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28800" windowHeight="11745" tabRatio="811" firstSheet="1" activeTab="1"/>
  </bookViews>
  <sheets>
    <sheet name="Datos Maestro" sheetId="1" r:id="rId1"/>
    <sheet name="HOJA DE TRABAJO" sheetId="2" r:id="rId2"/>
    <sheet name="AP" sheetId="3" r:id="rId3"/>
    <sheet name="APDTA" sheetId="4" r:id="rId4"/>
    <sheet name="EM" sheetId="5" r:id="rId5"/>
    <sheet name="EN" sheetId="6" r:id="rId6"/>
    <sheet name="EV" sheetId="8" r:id="rId7"/>
    <sheet name="ED" sheetId="7" r:id="rId8"/>
    <sheet name="EC" sheetId="10" r:id="rId9"/>
    <sheet name="EB" sheetId="11" r:id="rId10"/>
    <sheet name="CM" sheetId="14" r:id="rId11"/>
    <sheet name="PM" sheetId="18" r:id="rId12"/>
    <sheet name="Acumulado x UB" sheetId="15" r:id="rId13"/>
    <sheet name="Sheet1" sheetId="19" state="hidden" r:id="rId14"/>
    <sheet name="Hoja1" sheetId="16" state="hidden" r:id="rId15"/>
    <sheet name="Hoja2" sheetId="17" state="hidden" r:id="rId16"/>
  </sheets>
  <definedNames>
    <definedName name="_xlnm._FilterDatabase" localSheetId="2" hidden="1">AP!$A$1:$X$1</definedName>
    <definedName name="_xlnm._FilterDatabase" localSheetId="3" hidden="1">APDTA!#REF!</definedName>
    <definedName name="_xlnm._FilterDatabase" localSheetId="4" hidden="1">EM!#REF!</definedName>
    <definedName name="_xlnm._FilterDatabase" localSheetId="1" hidden="1">'HOJA DE TRABAJO'!$A$2720:$X$3072</definedName>
    <definedName name="TIPO">'Datos Maestro'!$A$5:$A$7</definedName>
    <definedName name="TIPOS">'Datos Maestro'!$A$5:$A$11</definedName>
    <definedName name="Z_2191A184_69A1_4CAD_BEA0_208A83E63EB0_.wvu.FilterData" localSheetId="1" hidden="1">'HOJA DE TRABAJO'!#REF!</definedName>
    <definedName name="Z_21AD2CE1_E829_469A_B32E_CC5EA1878477_.wvu.FilterData" localSheetId="1" hidden="1">'HOJA DE TRABAJO'!#REF!</definedName>
    <definedName name="Z_2F3D8A93_28E5_4A55_9409_11AB3AC584B9_.wvu.FilterData" localSheetId="1" hidden="1">'HOJA DE TRABAJO'!#REF!</definedName>
    <definedName name="Z_32B0F12F_756E_48F7_83B9_92253DF3D5AF_.wvu.FilterData" localSheetId="1" hidden="1">'HOJA DE TRABAJO'!#REF!</definedName>
    <definedName name="Z_38DDD469_CA59_4E69_88DC_B4DF89DABCAE_.wvu.FilterData" localSheetId="1" hidden="1">'HOJA DE TRABAJO'!#REF!</definedName>
    <definedName name="Z_3ACA9ACE_6307_4C81_B600_0F3D7A68AC97_.wvu.FilterData" localSheetId="1" hidden="1">'HOJA DE TRABAJO'!#REF!</definedName>
    <definedName name="Z_4E1528BE_0CC6_47C0_AD7B_140E8F8AAC35_.wvu.Cols" localSheetId="1" hidden="1">'HOJA DE TRABAJO'!$A:$B,'HOJA DE TRABAJO'!$F:$M,'HOJA DE TRABAJO'!#REF!,'HOJA DE TRABAJO'!#REF!,'HOJA DE TRABAJO'!$S:$S</definedName>
    <definedName name="Z_4E1528BE_0CC6_47C0_AD7B_140E8F8AAC35_.wvu.FilterData" localSheetId="4" hidden="1">EM!#REF!</definedName>
    <definedName name="Z_4E1528BE_0CC6_47C0_AD7B_140E8F8AAC35_.wvu.FilterData" localSheetId="1" hidden="1">'HOJA DE TRABAJO'!#REF!</definedName>
    <definedName name="Z_5E3C8C14_D275_4F69_8AAB_C898E33F7F67_.wvu.Rows" localSheetId="1" hidden="1">'HOJA DE TRABAJO'!#REF!</definedName>
    <definedName name="Z_6AABAA19_1DF2_42BB_92CC_E3ED195CAAC9_.wvu.FilterData" localSheetId="1" hidden="1">'HOJA DE TRABAJO'!#REF!</definedName>
    <definedName name="Z_A7DFC8CA_C799_4C7F_BAAA_A84C734AB083_.wvu.FilterData" localSheetId="1" hidden="1">'HOJA DE TRABAJO'!#REF!</definedName>
    <definedName name="Z_A98924D6_CE27_4E0A_A47F_D6C678A25C4F_.wvu.FilterData" localSheetId="1" hidden="1">'HOJA DE TRABAJO'!#REF!</definedName>
    <definedName name="Z_AE348246_4E4B_4A4B_92AA_25028BEB9876_.wvu.FilterData" localSheetId="1" hidden="1">'HOJA DE TRABAJO'!#REF!</definedName>
    <definedName name="Z_CA9A99F6_962B_42AD_A64F_8BA388149CE6_.wvu.FilterData" localSheetId="1" hidden="1">'HOJA DE TRABAJO'!#REF!</definedName>
    <definedName name="Z_D432FF0C_797B_45B7_9419_8BDC745E37CC_.wvu.Cols" localSheetId="1" hidden="1">'HOJA DE TRABAJO'!$B:$C,'HOJA DE TRABAJO'!$K:$M,'HOJA DE TRABAJO'!#REF!</definedName>
    <definedName name="Z_D432FF0C_797B_45B7_9419_8BDC745E37CC_.wvu.FilterData" localSheetId="4" hidden="1">EM!#REF!</definedName>
    <definedName name="Z_D432FF0C_797B_45B7_9419_8BDC745E37CC_.wvu.FilterData" localSheetId="1" hidden="1">'HOJA DE TRABAJO'!#REF!</definedName>
    <definedName name="Z_D4BAF0AB_70AD_4B2D_B5B0_60B5D2226727_.wvu.FilterData" localSheetId="1" hidden="1">'HOJA DE TRABAJO'!#REF!</definedName>
    <definedName name="Z_DA95A404_75E8_4AE8_A39E_023B0E2BA262_.wvu.FilterData" localSheetId="1" hidden="1">'HOJA DE TRABAJO'!#REF!</definedName>
    <definedName name="Z_DF0839AC_C10D_484C_A48B_81F60F24A1CA_.wvu.Cols" localSheetId="1" hidden="1">'HOJA DE TRABAJO'!$A:$B,'HOJA DE TRABAJO'!$F:$M,'HOJA DE TRABAJO'!#REF!,'HOJA DE TRABAJO'!#REF!,'HOJA DE TRABAJO'!#REF!,'HOJA DE TRABAJO'!#REF!,'HOJA DE TRABAJO'!$S:$S,'HOJA DE TRABAJO'!$V:$X</definedName>
    <definedName name="Z_DF0839AC_C10D_484C_A48B_81F60F24A1CA_.wvu.FilterData" localSheetId="4" hidden="1">EM!#REF!</definedName>
    <definedName name="Z_DF0839AC_C10D_484C_A48B_81F60F24A1CA_.wvu.FilterData" localSheetId="1" hidden="1">'HOJA DE TRABAJO'!#REF!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93" i="15" l="1"/>
  <c r="E193" i="15"/>
  <c r="D193" i="15"/>
  <c r="C193" i="15"/>
  <c r="B193" i="15"/>
  <c r="F175" i="15"/>
  <c r="E175" i="15"/>
  <c r="D175" i="15"/>
  <c r="C175" i="15"/>
  <c r="B175" i="15"/>
  <c r="F153" i="15"/>
  <c r="E153" i="15"/>
  <c r="D153" i="15"/>
  <c r="C153" i="15"/>
  <c r="B153" i="15"/>
  <c r="F134" i="15"/>
  <c r="E134" i="15"/>
  <c r="D134" i="15"/>
  <c r="C134" i="15"/>
  <c r="B134" i="15"/>
  <c r="F113" i="15"/>
  <c r="E113" i="15"/>
  <c r="D113" i="15"/>
  <c r="C113" i="15"/>
  <c r="B113" i="15"/>
  <c r="F94" i="15"/>
  <c r="E94" i="15"/>
  <c r="D94" i="15"/>
  <c r="C94" i="15"/>
  <c r="B94" i="15"/>
  <c r="F75" i="15"/>
  <c r="E75" i="15"/>
  <c r="D75" i="15"/>
  <c r="C75" i="15"/>
  <c r="B75" i="15"/>
  <c r="F56" i="15"/>
  <c r="E56" i="15"/>
  <c r="D56" i="15"/>
  <c r="C56" i="15"/>
  <c r="B56" i="15"/>
  <c r="F18" i="15"/>
  <c r="E18" i="15"/>
  <c r="D18" i="15"/>
  <c r="C18" i="15"/>
  <c r="B18" i="15"/>
  <c r="W140" i="18"/>
  <c r="L140" i="18"/>
  <c r="K140" i="18"/>
  <c r="W218" i="14"/>
  <c r="L218" i="14"/>
  <c r="K218" i="14"/>
  <c r="W220" i="11"/>
  <c r="L220" i="11"/>
  <c r="K220" i="11"/>
  <c r="X220" i="11"/>
  <c r="W119" i="10"/>
  <c r="L119" i="10"/>
  <c r="K119" i="10"/>
  <c r="W229" i="7"/>
  <c r="L229" i="7"/>
  <c r="K229" i="7"/>
  <c r="W95" i="8"/>
  <c r="L95" i="8"/>
  <c r="K95" i="8"/>
  <c r="W309" i="6"/>
  <c r="L309" i="6"/>
  <c r="K309" i="6"/>
  <c r="X309" i="6"/>
  <c r="W1657" i="5"/>
  <c r="L1657" i="5"/>
  <c r="K1657" i="5"/>
  <c r="W229" i="3"/>
  <c r="L229" i="3"/>
  <c r="K229" i="3"/>
  <c r="K3074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2722" i="2"/>
  <c r="B192" i="15"/>
  <c r="B191" i="15"/>
  <c r="D190" i="15"/>
  <c r="B190" i="15"/>
  <c r="B189" i="15"/>
  <c r="B188" i="15"/>
  <c r="B187" i="15"/>
  <c r="B186" i="15"/>
  <c r="B185" i="15"/>
  <c r="B197" i="15" s="1"/>
  <c r="B174" i="15"/>
  <c r="B173" i="15"/>
  <c r="B172" i="15"/>
  <c r="B171" i="15"/>
  <c r="B170" i="15"/>
  <c r="B169" i="15"/>
  <c r="B168" i="15"/>
  <c r="D167" i="15"/>
  <c r="D179" i="15" s="1"/>
  <c r="B167" i="15"/>
  <c r="B179" i="15" s="1"/>
  <c r="B152" i="15"/>
  <c r="B151" i="15"/>
  <c r="B150" i="15"/>
  <c r="B149" i="15"/>
  <c r="B148" i="15"/>
  <c r="B147" i="15"/>
  <c r="B146" i="15"/>
  <c r="B145" i="15"/>
  <c r="B157" i="15" s="1"/>
  <c r="B133" i="15"/>
  <c r="B132" i="15"/>
  <c r="C131" i="15"/>
  <c r="B131" i="15"/>
  <c r="B130" i="15"/>
  <c r="E129" i="15"/>
  <c r="B129" i="15"/>
  <c r="B128" i="15"/>
  <c r="B127" i="15"/>
  <c r="B126" i="15"/>
  <c r="B138" i="15" s="1"/>
  <c r="B112" i="15"/>
  <c r="B111" i="15"/>
  <c r="B110" i="15"/>
  <c r="B109" i="15"/>
  <c r="E108" i="15"/>
  <c r="B108" i="15"/>
  <c r="B107" i="15"/>
  <c r="C106" i="15"/>
  <c r="B106" i="15"/>
  <c r="B105" i="15"/>
  <c r="B93" i="15"/>
  <c r="B92" i="15"/>
  <c r="B91" i="15"/>
  <c r="D90" i="15"/>
  <c r="B90" i="15"/>
  <c r="B89" i="15"/>
  <c r="B88" i="15"/>
  <c r="B87" i="15"/>
  <c r="B86" i="15"/>
  <c r="B74" i="15"/>
  <c r="B73" i="15"/>
  <c r="B72" i="15"/>
  <c r="B71" i="15"/>
  <c r="B70" i="15"/>
  <c r="B69" i="15"/>
  <c r="B68" i="15"/>
  <c r="B67" i="15"/>
  <c r="B79" i="15" s="1"/>
  <c r="E55" i="15"/>
  <c r="B55" i="15"/>
  <c r="B54" i="15"/>
  <c r="B53" i="15"/>
  <c r="B52" i="15"/>
  <c r="B51" i="15"/>
  <c r="B50" i="15"/>
  <c r="C49" i="15"/>
  <c r="B49" i="15"/>
  <c r="B48" i="15"/>
  <c r="B60" i="15" s="1"/>
  <c r="E36" i="15"/>
  <c r="B36" i="15"/>
  <c r="B35" i="15"/>
  <c r="C34" i="15"/>
  <c r="B34" i="15"/>
  <c r="B33" i="15"/>
  <c r="B32" i="15"/>
  <c r="B31" i="15"/>
  <c r="B30" i="15"/>
  <c r="B29" i="15"/>
  <c r="B41" i="15" s="1"/>
  <c r="B17" i="15"/>
  <c r="B16" i="15"/>
  <c r="B15" i="15"/>
  <c r="B14" i="15"/>
  <c r="F13" i="15"/>
  <c r="E13" i="15"/>
  <c r="B13" i="15"/>
  <c r="C12" i="15"/>
  <c r="B12" i="15"/>
  <c r="B11" i="15"/>
  <c r="B10" i="15"/>
  <c r="W121" i="18"/>
  <c r="E192" i="15" s="1"/>
  <c r="L121" i="18"/>
  <c r="D192" i="15" s="1"/>
  <c r="K121" i="18"/>
  <c r="C192" i="15" s="1"/>
  <c r="W115" i="18"/>
  <c r="E191" i="15" s="1"/>
  <c r="K115" i="18"/>
  <c r="C191" i="15" s="1"/>
  <c r="W113" i="18"/>
  <c r="X113" i="18" s="1"/>
  <c r="L113" i="18"/>
  <c r="L115" i="18" s="1"/>
  <c r="D191" i="15" s="1"/>
  <c r="W111" i="18"/>
  <c r="L111" i="18"/>
  <c r="K111" i="18"/>
  <c r="C190" i="15" s="1"/>
  <c r="W87" i="18"/>
  <c r="L87" i="18"/>
  <c r="D189" i="15" s="1"/>
  <c r="K87" i="18"/>
  <c r="C189" i="15" s="1"/>
  <c r="W69" i="18"/>
  <c r="L69" i="18"/>
  <c r="D188" i="15" s="1"/>
  <c r="K69" i="18"/>
  <c r="C188" i="15" s="1"/>
  <c r="L38" i="18"/>
  <c r="D187" i="15" s="1"/>
  <c r="K38" i="18"/>
  <c r="C187" i="15" s="1"/>
  <c r="W36" i="18"/>
  <c r="X36" i="18" s="1"/>
  <c r="L36" i="18"/>
  <c r="W34" i="18"/>
  <c r="E186" i="15" s="1"/>
  <c r="L34" i="18"/>
  <c r="K34" i="18"/>
  <c r="C186" i="15" s="1"/>
  <c r="W12" i="18"/>
  <c r="E185" i="15" s="1"/>
  <c r="L12" i="18"/>
  <c r="K12" i="18"/>
  <c r="C185" i="15" s="1"/>
  <c r="W205" i="14"/>
  <c r="E174" i="15" s="1"/>
  <c r="L205" i="14"/>
  <c r="D174" i="15" s="1"/>
  <c r="K205" i="14"/>
  <c r="C174" i="15" s="1"/>
  <c r="W187" i="14"/>
  <c r="L187" i="14"/>
  <c r="D173" i="15" s="1"/>
  <c r="K187" i="14"/>
  <c r="C173" i="15" s="1"/>
  <c r="W165" i="14"/>
  <c r="L165" i="14"/>
  <c r="D172" i="15" s="1"/>
  <c r="K165" i="14"/>
  <c r="C172" i="15" s="1"/>
  <c r="W142" i="14"/>
  <c r="L142" i="14"/>
  <c r="D171" i="15" s="1"/>
  <c r="K142" i="14"/>
  <c r="C171" i="15" s="1"/>
  <c r="W116" i="14"/>
  <c r="L116" i="14"/>
  <c r="D170" i="15" s="1"/>
  <c r="K116" i="14"/>
  <c r="C170" i="15" s="1"/>
  <c r="W75" i="14"/>
  <c r="L75" i="14"/>
  <c r="D169" i="15" s="1"/>
  <c r="K75" i="14"/>
  <c r="C169" i="15" s="1"/>
  <c r="W41" i="14"/>
  <c r="L41" i="14"/>
  <c r="D168" i="15" s="1"/>
  <c r="K41" i="14"/>
  <c r="C168" i="15" s="1"/>
  <c r="W25" i="14"/>
  <c r="L25" i="14"/>
  <c r="K25" i="14"/>
  <c r="C167" i="15" s="1"/>
  <c r="W193" i="11"/>
  <c r="L193" i="11"/>
  <c r="D152" i="15" s="1"/>
  <c r="K193" i="11"/>
  <c r="C152" i="15" s="1"/>
  <c r="W180" i="11"/>
  <c r="L180" i="11"/>
  <c r="D151" i="15" s="1"/>
  <c r="K180" i="11"/>
  <c r="C151" i="15" s="1"/>
  <c r="W147" i="11"/>
  <c r="L147" i="11"/>
  <c r="D150" i="15" s="1"/>
  <c r="K147" i="11"/>
  <c r="C150" i="15" s="1"/>
  <c r="W139" i="11"/>
  <c r="L139" i="11"/>
  <c r="D149" i="15" s="1"/>
  <c r="K139" i="11"/>
  <c r="C149" i="15" s="1"/>
  <c r="W117" i="11"/>
  <c r="L117" i="11"/>
  <c r="D148" i="15" s="1"/>
  <c r="K117" i="11"/>
  <c r="C148" i="15" s="1"/>
  <c r="W90" i="11"/>
  <c r="L90" i="11"/>
  <c r="D147" i="15" s="1"/>
  <c r="K90" i="11"/>
  <c r="C147" i="15" s="1"/>
  <c r="W77" i="11"/>
  <c r="L77" i="11"/>
  <c r="D146" i="15" s="1"/>
  <c r="K77" i="11"/>
  <c r="C146" i="15" s="1"/>
  <c r="W44" i="11"/>
  <c r="L44" i="11"/>
  <c r="D145" i="15" s="1"/>
  <c r="D157" i="15" s="1"/>
  <c r="K44" i="11"/>
  <c r="C145" i="15" s="1"/>
  <c r="W111" i="10"/>
  <c r="X111" i="10" s="1"/>
  <c r="F133" i="15" s="1"/>
  <c r="L111" i="10"/>
  <c r="D133" i="15" s="1"/>
  <c r="K111" i="10"/>
  <c r="C133" i="15" s="1"/>
  <c r="W95" i="10"/>
  <c r="L95" i="10"/>
  <c r="D132" i="15" s="1"/>
  <c r="K95" i="10"/>
  <c r="C132" i="15" s="1"/>
  <c r="W82" i="10"/>
  <c r="L82" i="10"/>
  <c r="D131" i="15" s="1"/>
  <c r="K82" i="10"/>
  <c r="W75" i="10"/>
  <c r="L75" i="10"/>
  <c r="D130" i="15" s="1"/>
  <c r="K75" i="10"/>
  <c r="C130" i="15" s="1"/>
  <c r="W57" i="10"/>
  <c r="X57" i="10" s="1"/>
  <c r="F129" i="15" s="1"/>
  <c r="L57" i="10"/>
  <c r="D129" i="15" s="1"/>
  <c r="K57" i="10"/>
  <c r="C129" i="15" s="1"/>
  <c r="W42" i="10"/>
  <c r="L42" i="10"/>
  <c r="D128" i="15" s="1"/>
  <c r="K42" i="10"/>
  <c r="C128" i="15" s="1"/>
  <c r="W29" i="10"/>
  <c r="L29" i="10"/>
  <c r="D127" i="15" s="1"/>
  <c r="K29" i="10"/>
  <c r="C127" i="15" s="1"/>
  <c r="W13" i="10"/>
  <c r="L13" i="10"/>
  <c r="D126" i="15" s="1"/>
  <c r="D138" i="15" s="1"/>
  <c r="K13" i="10"/>
  <c r="C126" i="15" s="1"/>
  <c r="W194" i="7"/>
  <c r="L194" i="7"/>
  <c r="D93" i="15" s="1"/>
  <c r="K194" i="7"/>
  <c r="C93" i="15" s="1"/>
  <c r="W167" i="7"/>
  <c r="L167" i="7"/>
  <c r="D92" i="15" s="1"/>
  <c r="K167" i="7"/>
  <c r="C92" i="15" s="1"/>
  <c r="W148" i="7"/>
  <c r="L148" i="7"/>
  <c r="D91" i="15" s="1"/>
  <c r="K148" i="7"/>
  <c r="C91" i="15" s="1"/>
  <c r="W131" i="7"/>
  <c r="L131" i="7"/>
  <c r="K131" i="7"/>
  <c r="C90" i="15" s="1"/>
  <c r="W104" i="7"/>
  <c r="L104" i="7"/>
  <c r="D89" i="15" s="1"/>
  <c r="K104" i="7"/>
  <c r="C89" i="15" s="1"/>
  <c r="W78" i="7"/>
  <c r="L78" i="7"/>
  <c r="D88" i="15" s="1"/>
  <c r="K78" i="7"/>
  <c r="C88" i="15" s="1"/>
  <c r="W58" i="7"/>
  <c r="L58" i="7"/>
  <c r="D87" i="15" s="1"/>
  <c r="K58" i="7"/>
  <c r="C87" i="15" s="1"/>
  <c r="W33" i="7"/>
  <c r="L33" i="7"/>
  <c r="D86" i="15" s="1"/>
  <c r="K33" i="7"/>
  <c r="C86" i="15" s="1"/>
  <c r="W87" i="8"/>
  <c r="E112" i="15" s="1"/>
  <c r="L87" i="8"/>
  <c r="D112" i="15" s="1"/>
  <c r="K87" i="8"/>
  <c r="C112" i="15" s="1"/>
  <c r="W77" i="8"/>
  <c r="L77" i="8"/>
  <c r="D111" i="15" s="1"/>
  <c r="K77" i="8"/>
  <c r="C111" i="15" s="1"/>
  <c r="W66" i="8"/>
  <c r="L66" i="8"/>
  <c r="D110" i="15" s="1"/>
  <c r="K66" i="8"/>
  <c r="C110" i="15" s="1"/>
  <c r="W56" i="8"/>
  <c r="L56" i="8"/>
  <c r="D109" i="15" s="1"/>
  <c r="K56" i="8"/>
  <c r="C109" i="15" s="1"/>
  <c r="W46" i="8"/>
  <c r="X46" i="8" s="1"/>
  <c r="F108" i="15" s="1"/>
  <c r="L46" i="8"/>
  <c r="D108" i="15" s="1"/>
  <c r="K46" i="8"/>
  <c r="C108" i="15" s="1"/>
  <c r="W37" i="8"/>
  <c r="L37" i="8"/>
  <c r="D107" i="15" s="1"/>
  <c r="K37" i="8"/>
  <c r="C107" i="15" s="1"/>
  <c r="W26" i="8"/>
  <c r="L26" i="8"/>
  <c r="D106" i="15" s="1"/>
  <c r="K26" i="8"/>
  <c r="W15" i="8"/>
  <c r="L15" i="8"/>
  <c r="D105" i="15" s="1"/>
  <c r="D117" i="15" s="1"/>
  <c r="K15" i="8"/>
  <c r="C105" i="15" s="1"/>
  <c r="W270" i="6"/>
  <c r="L270" i="6"/>
  <c r="D74" i="15" s="1"/>
  <c r="K270" i="6"/>
  <c r="C74" i="15" s="1"/>
  <c r="W234" i="6"/>
  <c r="L234" i="6"/>
  <c r="D73" i="15" s="1"/>
  <c r="K234" i="6"/>
  <c r="C73" i="15" s="1"/>
  <c r="W200" i="6"/>
  <c r="L200" i="6"/>
  <c r="D72" i="15" s="1"/>
  <c r="K200" i="6"/>
  <c r="C72" i="15" s="1"/>
  <c r="W178" i="6"/>
  <c r="L178" i="6"/>
  <c r="D71" i="15" s="1"/>
  <c r="K178" i="6"/>
  <c r="C71" i="15" s="1"/>
  <c r="W137" i="6"/>
  <c r="L137" i="6"/>
  <c r="D70" i="15" s="1"/>
  <c r="K137" i="6"/>
  <c r="C70" i="15" s="1"/>
  <c r="W111" i="6"/>
  <c r="L111" i="6"/>
  <c r="D69" i="15" s="1"/>
  <c r="K111" i="6"/>
  <c r="C69" i="15" s="1"/>
  <c r="W78" i="6"/>
  <c r="L78" i="6"/>
  <c r="D68" i="15" s="1"/>
  <c r="K78" i="6"/>
  <c r="C68" i="15" s="1"/>
  <c r="W56" i="6"/>
  <c r="L56" i="6"/>
  <c r="D67" i="15" s="1"/>
  <c r="K56" i="6"/>
  <c r="C67" i="15" s="1"/>
  <c r="W1447" i="5"/>
  <c r="X1447" i="5" s="1"/>
  <c r="F55" i="15" s="1"/>
  <c r="L1447" i="5"/>
  <c r="D55" i="15" s="1"/>
  <c r="K1447" i="5"/>
  <c r="C55" i="15" s="1"/>
  <c r="W1253" i="5"/>
  <c r="L1253" i="5"/>
  <c r="D54" i="15" s="1"/>
  <c r="K1253" i="5"/>
  <c r="C54" i="15" s="1"/>
  <c r="W1046" i="5"/>
  <c r="L1046" i="5"/>
  <c r="D53" i="15" s="1"/>
  <c r="K1046" i="5"/>
  <c r="C53" i="15" s="1"/>
  <c r="W897" i="5"/>
  <c r="L897" i="5"/>
  <c r="D52" i="15" s="1"/>
  <c r="K897" i="5"/>
  <c r="C52" i="15" s="1"/>
  <c r="W662" i="5"/>
  <c r="L662" i="5"/>
  <c r="D51" i="15" s="1"/>
  <c r="K662" i="5"/>
  <c r="C51" i="15" s="1"/>
  <c r="W505" i="5"/>
  <c r="L505" i="5"/>
  <c r="D50" i="15" s="1"/>
  <c r="K505" i="5"/>
  <c r="C50" i="15" s="1"/>
  <c r="W336" i="5"/>
  <c r="L336" i="5"/>
  <c r="D49" i="15" s="1"/>
  <c r="K336" i="5"/>
  <c r="W174" i="5"/>
  <c r="L174" i="5"/>
  <c r="D48" i="15" s="1"/>
  <c r="D60" i="15" s="1"/>
  <c r="K174" i="5"/>
  <c r="C48" i="15" s="1"/>
  <c r="W98" i="4"/>
  <c r="X98" i="4" s="1"/>
  <c r="F36" i="15" s="1"/>
  <c r="L98" i="4"/>
  <c r="D36" i="15" s="1"/>
  <c r="K98" i="4"/>
  <c r="C36" i="15" s="1"/>
  <c r="W88" i="4"/>
  <c r="L88" i="4"/>
  <c r="D35" i="15" s="1"/>
  <c r="K88" i="4"/>
  <c r="C35" i="15" s="1"/>
  <c r="X76" i="4"/>
  <c r="F34" i="15" s="1"/>
  <c r="W76" i="4"/>
  <c r="E34" i="15" s="1"/>
  <c r="L76" i="4"/>
  <c r="D34" i="15" s="1"/>
  <c r="K76" i="4"/>
  <c r="X71" i="4"/>
  <c r="F33" i="15" s="1"/>
  <c r="W71" i="4"/>
  <c r="E33" i="15" s="1"/>
  <c r="L71" i="4"/>
  <c r="D33" i="15" s="1"/>
  <c r="K71" i="4"/>
  <c r="C33" i="15" s="1"/>
  <c r="X65" i="4"/>
  <c r="F32" i="15" s="1"/>
  <c r="W65" i="4"/>
  <c r="E32" i="15" s="1"/>
  <c r="L65" i="4"/>
  <c r="D32" i="15" s="1"/>
  <c r="K65" i="4"/>
  <c r="C32" i="15" s="1"/>
  <c r="X49" i="4"/>
  <c r="F31" i="15" s="1"/>
  <c r="W49" i="4"/>
  <c r="E31" i="15" s="1"/>
  <c r="L49" i="4"/>
  <c r="D31" i="15" s="1"/>
  <c r="K49" i="4"/>
  <c r="C31" i="15" s="1"/>
  <c r="X30" i="4"/>
  <c r="F30" i="15" s="1"/>
  <c r="W30" i="4"/>
  <c r="E30" i="15" s="1"/>
  <c r="L30" i="4"/>
  <c r="D30" i="15" s="1"/>
  <c r="K30" i="4"/>
  <c r="C30" i="15" s="1"/>
  <c r="X18" i="4"/>
  <c r="F29" i="15" s="1"/>
  <c r="W18" i="4"/>
  <c r="E29" i="15" s="1"/>
  <c r="L18" i="4"/>
  <c r="D29" i="15" s="1"/>
  <c r="D41" i="15" s="1"/>
  <c r="K18" i="4"/>
  <c r="C29" i="15" s="1"/>
  <c r="X210" i="3"/>
  <c r="F17" i="15" s="1"/>
  <c r="W210" i="3"/>
  <c r="E17" i="15" s="1"/>
  <c r="L210" i="3"/>
  <c r="D17" i="15" s="1"/>
  <c r="K210" i="3"/>
  <c r="C17" i="15" s="1"/>
  <c r="X183" i="3"/>
  <c r="F16" i="15" s="1"/>
  <c r="W183" i="3"/>
  <c r="E16" i="15" s="1"/>
  <c r="L183" i="3"/>
  <c r="D16" i="15" s="1"/>
  <c r="K183" i="3"/>
  <c r="C16" i="15" s="1"/>
  <c r="X156" i="3"/>
  <c r="F15" i="15" s="1"/>
  <c r="W156" i="3"/>
  <c r="E15" i="15" s="1"/>
  <c r="L156" i="3"/>
  <c r="D15" i="15" s="1"/>
  <c r="K156" i="3"/>
  <c r="C15" i="15" s="1"/>
  <c r="X141" i="3"/>
  <c r="F14" i="15" s="1"/>
  <c r="W141" i="3"/>
  <c r="E14" i="15" s="1"/>
  <c r="L141" i="3"/>
  <c r="D14" i="15" s="1"/>
  <c r="K141" i="3"/>
  <c r="C14" i="15" s="1"/>
  <c r="X126" i="3"/>
  <c r="W126" i="3"/>
  <c r="L126" i="3"/>
  <c r="D13" i="15" s="1"/>
  <c r="K126" i="3"/>
  <c r="C13" i="15" s="1"/>
  <c r="X94" i="3"/>
  <c r="F12" i="15" s="1"/>
  <c r="W94" i="3"/>
  <c r="E12" i="15" s="1"/>
  <c r="L94" i="3"/>
  <c r="D12" i="15" s="1"/>
  <c r="K94" i="3"/>
  <c r="X55" i="3"/>
  <c r="F11" i="15" s="1"/>
  <c r="W55" i="3"/>
  <c r="E11" i="15" s="1"/>
  <c r="L55" i="3"/>
  <c r="D11" i="15" s="1"/>
  <c r="K55" i="3"/>
  <c r="C11" i="15" s="1"/>
  <c r="X22" i="3"/>
  <c r="F10" i="15" s="1"/>
  <c r="W22" i="3"/>
  <c r="E10" i="15" s="1"/>
  <c r="E22" i="15" s="1"/>
  <c r="L22" i="3"/>
  <c r="D10" i="15" s="1"/>
  <c r="D22" i="15" s="1"/>
  <c r="K22" i="3"/>
  <c r="C10" i="15" s="1"/>
  <c r="M3070" i="2"/>
  <c r="M3032" i="2"/>
  <c r="M2998" i="2"/>
  <c r="K2998" i="2"/>
  <c r="M2993" i="2"/>
  <c r="M2983" i="2"/>
  <c r="M2981" i="2"/>
  <c r="M2964" i="2"/>
  <c r="M2956" i="2"/>
  <c r="Q2942" i="2"/>
  <c r="O2942" i="2"/>
  <c r="M2942" i="2"/>
  <c r="M2934" i="2"/>
  <c r="K2934" i="2"/>
  <c r="M2926" i="2"/>
  <c r="K2926" i="2"/>
  <c r="M2925" i="2"/>
  <c r="M2906" i="2"/>
  <c r="M2891" i="2"/>
  <c r="M2890" i="2"/>
  <c r="M2886" i="2"/>
  <c r="M2883" i="2"/>
  <c r="K2883" i="2"/>
  <c r="U2882" i="2"/>
  <c r="M2850" i="2"/>
  <c r="K2850" i="2"/>
  <c r="M2848" i="2"/>
  <c r="K2848" i="2"/>
  <c r="M2806" i="2"/>
  <c r="K2806" i="2"/>
  <c r="M2793" i="2"/>
  <c r="R2771" i="2"/>
  <c r="M2766" i="2"/>
  <c r="M2761" i="2"/>
  <c r="M2759" i="2"/>
  <c r="K2759" i="2"/>
  <c r="M2747" i="2"/>
  <c r="M2725" i="2"/>
  <c r="W2718" i="2"/>
  <c r="X2718" i="2" s="1"/>
  <c r="L2718" i="2"/>
  <c r="X2717" i="2"/>
  <c r="W2717" i="2"/>
  <c r="L2717" i="2"/>
  <c r="W2716" i="2"/>
  <c r="X2716" i="2" s="1"/>
  <c r="L2716" i="2"/>
  <c r="W2715" i="2"/>
  <c r="X2715" i="2" s="1"/>
  <c r="L2715" i="2"/>
  <c r="W2714" i="2"/>
  <c r="L2714" i="2"/>
  <c r="X2713" i="2"/>
  <c r="W2713" i="2"/>
  <c r="L2713" i="2"/>
  <c r="X2712" i="2"/>
  <c r="W2712" i="2"/>
  <c r="L2712" i="2"/>
  <c r="W2711" i="2"/>
  <c r="L2711" i="2"/>
  <c r="W2710" i="2"/>
  <c r="M2710" i="2"/>
  <c r="L2710" i="2"/>
  <c r="K2710" i="2"/>
  <c r="W2709" i="2"/>
  <c r="X2709" i="2" s="1"/>
  <c r="L2709" i="2"/>
  <c r="W2708" i="2"/>
  <c r="L2708" i="2"/>
  <c r="X2707" i="2"/>
  <c r="W2707" i="2"/>
  <c r="L2707" i="2"/>
  <c r="X2706" i="2"/>
  <c r="W2706" i="2"/>
  <c r="L2706" i="2"/>
  <c r="W2705" i="2"/>
  <c r="L2705" i="2"/>
  <c r="W2704" i="2"/>
  <c r="M2704" i="2"/>
  <c r="L2704" i="2"/>
  <c r="W2703" i="2"/>
  <c r="X2703" i="2" s="1"/>
  <c r="L2703" i="2"/>
  <c r="X2702" i="2"/>
  <c r="W2702" i="2"/>
  <c r="L2702" i="2"/>
  <c r="X2701" i="2"/>
  <c r="W2701" i="2"/>
  <c r="L2701" i="2"/>
  <c r="W2700" i="2"/>
  <c r="X2700" i="2" s="1"/>
  <c r="L2700" i="2"/>
  <c r="W2699" i="2"/>
  <c r="L2699" i="2"/>
  <c r="X2698" i="2"/>
  <c r="W2698" i="2"/>
  <c r="L2698" i="2"/>
  <c r="W2697" i="2"/>
  <c r="X2697" i="2" s="1"/>
  <c r="L2697" i="2"/>
  <c r="W2696" i="2"/>
  <c r="L2696" i="2"/>
  <c r="W2695" i="2"/>
  <c r="X2695" i="2" s="1"/>
  <c r="L2695" i="2"/>
  <c r="X2694" i="2"/>
  <c r="W2694" i="2"/>
  <c r="L2694" i="2"/>
  <c r="X2693" i="2"/>
  <c r="W2693" i="2"/>
  <c r="L2693" i="2"/>
  <c r="W2692" i="2"/>
  <c r="X2692" i="2" s="1"/>
  <c r="L2692" i="2"/>
  <c r="W2691" i="2"/>
  <c r="L2691" i="2"/>
  <c r="X2690" i="2"/>
  <c r="W2690" i="2"/>
  <c r="L2690" i="2"/>
  <c r="W2689" i="2"/>
  <c r="X2689" i="2" s="1"/>
  <c r="M2689" i="2"/>
  <c r="L2689" i="2"/>
  <c r="W2688" i="2"/>
  <c r="X2688" i="2" s="1"/>
  <c r="L2688" i="2"/>
  <c r="W2687" i="2"/>
  <c r="L2687" i="2"/>
  <c r="W2686" i="2"/>
  <c r="X2686" i="2" s="1"/>
  <c r="L2686" i="2"/>
  <c r="X2685" i="2"/>
  <c r="W2685" i="2"/>
  <c r="L2685" i="2"/>
  <c r="X2684" i="2"/>
  <c r="W2684" i="2"/>
  <c r="L2684" i="2"/>
  <c r="W2683" i="2"/>
  <c r="X2683" i="2" s="1"/>
  <c r="L2683" i="2"/>
  <c r="W2682" i="2"/>
  <c r="L2682" i="2"/>
  <c r="X2681" i="2"/>
  <c r="W2681" i="2"/>
  <c r="L2681" i="2"/>
  <c r="W2680" i="2"/>
  <c r="X2680" i="2" s="1"/>
  <c r="L2680" i="2"/>
  <c r="W2679" i="2"/>
  <c r="L2679" i="2"/>
  <c r="W2678" i="2"/>
  <c r="X2678" i="2" s="1"/>
  <c r="L2678" i="2"/>
  <c r="W2677" i="2"/>
  <c r="M2677" i="2"/>
  <c r="L2677" i="2"/>
  <c r="X2677" i="2" s="1"/>
  <c r="K2677" i="2"/>
  <c r="W2676" i="2"/>
  <c r="X2676" i="2" s="1"/>
  <c r="L2676" i="2"/>
  <c r="X2675" i="2"/>
  <c r="W2675" i="2"/>
  <c r="L2675" i="2"/>
  <c r="X2674" i="2"/>
  <c r="W2674" i="2"/>
  <c r="L2674" i="2"/>
  <c r="W2673" i="2"/>
  <c r="X2673" i="2" s="1"/>
  <c r="L2673" i="2"/>
  <c r="W2672" i="2"/>
  <c r="X2672" i="2" s="1"/>
  <c r="L2672" i="2"/>
  <c r="X2671" i="2"/>
  <c r="W2671" i="2"/>
  <c r="L2671" i="2"/>
  <c r="W2670" i="2"/>
  <c r="X2670" i="2" s="1"/>
  <c r="L2670" i="2"/>
  <c r="W2669" i="2"/>
  <c r="X2669" i="2" s="1"/>
  <c r="L2669" i="2"/>
  <c r="W2668" i="2"/>
  <c r="L2668" i="2"/>
  <c r="X2668" i="2" s="1"/>
  <c r="X2667" i="2"/>
  <c r="W2667" i="2"/>
  <c r="L2667" i="2"/>
  <c r="X2666" i="2"/>
  <c r="W2666" i="2"/>
  <c r="L2666" i="2"/>
  <c r="W2665" i="2"/>
  <c r="L2665" i="2"/>
  <c r="W2664" i="2"/>
  <c r="L2664" i="2"/>
  <c r="X2664" i="2" s="1"/>
  <c r="X2663" i="2"/>
  <c r="W2663" i="2"/>
  <c r="L2663" i="2"/>
  <c r="W2662" i="2"/>
  <c r="X2662" i="2" s="1"/>
  <c r="L2662" i="2"/>
  <c r="W2661" i="2"/>
  <c r="X2661" i="2" s="1"/>
  <c r="M2661" i="2"/>
  <c r="L2661" i="2"/>
  <c r="W2660" i="2"/>
  <c r="X2660" i="2" s="1"/>
  <c r="L2660" i="2"/>
  <c r="W2659" i="2"/>
  <c r="L2659" i="2"/>
  <c r="X2659" i="2" s="1"/>
  <c r="X2658" i="2"/>
  <c r="W2658" i="2"/>
  <c r="L2658" i="2"/>
  <c r="W2657" i="2"/>
  <c r="X2657" i="2" s="1"/>
  <c r="L2657" i="2"/>
  <c r="W2656" i="2"/>
  <c r="X2656" i="2" s="1"/>
  <c r="M2656" i="2"/>
  <c r="L2656" i="2"/>
  <c r="W2655" i="2"/>
  <c r="X2655" i="2" s="1"/>
  <c r="M2655" i="2"/>
  <c r="L2655" i="2"/>
  <c r="W2654" i="2"/>
  <c r="X2654" i="2" s="1"/>
  <c r="L2654" i="2"/>
  <c r="W2653" i="2"/>
  <c r="L2653" i="2"/>
  <c r="X2653" i="2" s="1"/>
  <c r="X2652" i="2"/>
  <c r="W2652" i="2"/>
  <c r="L2652" i="2"/>
  <c r="W2651" i="2"/>
  <c r="X2651" i="2" s="1"/>
  <c r="L2651" i="2"/>
  <c r="W2650" i="2"/>
  <c r="L2650" i="2"/>
  <c r="W2649" i="2"/>
  <c r="L2649" i="2"/>
  <c r="X2649" i="2" s="1"/>
  <c r="X2648" i="2"/>
  <c r="W2648" i="2"/>
  <c r="L2648" i="2"/>
  <c r="X2647" i="2"/>
  <c r="W2647" i="2"/>
  <c r="L2647" i="2"/>
  <c r="W2646" i="2"/>
  <c r="X2646" i="2" s="1"/>
  <c r="L2646" i="2"/>
  <c r="W2645" i="2"/>
  <c r="L2645" i="2"/>
  <c r="W2644" i="2"/>
  <c r="M2644" i="2"/>
  <c r="K2644" i="2"/>
  <c r="L2644" i="2" s="1"/>
  <c r="X2644" i="2" s="1"/>
  <c r="W2643" i="2"/>
  <c r="X2643" i="2" s="1"/>
  <c r="L2643" i="2"/>
  <c r="X2642" i="2"/>
  <c r="W2642" i="2"/>
  <c r="L2642" i="2"/>
  <c r="W2641" i="2"/>
  <c r="X2641" i="2" s="1"/>
  <c r="L2641" i="2"/>
  <c r="W2640" i="2"/>
  <c r="X2640" i="2" s="1"/>
  <c r="U2640" i="2"/>
  <c r="L2640" i="2"/>
  <c r="W2639" i="2"/>
  <c r="X2639" i="2" s="1"/>
  <c r="L2639" i="2"/>
  <c r="W2638" i="2"/>
  <c r="L2638" i="2"/>
  <c r="X2637" i="2"/>
  <c r="W2637" i="2"/>
  <c r="L2637" i="2"/>
  <c r="W2636" i="2"/>
  <c r="X2636" i="2" s="1"/>
  <c r="L2636" i="2"/>
  <c r="W2635" i="2"/>
  <c r="L2635" i="2"/>
  <c r="W2634" i="2"/>
  <c r="X2634" i="2" s="1"/>
  <c r="L2634" i="2"/>
  <c r="X2633" i="2"/>
  <c r="W2633" i="2"/>
  <c r="L2633" i="2"/>
  <c r="X2632" i="2"/>
  <c r="W2632" i="2"/>
  <c r="L2632" i="2"/>
  <c r="W2631" i="2"/>
  <c r="X2631" i="2" s="1"/>
  <c r="L2631" i="2"/>
  <c r="W2630" i="2"/>
  <c r="L2630" i="2"/>
  <c r="X2629" i="2"/>
  <c r="W2629" i="2"/>
  <c r="L2629" i="2"/>
  <c r="W2628" i="2"/>
  <c r="X2628" i="2" s="1"/>
  <c r="L2628" i="2"/>
  <c r="W2627" i="2"/>
  <c r="M2627" i="2"/>
  <c r="K2627" i="2"/>
  <c r="L2627" i="2" s="1"/>
  <c r="X2626" i="2"/>
  <c r="W2626" i="2"/>
  <c r="L2626" i="2"/>
  <c r="W2625" i="2"/>
  <c r="X2625" i="2" s="1"/>
  <c r="L2625" i="2"/>
  <c r="W2624" i="2"/>
  <c r="L2624" i="2"/>
  <c r="X2623" i="2"/>
  <c r="W2623" i="2"/>
  <c r="L2623" i="2"/>
  <c r="W2622" i="2"/>
  <c r="X2622" i="2" s="1"/>
  <c r="L2622" i="2"/>
  <c r="W2621" i="2"/>
  <c r="L2621" i="2"/>
  <c r="W2620" i="2"/>
  <c r="X2620" i="2" s="1"/>
  <c r="L2620" i="2"/>
  <c r="X2619" i="2"/>
  <c r="W2619" i="2"/>
  <c r="L2619" i="2"/>
  <c r="X2618" i="2"/>
  <c r="W2618" i="2"/>
  <c r="L2618" i="2"/>
  <c r="W2617" i="2"/>
  <c r="X2617" i="2" s="1"/>
  <c r="L2617" i="2"/>
  <c r="W2616" i="2"/>
  <c r="L2616" i="2"/>
  <c r="X2615" i="2"/>
  <c r="W2615" i="2"/>
  <c r="L2615" i="2"/>
  <c r="W2614" i="2"/>
  <c r="X2614" i="2" s="1"/>
  <c r="L2614" i="2"/>
  <c r="W2613" i="2"/>
  <c r="L2613" i="2"/>
  <c r="W2612" i="2"/>
  <c r="X2612" i="2" s="1"/>
  <c r="L2612" i="2"/>
  <c r="X2611" i="2"/>
  <c r="W2611" i="2"/>
  <c r="L2611" i="2"/>
  <c r="X2610" i="2"/>
  <c r="W2610" i="2"/>
  <c r="L2610" i="2"/>
  <c r="W2609" i="2"/>
  <c r="X2609" i="2" s="1"/>
  <c r="L2609" i="2"/>
  <c r="W2608" i="2"/>
  <c r="L2608" i="2"/>
  <c r="X2607" i="2"/>
  <c r="W2607" i="2"/>
  <c r="L2607" i="2"/>
  <c r="W2606" i="2"/>
  <c r="X2606" i="2" s="1"/>
  <c r="L2606" i="2"/>
  <c r="W2605" i="2"/>
  <c r="L2605" i="2"/>
  <c r="W2604" i="2"/>
  <c r="X2604" i="2" s="1"/>
  <c r="M2604" i="2"/>
  <c r="L2604" i="2"/>
  <c r="K2604" i="2"/>
  <c r="W2603" i="2"/>
  <c r="X2603" i="2" s="1"/>
  <c r="U2603" i="2"/>
  <c r="L2603" i="2"/>
  <c r="U2602" i="2"/>
  <c r="W2602" i="2" s="1"/>
  <c r="X2602" i="2" s="1"/>
  <c r="L2602" i="2"/>
  <c r="W2601" i="2"/>
  <c r="L2601" i="2"/>
  <c r="W2600" i="2"/>
  <c r="X2600" i="2" s="1"/>
  <c r="L2600" i="2"/>
  <c r="X2599" i="2"/>
  <c r="W2599" i="2"/>
  <c r="L2599" i="2"/>
  <c r="X2598" i="2"/>
  <c r="W2598" i="2"/>
  <c r="L2598" i="2"/>
  <c r="W2597" i="2"/>
  <c r="X2597" i="2" s="1"/>
  <c r="L2597" i="2"/>
  <c r="R2596" i="2"/>
  <c r="W2596" i="2" s="1"/>
  <c r="L2596" i="2"/>
  <c r="R2595" i="2"/>
  <c r="W2595" i="2" s="1"/>
  <c r="X2595" i="2" s="1"/>
  <c r="L2595" i="2"/>
  <c r="W2594" i="2"/>
  <c r="L2594" i="2"/>
  <c r="X2593" i="2"/>
  <c r="W2593" i="2"/>
  <c r="L2593" i="2"/>
  <c r="W2592" i="2"/>
  <c r="X2592" i="2" s="1"/>
  <c r="L2592" i="2"/>
  <c r="W2591" i="2"/>
  <c r="L2591" i="2"/>
  <c r="W2590" i="2"/>
  <c r="X2590" i="2" s="1"/>
  <c r="L2590" i="2"/>
  <c r="X2589" i="2"/>
  <c r="W2589" i="2"/>
  <c r="L2589" i="2"/>
  <c r="W2588" i="2"/>
  <c r="X2588" i="2" s="1"/>
  <c r="L2588" i="2"/>
  <c r="W2587" i="2"/>
  <c r="X2587" i="2" s="1"/>
  <c r="L2587" i="2"/>
  <c r="W2586" i="2"/>
  <c r="L2586" i="2"/>
  <c r="X2585" i="2"/>
  <c r="W2585" i="2"/>
  <c r="L2585" i="2"/>
  <c r="X2584" i="2"/>
  <c r="W2584" i="2"/>
  <c r="R2584" i="2"/>
  <c r="L2584" i="2"/>
  <c r="X2583" i="2"/>
  <c r="W2583" i="2"/>
  <c r="R2583" i="2"/>
  <c r="L2583" i="2"/>
  <c r="X2582" i="2"/>
  <c r="W2582" i="2"/>
  <c r="R2582" i="2"/>
  <c r="L2582" i="2"/>
  <c r="X2581" i="2"/>
  <c r="W2581" i="2"/>
  <c r="R2581" i="2"/>
  <c r="L2581" i="2"/>
  <c r="X2580" i="2"/>
  <c r="W2580" i="2"/>
  <c r="R2580" i="2"/>
  <c r="L2580" i="2"/>
  <c r="X2579" i="2"/>
  <c r="W2579" i="2"/>
  <c r="R2579" i="2"/>
  <c r="L2579" i="2"/>
  <c r="X2578" i="2"/>
  <c r="W2578" i="2"/>
  <c r="R2578" i="2"/>
  <c r="L2578" i="2"/>
  <c r="X2577" i="2"/>
  <c r="W2577" i="2"/>
  <c r="R2577" i="2"/>
  <c r="L2577" i="2"/>
  <c r="X2576" i="2"/>
  <c r="W2576" i="2"/>
  <c r="R2576" i="2"/>
  <c r="L2576" i="2"/>
  <c r="X2575" i="2"/>
  <c r="W2575" i="2"/>
  <c r="R2575" i="2"/>
  <c r="L2575" i="2"/>
  <c r="X2574" i="2"/>
  <c r="W2574" i="2"/>
  <c r="R2574" i="2"/>
  <c r="L2574" i="2"/>
  <c r="X2573" i="2"/>
  <c r="W2573" i="2"/>
  <c r="R2573" i="2"/>
  <c r="L2573" i="2"/>
  <c r="X2572" i="2"/>
  <c r="W2572" i="2"/>
  <c r="R2572" i="2"/>
  <c r="L2572" i="2"/>
  <c r="X2571" i="2"/>
  <c r="W2571" i="2"/>
  <c r="R2571" i="2"/>
  <c r="L2571" i="2"/>
  <c r="X2570" i="2"/>
  <c r="W2570" i="2"/>
  <c r="R2570" i="2"/>
  <c r="L2570" i="2"/>
  <c r="X2569" i="2"/>
  <c r="W2569" i="2"/>
  <c r="L2569" i="2"/>
  <c r="W2568" i="2"/>
  <c r="L2568" i="2"/>
  <c r="W2567" i="2"/>
  <c r="X2567" i="2" s="1"/>
  <c r="L2567" i="2"/>
  <c r="X2566" i="2"/>
  <c r="W2566" i="2"/>
  <c r="L2566" i="2"/>
  <c r="W2565" i="2"/>
  <c r="X2565" i="2" s="1"/>
  <c r="L2565" i="2"/>
  <c r="W2564" i="2"/>
  <c r="X2564" i="2" s="1"/>
  <c r="L2564" i="2"/>
  <c r="W2563" i="2"/>
  <c r="L2563" i="2"/>
  <c r="X2562" i="2"/>
  <c r="W2562" i="2"/>
  <c r="L2562" i="2"/>
  <c r="W2561" i="2"/>
  <c r="X2561" i="2" s="1"/>
  <c r="R2561" i="2"/>
  <c r="L2561" i="2"/>
  <c r="W2560" i="2"/>
  <c r="X2560" i="2" s="1"/>
  <c r="R2560" i="2"/>
  <c r="L2560" i="2"/>
  <c r="W2559" i="2"/>
  <c r="X2559" i="2" s="1"/>
  <c r="R2559" i="2"/>
  <c r="L2559" i="2"/>
  <c r="W2558" i="2"/>
  <c r="X2558" i="2" s="1"/>
  <c r="L2558" i="2"/>
  <c r="W2557" i="2"/>
  <c r="L2557" i="2"/>
  <c r="W2556" i="2"/>
  <c r="X2556" i="2" s="1"/>
  <c r="L2556" i="2"/>
  <c r="X2555" i="2"/>
  <c r="W2555" i="2"/>
  <c r="L2555" i="2"/>
  <c r="W2554" i="2"/>
  <c r="X2554" i="2" s="1"/>
  <c r="L2554" i="2"/>
  <c r="W2553" i="2"/>
  <c r="X2553" i="2" s="1"/>
  <c r="L2553" i="2"/>
  <c r="W2552" i="2"/>
  <c r="L2552" i="2"/>
  <c r="X2551" i="2"/>
  <c r="W2551" i="2"/>
  <c r="L2551" i="2"/>
  <c r="W2550" i="2"/>
  <c r="X2550" i="2" s="1"/>
  <c r="L2550" i="2"/>
  <c r="W2549" i="2"/>
  <c r="X2549" i="2" s="1"/>
  <c r="M2549" i="2"/>
  <c r="L2549" i="2"/>
  <c r="W2548" i="2"/>
  <c r="L2548" i="2"/>
  <c r="R2547" i="2"/>
  <c r="W2547" i="2" s="1"/>
  <c r="L2547" i="2"/>
  <c r="R2546" i="2"/>
  <c r="W2546" i="2" s="1"/>
  <c r="L2546" i="2"/>
  <c r="R2545" i="2"/>
  <c r="W2545" i="2" s="1"/>
  <c r="L2545" i="2"/>
  <c r="W2544" i="2"/>
  <c r="L2544" i="2"/>
  <c r="X2543" i="2"/>
  <c r="W2543" i="2"/>
  <c r="L2543" i="2"/>
  <c r="W2542" i="2"/>
  <c r="X2542" i="2" s="1"/>
  <c r="L2542" i="2"/>
  <c r="W2541" i="2"/>
  <c r="L2541" i="2"/>
  <c r="W2540" i="2"/>
  <c r="L2540" i="2"/>
  <c r="X2539" i="2"/>
  <c r="W2539" i="2"/>
  <c r="L2539" i="2"/>
  <c r="X2538" i="2"/>
  <c r="W2538" i="2"/>
  <c r="L2538" i="2"/>
  <c r="W2537" i="2"/>
  <c r="L2537" i="2"/>
  <c r="W2536" i="2"/>
  <c r="L2536" i="2"/>
  <c r="X2535" i="2"/>
  <c r="W2535" i="2"/>
  <c r="L2535" i="2"/>
  <c r="W2534" i="2"/>
  <c r="X2534" i="2" s="1"/>
  <c r="L2534" i="2"/>
  <c r="W2533" i="2"/>
  <c r="L2533" i="2"/>
  <c r="W2532" i="2"/>
  <c r="X2532" i="2" s="1"/>
  <c r="L2532" i="2"/>
  <c r="X2531" i="2"/>
  <c r="W2531" i="2"/>
  <c r="L2531" i="2"/>
  <c r="X2530" i="2"/>
  <c r="W2530" i="2"/>
  <c r="L2530" i="2"/>
  <c r="W2529" i="2"/>
  <c r="X2529" i="2" s="1"/>
  <c r="L2529" i="2"/>
  <c r="W2528" i="2"/>
  <c r="X2528" i="2" s="1"/>
  <c r="L2528" i="2"/>
  <c r="X2527" i="2"/>
  <c r="W2527" i="2"/>
  <c r="L2527" i="2"/>
  <c r="W2526" i="2"/>
  <c r="X2526" i="2" s="1"/>
  <c r="U2526" i="2"/>
  <c r="R2526" i="2"/>
  <c r="L2526" i="2"/>
  <c r="X2525" i="2"/>
  <c r="W2525" i="2"/>
  <c r="L2525" i="2"/>
  <c r="W2524" i="2"/>
  <c r="X2524" i="2" s="1"/>
  <c r="L2524" i="2"/>
  <c r="W2523" i="2"/>
  <c r="X2523" i="2" s="1"/>
  <c r="L2523" i="2"/>
  <c r="W2522" i="2"/>
  <c r="L2522" i="2"/>
  <c r="X2521" i="2"/>
  <c r="W2521" i="2"/>
  <c r="L2521" i="2"/>
  <c r="X2520" i="2"/>
  <c r="W2520" i="2"/>
  <c r="L2520" i="2"/>
  <c r="W2519" i="2"/>
  <c r="L2519" i="2"/>
  <c r="W2518" i="2"/>
  <c r="X2518" i="2" s="1"/>
  <c r="L2518" i="2"/>
  <c r="X2517" i="2"/>
  <c r="W2517" i="2"/>
  <c r="L2517" i="2"/>
  <c r="W2516" i="2"/>
  <c r="X2516" i="2" s="1"/>
  <c r="L2516" i="2"/>
  <c r="W2515" i="2"/>
  <c r="X2515" i="2" s="1"/>
  <c r="L2515" i="2"/>
  <c r="W2514" i="2"/>
  <c r="L2514" i="2"/>
  <c r="X2513" i="2"/>
  <c r="W2513" i="2"/>
  <c r="L2513" i="2"/>
  <c r="X2512" i="2"/>
  <c r="W2512" i="2"/>
  <c r="L2512" i="2"/>
  <c r="W2511" i="2"/>
  <c r="L2511" i="2"/>
  <c r="W2510" i="2"/>
  <c r="X2510" i="2" s="1"/>
  <c r="L2510" i="2"/>
  <c r="X2509" i="2"/>
  <c r="W2509" i="2"/>
  <c r="L2509" i="2"/>
  <c r="W2508" i="2"/>
  <c r="X2508" i="2" s="1"/>
  <c r="R2508" i="2"/>
  <c r="L2508" i="2"/>
  <c r="W2507" i="2"/>
  <c r="X2507" i="2" s="1"/>
  <c r="R2507" i="2"/>
  <c r="L2507" i="2"/>
  <c r="W2506" i="2"/>
  <c r="X2506" i="2" s="1"/>
  <c r="L2506" i="2"/>
  <c r="W2505" i="2"/>
  <c r="X2505" i="2" s="1"/>
  <c r="L2505" i="2"/>
  <c r="W2504" i="2"/>
  <c r="X2504" i="2" s="1"/>
  <c r="M2504" i="2"/>
  <c r="L2504" i="2"/>
  <c r="R2503" i="2"/>
  <c r="W2503" i="2" s="1"/>
  <c r="L2503" i="2"/>
  <c r="W2502" i="2"/>
  <c r="X2502" i="2" s="1"/>
  <c r="L2502" i="2"/>
  <c r="X2501" i="2"/>
  <c r="W2501" i="2"/>
  <c r="L2501" i="2"/>
  <c r="X2500" i="2"/>
  <c r="W2500" i="2"/>
  <c r="L2500" i="2"/>
  <c r="W2499" i="2"/>
  <c r="X2499" i="2" s="1"/>
  <c r="L2499" i="2"/>
  <c r="W2498" i="2"/>
  <c r="L2498" i="2"/>
  <c r="X2497" i="2"/>
  <c r="W2497" i="2"/>
  <c r="L2497" i="2"/>
  <c r="W2496" i="2"/>
  <c r="X2496" i="2" s="1"/>
  <c r="L2496" i="2"/>
  <c r="W2495" i="2"/>
  <c r="L2495" i="2"/>
  <c r="W2494" i="2"/>
  <c r="X2494" i="2" s="1"/>
  <c r="L2494" i="2"/>
  <c r="X2493" i="2"/>
  <c r="W2493" i="2"/>
  <c r="L2493" i="2"/>
  <c r="W2492" i="2"/>
  <c r="X2492" i="2" s="1"/>
  <c r="L2492" i="2"/>
  <c r="W2491" i="2"/>
  <c r="X2491" i="2" s="1"/>
  <c r="L2491" i="2"/>
  <c r="W2490" i="2"/>
  <c r="L2490" i="2"/>
  <c r="X2489" i="2"/>
  <c r="W2489" i="2"/>
  <c r="L2489" i="2"/>
  <c r="W2488" i="2"/>
  <c r="X2488" i="2" s="1"/>
  <c r="L2488" i="2"/>
  <c r="W2487" i="2"/>
  <c r="L2487" i="2"/>
  <c r="W2486" i="2"/>
  <c r="X2486" i="2" s="1"/>
  <c r="L2486" i="2"/>
  <c r="X2485" i="2"/>
  <c r="W2485" i="2"/>
  <c r="L2485" i="2"/>
  <c r="W2484" i="2"/>
  <c r="X2484" i="2" s="1"/>
  <c r="L2484" i="2"/>
  <c r="W2483" i="2"/>
  <c r="X2483" i="2" s="1"/>
  <c r="M2483" i="2"/>
  <c r="L2483" i="2"/>
  <c r="W2482" i="2"/>
  <c r="X2482" i="2" s="1"/>
  <c r="L2482" i="2"/>
  <c r="W2481" i="2"/>
  <c r="L2481" i="2"/>
  <c r="X2480" i="2"/>
  <c r="W2480" i="2"/>
  <c r="L2480" i="2"/>
  <c r="W2479" i="2"/>
  <c r="X2479" i="2" s="1"/>
  <c r="L2479" i="2"/>
  <c r="W2478" i="2"/>
  <c r="L2478" i="2"/>
  <c r="W2477" i="2"/>
  <c r="L2477" i="2"/>
  <c r="X2476" i="2"/>
  <c r="W2476" i="2"/>
  <c r="L2476" i="2"/>
  <c r="X2475" i="2"/>
  <c r="W2475" i="2"/>
  <c r="L2475" i="2"/>
  <c r="W2474" i="2"/>
  <c r="X2474" i="2" s="1"/>
  <c r="M2474" i="2"/>
  <c r="L2474" i="2"/>
  <c r="W2473" i="2"/>
  <c r="L2473" i="2"/>
  <c r="W2472" i="2"/>
  <c r="X2472" i="2" s="1"/>
  <c r="L2472" i="2"/>
  <c r="X2471" i="2"/>
  <c r="W2471" i="2"/>
  <c r="L2471" i="2"/>
  <c r="W2470" i="2"/>
  <c r="X2470" i="2" s="1"/>
  <c r="L2470" i="2"/>
  <c r="W2469" i="2"/>
  <c r="X2469" i="2" s="1"/>
  <c r="M2469" i="2"/>
  <c r="L2469" i="2"/>
  <c r="W2468" i="2"/>
  <c r="X2468" i="2" s="1"/>
  <c r="M2468" i="2"/>
  <c r="L2468" i="2"/>
  <c r="R2467" i="2"/>
  <c r="W2467" i="2" s="1"/>
  <c r="X2467" i="2" s="1"/>
  <c r="L2467" i="2"/>
  <c r="R2466" i="2"/>
  <c r="W2466" i="2" s="1"/>
  <c r="X2466" i="2" s="1"/>
  <c r="L2466" i="2"/>
  <c r="W2465" i="2"/>
  <c r="X2465" i="2" s="1"/>
  <c r="L2465" i="2"/>
  <c r="W2464" i="2"/>
  <c r="L2464" i="2"/>
  <c r="X2464" i="2" s="1"/>
  <c r="X2463" i="2"/>
  <c r="W2463" i="2"/>
  <c r="L2463" i="2"/>
  <c r="X2462" i="2"/>
  <c r="W2462" i="2"/>
  <c r="L2462" i="2"/>
  <c r="W2461" i="2"/>
  <c r="L2461" i="2"/>
  <c r="W2460" i="2"/>
  <c r="L2460" i="2"/>
  <c r="X2460" i="2" s="1"/>
  <c r="X2459" i="2"/>
  <c r="W2459" i="2"/>
  <c r="L2459" i="2"/>
  <c r="W2458" i="2"/>
  <c r="X2458" i="2" s="1"/>
  <c r="L2458" i="2"/>
  <c r="W2457" i="2"/>
  <c r="X2457" i="2" s="1"/>
  <c r="L2457" i="2"/>
  <c r="W2456" i="2"/>
  <c r="L2456" i="2"/>
  <c r="X2456" i="2" s="1"/>
  <c r="X2455" i="2"/>
  <c r="W2455" i="2"/>
  <c r="L2455" i="2"/>
  <c r="W2454" i="2"/>
  <c r="X2454" i="2" s="1"/>
  <c r="L2454" i="2"/>
  <c r="W2453" i="2"/>
  <c r="L2453" i="2"/>
  <c r="W2452" i="2"/>
  <c r="L2452" i="2"/>
  <c r="X2452" i="2" s="1"/>
  <c r="X2451" i="2"/>
  <c r="W2451" i="2"/>
  <c r="L2451" i="2"/>
  <c r="W2450" i="2"/>
  <c r="X2450" i="2" s="1"/>
  <c r="L2450" i="2"/>
  <c r="W2449" i="2"/>
  <c r="X2449" i="2" s="1"/>
  <c r="L2449" i="2"/>
  <c r="W2448" i="2"/>
  <c r="L2448" i="2"/>
  <c r="X2448" i="2" s="1"/>
  <c r="X2447" i="2"/>
  <c r="W2447" i="2"/>
  <c r="L2447" i="2"/>
  <c r="W2446" i="2"/>
  <c r="X2446" i="2" s="1"/>
  <c r="L2446" i="2"/>
  <c r="W2445" i="2"/>
  <c r="L2445" i="2"/>
  <c r="W2444" i="2"/>
  <c r="L2444" i="2"/>
  <c r="X2444" i="2" s="1"/>
  <c r="X2443" i="2"/>
  <c r="W2443" i="2"/>
  <c r="L2443" i="2"/>
  <c r="W2442" i="2"/>
  <c r="X2442" i="2" s="1"/>
  <c r="L2442" i="2"/>
  <c r="W2441" i="2"/>
  <c r="X2441" i="2" s="1"/>
  <c r="L2441" i="2"/>
  <c r="K2441" i="2"/>
  <c r="W2440" i="2"/>
  <c r="L2440" i="2"/>
  <c r="W2439" i="2"/>
  <c r="L2439" i="2"/>
  <c r="X2439" i="2" s="1"/>
  <c r="X2438" i="2"/>
  <c r="W2438" i="2"/>
  <c r="L2438" i="2"/>
  <c r="W2437" i="2"/>
  <c r="X2437" i="2" s="1"/>
  <c r="L2437" i="2"/>
  <c r="W2436" i="2"/>
  <c r="L2436" i="2"/>
  <c r="W2435" i="2"/>
  <c r="L2435" i="2"/>
  <c r="X2435" i="2" s="1"/>
  <c r="X2434" i="2"/>
  <c r="W2434" i="2"/>
  <c r="L2434" i="2"/>
  <c r="X2433" i="2"/>
  <c r="W2433" i="2"/>
  <c r="L2433" i="2"/>
  <c r="W2432" i="2"/>
  <c r="X2432" i="2" s="1"/>
  <c r="L2432" i="2"/>
  <c r="W2431" i="2"/>
  <c r="L2431" i="2"/>
  <c r="X2431" i="2" s="1"/>
  <c r="X2430" i="2"/>
  <c r="W2430" i="2"/>
  <c r="L2430" i="2"/>
  <c r="W2429" i="2"/>
  <c r="X2429" i="2" s="1"/>
  <c r="L2429" i="2"/>
  <c r="W2428" i="2"/>
  <c r="L2428" i="2"/>
  <c r="W2427" i="2"/>
  <c r="L2427" i="2"/>
  <c r="X2427" i="2" s="1"/>
  <c r="X2426" i="2"/>
  <c r="W2426" i="2"/>
  <c r="L2426" i="2"/>
  <c r="X2425" i="2"/>
  <c r="W2425" i="2"/>
  <c r="L2425" i="2"/>
  <c r="W2424" i="2"/>
  <c r="L2424" i="2"/>
  <c r="W2423" i="2"/>
  <c r="L2423" i="2"/>
  <c r="X2423" i="2" s="1"/>
  <c r="X2422" i="2"/>
  <c r="W2422" i="2"/>
  <c r="L2422" i="2"/>
  <c r="W2421" i="2"/>
  <c r="X2421" i="2" s="1"/>
  <c r="L2421" i="2"/>
  <c r="W2420" i="2"/>
  <c r="L2420" i="2"/>
  <c r="W2419" i="2"/>
  <c r="L2419" i="2"/>
  <c r="X2419" i="2" s="1"/>
  <c r="X2418" i="2"/>
  <c r="W2418" i="2"/>
  <c r="L2418" i="2"/>
  <c r="X2417" i="2"/>
  <c r="W2417" i="2"/>
  <c r="L2417" i="2"/>
  <c r="W2416" i="2"/>
  <c r="L2416" i="2"/>
  <c r="W2415" i="2"/>
  <c r="L2415" i="2"/>
  <c r="X2415" i="2" s="1"/>
  <c r="X2414" i="2"/>
  <c r="W2414" i="2"/>
  <c r="L2414" i="2"/>
  <c r="W2413" i="2"/>
  <c r="X2413" i="2" s="1"/>
  <c r="L2413" i="2"/>
  <c r="W2412" i="2"/>
  <c r="X2412" i="2" s="1"/>
  <c r="L2412" i="2"/>
  <c r="W2411" i="2"/>
  <c r="L2411" i="2"/>
  <c r="X2411" i="2" s="1"/>
  <c r="X2410" i="2"/>
  <c r="W2410" i="2"/>
  <c r="L2410" i="2"/>
  <c r="X2409" i="2"/>
  <c r="W2409" i="2"/>
  <c r="L2409" i="2"/>
  <c r="W2408" i="2"/>
  <c r="L2408" i="2"/>
  <c r="W2407" i="2"/>
  <c r="L2407" i="2"/>
  <c r="X2407" i="2" s="1"/>
  <c r="X2406" i="2"/>
  <c r="W2406" i="2"/>
  <c r="L2406" i="2"/>
  <c r="W2405" i="2"/>
  <c r="X2405" i="2" s="1"/>
  <c r="L2405" i="2"/>
  <c r="W2404" i="2"/>
  <c r="X2404" i="2" s="1"/>
  <c r="L2404" i="2"/>
  <c r="W2403" i="2"/>
  <c r="L2403" i="2"/>
  <c r="X2403" i="2" s="1"/>
  <c r="X2402" i="2"/>
  <c r="W2402" i="2"/>
  <c r="L2402" i="2"/>
  <c r="X2401" i="2"/>
  <c r="W2401" i="2"/>
  <c r="L2401" i="2"/>
  <c r="W2400" i="2"/>
  <c r="X2400" i="2" s="1"/>
  <c r="L2400" i="2"/>
  <c r="W2399" i="2"/>
  <c r="L2399" i="2"/>
  <c r="X2399" i="2" s="1"/>
  <c r="X2398" i="2"/>
  <c r="W2398" i="2"/>
  <c r="L2398" i="2"/>
  <c r="W2397" i="2"/>
  <c r="X2397" i="2" s="1"/>
  <c r="L2397" i="2"/>
  <c r="W2396" i="2"/>
  <c r="X2396" i="2" s="1"/>
  <c r="L2396" i="2"/>
  <c r="W2395" i="2"/>
  <c r="L2395" i="2"/>
  <c r="X2395" i="2" s="1"/>
  <c r="X2394" i="2"/>
  <c r="W2394" i="2"/>
  <c r="L2394" i="2"/>
  <c r="X2393" i="2"/>
  <c r="W2393" i="2"/>
  <c r="L2393" i="2"/>
  <c r="W2392" i="2"/>
  <c r="L2392" i="2"/>
  <c r="W2388" i="2"/>
  <c r="L2388" i="2"/>
  <c r="X2388" i="2" s="1"/>
  <c r="X2387" i="2"/>
  <c r="W2387" i="2"/>
  <c r="L2387" i="2"/>
  <c r="X2386" i="2"/>
  <c r="W2386" i="2"/>
  <c r="L2386" i="2"/>
  <c r="W2385" i="2"/>
  <c r="L2385" i="2"/>
  <c r="W2384" i="2"/>
  <c r="L2384" i="2"/>
  <c r="X2384" i="2" s="1"/>
  <c r="X2383" i="2"/>
  <c r="W2383" i="2"/>
  <c r="L2383" i="2"/>
  <c r="W2382" i="2"/>
  <c r="X2382" i="2" s="1"/>
  <c r="L2382" i="2"/>
  <c r="W2381" i="2"/>
  <c r="X2381" i="2" s="1"/>
  <c r="L2381" i="2"/>
  <c r="K2381" i="2"/>
  <c r="W2380" i="2"/>
  <c r="X2380" i="2" s="1"/>
  <c r="L2380" i="2"/>
  <c r="W2379" i="2"/>
  <c r="L2379" i="2"/>
  <c r="X2379" i="2" s="1"/>
  <c r="X2378" i="2"/>
  <c r="W2378" i="2"/>
  <c r="L2378" i="2"/>
  <c r="X2377" i="2"/>
  <c r="W2377" i="2"/>
  <c r="L2377" i="2"/>
  <c r="W2376" i="2"/>
  <c r="X2376" i="2" s="1"/>
  <c r="M2376" i="2"/>
  <c r="L2376" i="2"/>
  <c r="W2375" i="2"/>
  <c r="X2375" i="2" s="1"/>
  <c r="M2375" i="2"/>
  <c r="L2375" i="2"/>
  <c r="K2375" i="2"/>
  <c r="W2374" i="2"/>
  <c r="M2374" i="2"/>
  <c r="K2374" i="2"/>
  <c r="L2374" i="2" s="1"/>
  <c r="X2374" i="2" s="1"/>
  <c r="W2373" i="2"/>
  <c r="M2373" i="2"/>
  <c r="L2373" i="2"/>
  <c r="X2373" i="2" s="1"/>
  <c r="K2373" i="2"/>
  <c r="W2372" i="2"/>
  <c r="M2372" i="2"/>
  <c r="L2372" i="2"/>
  <c r="X2372" i="2" s="1"/>
  <c r="K2372" i="2"/>
  <c r="W2371" i="2"/>
  <c r="L2371" i="2"/>
  <c r="W2370" i="2"/>
  <c r="L2370" i="2"/>
  <c r="X2370" i="2" s="1"/>
  <c r="W2369" i="2"/>
  <c r="M2369" i="2"/>
  <c r="L2369" i="2"/>
  <c r="X2369" i="2" s="1"/>
  <c r="K2369" i="2"/>
  <c r="W2368" i="2"/>
  <c r="L2368" i="2"/>
  <c r="X2368" i="2" s="1"/>
  <c r="X2367" i="2"/>
  <c r="W2367" i="2"/>
  <c r="L2367" i="2"/>
  <c r="X2366" i="2"/>
  <c r="W2366" i="2"/>
  <c r="L2366" i="2"/>
  <c r="W2365" i="2"/>
  <c r="L2365" i="2"/>
  <c r="W2364" i="2"/>
  <c r="L2364" i="2"/>
  <c r="X2364" i="2" s="1"/>
  <c r="X2363" i="2"/>
  <c r="W2363" i="2"/>
  <c r="L2363" i="2"/>
  <c r="W2362" i="2"/>
  <c r="X2362" i="2" s="1"/>
  <c r="L2362" i="2"/>
  <c r="W2361" i="2"/>
  <c r="X2361" i="2" s="1"/>
  <c r="L2361" i="2"/>
  <c r="W2360" i="2"/>
  <c r="L2360" i="2"/>
  <c r="X2360" i="2" s="1"/>
  <c r="W2359" i="2"/>
  <c r="M2359" i="2"/>
  <c r="L2359" i="2"/>
  <c r="X2359" i="2" s="1"/>
  <c r="X2358" i="2"/>
  <c r="W2358" i="2"/>
  <c r="L2358" i="2"/>
  <c r="X2357" i="2"/>
  <c r="W2357" i="2"/>
  <c r="R2357" i="2"/>
  <c r="L2357" i="2"/>
  <c r="X2356" i="2"/>
  <c r="W2356" i="2"/>
  <c r="R2356" i="2"/>
  <c r="L2356" i="2"/>
  <c r="X2355" i="2"/>
  <c r="W2355" i="2"/>
  <c r="R2355" i="2"/>
  <c r="L2355" i="2"/>
  <c r="X2354" i="2"/>
  <c r="W2354" i="2"/>
  <c r="R2354" i="2"/>
  <c r="L2354" i="2"/>
  <c r="X2353" i="2"/>
  <c r="W2353" i="2"/>
  <c r="R2353" i="2"/>
  <c r="L2353" i="2"/>
  <c r="X2352" i="2"/>
  <c r="W2352" i="2"/>
  <c r="R2352" i="2"/>
  <c r="L2352" i="2"/>
  <c r="W2351" i="2"/>
  <c r="R2351" i="2"/>
  <c r="M2351" i="2"/>
  <c r="L2351" i="2"/>
  <c r="X2351" i="2" s="1"/>
  <c r="W2350" i="2"/>
  <c r="R2350" i="2"/>
  <c r="L2350" i="2"/>
  <c r="X2350" i="2" s="1"/>
  <c r="W2349" i="2"/>
  <c r="R2349" i="2"/>
  <c r="L2349" i="2"/>
  <c r="X2349" i="2" s="1"/>
  <c r="W2348" i="2"/>
  <c r="R2348" i="2"/>
  <c r="L2348" i="2"/>
  <c r="X2348" i="2" s="1"/>
  <c r="W2347" i="2"/>
  <c r="R2347" i="2"/>
  <c r="L2347" i="2"/>
  <c r="X2347" i="2" s="1"/>
  <c r="W2346" i="2"/>
  <c r="R2346" i="2"/>
  <c r="L2346" i="2"/>
  <c r="X2346" i="2" s="1"/>
  <c r="W2345" i="2"/>
  <c r="R2345" i="2"/>
  <c r="L2345" i="2"/>
  <c r="X2345" i="2" s="1"/>
  <c r="W2344" i="2"/>
  <c r="R2344" i="2"/>
  <c r="L2344" i="2"/>
  <c r="X2344" i="2" s="1"/>
  <c r="W2343" i="2"/>
  <c r="R2343" i="2"/>
  <c r="L2343" i="2"/>
  <c r="X2343" i="2" s="1"/>
  <c r="W2342" i="2"/>
  <c r="R2342" i="2"/>
  <c r="L2342" i="2"/>
  <c r="X2342" i="2" s="1"/>
  <c r="W2341" i="2"/>
  <c r="R2341" i="2"/>
  <c r="L2341" i="2"/>
  <c r="X2341" i="2" s="1"/>
  <c r="W2340" i="2"/>
  <c r="R2340" i="2"/>
  <c r="L2340" i="2"/>
  <c r="X2340" i="2" s="1"/>
  <c r="W2339" i="2"/>
  <c r="R2339" i="2"/>
  <c r="L2339" i="2"/>
  <c r="X2339" i="2" s="1"/>
  <c r="W2338" i="2"/>
  <c r="R2338" i="2"/>
  <c r="L2338" i="2"/>
  <c r="X2338" i="2" s="1"/>
  <c r="W2337" i="2"/>
  <c r="R2337" i="2"/>
  <c r="L2337" i="2"/>
  <c r="X2337" i="2" s="1"/>
  <c r="W2336" i="2"/>
  <c r="R2336" i="2"/>
  <c r="L2336" i="2"/>
  <c r="X2336" i="2" s="1"/>
  <c r="W2335" i="2"/>
  <c r="R2335" i="2"/>
  <c r="L2335" i="2"/>
  <c r="X2335" i="2" s="1"/>
  <c r="W2334" i="2"/>
  <c r="R2334" i="2"/>
  <c r="L2334" i="2"/>
  <c r="X2334" i="2" s="1"/>
  <c r="W2333" i="2"/>
  <c r="O2333" i="2"/>
  <c r="L2333" i="2"/>
  <c r="X2333" i="2" s="1"/>
  <c r="X2332" i="2"/>
  <c r="W2332" i="2"/>
  <c r="L2332" i="2"/>
  <c r="X2331" i="2"/>
  <c r="W2331" i="2"/>
  <c r="L2331" i="2"/>
  <c r="W2330" i="2"/>
  <c r="L2330" i="2"/>
  <c r="W2329" i="2"/>
  <c r="L2329" i="2"/>
  <c r="X2329" i="2" s="1"/>
  <c r="X2328" i="2"/>
  <c r="W2328" i="2"/>
  <c r="L2328" i="2"/>
  <c r="X2327" i="2"/>
  <c r="W2327" i="2"/>
  <c r="L2327" i="2"/>
  <c r="W2326" i="2"/>
  <c r="L2326" i="2"/>
  <c r="X2325" i="2"/>
  <c r="W2325" i="2"/>
  <c r="L2325" i="2"/>
  <c r="X2324" i="2"/>
  <c r="W2324" i="2"/>
  <c r="L2324" i="2"/>
  <c r="W2323" i="2"/>
  <c r="L2323" i="2"/>
  <c r="W2322" i="2"/>
  <c r="X2322" i="2" s="1"/>
  <c r="L2322" i="2"/>
  <c r="X2321" i="2"/>
  <c r="W2321" i="2"/>
  <c r="L2321" i="2"/>
  <c r="W2320" i="2"/>
  <c r="X2320" i="2" s="1"/>
  <c r="L2320" i="2"/>
  <c r="W2319" i="2"/>
  <c r="L2319" i="2"/>
  <c r="X2319" i="2" s="1"/>
  <c r="W2318" i="2"/>
  <c r="X2318" i="2" s="1"/>
  <c r="L2318" i="2"/>
  <c r="W2317" i="2"/>
  <c r="L2317" i="2"/>
  <c r="X2317" i="2" s="1"/>
  <c r="K2317" i="2"/>
  <c r="W2316" i="2"/>
  <c r="L2316" i="2"/>
  <c r="X2316" i="2" s="1"/>
  <c r="X2315" i="2"/>
  <c r="W2315" i="2"/>
  <c r="L2315" i="2"/>
  <c r="X2314" i="2"/>
  <c r="W2314" i="2"/>
  <c r="M2314" i="2"/>
  <c r="L2314" i="2"/>
  <c r="X2313" i="2"/>
  <c r="W2313" i="2"/>
  <c r="L2313" i="2"/>
  <c r="W2312" i="2"/>
  <c r="L2312" i="2"/>
  <c r="W2311" i="2"/>
  <c r="L2311" i="2"/>
  <c r="X2311" i="2" s="1"/>
  <c r="X2310" i="2"/>
  <c r="W2310" i="2"/>
  <c r="O2310" i="2"/>
  <c r="L2310" i="2"/>
  <c r="X2309" i="2"/>
  <c r="W2309" i="2"/>
  <c r="L2309" i="2"/>
  <c r="W2308" i="2"/>
  <c r="X2308" i="2" s="1"/>
  <c r="L2308" i="2"/>
  <c r="U2307" i="2"/>
  <c r="W2307" i="2" s="1"/>
  <c r="L2307" i="2"/>
  <c r="W2306" i="2"/>
  <c r="X2306" i="2" s="1"/>
  <c r="L2306" i="2"/>
  <c r="R2305" i="2"/>
  <c r="W2305" i="2" s="1"/>
  <c r="X2305" i="2" s="1"/>
  <c r="L2305" i="2"/>
  <c r="R2304" i="2"/>
  <c r="W2304" i="2" s="1"/>
  <c r="X2304" i="2" s="1"/>
  <c r="L2304" i="2"/>
  <c r="W2303" i="2"/>
  <c r="L2303" i="2"/>
  <c r="X2303" i="2" s="1"/>
  <c r="X2302" i="2"/>
  <c r="W2302" i="2"/>
  <c r="R2302" i="2"/>
  <c r="L2302" i="2"/>
  <c r="X2301" i="2"/>
  <c r="W2301" i="2"/>
  <c r="R2301" i="2"/>
  <c r="L2301" i="2"/>
  <c r="X2300" i="2"/>
  <c r="W2300" i="2"/>
  <c r="R2300" i="2"/>
  <c r="L2300" i="2"/>
  <c r="X2299" i="2"/>
  <c r="W2299" i="2"/>
  <c r="R2299" i="2"/>
  <c r="L2299" i="2"/>
  <c r="X2298" i="2"/>
  <c r="W2298" i="2"/>
  <c r="L2298" i="2"/>
  <c r="W2297" i="2"/>
  <c r="X2297" i="2" s="1"/>
  <c r="M2297" i="2"/>
  <c r="K2297" i="2"/>
  <c r="L2297" i="2" s="1"/>
  <c r="W2296" i="2"/>
  <c r="R2296" i="2"/>
  <c r="M2296" i="2"/>
  <c r="K2296" i="2"/>
  <c r="L2296" i="2" s="1"/>
  <c r="W2295" i="2"/>
  <c r="R2295" i="2"/>
  <c r="L2295" i="2"/>
  <c r="W2294" i="2"/>
  <c r="X2294" i="2" s="1"/>
  <c r="R2294" i="2"/>
  <c r="L2294" i="2"/>
  <c r="R2293" i="2"/>
  <c r="W2293" i="2" s="1"/>
  <c r="X2293" i="2" s="1"/>
  <c r="L2293" i="2"/>
  <c r="W2292" i="2"/>
  <c r="M2292" i="2"/>
  <c r="L2292" i="2"/>
  <c r="K2292" i="2"/>
  <c r="R2291" i="2"/>
  <c r="W2291" i="2" s="1"/>
  <c r="X2291" i="2" s="1"/>
  <c r="L2291" i="2"/>
  <c r="R2290" i="2"/>
  <c r="W2290" i="2" s="1"/>
  <c r="X2290" i="2" s="1"/>
  <c r="L2290" i="2"/>
  <c r="W2289" i="2"/>
  <c r="X2289" i="2" s="1"/>
  <c r="R2289" i="2"/>
  <c r="L2289" i="2"/>
  <c r="R2288" i="2"/>
  <c r="W2288" i="2" s="1"/>
  <c r="X2288" i="2" s="1"/>
  <c r="L2288" i="2"/>
  <c r="R2287" i="2"/>
  <c r="W2287" i="2" s="1"/>
  <c r="X2287" i="2" s="1"/>
  <c r="M2287" i="2"/>
  <c r="K2287" i="2"/>
  <c r="L2287" i="2" s="1"/>
  <c r="X2286" i="2"/>
  <c r="R2286" i="2"/>
  <c r="W2286" i="2" s="1"/>
  <c r="L2286" i="2"/>
  <c r="R2285" i="2"/>
  <c r="W2285" i="2" s="1"/>
  <c r="X2285" i="2" s="1"/>
  <c r="L2285" i="2"/>
  <c r="R2284" i="2"/>
  <c r="W2284" i="2" s="1"/>
  <c r="X2284" i="2" s="1"/>
  <c r="L2284" i="2"/>
  <c r="W2283" i="2"/>
  <c r="L2283" i="2"/>
  <c r="X2283" i="2" s="1"/>
  <c r="X2282" i="2"/>
  <c r="W2282" i="2"/>
  <c r="O2282" i="2"/>
  <c r="L2282" i="2"/>
  <c r="X2281" i="2"/>
  <c r="W2281" i="2"/>
  <c r="R2281" i="2"/>
  <c r="L2281" i="2"/>
  <c r="X2280" i="2"/>
  <c r="W2280" i="2"/>
  <c r="R2280" i="2"/>
  <c r="L2280" i="2"/>
  <c r="W2279" i="2"/>
  <c r="M2279" i="2"/>
  <c r="K2279" i="2"/>
  <c r="L2279" i="2" s="1"/>
  <c r="X2279" i="2" s="1"/>
  <c r="W2278" i="2"/>
  <c r="L2278" i="2"/>
  <c r="X2278" i="2" s="1"/>
  <c r="X2277" i="2"/>
  <c r="W2277" i="2"/>
  <c r="L2277" i="2"/>
  <c r="W2276" i="2"/>
  <c r="X2276" i="2" s="1"/>
  <c r="L2276" i="2"/>
  <c r="W2275" i="2"/>
  <c r="L2275" i="2"/>
  <c r="X2274" i="2"/>
  <c r="R2274" i="2"/>
  <c r="W2274" i="2" s="1"/>
  <c r="L2274" i="2"/>
  <c r="R2273" i="2"/>
  <c r="W2273" i="2" s="1"/>
  <c r="X2273" i="2" s="1"/>
  <c r="L2273" i="2"/>
  <c r="R2272" i="2"/>
  <c r="W2272" i="2" s="1"/>
  <c r="L2272" i="2"/>
  <c r="W2271" i="2"/>
  <c r="L2271" i="2"/>
  <c r="X2271" i="2" s="1"/>
  <c r="W2270" i="2"/>
  <c r="M2270" i="2"/>
  <c r="L2270" i="2"/>
  <c r="X2270" i="2" s="1"/>
  <c r="X2269" i="2"/>
  <c r="W2269" i="2"/>
  <c r="L2269" i="2"/>
  <c r="X2268" i="2"/>
  <c r="W2268" i="2"/>
  <c r="L2268" i="2"/>
  <c r="W2267" i="2"/>
  <c r="L2267" i="2"/>
  <c r="X2266" i="2"/>
  <c r="W2266" i="2"/>
  <c r="L2266" i="2"/>
  <c r="X2265" i="2"/>
  <c r="W2265" i="2"/>
  <c r="L2265" i="2"/>
  <c r="W2264" i="2"/>
  <c r="L2264" i="2"/>
  <c r="W2263" i="2"/>
  <c r="X2263" i="2" s="1"/>
  <c r="L2263" i="2"/>
  <c r="X2262" i="2"/>
  <c r="W2262" i="2"/>
  <c r="L2262" i="2"/>
  <c r="W2261" i="2"/>
  <c r="X2261" i="2" s="1"/>
  <c r="L2261" i="2"/>
  <c r="W2260" i="2"/>
  <c r="L2260" i="2"/>
  <c r="X2260" i="2" s="1"/>
  <c r="W2259" i="2"/>
  <c r="X2259" i="2" s="1"/>
  <c r="L2259" i="2"/>
  <c r="W2258" i="2"/>
  <c r="L2258" i="2"/>
  <c r="X2258" i="2" s="1"/>
  <c r="X2257" i="2"/>
  <c r="W2257" i="2"/>
  <c r="L2257" i="2"/>
  <c r="X2256" i="2"/>
  <c r="W2256" i="2"/>
  <c r="L2256" i="2"/>
  <c r="W2255" i="2"/>
  <c r="X2255" i="2" s="1"/>
  <c r="L2255" i="2"/>
  <c r="W2254" i="2"/>
  <c r="L2254" i="2"/>
  <c r="X2254" i="2" s="1"/>
  <c r="X2253" i="2"/>
  <c r="W2253" i="2"/>
  <c r="L2253" i="2"/>
  <c r="W2252" i="2"/>
  <c r="X2252" i="2" s="1"/>
  <c r="L2252" i="2"/>
  <c r="W2251" i="2"/>
  <c r="L2251" i="2"/>
  <c r="X2250" i="2"/>
  <c r="W2250" i="2"/>
  <c r="L2250" i="2"/>
  <c r="W2249" i="2"/>
  <c r="X2249" i="2" s="1"/>
  <c r="L2249" i="2"/>
  <c r="W2248" i="2"/>
  <c r="L2248" i="2"/>
  <c r="W2247" i="2"/>
  <c r="M2247" i="2"/>
  <c r="L2247" i="2"/>
  <c r="W2246" i="2"/>
  <c r="X2246" i="2" s="1"/>
  <c r="L2246" i="2"/>
  <c r="O2245" i="2"/>
  <c r="W2245" i="2" s="1"/>
  <c r="L2245" i="2"/>
  <c r="W2244" i="2"/>
  <c r="L2244" i="2"/>
  <c r="X2244" i="2" s="1"/>
  <c r="W2243" i="2"/>
  <c r="R2243" i="2"/>
  <c r="L2243" i="2"/>
  <c r="X2243" i="2" s="1"/>
  <c r="W2242" i="2"/>
  <c r="R2242" i="2"/>
  <c r="L2242" i="2"/>
  <c r="X2242" i="2" s="1"/>
  <c r="X2241" i="2"/>
  <c r="W2241" i="2"/>
  <c r="L2241" i="2"/>
  <c r="X2240" i="2"/>
  <c r="W2240" i="2"/>
  <c r="M2240" i="2"/>
  <c r="L2240" i="2"/>
  <c r="X2239" i="2"/>
  <c r="W2239" i="2"/>
  <c r="M2239" i="2"/>
  <c r="L2239" i="2"/>
  <c r="X2238" i="2"/>
  <c r="W2238" i="2"/>
  <c r="M2238" i="2"/>
  <c r="L2238" i="2"/>
  <c r="X2237" i="2"/>
  <c r="W2237" i="2"/>
  <c r="M2237" i="2"/>
  <c r="K2237" i="2"/>
  <c r="L2237" i="2" s="1"/>
  <c r="X2236" i="2"/>
  <c r="W2236" i="2"/>
  <c r="R2236" i="2"/>
  <c r="L2236" i="2"/>
  <c r="X2235" i="2"/>
  <c r="W2235" i="2"/>
  <c r="R2235" i="2"/>
  <c r="L2235" i="2"/>
  <c r="X2234" i="2"/>
  <c r="W2234" i="2"/>
  <c r="R2234" i="2"/>
  <c r="L2234" i="2"/>
  <c r="X2233" i="2"/>
  <c r="W2233" i="2"/>
  <c r="R2233" i="2"/>
  <c r="L2233" i="2"/>
  <c r="X2232" i="2"/>
  <c r="W2232" i="2"/>
  <c r="R2232" i="2"/>
  <c r="L2232" i="2"/>
  <c r="X2231" i="2"/>
  <c r="W2231" i="2"/>
  <c r="R2231" i="2"/>
  <c r="L2231" i="2"/>
  <c r="X2230" i="2"/>
  <c r="W2230" i="2"/>
  <c r="R2230" i="2"/>
  <c r="L2230" i="2"/>
  <c r="X2229" i="2"/>
  <c r="W2229" i="2"/>
  <c r="R2229" i="2"/>
  <c r="L2229" i="2"/>
  <c r="X2228" i="2"/>
  <c r="W2228" i="2"/>
  <c r="R2228" i="2"/>
  <c r="L2228" i="2"/>
  <c r="X2227" i="2"/>
  <c r="W2227" i="2"/>
  <c r="R2227" i="2"/>
  <c r="L2227" i="2"/>
  <c r="X2226" i="2"/>
  <c r="W2226" i="2"/>
  <c r="R2226" i="2"/>
  <c r="L2226" i="2"/>
  <c r="X2225" i="2"/>
  <c r="W2225" i="2"/>
  <c r="R2225" i="2"/>
  <c r="L2225" i="2"/>
  <c r="X2224" i="2"/>
  <c r="W2224" i="2"/>
  <c r="R2224" i="2"/>
  <c r="L2224" i="2"/>
  <c r="X2223" i="2"/>
  <c r="W2223" i="2"/>
  <c r="L2223" i="2"/>
  <c r="W2222" i="2"/>
  <c r="L2222" i="2"/>
  <c r="W2221" i="2"/>
  <c r="X2221" i="2" s="1"/>
  <c r="L2221" i="2"/>
  <c r="X2220" i="2"/>
  <c r="W2220" i="2"/>
  <c r="M2220" i="2"/>
  <c r="L2220" i="2"/>
  <c r="X2219" i="2"/>
  <c r="W2219" i="2"/>
  <c r="L2219" i="2"/>
  <c r="W2218" i="2"/>
  <c r="X2218" i="2" s="1"/>
  <c r="L2218" i="2"/>
  <c r="W2217" i="2"/>
  <c r="L2217" i="2"/>
  <c r="X2217" i="2" s="1"/>
  <c r="W2216" i="2"/>
  <c r="X2216" i="2" s="1"/>
  <c r="R2216" i="2"/>
  <c r="L2216" i="2"/>
  <c r="R2215" i="2"/>
  <c r="W2215" i="2" s="1"/>
  <c r="X2215" i="2" s="1"/>
  <c r="L2215" i="2"/>
  <c r="R2214" i="2"/>
  <c r="W2214" i="2" s="1"/>
  <c r="X2214" i="2" s="1"/>
  <c r="L2214" i="2"/>
  <c r="Q2213" i="2"/>
  <c r="O2213" i="2"/>
  <c r="W2213" i="2" s="1"/>
  <c r="X2213" i="2" s="1"/>
  <c r="M2213" i="2"/>
  <c r="L2213" i="2"/>
  <c r="W2212" i="2"/>
  <c r="X2212" i="2" s="1"/>
  <c r="M2212" i="2"/>
  <c r="L2212" i="2"/>
  <c r="K2212" i="2"/>
  <c r="X2211" i="2"/>
  <c r="W2211" i="2"/>
  <c r="L2211" i="2"/>
  <c r="W2210" i="2"/>
  <c r="X2210" i="2" s="1"/>
  <c r="L2210" i="2"/>
  <c r="R2209" i="2"/>
  <c r="W2209" i="2" s="1"/>
  <c r="X2209" i="2" s="1"/>
  <c r="L2209" i="2"/>
  <c r="R2208" i="2"/>
  <c r="W2208" i="2" s="1"/>
  <c r="X2208" i="2" s="1"/>
  <c r="L2208" i="2"/>
  <c r="R2207" i="2"/>
  <c r="W2207" i="2" s="1"/>
  <c r="X2207" i="2" s="1"/>
  <c r="L2207" i="2"/>
  <c r="R2206" i="2"/>
  <c r="W2206" i="2" s="1"/>
  <c r="X2206" i="2" s="1"/>
  <c r="L2206" i="2"/>
  <c r="R2205" i="2"/>
  <c r="W2205" i="2" s="1"/>
  <c r="X2205" i="2" s="1"/>
  <c r="L2205" i="2"/>
  <c r="R2204" i="2"/>
  <c r="W2204" i="2" s="1"/>
  <c r="X2204" i="2" s="1"/>
  <c r="L2204" i="2"/>
  <c r="W2203" i="2"/>
  <c r="L2203" i="2"/>
  <c r="X2203" i="2" s="1"/>
  <c r="W2202" i="2"/>
  <c r="X2202" i="2" s="1"/>
  <c r="R2202" i="2"/>
  <c r="L2202" i="2"/>
  <c r="W2201" i="2"/>
  <c r="X2201" i="2" s="1"/>
  <c r="R2201" i="2"/>
  <c r="L2201" i="2"/>
  <c r="R2200" i="2"/>
  <c r="W2200" i="2" s="1"/>
  <c r="L2200" i="2"/>
  <c r="W2199" i="2"/>
  <c r="R2199" i="2"/>
  <c r="L2199" i="2"/>
  <c r="W2198" i="2"/>
  <c r="X2198" i="2" s="1"/>
  <c r="R2198" i="2"/>
  <c r="L2198" i="2"/>
  <c r="R2197" i="2"/>
  <c r="W2197" i="2" s="1"/>
  <c r="X2197" i="2" s="1"/>
  <c r="L2197" i="2"/>
  <c r="W2196" i="2"/>
  <c r="L2196" i="2"/>
  <c r="X2195" i="2"/>
  <c r="W2195" i="2"/>
  <c r="L2195" i="2"/>
  <c r="W2194" i="2"/>
  <c r="X2194" i="2" s="1"/>
  <c r="M2194" i="2"/>
  <c r="L2194" i="2"/>
  <c r="W2193" i="2"/>
  <c r="X2193" i="2" s="1"/>
  <c r="L2193" i="2"/>
  <c r="W2192" i="2"/>
  <c r="L2192" i="2"/>
  <c r="K2192" i="2"/>
  <c r="W2191" i="2"/>
  <c r="L2191" i="2"/>
  <c r="K2191" i="2"/>
  <c r="W2190" i="2"/>
  <c r="X2190" i="2" s="1"/>
  <c r="L2190" i="2"/>
  <c r="K2190" i="2"/>
  <c r="W2189" i="2"/>
  <c r="L2189" i="2"/>
  <c r="W2188" i="2"/>
  <c r="X2188" i="2" s="1"/>
  <c r="L2188" i="2"/>
  <c r="X2187" i="2"/>
  <c r="W2187" i="2"/>
  <c r="M2187" i="2"/>
  <c r="L2187" i="2"/>
  <c r="R2186" i="2"/>
  <c r="W2186" i="2" s="1"/>
  <c r="X2186" i="2" s="1"/>
  <c r="L2186" i="2"/>
  <c r="R2185" i="2"/>
  <c r="W2185" i="2" s="1"/>
  <c r="L2185" i="2"/>
  <c r="W2184" i="2"/>
  <c r="L2184" i="2"/>
  <c r="X2184" i="2" s="1"/>
  <c r="X2183" i="2"/>
  <c r="W2183" i="2"/>
  <c r="L2183" i="2"/>
  <c r="W2182" i="2"/>
  <c r="X2182" i="2" s="1"/>
  <c r="L2182" i="2"/>
  <c r="W2181" i="2"/>
  <c r="L2181" i="2"/>
  <c r="X2180" i="2"/>
  <c r="W2180" i="2"/>
  <c r="L2180" i="2"/>
  <c r="W2179" i="2"/>
  <c r="X2179" i="2" s="1"/>
  <c r="L2179" i="2"/>
  <c r="W2178" i="2"/>
  <c r="X2178" i="2" s="1"/>
  <c r="R2178" i="2"/>
  <c r="L2178" i="2"/>
  <c r="R2177" i="2"/>
  <c r="W2177" i="2" s="1"/>
  <c r="X2177" i="2" s="1"/>
  <c r="L2177" i="2"/>
  <c r="W2176" i="2"/>
  <c r="L2176" i="2"/>
  <c r="W2175" i="2"/>
  <c r="L2175" i="2"/>
  <c r="X2175" i="2" s="1"/>
  <c r="X2174" i="2"/>
  <c r="W2174" i="2"/>
  <c r="L2174" i="2"/>
  <c r="W2173" i="2"/>
  <c r="X2173" i="2" s="1"/>
  <c r="L2173" i="2"/>
  <c r="W2172" i="2"/>
  <c r="X2172" i="2" s="1"/>
  <c r="L2172" i="2"/>
  <c r="W2171" i="2"/>
  <c r="L2171" i="2"/>
  <c r="X2171" i="2" s="1"/>
  <c r="X2170" i="2"/>
  <c r="W2170" i="2"/>
  <c r="L2170" i="2"/>
  <c r="W2169" i="2"/>
  <c r="X2169" i="2" s="1"/>
  <c r="L2169" i="2"/>
  <c r="W2168" i="2"/>
  <c r="L2168" i="2"/>
  <c r="W2167" i="2"/>
  <c r="L2167" i="2"/>
  <c r="X2167" i="2" s="1"/>
  <c r="X2166" i="2"/>
  <c r="W2166" i="2"/>
  <c r="L2166" i="2"/>
  <c r="W2165" i="2"/>
  <c r="X2165" i="2" s="1"/>
  <c r="L2165" i="2"/>
  <c r="W2164" i="2"/>
  <c r="X2164" i="2" s="1"/>
  <c r="L2164" i="2"/>
  <c r="W2163" i="2"/>
  <c r="L2163" i="2"/>
  <c r="X2163" i="2" s="1"/>
  <c r="X2162" i="2"/>
  <c r="W2162" i="2"/>
  <c r="M2162" i="2"/>
  <c r="L2162" i="2"/>
  <c r="X2161" i="2"/>
  <c r="W2161" i="2"/>
  <c r="M2161" i="2"/>
  <c r="L2161" i="2"/>
  <c r="X2160" i="2"/>
  <c r="W2160" i="2"/>
  <c r="L2160" i="2"/>
  <c r="W2159" i="2"/>
  <c r="X2159" i="2" s="1"/>
  <c r="L2159" i="2"/>
  <c r="W2158" i="2"/>
  <c r="L2158" i="2"/>
  <c r="W2157" i="2"/>
  <c r="L2157" i="2"/>
  <c r="X2157" i="2" s="1"/>
  <c r="X2156" i="2"/>
  <c r="W2156" i="2"/>
  <c r="L2156" i="2"/>
  <c r="W2155" i="2"/>
  <c r="X2155" i="2" s="1"/>
  <c r="L2155" i="2"/>
  <c r="W2154" i="2"/>
  <c r="X2154" i="2" s="1"/>
  <c r="R2154" i="2"/>
  <c r="L2154" i="2"/>
  <c r="R2153" i="2"/>
  <c r="W2153" i="2" s="1"/>
  <c r="X2153" i="2" s="1"/>
  <c r="L2153" i="2"/>
  <c r="R2152" i="2"/>
  <c r="W2152" i="2" s="1"/>
  <c r="X2152" i="2" s="1"/>
  <c r="L2152" i="2"/>
  <c r="R2151" i="2"/>
  <c r="W2151" i="2" s="1"/>
  <c r="X2151" i="2" s="1"/>
  <c r="L2151" i="2"/>
  <c r="W2150" i="2"/>
  <c r="X2150" i="2" s="1"/>
  <c r="R2150" i="2"/>
  <c r="L2150" i="2"/>
  <c r="R2149" i="2"/>
  <c r="W2149" i="2" s="1"/>
  <c r="X2149" i="2" s="1"/>
  <c r="L2149" i="2"/>
  <c r="W2148" i="2"/>
  <c r="L2148" i="2"/>
  <c r="R2147" i="2"/>
  <c r="W2147" i="2" s="1"/>
  <c r="X2147" i="2" s="1"/>
  <c r="L2147" i="2"/>
  <c r="U2146" i="2"/>
  <c r="R2146" i="2"/>
  <c r="W2146" i="2" s="1"/>
  <c r="X2146" i="2" s="1"/>
  <c r="L2146" i="2"/>
  <c r="U2145" i="2"/>
  <c r="W2145" i="2" s="1"/>
  <c r="X2145" i="2" s="1"/>
  <c r="R2145" i="2"/>
  <c r="L2145" i="2"/>
  <c r="W2144" i="2"/>
  <c r="X2144" i="2" s="1"/>
  <c r="R2144" i="2"/>
  <c r="L2144" i="2"/>
  <c r="W2143" i="2"/>
  <c r="X2143" i="2" s="1"/>
  <c r="R2143" i="2"/>
  <c r="L2143" i="2"/>
  <c r="W2142" i="2"/>
  <c r="X2142" i="2" s="1"/>
  <c r="R2142" i="2"/>
  <c r="L2142" i="2"/>
  <c r="W2141" i="2"/>
  <c r="X2141" i="2" s="1"/>
  <c r="R2141" i="2"/>
  <c r="L2141" i="2"/>
  <c r="W2140" i="2"/>
  <c r="X2140" i="2" s="1"/>
  <c r="R2140" i="2"/>
  <c r="L2140" i="2"/>
  <c r="W2139" i="2"/>
  <c r="X2139" i="2" s="1"/>
  <c r="R2139" i="2"/>
  <c r="L2139" i="2"/>
  <c r="W2138" i="2"/>
  <c r="X2138" i="2" s="1"/>
  <c r="R2138" i="2"/>
  <c r="L2138" i="2"/>
  <c r="W2137" i="2"/>
  <c r="X2137" i="2" s="1"/>
  <c r="R2137" i="2"/>
  <c r="L2137" i="2"/>
  <c r="W2136" i="2"/>
  <c r="X2136" i="2" s="1"/>
  <c r="R2136" i="2"/>
  <c r="L2136" i="2"/>
  <c r="W2135" i="2"/>
  <c r="X2135" i="2" s="1"/>
  <c r="R2135" i="2"/>
  <c r="L2135" i="2"/>
  <c r="W2134" i="2"/>
  <c r="X2134" i="2" s="1"/>
  <c r="R2134" i="2"/>
  <c r="L2134" i="2"/>
  <c r="W2133" i="2"/>
  <c r="X2133" i="2" s="1"/>
  <c r="R2133" i="2"/>
  <c r="L2133" i="2"/>
  <c r="W2132" i="2"/>
  <c r="X2132" i="2" s="1"/>
  <c r="R2132" i="2"/>
  <c r="L2132" i="2"/>
  <c r="W2131" i="2"/>
  <c r="X2131" i="2" s="1"/>
  <c r="R2131" i="2"/>
  <c r="L2131" i="2"/>
  <c r="W2130" i="2"/>
  <c r="X2130" i="2" s="1"/>
  <c r="R2130" i="2"/>
  <c r="L2130" i="2"/>
  <c r="W2129" i="2"/>
  <c r="X2129" i="2" s="1"/>
  <c r="R2129" i="2"/>
  <c r="L2129" i="2"/>
  <c r="W2128" i="2"/>
  <c r="X2128" i="2" s="1"/>
  <c r="L2128" i="2"/>
  <c r="W2127" i="2"/>
  <c r="X2127" i="2" s="1"/>
  <c r="L2127" i="2"/>
  <c r="W2126" i="2"/>
  <c r="L2126" i="2"/>
  <c r="X2126" i="2" s="1"/>
  <c r="X2125" i="2"/>
  <c r="W2125" i="2"/>
  <c r="L2125" i="2"/>
  <c r="W2124" i="2"/>
  <c r="X2124" i="2" s="1"/>
  <c r="L2124" i="2"/>
  <c r="W2123" i="2"/>
  <c r="L2123" i="2"/>
  <c r="W2122" i="2"/>
  <c r="L2122" i="2"/>
  <c r="X2122" i="2" s="1"/>
  <c r="X2121" i="2"/>
  <c r="W2121" i="2"/>
  <c r="L2121" i="2"/>
  <c r="W2120" i="2"/>
  <c r="X2120" i="2" s="1"/>
  <c r="L2120" i="2"/>
  <c r="W2119" i="2"/>
  <c r="X2119" i="2" s="1"/>
  <c r="R2119" i="2"/>
  <c r="L2119" i="2"/>
  <c r="R2118" i="2"/>
  <c r="W2118" i="2" s="1"/>
  <c r="X2118" i="2" s="1"/>
  <c r="L2118" i="2"/>
  <c r="R2117" i="2"/>
  <c r="W2117" i="2" s="1"/>
  <c r="X2117" i="2" s="1"/>
  <c r="L2117" i="2"/>
  <c r="W2116" i="2"/>
  <c r="L2116" i="2"/>
  <c r="W2115" i="2"/>
  <c r="L2115" i="2"/>
  <c r="X2115" i="2" s="1"/>
  <c r="W2114" i="2"/>
  <c r="M2114" i="2"/>
  <c r="L2114" i="2"/>
  <c r="X2114" i="2" s="1"/>
  <c r="X2113" i="2"/>
  <c r="W2113" i="2"/>
  <c r="L2113" i="2"/>
  <c r="X2112" i="2"/>
  <c r="W2112" i="2"/>
  <c r="L2112" i="2"/>
  <c r="W2111" i="2"/>
  <c r="L2111" i="2"/>
  <c r="W2110" i="2"/>
  <c r="L2110" i="2"/>
  <c r="X2110" i="2" s="1"/>
  <c r="X2109" i="2"/>
  <c r="W2109" i="2"/>
  <c r="L2109" i="2"/>
  <c r="W2108" i="2"/>
  <c r="X2108" i="2" s="1"/>
  <c r="L2108" i="2"/>
  <c r="W2107" i="2"/>
  <c r="L2107" i="2"/>
  <c r="W2106" i="2"/>
  <c r="L2106" i="2"/>
  <c r="X2106" i="2" s="1"/>
  <c r="W2105" i="2"/>
  <c r="R2105" i="2"/>
  <c r="L2105" i="2"/>
  <c r="X2105" i="2" s="1"/>
  <c r="W2104" i="2"/>
  <c r="R2104" i="2"/>
  <c r="L2104" i="2"/>
  <c r="X2104" i="2" s="1"/>
  <c r="W2103" i="2"/>
  <c r="R2103" i="2"/>
  <c r="L2103" i="2"/>
  <c r="X2103" i="2" s="1"/>
  <c r="W2102" i="2"/>
  <c r="R2102" i="2"/>
  <c r="L2102" i="2"/>
  <c r="X2102" i="2" s="1"/>
  <c r="W2101" i="2"/>
  <c r="R2101" i="2"/>
  <c r="L2101" i="2"/>
  <c r="X2101" i="2" s="1"/>
  <c r="W2100" i="2"/>
  <c r="R2100" i="2"/>
  <c r="L2100" i="2"/>
  <c r="X2100" i="2" s="1"/>
  <c r="W2099" i="2"/>
  <c r="R2099" i="2"/>
  <c r="L2099" i="2"/>
  <c r="X2099" i="2" s="1"/>
  <c r="W2098" i="2"/>
  <c r="R2098" i="2"/>
  <c r="L2098" i="2"/>
  <c r="X2098" i="2" s="1"/>
  <c r="W2097" i="2"/>
  <c r="R2097" i="2"/>
  <c r="L2097" i="2"/>
  <c r="X2097" i="2" s="1"/>
  <c r="W2096" i="2"/>
  <c r="R2096" i="2"/>
  <c r="M2096" i="2"/>
  <c r="L2096" i="2"/>
  <c r="X2096" i="2" s="1"/>
  <c r="R2095" i="2"/>
  <c r="W2095" i="2" s="1"/>
  <c r="L2095" i="2"/>
  <c r="W2094" i="2"/>
  <c r="L2094" i="2"/>
  <c r="X2094" i="2" s="1"/>
  <c r="X2093" i="2"/>
  <c r="W2093" i="2"/>
  <c r="R2093" i="2"/>
  <c r="L2093" i="2"/>
  <c r="X2092" i="2"/>
  <c r="W2092" i="2"/>
  <c r="R2092" i="2"/>
  <c r="L2092" i="2"/>
  <c r="X2091" i="2"/>
  <c r="W2091" i="2"/>
  <c r="M2091" i="2"/>
  <c r="L2091" i="2"/>
  <c r="X2090" i="2"/>
  <c r="W2090" i="2"/>
  <c r="L2090" i="2"/>
  <c r="W2089" i="2"/>
  <c r="X2089" i="2" s="1"/>
  <c r="L2089" i="2"/>
  <c r="W2088" i="2"/>
  <c r="X2088" i="2" s="1"/>
  <c r="L2088" i="2"/>
  <c r="W2087" i="2"/>
  <c r="L2087" i="2"/>
  <c r="X2087" i="2" s="1"/>
  <c r="X2086" i="2"/>
  <c r="W2086" i="2"/>
  <c r="L2086" i="2"/>
  <c r="W2085" i="2"/>
  <c r="X2085" i="2" s="1"/>
  <c r="L2085" i="2"/>
  <c r="W2084" i="2"/>
  <c r="L2084" i="2"/>
  <c r="W2083" i="2"/>
  <c r="L2083" i="2"/>
  <c r="X2083" i="2" s="1"/>
  <c r="X2082" i="2"/>
  <c r="W2082" i="2"/>
  <c r="L2082" i="2"/>
  <c r="W2081" i="2"/>
  <c r="X2081" i="2" s="1"/>
  <c r="L2081" i="2"/>
  <c r="W2080" i="2"/>
  <c r="X2080" i="2" s="1"/>
  <c r="L2080" i="2"/>
  <c r="W2079" i="2"/>
  <c r="L2079" i="2"/>
  <c r="X2079" i="2" s="1"/>
  <c r="X2078" i="2"/>
  <c r="W2078" i="2"/>
  <c r="L2078" i="2"/>
  <c r="W2077" i="2"/>
  <c r="X2077" i="2" s="1"/>
  <c r="L2077" i="2"/>
  <c r="W2076" i="2"/>
  <c r="L2076" i="2"/>
  <c r="K2076" i="2"/>
  <c r="W2075" i="2"/>
  <c r="L2075" i="2"/>
  <c r="W2074" i="2"/>
  <c r="L2074" i="2"/>
  <c r="X2074" i="2" s="1"/>
  <c r="X2073" i="2"/>
  <c r="W2073" i="2"/>
  <c r="L2073" i="2"/>
  <c r="X2072" i="2"/>
  <c r="W2072" i="2"/>
  <c r="L2072" i="2"/>
  <c r="W2071" i="2"/>
  <c r="L2071" i="2"/>
  <c r="W2070" i="2"/>
  <c r="L2070" i="2"/>
  <c r="X2070" i="2" s="1"/>
  <c r="X2069" i="2"/>
  <c r="W2069" i="2"/>
  <c r="L2069" i="2"/>
  <c r="W2068" i="2"/>
  <c r="X2068" i="2" s="1"/>
  <c r="L2068" i="2"/>
  <c r="W2067" i="2"/>
  <c r="L2067" i="2"/>
  <c r="W2066" i="2"/>
  <c r="L2066" i="2"/>
  <c r="X2066" i="2" s="1"/>
  <c r="X2065" i="2"/>
  <c r="W2065" i="2"/>
  <c r="L2065" i="2"/>
  <c r="X2064" i="2"/>
  <c r="W2064" i="2"/>
  <c r="L2064" i="2"/>
  <c r="W2063" i="2"/>
  <c r="L2063" i="2"/>
  <c r="W2062" i="2"/>
  <c r="L2062" i="2"/>
  <c r="X2062" i="2" s="1"/>
  <c r="X2061" i="2"/>
  <c r="W2061" i="2"/>
  <c r="K2061" i="2"/>
  <c r="L2061" i="2" s="1"/>
  <c r="W2060" i="2"/>
  <c r="K2060" i="2"/>
  <c r="L2060" i="2" s="1"/>
  <c r="X2060" i="2" s="1"/>
  <c r="W2059" i="2"/>
  <c r="K2059" i="2"/>
  <c r="L2059" i="2" s="1"/>
  <c r="X2059" i="2" s="1"/>
  <c r="X2058" i="2"/>
  <c r="W2058" i="2"/>
  <c r="K2058" i="2"/>
  <c r="L2058" i="2" s="1"/>
  <c r="X2057" i="2"/>
  <c r="W2057" i="2"/>
  <c r="L2057" i="2"/>
  <c r="W2056" i="2"/>
  <c r="X2056" i="2" s="1"/>
  <c r="L2056" i="2"/>
  <c r="W2055" i="2"/>
  <c r="L2055" i="2"/>
  <c r="R2054" i="2"/>
  <c r="W2054" i="2" s="1"/>
  <c r="L2054" i="2"/>
  <c r="R2053" i="2"/>
  <c r="W2053" i="2" s="1"/>
  <c r="L2053" i="2"/>
  <c r="R2052" i="2"/>
  <c r="W2052" i="2" s="1"/>
  <c r="L2052" i="2"/>
  <c r="R2051" i="2"/>
  <c r="W2051" i="2" s="1"/>
  <c r="L2051" i="2"/>
  <c r="R2050" i="2"/>
  <c r="W2050" i="2" s="1"/>
  <c r="L2050" i="2"/>
  <c r="R2049" i="2"/>
  <c r="W2049" i="2" s="1"/>
  <c r="L2049" i="2"/>
  <c r="W2048" i="2"/>
  <c r="L2048" i="2"/>
  <c r="X2048" i="2" s="1"/>
  <c r="W2047" i="2"/>
  <c r="M2047" i="2"/>
  <c r="L2047" i="2"/>
  <c r="X2047" i="2" s="1"/>
  <c r="X2046" i="2"/>
  <c r="W2046" i="2"/>
  <c r="L2046" i="2"/>
  <c r="X2045" i="2"/>
  <c r="W2045" i="2"/>
  <c r="L2045" i="2"/>
  <c r="R2044" i="2"/>
  <c r="W2044" i="2" s="1"/>
  <c r="X2044" i="2" s="1"/>
  <c r="L2044" i="2"/>
  <c r="R2043" i="2"/>
  <c r="W2043" i="2" s="1"/>
  <c r="X2043" i="2" s="1"/>
  <c r="L2043" i="2"/>
  <c r="R2042" i="2"/>
  <c r="W2042" i="2" s="1"/>
  <c r="M2042" i="2"/>
  <c r="K2042" i="2"/>
  <c r="X2041" i="2"/>
  <c r="W2041" i="2"/>
  <c r="L2041" i="2"/>
  <c r="X2040" i="2"/>
  <c r="W2040" i="2"/>
  <c r="L2040" i="2"/>
  <c r="W2039" i="2"/>
  <c r="L2039" i="2"/>
  <c r="W2038" i="2"/>
  <c r="L2038" i="2"/>
  <c r="X2038" i="2" s="1"/>
  <c r="X2037" i="2"/>
  <c r="W2037" i="2"/>
  <c r="M2037" i="2"/>
  <c r="L2037" i="2"/>
  <c r="X2033" i="2"/>
  <c r="W2033" i="2"/>
  <c r="L2033" i="2"/>
  <c r="X2032" i="2"/>
  <c r="W2032" i="2"/>
  <c r="L2032" i="2"/>
  <c r="W2031" i="2"/>
  <c r="X2031" i="2" s="1"/>
  <c r="M2031" i="2"/>
  <c r="L2031" i="2"/>
  <c r="K2031" i="2"/>
  <c r="W2030" i="2"/>
  <c r="X2030" i="2" s="1"/>
  <c r="L2030" i="2"/>
  <c r="W2029" i="2"/>
  <c r="L2029" i="2"/>
  <c r="W2028" i="2"/>
  <c r="L2028" i="2"/>
  <c r="X2028" i="2" s="1"/>
  <c r="X2027" i="2"/>
  <c r="W2027" i="2"/>
  <c r="L2027" i="2"/>
  <c r="W2026" i="2"/>
  <c r="X2026" i="2" s="1"/>
  <c r="L2026" i="2"/>
  <c r="W2025" i="2"/>
  <c r="X2025" i="2" s="1"/>
  <c r="L2025" i="2"/>
  <c r="W2024" i="2"/>
  <c r="M2024" i="2"/>
  <c r="L2024" i="2"/>
  <c r="X2024" i="2" s="1"/>
  <c r="W2023" i="2"/>
  <c r="L2023" i="2"/>
  <c r="X2023" i="2" s="1"/>
  <c r="X2022" i="2"/>
  <c r="W2022" i="2"/>
  <c r="L2022" i="2"/>
  <c r="W2021" i="2"/>
  <c r="X2021" i="2" s="1"/>
  <c r="L2021" i="2"/>
  <c r="W2020" i="2"/>
  <c r="L2020" i="2"/>
  <c r="W2019" i="2"/>
  <c r="L2019" i="2"/>
  <c r="X2019" i="2" s="1"/>
  <c r="W2018" i="2"/>
  <c r="R2018" i="2"/>
  <c r="L2018" i="2"/>
  <c r="X2018" i="2" s="1"/>
  <c r="W2017" i="2"/>
  <c r="R2017" i="2"/>
  <c r="M2017" i="2"/>
  <c r="L2017" i="2"/>
  <c r="X2017" i="2" s="1"/>
  <c r="R2016" i="2"/>
  <c r="W2016" i="2" s="1"/>
  <c r="L2016" i="2"/>
  <c r="R2015" i="2"/>
  <c r="W2015" i="2" s="1"/>
  <c r="X2015" i="2" s="1"/>
  <c r="L2015" i="2"/>
  <c r="R2014" i="2"/>
  <c r="W2014" i="2" s="1"/>
  <c r="L2014" i="2"/>
  <c r="R2013" i="2"/>
  <c r="W2013" i="2" s="1"/>
  <c r="X2013" i="2" s="1"/>
  <c r="L2013" i="2"/>
  <c r="R2012" i="2"/>
  <c r="W2012" i="2" s="1"/>
  <c r="L2012" i="2"/>
  <c r="R2011" i="2"/>
  <c r="W2011" i="2" s="1"/>
  <c r="X2011" i="2" s="1"/>
  <c r="L2011" i="2"/>
  <c r="W2010" i="2"/>
  <c r="L2010" i="2"/>
  <c r="X2010" i="2" s="1"/>
  <c r="X2009" i="2"/>
  <c r="W2009" i="2"/>
  <c r="R2009" i="2"/>
  <c r="L2009" i="2"/>
  <c r="X2008" i="2"/>
  <c r="W2008" i="2"/>
  <c r="L2008" i="2"/>
  <c r="W2007" i="2"/>
  <c r="X2007" i="2" s="1"/>
  <c r="M2007" i="2"/>
  <c r="L2007" i="2"/>
  <c r="W2006" i="2"/>
  <c r="X2006" i="2" s="1"/>
  <c r="R2006" i="2"/>
  <c r="L2006" i="2"/>
  <c r="W2005" i="2"/>
  <c r="X2005" i="2" s="1"/>
  <c r="L2005" i="2"/>
  <c r="W2004" i="2"/>
  <c r="L2004" i="2"/>
  <c r="W2003" i="2"/>
  <c r="L2003" i="2"/>
  <c r="X2003" i="2" s="1"/>
  <c r="W2002" i="2"/>
  <c r="K2002" i="2"/>
  <c r="L2002" i="2" s="1"/>
  <c r="X2002" i="2" s="1"/>
  <c r="W2001" i="2"/>
  <c r="M2001" i="2"/>
  <c r="L2001" i="2"/>
  <c r="X2001" i="2" s="1"/>
  <c r="K2001" i="2"/>
  <c r="W2000" i="2"/>
  <c r="L2000" i="2"/>
  <c r="X2000" i="2" s="1"/>
  <c r="X1999" i="2"/>
  <c r="W1999" i="2"/>
  <c r="R1999" i="2"/>
  <c r="L1999" i="2"/>
  <c r="X1998" i="2"/>
  <c r="W1998" i="2"/>
  <c r="R1998" i="2"/>
  <c r="L1998" i="2"/>
  <c r="X1997" i="2"/>
  <c r="W1997" i="2"/>
  <c r="R1997" i="2"/>
  <c r="L1997" i="2"/>
  <c r="X1996" i="2"/>
  <c r="W1996" i="2"/>
  <c r="R1996" i="2"/>
  <c r="L1996" i="2"/>
  <c r="X1995" i="2"/>
  <c r="W1995" i="2"/>
  <c r="R1995" i="2"/>
  <c r="L1995" i="2"/>
  <c r="X1994" i="2"/>
  <c r="W1994" i="2"/>
  <c r="R1994" i="2"/>
  <c r="L1994" i="2"/>
  <c r="X1993" i="2"/>
  <c r="W1993" i="2"/>
  <c r="R1993" i="2"/>
  <c r="L1993" i="2"/>
  <c r="X1992" i="2"/>
  <c r="W1992" i="2"/>
  <c r="R1992" i="2"/>
  <c r="L1992" i="2"/>
  <c r="X1991" i="2"/>
  <c r="W1991" i="2"/>
  <c r="L1991" i="2"/>
  <c r="W1990" i="2"/>
  <c r="X1990" i="2" s="1"/>
  <c r="L1990" i="2"/>
  <c r="W1989" i="2"/>
  <c r="L1989" i="2"/>
  <c r="R1988" i="2"/>
  <c r="W1988" i="2" s="1"/>
  <c r="X1988" i="2" s="1"/>
  <c r="L1988" i="2"/>
  <c r="R1987" i="2"/>
  <c r="W1987" i="2" s="1"/>
  <c r="L1987" i="2"/>
  <c r="W1986" i="2"/>
  <c r="L1986" i="2"/>
  <c r="X1986" i="2" s="1"/>
  <c r="X1985" i="2"/>
  <c r="W1985" i="2"/>
  <c r="L1985" i="2"/>
  <c r="W1984" i="2"/>
  <c r="X1984" i="2" s="1"/>
  <c r="L1984" i="2"/>
  <c r="W1983" i="2"/>
  <c r="X1983" i="2" s="1"/>
  <c r="L1983" i="2"/>
  <c r="W1982" i="2"/>
  <c r="L1982" i="2"/>
  <c r="X1982" i="2" s="1"/>
  <c r="X1981" i="2"/>
  <c r="W1981" i="2"/>
  <c r="N1981" i="2"/>
  <c r="L1981" i="2"/>
  <c r="X1980" i="2"/>
  <c r="W1980" i="2"/>
  <c r="N1980" i="2"/>
  <c r="L1980" i="2"/>
  <c r="W1979" i="2"/>
  <c r="M1979" i="2"/>
  <c r="K1979" i="2"/>
  <c r="L1979" i="2" s="1"/>
  <c r="X1979" i="2" s="1"/>
  <c r="W1978" i="2"/>
  <c r="L1978" i="2"/>
  <c r="X1978" i="2" s="1"/>
  <c r="X1977" i="2"/>
  <c r="W1977" i="2"/>
  <c r="L1977" i="2"/>
  <c r="W1976" i="2"/>
  <c r="X1976" i="2" s="1"/>
  <c r="L1976" i="2"/>
  <c r="W1975" i="2"/>
  <c r="L1975" i="2"/>
  <c r="W1974" i="2"/>
  <c r="L1974" i="2"/>
  <c r="X1974" i="2" s="1"/>
  <c r="W1973" i="2"/>
  <c r="M1973" i="2"/>
  <c r="L1973" i="2"/>
  <c r="X1973" i="2" s="1"/>
  <c r="X1972" i="2"/>
  <c r="W1972" i="2"/>
  <c r="L1972" i="2"/>
  <c r="X1971" i="2"/>
  <c r="W1971" i="2"/>
  <c r="L1971" i="2"/>
  <c r="W1970" i="2"/>
  <c r="X1970" i="2" s="1"/>
  <c r="M1970" i="2"/>
  <c r="L1970" i="2"/>
  <c r="W1969" i="2"/>
  <c r="L1969" i="2"/>
  <c r="W1968" i="2"/>
  <c r="M1968" i="2"/>
  <c r="L1968" i="2"/>
  <c r="X1968" i="2" s="1"/>
  <c r="W1967" i="2"/>
  <c r="M1967" i="2"/>
  <c r="L1967" i="2"/>
  <c r="X1967" i="2" s="1"/>
  <c r="W1966" i="2"/>
  <c r="L1966" i="2"/>
  <c r="X1966" i="2" s="1"/>
  <c r="X1965" i="2"/>
  <c r="W1965" i="2"/>
  <c r="L1965" i="2"/>
  <c r="W1964" i="2"/>
  <c r="X1964" i="2" s="1"/>
  <c r="L1964" i="2"/>
  <c r="W1963" i="2"/>
  <c r="X1963" i="2" s="1"/>
  <c r="M1963" i="2"/>
  <c r="L1963" i="2"/>
  <c r="W1962" i="2"/>
  <c r="L1962" i="2"/>
  <c r="W1961" i="2"/>
  <c r="L1961" i="2"/>
  <c r="X1961" i="2" s="1"/>
  <c r="W1960" i="2"/>
  <c r="M1960" i="2"/>
  <c r="L1960" i="2"/>
  <c r="X1960" i="2" s="1"/>
  <c r="W1959" i="2"/>
  <c r="K1959" i="2"/>
  <c r="L1959" i="2" s="1"/>
  <c r="X1959" i="2" s="1"/>
  <c r="W1958" i="2"/>
  <c r="R1958" i="2"/>
  <c r="M1958" i="2"/>
  <c r="L1958" i="2"/>
  <c r="X1958" i="2" s="1"/>
  <c r="W1957" i="2"/>
  <c r="M1957" i="2"/>
  <c r="L1957" i="2"/>
  <c r="X1957" i="2" s="1"/>
  <c r="K1957" i="2"/>
  <c r="W1956" i="2"/>
  <c r="L1956" i="2"/>
  <c r="W1955" i="2"/>
  <c r="L1955" i="2"/>
  <c r="X1955" i="2" s="1"/>
  <c r="X1954" i="2"/>
  <c r="W1954" i="2"/>
  <c r="L1954" i="2"/>
  <c r="X1953" i="2"/>
  <c r="W1953" i="2"/>
  <c r="L1953" i="2"/>
  <c r="W1952" i="2"/>
  <c r="L1952" i="2"/>
  <c r="W1951" i="2"/>
  <c r="L1951" i="2"/>
  <c r="X1951" i="2" s="1"/>
  <c r="X1950" i="2"/>
  <c r="W1950" i="2"/>
  <c r="R1950" i="2"/>
  <c r="L1950" i="2"/>
  <c r="X1949" i="2"/>
  <c r="W1949" i="2"/>
  <c r="R1949" i="2"/>
  <c r="L1949" i="2"/>
  <c r="W1948" i="2"/>
  <c r="M1948" i="2"/>
  <c r="K1948" i="2"/>
  <c r="L1948" i="2" s="1"/>
  <c r="X1948" i="2" s="1"/>
  <c r="W1947" i="2"/>
  <c r="L1947" i="2"/>
  <c r="X1947" i="2" s="1"/>
  <c r="X1946" i="2"/>
  <c r="W1946" i="2"/>
  <c r="R1946" i="2"/>
  <c r="L1946" i="2"/>
  <c r="X1945" i="2"/>
  <c r="W1945" i="2"/>
  <c r="R1945" i="2"/>
  <c r="L1945" i="2"/>
  <c r="X1944" i="2"/>
  <c r="W1944" i="2"/>
  <c r="R1944" i="2"/>
  <c r="L1944" i="2"/>
  <c r="X1943" i="2"/>
  <c r="W1943" i="2"/>
  <c r="R1943" i="2"/>
  <c r="L1943" i="2"/>
  <c r="X1942" i="2"/>
  <c r="W1942" i="2"/>
  <c r="R1942" i="2"/>
  <c r="L1942" i="2"/>
  <c r="W1941" i="2"/>
  <c r="R1941" i="2"/>
  <c r="M1941" i="2"/>
  <c r="L1941" i="2"/>
  <c r="X1941" i="2" s="1"/>
  <c r="R1940" i="2"/>
  <c r="W1940" i="2" s="1"/>
  <c r="L1940" i="2"/>
  <c r="R1939" i="2"/>
  <c r="W1939" i="2" s="1"/>
  <c r="L1939" i="2"/>
  <c r="R1938" i="2"/>
  <c r="W1938" i="2" s="1"/>
  <c r="L1938" i="2"/>
  <c r="W1937" i="2"/>
  <c r="L1937" i="2"/>
  <c r="X1937" i="2" s="1"/>
  <c r="X1936" i="2"/>
  <c r="W1936" i="2"/>
  <c r="R1936" i="2"/>
  <c r="L1936" i="2"/>
  <c r="X1935" i="2"/>
  <c r="W1935" i="2"/>
  <c r="R1935" i="2"/>
  <c r="L1935" i="2"/>
  <c r="X1934" i="2"/>
  <c r="W1934" i="2"/>
  <c r="R1934" i="2"/>
  <c r="L1934" i="2"/>
  <c r="X1933" i="2"/>
  <c r="W1933" i="2"/>
  <c r="R1933" i="2"/>
  <c r="L1933" i="2"/>
  <c r="X1932" i="2"/>
  <c r="W1932" i="2"/>
  <c r="R1932" i="2"/>
  <c r="L1932" i="2"/>
  <c r="X1931" i="2"/>
  <c r="W1931" i="2"/>
  <c r="K1931" i="2"/>
  <c r="L1931" i="2" s="1"/>
  <c r="X1930" i="2"/>
  <c r="W1930" i="2"/>
  <c r="L1930" i="2"/>
  <c r="W1929" i="2"/>
  <c r="X1929" i="2" s="1"/>
  <c r="L1929" i="2"/>
  <c r="W1928" i="2"/>
  <c r="X1928" i="2" s="1"/>
  <c r="L1928" i="2"/>
  <c r="W1927" i="2"/>
  <c r="L1927" i="2"/>
  <c r="X1927" i="2" s="1"/>
  <c r="X1926" i="2"/>
  <c r="W1926" i="2"/>
  <c r="M1926" i="2"/>
  <c r="L1926" i="2"/>
  <c r="X1925" i="2"/>
  <c r="W1925" i="2"/>
  <c r="L1925" i="2"/>
  <c r="W1924" i="2"/>
  <c r="X1924" i="2" s="1"/>
  <c r="L1924" i="2"/>
  <c r="W1923" i="2"/>
  <c r="L1923" i="2"/>
  <c r="W1922" i="2"/>
  <c r="L1922" i="2"/>
  <c r="X1922" i="2" s="1"/>
  <c r="X1921" i="2"/>
  <c r="W1921" i="2"/>
  <c r="L1921" i="2"/>
  <c r="W1920" i="2"/>
  <c r="X1920" i="2" s="1"/>
  <c r="R1920" i="2"/>
  <c r="L1920" i="2"/>
  <c r="W1919" i="2"/>
  <c r="X1919" i="2" s="1"/>
  <c r="L1919" i="2"/>
  <c r="W1918" i="2"/>
  <c r="X1918" i="2" s="1"/>
  <c r="R1918" i="2"/>
  <c r="L1918" i="2"/>
  <c r="R1917" i="2"/>
  <c r="W1917" i="2" s="1"/>
  <c r="X1917" i="2" s="1"/>
  <c r="L1917" i="2"/>
  <c r="R1916" i="2"/>
  <c r="W1916" i="2" s="1"/>
  <c r="X1916" i="2" s="1"/>
  <c r="L1916" i="2"/>
  <c r="R1915" i="2"/>
  <c r="W1915" i="2" s="1"/>
  <c r="X1915" i="2" s="1"/>
  <c r="L1915" i="2"/>
  <c r="W1914" i="2"/>
  <c r="X1914" i="2" s="1"/>
  <c r="R1914" i="2"/>
  <c r="L1914" i="2"/>
  <c r="R1913" i="2"/>
  <c r="W1913" i="2" s="1"/>
  <c r="X1913" i="2" s="1"/>
  <c r="L1913" i="2"/>
  <c r="R1912" i="2"/>
  <c r="W1912" i="2" s="1"/>
  <c r="X1912" i="2" s="1"/>
  <c r="L1912" i="2"/>
  <c r="W1911" i="2"/>
  <c r="L1911" i="2"/>
  <c r="W1910" i="2"/>
  <c r="L1910" i="2"/>
  <c r="X1910" i="2" s="1"/>
  <c r="X1909" i="2"/>
  <c r="W1909" i="2"/>
  <c r="L1909" i="2"/>
  <c r="X1908" i="2"/>
  <c r="W1908" i="2"/>
  <c r="L1908" i="2"/>
  <c r="W1907" i="2"/>
  <c r="L1907" i="2"/>
  <c r="W1906" i="2"/>
  <c r="L1906" i="2"/>
  <c r="X1906" i="2" s="1"/>
  <c r="X1905" i="2"/>
  <c r="W1905" i="2"/>
  <c r="L1905" i="2"/>
  <c r="W1904" i="2"/>
  <c r="X1904" i="2" s="1"/>
  <c r="R1904" i="2"/>
  <c r="L1904" i="2"/>
  <c r="W1903" i="2"/>
  <c r="X1903" i="2" s="1"/>
  <c r="R1903" i="2"/>
  <c r="L1903" i="2"/>
  <c r="W1902" i="2"/>
  <c r="X1902" i="2" s="1"/>
  <c r="L1902" i="2"/>
  <c r="R1901" i="2"/>
  <c r="W1901" i="2" s="1"/>
  <c r="X1901" i="2" s="1"/>
  <c r="L1901" i="2"/>
  <c r="W1900" i="2"/>
  <c r="X1900" i="2" s="1"/>
  <c r="R1900" i="2"/>
  <c r="L1900" i="2"/>
  <c r="W1899" i="2"/>
  <c r="L1899" i="2"/>
  <c r="W1898" i="2"/>
  <c r="L1898" i="2"/>
  <c r="X1898" i="2" s="1"/>
  <c r="X1897" i="2"/>
  <c r="W1897" i="2"/>
  <c r="M1897" i="2"/>
  <c r="L1897" i="2"/>
  <c r="X1896" i="2"/>
  <c r="W1896" i="2"/>
  <c r="L1896" i="2"/>
  <c r="W1895" i="2"/>
  <c r="X1895" i="2" s="1"/>
  <c r="L1895" i="2"/>
  <c r="W1894" i="2"/>
  <c r="L1894" i="2"/>
  <c r="W1893" i="2"/>
  <c r="L1893" i="2"/>
  <c r="X1893" i="2" s="1"/>
  <c r="X1892" i="2"/>
  <c r="W1892" i="2"/>
  <c r="L1892" i="2"/>
  <c r="X1891" i="2"/>
  <c r="W1891" i="2"/>
  <c r="L1891" i="2"/>
  <c r="W1890" i="2"/>
  <c r="L1890" i="2"/>
  <c r="W1889" i="2"/>
  <c r="L1889" i="2"/>
  <c r="X1889" i="2" s="1"/>
  <c r="X1888" i="2"/>
  <c r="W1888" i="2"/>
  <c r="L1888" i="2"/>
  <c r="W1887" i="2"/>
  <c r="X1887" i="2" s="1"/>
  <c r="M1887" i="2"/>
  <c r="L1887" i="2"/>
  <c r="W1886" i="2"/>
  <c r="X1886" i="2" s="1"/>
  <c r="R1886" i="2"/>
  <c r="L1886" i="2"/>
  <c r="W1885" i="2"/>
  <c r="X1885" i="2" s="1"/>
  <c r="R1885" i="2"/>
  <c r="L1885" i="2"/>
  <c r="W1884" i="2"/>
  <c r="X1884" i="2" s="1"/>
  <c r="R1884" i="2"/>
  <c r="L1884" i="2"/>
  <c r="W1883" i="2"/>
  <c r="X1883" i="2" s="1"/>
  <c r="R1883" i="2"/>
  <c r="L1883" i="2"/>
  <c r="W1882" i="2"/>
  <c r="X1882" i="2" s="1"/>
  <c r="R1882" i="2"/>
  <c r="L1882" i="2"/>
  <c r="W1881" i="2"/>
  <c r="X1881" i="2" s="1"/>
  <c r="R1881" i="2"/>
  <c r="L1881" i="2"/>
  <c r="W1880" i="2"/>
  <c r="X1880" i="2" s="1"/>
  <c r="R1880" i="2"/>
  <c r="L1880" i="2"/>
  <c r="W1879" i="2"/>
  <c r="R1879" i="2"/>
  <c r="M1879" i="2"/>
  <c r="K1879" i="2"/>
  <c r="L1879" i="2" s="1"/>
  <c r="W1878" i="2"/>
  <c r="L1878" i="2"/>
  <c r="X1878" i="2" s="1"/>
  <c r="X1877" i="2"/>
  <c r="W1877" i="2"/>
  <c r="L1877" i="2"/>
  <c r="W1876" i="2"/>
  <c r="X1876" i="2" s="1"/>
  <c r="L1876" i="2"/>
  <c r="W1875" i="2"/>
  <c r="X1875" i="2" s="1"/>
  <c r="L1875" i="2"/>
  <c r="W1874" i="2"/>
  <c r="M1874" i="2"/>
  <c r="L1874" i="2"/>
  <c r="X1874" i="2" s="1"/>
  <c r="W1873" i="2"/>
  <c r="L1873" i="2"/>
  <c r="X1873" i="2" s="1"/>
  <c r="X1872" i="2"/>
  <c r="W1872" i="2"/>
  <c r="L1872" i="2"/>
  <c r="W1871" i="2"/>
  <c r="X1871" i="2" s="1"/>
  <c r="L1871" i="2"/>
  <c r="W1870" i="2"/>
  <c r="L1870" i="2"/>
  <c r="W1869" i="2"/>
  <c r="L1869" i="2"/>
  <c r="X1869" i="2" s="1"/>
  <c r="K1869" i="2"/>
  <c r="W1868" i="2"/>
  <c r="L1868" i="2"/>
  <c r="X1868" i="2" s="1"/>
  <c r="X1867" i="2"/>
  <c r="W1867" i="2"/>
  <c r="L1867" i="2"/>
  <c r="W1866" i="2"/>
  <c r="X1866" i="2" s="1"/>
  <c r="L1866" i="2"/>
  <c r="W1865" i="2"/>
  <c r="L1865" i="2"/>
  <c r="W1864" i="2"/>
  <c r="L1864" i="2"/>
  <c r="X1864" i="2" s="1"/>
  <c r="X1863" i="2"/>
  <c r="W1863" i="2"/>
  <c r="L1863" i="2"/>
  <c r="W1862" i="2"/>
  <c r="X1862" i="2" s="1"/>
  <c r="L1862" i="2"/>
  <c r="W1861" i="2"/>
  <c r="X1861" i="2" s="1"/>
  <c r="L1861" i="2"/>
  <c r="W1860" i="2"/>
  <c r="L1860" i="2"/>
  <c r="X1860" i="2" s="1"/>
  <c r="X1859" i="2"/>
  <c r="W1859" i="2"/>
  <c r="L1859" i="2"/>
  <c r="W1858" i="2"/>
  <c r="X1858" i="2" s="1"/>
  <c r="M1858" i="2"/>
  <c r="L1858" i="2"/>
  <c r="W1857" i="2"/>
  <c r="X1857" i="2" s="1"/>
  <c r="L1857" i="2"/>
  <c r="W1856" i="2"/>
  <c r="L1856" i="2"/>
  <c r="W1855" i="2"/>
  <c r="L1855" i="2"/>
  <c r="X1855" i="2" s="1"/>
  <c r="X1854" i="2"/>
  <c r="W1854" i="2"/>
  <c r="L1854" i="2"/>
  <c r="W1853" i="2"/>
  <c r="X1853" i="2" s="1"/>
  <c r="L1853" i="2"/>
  <c r="W1852" i="2"/>
  <c r="X1852" i="2" s="1"/>
  <c r="M1852" i="2"/>
  <c r="L1852" i="2"/>
  <c r="K1852" i="2"/>
  <c r="X1851" i="2"/>
  <c r="W1851" i="2"/>
  <c r="M1851" i="2"/>
  <c r="L1851" i="2"/>
  <c r="X1850" i="2"/>
  <c r="W1850" i="2"/>
  <c r="L1850" i="2"/>
  <c r="W1849" i="2"/>
  <c r="L1849" i="2"/>
  <c r="W1848" i="2"/>
  <c r="L1848" i="2"/>
  <c r="X1848" i="2" s="1"/>
  <c r="X1847" i="2"/>
  <c r="W1847" i="2"/>
  <c r="L1847" i="2"/>
  <c r="W1846" i="2"/>
  <c r="X1846" i="2" s="1"/>
  <c r="L1846" i="2"/>
  <c r="W1845" i="2"/>
  <c r="L1845" i="2"/>
  <c r="W1844" i="2"/>
  <c r="L1844" i="2"/>
  <c r="X1844" i="2" s="1"/>
  <c r="X1843" i="2"/>
  <c r="W1843" i="2"/>
  <c r="L1843" i="2"/>
  <c r="X1842" i="2"/>
  <c r="W1842" i="2"/>
  <c r="L1842" i="2"/>
  <c r="W1841" i="2"/>
  <c r="L1841" i="2"/>
  <c r="W1840" i="2"/>
  <c r="L1840" i="2"/>
  <c r="X1840" i="2" s="1"/>
  <c r="X1839" i="2"/>
  <c r="W1839" i="2"/>
  <c r="L1839" i="2"/>
  <c r="W1838" i="2"/>
  <c r="X1838" i="2" s="1"/>
  <c r="L1838" i="2"/>
  <c r="W1837" i="2"/>
  <c r="L1837" i="2"/>
  <c r="W1836" i="2"/>
  <c r="M1836" i="2"/>
  <c r="L1836" i="2"/>
  <c r="X1836" i="2" s="1"/>
  <c r="K1836" i="2"/>
  <c r="W1835" i="2"/>
  <c r="L1835" i="2"/>
  <c r="W1834" i="2"/>
  <c r="L1834" i="2"/>
  <c r="X1834" i="2" s="1"/>
  <c r="X1833" i="2"/>
  <c r="W1833" i="2"/>
  <c r="L1833" i="2"/>
  <c r="W1832" i="2"/>
  <c r="X1832" i="2" s="1"/>
  <c r="L1832" i="2"/>
  <c r="W1831" i="2"/>
  <c r="L1831" i="2"/>
  <c r="W1830" i="2"/>
  <c r="L1830" i="2"/>
  <c r="X1830" i="2" s="1"/>
  <c r="X1829" i="2"/>
  <c r="W1829" i="2"/>
  <c r="L1829" i="2"/>
  <c r="X1828" i="2"/>
  <c r="W1828" i="2"/>
  <c r="L1828" i="2"/>
  <c r="W1827" i="2"/>
  <c r="L1827" i="2"/>
  <c r="W1826" i="2"/>
  <c r="L1826" i="2"/>
  <c r="X1826" i="2" s="1"/>
  <c r="X1825" i="2"/>
  <c r="W1825" i="2"/>
  <c r="L1825" i="2"/>
  <c r="W1824" i="2"/>
  <c r="X1824" i="2" s="1"/>
  <c r="L1824" i="2"/>
  <c r="W1823" i="2"/>
  <c r="L1823" i="2"/>
  <c r="W1822" i="2"/>
  <c r="L1822" i="2"/>
  <c r="X1822" i="2" s="1"/>
  <c r="X1821" i="2"/>
  <c r="W1821" i="2"/>
  <c r="L1821" i="2"/>
  <c r="X1820" i="2"/>
  <c r="W1820" i="2"/>
  <c r="L1820" i="2"/>
  <c r="W1819" i="2"/>
  <c r="X1819" i="2" s="1"/>
  <c r="M1819" i="2"/>
  <c r="L1819" i="2"/>
  <c r="W1818" i="2"/>
  <c r="L1818" i="2"/>
  <c r="W1817" i="2"/>
  <c r="L1817" i="2"/>
  <c r="X1817" i="2" s="1"/>
  <c r="X1816" i="2"/>
  <c r="W1816" i="2"/>
  <c r="M1816" i="2"/>
  <c r="L1816" i="2"/>
  <c r="W1815" i="2"/>
  <c r="K1815" i="2"/>
  <c r="L1815" i="2" s="1"/>
  <c r="X1815" i="2" s="1"/>
  <c r="W1814" i="2"/>
  <c r="K1814" i="2"/>
  <c r="L1814" i="2" s="1"/>
  <c r="X1814" i="2" s="1"/>
  <c r="X1813" i="2"/>
  <c r="W1813" i="2"/>
  <c r="L1813" i="2"/>
  <c r="W1812" i="2"/>
  <c r="X1812" i="2" s="1"/>
  <c r="L1812" i="2"/>
  <c r="K1812" i="2"/>
  <c r="W1811" i="2"/>
  <c r="X1811" i="2" s="1"/>
  <c r="L1811" i="2"/>
  <c r="K1811" i="2"/>
  <c r="W1810" i="2"/>
  <c r="X1810" i="2" s="1"/>
  <c r="L1810" i="2"/>
  <c r="W1809" i="2"/>
  <c r="L1809" i="2"/>
  <c r="W1808" i="2"/>
  <c r="L1808" i="2"/>
  <c r="X1808" i="2" s="1"/>
  <c r="X1807" i="2"/>
  <c r="W1807" i="2"/>
  <c r="L1807" i="2"/>
  <c r="W1806" i="2"/>
  <c r="X1806" i="2" s="1"/>
  <c r="L1806" i="2"/>
  <c r="W1805" i="2"/>
  <c r="X1805" i="2" s="1"/>
  <c r="L1805" i="2"/>
  <c r="W1804" i="2"/>
  <c r="L1804" i="2"/>
  <c r="X1804" i="2" s="1"/>
  <c r="X1803" i="2"/>
  <c r="W1803" i="2"/>
  <c r="L1803" i="2"/>
  <c r="W1802" i="2"/>
  <c r="X1802" i="2" s="1"/>
  <c r="M1802" i="2"/>
  <c r="K1802" i="2"/>
  <c r="L1802" i="2" s="1"/>
  <c r="X1801" i="2"/>
  <c r="W1801" i="2"/>
  <c r="L1801" i="2"/>
  <c r="W1800" i="2"/>
  <c r="X1800" i="2" s="1"/>
  <c r="L1800" i="2"/>
  <c r="W1799" i="2"/>
  <c r="L1799" i="2"/>
  <c r="W1798" i="2"/>
  <c r="L1798" i="2"/>
  <c r="X1798" i="2" s="1"/>
  <c r="W1797" i="2"/>
  <c r="M1797" i="2"/>
  <c r="L1797" i="2"/>
  <c r="X1797" i="2" s="1"/>
  <c r="K1797" i="2"/>
  <c r="W1796" i="2"/>
  <c r="L1796" i="2"/>
  <c r="X1796" i="2" s="1"/>
  <c r="X1795" i="2"/>
  <c r="W1795" i="2"/>
  <c r="L1795" i="2"/>
  <c r="X1794" i="2"/>
  <c r="W1794" i="2"/>
  <c r="L1794" i="2"/>
  <c r="W1793" i="2"/>
  <c r="L1793" i="2"/>
  <c r="X1792" i="2"/>
  <c r="W1792" i="2"/>
  <c r="L1792" i="2"/>
  <c r="X1791" i="2"/>
  <c r="W1791" i="2"/>
  <c r="L1791" i="2"/>
  <c r="W1790" i="2"/>
  <c r="X1790" i="2" s="1"/>
  <c r="L1790" i="2"/>
  <c r="W1789" i="2"/>
  <c r="M1789" i="2"/>
  <c r="L1789" i="2"/>
  <c r="K1789" i="2"/>
  <c r="W1788" i="2"/>
  <c r="X1788" i="2" s="1"/>
  <c r="L1788" i="2"/>
  <c r="W1787" i="2"/>
  <c r="X1787" i="2" s="1"/>
  <c r="L1787" i="2"/>
  <c r="W1786" i="2"/>
  <c r="L1786" i="2"/>
  <c r="X1786" i="2" s="1"/>
  <c r="W1785" i="2"/>
  <c r="X1785" i="2" s="1"/>
  <c r="L1785" i="2"/>
  <c r="X1784" i="2"/>
  <c r="W1784" i="2"/>
  <c r="L1784" i="2"/>
  <c r="W1780" i="2"/>
  <c r="M1780" i="2"/>
  <c r="L1780" i="2"/>
  <c r="K1780" i="2"/>
  <c r="W1779" i="2"/>
  <c r="L1779" i="2"/>
  <c r="W1778" i="2"/>
  <c r="L1778" i="2"/>
  <c r="X1777" i="2"/>
  <c r="W1777" i="2"/>
  <c r="L1777" i="2"/>
  <c r="W1776" i="2"/>
  <c r="X1776" i="2" s="1"/>
  <c r="R1776" i="2"/>
  <c r="L1776" i="2"/>
  <c r="W1775" i="2"/>
  <c r="X1775" i="2" s="1"/>
  <c r="R1775" i="2"/>
  <c r="L1775" i="2"/>
  <c r="W1774" i="2"/>
  <c r="X1774" i="2" s="1"/>
  <c r="R1774" i="2"/>
  <c r="L1774" i="2"/>
  <c r="W1773" i="2"/>
  <c r="X1773" i="2" s="1"/>
  <c r="L1773" i="2"/>
  <c r="W1772" i="2"/>
  <c r="X1772" i="2" s="1"/>
  <c r="L1772" i="2"/>
  <c r="W1771" i="2"/>
  <c r="X1771" i="2" s="1"/>
  <c r="L1771" i="2"/>
  <c r="W1770" i="2"/>
  <c r="L1770" i="2"/>
  <c r="X1770" i="2" s="1"/>
  <c r="W1769" i="2"/>
  <c r="X1769" i="2" s="1"/>
  <c r="L1769" i="2"/>
  <c r="X1768" i="2"/>
  <c r="W1768" i="2"/>
  <c r="L1768" i="2"/>
  <c r="W1767" i="2"/>
  <c r="X1767" i="2" s="1"/>
  <c r="L1767" i="2"/>
  <c r="W1766" i="2"/>
  <c r="M1766" i="2"/>
  <c r="L1766" i="2"/>
  <c r="X1766" i="2" s="1"/>
  <c r="K1766" i="2"/>
  <c r="W1765" i="2"/>
  <c r="L1765" i="2"/>
  <c r="X1764" i="2"/>
  <c r="W1764" i="2"/>
  <c r="L1764" i="2"/>
  <c r="W1763" i="2"/>
  <c r="X1763" i="2" s="1"/>
  <c r="L1763" i="2"/>
  <c r="W1762" i="2"/>
  <c r="X1762" i="2" s="1"/>
  <c r="M1762" i="2"/>
  <c r="L1762" i="2"/>
  <c r="W1761" i="2"/>
  <c r="L1761" i="2"/>
  <c r="W1760" i="2"/>
  <c r="L1760" i="2"/>
  <c r="X1759" i="2"/>
  <c r="W1759" i="2"/>
  <c r="L1759" i="2"/>
  <c r="W1758" i="2"/>
  <c r="X1758" i="2" s="1"/>
  <c r="L1758" i="2"/>
  <c r="W1757" i="2"/>
  <c r="X1757" i="2" s="1"/>
  <c r="L1757" i="2"/>
  <c r="W1756" i="2"/>
  <c r="X1756" i="2" s="1"/>
  <c r="L1756" i="2"/>
  <c r="W1755" i="2"/>
  <c r="L1755" i="2"/>
  <c r="X1755" i="2" s="1"/>
  <c r="W1754" i="2"/>
  <c r="X1754" i="2" s="1"/>
  <c r="L1754" i="2"/>
  <c r="X1753" i="2"/>
  <c r="W1753" i="2"/>
  <c r="L1753" i="2"/>
  <c r="W1752" i="2"/>
  <c r="L1752" i="2"/>
  <c r="W1751" i="2"/>
  <c r="L1751" i="2"/>
  <c r="X1751" i="2" s="1"/>
  <c r="X1750" i="2"/>
  <c r="W1750" i="2"/>
  <c r="L1750" i="2"/>
  <c r="X1749" i="2"/>
  <c r="W1749" i="2"/>
  <c r="L1749" i="2"/>
  <c r="W1748" i="2"/>
  <c r="L1748" i="2"/>
  <c r="X1747" i="2"/>
  <c r="W1747" i="2"/>
  <c r="L1747" i="2"/>
  <c r="X1746" i="2"/>
  <c r="W1746" i="2"/>
  <c r="L1746" i="2"/>
  <c r="W1745" i="2"/>
  <c r="L1745" i="2"/>
  <c r="W1744" i="2"/>
  <c r="L1744" i="2"/>
  <c r="X1743" i="2"/>
  <c r="W1743" i="2"/>
  <c r="L1743" i="2"/>
  <c r="W1742" i="2"/>
  <c r="X1742" i="2" s="1"/>
  <c r="L1742" i="2"/>
  <c r="W1741" i="2"/>
  <c r="X1741" i="2" s="1"/>
  <c r="L1741" i="2"/>
  <c r="W1740" i="2"/>
  <c r="X1740" i="2" s="1"/>
  <c r="L1740" i="2"/>
  <c r="W1739" i="2"/>
  <c r="L1739" i="2"/>
  <c r="X1739" i="2" s="1"/>
  <c r="W1738" i="2"/>
  <c r="X1738" i="2" s="1"/>
  <c r="L1738" i="2"/>
  <c r="X1737" i="2"/>
  <c r="W1737" i="2"/>
  <c r="L1737" i="2"/>
  <c r="W1736" i="2"/>
  <c r="L1736" i="2"/>
  <c r="W1735" i="2"/>
  <c r="L1735" i="2"/>
  <c r="X1735" i="2" s="1"/>
  <c r="X1734" i="2"/>
  <c r="W1734" i="2"/>
  <c r="L1734" i="2"/>
  <c r="X1733" i="2"/>
  <c r="W1733" i="2"/>
  <c r="L1733" i="2"/>
  <c r="W1732" i="2"/>
  <c r="L1732" i="2"/>
  <c r="X1731" i="2"/>
  <c r="W1731" i="2"/>
  <c r="L1731" i="2"/>
  <c r="X1730" i="2"/>
  <c r="W1730" i="2"/>
  <c r="L1730" i="2"/>
  <c r="W1729" i="2"/>
  <c r="L1729" i="2"/>
  <c r="W1728" i="2"/>
  <c r="L1728" i="2"/>
  <c r="X1727" i="2"/>
  <c r="W1727" i="2"/>
  <c r="L1727" i="2"/>
  <c r="W1726" i="2"/>
  <c r="X1726" i="2" s="1"/>
  <c r="L1726" i="2"/>
  <c r="W1725" i="2"/>
  <c r="X1725" i="2" s="1"/>
  <c r="L1725" i="2"/>
  <c r="X1724" i="2"/>
  <c r="W1724" i="2"/>
  <c r="L1724" i="2"/>
  <c r="W1723" i="2"/>
  <c r="X1723" i="2" s="1"/>
  <c r="M1723" i="2"/>
  <c r="L1723" i="2"/>
  <c r="W1722" i="2"/>
  <c r="X1722" i="2" s="1"/>
  <c r="L1722" i="2"/>
  <c r="W1721" i="2"/>
  <c r="X1721" i="2" s="1"/>
  <c r="L1721" i="2"/>
  <c r="W1720" i="2"/>
  <c r="X1720" i="2" s="1"/>
  <c r="L1720" i="2"/>
  <c r="X1719" i="2"/>
  <c r="W1719" i="2"/>
  <c r="L1719" i="2"/>
  <c r="W1718" i="2"/>
  <c r="X1718" i="2" s="1"/>
  <c r="L1718" i="2"/>
  <c r="W1717" i="2"/>
  <c r="X1717" i="2" s="1"/>
  <c r="L1717" i="2"/>
  <c r="W1716" i="2"/>
  <c r="X1716" i="2" s="1"/>
  <c r="L1716" i="2"/>
  <c r="X1715" i="2"/>
  <c r="W1715" i="2"/>
  <c r="L1715" i="2"/>
  <c r="W1714" i="2"/>
  <c r="X1714" i="2" s="1"/>
  <c r="L1714" i="2"/>
  <c r="W1713" i="2"/>
  <c r="X1713" i="2" s="1"/>
  <c r="L1713" i="2"/>
  <c r="W1712" i="2"/>
  <c r="X1712" i="2" s="1"/>
  <c r="L1712" i="2"/>
  <c r="X1711" i="2"/>
  <c r="W1711" i="2"/>
  <c r="L1711" i="2"/>
  <c r="W1710" i="2"/>
  <c r="X1710" i="2" s="1"/>
  <c r="L1710" i="2"/>
  <c r="W1709" i="2"/>
  <c r="X1709" i="2" s="1"/>
  <c r="L1709" i="2"/>
  <c r="W1708" i="2"/>
  <c r="X1708" i="2" s="1"/>
  <c r="L1708" i="2"/>
  <c r="X1707" i="2"/>
  <c r="W1707" i="2"/>
  <c r="L1707" i="2"/>
  <c r="W1706" i="2"/>
  <c r="X1706" i="2" s="1"/>
  <c r="L1706" i="2"/>
  <c r="W1705" i="2"/>
  <c r="X1705" i="2" s="1"/>
  <c r="L1705" i="2"/>
  <c r="W1704" i="2"/>
  <c r="X1704" i="2" s="1"/>
  <c r="M1704" i="2"/>
  <c r="L1704" i="2"/>
  <c r="K1704" i="2"/>
  <c r="W1703" i="2"/>
  <c r="X1703" i="2" s="1"/>
  <c r="L1703" i="2"/>
  <c r="W1702" i="2"/>
  <c r="X1702" i="2" s="1"/>
  <c r="L1702" i="2"/>
  <c r="X1701" i="2"/>
  <c r="W1701" i="2"/>
  <c r="L1701" i="2"/>
  <c r="W1700" i="2"/>
  <c r="X1700" i="2" s="1"/>
  <c r="L1700" i="2"/>
  <c r="W1699" i="2"/>
  <c r="X1699" i="2" s="1"/>
  <c r="L1699" i="2"/>
  <c r="W1698" i="2"/>
  <c r="X1698" i="2" s="1"/>
  <c r="L1698" i="2"/>
  <c r="X1697" i="2"/>
  <c r="W1697" i="2"/>
  <c r="L1697" i="2"/>
  <c r="W1696" i="2"/>
  <c r="X1696" i="2" s="1"/>
  <c r="L1696" i="2"/>
  <c r="W1695" i="2"/>
  <c r="X1695" i="2" s="1"/>
  <c r="L1695" i="2"/>
  <c r="W1694" i="2"/>
  <c r="X1694" i="2" s="1"/>
  <c r="L1694" i="2"/>
  <c r="X1693" i="2"/>
  <c r="W1693" i="2"/>
  <c r="L1693" i="2"/>
  <c r="W1692" i="2"/>
  <c r="X1692" i="2" s="1"/>
  <c r="L1692" i="2"/>
  <c r="W1691" i="2"/>
  <c r="X1691" i="2" s="1"/>
  <c r="L1691" i="2"/>
  <c r="W1690" i="2"/>
  <c r="X1690" i="2" s="1"/>
  <c r="L1690" i="2"/>
  <c r="X1689" i="2"/>
  <c r="W1689" i="2"/>
  <c r="L1689" i="2"/>
  <c r="W1688" i="2"/>
  <c r="X1688" i="2" s="1"/>
  <c r="L1688" i="2"/>
  <c r="W1687" i="2"/>
  <c r="X1687" i="2" s="1"/>
  <c r="L1687" i="2"/>
  <c r="W1686" i="2"/>
  <c r="K1686" i="2"/>
  <c r="L1686" i="2" s="1"/>
  <c r="W1685" i="2"/>
  <c r="L1685" i="2"/>
  <c r="X1684" i="2"/>
  <c r="W1684" i="2"/>
  <c r="L1684" i="2"/>
  <c r="X1683" i="2"/>
  <c r="W1683" i="2"/>
  <c r="L1683" i="2"/>
  <c r="W1682" i="2"/>
  <c r="L1682" i="2"/>
  <c r="W1681" i="2"/>
  <c r="L1681" i="2"/>
  <c r="X1680" i="2"/>
  <c r="W1680" i="2"/>
  <c r="L1680" i="2"/>
  <c r="X1679" i="2"/>
  <c r="W1679" i="2"/>
  <c r="L1679" i="2"/>
  <c r="W1678" i="2"/>
  <c r="L1678" i="2"/>
  <c r="W1677" i="2"/>
  <c r="L1677" i="2"/>
  <c r="X1676" i="2"/>
  <c r="W1676" i="2"/>
  <c r="L1676" i="2"/>
  <c r="X1675" i="2"/>
  <c r="W1675" i="2"/>
  <c r="L1675" i="2"/>
  <c r="W1674" i="2"/>
  <c r="L1674" i="2"/>
  <c r="W1673" i="2"/>
  <c r="L1673" i="2"/>
  <c r="X1672" i="2"/>
  <c r="W1672" i="2"/>
  <c r="L1672" i="2"/>
  <c r="X1671" i="2"/>
  <c r="W1671" i="2"/>
  <c r="L1671" i="2"/>
  <c r="W1670" i="2"/>
  <c r="L1670" i="2"/>
  <c r="W1669" i="2"/>
  <c r="L1669" i="2"/>
  <c r="X1668" i="2"/>
  <c r="W1668" i="2"/>
  <c r="L1668" i="2"/>
  <c r="X1667" i="2"/>
  <c r="W1667" i="2"/>
  <c r="L1667" i="2"/>
  <c r="W1666" i="2"/>
  <c r="L1666" i="2"/>
  <c r="W1665" i="2"/>
  <c r="L1665" i="2"/>
  <c r="X1664" i="2"/>
  <c r="W1664" i="2"/>
  <c r="L1664" i="2"/>
  <c r="X1663" i="2"/>
  <c r="W1663" i="2"/>
  <c r="L1663" i="2"/>
  <c r="W1662" i="2"/>
  <c r="L1662" i="2"/>
  <c r="W1661" i="2"/>
  <c r="L1661" i="2"/>
  <c r="X1660" i="2"/>
  <c r="W1660" i="2"/>
  <c r="L1660" i="2"/>
  <c r="X1659" i="2"/>
  <c r="W1659" i="2"/>
  <c r="L1659" i="2"/>
  <c r="W1658" i="2"/>
  <c r="L1658" i="2"/>
  <c r="W1657" i="2"/>
  <c r="L1657" i="2"/>
  <c r="X1656" i="2"/>
  <c r="W1656" i="2"/>
  <c r="L1656" i="2"/>
  <c r="X1655" i="2"/>
  <c r="W1655" i="2"/>
  <c r="L1655" i="2"/>
  <c r="W1654" i="2"/>
  <c r="M1654" i="2"/>
  <c r="K1654" i="2"/>
  <c r="L1654" i="2" s="1"/>
  <c r="X1653" i="2"/>
  <c r="W1653" i="2"/>
  <c r="L1653" i="2"/>
  <c r="W1652" i="2"/>
  <c r="L1652" i="2"/>
  <c r="W1651" i="2"/>
  <c r="L1651" i="2"/>
  <c r="X1650" i="2"/>
  <c r="W1650" i="2"/>
  <c r="L1650" i="2"/>
  <c r="X1649" i="2"/>
  <c r="W1649" i="2"/>
  <c r="L1649" i="2"/>
  <c r="W1648" i="2"/>
  <c r="L1648" i="2"/>
  <c r="W1647" i="2"/>
  <c r="L1647" i="2"/>
  <c r="X1646" i="2"/>
  <c r="W1646" i="2"/>
  <c r="L1646" i="2"/>
  <c r="X1645" i="2"/>
  <c r="W1645" i="2"/>
  <c r="L1645" i="2"/>
  <c r="W1644" i="2"/>
  <c r="L1644" i="2"/>
  <c r="W1643" i="2"/>
  <c r="L1643" i="2"/>
  <c r="X1642" i="2"/>
  <c r="W1642" i="2"/>
  <c r="L1642" i="2"/>
  <c r="X1641" i="2"/>
  <c r="W1641" i="2"/>
  <c r="L1641" i="2"/>
  <c r="W1640" i="2"/>
  <c r="L1640" i="2"/>
  <c r="W1639" i="2"/>
  <c r="L1639" i="2"/>
  <c r="X1638" i="2"/>
  <c r="W1638" i="2"/>
  <c r="L1638" i="2"/>
  <c r="X1637" i="2"/>
  <c r="W1637" i="2"/>
  <c r="L1637" i="2"/>
  <c r="W1636" i="2"/>
  <c r="L1636" i="2"/>
  <c r="W1635" i="2"/>
  <c r="L1635" i="2"/>
  <c r="X1634" i="2"/>
  <c r="W1634" i="2"/>
  <c r="L1634" i="2"/>
  <c r="X1633" i="2"/>
  <c r="W1633" i="2"/>
  <c r="L1633" i="2"/>
  <c r="W1632" i="2"/>
  <c r="X1632" i="2" s="1"/>
  <c r="M1632" i="2"/>
  <c r="L1632" i="2"/>
  <c r="W1631" i="2"/>
  <c r="X1631" i="2" s="1"/>
  <c r="L1631" i="2"/>
  <c r="W1630" i="2"/>
  <c r="X1630" i="2" s="1"/>
  <c r="L1630" i="2"/>
  <c r="X1629" i="2"/>
  <c r="W1629" i="2"/>
  <c r="L1629" i="2"/>
  <c r="W1628" i="2"/>
  <c r="X1628" i="2" s="1"/>
  <c r="L1628" i="2"/>
  <c r="W1627" i="2"/>
  <c r="X1627" i="2" s="1"/>
  <c r="L1627" i="2"/>
  <c r="W1626" i="2"/>
  <c r="X1626" i="2" s="1"/>
  <c r="L1626" i="2"/>
  <c r="X1625" i="2"/>
  <c r="W1625" i="2"/>
  <c r="L1625" i="2"/>
  <c r="W1624" i="2"/>
  <c r="X1624" i="2" s="1"/>
  <c r="L1624" i="2"/>
  <c r="W1623" i="2"/>
  <c r="X1623" i="2" s="1"/>
  <c r="L1623" i="2"/>
  <c r="K1623" i="2"/>
  <c r="W1622" i="2"/>
  <c r="L1622" i="2"/>
  <c r="W1621" i="2"/>
  <c r="L1621" i="2"/>
  <c r="X1620" i="2"/>
  <c r="W1620" i="2"/>
  <c r="L1620" i="2"/>
  <c r="X1619" i="2"/>
  <c r="W1619" i="2"/>
  <c r="K1619" i="2"/>
  <c r="L1619" i="2" s="1"/>
  <c r="W1618" i="2"/>
  <c r="X1618" i="2" s="1"/>
  <c r="L1618" i="2"/>
  <c r="W1617" i="2"/>
  <c r="M1617" i="2"/>
  <c r="K1617" i="2"/>
  <c r="L1617" i="2" s="1"/>
  <c r="W1616" i="2"/>
  <c r="X1616" i="2" s="1"/>
  <c r="L1616" i="2"/>
  <c r="W1615" i="2"/>
  <c r="X1615" i="2" s="1"/>
  <c r="L1615" i="2"/>
  <c r="W1614" i="2"/>
  <c r="X1614" i="2" s="1"/>
  <c r="L1614" i="2"/>
  <c r="X1613" i="2"/>
  <c r="W1613" i="2"/>
  <c r="L1613" i="2"/>
  <c r="W1612" i="2"/>
  <c r="X1612" i="2" s="1"/>
  <c r="L1612" i="2"/>
  <c r="W1611" i="2"/>
  <c r="X1611" i="2" s="1"/>
  <c r="L1611" i="2"/>
  <c r="W1610" i="2"/>
  <c r="X1610" i="2" s="1"/>
  <c r="L1610" i="2"/>
  <c r="X1609" i="2"/>
  <c r="W1609" i="2"/>
  <c r="L1609" i="2"/>
  <c r="W1608" i="2"/>
  <c r="X1608" i="2" s="1"/>
  <c r="L1608" i="2"/>
  <c r="W1607" i="2"/>
  <c r="X1607" i="2" s="1"/>
  <c r="L1607" i="2"/>
  <c r="W1606" i="2"/>
  <c r="X1606" i="2" s="1"/>
  <c r="L1606" i="2"/>
  <c r="X1605" i="2"/>
  <c r="W1605" i="2"/>
  <c r="L1605" i="2"/>
  <c r="W1604" i="2"/>
  <c r="X1604" i="2" s="1"/>
  <c r="L1604" i="2"/>
  <c r="W1603" i="2"/>
  <c r="M1603" i="2"/>
  <c r="K1603" i="2"/>
  <c r="L1603" i="2" s="1"/>
  <c r="W1602" i="2"/>
  <c r="M1602" i="2"/>
  <c r="K1602" i="2"/>
  <c r="L1602" i="2" s="1"/>
  <c r="W1601" i="2"/>
  <c r="M1601" i="2"/>
  <c r="L1601" i="2"/>
  <c r="X1601" i="2" s="1"/>
  <c r="K1601" i="2"/>
  <c r="W1600" i="2"/>
  <c r="X1600" i="2" s="1"/>
  <c r="L1600" i="2"/>
  <c r="X1599" i="2"/>
  <c r="W1599" i="2"/>
  <c r="L1599" i="2"/>
  <c r="W1598" i="2"/>
  <c r="X1598" i="2" s="1"/>
  <c r="M1598" i="2"/>
  <c r="L1598" i="2"/>
  <c r="W1597" i="2"/>
  <c r="X1597" i="2" s="1"/>
  <c r="L1597" i="2"/>
  <c r="W1596" i="2"/>
  <c r="M1596" i="2"/>
  <c r="K1596" i="2"/>
  <c r="L1596" i="2" s="1"/>
  <c r="W1595" i="2"/>
  <c r="X1595" i="2" s="1"/>
  <c r="L1595" i="2"/>
  <c r="W1594" i="2"/>
  <c r="X1594" i="2" s="1"/>
  <c r="L1594" i="2"/>
  <c r="W1593" i="2"/>
  <c r="X1593" i="2" s="1"/>
  <c r="L1593" i="2"/>
  <c r="X1592" i="2"/>
  <c r="W1592" i="2"/>
  <c r="L1592" i="2"/>
  <c r="W1591" i="2"/>
  <c r="X1591" i="2" s="1"/>
  <c r="L1591" i="2"/>
  <c r="W1590" i="2"/>
  <c r="X1590" i="2" s="1"/>
  <c r="L1590" i="2"/>
  <c r="W1589" i="2"/>
  <c r="X1589" i="2" s="1"/>
  <c r="L1589" i="2"/>
  <c r="X1588" i="2"/>
  <c r="W1588" i="2"/>
  <c r="L1588" i="2"/>
  <c r="W1587" i="2"/>
  <c r="X1587" i="2" s="1"/>
  <c r="L1587" i="2"/>
  <c r="W1586" i="2"/>
  <c r="X1586" i="2" s="1"/>
  <c r="L1586" i="2"/>
  <c r="W1585" i="2"/>
  <c r="X1585" i="2" s="1"/>
  <c r="L1585" i="2"/>
  <c r="X1584" i="2"/>
  <c r="W1584" i="2"/>
  <c r="L1584" i="2"/>
  <c r="W1583" i="2"/>
  <c r="X1583" i="2" s="1"/>
  <c r="L1583" i="2"/>
  <c r="W1582" i="2"/>
  <c r="X1582" i="2" s="1"/>
  <c r="L1582" i="2"/>
  <c r="W1581" i="2"/>
  <c r="X1581" i="2" s="1"/>
  <c r="L1581" i="2"/>
  <c r="X1580" i="2"/>
  <c r="W1580" i="2"/>
  <c r="L1580" i="2"/>
  <c r="W1579" i="2"/>
  <c r="X1579" i="2" s="1"/>
  <c r="L1579" i="2"/>
  <c r="W1578" i="2"/>
  <c r="X1578" i="2" s="1"/>
  <c r="L1578" i="2"/>
  <c r="W1577" i="2"/>
  <c r="X1577" i="2" s="1"/>
  <c r="L1577" i="2"/>
  <c r="X1576" i="2"/>
  <c r="W1576" i="2"/>
  <c r="M1576" i="2"/>
  <c r="L1576" i="2"/>
  <c r="X1575" i="2"/>
  <c r="W1575" i="2"/>
  <c r="L1575" i="2"/>
  <c r="W1574" i="2"/>
  <c r="X1574" i="2" s="1"/>
  <c r="L1574" i="2"/>
  <c r="W1573" i="2"/>
  <c r="X1573" i="2" s="1"/>
  <c r="M1573" i="2"/>
  <c r="L1573" i="2"/>
  <c r="W1572" i="2"/>
  <c r="X1572" i="2" s="1"/>
  <c r="M1572" i="2"/>
  <c r="L1572" i="2"/>
  <c r="W1571" i="2"/>
  <c r="X1571" i="2" s="1"/>
  <c r="L1571" i="2"/>
  <c r="W1570" i="2"/>
  <c r="X1570" i="2" s="1"/>
  <c r="L1570" i="2"/>
  <c r="X1569" i="2"/>
  <c r="W1569" i="2"/>
  <c r="L1569" i="2"/>
  <c r="W1568" i="2"/>
  <c r="X1568" i="2" s="1"/>
  <c r="K1568" i="2"/>
  <c r="L1568" i="2" s="1"/>
  <c r="X1567" i="2"/>
  <c r="W1567" i="2"/>
  <c r="M1567" i="2"/>
  <c r="K1567" i="2"/>
  <c r="L1567" i="2" s="1"/>
  <c r="X1566" i="2"/>
  <c r="W1566" i="2"/>
  <c r="L1566" i="2"/>
  <c r="W1565" i="2"/>
  <c r="X1565" i="2" s="1"/>
  <c r="L1565" i="2"/>
  <c r="W1564" i="2"/>
  <c r="X1564" i="2" s="1"/>
  <c r="L1564" i="2"/>
  <c r="W1563" i="2"/>
  <c r="X1563" i="2" s="1"/>
  <c r="L1563" i="2"/>
  <c r="X1562" i="2"/>
  <c r="W1562" i="2"/>
  <c r="L1562" i="2"/>
  <c r="W1561" i="2"/>
  <c r="X1561" i="2" s="1"/>
  <c r="L1561" i="2"/>
  <c r="W1560" i="2"/>
  <c r="X1560" i="2" s="1"/>
  <c r="L1560" i="2"/>
  <c r="W1559" i="2"/>
  <c r="X1559" i="2" s="1"/>
  <c r="L1559" i="2"/>
  <c r="X1558" i="2"/>
  <c r="W1558" i="2"/>
  <c r="L1558" i="2"/>
  <c r="W1557" i="2"/>
  <c r="X1557" i="2" s="1"/>
  <c r="L1557" i="2"/>
  <c r="W1556" i="2"/>
  <c r="X1556" i="2" s="1"/>
  <c r="L1556" i="2"/>
  <c r="W1555" i="2"/>
  <c r="X1555" i="2" s="1"/>
  <c r="L1555" i="2"/>
  <c r="X1554" i="2"/>
  <c r="W1554" i="2"/>
  <c r="L1554" i="2"/>
  <c r="W1553" i="2"/>
  <c r="X1553" i="2" s="1"/>
  <c r="L1553" i="2"/>
  <c r="W1552" i="2"/>
  <c r="X1552" i="2" s="1"/>
  <c r="L1552" i="2"/>
  <c r="W1551" i="2"/>
  <c r="X1551" i="2" s="1"/>
  <c r="L1551" i="2"/>
  <c r="X1550" i="2"/>
  <c r="W1550" i="2"/>
  <c r="L1550" i="2"/>
  <c r="W1549" i="2"/>
  <c r="X1549" i="2" s="1"/>
  <c r="L1549" i="2"/>
  <c r="W1548" i="2"/>
  <c r="X1548" i="2" s="1"/>
  <c r="L1548" i="2"/>
  <c r="W1547" i="2"/>
  <c r="X1547" i="2" s="1"/>
  <c r="L1547" i="2"/>
  <c r="X1546" i="2"/>
  <c r="W1546" i="2"/>
  <c r="L1546" i="2"/>
  <c r="W1545" i="2"/>
  <c r="X1545" i="2" s="1"/>
  <c r="L1545" i="2"/>
  <c r="W1544" i="2"/>
  <c r="X1544" i="2" s="1"/>
  <c r="L1544" i="2"/>
  <c r="W1543" i="2"/>
  <c r="X1543" i="2" s="1"/>
  <c r="L1543" i="2"/>
  <c r="X1542" i="2"/>
  <c r="W1542" i="2"/>
  <c r="L1542" i="2"/>
  <c r="W1541" i="2"/>
  <c r="X1541" i="2" s="1"/>
  <c r="L1541" i="2"/>
  <c r="W1540" i="2"/>
  <c r="X1540" i="2" s="1"/>
  <c r="L1540" i="2"/>
  <c r="W1539" i="2"/>
  <c r="X1539" i="2" s="1"/>
  <c r="L1539" i="2"/>
  <c r="X1538" i="2"/>
  <c r="W1538" i="2"/>
  <c r="L1538" i="2"/>
  <c r="W1537" i="2"/>
  <c r="X1537" i="2" s="1"/>
  <c r="L1537" i="2"/>
  <c r="W1536" i="2"/>
  <c r="X1536" i="2" s="1"/>
  <c r="L1536" i="2"/>
  <c r="W1535" i="2"/>
  <c r="X1535" i="2" s="1"/>
  <c r="L1535" i="2"/>
  <c r="X1534" i="2"/>
  <c r="W1534" i="2"/>
  <c r="L1534" i="2"/>
  <c r="W1533" i="2"/>
  <c r="X1533" i="2" s="1"/>
  <c r="L1533" i="2"/>
  <c r="W1532" i="2"/>
  <c r="X1532" i="2" s="1"/>
  <c r="L1532" i="2"/>
  <c r="W1531" i="2"/>
  <c r="X1531" i="2" s="1"/>
  <c r="L1531" i="2"/>
  <c r="X1530" i="2"/>
  <c r="W1530" i="2"/>
  <c r="L1530" i="2"/>
  <c r="W1529" i="2"/>
  <c r="X1529" i="2" s="1"/>
  <c r="L1529" i="2"/>
  <c r="W1528" i="2"/>
  <c r="X1528" i="2" s="1"/>
  <c r="L1528" i="2"/>
  <c r="W1527" i="2"/>
  <c r="X1527" i="2" s="1"/>
  <c r="L1527" i="2"/>
  <c r="X1526" i="2"/>
  <c r="W1526" i="2"/>
  <c r="L1526" i="2"/>
  <c r="W1525" i="2"/>
  <c r="X1525" i="2" s="1"/>
  <c r="L1525" i="2"/>
  <c r="W1524" i="2"/>
  <c r="X1524" i="2" s="1"/>
  <c r="L1524" i="2"/>
  <c r="W1523" i="2"/>
  <c r="M1523" i="2"/>
  <c r="L1523" i="2"/>
  <c r="K1523" i="2"/>
  <c r="W1522" i="2"/>
  <c r="X1522" i="2" s="1"/>
  <c r="L1522" i="2"/>
  <c r="W1521" i="2"/>
  <c r="X1521" i="2" s="1"/>
  <c r="M1521" i="2"/>
  <c r="L1521" i="2"/>
  <c r="W1520" i="2"/>
  <c r="L1520" i="2"/>
  <c r="X1519" i="2"/>
  <c r="W1519" i="2"/>
  <c r="L1519" i="2"/>
  <c r="X1518" i="2"/>
  <c r="W1518" i="2"/>
  <c r="L1518" i="2"/>
  <c r="W1517" i="2"/>
  <c r="L1517" i="2"/>
  <c r="W1516" i="2"/>
  <c r="L1516" i="2"/>
  <c r="X1515" i="2"/>
  <c r="W1515" i="2"/>
  <c r="L1515" i="2"/>
  <c r="X1514" i="2"/>
  <c r="W1514" i="2"/>
  <c r="L1514" i="2"/>
  <c r="W1513" i="2"/>
  <c r="L1513" i="2"/>
  <c r="W1512" i="2"/>
  <c r="L1512" i="2"/>
  <c r="X1511" i="2"/>
  <c r="W1511" i="2"/>
  <c r="L1511" i="2"/>
  <c r="X1510" i="2"/>
  <c r="W1510" i="2"/>
  <c r="M1510" i="2"/>
  <c r="L1510" i="2"/>
  <c r="X1509" i="2"/>
  <c r="W1509" i="2"/>
  <c r="M1509" i="2"/>
  <c r="K1509" i="2"/>
  <c r="L1509" i="2" s="1"/>
  <c r="X1508" i="2"/>
  <c r="W1508" i="2"/>
  <c r="L1508" i="2"/>
  <c r="W1507" i="2"/>
  <c r="X1507" i="2" s="1"/>
  <c r="L1507" i="2"/>
  <c r="W1506" i="2"/>
  <c r="X1506" i="2" s="1"/>
  <c r="L1506" i="2"/>
  <c r="W1505" i="2"/>
  <c r="X1505" i="2" s="1"/>
  <c r="L1505" i="2"/>
  <c r="X1504" i="2"/>
  <c r="W1504" i="2"/>
  <c r="L1504" i="2"/>
  <c r="W1503" i="2"/>
  <c r="X1503" i="2" s="1"/>
  <c r="L1503" i="2"/>
  <c r="W1502" i="2"/>
  <c r="X1502" i="2" s="1"/>
  <c r="L1502" i="2"/>
  <c r="W1501" i="2"/>
  <c r="X1501" i="2" s="1"/>
  <c r="L1501" i="2"/>
  <c r="X1500" i="2"/>
  <c r="W1500" i="2"/>
  <c r="L1500" i="2"/>
  <c r="W1499" i="2"/>
  <c r="X1499" i="2" s="1"/>
  <c r="L1499" i="2"/>
  <c r="W1498" i="2"/>
  <c r="X1498" i="2" s="1"/>
  <c r="L1498" i="2"/>
  <c r="W1497" i="2"/>
  <c r="X1497" i="2" s="1"/>
  <c r="L1497" i="2"/>
  <c r="X1496" i="2"/>
  <c r="W1496" i="2"/>
  <c r="L1496" i="2"/>
  <c r="W1495" i="2"/>
  <c r="X1495" i="2" s="1"/>
  <c r="L1495" i="2"/>
  <c r="W1494" i="2"/>
  <c r="X1494" i="2" s="1"/>
  <c r="L1494" i="2"/>
  <c r="W1493" i="2"/>
  <c r="X1493" i="2" s="1"/>
  <c r="L1493" i="2"/>
  <c r="X1492" i="2"/>
  <c r="W1492" i="2"/>
  <c r="L1492" i="2"/>
  <c r="W1491" i="2"/>
  <c r="X1491" i="2" s="1"/>
  <c r="K1491" i="2"/>
  <c r="L1491" i="2" s="1"/>
  <c r="X1490" i="2"/>
  <c r="W1490" i="2"/>
  <c r="L1490" i="2"/>
  <c r="W1489" i="2"/>
  <c r="L1489" i="2"/>
  <c r="W1488" i="2"/>
  <c r="L1488" i="2"/>
  <c r="K1488" i="2"/>
  <c r="W1487" i="2"/>
  <c r="X1487" i="2" s="1"/>
  <c r="L1487" i="2"/>
  <c r="X1486" i="2"/>
  <c r="W1486" i="2"/>
  <c r="L1486" i="2"/>
  <c r="W1485" i="2"/>
  <c r="X1485" i="2" s="1"/>
  <c r="L1485" i="2"/>
  <c r="W1484" i="2"/>
  <c r="X1484" i="2" s="1"/>
  <c r="L1484" i="2"/>
  <c r="W1483" i="2"/>
  <c r="X1483" i="2" s="1"/>
  <c r="L1483" i="2"/>
  <c r="X1482" i="2"/>
  <c r="W1482" i="2"/>
  <c r="L1482" i="2"/>
  <c r="W1481" i="2"/>
  <c r="M1481" i="2"/>
  <c r="K1481" i="2"/>
  <c r="L1481" i="2" s="1"/>
  <c r="X1480" i="2"/>
  <c r="W1480" i="2"/>
  <c r="L1480" i="2"/>
  <c r="X1479" i="2"/>
  <c r="W1479" i="2"/>
  <c r="L1479" i="2"/>
  <c r="W1478" i="2"/>
  <c r="L1478" i="2"/>
  <c r="W1477" i="2"/>
  <c r="L1477" i="2"/>
  <c r="X1476" i="2"/>
  <c r="W1476" i="2"/>
  <c r="L1476" i="2"/>
  <c r="X1475" i="2"/>
  <c r="W1475" i="2"/>
  <c r="L1475" i="2"/>
  <c r="W1474" i="2"/>
  <c r="L1474" i="2"/>
  <c r="W1473" i="2"/>
  <c r="L1473" i="2"/>
  <c r="W1472" i="2"/>
  <c r="M1472" i="2"/>
  <c r="L1472" i="2"/>
  <c r="X1472" i="2" s="1"/>
  <c r="X1471" i="2"/>
  <c r="W1471" i="2"/>
  <c r="L1471" i="2"/>
  <c r="X1470" i="2"/>
  <c r="W1470" i="2"/>
  <c r="L1470" i="2"/>
  <c r="W1469" i="2"/>
  <c r="L1469" i="2"/>
  <c r="W1468" i="2"/>
  <c r="L1468" i="2"/>
  <c r="X1467" i="2"/>
  <c r="W1467" i="2"/>
  <c r="L1467" i="2"/>
  <c r="X1466" i="2"/>
  <c r="W1466" i="2"/>
  <c r="L1466" i="2"/>
  <c r="W1465" i="2"/>
  <c r="X1465" i="2" s="1"/>
  <c r="M1465" i="2"/>
  <c r="L1465" i="2"/>
  <c r="W1464" i="2"/>
  <c r="X1464" i="2" s="1"/>
  <c r="L1464" i="2"/>
  <c r="W1463" i="2"/>
  <c r="X1463" i="2" s="1"/>
  <c r="L1463" i="2"/>
  <c r="X1462" i="2"/>
  <c r="W1462" i="2"/>
  <c r="L1462" i="2"/>
  <c r="W1461" i="2"/>
  <c r="X1461" i="2" s="1"/>
  <c r="M1461" i="2"/>
  <c r="K1461" i="2"/>
  <c r="L1461" i="2" s="1"/>
  <c r="W1460" i="2"/>
  <c r="M1460" i="2"/>
  <c r="L1460" i="2"/>
  <c r="X1460" i="2" s="1"/>
  <c r="X1459" i="2"/>
  <c r="W1459" i="2"/>
  <c r="L1459" i="2"/>
  <c r="X1458" i="2"/>
  <c r="W1458" i="2"/>
  <c r="L1458" i="2"/>
  <c r="W1457" i="2"/>
  <c r="L1457" i="2"/>
  <c r="K1457" i="2"/>
  <c r="W1456" i="2"/>
  <c r="X1456" i="2" s="1"/>
  <c r="M1456" i="2"/>
  <c r="K1456" i="2"/>
  <c r="L1456" i="2" s="1"/>
  <c r="W1455" i="2"/>
  <c r="X1455" i="2" s="1"/>
  <c r="L1455" i="2"/>
  <c r="W1454" i="2"/>
  <c r="X1454" i="2" s="1"/>
  <c r="L1454" i="2"/>
  <c r="W1453" i="2"/>
  <c r="X1453" i="2" s="1"/>
  <c r="L1453" i="2"/>
  <c r="X1452" i="2"/>
  <c r="W1452" i="2"/>
  <c r="L1452" i="2"/>
  <c r="W1451" i="2"/>
  <c r="X1451" i="2" s="1"/>
  <c r="L1451" i="2"/>
  <c r="W1450" i="2"/>
  <c r="X1450" i="2" s="1"/>
  <c r="L1450" i="2"/>
  <c r="W1449" i="2"/>
  <c r="M1449" i="2"/>
  <c r="L1449" i="2"/>
  <c r="W1448" i="2"/>
  <c r="L1448" i="2"/>
  <c r="X1447" i="2"/>
  <c r="W1447" i="2"/>
  <c r="L1447" i="2"/>
  <c r="X1446" i="2"/>
  <c r="W1446" i="2"/>
  <c r="L1446" i="2"/>
  <c r="W1445" i="2"/>
  <c r="L1445" i="2"/>
  <c r="W1444" i="2"/>
  <c r="L1444" i="2"/>
  <c r="X1443" i="2"/>
  <c r="W1443" i="2"/>
  <c r="L1443" i="2"/>
  <c r="X1442" i="2"/>
  <c r="W1442" i="2"/>
  <c r="L1442" i="2"/>
  <c r="W1441" i="2"/>
  <c r="L1441" i="2"/>
  <c r="W1440" i="2"/>
  <c r="L1440" i="2"/>
  <c r="X1439" i="2"/>
  <c r="W1439" i="2"/>
  <c r="L1439" i="2"/>
  <c r="X1438" i="2"/>
  <c r="W1438" i="2"/>
  <c r="L1438" i="2"/>
  <c r="W1437" i="2"/>
  <c r="L1437" i="2"/>
  <c r="W1436" i="2"/>
  <c r="L1436" i="2"/>
  <c r="X1435" i="2"/>
  <c r="W1435" i="2"/>
  <c r="L1435" i="2"/>
  <c r="X1434" i="2"/>
  <c r="W1434" i="2"/>
  <c r="L1434" i="2"/>
  <c r="W1433" i="2"/>
  <c r="L1433" i="2"/>
  <c r="W1432" i="2"/>
  <c r="L1432" i="2"/>
  <c r="X1431" i="2"/>
  <c r="W1431" i="2"/>
  <c r="L1431" i="2"/>
  <c r="X1430" i="2"/>
  <c r="W1430" i="2"/>
  <c r="L1430" i="2"/>
  <c r="W1429" i="2"/>
  <c r="L1429" i="2"/>
  <c r="W1428" i="2"/>
  <c r="L1428" i="2"/>
  <c r="W1427" i="2"/>
  <c r="M1427" i="2"/>
  <c r="L1427" i="2"/>
  <c r="X1427" i="2" s="1"/>
  <c r="K1427" i="2"/>
  <c r="W1426" i="2"/>
  <c r="X1426" i="2" s="1"/>
  <c r="L1426" i="2"/>
  <c r="X1425" i="2"/>
  <c r="W1425" i="2"/>
  <c r="L1425" i="2"/>
  <c r="W1424" i="2"/>
  <c r="X1424" i="2" s="1"/>
  <c r="L1424" i="2"/>
  <c r="W1423" i="2"/>
  <c r="X1423" i="2" s="1"/>
  <c r="L1423" i="2"/>
  <c r="W1422" i="2"/>
  <c r="X1422" i="2" s="1"/>
  <c r="L1422" i="2"/>
  <c r="X1421" i="2"/>
  <c r="W1421" i="2"/>
  <c r="L1421" i="2"/>
  <c r="W1420" i="2"/>
  <c r="X1420" i="2" s="1"/>
  <c r="L1420" i="2"/>
  <c r="W1419" i="2"/>
  <c r="X1419" i="2" s="1"/>
  <c r="L1419" i="2"/>
  <c r="W1418" i="2"/>
  <c r="M1418" i="2"/>
  <c r="L1418" i="2"/>
  <c r="W1417" i="2"/>
  <c r="L1417" i="2"/>
  <c r="X1416" i="2"/>
  <c r="W1416" i="2"/>
  <c r="L1416" i="2"/>
  <c r="X1415" i="2"/>
  <c r="W1415" i="2"/>
  <c r="L1415" i="2"/>
  <c r="W1414" i="2"/>
  <c r="X1414" i="2" s="1"/>
  <c r="M1414" i="2"/>
  <c r="K1414" i="2"/>
  <c r="L1414" i="2" s="1"/>
  <c r="X1413" i="2"/>
  <c r="W1413" i="2"/>
  <c r="L1413" i="2"/>
  <c r="W1412" i="2"/>
  <c r="L1412" i="2"/>
  <c r="W1411" i="2"/>
  <c r="L1411" i="2"/>
  <c r="X1410" i="2"/>
  <c r="W1410" i="2"/>
  <c r="L1410" i="2"/>
  <c r="X1409" i="2"/>
  <c r="W1409" i="2"/>
  <c r="L1409" i="2"/>
  <c r="W1408" i="2"/>
  <c r="L1408" i="2"/>
  <c r="W1407" i="2"/>
  <c r="M1407" i="2"/>
  <c r="L1407" i="2"/>
  <c r="K1407" i="2"/>
  <c r="W1406" i="2"/>
  <c r="L1406" i="2"/>
  <c r="W1405" i="2"/>
  <c r="L1405" i="2"/>
  <c r="X1404" i="2"/>
  <c r="W1404" i="2"/>
  <c r="L1404" i="2"/>
  <c r="X1403" i="2"/>
  <c r="W1403" i="2"/>
  <c r="L1403" i="2"/>
  <c r="W1402" i="2"/>
  <c r="L1402" i="2"/>
  <c r="W1401" i="2"/>
  <c r="L1401" i="2"/>
  <c r="X1400" i="2"/>
  <c r="W1400" i="2"/>
  <c r="L1400" i="2"/>
  <c r="X1399" i="2"/>
  <c r="W1399" i="2"/>
  <c r="L1399" i="2"/>
  <c r="W1398" i="2"/>
  <c r="L1398" i="2"/>
  <c r="W1397" i="2"/>
  <c r="L1397" i="2"/>
  <c r="W1396" i="2"/>
  <c r="M1396" i="2"/>
  <c r="L1396" i="2"/>
  <c r="X1396" i="2" s="1"/>
  <c r="X1395" i="2"/>
  <c r="W1395" i="2"/>
  <c r="L1395" i="2"/>
  <c r="X1394" i="2"/>
  <c r="W1394" i="2"/>
  <c r="L1394" i="2"/>
  <c r="W1393" i="2"/>
  <c r="L1393" i="2"/>
  <c r="W1389" i="2"/>
  <c r="L1389" i="2"/>
  <c r="X1388" i="2"/>
  <c r="W1388" i="2"/>
  <c r="L1388" i="2"/>
  <c r="X1387" i="2"/>
  <c r="W1387" i="2"/>
  <c r="L1387" i="2"/>
  <c r="W1386" i="2"/>
  <c r="L1386" i="2"/>
  <c r="W1385" i="2"/>
  <c r="L1385" i="2"/>
  <c r="X1384" i="2"/>
  <c r="W1384" i="2"/>
  <c r="L1384" i="2"/>
  <c r="X1383" i="2"/>
  <c r="W1383" i="2"/>
  <c r="R1383" i="2"/>
  <c r="L1383" i="2"/>
  <c r="U1382" i="2"/>
  <c r="S1382" i="2"/>
  <c r="R1382" i="2"/>
  <c r="N1382" i="2"/>
  <c r="L1382" i="2"/>
  <c r="W1381" i="2"/>
  <c r="X1381" i="2" s="1"/>
  <c r="L1381" i="2"/>
  <c r="K1381" i="2"/>
  <c r="W1380" i="2"/>
  <c r="X1380" i="2" s="1"/>
  <c r="L1380" i="2"/>
  <c r="W1379" i="2"/>
  <c r="R1379" i="2"/>
  <c r="L1379" i="2"/>
  <c r="W1378" i="2"/>
  <c r="X1378" i="2" s="1"/>
  <c r="R1378" i="2"/>
  <c r="L1378" i="2"/>
  <c r="W1377" i="2"/>
  <c r="X1377" i="2" s="1"/>
  <c r="L1377" i="2"/>
  <c r="W1376" i="2"/>
  <c r="L1376" i="2"/>
  <c r="X1376" i="2" s="1"/>
  <c r="X1375" i="2"/>
  <c r="W1375" i="2"/>
  <c r="L1375" i="2"/>
  <c r="X1374" i="2"/>
  <c r="W1374" i="2"/>
  <c r="R1374" i="2"/>
  <c r="L1374" i="2"/>
  <c r="X1373" i="2"/>
  <c r="W1373" i="2"/>
  <c r="R1373" i="2"/>
  <c r="L1373" i="2"/>
  <c r="X1372" i="2"/>
  <c r="W1372" i="2"/>
  <c r="R1372" i="2"/>
  <c r="L1372" i="2"/>
  <c r="X1371" i="2"/>
  <c r="W1371" i="2"/>
  <c r="R1371" i="2"/>
  <c r="L1371" i="2"/>
  <c r="X1370" i="2"/>
  <c r="W1370" i="2"/>
  <c r="R1370" i="2"/>
  <c r="L1370" i="2"/>
  <c r="X1369" i="2"/>
  <c r="W1369" i="2"/>
  <c r="R1369" i="2"/>
  <c r="L1369" i="2"/>
  <c r="X1368" i="2"/>
  <c r="W1368" i="2"/>
  <c r="R1368" i="2"/>
  <c r="L1368" i="2"/>
  <c r="X1367" i="2"/>
  <c r="W1367" i="2"/>
  <c r="R1367" i="2"/>
  <c r="L1367" i="2"/>
  <c r="X1366" i="2"/>
  <c r="W1366" i="2"/>
  <c r="R1366" i="2"/>
  <c r="K1366" i="2"/>
  <c r="L1366" i="2" s="1"/>
  <c r="X1365" i="2"/>
  <c r="W1365" i="2"/>
  <c r="L1365" i="2"/>
  <c r="W1364" i="2"/>
  <c r="L1364" i="2"/>
  <c r="W1363" i="2"/>
  <c r="X1363" i="2" s="1"/>
  <c r="L1363" i="2"/>
  <c r="W1362" i="2"/>
  <c r="L1362" i="2"/>
  <c r="X1362" i="2" s="1"/>
  <c r="W1361" i="2"/>
  <c r="X1361" i="2" s="1"/>
  <c r="L1361" i="2"/>
  <c r="X1360" i="2"/>
  <c r="R1360" i="2"/>
  <c r="W1360" i="2" s="1"/>
  <c r="L1360" i="2"/>
  <c r="R1359" i="2"/>
  <c r="W1359" i="2" s="1"/>
  <c r="X1359" i="2" s="1"/>
  <c r="L1359" i="2"/>
  <c r="X1358" i="2"/>
  <c r="R1358" i="2"/>
  <c r="W1358" i="2" s="1"/>
  <c r="L1358" i="2"/>
  <c r="X1357" i="2"/>
  <c r="R1357" i="2"/>
  <c r="W1357" i="2" s="1"/>
  <c r="L1357" i="2"/>
  <c r="X1356" i="2"/>
  <c r="R1356" i="2"/>
  <c r="W1356" i="2" s="1"/>
  <c r="L1356" i="2"/>
  <c r="R1355" i="2"/>
  <c r="W1355" i="2" s="1"/>
  <c r="X1355" i="2" s="1"/>
  <c r="L1355" i="2"/>
  <c r="X1354" i="2"/>
  <c r="R1354" i="2"/>
  <c r="W1354" i="2" s="1"/>
  <c r="L1354" i="2"/>
  <c r="X1353" i="2"/>
  <c r="R1353" i="2"/>
  <c r="W1353" i="2" s="1"/>
  <c r="L1353" i="2"/>
  <c r="X1352" i="2"/>
  <c r="R1352" i="2"/>
  <c r="W1352" i="2" s="1"/>
  <c r="L1352" i="2"/>
  <c r="R1351" i="2"/>
  <c r="W1351" i="2" s="1"/>
  <c r="X1351" i="2" s="1"/>
  <c r="L1351" i="2"/>
  <c r="X1350" i="2"/>
  <c r="R1350" i="2"/>
  <c r="W1350" i="2" s="1"/>
  <c r="L1350" i="2"/>
  <c r="X1349" i="2"/>
  <c r="R1349" i="2"/>
  <c r="W1349" i="2" s="1"/>
  <c r="L1349" i="2"/>
  <c r="X1348" i="2"/>
  <c r="W1348" i="2"/>
  <c r="R1348" i="2"/>
  <c r="L1348" i="2"/>
  <c r="X1347" i="2"/>
  <c r="W1347" i="2"/>
  <c r="R1347" i="2"/>
  <c r="L1347" i="2"/>
  <c r="X1346" i="2"/>
  <c r="W1346" i="2"/>
  <c r="R1346" i="2"/>
  <c r="L1346" i="2"/>
  <c r="X1345" i="2"/>
  <c r="W1345" i="2"/>
  <c r="R1345" i="2"/>
  <c r="L1345" i="2"/>
  <c r="X1344" i="2"/>
  <c r="W1344" i="2"/>
  <c r="R1344" i="2"/>
  <c r="L1344" i="2"/>
  <c r="X1343" i="2"/>
  <c r="W1343" i="2"/>
  <c r="R1343" i="2"/>
  <c r="L1343" i="2"/>
  <c r="X1342" i="2"/>
  <c r="W1342" i="2"/>
  <c r="R1342" i="2"/>
  <c r="L1342" i="2"/>
  <c r="X1341" i="2"/>
  <c r="W1341" i="2"/>
  <c r="R1341" i="2"/>
  <c r="L1341" i="2"/>
  <c r="X1340" i="2"/>
  <c r="W1340" i="2"/>
  <c r="R1340" i="2"/>
  <c r="L1340" i="2"/>
  <c r="X1339" i="2"/>
  <c r="W1339" i="2"/>
  <c r="R1339" i="2"/>
  <c r="L1339" i="2"/>
  <c r="X1338" i="2"/>
  <c r="W1338" i="2"/>
  <c r="R1338" i="2"/>
  <c r="L1338" i="2"/>
  <c r="X1337" i="2"/>
  <c r="W1337" i="2"/>
  <c r="L1337" i="2"/>
  <c r="K1337" i="2"/>
  <c r="W1336" i="2"/>
  <c r="Q1336" i="2"/>
  <c r="O1336" i="2"/>
  <c r="L1336" i="2"/>
  <c r="X1336" i="2" s="1"/>
  <c r="X1335" i="2"/>
  <c r="W1335" i="2"/>
  <c r="L1335" i="2"/>
  <c r="X1334" i="2"/>
  <c r="W1334" i="2"/>
  <c r="L1334" i="2"/>
  <c r="R1333" i="2"/>
  <c r="W1333" i="2" s="1"/>
  <c r="X1333" i="2" s="1"/>
  <c r="L1333" i="2"/>
  <c r="W1332" i="2"/>
  <c r="R1332" i="2"/>
  <c r="L1332" i="2"/>
  <c r="W1331" i="2"/>
  <c r="X1331" i="2" s="1"/>
  <c r="R1331" i="2"/>
  <c r="L1331" i="2"/>
  <c r="W1330" i="2"/>
  <c r="X1330" i="2" s="1"/>
  <c r="R1330" i="2"/>
  <c r="L1330" i="2"/>
  <c r="W1329" i="2"/>
  <c r="L1329" i="2"/>
  <c r="X1328" i="2"/>
  <c r="W1328" i="2"/>
  <c r="L1328" i="2"/>
  <c r="X1327" i="2"/>
  <c r="W1327" i="2"/>
  <c r="L1327" i="2"/>
  <c r="W1326" i="2"/>
  <c r="X1326" i="2" s="1"/>
  <c r="L1326" i="2"/>
  <c r="W1325" i="2"/>
  <c r="X1325" i="2" s="1"/>
  <c r="L1325" i="2"/>
  <c r="X1324" i="2"/>
  <c r="W1324" i="2"/>
  <c r="L1324" i="2"/>
  <c r="W1323" i="2"/>
  <c r="X1323" i="2" s="1"/>
  <c r="K1323" i="2"/>
  <c r="L1323" i="2" s="1"/>
  <c r="X1322" i="2"/>
  <c r="W1322" i="2"/>
  <c r="L1322" i="2"/>
  <c r="X1321" i="2"/>
  <c r="W1321" i="2"/>
  <c r="L1321" i="2"/>
  <c r="W1320" i="2"/>
  <c r="X1320" i="2" s="1"/>
  <c r="L1320" i="2"/>
  <c r="R1319" i="2"/>
  <c r="W1319" i="2" s="1"/>
  <c r="L1319" i="2"/>
  <c r="X1319" i="2" s="1"/>
  <c r="X1318" i="2"/>
  <c r="R1318" i="2"/>
  <c r="W1318" i="2" s="1"/>
  <c r="L1318" i="2"/>
  <c r="X1317" i="2"/>
  <c r="R1317" i="2"/>
  <c r="W1317" i="2" s="1"/>
  <c r="L1317" i="2"/>
  <c r="R1316" i="2"/>
  <c r="W1316" i="2" s="1"/>
  <c r="X1316" i="2" s="1"/>
  <c r="L1316" i="2"/>
  <c r="R1315" i="2"/>
  <c r="W1315" i="2" s="1"/>
  <c r="L1315" i="2"/>
  <c r="X1315" i="2" s="1"/>
  <c r="X1314" i="2"/>
  <c r="R1314" i="2"/>
  <c r="W1314" i="2" s="1"/>
  <c r="L1314" i="2"/>
  <c r="X1313" i="2"/>
  <c r="R1313" i="2"/>
  <c r="W1313" i="2" s="1"/>
  <c r="L1313" i="2"/>
  <c r="R1312" i="2"/>
  <c r="W1312" i="2" s="1"/>
  <c r="X1312" i="2" s="1"/>
  <c r="L1312" i="2"/>
  <c r="K1312" i="2"/>
  <c r="R1311" i="2"/>
  <c r="W1311" i="2" s="1"/>
  <c r="X1311" i="2" s="1"/>
  <c r="L1311" i="2"/>
  <c r="W1310" i="2"/>
  <c r="R1310" i="2"/>
  <c r="L1310" i="2"/>
  <c r="W1309" i="2"/>
  <c r="X1309" i="2" s="1"/>
  <c r="R1309" i="2"/>
  <c r="L1309" i="2"/>
  <c r="W1308" i="2"/>
  <c r="X1308" i="2" s="1"/>
  <c r="L1308" i="2"/>
  <c r="W1307" i="2"/>
  <c r="L1307" i="2"/>
  <c r="X1307" i="2" s="1"/>
  <c r="K1307" i="2"/>
  <c r="W1306" i="2"/>
  <c r="L1306" i="2"/>
  <c r="X1306" i="2" s="1"/>
  <c r="X1305" i="2"/>
  <c r="W1305" i="2"/>
  <c r="L1305" i="2"/>
  <c r="X1304" i="2"/>
  <c r="W1304" i="2"/>
  <c r="L1304" i="2"/>
  <c r="W1303" i="2"/>
  <c r="L1303" i="2"/>
  <c r="X1302" i="2"/>
  <c r="W1302" i="2"/>
  <c r="L1302" i="2"/>
  <c r="X1301" i="2"/>
  <c r="W1301" i="2"/>
  <c r="L1301" i="2"/>
  <c r="W1300" i="2"/>
  <c r="X1300" i="2" s="1"/>
  <c r="L1300" i="2"/>
  <c r="W1299" i="2"/>
  <c r="X1299" i="2" s="1"/>
  <c r="L1299" i="2"/>
  <c r="X1298" i="2"/>
  <c r="W1298" i="2"/>
  <c r="L1298" i="2"/>
  <c r="W1297" i="2"/>
  <c r="X1297" i="2" s="1"/>
  <c r="R1297" i="2"/>
  <c r="L1297" i="2"/>
  <c r="W1296" i="2"/>
  <c r="X1296" i="2" s="1"/>
  <c r="R1296" i="2"/>
  <c r="L1296" i="2"/>
  <c r="W1295" i="2"/>
  <c r="X1295" i="2" s="1"/>
  <c r="L1295" i="2"/>
  <c r="R1294" i="2"/>
  <c r="W1294" i="2" s="1"/>
  <c r="X1294" i="2" s="1"/>
  <c r="L1294" i="2"/>
  <c r="R1293" i="2"/>
  <c r="W1293" i="2" s="1"/>
  <c r="X1293" i="2" s="1"/>
  <c r="L1293" i="2"/>
  <c r="R1292" i="2"/>
  <c r="W1292" i="2" s="1"/>
  <c r="X1292" i="2" s="1"/>
  <c r="L1292" i="2"/>
  <c r="R1291" i="2"/>
  <c r="W1291" i="2" s="1"/>
  <c r="X1291" i="2" s="1"/>
  <c r="L1291" i="2"/>
  <c r="W1290" i="2"/>
  <c r="L1290" i="2"/>
  <c r="X1290" i="2" s="1"/>
  <c r="W1289" i="2"/>
  <c r="X1289" i="2" s="1"/>
  <c r="R1289" i="2"/>
  <c r="L1289" i="2"/>
  <c r="W1288" i="2"/>
  <c r="X1288" i="2" s="1"/>
  <c r="R1288" i="2"/>
  <c r="L1288" i="2"/>
  <c r="W1287" i="2"/>
  <c r="L1287" i="2"/>
  <c r="X1286" i="2"/>
  <c r="W1286" i="2"/>
  <c r="L1286" i="2"/>
  <c r="X1285" i="2"/>
  <c r="W1285" i="2"/>
  <c r="R1285" i="2"/>
  <c r="L1285" i="2"/>
  <c r="X1284" i="2"/>
  <c r="W1284" i="2"/>
  <c r="L1284" i="2"/>
  <c r="W1283" i="2"/>
  <c r="X1283" i="2" s="1"/>
  <c r="L1283" i="2"/>
  <c r="W1282" i="2"/>
  <c r="X1282" i="2" s="1"/>
  <c r="L1282" i="2"/>
  <c r="X1281" i="2"/>
  <c r="R1281" i="2"/>
  <c r="W1281" i="2" s="1"/>
  <c r="L1281" i="2"/>
  <c r="R1280" i="2"/>
  <c r="W1280" i="2" s="1"/>
  <c r="X1280" i="2" s="1"/>
  <c r="L1280" i="2"/>
  <c r="R1279" i="2"/>
  <c r="W1279" i="2" s="1"/>
  <c r="L1279" i="2"/>
  <c r="X1279" i="2" s="1"/>
  <c r="X1278" i="2"/>
  <c r="W1278" i="2"/>
  <c r="L1278" i="2"/>
  <c r="X1277" i="2"/>
  <c r="W1277" i="2"/>
  <c r="K1277" i="2"/>
  <c r="L1277" i="2" s="1"/>
  <c r="W1276" i="2"/>
  <c r="X1276" i="2" s="1"/>
  <c r="L1276" i="2"/>
  <c r="W1275" i="2"/>
  <c r="L1275" i="2"/>
  <c r="X1275" i="2" s="1"/>
  <c r="W1274" i="2"/>
  <c r="X1274" i="2" s="1"/>
  <c r="L1274" i="2"/>
  <c r="W1273" i="2"/>
  <c r="L1273" i="2"/>
  <c r="X1273" i="2" s="1"/>
  <c r="W1272" i="2"/>
  <c r="R1272" i="2"/>
  <c r="L1272" i="2"/>
  <c r="X1272" i="2" s="1"/>
  <c r="W1271" i="2"/>
  <c r="R1271" i="2"/>
  <c r="L1271" i="2"/>
  <c r="X1271" i="2" s="1"/>
  <c r="W1270" i="2"/>
  <c r="R1270" i="2"/>
  <c r="L1270" i="2"/>
  <c r="X1270" i="2" s="1"/>
  <c r="X1269" i="2"/>
  <c r="W1269" i="2"/>
  <c r="L1269" i="2"/>
  <c r="X1268" i="2"/>
  <c r="W1268" i="2"/>
  <c r="R1268" i="2"/>
  <c r="L1268" i="2"/>
  <c r="X1267" i="2"/>
  <c r="W1267" i="2"/>
  <c r="R1267" i="2"/>
  <c r="L1267" i="2"/>
  <c r="X1266" i="2"/>
  <c r="W1266" i="2"/>
  <c r="L1266" i="2"/>
  <c r="W1265" i="2"/>
  <c r="X1265" i="2" s="1"/>
  <c r="L1265" i="2"/>
  <c r="W1264" i="2"/>
  <c r="L1264" i="2"/>
  <c r="X1264" i="2" s="1"/>
  <c r="X1263" i="2"/>
  <c r="W1263" i="2"/>
  <c r="L1263" i="2"/>
  <c r="W1262" i="2"/>
  <c r="U1262" i="2"/>
  <c r="R1262" i="2"/>
  <c r="L1262" i="2"/>
  <c r="X1262" i="2" s="1"/>
  <c r="W1261" i="2"/>
  <c r="R1261" i="2"/>
  <c r="L1261" i="2"/>
  <c r="X1261" i="2" s="1"/>
  <c r="X1260" i="2"/>
  <c r="W1260" i="2"/>
  <c r="L1260" i="2"/>
  <c r="X1259" i="2"/>
  <c r="W1259" i="2"/>
  <c r="R1259" i="2"/>
  <c r="L1259" i="2"/>
  <c r="X1258" i="2"/>
  <c r="W1258" i="2"/>
  <c r="R1258" i="2"/>
  <c r="L1258" i="2"/>
  <c r="X1257" i="2"/>
  <c r="W1257" i="2"/>
  <c r="R1257" i="2"/>
  <c r="L1257" i="2"/>
  <c r="X1256" i="2"/>
  <c r="W1256" i="2"/>
  <c r="R1256" i="2"/>
  <c r="L1256" i="2"/>
  <c r="X1255" i="2"/>
  <c r="W1255" i="2"/>
  <c r="R1255" i="2"/>
  <c r="L1255" i="2"/>
  <c r="X1254" i="2"/>
  <c r="W1254" i="2"/>
  <c r="R1254" i="2"/>
  <c r="L1254" i="2"/>
  <c r="X1253" i="2"/>
  <c r="W1253" i="2"/>
  <c r="R1253" i="2"/>
  <c r="L1253" i="2"/>
  <c r="X1252" i="2"/>
  <c r="W1252" i="2"/>
  <c r="L1252" i="2"/>
  <c r="W1251" i="2"/>
  <c r="L1251" i="2"/>
  <c r="X1250" i="2"/>
  <c r="W1250" i="2"/>
  <c r="L1250" i="2"/>
  <c r="X1249" i="2"/>
  <c r="W1249" i="2"/>
  <c r="L1249" i="2"/>
  <c r="W1248" i="2"/>
  <c r="X1248" i="2" s="1"/>
  <c r="L1248" i="2"/>
  <c r="W1247" i="2"/>
  <c r="X1247" i="2" s="1"/>
  <c r="L1247" i="2"/>
  <c r="X1246" i="2"/>
  <c r="W1246" i="2"/>
  <c r="L1246" i="2"/>
  <c r="W1245" i="2"/>
  <c r="X1245" i="2" s="1"/>
  <c r="L1245" i="2"/>
  <c r="W1244" i="2"/>
  <c r="L1244" i="2"/>
  <c r="X1244" i="2" s="1"/>
  <c r="W1243" i="2"/>
  <c r="X1243" i="2" s="1"/>
  <c r="L1243" i="2"/>
  <c r="W1242" i="2"/>
  <c r="L1242" i="2"/>
  <c r="X1242" i="2" s="1"/>
  <c r="Q1241" i="2"/>
  <c r="O1241" i="2"/>
  <c r="W1241" i="2" s="1"/>
  <c r="X1241" i="2" s="1"/>
  <c r="L1241" i="2"/>
  <c r="K1241" i="2"/>
  <c r="W1240" i="2"/>
  <c r="X1240" i="2" s="1"/>
  <c r="L1240" i="2"/>
  <c r="R1239" i="2"/>
  <c r="W1239" i="2" s="1"/>
  <c r="L1239" i="2"/>
  <c r="X1239" i="2" s="1"/>
  <c r="X1238" i="2"/>
  <c r="R1238" i="2"/>
  <c r="W1238" i="2" s="1"/>
  <c r="L1238" i="2"/>
  <c r="X1237" i="2"/>
  <c r="R1237" i="2"/>
  <c r="W1237" i="2" s="1"/>
  <c r="L1237" i="2"/>
  <c r="R1236" i="2"/>
  <c r="W1236" i="2" s="1"/>
  <c r="X1236" i="2" s="1"/>
  <c r="L1236" i="2"/>
  <c r="R1235" i="2"/>
  <c r="W1235" i="2" s="1"/>
  <c r="L1235" i="2"/>
  <c r="X1235" i="2" s="1"/>
  <c r="X1234" i="2"/>
  <c r="R1234" i="2"/>
  <c r="W1234" i="2" s="1"/>
  <c r="L1234" i="2"/>
  <c r="X1233" i="2"/>
  <c r="R1233" i="2"/>
  <c r="W1233" i="2" s="1"/>
  <c r="L1233" i="2"/>
  <c r="W1232" i="2"/>
  <c r="L1232" i="2"/>
  <c r="X1232" i="2" s="1"/>
  <c r="W1231" i="2"/>
  <c r="K1231" i="2"/>
  <c r="L1231" i="2" s="1"/>
  <c r="X1231" i="2" s="1"/>
  <c r="X1230" i="2"/>
  <c r="W1230" i="2"/>
  <c r="L1230" i="2"/>
  <c r="X1229" i="2"/>
  <c r="W1229" i="2"/>
  <c r="L1229" i="2"/>
  <c r="W1228" i="2"/>
  <c r="L1228" i="2"/>
  <c r="K1228" i="2"/>
  <c r="W1227" i="2"/>
  <c r="K1227" i="2"/>
  <c r="L1227" i="2" s="1"/>
  <c r="W1226" i="2"/>
  <c r="X1226" i="2" s="1"/>
  <c r="L1226" i="2"/>
  <c r="W1225" i="2"/>
  <c r="L1225" i="2"/>
  <c r="X1225" i="2" s="1"/>
  <c r="X1224" i="2"/>
  <c r="W1224" i="2"/>
  <c r="L1224" i="2"/>
  <c r="X1223" i="2"/>
  <c r="W1223" i="2"/>
  <c r="L1223" i="2"/>
  <c r="W1222" i="2"/>
  <c r="X1222" i="2" s="1"/>
  <c r="L1222" i="2"/>
  <c r="W1221" i="2"/>
  <c r="L1221" i="2"/>
  <c r="X1221" i="2" s="1"/>
  <c r="X1220" i="2"/>
  <c r="W1220" i="2"/>
  <c r="L1220" i="2"/>
  <c r="X1219" i="2"/>
  <c r="W1219" i="2"/>
  <c r="L1219" i="2"/>
  <c r="W1218" i="2"/>
  <c r="L1218" i="2"/>
  <c r="X1217" i="2"/>
  <c r="W1217" i="2"/>
  <c r="L1217" i="2"/>
  <c r="X1216" i="2"/>
  <c r="W1216" i="2"/>
  <c r="L1216" i="2"/>
  <c r="W1215" i="2"/>
  <c r="X1215" i="2" s="1"/>
  <c r="L1215" i="2"/>
  <c r="W1214" i="2"/>
  <c r="X1214" i="2" s="1"/>
  <c r="L1214" i="2"/>
  <c r="X1213" i="2"/>
  <c r="W1213" i="2"/>
  <c r="L1213" i="2"/>
  <c r="W1212" i="2"/>
  <c r="X1212" i="2" s="1"/>
  <c r="L1212" i="2"/>
  <c r="W1211" i="2"/>
  <c r="L1211" i="2"/>
  <c r="X1211" i="2" s="1"/>
  <c r="W1210" i="2"/>
  <c r="X1210" i="2" s="1"/>
  <c r="L1210" i="2"/>
  <c r="W1209" i="2"/>
  <c r="L1209" i="2"/>
  <c r="X1209" i="2" s="1"/>
  <c r="X1208" i="2"/>
  <c r="W1208" i="2"/>
  <c r="L1208" i="2"/>
  <c r="X1207" i="2"/>
  <c r="W1207" i="2"/>
  <c r="L1207" i="2"/>
  <c r="W1206" i="2"/>
  <c r="X1206" i="2" s="1"/>
  <c r="L1206" i="2"/>
  <c r="W1205" i="2"/>
  <c r="L1205" i="2"/>
  <c r="X1205" i="2" s="1"/>
  <c r="X1204" i="2"/>
  <c r="W1204" i="2"/>
  <c r="L1204" i="2"/>
  <c r="X1203" i="2"/>
  <c r="W1203" i="2"/>
  <c r="L1203" i="2"/>
  <c r="W1202" i="2"/>
  <c r="L1202" i="2"/>
  <c r="X1201" i="2"/>
  <c r="R1201" i="2"/>
  <c r="W1201" i="2" s="1"/>
  <c r="L1201" i="2"/>
  <c r="X1200" i="2"/>
  <c r="R1200" i="2"/>
  <c r="W1200" i="2" s="1"/>
  <c r="L1200" i="2"/>
  <c r="R1199" i="2"/>
  <c r="W1199" i="2" s="1"/>
  <c r="X1199" i="2" s="1"/>
  <c r="L1199" i="2"/>
  <c r="R1198" i="2"/>
  <c r="W1198" i="2" s="1"/>
  <c r="L1198" i="2"/>
  <c r="X1198" i="2" s="1"/>
  <c r="X1197" i="2"/>
  <c r="R1197" i="2"/>
  <c r="W1197" i="2" s="1"/>
  <c r="L1197" i="2"/>
  <c r="X1196" i="2"/>
  <c r="R1196" i="2"/>
  <c r="W1196" i="2" s="1"/>
  <c r="L1196" i="2"/>
  <c r="K1196" i="2"/>
  <c r="W1195" i="2"/>
  <c r="X1195" i="2" s="1"/>
  <c r="L1195" i="2"/>
  <c r="K1195" i="2"/>
  <c r="W1194" i="2"/>
  <c r="L1194" i="2"/>
  <c r="X1193" i="2"/>
  <c r="W1193" i="2"/>
  <c r="L1193" i="2"/>
  <c r="X1192" i="2"/>
  <c r="W1192" i="2"/>
  <c r="L1192" i="2"/>
  <c r="W1191" i="2"/>
  <c r="X1191" i="2" s="1"/>
  <c r="L1191" i="2"/>
  <c r="W1190" i="2"/>
  <c r="X1190" i="2" s="1"/>
  <c r="L1190" i="2"/>
  <c r="X1189" i="2"/>
  <c r="W1189" i="2"/>
  <c r="L1189" i="2"/>
  <c r="W1188" i="2"/>
  <c r="X1188" i="2" s="1"/>
  <c r="L1188" i="2"/>
  <c r="W1187" i="2"/>
  <c r="L1187" i="2"/>
  <c r="X1187" i="2" s="1"/>
  <c r="W1186" i="2"/>
  <c r="X1186" i="2" s="1"/>
  <c r="L1186" i="2"/>
  <c r="W1185" i="2"/>
  <c r="L1185" i="2"/>
  <c r="X1185" i="2" s="1"/>
  <c r="X1184" i="2"/>
  <c r="W1184" i="2"/>
  <c r="L1184" i="2"/>
  <c r="X1183" i="2"/>
  <c r="W1183" i="2"/>
  <c r="L1183" i="2"/>
  <c r="W1182" i="2"/>
  <c r="X1182" i="2" s="1"/>
  <c r="L1182" i="2"/>
  <c r="W1181" i="2"/>
  <c r="L1181" i="2"/>
  <c r="X1181" i="2" s="1"/>
  <c r="X1180" i="2"/>
  <c r="W1180" i="2"/>
  <c r="L1180" i="2"/>
  <c r="X1179" i="2"/>
  <c r="W1179" i="2"/>
  <c r="L1179" i="2"/>
  <c r="W1178" i="2"/>
  <c r="L1178" i="2"/>
  <c r="X1177" i="2"/>
  <c r="W1177" i="2"/>
  <c r="L1177" i="2"/>
  <c r="X1176" i="2"/>
  <c r="W1176" i="2"/>
  <c r="K1176" i="2"/>
  <c r="L1176" i="2" s="1"/>
  <c r="W1175" i="2"/>
  <c r="X1175" i="2" s="1"/>
  <c r="L1175" i="2"/>
  <c r="W1174" i="2"/>
  <c r="L1174" i="2"/>
  <c r="X1174" i="2" s="1"/>
  <c r="W1173" i="2"/>
  <c r="X1173" i="2" s="1"/>
  <c r="L1173" i="2"/>
  <c r="W1172" i="2"/>
  <c r="L1172" i="2"/>
  <c r="X1172" i="2" s="1"/>
  <c r="W1171" i="2"/>
  <c r="K1171" i="2"/>
  <c r="L1171" i="2" s="1"/>
  <c r="X1171" i="2" s="1"/>
  <c r="X1170" i="2"/>
  <c r="W1170" i="2"/>
  <c r="L1170" i="2"/>
  <c r="X1169" i="2"/>
  <c r="W1169" i="2"/>
  <c r="L1169" i="2"/>
  <c r="W1168" i="2"/>
  <c r="L1168" i="2"/>
  <c r="X1167" i="2"/>
  <c r="W1167" i="2"/>
  <c r="L1167" i="2"/>
  <c r="X1166" i="2"/>
  <c r="W1166" i="2"/>
  <c r="L1166" i="2"/>
  <c r="W1165" i="2"/>
  <c r="X1165" i="2" s="1"/>
  <c r="L1165" i="2"/>
  <c r="W1164" i="2"/>
  <c r="X1164" i="2" s="1"/>
  <c r="L1164" i="2"/>
  <c r="X1163" i="2"/>
  <c r="W1163" i="2"/>
  <c r="L1163" i="2"/>
  <c r="W1162" i="2"/>
  <c r="X1162" i="2" s="1"/>
  <c r="L1162" i="2"/>
  <c r="W1161" i="2"/>
  <c r="L1161" i="2"/>
  <c r="X1161" i="2" s="1"/>
  <c r="W1160" i="2"/>
  <c r="X1160" i="2" s="1"/>
  <c r="L1160" i="2"/>
  <c r="R1159" i="2"/>
  <c r="W1159" i="2" s="1"/>
  <c r="X1159" i="2" s="1"/>
  <c r="L1159" i="2"/>
  <c r="R1158" i="2"/>
  <c r="W1158" i="2" s="1"/>
  <c r="L1158" i="2"/>
  <c r="X1158" i="2" s="1"/>
  <c r="R1157" i="2"/>
  <c r="W1157" i="2" s="1"/>
  <c r="K1157" i="2"/>
  <c r="L1157" i="2" s="1"/>
  <c r="X1157" i="2" s="1"/>
  <c r="W1156" i="2"/>
  <c r="X1156" i="2" s="1"/>
  <c r="R1156" i="2"/>
  <c r="L1156" i="2"/>
  <c r="W1155" i="2"/>
  <c r="X1155" i="2" s="1"/>
  <c r="R1155" i="2"/>
  <c r="L1155" i="2"/>
  <c r="R1154" i="2"/>
  <c r="W1154" i="2" s="1"/>
  <c r="X1154" i="2" s="1"/>
  <c r="L1154" i="2"/>
  <c r="W1153" i="2"/>
  <c r="X1153" i="2" s="1"/>
  <c r="L1153" i="2"/>
  <c r="X1152" i="2"/>
  <c r="W1152" i="2"/>
  <c r="L1152" i="2"/>
  <c r="W1151" i="2"/>
  <c r="X1151" i="2" s="1"/>
  <c r="L1151" i="2"/>
  <c r="W1150" i="2"/>
  <c r="L1150" i="2"/>
  <c r="X1150" i="2" s="1"/>
  <c r="W1149" i="2"/>
  <c r="X1149" i="2" s="1"/>
  <c r="R1149" i="2"/>
  <c r="L1149" i="2"/>
  <c r="W1148" i="2"/>
  <c r="X1148" i="2" s="1"/>
  <c r="L1148" i="2"/>
  <c r="W1147" i="2"/>
  <c r="L1147" i="2"/>
  <c r="X1147" i="2" s="1"/>
  <c r="X1146" i="2"/>
  <c r="W1146" i="2"/>
  <c r="L1146" i="2"/>
  <c r="X1145" i="2"/>
  <c r="W1145" i="2"/>
  <c r="R1145" i="2"/>
  <c r="L1145" i="2"/>
  <c r="X1144" i="2"/>
  <c r="W1144" i="2"/>
  <c r="R1144" i="2"/>
  <c r="L1144" i="2"/>
  <c r="X1143" i="2"/>
  <c r="W1143" i="2"/>
  <c r="R1143" i="2"/>
  <c r="L1143" i="2"/>
  <c r="X1142" i="2"/>
  <c r="W1142" i="2"/>
  <c r="L1142" i="2"/>
  <c r="W1141" i="2"/>
  <c r="L1141" i="2"/>
  <c r="X1140" i="2"/>
  <c r="W1140" i="2"/>
  <c r="L1140" i="2"/>
  <c r="X1139" i="2"/>
  <c r="W1139" i="2"/>
  <c r="L1139" i="2"/>
  <c r="W1138" i="2"/>
  <c r="X1138" i="2" s="1"/>
  <c r="L1138" i="2"/>
  <c r="W1137" i="2"/>
  <c r="X1137" i="2" s="1"/>
  <c r="L1137" i="2"/>
  <c r="X1136" i="2"/>
  <c r="W1136" i="2"/>
  <c r="L1136" i="2"/>
  <c r="W1135" i="2"/>
  <c r="X1135" i="2" s="1"/>
  <c r="K1135" i="2"/>
  <c r="L1135" i="2" s="1"/>
  <c r="X1134" i="2"/>
  <c r="W1134" i="2"/>
  <c r="L1134" i="2"/>
  <c r="X1133" i="2"/>
  <c r="W1133" i="2"/>
  <c r="L1133" i="2"/>
  <c r="W1132" i="2"/>
  <c r="X1132" i="2" s="1"/>
  <c r="L1132" i="2"/>
  <c r="W1131" i="2"/>
  <c r="L1131" i="2"/>
  <c r="X1131" i="2" s="1"/>
  <c r="X1130" i="2"/>
  <c r="W1130" i="2"/>
  <c r="L1130" i="2"/>
  <c r="X1129" i="2"/>
  <c r="W1129" i="2"/>
  <c r="L1129" i="2"/>
  <c r="W1128" i="2"/>
  <c r="L1128" i="2"/>
  <c r="X1127" i="2"/>
  <c r="W1127" i="2"/>
  <c r="L1127" i="2"/>
  <c r="X1126" i="2"/>
  <c r="W1126" i="2"/>
  <c r="L1126" i="2"/>
  <c r="W1125" i="2"/>
  <c r="X1125" i="2" s="1"/>
  <c r="R1125" i="2"/>
  <c r="L1125" i="2"/>
  <c r="W1124" i="2"/>
  <c r="X1124" i="2" s="1"/>
  <c r="L1124" i="2"/>
  <c r="W1123" i="2"/>
  <c r="X1123" i="2" s="1"/>
  <c r="L1123" i="2"/>
  <c r="X1122" i="2"/>
  <c r="W1122" i="2"/>
  <c r="L1122" i="2"/>
  <c r="W1121" i="2"/>
  <c r="X1121" i="2" s="1"/>
  <c r="L1121" i="2"/>
  <c r="W1120" i="2"/>
  <c r="L1120" i="2"/>
  <c r="X1120" i="2" s="1"/>
  <c r="W1119" i="2"/>
  <c r="X1119" i="2" s="1"/>
  <c r="L1119" i="2"/>
  <c r="W1118" i="2"/>
  <c r="L1118" i="2"/>
  <c r="X1118" i="2" s="1"/>
  <c r="X1117" i="2"/>
  <c r="W1117" i="2"/>
  <c r="L1117" i="2"/>
  <c r="X1116" i="2"/>
  <c r="W1116" i="2"/>
  <c r="L1116" i="2"/>
  <c r="W1115" i="2"/>
  <c r="X1115" i="2" s="1"/>
  <c r="L1115" i="2"/>
  <c r="W1114" i="2"/>
  <c r="L1114" i="2"/>
  <c r="X1114" i="2" s="1"/>
  <c r="X1113" i="2"/>
  <c r="W1113" i="2"/>
  <c r="L1113" i="2"/>
  <c r="X1112" i="2"/>
  <c r="W1112" i="2"/>
  <c r="L1112" i="2"/>
  <c r="R1111" i="2"/>
  <c r="W1111" i="2" s="1"/>
  <c r="X1111" i="2" s="1"/>
  <c r="L1111" i="2"/>
  <c r="W1110" i="2"/>
  <c r="R1110" i="2"/>
  <c r="L1110" i="2"/>
  <c r="W1109" i="2"/>
  <c r="X1109" i="2" s="1"/>
  <c r="L1109" i="2"/>
  <c r="W1108" i="2"/>
  <c r="L1108" i="2"/>
  <c r="X1108" i="2" s="1"/>
  <c r="X1107" i="2"/>
  <c r="W1107" i="2"/>
  <c r="L1107" i="2"/>
  <c r="X1106" i="2"/>
  <c r="W1106" i="2"/>
  <c r="L1106" i="2"/>
  <c r="W1105" i="2"/>
  <c r="X1105" i="2" s="1"/>
  <c r="L1105" i="2"/>
  <c r="W1104" i="2"/>
  <c r="L1104" i="2"/>
  <c r="X1104" i="2" s="1"/>
  <c r="X1103" i="2"/>
  <c r="W1103" i="2"/>
  <c r="L1103" i="2"/>
  <c r="X1102" i="2"/>
  <c r="W1102" i="2"/>
  <c r="L1102" i="2"/>
  <c r="K1102" i="2"/>
  <c r="X1101" i="2"/>
  <c r="W1101" i="2"/>
  <c r="L1101" i="2"/>
  <c r="W1100" i="2"/>
  <c r="L1100" i="2"/>
  <c r="X1099" i="2"/>
  <c r="W1099" i="2"/>
  <c r="L1099" i="2"/>
  <c r="X1098" i="2"/>
  <c r="W1098" i="2"/>
  <c r="L1098" i="2"/>
  <c r="W1097" i="2"/>
  <c r="X1097" i="2" s="1"/>
  <c r="L1097" i="2"/>
  <c r="W1096" i="2"/>
  <c r="X1096" i="2" s="1"/>
  <c r="L1096" i="2"/>
  <c r="X1095" i="2"/>
  <c r="W1095" i="2"/>
  <c r="L1095" i="2"/>
  <c r="W1094" i="2"/>
  <c r="X1094" i="2" s="1"/>
  <c r="L1094" i="2"/>
  <c r="W1093" i="2"/>
  <c r="L1093" i="2"/>
  <c r="X1093" i="2" s="1"/>
  <c r="W1092" i="2"/>
  <c r="X1092" i="2" s="1"/>
  <c r="L1092" i="2"/>
  <c r="W1091" i="2"/>
  <c r="L1091" i="2"/>
  <c r="X1091" i="2" s="1"/>
  <c r="W1090" i="2"/>
  <c r="K1090" i="2"/>
  <c r="L1090" i="2" s="1"/>
  <c r="X1090" i="2" s="1"/>
  <c r="X1089" i="2"/>
  <c r="W1089" i="2"/>
  <c r="K1089" i="2"/>
  <c r="L1089" i="2" s="1"/>
  <c r="X1088" i="2"/>
  <c r="W1088" i="2"/>
  <c r="K1088" i="2"/>
  <c r="L1088" i="2" s="1"/>
  <c r="W1087" i="2"/>
  <c r="X1087" i="2" s="1"/>
  <c r="L1087" i="2"/>
  <c r="W1086" i="2"/>
  <c r="X1086" i="2" s="1"/>
  <c r="L1086" i="2"/>
  <c r="W1085" i="2"/>
  <c r="X1085" i="2" s="1"/>
  <c r="L1085" i="2"/>
  <c r="K1085" i="2"/>
  <c r="W1084" i="2"/>
  <c r="X1084" i="2" s="1"/>
  <c r="L1084" i="2"/>
  <c r="K1084" i="2"/>
  <c r="W1083" i="2"/>
  <c r="L1083" i="2"/>
  <c r="X1082" i="2"/>
  <c r="W1082" i="2"/>
  <c r="L1082" i="2"/>
  <c r="X1081" i="2"/>
  <c r="W1081" i="2"/>
  <c r="L1081" i="2"/>
  <c r="W1080" i="2"/>
  <c r="X1080" i="2" s="1"/>
  <c r="L1080" i="2"/>
  <c r="R1079" i="2"/>
  <c r="W1079" i="2" s="1"/>
  <c r="X1079" i="2" s="1"/>
  <c r="L1079" i="2"/>
  <c r="W1078" i="2"/>
  <c r="X1078" i="2" s="1"/>
  <c r="L1078" i="2"/>
  <c r="W1077" i="2"/>
  <c r="L1077" i="2"/>
  <c r="X1077" i="2" s="1"/>
  <c r="W1076" i="2"/>
  <c r="X1076" i="2" s="1"/>
  <c r="L1076" i="2"/>
  <c r="R1075" i="2"/>
  <c r="W1075" i="2" s="1"/>
  <c r="X1075" i="2" s="1"/>
  <c r="L1075" i="2"/>
  <c r="X1074" i="2"/>
  <c r="W1074" i="2"/>
  <c r="R1074" i="2"/>
  <c r="L1074" i="2"/>
  <c r="X1073" i="2"/>
  <c r="W1073" i="2"/>
  <c r="L1073" i="2"/>
  <c r="W1072" i="2"/>
  <c r="X1072" i="2" s="1"/>
  <c r="L1072" i="2"/>
  <c r="W1071" i="2"/>
  <c r="L1071" i="2"/>
  <c r="X1071" i="2" s="1"/>
  <c r="X1070" i="2"/>
  <c r="W1070" i="2"/>
  <c r="L1070" i="2"/>
  <c r="X1069" i="2"/>
  <c r="W1069" i="2"/>
  <c r="L1069" i="2"/>
  <c r="W1068" i="2"/>
  <c r="L1068" i="2"/>
  <c r="U1067" i="2"/>
  <c r="R1067" i="2"/>
  <c r="L1067" i="2"/>
  <c r="W1066" i="2"/>
  <c r="X1066" i="2" s="1"/>
  <c r="R1066" i="2"/>
  <c r="L1066" i="2"/>
  <c r="X1065" i="2"/>
  <c r="W1065" i="2"/>
  <c r="R1065" i="2"/>
  <c r="L1065" i="2"/>
  <c r="X1064" i="2"/>
  <c r="W1064" i="2"/>
  <c r="R1064" i="2"/>
  <c r="L1064" i="2"/>
  <c r="X1063" i="2"/>
  <c r="W1063" i="2"/>
  <c r="R1063" i="2"/>
  <c r="L1063" i="2"/>
  <c r="X1062" i="2"/>
  <c r="W1062" i="2"/>
  <c r="L1062" i="2"/>
  <c r="W1061" i="2"/>
  <c r="X1061" i="2" s="1"/>
  <c r="R1061" i="2"/>
  <c r="L1061" i="2"/>
  <c r="W1060" i="2"/>
  <c r="X1060" i="2" s="1"/>
  <c r="R1060" i="2"/>
  <c r="L1060" i="2"/>
  <c r="W1059" i="2"/>
  <c r="X1059" i="2" s="1"/>
  <c r="R1059" i="2"/>
  <c r="L1059" i="2"/>
  <c r="W1058" i="2"/>
  <c r="X1058" i="2" s="1"/>
  <c r="L1058" i="2"/>
  <c r="W1057" i="2"/>
  <c r="L1057" i="2"/>
  <c r="X1057" i="2" s="1"/>
  <c r="W1056" i="2"/>
  <c r="X1056" i="2" s="1"/>
  <c r="L1056" i="2"/>
  <c r="X1055" i="2"/>
  <c r="W1055" i="2"/>
  <c r="L1055" i="2"/>
  <c r="W1054" i="2"/>
  <c r="X1054" i="2" s="1"/>
  <c r="L1054" i="2"/>
  <c r="W1053" i="2"/>
  <c r="L1053" i="2"/>
  <c r="X1053" i="2" s="1"/>
  <c r="W1052" i="2"/>
  <c r="X1052" i="2" s="1"/>
  <c r="L1052" i="2"/>
  <c r="X1051" i="2"/>
  <c r="W1051" i="2"/>
  <c r="L1051" i="2"/>
  <c r="W1050" i="2"/>
  <c r="X1050" i="2" s="1"/>
  <c r="R1050" i="2"/>
  <c r="L1050" i="2"/>
  <c r="K1050" i="2"/>
  <c r="X1049" i="2"/>
  <c r="R1049" i="2"/>
  <c r="W1049" i="2" s="1"/>
  <c r="L1049" i="2"/>
  <c r="X1048" i="2"/>
  <c r="R1048" i="2"/>
  <c r="W1048" i="2" s="1"/>
  <c r="K1048" i="2"/>
  <c r="L1048" i="2" s="1"/>
  <c r="W1047" i="2"/>
  <c r="X1047" i="2" s="1"/>
  <c r="L1047" i="2"/>
  <c r="X1046" i="2"/>
  <c r="W1046" i="2"/>
  <c r="L1046" i="2"/>
  <c r="K1046" i="2"/>
  <c r="X1045" i="2"/>
  <c r="W1045" i="2"/>
  <c r="L1045" i="2"/>
  <c r="W1044" i="2"/>
  <c r="X1044" i="2" s="1"/>
  <c r="L1044" i="2"/>
  <c r="R1043" i="2"/>
  <c r="W1043" i="2" s="1"/>
  <c r="X1043" i="2" s="1"/>
  <c r="L1043" i="2"/>
  <c r="R1042" i="2"/>
  <c r="W1042" i="2" s="1"/>
  <c r="X1042" i="2" s="1"/>
  <c r="K1042" i="2"/>
  <c r="L1042" i="2" s="1"/>
  <c r="W1041" i="2"/>
  <c r="X1041" i="2" s="1"/>
  <c r="L1041" i="2"/>
  <c r="W1040" i="2"/>
  <c r="L1040" i="2"/>
  <c r="W1036" i="2"/>
  <c r="R1036" i="2"/>
  <c r="L1036" i="2"/>
  <c r="W1035" i="2"/>
  <c r="R1035" i="2"/>
  <c r="L1035" i="2"/>
  <c r="W1034" i="2"/>
  <c r="X1034" i="2" s="1"/>
  <c r="L1034" i="2"/>
  <c r="X1033" i="2"/>
  <c r="W1033" i="2"/>
  <c r="L1033" i="2"/>
  <c r="W1032" i="2"/>
  <c r="X1032" i="2" s="1"/>
  <c r="L1032" i="2"/>
  <c r="W1031" i="2"/>
  <c r="L1031" i="2"/>
  <c r="X1031" i="2" s="1"/>
  <c r="W1030" i="2"/>
  <c r="X1030" i="2" s="1"/>
  <c r="L1030" i="2"/>
  <c r="X1029" i="2"/>
  <c r="R1029" i="2"/>
  <c r="W1029" i="2" s="1"/>
  <c r="M1029" i="2"/>
  <c r="L1029" i="2"/>
  <c r="W1028" i="2"/>
  <c r="X1028" i="2" s="1"/>
  <c r="R1028" i="2"/>
  <c r="L1028" i="2"/>
  <c r="W1027" i="2"/>
  <c r="X1027" i="2" s="1"/>
  <c r="L1027" i="2"/>
  <c r="X1026" i="2"/>
  <c r="W1026" i="2"/>
  <c r="L1026" i="2"/>
  <c r="W1025" i="2"/>
  <c r="X1025" i="2" s="1"/>
  <c r="L1025" i="2"/>
  <c r="X1024" i="2"/>
  <c r="W1024" i="2"/>
  <c r="M1024" i="2"/>
  <c r="L1024" i="2"/>
  <c r="W1023" i="2"/>
  <c r="L1023" i="2"/>
  <c r="X1023" i="2" s="1"/>
  <c r="W1022" i="2"/>
  <c r="X1022" i="2" s="1"/>
  <c r="L1022" i="2"/>
  <c r="X1021" i="2"/>
  <c r="W1021" i="2"/>
  <c r="L1021" i="2"/>
  <c r="W1020" i="2"/>
  <c r="X1020" i="2" s="1"/>
  <c r="L1020" i="2"/>
  <c r="W1019" i="2"/>
  <c r="L1019" i="2"/>
  <c r="X1019" i="2" s="1"/>
  <c r="W1018" i="2"/>
  <c r="X1018" i="2" s="1"/>
  <c r="L1018" i="2"/>
  <c r="X1017" i="2"/>
  <c r="W1017" i="2"/>
  <c r="L1017" i="2"/>
  <c r="W1016" i="2"/>
  <c r="X1016" i="2" s="1"/>
  <c r="L1016" i="2"/>
  <c r="X1015" i="2"/>
  <c r="W1015" i="2"/>
  <c r="M1015" i="2"/>
  <c r="L1015" i="2"/>
  <c r="R1014" i="2"/>
  <c r="W1014" i="2" s="1"/>
  <c r="X1014" i="2" s="1"/>
  <c r="L1014" i="2"/>
  <c r="R1013" i="2"/>
  <c r="W1013" i="2" s="1"/>
  <c r="X1013" i="2" s="1"/>
  <c r="L1013" i="2"/>
  <c r="X1012" i="2"/>
  <c r="W1012" i="2"/>
  <c r="M1012" i="2"/>
  <c r="L1012" i="2"/>
  <c r="X1011" i="2"/>
  <c r="W1011" i="2"/>
  <c r="M1011" i="2"/>
  <c r="L1011" i="2"/>
  <c r="W1010" i="2"/>
  <c r="L1010" i="2"/>
  <c r="X1010" i="2" s="1"/>
  <c r="W1009" i="2"/>
  <c r="X1009" i="2" s="1"/>
  <c r="L1009" i="2"/>
  <c r="X1008" i="2"/>
  <c r="W1008" i="2"/>
  <c r="L1008" i="2"/>
  <c r="W1007" i="2"/>
  <c r="X1007" i="2" s="1"/>
  <c r="L1007" i="2"/>
  <c r="W1006" i="2"/>
  <c r="L1006" i="2"/>
  <c r="X1006" i="2" s="1"/>
  <c r="W1005" i="2"/>
  <c r="X1005" i="2" s="1"/>
  <c r="L1005" i="2"/>
  <c r="X1004" i="2"/>
  <c r="W1004" i="2"/>
  <c r="L1004" i="2"/>
  <c r="W1003" i="2"/>
  <c r="X1003" i="2" s="1"/>
  <c r="K1003" i="2"/>
  <c r="L1003" i="2" s="1"/>
  <c r="W1002" i="2"/>
  <c r="X1002" i="2" s="1"/>
  <c r="R1002" i="2"/>
  <c r="L1002" i="2"/>
  <c r="W1001" i="2"/>
  <c r="X1001" i="2" s="1"/>
  <c r="R1001" i="2"/>
  <c r="L1001" i="2"/>
  <c r="W1000" i="2"/>
  <c r="X1000" i="2" s="1"/>
  <c r="R1000" i="2"/>
  <c r="L1000" i="2"/>
  <c r="W999" i="2"/>
  <c r="X999" i="2" s="1"/>
  <c r="R999" i="2"/>
  <c r="L999" i="2"/>
  <c r="W998" i="2"/>
  <c r="X998" i="2" s="1"/>
  <c r="R998" i="2"/>
  <c r="L998" i="2"/>
  <c r="W997" i="2"/>
  <c r="X997" i="2" s="1"/>
  <c r="R997" i="2"/>
  <c r="L997" i="2"/>
  <c r="W996" i="2"/>
  <c r="X996" i="2" s="1"/>
  <c r="R996" i="2"/>
  <c r="L996" i="2"/>
  <c r="W995" i="2"/>
  <c r="X995" i="2" s="1"/>
  <c r="R995" i="2"/>
  <c r="L995" i="2"/>
  <c r="W994" i="2"/>
  <c r="X994" i="2" s="1"/>
  <c r="L994" i="2"/>
  <c r="R993" i="2"/>
  <c r="W993" i="2" s="1"/>
  <c r="X993" i="2" s="1"/>
  <c r="L993" i="2"/>
  <c r="R992" i="2"/>
  <c r="W992" i="2" s="1"/>
  <c r="X992" i="2" s="1"/>
  <c r="L992" i="2"/>
  <c r="R991" i="2"/>
  <c r="W991" i="2" s="1"/>
  <c r="X991" i="2" s="1"/>
  <c r="L991" i="2"/>
  <c r="W990" i="2"/>
  <c r="L990" i="2"/>
  <c r="X990" i="2" s="1"/>
  <c r="W989" i="2"/>
  <c r="X989" i="2" s="1"/>
  <c r="R989" i="2"/>
  <c r="L989" i="2"/>
  <c r="W988" i="2"/>
  <c r="R988" i="2"/>
  <c r="L988" i="2"/>
  <c r="W987" i="2"/>
  <c r="X987" i="2" s="1"/>
  <c r="L987" i="2"/>
  <c r="X986" i="2"/>
  <c r="W986" i="2"/>
  <c r="M986" i="2"/>
  <c r="K986" i="2"/>
  <c r="L986" i="2" s="1"/>
  <c r="W985" i="2"/>
  <c r="X985" i="2" s="1"/>
  <c r="L985" i="2"/>
  <c r="W984" i="2"/>
  <c r="L984" i="2"/>
  <c r="X984" i="2" s="1"/>
  <c r="W983" i="2"/>
  <c r="X983" i="2" s="1"/>
  <c r="R983" i="2"/>
  <c r="L983" i="2"/>
  <c r="W982" i="2"/>
  <c r="X982" i="2" s="1"/>
  <c r="R982" i="2"/>
  <c r="L982" i="2"/>
  <c r="W981" i="2"/>
  <c r="R981" i="2"/>
  <c r="L981" i="2"/>
  <c r="W980" i="2"/>
  <c r="R980" i="2"/>
  <c r="L980" i="2"/>
  <c r="W979" i="2"/>
  <c r="X979" i="2" s="1"/>
  <c r="R979" i="2"/>
  <c r="L979" i="2"/>
  <c r="W978" i="2"/>
  <c r="X978" i="2" s="1"/>
  <c r="R978" i="2"/>
  <c r="L978" i="2"/>
  <c r="W977" i="2"/>
  <c r="R977" i="2"/>
  <c r="L977" i="2"/>
  <c r="W976" i="2"/>
  <c r="R976" i="2"/>
  <c r="L976" i="2"/>
  <c r="W975" i="2"/>
  <c r="X975" i="2" s="1"/>
  <c r="R975" i="2"/>
  <c r="L975" i="2"/>
  <c r="W974" i="2"/>
  <c r="X974" i="2" s="1"/>
  <c r="R974" i="2"/>
  <c r="L974" i="2"/>
  <c r="W973" i="2"/>
  <c r="X973" i="2" s="1"/>
  <c r="L973" i="2"/>
  <c r="X972" i="2"/>
  <c r="W972" i="2"/>
  <c r="L972" i="2"/>
  <c r="W971" i="2"/>
  <c r="X971" i="2" s="1"/>
  <c r="L971" i="2"/>
  <c r="W970" i="2"/>
  <c r="L970" i="2"/>
  <c r="X970" i="2" s="1"/>
  <c r="W969" i="2"/>
  <c r="X969" i="2" s="1"/>
  <c r="L969" i="2"/>
  <c r="W968" i="2"/>
  <c r="L968" i="2"/>
  <c r="X968" i="2" s="1"/>
  <c r="W967" i="2"/>
  <c r="X967" i="2" s="1"/>
  <c r="L967" i="2"/>
  <c r="X966" i="2"/>
  <c r="W966" i="2"/>
  <c r="L966" i="2"/>
  <c r="W965" i="2"/>
  <c r="X965" i="2" s="1"/>
  <c r="L965" i="2"/>
  <c r="X964" i="2"/>
  <c r="R964" i="2"/>
  <c r="W964" i="2" s="1"/>
  <c r="L964" i="2"/>
  <c r="X963" i="2"/>
  <c r="W963" i="2"/>
  <c r="L963" i="2"/>
  <c r="W962" i="2"/>
  <c r="R962" i="2"/>
  <c r="L962" i="2"/>
  <c r="W961" i="2"/>
  <c r="R961" i="2"/>
  <c r="L961" i="2"/>
  <c r="W960" i="2"/>
  <c r="X960" i="2" s="1"/>
  <c r="R960" i="2"/>
  <c r="L960" i="2"/>
  <c r="W959" i="2"/>
  <c r="X959" i="2" s="1"/>
  <c r="L959" i="2"/>
  <c r="X958" i="2"/>
  <c r="R958" i="2"/>
  <c r="W958" i="2" s="1"/>
  <c r="L958" i="2"/>
  <c r="X957" i="2"/>
  <c r="R957" i="2"/>
  <c r="W957" i="2" s="1"/>
  <c r="L957" i="2"/>
  <c r="X956" i="2"/>
  <c r="R956" i="2"/>
  <c r="W956" i="2" s="1"/>
  <c r="L956" i="2"/>
  <c r="R955" i="2"/>
  <c r="W955" i="2" s="1"/>
  <c r="X955" i="2" s="1"/>
  <c r="L955" i="2"/>
  <c r="W954" i="2"/>
  <c r="L954" i="2"/>
  <c r="X954" i="2" s="1"/>
  <c r="W953" i="2"/>
  <c r="X953" i="2" s="1"/>
  <c r="L953" i="2"/>
  <c r="W952" i="2"/>
  <c r="L952" i="2"/>
  <c r="X952" i="2" s="1"/>
  <c r="W951" i="2"/>
  <c r="X951" i="2" s="1"/>
  <c r="L951" i="2"/>
  <c r="X950" i="2"/>
  <c r="W950" i="2"/>
  <c r="L950" i="2"/>
  <c r="W949" i="2"/>
  <c r="X949" i="2" s="1"/>
  <c r="L949" i="2"/>
  <c r="X948" i="2"/>
  <c r="W948" i="2"/>
  <c r="L948" i="2"/>
  <c r="W947" i="2"/>
  <c r="X947" i="2" s="1"/>
  <c r="R947" i="2"/>
  <c r="L947" i="2"/>
  <c r="W946" i="2"/>
  <c r="X946" i="2" s="1"/>
  <c r="R946" i="2"/>
  <c r="M946" i="2"/>
  <c r="L946" i="2"/>
  <c r="W945" i="2"/>
  <c r="L945" i="2"/>
  <c r="X945" i="2" s="1"/>
  <c r="W944" i="2"/>
  <c r="X944" i="2" s="1"/>
  <c r="L944" i="2"/>
  <c r="X943" i="2"/>
  <c r="W943" i="2"/>
  <c r="L943" i="2"/>
  <c r="W942" i="2"/>
  <c r="X942" i="2" s="1"/>
  <c r="L942" i="2"/>
  <c r="X941" i="2"/>
  <c r="W941" i="2"/>
  <c r="M941" i="2"/>
  <c r="L941" i="2"/>
  <c r="X940" i="2"/>
  <c r="W940" i="2"/>
  <c r="L940" i="2"/>
  <c r="W939" i="2"/>
  <c r="X939" i="2" s="1"/>
  <c r="L939" i="2"/>
  <c r="W938" i="2"/>
  <c r="L938" i="2"/>
  <c r="X938" i="2" s="1"/>
  <c r="W937" i="2"/>
  <c r="X937" i="2" s="1"/>
  <c r="L937" i="2"/>
  <c r="W936" i="2"/>
  <c r="L936" i="2"/>
  <c r="X936" i="2" s="1"/>
  <c r="W935" i="2"/>
  <c r="X935" i="2" s="1"/>
  <c r="L935" i="2"/>
  <c r="X934" i="2"/>
  <c r="W934" i="2"/>
  <c r="L934" i="2"/>
  <c r="W933" i="2"/>
  <c r="X933" i="2" s="1"/>
  <c r="L933" i="2"/>
  <c r="X932" i="2"/>
  <c r="W932" i="2"/>
  <c r="L932" i="2"/>
  <c r="W931" i="2"/>
  <c r="X931" i="2" s="1"/>
  <c r="L931" i="2"/>
  <c r="W930" i="2"/>
  <c r="L930" i="2"/>
  <c r="X930" i="2" s="1"/>
  <c r="W929" i="2"/>
  <c r="X929" i="2" s="1"/>
  <c r="L929" i="2"/>
  <c r="W928" i="2"/>
  <c r="L928" i="2"/>
  <c r="X928" i="2" s="1"/>
  <c r="W927" i="2"/>
  <c r="X927" i="2" s="1"/>
  <c r="L927" i="2"/>
  <c r="X926" i="2"/>
  <c r="R926" i="2"/>
  <c r="W926" i="2" s="1"/>
  <c r="L926" i="2"/>
  <c r="R925" i="2"/>
  <c r="W925" i="2" s="1"/>
  <c r="X925" i="2" s="1"/>
  <c r="L925" i="2"/>
  <c r="W924" i="2"/>
  <c r="L924" i="2"/>
  <c r="X924" i="2" s="1"/>
  <c r="W923" i="2"/>
  <c r="X923" i="2" s="1"/>
  <c r="R923" i="2"/>
  <c r="L923" i="2"/>
  <c r="W922" i="2"/>
  <c r="X922" i="2" s="1"/>
  <c r="R922" i="2"/>
  <c r="L922" i="2"/>
  <c r="W921" i="2"/>
  <c r="R921" i="2"/>
  <c r="L921" i="2"/>
  <c r="W920" i="2"/>
  <c r="X920" i="2" s="1"/>
  <c r="L920" i="2"/>
  <c r="X919" i="2"/>
  <c r="W919" i="2"/>
  <c r="M919" i="2"/>
  <c r="L919" i="2"/>
  <c r="X918" i="2"/>
  <c r="W918" i="2"/>
  <c r="L918" i="2"/>
  <c r="W917" i="2"/>
  <c r="X917" i="2" s="1"/>
  <c r="L917" i="2"/>
  <c r="W916" i="2"/>
  <c r="L916" i="2"/>
  <c r="X916" i="2" s="1"/>
  <c r="W915" i="2"/>
  <c r="X915" i="2" s="1"/>
  <c r="R915" i="2"/>
  <c r="L915" i="2"/>
  <c r="W914" i="2"/>
  <c r="X914" i="2" s="1"/>
  <c r="R914" i="2"/>
  <c r="L914" i="2"/>
  <c r="W913" i="2"/>
  <c r="L913" i="2"/>
  <c r="X912" i="2"/>
  <c r="W912" i="2"/>
  <c r="L912" i="2"/>
  <c r="X911" i="2"/>
  <c r="W911" i="2"/>
  <c r="L911" i="2"/>
  <c r="W910" i="2"/>
  <c r="X910" i="2" s="1"/>
  <c r="M910" i="2"/>
  <c r="L910" i="2"/>
  <c r="W909" i="2"/>
  <c r="X909" i="2" s="1"/>
  <c r="L909" i="2"/>
  <c r="W908" i="2"/>
  <c r="X908" i="2" s="1"/>
  <c r="L908" i="2"/>
  <c r="X907" i="2"/>
  <c r="W907" i="2"/>
  <c r="L907" i="2"/>
  <c r="W906" i="2"/>
  <c r="X906" i="2" s="1"/>
  <c r="L906" i="2"/>
  <c r="W905" i="2"/>
  <c r="L905" i="2"/>
  <c r="X905" i="2" s="1"/>
  <c r="W904" i="2"/>
  <c r="X904" i="2" s="1"/>
  <c r="L904" i="2"/>
  <c r="W903" i="2"/>
  <c r="L903" i="2"/>
  <c r="X903" i="2" s="1"/>
  <c r="W902" i="2"/>
  <c r="M902" i="2"/>
  <c r="L902" i="2"/>
  <c r="X902" i="2" s="1"/>
  <c r="X901" i="2"/>
  <c r="W901" i="2"/>
  <c r="L901" i="2"/>
  <c r="X900" i="2"/>
  <c r="W900" i="2"/>
  <c r="L900" i="2"/>
  <c r="W899" i="2"/>
  <c r="X899" i="2" s="1"/>
  <c r="L899" i="2"/>
  <c r="W898" i="2"/>
  <c r="L898" i="2"/>
  <c r="X898" i="2" s="1"/>
  <c r="X897" i="2"/>
  <c r="W897" i="2"/>
  <c r="L897" i="2"/>
  <c r="X896" i="2"/>
  <c r="W896" i="2"/>
  <c r="R896" i="2"/>
  <c r="L896" i="2"/>
  <c r="X895" i="2"/>
  <c r="W895" i="2"/>
  <c r="R895" i="2"/>
  <c r="L895" i="2"/>
  <c r="X894" i="2"/>
  <c r="W894" i="2"/>
  <c r="R894" i="2"/>
  <c r="L894" i="2"/>
  <c r="X893" i="2"/>
  <c r="W893" i="2"/>
  <c r="R893" i="2"/>
  <c r="L893" i="2"/>
  <c r="X892" i="2"/>
  <c r="W892" i="2"/>
  <c r="R892" i="2"/>
  <c r="L892" i="2"/>
  <c r="X891" i="2"/>
  <c r="W891" i="2"/>
  <c r="R891" i="2"/>
  <c r="L891" i="2"/>
  <c r="W890" i="2"/>
  <c r="R890" i="2"/>
  <c r="M890" i="2"/>
  <c r="L890" i="2"/>
  <c r="X890" i="2" s="1"/>
  <c r="K890" i="2"/>
  <c r="R889" i="2"/>
  <c r="W889" i="2" s="1"/>
  <c r="M889" i="2"/>
  <c r="L889" i="2"/>
  <c r="X889" i="2" s="1"/>
  <c r="K889" i="2"/>
  <c r="W888" i="2"/>
  <c r="X888" i="2" s="1"/>
  <c r="L888" i="2"/>
  <c r="W887" i="2"/>
  <c r="X887" i="2" s="1"/>
  <c r="L887" i="2"/>
  <c r="X886" i="2"/>
  <c r="W886" i="2"/>
  <c r="M886" i="2"/>
  <c r="L886" i="2"/>
  <c r="X885" i="2"/>
  <c r="W885" i="2"/>
  <c r="L885" i="2"/>
  <c r="W884" i="2"/>
  <c r="X884" i="2" s="1"/>
  <c r="K884" i="2"/>
  <c r="L884" i="2" s="1"/>
  <c r="X883" i="2"/>
  <c r="W883" i="2"/>
  <c r="L883" i="2"/>
  <c r="X882" i="2"/>
  <c r="W882" i="2"/>
  <c r="L882" i="2"/>
  <c r="K882" i="2"/>
  <c r="X881" i="2"/>
  <c r="W881" i="2"/>
  <c r="L881" i="2"/>
  <c r="W880" i="2"/>
  <c r="X880" i="2" s="1"/>
  <c r="L880" i="2"/>
  <c r="W879" i="2"/>
  <c r="L879" i="2"/>
  <c r="X879" i="2" s="1"/>
  <c r="X878" i="2"/>
  <c r="W878" i="2"/>
  <c r="L878" i="2"/>
  <c r="X877" i="2"/>
  <c r="W877" i="2"/>
  <c r="L877" i="2"/>
  <c r="W876" i="2"/>
  <c r="L876" i="2"/>
  <c r="K876" i="2"/>
  <c r="W875" i="2"/>
  <c r="X875" i="2" s="1"/>
  <c r="L875" i="2"/>
  <c r="X874" i="2"/>
  <c r="W874" i="2"/>
  <c r="L874" i="2"/>
  <c r="W873" i="2"/>
  <c r="X873" i="2" s="1"/>
  <c r="L873" i="2"/>
  <c r="W872" i="2"/>
  <c r="L872" i="2"/>
  <c r="X872" i="2" s="1"/>
  <c r="W871" i="2"/>
  <c r="X871" i="2" s="1"/>
  <c r="L871" i="2"/>
  <c r="W870" i="2"/>
  <c r="L870" i="2"/>
  <c r="X870" i="2" s="1"/>
  <c r="X869" i="2"/>
  <c r="W869" i="2"/>
  <c r="L869" i="2"/>
  <c r="X868" i="2"/>
  <c r="W868" i="2"/>
  <c r="L868" i="2"/>
  <c r="W867" i="2"/>
  <c r="X867" i="2" s="1"/>
  <c r="L867" i="2"/>
  <c r="W866" i="2"/>
  <c r="L866" i="2"/>
  <c r="X866" i="2" s="1"/>
  <c r="X865" i="2"/>
  <c r="W865" i="2"/>
  <c r="L865" i="2"/>
  <c r="X864" i="2"/>
  <c r="W864" i="2"/>
  <c r="L864" i="2"/>
  <c r="W863" i="2"/>
  <c r="L863" i="2"/>
  <c r="X862" i="2"/>
  <c r="W862" i="2"/>
  <c r="L862" i="2"/>
  <c r="X861" i="2"/>
  <c r="W861" i="2"/>
  <c r="L861" i="2"/>
  <c r="W860" i="2"/>
  <c r="X860" i="2" s="1"/>
  <c r="L860" i="2"/>
  <c r="W859" i="2"/>
  <c r="R859" i="2"/>
  <c r="L859" i="2"/>
  <c r="K859" i="2"/>
  <c r="R858" i="2"/>
  <c r="W858" i="2" s="1"/>
  <c r="X858" i="2" s="1"/>
  <c r="K858" i="2"/>
  <c r="L858" i="2" s="1"/>
  <c r="X857" i="2"/>
  <c r="W857" i="2"/>
  <c r="L857" i="2"/>
  <c r="X856" i="2"/>
  <c r="W856" i="2"/>
  <c r="L856" i="2"/>
  <c r="W855" i="2"/>
  <c r="X855" i="2" s="1"/>
  <c r="L855" i="2"/>
  <c r="W854" i="2"/>
  <c r="L854" i="2"/>
  <c r="X854" i="2" s="1"/>
  <c r="X853" i="2"/>
  <c r="W853" i="2"/>
  <c r="L853" i="2"/>
  <c r="X852" i="2"/>
  <c r="W852" i="2"/>
  <c r="L852" i="2"/>
  <c r="W851" i="2"/>
  <c r="L851" i="2"/>
  <c r="X850" i="2"/>
  <c r="W850" i="2"/>
  <c r="L850" i="2"/>
  <c r="X849" i="2"/>
  <c r="W849" i="2"/>
  <c r="L849" i="2"/>
  <c r="W848" i="2"/>
  <c r="X848" i="2" s="1"/>
  <c r="L848" i="2"/>
  <c r="W847" i="2"/>
  <c r="X847" i="2" s="1"/>
  <c r="L847" i="2"/>
  <c r="X846" i="2"/>
  <c r="W846" i="2"/>
  <c r="L846" i="2"/>
  <c r="W845" i="2"/>
  <c r="X845" i="2" s="1"/>
  <c r="L845" i="2"/>
  <c r="W844" i="2"/>
  <c r="L844" i="2"/>
  <c r="X844" i="2" s="1"/>
  <c r="W843" i="2"/>
  <c r="X843" i="2" s="1"/>
  <c r="L843" i="2"/>
  <c r="W842" i="2"/>
  <c r="L842" i="2"/>
  <c r="X842" i="2" s="1"/>
  <c r="X841" i="2"/>
  <c r="W841" i="2"/>
  <c r="L841" i="2"/>
  <c r="X840" i="2"/>
  <c r="W840" i="2"/>
  <c r="L840" i="2"/>
  <c r="W839" i="2"/>
  <c r="X839" i="2" s="1"/>
  <c r="M839" i="2"/>
  <c r="L839" i="2"/>
  <c r="W838" i="2"/>
  <c r="L838" i="2"/>
  <c r="X837" i="2"/>
  <c r="W837" i="2"/>
  <c r="L837" i="2"/>
  <c r="X836" i="2"/>
  <c r="W836" i="2"/>
  <c r="R836" i="2"/>
  <c r="L836" i="2"/>
  <c r="X835" i="2"/>
  <c r="W835" i="2"/>
  <c r="R835" i="2"/>
  <c r="L835" i="2"/>
  <c r="X834" i="2"/>
  <c r="W834" i="2"/>
  <c r="R834" i="2"/>
  <c r="L834" i="2"/>
  <c r="X833" i="2"/>
  <c r="W833" i="2"/>
  <c r="L833" i="2"/>
  <c r="W832" i="2"/>
  <c r="X832" i="2" s="1"/>
  <c r="L832" i="2"/>
  <c r="W831" i="2"/>
  <c r="X831" i="2" s="1"/>
  <c r="L831" i="2"/>
  <c r="X830" i="2"/>
  <c r="W830" i="2"/>
  <c r="L830" i="2"/>
  <c r="W829" i="2"/>
  <c r="X829" i="2" s="1"/>
  <c r="L829" i="2"/>
  <c r="W828" i="2"/>
  <c r="L828" i="2"/>
  <c r="X828" i="2" s="1"/>
  <c r="W827" i="2"/>
  <c r="X827" i="2" s="1"/>
  <c r="L827" i="2"/>
  <c r="W826" i="2"/>
  <c r="L826" i="2"/>
  <c r="X826" i="2" s="1"/>
  <c r="X825" i="2"/>
  <c r="W825" i="2"/>
  <c r="L825" i="2"/>
  <c r="X824" i="2"/>
  <c r="W824" i="2"/>
  <c r="L824" i="2"/>
  <c r="W823" i="2"/>
  <c r="X823" i="2" s="1"/>
  <c r="L823" i="2"/>
  <c r="W822" i="2"/>
  <c r="L822" i="2"/>
  <c r="X822" i="2" s="1"/>
  <c r="X821" i="2"/>
  <c r="W821" i="2"/>
  <c r="L821" i="2"/>
  <c r="X820" i="2"/>
  <c r="W820" i="2"/>
  <c r="L820" i="2"/>
  <c r="W819" i="2"/>
  <c r="L819" i="2"/>
  <c r="X818" i="2"/>
  <c r="W818" i="2"/>
  <c r="L818" i="2"/>
  <c r="X817" i="2"/>
  <c r="W817" i="2"/>
  <c r="L817" i="2"/>
  <c r="W816" i="2"/>
  <c r="X816" i="2" s="1"/>
  <c r="L816" i="2"/>
  <c r="W815" i="2"/>
  <c r="X815" i="2" s="1"/>
  <c r="L815" i="2"/>
  <c r="X814" i="2"/>
  <c r="R814" i="2"/>
  <c r="W814" i="2" s="1"/>
  <c r="L814" i="2"/>
  <c r="W813" i="2"/>
  <c r="X813" i="2" s="1"/>
  <c r="R813" i="2"/>
  <c r="L813" i="2"/>
  <c r="W812" i="2"/>
  <c r="X812" i="2" s="1"/>
  <c r="R812" i="2"/>
  <c r="L812" i="2"/>
  <c r="W811" i="2"/>
  <c r="X811" i="2" s="1"/>
  <c r="R811" i="2"/>
  <c r="L811" i="2"/>
  <c r="W810" i="2"/>
  <c r="X810" i="2" s="1"/>
  <c r="R810" i="2"/>
  <c r="L810" i="2"/>
  <c r="W809" i="2"/>
  <c r="X809" i="2" s="1"/>
  <c r="R809" i="2"/>
  <c r="L809" i="2"/>
  <c r="W808" i="2"/>
  <c r="X808" i="2" s="1"/>
  <c r="R808" i="2"/>
  <c r="L808" i="2"/>
  <c r="W807" i="2"/>
  <c r="X807" i="2" s="1"/>
  <c r="R807" i="2"/>
  <c r="L807" i="2"/>
  <c r="W806" i="2"/>
  <c r="X806" i="2" s="1"/>
  <c r="M806" i="2"/>
  <c r="L806" i="2"/>
  <c r="W805" i="2"/>
  <c r="X805" i="2" s="1"/>
  <c r="L805" i="2"/>
  <c r="W804" i="2"/>
  <c r="L804" i="2"/>
  <c r="X804" i="2" s="1"/>
  <c r="X803" i="2"/>
  <c r="W803" i="2"/>
  <c r="L803" i="2"/>
  <c r="X802" i="2"/>
  <c r="W802" i="2"/>
  <c r="R802" i="2"/>
  <c r="L802" i="2"/>
  <c r="W801" i="2"/>
  <c r="R801" i="2"/>
  <c r="M801" i="2"/>
  <c r="L801" i="2"/>
  <c r="X801" i="2" s="1"/>
  <c r="W800" i="2"/>
  <c r="R800" i="2"/>
  <c r="M800" i="2"/>
  <c r="L800" i="2"/>
  <c r="X800" i="2" s="1"/>
  <c r="W799" i="2"/>
  <c r="L799" i="2"/>
  <c r="X799" i="2" s="1"/>
  <c r="W798" i="2"/>
  <c r="M798" i="2"/>
  <c r="L798" i="2"/>
  <c r="X798" i="2" s="1"/>
  <c r="W797" i="2"/>
  <c r="M797" i="2"/>
  <c r="L797" i="2"/>
  <c r="X797" i="2" s="1"/>
  <c r="X796" i="2"/>
  <c r="W796" i="2"/>
  <c r="L796" i="2"/>
  <c r="X795" i="2"/>
  <c r="W795" i="2"/>
  <c r="L795" i="2"/>
  <c r="W794" i="2"/>
  <c r="X794" i="2" s="1"/>
  <c r="L794" i="2"/>
  <c r="W793" i="2"/>
  <c r="L793" i="2"/>
  <c r="X793" i="2" s="1"/>
  <c r="X792" i="2"/>
  <c r="W792" i="2"/>
  <c r="L792" i="2"/>
  <c r="X791" i="2"/>
  <c r="W791" i="2"/>
  <c r="L791" i="2"/>
  <c r="W790" i="2"/>
  <c r="X790" i="2" s="1"/>
  <c r="L790" i="2"/>
  <c r="W789" i="2"/>
  <c r="L789" i="2"/>
  <c r="X789" i="2" s="1"/>
  <c r="X788" i="2"/>
  <c r="W788" i="2"/>
  <c r="L788" i="2"/>
  <c r="X787" i="2"/>
  <c r="W787" i="2"/>
  <c r="L787" i="2"/>
  <c r="W786" i="2"/>
  <c r="X786" i="2" s="1"/>
  <c r="L786" i="2"/>
  <c r="W785" i="2"/>
  <c r="L785" i="2"/>
  <c r="X785" i="2" s="1"/>
  <c r="X784" i="2"/>
  <c r="W784" i="2"/>
  <c r="L784" i="2"/>
  <c r="X783" i="2"/>
  <c r="W783" i="2"/>
  <c r="L783" i="2"/>
  <c r="W782" i="2"/>
  <c r="X782" i="2" s="1"/>
  <c r="R782" i="2"/>
  <c r="L782" i="2"/>
  <c r="W781" i="2"/>
  <c r="X781" i="2" s="1"/>
  <c r="L781" i="2"/>
  <c r="W780" i="2"/>
  <c r="M780" i="2"/>
  <c r="L780" i="2"/>
  <c r="X780" i="2" s="1"/>
  <c r="K780" i="2"/>
  <c r="W779" i="2"/>
  <c r="X779" i="2" s="1"/>
  <c r="M779" i="2"/>
  <c r="L779" i="2"/>
  <c r="K779" i="2"/>
  <c r="X778" i="2"/>
  <c r="W778" i="2"/>
  <c r="L778" i="2"/>
  <c r="W777" i="2"/>
  <c r="X777" i="2" s="1"/>
  <c r="L777" i="2"/>
  <c r="W776" i="2"/>
  <c r="M776" i="2"/>
  <c r="L776" i="2"/>
  <c r="X776" i="2" s="1"/>
  <c r="K776" i="2"/>
  <c r="W775" i="2"/>
  <c r="X775" i="2" s="1"/>
  <c r="L775" i="2"/>
  <c r="W774" i="2"/>
  <c r="L774" i="2"/>
  <c r="X774" i="2" s="1"/>
  <c r="X773" i="2"/>
  <c r="W773" i="2"/>
  <c r="L773" i="2"/>
  <c r="X772" i="2"/>
  <c r="W772" i="2"/>
  <c r="L772" i="2"/>
  <c r="W771" i="2"/>
  <c r="X771" i="2" s="1"/>
  <c r="L771" i="2"/>
  <c r="W770" i="2"/>
  <c r="L770" i="2"/>
  <c r="X770" i="2" s="1"/>
  <c r="X769" i="2"/>
  <c r="W769" i="2"/>
  <c r="L769" i="2"/>
  <c r="X768" i="2"/>
  <c r="W768" i="2"/>
  <c r="L768" i="2"/>
  <c r="W767" i="2"/>
  <c r="X767" i="2" s="1"/>
  <c r="L767" i="2"/>
  <c r="W766" i="2"/>
  <c r="L766" i="2"/>
  <c r="X766" i="2" s="1"/>
  <c r="X765" i="2"/>
  <c r="W765" i="2"/>
  <c r="L765" i="2"/>
  <c r="W764" i="2"/>
  <c r="R764" i="2"/>
  <c r="M764" i="2"/>
  <c r="L764" i="2"/>
  <c r="X764" i="2" s="1"/>
  <c r="W763" i="2"/>
  <c r="R763" i="2"/>
  <c r="L763" i="2"/>
  <c r="X763" i="2" s="1"/>
  <c r="W762" i="2"/>
  <c r="R762" i="2"/>
  <c r="L762" i="2"/>
  <c r="X762" i="2" s="1"/>
  <c r="W761" i="2"/>
  <c r="R761" i="2"/>
  <c r="L761" i="2"/>
  <c r="X761" i="2" s="1"/>
  <c r="W760" i="2"/>
  <c r="R760" i="2"/>
  <c r="L760" i="2"/>
  <c r="X760" i="2" s="1"/>
  <c r="W759" i="2"/>
  <c r="R759" i="2"/>
  <c r="L759" i="2"/>
  <c r="X759" i="2" s="1"/>
  <c r="X758" i="2"/>
  <c r="W758" i="2"/>
  <c r="L758" i="2"/>
  <c r="X757" i="2"/>
  <c r="W757" i="2"/>
  <c r="L757" i="2"/>
  <c r="W756" i="2"/>
  <c r="X756" i="2" s="1"/>
  <c r="R756" i="2"/>
  <c r="L756" i="2"/>
  <c r="W755" i="2"/>
  <c r="X755" i="2" s="1"/>
  <c r="R755" i="2"/>
  <c r="L755" i="2"/>
  <c r="W754" i="2"/>
  <c r="X754" i="2" s="1"/>
  <c r="L754" i="2"/>
  <c r="W753" i="2"/>
  <c r="M753" i="2"/>
  <c r="L753" i="2"/>
  <c r="X753" i="2" s="1"/>
  <c r="K753" i="2"/>
  <c r="W752" i="2"/>
  <c r="X752" i="2" s="1"/>
  <c r="L752" i="2"/>
  <c r="W751" i="2"/>
  <c r="L751" i="2"/>
  <c r="X751" i="2" s="1"/>
  <c r="K751" i="2"/>
  <c r="W750" i="2"/>
  <c r="L750" i="2"/>
  <c r="X750" i="2" s="1"/>
  <c r="X749" i="2"/>
  <c r="W749" i="2"/>
  <c r="L749" i="2"/>
  <c r="X748" i="2"/>
  <c r="W748" i="2"/>
  <c r="L748" i="2"/>
  <c r="W747" i="2"/>
  <c r="X747" i="2" s="1"/>
  <c r="L747" i="2"/>
  <c r="W746" i="2"/>
  <c r="M746" i="2"/>
  <c r="L746" i="2"/>
  <c r="X746" i="2" s="1"/>
  <c r="K746" i="2"/>
  <c r="W745" i="2"/>
  <c r="X745" i="2" s="1"/>
  <c r="L745" i="2"/>
  <c r="W744" i="2"/>
  <c r="L744" i="2"/>
  <c r="X744" i="2" s="1"/>
  <c r="W743" i="2"/>
  <c r="K743" i="2"/>
  <c r="L743" i="2" s="1"/>
  <c r="X743" i="2" s="1"/>
  <c r="X742" i="2"/>
  <c r="W742" i="2"/>
  <c r="L742" i="2"/>
  <c r="X741" i="2"/>
  <c r="W741" i="2"/>
  <c r="L741" i="2"/>
  <c r="W740" i="2"/>
  <c r="X740" i="2" s="1"/>
  <c r="L740" i="2"/>
  <c r="W739" i="2"/>
  <c r="L739" i="2"/>
  <c r="X739" i="2" s="1"/>
  <c r="W738" i="2"/>
  <c r="K738" i="2"/>
  <c r="L738" i="2" s="1"/>
  <c r="X738" i="2" s="1"/>
  <c r="W737" i="2"/>
  <c r="K737" i="2"/>
  <c r="L737" i="2" s="1"/>
  <c r="X737" i="2" s="1"/>
  <c r="W736" i="2"/>
  <c r="K736" i="2"/>
  <c r="L736" i="2" s="1"/>
  <c r="X736" i="2" s="1"/>
  <c r="X735" i="2"/>
  <c r="W735" i="2"/>
  <c r="L735" i="2"/>
  <c r="X734" i="2"/>
  <c r="W734" i="2"/>
  <c r="L734" i="2"/>
  <c r="W733" i="2"/>
  <c r="X733" i="2" s="1"/>
  <c r="M733" i="2"/>
  <c r="L733" i="2"/>
  <c r="K733" i="2"/>
  <c r="X732" i="2"/>
  <c r="W732" i="2"/>
  <c r="R732" i="2"/>
  <c r="L732" i="2"/>
  <c r="X731" i="2"/>
  <c r="W731" i="2"/>
  <c r="R731" i="2"/>
  <c r="L731" i="2"/>
  <c r="X730" i="2"/>
  <c r="W730" i="2"/>
  <c r="L730" i="2"/>
  <c r="W729" i="2"/>
  <c r="X729" i="2" s="1"/>
  <c r="R729" i="2"/>
  <c r="L729" i="2"/>
  <c r="W728" i="2"/>
  <c r="X728" i="2" s="1"/>
  <c r="R728" i="2"/>
  <c r="L728" i="2"/>
  <c r="W727" i="2"/>
  <c r="X727" i="2" s="1"/>
  <c r="L727" i="2"/>
  <c r="W726" i="2"/>
  <c r="L726" i="2"/>
  <c r="X726" i="2" s="1"/>
  <c r="X725" i="2"/>
  <c r="W725" i="2"/>
  <c r="L725" i="2"/>
  <c r="X724" i="2"/>
  <c r="W724" i="2"/>
  <c r="L724" i="2"/>
  <c r="W723" i="2"/>
  <c r="X723" i="2" s="1"/>
  <c r="M723" i="2"/>
  <c r="L723" i="2"/>
  <c r="W722" i="2"/>
  <c r="X722" i="2" s="1"/>
  <c r="L722" i="2"/>
  <c r="W721" i="2"/>
  <c r="L721" i="2"/>
  <c r="X721" i="2" s="1"/>
  <c r="X720" i="2"/>
  <c r="W720" i="2"/>
  <c r="L720" i="2"/>
  <c r="X719" i="2"/>
  <c r="W719" i="2"/>
  <c r="L719" i="2"/>
  <c r="W718" i="2"/>
  <c r="X718" i="2" s="1"/>
  <c r="L718" i="2"/>
  <c r="W717" i="2"/>
  <c r="L717" i="2"/>
  <c r="X717" i="2" s="1"/>
  <c r="X716" i="2"/>
  <c r="W716" i="2"/>
  <c r="L716" i="2"/>
  <c r="X715" i="2"/>
  <c r="W715" i="2"/>
  <c r="L715" i="2"/>
  <c r="W714" i="2"/>
  <c r="X714" i="2" s="1"/>
  <c r="M714" i="2"/>
  <c r="L714" i="2"/>
  <c r="W713" i="2"/>
  <c r="X713" i="2" s="1"/>
  <c r="L713" i="2"/>
  <c r="W712" i="2"/>
  <c r="L712" i="2"/>
  <c r="X712" i="2" s="1"/>
  <c r="K712" i="2"/>
  <c r="K1038" i="2" s="1"/>
  <c r="W708" i="2"/>
  <c r="X708" i="2" s="1"/>
  <c r="L708" i="2"/>
  <c r="X707" i="2"/>
  <c r="W707" i="2"/>
  <c r="L707" i="2"/>
  <c r="X706" i="2"/>
  <c r="W706" i="2"/>
  <c r="L706" i="2"/>
  <c r="W705" i="2"/>
  <c r="X705" i="2" s="1"/>
  <c r="L705" i="2"/>
  <c r="W704" i="2"/>
  <c r="X704" i="2" s="1"/>
  <c r="L704" i="2"/>
  <c r="X703" i="2"/>
  <c r="W703" i="2"/>
  <c r="L703" i="2"/>
  <c r="W702" i="2"/>
  <c r="M702" i="2"/>
  <c r="K702" i="2"/>
  <c r="L702" i="2" s="1"/>
  <c r="X702" i="2" s="1"/>
  <c r="X701" i="2"/>
  <c r="W701" i="2"/>
  <c r="L701" i="2"/>
  <c r="W700" i="2"/>
  <c r="M700" i="2"/>
  <c r="K700" i="2"/>
  <c r="L700" i="2" s="1"/>
  <c r="X700" i="2" s="1"/>
  <c r="X699" i="2"/>
  <c r="W699" i="2"/>
  <c r="L699" i="2"/>
  <c r="X698" i="2"/>
  <c r="W698" i="2"/>
  <c r="L698" i="2"/>
  <c r="W697" i="2"/>
  <c r="X697" i="2" s="1"/>
  <c r="L697" i="2"/>
  <c r="W696" i="2"/>
  <c r="X696" i="2" s="1"/>
  <c r="L696" i="2"/>
  <c r="K696" i="2"/>
  <c r="W695" i="2"/>
  <c r="X695" i="2" s="1"/>
  <c r="L695" i="2"/>
  <c r="X694" i="2"/>
  <c r="W694" i="2"/>
  <c r="L694" i="2"/>
  <c r="X693" i="2"/>
  <c r="W693" i="2"/>
  <c r="L693" i="2"/>
  <c r="W692" i="2"/>
  <c r="X692" i="2" s="1"/>
  <c r="L692" i="2"/>
  <c r="W691" i="2"/>
  <c r="X691" i="2" s="1"/>
  <c r="L691" i="2"/>
  <c r="R690" i="2"/>
  <c r="W690" i="2" s="1"/>
  <c r="X690" i="2" s="1"/>
  <c r="L690" i="2"/>
  <c r="R689" i="2"/>
  <c r="W689" i="2" s="1"/>
  <c r="X689" i="2" s="1"/>
  <c r="L689" i="2"/>
  <c r="W688" i="2"/>
  <c r="R688" i="2"/>
  <c r="L688" i="2"/>
  <c r="X688" i="2" s="1"/>
  <c r="W687" i="2"/>
  <c r="R687" i="2"/>
  <c r="L687" i="2"/>
  <c r="X687" i="2" s="1"/>
  <c r="W686" i="2"/>
  <c r="R686" i="2"/>
  <c r="L686" i="2"/>
  <c r="X686" i="2" s="1"/>
  <c r="W685" i="2"/>
  <c r="R685" i="2"/>
  <c r="M685" i="2"/>
  <c r="L685" i="2"/>
  <c r="X685" i="2" s="1"/>
  <c r="R684" i="2"/>
  <c r="W684" i="2" s="1"/>
  <c r="X684" i="2" s="1"/>
  <c r="L684" i="2"/>
  <c r="R683" i="2"/>
  <c r="W683" i="2" s="1"/>
  <c r="X683" i="2" s="1"/>
  <c r="L683" i="2"/>
  <c r="W682" i="2"/>
  <c r="L682" i="2"/>
  <c r="X682" i="2" s="1"/>
  <c r="W681" i="2"/>
  <c r="M681" i="2"/>
  <c r="L681" i="2"/>
  <c r="X681" i="2" s="1"/>
  <c r="K681" i="2"/>
  <c r="W680" i="2"/>
  <c r="M680" i="2"/>
  <c r="L680" i="2"/>
  <c r="X680" i="2" s="1"/>
  <c r="K680" i="2"/>
  <c r="W679" i="2"/>
  <c r="X679" i="2" s="1"/>
  <c r="L679" i="2"/>
  <c r="W678" i="2"/>
  <c r="X678" i="2" s="1"/>
  <c r="L678" i="2"/>
  <c r="X677" i="2"/>
  <c r="W677" i="2"/>
  <c r="L677" i="2"/>
  <c r="X676" i="2"/>
  <c r="W676" i="2"/>
  <c r="L676" i="2"/>
  <c r="W675" i="2"/>
  <c r="X675" i="2" s="1"/>
  <c r="L675" i="2"/>
  <c r="W674" i="2"/>
  <c r="X674" i="2" s="1"/>
  <c r="L674" i="2"/>
  <c r="X673" i="2"/>
  <c r="W673" i="2"/>
  <c r="L673" i="2"/>
  <c r="X672" i="2"/>
  <c r="W672" i="2"/>
  <c r="L672" i="2"/>
  <c r="W671" i="2"/>
  <c r="X671" i="2" s="1"/>
  <c r="L671" i="2"/>
  <c r="W670" i="2"/>
  <c r="X670" i="2" s="1"/>
  <c r="L670" i="2"/>
  <c r="X669" i="2"/>
  <c r="W669" i="2"/>
  <c r="L669" i="2"/>
  <c r="X668" i="2"/>
  <c r="W668" i="2"/>
  <c r="L668" i="2"/>
  <c r="W667" i="2"/>
  <c r="X667" i="2" s="1"/>
  <c r="M667" i="2"/>
  <c r="L667" i="2"/>
  <c r="W666" i="2"/>
  <c r="X666" i="2" s="1"/>
  <c r="L666" i="2"/>
  <c r="W665" i="2"/>
  <c r="X665" i="2" s="1"/>
  <c r="L665" i="2"/>
  <c r="X664" i="2"/>
  <c r="W664" i="2"/>
  <c r="L664" i="2"/>
  <c r="X663" i="2"/>
  <c r="W663" i="2"/>
  <c r="L663" i="2"/>
  <c r="W662" i="2"/>
  <c r="X662" i="2" s="1"/>
  <c r="L662" i="2"/>
  <c r="W661" i="2"/>
  <c r="X661" i="2" s="1"/>
  <c r="L661" i="2"/>
  <c r="X660" i="2"/>
  <c r="W660" i="2"/>
  <c r="L660" i="2"/>
  <c r="X659" i="2"/>
  <c r="W659" i="2"/>
  <c r="L659" i="2"/>
  <c r="W658" i="2"/>
  <c r="X658" i="2" s="1"/>
  <c r="L658" i="2"/>
  <c r="W657" i="2"/>
  <c r="X657" i="2" s="1"/>
  <c r="M657" i="2"/>
  <c r="L657" i="2"/>
  <c r="K657" i="2"/>
  <c r="W656" i="2"/>
  <c r="X656" i="2" s="1"/>
  <c r="L656" i="2"/>
  <c r="W655" i="2"/>
  <c r="X655" i="2" s="1"/>
  <c r="M655" i="2"/>
  <c r="L655" i="2"/>
  <c r="W654" i="2"/>
  <c r="X654" i="2" s="1"/>
  <c r="M654" i="2"/>
  <c r="L654" i="2"/>
  <c r="K654" i="2"/>
  <c r="W653" i="2"/>
  <c r="X653" i="2" s="1"/>
  <c r="L653" i="2"/>
  <c r="W652" i="2"/>
  <c r="X652" i="2" s="1"/>
  <c r="L652" i="2"/>
  <c r="X651" i="2"/>
  <c r="W651" i="2"/>
  <c r="L651" i="2"/>
  <c r="W650" i="2"/>
  <c r="K650" i="2"/>
  <c r="L650" i="2" s="1"/>
  <c r="X650" i="2" s="1"/>
  <c r="W649" i="2"/>
  <c r="K649" i="2"/>
  <c r="L649" i="2" s="1"/>
  <c r="X649" i="2" s="1"/>
  <c r="X648" i="2"/>
  <c r="W648" i="2"/>
  <c r="M648" i="2"/>
  <c r="L648" i="2"/>
  <c r="X647" i="2"/>
  <c r="W647" i="2"/>
  <c r="L647" i="2"/>
  <c r="W646" i="2"/>
  <c r="X646" i="2" s="1"/>
  <c r="L646" i="2"/>
  <c r="W645" i="2"/>
  <c r="X645" i="2" s="1"/>
  <c r="L645" i="2"/>
  <c r="X644" i="2"/>
  <c r="W644" i="2"/>
  <c r="L644" i="2"/>
  <c r="X643" i="2"/>
  <c r="W643" i="2"/>
  <c r="L643" i="2"/>
  <c r="W642" i="2"/>
  <c r="X642" i="2" s="1"/>
  <c r="M642" i="2"/>
  <c r="L642" i="2"/>
  <c r="W641" i="2"/>
  <c r="X641" i="2" s="1"/>
  <c r="L641" i="2"/>
  <c r="W640" i="2"/>
  <c r="X640" i="2" s="1"/>
  <c r="L640" i="2"/>
  <c r="X639" i="2"/>
  <c r="W639" i="2"/>
  <c r="L639" i="2"/>
  <c r="X638" i="2"/>
  <c r="W638" i="2"/>
  <c r="L638" i="2"/>
  <c r="W637" i="2"/>
  <c r="X637" i="2" s="1"/>
  <c r="L637" i="2"/>
  <c r="W636" i="2"/>
  <c r="X636" i="2" s="1"/>
  <c r="L636" i="2"/>
  <c r="X635" i="2"/>
  <c r="W635" i="2"/>
  <c r="L635" i="2"/>
  <c r="X634" i="2"/>
  <c r="W634" i="2"/>
  <c r="L634" i="2"/>
  <c r="W633" i="2"/>
  <c r="X633" i="2" s="1"/>
  <c r="L633" i="2"/>
  <c r="W632" i="2"/>
  <c r="X632" i="2" s="1"/>
  <c r="L632" i="2"/>
  <c r="X631" i="2"/>
  <c r="W631" i="2"/>
  <c r="L631" i="2"/>
  <c r="X630" i="2"/>
  <c r="W630" i="2"/>
  <c r="L630" i="2"/>
  <c r="W629" i="2"/>
  <c r="X629" i="2" s="1"/>
  <c r="L629" i="2"/>
  <c r="W628" i="2"/>
  <c r="X628" i="2" s="1"/>
  <c r="L628" i="2"/>
  <c r="X627" i="2"/>
  <c r="W627" i="2"/>
  <c r="L627" i="2"/>
  <c r="X626" i="2"/>
  <c r="W626" i="2"/>
  <c r="L626" i="2"/>
  <c r="W625" i="2"/>
  <c r="X625" i="2" s="1"/>
  <c r="L625" i="2"/>
  <c r="W624" i="2"/>
  <c r="X624" i="2" s="1"/>
  <c r="L624" i="2"/>
  <c r="X623" i="2"/>
  <c r="W623" i="2"/>
  <c r="L623" i="2"/>
  <c r="X622" i="2"/>
  <c r="W622" i="2"/>
  <c r="M622" i="2"/>
  <c r="L622" i="2"/>
  <c r="X621" i="2"/>
  <c r="W621" i="2"/>
  <c r="L621" i="2"/>
  <c r="W620" i="2"/>
  <c r="X620" i="2" s="1"/>
  <c r="L620" i="2"/>
  <c r="W619" i="2"/>
  <c r="X619" i="2" s="1"/>
  <c r="L619" i="2"/>
  <c r="X618" i="2"/>
  <c r="W618" i="2"/>
  <c r="L618" i="2"/>
  <c r="X617" i="2"/>
  <c r="W617" i="2"/>
  <c r="L617" i="2"/>
  <c r="W616" i="2"/>
  <c r="X616" i="2" s="1"/>
  <c r="L616" i="2"/>
  <c r="W615" i="2"/>
  <c r="X615" i="2" s="1"/>
  <c r="L615" i="2"/>
  <c r="X614" i="2"/>
  <c r="W614" i="2"/>
  <c r="L614" i="2"/>
  <c r="X613" i="2"/>
  <c r="W613" i="2"/>
  <c r="L613" i="2"/>
  <c r="W612" i="2"/>
  <c r="X612" i="2" s="1"/>
  <c r="L612" i="2"/>
  <c r="W611" i="2"/>
  <c r="X611" i="2" s="1"/>
  <c r="L611" i="2"/>
  <c r="X610" i="2"/>
  <c r="W610" i="2"/>
  <c r="L610" i="2"/>
  <c r="X609" i="2"/>
  <c r="W609" i="2"/>
  <c r="L609" i="2"/>
  <c r="W608" i="2"/>
  <c r="X608" i="2" s="1"/>
  <c r="L608" i="2"/>
  <c r="W607" i="2"/>
  <c r="X607" i="2" s="1"/>
  <c r="L607" i="2"/>
  <c r="W606" i="2"/>
  <c r="M606" i="2"/>
  <c r="L606" i="2"/>
  <c r="X606" i="2" s="1"/>
  <c r="X605" i="2"/>
  <c r="W605" i="2"/>
  <c r="L605" i="2"/>
  <c r="X604" i="2"/>
  <c r="W604" i="2"/>
  <c r="L604" i="2"/>
  <c r="W603" i="2"/>
  <c r="X603" i="2" s="1"/>
  <c r="L603" i="2"/>
  <c r="W602" i="2"/>
  <c r="X602" i="2" s="1"/>
  <c r="L602" i="2"/>
  <c r="X601" i="2"/>
  <c r="W601" i="2"/>
  <c r="L601" i="2"/>
  <c r="W600" i="2"/>
  <c r="M600" i="2"/>
  <c r="K600" i="2"/>
  <c r="L600" i="2" s="1"/>
  <c r="X600" i="2" s="1"/>
  <c r="W599" i="2"/>
  <c r="K599" i="2"/>
  <c r="L599" i="2" s="1"/>
  <c r="X599" i="2" s="1"/>
  <c r="X598" i="2"/>
  <c r="W598" i="2"/>
  <c r="L598" i="2"/>
  <c r="X597" i="2"/>
  <c r="W597" i="2"/>
  <c r="L597" i="2"/>
  <c r="W596" i="2"/>
  <c r="X596" i="2" s="1"/>
  <c r="L596" i="2"/>
  <c r="W595" i="2"/>
  <c r="X595" i="2" s="1"/>
  <c r="L595" i="2"/>
  <c r="X594" i="2"/>
  <c r="W594" i="2"/>
  <c r="L594" i="2"/>
  <c r="X593" i="2"/>
  <c r="W593" i="2"/>
  <c r="M593" i="2"/>
  <c r="L593" i="2"/>
  <c r="W592" i="2"/>
  <c r="K592" i="2"/>
  <c r="L592" i="2" s="1"/>
  <c r="X592" i="2" s="1"/>
  <c r="X591" i="2"/>
  <c r="W591" i="2"/>
  <c r="L591" i="2"/>
  <c r="W590" i="2"/>
  <c r="X590" i="2" s="1"/>
  <c r="L590" i="2"/>
  <c r="W589" i="2"/>
  <c r="X589" i="2" s="1"/>
  <c r="L589" i="2"/>
  <c r="X588" i="2"/>
  <c r="W588" i="2"/>
  <c r="L588" i="2"/>
  <c r="X587" i="2"/>
  <c r="W587" i="2"/>
  <c r="M587" i="2"/>
  <c r="L587" i="2"/>
  <c r="X586" i="2"/>
  <c r="W586" i="2"/>
  <c r="L586" i="2"/>
  <c r="W585" i="2"/>
  <c r="X585" i="2" s="1"/>
  <c r="L585" i="2"/>
  <c r="W584" i="2"/>
  <c r="X584" i="2" s="1"/>
  <c r="L584" i="2"/>
  <c r="X583" i="2"/>
  <c r="W583" i="2"/>
  <c r="L583" i="2"/>
  <c r="X582" i="2"/>
  <c r="W582" i="2"/>
  <c r="L582" i="2"/>
  <c r="W581" i="2"/>
  <c r="X581" i="2" s="1"/>
  <c r="L581" i="2"/>
  <c r="W580" i="2"/>
  <c r="X580" i="2" s="1"/>
  <c r="L580" i="2"/>
  <c r="X579" i="2"/>
  <c r="W579" i="2"/>
  <c r="L579" i="2"/>
  <c r="X578" i="2"/>
  <c r="W578" i="2"/>
  <c r="L578" i="2"/>
  <c r="W577" i="2"/>
  <c r="X577" i="2" s="1"/>
  <c r="L577" i="2"/>
  <c r="W576" i="2"/>
  <c r="X576" i="2" s="1"/>
  <c r="M576" i="2"/>
  <c r="L576" i="2"/>
  <c r="W575" i="2"/>
  <c r="X575" i="2" s="1"/>
  <c r="L575" i="2"/>
  <c r="W574" i="2"/>
  <c r="M574" i="2"/>
  <c r="L574" i="2"/>
  <c r="X574" i="2" s="1"/>
  <c r="X573" i="2"/>
  <c r="W573" i="2"/>
  <c r="L573" i="2"/>
  <c r="X572" i="2"/>
  <c r="W572" i="2"/>
  <c r="L572" i="2"/>
  <c r="W571" i="2"/>
  <c r="X571" i="2" s="1"/>
  <c r="L571" i="2"/>
  <c r="W570" i="2"/>
  <c r="X570" i="2" s="1"/>
  <c r="L570" i="2"/>
  <c r="X569" i="2"/>
  <c r="W569" i="2"/>
  <c r="L569" i="2"/>
  <c r="X568" i="2"/>
  <c r="W568" i="2"/>
  <c r="L568" i="2"/>
  <c r="W567" i="2"/>
  <c r="X567" i="2" s="1"/>
  <c r="L567" i="2"/>
  <c r="W566" i="2"/>
  <c r="X566" i="2" s="1"/>
  <c r="L566" i="2"/>
  <c r="X565" i="2"/>
  <c r="W565" i="2"/>
  <c r="L565" i="2"/>
  <c r="X564" i="2"/>
  <c r="W564" i="2"/>
  <c r="M564" i="2"/>
  <c r="L564" i="2"/>
  <c r="X563" i="2"/>
  <c r="W563" i="2"/>
  <c r="L563" i="2"/>
  <c r="W562" i="2"/>
  <c r="X562" i="2" s="1"/>
  <c r="L562" i="2"/>
  <c r="W561" i="2"/>
  <c r="X561" i="2" s="1"/>
  <c r="L561" i="2"/>
  <c r="X560" i="2"/>
  <c r="W560" i="2"/>
  <c r="L560" i="2"/>
  <c r="X559" i="2"/>
  <c r="W559" i="2"/>
  <c r="L559" i="2"/>
  <c r="W558" i="2"/>
  <c r="X558" i="2" s="1"/>
  <c r="L558" i="2"/>
  <c r="W557" i="2"/>
  <c r="X557" i="2" s="1"/>
  <c r="L557" i="2"/>
  <c r="X556" i="2"/>
  <c r="W556" i="2"/>
  <c r="L556" i="2"/>
  <c r="W555" i="2"/>
  <c r="M555" i="2"/>
  <c r="K555" i="2"/>
  <c r="L555" i="2" s="1"/>
  <c r="X555" i="2" s="1"/>
  <c r="X554" i="2"/>
  <c r="W554" i="2"/>
  <c r="L554" i="2"/>
  <c r="X553" i="2"/>
  <c r="W553" i="2"/>
  <c r="L553" i="2"/>
  <c r="W552" i="2"/>
  <c r="X552" i="2" s="1"/>
  <c r="L552" i="2"/>
  <c r="K552" i="2"/>
  <c r="W551" i="2"/>
  <c r="X551" i="2" s="1"/>
  <c r="L551" i="2"/>
  <c r="W550" i="2"/>
  <c r="M550" i="2"/>
  <c r="L550" i="2"/>
  <c r="X550" i="2" s="1"/>
  <c r="W549" i="2"/>
  <c r="X549" i="2" s="1"/>
  <c r="L549" i="2"/>
  <c r="W548" i="2"/>
  <c r="M548" i="2"/>
  <c r="L548" i="2"/>
  <c r="X548" i="2" s="1"/>
  <c r="W547" i="2"/>
  <c r="L547" i="2"/>
  <c r="X547" i="2" s="1"/>
  <c r="X546" i="2"/>
  <c r="W546" i="2"/>
  <c r="L546" i="2"/>
  <c r="W545" i="2"/>
  <c r="X545" i="2" s="1"/>
  <c r="L545" i="2"/>
  <c r="W544" i="2"/>
  <c r="X544" i="2" s="1"/>
  <c r="L544" i="2"/>
  <c r="W543" i="2"/>
  <c r="L543" i="2"/>
  <c r="X543" i="2" s="1"/>
  <c r="X542" i="2"/>
  <c r="W542" i="2"/>
  <c r="L542" i="2"/>
  <c r="W541" i="2"/>
  <c r="X541" i="2" s="1"/>
  <c r="L541" i="2"/>
  <c r="W540" i="2"/>
  <c r="X540" i="2" s="1"/>
  <c r="L540" i="2"/>
  <c r="W539" i="2"/>
  <c r="L539" i="2"/>
  <c r="X539" i="2" s="1"/>
  <c r="X538" i="2"/>
  <c r="W538" i="2"/>
  <c r="L538" i="2"/>
  <c r="W537" i="2"/>
  <c r="X537" i="2" s="1"/>
  <c r="L537" i="2"/>
  <c r="K537" i="2"/>
  <c r="W536" i="2"/>
  <c r="X536" i="2" s="1"/>
  <c r="L536" i="2"/>
  <c r="W535" i="2"/>
  <c r="X535" i="2" s="1"/>
  <c r="L535" i="2"/>
  <c r="W534" i="2"/>
  <c r="L534" i="2"/>
  <c r="X534" i="2" s="1"/>
  <c r="W533" i="2"/>
  <c r="K533" i="2"/>
  <c r="L533" i="2" s="1"/>
  <c r="X533" i="2" s="1"/>
  <c r="X532" i="2"/>
  <c r="W532" i="2"/>
  <c r="L532" i="2"/>
  <c r="W531" i="2"/>
  <c r="X531" i="2" s="1"/>
  <c r="L531" i="2"/>
  <c r="W530" i="2"/>
  <c r="X530" i="2" s="1"/>
  <c r="L530" i="2"/>
  <c r="K530" i="2"/>
  <c r="W529" i="2"/>
  <c r="X529" i="2" s="1"/>
  <c r="L529" i="2"/>
  <c r="K529" i="2"/>
  <c r="W528" i="2"/>
  <c r="X528" i="2" s="1"/>
  <c r="L528" i="2"/>
  <c r="K528" i="2"/>
  <c r="W527" i="2"/>
  <c r="X527" i="2" s="1"/>
  <c r="L527" i="2"/>
  <c r="W526" i="2"/>
  <c r="L526" i="2"/>
  <c r="X526" i="2" s="1"/>
  <c r="X525" i="2"/>
  <c r="W525" i="2"/>
  <c r="L525" i="2"/>
  <c r="W524" i="2"/>
  <c r="X524" i="2" s="1"/>
  <c r="L524" i="2"/>
  <c r="W523" i="2"/>
  <c r="X523" i="2" s="1"/>
  <c r="L523" i="2"/>
  <c r="W522" i="2"/>
  <c r="L522" i="2"/>
  <c r="X522" i="2" s="1"/>
  <c r="X521" i="2"/>
  <c r="W521" i="2"/>
  <c r="L521" i="2"/>
  <c r="W520" i="2"/>
  <c r="X520" i="2" s="1"/>
  <c r="L520" i="2"/>
  <c r="W519" i="2"/>
  <c r="X519" i="2" s="1"/>
  <c r="L519" i="2"/>
  <c r="W518" i="2"/>
  <c r="L518" i="2"/>
  <c r="X518" i="2" s="1"/>
  <c r="W517" i="2"/>
  <c r="K517" i="2"/>
  <c r="L517" i="2" s="1"/>
  <c r="X517" i="2" s="1"/>
  <c r="X516" i="2"/>
  <c r="W516" i="2"/>
  <c r="L516" i="2"/>
  <c r="W515" i="2"/>
  <c r="X515" i="2" s="1"/>
  <c r="L515" i="2"/>
  <c r="W514" i="2"/>
  <c r="X514" i="2" s="1"/>
  <c r="L514" i="2"/>
  <c r="W513" i="2"/>
  <c r="L513" i="2"/>
  <c r="X513" i="2" s="1"/>
  <c r="X512" i="2"/>
  <c r="W512" i="2"/>
  <c r="L512" i="2"/>
  <c r="W511" i="2"/>
  <c r="M511" i="2"/>
  <c r="K511" i="2"/>
  <c r="L511" i="2" s="1"/>
  <c r="X510" i="2"/>
  <c r="W510" i="2"/>
  <c r="L510" i="2"/>
  <c r="W509" i="2"/>
  <c r="X509" i="2" s="1"/>
  <c r="L509" i="2"/>
  <c r="W508" i="2"/>
  <c r="X508" i="2" s="1"/>
  <c r="L508" i="2"/>
  <c r="W507" i="2"/>
  <c r="L507" i="2"/>
  <c r="X507" i="2" s="1"/>
  <c r="W506" i="2"/>
  <c r="M506" i="2"/>
  <c r="K506" i="2"/>
  <c r="L506" i="2" s="1"/>
  <c r="X506" i="2" s="1"/>
  <c r="W505" i="2"/>
  <c r="M505" i="2"/>
  <c r="L505" i="2"/>
  <c r="X505" i="2" s="1"/>
  <c r="K505" i="2"/>
  <c r="W504" i="2"/>
  <c r="X504" i="2" s="1"/>
  <c r="L504" i="2"/>
  <c r="W503" i="2"/>
  <c r="L503" i="2"/>
  <c r="X503" i="2" s="1"/>
  <c r="X502" i="2"/>
  <c r="W502" i="2"/>
  <c r="L502" i="2"/>
  <c r="W501" i="2"/>
  <c r="X501" i="2" s="1"/>
  <c r="L501" i="2"/>
  <c r="W500" i="2"/>
  <c r="X500" i="2" s="1"/>
  <c r="L500" i="2"/>
  <c r="W499" i="2"/>
  <c r="L499" i="2"/>
  <c r="X499" i="2" s="1"/>
  <c r="X498" i="2"/>
  <c r="W498" i="2"/>
  <c r="L498" i="2"/>
  <c r="W497" i="2"/>
  <c r="X497" i="2" s="1"/>
  <c r="L497" i="2"/>
  <c r="W496" i="2"/>
  <c r="X496" i="2" s="1"/>
  <c r="L496" i="2"/>
  <c r="W495" i="2"/>
  <c r="L495" i="2"/>
  <c r="X495" i="2" s="1"/>
  <c r="X494" i="2"/>
  <c r="W494" i="2"/>
  <c r="L494" i="2"/>
  <c r="W493" i="2"/>
  <c r="X493" i="2" s="1"/>
  <c r="L493" i="2"/>
  <c r="W492" i="2"/>
  <c r="X492" i="2" s="1"/>
  <c r="L492" i="2"/>
  <c r="W491" i="2"/>
  <c r="L491" i="2"/>
  <c r="X491" i="2" s="1"/>
  <c r="X490" i="2"/>
  <c r="W490" i="2"/>
  <c r="L490" i="2"/>
  <c r="W489" i="2"/>
  <c r="X489" i="2" s="1"/>
  <c r="L489" i="2"/>
  <c r="W488" i="2"/>
  <c r="X488" i="2" s="1"/>
  <c r="L488" i="2"/>
  <c r="W487" i="2"/>
  <c r="L487" i="2"/>
  <c r="X487" i="2" s="1"/>
  <c r="X486" i="2"/>
  <c r="W486" i="2"/>
  <c r="L486" i="2"/>
  <c r="W485" i="2"/>
  <c r="X485" i="2" s="1"/>
  <c r="L485" i="2"/>
  <c r="W484" i="2"/>
  <c r="X484" i="2" s="1"/>
  <c r="L484" i="2"/>
  <c r="W483" i="2"/>
  <c r="L483" i="2"/>
  <c r="X483" i="2" s="1"/>
  <c r="X482" i="2"/>
  <c r="W482" i="2"/>
  <c r="L482" i="2"/>
  <c r="W481" i="2"/>
  <c r="X481" i="2" s="1"/>
  <c r="L481" i="2"/>
  <c r="W480" i="2"/>
  <c r="X480" i="2" s="1"/>
  <c r="L480" i="2"/>
  <c r="W479" i="2"/>
  <c r="L479" i="2"/>
  <c r="X479" i="2" s="1"/>
  <c r="X478" i="2"/>
  <c r="W478" i="2"/>
  <c r="L478" i="2"/>
  <c r="W477" i="2"/>
  <c r="X477" i="2" s="1"/>
  <c r="L477" i="2"/>
  <c r="W476" i="2"/>
  <c r="X476" i="2" s="1"/>
  <c r="L476" i="2"/>
  <c r="W475" i="2"/>
  <c r="L475" i="2"/>
  <c r="X475" i="2" s="1"/>
  <c r="X474" i="2"/>
  <c r="W474" i="2"/>
  <c r="L474" i="2"/>
  <c r="W473" i="2"/>
  <c r="X473" i="2" s="1"/>
  <c r="L473" i="2"/>
  <c r="W472" i="2"/>
  <c r="X472" i="2" s="1"/>
  <c r="L472" i="2"/>
  <c r="W471" i="2"/>
  <c r="L471" i="2"/>
  <c r="X471" i="2" s="1"/>
  <c r="X470" i="2"/>
  <c r="W470" i="2"/>
  <c r="L470" i="2"/>
  <c r="W469" i="2"/>
  <c r="X469" i="2" s="1"/>
  <c r="L469" i="2"/>
  <c r="W468" i="2"/>
  <c r="X468" i="2" s="1"/>
  <c r="M468" i="2"/>
  <c r="L468" i="2"/>
  <c r="W467" i="2"/>
  <c r="X467" i="2" s="1"/>
  <c r="L467" i="2"/>
  <c r="W466" i="2"/>
  <c r="L466" i="2"/>
  <c r="X466" i="2" s="1"/>
  <c r="X465" i="2"/>
  <c r="W465" i="2"/>
  <c r="L465" i="2"/>
  <c r="W464" i="2"/>
  <c r="X464" i="2" s="1"/>
  <c r="L464" i="2"/>
  <c r="W463" i="2"/>
  <c r="X463" i="2" s="1"/>
  <c r="L463" i="2"/>
  <c r="W462" i="2"/>
  <c r="L462" i="2"/>
  <c r="X462" i="2" s="1"/>
  <c r="X461" i="2"/>
  <c r="W461" i="2"/>
  <c r="L461" i="2"/>
  <c r="W460" i="2"/>
  <c r="X460" i="2" s="1"/>
  <c r="L460" i="2"/>
  <c r="W459" i="2"/>
  <c r="X459" i="2" s="1"/>
  <c r="L459" i="2"/>
  <c r="W458" i="2"/>
  <c r="L458" i="2"/>
  <c r="X458" i="2" s="1"/>
  <c r="X457" i="2"/>
  <c r="W457" i="2"/>
  <c r="L457" i="2"/>
  <c r="W456" i="2"/>
  <c r="X456" i="2" s="1"/>
  <c r="L456" i="2"/>
  <c r="W455" i="2"/>
  <c r="X455" i="2" s="1"/>
  <c r="L455" i="2"/>
  <c r="W454" i="2"/>
  <c r="L454" i="2"/>
  <c r="X454" i="2" s="1"/>
  <c r="X453" i="2"/>
  <c r="W453" i="2"/>
  <c r="L453" i="2"/>
  <c r="W452" i="2"/>
  <c r="X452" i="2" s="1"/>
  <c r="L452" i="2"/>
  <c r="W451" i="2"/>
  <c r="X451" i="2" s="1"/>
  <c r="L451" i="2"/>
  <c r="W450" i="2"/>
  <c r="L450" i="2"/>
  <c r="X450" i="2" s="1"/>
  <c r="W449" i="2"/>
  <c r="M449" i="2"/>
  <c r="K449" i="2"/>
  <c r="L449" i="2" s="1"/>
  <c r="X449" i="2" s="1"/>
  <c r="W448" i="2"/>
  <c r="L448" i="2"/>
  <c r="X448" i="2" s="1"/>
  <c r="X447" i="2"/>
  <c r="W447" i="2"/>
  <c r="L447" i="2"/>
  <c r="W446" i="2"/>
  <c r="X446" i="2" s="1"/>
  <c r="L446" i="2"/>
  <c r="W445" i="2"/>
  <c r="X445" i="2" s="1"/>
  <c r="L445" i="2"/>
  <c r="W444" i="2"/>
  <c r="M444" i="2"/>
  <c r="L444" i="2"/>
  <c r="X444" i="2" s="1"/>
  <c r="K444" i="2"/>
  <c r="W443" i="2"/>
  <c r="X443" i="2" s="1"/>
  <c r="L443" i="2"/>
  <c r="W442" i="2"/>
  <c r="L442" i="2"/>
  <c r="X442" i="2" s="1"/>
  <c r="X441" i="2"/>
  <c r="W441" i="2"/>
  <c r="L441" i="2"/>
  <c r="W440" i="2"/>
  <c r="X440" i="2" s="1"/>
  <c r="L440" i="2"/>
  <c r="W439" i="2"/>
  <c r="X439" i="2" s="1"/>
  <c r="L439" i="2"/>
  <c r="W438" i="2"/>
  <c r="L438" i="2"/>
  <c r="X438" i="2" s="1"/>
  <c r="X437" i="2"/>
  <c r="W437" i="2"/>
  <c r="L437" i="2"/>
  <c r="W436" i="2"/>
  <c r="X436" i="2" s="1"/>
  <c r="M436" i="2"/>
  <c r="K436" i="2"/>
  <c r="L436" i="2" s="1"/>
  <c r="X435" i="2"/>
  <c r="W435" i="2"/>
  <c r="L435" i="2"/>
  <c r="W434" i="2"/>
  <c r="M434" i="2"/>
  <c r="K434" i="2"/>
  <c r="L434" i="2" s="1"/>
  <c r="X433" i="2"/>
  <c r="W433" i="2"/>
  <c r="L433" i="2"/>
  <c r="W432" i="2"/>
  <c r="X432" i="2" s="1"/>
  <c r="L432" i="2"/>
  <c r="W431" i="2"/>
  <c r="X431" i="2" s="1"/>
  <c r="L431" i="2"/>
  <c r="W430" i="2"/>
  <c r="L430" i="2"/>
  <c r="X430" i="2" s="1"/>
  <c r="X429" i="2"/>
  <c r="W429" i="2"/>
  <c r="L429" i="2"/>
  <c r="W428" i="2"/>
  <c r="X428" i="2" s="1"/>
  <c r="L428" i="2"/>
  <c r="W427" i="2"/>
  <c r="X427" i="2" s="1"/>
  <c r="L427" i="2"/>
  <c r="W426" i="2"/>
  <c r="L426" i="2"/>
  <c r="X426" i="2" s="1"/>
  <c r="X425" i="2"/>
  <c r="W425" i="2"/>
  <c r="L425" i="2"/>
  <c r="W424" i="2"/>
  <c r="X424" i="2" s="1"/>
  <c r="L424" i="2"/>
  <c r="W423" i="2"/>
  <c r="X423" i="2" s="1"/>
  <c r="L423" i="2"/>
  <c r="W422" i="2"/>
  <c r="L422" i="2"/>
  <c r="X422" i="2" s="1"/>
  <c r="X421" i="2"/>
  <c r="W421" i="2"/>
  <c r="L421" i="2"/>
  <c r="W420" i="2"/>
  <c r="X420" i="2" s="1"/>
  <c r="L420" i="2"/>
  <c r="W419" i="2"/>
  <c r="X419" i="2" s="1"/>
  <c r="L419" i="2"/>
  <c r="W418" i="2"/>
  <c r="L418" i="2"/>
  <c r="X418" i="2" s="1"/>
  <c r="X417" i="2"/>
  <c r="W417" i="2"/>
  <c r="L417" i="2"/>
  <c r="W416" i="2"/>
  <c r="X416" i="2" s="1"/>
  <c r="L416" i="2"/>
  <c r="W415" i="2"/>
  <c r="X415" i="2" s="1"/>
  <c r="L415" i="2"/>
  <c r="W414" i="2"/>
  <c r="L414" i="2"/>
  <c r="X414" i="2" s="1"/>
  <c r="X413" i="2"/>
  <c r="W413" i="2"/>
  <c r="L413" i="2"/>
  <c r="W412" i="2"/>
  <c r="X412" i="2" s="1"/>
  <c r="L412" i="2"/>
  <c r="W411" i="2"/>
  <c r="X411" i="2" s="1"/>
  <c r="L411" i="2"/>
  <c r="W410" i="2"/>
  <c r="L410" i="2"/>
  <c r="X410" i="2" s="1"/>
  <c r="X409" i="2"/>
  <c r="W409" i="2"/>
  <c r="L409" i="2"/>
  <c r="W408" i="2"/>
  <c r="X408" i="2" s="1"/>
  <c r="L408" i="2"/>
  <c r="W407" i="2"/>
  <c r="X407" i="2" s="1"/>
  <c r="L407" i="2"/>
  <c r="W406" i="2"/>
  <c r="L406" i="2"/>
  <c r="X406" i="2" s="1"/>
  <c r="X405" i="2"/>
  <c r="W405" i="2"/>
  <c r="L405" i="2"/>
  <c r="W404" i="2"/>
  <c r="X404" i="2" s="1"/>
  <c r="L404" i="2"/>
  <c r="W403" i="2"/>
  <c r="X403" i="2" s="1"/>
  <c r="L403" i="2"/>
  <c r="W402" i="2"/>
  <c r="L402" i="2"/>
  <c r="X402" i="2" s="1"/>
  <c r="X401" i="2"/>
  <c r="W401" i="2"/>
  <c r="L401" i="2"/>
  <c r="W400" i="2"/>
  <c r="X400" i="2" s="1"/>
  <c r="L400" i="2"/>
  <c r="W399" i="2"/>
  <c r="X399" i="2" s="1"/>
  <c r="L399" i="2"/>
  <c r="W398" i="2"/>
  <c r="L398" i="2"/>
  <c r="X398" i="2" s="1"/>
  <c r="X397" i="2"/>
  <c r="W397" i="2"/>
  <c r="L397" i="2"/>
  <c r="W396" i="2"/>
  <c r="X396" i="2" s="1"/>
  <c r="L396" i="2"/>
  <c r="W395" i="2"/>
  <c r="X395" i="2" s="1"/>
  <c r="L395" i="2"/>
  <c r="W394" i="2"/>
  <c r="L394" i="2"/>
  <c r="X394" i="2" s="1"/>
  <c r="X393" i="2"/>
  <c r="W393" i="2"/>
  <c r="L393" i="2"/>
  <c r="W392" i="2"/>
  <c r="X392" i="2" s="1"/>
  <c r="L392" i="2"/>
  <c r="W391" i="2"/>
  <c r="X391" i="2" s="1"/>
  <c r="L391" i="2"/>
  <c r="K391" i="2"/>
  <c r="W390" i="2"/>
  <c r="X390" i="2" s="1"/>
  <c r="L390" i="2"/>
  <c r="L710" i="2" s="1"/>
  <c r="W389" i="2"/>
  <c r="L389" i="2"/>
  <c r="X389" i="2" s="1"/>
  <c r="X388" i="2"/>
  <c r="W388" i="2"/>
  <c r="L388" i="2"/>
  <c r="W387" i="2"/>
  <c r="L387" i="2"/>
  <c r="K387" i="2"/>
  <c r="K710" i="2" s="1"/>
  <c r="W383" i="2"/>
  <c r="X383" i="2" s="1"/>
  <c r="L383" i="2"/>
  <c r="K383" i="2"/>
  <c r="W382" i="2"/>
  <c r="X382" i="2" s="1"/>
  <c r="L382" i="2"/>
  <c r="W381" i="2"/>
  <c r="X381" i="2" s="1"/>
  <c r="L381" i="2"/>
  <c r="R380" i="2"/>
  <c r="W380" i="2" s="1"/>
  <c r="X380" i="2" s="1"/>
  <c r="L380" i="2"/>
  <c r="R379" i="2"/>
  <c r="W379" i="2" s="1"/>
  <c r="X379" i="2" s="1"/>
  <c r="L379" i="2"/>
  <c r="R378" i="2"/>
  <c r="W378" i="2" s="1"/>
  <c r="X378" i="2" s="1"/>
  <c r="L378" i="2"/>
  <c r="R377" i="2"/>
  <c r="W377" i="2" s="1"/>
  <c r="X377" i="2" s="1"/>
  <c r="L377" i="2"/>
  <c r="W376" i="2"/>
  <c r="L376" i="2"/>
  <c r="X376" i="2" s="1"/>
  <c r="X375" i="2"/>
  <c r="W375" i="2"/>
  <c r="L375" i="2"/>
  <c r="W374" i="2"/>
  <c r="X374" i="2" s="1"/>
  <c r="L374" i="2"/>
  <c r="W373" i="2"/>
  <c r="X373" i="2" s="1"/>
  <c r="L373" i="2"/>
  <c r="W372" i="2"/>
  <c r="L372" i="2"/>
  <c r="X372" i="2" s="1"/>
  <c r="X371" i="2"/>
  <c r="W371" i="2"/>
  <c r="L371" i="2"/>
  <c r="W370" i="2"/>
  <c r="X370" i="2" s="1"/>
  <c r="L370" i="2"/>
  <c r="W369" i="2"/>
  <c r="X369" i="2" s="1"/>
  <c r="L369" i="2"/>
  <c r="W368" i="2"/>
  <c r="L368" i="2"/>
  <c r="X368" i="2" s="1"/>
  <c r="X367" i="2"/>
  <c r="W367" i="2"/>
  <c r="L367" i="2"/>
  <c r="W366" i="2"/>
  <c r="X366" i="2" s="1"/>
  <c r="L366" i="2"/>
  <c r="W365" i="2"/>
  <c r="X365" i="2" s="1"/>
  <c r="L365" i="2"/>
  <c r="W364" i="2"/>
  <c r="L364" i="2"/>
  <c r="X364" i="2" s="1"/>
  <c r="X363" i="2"/>
  <c r="W363" i="2"/>
  <c r="M363" i="2"/>
  <c r="L363" i="2"/>
  <c r="X362" i="2"/>
  <c r="W362" i="2"/>
  <c r="L362" i="2"/>
  <c r="W361" i="2"/>
  <c r="X361" i="2" s="1"/>
  <c r="L361" i="2"/>
  <c r="W360" i="2"/>
  <c r="X360" i="2" s="1"/>
  <c r="L360" i="2"/>
  <c r="W359" i="2"/>
  <c r="L359" i="2"/>
  <c r="X359" i="2" s="1"/>
  <c r="X358" i="2"/>
  <c r="W358" i="2"/>
  <c r="L358" i="2"/>
  <c r="W357" i="2"/>
  <c r="X357" i="2" s="1"/>
  <c r="L357" i="2"/>
  <c r="W356" i="2"/>
  <c r="X356" i="2" s="1"/>
  <c r="L356" i="2"/>
  <c r="W355" i="2"/>
  <c r="L355" i="2"/>
  <c r="X355" i="2" s="1"/>
  <c r="X354" i="2"/>
  <c r="W354" i="2"/>
  <c r="L354" i="2"/>
  <c r="W353" i="2"/>
  <c r="X353" i="2" s="1"/>
  <c r="L353" i="2"/>
  <c r="W352" i="2"/>
  <c r="X352" i="2" s="1"/>
  <c r="L352" i="2"/>
  <c r="W351" i="2"/>
  <c r="L351" i="2"/>
  <c r="X351" i="2" s="1"/>
  <c r="X350" i="2"/>
  <c r="W350" i="2"/>
  <c r="R350" i="2"/>
  <c r="L350" i="2"/>
  <c r="X349" i="2"/>
  <c r="W349" i="2"/>
  <c r="R349" i="2"/>
  <c r="L349" i="2"/>
  <c r="X348" i="2"/>
  <c r="W348" i="2"/>
  <c r="L348" i="2"/>
  <c r="W347" i="2"/>
  <c r="X347" i="2" s="1"/>
  <c r="L347" i="2"/>
  <c r="W346" i="2"/>
  <c r="X346" i="2" s="1"/>
  <c r="L346" i="2"/>
  <c r="W345" i="2"/>
  <c r="L345" i="2"/>
  <c r="X345" i="2" s="1"/>
  <c r="X344" i="2"/>
  <c r="W344" i="2"/>
  <c r="R344" i="2"/>
  <c r="L344" i="2"/>
  <c r="X343" i="2"/>
  <c r="W343" i="2"/>
  <c r="R343" i="2"/>
  <c r="L343" i="2"/>
  <c r="X342" i="2"/>
  <c r="W342" i="2"/>
  <c r="M342" i="2"/>
  <c r="L342" i="2"/>
  <c r="W341" i="2"/>
  <c r="M341" i="2"/>
  <c r="K341" i="2"/>
  <c r="L341" i="2" s="1"/>
  <c r="X341" i="2" s="1"/>
  <c r="W340" i="2"/>
  <c r="L340" i="2"/>
  <c r="X340" i="2" s="1"/>
  <c r="X339" i="2"/>
  <c r="W339" i="2"/>
  <c r="L339" i="2"/>
  <c r="W338" i="2"/>
  <c r="X338" i="2" s="1"/>
  <c r="L338" i="2"/>
  <c r="W337" i="2"/>
  <c r="X337" i="2" s="1"/>
  <c r="L337" i="2"/>
  <c r="W336" i="2"/>
  <c r="L336" i="2"/>
  <c r="X336" i="2" s="1"/>
  <c r="X335" i="2"/>
  <c r="W335" i="2"/>
  <c r="L335" i="2"/>
  <c r="W334" i="2"/>
  <c r="X334" i="2" s="1"/>
  <c r="L334" i="2"/>
  <c r="W333" i="2"/>
  <c r="X333" i="2" s="1"/>
  <c r="L333" i="2"/>
  <c r="W332" i="2"/>
  <c r="M332" i="2"/>
  <c r="L332" i="2"/>
  <c r="X332" i="2" s="1"/>
  <c r="K332" i="2"/>
  <c r="W331" i="2"/>
  <c r="X331" i="2" s="1"/>
  <c r="L331" i="2"/>
  <c r="W330" i="2"/>
  <c r="L330" i="2"/>
  <c r="X330" i="2" s="1"/>
  <c r="X329" i="2"/>
  <c r="W329" i="2"/>
  <c r="L329" i="2"/>
  <c r="W328" i="2"/>
  <c r="X328" i="2" s="1"/>
  <c r="L328" i="2"/>
  <c r="W327" i="2"/>
  <c r="X327" i="2" s="1"/>
  <c r="L327" i="2"/>
  <c r="W326" i="2"/>
  <c r="L326" i="2"/>
  <c r="X326" i="2" s="1"/>
  <c r="X325" i="2"/>
  <c r="W325" i="2"/>
  <c r="L325" i="2"/>
  <c r="W324" i="2"/>
  <c r="X324" i="2" s="1"/>
  <c r="L324" i="2"/>
  <c r="R323" i="2"/>
  <c r="W323" i="2" s="1"/>
  <c r="X323" i="2" s="1"/>
  <c r="M323" i="2"/>
  <c r="K323" i="2"/>
  <c r="L323" i="2" s="1"/>
  <c r="X322" i="2"/>
  <c r="W322" i="2"/>
  <c r="R322" i="2"/>
  <c r="L322" i="2"/>
  <c r="X321" i="2"/>
  <c r="W321" i="2"/>
  <c r="R321" i="2"/>
  <c r="L321" i="2"/>
  <c r="X320" i="2"/>
  <c r="W320" i="2"/>
  <c r="M320" i="2"/>
  <c r="L320" i="2"/>
  <c r="X319" i="2"/>
  <c r="W319" i="2"/>
  <c r="M319" i="2"/>
  <c r="L319" i="2"/>
  <c r="X318" i="2"/>
  <c r="W318" i="2"/>
  <c r="L318" i="2"/>
  <c r="W317" i="2"/>
  <c r="X317" i="2" s="1"/>
  <c r="L317" i="2"/>
  <c r="W316" i="2"/>
  <c r="X316" i="2" s="1"/>
  <c r="L316" i="2"/>
  <c r="W315" i="2"/>
  <c r="L315" i="2"/>
  <c r="X315" i="2" s="1"/>
  <c r="X314" i="2"/>
  <c r="W314" i="2"/>
  <c r="L314" i="2"/>
  <c r="W313" i="2"/>
  <c r="X313" i="2" s="1"/>
  <c r="L313" i="2"/>
  <c r="W312" i="2"/>
  <c r="X312" i="2" s="1"/>
  <c r="L312" i="2"/>
  <c r="R311" i="2"/>
  <c r="W311" i="2" s="1"/>
  <c r="X311" i="2" s="1"/>
  <c r="L311" i="2"/>
  <c r="R310" i="2"/>
  <c r="W310" i="2" s="1"/>
  <c r="X310" i="2" s="1"/>
  <c r="L310" i="2"/>
  <c r="R309" i="2"/>
  <c r="W309" i="2" s="1"/>
  <c r="X309" i="2" s="1"/>
  <c r="L309" i="2"/>
  <c r="W308" i="2"/>
  <c r="L308" i="2"/>
  <c r="X308" i="2" s="1"/>
  <c r="X307" i="2"/>
  <c r="W307" i="2"/>
  <c r="L307" i="2"/>
  <c r="W306" i="2"/>
  <c r="X306" i="2" s="1"/>
  <c r="L306" i="2"/>
  <c r="W305" i="2"/>
  <c r="X305" i="2" s="1"/>
  <c r="L305" i="2"/>
  <c r="W304" i="2"/>
  <c r="L304" i="2"/>
  <c r="X304" i="2" s="1"/>
  <c r="X303" i="2"/>
  <c r="W303" i="2"/>
  <c r="L303" i="2"/>
  <c r="W302" i="2"/>
  <c r="X302" i="2" s="1"/>
  <c r="L302" i="2"/>
  <c r="W301" i="2"/>
  <c r="X301" i="2" s="1"/>
  <c r="L301" i="2"/>
  <c r="W300" i="2"/>
  <c r="L300" i="2"/>
  <c r="X300" i="2" s="1"/>
  <c r="X299" i="2"/>
  <c r="W299" i="2"/>
  <c r="L299" i="2"/>
  <c r="W298" i="2"/>
  <c r="X298" i="2" s="1"/>
  <c r="L298" i="2"/>
  <c r="W297" i="2"/>
  <c r="X297" i="2" s="1"/>
  <c r="L297" i="2"/>
  <c r="W296" i="2"/>
  <c r="L296" i="2"/>
  <c r="X296" i="2" s="1"/>
  <c r="X295" i="2"/>
  <c r="W295" i="2"/>
  <c r="L295" i="2"/>
  <c r="W294" i="2"/>
  <c r="X294" i="2" s="1"/>
  <c r="L294" i="2"/>
  <c r="W293" i="2"/>
  <c r="X293" i="2" s="1"/>
  <c r="L293" i="2"/>
  <c r="W292" i="2"/>
  <c r="L292" i="2"/>
  <c r="X292" i="2" s="1"/>
  <c r="X291" i="2"/>
  <c r="W291" i="2"/>
  <c r="L291" i="2"/>
  <c r="W290" i="2"/>
  <c r="X290" i="2" s="1"/>
  <c r="L290" i="2"/>
  <c r="W289" i="2"/>
  <c r="X289" i="2" s="1"/>
  <c r="M289" i="2"/>
  <c r="L289" i="2"/>
  <c r="W288" i="2"/>
  <c r="X288" i="2" s="1"/>
  <c r="L288" i="2"/>
  <c r="W287" i="2"/>
  <c r="L287" i="2"/>
  <c r="X287" i="2" s="1"/>
  <c r="X286" i="2"/>
  <c r="W286" i="2"/>
  <c r="R286" i="2"/>
  <c r="L286" i="2"/>
  <c r="X285" i="2"/>
  <c r="W285" i="2"/>
  <c r="M285" i="2"/>
  <c r="L285" i="2"/>
  <c r="X284" i="2"/>
  <c r="W284" i="2"/>
  <c r="L284" i="2"/>
  <c r="W283" i="2"/>
  <c r="X283" i="2" s="1"/>
  <c r="L283" i="2"/>
  <c r="W282" i="2"/>
  <c r="X282" i="2" s="1"/>
  <c r="M282" i="2"/>
  <c r="L282" i="2"/>
  <c r="K282" i="2"/>
  <c r="W281" i="2"/>
  <c r="X281" i="2" s="1"/>
  <c r="L281" i="2"/>
  <c r="W280" i="2"/>
  <c r="X280" i="2" s="1"/>
  <c r="L280" i="2"/>
  <c r="K280" i="2"/>
  <c r="W279" i="2"/>
  <c r="X279" i="2" s="1"/>
  <c r="L279" i="2"/>
  <c r="W278" i="2"/>
  <c r="L278" i="2"/>
  <c r="X278" i="2" s="1"/>
  <c r="X277" i="2"/>
  <c r="W277" i="2"/>
  <c r="L277" i="2"/>
  <c r="W276" i="2"/>
  <c r="X276" i="2" s="1"/>
  <c r="L276" i="2"/>
  <c r="W275" i="2"/>
  <c r="X275" i="2" s="1"/>
  <c r="L275" i="2"/>
  <c r="W274" i="2"/>
  <c r="L274" i="2"/>
  <c r="X274" i="2" s="1"/>
  <c r="X273" i="2"/>
  <c r="W273" i="2"/>
  <c r="L273" i="2"/>
  <c r="W272" i="2"/>
  <c r="X272" i="2" s="1"/>
  <c r="L272" i="2"/>
  <c r="W271" i="2"/>
  <c r="X271" i="2" s="1"/>
  <c r="L271" i="2"/>
  <c r="W270" i="2"/>
  <c r="L270" i="2"/>
  <c r="X270" i="2" s="1"/>
  <c r="X269" i="2"/>
  <c r="W269" i="2"/>
  <c r="R269" i="2"/>
  <c r="L269" i="2"/>
  <c r="W268" i="2"/>
  <c r="M268" i="2"/>
  <c r="K268" i="2"/>
  <c r="L268" i="2" s="1"/>
  <c r="X268" i="2" s="1"/>
  <c r="W267" i="2"/>
  <c r="L267" i="2"/>
  <c r="X267" i="2" s="1"/>
  <c r="X266" i="2"/>
  <c r="W266" i="2"/>
  <c r="L266" i="2"/>
  <c r="W265" i="2"/>
  <c r="X265" i="2" s="1"/>
  <c r="R265" i="2"/>
  <c r="L265" i="2"/>
  <c r="W264" i="2"/>
  <c r="X264" i="2" s="1"/>
  <c r="R264" i="2"/>
  <c r="M264" i="2"/>
  <c r="K264" i="2"/>
  <c r="L264" i="2" s="1"/>
  <c r="R263" i="2"/>
  <c r="W263" i="2" s="1"/>
  <c r="X263" i="2" s="1"/>
  <c r="L263" i="2"/>
  <c r="R262" i="2"/>
  <c r="W262" i="2" s="1"/>
  <c r="X262" i="2" s="1"/>
  <c r="M262" i="2"/>
  <c r="L262" i="2"/>
  <c r="R261" i="2"/>
  <c r="W261" i="2" s="1"/>
  <c r="X261" i="2" s="1"/>
  <c r="L261" i="2"/>
  <c r="R260" i="2"/>
  <c r="W260" i="2" s="1"/>
  <c r="X260" i="2" s="1"/>
  <c r="L260" i="2"/>
  <c r="W259" i="2"/>
  <c r="X259" i="2" s="1"/>
  <c r="L259" i="2"/>
  <c r="W258" i="2"/>
  <c r="L258" i="2"/>
  <c r="X258" i="2" s="1"/>
  <c r="X257" i="2"/>
  <c r="W257" i="2"/>
  <c r="L257" i="2"/>
  <c r="W256" i="2"/>
  <c r="X256" i="2" s="1"/>
  <c r="L256" i="2"/>
  <c r="W255" i="2"/>
  <c r="X255" i="2" s="1"/>
  <c r="L255" i="2"/>
  <c r="W254" i="2"/>
  <c r="L254" i="2"/>
  <c r="X254" i="2" s="1"/>
  <c r="X253" i="2"/>
  <c r="W253" i="2"/>
  <c r="L253" i="2"/>
  <c r="W252" i="2"/>
  <c r="X252" i="2" s="1"/>
  <c r="L252" i="2"/>
  <c r="W251" i="2"/>
  <c r="X251" i="2" s="1"/>
  <c r="L251" i="2"/>
  <c r="W250" i="2"/>
  <c r="L250" i="2"/>
  <c r="X250" i="2" s="1"/>
  <c r="X249" i="2"/>
  <c r="W249" i="2"/>
  <c r="L249" i="2"/>
  <c r="W248" i="2"/>
  <c r="X248" i="2" s="1"/>
  <c r="L248" i="2"/>
  <c r="W247" i="2"/>
  <c r="X247" i="2" s="1"/>
  <c r="L247" i="2"/>
  <c r="W246" i="2"/>
  <c r="L246" i="2"/>
  <c r="X246" i="2" s="1"/>
  <c r="W245" i="2"/>
  <c r="K245" i="2"/>
  <c r="L245" i="2" s="1"/>
  <c r="X245" i="2" s="1"/>
  <c r="X244" i="2"/>
  <c r="W244" i="2"/>
  <c r="L244" i="2"/>
  <c r="W243" i="2"/>
  <c r="X243" i="2" s="1"/>
  <c r="L243" i="2"/>
  <c r="W242" i="2"/>
  <c r="X242" i="2" s="1"/>
  <c r="L242" i="2"/>
  <c r="W241" i="2"/>
  <c r="L241" i="2"/>
  <c r="X241" i="2" s="1"/>
  <c r="X240" i="2"/>
  <c r="W240" i="2"/>
  <c r="R240" i="2"/>
  <c r="L240" i="2"/>
  <c r="X239" i="2"/>
  <c r="W239" i="2"/>
  <c r="R239" i="2"/>
  <c r="L239" i="2"/>
  <c r="X238" i="2"/>
  <c r="W238" i="2"/>
  <c r="R238" i="2"/>
  <c r="L238" i="2"/>
  <c r="X237" i="2"/>
  <c r="W237" i="2"/>
  <c r="L237" i="2"/>
  <c r="W236" i="2"/>
  <c r="X236" i="2" s="1"/>
  <c r="L236" i="2"/>
  <c r="R235" i="2"/>
  <c r="W235" i="2" s="1"/>
  <c r="X235" i="2" s="1"/>
  <c r="L235" i="2"/>
  <c r="W234" i="2"/>
  <c r="X234" i="2" s="1"/>
  <c r="L234" i="2"/>
  <c r="W233" i="2"/>
  <c r="L233" i="2"/>
  <c r="X233" i="2" s="1"/>
  <c r="X232" i="2"/>
  <c r="W232" i="2"/>
  <c r="L232" i="2"/>
  <c r="W231" i="2"/>
  <c r="X231" i="2" s="1"/>
  <c r="L231" i="2"/>
  <c r="W230" i="2"/>
  <c r="X230" i="2" s="1"/>
  <c r="L230" i="2"/>
  <c r="W229" i="2"/>
  <c r="L229" i="2"/>
  <c r="X229" i="2" s="1"/>
  <c r="X228" i="2"/>
  <c r="W228" i="2"/>
  <c r="L228" i="2"/>
  <c r="W227" i="2"/>
  <c r="X227" i="2" s="1"/>
  <c r="L227" i="2"/>
  <c r="W226" i="2"/>
  <c r="X226" i="2" s="1"/>
  <c r="L226" i="2"/>
  <c r="W225" i="2"/>
  <c r="L225" i="2"/>
  <c r="X225" i="2" s="1"/>
  <c r="X224" i="2"/>
  <c r="W224" i="2"/>
  <c r="L224" i="2"/>
  <c r="W223" i="2"/>
  <c r="X223" i="2" s="1"/>
  <c r="L223" i="2"/>
  <c r="W222" i="2"/>
  <c r="X222" i="2" s="1"/>
  <c r="L222" i="2"/>
  <c r="W221" i="2"/>
  <c r="L221" i="2"/>
  <c r="X221" i="2" s="1"/>
  <c r="X220" i="2"/>
  <c r="W220" i="2"/>
  <c r="L220" i="2"/>
  <c r="W219" i="2"/>
  <c r="X219" i="2" s="1"/>
  <c r="L219" i="2"/>
  <c r="W218" i="2"/>
  <c r="X218" i="2" s="1"/>
  <c r="L218" i="2"/>
  <c r="W217" i="2"/>
  <c r="L217" i="2"/>
  <c r="X217" i="2" s="1"/>
  <c r="X216" i="2"/>
  <c r="W216" i="2"/>
  <c r="L216" i="2"/>
  <c r="W215" i="2"/>
  <c r="X215" i="2" s="1"/>
  <c r="L215" i="2"/>
  <c r="W214" i="2"/>
  <c r="X214" i="2" s="1"/>
  <c r="L214" i="2"/>
  <c r="W213" i="2"/>
  <c r="L213" i="2"/>
  <c r="X213" i="2" s="1"/>
  <c r="X212" i="2"/>
  <c r="W212" i="2"/>
  <c r="R212" i="2"/>
  <c r="L212" i="2"/>
  <c r="X211" i="2"/>
  <c r="W211" i="2"/>
  <c r="R211" i="2"/>
  <c r="L211" i="2"/>
  <c r="X210" i="2"/>
  <c r="W210" i="2"/>
  <c r="R210" i="2"/>
  <c r="L210" i="2"/>
  <c r="X209" i="2"/>
  <c r="W209" i="2"/>
  <c r="R209" i="2"/>
  <c r="L209" i="2"/>
  <c r="X208" i="2"/>
  <c r="W208" i="2"/>
  <c r="R208" i="2"/>
  <c r="L208" i="2"/>
  <c r="X207" i="2"/>
  <c r="W207" i="2"/>
  <c r="L207" i="2"/>
  <c r="W206" i="2"/>
  <c r="X206" i="2" s="1"/>
  <c r="L206" i="2"/>
  <c r="W205" i="2"/>
  <c r="X205" i="2" s="1"/>
  <c r="L205" i="2"/>
  <c r="R204" i="2"/>
  <c r="W204" i="2" s="1"/>
  <c r="X204" i="2" s="1"/>
  <c r="L204" i="2"/>
  <c r="R203" i="2"/>
  <c r="W203" i="2" s="1"/>
  <c r="X203" i="2" s="1"/>
  <c r="L203" i="2"/>
  <c r="R202" i="2"/>
  <c r="W202" i="2" s="1"/>
  <c r="X202" i="2" s="1"/>
  <c r="L202" i="2"/>
  <c r="R201" i="2"/>
  <c r="W201" i="2" s="1"/>
  <c r="X201" i="2" s="1"/>
  <c r="L201" i="2"/>
  <c r="W200" i="2"/>
  <c r="L200" i="2"/>
  <c r="X200" i="2" s="1"/>
  <c r="W199" i="2"/>
  <c r="K199" i="2"/>
  <c r="L199" i="2" s="1"/>
  <c r="X199" i="2" s="1"/>
  <c r="X198" i="2"/>
  <c r="W198" i="2"/>
  <c r="L198" i="2"/>
  <c r="W197" i="2"/>
  <c r="X197" i="2" s="1"/>
  <c r="M197" i="2"/>
  <c r="K197" i="2"/>
  <c r="L197" i="2" s="1"/>
  <c r="X196" i="2"/>
  <c r="W196" i="2"/>
  <c r="L196" i="2"/>
  <c r="W195" i="2"/>
  <c r="X195" i="2" s="1"/>
  <c r="L195" i="2"/>
  <c r="W194" i="2"/>
  <c r="X194" i="2" s="1"/>
  <c r="L194" i="2"/>
  <c r="W193" i="2"/>
  <c r="X193" i="2" s="1"/>
  <c r="L193" i="2"/>
  <c r="X192" i="2"/>
  <c r="W192" i="2"/>
  <c r="M192" i="2"/>
  <c r="L192" i="2"/>
  <c r="X191" i="2"/>
  <c r="W191" i="2"/>
  <c r="L191" i="2"/>
  <c r="W190" i="2"/>
  <c r="X190" i="2" s="1"/>
  <c r="R190" i="2"/>
  <c r="L190" i="2"/>
  <c r="W189" i="2"/>
  <c r="X189" i="2" s="1"/>
  <c r="R189" i="2"/>
  <c r="L189" i="2"/>
  <c r="W188" i="2"/>
  <c r="X188" i="2" s="1"/>
  <c r="R188" i="2"/>
  <c r="L188" i="2"/>
  <c r="W187" i="2"/>
  <c r="X187" i="2" s="1"/>
  <c r="R187" i="2"/>
  <c r="L187" i="2"/>
  <c r="W186" i="2"/>
  <c r="X186" i="2" s="1"/>
  <c r="L186" i="2"/>
  <c r="R185" i="2"/>
  <c r="W185" i="2" s="1"/>
  <c r="X185" i="2" s="1"/>
  <c r="L185" i="2"/>
  <c r="R184" i="2"/>
  <c r="W184" i="2" s="1"/>
  <c r="X184" i="2" s="1"/>
  <c r="L184" i="2"/>
  <c r="W183" i="2"/>
  <c r="X183" i="2" s="1"/>
  <c r="L183" i="2"/>
  <c r="R182" i="2"/>
  <c r="W182" i="2" s="1"/>
  <c r="X182" i="2" s="1"/>
  <c r="M182" i="2"/>
  <c r="L182" i="2"/>
  <c r="R181" i="2"/>
  <c r="W181" i="2" s="1"/>
  <c r="X181" i="2" s="1"/>
  <c r="L181" i="2"/>
  <c r="W180" i="2"/>
  <c r="X180" i="2" s="1"/>
  <c r="L180" i="2"/>
  <c r="W179" i="2"/>
  <c r="X179" i="2" s="1"/>
  <c r="L179" i="2"/>
  <c r="X178" i="2"/>
  <c r="W178" i="2"/>
  <c r="L178" i="2"/>
  <c r="W177" i="2"/>
  <c r="X177" i="2" s="1"/>
  <c r="L177" i="2"/>
  <c r="W176" i="2"/>
  <c r="X176" i="2" s="1"/>
  <c r="L176" i="2"/>
  <c r="W175" i="2"/>
  <c r="X175" i="2" s="1"/>
  <c r="L175" i="2"/>
  <c r="X174" i="2"/>
  <c r="W174" i="2"/>
  <c r="L174" i="2"/>
  <c r="W173" i="2"/>
  <c r="X173" i="2" s="1"/>
  <c r="L173" i="2"/>
  <c r="W172" i="2"/>
  <c r="X172" i="2" s="1"/>
  <c r="L172" i="2"/>
  <c r="W171" i="2"/>
  <c r="X171" i="2" s="1"/>
  <c r="L171" i="2"/>
  <c r="X170" i="2"/>
  <c r="W170" i="2"/>
  <c r="M170" i="2"/>
  <c r="L170" i="2"/>
  <c r="X169" i="2"/>
  <c r="W169" i="2"/>
  <c r="L169" i="2"/>
  <c r="W168" i="2"/>
  <c r="X168" i="2" s="1"/>
  <c r="L168" i="2"/>
  <c r="W167" i="2"/>
  <c r="X167" i="2" s="1"/>
  <c r="L167" i="2"/>
  <c r="W166" i="2"/>
  <c r="X166" i="2" s="1"/>
  <c r="L166" i="2"/>
  <c r="X165" i="2"/>
  <c r="W165" i="2"/>
  <c r="L165" i="2"/>
  <c r="W164" i="2"/>
  <c r="X164" i="2" s="1"/>
  <c r="L164" i="2"/>
  <c r="W163" i="2"/>
  <c r="X163" i="2" s="1"/>
  <c r="L163" i="2"/>
  <c r="W162" i="2"/>
  <c r="X162" i="2" s="1"/>
  <c r="L162" i="2"/>
  <c r="X161" i="2"/>
  <c r="W161" i="2"/>
  <c r="L161" i="2"/>
  <c r="W160" i="2"/>
  <c r="X160" i="2" s="1"/>
  <c r="L160" i="2"/>
  <c r="W159" i="2"/>
  <c r="X159" i="2" s="1"/>
  <c r="L159" i="2"/>
  <c r="W158" i="2"/>
  <c r="X158" i="2" s="1"/>
  <c r="L158" i="2"/>
  <c r="X157" i="2"/>
  <c r="W157" i="2"/>
  <c r="L157" i="2"/>
  <c r="W156" i="2"/>
  <c r="X156" i="2" s="1"/>
  <c r="L156" i="2"/>
  <c r="W155" i="2"/>
  <c r="X155" i="2" s="1"/>
  <c r="L155" i="2"/>
  <c r="W154" i="2"/>
  <c r="X154" i="2" s="1"/>
  <c r="L154" i="2"/>
  <c r="X153" i="2"/>
  <c r="W153" i="2"/>
  <c r="L153" i="2"/>
  <c r="W152" i="2"/>
  <c r="X152" i="2" s="1"/>
  <c r="M152" i="2"/>
  <c r="L152" i="2"/>
  <c r="W151" i="2"/>
  <c r="X151" i="2" s="1"/>
  <c r="L151" i="2"/>
  <c r="W150" i="2"/>
  <c r="X150" i="2" s="1"/>
  <c r="L150" i="2"/>
  <c r="W149" i="2"/>
  <c r="X149" i="2" s="1"/>
  <c r="L149" i="2"/>
  <c r="X148" i="2"/>
  <c r="W148" i="2"/>
  <c r="L148" i="2"/>
  <c r="W147" i="2"/>
  <c r="X147" i="2" s="1"/>
  <c r="L147" i="2"/>
  <c r="W146" i="2"/>
  <c r="X146" i="2" s="1"/>
  <c r="L146" i="2"/>
  <c r="W145" i="2"/>
  <c r="X145" i="2" s="1"/>
  <c r="L145" i="2"/>
  <c r="X144" i="2"/>
  <c r="W144" i="2"/>
  <c r="L144" i="2"/>
  <c r="W143" i="2"/>
  <c r="X143" i="2" s="1"/>
  <c r="L143" i="2"/>
  <c r="W142" i="2"/>
  <c r="X142" i="2" s="1"/>
  <c r="L142" i="2"/>
  <c r="W141" i="2"/>
  <c r="X141" i="2" s="1"/>
  <c r="L141" i="2"/>
  <c r="X140" i="2"/>
  <c r="W140" i="2"/>
  <c r="L140" i="2"/>
  <c r="W139" i="2"/>
  <c r="M139" i="2"/>
  <c r="K139" i="2"/>
  <c r="L139" i="2" s="1"/>
  <c r="X138" i="2"/>
  <c r="W138" i="2"/>
  <c r="L138" i="2"/>
  <c r="W137" i="2"/>
  <c r="X137" i="2" s="1"/>
  <c r="L137" i="2"/>
  <c r="W136" i="2"/>
  <c r="X136" i="2" s="1"/>
  <c r="L136" i="2"/>
  <c r="W135" i="2"/>
  <c r="X135" i="2" s="1"/>
  <c r="L135" i="2"/>
  <c r="X134" i="2"/>
  <c r="W134" i="2"/>
  <c r="L134" i="2"/>
  <c r="W133" i="2"/>
  <c r="X133" i="2" s="1"/>
  <c r="L133" i="2"/>
  <c r="W132" i="2"/>
  <c r="X132" i="2" s="1"/>
  <c r="L132" i="2"/>
  <c r="W131" i="2"/>
  <c r="X131" i="2" s="1"/>
  <c r="L131" i="2"/>
  <c r="W130" i="2"/>
  <c r="M130" i="2"/>
  <c r="K130" i="2"/>
  <c r="L130" i="2" s="1"/>
  <c r="X130" i="2" s="1"/>
  <c r="W129" i="2"/>
  <c r="X129" i="2" s="1"/>
  <c r="M129" i="2"/>
  <c r="L129" i="2"/>
  <c r="K129" i="2"/>
  <c r="K385" i="2" s="1"/>
  <c r="W128" i="2"/>
  <c r="X128" i="2" s="1"/>
  <c r="L128" i="2"/>
  <c r="W127" i="2"/>
  <c r="X127" i="2" s="1"/>
  <c r="L127" i="2"/>
  <c r="X126" i="2"/>
  <c r="W126" i="2"/>
  <c r="M126" i="2"/>
  <c r="L126" i="2"/>
  <c r="X125" i="2"/>
  <c r="W125" i="2"/>
  <c r="L125" i="2"/>
  <c r="W124" i="2"/>
  <c r="X124" i="2" s="1"/>
  <c r="R124" i="2"/>
  <c r="L124" i="2"/>
  <c r="W123" i="2"/>
  <c r="X123" i="2" s="1"/>
  <c r="R123" i="2"/>
  <c r="L123" i="2"/>
  <c r="W122" i="2"/>
  <c r="X122" i="2" s="1"/>
  <c r="L122" i="2"/>
  <c r="R121" i="2"/>
  <c r="W121" i="2" s="1"/>
  <c r="X121" i="2" s="1"/>
  <c r="L121" i="2"/>
  <c r="R120" i="2"/>
  <c r="W120" i="2" s="1"/>
  <c r="X120" i="2" s="1"/>
  <c r="L120" i="2"/>
  <c r="R119" i="2"/>
  <c r="W119" i="2" s="1"/>
  <c r="X119" i="2" s="1"/>
  <c r="L119" i="2"/>
  <c r="R118" i="2"/>
  <c r="W118" i="2" s="1"/>
  <c r="X118" i="2" s="1"/>
  <c r="L118" i="2"/>
  <c r="R117" i="2"/>
  <c r="W117" i="2" s="1"/>
  <c r="X117" i="2" s="1"/>
  <c r="L117" i="2"/>
  <c r="R116" i="2"/>
  <c r="W116" i="2" s="1"/>
  <c r="X116" i="2" s="1"/>
  <c r="L116" i="2"/>
  <c r="R115" i="2"/>
  <c r="W115" i="2" s="1"/>
  <c r="X115" i="2" s="1"/>
  <c r="L115" i="2"/>
  <c r="R114" i="2"/>
  <c r="W114" i="2" s="1"/>
  <c r="X114" i="2" s="1"/>
  <c r="L114" i="2"/>
  <c r="R113" i="2"/>
  <c r="W113" i="2" s="1"/>
  <c r="X113" i="2" s="1"/>
  <c r="L113" i="2"/>
  <c r="R112" i="2"/>
  <c r="W112" i="2" s="1"/>
  <c r="X112" i="2" s="1"/>
  <c r="L112" i="2"/>
  <c r="R111" i="2"/>
  <c r="W111" i="2" s="1"/>
  <c r="X111" i="2" s="1"/>
  <c r="L111" i="2"/>
  <c r="R110" i="2"/>
  <c r="W110" i="2" s="1"/>
  <c r="X110" i="2" s="1"/>
  <c r="L110" i="2"/>
  <c r="W109" i="2"/>
  <c r="X109" i="2" s="1"/>
  <c r="L109" i="2"/>
  <c r="R108" i="2"/>
  <c r="W108" i="2" s="1"/>
  <c r="X108" i="2" s="1"/>
  <c r="L108" i="2"/>
  <c r="R107" i="2"/>
  <c r="W107" i="2" s="1"/>
  <c r="X107" i="2" s="1"/>
  <c r="L107" i="2"/>
  <c r="R106" i="2"/>
  <c r="W106" i="2" s="1"/>
  <c r="X106" i="2" s="1"/>
  <c r="L106" i="2"/>
  <c r="R105" i="2"/>
  <c r="W105" i="2" s="1"/>
  <c r="X105" i="2" s="1"/>
  <c r="L105" i="2"/>
  <c r="R104" i="2"/>
  <c r="W104" i="2" s="1"/>
  <c r="X104" i="2" s="1"/>
  <c r="L104" i="2"/>
  <c r="R103" i="2"/>
  <c r="W103" i="2" s="1"/>
  <c r="X103" i="2" s="1"/>
  <c r="M103" i="2"/>
  <c r="L103" i="2"/>
  <c r="W102" i="2"/>
  <c r="X102" i="2" s="1"/>
  <c r="L102" i="2"/>
  <c r="R101" i="2"/>
  <c r="W101" i="2" s="1"/>
  <c r="X101" i="2" s="1"/>
  <c r="L101" i="2"/>
  <c r="R100" i="2"/>
  <c r="W100" i="2" s="1"/>
  <c r="X100" i="2" s="1"/>
  <c r="L100" i="2"/>
  <c r="W99" i="2"/>
  <c r="X99" i="2" s="1"/>
  <c r="L99" i="2"/>
  <c r="R98" i="2"/>
  <c r="W98" i="2" s="1"/>
  <c r="X98" i="2" s="1"/>
  <c r="L98" i="2"/>
  <c r="R97" i="2"/>
  <c r="W97" i="2" s="1"/>
  <c r="X97" i="2" s="1"/>
  <c r="L97" i="2"/>
  <c r="R96" i="2"/>
  <c r="W96" i="2" s="1"/>
  <c r="X96" i="2" s="1"/>
  <c r="L96" i="2"/>
  <c r="R95" i="2"/>
  <c r="W95" i="2" s="1"/>
  <c r="X95" i="2" s="1"/>
  <c r="L95" i="2"/>
  <c r="R94" i="2"/>
  <c r="W94" i="2" s="1"/>
  <c r="X94" i="2" s="1"/>
  <c r="L94" i="2"/>
  <c r="R93" i="2"/>
  <c r="W93" i="2" s="1"/>
  <c r="X93" i="2" s="1"/>
  <c r="L93" i="2"/>
  <c r="X92" i="2"/>
  <c r="W92" i="2"/>
  <c r="L92" i="2"/>
  <c r="W91" i="2"/>
  <c r="X91" i="2" s="1"/>
  <c r="L91" i="2"/>
  <c r="W90" i="2"/>
  <c r="X90" i="2" s="1"/>
  <c r="L90" i="2"/>
  <c r="W89" i="2"/>
  <c r="X89" i="2" s="1"/>
  <c r="L89" i="2"/>
  <c r="X88" i="2"/>
  <c r="W88" i="2"/>
  <c r="L88" i="2"/>
  <c r="W87" i="2"/>
  <c r="X87" i="2" s="1"/>
  <c r="L87" i="2"/>
  <c r="W86" i="2"/>
  <c r="X86" i="2" s="1"/>
  <c r="L86" i="2"/>
  <c r="W85" i="2"/>
  <c r="X85" i="2" s="1"/>
  <c r="L85" i="2"/>
  <c r="X84" i="2"/>
  <c r="W84" i="2"/>
  <c r="M84" i="2"/>
  <c r="L84" i="2"/>
  <c r="X83" i="2"/>
  <c r="W83" i="2"/>
  <c r="L83" i="2"/>
  <c r="W82" i="2"/>
  <c r="X82" i="2" s="1"/>
  <c r="L82" i="2"/>
  <c r="W81" i="2"/>
  <c r="X81" i="2" s="1"/>
  <c r="L81" i="2"/>
  <c r="W80" i="2"/>
  <c r="X80" i="2" s="1"/>
  <c r="L80" i="2"/>
  <c r="X79" i="2"/>
  <c r="W79" i="2"/>
  <c r="L79" i="2"/>
  <c r="W78" i="2"/>
  <c r="X78" i="2" s="1"/>
  <c r="L78" i="2"/>
  <c r="R77" i="2"/>
  <c r="W77" i="2" s="1"/>
  <c r="X77" i="2" s="1"/>
  <c r="L77" i="2"/>
  <c r="W76" i="2"/>
  <c r="X76" i="2" s="1"/>
  <c r="L76" i="2"/>
  <c r="W75" i="2"/>
  <c r="X75" i="2" s="1"/>
  <c r="L75" i="2"/>
  <c r="X74" i="2"/>
  <c r="W74" i="2"/>
  <c r="L74" i="2"/>
  <c r="W73" i="2"/>
  <c r="X73" i="2" s="1"/>
  <c r="L73" i="2"/>
  <c r="W72" i="2"/>
  <c r="X72" i="2" s="1"/>
  <c r="L72" i="2"/>
  <c r="W71" i="2"/>
  <c r="X71" i="2" s="1"/>
  <c r="L71" i="2"/>
  <c r="R70" i="2"/>
  <c r="W70" i="2" s="1"/>
  <c r="X70" i="2" s="1"/>
  <c r="L70" i="2"/>
  <c r="X69" i="2"/>
  <c r="W69" i="2"/>
  <c r="L69" i="2"/>
  <c r="W68" i="2"/>
  <c r="X68" i="2" s="1"/>
  <c r="L68" i="2"/>
  <c r="W67" i="2"/>
  <c r="X67" i="2" s="1"/>
  <c r="L67" i="2"/>
  <c r="W66" i="2"/>
  <c r="X66" i="2" s="1"/>
  <c r="L66" i="2"/>
  <c r="X65" i="2"/>
  <c r="W65" i="2"/>
  <c r="L65" i="2"/>
  <c r="W64" i="2"/>
  <c r="X64" i="2" s="1"/>
  <c r="L64" i="2"/>
  <c r="R63" i="2"/>
  <c r="W63" i="2" s="1"/>
  <c r="X63" i="2" s="1"/>
  <c r="L63" i="2"/>
  <c r="R62" i="2"/>
  <c r="W62" i="2" s="1"/>
  <c r="X62" i="2" s="1"/>
  <c r="L62" i="2"/>
  <c r="R61" i="2"/>
  <c r="W61" i="2" s="1"/>
  <c r="X61" i="2" s="1"/>
  <c r="L61" i="2"/>
  <c r="R60" i="2"/>
  <c r="W60" i="2" s="1"/>
  <c r="X60" i="2" s="1"/>
  <c r="L60" i="2"/>
  <c r="R59" i="2"/>
  <c r="W59" i="2" s="1"/>
  <c r="X59" i="2" s="1"/>
  <c r="L59" i="2"/>
  <c r="R58" i="2"/>
  <c r="W58" i="2" s="1"/>
  <c r="X58" i="2" s="1"/>
  <c r="L58" i="2"/>
  <c r="W57" i="2"/>
  <c r="X57" i="2" s="1"/>
  <c r="L57" i="2"/>
  <c r="R56" i="2"/>
  <c r="W56" i="2" s="1"/>
  <c r="X56" i="2" s="1"/>
  <c r="L56" i="2"/>
  <c r="R55" i="2"/>
  <c r="W55" i="2" s="1"/>
  <c r="X55" i="2" s="1"/>
  <c r="L55" i="2"/>
  <c r="R54" i="2"/>
  <c r="W54" i="2" s="1"/>
  <c r="X54" i="2" s="1"/>
  <c r="L54" i="2"/>
  <c r="W53" i="2"/>
  <c r="X53" i="2" s="1"/>
  <c r="L53" i="2"/>
  <c r="R52" i="2"/>
  <c r="W52" i="2" s="1"/>
  <c r="X52" i="2" s="1"/>
  <c r="L52" i="2"/>
  <c r="R51" i="2"/>
  <c r="W51" i="2" s="1"/>
  <c r="X51" i="2" s="1"/>
  <c r="L51" i="2"/>
  <c r="R50" i="2"/>
  <c r="W50" i="2" s="1"/>
  <c r="X50" i="2" s="1"/>
  <c r="L50" i="2"/>
  <c r="X49" i="2"/>
  <c r="W49" i="2"/>
  <c r="L49" i="2"/>
  <c r="W48" i="2"/>
  <c r="X48" i="2" s="1"/>
  <c r="L48" i="2"/>
  <c r="R47" i="2"/>
  <c r="W47" i="2" s="1"/>
  <c r="X47" i="2" s="1"/>
  <c r="L47" i="2"/>
  <c r="R46" i="2"/>
  <c r="W46" i="2" s="1"/>
  <c r="X46" i="2" s="1"/>
  <c r="L46" i="2"/>
  <c r="R45" i="2"/>
  <c r="W45" i="2" s="1"/>
  <c r="X45" i="2" s="1"/>
  <c r="L45" i="2"/>
  <c r="R44" i="2"/>
  <c r="W44" i="2" s="1"/>
  <c r="X44" i="2" s="1"/>
  <c r="L44" i="2"/>
  <c r="R43" i="2"/>
  <c r="W43" i="2" s="1"/>
  <c r="X43" i="2" s="1"/>
  <c r="L43" i="2"/>
  <c r="R42" i="2"/>
  <c r="W42" i="2" s="1"/>
  <c r="X42" i="2" s="1"/>
  <c r="L42" i="2"/>
  <c r="R41" i="2"/>
  <c r="W41" i="2" s="1"/>
  <c r="X41" i="2" s="1"/>
  <c r="L41" i="2"/>
  <c r="W40" i="2"/>
  <c r="X40" i="2" s="1"/>
  <c r="L40" i="2"/>
  <c r="W39" i="2"/>
  <c r="L39" i="2"/>
  <c r="X39" i="2" s="1"/>
  <c r="X38" i="2"/>
  <c r="W38" i="2"/>
  <c r="L38" i="2"/>
  <c r="W37" i="2"/>
  <c r="X37" i="2" s="1"/>
  <c r="L37" i="2"/>
  <c r="W36" i="2"/>
  <c r="X36" i="2" s="1"/>
  <c r="L36" i="2"/>
  <c r="W35" i="2"/>
  <c r="L35" i="2"/>
  <c r="X35" i="2" s="1"/>
  <c r="X34" i="2"/>
  <c r="W34" i="2"/>
  <c r="L34" i="2"/>
  <c r="W33" i="2"/>
  <c r="X33" i="2" s="1"/>
  <c r="L33" i="2"/>
  <c r="R32" i="2"/>
  <c r="W32" i="2" s="1"/>
  <c r="X32" i="2" s="1"/>
  <c r="L32" i="2"/>
  <c r="R31" i="2"/>
  <c r="W31" i="2" s="1"/>
  <c r="X31" i="2" s="1"/>
  <c r="L31" i="2"/>
  <c r="R30" i="2"/>
  <c r="W30" i="2" s="1"/>
  <c r="X30" i="2" s="1"/>
  <c r="L30" i="2"/>
  <c r="W29" i="2"/>
  <c r="X29" i="2" s="1"/>
  <c r="L29" i="2"/>
  <c r="W28" i="2"/>
  <c r="L28" i="2"/>
  <c r="X28" i="2" s="1"/>
  <c r="X27" i="2"/>
  <c r="W27" i="2"/>
  <c r="L27" i="2"/>
  <c r="W26" i="2"/>
  <c r="X26" i="2" s="1"/>
  <c r="L26" i="2"/>
  <c r="R25" i="2"/>
  <c r="W25" i="2" s="1"/>
  <c r="X25" i="2" s="1"/>
  <c r="L25" i="2"/>
  <c r="R24" i="2"/>
  <c r="W24" i="2" s="1"/>
  <c r="X24" i="2" s="1"/>
  <c r="L24" i="2"/>
  <c r="W23" i="2"/>
  <c r="X23" i="2" s="1"/>
  <c r="L23" i="2"/>
  <c r="R22" i="2"/>
  <c r="W22" i="2" s="1"/>
  <c r="X22" i="2" s="1"/>
  <c r="L22" i="2"/>
  <c r="W21" i="2"/>
  <c r="X21" i="2" s="1"/>
  <c r="M21" i="2"/>
  <c r="L21" i="2"/>
  <c r="W20" i="2"/>
  <c r="X20" i="2" s="1"/>
  <c r="L20" i="2"/>
  <c r="X19" i="2"/>
  <c r="W19" i="2"/>
  <c r="L19" i="2"/>
  <c r="W18" i="2"/>
  <c r="X18" i="2" s="1"/>
  <c r="L18" i="2"/>
  <c r="W17" i="2"/>
  <c r="X17" i="2" s="1"/>
  <c r="L17" i="2"/>
  <c r="W16" i="2"/>
  <c r="X16" i="2" s="1"/>
  <c r="L16" i="2"/>
  <c r="X15" i="2"/>
  <c r="W15" i="2"/>
  <c r="L15" i="2"/>
  <c r="W14" i="2"/>
  <c r="X14" i="2" s="1"/>
  <c r="L14" i="2"/>
  <c r="W13" i="2"/>
  <c r="X13" i="2" s="1"/>
  <c r="L13" i="2"/>
  <c r="W12" i="2"/>
  <c r="X12" i="2" s="1"/>
  <c r="L12" i="2"/>
  <c r="X11" i="2"/>
  <c r="W11" i="2"/>
  <c r="L11" i="2"/>
  <c r="W10" i="2"/>
  <c r="X10" i="2" s="1"/>
  <c r="L10" i="2"/>
  <c r="W9" i="2"/>
  <c r="X9" i="2" s="1"/>
  <c r="L9" i="2"/>
  <c r="W8" i="2"/>
  <c r="X8" i="2" s="1"/>
  <c r="L8" i="2"/>
  <c r="X7" i="2"/>
  <c r="W7" i="2"/>
  <c r="L7" i="2"/>
  <c r="W6" i="2"/>
  <c r="X6" i="2" s="1"/>
  <c r="L6" i="2"/>
  <c r="W5" i="2"/>
  <c r="X5" i="2" s="1"/>
  <c r="L5" i="2"/>
  <c r="W4" i="2"/>
  <c r="X4" i="2" s="1"/>
  <c r="L4" i="2"/>
  <c r="X3" i="2"/>
  <c r="W3" i="2"/>
  <c r="L3" i="2"/>
  <c r="W2" i="2"/>
  <c r="L2" i="2"/>
  <c r="L385" i="2" s="1"/>
  <c r="X140" i="18" l="1"/>
  <c r="X3035" i="2"/>
  <c r="X2994" i="2"/>
  <c r="X218" i="14"/>
  <c r="X2978" i="2"/>
  <c r="X2950" i="2"/>
  <c r="X3037" i="2"/>
  <c r="X3033" i="2"/>
  <c r="X3029" i="2"/>
  <c r="X119" i="10"/>
  <c r="X3068" i="2"/>
  <c r="X3064" i="2"/>
  <c r="X3056" i="2"/>
  <c r="X3052" i="2"/>
  <c r="X3048" i="2"/>
  <c r="X3040" i="2"/>
  <c r="X3046" i="2"/>
  <c r="X3014" i="2"/>
  <c r="X3006" i="2"/>
  <c r="X2998" i="2"/>
  <c r="X2802" i="2"/>
  <c r="X229" i="7"/>
  <c r="X2926" i="2"/>
  <c r="X2918" i="2"/>
  <c r="X2882" i="2"/>
  <c r="X2818" i="2"/>
  <c r="X3062" i="2"/>
  <c r="X3050" i="2"/>
  <c r="X3071" i="2"/>
  <c r="X95" i="8"/>
  <c r="X3066" i="2"/>
  <c r="X2982" i="2"/>
  <c r="X2738" i="2"/>
  <c r="X3060" i="2"/>
  <c r="X3042" i="2"/>
  <c r="X2902" i="2"/>
  <c r="X2898" i="2"/>
  <c r="X3058" i="2"/>
  <c r="X3054" i="2"/>
  <c r="X3047" i="2"/>
  <c r="X2974" i="2"/>
  <c r="X2962" i="2"/>
  <c r="X2958" i="2"/>
  <c r="X2942" i="2"/>
  <c r="X3059" i="2"/>
  <c r="X3043" i="2"/>
  <c r="X3027" i="2"/>
  <c r="X2916" i="2"/>
  <c r="X2912" i="2"/>
  <c r="X3070" i="2"/>
  <c r="X3010" i="2"/>
  <c r="X2990" i="2"/>
  <c r="X2986" i="2"/>
  <c r="X2970" i="2"/>
  <c r="X2966" i="2"/>
  <c r="X2946" i="2"/>
  <c r="X2914" i="2"/>
  <c r="X2910" i="2"/>
  <c r="X2906" i="2"/>
  <c r="X2874" i="2"/>
  <c r="X2866" i="2"/>
  <c r="X2858" i="2"/>
  <c r="X2850" i="2"/>
  <c r="X2842" i="2"/>
  <c r="X2834" i="2"/>
  <c r="X2826" i="2"/>
  <c r="X2794" i="2"/>
  <c r="X2786" i="2"/>
  <c r="X2778" i="2"/>
  <c r="X2770" i="2"/>
  <c r="X2762" i="2"/>
  <c r="X2754" i="2"/>
  <c r="X2746" i="2"/>
  <c r="X3030" i="2"/>
  <c r="L3074" i="2"/>
  <c r="X2992" i="2"/>
  <c r="X2894" i="2"/>
  <c r="X2879" i="2"/>
  <c r="X1657" i="5"/>
  <c r="X3072" i="2"/>
  <c r="X3044" i="2"/>
  <c r="X3065" i="2"/>
  <c r="X3053" i="2"/>
  <c r="X3036" i="2"/>
  <c r="X3008" i="2"/>
  <c r="X2944" i="2"/>
  <c r="X2767" i="2"/>
  <c r="X2748" i="2"/>
  <c r="X2740" i="2"/>
  <c r="X3069" i="2"/>
  <c r="X3041" i="2"/>
  <c r="X3067" i="2"/>
  <c r="X3061" i="2"/>
  <c r="X3055" i="2"/>
  <c r="X3049" i="2"/>
  <c r="X3039" i="2"/>
  <c r="X3028" i="2"/>
  <c r="X2960" i="2"/>
  <c r="X2831" i="2"/>
  <c r="X2812" i="2"/>
  <c r="X2804" i="2"/>
  <c r="X2751" i="2"/>
  <c r="X3018" i="2"/>
  <c r="X3002" i="2"/>
  <c r="X2954" i="2"/>
  <c r="X2938" i="2"/>
  <c r="X2934" i="2"/>
  <c r="X2930" i="2"/>
  <c r="X2922" i="2"/>
  <c r="X2890" i="2"/>
  <c r="X2810" i="2"/>
  <c r="X2730" i="2"/>
  <c r="X3063" i="2"/>
  <c r="X3057" i="2"/>
  <c r="X3051" i="2"/>
  <c r="X3045" i="2"/>
  <c r="X3038" i="2"/>
  <c r="X3031" i="2"/>
  <c r="X2976" i="2"/>
  <c r="X2876" i="2"/>
  <c r="X2868" i="2"/>
  <c r="X2815" i="2"/>
  <c r="X229" i="3"/>
  <c r="X2722" i="2"/>
  <c r="X3021" i="2"/>
  <c r="X2729" i="2"/>
  <c r="X3032" i="2"/>
  <c r="X3023" i="2"/>
  <c r="X3016" i="2"/>
  <c r="X3013" i="2"/>
  <c r="X3000" i="2"/>
  <c r="X2997" i="2"/>
  <c r="X2984" i="2"/>
  <c r="X2981" i="2"/>
  <c r="X2968" i="2"/>
  <c r="X2965" i="2"/>
  <c r="X2952" i="2"/>
  <c r="X2949" i="2"/>
  <c r="X2932" i="2"/>
  <c r="X2928" i="2"/>
  <c r="X2921" i="2"/>
  <c r="X2900" i="2"/>
  <c r="X2896" i="2"/>
  <c r="X2889" i="2"/>
  <c r="X2885" i="2"/>
  <c r="X2863" i="2"/>
  <c r="X2844" i="2"/>
  <c r="X2836" i="2"/>
  <c r="X2825" i="2"/>
  <c r="X2821" i="2"/>
  <c r="X2799" i="2"/>
  <c r="X2780" i="2"/>
  <c r="X2772" i="2"/>
  <c r="X2761" i="2"/>
  <c r="X2757" i="2"/>
  <c r="X2735" i="2"/>
  <c r="X3025" i="2"/>
  <c r="X3005" i="2"/>
  <c r="X2989" i="2"/>
  <c r="X2973" i="2"/>
  <c r="X2957" i="2"/>
  <c r="X2941" i="2"/>
  <c r="X2937" i="2"/>
  <c r="X2905" i="2"/>
  <c r="X2857" i="2"/>
  <c r="X2853" i="2"/>
  <c r="X2793" i="2"/>
  <c r="X2789" i="2"/>
  <c r="X2725" i="2"/>
  <c r="X3024" i="2"/>
  <c r="X3020" i="2"/>
  <c r="X3017" i="2"/>
  <c r="X3004" i="2"/>
  <c r="X3001" i="2"/>
  <c r="X2988" i="2"/>
  <c r="X2985" i="2"/>
  <c r="X2972" i="2"/>
  <c r="X2969" i="2"/>
  <c r="X2956" i="2"/>
  <c r="X2953" i="2"/>
  <c r="X2940" i="2"/>
  <c r="X2936" i="2"/>
  <c r="X2929" i="2"/>
  <c r="X2908" i="2"/>
  <c r="X2904" i="2"/>
  <c r="X2897" i="2"/>
  <c r="X2860" i="2"/>
  <c r="X2852" i="2"/>
  <c r="X2841" i="2"/>
  <c r="X2837" i="2"/>
  <c r="X2796" i="2"/>
  <c r="X2788" i="2"/>
  <c r="X2777" i="2"/>
  <c r="X2773" i="2"/>
  <c r="X2732" i="2"/>
  <c r="X2724" i="2"/>
  <c r="W3074" i="2"/>
  <c r="X3034" i="2"/>
  <c r="X3026" i="2"/>
  <c r="X3022" i="2"/>
  <c r="X3012" i="2"/>
  <c r="X3009" i="2"/>
  <c r="X2996" i="2"/>
  <c r="X2993" i="2"/>
  <c r="X2980" i="2"/>
  <c r="X2977" i="2"/>
  <c r="X2964" i="2"/>
  <c r="X2961" i="2"/>
  <c r="X2948" i="2"/>
  <c r="X2945" i="2"/>
  <c r="X2924" i="2"/>
  <c r="X2920" i="2"/>
  <c r="X2913" i="2"/>
  <c r="X2892" i="2"/>
  <c r="X2884" i="2"/>
  <c r="X2873" i="2"/>
  <c r="X2869" i="2"/>
  <c r="X2847" i="2"/>
  <c r="X2828" i="2"/>
  <c r="X2820" i="2"/>
  <c r="X2809" i="2"/>
  <c r="X2805" i="2"/>
  <c r="X2783" i="2"/>
  <c r="X2764" i="2"/>
  <c r="X2756" i="2"/>
  <c r="X2745" i="2"/>
  <c r="X2741" i="2"/>
  <c r="X3019" i="2"/>
  <c r="X3011" i="2"/>
  <c r="X3003" i="2"/>
  <c r="X2995" i="2"/>
  <c r="X2987" i="2"/>
  <c r="X2979" i="2"/>
  <c r="X2971" i="2"/>
  <c r="X2963" i="2"/>
  <c r="X2955" i="2"/>
  <c r="X2947" i="2"/>
  <c r="X2939" i="2"/>
  <c r="X2931" i="2"/>
  <c r="X2923" i="2"/>
  <c r="X2915" i="2"/>
  <c r="X2907" i="2"/>
  <c r="X2899" i="2"/>
  <c r="X2891" i="2"/>
  <c r="X2888" i="2"/>
  <c r="X2878" i="2"/>
  <c r="X2875" i="2"/>
  <c r="X2872" i="2"/>
  <c r="X2862" i="2"/>
  <c r="X2859" i="2"/>
  <c r="X2856" i="2"/>
  <c r="X2846" i="2"/>
  <c r="X2843" i="2"/>
  <c r="X2840" i="2"/>
  <c r="X2830" i="2"/>
  <c r="X2827" i="2"/>
  <c r="X2824" i="2"/>
  <c r="X2814" i="2"/>
  <c r="X2811" i="2"/>
  <c r="X2808" i="2"/>
  <c r="X2798" i="2"/>
  <c r="X2795" i="2"/>
  <c r="X2792" i="2"/>
  <c r="X2782" i="2"/>
  <c r="X2779" i="2"/>
  <c r="X2776" i="2"/>
  <c r="X2766" i="2"/>
  <c r="X2763" i="2"/>
  <c r="X2760" i="2"/>
  <c r="X2750" i="2"/>
  <c r="X2747" i="2"/>
  <c r="X2744" i="2"/>
  <c r="X2734" i="2"/>
  <c r="X2731" i="2"/>
  <c r="X2728" i="2"/>
  <c r="X2933" i="2"/>
  <c r="X2925" i="2"/>
  <c r="X2917" i="2"/>
  <c r="X2909" i="2"/>
  <c r="X2901" i="2"/>
  <c r="X2893" i="2"/>
  <c r="X2887" i="2"/>
  <c r="X2881" i="2"/>
  <c r="X2877" i="2"/>
  <c r="X2871" i="2"/>
  <c r="X2865" i="2"/>
  <c r="X2861" i="2"/>
  <c r="X2855" i="2"/>
  <c r="X2849" i="2"/>
  <c r="X2845" i="2"/>
  <c r="X2839" i="2"/>
  <c r="X2833" i="2"/>
  <c r="X2829" i="2"/>
  <c r="X2823" i="2"/>
  <c r="X2817" i="2"/>
  <c r="X2813" i="2"/>
  <c r="X2807" i="2"/>
  <c r="X2801" i="2"/>
  <c r="X2797" i="2"/>
  <c r="X2791" i="2"/>
  <c r="X2785" i="2"/>
  <c r="X2781" i="2"/>
  <c r="X2775" i="2"/>
  <c r="X2769" i="2"/>
  <c r="X2765" i="2"/>
  <c r="X2759" i="2"/>
  <c r="X2753" i="2"/>
  <c r="X2749" i="2"/>
  <c r="X2743" i="2"/>
  <c r="X2737" i="2"/>
  <c r="X2733" i="2"/>
  <c r="X2727" i="2"/>
  <c r="X3015" i="2"/>
  <c r="X3007" i="2"/>
  <c r="X2999" i="2"/>
  <c r="X2991" i="2"/>
  <c r="X2983" i="2"/>
  <c r="X2975" i="2"/>
  <c r="X2967" i="2"/>
  <c r="X2959" i="2"/>
  <c r="X2951" i="2"/>
  <c r="X2943" i="2"/>
  <c r="X2935" i="2"/>
  <c r="X2927" i="2"/>
  <c r="X2919" i="2"/>
  <c r="X2911" i="2"/>
  <c r="X2903" i="2"/>
  <c r="X2895" i="2"/>
  <c r="X2886" i="2"/>
  <c r="X2883" i="2"/>
  <c r="X2880" i="2"/>
  <c r="X2870" i="2"/>
  <c r="X2867" i="2"/>
  <c r="X2864" i="2"/>
  <c r="X2854" i="2"/>
  <c r="X2851" i="2"/>
  <c r="X2848" i="2"/>
  <c r="X2838" i="2"/>
  <c r="X2835" i="2"/>
  <c r="X2832" i="2"/>
  <c r="X2822" i="2"/>
  <c r="X2819" i="2"/>
  <c r="X2816" i="2"/>
  <c r="X2806" i="2"/>
  <c r="X2803" i="2"/>
  <c r="X2800" i="2"/>
  <c r="X2790" i="2"/>
  <c r="X2787" i="2"/>
  <c r="X2784" i="2"/>
  <c r="X2774" i="2"/>
  <c r="X2771" i="2"/>
  <c r="X2768" i="2"/>
  <c r="X2758" i="2"/>
  <c r="X2755" i="2"/>
  <c r="X2752" i="2"/>
  <c r="X2742" i="2"/>
  <c r="X2739" i="2"/>
  <c r="X2736" i="2"/>
  <c r="X2726" i="2"/>
  <c r="X2723" i="2"/>
  <c r="X139" i="2"/>
  <c r="W710" i="2"/>
  <c r="X710" i="2" s="1"/>
  <c r="X434" i="2"/>
  <c r="W385" i="2"/>
  <c r="X385" i="2" s="1"/>
  <c r="X511" i="2"/>
  <c r="F22" i="15"/>
  <c r="X2" i="2"/>
  <c r="X387" i="2"/>
  <c r="W1038" i="2"/>
  <c r="X819" i="2"/>
  <c r="X838" i="2"/>
  <c r="X851" i="2"/>
  <c r="X863" i="2"/>
  <c r="X876" i="2"/>
  <c r="X913" i="2"/>
  <c r="X921" i="2"/>
  <c r="X962" i="2"/>
  <c r="X977" i="2"/>
  <c r="X981" i="2"/>
  <c r="X988" i="2"/>
  <c r="X1036" i="2"/>
  <c r="X859" i="2"/>
  <c r="X961" i="2"/>
  <c r="X976" i="2"/>
  <c r="X980" i="2"/>
  <c r="X1035" i="2"/>
  <c r="L1038" i="2"/>
  <c r="L1391" i="2"/>
  <c r="X1040" i="2"/>
  <c r="W1067" i="2"/>
  <c r="X1067" i="2" s="1"/>
  <c r="X1068" i="2"/>
  <c r="X1083" i="2"/>
  <c r="X1100" i="2"/>
  <c r="X1128" i="2"/>
  <c r="X1141" i="2"/>
  <c r="X1168" i="2"/>
  <c r="X1178" i="2"/>
  <c r="X1194" i="2"/>
  <c r="X1202" i="2"/>
  <c r="X1218" i="2"/>
  <c r="X1228" i="2"/>
  <c r="X1251" i="2"/>
  <c r="X1287" i="2"/>
  <c r="X1303" i="2"/>
  <c r="X1329" i="2"/>
  <c r="X1364" i="2"/>
  <c r="W1382" i="2"/>
  <c r="X1382" i="2" s="1"/>
  <c r="K1391" i="2"/>
  <c r="K1782" i="2"/>
  <c r="X1418" i="2"/>
  <c r="X1481" i="2"/>
  <c r="X1602" i="2"/>
  <c r="X1110" i="2"/>
  <c r="X1227" i="2"/>
  <c r="X1310" i="2"/>
  <c r="X1332" i="2"/>
  <c r="X1379" i="2"/>
  <c r="L1782" i="2"/>
  <c r="X1449" i="2"/>
  <c r="X1385" i="2"/>
  <c r="X1398" i="2"/>
  <c r="X1401" i="2"/>
  <c r="X1406" i="2"/>
  <c r="X1407" i="2"/>
  <c r="X1412" i="2"/>
  <c r="X1428" i="2"/>
  <c r="X1433" i="2"/>
  <c r="X1436" i="2"/>
  <c r="X1441" i="2"/>
  <c r="X1444" i="2"/>
  <c r="X1469" i="2"/>
  <c r="X1473" i="2"/>
  <c r="X1478" i="2"/>
  <c r="X1488" i="2"/>
  <c r="X1512" i="2"/>
  <c r="X1517" i="2"/>
  <c r="X1520" i="2"/>
  <c r="X1621" i="2"/>
  <c r="X1635" i="2"/>
  <c r="X1640" i="2"/>
  <c r="X1643" i="2"/>
  <c r="X1648" i="2"/>
  <c r="X1651" i="2"/>
  <c r="X1654" i="2"/>
  <c r="X1657" i="2"/>
  <c r="X1662" i="2"/>
  <c r="X1665" i="2"/>
  <c r="X1670" i="2"/>
  <c r="X1673" i="2"/>
  <c r="X1678" i="2"/>
  <c r="X1681" i="2"/>
  <c r="X1736" i="2"/>
  <c r="X1745" i="2"/>
  <c r="X1779" i="2"/>
  <c r="K2390" i="2"/>
  <c r="L2042" i="2"/>
  <c r="X1523" i="2"/>
  <c r="X1596" i="2"/>
  <c r="X1603" i="2"/>
  <c r="X1617" i="2"/>
  <c r="X1686" i="2"/>
  <c r="K2035" i="2"/>
  <c r="X1386" i="2"/>
  <c r="X1389" i="2"/>
  <c r="X1393" i="2"/>
  <c r="X1397" i="2"/>
  <c r="X1402" i="2"/>
  <c r="X1405" i="2"/>
  <c r="X1408" i="2"/>
  <c r="X1411" i="2"/>
  <c r="X1417" i="2"/>
  <c r="X1429" i="2"/>
  <c r="X1432" i="2"/>
  <c r="X1437" i="2"/>
  <c r="X1440" i="2"/>
  <c r="X1445" i="2"/>
  <c r="X1448" i="2"/>
  <c r="X1457" i="2"/>
  <c r="X1468" i="2"/>
  <c r="X1474" i="2"/>
  <c r="X1477" i="2"/>
  <c r="X1489" i="2"/>
  <c r="X1513" i="2"/>
  <c r="X1516" i="2"/>
  <c r="X1622" i="2"/>
  <c r="X1636" i="2"/>
  <c r="X1639" i="2"/>
  <c r="X1644" i="2"/>
  <c r="X1647" i="2"/>
  <c r="X1652" i="2"/>
  <c r="X1658" i="2"/>
  <c r="X1661" i="2"/>
  <c r="X1666" i="2"/>
  <c r="X1669" i="2"/>
  <c r="X1674" i="2"/>
  <c r="X1677" i="2"/>
  <c r="X1682" i="2"/>
  <c r="X1685" i="2"/>
  <c r="X1729" i="2"/>
  <c r="X1752" i="2"/>
  <c r="X1761" i="2"/>
  <c r="W1782" i="2"/>
  <c r="X1782" i="2" s="1"/>
  <c r="X1879" i="2"/>
  <c r="X2042" i="2"/>
  <c r="X2296" i="2"/>
  <c r="L2720" i="2"/>
  <c r="X1827" i="2"/>
  <c r="X1835" i="2"/>
  <c r="X1841" i="2"/>
  <c r="X1849" i="2"/>
  <c r="X1890" i="2"/>
  <c r="X1899" i="2"/>
  <c r="X1907" i="2"/>
  <c r="X1938" i="2"/>
  <c r="X1940" i="2"/>
  <c r="X1952" i="2"/>
  <c r="X2039" i="2"/>
  <c r="X2050" i="2"/>
  <c r="X2052" i="2"/>
  <c r="X2054" i="2"/>
  <c r="X2063" i="2"/>
  <c r="X2071" i="2"/>
  <c r="X2111" i="2"/>
  <c r="X2189" i="2"/>
  <c r="X2200" i="2"/>
  <c r="X2222" i="2"/>
  <c r="X2264" i="2"/>
  <c r="X2312" i="2"/>
  <c r="X2323" i="2"/>
  <c r="W2720" i="2"/>
  <c r="X2720" i="2" s="1"/>
  <c r="X2392" i="2"/>
  <c r="X2424" i="2"/>
  <c r="X2477" i="2"/>
  <c r="X2665" i="2"/>
  <c r="K2720" i="2"/>
  <c r="X1732" i="2"/>
  <c r="X1748" i="2"/>
  <c r="X1765" i="2"/>
  <c r="X1780" i="2"/>
  <c r="L2035" i="2"/>
  <c r="X1793" i="2"/>
  <c r="X1809" i="2"/>
  <c r="X1818" i="2"/>
  <c r="X1856" i="2"/>
  <c r="X1865" i="2"/>
  <c r="X1923" i="2"/>
  <c r="X1969" i="2"/>
  <c r="X1987" i="2"/>
  <c r="X1989" i="2"/>
  <c r="X2004" i="2"/>
  <c r="X2012" i="2"/>
  <c r="X2014" i="2"/>
  <c r="X2016" i="2"/>
  <c r="X2029" i="2"/>
  <c r="L2390" i="2"/>
  <c r="X2076" i="2"/>
  <c r="X2084" i="2"/>
  <c r="X2095" i="2"/>
  <c r="X2123" i="2"/>
  <c r="X2148" i="2"/>
  <c r="X2158" i="2"/>
  <c r="X2168" i="2"/>
  <c r="X2176" i="2"/>
  <c r="X2185" i="2"/>
  <c r="X2192" i="2"/>
  <c r="X2248" i="2"/>
  <c r="X2416" i="2"/>
  <c r="X2519" i="2"/>
  <c r="X2522" i="2"/>
  <c r="X2545" i="2"/>
  <c r="X2547" i="2"/>
  <c r="E189" i="15"/>
  <c r="X87" i="18"/>
  <c r="F189" i="15" s="1"/>
  <c r="X115" i="18"/>
  <c r="F191" i="15" s="1"/>
  <c r="X121" i="18"/>
  <c r="F192" i="15" s="1"/>
  <c r="X1728" i="2"/>
  <c r="X1744" i="2"/>
  <c r="X1760" i="2"/>
  <c r="X1778" i="2"/>
  <c r="W2035" i="2"/>
  <c r="X2035" i="2" s="1"/>
  <c r="X1789" i="2"/>
  <c r="X1799" i="2"/>
  <c r="X1823" i="2"/>
  <c r="X1831" i="2"/>
  <c r="X1837" i="2"/>
  <c r="X1845" i="2"/>
  <c r="X1870" i="2"/>
  <c r="X1894" i="2"/>
  <c r="X1911" i="2"/>
  <c r="X1939" i="2"/>
  <c r="X1956" i="2"/>
  <c r="X1962" i="2"/>
  <c r="X1975" i="2"/>
  <c r="X2020" i="2"/>
  <c r="X2049" i="2"/>
  <c r="X2051" i="2"/>
  <c r="X2053" i="2"/>
  <c r="X2055" i="2"/>
  <c r="X2067" i="2"/>
  <c r="X2075" i="2"/>
  <c r="X2107" i="2"/>
  <c r="X2116" i="2"/>
  <c r="X2191" i="2"/>
  <c r="X2245" i="2"/>
  <c r="X2272" i="2"/>
  <c r="X2307" i="2"/>
  <c r="X2330" i="2"/>
  <c r="X2365" i="2"/>
  <c r="X2385" i="2"/>
  <c r="X2408" i="2"/>
  <c r="X2440" i="2"/>
  <c r="X2511" i="2"/>
  <c r="X2514" i="2"/>
  <c r="X2537" i="2"/>
  <c r="X2540" i="2"/>
  <c r="X2705" i="2"/>
  <c r="X2708" i="2"/>
  <c r="X2711" i="2"/>
  <c r="X2714" i="2"/>
  <c r="X2181" i="2"/>
  <c r="X2196" i="2"/>
  <c r="X2251" i="2"/>
  <c r="X2267" i="2"/>
  <c r="X2275" i="2"/>
  <c r="X2292" i="2"/>
  <c r="X2326" i="2"/>
  <c r="X2371" i="2"/>
  <c r="X2445" i="2"/>
  <c r="X2453" i="2"/>
  <c r="X2461" i="2"/>
  <c r="X2473" i="2"/>
  <c r="X2487" i="2"/>
  <c r="X2490" i="2"/>
  <c r="X2495" i="2"/>
  <c r="X2498" i="2"/>
  <c r="X2503" i="2"/>
  <c r="X2552" i="2"/>
  <c r="X2557" i="2"/>
  <c r="X2563" i="2"/>
  <c r="X2568" i="2"/>
  <c r="X2586" i="2"/>
  <c r="X2591" i="2"/>
  <c r="X2594" i="2"/>
  <c r="X2596" i="2"/>
  <c r="X2601" i="2"/>
  <c r="X2605" i="2"/>
  <c r="X2608" i="2"/>
  <c r="X2613" i="2"/>
  <c r="X2616" i="2"/>
  <c r="X2621" i="2"/>
  <c r="X2624" i="2"/>
  <c r="X2627" i="2"/>
  <c r="X2630" i="2"/>
  <c r="X2635" i="2"/>
  <c r="X2638" i="2"/>
  <c r="X2645" i="2"/>
  <c r="X2650" i="2"/>
  <c r="X2679" i="2"/>
  <c r="X2682" i="2"/>
  <c r="X2687" i="2"/>
  <c r="X2691" i="2"/>
  <c r="X2696" i="2"/>
  <c r="X2699" i="2"/>
  <c r="E35" i="15"/>
  <c r="E41" i="15" s="1"/>
  <c r="X88" i="4"/>
  <c r="F35" i="15" s="1"/>
  <c r="E50" i="15"/>
  <c r="X505" i="5"/>
  <c r="F50" i="15" s="1"/>
  <c r="E54" i="15"/>
  <c r="X1253" i="5"/>
  <c r="F54" i="15" s="1"/>
  <c r="E69" i="15"/>
  <c r="X111" i="6"/>
  <c r="F69" i="15" s="1"/>
  <c r="E73" i="15"/>
  <c r="X234" i="6"/>
  <c r="F73" i="15" s="1"/>
  <c r="E107" i="15"/>
  <c r="X37" i="8"/>
  <c r="F107" i="15" s="1"/>
  <c r="E111" i="15"/>
  <c r="X77" i="8"/>
  <c r="F111" i="15" s="1"/>
  <c r="E88" i="15"/>
  <c r="X78" i="7"/>
  <c r="F88" i="15" s="1"/>
  <c r="E92" i="15"/>
  <c r="X167" i="7"/>
  <c r="F92" i="15" s="1"/>
  <c r="E128" i="15"/>
  <c r="X42" i="10"/>
  <c r="F128" i="15" s="1"/>
  <c r="E132" i="15"/>
  <c r="X95" i="10"/>
  <c r="F132" i="15" s="1"/>
  <c r="E147" i="15"/>
  <c r="X90" i="11"/>
  <c r="F147" i="15" s="1"/>
  <c r="E151" i="15"/>
  <c r="X180" i="11"/>
  <c r="F151" i="15" s="1"/>
  <c r="E169" i="15"/>
  <c r="X75" i="14"/>
  <c r="F169" i="15" s="1"/>
  <c r="E173" i="15"/>
  <c r="X187" i="14"/>
  <c r="F173" i="15" s="1"/>
  <c r="X34" i="18"/>
  <c r="F186" i="15" s="1"/>
  <c r="D186" i="15"/>
  <c r="E188" i="15"/>
  <c r="X69" i="18"/>
  <c r="F188" i="15" s="1"/>
  <c r="W2390" i="2"/>
  <c r="X2390" i="2" s="1"/>
  <c r="X2199" i="2"/>
  <c r="X2247" i="2"/>
  <c r="X2295" i="2"/>
  <c r="X2420" i="2"/>
  <c r="X2428" i="2"/>
  <c r="X2436" i="2"/>
  <c r="X2478" i="2"/>
  <c r="X2481" i="2"/>
  <c r="X2533" i="2"/>
  <c r="X2536" i="2"/>
  <c r="X2541" i="2"/>
  <c r="X2544" i="2"/>
  <c r="X2546" i="2"/>
  <c r="X2548" i="2"/>
  <c r="X2704" i="2"/>
  <c r="X2710" i="2"/>
  <c r="E49" i="15"/>
  <c r="X336" i="5"/>
  <c r="F49" i="15" s="1"/>
  <c r="E53" i="15"/>
  <c r="X1046" i="5"/>
  <c r="F53" i="15" s="1"/>
  <c r="D79" i="15"/>
  <c r="D202" i="15" s="1"/>
  <c r="E68" i="15"/>
  <c r="X78" i="6"/>
  <c r="F68" i="15" s="1"/>
  <c r="E72" i="15"/>
  <c r="X200" i="6"/>
  <c r="F72" i="15" s="1"/>
  <c r="E106" i="15"/>
  <c r="X26" i="8"/>
  <c r="F106" i="15" s="1"/>
  <c r="E110" i="15"/>
  <c r="X66" i="8"/>
  <c r="F110" i="15" s="1"/>
  <c r="D98" i="15"/>
  <c r="E87" i="15"/>
  <c r="X58" i="7"/>
  <c r="F87" i="15" s="1"/>
  <c r="E91" i="15"/>
  <c r="X148" i="7"/>
  <c r="F91" i="15" s="1"/>
  <c r="E127" i="15"/>
  <c r="X29" i="10"/>
  <c r="F127" i="15" s="1"/>
  <c r="E131" i="15"/>
  <c r="X82" i="10"/>
  <c r="F131" i="15" s="1"/>
  <c r="E146" i="15"/>
  <c r="X77" i="11"/>
  <c r="F146" i="15" s="1"/>
  <c r="E150" i="15"/>
  <c r="X147" i="11"/>
  <c r="F150" i="15" s="1"/>
  <c r="E168" i="15"/>
  <c r="X41" i="14"/>
  <c r="F168" i="15" s="1"/>
  <c r="E172" i="15"/>
  <c r="X165" i="14"/>
  <c r="F172" i="15" s="1"/>
  <c r="D185" i="15"/>
  <c r="D197" i="15" s="1"/>
  <c r="X12" i="18"/>
  <c r="F185" i="15" s="1"/>
  <c r="E48" i="15"/>
  <c r="X174" i="5"/>
  <c r="F48" i="15" s="1"/>
  <c r="E52" i="15"/>
  <c r="X897" i="5"/>
  <c r="F52" i="15" s="1"/>
  <c r="E67" i="15"/>
  <c r="X56" i="6"/>
  <c r="F67" i="15" s="1"/>
  <c r="E71" i="15"/>
  <c r="X178" i="6"/>
  <c r="F71" i="15" s="1"/>
  <c r="E105" i="15"/>
  <c r="X15" i="8"/>
  <c r="F105" i="15" s="1"/>
  <c r="E109" i="15"/>
  <c r="X56" i="8"/>
  <c r="F109" i="15" s="1"/>
  <c r="E86" i="15"/>
  <c r="X33" i="7"/>
  <c r="F86" i="15" s="1"/>
  <c r="E90" i="15"/>
  <c r="X131" i="7"/>
  <c r="F90" i="15" s="1"/>
  <c r="E126" i="15"/>
  <c r="X13" i="10"/>
  <c r="F126" i="15" s="1"/>
  <c r="E130" i="15"/>
  <c r="X75" i="10"/>
  <c r="F130" i="15" s="1"/>
  <c r="E145" i="15"/>
  <c r="X44" i="11"/>
  <c r="F145" i="15" s="1"/>
  <c r="E149" i="15"/>
  <c r="X139" i="11"/>
  <c r="F149" i="15" s="1"/>
  <c r="E167" i="15"/>
  <c r="X25" i="14"/>
  <c r="F167" i="15" s="1"/>
  <c r="E171" i="15"/>
  <c r="X142" i="14"/>
  <c r="F171" i="15" s="1"/>
  <c r="W38" i="18"/>
  <c r="B98" i="15"/>
  <c r="X662" i="5"/>
  <c r="F51" i="15" s="1"/>
  <c r="X137" i="6"/>
  <c r="F70" i="15" s="1"/>
  <c r="E70" i="15"/>
  <c r="X270" i="6"/>
  <c r="F74" i="15" s="1"/>
  <c r="E74" i="15"/>
  <c r="X87" i="8"/>
  <c r="F112" i="15" s="1"/>
  <c r="E89" i="15"/>
  <c r="X104" i="7"/>
  <c r="F89" i="15" s="1"/>
  <c r="E93" i="15"/>
  <c r="X194" i="7"/>
  <c r="F93" i="15" s="1"/>
  <c r="X117" i="11"/>
  <c r="F148" i="15" s="1"/>
  <c r="E148" i="15"/>
  <c r="X193" i="11"/>
  <c r="F152" i="15" s="1"/>
  <c r="E152" i="15"/>
  <c r="E170" i="15"/>
  <c r="X116" i="14"/>
  <c r="F170" i="15" s="1"/>
  <c r="E190" i="15"/>
  <c r="X111" i="18"/>
  <c r="F190" i="15" s="1"/>
  <c r="E51" i="15"/>
  <c r="B117" i="15"/>
  <c r="E133" i="15"/>
  <c r="B22" i="15"/>
  <c r="X205" i="14"/>
  <c r="F174" i="15" s="1"/>
  <c r="X3074" i="2" l="1"/>
  <c r="F41" i="15"/>
  <c r="E187" i="15"/>
  <c r="E197" i="15" s="1"/>
  <c r="X38" i="18"/>
  <c r="F187" i="15" s="1"/>
  <c r="B202" i="15"/>
  <c r="E179" i="15"/>
  <c r="E157" i="15"/>
  <c r="F157" i="15" s="1"/>
  <c r="E138" i="15"/>
  <c r="F138" i="15" s="1"/>
  <c r="E98" i="15"/>
  <c r="F98" i="15" s="1"/>
  <c r="E117" i="15"/>
  <c r="F117" i="15" s="1"/>
  <c r="E79" i="15"/>
  <c r="F79" i="15" s="1"/>
  <c r="E60" i="15"/>
  <c r="F60" i="15" s="1"/>
  <c r="W1391" i="2"/>
  <c r="X1391" i="2" s="1"/>
  <c r="X1038" i="2"/>
  <c r="E202" i="15" l="1"/>
  <c r="F202" i="15" s="1"/>
</calcChain>
</file>

<file path=xl/comments1.xml><?xml version="1.0" encoding="utf-8"?>
<comments xmlns="http://schemas.openxmlformats.org/spreadsheetml/2006/main">
  <authors>
    <author>GERARDO HORACIO MUNOZ</author>
    <author>Nelibeth Barrios</author>
    <author>Erling Ortega</author>
    <author>Karen Bustos</author>
    <author>Kortegon</author>
    <author>Usuario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  <comment ref="K2197" authorId="1" shapeId="0">
      <text>
        <r>
          <rPr>
            <b/>
            <sz val="9"/>
            <rFont val="Tahoma"/>
            <family val="2"/>
          </rPr>
          <t>Nelibeth Barrios:</t>
        </r>
        <r>
          <rPr>
            <sz val="9"/>
            <rFont val="Tahoma"/>
            <family val="2"/>
          </rPr>
          <t xml:space="preserve">
elaborando jose 
</t>
        </r>
      </text>
    </comment>
    <comment ref="F2219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emision en destino
</t>
        </r>
      </text>
    </comment>
    <comment ref="F2222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emision en destino
</t>
        </r>
      </text>
    </comment>
    <comment ref="F2237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Emision en destino OK
</t>
        </r>
      </text>
    </comment>
    <comment ref="F2238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si cuenta con emision en destino
</t>
        </r>
      </text>
    </comment>
    <comment ref="J2253" authorId="3" shapeId="0">
      <text>
        <r>
          <rPr>
            <b/>
            <sz val="9"/>
            <rFont val="Tahoma"/>
            <family val="2"/>
          </rPr>
          <t>Karen Bustos:</t>
        </r>
        <r>
          <rPr>
            <sz val="9"/>
            <rFont val="Tahoma"/>
            <family val="2"/>
          </rPr>
          <t xml:space="preserve">
con compartido
</t>
        </r>
      </text>
    </comment>
    <comment ref="J2254" authorId="3" shapeId="0">
      <text>
        <r>
          <rPr>
            <b/>
            <sz val="9"/>
            <rFont val="Tahoma"/>
            <family val="2"/>
          </rPr>
          <t>Karen Bustos:</t>
        </r>
        <r>
          <rPr>
            <sz val="9"/>
            <rFont val="Tahoma"/>
            <family val="2"/>
          </rPr>
          <t xml:space="preserve">
con compartido
</t>
        </r>
      </text>
    </comment>
    <comment ref="J2255" authorId="3" shapeId="0">
      <text>
        <r>
          <rPr>
            <b/>
            <sz val="9"/>
            <rFont val="Tahoma"/>
            <family val="2"/>
          </rPr>
          <t>Karen Bustos:</t>
        </r>
        <r>
          <rPr>
            <sz val="9"/>
            <rFont val="Tahoma"/>
            <family val="2"/>
          </rPr>
          <t xml:space="preserve">
con compartido
</t>
        </r>
      </text>
    </comment>
    <comment ref="F2262" authorId="4" shapeId="0">
      <text>
        <r>
          <rPr>
            <b/>
            <sz val="9"/>
            <rFont val="Arial"/>
            <family val="2"/>
          </rPr>
          <t>EMISION EN DESTIINO</t>
        </r>
        <r>
          <rPr>
            <sz val="9"/>
            <rFont val="Arial"/>
            <family val="2"/>
          </rPr>
          <t xml:space="preserve">
</t>
        </r>
      </text>
    </comment>
    <comment ref="F2263" authorId="4" shapeId="0">
      <text>
        <r>
          <rPr>
            <b/>
            <sz val="9"/>
            <rFont val="Arial"/>
            <family val="2"/>
          </rPr>
          <t>Kortegon:</t>
        </r>
        <r>
          <rPr>
            <sz val="9"/>
            <rFont val="Arial"/>
            <family val="2"/>
          </rPr>
          <t xml:space="preserve">
El bl original llego a buenaventura. 
</t>
        </r>
      </text>
    </comment>
    <comment ref="F2264" authorId="4" shapeId="0">
      <text>
        <r>
          <rPr>
            <b/>
            <sz val="9"/>
            <rFont val="Arial"/>
            <family val="2"/>
          </rPr>
          <t>Kortegon:</t>
        </r>
        <r>
          <rPr>
            <sz val="9"/>
            <rFont val="Arial"/>
            <family val="2"/>
          </rPr>
          <t xml:space="preserve">
BL original llegoa buenaventura.
</t>
        </r>
      </text>
    </comment>
    <comment ref="F2275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 emision en destino
</t>
        </r>
      </text>
    </comment>
    <comment ref="F2360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EMISION EN DESTINO
</t>
        </r>
      </text>
    </comment>
    <comment ref="F2362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EMISION EN DESTINO
</t>
        </r>
      </text>
    </comment>
    <comment ref="F2380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s no tiene emision en destino
</t>
        </r>
      </text>
    </comment>
    <comment ref="F2381" authorId="2" shapeId="0">
      <text>
        <r>
          <rPr>
            <b/>
            <sz val="9"/>
            <rFont val="Tahoma"/>
            <family val="2"/>
          </rPr>
          <t xml:space="preserve">Erling Ortega:
BL emision en destino. Ok
</t>
        </r>
      </text>
    </comment>
    <comment ref="F2382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emision en destino ok
</t>
        </r>
      </text>
    </comment>
    <comment ref="F2384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emision en destino
</t>
        </r>
      </text>
    </comment>
    <comment ref="U2925" authorId="5" shapeId="0">
      <text>
        <r>
          <rPr>
            <b/>
            <sz val="9"/>
            <rFont val="Tahoma"/>
            <family val="2"/>
          </rPr>
          <t>Usuario:</t>
        </r>
        <r>
          <rPr>
            <sz val="9"/>
            <rFont val="Tahoma"/>
            <family val="2"/>
          </rPr>
          <t xml:space="preserve">
Ronald cambio el flete 
</t>
        </r>
      </text>
    </comment>
  </commentList>
</comments>
</file>

<file path=xl/comments2.xml><?xml version="1.0" encoding="utf-8"?>
<comments xmlns="http://schemas.openxmlformats.org/spreadsheetml/2006/main">
  <authors>
    <author>GERARDO HORACIO MUNOZ</author>
    <author>Erling Ortega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  <comment ref="F175" authorId="1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BL si cuenta con emision en destino
</t>
        </r>
      </text>
    </comment>
  </commentList>
</comments>
</file>

<file path=xl/comments3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4.xml><?xml version="1.0" encoding="utf-8"?>
<comments xmlns="http://schemas.openxmlformats.org/spreadsheetml/2006/main">
  <authors>
    <author>GERARDO HORACIO MUNOZ</author>
    <author>Nelibeth Barrios</author>
    <author>Erling Ortega</author>
    <author>Usuario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  <comment ref="K1140" authorId="1" shapeId="0">
      <text>
        <r>
          <rPr>
            <b/>
            <sz val="9"/>
            <rFont val="Tahoma"/>
            <family val="2"/>
          </rPr>
          <t>Nelibeth Barrios:</t>
        </r>
        <r>
          <rPr>
            <sz val="9"/>
            <rFont val="Tahoma"/>
            <family val="2"/>
          </rPr>
          <t xml:space="preserve">
elaborando jose 
</t>
        </r>
      </text>
    </comment>
    <comment ref="F1169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Emision en destino OK
</t>
        </r>
      </text>
    </comment>
    <comment ref="F1243" authorId="2" shapeId="0">
      <text>
        <r>
          <rPr>
            <b/>
            <sz val="9"/>
            <rFont val="Tahoma"/>
            <family val="2"/>
          </rPr>
          <t>Erling Ortega:</t>
        </r>
        <r>
          <rPr>
            <sz val="9"/>
            <rFont val="Tahoma"/>
            <family val="2"/>
          </rPr>
          <t xml:space="preserve">
EMISION EN DESTINO
</t>
        </r>
      </text>
    </comment>
    <comment ref="U1573" authorId="3" shapeId="0">
      <text>
        <r>
          <rPr>
            <b/>
            <sz val="9"/>
            <rFont val="Tahoma"/>
            <family val="2"/>
          </rPr>
          <t>Usuario:</t>
        </r>
        <r>
          <rPr>
            <sz val="9"/>
            <rFont val="Tahoma"/>
            <family val="2"/>
          </rPr>
          <t xml:space="preserve">
Ronald cambio el flete 
</t>
        </r>
      </text>
    </comment>
  </commentList>
</comments>
</file>

<file path=xl/comments5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6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7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8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9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10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comments11.xml><?xml version="1.0" encoding="utf-8"?>
<comments xmlns="http://schemas.openxmlformats.org/spreadsheetml/2006/main">
  <authors>
    <author>GERARDO HORACIO MUNOZ</author>
  </authors>
  <commentList>
    <comment ref="A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SIEMPRE LAS PRIMERAS 3 LETRAS DEL MES</t>
        </r>
      </text>
    </comment>
    <comment ref="N1" authorId="0" shapeId="0">
      <text>
        <r>
          <rPr>
            <b/>
            <sz val="9"/>
            <rFont val="Tahoma"/>
            <family val="2"/>
          </rPr>
          <t>GERARDO HORACIO MUNOZ:</t>
        </r>
        <r>
          <rPr>
            <sz val="9"/>
            <rFont val="Tahoma"/>
            <family val="2"/>
          </rPr>
          <t xml:space="preserve">
VALOR TOTAL MANEJO Y/O LIBERACION DE LA NAVIERA O DEL FORWARDER</t>
        </r>
      </text>
    </comment>
  </commentList>
</comments>
</file>

<file path=xl/sharedStrings.xml><?xml version="1.0" encoding="utf-8"?>
<sst xmlns="http://schemas.openxmlformats.org/spreadsheetml/2006/main" count="41398" uniqueCount="4660">
  <si>
    <t>EMBALAJE</t>
  </si>
  <si>
    <t>UB</t>
  </si>
  <si>
    <t>SLA</t>
  </si>
  <si>
    <t>MES</t>
  </si>
  <si>
    <t>DPTO.</t>
  </si>
  <si>
    <t>FCL</t>
  </si>
  <si>
    <t>AP</t>
  </si>
  <si>
    <t>Enero</t>
  </si>
  <si>
    <t>COMEX</t>
  </si>
  <si>
    <t>LCL</t>
  </si>
  <si>
    <t>APDTA</t>
  </si>
  <si>
    <t>Febrero</t>
  </si>
  <si>
    <t>A&amp;D</t>
  </si>
  <si>
    <t>AIR</t>
  </si>
  <si>
    <t>EM</t>
  </si>
  <si>
    <t>Marzo</t>
  </si>
  <si>
    <t>CSC</t>
  </si>
  <si>
    <t>CON 40</t>
  </si>
  <si>
    <t>EN</t>
  </si>
  <si>
    <t>Abril</t>
  </si>
  <si>
    <t>CON 20</t>
  </si>
  <si>
    <t>EV</t>
  </si>
  <si>
    <t>Mayo</t>
  </si>
  <si>
    <t>CS</t>
  </si>
  <si>
    <t>ED</t>
  </si>
  <si>
    <t>Junio</t>
  </si>
  <si>
    <t>ISO</t>
  </si>
  <si>
    <t>EC</t>
  </si>
  <si>
    <t>Julio</t>
  </si>
  <si>
    <t>FLEX</t>
  </si>
  <si>
    <t>CI</t>
  </si>
  <si>
    <t>Agosto</t>
  </si>
  <si>
    <t>RF 20</t>
  </si>
  <si>
    <t>EB</t>
  </si>
  <si>
    <t>Septiembre</t>
  </si>
  <si>
    <t>RF 40</t>
  </si>
  <si>
    <t>CM</t>
  </si>
  <si>
    <t>Octubre</t>
  </si>
  <si>
    <t>PM</t>
  </si>
  <si>
    <t>Noviembre</t>
  </si>
  <si>
    <t>Diciembre</t>
  </si>
  <si>
    <t>TRM</t>
  </si>
  <si>
    <t>DO</t>
  </si>
  <si>
    <t>PEDIDO</t>
  </si>
  <si>
    <t>BL 
NUMERO</t>
  </si>
  <si>
    <t>BL CLASE FCL/LCL/AIR</t>
  </si>
  <si>
    <t>BL TIPO 20/40/TK/LCL</t>
  </si>
  <si>
    <t>BL TIPO
CANTIDAD</t>
  </si>
  <si>
    <t>BL NUMERO 
CONT/TK</t>
  </si>
  <si>
    <t>FACTURA 
VALOR CFR USD</t>
  </si>
  <si>
    <t>FACTURA 
VALOR CFR COP</t>
  </si>
  <si>
    <t>FACTURA 
CANTIDAD KG</t>
  </si>
  <si>
    <t>NAVIERA $ COP
MANEJO/LIBERACION</t>
  </si>
  <si>
    <t>PUERTO/ COP USO DE INSTALACIONES</t>
  </si>
  <si>
    <t>PUERTO/ COP BODEGAJES</t>
  </si>
  <si>
    <t>PUERTO/ COP DESCARGUES</t>
  </si>
  <si>
    <t>PUERTO/ COP OTROS CARGOS</t>
  </si>
  <si>
    <t>BROKER 
AGENCIAMIENTO</t>
  </si>
  <si>
    <t>BROKER 
LICENCIA IMP</t>
  </si>
  <si>
    <t>TRANSPORTE 
FLETE LOCAL</t>
  </si>
  <si>
    <t>TRANSPORTE 
ESCOLTA</t>
  </si>
  <si>
    <t>TOTAL GASTOS DE IMPORTACION</t>
  </si>
  <si>
    <r>
      <rPr>
        <b/>
        <sz val="8"/>
        <color rgb="FFFF0000"/>
        <rFont val="Calibri"/>
        <family val="2"/>
      </rPr>
      <t xml:space="preserve">% </t>
    </r>
    <r>
      <rPr>
        <sz val="8"/>
        <color rgb="FFFF0000"/>
        <rFont val="Calibri"/>
        <family val="2"/>
      </rPr>
      <t xml:space="preserve">
SEGÚN FACTURA</t>
    </r>
  </si>
  <si>
    <t>ENE</t>
  </si>
  <si>
    <t>IC510121</t>
  </si>
  <si>
    <t>IC510189</t>
  </si>
  <si>
    <t>18E101566</t>
  </si>
  <si>
    <t>IC510214</t>
  </si>
  <si>
    <t>FRA0612021</t>
  </si>
  <si>
    <t>IC510271</t>
  </si>
  <si>
    <t>1023861323</t>
  </si>
  <si>
    <t>IC510328</t>
  </si>
  <si>
    <t>XBC8L098250</t>
  </si>
  <si>
    <t>IC510272</t>
  </si>
  <si>
    <t>XBC8L097645</t>
  </si>
  <si>
    <t>ic610060</t>
  </si>
  <si>
    <t>SAIBUN1812001</t>
  </si>
  <si>
    <t>IB610167</t>
  </si>
  <si>
    <t>IB610151</t>
  </si>
  <si>
    <t>ANT1196187</t>
  </si>
  <si>
    <t>CXTU1086660</t>
  </si>
  <si>
    <t>IB610148</t>
  </si>
  <si>
    <t>SHA527562</t>
  </si>
  <si>
    <t>IB610086</t>
  </si>
  <si>
    <t>ONEYTY8NH7860700</t>
  </si>
  <si>
    <t>TRHU2197747</t>
  </si>
  <si>
    <t>IB610185</t>
  </si>
  <si>
    <t>ANR/BUN/04154</t>
  </si>
  <si>
    <t>IB310700</t>
  </si>
  <si>
    <t>HLCURTM181142270</t>
  </si>
  <si>
    <t>HLXU6585384</t>
  </si>
  <si>
    <t>IB311093</t>
  </si>
  <si>
    <t>MEDUBB880285</t>
  </si>
  <si>
    <t>CRXU4550549</t>
  </si>
  <si>
    <t>IC310187</t>
  </si>
  <si>
    <t>SUDU28297ADVKKPJ</t>
  </si>
  <si>
    <t>MSKU5890598</t>
  </si>
  <si>
    <t>IC310004</t>
  </si>
  <si>
    <t>ANR/CTG/13033</t>
  </si>
  <si>
    <t>IB310800</t>
  </si>
  <si>
    <t>SUDUA8BRE011831X</t>
  </si>
  <si>
    <t>MRKU0366312</t>
  </si>
  <si>
    <t>IA310873</t>
  </si>
  <si>
    <t>HLCUANR180954921</t>
  </si>
  <si>
    <t>CXTU1084009</t>
  </si>
  <si>
    <t>ib310634</t>
  </si>
  <si>
    <t>012018110475</t>
  </si>
  <si>
    <t>ib311040</t>
  </si>
  <si>
    <t>ANR/CTG/13029</t>
  </si>
  <si>
    <t>ib311033</t>
  </si>
  <si>
    <t>SUDUC8FRA002232X</t>
  </si>
  <si>
    <t>GESU6013946</t>
  </si>
  <si>
    <t>ib310632</t>
  </si>
  <si>
    <t>SUDUA8FRA002219X</t>
  </si>
  <si>
    <t>TCNU2821417</t>
  </si>
  <si>
    <t>ic610030</t>
  </si>
  <si>
    <t>HLCULI3181137580</t>
  </si>
  <si>
    <t>UACU3631223/UACU3862979</t>
  </si>
  <si>
    <t>ib311103</t>
  </si>
  <si>
    <t>HLCURTM181123806</t>
  </si>
  <si>
    <t>TCLU4145757</t>
  </si>
  <si>
    <t>ib311091</t>
  </si>
  <si>
    <t>SSZCTG1811095</t>
  </si>
  <si>
    <t>ic610039</t>
  </si>
  <si>
    <t>SUDUB8603A38BS07</t>
  </si>
  <si>
    <t>MRKU6189641</t>
  </si>
  <si>
    <t>IC310121</t>
  </si>
  <si>
    <t>HLCURTM181153385</t>
  </si>
  <si>
    <t>TCLU4145607</t>
  </si>
  <si>
    <t>I9310324 / I9360022</t>
  </si>
  <si>
    <t>4945321258-2</t>
  </si>
  <si>
    <t>NAM3238817</t>
  </si>
  <si>
    <t>TIFU1247621</t>
  </si>
  <si>
    <t>ic610038</t>
  </si>
  <si>
    <t>SUDUB8603A38BUFA</t>
  </si>
  <si>
    <t>TCNU2883255</t>
  </si>
  <si>
    <t>ic310118</t>
  </si>
  <si>
    <t>HLCUANR181151335</t>
  </si>
  <si>
    <t>SEGU9380976</t>
  </si>
  <si>
    <t>IC510270</t>
  </si>
  <si>
    <t>1023861052</t>
  </si>
  <si>
    <t>IC510327</t>
  </si>
  <si>
    <t>XBC8L098251</t>
  </si>
  <si>
    <t>IC510329</t>
  </si>
  <si>
    <t>XBC8L098249</t>
  </si>
  <si>
    <t>ic310223</t>
  </si>
  <si>
    <t>SUDUA8BRE013344X</t>
  </si>
  <si>
    <t>MRKU0448560 / MSKU6501957</t>
  </si>
  <si>
    <t>ib311083</t>
  </si>
  <si>
    <t>SUDU68200A6KCR38</t>
  </si>
  <si>
    <t>SUDU6736214</t>
  </si>
  <si>
    <t>ib3t0029</t>
  </si>
  <si>
    <t>SSZCTG1811137</t>
  </si>
  <si>
    <t>ic3t0006</t>
  </si>
  <si>
    <t>FRA0337327</t>
  </si>
  <si>
    <t>TLLU2103215</t>
  </si>
  <si>
    <t>ic310243</t>
  </si>
  <si>
    <t>HLCUANR181149374</t>
  </si>
  <si>
    <t>FBIU0442340</t>
  </si>
  <si>
    <t>TGBU2247084</t>
  </si>
  <si>
    <t>ib3t0023</t>
  </si>
  <si>
    <t>EGLV476800037443</t>
  </si>
  <si>
    <t>EITU0573705</t>
  </si>
  <si>
    <t>ib3t0019</t>
  </si>
  <si>
    <t>HLCUHAM181128421</t>
  </si>
  <si>
    <t>BSIU2297765</t>
  </si>
  <si>
    <t>ic3t0001</t>
  </si>
  <si>
    <t>FRA0336843</t>
  </si>
  <si>
    <t>APZU4701543</t>
  </si>
  <si>
    <t>IB311105 / IB360065</t>
  </si>
  <si>
    <t>SUDU68200A6E69AU</t>
  </si>
  <si>
    <t>CRXU8606883/EXFU4403848/ITTU1056092</t>
  </si>
  <si>
    <t>IB311051 / IB360061</t>
  </si>
  <si>
    <t>HLCUBSC1811ARIK0</t>
  </si>
  <si>
    <t>FPTU5006187/FPTU5012430</t>
  </si>
  <si>
    <t>ib3t0033</t>
  </si>
  <si>
    <t>HLCUBSC181156799</t>
  </si>
  <si>
    <t>TCLU4482613</t>
  </si>
  <si>
    <t>IB310467 / IB360023</t>
  </si>
  <si>
    <t>4946496804 - 2</t>
  </si>
  <si>
    <t>HLCUANR181062029</t>
  </si>
  <si>
    <t>TCLU9057200/TCLU9057319/TCLU9057690</t>
  </si>
  <si>
    <t>IB310234 / IA360057</t>
  </si>
  <si>
    <t>HLCUSS5181050312</t>
  </si>
  <si>
    <t>FPTU5012940/ITTU1050601/SEGU8089797/TCLU9074569</t>
  </si>
  <si>
    <t>IB310687 / IB360044</t>
  </si>
  <si>
    <t>HLCUSS5181112990</t>
  </si>
  <si>
    <t>CRXU8611637/CRXU8685990/FPTU5011630/TPMU1510813</t>
  </si>
  <si>
    <t>IB310696 / IB360045</t>
  </si>
  <si>
    <t>4947191215 - 4</t>
  </si>
  <si>
    <t>SUDU68200A6E4CPS</t>
  </si>
  <si>
    <t>SEGU8019784</t>
  </si>
  <si>
    <t>I9310143</t>
  </si>
  <si>
    <t>NAM3204591</t>
  </si>
  <si>
    <t>TIFU1480079/TIFU1244535</t>
  </si>
  <si>
    <t>I9310699 / I9360063</t>
  </si>
  <si>
    <t>NAM3242455</t>
  </si>
  <si>
    <t>FPTU5012765/IHOU1059103</t>
  </si>
  <si>
    <t>I9310798 / I9360068</t>
  </si>
  <si>
    <t>NAM3242451</t>
  </si>
  <si>
    <t>CRXU8609455/FPTU5008446</t>
  </si>
  <si>
    <t>I8310847</t>
  </si>
  <si>
    <t>NAM3204494</t>
  </si>
  <si>
    <t>DCIU0753189/DCIU7420410</t>
  </si>
  <si>
    <t>IC310250</t>
  </si>
  <si>
    <t>SUDUC8046A4MQ002</t>
  </si>
  <si>
    <t>MSKU6385250</t>
  </si>
  <si>
    <t>IB311167</t>
  </si>
  <si>
    <t>HLCURTM181138777</t>
  </si>
  <si>
    <t>HLXU5211754</t>
  </si>
  <si>
    <t>IC310511</t>
  </si>
  <si>
    <t>HLCUANR181207678</t>
  </si>
  <si>
    <t>HLBU1537869</t>
  </si>
  <si>
    <t>IC310001</t>
  </si>
  <si>
    <t>HLCUANR181150873</t>
  </si>
  <si>
    <t>CAIU2453081</t>
  </si>
  <si>
    <t>IC310146</t>
  </si>
  <si>
    <t>HLCUEUR1811ASFH8</t>
  </si>
  <si>
    <t>GVCU2249725</t>
  </si>
  <si>
    <t>ic310485</t>
  </si>
  <si>
    <t>ANR/CTG/13059</t>
  </si>
  <si>
    <t>IC310246</t>
  </si>
  <si>
    <t>HLCUEUR1811ARAC8</t>
  </si>
  <si>
    <t>TGHU1463115 / CAIU2657146 / UACU3320284</t>
  </si>
  <si>
    <t>IC310144</t>
  </si>
  <si>
    <t>HLCUEUR1811APKJ9</t>
  </si>
  <si>
    <t>TEMU5448483</t>
  </si>
  <si>
    <t>IC310566</t>
  </si>
  <si>
    <t>SSZCTG1812019</t>
  </si>
  <si>
    <t>IC310591</t>
  </si>
  <si>
    <t>HLCUANR181203644</t>
  </si>
  <si>
    <t>HLXU5229347</t>
  </si>
  <si>
    <t>IC310480</t>
  </si>
  <si>
    <t>HLCUHAM181202180</t>
  </si>
  <si>
    <t>TTNU5370562</t>
  </si>
  <si>
    <t>ib310737</t>
  </si>
  <si>
    <t>BUECTG1810010</t>
  </si>
  <si>
    <t>ic310513</t>
  </si>
  <si>
    <t>ANR/CTG/13068</t>
  </si>
  <si>
    <t>ic310477</t>
  </si>
  <si>
    <t>HLCUANR181220883</t>
  </si>
  <si>
    <t>HLXU5220951</t>
  </si>
  <si>
    <t>ic310245</t>
  </si>
  <si>
    <t>ANR/CTG/13052</t>
  </si>
  <si>
    <t>ic310515</t>
  </si>
  <si>
    <t>HLCUANR181220894</t>
  </si>
  <si>
    <t>ic310517</t>
  </si>
  <si>
    <t>HLCUANR181207634</t>
  </si>
  <si>
    <t>FSCU7796028</t>
  </si>
  <si>
    <t>ib610064</t>
  </si>
  <si>
    <t>APLU 660345654</t>
  </si>
  <si>
    <t>CMAU3049420</t>
  </si>
  <si>
    <t>ib311180</t>
  </si>
  <si>
    <t>ANR/CTG/13039</t>
  </si>
  <si>
    <t>IC310484</t>
  </si>
  <si>
    <t>HLCUANR181168436</t>
  </si>
  <si>
    <t>HLBU1225243</t>
  </si>
  <si>
    <t>IB310772</t>
  </si>
  <si>
    <t>LEXBRE181108271116A</t>
  </si>
  <si>
    <t>ib311148</t>
  </si>
  <si>
    <t>HLCUHAM181185812</t>
  </si>
  <si>
    <t>TCLU3281168</t>
  </si>
  <si>
    <t>ib311097</t>
  </si>
  <si>
    <t>FRA0336762</t>
  </si>
  <si>
    <t>TCKU2526551</t>
  </si>
  <si>
    <t>ib311208</t>
  </si>
  <si>
    <t>HLCUANR181149352</t>
  </si>
  <si>
    <t>UACU8485287</t>
  </si>
  <si>
    <t>ic310067</t>
  </si>
  <si>
    <t>SSZCTG1811136</t>
  </si>
  <si>
    <t>ic310301</t>
  </si>
  <si>
    <t>HOU/CTG/D06870</t>
  </si>
  <si>
    <t>ib311149</t>
  </si>
  <si>
    <t>HLCUHAM181194754</t>
  </si>
  <si>
    <t>HLBU1804219</t>
  </si>
  <si>
    <t>ic310222</t>
  </si>
  <si>
    <t>ANR/CTG/13041</t>
  </si>
  <si>
    <t>IC310149</t>
  </si>
  <si>
    <t>012018111493</t>
  </si>
  <si>
    <t>IB311098</t>
  </si>
  <si>
    <t>CTG17291070</t>
  </si>
  <si>
    <t>IC310472</t>
  </si>
  <si>
    <t>HOU/CTG/D06864</t>
  </si>
  <si>
    <t>IC310306</t>
  </si>
  <si>
    <t>HOU/CTG/D06860</t>
  </si>
  <si>
    <t>IC310248</t>
  </si>
  <si>
    <t>SMLU5451493A</t>
  </si>
  <si>
    <t>SMLU7913061</t>
  </si>
  <si>
    <t>IB311170</t>
  </si>
  <si>
    <t>SUDUA8FRA001835X</t>
  </si>
  <si>
    <t>CAIU2460331/TGHU3204860</t>
  </si>
  <si>
    <t>IB311144</t>
  </si>
  <si>
    <t>SUDUA8FRA002399X</t>
  </si>
  <si>
    <t>PONU0173439</t>
  </si>
  <si>
    <t>IC310152</t>
  </si>
  <si>
    <t>HLCUANR181148422</t>
  </si>
  <si>
    <t>IHOU1045270</t>
  </si>
  <si>
    <t>IC310087</t>
  </si>
  <si>
    <t>HOU/CTG/D06850</t>
  </si>
  <si>
    <t>IC310662</t>
  </si>
  <si>
    <t>HOU/CTG/D06863</t>
  </si>
  <si>
    <t>IC310077</t>
  </si>
  <si>
    <t>HLCUEUR181184194</t>
  </si>
  <si>
    <t>UACU8448750</t>
  </si>
  <si>
    <t>IC310071</t>
  </si>
  <si>
    <t>HAM016429</t>
  </si>
  <si>
    <t>IB311205</t>
  </si>
  <si>
    <t>SSZCTG1811067</t>
  </si>
  <si>
    <t>IB310627</t>
  </si>
  <si>
    <t>ILSE004259</t>
  </si>
  <si>
    <t>IB311146</t>
  </si>
  <si>
    <t>LEXBRE 181108121413</t>
  </si>
  <si>
    <t>ic310151</t>
  </si>
  <si>
    <t>HLCUANR181145775</t>
  </si>
  <si>
    <t>CRXU8693928</t>
  </si>
  <si>
    <t>ib311057</t>
  </si>
  <si>
    <t>HLCULIV181100709</t>
  </si>
  <si>
    <t>BSIU2297261</t>
  </si>
  <si>
    <t>ic310510</t>
  </si>
  <si>
    <t>HLCUANR181172882</t>
  </si>
  <si>
    <t>TCLU7587372</t>
  </si>
  <si>
    <t>ic310194</t>
  </si>
  <si>
    <t>HOU/CTG/D06831</t>
  </si>
  <si>
    <t>ic310470</t>
  </si>
  <si>
    <t>ANR/CTG/13058</t>
  </si>
  <si>
    <t>i7310721</t>
  </si>
  <si>
    <t>HLCUBSC1807AVQV4</t>
  </si>
  <si>
    <t>EXFU0601059/EXFU5518374/FPTU5006253</t>
  </si>
  <si>
    <t>IB310497</t>
  </si>
  <si>
    <t>SSZCTG1811088</t>
  </si>
  <si>
    <t>IB311172</t>
  </si>
  <si>
    <t>ANR/CTG/13034</t>
  </si>
  <si>
    <t>IC610091</t>
  </si>
  <si>
    <t>SUDUB8603A39M9YT</t>
  </si>
  <si>
    <t xml:space="preserve">CON 40 </t>
  </si>
  <si>
    <t>MSKU01140856/MRKU2723888</t>
  </si>
  <si>
    <t>IB610152</t>
  </si>
  <si>
    <t>PLIHQ5819125</t>
  </si>
  <si>
    <t>PONU0144066/BMOU2466833/MRSU0290380</t>
  </si>
  <si>
    <t>IC610147</t>
  </si>
  <si>
    <t>CNCP150183</t>
  </si>
  <si>
    <t>APZU3330598/CMAU1931717/TCLU7423281</t>
  </si>
  <si>
    <t>IC610049</t>
  </si>
  <si>
    <t>ANR/BUN/04158</t>
  </si>
  <si>
    <t>ic310003</t>
  </si>
  <si>
    <t>SUDUA8FRA002370X</t>
  </si>
  <si>
    <t>MSKU3467777</t>
  </si>
  <si>
    <t>MRKU7620943</t>
  </si>
  <si>
    <t>ib310629</t>
  </si>
  <si>
    <t>SUDUA8FRA002244X</t>
  </si>
  <si>
    <t>PONU0259574</t>
  </si>
  <si>
    <t>ic310717</t>
  </si>
  <si>
    <t>HLCUANR181141105</t>
  </si>
  <si>
    <t>CPSU1775905</t>
  </si>
  <si>
    <t>ic310578</t>
  </si>
  <si>
    <t>HLCUBSC181211414</t>
  </si>
  <si>
    <t>XINU1141724</t>
  </si>
  <si>
    <t>ic310669</t>
  </si>
  <si>
    <t>HLCUANR181223446</t>
  </si>
  <si>
    <t>TRLU6533874</t>
  </si>
  <si>
    <t>ic310184</t>
  </si>
  <si>
    <t>SUDU68200A6NFZSS</t>
  </si>
  <si>
    <t>PONU8123413</t>
  </si>
  <si>
    <t>ic310249</t>
  </si>
  <si>
    <t>012018112415</t>
  </si>
  <si>
    <t>ib311177</t>
  </si>
  <si>
    <t>ANR/CTG/13038</t>
  </si>
  <si>
    <t>j1310080</t>
  </si>
  <si>
    <t>SUDUC8FRA002885X</t>
  </si>
  <si>
    <t>CAIU6141625</t>
  </si>
  <si>
    <t>ic310300</t>
  </si>
  <si>
    <t>ILSE004447</t>
  </si>
  <si>
    <t>ib311171</t>
  </si>
  <si>
    <t>SSZCTG1812033</t>
  </si>
  <si>
    <t>ic310064</t>
  </si>
  <si>
    <t>SSZCTG1812040</t>
  </si>
  <si>
    <t>ic310002</t>
  </si>
  <si>
    <t>SUDUC8FRA002438X</t>
  </si>
  <si>
    <t>MRKU9993273</t>
  </si>
  <si>
    <t>ib310693</t>
  </si>
  <si>
    <t>LEXBRE181108270377B</t>
  </si>
  <si>
    <t>IB310907 / IB360058</t>
  </si>
  <si>
    <t>SUDU68200A6E5ALZ</t>
  </si>
  <si>
    <t>IHOU1055941/IHOU1059485/IHOU4050291/TCLU9069095</t>
  </si>
  <si>
    <t>j1310117</t>
  </si>
  <si>
    <t>SUDUA8FRA002656X</t>
  </si>
  <si>
    <t>PONU8210930</t>
  </si>
  <si>
    <t>j1310115</t>
  </si>
  <si>
    <t xml:space="preserve">SUDU28297AEFRCB9 </t>
  </si>
  <si>
    <t>MSKU3690456</t>
  </si>
  <si>
    <t>IB311107 / IB360066</t>
  </si>
  <si>
    <t>SUDU68200A6E6S35</t>
  </si>
  <si>
    <t>FPTU5001009/ITTU1054994/RFCU8209667/RFCU8211319</t>
  </si>
  <si>
    <t>j1310116</t>
  </si>
  <si>
    <t>ANR/CTG/13076</t>
  </si>
  <si>
    <t>j1310119</t>
  </si>
  <si>
    <t>HLCUANR181233084</t>
  </si>
  <si>
    <t>BEAU2186674</t>
  </si>
  <si>
    <t>j1310113</t>
  </si>
  <si>
    <t>HLCUANR181243588</t>
  </si>
  <si>
    <t>BSIU2068990</t>
  </si>
  <si>
    <t>j1310070</t>
  </si>
  <si>
    <t>SUDUA8FRA002814X</t>
  </si>
  <si>
    <t>MSKU2203846</t>
  </si>
  <si>
    <t>ib311053</t>
  </si>
  <si>
    <t xml:space="preserve">SSZCTG1811091 </t>
  </si>
  <si>
    <t>j1310083</t>
  </si>
  <si>
    <t>HLCUANR181229844</t>
  </si>
  <si>
    <t>UACU8407833</t>
  </si>
  <si>
    <t>ic310595</t>
  </si>
  <si>
    <t>HLCUANR181169746</t>
  </si>
  <si>
    <t>TCLU9068273</t>
  </si>
  <si>
    <t>j1310121</t>
  </si>
  <si>
    <t>HLCUANR181242373</t>
  </si>
  <si>
    <t>TCLU1181318</t>
  </si>
  <si>
    <t>ic310666</t>
  </si>
  <si>
    <t>ANR/CTG/13069</t>
  </si>
  <si>
    <t>IC310483</t>
  </si>
  <si>
    <t>012018120079</t>
  </si>
  <si>
    <t>IC310700</t>
  </si>
  <si>
    <t>ANR/CTG/13073</t>
  </si>
  <si>
    <t>IC510381</t>
  </si>
  <si>
    <t>IC510139</t>
  </si>
  <si>
    <t>I9510050</t>
  </si>
  <si>
    <t>002805</t>
  </si>
  <si>
    <t>J1510058</t>
  </si>
  <si>
    <t>FRA0615832</t>
  </si>
  <si>
    <t>J1510035</t>
  </si>
  <si>
    <t>1024119880</t>
  </si>
  <si>
    <t>J1510144</t>
  </si>
  <si>
    <t>J1510084</t>
  </si>
  <si>
    <t>DSV0017313</t>
  </si>
  <si>
    <t>J1510034</t>
  </si>
  <si>
    <t>1024159470</t>
  </si>
  <si>
    <t>J1510027</t>
  </si>
  <si>
    <t>1306252092</t>
  </si>
  <si>
    <t>ic310445</t>
  </si>
  <si>
    <t>BUECTG1811001</t>
  </si>
  <si>
    <t>IC310676</t>
  </si>
  <si>
    <t>LAX/CTG/D03462</t>
  </si>
  <si>
    <t>IC310359</t>
  </si>
  <si>
    <t>SSZCTG1812099</t>
  </si>
  <si>
    <t>IC310482</t>
  </si>
  <si>
    <t>012018112670</t>
  </si>
  <si>
    <t>IC310704</t>
  </si>
  <si>
    <t>MEDUMX170878</t>
  </si>
  <si>
    <t>MEDU7376780</t>
  </si>
  <si>
    <t>IC310145 / IC360016</t>
  </si>
  <si>
    <t>SUDU68200A6KCR9H</t>
  </si>
  <si>
    <t>CXTU1138126/IHOU3058169/ITTU1054490/TIFU1758977</t>
  </si>
  <si>
    <t>J1310128</t>
  </si>
  <si>
    <t>HLCUANR181225295</t>
  </si>
  <si>
    <t>UACU8454460</t>
  </si>
  <si>
    <t>ic310538</t>
  </si>
  <si>
    <t>HLCURTM181220766</t>
  </si>
  <si>
    <t>HLXU5179502</t>
  </si>
  <si>
    <t>ic310533</t>
  </si>
  <si>
    <t>ILSE004534</t>
  </si>
  <si>
    <t>IA310734 / IA360064</t>
  </si>
  <si>
    <t>NAM3264725</t>
  </si>
  <si>
    <t>SEGU8059920/SEGU8089689/TCLU9068910/TQMU1846137</t>
  </si>
  <si>
    <t>IA311003 / IA360093</t>
  </si>
  <si>
    <t>NAM3264728</t>
  </si>
  <si>
    <t>CRXU8682991/FPTU5012575//ITTU3052814/SEGU8050455</t>
  </si>
  <si>
    <t>IC510326</t>
  </si>
  <si>
    <t>IC510353</t>
  </si>
  <si>
    <t>IC510325</t>
  </si>
  <si>
    <t>1023921728</t>
  </si>
  <si>
    <t>J1510010</t>
  </si>
  <si>
    <t>MHG18004199</t>
  </si>
  <si>
    <t>IC510383</t>
  </si>
  <si>
    <t>IC510415</t>
  </si>
  <si>
    <t>18J100796</t>
  </si>
  <si>
    <t>J1510009</t>
  </si>
  <si>
    <t>MHG18004200</t>
  </si>
  <si>
    <t>IC510385</t>
  </si>
  <si>
    <t>4947726675</t>
  </si>
  <si>
    <t>FMO0037305</t>
  </si>
  <si>
    <t>IC510306</t>
  </si>
  <si>
    <t>IC510382</t>
  </si>
  <si>
    <t>ATL111848</t>
  </si>
  <si>
    <t>ic3t0025</t>
  </si>
  <si>
    <t>ONEYSAOU37182500</t>
  </si>
  <si>
    <t>MOFU5876188</t>
  </si>
  <si>
    <t>ic3t0002</t>
  </si>
  <si>
    <t>PONU7463548</t>
  </si>
  <si>
    <t>j13t0005</t>
  </si>
  <si>
    <t>HLCUHAM181248919</t>
  </si>
  <si>
    <t>HLXU3449846</t>
  </si>
  <si>
    <t>IC3T0017</t>
  </si>
  <si>
    <t>FRA0337989</t>
  </si>
  <si>
    <t>TRHU1373712</t>
  </si>
  <si>
    <t>J1310279</t>
  </si>
  <si>
    <t xml:space="preserve">HLCUBSC181273049 </t>
  </si>
  <si>
    <t>HLXU5403567</t>
  </si>
  <si>
    <t>J1310283</t>
  </si>
  <si>
    <t>ANR/CTG/13083</t>
  </si>
  <si>
    <t>J13T0004</t>
  </si>
  <si>
    <t>ANR/CTG/13077</t>
  </si>
  <si>
    <t>J1310136</t>
  </si>
  <si>
    <t>DSV0014760</t>
  </si>
  <si>
    <t>IC3T0021</t>
  </si>
  <si>
    <t xml:space="preserve">SSZCTG1812100 </t>
  </si>
  <si>
    <t>J13T0006</t>
  </si>
  <si>
    <t>SUDUA8FRA002958X</t>
  </si>
  <si>
    <t>MRSU3970530</t>
  </si>
  <si>
    <t>J1310338</t>
  </si>
  <si>
    <t>ANR/CTG/13079</t>
  </si>
  <si>
    <t>J1310086 / J1360006</t>
  </si>
  <si>
    <t>HLCUBSC181298850</t>
  </si>
  <si>
    <t>CXTU1025963/ITTU3051295</t>
  </si>
  <si>
    <t>J1310349</t>
  </si>
  <si>
    <t>ANR/CTG/13088</t>
  </si>
  <si>
    <t>IC310459 / IC360040</t>
  </si>
  <si>
    <t>SUDU68200A6L9SY0</t>
  </si>
  <si>
    <t>CXTU1083960/ITTU1051320/ITTU1059358/ITTU1059358</t>
  </si>
  <si>
    <t>IC3T0022</t>
  </si>
  <si>
    <t>SUDU68200A6NFF46</t>
  </si>
  <si>
    <t>HASU1460049</t>
  </si>
  <si>
    <t>J1310146</t>
  </si>
  <si>
    <t>4947750559</t>
  </si>
  <si>
    <t>CTG17292387</t>
  </si>
  <si>
    <t>IC3T0015</t>
  </si>
  <si>
    <t>HLCUANR181164870</t>
  </si>
  <si>
    <t>HLXU5160214</t>
  </si>
  <si>
    <t>IC3T0014</t>
  </si>
  <si>
    <t>ANR/CTG/13065</t>
  </si>
  <si>
    <t>J1310123</t>
  </si>
  <si>
    <t>LEXBRE 181208122496</t>
  </si>
  <si>
    <t>J1310115</t>
  </si>
  <si>
    <t>J1310080</t>
  </si>
  <si>
    <t>j1310348</t>
  </si>
  <si>
    <t>SUDUC8FRA002546X</t>
  </si>
  <si>
    <t>PONU8212742</t>
  </si>
  <si>
    <t>ic310069</t>
  </si>
  <si>
    <t>4944899257</t>
  </si>
  <si>
    <t>MSKU7224944</t>
  </si>
  <si>
    <t>4944899258</t>
  </si>
  <si>
    <t>4944899423</t>
  </si>
  <si>
    <t>ic310702</t>
  </si>
  <si>
    <t>SSZCTG1812107</t>
  </si>
  <si>
    <t>J13T0009</t>
  </si>
  <si>
    <t>012018120631</t>
  </si>
  <si>
    <t>J1310192</t>
  </si>
  <si>
    <t>IC310759</t>
  </si>
  <si>
    <t>ANR/CTG/13054</t>
  </si>
  <si>
    <t>J1310069</t>
  </si>
  <si>
    <t>SUDUA8FRA003023X</t>
  </si>
  <si>
    <t>TGHU3261978</t>
  </si>
  <si>
    <t>IC310592</t>
  </si>
  <si>
    <t>ILSE004739</t>
  </si>
  <si>
    <t>J1310024</t>
  </si>
  <si>
    <t>ANR/CTG/13055</t>
  </si>
  <si>
    <t>J1310124</t>
  </si>
  <si>
    <t>DSV0014844</t>
  </si>
  <si>
    <t>J1310189</t>
  </si>
  <si>
    <t xml:space="preserve">HLCURTM181239110 </t>
  </si>
  <si>
    <t>TCLU2424264</t>
  </si>
  <si>
    <t>ic310664</t>
  </si>
  <si>
    <t>ANR/CTG/13070</t>
  </si>
  <si>
    <t>ic310701</t>
  </si>
  <si>
    <t>HLCUBSC181299735</t>
  </si>
  <si>
    <t>TCLU4735291</t>
  </si>
  <si>
    <t>j1310021</t>
  </si>
  <si>
    <t>HOU/CTG/D06867</t>
  </si>
  <si>
    <t>J1310026</t>
  </si>
  <si>
    <t>HLCUPSE181151434</t>
  </si>
  <si>
    <t>BSIU2203386</t>
  </si>
  <si>
    <t>IC310247</t>
  </si>
  <si>
    <t>DSV0012000</t>
  </si>
  <si>
    <t>ib310410</t>
  </si>
  <si>
    <t>SMLU5407547A</t>
  </si>
  <si>
    <t>SMLU7930388</t>
  </si>
  <si>
    <t>j1610030</t>
  </si>
  <si>
    <t>SUDUC8FRA003010X</t>
  </si>
  <si>
    <t>MWCU5659059</t>
  </si>
  <si>
    <t>j1610036</t>
  </si>
  <si>
    <t>SUDUA8FRA002917X</t>
  </si>
  <si>
    <t>MSKU5592335/MRKU9164760/SUDU1879969/MRKU7597885</t>
  </si>
  <si>
    <t>ic610158</t>
  </si>
  <si>
    <t>ANR/BUN/04165</t>
  </si>
  <si>
    <t>ic610148</t>
  </si>
  <si>
    <t>SUDUB8603A39Y815</t>
  </si>
  <si>
    <t>CRXU8684870</t>
  </si>
  <si>
    <t>ic610159</t>
  </si>
  <si>
    <t>ANR/BUN/04163</t>
  </si>
  <si>
    <t>ic610073</t>
  </si>
  <si>
    <t>0348535745</t>
  </si>
  <si>
    <t>DFSU3010285</t>
  </si>
  <si>
    <t>j1310149</t>
  </si>
  <si>
    <t>ANR/CTG/13087</t>
  </si>
  <si>
    <t>ic310267</t>
  </si>
  <si>
    <t>ILSE004657</t>
  </si>
  <si>
    <t>j1310139</t>
  </si>
  <si>
    <t>ANR/CTG/13089</t>
  </si>
  <si>
    <t>IC310447 / IC360036</t>
  </si>
  <si>
    <t>ONEYSAOU35795600</t>
  </si>
  <si>
    <t>CRXU8684588/EXFU0703451/EXFU0721558/GESU8090730</t>
  </si>
  <si>
    <t>IC610105</t>
  </si>
  <si>
    <t>SUDUA8FRA002714X</t>
  </si>
  <si>
    <t>MSKU5755725/MSKU3505120/MSKU7859420/MSKU3346517</t>
  </si>
  <si>
    <t>ic610156</t>
  </si>
  <si>
    <t>ANT1199086</t>
  </si>
  <si>
    <t>EXFU5502995/RFCU8228820</t>
  </si>
  <si>
    <t>IC610094</t>
  </si>
  <si>
    <t>SUDUB8603A39MJJN</t>
  </si>
  <si>
    <t>SEGU8036349</t>
  </si>
  <si>
    <t>CRXU8685060</t>
  </si>
  <si>
    <t>J1610060</t>
  </si>
  <si>
    <t>HLCUBSC1812AUUO1</t>
  </si>
  <si>
    <t>GLDU3198396</t>
  </si>
  <si>
    <t>J1610023</t>
  </si>
  <si>
    <t>SUDUB9603A3C8BA6</t>
  </si>
  <si>
    <t>MRKU9380219</t>
  </si>
  <si>
    <t>IC610133</t>
  </si>
  <si>
    <t>HOU/BUE/D02524</t>
  </si>
  <si>
    <t>J1310167</t>
  </si>
  <si>
    <t>SUDUC8FRA003109X</t>
  </si>
  <si>
    <t>MRKU8817900</t>
  </si>
  <si>
    <t>j1310616</t>
  </si>
  <si>
    <t>HOU/CTG/D06874</t>
  </si>
  <si>
    <t>IB311014</t>
  </si>
  <si>
    <t>MEDUMM047202</t>
  </si>
  <si>
    <t>MEDU5880621</t>
  </si>
  <si>
    <t>j1310205</t>
  </si>
  <si>
    <t>ILSE004658</t>
  </si>
  <si>
    <t>j1310134</t>
  </si>
  <si>
    <t>ANR/CTG/13106</t>
  </si>
  <si>
    <t>j1310122</t>
  </si>
  <si>
    <t>ANR/CTG/13111</t>
  </si>
  <si>
    <t>IC310590</t>
  </si>
  <si>
    <t>ILSE004738</t>
  </si>
  <si>
    <t>J1310191</t>
  </si>
  <si>
    <t>012018121580</t>
  </si>
  <si>
    <t>J1310152</t>
  </si>
  <si>
    <t>HLCUANR181253211</t>
  </si>
  <si>
    <t>HLXU8775254</t>
  </si>
  <si>
    <t>j1310193</t>
  </si>
  <si>
    <t xml:space="preserve">SUDUC8FRA003067X </t>
  </si>
  <si>
    <t>MRKU7174250</t>
  </si>
  <si>
    <t>j1310297</t>
  </si>
  <si>
    <t>HLCUBSC1812BKLJ0</t>
  </si>
  <si>
    <t>IPXU3949979</t>
  </si>
  <si>
    <t>J1310355</t>
  </si>
  <si>
    <t>4947705163</t>
  </si>
  <si>
    <t xml:space="preserve">SUDU68200A6LCAKK </t>
  </si>
  <si>
    <t>MRKU6913612 / TTNU1871890</t>
  </si>
  <si>
    <t>FEB</t>
  </si>
  <si>
    <t>I9510423</t>
  </si>
  <si>
    <t>ATL21440463</t>
  </si>
  <si>
    <t>J1510138</t>
  </si>
  <si>
    <t>729-69229473</t>
  </si>
  <si>
    <t>J1510121</t>
  </si>
  <si>
    <t>1024321542</t>
  </si>
  <si>
    <t>J1510152</t>
  </si>
  <si>
    <t>4948281642</t>
  </si>
  <si>
    <t>FMO0037635</t>
  </si>
  <si>
    <t>ic310374</t>
  </si>
  <si>
    <t>BUECTG1812001</t>
  </si>
  <si>
    <t>j1310085</t>
  </si>
  <si>
    <t>SUDU69200A6S4LCU</t>
  </si>
  <si>
    <t>MRKU5554159</t>
  </si>
  <si>
    <t>j1310244</t>
  </si>
  <si>
    <t>MEDUUU749351</t>
  </si>
  <si>
    <t>INBU3797453</t>
  </si>
  <si>
    <t>J1310358</t>
  </si>
  <si>
    <t>HLCUHAM190101129</t>
  </si>
  <si>
    <t>TRLU9708050 / BSIU2282235</t>
  </si>
  <si>
    <t>IC310558 / IC360044</t>
  </si>
  <si>
    <t>ONEYSAOU35797800</t>
  </si>
  <si>
    <t>IHOU1049208/IHOU3053700/IHOU3054380/ITTU7063890</t>
  </si>
  <si>
    <t>J1310595</t>
  </si>
  <si>
    <t>NAM3341005</t>
  </si>
  <si>
    <t>TGHU3551196</t>
  </si>
  <si>
    <t>IC310488 / IC360041</t>
  </si>
  <si>
    <t>ONEYSAOU35796700</t>
  </si>
  <si>
    <t xml:space="preserve">CRXU8688048 /FPTU5009329 /RFCU8202723 /SEGU8077760 </t>
  </si>
  <si>
    <t>J1310483</t>
  </si>
  <si>
    <t>012018122622</t>
  </si>
  <si>
    <t>J1310674</t>
  </si>
  <si>
    <t xml:space="preserve">SUDU29297AEOJWTK </t>
  </si>
  <si>
    <t>MSKU3979454</t>
  </si>
  <si>
    <t>J1310371</t>
  </si>
  <si>
    <t>HOU/CTG/D06887</t>
  </si>
  <si>
    <t>J1310472</t>
  </si>
  <si>
    <t>SUDU69200A6T4UC1</t>
  </si>
  <si>
    <t>SUDU3915160</t>
  </si>
  <si>
    <t>J1310433</t>
  </si>
  <si>
    <t>HLCUBSC1812AXDW2</t>
  </si>
  <si>
    <t>HLBU1093996</t>
  </si>
  <si>
    <t>J1310436</t>
  </si>
  <si>
    <t>SMLU5484023A</t>
  </si>
  <si>
    <t>SMLU3136940</t>
  </si>
  <si>
    <t>IC310670</t>
  </si>
  <si>
    <t>MEDUUU749674</t>
  </si>
  <si>
    <t>BMOU2649860</t>
  </si>
  <si>
    <t>J1610053</t>
  </si>
  <si>
    <t>EGLV143899285392</t>
  </si>
  <si>
    <t>BMOU5790701</t>
  </si>
  <si>
    <t>IC310456 / IC360038</t>
  </si>
  <si>
    <t>ONEYSAOU35794500</t>
  </si>
  <si>
    <t>ITTU3050540/ITTU3052199/ITTU3052331/ITTU3052331</t>
  </si>
  <si>
    <t>J1610011</t>
  </si>
  <si>
    <t>SAIBUN1812009</t>
  </si>
  <si>
    <t>J1610075</t>
  </si>
  <si>
    <t>ANT1202647</t>
  </si>
  <si>
    <t>ITTU1050319</t>
  </si>
  <si>
    <t>J1610092</t>
  </si>
  <si>
    <t>ANT1200713</t>
  </si>
  <si>
    <t>IHOU3050506</t>
  </si>
  <si>
    <t>J1610028</t>
  </si>
  <si>
    <t>MEDUMX174730</t>
  </si>
  <si>
    <t>MEDU3961684</t>
  </si>
  <si>
    <t>J1610074</t>
  </si>
  <si>
    <t>4947892348</t>
  </si>
  <si>
    <t>SUDUB9603A3D1KV4</t>
  </si>
  <si>
    <t>MRKU6446734</t>
  </si>
  <si>
    <t>IC610092</t>
  </si>
  <si>
    <t>TWSC18120101</t>
  </si>
  <si>
    <t>MSKU7034899/TCLU2686109/MRSU0162667</t>
  </si>
  <si>
    <t>j1310508</t>
  </si>
  <si>
    <t>012018122623</t>
  </si>
  <si>
    <t>j1310771</t>
  </si>
  <si>
    <t>NAM3352758</t>
  </si>
  <si>
    <t>CAIU2182800</t>
  </si>
  <si>
    <t>j1310742</t>
  </si>
  <si>
    <t>ANR/CTG/13139</t>
  </si>
  <si>
    <t>j1310291</t>
  </si>
  <si>
    <t>ANR/CTG/13104</t>
  </si>
  <si>
    <t>j1310555</t>
  </si>
  <si>
    <t>ANR/CTG/13132</t>
  </si>
  <si>
    <t>J1310556</t>
  </si>
  <si>
    <t>SSZCTG1901031</t>
  </si>
  <si>
    <t>j1610140</t>
  </si>
  <si>
    <t>HLCULI3190124124</t>
  </si>
  <si>
    <t>FCIU3380352/UACU3547703/HAMU1007431</t>
  </si>
  <si>
    <t>j1610111</t>
  </si>
  <si>
    <t>SUDUB9603A3E1LP4</t>
  </si>
  <si>
    <t>MSKU1001049</t>
  </si>
  <si>
    <t>j1310550</t>
  </si>
  <si>
    <t>SUDUC8FRA003336X</t>
  </si>
  <si>
    <t>CAXU8037099</t>
  </si>
  <si>
    <t>j1310561</t>
  </si>
  <si>
    <t>SUDUC8FRA003321X</t>
  </si>
  <si>
    <t>MSKU9249788</t>
  </si>
  <si>
    <t>j1310546</t>
  </si>
  <si>
    <t>HLCUHAM190123116</t>
  </si>
  <si>
    <t>HLXU5410308</t>
  </si>
  <si>
    <t>j1310549</t>
  </si>
  <si>
    <t>HLCUANR190117460</t>
  </si>
  <si>
    <t>HLBU9184897</t>
  </si>
  <si>
    <t>j1310543</t>
  </si>
  <si>
    <t>SUDU69200A6T4FKY</t>
  </si>
  <si>
    <t>MRKU6533382 / PONU0406320</t>
  </si>
  <si>
    <t>j1310497</t>
  </si>
  <si>
    <t>HLCUBSC190150816</t>
  </si>
  <si>
    <t>IHOU1045310</t>
  </si>
  <si>
    <t>j1310623</t>
  </si>
  <si>
    <t>ANR/CTG/13127</t>
  </si>
  <si>
    <t>j1310568</t>
  </si>
  <si>
    <t>SUDUC8FRA003066X</t>
  </si>
  <si>
    <t>MIEU3017680</t>
  </si>
  <si>
    <t>j1310533</t>
  </si>
  <si>
    <t>SUDUC8FRA003264X</t>
  </si>
  <si>
    <t>MRSU3545546 / SUDU5853577</t>
  </si>
  <si>
    <t>j1310369</t>
  </si>
  <si>
    <t>SUDU69200A6S4SML</t>
  </si>
  <si>
    <t>MRKU9541057</t>
  </si>
  <si>
    <t>j1310372</t>
  </si>
  <si>
    <t>SUDU69200A6T4AHM</t>
  </si>
  <si>
    <t>HASU1159518</t>
  </si>
  <si>
    <t>17.040,00</t>
  </si>
  <si>
    <t>34.080,00</t>
  </si>
  <si>
    <t>j1310772</t>
  </si>
  <si>
    <t>ANR/CTG/13129</t>
  </si>
  <si>
    <t>j1310453</t>
  </si>
  <si>
    <t>012018122460</t>
  </si>
  <si>
    <t>j1310457</t>
  </si>
  <si>
    <t>I2019-00014</t>
  </si>
  <si>
    <t>j1310744</t>
  </si>
  <si>
    <t>HLCUANR181238574</t>
  </si>
  <si>
    <t>FCIU4745630</t>
  </si>
  <si>
    <t>j1310538</t>
  </si>
  <si>
    <t>HLCUBSC1812BVWB3</t>
  </si>
  <si>
    <t>BSIU2261320</t>
  </si>
  <si>
    <t>j1310788</t>
  </si>
  <si>
    <t>HLCUPSE190150532</t>
  </si>
  <si>
    <t>CAIU2536890</t>
  </si>
  <si>
    <t>j1310769</t>
  </si>
  <si>
    <t>HLCUPSE190150554</t>
  </si>
  <si>
    <t>HLBU1826497</t>
  </si>
  <si>
    <t>j1310558</t>
  </si>
  <si>
    <t>HLCUANR190113911</t>
  </si>
  <si>
    <t>UAEU1253950</t>
  </si>
  <si>
    <t>j1310679</t>
  </si>
  <si>
    <t>SUDU29297AESO1UD</t>
  </si>
  <si>
    <t>MRKU9057124</t>
  </si>
  <si>
    <t>j1310408</t>
  </si>
  <si>
    <t>SUDUA8FRA003307X</t>
  </si>
  <si>
    <t>MRKU6235834</t>
  </si>
  <si>
    <t>j1310745</t>
  </si>
  <si>
    <t>HLCUEUR1812AROR8</t>
  </si>
  <si>
    <t>CLHU4755990</t>
  </si>
  <si>
    <t>j1310661</t>
  </si>
  <si>
    <t>SUDUA8FRA003273X</t>
  </si>
  <si>
    <t>MSKU5954368</t>
  </si>
  <si>
    <t>ib311096</t>
  </si>
  <si>
    <t>MEDUMM087620</t>
  </si>
  <si>
    <t>TGHU3942056</t>
  </si>
  <si>
    <t>j1310773</t>
  </si>
  <si>
    <t>ANR/CTG/13136</t>
  </si>
  <si>
    <t>j1310835</t>
  </si>
  <si>
    <t xml:space="preserve">SMLU5498899A </t>
  </si>
  <si>
    <t>SMLU2565528</t>
  </si>
  <si>
    <t>j1310890</t>
  </si>
  <si>
    <t>SMLU5522746A</t>
  </si>
  <si>
    <t>IPXU2165627/SMLU3115628/SMLU3124002</t>
  </si>
  <si>
    <t>j1310477</t>
  </si>
  <si>
    <t>HLCUANR181249160</t>
  </si>
  <si>
    <t>BEAU2211967  /  HLXU1117190</t>
  </si>
  <si>
    <t>j1310692</t>
  </si>
  <si>
    <t>ILSE005008</t>
  </si>
  <si>
    <t>j13t0023</t>
  </si>
  <si>
    <t>HLCUBSC190112776</t>
  </si>
  <si>
    <t>HLXU5281113</t>
  </si>
  <si>
    <t>j13t0017</t>
  </si>
  <si>
    <t>012018122219</t>
  </si>
  <si>
    <t>j13t0024</t>
  </si>
  <si>
    <t>HLCUBSC190112765</t>
  </si>
  <si>
    <t>HLXU5343806</t>
  </si>
  <si>
    <t>j13t0019</t>
  </si>
  <si>
    <t>SUDU69200A6T4B8K</t>
  </si>
  <si>
    <t>PONU0782184</t>
  </si>
  <si>
    <t>j1310655</t>
  </si>
  <si>
    <t>HLCUANR190101434</t>
  </si>
  <si>
    <t>CRXU8502322</t>
  </si>
  <si>
    <t>CRXU8688217</t>
  </si>
  <si>
    <t>TOLU9411200</t>
  </si>
  <si>
    <t>j1310847</t>
  </si>
  <si>
    <t>HLCUANR190132805</t>
  </si>
  <si>
    <t>HLXU3751645</t>
  </si>
  <si>
    <t>j1310873</t>
  </si>
  <si>
    <t>HLCUANR190151436</t>
  </si>
  <si>
    <t>UACU8545560</t>
  </si>
  <si>
    <t>j1310353</t>
  </si>
  <si>
    <t>ANR/CTG/13101</t>
  </si>
  <si>
    <t>j1310660</t>
  </si>
  <si>
    <t>ANR/CTG/13157</t>
  </si>
  <si>
    <t>j1310736</t>
  </si>
  <si>
    <t>ANR/CTG/13154</t>
  </si>
  <si>
    <t>IC310561 / IC360045</t>
  </si>
  <si>
    <t>SUDU68200A6LBLP9</t>
  </si>
  <si>
    <t>CRXU8610311/EXFU0721373/IHOU3054630/ITTU1056127</t>
  </si>
  <si>
    <t>j2310032</t>
  </si>
  <si>
    <t>ANR/CTG/13185</t>
  </si>
  <si>
    <t>j1310821</t>
  </si>
  <si>
    <t>SUDUA9FRA000098X</t>
  </si>
  <si>
    <t>SCMU4307845 / MRKU2500502</t>
  </si>
  <si>
    <t>j1310870</t>
  </si>
  <si>
    <t>ANR/CTG/13140</t>
  </si>
  <si>
    <t>J1510268</t>
  </si>
  <si>
    <t>FMO0037912</t>
  </si>
  <si>
    <t>J1510289</t>
  </si>
  <si>
    <t>1024597869</t>
  </si>
  <si>
    <t>J2510043</t>
  </si>
  <si>
    <t>1024402715</t>
  </si>
  <si>
    <t>J1510331</t>
  </si>
  <si>
    <t>J1510377</t>
  </si>
  <si>
    <t>J1510382</t>
  </si>
  <si>
    <t>J1510204</t>
  </si>
  <si>
    <t>J1510037</t>
  </si>
  <si>
    <t>1024012180</t>
  </si>
  <si>
    <t>IB510311</t>
  </si>
  <si>
    <t>J1510089</t>
  </si>
  <si>
    <t>4947642964</t>
  </si>
  <si>
    <t>3CBZ499</t>
  </si>
  <si>
    <t>IC510304</t>
  </si>
  <si>
    <t>729-7483-3651</t>
  </si>
  <si>
    <t>J1510122</t>
  </si>
  <si>
    <t>1024264440</t>
  </si>
  <si>
    <t>IC510392</t>
  </si>
  <si>
    <t>18J100819</t>
  </si>
  <si>
    <t>J1510226</t>
  </si>
  <si>
    <t>J1510109</t>
  </si>
  <si>
    <t>J1510262</t>
  </si>
  <si>
    <t>1024519765</t>
  </si>
  <si>
    <t>J1510261</t>
  </si>
  <si>
    <t>MHG-19000595</t>
  </si>
  <si>
    <t>j1310545</t>
  </si>
  <si>
    <t>ANR/CTG/13128</t>
  </si>
  <si>
    <t>j1310362</t>
  </si>
  <si>
    <t>ANR/CTG/13102</t>
  </si>
  <si>
    <t>6.870,00</t>
  </si>
  <si>
    <t>ic310575</t>
  </si>
  <si>
    <t>HAM/CTG/01600</t>
  </si>
  <si>
    <t>j1310373</t>
  </si>
  <si>
    <t>ANR/CTG/13100</t>
  </si>
  <si>
    <t>14.077,40</t>
  </si>
  <si>
    <t>2.156,80</t>
  </si>
  <si>
    <t>3.370,00</t>
  </si>
  <si>
    <t>j1310627</t>
  </si>
  <si>
    <t>ANR/CTG/13133</t>
  </si>
  <si>
    <t>j2310123</t>
  </si>
  <si>
    <t>HOU/CTG/D06896</t>
  </si>
  <si>
    <t>ic310543</t>
  </si>
  <si>
    <t>MEDUBM900909</t>
  </si>
  <si>
    <t>MSCU3274280</t>
  </si>
  <si>
    <t>j1610029</t>
  </si>
  <si>
    <t>TWSC18120553</t>
  </si>
  <si>
    <t>MRKU8739222/SUDU1985955</t>
  </si>
  <si>
    <t>j1310702</t>
  </si>
  <si>
    <t>SUDU69200A6VGUWU</t>
  </si>
  <si>
    <t>PONU1336715</t>
  </si>
  <si>
    <t>IB510312</t>
  </si>
  <si>
    <t>j1610076</t>
  </si>
  <si>
    <t>ANT1205848</t>
  </si>
  <si>
    <t>IHOU3059632/TQMU1855139</t>
  </si>
  <si>
    <t>j1610106</t>
  </si>
  <si>
    <t>ANR/BUN/04180</t>
  </si>
  <si>
    <t>j1310410</t>
  </si>
  <si>
    <t>SSZCTG1901088</t>
  </si>
  <si>
    <t>J1510054</t>
  </si>
  <si>
    <t>XBC9A000247</t>
  </si>
  <si>
    <t>j2310080</t>
  </si>
  <si>
    <t>HLCURTM190112784</t>
  </si>
  <si>
    <t>TCLU4739189</t>
  </si>
  <si>
    <t>j1310841</t>
  </si>
  <si>
    <t>HLCUBSC190113187</t>
  </si>
  <si>
    <t>GESU1256326</t>
  </si>
  <si>
    <t>j2310321</t>
  </si>
  <si>
    <t>012019010419</t>
  </si>
  <si>
    <t>j2310019</t>
  </si>
  <si>
    <t>012019010776</t>
  </si>
  <si>
    <t>IC310582 / IC360047</t>
  </si>
  <si>
    <t>SUDU68200A6LBWXT</t>
  </si>
  <si>
    <t>TIFU1506620/TIFU1757224/TIFU1757395/TQMU1855144</t>
  </si>
  <si>
    <t>j2310265</t>
  </si>
  <si>
    <t>HLCUBSC1901BBXU4</t>
  </si>
  <si>
    <t>CAIU2932799</t>
  </si>
  <si>
    <t>j1310812</t>
  </si>
  <si>
    <t>SUDUA9FRA000179X</t>
  </si>
  <si>
    <t>TLLU2268344</t>
  </si>
  <si>
    <t>j1310578</t>
  </si>
  <si>
    <t>SSZCTG1901089</t>
  </si>
  <si>
    <t>j1310767</t>
  </si>
  <si>
    <t>SSZCTG1901064</t>
  </si>
  <si>
    <t>j1310843</t>
  </si>
  <si>
    <t>HLCUANR190132776</t>
  </si>
  <si>
    <t>HLXU3750485</t>
  </si>
  <si>
    <t>j1310743</t>
  </si>
  <si>
    <t>MEDUBM933769</t>
  </si>
  <si>
    <t>TRHU2142359</t>
  </si>
  <si>
    <t>J1310770</t>
  </si>
  <si>
    <t>HLCURTM190139910</t>
  </si>
  <si>
    <t>HLXU3113240 / HLXU3335329</t>
  </si>
  <si>
    <t>J2310031</t>
  </si>
  <si>
    <t>ANR/CTG/13176</t>
  </si>
  <si>
    <t>J1310740</t>
  </si>
  <si>
    <t>HLCUEUR1812ARPM9</t>
  </si>
  <si>
    <t>TTNU4893050</t>
  </si>
  <si>
    <t>J2310085</t>
  </si>
  <si>
    <t>SUDU69200A6VRUC9</t>
  </si>
  <si>
    <t>MSKU5733881</t>
  </si>
  <si>
    <t>j1310868</t>
  </si>
  <si>
    <t>SUDU69200A6VR5S8</t>
  </si>
  <si>
    <t>MRKU8323209</t>
  </si>
  <si>
    <t>j1310849</t>
  </si>
  <si>
    <t>HLCUEUR1812ARQB3</t>
  </si>
  <si>
    <t>UACU8385117</t>
  </si>
  <si>
    <t>J1510209</t>
  </si>
  <si>
    <t>1024454772</t>
  </si>
  <si>
    <t>j1310787</t>
  </si>
  <si>
    <t>ONEYSAOV02040500</t>
  </si>
  <si>
    <t>DFSU6442507</t>
  </si>
  <si>
    <t>J1310285 / J1360016</t>
  </si>
  <si>
    <t>ONEYSAOU39078400</t>
  </si>
  <si>
    <t>GESU8089278/IHOU1056608/ITTU1050685/RLTU2000580</t>
  </si>
  <si>
    <t>j2310131</t>
  </si>
  <si>
    <t>HOU/CTG/D06897</t>
  </si>
  <si>
    <t>j2310218</t>
  </si>
  <si>
    <t>ANR/CTG/13169</t>
  </si>
  <si>
    <t>j2310157</t>
  </si>
  <si>
    <t>HLCUBSC1901AZQQ5</t>
  </si>
  <si>
    <t>UACU8378524</t>
  </si>
  <si>
    <t>j2310165</t>
  </si>
  <si>
    <t>HLCUBSC1901APAB2</t>
  </si>
  <si>
    <t>HLXU5193856</t>
  </si>
  <si>
    <t>j2310221</t>
  </si>
  <si>
    <t>HLCUBSC1901BBXT3</t>
  </si>
  <si>
    <t>UACU8179456</t>
  </si>
  <si>
    <t>j2310260</t>
  </si>
  <si>
    <t xml:space="preserve">SUDU69200A6VRU8X </t>
  </si>
  <si>
    <t>HASU1063972</t>
  </si>
  <si>
    <t>j1310888</t>
  </si>
  <si>
    <t>ONEYSAOU39246800</t>
  </si>
  <si>
    <t>UETU4150253</t>
  </si>
  <si>
    <t>j2310040</t>
  </si>
  <si>
    <t>HOU/CTG/D06880</t>
  </si>
  <si>
    <t>j1310887</t>
  </si>
  <si>
    <t>ONEYSAOU39245700</t>
  </si>
  <si>
    <t>UETU4129019</t>
  </si>
  <si>
    <t>j2310010</t>
  </si>
  <si>
    <t>ANR/CTG/13181</t>
  </si>
  <si>
    <t>j1610166</t>
  </si>
  <si>
    <t>SUDUB9603A3ET07G</t>
  </si>
  <si>
    <t>RFCU8210821</t>
  </si>
  <si>
    <t>j1310903</t>
  </si>
  <si>
    <t>4948242181</t>
  </si>
  <si>
    <t>ANR/CTG/13179</t>
  </si>
  <si>
    <t>j2310095</t>
  </si>
  <si>
    <t>HLCUEUR1901ATDX1</t>
  </si>
  <si>
    <t>HLBU9144277</t>
  </si>
  <si>
    <t>j1310707</t>
  </si>
  <si>
    <t>ILSE005009</t>
  </si>
  <si>
    <t>J2510012</t>
  </si>
  <si>
    <t>1024597047</t>
  </si>
  <si>
    <t>j2310172</t>
  </si>
  <si>
    <t>SUDU69200A6VRHUJ</t>
  </si>
  <si>
    <t>MRKU0413733</t>
  </si>
  <si>
    <t>j2310227</t>
  </si>
  <si>
    <t>HLCUANR190164251</t>
  </si>
  <si>
    <t>TGBU2225830</t>
  </si>
  <si>
    <t>j2310111</t>
  </si>
  <si>
    <t>HLCUHAM190150077</t>
  </si>
  <si>
    <t>UACU8551481 / TRLU9492254 / HLXU5200913 / UACU8257559</t>
  </si>
  <si>
    <t>J1310633 / J1360049</t>
  </si>
  <si>
    <t>ONEYSAOU39084800</t>
  </si>
  <si>
    <t>ITTU1056739/ITTU1058238/ITTU1059888/TCLU9068967</t>
  </si>
  <si>
    <t>j1310869</t>
  </si>
  <si>
    <t>SUDUA9FRA000180X</t>
  </si>
  <si>
    <t>SUDU8643492</t>
  </si>
  <si>
    <t>j2310018</t>
  </si>
  <si>
    <t>ILSE005090</t>
  </si>
  <si>
    <t>j2310263</t>
  </si>
  <si>
    <t>ANR/CTG/13158</t>
  </si>
  <si>
    <t>J2310014</t>
  </si>
  <si>
    <t>ONEYSAOV02190400</t>
  </si>
  <si>
    <t>TCLU8876209</t>
  </si>
  <si>
    <t>J1310921</t>
  </si>
  <si>
    <t>HLCUHAM190156113</t>
  </si>
  <si>
    <t>BMOU2662374</t>
  </si>
  <si>
    <t>J1310713</t>
  </si>
  <si>
    <t>SSZCTG1901103</t>
  </si>
  <si>
    <t>J2310101</t>
  </si>
  <si>
    <t>HLCUBSC1901BFIP8</t>
  </si>
  <si>
    <t>GLDU3584465 / CAIU2670620 / HLXU1142064</t>
  </si>
  <si>
    <t>J2310216</t>
  </si>
  <si>
    <t>ANR/CTG/13170</t>
  </si>
  <si>
    <t>j1310886</t>
  </si>
  <si>
    <t>SUDU29297AEW7K0A</t>
  </si>
  <si>
    <t>MRKU8881140 / MRKU7005610 / MRKU7100540</t>
  </si>
  <si>
    <t>j2310231</t>
  </si>
  <si>
    <t>SUDUC9FRA000274X</t>
  </si>
  <si>
    <t>MRKU8330403</t>
  </si>
  <si>
    <t>J1510263</t>
  </si>
  <si>
    <t>1024568515</t>
  </si>
  <si>
    <t>J2510045</t>
  </si>
  <si>
    <t>MHG-19000885</t>
  </si>
  <si>
    <t>j2310077</t>
  </si>
  <si>
    <t>HLCURTM190109604</t>
  </si>
  <si>
    <t>UACU8577064</t>
  </si>
  <si>
    <t>j2610014</t>
  </si>
  <si>
    <t>SUDUB9603A3GAGUH</t>
  </si>
  <si>
    <t>MRKU2417825</t>
  </si>
  <si>
    <t>j1610167</t>
  </si>
  <si>
    <t>6335-0454-901.011</t>
  </si>
  <si>
    <t>TCNU9913705/MRKU5615450/MRKU3000857/MSKU0681321/HASU4282043/MRKU5640874</t>
  </si>
  <si>
    <t>j2310306</t>
  </si>
  <si>
    <t>LEXBRE190108121497</t>
  </si>
  <si>
    <t>j2310284</t>
  </si>
  <si>
    <t>SUDUC9FRA000229X</t>
  </si>
  <si>
    <t>MRKU3700700</t>
  </si>
  <si>
    <t>j2310489</t>
  </si>
  <si>
    <t>HOU/CTG/D06894</t>
  </si>
  <si>
    <t>j2310274</t>
  </si>
  <si>
    <t>4946630996</t>
  </si>
  <si>
    <t>SSZCTG1902027</t>
  </si>
  <si>
    <t>j2310229</t>
  </si>
  <si>
    <t>SUDUC9FRA000226X</t>
  </si>
  <si>
    <t>MRKU7594248</t>
  </si>
  <si>
    <t>j2310358</t>
  </si>
  <si>
    <t xml:space="preserve">HOU/CTG/D06904 </t>
  </si>
  <si>
    <t>j2310089</t>
  </si>
  <si>
    <t>HLCUBSC1901BSXN7</t>
  </si>
  <si>
    <t>HLXU3226539</t>
  </si>
  <si>
    <t>j2310445</t>
  </si>
  <si>
    <t xml:space="preserve">ILSE005223 </t>
  </si>
  <si>
    <t>j1310909</t>
  </si>
  <si>
    <t>DSV0019013</t>
  </si>
  <si>
    <t>J13T0032</t>
  </si>
  <si>
    <t>ANR/CTG/13141</t>
  </si>
  <si>
    <t>J13T0008</t>
  </si>
  <si>
    <t>ANR/CTG/13099</t>
  </si>
  <si>
    <t>J13T0031</t>
  </si>
  <si>
    <t>HLCUHAM190123138</t>
  </si>
  <si>
    <t>TCKU2993242</t>
  </si>
  <si>
    <t>J23T0005</t>
  </si>
  <si>
    <t xml:space="preserve">SUDU29001AEXWUWK </t>
  </si>
  <si>
    <t>HASU1443252</t>
  </si>
  <si>
    <t>J2510089</t>
  </si>
  <si>
    <t>MHG-19001066</t>
  </si>
  <si>
    <t>J2510105</t>
  </si>
  <si>
    <t>1024776586</t>
  </si>
  <si>
    <t>J2510174</t>
  </si>
  <si>
    <t>1024835082</t>
  </si>
  <si>
    <t>J2510146</t>
  </si>
  <si>
    <t>1024839061</t>
  </si>
  <si>
    <t>J2510162</t>
  </si>
  <si>
    <t>1024880267</t>
  </si>
  <si>
    <t>MAR</t>
  </si>
  <si>
    <t>J2510178</t>
  </si>
  <si>
    <t>MHG-19001293</t>
  </si>
  <si>
    <t>J2510140</t>
  </si>
  <si>
    <t>FMO0038191</t>
  </si>
  <si>
    <t>j1310651</t>
  </si>
  <si>
    <t>MEDUMM464753</t>
  </si>
  <si>
    <t>GLDU7678599</t>
  </si>
  <si>
    <t>j2310173</t>
  </si>
  <si>
    <t>MEDUBE513032</t>
  </si>
  <si>
    <t>MSCU3922207</t>
  </si>
  <si>
    <t>j2310361</t>
  </si>
  <si>
    <t>ANR/CTG/13173</t>
  </si>
  <si>
    <t>j2310324</t>
  </si>
  <si>
    <t xml:space="preserve">SUDUC9FRA000556X </t>
  </si>
  <si>
    <t>TCNU2177006 / TGHU7967290</t>
  </si>
  <si>
    <t>J1310786 / J1360060</t>
  </si>
  <si>
    <t>ONEYSAOU39074700</t>
  </si>
  <si>
    <t>CRXU8610538/CXTU1125601 /TIFU1722383/TQMU1855191</t>
  </si>
  <si>
    <t>j1310412</t>
  </si>
  <si>
    <t>HLCUANR190101445</t>
  </si>
  <si>
    <t>IHOU3056823</t>
  </si>
  <si>
    <t>j2310303</t>
  </si>
  <si>
    <t>ANR/CTG/13220</t>
  </si>
  <si>
    <t>j2310386</t>
  </si>
  <si>
    <t>ANR/CTG/13195</t>
  </si>
  <si>
    <t>j1310816</t>
  </si>
  <si>
    <t>ANR/CTG/13145</t>
  </si>
  <si>
    <t>j2310356</t>
  </si>
  <si>
    <t>HLCUANR190175100</t>
  </si>
  <si>
    <t>HLBU9122935</t>
  </si>
  <si>
    <t>j2310135</t>
  </si>
  <si>
    <t>HLCURTM190168844</t>
  </si>
  <si>
    <t>HLXU5144018</t>
  </si>
  <si>
    <t>j2610040</t>
  </si>
  <si>
    <t>SUDUC9FRA000200X</t>
  </si>
  <si>
    <t>SUDU7666889/TCLU1396846/TCLU3102534</t>
  </si>
  <si>
    <t>j2310384</t>
  </si>
  <si>
    <t>ANR/CTG/13142</t>
  </si>
  <si>
    <t>J2510238</t>
  </si>
  <si>
    <t>ATL-111877</t>
  </si>
  <si>
    <t>J2510334</t>
  </si>
  <si>
    <t>19J100328</t>
  </si>
  <si>
    <t>J2510263</t>
  </si>
  <si>
    <t>1025024782</t>
  </si>
  <si>
    <t>J2510203</t>
  </si>
  <si>
    <t>FRA0626398</t>
  </si>
  <si>
    <t>J2510197</t>
  </si>
  <si>
    <t>1024947578</t>
  </si>
  <si>
    <t>J2510198</t>
  </si>
  <si>
    <t>1024947636</t>
  </si>
  <si>
    <t>J2510204</t>
  </si>
  <si>
    <t>FRA0626401</t>
  </si>
  <si>
    <t>J2510153</t>
  </si>
  <si>
    <t>DSV0021833</t>
  </si>
  <si>
    <t>J2510196</t>
  </si>
  <si>
    <t>1024959306</t>
  </si>
  <si>
    <t>J2510237</t>
  </si>
  <si>
    <t>1025017834</t>
  </si>
  <si>
    <t>j1610183</t>
  </si>
  <si>
    <t>MEDUMX201160</t>
  </si>
  <si>
    <t>MEDU2635071</t>
  </si>
  <si>
    <t>j2610041</t>
  </si>
  <si>
    <t>SUDUC9FRA000277X</t>
  </si>
  <si>
    <t>MSKU4133270</t>
  </si>
  <si>
    <t>j2310644</t>
  </si>
  <si>
    <t>012019012499</t>
  </si>
  <si>
    <t>j2310475</t>
  </si>
  <si>
    <t>SUDUC9FRA000402X</t>
  </si>
  <si>
    <t>TCNU2872348</t>
  </si>
  <si>
    <t>j2310320</t>
  </si>
  <si>
    <t>012019011271</t>
  </si>
  <si>
    <t>j2310700</t>
  </si>
  <si>
    <t>HOU/CTG/D06914</t>
  </si>
  <si>
    <t>j2310304</t>
  </si>
  <si>
    <t>SUDUC9FRA000429X</t>
  </si>
  <si>
    <t>MRKU8129019</t>
  </si>
  <si>
    <t>j2310264</t>
  </si>
  <si>
    <t>SSZCTG1902028</t>
  </si>
  <si>
    <t>j2310313</t>
  </si>
  <si>
    <t>SUDUC9999A4YC002</t>
  </si>
  <si>
    <t>MRKU2831671</t>
  </si>
  <si>
    <t>j2310342</t>
  </si>
  <si>
    <t>HLCUANR190175674</t>
  </si>
  <si>
    <t>HLXU3450575</t>
  </si>
  <si>
    <t>j2310380</t>
  </si>
  <si>
    <t>HLCUEUR1901AWMY8</t>
  </si>
  <si>
    <t>UACU3523790</t>
  </si>
  <si>
    <t>IC610034</t>
  </si>
  <si>
    <t>HLCUBSC1811BKGK0</t>
  </si>
  <si>
    <t>IHOU3053260</t>
  </si>
  <si>
    <t>J2610096</t>
  </si>
  <si>
    <t>SUDUB9603A3HKTYK</t>
  </si>
  <si>
    <t>HASU5072925/MRKU4294442</t>
  </si>
  <si>
    <t>J2610015</t>
  </si>
  <si>
    <t>ANT1207817</t>
  </si>
  <si>
    <t>IHOU3058533/IHOU3058770</t>
  </si>
  <si>
    <t>J2310414</t>
  </si>
  <si>
    <t>HLCUHAM190208400</t>
  </si>
  <si>
    <t>TGHU0435084</t>
  </si>
  <si>
    <t>J2310408</t>
  </si>
  <si>
    <t>MXMEX0000003156</t>
  </si>
  <si>
    <t>J2310012</t>
  </si>
  <si>
    <t>DSV0019869</t>
  </si>
  <si>
    <t>J2310090</t>
  </si>
  <si>
    <t>MIL054666</t>
  </si>
  <si>
    <t>J2310497</t>
  </si>
  <si>
    <t>ANR/CTG/13215</t>
  </si>
  <si>
    <t>J2310379</t>
  </si>
  <si>
    <t>HLCUANR190170604</t>
  </si>
  <si>
    <t>FCIU6497553</t>
  </si>
  <si>
    <t>J2310375</t>
  </si>
  <si>
    <t>LEXBRE190208270507A</t>
  </si>
  <si>
    <t>J2310655</t>
  </si>
  <si>
    <t>012019012260</t>
  </si>
  <si>
    <t>J2310488</t>
  </si>
  <si>
    <t>HLCUANR190211970</t>
  </si>
  <si>
    <t>CPSU1740977</t>
  </si>
  <si>
    <t>J1310922</t>
  </si>
  <si>
    <t>HLCURTM190164112</t>
  </si>
  <si>
    <t>UACU3905690</t>
  </si>
  <si>
    <t>J2310485</t>
  </si>
  <si>
    <t>ANR/CTG/13199</t>
  </si>
  <si>
    <t>J2310273</t>
  </si>
  <si>
    <t>LEXBRE190208120231</t>
  </si>
  <si>
    <t>J2310325</t>
  </si>
  <si>
    <t>ANR903051649</t>
  </si>
  <si>
    <t>MSKU5471138</t>
  </si>
  <si>
    <t>J2310318</t>
  </si>
  <si>
    <t>HLCUANR190143603</t>
  </si>
  <si>
    <t>UACU3378521</t>
  </si>
  <si>
    <t>J2310385</t>
  </si>
  <si>
    <t>SSZCTG1902067</t>
  </si>
  <si>
    <t>j2610046</t>
  </si>
  <si>
    <t>ANR/BUN/04183</t>
  </si>
  <si>
    <t>j2610059</t>
  </si>
  <si>
    <t>HLCULI3190208990</t>
  </si>
  <si>
    <t>BSIU2058159</t>
  </si>
  <si>
    <t>j2310653</t>
  </si>
  <si>
    <t>SSZCTG1902047</t>
  </si>
  <si>
    <t>j1310614</t>
  </si>
  <si>
    <t>MEDUBN031233</t>
  </si>
  <si>
    <t>TCLU3113400</t>
  </si>
  <si>
    <t>j2310572</t>
  </si>
  <si>
    <t>HOU/CTG/D06905</t>
  </si>
  <si>
    <t>j2310258</t>
  </si>
  <si>
    <t>HLCUANR190163110</t>
  </si>
  <si>
    <t>UACU4077862</t>
  </si>
  <si>
    <t>j2310641</t>
  </si>
  <si>
    <t>HOU/CTG/D06899</t>
  </si>
  <si>
    <t>j2310615</t>
  </si>
  <si>
    <t>HLCURTM190207399</t>
  </si>
  <si>
    <t>UACU3927730</t>
  </si>
  <si>
    <t>j2310376</t>
  </si>
  <si>
    <t>HLCUANR190203873</t>
  </si>
  <si>
    <t>GESU9532626</t>
  </si>
  <si>
    <t>J2310554</t>
  </si>
  <si>
    <t>HLCUEUR1901ASSY7</t>
  </si>
  <si>
    <t>HLXU5054402</t>
  </si>
  <si>
    <t>J2310548</t>
  </si>
  <si>
    <t>HLCUEUR1901ASQX5</t>
  </si>
  <si>
    <t>HAMU1009408</t>
  </si>
  <si>
    <t>J2610030</t>
  </si>
  <si>
    <t>CENSHA19010133</t>
  </si>
  <si>
    <t>J23T0015</t>
  </si>
  <si>
    <t>012019011427</t>
  </si>
  <si>
    <t>J13T0025</t>
  </si>
  <si>
    <t>MEDUBN119939</t>
  </si>
  <si>
    <t>TCLU7787771</t>
  </si>
  <si>
    <t>J23T0016</t>
  </si>
  <si>
    <t>LEXBRE190208270507B</t>
  </si>
  <si>
    <t>J23T0017</t>
  </si>
  <si>
    <t>HLCUANR190171556</t>
  </si>
  <si>
    <t>HLBU1844778</t>
  </si>
  <si>
    <t>J23T0018</t>
  </si>
  <si>
    <t>HLCUEUR1901AVSG0</t>
  </si>
  <si>
    <t>UACU3624862</t>
  </si>
  <si>
    <t>J23T0019</t>
  </si>
  <si>
    <t>SUDUA9FRA000403X</t>
  </si>
  <si>
    <t>MSKU5425699</t>
  </si>
  <si>
    <t>J23T0012</t>
  </si>
  <si>
    <t>HLCUEUR1901AWNW1</t>
  </si>
  <si>
    <t>HLXU5184068</t>
  </si>
  <si>
    <t>j1610158</t>
  </si>
  <si>
    <t>TTZH030161</t>
  </si>
  <si>
    <t>TCLU3842058</t>
  </si>
  <si>
    <t>j2310663</t>
  </si>
  <si>
    <t>SMLU5547572A</t>
  </si>
  <si>
    <t>SMLU3128712/SMLU3138496/SMLU3138496</t>
  </si>
  <si>
    <t>j2310665</t>
  </si>
  <si>
    <t>MEDUBE791257</t>
  </si>
  <si>
    <t>MEDU6999317/TCLU5377572/MEDU2617000</t>
  </si>
  <si>
    <t>j2310607</t>
  </si>
  <si>
    <t>HOU/CTG/D06900</t>
  </si>
  <si>
    <t>j2310664</t>
  </si>
  <si>
    <t>MEDUBE791281</t>
  </si>
  <si>
    <t>FCIU5929159/MEDU1956673</t>
  </si>
  <si>
    <t>j2310575</t>
  </si>
  <si>
    <t>SUDUC9FRA000652X</t>
  </si>
  <si>
    <t>MSKU7856843</t>
  </si>
  <si>
    <t>j2310347</t>
  </si>
  <si>
    <t>DSV0020330</t>
  </si>
  <si>
    <t>j2310486</t>
  </si>
  <si>
    <t>ANR/CTG/13198</t>
  </si>
  <si>
    <t>j1310910</t>
  </si>
  <si>
    <t>MXMEX0000003113</t>
  </si>
  <si>
    <t>j2310501</t>
  </si>
  <si>
    <t>ANR/CTG/13236</t>
  </si>
  <si>
    <t>j2310494</t>
  </si>
  <si>
    <t>ANR/CTG/13208</t>
  </si>
  <si>
    <t>j2310649</t>
  </si>
  <si>
    <t>012019012500</t>
  </si>
  <si>
    <t>j2310741</t>
  </si>
  <si>
    <t>SSZCTG1902088</t>
  </si>
  <si>
    <t>j2310680</t>
  </si>
  <si>
    <t>HOU/CTG/D06910</t>
  </si>
  <si>
    <t>j2310735</t>
  </si>
  <si>
    <t>HOU/CTG/D06898</t>
  </si>
  <si>
    <t>j2310492</t>
  </si>
  <si>
    <t>SUDUC9FRA000648X</t>
  </si>
  <si>
    <t>HASU1318570</t>
  </si>
  <si>
    <t>J2310523 / J2360029</t>
  </si>
  <si>
    <t>HLCUBSC1901BWUK5  // 00171038</t>
  </si>
  <si>
    <t>TLLU9012605</t>
  </si>
  <si>
    <t>J1310641 / J1360050</t>
  </si>
  <si>
    <t>ONEYSAOU39085900</t>
  </si>
  <si>
    <t>ITTU3052666/FPTU5001098/GESU8008065/GESU8008065</t>
  </si>
  <si>
    <t>j2310340</t>
  </si>
  <si>
    <t>SUDUC9FRA000227X</t>
  </si>
  <si>
    <t>PONU2042401</t>
  </si>
  <si>
    <t>j2310487</t>
  </si>
  <si>
    <t>ANR/CTG/13216</t>
  </si>
  <si>
    <t>j2310579</t>
  </si>
  <si>
    <t>SSZCTG1902025</t>
  </si>
  <si>
    <t>j2310156</t>
  </si>
  <si>
    <t>SEGU6303209</t>
  </si>
  <si>
    <t>j2310174</t>
  </si>
  <si>
    <t>MEDUUU820079</t>
  </si>
  <si>
    <t>TRIU4680790</t>
  </si>
  <si>
    <t>j2310631</t>
  </si>
  <si>
    <t>HLCUANR190140682</t>
  </si>
  <si>
    <t>BSIU2201531</t>
  </si>
  <si>
    <t>j2310133</t>
  </si>
  <si>
    <t>SSZCTG1902033</t>
  </si>
  <si>
    <t>j2310271</t>
  </si>
  <si>
    <t>ILSE005222</t>
  </si>
  <si>
    <t>j2310219</t>
  </si>
  <si>
    <t>SSZCTG1902029</t>
  </si>
  <si>
    <t>j2310411</t>
  </si>
  <si>
    <t>SSZCTG1902024</t>
  </si>
  <si>
    <t>J3510011</t>
  </si>
  <si>
    <t>1025144550</t>
  </si>
  <si>
    <t>J3510044</t>
  </si>
  <si>
    <t>1025286423</t>
  </si>
  <si>
    <t>J2510273</t>
  </si>
  <si>
    <t>J2510318</t>
  </si>
  <si>
    <t>1025211802</t>
  </si>
  <si>
    <t>J3510027</t>
  </si>
  <si>
    <t>FRA0630199</t>
  </si>
  <si>
    <t>J2510319</t>
  </si>
  <si>
    <t>1025153105</t>
  </si>
  <si>
    <t>J2510336</t>
  </si>
  <si>
    <t>1025176913</t>
  </si>
  <si>
    <t>J2510300</t>
  </si>
  <si>
    <t>1025042855</t>
  </si>
  <si>
    <t>J2510320</t>
  </si>
  <si>
    <t>1025091419</t>
  </si>
  <si>
    <t>J3510077</t>
  </si>
  <si>
    <t>19J100379</t>
  </si>
  <si>
    <t>J2510277</t>
  </si>
  <si>
    <t>FMO0038503</t>
  </si>
  <si>
    <t>j2310373</t>
  </si>
  <si>
    <t>ANR/CTG/03448</t>
  </si>
  <si>
    <t>j3310079</t>
  </si>
  <si>
    <t>HLCUANR190243506</t>
  </si>
  <si>
    <t>UACU8311027</t>
  </si>
  <si>
    <t>j3310018</t>
  </si>
  <si>
    <t>SMLU5538055A</t>
  </si>
  <si>
    <t>SMLU7840160</t>
  </si>
  <si>
    <t>j2310612</t>
  </si>
  <si>
    <t>SUDUC9FRA000710X</t>
  </si>
  <si>
    <t>MRKU3819834</t>
  </si>
  <si>
    <t>j3310020</t>
  </si>
  <si>
    <t>NAM3400587</t>
  </si>
  <si>
    <t>TRHU2131478</t>
  </si>
  <si>
    <t>j3310035</t>
  </si>
  <si>
    <t>ANR/CTG/13201</t>
  </si>
  <si>
    <t>j2310739</t>
  </si>
  <si>
    <t>ONEYSAOV03772400</t>
  </si>
  <si>
    <t>SEGU5444434</t>
  </si>
  <si>
    <t>j2310576</t>
  </si>
  <si>
    <t>SUDU69200A6WW3EV</t>
  </si>
  <si>
    <t>TCLU2688117</t>
  </si>
  <si>
    <t>j2310500</t>
  </si>
  <si>
    <t>SUDUC9FRA000653X</t>
  </si>
  <si>
    <t>MRKU9646269</t>
  </si>
  <si>
    <t>j2310317</t>
  </si>
  <si>
    <t>ILSE005386</t>
  </si>
  <si>
    <t>j2310809</t>
  </si>
  <si>
    <t>HOU/CTG/D06916</t>
  </si>
  <si>
    <t>j3310032</t>
  </si>
  <si>
    <t>HLCUPSE190250775</t>
  </si>
  <si>
    <t>IRNU2613772</t>
  </si>
  <si>
    <t>j2310835</t>
  </si>
  <si>
    <t>ANR/CTG/13231</t>
  </si>
  <si>
    <t>j2310409</t>
  </si>
  <si>
    <t>SSZCTG1902098</t>
  </si>
  <si>
    <t>j3310023</t>
  </si>
  <si>
    <t>HLCUHAM190253431</t>
  </si>
  <si>
    <t>UACU8436180</t>
  </si>
  <si>
    <t>j3310024</t>
  </si>
  <si>
    <t>HLCUHAM190252523</t>
  </si>
  <si>
    <t>TTNU5371255</t>
  </si>
  <si>
    <t>j2310833</t>
  </si>
  <si>
    <t>HLCUANR190234769</t>
  </si>
  <si>
    <t>HLXU3737040</t>
  </si>
  <si>
    <t>J2310608 / J2360037</t>
  </si>
  <si>
    <t>HLCUBSC1902APEA6</t>
  </si>
  <si>
    <t>ITTU1051444/ITTU1057458/ITTU3050771</t>
  </si>
  <si>
    <t>J2310480 / J2360027</t>
  </si>
  <si>
    <t>HLCUBSC1902APET5</t>
  </si>
  <si>
    <t>ITTU3055900/RFCU8229128/SEGU8029822</t>
  </si>
  <si>
    <t>j3310058</t>
  </si>
  <si>
    <t xml:space="preserve">SSZCTG1902003 </t>
  </si>
  <si>
    <t>J1310687 / J1360052</t>
  </si>
  <si>
    <t>ONEYSAOU39097500</t>
  </si>
  <si>
    <t>CXTU1025161/CXTU1125582/FPTU5006952/IHOU3057985</t>
  </si>
  <si>
    <t>j2310498</t>
  </si>
  <si>
    <t xml:space="preserve">SSZCTG1902066 </t>
  </si>
  <si>
    <t>j2310391</t>
  </si>
  <si>
    <t xml:space="preserve">SSZCTG1902102 </t>
  </si>
  <si>
    <t>J1310694 / J1360053</t>
  </si>
  <si>
    <t>ONEYSAOU39091600</t>
  </si>
  <si>
    <t>EXFU4422956/EXFU4422977/ITTU1056180/ITTU3053512</t>
  </si>
  <si>
    <t>J2310371 / J2360021</t>
  </si>
  <si>
    <t>ONEYSAOV02610800</t>
  </si>
  <si>
    <t>CXTU1126697/IHOU1840712/ITTU7064243/ITTU7064270</t>
  </si>
  <si>
    <t>J2310585  /J2360032</t>
  </si>
  <si>
    <t>HLCUBSC1902AUTD0</t>
  </si>
  <si>
    <t>RFCU8228965/RLTU2001015</t>
  </si>
  <si>
    <t>J2310658 / J2360039</t>
  </si>
  <si>
    <t>ONEYSAOV02818400</t>
  </si>
  <si>
    <t>CRXU8644570/EXFU5508165/GESU8089745/ITTU7064290</t>
  </si>
  <si>
    <t>J2310551 / J2360030</t>
  </si>
  <si>
    <t>HLCUBSC1902APDV2</t>
  </si>
  <si>
    <t>TCLU9078179</t>
  </si>
  <si>
    <t>J2310359 / J2360020</t>
  </si>
  <si>
    <t>NAM3370792</t>
  </si>
  <si>
    <t>CXTU1083722/EXFU5508587/RFCU8204752</t>
  </si>
  <si>
    <t>J2310372 / J2360022</t>
  </si>
  <si>
    <t>ONEYSAOV02612300</t>
  </si>
  <si>
    <t>IHOU1048156</t>
  </si>
  <si>
    <t>J2310629 / J2360038</t>
  </si>
  <si>
    <t>ONEYSAOV02820400</t>
  </si>
  <si>
    <t>CRXU8684530/CRXU8688177/GESU8086094/TQMU1845362</t>
  </si>
  <si>
    <t>J2310322</t>
  </si>
  <si>
    <t xml:space="preserve">DSV0020798 </t>
  </si>
  <si>
    <t>j2310732</t>
  </si>
  <si>
    <t>ONEYSAOV02359400</t>
  </si>
  <si>
    <t>MOFU6784810</t>
  </si>
  <si>
    <t>J2310875/J2360049</t>
  </si>
  <si>
    <t>HLCUSS5190245607</t>
  </si>
  <si>
    <t>IHOU1015358,IHOU1015445,IHOU1015070,IHOU1015682</t>
  </si>
  <si>
    <t>J2310876/J2360051</t>
  </si>
  <si>
    <t>HLCUSS5190245004</t>
  </si>
  <si>
    <t>IHOU1015609/IHOU1015614</t>
  </si>
  <si>
    <t>J3310019/J3360003</t>
  </si>
  <si>
    <t>HLCUBSC1902ASKE1</t>
  </si>
  <si>
    <t>IHOU1049050</t>
  </si>
  <si>
    <t>j2310566</t>
  </si>
  <si>
    <t>MEDUBN230595</t>
  </si>
  <si>
    <t>FCIU5993651</t>
  </si>
  <si>
    <t>J2310874/J2360048</t>
  </si>
  <si>
    <t>HLCUSS5190245377</t>
  </si>
  <si>
    <t>CRXU8688407/IHOU1840754/RFCU8210816/TQMU1745379</t>
  </si>
  <si>
    <t>J2510337</t>
  </si>
  <si>
    <t>1025097591</t>
  </si>
  <si>
    <t>j3310055</t>
  </si>
  <si>
    <t>ANR/CTG/13210</t>
  </si>
  <si>
    <t>j2310812</t>
  </si>
  <si>
    <t>012019021080</t>
  </si>
  <si>
    <t>j3310012</t>
  </si>
  <si>
    <t>SUDUC9FRA000744X</t>
  </si>
  <si>
    <t>MSKU7729330</t>
  </si>
  <si>
    <t>j3310033</t>
  </si>
  <si>
    <t>SUDUC9FRA000785X</t>
  </si>
  <si>
    <t>MSKU5182480</t>
  </si>
  <si>
    <t>j2310834</t>
  </si>
  <si>
    <t>SSZCTG1902089</t>
  </si>
  <si>
    <t>j3310120</t>
  </si>
  <si>
    <t>ANR/CTG/13269</t>
  </si>
  <si>
    <t>j3310026</t>
  </si>
  <si>
    <t>ANR/CTG/13241</t>
  </si>
  <si>
    <t>j3310034</t>
  </si>
  <si>
    <t>ANR903086296</t>
  </si>
  <si>
    <t>MSKU5575894</t>
  </si>
  <si>
    <t>j3310301</t>
  </si>
  <si>
    <t>HOU/CTG/D06915</t>
  </si>
  <si>
    <t>j3310347</t>
  </si>
  <si>
    <t>ANR/CTG/13245</t>
  </si>
  <si>
    <t>j3310075</t>
  </si>
  <si>
    <t>FRA0342601</t>
  </si>
  <si>
    <t>CON 20/CON  40</t>
  </si>
  <si>
    <t>3/1,</t>
  </si>
  <si>
    <t>ECMU2027883/JAYU1084421 /APZU3469325/APZU4605494</t>
  </si>
  <si>
    <t>j3310272</t>
  </si>
  <si>
    <t>SUDUA9FRA000831X</t>
  </si>
  <si>
    <t>MRKU0700815</t>
  </si>
  <si>
    <t>J3310185</t>
  </si>
  <si>
    <t>HLCUBSC1902BCGU1</t>
  </si>
  <si>
    <t>UACU3909757</t>
  </si>
  <si>
    <t>J3310078</t>
  </si>
  <si>
    <t>HLCUANR190140711</t>
  </si>
  <si>
    <t>TEMU1400537</t>
  </si>
  <si>
    <t>J2310687</t>
  </si>
  <si>
    <t>HLCURTM190231782</t>
  </si>
  <si>
    <t>HLXU5018370/UACU8255330</t>
  </si>
  <si>
    <t>J3310065</t>
  </si>
  <si>
    <t>HLCURTM190246800</t>
  </si>
  <si>
    <t>HLXU5281324</t>
  </si>
  <si>
    <t>J3310077</t>
  </si>
  <si>
    <t>SUDUC9FRA000999X</t>
  </si>
  <si>
    <t>MRKU7578289/MRKU8641283</t>
  </si>
  <si>
    <t>J2310682</t>
  </si>
  <si>
    <t>HLCURTM190231771</t>
  </si>
  <si>
    <t>TCLU4127624</t>
  </si>
  <si>
    <t>J2310737</t>
  </si>
  <si>
    <t>SUDUC9FRA001052X</t>
  </si>
  <si>
    <t>MRKU2129855</t>
  </si>
  <si>
    <t>J3510160</t>
  </si>
  <si>
    <t>19J100458</t>
  </si>
  <si>
    <t>J3510086</t>
  </si>
  <si>
    <t xml:space="preserve">1025366165 </t>
  </si>
  <si>
    <t>J3510118</t>
  </si>
  <si>
    <t xml:space="preserve">1025365817  </t>
  </si>
  <si>
    <t>j2610099</t>
  </si>
  <si>
    <t>PLIHQ4A07936</t>
  </si>
  <si>
    <t>SUDU1337680</t>
  </si>
  <si>
    <t>j3310178</t>
  </si>
  <si>
    <t>SMLU5547574A</t>
  </si>
  <si>
    <t>SMLU2005020/SMLU2543724</t>
  </si>
  <si>
    <t>j23t0039</t>
  </si>
  <si>
    <t xml:space="preserve">SSZCTG1902084 </t>
  </si>
  <si>
    <t>j33t0003</t>
  </si>
  <si>
    <t>HLCUBSC190241251</t>
  </si>
  <si>
    <t>HLXU5045458</t>
  </si>
  <si>
    <t>j33t0004</t>
  </si>
  <si>
    <t>HLCUBSC190240924</t>
  </si>
  <si>
    <t>TCLU4126839</t>
  </si>
  <si>
    <t>j23t0020</t>
  </si>
  <si>
    <t>SUDUA9FRA000625X</t>
  </si>
  <si>
    <t>MRKU9116320</t>
  </si>
  <si>
    <t>j33t0002</t>
  </si>
  <si>
    <t>HLCUBSC190243363</t>
  </si>
  <si>
    <t>UACU8547922</t>
  </si>
  <si>
    <t>j23t0041</t>
  </si>
  <si>
    <t>SSZCTG1902086</t>
  </si>
  <si>
    <t>j2310086</t>
  </si>
  <si>
    <t>HLCUANR190128710</t>
  </si>
  <si>
    <t>CXTU1124945</t>
  </si>
  <si>
    <t>J2610039/J2660002</t>
  </si>
  <si>
    <t>NAM3365513</t>
  </si>
  <si>
    <t>SEGU8026103/SLZU2524820/TCLU9078121/TQMU1845491</t>
  </si>
  <si>
    <t>J3510152</t>
  </si>
  <si>
    <t>1025448449</t>
  </si>
  <si>
    <t>J3510153</t>
  </si>
  <si>
    <t>1025448394</t>
  </si>
  <si>
    <t>IHOU1048156/IHOU3052432/TCLU9068191/TQMU1846517</t>
  </si>
  <si>
    <t>j3310057</t>
  </si>
  <si>
    <t>ANR/CTG/13243</t>
  </si>
  <si>
    <t>j2310721</t>
  </si>
  <si>
    <t>ILSE005619</t>
  </si>
  <si>
    <t>HASU4053052</t>
  </si>
  <si>
    <t>j3310186</t>
  </si>
  <si>
    <t>ANR/CTG/13244</t>
  </si>
  <si>
    <t>j3310177</t>
  </si>
  <si>
    <t>ILSE005618</t>
  </si>
  <si>
    <t>j2310742</t>
  </si>
  <si>
    <t>GEN0991878</t>
  </si>
  <si>
    <t>TCNU5015668</t>
  </si>
  <si>
    <t>j2310502</t>
  </si>
  <si>
    <t>MEX093675</t>
  </si>
  <si>
    <t>J2310877</t>
  </si>
  <si>
    <t>SUDU69200A6WXS42</t>
  </si>
  <si>
    <t>MRKU8282938</t>
  </si>
  <si>
    <t>J3310491</t>
  </si>
  <si>
    <t>HOU/CTG/D06936</t>
  </si>
  <si>
    <t>J3310496</t>
  </si>
  <si>
    <t>HLCUBSC1902BYBI8</t>
  </si>
  <si>
    <t>GLDU5431172</t>
  </si>
  <si>
    <t>J3310231</t>
  </si>
  <si>
    <t>HLCUBSC1902BWUR0</t>
  </si>
  <si>
    <t>ITTU1055286</t>
  </si>
  <si>
    <t>ITTU1050216</t>
  </si>
  <si>
    <t>ABR</t>
  </si>
  <si>
    <t>IHOU1015358/IHOU1015445/IHOU1015070/IHOU1015070</t>
  </si>
  <si>
    <t>j3310501</t>
  </si>
  <si>
    <t>HLCUEUR190258240</t>
  </si>
  <si>
    <t>HLXU5406150 / HLXU5276863</t>
  </si>
  <si>
    <t>j3610037</t>
  </si>
  <si>
    <t>SUDUB9603A3J3YXK</t>
  </si>
  <si>
    <t>CRXU8684084/ITTU1053489</t>
  </si>
  <si>
    <t>j3610038</t>
  </si>
  <si>
    <t>SUDUB9603A3J4HPP</t>
  </si>
  <si>
    <t>IHOU1056486</t>
  </si>
  <si>
    <t>j3610039</t>
  </si>
  <si>
    <t>SUDUB9603A3J4411</t>
  </si>
  <si>
    <t>IHOU4050347/ITTU1052585</t>
  </si>
  <si>
    <t>j3610092</t>
  </si>
  <si>
    <t>HLCULI3190307952</t>
  </si>
  <si>
    <t>TEMU1458903</t>
  </si>
  <si>
    <t>j3310031</t>
  </si>
  <si>
    <t>HLCULIV190229224</t>
  </si>
  <si>
    <t>TCLU4142974</t>
  </si>
  <si>
    <t>j3310300</t>
  </si>
  <si>
    <t>SSZCTG1903039</t>
  </si>
  <si>
    <t>j3310462</t>
  </si>
  <si>
    <t>SMLU5547576A</t>
  </si>
  <si>
    <t>SMLU2541824/CAXU6738778/SMLU2568553</t>
  </si>
  <si>
    <t>j3310211</t>
  </si>
  <si>
    <t>ONEYSAOV05005900</t>
  </si>
  <si>
    <t>SEGU4889317</t>
  </si>
  <si>
    <t>j3310453</t>
  </si>
  <si>
    <t>SMLU5547574B</t>
  </si>
  <si>
    <t>SMLU2579347</t>
  </si>
  <si>
    <t>j3310458</t>
  </si>
  <si>
    <t>ANR/CTG/13279</t>
  </si>
  <si>
    <t>j3310265</t>
  </si>
  <si>
    <t>ANR/CTG/13264</t>
  </si>
  <si>
    <t>j3310277</t>
  </si>
  <si>
    <t>SUDUC9FRA001026X</t>
  </si>
  <si>
    <t>MRKU9277746</t>
  </si>
  <si>
    <t>j3310400</t>
  </si>
  <si>
    <t>HLCUEUR1902ASQJ9</t>
  </si>
  <si>
    <t>j3310294</t>
  </si>
  <si>
    <t>HLCUANR190234663</t>
  </si>
  <si>
    <t>GLDU5691420</t>
  </si>
  <si>
    <t>j3310306</t>
  </si>
  <si>
    <t>HLCUANR190249312</t>
  </si>
  <si>
    <t>CAXU3302841 / TGHU0894252</t>
  </si>
  <si>
    <t>j1310838</t>
  </si>
  <si>
    <t>HLCUANR190141050</t>
  </si>
  <si>
    <t>SEGU8037047</t>
  </si>
  <si>
    <t>j3310264</t>
  </si>
  <si>
    <t>ANR/CTG/13272</t>
  </si>
  <si>
    <t>j3310270</t>
  </si>
  <si>
    <t>HLCUANR190274088</t>
  </si>
  <si>
    <t>TEMU1394075</t>
  </si>
  <si>
    <t>j3310175</t>
  </si>
  <si>
    <t>ILSE005780</t>
  </si>
  <si>
    <t>DFSU2785302</t>
  </si>
  <si>
    <t>j3310176</t>
  </si>
  <si>
    <t>ILSE005781</t>
  </si>
  <si>
    <t>j3310527</t>
  </si>
  <si>
    <t>HOU/CTG/D06943</t>
  </si>
  <si>
    <t>j2310413</t>
  </si>
  <si>
    <t>HAM/CTG/01608</t>
  </si>
  <si>
    <t>j3310783</t>
  </si>
  <si>
    <t>HOU/CTG/D06937</t>
  </si>
  <si>
    <t>J3510345</t>
  </si>
  <si>
    <t>19J100585</t>
  </si>
  <si>
    <t>J3510301</t>
  </si>
  <si>
    <t>MHG-19002504</t>
  </si>
  <si>
    <t>J3510295</t>
  </si>
  <si>
    <t>1025672507</t>
  </si>
  <si>
    <t>J3510254</t>
  </si>
  <si>
    <t>1025616154</t>
  </si>
  <si>
    <t>J3510216</t>
  </si>
  <si>
    <t xml:space="preserve">3CCZ957 </t>
  </si>
  <si>
    <t>J3510256</t>
  </si>
  <si>
    <t>4949920788</t>
  </si>
  <si>
    <t xml:space="preserve">1025564630 </t>
  </si>
  <si>
    <t>J3510173</t>
  </si>
  <si>
    <t>1025436525</t>
  </si>
  <si>
    <t>J3510255</t>
  </si>
  <si>
    <t>1025576392</t>
  </si>
  <si>
    <t>J3310808</t>
  </si>
  <si>
    <t>SMLU5575015A</t>
  </si>
  <si>
    <t>SMLU3128672/SMLU3109899/SMLU3113707</t>
  </si>
  <si>
    <t>J3310454</t>
  </si>
  <si>
    <t>SMLU5547575A</t>
  </si>
  <si>
    <t>SMLU2005040/SMLU3116603/TCKU2836238</t>
  </si>
  <si>
    <t>j33t0024</t>
  </si>
  <si>
    <t xml:space="preserve">SSZCTG1903026 </t>
  </si>
  <si>
    <t>j33t0031</t>
  </si>
  <si>
    <t xml:space="preserve">SSZCTG1903032 </t>
  </si>
  <si>
    <t>j33t0007</t>
  </si>
  <si>
    <t xml:space="preserve">012019021974 </t>
  </si>
  <si>
    <t>j33t0005</t>
  </si>
  <si>
    <t>SSZCTG1902119</t>
  </si>
  <si>
    <t>j33t0027</t>
  </si>
  <si>
    <t>HLCUHAM190299890</t>
  </si>
  <si>
    <t>UACU8135313</t>
  </si>
  <si>
    <t>j33t0008</t>
  </si>
  <si>
    <t>HLCUEUR190238343</t>
  </si>
  <si>
    <t>UACU8326562</t>
  </si>
  <si>
    <t>j3310440</t>
  </si>
  <si>
    <t>ANR/CTG/13266</t>
  </si>
  <si>
    <t>j3310776</t>
  </si>
  <si>
    <t xml:space="preserve">HLCUBSC190359744 </t>
  </si>
  <si>
    <t>TLLU2446370</t>
  </si>
  <si>
    <t>j3310439</t>
  </si>
  <si>
    <t>012019022369</t>
  </si>
  <si>
    <t>j3310030</t>
  </si>
  <si>
    <t>MEDUMM897937</t>
  </si>
  <si>
    <t>MSCU4902798</t>
  </si>
  <si>
    <t>j33t0045</t>
  </si>
  <si>
    <t>SUDU69200A74TKG7</t>
  </si>
  <si>
    <t>GESU3926725</t>
  </si>
  <si>
    <t>j33t0039</t>
  </si>
  <si>
    <t>ANR/CTG/13246</t>
  </si>
  <si>
    <t>j3310446</t>
  </si>
  <si>
    <t>012019022509</t>
  </si>
  <si>
    <t>j3310441</t>
  </si>
  <si>
    <t>012019022842</t>
  </si>
  <si>
    <t>j3310784</t>
  </si>
  <si>
    <t>HOU/CTG/D06929</t>
  </si>
  <si>
    <t>j3310064</t>
  </si>
  <si>
    <t>SSZCTG1903065</t>
  </si>
  <si>
    <t>j3310711</t>
  </si>
  <si>
    <t xml:space="preserve">HOU/CTG/D06940 </t>
  </si>
  <si>
    <t>j3310526</t>
  </si>
  <si>
    <t>HLCUME3190324040</t>
  </si>
  <si>
    <t>HLBU1415161</t>
  </si>
  <si>
    <t>j2310806</t>
  </si>
  <si>
    <t>FRA0343117</t>
  </si>
  <si>
    <t>TTNU1157271</t>
  </si>
  <si>
    <t>j3310744</t>
  </si>
  <si>
    <t xml:space="preserve">MEDUBW217294   </t>
  </si>
  <si>
    <t>MEDU1195023</t>
  </si>
  <si>
    <t>j3310396</t>
  </si>
  <si>
    <t>SUDU69200A74U1UZ</t>
  </si>
  <si>
    <t>MRKU8980754</t>
  </si>
  <si>
    <t>j3610044</t>
  </si>
  <si>
    <t>HOU/BUE/D02532</t>
  </si>
  <si>
    <t>j2310810</t>
  </si>
  <si>
    <t>SSZCTG1903033</t>
  </si>
  <si>
    <t>j3610052</t>
  </si>
  <si>
    <t>ANT1217215</t>
  </si>
  <si>
    <t>EXFU1804810</t>
  </si>
  <si>
    <t>j3310562</t>
  </si>
  <si>
    <t>HLCUHAM190313150</t>
  </si>
  <si>
    <t>FBIU0098030</t>
  </si>
  <si>
    <t>j3610116</t>
  </si>
  <si>
    <t>ANT1213776</t>
  </si>
  <si>
    <t>TCLU9068099</t>
  </si>
  <si>
    <t>j3610001</t>
  </si>
  <si>
    <t>TWSC19020426</t>
  </si>
  <si>
    <t>MRKU8865180/MSKU7898730/MRKU6711592</t>
  </si>
  <si>
    <t>j3610045</t>
  </si>
  <si>
    <t>HOU/BUE/D02530</t>
  </si>
  <si>
    <t>J4510020</t>
  </si>
  <si>
    <t>1025786911</t>
  </si>
  <si>
    <t>j3610158</t>
  </si>
  <si>
    <t>HLCULI3190324533</t>
  </si>
  <si>
    <t>HLXU3388695/HLXU1325358/HLBU1100457</t>
  </si>
  <si>
    <t>j3310542</t>
  </si>
  <si>
    <t>ANR/CTG/13293</t>
  </si>
  <si>
    <t>j3310541</t>
  </si>
  <si>
    <t>ANR/CTG/13298</t>
  </si>
  <si>
    <t>J3310910</t>
  </si>
  <si>
    <t>HLCUBSC1903AVGZ0</t>
  </si>
  <si>
    <t>GLDU3407264</t>
  </si>
  <si>
    <t>J3310555</t>
  </si>
  <si>
    <t>ANR/CTG/13302</t>
  </si>
  <si>
    <t>J3310568</t>
  </si>
  <si>
    <t>012019030490</t>
  </si>
  <si>
    <t>J3310699</t>
  </si>
  <si>
    <t>HLCUANR190331959</t>
  </si>
  <si>
    <t>HLBU9143877</t>
  </si>
  <si>
    <t>J3310564</t>
  </si>
  <si>
    <t>ANR/CTG/13295</t>
  </si>
  <si>
    <t>J3310089</t>
  </si>
  <si>
    <t>7020-0954-902.014</t>
  </si>
  <si>
    <t>J3310745</t>
  </si>
  <si>
    <t>SUDU69200A74UEA0</t>
  </si>
  <si>
    <t>MRKU8868699</t>
  </si>
  <si>
    <t>j3310520</t>
  </si>
  <si>
    <t>SUDUA9BRE004306X</t>
  </si>
  <si>
    <t>MRKU7499507</t>
  </si>
  <si>
    <t>j3310573</t>
  </si>
  <si>
    <t>ONEYSAOV06579500</t>
  </si>
  <si>
    <t>NYKU4211253</t>
  </si>
  <si>
    <t>j3310780</t>
  </si>
  <si>
    <t>HLCURTM190303023</t>
  </si>
  <si>
    <t>XINU4038200</t>
  </si>
  <si>
    <t>j3310751</t>
  </si>
  <si>
    <t>SUDU69200A74U0VR</t>
  </si>
  <si>
    <t>GLDU5440390</t>
  </si>
  <si>
    <t>J3510302</t>
  </si>
  <si>
    <t>XBC9C018452</t>
  </si>
  <si>
    <t>J3510333</t>
  </si>
  <si>
    <t>1025732052</t>
  </si>
  <si>
    <t>J3510334</t>
  </si>
  <si>
    <t>1025720075</t>
  </si>
  <si>
    <t>J3510331</t>
  </si>
  <si>
    <t>1025731649</t>
  </si>
  <si>
    <t>J4510021</t>
  </si>
  <si>
    <t>1025775022</t>
  </si>
  <si>
    <t>j3310657</t>
  </si>
  <si>
    <t>012019030338</t>
  </si>
  <si>
    <t>j3310611</t>
  </si>
  <si>
    <t>HLCUHAM190343612</t>
  </si>
  <si>
    <t>UACU8510163</t>
  </si>
  <si>
    <t>J3310743 / J3360066</t>
  </si>
  <si>
    <t>HLCUBSC190357180</t>
  </si>
  <si>
    <t>TCLU9062383</t>
  </si>
  <si>
    <t>j3310552</t>
  </si>
  <si>
    <t>HLCUHAM190360745</t>
  </si>
  <si>
    <t>IPXU3911886</t>
  </si>
  <si>
    <t>j3310607</t>
  </si>
  <si>
    <t>HLCUHAM190343740</t>
  </si>
  <si>
    <t>UACU4125810</t>
  </si>
  <si>
    <t>j3310700</t>
  </si>
  <si>
    <t>HLCURTM190328867</t>
  </si>
  <si>
    <t>BSIU2194659</t>
  </si>
  <si>
    <t>j3610008</t>
  </si>
  <si>
    <t>TSHX048869</t>
  </si>
  <si>
    <t>TGHU2821609/TGHU3552567</t>
  </si>
  <si>
    <t>j3310746</t>
  </si>
  <si>
    <t>SUDUA9FRA001189X</t>
  </si>
  <si>
    <t>MRKU8333887/MRKU8327924</t>
  </si>
  <si>
    <t>j3310531</t>
  </si>
  <si>
    <t>SUDUA9FRA001320X</t>
  </si>
  <si>
    <t>SUDU7354807</t>
  </si>
  <si>
    <t>j3310907</t>
  </si>
  <si>
    <t>SUDUC9FRA001534X</t>
  </si>
  <si>
    <t>XINU1609287</t>
  </si>
  <si>
    <t>j3310517</t>
  </si>
  <si>
    <t>SUDUA9FRA001299X</t>
  </si>
  <si>
    <t>MRKU7322363</t>
  </si>
  <si>
    <t>j2310807</t>
  </si>
  <si>
    <t>ILSE005693</t>
  </si>
  <si>
    <t>J3310381</t>
  </si>
  <si>
    <t>SUDU69200A74TSVZ</t>
  </si>
  <si>
    <t>MRKU7266320</t>
  </si>
  <si>
    <t>J3310916</t>
  </si>
  <si>
    <t>HOU/CTG/D06938</t>
  </si>
  <si>
    <t>J3310519</t>
  </si>
  <si>
    <t>SUDUA9FRA001251X</t>
  </si>
  <si>
    <t>SUDU8656041</t>
  </si>
  <si>
    <t>J3310379</t>
  </si>
  <si>
    <t>SUDU69200A74TH92</t>
  </si>
  <si>
    <t>MRKU7027239</t>
  </si>
  <si>
    <t>J3310233</t>
  </si>
  <si>
    <t xml:space="preserve">SSZCTG1903056 </t>
  </si>
  <si>
    <t>J3310781</t>
  </si>
  <si>
    <t>HOU/CTG/D06933</t>
  </si>
  <si>
    <t>J3310307</t>
  </si>
  <si>
    <t>HLCUANR190229404</t>
  </si>
  <si>
    <t>UACU4139666</t>
  </si>
  <si>
    <t>TGHU2996989</t>
  </si>
  <si>
    <t>J3310239</t>
  </si>
  <si>
    <t xml:space="preserve">SSZCTG1903055 </t>
  </si>
  <si>
    <t>j3310777</t>
  </si>
  <si>
    <t>SMLU5575018A</t>
  </si>
  <si>
    <t>SMLU3138080/SMLU3109918/SMLU2578171</t>
  </si>
  <si>
    <t>j3310469</t>
  </si>
  <si>
    <t>SUDUC9046A54Y002</t>
  </si>
  <si>
    <t>TEMU4972407</t>
  </si>
  <si>
    <t>j3310485</t>
  </si>
  <si>
    <t>HLCUEUR190271478</t>
  </si>
  <si>
    <t>HLBU1201703</t>
  </si>
  <si>
    <t>j3310375</t>
  </si>
  <si>
    <t>HLCUEUR190270497</t>
  </si>
  <si>
    <t>UACU3296001</t>
  </si>
  <si>
    <t>j3310549</t>
  </si>
  <si>
    <t>HLCUANR190313052</t>
  </si>
  <si>
    <t>HLBU9142037</t>
  </si>
  <si>
    <t>j3310750</t>
  </si>
  <si>
    <t>SUDU69200A74U8PL</t>
  </si>
  <si>
    <t>MSKU9871889</t>
  </si>
  <si>
    <t>j3310915</t>
  </si>
  <si>
    <t xml:space="preserve">DSV0024378 </t>
  </si>
  <si>
    <t>j3310512</t>
  </si>
  <si>
    <t>DSV0023896</t>
  </si>
  <si>
    <t>j3310449</t>
  </si>
  <si>
    <t>012019022508</t>
  </si>
  <si>
    <t>j3310558</t>
  </si>
  <si>
    <t>ANR/CTG/13294</t>
  </si>
  <si>
    <t>j3310518</t>
  </si>
  <si>
    <t>SUDUA9FRA001276X</t>
  </si>
  <si>
    <t>SUDU5975359</t>
  </si>
  <si>
    <t>j4310042</t>
  </si>
  <si>
    <t>FRA0345138</t>
  </si>
  <si>
    <t>UNIU4027264</t>
  </si>
  <si>
    <t>j4310180</t>
  </si>
  <si>
    <t>SMLU5576510A</t>
  </si>
  <si>
    <t>SMLU2571449,SMLU3113230,SMLU3101178,</t>
  </si>
  <si>
    <t>j3310515</t>
  </si>
  <si>
    <t>MXMEX0000003316</t>
  </si>
  <si>
    <t>j4310161</t>
  </si>
  <si>
    <t>ANR/CTG/03485</t>
  </si>
  <si>
    <t>j4310179</t>
  </si>
  <si>
    <t>SMLU5576514A</t>
  </si>
  <si>
    <t>SMLU3140003/SMLU2579373/SMLU3129576</t>
  </si>
  <si>
    <t>J3310286 / J3360023</t>
  </si>
  <si>
    <t>HLCUSS5190258064</t>
  </si>
  <si>
    <t>IHOU1015105/IHOU1015281/IHOU1015110/IHOU1015569</t>
  </si>
  <si>
    <t>j3310857</t>
  </si>
  <si>
    <t>ANR/CTG/13307</t>
  </si>
  <si>
    <t>j3310898</t>
  </si>
  <si>
    <t>SMLU5575017A</t>
  </si>
  <si>
    <t>SMLU2579286/SMLU3126427/SMLU3106098</t>
  </si>
  <si>
    <t>j3310451</t>
  </si>
  <si>
    <t>SUDUA9FRA001286X</t>
  </si>
  <si>
    <t>MRKU5146028</t>
  </si>
  <si>
    <t>j4310088</t>
  </si>
  <si>
    <t>ANR/CTG/13320</t>
  </si>
  <si>
    <t>j2310491</t>
  </si>
  <si>
    <t>4948495883</t>
  </si>
  <si>
    <t>HLCUANR190174700</t>
  </si>
  <si>
    <t>RFCU8205893</t>
  </si>
  <si>
    <t>j3310561</t>
  </si>
  <si>
    <t>ANR/CTG/13297</t>
  </si>
  <si>
    <t>j3310492</t>
  </si>
  <si>
    <t>SUDUA9FRA001257X</t>
  </si>
  <si>
    <t>MSKU5713674</t>
  </si>
  <si>
    <t>J3310533 / J3360050</t>
  </si>
  <si>
    <t>HLCUBSC190366446</t>
  </si>
  <si>
    <t>TCLU9075945/TQMU1855020</t>
  </si>
  <si>
    <t>j3310241</t>
  </si>
  <si>
    <t>HAM019657</t>
  </si>
  <si>
    <t>j3310659</t>
  </si>
  <si>
    <t>ONEYSAOV06256400</t>
  </si>
  <si>
    <t>TCLU4685164</t>
  </si>
  <si>
    <t>J3310606 / J3360053</t>
  </si>
  <si>
    <t>NAM3422638</t>
  </si>
  <si>
    <t>RFCU8230303/SEGU8026084</t>
  </si>
  <si>
    <t>J4510100</t>
  </si>
  <si>
    <t>FRA0637261</t>
  </si>
  <si>
    <t>J4510101</t>
  </si>
  <si>
    <t xml:space="preserve">1025842709 </t>
  </si>
  <si>
    <t>J3310117</t>
  </si>
  <si>
    <t>LEH/CTG/03473</t>
  </si>
  <si>
    <t>J3310671</t>
  </si>
  <si>
    <t>MIL058324</t>
  </si>
  <si>
    <t>J3310027</t>
  </si>
  <si>
    <t>LAX/CTG/D03466</t>
  </si>
  <si>
    <t>j3310901</t>
  </si>
  <si>
    <t>SUDUC9046A54Y003</t>
  </si>
  <si>
    <t>TGHU3196949</t>
  </si>
  <si>
    <t>j3310752</t>
  </si>
  <si>
    <t>ONEYSAOV07168700</t>
  </si>
  <si>
    <t>TCNU7480273</t>
  </si>
  <si>
    <t>J3310292  /J3360024</t>
  </si>
  <si>
    <t>ONEYSAOV03768900</t>
  </si>
  <si>
    <t>IHOU1015086/IHOU1015580</t>
  </si>
  <si>
    <t>j3310546</t>
  </si>
  <si>
    <t>SUDUC9FRA001229X</t>
  </si>
  <si>
    <t>CON 20/2 CON 40</t>
  </si>
  <si>
    <t>MRKU5501694/MSKU9486310 / MRKU9515823</t>
  </si>
  <si>
    <t>j3310655</t>
  </si>
  <si>
    <t>MIL058347</t>
  </si>
  <si>
    <t>j3310836</t>
  </si>
  <si>
    <t>FRA0344784</t>
  </si>
  <si>
    <t>APZU3084766</t>
  </si>
  <si>
    <t>j4310062</t>
  </si>
  <si>
    <t>ANR/CTG/13339</t>
  </si>
  <si>
    <t>j3310709</t>
  </si>
  <si>
    <t>ANR/CTG/13327</t>
  </si>
  <si>
    <t>J3310753 /J3360067</t>
  </si>
  <si>
    <t>HLCUBSC1903AQUS8</t>
  </si>
  <si>
    <t>IHOU1055807/IHOU1055880/IHOU1056070</t>
  </si>
  <si>
    <t>J3310297 / J3360025</t>
  </si>
  <si>
    <t>HLCUSS5190258137</t>
  </si>
  <si>
    <t>CRXU8686092/CRXU8610707/CRXU8659944/RFCU8219217</t>
  </si>
  <si>
    <t>J3310464 / J3360033</t>
  </si>
  <si>
    <t>HLCUSS5190308579</t>
  </si>
  <si>
    <t>IHOU1015553/IHOU1015194/IHOU1015743/IHOU1015363</t>
  </si>
  <si>
    <t>J3310832 / J3360069</t>
  </si>
  <si>
    <t>HLCUBSC1903BLXN4</t>
  </si>
  <si>
    <t>TQMU1856027</t>
  </si>
  <si>
    <t>J3310897 / J3360072</t>
  </si>
  <si>
    <t>NAM3443475</t>
  </si>
  <si>
    <t>SEGU8016580</t>
  </si>
  <si>
    <t>J3310833 / J3360070</t>
  </si>
  <si>
    <t>ONEYSAOV02823700</t>
  </si>
  <si>
    <t>CXTU1146266/GESU8104290/SEGU8036117/TIFU3501890</t>
  </si>
  <si>
    <t>J3310891 / J3360071</t>
  </si>
  <si>
    <t>ONEYSAOV02822600</t>
  </si>
  <si>
    <t>IHOU1015023/IHOU1015208/IHOU1015229/IHOU1015492</t>
  </si>
  <si>
    <t>j3310921</t>
  </si>
  <si>
    <t>HLCUHAM190362422</t>
  </si>
  <si>
    <t>UACU8599823/HLBU1056729</t>
  </si>
  <si>
    <t>j3310668</t>
  </si>
  <si>
    <t>SUDU69200A74VW08</t>
  </si>
  <si>
    <t>MSKU3747021</t>
  </si>
  <si>
    <t>j3310774</t>
  </si>
  <si>
    <t>SUDU69200A74VGED</t>
  </si>
  <si>
    <t>MRKU9330877</t>
  </si>
  <si>
    <t>j4310243</t>
  </si>
  <si>
    <t xml:space="preserve">SUDUA9FRA001611X </t>
  </si>
  <si>
    <t>MRSU3471211</t>
  </si>
  <si>
    <t>j3310782</t>
  </si>
  <si>
    <t>SUDUA9FRA001441X</t>
  </si>
  <si>
    <t>GLDU5563008</t>
  </si>
  <si>
    <t>j4310139</t>
  </si>
  <si>
    <t>HLCUHAM190385266</t>
  </si>
  <si>
    <t>HLXU5294980/TCLU4492205/UACU8153683/HLBU1522160</t>
  </si>
  <si>
    <t>j3310540</t>
  </si>
  <si>
    <t>HLCUANR190312948</t>
  </si>
  <si>
    <t>TGHU3568692</t>
  </si>
  <si>
    <t>j3310905</t>
  </si>
  <si>
    <t>HLCURTM190329212</t>
  </si>
  <si>
    <t>UACU8464788</t>
  </si>
  <si>
    <t>4948952407</t>
  </si>
  <si>
    <t>J3310608 / J3360054</t>
  </si>
  <si>
    <t>NAM3422511</t>
  </si>
  <si>
    <t>EXFU0595634/FPTU5008929</t>
  </si>
  <si>
    <t>J3310609 / J3360055</t>
  </si>
  <si>
    <t>NAM3407735</t>
  </si>
  <si>
    <t>CRXU8684373/TIFU1758175</t>
  </si>
  <si>
    <t>j3310490</t>
  </si>
  <si>
    <t>HLCUBSC1902BTDU4</t>
  </si>
  <si>
    <t>TEMU1608109/FCIU3967099</t>
  </si>
  <si>
    <t>J3310906 / J3360073</t>
  </si>
  <si>
    <t>NAM3442780</t>
  </si>
  <si>
    <t>CRXU8608799</t>
  </si>
  <si>
    <t>j3310660</t>
  </si>
  <si>
    <t>SUDU69200A74UE6N</t>
  </si>
  <si>
    <t>MRKU8326358</t>
  </si>
  <si>
    <t>j4310104</t>
  </si>
  <si>
    <t>ANR/CTG/13383</t>
  </si>
  <si>
    <t>j3310386</t>
  </si>
  <si>
    <t>ILSE005856</t>
  </si>
  <si>
    <t>DRYU4002489</t>
  </si>
  <si>
    <t>j3310389</t>
  </si>
  <si>
    <t>ILSE005857</t>
  </si>
  <si>
    <t>J4310121 / J4360019</t>
  </si>
  <si>
    <t>ONEYSAOV06529700</t>
  </si>
  <si>
    <t>CRXU8685265/CXTU1086681/RFCU8228672/TIFU3501885</t>
  </si>
  <si>
    <t>j3310393</t>
  </si>
  <si>
    <t>SSZCTG1903092</t>
  </si>
  <si>
    <t>J3310656</t>
  </si>
  <si>
    <t>MIL058348</t>
  </si>
  <si>
    <t>NAM3370792  / 00171178</t>
  </si>
  <si>
    <t>j3310909</t>
  </si>
  <si>
    <t>HLCUBSC1903ASEX6</t>
  </si>
  <si>
    <t>HLXU3309823/TGHU0653316</t>
  </si>
  <si>
    <t>j3610009</t>
  </si>
  <si>
    <t>TTOR001234</t>
  </si>
  <si>
    <t>BMOU2935036</t>
  </si>
  <si>
    <t>J4510149</t>
  </si>
  <si>
    <t>1025913268</t>
  </si>
  <si>
    <t>J4510150</t>
  </si>
  <si>
    <t>1025913348</t>
  </si>
  <si>
    <t>J4510017</t>
  </si>
  <si>
    <t>1025850618</t>
  </si>
  <si>
    <t>J4510119</t>
  </si>
  <si>
    <t xml:space="preserve">1025924290 </t>
  </si>
  <si>
    <t>j3310712</t>
  </si>
  <si>
    <t>HLCURTM190356224</t>
  </si>
  <si>
    <t>HLXU3722652</t>
  </si>
  <si>
    <t>j3310894</t>
  </si>
  <si>
    <t>SUDU69200A74VTJU</t>
  </si>
  <si>
    <t>HASU1461066 / MRSU0140924 / PONU0633621</t>
  </si>
  <si>
    <t>j4310166</t>
  </si>
  <si>
    <t>ANR903142780</t>
  </si>
  <si>
    <t>HASU1211529</t>
  </si>
  <si>
    <t>J4510237</t>
  </si>
  <si>
    <t>1026079416</t>
  </si>
  <si>
    <t>J4510282</t>
  </si>
  <si>
    <t>4950363248</t>
  </si>
  <si>
    <t>MHG-19003180</t>
  </si>
  <si>
    <t>J3310702</t>
  </si>
  <si>
    <t>ONEYSAOV07407300</t>
  </si>
  <si>
    <t>NYKU5175016</t>
  </si>
  <si>
    <t>J3310704</t>
  </si>
  <si>
    <t>ONEYSAOV07407301</t>
  </si>
  <si>
    <t>J3310706</t>
  </si>
  <si>
    <t>ONEYSAOV07407302</t>
  </si>
  <si>
    <t>J4310061</t>
  </si>
  <si>
    <t>SUDUC9999A56X014</t>
  </si>
  <si>
    <t>MRKU7246303</t>
  </si>
  <si>
    <t>J4310347</t>
  </si>
  <si>
    <t>PAN19043632</t>
  </si>
  <si>
    <t>J4310060</t>
  </si>
  <si>
    <t>SUDUC9999A56X013</t>
  </si>
  <si>
    <t>MRKU9488944</t>
  </si>
  <si>
    <t>J3310385</t>
  </si>
  <si>
    <t>SUDU19001A55A023</t>
  </si>
  <si>
    <t>MSKU0127412</t>
  </si>
  <si>
    <t>J4610007</t>
  </si>
  <si>
    <t>SUDUB9603A3L7ZC2</t>
  </si>
  <si>
    <t>CXDU2257832</t>
  </si>
  <si>
    <t>J4610031</t>
  </si>
  <si>
    <t>SUDUC9999A54Y004</t>
  </si>
  <si>
    <t>MWCU5234223</t>
  </si>
  <si>
    <t>J4310107</t>
  </si>
  <si>
    <t>ONEYSAOV06531700</t>
  </si>
  <si>
    <t>CON  40/20</t>
  </si>
  <si>
    <t>MOAU0611923/MOFU0781557/NYKU8183118</t>
  </si>
  <si>
    <t>J33T0041</t>
  </si>
  <si>
    <t>SUDUA9FRA001241X</t>
  </si>
  <si>
    <t>BMOU2625540 / TEMU3497724</t>
  </si>
  <si>
    <t>J4310391</t>
  </si>
  <si>
    <t>SUDUC9046A56Y002</t>
  </si>
  <si>
    <t>PONU0912919</t>
  </si>
  <si>
    <t>J4310373</t>
  </si>
  <si>
    <t>HLCUEUR1903AXIH2</t>
  </si>
  <si>
    <t>TCLU4489325</t>
  </si>
  <si>
    <t>J4310213</t>
  </si>
  <si>
    <t>SUDU69200A78IK1S</t>
  </si>
  <si>
    <t>TCLU5058805</t>
  </si>
  <si>
    <t>J4310141</t>
  </si>
  <si>
    <t>HLCURTM190352424</t>
  </si>
  <si>
    <t>CLHU3212622</t>
  </si>
  <si>
    <t>J4310407</t>
  </si>
  <si>
    <t>ANR903142784</t>
  </si>
  <si>
    <t>MRKU9517087</t>
  </si>
  <si>
    <t>J4310120 / J4360018</t>
  </si>
  <si>
    <t>ONEYSAOV06530600</t>
  </si>
  <si>
    <t>IHOU3056799/IHOU3057671/IHOU4050748/ITTU3050581</t>
  </si>
  <si>
    <t>J4310251 / J4360034</t>
  </si>
  <si>
    <t>HLCUBSC1903BYAF2</t>
  </si>
  <si>
    <t>ITTU3050370</t>
  </si>
  <si>
    <t>J33T0052</t>
  </si>
  <si>
    <t>ANR/CTG/13319</t>
  </si>
  <si>
    <t>J43T0002</t>
  </si>
  <si>
    <t>FRA0344705</t>
  </si>
  <si>
    <t>ECMU2109744  / CMAU0043481</t>
  </si>
  <si>
    <t>J4310155</t>
  </si>
  <si>
    <t>HLCURTM190360162</t>
  </si>
  <si>
    <t>TCLU4140117</t>
  </si>
  <si>
    <t>J4310353 / J4360040</t>
  </si>
  <si>
    <t>HLCUSS5190409430</t>
  </si>
  <si>
    <t>CRXU8604140/TQMU1845803/CXTU1040124/EXFU5522899</t>
  </si>
  <si>
    <t>J4310153</t>
  </si>
  <si>
    <t>HLCUEUR1903BBCE4</t>
  </si>
  <si>
    <t>SEGU1367263</t>
  </si>
  <si>
    <t>J4310480 / J4360042</t>
  </si>
  <si>
    <t>HLCUBSC1903CDHD8</t>
  </si>
  <si>
    <t>SEGU8089312</t>
  </si>
  <si>
    <t>J4310103</t>
  </si>
  <si>
    <t>SUDUC9ANR006881X</t>
  </si>
  <si>
    <t>HASU1474546</t>
  </si>
  <si>
    <t>J3310760 / J3360068</t>
  </si>
  <si>
    <t>HLCUBSC1903AYSS1</t>
  </si>
  <si>
    <t>ITTU1050767</t>
  </si>
  <si>
    <t>IC310505</t>
  </si>
  <si>
    <t>SUDUA9FRA001685X</t>
  </si>
  <si>
    <t>PONU1924112</t>
  </si>
  <si>
    <t>J4310333</t>
  </si>
  <si>
    <t>SUDUC9046A56Y007</t>
  </si>
  <si>
    <t>MRKU8895626/MSKU5749276</t>
  </si>
  <si>
    <t>J4310221</t>
  </si>
  <si>
    <t xml:space="preserve">HLCUME3190341341
</t>
  </si>
  <si>
    <t>TCLU8062434</t>
  </si>
  <si>
    <t>J4310454</t>
  </si>
  <si>
    <t>HLCUBSC1903CELJ3</t>
  </si>
  <si>
    <t>GESU1206691</t>
  </si>
  <si>
    <t>J4310222</t>
  </si>
  <si>
    <t>SSZCTG1904021</t>
  </si>
  <si>
    <t>J4310102</t>
  </si>
  <si>
    <t>LEXBRE 190308122603</t>
  </si>
  <si>
    <t>J4310174 / J4360024</t>
  </si>
  <si>
    <t>NAM3424512</t>
  </si>
  <si>
    <t>TCLU9085136/TLLU9013200/TQMU1845676</t>
  </si>
  <si>
    <t>MAY</t>
  </si>
  <si>
    <t>j4310101</t>
  </si>
  <si>
    <t>012019030895</t>
  </si>
  <si>
    <t>j4310457</t>
  </si>
  <si>
    <t>HOU/CTG/D06978</t>
  </si>
  <si>
    <t>j4310588</t>
  </si>
  <si>
    <t>HOU/CTG/D06945</t>
  </si>
  <si>
    <t>j4310388</t>
  </si>
  <si>
    <t>SUDUC9FRA001882X</t>
  </si>
  <si>
    <t>MSKU0367120</t>
  </si>
  <si>
    <t>j4310540</t>
  </si>
  <si>
    <t>HLCUANR190408599</t>
  </si>
  <si>
    <t>HLXU3740173</t>
  </si>
  <si>
    <t>j4310413</t>
  </si>
  <si>
    <t>HLCUEUR1903AYKN2</t>
  </si>
  <si>
    <t>TRLU4821001</t>
  </si>
  <si>
    <t>J4310437 / J4360041</t>
  </si>
  <si>
    <t>HLCUBSC1903BVXL2</t>
  </si>
  <si>
    <t>RFCU8208779</t>
  </si>
  <si>
    <t>J4310176 / J4360025</t>
  </si>
  <si>
    <t>NAM3424439</t>
  </si>
  <si>
    <t>ITTU1059297/TCLU9072400/TCLU9081911</t>
  </si>
  <si>
    <t>j4310105</t>
  </si>
  <si>
    <t>HLCUEUR1903AYGL9</t>
  </si>
  <si>
    <t>UACU8596974</t>
  </si>
  <si>
    <t>J4510227</t>
  </si>
  <si>
    <t>ATL111911</t>
  </si>
  <si>
    <t>j4310707</t>
  </si>
  <si>
    <t>SUDUC9FRA002064X</t>
  </si>
  <si>
    <t>MSKU1781114</t>
  </si>
  <si>
    <t>J3310778</t>
  </si>
  <si>
    <t>SSZCTG1904022</t>
  </si>
  <si>
    <t>j4310537</t>
  </si>
  <si>
    <t>HLCURTM190368175</t>
  </si>
  <si>
    <t>FSCU4547675</t>
  </si>
  <si>
    <t>J4310714</t>
  </si>
  <si>
    <t>ANR/CTG/13396</t>
  </si>
  <si>
    <t>J4310160</t>
  </si>
  <si>
    <t>ILSE007107</t>
  </si>
  <si>
    <t>j3610144</t>
  </si>
  <si>
    <t>CNCP150341</t>
  </si>
  <si>
    <t>TEMU0996838</t>
  </si>
  <si>
    <t>j4310499</t>
  </si>
  <si>
    <t>SLN180779</t>
  </si>
  <si>
    <t>HASU1551370</t>
  </si>
  <si>
    <t>j4310456</t>
  </si>
  <si>
    <t>HOU/CTG/D06944</t>
  </si>
  <si>
    <t>j4310450</t>
  </si>
  <si>
    <t>HOU/CTG/D06946</t>
  </si>
  <si>
    <t>j4610008</t>
  </si>
  <si>
    <t>CNCP150342</t>
  </si>
  <si>
    <t>TEMU3527011</t>
  </si>
  <si>
    <t>j4310346</t>
  </si>
  <si>
    <t>HLCURTM190357790</t>
  </si>
  <si>
    <t>BSIU4025745</t>
  </si>
  <si>
    <t>j3610163</t>
  </si>
  <si>
    <t>CNCP150346</t>
  </si>
  <si>
    <t>CMAU1176386/TEMU3167764</t>
  </si>
  <si>
    <t>j4610068</t>
  </si>
  <si>
    <t>SUDUB9603A3NYFCX</t>
  </si>
  <si>
    <t>MRSU0023240</t>
  </si>
  <si>
    <t>j3610149</t>
  </si>
  <si>
    <t>HLCUBSC1903BCGD3</t>
  </si>
  <si>
    <t>UACU3623763</t>
  </si>
  <si>
    <t>j4610141</t>
  </si>
  <si>
    <t>HLCUBSC1904BAFC7</t>
  </si>
  <si>
    <t>CRXU8688773/GESU8087275</t>
  </si>
  <si>
    <t>j4610177</t>
  </si>
  <si>
    <t>SUDUR9FRA001844X</t>
  </si>
  <si>
    <t>MRKU8987189</t>
  </si>
  <si>
    <t>j4610121</t>
  </si>
  <si>
    <t>HLCULI3190414049</t>
  </si>
  <si>
    <t>UACU3480976/GATU1304603</t>
  </si>
  <si>
    <t>j4310594</t>
  </si>
  <si>
    <t>012019040029</t>
  </si>
  <si>
    <t>j4610032</t>
  </si>
  <si>
    <t>TWSC19030661</t>
  </si>
  <si>
    <t>BMOU2467470</t>
  </si>
  <si>
    <t>j4610034</t>
  </si>
  <si>
    <t>SUDUA9FRA001977X</t>
  </si>
  <si>
    <t>GESU3695225</t>
  </si>
  <si>
    <t>j4310764</t>
  </si>
  <si>
    <t>HLCUBSC1904ARUX4</t>
  </si>
  <si>
    <t>CLHU4657891</t>
  </si>
  <si>
    <t>j4610059</t>
  </si>
  <si>
    <t>SUDUB9603A3NYHT1</t>
  </si>
  <si>
    <t>MRSU3996540</t>
  </si>
  <si>
    <t>J4310844</t>
  </si>
  <si>
    <t>SUDU69200A78LASC</t>
  </si>
  <si>
    <t>MRKU7744013</t>
  </si>
  <si>
    <t>J4310804</t>
  </si>
  <si>
    <t>SUDUC9999A5AA007</t>
  </si>
  <si>
    <t>MIEU3048300/MSKU1885000</t>
  </si>
  <si>
    <t>J4310152</t>
  </si>
  <si>
    <t>HLCURTM190375173</t>
  </si>
  <si>
    <t>CPSU1812758</t>
  </si>
  <si>
    <t>j4310690</t>
  </si>
  <si>
    <t>HLCUHAM190464912</t>
  </si>
  <si>
    <t>CRXU5267507</t>
  </si>
  <si>
    <t>j3310837</t>
  </si>
  <si>
    <t>ANR/CTG/13346</t>
  </si>
  <si>
    <t>j5310026</t>
  </si>
  <si>
    <t>SUDUC9FRA002162X</t>
  </si>
  <si>
    <t>MRKU4601549</t>
  </si>
  <si>
    <t>j4310318</t>
  </si>
  <si>
    <t>HLCUANR190373843</t>
  </si>
  <si>
    <t>HLBU9012012</t>
  </si>
  <si>
    <t>j4310547</t>
  </si>
  <si>
    <t>ANR/CTG/13352</t>
  </si>
  <si>
    <t>J4510310</t>
  </si>
  <si>
    <t>1026192281</t>
  </si>
  <si>
    <t>J4510311</t>
  </si>
  <si>
    <t>1026192193</t>
  </si>
  <si>
    <t>J4510303</t>
  </si>
  <si>
    <t>1026026113</t>
  </si>
  <si>
    <t>J4510313</t>
  </si>
  <si>
    <t>19J100803</t>
  </si>
  <si>
    <t>J4510301</t>
  </si>
  <si>
    <t>ATL111914</t>
  </si>
  <si>
    <t>J4510203</t>
  </si>
  <si>
    <t>1026026119</t>
  </si>
  <si>
    <t>J4510312</t>
  </si>
  <si>
    <t>FMO0039767</t>
  </si>
  <si>
    <t>J4510400</t>
  </si>
  <si>
    <t>XBC9D027219</t>
  </si>
  <si>
    <t>J4510118</t>
  </si>
  <si>
    <t>1025923638</t>
  </si>
  <si>
    <t>j4310839</t>
  </si>
  <si>
    <t>ONEYSAOV10646900</t>
  </si>
  <si>
    <t>GLDU9375740</t>
  </si>
  <si>
    <t>j4310609</t>
  </si>
  <si>
    <t>ANR/CTG/13379</t>
  </si>
  <si>
    <t>j5310030</t>
  </si>
  <si>
    <t xml:space="preserve">SUDUC9FRA002123X </t>
  </si>
  <si>
    <t>MRKU4634500</t>
  </si>
  <si>
    <t>4949868828</t>
  </si>
  <si>
    <t>J4310595</t>
  </si>
  <si>
    <t>012019040033</t>
  </si>
  <si>
    <t>J4310593</t>
  </si>
  <si>
    <t>012019040203</t>
  </si>
  <si>
    <t>j4310972</t>
  </si>
  <si>
    <t>HOU/CTG/D06966</t>
  </si>
  <si>
    <t>j4310694</t>
  </si>
  <si>
    <t>ANR/CTG/13400</t>
  </si>
  <si>
    <t>j4310977</t>
  </si>
  <si>
    <t>SSZCTG1904084</t>
  </si>
  <si>
    <t>j4310713</t>
  </si>
  <si>
    <t>SUDUC9ANR007264X</t>
  </si>
  <si>
    <t>TCKU1823154 / TCKU3487017</t>
  </si>
  <si>
    <t>j4310611</t>
  </si>
  <si>
    <t>ANR/CTG/13363</t>
  </si>
  <si>
    <t>J4310574</t>
  </si>
  <si>
    <t>ANR/CTG/13382</t>
  </si>
  <si>
    <t>J4310853</t>
  </si>
  <si>
    <t>HOU/CTG/D06964</t>
  </si>
  <si>
    <t>J4310556</t>
  </si>
  <si>
    <t>ANR/CTG/13380</t>
  </si>
  <si>
    <t>J4310712</t>
  </si>
  <si>
    <t>SUDU29001AGAEC40</t>
  </si>
  <si>
    <t>HASU1271908</t>
  </si>
  <si>
    <t>J4310511</t>
  </si>
  <si>
    <t>SUDUC9FRA001878X</t>
  </si>
  <si>
    <t>MRKU8695839</t>
  </si>
  <si>
    <t>J4310615</t>
  </si>
  <si>
    <t>SUDUC9999A5AA006</t>
  </si>
  <si>
    <t>TRLU8818860</t>
  </si>
  <si>
    <t>j4310209</t>
  </si>
  <si>
    <t>HLCUEUR1903AYFH9</t>
  </si>
  <si>
    <t>HLXU1303488</t>
  </si>
  <si>
    <t>j3310835</t>
  </si>
  <si>
    <t>MRS/CTG/03505</t>
  </si>
  <si>
    <t>j4310543</t>
  </si>
  <si>
    <t>ANR/CTG/13341</t>
  </si>
  <si>
    <t>j4310680</t>
  </si>
  <si>
    <t>ANR/CTG/13385</t>
  </si>
  <si>
    <t>j4310542</t>
  </si>
  <si>
    <t>ANR/CTG/13381</t>
  </si>
  <si>
    <t>j4310548</t>
  </si>
  <si>
    <t>ANR/CTG/13372</t>
  </si>
  <si>
    <t>j4310825</t>
  </si>
  <si>
    <t>HOU/CTG/D06954</t>
  </si>
  <si>
    <t>j4310359</t>
  </si>
  <si>
    <t>HLCUANR190351571</t>
  </si>
  <si>
    <t>TCKU3093409</t>
  </si>
  <si>
    <t>FBIU0473824</t>
  </si>
  <si>
    <t>j4310510</t>
  </si>
  <si>
    <t>012019032865</t>
  </si>
  <si>
    <t>j4310508</t>
  </si>
  <si>
    <t>012019032411</t>
  </si>
  <si>
    <t>j4310403</t>
  </si>
  <si>
    <t>HLCUANR190326080</t>
  </si>
  <si>
    <t>GESU3831358</t>
  </si>
  <si>
    <t>j4310513</t>
  </si>
  <si>
    <t>012019032578</t>
  </si>
  <si>
    <t>j4310150</t>
  </si>
  <si>
    <t>MIL059438</t>
  </si>
  <si>
    <t>j4310137</t>
  </si>
  <si>
    <t>DSV0026293</t>
  </si>
  <si>
    <t>j4310586</t>
  </si>
  <si>
    <t xml:space="preserve">SUDUC9FRA001852X </t>
  </si>
  <si>
    <t>MRKU2226243</t>
  </si>
  <si>
    <t>j4310920</t>
  </si>
  <si>
    <t>NAM3456703</t>
  </si>
  <si>
    <t>GESU1422005</t>
  </si>
  <si>
    <t>j4310550</t>
  </si>
  <si>
    <t>SUDUC9FRA002011X</t>
  </si>
  <si>
    <t>GESU3615446 / MSKU7574496</t>
  </si>
  <si>
    <t>j4310162</t>
  </si>
  <si>
    <t>MUC048210</t>
  </si>
  <si>
    <t>j4310698</t>
  </si>
  <si>
    <t xml:space="preserve">HLCUBSC1903CCLU9 </t>
  </si>
  <si>
    <t>FSCU7866104</t>
  </si>
  <si>
    <t>j4310686</t>
  </si>
  <si>
    <t>ANR/CTG/13412</t>
  </si>
  <si>
    <t>j4310541</t>
  </si>
  <si>
    <t>HLCUANR190400385</t>
  </si>
  <si>
    <t>XINU1370994</t>
  </si>
  <si>
    <t>j2310610</t>
  </si>
  <si>
    <t>HLCUANR190208526</t>
  </si>
  <si>
    <t>GESU8106035 / TIFU3501993</t>
  </si>
  <si>
    <t>J4310813</t>
  </si>
  <si>
    <t>DSV0028467</t>
  </si>
  <si>
    <t>J4610085</t>
  </si>
  <si>
    <t>GXDRN19033163</t>
  </si>
  <si>
    <t>J4610019</t>
  </si>
  <si>
    <t>SUDUB9603A3M5K97</t>
  </si>
  <si>
    <t>EXFU4403961/GESU8088815</t>
  </si>
  <si>
    <t>j5310137</t>
  </si>
  <si>
    <t>ANR/CTG/13467</t>
  </si>
  <si>
    <t>j5310086</t>
  </si>
  <si>
    <t>7310-0954-904.016</t>
  </si>
  <si>
    <t>j4310918</t>
  </si>
  <si>
    <t>SMLU5607502A</t>
  </si>
  <si>
    <t>SMLU3119639</t>
  </si>
  <si>
    <t>J4510394</t>
  </si>
  <si>
    <t>1026277035</t>
  </si>
  <si>
    <t>J4510393</t>
  </si>
  <si>
    <t>1026264901</t>
  </si>
  <si>
    <t>J4510392</t>
  </si>
  <si>
    <t>1026277257</t>
  </si>
  <si>
    <t>J4510390</t>
  </si>
  <si>
    <t>1026277359</t>
  </si>
  <si>
    <t>J4510396</t>
  </si>
  <si>
    <t>1026277314</t>
  </si>
  <si>
    <t>J5510046</t>
  </si>
  <si>
    <t>1026276748</t>
  </si>
  <si>
    <t>j4610137</t>
  </si>
  <si>
    <t>ANT1225527</t>
  </si>
  <si>
    <t>CXTU1126655</t>
  </si>
  <si>
    <t>RFCU8211427</t>
  </si>
  <si>
    <t>j4610140</t>
  </si>
  <si>
    <t>HLCUBSC190463797</t>
  </si>
  <si>
    <t>RFCU8209970/RFCU 8216497</t>
  </si>
  <si>
    <t>J4310850</t>
  </si>
  <si>
    <t>SSZCTG1904114</t>
  </si>
  <si>
    <t>J4310799</t>
  </si>
  <si>
    <t>SUDU69200A78MDGL</t>
  </si>
  <si>
    <t>HASU1098069</t>
  </si>
  <si>
    <t>j4310803</t>
  </si>
  <si>
    <t>SUDU69200A78M751</t>
  </si>
  <si>
    <t>MRKU9186712</t>
  </si>
  <si>
    <t>j5310038</t>
  </si>
  <si>
    <t>HLCUBSC1904BGSX3</t>
  </si>
  <si>
    <t>TEMU1665264</t>
  </si>
  <si>
    <t>j4310684</t>
  </si>
  <si>
    <t>HLCUANR190425400</t>
  </si>
  <si>
    <t>TGHU1759262</t>
  </si>
  <si>
    <t>j4310687</t>
  </si>
  <si>
    <t>SUDUC9FRA002072X</t>
  </si>
  <si>
    <t>MSKU7558746</t>
  </si>
  <si>
    <t>j4310685</t>
  </si>
  <si>
    <t>ANR/CTG/13386</t>
  </si>
  <si>
    <t>j4310969</t>
  </si>
  <si>
    <t>HOU/CTG/D06974</t>
  </si>
  <si>
    <t>j4310334</t>
  </si>
  <si>
    <t>HLCULIV190365015</t>
  </si>
  <si>
    <t>UACU8559815</t>
  </si>
  <si>
    <t>j4310974</t>
  </si>
  <si>
    <t>SUDUC9FRA002131X</t>
  </si>
  <si>
    <t>MRKU9295781</t>
  </si>
  <si>
    <t>j4310968</t>
  </si>
  <si>
    <t>SUDUC9999A5AC001</t>
  </si>
  <si>
    <t>SUDU8913710</t>
  </si>
  <si>
    <t>j5310063</t>
  </si>
  <si>
    <t>DSV0029665</t>
  </si>
  <si>
    <t>j5310139</t>
  </si>
  <si>
    <t>SUDUC9FRA002297X</t>
  </si>
  <si>
    <t>MRKU8795458</t>
  </si>
  <si>
    <t>j4310695</t>
  </si>
  <si>
    <t>SUDU69200A78MSW1</t>
  </si>
  <si>
    <t>TRHU1851149 / MRKU8965889</t>
  </si>
  <si>
    <t>j5310033</t>
  </si>
  <si>
    <t>HLCUANR190420282</t>
  </si>
  <si>
    <t>HLXU3732440</t>
  </si>
  <si>
    <t>J5510146</t>
  </si>
  <si>
    <t>FRA0644520</t>
  </si>
  <si>
    <t>J5510102</t>
  </si>
  <si>
    <t>1026450930</t>
  </si>
  <si>
    <t>J4510404</t>
  </si>
  <si>
    <t>1026264748</t>
  </si>
  <si>
    <t>J5510047</t>
  </si>
  <si>
    <t>1026387220</t>
  </si>
  <si>
    <t>J5510070</t>
  </si>
  <si>
    <t>MHG19003698</t>
  </si>
  <si>
    <t>J5510071</t>
  </si>
  <si>
    <t>1026427114</t>
  </si>
  <si>
    <t>J5310408 / J5360028</t>
  </si>
  <si>
    <t>HLCUBSC190506298</t>
  </si>
  <si>
    <t>IHOU3053824/SLZU2524943/TLLU9012420</t>
  </si>
  <si>
    <t>J5310158 / J5360015</t>
  </si>
  <si>
    <t>HLCUANR190410984</t>
  </si>
  <si>
    <t>IHOU3058955/ITTU1058834</t>
  </si>
  <si>
    <t>ITTU1059260/RFCU8215150/RLTU2007203/SEGU8041896</t>
  </si>
  <si>
    <t>J5310036 / J5360007</t>
  </si>
  <si>
    <t>HLCUANR190410360</t>
  </si>
  <si>
    <t>CRXU8604978/IHOU1058067/TQMU1845568/TRLU0257249</t>
  </si>
  <si>
    <t>EXFU4403690/IHOU4051050</t>
  </si>
  <si>
    <t>J5310343 / J5360024</t>
  </si>
  <si>
    <t>HLCUANR190432620</t>
  </si>
  <si>
    <t>EXFU5500755/EXFU5508632/IHOU3053697</t>
  </si>
  <si>
    <t>j43t0011</t>
  </si>
  <si>
    <t>HLCUBSC1903BTJE0</t>
  </si>
  <si>
    <t>HLXU5397058</t>
  </si>
  <si>
    <t>J4310865 / J4360068</t>
  </si>
  <si>
    <t>HLCUSS5190409452</t>
  </si>
  <si>
    <t>SCZU8749276/RFCU8209820/CRXU8674105/CRXU8674110</t>
  </si>
  <si>
    <t>J5310354 / J5360025</t>
  </si>
  <si>
    <t>HLCUANR190446427</t>
  </si>
  <si>
    <t>IHOU1056790/IHOU4050590/ITTU1055687/TQMU1856048</t>
  </si>
  <si>
    <t>j5310001</t>
  </si>
  <si>
    <t>MXMEX0000003503</t>
  </si>
  <si>
    <t>j4310921</t>
  </si>
  <si>
    <t>HLCURTM190405430</t>
  </si>
  <si>
    <t>TRLU4801962</t>
  </si>
  <si>
    <t>j4310846</t>
  </si>
  <si>
    <t>SUDU69200A7F7HSS</t>
  </si>
  <si>
    <t>MSKU6806730</t>
  </si>
  <si>
    <t>j5310031</t>
  </si>
  <si>
    <t>HLCURTM190433349</t>
  </si>
  <si>
    <t>UACU8460036</t>
  </si>
  <si>
    <t>j4310800</t>
  </si>
  <si>
    <t>SUDU69200A7F7KGJ</t>
  </si>
  <si>
    <t>MSKU6302317</t>
  </si>
  <si>
    <t>j5310002</t>
  </si>
  <si>
    <t>SSZCTG1904124</t>
  </si>
  <si>
    <t>j4610138</t>
  </si>
  <si>
    <t>ANR/BUN/04209</t>
  </si>
  <si>
    <t>j5310183</t>
  </si>
  <si>
    <t>HOU/CTG/D06994</t>
  </si>
  <si>
    <t>j43t0001</t>
  </si>
  <si>
    <t>SUDUA9FRA001609X</t>
  </si>
  <si>
    <t>AMFU3130640</t>
  </si>
  <si>
    <t>j5310034</t>
  </si>
  <si>
    <t>SUDU69200A7F75N5</t>
  </si>
  <si>
    <t>MRSU0303092 / PONU2095715 / TCLU1932276 / TCLU2417901</t>
  </si>
  <si>
    <t>j4310798</t>
  </si>
  <si>
    <t>SUDU69200A7F7C78</t>
  </si>
  <si>
    <t>TGHU1111393</t>
  </si>
  <si>
    <t>j5310066</t>
  </si>
  <si>
    <t>HLCUHAM190483448</t>
  </si>
  <si>
    <t>UACU8166973</t>
  </si>
  <si>
    <t>j5310078</t>
  </si>
  <si>
    <t>HLCUEUR1904AZKD3</t>
  </si>
  <si>
    <t>TEMU2212513</t>
  </si>
  <si>
    <t>j4310801</t>
  </si>
  <si>
    <t>ANR903185882</t>
  </si>
  <si>
    <t>MSKU2851983/SUDU7659473</t>
  </si>
  <si>
    <t>j4310913</t>
  </si>
  <si>
    <t>HLCUANR190369993</t>
  </si>
  <si>
    <t>HLXU5059826</t>
  </si>
  <si>
    <t>J5510175</t>
  </si>
  <si>
    <t>1026496742</t>
  </si>
  <si>
    <t>J5510277</t>
  </si>
  <si>
    <t>1026632840</t>
  </si>
  <si>
    <t>J5510257</t>
  </si>
  <si>
    <t>1026640459</t>
  </si>
  <si>
    <t>j5610012</t>
  </si>
  <si>
    <t>CLLBUN1905002</t>
  </si>
  <si>
    <t>J4310898</t>
  </si>
  <si>
    <t>SMLU5611235A</t>
  </si>
  <si>
    <t>TTNU1496819/SMLU3111509/SMLU3106375</t>
  </si>
  <si>
    <t>J5310238</t>
  </si>
  <si>
    <t>HLCUANR190456997</t>
  </si>
  <si>
    <t>CRXU5267913</t>
  </si>
  <si>
    <t>J5510224</t>
  </si>
  <si>
    <t>1026527895</t>
  </si>
  <si>
    <t>J5510118</t>
  </si>
  <si>
    <t>1026534427</t>
  </si>
  <si>
    <t>J5510267</t>
  </si>
  <si>
    <t xml:space="preserve">1026535803 </t>
  </si>
  <si>
    <t>J5510168</t>
  </si>
  <si>
    <t>1026556561</t>
  </si>
  <si>
    <t>J5510229</t>
  </si>
  <si>
    <t>1375519226</t>
  </si>
  <si>
    <t>J4310843</t>
  </si>
  <si>
    <t>ONEYSAOV10646901</t>
  </si>
  <si>
    <t>MOFU0764499</t>
  </si>
  <si>
    <t>J5310283</t>
  </si>
  <si>
    <t>ANR/CTG/13480</t>
  </si>
  <si>
    <t>J5310305</t>
  </si>
  <si>
    <t>ANR/CTG/13475</t>
  </si>
  <si>
    <t>J5310133</t>
  </si>
  <si>
    <t>HLCUANR190452824</t>
  </si>
  <si>
    <t>FSCU7793250</t>
  </si>
  <si>
    <t>J5310276</t>
  </si>
  <si>
    <t>ANR/CTG/13491</t>
  </si>
  <si>
    <t>J5310135</t>
  </si>
  <si>
    <t>HLCUANR190452857</t>
  </si>
  <si>
    <t>HLBU1401039</t>
  </si>
  <si>
    <t>J4310976</t>
  </si>
  <si>
    <t>SMLU5606507A</t>
  </si>
  <si>
    <t>SMLU3104177</t>
  </si>
  <si>
    <t>J4310978</t>
  </si>
  <si>
    <t>J5310032</t>
  </si>
  <si>
    <t>HLCUANR190326258</t>
  </si>
  <si>
    <t>CXDU1014099</t>
  </si>
  <si>
    <t>J2310633</t>
  </si>
  <si>
    <t>SUDUC9ANR002955X</t>
  </si>
  <si>
    <t>SEGU8037495</t>
  </si>
  <si>
    <t>J5310166</t>
  </si>
  <si>
    <t>J4310210</t>
  </si>
  <si>
    <t>HLCUHAM190473452</t>
  </si>
  <si>
    <t>UACU8155665 / UACU8444837</t>
  </si>
  <si>
    <t>J4310224</t>
  </si>
  <si>
    <t>MEDUMI499093</t>
  </si>
  <si>
    <t>MSCU4593929</t>
  </si>
  <si>
    <t>J4310814</t>
  </si>
  <si>
    <t>ONEYSAOV12676700</t>
  </si>
  <si>
    <t>TCKU4542124</t>
  </si>
  <si>
    <t>J5310284</t>
  </si>
  <si>
    <t>ANR/CTG/13434</t>
  </si>
  <si>
    <t>J5310413</t>
  </si>
  <si>
    <t>ANR/CTG/13478</t>
  </si>
  <si>
    <t>J5310134</t>
  </si>
  <si>
    <t>HLCUANR190452813</t>
  </si>
  <si>
    <t>UACU8469630</t>
  </si>
  <si>
    <t>J5310173</t>
  </si>
  <si>
    <t>SUDUC9FRA002441X</t>
  </si>
  <si>
    <t>GESU5991761</t>
  </si>
  <si>
    <t>J5310489</t>
  </si>
  <si>
    <t>HLCUBSC1904BZNO4</t>
  </si>
  <si>
    <t>TEMU1849195</t>
  </si>
  <si>
    <t>J5310124</t>
  </si>
  <si>
    <t>DSV0029677</t>
  </si>
  <si>
    <t>J5310068</t>
  </si>
  <si>
    <t>HLCUHAM190483521</t>
  </si>
  <si>
    <t>HLXU1267400</t>
  </si>
  <si>
    <t>J5310623</t>
  </si>
  <si>
    <t>HOU/CTG/D06999</t>
  </si>
  <si>
    <t>J5310358</t>
  </si>
  <si>
    <t>HLCUBSC190515386</t>
  </si>
  <si>
    <t>TCLU2871112</t>
  </si>
  <si>
    <t>J5310287</t>
  </si>
  <si>
    <t>HOU/CTG/D07000</t>
  </si>
  <si>
    <t>j5310534</t>
  </si>
  <si>
    <t>HOU/CTG/D06977</t>
  </si>
  <si>
    <t>j5310367</t>
  </si>
  <si>
    <t>HLCUBSC1904BZVJ8</t>
  </si>
  <si>
    <t>TCKU1359613</t>
  </si>
  <si>
    <t>j5310356</t>
  </si>
  <si>
    <t>ONEYRICVJ6434600</t>
  </si>
  <si>
    <t>FBIU0336164</t>
  </si>
  <si>
    <t>j4310811</t>
  </si>
  <si>
    <t>ILSE009605</t>
  </si>
  <si>
    <t>j5310464</t>
  </si>
  <si>
    <t>MEDUBN785655</t>
  </si>
  <si>
    <t>MEDU3986640</t>
  </si>
  <si>
    <t>j5310243</t>
  </si>
  <si>
    <t>MEDUBW858790</t>
  </si>
  <si>
    <t>MSCU6072283</t>
  </si>
  <si>
    <t>9979.2</t>
  </si>
  <si>
    <t>j5310064</t>
  </si>
  <si>
    <t>SSZCTG1905036</t>
  </si>
  <si>
    <t>j5310543</t>
  </si>
  <si>
    <t>ANR/CTG/13449</t>
  </si>
  <si>
    <t>j5310542</t>
  </si>
  <si>
    <t>ANR/CTG/13426</t>
  </si>
  <si>
    <t>j5310541</t>
  </si>
  <si>
    <t>ANR/CTG/13459</t>
  </si>
  <si>
    <t>j5310622</t>
  </si>
  <si>
    <t>012019041996</t>
  </si>
  <si>
    <t>j5310544</t>
  </si>
  <si>
    <t>ANR/CTG/13448</t>
  </si>
  <si>
    <t>j5310597</t>
  </si>
  <si>
    <t>SMLU5615755A</t>
  </si>
  <si>
    <t>GLDU9626341/SMLU2544227</t>
  </si>
  <si>
    <t>j5310526</t>
  </si>
  <si>
    <t>ANR/CTG/13452</t>
  </si>
  <si>
    <t>J5510280</t>
  </si>
  <si>
    <t>FMO0040282</t>
  </si>
  <si>
    <t>J5510313</t>
  </si>
  <si>
    <t>ATL111933</t>
  </si>
  <si>
    <t>J5310629 / J5360044</t>
  </si>
  <si>
    <t>HLCUBSC1905AUUM0</t>
  </si>
  <si>
    <t>ITTU1053745/ITTU1052482</t>
  </si>
  <si>
    <t>j5310607</t>
  </si>
  <si>
    <t>SMLU5611234A</t>
  </si>
  <si>
    <t>SMLU2577452/SMLU2570720/SMLU3108439</t>
  </si>
  <si>
    <t>j5310375</t>
  </si>
  <si>
    <t>ONEYRICVJ6587800</t>
  </si>
  <si>
    <t>NYKU3327254/TCLU6957739/NYKU3600672</t>
  </si>
  <si>
    <t>J5310539</t>
  </si>
  <si>
    <t>HOU/CTG/D06979</t>
  </si>
  <si>
    <t>J5310239</t>
  </si>
  <si>
    <t>ANR/CTG/13446</t>
  </si>
  <si>
    <t>j5310167</t>
  </si>
  <si>
    <t>j5310304</t>
  </si>
  <si>
    <t>FRA0347863</t>
  </si>
  <si>
    <t>APZU4360149</t>
  </si>
  <si>
    <t>j5310545</t>
  </si>
  <si>
    <t>ANR/CTG/13493</t>
  </si>
  <si>
    <t>j5310418</t>
  </si>
  <si>
    <t>FRA0348255</t>
  </si>
  <si>
    <t>CMAU9143183</t>
  </si>
  <si>
    <t>JUN</t>
  </si>
  <si>
    <t>j5310523</t>
  </si>
  <si>
    <t>FRA0347927</t>
  </si>
  <si>
    <t>TRHU2633970</t>
  </si>
  <si>
    <t>j5310411</t>
  </si>
  <si>
    <t>MEDUBN819769</t>
  </si>
  <si>
    <t>MEDU3883540</t>
  </si>
  <si>
    <t>j5310621</t>
  </si>
  <si>
    <t>HLCURTM190479139</t>
  </si>
  <si>
    <t>FSCU4453616 / TTNU5638104</t>
  </si>
  <si>
    <t>j5310581</t>
  </si>
  <si>
    <t>HLCURTM190480576</t>
  </si>
  <si>
    <t>HLXU8758468</t>
  </si>
  <si>
    <t>j5310540</t>
  </si>
  <si>
    <t>ANR/CTG/13447</t>
  </si>
  <si>
    <t>j5310414</t>
  </si>
  <si>
    <t>SSZCTG1905060</t>
  </si>
  <si>
    <t>j5310463</t>
  </si>
  <si>
    <t>HOU/CTG/D06995</t>
  </si>
  <si>
    <t>j5310421</t>
  </si>
  <si>
    <t>FRA0347657</t>
  </si>
  <si>
    <t>TEMU6453294</t>
  </si>
  <si>
    <t>j5310665</t>
  </si>
  <si>
    <t>HOU/CTG/D07005</t>
  </si>
  <si>
    <t>j5310825</t>
  </si>
  <si>
    <t>HOU/CTG/D07007</t>
  </si>
  <si>
    <t>j5310827</t>
  </si>
  <si>
    <t>HOU/CTG/D06996</t>
  </si>
  <si>
    <t>j5310826</t>
  </si>
  <si>
    <t>HOU/CTG/D07004</t>
  </si>
  <si>
    <t>J5610015</t>
  </si>
  <si>
    <t>SUDUC9ANR009812X</t>
  </si>
  <si>
    <t>IHOU1055427/ITTU1057653</t>
  </si>
  <si>
    <t>J5310412</t>
  </si>
  <si>
    <t>SUDUC9FRA002402X</t>
  </si>
  <si>
    <t>MRKU3557631</t>
  </si>
  <si>
    <t>J5310708</t>
  </si>
  <si>
    <t>ONEYRICVJ6434601</t>
  </si>
  <si>
    <t>NYKU3701364/DRYU2245577</t>
  </si>
  <si>
    <t>J5310484 / J5360032</t>
  </si>
  <si>
    <t>MEDUAM692847</t>
  </si>
  <si>
    <t>EXFU0721368/IHOU1058128/IHOU1048080</t>
  </si>
  <si>
    <t>J5310595/J5360040</t>
  </si>
  <si>
    <t>MEDUAM648609</t>
  </si>
  <si>
    <t>IHOU3053660/RFCU8226094/TCLU9059651/TCLU9081655</t>
  </si>
  <si>
    <t>J5310624</t>
  </si>
  <si>
    <t>012019042783</t>
  </si>
  <si>
    <t>J5510379</t>
  </si>
  <si>
    <t>1026806570</t>
  </si>
  <si>
    <t>J5510381</t>
  </si>
  <si>
    <t>1026779795</t>
  </si>
  <si>
    <t>J5510382</t>
  </si>
  <si>
    <t>MILXA2921011</t>
  </si>
  <si>
    <t>J5510383</t>
  </si>
  <si>
    <t>FRA0647520</t>
  </si>
  <si>
    <t>J5510335</t>
  </si>
  <si>
    <t>1026751743</t>
  </si>
  <si>
    <t>J5510324</t>
  </si>
  <si>
    <t>FRA0646714</t>
  </si>
  <si>
    <t>J5510398</t>
  </si>
  <si>
    <t>1026814171</t>
  </si>
  <si>
    <t>j5610044</t>
  </si>
  <si>
    <t>ANR/BUN/04219</t>
  </si>
  <si>
    <t>j5310918</t>
  </si>
  <si>
    <t>SUDU29001AGXCJ94</t>
  </si>
  <si>
    <t>MRKU8304410</t>
  </si>
  <si>
    <t>j5310582</t>
  </si>
  <si>
    <t>HLCURTM190480722</t>
  </si>
  <si>
    <t>UACU8158005</t>
  </si>
  <si>
    <t>j5310729</t>
  </si>
  <si>
    <t>ANT1232768</t>
  </si>
  <si>
    <t>UNIU2066003</t>
  </si>
  <si>
    <t>j5310675</t>
  </si>
  <si>
    <t>FRA0348160</t>
  </si>
  <si>
    <t>CMAU8142813</t>
  </si>
  <si>
    <t>j5310801</t>
  </si>
  <si>
    <t>HLCUME3190527798</t>
  </si>
  <si>
    <t>GATU1345963</t>
  </si>
  <si>
    <t>j5310697</t>
  </si>
  <si>
    <t>FRA0348152</t>
  </si>
  <si>
    <t>APZU4701733</t>
  </si>
  <si>
    <t>j5310416</t>
  </si>
  <si>
    <t>MEDUBN801726</t>
  </si>
  <si>
    <t>CON 20/40</t>
  </si>
  <si>
    <t>TEMU2076211 / TGHU4525144</t>
  </si>
  <si>
    <t>j5310712</t>
  </si>
  <si>
    <t>FRA0348162</t>
  </si>
  <si>
    <t>CMAU8108608</t>
  </si>
  <si>
    <t>j5310775</t>
  </si>
  <si>
    <t>HLCURTM190466760</t>
  </si>
  <si>
    <t>TCLU4494928</t>
  </si>
  <si>
    <t>j5310734</t>
  </si>
  <si>
    <t>HLCURTM190521948</t>
  </si>
  <si>
    <t>TCLU4104070</t>
  </si>
  <si>
    <t>J3310076</t>
  </si>
  <si>
    <t>HLCUANR190249111</t>
  </si>
  <si>
    <t>CXTU1125767</t>
  </si>
  <si>
    <t>J5310532</t>
  </si>
  <si>
    <t>FRA0348259</t>
  </si>
  <si>
    <t>CMAU9063391</t>
  </si>
  <si>
    <t>j5310626</t>
  </si>
  <si>
    <t>MEDUBN796157</t>
  </si>
  <si>
    <t>MSCU4699870</t>
  </si>
  <si>
    <t>j5310468</t>
  </si>
  <si>
    <t>SSZ0712121</t>
  </si>
  <si>
    <t>TGHU4914927</t>
  </si>
  <si>
    <t>j5310187</t>
  </si>
  <si>
    <t>SUDU29297AGPFY7W</t>
  </si>
  <si>
    <t>MRKU7545080</t>
  </si>
  <si>
    <t>j5310736</t>
  </si>
  <si>
    <t>ANR/CTG/13474</t>
  </si>
  <si>
    <t>j5310610</t>
  </si>
  <si>
    <t>ANR/CTG/13487</t>
  </si>
  <si>
    <t>J5510435</t>
  </si>
  <si>
    <t>1026858165</t>
  </si>
  <si>
    <t>J5510380</t>
  </si>
  <si>
    <t>1026751539</t>
  </si>
  <si>
    <t>J5510438</t>
  </si>
  <si>
    <t>1026861054</t>
  </si>
  <si>
    <t>J5310664</t>
  </si>
  <si>
    <t>012019042604</t>
  </si>
  <si>
    <t>J5310939</t>
  </si>
  <si>
    <t>ANR/CTG/13501</t>
  </si>
  <si>
    <t>J5310970</t>
  </si>
  <si>
    <t>ANR/CTG/13513</t>
  </si>
  <si>
    <t>J5310998/J5360073</t>
  </si>
  <si>
    <t>MEDUAM742998</t>
  </si>
  <si>
    <t>RFCU8212866</t>
  </si>
  <si>
    <t>J5310948</t>
  </si>
  <si>
    <t>HOU/CTG/D07011</t>
  </si>
  <si>
    <t>J3310894</t>
  </si>
  <si>
    <t>j5310529</t>
  </si>
  <si>
    <t>SSZCTG1905093</t>
  </si>
  <si>
    <t>j4610062</t>
  </si>
  <si>
    <t>TTOR001729</t>
  </si>
  <si>
    <t>FCIU3670794</t>
  </si>
  <si>
    <t>j5310854</t>
  </si>
  <si>
    <t>FRA0349334</t>
  </si>
  <si>
    <t>CMAU1737661</t>
  </si>
  <si>
    <t>j5310722</t>
  </si>
  <si>
    <t>012019050821</t>
  </si>
  <si>
    <t>j5310737</t>
  </si>
  <si>
    <t>SSZ0712093</t>
  </si>
  <si>
    <t>GESU6658631</t>
  </si>
  <si>
    <t>j5310800</t>
  </si>
  <si>
    <t>SSZ0715679A</t>
  </si>
  <si>
    <t>CMAU1002846</t>
  </si>
  <si>
    <t>j5310700</t>
  </si>
  <si>
    <t>SSZ0715679B</t>
  </si>
  <si>
    <t>j5310580</t>
  </si>
  <si>
    <t>HLCUGOA190507761</t>
  </si>
  <si>
    <t>UACU3947736 / GESU3610383</t>
  </si>
  <si>
    <t>J5311009</t>
  </si>
  <si>
    <t>HLCURTM190511920</t>
  </si>
  <si>
    <t>HLXU3242400</t>
  </si>
  <si>
    <t>J6310045</t>
  </si>
  <si>
    <t xml:space="preserve">ANT1228602     </t>
  </si>
  <si>
    <t>CMAU1345300</t>
  </si>
  <si>
    <t>J6310044</t>
  </si>
  <si>
    <t xml:space="preserve">HLCUME3190543979 </t>
  </si>
  <si>
    <t>GLDU5617059</t>
  </si>
  <si>
    <t>J5310535 / J5360038</t>
  </si>
  <si>
    <t>HLCUBSC1904CBOA0</t>
  </si>
  <si>
    <t>TCLU9067636/TCLU9076155</t>
  </si>
  <si>
    <t>J5310807</t>
  </si>
  <si>
    <t>SSZ0714082</t>
  </si>
  <si>
    <t>IRNU8015802</t>
  </si>
  <si>
    <t>J5310409 / J5360029</t>
  </si>
  <si>
    <t>HLCUBSC190526816</t>
  </si>
  <si>
    <t>CXTU1126681,FPTU5010968,ITTU1058177,</t>
  </si>
  <si>
    <t>J6310242 / J6360027</t>
  </si>
  <si>
    <t>HLCUBSC1905BOXX9</t>
  </si>
  <si>
    <t>TIFU1754400</t>
  </si>
  <si>
    <t>J5310964</t>
  </si>
  <si>
    <t>HLCURTM190523837</t>
  </si>
  <si>
    <t>UACU8076951</t>
  </si>
  <si>
    <t>J6310246 / J6360028</t>
  </si>
  <si>
    <t>HLCUBSC1905CCZB9</t>
  </si>
  <si>
    <t>IHOU4051180,ITTU3050093,ITTU3053214,</t>
  </si>
  <si>
    <t>J5610099</t>
  </si>
  <si>
    <t>HLCUBSC1904AUAO3</t>
  </si>
  <si>
    <t>HLXU1371435</t>
  </si>
  <si>
    <t>J5310627</t>
  </si>
  <si>
    <t>MEDUBN854402</t>
  </si>
  <si>
    <t>FCIU5870739</t>
  </si>
  <si>
    <t>J5310940</t>
  </si>
  <si>
    <t>ANR/CTG/13500</t>
  </si>
  <si>
    <t>j5310873</t>
  </si>
  <si>
    <t>012019051140</t>
  </si>
  <si>
    <t>J6310095 / J6360020</t>
  </si>
  <si>
    <t>ANT1235309</t>
  </si>
  <si>
    <t>EXFU5503630/EXFU5523025/RFCU8229909/TCLU9082688</t>
  </si>
  <si>
    <t>j5310704</t>
  </si>
  <si>
    <t>ANR/CTG/13486</t>
  </si>
  <si>
    <t>j5310858</t>
  </si>
  <si>
    <t>HOU/CTG/D06998</t>
  </si>
  <si>
    <t>J6510027</t>
  </si>
  <si>
    <t>3CIK540</t>
  </si>
  <si>
    <t>j5310774</t>
  </si>
  <si>
    <t>HLCURTM190521736</t>
  </si>
  <si>
    <t>UACU8476623</t>
  </si>
  <si>
    <t>j53t0003</t>
  </si>
  <si>
    <t>ANR/CTG/13432</t>
  </si>
  <si>
    <t>J6310042</t>
  </si>
  <si>
    <t>HLCURTM190526539</t>
  </si>
  <si>
    <t>TCLU9193568/HLXU5027916/UACU8310648</t>
  </si>
  <si>
    <t>J5310663</t>
  </si>
  <si>
    <t>HLCUBSC1905ARXR8</t>
  </si>
  <si>
    <t>UACU8359524</t>
  </si>
  <si>
    <t>J6310250</t>
  </si>
  <si>
    <t>HOU/CTG/D07023</t>
  </si>
  <si>
    <t>J43T0032</t>
  </si>
  <si>
    <t>SSZCTG1904108</t>
  </si>
  <si>
    <t>J5310486</t>
  </si>
  <si>
    <t>LEXBRE190508270501A</t>
  </si>
  <si>
    <t>J5310657</t>
  </si>
  <si>
    <t>SSZCTG1905106</t>
  </si>
  <si>
    <t>J5610116</t>
  </si>
  <si>
    <t>SUDUB9365A3TRW1U</t>
  </si>
  <si>
    <t>HASU1394121/MRSU0180660/TEMU5911643</t>
  </si>
  <si>
    <t>J5510490</t>
  </si>
  <si>
    <t>1026911511</t>
  </si>
  <si>
    <t>j5310625</t>
  </si>
  <si>
    <t>MEDUBN777264</t>
  </si>
  <si>
    <t>MEDU5121775</t>
  </si>
  <si>
    <t>j5310818</t>
  </si>
  <si>
    <t>LEXBRE190408122766</t>
  </si>
  <si>
    <t>j5310856</t>
  </si>
  <si>
    <t>DSV0035051</t>
  </si>
  <si>
    <t>j6310071</t>
  </si>
  <si>
    <t>ANR/CTG/13534</t>
  </si>
  <si>
    <t>J5310968</t>
  </si>
  <si>
    <t>DSV0035653</t>
  </si>
  <si>
    <t>J6510111</t>
  </si>
  <si>
    <t>1027188154</t>
  </si>
  <si>
    <t>J6510096</t>
  </si>
  <si>
    <t>j5310876</t>
  </si>
  <si>
    <t>LEXBRE 190508122412</t>
  </si>
  <si>
    <t>j5310871</t>
  </si>
  <si>
    <t>SSZ0714531</t>
  </si>
  <si>
    <t>TCLU2747420</t>
  </si>
  <si>
    <t>j6310167</t>
  </si>
  <si>
    <t>HLCUANR190527860</t>
  </si>
  <si>
    <t>UACU3526017</t>
  </si>
  <si>
    <t>j5310915</t>
  </si>
  <si>
    <t>7310-0954-905.011</t>
  </si>
  <si>
    <t>J6310389 / J6360032</t>
  </si>
  <si>
    <t>HLCUBSC190608777</t>
  </si>
  <si>
    <t>TIFU1758690</t>
  </si>
  <si>
    <t>J6310392 / J6360033</t>
  </si>
  <si>
    <t xml:space="preserve">HLCUANR190537951 </t>
  </si>
  <si>
    <t>CRXU8683982/RFCU8228409/TPMU1510270</t>
  </si>
  <si>
    <t>J6310394 / J6360034</t>
  </si>
  <si>
    <t>HLCUBSC1905CCZW0</t>
  </si>
  <si>
    <t>IHOU1045840/CXTU1040021</t>
  </si>
  <si>
    <t>J6310073</t>
  </si>
  <si>
    <t>FRA0348948</t>
  </si>
  <si>
    <t>APZU3361876</t>
  </si>
  <si>
    <t>j6310368</t>
  </si>
  <si>
    <t>SUDU29001AH7MEW2</t>
  </si>
  <si>
    <t>MSKU6526507</t>
  </si>
  <si>
    <t>j6310169</t>
  </si>
  <si>
    <t>ANR/CTG/13524</t>
  </si>
  <si>
    <t>j6310165</t>
  </si>
  <si>
    <t>FRA0349745</t>
  </si>
  <si>
    <t>CXDU1091074</t>
  </si>
  <si>
    <t>j6310078</t>
  </si>
  <si>
    <t>ANR/CTG/13516</t>
  </si>
  <si>
    <t>j5310979</t>
  </si>
  <si>
    <t>HLCURTM190548698</t>
  </si>
  <si>
    <t>GESU9349560</t>
  </si>
  <si>
    <t>j6310344</t>
  </si>
  <si>
    <t>ANR/CTG/13535</t>
  </si>
  <si>
    <t>j5310980</t>
  </si>
  <si>
    <t>MEDUBN902557</t>
  </si>
  <si>
    <t>FSCU6775720</t>
  </si>
  <si>
    <t>j6310230</t>
  </si>
  <si>
    <t>MEDUBK172584</t>
  </si>
  <si>
    <t>MEDU1356853</t>
  </si>
  <si>
    <t>j5310914</t>
  </si>
  <si>
    <t>SSZ0717587</t>
  </si>
  <si>
    <t>FCIU5131786 / CMAU1146822 / TGHU1258002 / CMAU0273611 / TGCU2056008 / CAIU3875008</t>
  </si>
  <si>
    <t>J6510081</t>
  </si>
  <si>
    <t>19J101224</t>
  </si>
  <si>
    <t>j6310233</t>
  </si>
  <si>
    <t>MXMEX0000003692</t>
  </si>
  <si>
    <t>j5310944</t>
  </si>
  <si>
    <t>SUDU29001AGWUGU8</t>
  </si>
  <si>
    <t>MRSU0050137</t>
  </si>
  <si>
    <t>j6310367</t>
  </si>
  <si>
    <t>4950555399</t>
  </si>
  <si>
    <t xml:space="preserve">HLCUBSC1905CDOU4 </t>
  </si>
  <si>
    <t>TEMU1617878/BSIU2189647</t>
  </si>
  <si>
    <t>j6310065</t>
  </si>
  <si>
    <t>HLCURTM190546012</t>
  </si>
  <si>
    <t>BSIU4058440</t>
  </si>
  <si>
    <t>j5310584</t>
  </si>
  <si>
    <t>HLCURTM190530170</t>
  </si>
  <si>
    <t>FBIU0471056 / FBIU0462938</t>
  </si>
  <si>
    <t>j5310972</t>
  </si>
  <si>
    <t>HLCUBC1190520775</t>
  </si>
  <si>
    <t>HLXU3374686</t>
  </si>
  <si>
    <t>J6310214 / J6360026</t>
  </si>
  <si>
    <t>MEDUAM733625</t>
  </si>
  <si>
    <t>EXFU5503498/CXTU1136186/CRXU8605948/CRXU8605146</t>
  </si>
  <si>
    <t>J6310484 / J6360043</t>
  </si>
  <si>
    <t>HLCUANR190552771</t>
  </si>
  <si>
    <t>CXTU1042430/CXTU1126932/GESU8104942/TCLU9081505</t>
  </si>
  <si>
    <t>J6310485 / J6360044</t>
  </si>
  <si>
    <t>4950560303 </t>
  </si>
  <si>
    <t>HLCUANR190568858</t>
  </si>
  <si>
    <t>GESU8045731</t>
  </si>
  <si>
    <t>J6310443 / J6360042</t>
  </si>
  <si>
    <t>4950560304 </t>
  </si>
  <si>
    <t>ANT1237579</t>
  </si>
  <si>
    <t>EXFU4403935/IHOU1850080/IHOU3055112/USPU1236910</t>
  </si>
  <si>
    <t>j6310339</t>
  </si>
  <si>
    <t>LEH/CTG/03539</t>
  </si>
  <si>
    <t>j6310481</t>
  </si>
  <si>
    <t>HLCUBSC1905BRNN7</t>
  </si>
  <si>
    <t>TTNU5181830</t>
  </si>
  <si>
    <t>j5311062</t>
  </si>
  <si>
    <t>MEDUBN902607</t>
  </si>
  <si>
    <t>TGBU5582907</t>
  </si>
  <si>
    <t>j6310482</t>
  </si>
  <si>
    <t>HLCUBSC1905BZGI2</t>
  </si>
  <si>
    <t>HLXU1378804</t>
  </si>
  <si>
    <t>J5311063</t>
  </si>
  <si>
    <t>FRA0349335</t>
  </si>
  <si>
    <t>APZU3395726</t>
  </si>
  <si>
    <t>j5311011</t>
  </si>
  <si>
    <t>ILSE011384</t>
  </si>
  <si>
    <t>j6310458</t>
  </si>
  <si>
    <t>I2019-01784</t>
  </si>
  <si>
    <t>j6310351</t>
  </si>
  <si>
    <t>ONEYRICVH6002400</t>
  </si>
  <si>
    <t>SEGU2858410/ CAIU3767889/KKTU8050700</t>
  </si>
  <si>
    <t>JUL</t>
  </si>
  <si>
    <t>J6510098</t>
  </si>
  <si>
    <t>1027088398</t>
  </si>
  <si>
    <t>j5310949</t>
  </si>
  <si>
    <t>FRA0349064</t>
  </si>
  <si>
    <t>CAIU3869129</t>
  </si>
  <si>
    <t>j5311067</t>
  </si>
  <si>
    <t>SSZ0717606A</t>
  </si>
  <si>
    <t>CMAU4169987</t>
  </si>
  <si>
    <t>J5311068</t>
  </si>
  <si>
    <t>SSZ0717606B</t>
  </si>
  <si>
    <t>j6310543</t>
  </si>
  <si>
    <t>FRA0350227</t>
  </si>
  <si>
    <t>FSCU4672743</t>
  </si>
  <si>
    <t>j6310565</t>
  </si>
  <si>
    <t>MEDUBK259894</t>
  </si>
  <si>
    <t>MSCU5761478</t>
  </si>
  <si>
    <t>j6310500</t>
  </si>
  <si>
    <t>ANR/CTG/13557</t>
  </si>
  <si>
    <t>j6310502</t>
  </si>
  <si>
    <t>ANR/CTG/13554</t>
  </si>
  <si>
    <t>j6310538</t>
  </si>
  <si>
    <t>HOU/CTG/D07012</t>
  </si>
  <si>
    <t>j6310138</t>
  </si>
  <si>
    <t>ATM/CTG/11268</t>
  </si>
  <si>
    <t>ZCSU7064992 / ZCSU7064922</t>
  </si>
  <si>
    <t>J6510132</t>
  </si>
  <si>
    <t>1027028361</t>
  </si>
  <si>
    <t>J6510178</t>
  </si>
  <si>
    <t>MHG-19004968</t>
  </si>
  <si>
    <t>J6510139</t>
  </si>
  <si>
    <t>J6510194</t>
  </si>
  <si>
    <t>1027115029</t>
  </si>
  <si>
    <t>J6510140</t>
  </si>
  <si>
    <t>1027209752</t>
  </si>
  <si>
    <t>J6510091</t>
  </si>
  <si>
    <t>1027143535</t>
  </si>
  <si>
    <t>J6510190</t>
  </si>
  <si>
    <t>6XM7073</t>
  </si>
  <si>
    <t>J6510187</t>
  </si>
  <si>
    <t>1027348726</t>
  </si>
  <si>
    <t>J6510265</t>
  </si>
  <si>
    <t>1027440790</t>
  </si>
  <si>
    <t>J6510168</t>
  </si>
  <si>
    <t>FMO0041014</t>
  </si>
  <si>
    <t>J6510051</t>
  </si>
  <si>
    <t>1027065973</t>
  </si>
  <si>
    <t>J5310920 / J5360068</t>
  </si>
  <si>
    <t>HLCUANR190513970</t>
  </si>
  <si>
    <t>FPTU5006422</t>
  </si>
  <si>
    <t>J6510141</t>
  </si>
  <si>
    <t>DSV0042902</t>
  </si>
  <si>
    <t>J6510169</t>
  </si>
  <si>
    <t>19J101336</t>
  </si>
  <si>
    <t>J7510070</t>
  </si>
  <si>
    <t>19J101428</t>
  </si>
  <si>
    <t>J6510243</t>
  </si>
  <si>
    <t>19J101360</t>
  </si>
  <si>
    <t>J6510179</t>
  </si>
  <si>
    <t>19J101429</t>
  </si>
  <si>
    <t>J6510280</t>
  </si>
  <si>
    <t>XBC9F043484</t>
  </si>
  <si>
    <t>J6610055</t>
  </si>
  <si>
    <t>HLCUBSC1905BFSO0</t>
  </si>
  <si>
    <t>HLXU1207231</t>
  </si>
  <si>
    <t>J6310558</t>
  </si>
  <si>
    <t>FRA0350594</t>
  </si>
  <si>
    <t>APZU3426494</t>
  </si>
  <si>
    <t>J6310227</t>
  </si>
  <si>
    <t>SSZCTG1906068</t>
  </si>
  <si>
    <t>J6310163</t>
  </si>
  <si>
    <t>ILSE012975</t>
  </si>
  <si>
    <t>J7310047</t>
  </si>
  <si>
    <t>ONEYRICVH6052900</t>
  </si>
  <si>
    <t>MOAU6767370/NYKU3637075</t>
  </si>
  <si>
    <t>J6310562</t>
  </si>
  <si>
    <t>SSZ0718900</t>
  </si>
  <si>
    <t>APZU4799722</t>
  </si>
  <si>
    <t>J6310371</t>
  </si>
  <si>
    <t>MEDUBN930913</t>
  </si>
  <si>
    <t>MSCU4770330</t>
  </si>
  <si>
    <t>J6310106</t>
  </si>
  <si>
    <t>FRA0349658</t>
  </si>
  <si>
    <t>FCIU2239972 / TEMU1273411 / FCIU2397962</t>
  </si>
  <si>
    <t>J6310536</t>
  </si>
  <si>
    <t>HLCURTM190574228</t>
  </si>
  <si>
    <t>HLXU5219035</t>
  </si>
  <si>
    <t>J6310715</t>
  </si>
  <si>
    <t>FRA0350926</t>
  </si>
  <si>
    <t>TTNU1203464</t>
  </si>
  <si>
    <t>J6310629</t>
  </si>
  <si>
    <t>MEDUBN984886</t>
  </si>
  <si>
    <t>MSCU5881128</t>
  </si>
  <si>
    <t>j6610058</t>
  </si>
  <si>
    <t>HOU/BUE/D02539</t>
  </si>
  <si>
    <t>J6310663</t>
  </si>
  <si>
    <t>ANR/CTG/13571</t>
  </si>
  <si>
    <t>J6310736</t>
  </si>
  <si>
    <t>ANR/CTG/13568</t>
  </si>
  <si>
    <t>J6310584</t>
  </si>
  <si>
    <t>MEDUBK375815</t>
  </si>
  <si>
    <t>FBIU0368773</t>
  </si>
  <si>
    <t>j6310505</t>
  </si>
  <si>
    <t>INTERVERCTG90089</t>
  </si>
  <si>
    <t>j6310498</t>
  </si>
  <si>
    <t>ANR/CTG/13552</t>
  </si>
  <si>
    <t>j6310884</t>
  </si>
  <si>
    <t>MEDUBK453604</t>
  </si>
  <si>
    <t>DFOU2047686</t>
  </si>
  <si>
    <t>j6310540</t>
  </si>
  <si>
    <t>HOU/CTG/D07021</t>
  </si>
  <si>
    <t>j6310080</t>
  </si>
  <si>
    <t>HLCURTM190560210</t>
  </si>
  <si>
    <t>HLXU1018900 / DFSU2880779 / UACU3382157</t>
  </si>
  <si>
    <t>j6310530</t>
  </si>
  <si>
    <t>ANR/CTG/13602</t>
  </si>
  <si>
    <t>j6310739</t>
  </si>
  <si>
    <t>ANR/CTG/13570</t>
  </si>
  <si>
    <t>j6310504</t>
  </si>
  <si>
    <t>ANR/CTG/13538</t>
  </si>
  <si>
    <t>j6310666</t>
  </si>
  <si>
    <t>FRA0350368</t>
  </si>
  <si>
    <t>CMAU8351710</t>
  </si>
  <si>
    <t>j5610053</t>
  </si>
  <si>
    <t>6335-0454-905.011</t>
  </si>
  <si>
    <t>MSKU1795057/HASU5150083/SUDU5769213/TLLU5243709/MRKU5048850/TGHU7947354/MSKU0607936/PONU7502705/MRKU2430616</t>
  </si>
  <si>
    <t>j6310383</t>
  </si>
  <si>
    <t>SSZ0718917</t>
  </si>
  <si>
    <t>FSCU4783243/ECMU4461456/GESU6678197</t>
  </si>
  <si>
    <t>j6310197</t>
  </si>
  <si>
    <t>HLCURTM190518360</t>
  </si>
  <si>
    <t>HLXU1239590</t>
  </si>
  <si>
    <t>j6310542</t>
  </si>
  <si>
    <t>FRA0350247</t>
  </si>
  <si>
    <t>HJMU4939957</t>
  </si>
  <si>
    <t>j6310496</t>
  </si>
  <si>
    <t>SUDU29001AH9N29K</t>
  </si>
  <si>
    <t>BSIU2032452</t>
  </si>
  <si>
    <t>j6310464</t>
  </si>
  <si>
    <t>FRA0350482</t>
  </si>
  <si>
    <t>TEMU1078971</t>
  </si>
  <si>
    <t>j6310746</t>
  </si>
  <si>
    <t xml:space="preserve">HLCUBSC1906AZWW0 </t>
  </si>
  <si>
    <t>HAMU1055492/TEMU1406833</t>
  </si>
  <si>
    <t>j6310761</t>
  </si>
  <si>
    <t xml:space="preserve">HLCUBSC1906AZWU8 </t>
  </si>
  <si>
    <t xml:space="preserve">TEMU4892702/HAMU1021810 </t>
  </si>
  <si>
    <t>j6310821</t>
  </si>
  <si>
    <t>HLCUME3190638707</t>
  </si>
  <si>
    <t>UACU8565309</t>
  </si>
  <si>
    <t>j6310745</t>
  </si>
  <si>
    <t xml:space="preserve">HLCUBSC1906AXKP1 </t>
  </si>
  <si>
    <t xml:space="preserve">TCKU3879337/TCLU1409603/HLBU1035813 </t>
  </si>
  <si>
    <t>J6310503</t>
  </si>
  <si>
    <t>ANR/CTG/13553</t>
  </si>
  <si>
    <t>J6310734</t>
  </si>
  <si>
    <t>SSZ0718864</t>
  </si>
  <si>
    <t>GLDU3549166</t>
  </si>
  <si>
    <t>J6310755</t>
  </si>
  <si>
    <t xml:space="preserve">HLCUBSC1906APMP3 </t>
  </si>
  <si>
    <t>UACU4015916/TCLU2250033/UACU3860488</t>
  </si>
  <si>
    <t>J6310732</t>
  </si>
  <si>
    <t>HLCURTM190564360</t>
  </si>
  <si>
    <t>HLBU1337310</t>
  </si>
  <si>
    <t>J6310559</t>
  </si>
  <si>
    <t>012019052574</t>
  </si>
  <si>
    <t>J6310402</t>
  </si>
  <si>
    <t>LEXBRE190608120737</t>
  </si>
  <si>
    <t>J6310822</t>
  </si>
  <si>
    <t>HLCURTM190617873</t>
  </si>
  <si>
    <t>TGHU5022144</t>
  </si>
  <si>
    <t>J6310591</t>
  </si>
  <si>
    <t>FRA0350601</t>
  </si>
  <si>
    <t>TLLU2084028</t>
  </si>
  <si>
    <t>J6310593</t>
  </si>
  <si>
    <t>HOU/CTG/D07016</t>
  </si>
  <si>
    <t>J6310737</t>
  </si>
  <si>
    <t>ANR/CTG/13556</t>
  </si>
  <si>
    <t>J6310664</t>
  </si>
  <si>
    <t>HOU/CTG/D07029</t>
  </si>
  <si>
    <t>j6310075</t>
  </si>
  <si>
    <t>LAX/CTG/D03477</t>
  </si>
  <si>
    <t>j63t0036</t>
  </si>
  <si>
    <t>HLCUBSC1905BMIV9</t>
  </si>
  <si>
    <t>HLXU5357414</t>
  </si>
  <si>
    <t>j63t0034</t>
  </si>
  <si>
    <t>HLCUBSC190610760</t>
  </si>
  <si>
    <t>HLBU1258479</t>
  </si>
  <si>
    <t>j63t0035</t>
  </si>
  <si>
    <t>HLCUBSC1905BMIW0</t>
  </si>
  <si>
    <t>HLBU1527304</t>
  </si>
  <si>
    <t>j63t0020</t>
  </si>
  <si>
    <t>012019051549</t>
  </si>
  <si>
    <t>j6310770</t>
  </si>
  <si>
    <t>FRA0351669</t>
  </si>
  <si>
    <t>TRLU9278540</t>
  </si>
  <si>
    <t>j6310789</t>
  </si>
  <si>
    <t xml:space="preserve">FRA0350509     </t>
  </si>
  <si>
    <t>APZU4795959</t>
  </si>
  <si>
    <t>j6310561</t>
  </si>
  <si>
    <t>ANR/CTG/13561</t>
  </si>
  <si>
    <t>J6310744 / J6360074</t>
  </si>
  <si>
    <t xml:space="preserve">HLCUBSC1906APJH3 </t>
  </si>
  <si>
    <t>DCIU0240360/RLTU1000246/TIFU1242173</t>
  </si>
  <si>
    <t>j5310145</t>
  </si>
  <si>
    <t>HLCUANR190422847</t>
  </si>
  <si>
    <t>RFCU8209965 / TPMU3510089</t>
  </si>
  <si>
    <t>j3310672</t>
  </si>
  <si>
    <t>HLCUANR190320547</t>
  </si>
  <si>
    <t>ITTU4052742 / TCLU9068083 / TCLU9068571 / TQMU1845640 / TQMU1846184</t>
  </si>
  <si>
    <t>j6310533</t>
  </si>
  <si>
    <t>HLCURTM190540430</t>
  </si>
  <si>
    <t>HLXU8777534</t>
  </si>
  <si>
    <t>j5610115</t>
  </si>
  <si>
    <t>SNG0264899</t>
  </si>
  <si>
    <t>RFCU8210605</t>
  </si>
  <si>
    <t>j6610093</t>
  </si>
  <si>
    <t>SUDUC9ANR012672X</t>
  </si>
  <si>
    <t>IHOU3052582/RFCU8209116/TCLU9077022/TCLU9082815</t>
  </si>
  <si>
    <t>j6310891</t>
  </si>
  <si>
    <t>HOU/CTG/D07033</t>
  </si>
  <si>
    <t>j6610066</t>
  </si>
  <si>
    <t>ANR/BUN/04223</t>
  </si>
  <si>
    <t>j7310048</t>
  </si>
  <si>
    <t>HLCUBSC1906BKDS8</t>
  </si>
  <si>
    <t>HAMU1020916</t>
  </si>
  <si>
    <t>j6310834</t>
  </si>
  <si>
    <t>MEDUBP031868</t>
  </si>
  <si>
    <t>MSCU4825449</t>
  </si>
  <si>
    <t>J6610056</t>
  </si>
  <si>
    <t>SUDUB9365A3WPNWK</t>
  </si>
  <si>
    <t>TCLU1414528/CRSU1493865</t>
  </si>
  <si>
    <t>J6610085</t>
  </si>
  <si>
    <t xml:space="preserve">SNG0265839 </t>
  </si>
  <si>
    <t>DFSU2056419</t>
  </si>
  <si>
    <t>J63T0007</t>
  </si>
  <si>
    <t>HLCUBSC1905BQCM8</t>
  </si>
  <si>
    <t>HLBU1254067</t>
  </si>
  <si>
    <t>J6310624</t>
  </si>
  <si>
    <t>CLLCTG1905001</t>
  </si>
  <si>
    <t>J6310622</t>
  </si>
  <si>
    <t>FRA0350856</t>
  </si>
  <si>
    <t>CMAU0041072/APZU3596119</t>
  </si>
  <si>
    <t>J6310613</t>
  </si>
  <si>
    <t>3EB19050296</t>
  </si>
  <si>
    <t>J6310704</t>
  </si>
  <si>
    <t>ANR/CTG/13573</t>
  </si>
  <si>
    <t>j6310759</t>
  </si>
  <si>
    <t>MI/19/106621</t>
  </si>
  <si>
    <t>j6310887</t>
  </si>
  <si>
    <t>FRA0351316</t>
  </si>
  <si>
    <t>CON 40/20</t>
  </si>
  <si>
    <t>TLLU2099007/ CMAU5539577/TCNU5860335/CMAU4243256/GESU5688570</t>
  </si>
  <si>
    <t>J6310705</t>
  </si>
  <si>
    <t>LEXBRE190608122114</t>
  </si>
  <si>
    <t>J6310764</t>
  </si>
  <si>
    <t>SSZ0721418</t>
  </si>
  <si>
    <t>ECMU1878050</t>
  </si>
  <si>
    <t>j7310069</t>
  </si>
  <si>
    <t>MIL065247</t>
  </si>
  <si>
    <t>j7310035</t>
  </si>
  <si>
    <t>012019061294</t>
  </si>
  <si>
    <t>j6310861</t>
  </si>
  <si>
    <t>j6310888</t>
  </si>
  <si>
    <t>HLCULE1190639110</t>
  </si>
  <si>
    <t>UACU8572864</t>
  </si>
  <si>
    <t>j6310843</t>
  </si>
  <si>
    <t>ILSE014177</t>
  </si>
  <si>
    <t>j7310044</t>
  </si>
  <si>
    <t>ONEYRICVP6157700</t>
  </si>
  <si>
    <t>TCLU2375658/DRYU3098172/KKTU7826846</t>
  </si>
  <si>
    <t>j7310052</t>
  </si>
  <si>
    <t>ONEYRICVP6225300</t>
  </si>
  <si>
    <t>TRHU2441107/NYKU3477423/CXDU1652581</t>
  </si>
  <si>
    <t>j6610120</t>
  </si>
  <si>
    <t>610-19-03224-610225</t>
  </si>
  <si>
    <t>J6610016</t>
  </si>
  <si>
    <t>TWSC19050608</t>
  </si>
  <si>
    <t>MSKU5740999/MSKU2507242</t>
  </si>
  <si>
    <t>J5610075</t>
  </si>
  <si>
    <t>YMLUC240004287</t>
  </si>
  <si>
    <t>SEGU1160492</t>
  </si>
  <si>
    <t>J7510136</t>
  </si>
  <si>
    <t>4952166204</t>
  </si>
  <si>
    <t>ATL-111957</t>
  </si>
  <si>
    <t>J7510054</t>
  </si>
  <si>
    <t>1027544718</t>
  </si>
  <si>
    <t>j6310869</t>
  </si>
  <si>
    <t>HOU/CTG/D07041</t>
  </si>
  <si>
    <t>j6310868</t>
  </si>
  <si>
    <t>j7310149</t>
  </si>
  <si>
    <t>HOU/CTG/D07046</t>
  </si>
  <si>
    <t>j6310882</t>
  </si>
  <si>
    <t>ANR/CTG/13584</t>
  </si>
  <si>
    <t>j6310618</t>
  </si>
  <si>
    <t>FRA0351243</t>
  </si>
  <si>
    <t>HJMU4919992</t>
  </si>
  <si>
    <t>j6610035</t>
  </si>
  <si>
    <t>GXDRN19053111</t>
  </si>
  <si>
    <t>J7510165</t>
  </si>
  <si>
    <t>1027613384</t>
  </si>
  <si>
    <t>J7510140</t>
  </si>
  <si>
    <t>1027538179</t>
  </si>
  <si>
    <t>J7510167</t>
  </si>
  <si>
    <t>1027626122</t>
  </si>
  <si>
    <t>j7310059</t>
  </si>
  <si>
    <t>HLCURTM190623137</t>
  </si>
  <si>
    <t>HAMU1031654</t>
  </si>
  <si>
    <t>j7310091</t>
  </si>
  <si>
    <t>FRA0351220</t>
  </si>
  <si>
    <t>APZU4454525/TRLU8746122/APZU4876984</t>
  </si>
  <si>
    <t>j7310197</t>
  </si>
  <si>
    <t>j63t0004</t>
  </si>
  <si>
    <t>968887594</t>
  </si>
  <si>
    <t>MRKU7885984 / MRSU0147981</t>
  </si>
  <si>
    <t>J6310702</t>
  </si>
  <si>
    <t>SSZ0721773</t>
  </si>
  <si>
    <t>CMAU8308951</t>
  </si>
  <si>
    <t>J7310104</t>
  </si>
  <si>
    <t>HLCURTM190647174</t>
  </si>
  <si>
    <t>HLXU3727818</t>
  </si>
  <si>
    <t>J6310719</t>
  </si>
  <si>
    <t>MEDUBN951133</t>
  </si>
  <si>
    <t>MSCU4581379</t>
  </si>
  <si>
    <t>j7310102</t>
  </si>
  <si>
    <t>HLCURTM190636321</t>
  </si>
  <si>
    <t>HLBU9031352</t>
  </si>
  <si>
    <t>j6310842</t>
  </si>
  <si>
    <t>HLCURTM190602109</t>
  </si>
  <si>
    <t>UACU8208868</t>
  </si>
  <si>
    <t>j7310080</t>
  </si>
  <si>
    <t>FRA0350928</t>
  </si>
  <si>
    <t>TGCU2060055 / CMAU8020055</t>
  </si>
  <si>
    <t>j7310282</t>
  </si>
  <si>
    <t>SMLU5703666A</t>
  </si>
  <si>
    <t>FCIU4037970</t>
  </si>
  <si>
    <t>j7310073</t>
  </si>
  <si>
    <t>MEDUBP043442</t>
  </si>
  <si>
    <t>MEDU5373313</t>
  </si>
  <si>
    <t>j7310280</t>
  </si>
  <si>
    <t>HOU/CTG/D07036</t>
  </si>
  <si>
    <t>j7310039</t>
  </si>
  <si>
    <t>ANR/CTG/13606</t>
  </si>
  <si>
    <t xml:space="preserve">J7310507 </t>
  </si>
  <si>
    <t>HOU/CTG/D07034</t>
  </si>
  <si>
    <t>j7310077</t>
  </si>
  <si>
    <t>HAM/CTG/01673</t>
  </si>
  <si>
    <t>j7310110</t>
  </si>
  <si>
    <t>SNG0266677</t>
  </si>
  <si>
    <t>TEMU3308327</t>
  </si>
  <si>
    <t>j6310687</t>
  </si>
  <si>
    <t>FRA0350683</t>
  </si>
  <si>
    <t>SEGU1319780/CMAU0176890</t>
  </si>
  <si>
    <t>j7310290</t>
  </si>
  <si>
    <t>HLCURTM190619455</t>
  </si>
  <si>
    <t>HLXU1181517</t>
  </si>
  <si>
    <t>j7310056</t>
  </si>
  <si>
    <t>ANR/CTG/13607</t>
  </si>
  <si>
    <t>j7510151</t>
  </si>
  <si>
    <t>1027761836</t>
  </si>
  <si>
    <t>J7510245</t>
  </si>
  <si>
    <t>19J101528</t>
  </si>
  <si>
    <t>J7510303</t>
  </si>
  <si>
    <t>1027860504</t>
  </si>
  <si>
    <t>J7510196</t>
  </si>
  <si>
    <t>1027702749</t>
  </si>
  <si>
    <t>J7510220</t>
  </si>
  <si>
    <t>FMO0041586</t>
  </si>
  <si>
    <t>J7510271</t>
  </si>
  <si>
    <t>1027808480</t>
  </si>
  <si>
    <t>J7510203</t>
  </si>
  <si>
    <t>1027693245</t>
  </si>
  <si>
    <t>J7310477</t>
  </si>
  <si>
    <t>HLCURTM190639787</t>
  </si>
  <si>
    <t>HLBU2096367/UACU8400192</t>
  </si>
  <si>
    <t>J6310788</t>
  </si>
  <si>
    <t>DSV0043037</t>
  </si>
  <si>
    <t>J7310459</t>
  </si>
  <si>
    <t>HLCURTM190654318</t>
  </si>
  <si>
    <t>HLBU9068290</t>
  </si>
  <si>
    <t>J7310464</t>
  </si>
  <si>
    <t>FRA0351972</t>
  </si>
  <si>
    <t>CMAU5161466</t>
  </si>
  <si>
    <t>J7310423</t>
  </si>
  <si>
    <t>HLCURTM190611420</t>
  </si>
  <si>
    <t>TCLU1030034</t>
  </si>
  <si>
    <t>J7310248</t>
  </si>
  <si>
    <t>HLCURTM190628817</t>
  </si>
  <si>
    <t>CXDU1070024</t>
  </si>
  <si>
    <t>J7310145</t>
  </si>
  <si>
    <t>HLCURTM190619422</t>
  </si>
  <si>
    <t>HLXU3422275</t>
  </si>
  <si>
    <t>J7310419</t>
  </si>
  <si>
    <t>ANR/CTG/13621</t>
  </si>
  <si>
    <t>J7310512</t>
  </si>
  <si>
    <t>HLCURTM190639798</t>
  </si>
  <si>
    <t>FSCU4848030</t>
  </si>
  <si>
    <t>J7310314</t>
  </si>
  <si>
    <t>ANR/CTG/13610</t>
  </si>
  <si>
    <t>J6310805</t>
  </si>
  <si>
    <t>MEDUBK197417</t>
  </si>
  <si>
    <t>CXDU1172324</t>
  </si>
  <si>
    <t>J7310184/J7360015</t>
  </si>
  <si>
    <t>ANT1242369</t>
  </si>
  <si>
    <t>EXFU4415915/IHOU1640057/ILIU1840280/SLZU2527270</t>
  </si>
  <si>
    <t>J7310391 / J7360029</t>
  </si>
  <si>
    <t>ANT1243099</t>
  </si>
  <si>
    <t>IHOU1840116/SCZU8753487/SCZU8755730/SCZU8763280</t>
  </si>
  <si>
    <t>J7310490 / J7360031</t>
  </si>
  <si>
    <t xml:space="preserve">HLCUBSC1906BNZP7 </t>
  </si>
  <si>
    <t>CRXU8685603/ITTU4053409/TCLU9076957</t>
  </si>
  <si>
    <t>J7310544 / J7360036</t>
  </si>
  <si>
    <t>MEDUAM924513</t>
  </si>
  <si>
    <t>GESU8086216/IHOU1059510/TPTU8729922/TQMU1840144</t>
  </si>
  <si>
    <t>J7310541 / J7360034</t>
  </si>
  <si>
    <t>HLCUBSC190797283</t>
  </si>
  <si>
    <t>SEGU8042017</t>
  </si>
  <si>
    <t>J7310510</t>
  </si>
  <si>
    <t>HLCURTM190639776</t>
  </si>
  <si>
    <t>SLSU8063670</t>
  </si>
  <si>
    <t>J7310245</t>
  </si>
  <si>
    <t>ILSE015009</t>
  </si>
  <si>
    <t>J6310749</t>
  </si>
  <si>
    <t xml:space="preserve">MEDUBK227602 </t>
  </si>
  <si>
    <t>MEDU6640923 / CXDU1953097</t>
  </si>
  <si>
    <t>J6310726</t>
  </si>
  <si>
    <t>MEDUBN950978</t>
  </si>
  <si>
    <t>MEDU4177682</t>
  </si>
  <si>
    <t>J7310204</t>
  </si>
  <si>
    <t>FRA0352324</t>
  </si>
  <si>
    <t>FSCU4854898</t>
  </si>
  <si>
    <t>J6310890</t>
  </si>
  <si>
    <t>HLCUEUR190689373</t>
  </si>
  <si>
    <t>HLXU3250242 / HLXU1318575</t>
  </si>
  <si>
    <t>J7310365 / J7360028</t>
  </si>
  <si>
    <t>ANT1243168</t>
  </si>
  <si>
    <t>CRXU8685516/EXFU4416383/FPTU5008087/ITTU4054030</t>
  </si>
  <si>
    <t>J7310554 / J7360037</t>
  </si>
  <si>
    <t>MEDUAM917483</t>
  </si>
  <si>
    <t>ICTU2401631/ITTU3054993/EXFU5519093/CXTU1092112</t>
  </si>
  <si>
    <t>J7610022</t>
  </si>
  <si>
    <t>SUDUR9FRA003328X</t>
  </si>
  <si>
    <t>SUDU1329670</t>
  </si>
  <si>
    <t>J7610037</t>
  </si>
  <si>
    <t>SNG0267196</t>
  </si>
  <si>
    <t>TGHU1241606</t>
  </si>
  <si>
    <t>J7610010</t>
  </si>
  <si>
    <t>HOU/BUE/D02543</t>
  </si>
  <si>
    <t>J6610041</t>
  </si>
  <si>
    <t>TWSC19060040</t>
  </si>
  <si>
    <t>TCLU7178693</t>
  </si>
  <si>
    <t>J7610006</t>
  </si>
  <si>
    <t>ANR/BUN/04234</t>
  </si>
  <si>
    <t>j7310076</t>
  </si>
  <si>
    <t>MXMEX0000003814</t>
  </si>
  <si>
    <t>j73t0014</t>
  </si>
  <si>
    <t>HLCURTM190646540</t>
  </si>
  <si>
    <t>TGHU0546895</t>
  </si>
  <si>
    <t>j73t0027</t>
  </si>
  <si>
    <t xml:space="preserve">HLCUBSC1906BZUG0 </t>
  </si>
  <si>
    <t>DRYU4010458</t>
  </si>
  <si>
    <t>j73t0037</t>
  </si>
  <si>
    <t xml:space="preserve">HLCUBSC1906BSFC8 </t>
  </si>
  <si>
    <t xml:space="preserve">UACU8601197 </t>
  </si>
  <si>
    <t>AGO</t>
  </si>
  <si>
    <t>J7510383</t>
  </si>
  <si>
    <t>J7510327</t>
  </si>
  <si>
    <t>FRA0659260</t>
  </si>
  <si>
    <t>J7510155</t>
  </si>
  <si>
    <t>FMO0041867</t>
  </si>
  <si>
    <t>J8510024</t>
  </si>
  <si>
    <t>1028102302</t>
  </si>
  <si>
    <t>J7510204</t>
  </si>
  <si>
    <t>1027701789</t>
  </si>
  <si>
    <t>J8510023</t>
  </si>
  <si>
    <t>1028102410</t>
  </si>
  <si>
    <t>J7510461</t>
  </si>
  <si>
    <t>FRA0660155</t>
  </si>
  <si>
    <t>J7510405</t>
  </si>
  <si>
    <t>MHG-19006077</t>
  </si>
  <si>
    <t>J7510385</t>
  </si>
  <si>
    <t>549-27560116</t>
  </si>
  <si>
    <t>J7510382</t>
  </si>
  <si>
    <t>1027942831</t>
  </si>
  <si>
    <t>J8510082</t>
  </si>
  <si>
    <t>XBC9H054806</t>
  </si>
  <si>
    <t>J7510386</t>
  </si>
  <si>
    <t>FRA0659682</t>
  </si>
  <si>
    <t>J8510050</t>
  </si>
  <si>
    <t>1028142717</t>
  </si>
  <si>
    <t>J8510019</t>
  </si>
  <si>
    <t>1028102437</t>
  </si>
  <si>
    <t>J7510381</t>
  </si>
  <si>
    <t>1027942835</t>
  </si>
  <si>
    <t>J7510451</t>
  </si>
  <si>
    <t>775831498329 </t>
  </si>
  <si>
    <t>J8510029</t>
  </si>
  <si>
    <t>1028093291</t>
  </si>
  <si>
    <t>J8510085</t>
  </si>
  <si>
    <t>19J101766 </t>
  </si>
  <si>
    <t>J8510020</t>
  </si>
  <si>
    <t>1028100564</t>
  </si>
  <si>
    <t>J8510079</t>
  </si>
  <si>
    <t>J8510080</t>
  </si>
  <si>
    <t>J8510072</t>
  </si>
  <si>
    <t>FMO0042162</t>
  </si>
  <si>
    <t>J8510132</t>
  </si>
  <si>
    <t>J8510091</t>
  </si>
  <si>
    <t>FRA0661477</t>
  </si>
  <si>
    <t>J8510153</t>
  </si>
  <si>
    <t>MHG-19006593</t>
  </si>
  <si>
    <t>j7310041</t>
  </si>
  <si>
    <t>SSZ0722442</t>
  </si>
  <si>
    <t>APZU3572225</t>
  </si>
  <si>
    <t>j7610029</t>
  </si>
  <si>
    <t>SNG0267238</t>
  </si>
  <si>
    <t>FPTU5000738</t>
  </si>
  <si>
    <t>J7310070</t>
  </si>
  <si>
    <t>MEDUBP030712</t>
  </si>
  <si>
    <t>MEDU5812530</t>
  </si>
  <si>
    <t>J7310428</t>
  </si>
  <si>
    <t>DSV0043943</t>
  </si>
  <si>
    <t>j7310485</t>
  </si>
  <si>
    <t xml:space="preserve">MEDUBK556380 </t>
  </si>
  <si>
    <t>CAIU6677644 / TCLU7300348</t>
  </si>
  <si>
    <t>j7310692</t>
  </si>
  <si>
    <t>HLCURTM190704738</t>
  </si>
  <si>
    <t>GLDU3896340</t>
  </si>
  <si>
    <t>j7310603</t>
  </si>
  <si>
    <t>FRA0352463</t>
  </si>
  <si>
    <t>CMAU1150400</t>
  </si>
  <si>
    <t>j7310645</t>
  </si>
  <si>
    <t>FRA0352454</t>
  </si>
  <si>
    <t>CAIU2179237</t>
  </si>
  <si>
    <t>j7310872</t>
  </si>
  <si>
    <t>HOU/CTG/D07063</t>
  </si>
  <si>
    <t>j7310147</t>
  </si>
  <si>
    <t>SSZCTG1907051</t>
  </si>
  <si>
    <t>J7310339</t>
  </si>
  <si>
    <t>SSZCTG1907068</t>
  </si>
  <si>
    <t>j7310183</t>
  </si>
  <si>
    <t>SSZCTG1907050</t>
  </si>
  <si>
    <t>j7310576</t>
  </si>
  <si>
    <t>SSZ0722920</t>
  </si>
  <si>
    <t>CMAU2040120</t>
  </si>
  <si>
    <t>j7310761</t>
  </si>
  <si>
    <t>SUDU29001AHY7D2U</t>
  </si>
  <si>
    <t>MRKU0059912</t>
  </si>
  <si>
    <t>j7310292</t>
  </si>
  <si>
    <t>ANR/CTG/13601</t>
  </si>
  <si>
    <t>J7310727</t>
  </si>
  <si>
    <t>HLCURTM190673900</t>
  </si>
  <si>
    <t>HLBU1395105</t>
  </si>
  <si>
    <t>4951268367</t>
  </si>
  <si>
    <t>j7310465</t>
  </si>
  <si>
    <t>ANR/CTG/13616</t>
  </si>
  <si>
    <t>j7310417</t>
  </si>
  <si>
    <t>HLCUHAM190726698</t>
  </si>
  <si>
    <t>HLXU3718360</t>
  </si>
  <si>
    <t>j7310283</t>
  </si>
  <si>
    <t>DSV0043765</t>
  </si>
  <si>
    <t>j7310687</t>
  </si>
  <si>
    <t xml:space="preserve">HLCURTM190659366 </t>
  </si>
  <si>
    <t>HLXU3156956</t>
  </si>
  <si>
    <t>j7310774</t>
  </si>
  <si>
    <t>FRA0352816</t>
  </si>
  <si>
    <t>CMAU9054234/FSCU4819639</t>
  </si>
  <si>
    <t>j7610078</t>
  </si>
  <si>
    <t>ANR/BUN/04240</t>
  </si>
  <si>
    <t>j7310574</t>
  </si>
  <si>
    <t>FRA0353563</t>
  </si>
  <si>
    <t>MAGU2525374 / GLDU9903549 / CAXU3360874</t>
  </si>
  <si>
    <t>j7310753</t>
  </si>
  <si>
    <t>ANR/CTG/13645</t>
  </si>
  <si>
    <t>j7310495</t>
  </si>
  <si>
    <t>ANR/CTG/13633</t>
  </si>
  <si>
    <t>j7310950</t>
  </si>
  <si>
    <t>4951574722 </t>
  </si>
  <si>
    <t>ONEYRICVS5616900</t>
  </si>
  <si>
    <t>TCLU8304163</t>
  </si>
  <si>
    <t>J7310487</t>
  </si>
  <si>
    <t>ANR/CTG/13624</t>
  </si>
  <si>
    <t>J7310760</t>
  </si>
  <si>
    <t>012019070324</t>
  </si>
  <si>
    <t>J6310845</t>
  </si>
  <si>
    <t>MEDUBP017800</t>
  </si>
  <si>
    <t>CAIU2823015 / TRHU1500102</t>
  </si>
  <si>
    <t>j7310914</t>
  </si>
  <si>
    <t>HOU/CTG/D07068</t>
  </si>
  <si>
    <t>j7310758</t>
  </si>
  <si>
    <t>ANR/CTG/13646</t>
  </si>
  <si>
    <t>j7310546</t>
  </si>
  <si>
    <t>HLCUBSC190736440</t>
  </si>
  <si>
    <t>FCIU4746322</t>
  </si>
  <si>
    <t>j7310397</t>
  </si>
  <si>
    <t>012019062275</t>
  </si>
  <si>
    <t>j7310286</t>
  </si>
  <si>
    <t>ANR/CTG/13620</t>
  </si>
  <si>
    <t>j7310548</t>
  </si>
  <si>
    <t>012019070201</t>
  </si>
  <si>
    <t>j7310955</t>
  </si>
  <si>
    <t>HOU/CTG/D07073</t>
  </si>
  <si>
    <t>j7310032</t>
  </si>
  <si>
    <t>MEDUBP030878</t>
  </si>
  <si>
    <t>GLDU9528704</t>
  </si>
  <si>
    <t>j7310066</t>
  </si>
  <si>
    <t>SSZCTG1907031</t>
  </si>
  <si>
    <t>j7310313</t>
  </si>
  <si>
    <t>ANR/CTG/13615</t>
  </si>
  <si>
    <t>j7310398</t>
  </si>
  <si>
    <t>ANR/CTG/13614</t>
  </si>
  <si>
    <t>j7310781</t>
  </si>
  <si>
    <t>012019070923</t>
  </si>
  <si>
    <t>j7310178</t>
  </si>
  <si>
    <t>SSZCTG1907009</t>
  </si>
  <si>
    <t>j7310318</t>
  </si>
  <si>
    <t>012019061721</t>
  </si>
  <si>
    <t>j7310336</t>
  </si>
  <si>
    <t>SSZ0724725</t>
  </si>
  <si>
    <t>FCIU8632919</t>
  </si>
  <si>
    <t>j7310144</t>
  </si>
  <si>
    <t>FRA0352446</t>
  </si>
  <si>
    <t>TTNU1152500</t>
  </si>
  <si>
    <t>j7310575</t>
  </si>
  <si>
    <t>HLCURTM190669710</t>
  </si>
  <si>
    <t>HAMU1059348</t>
  </si>
  <si>
    <t>j7310418</t>
  </si>
  <si>
    <t>FRA0353041</t>
  </si>
  <si>
    <t>ECMU4505699</t>
  </si>
  <si>
    <t>j7310335</t>
  </si>
  <si>
    <t>HOU/CTG/D07025</t>
  </si>
  <si>
    <t>J7310539 / J7360033</t>
  </si>
  <si>
    <t>ANT1244794</t>
  </si>
  <si>
    <t>CRXU8600777/CRXU8608802/CRXU8688198/TQMU1845547</t>
  </si>
  <si>
    <t>J7310793/J7360050</t>
  </si>
  <si>
    <t>HLCUBSC190740863</t>
  </si>
  <si>
    <t>CXTU1126948/ITTU3056255</t>
  </si>
  <si>
    <t>j73t0013</t>
  </si>
  <si>
    <t>SSZCTG1906132</t>
  </si>
  <si>
    <t>j63t0046</t>
  </si>
  <si>
    <t>SSZCTG1906133</t>
  </si>
  <si>
    <t>J7310875</t>
  </si>
  <si>
    <t>4951149025</t>
  </si>
  <si>
    <t>ANR/CTG/13670</t>
  </si>
  <si>
    <t>J7310848</t>
  </si>
  <si>
    <t>HLCURTM190707301 </t>
  </si>
  <si>
    <t>UACU8451013</t>
  </si>
  <si>
    <t>J7310778</t>
  </si>
  <si>
    <t>HLCURTM190719051</t>
  </si>
  <si>
    <t>UACU8211033</t>
  </si>
  <si>
    <t>J7310338</t>
  </si>
  <si>
    <t>SSZ0722956</t>
  </si>
  <si>
    <t>CMAU0873529</t>
  </si>
  <si>
    <t>j7310518</t>
  </si>
  <si>
    <t>ANR/CTG/13634</t>
  </si>
  <si>
    <t>J7310344</t>
  </si>
  <si>
    <t>LEXBRE190708121420</t>
  </si>
  <si>
    <t>J7311004</t>
  </si>
  <si>
    <t>ANT1245137</t>
  </si>
  <si>
    <t>GESU3572621</t>
  </si>
  <si>
    <t>J7310756</t>
  </si>
  <si>
    <t>FRA0353343</t>
  </si>
  <si>
    <t>TEMU1092270</t>
  </si>
  <si>
    <t>j7310938</t>
  </si>
  <si>
    <t>HLCUME3190736999</t>
  </si>
  <si>
    <t>TCLU4133421</t>
  </si>
  <si>
    <t>j7610134</t>
  </si>
  <si>
    <t>SNG0268522</t>
  </si>
  <si>
    <t>CRXU8684952</t>
  </si>
  <si>
    <t>j7610001</t>
  </si>
  <si>
    <t>HLCUBSC190697157</t>
  </si>
  <si>
    <t>HLXU3049243</t>
  </si>
  <si>
    <t>j7310750</t>
  </si>
  <si>
    <t>012019070731</t>
  </si>
  <si>
    <t>j7610085</t>
  </si>
  <si>
    <t>SNG0267805</t>
  </si>
  <si>
    <t>IHOU3057711</t>
  </si>
  <si>
    <t>j6310827</t>
  </si>
  <si>
    <t>HLCULE1190668182</t>
  </si>
  <si>
    <t>CAIU9761980</t>
  </si>
  <si>
    <t>j7610093</t>
  </si>
  <si>
    <t>SUDUC9FRA003611X</t>
  </si>
  <si>
    <t>MSKU7314821</t>
  </si>
  <si>
    <t>j7610108</t>
  </si>
  <si>
    <t>731900090540</t>
  </si>
  <si>
    <t>EITU1116956/EITU1307295/TCLU9455837</t>
  </si>
  <si>
    <t>j7310831</t>
  </si>
  <si>
    <t>HLCURTM190707111</t>
  </si>
  <si>
    <t>HLXU8797612</t>
  </si>
  <si>
    <t>j8310064</t>
  </si>
  <si>
    <t>4951757382 </t>
  </si>
  <si>
    <t>FRA0353472</t>
  </si>
  <si>
    <t>CMAU0760311/TRHU1059050</t>
  </si>
  <si>
    <t>j7310871</t>
  </si>
  <si>
    <t>FRA0354179</t>
  </si>
  <si>
    <t>CMAU1356921</t>
  </si>
  <si>
    <t>J73T0042</t>
  </si>
  <si>
    <t xml:space="preserve">SSZCTG1907052 </t>
  </si>
  <si>
    <t>j7311008</t>
  </si>
  <si>
    <t>FRA0354165</t>
  </si>
  <si>
    <t>APZU4581427</t>
  </si>
  <si>
    <t>j8310088</t>
  </si>
  <si>
    <t>FRA0351595</t>
  </si>
  <si>
    <t>APZU3350568</t>
  </si>
  <si>
    <t>j7311012</t>
  </si>
  <si>
    <t>FRA0354184</t>
  </si>
  <si>
    <t>TEMU4088084</t>
  </si>
  <si>
    <t>j7310830</t>
  </si>
  <si>
    <t>FRA0354249</t>
  </si>
  <si>
    <t>TCLU7448973</t>
  </si>
  <si>
    <t>j7310767</t>
  </si>
  <si>
    <t>COSU4510628070</t>
  </si>
  <si>
    <t>CCLU5243710</t>
  </si>
  <si>
    <t>J7310143</t>
  </si>
  <si>
    <t>SSZ0722942</t>
  </si>
  <si>
    <t>CAIU7322700</t>
  </si>
  <si>
    <t>J7310551</t>
  </si>
  <si>
    <t>FRA0352237</t>
  </si>
  <si>
    <t>TEMU1034886</t>
  </si>
  <si>
    <t>J7310733</t>
  </si>
  <si>
    <t>4951325262</t>
  </si>
  <si>
    <t>HLCURTM190673731</t>
  </si>
  <si>
    <t>GATU8804600</t>
  </si>
  <si>
    <t>J7310651</t>
  </si>
  <si>
    <t>ANR/CTG/13632</t>
  </si>
  <si>
    <t>J7310563</t>
  </si>
  <si>
    <t>HLCURTM190719073</t>
  </si>
  <si>
    <t>GESU9485503</t>
  </si>
  <si>
    <t>4951348235</t>
  </si>
  <si>
    <t>J7310983</t>
  </si>
  <si>
    <t>HLCUBSC1907AZHS1</t>
  </si>
  <si>
    <t>UACU8425122</t>
  </si>
  <si>
    <t>j8310063</t>
  </si>
  <si>
    <t>ANR/CTG/13660</t>
  </si>
  <si>
    <t>j73t0041</t>
  </si>
  <si>
    <t xml:space="preserve">HLCUBSC190774808 </t>
  </si>
  <si>
    <t>HLBU1057113</t>
  </si>
  <si>
    <t>j7310976</t>
  </si>
  <si>
    <t>ANR/CTG/13648</t>
  </si>
  <si>
    <t>j7310940</t>
  </si>
  <si>
    <t>HLCUME3190727560</t>
  </si>
  <si>
    <t>HAMU1046058</t>
  </si>
  <si>
    <t>j7310876</t>
  </si>
  <si>
    <t>FRA0353750</t>
  </si>
  <si>
    <t>APZU4474732</t>
  </si>
  <si>
    <t>j7310957</t>
  </si>
  <si>
    <t>MIL067655</t>
  </si>
  <si>
    <t>j7310468</t>
  </si>
  <si>
    <t>HLCURTM190719040</t>
  </si>
  <si>
    <t>UACU4092337</t>
  </si>
  <si>
    <t>j8310162</t>
  </si>
  <si>
    <t>4951772321</t>
  </si>
  <si>
    <t>HOU/CTG/D07089</t>
  </si>
  <si>
    <t>j7310630</t>
  </si>
  <si>
    <t>MIL066549</t>
  </si>
  <si>
    <t>j7310730</t>
  </si>
  <si>
    <t>FRA0352595 </t>
  </si>
  <si>
    <t>CMAU1013769</t>
  </si>
  <si>
    <t>j7310734</t>
  </si>
  <si>
    <t>HLCUBC1190708715</t>
  </si>
  <si>
    <t>UACU3753710</t>
  </si>
  <si>
    <t>j7610174</t>
  </si>
  <si>
    <t>EGLV731900092216</t>
  </si>
  <si>
    <t>HMCU9155750/EGHU9442346</t>
  </si>
  <si>
    <t>j7310947</t>
  </si>
  <si>
    <t>FRA0353350</t>
  </si>
  <si>
    <t>APZU4619559</t>
  </si>
  <si>
    <t>j7310881</t>
  </si>
  <si>
    <t>ANR/CTG/13638</t>
  </si>
  <si>
    <t>J7310979/J7360064</t>
  </si>
  <si>
    <t>HLCUBSC190739459</t>
  </si>
  <si>
    <t>EXFU5523160</t>
  </si>
  <si>
    <t>J8310112/J8360009</t>
  </si>
  <si>
    <t>MEDUAM963313</t>
  </si>
  <si>
    <t>IHOU3058180/EXFU5518224/TCLU9069238/SLZU2523757</t>
  </si>
  <si>
    <t>J7310992/J7360067</t>
  </si>
  <si>
    <t>ANT1246574</t>
  </si>
  <si>
    <t>IHOU3052350/IHOU3053399/IHOU3053450</t>
  </si>
  <si>
    <t>J8310263/J8360023</t>
  </si>
  <si>
    <t>SUDU29001AI7VFD7</t>
  </si>
  <si>
    <t>CRXU8691930/IHOU1049390/IHOU3050722</t>
  </si>
  <si>
    <t>j8310375</t>
  </si>
  <si>
    <t>012019071618</t>
  </si>
  <si>
    <t>j8310069</t>
  </si>
  <si>
    <t>HLCURTM190755436</t>
  </si>
  <si>
    <t>SEGU9419131</t>
  </si>
  <si>
    <t>j7310396</t>
  </si>
  <si>
    <t>HLCURTM190654161</t>
  </si>
  <si>
    <t>UAEU1248803</t>
  </si>
  <si>
    <t>j8310168</t>
  </si>
  <si>
    <t>ANR/CTG/13680</t>
  </si>
  <si>
    <t>j8310359</t>
  </si>
  <si>
    <t>012019072090</t>
  </si>
  <si>
    <t>j8310369</t>
  </si>
  <si>
    <t>4952461121 </t>
  </si>
  <si>
    <t>012019072092</t>
  </si>
  <si>
    <t>j8310374</t>
  </si>
  <si>
    <t>ANR/CTG/13684</t>
  </si>
  <si>
    <t>j7310882</t>
  </si>
  <si>
    <t>ANR/CTG/13662</t>
  </si>
  <si>
    <t>J7310789</t>
  </si>
  <si>
    <t>HLCURTM190734189</t>
  </si>
  <si>
    <t>HLXU3733148</t>
  </si>
  <si>
    <t>J7310995</t>
  </si>
  <si>
    <t>4951271211 </t>
  </si>
  <si>
    <t>MEDUIN450602 </t>
  </si>
  <si>
    <t>TCLU2719901</t>
  </si>
  <si>
    <t>J8310380</t>
  </si>
  <si>
    <t>012019072162</t>
  </si>
  <si>
    <t>J8310355</t>
  </si>
  <si>
    <t>HOU/CTG/D07079</t>
  </si>
  <si>
    <t>J7310953</t>
  </si>
  <si>
    <t>SSZ0727460</t>
  </si>
  <si>
    <t>TCKU3533920 / TRLU8984033 / ECMU1791156 / TGHU1899449 / GESU1103517 / CMAU1879901 / TGHU1336147</t>
  </si>
  <si>
    <t>J7310549</t>
  </si>
  <si>
    <t>J8310073</t>
  </si>
  <si>
    <t>ANR/CTG/13661</t>
  </si>
  <si>
    <t>j7610112</t>
  </si>
  <si>
    <t>TWSC19070064</t>
  </si>
  <si>
    <t>TEMU0132260/MRKU6641200</t>
  </si>
  <si>
    <t>j8310079</t>
  </si>
  <si>
    <t>ANR/CTG/13659</t>
  </si>
  <si>
    <t>j7610183</t>
  </si>
  <si>
    <t>4951016430 </t>
  </si>
  <si>
    <t>EGLV731900095754</t>
  </si>
  <si>
    <t>EGHU9184302</t>
  </si>
  <si>
    <t>j7311015</t>
  </si>
  <si>
    <t>FRA0354239</t>
  </si>
  <si>
    <t>ECMU4571094/ECMU4702975</t>
  </si>
  <si>
    <t>j7310984</t>
  </si>
  <si>
    <t>SSZCTG1907077</t>
  </si>
  <si>
    <t>j8310061</t>
  </si>
  <si>
    <t>HLCURTM190653074</t>
  </si>
  <si>
    <t>UACU4802505</t>
  </si>
  <si>
    <t>j8310089</t>
  </si>
  <si>
    <t>4952172251 </t>
  </si>
  <si>
    <t>DSV0048077</t>
  </si>
  <si>
    <t>j8610008</t>
  </si>
  <si>
    <t>7310-0958-907.011</t>
  </si>
  <si>
    <t>j6610117</t>
  </si>
  <si>
    <t>YMLUC240004403</t>
  </si>
  <si>
    <t>CAIU6498361</t>
  </si>
  <si>
    <t>j7310958</t>
  </si>
  <si>
    <t>SSZ0729027</t>
  </si>
  <si>
    <t>CMAU0581390</t>
  </si>
  <si>
    <t>j8310378</t>
  </si>
  <si>
    <t>FRA0354882</t>
  </si>
  <si>
    <t>TCKU2735443</t>
  </si>
  <si>
    <t>j7310665</t>
  </si>
  <si>
    <t>ANT1249916</t>
  </si>
  <si>
    <t>IHOU1810019</t>
  </si>
  <si>
    <t>j8310086</t>
  </si>
  <si>
    <t>HLCURTM190756702</t>
  </si>
  <si>
    <t>TRLU9696962</t>
  </si>
  <si>
    <t>j8310078</t>
  </si>
  <si>
    <t>FRA0354118</t>
  </si>
  <si>
    <t>APZU3955862</t>
  </si>
  <si>
    <t>j8310491</t>
  </si>
  <si>
    <t>4952136161 </t>
  </si>
  <si>
    <t>SUDU29001AIAMK93</t>
  </si>
  <si>
    <t>MRKU0805246</t>
  </si>
  <si>
    <t>j7310890</t>
  </si>
  <si>
    <t>SSZ0730248</t>
  </si>
  <si>
    <t>UNIU2043395</t>
  </si>
  <si>
    <t>j7310975</t>
  </si>
  <si>
    <t>LHV2103113</t>
  </si>
  <si>
    <t>APZU4846866</t>
  </si>
  <si>
    <t>j8310222</t>
  </si>
  <si>
    <t>HLCURTM190763203</t>
  </si>
  <si>
    <t>TCLU8988852</t>
  </si>
  <si>
    <t>j73t0064</t>
  </si>
  <si>
    <t>SSZCTG1907093</t>
  </si>
  <si>
    <t>j83t0012</t>
  </si>
  <si>
    <t>SUDU29001AI7V3W0 </t>
  </si>
  <si>
    <t>MSKU5602644</t>
  </si>
  <si>
    <t>j8310083</t>
  </si>
  <si>
    <t>SSZ0730851</t>
  </si>
  <si>
    <t>TCLU8971398</t>
  </si>
  <si>
    <t>j8310383</t>
  </si>
  <si>
    <t>MEDUBK931047</t>
  </si>
  <si>
    <t>BSIU4072855</t>
  </si>
  <si>
    <t>j8310332</t>
  </si>
  <si>
    <t>ANR/CTG/13696</t>
  </si>
  <si>
    <t>J8310229 / J8360019</t>
  </si>
  <si>
    <t>MEDUAO044930</t>
  </si>
  <si>
    <t>SLZU2531480/TCLU9069351/IHOU3058019/ITTU3053889</t>
  </si>
  <si>
    <t>J7310866/J7360057</t>
  </si>
  <si>
    <t>MEDUAM981281</t>
  </si>
  <si>
    <t>FPTU5011136/EXFU5507066/SCZU8731446/IHOU1840800</t>
  </si>
  <si>
    <t>J8310218/J8360017</t>
  </si>
  <si>
    <t>HLCUBSC1907BSMF2</t>
  </si>
  <si>
    <t>ITTU4053230/TIFU1501417</t>
  </si>
  <si>
    <t>J8310227/J8360018</t>
  </si>
  <si>
    <t>ANT1249127</t>
  </si>
  <si>
    <t>CRXU8688238/EXFU5500462/TIFU1754858/TQMU1840360</t>
  </si>
  <si>
    <t>j83t0018</t>
  </si>
  <si>
    <t>HLCUBSC1907BNUM0</t>
  </si>
  <si>
    <t>HLXU5366458</t>
  </si>
  <si>
    <t>J8310667 / J8360045</t>
  </si>
  <si>
    <t>HLCUBSC1908ARVM7</t>
  </si>
  <si>
    <t>ITTU1053811</t>
  </si>
  <si>
    <t>J8310671 / J8360047</t>
  </si>
  <si>
    <t>HLCUBSC1908AOZL0</t>
  </si>
  <si>
    <t>RFCU8228353/RLTU2007081</t>
  </si>
  <si>
    <t>J8310669 / J8360046</t>
  </si>
  <si>
    <t>HLCUBSC1908AOWU1</t>
  </si>
  <si>
    <t>IHOU1057570/ITTU1056981</t>
  </si>
  <si>
    <t>J8310245</t>
  </si>
  <si>
    <t>HLCURTM190739394</t>
  </si>
  <si>
    <t>GESU3610927</t>
  </si>
  <si>
    <t>J8310114</t>
  </si>
  <si>
    <t>SSZCTG1908032</t>
  </si>
  <si>
    <t>J8310437</t>
  </si>
  <si>
    <t>FRA0354769</t>
  </si>
  <si>
    <t>CMAU4311920</t>
  </si>
  <si>
    <t>J7310842</t>
  </si>
  <si>
    <t>MEDUIN590365</t>
  </si>
  <si>
    <t>MEDU8277653</t>
  </si>
  <si>
    <t>J8310376</t>
  </si>
  <si>
    <t>MEDUB9208167</t>
  </si>
  <si>
    <t>MEDU4123602/MEDU4318760/MSCU4894769</t>
  </si>
  <si>
    <t>J8310167</t>
  </si>
  <si>
    <t>SSZCTG1908015</t>
  </si>
  <si>
    <t>J7310843</t>
  </si>
  <si>
    <t>MEDUIN616210</t>
  </si>
  <si>
    <t>MEDU2327253</t>
  </si>
  <si>
    <t>J8310487</t>
  </si>
  <si>
    <t>4951726530</t>
  </si>
  <si>
    <t>SUDU29001AIAM931</t>
  </si>
  <si>
    <t>TCLU2324096</t>
  </si>
  <si>
    <t>J8310108</t>
  </si>
  <si>
    <t>HLCURTM190737344</t>
  </si>
  <si>
    <t>HLXU8774582</t>
  </si>
  <si>
    <t>j8310094</t>
  </si>
  <si>
    <t>HLCURTM190768704</t>
  </si>
  <si>
    <t>BSIU4059920/UACU8593682</t>
  </si>
  <si>
    <t>SEP</t>
  </si>
  <si>
    <t>J8510104</t>
  </si>
  <si>
    <t>DSV0051379</t>
  </si>
  <si>
    <t>J8510187</t>
  </si>
  <si>
    <t>1028327744</t>
  </si>
  <si>
    <t>J8510205</t>
  </si>
  <si>
    <t>J8510220</t>
  </si>
  <si>
    <t>4953066114 </t>
  </si>
  <si>
    <t>19J101830</t>
  </si>
  <si>
    <t>j7310783</t>
  </si>
  <si>
    <t>BUECTG1906006</t>
  </si>
  <si>
    <t>j8310403</t>
  </si>
  <si>
    <t>HLCUBSC1907BSGW1</t>
  </si>
  <si>
    <t>BSIU3257108</t>
  </si>
  <si>
    <t>j8610054</t>
  </si>
  <si>
    <t>EGLV731900103650</t>
  </si>
  <si>
    <t>TCLU8320858</t>
  </si>
  <si>
    <t>j8310775</t>
  </si>
  <si>
    <t>ANR/CTG/13686</t>
  </si>
  <si>
    <t>j8310474</t>
  </si>
  <si>
    <t>ANR/CTG/13683</t>
  </si>
  <si>
    <t>j8310670</t>
  </si>
  <si>
    <t>4951315464 </t>
  </si>
  <si>
    <t>ONEYRICVQ2232500</t>
  </si>
  <si>
    <t>TRHU3693248/SEGU1094209/TRHU3779655</t>
  </si>
  <si>
    <t>j8310702</t>
  </si>
  <si>
    <t>SUDU29001AIEZ44R </t>
  </si>
  <si>
    <t>SUDU7755292</t>
  </si>
  <si>
    <t>j8310741</t>
  </si>
  <si>
    <t>4952374009 </t>
  </si>
  <si>
    <t>HOU/CTG/D07081 </t>
  </si>
  <si>
    <t>J8310260</t>
  </si>
  <si>
    <t>ANR/CTG/13688</t>
  </si>
  <si>
    <t>j8310156</t>
  </si>
  <si>
    <t>FRA0355527</t>
  </si>
  <si>
    <t>TRHU3590471</t>
  </si>
  <si>
    <t>j8310157</t>
  </si>
  <si>
    <t>FRA0355401</t>
  </si>
  <si>
    <t>TGHU5042984</t>
  </si>
  <si>
    <t>j7310769</t>
  </si>
  <si>
    <t>SSZ0732071</t>
  </si>
  <si>
    <t>CMAU1603507</t>
  </si>
  <si>
    <t>j8310304</t>
  </si>
  <si>
    <t>HLCUEUR190790753</t>
  </si>
  <si>
    <t>HLXU1210430</t>
  </si>
  <si>
    <t>j7310991</t>
  </si>
  <si>
    <t>ANT1249781</t>
  </si>
  <si>
    <t>IHOU1810045</t>
  </si>
  <si>
    <t>j8310781</t>
  </si>
  <si>
    <t>FRA0355622</t>
  </si>
  <si>
    <t>GESU6659725</t>
  </si>
  <si>
    <t>J8310672</t>
  </si>
  <si>
    <t>HLCUANR190819736</t>
  </si>
  <si>
    <t>TCLU4790299</t>
  </si>
  <si>
    <t>J8310908 / J8360063</t>
  </si>
  <si>
    <t>HLCUBSC1908BAQP8</t>
  </si>
  <si>
    <t>EXFU5522292/FPTU5006269/IHOU3056757/IHOU3058683</t>
  </si>
  <si>
    <t>j8310358</t>
  </si>
  <si>
    <t>ANR/CTG/13687</t>
  </si>
  <si>
    <t>j8310879</t>
  </si>
  <si>
    <t>ANR/CTG/13719</t>
  </si>
  <si>
    <t>j8310622</t>
  </si>
  <si>
    <t>4952370491 </t>
  </si>
  <si>
    <t>SSZCTG1908033</t>
  </si>
  <si>
    <t>j8310742</t>
  </si>
  <si>
    <t>ANR/CTG/13702</t>
  </si>
  <si>
    <t>J8510388</t>
  </si>
  <si>
    <t>J8510386</t>
  </si>
  <si>
    <t>J8510394</t>
  </si>
  <si>
    <t>J8510336</t>
  </si>
  <si>
    <t>FRA0665571</t>
  </si>
  <si>
    <t>J8510347</t>
  </si>
  <si>
    <t>MHG19006874</t>
  </si>
  <si>
    <t>J8510226</t>
  </si>
  <si>
    <t>19J101831</t>
  </si>
  <si>
    <t>J8510363</t>
  </si>
  <si>
    <t>19J101897</t>
  </si>
  <si>
    <t>J8510186</t>
  </si>
  <si>
    <t>1028376293</t>
  </si>
  <si>
    <t>J8510282</t>
  </si>
  <si>
    <t>J8510346</t>
  </si>
  <si>
    <t>MHG19006846</t>
  </si>
  <si>
    <t>J8310091</t>
  </si>
  <si>
    <t>HAM024230</t>
  </si>
  <si>
    <t>J8310216</t>
  </si>
  <si>
    <t>SSZCTG1908052</t>
  </si>
  <si>
    <t>J8310356</t>
  </si>
  <si>
    <t>MEDUBK840602</t>
  </si>
  <si>
    <t>MEDU1374918</t>
  </si>
  <si>
    <t>J8310817</t>
  </si>
  <si>
    <t>ANR/CTG/13699</t>
  </si>
  <si>
    <t>J7310977/J7360063</t>
  </si>
  <si>
    <t>HLCUBSC1907BCAD8</t>
  </si>
  <si>
    <t>TQMU1855822</t>
  </si>
  <si>
    <t>J8310261</t>
  </si>
  <si>
    <t>HAM024369</t>
  </si>
  <si>
    <t>J8310449</t>
  </si>
  <si>
    <t>HAM/CTG/01696</t>
  </si>
  <si>
    <t>j8310849</t>
  </si>
  <si>
    <t>ANR/CTG/13697</t>
  </si>
  <si>
    <t>j8310475</t>
  </si>
  <si>
    <t>ANR/CTG/13694</t>
  </si>
  <si>
    <t>j8310095</t>
  </si>
  <si>
    <t>FRA0355206</t>
  </si>
  <si>
    <t>APZU4327979</t>
  </si>
  <si>
    <t>J8310772</t>
  </si>
  <si>
    <t>ANR/CTG/13708</t>
  </si>
  <si>
    <t>j8310837</t>
  </si>
  <si>
    <t>FRA0356112</t>
  </si>
  <si>
    <t>ECMU4629391</t>
  </si>
  <si>
    <t>j8310357</t>
  </si>
  <si>
    <t>012019072928</t>
  </si>
  <si>
    <t>J8310617</t>
  </si>
  <si>
    <t>HLCURTM190769550</t>
  </si>
  <si>
    <t>HLXU8097250</t>
  </si>
  <si>
    <t>J8310839</t>
  </si>
  <si>
    <t xml:space="preserve">HLCURTM190806139 </t>
  </si>
  <si>
    <t>GESU1255464</t>
  </si>
  <si>
    <t>j8310698</t>
  </si>
  <si>
    <t>HLCURTM190820347</t>
  </si>
  <si>
    <t>HLBU1520399</t>
  </si>
  <si>
    <t>j8310923</t>
  </si>
  <si>
    <t>ONEYRICVV3544800</t>
  </si>
  <si>
    <t>KKTU8174470/FBIU0321626</t>
  </si>
  <si>
    <t>J8610044</t>
  </si>
  <si>
    <t>SUDU29297AI5LMBL</t>
  </si>
  <si>
    <t>TIFU1722531</t>
  </si>
  <si>
    <t>j8610032</t>
  </si>
  <si>
    <t>4951958173 </t>
  </si>
  <si>
    <t>YMLUC236017626</t>
  </si>
  <si>
    <t>BEAU5082884</t>
  </si>
  <si>
    <t>j8610028</t>
  </si>
  <si>
    <t>ANR/BUN/04253</t>
  </si>
  <si>
    <t>j7610185</t>
  </si>
  <si>
    <t>ANR/BUN/04246</t>
  </si>
  <si>
    <t>J8310626</t>
  </si>
  <si>
    <t>HLCURTM190770804</t>
  </si>
  <si>
    <t>TEMU6703876</t>
  </si>
  <si>
    <t>j8310618</t>
  </si>
  <si>
    <t>HLCURTM190805834</t>
  </si>
  <si>
    <t>HLBU1534453 / HLBU1274269</t>
  </si>
  <si>
    <t>j8310983</t>
  </si>
  <si>
    <t>SUDU29001AIJHV71</t>
  </si>
  <si>
    <t>MRKU6983076</t>
  </si>
  <si>
    <t>j8310840</t>
  </si>
  <si>
    <t>HLCURTM190786069</t>
  </si>
  <si>
    <t>HLXU5198694 / BSIU4044215</t>
  </si>
  <si>
    <t>j8310851</t>
  </si>
  <si>
    <t>FRA0356184</t>
  </si>
  <si>
    <t>CAIU3362047</t>
  </si>
  <si>
    <t>J8310531</t>
  </si>
  <si>
    <t>FRA0356325</t>
  </si>
  <si>
    <t>APZU4622022 / TCLU4450426 / AXIU4335009</t>
  </si>
  <si>
    <t>j8310420</t>
  </si>
  <si>
    <t>MIL069548</t>
  </si>
  <si>
    <t>J8310987</t>
  </si>
  <si>
    <t>HAM/CTG/01701</t>
  </si>
  <si>
    <t>J8310615</t>
  </si>
  <si>
    <t>LEXBRE 190808120582</t>
  </si>
  <si>
    <t>J8310935</t>
  </si>
  <si>
    <t>ANR/CTG/13716</t>
  </si>
  <si>
    <t>J8310982</t>
  </si>
  <si>
    <t>SUDU29001AIJH002</t>
  </si>
  <si>
    <t>FXLU1703555</t>
  </si>
  <si>
    <t>j8310774</t>
  </si>
  <si>
    <t>ANR/CTG/13700</t>
  </si>
  <si>
    <t>J8310858</t>
  </si>
  <si>
    <t>ANR/CTG/13750</t>
  </si>
  <si>
    <t>J7310693</t>
  </si>
  <si>
    <t>TWN0365002</t>
  </si>
  <si>
    <t>FCIU6182622</t>
  </si>
  <si>
    <t>j8310271</t>
  </si>
  <si>
    <t>HLCURTM190770614</t>
  </si>
  <si>
    <t>GESU9353913</t>
  </si>
  <si>
    <t>j8310644</t>
  </si>
  <si>
    <t>4952701179 </t>
  </si>
  <si>
    <t>MIL070433</t>
  </si>
  <si>
    <t>j8310733</t>
  </si>
  <si>
    <t>SSZ0733552</t>
  </si>
  <si>
    <t>TCNU1029811 / GESU6666405</t>
  </si>
  <si>
    <t>J8310841</t>
  </si>
  <si>
    <t>HLCURTM190820018</t>
  </si>
  <si>
    <t>UACU4786615</t>
  </si>
  <si>
    <t>j8310842</t>
  </si>
  <si>
    <t>HLCURTM190802394</t>
  </si>
  <si>
    <t>TTNU8194744</t>
  </si>
  <si>
    <t>j8310620</t>
  </si>
  <si>
    <t>4952367463 </t>
  </si>
  <si>
    <t>HLCURTM190762266</t>
  </si>
  <si>
    <t>HLXU5340556</t>
  </si>
  <si>
    <t>j8310838</t>
  </si>
  <si>
    <t>SSZ0733664</t>
  </si>
  <si>
    <t>CMAU8349694</t>
  </si>
  <si>
    <t>j8310621</t>
  </si>
  <si>
    <t>HLCURTM190762105</t>
  </si>
  <si>
    <t>UACU3949976 / UACU3691460</t>
  </si>
  <si>
    <t>j8310623</t>
  </si>
  <si>
    <t>4952172254 </t>
  </si>
  <si>
    <t>DSV0050560</t>
  </si>
  <si>
    <t>j8310377</t>
  </si>
  <si>
    <t>HLCURTM190770194</t>
  </si>
  <si>
    <t>UACU4732497</t>
  </si>
  <si>
    <t>j8310402</t>
  </si>
  <si>
    <t>SSZCTG1908074</t>
  </si>
  <si>
    <t>j9310018</t>
  </si>
  <si>
    <t>FRA0356381</t>
  </si>
  <si>
    <t>TCLU7458586</t>
  </si>
  <si>
    <t>j8310883</t>
  </si>
  <si>
    <t>012019073176</t>
  </si>
  <si>
    <t>j8610014</t>
  </si>
  <si>
    <t>MEDUSN643763</t>
  </si>
  <si>
    <t>MEDU4305361/TCKU4100816/TTNU4195315</t>
  </si>
  <si>
    <t>j8610091</t>
  </si>
  <si>
    <t>NAM3565508</t>
  </si>
  <si>
    <t>FPTU5012940</t>
  </si>
  <si>
    <t>j8610132</t>
  </si>
  <si>
    <t>ANR/BUN/04258</t>
  </si>
  <si>
    <t>j8610117</t>
  </si>
  <si>
    <t>NAM3565502</t>
  </si>
  <si>
    <t>GESU8102831</t>
  </si>
  <si>
    <t>j8310884</t>
  </si>
  <si>
    <t>012019080549</t>
  </si>
  <si>
    <t>J8310490/J8360029</t>
  </si>
  <si>
    <t>ANT1249171</t>
  </si>
  <si>
    <t>CRXU8609748/EXFU4403621/TCLU9077043/</t>
  </si>
  <si>
    <t>J8310853</t>
  </si>
  <si>
    <t>ANR/CTG/13736</t>
  </si>
  <si>
    <t>j8310783</t>
  </si>
  <si>
    <t>4952703261 </t>
  </si>
  <si>
    <t>ANR/CTG/13729</t>
  </si>
  <si>
    <t>j9310033</t>
  </si>
  <si>
    <t>4952701159 </t>
  </si>
  <si>
    <t>HOU/CTG/D07093</t>
  </si>
  <si>
    <t>J8310856</t>
  </si>
  <si>
    <t>ANR/CTG/13737</t>
  </si>
  <si>
    <t>j8310860</t>
  </si>
  <si>
    <t>HOU/CTG/D07094</t>
  </si>
  <si>
    <t>j8310558</t>
  </si>
  <si>
    <t>HLCURTM190786365</t>
  </si>
  <si>
    <t>HLBU9117630</t>
  </si>
  <si>
    <t>J8310898</t>
  </si>
  <si>
    <t>HLCURTM190786014</t>
  </si>
  <si>
    <t>UETU2342025</t>
  </si>
  <si>
    <t>j8310930</t>
  </si>
  <si>
    <t>012019073417</t>
  </si>
  <si>
    <t>j8610043</t>
  </si>
  <si>
    <t>SUDU29297AI5L0F1</t>
  </si>
  <si>
    <t>IHOU3056063</t>
  </si>
  <si>
    <t>j8610013</t>
  </si>
  <si>
    <t>HLCUSS5190770921</t>
  </si>
  <si>
    <t>UACU3624190/UACU4139938</t>
  </si>
  <si>
    <t>J8310912</t>
  </si>
  <si>
    <t>SSZ0734973 </t>
  </si>
  <si>
    <t>XINU1524699</t>
  </si>
  <si>
    <t>j9310084</t>
  </si>
  <si>
    <t>HLCUME3190863859</t>
  </si>
  <si>
    <t>TCLU2820326</t>
  </si>
  <si>
    <t>j8310880</t>
  </si>
  <si>
    <t>MIL070434</t>
  </si>
  <si>
    <t>j9310076</t>
  </si>
  <si>
    <t xml:space="preserve">HLCUME3190845376 </t>
  </si>
  <si>
    <t>TGCU2098699</t>
  </si>
  <si>
    <t>j8310881</t>
  </si>
  <si>
    <t>012019080019</t>
  </si>
  <si>
    <t>J9310021 / J9360002</t>
  </si>
  <si>
    <t>ANT1252762</t>
  </si>
  <si>
    <t>IHOU4050434/ITTU1058011/ITTU3057101/SLZU2526083</t>
  </si>
  <si>
    <t>j9310074</t>
  </si>
  <si>
    <t xml:space="preserve">HLCUME3190845343 </t>
  </si>
  <si>
    <t>CAIU4820777</t>
  </si>
  <si>
    <t>J8311050</t>
  </si>
  <si>
    <t>MEDUB9395493</t>
  </si>
  <si>
    <t>MSCU5986495</t>
  </si>
  <si>
    <t>J8310920</t>
  </si>
  <si>
    <t>MIL070541</t>
  </si>
  <si>
    <t>J8310855</t>
  </si>
  <si>
    <t>FRA0356151</t>
  </si>
  <si>
    <t>CMAU0757940</t>
  </si>
  <si>
    <t>J9310112</t>
  </si>
  <si>
    <t xml:space="preserve">SUDU29001AIOAMZX </t>
  </si>
  <si>
    <t>MRKU9113233</t>
  </si>
  <si>
    <t>J9310201 / J8360046</t>
  </si>
  <si>
    <t>HLCUANR190802741</t>
  </si>
  <si>
    <t>ICSU0285631/IHOU1840672/EXFU4422642/TPTU8518468</t>
  </si>
  <si>
    <t>J9310337 / J9360025</t>
  </si>
  <si>
    <t>HLCUBSC1908BMYQ6</t>
  </si>
  <si>
    <t>IHOU1045901</t>
  </si>
  <si>
    <t>J9610003</t>
  </si>
  <si>
    <t>4950223953 </t>
  </si>
  <si>
    <t>HOU/BUE/D02554</t>
  </si>
  <si>
    <t>J8310910</t>
  </si>
  <si>
    <t>HLCULE1190813223</t>
  </si>
  <si>
    <t>WWWU2802171</t>
  </si>
  <si>
    <t>j8310906</t>
  </si>
  <si>
    <t>HLCUGOA190810054</t>
  </si>
  <si>
    <t>HLXU5225315/HLBU1398763/TCLU4777173/UACU8590220/UACU8382340/UACU8193990</t>
  </si>
  <si>
    <t>J9510081</t>
  </si>
  <si>
    <t>J8310172</t>
  </si>
  <si>
    <t>HLCURTM190778956</t>
  </si>
  <si>
    <t>TCLU2164090</t>
  </si>
  <si>
    <t>J9310217</t>
  </si>
  <si>
    <t>4952814107 </t>
  </si>
  <si>
    <t>HLCURTM190801822</t>
  </si>
  <si>
    <t>SEGU9097272</t>
  </si>
  <si>
    <t>4952814102 </t>
  </si>
  <si>
    <t>j9310317</t>
  </si>
  <si>
    <t>ONEYRICVAB231400</t>
  </si>
  <si>
    <t>TCKU2354344/NYKU3325396/CAIU2878018</t>
  </si>
  <si>
    <t>j9310202</t>
  </si>
  <si>
    <t>HLCURTM190834143</t>
  </si>
  <si>
    <t>UACU4025637</t>
  </si>
  <si>
    <t>j9310213</t>
  </si>
  <si>
    <t>HLCURTM190834165</t>
  </si>
  <si>
    <t>HLXU3726853</t>
  </si>
  <si>
    <t>j8311051</t>
  </si>
  <si>
    <t>ANR/CTG/13741</t>
  </si>
  <si>
    <t>j8311058</t>
  </si>
  <si>
    <t>ANR/CTG/13740</t>
  </si>
  <si>
    <t>j9310283</t>
  </si>
  <si>
    <t>FRA0357214</t>
  </si>
  <si>
    <t>CMAU0472470</t>
  </si>
  <si>
    <t>J9310289 / J7360021</t>
  </si>
  <si>
    <t>MEDUAO142064</t>
  </si>
  <si>
    <t>RFCU8216202/TCLU9084417/CXTU1025768/IHOU1540021</t>
  </si>
  <si>
    <t>j9310083</t>
  </si>
  <si>
    <t>HOU/CTG/D07092</t>
  </si>
  <si>
    <t>J9510077</t>
  </si>
  <si>
    <t>MHG-19007190</t>
  </si>
  <si>
    <t>J9510104</t>
  </si>
  <si>
    <t>J9510130</t>
  </si>
  <si>
    <t>ATL-111990</t>
  </si>
  <si>
    <t>j9310589</t>
  </si>
  <si>
    <t>ANR/CTG/13760</t>
  </si>
  <si>
    <t>j8310900</t>
  </si>
  <si>
    <t>FRA0356403</t>
  </si>
  <si>
    <t>CXDU1230159</t>
  </si>
  <si>
    <t>j8310917</t>
  </si>
  <si>
    <t>012019081226</t>
  </si>
  <si>
    <t>j8310379</t>
  </si>
  <si>
    <t>ANT1249932</t>
  </si>
  <si>
    <t>IHOU1810024</t>
  </si>
  <si>
    <t>j9310151</t>
  </si>
  <si>
    <t>FRA0356989</t>
  </si>
  <si>
    <t>DFSU4318668</t>
  </si>
  <si>
    <t>j9310081</t>
  </si>
  <si>
    <t>HLCURTM190820950</t>
  </si>
  <si>
    <t>TGHU0045620</t>
  </si>
  <si>
    <t>j8310473</t>
  </si>
  <si>
    <t>HLCUANR190744945</t>
  </si>
  <si>
    <t>IHOU1015070</t>
  </si>
  <si>
    <t>J9310039</t>
  </si>
  <si>
    <t>4952949027 </t>
  </si>
  <si>
    <t>FRA0356712</t>
  </si>
  <si>
    <t>CMAU0644100</t>
  </si>
  <si>
    <t>J8310919</t>
  </si>
  <si>
    <t>012019081218</t>
  </si>
  <si>
    <t>J8310933</t>
  </si>
  <si>
    <t>HLCUEUR190829813</t>
  </si>
  <si>
    <t>HLXU3749890</t>
  </si>
  <si>
    <t>4952602542 </t>
  </si>
  <si>
    <t>J9310361</t>
  </si>
  <si>
    <t>ANR/CTG/13765</t>
  </si>
  <si>
    <t>J9310281</t>
  </si>
  <si>
    <t>SSZCTG1908126</t>
  </si>
  <si>
    <t>J8310826</t>
  </si>
  <si>
    <t>HLCURTM190786003</t>
  </si>
  <si>
    <t>HLXU5274665</t>
  </si>
  <si>
    <t>j8310843</t>
  </si>
  <si>
    <t>7310-0954-908.011</t>
  </si>
  <si>
    <t>j8310927</t>
  </si>
  <si>
    <t>012019081311</t>
  </si>
  <si>
    <t>j8311060</t>
  </si>
  <si>
    <t>HLCURTM190832985</t>
  </si>
  <si>
    <t>GESU9508281</t>
  </si>
  <si>
    <t>j9310303</t>
  </si>
  <si>
    <t>MEDUB9485963</t>
  </si>
  <si>
    <t>CLHU4437201</t>
  </si>
  <si>
    <t>j9310311</t>
  </si>
  <si>
    <t>HLCURTM190845555</t>
  </si>
  <si>
    <t>HLBU9099619</t>
  </si>
  <si>
    <t>j8310925</t>
  </si>
  <si>
    <t>012019080561</t>
  </si>
  <si>
    <t>j8310885</t>
  </si>
  <si>
    <t>MEDUIN795428 </t>
  </si>
  <si>
    <t>MEDU7565784</t>
  </si>
  <si>
    <t>J9510150</t>
  </si>
  <si>
    <t>J9510195</t>
  </si>
  <si>
    <t>1028846341</t>
  </si>
  <si>
    <t>J9510105</t>
  </si>
  <si>
    <t>J9510141</t>
  </si>
  <si>
    <t>J9510148</t>
  </si>
  <si>
    <t>J9510226</t>
  </si>
  <si>
    <t>MHG-19007406</t>
  </si>
  <si>
    <t>J9510285</t>
  </si>
  <si>
    <t>19J102095</t>
  </si>
  <si>
    <t>J9510044</t>
  </si>
  <si>
    <t>j9310428</t>
  </si>
  <si>
    <t>FRA0357387</t>
  </si>
  <si>
    <t>FCIU8239389</t>
  </si>
  <si>
    <t>j9310302</t>
  </si>
  <si>
    <t>4950218295 </t>
  </si>
  <si>
    <t>FRA0357226</t>
  </si>
  <si>
    <t>TCNU3557464</t>
  </si>
  <si>
    <t>j9310037</t>
  </si>
  <si>
    <t>FRA0357134</t>
  </si>
  <si>
    <t>CMAU0862437</t>
  </si>
  <si>
    <t>j9310485</t>
  </si>
  <si>
    <t>HLCURTM190869431</t>
  </si>
  <si>
    <t>HLBU9018330</t>
  </si>
  <si>
    <t>j9310038</t>
  </si>
  <si>
    <t>4952701172 </t>
  </si>
  <si>
    <t>HLCUHAM190849950</t>
  </si>
  <si>
    <t>HLXU3162584</t>
  </si>
  <si>
    <t>j9310318</t>
  </si>
  <si>
    <t>ILSE020508</t>
  </si>
  <si>
    <t>j9610048</t>
  </si>
  <si>
    <t>EGLV731900106446</t>
  </si>
  <si>
    <t>FSCU7120476</t>
  </si>
  <si>
    <t>TLLU4164987</t>
  </si>
  <si>
    <t>j9310402</t>
  </si>
  <si>
    <t>MEDUBX083653</t>
  </si>
  <si>
    <t>MEDU4217281</t>
  </si>
  <si>
    <t>j9310610</t>
  </si>
  <si>
    <t>ANR/CTG/13756</t>
  </si>
  <si>
    <t>J9310308</t>
  </si>
  <si>
    <t>HLCURTM190851042</t>
  </si>
  <si>
    <t>HAMU1004577</t>
  </si>
  <si>
    <t>J9310166</t>
  </si>
  <si>
    <t>HLCURTM190831496</t>
  </si>
  <si>
    <t>UACU8453079</t>
  </si>
  <si>
    <t>J8310915</t>
  </si>
  <si>
    <t>FRA0356265</t>
  </si>
  <si>
    <t>CMAU3075800</t>
  </si>
  <si>
    <t>j8610069</t>
  </si>
  <si>
    <t>SNG0269332</t>
  </si>
  <si>
    <t>EXFU5501052/ITTU1055265</t>
  </si>
  <si>
    <t>j9310304</t>
  </si>
  <si>
    <t>FRA0357487</t>
  </si>
  <si>
    <t>TCLU5391436</t>
  </si>
  <si>
    <t>j9610045</t>
  </si>
  <si>
    <t>NAM3565499</t>
  </si>
  <si>
    <t>ITTU3052820</t>
  </si>
  <si>
    <t>J7610005</t>
  </si>
  <si>
    <t>SSZBUN1907006</t>
  </si>
  <si>
    <t>J8311008</t>
  </si>
  <si>
    <t>DSV0053324</t>
  </si>
  <si>
    <t>4947224859</t>
  </si>
  <si>
    <t>ACUMULADO X UB KPI GASTOS 2019- INDICADORES DE GESTIÓN 2019</t>
  </si>
  <si>
    <t>INFORMACIÓN DE LA CARGA</t>
  </si>
  <si>
    <t>% 
SEGÚN FACTURA</t>
  </si>
  <si>
    <t>B/L</t>
  </si>
  <si>
    <t>FACTURA</t>
  </si>
  <si>
    <t>VALOR USD</t>
  </si>
  <si>
    <t>VALOR COL</t>
  </si>
  <si>
    <t>Totales</t>
  </si>
  <si>
    <t>TOTAL OPERACIÓN</t>
  </si>
  <si>
    <t>MEDUBM078672</t>
  </si>
  <si>
    <t>HLCUEUR180835785</t>
  </si>
  <si>
    <t>SUDU68200A5XB2HE</t>
  </si>
  <si>
    <t>7020-0954-808.011</t>
  </si>
  <si>
    <t>LEXBRE180908270321B</t>
  </si>
  <si>
    <t>7020-0956-808.011</t>
  </si>
  <si>
    <t>HLCUEUR180862201</t>
  </si>
  <si>
    <t>NAM3124558</t>
  </si>
  <si>
    <t>ANR/BUN/04118</t>
  </si>
  <si>
    <t>HLCUHAM180887246</t>
  </si>
  <si>
    <t>MEDUSN174603</t>
  </si>
  <si>
    <t>SUDUB8603A2Y6LW3</t>
  </si>
  <si>
    <t>HOU/CTG/D06773</t>
  </si>
  <si>
    <t>HOU/BUE/D02510</t>
  </si>
  <si>
    <t xml:space="preserve">SUDUB8603A2Y6SUT </t>
  </si>
  <si>
    <t>ANR/BUN/04115</t>
  </si>
  <si>
    <t>HLCUANR180867314</t>
  </si>
  <si>
    <t>BRY0166709</t>
  </si>
  <si>
    <t>SUDU68200A5XAX0Y</t>
  </si>
  <si>
    <t xml:space="preserve">HLCUBSC1808BISS1 </t>
  </si>
  <si>
    <t>SUDUC8FRA000809X</t>
  </si>
  <si>
    <t>ILSE003299</t>
  </si>
  <si>
    <t>ONEYSAOU13791500</t>
  </si>
  <si>
    <t>NAM3189966</t>
  </si>
  <si>
    <t>HLCUSS5180818549</t>
  </si>
  <si>
    <t>SSZCTG1808103</t>
  </si>
  <si>
    <t>HLCUBSC1808AZLT3</t>
  </si>
  <si>
    <t>012018082046</t>
  </si>
  <si>
    <t>SUDUA8BASNC0285X</t>
  </si>
  <si>
    <t>ONEYSAOU18217300</t>
  </si>
  <si>
    <t xml:space="preserve">HOU/CTG/D06745 </t>
  </si>
  <si>
    <t xml:space="preserve">HOU/CTG/D06741 </t>
  </si>
  <si>
    <t>SUDUA8BASNC0284X</t>
  </si>
  <si>
    <t>MEDUBB039445</t>
  </si>
  <si>
    <t>FRA0331460</t>
  </si>
  <si>
    <t>MEDUBM106267</t>
  </si>
  <si>
    <t>SSZCTG1809009</t>
  </si>
  <si>
    <t>ILSE003058</t>
  </si>
  <si>
    <t>HLCUBSC1809ARYJ3</t>
  </si>
  <si>
    <t>HLCUSS5180818582</t>
  </si>
  <si>
    <t>HLCULI3180903046</t>
  </si>
  <si>
    <t>SSZBUN1808002</t>
  </si>
  <si>
    <t>ANT1175651</t>
  </si>
  <si>
    <t>PLIHQ4882594</t>
  </si>
  <si>
    <t>ILSE003228</t>
  </si>
  <si>
    <t>HLCUANR180906684</t>
  </si>
  <si>
    <t>SUDUC8FRA000946X</t>
  </si>
  <si>
    <t>ILSE003293</t>
  </si>
  <si>
    <t>CTG17287475</t>
  </si>
  <si>
    <t>SUDU68200A5XC7XJ</t>
  </si>
  <si>
    <t>3EB18080196</t>
  </si>
  <si>
    <t>HLCUANR180903357</t>
  </si>
  <si>
    <t>HLCUBSC180922645</t>
  </si>
  <si>
    <t>MEDUBM072345</t>
  </si>
  <si>
    <t>HOU/CTG/D06747</t>
  </si>
  <si>
    <t>ANR/CTG/12854</t>
  </si>
  <si>
    <t>HLCUANR180867515</t>
  </si>
  <si>
    <t>SUDUC8FRA000806X</t>
  </si>
  <si>
    <t xml:space="preserve">SUDUC8ANR005295X </t>
  </si>
  <si>
    <t>SUDUC8FRA000873X</t>
  </si>
  <si>
    <t>HLCUANR180775796</t>
  </si>
  <si>
    <t>MHG-18000996</t>
  </si>
  <si>
    <t>729-76828555</t>
  </si>
  <si>
    <t>FMO0035587</t>
  </si>
  <si>
    <t>MHG-18000900</t>
  </si>
  <si>
    <t>ONEYSAOU20067600</t>
  </si>
  <si>
    <t>ILSE003057</t>
  </si>
  <si>
    <t>HLCUANR180839310</t>
  </si>
  <si>
    <t>FRA0329925</t>
  </si>
  <si>
    <t>HLCUHAM180910379</t>
  </si>
  <si>
    <t>HLCUANR180929725</t>
  </si>
  <si>
    <t>ANR/CTG/12846</t>
  </si>
  <si>
    <t>SUDUA8FRA000810X</t>
  </si>
  <si>
    <t>HLCUHAM180958661</t>
  </si>
  <si>
    <t>HLCUANR180926994</t>
  </si>
  <si>
    <t>HLCURTM180910980</t>
  </si>
  <si>
    <t>HLCURTM180930391</t>
  </si>
  <si>
    <t>LEXBRE180908270556B</t>
  </si>
  <si>
    <t>DSV0003654</t>
  </si>
  <si>
    <t>ILSE003473</t>
  </si>
  <si>
    <t>HLCUANR180927138</t>
  </si>
  <si>
    <t>HLCUHAM180950213</t>
  </si>
  <si>
    <t>ANR/CTG/12882</t>
  </si>
  <si>
    <t xml:space="preserve">SUDUC8ANR005590X </t>
  </si>
  <si>
    <t>ANR/CTG/12874</t>
  </si>
  <si>
    <t>ANR/CTG/12872</t>
  </si>
  <si>
    <t>SUDUB8603A2W8KWR</t>
  </si>
  <si>
    <t>HOU/CTG/D06777</t>
  </si>
  <si>
    <t>MEDUBB109941</t>
  </si>
  <si>
    <t>HLCURTM180929177</t>
  </si>
  <si>
    <t>ILSE003227</t>
  </si>
  <si>
    <t>LEXBRE 180908122108</t>
  </si>
  <si>
    <t>SUDU68200A654EMG</t>
  </si>
  <si>
    <t>NAM3204375</t>
  </si>
  <si>
    <t>HLCUHAM180910313</t>
  </si>
  <si>
    <t>MEDUMX045674</t>
  </si>
  <si>
    <t>MRS/CTG/03301</t>
  </si>
  <si>
    <t>HOU/CTG/D06750</t>
  </si>
  <si>
    <t>HLCUBSC1808BJHK0</t>
  </si>
  <si>
    <t>SUDU68200A5XCCAA</t>
  </si>
  <si>
    <t>HLCUANR180900410</t>
  </si>
  <si>
    <t>SUDU68200A6546EX</t>
  </si>
  <si>
    <t>1441-8404432</t>
  </si>
  <si>
    <t>HLCUPSE180951580</t>
  </si>
  <si>
    <t>ANR/CTG/12891</t>
  </si>
  <si>
    <t>SUDUA8BRE006776X</t>
  </si>
  <si>
    <t>SUDUC8FRA001047X</t>
  </si>
  <si>
    <t>LEXBRE180908270827B</t>
  </si>
  <si>
    <t>ANR/CTG/12871</t>
  </si>
  <si>
    <t>LIMBUN21180563</t>
  </si>
  <si>
    <t>ONEYTY8NG9934300</t>
  </si>
  <si>
    <t>MEDUMX058768</t>
  </si>
  <si>
    <t>SUDU28297ACVPJ55</t>
  </si>
  <si>
    <t>HLCUBSC180991201</t>
  </si>
  <si>
    <t>HLCUBSC180976374</t>
  </si>
  <si>
    <t>HLCURTM180919784</t>
  </si>
  <si>
    <t>HLCUHAM180971811</t>
  </si>
  <si>
    <t>SUDUA8FRA001190X</t>
  </si>
  <si>
    <t>ANR/CTG/12916</t>
  </si>
  <si>
    <t>SUDUC8046A496002</t>
  </si>
  <si>
    <t>NAM3247340</t>
  </si>
  <si>
    <t>HLCUANR180741401</t>
  </si>
  <si>
    <t>HLCULI3180938228</t>
  </si>
  <si>
    <t>SUDUC8FRA001135X</t>
  </si>
  <si>
    <t>HLCUHAM180958851</t>
  </si>
  <si>
    <t>HLCUANR180936533</t>
  </si>
  <si>
    <t>HLCURTM180928375</t>
  </si>
  <si>
    <t>SUDUA8FRA001237X</t>
  </si>
  <si>
    <t>h3310802</t>
  </si>
  <si>
    <t>h4310392</t>
  </si>
  <si>
    <t>h3310732</t>
  </si>
  <si>
    <t>h4310257</t>
  </si>
  <si>
    <t>h4310225</t>
  </si>
  <si>
    <t>h4310218</t>
  </si>
  <si>
    <t>h4310313</t>
  </si>
  <si>
    <t>h4310289</t>
  </si>
  <si>
    <t>h33t0044</t>
  </si>
  <si>
    <t>h4310361</t>
  </si>
  <si>
    <t>h4310182</t>
  </si>
  <si>
    <t>h3310518</t>
  </si>
  <si>
    <t>h4310252</t>
  </si>
  <si>
    <t>h4310271</t>
  </si>
  <si>
    <t>h4310219</t>
  </si>
  <si>
    <t>h4310171</t>
  </si>
  <si>
    <t>h4310221</t>
  </si>
  <si>
    <t>h4310308</t>
  </si>
  <si>
    <t>h3310725</t>
  </si>
  <si>
    <t>h4310097</t>
  </si>
  <si>
    <t>h3610136</t>
  </si>
  <si>
    <t>h4610024</t>
  </si>
  <si>
    <t>H4510321</t>
  </si>
  <si>
    <t>H4510311</t>
  </si>
  <si>
    <t>h4310287</t>
  </si>
  <si>
    <t>h4310290</t>
  </si>
  <si>
    <t>h3610110</t>
  </si>
  <si>
    <t>h4310333</t>
  </si>
  <si>
    <t>h4310284</t>
  </si>
  <si>
    <t>h4610013</t>
  </si>
  <si>
    <t>h4610015</t>
  </si>
  <si>
    <t>h4310541</t>
  </si>
  <si>
    <t>h4310180</t>
  </si>
  <si>
    <t>h4310089</t>
  </si>
  <si>
    <t>h4310396</t>
  </si>
  <si>
    <t>h4310435</t>
  </si>
  <si>
    <t>h4310391</t>
  </si>
  <si>
    <t>h4310363</t>
  </si>
  <si>
    <t>h4310540</t>
  </si>
  <si>
    <t>h4310534</t>
  </si>
  <si>
    <t>h4310532</t>
  </si>
  <si>
    <t>h4310545</t>
  </si>
  <si>
    <t>h4310416</t>
  </si>
  <si>
    <t>h3310265</t>
  </si>
  <si>
    <t>h4310417</t>
  </si>
  <si>
    <t>h4310525</t>
  </si>
  <si>
    <t>h4310098</t>
  </si>
  <si>
    <t>H4510359</t>
  </si>
  <si>
    <t>h3610055</t>
  </si>
  <si>
    <t>h4610028</t>
  </si>
  <si>
    <t>h4610047</t>
  </si>
  <si>
    <t>h4610055</t>
  </si>
  <si>
    <t>h4610072</t>
  </si>
  <si>
    <t>h4610074</t>
  </si>
  <si>
    <t>h4310450</t>
  </si>
  <si>
    <t>h4310358</t>
  </si>
  <si>
    <t>h4310360</t>
  </si>
  <si>
    <t>h4310310</t>
  </si>
  <si>
    <t>h4310397</t>
  </si>
  <si>
    <t>h4610004</t>
  </si>
  <si>
    <t>h4610025</t>
  </si>
  <si>
    <t>h4610006</t>
  </si>
  <si>
    <t>h4610034</t>
  </si>
  <si>
    <t>h3610111</t>
  </si>
  <si>
    <t>h4610046</t>
  </si>
  <si>
    <t>h4310250</t>
  </si>
  <si>
    <t>h4310400</t>
  </si>
  <si>
    <t>h4310650</t>
  </si>
  <si>
    <t>h4310603</t>
  </si>
  <si>
    <t>H5510059</t>
  </si>
  <si>
    <t>h43t0014</t>
  </si>
  <si>
    <t>h4310301</t>
  </si>
  <si>
    <t>h33t0045</t>
  </si>
  <si>
    <t>h4310307</t>
  </si>
  <si>
    <t>h33t0043</t>
  </si>
  <si>
    <t>H5310092</t>
  </si>
  <si>
    <t>H4310573</t>
  </si>
  <si>
    <t>H4310419</t>
  </si>
  <si>
    <t>H4310609</t>
  </si>
  <si>
    <t>H4310654</t>
  </si>
  <si>
    <t>H3310261</t>
  </si>
  <si>
    <t>H5310140</t>
  </si>
  <si>
    <t>H4310614</t>
  </si>
  <si>
    <t>H5310084</t>
  </si>
  <si>
    <t>H5310033</t>
  </si>
  <si>
    <t>H4310657</t>
  </si>
  <si>
    <t>H4310468</t>
  </si>
  <si>
    <t>H5310022</t>
  </si>
  <si>
    <t>H5310128</t>
  </si>
  <si>
    <t>H33T0038</t>
  </si>
  <si>
    <t>H3310354</t>
  </si>
  <si>
    <t>h4610044</t>
  </si>
  <si>
    <t>h4610107</t>
  </si>
  <si>
    <t>h4610054</t>
  </si>
  <si>
    <t>h4610105</t>
  </si>
  <si>
    <t>H4510390</t>
  </si>
  <si>
    <t>H4510310</t>
  </si>
  <si>
    <t>H4510175</t>
  </si>
  <si>
    <t>h4310658</t>
  </si>
  <si>
    <t>h4310655</t>
  </si>
  <si>
    <t>h4310578</t>
  </si>
  <si>
    <t>h5310091</t>
  </si>
  <si>
    <t>h4310692</t>
  </si>
  <si>
    <t>h3310774</t>
  </si>
  <si>
    <t>h53t0002</t>
  </si>
  <si>
    <t>H3310830</t>
  </si>
  <si>
    <t>h33t0007</t>
  </si>
  <si>
    <t>H4610104</t>
  </si>
  <si>
    <t>h4310592</t>
  </si>
  <si>
    <t>h4310567</t>
  </si>
  <si>
    <t>h53t0010</t>
  </si>
  <si>
    <t>h4310670</t>
  </si>
  <si>
    <t>h4310616</t>
  </si>
  <si>
    <t>h5310137</t>
  </si>
  <si>
    <t>h4310520</t>
  </si>
  <si>
    <t>h4310678</t>
  </si>
  <si>
    <t>h43t0013</t>
  </si>
  <si>
    <t>h3310228</t>
  </si>
  <si>
    <t>h4310389</t>
  </si>
  <si>
    <t>h4310486</t>
  </si>
  <si>
    <t>h1310244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</si>
</sst>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"/>
    <numFmt numFmtId="165" formatCode="_(&quot;$&quot;\ * #,##0_);_(&quot;$&quot;\ * \(#,##0\);_(&quot;$&quot;\ * &quot;-&quot;??_);_(@_)"/>
    <numFmt numFmtId="166" formatCode="_-* #,##0.00_-;\-* #,##0.00_-;_-* \-??_-;_-@_-"/>
    <numFmt numFmtId="167" formatCode="_(&quot;$&quot;\ * #,##0.00_);_(&quot;$&quot;\ * \(#,##0.00\);_(&quot;$&quot;\ * &quot;-&quot;??_);_(@_)"/>
    <numFmt numFmtId="168" formatCode="_(* #,##0.00_);_(* \(#,##0.00\);_(* &quot;-&quot;??_);_(@_)"/>
    <numFmt numFmtId="169" formatCode="0.0%"/>
    <numFmt numFmtId="170" formatCode="_(* #,##0_);_(* \(#,##0\);_(* &quot;-&quot;??_);_(@_)"/>
  </numFmts>
  <fonts count="20">
    <font>
      <sz val="11"/>
      <color theme="1"/>
      <name val="Calibri"/>
      <charset val="134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8"/>
      <color rgb="FFFF0000"/>
      <name val="Calibri"/>
      <family val="2"/>
    </font>
    <font>
      <sz val="8"/>
      <color rgb="FFFF0000"/>
      <name val="Calibri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Tahoma"/>
      <family val="2"/>
    </font>
    <font>
      <b/>
      <sz val="9"/>
      <name val="Tahoma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89013336588644"/>
        <bgColor indexed="64"/>
      </patternFill>
    </fill>
    <fill>
      <gradientFill type="path" left="0.5" right="0.5" top="0.5" bottom="0.5">
        <stop position="0">
          <color theme="3" tint="-0.25098422193060094"/>
        </stop>
        <stop position="1">
          <color theme="0"/>
        </stop>
      </gradientFill>
    </fill>
    <fill>
      <patternFill patternType="solid">
        <fgColor theme="2"/>
        <bgColor indexed="64"/>
      </patternFill>
    </fill>
    <fill>
      <patternFill patternType="gray0625">
        <fgColor theme="6" tint="0.79989013336588644"/>
        <bgColor theme="4" tint="0.79989013336588644"/>
      </patternFill>
    </fill>
    <fill>
      <patternFill patternType="gray0625">
        <fgColor theme="6" tint="0.79989013336588644"/>
        <bgColor theme="2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8901333658864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gray0625">
        <fgColor theme="6" tint="0.79989013336588644"/>
        <bgColor theme="2" tint="-9.9978637043366805E-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26"/>
        <bgColor indexed="9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6">
    <xf numFmtId="0" fontId="0" fillId="0" borderId="0"/>
    <xf numFmtId="0" fontId="10" fillId="17" borderId="17" applyNumberFormat="0" applyAlignment="0" applyProtection="0"/>
    <xf numFmtId="167" fontId="9" fillId="0" borderId="0" applyFont="0" applyFill="0" applyBorder="0" applyAlignment="0" applyProtection="0"/>
    <xf numFmtId="0" fontId="10" fillId="0" borderId="0"/>
    <xf numFmtId="16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ill="0" applyBorder="0" applyAlignment="0" applyProtection="0"/>
    <xf numFmtId="0" fontId="10" fillId="0" borderId="0"/>
    <xf numFmtId="0" fontId="11" fillId="0" borderId="0"/>
    <xf numFmtId="166" fontId="10" fillId="0" borderId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7" borderId="17" applyNumberFormat="0" applyAlignment="0" applyProtection="0"/>
  </cellStyleXfs>
  <cellXfs count="114">
    <xf numFmtId="0" fontId="0" fillId="0" borderId="0" xfId="0"/>
    <xf numFmtId="4" fontId="0" fillId="0" borderId="1" xfId="0" applyNumberFormat="1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0" fontId="0" fillId="0" borderId="0" xfId="0" applyFont="1"/>
    <xf numFmtId="0" fontId="0" fillId="0" borderId="0" xfId="0" applyFont="1" applyFill="1"/>
    <xf numFmtId="0" fontId="0" fillId="2" borderId="0" xfId="0" applyFill="1"/>
    <xf numFmtId="0" fontId="2" fillId="0" borderId="0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3" fontId="0" fillId="0" borderId="1" xfId="0" applyNumberFormat="1" applyBorder="1"/>
    <xf numFmtId="164" fontId="0" fillId="0" borderId="1" xfId="0" applyNumberFormat="1" applyBorder="1"/>
    <xf numFmtId="10" fontId="0" fillId="0" borderId="1" xfId="5" applyNumberFormat="1" applyFont="1" applyBorder="1" applyAlignment="1">
      <alignment horizontal="center"/>
    </xf>
    <xf numFmtId="4" fontId="0" fillId="0" borderId="0" xfId="0" applyNumberFormat="1"/>
    <xf numFmtId="3" fontId="0" fillId="0" borderId="0" xfId="0" applyNumberFormat="1"/>
    <xf numFmtId="0" fontId="3" fillId="8" borderId="1" xfId="0" applyFont="1" applyFill="1" applyBorder="1"/>
    <xf numFmtId="165" fontId="3" fillId="8" borderId="1" xfId="2" applyNumberFormat="1" applyFont="1" applyFill="1" applyBorder="1"/>
    <xf numFmtId="169" fontId="3" fillId="8" borderId="1" xfId="5" applyNumberFormat="1" applyFont="1" applyFill="1" applyBorder="1"/>
    <xf numFmtId="0" fontId="5" fillId="9" borderId="15" xfId="0" applyFont="1" applyFill="1" applyBorder="1" applyAlignment="1">
      <alignment horizontal="center" vertical="center" wrapText="1"/>
    </xf>
    <xf numFmtId="0" fontId="4" fillId="9" borderId="15" xfId="0" applyFont="1" applyFill="1" applyBorder="1" applyAlignment="1">
      <alignment horizontal="center" vertical="center"/>
    </xf>
    <xf numFmtId="165" fontId="4" fillId="9" borderId="15" xfId="2" applyNumberFormat="1" applyFont="1" applyFill="1" applyBorder="1" applyAlignment="1">
      <alignment horizontal="center" vertical="center"/>
    </xf>
    <xf numFmtId="9" fontId="4" fillId="9" borderId="15" xfId="5" applyFont="1" applyFill="1" applyBorder="1" applyAlignment="1">
      <alignment horizontal="center" vertical="center"/>
    </xf>
    <xf numFmtId="165" fontId="0" fillId="0" borderId="0" xfId="0" applyNumberFormat="1"/>
    <xf numFmtId="0" fontId="0" fillId="0" borderId="0" xfId="0" applyFill="1"/>
    <xf numFmtId="0" fontId="6" fillId="10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1" fillId="0" borderId="1" xfId="0" applyFont="1" applyFill="1" applyBorder="1"/>
    <xf numFmtId="4" fontId="1" fillId="0" borderId="1" xfId="0" applyNumberFormat="1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left" vertical="center"/>
    </xf>
    <xf numFmtId="0" fontId="4" fillId="11" borderId="1" xfId="0" applyFont="1" applyFill="1" applyBorder="1"/>
    <xf numFmtId="0" fontId="4" fillId="11" borderId="1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 vertical="center" wrapText="1"/>
    </xf>
    <xf numFmtId="3" fontId="6" fillId="3" borderId="1" xfId="0" applyNumberFormat="1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right"/>
    </xf>
    <xf numFmtId="0" fontId="1" fillId="0" borderId="1" xfId="0" applyNumberFormat="1" applyFont="1" applyFill="1" applyBorder="1" applyAlignment="1">
      <alignment horizontal="right" vertical="center"/>
    </xf>
    <xf numFmtId="1" fontId="1" fillId="0" borderId="1" xfId="0" applyNumberFormat="1" applyFont="1" applyBorder="1"/>
    <xf numFmtId="0" fontId="4" fillId="11" borderId="1" xfId="0" applyFont="1" applyFill="1" applyBorder="1" applyAlignment="1"/>
    <xf numFmtId="3" fontId="4" fillId="11" borderId="1" xfId="0" applyNumberFormat="1" applyFont="1" applyFill="1" applyBorder="1"/>
    <xf numFmtId="1" fontId="1" fillId="0" borderId="1" xfId="0" applyNumberFormat="1" applyFont="1" applyFill="1" applyBorder="1" applyAlignment="1"/>
    <xf numFmtId="4" fontId="1" fillId="0" borderId="1" xfId="0" applyNumberFormat="1" applyFont="1" applyBorder="1" applyAlignment="1">
      <alignment horizontal="right" vertical="top"/>
    </xf>
    <xf numFmtId="3" fontId="6" fillId="12" borderId="1" xfId="0" applyNumberFormat="1" applyFont="1" applyFill="1" applyBorder="1" applyAlignment="1">
      <alignment horizontal="center" wrapText="1"/>
    </xf>
    <xf numFmtId="3" fontId="6" fillId="10" borderId="1" xfId="0" applyNumberFormat="1" applyFont="1" applyFill="1" applyBorder="1" applyAlignment="1">
      <alignment horizontal="center" vertical="center" wrapText="1"/>
    </xf>
    <xf numFmtId="3" fontId="7" fillId="13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Font="1" applyFill="1" applyBorder="1" applyAlignment="1">
      <alignment horizontal="right" readingOrder="1"/>
    </xf>
    <xf numFmtId="1" fontId="0" fillId="0" borderId="1" xfId="5" applyNumberFormat="1" applyFont="1" applyFill="1" applyBorder="1" applyAlignment="1">
      <alignment horizontal="center"/>
    </xf>
    <xf numFmtId="164" fontId="0" fillId="11" borderId="1" xfId="5" applyNumberFormat="1" applyFont="1" applyFill="1" applyBorder="1" applyAlignment="1">
      <alignment horizontal="center"/>
    </xf>
    <xf numFmtId="4" fontId="1" fillId="0" borderId="1" xfId="0" applyNumberFormat="1" applyFont="1" applyFill="1" applyBorder="1" applyAlignment="1" applyProtection="1">
      <alignment vertical="center"/>
    </xf>
    <xf numFmtId="0" fontId="1" fillId="0" borderId="1" xfId="0" applyFont="1" applyFill="1" applyBorder="1" applyAlignment="1" applyProtection="1">
      <alignment horizontal="left" vertical="top"/>
    </xf>
    <xf numFmtId="1" fontId="1" fillId="0" borderId="1" xfId="0" applyNumberFormat="1" applyFont="1" applyBorder="1" applyAlignment="1">
      <alignment horizontal="right"/>
    </xf>
    <xf numFmtId="1" fontId="1" fillId="0" borderId="12" xfId="0" applyNumberFormat="1" applyFont="1" applyFill="1" applyBorder="1" applyAlignment="1"/>
    <xf numFmtId="1" fontId="0" fillId="0" borderId="1" xfId="0" applyNumberFormat="1" applyFont="1" applyFill="1" applyBorder="1" applyAlignment="1"/>
    <xf numFmtId="1" fontId="1" fillId="0" borderId="1" xfId="0" applyNumberFormat="1" applyFont="1" applyFill="1" applyBorder="1" applyAlignment="1">
      <alignment horizontal="right"/>
    </xf>
    <xf numFmtId="0" fontId="8" fillId="0" borderId="1" xfId="0" applyFont="1" applyFill="1" applyBorder="1"/>
    <xf numFmtId="1" fontId="1" fillId="14" borderId="1" xfId="0" applyNumberFormat="1" applyFont="1" applyFill="1" applyBorder="1" applyAlignment="1"/>
    <xf numFmtId="0" fontId="1" fillId="0" borderId="12" xfId="0" applyFont="1" applyFill="1" applyBorder="1" applyAlignment="1" applyProtection="1">
      <alignment horizontal="right" vertical="top"/>
    </xf>
    <xf numFmtId="0" fontId="0" fillId="0" borderId="0" xfId="0" applyBorder="1"/>
    <xf numFmtId="0" fontId="0" fillId="0" borderId="0" xfId="0" applyAlignment="1"/>
    <xf numFmtId="3" fontId="0" fillId="0" borderId="0" xfId="0" applyNumberFormat="1" applyFill="1"/>
    <xf numFmtId="170" fontId="0" fillId="0" borderId="0" xfId="4" applyNumberFormat="1" applyFont="1"/>
    <xf numFmtId="4" fontId="1" fillId="14" borderId="1" xfId="0" applyNumberFormat="1" applyFont="1" applyFill="1" applyBorder="1" applyAlignment="1" applyProtection="1">
      <alignment horizontal="right" vertical="top"/>
      <protection locked="0"/>
    </xf>
    <xf numFmtId="1" fontId="9" fillId="0" borderId="1" xfId="0" applyNumberFormat="1" applyFont="1" applyFill="1" applyBorder="1" applyAlignment="1"/>
    <xf numFmtId="1" fontId="1" fillId="0" borderId="8" xfId="0" applyNumberFormat="1" applyFont="1" applyFill="1" applyBorder="1" applyAlignment="1"/>
    <xf numFmtId="1" fontId="1" fillId="14" borderId="1" xfId="0" applyNumberFormat="1" applyFont="1" applyFill="1" applyBorder="1"/>
    <xf numFmtId="4" fontId="9" fillId="0" borderId="1" xfId="0" applyNumberFormat="1" applyFont="1" applyFill="1" applyBorder="1" applyAlignment="1" applyProtection="1">
      <alignment vertical="center"/>
    </xf>
    <xf numFmtId="0" fontId="9" fillId="0" borderId="0" xfId="0" applyFont="1"/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Border="1" applyAlignment="1"/>
    <xf numFmtId="3" fontId="0" fillId="0" borderId="0" xfId="0" applyNumberFormat="1" applyBorder="1"/>
    <xf numFmtId="3" fontId="0" fillId="0" borderId="0" xfId="0" applyNumberFormat="1" applyFill="1" applyBorder="1"/>
    <xf numFmtId="0" fontId="0" fillId="0" borderId="0" xfId="0" applyAlignment="1">
      <alignment horizontal="center"/>
    </xf>
    <xf numFmtId="0" fontId="0" fillId="3" borderId="16" xfId="0" applyFill="1" applyBorder="1"/>
    <xf numFmtId="0" fontId="0" fillId="3" borderId="0" xfId="0" applyFill="1" applyAlignment="1">
      <alignment horizontal="center"/>
    </xf>
    <xf numFmtId="0" fontId="4" fillId="15" borderId="6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1" fillId="0" borderId="1" xfId="0" quotePrefix="1" applyNumberFormat="1" applyFont="1" applyFill="1" applyBorder="1" applyAlignment="1">
      <alignment horizontal="left" vertical="center"/>
    </xf>
    <xf numFmtId="0" fontId="18" fillId="0" borderId="1" xfId="0" applyFont="1" applyFill="1" applyBorder="1"/>
    <xf numFmtId="4" fontId="18" fillId="0" borderId="1" xfId="0" applyNumberFormat="1" applyFont="1" applyFill="1" applyBorder="1" applyAlignment="1">
      <alignment horizontal="center"/>
    </xf>
    <xf numFmtId="4" fontId="18" fillId="0" borderId="1" xfId="0" applyNumberFormat="1" applyFont="1" applyFill="1" applyBorder="1" applyAlignment="1">
      <alignment horizontal="left" vertical="center"/>
    </xf>
    <xf numFmtId="0" fontId="18" fillId="0" borderId="1" xfId="0" applyNumberFormat="1" applyFont="1" applyFill="1" applyBorder="1" applyAlignment="1">
      <alignment horizontal="left" vertical="center"/>
    </xf>
    <xf numFmtId="0" fontId="18" fillId="0" borderId="1" xfId="0" quotePrefix="1" applyNumberFormat="1" applyFont="1" applyFill="1" applyBorder="1" applyAlignment="1">
      <alignment horizontal="left" vertical="center"/>
    </xf>
    <xf numFmtId="0" fontId="18" fillId="0" borderId="1" xfId="0" applyFont="1" applyFill="1" applyBorder="1" applyAlignment="1" applyProtection="1">
      <alignment horizontal="left" vertical="top"/>
    </xf>
    <xf numFmtId="4" fontId="18" fillId="0" borderId="1" xfId="0" applyNumberFormat="1" applyFont="1" applyBorder="1" applyAlignment="1">
      <alignment horizontal="right" vertical="center"/>
    </xf>
    <xf numFmtId="1" fontId="18" fillId="0" borderId="0" xfId="0" applyNumberFormat="1" applyFont="1" applyFill="1" applyBorder="1" applyAlignment="1"/>
    <xf numFmtId="0" fontId="19" fillId="11" borderId="1" xfId="0" applyFont="1" applyFill="1" applyBorder="1"/>
    <xf numFmtId="0" fontId="4" fillId="6" borderId="7" xfId="0" applyFont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6" borderId="8" xfId="0" applyFont="1" applyFill="1" applyBorder="1" applyAlignment="1">
      <alignment horizontal="center" vertical="center" wrapText="1"/>
    </xf>
    <xf numFmtId="0" fontId="4" fillId="6" borderId="10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 vertical="center" wrapText="1"/>
    </xf>
    <xf numFmtId="0" fontId="4" fillId="5" borderId="12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4" fillId="7" borderId="12" xfId="0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 wrapText="1"/>
    </xf>
    <xf numFmtId="0" fontId="4" fillId="5" borderId="10" xfId="0" applyFont="1" applyFill="1" applyBorder="1" applyAlignment="1">
      <alignment horizontal="center" vertical="center" wrapText="1"/>
    </xf>
  </cellXfs>
  <cellStyles count="16">
    <cellStyle name="Excel Built-in Normal" xfId="10"/>
    <cellStyle name="Millares" xfId="4" builtinId="3"/>
    <cellStyle name="Millares 2" xfId="11"/>
    <cellStyle name="Moneda" xfId="2" builtinId="4"/>
    <cellStyle name="Normal" xfId="0" builtinId="0"/>
    <cellStyle name="Normal 2" xfId="12"/>
    <cellStyle name="Normal 2 2" xfId="9"/>
    <cellStyle name="Normal 3" xfId="3"/>
    <cellStyle name="Normal 4" xfId="13"/>
    <cellStyle name="Normal 5" xfId="6"/>
    <cellStyle name="Normal 7" xfId="7"/>
    <cellStyle name="Normal 9" xfId="14"/>
    <cellStyle name="Notas 2" xfId="15"/>
    <cellStyle name="Notas 3" xfId="1"/>
    <cellStyle name="Porcentaje" xfId="5" builtinId="5"/>
    <cellStyle name="Porcentaje 2" xfId="8"/>
  </cellStyles>
  <dxfs count="380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0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38099</xdr:rowOff>
    </xdr:from>
    <xdr:to>
      <xdr:col>2</xdr:col>
      <xdr:colOff>963930</xdr:colOff>
      <xdr:row>4</xdr:row>
      <xdr:rowOff>171450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77" t="18243" r="8527" b="16892"/>
        <a:stretch>
          <a:fillRect/>
        </a:stretch>
      </xdr:blipFill>
      <xdr:spPr>
        <a:xfrm>
          <a:off x="57150" y="304165"/>
          <a:ext cx="2230755" cy="91503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</xdr:row>
      <xdr:rowOff>19049</xdr:rowOff>
    </xdr:from>
    <xdr:to>
      <xdr:col>6</xdr:col>
      <xdr:colOff>447674</xdr:colOff>
      <xdr:row>4</xdr:row>
      <xdr:rowOff>238124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285115"/>
          <a:ext cx="1761490" cy="100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showGridLines="0" zoomScale="85" zoomScaleNormal="85" workbookViewId="0">
      <selection activeCell="F21" sqref="F21"/>
    </sheetView>
  </sheetViews>
  <sheetFormatPr baseColWidth="10" defaultColWidth="9" defaultRowHeight="15"/>
  <cols>
    <col min="1" max="1" width="12" customWidth="1"/>
    <col min="2" max="3" width="11.42578125" style="72"/>
  </cols>
  <sheetData>
    <row r="1" spans="1:5">
      <c r="A1" s="73" t="s">
        <v>0</v>
      </c>
      <c r="B1" s="74" t="s">
        <v>1</v>
      </c>
      <c r="C1" s="75" t="s">
        <v>2</v>
      </c>
      <c r="D1" s="76" t="s">
        <v>3</v>
      </c>
      <c r="E1" s="75" t="s">
        <v>4</v>
      </c>
    </row>
    <row r="2" spans="1:5">
      <c r="A2" s="9" t="s">
        <v>5</v>
      </c>
      <c r="B2" s="77" t="s">
        <v>6</v>
      </c>
      <c r="C2" s="13">
        <v>1.7000000000000001E-2</v>
      </c>
      <c r="D2" s="9" t="s">
        <v>7</v>
      </c>
      <c r="E2" s="9" t="s">
        <v>8</v>
      </c>
    </row>
    <row r="3" spans="1:5">
      <c r="A3" s="9" t="s">
        <v>9</v>
      </c>
      <c r="B3" s="77" t="s">
        <v>10</v>
      </c>
      <c r="C3" s="13">
        <v>1.0999999999999999E-2</v>
      </c>
      <c r="D3" s="9" t="s">
        <v>11</v>
      </c>
      <c r="E3" s="9" t="s">
        <v>12</v>
      </c>
    </row>
    <row r="4" spans="1:5">
      <c r="A4" s="9" t="s">
        <v>13</v>
      </c>
      <c r="B4" s="77" t="s">
        <v>14</v>
      </c>
      <c r="C4" s="13">
        <v>0.02</v>
      </c>
      <c r="D4" s="9" t="s">
        <v>15</v>
      </c>
      <c r="E4" s="9" t="s">
        <v>16</v>
      </c>
    </row>
    <row r="5" spans="1:5">
      <c r="A5" s="9" t="s">
        <v>17</v>
      </c>
      <c r="B5" s="77" t="s">
        <v>18</v>
      </c>
      <c r="C5" s="13">
        <v>0.02</v>
      </c>
      <c r="D5" s="9" t="s">
        <v>19</v>
      </c>
      <c r="E5" s="9"/>
    </row>
    <row r="6" spans="1:5">
      <c r="A6" s="9" t="s">
        <v>20</v>
      </c>
      <c r="B6" s="77" t="s">
        <v>21</v>
      </c>
      <c r="C6" s="13">
        <v>0.06</v>
      </c>
      <c r="D6" s="9" t="s">
        <v>22</v>
      </c>
      <c r="E6" s="9"/>
    </row>
    <row r="7" spans="1:5">
      <c r="A7" s="9" t="s">
        <v>23</v>
      </c>
      <c r="B7" s="77" t="s">
        <v>24</v>
      </c>
      <c r="C7" s="13">
        <v>0.06</v>
      </c>
      <c r="D7" s="9" t="s">
        <v>25</v>
      </c>
      <c r="E7" s="9"/>
    </row>
    <row r="8" spans="1:5">
      <c r="A8" s="9" t="s">
        <v>26</v>
      </c>
      <c r="B8" s="77" t="s">
        <v>27</v>
      </c>
      <c r="C8" s="13">
        <v>0.06</v>
      </c>
      <c r="D8" s="9" t="s">
        <v>28</v>
      </c>
      <c r="E8" s="9"/>
    </row>
    <row r="9" spans="1:5">
      <c r="A9" s="9" t="s">
        <v>29</v>
      </c>
      <c r="B9" s="77" t="s">
        <v>30</v>
      </c>
      <c r="C9" s="13">
        <v>1.7000000000000001E-2</v>
      </c>
      <c r="D9" s="9" t="s">
        <v>31</v>
      </c>
      <c r="E9" s="9"/>
    </row>
    <row r="10" spans="1:5">
      <c r="A10" s="9" t="s">
        <v>32</v>
      </c>
      <c r="B10" s="77" t="s">
        <v>33</v>
      </c>
      <c r="C10" s="13">
        <v>0.1</v>
      </c>
      <c r="D10" s="9" t="s">
        <v>34</v>
      </c>
      <c r="E10" s="9"/>
    </row>
    <row r="11" spans="1:5">
      <c r="A11" s="9" t="s">
        <v>35</v>
      </c>
      <c r="B11" s="77" t="s">
        <v>36</v>
      </c>
      <c r="C11" s="13">
        <v>0.05</v>
      </c>
      <c r="D11" s="9" t="s">
        <v>37</v>
      </c>
      <c r="E11" s="9"/>
    </row>
    <row r="12" spans="1:5">
      <c r="A12" s="9"/>
      <c r="B12" s="77" t="s">
        <v>38</v>
      </c>
      <c r="C12" s="13">
        <v>0.05</v>
      </c>
      <c r="D12" s="9" t="s">
        <v>39</v>
      </c>
      <c r="E12" s="9"/>
    </row>
    <row r="13" spans="1:5">
      <c r="A13" s="9"/>
      <c r="B13" s="77"/>
      <c r="C13" s="13"/>
      <c r="D13" s="9" t="s">
        <v>40</v>
      </c>
      <c r="E13" s="9"/>
    </row>
  </sheetData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8866"/>
  <sheetViews>
    <sheetView showGridLines="0" tabSelected="1" zoomScale="85" zoomScaleNormal="85" workbookViewId="0">
      <pane xSplit="9" ySplit="1" topLeftCell="J2609" activePane="bottomRight" state="frozen"/>
      <selection pane="topRight"/>
      <selection pane="bottomLeft"/>
      <selection pane="bottomRight" activeCell="E2635" sqref="E2635"/>
    </sheetView>
  </sheetViews>
  <sheetFormatPr baseColWidth="10" defaultColWidth="9" defaultRowHeight="15" customHeight="1"/>
  <cols>
    <col min="1" max="1" width="10.5703125" customWidth="1"/>
    <col min="2" max="2" width="12.5703125" customWidth="1"/>
    <col min="3" max="3" width="14.85546875" customWidth="1"/>
    <col min="4" max="4" width="15.42578125" customWidth="1"/>
    <col min="5" max="5" width="8" customWidth="1"/>
    <col min="6" max="6" width="21.42578125" customWidth="1"/>
    <col min="7" max="7" width="11.5703125" style="3" customWidth="1"/>
    <col min="8" max="8" width="11.28515625" customWidth="1"/>
    <col min="9" max="9" width="13.85546875" style="58" customWidth="1"/>
    <col min="10" max="10" width="17.7109375" customWidth="1"/>
    <col min="11" max="11" width="15" customWidth="1"/>
    <col min="12" max="12" width="18" customWidth="1"/>
    <col min="13" max="13" width="10.42578125" customWidth="1"/>
    <col min="14" max="14" width="16.5703125" style="15" customWidth="1"/>
    <col min="15" max="15" width="16.7109375" style="59" customWidth="1"/>
    <col min="16" max="16" width="12.140625" style="15" customWidth="1"/>
    <col min="17" max="17" width="12.5703125" style="59" customWidth="1"/>
    <col min="18" max="18" width="12.28515625" style="15" customWidth="1"/>
    <col min="19" max="20" width="16.5703125" style="15" customWidth="1"/>
    <col min="21" max="21" width="13.5703125" style="15" customWidth="1"/>
    <col min="22" max="22" width="14.7109375" customWidth="1"/>
    <col min="23" max="23" width="16.85546875" customWidth="1"/>
    <col min="24" max="24" width="11" customWidth="1"/>
  </cols>
  <sheetData>
    <row r="1" spans="1:24" ht="59.25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 s="4" customFormat="1" ht="15" customHeight="1">
      <c r="A2" s="28" t="s">
        <v>63</v>
      </c>
      <c r="B2" s="29">
        <v>3169.6</v>
      </c>
      <c r="C2" s="30" t="s">
        <v>64</v>
      </c>
      <c r="D2" s="2">
        <v>4947917132</v>
      </c>
      <c r="E2" s="2" t="s">
        <v>14</v>
      </c>
      <c r="F2" s="2">
        <v>1023591784</v>
      </c>
      <c r="G2" s="28" t="s">
        <v>13</v>
      </c>
      <c r="H2" s="2" t="s">
        <v>23</v>
      </c>
      <c r="I2" s="2">
        <v>6</v>
      </c>
      <c r="J2" s="2"/>
      <c r="K2" s="2">
        <v>2505.23</v>
      </c>
      <c r="L2" s="35">
        <f>B2*K2</f>
        <v>7940577.0079999994</v>
      </c>
      <c r="M2" s="36">
        <v>68.040000000000006</v>
      </c>
      <c r="N2" s="37">
        <v>188214.45</v>
      </c>
      <c r="O2" s="37">
        <v>0</v>
      </c>
      <c r="P2" s="37">
        <v>0</v>
      </c>
      <c r="Q2" s="37">
        <v>0</v>
      </c>
      <c r="R2" s="37">
        <v>753</v>
      </c>
      <c r="S2" s="37">
        <v>343435</v>
      </c>
      <c r="T2" s="40">
        <v>30000</v>
      </c>
      <c r="U2" s="37">
        <v>246380</v>
      </c>
      <c r="V2" s="37">
        <v>0</v>
      </c>
      <c r="W2" s="45">
        <f>+SUM(N2:V2)</f>
        <v>808782.45</v>
      </c>
      <c r="X2" s="46">
        <f>(W2/L2)*100</f>
        <v>10.185436765932312</v>
      </c>
    </row>
    <row r="3" spans="1:24" s="4" customFormat="1" ht="15" customHeight="1">
      <c r="A3" s="28" t="s">
        <v>63</v>
      </c>
      <c r="B3" s="29">
        <v>3169.6</v>
      </c>
      <c r="C3" s="30" t="s">
        <v>65</v>
      </c>
      <c r="D3" s="2">
        <v>4947847972</v>
      </c>
      <c r="E3" s="2" t="s">
        <v>33</v>
      </c>
      <c r="F3" s="2" t="s">
        <v>66</v>
      </c>
      <c r="G3" s="28" t="s">
        <v>13</v>
      </c>
      <c r="H3" s="2" t="s">
        <v>23</v>
      </c>
      <c r="I3" s="2">
        <v>2</v>
      </c>
      <c r="J3" s="2"/>
      <c r="K3" s="2">
        <v>1953.43</v>
      </c>
      <c r="L3" s="35">
        <f t="shared" ref="L3:L66" si="0">B3*K3</f>
        <v>6191591.7280000001</v>
      </c>
      <c r="M3" s="36">
        <v>249.48</v>
      </c>
      <c r="N3" s="37">
        <v>169186.22500000001</v>
      </c>
      <c r="O3" s="37">
        <v>0</v>
      </c>
      <c r="P3" s="37">
        <v>0</v>
      </c>
      <c r="Q3" s="37">
        <v>0</v>
      </c>
      <c r="R3" s="37">
        <v>1176.6666666666699</v>
      </c>
      <c r="S3" s="37">
        <v>57239.166666666701</v>
      </c>
      <c r="T3" s="40"/>
      <c r="U3" s="37">
        <v>41063.333333333299</v>
      </c>
      <c r="V3" s="37">
        <v>0</v>
      </c>
      <c r="W3" s="45">
        <f t="shared" ref="W3:W66" si="1">+SUM(N3:V3)</f>
        <v>268665.39166666666</v>
      </c>
      <c r="X3" s="46">
        <f t="shared" ref="X3:X66" si="2">(W3/L3)*100</f>
        <v>4.3391974708489158</v>
      </c>
    </row>
    <row r="4" spans="1:24" s="4" customFormat="1" ht="15" customHeight="1">
      <c r="A4" s="28" t="s">
        <v>63</v>
      </c>
      <c r="B4" s="29">
        <v>3169.6</v>
      </c>
      <c r="C4" s="30" t="s">
        <v>65</v>
      </c>
      <c r="D4" s="2">
        <v>4947847972</v>
      </c>
      <c r="E4" s="2" t="s">
        <v>33</v>
      </c>
      <c r="F4" s="2" t="s">
        <v>66</v>
      </c>
      <c r="G4" s="28" t="s">
        <v>13</v>
      </c>
      <c r="H4" s="2" t="s">
        <v>23</v>
      </c>
      <c r="I4" s="2">
        <v>2</v>
      </c>
      <c r="J4" s="2"/>
      <c r="K4" s="2">
        <v>8856.5400000000009</v>
      </c>
      <c r="L4" s="35">
        <f t="shared" si="0"/>
        <v>28071689.184</v>
      </c>
      <c r="M4" s="36">
        <v>1247.4000000000001</v>
      </c>
      <c r="N4" s="37">
        <v>845931.125</v>
      </c>
      <c r="O4" s="37">
        <v>0</v>
      </c>
      <c r="P4" s="37">
        <v>0</v>
      </c>
      <c r="Q4" s="37">
        <v>0</v>
      </c>
      <c r="R4" s="37">
        <v>5883.3333333333303</v>
      </c>
      <c r="S4" s="37">
        <v>286195.83333333302</v>
      </c>
      <c r="T4" s="40"/>
      <c r="U4" s="37">
        <v>205316.66666666701</v>
      </c>
      <c r="V4" s="37">
        <v>0</v>
      </c>
      <c r="W4" s="45">
        <f t="shared" si="1"/>
        <v>1343326.9583333335</v>
      </c>
      <c r="X4" s="46">
        <f t="shared" si="2"/>
        <v>4.7853442289429049</v>
      </c>
    </row>
    <row r="5" spans="1:24" s="4" customFormat="1" ht="15" customHeight="1">
      <c r="A5" s="28" t="s">
        <v>63</v>
      </c>
      <c r="B5" s="29">
        <v>3169.6</v>
      </c>
      <c r="C5" s="30" t="s">
        <v>67</v>
      </c>
      <c r="D5" s="2">
        <v>4947897326</v>
      </c>
      <c r="E5" s="2" t="s">
        <v>33</v>
      </c>
      <c r="F5" s="2" t="s">
        <v>68</v>
      </c>
      <c r="G5" s="28" t="s">
        <v>13</v>
      </c>
      <c r="H5" s="2" t="s">
        <v>23</v>
      </c>
      <c r="I5" s="2">
        <v>1</v>
      </c>
      <c r="J5" s="2"/>
      <c r="K5" s="2">
        <v>432.6</v>
      </c>
      <c r="L5" s="35">
        <f t="shared" si="0"/>
        <v>1371168.96</v>
      </c>
      <c r="M5" s="36">
        <v>140</v>
      </c>
      <c r="N5" s="37">
        <v>216199.627893175</v>
      </c>
      <c r="O5" s="37">
        <v>0</v>
      </c>
      <c r="P5" s="37">
        <v>0</v>
      </c>
      <c r="Q5" s="37">
        <v>0</v>
      </c>
      <c r="R5" s="37">
        <v>6080.4451038575698</v>
      </c>
      <c r="S5" s="37">
        <v>71336.646884272996</v>
      </c>
      <c r="T5" s="40"/>
      <c r="U5" s="37">
        <v>51176.854599406499</v>
      </c>
      <c r="V5" s="37">
        <v>0</v>
      </c>
      <c r="W5" s="45">
        <f t="shared" si="1"/>
        <v>344793.57448071206</v>
      </c>
      <c r="X5" s="46">
        <f t="shared" si="2"/>
        <v>25.145958269118935</v>
      </c>
    </row>
    <row r="6" spans="1:24" s="4" customFormat="1" ht="15" customHeight="1">
      <c r="A6" s="28" t="s">
        <v>63</v>
      </c>
      <c r="B6" s="29">
        <v>3169.6</v>
      </c>
      <c r="C6" s="30" t="s">
        <v>67</v>
      </c>
      <c r="D6" s="2">
        <v>4947897326</v>
      </c>
      <c r="E6" s="2" t="s">
        <v>33</v>
      </c>
      <c r="F6" s="2" t="s">
        <v>68</v>
      </c>
      <c r="G6" s="28" t="s">
        <v>13</v>
      </c>
      <c r="H6" s="2" t="s">
        <v>23</v>
      </c>
      <c r="I6" s="2">
        <v>1</v>
      </c>
      <c r="J6" s="2"/>
      <c r="K6" s="2">
        <v>346.08</v>
      </c>
      <c r="L6" s="35">
        <f t="shared" si="0"/>
        <v>1096935.1679999998</v>
      </c>
      <c r="M6" s="36">
        <v>112</v>
      </c>
      <c r="N6" s="37">
        <v>172959.70231453999</v>
      </c>
      <c r="O6" s="37">
        <v>0</v>
      </c>
      <c r="P6" s="37">
        <v>0</v>
      </c>
      <c r="Q6" s="37">
        <v>0</v>
      </c>
      <c r="R6" s="37">
        <v>4864.3560830860497</v>
      </c>
      <c r="S6" s="37">
        <v>57069.317507418396</v>
      </c>
      <c r="T6" s="40"/>
      <c r="U6" s="37">
        <v>40941.483679525198</v>
      </c>
      <c r="V6" s="37">
        <v>0</v>
      </c>
      <c r="W6" s="45">
        <f t="shared" si="1"/>
        <v>275834.85958456964</v>
      </c>
      <c r="X6" s="46">
        <f t="shared" si="2"/>
        <v>25.145958269118935</v>
      </c>
    </row>
    <row r="7" spans="1:24" s="4" customFormat="1" ht="15" customHeight="1">
      <c r="A7" s="28" t="s">
        <v>63</v>
      </c>
      <c r="B7" s="29">
        <v>3169.6</v>
      </c>
      <c r="C7" s="30" t="s">
        <v>67</v>
      </c>
      <c r="D7" s="2">
        <v>4947897326</v>
      </c>
      <c r="E7" s="2" t="s">
        <v>33</v>
      </c>
      <c r="F7" s="2" t="s">
        <v>68</v>
      </c>
      <c r="G7" s="28" t="s">
        <v>13</v>
      </c>
      <c r="H7" s="2" t="s">
        <v>23</v>
      </c>
      <c r="I7" s="2">
        <v>1</v>
      </c>
      <c r="J7" s="2"/>
      <c r="K7" s="2">
        <v>370.8</v>
      </c>
      <c r="L7" s="35">
        <f t="shared" si="0"/>
        <v>1175287.68</v>
      </c>
      <c r="M7" s="36">
        <v>120</v>
      </c>
      <c r="N7" s="37">
        <v>185313.96676557901</v>
      </c>
      <c r="O7" s="37">
        <v>0</v>
      </c>
      <c r="P7" s="37">
        <v>0</v>
      </c>
      <c r="Q7" s="37">
        <v>0</v>
      </c>
      <c r="R7" s="37">
        <v>5211.8100890207697</v>
      </c>
      <c r="S7" s="37">
        <v>61145.697329376897</v>
      </c>
      <c r="T7" s="40"/>
      <c r="U7" s="37">
        <v>43865.875370919901</v>
      </c>
      <c r="V7" s="37">
        <v>0</v>
      </c>
      <c r="W7" s="45">
        <f t="shared" si="1"/>
        <v>295537.34955489653</v>
      </c>
      <c r="X7" s="46">
        <f t="shared" si="2"/>
        <v>25.145958269118974</v>
      </c>
    </row>
    <row r="8" spans="1:24" s="4" customFormat="1" ht="15" customHeight="1">
      <c r="A8" s="28" t="s">
        <v>63</v>
      </c>
      <c r="B8" s="29">
        <v>3169.6</v>
      </c>
      <c r="C8" s="30" t="s">
        <v>67</v>
      </c>
      <c r="D8" s="2">
        <v>4947897326</v>
      </c>
      <c r="E8" s="2" t="s">
        <v>33</v>
      </c>
      <c r="F8" s="2" t="s">
        <v>68</v>
      </c>
      <c r="G8" s="28" t="s">
        <v>13</v>
      </c>
      <c r="H8" s="2" t="s">
        <v>23</v>
      </c>
      <c r="I8" s="2">
        <v>1</v>
      </c>
      <c r="J8" s="2"/>
      <c r="K8" s="2">
        <v>393.12</v>
      </c>
      <c r="L8" s="35">
        <f t="shared" si="0"/>
        <v>1246033.152</v>
      </c>
      <c r="M8" s="36">
        <v>3</v>
      </c>
      <c r="N8" s="37">
        <v>166782.570089021</v>
      </c>
      <c r="O8" s="37">
        <v>0</v>
      </c>
      <c r="P8" s="37">
        <v>0</v>
      </c>
      <c r="Q8" s="37">
        <v>0</v>
      </c>
      <c r="R8" s="37">
        <v>4690.6290801186897</v>
      </c>
      <c r="S8" s="37">
        <v>55031.127596439197</v>
      </c>
      <c r="T8" s="40"/>
      <c r="U8" s="37">
        <v>39479.287833827897</v>
      </c>
      <c r="V8" s="37">
        <v>0</v>
      </c>
      <c r="W8" s="45">
        <f t="shared" si="1"/>
        <v>265983.61459940678</v>
      </c>
      <c r="X8" s="46">
        <f t="shared" si="2"/>
        <v>21.346431607576264</v>
      </c>
    </row>
    <row r="9" spans="1:24" s="4" customFormat="1" ht="15" customHeight="1">
      <c r="A9" s="28" t="s">
        <v>63</v>
      </c>
      <c r="B9" s="29">
        <v>3169.6</v>
      </c>
      <c r="C9" s="30" t="s">
        <v>67</v>
      </c>
      <c r="D9" s="2">
        <v>4947897326</v>
      </c>
      <c r="E9" s="2" t="s">
        <v>33</v>
      </c>
      <c r="F9" s="2" t="s">
        <v>68</v>
      </c>
      <c r="G9" s="28" t="s">
        <v>13</v>
      </c>
      <c r="H9" s="2" t="s">
        <v>23</v>
      </c>
      <c r="I9" s="2">
        <v>1</v>
      </c>
      <c r="J9" s="2"/>
      <c r="K9" s="2">
        <v>305.76</v>
      </c>
      <c r="L9" s="35">
        <f t="shared" si="0"/>
        <v>969136.89599999995</v>
      </c>
      <c r="M9" s="36">
        <v>3</v>
      </c>
      <c r="N9" s="37">
        <v>129719.776735905</v>
      </c>
      <c r="O9" s="37">
        <v>0</v>
      </c>
      <c r="P9" s="37">
        <v>0</v>
      </c>
      <c r="Q9" s="37">
        <v>0</v>
      </c>
      <c r="R9" s="37">
        <v>3648.26706231454</v>
      </c>
      <c r="S9" s="37">
        <v>42801.988130563797</v>
      </c>
      <c r="T9" s="40"/>
      <c r="U9" s="37">
        <v>30706.1127596439</v>
      </c>
      <c r="V9" s="37">
        <v>0</v>
      </c>
      <c r="W9" s="45">
        <f t="shared" si="1"/>
        <v>206876.14468842724</v>
      </c>
      <c r="X9" s="46">
        <f t="shared" si="2"/>
        <v>21.346431607576239</v>
      </c>
    </row>
    <row r="10" spans="1:24" s="4" customFormat="1" ht="15" customHeight="1">
      <c r="A10" s="28" t="s">
        <v>63</v>
      </c>
      <c r="B10" s="29">
        <v>3169.6</v>
      </c>
      <c r="C10" s="30" t="s">
        <v>67</v>
      </c>
      <c r="D10" s="2">
        <v>4947897326</v>
      </c>
      <c r="E10" s="2" t="s">
        <v>33</v>
      </c>
      <c r="F10" s="2" t="s">
        <v>68</v>
      </c>
      <c r="G10" s="28" t="s">
        <v>13</v>
      </c>
      <c r="H10" s="2" t="s">
        <v>23</v>
      </c>
      <c r="I10" s="2">
        <v>1</v>
      </c>
      <c r="J10" s="2"/>
      <c r="K10" s="2">
        <v>309</v>
      </c>
      <c r="L10" s="35">
        <f t="shared" si="0"/>
        <v>979406.4</v>
      </c>
      <c r="M10" s="36">
        <v>120</v>
      </c>
      <c r="N10" s="37">
        <v>154428.305637982</v>
      </c>
      <c r="O10" s="37">
        <v>0</v>
      </c>
      <c r="P10" s="37">
        <v>0</v>
      </c>
      <c r="Q10" s="37">
        <v>0</v>
      </c>
      <c r="R10" s="37">
        <v>4343.1750741839796</v>
      </c>
      <c r="S10" s="37">
        <v>50954.747774480697</v>
      </c>
      <c r="T10" s="40"/>
      <c r="U10" s="37">
        <v>36554.896142433201</v>
      </c>
      <c r="V10" s="37">
        <v>0</v>
      </c>
      <c r="W10" s="45">
        <f t="shared" si="1"/>
        <v>246281.12462907989</v>
      </c>
      <c r="X10" s="46">
        <f t="shared" si="2"/>
        <v>25.145958269118918</v>
      </c>
    </row>
    <row r="11" spans="1:24" s="4" customFormat="1" ht="15" customHeight="1">
      <c r="A11" s="28" t="s">
        <v>63</v>
      </c>
      <c r="B11" s="29">
        <v>3169.6</v>
      </c>
      <c r="C11" s="30" t="s">
        <v>67</v>
      </c>
      <c r="D11" s="2">
        <v>4947897326</v>
      </c>
      <c r="E11" s="2" t="s">
        <v>33</v>
      </c>
      <c r="F11" s="2" t="s">
        <v>68</v>
      </c>
      <c r="G11" s="28" t="s">
        <v>13</v>
      </c>
      <c r="H11" s="2" t="s">
        <v>23</v>
      </c>
      <c r="I11" s="2">
        <v>1</v>
      </c>
      <c r="J11" s="2"/>
      <c r="K11" s="2">
        <v>161.69999999999999</v>
      </c>
      <c r="L11" s="35">
        <f t="shared" si="0"/>
        <v>512524.31999999995</v>
      </c>
      <c r="M11" s="36">
        <v>10</v>
      </c>
      <c r="N11" s="37">
        <v>15442.830563798199</v>
      </c>
      <c r="O11" s="37">
        <v>0</v>
      </c>
      <c r="P11" s="37">
        <v>0</v>
      </c>
      <c r="Q11" s="37">
        <v>0</v>
      </c>
      <c r="R11" s="37">
        <v>434.31750741839801</v>
      </c>
      <c r="S11" s="37">
        <v>5095.4747774480702</v>
      </c>
      <c r="T11" s="40"/>
      <c r="U11" s="37">
        <v>3655.4896142433199</v>
      </c>
      <c r="V11" s="37">
        <v>0</v>
      </c>
      <c r="W11" s="45">
        <f t="shared" si="1"/>
        <v>24628.11246290799</v>
      </c>
      <c r="X11" s="46">
        <f t="shared" si="2"/>
        <v>4.8052573315756009</v>
      </c>
    </row>
    <row r="12" spans="1:24" s="4" customFormat="1" ht="15" customHeight="1">
      <c r="A12" s="28" t="s">
        <v>63</v>
      </c>
      <c r="B12" s="29">
        <v>3169.6</v>
      </c>
      <c r="C12" s="30" t="s">
        <v>69</v>
      </c>
      <c r="D12" s="2">
        <v>4948208972</v>
      </c>
      <c r="E12" s="2" t="s">
        <v>14</v>
      </c>
      <c r="F12" s="78" t="s">
        <v>70</v>
      </c>
      <c r="G12" s="28" t="s">
        <v>13</v>
      </c>
      <c r="H12" s="2" t="s">
        <v>23</v>
      </c>
      <c r="I12" s="2">
        <v>1</v>
      </c>
      <c r="J12" s="2"/>
      <c r="K12" s="2">
        <v>8920.2000000000007</v>
      </c>
      <c r="L12" s="35">
        <f t="shared" si="0"/>
        <v>28273465.920000002</v>
      </c>
      <c r="M12" s="36">
        <v>20</v>
      </c>
      <c r="N12" s="37">
        <v>136987.6</v>
      </c>
      <c r="O12" s="37">
        <v>0</v>
      </c>
      <c r="P12" s="37">
        <v>0</v>
      </c>
      <c r="Q12" s="37">
        <v>0</v>
      </c>
      <c r="R12" s="37">
        <v>548</v>
      </c>
      <c r="S12" s="37">
        <v>343435</v>
      </c>
      <c r="T12" s="40">
        <v>30000</v>
      </c>
      <c r="U12" s="37">
        <v>70394.285714285696</v>
      </c>
      <c r="V12" s="37">
        <v>0</v>
      </c>
      <c r="W12" s="45">
        <f t="shared" si="1"/>
        <v>581364.88571428566</v>
      </c>
      <c r="X12" s="46">
        <f t="shared" si="2"/>
        <v>2.0562207950000269</v>
      </c>
    </row>
    <row r="13" spans="1:24" s="4" customFormat="1" ht="15" customHeight="1">
      <c r="A13" s="28" t="s">
        <v>63</v>
      </c>
      <c r="B13" s="29">
        <v>3169.6</v>
      </c>
      <c r="C13" s="30" t="s">
        <v>71</v>
      </c>
      <c r="D13" s="2">
        <v>4947917132</v>
      </c>
      <c r="E13" s="2" t="s">
        <v>14</v>
      </c>
      <c r="F13" s="2" t="s">
        <v>72</v>
      </c>
      <c r="G13" s="28" t="s">
        <v>13</v>
      </c>
      <c r="H13" s="2" t="s">
        <v>23</v>
      </c>
      <c r="I13" s="2">
        <v>1</v>
      </c>
      <c r="J13" s="2"/>
      <c r="K13" s="2">
        <v>376.6</v>
      </c>
      <c r="L13" s="35">
        <f t="shared" si="0"/>
        <v>1193671.3600000001</v>
      </c>
      <c r="M13" s="36">
        <v>5</v>
      </c>
      <c r="N13" s="37">
        <v>421821</v>
      </c>
      <c r="O13" s="37">
        <v>0</v>
      </c>
      <c r="P13" s="37">
        <v>0</v>
      </c>
      <c r="Q13" s="37">
        <v>0</v>
      </c>
      <c r="R13" s="37">
        <v>1687</v>
      </c>
      <c r="S13" s="37">
        <v>343435</v>
      </c>
      <c r="T13" s="40">
        <v>30000</v>
      </c>
      <c r="U13" s="37">
        <v>3677.3134328358201</v>
      </c>
      <c r="V13" s="37">
        <v>0</v>
      </c>
      <c r="W13" s="45">
        <f t="shared" si="1"/>
        <v>800620.31343283586</v>
      </c>
      <c r="X13" s="46">
        <f t="shared" si="2"/>
        <v>67.072088705624623</v>
      </c>
    </row>
    <row r="14" spans="1:24" s="4" customFormat="1" ht="15" customHeight="1">
      <c r="A14" s="28" t="s">
        <v>63</v>
      </c>
      <c r="B14" s="29">
        <v>3169.6</v>
      </c>
      <c r="C14" s="30" t="s">
        <v>73</v>
      </c>
      <c r="D14" s="2">
        <v>4947642963</v>
      </c>
      <c r="E14" s="2" t="s">
        <v>14</v>
      </c>
      <c r="F14" s="78" t="s">
        <v>74</v>
      </c>
      <c r="G14" s="28" t="s">
        <v>13</v>
      </c>
      <c r="H14" s="2" t="s">
        <v>23</v>
      </c>
      <c r="I14" s="2">
        <v>1</v>
      </c>
      <c r="J14" s="2"/>
      <c r="K14" s="2">
        <v>376.6</v>
      </c>
      <c r="L14" s="35">
        <f t="shared" si="0"/>
        <v>1193671.3600000001</v>
      </c>
      <c r="M14" s="36">
        <v>5</v>
      </c>
      <c r="N14" s="37">
        <v>416881</v>
      </c>
      <c r="O14" s="37">
        <v>0</v>
      </c>
      <c r="P14" s="37">
        <v>0</v>
      </c>
      <c r="Q14" s="37">
        <v>0</v>
      </c>
      <c r="R14" s="37">
        <v>1668</v>
      </c>
      <c r="S14" s="37">
        <v>343435</v>
      </c>
      <c r="T14" s="40">
        <v>30000</v>
      </c>
      <c r="U14" s="37">
        <v>246380</v>
      </c>
      <c r="V14" s="37">
        <v>0</v>
      </c>
      <c r="W14" s="45">
        <f t="shared" si="1"/>
        <v>1038364</v>
      </c>
      <c r="X14" s="46">
        <f t="shared" si="2"/>
        <v>86.989102260106151</v>
      </c>
    </row>
    <row r="15" spans="1:24" s="4" customFormat="1" ht="15" customHeight="1">
      <c r="A15" s="28" t="s">
        <v>63</v>
      </c>
      <c r="B15" s="29">
        <v>3169.6</v>
      </c>
      <c r="C15" s="30" t="s">
        <v>75</v>
      </c>
      <c r="D15" s="2">
        <v>4944281732</v>
      </c>
      <c r="E15" s="2" t="s">
        <v>6</v>
      </c>
      <c r="F15" s="2" t="s">
        <v>76</v>
      </c>
      <c r="G15" s="28" t="s">
        <v>9</v>
      </c>
      <c r="H15" s="2" t="s">
        <v>23</v>
      </c>
      <c r="I15" s="2">
        <v>6</v>
      </c>
      <c r="J15" s="2"/>
      <c r="K15" s="2">
        <v>7322.4</v>
      </c>
      <c r="L15" s="35">
        <f t="shared" si="0"/>
        <v>23209079.039999999</v>
      </c>
      <c r="M15" s="36">
        <v>3564</v>
      </c>
      <c r="N15" s="37">
        <v>834923</v>
      </c>
      <c r="O15" s="37">
        <v>0</v>
      </c>
      <c r="P15" s="37">
        <v>153495</v>
      </c>
      <c r="Q15" s="37">
        <v>47977</v>
      </c>
      <c r="R15" s="37">
        <v>115293</v>
      </c>
      <c r="S15" s="37">
        <v>343435</v>
      </c>
      <c r="T15" s="40">
        <v>30000</v>
      </c>
      <c r="U15" s="37">
        <v>1940000</v>
      </c>
      <c r="V15" s="37">
        <v>0</v>
      </c>
      <c r="W15" s="45">
        <f t="shared" si="1"/>
        <v>3465123</v>
      </c>
      <c r="X15" s="46">
        <f t="shared" si="2"/>
        <v>14.930032312044727</v>
      </c>
    </row>
    <row r="16" spans="1:24" s="4" customFormat="1" ht="15" customHeight="1">
      <c r="A16" s="28" t="s">
        <v>63</v>
      </c>
      <c r="B16" s="29">
        <v>3169.6</v>
      </c>
      <c r="C16" s="30" t="s">
        <v>77</v>
      </c>
      <c r="D16" s="2">
        <v>4946809257</v>
      </c>
      <c r="E16" s="2" t="s">
        <v>33</v>
      </c>
      <c r="F16" s="2">
        <v>45630138166</v>
      </c>
      <c r="G16" s="28" t="s">
        <v>9</v>
      </c>
      <c r="H16" s="2" t="s">
        <v>23</v>
      </c>
      <c r="I16" s="2">
        <v>6</v>
      </c>
      <c r="J16" s="2"/>
      <c r="K16" s="2">
        <v>8976</v>
      </c>
      <c r="L16" s="35">
        <f t="shared" si="0"/>
        <v>28450329.599999998</v>
      </c>
      <c r="M16" s="36">
        <v>6600</v>
      </c>
      <c r="N16" s="37">
        <v>1419188</v>
      </c>
      <c r="O16" s="37">
        <v>0</v>
      </c>
      <c r="P16" s="37">
        <v>462928</v>
      </c>
      <c r="Q16" s="37">
        <v>145400</v>
      </c>
      <c r="R16" s="37">
        <v>250208</v>
      </c>
      <c r="S16" s="37">
        <v>343435</v>
      </c>
      <c r="T16" s="40"/>
      <c r="U16" s="37">
        <v>1920600</v>
      </c>
      <c r="V16" s="37">
        <v>0</v>
      </c>
      <c r="W16" s="45">
        <f t="shared" si="1"/>
        <v>4541759</v>
      </c>
      <c r="X16" s="46">
        <f t="shared" si="2"/>
        <v>15.963818570312805</v>
      </c>
    </row>
    <row r="17" spans="1:24" s="4" customFormat="1" ht="15" customHeight="1">
      <c r="A17" s="28" t="s">
        <v>63</v>
      </c>
      <c r="B17" s="29">
        <v>3169.6</v>
      </c>
      <c r="C17" s="30" t="s">
        <v>78</v>
      </c>
      <c r="D17" s="2">
        <v>4947435969</v>
      </c>
      <c r="E17" s="2" t="s">
        <v>24</v>
      </c>
      <c r="F17" s="78" t="s">
        <v>79</v>
      </c>
      <c r="G17" s="28" t="s">
        <v>5</v>
      </c>
      <c r="H17" s="2" t="s">
        <v>26</v>
      </c>
      <c r="I17" s="2">
        <v>1</v>
      </c>
      <c r="J17" s="2" t="s">
        <v>80</v>
      </c>
      <c r="K17" s="2">
        <v>35303.800000000003</v>
      </c>
      <c r="L17" s="35">
        <f t="shared" si="0"/>
        <v>111898924.48</v>
      </c>
      <c r="M17" s="36">
        <v>23380</v>
      </c>
      <c r="N17" s="37">
        <v>315585</v>
      </c>
      <c r="O17" s="37">
        <v>383556</v>
      </c>
      <c r="P17" s="37">
        <v>69035</v>
      </c>
      <c r="Q17" s="37">
        <v>105478</v>
      </c>
      <c r="R17" s="37">
        <v>764266</v>
      </c>
      <c r="S17" s="37">
        <v>343435</v>
      </c>
      <c r="T17" s="40"/>
      <c r="U17" s="37">
        <v>0</v>
      </c>
      <c r="V17" s="37">
        <v>0</v>
      </c>
      <c r="W17" s="45">
        <f t="shared" si="1"/>
        <v>1981355</v>
      </c>
      <c r="X17" s="46">
        <f t="shared" si="2"/>
        <v>1.7706649185481074</v>
      </c>
    </row>
    <row r="18" spans="1:24" s="4" customFormat="1" ht="15" customHeight="1">
      <c r="A18" s="28" t="s">
        <v>63</v>
      </c>
      <c r="B18" s="29">
        <v>3169.6</v>
      </c>
      <c r="C18" s="30" t="s">
        <v>81</v>
      </c>
      <c r="D18" s="2">
        <v>4947172548</v>
      </c>
      <c r="E18" s="2" t="s">
        <v>21</v>
      </c>
      <c r="F18" s="2" t="s">
        <v>82</v>
      </c>
      <c r="G18" s="28" t="s">
        <v>9</v>
      </c>
      <c r="H18" s="2" t="s">
        <v>23</v>
      </c>
      <c r="I18" s="2">
        <v>1</v>
      </c>
      <c r="J18" s="2"/>
      <c r="K18" s="2">
        <v>3498</v>
      </c>
      <c r="L18" s="35">
        <f t="shared" si="0"/>
        <v>11087260.799999999</v>
      </c>
      <c r="M18" s="36">
        <v>600</v>
      </c>
      <c r="N18" s="37">
        <v>114522</v>
      </c>
      <c r="O18" s="37">
        <v>0</v>
      </c>
      <c r="P18" s="37">
        <v>55321</v>
      </c>
      <c r="Q18" s="37">
        <v>15812</v>
      </c>
      <c r="R18" s="37">
        <v>26970</v>
      </c>
      <c r="S18" s="37">
        <v>343435</v>
      </c>
      <c r="T18" s="40"/>
      <c r="U18" s="37">
        <v>1299800</v>
      </c>
      <c r="V18" s="37">
        <v>0</v>
      </c>
      <c r="W18" s="45">
        <f t="shared" si="1"/>
        <v>1855860</v>
      </c>
      <c r="X18" s="46">
        <f t="shared" si="2"/>
        <v>16.738670023889039</v>
      </c>
    </row>
    <row r="19" spans="1:24" s="4" customFormat="1" ht="15" customHeight="1">
      <c r="A19" s="28" t="s">
        <v>63</v>
      </c>
      <c r="B19" s="29">
        <v>3169.6</v>
      </c>
      <c r="C19" s="30" t="s">
        <v>83</v>
      </c>
      <c r="D19" s="2">
        <v>4945575562</v>
      </c>
      <c r="E19" s="2" t="s">
        <v>6</v>
      </c>
      <c r="F19" s="2" t="s">
        <v>84</v>
      </c>
      <c r="G19" s="28" t="s">
        <v>5</v>
      </c>
      <c r="H19" s="2" t="s">
        <v>20</v>
      </c>
      <c r="I19" s="2">
        <v>1</v>
      </c>
      <c r="J19" s="2" t="s">
        <v>85</v>
      </c>
      <c r="K19" s="2">
        <v>27636</v>
      </c>
      <c r="L19" s="35">
        <f t="shared" si="0"/>
        <v>87595065.599999994</v>
      </c>
      <c r="M19" s="36">
        <v>197.4</v>
      </c>
      <c r="N19" s="37">
        <v>542497</v>
      </c>
      <c r="O19" s="37">
        <v>371569</v>
      </c>
      <c r="P19" s="37">
        <v>573754</v>
      </c>
      <c r="Q19" s="37">
        <v>104356</v>
      </c>
      <c r="R19" s="37">
        <v>792108</v>
      </c>
      <c r="S19" s="37">
        <v>343435</v>
      </c>
      <c r="T19" s="40">
        <v>30000</v>
      </c>
      <c r="U19" s="37">
        <v>1878000</v>
      </c>
      <c r="V19" s="37">
        <v>0</v>
      </c>
      <c r="W19" s="45">
        <f t="shared" si="1"/>
        <v>4635719</v>
      </c>
      <c r="X19" s="46">
        <f t="shared" si="2"/>
        <v>5.2922147706000473</v>
      </c>
    </row>
    <row r="20" spans="1:24" s="4" customFormat="1" ht="15" customHeight="1">
      <c r="A20" s="28" t="s">
        <v>63</v>
      </c>
      <c r="B20" s="29">
        <v>3169.6</v>
      </c>
      <c r="C20" s="30" t="s">
        <v>86</v>
      </c>
      <c r="D20" s="2">
        <v>4947434694</v>
      </c>
      <c r="E20" s="2" t="s">
        <v>24</v>
      </c>
      <c r="F20" s="2" t="s">
        <v>87</v>
      </c>
      <c r="G20" s="28" t="s">
        <v>9</v>
      </c>
      <c r="H20" s="2" t="s">
        <v>23</v>
      </c>
      <c r="I20" s="2">
        <v>1</v>
      </c>
      <c r="J20" s="2"/>
      <c r="K20" s="2">
        <v>2148</v>
      </c>
      <c r="L20" s="35">
        <f t="shared" si="0"/>
        <v>6808300.7999999998</v>
      </c>
      <c r="M20" s="36">
        <v>120</v>
      </c>
      <c r="N20" s="37">
        <v>890943</v>
      </c>
      <c r="O20" s="37">
        <v>0</v>
      </c>
      <c r="P20" s="37">
        <v>5929</v>
      </c>
      <c r="Q20" s="37">
        <v>47642</v>
      </c>
      <c r="R20" s="37">
        <v>62079</v>
      </c>
      <c r="S20" s="37">
        <v>343435</v>
      </c>
      <c r="T20" s="40"/>
      <c r="U20" s="37">
        <v>557750</v>
      </c>
      <c r="V20" s="37">
        <v>0</v>
      </c>
      <c r="W20" s="45">
        <f t="shared" si="1"/>
        <v>1907778</v>
      </c>
      <c r="X20" s="46">
        <f t="shared" si="2"/>
        <v>28.021352993099246</v>
      </c>
    </row>
    <row r="21" spans="1:24" s="4" customFormat="1" ht="15" customHeight="1">
      <c r="A21" s="28" t="s">
        <v>63</v>
      </c>
      <c r="B21" s="29">
        <v>3169.6</v>
      </c>
      <c r="C21" s="30" t="s">
        <v>88</v>
      </c>
      <c r="D21" s="2">
        <v>4947321530</v>
      </c>
      <c r="E21" s="2" t="s">
        <v>14</v>
      </c>
      <c r="F21" s="2" t="s">
        <v>89</v>
      </c>
      <c r="G21" s="28" t="s">
        <v>5</v>
      </c>
      <c r="H21" s="2" t="s">
        <v>17</v>
      </c>
      <c r="I21" s="2">
        <v>1</v>
      </c>
      <c r="J21" s="2" t="s">
        <v>90</v>
      </c>
      <c r="K21" s="2">
        <v>18522</v>
      </c>
      <c r="L21" s="35">
        <f t="shared" si="0"/>
        <v>58707331.199999996</v>
      </c>
      <c r="M21" s="36">
        <f>3475+1425</f>
        <v>4900</v>
      </c>
      <c r="N21" s="37">
        <v>77194.467054263601</v>
      </c>
      <c r="O21" s="37">
        <v>98777.495155038807</v>
      </c>
      <c r="P21" s="37">
        <v>0</v>
      </c>
      <c r="Q21" s="37">
        <v>23576.2645348837</v>
      </c>
      <c r="R21" s="37">
        <v>155418.537790698</v>
      </c>
      <c r="S21" s="37">
        <v>81532.533914728701</v>
      </c>
      <c r="T21" s="40">
        <v>30000</v>
      </c>
      <c r="U21" s="37">
        <v>1181210.9980620199</v>
      </c>
      <c r="V21" s="37">
        <v>0</v>
      </c>
      <c r="W21" s="45">
        <f t="shared" si="1"/>
        <v>1647710.2965116329</v>
      </c>
      <c r="X21" s="46">
        <f t="shared" si="2"/>
        <v>2.8066516784732212</v>
      </c>
    </row>
    <row r="22" spans="1:24" s="4" customFormat="1" ht="15" customHeight="1">
      <c r="A22" s="28" t="s">
        <v>63</v>
      </c>
      <c r="B22" s="29">
        <v>3169.6</v>
      </c>
      <c r="C22" s="30" t="s">
        <v>88</v>
      </c>
      <c r="D22" s="2">
        <v>4947217693</v>
      </c>
      <c r="E22" s="2" t="s">
        <v>14</v>
      </c>
      <c r="F22" s="2" t="s">
        <v>89</v>
      </c>
      <c r="G22" s="28" t="s">
        <v>5</v>
      </c>
      <c r="H22" s="2" t="s">
        <v>17</v>
      </c>
      <c r="I22" s="2">
        <v>1</v>
      </c>
      <c r="J22" s="2" t="s">
        <v>90</v>
      </c>
      <c r="K22" s="2">
        <v>1060.5999999999999</v>
      </c>
      <c r="L22" s="35">
        <f t="shared" si="0"/>
        <v>3361677.76</v>
      </c>
      <c r="M22" s="36">
        <v>420</v>
      </c>
      <c r="N22" s="37">
        <v>6616.6686046511604</v>
      </c>
      <c r="O22" s="37">
        <v>8466.6424418604693</v>
      </c>
      <c r="P22" s="37">
        <v>0</v>
      </c>
      <c r="Q22" s="37">
        <v>2020.8226744185999</v>
      </c>
      <c r="R22" s="37">
        <f>11051.1889534884+2270</f>
        <v>13321.188953488399</v>
      </c>
      <c r="S22" s="37">
        <v>6988.5029069767397</v>
      </c>
      <c r="T22" s="40">
        <v>30000</v>
      </c>
      <c r="U22" s="37">
        <v>101246.65697674399</v>
      </c>
      <c r="V22" s="37">
        <v>0</v>
      </c>
      <c r="W22" s="45">
        <f t="shared" si="1"/>
        <v>168660.48255813937</v>
      </c>
      <c r="X22" s="46">
        <f t="shared" si="2"/>
        <v>5.0171519877663524</v>
      </c>
    </row>
    <row r="23" spans="1:24" s="4" customFormat="1" ht="15" customHeight="1">
      <c r="A23" s="28" t="s">
        <v>63</v>
      </c>
      <c r="B23" s="29">
        <v>3169.6</v>
      </c>
      <c r="C23" s="30" t="s">
        <v>88</v>
      </c>
      <c r="D23" s="2">
        <v>4947106843</v>
      </c>
      <c r="E23" s="2" t="s">
        <v>14</v>
      </c>
      <c r="F23" s="2" t="s">
        <v>89</v>
      </c>
      <c r="G23" s="28" t="s">
        <v>5</v>
      </c>
      <c r="H23" s="2" t="s">
        <v>17</v>
      </c>
      <c r="I23" s="2">
        <v>1</v>
      </c>
      <c r="J23" s="2" t="s">
        <v>90</v>
      </c>
      <c r="K23" s="2">
        <v>2847</v>
      </c>
      <c r="L23" s="35">
        <f t="shared" si="0"/>
        <v>9023851.1999999993</v>
      </c>
      <c r="M23" s="36">
        <v>100</v>
      </c>
      <c r="N23" s="37">
        <v>1575.3972868217099</v>
      </c>
      <c r="O23" s="37">
        <v>2015.8672480620201</v>
      </c>
      <c r="P23" s="37">
        <v>0</v>
      </c>
      <c r="Q23" s="37">
        <v>481.14825581395303</v>
      </c>
      <c r="R23" s="37">
        <v>3172.23546511628</v>
      </c>
      <c r="S23" s="37">
        <v>1663.9292635658901</v>
      </c>
      <c r="T23" s="40">
        <v>30000</v>
      </c>
      <c r="U23" s="37">
        <v>24106.346899224802</v>
      </c>
      <c r="V23" s="37">
        <v>0</v>
      </c>
      <c r="W23" s="45">
        <f t="shared" si="1"/>
        <v>63014.924418604656</v>
      </c>
      <c r="X23" s="46">
        <f t="shared" si="2"/>
        <v>0.69831519848869694</v>
      </c>
    </row>
    <row r="24" spans="1:24" s="4" customFormat="1" ht="15" customHeight="1">
      <c r="A24" s="28" t="s">
        <v>63</v>
      </c>
      <c r="B24" s="29">
        <v>3169.6</v>
      </c>
      <c r="C24" s="30" t="s">
        <v>88</v>
      </c>
      <c r="D24" s="2">
        <v>4947223493</v>
      </c>
      <c r="E24" s="2" t="s">
        <v>14</v>
      </c>
      <c r="F24" s="2" t="s">
        <v>89</v>
      </c>
      <c r="G24" s="28" t="s">
        <v>5</v>
      </c>
      <c r="H24" s="2" t="s">
        <v>17</v>
      </c>
      <c r="I24" s="2">
        <v>1</v>
      </c>
      <c r="J24" s="2" t="s">
        <v>90</v>
      </c>
      <c r="K24" s="2">
        <v>6408</v>
      </c>
      <c r="L24" s="35">
        <f t="shared" si="0"/>
        <v>20310796.800000001</v>
      </c>
      <c r="M24" s="36">
        <v>3600</v>
      </c>
      <c r="N24" s="37">
        <v>56714.302325581397</v>
      </c>
      <c r="O24" s="37">
        <v>72571.220930232594</v>
      </c>
      <c r="P24" s="37">
        <v>0</v>
      </c>
      <c r="Q24" s="37">
        <v>17321.337209302299</v>
      </c>
      <c r="R24" s="37">
        <f>94724.476744186+19461</f>
        <v>114185.476744186</v>
      </c>
      <c r="S24" s="37">
        <v>59901.453488372099</v>
      </c>
      <c r="T24" s="40">
        <v>30000</v>
      </c>
      <c r="U24" s="37">
        <v>867828.48837209295</v>
      </c>
      <c r="V24" s="37">
        <v>0</v>
      </c>
      <c r="W24" s="45">
        <f t="shared" si="1"/>
        <v>1218522.2790697673</v>
      </c>
      <c r="X24" s="46">
        <f t="shared" si="2"/>
        <v>5.9993819595978</v>
      </c>
    </row>
    <row r="25" spans="1:24" s="4" customFormat="1" ht="15" customHeight="1">
      <c r="A25" s="28" t="s">
        <v>63</v>
      </c>
      <c r="B25" s="29">
        <v>3169.6</v>
      </c>
      <c r="C25" s="30" t="s">
        <v>88</v>
      </c>
      <c r="D25" s="2">
        <v>4946878051</v>
      </c>
      <c r="E25" s="2" t="s">
        <v>14</v>
      </c>
      <c r="F25" s="2" t="s">
        <v>89</v>
      </c>
      <c r="G25" s="28" t="s">
        <v>5</v>
      </c>
      <c r="H25" s="2" t="s">
        <v>17</v>
      </c>
      <c r="I25" s="2">
        <v>1</v>
      </c>
      <c r="J25" s="2" t="s">
        <v>90</v>
      </c>
      <c r="K25" s="2">
        <v>13587.2</v>
      </c>
      <c r="L25" s="35">
        <f t="shared" si="0"/>
        <v>43065989.120000005</v>
      </c>
      <c r="M25" s="36">
        <v>3520</v>
      </c>
      <c r="N25" s="37">
        <v>55453.984496124001</v>
      </c>
      <c r="O25" s="37">
        <v>70958.527131782903</v>
      </c>
      <c r="P25" s="37">
        <v>0</v>
      </c>
      <c r="Q25" s="37">
        <v>16936.4186046512</v>
      </c>
      <c r="R25" s="37">
        <f>92619.488372093+19028</f>
        <v>111647.48837209299</v>
      </c>
      <c r="S25" s="37">
        <v>58570.310077519403</v>
      </c>
      <c r="T25" s="40">
        <v>30000</v>
      </c>
      <c r="U25" s="37">
        <v>848543.41085271304</v>
      </c>
      <c r="V25" s="37">
        <v>0</v>
      </c>
      <c r="W25" s="45">
        <f t="shared" si="1"/>
        <v>1192110.1395348837</v>
      </c>
      <c r="X25" s="46">
        <f t="shared" si="2"/>
        <v>2.7681011487119505</v>
      </c>
    </row>
    <row r="26" spans="1:24" s="4" customFormat="1" ht="15" customHeight="1">
      <c r="A26" s="28" t="s">
        <v>63</v>
      </c>
      <c r="B26" s="29">
        <v>3169.6</v>
      </c>
      <c r="C26" s="30" t="s">
        <v>88</v>
      </c>
      <c r="D26" s="2">
        <v>4947562544</v>
      </c>
      <c r="E26" s="2" t="s">
        <v>14</v>
      </c>
      <c r="F26" s="2" t="s">
        <v>89</v>
      </c>
      <c r="G26" s="28" t="s">
        <v>5</v>
      </c>
      <c r="H26" s="2" t="s">
        <v>17</v>
      </c>
      <c r="I26" s="2">
        <v>1</v>
      </c>
      <c r="J26" s="2" t="s">
        <v>90</v>
      </c>
      <c r="K26" s="2">
        <v>18630</v>
      </c>
      <c r="L26" s="35">
        <f t="shared" si="0"/>
        <v>59049648</v>
      </c>
      <c r="M26" s="36">
        <v>8100</v>
      </c>
      <c r="N26" s="37">
        <v>127607.18023255801</v>
      </c>
      <c r="O26" s="37">
        <v>163285.247093023</v>
      </c>
      <c r="P26" s="37">
        <v>0</v>
      </c>
      <c r="Q26" s="37">
        <v>38973.0087209302</v>
      </c>
      <c r="R26" s="37">
        <v>256917.072674419</v>
      </c>
      <c r="S26" s="37">
        <v>134778.27034883699</v>
      </c>
      <c r="T26" s="40">
        <v>30000</v>
      </c>
      <c r="U26" s="37">
        <v>1952614.0988372101</v>
      </c>
      <c r="V26" s="37">
        <v>0</v>
      </c>
      <c r="W26" s="45">
        <f t="shared" si="1"/>
        <v>2704174.8779069772</v>
      </c>
      <c r="X26" s="46">
        <f t="shared" si="2"/>
        <v>4.5794936455962905</v>
      </c>
    </row>
    <row r="27" spans="1:24" s="4" customFormat="1" ht="15" customHeight="1">
      <c r="A27" s="28" t="s">
        <v>63</v>
      </c>
      <c r="B27" s="29">
        <v>3169.6</v>
      </c>
      <c r="C27" s="30" t="s">
        <v>91</v>
      </c>
      <c r="D27" s="2">
        <v>4947199006</v>
      </c>
      <c r="E27" s="2" t="s">
        <v>14</v>
      </c>
      <c r="F27" s="78" t="s">
        <v>92</v>
      </c>
      <c r="G27" s="28" t="s">
        <v>5</v>
      </c>
      <c r="H27" s="2" t="s">
        <v>17</v>
      </c>
      <c r="I27" s="2">
        <v>1</v>
      </c>
      <c r="J27" s="2" t="s">
        <v>93</v>
      </c>
      <c r="K27" s="2">
        <v>32164</v>
      </c>
      <c r="L27" s="35">
        <f t="shared" si="0"/>
        <v>101947014.39999999</v>
      </c>
      <c r="M27" s="36">
        <v>17200</v>
      </c>
      <c r="N27" s="37">
        <v>327027</v>
      </c>
      <c r="O27" s="37">
        <v>416075</v>
      </c>
      <c r="P27" s="37">
        <v>849755</v>
      </c>
      <c r="Q27" s="37">
        <v>99309</v>
      </c>
      <c r="R27" s="37">
        <v>731494</v>
      </c>
      <c r="S27" s="37">
        <v>343435</v>
      </c>
      <c r="T27" s="40">
        <v>30000</v>
      </c>
      <c r="U27" s="37">
        <v>4961900</v>
      </c>
      <c r="V27" s="37">
        <v>0</v>
      </c>
      <c r="W27" s="45">
        <f t="shared" si="1"/>
        <v>7758995</v>
      </c>
      <c r="X27" s="46">
        <f t="shared" si="2"/>
        <v>7.610811405968942</v>
      </c>
    </row>
    <row r="28" spans="1:24" s="4" customFormat="1" ht="15" customHeight="1">
      <c r="A28" s="28" t="s">
        <v>63</v>
      </c>
      <c r="B28" s="29">
        <v>3169.6</v>
      </c>
      <c r="C28" s="30" t="s">
        <v>94</v>
      </c>
      <c r="D28" s="2">
        <v>4947512955</v>
      </c>
      <c r="E28" s="2" t="s">
        <v>24</v>
      </c>
      <c r="F28" s="78" t="s">
        <v>95</v>
      </c>
      <c r="G28" s="28" t="s">
        <v>5</v>
      </c>
      <c r="H28" s="2" t="s">
        <v>20</v>
      </c>
      <c r="I28" s="2">
        <v>1</v>
      </c>
      <c r="J28" s="2" t="s">
        <v>96</v>
      </c>
      <c r="K28" s="2">
        <v>14560</v>
      </c>
      <c r="L28" s="35">
        <f t="shared" si="0"/>
        <v>46149376</v>
      </c>
      <c r="M28" s="36">
        <v>16000</v>
      </c>
      <c r="N28" s="37">
        <v>471499</v>
      </c>
      <c r="O28" s="37">
        <v>317159</v>
      </c>
      <c r="P28" s="37">
        <v>0</v>
      </c>
      <c r="Q28" s="37">
        <v>99309</v>
      </c>
      <c r="R28" s="37">
        <v>627853</v>
      </c>
      <c r="S28" s="37">
        <v>343435</v>
      </c>
      <c r="T28" s="40"/>
      <c r="U28" s="37">
        <v>3428500</v>
      </c>
      <c r="V28" s="37">
        <v>0</v>
      </c>
      <c r="W28" s="45">
        <f t="shared" si="1"/>
        <v>5287755</v>
      </c>
      <c r="X28" s="46">
        <f t="shared" si="2"/>
        <v>11.457912236993193</v>
      </c>
    </row>
    <row r="29" spans="1:24" s="4" customFormat="1" ht="15" customHeight="1">
      <c r="A29" s="28" t="s">
        <v>63</v>
      </c>
      <c r="B29" s="29">
        <v>3169.6</v>
      </c>
      <c r="C29" s="30" t="s">
        <v>97</v>
      </c>
      <c r="D29" s="2">
        <v>4947616624</v>
      </c>
      <c r="E29" s="2" t="s">
        <v>18</v>
      </c>
      <c r="F29" s="78" t="s">
        <v>98</v>
      </c>
      <c r="G29" s="28" t="s">
        <v>9</v>
      </c>
      <c r="H29" s="2" t="s">
        <v>23</v>
      </c>
      <c r="I29" s="2">
        <v>4</v>
      </c>
      <c r="J29" s="2"/>
      <c r="K29" s="2">
        <v>15240</v>
      </c>
      <c r="L29" s="35">
        <f t="shared" si="0"/>
        <v>48304704</v>
      </c>
      <c r="M29" s="36">
        <v>4000</v>
      </c>
      <c r="N29" s="37">
        <v>967898</v>
      </c>
      <c r="O29" s="37">
        <v>2599</v>
      </c>
      <c r="P29" s="37">
        <v>0</v>
      </c>
      <c r="Q29" s="37">
        <v>79711</v>
      </c>
      <c r="R29" s="37">
        <v>167170</v>
      </c>
      <c r="S29" s="37">
        <v>343435</v>
      </c>
      <c r="T29" s="40">
        <v>30000</v>
      </c>
      <c r="U29" s="37">
        <v>1367700</v>
      </c>
      <c r="V29" s="37">
        <v>0</v>
      </c>
      <c r="W29" s="45">
        <f t="shared" si="1"/>
        <v>2958513</v>
      </c>
      <c r="X29" s="46">
        <f t="shared" si="2"/>
        <v>6.1246892228135792</v>
      </c>
    </row>
    <row r="30" spans="1:24" s="4" customFormat="1" ht="15" customHeight="1">
      <c r="A30" s="28" t="s">
        <v>63</v>
      </c>
      <c r="B30" s="29">
        <v>3169.6</v>
      </c>
      <c r="C30" s="30" t="s">
        <v>99</v>
      </c>
      <c r="D30" s="2">
        <v>4947245678</v>
      </c>
      <c r="E30" s="2" t="s">
        <v>27</v>
      </c>
      <c r="F30" s="78" t="s">
        <v>100</v>
      </c>
      <c r="G30" s="28" t="s">
        <v>5</v>
      </c>
      <c r="H30" s="2" t="s">
        <v>17</v>
      </c>
      <c r="I30" s="2">
        <v>1</v>
      </c>
      <c r="J30" s="2" t="s">
        <v>101</v>
      </c>
      <c r="K30" s="2">
        <v>39265.279999999999</v>
      </c>
      <c r="L30" s="35">
        <f t="shared" si="0"/>
        <v>124455231.48799999</v>
      </c>
      <c r="M30" s="36">
        <v>376.52</v>
      </c>
      <c r="N30" s="37">
        <v>14393.223449044999</v>
      </c>
      <c r="O30" s="37">
        <v>15886.2714819749</v>
      </c>
      <c r="P30" s="37">
        <v>69856.629352161995</v>
      </c>
      <c r="Q30" s="37">
        <v>3778.6725381262199</v>
      </c>
      <c r="R30" s="37">
        <f>42001.868374579+6087</f>
        <v>48088.868374578997</v>
      </c>
      <c r="S30" s="37">
        <v>10453.236004878099</v>
      </c>
      <c r="T30" s="40"/>
      <c r="U30" s="37">
        <v>145537.49798105899</v>
      </c>
      <c r="V30" s="37">
        <v>38397.330474022303</v>
      </c>
      <c r="W30" s="45">
        <f t="shared" si="1"/>
        <v>346391.72965584649</v>
      </c>
      <c r="X30" s="46">
        <f t="shared" si="2"/>
        <v>0.27832637126969284</v>
      </c>
    </row>
    <row r="31" spans="1:24" s="4" customFormat="1" ht="15" customHeight="1">
      <c r="A31" s="28" t="s">
        <v>63</v>
      </c>
      <c r="B31" s="29">
        <v>3169.6</v>
      </c>
      <c r="C31" s="30" t="s">
        <v>99</v>
      </c>
      <c r="D31" s="2">
        <v>4947086262</v>
      </c>
      <c r="E31" s="2" t="s">
        <v>27</v>
      </c>
      <c r="F31" s="78" t="s">
        <v>100</v>
      </c>
      <c r="G31" s="28" t="s">
        <v>5</v>
      </c>
      <c r="H31" s="2" t="s">
        <v>17</v>
      </c>
      <c r="I31" s="2">
        <v>1</v>
      </c>
      <c r="J31" s="2" t="s">
        <v>101</v>
      </c>
      <c r="K31" s="2">
        <v>63721.98</v>
      </c>
      <c r="L31" s="35">
        <f t="shared" si="0"/>
        <v>201973187.808</v>
      </c>
      <c r="M31" s="36">
        <v>11346</v>
      </c>
      <c r="N31" s="37">
        <v>456014.79659938399</v>
      </c>
      <c r="O31" s="37">
        <v>478714.63995136402</v>
      </c>
      <c r="P31" s="37">
        <v>2213239.9137636102</v>
      </c>
      <c r="Q31" s="37">
        <v>113865.97954313199</v>
      </c>
      <c r="R31" s="37">
        <f>1330728.55649292+192867</f>
        <v>1523595.55649292</v>
      </c>
      <c r="S31" s="37">
        <v>331185.73524863401</v>
      </c>
      <c r="T31" s="40"/>
      <c r="U31" s="37">
        <v>4611006.8932348397</v>
      </c>
      <c r="V31" s="37">
        <v>1216527.4101426101</v>
      </c>
      <c r="W31" s="45">
        <f t="shared" si="1"/>
        <v>10944150.924976492</v>
      </c>
      <c r="X31" s="46">
        <f t="shared" si="2"/>
        <v>5.4186157300147357</v>
      </c>
    </row>
    <row r="32" spans="1:24" s="4" customFormat="1" ht="15" customHeight="1">
      <c r="A32" s="28" t="s">
        <v>63</v>
      </c>
      <c r="B32" s="29">
        <v>3169.6</v>
      </c>
      <c r="C32" s="30" t="s">
        <v>99</v>
      </c>
      <c r="D32" s="2">
        <v>4946347681</v>
      </c>
      <c r="E32" s="2" t="s">
        <v>27</v>
      </c>
      <c r="F32" s="78" t="s">
        <v>100</v>
      </c>
      <c r="G32" s="28" t="s">
        <v>5</v>
      </c>
      <c r="H32" s="2" t="s">
        <v>17</v>
      </c>
      <c r="I32" s="2">
        <v>1</v>
      </c>
      <c r="J32" s="2" t="s">
        <v>101</v>
      </c>
      <c r="K32" s="2">
        <v>370.02</v>
      </c>
      <c r="L32" s="35">
        <f t="shared" si="0"/>
        <v>1172815.392</v>
      </c>
      <c r="M32" s="36">
        <v>646.91999999999996</v>
      </c>
      <c r="N32" s="37">
        <v>2472.9799515712798</v>
      </c>
      <c r="O32" s="37">
        <v>27295.088566661099</v>
      </c>
      <c r="P32" s="37">
        <v>12002.456884229399</v>
      </c>
      <c r="Q32" s="37">
        <v>6492.3479187416697</v>
      </c>
      <c r="R32" s="37">
        <f>7216.57513249831+1046</f>
        <v>8262.5751324983103</v>
      </c>
      <c r="S32" s="37">
        <v>1796.0287464877699</v>
      </c>
      <c r="T32" s="40"/>
      <c r="U32" s="37">
        <v>25005.608784103501</v>
      </c>
      <c r="V32" s="37">
        <v>6597.25938336729</v>
      </c>
      <c r="W32" s="45">
        <f t="shared" si="1"/>
        <v>89924.345367660309</v>
      </c>
      <c r="X32" s="46">
        <f t="shared" si="2"/>
        <v>7.6673913031029102</v>
      </c>
    </row>
    <row r="33" spans="1:24" s="4" customFormat="1" ht="15" customHeight="1">
      <c r="A33" s="28" t="s">
        <v>63</v>
      </c>
      <c r="B33" s="29">
        <v>3169.6</v>
      </c>
      <c r="C33" s="30" t="s">
        <v>102</v>
      </c>
      <c r="D33" s="2">
        <v>4946469494</v>
      </c>
      <c r="E33" s="2" t="s">
        <v>14</v>
      </c>
      <c r="F33" s="2" t="s">
        <v>103</v>
      </c>
      <c r="G33" s="28" t="s">
        <v>5</v>
      </c>
      <c r="H33" s="2" t="s">
        <v>26</v>
      </c>
      <c r="I33" s="2">
        <v>1</v>
      </c>
      <c r="J33" s="2" t="s">
        <v>104</v>
      </c>
      <c r="K33" s="2">
        <v>36636.6</v>
      </c>
      <c r="L33" s="35">
        <f t="shared" si="0"/>
        <v>116123367.36</v>
      </c>
      <c r="M33" s="36">
        <v>20020</v>
      </c>
      <c r="N33" s="37">
        <v>325768</v>
      </c>
      <c r="O33" s="37">
        <v>390324</v>
      </c>
      <c r="P33" s="37">
        <v>4484733</v>
      </c>
      <c r="Q33" s="37">
        <v>99309</v>
      </c>
      <c r="R33" s="37">
        <v>629743</v>
      </c>
      <c r="S33" s="37">
        <v>343435</v>
      </c>
      <c r="T33" s="40">
        <v>30000</v>
      </c>
      <c r="U33" s="37">
        <v>0</v>
      </c>
      <c r="V33" s="37">
        <v>0</v>
      </c>
      <c r="W33" s="45">
        <f t="shared" si="1"/>
        <v>6303312</v>
      </c>
      <c r="X33" s="46">
        <f t="shared" si="2"/>
        <v>5.4281167893269746</v>
      </c>
    </row>
    <row r="34" spans="1:24" s="4" customFormat="1" ht="15" customHeight="1">
      <c r="A34" s="28" t="s">
        <v>63</v>
      </c>
      <c r="B34" s="29">
        <v>3169.6</v>
      </c>
      <c r="C34" s="30" t="s">
        <v>105</v>
      </c>
      <c r="D34" s="2">
        <v>4946952487</v>
      </c>
      <c r="E34" s="2" t="s">
        <v>33</v>
      </c>
      <c r="F34" s="78" t="s">
        <v>106</v>
      </c>
      <c r="G34" s="28" t="s">
        <v>9</v>
      </c>
      <c r="H34" s="2" t="s">
        <v>23</v>
      </c>
      <c r="I34" s="2">
        <v>6</v>
      </c>
      <c r="J34" s="2"/>
      <c r="K34" s="2">
        <v>4056</v>
      </c>
      <c r="L34" s="35">
        <f t="shared" si="0"/>
        <v>12855897.6</v>
      </c>
      <c r="M34" s="36">
        <v>260</v>
      </c>
      <c r="N34" s="37">
        <v>645947.17985611502</v>
      </c>
      <c r="O34" s="37">
        <v>1533.05454545455</v>
      </c>
      <c r="P34" s="37">
        <v>122578.739568345</v>
      </c>
      <c r="Q34" s="37">
        <v>15754.581818181799</v>
      </c>
      <c r="R34" s="37">
        <v>165335.25323741001</v>
      </c>
      <c r="S34" s="37">
        <v>250534.59712230199</v>
      </c>
      <c r="T34" s="40"/>
      <c r="U34" s="37">
        <v>1577973.66906475</v>
      </c>
      <c r="V34" s="37">
        <v>0</v>
      </c>
      <c r="W34" s="45">
        <f t="shared" si="1"/>
        <v>2779657.0752125583</v>
      </c>
      <c r="X34" s="46">
        <f t="shared" si="2"/>
        <v>21.621649158224145</v>
      </c>
    </row>
    <row r="35" spans="1:24" s="4" customFormat="1" ht="15" customHeight="1">
      <c r="A35" s="28" t="s">
        <v>63</v>
      </c>
      <c r="B35" s="29">
        <v>3169.6</v>
      </c>
      <c r="C35" s="30" t="s">
        <v>105</v>
      </c>
      <c r="D35" s="2">
        <v>4946952487</v>
      </c>
      <c r="E35" s="2" t="s">
        <v>33</v>
      </c>
      <c r="F35" s="78" t="s">
        <v>106</v>
      </c>
      <c r="G35" s="28" t="s">
        <v>9</v>
      </c>
      <c r="H35" s="2" t="s">
        <v>23</v>
      </c>
      <c r="I35" s="2">
        <v>6</v>
      </c>
      <c r="J35" s="2"/>
      <c r="K35" s="2">
        <v>2124.98</v>
      </c>
      <c r="L35" s="35">
        <f t="shared" si="0"/>
        <v>6735336.608</v>
      </c>
      <c r="M35" s="36">
        <v>260</v>
      </c>
      <c r="N35" s="37">
        <v>182190.230215827</v>
      </c>
      <c r="O35" s="37">
        <v>1533.05454545455</v>
      </c>
      <c r="P35" s="37">
        <v>34573.490647482002</v>
      </c>
      <c r="Q35" s="37">
        <v>15754.581818181799</v>
      </c>
      <c r="R35" s="37">
        <v>46633.020143884904</v>
      </c>
      <c r="S35" s="37">
        <v>70663.6043165468</v>
      </c>
      <c r="T35" s="40"/>
      <c r="U35" s="37">
        <v>445069.49640287802</v>
      </c>
      <c r="V35" s="37">
        <v>0</v>
      </c>
      <c r="W35" s="45">
        <f t="shared" si="1"/>
        <v>796417.47809025506</v>
      </c>
      <c r="X35" s="46">
        <f t="shared" si="2"/>
        <v>11.824464380062281</v>
      </c>
    </row>
    <row r="36" spans="1:24" s="4" customFormat="1" ht="15" customHeight="1">
      <c r="A36" s="28" t="s">
        <v>63</v>
      </c>
      <c r="B36" s="29">
        <v>3169.6</v>
      </c>
      <c r="C36" s="30" t="s">
        <v>105</v>
      </c>
      <c r="D36" s="2">
        <v>4946952487</v>
      </c>
      <c r="E36" s="2" t="s">
        <v>33</v>
      </c>
      <c r="F36" s="78" t="s">
        <v>106</v>
      </c>
      <c r="G36" s="28" t="s">
        <v>9</v>
      </c>
      <c r="H36" s="2" t="s">
        <v>23</v>
      </c>
      <c r="I36" s="2">
        <v>6</v>
      </c>
      <c r="J36" s="2"/>
      <c r="K36" s="2">
        <v>328.86</v>
      </c>
      <c r="L36" s="35">
        <f t="shared" si="0"/>
        <v>1042354.656</v>
      </c>
      <c r="M36" s="36">
        <v>15</v>
      </c>
      <c r="N36" s="37">
        <v>34399.553956834498</v>
      </c>
      <c r="O36" s="37">
        <v>88.445454545454496</v>
      </c>
      <c r="P36" s="37">
        <v>6527.8618705035997</v>
      </c>
      <c r="Q36" s="37">
        <v>908.91818181818201</v>
      </c>
      <c r="R36" s="37">
        <v>8804.8359712230194</v>
      </c>
      <c r="S36" s="37">
        <v>13342.0791366906</v>
      </c>
      <c r="T36" s="40"/>
      <c r="U36" s="37">
        <v>84034.100719424503</v>
      </c>
      <c r="V36" s="37">
        <v>0</v>
      </c>
      <c r="W36" s="45">
        <f t="shared" si="1"/>
        <v>148105.79529103986</v>
      </c>
      <c r="X36" s="46">
        <f t="shared" si="2"/>
        <v>14.20877188378385</v>
      </c>
    </row>
    <row r="37" spans="1:24" s="4" customFormat="1" ht="15" customHeight="1">
      <c r="A37" s="28" t="s">
        <v>63</v>
      </c>
      <c r="B37" s="29">
        <v>3169.6</v>
      </c>
      <c r="C37" s="30" t="s">
        <v>105</v>
      </c>
      <c r="D37" s="2">
        <v>4946952487</v>
      </c>
      <c r="E37" s="2" t="s">
        <v>33</v>
      </c>
      <c r="F37" s="78" t="s">
        <v>106</v>
      </c>
      <c r="G37" s="28" t="s">
        <v>9</v>
      </c>
      <c r="H37" s="2" t="s">
        <v>23</v>
      </c>
      <c r="I37" s="2">
        <v>6</v>
      </c>
      <c r="J37" s="2"/>
      <c r="K37" s="2">
        <v>219.24</v>
      </c>
      <c r="L37" s="35">
        <f t="shared" si="0"/>
        <v>694903.10400000005</v>
      </c>
      <c r="M37" s="36">
        <v>15</v>
      </c>
      <c r="N37" s="37">
        <v>22933.035971222998</v>
      </c>
      <c r="O37" s="37">
        <v>88.445454545454496</v>
      </c>
      <c r="P37" s="37">
        <v>4351.9079136690598</v>
      </c>
      <c r="Q37" s="37">
        <v>908.91818181818201</v>
      </c>
      <c r="R37" s="37">
        <v>5869.8906474820096</v>
      </c>
      <c r="S37" s="37">
        <v>8894.7194244604307</v>
      </c>
      <c r="T37" s="40"/>
      <c r="U37" s="37">
        <v>56022.733812949598</v>
      </c>
      <c r="V37" s="37">
        <v>0</v>
      </c>
      <c r="W37" s="45">
        <f t="shared" si="1"/>
        <v>99069.651406147736</v>
      </c>
      <c r="X37" s="46">
        <f t="shared" si="2"/>
        <v>14.256613740229851</v>
      </c>
    </row>
    <row r="38" spans="1:24" s="4" customFormat="1" ht="15" customHeight="1">
      <c r="A38" s="28" t="s">
        <v>63</v>
      </c>
      <c r="B38" s="29">
        <v>3169.6</v>
      </c>
      <c r="C38" s="30" t="s">
        <v>107</v>
      </c>
      <c r="D38" s="2">
        <v>4947413827</v>
      </c>
      <c r="E38" s="2" t="s">
        <v>18</v>
      </c>
      <c r="F38" s="2" t="s">
        <v>108</v>
      </c>
      <c r="G38" s="28" t="s">
        <v>9</v>
      </c>
      <c r="H38" s="2" t="s">
        <v>23</v>
      </c>
      <c r="I38" s="2">
        <v>1</v>
      </c>
      <c r="J38" s="2"/>
      <c r="K38" s="2">
        <v>478</v>
      </c>
      <c r="L38" s="35">
        <f t="shared" si="0"/>
        <v>1515068.8</v>
      </c>
      <c r="M38" s="36">
        <v>200</v>
      </c>
      <c r="N38" s="37">
        <v>444388</v>
      </c>
      <c r="O38" s="37">
        <v>318</v>
      </c>
      <c r="P38" s="37">
        <v>6790</v>
      </c>
      <c r="Q38" s="37">
        <v>3472</v>
      </c>
      <c r="R38" s="37">
        <v>214082</v>
      </c>
      <c r="S38" s="37">
        <v>343435</v>
      </c>
      <c r="T38" s="40">
        <v>30000</v>
      </c>
      <c r="U38" s="37">
        <v>166792.682926829</v>
      </c>
      <c r="V38" s="37">
        <v>0</v>
      </c>
      <c r="W38" s="45">
        <f t="shared" si="1"/>
        <v>1209277.682926829</v>
      </c>
      <c r="X38" s="46">
        <f t="shared" si="2"/>
        <v>79.81668442560688</v>
      </c>
    </row>
    <row r="39" spans="1:24" s="4" customFormat="1" ht="15" customHeight="1">
      <c r="A39" s="28" t="s">
        <v>63</v>
      </c>
      <c r="B39" s="29">
        <v>3169.6</v>
      </c>
      <c r="C39" s="30" t="s">
        <v>109</v>
      </c>
      <c r="D39" s="2">
        <v>4947081288</v>
      </c>
      <c r="E39" s="2" t="s">
        <v>21</v>
      </c>
      <c r="F39" s="78" t="s">
        <v>110</v>
      </c>
      <c r="G39" s="28" t="s">
        <v>5</v>
      </c>
      <c r="H39" s="2" t="s">
        <v>17</v>
      </c>
      <c r="I39" s="2">
        <v>1</v>
      </c>
      <c r="J39" s="2" t="s">
        <v>111</v>
      </c>
      <c r="K39" s="2">
        <v>26127.360000000001</v>
      </c>
      <c r="L39" s="35">
        <f t="shared" si="0"/>
        <v>82813280.255999997</v>
      </c>
      <c r="M39" s="36">
        <v>18144</v>
      </c>
      <c r="N39" s="37">
        <v>471497</v>
      </c>
      <c r="O39" s="37">
        <v>418768</v>
      </c>
      <c r="P39" s="37">
        <v>455226</v>
      </c>
      <c r="Q39" s="37">
        <v>99309</v>
      </c>
      <c r="R39" s="37">
        <v>730494</v>
      </c>
      <c r="S39" s="37">
        <v>343435</v>
      </c>
      <c r="T39" s="40"/>
      <c r="U39" s="37">
        <v>529000</v>
      </c>
      <c r="V39" s="37">
        <v>0</v>
      </c>
      <c r="W39" s="45">
        <f t="shared" si="1"/>
        <v>3047729</v>
      </c>
      <c r="X39" s="46">
        <f t="shared" si="2"/>
        <v>3.6802418532131327</v>
      </c>
    </row>
    <row r="40" spans="1:24" s="4" customFormat="1" ht="15" customHeight="1">
      <c r="A40" s="28" t="s">
        <v>63</v>
      </c>
      <c r="B40" s="29">
        <v>3169.6</v>
      </c>
      <c r="C40" s="30" t="s">
        <v>112</v>
      </c>
      <c r="D40" s="2">
        <v>4941330549</v>
      </c>
      <c r="E40" s="2" t="s">
        <v>6</v>
      </c>
      <c r="F40" s="78" t="s">
        <v>113</v>
      </c>
      <c r="G40" s="28" t="s">
        <v>5</v>
      </c>
      <c r="H40" s="2" t="s">
        <v>17</v>
      </c>
      <c r="I40" s="2">
        <v>1</v>
      </c>
      <c r="J40" s="2" t="s">
        <v>114</v>
      </c>
      <c r="K40" s="2">
        <v>12161.8</v>
      </c>
      <c r="L40" s="35">
        <f t="shared" si="0"/>
        <v>38548041.279999994</v>
      </c>
      <c r="M40" s="36">
        <v>8330</v>
      </c>
      <c r="N40" s="37">
        <v>471497</v>
      </c>
      <c r="O40" s="37">
        <v>521896</v>
      </c>
      <c r="P40" s="37">
        <v>569033</v>
      </c>
      <c r="Q40" s="37">
        <v>124137</v>
      </c>
      <c r="R40" s="37">
        <v>860312</v>
      </c>
      <c r="S40" s="37">
        <v>343435</v>
      </c>
      <c r="T40" s="40">
        <v>30000</v>
      </c>
      <c r="U40" s="37">
        <v>4054050</v>
      </c>
      <c r="V40" s="37">
        <v>0</v>
      </c>
      <c r="W40" s="45">
        <f t="shared" si="1"/>
        <v>6974360</v>
      </c>
      <c r="X40" s="46">
        <f t="shared" si="2"/>
        <v>18.092644317101865</v>
      </c>
    </row>
    <row r="41" spans="1:24" s="4" customFormat="1" ht="15" customHeight="1">
      <c r="A41" s="28" t="s">
        <v>63</v>
      </c>
      <c r="B41" s="29">
        <v>3169.6</v>
      </c>
      <c r="C41" s="30" t="s">
        <v>115</v>
      </c>
      <c r="D41" s="2">
        <v>4947110136</v>
      </c>
      <c r="E41" s="2" t="s">
        <v>14</v>
      </c>
      <c r="F41" s="2" t="s">
        <v>116</v>
      </c>
      <c r="G41" s="28" t="s">
        <v>5</v>
      </c>
      <c r="H41" s="2" t="s">
        <v>20</v>
      </c>
      <c r="I41" s="2">
        <v>2</v>
      </c>
      <c r="J41" s="2" t="s">
        <v>117</v>
      </c>
      <c r="K41" s="2">
        <v>16632</v>
      </c>
      <c r="L41" s="35">
        <f t="shared" si="0"/>
        <v>52716787.199999996</v>
      </c>
      <c r="M41" s="36">
        <v>21600</v>
      </c>
      <c r="N41" s="37">
        <v>325161.5</v>
      </c>
      <c r="O41" s="37">
        <v>2884906</v>
      </c>
      <c r="P41" s="37">
        <v>251548.5</v>
      </c>
      <c r="Q41" s="37">
        <v>104812</v>
      </c>
      <c r="R41" s="37">
        <f>526577.5+111555</f>
        <v>638132.5</v>
      </c>
      <c r="S41" s="37">
        <v>171717.5</v>
      </c>
      <c r="T41" s="40">
        <v>30000</v>
      </c>
      <c r="U41" s="37">
        <v>2339900</v>
      </c>
      <c r="V41" s="37">
        <v>0</v>
      </c>
      <c r="W41" s="45">
        <f t="shared" si="1"/>
        <v>6746178</v>
      </c>
      <c r="X41" s="46">
        <f t="shared" si="2"/>
        <v>12.797020376841175</v>
      </c>
    </row>
    <row r="42" spans="1:24" s="4" customFormat="1" ht="15" customHeight="1">
      <c r="A42" s="28" t="s">
        <v>63</v>
      </c>
      <c r="B42" s="29">
        <v>3169.6</v>
      </c>
      <c r="C42" s="30" t="s">
        <v>115</v>
      </c>
      <c r="D42" s="2">
        <v>4947108761</v>
      </c>
      <c r="E42" s="2" t="s">
        <v>14</v>
      </c>
      <c r="F42" s="2" t="s">
        <v>116</v>
      </c>
      <c r="G42" s="28" t="s">
        <v>5</v>
      </c>
      <c r="H42" s="2" t="s">
        <v>20</v>
      </c>
      <c r="I42" s="2">
        <v>2</v>
      </c>
      <c r="J42" s="2" t="s">
        <v>117</v>
      </c>
      <c r="K42" s="2">
        <v>16632</v>
      </c>
      <c r="L42" s="35">
        <f t="shared" si="0"/>
        <v>52716787.199999996</v>
      </c>
      <c r="M42" s="36">
        <v>21600</v>
      </c>
      <c r="N42" s="37">
        <v>325161.5</v>
      </c>
      <c r="O42" s="37">
        <v>2884906</v>
      </c>
      <c r="P42" s="37">
        <v>251548.5</v>
      </c>
      <c r="Q42" s="37">
        <v>104812</v>
      </c>
      <c r="R42" s="37">
        <f>526577.5+111555</f>
        <v>638132.5</v>
      </c>
      <c r="S42" s="37">
        <v>171717.5</v>
      </c>
      <c r="T42" s="40">
        <v>30000</v>
      </c>
      <c r="U42" s="37">
        <v>2339900</v>
      </c>
      <c r="V42" s="37">
        <v>0</v>
      </c>
      <c r="W42" s="45">
        <f t="shared" si="1"/>
        <v>6746178</v>
      </c>
      <c r="X42" s="46">
        <f t="shared" si="2"/>
        <v>12.797020376841175</v>
      </c>
    </row>
    <row r="43" spans="1:24" s="4" customFormat="1" ht="15" customHeight="1">
      <c r="A43" s="28" t="s">
        <v>63</v>
      </c>
      <c r="B43" s="29">
        <v>3169.6</v>
      </c>
      <c r="C43" s="30" t="s">
        <v>118</v>
      </c>
      <c r="D43" s="2">
        <v>4945565231</v>
      </c>
      <c r="E43" s="2" t="s">
        <v>14</v>
      </c>
      <c r="F43" s="78" t="s">
        <v>119</v>
      </c>
      <c r="G43" s="28" t="s">
        <v>5</v>
      </c>
      <c r="H43" s="2" t="s">
        <v>17</v>
      </c>
      <c r="I43" s="2">
        <v>1</v>
      </c>
      <c r="J43" s="2" t="s">
        <v>120</v>
      </c>
      <c r="K43" s="2">
        <v>14196</v>
      </c>
      <c r="L43" s="35">
        <f t="shared" si="0"/>
        <v>44995641.600000001</v>
      </c>
      <c r="M43" s="36">
        <v>7800</v>
      </c>
      <c r="N43" s="37">
        <v>113124.701159679</v>
      </c>
      <c r="O43" s="37">
        <v>145690.91882247999</v>
      </c>
      <c r="P43" s="37">
        <v>52791.596788581599</v>
      </c>
      <c r="Q43" s="37">
        <v>34549.964317573598</v>
      </c>
      <c r="R43" s="37">
        <f>188109.420160571+39809</f>
        <v>227918.420160571</v>
      </c>
      <c r="S43" s="37">
        <v>119482.292595897</v>
      </c>
      <c r="T43" s="40">
        <v>30000</v>
      </c>
      <c r="U43" s="37">
        <v>1747885.37020517</v>
      </c>
      <c r="V43" s="37">
        <v>438888.11775200698</v>
      </c>
      <c r="W43" s="45">
        <f t="shared" si="1"/>
        <v>2910331.3818019591</v>
      </c>
      <c r="X43" s="46">
        <f t="shared" si="2"/>
        <v>6.4680295208902177</v>
      </c>
    </row>
    <row r="44" spans="1:24" s="4" customFormat="1" ht="15" customHeight="1">
      <c r="A44" s="28" t="s">
        <v>63</v>
      </c>
      <c r="B44" s="29">
        <v>3169.6</v>
      </c>
      <c r="C44" s="30" t="s">
        <v>118</v>
      </c>
      <c r="D44" s="2">
        <v>4946386865</v>
      </c>
      <c r="E44" s="2" t="s">
        <v>14</v>
      </c>
      <c r="F44" s="78" t="s">
        <v>119</v>
      </c>
      <c r="G44" s="28" t="s">
        <v>5</v>
      </c>
      <c r="H44" s="2" t="s">
        <v>17</v>
      </c>
      <c r="I44" s="2">
        <v>1</v>
      </c>
      <c r="J44" s="2" t="s">
        <v>120</v>
      </c>
      <c r="K44" s="2">
        <v>43750</v>
      </c>
      <c r="L44" s="35">
        <f t="shared" si="0"/>
        <v>138670000</v>
      </c>
      <c r="M44" s="36">
        <v>7000</v>
      </c>
      <c r="N44" s="37">
        <v>101522.16770740401</v>
      </c>
      <c r="O44" s="37">
        <v>130748.260481713</v>
      </c>
      <c r="P44" s="37">
        <v>47377.074041034801</v>
      </c>
      <c r="Q44" s="37">
        <v>31006.378233719901</v>
      </c>
      <c r="R44" s="37">
        <f>168816.146297948+35726</f>
        <v>204542.146297948</v>
      </c>
      <c r="S44" s="37">
        <v>107227.69848349701</v>
      </c>
      <c r="T44" s="40">
        <v>30000</v>
      </c>
      <c r="U44" s="37">
        <v>1568615.0758251599</v>
      </c>
      <c r="V44" s="37">
        <v>393873.95182872401</v>
      </c>
      <c r="W44" s="45">
        <f t="shared" si="1"/>
        <v>2614912.7528992007</v>
      </c>
      <c r="X44" s="46">
        <f t="shared" si="2"/>
        <v>1.8857090595652992</v>
      </c>
    </row>
    <row r="45" spans="1:24" s="4" customFormat="1" ht="15" customHeight="1">
      <c r="A45" s="28" t="s">
        <v>63</v>
      </c>
      <c r="B45" s="29">
        <v>3169.6</v>
      </c>
      <c r="C45" s="30" t="s">
        <v>118</v>
      </c>
      <c r="D45" s="2">
        <v>4946737922</v>
      </c>
      <c r="E45" s="2" t="s">
        <v>14</v>
      </c>
      <c r="F45" s="78" t="s">
        <v>119</v>
      </c>
      <c r="G45" s="28" t="s">
        <v>5</v>
      </c>
      <c r="H45" s="2" t="s">
        <v>17</v>
      </c>
      <c r="I45" s="2">
        <v>1</v>
      </c>
      <c r="J45" s="2" t="s">
        <v>120</v>
      </c>
      <c r="K45" s="2">
        <v>16984</v>
      </c>
      <c r="L45" s="35">
        <f t="shared" si="0"/>
        <v>53832486.399999999</v>
      </c>
      <c r="M45" s="36">
        <v>4400</v>
      </c>
      <c r="N45" s="37">
        <v>63813.933987511198</v>
      </c>
      <c r="O45" s="37">
        <v>82184.620874219501</v>
      </c>
      <c r="P45" s="37">
        <v>29779.875111507601</v>
      </c>
      <c r="Q45" s="37">
        <v>19489.723461195401</v>
      </c>
      <c r="R45" s="37">
        <f>106113.006244425+22456</f>
        <v>128569.00624442501</v>
      </c>
      <c r="S45" s="37">
        <v>67400.267618198006</v>
      </c>
      <c r="T45" s="40">
        <v>30000</v>
      </c>
      <c r="U45" s="37">
        <v>985986.61909009796</v>
      </c>
      <c r="V45" s="37">
        <v>247577.91257805499</v>
      </c>
      <c r="W45" s="45">
        <f t="shared" si="1"/>
        <v>1654801.9589652095</v>
      </c>
      <c r="X45" s="46">
        <f t="shared" si="2"/>
        <v>3.0739838889648792</v>
      </c>
    </row>
    <row r="46" spans="1:24" s="4" customFormat="1" ht="15" customHeight="1">
      <c r="A46" s="28" t="s">
        <v>63</v>
      </c>
      <c r="B46" s="29">
        <v>3169.6</v>
      </c>
      <c r="C46" s="30" t="s">
        <v>118</v>
      </c>
      <c r="D46" s="2">
        <v>4945624817</v>
      </c>
      <c r="E46" s="2" t="s">
        <v>14</v>
      </c>
      <c r="F46" s="78" t="s">
        <v>119</v>
      </c>
      <c r="G46" s="28" t="s">
        <v>5</v>
      </c>
      <c r="H46" s="2" t="s">
        <v>17</v>
      </c>
      <c r="I46" s="2">
        <v>1</v>
      </c>
      <c r="J46" s="2" t="s">
        <v>120</v>
      </c>
      <c r="K46" s="2">
        <v>6048</v>
      </c>
      <c r="L46" s="35">
        <f t="shared" si="0"/>
        <v>19169740.800000001</v>
      </c>
      <c r="M46" s="36">
        <v>2520</v>
      </c>
      <c r="N46" s="37">
        <v>36547.980374665502</v>
      </c>
      <c r="O46" s="37">
        <v>47069.373773416599</v>
      </c>
      <c r="P46" s="37">
        <v>17055.746654772502</v>
      </c>
      <c r="Q46" s="37">
        <v>11162.296164139199</v>
      </c>
      <c r="R46" s="37">
        <f>60773.8126672614+12861</f>
        <v>73634.812667261402</v>
      </c>
      <c r="S46" s="37">
        <v>38601.971454058898</v>
      </c>
      <c r="T46" s="40">
        <v>30000</v>
      </c>
      <c r="U46" s="37">
        <v>564701.42729705595</v>
      </c>
      <c r="V46" s="37">
        <v>141794.62265834099</v>
      </c>
      <c r="W46" s="45">
        <f t="shared" si="1"/>
        <v>960568.23104371107</v>
      </c>
      <c r="X46" s="46">
        <f t="shared" si="2"/>
        <v>5.0108566467612903</v>
      </c>
    </row>
    <row r="47" spans="1:24" s="4" customFormat="1" ht="15" customHeight="1">
      <c r="A47" s="28" t="s">
        <v>63</v>
      </c>
      <c r="B47" s="29">
        <v>3169.6</v>
      </c>
      <c r="C47" s="30" t="s">
        <v>118</v>
      </c>
      <c r="D47" s="2">
        <v>4946737907</v>
      </c>
      <c r="E47" s="2" t="s">
        <v>14</v>
      </c>
      <c r="F47" s="78" t="s">
        <v>119</v>
      </c>
      <c r="G47" s="28" t="s">
        <v>5</v>
      </c>
      <c r="H47" s="2" t="s">
        <v>17</v>
      </c>
      <c r="I47" s="2">
        <v>1</v>
      </c>
      <c r="J47" s="2" t="s">
        <v>120</v>
      </c>
      <c r="K47" s="2">
        <v>2884</v>
      </c>
      <c r="L47" s="35">
        <f t="shared" si="0"/>
        <v>9141126.4000000004</v>
      </c>
      <c r="M47" s="36">
        <v>700</v>
      </c>
      <c r="N47" s="37">
        <v>10152.216770740401</v>
      </c>
      <c r="O47" s="37">
        <v>13074.8260481713</v>
      </c>
      <c r="P47" s="37">
        <v>4737.7074041034803</v>
      </c>
      <c r="Q47" s="37">
        <v>3100.6378233719902</v>
      </c>
      <c r="R47" s="37">
        <f>16881.6146297948+3573</f>
        <v>20454.6146297948</v>
      </c>
      <c r="S47" s="37">
        <v>10722.769848349701</v>
      </c>
      <c r="T47" s="40">
        <v>30000</v>
      </c>
      <c r="U47" s="37">
        <v>156861.507582516</v>
      </c>
      <c r="V47" s="37">
        <v>39387.395182872402</v>
      </c>
      <c r="W47" s="45">
        <f t="shared" si="1"/>
        <v>288491.67528992007</v>
      </c>
      <c r="X47" s="46">
        <f t="shared" si="2"/>
        <v>3.1559751245745824</v>
      </c>
    </row>
    <row r="48" spans="1:24" s="4" customFormat="1" ht="15" customHeight="1">
      <c r="A48" s="28" t="s">
        <v>63</v>
      </c>
      <c r="B48" s="29">
        <v>3169.6</v>
      </c>
      <c r="C48" s="30" t="s">
        <v>121</v>
      </c>
      <c r="D48" s="2">
        <v>4947320090</v>
      </c>
      <c r="E48" s="2" t="s">
        <v>14</v>
      </c>
      <c r="F48" s="78" t="s">
        <v>122</v>
      </c>
      <c r="G48" s="28" t="s">
        <v>9</v>
      </c>
      <c r="H48" s="2" t="s">
        <v>23</v>
      </c>
      <c r="I48" s="2">
        <v>2</v>
      </c>
      <c r="J48" s="2"/>
      <c r="K48" s="2">
        <v>1792</v>
      </c>
      <c r="L48" s="35">
        <f t="shared" si="0"/>
        <v>5679923.2000000002</v>
      </c>
      <c r="M48" s="36">
        <v>1600</v>
      </c>
      <c r="N48" s="37">
        <v>653759</v>
      </c>
      <c r="O48" s="37">
        <v>1104</v>
      </c>
      <c r="P48" s="37">
        <v>34040</v>
      </c>
      <c r="Q48" s="37">
        <v>26543</v>
      </c>
      <c r="R48" s="37">
        <v>108321</v>
      </c>
      <c r="S48" s="37">
        <v>343435</v>
      </c>
      <c r="T48" s="40">
        <v>30000</v>
      </c>
      <c r="U48" s="37">
        <v>1367700</v>
      </c>
      <c r="V48" s="37">
        <v>0</v>
      </c>
      <c r="W48" s="45">
        <f t="shared" si="1"/>
        <v>2564902</v>
      </c>
      <c r="X48" s="46">
        <f t="shared" si="2"/>
        <v>45.157335930175954</v>
      </c>
    </row>
    <row r="49" spans="1:24" s="4" customFormat="1" ht="15" customHeight="1">
      <c r="A49" s="28" t="s">
        <v>63</v>
      </c>
      <c r="B49" s="29">
        <v>3169.6</v>
      </c>
      <c r="C49" s="30" t="s">
        <v>123</v>
      </c>
      <c r="D49" s="2">
        <v>4947892343</v>
      </c>
      <c r="E49" s="2" t="s">
        <v>24</v>
      </c>
      <c r="F49" s="2" t="s">
        <v>124</v>
      </c>
      <c r="G49" s="28" t="s">
        <v>5</v>
      </c>
      <c r="H49" s="2" t="s">
        <v>17</v>
      </c>
      <c r="I49" s="2">
        <v>1</v>
      </c>
      <c r="J49" s="2" t="s">
        <v>125</v>
      </c>
      <c r="K49" s="2">
        <v>21600</v>
      </c>
      <c r="L49" s="35">
        <f t="shared" si="0"/>
        <v>68463360</v>
      </c>
      <c r="M49" s="36">
        <v>24000</v>
      </c>
      <c r="N49" s="37">
        <v>470165</v>
      </c>
      <c r="O49" s="37">
        <v>365254</v>
      </c>
      <c r="P49" s="37">
        <v>244728</v>
      </c>
      <c r="Q49" s="37">
        <v>104812</v>
      </c>
      <c r="R49" s="37">
        <v>746110</v>
      </c>
      <c r="S49" s="37">
        <v>343435</v>
      </c>
      <c r="T49" s="40"/>
      <c r="U49" s="37">
        <v>0</v>
      </c>
      <c r="V49" s="37">
        <v>0</v>
      </c>
      <c r="W49" s="45">
        <f t="shared" si="1"/>
        <v>2274504</v>
      </c>
      <c r="X49" s="46">
        <f t="shared" si="2"/>
        <v>3.3222208200123395</v>
      </c>
    </row>
    <row r="50" spans="1:24" s="4" customFormat="1" ht="15" customHeight="1">
      <c r="A50" s="28" t="s">
        <v>63</v>
      </c>
      <c r="B50" s="29">
        <v>3169.6</v>
      </c>
      <c r="C50" s="30" t="s">
        <v>126</v>
      </c>
      <c r="D50" s="2">
        <v>4947381257</v>
      </c>
      <c r="E50" s="2" t="s">
        <v>14</v>
      </c>
      <c r="F50" s="78" t="s">
        <v>127</v>
      </c>
      <c r="G50" s="28" t="s">
        <v>5</v>
      </c>
      <c r="H50" s="2" t="s">
        <v>17</v>
      </c>
      <c r="I50" s="2">
        <v>1</v>
      </c>
      <c r="J50" s="2" t="s">
        <v>128</v>
      </c>
      <c r="K50" s="2">
        <v>25657.599999999999</v>
      </c>
      <c r="L50" s="35">
        <f t="shared" si="0"/>
        <v>81324328.959999993</v>
      </c>
      <c r="M50" s="36">
        <v>12160</v>
      </c>
      <c r="N50" s="37">
        <v>209094.12585933399</v>
      </c>
      <c r="O50" s="37">
        <v>269287.09042834502</v>
      </c>
      <c r="P50" s="37">
        <v>0</v>
      </c>
      <c r="Q50" s="37">
        <v>63860.2559492332</v>
      </c>
      <c r="R50" s="37">
        <f>426629.516657853+71735</f>
        <v>498364.51665785298</v>
      </c>
      <c r="S50" s="37">
        <v>220844.50555261801</v>
      </c>
      <c r="T50" s="40">
        <v>30000</v>
      </c>
      <c r="U50" s="37">
        <v>3199507.5621364401</v>
      </c>
      <c r="V50" s="37">
        <v>0</v>
      </c>
      <c r="W50" s="45">
        <f t="shared" si="1"/>
        <v>4490958.0565838236</v>
      </c>
      <c r="X50" s="46">
        <f t="shared" si="2"/>
        <v>5.5222811107273158</v>
      </c>
    </row>
    <row r="51" spans="1:24" s="4" customFormat="1" ht="15" customHeight="1">
      <c r="A51" s="28" t="s">
        <v>63</v>
      </c>
      <c r="B51" s="29">
        <v>3169.6</v>
      </c>
      <c r="C51" s="30" t="s">
        <v>126</v>
      </c>
      <c r="D51" s="2">
        <v>4947106848</v>
      </c>
      <c r="E51" s="2" t="s">
        <v>14</v>
      </c>
      <c r="F51" s="78" t="s">
        <v>127</v>
      </c>
      <c r="G51" s="28" t="s">
        <v>5</v>
      </c>
      <c r="H51" s="2" t="s">
        <v>17</v>
      </c>
      <c r="I51" s="2">
        <v>1</v>
      </c>
      <c r="J51" s="2" t="s">
        <v>128</v>
      </c>
      <c r="K51" s="2">
        <v>16506</v>
      </c>
      <c r="L51" s="35">
        <f t="shared" si="0"/>
        <v>52317417.600000001</v>
      </c>
      <c r="M51" s="36">
        <v>6300</v>
      </c>
      <c r="N51" s="37">
        <v>108330.01586462199</v>
      </c>
      <c r="O51" s="37">
        <v>139515.51560021201</v>
      </c>
      <c r="P51" s="37">
        <v>0</v>
      </c>
      <c r="Q51" s="37">
        <v>33085.494447382298</v>
      </c>
      <c r="R51" s="37">
        <f>221033.384452671+37165</f>
        <v>258198.38445267099</v>
      </c>
      <c r="S51" s="37">
        <v>114417.79481755701</v>
      </c>
      <c r="T51" s="40">
        <v>30000</v>
      </c>
      <c r="U51" s="37">
        <v>1657639.6086726601</v>
      </c>
      <c r="V51" s="37">
        <v>0</v>
      </c>
      <c r="W51" s="45">
        <f t="shared" si="1"/>
        <v>2341186.8138551041</v>
      </c>
      <c r="X51" s="46">
        <f t="shared" si="2"/>
        <v>4.4749663138096176</v>
      </c>
    </row>
    <row r="52" spans="1:24" s="4" customFormat="1" ht="15" customHeight="1">
      <c r="A52" s="28" t="s">
        <v>63</v>
      </c>
      <c r="B52" s="29">
        <v>3169.6</v>
      </c>
      <c r="C52" s="30" t="s">
        <v>126</v>
      </c>
      <c r="D52" s="2">
        <v>4947381258</v>
      </c>
      <c r="E52" s="2" t="s">
        <v>14</v>
      </c>
      <c r="F52" s="78" t="s">
        <v>127</v>
      </c>
      <c r="G52" s="28" t="s">
        <v>5</v>
      </c>
      <c r="H52" s="2" t="s">
        <v>17</v>
      </c>
      <c r="I52" s="2">
        <v>1</v>
      </c>
      <c r="J52" s="2" t="s">
        <v>128</v>
      </c>
      <c r="K52" s="2">
        <v>1386</v>
      </c>
      <c r="L52" s="35">
        <f t="shared" si="0"/>
        <v>4393065.5999999996</v>
      </c>
      <c r="M52" s="36">
        <v>450</v>
      </c>
      <c r="N52" s="37">
        <v>7737.8582760444197</v>
      </c>
      <c r="O52" s="37">
        <v>9965.3939714436801</v>
      </c>
      <c r="P52" s="37">
        <v>0</v>
      </c>
      <c r="Q52" s="37">
        <v>2363.24960338445</v>
      </c>
      <c r="R52" s="37">
        <f>15788.0988894765+2655</f>
        <v>18443.0988894765</v>
      </c>
      <c r="S52" s="37">
        <v>8172.6996298254899</v>
      </c>
      <c r="T52" s="40">
        <v>30000</v>
      </c>
      <c r="U52" s="37">
        <v>118402.829190904</v>
      </c>
      <c r="V52" s="37">
        <v>0</v>
      </c>
      <c r="W52" s="45">
        <f t="shared" si="1"/>
        <v>195085.12956107856</v>
      </c>
      <c r="X52" s="46">
        <f t="shared" si="2"/>
        <v>4.4407515690427797</v>
      </c>
    </row>
    <row r="53" spans="1:24" s="4" customFormat="1" ht="15" customHeight="1">
      <c r="A53" s="28" t="s">
        <v>63</v>
      </c>
      <c r="B53" s="29">
        <v>3169.6</v>
      </c>
      <c r="C53" s="30" t="s">
        <v>129</v>
      </c>
      <c r="D53" s="2" t="s">
        <v>130</v>
      </c>
      <c r="E53" s="2" t="s">
        <v>36</v>
      </c>
      <c r="F53" s="2" t="s">
        <v>131</v>
      </c>
      <c r="G53" s="28" t="s">
        <v>5</v>
      </c>
      <c r="H53" s="2" t="s">
        <v>26</v>
      </c>
      <c r="I53" s="2">
        <v>1</v>
      </c>
      <c r="J53" s="2" t="s">
        <v>132</v>
      </c>
      <c r="K53" s="2">
        <v>89909.27</v>
      </c>
      <c r="L53" s="35">
        <f t="shared" si="0"/>
        <v>284976422.19200003</v>
      </c>
      <c r="M53" s="36">
        <v>24974.795999999998</v>
      </c>
      <c r="N53" s="37">
        <v>295899</v>
      </c>
      <c r="O53" s="37">
        <v>390324</v>
      </c>
      <c r="P53" s="37">
        <v>1527051</v>
      </c>
      <c r="Q53" s="37">
        <v>99309</v>
      </c>
      <c r="R53" s="37">
        <v>801406</v>
      </c>
      <c r="S53" s="37">
        <v>343435</v>
      </c>
      <c r="T53" s="40"/>
      <c r="U53" s="37">
        <v>0</v>
      </c>
      <c r="V53" s="37">
        <v>0</v>
      </c>
      <c r="W53" s="45">
        <f t="shared" si="1"/>
        <v>3457424</v>
      </c>
      <c r="X53" s="46">
        <f t="shared" si="2"/>
        <v>1.2132315976900696</v>
      </c>
    </row>
    <row r="54" spans="1:24" s="4" customFormat="1" ht="15" customHeight="1">
      <c r="A54" s="28" t="s">
        <v>63</v>
      </c>
      <c r="B54" s="29">
        <v>3169.6</v>
      </c>
      <c r="C54" s="30" t="s">
        <v>133</v>
      </c>
      <c r="D54" s="2">
        <v>4947648341</v>
      </c>
      <c r="E54" s="2" t="s">
        <v>24</v>
      </c>
      <c r="F54" s="78" t="s">
        <v>134</v>
      </c>
      <c r="G54" s="28" t="s">
        <v>5</v>
      </c>
      <c r="H54" s="2" t="s">
        <v>17</v>
      </c>
      <c r="I54" s="2">
        <v>1</v>
      </c>
      <c r="J54" s="2" t="s">
        <v>135</v>
      </c>
      <c r="K54" s="2">
        <v>6900</v>
      </c>
      <c r="L54" s="35">
        <f t="shared" si="0"/>
        <v>21870240</v>
      </c>
      <c r="M54" s="36">
        <v>3000</v>
      </c>
      <c r="N54" s="37">
        <v>58770.625</v>
      </c>
      <c r="O54" s="37">
        <v>45656.75</v>
      </c>
      <c r="P54" s="37">
        <v>30591</v>
      </c>
      <c r="Q54" s="37">
        <v>13101.5</v>
      </c>
      <c r="R54" s="37">
        <f>68638.75+25000</f>
        <v>93638.75</v>
      </c>
      <c r="S54" s="37">
        <v>42929.375</v>
      </c>
      <c r="T54" s="40"/>
      <c r="U54" s="37">
        <v>312612.5</v>
      </c>
      <c r="V54" s="37">
        <v>0</v>
      </c>
      <c r="W54" s="45">
        <f t="shared" si="1"/>
        <v>597300.5</v>
      </c>
      <c r="X54" s="46">
        <f t="shared" si="2"/>
        <v>2.7311108611519583</v>
      </c>
    </row>
    <row r="55" spans="1:24" s="4" customFormat="1" ht="15" customHeight="1">
      <c r="A55" s="28" t="s">
        <v>63</v>
      </c>
      <c r="B55" s="29">
        <v>3169.6</v>
      </c>
      <c r="C55" s="30" t="s">
        <v>133</v>
      </c>
      <c r="D55" s="2">
        <v>4947435958</v>
      </c>
      <c r="E55" s="2" t="s">
        <v>24</v>
      </c>
      <c r="F55" s="78" t="s">
        <v>134</v>
      </c>
      <c r="G55" s="28" t="s">
        <v>5</v>
      </c>
      <c r="H55" s="2" t="s">
        <v>17</v>
      </c>
      <c r="I55" s="2">
        <v>1</v>
      </c>
      <c r="J55" s="2" t="s">
        <v>135</v>
      </c>
      <c r="K55" s="2">
        <v>36540</v>
      </c>
      <c r="L55" s="35">
        <f t="shared" si="0"/>
        <v>115817184</v>
      </c>
      <c r="M55" s="36">
        <v>21000</v>
      </c>
      <c r="N55" s="37">
        <v>411394.375</v>
      </c>
      <c r="O55" s="37">
        <v>319597.25</v>
      </c>
      <c r="P55" s="37">
        <v>214137</v>
      </c>
      <c r="Q55" s="37">
        <v>91710.5</v>
      </c>
      <c r="R55" s="37">
        <f>480471.25+75000</f>
        <v>555471.25</v>
      </c>
      <c r="S55" s="37">
        <v>300505.625</v>
      </c>
      <c r="T55" s="40"/>
      <c r="U55" s="37">
        <v>2188287.5</v>
      </c>
      <c r="V55" s="37">
        <v>0</v>
      </c>
      <c r="W55" s="45">
        <f t="shared" si="1"/>
        <v>4081103.5</v>
      </c>
      <c r="X55" s="46">
        <f t="shared" si="2"/>
        <v>3.5237460962615015</v>
      </c>
    </row>
    <row r="56" spans="1:24" s="4" customFormat="1" ht="15" customHeight="1">
      <c r="A56" s="28" t="s">
        <v>63</v>
      </c>
      <c r="B56" s="29">
        <v>3169.6</v>
      </c>
      <c r="C56" s="30" t="s">
        <v>136</v>
      </c>
      <c r="D56" s="2">
        <v>4947193883</v>
      </c>
      <c r="E56" s="2" t="s">
        <v>24</v>
      </c>
      <c r="F56" s="78" t="s">
        <v>137</v>
      </c>
      <c r="G56" s="28" t="s">
        <v>5</v>
      </c>
      <c r="H56" s="2" t="s">
        <v>35</v>
      </c>
      <c r="I56" s="2">
        <v>1</v>
      </c>
      <c r="J56" s="2" t="s">
        <v>138</v>
      </c>
      <c r="K56" s="2">
        <v>290</v>
      </c>
      <c r="L56" s="35">
        <f t="shared" si="0"/>
        <v>919184</v>
      </c>
      <c r="M56" s="36">
        <v>250</v>
      </c>
      <c r="N56" s="37">
        <v>8544.9920927780695</v>
      </c>
      <c r="O56" s="37">
        <v>11037.6383763838</v>
      </c>
      <c r="P56" s="37">
        <v>0</v>
      </c>
      <c r="Q56" s="37">
        <v>2617.52767527675</v>
      </c>
      <c r="R56" s="37">
        <f>43127.3589878756+2980</f>
        <v>46107.358987875603</v>
      </c>
      <c r="S56" s="37">
        <v>9052.0558777016304</v>
      </c>
      <c r="T56" s="40"/>
      <c r="U56" s="37">
        <v>106854.243542435</v>
      </c>
      <c r="V56" s="37">
        <v>33250.448075909298</v>
      </c>
      <c r="W56" s="45">
        <f t="shared" si="1"/>
        <v>217464.26462836016</v>
      </c>
      <c r="X56" s="46">
        <f t="shared" si="2"/>
        <v>23.658404044060838</v>
      </c>
    </row>
    <row r="57" spans="1:24" s="4" customFormat="1" ht="15" customHeight="1">
      <c r="A57" s="28" t="s">
        <v>63</v>
      </c>
      <c r="B57" s="29">
        <v>3169.6</v>
      </c>
      <c r="C57" s="30" t="s">
        <v>136</v>
      </c>
      <c r="D57" s="2">
        <v>4947614500</v>
      </c>
      <c r="E57" s="2" t="s">
        <v>18</v>
      </c>
      <c r="F57" s="78" t="s">
        <v>137</v>
      </c>
      <c r="G57" s="28" t="s">
        <v>5</v>
      </c>
      <c r="H57" s="2" t="s">
        <v>35</v>
      </c>
      <c r="I57" s="2">
        <v>1</v>
      </c>
      <c r="J57" s="2" t="s">
        <v>138</v>
      </c>
      <c r="K57" s="2">
        <v>22556</v>
      </c>
      <c r="L57" s="35">
        <f t="shared" si="0"/>
        <v>71493497.599999994</v>
      </c>
      <c r="M57" s="36">
        <v>400</v>
      </c>
      <c r="N57" s="37">
        <v>13671.9873484449</v>
      </c>
      <c r="O57" s="37">
        <v>17660.221402214</v>
      </c>
      <c r="P57" s="37">
        <v>0</v>
      </c>
      <c r="Q57" s="37">
        <v>4188.0442804428003</v>
      </c>
      <c r="R57" s="37">
        <v>73771.774380600997</v>
      </c>
      <c r="S57" s="37">
        <v>14483.289404322601</v>
      </c>
      <c r="T57" s="40">
        <v>30000</v>
      </c>
      <c r="U57" s="37">
        <v>170966.78966789701</v>
      </c>
      <c r="V57" s="37">
        <v>53200.716921454899</v>
      </c>
      <c r="W57" s="45">
        <f t="shared" si="1"/>
        <v>377942.82340537722</v>
      </c>
      <c r="X57" s="46">
        <f t="shared" si="2"/>
        <v>0.52863943728132456</v>
      </c>
    </row>
    <row r="58" spans="1:24" s="4" customFormat="1" ht="15" customHeight="1">
      <c r="A58" s="28" t="s">
        <v>63</v>
      </c>
      <c r="B58" s="29">
        <v>3169.6</v>
      </c>
      <c r="C58" s="30" t="s">
        <v>136</v>
      </c>
      <c r="D58" s="2">
        <v>4947413838</v>
      </c>
      <c r="E58" s="2" t="s">
        <v>18</v>
      </c>
      <c r="F58" s="78" t="s">
        <v>137</v>
      </c>
      <c r="G58" s="28" t="s">
        <v>5</v>
      </c>
      <c r="H58" s="2" t="s">
        <v>35</v>
      </c>
      <c r="I58" s="2">
        <v>1</v>
      </c>
      <c r="J58" s="2" t="s">
        <v>138</v>
      </c>
      <c r="K58" s="2">
        <v>13154.4</v>
      </c>
      <c r="L58" s="35">
        <f t="shared" si="0"/>
        <v>41694186.239999995</v>
      </c>
      <c r="M58" s="36">
        <v>240</v>
      </c>
      <c r="N58" s="37">
        <v>8203.1924090669509</v>
      </c>
      <c r="O58" s="37">
        <v>10596.132841328401</v>
      </c>
      <c r="P58" s="37">
        <v>0</v>
      </c>
      <c r="Q58" s="37">
        <v>2512.8265682656802</v>
      </c>
      <c r="R58" s="37">
        <f>41402.2646283606+2861</f>
        <v>44263.264628360601</v>
      </c>
      <c r="S58" s="37">
        <v>8689.9736425935698</v>
      </c>
      <c r="T58" s="40">
        <v>30000</v>
      </c>
      <c r="U58" s="37">
        <v>102580.073800738</v>
      </c>
      <c r="V58" s="37">
        <v>31920.430152872999</v>
      </c>
      <c r="W58" s="45">
        <f t="shared" si="1"/>
        <v>238765.8940432262</v>
      </c>
      <c r="X58" s="46">
        <f t="shared" si="2"/>
        <v>0.57265992114306397</v>
      </c>
    </row>
    <row r="59" spans="1:24" s="4" customFormat="1" ht="15" customHeight="1">
      <c r="A59" s="28" t="s">
        <v>63</v>
      </c>
      <c r="B59" s="29">
        <v>3169.6</v>
      </c>
      <c r="C59" s="30" t="s">
        <v>136</v>
      </c>
      <c r="D59" s="2">
        <v>4947199007</v>
      </c>
      <c r="E59" s="2" t="s">
        <v>14</v>
      </c>
      <c r="F59" s="78" t="s">
        <v>137</v>
      </c>
      <c r="G59" s="28" t="s">
        <v>5</v>
      </c>
      <c r="H59" s="2" t="s">
        <v>35</v>
      </c>
      <c r="I59" s="2">
        <v>1</v>
      </c>
      <c r="J59" s="2" t="s">
        <v>138</v>
      </c>
      <c r="K59" s="2">
        <v>6172.2</v>
      </c>
      <c r="L59" s="35">
        <f t="shared" si="0"/>
        <v>19563405.119999997</v>
      </c>
      <c r="M59" s="36">
        <v>1620</v>
      </c>
      <c r="N59" s="37">
        <v>55371.548761201899</v>
      </c>
      <c r="O59" s="37">
        <v>71523.896678966805</v>
      </c>
      <c r="P59" s="37">
        <v>0</v>
      </c>
      <c r="Q59" s="37">
        <v>16961.579335793402</v>
      </c>
      <c r="R59" s="37">
        <f>279465.286241434+19310</f>
        <v>298775.28624143399</v>
      </c>
      <c r="S59" s="37">
        <v>58657.322087506604</v>
      </c>
      <c r="T59" s="40">
        <v>30000</v>
      </c>
      <c r="U59" s="37">
        <v>692415.49815498199</v>
      </c>
      <c r="V59" s="37">
        <v>215462.90353189199</v>
      </c>
      <c r="W59" s="45">
        <f t="shared" si="1"/>
        <v>1439168.0347917767</v>
      </c>
      <c r="X59" s="46">
        <f t="shared" si="2"/>
        <v>7.3564291388133194</v>
      </c>
    </row>
    <row r="60" spans="1:24" s="4" customFormat="1" ht="15" customHeight="1">
      <c r="A60" s="28" t="s">
        <v>63</v>
      </c>
      <c r="B60" s="29">
        <v>3169.6</v>
      </c>
      <c r="C60" s="30" t="s">
        <v>136</v>
      </c>
      <c r="D60" s="2">
        <v>4947307742</v>
      </c>
      <c r="E60" s="2" t="s">
        <v>18</v>
      </c>
      <c r="F60" s="78" t="s">
        <v>137</v>
      </c>
      <c r="G60" s="28" t="s">
        <v>5</v>
      </c>
      <c r="H60" s="2" t="s">
        <v>35</v>
      </c>
      <c r="I60" s="2">
        <v>1</v>
      </c>
      <c r="J60" s="2" t="s">
        <v>138</v>
      </c>
      <c r="K60" s="2">
        <v>7737.5</v>
      </c>
      <c r="L60" s="35">
        <f t="shared" si="0"/>
        <v>24524780</v>
      </c>
      <c r="M60" s="36">
        <v>1250</v>
      </c>
      <c r="N60" s="37">
        <v>42724.960463890398</v>
      </c>
      <c r="O60" s="37">
        <v>55188.191881918799</v>
      </c>
      <c r="P60" s="37">
        <v>0</v>
      </c>
      <c r="Q60" s="37">
        <v>13087.6383763838</v>
      </c>
      <c r="R60" s="37">
        <f>215636.794939378+14900</f>
        <v>230536.79493937801</v>
      </c>
      <c r="S60" s="37">
        <v>45260.279388508199</v>
      </c>
      <c r="T60" s="40">
        <v>30000</v>
      </c>
      <c r="U60" s="37">
        <v>534271.21771217696</v>
      </c>
      <c r="V60" s="37">
        <v>166252.240379547</v>
      </c>
      <c r="W60" s="45">
        <f t="shared" si="1"/>
        <v>1117321.323141803</v>
      </c>
      <c r="X60" s="46">
        <f t="shared" si="2"/>
        <v>4.5558872419724175</v>
      </c>
    </row>
    <row r="61" spans="1:24" s="4" customFormat="1" ht="15" customHeight="1">
      <c r="A61" s="28" t="s">
        <v>63</v>
      </c>
      <c r="B61" s="29">
        <v>3169.6</v>
      </c>
      <c r="C61" s="30" t="s">
        <v>136</v>
      </c>
      <c r="D61" s="2">
        <v>4947307744</v>
      </c>
      <c r="E61" s="2" t="s">
        <v>18</v>
      </c>
      <c r="F61" s="78" t="s">
        <v>137</v>
      </c>
      <c r="G61" s="28" t="s">
        <v>5</v>
      </c>
      <c r="H61" s="2" t="s">
        <v>35</v>
      </c>
      <c r="I61" s="2">
        <v>1</v>
      </c>
      <c r="J61" s="2" t="s">
        <v>138</v>
      </c>
      <c r="K61" s="2">
        <v>41960</v>
      </c>
      <c r="L61" s="35">
        <f t="shared" si="0"/>
        <v>132996416</v>
      </c>
      <c r="M61" s="36">
        <v>4000</v>
      </c>
      <c r="N61" s="37">
        <v>136719.873484449</v>
      </c>
      <c r="O61" s="37">
        <v>176602.21402213999</v>
      </c>
      <c r="P61" s="37">
        <v>0</v>
      </c>
      <c r="Q61" s="37">
        <v>41880.442804427999</v>
      </c>
      <c r="R61" s="37">
        <f>690037.74380601+47680</f>
        <v>737717.74380601</v>
      </c>
      <c r="S61" s="37">
        <v>144832.894043226</v>
      </c>
      <c r="T61" s="40">
        <v>30000</v>
      </c>
      <c r="U61" s="37">
        <v>1709667.89667897</v>
      </c>
      <c r="V61" s="37">
        <v>532007.16921454901</v>
      </c>
      <c r="W61" s="45">
        <f t="shared" si="1"/>
        <v>3509428.2340537719</v>
      </c>
      <c r="X61" s="46">
        <f t="shared" si="2"/>
        <v>2.6387389522239246</v>
      </c>
    </row>
    <row r="62" spans="1:24" s="4" customFormat="1" ht="15" customHeight="1">
      <c r="A62" s="28" t="s">
        <v>63</v>
      </c>
      <c r="B62" s="29">
        <v>3169.6</v>
      </c>
      <c r="C62" s="30" t="s">
        <v>136</v>
      </c>
      <c r="D62" s="2">
        <v>4947737190</v>
      </c>
      <c r="E62" s="2" t="s">
        <v>18</v>
      </c>
      <c r="F62" s="78" t="s">
        <v>137</v>
      </c>
      <c r="G62" s="28" t="s">
        <v>5</v>
      </c>
      <c r="H62" s="2" t="s">
        <v>35</v>
      </c>
      <c r="I62" s="2">
        <v>1</v>
      </c>
      <c r="J62" s="2" t="s">
        <v>138</v>
      </c>
      <c r="K62" s="2">
        <v>10846</v>
      </c>
      <c r="L62" s="35">
        <f t="shared" si="0"/>
        <v>34377481.600000001</v>
      </c>
      <c r="M62" s="36">
        <v>1100</v>
      </c>
      <c r="N62" s="37">
        <v>37597.965208223497</v>
      </c>
      <c r="O62" s="37">
        <v>48565.608856088598</v>
      </c>
      <c r="P62" s="37">
        <v>0</v>
      </c>
      <c r="Q62" s="37">
        <v>11517.1217712177</v>
      </c>
      <c r="R62" s="37">
        <f>189760.379546653+13112</f>
        <v>202872.37954665301</v>
      </c>
      <c r="S62" s="37">
        <v>39829.0458618872</v>
      </c>
      <c r="T62" s="40">
        <v>30000</v>
      </c>
      <c r="U62" s="37">
        <v>470158.67158671602</v>
      </c>
      <c r="V62" s="37">
        <v>146301.971534001</v>
      </c>
      <c r="W62" s="45">
        <f t="shared" si="1"/>
        <v>986842.76436478714</v>
      </c>
      <c r="X62" s="46">
        <f t="shared" si="2"/>
        <v>2.8706080795772633</v>
      </c>
    </row>
    <row r="63" spans="1:24" s="4" customFormat="1" ht="15" customHeight="1">
      <c r="A63" s="28" t="s">
        <v>63</v>
      </c>
      <c r="B63" s="29">
        <v>3169.6</v>
      </c>
      <c r="C63" s="30" t="s">
        <v>136</v>
      </c>
      <c r="D63" s="2">
        <v>4947307747</v>
      </c>
      <c r="E63" s="2" t="s">
        <v>18</v>
      </c>
      <c r="F63" s="78" t="s">
        <v>137</v>
      </c>
      <c r="G63" s="28" t="s">
        <v>5</v>
      </c>
      <c r="H63" s="2" t="s">
        <v>35</v>
      </c>
      <c r="I63" s="2">
        <v>1</v>
      </c>
      <c r="J63" s="2" t="s">
        <v>138</v>
      </c>
      <c r="K63" s="2">
        <v>42006.25</v>
      </c>
      <c r="L63" s="35">
        <f t="shared" si="0"/>
        <v>133143010</v>
      </c>
      <c r="M63" s="36">
        <v>625</v>
      </c>
      <c r="N63" s="37">
        <v>21362.480231945199</v>
      </c>
      <c r="O63" s="37">
        <v>27594.0959409594</v>
      </c>
      <c r="P63" s="37">
        <v>0</v>
      </c>
      <c r="Q63" s="37">
        <v>6543.8191881918801</v>
      </c>
      <c r="R63" s="37">
        <f>107818.397469689+7450</f>
        <v>115268.39746968901</v>
      </c>
      <c r="S63" s="37">
        <v>22630.1396942541</v>
      </c>
      <c r="T63" s="40">
        <v>30000</v>
      </c>
      <c r="U63" s="37">
        <v>267135.60885608901</v>
      </c>
      <c r="V63" s="37">
        <v>83126.120189773297</v>
      </c>
      <c r="W63" s="45">
        <f t="shared" si="1"/>
        <v>573660.66157090187</v>
      </c>
      <c r="X63" s="46">
        <f t="shared" si="2"/>
        <v>0.43086051725201485</v>
      </c>
    </row>
    <row r="64" spans="1:24" s="4" customFormat="1" ht="15" customHeight="1">
      <c r="A64" s="28" t="s">
        <v>63</v>
      </c>
      <c r="B64" s="29">
        <v>3169.6</v>
      </c>
      <c r="C64" s="30" t="s">
        <v>139</v>
      </c>
      <c r="D64" s="2">
        <v>4947917132</v>
      </c>
      <c r="E64" s="2" t="s">
        <v>14</v>
      </c>
      <c r="F64" s="78" t="s">
        <v>140</v>
      </c>
      <c r="G64" s="28" t="s">
        <v>13</v>
      </c>
      <c r="H64" s="2" t="s">
        <v>23</v>
      </c>
      <c r="I64" s="2">
        <v>1</v>
      </c>
      <c r="J64" s="2"/>
      <c r="K64" s="2">
        <v>549.5</v>
      </c>
      <c r="L64" s="35">
        <f t="shared" si="0"/>
        <v>1741695.2</v>
      </c>
      <c r="M64" s="36">
        <v>10</v>
      </c>
      <c r="N64" s="37">
        <v>31518.400000000001</v>
      </c>
      <c r="O64" s="37">
        <v>0</v>
      </c>
      <c r="P64" s="37">
        <v>0</v>
      </c>
      <c r="Q64" s="37">
        <v>0</v>
      </c>
      <c r="R64" s="37">
        <v>126</v>
      </c>
      <c r="S64" s="37">
        <v>68687</v>
      </c>
      <c r="T64" s="40">
        <v>30000</v>
      </c>
      <c r="U64" s="37">
        <v>35197.142857142899</v>
      </c>
      <c r="V64" s="37">
        <v>0</v>
      </c>
      <c r="W64" s="45">
        <f t="shared" si="1"/>
        <v>165528.54285714289</v>
      </c>
      <c r="X64" s="46">
        <f t="shared" si="2"/>
        <v>9.5038754689765987</v>
      </c>
    </row>
    <row r="65" spans="1:24" s="4" customFormat="1" ht="15" customHeight="1">
      <c r="A65" s="28" t="s">
        <v>63</v>
      </c>
      <c r="B65" s="29">
        <v>3169.6</v>
      </c>
      <c r="C65" s="30" t="s">
        <v>139</v>
      </c>
      <c r="D65" s="2">
        <v>4947917132</v>
      </c>
      <c r="E65" s="2" t="s">
        <v>14</v>
      </c>
      <c r="F65" s="78" t="s">
        <v>140</v>
      </c>
      <c r="G65" s="28" t="s">
        <v>13</v>
      </c>
      <c r="H65" s="2" t="s">
        <v>23</v>
      </c>
      <c r="I65" s="2">
        <v>1</v>
      </c>
      <c r="J65" s="2"/>
      <c r="K65" s="2">
        <v>715.6</v>
      </c>
      <c r="L65" s="35">
        <f t="shared" si="0"/>
        <v>2268165.7599999998</v>
      </c>
      <c r="M65" s="36">
        <v>10</v>
      </c>
      <c r="N65" s="37">
        <v>31518.400000000001</v>
      </c>
      <c r="O65" s="37">
        <v>0</v>
      </c>
      <c r="P65" s="37">
        <v>0</v>
      </c>
      <c r="Q65" s="37">
        <v>0</v>
      </c>
      <c r="R65" s="37">
        <v>126</v>
      </c>
      <c r="S65" s="37">
        <v>68687</v>
      </c>
      <c r="T65" s="40">
        <v>30000</v>
      </c>
      <c r="U65" s="37">
        <v>35197.142857142899</v>
      </c>
      <c r="V65" s="37">
        <v>0</v>
      </c>
      <c r="W65" s="45">
        <f t="shared" si="1"/>
        <v>165528.54285714289</v>
      </c>
      <c r="X65" s="46">
        <f t="shared" si="2"/>
        <v>7.2979032562921198</v>
      </c>
    </row>
    <row r="66" spans="1:24" s="4" customFormat="1" ht="15" customHeight="1">
      <c r="A66" s="28" t="s">
        <v>63</v>
      </c>
      <c r="B66" s="29">
        <v>3169.6</v>
      </c>
      <c r="C66" s="30" t="s">
        <v>139</v>
      </c>
      <c r="D66" s="2">
        <v>4947612626</v>
      </c>
      <c r="E66" s="2" t="s">
        <v>14</v>
      </c>
      <c r="F66" s="78" t="s">
        <v>140</v>
      </c>
      <c r="G66" s="28" t="s">
        <v>13</v>
      </c>
      <c r="H66" s="2" t="s">
        <v>23</v>
      </c>
      <c r="I66" s="2">
        <v>1</v>
      </c>
      <c r="J66" s="2"/>
      <c r="K66" s="2">
        <v>1648.5</v>
      </c>
      <c r="L66" s="35">
        <f t="shared" si="0"/>
        <v>5225085.5999999996</v>
      </c>
      <c r="M66" s="36">
        <v>30</v>
      </c>
      <c r="N66" s="37">
        <v>94555.199999999997</v>
      </c>
      <c r="O66" s="37">
        <v>0</v>
      </c>
      <c r="P66" s="37">
        <v>0</v>
      </c>
      <c r="Q66" s="37">
        <v>0</v>
      </c>
      <c r="R66" s="37">
        <v>378</v>
      </c>
      <c r="S66" s="37">
        <v>206061</v>
      </c>
      <c r="T66" s="40">
        <v>30000</v>
      </c>
      <c r="U66" s="37">
        <v>105591.428571429</v>
      </c>
      <c r="V66" s="37">
        <v>0</v>
      </c>
      <c r="W66" s="45">
        <f t="shared" si="1"/>
        <v>436585.628571429</v>
      </c>
      <c r="X66" s="46">
        <f t="shared" si="2"/>
        <v>8.3555689225728482</v>
      </c>
    </row>
    <row r="67" spans="1:24" s="4" customFormat="1" ht="15" customHeight="1">
      <c r="A67" s="28" t="s">
        <v>63</v>
      </c>
      <c r="B67" s="29">
        <v>3169.6</v>
      </c>
      <c r="C67" s="30" t="s">
        <v>141</v>
      </c>
      <c r="D67" s="2">
        <v>4946948273</v>
      </c>
      <c r="E67" s="2" t="s">
        <v>14</v>
      </c>
      <c r="F67" s="2" t="s">
        <v>142</v>
      </c>
      <c r="G67" s="28" t="s">
        <v>13</v>
      </c>
      <c r="H67" s="2" t="s">
        <v>23</v>
      </c>
      <c r="I67" s="2">
        <v>7</v>
      </c>
      <c r="J67" s="2"/>
      <c r="K67" s="2">
        <v>9218.2999999999993</v>
      </c>
      <c r="L67" s="35">
        <f t="shared" ref="L67:L130" si="3">B67*K67</f>
        <v>29218323.679999996</v>
      </c>
      <c r="M67" s="36">
        <v>35</v>
      </c>
      <c r="N67" s="37">
        <v>433803</v>
      </c>
      <c r="O67" s="37">
        <v>0</v>
      </c>
      <c r="P67" s="37">
        <v>0</v>
      </c>
      <c r="Q67" s="37">
        <v>0</v>
      </c>
      <c r="R67" s="37">
        <v>4735</v>
      </c>
      <c r="S67" s="37">
        <v>343435</v>
      </c>
      <c r="T67" s="40">
        <v>30000</v>
      </c>
      <c r="U67" s="37">
        <v>25741.1940298507</v>
      </c>
      <c r="V67" s="37">
        <v>0</v>
      </c>
      <c r="W67" s="45">
        <f t="shared" ref="W67:W130" si="4">+SUM(N67:V67)</f>
        <v>837714.19402985065</v>
      </c>
      <c r="X67" s="46">
        <f t="shared" ref="X67:X130" si="5">(W67/L67)*100</f>
        <v>2.8670850634845548</v>
      </c>
    </row>
    <row r="68" spans="1:24" s="4" customFormat="1" ht="15" customHeight="1">
      <c r="A68" s="28" t="s">
        <v>63</v>
      </c>
      <c r="B68" s="29">
        <v>3169.6</v>
      </c>
      <c r="C68" s="30" t="s">
        <v>143</v>
      </c>
      <c r="D68" s="2">
        <v>4945438027</v>
      </c>
      <c r="E68" s="2" t="s">
        <v>14</v>
      </c>
      <c r="F68" s="2" t="s">
        <v>144</v>
      </c>
      <c r="G68" s="28" t="s">
        <v>13</v>
      </c>
      <c r="H68" s="2" t="s">
        <v>23</v>
      </c>
      <c r="I68" s="2">
        <v>3</v>
      </c>
      <c r="J68" s="2"/>
      <c r="K68" s="2">
        <v>3950.7</v>
      </c>
      <c r="L68" s="35">
        <f t="shared" si="3"/>
        <v>12522138.719999999</v>
      </c>
      <c r="M68" s="36">
        <v>15</v>
      </c>
      <c r="N68" s="37">
        <v>425912</v>
      </c>
      <c r="O68" s="37">
        <v>0</v>
      </c>
      <c r="P68" s="37">
        <v>0</v>
      </c>
      <c r="Q68" s="37">
        <v>0</v>
      </c>
      <c r="R68" s="37">
        <v>1704</v>
      </c>
      <c r="S68" s="37">
        <v>343435</v>
      </c>
      <c r="T68" s="40">
        <v>30000</v>
      </c>
      <c r="U68" s="37">
        <v>11031.940298507499</v>
      </c>
      <c r="V68" s="37">
        <v>0</v>
      </c>
      <c r="W68" s="45">
        <f t="shared" si="4"/>
        <v>812082.94029850746</v>
      </c>
      <c r="X68" s="46">
        <f t="shared" si="5"/>
        <v>6.4851776398345757</v>
      </c>
    </row>
    <row r="69" spans="1:24" s="4" customFormat="1" ht="15" customHeight="1">
      <c r="A69" s="28" t="s">
        <v>63</v>
      </c>
      <c r="B69" s="29">
        <v>3169.6</v>
      </c>
      <c r="C69" s="30" t="s">
        <v>145</v>
      </c>
      <c r="D69" s="2">
        <v>4947331754</v>
      </c>
      <c r="E69" s="2" t="s">
        <v>33</v>
      </c>
      <c r="F69" s="2" t="s">
        <v>146</v>
      </c>
      <c r="G69" s="28" t="s">
        <v>5</v>
      </c>
      <c r="H69" s="2" t="s">
        <v>17</v>
      </c>
      <c r="I69" s="2">
        <v>2</v>
      </c>
      <c r="J69" s="2" t="s">
        <v>147</v>
      </c>
      <c r="K69" s="2">
        <v>28050.74</v>
      </c>
      <c r="L69" s="35">
        <f t="shared" si="3"/>
        <v>88909625.504000008</v>
      </c>
      <c r="M69" s="36">
        <v>430</v>
      </c>
      <c r="N69" s="37">
        <v>399826.13091579598</v>
      </c>
      <c r="O69" s="37">
        <v>316746.62269129301</v>
      </c>
      <c r="P69" s="37">
        <v>0</v>
      </c>
      <c r="Q69" s="37">
        <v>75115.364995602504</v>
      </c>
      <c r="R69" s="37">
        <v>679369.56842860102</v>
      </c>
      <c r="S69" s="37">
        <v>145982.742522024</v>
      </c>
      <c r="T69" s="40"/>
      <c r="U69" s="37">
        <v>1707088.65754968</v>
      </c>
      <c r="V69" s="37">
        <v>0</v>
      </c>
      <c r="W69" s="45">
        <f t="shared" si="4"/>
        <v>3324129.0871029962</v>
      </c>
      <c r="X69" s="46">
        <f t="shared" si="5"/>
        <v>3.7387730161493535</v>
      </c>
    </row>
    <row r="70" spans="1:24" s="4" customFormat="1" ht="15" customHeight="1">
      <c r="A70" s="28" t="s">
        <v>63</v>
      </c>
      <c r="B70" s="29">
        <v>3169.6</v>
      </c>
      <c r="C70" s="30" t="s">
        <v>145</v>
      </c>
      <c r="D70" s="2">
        <v>4947331754</v>
      </c>
      <c r="E70" s="2" t="s">
        <v>33</v>
      </c>
      <c r="F70" s="2" t="s">
        <v>146</v>
      </c>
      <c r="G70" s="28" t="s">
        <v>5</v>
      </c>
      <c r="H70" s="2" t="s">
        <v>17</v>
      </c>
      <c r="I70" s="2">
        <v>2</v>
      </c>
      <c r="J70" s="2" t="s">
        <v>147</v>
      </c>
      <c r="K70" s="2">
        <v>16839.64</v>
      </c>
      <c r="L70" s="35">
        <f t="shared" si="3"/>
        <v>53374922.943999998</v>
      </c>
      <c r="M70" s="36">
        <v>430</v>
      </c>
      <c r="N70" s="37">
        <v>221665.26429010401</v>
      </c>
      <c r="O70" s="37">
        <v>316746.62269129301</v>
      </c>
      <c r="P70" s="37">
        <v>0</v>
      </c>
      <c r="Q70" s="37">
        <v>75115.364995602504</v>
      </c>
      <c r="R70" s="37">
        <f>310101.838455235+94263</f>
        <v>404364.838455235</v>
      </c>
      <c r="S70" s="37">
        <v>80933.437564023799</v>
      </c>
      <c r="T70" s="40"/>
      <c r="U70" s="37">
        <v>946417.02776070498</v>
      </c>
      <c r="V70" s="37">
        <v>0</v>
      </c>
      <c r="W70" s="45">
        <f t="shared" si="4"/>
        <v>2045242.5557569633</v>
      </c>
      <c r="X70" s="46">
        <f t="shared" si="5"/>
        <v>3.8318417019595414</v>
      </c>
    </row>
    <row r="71" spans="1:24" s="4" customFormat="1" ht="15" customHeight="1">
      <c r="A71" s="28" t="s">
        <v>63</v>
      </c>
      <c r="B71" s="29">
        <v>3169.6</v>
      </c>
      <c r="C71" s="30" t="s">
        <v>145</v>
      </c>
      <c r="D71" s="2">
        <v>4947331754</v>
      </c>
      <c r="E71" s="2" t="s">
        <v>33</v>
      </c>
      <c r="F71" s="2" t="s">
        <v>146</v>
      </c>
      <c r="G71" s="28" t="s">
        <v>5</v>
      </c>
      <c r="H71" s="2" t="s">
        <v>17</v>
      </c>
      <c r="I71" s="2">
        <v>2</v>
      </c>
      <c r="J71" s="2" t="s">
        <v>147</v>
      </c>
      <c r="K71" s="2">
        <v>30337.919999999998</v>
      </c>
      <c r="L71" s="35">
        <f t="shared" si="3"/>
        <v>96159071.231999993</v>
      </c>
      <c r="M71" s="36">
        <v>277</v>
      </c>
      <c r="N71" s="37">
        <v>319128.60479409999</v>
      </c>
      <c r="O71" s="37">
        <v>204043.754617414</v>
      </c>
      <c r="P71" s="37">
        <v>0</v>
      </c>
      <c r="Q71" s="37">
        <v>48388.270008795102</v>
      </c>
      <c r="R71" s="37">
        <v>582159.59311616502</v>
      </c>
      <c r="S71" s="37">
        <v>116518.819913952</v>
      </c>
      <c r="T71" s="40"/>
      <c r="U71" s="37">
        <v>1362544.3146896099</v>
      </c>
      <c r="V71" s="37">
        <v>0</v>
      </c>
      <c r="W71" s="45">
        <f t="shared" si="4"/>
        <v>2632783.3571400358</v>
      </c>
      <c r="X71" s="46">
        <f t="shared" si="5"/>
        <v>2.737945909219528</v>
      </c>
    </row>
    <row r="72" spans="1:24" s="4" customFormat="1" ht="15" customHeight="1">
      <c r="A72" s="28" t="s">
        <v>63</v>
      </c>
      <c r="B72" s="29">
        <v>3169.6</v>
      </c>
      <c r="C72" s="30" t="s">
        <v>148</v>
      </c>
      <c r="D72" s="2">
        <v>4946816874</v>
      </c>
      <c r="E72" s="2" t="s">
        <v>38</v>
      </c>
      <c r="F72" s="2" t="s">
        <v>149</v>
      </c>
      <c r="G72" s="28" t="s">
        <v>5</v>
      </c>
      <c r="H72" s="2" t="s">
        <v>17</v>
      </c>
      <c r="I72" s="2">
        <v>1</v>
      </c>
      <c r="J72" s="2" t="s">
        <v>150</v>
      </c>
      <c r="K72" s="2">
        <v>418.56</v>
      </c>
      <c r="L72" s="35">
        <f t="shared" si="3"/>
        <v>1326667.7760000001</v>
      </c>
      <c r="M72" s="36">
        <v>192</v>
      </c>
      <c r="N72" s="37">
        <v>5603.8109415705203</v>
      </c>
      <c r="O72" s="37">
        <v>4987.18868626721</v>
      </c>
      <c r="P72" s="37">
        <v>0</v>
      </c>
      <c r="Q72" s="37">
        <v>1182.68998883513</v>
      </c>
      <c r="R72" s="37">
        <v>6352.4942314849304</v>
      </c>
      <c r="S72" s="37">
        <v>4090.0334946036501</v>
      </c>
      <c r="T72" s="40"/>
      <c r="U72" s="37">
        <v>6299.9627837737298</v>
      </c>
      <c r="V72" s="37">
        <v>0</v>
      </c>
      <c r="W72" s="45">
        <f t="shared" si="4"/>
        <v>28516.180126535168</v>
      </c>
      <c r="X72" s="46">
        <f t="shared" si="5"/>
        <v>2.1494590162213427</v>
      </c>
    </row>
    <row r="73" spans="1:24" s="4" customFormat="1" ht="15" customHeight="1">
      <c r="A73" s="28" t="s">
        <v>63</v>
      </c>
      <c r="B73" s="29">
        <v>3169.6</v>
      </c>
      <c r="C73" s="30" t="s">
        <v>148</v>
      </c>
      <c r="D73" s="2">
        <v>4946881737</v>
      </c>
      <c r="E73" s="2" t="s">
        <v>38</v>
      </c>
      <c r="F73" s="2" t="s">
        <v>149</v>
      </c>
      <c r="G73" s="28" t="s">
        <v>5</v>
      </c>
      <c r="H73" s="2" t="s">
        <v>17</v>
      </c>
      <c r="I73" s="2">
        <v>1</v>
      </c>
      <c r="J73" s="2" t="s">
        <v>150</v>
      </c>
      <c r="K73" s="2">
        <v>27751.4</v>
      </c>
      <c r="L73" s="35">
        <f t="shared" si="3"/>
        <v>87960837.439999998</v>
      </c>
      <c r="M73" s="36">
        <v>12730</v>
      </c>
      <c r="N73" s="37">
        <v>371544.340032254</v>
      </c>
      <c r="O73" s="37">
        <v>330660.99987594603</v>
      </c>
      <c r="P73" s="37">
        <v>0</v>
      </c>
      <c r="Q73" s="37">
        <v>78414.810197245999</v>
      </c>
      <c r="R73" s="37">
        <v>421183.60191043298</v>
      </c>
      <c r="S73" s="37">
        <v>271177.741595336</v>
      </c>
      <c r="T73" s="40"/>
      <c r="U73" s="37">
        <v>417700.65748666401</v>
      </c>
      <c r="V73" s="37">
        <v>0</v>
      </c>
      <c r="W73" s="45">
        <f t="shared" si="4"/>
        <v>1890682.1510978793</v>
      </c>
      <c r="X73" s="46">
        <f t="shared" si="5"/>
        <v>2.1494590162213436</v>
      </c>
    </row>
    <row r="74" spans="1:24" s="4" customFormat="1" ht="15" customHeight="1">
      <c r="A74" s="28" t="s">
        <v>63</v>
      </c>
      <c r="B74" s="29">
        <v>3169.6</v>
      </c>
      <c r="C74" s="30" t="s">
        <v>148</v>
      </c>
      <c r="D74" s="2">
        <v>4946854203</v>
      </c>
      <c r="E74" s="2" t="s">
        <v>38</v>
      </c>
      <c r="F74" s="2" t="s">
        <v>149</v>
      </c>
      <c r="G74" s="28" t="s">
        <v>5</v>
      </c>
      <c r="H74" s="2" t="s">
        <v>17</v>
      </c>
      <c r="I74" s="2">
        <v>1</v>
      </c>
      <c r="J74" s="2" t="s">
        <v>150</v>
      </c>
      <c r="K74" s="2">
        <v>6976</v>
      </c>
      <c r="L74" s="35">
        <f t="shared" si="3"/>
        <v>22111129.599999998</v>
      </c>
      <c r="M74" s="36">
        <v>3200</v>
      </c>
      <c r="N74" s="37">
        <v>93396.849026175405</v>
      </c>
      <c r="O74" s="37">
        <v>83119.811437786906</v>
      </c>
      <c r="P74" s="37">
        <v>0</v>
      </c>
      <c r="Q74" s="37">
        <v>19711.499813918901</v>
      </c>
      <c r="R74" s="37">
        <v>105874.90385808201</v>
      </c>
      <c r="S74" s="37">
        <v>68167.224910060802</v>
      </c>
      <c r="T74" s="40"/>
      <c r="U74" s="37">
        <v>104999.379729562</v>
      </c>
      <c r="V74" s="37">
        <v>0</v>
      </c>
      <c r="W74" s="45">
        <f t="shared" si="4"/>
        <v>475269.66877558606</v>
      </c>
      <c r="X74" s="46">
        <f t="shared" si="5"/>
        <v>2.1494590162213427</v>
      </c>
    </row>
    <row r="75" spans="1:24" s="4" customFormat="1" ht="15" customHeight="1">
      <c r="A75" s="28" t="s">
        <v>63</v>
      </c>
      <c r="B75" s="29">
        <v>3169.6</v>
      </c>
      <c r="C75" s="30" t="s">
        <v>151</v>
      </c>
      <c r="D75" s="2">
        <v>4944881457</v>
      </c>
      <c r="E75" s="2" t="s">
        <v>10</v>
      </c>
      <c r="F75" s="78" t="s">
        <v>152</v>
      </c>
      <c r="G75" s="28" t="s">
        <v>9</v>
      </c>
      <c r="H75" s="2" t="s">
        <v>23</v>
      </c>
      <c r="I75" s="2">
        <v>2</v>
      </c>
      <c r="J75" s="2"/>
      <c r="K75" s="2">
        <v>16912</v>
      </c>
      <c r="L75" s="35">
        <f t="shared" si="3"/>
        <v>53604275.199999996</v>
      </c>
      <c r="M75" s="36">
        <v>1600</v>
      </c>
      <c r="N75" s="37">
        <v>652680</v>
      </c>
      <c r="O75" s="37">
        <v>1183</v>
      </c>
      <c r="P75" s="37">
        <v>0</v>
      </c>
      <c r="Q75" s="37">
        <v>35546</v>
      </c>
      <c r="R75" s="37">
        <v>120740</v>
      </c>
      <c r="S75" s="37">
        <v>686870</v>
      </c>
      <c r="T75" s="40"/>
      <c r="U75" s="37">
        <v>533500</v>
      </c>
      <c r="V75" s="37">
        <v>0</v>
      </c>
      <c r="W75" s="45">
        <f t="shared" si="4"/>
        <v>2030519</v>
      </c>
      <c r="X75" s="46">
        <f t="shared" si="5"/>
        <v>3.7879795826434388</v>
      </c>
    </row>
    <row r="76" spans="1:24" s="4" customFormat="1" ht="15" customHeight="1">
      <c r="A76" s="28" t="s">
        <v>63</v>
      </c>
      <c r="B76" s="29">
        <v>3169.6</v>
      </c>
      <c r="C76" s="30" t="s">
        <v>153</v>
      </c>
      <c r="D76" s="2">
        <v>4942955293</v>
      </c>
      <c r="E76" s="2" t="s">
        <v>10</v>
      </c>
      <c r="F76" s="2" t="s">
        <v>154</v>
      </c>
      <c r="G76" s="28" t="s">
        <v>5</v>
      </c>
      <c r="H76" s="2" t="s">
        <v>20</v>
      </c>
      <c r="I76" s="2">
        <v>1</v>
      </c>
      <c r="J76" s="2" t="s">
        <v>155</v>
      </c>
      <c r="K76" s="2">
        <v>16907</v>
      </c>
      <c r="L76" s="35">
        <f t="shared" si="3"/>
        <v>53588427.199999996</v>
      </c>
      <c r="M76" s="36">
        <v>6380</v>
      </c>
      <c r="N76" s="37">
        <v>363891</v>
      </c>
      <c r="O76" s="37">
        <v>394878</v>
      </c>
      <c r="P76" s="37">
        <v>0</v>
      </c>
      <c r="Q76" s="37">
        <v>124137</v>
      </c>
      <c r="R76" s="37">
        <v>735371</v>
      </c>
      <c r="S76" s="37">
        <v>686870</v>
      </c>
      <c r="T76" s="40"/>
      <c r="U76" s="37">
        <v>1352000</v>
      </c>
      <c r="V76" s="37">
        <v>0</v>
      </c>
      <c r="W76" s="45">
        <f t="shared" si="4"/>
        <v>3657147</v>
      </c>
      <c r="X76" s="46">
        <f t="shared" si="5"/>
        <v>6.8245089305401381</v>
      </c>
    </row>
    <row r="77" spans="1:24" s="4" customFormat="1" ht="15" customHeight="1">
      <c r="A77" s="28" t="s">
        <v>63</v>
      </c>
      <c r="B77" s="29">
        <v>3169.6</v>
      </c>
      <c r="C77" s="30" t="s">
        <v>156</v>
      </c>
      <c r="D77" s="2">
        <v>4947307740</v>
      </c>
      <c r="E77" s="2" t="s">
        <v>18</v>
      </c>
      <c r="F77" s="2" t="s">
        <v>157</v>
      </c>
      <c r="G77" s="28" t="s">
        <v>5</v>
      </c>
      <c r="H77" s="2" t="s">
        <v>20</v>
      </c>
      <c r="I77" s="2">
        <v>1</v>
      </c>
      <c r="J77" s="2" t="s">
        <v>158</v>
      </c>
      <c r="K77" s="2">
        <v>23562</v>
      </c>
      <c r="L77" s="35">
        <f t="shared" si="3"/>
        <v>74682115.200000003</v>
      </c>
      <c r="M77" s="36">
        <v>19800</v>
      </c>
      <c r="N77" s="37">
        <v>324197</v>
      </c>
      <c r="O77" s="37">
        <v>158579.5</v>
      </c>
      <c r="P77" s="37">
        <v>0</v>
      </c>
      <c r="Q77" s="37">
        <v>49654.5</v>
      </c>
      <c r="R77" s="37">
        <f>426305.5+113061</f>
        <v>539366.5</v>
      </c>
      <c r="S77" s="37">
        <v>171717.5</v>
      </c>
      <c r="T77" s="40">
        <v>30000</v>
      </c>
      <c r="U77" s="37">
        <v>3913500</v>
      </c>
      <c r="V77" s="37">
        <v>0</v>
      </c>
      <c r="W77" s="45">
        <f t="shared" si="4"/>
        <v>5187015</v>
      </c>
      <c r="X77" s="46">
        <f t="shared" si="5"/>
        <v>6.945458074010201</v>
      </c>
    </row>
    <row r="78" spans="1:24" s="4" customFormat="1" ht="15" customHeight="1">
      <c r="A78" s="28" t="s">
        <v>63</v>
      </c>
      <c r="B78" s="29">
        <v>3169.6</v>
      </c>
      <c r="C78" s="30" t="s">
        <v>156</v>
      </c>
      <c r="D78" s="2">
        <v>4947307741</v>
      </c>
      <c r="E78" s="2" t="s">
        <v>18</v>
      </c>
      <c r="F78" s="2" t="s">
        <v>157</v>
      </c>
      <c r="G78" s="28" t="s">
        <v>5</v>
      </c>
      <c r="H78" s="2" t="s">
        <v>20</v>
      </c>
      <c r="I78" s="2">
        <v>1</v>
      </c>
      <c r="J78" s="2" t="s">
        <v>159</v>
      </c>
      <c r="K78" s="2">
        <v>23562</v>
      </c>
      <c r="L78" s="35">
        <f t="shared" si="3"/>
        <v>74682115.200000003</v>
      </c>
      <c r="M78" s="36">
        <v>19800</v>
      </c>
      <c r="N78" s="37">
        <v>324197</v>
      </c>
      <c r="O78" s="37">
        <v>158579.5</v>
      </c>
      <c r="P78" s="37">
        <v>0</v>
      </c>
      <c r="Q78" s="37">
        <v>49654.5</v>
      </c>
      <c r="R78" s="37">
        <v>539366.5</v>
      </c>
      <c r="S78" s="37">
        <v>171717.5</v>
      </c>
      <c r="T78" s="40">
        <v>30000</v>
      </c>
      <c r="U78" s="37">
        <v>0</v>
      </c>
      <c r="V78" s="37">
        <v>0</v>
      </c>
      <c r="W78" s="45">
        <f t="shared" si="4"/>
        <v>1273515</v>
      </c>
      <c r="X78" s="46">
        <f t="shared" si="5"/>
        <v>1.7052476306937809</v>
      </c>
    </row>
    <row r="79" spans="1:24" s="4" customFormat="1" ht="15" customHeight="1">
      <c r="A79" s="28" t="s">
        <v>63</v>
      </c>
      <c r="B79" s="29">
        <v>3169.6</v>
      </c>
      <c r="C79" s="30" t="s">
        <v>160</v>
      </c>
      <c r="D79" s="2">
        <v>4947010980</v>
      </c>
      <c r="E79" s="2" t="s">
        <v>10</v>
      </c>
      <c r="F79" s="78" t="s">
        <v>161</v>
      </c>
      <c r="G79" s="28" t="s">
        <v>5</v>
      </c>
      <c r="H79" s="2" t="s">
        <v>20</v>
      </c>
      <c r="I79" s="2">
        <v>1</v>
      </c>
      <c r="J79" s="2" t="s">
        <v>162</v>
      </c>
      <c r="K79" s="2">
        <v>18288</v>
      </c>
      <c r="L79" s="35">
        <f t="shared" si="3"/>
        <v>57965644.799999997</v>
      </c>
      <c r="M79" s="36">
        <v>2880</v>
      </c>
      <c r="N79" s="37">
        <v>668775</v>
      </c>
      <c r="O79" s="37">
        <v>394878</v>
      </c>
      <c r="P79" s="37">
        <v>0</v>
      </c>
      <c r="Q79" s="37">
        <v>124137</v>
      </c>
      <c r="R79" s="37">
        <v>639113</v>
      </c>
      <c r="S79" s="37">
        <v>686870</v>
      </c>
      <c r="T79" s="40"/>
      <c r="U79" s="37">
        <v>1400500</v>
      </c>
      <c r="V79" s="37">
        <v>0</v>
      </c>
      <c r="W79" s="45">
        <f t="shared" si="4"/>
        <v>3914273</v>
      </c>
      <c r="X79" s="46">
        <f t="shared" si="5"/>
        <v>6.7527464129925452</v>
      </c>
    </row>
    <row r="80" spans="1:24" s="4" customFormat="1" ht="15" customHeight="1">
      <c r="A80" s="28" t="s">
        <v>63</v>
      </c>
      <c r="B80" s="29">
        <v>3169.6</v>
      </c>
      <c r="C80" s="30" t="s">
        <v>163</v>
      </c>
      <c r="D80" s="2">
        <v>4944853444</v>
      </c>
      <c r="E80" s="2" t="s">
        <v>10</v>
      </c>
      <c r="F80" s="78" t="s">
        <v>164</v>
      </c>
      <c r="G80" s="28" t="s">
        <v>5</v>
      </c>
      <c r="H80" s="2" t="s">
        <v>20</v>
      </c>
      <c r="I80" s="2">
        <v>1</v>
      </c>
      <c r="J80" s="2" t="s">
        <v>165</v>
      </c>
      <c r="K80" s="2">
        <v>11577.6</v>
      </c>
      <c r="L80" s="35">
        <f t="shared" si="3"/>
        <v>36696360.960000001</v>
      </c>
      <c r="M80" s="36">
        <v>4320</v>
      </c>
      <c r="N80" s="37">
        <v>330482</v>
      </c>
      <c r="O80" s="37">
        <v>394878</v>
      </c>
      <c r="P80" s="37">
        <v>0</v>
      </c>
      <c r="Q80" s="37">
        <v>124137</v>
      </c>
      <c r="R80" s="37">
        <v>657045</v>
      </c>
      <c r="S80" s="37">
        <v>686870</v>
      </c>
      <c r="T80" s="40"/>
      <c r="U80" s="37">
        <v>828200</v>
      </c>
      <c r="V80" s="37">
        <v>0</v>
      </c>
      <c r="W80" s="45">
        <f t="shared" si="4"/>
        <v>3021612</v>
      </c>
      <c r="X80" s="46">
        <f t="shared" si="5"/>
        <v>8.234091667273594</v>
      </c>
    </row>
    <row r="81" spans="1:24" s="4" customFormat="1" ht="15" customHeight="1">
      <c r="A81" s="28" t="s">
        <v>63</v>
      </c>
      <c r="B81" s="29">
        <v>3169.6</v>
      </c>
      <c r="C81" s="30" t="s">
        <v>166</v>
      </c>
      <c r="D81" s="2">
        <v>4942955294</v>
      </c>
      <c r="E81" s="2" t="s">
        <v>10</v>
      </c>
      <c r="F81" s="78" t="s">
        <v>167</v>
      </c>
      <c r="G81" s="28" t="s">
        <v>5</v>
      </c>
      <c r="H81" s="2" t="s">
        <v>17</v>
      </c>
      <c r="I81" s="2">
        <v>1</v>
      </c>
      <c r="J81" s="2" t="s">
        <v>168</v>
      </c>
      <c r="K81" s="2">
        <v>31957.200000000001</v>
      </c>
      <c r="L81" s="35">
        <f t="shared" si="3"/>
        <v>101291541.12</v>
      </c>
      <c r="M81" s="36">
        <v>11880</v>
      </c>
      <c r="N81" s="37">
        <v>363891</v>
      </c>
      <c r="O81" s="37">
        <v>521896</v>
      </c>
      <c r="P81" s="37">
        <v>0</v>
      </c>
      <c r="Q81" s="37">
        <v>124137</v>
      </c>
      <c r="R81" s="37">
        <v>861038</v>
      </c>
      <c r="S81" s="37">
        <v>686870</v>
      </c>
      <c r="T81" s="40"/>
      <c r="U81" s="37">
        <v>1400500</v>
      </c>
      <c r="V81" s="37">
        <v>0</v>
      </c>
      <c r="W81" s="45">
        <f t="shared" si="4"/>
        <v>3958332</v>
      </c>
      <c r="X81" s="46">
        <f t="shared" si="5"/>
        <v>3.9078603763275424</v>
      </c>
    </row>
    <row r="82" spans="1:24" s="4" customFormat="1" ht="15" customHeight="1">
      <c r="A82" s="28" t="s">
        <v>63</v>
      </c>
      <c r="B82" s="29">
        <v>3169.6</v>
      </c>
      <c r="C82" s="30" t="s">
        <v>169</v>
      </c>
      <c r="D82" s="2">
        <v>4947306166</v>
      </c>
      <c r="E82" s="2" t="s">
        <v>36</v>
      </c>
      <c r="F82" s="78" t="s">
        <v>170</v>
      </c>
      <c r="G82" s="28" t="s">
        <v>5</v>
      </c>
      <c r="H82" s="2" t="s">
        <v>26</v>
      </c>
      <c r="I82" s="2">
        <v>3</v>
      </c>
      <c r="J82" s="2" t="s">
        <v>171</v>
      </c>
      <c r="K82" s="2">
        <v>58804.2</v>
      </c>
      <c r="L82" s="35">
        <f t="shared" si="3"/>
        <v>186385792.31999999</v>
      </c>
      <c r="M82" s="36">
        <v>64620</v>
      </c>
      <c r="N82" s="37">
        <v>965730</v>
      </c>
      <c r="O82" s="37">
        <v>1458990</v>
      </c>
      <c r="P82" s="37">
        <v>3698714</v>
      </c>
      <c r="Q82" s="37">
        <v>372411</v>
      </c>
      <c r="R82" s="37">
        <v>2479055</v>
      </c>
      <c r="S82" s="37">
        <v>343435</v>
      </c>
      <c r="T82" s="40"/>
      <c r="U82" s="37">
        <v>0</v>
      </c>
      <c r="V82" s="37">
        <v>0</v>
      </c>
      <c r="W82" s="45">
        <f t="shared" si="4"/>
        <v>9318335</v>
      </c>
      <c r="X82" s="46">
        <f t="shared" si="5"/>
        <v>4.9994878279142858</v>
      </c>
    </row>
    <row r="83" spans="1:24" s="4" customFormat="1" ht="15" customHeight="1">
      <c r="A83" s="28" t="s">
        <v>63</v>
      </c>
      <c r="B83" s="29">
        <v>3169.6</v>
      </c>
      <c r="C83" s="30" t="s">
        <v>172</v>
      </c>
      <c r="D83" s="2">
        <v>4947250737</v>
      </c>
      <c r="E83" s="2" t="s">
        <v>36</v>
      </c>
      <c r="F83" s="78" t="s">
        <v>173</v>
      </c>
      <c r="G83" s="28" t="s">
        <v>5</v>
      </c>
      <c r="H83" s="2" t="s">
        <v>26</v>
      </c>
      <c r="I83" s="2">
        <v>2</v>
      </c>
      <c r="J83" s="2" t="s">
        <v>174</v>
      </c>
      <c r="K83" s="2">
        <v>71030.7</v>
      </c>
      <c r="L83" s="35">
        <f t="shared" si="3"/>
        <v>225138906.72</v>
      </c>
      <c r="M83" s="36">
        <v>39770.980000000003</v>
      </c>
      <c r="N83" s="37">
        <v>650323</v>
      </c>
      <c r="O83" s="37">
        <v>780648</v>
      </c>
      <c r="P83" s="37">
        <v>1820905</v>
      </c>
      <c r="Q83" s="37">
        <v>198619</v>
      </c>
      <c r="R83" s="37">
        <v>1225999</v>
      </c>
      <c r="S83" s="37">
        <v>343435</v>
      </c>
      <c r="T83" s="40"/>
      <c r="U83" s="37">
        <v>0</v>
      </c>
      <c r="V83" s="37">
        <v>0</v>
      </c>
      <c r="W83" s="45">
        <f t="shared" si="4"/>
        <v>5019929</v>
      </c>
      <c r="X83" s="46">
        <f t="shared" si="5"/>
        <v>2.229703018964718</v>
      </c>
    </row>
    <row r="84" spans="1:24" s="4" customFormat="1" ht="15" customHeight="1">
      <c r="A84" s="28" t="s">
        <v>63</v>
      </c>
      <c r="B84" s="29">
        <v>3169.6</v>
      </c>
      <c r="C84" s="30" t="s">
        <v>175</v>
      </c>
      <c r="D84" s="2">
        <v>4946209936</v>
      </c>
      <c r="E84" s="2" t="s">
        <v>10</v>
      </c>
      <c r="F84" s="78" t="s">
        <v>176</v>
      </c>
      <c r="G84" s="28" t="s">
        <v>5</v>
      </c>
      <c r="H84" s="2" t="s">
        <v>17</v>
      </c>
      <c r="I84" s="2">
        <v>1</v>
      </c>
      <c r="J84" s="2" t="s">
        <v>177</v>
      </c>
      <c r="K84" s="2">
        <v>9300</v>
      </c>
      <c r="L84" s="35">
        <f t="shared" si="3"/>
        <v>29477280</v>
      </c>
      <c r="M84" s="36">
        <f>2500+3000+500</f>
        <v>6000</v>
      </c>
      <c r="N84" s="37">
        <v>330482</v>
      </c>
      <c r="O84" s="37">
        <v>521896</v>
      </c>
      <c r="P84" s="37">
        <v>385562</v>
      </c>
      <c r="Q84" s="37">
        <v>124137</v>
      </c>
      <c r="R84" s="37">
        <v>1000454</v>
      </c>
      <c r="S84" s="37">
        <v>686870</v>
      </c>
      <c r="T84" s="40"/>
      <c r="U84" s="37">
        <v>1400500</v>
      </c>
      <c r="V84" s="37">
        <v>0</v>
      </c>
      <c r="W84" s="45">
        <f t="shared" si="4"/>
        <v>4449901</v>
      </c>
      <c r="X84" s="46">
        <f t="shared" si="5"/>
        <v>15.096036676382624</v>
      </c>
    </row>
    <row r="85" spans="1:24" s="4" customFormat="1" ht="15" customHeight="1">
      <c r="A85" s="28" t="s">
        <v>63</v>
      </c>
      <c r="B85" s="29">
        <v>3169.6</v>
      </c>
      <c r="C85" s="30" t="s">
        <v>178</v>
      </c>
      <c r="D85" s="2" t="s">
        <v>179</v>
      </c>
      <c r="E85" s="2" t="s">
        <v>36</v>
      </c>
      <c r="F85" s="2" t="s">
        <v>180</v>
      </c>
      <c r="G85" s="28" t="s">
        <v>5</v>
      </c>
      <c r="H85" s="2" t="s">
        <v>26</v>
      </c>
      <c r="I85" s="2">
        <v>3</v>
      </c>
      <c r="J85" s="2" t="s">
        <v>181</v>
      </c>
      <c r="K85" s="2">
        <v>52261.2</v>
      </c>
      <c r="L85" s="35">
        <f t="shared" si="3"/>
        <v>165647099.51999998</v>
      </c>
      <c r="M85" s="36">
        <v>64520</v>
      </c>
      <c r="N85" s="37">
        <v>978056</v>
      </c>
      <c r="O85" s="37">
        <v>1458990</v>
      </c>
      <c r="P85" s="37">
        <v>1426331</v>
      </c>
      <c r="Q85" s="37">
        <v>372411</v>
      </c>
      <c r="R85" s="37">
        <v>2688955</v>
      </c>
      <c r="S85" s="37">
        <v>343435</v>
      </c>
      <c r="T85" s="40"/>
      <c r="U85" s="37">
        <v>0</v>
      </c>
      <c r="V85" s="37">
        <v>0</v>
      </c>
      <c r="W85" s="45">
        <f t="shared" si="4"/>
        <v>7268178</v>
      </c>
      <c r="X85" s="46">
        <f t="shared" si="5"/>
        <v>4.3877484248508987</v>
      </c>
    </row>
    <row r="86" spans="1:24" s="4" customFormat="1" ht="15" customHeight="1">
      <c r="A86" s="28" t="s">
        <v>63</v>
      </c>
      <c r="B86" s="29">
        <v>3169.6</v>
      </c>
      <c r="C86" s="30" t="s">
        <v>182</v>
      </c>
      <c r="D86" s="2">
        <v>4946041800</v>
      </c>
      <c r="E86" s="2" t="s">
        <v>36</v>
      </c>
      <c r="F86" s="78" t="s">
        <v>183</v>
      </c>
      <c r="G86" s="28" t="s">
        <v>5</v>
      </c>
      <c r="H86" s="2" t="s">
        <v>26</v>
      </c>
      <c r="I86" s="2">
        <v>4</v>
      </c>
      <c r="J86" s="2" t="s">
        <v>184</v>
      </c>
      <c r="K86" s="2">
        <v>82146.8</v>
      </c>
      <c r="L86" s="35">
        <f t="shared" si="3"/>
        <v>260372497.28</v>
      </c>
      <c r="M86" s="36">
        <v>89290</v>
      </c>
      <c r="N86" s="37">
        <v>1304074</v>
      </c>
      <c r="O86" s="37">
        <v>1945300</v>
      </c>
      <c r="P86" s="37">
        <v>2282129</v>
      </c>
      <c r="Q86" s="37">
        <v>496548</v>
      </c>
      <c r="R86" s="37">
        <v>3586774</v>
      </c>
      <c r="S86" s="37">
        <v>343435</v>
      </c>
      <c r="T86" s="40"/>
      <c r="U86" s="37">
        <v>0</v>
      </c>
      <c r="V86" s="37">
        <v>0</v>
      </c>
      <c r="W86" s="45">
        <f t="shared" si="4"/>
        <v>9958260</v>
      </c>
      <c r="X86" s="46">
        <f t="shared" si="5"/>
        <v>3.8246205355902325</v>
      </c>
    </row>
    <row r="87" spans="1:24" s="4" customFormat="1" ht="15" customHeight="1">
      <c r="A87" s="28" t="s">
        <v>63</v>
      </c>
      <c r="B87" s="29">
        <v>3169.6</v>
      </c>
      <c r="C87" s="30" t="s">
        <v>185</v>
      </c>
      <c r="D87" s="2">
        <v>4947306164</v>
      </c>
      <c r="E87" s="2" t="s">
        <v>36</v>
      </c>
      <c r="F87" s="78" t="s">
        <v>186</v>
      </c>
      <c r="G87" s="28" t="s">
        <v>5</v>
      </c>
      <c r="H87" s="2" t="s">
        <v>26</v>
      </c>
      <c r="I87" s="2">
        <v>4</v>
      </c>
      <c r="J87" s="2" t="s">
        <v>187</v>
      </c>
      <c r="K87" s="2">
        <v>78496.600000000006</v>
      </c>
      <c r="L87" s="35">
        <f t="shared" si="3"/>
        <v>248802823.36000001</v>
      </c>
      <c r="M87" s="36">
        <v>86260</v>
      </c>
      <c r="N87" s="37">
        <v>323221.68003709702</v>
      </c>
      <c r="O87" s="37">
        <v>1945300</v>
      </c>
      <c r="P87" s="37">
        <v>565637.81613725901</v>
      </c>
      <c r="Q87" s="37">
        <v>496548</v>
      </c>
      <c r="R87" s="37">
        <v>889000.70415024296</v>
      </c>
      <c r="S87" s="37">
        <v>85122.192209598899</v>
      </c>
      <c r="T87" s="40"/>
      <c r="U87" s="37">
        <v>0</v>
      </c>
      <c r="V87" s="37">
        <v>0</v>
      </c>
      <c r="W87" s="45">
        <f t="shared" si="4"/>
        <v>4304830.3925341973</v>
      </c>
      <c r="X87" s="46">
        <f t="shared" si="5"/>
        <v>1.7302176616803957</v>
      </c>
    </row>
    <row r="88" spans="1:24" s="4" customFormat="1" ht="15" customHeight="1">
      <c r="A88" s="28" t="s">
        <v>63</v>
      </c>
      <c r="B88" s="29">
        <v>3169.6</v>
      </c>
      <c r="C88" s="30" t="s">
        <v>188</v>
      </c>
      <c r="D88" s="2" t="s">
        <v>189</v>
      </c>
      <c r="E88" s="2" t="s">
        <v>36</v>
      </c>
      <c r="F88" s="78" t="s">
        <v>190</v>
      </c>
      <c r="G88" s="28" t="s">
        <v>5</v>
      </c>
      <c r="H88" s="2" t="s">
        <v>26</v>
      </c>
      <c r="I88" s="2">
        <v>1</v>
      </c>
      <c r="J88" s="2" t="s">
        <v>191</v>
      </c>
      <c r="K88" s="2">
        <v>19565</v>
      </c>
      <c r="L88" s="35">
        <f t="shared" si="3"/>
        <v>62013224</v>
      </c>
      <c r="M88" s="36">
        <v>21500</v>
      </c>
      <c r="N88" s="37">
        <v>322758</v>
      </c>
      <c r="O88" s="37">
        <v>390324</v>
      </c>
      <c r="P88" s="37">
        <v>570532</v>
      </c>
      <c r="Q88" s="37">
        <v>99309</v>
      </c>
      <c r="R88" s="37">
        <v>825014</v>
      </c>
      <c r="S88" s="37">
        <v>343435</v>
      </c>
      <c r="T88" s="40"/>
      <c r="U88" s="37">
        <v>0</v>
      </c>
      <c r="V88" s="37">
        <v>0</v>
      </c>
      <c r="W88" s="45">
        <f t="shared" si="4"/>
        <v>2551372</v>
      </c>
      <c r="X88" s="46">
        <f t="shared" si="5"/>
        <v>4.1142386017537165</v>
      </c>
    </row>
    <row r="89" spans="1:24" s="4" customFormat="1" ht="15" customHeight="1">
      <c r="A89" s="28" t="s">
        <v>63</v>
      </c>
      <c r="B89" s="29">
        <v>3169.6</v>
      </c>
      <c r="C89" s="30" t="s">
        <v>192</v>
      </c>
      <c r="D89" s="2">
        <v>4945321258</v>
      </c>
      <c r="E89" s="2" t="s">
        <v>36</v>
      </c>
      <c r="F89" s="2" t="s">
        <v>193</v>
      </c>
      <c r="G89" s="28" t="s">
        <v>5</v>
      </c>
      <c r="H89" s="2" t="s">
        <v>26</v>
      </c>
      <c r="I89" s="2">
        <v>2</v>
      </c>
      <c r="J89" s="2" t="s">
        <v>194</v>
      </c>
      <c r="K89" s="2">
        <v>179491.94</v>
      </c>
      <c r="L89" s="35">
        <f t="shared" si="3"/>
        <v>568917653.02400005</v>
      </c>
      <c r="M89" s="36">
        <v>49858.87</v>
      </c>
      <c r="N89" s="37">
        <v>605536</v>
      </c>
      <c r="O89" s="37">
        <v>780648</v>
      </c>
      <c r="P89" s="37">
        <v>3492645</v>
      </c>
      <c r="Q89" s="37">
        <v>198619</v>
      </c>
      <c r="R89" s="37">
        <v>1623247</v>
      </c>
      <c r="S89" s="37">
        <v>343435</v>
      </c>
      <c r="T89" s="40"/>
      <c r="U89" s="37">
        <v>0</v>
      </c>
      <c r="V89" s="37">
        <v>0</v>
      </c>
      <c r="W89" s="45">
        <f t="shared" si="4"/>
        <v>7044130</v>
      </c>
      <c r="X89" s="46">
        <f t="shared" si="5"/>
        <v>1.2381633726002241</v>
      </c>
    </row>
    <row r="90" spans="1:24" s="4" customFormat="1" ht="15" customHeight="1">
      <c r="A90" s="28" t="s">
        <v>63</v>
      </c>
      <c r="B90" s="29">
        <v>3169.6</v>
      </c>
      <c r="C90" s="30" t="s">
        <v>195</v>
      </c>
      <c r="D90" s="2">
        <v>4945988462</v>
      </c>
      <c r="E90" s="2" t="s">
        <v>36</v>
      </c>
      <c r="F90" s="2" t="s">
        <v>196</v>
      </c>
      <c r="G90" s="28" t="s">
        <v>5</v>
      </c>
      <c r="H90" s="2" t="s">
        <v>26</v>
      </c>
      <c r="I90" s="2">
        <v>2</v>
      </c>
      <c r="J90" s="2" t="s">
        <v>197</v>
      </c>
      <c r="K90" s="2">
        <v>173950.86</v>
      </c>
      <c r="L90" s="35">
        <f t="shared" si="3"/>
        <v>551354645.85599995</v>
      </c>
      <c r="M90" s="36">
        <v>49985.88</v>
      </c>
      <c r="N90" s="37">
        <v>593496</v>
      </c>
      <c r="O90" s="37">
        <v>780648</v>
      </c>
      <c r="P90" s="37">
        <v>3243159</v>
      </c>
      <c r="Q90" s="37">
        <v>198619</v>
      </c>
      <c r="R90" s="37">
        <v>1603257</v>
      </c>
      <c r="S90" s="37">
        <v>343435</v>
      </c>
      <c r="T90" s="40"/>
      <c r="U90" s="37">
        <v>0</v>
      </c>
      <c r="V90" s="37">
        <v>0</v>
      </c>
      <c r="W90" s="45">
        <f t="shared" si="4"/>
        <v>6762614</v>
      </c>
      <c r="X90" s="46">
        <f t="shared" si="5"/>
        <v>1.226545210206903</v>
      </c>
    </row>
    <row r="91" spans="1:24" s="4" customFormat="1" ht="15" customHeight="1">
      <c r="A91" s="28" t="s">
        <v>63</v>
      </c>
      <c r="B91" s="29">
        <v>3169.6</v>
      </c>
      <c r="C91" s="30" t="s">
        <v>198</v>
      </c>
      <c r="D91" s="2">
        <v>4945988463</v>
      </c>
      <c r="E91" s="2" t="s">
        <v>36</v>
      </c>
      <c r="F91" s="2" t="s">
        <v>199</v>
      </c>
      <c r="G91" s="28" t="s">
        <v>5</v>
      </c>
      <c r="H91" s="2" t="s">
        <v>26</v>
      </c>
      <c r="I91" s="2">
        <v>2</v>
      </c>
      <c r="J91" s="2" t="s">
        <v>200</v>
      </c>
      <c r="K91" s="2">
        <v>174203.42</v>
      </c>
      <c r="L91" s="35">
        <f t="shared" si="3"/>
        <v>552155160.03200006</v>
      </c>
      <c r="M91" s="36">
        <v>50058.45</v>
      </c>
      <c r="N91" s="37">
        <v>593496</v>
      </c>
      <c r="O91" s="37">
        <v>780648</v>
      </c>
      <c r="P91" s="37">
        <v>3243159</v>
      </c>
      <c r="Q91" s="37">
        <v>198619</v>
      </c>
      <c r="R91" s="37">
        <v>1603257</v>
      </c>
      <c r="S91" s="37">
        <v>343435</v>
      </c>
      <c r="T91" s="40"/>
      <c r="U91" s="37">
        <v>0</v>
      </c>
      <c r="V91" s="37">
        <v>0</v>
      </c>
      <c r="W91" s="45">
        <f t="shared" si="4"/>
        <v>6762614</v>
      </c>
      <c r="X91" s="46">
        <f t="shared" si="5"/>
        <v>1.2247669657941935</v>
      </c>
    </row>
    <row r="92" spans="1:24" s="4" customFormat="1" ht="15" customHeight="1">
      <c r="A92" s="28" t="s">
        <v>63</v>
      </c>
      <c r="B92" s="29">
        <v>3169.6</v>
      </c>
      <c r="C92" s="30" t="s">
        <v>201</v>
      </c>
      <c r="D92" s="2">
        <v>4945321259</v>
      </c>
      <c r="E92" s="2" t="s">
        <v>36</v>
      </c>
      <c r="F92" s="2" t="s">
        <v>202</v>
      </c>
      <c r="G92" s="28" t="s">
        <v>5</v>
      </c>
      <c r="H92" s="2" t="s">
        <v>26</v>
      </c>
      <c r="I92" s="2">
        <v>2</v>
      </c>
      <c r="J92" s="2" t="s">
        <v>203</v>
      </c>
      <c r="K92" s="2">
        <v>179981.83</v>
      </c>
      <c r="L92" s="35">
        <f t="shared" si="3"/>
        <v>570470408.36799991</v>
      </c>
      <c r="M92" s="36">
        <v>49994</v>
      </c>
      <c r="N92" s="37">
        <v>605536</v>
      </c>
      <c r="O92" s="37">
        <v>780648</v>
      </c>
      <c r="P92" s="37">
        <v>3492645</v>
      </c>
      <c r="Q92" s="37">
        <v>198619</v>
      </c>
      <c r="R92" s="37">
        <v>1623247</v>
      </c>
      <c r="S92" s="37">
        <v>343435</v>
      </c>
      <c r="T92" s="40"/>
      <c r="U92" s="37">
        <v>0</v>
      </c>
      <c r="V92" s="37">
        <v>0</v>
      </c>
      <c r="W92" s="45">
        <f t="shared" si="4"/>
        <v>7044130</v>
      </c>
      <c r="X92" s="46">
        <f t="shared" si="5"/>
        <v>1.2347932332111364</v>
      </c>
    </row>
    <row r="93" spans="1:24" s="4" customFormat="1" ht="15" customHeight="1">
      <c r="A93" s="28" t="s">
        <v>63</v>
      </c>
      <c r="B93" s="29">
        <v>3169.6</v>
      </c>
      <c r="C93" s="30" t="s">
        <v>204</v>
      </c>
      <c r="D93" s="2">
        <v>4947612650</v>
      </c>
      <c r="E93" s="2" t="s">
        <v>14</v>
      </c>
      <c r="F93" s="78" t="s">
        <v>205</v>
      </c>
      <c r="G93" s="28" t="s">
        <v>5</v>
      </c>
      <c r="H93" s="2" t="s">
        <v>17</v>
      </c>
      <c r="I93" s="2">
        <v>1</v>
      </c>
      <c r="J93" s="2" t="s">
        <v>206</v>
      </c>
      <c r="K93" s="2">
        <v>429</v>
      </c>
      <c r="L93" s="35">
        <f t="shared" si="3"/>
        <v>1359758.4</v>
      </c>
      <c r="M93" s="36">
        <v>50</v>
      </c>
      <c r="N93" s="37">
        <v>1512.2508038585199</v>
      </c>
      <c r="O93" s="37">
        <v>1346.52090032154</v>
      </c>
      <c r="P93" s="37">
        <v>0</v>
      </c>
      <c r="Q93" s="37">
        <v>319.32154340836001</v>
      </c>
      <c r="R93" s="37">
        <f>2207.27652733119+643</f>
        <v>2850.2765273311902</v>
      </c>
      <c r="S93" s="37">
        <v>1104.29260450161</v>
      </c>
      <c r="T93" s="40">
        <v>30000</v>
      </c>
      <c r="U93" s="37">
        <v>15374.7588424437</v>
      </c>
      <c r="V93" s="37">
        <v>4056.3408360128601</v>
      </c>
      <c r="W93" s="45">
        <f t="shared" si="4"/>
        <v>56563.762057877779</v>
      </c>
      <c r="X93" s="46">
        <f t="shared" si="5"/>
        <v>4.1598391345019667</v>
      </c>
    </row>
    <row r="94" spans="1:24" s="4" customFormat="1" ht="15" customHeight="1">
      <c r="A94" s="28" t="s">
        <v>63</v>
      </c>
      <c r="B94" s="29">
        <v>3169.6</v>
      </c>
      <c r="C94" s="30" t="s">
        <v>204</v>
      </c>
      <c r="D94" s="2">
        <v>4947217696</v>
      </c>
      <c r="E94" s="2" t="s">
        <v>14</v>
      </c>
      <c r="F94" s="78" t="s">
        <v>205</v>
      </c>
      <c r="G94" s="28" t="s">
        <v>5</v>
      </c>
      <c r="H94" s="2" t="s">
        <v>17</v>
      </c>
      <c r="I94" s="2">
        <v>1</v>
      </c>
      <c r="J94" s="2" t="s">
        <v>206</v>
      </c>
      <c r="K94" s="2">
        <v>3561.6</v>
      </c>
      <c r="L94" s="35">
        <f t="shared" si="3"/>
        <v>11288847.359999999</v>
      </c>
      <c r="M94" s="36">
        <v>840</v>
      </c>
      <c r="N94" s="37">
        <v>25405.813504823102</v>
      </c>
      <c r="O94" s="37">
        <v>22621.5511254019</v>
      </c>
      <c r="P94" s="37">
        <v>0</v>
      </c>
      <c r="Q94" s="37">
        <v>5364.6019292604497</v>
      </c>
      <c r="R94" s="37">
        <f>37082.245659164+10804</f>
        <v>47886.245659164</v>
      </c>
      <c r="S94" s="37">
        <v>18552.115755627001</v>
      </c>
      <c r="T94" s="40">
        <v>30000</v>
      </c>
      <c r="U94" s="37">
        <v>258295.948553055</v>
      </c>
      <c r="V94" s="37">
        <v>68146.5260450161</v>
      </c>
      <c r="W94" s="45">
        <f t="shared" si="4"/>
        <v>476272.80257234757</v>
      </c>
      <c r="X94" s="46">
        <f t="shared" si="5"/>
        <v>4.2189675117756886</v>
      </c>
    </row>
    <row r="95" spans="1:24" s="4" customFormat="1" ht="15" customHeight="1">
      <c r="A95" s="28" t="s">
        <v>63</v>
      </c>
      <c r="B95" s="29">
        <v>3169.6</v>
      </c>
      <c r="C95" s="30" t="s">
        <v>204</v>
      </c>
      <c r="D95" s="2">
        <v>4947217696</v>
      </c>
      <c r="E95" s="2" t="s">
        <v>14</v>
      </c>
      <c r="F95" s="78" t="s">
        <v>205</v>
      </c>
      <c r="G95" s="28" t="s">
        <v>5</v>
      </c>
      <c r="H95" s="2" t="s">
        <v>17</v>
      </c>
      <c r="I95" s="2">
        <v>1</v>
      </c>
      <c r="J95" s="2" t="s">
        <v>206</v>
      </c>
      <c r="K95" s="2">
        <v>2646</v>
      </c>
      <c r="L95" s="35">
        <f t="shared" si="3"/>
        <v>8386761.5999999996</v>
      </c>
      <c r="M95" s="36">
        <v>840</v>
      </c>
      <c r="N95" s="37">
        <v>25405.813504823102</v>
      </c>
      <c r="O95" s="37">
        <v>22621.5511254019</v>
      </c>
      <c r="P95" s="37">
        <v>0</v>
      </c>
      <c r="Q95" s="37">
        <v>5364.6019292604497</v>
      </c>
      <c r="R95" s="37">
        <f>37082.245659164+10804</f>
        <v>47886.245659164</v>
      </c>
      <c r="S95" s="37">
        <v>18552.115755627001</v>
      </c>
      <c r="T95" s="40">
        <v>30000</v>
      </c>
      <c r="U95" s="37">
        <v>258295.948553055</v>
      </c>
      <c r="V95" s="37">
        <v>68146.5260450161</v>
      </c>
      <c r="W95" s="45">
        <f t="shared" si="4"/>
        <v>476272.80257234757</v>
      </c>
      <c r="X95" s="46">
        <f t="shared" si="5"/>
        <v>5.6788642063266419</v>
      </c>
    </row>
    <row r="96" spans="1:24" s="4" customFormat="1" ht="15" customHeight="1">
      <c r="A96" s="28" t="s">
        <v>63</v>
      </c>
      <c r="B96" s="29">
        <v>3169.6</v>
      </c>
      <c r="C96" s="30" t="s">
        <v>204</v>
      </c>
      <c r="D96" s="2">
        <v>4947219364</v>
      </c>
      <c r="E96" s="2" t="s">
        <v>14</v>
      </c>
      <c r="F96" s="78" t="s">
        <v>205</v>
      </c>
      <c r="G96" s="28" t="s">
        <v>5</v>
      </c>
      <c r="H96" s="2" t="s">
        <v>17</v>
      </c>
      <c r="I96" s="2">
        <v>1</v>
      </c>
      <c r="J96" s="2" t="s">
        <v>206</v>
      </c>
      <c r="K96" s="2">
        <v>4000.5</v>
      </c>
      <c r="L96" s="35">
        <f t="shared" si="3"/>
        <v>12679984.799999999</v>
      </c>
      <c r="M96" s="36">
        <v>1050</v>
      </c>
      <c r="N96" s="37">
        <v>31757.2668810289</v>
      </c>
      <c r="O96" s="37">
        <v>28276.938906752399</v>
      </c>
      <c r="P96" s="37">
        <v>0</v>
      </c>
      <c r="Q96" s="37">
        <v>6705.7524115755596</v>
      </c>
      <c r="R96" s="37">
        <f>46352.807073955+13505</f>
        <v>59857.807073955002</v>
      </c>
      <c r="S96" s="37">
        <v>23190.144694533799</v>
      </c>
      <c r="T96" s="40">
        <v>30000</v>
      </c>
      <c r="U96" s="37">
        <v>322869.93569131801</v>
      </c>
      <c r="V96" s="37">
        <v>85183.157556270104</v>
      </c>
      <c r="W96" s="45">
        <f t="shared" si="4"/>
        <v>587841.0032154338</v>
      </c>
      <c r="X96" s="46">
        <f t="shared" si="5"/>
        <v>4.6359756142249786</v>
      </c>
    </row>
    <row r="97" spans="1:24" s="4" customFormat="1" ht="15" customHeight="1">
      <c r="A97" s="28" t="s">
        <v>63</v>
      </c>
      <c r="B97" s="29">
        <v>3169.6</v>
      </c>
      <c r="C97" s="30" t="s">
        <v>204</v>
      </c>
      <c r="D97" s="2">
        <v>4947219364</v>
      </c>
      <c r="E97" s="2" t="s">
        <v>14</v>
      </c>
      <c r="F97" s="78" t="s">
        <v>205</v>
      </c>
      <c r="G97" s="28" t="s">
        <v>5</v>
      </c>
      <c r="H97" s="2" t="s">
        <v>17</v>
      </c>
      <c r="I97" s="2">
        <v>1</v>
      </c>
      <c r="J97" s="2" t="s">
        <v>206</v>
      </c>
      <c r="K97" s="2">
        <v>4032</v>
      </c>
      <c r="L97" s="35">
        <f t="shared" si="3"/>
        <v>12779827.199999999</v>
      </c>
      <c r="M97" s="36">
        <v>1600</v>
      </c>
      <c r="N97" s="37">
        <v>48392.025723472703</v>
      </c>
      <c r="O97" s="37">
        <v>43088.668810289397</v>
      </c>
      <c r="P97" s="37">
        <v>0</v>
      </c>
      <c r="Q97" s="37">
        <v>10218.2893890675</v>
      </c>
      <c r="R97" s="37">
        <f>70632.8488745981+20579</f>
        <v>91211.848874598101</v>
      </c>
      <c r="S97" s="37">
        <v>35337.363344051402</v>
      </c>
      <c r="T97" s="40">
        <v>30000</v>
      </c>
      <c r="U97" s="37">
        <v>491992.28295819898</v>
      </c>
      <c r="V97" s="37">
        <v>129802.906752412</v>
      </c>
      <c r="W97" s="45">
        <f t="shared" si="4"/>
        <v>880043.38585209008</v>
      </c>
      <c r="X97" s="46">
        <f t="shared" si="5"/>
        <v>6.8861915899151613</v>
      </c>
    </row>
    <row r="98" spans="1:24" s="4" customFormat="1" ht="15" customHeight="1">
      <c r="A98" s="28" t="s">
        <v>63</v>
      </c>
      <c r="B98" s="29">
        <v>3169.6</v>
      </c>
      <c r="C98" s="30" t="s">
        <v>204</v>
      </c>
      <c r="D98" s="2">
        <v>4947219364</v>
      </c>
      <c r="E98" s="2" t="s">
        <v>14</v>
      </c>
      <c r="F98" s="78" t="s">
        <v>205</v>
      </c>
      <c r="G98" s="28" t="s">
        <v>5</v>
      </c>
      <c r="H98" s="2" t="s">
        <v>17</v>
      </c>
      <c r="I98" s="2">
        <v>1</v>
      </c>
      <c r="J98" s="2" t="s">
        <v>206</v>
      </c>
      <c r="K98" s="2">
        <v>3036</v>
      </c>
      <c r="L98" s="35">
        <f t="shared" si="3"/>
        <v>9622905.5999999996</v>
      </c>
      <c r="M98" s="36">
        <v>600</v>
      </c>
      <c r="N98" s="37">
        <v>18147.0096463023</v>
      </c>
      <c r="O98" s="37">
        <v>16158.2508038585</v>
      </c>
      <c r="P98" s="37">
        <v>0</v>
      </c>
      <c r="Q98" s="37">
        <v>3831.8585209003199</v>
      </c>
      <c r="R98" s="37">
        <f>26487.3183279743+7717</f>
        <v>34204.318327974295</v>
      </c>
      <c r="S98" s="37">
        <v>13251.5112540193</v>
      </c>
      <c r="T98" s="40">
        <v>30000</v>
      </c>
      <c r="U98" s="37">
        <v>184497.10610932499</v>
      </c>
      <c r="V98" s="37">
        <v>48676.090032154301</v>
      </c>
      <c r="W98" s="45">
        <f t="shared" si="4"/>
        <v>348766.14469453396</v>
      </c>
      <c r="X98" s="46">
        <f t="shared" si="5"/>
        <v>3.6243330153268256</v>
      </c>
    </row>
    <row r="99" spans="1:24" s="4" customFormat="1" ht="15" customHeight="1">
      <c r="A99" s="28" t="s">
        <v>63</v>
      </c>
      <c r="B99" s="29">
        <v>3169.6</v>
      </c>
      <c r="C99" s="30" t="s">
        <v>204</v>
      </c>
      <c r="D99" s="2">
        <v>4947219364</v>
      </c>
      <c r="E99" s="2" t="s">
        <v>14</v>
      </c>
      <c r="F99" s="78" t="s">
        <v>205</v>
      </c>
      <c r="G99" s="28" t="s">
        <v>5</v>
      </c>
      <c r="H99" s="2" t="s">
        <v>17</v>
      </c>
      <c r="I99" s="2">
        <v>1</v>
      </c>
      <c r="J99" s="2" t="s">
        <v>206</v>
      </c>
      <c r="K99" s="2">
        <v>16600.5</v>
      </c>
      <c r="L99" s="35">
        <f t="shared" si="3"/>
        <v>52616944.799999997</v>
      </c>
      <c r="M99" s="36">
        <v>3150</v>
      </c>
      <c r="N99" s="37">
        <v>95271.800643086797</v>
      </c>
      <c r="O99" s="37">
        <v>84830.816720257193</v>
      </c>
      <c r="P99" s="37">
        <v>0</v>
      </c>
      <c r="Q99" s="37">
        <v>20117.257234726701</v>
      </c>
      <c r="R99" s="37">
        <v>179572.42122186499</v>
      </c>
      <c r="S99" s="37">
        <v>69570.4340836013</v>
      </c>
      <c r="T99" s="40">
        <v>30000</v>
      </c>
      <c r="U99" s="37">
        <v>968609.80707395496</v>
      </c>
      <c r="V99" s="37">
        <v>255549.47266880999</v>
      </c>
      <c r="W99" s="45">
        <f t="shared" si="4"/>
        <v>1703522.0096463021</v>
      </c>
      <c r="X99" s="46">
        <f t="shared" si="5"/>
        <v>3.2375920269059453</v>
      </c>
    </row>
    <row r="100" spans="1:24" s="4" customFormat="1" ht="15" customHeight="1">
      <c r="A100" s="28" t="s">
        <v>63</v>
      </c>
      <c r="B100" s="29">
        <v>3169.6</v>
      </c>
      <c r="C100" s="30" t="s">
        <v>204</v>
      </c>
      <c r="D100" s="2">
        <v>4947510913</v>
      </c>
      <c r="E100" s="2" t="s">
        <v>14</v>
      </c>
      <c r="F100" s="78" t="s">
        <v>205</v>
      </c>
      <c r="G100" s="28" t="s">
        <v>5</v>
      </c>
      <c r="H100" s="2" t="s">
        <v>17</v>
      </c>
      <c r="I100" s="2">
        <v>1</v>
      </c>
      <c r="J100" s="2" t="s">
        <v>206</v>
      </c>
      <c r="K100" s="2">
        <v>570</v>
      </c>
      <c r="L100" s="35">
        <f t="shared" si="3"/>
        <v>1806672</v>
      </c>
      <c r="M100" s="36">
        <v>40</v>
      </c>
      <c r="N100" s="37">
        <v>1209.8006430868199</v>
      </c>
      <c r="O100" s="37">
        <v>1077.21672025723</v>
      </c>
      <c r="P100" s="37">
        <v>0</v>
      </c>
      <c r="Q100" s="37">
        <v>255.457234726688</v>
      </c>
      <c r="R100" s="37">
        <f>1765.82122186495+514</f>
        <v>2279.8212218649501</v>
      </c>
      <c r="S100" s="37">
        <v>883.43408360128603</v>
      </c>
      <c r="T100" s="40">
        <v>30000</v>
      </c>
      <c r="U100" s="37">
        <v>12299.807073955</v>
      </c>
      <c r="V100" s="37">
        <v>3245.07266881029</v>
      </c>
      <c r="W100" s="45">
        <f t="shared" si="4"/>
        <v>51250.609646302262</v>
      </c>
      <c r="X100" s="46">
        <f t="shared" si="5"/>
        <v>2.8367412372750707</v>
      </c>
    </row>
    <row r="101" spans="1:24" s="4" customFormat="1" ht="15" customHeight="1">
      <c r="A101" s="28" t="s">
        <v>63</v>
      </c>
      <c r="B101" s="29">
        <v>3169.6</v>
      </c>
      <c r="C101" s="30" t="s">
        <v>204</v>
      </c>
      <c r="D101" s="2">
        <v>4947510913</v>
      </c>
      <c r="E101" s="2" t="s">
        <v>14</v>
      </c>
      <c r="F101" s="78" t="s">
        <v>205</v>
      </c>
      <c r="G101" s="28" t="s">
        <v>5</v>
      </c>
      <c r="H101" s="2" t="s">
        <v>17</v>
      </c>
      <c r="I101" s="2">
        <v>1</v>
      </c>
      <c r="J101" s="2" t="s">
        <v>206</v>
      </c>
      <c r="K101" s="2">
        <v>3430.8</v>
      </c>
      <c r="L101" s="35">
        <f t="shared" si="3"/>
        <v>10874263.68</v>
      </c>
      <c r="M101" s="36">
        <v>360</v>
      </c>
      <c r="N101" s="37">
        <v>10888.2057877813</v>
      </c>
      <c r="O101" s="37">
        <v>9694.9504823151092</v>
      </c>
      <c r="P101" s="37">
        <v>0</v>
      </c>
      <c r="Q101" s="37">
        <v>2299.1151125401898</v>
      </c>
      <c r="R101" s="37">
        <f>15892.3909967846+4630</f>
        <v>20522.390996784598</v>
      </c>
      <c r="S101" s="37">
        <v>7950.9067524115799</v>
      </c>
      <c r="T101" s="40">
        <v>30000</v>
      </c>
      <c r="U101" s="37">
        <v>110698.263665595</v>
      </c>
      <c r="V101" s="37">
        <v>29205.6540192926</v>
      </c>
      <c r="W101" s="45">
        <f t="shared" si="4"/>
        <v>221259.48681672037</v>
      </c>
      <c r="X101" s="46">
        <f t="shared" si="5"/>
        <v>2.0347077588679583</v>
      </c>
    </row>
    <row r="102" spans="1:24" s="4" customFormat="1" ht="15" customHeight="1">
      <c r="A102" s="28" t="s">
        <v>63</v>
      </c>
      <c r="B102" s="29">
        <v>3169.6</v>
      </c>
      <c r="C102" s="30" t="s">
        <v>204</v>
      </c>
      <c r="D102" s="2">
        <v>4945963724</v>
      </c>
      <c r="E102" s="2" t="s">
        <v>14</v>
      </c>
      <c r="F102" s="78" t="s">
        <v>205</v>
      </c>
      <c r="G102" s="28" t="s">
        <v>5</v>
      </c>
      <c r="H102" s="2" t="s">
        <v>17</v>
      </c>
      <c r="I102" s="2">
        <v>1</v>
      </c>
      <c r="J102" s="2" t="s">
        <v>206</v>
      </c>
      <c r="K102" s="2">
        <v>6048</v>
      </c>
      <c r="L102" s="35">
        <f t="shared" si="3"/>
        <v>19169740.800000001</v>
      </c>
      <c r="M102" s="36">
        <v>2520</v>
      </c>
      <c r="N102" s="37">
        <v>136102.57234726701</v>
      </c>
      <c r="O102" s="37">
        <v>67864.653376205795</v>
      </c>
      <c r="P102" s="37">
        <v>0</v>
      </c>
      <c r="Q102" s="37">
        <v>16093.805787781401</v>
      </c>
      <c r="R102" s="37">
        <v>256532.88745980701</v>
      </c>
      <c r="S102" s="37">
        <v>99386.334405144706</v>
      </c>
      <c r="T102" s="40">
        <v>30000</v>
      </c>
      <c r="U102" s="37">
        <v>1383728.29581994</v>
      </c>
      <c r="V102" s="37">
        <v>365070.67524115799</v>
      </c>
      <c r="W102" s="45">
        <f t="shared" si="4"/>
        <v>2354779.2244373038</v>
      </c>
      <c r="X102" s="46">
        <f t="shared" si="5"/>
        <v>12.283834450371408</v>
      </c>
    </row>
    <row r="103" spans="1:24" s="4" customFormat="1" ht="15" customHeight="1">
      <c r="A103" s="28" t="s">
        <v>63</v>
      </c>
      <c r="B103" s="29">
        <v>3169.6</v>
      </c>
      <c r="C103" s="30" t="s">
        <v>204</v>
      </c>
      <c r="D103" s="2">
        <v>4947217695</v>
      </c>
      <c r="E103" s="2" t="s">
        <v>14</v>
      </c>
      <c r="F103" s="78" t="s">
        <v>205</v>
      </c>
      <c r="G103" s="28" t="s">
        <v>5</v>
      </c>
      <c r="H103" s="2" t="s">
        <v>17</v>
      </c>
      <c r="I103" s="2">
        <v>1</v>
      </c>
      <c r="J103" s="2" t="s">
        <v>206</v>
      </c>
      <c r="K103" s="2">
        <v>18900</v>
      </c>
      <c r="L103" s="35">
        <f t="shared" si="3"/>
        <v>59905440</v>
      </c>
      <c r="M103" s="36">
        <f>450+4050</f>
        <v>4500</v>
      </c>
      <c r="N103" s="37">
        <v>76217.440514469505</v>
      </c>
      <c r="O103" s="37">
        <v>121186.88102893899</v>
      </c>
      <c r="P103" s="37">
        <v>0</v>
      </c>
      <c r="Q103" s="37">
        <v>28738.938906752399</v>
      </c>
      <c r="R103" s="37">
        <f>111246.736977492+32412</f>
        <v>143658.73697749199</v>
      </c>
      <c r="S103" s="37">
        <v>55656.347266880999</v>
      </c>
      <c r="T103" s="40">
        <v>30000</v>
      </c>
      <c r="U103" s="37">
        <v>774887.84565916401</v>
      </c>
      <c r="V103" s="37">
        <v>204439.57813504801</v>
      </c>
      <c r="W103" s="45">
        <f t="shared" si="4"/>
        <v>1434785.7684887459</v>
      </c>
      <c r="X103" s="46">
        <f t="shared" si="5"/>
        <v>2.3950842669526273</v>
      </c>
    </row>
    <row r="104" spans="1:24" s="4" customFormat="1" ht="15" customHeight="1">
      <c r="A104" s="28" t="s">
        <v>63</v>
      </c>
      <c r="B104" s="29">
        <v>3169.6</v>
      </c>
      <c r="C104" s="30" t="s">
        <v>207</v>
      </c>
      <c r="D104" s="2">
        <v>4947381299</v>
      </c>
      <c r="E104" s="2" t="s">
        <v>14</v>
      </c>
      <c r="F104" s="78" t="s">
        <v>208</v>
      </c>
      <c r="G104" s="28" t="s">
        <v>5</v>
      </c>
      <c r="H104" s="2" t="s">
        <v>17</v>
      </c>
      <c r="I104" s="2">
        <v>1</v>
      </c>
      <c r="J104" s="2" t="s">
        <v>209</v>
      </c>
      <c r="K104" s="2">
        <v>4312</v>
      </c>
      <c r="L104" s="35">
        <f t="shared" si="3"/>
        <v>13667315.199999999</v>
      </c>
      <c r="M104" s="36">
        <v>800</v>
      </c>
      <c r="N104" s="37">
        <v>13464.265010352001</v>
      </c>
      <c r="O104" s="37">
        <v>17340.2898550725</v>
      </c>
      <c r="P104" s="37">
        <v>0</v>
      </c>
      <c r="Q104" s="37">
        <v>4112.1739130434798</v>
      </c>
      <c r="R104" s="37">
        <f>19182.9399585921+4619</f>
        <v>23801.939958592098</v>
      </c>
      <c r="S104" s="37">
        <v>14220.9109730849</v>
      </c>
      <c r="T104" s="40">
        <v>30000</v>
      </c>
      <c r="U104" s="37">
        <v>206026.915113872</v>
      </c>
      <c r="V104" s="37">
        <v>52236.935817805403</v>
      </c>
      <c r="W104" s="45">
        <f t="shared" si="4"/>
        <v>361203.4306418224</v>
      </c>
      <c r="X104" s="46">
        <f t="shared" si="5"/>
        <v>2.642826519738291</v>
      </c>
    </row>
    <row r="105" spans="1:24" s="4" customFormat="1" ht="15" customHeight="1">
      <c r="A105" s="28" t="s">
        <v>63</v>
      </c>
      <c r="B105" s="29">
        <v>3169.6</v>
      </c>
      <c r="C105" s="30" t="s">
        <v>207</v>
      </c>
      <c r="D105" s="2">
        <v>4946737907</v>
      </c>
      <c r="E105" s="2" t="s">
        <v>14</v>
      </c>
      <c r="F105" s="78" t="s">
        <v>208</v>
      </c>
      <c r="G105" s="28" t="s">
        <v>5</v>
      </c>
      <c r="H105" s="2" t="s">
        <v>17</v>
      </c>
      <c r="I105" s="2">
        <v>1</v>
      </c>
      <c r="J105" s="2" t="s">
        <v>209</v>
      </c>
      <c r="K105" s="2">
        <v>1744.6</v>
      </c>
      <c r="L105" s="35">
        <f t="shared" si="3"/>
        <v>5529684.1599999992</v>
      </c>
      <c r="M105" s="36">
        <v>220</v>
      </c>
      <c r="N105" s="37">
        <v>3702.67287784679</v>
      </c>
      <c r="O105" s="37">
        <v>4768.5797101449298</v>
      </c>
      <c r="P105" s="37">
        <v>0</v>
      </c>
      <c r="Q105" s="37">
        <v>1130.8478260869599</v>
      </c>
      <c r="R105" s="37">
        <f>5275.30848861284+1270</f>
        <v>6545.3084886128399</v>
      </c>
      <c r="S105" s="37">
        <v>3910.7505175983401</v>
      </c>
      <c r="T105" s="40">
        <v>30000</v>
      </c>
      <c r="U105" s="37">
        <v>56657.401656314702</v>
      </c>
      <c r="V105" s="37">
        <v>14365.157349896501</v>
      </c>
      <c r="W105" s="45">
        <f t="shared" si="4"/>
        <v>121080.71842650106</v>
      </c>
      <c r="X105" s="46">
        <f t="shared" si="5"/>
        <v>2.189649804999009</v>
      </c>
    </row>
    <row r="106" spans="1:24" s="4" customFormat="1" ht="15" customHeight="1">
      <c r="A106" s="28" t="s">
        <v>63</v>
      </c>
      <c r="B106" s="29">
        <v>3169.6</v>
      </c>
      <c r="C106" s="30" t="s">
        <v>207</v>
      </c>
      <c r="D106" s="2">
        <v>4947217689</v>
      </c>
      <c r="E106" s="2" t="s">
        <v>14</v>
      </c>
      <c r="F106" s="78" t="s">
        <v>208</v>
      </c>
      <c r="G106" s="28" t="s">
        <v>5</v>
      </c>
      <c r="H106" s="2" t="s">
        <v>17</v>
      </c>
      <c r="I106" s="2">
        <v>1</v>
      </c>
      <c r="J106" s="2" t="s">
        <v>209</v>
      </c>
      <c r="K106" s="2">
        <v>7962</v>
      </c>
      <c r="L106" s="35">
        <f t="shared" si="3"/>
        <v>25236355.199999999</v>
      </c>
      <c r="M106" s="36">
        <v>600</v>
      </c>
      <c r="N106" s="37">
        <v>10098.198757763999</v>
      </c>
      <c r="O106" s="37">
        <v>13005.217391304301</v>
      </c>
      <c r="P106" s="37">
        <v>0</v>
      </c>
      <c r="Q106" s="37">
        <v>3084.1304347826099</v>
      </c>
      <c r="R106" s="37">
        <f>14387.2049689441+3464</f>
        <v>17851.204968944097</v>
      </c>
      <c r="S106" s="37">
        <v>10665.6832298137</v>
      </c>
      <c r="T106" s="40">
        <v>30000</v>
      </c>
      <c r="U106" s="37">
        <v>154520.186335404</v>
      </c>
      <c r="V106" s="37">
        <v>39177.701863353999</v>
      </c>
      <c r="W106" s="45">
        <f t="shared" si="4"/>
        <v>278402.32298136671</v>
      </c>
      <c r="X106" s="46">
        <f t="shared" si="5"/>
        <v>1.1031796025020553</v>
      </c>
    </row>
    <row r="107" spans="1:24" s="4" customFormat="1" ht="15" customHeight="1">
      <c r="A107" s="28" t="s">
        <v>63</v>
      </c>
      <c r="B107" s="29">
        <v>3169.6</v>
      </c>
      <c r="C107" s="30" t="s">
        <v>207</v>
      </c>
      <c r="D107" s="2">
        <v>4947199012</v>
      </c>
      <c r="E107" s="2" t="s">
        <v>14</v>
      </c>
      <c r="F107" s="78" t="s">
        <v>208</v>
      </c>
      <c r="G107" s="28" t="s">
        <v>5</v>
      </c>
      <c r="H107" s="2" t="s">
        <v>17</v>
      </c>
      <c r="I107" s="2">
        <v>1</v>
      </c>
      <c r="J107" s="2" t="s">
        <v>209</v>
      </c>
      <c r="K107" s="2">
        <v>9387</v>
      </c>
      <c r="L107" s="35">
        <f t="shared" si="3"/>
        <v>29753035.199999999</v>
      </c>
      <c r="M107" s="36">
        <v>2100</v>
      </c>
      <c r="N107" s="37">
        <v>35343.695652173898</v>
      </c>
      <c r="O107" s="37">
        <v>45518.260869565202</v>
      </c>
      <c r="P107" s="37">
        <v>0</v>
      </c>
      <c r="Q107" s="37">
        <v>10794.456521739099</v>
      </c>
      <c r="R107" s="37">
        <f>50355.2173913043+12126</f>
        <v>62481.217391304301</v>
      </c>
      <c r="S107" s="37">
        <v>37329.891304347802</v>
      </c>
      <c r="T107" s="40">
        <v>30000</v>
      </c>
      <c r="U107" s="37">
        <v>540820.65217391297</v>
      </c>
      <c r="V107" s="37">
        <v>137121.95652173899</v>
      </c>
      <c r="W107" s="45">
        <f t="shared" si="4"/>
        <v>899410.13043478224</v>
      </c>
      <c r="X107" s="46">
        <f t="shared" si="5"/>
        <v>3.0229189203351674</v>
      </c>
    </row>
    <row r="108" spans="1:24" s="4" customFormat="1" ht="15" customHeight="1">
      <c r="A108" s="28" t="s">
        <v>63</v>
      </c>
      <c r="B108" s="29">
        <v>3169.6</v>
      </c>
      <c r="C108" s="30" t="s">
        <v>207</v>
      </c>
      <c r="D108" s="2">
        <v>4947199012</v>
      </c>
      <c r="E108" s="2" t="s">
        <v>14</v>
      </c>
      <c r="F108" s="78" t="s">
        <v>208</v>
      </c>
      <c r="G108" s="28" t="s">
        <v>5</v>
      </c>
      <c r="H108" s="2" t="s">
        <v>17</v>
      </c>
      <c r="I108" s="2">
        <v>1</v>
      </c>
      <c r="J108" s="2" t="s">
        <v>209</v>
      </c>
      <c r="K108" s="2">
        <v>4422.6000000000004</v>
      </c>
      <c r="L108" s="35">
        <f t="shared" si="3"/>
        <v>14017872.960000001</v>
      </c>
      <c r="M108" s="36">
        <v>1260</v>
      </c>
      <c r="N108" s="37">
        <v>21206.217391304301</v>
      </c>
      <c r="O108" s="37">
        <v>27310.956521739099</v>
      </c>
      <c r="P108" s="37">
        <v>0</v>
      </c>
      <c r="Q108" s="37">
        <v>6476.6739130434798</v>
      </c>
      <c r="R108" s="37">
        <f>30213.1304347826+7275</f>
        <v>37488.130434782601</v>
      </c>
      <c r="S108" s="37">
        <v>22397.9347826087</v>
      </c>
      <c r="T108" s="40">
        <v>30000</v>
      </c>
      <c r="U108" s="37">
        <v>324492.39130434801</v>
      </c>
      <c r="V108" s="37">
        <v>82273.173913043502</v>
      </c>
      <c r="W108" s="45">
        <f t="shared" si="4"/>
        <v>551645.47826086963</v>
      </c>
      <c r="X108" s="46">
        <f t="shared" si="5"/>
        <v>3.9353008822022426</v>
      </c>
    </row>
    <row r="109" spans="1:24" s="4" customFormat="1" ht="15" customHeight="1">
      <c r="A109" s="28" t="s">
        <v>63</v>
      </c>
      <c r="B109" s="29">
        <v>3169.6</v>
      </c>
      <c r="C109" s="30" t="s">
        <v>207</v>
      </c>
      <c r="D109" s="2">
        <v>4947223486</v>
      </c>
      <c r="E109" s="2" t="s">
        <v>14</v>
      </c>
      <c r="F109" s="78" t="s">
        <v>208</v>
      </c>
      <c r="G109" s="28" t="s">
        <v>5</v>
      </c>
      <c r="H109" s="2" t="s">
        <v>17</v>
      </c>
      <c r="I109" s="2">
        <v>1</v>
      </c>
      <c r="J109" s="2" t="s">
        <v>209</v>
      </c>
      <c r="K109" s="2">
        <v>16984</v>
      </c>
      <c r="L109" s="35">
        <f t="shared" si="3"/>
        <v>53832486.399999999</v>
      </c>
      <c r="M109" s="36">
        <v>4400</v>
      </c>
      <c r="N109" s="37">
        <v>74053.457556935798</v>
      </c>
      <c r="O109" s="37">
        <v>95371.594202898603</v>
      </c>
      <c r="P109" s="37">
        <v>0</v>
      </c>
      <c r="Q109" s="37">
        <v>22616.956521739099</v>
      </c>
      <c r="R109" s="37">
        <v>130912.169772257</v>
      </c>
      <c r="S109" s="37">
        <v>78215.010351966906</v>
      </c>
      <c r="T109" s="40">
        <v>30000</v>
      </c>
      <c r="U109" s="37">
        <v>1133148.03312629</v>
      </c>
      <c r="V109" s="37">
        <v>287303.14699793002</v>
      </c>
      <c r="W109" s="45">
        <f t="shared" si="4"/>
        <v>1851620.3685300173</v>
      </c>
      <c r="X109" s="46">
        <f t="shared" si="5"/>
        <v>3.4395965937215514</v>
      </c>
    </row>
    <row r="110" spans="1:24" s="4" customFormat="1" ht="15" customHeight="1">
      <c r="A110" s="28" t="s">
        <v>63</v>
      </c>
      <c r="B110" s="29">
        <v>3169.6</v>
      </c>
      <c r="C110" s="30" t="s">
        <v>207</v>
      </c>
      <c r="D110" s="2">
        <v>4946737902</v>
      </c>
      <c r="E110" s="2" t="s">
        <v>14</v>
      </c>
      <c r="F110" s="78" t="s">
        <v>208</v>
      </c>
      <c r="G110" s="28" t="s">
        <v>5</v>
      </c>
      <c r="H110" s="2" t="s">
        <v>17</v>
      </c>
      <c r="I110" s="2">
        <v>1</v>
      </c>
      <c r="J110" s="2" t="s">
        <v>209</v>
      </c>
      <c r="K110" s="2">
        <v>1860.6</v>
      </c>
      <c r="L110" s="35">
        <f t="shared" si="3"/>
        <v>5897357.7599999998</v>
      </c>
      <c r="M110" s="36">
        <v>420</v>
      </c>
      <c r="N110" s="37">
        <v>7068.7391304347802</v>
      </c>
      <c r="O110" s="37">
        <v>9103.6521739130403</v>
      </c>
      <c r="P110" s="37">
        <v>0</v>
      </c>
      <c r="Q110" s="37">
        <v>2158.8913043478301</v>
      </c>
      <c r="R110" s="37">
        <f>10071.0434782609+2425</f>
        <v>12496.043478260901</v>
      </c>
      <c r="S110" s="37">
        <v>7465.9782608695696</v>
      </c>
      <c r="T110" s="40">
        <v>30000</v>
      </c>
      <c r="U110" s="37">
        <v>108164.130434783</v>
      </c>
      <c r="V110" s="37">
        <v>27424.391304347799</v>
      </c>
      <c r="W110" s="45">
        <f t="shared" si="4"/>
        <v>203881.82608695692</v>
      </c>
      <c r="X110" s="46">
        <f t="shared" si="5"/>
        <v>3.457172421687317</v>
      </c>
    </row>
    <row r="111" spans="1:24" s="4" customFormat="1" ht="15" customHeight="1">
      <c r="A111" s="28" t="s">
        <v>63</v>
      </c>
      <c r="B111" s="29">
        <v>3169.6</v>
      </c>
      <c r="C111" s="30" t="s">
        <v>207</v>
      </c>
      <c r="D111" s="2">
        <v>4947321540</v>
      </c>
      <c r="E111" s="2" t="s">
        <v>14</v>
      </c>
      <c r="F111" s="78" t="s">
        <v>208</v>
      </c>
      <c r="G111" s="28" t="s">
        <v>5</v>
      </c>
      <c r="H111" s="2" t="s">
        <v>17</v>
      </c>
      <c r="I111" s="2">
        <v>1</v>
      </c>
      <c r="J111" s="2" t="s">
        <v>209</v>
      </c>
      <c r="K111" s="2">
        <v>12012</v>
      </c>
      <c r="L111" s="35">
        <f t="shared" si="3"/>
        <v>38073235.199999996</v>
      </c>
      <c r="M111" s="36">
        <v>4620</v>
      </c>
      <c r="N111" s="37">
        <v>77756.130434782594</v>
      </c>
      <c r="O111" s="37">
        <v>100140.17391304301</v>
      </c>
      <c r="P111" s="37">
        <v>0</v>
      </c>
      <c r="Q111" s="37">
        <v>23747.804347826099</v>
      </c>
      <c r="R111" s="37">
        <f>110781.47826087+26676</f>
        <v>137457.47826087</v>
      </c>
      <c r="S111" s="37">
        <v>82125.760869565202</v>
      </c>
      <c r="T111" s="40">
        <v>30000</v>
      </c>
      <c r="U111" s="37">
        <v>1189805.43478261</v>
      </c>
      <c r="V111" s="37">
        <v>301668.30434782599</v>
      </c>
      <c r="W111" s="45">
        <f t="shared" si="4"/>
        <v>1942701.0869565229</v>
      </c>
      <c r="X111" s="46">
        <f t="shared" si="5"/>
        <v>5.1025374564348107</v>
      </c>
    </row>
    <row r="112" spans="1:24" s="4" customFormat="1" ht="15" customHeight="1">
      <c r="A112" s="28" t="s">
        <v>63</v>
      </c>
      <c r="B112" s="29">
        <v>3169.6</v>
      </c>
      <c r="C112" s="30" t="s">
        <v>207</v>
      </c>
      <c r="D112" s="2">
        <v>4945798908</v>
      </c>
      <c r="E112" s="2" t="s">
        <v>14</v>
      </c>
      <c r="F112" s="78" t="s">
        <v>208</v>
      </c>
      <c r="G112" s="28" t="s">
        <v>5</v>
      </c>
      <c r="H112" s="2" t="s">
        <v>17</v>
      </c>
      <c r="I112" s="2">
        <v>1</v>
      </c>
      <c r="J112" s="2" t="s">
        <v>209</v>
      </c>
      <c r="K112" s="2">
        <v>7630</v>
      </c>
      <c r="L112" s="35">
        <f t="shared" si="3"/>
        <v>24184048</v>
      </c>
      <c r="M112" s="36">
        <v>700</v>
      </c>
      <c r="N112" s="37">
        <v>11781.231884057999</v>
      </c>
      <c r="O112" s="37">
        <v>15172.753623188401</v>
      </c>
      <c r="P112" s="37">
        <v>0</v>
      </c>
      <c r="Q112" s="37">
        <v>3598.1521739130399</v>
      </c>
      <c r="R112" s="37">
        <f t="shared" ref="R112:R114" si="6">16785.0724637681+4042</f>
        <v>20827.072463768101</v>
      </c>
      <c r="S112" s="37">
        <v>12443.2971014493</v>
      </c>
      <c r="T112" s="40">
        <v>30000</v>
      </c>
      <c r="U112" s="37">
        <v>180273.55072463799</v>
      </c>
      <c r="V112" s="37">
        <v>45707.318840579697</v>
      </c>
      <c r="W112" s="45">
        <f t="shared" si="4"/>
        <v>319803.37681159453</v>
      </c>
      <c r="X112" s="46">
        <f t="shared" si="5"/>
        <v>1.3223732305344189</v>
      </c>
    </row>
    <row r="113" spans="1:24" s="4" customFormat="1" ht="15" customHeight="1">
      <c r="A113" s="28" t="s">
        <v>63</v>
      </c>
      <c r="B113" s="29">
        <v>3169.6</v>
      </c>
      <c r="C113" s="30" t="s">
        <v>207</v>
      </c>
      <c r="D113" s="2">
        <v>4946111549</v>
      </c>
      <c r="E113" s="2" t="s">
        <v>14</v>
      </c>
      <c r="F113" s="78" t="s">
        <v>208</v>
      </c>
      <c r="G113" s="28" t="s">
        <v>5</v>
      </c>
      <c r="H113" s="2" t="s">
        <v>17</v>
      </c>
      <c r="I113" s="2">
        <v>1</v>
      </c>
      <c r="J113" s="2" t="s">
        <v>209</v>
      </c>
      <c r="K113" s="2">
        <v>7630</v>
      </c>
      <c r="L113" s="35">
        <f t="shared" si="3"/>
        <v>24184048</v>
      </c>
      <c r="M113" s="36">
        <v>700</v>
      </c>
      <c r="N113" s="37">
        <v>11781.231884057999</v>
      </c>
      <c r="O113" s="37">
        <v>15172.753623188401</v>
      </c>
      <c r="P113" s="37">
        <v>0</v>
      </c>
      <c r="Q113" s="37">
        <v>3598.1521739130399</v>
      </c>
      <c r="R113" s="37">
        <f t="shared" si="6"/>
        <v>20827.072463768101</v>
      </c>
      <c r="S113" s="37">
        <v>12443.2971014493</v>
      </c>
      <c r="T113" s="40">
        <v>30000</v>
      </c>
      <c r="U113" s="37">
        <v>180273.55072463799</v>
      </c>
      <c r="V113" s="37">
        <v>45707.318840579697</v>
      </c>
      <c r="W113" s="45">
        <f t="shared" si="4"/>
        <v>319803.37681159453</v>
      </c>
      <c r="X113" s="46">
        <f t="shared" si="5"/>
        <v>1.3223732305344189</v>
      </c>
    </row>
    <row r="114" spans="1:24" s="4" customFormat="1" ht="15" customHeight="1">
      <c r="A114" s="28" t="s">
        <v>63</v>
      </c>
      <c r="B114" s="29">
        <v>3169.6</v>
      </c>
      <c r="C114" s="30" t="s">
        <v>207</v>
      </c>
      <c r="D114" s="2">
        <v>4946386853</v>
      </c>
      <c r="E114" s="2" t="s">
        <v>14</v>
      </c>
      <c r="F114" s="78" t="s">
        <v>208</v>
      </c>
      <c r="G114" s="28" t="s">
        <v>5</v>
      </c>
      <c r="H114" s="2" t="s">
        <v>17</v>
      </c>
      <c r="I114" s="2">
        <v>1</v>
      </c>
      <c r="J114" s="2" t="s">
        <v>209</v>
      </c>
      <c r="K114" s="2">
        <v>7630</v>
      </c>
      <c r="L114" s="35">
        <f t="shared" si="3"/>
        <v>24184048</v>
      </c>
      <c r="M114" s="36">
        <v>700</v>
      </c>
      <c r="N114" s="37">
        <v>11781.231884057999</v>
      </c>
      <c r="O114" s="37">
        <v>15172.753623188401</v>
      </c>
      <c r="P114" s="37">
        <v>0</v>
      </c>
      <c r="Q114" s="37">
        <v>3598.1521739130399</v>
      </c>
      <c r="R114" s="37">
        <f t="shared" si="6"/>
        <v>20827.072463768101</v>
      </c>
      <c r="S114" s="37">
        <v>12443.2971014493</v>
      </c>
      <c r="T114" s="40">
        <v>30000</v>
      </c>
      <c r="U114" s="37">
        <v>180273.55072463799</v>
      </c>
      <c r="V114" s="37">
        <v>45707.318840579697</v>
      </c>
      <c r="W114" s="45">
        <f t="shared" si="4"/>
        <v>319803.37681159453</v>
      </c>
      <c r="X114" s="46">
        <f t="shared" si="5"/>
        <v>1.3223732305344189</v>
      </c>
    </row>
    <row r="115" spans="1:24" s="4" customFormat="1" ht="15" customHeight="1">
      <c r="A115" s="28" t="s">
        <v>63</v>
      </c>
      <c r="B115" s="29">
        <v>3169.6</v>
      </c>
      <c r="C115" s="30" t="s">
        <v>207</v>
      </c>
      <c r="D115" s="2">
        <v>4947322346</v>
      </c>
      <c r="E115" s="2" t="s">
        <v>14</v>
      </c>
      <c r="F115" s="78" t="s">
        <v>208</v>
      </c>
      <c r="G115" s="28" t="s">
        <v>5</v>
      </c>
      <c r="H115" s="2" t="s">
        <v>17</v>
      </c>
      <c r="I115" s="2">
        <v>1</v>
      </c>
      <c r="J115" s="2" t="s">
        <v>209</v>
      </c>
      <c r="K115" s="2">
        <v>11502</v>
      </c>
      <c r="L115" s="35">
        <f t="shared" si="3"/>
        <v>36456739.199999996</v>
      </c>
      <c r="M115" s="36">
        <v>2700</v>
      </c>
      <c r="N115" s="37">
        <v>45441.8944099379</v>
      </c>
      <c r="O115" s="37">
        <v>58523.478260869597</v>
      </c>
      <c r="P115" s="37">
        <v>0</v>
      </c>
      <c r="Q115" s="37">
        <v>13878.5869565217</v>
      </c>
      <c r="R115" s="37">
        <f>64742.4223602483+15590</f>
        <v>80332.422360248311</v>
      </c>
      <c r="S115" s="37">
        <v>47995.574534161497</v>
      </c>
      <c r="T115" s="40">
        <v>30000</v>
      </c>
      <c r="U115" s="37">
        <v>695340.83850931702</v>
      </c>
      <c r="V115" s="37">
        <v>176299.658385093</v>
      </c>
      <c r="W115" s="45">
        <f t="shared" si="4"/>
        <v>1147812.4534161491</v>
      </c>
      <c r="X115" s="46">
        <f t="shared" si="5"/>
        <v>3.1484232506898184</v>
      </c>
    </row>
    <row r="116" spans="1:24" s="4" customFormat="1" ht="15" customHeight="1">
      <c r="A116" s="28" t="s">
        <v>63</v>
      </c>
      <c r="B116" s="29">
        <v>3169.6</v>
      </c>
      <c r="C116" s="30" t="s">
        <v>207</v>
      </c>
      <c r="D116" s="2">
        <v>4947217689</v>
      </c>
      <c r="E116" s="2" t="s">
        <v>14</v>
      </c>
      <c r="F116" s="78" t="s">
        <v>208</v>
      </c>
      <c r="G116" s="28" t="s">
        <v>5</v>
      </c>
      <c r="H116" s="2" t="s">
        <v>17</v>
      </c>
      <c r="I116" s="2">
        <v>1</v>
      </c>
      <c r="J116" s="2" t="s">
        <v>209</v>
      </c>
      <c r="K116" s="2">
        <v>793</v>
      </c>
      <c r="L116" s="35">
        <f t="shared" si="3"/>
        <v>2513492.7999999998</v>
      </c>
      <c r="M116" s="36">
        <v>100</v>
      </c>
      <c r="N116" s="37">
        <v>1683.0331262940001</v>
      </c>
      <c r="O116" s="37">
        <v>2167.5362318840598</v>
      </c>
      <c r="P116" s="37">
        <v>0</v>
      </c>
      <c r="Q116" s="37">
        <v>514.02173913043498</v>
      </c>
      <c r="R116" s="37">
        <f>2397.86749482402+577</f>
        <v>2974.86749482402</v>
      </c>
      <c r="S116" s="37">
        <v>1777.6138716356099</v>
      </c>
      <c r="T116" s="40">
        <v>30000</v>
      </c>
      <c r="U116" s="37">
        <v>25753.364389234001</v>
      </c>
      <c r="V116" s="37">
        <v>6529.6169772256699</v>
      </c>
      <c r="W116" s="45">
        <f t="shared" si="4"/>
        <v>71400.0538302278</v>
      </c>
      <c r="X116" s="46">
        <f t="shared" si="5"/>
        <v>2.8406707124933006</v>
      </c>
    </row>
    <row r="117" spans="1:24" s="4" customFormat="1" ht="15" customHeight="1">
      <c r="A117" s="28" t="s">
        <v>63</v>
      </c>
      <c r="B117" s="29">
        <v>3169.6</v>
      </c>
      <c r="C117" s="30" t="s">
        <v>210</v>
      </c>
      <c r="D117" s="2">
        <v>4947306178</v>
      </c>
      <c r="E117" s="2" t="s">
        <v>18</v>
      </c>
      <c r="F117" s="2" t="s">
        <v>211</v>
      </c>
      <c r="G117" s="28" t="s">
        <v>5</v>
      </c>
      <c r="H117" s="2" t="s">
        <v>17</v>
      </c>
      <c r="I117" s="2">
        <v>1</v>
      </c>
      <c r="J117" s="2" t="s">
        <v>212</v>
      </c>
      <c r="K117" s="2">
        <v>25800</v>
      </c>
      <c r="L117" s="35">
        <f t="shared" si="3"/>
        <v>81775680</v>
      </c>
      <c r="M117" s="36">
        <v>6000</v>
      </c>
      <c r="N117" s="37">
        <v>122056.14250614301</v>
      </c>
      <c r="O117" s="37">
        <v>154337.10073710099</v>
      </c>
      <c r="P117" s="37">
        <v>0</v>
      </c>
      <c r="Q117" s="37">
        <v>36600.368550368497</v>
      </c>
      <c r="R117" s="37">
        <f>201950.491400491+103984</f>
        <v>305934.49140049098</v>
      </c>
      <c r="S117" s="37">
        <v>126573.095823096</v>
      </c>
      <c r="T117" s="40">
        <v>30000</v>
      </c>
      <c r="U117" s="37">
        <v>1762242.01474201</v>
      </c>
      <c r="V117" s="37">
        <v>464934.39803439798</v>
      </c>
      <c r="W117" s="45">
        <f t="shared" si="4"/>
        <v>3002677.6117936075</v>
      </c>
      <c r="X117" s="46">
        <f t="shared" si="5"/>
        <v>3.6718467052717965</v>
      </c>
    </row>
    <row r="118" spans="1:24" s="4" customFormat="1" ht="15" customHeight="1">
      <c r="A118" s="28" t="s">
        <v>63</v>
      </c>
      <c r="B118" s="29">
        <v>3169.6</v>
      </c>
      <c r="C118" s="30" t="s">
        <v>210</v>
      </c>
      <c r="D118" s="2">
        <v>4947219365</v>
      </c>
      <c r="E118" s="2" t="s">
        <v>14</v>
      </c>
      <c r="F118" s="2" t="s">
        <v>211</v>
      </c>
      <c r="G118" s="28" t="s">
        <v>5</v>
      </c>
      <c r="H118" s="2" t="s">
        <v>17</v>
      </c>
      <c r="I118" s="2">
        <v>1</v>
      </c>
      <c r="J118" s="2" t="s">
        <v>212</v>
      </c>
      <c r="K118" s="2">
        <v>10287</v>
      </c>
      <c r="L118" s="35">
        <f t="shared" si="3"/>
        <v>32605675.199999999</v>
      </c>
      <c r="M118" s="36">
        <v>2700</v>
      </c>
      <c r="N118" s="37">
        <v>54925.264127764101</v>
      </c>
      <c r="O118" s="37">
        <v>69451.6953316953</v>
      </c>
      <c r="P118" s="37">
        <v>0</v>
      </c>
      <c r="Q118" s="37">
        <v>16470.165847665801</v>
      </c>
      <c r="R118" s="37">
        <f>90877.7211302211+46793</f>
        <v>137670.72113022109</v>
      </c>
      <c r="S118" s="37">
        <v>56957.893120393099</v>
      </c>
      <c r="T118" s="40">
        <v>30000</v>
      </c>
      <c r="U118" s="37">
        <v>793008.906633907</v>
      </c>
      <c r="V118" s="37">
        <v>209220.47911547899</v>
      </c>
      <c r="W118" s="45">
        <f t="shared" si="4"/>
        <v>1367705.1253071253</v>
      </c>
      <c r="X118" s="46">
        <f t="shared" si="5"/>
        <v>4.1946842594663556</v>
      </c>
    </row>
    <row r="119" spans="1:24" s="4" customFormat="1" ht="15" customHeight="1">
      <c r="A119" s="28" t="s">
        <v>63</v>
      </c>
      <c r="B119" s="29">
        <v>3169.6</v>
      </c>
      <c r="C119" s="30" t="s">
        <v>210</v>
      </c>
      <c r="D119" s="2">
        <v>4947612647</v>
      </c>
      <c r="E119" s="2" t="s">
        <v>14</v>
      </c>
      <c r="F119" s="2" t="s">
        <v>211</v>
      </c>
      <c r="G119" s="28" t="s">
        <v>5</v>
      </c>
      <c r="H119" s="2" t="s">
        <v>17</v>
      </c>
      <c r="I119" s="2">
        <v>1</v>
      </c>
      <c r="J119" s="2" t="s">
        <v>212</v>
      </c>
      <c r="K119" s="2">
        <v>9580</v>
      </c>
      <c r="L119" s="35">
        <f t="shared" si="3"/>
        <v>30364768</v>
      </c>
      <c r="M119" s="36">
        <v>2000</v>
      </c>
      <c r="N119" s="37">
        <v>40685.380835380798</v>
      </c>
      <c r="O119" s="37">
        <v>51445.700245700202</v>
      </c>
      <c r="P119" s="37">
        <v>0</v>
      </c>
      <c r="Q119" s="37">
        <v>12200.1228501229</v>
      </c>
      <c r="R119" s="37">
        <f>67316.8304668305+34661</f>
        <v>101977.83046683051</v>
      </c>
      <c r="S119" s="37">
        <v>42191.031941031899</v>
      </c>
      <c r="T119" s="40">
        <v>30000</v>
      </c>
      <c r="U119" s="37">
        <v>587414.00491400505</v>
      </c>
      <c r="V119" s="37">
        <v>154978.132678133</v>
      </c>
      <c r="W119" s="45">
        <f t="shared" si="4"/>
        <v>1020892.2039312043</v>
      </c>
      <c r="X119" s="46">
        <f t="shared" si="5"/>
        <v>3.362094529855141</v>
      </c>
    </row>
    <row r="120" spans="1:24" s="4" customFormat="1" ht="15" customHeight="1">
      <c r="A120" s="28" t="s">
        <v>63</v>
      </c>
      <c r="B120" s="29">
        <v>3169.6</v>
      </c>
      <c r="C120" s="30" t="s">
        <v>210</v>
      </c>
      <c r="D120" s="2">
        <v>4947307726</v>
      </c>
      <c r="E120" s="2" t="s">
        <v>18</v>
      </c>
      <c r="F120" s="2" t="s">
        <v>211</v>
      </c>
      <c r="G120" s="28" t="s">
        <v>5</v>
      </c>
      <c r="H120" s="2" t="s">
        <v>17</v>
      </c>
      <c r="I120" s="2">
        <v>1</v>
      </c>
      <c r="J120" s="2" t="s">
        <v>212</v>
      </c>
      <c r="K120" s="2">
        <v>118693</v>
      </c>
      <c r="L120" s="35">
        <f t="shared" si="3"/>
        <v>376209332.80000001</v>
      </c>
      <c r="M120" s="36">
        <v>1900</v>
      </c>
      <c r="N120" s="37">
        <v>38651.111793611803</v>
      </c>
      <c r="O120" s="37">
        <v>48873.415233415202</v>
      </c>
      <c r="P120" s="37">
        <v>0</v>
      </c>
      <c r="Q120" s="37">
        <v>11590.1167076167</v>
      </c>
      <c r="R120" s="37">
        <f>63950.9889434889+32928</f>
        <v>96878.98894348889</v>
      </c>
      <c r="S120" s="37">
        <v>40081.4803439803</v>
      </c>
      <c r="T120" s="40">
        <v>30000</v>
      </c>
      <c r="U120" s="37">
        <v>558043.30466830498</v>
      </c>
      <c r="V120" s="37">
        <v>147229.226044226</v>
      </c>
      <c r="W120" s="45">
        <f t="shared" si="4"/>
        <v>971347.64373464393</v>
      </c>
      <c r="X120" s="46">
        <f t="shared" si="5"/>
        <v>0.25819339368995153</v>
      </c>
    </row>
    <row r="121" spans="1:24" s="4" customFormat="1" ht="15" customHeight="1">
      <c r="A121" s="28" t="s">
        <v>63</v>
      </c>
      <c r="B121" s="29">
        <v>3169.6</v>
      </c>
      <c r="C121" s="30" t="s">
        <v>210</v>
      </c>
      <c r="D121" s="2">
        <v>4947823580</v>
      </c>
      <c r="E121" s="2" t="s">
        <v>24</v>
      </c>
      <c r="F121" s="2" t="s">
        <v>211</v>
      </c>
      <c r="G121" s="28" t="s">
        <v>5</v>
      </c>
      <c r="H121" s="2" t="s">
        <v>17</v>
      </c>
      <c r="I121" s="2">
        <v>1</v>
      </c>
      <c r="J121" s="2" t="s">
        <v>212</v>
      </c>
      <c r="K121" s="2">
        <v>14168</v>
      </c>
      <c r="L121" s="35">
        <f t="shared" si="3"/>
        <v>44906892.799999997</v>
      </c>
      <c r="M121" s="36">
        <v>3680</v>
      </c>
      <c r="N121" s="37">
        <v>74861.1007371007</v>
      </c>
      <c r="O121" s="37">
        <v>94660.088452088501</v>
      </c>
      <c r="P121" s="37">
        <v>0</v>
      </c>
      <c r="Q121" s="37">
        <v>22448.226044226001</v>
      </c>
      <c r="R121" s="37">
        <f>123862.968058968+63777</f>
        <v>187639.96805896802</v>
      </c>
      <c r="S121" s="37">
        <v>77631.498771498795</v>
      </c>
      <c r="T121" s="40"/>
      <c r="U121" s="37">
        <v>1080841.7690417699</v>
      </c>
      <c r="V121" s="37">
        <v>285159.76412776398</v>
      </c>
      <c r="W121" s="45">
        <f t="shared" si="4"/>
        <v>1823242.4152334158</v>
      </c>
      <c r="X121" s="46">
        <f t="shared" si="5"/>
        <v>4.0600502540968852</v>
      </c>
    </row>
    <row r="122" spans="1:24" s="4" customFormat="1" ht="15" customHeight="1">
      <c r="A122" s="28" t="s">
        <v>63</v>
      </c>
      <c r="B122" s="29">
        <v>3169.6</v>
      </c>
      <c r="C122" s="30" t="s">
        <v>213</v>
      </c>
      <c r="D122" s="2">
        <v>4947306172</v>
      </c>
      <c r="E122" s="2" t="s">
        <v>18</v>
      </c>
      <c r="F122" s="78" t="s">
        <v>214</v>
      </c>
      <c r="G122" s="28" t="s">
        <v>5</v>
      </c>
      <c r="H122" s="2" t="s">
        <v>20</v>
      </c>
      <c r="I122" s="2">
        <v>1</v>
      </c>
      <c r="J122" s="2" t="s">
        <v>215</v>
      </c>
      <c r="K122" s="2">
        <v>19323</v>
      </c>
      <c r="L122" s="35">
        <f t="shared" si="3"/>
        <v>61246180.799999997</v>
      </c>
      <c r="M122" s="36">
        <v>17100</v>
      </c>
      <c r="N122" s="37">
        <v>325162</v>
      </c>
      <c r="O122" s="37">
        <v>317159</v>
      </c>
      <c r="P122" s="37">
        <v>0</v>
      </c>
      <c r="Q122" s="37">
        <v>99309</v>
      </c>
      <c r="R122" s="37">
        <v>642965</v>
      </c>
      <c r="S122" s="37">
        <v>343435</v>
      </c>
      <c r="T122" s="40">
        <v>30000</v>
      </c>
      <c r="U122" s="37">
        <v>3428500</v>
      </c>
      <c r="V122" s="37">
        <v>0</v>
      </c>
      <c r="W122" s="45">
        <f t="shared" si="4"/>
        <v>5186530</v>
      </c>
      <c r="X122" s="46">
        <f t="shared" si="5"/>
        <v>8.4683321184330911</v>
      </c>
    </row>
    <row r="123" spans="1:24" s="4" customFormat="1" ht="15" customHeight="1">
      <c r="A123" s="28" t="s">
        <v>63</v>
      </c>
      <c r="B123" s="29">
        <v>3169.6</v>
      </c>
      <c r="C123" s="30" t="s">
        <v>216</v>
      </c>
      <c r="D123" s="2">
        <v>4947086262</v>
      </c>
      <c r="E123" s="2" t="s">
        <v>27</v>
      </c>
      <c r="F123" s="78" t="s">
        <v>217</v>
      </c>
      <c r="G123" s="28" t="s">
        <v>5</v>
      </c>
      <c r="H123" s="2" t="s">
        <v>20</v>
      </c>
      <c r="I123" s="2">
        <v>1</v>
      </c>
      <c r="J123" s="2" t="s">
        <v>218</v>
      </c>
      <c r="K123" s="2">
        <v>1205.83</v>
      </c>
      <c r="L123" s="35">
        <f t="shared" si="3"/>
        <v>3821998.7679999997</v>
      </c>
      <c r="M123" s="36">
        <v>206.85</v>
      </c>
      <c r="N123" s="37">
        <v>10274.640464136701</v>
      </c>
      <c r="O123" s="37">
        <v>12250.9133082357</v>
      </c>
      <c r="P123" s="37">
        <v>28319.698827689499</v>
      </c>
      <c r="Q123" s="37">
        <v>3851.29489448502</v>
      </c>
      <c r="R123" s="37">
        <f>18413.9997984205+3508</f>
        <v>21921.9997984205</v>
      </c>
      <c r="S123" s="37">
        <v>10654.843733923501</v>
      </c>
      <c r="T123" s="40"/>
      <c r="U123" s="37">
        <v>74467.719989333098</v>
      </c>
      <c r="V123" s="37">
        <v>0</v>
      </c>
      <c r="W123" s="45">
        <f t="shared" si="4"/>
        <v>161741.11101622402</v>
      </c>
      <c r="X123" s="46">
        <f t="shared" si="5"/>
        <v>4.2318462363309699</v>
      </c>
    </row>
    <row r="124" spans="1:24" s="4" customFormat="1" ht="15" customHeight="1">
      <c r="A124" s="28" t="s">
        <v>63</v>
      </c>
      <c r="B124" s="29">
        <v>3169.6</v>
      </c>
      <c r="C124" s="30" t="s">
        <v>216</v>
      </c>
      <c r="D124" s="2">
        <v>4947721350</v>
      </c>
      <c r="E124" s="2" t="s">
        <v>27</v>
      </c>
      <c r="F124" s="78" t="s">
        <v>217</v>
      </c>
      <c r="G124" s="28" t="s">
        <v>5</v>
      </c>
      <c r="H124" s="2" t="s">
        <v>20</v>
      </c>
      <c r="I124" s="2">
        <v>1</v>
      </c>
      <c r="J124" s="2" t="s">
        <v>218</v>
      </c>
      <c r="K124" s="2">
        <v>2856.81</v>
      </c>
      <c r="L124" s="35">
        <f t="shared" si="3"/>
        <v>9054944.9759999998</v>
      </c>
      <c r="M124" s="36">
        <v>6460.45</v>
      </c>
      <c r="N124" s="37">
        <v>320905.35953586298</v>
      </c>
      <c r="O124" s="37">
        <v>382627.08669176401</v>
      </c>
      <c r="P124" s="37">
        <v>884502.30117231002</v>
      </c>
      <c r="Q124" s="37">
        <v>120285.70510551499</v>
      </c>
      <c r="R124" s="37">
        <f>575120.000201579+109553</f>
        <v>684673.00020157895</v>
      </c>
      <c r="S124" s="37">
        <v>332780.15626607602</v>
      </c>
      <c r="T124" s="40"/>
      <c r="U124" s="37">
        <v>2325832.28001067</v>
      </c>
      <c r="V124" s="37">
        <v>0</v>
      </c>
      <c r="W124" s="45">
        <f t="shared" si="4"/>
        <v>5051605.8889837768</v>
      </c>
      <c r="X124" s="46">
        <f t="shared" si="5"/>
        <v>55.788366493368926</v>
      </c>
    </row>
    <row r="125" spans="1:24" s="4" customFormat="1" ht="15" customHeight="1">
      <c r="A125" s="28" t="s">
        <v>63</v>
      </c>
      <c r="B125" s="29">
        <v>3169.6</v>
      </c>
      <c r="C125" s="30" t="s">
        <v>219</v>
      </c>
      <c r="D125" s="2">
        <v>4947917135</v>
      </c>
      <c r="E125" s="2" t="s">
        <v>14</v>
      </c>
      <c r="F125" s="78" t="s">
        <v>220</v>
      </c>
      <c r="G125" s="28" t="s">
        <v>9</v>
      </c>
      <c r="H125" s="2" t="s">
        <v>23</v>
      </c>
      <c r="I125" s="2">
        <v>1</v>
      </c>
      <c r="J125" s="2"/>
      <c r="K125" s="2">
        <v>14210</v>
      </c>
      <c r="L125" s="35">
        <f t="shared" si="3"/>
        <v>45040016</v>
      </c>
      <c r="M125" s="36">
        <v>280</v>
      </c>
      <c r="N125" s="37">
        <v>695186</v>
      </c>
      <c r="O125" s="37">
        <v>195</v>
      </c>
      <c r="P125" s="37">
        <v>6288</v>
      </c>
      <c r="Q125" s="37">
        <v>6037</v>
      </c>
      <c r="R125" s="37">
        <v>89722</v>
      </c>
      <c r="S125" s="37">
        <v>343435</v>
      </c>
      <c r="T125" s="40">
        <v>30000</v>
      </c>
      <c r="U125" s="37">
        <v>189590.909090909</v>
      </c>
      <c r="V125" s="37">
        <v>0</v>
      </c>
      <c r="W125" s="45">
        <f t="shared" si="4"/>
        <v>1360453.9090909089</v>
      </c>
      <c r="X125" s="46">
        <f t="shared" si="5"/>
        <v>3.0205449063137744</v>
      </c>
    </row>
    <row r="126" spans="1:24" s="4" customFormat="1" ht="15" customHeight="1">
      <c r="A126" s="28" t="s">
        <v>63</v>
      </c>
      <c r="B126" s="29">
        <v>3169.6</v>
      </c>
      <c r="C126" s="30" t="s">
        <v>221</v>
      </c>
      <c r="D126" s="2">
        <v>4947030782</v>
      </c>
      <c r="E126" s="2" t="s">
        <v>33</v>
      </c>
      <c r="F126" s="2" t="s">
        <v>222</v>
      </c>
      <c r="G126" s="28" t="s">
        <v>5</v>
      </c>
      <c r="H126" s="2" t="s">
        <v>20</v>
      </c>
      <c r="I126" s="2">
        <v>3</v>
      </c>
      <c r="J126" s="2" t="s">
        <v>223</v>
      </c>
      <c r="K126" s="2">
        <v>76032</v>
      </c>
      <c r="L126" s="35">
        <f t="shared" si="3"/>
        <v>240991027.19999999</v>
      </c>
      <c r="M126" s="36">
        <f>19800+19800+19800</f>
        <v>59400</v>
      </c>
      <c r="N126" s="37">
        <v>972590</v>
      </c>
      <c r="O126" s="37">
        <v>951447</v>
      </c>
      <c r="P126" s="37">
        <v>0</v>
      </c>
      <c r="Q126" s="37">
        <v>297928</v>
      </c>
      <c r="R126" s="37">
        <v>1612100</v>
      </c>
      <c r="S126" s="37">
        <v>343435</v>
      </c>
      <c r="T126" s="40"/>
      <c r="U126" s="37">
        <v>11740500</v>
      </c>
      <c r="V126" s="37">
        <v>0</v>
      </c>
      <c r="W126" s="45">
        <f t="shared" si="4"/>
        <v>15918000</v>
      </c>
      <c r="X126" s="46">
        <f t="shared" si="5"/>
        <v>6.6052251757861304</v>
      </c>
    </row>
    <row r="127" spans="1:24" s="4" customFormat="1" ht="15" customHeight="1">
      <c r="A127" s="28" t="s">
        <v>63</v>
      </c>
      <c r="B127" s="29">
        <v>3169.6</v>
      </c>
      <c r="C127" s="30" t="s">
        <v>224</v>
      </c>
      <c r="D127" s="2">
        <v>4947562523</v>
      </c>
      <c r="E127" s="2" t="s">
        <v>14</v>
      </c>
      <c r="F127" s="78" t="s">
        <v>225</v>
      </c>
      <c r="G127" s="28" t="s">
        <v>5</v>
      </c>
      <c r="H127" s="2" t="s">
        <v>20</v>
      </c>
      <c r="I127" s="2">
        <v>1</v>
      </c>
      <c r="J127" s="2" t="s">
        <v>226</v>
      </c>
      <c r="K127" s="2">
        <v>27261.200000000001</v>
      </c>
      <c r="L127" s="35">
        <f t="shared" si="3"/>
        <v>86407099.519999996</v>
      </c>
      <c r="M127" s="36">
        <v>12920</v>
      </c>
      <c r="N127" s="37">
        <v>324197</v>
      </c>
      <c r="O127" s="37">
        <v>411833</v>
      </c>
      <c r="P127" s="37">
        <v>0</v>
      </c>
      <c r="Q127" s="37">
        <v>133450</v>
      </c>
      <c r="R127" s="37">
        <v>643273</v>
      </c>
      <c r="S127" s="37">
        <v>343435</v>
      </c>
      <c r="T127" s="40">
        <v>30000</v>
      </c>
      <c r="U127" s="37">
        <v>3428500</v>
      </c>
      <c r="V127" s="37">
        <v>0</v>
      </c>
      <c r="W127" s="45">
        <f t="shared" si="4"/>
        <v>5314688</v>
      </c>
      <c r="X127" s="46">
        <f t="shared" si="5"/>
        <v>6.1507538495373861</v>
      </c>
    </row>
    <row r="128" spans="1:24" s="4" customFormat="1" ht="15" customHeight="1">
      <c r="A128" s="28" t="s">
        <v>63</v>
      </c>
      <c r="B128" s="29">
        <v>3169.6</v>
      </c>
      <c r="C128" s="30" t="s">
        <v>227</v>
      </c>
      <c r="D128" s="2">
        <v>4946949569</v>
      </c>
      <c r="E128" s="2" t="s">
        <v>27</v>
      </c>
      <c r="F128" s="2" t="s">
        <v>228</v>
      </c>
      <c r="G128" s="28" t="s">
        <v>9</v>
      </c>
      <c r="H128" s="2" t="s">
        <v>23</v>
      </c>
      <c r="I128" s="2">
        <v>1</v>
      </c>
      <c r="J128" s="2"/>
      <c r="K128" s="2">
        <v>3242.52</v>
      </c>
      <c r="L128" s="35">
        <f t="shared" si="3"/>
        <v>10277491.391999999</v>
      </c>
      <c r="M128" s="36">
        <v>860</v>
      </c>
      <c r="N128" s="37">
        <v>671562</v>
      </c>
      <c r="O128" s="37">
        <v>592</v>
      </c>
      <c r="P128" s="37">
        <v>77307</v>
      </c>
      <c r="Q128" s="37">
        <v>17833</v>
      </c>
      <c r="R128" s="37">
        <v>99154</v>
      </c>
      <c r="S128" s="37">
        <v>343435</v>
      </c>
      <c r="T128" s="40"/>
      <c r="U128" s="37">
        <v>2085500</v>
      </c>
      <c r="V128" s="37">
        <v>0</v>
      </c>
      <c r="W128" s="45">
        <f t="shared" si="4"/>
        <v>3295383</v>
      </c>
      <c r="X128" s="46">
        <f t="shared" si="5"/>
        <v>32.064079397479496</v>
      </c>
    </row>
    <row r="129" spans="1:24" s="4" customFormat="1" ht="15" customHeight="1">
      <c r="A129" s="28" t="s">
        <v>63</v>
      </c>
      <c r="B129" s="29">
        <v>3169.6</v>
      </c>
      <c r="C129" s="30" t="s">
        <v>229</v>
      </c>
      <c r="D129" s="2">
        <v>4947915817</v>
      </c>
      <c r="E129" s="2" t="s">
        <v>14</v>
      </c>
      <c r="F129" s="2" t="s">
        <v>230</v>
      </c>
      <c r="G129" s="28" t="s">
        <v>5</v>
      </c>
      <c r="H129" s="2" t="s">
        <v>17</v>
      </c>
      <c r="I129" s="2">
        <v>1</v>
      </c>
      <c r="J129" s="2" t="s">
        <v>231</v>
      </c>
      <c r="K129" s="2">
        <f>45150+9030</f>
        <v>54180</v>
      </c>
      <c r="L129" s="35">
        <f t="shared" si="3"/>
        <v>171728928</v>
      </c>
      <c r="M129" s="36">
        <f>15000+3000</f>
        <v>18000</v>
      </c>
      <c r="N129" s="37">
        <v>334051</v>
      </c>
      <c r="O129" s="37">
        <v>418768</v>
      </c>
      <c r="P129" s="37">
        <v>155890</v>
      </c>
      <c r="Q129" s="37">
        <v>99309</v>
      </c>
      <c r="R129" s="37">
        <v>659523</v>
      </c>
      <c r="S129" s="37">
        <v>343435</v>
      </c>
      <c r="T129" s="40">
        <v>30000</v>
      </c>
      <c r="U129" s="37">
        <v>4781550</v>
      </c>
      <c r="V129" s="37">
        <v>0</v>
      </c>
      <c r="W129" s="45">
        <f t="shared" si="4"/>
        <v>6822526</v>
      </c>
      <c r="X129" s="46">
        <f t="shared" si="5"/>
        <v>3.9728460891574424</v>
      </c>
    </row>
    <row r="130" spans="1:24" s="4" customFormat="1" ht="15" customHeight="1">
      <c r="A130" s="28" t="s">
        <v>63</v>
      </c>
      <c r="B130" s="29">
        <v>3169.6</v>
      </c>
      <c r="C130" s="30" t="s">
        <v>232</v>
      </c>
      <c r="D130" s="2">
        <v>4947306175</v>
      </c>
      <c r="E130" s="2" t="s">
        <v>18</v>
      </c>
      <c r="F130" s="2" t="s">
        <v>233</v>
      </c>
      <c r="G130" s="28" t="s">
        <v>5</v>
      </c>
      <c r="H130" s="2" t="s">
        <v>17</v>
      </c>
      <c r="I130" s="2">
        <v>1</v>
      </c>
      <c r="J130" s="2" t="s">
        <v>234</v>
      </c>
      <c r="K130" s="2">
        <f>15695+1505+51600</f>
        <v>68800</v>
      </c>
      <c r="L130" s="35">
        <f t="shared" si="3"/>
        <v>218068480</v>
      </c>
      <c r="M130" s="36">
        <f>3650+350+12000</f>
        <v>16000</v>
      </c>
      <c r="N130" s="37">
        <v>334051</v>
      </c>
      <c r="O130" s="37">
        <v>418768</v>
      </c>
      <c r="P130" s="37">
        <v>0</v>
      </c>
      <c r="Q130" s="37">
        <v>99309</v>
      </c>
      <c r="R130" s="37">
        <v>655893</v>
      </c>
      <c r="S130" s="37">
        <v>343435</v>
      </c>
      <c r="T130" s="40">
        <v>30000</v>
      </c>
      <c r="U130" s="37">
        <v>4781550</v>
      </c>
      <c r="V130" s="37">
        <v>0</v>
      </c>
      <c r="W130" s="45">
        <f t="shared" si="4"/>
        <v>6663006</v>
      </c>
      <c r="X130" s="46">
        <f t="shared" si="5"/>
        <v>3.0554649621990304</v>
      </c>
    </row>
    <row r="131" spans="1:24" s="4" customFormat="1" ht="15" customHeight="1">
      <c r="A131" s="28" t="s">
        <v>63</v>
      </c>
      <c r="B131" s="29">
        <v>3169.6</v>
      </c>
      <c r="C131" s="30" t="s">
        <v>235</v>
      </c>
      <c r="D131" s="2">
        <v>4947320696</v>
      </c>
      <c r="E131" s="2" t="s">
        <v>14</v>
      </c>
      <c r="F131" s="78" t="s">
        <v>236</v>
      </c>
      <c r="G131" s="28" t="s">
        <v>9</v>
      </c>
      <c r="H131" s="2" t="s">
        <v>23</v>
      </c>
      <c r="I131" s="2">
        <v>1</v>
      </c>
      <c r="J131" s="2"/>
      <c r="K131" s="2">
        <v>2113.1999999999998</v>
      </c>
      <c r="L131" s="35">
        <f t="shared" ref="L131:L194" si="7">B131*K131</f>
        <v>6697998.7199999988</v>
      </c>
      <c r="M131" s="36">
        <v>360</v>
      </c>
      <c r="N131" s="37">
        <v>407788</v>
      </c>
      <c r="O131" s="37">
        <v>256</v>
      </c>
      <c r="P131" s="37">
        <v>11428</v>
      </c>
      <c r="Q131" s="37">
        <v>5883</v>
      </c>
      <c r="R131" s="37">
        <v>247324</v>
      </c>
      <c r="S131" s="37">
        <v>343435</v>
      </c>
      <c r="T131" s="40">
        <v>30000</v>
      </c>
      <c r="U131" s="37">
        <v>410310</v>
      </c>
      <c r="V131" s="37">
        <v>0</v>
      </c>
      <c r="W131" s="45">
        <f t="shared" ref="W131:W194" si="8">+SUM(N131:V131)</f>
        <v>1456424</v>
      </c>
      <c r="X131" s="46">
        <f t="shared" ref="X131:X194" si="9">(W131/L131)*100</f>
        <v>21.744166591898068</v>
      </c>
    </row>
    <row r="132" spans="1:24" s="4" customFormat="1" ht="15" customHeight="1">
      <c r="A132" s="28" t="s">
        <v>63</v>
      </c>
      <c r="B132" s="29">
        <v>3169.6</v>
      </c>
      <c r="C132" s="30" t="s">
        <v>237</v>
      </c>
      <c r="D132" s="2">
        <v>4947413840</v>
      </c>
      <c r="E132" s="2" t="s">
        <v>18</v>
      </c>
      <c r="F132" s="2" t="s">
        <v>238</v>
      </c>
      <c r="G132" s="28" t="s">
        <v>9</v>
      </c>
      <c r="H132" s="2" t="s">
        <v>23</v>
      </c>
      <c r="I132" s="2">
        <v>2</v>
      </c>
      <c r="J132" s="2"/>
      <c r="K132" s="2">
        <v>2390</v>
      </c>
      <c r="L132" s="35">
        <f t="shared" si="7"/>
        <v>7575344</v>
      </c>
      <c r="M132" s="36">
        <v>1000</v>
      </c>
      <c r="N132" s="37">
        <v>556817</v>
      </c>
      <c r="O132" s="37">
        <v>682</v>
      </c>
      <c r="P132" s="37">
        <v>21484</v>
      </c>
      <c r="Q132" s="37">
        <v>16286</v>
      </c>
      <c r="R132" s="37">
        <v>227736</v>
      </c>
      <c r="S132" s="37">
        <v>343435</v>
      </c>
      <c r="T132" s="40">
        <v>30000</v>
      </c>
      <c r="U132" s="37">
        <v>677110.38961038995</v>
      </c>
      <c r="V132" s="37">
        <v>0</v>
      </c>
      <c r="W132" s="45">
        <f t="shared" si="8"/>
        <v>1873550.3896103899</v>
      </c>
      <c r="X132" s="46">
        <f t="shared" si="9"/>
        <v>24.732215323956115</v>
      </c>
    </row>
    <row r="133" spans="1:24" s="4" customFormat="1" ht="15" customHeight="1">
      <c r="A133" s="28" t="s">
        <v>63</v>
      </c>
      <c r="B133" s="29">
        <v>3169.6</v>
      </c>
      <c r="C133" s="30" t="s">
        <v>239</v>
      </c>
      <c r="D133" s="2">
        <v>4947307718</v>
      </c>
      <c r="E133" s="2" t="s">
        <v>18</v>
      </c>
      <c r="F133" s="2" t="s">
        <v>240</v>
      </c>
      <c r="G133" s="28" t="s">
        <v>5</v>
      </c>
      <c r="H133" s="2" t="s">
        <v>17</v>
      </c>
      <c r="I133" s="2">
        <v>1</v>
      </c>
      <c r="J133" s="2" t="s">
        <v>241</v>
      </c>
      <c r="K133" s="2">
        <v>34200</v>
      </c>
      <c r="L133" s="35">
        <f t="shared" si="7"/>
        <v>108400320</v>
      </c>
      <c r="M133" s="36">
        <v>10000</v>
      </c>
      <c r="N133" s="37">
        <v>220786</v>
      </c>
      <c r="O133" s="37">
        <v>418768</v>
      </c>
      <c r="P133" s="37">
        <v>0</v>
      </c>
      <c r="Q133" s="37">
        <v>99309</v>
      </c>
      <c r="R133" s="37">
        <v>572234.33333333302</v>
      </c>
      <c r="S133" s="37">
        <v>343435</v>
      </c>
      <c r="T133" s="40">
        <v>30000</v>
      </c>
      <c r="U133" s="37">
        <v>2702700</v>
      </c>
      <c r="V133" s="37">
        <v>0</v>
      </c>
      <c r="W133" s="45">
        <f t="shared" si="8"/>
        <v>4387232.333333333</v>
      </c>
      <c r="X133" s="46">
        <f t="shared" si="9"/>
        <v>4.0472503525204848</v>
      </c>
    </row>
    <row r="134" spans="1:24" s="4" customFormat="1" ht="15" customHeight="1">
      <c r="A134" s="28" t="s">
        <v>63</v>
      </c>
      <c r="B134" s="29">
        <v>3169.6</v>
      </c>
      <c r="C134" s="30" t="s">
        <v>242</v>
      </c>
      <c r="D134" s="2">
        <v>4947413835</v>
      </c>
      <c r="E134" s="2" t="s">
        <v>18</v>
      </c>
      <c r="F134" s="2" t="s">
        <v>243</v>
      </c>
      <c r="G134" s="28" t="s">
        <v>9</v>
      </c>
      <c r="H134" s="2" t="s">
        <v>23</v>
      </c>
      <c r="I134" s="2">
        <v>2</v>
      </c>
      <c r="J134" s="2"/>
      <c r="K134" s="2">
        <v>1312.5</v>
      </c>
      <c r="L134" s="35">
        <f t="shared" si="7"/>
        <v>4160100</v>
      </c>
      <c r="M134" s="36">
        <v>750</v>
      </c>
      <c r="N134" s="37">
        <v>484223.73417721502</v>
      </c>
      <c r="O134" s="37">
        <v>1061.39240506329</v>
      </c>
      <c r="P134" s="37">
        <v>84181.329113924003</v>
      </c>
      <c r="Q134" s="37">
        <v>12322.784810126601</v>
      </c>
      <c r="R134" s="37">
        <v>213014.24050632899</v>
      </c>
      <c r="S134" s="37">
        <v>326045.88607594901</v>
      </c>
      <c r="T134" s="40">
        <v>30000</v>
      </c>
      <c r="U134" s="37">
        <v>936601.79640718596</v>
      </c>
      <c r="V134" s="37">
        <v>0</v>
      </c>
      <c r="W134" s="45">
        <f t="shared" si="8"/>
        <v>2087451.163495793</v>
      </c>
      <c r="X134" s="46">
        <f t="shared" si="9"/>
        <v>50.177908307391483</v>
      </c>
    </row>
    <row r="135" spans="1:24" s="4" customFormat="1" ht="15" customHeight="1">
      <c r="A135" s="28" t="s">
        <v>63</v>
      </c>
      <c r="B135" s="29">
        <v>3169.6</v>
      </c>
      <c r="C135" s="30" t="s">
        <v>242</v>
      </c>
      <c r="D135" s="2">
        <v>4947413835</v>
      </c>
      <c r="E135" s="2" t="s">
        <v>18</v>
      </c>
      <c r="F135" s="2" t="s">
        <v>243</v>
      </c>
      <c r="G135" s="28" t="s">
        <v>9</v>
      </c>
      <c r="H135" s="2" t="s">
        <v>23</v>
      </c>
      <c r="I135" s="2">
        <v>2</v>
      </c>
      <c r="J135" s="2"/>
      <c r="K135" s="2">
        <v>98.8</v>
      </c>
      <c r="L135" s="35">
        <f t="shared" si="7"/>
        <v>313156.47999999998</v>
      </c>
      <c r="M135" s="36">
        <v>40</v>
      </c>
      <c r="N135" s="37">
        <v>25825.265822784801</v>
      </c>
      <c r="O135" s="37">
        <v>56.6075949367089</v>
      </c>
      <c r="P135" s="37">
        <v>4489.67088607595</v>
      </c>
      <c r="Q135" s="37">
        <v>657.21518987341801</v>
      </c>
      <c r="R135" s="37">
        <v>11360.759493670899</v>
      </c>
      <c r="S135" s="37">
        <v>17389.113924050602</v>
      </c>
      <c r="T135" s="40">
        <v>30000</v>
      </c>
      <c r="U135" s="37">
        <v>49952.095808383201</v>
      </c>
      <c r="V135" s="37">
        <v>0</v>
      </c>
      <c r="W135" s="45">
        <f t="shared" si="8"/>
        <v>139730.72871977556</v>
      </c>
      <c r="X135" s="46">
        <f t="shared" si="9"/>
        <v>44.6200981438339</v>
      </c>
    </row>
    <row r="136" spans="1:24" s="4" customFormat="1" ht="15" customHeight="1">
      <c r="A136" s="28" t="s">
        <v>63</v>
      </c>
      <c r="B136" s="29">
        <v>3169.6</v>
      </c>
      <c r="C136" s="30" t="s">
        <v>244</v>
      </c>
      <c r="D136" s="2">
        <v>4947307719</v>
      </c>
      <c r="E136" s="2" t="s">
        <v>18</v>
      </c>
      <c r="F136" s="2" t="s">
        <v>245</v>
      </c>
      <c r="G136" s="28" t="s">
        <v>5</v>
      </c>
      <c r="H136" s="2" t="s">
        <v>17</v>
      </c>
      <c r="I136" s="2">
        <v>1</v>
      </c>
      <c r="J136" s="2" t="s">
        <v>241</v>
      </c>
      <c r="K136" s="2">
        <v>19050</v>
      </c>
      <c r="L136" s="35">
        <f t="shared" si="7"/>
        <v>60380880</v>
      </c>
      <c r="M136" s="36">
        <v>5000</v>
      </c>
      <c r="N136" s="37">
        <v>110393</v>
      </c>
      <c r="O136" s="37">
        <v>418768</v>
      </c>
      <c r="P136" s="37">
        <v>0</v>
      </c>
      <c r="Q136" s="37">
        <v>99309</v>
      </c>
      <c r="R136" s="37">
        <v>286117.66666666698</v>
      </c>
      <c r="S136" s="37">
        <v>343435</v>
      </c>
      <c r="T136" s="40">
        <v>30000</v>
      </c>
      <c r="U136" s="37">
        <v>1351350</v>
      </c>
      <c r="V136" s="37">
        <v>0</v>
      </c>
      <c r="W136" s="45">
        <f t="shared" si="8"/>
        <v>2639372.666666667</v>
      </c>
      <c r="X136" s="46">
        <f t="shared" si="9"/>
        <v>4.3712060285750507</v>
      </c>
    </row>
    <row r="137" spans="1:24" s="4" customFormat="1" ht="15" customHeight="1">
      <c r="A137" s="28" t="s">
        <v>63</v>
      </c>
      <c r="B137" s="29">
        <v>3169.6</v>
      </c>
      <c r="C137" s="30" t="s">
        <v>246</v>
      </c>
      <c r="D137" s="2">
        <v>4947648338</v>
      </c>
      <c r="E137" s="2" t="s">
        <v>24</v>
      </c>
      <c r="F137" s="2" t="s">
        <v>247</v>
      </c>
      <c r="G137" s="28" t="s">
        <v>5</v>
      </c>
      <c r="H137" s="2" t="s">
        <v>20</v>
      </c>
      <c r="I137" s="2">
        <v>1</v>
      </c>
      <c r="J137" s="2" t="s">
        <v>248</v>
      </c>
      <c r="K137" s="2">
        <v>51840</v>
      </c>
      <c r="L137" s="35">
        <f t="shared" si="7"/>
        <v>164312064</v>
      </c>
      <c r="M137" s="36">
        <v>16000</v>
      </c>
      <c r="N137" s="37">
        <v>331179</v>
      </c>
      <c r="O137" s="37">
        <v>317159</v>
      </c>
      <c r="P137" s="37">
        <v>0</v>
      </c>
      <c r="Q137" s="37">
        <v>99309</v>
      </c>
      <c r="R137" s="37">
        <v>814866</v>
      </c>
      <c r="S137" s="37">
        <v>343435</v>
      </c>
      <c r="T137" s="40"/>
      <c r="U137" s="37">
        <v>529000</v>
      </c>
      <c r="V137" s="37">
        <v>0</v>
      </c>
      <c r="W137" s="45">
        <f t="shared" si="8"/>
        <v>2434948</v>
      </c>
      <c r="X137" s="46">
        <f t="shared" si="9"/>
        <v>1.4819045788384717</v>
      </c>
    </row>
    <row r="138" spans="1:24" s="4" customFormat="1" ht="15" customHeight="1">
      <c r="A138" s="28" t="s">
        <v>63</v>
      </c>
      <c r="B138" s="29">
        <v>3169.6</v>
      </c>
      <c r="C138" s="30" t="s">
        <v>249</v>
      </c>
      <c r="D138" s="2">
        <v>4947033764</v>
      </c>
      <c r="E138" s="2" t="s">
        <v>33</v>
      </c>
      <c r="F138" s="78" t="s">
        <v>250</v>
      </c>
      <c r="G138" s="28" t="s">
        <v>5</v>
      </c>
      <c r="H138" s="2" t="s">
        <v>20</v>
      </c>
      <c r="I138" s="2">
        <v>1</v>
      </c>
      <c r="J138" s="2" t="s">
        <v>251</v>
      </c>
      <c r="K138" s="2">
        <v>638</v>
      </c>
      <c r="L138" s="35">
        <f t="shared" si="7"/>
        <v>2022204.8</v>
      </c>
      <c r="M138" s="36">
        <v>24000</v>
      </c>
      <c r="N138" s="37">
        <v>659734</v>
      </c>
      <c r="O138" s="37">
        <v>298769</v>
      </c>
      <c r="P138" s="37">
        <v>492541</v>
      </c>
      <c r="Q138" s="37">
        <v>168455</v>
      </c>
      <c r="R138" s="37">
        <v>711842</v>
      </c>
      <c r="S138" s="37">
        <v>343435</v>
      </c>
      <c r="T138" s="40"/>
      <c r="U138" s="37">
        <v>4965000</v>
      </c>
      <c r="V138" s="37">
        <v>0</v>
      </c>
      <c r="W138" s="45">
        <f t="shared" si="8"/>
        <v>7639776</v>
      </c>
      <c r="X138" s="46">
        <f t="shared" si="9"/>
        <v>377.79437572297326</v>
      </c>
    </row>
    <row r="139" spans="1:24" s="4" customFormat="1" ht="15" customHeight="1">
      <c r="A139" s="28" t="s">
        <v>63</v>
      </c>
      <c r="B139" s="29">
        <v>3169.6</v>
      </c>
      <c r="C139" s="30" t="s">
        <v>252</v>
      </c>
      <c r="D139" s="2">
        <v>4947223493</v>
      </c>
      <c r="E139" s="2" t="s">
        <v>14</v>
      </c>
      <c r="F139" s="78" t="s">
        <v>253</v>
      </c>
      <c r="G139" s="28" t="s">
        <v>9</v>
      </c>
      <c r="H139" s="2" t="s">
        <v>23</v>
      </c>
      <c r="I139" s="2">
        <v>5</v>
      </c>
      <c r="J139" s="2"/>
      <c r="K139" s="2">
        <f>5184+1296</f>
        <v>6480</v>
      </c>
      <c r="L139" s="35">
        <f t="shared" si="7"/>
        <v>20539008</v>
      </c>
      <c r="M139" s="36">
        <f>2400+600</f>
        <v>3000</v>
      </c>
      <c r="N139" s="37">
        <v>735758</v>
      </c>
      <c r="O139" s="37">
        <v>2060</v>
      </c>
      <c r="P139" s="37">
        <v>63917</v>
      </c>
      <c r="Q139" s="37">
        <v>50001</v>
      </c>
      <c r="R139" s="37">
        <v>138872</v>
      </c>
      <c r="S139" s="37">
        <v>343435</v>
      </c>
      <c r="T139" s="40">
        <v>30000</v>
      </c>
      <c r="U139" s="37">
        <v>1334341.4634146299</v>
      </c>
      <c r="V139" s="37">
        <v>0</v>
      </c>
      <c r="W139" s="45">
        <f t="shared" si="8"/>
        <v>2698384.4634146299</v>
      </c>
      <c r="X139" s="46">
        <f t="shared" si="9"/>
        <v>13.137851951830537</v>
      </c>
    </row>
    <row r="140" spans="1:24" s="4" customFormat="1" ht="15" customHeight="1">
      <c r="A140" s="28" t="s">
        <v>63</v>
      </c>
      <c r="B140" s="29">
        <v>3169.6</v>
      </c>
      <c r="C140" s="30" t="s">
        <v>254</v>
      </c>
      <c r="D140" s="2">
        <v>4947381256</v>
      </c>
      <c r="E140" s="2" t="s">
        <v>14</v>
      </c>
      <c r="F140" s="78" t="s">
        <v>255</v>
      </c>
      <c r="G140" s="28" t="s">
        <v>5</v>
      </c>
      <c r="H140" s="2" t="s">
        <v>20</v>
      </c>
      <c r="I140" s="2">
        <v>1</v>
      </c>
      <c r="J140" s="2" t="s">
        <v>256</v>
      </c>
      <c r="K140" s="2">
        <v>34251.599999999999</v>
      </c>
      <c r="L140" s="35">
        <f t="shared" si="7"/>
        <v>108563871.36</v>
      </c>
      <c r="M140" s="36">
        <v>15640</v>
      </c>
      <c r="N140" s="37">
        <v>331179</v>
      </c>
      <c r="O140" s="37">
        <v>317159</v>
      </c>
      <c r="P140" s="37">
        <v>0</v>
      </c>
      <c r="Q140" s="37">
        <v>99309</v>
      </c>
      <c r="R140" s="37">
        <v>549451</v>
      </c>
      <c r="S140" s="37">
        <v>343435</v>
      </c>
      <c r="T140" s="40">
        <v>30000</v>
      </c>
      <c r="U140" s="37">
        <v>3629900</v>
      </c>
      <c r="V140" s="37">
        <v>0</v>
      </c>
      <c r="W140" s="45">
        <f t="shared" si="8"/>
        <v>5300433</v>
      </c>
      <c r="X140" s="46">
        <f t="shared" si="9"/>
        <v>4.8823176012429181</v>
      </c>
    </row>
    <row r="141" spans="1:24" s="4" customFormat="1" ht="15" customHeight="1">
      <c r="A141" s="28" t="s">
        <v>63</v>
      </c>
      <c r="B141" s="29">
        <v>3169.6</v>
      </c>
      <c r="C141" s="30" t="s">
        <v>257</v>
      </c>
      <c r="D141" s="2">
        <v>4947307746</v>
      </c>
      <c r="E141" s="2" t="s">
        <v>18</v>
      </c>
      <c r="F141" s="78" t="s">
        <v>258</v>
      </c>
      <c r="G141" s="28" t="s">
        <v>9</v>
      </c>
      <c r="H141" s="2" t="s">
        <v>23</v>
      </c>
      <c r="I141" s="2">
        <v>11</v>
      </c>
      <c r="J141" s="2"/>
      <c r="K141" s="2">
        <v>56390</v>
      </c>
      <c r="L141" s="35">
        <f t="shared" si="7"/>
        <v>178733744</v>
      </c>
      <c r="M141" s="36">
        <v>1000</v>
      </c>
      <c r="N141" s="37">
        <v>356730.41775456897</v>
      </c>
      <c r="O141" s="37">
        <v>1348.1723237597901</v>
      </c>
      <c r="P141" s="37">
        <v>10385.7702349869</v>
      </c>
      <c r="Q141" s="37">
        <v>16228.8511749347</v>
      </c>
      <c r="R141" s="37">
        <v>73701.566579634498</v>
      </c>
      <c r="S141" s="37">
        <v>44834.856396866802</v>
      </c>
      <c r="T141" s="40">
        <v>30000</v>
      </c>
      <c r="U141" s="37">
        <v>272258.48563968699</v>
      </c>
      <c r="V141" s="37">
        <v>164689.55613576999</v>
      </c>
      <c r="W141" s="45">
        <f t="shared" si="8"/>
        <v>970177.67624020856</v>
      </c>
      <c r="X141" s="46">
        <f t="shared" si="9"/>
        <v>0.5428061061822822</v>
      </c>
    </row>
    <row r="142" spans="1:24" s="4" customFormat="1" ht="15" customHeight="1">
      <c r="A142" s="28" t="s">
        <v>63</v>
      </c>
      <c r="B142" s="29">
        <v>3169.6</v>
      </c>
      <c r="C142" s="30" t="s">
        <v>257</v>
      </c>
      <c r="D142" s="2">
        <v>4947306168</v>
      </c>
      <c r="E142" s="2" t="s">
        <v>18</v>
      </c>
      <c r="F142" s="78" t="s">
        <v>258</v>
      </c>
      <c r="G142" s="28" t="s">
        <v>9</v>
      </c>
      <c r="H142" s="2" t="s">
        <v>23</v>
      </c>
      <c r="I142" s="2">
        <v>11</v>
      </c>
      <c r="J142" s="2"/>
      <c r="K142" s="2">
        <v>2863.2</v>
      </c>
      <c r="L142" s="35">
        <f t="shared" si="7"/>
        <v>9075198.7199999988</v>
      </c>
      <c r="M142" s="36">
        <v>240</v>
      </c>
      <c r="N142" s="37">
        <v>85615.300261096607</v>
      </c>
      <c r="O142" s="37">
        <v>323.56135770234999</v>
      </c>
      <c r="P142" s="37">
        <v>2492.5848563968698</v>
      </c>
      <c r="Q142" s="37">
        <v>3894.9242819843298</v>
      </c>
      <c r="R142" s="37">
        <v>17688.375979112301</v>
      </c>
      <c r="S142" s="37">
        <v>10760.365535248</v>
      </c>
      <c r="T142" s="40">
        <v>30000</v>
      </c>
      <c r="U142" s="37">
        <v>65342.036553524798</v>
      </c>
      <c r="V142" s="37">
        <v>39525.493472584902</v>
      </c>
      <c r="W142" s="45">
        <f t="shared" si="8"/>
        <v>255642.64229765013</v>
      </c>
      <c r="X142" s="46">
        <f t="shared" si="9"/>
        <v>2.8169371292582577</v>
      </c>
    </row>
    <row r="143" spans="1:24" s="4" customFormat="1" ht="15" customHeight="1">
      <c r="A143" s="28" t="s">
        <v>63</v>
      </c>
      <c r="B143" s="29">
        <v>3169.6</v>
      </c>
      <c r="C143" s="30" t="s">
        <v>257</v>
      </c>
      <c r="D143" s="2">
        <v>4947106845</v>
      </c>
      <c r="E143" s="2" t="s">
        <v>14</v>
      </c>
      <c r="F143" s="78" t="s">
        <v>258</v>
      </c>
      <c r="G143" s="28" t="s">
        <v>9</v>
      </c>
      <c r="H143" s="2" t="s">
        <v>23</v>
      </c>
      <c r="I143" s="2">
        <v>11</v>
      </c>
      <c r="J143" s="2"/>
      <c r="K143" s="2">
        <v>25236</v>
      </c>
      <c r="L143" s="35">
        <f t="shared" si="7"/>
        <v>79988025.599999994</v>
      </c>
      <c r="M143" s="36">
        <v>720</v>
      </c>
      <c r="N143" s="37">
        <v>256845.90078329001</v>
      </c>
      <c r="O143" s="37">
        <v>970.68407310705004</v>
      </c>
      <c r="P143" s="37">
        <v>7477.7545691905998</v>
      </c>
      <c r="Q143" s="37">
        <v>11684.772845953001</v>
      </c>
      <c r="R143" s="37">
        <v>53065.127937336802</v>
      </c>
      <c r="S143" s="37">
        <v>32281.0966057441</v>
      </c>
      <c r="T143" s="40">
        <v>30000</v>
      </c>
      <c r="U143" s="37">
        <v>196026.109660574</v>
      </c>
      <c r="V143" s="37">
        <v>118576.480417755</v>
      </c>
      <c r="W143" s="45">
        <f t="shared" si="8"/>
        <v>706927.92689295055</v>
      </c>
      <c r="X143" s="46">
        <f t="shared" si="9"/>
        <v>0.88379219463188086</v>
      </c>
    </row>
    <row r="144" spans="1:24" s="4" customFormat="1" ht="15" customHeight="1">
      <c r="A144" s="28" t="s">
        <v>63</v>
      </c>
      <c r="B144" s="29">
        <v>3169.6</v>
      </c>
      <c r="C144" s="30" t="s">
        <v>257</v>
      </c>
      <c r="D144" s="2">
        <v>4947217687</v>
      </c>
      <c r="E144" s="2" t="s">
        <v>14</v>
      </c>
      <c r="F144" s="78" t="s">
        <v>258</v>
      </c>
      <c r="G144" s="28" t="s">
        <v>9</v>
      </c>
      <c r="H144" s="2" t="s">
        <v>23</v>
      </c>
      <c r="I144" s="2">
        <v>11</v>
      </c>
      <c r="J144" s="2"/>
      <c r="K144" s="2">
        <v>7620</v>
      </c>
      <c r="L144" s="35">
        <f t="shared" si="7"/>
        <v>24152352</v>
      </c>
      <c r="M144" s="36">
        <v>2000</v>
      </c>
      <c r="N144" s="37">
        <v>713460.83550913795</v>
      </c>
      <c r="O144" s="37">
        <v>2696.3446475195801</v>
      </c>
      <c r="P144" s="37">
        <v>20771.540469973901</v>
      </c>
      <c r="Q144" s="37">
        <v>32457.702349869502</v>
      </c>
      <c r="R144" s="37">
        <v>147403.133159269</v>
      </c>
      <c r="S144" s="37">
        <v>89669.712793733706</v>
      </c>
      <c r="T144" s="40">
        <v>30000</v>
      </c>
      <c r="U144" s="37">
        <v>544516.97127937304</v>
      </c>
      <c r="V144" s="37">
        <v>329379.11227154097</v>
      </c>
      <c r="W144" s="45">
        <f t="shared" si="8"/>
        <v>1910355.3524804178</v>
      </c>
      <c r="X144" s="46">
        <f t="shared" si="9"/>
        <v>7.9096038037223773</v>
      </c>
    </row>
    <row r="145" spans="1:24" s="4" customFormat="1" ht="15" customHeight="1">
      <c r="A145" s="28" t="s">
        <v>63</v>
      </c>
      <c r="B145" s="29">
        <v>3169.6</v>
      </c>
      <c r="C145" s="30" t="s">
        <v>257</v>
      </c>
      <c r="D145" s="2">
        <v>4947092297</v>
      </c>
      <c r="E145" s="2" t="s">
        <v>14</v>
      </c>
      <c r="F145" s="78" t="s">
        <v>258</v>
      </c>
      <c r="G145" s="28" t="s">
        <v>9</v>
      </c>
      <c r="H145" s="2" t="s">
        <v>23</v>
      </c>
      <c r="I145" s="2">
        <v>11</v>
      </c>
      <c r="J145" s="2"/>
      <c r="K145" s="2">
        <v>1680</v>
      </c>
      <c r="L145" s="35">
        <f t="shared" si="7"/>
        <v>5324928</v>
      </c>
      <c r="M145" s="36">
        <v>800</v>
      </c>
      <c r="N145" s="37">
        <v>285384.33420365502</v>
      </c>
      <c r="O145" s="37">
        <v>1078.5378590078301</v>
      </c>
      <c r="P145" s="37">
        <v>8308.6161879895608</v>
      </c>
      <c r="Q145" s="37">
        <v>12983.0809399478</v>
      </c>
      <c r="R145" s="37">
        <v>58961.2532637076</v>
      </c>
      <c r="S145" s="37">
        <v>35867.885117493497</v>
      </c>
      <c r="T145" s="40">
        <v>30000</v>
      </c>
      <c r="U145" s="37">
        <v>217806.78851174901</v>
      </c>
      <c r="V145" s="37">
        <v>131751.644908616</v>
      </c>
      <c r="W145" s="45">
        <f t="shared" si="8"/>
        <v>782142.14099216636</v>
      </c>
      <c r="X145" s="46">
        <f t="shared" si="9"/>
        <v>14.688313926351048</v>
      </c>
    </row>
    <row r="146" spans="1:24" s="4" customFormat="1" ht="15" customHeight="1">
      <c r="A146" s="28" t="s">
        <v>63</v>
      </c>
      <c r="B146" s="29">
        <v>3169.6</v>
      </c>
      <c r="C146" s="30" t="s">
        <v>257</v>
      </c>
      <c r="D146" s="2">
        <v>4947306170</v>
      </c>
      <c r="E146" s="2" t="s">
        <v>18</v>
      </c>
      <c r="F146" s="78" t="s">
        <v>258</v>
      </c>
      <c r="G146" s="28" t="s">
        <v>9</v>
      </c>
      <c r="H146" s="2" t="s">
        <v>23</v>
      </c>
      <c r="I146" s="2">
        <v>11</v>
      </c>
      <c r="J146" s="2"/>
      <c r="K146" s="2">
        <v>28594</v>
      </c>
      <c r="L146" s="35">
        <f t="shared" si="7"/>
        <v>90631542.399999991</v>
      </c>
      <c r="M146" s="36">
        <v>2900</v>
      </c>
      <c r="N146" s="37">
        <v>1034518.2114882499</v>
      </c>
      <c r="O146" s="37">
        <v>3909.69973890339</v>
      </c>
      <c r="P146" s="37">
        <v>30118.733681462101</v>
      </c>
      <c r="Q146" s="37">
        <v>47063.668407310703</v>
      </c>
      <c r="R146" s="37">
        <v>213734.54308094</v>
      </c>
      <c r="S146" s="37">
        <v>130021.083550914</v>
      </c>
      <c r="T146" s="40">
        <v>30000</v>
      </c>
      <c r="U146" s="37">
        <v>789549.60835509095</v>
      </c>
      <c r="V146" s="37">
        <v>477599.71279373398</v>
      </c>
      <c r="W146" s="45">
        <f t="shared" si="8"/>
        <v>2756515.2610966051</v>
      </c>
      <c r="X146" s="46">
        <f t="shared" si="9"/>
        <v>3.0414524437097139</v>
      </c>
    </row>
    <row r="147" spans="1:24" s="4" customFormat="1" ht="15" customHeight="1">
      <c r="A147" s="28" t="s">
        <v>63</v>
      </c>
      <c r="B147" s="29">
        <v>3169.6</v>
      </c>
      <c r="C147" s="30" t="s">
        <v>259</v>
      </c>
      <c r="D147" s="2">
        <v>4941330543</v>
      </c>
      <c r="E147" s="2" t="s">
        <v>6</v>
      </c>
      <c r="F147" s="2" t="s">
        <v>260</v>
      </c>
      <c r="G147" s="28" t="s">
        <v>5</v>
      </c>
      <c r="H147" s="2" t="s">
        <v>20</v>
      </c>
      <c r="I147" s="2">
        <v>1</v>
      </c>
      <c r="J147" s="2" t="s">
        <v>261</v>
      </c>
      <c r="K147" s="2">
        <v>7154</v>
      </c>
      <c r="L147" s="35">
        <f t="shared" si="7"/>
        <v>22675318.399999999</v>
      </c>
      <c r="M147" s="36">
        <v>4900</v>
      </c>
      <c r="N147" s="37">
        <v>325162</v>
      </c>
      <c r="O147" s="37">
        <v>394878</v>
      </c>
      <c r="P147" s="37">
        <v>0</v>
      </c>
      <c r="Q147" s="37">
        <v>124137</v>
      </c>
      <c r="R147" s="37">
        <v>642965</v>
      </c>
      <c r="S147" s="37">
        <v>343435</v>
      </c>
      <c r="T147" s="40">
        <v>30000</v>
      </c>
      <c r="U147" s="37">
        <v>2119000</v>
      </c>
      <c r="V147" s="37">
        <v>0</v>
      </c>
      <c r="W147" s="45">
        <f t="shared" si="8"/>
        <v>3979577</v>
      </c>
      <c r="X147" s="46">
        <f t="shared" si="9"/>
        <v>17.550258522499952</v>
      </c>
    </row>
    <row r="148" spans="1:24" s="4" customFormat="1" ht="15" customHeight="1">
      <c r="A148" s="28" t="s">
        <v>63</v>
      </c>
      <c r="B148" s="29">
        <v>3169.6</v>
      </c>
      <c r="C148" s="30" t="s">
        <v>262</v>
      </c>
      <c r="D148" s="2">
        <v>4947106847</v>
      </c>
      <c r="E148" s="2" t="s">
        <v>14</v>
      </c>
      <c r="F148" s="78" t="s">
        <v>263</v>
      </c>
      <c r="G148" s="28" t="s">
        <v>5</v>
      </c>
      <c r="H148" s="2" t="s">
        <v>20</v>
      </c>
      <c r="I148" s="2">
        <v>1</v>
      </c>
      <c r="J148" s="2" t="s">
        <v>264</v>
      </c>
      <c r="K148" s="2">
        <v>61464</v>
      </c>
      <c r="L148" s="35">
        <f t="shared" si="7"/>
        <v>194816294.40000001</v>
      </c>
      <c r="M148" s="36">
        <v>10400</v>
      </c>
      <c r="N148" s="37">
        <v>358994</v>
      </c>
      <c r="O148" s="37">
        <v>317159</v>
      </c>
      <c r="P148" s="37">
        <v>0</v>
      </c>
      <c r="Q148" s="37">
        <v>99309</v>
      </c>
      <c r="R148" s="37">
        <v>627403</v>
      </c>
      <c r="S148" s="37">
        <v>343435</v>
      </c>
      <c r="T148" s="40">
        <v>30000</v>
      </c>
      <c r="U148" s="37">
        <v>529000</v>
      </c>
      <c r="V148" s="37">
        <v>0</v>
      </c>
      <c r="W148" s="45">
        <f t="shared" si="8"/>
        <v>2305300</v>
      </c>
      <c r="X148" s="46">
        <f t="shared" si="9"/>
        <v>1.183319910226154</v>
      </c>
    </row>
    <row r="149" spans="1:24" s="4" customFormat="1" ht="15" customHeight="1">
      <c r="A149" s="28" t="s">
        <v>63</v>
      </c>
      <c r="B149" s="29">
        <v>3169.6</v>
      </c>
      <c r="C149" s="30" t="s">
        <v>265</v>
      </c>
      <c r="D149" s="2">
        <v>4947081300</v>
      </c>
      <c r="E149" s="2" t="s">
        <v>21</v>
      </c>
      <c r="F149" s="78" t="s">
        <v>266</v>
      </c>
      <c r="G149" s="28" t="s">
        <v>5</v>
      </c>
      <c r="H149" s="2" t="s">
        <v>17</v>
      </c>
      <c r="I149" s="2">
        <v>1</v>
      </c>
      <c r="J149" s="2" t="s">
        <v>267</v>
      </c>
      <c r="K149" s="2">
        <v>26127.360000000001</v>
      </c>
      <c r="L149" s="35">
        <f t="shared" si="7"/>
        <v>82813280.255999997</v>
      </c>
      <c r="M149" s="36">
        <v>18144</v>
      </c>
      <c r="N149" s="37">
        <v>325162</v>
      </c>
      <c r="O149" s="37">
        <v>418768</v>
      </c>
      <c r="P149" s="37">
        <v>0</v>
      </c>
      <c r="Q149" s="37">
        <v>99309</v>
      </c>
      <c r="R149" s="37">
        <v>639642</v>
      </c>
      <c r="S149" s="37">
        <v>343435</v>
      </c>
      <c r="T149" s="40"/>
      <c r="U149" s="37">
        <v>529000</v>
      </c>
      <c r="V149" s="37">
        <v>0</v>
      </c>
      <c r="W149" s="45">
        <f t="shared" si="8"/>
        <v>2355316</v>
      </c>
      <c r="X149" s="46">
        <f t="shared" si="9"/>
        <v>2.8441283725497062</v>
      </c>
    </row>
    <row r="150" spans="1:24" s="4" customFormat="1" ht="15" customHeight="1">
      <c r="A150" s="28" t="s">
        <v>63</v>
      </c>
      <c r="B150" s="29">
        <v>3169.6</v>
      </c>
      <c r="C150" s="30" t="s">
        <v>268</v>
      </c>
      <c r="D150" s="2">
        <v>4944881456</v>
      </c>
      <c r="E150" s="2" t="s">
        <v>6</v>
      </c>
      <c r="F150" s="78" t="s">
        <v>269</v>
      </c>
      <c r="G150" s="28" t="s">
        <v>9</v>
      </c>
      <c r="H150" s="2" t="s">
        <v>23</v>
      </c>
      <c r="I150" s="2">
        <v>1</v>
      </c>
      <c r="J150" s="2"/>
      <c r="K150" s="2">
        <v>2769.6</v>
      </c>
      <c r="L150" s="35">
        <f t="shared" si="7"/>
        <v>8778524.1600000001</v>
      </c>
      <c r="M150" s="36">
        <v>480</v>
      </c>
      <c r="N150" s="37">
        <v>652681</v>
      </c>
      <c r="O150" s="37">
        <v>384</v>
      </c>
      <c r="P150" s="37">
        <v>0</v>
      </c>
      <c r="Q150" s="37">
        <v>11849</v>
      </c>
      <c r="R150" s="37">
        <v>92552</v>
      </c>
      <c r="S150" s="37">
        <v>343435</v>
      </c>
      <c r="T150" s="40">
        <v>30000</v>
      </c>
      <c r="U150" s="37">
        <v>1560000</v>
      </c>
      <c r="V150" s="37">
        <v>0</v>
      </c>
      <c r="W150" s="45">
        <f t="shared" si="8"/>
        <v>2690901</v>
      </c>
      <c r="X150" s="46">
        <f t="shared" si="9"/>
        <v>30.653227706102253</v>
      </c>
    </row>
    <row r="151" spans="1:24" s="4" customFormat="1" ht="15" customHeight="1">
      <c r="A151" s="28" t="s">
        <v>63</v>
      </c>
      <c r="B151" s="29">
        <v>3169.6</v>
      </c>
      <c r="C151" s="30" t="s">
        <v>270</v>
      </c>
      <c r="D151" s="2">
        <v>4947273668</v>
      </c>
      <c r="E151" s="2" t="s">
        <v>14</v>
      </c>
      <c r="F151" s="2" t="s">
        <v>271</v>
      </c>
      <c r="G151" s="28" t="s">
        <v>9</v>
      </c>
      <c r="H151" s="2" t="s">
        <v>23</v>
      </c>
      <c r="I151" s="2">
        <v>7</v>
      </c>
      <c r="J151" s="2"/>
      <c r="K151" s="2">
        <v>15220.8</v>
      </c>
      <c r="L151" s="35">
        <f t="shared" si="7"/>
        <v>48243847.68</v>
      </c>
      <c r="M151" s="36">
        <v>2520</v>
      </c>
      <c r="N151" s="37">
        <v>1147021</v>
      </c>
      <c r="O151" s="37">
        <v>1818</v>
      </c>
      <c r="P151" s="37">
        <v>0</v>
      </c>
      <c r="Q151" s="37">
        <v>43829</v>
      </c>
      <c r="R151" s="37">
        <v>131078</v>
      </c>
      <c r="S151" s="37">
        <v>343435</v>
      </c>
      <c r="T151" s="40">
        <v>30000</v>
      </c>
      <c r="U151" s="37">
        <v>2085500</v>
      </c>
      <c r="V151" s="37">
        <v>0</v>
      </c>
      <c r="W151" s="45">
        <f t="shared" si="8"/>
        <v>3782681</v>
      </c>
      <c r="X151" s="46">
        <f t="shared" si="9"/>
        <v>7.8407531362141976</v>
      </c>
    </row>
    <row r="152" spans="1:24" s="4" customFormat="1" ht="15" customHeight="1">
      <c r="A152" s="28" t="s">
        <v>63</v>
      </c>
      <c r="B152" s="29">
        <v>3169.6</v>
      </c>
      <c r="C152" s="30" t="s">
        <v>272</v>
      </c>
      <c r="D152" s="2">
        <v>4941335869</v>
      </c>
      <c r="E152" s="2" t="s">
        <v>6</v>
      </c>
      <c r="F152" s="2" t="s">
        <v>273</v>
      </c>
      <c r="G152" s="28" t="s">
        <v>5</v>
      </c>
      <c r="H152" s="2" t="s">
        <v>17</v>
      </c>
      <c r="I152" s="2">
        <v>1</v>
      </c>
      <c r="J152" s="2" t="s">
        <v>274</v>
      </c>
      <c r="K152" s="2">
        <v>18866.5</v>
      </c>
      <c r="L152" s="35">
        <f t="shared" si="7"/>
        <v>59799258.399999999</v>
      </c>
      <c r="M152" s="36">
        <f>3770+1080</f>
        <v>4850</v>
      </c>
      <c r="N152" s="37">
        <v>330482</v>
      </c>
      <c r="O152" s="37">
        <v>521896</v>
      </c>
      <c r="P152" s="37">
        <v>0</v>
      </c>
      <c r="Q152" s="37">
        <v>124137</v>
      </c>
      <c r="R152" s="37">
        <v>944522</v>
      </c>
      <c r="S152" s="37">
        <v>343435</v>
      </c>
      <c r="T152" s="40">
        <v>30000</v>
      </c>
      <c r="U152" s="37">
        <v>4054050</v>
      </c>
      <c r="V152" s="37">
        <v>0</v>
      </c>
      <c r="W152" s="45">
        <f t="shared" si="8"/>
        <v>6348522</v>
      </c>
      <c r="X152" s="46">
        <f t="shared" si="9"/>
        <v>10.616389182512002</v>
      </c>
    </row>
    <row r="153" spans="1:24" s="4" customFormat="1" ht="15" customHeight="1">
      <c r="A153" s="28" t="s">
        <v>63</v>
      </c>
      <c r="B153" s="29">
        <v>3169.6</v>
      </c>
      <c r="C153" s="30" t="s">
        <v>275</v>
      </c>
      <c r="D153" s="2">
        <v>4947217697</v>
      </c>
      <c r="E153" s="2" t="s">
        <v>14</v>
      </c>
      <c r="F153" s="2" t="s">
        <v>276</v>
      </c>
      <c r="G153" s="28" t="s">
        <v>9</v>
      </c>
      <c r="H153" s="2" t="s">
        <v>23</v>
      </c>
      <c r="I153" s="2">
        <v>2</v>
      </c>
      <c r="J153" s="2"/>
      <c r="K153" s="2">
        <v>23705.599999999999</v>
      </c>
      <c r="L153" s="35">
        <f t="shared" si="7"/>
        <v>75137269.75999999</v>
      </c>
      <c r="M153" s="36">
        <v>320</v>
      </c>
      <c r="N153" s="37">
        <v>343561.33333333302</v>
      </c>
      <c r="O153" s="37">
        <v>240.666666666667</v>
      </c>
      <c r="P153" s="37">
        <v>38248</v>
      </c>
      <c r="Q153" s="37">
        <v>5615.3333333333303</v>
      </c>
      <c r="R153" s="37">
        <v>63179.333333333299</v>
      </c>
      <c r="S153" s="37">
        <v>228956.66666666701</v>
      </c>
      <c r="T153" s="40">
        <v>30000</v>
      </c>
      <c r="U153" s="37">
        <v>399616.76646706602</v>
      </c>
      <c r="V153" s="37">
        <v>0</v>
      </c>
      <c r="W153" s="45">
        <f t="shared" si="8"/>
        <v>1109418.0998003995</v>
      </c>
      <c r="X153" s="46">
        <f t="shared" si="9"/>
        <v>1.4765217093248819</v>
      </c>
    </row>
    <row r="154" spans="1:24" s="4" customFormat="1" ht="15" customHeight="1">
      <c r="A154" s="28" t="s">
        <v>63</v>
      </c>
      <c r="B154" s="29">
        <v>3169.6</v>
      </c>
      <c r="C154" s="30" t="s">
        <v>275</v>
      </c>
      <c r="D154" s="2">
        <v>4947612638</v>
      </c>
      <c r="E154" s="2" t="s">
        <v>14</v>
      </c>
      <c r="F154" s="2" t="s">
        <v>276</v>
      </c>
      <c r="G154" s="28" t="s">
        <v>9</v>
      </c>
      <c r="H154" s="2" t="s">
        <v>23</v>
      </c>
      <c r="I154" s="2">
        <v>2</v>
      </c>
      <c r="J154" s="2"/>
      <c r="K154" s="2">
        <v>2601.6</v>
      </c>
      <c r="L154" s="35">
        <f t="shared" si="7"/>
        <v>8246031.3599999994</v>
      </c>
      <c r="M154" s="36">
        <v>160</v>
      </c>
      <c r="N154" s="37">
        <v>171780.66666666701</v>
      </c>
      <c r="O154" s="37">
        <v>120.333333333333</v>
      </c>
      <c r="P154" s="37">
        <v>19124</v>
      </c>
      <c r="Q154" s="37">
        <v>2807.6666666666702</v>
      </c>
      <c r="R154" s="37">
        <v>31589.666666666701</v>
      </c>
      <c r="S154" s="37">
        <v>114478.33333333299</v>
      </c>
      <c r="T154" s="40">
        <v>30000</v>
      </c>
      <c r="U154" s="37">
        <v>199808.38323353301</v>
      </c>
      <c r="V154" s="37">
        <v>0</v>
      </c>
      <c r="W154" s="45">
        <f t="shared" si="8"/>
        <v>569709.04990019975</v>
      </c>
      <c r="X154" s="46">
        <f t="shared" si="9"/>
        <v>6.9088877428208058</v>
      </c>
    </row>
    <row r="155" spans="1:24" s="4" customFormat="1" ht="15" customHeight="1">
      <c r="A155" s="28" t="s">
        <v>63</v>
      </c>
      <c r="B155" s="29">
        <v>3169.6</v>
      </c>
      <c r="C155" s="30" t="s">
        <v>277</v>
      </c>
      <c r="D155" s="2">
        <v>4947705165</v>
      </c>
      <c r="E155" s="2" t="s">
        <v>14</v>
      </c>
      <c r="F155" s="78" t="s">
        <v>278</v>
      </c>
      <c r="G155" s="28" t="s">
        <v>9</v>
      </c>
      <c r="H155" s="2" t="s">
        <v>23</v>
      </c>
      <c r="I155" s="2">
        <v>1</v>
      </c>
      <c r="J155" s="2"/>
      <c r="K155" s="2">
        <v>1848</v>
      </c>
      <c r="L155" s="35">
        <f t="shared" si="7"/>
        <v>5857420.7999999998</v>
      </c>
      <c r="M155" s="36">
        <v>840</v>
      </c>
      <c r="N155" s="37">
        <v>480304</v>
      </c>
      <c r="O155" s="37">
        <v>579</v>
      </c>
      <c r="P155" s="37">
        <v>8928</v>
      </c>
      <c r="Q155" s="37">
        <v>13729</v>
      </c>
      <c r="R155" s="37">
        <v>93982</v>
      </c>
      <c r="S155" s="37">
        <v>343435</v>
      </c>
      <c r="T155" s="40">
        <v>30000</v>
      </c>
      <c r="U155" s="37">
        <v>957390</v>
      </c>
      <c r="V155" s="37">
        <v>0</v>
      </c>
      <c r="W155" s="45">
        <f t="shared" si="8"/>
        <v>1928347</v>
      </c>
      <c r="X155" s="46">
        <f t="shared" si="9"/>
        <v>32.921435318425473</v>
      </c>
    </row>
    <row r="156" spans="1:24" s="4" customFormat="1" ht="15" customHeight="1">
      <c r="A156" s="28" t="s">
        <v>63</v>
      </c>
      <c r="B156" s="29">
        <v>3169.6</v>
      </c>
      <c r="C156" s="30" t="s">
        <v>279</v>
      </c>
      <c r="D156" s="2">
        <v>4947303627</v>
      </c>
      <c r="E156" s="2" t="s">
        <v>33</v>
      </c>
      <c r="F156" s="78" t="s">
        <v>280</v>
      </c>
      <c r="G156" s="28" t="s">
        <v>9</v>
      </c>
      <c r="H156" s="2" t="s">
        <v>23</v>
      </c>
      <c r="I156" s="2">
        <v>2</v>
      </c>
      <c r="J156" s="2"/>
      <c r="K156" s="2">
        <v>9131</v>
      </c>
      <c r="L156" s="35">
        <f t="shared" si="7"/>
        <v>28941617.599999998</v>
      </c>
      <c r="M156" s="36">
        <v>5600</v>
      </c>
      <c r="N156" s="37">
        <v>2278628</v>
      </c>
      <c r="O156" s="37">
        <v>1511</v>
      </c>
      <c r="P156" s="37">
        <v>240981</v>
      </c>
      <c r="Q156" s="37">
        <v>35504</v>
      </c>
      <c r="R156" s="37">
        <v>127900</v>
      </c>
      <c r="S156" s="37">
        <v>343435</v>
      </c>
      <c r="T156" s="40"/>
      <c r="U156" s="37">
        <v>1396800</v>
      </c>
      <c r="V156" s="37">
        <v>0</v>
      </c>
      <c r="W156" s="45">
        <f t="shared" si="8"/>
        <v>4424759</v>
      </c>
      <c r="X156" s="46">
        <f t="shared" si="9"/>
        <v>15.288568390178717</v>
      </c>
    </row>
    <row r="157" spans="1:24" s="4" customFormat="1" ht="15" customHeight="1">
      <c r="A157" s="28" t="s">
        <v>63</v>
      </c>
      <c r="B157" s="29">
        <v>3169.6</v>
      </c>
      <c r="C157" s="30" t="s">
        <v>281</v>
      </c>
      <c r="D157" s="2">
        <v>4947112619</v>
      </c>
      <c r="E157" s="2" t="s">
        <v>6</v>
      </c>
      <c r="F157" s="78" t="s">
        <v>282</v>
      </c>
      <c r="G157" s="28" t="s">
        <v>9</v>
      </c>
      <c r="H157" s="2" t="s">
        <v>23</v>
      </c>
      <c r="I157" s="2">
        <v>3</v>
      </c>
      <c r="J157" s="2"/>
      <c r="K157" s="2">
        <v>33443.71</v>
      </c>
      <c r="L157" s="35">
        <f t="shared" si="7"/>
        <v>106003183.21599999</v>
      </c>
      <c r="M157" s="36">
        <v>345600</v>
      </c>
      <c r="N157" s="37">
        <v>793338</v>
      </c>
      <c r="O157" s="37">
        <v>625</v>
      </c>
      <c r="P157" s="37">
        <v>49417</v>
      </c>
      <c r="Q157" s="37">
        <v>17930</v>
      </c>
      <c r="R157" s="37">
        <v>97451</v>
      </c>
      <c r="S157" s="37">
        <v>343435</v>
      </c>
      <c r="T157" s="40">
        <v>30000</v>
      </c>
      <c r="U157" s="37">
        <v>2085500</v>
      </c>
      <c r="V157" s="37">
        <v>0</v>
      </c>
      <c r="W157" s="45">
        <f t="shared" si="8"/>
        <v>3417696</v>
      </c>
      <c r="X157" s="46">
        <f t="shared" si="9"/>
        <v>3.2241446872740109</v>
      </c>
    </row>
    <row r="158" spans="1:24" s="4" customFormat="1" ht="15" customHeight="1">
      <c r="A158" s="28" t="s">
        <v>63</v>
      </c>
      <c r="B158" s="29">
        <v>3169.6</v>
      </c>
      <c r="C158" s="30" t="s">
        <v>283</v>
      </c>
      <c r="D158" s="2">
        <v>4946294846</v>
      </c>
      <c r="E158" s="2" t="s">
        <v>33</v>
      </c>
      <c r="F158" s="2" t="s">
        <v>284</v>
      </c>
      <c r="G158" s="28" t="s">
        <v>9</v>
      </c>
      <c r="H158" s="2" t="s">
        <v>23</v>
      </c>
      <c r="I158" s="2">
        <v>10</v>
      </c>
      <c r="J158" s="2"/>
      <c r="K158" s="2">
        <v>3267.61</v>
      </c>
      <c r="L158" s="35">
        <f t="shared" si="7"/>
        <v>10357016.655999999</v>
      </c>
      <c r="M158" s="36">
        <v>70</v>
      </c>
      <c r="N158" s="37">
        <v>150203.19918458199</v>
      </c>
      <c r="O158" s="37">
        <v>1530</v>
      </c>
      <c r="P158" s="37">
        <v>88939.650110492497</v>
      </c>
      <c r="Q158" s="37">
        <v>23188.148148148099</v>
      </c>
      <c r="R158" s="37">
        <v>111990.698747752</v>
      </c>
      <c r="S158" s="37">
        <v>36203.785173447497</v>
      </c>
      <c r="T158" s="40"/>
      <c r="U158" s="37">
        <v>228026.86886509601</v>
      </c>
      <c r="V158" s="37">
        <v>0</v>
      </c>
      <c r="W158" s="45">
        <f t="shared" si="8"/>
        <v>640082.35022951802</v>
      </c>
      <c r="X158" s="46">
        <f t="shared" si="9"/>
        <v>6.1801807556108086</v>
      </c>
    </row>
    <row r="159" spans="1:24" s="4" customFormat="1" ht="15" customHeight="1">
      <c r="A159" s="28" t="s">
        <v>63</v>
      </c>
      <c r="B159" s="29">
        <v>3169.6</v>
      </c>
      <c r="C159" s="30" t="s">
        <v>283</v>
      </c>
      <c r="D159" s="2">
        <v>4946294846</v>
      </c>
      <c r="E159" s="2" t="s">
        <v>33</v>
      </c>
      <c r="F159" s="2" t="s">
        <v>284</v>
      </c>
      <c r="G159" s="28" t="s">
        <v>9</v>
      </c>
      <c r="H159" s="2" t="s">
        <v>23</v>
      </c>
      <c r="I159" s="2">
        <v>10</v>
      </c>
      <c r="J159" s="2"/>
      <c r="K159" s="2">
        <v>4863.2700000000004</v>
      </c>
      <c r="L159" s="35">
        <f t="shared" si="7"/>
        <v>15414620.592</v>
      </c>
      <c r="M159" s="36">
        <v>70</v>
      </c>
      <c r="N159" s="37">
        <v>62774.036378586701</v>
      </c>
      <c r="O159" s="37">
        <v>1530</v>
      </c>
      <c r="P159" s="37">
        <v>37170.319020128503</v>
      </c>
      <c r="Q159" s="37">
        <v>23188.148148148099</v>
      </c>
      <c r="R159" s="37">
        <v>46803.984438543899</v>
      </c>
      <c r="S159" s="37">
        <v>15130.554740899401</v>
      </c>
      <c r="T159" s="40"/>
      <c r="U159" s="37">
        <v>95298.682312633799</v>
      </c>
      <c r="V159" s="37">
        <v>0</v>
      </c>
      <c r="W159" s="45">
        <f t="shared" si="8"/>
        <v>281895.72503894038</v>
      </c>
      <c r="X159" s="46">
        <f t="shared" si="9"/>
        <v>1.8287555204909864</v>
      </c>
    </row>
    <row r="160" spans="1:24" s="4" customFormat="1" ht="15" customHeight="1">
      <c r="A160" s="28" t="s">
        <v>63</v>
      </c>
      <c r="B160" s="29">
        <v>3169.6</v>
      </c>
      <c r="C160" s="30" t="s">
        <v>283</v>
      </c>
      <c r="D160" s="2">
        <v>4946294846</v>
      </c>
      <c r="E160" s="2" t="s">
        <v>33</v>
      </c>
      <c r="F160" s="2" t="s">
        <v>284</v>
      </c>
      <c r="G160" s="28" t="s">
        <v>9</v>
      </c>
      <c r="H160" s="2" t="s">
        <v>23</v>
      </c>
      <c r="I160" s="2">
        <v>10</v>
      </c>
      <c r="J160" s="2"/>
      <c r="K160" s="2">
        <v>6041.14</v>
      </c>
      <c r="L160" s="35">
        <f t="shared" si="7"/>
        <v>19147997.344000001</v>
      </c>
      <c r="M160" s="36">
        <v>70</v>
      </c>
      <c r="N160" s="37">
        <v>976527.04736616695</v>
      </c>
      <c r="O160" s="37">
        <v>1530</v>
      </c>
      <c r="P160" s="37">
        <v>578229.85387580295</v>
      </c>
      <c r="Q160" s="37">
        <v>23188.148148148099</v>
      </c>
      <c r="R160" s="37">
        <v>728093.32274089905</v>
      </c>
      <c r="S160" s="37">
        <v>235374.317130621</v>
      </c>
      <c r="T160" s="40"/>
      <c r="U160" s="37">
        <v>1482487.7644539599</v>
      </c>
      <c r="V160" s="37">
        <v>0</v>
      </c>
      <c r="W160" s="45">
        <f t="shared" si="8"/>
        <v>4025430.4537155982</v>
      </c>
      <c r="X160" s="46">
        <f t="shared" si="9"/>
        <v>21.022723062874046</v>
      </c>
    </row>
    <row r="161" spans="1:24" s="4" customFormat="1" ht="15" customHeight="1">
      <c r="A161" s="28" t="s">
        <v>63</v>
      </c>
      <c r="B161" s="29">
        <v>3169.6</v>
      </c>
      <c r="C161" s="30" t="s">
        <v>283</v>
      </c>
      <c r="D161" s="2">
        <v>4946294846</v>
      </c>
      <c r="E161" s="2" t="s">
        <v>33</v>
      </c>
      <c r="F161" s="2" t="s">
        <v>284</v>
      </c>
      <c r="G161" s="28" t="s">
        <v>9</v>
      </c>
      <c r="H161" s="2" t="s">
        <v>23</v>
      </c>
      <c r="I161" s="2">
        <v>10</v>
      </c>
      <c r="J161" s="2"/>
      <c r="K161" s="2">
        <v>6595.13</v>
      </c>
      <c r="L161" s="35">
        <f t="shared" si="7"/>
        <v>20903924.048</v>
      </c>
      <c r="M161" s="36">
        <v>168</v>
      </c>
      <c r="N161" s="37">
        <v>235347.71707066399</v>
      </c>
      <c r="O161" s="37">
        <v>3672</v>
      </c>
      <c r="P161" s="37">
        <v>139356.17699357599</v>
      </c>
      <c r="Q161" s="37">
        <v>55651.555555555598</v>
      </c>
      <c r="R161" s="37">
        <v>175473.99407280501</v>
      </c>
      <c r="S161" s="37">
        <v>56726.342955032102</v>
      </c>
      <c r="T161" s="40"/>
      <c r="U161" s="37">
        <v>357286.68436830799</v>
      </c>
      <c r="V161" s="37">
        <v>0</v>
      </c>
      <c r="W161" s="45">
        <f t="shared" si="8"/>
        <v>1023514.4710159407</v>
      </c>
      <c r="X161" s="46">
        <f t="shared" si="9"/>
        <v>4.8962791324046462</v>
      </c>
    </row>
    <row r="162" spans="1:24" s="4" customFormat="1" ht="15" customHeight="1">
      <c r="A162" s="28" t="s">
        <v>63</v>
      </c>
      <c r="B162" s="29">
        <v>3169.6</v>
      </c>
      <c r="C162" s="30" t="s">
        <v>285</v>
      </c>
      <c r="D162" s="2">
        <v>4947307720</v>
      </c>
      <c r="E162" s="2" t="s">
        <v>18</v>
      </c>
      <c r="F162" s="2" t="s">
        <v>286</v>
      </c>
      <c r="G162" s="28" t="s">
        <v>5</v>
      </c>
      <c r="H162" s="2" t="s">
        <v>17</v>
      </c>
      <c r="I162" s="2">
        <v>1</v>
      </c>
      <c r="J162" s="2" t="s">
        <v>287</v>
      </c>
      <c r="K162" s="2">
        <v>12000</v>
      </c>
      <c r="L162" s="35">
        <f t="shared" si="7"/>
        <v>38035200</v>
      </c>
      <c r="M162" s="36">
        <v>20000</v>
      </c>
      <c r="N162" s="37">
        <v>304892</v>
      </c>
      <c r="O162" s="37">
        <v>418768</v>
      </c>
      <c r="P162" s="37">
        <v>451545</v>
      </c>
      <c r="Q162" s="37">
        <v>99309</v>
      </c>
      <c r="R162" s="37">
        <v>861370</v>
      </c>
      <c r="S162" s="37">
        <v>343435</v>
      </c>
      <c r="T162" s="40">
        <v>30000</v>
      </c>
      <c r="U162" s="37">
        <v>4975550</v>
      </c>
      <c r="V162" s="37">
        <v>0</v>
      </c>
      <c r="W162" s="45">
        <f t="shared" si="8"/>
        <v>7484869</v>
      </c>
      <c r="X162" s="46">
        <f t="shared" si="9"/>
        <v>19.678794905771497</v>
      </c>
    </row>
    <row r="163" spans="1:24" s="4" customFormat="1" ht="15" customHeight="1">
      <c r="A163" s="28" t="s">
        <v>63</v>
      </c>
      <c r="B163" s="29">
        <v>3169.6</v>
      </c>
      <c r="C163" s="30" t="s">
        <v>288</v>
      </c>
      <c r="D163" s="2">
        <v>4946818448</v>
      </c>
      <c r="E163" s="2" t="s">
        <v>33</v>
      </c>
      <c r="F163" s="78" t="s">
        <v>289</v>
      </c>
      <c r="G163" s="28" t="s">
        <v>5</v>
      </c>
      <c r="H163" s="2" t="s">
        <v>20</v>
      </c>
      <c r="I163" s="2">
        <v>1</v>
      </c>
      <c r="J163" s="2" t="s">
        <v>290</v>
      </c>
      <c r="K163" s="2">
        <v>50688</v>
      </c>
      <c r="L163" s="35">
        <f t="shared" si="7"/>
        <v>160660684.79999998</v>
      </c>
      <c r="M163" s="36">
        <v>39600</v>
      </c>
      <c r="N163" s="37">
        <v>942996</v>
      </c>
      <c r="O163" s="37">
        <v>659001</v>
      </c>
      <c r="P163" s="37">
        <v>0</v>
      </c>
      <c r="Q163" s="37">
        <v>210951</v>
      </c>
      <c r="R163" s="37">
        <v>1252708</v>
      </c>
      <c r="S163" s="37">
        <v>343435</v>
      </c>
      <c r="T163" s="40"/>
      <c r="U163" s="37">
        <v>4350000</v>
      </c>
      <c r="V163" s="37">
        <v>0</v>
      </c>
      <c r="W163" s="45">
        <f t="shared" si="8"/>
        <v>7759091</v>
      </c>
      <c r="X163" s="46">
        <f t="shared" si="9"/>
        <v>4.8294895603482457</v>
      </c>
    </row>
    <row r="164" spans="1:24" s="4" customFormat="1" ht="15" customHeight="1">
      <c r="A164" s="28" t="s">
        <v>63</v>
      </c>
      <c r="B164" s="29">
        <v>3169.6</v>
      </c>
      <c r="C164" s="30" t="s">
        <v>291</v>
      </c>
      <c r="D164" s="2">
        <v>4947217691</v>
      </c>
      <c r="E164" s="2" t="s">
        <v>14</v>
      </c>
      <c r="F164" s="78" t="s">
        <v>292</v>
      </c>
      <c r="G164" s="28" t="s">
        <v>5</v>
      </c>
      <c r="H164" s="2" t="s">
        <v>20</v>
      </c>
      <c r="I164" s="2">
        <v>1</v>
      </c>
      <c r="J164" s="2" t="s">
        <v>293</v>
      </c>
      <c r="K164" s="2">
        <v>52052</v>
      </c>
      <c r="L164" s="35">
        <f t="shared" si="7"/>
        <v>164984019.19999999</v>
      </c>
      <c r="M164" s="36">
        <v>6160</v>
      </c>
      <c r="N164" s="37">
        <v>471500</v>
      </c>
      <c r="O164" s="37">
        <v>317159</v>
      </c>
      <c r="P164" s="37">
        <v>0</v>
      </c>
      <c r="Q164" s="37">
        <v>99309</v>
      </c>
      <c r="R164" s="37">
        <v>627853</v>
      </c>
      <c r="S164" s="37">
        <v>343435</v>
      </c>
      <c r="T164" s="40">
        <v>30000</v>
      </c>
      <c r="U164" s="37">
        <v>2601700</v>
      </c>
      <c r="V164" s="37">
        <v>0</v>
      </c>
      <c r="W164" s="45">
        <f t="shared" si="8"/>
        <v>4490956</v>
      </c>
      <c r="X164" s="46">
        <f t="shared" si="9"/>
        <v>2.7220551552668204</v>
      </c>
    </row>
    <row r="165" spans="1:24" s="4" customFormat="1" ht="15" customHeight="1">
      <c r="A165" s="28" t="s">
        <v>63</v>
      </c>
      <c r="B165" s="29">
        <v>3169.6</v>
      </c>
      <c r="C165" s="30" t="s">
        <v>294</v>
      </c>
      <c r="D165" s="2">
        <v>4947002343</v>
      </c>
      <c r="E165" s="2" t="s">
        <v>14</v>
      </c>
      <c r="F165" s="78" t="s">
        <v>295</v>
      </c>
      <c r="G165" s="28" t="s">
        <v>5</v>
      </c>
      <c r="H165" s="2" t="s">
        <v>26</v>
      </c>
      <c r="I165" s="2">
        <v>1</v>
      </c>
      <c r="J165" s="2" t="s">
        <v>296</v>
      </c>
      <c r="K165" s="2">
        <v>30521.599999999999</v>
      </c>
      <c r="L165" s="35">
        <f t="shared" si="7"/>
        <v>96741263.359999999</v>
      </c>
      <c r="M165" s="36">
        <v>2080</v>
      </c>
      <c r="N165" s="37">
        <v>324197</v>
      </c>
      <c r="O165" s="37">
        <v>390324</v>
      </c>
      <c r="P165" s="37">
        <v>151291</v>
      </c>
      <c r="Q165" s="37">
        <v>99309</v>
      </c>
      <c r="R165" s="37">
        <v>609954</v>
      </c>
      <c r="S165" s="37">
        <v>343435</v>
      </c>
      <c r="T165" s="40">
        <v>30000</v>
      </c>
      <c r="U165" s="37">
        <v>0</v>
      </c>
      <c r="V165" s="37">
        <v>0</v>
      </c>
      <c r="W165" s="45">
        <f t="shared" si="8"/>
        <v>1948510</v>
      </c>
      <c r="X165" s="46">
        <f t="shared" si="9"/>
        <v>2.0141457040405557</v>
      </c>
    </row>
    <row r="166" spans="1:24" s="4" customFormat="1" ht="15" customHeight="1">
      <c r="A166" s="28" t="s">
        <v>63</v>
      </c>
      <c r="B166" s="29">
        <v>3169.6</v>
      </c>
      <c r="C166" s="30" t="s">
        <v>297</v>
      </c>
      <c r="D166" s="2">
        <v>4947174118</v>
      </c>
      <c r="E166" s="2" t="s">
        <v>33</v>
      </c>
      <c r="F166" s="78" t="s">
        <v>298</v>
      </c>
      <c r="G166" s="28" t="s">
        <v>9</v>
      </c>
      <c r="H166" s="2" t="s">
        <v>23</v>
      </c>
      <c r="I166" s="2">
        <v>2</v>
      </c>
      <c r="J166" s="2"/>
      <c r="K166" s="2">
        <v>3297.56</v>
      </c>
      <c r="L166" s="35">
        <f t="shared" si="7"/>
        <v>10451946.175999999</v>
      </c>
      <c r="M166" s="36">
        <v>75</v>
      </c>
      <c r="N166" s="37">
        <v>433308.38121137198</v>
      </c>
      <c r="O166" s="37">
        <v>652.89473684210498</v>
      </c>
      <c r="P166" s="37">
        <v>44088.611124845498</v>
      </c>
      <c r="Q166" s="37">
        <v>10012.8947368421</v>
      </c>
      <c r="R166" s="37">
        <v>280674.76637824503</v>
      </c>
      <c r="S166" s="37">
        <v>272880.12113720598</v>
      </c>
      <c r="T166" s="40"/>
      <c r="U166" s="37">
        <v>1291161.92830655</v>
      </c>
      <c r="V166" s="37">
        <v>0</v>
      </c>
      <c r="W166" s="45">
        <f t="shared" si="8"/>
        <v>2332779.5976319024</v>
      </c>
      <c r="X166" s="46">
        <f t="shared" si="9"/>
        <v>22.319093098551203</v>
      </c>
    </row>
    <row r="167" spans="1:24" s="4" customFormat="1" ht="15" customHeight="1">
      <c r="A167" s="28" t="s">
        <v>63</v>
      </c>
      <c r="B167" s="29">
        <v>3169.6</v>
      </c>
      <c r="C167" s="30" t="s">
        <v>297</v>
      </c>
      <c r="D167" s="2">
        <v>4947174118</v>
      </c>
      <c r="E167" s="2" t="s">
        <v>33</v>
      </c>
      <c r="F167" s="78" t="s">
        <v>298</v>
      </c>
      <c r="G167" s="28" t="s">
        <v>9</v>
      </c>
      <c r="H167" s="2" t="s">
        <v>23</v>
      </c>
      <c r="I167" s="2">
        <v>2</v>
      </c>
      <c r="J167" s="2"/>
      <c r="K167" s="2">
        <v>466.8</v>
      </c>
      <c r="L167" s="35">
        <f t="shared" si="7"/>
        <v>1479569.28</v>
      </c>
      <c r="M167" s="36">
        <v>10</v>
      </c>
      <c r="N167" s="37">
        <v>79012.942941903602</v>
      </c>
      <c r="O167" s="37">
        <v>87.052631578947398</v>
      </c>
      <c r="P167" s="37">
        <v>8039.4727317676097</v>
      </c>
      <c r="Q167" s="37">
        <v>1335.05263157895</v>
      </c>
      <c r="R167" s="37">
        <v>51180.499299546798</v>
      </c>
      <c r="S167" s="37">
        <v>49759.160857025097</v>
      </c>
      <c r="T167" s="40"/>
      <c r="U167" s="37">
        <v>235440.87350638601</v>
      </c>
      <c r="V167" s="37">
        <v>0</v>
      </c>
      <c r="W167" s="45">
        <f t="shared" si="8"/>
        <v>424855.05459978699</v>
      </c>
      <c r="X167" s="46">
        <f t="shared" si="9"/>
        <v>28.714779384969859</v>
      </c>
    </row>
    <row r="168" spans="1:24" s="4" customFormat="1" ht="15" customHeight="1">
      <c r="A168" s="28" t="s">
        <v>63</v>
      </c>
      <c r="B168" s="29">
        <v>3169.6</v>
      </c>
      <c r="C168" s="30" t="s">
        <v>297</v>
      </c>
      <c r="D168" s="2">
        <v>4947174118</v>
      </c>
      <c r="E168" s="2" t="s">
        <v>33</v>
      </c>
      <c r="F168" s="78" t="s">
        <v>298</v>
      </c>
      <c r="G168" s="28" t="s">
        <v>9</v>
      </c>
      <c r="H168" s="2" t="s">
        <v>23</v>
      </c>
      <c r="I168" s="2">
        <v>2</v>
      </c>
      <c r="J168" s="2"/>
      <c r="K168" s="2">
        <v>694.75</v>
      </c>
      <c r="L168" s="35">
        <f t="shared" si="7"/>
        <v>2202079.6</v>
      </c>
      <c r="M168" s="36">
        <v>10</v>
      </c>
      <c r="N168" s="37">
        <v>33021.675846724298</v>
      </c>
      <c r="O168" s="37">
        <v>87.052631578947398</v>
      </c>
      <c r="P168" s="37">
        <v>3359.9161433868999</v>
      </c>
      <c r="Q168" s="37">
        <v>1335.05263157895</v>
      </c>
      <c r="R168" s="37">
        <v>21389.7343222085</v>
      </c>
      <c r="S168" s="37">
        <v>20795.718005768402</v>
      </c>
      <c r="T168" s="40"/>
      <c r="U168" s="37">
        <v>98397.198187062197</v>
      </c>
      <c r="V168" s="37">
        <v>0</v>
      </c>
      <c r="W168" s="45">
        <f t="shared" si="8"/>
        <v>178386.34776830819</v>
      </c>
      <c r="X168" s="46">
        <f t="shared" si="9"/>
        <v>8.1008128756248485</v>
      </c>
    </row>
    <row r="169" spans="1:24" s="4" customFormat="1" ht="15" customHeight="1">
      <c r="A169" s="28" t="s">
        <v>63</v>
      </c>
      <c r="B169" s="29">
        <v>3169.6</v>
      </c>
      <c r="C169" s="30" t="s">
        <v>299</v>
      </c>
      <c r="D169" s="2">
        <v>4947510911</v>
      </c>
      <c r="E169" s="2" t="s">
        <v>14</v>
      </c>
      <c r="F169" s="2" t="s">
        <v>300</v>
      </c>
      <c r="G169" s="28" t="s">
        <v>9</v>
      </c>
      <c r="H169" s="2" t="s">
        <v>23</v>
      </c>
      <c r="I169" s="2">
        <v>3</v>
      </c>
      <c r="J169" s="2"/>
      <c r="K169" s="2">
        <v>4776</v>
      </c>
      <c r="L169" s="35">
        <f t="shared" si="7"/>
        <v>15138009.6</v>
      </c>
      <c r="M169" s="36">
        <v>2400</v>
      </c>
      <c r="N169" s="37">
        <v>873665</v>
      </c>
      <c r="O169" s="37">
        <v>1579</v>
      </c>
      <c r="P169" s="37">
        <v>128543</v>
      </c>
      <c r="Q169" s="37">
        <v>46788</v>
      </c>
      <c r="R169" s="37">
        <v>124399</v>
      </c>
      <c r="S169" s="37">
        <v>343435</v>
      </c>
      <c r="T169" s="40">
        <v>30000</v>
      </c>
      <c r="U169" s="37">
        <v>1564125</v>
      </c>
      <c r="V169" s="37">
        <v>0</v>
      </c>
      <c r="W169" s="45">
        <f t="shared" si="8"/>
        <v>3112534</v>
      </c>
      <c r="X169" s="46">
        <f t="shared" si="9"/>
        <v>20.561051830750589</v>
      </c>
    </row>
    <row r="170" spans="1:24" s="4" customFormat="1" ht="15" customHeight="1">
      <c r="A170" s="28" t="s">
        <v>63</v>
      </c>
      <c r="B170" s="29">
        <v>3169.6</v>
      </c>
      <c r="C170" s="30" t="s">
        <v>301</v>
      </c>
      <c r="D170" s="2">
        <v>4947306177</v>
      </c>
      <c r="E170" s="2" t="s">
        <v>18</v>
      </c>
      <c r="F170" s="78" t="s">
        <v>302</v>
      </c>
      <c r="G170" s="28" t="s">
        <v>5</v>
      </c>
      <c r="H170" s="2" t="s">
        <v>17</v>
      </c>
      <c r="I170" s="2">
        <v>1</v>
      </c>
      <c r="J170" s="2" t="s">
        <v>303</v>
      </c>
      <c r="K170" s="2">
        <v>68800</v>
      </c>
      <c r="L170" s="35">
        <f t="shared" si="7"/>
        <v>218068480</v>
      </c>
      <c r="M170" s="36">
        <f>925+3075+12000</f>
        <v>16000</v>
      </c>
      <c r="N170" s="37">
        <v>324197</v>
      </c>
      <c r="O170" s="37">
        <v>418768</v>
      </c>
      <c r="P170" s="37">
        <v>0</v>
      </c>
      <c r="Q170" s="37">
        <v>99309</v>
      </c>
      <c r="R170" s="37">
        <v>645887</v>
      </c>
      <c r="S170" s="37">
        <v>343435</v>
      </c>
      <c r="T170" s="40">
        <v>30000</v>
      </c>
      <c r="U170" s="37">
        <v>4781550</v>
      </c>
      <c r="V170" s="37">
        <v>1261522</v>
      </c>
      <c r="W170" s="45">
        <f t="shared" si="8"/>
        <v>7904668</v>
      </c>
      <c r="X170" s="46">
        <f t="shared" si="9"/>
        <v>3.6248558251059486</v>
      </c>
    </row>
    <row r="171" spans="1:24" s="4" customFormat="1" ht="15" customHeight="1">
      <c r="A171" s="28" t="s">
        <v>63</v>
      </c>
      <c r="B171" s="29">
        <v>3169.6</v>
      </c>
      <c r="C171" s="30" t="s">
        <v>304</v>
      </c>
      <c r="D171" s="2">
        <v>4946737903</v>
      </c>
      <c r="E171" s="2" t="s">
        <v>14</v>
      </c>
      <c r="F171" s="78" t="s">
        <v>305</v>
      </c>
      <c r="G171" s="28" t="s">
        <v>9</v>
      </c>
      <c r="H171" s="2" t="s">
        <v>23</v>
      </c>
      <c r="I171" s="2">
        <v>1</v>
      </c>
      <c r="J171" s="2"/>
      <c r="K171" s="2">
        <v>2397.6</v>
      </c>
      <c r="L171" s="35">
        <f t="shared" si="7"/>
        <v>7599432.959999999</v>
      </c>
      <c r="M171" s="36">
        <v>400</v>
      </c>
      <c r="N171" s="37">
        <v>221914</v>
      </c>
      <c r="O171" s="37">
        <v>296</v>
      </c>
      <c r="P171" s="37">
        <v>45910</v>
      </c>
      <c r="Q171" s="37">
        <v>6812</v>
      </c>
      <c r="R171" s="37">
        <v>85867</v>
      </c>
      <c r="S171" s="37">
        <v>343435</v>
      </c>
      <c r="T171" s="40">
        <v>30000</v>
      </c>
      <c r="U171" s="37">
        <v>499520.958083832</v>
      </c>
      <c r="V171" s="37">
        <v>0</v>
      </c>
      <c r="W171" s="45">
        <f t="shared" si="8"/>
        <v>1233754.9580838319</v>
      </c>
      <c r="X171" s="46">
        <f t="shared" si="9"/>
        <v>16.23482915867228</v>
      </c>
    </row>
    <row r="172" spans="1:24" s="4" customFormat="1" ht="15" customHeight="1">
      <c r="A172" s="28" t="s">
        <v>63</v>
      </c>
      <c r="B172" s="29">
        <v>3169.6</v>
      </c>
      <c r="C172" s="30" t="s">
        <v>306</v>
      </c>
      <c r="D172" s="2">
        <v>4947165072</v>
      </c>
      <c r="E172" s="2" t="s">
        <v>14</v>
      </c>
      <c r="F172" s="78" t="s">
        <v>307</v>
      </c>
      <c r="G172" s="28" t="s">
        <v>9</v>
      </c>
      <c r="H172" s="2" t="s">
        <v>23</v>
      </c>
      <c r="I172" s="2">
        <v>2</v>
      </c>
      <c r="J172" s="2"/>
      <c r="K172" s="2">
        <v>82835.199999999997</v>
      </c>
      <c r="L172" s="35">
        <f t="shared" si="7"/>
        <v>262554449.91999999</v>
      </c>
      <c r="M172" s="36">
        <v>640</v>
      </c>
      <c r="N172" s="37">
        <v>648207</v>
      </c>
      <c r="O172" s="37">
        <v>473</v>
      </c>
      <c r="P172" s="37">
        <v>48724</v>
      </c>
      <c r="Q172" s="37">
        <v>11435</v>
      </c>
      <c r="R172" s="37">
        <v>95331</v>
      </c>
      <c r="S172" s="37">
        <v>343435</v>
      </c>
      <c r="T172" s="40">
        <v>30000</v>
      </c>
      <c r="U172" s="37">
        <v>182214.33447099</v>
      </c>
      <c r="V172" s="37">
        <v>1261522</v>
      </c>
      <c r="W172" s="45">
        <f t="shared" si="8"/>
        <v>2621341.3344709901</v>
      </c>
      <c r="X172" s="46">
        <f t="shared" si="9"/>
        <v>0.99839912645537321</v>
      </c>
    </row>
    <row r="173" spans="1:24" s="4" customFormat="1" ht="15" customHeight="1">
      <c r="A173" s="28" t="s">
        <v>63</v>
      </c>
      <c r="B173" s="29">
        <v>3169.6</v>
      </c>
      <c r="C173" s="30" t="s">
        <v>308</v>
      </c>
      <c r="D173" s="2">
        <v>4947106822</v>
      </c>
      <c r="E173" s="2" t="s">
        <v>14</v>
      </c>
      <c r="F173" s="78" t="s">
        <v>309</v>
      </c>
      <c r="G173" s="28" t="s">
        <v>9</v>
      </c>
      <c r="H173" s="2" t="s">
        <v>23</v>
      </c>
      <c r="I173" s="2">
        <v>19</v>
      </c>
      <c r="J173" s="2"/>
      <c r="K173" s="2">
        <v>3510</v>
      </c>
      <c r="L173" s="35">
        <f t="shared" si="7"/>
        <v>11125296</v>
      </c>
      <c r="M173" s="36">
        <v>1800</v>
      </c>
      <c r="N173" s="37">
        <v>334970.10706638102</v>
      </c>
      <c r="O173" s="37">
        <v>1236.8736616702399</v>
      </c>
      <c r="P173" s="37">
        <v>197858.41541755901</v>
      </c>
      <c r="Q173" s="37">
        <v>29764.239828693801</v>
      </c>
      <c r="R173" s="37">
        <v>48737.858672376897</v>
      </c>
      <c r="S173" s="37">
        <v>44124.411134903603</v>
      </c>
      <c r="T173" s="40">
        <v>30000</v>
      </c>
      <c r="U173" s="37">
        <v>512477.815699659</v>
      </c>
      <c r="V173" s="37">
        <v>0</v>
      </c>
      <c r="W173" s="45">
        <f t="shared" si="8"/>
        <v>1199169.7214812436</v>
      </c>
      <c r="X173" s="46">
        <f t="shared" si="9"/>
        <v>10.778766888370823</v>
      </c>
    </row>
    <row r="174" spans="1:24" s="4" customFormat="1" ht="15" customHeight="1">
      <c r="A174" s="28" t="s">
        <v>63</v>
      </c>
      <c r="B174" s="29">
        <v>3169.6</v>
      </c>
      <c r="C174" s="30" t="s">
        <v>308</v>
      </c>
      <c r="D174" s="2">
        <v>4947321526</v>
      </c>
      <c r="E174" s="2" t="s">
        <v>14</v>
      </c>
      <c r="F174" s="78" t="s">
        <v>309</v>
      </c>
      <c r="G174" s="28" t="s">
        <v>9</v>
      </c>
      <c r="H174" s="2" t="s">
        <v>23</v>
      </c>
      <c r="I174" s="2">
        <v>19</v>
      </c>
      <c r="J174" s="2"/>
      <c r="K174" s="2">
        <v>15876</v>
      </c>
      <c r="L174" s="35">
        <f t="shared" si="7"/>
        <v>50320569.600000001</v>
      </c>
      <c r="M174" s="36">
        <v>4200</v>
      </c>
      <c r="N174" s="37">
        <v>781596.91648822301</v>
      </c>
      <c r="O174" s="37">
        <v>2886.0385438972198</v>
      </c>
      <c r="P174" s="37">
        <v>461669.63597430399</v>
      </c>
      <c r="Q174" s="37">
        <v>69449.892933618801</v>
      </c>
      <c r="R174" s="37">
        <v>113721.670235546</v>
      </c>
      <c r="S174" s="37">
        <v>102956.959314775</v>
      </c>
      <c r="T174" s="40">
        <v>30000</v>
      </c>
      <c r="U174" s="37">
        <v>1195781.5699658699</v>
      </c>
      <c r="V174" s="37">
        <v>0</v>
      </c>
      <c r="W174" s="45">
        <f t="shared" si="8"/>
        <v>2758062.6834562337</v>
      </c>
      <c r="X174" s="46">
        <f t="shared" si="9"/>
        <v>5.4809846259296586</v>
      </c>
    </row>
    <row r="175" spans="1:24" s="4" customFormat="1" ht="15" customHeight="1">
      <c r="A175" s="28" t="s">
        <v>63</v>
      </c>
      <c r="B175" s="29">
        <v>3169.6</v>
      </c>
      <c r="C175" s="30" t="s">
        <v>308</v>
      </c>
      <c r="D175" s="2">
        <v>4945916957</v>
      </c>
      <c r="E175" s="2" t="s">
        <v>14</v>
      </c>
      <c r="F175" s="78" t="s">
        <v>309</v>
      </c>
      <c r="G175" s="28" t="s">
        <v>9</v>
      </c>
      <c r="H175" s="2" t="s">
        <v>23</v>
      </c>
      <c r="I175" s="2">
        <v>19</v>
      </c>
      <c r="J175" s="2"/>
      <c r="K175" s="2">
        <v>13163.2</v>
      </c>
      <c r="L175" s="35">
        <f t="shared" si="7"/>
        <v>41722078.719999999</v>
      </c>
      <c r="M175" s="36">
        <v>3040</v>
      </c>
      <c r="N175" s="37">
        <v>565727.29193433304</v>
      </c>
      <c r="O175" s="37">
        <v>2088.9421841541798</v>
      </c>
      <c r="P175" s="37">
        <v>334160.879371877</v>
      </c>
      <c r="Q175" s="37">
        <v>50268.493932905098</v>
      </c>
      <c r="R175" s="37">
        <v>82312.827980014306</v>
      </c>
      <c r="S175" s="37">
        <v>74521.227694503905</v>
      </c>
      <c r="T175" s="40">
        <v>30000</v>
      </c>
      <c r="U175" s="37">
        <v>865518.08873720095</v>
      </c>
      <c r="V175" s="37">
        <v>0</v>
      </c>
      <c r="W175" s="45">
        <f t="shared" si="8"/>
        <v>2004597.7518349886</v>
      </c>
      <c r="X175" s="46">
        <f t="shared" si="9"/>
        <v>4.8046449585793525</v>
      </c>
    </row>
    <row r="176" spans="1:24" s="4" customFormat="1" ht="15" customHeight="1">
      <c r="A176" s="28" t="s">
        <v>63</v>
      </c>
      <c r="B176" s="29">
        <v>3169.6</v>
      </c>
      <c r="C176" s="30" t="s">
        <v>308</v>
      </c>
      <c r="D176" s="2">
        <v>4945438001</v>
      </c>
      <c r="E176" s="2" t="s">
        <v>14</v>
      </c>
      <c r="F176" s="78" t="s">
        <v>309</v>
      </c>
      <c r="G176" s="28" t="s">
        <v>9</v>
      </c>
      <c r="H176" s="2" t="s">
        <v>23</v>
      </c>
      <c r="I176" s="2">
        <v>19</v>
      </c>
      <c r="J176" s="2"/>
      <c r="K176" s="2">
        <v>6581.6</v>
      </c>
      <c r="L176" s="35">
        <f t="shared" si="7"/>
        <v>20861039.359999999</v>
      </c>
      <c r="M176" s="36">
        <v>1520</v>
      </c>
      <c r="N176" s="37">
        <v>282863.645967166</v>
      </c>
      <c r="O176" s="37">
        <v>1044.4710920770899</v>
      </c>
      <c r="P176" s="37">
        <v>167080.439685939</v>
      </c>
      <c r="Q176" s="37">
        <v>25134.246966452502</v>
      </c>
      <c r="R176" s="37">
        <v>41156.413990007102</v>
      </c>
      <c r="S176" s="37">
        <v>37260.613847252003</v>
      </c>
      <c r="T176" s="40">
        <v>30000</v>
      </c>
      <c r="U176" s="37">
        <v>432759.044368601</v>
      </c>
      <c r="V176" s="37">
        <v>0</v>
      </c>
      <c r="W176" s="45">
        <f t="shared" si="8"/>
        <v>1017298.8759174948</v>
      </c>
      <c r="X176" s="46">
        <f t="shared" si="9"/>
        <v>4.876549333721667</v>
      </c>
    </row>
    <row r="177" spans="1:24" s="4" customFormat="1" ht="15" customHeight="1">
      <c r="A177" s="28" t="s">
        <v>63</v>
      </c>
      <c r="B177" s="29">
        <v>3169.6</v>
      </c>
      <c r="C177" s="30" t="s">
        <v>308</v>
      </c>
      <c r="D177" s="2">
        <v>4947199011</v>
      </c>
      <c r="E177" s="2" t="s">
        <v>14</v>
      </c>
      <c r="F177" s="78" t="s">
        <v>309</v>
      </c>
      <c r="G177" s="28" t="s">
        <v>9</v>
      </c>
      <c r="H177" s="2" t="s">
        <v>23</v>
      </c>
      <c r="I177" s="2">
        <v>19</v>
      </c>
      <c r="J177" s="2"/>
      <c r="K177" s="2">
        <v>5535</v>
      </c>
      <c r="L177" s="35">
        <f t="shared" si="7"/>
        <v>17543736</v>
      </c>
      <c r="M177" s="36">
        <v>1350</v>
      </c>
      <c r="N177" s="37">
        <v>251227.580299786</v>
      </c>
      <c r="O177" s="37">
        <v>927.65524625267699</v>
      </c>
      <c r="P177" s="37">
        <v>148393.811563169</v>
      </c>
      <c r="Q177" s="37">
        <v>22323.1798715203</v>
      </c>
      <c r="R177" s="37">
        <v>36553.394004282702</v>
      </c>
      <c r="S177" s="37">
        <v>33093.3083511777</v>
      </c>
      <c r="T177" s="40">
        <v>30000</v>
      </c>
      <c r="U177" s="37">
        <v>384358.361774744</v>
      </c>
      <c r="V177" s="37">
        <v>0</v>
      </c>
      <c r="W177" s="45">
        <f t="shared" si="8"/>
        <v>906877.29111093248</v>
      </c>
      <c r="X177" s="46">
        <f t="shared" si="9"/>
        <v>5.1692369921146355</v>
      </c>
    </row>
    <row r="178" spans="1:24" s="4" customFormat="1" ht="15" customHeight="1">
      <c r="A178" s="28" t="s">
        <v>63</v>
      </c>
      <c r="B178" s="29">
        <v>3169.6</v>
      </c>
      <c r="C178" s="30" t="s">
        <v>308</v>
      </c>
      <c r="D178" s="2">
        <v>4947199010</v>
      </c>
      <c r="E178" s="2" t="s">
        <v>14</v>
      </c>
      <c r="F178" s="78" t="s">
        <v>309</v>
      </c>
      <c r="G178" s="28" t="s">
        <v>9</v>
      </c>
      <c r="H178" s="2" t="s">
        <v>23</v>
      </c>
      <c r="I178" s="2">
        <v>19</v>
      </c>
      <c r="J178" s="2"/>
      <c r="K178" s="2">
        <v>10206</v>
      </c>
      <c r="L178" s="35">
        <f t="shared" si="7"/>
        <v>32348937.599999998</v>
      </c>
      <c r="M178" s="36">
        <v>2100</v>
      </c>
      <c r="N178" s="37">
        <v>390798.45824411098</v>
      </c>
      <c r="O178" s="37">
        <v>1443.0192719486099</v>
      </c>
      <c r="P178" s="37">
        <v>230834.817987152</v>
      </c>
      <c r="Q178" s="37">
        <v>34724.946466809401</v>
      </c>
      <c r="R178" s="37">
        <v>56860.835117773</v>
      </c>
      <c r="S178" s="37">
        <v>51478.479657387601</v>
      </c>
      <c r="T178" s="40">
        <v>30000</v>
      </c>
      <c r="U178" s="37">
        <v>597890.78498293494</v>
      </c>
      <c r="V178" s="37">
        <v>0</v>
      </c>
      <c r="W178" s="45">
        <f t="shared" si="8"/>
        <v>1394031.3417281164</v>
      </c>
      <c r="X178" s="46">
        <f t="shared" si="9"/>
        <v>4.3093574168201325</v>
      </c>
    </row>
    <row r="179" spans="1:24" s="4" customFormat="1" ht="15" customHeight="1">
      <c r="A179" s="28" t="s">
        <v>63</v>
      </c>
      <c r="B179" s="29">
        <v>3169.6</v>
      </c>
      <c r="C179" s="30" t="s">
        <v>310</v>
      </c>
      <c r="D179" s="2">
        <v>4946948902</v>
      </c>
      <c r="E179" s="2" t="s">
        <v>14</v>
      </c>
      <c r="F179" s="2" t="s">
        <v>311</v>
      </c>
      <c r="G179" s="28" t="s">
        <v>9</v>
      </c>
      <c r="H179" s="2" t="s">
        <v>23</v>
      </c>
      <c r="I179" s="2">
        <v>1</v>
      </c>
      <c r="J179" s="2"/>
      <c r="K179" s="2">
        <v>1658.25</v>
      </c>
      <c r="L179" s="35">
        <f t="shared" si="7"/>
        <v>5255989.2</v>
      </c>
      <c r="M179" s="36">
        <v>75</v>
      </c>
      <c r="N179" s="37">
        <v>1152679</v>
      </c>
      <c r="O179" s="37">
        <v>64</v>
      </c>
      <c r="P179" s="37">
        <v>1366</v>
      </c>
      <c r="Q179" s="37">
        <v>1629</v>
      </c>
      <c r="R179" s="37">
        <v>83975</v>
      </c>
      <c r="S179" s="37">
        <v>343435</v>
      </c>
      <c r="T179" s="40">
        <v>30000</v>
      </c>
      <c r="U179" s="37">
        <v>33358.536585365902</v>
      </c>
      <c r="V179" s="37">
        <v>0</v>
      </c>
      <c r="W179" s="45">
        <f t="shared" si="8"/>
        <v>1646506.5365853659</v>
      </c>
      <c r="X179" s="46">
        <f t="shared" si="9"/>
        <v>31.326292234112007</v>
      </c>
    </row>
    <row r="180" spans="1:24" s="4" customFormat="1" ht="15" customHeight="1">
      <c r="A180" s="28" t="s">
        <v>63</v>
      </c>
      <c r="B180" s="29">
        <v>3169.6</v>
      </c>
      <c r="C180" s="30" t="s">
        <v>312</v>
      </c>
      <c r="D180" s="2">
        <v>4947223497</v>
      </c>
      <c r="E180" s="2" t="s">
        <v>14</v>
      </c>
      <c r="F180" s="78" t="s">
        <v>313</v>
      </c>
      <c r="G180" s="28" t="s">
        <v>5</v>
      </c>
      <c r="H180" s="2" t="s">
        <v>26</v>
      </c>
      <c r="I180" s="2">
        <v>1</v>
      </c>
      <c r="J180" s="2" t="s">
        <v>314</v>
      </c>
      <c r="K180" s="2">
        <v>30521.599999999999</v>
      </c>
      <c r="L180" s="35">
        <f t="shared" si="7"/>
        <v>96741263.359999999</v>
      </c>
      <c r="M180" s="36">
        <v>20080</v>
      </c>
      <c r="N180" s="37">
        <v>324197</v>
      </c>
      <c r="O180" s="37">
        <v>390324</v>
      </c>
      <c r="P180" s="37">
        <v>832105</v>
      </c>
      <c r="Q180" s="37">
        <v>99309</v>
      </c>
      <c r="R180" s="37">
        <v>761707</v>
      </c>
      <c r="S180" s="37">
        <v>343435</v>
      </c>
      <c r="T180" s="40">
        <v>30000</v>
      </c>
      <c r="U180" s="37">
        <v>0</v>
      </c>
      <c r="V180" s="37">
        <v>0</v>
      </c>
      <c r="W180" s="45">
        <f t="shared" si="8"/>
        <v>2781077</v>
      </c>
      <c r="X180" s="46">
        <f t="shared" si="9"/>
        <v>2.8747577852595039</v>
      </c>
    </row>
    <row r="181" spans="1:24" s="4" customFormat="1" ht="15" customHeight="1">
      <c r="A181" s="28" t="s">
        <v>63</v>
      </c>
      <c r="B181" s="29">
        <v>3169.6</v>
      </c>
      <c r="C181" s="30" t="s">
        <v>315</v>
      </c>
      <c r="D181" s="2">
        <v>4947417503</v>
      </c>
      <c r="E181" s="2" t="s">
        <v>33</v>
      </c>
      <c r="F181" s="78" t="s">
        <v>316</v>
      </c>
      <c r="G181" s="28" t="s">
        <v>5</v>
      </c>
      <c r="H181" s="2" t="s">
        <v>20</v>
      </c>
      <c r="I181" s="2">
        <v>1</v>
      </c>
      <c r="J181" s="2" t="s">
        <v>317</v>
      </c>
      <c r="K181" s="2">
        <v>896.84</v>
      </c>
      <c r="L181" s="35">
        <f t="shared" si="7"/>
        <v>2842624.0640000002</v>
      </c>
      <c r="M181" s="36">
        <v>315</v>
      </c>
      <c r="N181" s="37">
        <v>6867.98480821863</v>
      </c>
      <c r="O181" s="37">
        <v>27499.3352601156</v>
      </c>
      <c r="P181" s="37">
        <v>12339.464023640499</v>
      </c>
      <c r="Q181" s="37">
        <v>8610.6069364161795</v>
      </c>
      <c r="R181" s="37">
        <f>9264.09751695688+2417</f>
        <v>11681.097516956879</v>
      </c>
      <c r="S181" s="37">
        <v>7253.9422275990601</v>
      </c>
      <c r="T181" s="40"/>
      <c r="U181" s="37">
        <v>58893.726944587703</v>
      </c>
      <c r="V181" s="37">
        <v>0</v>
      </c>
      <c r="W181" s="45">
        <f t="shared" si="8"/>
        <v>133146.15771753457</v>
      </c>
      <c r="X181" s="46">
        <f t="shared" si="9"/>
        <v>4.6839172088826224</v>
      </c>
    </row>
    <row r="182" spans="1:24" s="4" customFormat="1" ht="15" customHeight="1">
      <c r="A182" s="28" t="s">
        <v>63</v>
      </c>
      <c r="B182" s="29">
        <v>3169.6</v>
      </c>
      <c r="C182" s="30" t="s">
        <v>315</v>
      </c>
      <c r="D182" s="2">
        <v>4947417503</v>
      </c>
      <c r="E182" s="2" t="s">
        <v>33</v>
      </c>
      <c r="F182" s="78" t="s">
        <v>316</v>
      </c>
      <c r="G182" s="28" t="s">
        <v>5</v>
      </c>
      <c r="H182" s="2" t="s">
        <v>20</v>
      </c>
      <c r="I182" s="2">
        <v>1</v>
      </c>
      <c r="J182" s="2" t="s">
        <v>317</v>
      </c>
      <c r="K182" s="2">
        <v>1565.67</v>
      </c>
      <c r="L182" s="35">
        <f t="shared" si="7"/>
        <v>4962547.6320000002</v>
      </c>
      <c r="M182" s="36">
        <f>178+137</f>
        <v>315</v>
      </c>
      <c r="N182" s="37">
        <v>10543.807663321601</v>
      </c>
      <c r="O182" s="37">
        <v>27499.3352601156</v>
      </c>
      <c r="P182" s="37">
        <v>18943.6842053072</v>
      </c>
      <c r="Q182" s="37">
        <v>8610.6069364161795</v>
      </c>
      <c r="R182" s="37">
        <f>14222.3468922296+3710</f>
        <v>17932.346892229602</v>
      </c>
      <c r="S182" s="37">
        <v>11136.333842370401</v>
      </c>
      <c r="T182" s="40"/>
      <c r="U182" s="37">
        <v>90414.313196620496</v>
      </c>
      <c r="V182" s="37">
        <v>0</v>
      </c>
      <c r="W182" s="45">
        <f t="shared" si="8"/>
        <v>185080.42799638107</v>
      </c>
      <c r="X182" s="46">
        <f t="shared" si="9"/>
        <v>3.7295446154093672</v>
      </c>
    </row>
    <row r="183" spans="1:24" s="4" customFormat="1" ht="15" customHeight="1">
      <c r="A183" s="28" t="s">
        <v>63</v>
      </c>
      <c r="B183" s="29">
        <v>3169.6</v>
      </c>
      <c r="C183" s="30" t="s">
        <v>315</v>
      </c>
      <c r="D183" s="2">
        <v>4947417503</v>
      </c>
      <c r="E183" s="2" t="s">
        <v>33</v>
      </c>
      <c r="F183" s="78" t="s">
        <v>316</v>
      </c>
      <c r="G183" s="28" t="s">
        <v>5</v>
      </c>
      <c r="H183" s="2" t="s">
        <v>20</v>
      </c>
      <c r="I183" s="2">
        <v>1</v>
      </c>
      <c r="J183" s="2" t="s">
        <v>317</v>
      </c>
      <c r="K183" s="2">
        <v>1915.2</v>
      </c>
      <c r="L183" s="35">
        <f t="shared" si="7"/>
        <v>6070417.9199999999</v>
      </c>
      <c r="M183" s="36">
        <v>315</v>
      </c>
      <c r="N183" s="37">
        <v>91895.571377573302</v>
      </c>
      <c r="O183" s="37">
        <v>27499.3352601156</v>
      </c>
      <c r="P183" s="37">
        <v>165105.50454166799</v>
      </c>
      <c r="Q183" s="37">
        <v>8610.6069364161795</v>
      </c>
      <c r="R183" s="37">
        <v>156294.23438181699</v>
      </c>
      <c r="S183" s="37">
        <v>97059.790369283204</v>
      </c>
      <c r="T183" s="40"/>
      <c r="U183" s="37">
        <v>788014.65630082099</v>
      </c>
      <c r="V183" s="37">
        <v>0</v>
      </c>
      <c r="W183" s="45">
        <f t="shared" si="8"/>
        <v>1334479.6991676942</v>
      </c>
      <c r="X183" s="46">
        <f t="shared" si="9"/>
        <v>21.983324982799441</v>
      </c>
    </row>
    <row r="184" spans="1:24" s="4" customFormat="1" ht="15" customHeight="1">
      <c r="A184" s="28" t="s">
        <v>63</v>
      </c>
      <c r="B184" s="29">
        <v>3169.6</v>
      </c>
      <c r="C184" s="30" t="s">
        <v>315</v>
      </c>
      <c r="D184" s="2">
        <v>4947331758</v>
      </c>
      <c r="E184" s="2" t="s">
        <v>33</v>
      </c>
      <c r="F184" s="78" t="s">
        <v>316</v>
      </c>
      <c r="G184" s="28" t="s">
        <v>5</v>
      </c>
      <c r="H184" s="2" t="s">
        <v>20</v>
      </c>
      <c r="I184" s="2">
        <v>1</v>
      </c>
      <c r="J184" s="2" t="s">
        <v>317</v>
      </c>
      <c r="K184" s="2">
        <v>11307.74</v>
      </c>
      <c r="L184" s="35">
        <f t="shared" si="7"/>
        <v>35841012.703999996</v>
      </c>
      <c r="M184" s="36">
        <v>1344</v>
      </c>
      <c r="N184" s="37">
        <v>97815.580817897004</v>
      </c>
      <c r="O184" s="37">
        <v>117330.497109827</v>
      </c>
      <c r="P184" s="37">
        <v>175741.774939511</v>
      </c>
      <c r="Q184" s="37">
        <v>36738.589595375699</v>
      </c>
      <c r="R184" s="37">
        <f>131941.625480941+34421</f>
        <v>166362.625480941</v>
      </c>
      <c r="S184" s="37">
        <v>103312.484233073</v>
      </c>
      <c r="T184" s="40"/>
      <c r="U184" s="37">
        <v>838779.38994883199</v>
      </c>
      <c r="V184" s="37">
        <v>0</v>
      </c>
      <c r="W184" s="45">
        <f t="shared" si="8"/>
        <v>1536080.9421254566</v>
      </c>
      <c r="X184" s="46">
        <f t="shared" si="9"/>
        <v>4.2858190275243642</v>
      </c>
    </row>
    <row r="185" spans="1:24" s="4" customFormat="1" ht="15" customHeight="1">
      <c r="A185" s="28" t="s">
        <v>63</v>
      </c>
      <c r="B185" s="29">
        <v>3169.6</v>
      </c>
      <c r="C185" s="30" t="s">
        <v>315</v>
      </c>
      <c r="D185" s="2">
        <v>4947331758</v>
      </c>
      <c r="E185" s="2" t="s">
        <v>33</v>
      </c>
      <c r="F185" s="78" t="s">
        <v>316</v>
      </c>
      <c r="G185" s="28" t="s">
        <v>5</v>
      </c>
      <c r="H185" s="2" t="s">
        <v>20</v>
      </c>
      <c r="I185" s="2">
        <v>1</v>
      </c>
      <c r="J185" s="2" t="s">
        <v>317</v>
      </c>
      <c r="K185" s="2">
        <v>14952.54</v>
      </c>
      <c r="L185" s="35">
        <f t="shared" si="7"/>
        <v>47393570.784000002</v>
      </c>
      <c r="M185" s="36">
        <v>1344</v>
      </c>
      <c r="N185" s="37">
        <v>118039.05533299</v>
      </c>
      <c r="O185" s="37">
        <v>117330.497109827</v>
      </c>
      <c r="P185" s="37">
        <v>212076.572289873</v>
      </c>
      <c r="Q185" s="37">
        <v>36738.589595375699</v>
      </c>
      <c r="R185" s="37">
        <f>159220.695728055+41538</f>
        <v>200758.695728055</v>
      </c>
      <c r="S185" s="37">
        <v>124672.449327674</v>
      </c>
      <c r="T185" s="40"/>
      <c r="U185" s="37">
        <v>1012197.91360914</v>
      </c>
      <c r="V185" s="37">
        <v>0</v>
      </c>
      <c r="W185" s="45">
        <f t="shared" si="8"/>
        <v>1821813.7729929346</v>
      </c>
      <c r="X185" s="46">
        <f t="shared" si="9"/>
        <v>3.8440103643930876</v>
      </c>
    </row>
    <row r="186" spans="1:24" s="4" customFormat="1" ht="15" customHeight="1">
      <c r="A186" s="28" t="s">
        <v>63</v>
      </c>
      <c r="B186" s="29">
        <v>3169.6</v>
      </c>
      <c r="C186" s="30" t="s">
        <v>318</v>
      </c>
      <c r="D186" s="2">
        <v>4947106840</v>
      </c>
      <c r="E186" s="2" t="s">
        <v>14</v>
      </c>
      <c r="F186" s="2" t="s">
        <v>319</v>
      </c>
      <c r="G186" s="28" t="s">
        <v>5</v>
      </c>
      <c r="H186" s="2" t="s">
        <v>17</v>
      </c>
      <c r="I186" s="2">
        <v>1</v>
      </c>
      <c r="J186" s="2" t="s">
        <v>320</v>
      </c>
      <c r="K186" s="2">
        <v>4790</v>
      </c>
      <c r="L186" s="35">
        <f t="shared" si="7"/>
        <v>15182384</v>
      </c>
      <c r="M186" s="36">
        <v>1000</v>
      </c>
      <c r="N186" s="37">
        <v>36036.887921654001</v>
      </c>
      <c r="O186" s="37">
        <v>45567.791077257898</v>
      </c>
      <c r="P186" s="37">
        <v>0</v>
      </c>
      <c r="Q186" s="37">
        <v>10806.2023939064</v>
      </c>
      <c r="R186" s="37">
        <v>72266.571273123001</v>
      </c>
      <c r="S186" s="37">
        <v>37370.5114254625</v>
      </c>
      <c r="T186" s="40">
        <v>30000</v>
      </c>
      <c r="U186" s="37">
        <v>441137.10554950999</v>
      </c>
      <c r="V186" s="37">
        <v>0</v>
      </c>
      <c r="W186" s="45">
        <f t="shared" si="8"/>
        <v>673185.06964091375</v>
      </c>
      <c r="X186" s="46">
        <f t="shared" si="9"/>
        <v>4.4339879009838885</v>
      </c>
    </row>
    <row r="187" spans="1:24" s="4" customFormat="1" ht="15" customHeight="1">
      <c r="A187" s="28" t="s">
        <v>63</v>
      </c>
      <c r="B187" s="29">
        <v>3169.6</v>
      </c>
      <c r="C187" s="30" t="s">
        <v>318</v>
      </c>
      <c r="D187" s="2">
        <v>4947705169</v>
      </c>
      <c r="E187" s="2" t="s">
        <v>14</v>
      </c>
      <c r="F187" s="2" t="s">
        <v>319</v>
      </c>
      <c r="G187" s="28" t="s">
        <v>5</v>
      </c>
      <c r="H187" s="2" t="s">
        <v>17</v>
      </c>
      <c r="I187" s="2">
        <v>1</v>
      </c>
      <c r="J187" s="2" t="s">
        <v>320</v>
      </c>
      <c r="K187" s="2">
        <v>8100</v>
      </c>
      <c r="L187" s="35">
        <f t="shared" si="7"/>
        <v>25673760</v>
      </c>
      <c r="M187" s="36">
        <v>540</v>
      </c>
      <c r="N187" s="37">
        <v>19459.9194776931</v>
      </c>
      <c r="O187" s="37">
        <v>24606.607181719301</v>
      </c>
      <c r="P187" s="37">
        <v>0</v>
      </c>
      <c r="Q187" s="37">
        <v>5835.3492927094703</v>
      </c>
      <c r="R187" s="37">
        <f>32197.8084874864+6827</f>
        <v>39024.8084874864</v>
      </c>
      <c r="S187" s="37">
        <v>20180.0761697497</v>
      </c>
      <c r="T187" s="40">
        <v>30000</v>
      </c>
      <c r="U187" s="37">
        <v>238214.03699673599</v>
      </c>
      <c r="V187" s="37">
        <v>0</v>
      </c>
      <c r="W187" s="45">
        <f t="shared" si="8"/>
        <v>377320.79760609393</v>
      </c>
      <c r="X187" s="46">
        <f t="shared" si="9"/>
        <v>1.469674864944184</v>
      </c>
    </row>
    <row r="188" spans="1:24" s="4" customFormat="1" ht="15" customHeight="1">
      <c r="A188" s="28" t="s">
        <v>63</v>
      </c>
      <c r="B188" s="29">
        <v>3169.6</v>
      </c>
      <c r="C188" s="30" t="s">
        <v>318</v>
      </c>
      <c r="D188" s="2">
        <v>4947737193</v>
      </c>
      <c r="E188" s="2" t="s">
        <v>14</v>
      </c>
      <c r="F188" s="2" t="s">
        <v>319</v>
      </c>
      <c r="G188" s="28" t="s">
        <v>5</v>
      </c>
      <c r="H188" s="2" t="s">
        <v>17</v>
      </c>
      <c r="I188" s="2">
        <v>1</v>
      </c>
      <c r="J188" s="2" t="s">
        <v>320</v>
      </c>
      <c r="K188" s="2">
        <v>81576</v>
      </c>
      <c r="L188" s="35">
        <f t="shared" si="7"/>
        <v>258563289.59999999</v>
      </c>
      <c r="M188" s="36">
        <v>1440</v>
      </c>
      <c r="N188" s="37">
        <v>51893.118607181699</v>
      </c>
      <c r="O188" s="37">
        <v>65617.619151251405</v>
      </c>
      <c r="P188" s="37">
        <v>0</v>
      </c>
      <c r="Q188" s="37">
        <v>15560.931447225201</v>
      </c>
      <c r="R188" s="37">
        <f>85860.8226332971+18204</f>
        <v>104064.8226332971</v>
      </c>
      <c r="S188" s="37">
        <v>53813.536452665903</v>
      </c>
      <c r="T188" s="40">
        <v>30000</v>
      </c>
      <c r="U188" s="37">
        <v>635237.43199129496</v>
      </c>
      <c r="V188" s="37">
        <v>0</v>
      </c>
      <c r="W188" s="45">
        <f t="shared" si="8"/>
        <v>956187.4602829162</v>
      </c>
      <c r="X188" s="46">
        <f t="shared" si="9"/>
        <v>0.36980789568470751</v>
      </c>
    </row>
    <row r="189" spans="1:24" s="4" customFormat="1" ht="15" customHeight="1">
      <c r="A189" s="28" t="s">
        <v>63</v>
      </c>
      <c r="B189" s="29">
        <v>3169.6</v>
      </c>
      <c r="C189" s="30" t="s">
        <v>318</v>
      </c>
      <c r="D189" s="2">
        <v>4947705169</v>
      </c>
      <c r="E189" s="2" t="s">
        <v>14</v>
      </c>
      <c r="F189" s="2" t="s">
        <v>319</v>
      </c>
      <c r="G189" s="28" t="s">
        <v>5</v>
      </c>
      <c r="H189" s="2" t="s">
        <v>17</v>
      </c>
      <c r="I189" s="2">
        <v>1</v>
      </c>
      <c r="J189" s="2" t="s">
        <v>320</v>
      </c>
      <c r="K189" s="2">
        <v>18060</v>
      </c>
      <c r="L189" s="35">
        <f t="shared" si="7"/>
        <v>57242976</v>
      </c>
      <c r="M189" s="36">
        <v>6000</v>
      </c>
      <c r="N189" s="37">
        <v>216221.32752992399</v>
      </c>
      <c r="O189" s="37">
        <v>273406.746463547</v>
      </c>
      <c r="P189" s="37">
        <v>0</v>
      </c>
      <c r="Q189" s="37">
        <v>64837.214363438499</v>
      </c>
      <c r="R189" s="37">
        <f>357753.427638738+75850</f>
        <v>433603.42763873801</v>
      </c>
      <c r="S189" s="37">
        <v>224223.06855277499</v>
      </c>
      <c r="T189" s="40">
        <v>30000</v>
      </c>
      <c r="U189" s="37">
        <v>2646822.6332970602</v>
      </c>
      <c r="V189" s="37">
        <v>0</v>
      </c>
      <c r="W189" s="45">
        <f t="shared" si="8"/>
        <v>3889114.4178454829</v>
      </c>
      <c r="X189" s="46">
        <f t="shared" si="9"/>
        <v>6.7940465182059757</v>
      </c>
    </row>
    <row r="190" spans="1:24" s="4" customFormat="1" ht="15" customHeight="1">
      <c r="A190" s="28" t="s">
        <v>63</v>
      </c>
      <c r="B190" s="29">
        <v>3169.6</v>
      </c>
      <c r="C190" s="30" t="s">
        <v>318</v>
      </c>
      <c r="D190" s="2">
        <v>4947513063</v>
      </c>
      <c r="E190" s="2" t="s">
        <v>14</v>
      </c>
      <c r="F190" s="2" t="s">
        <v>319</v>
      </c>
      <c r="G190" s="28" t="s">
        <v>5</v>
      </c>
      <c r="H190" s="2" t="s">
        <v>17</v>
      </c>
      <c r="I190" s="2">
        <v>1</v>
      </c>
      <c r="J190" s="2" t="s">
        <v>320</v>
      </c>
      <c r="K190" s="2">
        <v>2091.6</v>
      </c>
      <c r="L190" s="35">
        <f t="shared" si="7"/>
        <v>6629535.3599999994</v>
      </c>
      <c r="M190" s="36">
        <v>210</v>
      </c>
      <c r="N190" s="37">
        <v>7567.7464635473298</v>
      </c>
      <c r="O190" s="37">
        <v>9569.2361262241593</v>
      </c>
      <c r="P190" s="37">
        <v>0</v>
      </c>
      <c r="Q190" s="37">
        <v>2269.3025027203498</v>
      </c>
      <c r="R190" s="37">
        <f>12521.3699673558+2655</f>
        <v>15176.3699673558</v>
      </c>
      <c r="S190" s="37">
        <v>7847.8073993471198</v>
      </c>
      <c r="T190" s="40">
        <v>30000</v>
      </c>
      <c r="U190" s="37">
        <v>92638.792165397201</v>
      </c>
      <c r="V190" s="37">
        <v>0</v>
      </c>
      <c r="W190" s="45">
        <f t="shared" si="8"/>
        <v>165069.25462459197</v>
      </c>
      <c r="X190" s="46">
        <f t="shared" si="9"/>
        <v>2.4899068435558052</v>
      </c>
    </row>
    <row r="191" spans="1:24" s="4" customFormat="1" ht="15" customHeight="1">
      <c r="A191" s="28" t="s">
        <v>63</v>
      </c>
      <c r="B191" s="29">
        <v>3169.6</v>
      </c>
      <c r="C191" s="30" t="s">
        <v>321</v>
      </c>
      <c r="D191" s="2">
        <v>4944904854</v>
      </c>
      <c r="E191" s="2" t="s">
        <v>6</v>
      </c>
      <c r="F191" s="2" t="s">
        <v>322</v>
      </c>
      <c r="G191" s="28" t="s">
        <v>9</v>
      </c>
      <c r="H191" s="2" t="s">
        <v>23</v>
      </c>
      <c r="I191" s="2">
        <v>4</v>
      </c>
      <c r="J191" s="2"/>
      <c r="K191" s="2">
        <v>7046.4</v>
      </c>
      <c r="L191" s="35">
        <f t="shared" si="7"/>
        <v>22334269.439999998</v>
      </c>
      <c r="M191" s="36">
        <v>2112</v>
      </c>
      <c r="N191" s="37">
        <v>894035</v>
      </c>
      <c r="O191" s="37">
        <v>1680</v>
      </c>
      <c r="P191" s="37">
        <v>0</v>
      </c>
      <c r="Q191" s="37">
        <v>51378</v>
      </c>
      <c r="R191" s="37">
        <v>137506</v>
      </c>
      <c r="S191" s="37">
        <v>343435</v>
      </c>
      <c r="T191" s="40">
        <v>30000</v>
      </c>
      <c r="U191" s="37">
        <v>1367700</v>
      </c>
      <c r="V191" s="37">
        <v>0</v>
      </c>
      <c r="W191" s="45">
        <f t="shared" si="8"/>
        <v>2825734</v>
      </c>
      <c r="X191" s="46">
        <f t="shared" si="9"/>
        <v>12.652009986676333</v>
      </c>
    </row>
    <row r="192" spans="1:24" s="4" customFormat="1" ht="15" customHeight="1">
      <c r="A192" s="28" t="s">
        <v>63</v>
      </c>
      <c r="B192" s="29">
        <v>3169.6</v>
      </c>
      <c r="C192" s="30" t="s">
        <v>323</v>
      </c>
      <c r="D192" s="2">
        <v>4947562533</v>
      </c>
      <c r="E192" s="2" t="s">
        <v>14</v>
      </c>
      <c r="F192" s="78" t="s">
        <v>324</v>
      </c>
      <c r="G192" s="28" t="s">
        <v>9</v>
      </c>
      <c r="H192" s="2" t="s">
        <v>23</v>
      </c>
      <c r="I192" s="2">
        <v>6</v>
      </c>
      <c r="J192" s="2"/>
      <c r="K192" s="2">
        <v>74826</v>
      </c>
      <c r="L192" s="35">
        <f t="shared" si="7"/>
        <v>237168489.59999999</v>
      </c>
      <c r="M192" s="36">
        <f>100+625+1025+50</f>
        <v>1800</v>
      </c>
      <c r="N192" s="37">
        <v>676814</v>
      </c>
      <c r="O192" s="37">
        <v>1365</v>
      </c>
      <c r="P192" s="37">
        <v>42542</v>
      </c>
      <c r="Q192" s="37">
        <v>32220</v>
      </c>
      <c r="R192" s="37">
        <v>117256</v>
      </c>
      <c r="S192" s="37">
        <v>343435</v>
      </c>
      <c r="T192" s="40">
        <v>30000</v>
      </c>
      <c r="U192" s="37">
        <v>1218798.7012986999</v>
      </c>
      <c r="V192" s="37">
        <v>1261522</v>
      </c>
      <c r="W192" s="45">
        <f t="shared" si="8"/>
        <v>3723952.7012986997</v>
      </c>
      <c r="X192" s="46">
        <f t="shared" si="9"/>
        <v>1.5701717827605963</v>
      </c>
    </row>
    <row r="193" spans="1:24" s="4" customFormat="1" ht="15" customHeight="1">
      <c r="A193" s="28" t="s">
        <v>63</v>
      </c>
      <c r="B193" s="29">
        <v>3169.6</v>
      </c>
      <c r="C193" s="30" t="s">
        <v>325</v>
      </c>
      <c r="D193" s="2">
        <v>4944508907</v>
      </c>
      <c r="E193" s="2" t="s">
        <v>36</v>
      </c>
      <c r="F193" s="2" t="s">
        <v>326</v>
      </c>
      <c r="G193" s="28" t="s">
        <v>5</v>
      </c>
      <c r="H193" s="2" t="s">
        <v>26</v>
      </c>
      <c r="I193" s="2">
        <v>3</v>
      </c>
      <c r="J193" s="2" t="s">
        <v>327</v>
      </c>
      <c r="K193" s="2">
        <v>108102.51</v>
      </c>
      <c r="L193" s="35">
        <f t="shared" si="7"/>
        <v>342641715.69599998</v>
      </c>
      <c r="M193" s="36">
        <v>67186</v>
      </c>
      <c r="N193" s="37">
        <v>883180</v>
      </c>
      <c r="O193" s="37">
        <v>1170972</v>
      </c>
      <c r="P193" s="37">
        <v>4327583</v>
      </c>
      <c r="Q193" s="37">
        <v>297928</v>
      </c>
      <c r="R193" s="37">
        <v>1699632</v>
      </c>
      <c r="S193" s="37">
        <v>343435</v>
      </c>
      <c r="T193" s="40"/>
      <c r="U193" s="37">
        <v>0</v>
      </c>
      <c r="V193" s="37">
        <v>0</v>
      </c>
      <c r="W193" s="45">
        <f t="shared" si="8"/>
        <v>8722730</v>
      </c>
      <c r="X193" s="46">
        <f t="shared" si="9"/>
        <v>2.5457291393377846</v>
      </c>
    </row>
    <row r="194" spans="1:24" s="4" customFormat="1" ht="15" customHeight="1">
      <c r="A194" s="28" t="s">
        <v>63</v>
      </c>
      <c r="B194" s="29">
        <v>3169.6</v>
      </c>
      <c r="C194" s="30" t="s">
        <v>328</v>
      </c>
      <c r="D194" s="2">
        <v>4946364245</v>
      </c>
      <c r="E194" s="2" t="s">
        <v>24</v>
      </c>
      <c r="F194" s="78" t="s">
        <v>329</v>
      </c>
      <c r="G194" s="28" t="s">
        <v>9</v>
      </c>
      <c r="H194" s="2" t="s">
        <v>23</v>
      </c>
      <c r="I194" s="2">
        <v>2</v>
      </c>
      <c r="J194" s="2"/>
      <c r="K194" s="2">
        <v>4996.8</v>
      </c>
      <c r="L194" s="35">
        <f t="shared" si="7"/>
        <v>15837857.279999999</v>
      </c>
      <c r="M194" s="36">
        <v>1440</v>
      </c>
      <c r="N194" s="37">
        <v>653759</v>
      </c>
      <c r="O194" s="37">
        <v>1009</v>
      </c>
      <c r="P194" s="37">
        <v>0</v>
      </c>
      <c r="Q194" s="37">
        <v>30952</v>
      </c>
      <c r="R194" s="37">
        <v>112363</v>
      </c>
      <c r="S194" s="37">
        <v>343435</v>
      </c>
      <c r="T194" s="40"/>
      <c r="U194" s="37">
        <v>1200907.3170731701</v>
      </c>
      <c r="V194" s="37">
        <v>0</v>
      </c>
      <c r="W194" s="45">
        <f t="shared" si="8"/>
        <v>2342425.3170731701</v>
      </c>
      <c r="X194" s="46">
        <f t="shared" si="9"/>
        <v>14.790039306839683</v>
      </c>
    </row>
    <row r="195" spans="1:24" s="4" customFormat="1" ht="15" customHeight="1">
      <c r="A195" s="28" t="s">
        <v>63</v>
      </c>
      <c r="B195" s="29">
        <v>3169.6</v>
      </c>
      <c r="C195" s="30" t="s">
        <v>330</v>
      </c>
      <c r="D195" s="2">
        <v>4947223494</v>
      </c>
      <c r="E195" s="2" t="s">
        <v>14</v>
      </c>
      <c r="F195" s="78" t="s">
        <v>331</v>
      </c>
      <c r="G195" s="28" t="s">
        <v>9</v>
      </c>
      <c r="H195" s="2" t="s">
        <v>23</v>
      </c>
      <c r="I195" s="2">
        <v>6</v>
      </c>
      <c r="J195" s="2"/>
      <c r="K195" s="2">
        <v>43410</v>
      </c>
      <c r="L195" s="35">
        <f t="shared" ref="L195:L258" si="10">B195*K195</f>
        <v>137592336</v>
      </c>
      <c r="M195" s="36">
        <v>3000</v>
      </c>
      <c r="N195" s="37">
        <v>777271.15384615399</v>
      </c>
      <c r="O195" s="37">
        <v>1980.76923076923</v>
      </c>
      <c r="P195" s="37">
        <v>0</v>
      </c>
      <c r="Q195" s="37">
        <v>48151.9230769231</v>
      </c>
      <c r="R195" s="37">
        <v>133883.65384615399</v>
      </c>
      <c r="S195" s="37">
        <v>330225.96153846203</v>
      </c>
      <c r="T195" s="40">
        <v>30000</v>
      </c>
      <c r="U195" s="37">
        <v>1955156.25</v>
      </c>
      <c r="V195" s="37">
        <v>0</v>
      </c>
      <c r="W195" s="45">
        <f t="shared" ref="W195:W258" si="11">+SUM(N195:V195)</f>
        <v>3276669.7115384624</v>
      </c>
      <c r="X195" s="46">
        <f t="shared" ref="X195:X258" si="12">(W195/L195)*100</f>
        <v>2.3814333027520243</v>
      </c>
    </row>
    <row r="196" spans="1:24" s="4" customFormat="1" ht="15" customHeight="1">
      <c r="A196" s="28" t="s">
        <v>63</v>
      </c>
      <c r="B196" s="29">
        <v>3169.6</v>
      </c>
      <c r="C196" s="30" t="s">
        <v>330</v>
      </c>
      <c r="D196" s="2">
        <v>4947612635</v>
      </c>
      <c r="E196" s="2" t="s">
        <v>14</v>
      </c>
      <c r="F196" s="78" t="s">
        <v>331</v>
      </c>
      <c r="G196" s="28" t="s">
        <v>9</v>
      </c>
      <c r="H196" s="2" t="s">
        <v>23</v>
      </c>
      <c r="I196" s="2">
        <v>6</v>
      </c>
      <c r="J196" s="2"/>
      <c r="K196" s="2">
        <v>416.4</v>
      </c>
      <c r="L196" s="35">
        <f t="shared" si="10"/>
        <v>1319821.44</v>
      </c>
      <c r="M196" s="36">
        <v>120</v>
      </c>
      <c r="N196" s="37">
        <v>31090.8461538462</v>
      </c>
      <c r="O196" s="37">
        <v>79.230769230769198</v>
      </c>
      <c r="P196" s="37">
        <v>0</v>
      </c>
      <c r="Q196" s="37">
        <v>1926.0769230769199</v>
      </c>
      <c r="R196" s="37">
        <v>5355.3461538461497</v>
      </c>
      <c r="S196" s="37">
        <v>13209.038461538499</v>
      </c>
      <c r="T196" s="40">
        <v>30000</v>
      </c>
      <c r="U196" s="37">
        <v>78206.25</v>
      </c>
      <c r="V196" s="37">
        <v>0</v>
      </c>
      <c r="W196" s="45">
        <f t="shared" si="11"/>
        <v>159866.78846153853</v>
      </c>
      <c r="X196" s="46">
        <f t="shared" si="12"/>
        <v>12.112758863921663</v>
      </c>
    </row>
    <row r="197" spans="1:24" s="4" customFormat="1" ht="15" customHeight="1">
      <c r="A197" s="28" t="s">
        <v>63</v>
      </c>
      <c r="B197" s="29">
        <v>3169.6</v>
      </c>
      <c r="C197" s="30" t="s">
        <v>332</v>
      </c>
      <c r="D197" s="2">
        <v>4947823568</v>
      </c>
      <c r="E197" s="2" t="s">
        <v>24</v>
      </c>
      <c r="F197" s="78" t="s">
        <v>333</v>
      </c>
      <c r="G197" s="28" t="s">
        <v>5</v>
      </c>
      <c r="H197" s="2" t="s">
        <v>334</v>
      </c>
      <c r="I197" s="2">
        <v>2</v>
      </c>
      <c r="J197" s="2" t="s">
        <v>335</v>
      </c>
      <c r="K197" s="2">
        <f>40800+40800</f>
        <v>81600</v>
      </c>
      <c r="L197" s="35">
        <f t="shared" si="10"/>
        <v>258639360</v>
      </c>
      <c r="M197" s="36">
        <f>24000+24000</f>
        <v>48000</v>
      </c>
      <c r="N197" s="37">
        <v>960454</v>
      </c>
      <c r="O197" s="37">
        <v>1133442</v>
      </c>
      <c r="P197" s="37">
        <v>506288</v>
      </c>
      <c r="Q197" s="37">
        <v>325249</v>
      </c>
      <c r="R197" s="37">
        <v>2088353</v>
      </c>
      <c r="S197" s="37">
        <v>343435</v>
      </c>
      <c r="T197" s="40"/>
      <c r="U197" s="37">
        <v>2500900</v>
      </c>
      <c r="V197" s="37">
        <v>0</v>
      </c>
      <c r="W197" s="45">
        <f t="shared" si="11"/>
        <v>7858121</v>
      </c>
      <c r="X197" s="46">
        <f t="shared" si="12"/>
        <v>3.0382541156922134</v>
      </c>
    </row>
    <row r="198" spans="1:24" s="4" customFormat="1" ht="15" customHeight="1">
      <c r="A198" s="28" t="s">
        <v>63</v>
      </c>
      <c r="B198" s="29">
        <v>3169.6</v>
      </c>
      <c r="C198" s="30" t="s">
        <v>336</v>
      </c>
      <c r="D198" s="2">
        <v>4947642174</v>
      </c>
      <c r="E198" s="2" t="s">
        <v>33</v>
      </c>
      <c r="F198" s="78" t="s">
        <v>337</v>
      </c>
      <c r="G198" s="28" t="s">
        <v>5</v>
      </c>
      <c r="H198" s="2" t="s">
        <v>20</v>
      </c>
      <c r="I198" s="2">
        <v>3</v>
      </c>
      <c r="J198" s="2" t="s">
        <v>338</v>
      </c>
      <c r="K198" s="2">
        <v>81378</v>
      </c>
      <c r="L198" s="35">
        <f t="shared" si="10"/>
        <v>257935708.79999998</v>
      </c>
      <c r="M198" s="36">
        <v>59400</v>
      </c>
      <c r="N198" s="37">
        <v>2908437</v>
      </c>
      <c r="O198" s="37">
        <v>898085</v>
      </c>
      <c r="P198" s="37">
        <v>454775</v>
      </c>
      <c r="Q198" s="37">
        <v>353502</v>
      </c>
      <c r="R198" s="37">
        <v>1684076</v>
      </c>
      <c r="S198" s="37">
        <v>343435</v>
      </c>
      <c r="T198" s="40"/>
      <c r="U198" s="37">
        <v>3847100</v>
      </c>
      <c r="V198" s="37">
        <v>900000</v>
      </c>
      <c r="W198" s="45">
        <f t="shared" si="11"/>
        <v>11389410</v>
      </c>
      <c r="X198" s="46">
        <f t="shared" si="12"/>
        <v>4.4156003265260191</v>
      </c>
    </row>
    <row r="199" spans="1:24" s="4" customFormat="1" ht="15" customHeight="1">
      <c r="A199" s="28" t="s">
        <v>63</v>
      </c>
      <c r="B199" s="29">
        <v>3169.6</v>
      </c>
      <c r="C199" s="30" t="s">
        <v>339</v>
      </c>
      <c r="D199" s="2">
        <v>4947435991</v>
      </c>
      <c r="E199" s="2" t="s">
        <v>24</v>
      </c>
      <c r="F199" s="2" t="s">
        <v>340</v>
      </c>
      <c r="G199" s="28" t="s">
        <v>5</v>
      </c>
      <c r="H199" s="2" t="s">
        <v>20</v>
      </c>
      <c r="I199" s="2">
        <v>1</v>
      </c>
      <c r="J199" s="2" t="s">
        <v>341</v>
      </c>
      <c r="K199" s="2">
        <f>22302+22302+22302</f>
        <v>66906</v>
      </c>
      <c r="L199" s="35">
        <f t="shared" si="10"/>
        <v>212065257.59999999</v>
      </c>
      <c r="M199" s="36">
        <v>56700</v>
      </c>
      <c r="N199" s="37">
        <v>1110228</v>
      </c>
      <c r="O199" s="37">
        <v>916430</v>
      </c>
      <c r="P199" s="37">
        <v>1416558</v>
      </c>
      <c r="Q199" s="37">
        <v>321725</v>
      </c>
      <c r="R199" s="37">
        <v>2071881</v>
      </c>
      <c r="S199" s="37">
        <v>343435</v>
      </c>
      <c r="T199" s="40"/>
      <c r="U199" s="37">
        <v>6874200</v>
      </c>
      <c r="V199" s="37">
        <v>0</v>
      </c>
      <c r="W199" s="45">
        <f t="shared" si="11"/>
        <v>13054457</v>
      </c>
      <c r="X199" s="46">
        <f t="shared" si="12"/>
        <v>6.1558678435783536</v>
      </c>
    </row>
    <row r="200" spans="1:24" s="4" customFormat="1" ht="15" customHeight="1">
      <c r="A200" s="28" t="s">
        <v>63</v>
      </c>
      <c r="B200" s="29">
        <v>3169.6</v>
      </c>
      <c r="C200" s="30" t="s">
        <v>342</v>
      </c>
      <c r="D200" s="2">
        <v>4947815544</v>
      </c>
      <c r="E200" s="2" t="s">
        <v>24</v>
      </c>
      <c r="F200" s="2" t="s">
        <v>343</v>
      </c>
      <c r="G200" s="28" t="s">
        <v>9</v>
      </c>
      <c r="H200" s="2" t="s">
        <v>23</v>
      </c>
      <c r="I200" s="2">
        <v>5</v>
      </c>
      <c r="J200" s="2"/>
      <c r="K200" s="2">
        <v>8000</v>
      </c>
      <c r="L200" s="35">
        <f t="shared" si="10"/>
        <v>25356800</v>
      </c>
      <c r="M200" s="36">
        <v>5000</v>
      </c>
      <c r="N200" s="37">
        <v>1892822</v>
      </c>
      <c r="O200" s="37">
        <v>0</v>
      </c>
      <c r="P200" s="37">
        <v>255117</v>
      </c>
      <c r="Q200" s="37">
        <v>49345</v>
      </c>
      <c r="R200" s="37">
        <v>120602</v>
      </c>
      <c r="S200" s="37">
        <v>343435</v>
      </c>
      <c r="T200" s="40"/>
      <c r="U200" s="37">
        <v>1940000</v>
      </c>
      <c r="V200" s="37">
        <v>0</v>
      </c>
      <c r="W200" s="45">
        <f t="shared" si="11"/>
        <v>4601321</v>
      </c>
      <c r="X200" s="46">
        <f t="shared" si="12"/>
        <v>18.146300006309946</v>
      </c>
    </row>
    <row r="201" spans="1:24" s="4" customFormat="1" ht="15" customHeight="1">
      <c r="A201" s="28" t="s">
        <v>63</v>
      </c>
      <c r="B201" s="29">
        <v>3169.6</v>
      </c>
      <c r="C201" s="30" t="s">
        <v>344</v>
      </c>
      <c r="D201" s="2">
        <v>4947512971</v>
      </c>
      <c r="E201" s="2" t="s">
        <v>18</v>
      </c>
      <c r="F201" s="78" t="s">
        <v>345</v>
      </c>
      <c r="G201" s="28" t="s">
        <v>5</v>
      </c>
      <c r="H201" s="2" t="s">
        <v>20</v>
      </c>
      <c r="I201" s="2">
        <v>1</v>
      </c>
      <c r="J201" s="2" t="s">
        <v>346</v>
      </c>
      <c r="K201" s="2">
        <v>19323</v>
      </c>
      <c r="L201" s="35">
        <f t="shared" si="10"/>
        <v>61246180.799999997</v>
      </c>
      <c r="M201" s="36">
        <v>17100</v>
      </c>
      <c r="N201" s="37">
        <v>471500</v>
      </c>
      <c r="O201" s="37">
        <v>159606</v>
      </c>
      <c r="P201" s="37">
        <v>0</v>
      </c>
      <c r="Q201" s="37">
        <v>49654.5</v>
      </c>
      <c r="R201" s="37">
        <f>531996.5+200000</f>
        <v>731996.5</v>
      </c>
      <c r="S201" s="37">
        <v>171717.5</v>
      </c>
      <c r="T201" s="40">
        <v>30000</v>
      </c>
      <c r="U201" s="37">
        <v>1956750</v>
      </c>
      <c r="V201" s="37">
        <v>0</v>
      </c>
      <c r="W201" s="45">
        <f t="shared" si="11"/>
        <v>3571224.5</v>
      </c>
      <c r="X201" s="46">
        <f t="shared" si="12"/>
        <v>5.8309341959817358</v>
      </c>
    </row>
    <row r="202" spans="1:24" s="4" customFormat="1" ht="15" customHeight="1">
      <c r="A202" s="28" t="s">
        <v>63</v>
      </c>
      <c r="B202" s="29">
        <v>3169.6</v>
      </c>
      <c r="C202" s="30" t="s">
        <v>344</v>
      </c>
      <c r="D202" s="2">
        <v>4947512969</v>
      </c>
      <c r="E202" s="2" t="s">
        <v>18</v>
      </c>
      <c r="F202" s="78" t="s">
        <v>345</v>
      </c>
      <c r="G202" s="28" t="s">
        <v>5</v>
      </c>
      <c r="H202" s="2" t="s">
        <v>20</v>
      </c>
      <c r="I202" s="2">
        <v>1</v>
      </c>
      <c r="J202" s="2" t="s">
        <v>347</v>
      </c>
      <c r="K202" s="2">
        <v>19323</v>
      </c>
      <c r="L202" s="35">
        <f t="shared" si="10"/>
        <v>61246180.799999997</v>
      </c>
      <c r="M202" s="36">
        <v>17100</v>
      </c>
      <c r="N202" s="37">
        <v>471500</v>
      </c>
      <c r="O202" s="37">
        <v>159606</v>
      </c>
      <c r="P202" s="37">
        <v>0</v>
      </c>
      <c r="Q202" s="37">
        <v>49654.5</v>
      </c>
      <c r="R202" s="37">
        <f>531996.5+200000</f>
        <v>731996.5</v>
      </c>
      <c r="S202" s="37">
        <v>171717.5</v>
      </c>
      <c r="T202" s="40">
        <v>30000</v>
      </c>
      <c r="U202" s="37">
        <v>1956750</v>
      </c>
      <c r="V202" s="37">
        <v>0</v>
      </c>
      <c r="W202" s="45">
        <f t="shared" si="11"/>
        <v>3571224.5</v>
      </c>
      <c r="X202" s="46">
        <f t="shared" si="12"/>
        <v>5.8309341959817358</v>
      </c>
    </row>
    <row r="203" spans="1:24" s="4" customFormat="1" ht="15" customHeight="1">
      <c r="A203" s="28" t="s">
        <v>63</v>
      </c>
      <c r="B203" s="29">
        <v>3169.6</v>
      </c>
      <c r="C203" s="30" t="s">
        <v>348</v>
      </c>
      <c r="D203" s="2">
        <v>4947433927</v>
      </c>
      <c r="E203" s="2" t="s">
        <v>24</v>
      </c>
      <c r="F203" s="78" t="s">
        <v>349</v>
      </c>
      <c r="G203" s="28" t="s">
        <v>5</v>
      </c>
      <c r="H203" s="2" t="s">
        <v>20</v>
      </c>
      <c r="I203" s="2">
        <v>1</v>
      </c>
      <c r="J203" s="2" t="s">
        <v>350</v>
      </c>
      <c r="K203" s="2">
        <v>4668</v>
      </c>
      <c r="L203" s="35">
        <f t="shared" si="10"/>
        <v>14795692.799999999</v>
      </c>
      <c r="M203" s="36">
        <v>1200</v>
      </c>
      <c r="N203" s="37">
        <v>72538</v>
      </c>
      <c r="O203" s="37">
        <v>49109.538461538497</v>
      </c>
      <c r="P203" s="37">
        <v>89878</v>
      </c>
      <c r="Q203" s="37">
        <v>15278.307692307701</v>
      </c>
      <c r="R203" s="37">
        <f>66644.6153846154+30769</f>
        <v>97413.615384615405</v>
      </c>
      <c r="S203" s="37">
        <v>52836.153846153902</v>
      </c>
      <c r="T203" s="40"/>
      <c r="U203" s="37">
        <v>326000</v>
      </c>
      <c r="V203" s="37">
        <v>0</v>
      </c>
      <c r="W203" s="45">
        <f t="shared" si="11"/>
        <v>703053.61538461549</v>
      </c>
      <c r="X203" s="46">
        <f t="shared" si="12"/>
        <v>4.7517451523771532</v>
      </c>
    </row>
    <row r="204" spans="1:24" s="4" customFormat="1" ht="15" customHeight="1">
      <c r="A204" s="28" t="s">
        <v>63</v>
      </c>
      <c r="B204" s="29">
        <v>3169.6</v>
      </c>
      <c r="C204" s="30" t="s">
        <v>348</v>
      </c>
      <c r="D204" s="2">
        <v>4947463374</v>
      </c>
      <c r="E204" s="2" t="s">
        <v>14</v>
      </c>
      <c r="F204" s="78" t="s">
        <v>349</v>
      </c>
      <c r="G204" s="28" t="s">
        <v>5</v>
      </c>
      <c r="H204" s="2" t="s">
        <v>20</v>
      </c>
      <c r="I204" s="2">
        <v>1</v>
      </c>
      <c r="J204" s="2" t="s">
        <v>350</v>
      </c>
      <c r="K204" s="2">
        <v>14256</v>
      </c>
      <c r="L204" s="35">
        <f t="shared" si="10"/>
        <v>45185817.600000001</v>
      </c>
      <c r="M204" s="36">
        <v>6600</v>
      </c>
      <c r="N204" s="37">
        <v>398959</v>
      </c>
      <c r="O204" s="37">
        <v>270102.46153846203</v>
      </c>
      <c r="P204" s="37">
        <v>494329</v>
      </c>
      <c r="Q204" s="37">
        <v>84030.692307692298</v>
      </c>
      <c r="R204" s="37">
        <f>366545.384615385+169231</f>
        <v>535776.38461538497</v>
      </c>
      <c r="S204" s="37">
        <v>290598.84615384601</v>
      </c>
      <c r="T204" s="40">
        <v>30000</v>
      </c>
      <c r="U204" s="37">
        <v>1793000</v>
      </c>
      <c r="V204" s="37">
        <v>0</v>
      </c>
      <c r="W204" s="45">
        <f t="shared" si="11"/>
        <v>3896796.384615385</v>
      </c>
      <c r="X204" s="46">
        <f t="shared" si="12"/>
        <v>8.6239368713235045</v>
      </c>
    </row>
    <row r="205" spans="1:24" s="4" customFormat="1" ht="15" customHeight="1">
      <c r="A205" s="28" t="s">
        <v>63</v>
      </c>
      <c r="B205" s="29">
        <v>3169.6</v>
      </c>
      <c r="C205" s="30" t="s">
        <v>351</v>
      </c>
      <c r="D205" s="2">
        <v>4947782367</v>
      </c>
      <c r="E205" s="2" t="s">
        <v>36</v>
      </c>
      <c r="F205" s="2" t="s">
        <v>352</v>
      </c>
      <c r="G205" s="28" t="s">
        <v>5</v>
      </c>
      <c r="H205" s="2" t="s">
        <v>20</v>
      </c>
      <c r="I205" s="2">
        <v>1</v>
      </c>
      <c r="J205" s="2" t="s">
        <v>353</v>
      </c>
      <c r="K205" s="2">
        <v>39000</v>
      </c>
      <c r="L205" s="35">
        <f t="shared" si="10"/>
        <v>123614400</v>
      </c>
      <c r="M205" s="36">
        <v>20000</v>
      </c>
      <c r="N205" s="37">
        <v>331180</v>
      </c>
      <c r="O205" s="37">
        <v>397435</v>
      </c>
      <c r="P205" s="37">
        <v>0</v>
      </c>
      <c r="Q205" s="37">
        <v>124137</v>
      </c>
      <c r="R205" s="37">
        <v>620262</v>
      </c>
      <c r="S205" s="37">
        <v>343435</v>
      </c>
      <c r="T205" s="40"/>
      <c r="U205" s="37">
        <v>529000</v>
      </c>
      <c r="V205" s="37">
        <v>0</v>
      </c>
      <c r="W205" s="45">
        <f t="shared" si="11"/>
        <v>2345449</v>
      </c>
      <c r="X205" s="46">
        <f t="shared" si="12"/>
        <v>1.897391404237694</v>
      </c>
    </row>
    <row r="206" spans="1:24" s="4" customFormat="1" ht="15" customHeight="1">
      <c r="A206" s="28" t="s">
        <v>63</v>
      </c>
      <c r="B206" s="29">
        <v>3169.6</v>
      </c>
      <c r="C206" s="30" t="s">
        <v>354</v>
      </c>
      <c r="D206" s="2">
        <v>4947162563</v>
      </c>
      <c r="E206" s="2" t="s">
        <v>14</v>
      </c>
      <c r="F206" s="78" t="s">
        <v>355</v>
      </c>
      <c r="G206" s="28" t="s">
        <v>5</v>
      </c>
      <c r="H206" s="2" t="s">
        <v>20</v>
      </c>
      <c r="I206" s="2">
        <v>1</v>
      </c>
      <c r="J206" s="2" t="s">
        <v>356</v>
      </c>
      <c r="K206" s="2">
        <v>19866</v>
      </c>
      <c r="L206" s="35">
        <f t="shared" si="10"/>
        <v>62967273.600000001</v>
      </c>
      <c r="M206" s="36">
        <v>8600</v>
      </c>
      <c r="N206" s="37">
        <v>331180</v>
      </c>
      <c r="O206" s="37">
        <v>319212</v>
      </c>
      <c r="P206" s="37">
        <v>216370</v>
      </c>
      <c r="Q206" s="37">
        <v>99309</v>
      </c>
      <c r="R206" s="37">
        <v>550317</v>
      </c>
      <c r="S206" s="37">
        <v>343435</v>
      </c>
      <c r="T206" s="40">
        <v>30000</v>
      </c>
      <c r="U206" s="37">
        <v>2601700</v>
      </c>
      <c r="V206" s="37">
        <v>0</v>
      </c>
      <c r="W206" s="45">
        <f t="shared" si="11"/>
        <v>4491523</v>
      </c>
      <c r="X206" s="46">
        <f t="shared" si="12"/>
        <v>7.1331069986171354</v>
      </c>
    </row>
    <row r="207" spans="1:24" s="4" customFormat="1" ht="15" customHeight="1">
      <c r="A207" s="28" t="s">
        <v>63</v>
      </c>
      <c r="B207" s="29">
        <v>3169.6</v>
      </c>
      <c r="C207" s="30" t="s">
        <v>357</v>
      </c>
      <c r="D207" s="2">
        <v>4947915818</v>
      </c>
      <c r="E207" s="2" t="s">
        <v>14</v>
      </c>
      <c r="F207" s="2" t="s">
        <v>358</v>
      </c>
      <c r="G207" s="28" t="s">
        <v>5</v>
      </c>
      <c r="H207" s="2" t="s">
        <v>17</v>
      </c>
      <c r="I207" s="2">
        <v>1</v>
      </c>
      <c r="J207" s="2" t="s">
        <v>359</v>
      </c>
      <c r="K207" s="2">
        <v>54180</v>
      </c>
      <c r="L207" s="35">
        <f t="shared" si="10"/>
        <v>171728928</v>
      </c>
      <c r="M207" s="36">
        <v>18000</v>
      </c>
      <c r="N207" s="37">
        <v>334051</v>
      </c>
      <c r="O207" s="37">
        <v>418768</v>
      </c>
      <c r="P207" s="37">
        <v>0</v>
      </c>
      <c r="Q207" s="37">
        <v>99309</v>
      </c>
      <c r="R207" s="37">
        <v>655899</v>
      </c>
      <c r="S207" s="37">
        <v>343435</v>
      </c>
      <c r="T207" s="40">
        <v>30000</v>
      </c>
      <c r="U207" s="37">
        <v>4781550</v>
      </c>
      <c r="V207" s="37">
        <v>0</v>
      </c>
      <c r="W207" s="45">
        <f t="shared" si="11"/>
        <v>6663012</v>
      </c>
      <c r="X207" s="46">
        <f t="shared" si="12"/>
        <v>3.8799590014327694</v>
      </c>
    </row>
    <row r="208" spans="1:24" s="4" customFormat="1" ht="15" customHeight="1">
      <c r="A208" s="28" t="s">
        <v>63</v>
      </c>
      <c r="B208" s="29">
        <v>3169.6</v>
      </c>
      <c r="C208" s="30" t="s">
        <v>360</v>
      </c>
      <c r="D208" s="2">
        <v>4946815968</v>
      </c>
      <c r="E208" s="2" t="s">
        <v>38</v>
      </c>
      <c r="F208" s="2" t="s">
        <v>361</v>
      </c>
      <c r="G208" s="28" t="s">
        <v>5</v>
      </c>
      <c r="H208" s="2" t="s">
        <v>17</v>
      </c>
      <c r="I208" s="2">
        <v>1</v>
      </c>
      <c r="J208" s="2" t="s">
        <v>362</v>
      </c>
      <c r="K208" s="2">
        <v>1301.4000000000001</v>
      </c>
      <c r="L208" s="35">
        <f t="shared" si="10"/>
        <v>4124917.44</v>
      </c>
      <c r="M208" s="36">
        <v>540</v>
      </c>
      <c r="N208" s="37">
        <v>16955.191227601001</v>
      </c>
      <c r="O208" s="37">
        <v>15120</v>
      </c>
      <c r="P208" s="37">
        <v>11257.100829098699</v>
      </c>
      <c r="Q208" s="37">
        <v>3585.6418828563801</v>
      </c>
      <c r="R208" s="37">
        <f>19984.8020861193+7221</f>
        <v>27205.8020861193</v>
      </c>
      <c r="S208" s="37">
        <v>12400.033431398801</v>
      </c>
      <c r="T208" s="40"/>
      <c r="U208" s="37">
        <v>179153.918159936</v>
      </c>
      <c r="V208" s="37">
        <v>0</v>
      </c>
      <c r="W208" s="45">
        <f t="shared" si="11"/>
        <v>265677.6876170102</v>
      </c>
      <c r="X208" s="46">
        <f t="shared" si="12"/>
        <v>6.4408001246446815</v>
      </c>
    </row>
    <row r="209" spans="1:24" s="4" customFormat="1" ht="15" customHeight="1">
      <c r="A209" s="28" t="s">
        <v>63</v>
      </c>
      <c r="B209" s="29">
        <v>3169.6</v>
      </c>
      <c r="C209" s="30" t="s">
        <v>360</v>
      </c>
      <c r="D209" s="2">
        <v>4946815982</v>
      </c>
      <c r="E209" s="2" t="s">
        <v>38</v>
      </c>
      <c r="F209" s="2" t="s">
        <v>361</v>
      </c>
      <c r="G209" s="28" t="s">
        <v>5</v>
      </c>
      <c r="H209" s="2" t="s">
        <v>17</v>
      </c>
      <c r="I209" s="2">
        <v>1</v>
      </c>
      <c r="J209" s="2" t="s">
        <v>362</v>
      </c>
      <c r="K209" s="2">
        <v>1281.8399999999999</v>
      </c>
      <c r="L209" s="35">
        <f t="shared" si="10"/>
        <v>4062920.0639999998</v>
      </c>
      <c r="M209" s="36">
        <v>588</v>
      </c>
      <c r="N209" s="37">
        <v>18462.319336721001</v>
      </c>
      <c r="O209" s="37">
        <v>16464</v>
      </c>
      <c r="P209" s="37">
        <v>12257.7320139075</v>
      </c>
      <c r="Q209" s="37">
        <v>3904.3656057769499</v>
      </c>
      <c r="R209" s="37">
        <f>21761.2289382188+7863</f>
        <v>29624.228938218799</v>
      </c>
      <c r="S209" s="37">
        <v>13502.258625300899</v>
      </c>
      <c r="T209" s="40"/>
      <c r="U209" s="37">
        <v>195078.71088526299</v>
      </c>
      <c r="V209" s="37">
        <v>0</v>
      </c>
      <c r="W209" s="45">
        <f t="shared" si="11"/>
        <v>289293.61540518817</v>
      </c>
      <c r="X209" s="46">
        <f t="shared" si="12"/>
        <v>7.1203373644613306</v>
      </c>
    </row>
    <row r="210" spans="1:24" s="4" customFormat="1" ht="15" customHeight="1">
      <c r="A210" s="28" t="s">
        <v>63</v>
      </c>
      <c r="B210" s="29">
        <v>3169.6</v>
      </c>
      <c r="C210" s="30" t="s">
        <v>360</v>
      </c>
      <c r="D210" s="2">
        <v>4946816868</v>
      </c>
      <c r="E210" s="2" t="s">
        <v>38</v>
      </c>
      <c r="F210" s="2" t="s">
        <v>361</v>
      </c>
      <c r="G210" s="28" t="s">
        <v>5</v>
      </c>
      <c r="H210" s="2" t="s">
        <v>17</v>
      </c>
      <c r="I210" s="2">
        <v>1</v>
      </c>
      <c r="J210" s="2" t="s">
        <v>362</v>
      </c>
      <c r="K210" s="2">
        <v>624.96</v>
      </c>
      <c r="L210" s="35">
        <f t="shared" si="10"/>
        <v>1980873.216</v>
      </c>
      <c r="M210" s="36">
        <v>288</v>
      </c>
      <c r="N210" s="37">
        <v>9042.7686547205103</v>
      </c>
      <c r="O210" s="37">
        <v>8064</v>
      </c>
      <c r="P210" s="37">
        <v>6003.7871088526299</v>
      </c>
      <c r="Q210" s="37">
        <v>1912.3423375233999</v>
      </c>
      <c r="R210" s="37">
        <f>10658.5611125969+3851</f>
        <v>14509.561112596901</v>
      </c>
      <c r="S210" s="37">
        <v>6613.3511634126799</v>
      </c>
      <c r="T210" s="40"/>
      <c r="U210" s="37">
        <v>95548.7563519658</v>
      </c>
      <c r="V210" s="37">
        <v>0</v>
      </c>
      <c r="W210" s="45">
        <f t="shared" si="11"/>
        <v>141694.5667290719</v>
      </c>
      <c r="X210" s="46">
        <f t="shared" si="12"/>
        <v>7.1531365856517244</v>
      </c>
    </row>
    <row r="211" spans="1:24" s="4" customFormat="1" ht="15" customHeight="1">
      <c r="A211" s="28" t="s">
        <v>63</v>
      </c>
      <c r="B211" s="29">
        <v>3169.6</v>
      </c>
      <c r="C211" s="30" t="s">
        <v>360</v>
      </c>
      <c r="D211" s="2">
        <v>4946922578</v>
      </c>
      <c r="E211" s="2" t="s">
        <v>38</v>
      </c>
      <c r="F211" s="2" t="s">
        <v>361</v>
      </c>
      <c r="G211" s="28" t="s">
        <v>5</v>
      </c>
      <c r="H211" s="2" t="s">
        <v>17</v>
      </c>
      <c r="I211" s="2">
        <v>1</v>
      </c>
      <c r="J211" s="2" t="s">
        <v>362</v>
      </c>
      <c r="K211" s="2">
        <v>29299.200000000001</v>
      </c>
      <c r="L211" s="35">
        <f t="shared" si="10"/>
        <v>92866744.319999993</v>
      </c>
      <c r="M211" s="36">
        <v>13440</v>
      </c>
      <c r="N211" s="37">
        <v>421995.870553624</v>
      </c>
      <c r="O211" s="37">
        <v>376320</v>
      </c>
      <c r="P211" s="37">
        <v>280176.731746456</v>
      </c>
      <c r="Q211" s="37">
        <v>89242.642417758703</v>
      </c>
      <c r="R211" s="37">
        <f>497399.518587858+179727</f>
        <v>677126.51858785795</v>
      </c>
      <c r="S211" s="37">
        <v>308623.05429259199</v>
      </c>
      <c r="T211" s="40"/>
      <c r="U211" s="37">
        <v>4458941.9630917404</v>
      </c>
      <c r="V211" s="37">
        <v>0</v>
      </c>
      <c r="W211" s="45">
        <f t="shared" si="11"/>
        <v>6612426.7806900293</v>
      </c>
      <c r="X211" s="46">
        <f t="shared" si="12"/>
        <v>7.120338748933575</v>
      </c>
    </row>
    <row r="212" spans="1:24" s="4" customFormat="1" ht="15" customHeight="1">
      <c r="A212" s="28" t="s">
        <v>63</v>
      </c>
      <c r="B212" s="29">
        <v>3169.6</v>
      </c>
      <c r="C212" s="30" t="s">
        <v>360</v>
      </c>
      <c r="D212" s="2">
        <v>4946815999</v>
      </c>
      <c r="E212" s="2" t="s">
        <v>38</v>
      </c>
      <c r="F212" s="2" t="s">
        <v>361</v>
      </c>
      <c r="G212" s="28" t="s">
        <v>5</v>
      </c>
      <c r="H212" s="2" t="s">
        <v>17</v>
      </c>
      <c r="I212" s="2">
        <v>1</v>
      </c>
      <c r="J212" s="2" t="s">
        <v>362</v>
      </c>
      <c r="K212" s="2">
        <v>204</v>
      </c>
      <c r="L212" s="35">
        <f t="shared" si="10"/>
        <v>646598.40000000002</v>
      </c>
      <c r="M212" s="36">
        <v>100</v>
      </c>
      <c r="N212" s="37">
        <v>3139.8502273335098</v>
      </c>
      <c r="O212" s="37">
        <v>2800</v>
      </c>
      <c r="P212" s="37">
        <v>2084.6483016849402</v>
      </c>
      <c r="Q212" s="37">
        <v>664.00775608451499</v>
      </c>
      <c r="R212" s="37">
        <f>3700.88927520727+1337</f>
        <v>5037.8892752072697</v>
      </c>
      <c r="S212" s="37">
        <v>2296.30248729607</v>
      </c>
      <c r="T212" s="40"/>
      <c r="U212" s="37">
        <v>33176.651511099197</v>
      </c>
      <c r="V212" s="37">
        <v>0</v>
      </c>
      <c r="W212" s="45">
        <f t="shared" si="11"/>
        <v>49199.3495587055</v>
      </c>
      <c r="X212" s="46">
        <f t="shared" si="12"/>
        <v>7.6089500930879979</v>
      </c>
    </row>
    <row r="213" spans="1:24" s="4" customFormat="1" ht="15" customHeight="1">
      <c r="A213" s="28" t="s">
        <v>63</v>
      </c>
      <c r="B213" s="29">
        <v>3169.6</v>
      </c>
      <c r="C213" s="30" t="s">
        <v>363</v>
      </c>
      <c r="D213" s="2">
        <v>4947219352</v>
      </c>
      <c r="E213" s="2" t="s">
        <v>14</v>
      </c>
      <c r="F213" s="78" t="s">
        <v>364</v>
      </c>
      <c r="G213" s="28" t="s">
        <v>9</v>
      </c>
      <c r="H213" s="2" t="s">
        <v>23</v>
      </c>
      <c r="I213" s="2">
        <v>1</v>
      </c>
      <c r="J213" s="2"/>
      <c r="K213" s="2">
        <v>2552</v>
      </c>
      <c r="L213" s="35">
        <f t="shared" si="10"/>
        <v>8088819.2000000002</v>
      </c>
      <c r="M213" s="36">
        <v>800</v>
      </c>
      <c r="N213" s="37">
        <v>495000</v>
      </c>
      <c r="O213" s="37">
        <v>559</v>
      </c>
      <c r="P213" s="37">
        <v>46624</v>
      </c>
      <c r="Q213" s="37">
        <v>13103</v>
      </c>
      <c r="R213" s="37">
        <v>91837</v>
      </c>
      <c r="S213" s="37">
        <v>343435</v>
      </c>
      <c r="T213" s="40">
        <v>30000</v>
      </c>
      <c r="U213" s="37">
        <v>521375</v>
      </c>
      <c r="V213" s="37">
        <v>0</v>
      </c>
      <c r="W213" s="45">
        <f t="shared" si="11"/>
        <v>1541933</v>
      </c>
      <c r="X213" s="46">
        <f t="shared" si="12"/>
        <v>19.062522747448725</v>
      </c>
    </row>
    <row r="214" spans="1:24" s="4" customFormat="1" ht="15" customHeight="1">
      <c r="A214" s="28" t="s">
        <v>63</v>
      </c>
      <c r="B214" s="29">
        <v>3169.6</v>
      </c>
      <c r="C214" s="30" t="s">
        <v>365</v>
      </c>
      <c r="D214" s="2">
        <v>4947642968</v>
      </c>
      <c r="E214" s="2" t="s">
        <v>14</v>
      </c>
      <c r="F214" s="78" t="s">
        <v>366</v>
      </c>
      <c r="G214" s="28" t="s">
        <v>9</v>
      </c>
      <c r="H214" s="2" t="s">
        <v>23</v>
      </c>
      <c r="I214" s="2">
        <v>1</v>
      </c>
      <c r="J214" s="2"/>
      <c r="K214" s="2">
        <v>277.60000000000002</v>
      </c>
      <c r="L214" s="35">
        <f t="shared" si="10"/>
        <v>879880.96000000008</v>
      </c>
      <c r="M214" s="36">
        <v>80</v>
      </c>
      <c r="N214" s="37">
        <v>448631</v>
      </c>
      <c r="O214" s="37">
        <v>63</v>
      </c>
      <c r="P214" s="37">
        <v>0</v>
      </c>
      <c r="Q214" s="37">
        <v>1660</v>
      </c>
      <c r="R214" s="37">
        <v>81184</v>
      </c>
      <c r="S214" s="37">
        <v>343435</v>
      </c>
      <c r="T214" s="40">
        <v>30000</v>
      </c>
      <c r="U214" s="37">
        <v>52137.5</v>
      </c>
      <c r="V214" s="37">
        <v>0</v>
      </c>
      <c r="W214" s="45">
        <f t="shared" si="11"/>
        <v>957110.5</v>
      </c>
      <c r="X214" s="46">
        <f t="shared" si="12"/>
        <v>108.77727141635158</v>
      </c>
    </row>
    <row r="215" spans="1:24" s="4" customFormat="1" ht="15" customHeight="1">
      <c r="A215" s="28" t="s">
        <v>63</v>
      </c>
      <c r="B215" s="29">
        <v>3169.6</v>
      </c>
      <c r="C215" s="30" t="s">
        <v>367</v>
      </c>
      <c r="D215" s="2">
        <v>4947994890</v>
      </c>
      <c r="E215" s="2" t="s">
        <v>18</v>
      </c>
      <c r="F215" s="2" t="s">
        <v>368</v>
      </c>
      <c r="G215" s="28" t="s">
        <v>5</v>
      </c>
      <c r="H215" s="2" t="s">
        <v>20</v>
      </c>
      <c r="I215" s="2">
        <v>1</v>
      </c>
      <c r="J215" s="2" t="s">
        <v>369</v>
      </c>
      <c r="K215" s="2">
        <v>22572</v>
      </c>
      <c r="L215" s="35">
        <f t="shared" si="10"/>
        <v>71544211.200000003</v>
      </c>
      <c r="M215" s="36">
        <v>19800</v>
      </c>
      <c r="N215" s="37">
        <v>478283</v>
      </c>
      <c r="O215" s="37">
        <v>319212</v>
      </c>
      <c r="P215" s="37">
        <v>215993</v>
      </c>
      <c r="Q215" s="37">
        <v>99309</v>
      </c>
      <c r="R215" s="37">
        <v>634154</v>
      </c>
      <c r="S215" s="37">
        <v>343435</v>
      </c>
      <c r="T215" s="40">
        <v>30000</v>
      </c>
      <c r="U215" s="37">
        <v>4311200</v>
      </c>
      <c r="V215" s="37">
        <v>0</v>
      </c>
      <c r="W215" s="45">
        <f t="shared" si="11"/>
        <v>6431586</v>
      </c>
      <c r="X215" s="46">
        <f t="shared" si="12"/>
        <v>8.9896665182605293</v>
      </c>
    </row>
    <row r="216" spans="1:24" s="4" customFormat="1" ht="15" customHeight="1">
      <c r="A216" s="28" t="s">
        <v>63</v>
      </c>
      <c r="B216" s="29">
        <v>3169.6</v>
      </c>
      <c r="C216" s="30" t="s">
        <v>370</v>
      </c>
      <c r="D216" s="2">
        <v>4947381259</v>
      </c>
      <c r="E216" s="2" t="s">
        <v>14</v>
      </c>
      <c r="F216" s="78" t="s">
        <v>371</v>
      </c>
      <c r="G216" s="28" t="s">
        <v>9</v>
      </c>
      <c r="H216" s="2" t="s">
        <v>23</v>
      </c>
      <c r="I216" s="2">
        <v>17</v>
      </c>
      <c r="J216" s="2"/>
      <c r="K216" s="2">
        <v>2772</v>
      </c>
      <c r="L216" s="35">
        <f t="shared" si="10"/>
        <v>8786131.1999999993</v>
      </c>
      <c r="M216" s="36">
        <v>900</v>
      </c>
      <c r="N216" s="37">
        <v>209256.80880330101</v>
      </c>
      <c r="O216" s="37">
        <v>637.221458046767</v>
      </c>
      <c r="P216" s="37">
        <v>24334.002751031599</v>
      </c>
      <c r="Q216" s="37">
        <v>18744.841815680898</v>
      </c>
      <c r="R216" s="37">
        <v>29962.861072902298</v>
      </c>
      <c r="S216" s="37">
        <v>28344.016506189801</v>
      </c>
      <c r="T216" s="40">
        <v>30000</v>
      </c>
      <c r="U216" s="37">
        <v>604492.75362318801</v>
      </c>
      <c r="V216" s="37">
        <v>0</v>
      </c>
      <c r="W216" s="45">
        <f t="shared" si="11"/>
        <v>945772.50603034033</v>
      </c>
      <c r="X216" s="46">
        <f t="shared" si="12"/>
        <v>10.764379503351149</v>
      </c>
    </row>
    <row r="217" spans="1:24" s="4" customFormat="1" ht="15" customHeight="1">
      <c r="A217" s="28" t="s">
        <v>63</v>
      </c>
      <c r="B217" s="29">
        <v>3169.6</v>
      </c>
      <c r="C217" s="30" t="s">
        <v>370</v>
      </c>
      <c r="D217" s="2">
        <v>4947562540</v>
      </c>
      <c r="E217" s="2" t="s">
        <v>14</v>
      </c>
      <c r="F217" s="78" t="s">
        <v>371</v>
      </c>
      <c r="G217" s="28" t="s">
        <v>9</v>
      </c>
      <c r="H217" s="2" t="s">
        <v>23</v>
      </c>
      <c r="I217" s="2">
        <v>17</v>
      </c>
      <c r="J217" s="2"/>
      <c r="K217" s="2">
        <v>4368</v>
      </c>
      <c r="L217" s="35">
        <f t="shared" si="10"/>
        <v>13844812.799999999</v>
      </c>
      <c r="M217" s="36">
        <v>1680</v>
      </c>
      <c r="N217" s="37">
        <v>390612.70976616198</v>
      </c>
      <c r="O217" s="37">
        <v>1189.4800550206301</v>
      </c>
      <c r="P217" s="37">
        <v>45423.471801925698</v>
      </c>
      <c r="Q217" s="37">
        <v>34990.371389271</v>
      </c>
      <c r="R217" s="37">
        <v>55930.674002751002</v>
      </c>
      <c r="S217" s="37">
        <v>52908.830811554297</v>
      </c>
      <c r="T217" s="40">
        <v>30000</v>
      </c>
      <c r="U217" s="37">
        <v>1128386.47342995</v>
      </c>
      <c r="V217" s="37">
        <v>0</v>
      </c>
      <c r="W217" s="45">
        <f t="shared" si="11"/>
        <v>1739442.0112566347</v>
      </c>
      <c r="X217" s="46">
        <f t="shared" si="12"/>
        <v>12.563853599065167</v>
      </c>
    </row>
    <row r="218" spans="1:24" s="4" customFormat="1" ht="15" customHeight="1">
      <c r="A218" s="28" t="s">
        <v>63</v>
      </c>
      <c r="B218" s="29">
        <v>3169.6</v>
      </c>
      <c r="C218" s="30" t="s">
        <v>370</v>
      </c>
      <c r="D218" s="2">
        <v>4946737925</v>
      </c>
      <c r="E218" s="2" t="s">
        <v>14</v>
      </c>
      <c r="F218" s="78" t="s">
        <v>371</v>
      </c>
      <c r="G218" s="28" t="s">
        <v>9</v>
      </c>
      <c r="H218" s="2" t="s">
        <v>23</v>
      </c>
      <c r="I218" s="2">
        <v>17</v>
      </c>
      <c r="J218" s="2"/>
      <c r="K218" s="2">
        <v>14196</v>
      </c>
      <c r="L218" s="35">
        <f t="shared" si="10"/>
        <v>44995641.600000001</v>
      </c>
      <c r="M218" s="36">
        <v>7800</v>
      </c>
      <c r="N218" s="37">
        <v>122066.471801926</v>
      </c>
      <c r="O218" s="37">
        <v>5522.5859697386504</v>
      </c>
      <c r="P218" s="37">
        <v>14194.8349381018</v>
      </c>
      <c r="Q218" s="37">
        <v>162455.29573590099</v>
      </c>
      <c r="R218" s="37">
        <v>17478.335625859701</v>
      </c>
      <c r="S218" s="37">
        <v>16534.0096286107</v>
      </c>
      <c r="T218" s="40">
        <v>30000</v>
      </c>
      <c r="U218" s="37">
        <v>352620.77294686</v>
      </c>
      <c r="V218" s="37">
        <v>0</v>
      </c>
      <c r="W218" s="45">
        <f t="shared" si="11"/>
        <v>720872.30664699781</v>
      </c>
      <c r="X218" s="46">
        <f t="shared" si="12"/>
        <v>1.602093627323669</v>
      </c>
    </row>
    <row r="219" spans="1:24" s="4" customFormat="1" ht="15" customHeight="1">
      <c r="A219" s="28" t="s">
        <v>63</v>
      </c>
      <c r="B219" s="29">
        <v>3169.6</v>
      </c>
      <c r="C219" s="30" t="s">
        <v>370</v>
      </c>
      <c r="D219" s="2">
        <v>4947562531</v>
      </c>
      <c r="E219" s="2" t="s">
        <v>14</v>
      </c>
      <c r="F219" s="78" t="s">
        <v>371</v>
      </c>
      <c r="G219" s="28" t="s">
        <v>9</v>
      </c>
      <c r="H219" s="2" t="s">
        <v>23</v>
      </c>
      <c r="I219" s="2">
        <v>17</v>
      </c>
      <c r="J219" s="2"/>
      <c r="K219" s="2">
        <v>1816.5</v>
      </c>
      <c r="L219" s="35">
        <f t="shared" si="10"/>
        <v>5757578.3999999994</v>
      </c>
      <c r="M219" s="36">
        <v>525</v>
      </c>
      <c r="N219" s="37">
        <v>1813559.00962861</v>
      </c>
      <c r="O219" s="37">
        <v>371.71251719394797</v>
      </c>
      <c r="P219" s="37">
        <v>210894.69050894101</v>
      </c>
      <c r="Q219" s="37">
        <v>10934.4910591472</v>
      </c>
      <c r="R219" s="37">
        <v>259678.12929848701</v>
      </c>
      <c r="S219" s="37">
        <v>245648.14305364501</v>
      </c>
      <c r="T219" s="40">
        <v>30000</v>
      </c>
      <c r="U219" s="37">
        <v>2085500</v>
      </c>
      <c r="V219" s="37">
        <v>0</v>
      </c>
      <c r="W219" s="45">
        <f t="shared" si="11"/>
        <v>4656586.1760660242</v>
      </c>
      <c r="X219" s="46">
        <f t="shared" si="12"/>
        <v>80.877512255256917</v>
      </c>
    </row>
    <row r="220" spans="1:24" s="4" customFormat="1" ht="15" customHeight="1">
      <c r="A220" s="28" t="s">
        <v>63</v>
      </c>
      <c r="B220" s="29">
        <v>3169.6</v>
      </c>
      <c r="C220" s="30" t="s">
        <v>372</v>
      </c>
      <c r="D220" s="2">
        <v>4947648343</v>
      </c>
      <c r="E220" s="2" t="s">
        <v>24</v>
      </c>
      <c r="F220" s="78" t="s">
        <v>373</v>
      </c>
      <c r="G220" s="28" t="s">
        <v>9</v>
      </c>
      <c r="H220" s="2" t="s">
        <v>23</v>
      </c>
      <c r="I220" s="2">
        <v>4</v>
      </c>
      <c r="J220" s="2"/>
      <c r="K220" s="2">
        <v>3264</v>
      </c>
      <c r="L220" s="35">
        <f t="shared" si="10"/>
        <v>10345574.4</v>
      </c>
      <c r="M220" s="36">
        <v>1200</v>
      </c>
      <c r="N220" s="37">
        <v>769781</v>
      </c>
      <c r="O220" s="37">
        <v>855</v>
      </c>
      <c r="P220" s="37">
        <v>88736</v>
      </c>
      <c r="Q220" s="37">
        <v>20236</v>
      </c>
      <c r="R220" s="37">
        <v>99734</v>
      </c>
      <c r="S220" s="37">
        <v>343435</v>
      </c>
      <c r="T220" s="40"/>
      <c r="U220" s="37">
        <v>2085500</v>
      </c>
      <c r="V220" s="37">
        <v>0</v>
      </c>
      <c r="W220" s="45">
        <f t="shared" si="11"/>
        <v>3408277</v>
      </c>
      <c r="X220" s="46">
        <f t="shared" si="12"/>
        <v>32.944299351807857</v>
      </c>
    </row>
    <row r="221" spans="1:24" s="4" customFormat="1" ht="15" customHeight="1">
      <c r="A221" s="28" t="s">
        <v>63</v>
      </c>
      <c r="B221" s="29">
        <v>3169.6</v>
      </c>
      <c r="C221" s="30" t="s">
        <v>374</v>
      </c>
      <c r="D221" s="2">
        <v>4946816884</v>
      </c>
      <c r="E221" s="2" t="s">
        <v>38</v>
      </c>
      <c r="F221" s="2" t="s">
        <v>375</v>
      </c>
      <c r="G221" s="28" t="s">
        <v>9</v>
      </c>
      <c r="H221" s="2" t="s">
        <v>23</v>
      </c>
      <c r="I221" s="2">
        <v>11</v>
      </c>
      <c r="J221" s="2"/>
      <c r="K221" s="2">
        <v>21451.200000000001</v>
      </c>
      <c r="L221" s="35">
        <f t="shared" si="10"/>
        <v>67991723.519999996</v>
      </c>
      <c r="M221" s="36">
        <v>9840</v>
      </c>
      <c r="N221" s="37">
        <v>1306657</v>
      </c>
      <c r="O221" s="37">
        <v>7019</v>
      </c>
      <c r="P221" s="37">
        <v>216609</v>
      </c>
      <c r="Q221" s="37">
        <v>165750</v>
      </c>
      <c r="R221" s="37">
        <v>260213</v>
      </c>
      <c r="S221" s="37">
        <v>343435</v>
      </c>
      <c r="T221" s="40"/>
      <c r="U221" s="37">
        <v>4171000</v>
      </c>
      <c r="V221" s="37">
        <v>0</v>
      </c>
      <c r="W221" s="45">
        <f t="shared" si="11"/>
        <v>6470683</v>
      </c>
      <c r="X221" s="46">
        <f t="shared" si="12"/>
        <v>9.5168686201882018</v>
      </c>
    </row>
    <row r="222" spans="1:24" s="4" customFormat="1" ht="15" customHeight="1">
      <c r="A222" s="28" t="s">
        <v>63</v>
      </c>
      <c r="B222" s="29">
        <v>3169.6</v>
      </c>
      <c r="C222" s="30" t="s">
        <v>376</v>
      </c>
      <c r="D222" s="2">
        <v>4947307717</v>
      </c>
      <c r="E222" s="2" t="s">
        <v>18</v>
      </c>
      <c r="F222" s="2" t="s">
        <v>377</v>
      </c>
      <c r="G222" s="28" t="s">
        <v>5</v>
      </c>
      <c r="H222" s="2" t="s">
        <v>20</v>
      </c>
      <c r="I222" s="2">
        <v>1</v>
      </c>
      <c r="J222" s="2" t="s">
        <v>378</v>
      </c>
      <c r="K222" s="2">
        <v>19980</v>
      </c>
      <c r="L222" s="35">
        <f t="shared" si="10"/>
        <v>63328608</v>
      </c>
      <c r="M222" s="36">
        <v>18000</v>
      </c>
      <c r="N222" s="37">
        <v>471500</v>
      </c>
      <c r="O222" s="37">
        <v>319212</v>
      </c>
      <c r="P222" s="37">
        <v>0</v>
      </c>
      <c r="Q222" s="37">
        <v>99309</v>
      </c>
      <c r="R222" s="37">
        <v>627853</v>
      </c>
      <c r="S222" s="37">
        <v>343435</v>
      </c>
      <c r="T222" s="40">
        <v>30000</v>
      </c>
      <c r="U222" s="37">
        <v>3913500</v>
      </c>
      <c r="V222" s="37">
        <v>0</v>
      </c>
      <c r="W222" s="45">
        <f t="shared" si="11"/>
        <v>5804809</v>
      </c>
      <c r="X222" s="46">
        <f t="shared" si="12"/>
        <v>9.1661717876382198</v>
      </c>
    </row>
    <row r="223" spans="1:24" s="4" customFormat="1" ht="15" customHeight="1">
      <c r="A223" s="28" t="s">
        <v>63</v>
      </c>
      <c r="B223" s="29">
        <v>3169.6</v>
      </c>
      <c r="C223" s="30" t="s">
        <v>379</v>
      </c>
      <c r="D223" s="2">
        <v>4947002299</v>
      </c>
      <c r="E223" s="2" t="s">
        <v>18</v>
      </c>
      <c r="F223" s="78" t="s">
        <v>380</v>
      </c>
      <c r="G223" s="28" t="s">
        <v>9</v>
      </c>
      <c r="H223" s="2" t="s">
        <v>23</v>
      </c>
      <c r="I223" s="2">
        <v>7</v>
      </c>
      <c r="J223" s="2"/>
      <c r="K223" s="2">
        <v>6041.6</v>
      </c>
      <c r="L223" s="35">
        <f t="shared" si="10"/>
        <v>19149455.359999999</v>
      </c>
      <c r="M223" s="36">
        <v>128</v>
      </c>
      <c r="N223" s="37">
        <v>42365.293636512397</v>
      </c>
      <c r="O223" s="37">
        <v>91.136921315229898</v>
      </c>
      <c r="P223" s="37">
        <v>16235.511205627399</v>
      </c>
      <c r="Q223" s="37">
        <v>2171.8959594307198</v>
      </c>
      <c r="R223" s="37">
        <v>14687.413708490099</v>
      </c>
      <c r="S223" s="37">
        <v>8988.9743170292804</v>
      </c>
      <c r="T223" s="40">
        <v>30000</v>
      </c>
      <c r="U223" s="37">
        <v>54585.309995092401</v>
      </c>
      <c r="V223" s="37">
        <v>0</v>
      </c>
      <c r="W223" s="45">
        <f t="shared" si="11"/>
        <v>169125.53574349752</v>
      </c>
      <c r="X223" s="46">
        <f t="shared" si="12"/>
        <v>0.88318718503489357</v>
      </c>
    </row>
    <row r="224" spans="1:24" s="4" customFormat="1" ht="15" customHeight="1">
      <c r="A224" s="28" t="s">
        <v>63</v>
      </c>
      <c r="B224" s="29">
        <v>3169.6</v>
      </c>
      <c r="C224" s="30" t="s">
        <v>379</v>
      </c>
      <c r="D224" s="2">
        <v>4946394063</v>
      </c>
      <c r="E224" s="2" t="s">
        <v>21</v>
      </c>
      <c r="F224" s="78" t="s">
        <v>380</v>
      </c>
      <c r="G224" s="28" t="s">
        <v>9</v>
      </c>
      <c r="H224" s="2" t="s">
        <v>23</v>
      </c>
      <c r="I224" s="2">
        <v>7</v>
      </c>
      <c r="J224" s="2"/>
      <c r="K224" s="2">
        <v>8238.9500000000007</v>
      </c>
      <c r="L224" s="35">
        <f t="shared" si="10"/>
        <v>26114175.920000002</v>
      </c>
      <c r="M224" s="36">
        <v>4762.3999999999996</v>
      </c>
      <c r="N224" s="37">
        <v>1576253.7063634901</v>
      </c>
      <c r="O224" s="37">
        <v>3390.8630786847698</v>
      </c>
      <c r="P224" s="37">
        <v>604062.488794373</v>
      </c>
      <c r="Q224" s="37">
        <v>80808.104040569306</v>
      </c>
      <c r="R224" s="37">
        <v>546463.58629151003</v>
      </c>
      <c r="S224" s="37">
        <v>334446.025682971</v>
      </c>
      <c r="T224" s="40"/>
      <c r="U224" s="37">
        <v>2030914.6900049101</v>
      </c>
      <c r="V224" s="37">
        <v>0</v>
      </c>
      <c r="W224" s="45">
        <f t="shared" si="11"/>
        <v>5176339.4642565083</v>
      </c>
      <c r="X224" s="46">
        <f t="shared" si="12"/>
        <v>19.821952184568524</v>
      </c>
    </row>
    <row r="225" spans="1:24" s="4" customFormat="1" ht="15" customHeight="1">
      <c r="A225" s="28" t="s">
        <v>63</v>
      </c>
      <c r="B225" s="29">
        <v>3169.6</v>
      </c>
      <c r="C225" s="30" t="s">
        <v>381</v>
      </c>
      <c r="D225" s="2">
        <v>4947306165</v>
      </c>
      <c r="E225" s="2" t="s">
        <v>36</v>
      </c>
      <c r="F225" s="78" t="s">
        <v>382</v>
      </c>
      <c r="G225" s="28" t="s">
        <v>5</v>
      </c>
      <c r="H225" s="2" t="s">
        <v>26</v>
      </c>
      <c r="I225" s="2">
        <v>4</v>
      </c>
      <c r="J225" s="2" t="s">
        <v>383</v>
      </c>
      <c r="K225" s="2">
        <v>79888.899999999994</v>
      </c>
      <c r="L225" s="35">
        <f t="shared" si="10"/>
        <v>253215857.43999997</v>
      </c>
      <c r="M225" s="36">
        <v>87790</v>
      </c>
      <c r="N225" s="37">
        <v>1308709</v>
      </c>
      <c r="O225" s="37">
        <v>1945300</v>
      </c>
      <c r="P225" s="37">
        <v>2906100.6254698699</v>
      </c>
      <c r="Q225" s="37">
        <v>496548</v>
      </c>
      <c r="R225" s="37">
        <v>3333400</v>
      </c>
      <c r="S225" s="37">
        <v>343435</v>
      </c>
      <c r="T225" s="40"/>
      <c r="U225" s="37">
        <v>0</v>
      </c>
      <c r="V225" s="37">
        <v>0</v>
      </c>
      <c r="W225" s="45">
        <f t="shared" si="11"/>
        <v>10333492.625469871</v>
      </c>
      <c r="X225" s="46">
        <f t="shared" si="12"/>
        <v>4.0809026456482549</v>
      </c>
    </row>
    <row r="226" spans="1:24" s="4" customFormat="1" ht="15" customHeight="1">
      <c r="A226" s="28" t="s">
        <v>63</v>
      </c>
      <c r="B226" s="29">
        <v>3169.6</v>
      </c>
      <c r="C226" s="30" t="s">
        <v>384</v>
      </c>
      <c r="D226" s="2">
        <v>4947306176</v>
      </c>
      <c r="E226" s="2" t="s">
        <v>18</v>
      </c>
      <c r="F226" s="2" t="s">
        <v>385</v>
      </c>
      <c r="G226" s="28" t="s">
        <v>5</v>
      </c>
      <c r="H226" s="2" t="s">
        <v>17</v>
      </c>
      <c r="I226" s="2">
        <v>1</v>
      </c>
      <c r="J226" s="2" t="s">
        <v>386</v>
      </c>
      <c r="K226" s="2">
        <v>68800</v>
      </c>
      <c r="L226" s="35">
        <f t="shared" si="10"/>
        <v>218068480</v>
      </c>
      <c r="M226" s="36">
        <v>16000</v>
      </c>
      <c r="N226" s="37">
        <v>477563</v>
      </c>
      <c r="O226" s="37">
        <v>418768</v>
      </c>
      <c r="P226" s="37">
        <v>663408</v>
      </c>
      <c r="Q226" s="37">
        <v>99309</v>
      </c>
      <c r="R226" s="37">
        <v>738447</v>
      </c>
      <c r="S226" s="37">
        <v>343435</v>
      </c>
      <c r="T226" s="40">
        <v>30000</v>
      </c>
      <c r="U226" s="37">
        <v>4781550</v>
      </c>
      <c r="V226" s="37">
        <v>0</v>
      </c>
      <c r="W226" s="45">
        <f t="shared" si="11"/>
        <v>7552480</v>
      </c>
      <c r="X226" s="46">
        <f t="shared" si="12"/>
        <v>3.463352429475365</v>
      </c>
    </row>
    <row r="227" spans="1:24" s="4" customFormat="1" ht="15" customHeight="1">
      <c r="A227" s="28" t="s">
        <v>63</v>
      </c>
      <c r="B227" s="29">
        <v>3169.6</v>
      </c>
      <c r="C227" s="30" t="s">
        <v>387</v>
      </c>
      <c r="D227" s="2">
        <v>4947435981</v>
      </c>
      <c r="E227" s="2" t="s">
        <v>24</v>
      </c>
      <c r="F227" s="2" t="s">
        <v>388</v>
      </c>
      <c r="G227" s="28" t="s">
        <v>5</v>
      </c>
      <c r="H227" s="2" t="s">
        <v>17</v>
      </c>
      <c r="I227" s="2">
        <v>1</v>
      </c>
      <c r="J227" s="2" t="s">
        <v>389</v>
      </c>
      <c r="K227" s="2">
        <v>30480.400000000001</v>
      </c>
      <c r="L227" s="35">
        <f t="shared" si="10"/>
        <v>96610675.840000004</v>
      </c>
      <c r="M227" s="36">
        <v>7240</v>
      </c>
      <c r="N227" s="37">
        <v>477563</v>
      </c>
      <c r="O227" s="37">
        <v>418768</v>
      </c>
      <c r="P227" s="37">
        <v>0</v>
      </c>
      <c r="Q227" s="37">
        <v>99309</v>
      </c>
      <c r="R227" s="37">
        <v>633287</v>
      </c>
      <c r="S227" s="37">
        <v>343435</v>
      </c>
      <c r="T227" s="40"/>
      <c r="U227" s="37">
        <v>2400300</v>
      </c>
      <c r="V227" s="37">
        <v>0</v>
      </c>
      <c r="W227" s="45">
        <f t="shared" si="11"/>
        <v>4372662</v>
      </c>
      <c r="X227" s="46">
        <f t="shared" si="12"/>
        <v>4.526065015052481</v>
      </c>
    </row>
    <row r="228" spans="1:24" s="4" customFormat="1" ht="15" customHeight="1">
      <c r="A228" s="28" t="s">
        <v>63</v>
      </c>
      <c r="B228" s="29">
        <v>3169.6</v>
      </c>
      <c r="C228" s="30" t="s">
        <v>390</v>
      </c>
      <c r="D228" s="2">
        <v>4947306165</v>
      </c>
      <c r="E228" s="2" t="s">
        <v>36</v>
      </c>
      <c r="F228" s="2" t="s">
        <v>391</v>
      </c>
      <c r="G228" s="28" t="s">
        <v>5</v>
      </c>
      <c r="H228" s="2" t="s">
        <v>26</v>
      </c>
      <c r="I228" s="2">
        <v>4</v>
      </c>
      <c r="J228" s="2" t="s">
        <v>392</v>
      </c>
      <c r="K228" s="2">
        <v>79643</v>
      </c>
      <c r="L228" s="35">
        <f t="shared" si="10"/>
        <v>252436452.79999998</v>
      </c>
      <c r="M228" s="36">
        <v>87520</v>
      </c>
      <c r="N228" s="37">
        <v>1287640</v>
      </c>
      <c r="O228" s="37">
        <v>1945300</v>
      </c>
      <c r="P228" s="37">
        <v>1234595.20441042</v>
      </c>
      <c r="Q228" s="37">
        <v>496548</v>
      </c>
      <c r="R228" s="37">
        <v>3305380</v>
      </c>
      <c r="S228" s="37">
        <v>343435</v>
      </c>
      <c r="T228" s="40"/>
      <c r="U228" s="37">
        <v>0</v>
      </c>
      <c r="V228" s="37">
        <v>0</v>
      </c>
      <c r="W228" s="45">
        <f t="shared" si="11"/>
        <v>8612898.2044104189</v>
      </c>
      <c r="X228" s="46">
        <f t="shared" si="12"/>
        <v>3.4119074756743766</v>
      </c>
    </row>
    <row r="229" spans="1:24" s="4" customFormat="1" ht="15" customHeight="1">
      <c r="A229" s="28" t="s">
        <v>63</v>
      </c>
      <c r="B229" s="29">
        <v>3169.6</v>
      </c>
      <c r="C229" s="30" t="s">
        <v>393</v>
      </c>
      <c r="D229" s="2">
        <v>4948041060</v>
      </c>
      <c r="E229" s="2" t="s">
        <v>24</v>
      </c>
      <c r="F229" s="2" t="s">
        <v>394</v>
      </c>
      <c r="G229" s="28" t="s">
        <v>9</v>
      </c>
      <c r="H229" s="2" t="s">
        <v>23</v>
      </c>
      <c r="I229" s="2">
        <v>3</v>
      </c>
      <c r="J229" s="2"/>
      <c r="K229" s="2">
        <v>22536.799999999999</v>
      </c>
      <c r="L229" s="35">
        <f t="shared" si="10"/>
        <v>71432641.280000001</v>
      </c>
      <c r="M229" s="36">
        <v>880</v>
      </c>
      <c r="N229" s="37">
        <v>532626</v>
      </c>
      <c r="O229" s="37">
        <v>1260</v>
      </c>
      <c r="P229" s="37">
        <v>55294</v>
      </c>
      <c r="Q229" s="37">
        <v>15459</v>
      </c>
      <c r="R229" s="37">
        <v>99167</v>
      </c>
      <c r="S229" s="37">
        <v>343435</v>
      </c>
      <c r="T229" s="40"/>
      <c r="U229" s="37">
        <v>681477</v>
      </c>
      <c r="V229" s="37">
        <v>0</v>
      </c>
      <c r="W229" s="45">
        <f t="shared" si="11"/>
        <v>1728718</v>
      </c>
      <c r="X229" s="46">
        <f t="shared" si="12"/>
        <v>2.4200673095984389</v>
      </c>
    </row>
    <row r="230" spans="1:24" s="4" customFormat="1" ht="15" customHeight="1">
      <c r="A230" s="28" t="s">
        <v>63</v>
      </c>
      <c r="B230" s="29">
        <v>3169.6</v>
      </c>
      <c r="C230" s="30" t="s">
        <v>395</v>
      </c>
      <c r="D230" s="2">
        <v>4947978375</v>
      </c>
      <c r="E230" s="2" t="s">
        <v>18</v>
      </c>
      <c r="F230" s="2" t="s">
        <v>396</v>
      </c>
      <c r="G230" s="28" t="s">
        <v>5</v>
      </c>
      <c r="H230" s="2" t="s">
        <v>17</v>
      </c>
      <c r="I230" s="2">
        <v>1</v>
      </c>
      <c r="J230" s="2" t="s">
        <v>397</v>
      </c>
      <c r="K230" s="2">
        <v>18981</v>
      </c>
      <c r="L230" s="35">
        <f t="shared" si="10"/>
        <v>60162177.600000001</v>
      </c>
      <c r="M230" s="36">
        <v>17100</v>
      </c>
      <c r="N230" s="37">
        <v>330602</v>
      </c>
      <c r="O230" s="37">
        <v>418768</v>
      </c>
      <c r="P230" s="37">
        <v>0</v>
      </c>
      <c r="Q230" s="37">
        <v>99309</v>
      </c>
      <c r="R230" s="37">
        <v>651656</v>
      </c>
      <c r="S230" s="37">
        <v>343435</v>
      </c>
      <c r="T230" s="40">
        <v>30000</v>
      </c>
      <c r="U230" s="37">
        <v>3913500</v>
      </c>
      <c r="V230" s="37">
        <v>0</v>
      </c>
      <c r="W230" s="45">
        <f t="shared" si="11"/>
        <v>5787270</v>
      </c>
      <c r="X230" s="46">
        <f t="shared" si="12"/>
        <v>9.6194490140928686</v>
      </c>
    </row>
    <row r="231" spans="1:24" s="4" customFormat="1" ht="15" customHeight="1">
      <c r="A231" s="28" t="s">
        <v>63</v>
      </c>
      <c r="B231" s="29">
        <v>3169.6</v>
      </c>
      <c r="C231" s="30" t="s">
        <v>398</v>
      </c>
      <c r="D231" s="2">
        <v>4948269547</v>
      </c>
      <c r="E231" s="2" t="s">
        <v>18</v>
      </c>
      <c r="F231" s="2" t="s">
        <v>399</v>
      </c>
      <c r="G231" s="28" t="s">
        <v>5</v>
      </c>
      <c r="H231" s="2" t="s">
        <v>20</v>
      </c>
      <c r="I231" s="2">
        <v>1</v>
      </c>
      <c r="J231" s="2" t="s">
        <v>400</v>
      </c>
      <c r="K231" s="2">
        <v>22572</v>
      </c>
      <c r="L231" s="35">
        <f t="shared" si="10"/>
        <v>71544211.200000003</v>
      </c>
      <c r="M231" s="36">
        <v>19800</v>
      </c>
      <c r="N231" s="37">
        <v>330602</v>
      </c>
      <c r="O231" s="37">
        <v>319212</v>
      </c>
      <c r="P231" s="37">
        <v>0</v>
      </c>
      <c r="Q231" s="37">
        <v>99309</v>
      </c>
      <c r="R231" s="37">
        <v>546189</v>
      </c>
      <c r="S231" s="37">
        <v>343435</v>
      </c>
      <c r="T231" s="40">
        <v>30000</v>
      </c>
      <c r="U231" s="37">
        <v>4311200</v>
      </c>
      <c r="V231" s="37">
        <v>0</v>
      </c>
      <c r="W231" s="45">
        <f t="shared" si="11"/>
        <v>5979947</v>
      </c>
      <c r="X231" s="46">
        <f t="shared" si="12"/>
        <v>8.3583939213239944</v>
      </c>
    </row>
    <row r="232" spans="1:24" s="4" customFormat="1" ht="15" customHeight="1">
      <c r="A232" s="54" t="s">
        <v>63</v>
      </c>
      <c r="B232" s="29">
        <v>3169.6</v>
      </c>
      <c r="C232" s="30" t="s">
        <v>401</v>
      </c>
      <c r="D232" s="2">
        <v>4947567983</v>
      </c>
      <c r="E232" s="2" t="s">
        <v>6</v>
      </c>
      <c r="F232" s="2" t="s">
        <v>402</v>
      </c>
      <c r="G232" s="28" t="s">
        <v>5</v>
      </c>
      <c r="H232" s="2" t="s">
        <v>20</v>
      </c>
      <c r="I232" s="2">
        <v>1</v>
      </c>
      <c r="J232" s="2" t="s">
        <v>403</v>
      </c>
      <c r="K232" s="2">
        <v>20541.599999999999</v>
      </c>
      <c r="L232" s="35">
        <f t="shared" si="10"/>
        <v>65108655.359999992</v>
      </c>
      <c r="M232" s="36">
        <v>6480</v>
      </c>
      <c r="N232" s="40">
        <v>382996.06930693099</v>
      </c>
      <c r="O232" s="37">
        <v>318735</v>
      </c>
      <c r="P232" s="40">
        <v>0</v>
      </c>
      <c r="Q232" s="37">
        <v>99555.415841584196</v>
      </c>
      <c r="R232" s="40">
        <v>432070.03960396</v>
      </c>
      <c r="S232" s="40">
        <v>275428.06930693099</v>
      </c>
      <c r="T232" s="40">
        <v>30000</v>
      </c>
      <c r="U232" s="40">
        <v>1600835.07920792</v>
      </c>
      <c r="V232" s="40">
        <v>0</v>
      </c>
      <c r="W232" s="45">
        <f t="shared" si="11"/>
        <v>3139619.6732673263</v>
      </c>
      <c r="X232" s="46">
        <f t="shared" si="12"/>
        <v>4.8221233504327232</v>
      </c>
    </row>
    <row r="233" spans="1:24" s="4" customFormat="1" ht="15" customHeight="1">
      <c r="A233" s="28" t="s">
        <v>63</v>
      </c>
      <c r="B233" s="29">
        <v>3169.6</v>
      </c>
      <c r="C233" s="30" t="s">
        <v>401</v>
      </c>
      <c r="D233" s="2">
        <v>4946607247</v>
      </c>
      <c r="E233" s="2" t="s">
        <v>6</v>
      </c>
      <c r="F233" s="2" t="s">
        <v>402</v>
      </c>
      <c r="G233" s="28" t="s">
        <v>5</v>
      </c>
      <c r="H233" s="2" t="s">
        <v>20</v>
      </c>
      <c r="I233" s="2">
        <v>1</v>
      </c>
      <c r="J233" s="2" t="s">
        <v>403</v>
      </c>
      <c r="K233" s="2">
        <v>656</v>
      </c>
      <c r="L233" s="35">
        <f t="shared" si="10"/>
        <v>2079257.5999999999</v>
      </c>
      <c r="M233" s="36">
        <v>1600</v>
      </c>
      <c r="N233" s="40">
        <v>94566.930693069298</v>
      </c>
      <c r="O233" s="56">
        <v>78700</v>
      </c>
      <c r="P233" s="40">
        <v>0</v>
      </c>
      <c r="Q233" s="37">
        <v>24581.584158415801</v>
      </c>
      <c r="R233" s="40">
        <v>106683.96039604</v>
      </c>
      <c r="S233" s="40">
        <v>68006.930693069298</v>
      </c>
      <c r="T233" s="40">
        <v>30000</v>
      </c>
      <c r="U233" s="40">
        <v>395267.92079207901</v>
      </c>
      <c r="V233" s="40">
        <v>0</v>
      </c>
      <c r="W233" s="45">
        <f t="shared" si="11"/>
        <v>797807.32673267345</v>
      </c>
      <c r="X233" s="46">
        <f t="shared" si="12"/>
        <v>38.369816550516568</v>
      </c>
    </row>
    <row r="234" spans="1:24" s="4" customFormat="1" ht="15" customHeight="1">
      <c r="A234" s="28" t="s">
        <v>63</v>
      </c>
      <c r="B234" s="29">
        <v>3169.6</v>
      </c>
      <c r="C234" s="30" t="s">
        <v>404</v>
      </c>
      <c r="D234" s="2">
        <v>4947273658</v>
      </c>
      <c r="E234" s="2" t="s">
        <v>14</v>
      </c>
      <c r="F234" s="78" t="s">
        <v>405</v>
      </c>
      <c r="G234" s="28" t="s">
        <v>9</v>
      </c>
      <c r="H234" s="2" t="s">
        <v>23</v>
      </c>
      <c r="I234" s="2">
        <v>1</v>
      </c>
      <c r="J234" s="2"/>
      <c r="K234" s="2">
        <v>800</v>
      </c>
      <c r="L234" s="35">
        <f t="shared" si="10"/>
        <v>2535680</v>
      </c>
      <c r="M234" s="36">
        <v>800</v>
      </c>
      <c r="N234" s="37">
        <v>661652</v>
      </c>
      <c r="O234" s="37">
        <v>550</v>
      </c>
      <c r="P234" s="37">
        <v>88080</v>
      </c>
      <c r="Q234" s="37">
        <v>13157</v>
      </c>
      <c r="R234" s="37">
        <v>94420</v>
      </c>
      <c r="S234" s="37">
        <v>343435</v>
      </c>
      <c r="T234" s="40">
        <v>30000</v>
      </c>
      <c r="U234" s="37">
        <v>415550</v>
      </c>
      <c r="V234" s="37">
        <v>0</v>
      </c>
      <c r="W234" s="45">
        <f t="shared" si="11"/>
        <v>1646844</v>
      </c>
      <c r="X234" s="46">
        <f t="shared" si="12"/>
        <v>64.94683871781929</v>
      </c>
    </row>
    <row r="235" spans="1:24" s="4" customFormat="1" ht="15" customHeight="1">
      <c r="A235" s="28" t="s">
        <v>63</v>
      </c>
      <c r="B235" s="29">
        <v>3169.6</v>
      </c>
      <c r="C235" s="30" t="s">
        <v>406</v>
      </c>
      <c r="D235" s="2">
        <v>4947978391</v>
      </c>
      <c r="E235" s="2" t="s">
        <v>18</v>
      </c>
      <c r="F235" s="2" t="s">
        <v>407</v>
      </c>
      <c r="G235" s="28" t="s">
        <v>5</v>
      </c>
      <c r="H235" s="2" t="s">
        <v>17</v>
      </c>
      <c r="I235" s="2">
        <v>1</v>
      </c>
      <c r="J235" s="2" t="s">
        <v>408</v>
      </c>
      <c r="K235" s="2">
        <v>18950</v>
      </c>
      <c r="L235" s="35">
        <f t="shared" si="10"/>
        <v>60063920</v>
      </c>
      <c r="M235" s="36">
        <v>5000</v>
      </c>
      <c r="N235" s="40">
        <v>110200.66666666701</v>
      </c>
      <c r="O235" s="37">
        <v>139922.66666666701</v>
      </c>
      <c r="P235" s="37">
        <v>192851.33333333299</v>
      </c>
      <c r="Q235" s="37">
        <v>33103</v>
      </c>
      <c r="R235" s="40">
        <f>223876.666666667+37830</f>
        <v>261706.66666666701</v>
      </c>
      <c r="S235" s="40">
        <v>114478.33333333299</v>
      </c>
      <c r="T235" s="40">
        <v>30000</v>
      </c>
      <c r="U235" s="40">
        <v>1383683.33333333</v>
      </c>
      <c r="V235" s="40">
        <v>0</v>
      </c>
      <c r="W235" s="45">
        <f t="shared" si="11"/>
        <v>2265945.9999999972</v>
      </c>
      <c r="X235" s="46">
        <f t="shared" si="12"/>
        <v>3.7725576352658918</v>
      </c>
    </row>
    <row r="236" spans="1:24" s="4" customFormat="1" ht="15" customHeight="1">
      <c r="A236" s="28" t="s">
        <v>63</v>
      </c>
      <c r="B236" s="29">
        <v>3169.6</v>
      </c>
      <c r="C236" s="30" t="s">
        <v>406</v>
      </c>
      <c r="D236" s="2">
        <v>4947978386</v>
      </c>
      <c r="E236" s="2" t="s">
        <v>18</v>
      </c>
      <c r="F236" s="2" t="s">
        <v>407</v>
      </c>
      <c r="G236" s="28" t="s">
        <v>5</v>
      </c>
      <c r="H236" s="2" t="s">
        <v>17</v>
      </c>
      <c r="I236" s="2">
        <v>1</v>
      </c>
      <c r="J236" s="2" t="s">
        <v>408</v>
      </c>
      <c r="K236" s="2">
        <v>33200</v>
      </c>
      <c r="L236" s="35">
        <f t="shared" si="10"/>
        <v>105230720</v>
      </c>
      <c r="M236" s="36">
        <v>10000</v>
      </c>
      <c r="N236" s="40">
        <v>220401.33333333299</v>
      </c>
      <c r="O236" s="37">
        <v>279845.33333333302</v>
      </c>
      <c r="P236" s="37">
        <v>385702.66666666698</v>
      </c>
      <c r="Q236" s="37">
        <v>66206</v>
      </c>
      <c r="R236" s="40">
        <v>523413.33333333302</v>
      </c>
      <c r="S236" s="40">
        <v>228956.66666666701</v>
      </c>
      <c r="T236" s="40">
        <v>30000</v>
      </c>
      <c r="U236" s="40">
        <v>2767366.6666666698</v>
      </c>
      <c r="V236" s="40">
        <v>0</v>
      </c>
      <c r="W236" s="45">
        <f t="shared" si="11"/>
        <v>4501892.0000000028</v>
      </c>
      <c r="X236" s="46">
        <f t="shared" si="12"/>
        <v>4.2781157441477191</v>
      </c>
    </row>
    <row r="237" spans="1:24" s="4" customFormat="1" ht="15" customHeight="1">
      <c r="A237" s="28" t="s">
        <v>63</v>
      </c>
      <c r="B237" s="29">
        <v>3169.6</v>
      </c>
      <c r="C237" s="30" t="s">
        <v>409</v>
      </c>
      <c r="D237" s="2">
        <v>4947002348</v>
      </c>
      <c r="E237" s="2" t="s">
        <v>14</v>
      </c>
      <c r="F237" s="2" t="s">
        <v>410</v>
      </c>
      <c r="G237" s="28" t="s">
        <v>5</v>
      </c>
      <c r="H237" s="2" t="s">
        <v>26</v>
      </c>
      <c r="I237" s="2">
        <v>1</v>
      </c>
      <c r="J237" s="2" t="s">
        <v>411</v>
      </c>
      <c r="K237" s="2">
        <v>30460.799999999999</v>
      </c>
      <c r="L237" s="35">
        <f t="shared" si="10"/>
        <v>96548551.679999992</v>
      </c>
      <c r="M237" s="36">
        <v>20040</v>
      </c>
      <c r="N237" s="37">
        <v>331179</v>
      </c>
      <c r="O237" s="37">
        <v>390324</v>
      </c>
      <c r="P237" s="37">
        <v>386376</v>
      </c>
      <c r="Q237" s="37">
        <v>99309</v>
      </c>
      <c r="R237" s="37">
        <v>621807</v>
      </c>
      <c r="S237" s="37">
        <v>343435</v>
      </c>
      <c r="T237" s="40">
        <v>30000</v>
      </c>
      <c r="U237" s="37">
        <v>0</v>
      </c>
      <c r="V237" s="37">
        <v>0</v>
      </c>
      <c r="W237" s="45">
        <f t="shared" si="11"/>
        <v>2202430</v>
      </c>
      <c r="X237" s="46">
        <f t="shared" si="12"/>
        <v>2.2811631678326179</v>
      </c>
    </row>
    <row r="238" spans="1:24" s="4" customFormat="1" ht="15" customHeight="1">
      <c r="A238" s="28" t="s">
        <v>63</v>
      </c>
      <c r="B238" s="29">
        <v>3169.6</v>
      </c>
      <c r="C238" s="30" t="s">
        <v>412</v>
      </c>
      <c r="D238" s="2">
        <v>4947978394</v>
      </c>
      <c r="E238" s="2" t="s">
        <v>18</v>
      </c>
      <c r="F238" s="2" t="s">
        <v>413</v>
      </c>
      <c r="G238" s="28" t="s">
        <v>5</v>
      </c>
      <c r="H238" s="2" t="s">
        <v>35</v>
      </c>
      <c r="I238" s="2">
        <v>1</v>
      </c>
      <c r="J238" s="2" t="s">
        <v>414</v>
      </c>
      <c r="K238" s="2">
        <v>8683.2000000000007</v>
      </c>
      <c r="L238" s="35">
        <f t="shared" si="10"/>
        <v>27522270.720000003</v>
      </c>
      <c r="M238" s="36">
        <v>1440</v>
      </c>
      <c r="N238" s="40">
        <v>52662.265486725701</v>
      </c>
      <c r="O238" s="37">
        <v>65760.530973451299</v>
      </c>
      <c r="P238" s="37">
        <v>0</v>
      </c>
      <c r="Q238" s="37">
        <v>15819.132743362799</v>
      </c>
      <c r="R238" s="40">
        <f>178168.938053097+18078</f>
        <v>196246.93805309699</v>
      </c>
      <c r="S238" s="40">
        <v>54706.460176991197</v>
      </c>
      <c r="T238" s="40">
        <v>30000</v>
      </c>
      <c r="U238" s="40">
        <v>784361.94690265495</v>
      </c>
      <c r="V238" s="40">
        <v>200950.40707964599</v>
      </c>
      <c r="W238" s="45">
        <f t="shared" si="11"/>
        <v>1400507.6814159288</v>
      </c>
      <c r="X238" s="46">
        <f t="shared" si="12"/>
        <v>5.0886342034205843</v>
      </c>
    </row>
    <row r="239" spans="1:24" s="4" customFormat="1" ht="15" customHeight="1">
      <c r="A239" s="28" t="s">
        <v>63</v>
      </c>
      <c r="B239" s="29">
        <v>3169.6</v>
      </c>
      <c r="C239" s="30" t="s">
        <v>412</v>
      </c>
      <c r="D239" s="2">
        <v>4946267790</v>
      </c>
      <c r="E239" s="2" t="s">
        <v>18</v>
      </c>
      <c r="F239" s="2" t="s">
        <v>413</v>
      </c>
      <c r="G239" s="28" t="s">
        <v>5</v>
      </c>
      <c r="H239" s="2" t="s">
        <v>35</v>
      </c>
      <c r="I239" s="2">
        <v>1</v>
      </c>
      <c r="J239" s="2" t="s">
        <v>414</v>
      </c>
      <c r="K239" s="2">
        <v>48320</v>
      </c>
      <c r="L239" s="35">
        <f t="shared" si="10"/>
        <v>153155072</v>
      </c>
      <c r="M239" s="36">
        <v>4000</v>
      </c>
      <c r="N239" s="40">
        <v>146284.07079646</v>
      </c>
      <c r="O239" s="37">
        <v>182668.14159292</v>
      </c>
      <c r="P239" s="37">
        <v>0</v>
      </c>
      <c r="Q239" s="37">
        <v>43942.035398230102</v>
      </c>
      <c r="R239" s="40">
        <f>494913.716814159+50217</f>
        <v>545130.71681415895</v>
      </c>
      <c r="S239" s="40">
        <v>151962.38938053101</v>
      </c>
      <c r="T239" s="40">
        <v>30000</v>
      </c>
      <c r="U239" s="40">
        <v>2178783.1858407101</v>
      </c>
      <c r="V239" s="40">
        <v>558195.57522123901</v>
      </c>
      <c r="W239" s="45">
        <f t="shared" si="11"/>
        <v>3836966.1150442492</v>
      </c>
      <c r="X239" s="46">
        <f t="shared" si="12"/>
        <v>2.5052817807067136</v>
      </c>
    </row>
    <row r="240" spans="1:24" s="4" customFormat="1" ht="15" customHeight="1">
      <c r="A240" s="28" t="s">
        <v>63</v>
      </c>
      <c r="B240" s="29">
        <v>3169.6</v>
      </c>
      <c r="C240" s="30" t="s">
        <v>412</v>
      </c>
      <c r="D240" s="2">
        <v>4948037014</v>
      </c>
      <c r="E240" s="2" t="s">
        <v>14</v>
      </c>
      <c r="F240" s="2" t="s">
        <v>413</v>
      </c>
      <c r="G240" s="28" t="s">
        <v>5</v>
      </c>
      <c r="H240" s="2" t="s">
        <v>35</v>
      </c>
      <c r="I240" s="2">
        <v>1</v>
      </c>
      <c r="J240" s="2" t="s">
        <v>414</v>
      </c>
      <c r="K240" s="2">
        <v>3708</v>
      </c>
      <c r="L240" s="35">
        <f t="shared" si="10"/>
        <v>11752876.799999999</v>
      </c>
      <c r="M240" s="36">
        <v>3600</v>
      </c>
      <c r="N240" s="40">
        <v>131655.66371681399</v>
      </c>
      <c r="O240" s="37">
        <v>164401.327433628</v>
      </c>
      <c r="P240" s="37">
        <v>0</v>
      </c>
      <c r="Q240" s="37">
        <v>39547.831858407102</v>
      </c>
      <c r="R240" s="40">
        <f>445422.345132743+45195</f>
        <v>490617.34513274301</v>
      </c>
      <c r="S240" s="40">
        <v>136766.15044247801</v>
      </c>
      <c r="T240" s="40">
        <v>30000</v>
      </c>
      <c r="U240" s="40">
        <v>1960904.86725664</v>
      </c>
      <c r="V240" s="40">
        <v>502376.01769911498</v>
      </c>
      <c r="W240" s="45">
        <f t="shared" si="11"/>
        <v>3456269.203539825</v>
      </c>
      <c r="X240" s="46">
        <f t="shared" si="12"/>
        <v>29.40785700688895</v>
      </c>
    </row>
    <row r="241" spans="1:24" s="4" customFormat="1" ht="15" customHeight="1">
      <c r="A241" s="28" t="s">
        <v>63</v>
      </c>
      <c r="B241" s="29">
        <v>3169.6</v>
      </c>
      <c r="C241" s="30" t="s">
        <v>415</v>
      </c>
      <c r="D241" s="2">
        <v>4947917140</v>
      </c>
      <c r="E241" s="2" t="s">
        <v>14</v>
      </c>
      <c r="F241" s="2" t="s">
        <v>416</v>
      </c>
      <c r="G241" s="28" t="s">
        <v>9</v>
      </c>
      <c r="H241" s="2" t="s">
        <v>23</v>
      </c>
      <c r="I241" s="2">
        <v>1</v>
      </c>
      <c r="J241" s="2"/>
      <c r="K241" s="2">
        <v>1586.5</v>
      </c>
      <c r="L241" s="35">
        <f t="shared" si="10"/>
        <v>5028570.3999999994</v>
      </c>
      <c r="M241" s="36">
        <v>950</v>
      </c>
      <c r="N241" s="37">
        <v>484689</v>
      </c>
      <c r="O241" s="37">
        <v>642</v>
      </c>
      <c r="P241" s="37">
        <v>55294</v>
      </c>
      <c r="Q241" s="37">
        <v>15543</v>
      </c>
      <c r="R241" s="37">
        <v>96069</v>
      </c>
      <c r="S241" s="37">
        <v>343435</v>
      </c>
      <c r="T241" s="40">
        <v>30000</v>
      </c>
      <c r="U241" s="37">
        <v>686223</v>
      </c>
      <c r="V241" s="37">
        <v>0</v>
      </c>
      <c r="W241" s="45">
        <f t="shared" si="11"/>
        <v>1711895</v>
      </c>
      <c r="X241" s="46">
        <f t="shared" si="12"/>
        <v>34.043373440690026</v>
      </c>
    </row>
    <row r="242" spans="1:24" s="4" customFormat="1" ht="15" customHeight="1">
      <c r="A242" s="28" t="s">
        <v>63</v>
      </c>
      <c r="B242" s="29">
        <v>3169.6</v>
      </c>
      <c r="C242" s="30" t="s">
        <v>417</v>
      </c>
      <c r="D242" s="2">
        <v>4947642984</v>
      </c>
      <c r="E242" s="2" t="s">
        <v>14</v>
      </c>
      <c r="F242" s="78" t="s">
        <v>418</v>
      </c>
      <c r="G242" s="28" t="s">
        <v>9</v>
      </c>
      <c r="H242" s="2" t="s">
        <v>23</v>
      </c>
      <c r="I242" s="2">
        <v>2</v>
      </c>
      <c r="J242" s="2"/>
      <c r="K242" s="2">
        <v>3534</v>
      </c>
      <c r="L242" s="35">
        <f t="shared" si="10"/>
        <v>11201366.4</v>
      </c>
      <c r="M242" s="36">
        <v>600</v>
      </c>
      <c r="N242" s="37">
        <v>485531</v>
      </c>
      <c r="O242" s="37">
        <v>417</v>
      </c>
      <c r="P242" s="37">
        <v>19544</v>
      </c>
      <c r="Q242" s="37">
        <v>10029</v>
      </c>
      <c r="R242" s="37">
        <v>90167</v>
      </c>
      <c r="S242" s="37">
        <v>343435</v>
      </c>
      <c r="T242" s="40">
        <v>30000</v>
      </c>
      <c r="U242" s="37">
        <v>994690.90909090894</v>
      </c>
      <c r="V242" s="37">
        <v>0</v>
      </c>
      <c r="W242" s="45">
        <f t="shared" si="11"/>
        <v>1973813.9090909089</v>
      </c>
      <c r="X242" s="46">
        <f t="shared" si="12"/>
        <v>17.621188689005912</v>
      </c>
    </row>
    <row r="243" spans="1:24" s="4" customFormat="1" ht="15" customHeight="1">
      <c r="A243" s="28" t="s">
        <v>63</v>
      </c>
      <c r="B243" s="29">
        <v>3169.6</v>
      </c>
      <c r="C243" s="30" t="s">
        <v>419</v>
      </c>
      <c r="D243" s="2">
        <v>4947898561</v>
      </c>
      <c r="E243" s="2" t="s">
        <v>18</v>
      </c>
      <c r="F243" s="2" t="s">
        <v>420</v>
      </c>
      <c r="G243" s="28" t="s">
        <v>9</v>
      </c>
      <c r="H243" s="2" t="s">
        <v>23</v>
      </c>
      <c r="I243" s="2">
        <v>1</v>
      </c>
      <c r="J243" s="2"/>
      <c r="K243" s="2">
        <v>315</v>
      </c>
      <c r="L243" s="35">
        <f t="shared" si="10"/>
        <v>998424</v>
      </c>
      <c r="M243" s="36">
        <v>150</v>
      </c>
      <c r="N243" s="37">
        <v>438405</v>
      </c>
      <c r="O243" s="37">
        <v>128</v>
      </c>
      <c r="P243" s="37">
        <v>7649</v>
      </c>
      <c r="Q243" s="37">
        <v>2688</v>
      </c>
      <c r="R243" s="37">
        <v>220843</v>
      </c>
      <c r="S243" s="37">
        <v>343435</v>
      </c>
      <c r="T243" s="40">
        <v>30000</v>
      </c>
      <c r="U243" s="37">
        <v>248672.727272727</v>
      </c>
      <c r="V243" s="37">
        <v>0</v>
      </c>
      <c r="W243" s="45">
        <f t="shared" si="11"/>
        <v>1291820.7272727271</v>
      </c>
      <c r="X243" s="46">
        <f t="shared" si="12"/>
        <v>129.38598503969527</v>
      </c>
    </row>
    <row r="244" spans="1:24" s="4" customFormat="1" ht="15" customHeight="1">
      <c r="A244" s="28" t="s">
        <v>63</v>
      </c>
      <c r="B244" s="29">
        <v>3169.6</v>
      </c>
      <c r="C244" s="30" t="s">
        <v>421</v>
      </c>
      <c r="D244" s="2">
        <v>4948267736</v>
      </c>
      <c r="E244" s="2" t="s">
        <v>14</v>
      </c>
      <c r="F244" s="2">
        <v>1024065638</v>
      </c>
      <c r="G244" s="28" t="s">
        <v>13</v>
      </c>
      <c r="H244" s="2" t="s">
        <v>23</v>
      </c>
      <c r="I244" s="2">
        <v>1</v>
      </c>
      <c r="J244" s="2"/>
      <c r="K244" s="2">
        <v>2180</v>
      </c>
      <c r="L244" s="35">
        <f t="shared" si="10"/>
        <v>6909728</v>
      </c>
      <c r="M244" s="36">
        <v>500</v>
      </c>
      <c r="N244" s="37">
        <v>650977</v>
      </c>
      <c r="O244" s="37">
        <v>0</v>
      </c>
      <c r="P244" s="37">
        <v>0</v>
      </c>
      <c r="Q244" s="37">
        <v>0</v>
      </c>
      <c r="R244" s="37">
        <v>5718</v>
      </c>
      <c r="S244" s="37">
        <v>343435</v>
      </c>
      <c r="T244" s="40">
        <v>30000</v>
      </c>
      <c r="U244" s="37">
        <v>246380</v>
      </c>
      <c r="V244" s="37">
        <v>0</v>
      </c>
      <c r="W244" s="45">
        <f t="shared" si="11"/>
        <v>1276510</v>
      </c>
      <c r="X244" s="46">
        <f t="shared" si="12"/>
        <v>18.474099125175407</v>
      </c>
    </row>
    <row r="245" spans="1:24" s="4" customFormat="1" ht="15" customHeight="1">
      <c r="A245" s="28" t="s">
        <v>63</v>
      </c>
      <c r="B245" s="29">
        <v>3169.6</v>
      </c>
      <c r="C245" s="30" t="s">
        <v>422</v>
      </c>
      <c r="D245" s="2">
        <v>4947976014</v>
      </c>
      <c r="E245" s="2" t="s">
        <v>21</v>
      </c>
      <c r="F245" s="2">
        <v>1023728104</v>
      </c>
      <c r="G245" s="28" t="s">
        <v>13</v>
      </c>
      <c r="H245" s="2" t="s">
        <v>23</v>
      </c>
      <c r="I245" s="2">
        <v>1</v>
      </c>
      <c r="J245" s="2"/>
      <c r="K245" s="2">
        <f>487.85+107.23</f>
        <v>595.08000000000004</v>
      </c>
      <c r="L245" s="35">
        <f t="shared" si="10"/>
        <v>1886165.568</v>
      </c>
      <c r="M245" s="36">
        <v>226.631</v>
      </c>
      <c r="N245" s="37">
        <v>334892</v>
      </c>
      <c r="O245" s="37">
        <v>0</v>
      </c>
      <c r="P245" s="37">
        <v>0</v>
      </c>
      <c r="Q245" s="37">
        <v>0</v>
      </c>
      <c r="R245" s="37">
        <v>2676</v>
      </c>
      <c r="S245" s="37">
        <v>343435</v>
      </c>
      <c r="T245" s="37"/>
      <c r="U245" s="37">
        <v>1455000</v>
      </c>
      <c r="V245" s="37">
        <v>0</v>
      </c>
      <c r="W245" s="45">
        <f t="shared" si="11"/>
        <v>2136003</v>
      </c>
      <c r="X245" s="46">
        <f t="shared" si="12"/>
        <v>113.24578479422227</v>
      </c>
    </row>
    <row r="246" spans="1:24" s="4" customFormat="1" ht="15" customHeight="1">
      <c r="A246" s="28" t="s">
        <v>63</v>
      </c>
      <c r="B246" s="29">
        <v>3169.6</v>
      </c>
      <c r="C246" s="30" t="s">
        <v>423</v>
      </c>
      <c r="D246" s="2">
        <v>4946203345</v>
      </c>
      <c r="E246" s="2" t="s">
        <v>24</v>
      </c>
      <c r="F246" s="78" t="s">
        <v>424</v>
      </c>
      <c r="G246" s="28" t="s">
        <v>13</v>
      </c>
      <c r="H246" s="2" t="s">
        <v>23</v>
      </c>
      <c r="I246" s="2">
        <v>4</v>
      </c>
      <c r="J246" s="2"/>
      <c r="K246" s="2">
        <v>27660.04</v>
      </c>
      <c r="L246" s="35">
        <f t="shared" si="10"/>
        <v>87671262.783999994</v>
      </c>
      <c r="M246" s="36">
        <v>266</v>
      </c>
      <c r="N246" s="37">
        <v>558119</v>
      </c>
      <c r="O246" s="37">
        <v>0</v>
      </c>
      <c r="P246" s="37">
        <v>0</v>
      </c>
      <c r="Q246" s="37">
        <v>0</v>
      </c>
      <c r="R246" s="37">
        <v>8232</v>
      </c>
      <c r="S246" s="37">
        <v>343435</v>
      </c>
      <c r="T246" s="37"/>
      <c r="U246" s="37">
        <v>246380</v>
      </c>
      <c r="V246" s="37">
        <v>0</v>
      </c>
      <c r="W246" s="45">
        <f t="shared" si="11"/>
        <v>1156166</v>
      </c>
      <c r="X246" s="46">
        <f t="shared" si="12"/>
        <v>1.3187513938843372</v>
      </c>
    </row>
    <row r="247" spans="1:24" s="4" customFormat="1" ht="15" customHeight="1">
      <c r="A247" s="28" t="s">
        <v>63</v>
      </c>
      <c r="B247" s="29">
        <v>3169.6</v>
      </c>
      <c r="C247" s="30" t="s">
        <v>425</v>
      </c>
      <c r="D247" s="2">
        <v>4948347742</v>
      </c>
      <c r="E247" s="2" t="s">
        <v>14</v>
      </c>
      <c r="F247" s="78" t="s">
        <v>426</v>
      </c>
      <c r="G247" s="28" t="s">
        <v>13</v>
      </c>
      <c r="H247" s="2" t="s">
        <v>23</v>
      </c>
      <c r="I247" s="2">
        <v>1</v>
      </c>
      <c r="J247" s="2"/>
      <c r="K247" s="2">
        <v>335.8</v>
      </c>
      <c r="L247" s="35">
        <f t="shared" si="10"/>
        <v>1064351.68</v>
      </c>
      <c r="M247" s="36">
        <v>20</v>
      </c>
      <c r="N247" s="37">
        <v>1026010.15</v>
      </c>
      <c r="O247" s="37">
        <v>0</v>
      </c>
      <c r="P247" s="37">
        <v>0</v>
      </c>
      <c r="Q247" s="37">
        <v>0</v>
      </c>
      <c r="R247" s="37">
        <v>4862</v>
      </c>
      <c r="S247" s="37">
        <v>343435</v>
      </c>
      <c r="T247" s="40">
        <v>30000</v>
      </c>
      <c r="U247" s="37">
        <v>246380</v>
      </c>
      <c r="V247" s="37">
        <v>0</v>
      </c>
      <c r="W247" s="45">
        <f t="shared" si="11"/>
        <v>1650687.15</v>
      </c>
      <c r="X247" s="46">
        <f t="shared" si="12"/>
        <v>155.088508903373</v>
      </c>
    </row>
    <row r="248" spans="1:24" s="4" customFormat="1" ht="15" customHeight="1">
      <c r="A248" s="28" t="s">
        <v>63</v>
      </c>
      <c r="B248" s="29">
        <v>3169.6</v>
      </c>
      <c r="C248" s="30" t="s">
        <v>427</v>
      </c>
      <c r="D248" s="2">
        <v>4947917131</v>
      </c>
      <c r="E248" s="2" t="s">
        <v>14</v>
      </c>
      <c r="F248" s="78" t="s">
        <v>428</v>
      </c>
      <c r="G248" s="28" t="s">
        <v>13</v>
      </c>
      <c r="H248" s="2" t="s">
        <v>23</v>
      </c>
      <c r="I248" s="2">
        <v>6</v>
      </c>
      <c r="J248" s="2"/>
      <c r="K248" s="2">
        <v>3784.5</v>
      </c>
      <c r="L248" s="35">
        <f t="shared" si="10"/>
        <v>11995351.199999999</v>
      </c>
      <c r="M248" s="36">
        <v>30</v>
      </c>
      <c r="N248" s="37">
        <v>587617</v>
      </c>
      <c r="O248" s="37">
        <v>0</v>
      </c>
      <c r="P248" s="37">
        <v>0</v>
      </c>
      <c r="Q248" s="37">
        <v>0</v>
      </c>
      <c r="R248" s="37">
        <v>4068</v>
      </c>
      <c r="S248" s="37">
        <v>343435</v>
      </c>
      <c r="T248" s="40">
        <v>30000</v>
      </c>
      <c r="U248" s="37">
        <v>113713.846153846</v>
      </c>
      <c r="V248" s="37">
        <v>0</v>
      </c>
      <c r="W248" s="45">
        <f t="shared" si="11"/>
        <v>1078833.846153846</v>
      </c>
      <c r="X248" s="46">
        <f t="shared" si="12"/>
        <v>8.993766236322001</v>
      </c>
    </row>
    <row r="249" spans="1:24" s="4" customFormat="1" ht="15" customHeight="1">
      <c r="A249" s="28" t="s">
        <v>63</v>
      </c>
      <c r="B249" s="29">
        <v>3169.6</v>
      </c>
      <c r="C249" s="30" t="s">
        <v>429</v>
      </c>
      <c r="D249" s="2">
        <v>4947642961</v>
      </c>
      <c r="E249" s="2" t="s">
        <v>14</v>
      </c>
      <c r="F249" s="2">
        <v>1024159391</v>
      </c>
      <c r="G249" s="28" t="s">
        <v>13</v>
      </c>
      <c r="H249" s="2" t="s">
        <v>23</v>
      </c>
      <c r="I249" s="2">
        <v>1</v>
      </c>
      <c r="J249" s="2"/>
      <c r="K249" s="2">
        <v>579</v>
      </c>
      <c r="L249" s="35">
        <f t="shared" si="10"/>
        <v>1835198.4</v>
      </c>
      <c r="M249" s="36">
        <v>10</v>
      </c>
      <c r="N249" s="37">
        <v>145685.45000000001</v>
      </c>
      <c r="O249" s="37">
        <v>0</v>
      </c>
      <c r="P249" s="37">
        <v>0</v>
      </c>
      <c r="Q249" s="37">
        <v>0</v>
      </c>
      <c r="R249" s="37">
        <v>583</v>
      </c>
      <c r="S249" s="37">
        <v>343435</v>
      </c>
      <c r="T249" s="40">
        <v>30000</v>
      </c>
      <c r="U249" s="37">
        <v>54751.111111111102</v>
      </c>
      <c r="V249" s="37">
        <v>0</v>
      </c>
      <c r="W249" s="45">
        <f t="shared" si="11"/>
        <v>574454.56111111108</v>
      </c>
      <c r="X249" s="46">
        <f t="shared" si="12"/>
        <v>31.30204130033631</v>
      </c>
    </row>
    <row r="250" spans="1:24" s="4" customFormat="1" ht="15" customHeight="1">
      <c r="A250" s="28" t="s">
        <v>63</v>
      </c>
      <c r="B250" s="29">
        <v>3169.6</v>
      </c>
      <c r="C250" s="30" t="s">
        <v>430</v>
      </c>
      <c r="D250" s="2">
        <v>4948283273</v>
      </c>
      <c r="E250" s="2" t="s">
        <v>18</v>
      </c>
      <c r="F250" s="2" t="s">
        <v>431</v>
      </c>
      <c r="G250" s="28" t="s">
        <v>13</v>
      </c>
      <c r="H250" s="2" t="s">
        <v>23</v>
      </c>
      <c r="I250" s="2">
        <v>1</v>
      </c>
      <c r="J250" s="2"/>
      <c r="K250" s="2">
        <v>469.75</v>
      </c>
      <c r="L250" s="35">
        <f t="shared" si="10"/>
        <v>1488919.5999999999</v>
      </c>
      <c r="M250" s="36">
        <v>25</v>
      </c>
      <c r="N250" s="37">
        <v>1008013.13</v>
      </c>
      <c r="O250" s="37">
        <v>0</v>
      </c>
      <c r="P250" s="37">
        <v>0</v>
      </c>
      <c r="Q250" s="37">
        <v>0</v>
      </c>
      <c r="R250" s="37">
        <v>4705</v>
      </c>
      <c r="S250" s="37">
        <v>343435</v>
      </c>
      <c r="T250" s="40">
        <v>30000</v>
      </c>
      <c r="U250" s="37">
        <v>136877.77777777801</v>
      </c>
      <c r="V250" s="37">
        <v>0</v>
      </c>
      <c r="W250" s="45">
        <f t="shared" si="11"/>
        <v>1523030.9077777779</v>
      </c>
      <c r="X250" s="46">
        <f t="shared" si="12"/>
        <v>102.29101072870408</v>
      </c>
    </row>
    <row r="251" spans="1:24" s="4" customFormat="1" ht="15" customHeight="1">
      <c r="A251" s="28" t="s">
        <v>63</v>
      </c>
      <c r="B251" s="29">
        <v>3169.6</v>
      </c>
      <c r="C251" s="30" t="s">
        <v>432</v>
      </c>
      <c r="D251" s="2">
        <v>4947945346</v>
      </c>
      <c r="E251" s="2" t="s">
        <v>14</v>
      </c>
      <c r="F251" s="78" t="s">
        <v>433</v>
      </c>
      <c r="G251" s="28" t="s">
        <v>13</v>
      </c>
      <c r="H251" s="2" t="s">
        <v>23</v>
      </c>
      <c r="I251" s="2">
        <v>1</v>
      </c>
      <c r="J251" s="2"/>
      <c r="K251" s="2">
        <v>388.1</v>
      </c>
      <c r="L251" s="35">
        <f t="shared" si="10"/>
        <v>1230121.76</v>
      </c>
      <c r="M251" s="36">
        <v>10</v>
      </c>
      <c r="N251" s="37">
        <v>137417.78</v>
      </c>
      <c r="O251" s="37">
        <v>0</v>
      </c>
      <c r="P251" s="37">
        <v>0</v>
      </c>
      <c r="Q251" s="37">
        <v>0</v>
      </c>
      <c r="R251" s="37">
        <v>550</v>
      </c>
      <c r="S251" s="37">
        <v>343435</v>
      </c>
      <c r="T251" s="40">
        <v>30000</v>
      </c>
      <c r="U251" s="37">
        <v>54751.111111111102</v>
      </c>
      <c r="V251" s="37">
        <v>0</v>
      </c>
      <c r="W251" s="45">
        <f t="shared" si="11"/>
        <v>566153.89111111115</v>
      </c>
      <c r="X251" s="46">
        <f t="shared" si="12"/>
        <v>46.024215611884721</v>
      </c>
    </row>
    <row r="252" spans="1:24" s="4" customFormat="1" ht="15" customHeight="1">
      <c r="A252" s="28" t="s">
        <v>63</v>
      </c>
      <c r="B252" s="29">
        <v>3169.6</v>
      </c>
      <c r="C252" s="30" t="s">
        <v>434</v>
      </c>
      <c r="D252" s="2">
        <v>4948392543</v>
      </c>
      <c r="E252" s="2" t="s">
        <v>33</v>
      </c>
      <c r="F252" s="78" t="s">
        <v>435</v>
      </c>
      <c r="G252" s="28" t="s">
        <v>13</v>
      </c>
      <c r="H252" s="2" t="s">
        <v>23</v>
      </c>
      <c r="I252" s="2">
        <v>5</v>
      </c>
      <c r="J252" s="2"/>
      <c r="K252" s="2">
        <v>16851.21</v>
      </c>
      <c r="L252" s="35">
        <f t="shared" si="10"/>
        <v>53411595.215999998</v>
      </c>
      <c r="M252" s="36">
        <v>100</v>
      </c>
      <c r="N252" s="37">
        <v>1735193.67</v>
      </c>
      <c r="O252" s="37">
        <v>0</v>
      </c>
      <c r="P252" s="37">
        <v>314303</v>
      </c>
      <c r="Q252" s="37">
        <v>0</v>
      </c>
      <c r="R252" s="37">
        <v>9941</v>
      </c>
      <c r="S252" s="37">
        <v>343435</v>
      </c>
      <c r="T252" s="37"/>
      <c r="U252" s="37">
        <v>374420</v>
      </c>
      <c r="V252" s="37">
        <v>0</v>
      </c>
      <c r="W252" s="45">
        <f t="shared" si="11"/>
        <v>2777292.67</v>
      </c>
      <c r="X252" s="46">
        <f t="shared" si="12"/>
        <v>5.1997935256725549</v>
      </c>
    </row>
    <row r="253" spans="1:24" s="4" customFormat="1" ht="15" customHeight="1">
      <c r="A253" s="28" t="s">
        <v>63</v>
      </c>
      <c r="B253" s="29">
        <v>3169.6</v>
      </c>
      <c r="C253" s="30" t="s">
        <v>436</v>
      </c>
      <c r="D253" s="2">
        <v>4946765668</v>
      </c>
      <c r="E253" s="2" t="s">
        <v>27</v>
      </c>
      <c r="F253" s="2" t="s">
        <v>437</v>
      </c>
      <c r="G253" s="28" t="s">
        <v>9</v>
      </c>
      <c r="H253" s="2" t="s">
        <v>23</v>
      </c>
      <c r="I253" s="2">
        <v>1</v>
      </c>
      <c r="J253" s="2"/>
      <c r="K253" s="2">
        <v>2203.1999999999998</v>
      </c>
      <c r="L253" s="35">
        <f t="shared" si="10"/>
        <v>6983262.7199999988</v>
      </c>
      <c r="M253" s="36">
        <v>600</v>
      </c>
      <c r="N253" s="37">
        <v>72327</v>
      </c>
      <c r="O253" s="37">
        <v>469</v>
      </c>
      <c r="P253" s="37">
        <v>9399</v>
      </c>
      <c r="Q253" s="37">
        <v>14531</v>
      </c>
      <c r="R253" s="37">
        <v>93046</v>
      </c>
      <c r="S253" s="37">
        <v>343435</v>
      </c>
      <c r="T253" s="37"/>
      <c r="U253" s="37">
        <v>1367700</v>
      </c>
      <c r="V253" s="37">
        <v>0</v>
      </c>
      <c r="W253" s="45">
        <f t="shared" si="11"/>
        <v>1900907</v>
      </c>
      <c r="X253" s="46">
        <f t="shared" si="12"/>
        <v>27.220900547760007</v>
      </c>
    </row>
    <row r="254" spans="1:24" s="4" customFormat="1" ht="15" customHeight="1">
      <c r="A254" s="28" t="s">
        <v>63</v>
      </c>
      <c r="B254" s="29">
        <v>3169.6</v>
      </c>
      <c r="C254" s="30" t="s">
        <v>438</v>
      </c>
      <c r="D254" s="2">
        <v>4948094924</v>
      </c>
      <c r="E254" s="2" t="s">
        <v>6</v>
      </c>
      <c r="F254" s="2" t="s">
        <v>439</v>
      </c>
      <c r="G254" s="28" t="s">
        <v>9</v>
      </c>
      <c r="H254" s="2" t="s">
        <v>23</v>
      </c>
      <c r="I254" s="2">
        <v>2</v>
      </c>
      <c r="J254" s="2"/>
      <c r="K254" s="2">
        <v>15033.6</v>
      </c>
      <c r="L254" s="35">
        <f t="shared" si="10"/>
        <v>47650498.560000002</v>
      </c>
      <c r="M254" s="36">
        <v>1080</v>
      </c>
      <c r="N254" s="37">
        <v>1301179</v>
      </c>
      <c r="O254" s="37">
        <v>907</v>
      </c>
      <c r="P254" s="37">
        <v>0</v>
      </c>
      <c r="Q254" s="37">
        <v>21924</v>
      </c>
      <c r="R254" s="37">
        <v>108786</v>
      </c>
      <c r="S254" s="37">
        <v>343435</v>
      </c>
      <c r="T254" s="40">
        <v>30000</v>
      </c>
      <c r="U254" s="37">
        <v>522739</v>
      </c>
      <c r="V254" s="37">
        <v>0</v>
      </c>
      <c r="W254" s="45">
        <f t="shared" si="11"/>
        <v>2328970</v>
      </c>
      <c r="X254" s="46">
        <f t="shared" si="12"/>
        <v>4.8876088821346428</v>
      </c>
    </row>
    <row r="255" spans="1:24" s="4" customFormat="1" ht="15" customHeight="1">
      <c r="A255" s="28" t="s">
        <v>63</v>
      </c>
      <c r="B255" s="29">
        <v>3169.6</v>
      </c>
      <c r="C255" s="30" t="s">
        <v>440</v>
      </c>
      <c r="D255" s="2">
        <v>4945574111</v>
      </c>
      <c r="E255" s="2" t="s">
        <v>27</v>
      </c>
      <c r="F255" s="2" t="s">
        <v>441</v>
      </c>
      <c r="G255" s="28" t="s">
        <v>9</v>
      </c>
      <c r="H255" s="2" t="s">
        <v>23</v>
      </c>
      <c r="I255" s="2">
        <v>6</v>
      </c>
      <c r="J255" s="2"/>
      <c r="K255" s="2">
        <v>9366</v>
      </c>
      <c r="L255" s="35">
        <f t="shared" si="10"/>
        <v>29686473.599999998</v>
      </c>
      <c r="M255" s="36">
        <v>5405.4</v>
      </c>
      <c r="N255" s="37">
        <v>726191</v>
      </c>
      <c r="O255" s="37">
        <v>3639</v>
      </c>
      <c r="P255" s="37">
        <v>71987</v>
      </c>
      <c r="Q255" s="37">
        <v>88222</v>
      </c>
      <c r="R255" s="37">
        <v>176081</v>
      </c>
      <c r="S255" s="37">
        <v>343435</v>
      </c>
      <c r="T255" s="37"/>
      <c r="U255" s="37">
        <v>2085500</v>
      </c>
      <c r="V255" s="37">
        <v>0</v>
      </c>
      <c r="W255" s="45">
        <f t="shared" si="11"/>
        <v>3495055</v>
      </c>
      <c r="X255" s="46">
        <f t="shared" si="12"/>
        <v>11.773223883351374</v>
      </c>
    </row>
    <row r="256" spans="1:24" s="4" customFormat="1" ht="15" customHeight="1">
      <c r="A256" s="28" t="s">
        <v>63</v>
      </c>
      <c r="B256" s="29">
        <v>3169.6</v>
      </c>
      <c r="C256" s="30" t="s">
        <v>442</v>
      </c>
      <c r="D256" s="2">
        <v>4947642980</v>
      </c>
      <c r="E256" s="2" t="s">
        <v>14</v>
      </c>
      <c r="F256" s="78" t="s">
        <v>443</v>
      </c>
      <c r="G256" s="28" t="s">
        <v>9</v>
      </c>
      <c r="H256" s="2" t="s">
        <v>23</v>
      </c>
      <c r="I256" s="2">
        <v>3</v>
      </c>
      <c r="J256" s="2"/>
      <c r="K256" s="2">
        <v>3510</v>
      </c>
      <c r="L256" s="35">
        <f t="shared" si="10"/>
        <v>11125296</v>
      </c>
      <c r="M256" s="36">
        <v>2250</v>
      </c>
      <c r="N256" s="37">
        <v>632976</v>
      </c>
      <c r="O256" s="37">
        <v>1540</v>
      </c>
      <c r="P256" s="37">
        <v>72505</v>
      </c>
      <c r="Q256" s="37">
        <v>36983</v>
      </c>
      <c r="R256" s="37">
        <v>119158</v>
      </c>
      <c r="S256" s="37">
        <v>343435</v>
      </c>
      <c r="T256" s="40">
        <v>30000</v>
      </c>
      <c r="U256" s="37">
        <v>986790</v>
      </c>
      <c r="V256" s="37">
        <v>0</v>
      </c>
      <c r="W256" s="45">
        <f t="shared" si="11"/>
        <v>2223387</v>
      </c>
      <c r="X256" s="46">
        <f t="shared" si="12"/>
        <v>19.984969388679634</v>
      </c>
    </row>
    <row r="257" spans="1:24" s="4" customFormat="1" ht="15" customHeight="1">
      <c r="A257" s="28" t="s">
        <v>63</v>
      </c>
      <c r="B257" s="29">
        <v>3169.6</v>
      </c>
      <c r="C257" s="30" t="s">
        <v>444</v>
      </c>
      <c r="D257" s="2">
        <v>4948067360</v>
      </c>
      <c r="E257" s="2" t="s">
        <v>33</v>
      </c>
      <c r="F257" s="2" t="s">
        <v>445</v>
      </c>
      <c r="G257" s="28" t="s">
        <v>5</v>
      </c>
      <c r="H257" s="2" t="s">
        <v>17</v>
      </c>
      <c r="I257" s="2">
        <v>1</v>
      </c>
      <c r="J257" s="2" t="s">
        <v>446</v>
      </c>
      <c r="K257" s="2">
        <v>51710.400000000001</v>
      </c>
      <c r="L257" s="35">
        <f t="shared" si="10"/>
        <v>163901283.84</v>
      </c>
      <c r="M257" s="36">
        <v>15390</v>
      </c>
      <c r="N257" s="37">
        <v>328475</v>
      </c>
      <c r="O257" s="37">
        <v>418768</v>
      </c>
      <c r="P257" s="37">
        <v>0</v>
      </c>
      <c r="Q257" s="37">
        <v>99309</v>
      </c>
      <c r="R257" s="37">
        <v>735197</v>
      </c>
      <c r="S257" s="37">
        <v>343435</v>
      </c>
      <c r="T257" s="37"/>
      <c r="U257" s="37">
        <v>4646550</v>
      </c>
      <c r="V257" s="37">
        <v>0</v>
      </c>
      <c r="W257" s="45">
        <f t="shared" si="11"/>
        <v>6571734</v>
      </c>
      <c r="X257" s="46">
        <f t="shared" si="12"/>
        <v>4.0095683487234357</v>
      </c>
    </row>
    <row r="258" spans="1:24" s="4" customFormat="1" ht="15" customHeight="1">
      <c r="A258" s="28" t="s">
        <v>63</v>
      </c>
      <c r="B258" s="29">
        <v>3169.6</v>
      </c>
      <c r="C258" s="30" t="s">
        <v>447</v>
      </c>
      <c r="D258" s="2">
        <v>4947435994</v>
      </c>
      <c r="E258" s="2" t="s">
        <v>36</v>
      </c>
      <c r="F258" s="78" t="s">
        <v>448</v>
      </c>
      <c r="G258" s="28" t="s">
        <v>5</v>
      </c>
      <c r="H258" s="2" t="s">
        <v>26</v>
      </c>
      <c r="I258" s="2">
        <v>4</v>
      </c>
      <c r="J258" s="2" t="s">
        <v>449</v>
      </c>
      <c r="K258" s="2">
        <v>76776.7</v>
      </c>
      <c r="L258" s="35">
        <f t="shared" si="10"/>
        <v>243351428.31999999</v>
      </c>
      <c r="M258" s="36">
        <v>84370</v>
      </c>
      <c r="N258" s="37">
        <v>1283819</v>
      </c>
      <c r="O258" s="37">
        <v>1945300</v>
      </c>
      <c r="P258" s="37">
        <v>4916984</v>
      </c>
      <c r="Q258" s="37">
        <v>496548</v>
      </c>
      <c r="R258" s="37">
        <v>3299468</v>
      </c>
      <c r="S258" s="37">
        <v>343435</v>
      </c>
      <c r="T258" s="37"/>
      <c r="U258" s="37">
        <v>0</v>
      </c>
      <c r="V258" s="37">
        <v>0</v>
      </c>
      <c r="W258" s="45">
        <f t="shared" si="11"/>
        <v>12285554</v>
      </c>
      <c r="X258" s="46">
        <f t="shared" si="12"/>
        <v>5.0484823881308216</v>
      </c>
    </row>
    <row r="259" spans="1:24" s="4" customFormat="1" ht="15" customHeight="1">
      <c r="A259" s="28" t="s">
        <v>63</v>
      </c>
      <c r="B259" s="29">
        <v>3169.6</v>
      </c>
      <c r="C259" s="30" t="s">
        <v>450</v>
      </c>
      <c r="D259" s="2">
        <v>4947917201</v>
      </c>
      <c r="E259" s="2" t="s">
        <v>18</v>
      </c>
      <c r="F259" s="2" t="s">
        <v>451</v>
      </c>
      <c r="G259" s="28" t="s">
        <v>5</v>
      </c>
      <c r="H259" s="2" t="s">
        <v>17</v>
      </c>
      <c r="I259" s="2">
        <v>1</v>
      </c>
      <c r="J259" s="2" t="s">
        <v>452</v>
      </c>
      <c r="K259" s="2">
        <v>68480</v>
      </c>
      <c r="L259" s="35">
        <f t="shared" ref="L259:L269" si="13">B259*K259</f>
        <v>217054208</v>
      </c>
      <c r="M259" s="36">
        <v>16000</v>
      </c>
      <c r="N259" s="40">
        <v>310333.35288940999</v>
      </c>
      <c r="O259" s="37">
        <v>393094.04517453798</v>
      </c>
      <c r="P259" s="37">
        <v>0</v>
      </c>
      <c r="Q259" s="37">
        <v>93220.533880903502</v>
      </c>
      <c r="R259" s="40">
        <v>614556.64065708395</v>
      </c>
      <c r="S259" s="40">
        <v>322379.58345555898</v>
      </c>
      <c r="T259" s="40">
        <v>30000</v>
      </c>
      <c r="U259" s="40">
        <v>4488401.2907010904</v>
      </c>
      <c r="V259" s="40">
        <v>1184180.2288061001</v>
      </c>
      <c r="W259" s="45">
        <f t="shared" ref="W259:W269" si="14">+SUM(N259:V259)</f>
        <v>7436165.6755646849</v>
      </c>
      <c r="X259" s="46">
        <f t="shared" ref="X259:X269" si="15">(W259/L259)*100</f>
        <v>3.4259486347137234</v>
      </c>
    </row>
    <row r="260" spans="1:24" s="4" customFormat="1" ht="15" customHeight="1">
      <c r="A260" s="28" t="s">
        <v>63</v>
      </c>
      <c r="B260" s="29">
        <v>3169.6</v>
      </c>
      <c r="C260" s="30" t="s">
        <v>450</v>
      </c>
      <c r="D260" s="2">
        <v>4947917134</v>
      </c>
      <c r="E260" s="2" t="s">
        <v>14</v>
      </c>
      <c r="F260" s="2" t="s">
        <v>451</v>
      </c>
      <c r="G260" s="28" t="s">
        <v>5</v>
      </c>
      <c r="H260" s="2" t="s">
        <v>17</v>
      </c>
      <c r="I260" s="2">
        <v>1</v>
      </c>
      <c r="J260" s="2" t="s">
        <v>452</v>
      </c>
      <c r="K260" s="2">
        <v>15593.5</v>
      </c>
      <c r="L260" s="35">
        <f t="shared" si="13"/>
        <v>49425157.600000001</v>
      </c>
      <c r="M260" s="36">
        <v>325</v>
      </c>
      <c r="N260" s="40">
        <v>6303.6462305661498</v>
      </c>
      <c r="O260" s="37">
        <v>7984.7227926078003</v>
      </c>
      <c r="P260" s="37">
        <v>0</v>
      </c>
      <c r="Q260" s="37">
        <v>1893.54209445585</v>
      </c>
      <c r="R260" s="40">
        <f>10319.250513347+2164</f>
        <v>12483.250513347</v>
      </c>
      <c r="S260" s="40">
        <v>6548.3352889410398</v>
      </c>
      <c r="T260" s="40">
        <v>30000</v>
      </c>
      <c r="U260" s="40">
        <v>91170.651217365797</v>
      </c>
      <c r="V260" s="40">
        <v>24053.6608976239</v>
      </c>
      <c r="W260" s="45">
        <f t="shared" si="14"/>
        <v>180437.80903490752</v>
      </c>
      <c r="X260" s="46">
        <f t="shared" si="15"/>
        <v>0.36507280461338887</v>
      </c>
    </row>
    <row r="261" spans="1:24" s="4" customFormat="1" ht="15" customHeight="1">
      <c r="A261" s="28" t="s">
        <v>63</v>
      </c>
      <c r="B261" s="29">
        <v>3169.6</v>
      </c>
      <c r="C261" s="30" t="s">
        <v>450</v>
      </c>
      <c r="D261" s="2">
        <v>4947705173</v>
      </c>
      <c r="E261" s="2" t="s">
        <v>14</v>
      </c>
      <c r="F261" s="2" t="s">
        <v>451</v>
      </c>
      <c r="G261" s="28" t="s">
        <v>5</v>
      </c>
      <c r="H261" s="2" t="s">
        <v>17</v>
      </c>
      <c r="I261" s="2">
        <v>1</v>
      </c>
      <c r="J261" s="2" t="s">
        <v>452</v>
      </c>
      <c r="K261" s="2">
        <v>25236</v>
      </c>
      <c r="L261" s="35">
        <f t="shared" si="13"/>
        <v>79988025.599999994</v>
      </c>
      <c r="M261" s="36">
        <v>720</v>
      </c>
      <c r="N261" s="40">
        <v>13965.000880023499</v>
      </c>
      <c r="O261" s="37">
        <v>17689.232032854201</v>
      </c>
      <c r="P261" s="37">
        <v>0</v>
      </c>
      <c r="Q261" s="37">
        <v>4194.9240246406598</v>
      </c>
      <c r="R261" s="40">
        <f>22861.1088295688+4794</f>
        <v>27655.108829568799</v>
      </c>
      <c r="S261" s="40">
        <v>14507.081255500099</v>
      </c>
      <c r="T261" s="40">
        <v>30000</v>
      </c>
      <c r="U261" s="40">
        <v>201978.05808154901</v>
      </c>
      <c r="V261" s="40">
        <v>53288.110296274601</v>
      </c>
      <c r="W261" s="45">
        <f t="shared" si="14"/>
        <v>363277.51540041086</v>
      </c>
      <c r="X261" s="46">
        <f t="shared" si="15"/>
        <v>0.45416487364880137</v>
      </c>
    </row>
    <row r="262" spans="1:24" s="4" customFormat="1" ht="15" customHeight="1">
      <c r="A262" s="28" t="s">
        <v>63</v>
      </c>
      <c r="B262" s="29">
        <v>3169.6</v>
      </c>
      <c r="C262" s="30" t="s">
        <v>453</v>
      </c>
      <c r="D262" s="2">
        <v>4947219368</v>
      </c>
      <c r="E262" s="2" t="s">
        <v>14</v>
      </c>
      <c r="F262" s="2" t="s">
        <v>454</v>
      </c>
      <c r="G262" s="28" t="s">
        <v>5</v>
      </c>
      <c r="H262" s="2" t="s">
        <v>17</v>
      </c>
      <c r="I262" s="2">
        <v>1</v>
      </c>
      <c r="J262" s="2" t="s">
        <v>455</v>
      </c>
      <c r="K262" s="2">
        <v>26346.6</v>
      </c>
      <c r="L262" s="35">
        <f t="shared" si="13"/>
        <v>83508183.359999999</v>
      </c>
      <c r="M262" s="36">
        <f>13940+2460</f>
        <v>16400</v>
      </c>
      <c r="N262" s="40">
        <v>222390.18867924501</v>
      </c>
      <c r="O262" s="37">
        <v>281697.91632485599</v>
      </c>
      <c r="P262" s="37">
        <v>389183.166529943</v>
      </c>
      <c r="Q262" s="37">
        <v>66803.429040196905</v>
      </c>
      <c r="R262" s="40">
        <f>463902.050861362+185325</f>
        <v>649227.05086136202</v>
      </c>
      <c r="S262" s="40">
        <v>231022.72354388799</v>
      </c>
      <c r="T262" s="40">
        <v>30000</v>
      </c>
      <c r="U262" s="40">
        <v>3379590.6480721901</v>
      </c>
      <c r="V262" s="40">
        <v>848603.80639868695</v>
      </c>
      <c r="W262" s="45">
        <f t="shared" si="14"/>
        <v>6098518.9294503676</v>
      </c>
      <c r="X262" s="46">
        <f t="shared" si="15"/>
        <v>7.3028997687088077</v>
      </c>
    </row>
    <row r="263" spans="1:24" s="4" customFormat="1" ht="15" customHeight="1">
      <c r="A263" s="28" t="s">
        <v>63</v>
      </c>
      <c r="B263" s="29">
        <v>3169.6</v>
      </c>
      <c r="C263" s="30" t="s">
        <v>453</v>
      </c>
      <c r="D263" s="2">
        <v>4947975254</v>
      </c>
      <c r="E263" s="2" t="s">
        <v>14</v>
      </c>
      <c r="F263" s="2" t="s">
        <v>454</v>
      </c>
      <c r="G263" s="28" t="s">
        <v>5</v>
      </c>
      <c r="H263" s="2" t="s">
        <v>17</v>
      </c>
      <c r="I263" s="2">
        <v>1</v>
      </c>
      <c r="J263" s="2" t="s">
        <v>455</v>
      </c>
      <c r="K263" s="2">
        <v>6166.4</v>
      </c>
      <c r="L263" s="35">
        <f t="shared" si="13"/>
        <v>19545021.439999998</v>
      </c>
      <c r="M263" s="36">
        <v>820</v>
      </c>
      <c r="N263" s="40">
        <v>11119.509433962299</v>
      </c>
      <c r="O263" s="37">
        <v>14084.895816242801</v>
      </c>
      <c r="P263" s="37">
        <v>19459.158326497101</v>
      </c>
      <c r="Q263" s="37">
        <v>3340.1714520098399</v>
      </c>
      <c r="R263" s="40">
        <f>23195.1025430681+9266</f>
        <v>32461.1025430681</v>
      </c>
      <c r="S263" s="40">
        <v>11551.136177194399</v>
      </c>
      <c r="T263" s="40">
        <v>30000</v>
      </c>
      <c r="U263" s="40">
        <v>168979.53240361001</v>
      </c>
      <c r="V263" s="40">
        <v>42430.190319934401</v>
      </c>
      <c r="W263" s="45">
        <f t="shared" si="14"/>
        <v>333425.69647251896</v>
      </c>
      <c r="X263" s="46">
        <f t="shared" si="15"/>
        <v>1.7059367138382582</v>
      </c>
    </row>
    <row r="264" spans="1:24" s="4" customFormat="1" ht="15" customHeight="1">
      <c r="A264" s="28" t="s">
        <v>63</v>
      </c>
      <c r="B264" s="29">
        <v>3169.6</v>
      </c>
      <c r="C264" s="30" t="s">
        <v>453</v>
      </c>
      <c r="D264" s="2">
        <v>4947510913</v>
      </c>
      <c r="E264" s="2" t="s">
        <v>14</v>
      </c>
      <c r="F264" s="2" t="s">
        <v>454</v>
      </c>
      <c r="G264" s="28" t="s">
        <v>5</v>
      </c>
      <c r="H264" s="2" t="s">
        <v>17</v>
      </c>
      <c r="I264" s="2">
        <v>1</v>
      </c>
      <c r="J264" s="2" t="s">
        <v>455</v>
      </c>
      <c r="K264" s="2">
        <f>1183+3549</f>
        <v>4732</v>
      </c>
      <c r="L264" s="35">
        <f t="shared" si="13"/>
        <v>14998547.199999999</v>
      </c>
      <c r="M264" s="36">
        <f>525+175</f>
        <v>700</v>
      </c>
      <c r="N264" s="40">
        <v>9492.2641509433997</v>
      </c>
      <c r="O264" s="37">
        <v>12023.6915504512</v>
      </c>
      <c r="P264" s="37">
        <v>16611.4766201805</v>
      </c>
      <c r="Q264" s="37">
        <v>2851.3658736669399</v>
      </c>
      <c r="R264" s="40">
        <f>19800.697292863+7910</f>
        <v>27710.697292862998</v>
      </c>
      <c r="S264" s="40">
        <v>9860.7260049220695</v>
      </c>
      <c r="T264" s="40">
        <v>30000</v>
      </c>
      <c r="U264" s="40">
        <v>144250.82034454501</v>
      </c>
      <c r="V264" s="40">
        <v>36220.894175553702</v>
      </c>
      <c r="W264" s="45">
        <f t="shared" si="14"/>
        <v>289021.93601312581</v>
      </c>
      <c r="X264" s="46">
        <f t="shared" si="15"/>
        <v>1.9269995430832516</v>
      </c>
    </row>
    <row r="265" spans="1:24" s="4" customFormat="1" ht="15" customHeight="1">
      <c r="A265" s="28" t="s">
        <v>63</v>
      </c>
      <c r="B265" s="29">
        <v>3169.6</v>
      </c>
      <c r="C265" s="30" t="s">
        <v>453</v>
      </c>
      <c r="D265" s="2">
        <v>4948037014</v>
      </c>
      <c r="E265" s="2" t="s">
        <v>14</v>
      </c>
      <c r="F265" s="2" t="s">
        <v>454</v>
      </c>
      <c r="G265" s="28" t="s">
        <v>5</v>
      </c>
      <c r="H265" s="2" t="s">
        <v>17</v>
      </c>
      <c r="I265" s="2">
        <v>1</v>
      </c>
      <c r="J265" s="2" t="s">
        <v>455</v>
      </c>
      <c r="K265" s="2">
        <v>1864.8</v>
      </c>
      <c r="L265" s="35">
        <f t="shared" si="13"/>
        <v>5910670.0800000001</v>
      </c>
      <c r="M265" s="36">
        <v>420</v>
      </c>
      <c r="N265" s="40">
        <v>5695.35849056604</v>
      </c>
      <c r="O265" s="37">
        <v>7214.2149302707103</v>
      </c>
      <c r="P265" s="37">
        <v>9966.8859721082899</v>
      </c>
      <c r="Q265" s="37">
        <v>1710.81952420016</v>
      </c>
      <c r="R265" s="40">
        <f>11880.4183757178+4746</f>
        <v>16626.4183757178</v>
      </c>
      <c r="S265" s="40">
        <v>5916.43560295324</v>
      </c>
      <c r="T265" s="40">
        <v>30000</v>
      </c>
      <c r="U265" s="40">
        <v>86550.492206726805</v>
      </c>
      <c r="V265" s="40">
        <v>21732.536505332198</v>
      </c>
      <c r="W265" s="45">
        <f t="shared" si="14"/>
        <v>185413.16160787523</v>
      </c>
      <c r="X265" s="46">
        <f t="shared" si="15"/>
        <v>3.1369228716598445</v>
      </c>
    </row>
    <row r="266" spans="1:24" s="4" customFormat="1" ht="15" customHeight="1">
      <c r="A266" s="28" t="s">
        <v>63</v>
      </c>
      <c r="B266" s="29">
        <v>3169.6</v>
      </c>
      <c r="C266" s="30" t="s">
        <v>453</v>
      </c>
      <c r="D266" s="2">
        <v>4947223485</v>
      </c>
      <c r="E266" s="2" t="s">
        <v>14</v>
      </c>
      <c r="F266" s="2" t="s">
        <v>454</v>
      </c>
      <c r="G266" s="28" t="s">
        <v>5</v>
      </c>
      <c r="H266" s="2" t="s">
        <v>17</v>
      </c>
      <c r="I266" s="2">
        <v>1</v>
      </c>
      <c r="J266" s="2" t="s">
        <v>455</v>
      </c>
      <c r="K266" s="2">
        <v>16984</v>
      </c>
      <c r="L266" s="35">
        <f t="shared" si="13"/>
        <v>53832486.399999999</v>
      </c>
      <c r="M266" s="36">
        <v>4400</v>
      </c>
      <c r="N266" s="40">
        <v>59665.660377358501</v>
      </c>
      <c r="O266" s="37">
        <v>75577.489745693194</v>
      </c>
      <c r="P266" s="37">
        <v>104414.995898277</v>
      </c>
      <c r="Q266" s="37">
        <v>17922.8712059065</v>
      </c>
      <c r="R266" s="40">
        <v>174182.52584085299</v>
      </c>
      <c r="S266" s="40">
        <v>61981.706316652999</v>
      </c>
      <c r="T266" s="40">
        <v>30000</v>
      </c>
      <c r="U266" s="40">
        <v>906719.44216571003</v>
      </c>
      <c r="V266" s="40">
        <v>227674.19196062299</v>
      </c>
      <c r="W266" s="45">
        <f t="shared" si="14"/>
        <v>1658138.8835110744</v>
      </c>
      <c r="X266" s="46">
        <f t="shared" si="15"/>
        <v>3.0801826079337</v>
      </c>
    </row>
    <row r="267" spans="1:24" s="4" customFormat="1" ht="15" customHeight="1">
      <c r="A267" s="28" t="s">
        <v>63</v>
      </c>
      <c r="B267" s="29">
        <v>3169.6</v>
      </c>
      <c r="C267" s="30" t="s">
        <v>453</v>
      </c>
      <c r="D267" s="2">
        <v>4948037017</v>
      </c>
      <c r="E267" s="2" t="s">
        <v>14</v>
      </c>
      <c r="F267" s="2" t="s">
        <v>454</v>
      </c>
      <c r="G267" s="28" t="s">
        <v>5</v>
      </c>
      <c r="H267" s="2" t="s">
        <v>17</v>
      </c>
      <c r="I267" s="2">
        <v>1</v>
      </c>
      <c r="J267" s="2" t="s">
        <v>455</v>
      </c>
      <c r="K267" s="2">
        <v>6543.6</v>
      </c>
      <c r="L267" s="35">
        <f t="shared" si="13"/>
        <v>20740594.560000002</v>
      </c>
      <c r="M267" s="36">
        <v>1640</v>
      </c>
      <c r="N267" s="40">
        <v>22239.0188679245</v>
      </c>
      <c r="O267" s="37">
        <v>28169.791632485601</v>
      </c>
      <c r="P267" s="37">
        <v>38918.316652994297</v>
      </c>
      <c r="Q267" s="37">
        <v>6680.3429040196897</v>
      </c>
      <c r="R267" s="40">
        <v>64923.2050861362</v>
      </c>
      <c r="S267" s="40">
        <v>23102.272354388799</v>
      </c>
      <c r="T267" s="40">
        <v>30000</v>
      </c>
      <c r="U267" s="40">
        <v>337959.06480721902</v>
      </c>
      <c r="V267" s="40">
        <v>84860.380639868701</v>
      </c>
      <c r="W267" s="45">
        <f t="shared" si="14"/>
        <v>636852.39294503687</v>
      </c>
      <c r="X267" s="46">
        <f t="shared" si="15"/>
        <v>3.070559964434485</v>
      </c>
    </row>
    <row r="268" spans="1:24" s="4" customFormat="1" ht="15" customHeight="1">
      <c r="A268" s="28" t="s">
        <v>63</v>
      </c>
      <c r="B268" s="29">
        <v>3169.6</v>
      </c>
      <c r="C268" s="30" t="s">
        <v>456</v>
      </c>
      <c r="D268" s="2">
        <v>4945963724</v>
      </c>
      <c r="E268" s="2" t="s">
        <v>14</v>
      </c>
      <c r="F268" s="2" t="s">
        <v>457</v>
      </c>
      <c r="G268" s="28" t="s">
        <v>9</v>
      </c>
      <c r="H268" s="2" t="s">
        <v>23</v>
      </c>
      <c r="I268" s="2">
        <v>16</v>
      </c>
      <c r="J268" s="2"/>
      <c r="K268" s="2">
        <f>3024+3024</f>
        <v>6048</v>
      </c>
      <c r="L268" s="35">
        <f t="shared" si="13"/>
        <v>19169740.800000001</v>
      </c>
      <c r="M268" s="36">
        <f>1260+1260</f>
        <v>2520</v>
      </c>
      <c r="N268" s="40">
        <v>145945.945945946</v>
      </c>
      <c r="O268" s="37">
        <v>1728.6486486486499</v>
      </c>
      <c r="P268" s="37">
        <v>78456.648648648697</v>
      </c>
      <c r="Q268" s="37">
        <v>40807.783783783801</v>
      </c>
      <c r="R268" s="40">
        <v>66549.081081081094</v>
      </c>
      <c r="S268" s="40">
        <v>111384.324324324</v>
      </c>
      <c r="T268" s="40">
        <v>30000</v>
      </c>
      <c r="U268" s="40">
        <v>2005500</v>
      </c>
      <c r="V268" s="40">
        <v>0</v>
      </c>
      <c r="W268" s="45">
        <f t="shared" si="14"/>
        <v>2480372.4324324322</v>
      </c>
      <c r="X268" s="46">
        <f t="shared" si="15"/>
        <v>12.938998280208525</v>
      </c>
    </row>
    <row r="269" spans="1:24" s="4" customFormat="1" ht="15" customHeight="1">
      <c r="A269" s="28" t="s">
        <v>63</v>
      </c>
      <c r="B269" s="29">
        <v>3169.6</v>
      </c>
      <c r="C269" s="30" t="s">
        <v>456</v>
      </c>
      <c r="D269" s="2">
        <v>4947219364</v>
      </c>
      <c r="E269" s="2" t="s">
        <v>14</v>
      </c>
      <c r="F269" s="2" t="s">
        <v>457</v>
      </c>
      <c r="G269" s="28" t="s">
        <v>9</v>
      </c>
      <c r="H269" s="2" t="s">
        <v>23</v>
      </c>
      <c r="I269" s="2">
        <v>16</v>
      </c>
      <c r="J269" s="2"/>
      <c r="K269" s="2">
        <v>16327</v>
      </c>
      <c r="L269" s="35">
        <f t="shared" si="13"/>
        <v>51750059.199999996</v>
      </c>
      <c r="M269" s="36">
        <v>5250</v>
      </c>
      <c r="N269" s="40">
        <v>256000</v>
      </c>
      <c r="O269" s="37">
        <v>3601.3513513513499</v>
      </c>
      <c r="P269" s="37">
        <v>166972</v>
      </c>
      <c r="Q269" s="37">
        <v>85016.216216216199</v>
      </c>
      <c r="R269" s="40">
        <f>3597+74387+3000+2004</f>
        <v>82988</v>
      </c>
      <c r="S269" s="40">
        <v>232051</v>
      </c>
      <c r="T269" s="40">
        <v>30000</v>
      </c>
      <c r="U269" s="40">
        <v>1500000</v>
      </c>
      <c r="V269" s="40">
        <v>0</v>
      </c>
      <c r="W269" s="45">
        <f t="shared" si="14"/>
        <v>2356628.5675675673</v>
      </c>
      <c r="X269" s="46">
        <f t="shared" si="15"/>
        <v>4.5538664187027011</v>
      </c>
    </row>
    <row r="270" spans="1:24" s="4" customFormat="1" ht="15" customHeight="1">
      <c r="A270" s="28" t="s">
        <v>63</v>
      </c>
      <c r="B270" s="29">
        <v>3169.6</v>
      </c>
      <c r="C270" s="30" t="s">
        <v>288</v>
      </c>
      <c r="D270" s="2">
        <v>4946818448</v>
      </c>
      <c r="E270" s="2" t="s">
        <v>33</v>
      </c>
      <c r="F270" s="78" t="s">
        <v>289</v>
      </c>
      <c r="G270" s="28" t="s">
        <v>5</v>
      </c>
      <c r="H270" s="2" t="s">
        <v>20</v>
      </c>
      <c r="I270" s="2">
        <v>1</v>
      </c>
      <c r="J270" s="2" t="s">
        <v>290</v>
      </c>
      <c r="K270" s="2">
        <v>50688</v>
      </c>
      <c r="L270" s="35">
        <f t="shared" ref="L270:L317" si="16">B270*K270</f>
        <v>160660684.79999998</v>
      </c>
      <c r="M270" s="36">
        <v>39600</v>
      </c>
      <c r="N270" s="37">
        <v>942996</v>
      </c>
      <c r="O270" s="37">
        <v>319212</v>
      </c>
      <c r="P270" s="37">
        <v>0</v>
      </c>
      <c r="Q270" s="37">
        <v>99309</v>
      </c>
      <c r="R270" s="37">
        <v>1252708</v>
      </c>
      <c r="S270" s="37">
        <v>343435</v>
      </c>
      <c r="T270" s="37"/>
      <c r="U270" s="37">
        <v>4350000</v>
      </c>
      <c r="V270" s="37">
        <v>0</v>
      </c>
      <c r="W270" s="45">
        <f t="shared" ref="W270:W317" si="17">+SUM(N270:V270)</f>
        <v>7307660</v>
      </c>
      <c r="X270" s="46">
        <f t="shared" ref="X270:X317" si="18">(W270/L270)*100</f>
        <v>4.5485054474260531</v>
      </c>
    </row>
    <row r="271" spans="1:24" s="4" customFormat="1" ht="15" customHeight="1">
      <c r="A271" s="28" t="s">
        <v>63</v>
      </c>
      <c r="B271" s="29">
        <v>3169.6</v>
      </c>
      <c r="C271" s="30" t="s">
        <v>291</v>
      </c>
      <c r="D271" s="2">
        <v>4947217691</v>
      </c>
      <c r="E271" s="2" t="s">
        <v>14</v>
      </c>
      <c r="F271" s="78" t="s">
        <v>292</v>
      </c>
      <c r="G271" s="28" t="s">
        <v>5</v>
      </c>
      <c r="H271" s="2" t="s">
        <v>20</v>
      </c>
      <c r="I271" s="2">
        <v>1</v>
      </c>
      <c r="J271" s="2" t="s">
        <v>293</v>
      </c>
      <c r="K271" s="2">
        <v>52052</v>
      </c>
      <c r="L271" s="35">
        <f t="shared" si="16"/>
        <v>164984019.19999999</v>
      </c>
      <c r="M271" s="36">
        <v>6160</v>
      </c>
      <c r="N271" s="37">
        <v>471500</v>
      </c>
      <c r="O271" s="37">
        <v>319212</v>
      </c>
      <c r="P271" s="37">
        <v>0</v>
      </c>
      <c r="Q271" s="37">
        <v>99309</v>
      </c>
      <c r="R271" s="37">
        <v>627853</v>
      </c>
      <c r="S271" s="37">
        <v>343435</v>
      </c>
      <c r="T271" s="40">
        <v>30000</v>
      </c>
      <c r="U271" s="37">
        <v>2601700</v>
      </c>
      <c r="V271" s="37">
        <v>0</v>
      </c>
      <c r="W271" s="45">
        <f t="shared" si="17"/>
        <v>4493009</v>
      </c>
      <c r="X271" s="46">
        <f t="shared" si="18"/>
        <v>2.7232995182117614</v>
      </c>
    </row>
    <row r="272" spans="1:24" s="4" customFormat="1" ht="15" customHeight="1">
      <c r="A272" s="28" t="s">
        <v>63</v>
      </c>
      <c r="B272" s="29">
        <v>3169.6</v>
      </c>
      <c r="C272" s="30" t="s">
        <v>458</v>
      </c>
      <c r="D272" s="2">
        <v>4946569068</v>
      </c>
      <c r="E272" s="2" t="s">
        <v>36</v>
      </c>
      <c r="F272" s="2" t="s">
        <v>459</v>
      </c>
      <c r="G272" s="28" t="s">
        <v>5</v>
      </c>
      <c r="H272" s="2" t="s">
        <v>26</v>
      </c>
      <c r="I272" s="2">
        <v>4</v>
      </c>
      <c r="J272" s="2" t="s">
        <v>460</v>
      </c>
      <c r="K272" s="2">
        <v>320909</v>
      </c>
      <c r="L272" s="35">
        <f t="shared" si="16"/>
        <v>1017153166.4</v>
      </c>
      <c r="M272" s="36">
        <v>99971</v>
      </c>
      <c r="N272" s="37">
        <v>1241534</v>
      </c>
      <c r="O272" s="37">
        <v>1945300</v>
      </c>
      <c r="P272" s="37">
        <v>5653416</v>
      </c>
      <c r="Q272" s="37">
        <v>496548</v>
      </c>
      <c r="R272" s="37">
        <v>3286250</v>
      </c>
      <c r="S272" s="37">
        <v>343435</v>
      </c>
      <c r="T272" s="37"/>
      <c r="U272" s="37">
        <v>0</v>
      </c>
      <c r="V272" s="37">
        <v>0</v>
      </c>
      <c r="W272" s="45">
        <f t="shared" si="17"/>
        <v>12966483</v>
      </c>
      <c r="X272" s="46">
        <f t="shared" si="18"/>
        <v>1.2747817564086383</v>
      </c>
    </row>
    <row r="273" spans="1:24" s="4" customFormat="1" ht="15" customHeight="1">
      <c r="A273" s="28" t="s">
        <v>63</v>
      </c>
      <c r="B273" s="29">
        <v>3169.6</v>
      </c>
      <c r="C273" s="49" t="s">
        <v>461</v>
      </c>
      <c r="D273" s="2">
        <v>4946569067</v>
      </c>
      <c r="E273" s="2" t="s">
        <v>36</v>
      </c>
      <c r="F273" s="2" t="s">
        <v>462</v>
      </c>
      <c r="G273" s="28" t="s">
        <v>5</v>
      </c>
      <c r="H273" s="2" t="s">
        <v>26</v>
      </c>
      <c r="I273" s="2">
        <v>4</v>
      </c>
      <c r="J273" s="2" t="s">
        <v>463</v>
      </c>
      <c r="K273" s="2">
        <v>320865</v>
      </c>
      <c r="L273" s="35">
        <f t="shared" si="16"/>
        <v>1017013704</v>
      </c>
      <c r="M273" s="36">
        <v>99958</v>
      </c>
      <c r="N273" s="37">
        <v>1251970</v>
      </c>
      <c r="O273" s="37">
        <v>1945300</v>
      </c>
      <c r="P273" s="37">
        <v>6080995</v>
      </c>
      <c r="Q273" s="37">
        <v>496548</v>
      </c>
      <c r="R273" s="37">
        <v>3304512</v>
      </c>
      <c r="S273" s="37">
        <v>343435</v>
      </c>
      <c r="T273" s="37"/>
      <c r="U273" s="37">
        <v>0</v>
      </c>
      <c r="V273" s="37">
        <v>0</v>
      </c>
      <c r="W273" s="45">
        <f t="shared" si="17"/>
        <v>13422760</v>
      </c>
      <c r="X273" s="46">
        <f t="shared" si="18"/>
        <v>1.3198209569062012</v>
      </c>
    </row>
    <row r="274" spans="1:24" s="4" customFormat="1" ht="15" customHeight="1">
      <c r="A274" s="28" t="s">
        <v>63</v>
      </c>
      <c r="B274" s="29">
        <v>3169.6</v>
      </c>
      <c r="C274" s="30" t="s">
        <v>464</v>
      </c>
      <c r="D274" s="2">
        <v>4947612624</v>
      </c>
      <c r="E274" s="2" t="s">
        <v>14</v>
      </c>
      <c r="F274" s="2">
        <v>1023851411</v>
      </c>
      <c r="G274" s="28" t="s">
        <v>13</v>
      </c>
      <c r="H274" s="2" t="s">
        <v>23</v>
      </c>
      <c r="I274" s="2">
        <v>2</v>
      </c>
      <c r="J274" s="2"/>
      <c r="K274" s="2">
        <v>1417.2</v>
      </c>
      <c r="L274" s="35">
        <f t="shared" si="16"/>
        <v>4491957.12</v>
      </c>
      <c r="M274" s="36">
        <v>20</v>
      </c>
      <c r="N274" s="40">
        <v>136269.76666666701</v>
      </c>
      <c r="O274" s="37">
        <v>0</v>
      </c>
      <c r="P274" s="37">
        <v>0</v>
      </c>
      <c r="Q274" s="37">
        <v>0</v>
      </c>
      <c r="R274" s="40">
        <v>545.08000000000004</v>
      </c>
      <c r="S274" s="40">
        <v>228956.66666666701</v>
      </c>
      <c r="T274" s="40">
        <v>30000</v>
      </c>
      <c r="U274" s="40">
        <v>14709.2537313433</v>
      </c>
      <c r="V274" s="40">
        <v>0</v>
      </c>
      <c r="W274" s="45">
        <f t="shared" si="17"/>
        <v>410480.76706467732</v>
      </c>
      <c r="X274" s="46">
        <f t="shared" si="18"/>
        <v>9.1381274597892261</v>
      </c>
    </row>
    <row r="275" spans="1:24" s="4" customFormat="1" ht="15" customHeight="1">
      <c r="A275" s="28" t="s">
        <v>63</v>
      </c>
      <c r="B275" s="29">
        <v>3169.6</v>
      </c>
      <c r="C275" s="30" t="s">
        <v>464</v>
      </c>
      <c r="D275" s="2">
        <v>4947945347</v>
      </c>
      <c r="E275" s="2" t="s">
        <v>14</v>
      </c>
      <c r="F275" s="2">
        <v>1023851411</v>
      </c>
      <c r="G275" s="28" t="s">
        <v>13</v>
      </c>
      <c r="H275" s="2" t="s">
        <v>23</v>
      </c>
      <c r="I275" s="2">
        <v>2</v>
      </c>
      <c r="J275" s="2"/>
      <c r="K275" s="2">
        <v>840.8</v>
      </c>
      <c r="L275" s="35">
        <f t="shared" si="16"/>
        <v>2664999.6799999997</v>
      </c>
      <c r="M275" s="36">
        <v>10</v>
      </c>
      <c r="N275" s="40">
        <v>68134.883333333302</v>
      </c>
      <c r="O275" s="37">
        <v>0</v>
      </c>
      <c r="P275" s="37">
        <v>0</v>
      </c>
      <c r="Q275" s="37">
        <v>0</v>
      </c>
      <c r="R275" s="40">
        <v>272.54000000000002</v>
      </c>
      <c r="S275" s="40">
        <v>114478.33333333299</v>
      </c>
      <c r="T275" s="40">
        <v>30000</v>
      </c>
      <c r="U275" s="40">
        <v>7354.6268656716402</v>
      </c>
      <c r="V275" s="40">
        <v>0</v>
      </c>
      <c r="W275" s="45">
        <f t="shared" si="17"/>
        <v>220240.38353233793</v>
      </c>
      <c r="X275" s="46">
        <f t="shared" si="18"/>
        <v>8.2641804869686872</v>
      </c>
    </row>
    <row r="276" spans="1:24" s="4" customFormat="1" ht="15" customHeight="1">
      <c r="A276" s="28" t="s">
        <v>63</v>
      </c>
      <c r="B276" s="29">
        <v>3169.6</v>
      </c>
      <c r="C276" s="30" t="s">
        <v>465</v>
      </c>
      <c r="D276" s="2">
        <v>4947642958</v>
      </c>
      <c r="E276" s="2" t="s">
        <v>14</v>
      </c>
      <c r="F276" s="2">
        <v>1023985114</v>
      </c>
      <c r="G276" s="28" t="s">
        <v>13</v>
      </c>
      <c r="H276" s="2" t="s">
        <v>23</v>
      </c>
      <c r="I276" s="2">
        <v>2</v>
      </c>
      <c r="J276" s="2"/>
      <c r="K276" s="2">
        <v>29428.5</v>
      </c>
      <c r="L276" s="35">
        <f t="shared" si="16"/>
        <v>93276573.599999994</v>
      </c>
      <c r="M276" s="36">
        <v>230</v>
      </c>
      <c r="N276" s="37">
        <v>439071.46</v>
      </c>
      <c r="O276" s="37">
        <v>0</v>
      </c>
      <c r="P276" s="37">
        <v>0</v>
      </c>
      <c r="Q276" s="37">
        <v>0</v>
      </c>
      <c r="R276" s="37">
        <v>4756</v>
      </c>
      <c r="S276" s="37">
        <v>343435</v>
      </c>
      <c r="T276" s="40">
        <v>30000</v>
      </c>
      <c r="U276" s="37">
        <v>169156.41791044801</v>
      </c>
      <c r="V276" s="37">
        <v>0</v>
      </c>
      <c r="W276" s="45">
        <f t="shared" si="17"/>
        <v>986418.87791044801</v>
      </c>
      <c r="X276" s="46">
        <f t="shared" si="18"/>
        <v>1.0575204897003723</v>
      </c>
    </row>
    <row r="277" spans="1:24" s="4" customFormat="1" ht="15" customHeight="1">
      <c r="A277" s="28" t="s">
        <v>63</v>
      </c>
      <c r="B277" s="29">
        <v>3169.6</v>
      </c>
      <c r="C277" s="30" t="s">
        <v>466</v>
      </c>
      <c r="D277" s="2">
        <v>4947917132</v>
      </c>
      <c r="E277" s="2" t="s">
        <v>14</v>
      </c>
      <c r="F277" s="78" t="s">
        <v>467</v>
      </c>
      <c r="G277" s="28" t="s">
        <v>13</v>
      </c>
      <c r="H277" s="2" t="s">
        <v>23</v>
      </c>
      <c r="I277" s="2">
        <v>1</v>
      </c>
      <c r="J277" s="2"/>
      <c r="K277" s="2">
        <v>976.6</v>
      </c>
      <c r="L277" s="35">
        <f t="shared" si="16"/>
        <v>3095431.36</v>
      </c>
      <c r="M277" s="36">
        <v>20</v>
      </c>
      <c r="N277" s="37">
        <v>147413.17000000001</v>
      </c>
      <c r="O277" s="37">
        <v>0</v>
      </c>
      <c r="P277" s="37">
        <v>0</v>
      </c>
      <c r="Q277" s="37">
        <v>0</v>
      </c>
      <c r="R277" s="37">
        <v>589.65</v>
      </c>
      <c r="S277" s="37">
        <v>343435</v>
      </c>
      <c r="T277" s="40">
        <v>30000</v>
      </c>
      <c r="U277" s="37">
        <v>14709.2537313433</v>
      </c>
      <c r="V277" s="37">
        <v>0</v>
      </c>
      <c r="W277" s="45">
        <f t="shared" si="17"/>
        <v>536147.07373134326</v>
      </c>
      <c r="X277" s="46">
        <f t="shared" si="18"/>
        <v>17.320593202601117</v>
      </c>
    </row>
    <row r="278" spans="1:24" s="4" customFormat="1" ht="15" customHeight="1">
      <c r="A278" s="28" t="s">
        <v>63</v>
      </c>
      <c r="B278" s="29">
        <v>3169.6</v>
      </c>
      <c r="C278" s="30" t="s">
        <v>468</v>
      </c>
      <c r="D278" s="2">
        <v>4948062391</v>
      </c>
      <c r="E278" s="2" t="s">
        <v>21</v>
      </c>
      <c r="F278" s="78" t="s">
        <v>469</v>
      </c>
      <c r="G278" s="28" t="s">
        <v>13</v>
      </c>
      <c r="H278" s="2" t="s">
        <v>23</v>
      </c>
      <c r="I278" s="2">
        <v>3</v>
      </c>
      <c r="J278" s="2"/>
      <c r="K278" s="2">
        <v>175.8</v>
      </c>
      <c r="L278" s="35">
        <f t="shared" si="16"/>
        <v>557215.68000000005</v>
      </c>
      <c r="M278" s="36">
        <v>60</v>
      </c>
      <c r="N278" s="37">
        <v>433909</v>
      </c>
      <c r="O278" s="37">
        <v>0</v>
      </c>
      <c r="P278" s="37">
        <v>0</v>
      </c>
      <c r="Q278" s="37">
        <v>0</v>
      </c>
      <c r="R278" s="37">
        <v>1736</v>
      </c>
      <c r="S278" s="37">
        <v>343435</v>
      </c>
      <c r="T278" s="37"/>
      <c r="U278" s="37">
        <v>727500</v>
      </c>
      <c r="V278" s="37">
        <v>0</v>
      </c>
      <c r="W278" s="45">
        <f t="shared" si="17"/>
        <v>1506580</v>
      </c>
      <c r="X278" s="46">
        <f t="shared" si="18"/>
        <v>270.37645458936112</v>
      </c>
    </row>
    <row r="279" spans="1:24" s="4" customFormat="1" ht="15" customHeight="1">
      <c r="A279" s="28" t="s">
        <v>63</v>
      </c>
      <c r="B279" s="29">
        <v>3169.6</v>
      </c>
      <c r="C279" s="30" t="s">
        <v>470</v>
      </c>
      <c r="D279" s="2">
        <v>4948408903</v>
      </c>
      <c r="E279" s="2" t="s">
        <v>14</v>
      </c>
      <c r="F279" s="2">
        <v>1024012079</v>
      </c>
      <c r="G279" s="28" t="s">
        <v>13</v>
      </c>
      <c r="H279" s="2" t="s">
        <v>23</v>
      </c>
      <c r="I279" s="2">
        <v>1</v>
      </c>
      <c r="J279" s="2"/>
      <c r="K279" s="2">
        <v>852.2</v>
      </c>
      <c r="L279" s="35">
        <f t="shared" si="16"/>
        <v>2701133.12</v>
      </c>
      <c r="M279" s="36">
        <v>20</v>
      </c>
      <c r="N279" s="37">
        <v>147543</v>
      </c>
      <c r="O279" s="37">
        <v>0</v>
      </c>
      <c r="P279" s="37">
        <v>321300</v>
      </c>
      <c r="Q279" s="37">
        <v>0</v>
      </c>
      <c r="R279" s="37">
        <v>1875</v>
      </c>
      <c r="S279" s="37">
        <v>343435</v>
      </c>
      <c r="T279" s="40">
        <v>30000</v>
      </c>
      <c r="U279" s="37">
        <v>246380</v>
      </c>
      <c r="V279" s="37">
        <v>0</v>
      </c>
      <c r="W279" s="45">
        <f t="shared" si="17"/>
        <v>1090533</v>
      </c>
      <c r="X279" s="46">
        <f t="shared" si="18"/>
        <v>40.373167539406573</v>
      </c>
    </row>
    <row r="280" spans="1:24" s="4" customFormat="1" ht="15" customHeight="1">
      <c r="A280" s="28" t="s">
        <v>63</v>
      </c>
      <c r="B280" s="29">
        <v>3169.6</v>
      </c>
      <c r="C280" s="30" t="s">
        <v>471</v>
      </c>
      <c r="D280" s="2">
        <v>4947945345</v>
      </c>
      <c r="E280" s="2" t="s">
        <v>14</v>
      </c>
      <c r="F280" s="2" t="s">
        <v>472</v>
      </c>
      <c r="G280" s="28" t="s">
        <v>13</v>
      </c>
      <c r="H280" s="2" t="s">
        <v>23</v>
      </c>
      <c r="I280" s="2">
        <v>1</v>
      </c>
      <c r="J280" s="2"/>
      <c r="K280" s="2">
        <f>707.45+95.71</f>
        <v>803.16000000000008</v>
      </c>
      <c r="L280" s="35">
        <f t="shared" si="16"/>
        <v>2545695.9360000002</v>
      </c>
      <c r="M280" s="36">
        <v>5</v>
      </c>
      <c r="N280" s="37">
        <v>82863</v>
      </c>
      <c r="O280" s="37">
        <v>0</v>
      </c>
      <c r="P280" s="37">
        <v>0</v>
      </c>
      <c r="Q280" s="37">
        <v>0</v>
      </c>
      <c r="R280" s="37">
        <v>1524</v>
      </c>
      <c r="S280" s="37">
        <v>343435</v>
      </c>
      <c r="T280" s="40">
        <v>30000</v>
      </c>
      <c r="U280" s="37">
        <v>246380</v>
      </c>
      <c r="V280" s="37">
        <v>0</v>
      </c>
      <c r="W280" s="45">
        <f t="shared" si="17"/>
        <v>704202</v>
      </c>
      <c r="X280" s="46">
        <f t="shared" si="18"/>
        <v>27.662455285468941</v>
      </c>
    </row>
    <row r="281" spans="1:24" s="4" customFormat="1" ht="15" customHeight="1">
      <c r="A281" s="28" t="s">
        <v>63</v>
      </c>
      <c r="B281" s="29">
        <v>3169.6</v>
      </c>
      <c r="C281" s="30" t="s">
        <v>473</v>
      </c>
      <c r="D281" s="2">
        <v>4948062391</v>
      </c>
      <c r="E281" s="2" t="s">
        <v>21</v>
      </c>
      <c r="F281" s="78" t="s">
        <v>474</v>
      </c>
      <c r="G281" s="28" t="s">
        <v>13</v>
      </c>
      <c r="H281" s="2" t="s">
        <v>23</v>
      </c>
      <c r="I281" s="2">
        <v>3</v>
      </c>
      <c r="J281" s="2"/>
      <c r="K281" s="2">
        <v>160.80000000000001</v>
      </c>
      <c r="L281" s="35">
        <f t="shared" si="16"/>
        <v>509671.67999999999</v>
      </c>
      <c r="M281" s="36">
        <v>60</v>
      </c>
      <c r="N281" s="37">
        <v>433909</v>
      </c>
      <c r="O281" s="37">
        <v>0</v>
      </c>
      <c r="P281" s="37">
        <v>0</v>
      </c>
      <c r="Q281" s="37">
        <v>0</v>
      </c>
      <c r="R281" s="37">
        <v>1736</v>
      </c>
      <c r="S281" s="37">
        <v>343435</v>
      </c>
      <c r="T281" s="37"/>
      <c r="U281" s="37">
        <v>727500</v>
      </c>
      <c r="V281" s="37">
        <v>0</v>
      </c>
      <c r="W281" s="45">
        <f t="shared" si="17"/>
        <v>1506580</v>
      </c>
      <c r="X281" s="46">
        <f t="shared" si="18"/>
        <v>295.59813878612994</v>
      </c>
    </row>
    <row r="282" spans="1:24" s="4" customFormat="1" ht="15" customHeight="1">
      <c r="A282" s="28" t="s">
        <v>63</v>
      </c>
      <c r="B282" s="29">
        <v>3169.6</v>
      </c>
      <c r="C282" s="30" t="s">
        <v>475</v>
      </c>
      <c r="D282" s="78" t="s">
        <v>476</v>
      </c>
      <c r="E282" s="2" t="s">
        <v>27</v>
      </c>
      <c r="F282" s="78" t="s">
        <v>477</v>
      </c>
      <c r="G282" s="28" t="s">
        <v>13</v>
      </c>
      <c r="H282" s="2" t="s">
        <v>23</v>
      </c>
      <c r="I282" s="2">
        <v>3</v>
      </c>
      <c r="J282" s="2"/>
      <c r="K282" s="2">
        <f>55.49+2550.47</f>
        <v>2605.9599999999996</v>
      </c>
      <c r="L282" s="35">
        <f t="shared" si="16"/>
        <v>8259850.8159999987</v>
      </c>
      <c r="M282" s="36">
        <f>9.6+219.996</f>
        <v>229.596</v>
      </c>
      <c r="N282" s="37">
        <v>1026010.15</v>
      </c>
      <c r="O282" s="37">
        <v>0</v>
      </c>
      <c r="P282" s="37">
        <v>0</v>
      </c>
      <c r="Q282" s="37">
        <v>0</v>
      </c>
      <c r="R282" s="37">
        <v>4104</v>
      </c>
      <c r="S282" s="37">
        <v>343435</v>
      </c>
      <c r="T282" s="37"/>
      <c r="U282" s="37">
        <v>246380</v>
      </c>
      <c r="V282" s="37">
        <v>0</v>
      </c>
      <c r="W282" s="45">
        <f t="shared" si="17"/>
        <v>1619929.15</v>
      </c>
      <c r="X282" s="46">
        <f t="shared" si="18"/>
        <v>19.612087265087965</v>
      </c>
    </row>
    <row r="283" spans="1:24" s="4" customFormat="1" ht="15" customHeight="1">
      <c r="A283" s="28" t="s">
        <v>63</v>
      </c>
      <c r="B283" s="29">
        <v>3169.6</v>
      </c>
      <c r="C283" s="30" t="s">
        <v>478</v>
      </c>
      <c r="D283" s="2">
        <v>4947806877</v>
      </c>
      <c r="E283" s="2" t="s">
        <v>27</v>
      </c>
      <c r="F283" s="2">
        <v>1023989673</v>
      </c>
      <c r="G283" s="28" t="s">
        <v>13</v>
      </c>
      <c r="H283" s="2" t="s">
        <v>23</v>
      </c>
      <c r="I283" s="2">
        <v>1</v>
      </c>
      <c r="J283" s="2"/>
      <c r="K283" s="2">
        <v>936.7</v>
      </c>
      <c r="L283" s="35">
        <f t="shared" si="16"/>
        <v>2968964.32</v>
      </c>
      <c r="M283" s="36">
        <v>190</v>
      </c>
      <c r="N283" s="37">
        <v>336437.39</v>
      </c>
      <c r="O283" s="37">
        <v>0</v>
      </c>
      <c r="P283" s="37">
        <v>0</v>
      </c>
      <c r="Q283" s="37">
        <v>0</v>
      </c>
      <c r="R283" s="37">
        <v>1346</v>
      </c>
      <c r="S283" s="37">
        <v>343435</v>
      </c>
      <c r="T283" s="37"/>
      <c r="U283" s="37">
        <v>246380</v>
      </c>
      <c r="V283" s="37">
        <v>0</v>
      </c>
      <c r="W283" s="45">
        <f t="shared" si="17"/>
        <v>927598.39</v>
      </c>
      <c r="X283" s="46">
        <f t="shared" si="18"/>
        <v>31.24316394613998</v>
      </c>
    </row>
    <row r="284" spans="1:24" s="4" customFormat="1" ht="15" customHeight="1">
      <c r="A284" s="28" t="s">
        <v>63</v>
      </c>
      <c r="B284" s="29">
        <v>3169.6</v>
      </c>
      <c r="C284" s="30" t="s">
        <v>479</v>
      </c>
      <c r="D284" s="2">
        <v>4948308293</v>
      </c>
      <c r="E284" s="2" t="s">
        <v>33</v>
      </c>
      <c r="F284" s="2" t="s">
        <v>480</v>
      </c>
      <c r="G284" s="28" t="s">
        <v>13</v>
      </c>
      <c r="H284" s="2" t="s">
        <v>23</v>
      </c>
      <c r="I284" s="2">
        <v>1</v>
      </c>
      <c r="J284" s="2"/>
      <c r="K284" s="2">
        <v>477</v>
      </c>
      <c r="L284" s="35">
        <f t="shared" si="16"/>
        <v>1511899.2</v>
      </c>
      <c r="M284" s="36">
        <v>150</v>
      </c>
      <c r="N284" s="37">
        <v>862252.84</v>
      </c>
      <c r="O284" s="37">
        <v>0</v>
      </c>
      <c r="P284" s="37">
        <v>0</v>
      </c>
      <c r="Q284" s="37">
        <v>0</v>
      </c>
      <c r="R284" s="37">
        <v>3449</v>
      </c>
      <c r="S284" s="37">
        <v>343435</v>
      </c>
      <c r="T284" s="37"/>
      <c r="U284" s="37">
        <v>246380</v>
      </c>
      <c r="V284" s="37">
        <v>0</v>
      </c>
      <c r="W284" s="45">
        <f t="shared" si="17"/>
        <v>1455516.8399999999</v>
      </c>
      <c r="X284" s="46">
        <f t="shared" si="18"/>
        <v>96.270759320462631</v>
      </c>
    </row>
    <row r="285" spans="1:24" s="4" customFormat="1" ht="15" customHeight="1">
      <c r="A285" s="28" t="s">
        <v>63</v>
      </c>
      <c r="B285" s="29">
        <v>3169.6</v>
      </c>
      <c r="C285" s="30" t="s">
        <v>481</v>
      </c>
      <c r="D285" s="2">
        <v>4947320666</v>
      </c>
      <c r="E285" s="2" t="s">
        <v>14</v>
      </c>
      <c r="F285" s="2" t="s">
        <v>482</v>
      </c>
      <c r="G285" s="28" t="s">
        <v>5</v>
      </c>
      <c r="H285" s="2" t="s">
        <v>17</v>
      </c>
      <c r="I285" s="2">
        <v>1</v>
      </c>
      <c r="J285" s="2" t="s">
        <v>483</v>
      </c>
      <c r="K285" s="2">
        <v>26134.68</v>
      </c>
      <c r="L285" s="35">
        <f t="shared" si="16"/>
        <v>82836481.728</v>
      </c>
      <c r="M285" s="36">
        <f>14280+3780</f>
        <v>18060</v>
      </c>
      <c r="N285" s="40">
        <v>0</v>
      </c>
      <c r="O285" s="37">
        <v>384687.186164802</v>
      </c>
      <c r="P285" s="37">
        <v>143203.12309257401</v>
      </c>
      <c r="Q285" s="37">
        <v>91226.884028484201</v>
      </c>
      <c r="R285" s="40">
        <v>683454.03967446601</v>
      </c>
      <c r="S285" s="40">
        <v>630970.10172939999</v>
      </c>
      <c r="T285" s="40">
        <v>30000</v>
      </c>
      <c r="U285" s="40">
        <v>1286522.3804679599</v>
      </c>
      <c r="V285" s="40">
        <v>0</v>
      </c>
      <c r="W285" s="45">
        <f t="shared" si="17"/>
        <v>3250063.7151576858</v>
      </c>
      <c r="X285" s="46">
        <f t="shared" si="18"/>
        <v>3.9234690408865043</v>
      </c>
    </row>
    <row r="286" spans="1:24" s="4" customFormat="1" ht="15" customHeight="1">
      <c r="A286" s="28" t="s">
        <v>63</v>
      </c>
      <c r="B286" s="29">
        <v>3169.6</v>
      </c>
      <c r="C286" s="30" t="s">
        <v>481</v>
      </c>
      <c r="D286" s="2">
        <v>4947320666</v>
      </c>
      <c r="E286" s="2" t="s">
        <v>14</v>
      </c>
      <c r="F286" s="2" t="s">
        <v>482</v>
      </c>
      <c r="G286" s="28" t="s">
        <v>5</v>
      </c>
      <c r="H286" s="2" t="s">
        <v>17</v>
      </c>
      <c r="I286" s="2">
        <v>1</v>
      </c>
      <c r="J286" s="2" t="s">
        <v>483</v>
      </c>
      <c r="K286" s="2">
        <v>1792</v>
      </c>
      <c r="L286" s="35">
        <f t="shared" si="16"/>
        <v>5679923.2000000002</v>
      </c>
      <c r="M286" s="36">
        <v>1600</v>
      </c>
      <c r="N286" s="40">
        <v>0</v>
      </c>
      <c r="O286" s="37">
        <v>34080.813835198402</v>
      </c>
      <c r="P286" s="37">
        <v>12686.8769074262</v>
      </c>
      <c r="Q286" s="37">
        <v>8082.1159715157701</v>
      </c>
      <c r="R286" s="40">
        <f>44272.9603255341+16277</f>
        <v>60549.960325534099</v>
      </c>
      <c r="S286" s="40">
        <v>55899.898270600199</v>
      </c>
      <c r="T286" s="40">
        <v>30000</v>
      </c>
      <c r="U286" s="40">
        <v>113977.61953204501</v>
      </c>
      <c r="V286" s="40">
        <v>0</v>
      </c>
      <c r="W286" s="45">
        <f t="shared" si="17"/>
        <v>315277.28484231967</v>
      </c>
      <c r="X286" s="46">
        <f t="shared" si="18"/>
        <v>5.5507314754241683</v>
      </c>
    </row>
    <row r="287" spans="1:24" s="4" customFormat="1" ht="15" customHeight="1">
      <c r="A287" s="28" t="s">
        <v>63</v>
      </c>
      <c r="B287" s="29">
        <v>3169.6</v>
      </c>
      <c r="C287" s="30" t="s">
        <v>484</v>
      </c>
      <c r="D287" s="2">
        <v>4942512567</v>
      </c>
      <c r="E287" s="2" t="s">
        <v>10</v>
      </c>
      <c r="F287" s="2">
        <v>579493973</v>
      </c>
      <c r="G287" s="28" t="s">
        <v>5</v>
      </c>
      <c r="H287" s="2" t="s">
        <v>17</v>
      </c>
      <c r="I287" s="2">
        <v>1</v>
      </c>
      <c r="J287" s="2" t="s">
        <v>485</v>
      </c>
      <c r="K287" s="2">
        <v>37440</v>
      </c>
      <c r="L287" s="35">
        <f t="shared" si="16"/>
        <v>118669824</v>
      </c>
      <c r="M287" s="36">
        <v>20232</v>
      </c>
      <c r="N287" s="37">
        <v>421356</v>
      </c>
      <c r="O287" s="37">
        <v>521893</v>
      </c>
      <c r="P287" s="37">
        <v>829261</v>
      </c>
      <c r="Q287" s="37">
        <v>124137</v>
      </c>
      <c r="R287" s="37">
        <v>874996</v>
      </c>
      <c r="S287" s="37">
        <v>686870</v>
      </c>
      <c r="T287" s="37"/>
      <c r="U287" s="37">
        <v>1400500</v>
      </c>
      <c r="V287" s="37">
        <v>0</v>
      </c>
      <c r="W287" s="45">
        <f t="shared" si="17"/>
        <v>4859013</v>
      </c>
      <c r="X287" s="46">
        <f t="shared" si="18"/>
        <v>4.0945649333734586</v>
      </c>
    </row>
    <row r="288" spans="1:24" s="4" customFormat="1" ht="15" customHeight="1">
      <c r="A288" s="28" t="s">
        <v>63</v>
      </c>
      <c r="B288" s="29">
        <v>3169.6</v>
      </c>
      <c r="C288" s="30" t="s">
        <v>486</v>
      </c>
      <c r="D288" s="2">
        <v>4941326596</v>
      </c>
      <c r="E288" s="2" t="s">
        <v>10</v>
      </c>
      <c r="F288" s="2" t="s">
        <v>487</v>
      </c>
      <c r="G288" s="28" t="s">
        <v>5</v>
      </c>
      <c r="H288" s="2" t="s">
        <v>20</v>
      </c>
      <c r="I288" s="2">
        <v>1</v>
      </c>
      <c r="J288" s="2" t="s">
        <v>488</v>
      </c>
      <c r="K288" s="2">
        <v>12312</v>
      </c>
      <c r="L288" s="35">
        <f t="shared" si="16"/>
        <v>39024115.199999996</v>
      </c>
      <c r="M288" s="36">
        <v>3600</v>
      </c>
      <c r="N288" s="37">
        <v>330602</v>
      </c>
      <c r="O288" s="37">
        <v>397435</v>
      </c>
      <c r="P288" s="37">
        <v>269991</v>
      </c>
      <c r="Q288" s="37">
        <v>124137</v>
      </c>
      <c r="R288" s="37">
        <v>658878</v>
      </c>
      <c r="S288" s="37">
        <v>686870</v>
      </c>
      <c r="T288" s="37"/>
      <c r="U288" s="37">
        <v>828200</v>
      </c>
      <c r="V288" s="37">
        <v>0</v>
      </c>
      <c r="W288" s="45">
        <f t="shared" si="17"/>
        <v>3296113</v>
      </c>
      <c r="X288" s="46">
        <f t="shared" si="18"/>
        <v>8.4463490923684041</v>
      </c>
    </row>
    <row r="289" spans="1:24" s="4" customFormat="1" ht="15" customHeight="1">
      <c r="A289" s="28" t="s">
        <v>63</v>
      </c>
      <c r="B289" s="29">
        <v>3169.6</v>
      </c>
      <c r="C289" s="30" t="s">
        <v>489</v>
      </c>
      <c r="D289" s="2">
        <v>4947198888</v>
      </c>
      <c r="E289" s="2" t="s">
        <v>10</v>
      </c>
      <c r="F289" s="2" t="s">
        <v>490</v>
      </c>
      <c r="G289" s="28" t="s">
        <v>5</v>
      </c>
      <c r="H289" s="2" t="s">
        <v>20</v>
      </c>
      <c r="I289" s="2">
        <v>1</v>
      </c>
      <c r="J289" s="2" t="s">
        <v>491</v>
      </c>
      <c r="K289" s="2">
        <v>32400</v>
      </c>
      <c r="L289" s="35">
        <f t="shared" si="16"/>
        <v>102695040</v>
      </c>
      <c r="M289" s="36">
        <f>9000+1000</f>
        <v>10000</v>
      </c>
      <c r="N289" s="37">
        <v>372852</v>
      </c>
      <c r="O289" s="37">
        <v>397435</v>
      </c>
      <c r="P289" s="37">
        <v>0</v>
      </c>
      <c r="Q289" s="37">
        <v>124137</v>
      </c>
      <c r="R289" s="37">
        <v>747604</v>
      </c>
      <c r="S289" s="37">
        <v>686870</v>
      </c>
      <c r="T289" s="37"/>
      <c r="U289" s="37">
        <v>1352000</v>
      </c>
      <c r="V289" s="37">
        <v>0</v>
      </c>
      <c r="W289" s="45">
        <f t="shared" si="17"/>
        <v>3680898</v>
      </c>
      <c r="X289" s="46">
        <f t="shared" si="18"/>
        <v>3.5842996896442125</v>
      </c>
    </row>
    <row r="290" spans="1:24" s="4" customFormat="1" ht="15" customHeight="1">
      <c r="A290" s="28" t="s">
        <v>63</v>
      </c>
      <c r="B290" s="29">
        <v>3169.6</v>
      </c>
      <c r="C290" s="30" t="s">
        <v>492</v>
      </c>
      <c r="D290" s="2">
        <v>4947162564</v>
      </c>
      <c r="E290" s="2" t="s">
        <v>14</v>
      </c>
      <c r="F290" s="2" t="s">
        <v>493</v>
      </c>
      <c r="G290" s="28" t="s">
        <v>5</v>
      </c>
      <c r="H290" s="2" t="s">
        <v>17</v>
      </c>
      <c r="I290" s="2">
        <v>1</v>
      </c>
      <c r="J290" s="2" t="s">
        <v>494</v>
      </c>
      <c r="K290" s="2">
        <v>40936</v>
      </c>
      <c r="L290" s="35">
        <f t="shared" si="16"/>
        <v>129750745.59999999</v>
      </c>
      <c r="M290" s="36">
        <v>17200</v>
      </c>
      <c r="N290" s="37">
        <v>330602</v>
      </c>
      <c r="O290" s="37">
        <v>418768</v>
      </c>
      <c r="P290" s="37">
        <v>0</v>
      </c>
      <c r="Q290" s="37">
        <v>99309</v>
      </c>
      <c r="R290" s="37">
        <v>647161</v>
      </c>
      <c r="S290" s="37">
        <v>343435</v>
      </c>
      <c r="T290" s="40">
        <v>30000</v>
      </c>
      <c r="U290" s="37">
        <v>4961900</v>
      </c>
      <c r="V290" s="37">
        <v>0</v>
      </c>
      <c r="W290" s="45">
        <f t="shared" si="17"/>
        <v>6831175</v>
      </c>
      <c r="X290" s="46">
        <f t="shared" si="18"/>
        <v>5.264844505063099</v>
      </c>
    </row>
    <row r="291" spans="1:24" s="4" customFormat="1" ht="15" customHeight="1">
      <c r="A291" s="28" t="s">
        <v>63</v>
      </c>
      <c r="B291" s="29">
        <v>3169.6</v>
      </c>
      <c r="C291" s="30" t="s">
        <v>495</v>
      </c>
      <c r="D291" s="2">
        <v>4948063393</v>
      </c>
      <c r="E291" s="2" t="s">
        <v>14</v>
      </c>
      <c r="F291" s="2" t="s">
        <v>496</v>
      </c>
      <c r="G291" s="28" t="s">
        <v>9</v>
      </c>
      <c r="H291" s="2" t="s">
        <v>23</v>
      </c>
      <c r="I291" s="2">
        <v>1</v>
      </c>
      <c r="J291" s="2"/>
      <c r="K291" s="2">
        <v>2601.6</v>
      </c>
      <c r="L291" s="35">
        <f t="shared" si="16"/>
        <v>8246031.3599999994</v>
      </c>
      <c r="M291" s="36">
        <v>160</v>
      </c>
      <c r="N291" s="37">
        <v>132924</v>
      </c>
      <c r="O291" s="37">
        <v>126</v>
      </c>
      <c r="P291" s="37">
        <v>5520</v>
      </c>
      <c r="Q291" s="37">
        <v>2951</v>
      </c>
      <c r="R291" s="37">
        <v>81303</v>
      </c>
      <c r="S291" s="37">
        <v>343435</v>
      </c>
      <c r="T291" s="40">
        <v>30000</v>
      </c>
      <c r="U291" s="37">
        <v>86110.967741935499</v>
      </c>
      <c r="V291" s="37">
        <v>0</v>
      </c>
      <c r="W291" s="45">
        <f t="shared" si="17"/>
        <v>682369.96774193551</v>
      </c>
      <c r="X291" s="46">
        <f t="shared" si="18"/>
        <v>8.275131853754381</v>
      </c>
    </row>
    <row r="292" spans="1:24" s="4" customFormat="1" ht="15" customHeight="1">
      <c r="A292" s="28" t="s">
        <v>63</v>
      </c>
      <c r="B292" s="29">
        <v>3169.6</v>
      </c>
      <c r="C292" s="30" t="s">
        <v>497</v>
      </c>
      <c r="D292" s="2">
        <v>4941326596</v>
      </c>
      <c r="E292" s="2" t="s">
        <v>10</v>
      </c>
      <c r="F292" s="2" t="s">
        <v>498</v>
      </c>
      <c r="G292" s="28" t="s">
        <v>9</v>
      </c>
      <c r="H292" s="2" t="s">
        <v>23</v>
      </c>
      <c r="I292" s="2">
        <v>2</v>
      </c>
      <c r="J292" s="2"/>
      <c r="K292" s="2">
        <v>1641.6</v>
      </c>
      <c r="L292" s="35">
        <f t="shared" si="16"/>
        <v>5203215.3599999994</v>
      </c>
      <c r="M292" s="36">
        <v>480</v>
      </c>
      <c r="N292" s="37">
        <v>793737</v>
      </c>
      <c r="O292" s="37">
        <v>417</v>
      </c>
      <c r="P292" s="37">
        <v>34486</v>
      </c>
      <c r="Q292" s="37">
        <v>12602</v>
      </c>
      <c r="R292" s="37">
        <v>100445</v>
      </c>
      <c r="S292" s="37">
        <v>686870</v>
      </c>
      <c r="T292" s="37"/>
      <c r="U292" s="37">
        <v>533500</v>
      </c>
      <c r="V292" s="37">
        <v>0</v>
      </c>
      <c r="W292" s="45">
        <f t="shared" si="17"/>
        <v>2162057</v>
      </c>
      <c r="X292" s="46">
        <f t="shared" si="18"/>
        <v>41.552325829542454</v>
      </c>
    </row>
    <row r="293" spans="1:24" s="4" customFormat="1" ht="15" customHeight="1">
      <c r="A293" s="28" t="s">
        <v>63</v>
      </c>
      <c r="B293" s="29">
        <v>3169.6</v>
      </c>
      <c r="C293" s="30" t="s">
        <v>499</v>
      </c>
      <c r="D293" s="2">
        <v>4947972250</v>
      </c>
      <c r="E293" s="2" t="s">
        <v>18</v>
      </c>
      <c r="F293" s="78" t="s">
        <v>500</v>
      </c>
      <c r="G293" s="28" t="s">
        <v>9</v>
      </c>
      <c r="H293" s="2" t="s">
        <v>23</v>
      </c>
      <c r="I293" s="2">
        <v>1</v>
      </c>
      <c r="J293" s="2"/>
      <c r="K293" s="2">
        <v>6960</v>
      </c>
      <c r="L293" s="35">
        <f t="shared" si="16"/>
        <v>22060416</v>
      </c>
      <c r="M293" s="36">
        <v>250</v>
      </c>
      <c r="N293" s="37">
        <v>447379</v>
      </c>
      <c r="O293" s="37">
        <v>314</v>
      </c>
      <c r="P293" s="37">
        <v>9817</v>
      </c>
      <c r="Q293" s="37">
        <v>5134</v>
      </c>
      <c r="R293" s="37">
        <v>353871</v>
      </c>
      <c r="S293" s="37">
        <v>343435</v>
      </c>
      <c r="T293" s="40">
        <v>30000</v>
      </c>
      <c r="U293" s="37">
        <v>134548.38709677401</v>
      </c>
      <c r="V293" s="37">
        <v>0</v>
      </c>
      <c r="W293" s="45">
        <f t="shared" si="17"/>
        <v>1324498.3870967741</v>
      </c>
      <c r="X293" s="46">
        <f t="shared" si="18"/>
        <v>6.0039592503458419</v>
      </c>
    </row>
    <row r="294" spans="1:24" s="4" customFormat="1" ht="15" customHeight="1">
      <c r="A294" s="28" t="s">
        <v>63</v>
      </c>
      <c r="B294" s="29">
        <v>3169.6</v>
      </c>
      <c r="C294" s="30" t="s">
        <v>501</v>
      </c>
      <c r="D294" s="2">
        <v>4944933544</v>
      </c>
      <c r="E294" s="2" t="s">
        <v>10</v>
      </c>
      <c r="F294" s="2" t="s">
        <v>502</v>
      </c>
      <c r="G294" s="28" t="s">
        <v>9</v>
      </c>
      <c r="H294" s="2" t="s">
        <v>23</v>
      </c>
      <c r="I294" s="2">
        <v>3</v>
      </c>
      <c r="J294" s="2"/>
      <c r="K294" s="2">
        <v>9636</v>
      </c>
      <c r="L294" s="35">
        <f t="shared" si="16"/>
        <v>30542265.599999998</v>
      </c>
      <c r="M294" s="36">
        <v>2200</v>
      </c>
      <c r="N294" s="37">
        <v>972846</v>
      </c>
      <c r="O294" s="37">
        <v>1741</v>
      </c>
      <c r="P294" s="37">
        <v>34227</v>
      </c>
      <c r="Q294" s="37">
        <v>52969</v>
      </c>
      <c r="R294" s="37">
        <v>144616</v>
      </c>
      <c r="S294" s="37">
        <v>686870</v>
      </c>
      <c r="T294" s="37"/>
      <c r="U294" s="37">
        <v>533500</v>
      </c>
      <c r="V294" s="37">
        <v>0</v>
      </c>
      <c r="W294" s="45">
        <f t="shared" si="17"/>
        <v>2426769</v>
      </c>
      <c r="X294" s="46">
        <f t="shared" si="18"/>
        <v>7.9456089858638386</v>
      </c>
    </row>
    <row r="295" spans="1:24" s="4" customFormat="1" ht="15" customHeight="1">
      <c r="A295" s="28" t="s">
        <v>63</v>
      </c>
      <c r="B295" s="29">
        <v>3169.6</v>
      </c>
      <c r="C295" s="30" t="s">
        <v>503</v>
      </c>
      <c r="D295" s="2">
        <v>4941326593</v>
      </c>
      <c r="E295" s="2" t="s">
        <v>10</v>
      </c>
      <c r="F295" s="2" t="s">
        <v>504</v>
      </c>
      <c r="G295" s="28" t="s">
        <v>5</v>
      </c>
      <c r="H295" s="2" t="s">
        <v>17</v>
      </c>
      <c r="I295" s="2">
        <v>1</v>
      </c>
      <c r="J295" s="2" t="s">
        <v>505</v>
      </c>
      <c r="K295" s="2">
        <v>18057.599999999999</v>
      </c>
      <c r="L295" s="35">
        <f t="shared" si="16"/>
        <v>57235368.959999993</v>
      </c>
      <c r="M295" s="36">
        <v>5280</v>
      </c>
      <c r="N295" s="37">
        <v>477563</v>
      </c>
      <c r="O295" s="37">
        <v>521893</v>
      </c>
      <c r="P295" s="37">
        <v>0</v>
      </c>
      <c r="Q295" s="37">
        <v>124137</v>
      </c>
      <c r="R295" s="37">
        <v>871904</v>
      </c>
      <c r="S295" s="37">
        <v>686870</v>
      </c>
      <c r="T295" s="37"/>
      <c r="U295" s="37">
        <v>1400500</v>
      </c>
      <c r="V295" s="37">
        <v>0</v>
      </c>
      <c r="W295" s="45">
        <f t="shared" si="17"/>
        <v>4082867</v>
      </c>
      <c r="X295" s="46">
        <f t="shared" si="18"/>
        <v>7.1334684727085236</v>
      </c>
    </row>
    <row r="296" spans="1:24" s="4" customFormat="1" ht="15" customHeight="1">
      <c r="A296" s="28" t="s">
        <v>63</v>
      </c>
      <c r="B296" s="29">
        <v>3169.6</v>
      </c>
      <c r="C296" s="30" t="s">
        <v>506</v>
      </c>
      <c r="D296" s="2">
        <v>4947612645</v>
      </c>
      <c r="E296" s="2" t="s">
        <v>14</v>
      </c>
      <c r="F296" s="2" t="s">
        <v>507</v>
      </c>
      <c r="G296" s="28" t="s">
        <v>9</v>
      </c>
      <c r="H296" s="2" t="s">
        <v>23</v>
      </c>
      <c r="I296" s="2">
        <v>2</v>
      </c>
      <c r="J296" s="2"/>
      <c r="K296" s="2">
        <v>3050</v>
      </c>
      <c r="L296" s="35">
        <f t="shared" si="16"/>
        <v>9667280</v>
      </c>
      <c r="M296" s="36">
        <v>625</v>
      </c>
      <c r="N296" s="37">
        <v>465894</v>
      </c>
      <c r="O296" s="37">
        <v>441</v>
      </c>
      <c r="P296" s="37">
        <v>18317</v>
      </c>
      <c r="Q296" s="37">
        <v>10405</v>
      </c>
      <c r="R296" s="37">
        <v>90485</v>
      </c>
      <c r="S296" s="37">
        <v>343435</v>
      </c>
      <c r="T296" s="40">
        <v>30000</v>
      </c>
      <c r="U296" s="37">
        <v>336370.96774193499</v>
      </c>
      <c r="V296" s="37">
        <v>0</v>
      </c>
      <c r="W296" s="45">
        <f t="shared" si="17"/>
        <v>1295347.967741935</v>
      </c>
      <c r="X296" s="46">
        <f t="shared" si="18"/>
        <v>13.399301227873146</v>
      </c>
    </row>
    <row r="297" spans="1:24" s="4" customFormat="1" ht="15" customHeight="1">
      <c r="A297" s="28" t="s">
        <v>63</v>
      </c>
      <c r="B297" s="29">
        <v>3169.6</v>
      </c>
      <c r="C297" s="30" t="s">
        <v>336</v>
      </c>
      <c r="D297" s="2">
        <v>4947642174</v>
      </c>
      <c r="E297" s="2" t="s">
        <v>33</v>
      </c>
      <c r="F297" s="78" t="s">
        <v>337</v>
      </c>
      <c r="G297" s="28" t="s">
        <v>5</v>
      </c>
      <c r="H297" s="2" t="s">
        <v>20</v>
      </c>
      <c r="I297" s="2">
        <v>3</v>
      </c>
      <c r="J297" s="2" t="s">
        <v>338</v>
      </c>
      <c r="K297" s="2">
        <v>81378</v>
      </c>
      <c r="L297" s="35">
        <f t="shared" si="16"/>
        <v>257935708.79999998</v>
      </c>
      <c r="M297" s="36">
        <v>59400</v>
      </c>
      <c r="N297" s="37">
        <v>2908437</v>
      </c>
      <c r="O297" s="37">
        <v>957637</v>
      </c>
      <c r="P297" s="37">
        <v>454775</v>
      </c>
      <c r="Q297" s="37">
        <v>297928</v>
      </c>
      <c r="R297" s="37">
        <v>1684076</v>
      </c>
      <c r="S297" s="37">
        <v>343435</v>
      </c>
      <c r="T297" s="37"/>
      <c r="U297" s="37">
        <v>3847100</v>
      </c>
      <c r="V297" s="37">
        <v>900000</v>
      </c>
      <c r="W297" s="45">
        <f t="shared" si="17"/>
        <v>11393388</v>
      </c>
      <c r="X297" s="46">
        <f t="shared" si="18"/>
        <v>4.4171425713041872</v>
      </c>
    </row>
    <row r="298" spans="1:24" s="4" customFormat="1" ht="15" customHeight="1">
      <c r="A298" s="28" t="s">
        <v>63</v>
      </c>
      <c r="B298" s="29">
        <v>3169.6</v>
      </c>
      <c r="C298" s="30" t="s">
        <v>508</v>
      </c>
      <c r="D298" s="2">
        <v>4947782375</v>
      </c>
      <c r="E298" s="2" t="s">
        <v>36</v>
      </c>
      <c r="F298" s="2" t="s">
        <v>509</v>
      </c>
      <c r="G298" s="28" t="s">
        <v>5</v>
      </c>
      <c r="H298" s="2" t="s">
        <v>26</v>
      </c>
      <c r="I298" s="2">
        <v>2</v>
      </c>
      <c r="J298" s="2" t="s">
        <v>510</v>
      </c>
      <c r="K298" s="2">
        <v>70982</v>
      </c>
      <c r="L298" s="35">
        <f t="shared" si="16"/>
        <v>224984547.19999999</v>
      </c>
      <c r="M298" s="36">
        <v>39743</v>
      </c>
      <c r="N298" s="37">
        <v>661205</v>
      </c>
      <c r="O298" s="37">
        <v>780648</v>
      </c>
      <c r="P298" s="37">
        <v>2314216</v>
      </c>
      <c r="Q298" s="37">
        <v>198618</v>
      </c>
      <c r="R298" s="37">
        <v>1244977</v>
      </c>
      <c r="S298" s="37">
        <v>343435</v>
      </c>
      <c r="T298" s="37"/>
      <c r="U298" s="37">
        <v>0</v>
      </c>
      <c r="V298" s="37">
        <v>0</v>
      </c>
      <c r="W298" s="45">
        <f t="shared" si="17"/>
        <v>5543099</v>
      </c>
      <c r="X298" s="46">
        <f t="shared" si="18"/>
        <v>2.4637687650043194</v>
      </c>
    </row>
    <row r="299" spans="1:24" s="4" customFormat="1" ht="15" customHeight="1">
      <c r="A299" s="28" t="s">
        <v>63</v>
      </c>
      <c r="B299" s="29">
        <v>3169.6</v>
      </c>
      <c r="C299" s="30" t="s">
        <v>511</v>
      </c>
      <c r="D299" s="2">
        <v>4947917141</v>
      </c>
      <c r="E299" s="2" t="s">
        <v>14</v>
      </c>
      <c r="F299" s="2" t="s">
        <v>512</v>
      </c>
      <c r="G299" s="28" t="s">
        <v>9</v>
      </c>
      <c r="H299" s="2" t="s">
        <v>23</v>
      </c>
      <c r="I299" s="2">
        <v>3</v>
      </c>
      <c r="J299" s="2"/>
      <c r="K299" s="2">
        <v>6447</v>
      </c>
      <c r="L299" s="35">
        <f t="shared" si="16"/>
        <v>20434411.199999999</v>
      </c>
      <c r="M299" s="36">
        <v>2100</v>
      </c>
      <c r="N299" s="37">
        <v>593863</v>
      </c>
      <c r="O299" s="37">
        <v>1513</v>
      </c>
      <c r="P299" s="37">
        <v>69567</v>
      </c>
      <c r="Q299" s="37">
        <v>36795</v>
      </c>
      <c r="R299" s="37">
        <v>121774</v>
      </c>
      <c r="S299" s="37">
        <v>343435</v>
      </c>
      <c r="T299" s="40">
        <v>30000</v>
      </c>
      <c r="U299" s="37">
        <v>912406.25</v>
      </c>
      <c r="V299" s="37">
        <v>0</v>
      </c>
      <c r="W299" s="45">
        <f t="shared" si="17"/>
        <v>2109353.25</v>
      </c>
      <c r="X299" s="46">
        <f t="shared" si="18"/>
        <v>10.322554583809101</v>
      </c>
    </row>
    <row r="300" spans="1:24" s="4" customFormat="1" ht="15" customHeight="1">
      <c r="A300" s="28" t="s">
        <v>63</v>
      </c>
      <c r="B300" s="29">
        <v>3169.6</v>
      </c>
      <c r="C300" s="49" t="s">
        <v>513</v>
      </c>
      <c r="D300" s="2">
        <v>4947435995</v>
      </c>
      <c r="E300" s="2" t="s">
        <v>36</v>
      </c>
      <c r="F300" s="78" t="s">
        <v>514</v>
      </c>
      <c r="G300" s="28" t="s">
        <v>5</v>
      </c>
      <c r="H300" s="2" t="s">
        <v>26</v>
      </c>
      <c r="I300" s="2">
        <v>4</v>
      </c>
      <c r="J300" s="2" t="s">
        <v>515</v>
      </c>
      <c r="K300" s="2">
        <v>76603.8</v>
      </c>
      <c r="L300" s="35">
        <f t="shared" si="16"/>
        <v>242803404.47999999</v>
      </c>
      <c r="M300" s="36">
        <v>84180</v>
      </c>
      <c r="N300" s="37">
        <v>1311472</v>
      </c>
      <c r="O300" s="37">
        <v>1945300</v>
      </c>
      <c r="P300" s="37">
        <v>8113903</v>
      </c>
      <c r="Q300" s="37">
        <v>496548</v>
      </c>
      <c r="R300" s="37">
        <v>3354671</v>
      </c>
      <c r="S300" s="37">
        <v>343435</v>
      </c>
      <c r="T300" s="37"/>
      <c r="U300" s="37">
        <v>0</v>
      </c>
      <c r="V300" s="37">
        <v>0</v>
      </c>
      <c r="W300" s="45">
        <f t="shared" si="17"/>
        <v>15565329</v>
      </c>
      <c r="X300" s="46">
        <f t="shared" si="18"/>
        <v>6.4106716433138544</v>
      </c>
    </row>
    <row r="301" spans="1:24" s="4" customFormat="1" ht="15" customHeight="1">
      <c r="A301" s="28" t="s">
        <v>63</v>
      </c>
      <c r="B301" s="29">
        <v>3169.6</v>
      </c>
      <c r="C301" s="30" t="s">
        <v>516</v>
      </c>
      <c r="D301" s="2">
        <v>4947321505</v>
      </c>
      <c r="E301" s="2" t="s">
        <v>14</v>
      </c>
      <c r="F301" s="2" t="s">
        <v>517</v>
      </c>
      <c r="G301" s="28" t="s">
        <v>5</v>
      </c>
      <c r="H301" s="2" t="s">
        <v>20</v>
      </c>
      <c r="I301" s="2">
        <v>1</v>
      </c>
      <c r="J301" s="2" t="s">
        <v>518</v>
      </c>
      <c r="K301" s="2">
        <v>15040</v>
      </c>
      <c r="L301" s="35">
        <f t="shared" si="16"/>
        <v>47670784</v>
      </c>
      <c r="M301" s="36">
        <v>16000</v>
      </c>
      <c r="N301" s="37">
        <v>466386</v>
      </c>
      <c r="O301" s="37">
        <v>319212</v>
      </c>
      <c r="P301" s="37">
        <v>218246</v>
      </c>
      <c r="Q301" s="37">
        <v>99309</v>
      </c>
      <c r="R301" s="37">
        <v>642544</v>
      </c>
      <c r="S301" s="37">
        <v>686870</v>
      </c>
      <c r="T301" s="40">
        <v>30000</v>
      </c>
      <c r="U301" s="37">
        <v>1381100</v>
      </c>
      <c r="V301" s="37">
        <v>0</v>
      </c>
      <c r="W301" s="45">
        <f t="shared" si="17"/>
        <v>3843667</v>
      </c>
      <c r="X301" s="46">
        <f t="shared" si="18"/>
        <v>8.0629406052982056</v>
      </c>
    </row>
    <row r="302" spans="1:24" s="4" customFormat="1" ht="15" customHeight="1">
      <c r="A302" s="28" t="s">
        <v>63</v>
      </c>
      <c r="B302" s="29">
        <v>3169.6</v>
      </c>
      <c r="C302" s="30" t="s">
        <v>519</v>
      </c>
      <c r="D302" s="78" t="s">
        <v>520</v>
      </c>
      <c r="E302" s="2" t="s">
        <v>33</v>
      </c>
      <c r="F302" s="78" t="s">
        <v>521</v>
      </c>
      <c r="G302" s="28" t="s">
        <v>9</v>
      </c>
      <c r="H302" s="2" t="s">
        <v>23</v>
      </c>
      <c r="I302" s="2">
        <v>4</v>
      </c>
      <c r="J302" s="2"/>
      <c r="K302" s="2">
        <v>18116.75</v>
      </c>
      <c r="L302" s="35">
        <f t="shared" si="16"/>
        <v>57422850.799999997</v>
      </c>
      <c r="M302" s="36">
        <v>11425</v>
      </c>
      <c r="N302" s="37">
        <v>3732313</v>
      </c>
      <c r="O302" s="37">
        <v>2952</v>
      </c>
      <c r="P302" s="37">
        <v>0</v>
      </c>
      <c r="Q302" s="37">
        <v>72571</v>
      </c>
      <c r="R302" s="37">
        <v>171413</v>
      </c>
      <c r="S302" s="37">
        <v>343435</v>
      </c>
      <c r="T302" s="37"/>
      <c r="U302" s="37">
        <v>2163100</v>
      </c>
      <c r="V302" s="37">
        <v>0</v>
      </c>
      <c r="W302" s="45">
        <f t="shared" si="17"/>
        <v>6485784</v>
      </c>
      <c r="X302" s="46">
        <f t="shared" si="18"/>
        <v>11.294778837417107</v>
      </c>
    </row>
    <row r="303" spans="1:24" s="4" customFormat="1" ht="15" customHeight="1">
      <c r="A303" s="28" t="s">
        <v>63</v>
      </c>
      <c r="B303" s="29">
        <v>3169.6</v>
      </c>
      <c r="C303" s="30" t="s">
        <v>522</v>
      </c>
      <c r="D303" s="2">
        <v>4944880853</v>
      </c>
      <c r="E303" s="2" t="s">
        <v>10</v>
      </c>
      <c r="F303" s="2" t="s">
        <v>523</v>
      </c>
      <c r="G303" s="28" t="s">
        <v>5</v>
      </c>
      <c r="H303" s="2" t="s">
        <v>17</v>
      </c>
      <c r="I303" s="2">
        <v>1</v>
      </c>
      <c r="J303" s="2" t="s">
        <v>524</v>
      </c>
      <c r="K303" s="2">
        <v>13166.4</v>
      </c>
      <c r="L303" s="35">
        <f t="shared" si="16"/>
        <v>41732221.439999998</v>
      </c>
      <c r="M303" s="36">
        <v>6240</v>
      </c>
      <c r="N303" s="37">
        <v>334051</v>
      </c>
      <c r="O303" s="37">
        <v>521893</v>
      </c>
      <c r="P303" s="37">
        <v>194863</v>
      </c>
      <c r="Q303" s="37">
        <v>124137</v>
      </c>
      <c r="R303" s="37">
        <v>793897</v>
      </c>
      <c r="S303" s="37">
        <v>686870</v>
      </c>
      <c r="T303" s="37"/>
      <c r="U303" s="37">
        <v>1400500</v>
      </c>
      <c r="V303" s="37">
        <v>0</v>
      </c>
      <c r="W303" s="45">
        <f t="shared" si="17"/>
        <v>4056211</v>
      </c>
      <c r="X303" s="46">
        <f t="shared" si="18"/>
        <v>9.7196143891639419</v>
      </c>
    </row>
    <row r="304" spans="1:24" s="4" customFormat="1" ht="15" customHeight="1">
      <c r="A304" s="28" t="s">
        <v>63</v>
      </c>
      <c r="B304" s="29">
        <v>3169.6</v>
      </c>
      <c r="C304" s="30" t="s">
        <v>525</v>
      </c>
      <c r="D304" s="2">
        <v>4946294305</v>
      </c>
      <c r="E304" s="2" t="s">
        <v>10</v>
      </c>
      <c r="F304" s="2" t="s">
        <v>526</v>
      </c>
      <c r="G304" s="28" t="s">
        <v>9</v>
      </c>
      <c r="H304" s="2" t="s">
        <v>23</v>
      </c>
      <c r="I304" s="2">
        <v>5</v>
      </c>
      <c r="J304" s="2"/>
      <c r="K304" s="2">
        <v>15320</v>
      </c>
      <c r="L304" s="35">
        <f t="shared" si="16"/>
        <v>48558272</v>
      </c>
      <c r="M304" s="36">
        <v>4000</v>
      </c>
      <c r="N304" s="37">
        <v>1106691</v>
      </c>
      <c r="O304" s="37">
        <v>2697</v>
      </c>
      <c r="P304" s="37">
        <v>157331</v>
      </c>
      <c r="Q304" s="37">
        <v>80032</v>
      </c>
      <c r="R304" s="37">
        <v>173775</v>
      </c>
      <c r="S304" s="37">
        <v>686870</v>
      </c>
      <c r="T304" s="37"/>
      <c r="U304" s="37">
        <v>834200</v>
      </c>
      <c r="V304" s="37">
        <v>0</v>
      </c>
      <c r="W304" s="45">
        <f t="shared" si="17"/>
        <v>3041596</v>
      </c>
      <c r="X304" s="46">
        <f t="shared" si="18"/>
        <v>6.2638060926056021</v>
      </c>
    </row>
    <row r="305" spans="1:24" s="4" customFormat="1" ht="15" customHeight="1">
      <c r="A305" s="28" t="s">
        <v>63</v>
      </c>
      <c r="B305" s="29">
        <v>3169.6</v>
      </c>
      <c r="C305" s="30" t="s">
        <v>527</v>
      </c>
      <c r="D305" s="2">
        <v>4947919634</v>
      </c>
      <c r="E305" s="2" t="s">
        <v>21</v>
      </c>
      <c r="F305" s="2" t="s">
        <v>528</v>
      </c>
      <c r="G305" s="28" t="s">
        <v>9</v>
      </c>
      <c r="H305" s="2" t="s">
        <v>23</v>
      </c>
      <c r="I305" s="2">
        <v>3</v>
      </c>
      <c r="J305" s="2"/>
      <c r="K305" s="2">
        <v>4239</v>
      </c>
      <c r="L305" s="35">
        <f t="shared" si="16"/>
        <v>13435934.4</v>
      </c>
      <c r="M305" s="36">
        <v>2700</v>
      </c>
      <c r="N305" s="37">
        <v>1165072</v>
      </c>
      <c r="O305" s="37">
        <v>1756</v>
      </c>
      <c r="P305" s="37">
        <v>81517</v>
      </c>
      <c r="Q305" s="37">
        <v>43090</v>
      </c>
      <c r="R305" s="37">
        <v>127671</v>
      </c>
      <c r="S305" s="37">
        <v>343435</v>
      </c>
      <c r="T305" s="37"/>
      <c r="U305" s="37">
        <v>1173093.75</v>
      </c>
      <c r="V305" s="37">
        <v>0</v>
      </c>
      <c r="W305" s="45">
        <f t="shared" si="17"/>
        <v>2935634.75</v>
      </c>
      <c r="X305" s="46">
        <f t="shared" si="18"/>
        <v>21.849129823081004</v>
      </c>
    </row>
    <row r="306" spans="1:24" s="4" customFormat="1" ht="15" customHeight="1">
      <c r="A306" s="28" t="s">
        <v>63</v>
      </c>
      <c r="B306" s="29">
        <v>3169.6</v>
      </c>
      <c r="C306" s="30" t="s">
        <v>529</v>
      </c>
      <c r="D306" s="2">
        <v>4947435981</v>
      </c>
      <c r="E306" s="2" t="s">
        <v>24</v>
      </c>
      <c r="F306" s="2" t="s">
        <v>388</v>
      </c>
      <c r="G306" s="28" t="s">
        <v>5</v>
      </c>
      <c r="H306" s="2" t="s">
        <v>17</v>
      </c>
      <c r="I306" s="2">
        <v>1</v>
      </c>
      <c r="J306" s="2" t="s">
        <v>389</v>
      </c>
      <c r="K306" s="2">
        <v>30480.400000000001</v>
      </c>
      <c r="L306" s="35">
        <f t="shared" si="16"/>
        <v>96610675.840000004</v>
      </c>
      <c r="M306" s="36">
        <v>7240</v>
      </c>
      <c r="N306" s="37">
        <v>477563</v>
      </c>
      <c r="O306" s="37">
        <v>418768</v>
      </c>
      <c r="P306" s="37">
        <v>0</v>
      </c>
      <c r="Q306" s="37">
        <v>99309</v>
      </c>
      <c r="R306" s="37">
        <v>633287</v>
      </c>
      <c r="S306" s="37">
        <v>343435</v>
      </c>
      <c r="T306" s="37"/>
      <c r="U306" s="37">
        <v>2400300</v>
      </c>
      <c r="V306" s="37">
        <v>0</v>
      </c>
      <c r="W306" s="45">
        <f t="shared" si="17"/>
        <v>4372662</v>
      </c>
      <c r="X306" s="46">
        <f t="shared" si="18"/>
        <v>4.526065015052481</v>
      </c>
    </row>
    <row r="307" spans="1:24" s="4" customFormat="1" ht="15" customHeight="1">
      <c r="A307" s="28" t="s">
        <v>63</v>
      </c>
      <c r="B307" s="29">
        <v>3169.6</v>
      </c>
      <c r="C307" s="30" t="s">
        <v>530</v>
      </c>
      <c r="D307" s="2">
        <v>4947994890</v>
      </c>
      <c r="E307" s="2" t="s">
        <v>18</v>
      </c>
      <c r="F307" s="2" t="s">
        <v>368</v>
      </c>
      <c r="G307" s="28" t="s">
        <v>5</v>
      </c>
      <c r="H307" s="2" t="s">
        <v>20</v>
      </c>
      <c r="I307" s="2">
        <v>1</v>
      </c>
      <c r="J307" s="2" t="s">
        <v>369</v>
      </c>
      <c r="K307" s="2">
        <v>22572</v>
      </c>
      <c r="L307" s="35">
        <f t="shared" si="16"/>
        <v>71544211.200000003</v>
      </c>
      <c r="M307" s="36">
        <v>19800</v>
      </c>
      <c r="N307" s="37">
        <v>478283</v>
      </c>
      <c r="O307" s="37">
        <v>319212</v>
      </c>
      <c r="P307" s="37">
        <v>215993</v>
      </c>
      <c r="Q307" s="37">
        <v>99309</v>
      </c>
      <c r="R307" s="37">
        <v>634154</v>
      </c>
      <c r="S307" s="37">
        <v>343435</v>
      </c>
      <c r="T307" s="40">
        <v>30000</v>
      </c>
      <c r="U307" s="37">
        <v>4311200</v>
      </c>
      <c r="V307" s="37">
        <v>0</v>
      </c>
      <c r="W307" s="45">
        <f t="shared" si="17"/>
        <v>6431586</v>
      </c>
      <c r="X307" s="46">
        <f t="shared" si="18"/>
        <v>8.9896665182605293</v>
      </c>
    </row>
    <row r="308" spans="1:24" s="4" customFormat="1" ht="15" customHeight="1">
      <c r="A308" s="28" t="s">
        <v>63</v>
      </c>
      <c r="B308" s="29">
        <v>3169.6</v>
      </c>
      <c r="C308" s="30" t="s">
        <v>531</v>
      </c>
      <c r="D308" s="2">
        <v>4947648340</v>
      </c>
      <c r="E308" s="2" t="s">
        <v>21</v>
      </c>
      <c r="F308" s="78" t="s">
        <v>532</v>
      </c>
      <c r="G308" s="28" t="s">
        <v>5</v>
      </c>
      <c r="H308" s="2" t="s">
        <v>17</v>
      </c>
      <c r="I308" s="2">
        <v>1</v>
      </c>
      <c r="J308" s="2" t="s">
        <v>533</v>
      </c>
      <c r="K308" s="2">
        <v>26127.360000000001</v>
      </c>
      <c r="L308" s="35">
        <f t="shared" si="16"/>
        <v>82813280.255999997</v>
      </c>
      <c r="M308" s="36">
        <v>18144</v>
      </c>
      <c r="N308" s="37">
        <v>464664</v>
      </c>
      <c r="O308" s="37">
        <v>418768</v>
      </c>
      <c r="P308" s="37">
        <v>0</v>
      </c>
      <c r="Q308" s="37">
        <v>99309</v>
      </c>
      <c r="R308" s="37">
        <v>721811</v>
      </c>
      <c r="S308" s="37">
        <v>343435</v>
      </c>
      <c r="T308" s="37"/>
      <c r="U308" s="37">
        <v>529000</v>
      </c>
      <c r="V308" s="37">
        <v>0</v>
      </c>
      <c r="W308" s="45">
        <f t="shared" si="17"/>
        <v>2576987</v>
      </c>
      <c r="X308" s="46">
        <f t="shared" si="18"/>
        <v>3.1118040391997295</v>
      </c>
    </row>
    <row r="309" spans="1:24" s="4" customFormat="1" ht="15" customHeight="1">
      <c r="A309" s="28" t="s">
        <v>63</v>
      </c>
      <c r="B309" s="29">
        <v>3169.6</v>
      </c>
      <c r="C309" s="30" t="s">
        <v>534</v>
      </c>
      <c r="D309" s="2" t="s">
        <v>535</v>
      </c>
      <c r="E309" s="2" t="s">
        <v>6</v>
      </c>
      <c r="F309" s="2">
        <v>579396147</v>
      </c>
      <c r="G309" s="28" t="s">
        <v>5</v>
      </c>
      <c r="H309" s="2" t="s">
        <v>20</v>
      </c>
      <c r="I309" s="2">
        <v>1</v>
      </c>
      <c r="J309" s="2" t="s">
        <v>536</v>
      </c>
      <c r="K309" s="2">
        <v>3102</v>
      </c>
      <c r="L309" s="35">
        <f t="shared" si="16"/>
        <v>9832099.1999999993</v>
      </c>
      <c r="M309" s="36">
        <v>600</v>
      </c>
      <c r="N309" s="40">
        <v>234964</v>
      </c>
      <c r="O309" s="37">
        <v>99358.75</v>
      </c>
      <c r="P309" s="37">
        <v>2237117</v>
      </c>
      <c r="Q309" s="37">
        <v>31034.25</v>
      </c>
      <c r="R309" s="40">
        <f>284843+100000</f>
        <v>384843</v>
      </c>
      <c r="S309" s="40">
        <v>171717.5</v>
      </c>
      <c r="T309" s="40">
        <v>30000</v>
      </c>
      <c r="U309" s="40">
        <v>1059500</v>
      </c>
      <c r="V309" s="40">
        <v>0</v>
      </c>
      <c r="W309" s="45">
        <f t="shared" si="17"/>
        <v>4248534.5</v>
      </c>
      <c r="X309" s="46">
        <f t="shared" si="18"/>
        <v>43.210858775712921</v>
      </c>
    </row>
    <row r="310" spans="1:24" s="4" customFormat="1" ht="15" customHeight="1">
      <c r="A310" s="28" t="s">
        <v>63</v>
      </c>
      <c r="B310" s="29">
        <v>3169.6</v>
      </c>
      <c r="C310" s="30" t="s">
        <v>534</v>
      </c>
      <c r="D310" s="2" t="s">
        <v>537</v>
      </c>
      <c r="E310" s="2" t="s">
        <v>6</v>
      </c>
      <c r="F310" s="2">
        <v>579396147</v>
      </c>
      <c r="G310" s="28" t="s">
        <v>5</v>
      </c>
      <c r="H310" s="2" t="s">
        <v>20</v>
      </c>
      <c r="I310" s="2">
        <v>1</v>
      </c>
      <c r="J310" s="2" t="s">
        <v>536</v>
      </c>
      <c r="K310" s="2">
        <v>3102</v>
      </c>
      <c r="L310" s="35">
        <f t="shared" si="16"/>
        <v>9832099.1999999993</v>
      </c>
      <c r="M310" s="36">
        <v>600</v>
      </c>
      <c r="N310" s="40">
        <v>117482</v>
      </c>
      <c r="O310" s="37">
        <v>99358.75</v>
      </c>
      <c r="P310" s="37">
        <v>1118558.5</v>
      </c>
      <c r="Q310" s="37">
        <v>31034.25</v>
      </c>
      <c r="R310" s="40">
        <f>142421.5+50000</f>
        <v>192421.5</v>
      </c>
      <c r="S310" s="40">
        <v>85858.75</v>
      </c>
      <c r="T310" s="40">
        <v>30000</v>
      </c>
      <c r="U310" s="40">
        <v>529750</v>
      </c>
      <c r="V310" s="40">
        <v>0</v>
      </c>
      <c r="W310" s="45">
        <f t="shared" si="17"/>
        <v>2204463.75</v>
      </c>
      <c r="X310" s="46">
        <f t="shared" si="18"/>
        <v>22.421089384452102</v>
      </c>
    </row>
    <row r="311" spans="1:24" s="4" customFormat="1" ht="15" customHeight="1">
      <c r="A311" s="28" t="s">
        <v>63</v>
      </c>
      <c r="B311" s="29">
        <v>3169.6</v>
      </c>
      <c r="C311" s="30" t="s">
        <v>534</v>
      </c>
      <c r="D311" s="2" t="s">
        <v>538</v>
      </c>
      <c r="E311" s="2" t="s">
        <v>6</v>
      </c>
      <c r="F311" s="2">
        <v>579396147</v>
      </c>
      <c r="G311" s="28" t="s">
        <v>5</v>
      </c>
      <c r="H311" s="2" t="s">
        <v>20</v>
      </c>
      <c r="I311" s="2">
        <v>1</v>
      </c>
      <c r="J311" s="2" t="s">
        <v>536</v>
      </c>
      <c r="K311" s="2">
        <v>6204</v>
      </c>
      <c r="L311" s="35">
        <f t="shared" si="16"/>
        <v>19664198.399999999</v>
      </c>
      <c r="M311" s="36">
        <v>1200</v>
      </c>
      <c r="N311" s="40">
        <v>117482</v>
      </c>
      <c r="O311" s="37">
        <v>198717.5</v>
      </c>
      <c r="P311" s="37">
        <v>1118558.5</v>
      </c>
      <c r="Q311" s="37">
        <v>62068.5</v>
      </c>
      <c r="R311" s="40">
        <f>142421.5+50000</f>
        <v>192421.5</v>
      </c>
      <c r="S311" s="40">
        <v>85858.75</v>
      </c>
      <c r="T311" s="40">
        <v>30000</v>
      </c>
      <c r="U311" s="40">
        <v>529750</v>
      </c>
      <c r="V311" s="40">
        <v>0</v>
      </c>
      <c r="W311" s="45">
        <f t="shared" si="17"/>
        <v>2334856.75</v>
      </c>
      <c r="X311" s="46">
        <f t="shared" si="18"/>
        <v>11.873643168693823</v>
      </c>
    </row>
    <row r="312" spans="1:24" s="4" customFormat="1" ht="15" customHeight="1">
      <c r="A312" s="28" t="s">
        <v>63</v>
      </c>
      <c r="B312" s="29">
        <v>3169.6</v>
      </c>
      <c r="C312" s="30" t="s">
        <v>539</v>
      </c>
      <c r="D312" s="2">
        <v>4947735347</v>
      </c>
      <c r="E312" s="2" t="s">
        <v>24</v>
      </c>
      <c r="F312" s="2" t="s">
        <v>540</v>
      </c>
      <c r="G312" s="28" t="s">
        <v>9</v>
      </c>
      <c r="H312" s="2" t="s">
        <v>23</v>
      </c>
      <c r="I312" s="2">
        <v>2</v>
      </c>
      <c r="J312" s="2"/>
      <c r="K312" s="2">
        <v>5169.6000000000004</v>
      </c>
      <c r="L312" s="35">
        <f t="shared" si="16"/>
        <v>16385564.16</v>
      </c>
      <c r="M312" s="36">
        <v>1440</v>
      </c>
      <c r="N312" s="37">
        <v>647464</v>
      </c>
      <c r="O312" s="37">
        <v>1008</v>
      </c>
      <c r="P312" s="37">
        <v>0</v>
      </c>
      <c r="Q312" s="37">
        <v>24561</v>
      </c>
      <c r="R312" s="37">
        <v>108921</v>
      </c>
      <c r="S312" s="37">
        <v>343435</v>
      </c>
      <c r="T312" s="37"/>
      <c r="U312" s="37">
        <v>774998.70967741904</v>
      </c>
      <c r="V312" s="37">
        <v>0</v>
      </c>
      <c r="W312" s="45">
        <f t="shared" si="17"/>
        <v>1900387.7096774192</v>
      </c>
      <c r="X312" s="46">
        <f t="shared" si="18"/>
        <v>11.59793883885057</v>
      </c>
    </row>
    <row r="313" spans="1:24" s="4" customFormat="1" ht="15" customHeight="1">
      <c r="A313" s="28" t="s">
        <v>63</v>
      </c>
      <c r="B313" s="29">
        <v>3169.6</v>
      </c>
      <c r="C313" s="30" t="s">
        <v>541</v>
      </c>
      <c r="D313" s="2">
        <v>4944856228</v>
      </c>
      <c r="E313" s="2" t="s">
        <v>10</v>
      </c>
      <c r="F313" s="78" t="s">
        <v>542</v>
      </c>
      <c r="G313" s="28" t="s">
        <v>9</v>
      </c>
      <c r="H313" s="2" t="s">
        <v>23</v>
      </c>
      <c r="I313" s="2">
        <v>3</v>
      </c>
      <c r="J313" s="2"/>
      <c r="K313" s="2">
        <v>8438.4</v>
      </c>
      <c r="L313" s="35">
        <f t="shared" si="16"/>
        <v>26746352.639999997</v>
      </c>
      <c r="M313" s="36">
        <v>720</v>
      </c>
      <c r="N313" s="37">
        <v>315555.66666666698</v>
      </c>
      <c r="O313" s="37">
        <v>1733</v>
      </c>
      <c r="P313" s="37">
        <v>74962</v>
      </c>
      <c r="Q313" s="37">
        <v>53615</v>
      </c>
      <c r="R313" s="37">
        <v>48638</v>
      </c>
      <c r="S313" s="37">
        <v>228956.66666666701</v>
      </c>
      <c r="T313" s="37"/>
      <c r="U313" s="37">
        <v>177833.33333333299</v>
      </c>
      <c r="V313" s="37">
        <v>0</v>
      </c>
      <c r="W313" s="45">
        <f t="shared" si="17"/>
        <v>901293.66666666698</v>
      </c>
      <c r="X313" s="46">
        <f t="shared" si="18"/>
        <v>3.3697815877846251</v>
      </c>
    </row>
    <row r="314" spans="1:24" s="4" customFormat="1" ht="15" customHeight="1">
      <c r="A314" s="28" t="s">
        <v>63</v>
      </c>
      <c r="B314" s="29">
        <v>3169.6</v>
      </c>
      <c r="C314" s="30" t="s">
        <v>543</v>
      </c>
      <c r="D314" s="2">
        <v>4945994027</v>
      </c>
      <c r="E314" s="2" t="s">
        <v>6</v>
      </c>
      <c r="F314" s="78" t="s">
        <v>542</v>
      </c>
      <c r="G314" s="28" t="s">
        <v>9</v>
      </c>
      <c r="H314" s="2" t="s">
        <v>23</v>
      </c>
      <c r="I314" s="2">
        <v>3</v>
      </c>
      <c r="J314" s="2"/>
      <c r="K314" s="2">
        <v>10324.799999999999</v>
      </c>
      <c r="L314" s="35">
        <f t="shared" si="16"/>
        <v>32725486.079999998</v>
      </c>
      <c r="M314" s="36">
        <v>1440</v>
      </c>
      <c r="N314" s="37">
        <v>362480.727272727</v>
      </c>
      <c r="O314" s="37">
        <v>314</v>
      </c>
      <c r="P314" s="37">
        <v>0</v>
      </c>
      <c r="Q314" s="37">
        <v>7809</v>
      </c>
      <c r="R314" s="37">
        <v>68224.727272727294</v>
      </c>
      <c r="S314" s="37">
        <v>249770.909090909</v>
      </c>
      <c r="T314" s="40">
        <v>30000</v>
      </c>
      <c r="U314" s="37">
        <v>317147.82608695701</v>
      </c>
      <c r="V314" s="37">
        <v>0</v>
      </c>
      <c r="W314" s="45">
        <f t="shared" si="17"/>
        <v>1035747.1897233203</v>
      </c>
      <c r="X314" s="46">
        <f t="shared" si="18"/>
        <v>3.1649558609805082</v>
      </c>
    </row>
    <row r="315" spans="1:24" s="4" customFormat="1" ht="15" customHeight="1">
      <c r="A315" s="28" t="s">
        <v>63</v>
      </c>
      <c r="B315" s="29">
        <v>3169.6</v>
      </c>
      <c r="C315" s="30" t="s">
        <v>544</v>
      </c>
      <c r="D315" s="2">
        <v>4944904857</v>
      </c>
      <c r="E315" s="2" t="s">
        <v>6</v>
      </c>
      <c r="F315" s="2" t="s">
        <v>545</v>
      </c>
      <c r="G315" s="28" t="s">
        <v>9</v>
      </c>
      <c r="H315" s="2" t="s">
        <v>23</v>
      </c>
      <c r="I315" s="2">
        <v>1</v>
      </c>
      <c r="J315" s="2"/>
      <c r="K315" s="2">
        <v>6091.2</v>
      </c>
      <c r="L315" s="35">
        <f t="shared" si="16"/>
        <v>19306667.52</v>
      </c>
      <c r="M315" s="36">
        <v>288</v>
      </c>
      <c r="N315" s="37">
        <v>723679</v>
      </c>
      <c r="O315" s="37">
        <v>325</v>
      </c>
      <c r="P315" s="37">
        <v>18241</v>
      </c>
      <c r="Q315" s="37">
        <v>9230</v>
      </c>
      <c r="R315" s="37">
        <v>93220</v>
      </c>
      <c r="S315" s="37">
        <v>343435</v>
      </c>
      <c r="T315" s="40">
        <v>30000</v>
      </c>
      <c r="U315" s="37">
        <v>1367700</v>
      </c>
      <c r="V315" s="37">
        <v>0</v>
      </c>
      <c r="W315" s="45">
        <f t="shared" si="17"/>
        <v>2585830</v>
      </c>
      <c r="X315" s="46">
        <f t="shared" si="18"/>
        <v>13.393455899736756</v>
      </c>
    </row>
    <row r="316" spans="1:24" s="4" customFormat="1" ht="15" customHeight="1">
      <c r="A316" s="28" t="s">
        <v>63</v>
      </c>
      <c r="B316" s="29">
        <v>3169.6</v>
      </c>
      <c r="C316" s="30" t="s">
        <v>546</v>
      </c>
      <c r="D316" s="2">
        <v>4947574268</v>
      </c>
      <c r="E316" s="2" t="s">
        <v>6</v>
      </c>
      <c r="F316" s="2" t="s">
        <v>547</v>
      </c>
      <c r="G316" s="28" t="s">
        <v>5</v>
      </c>
      <c r="H316" s="2" t="s">
        <v>20</v>
      </c>
      <c r="I316" s="2">
        <v>1</v>
      </c>
      <c r="J316" s="2" t="s">
        <v>548</v>
      </c>
      <c r="K316" s="2">
        <v>24512</v>
      </c>
      <c r="L316" s="35">
        <f t="shared" si="16"/>
        <v>77693235.200000003</v>
      </c>
      <c r="M316" s="36">
        <v>6400</v>
      </c>
      <c r="N316" s="37">
        <v>477563</v>
      </c>
      <c r="O316" s="37">
        <v>397435</v>
      </c>
      <c r="P316" s="37">
        <v>0</v>
      </c>
      <c r="Q316" s="37">
        <v>124137</v>
      </c>
      <c r="R316" s="37">
        <v>1134717</v>
      </c>
      <c r="S316" s="37">
        <v>343435</v>
      </c>
      <c r="T316" s="40">
        <v>30000</v>
      </c>
      <c r="U316" s="37">
        <v>499900</v>
      </c>
      <c r="V316" s="37">
        <v>0</v>
      </c>
      <c r="W316" s="45">
        <f t="shared" si="17"/>
        <v>3007187</v>
      </c>
      <c r="X316" s="46">
        <f t="shared" si="18"/>
        <v>3.8705905247204839</v>
      </c>
    </row>
    <row r="317" spans="1:24" s="4" customFormat="1" ht="15" customHeight="1">
      <c r="A317" s="28" t="s">
        <v>63</v>
      </c>
      <c r="B317" s="29">
        <v>3169.6</v>
      </c>
      <c r="C317" s="30" t="s">
        <v>549</v>
      </c>
      <c r="D317" s="2">
        <v>4947915819</v>
      </c>
      <c r="E317" s="2" t="s">
        <v>14</v>
      </c>
      <c r="F317" s="2" t="s">
        <v>550</v>
      </c>
      <c r="G317" s="28" t="s">
        <v>9</v>
      </c>
      <c r="H317" s="2" t="s">
        <v>23</v>
      </c>
      <c r="I317" s="2">
        <v>1</v>
      </c>
      <c r="J317" s="2"/>
      <c r="K317" s="2">
        <v>7962</v>
      </c>
      <c r="L317" s="35">
        <f t="shared" si="16"/>
        <v>25236355.199999999</v>
      </c>
      <c r="M317" s="36">
        <v>600</v>
      </c>
      <c r="N317" s="37">
        <v>319153</v>
      </c>
      <c r="O317" s="37">
        <v>410</v>
      </c>
      <c r="P317" s="37">
        <v>18630</v>
      </c>
      <c r="Q317" s="37">
        <v>9837</v>
      </c>
      <c r="R317" s="37">
        <v>92299</v>
      </c>
      <c r="S317" s="37">
        <v>343435</v>
      </c>
      <c r="T317" s="40">
        <v>30000</v>
      </c>
      <c r="U317" s="37">
        <v>322916.129032258</v>
      </c>
      <c r="V317" s="37">
        <v>0</v>
      </c>
      <c r="W317" s="45">
        <f t="shared" si="17"/>
        <v>1136680.1290322579</v>
      </c>
      <c r="X317" s="46">
        <f t="shared" si="18"/>
        <v>4.5041374636867451</v>
      </c>
    </row>
    <row r="318" spans="1:24" s="4" customFormat="1" ht="15" customHeight="1">
      <c r="A318" s="28" t="s">
        <v>63</v>
      </c>
      <c r="B318" s="29">
        <v>3169.6</v>
      </c>
      <c r="C318" s="30" t="s">
        <v>551</v>
      </c>
      <c r="D318" s="2">
        <v>4946765523</v>
      </c>
      <c r="E318" s="2" t="s">
        <v>6</v>
      </c>
      <c r="F318" s="2" t="s">
        <v>552</v>
      </c>
      <c r="G318" s="28" t="s">
        <v>9</v>
      </c>
      <c r="H318" s="2" t="s">
        <v>23</v>
      </c>
      <c r="I318" s="2">
        <v>1</v>
      </c>
      <c r="J318" s="2"/>
      <c r="K318" s="2">
        <v>6091.2</v>
      </c>
      <c r="L318" s="35">
        <f t="shared" ref="L318:L381" si="19">B318*K318</f>
        <v>19306667.52</v>
      </c>
      <c r="M318" s="36">
        <v>288</v>
      </c>
      <c r="N318" s="37">
        <v>716208</v>
      </c>
      <c r="O318" s="37">
        <v>321</v>
      </c>
      <c r="P318" s="37">
        <v>32865</v>
      </c>
      <c r="Q318" s="37">
        <v>9234</v>
      </c>
      <c r="R318" s="37">
        <v>93249</v>
      </c>
      <c r="S318" s="37">
        <v>343435</v>
      </c>
      <c r="T318" s="40">
        <v>30000</v>
      </c>
      <c r="U318" s="37">
        <v>147857</v>
      </c>
      <c r="V318" s="37">
        <v>0</v>
      </c>
      <c r="W318" s="45">
        <f t="shared" ref="W318:W381" si="20">+SUM(N318:V318)</f>
        <v>1373169</v>
      </c>
      <c r="X318" s="46">
        <f t="shared" ref="X318:X381" si="21">(W318/L318)*100</f>
        <v>7.1124081801145556</v>
      </c>
    </row>
    <row r="319" spans="1:24" s="4" customFormat="1" ht="15" customHeight="1">
      <c r="A319" s="28" t="s">
        <v>63</v>
      </c>
      <c r="B319" s="29">
        <v>3169.6</v>
      </c>
      <c r="C319" s="30" t="s">
        <v>553</v>
      </c>
      <c r="D319" s="2">
        <v>4947974770</v>
      </c>
      <c r="E319" s="2" t="s">
        <v>18</v>
      </c>
      <c r="F319" s="2" t="s">
        <v>554</v>
      </c>
      <c r="G319" s="28" t="s">
        <v>9</v>
      </c>
      <c r="H319" s="2" t="s">
        <v>23</v>
      </c>
      <c r="I319" s="2">
        <v>5</v>
      </c>
      <c r="J319" s="2"/>
      <c r="K319" s="2">
        <v>23964.5</v>
      </c>
      <c r="L319" s="35">
        <f t="shared" si="19"/>
        <v>75957879.200000003</v>
      </c>
      <c r="M319" s="36">
        <f>425+600</f>
        <v>1025</v>
      </c>
      <c r="N319" s="37">
        <v>829442</v>
      </c>
      <c r="O319" s="37">
        <v>1382</v>
      </c>
      <c r="P319" s="37">
        <v>57774</v>
      </c>
      <c r="Q319" s="37">
        <v>16710</v>
      </c>
      <c r="R319" s="37">
        <v>398683</v>
      </c>
      <c r="S319" s="37">
        <v>343435</v>
      </c>
      <c r="T319" s="40">
        <v>30000</v>
      </c>
      <c r="U319" s="37">
        <v>1315469.2307692301</v>
      </c>
      <c r="V319" s="37">
        <v>0</v>
      </c>
      <c r="W319" s="45">
        <f t="shared" si="20"/>
        <v>2992895.2307692301</v>
      </c>
      <c r="X319" s="46">
        <f t="shared" si="21"/>
        <v>3.9402037843747877</v>
      </c>
    </row>
    <row r="320" spans="1:24" s="4" customFormat="1" ht="15" customHeight="1">
      <c r="A320" s="28" t="s">
        <v>63</v>
      </c>
      <c r="B320" s="29">
        <v>3169.6</v>
      </c>
      <c r="C320" s="30" t="s">
        <v>555</v>
      </c>
      <c r="D320" s="2">
        <v>4947975532</v>
      </c>
      <c r="E320" s="2" t="s">
        <v>14</v>
      </c>
      <c r="F320" s="2" t="s">
        <v>556</v>
      </c>
      <c r="G320" s="28" t="s">
        <v>5</v>
      </c>
      <c r="H320" s="2" t="s">
        <v>20</v>
      </c>
      <c r="I320" s="2">
        <v>1</v>
      </c>
      <c r="J320" s="2" t="s">
        <v>557</v>
      </c>
      <c r="K320" s="2">
        <v>22080</v>
      </c>
      <c r="L320" s="35">
        <f t="shared" si="19"/>
        <v>69984768</v>
      </c>
      <c r="M320" s="36">
        <f>1000+7000</f>
        <v>8000</v>
      </c>
      <c r="N320" s="40">
        <v>200107.584050039</v>
      </c>
      <c r="O320" s="37">
        <v>199663.48709929601</v>
      </c>
      <c r="P320" s="37">
        <v>347265.05082095403</v>
      </c>
      <c r="Q320" s="37">
        <v>62116.653635652903</v>
      </c>
      <c r="R320" s="40">
        <v>407243.57544957002</v>
      </c>
      <c r="S320" s="40">
        <v>214814.69898358101</v>
      </c>
      <c r="T320" s="40">
        <v>30000</v>
      </c>
      <c r="U320" s="40">
        <v>2144487.88115715</v>
      </c>
      <c r="V320" s="40">
        <v>0</v>
      </c>
      <c r="W320" s="45">
        <f t="shared" si="20"/>
        <v>3605698.931196243</v>
      </c>
      <c r="X320" s="46">
        <f t="shared" si="21"/>
        <v>5.1521195743568695</v>
      </c>
    </row>
    <row r="321" spans="1:24" s="4" customFormat="1" ht="15" customHeight="1">
      <c r="A321" s="28" t="s">
        <v>63</v>
      </c>
      <c r="B321" s="29">
        <v>3169.6</v>
      </c>
      <c r="C321" s="30" t="s">
        <v>555</v>
      </c>
      <c r="D321" s="2">
        <v>4947975531</v>
      </c>
      <c r="E321" s="2" t="s">
        <v>14</v>
      </c>
      <c r="F321" s="2" t="s">
        <v>556</v>
      </c>
      <c r="G321" s="28" t="s">
        <v>5</v>
      </c>
      <c r="H321" s="2" t="s">
        <v>20</v>
      </c>
      <c r="I321" s="2">
        <v>1</v>
      </c>
      <c r="J321" s="2" t="s">
        <v>557</v>
      </c>
      <c r="K321" s="2">
        <v>12332.8</v>
      </c>
      <c r="L321" s="35">
        <f t="shared" si="19"/>
        <v>39090042.879999995</v>
      </c>
      <c r="M321" s="36">
        <v>1640</v>
      </c>
      <c r="N321" s="40">
        <v>41022.054730258002</v>
      </c>
      <c r="O321" s="37">
        <v>40931.014855355803</v>
      </c>
      <c r="P321" s="37">
        <v>71189.335418295595</v>
      </c>
      <c r="Q321" s="37">
        <v>12733.9139953088</v>
      </c>
      <c r="R321" s="40">
        <f>69129.3979671619+14356</f>
        <v>83485.397967161902</v>
      </c>
      <c r="S321" s="40">
        <v>44037.013291634103</v>
      </c>
      <c r="T321" s="40">
        <v>30000</v>
      </c>
      <c r="U321" s="40">
        <v>439620.01563721697</v>
      </c>
      <c r="V321" s="40">
        <v>0</v>
      </c>
      <c r="W321" s="45">
        <f t="shared" si="20"/>
        <v>763018.74589523114</v>
      </c>
      <c r="X321" s="46">
        <f t="shared" si="21"/>
        <v>1.9519516728021336</v>
      </c>
    </row>
    <row r="322" spans="1:24" s="4" customFormat="1" ht="15" customHeight="1">
      <c r="A322" s="28" t="s">
        <v>63</v>
      </c>
      <c r="B322" s="29">
        <v>3169.6</v>
      </c>
      <c r="C322" s="30" t="s">
        <v>555</v>
      </c>
      <c r="D322" s="2">
        <v>4947975531</v>
      </c>
      <c r="E322" s="2" t="s">
        <v>14</v>
      </c>
      <c r="F322" s="2" t="s">
        <v>556</v>
      </c>
      <c r="G322" s="28" t="s">
        <v>5</v>
      </c>
      <c r="H322" s="2" t="s">
        <v>20</v>
      </c>
      <c r="I322" s="2">
        <v>1</v>
      </c>
      <c r="J322" s="2" t="s">
        <v>557</v>
      </c>
      <c r="K322" s="2">
        <v>4554</v>
      </c>
      <c r="L322" s="35">
        <f t="shared" si="19"/>
        <v>14434358.4</v>
      </c>
      <c r="M322" s="36">
        <v>900</v>
      </c>
      <c r="N322" s="40">
        <v>22512.103205629399</v>
      </c>
      <c r="O322" s="37">
        <v>22462.142298670798</v>
      </c>
      <c r="P322" s="37">
        <v>39067.3182173573</v>
      </c>
      <c r="Q322" s="37">
        <v>6988.1235340109497</v>
      </c>
      <c r="R322" s="40">
        <f>37936.8647380766+7878</f>
        <v>45814.864738076598</v>
      </c>
      <c r="S322" s="40">
        <v>24166.6536356529</v>
      </c>
      <c r="T322" s="40">
        <v>30000</v>
      </c>
      <c r="U322" s="40">
        <v>241254.88663018</v>
      </c>
      <c r="V322" s="40">
        <v>0</v>
      </c>
      <c r="W322" s="45">
        <f t="shared" si="20"/>
        <v>432266.09225957794</v>
      </c>
      <c r="X322" s="46">
        <f t="shared" si="21"/>
        <v>2.994702502742193</v>
      </c>
    </row>
    <row r="323" spans="1:24" s="4" customFormat="1" ht="15" customHeight="1">
      <c r="A323" s="28" t="s">
        <v>63</v>
      </c>
      <c r="B323" s="29">
        <v>3169.6</v>
      </c>
      <c r="C323" s="30" t="s">
        <v>555</v>
      </c>
      <c r="D323" s="2">
        <v>4948208973</v>
      </c>
      <c r="E323" s="2" t="s">
        <v>14</v>
      </c>
      <c r="F323" s="2" t="s">
        <v>556</v>
      </c>
      <c r="G323" s="28" t="s">
        <v>5</v>
      </c>
      <c r="H323" s="2" t="s">
        <v>20</v>
      </c>
      <c r="I323" s="2">
        <v>1</v>
      </c>
      <c r="J323" s="2" t="s">
        <v>557</v>
      </c>
      <c r="K323" s="2">
        <f>2772+4158</f>
        <v>6930</v>
      </c>
      <c r="L323" s="35">
        <f t="shared" si="19"/>
        <v>21965328</v>
      </c>
      <c r="M323" s="36">
        <f>900+1350</f>
        <v>2250</v>
      </c>
      <c r="N323" s="40">
        <v>56280.258014073501</v>
      </c>
      <c r="O323" s="37">
        <v>56155.355746677102</v>
      </c>
      <c r="P323" s="37">
        <v>97668.295543393295</v>
      </c>
      <c r="Q323" s="37">
        <v>17470.308835027401</v>
      </c>
      <c r="R323" s="40">
        <f>94842.1618451916+19695</f>
        <v>114537.1618451916</v>
      </c>
      <c r="S323" s="40">
        <v>60416.634089132102</v>
      </c>
      <c r="T323" s="40">
        <v>30000</v>
      </c>
      <c r="U323" s="40">
        <v>603137.21657545003</v>
      </c>
      <c r="V323" s="40">
        <v>0</v>
      </c>
      <c r="W323" s="45">
        <f t="shared" si="20"/>
        <v>1035665.230648945</v>
      </c>
      <c r="X323" s="46">
        <f t="shared" si="21"/>
        <v>4.7150000703333221</v>
      </c>
    </row>
    <row r="324" spans="1:24" s="4" customFormat="1" ht="15" customHeight="1">
      <c r="A324" s="28" t="s">
        <v>63</v>
      </c>
      <c r="B324" s="29">
        <v>3169.6</v>
      </c>
      <c r="C324" s="30" t="s">
        <v>558</v>
      </c>
      <c r="D324" s="2">
        <v>4947510912</v>
      </c>
      <c r="E324" s="2" t="s">
        <v>14</v>
      </c>
      <c r="F324" s="2" t="s">
        <v>559</v>
      </c>
      <c r="G324" s="28" t="s">
        <v>9</v>
      </c>
      <c r="H324" s="2" t="s">
        <v>23</v>
      </c>
      <c r="I324" s="2">
        <v>1</v>
      </c>
      <c r="J324" s="2"/>
      <c r="K324" s="2">
        <v>2197.5</v>
      </c>
      <c r="L324" s="35">
        <f t="shared" si="19"/>
        <v>6965196</v>
      </c>
      <c r="M324" s="36">
        <v>75</v>
      </c>
      <c r="N324" s="37">
        <v>459797</v>
      </c>
      <c r="O324" s="37">
        <v>64</v>
      </c>
      <c r="P324" s="37">
        <v>4667</v>
      </c>
      <c r="Q324" s="37">
        <v>1628</v>
      </c>
      <c r="R324" s="37">
        <v>81216</v>
      </c>
      <c r="S324" s="37">
        <v>343435</v>
      </c>
      <c r="T324" s="40">
        <v>30000</v>
      </c>
      <c r="U324" s="37">
        <v>124336.363636364</v>
      </c>
      <c r="V324" s="37">
        <v>0</v>
      </c>
      <c r="W324" s="45">
        <f t="shared" si="20"/>
        <v>1045143.363636364</v>
      </c>
      <c r="X324" s="46">
        <f t="shared" si="21"/>
        <v>15.005225461514135</v>
      </c>
    </row>
    <row r="325" spans="1:24" s="4" customFormat="1" ht="15" customHeight="1">
      <c r="A325" s="28" t="s">
        <v>63</v>
      </c>
      <c r="B325" s="29">
        <v>3169.6</v>
      </c>
      <c r="C325" s="30" t="s">
        <v>560</v>
      </c>
      <c r="D325" s="2">
        <v>4947162568</v>
      </c>
      <c r="E325" s="2" t="s">
        <v>14</v>
      </c>
      <c r="F325" s="2" t="s">
        <v>561</v>
      </c>
      <c r="G325" s="28" t="s">
        <v>5</v>
      </c>
      <c r="H325" s="2" t="s">
        <v>17</v>
      </c>
      <c r="I325" s="2">
        <v>1</v>
      </c>
      <c r="J325" s="2" t="s">
        <v>562</v>
      </c>
      <c r="K325" s="2">
        <v>40936</v>
      </c>
      <c r="L325" s="35">
        <f t="shared" si="19"/>
        <v>129750745.59999999</v>
      </c>
      <c r="M325" s="36">
        <v>17200</v>
      </c>
      <c r="N325" s="37">
        <v>330602</v>
      </c>
      <c r="O325" s="37">
        <v>418768</v>
      </c>
      <c r="P325" s="37">
        <v>863974</v>
      </c>
      <c r="Q325" s="37">
        <v>99309</v>
      </c>
      <c r="R325" s="37">
        <v>653592</v>
      </c>
      <c r="S325" s="37">
        <v>343435</v>
      </c>
      <c r="T325" s="40">
        <v>30000</v>
      </c>
      <c r="U325" s="37">
        <v>4961900</v>
      </c>
      <c r="V325" s="37">
        <v>0</v>
      </c>
      <c r="W325" s="45">
        <f t="shared" si="20"/>
        <v>7701580</v>
      </c>
      <c r="X325" s="46">
        <f t="shared" si="21"/>
        <v>5.9356730201325334</v>
      </c>
    </row>
    <row r="326" spans="1:24" s="4" customFormat="1" ht="15" customHeight="1">
      <c r="A326" s="28" t="s">
        <v>63</v>
      </c>
      <c r="B326" s="29">
        <v>3169.6</v>
      </c>
      <c r="C326" s="30" t="s">
        <v>563</v>
      </c>
      <c r="D326" s="2">
        <v>4947737184</v>
      </c>
      <c r="E326" s="2" t="s">
        <v>24</v>
      </c>
      <c r="F326" s="2" t="s">
        <v>564</v>
      </c>
      <c r="G326" s="28" t="s">
        <v>9</v>
      </c>
      <c r="H326" s="2" t="s">
        <v>23</v>
      </c>
      <c r="I326" s="2">
        <v>1</v>
      </c>
      <c r="J326" s="2"/>
      <c r="K326" s="2">
        <v>23443.8</v>
      </c>
      <c r="L326" s="35">
        <f t="shared" si="19"/>
        <v>74307468.479999989</v>
      </c>
      <c r="M326" s="36">
        <v>820</v>
      </c>
      <c r="N326" s="37">
        <v>611841</v>
      </c>
      <c r="O326" s="37">
        <v>578</v>
      </c>
      <c r="P326" s="37">
        <v>23077</v>
      </c>
      <c r="Q326" s="37">
        <v>17868</v>
      </c>
      <c r="R326" s="37">
        <v>101719</v>
      </c>
      <c r="S326" s="37">
        <v>343435</v>
      </c>
      <c r="T326" s="37"/>
      <c r="U326" s="37">
        <v>883081.88976377901</v>
      </c>
      <c r="V326" s="37">
        <v>0</v>
      </c>
      <c r="W326" s="45">
        <f t="shared" si="20"/>
        <v>1981599.889763779</v>
      </c>
      <c r="X326" s="46">
        <f t="shared" si="21"/>
        <v>2.6667573667876074</v>
      </c>
    </row>
    <row r="327" spans="1:24" s="4" customFormat="1" ht="15" customHeight="1">
      <c r="A327" s="28" t="s">
        <v>63</v>
      </c>
      <c r="B327" s="29">
        <v>3169.6</v>
      </c>
      <c r="C327" s="30" t="s">
        <v>565</v>
      </c>
      <c r="D327" s="2">
        <v>4945994029</v>
      </c>
      <c r="E327" s="2" t="s">
        <v>6</v>
      </c>
      <c r="F327" s="2" t="s">
        <v>566</v>
      </c>
      <c r="G327" s="28" t="s">
        <v>5</v>
      </c>
      <c r="H327" s="2" t="s">
        <v>20</v>
      </c>
      <c r="I327" s="2">
        <v>1</v>
      </c>
      <c r="J327" s="2" t="s">
        <v>567</v>
      </c>
      <c r="K327" s="2">
        <v>10136</v>
      </c>
      <c r="L327" s="35">
        <f t="shared" si="19"/>
        <v>32127065.599999998</v>
      </c>
      <c r="M327" s="36">
        <v>1400</v>
      </c>
      <c r="N327" s="37">
        <v>330602</v>
      </c>
      <c r="O327" s="37">
        <v>397435</v>
      </c>
      <c r="P327" s="37">
        <v>1417441</v>
      </c>
      <c r="Q327" s="37">
        <v>124137</v>
      </c>
      <c r="R327" s="37">
        <v>1458463</v>
      </c>
      <c r="S327" s="37">
        <v>343435</v>
      </c>
      <c r="T327" s="40">
        <v>30000</v>
      </c>
      <c r="U327" s="37">
        <v>2119000</v>
      </c>
      <c r="V327" s="37">
        <v>0</v>
      </c>
      <c r="W327" s="45">
        <f t="shared" si="20"/>
        <v>6220513</v>
      </c>
      <c r="X327" s="46">
        <f t="shared" si="21"/>
        <v>19.362219623319724</v>
      </c>
    </row>
    <row r="328" spans="1:24" s="4" customFormat="1" ht="15" customHeight="1">
      <c r="A328" s="28" t="s">
        <v>63</v>
      </c>
      <c r="B328" s="29">
        <v>3169.6</v>
      </c>
      <c r="C328" s="30" t="s">
        <v>568</v>
      </c>
      <c r="D328" s="2">
        <v>4947413831</v>
      </c>
      <c r="E328" s="2" t="s">
        <v>18</v>
      </c>
      <c r="F328" s="2" t="s">
        <v>569</v>
      </c>
      <c r="G328" s="28" t="s">
        <v>9</v>
      </c>
      <c r="H328" s="2" t="s">
        <v>23</v>
      </c>
      <c r="I328" s="2">
        <v>2</v>
      </c>
      <c r="J328" s="2"/>
      <c r="K328" s="2">
        <v>11136</v>
      </c>
      <c r="L328" s="35">
        <f t="shared" si="19"/>
        <v>35296665.600000001</v>
      </c>
      <c r="M328" s="36">
        <v>400</v>
      </c>
      <c r="N328" s="40">
        <v>435572.44444444397</v>
      </c>
      <c r="O328" s="37">
        <v>576.88888888888903</v>
      </c>
      <c r="P328" s="37">
        <v>42380.444444444402</v>
      </c>
      <c r="Q328" s="37">
        <v>8204.4444444444398</v>
      </c>
      <c r="R328" s="40">
        <v>337723.55555555603</v>
      </c>
      <c r="S328" s="40">
        <v>305275.55555555603</v>
      </c>
      <c r="T328" s="40">
        <v>30000</v>
      </c>
      <c r="U328" s="40">
        <v>430771.65354330698</v>
      </c>
      <c r="V328" s="40">
        <v>0</v>
      </c>
      <c r="W328" s="45">
        <f t="shared" si="20"/>
        <v>1590504.9868766407</v>
      </c>
      <c r="X328" s="46">
        <f t="shared" si="21"/>
        <v>4.506105491382848</v>
      </c>
    </row>
    <row r="329" spans="1:24" s="4" customFormat="1" ht="15" customHeight="1">
      <c r="A329" s="28" t="s">
        <v>63</v>
      </c>
      <c r="B329" s="29">
        <v>3169.6</v>
      </c>
      <c r="C329" s="30" t="s">
        <v>568</v>
      </c>
      <c r="D329" s="2">
        <v>4947413837</v>
      </c>
      <c r="E329" s="2" t="s">
        <v>18</v>
      </c>
      <c r="F329" s="2" t="s">
        <v>569</v>
      </c>
      <c r="G329" s="28" t="s">
        <v>9</v>
      </c>
      <c r="H329" s="2" t="s">
        <v>23</v>
      </c>
      <c r="I329" s="2">
        <v>2</v>
      </c>
      <c r="J329" s="2"/>
      <c r="K329" s="2">
        <v>1169</v>
      </c>
      <c r="L329" s="35">
        <f t="shared" si="19"/>
        <v>3705262.4</v>
      </c>
      <c r="M329" s="36">
        <v>50</v>
      </c>
      <c r="N329" s="40">
        <v>54446.555555555598</v>
      </c>
      <c r="O329" s="37">
        <v>72.1111111111111</v>
      </c>
      <c r="P329" s="37">
        <v>5297.5555555555602</v>
      </c>
      <c r="Q329" s="37">
        <v>1025.55555555556</v>
      </c>
      <c r="R329" s="40">
        <v>42215.444444444402</v>
      </c>
      <c r="S329" s="40">
        <v>38159.444444444402</v>
      </c>
      <c r="T329" s="40">
        <v>30000</v>
      </c>
      <c r="U329" s="40">
        <v>53846.456692913402</v>
      </c>
      <c r="V329" s="40">
        <v>0</v>
      </c>
      <c r="W329" s="45">
        <f t="shared" si="20"/>
        <v>225063.12335958003</v>
      </c>
      <c r="X329" s="46">
        <f t="shared" si="21"/>
        <v>6.0741480376553092</v>
      </c>
    </row>
    <row r="330" spans="1:24" s="4" customFormat="1" ht="15" customHeight="1">
      <c r="A330" s="28" t="s">
        <v>63</v>
      </c>
      <c r="B330" s="29">
        <v>3169.6</v>
      </c>
      <c r="C330" s="30" t="s">
        <v>570</v>
      </c>
      <c r="D330" s="2">
        <v>4946628174</v>
      </c>
      <c r="E330" s="2" t="s">
        <v>18</v>
      </c>
      <c r="F330" s="78" t="s">
        <v>571</v>
      </c>
      <c r="G330" s="28" t="s">
        <v>5</v>
      </c>
      <c r="H330" s="2" t="s">
        <v>17</v>
      </c>
      <c r="I330" s="2">
        <v>1</v>
      </c>
      <c r="J330" s="2" t="s">
        <v>572</v>
      </c>
      <c r="K330" s="2">
        <v>12200</v>
      </c>
      <c r="L330" s="35">
        <f t="shared" si="19"/>
        <v>38669120</v>
      </c>
      <c r="M330" s="36">
        <v>20000</v>
      </c>
      <c r="N330" s="37">
        <v>305708</v>
      </c>
      <c r="O330" s="37">
        <v>418768</v>
      </c>
      <c r="P330" s="37">
        <v>597333</v>
      </c>
      <c r="Q330" s="37">
        <v>99309</v>
      </c>
      <c r="R330" s="37">
        <v>933496</v>
      </c>
      <c r="S330" s="37">
        <v>343435</v>
      </c>
      <c r="T330" s="40">
        <v>30000</v>
      </c>
      <c r="U330" s="37">
        <v>4975550</v>
      </c>
      <c r="V330" s="37">
        <v>0</v>
      </c>
      <c r="W330" s="45">
        <f t="shared" si="20"/>
        <v>7703599</v>
      </c>
      <c r="X330" s="46">
        <f t="shared" si="21"/>
        <v>19.921836855868456</v>
      </c>
    </row>
    <row r="331" spans="1:24" s="4" customFormat="1" ht="15" customHeight="1">
      <c r="A331" s="28" t="s">
        <v>63</v>
      </c>
      <c r="B331" s="29">
        <v>3169.6</v>
      </c>
      <c r="C331" s="30" t="s">
        <v>573</v>
      </c>
      <c r="D331" s="2">
        <v>4947815545</v>
      </c>
      <c r="E331" s="2" t="s">
        <v>24</v>
      </c>
      <c r="F331" s="78" t="s">
        <v>574</v>
      </c>
      <c r="G331" s="28" t="s">
        <v>5</v>
      </c>
      <c r="H331" s="2" t="s">
        <v>32</v>
      </c>
      <c r="I331" s="2">
        <v>1</v>
      </c>
      <c r="J331" s="2" t="s">
        <v>575</v>
      </c>
      <c r="K331" s="2">
        <v>24948</v>
      </c>
      <c r="L331" s="35">
        <f t="shared" si="19"/>
        <v>79075180.799999997</v>
      </c>
      <c r="M331" s="36">
        <v>5400</v>
      </c>
      <c r="N331" s="37">
        <v>464922</v>
      </c>
      <c r="O331" s="37">
        <v>319212</v>
      </c>
      <c r="P331" s="37">
        <v>67888</v>
      </c>
      <c r="Q331" s="37">
        <v>99309</v>
      </c>
      <c r="R331" s="37">
        <v>1239152</v>
      </c>
      <c r="S331" s="37">
        <v>343435</v>
      </c>
      <c r="T331" s="37"/>
      <c r="U331" s="37">
        <v>1497250</v>
      </c>
      <c r="V331" s="37">
        <v>0</v>
      </c>
      <c r="W331" s="45">
        <f t="shared" si="20"/>
        <v>4031168</v>
      </c>
      <c r="X331" s="46">
        <f t="shared" si="21"/>
        <v>5.097892865013848</v>
      </c>
    </row>
    <row r="332" spans="1:24" s="4" customFormat="1" ht="15" customHeight="1">
      <c r="A332" s="28" t="s">
        <v>63</v>
      </c>
      <c r="B332" s="29">
        <v>3169.6</v>
      </c>
      <c r="C332" s="30" t="s">
        <v>576</v>
      </c>
      <c r="D332" s="2">
        <v>4947914557</v>
      </c>
      <c r="E332" s="2" t="s">
        <v>21</v>
      </c>
      <c r="F332" s="78" t="s">
        <v>577</v>
      </c>
      <c r="G332" s="28" t="s">
        <v>5</v>
      </c>
      <c r="H332" s="2" t="s">
        <v>20</v>
      </c>
      <c r="I332" s="2">
        <v>4</v>
      </c>
      <c r="J332" s="2" t="s">
        <v>578</v>
      </c>
      <c r="K332" s="2">
        <f>22302+22302+13629+18585+8673+3717</f>
        <v>89208</v>
      </c>
      <c r="L332" s="35">
        <f t="shared" si="19"/>
        <v>282753676.80000001</v>
      </c>
      <c r="M332" s="36">
        <f>18900+18900+11550+15750+7350+3150</f>
        <v>75600</v>
      </c>
      <c r="N332" s="37">
        <v>2131243</v>
      </c>
      <c r="O332" s="50">
        <v>1181851</v>
      </c>
      <c r="P332" s="50">
        <v>271556</v>
      </c>
      <c r="Q332" s="50">
        <v>414905</v>
      </c>
      <c r="R332" s="37">
        <v>1884067</v>
      </c>
      <c r="S332" s="37">
        <v>343435</v>
      </c>
      <c r="T332" s="37"/>
      <c r="U332" s="37">
        <v>9165600</v>
      </c>
      <c r="V332" s="37">
        <v>0</v>
      </c>
      <c r="W332" s="45">
        <f t="shared" si="20"/>
        <v>15392657</v>
      </c>
      <c r="X332" s="46">
        <f t="shared" si="21"/>
        <v>5.4438397315298852</v>
      </c>
    </row>
    <row r="333" spans="1:24" s="4" customFormat="1" ht="15" customHeight="1">
      <c r="A333" s="28" t="s">
        <v>63</v>
      </c>
      <c r="B333" s="29">
        <v>3169.6</v>
      </c>
      <c r="C333" s="30" t="s">
        <v>579</v>
      </c>
      <c r="D333" s="2">
        <v>4947815549</v>
      </c>
      <c r="E333" s="2" t="s">
        <v>24</v>
      </c>
      <c r="F333" s="2" t="s">
        <v>580</v>
      </c>
      <c r="G333" s="28" t="s">
        <v>9</v>
      </c>
      <c r="H333" s="2" t="s">
        <v>23</v>
      </c>
      <c r="I333" s="2">
        <v>1</v>
      </c>
      <c r="J333" s="2"/>
      <c r="K333" s="2">
        <v>3420</v>
      </c>
      <c r="L333" s="35">
        <f t="shared" si="19"/>
        <v>10840032</v>
      </c>
      <c r="M333" s="36">
        <v>240</v>
      </c>
      <c r="N333" s="37">
        <v>876586</v>
      </c>
      <c r="O333" s="37">
        <v>0</v>
      </c>
      <c r="P333" s="37">
        <v>6402</v>
      </c>
      <c r="Q333" s="37">
        <v>47272</v>
      </c>
      <c r="R333" s="37">
        <v>33745</v>
      </c>
      <c r="S333" s="37">
        <v>343435</v>
      </c>
      <c r="T333" s="37"/>
      <c r="U333" s="37">
        <v>557750</v>
      </c>
      <c r="V333" s="37">
        <v>0</v>
      </c>
      <c r="W333" s="45">
        <f t="shared" si="20"/>
        <v>1865190</v>
      </c>
      <c r="X333" s="46">
        <f t="shared" si="21"/>
        <v>17.206499021405104</v>
      </c>
    </row>
    <row r="334" spans="1:24" s="4" customFormat="1" ht="15" customHeight="1">
      <c r="A334" s="28" t="s">
        <v>63</v>
      </c>
      <c r="B334" s="29">
        <v>3169.6</v>
      </c>
      <c r="C334" s="30" t="s">
        <v>581</v>
      </c>
      <c r="D334" s="2">
        <v>4948283265</v>
      </c>
      <c r="E334" s="2" t="s">
        <v>24</v>
      </c>
      <c r="F334" s="78" t="s">
        <v>582</v>
      </c>
      <c r="G334" s="28" t="s">
        <v>5</v>
      </c>
      <c r="H334" s="2" t="s">
        <v>26</v>
      </c>
      <c r="I334" s="2">
        <v>1</v>
      </c>
      <c r="J334" s="2" t="s">
        <v>583</v>
      </c>
      <c r="K334" s="2">
        <v>31288.25</v>
      </c>
      <c r="L334" s="35">
        <f t="shared" si="19"/>
        <v>99171237.200000003</v>
      </c>
      <c r="M334" s="36">
        <v>23525</v>
      </c>
      <c r="N334" s="37">
        <v>327296</v>
      </c>
      <c r="O334" s="37">
        <v>379770</v>
      </c>
      <c r="P334" s="37">
        <v>710088</v>
      </c>
      <c r="Q334" s="37">
        <v>104437</v>
      </c>
      <c r="R334" s="37">
        <v>761355</v>
      </c>
      <c r="S334" s="37">
        <v>343435</v>
      </c>
      <c r="T334" s="37"/>
      <c r="U334" s="37">
        <v>0</v>
      </c>
      <c r="V334" s="37">
        <v>0</v>
      </c>
      <c r="W334" s="45">
        <f t="shared" si="20"/>
        <v>2626381</v>
      </c>
      <c r="X334" s="46">
        <f t="shared" si="21"/>
        <v>2.6483293686286693</v>
      </c>
    </row>
    <row r="335" spans="1:24" s="4" customFormat="1" ht="15" customHeight="1">
      <c r="A335" s="28" t="s">
        <v>63</v>
      </c>
      <c r="B335" s="29">
        <v>3169.6</v>
      </c>
      <c r="C335" s="30" t="s">
        <v>584</v>
      </c>
      <c r="D335" s="2">
        <v>4947823567</v>
      </c>
      <c r="E335" s="2" t="s">
        <v>24</v>
      </c>
      <c r="F335" s="2" t="s">
        <v>585</v>
      </c>
      <c r="G335" s="28" t="s">
        <v>9</v>
      </c>
      <c r="H335" s="2" t="s">
        <v>23</v>
      </c>
      <c r="I335" s="2">
        <v>2</v>
      </c>
      <c r="J335" s="2"/>
      <c r="K335" s="2">
        <v>14340</v>
      </c>
      <c r="L335" s="35">
        <f t="shared" si="19"/>
        <v>45452064</v>
      </c>
      <c r="M335" s="36">
        <v>600</v>
      </c>
      <c r="N335" s="37">
        <v>815268</v>
      </c>
      <c r="O335" s="37">
        <v>0</v>
      </c>
      <c r="P335" s="37">
        <v>8870</v>
      </c>
      <c r="Q335" s="37">
        <v>47272</v>
      </c>
      <c r="R335" s="37">
        <v>34047</v>
      </c>
      <c r="S335" s="37">
        <v>343435</v>
      </c>
      <c r="T335" s="37"/>
      <c r="U335" s="37">
        <v>557750</v>
      </c>
      <c r="V335" s="37">
        <v>0</v>
      </c>
      <c r="W335" s="45">
        <f t="shared" si="20"/>
        <v>1806642</v>
      </c>
      <c r="X335" s="46">
        <f t="shared" si="21"/>
        <v>3.9748293938862713</v>
      </c>
    </row>
    <row r="336" spans="1:24" s="4" customFormat="1" ht="15" customHeight="1">
      <c r="A336" s="28" t="s">
        <v>63</v>
      </c>
      <c r="B336" s="29">
        <v>3169.6</v>
      </c>
      <c r="C336" s="30" t="s">
        <v>586</v>
      </c>
      <c r="D336" s="2">
        <v>4947275284</v>
      </c>
      <c r="E336" s="2" t="s">
        <v>33</v>
      </c>
      <c r="F336" s="78" t="s">
        <v>587</v>
      </c>
      <c r="G336" s="28" t="s">
        <v>5</v>
      </c>
      <c r="H336" s="2" t="s">
        <v>20</v>
      </c>
      <c r="I336" s="2">
        <v>1</v>
      </c>
      <c r="J336" s="2" t="s">
        <v>588</v>
      </c>
      <c r="K336" s="2">
        <v>14184</v>
      </c>
      <c r="L336" s="35">
        <f t="shared" si="19"/>
        <v>44957606.399999999</v>
      </c>
      <c r="M336" s="36">
        <v>24000</v>
      </c>
      <c r="N336" s="37">
        <v>592284</v>
      </c>
      <c r="O336" s="50">
        <v>295463</v>
      </c>
      <c r="P336" s="50">
        <v>216010</v>
      </c>
      <c r="Q336" s="50">
        <v>103726</v>
      </c>
      <c r="R336" s="37">
        <v>1113066</v>
      </c>
      <c r="S336" s="37">
        <v>343435</v>
      </c>
      <c r="T336" s="37"/>
      <c r="U336" s="37">
        <v>5304500</v>
      </c>
      <c r="V336" s="37">
        <v>0</v>
      </c>
      <c r="W336" s="45">
        <f t="shared" si="20"/>
        <v>7968484</v>
      </c>
      <c r="X336" s="46">
        <f t="shared" si="21"/>
        <v>17.724440062716507</v>
      </c>
    </row>
    <row r="337" spans="1:24" s="4" customFormat="1" ht="15" customHeight="1">
      <c r="A337" s="28" t="s">
        <v>63</v>
      </c>
      <c r="B337" s="29">
        <v>3169.6</v>
      </c>
      <c r="C337" s="30" t="s">
        <v>589</v>
      </c>
      <c r="D337" s="2">
        <v>4947413842</v>
      </c>
      <c r="E337" s="2" t="s">
        <v>18</v>
      </c>
      <c r="F337" s="78" t="s">
        <v>590</v>
      </c>
      <c r="G337" s="28" t="s">
        <v>9</v>
      </c>
      <c r="H337" s="2" t="s">
        <v>23</v>
      </c>
      <c r="I337" s="2">
        <v>1</v>
      </c>
      <c r="J337" s="2"/>
      <c r="K337" s="2">
        <v>1458</v>
      </c>
      <c r="L337" s="35">
        <f t="shared" si="19"/>
        <v>4621276.8</v>
      </c>
      <c r="M337" s="36">
        <v>600</v>
      </c>
      <c r="N337" s="37">
        <v>485968</v>
      </c>
      <c r="O337" s="37">
        <v>819</v>
      </c>
      <c r="P337" s="37">
        <v>33403</v>
      </c>
      <c r="Q337" s="37">
        <v>9698</v>
      </c>
      <c r="R337" s="37">
        <v>386977</v>
      </c>
      <c r="S337" s="37">
        <v>343435</v>
      </c>
      <c r="T337" s="40">
        <v>30000</v>
      </c>
      <c r="U337" s="37">
        <v>770030.76923076902</v>
      </c>
      <c r="V337" s="37">
        <v>0</v>
      </c>
      <c r="W337" s="45">
        <f t="shared" si="20"/>
        <v>2060330.769230769</v>
      </c>
      <c r="X337" s="46">
        <f t="shared" si="21"/>
        <v>44.583582814835268</v>
      </c>
    </row>
    <row r="338" spans="1:24" s="4" customFormat="1" ht="15" customHeight="1">
      <c r="A338" s="28" t="s">
        <v>63</v>
      </c>
      <c r="B338" s="29">
        <v>3169.6</v>
      </c>
      <c r="C338" s="30" t="s">
        <v>591</v>
      </c>
      <c r="D338" s="2">
        <v>4947917133</v>
      </c>
      <c r="E338" s="2" t="s">
        <v>14</v>
      </c>
      <c r="F338" s="2" t="s">
        <v>592</v>
      </c>
      <c r="G338" s="28" t="s">
        <v>9</v>
      </c>
      <c r="H338" s="2" t="s">
        <v>23</v>
      </c>
      <c r="I338" s="2">
        <v>3</v>
      </c>
      <c r="J338" s="2"/>
      <c r="K338" s="2">
        <v>4312</v>
      </c>
      <c r="L338" s="35">
        <f t="shared" si="19"/>
        <v>13667315.199999999</v>
      </c>
      <c r="M338" s="36">
        <v>800</v>
      </c>
      <c r="N338" s="37">
        <v>328148</v>
      </c>
      <c r="O338" s="37">
        <v>567</v>
      </c>
      <c r="P338" s="37">
        <v>90174</v>
      </c>
      <c r="Q338" s="37">
        <v>13894</v>
      </c>
      <c r="R338" s="37">
        <v>120136</v>
      </c>
      <c r="S338" s="37">
        <v>343435</v>
      </c>
      <c r="T338" s="40">
        <v>30000</v>
      </c>
      <c r="U338" s="37">
        <v>430554.83870967699</v>
      </c>
      <c r="V338" s="37">
        <v>0</v>
      </c>
      <c r="W338" s="45">
        <f t="shared" si="20"/>
        <v>1356908.8387096771</v>
      </c>
      <c r="X338" s="46">
        <f t="shared" si="21"/>
        <v>9.9281301327540703</v>
      </c>
    </row>
    <row r="339" spans="1:24" s="4" customFormat="1" ht="15" customHeight="1">
      <c r="A339" s="28" t="s">
        <v>63</v>
      </c>
      <c r="B339" s="29">
        <v>3169.6</v>
      </c>
      <c r="C339" s="30" t="s">
        <v>593</v>
      </c>
      <c r="D339" s="2">
        <v>4948116656</v>
      </c>
      <c r="E339" s="2" t="s">
        <v>24</v>
      </c>
      <c r="F339" s="2" t="s">
        <v>594</v>
      </c>
      <c r="G339" s="28" t="s">
        <v>9</v>
      </c>
      <c r="H339" s="2" t="s">
        <v>23</v>
      </c>
      <c r="I339" s="2">
        <v>6</v>
      </c>
      <c r="J339" s="2"/>
      <c r="K339" s="2">
        <v>24343.200000000001</v>
      </c>
      <c r="L339" s="35">
        <f t="shared" si="19"/>
        <v>77158206.719999999</v>
      </c>
      <c r="M339" s="36">
        <v>5520</v>
      </c>
      <c r="N339" s="37">
        <v>1088111</v>
      </c>
      <c r="O339" s="37">
        <v>3813</v>
      </c>
      <c r="P339" s="37">
        <v>400153</v>
      </c>
      <c r="Q339" s="37">
        <v>117090</v>
      </c>
      <c r="R339" s="37">
        <v>207999</v>
      </c>
      <c r="S339" s="37">
        <v>343435</v>
      </c>
      <c r="T339" s="37"/>
      <c r="U339" s="37">
        <v>368600</v>
      </c>
      <c r="V339" s="37">
        <v>0</v>
      </c>
      <c r="W339" s="45">
        <f t="shared" si="20"/>
        <v>2529201</v>
      </c>
      <c r="X339" s="46">
        <f t="shared" si="21"/>
        <v>3.2779416571697118</v>
      </c>
    </row>
    <row r="340" spans="1:24" s="4" customFormat="1" ht="15" customHeight="1">
      <c r="A340" s="28" t="s">
        <v>63</v>
      </c>
      <c r="B340" s="29">
        <v>3169.6</v>
      </c>
      <c r="C340" s="30" t="s">
        <v>595</v>
      </c>
      <c r="D340" s="2">
        <v>4947777434</v>
      </c>
      <c r="E340" s="2" t="s">
        <v>36</v>
      </c>
      <c r="F340" s="2" t="s">
        <v>596</v>
      </c>
      <c r="G340" s="28" t="s">
        <v>5</v>
      </c>
      <c r="H340" s="2" t="s">
        <v>26</v>
      </c>
      <c r="I340" s="2">
        <v>4</v>
      </c>
      <c r="J340" s="2" t="s">
        <v>597</v>
      </c>
      <c r="K340" s="2">
        <v>79597</v>
      </c>
      <c r="L340" s="35">
        <f t="shared" si="19"/>
        <v>252290651.19999999</v>
      </c>
      <c r="M340" s="36">
        <v>87470</v>
      </c>
      <c r="N340" s="37">
        <v>0</v>
      </c>
      <c r="O340" s="37">
        <v>1945300</v>
      </c>
      <c r="P340" s="37">
        <v>7727526</v>
      </c>
      <c r="Q340" s="37">
        <v>496548</v>
      </c>
      <c r="R340" s="37">
        <v>3347880</v>
      </c>
      <c r="S340" s="37">
        <v>343435</v>
      </c>
      <c r="T340" s="37"/>
      <c r="U340" s="37">
        <v>0</v>
      </c>
      <c r="V340" s="37">
        <v>0</v>
      </c>
      <c r="W340" s="45">
        <f t="shared" si="20"/>
        <v>13860689</v>
      </c>
      <c r="X340" s="46">
        <f t="shared" si="21"/>
        <v>5.4939368280484269</v>
      </c>
    </row>
    <row r="341" spans="1:24" s="4" customFormat="1" ht="15" customHeight="1">
      <c r="A341" s="28" t="s">
        <v>63</v>
      </c>
      <c r="B341" s="29">
        <v>3169.6</v>
      </c>
      <c r="C341" s="30" t="s">
        <v>598</v>
      </c>
      <c r="D341" s="2">
        <v>4947914150</v>
      </c>
      <c r="E341" s="2" t="s">
        <v>21</v>
      </c>
      <c r="F341" s="78" t="s">
        <v>599</v>
      </c>
      <c r="G341" s="28" t="s">
        <v>5</v>
      </c>
      <c r="H341" s="2" t="s">
        <v>20</v>
      </c>
      <c r="I341" s="2">
        <v>4</v>
      </c>
      <c r="J341" s="2" t="s">
        <v>600</v>
      </c>
      <c r="K341" s="2">
        <f>7434+14868+3717+18585+22302+22302</f>
        <v>89208</v>
      </c>
      <c r="L341" s="35">
        <f t="shared" si="19"/>
        <v>282753676.80000001</v>
      </c>
      <c r="M341" s="36">
        <f>6300+12600+3150+15750+18900+18900</f>
        <v>75600</v>
      </c>
      <c r="N341" s="37">
        <v>1909074</v>
      </c>
      <c r="O341" s="50">
        <v>1189946</v>
      </c>
      <c r="P341" s="50">
        <v>869959</v>
      </c>
      <c r="Q341" s="50">
        <v>417747</v>
      </c>
      <c r="R341" s="37">
        <v>2715481</v>
      </c>
      <c r="S341" s="37">
        <v>343435</v>
      </c>
      <c r="T341" s="37"/>
      <c r="U341" s="37">
        <v>9165600</v>
      </c>
      <c r="V341" s="37">
        <v>0</v>
      </c>
      <c r="W341" s="45">
        <f t="shared" si="20"/>
        <v>16611242</v>
      </c>
      <c r="X341" s="46">
        <f t="shared" si="21"/>
        <v>5.8748102546336192</v>
      </c>
    </row>
    <row r="342" spans="1:24" s="4" customFormat="1" ht="15" customHeight="1">
      <c r="A342" s="28" t="s">
        <v>63</v>
      </c>
      <c r="B342" s="29">
        <v>3169.6</v>
      </c>
      <c r="C342" s="30" t="s">
        <v>601</v>
      </c>
      <c r="D342" s="2">
        <v>4947823570</v>
      </c>
      <c r="E342" s="2" t="s">
        <v>24</v>
      </c>
      <c r="F342" s="78" t="s">
        <v>602</v>
      </c>
      <c r="G342" s="28" t="s">
        <v>5</v>
      </c>
      <c r="H342" s="2" t="s">
        <v>26</v>
      </c>
      <c r="I342" s="2">
        <v>2</v>
      </c>
      <c r="J342" s="2" t="s">
        <v>603</v>
      </c>
      <c r="K342" s="2">
        <v>71392.800000000003</v>
      </c>
      <c r="L342" s="35">
        <f t="shared" si="19"/>
        <v>226286618.88</v>
      </c>
      <c r="M342" s="36">
        <f>23460+23820</f>
        <v>47280</v>
      </c>
      <c r="N342" s="37">
        <v>320895.88324873103</v>
      </c>
      <c r="O342" s="37">
        <v>786002</v>
      </c>
      <c r="P342" s="37">
        <v>1077317.13959391</v>
      </c>
      <c r="Q342" s="37">
        <v>216151</v>
      </c>
      <c r="R342" s="37">
        <v>577714.904822335</v>
      </c>
      <c r="S342" s="37">
        <v>170410.006345178</v>
      </c>
      <c r="T342" s="37"/>
      <c r="U342" s="37">
        <v>0</v>
      </c>
      <c r="V342" s="37">
        <v>0</v>
      </c>
      <c r="W342" s="45">
        <f t="shared" si="20"/>
        <v>3148490.9340101541</v>
      </c>
      <c r="X342" s="46">
        <f t="shared" si="21"/>
        <v>1.3913730072036659</v>
      </c>
    </row>
    <row r="343" spans="1:24" s="4" customFormat="1" ht="15" customHeight="1">
      <c r="A343" s="28" t="s">
        <v>63</v>
      </c>
      <c r="B343" s="29">
        <v>3169.6</v>
      </c>
      <c r="C343" s="30" t="s">
        <v>604</v>
      </c>
      <c r="D343" s="2">
        <v>4947974427</v>
      </c>
      <c r="E343" s="2" t="s">
        <v>24</v>
      </c>
      <c r="F343" s="78" t="s">
        <v>605</v>
      </c>
      <c r="G343" s="28" t="s">
        <v>5</v>
      </c>
      <c r="H343" s="2" t="s">
        <v>26</v>
      </c>
      <c r="I343" s="2">
        <v>1</v>
      </c>
      <c r="J343" s="2" t="s">
        <v>606</v>
      </c>
      <c r="K343" s="2">
        <v>33043.85</v>
      </c>
      <c r="L343" s="35">
        <f t="shared" si="19"/>
        <v>104735786.95999999</v>
      </c>
      <c r="M343" s="36">
        <v>24845</v>
      </c>
      <c r="N343" s="40">
        <v>0</v>
      </c>
      <c r="O343" s="37">
        <v>394797.16424828698</v>
      </c>
      <c r="P343" s="37">
        <v>226095.508464329</v>
      </c>
      <c r="Q343" s="37">
        <v>108568.944780331</v>
      </c>
      <c r="R343" s="40">
        <f>580041.123740427+200000</f>
        <v>780041.12374042696</v>
      </c>
      <c r="S343" s="40">
        <v>171959.74556630399</v>
      </c>
      <c r="T343" s="51"/>
      <c r="U343" s="40">
        <v>0</v>
      </c>
      <c r="V343" s="40">
        <v>0</v>
      </c>
      <c r="W343" s="45">
        <f t="shared" si="20"/>
        <v>1681462.4867996781</v>
      </c>
      <c r="X343" s="46">
        <f t="shared" si="21"/>
        <v>1.605432618214681</v>
      </c>
    </row>
    <row r="344" spans="1:24" s="4" customFormat="1" ht="15" customHeight="1">
      <c r="A344" s="28" t="s">
        <v>63</v>
      </c>
      <c r="B344" s="29">
        <v>3169.6</v>
      </c>
      <c r="C344" s="30" t="s">
        <v>604</v>
      </c>
      <c r="D344" s="2">
        <v>4947976009</v>
      </c>
      <c r="E344" s="2" t="s">
        <v>24</v>
      </c>
      <c r="F344" s="78" t="s">
        <v>605</v>
      </c>
      <c r="G344" s="28" t="s">
        <v>5</v>
      </c>
      <c r="H344" s="2" t="s">
        <v>26</v>
      </c>
      <c r="I344" s="2">
        <v>1</v>
      </c>
      <c r="J344" s="2" t="s">
        <v>607</v>
      </c>
      <c r="K344" s="2">
        <v>32950.75</v>
      </c>
      <c r="L344" s="35">
        <f t="shared" si="19"/>
        <v>104440697.2</v>
      </c>
      <c r="M344" s="36">
        <v>24775</v>
      </c>
      <c r="N344" s="40">
        <v>0</v>
      </c>
      <c r="O344" s="37">
        <v>393684.83575171302</v>
      </c>
      <c r="P344" s="37">
        <v>225458.491535671</v>
      </c>
      <c r="Q344" s="37">
        <v>108263.055219669</v>
      </c>
      <c r="R344" s="40">
        <f>578406.876259573+200000</f>
        <v>778406.87625957304</v>
      </c>
      <c r="S344" s="40">
        <v>171475.25443369601</v>
      </c>
      <c r="T344" s="51"/>
      <c r="U344" s="40">
        <v>0</v>
      </c>
      <c r="V344" s="40">
        <v>0</v>
      </c>
      <c r="W344" s="45">
        <f t="shared" si="20"/>
        <v>1677288.5132003219</v>
      </c>
      <c r="X344" s="46">
        <f t="shared" si="21"/>
        <v>1.6059721527790813</v>
      </c>
    </row>
    <row r="345" spans="1:24" s="4" customFormat="1" ht="15" customHeight="1">
      <c r="A345" s="28" t="s">
        <v>63</v>
      </c>
      <c r="B345" s="29">
        <v>3169.6</v>
      </c>
      <c r="C345" s="30" t="s">
        <v>608</v>
      </c>
      <c r="D345" s="2">
        <v>4947782377</v>
      </c>
      <c r="E345" s="2" t="s">
        <v>36</v>
      </c>
      <c r="F345" s="78" t="s">
        <v>609</v>
      </c>
      <c r="G345" s="28" t="s">
        <v>5</v>
      </c>
      <c r="H345" s="2" t="s">
        <v>20</v>
      </c>
      <c r="I345" s="2">
        <v>1</v>
      </c>
      <c r="J345" s="2" t="s">
        <v>610</v>
      </c>
      <c r="K345" s="2">
        <v>27451.200000000001</v>
      </c>
      <c r="L345" s="35">
        <f t="shared" si="19"/>
        <v>87009323.519999996</v>
      </c>
      <c r="M345" s="36">
        <v>16800</v>
      </c>
      <c r="N345" s="37">
        <v>319921</v>
      </c>
      <c r="O345" s="50">
        <v>295463</v>
      </c>
      <c r="P345" s="50">
        <v>135778</v>
      </c>
      <c r="Q345" s="50">
        <v>103726</v>
      </c>
      <c r="R345" s="37">
        <v>584697</v>
      </c>
      <c r="S345" s="37">
        <v>343435</v>
      </c>
      <c r="T345" s="37"/>
      <c r="U345" s="37">
        <v>2291400</v>
      </c>
      <c r="V345" s="37">
        <v>0</v>
      </c>
      <c r="W345" s="45">
        <f t="shared" si="20"/>
        <v>4074420</v>
      </c>
      <c r="X345" s="46">
        <f t="shared" si="21"/>
        <v>4.6827395446459859</v>
      </c>
    </row>
    <row r="346" spans="1:24" s="4" customFormat="1" ht="15" customHeight="1">
      <c r="A346" s="28" t="s">
        <v>63</v>
      </c>
      <c r="B346" s="29">
        <v>3169.6</v>
      </c>
      <c r="C346" s="30" t="s">
        <v>611</v>
      </c>
      <c r="D346" s="2">
        <v>4948390630</v>
      </c>
      <c r="E346" s="2" t="s">
        <v>21</v>
      </c>
      <c r="F346" s="78" t="s">
        <v>612</v>
      </c>
      <c r="G346" s="28" t="s">
        <v>5</v>
      </c>
      <c r="H346" s="2" t="s">
        <v>20</v>
      </c>
      <c r="I346" s="2">
        <v>1</v>
      </c>
      <c r="J346" s="2" t="s">
        <v>613</v>
      </c>
      <c r="K346" s="2">
        <v>24570</v>
      </c>
      <c r="L346" s="35">
        <f t="shared" si="19"/>
        <v>77877072</v>
      </c>
      <c r="M346" s="36">
        <v>12600</v>
      </c>
      <c r="N346" s="37">
        <v>464922</v>
      </c>
      <c r="O346" s="50">
        <v>295463</v>
      </c>
      <c r="P346" s="50">
        <v>135778</v>
      </c>
      <c r="Q346" s="50">
        <v>103726</v>
      </c>
      <c r="R346" s="37">
        <v>673786</v>
      </c>
      <c r="S346" s="37">
        <v>343435</v>
      </c>
      <c r="T346" s="37"/>
      <c r="U346" s="37">
        <v>2097400</v>
      </c>
      <c r="V346" s="37">
        <v>0</v>
      </c>
      <c r="W346" s="45">
        <f t="shared" si="20"/>
        <v>4114510</v>
      </c>
      <c r="X346" s="46">
        <f t="shared" si="21"/>
        <v>5.2833393633494588</v>
      </c>
    </row>
    <row r="347" spans="1:24" s="4" customFormat="1" ht="15" customHeight="1">
      <c r="A347" s="28" t="s">
        <v>63</v>
      </c>
      <c r="B347" s="29">
        <v>3169.6</v>
      </c>
      <c r="C347" s="30" t="s">
        <v>614</v>
      </c>
      <c r="D347" s="2">
        <v>4947199109</v>
      </c>
      <c r="E347" s="2" t="s">
        <v>24</v>
      </c>
      <c r="F347" s="2" t="s">
        <v>615</v>
      </c>
      <c r="G347" s="28" t="s">
        <v>9</v>
      </c>
      <c r="H347" s="2" t="s">
        <v>23</v>
      </c>
      <c r="I347" s="2">
        <v>4</v>
      </c>
      <c r="J347" s="2"/>
      <c r="K347" s="2">
        <v>7803.23</v>
      </c>
      <c r="L347" s="35">
        <f t="shared" si="19"/>
        <v>24733117.807999998</v>
      </c>
      <c r="M347" s="36">
        <v>3483.5839999999998</v>
      </c>
      <c r="N347" s="37">
        <v>878819</v>
      </c>
      <c r="O347" s="37">
        <v>0</v>
      </c>
      <c r="P347" s="37">
        <v>182502</v>
      </c>
      <c r="Q347" s="37">
        <v>91444</v>
      </c>
      <c r="R347" s="37">
        <v>149341</v>
      </c>
      <c r="S347" s="37">
        <v>343435</v>
      </c>
      <c r="T347" s="37"/>
      <c r="U347" s="37">
        <v>557750</v>
      </c>
      <c r="V347" s="37">
        <v>0</v>
      </c>
      <c r="W347" s="45">
        <f t="shared" si="20"/>
        <v>2203291</v>
      </c>
      <c r="X347" s="46">
        <f t="shared" si="21"/>
        <v>8.9082622623797931</v>
      </c>
    </row>
    <row r="348" spans="1:24" s="4" customFormat="1" ht="15" customHeight="1">
      <c r="A348" s="28" t="s">
        <v>63</v>
      </c>
      <c r="B348" s="29">
        <v>3169.6</v>
      </c>
      <c r="C348" s="30" t="s">
        <v>616</v>
      </c>
      <c r="D348" s="2">
        <v>4947978373</v>
      </c>
      <c r="E348" s="2" t="s">
        <v>18</v>
      </c>
      <c r="F348" s="2" t="s">
        <v>617</v>
      </c>
      <c r="G348" s="28" t="s">
        <v>5</v>
      </c>
      <c r="H348" s="2" t="s">
        <v>20</v>
      </c>
      <c r="I348" s="2">
        <v>1</v>
      </c>
      <c r="J348" s="2" t="s">
        <v>618</v>
      </c>
      <c r="K348" s="2">
        <v>28478</v>
      </c>
      <c r="L348" s="35">
        <f t="shared" si="19"/>
        <v>90263868.799999997</v>
      </c>
      <c r="M348" s="36">
        <v>2900</v>
      </c>
      <c r="N348" s="40">
        <v>282204.31413612602</v>
      </c>
      <c r="O348" s="50">
        <v>193866.97382198999</v>
      </c>
      <c r="P348" s="53">
        <v>0</v>
      </c>
      <c r="Q348" s="50">
        <v>60313.319371727703</v>
      </c>
      <c r="R348" s="40">
        <v>381777.89528795797</v>
      </c>
      <c r="S348" s="40">
        <v>208578.32460733</v>
      </c>
      <c r="T348" s="40">
        <v>30000</v>
      </c>
      <c r="U348" s="40">
        <v>1286931.93717277</v>
      </c>
      <c r="V348" s="40">
        <v>0</v>
      </c>
      <c r="W348" s="45">
        <f t="shared" si="20"/>
        <v>2443672.7643979015</v>
      </c>
      <c r="X348" s="46">
        <f t="shared" si="21"/>
        <v>2.7072546267791942</v>
      </c>
    </row>
    <row r="349" spans="1:24" s="4" customFormat="1" ht="15" customHeight="1">
      <c r="A349" s="28" t="s">
        <v>63</v>
      </c>
      <c r="B349" s="29">
        <v>3169.6</v>
      </c>
      <c r="C349" s="30" t="s">
        <v>616</v>
      </c>
      <c r="D349" s="2">
        <v>4947975511</v>
      </c>
      <c r="E349" s="2" t="s">
        <v>14</v>
      </c>
      <c r="F349" s="2" t="s">
        <v>617</v>
      </c>
      <c r="G349" s="28" t="s">
        <v>5</v>
      </c>
      <c r="H349" s="2" t="s">
        <v>20</v>
      </c>
      <c r="I349" s="2">
        <v>1</v>
      </c>
      <c r="J349" s="2" t="s">
        <v>618</v>
      </c>
      <c r="K349" s="2">
        <v>7197</v>
      </c>
      <c r="L349" s="35">
        <f t="shared" si="19"/>
        <v>22811611.199999999</v>
      </c>
      <c r="M349" s="36">
        <v>150</v>
      </c>
      <c r="N349" s="40">
        <v>14596.7748691099</v>
      </c>
      <c r="O349" s="50">
        <v>10027.602094240799</v>
      </c>
      <c r="P349" s="53">
        <v>0</v>
      </c>
      <c r="Q349" s="50">
        <v>3119.6544502617799</v>
      </c>
      <c r="R349" s="40">
        <f>13464.4083769634+6283</f>
        <v>19747.408376963402</v>
      </c>
      <c r="S349" s="40">
        <v>10788.534031413599</v>
      </c>
      <c r="T349" s="40">
        <v>30000</v>
      </c>
      <c r="U349" s="40">
        <v>66565.445026178</v>
      </c>
      <c r="V349" s="40">
        <v>0</v>
      </c>
      <c r="W349" s="45">
        <f t="shared" si="20"/>
        <v>154845.41884816746</v>
      </c>
      <c r="X349" s="46">
        <f t="shared" si="21"/>
        <v>0.67880088561288243</v>
      </c>
    </row>
    <row r="350" spans="1:24" s="4" customFormat="1" ht="15" customHeight="1">
      <c r="A350" s="28" t="s">
        <v>63</v>
      </c>
      <c r="B350" s="29">
        <v>3169.6</v>
      </c>
      <c r="C350" s="30" t="s">
        <v>616</v>
      </c>
      <c r="D350" s="2">
        <v>4947917135</v>
      </c>
      <c r="E350" s="2" t="s">
        <v>14</v>
      </c>
      <c r="F350" s="2" t="s">
        <v>617</v>
      </c>
      <c r="G350" s="28" t="s">
        <v>5</v>
      </c>
      <c r="H350" s="2" t="s">
        <v>20</v>
      </c>
      <c r="I350" s="2">
        <v>1</v>
      </c>
      <c r="J350" s="2" t="s">
        <v>618</v>
      </c>
      <c r="K350" s="2">
        <v>36966.75</v>
      </c>
      <c r="L350" s="35">
        <f t="shared" si="19"/>
        <v>117169810.8</v>
      </c>
      <c r="M350" s="36">
        <v>1725</v>
      </c>
      <c r="N350" s="40">
        <v>167862.91099476401</v>
      </c>
      <c r="O350" s="50">
        <v>115317.42408377001</v>
      </c>
      <c r="P350" s="53">
        <v>0</v>
      </c>
      <c r="Q350" s="50">
        <v>35876.026178010499</v>
      </c>
      <c r="R350" s="40">
        <f>154840.696335079+72251</f>
        <v>227091.696335079</v>
      </c>
      <c r="S350" s="40">
        <v>124068.141361257</v>
      </c>
      <c r="T350" s="40">
        <v>30000</v>
      </c>
      <c r="U350" s="40">
        <v>765502.61780104705</v>
      </c>
      <c r="V350" s="40">
        <v>0</v>
      </c>
      <c r="W350" s="45">
        <f t="shared" si="20"/>
        <v>1465718.8167539276</v>
      </c>
      <c r="X350" s="46">
        <f t="shared" si="21"/>
        <v>1.2509355496492169</v>
      </c>
    </row>
    <row r="351" spans="1:24" s="4" customFormat="1" ht="15" customHeight="1">
      <c r="A351" s="28" t="s">
        <v>63</v>
      </c>
      <c r="B351" s="29">
        <v>3169.6</v>
      </c>
      <c r="C351" s="30" t="s">
        <v>619</v>
      </c>
      <c r="D351" s="2">
        <v>4947915815</v>
      </c>
      <c r="E351" s="2" t="s">
        <v>14</v>
      </c>
      <c r="F351" s="2" t="s">
        <v>620</v>
      </c>
      <c r="G351" s="28" t="s">
        <v>9</v>
      </c>
      <c r="H351" s="2" t="s">
        <v>23</v>
      </c>
      <c r="I351" s="2">
        <v>1</v>
      </c>
      <c r="J351" s="2"/>
      <c r="K351" s="2">
        <v>4319.6400000000003</v>
      </c>
      <c r="L351" s="35">
        <f t="shared" si="19"/>
        <v>13691530.944</v>
      </c>
      <c r="M351" s="36">
        <v>852</v>
      </c>
      <c r="N351" s="37">
        <v>583021</v>
      </c>
      <c r="O351" s="37">
        <v>596</v>
      </c>
      <c r="P351" s="37">
        <v>0</v>
      </c>
      <c r="Q351" s="37">
        <v>14635</v>
      </c>
      <c r="R351" s="37">
        <v>95283</v>
      </c>
      <c r="S351" s="37">
        <v>343435</v>
      </c>
      <c r="T351" s="40">
        <v>30000</v>
      </c>
      <c r="U351" s="37">
        <v>1367700</v>
      </c>
      <c r="V351" s="37">
        <v>0</v>
      </c>
      <c r="W351" s="45">
        <f t="shared" si="20"/>
        <v>2434670</v>
      </c>
      <c r="X351" s="46">
        <f t="shared" si="21"/>
        <v>17.78230652187905</v>
      </c>
    </row>
    <row r="352" spans="1:24" s="4" customFormat="1" ht="15" customHeight="1">
      <c r="A352" s="28" t="s">
        <v>63</v>
      </c>
      <c r="B352" s="29">
        <v>3169.6</v>
      </c>
      <c r="C352" s="30" t="s">
        <v>621</v>
      </c>
      <c r="D352" s="2">
        <v>4947092285</v>
      </c>
      <c r="E352" s="2" t="s">
        <v>14</v>
      </c>
      <c r="F352" s="2" t="s">
        <v>622</v>
      </c>
      <c r="G352" s="28" t="s">
        <v>5</v>
      </c>
      <c r="H352" s="2" t="s">
        <v>20</v>
      </c>
      <c r="I352" s="2">
        <v>1</v>
      </c>
      <c r="J352" s="2" t="s">
        <v>623</v>
      </c>
      <c r="K352" s="2">
        <v>25612</v>
      </c>
      <c r="L352" s="35">
        <f t="shared" si="19"/>
        <v>81179795.200000003</v>
      </c>
      <c r="M352" s="36">
        <v>7600</v>
      </c>
      <c r="N352" s="37">
        <v>328475</v>
      </c>
      <c r="O352" s="50">
        <v>319212</v>
      </c>
      <c r="P352" s="50">
        <v>107996</v>
      </c>
      <c r="Q352" s="50">
        <v>99309</v>
      </c>
      <c r="R352" s="37">
        <v>633123</v>
      </c>
      <c r="S352" s="37">
        <v>343435</v>
      </c>
      <c r="T352" s="40">
        <v>30000</v>
      </c>
      <c r="U352" s="37">
        <v>2601700</v>
      </c>
      <c r="V352" s="37">
        <v>0</v>
      </c>
      <c r="W352" s="45">
        <f t="shared" si="20"/>
        <v>4463250</v>
      </c>
      <c r="X352" s="46">
        <f t="shared" si="21"/>
        <v>5.4979813499209218</v>
      </c>
    </row>
    <row r="353" spans="1:24" s="4" customFormat="1" ht="15" customHeight="1">
      <c r="A353" s="28" t="s">
        <v>63</v>
      </c>
      <c r="B353" s="29">
        <v>3169.6</v>
      </c>
      <c r="C353" s="30" t="s">
        <v>624</v>
      </c>
      <c r="D353" s="2">
        <v>4947642971</v>
      </c>
      <c r="E353" s="2" t="s">
        <v>14</v>
      </c>
      <c r="F353" s="2" t="s">
        <v>625</v>
      </c>
      <c r="G353" s="28" t="s">
        <v>9</v>
      </c>
      <c r="H353" s="2" t="s">
        <v>23</v>
      </c>
      <c r="I353" s="2">
        <v>38</v>
      </c>
      <c r="J353" s="2"/>
      <c r="K353" s="2">
        <v>10410</v>
      </c>
      <c r="L353" s="35">
        <f t="shared" si="19"/>
        <v>32995536</v>
      </c>
      <c r="M353" s="36">
        <v>300</v>
      </c>
      <c r="N353" s="40">
        <v>46660.597103162901</v>
      </c>
      <c r="O353" s="37">
        <v>201.211942063257</v>
      </c>
      <c r="P353" s="40">
        <v>43635.128584097001</v>
      </c>
      <c r="Q353" s="37">
        <v>4909.1279929057</v>
      </c>
      <c r="R353" s="40">
        <v>7401.37156370086</v>
      </c>
      <c r="S353" s="40">
        <v>6091.0730121194201</v>
      </c>
      <c r="T353" s="40">
        <v>30000</v>
      </c>
      <c r="U353" s="40">
        <v>147951.52231746999</v>
      </c>
      <c r="V353" s="40">
        <v>0</v>
      </c>
      <c r="W353" s="45">
        <f t="shared" si="20"/>
        <v>286850.03251551912</v>
      </c>
      <c r="X353" s="46">
        <f t="shared" si="21"/>
        <v>0.8693601234891869</v>
      </c>
    </row>
    <row r="354" spans="1:24" s="4" customFormat="1" ht="15" customHeight="1">
      <c r="A354" s="28" t="s">
        <v>63</v>
      </c>
      <c r="B354" s="29">
        <v>3169.6</v>
      </c>
      <c r="C354" s="30" t="s">
        <v>624</v>
      </c>
      <c r="D354" s="2">
        <v>4947917135</v>
      </c>
      <c r="E354" s="2" t="s">
        <v>14</v>
      </c>
      <c r="F354" s="2" t="s">
        <v>625</v>
      </c>
      <c r="G354" s="28" t="s">
        <v>9</v>
      </c>
      <c r="H354" s="2" t="s">
        <v>23</v>
      </c>
      <c r="I354" s="2">
        <v>38</v>
      </c>
      <c r="J354" s="2"/>
      <c r="K354" s="2">
        <v>7686</v>
      </c>
      <c r="L354" s="35">
        <f t="shared" si="19"/>
        <v>24361545.599999998</v>
      </c>
      <c r="M354" s="36">
        <v>1575</v>
      </c>
      <c r="N354" s="40">
        <v>244968.134791605</v>
      </c>
      <c r="O354" s="37">
        <v>1056.3626958320999</v>
      </c>
      <c r="P354" s="40">
        <v>229084.42506650899</v>
      </c>
      <c r="Q354" s="37">
        <v>25772.921962755001</v>
      </c>
      <c r="R354" s="40">
        <v>38857.200709429497</v>
      </c>
      <c r="S354" s="40">
        <v>31978.133313627</v>
      </c>
      <c r="T354" s="40">
        <v>30000</v>
      </c>
      <c r="U354" s="40">
        <v>776745.49216671602</v>
      </c>
      <c r="V354" s="40">
        <v>0</v>
      </c>
      <c r="W354" s="45">
        <f t="shared" si="20"/>
        <v>1378462.6707064735</v>
      </c>
      <c r="X354" s="46">
        <f t="shared" si="21"/>
        <v>5.658354742100081</v>
      </c>
    </row>
    <row r="355" spans="1:24" s="4" customFormat="1" ht="15" customHeight="1">
      <c r="A355" s="28" t="s">
        <v>63</v>
      </c>
      <c r="B355" s="29">
        <v>3169.6</v>
      </c>
      <c r="C355" s="30" t="s">
        <v>624</v>
      </c>
      <c r="D355" s="2">
        <v>4947917137</v>
      </c>
      <c r="E355" s="2" t="s">
        <v>14</v>
      </c>
      <c r="F355" s="2" t="s">
        <v>625</v>
      </c>
      <c r="G355" s="28" t="s">
        <v>9</v>
      </c>
      <c r="H355" s="2" t="s">
        <v>23</v>
      </c>
      <c r="I355" s="2">
        <v>38</v>
      </c>
      <c r="J355" s="2"/>
      <c r="K355" s="2">
        <v>4416</v>
      </c>
      <c r="L355" s="35">
        <f t="shared" si="19"/>
        <v>13996953.6</v>
      </c>
      <c r="M355" s="36">
        <v>1600</v>
      </c>
      <c r="N355" s="40">
        <v>248856.51788353501</v>
      </c>
      <c r="O355" s="37">
        <v>1073.1303576707101</v>
      </c>
      <c r="P355" s="40">
        <v>232720.68578185001</v>
      </c>
      <c r="Q355" s="37">
        <v>26182.015962163801</v>
      </c>
      <c r="R355" s="40">
        <v>39473.981673071197</v>
      </c>
      <c r="S355" s="40">
        <v>32485.722731303598</v>
      </c>
      <c r="T355" s="40">
        <v>30000</v>
      </c>
      <c r="U355" s="40">
        <v>789074.78569317202</v>
      </c>
      <c r="V355" s="40">
        <v>0</v>
      </c>
      <c r="W355" s="45">
        <f t="shared" si="20"/>
        <v>1399866.8400827665</v>
      </c>
      <c r="X355" s="46">
        <f t="shared" si="21"/>
        <v>10.001225124321099</v>
      </c>
    </row>
    <row r="356" spans="1:24" s="4" customFormat="1" ht="15" customHeight="1">
      <c r="A356" s="28" t="s">
        <v>63</v>
      </c>
      <c r="B356" s="29">
        <v>3169.6</v>
      </c>
      <c r="C356" s="30" t="s">
        <v>624</v>
      </c>
      <c r="D356" s="2">
        <v>4947917135</v>
      </c>
      <c r="E356" s="2" t="s">
        <v>14</v>
      </c>
      <c r="F356" s="2" t="s">
        <v>625</v>
      </c>
      <c r="G356" s="28" t="s">
        <v>9</v>
      </c>
      <c r="H356" s="2" t="s">
        <v>23</v>
      </c>
      <c r="I356" s="2">
        <v>38</v>
      </c>
      <c r="J356" s="2"/>
      <c r="K356" s="2">
        <v>1092</v>
      </c>
      <c r="L356" s="35">
        <f t="shared" si="19"/>
        <v>3461203.1999999997</v>
      </c>
      <c r="M356" s="36">
        <v>420</v>
      </c>
      <c r="N356" s="40">
        <v>65324.835944427999</v>
      </c>
      <c r="O356" s="37">
        <v>281.69671888855999</v>
      </c>
      <c r="P356" s="40">
        <v>61089.1800177357</v>
      </c>
      <c r="Q356" s="37">
        <v>6872.7791900679904</v>
      </c>
      <c r="R356" s="40">
        <v>10361.920189181201</v>
      </c>
      <c r="S356" s="40">
        <v>8527.5022169671902</v>
      </c>
      <c r="T356" s="40">
        <v>30000</v>
      </c>
      <c r="U356" s="40">
        <v>207132.131244458</v>
      </c>
      <c r="V356" s="40">
        <v>0</v>
      </c>
      <c r="W356" s="45">
        <f t="shared" si="20"/>
        <v>389590.0455217266</v>
      </c>
      <c r="X356" s="46">
        <f t="shared" si="21"/>
        <v>11.255913710056856</v>
      </c>
    </row>
    <row r="357" spans="1:24" s="4" customFormat="1" ht="15" customHeight="1">
      <c r="A357" s="28" t="s">
        <v>63</v>
      </c>
      <c r="B357" s="29">
        <v>3169.6</v>
      </c>
      <c r="C357" s="30" t="s">
        <v>624</v>
      </c>
      <c r="D357" s="2">
        <v>4947219366</v>
      </c>
      <c r="E357" s="2" t="s">
        <v>14</v>
      </c>
      <c r="F357" s="2" t="s">
        <v>625</v>
      </c>
      <c r="G357" s="28" t="s">
        <v>9</v>
      </c>
      <c r="H357" s="2" t="s">
        <v>23</v>
      </c>
      <c r="I357" s="2">
        <v>38</v>
      </c>
      <c r="J357" s="2"/>
      <c r="K357" s="2">
        <v>23587.200000000001</v>
      </c>
      <c r="L357" s="35">
        <f t="shared" si="19"/>
        <v>74761989.120000005</v>
      </c>
      <c r="M357" s="36">
        <v>6720</v>
      </c>
      <c r="N357" s="40">
        <v>1045197.37511085</v>
      </c>
      <c r="O357" s="37">
        <v>4507.1475022169698</v>
      </c>
      <c r="P357" s="40">
        <v>977426.88028377201</v>
      </c>
      <c r="Q357" s="37">
        <v>109964.46704108801</v>
      </c>
      <c r="R357" s="40">
        <v>165790.72302689901</v>
      </c>
      <c r="S357" s="40">
        <v>136440.03547147501</v>
      </c>
      <c r="T357" s="40">
        <v>30000</v>
      </c>
      <c r="U357" s="40">
        <v>3314114.09991132</v>
      </c>
      <c r="V357" s="40">
        <v>0</v>
      </c>
      <c r="W357" s="45">
        <f t="shared" si="20"/>
        <v>5783440.7283476219</v>
      </c>
      <c r="X357" s="46">
        <f t="shared" si="21"/>
        <v>7.7358037104452322</v>
      </c>
    </row>
    <row r="358" spans="1:24" s="4" customFormat="1" ht="15" customHeight="1">
      <c r="A358" s="28" t="s">
        <v>63</v>
      </c>
      <c r="B358" s="29">
        <v>3169.6</v>
      </c>
      <c r="C358" s="30" t="s">
        <v>624</v>
      </c>
      <c r="D358" s="2">
        <v>4947642971</v>
      </c>
      <c r="E358" s="2" t="s">
        <v>14</v>
      </c>
      <c r="F358" s="2" t="s">
        <v>625</v>
      </c>
      <c r="G358" s="28" t="s">
        <v>9</v>
      </c>
      <c r="H358" s="2" t="s">
        <v>23</v>
      </c>
      <c r="I358" s="2">
        <v>38</v>
      </c>
      <c r="J358" s="2"/>
      <c r="K358" s="2">
        <v>1860.6</v>
      </c>
      <c r="L358" s="35">
        <f t="shared" si="19"/>
        <v>5897357.7599999998</v>
      </c>
      <c r="M358" s="36">
        <v>420</v>
      </c>
      <c r="N358" s="40">
        <v>65324.835944427999</v>
      </c>
      <c r="O358" s="37">
        <v>281.69671888855999</v>
      </c>
      <c r="P358" s="40">
        <v>61089.1800177357</v>
      </c>
      <c r="Q358" s="37">
        <v>6872.7791900679904</v>
      </c>
      <c r="R358" s="40">
        <v>10361.920189181201</v>
      </c>
      <c r="S358" s="40">
        <v>8527.5022169671902</v>
      </c>
      <c r="T358" s="40">
        <v>30000</v>
      </c>
      <c r="U358" s="40">
        <v>207132.131244458</v>
      </c>
      <c r="V358" s="40">
        <v>0</v>
      </c>
      <c r="W358" s="45">
        <f t="shared" si="20"/>
        <v>389590.0455217266</v>
      </c>
      <c r="X358" s="46">
        <f t="shared" si="21"/>
        <v>6.6061796040965755</v>
      </c>
    </row>
    <row r="359" spans="1:24" s="4" customFormat="1" ht="15" customHeight="1">
      <c r="A359" s="28" t="s">
        <v>63</v>
      </c>
      <c r="B359" s="29">
        <v>3169.6</v>
      </c>
      <c r="C359" s="30" t="s">
        <v>624</v>
      </c>
      <c r="D359" s="2">
        <v>4946111531</v>
      </c>
      <c r="E359" s="2" t="s">
        <v>14</v>
      </c>
      <c r="F359" s="2" t="s">
        <v>625</v>
      </c>
      <c r="G359" s="28" t="s">
        <v>9</v>
      </c>
      <c r="H359" s="2" t="s">
        <v>23</v>
      </c>
      <c r="I359" s="2">
        <v>38</v>
      </c>
      <c r="J359" s="2"/>
      <c r="K359" s="2">
        <v>2016</v>
      </c>
      <c r="L359" s="35">
        <f t="shared" si="19"/>
        <v>6389913.5999999996</v>
      </c>
      <c r="M359" s="36">
        <v>840</v>
      </c>
      <c r="N359" s="40">
        <v>130649.671888856</v>
      </c>
      <c r="O359" s="37">
        <v>563.39343777712099</v>
      </c>
      <c r="P359" s="40">
        <v>122178.36003547101</v>
      </c>
      <c r="Q359" s="37">
        <v>13745.558380136001</v>
      </c>
      <c r="R359" s="40">
        <v>20723.840378362402</v>
      </c>
      <c r="S359" s="40">
        <v>17055.004433934399</v>
      </c>
      <c r="T359" s="40">
        <v>30000</v>
      </c>
      <c r="U359" s="40">
        <v>414264.262488915</v>
      </c>
      <c r="V359" s="40">
        <v>0</v>
      </c>
      <c r="W359" s="45">
        <f t="shared" si="20"/>
        <v>749180.09104345192</v>
      </c>
      <c r="X359" s="46">
        <f t="shared" si="21"/>
        <v>11.724416603120455</v>
      </c>
    </row>
    <row r="360" spans="1:24" s="4" customFormat="1" ht="15" customHeight="1">
      <c r="A360" s="28" t="s">
        <v>63</v>
      </c>
      <c r="B360" s="29">
        <v>3169.6</v>
      </c>
      <c r="C360" s="30" t="s">
        <v>624</v>
      </c>
      <c r="D360" s="2">
        <v>4946737905</v>
      </c>
      <c r="E360" s="2" t="s">
        <v>14</v>
      </c>
      <c r="F360" s="2" t="s">
        <v>625</v>
      </c>
      <c r="G360" s="28" t="s">
        <v>9</v>
      </c>
      <c r="H360" s="2" t="s">
        <v>23</v>
      </c>
      <c r="I360" s="2">
        <v>38</v>
      </c>
      <c r="J360" s="2"/>
      <c r="K360" s="2">
        <v>4032</v>
      </c>
      <c r="L360" s="35">
        <f t="shared" si="19"/>
        <v>12779827.199999999</v>
      </c>
      <c r="M360" s="36">
        <v>1680</v>
      </c>
      <c r="N360" s="40">
        <v>261299.343777712</v>
      </c>
      <c r="O360" s="37">
        <v>1126.7868755542399</v>
      </c>
      <c r="P360" s="40">
        <v>244356.720070943</v>
      </c>
      <c r="Q360" s="37">
        <v>27491.116760272002</v>
      </c>
      <c r="R360" s="40">
        <v>41447.680756724803</v>
      </c>
      <c r="S360" s="40">
        <v>34110.008867868797</v>
      </c>
      <c r="T360" s="40">
        <v>30000</v>
      </c>
      <c r="U360" s="40">
        <v>828528.52497783001</v>
      </c>
      <c r="V360" s="40">
        <v>0</v>
      </c>
      <c r="W360" s="45">
        <f t="shared" si="20"/>
        <v>1468360.1820869048</v>
      </c>
      <c r="X360" s="46">
        <f t="shared" si="21"/>
        <v>11.48967164506657</v>
      </c>
    </row>
    <row r="361" spans="1:24" s="4" customFormat="1" ht="15" customHeight="1">
      <c r="A361" s="28" t="s">
        <v>63</v>
      </c>
      <c r="B361" s="29">
        <v>3169.6</v>
      </c>
      <c r="C361" s="30" t="s">
        <v>624</v>
      </c>
      <c r="D361" s="2">
        <v>4946736889</v>
      </c>
      <c r="E361" s="2" t="s">
        <v>14</v>
      </c>
      <c r="F361" s="2" t="s">
        <v>625</v>
      </c>
      <c r="G361" s="28" t="s">
        <v>9</v>
      </c>
      <c r="H361" s="2" t="s">
        <v>23</v>
      </c>
      <c r="I361" s="2">
        <v>38</v>
      </c>
      <c r="J361" s="2"/>
      <c r="K361" s="2">
        <v>4032</v>
      </c>
      <c r="L361" s="35">
        <f t="shared" si="19"/>
        <v>12779827.199999999</v>
      </c>
      <c r="M361" s="36">
        <v>1680</v>
      </c>
      <c r="N361" s="40">
        <v>261299.343777712</v>
      </c>
      <c r="O361" s="37">
        <v>1126.7868755542399</v>
      </c>
      <c r="P361" s="40">
        <v>244356.720070943</v>
      </c>
      <c r="Q361" s="37">
        <v>27491.116760272002</v>
      </c>
      <c r="R361" s="40">
        <v>41447.680756724803</v>
      </c>
      <c r="S361" s="40">
        <v>34110.008867868797</v>
      </c>
      <c r="T361" s="40">
        <v>30000</v>
      </c>
      <c r="U361" s="40">
        <v>828528.52497783001</v>
      </c>
      <c r="V361" s="40">
        <v>0</v>
      </c>
      <c r="W361" s="45">
        <f t="shared" si="20"/>
        <v>1468360.1820869048</v>
      </c>
      <c r="X361" s="46">
        <f t="shared" si="21"/>
        <v>11.48967164506657</v>
      </c>
    </row>
    <row r="362" spans="1:24" s="4" customFormat="1" ht="15" customHeight="1">
      <c r="A362" s="28" t="s">
        <v>63</v>
      </c>
      <c r="B362" s="29">
        <v>3169.6</v>
      </c>
      <c r="C362" s="30" t="s">
        <v>624</v>
      </c>
      <c r="D362" s="2">
        <v>4946736886</v>
      </c>
      <c r="E362" s="2" t="s">
        <v>14</v>
      </c>
      <c r="F362" s="2" t="s">
        <v>625</v>
      </c>
      <c r="G362" s="28" t="s">
        <v>9</v>
      </c>
      <c r="H362" s="2" t="s">
        <v>23</v>
      </c>
      <c r="I362" s="2">
        <v>38</v>
      </c>
      <c r="J362" s="2"/>
      <c r="K362" s="2">
        <v>4032</v>
      </c>
      <c r="L362" s="35">
        <f t="shared" si="19"/>
        <v>12779827.199999999</v>
      </c>
      <c r="M362" s="36">
        <v>1680</v>
      </c>
      <c r="N362" s="40">
        <v>261299.343777712</v>
      </c>
      <c r="O362" s="37">
        <v>1126.7868755542399</v>
      </c>
      <c r="P362" s="40">
        <v>244356.720070943</v>
      </c>
      <c r="Q362" s="37">
        <v>27491.116760272002</v>
      </c>
      <c r="R362" s="40">
        <v>41447.680756724803</v>
      </c>
      <c r="S362" s="40">
        <v>34110.008867868797</v>
      </c>
      <c r="T362" s="40">
        <v>30000</v>
      </c>
      <c r="U362" s="40">
        <v>828528.52497783001</v>
      </c>
      <c r="V362" s="40">
        <v>0</v>
      </c>
      <c r="W362" s="45">
        <f t="shared" si="20"/>
        <v>1468360.1820869048</v>
      </c>
      <c r="X362" s="46">
        <f t="shared" si="21"/>
        <v>11.48967164506657</v>
      </c>
    </row>
    <row r="363" spans="1:24" s="4" customFormat="1" ht="15" customHeight="1">
      <c r="A363" s="28" t="s">
        <v>63</v>
      </c>
      <c r="B363" s="29">
        <v>3169.6</v>
      </c>
      <c r="C363" s="30" t="s">
        <v>626</v>
      </c>
      <c r="D363" s="2">
        <v>4947915818</v>
      </c>
      <c r="E363" s="2" t="s">
        <v>14</v>
      </c>
      <c r="F363" s="2" t="s">
        <v>627</v>
      </c>
      <c r="G363" s="28" t="s">
        <v>9</v>
      </c>
      <c r="H363" s="2" t="s">
        <v>23</v>
      </c>
      <c r="I363" s="2">
        <v>10</v>
      </c>
      <c r="J363" s="2"/>
      <c r="K363" s="2">
        <v>3010</v>
      </c>
      <c r="L363" s="35">
        <f t="shared" si="19"/>
        <v>9540496</v>
      </c>
      <c r="M363" s="36">
        <f>1000+5000</f>
        <v>6000</v>
      </c>
      <c r="N363" s="40">
        <v>3256649.1428571399</v>
      </c>
      <c r="O363" s="37">
        <v>3891.1168831168802</v>
      </c>
      <c r="P363" s="40">
        <v>389311.16883116902</v>
      </c>
      <c r="Q363" s="37">
        <v>95542.441558441598</v>
      </c>
      <c r="R363" s="40">
        <v>170306.49350649401</v>
      </c>
      <c r="S363" s="40">
        <v>214089.35064935099</v>
      </c>
      <c r="T363" s="40">
        <v>30000</v>
      </c>
      <c r="U363" s="40">
        <v>1673725.4901960799</v>
      </c>
      <c r="V363" s="40">
        <v>0</v>
      </c>
      <c r="W363" s="45">
        <f t="shared" si="20"/>
        <v>5833515.2044817917</v>
      </c>
      <c r="X363" s="46">
        <f t="shared" si="21"/>
        <v>61.144779102488926</v>
      </c>
    </row>
    <row r="364" spans="1:24" s="4" customFormat="1" ht="15" customHeight="1">
      <c r="A364" s="28" t="s">
        <v>63</v>
      </c>
      <c r="B364" s="29">
        <v>3169.6</v>
      </c>
      <c r="C364" s="30" t="s">
        <v>626</v>
      </c>
      <c r="D364" s="2">
        <v>4946659445</v>
      </c>
      <c r="E364" s="2" t="s">
        <v>18</v>
      </c>
      <c r="F364" s="2" t="s">
        <v>627</v>
      </c>
      <c r="G364" s="28" t="s">
        <v>9</v>
      </c>
      <c r="H364" s="2" t="s">
        <v>23</v>
      </c>
      <c r="I364" s="2">
        <v>10</v>
      </c>
      <c r="J364" s="2"/>
      <c r="K364" s="2">
        <v>15050</v>
      </c>
      <c r="L364" s="35">
        <f t="shared" si="19"/>
        <v>47702480</v>
      </c>
      <c r="M364" s="36">
        <v>625</v>
      </c>
      <c r="N364" s="40">
        <v>339234.28571428597</v>
      </c>
      <c r="O364" s="37">
        <v>405.32467532467501</v>
      </c>
      <c r="P364" s="40">
        <v>40553.246753246698</v>
      </c>
      <c r="Q364" s="37">
        <v>9952.3376623376607</v>
      </c>
      <c r="R364" s="40">
        <v>17740.259740259698</v>
      </c>
      <c r="S364" s="40">
        <v>22300.974025973999</v>
      </c>
      <c r="T364" s="40">
        <v>30000</v>
      </c>
      <c r="U364" s="40">
        <v>174346.405228758</v>
      </c>
      <c r="V364" s="40">
        <v>0</v>
      </c>
      <c r="W364" s="45">
        <f t="shared" si="20"/>
        <v>634532.83380018664</v>
      </c>
      <c r="X364" s="46">
        <f t="shared" si="21"/>
        <v>1.3301883545681201</v>
      </c>
    </row>
    <row r="365" spans="1:24" s="4" customFormat="1" ht="15" customHeight="1">
      <c r="A365" s="28" t="s">
        <v>63</v>
      </c>
      <c r="B365" s="29">
        <v>3169.6</v>
      </c>
      <c r="C365" s="30" t="s">
        <v>626</v>
      </c>
      <c r="D365" s="2">
        <v>4947978388</v>
      </c>
      <c r="E365" s="2" t="s">
        <v>18</v>
      </c>
      <c r="F365" s="2" t="s">
        <v>627</v>
      </c>
      <c r="G365" s="28" t="s">
        <v>9</v>
      </c>
      <c r="H365" s="2" t="s">
        <v>23</v>
      </c>
      <c r="I365" s="2">
        <v>10</v>
      </c>
      <c r="J365" s="2"/>
      <c r="K365" s="2">
        <v>14706.25</v>
      </c>
      <c r="L365" s="35">
        <f t="shared" si="19"/>
        <v>46612930</v>
      </c>
      <c r="M365" s="36">
        <v>3000</v>
      </c>
      <c r="N365" s="40">
        <v>1628324.57142857</v>
      </c>
      <c r="O365" s="37">
        <v>1945.5584415584401</v>
      </c>
      <c r="P365" s="40">
        <v>194655.58441558399</v>
      </c>
      <c r="Q365" s="37">
        <v>47771.220779220799</v>
      </c>
      <c r="R365" s="40">
        <v>85153.2467532468</v>
      </c>
      <c r="S365" s="40">
        <v>107044.675324675</v>
      </c>
      <c r="T365" s="40">
        <v>30000</v>
      </c>
      <c r="U365" s="40">
        <v>836862.74509803904</v>
      </c>
      <c r="V365" s="40">
        <v>0</v>
      </c>
      <c r="W365" s="45">
        <f t="shared" si="20"/>
        <v>2931757.602240894</v>
      </c>
      <c r="X365" s="46">
        <f t="shared" si="21"/>
        <v>6.2895801706541379</v>
      </c>
    </row>
    <row r="366" spans="1:24" s="4" customFormat="1" ht="15" customHeight="1">
      <c r="A366" s="28" t="s">
        <v>63</v>
      </c>
      <c r="B366" s="29">
        <v>3169.6</v>
      </c>
      <c r="C366" s="30" t="s">
        <v>628</v>
      </c>
      <c r="D366" s="2">
        <v>4947978379</v>
      </c>
      <c r="E366" s="2" t="s">
        <v>18</v>
      </c>
      <c r="F366" s="2" t="s">
        <v>629</v>
      </c>
      <c r="G366" s="28" t="s">
        <v>9</v>
      </c>
      <c r="H366" s="2" t="s">
        <v>23</v>
      </c>
      <c r="I366" s="2">
        <v>10</v>
      </c>
      <c r="J366" s="2"/>
      <c r="K366" s="2">
        <v>10545</v>
      </c>
      <c r="L366" s="35">
        <f t="shared" si="19"/>
        <v>33423432</v>
      </c>
      <c r="M366" s="36">
        <v>9500</v>
      </c>
      <c r="N366" s="37">
        <v>4425438</v>
      </c>
      <c r="O366" s="37">
        <v>6366</v>
      </c>
      <c r="P366" s="37">
        <v>1273786</v>
      </c>
      <c r="Q366" s="37">
        <v>195634</v>
      </c>
      <c r="R366" s="37">
        <v>306264</v>
      </c>
      <c r="S366" s="37">
        <v>343435</v>
      </c>
      <c r="T366" s="40">
        <v>30000</v>
      </c>
      <c r="U366" s="37">
        <v>2650065.35947712</v>
      </c>
      <c r="V366" s="37">
        <v>0</v>
      </c>
      <c r="W366" s="45">
        <f t="shared" si="20"/>
        <v>9230988.3594771195</v>
      </c>
      <c r="X366" s="46">
        <f t="shared" si="21"/>
        <v>27.61831388074426</v>
      </c>
    </row>
    <row r="367" spans="1:24" s="4" customFormat="1" ht="15" customHeight="1">
      <c r="A367" s="28" t="s">
        <v>63</v>
      </c>
      <c r="B367" s="29">
        <v>3169.6</v>
      </c>
      <c r="C367" s="30" t="s">
        <v>630</v>
      </c>
      <c r="D367" s="2">
        <v>4947217696</v>
      </c>
      <c r="E367" s="2" t="s">
        <v>14</v>
      </c>
      <c r="F367" s="78" t="s">
        <v>631</v>
      </c>
      <c r="G367" s="28" t="s">
        <v>9</v>
      </c>
      <c r="H367" s="2" t="s">
        <v>23</v>
      </c>
      <c r="I367" s="2">
        <v>30</v>
      </c>
      <c r="J367" s="2"/>
      <c r="K367" s="2">
        <v>7098</v>
      </c>
      <c r="L367" s="35">
        <f t="shared" si="19"/>
        <v>22497820.800000001</v>
      </c>
      <c r="M367" s="36">
        <v>3900</v>
      </c>
      <c r="N367" s="40">
        <v>502711.142578125</v>
      </c>
      <c r="O367" s="37">
        <v>3893.0132568971699</v>
      </c>
      <c r="P367" s="40">
        <v>223251.57714843701</v>
      </c>
      <c r="Q367" s="37">
        <v>95022.221426012198</v>
      </c>
      <c r="R367" s="40">
        <v>90504.1845703125</v>
      </c>
      <c r="S367" s="40">
        <v>65400.2197265625</v>
      </c>
      <c r="T367" s="40">
        <v>30000</v>
      </c>
      <c r="U367" s="40">
        <v>1588564.453125</v>
      </c>
      <c r="V367" s="40">
        <v>0</v>
      </c>
      <c r="W367" s="45">
        <f t="shared" si="20"/>
        <v>2599346.8118313462</v>
      </c>
      <c r="X367" s="46">
        <f t="shared" si="21"/>
        <v>11.553771518312326</v>
      </c>
    </row>
    <row r="368" spans="1:24" s="4" customFormat="1" ht="15" customHeight="1">
      <c r="A368" s="28" t="s">
        <v>63</v>
      </c>
      <c r="B368" s="29">
        <v>3169.6</v>
      </c>
      <c r="C368" s="30" t="s">
        <v>630</v>
      </c>
      <c r="D368" s="2">
        <v>4947915819</v>
      </c>
      <c r="E368" s="2" t="s">
        <v>14</v>
      </c>
      <c r="F368" s="2" t="s">
        <v>631</v>
      </c>
      <c r="G368" s="28" t="s">
        <v>9</v>
      </c>
      <c r="H368" s="2" t="s">
        <v>23</v>
      </c>
      <c r="I368" s="2">
        <v>30</v>
      </c>
      <c r="J368" s="2"/>
      <c r="K368" s="2">
        <v>5607</v>
      </c>
      <c r="L368" s="35">
        <f t="shared" si="19"/>
        <v>17771947.199999999</v>
      </c>
      <c r="M368" s="36">
        <v>1050</v>
      </c>
      <c r="N368" s="40">
        <v>135345.30761718701</v>
      </c>
      <c r="O368" s="37">
        <v>1048.1189537800101</v>
      </c>
      <c r="P368" s="40">
        <v>60106.193847656199</v>
      </c>
      <c r="Q368" s="37">
        <v>25582.905768541699</v>
      </c>
      <c r="R368" s="40">
        <v>24366.511230468699</v>
      </c>
      <c r="S368" s="40">
        <v>17607.751464843699</v>
      </c>
      <c r="T368" s="40">
        <v>30000</v>
      </c>
      <c r="U368" s="40">
        <v>427690.4296875</v>
      </c>
      <c r="V368" s="40">
        <v>0</v>
      </c>
      <c r="W368" s="45">
        <f t="shared" si="20"/>
        <v>721747.21856997733</v>
      </c>
      <c r="X368" s="46">
        <f t="shared" si="21"/>
        <v>4.0611600431154633</v>
      </c>
    </row>
    <row r="369" spans="1:24" s="4" customFormat="1" ht="15" customHeight="1">
      <c r="A369" s="28" t="s">
        <v>63</v>
      </c>
      <c r="B369" s="29">
        <v>3169.6</v>
      </c>
      <c r="C369" s="30" t="s">
        <v>630</v>
      </c>
      <c r="D369" s="2">
        <v>4947774254</v>
      </c>
      <c r="E369" s="2" t="s">
        <v>14</v>
      </c>
      <c r="F369" s="2" t="s">
        <v>631</v>
      </c>
      <c r="G369" s="28" t="s">
        <v>9</v>
      </c>
      <c r="H369" s="2" t="s">
        <v>23</v>
      </c>
      <c r="I369" s="2">
        <v>30</v>
      </c>
      <c r="J369" s="2"/>
      <c r="K369" s="2">
        <v>8936.4</v>
      </c>
      <c r="L369" s="35">
        <f t="shared" si="19"/>
        <v>28324813.439999998</v>
      </c>
      <c r="M369" s="36">
        <v>1320</v>
      </c>
      <c r="N369" s="40">
        <v>170148.38671875</v>
      </c>
      <c r="O369" s="37">
        <v>1317.63525618058</v>
      </c>
      <c r="P369" s="40">
        <v>75562.072265625</v>
      </c>
      <c r="Q369" s="37">
        <v>32161.367251881002</v>
      </c>
      <c r="R369" s="40">
        <v>30632.185546875</v>
      </c>
      <c r="S369" s="40">
        <v>22135.458984375</v>
      </c>
      <c r="T369" s="40">
        <v>30000</v>
      </c>
      <c r="U369" s="40">
        <v>537667.96875</v>
      </c>
      <c r="V369" s="40">
        <v>0</v>
      </c>
      <c r="W369" s="45">
        <f t="shared" si="20"/>
        <v>899625.07477368659</v>
      </c>
      <c r="X369" s="46">
        <f t="shared" si="21"/>
        <v>3.1761023834432236</v>
      </c>
    </row>
    <row r="370" spans="1:24" s="4" customFormat="1" ht="15" customHeight="1">
      <c r="A370" s="28" t="s">
        <v>63</v>
      </c>
      <c r="B370" s="29">
        <v>3169.6</v>
      </c>
      <c r="C370" s="30" t="s">
        <v>630</v>
      </c>
      <c r="D370" s="2">
        <v>4947975531</v>
      </c>
      <c r="E370" s="2" t="s">
        <v>14</v>
      </c>
      <c r="F370" s="2" t="s">
        <v>631</v>
      </c>
      <c r="G370" s="28" t="s">
        <v>9</v>
      </c>
      <c r="H370" s="2" t="s">
        <v>23</v>
      </c>
      <c r="I370" s="2">
        <v>30</v>
      </c>
      <c r="J370" s="2"/>
      <c r="K370" s="2">
        <v>6048</v>
      </c>
      <c r="L370" s="35">
        <f t="shared" si="19"/>
        <v>19169740.800000001</v>
      </c>
      <c r="M370" s="36">
        <v>2400</v>
      </c>
      <c r="N370" s="40">
        <v>309360.703125</v>
      </c>
      <c r="O370" s="37">
        <v>2395.7004657828702</v>
      </c>
      <c r="P370" s="40">
        <v>137385.5859375</v>
      </c>
      <c r="Q370" s="37">
        <v>58475.213185238303</v>
      </c>
      <c r="R370" s="40">
        <v>55694.8828125</v>
      </c>
      <c r="S370" s="40">
        <v>40246.2890625</v>
      </c>
      <c r="T370" s="40">
        <v>30000</v>
      </c>
      <c r="U370" s="40">
        <v>977578.125</v>
      </c>
      <c r="V370" s="40">
        <v>0</v>
      </c>
      <c r="W370" s="45">
        <f t="shared" si="20"/>
        <v>1611136.4995885212</v>
      </c>
      <c r="X370" s="46">
        <f t="shared" si="21"/>
        <v>8.4045815558889618</v>
      </c>
    </row>
    <row r="371" spans="1:24" s="4" customFormat="1" ht="15" customHeight="1">
      <c r="A371" s="28" t="s">
        <v>63</v>
      </c>
      <c r="B371" s="29">
        <v>3169.6</v>
      </c>
      <c r="C371" s="30" t="s">
        <v>630</v>
      </c>
      <c r="D371" s="2">
        <v>4947975519</v>
      </c>
      <c r="E371" s="2" t="s">
        <v>14</v>
      </c>
      <c r="F371" s="2" t="s">
        <v>631</v>
      </c>
      <c r="G371" s="28" t="s">
        <v>9</v>
      </c>
      <c r="H371" s="2" t="s">
        <v>23</v>
      </c>
      <c r="I371" s="2">
        <v>30</v>
      </c>
      <c r="J371" s="2"/>
      <c r="K371" s="2">
        <v>7371</v>
      </c>
      <c r="L371" s="35">
        <f t="shared" si="19"/>
        <v>23363121.599999998</v>
      </c>
      <c r="M371" s="36">
        <v>2100</v>
      </c>
      <c r="N371" s="40">
        <v>270690.615234375</v>
      </c>
      <c r="O371" s="37">
        <v>2096.2379075600102</v>
      </c>
      <c r="P371" s="40">
        <v>120212.38769531201</v>
      </c>
      <c r="Q371" s="37">
        <v>51165.8115370835</v>
      </c>
      <c r="R371" s="40">
        <v>48733.0224609375</v>
      </c>
      <c r="S371" s="40">
        <v>35215.5029296875</v>
      </c>
      <c r="T371" s="40">
        <v>30000</v>
      </c>
      <c r="U371" s="40">
        <v>855380.859375</v>
      </c>
      <c r="V371" s="40">
        <v>0</v>
      </c>
      <c r="W371" s="45">
        <f t="shared" si="20"/>
        <v>1413494.4371399553</v>
      </c>
      <c r="X371" s="46">
        <f t="shared" si="21"/>
        <v>6.0501094902487491</v>
      </c>
    </row>
    <row r="372" spans="1:24" s="4" customFormat="1" ht="15" customHeight="1">
      <c r="A372" s="28" t="s">
        <v>63</v>
      </c>
      <c r="B372" s="29">
        <v>3169.6</v>
      </c>
      <c r="C372" s="30" t="s">
        <v>630</v>
      </c>
      <c r="D372" s="2">
        <v>4947975519</v>
      </c>
      <c r="E372" s="2" t="s">
        <v>14</v>
      </c>
      <c r="F372" s="2" t="s">
        <v>631</v>
      </c>
      <c r="G372" s="28" t="s">
        <v>9</v>
      </c>
      <c r="H372" s="2" t="s">
        <v>23</v>
      </c>
      <c r="I372" s="2">
        <v>30</v>
      </c>
      <c r="J372" s="2"/>
      <c r="K372" s="2">
        <v>4000.5</v>
      </c>
      <c r="L372" s="35">
        <f t="shared" si="19"/>
        <v>12679984.799999999</v>
      </c>
      <c r="M372" s="36">
        <v>1050</v>
      </c>
      <c r="N372" s="40">
        <v>135345.30761718701</v>
      </c>
      <c r="O372" s="37">
        <v>1048.1189537800101</v>
      </c>
      <c r="P372" s="40">
        <v>60106.193847656199</v>
      </c>
      <c r="Q372" s="37">
        <v>25582.905768541699</v>
      </c>
      <c r="R372" s="40">
        <v>24366.511230468699</v>
      </c>
      <c r="S372" s="40">
        <v>17607.751464843699</v>
      </c>
      <c r="T372" s="40">
        <v>30000</v>
      </c>
      <c r="U372" s="40">
        <v>427690.4296875</v>
      </c>
      <c r="V372" s="40">
        <v>0</v>
      </c>
      <c r="W372" s="45">
        <f t="shared" si="20"/>
        <v>721747.21856997733</v>
      </c>
      <c r="X372" s="46">
        <f t="shared" si="21"/>
        <v>5.6920195879886029</v>
      </c>
    </row>
    <row r="373" spans="1:24" s="4" customFormat="1" ht="15" customHeight="1">
      <c r="A373" s="28" t="s">
        <v>63</v>
      </c>
      <c r="B373" s="29">
        <v>3169.6</v>
      </c>
      <c r="C373" s="30" t="s">
        <v>630</v>
      </c>
      <c r="D373" s="2">
        <v>4947975519</v>
      </c>
      <c r="E373" s="2" t="s">
        <v>14</v>
      </c>
      <c r="F373" s="2" t="s">
        <v>631</v>
      </c>
      <c r="G373" s="28" t="s">
        <v>9</v>
      </c>
      <c r="H373" s="2" t="s">
        <v>23</v>
      </c>
      <c r="I373" s="2">
        <v>30</v>
      </c>
      <c r="J373" s="2"/>
      <c r="K373" s="2">
        <v>5533.5</v>
      </c>
      <c r="L373" s="35">
        <f t="shared" si="19"/>
        <v>17538981.599999998</v>
      </c>
      <c r="M373" s="36">
        <v>1050</v>
      </c>
      <c r="N373" s="40">
        <v>135345.30761718701</v>
      </c>
      <c r="O373" s="37">
        <v>1048.1189537800101</v>
      </c>
      <c r="P373" s="40">
        <v>60106.193847656199</v>
      </c>
      <c r="Q373" s="37">
        <v>25582.905768541699</v>
      </c>
      <c r="R373" s="40">
        <v>24366.511230468699</v>
      </c>
      <c r="S373" s="40">
        <v>17607.751464843699</v>
      </c>
      <c r="T373" s="40">
        <v>30000</v>
      </c>
      <c r="U373" s="40">
        <v>427690.4296875</v>
      </c>
      <c r="V373" s="40">
        <v>0</v>
      </c>
      <c r="W373" s="45">
        <f t="shared" si="20"/>
        <v>721747.21856997733</v>
      </c>
      <c r="X373" s="46">
        <f t="shared" si="21"/>
        <v>4.1151033453959345</v>
      </c>
    </row>
    <row r="374" spans="1:24" s="4" customFormat="1" ht="15" customHeight="1">
      <c r="A374" s="28" t="s">
        <v>63</v>
      </c>
      <c r="B374" s="29">
        <v>3169.6</v>
      </c>
      <c r="C374" s="30" t="s">
        <v>630</v>
      </c>
      <c r="D374" s="2">
        <v>4947975519</v>
      </c>
      <c r="E374" s="2" t="s">
        <v>14</v>
      </c>
      <c r="F374" s="2" t="s">
        <v>631</v>
      </c>
      <c r="G374" s="28" t="s">
        <v>9</v>
      </c>
      <c r="H374" s="2" t="s">
        <v>23</v>
      </c>
      <c r="I374" s="2">
        <v>30</v>
      </c>
      <c r="J374" s="2"/>
      <c r="K374" s="2">
        <v>2460</v>
      </c>
      <c r="L374" s="35">
        <f t="shared" si="19"/>
        <v>7797216</v>
      </c>
      <c r="M374" s="36">
        <v>410</v>
      </c>
      <c r="N374" s="40">
        <v>52849.1201171875</v>
      </c>
      <c r="O374" s="37">
        <v>409.265496237908</v>
      </c>
      <c r="P374" s="40">
        <v>23470.037597656199</v>
      </c>
      <c r="Q374" s="37">
        <v>9989.5155858115395</v>
      </c>
      <c r="R374" s="40">
        <v>9514.54248046875</v>
      </c>
      <c r="S374" s="40">
        <v>6875.40771484375</v>
      </c>
      <c r="T374" s="40">
        <v>30000</v>
      </c>
      <c r="U374" s="40">
        <v>167002.9296875</v>
      </c>
      <c r="V374" s="40">
        <v>0</v>
      </c>
      <c r="W374" s="45">
        <f t="shared" si="20"/>
        <v>300110.81867970561</v>
      </c>
      <c r="X374" s="46">
        <f t="shared" si="21"/>
        <v>3.8489483769553847</v>
      </c>
    </row>
    <row r="375" spans="1:24" s="4" customFormat="1" ht="15" customHeight="1">
      <c r="A375" s="28" t="s">
        <v>63</v>
      </c>
      <c r="B375" s="29">
        <v>3169.6</v>
      </c>
      <c r="C375" s="30" t="s">
        <v>630</v>
      </c>
      <c r="D375" s="2">
        <v>4946654384</v>
      </c>
      <c r="E375" s="2" t="s">
        <v>14</v>
      </c>
      <c r="F375" s="2" t="s">
        <v>631</v>
      </c>
      <c r="G375" s="28" t="s">
        <v>9</v>
      </c>
      <c r="H375" s="2" t="s">
        <v>23</v>
      </c>
      <c r="I375" s="2">
        <v>30</v>
      </c>
      <c r="J375" s="2"/>
      <c r="K375" s="2">
        <v>1458</v>
      </c>
      <c r="L375" s="35">
        <f t="shared" si="19"/>
        <v>4621276.8</v>
      </c>
      <c r="M375" s="36">
        <v>675</v>
      </c>
      <c r="N375" s="40">
        <v>928082.109375</v>
      </c>
      <c r="O375" s="37">
        <v>673.79075600143301</v>
      </c>
      <c r="P375" s="40">
        <v>412156.7578125</v>
      </c>
      <c r="Q375" s="37">
        <v>16446.153708348302</v>
      </c>
      <c r="R375" s="40">
        <v>167084.6484375</v>
      </c>
      <c r="S375" s="40">
        <v>120738.8671875</v>
      </c>
      <c r="T375" s="40">
        <v>30000</v>
      </c>
      <c r="U375" s="40">
        <v>2932734.375</v>
      </c>
      <c r="V375" s="40">
        <v>0</v>
      </c>
      <c r="W375" s="45">
        <f t="shared" si="20"/>
        <v>4607916.7022768501</v>
      </c>
      <c r="X375" s="46">
        <f t="shared" si="21"/>
        <v>99.71090029224932</v>
      </c>
    </row>
    <row r="376" spans="1:24" s="4" customFormat="1" ht="15" customHeight="1">
      <c r="A376" s="28" t="s">
        <v>63</v>
      </c>
      <c r="B376" s="29">
        <v>3169.6</v>
      </c>
      <c r="C376" s="30" t="s">
        <v>632</v>
      </c>
      <c r="D376" s="2">
        <v>4948242166</v>
      </c>
      <c r="E376" s="2" t="s">
        <v>14</v>
      </c>
      <c r="F376" s="2" t="s">
        <v>633</v>
      </c>
      <c r="G376" s="28" t="s">
        <v>9</v>
      </c>
      <c r="H376" s="2" t="s">
        <v>23</v>
      </c>
      <c r="I376" s="2">
        <v>1</v>
      </c>
      <c r="J376" s="2"/>
      <c r="K376" s="2">
        <v>4878.6000000000004</v>
      </c>
      <c r="L376" s="35">
        <f t="shared" si="19"/>
        <v>15463210.560000001</v>
      </c>
      <c r="M376" s="36">
        <v>940</v>
      </c>
      <c r="N376" s="37">
        <v>477151</v>
      </c>
      <c r="O376" s="37">
        <v>625</v>
      </c>
      <c r="P376" s="37">
        <v>9608</v>
      </c>
      <c r="Q376" s="37">
        <v>15237</v>
      </c>
      <c r="R376" s="37">
        <v>95532</v>
      </c>
      <c r="S376" s="37">
        <v>343435</v>
      </c>
      <c r="T376" s="40">
        <v>30000</v>
      </c>
      <c r="U376" s="37">
        <v>931621.73913043505</v>
      </c>
      <c r="V376" s="37">
        <v>0</v>
      </c>
      <c r="W376" s="45">
        <f t="shared" si="20"/>
        <v>1903209.739130435</v>
      </c>
      <c r="X376" s="46">
        <f t="shared" si="21"/>
        <v>12.307985665367768</v>
      </c>
    </row>
    <row r="377" spans="1:24" s="4" customFormat="1" ht="15" customHeight="1">
      <c r="A377" s="28" t="s">
        <v>63</v>
      </c>
      <c r="B377" s="29">
        <v>3169.6</v>
      </c>
      <c r="C377" s="30" t="s">
        <v>634</v>
      </c>
      <c r="D377" s="2">
        <v>4947996116</v>
      </c>
      <c r="E377" s="2" t="s">
        <v>18</v>
      </c>
      <c r="F377" s="2" t="s">
        <v>635</v>
      </c>
      <c r="G377" s="28" t="s">
        <v>5</v>
      </c>
      <c r="H377" s="2" t="s">
        <v>35</v>
      </c>
      <c r="I377" s="2">
        <v>1</v>
      </c>
      <c r="J377" s="2" t="s">
        <v>636</v>
      </c>
      <c r="K377" s="2">
        <v>125493.75</v>
      </c>
      <c r="L377" s="35">
        <f t="shared" si="19"/>
        <v>397764990</v>
      </c>
      <c r="M377" s="36">
        <v>1875</v>
      </c>
      <c r="N377" s="40">
        <v>42070.796847635698</v>
      </c>
      <c r="O377" s="37">
        <v>54224.605954465798</v>
      </c>
      <c r="P377" s="40">
        <v>0</v>
      </c>
      <c r="Q377" s="37">
        <v>13044.0893169877</v>
      </c>
      <c r="R377" s="40">
        <f>175868.695271454+14644</f>
        <v>190512.69527145399</v>
      </c>
      <c r="S377" s="40">
        <v>45109.676007005299</v>
      </c>
      <c r="T377" s="40">
        <v>30000</v>
      </c>
      <c r="U377" s="40">
        <v>742322.67950963206</v>
      </c>
      <c r="V377" s="40">
        <v>165699.03677758301</v>
      </c>
      <c r="W377" s="45">
        <f t="shared" si="20"/>
        <v>1282983.5796847634</v>
      </c>
      <c r="X377" s="46">
        <f t="shared" si="21"/>
        <v>0.32254814072117394</v>
      </c>
    </row>
    <row r="378" spans="1:24" s="4" customFormat="1" ht="15" customHeight="1">
      <c r="A378" s="28" t="s">
        <v>63</v>
      </c>
      <c r="B378" s="29">
        <v>3169.6</v>
      </c>
      <c r="C378" s="30" t="s">
        <v>634</v>
      </c>
      <c r="D378" s="2">
        <v>4947994886</v>
      </c>
      <c r="E378" s="2" t="s">
        <v>18</v>
      </c>
      <c r="F378" s="2" t="s">
        <v>635</v>
      </c>
      <c r="G378" s="28" t="s">
        <v>5</v>
      </c>
      <c r="H378" s="2" t="s">
        <v>35</v>
      </c>
      <c r="I378" s="2">
        <v>1</v>
      </c>
      <c r="J378" s="2" t="s">
        <v>636</v>
      </c>
      <c r="K378" s="2">
        <v>55872</v>
      </c>
      <c r="L378" s="35">
        <f t="shared" si="19"/>
        <v>177091891.19999999</v>
      </c>
      <c r="M378" s="36">
        <v>3200</v>
      </c>
      <c r="N378" s="40">
        <v>71800.826619964995</v>
      </c>
      <c r="O378" s="37">
        <v>92543.327495621706</v>
      </c>
      <c r="P378" s="40">
        <v>0</v>
      </c>
      <c r="Q378" s="37">
        <v>22261.912434325699</v>
      </c>
      <c r="R378" s="40">
        <f>300149.239929947+24993</f>
        <v>325142.23992994701</v>
      </c>
      <c r="S378" s="40">
        <v>76987.180385289001</v>
      </c>
      <c r="T378" s="40">
        <v>30000</v>
      </c>
      <c r="U378" s="40">
        <v>1266897.3730297701</v>
      </c>
      <c r="V378" s="40">
        <v>282793.02276707499</v>
      </c>
      <c r="W378" s="45">
        <f t="shared" si="20"/>
        <v>2168425.8826619936</v>
      </c>
      <c r="X378" s="46">
        <f t="shared" si="21"/>
        <v>1.2244636770031816</v>
      </c>
    </row>
    <row r="379" spans="1:24" s="4" customFormat="1" ht="15" customHeight="1">
      <c r="A379" s="28" t="s">
        <v>63</v>
      </c>
      <c r="B379" s="29">
        <v>3169.6</v>
      </c>
      <c r="C379" s="30" t="s">
        <v>634</v>
      </c>
      <c r="D379" s="2">
        <v>4947994869</v>
      </c>
      <c r="E379" s="2" t="s">
        <v>18</v>
      </c>
      <c r="F379" s="78" t="s">
        <v>635</v>
      </c>
      <c r="G379" s="28" t="s">
        <v>5</v>
      </c>
      <c r="H379" s="2" t="s">
        <v>35</v>
      </c>
      <c r="I379" s="2">
        <v>1</v>
      </c>
      <c r="J379" s="2" t="s">
        <v>636</v>
      </c>
      <c r="K379" s="2">
        <v>96640</v>
      </c>
      <c r="L379" s="35">
        <f t="shared" si="19"/>
        <v>306310144</v>
      </c>
      <c r="M379" s="36">
        <v>8000</v>
      </c>
      <c r="N379" s="40">
        <v>179502.06654991201</v>
      </c>
      <c r="O379" s="37">
        <v>231358.318739054</v>
      </c>
      <c r="P379" s="40">
        <v>0</v>
      </c>
      <c r="Q379" s="37">
        <v>55654.7810858144</v>
      </c>
      <c r="R379" s="40">
        <f>750373.099824869+62482</f>
        <v>812855.09982486896</v>
      </c>
      <c r="S379" s="40">
        <v>192467.95096322201</v>
      </c>
      <c r="T379" s="40">
        <v>30000</v>
      </c>
      <c r="U379" s="40">
        <v>3167243.43257443</v>
      </c>
      <c r="V379" s="40">
        <v>706982.55691768799</v>
      </c>
      <c r="W379" s="45">
        <f t="shared" si="20"/>
        <v>5376064.2066549892</v>
      </c>
      <c r="X379" s="46">
        <f t="shared" si="21"/>
        <v>1.7551048543318855</v>
      </c>
    </row>
    <row r="380" spans="1:24" s="4" customFormat="1" ht="15" customHeight="1">
      <c r="A380" s="28" t="s">
        <v>63</v>
      </c>
      <c r="B380" s="29">
        <v>3169.6</v>
      </c>
      <c r="C380" s="30" t="s">
        <v>634</v>
      </c>
      <c r="D380" s="2">
        <v>4948208976</v>
      </c>
      <c r="E380" s="2" t="s">
        <v>14</v>
      </c>
      <c r="F380" s="2" t="s">
        <v>635</v>
      </c>
      <c r="G380" s="28" t="s">
        <v>5</v>
      </c>
      <c r="H380" s="2" t="s">
        <v>35</v>
      </c>
      <c r="I380" s="2">
        <v>1</v>
      </c>
      <c r="J380" s="2" t="s">
        <v>636</v>
      </c>
      <c r="K380" s="2">
        <v>1968</v>
      </c>
      <c r="L380" s="35">
        <f t="shared" si="19"/>
        <v>6237772.7999999998</v>
      </c>
      <c r="M380" s="36">
        <v>1200</v>
      </c>
      <c r="N380" s="40">
        <v>26925.309982486899</v>
      </c>
      <c r="O380" s="37">
        <v>34703.747810858098</v>
      </c>
      <c r="P380" s="40">
        <v>0</v>
      </c>
      <c r="Q380" s="37">
        <v>8348.2171628721499</v>
      </c>
      <c r="R380" s="40">
        <f>112555.96497373+9373</f>
        <v>121928.96497373001</v>
      </c>
      <c r="S380" s="40">
        <v>28870.192644483399</v>
      </c>
      <c r="T380" s="40">
        <v>30000</v>
      </c>
      <c r="U380" s="40">
        <v>475086.51488616498</v>
      </c>
      <c r="V380" s="40">
        <v>106047.383537653</v>
      </c>
      <c r="W380" s="45">
        <f t="shared" si="20"/>
        <v>831910.33099824854</v>
      </c>
      <c r="X380" s="46">
        <f t="shared" si="21"/>
        <v>13.336656490570617</v>
      </c>
    </row>
    <row r="381" spans="1:24" s="4" customFormat="1" ht="15" customHeight="1">
      <c r="A381" s="28" t="s">
        <v>63</v>
      </c>
      <c r="B381" s="29">
        <v>3169.6</v>
      </c>
      <c r="C381" s="30" t="s">
        <v>637</v>
      </c>
      <c r="D381" s="2">
        <v>4947975511</v>
      </c>
      <c r="E381" s="2" t="s">
        <v>14</v>
      </c>
      <c r="F381" s="2" t="s">
        <v>638</v>
      </c>
      <c r="G381" s="28" t="s">
        <v>5</v>
      </c>
      <c r="H381" s="2" t="s">
        <v>20</v>
      </c>
      <c r="I381" s="2">
        <v>1</v>
      </c>
      <c r="J381" s="2" t="s">
        <v>639</v>
      </c>
      <c r="K381" s="2">
        <v>92950</v>
      </c>
      <c r="L381" s="35">
        <f t="shared" si="19"/>
        <v>294614320</v>
      </c>
      <c r="M381" s="36">
        <v>11000</v>
      </c>
      <c r="N381" s="37">
        <v>474768</v>
      </c>
      <c r="O381" s="50">
        <v>319212</v>
      </c>
      <c r="P381" s="50">
        <v>0</v>
      </c>
      <c r="Q381" s="50">
        <v>99309</v>
      </c>
      <c r="R381" s="37">
        <v>633275</v>
      </c>
      <c r="S381" s="37">
        <v>343435</v>
      </c>
      <c r="T381" s="40">
        <v>30000</v>
      </c>
      <c r="U381" s="37">
        <v>2950900</v>
      </c>
      <c r="V381" s="37">
        <v>0</v>
      </c>
      <c r="W381" s="45">
        <f t="shared" si="20"/>
        <v>4850899</v>
      </c>
      <c r="X381" s="46">
        <f t="shared" si="21"/>
        <v>1.6465251926654483</v>
      </c>
    </row>
    <row r="382" spans="1:24" s="4" customFormat="1" ht="15" customHeight="1">
      <c r="A382" s="28" t="s">
        <v>63</v>
      </c>
      <c r="B382" s="29">
        <v>3169.6</v>
      </c>
      <c r="C382" s="30" t="s">
        <v>640</v>
      </c>
      <c r="D382" s="2">
        <v>4947162569</v>
      </c>
      <c r="E382" s="2" t="s">
        <v>14</v>
      </c>
      <c r="F382" s="2" t="s">
        <v>641</v>
      </c>
      <c r="G382" s="28" t="s">
        <v>5</v>
      </c>
      <c r="H382" s="2" t="s">
        <v>20</v>
      </c>
      <c r="I382" s="2">
        <v>1</v>
      </c>
      <c r="J382" s="2" t="s">
        <v>642</v>
      </c>
      <c r="K382" s="2">
        <v>20468</v>
      </c>
      <c r="L382" s="35">
        <f>B382*K382</f>
        <v>64875372.799999997</v>
      </c>
      <c r="M382" s="36">
        <v>8600</v>
      </c>
      <c r="N382" s="37">
        <v>319922</v>
      </c>
      <c r="O382" s="50">
        <v>319212</v>
      </c>
      <c r="P382" s="50">
        <v>0</v>
      </c>
      <c r="Q382" s="50">
        <v>99309</v>
      </c>
      <c r="R382" s="37">
        <v>533530</v>
      </c>
      <c r="S382" s="37">
        <v>343435</v>
      </c>
      <c r="T382" s="40">
        <v>30000</v>
      </c>
      <c r="U382" s="37">
        <v>2601700</v>
      </c>
      <c r="V382" s="37">
        <v>0</v>
      </c>
      <c r="W382" s="45">
        <f>+SUM(N382:V382)</f>
        <v>4247108</v>
      </c>
      <c r="X382" s="46">
        <f t="shared" ref="X382:X385" si="22">(W382/L382)*100</f>
        <v>6.5465643073730444</v>
      </c>
    </row>
    <row r="383" spans="1:24" s="4" customFormat="1" ht="15" customHeight="1">
      <c r="A383" s="28" t="s">
        <v>63</v>
      </c>
      <c r="B383" s="29">
        <v>3169.6</v>
      </c>
      <c r="C383" s="30" t="s">
        <v>643</v>
      </c>
      <c r="D383" s="2" t="s">
        <v>644</v>
      </c>
      <c r="E383" s="2" t="s">
        <v>14</v>
      </c>
      <c r="F383" s="2" t="s">
        <v>645</v>
      </c>
      <c r="G383" s="28" t="s">
        <v>5</v>
      </c>
      <c r="H383" s="2" t="s">
        <v>20</v>
      </c>
      <c r="I383" s="2">
        <v>2</v>
      </c>
      <c r="J383" s="2" t="s">
        <v>646</v>
      </c>
      <c r="K383" s="2">
        <f>15040*2</f>
        <v>30080</v>
      </c>
      <c r="L383" s="35">
        <f>B383*K383</f>
        <v>95341568</v>
      </c>
      <c r="M383" s="36">
        <v>32000</v>
      </c>
      <c r="N383" s="37">
        <v>933980</v>
      </c>
      <c r="O383" s="50">
        <v>319212</v>
      </c>
      <c r="P383" s="50">
        <v>418031</v>
      </c>
      <c r="Q383" s="50">
        <v>99309</v>
      </c>
      <c r="R383" s="37">
        <v>1246926</v>
      </c>
      <c r="S383" s="37">
        <v>343435</v>
      </c>
      <c r="T383" s="40">
        <v>30000</v>
      </c>
      <c r="U383" s="37">
        <v>0</v>
      </c>
      <c r="V383" s="37">
        <v>0</v>
      </c>
      <c r="W383" s="45">
        <f>+SUM(N383:V383)</f>
        <v>3390893</v>
      </c>
      <c r="X383" s="46">
        <f t="shared" si="22"/>
        <v>3.5565735608627707</v>
      </c>
    </row>
    <row r="384" spans="1:24" ht="15" customHeight="1">
      <c r="G384"/>
      <c r="I384"/>
      <c r="N384"/>
      <c r="O384" s="24"/>
      <c r="P384"/>
      <c r="Q384" s="24"/>
      <c r="R384"/>
      <c r="S384"/>
      <c r="T384"/>
      <c r="U384"/>
      <c r="X384" s="60"/>
    </row>
    <row r="385" spans="1:24" ht="15" customHeight="1">
      <c r="A385" s="31" t="s">
        <v>63</v>
      </c>
      <c r="B385" s="31"/>
      <c r="C385" s="31"/>
      <c r="D385" s="31"/>
      <c r="E385" s="31"/>
      <c r="F385" s="32">
        <v>245</v>
      </c>
      <c r="G385" s="31"/>
      <c r="H385" s="31"/>
      <c r="I385" s="38"/>
      <c r="J385" s="31"/>
      <c r="K385" s="39">
        <f>+SUM(K2:K383)</f>
        <v>8425843.1600000001</v>
      </c>
      <c r="L385" s="39">
        <f>+SUM(L2:L383)</f>
        <v>26706552479.936005</v>
      </c>
      <c r="M385" s="31"/>
      <c r="N385" s="39"/>
      <c r="O385" s="39"/>
      <c r="P385" s="39"/>
      <c r="Q385" s="39"/>
      <c r="R385" s="39"/>
      <c r="S385" s="39"/>
      <c r="T385" s="39"/>
      <c r="U385" s="39"/>
      <c r="V385" s="31"/>
      <c r="W385" s="39">
        <f>+SUM(W2:W383)</f>
        <v>1094991961.8880992</v>
      </c>
      <c r="X385" s="47">
        <f t="shared" si="22"/>
        <v>4.100087282739846</v>
      </c>
    </row>
    <row r="386" spans="1:24" ht="15" customHeight="1">
      <c r="G386"/>
      <c r="I386"/>
      <c r="N386"/>
      <c r="O386" s="24"/>
      <c r="P386"/>
      <c r="Q386" s="24"/>
      <c r="R386"/>
      <c r="S386"/>
      <c r="T386"/>
      <c r="U386"/>
      <c r="X386" s="60"/>
    </row>
    <row r="387" spans="1:24" s="4" customFormat="1" ht="15" customHeight="1">
      <c r="A387" s="28" t="s">
        <v>647</v>
      </c>
      <c r="B387" s="29">
        <v>3125.21</v>
      </c>
      <c r="C387" s="30" t="s">
        <v>648</v>
      </c>
      <c r="D387" s="2">
        <v>4946627885</v>
      </c>
      <c r="E387" s="2" t="s">
        <v>33</v>
      </c>
      <c r="F387" s="2" t="s">
        <v>649</v>
      </c>
      <c r="G387" s="28" t="s">
        <v>13</v>
      </c>
      <c r="H387" s="2" t="s">
        <v>23</v>
      </c>
      <c r="I387" s="2">
        <v>2</v>
      </c>
      <c r="J387" s="2"/>
      <c r="K387" s="2">
        <f>2969+177</f>
        <v>3146</v>
      </c>
      <c r="L387" s="35">
        <f>B387*K387</f>
        <v>9831910.6600000001</v>
      </c>
      <c r="M387" s="36">
        <v>2969</v>
      </c>
      <c r="N387" s="37">
        <v>531022.03</v>
      </c>
      <c r="O387" s="37">
        <v>0</v>
      </c>
      <c r="P387" s="37">
        <v>0</v>
      </c>
      <c r="Q387" s="37">
        <v>0</v>
      </c>
      <c r="R387" s="37">
        <v>4190.67</v>
      </c>
      <c r="S387" s="37">
        <v>321111.72499999998</v>
      </c>
      <c r="T387" s="37"/>
      <c r="U387" s="37">
        <v>230365.3</v>
      </c>
      <c r="V387" s="37">
        <v>0</v>
      </c>
      <c r="W387" s="45">
        <f>+SUM(N387:V387)</f>
        <v>1086689.7250000001</v>
      </c>
      <c r="X387" s="46">
        <f>(W387/L387)*100</f>
        <v>11.052681036058154</v>
      </c>
    </row>
    <row r="388" spans="1:24" s="4" customFormat="1" ht="15" customHeight="1">
      <c r="A388" s="28" t="s">
        <v>647</v>
      </c>
      <c r="B388" s="29">
        <v>3125.21</v>
      </c>
      <c r="C388" s="30" t="s">
        <v>650</v>
      </c>
      <c r="D388" s="2">
        <v>4948349026</v>
      </c>
      <c r="E388" s="2" t="s">
        <v>27</v>
      </c>
      <c r="F388" s="2" t="s">
        <v>651</v>
      </c>
      <c r="G388" s="28" t="s">
        <v>13</v>
      </c>
      <c r="H388" s="2" t="s">
        <v>23</v>
      </c>
      <c r="I388" s="2">
        <v>1</v>
      </c>
      <c r="J388" s="2"/>
      <c r="K388" s="2">
        <v>3955.59</v>
      </c>
      <c r="L388" s="35">
        <f t="shared" ref="L388:L451" si="23">B388*K388</f>
        <v>12362049.423900001</v>
      </c>
      <c r="M388" s="36">
        <v>60</v>
      </c>
      <c r="N388" s="40">
        <v>21706.313364055299</v>
      </c>
      <c r="O388" s="40">
        <v>0</v>
      </c>
      <c r="P388" s="40">
        <v>45241.935483870999</v>
      </c>
      <c r="Q388" s="40">
        <v>0</v>
      </c>
      <c r="R388" s="40">
        <v>267.78801843318001</v>
      </c>
      <c r="S388" s="40">
        <v>47479.493087557603</v>
      </c>
      <c r="T388" s="40"/>
      <c r="U388" s="40">
        <v>34061.751152073703</v>
      </c>
      <c r="V388" s="40">
        <v>0</v>
      </c>
      <c r="W388" s="45">
        <f t="shared" ref="W388:W451" si="24">+SUM(N388:V388)</f>
        <v>148757.28110599078</v>
      </c>
      <c r="X388" s="46">
        <f t="shared" ref="X388:X451" si="25">(W388/L388)*100</f>
        <v>1.203338346297119</v>
      </c>
    </row>
    <row r="389" spans="1:24" s="4" customFormat="1" ht="15" customHeight="1">
      <c r="A389" s="28" t="s">
        <v>647</v>
      </c>
      <c r="B389" s="29">
        <v>3125.21</v>
      </c>
      <c r="C389" s="30" t="s">
        <v>650</v>
      </c>
      <c r="D389" s="2">
        <v>4948349026</v>
      </c>
      <c r="E389" s="2" t="s">
        <v>27</v>
      </c>
      <c r="F389" s="2" t="s">
        <v>651</v>
      </c>
      <c r="G389" s="28" t="s">
        <v>13</v>
      </c>
      <c r="H389" s="2" t="s">
        <v>23</v>
      </c>
      <c r="I389" s="2">
        <v>1</v>
      </c>
      <c r="J389" s="2"/>
      <c r="K389" s="2">
        <v>3955.59</v>
      </c>
      <c r="L389" s="35">
        <f t="shared" si="23"/>
        <v>12362049.423900001</v>
      </c>
      <c r="M389" s="36">
        <v>204</v>
      </c>
      <c r="N389" s="40">
        <v>73801.465437788007</v>
      </c>
      <c r="O389" s="40">
        <v>0</v>
      </c>
      <c r="P389" s="40">
        <v>153822.58064516101</v>
      </c>
      <c r="Q389" s="40">
        <v>0</v>
      </c>
      <c r="R389" s="40">
        <v>910.47926267281105</v>
      </c>
      <c r="S389" s="40">
        <v>161430.276497696</v>
      </c>
      <c r="T389" s="40"/>
      <c r="U389" s="40">
        <v>115809.953917051</v>
      </c>
      <c r="V389" s="40">
        <v>0</v>
      </c>
      <c r="W389" s="45">
        <f t="shared" si="24"/>
        <v>505774.75576036877</v>
      </c>
      <c r="X389" s="46">
        <f t="shared" si="25"/>
        <v>4.0913503774102047</v>
      </c>
    </row>
    <row r="390" spans="1:24" s="4" customFormat="1" ht="15" customHeight="1">
      <c r="A390" s="28" t="s">
        <v>647</v>
      </c>
      <c r="B390" s="29">
        <v>3125.21</v>
      </c>
      <c r="C390" s="30" t="s">
        <v>650</v>
      </c>
      <c r="D390" s="2">
        <v>4948349026</v>
      </c>
      <c r="E390" s="2" t="s">
        <v>27</v>
      </c>
      <c r="F390" s="2" t="s">
        <v>651</v>
      </c>
      <c r="G390" s="28" t="s">
        <v>13</v>
      </c>
      <c r="H390" s="2" t="s">
        <v>23</v>
      </c>
      <c r="I390" s="2">
        <v>1</v>
      </c>
      <c r="J390" s="2"/>
      <c r="K390" s="2">
        <v>3955.59</v>
      </c>
      <c r="L390" s="35">
        <f t="shared" si="23"/>
        <v>12362049.423900001</v>
      </c>
      <c r="M390" s="36">
        <v>170</v>
      </c>
      <c r="N390" s="40">
        <v>61501.221198156702</v>
      </c>
      <c r="O390" s="40">
        <v>0</v>
      </c>
      <c r="P390" s="40">
        <v>128185.483870968</v>
      </c>
      <c r="Q390" s="40">
        <v>0</v>
      </c>
      <c r="R390" s="40">
        <v>758.73271889400905</v>
      </c>
      <c r="S390" s="40">
        <v>134525.230414747</v>
      </c>
      <c r="T390" s="40"/>
      <c r="U390" s="40">
        <v>96508.294930875607</v>
      </c>
      <c r="V390" s="40">
        <v>0</v>
      </c>
      <c r="W390" s="45">
        <f t="shared" si="24"/>
        <v>421478.96313364129</v>
      </c>
      <c r="X390" s="46">
        <f t="shared" si="25"/>
        <v>3.4094586478418427</v>
      </c>
    </row>
    <row r="391" spans="1:24" s="4" customFormat="1" ht="15" customHeight="1">
      <c r="A391" s="28" t="s">
        <v>647</v>
      </c>
      <c r="B391" s="29">
        <v>3125.21</v>
      </c>
      <c r="C391" s="30" t="s">
        <v>652</v>
      </c>
      <c r="D391" s="2">
        <v>4948493983</v>
      </c>
      <c r="E391" s="2" t="s">
        <v>21</v>
      </c>
      <c r="F391" s="78" t="s">
        <v>653</v>
      </c>
      <c r="G391" s="28" t="s">
        <v>13</v>
      </c>
      <c r="H391" s="2" t="s">
        <v>23</v>
      </c>
      <c r="I391" s="2">
        <v>1</v>
      </c>
      <c r="J391" s="2"/>
      <c r="K391" s="2">
        <f>1409.34+274</f>
        <v>1683.34</v>
      </c>
      <c r="L391" s="35">
        <f t="shared" si="23"/>
        <v>5260791.0013999995</v>
      </c>
      <c r="M391" s="36">
        <v>589.67999999999995</v>
      </c>
      <c r="N391" s="37">
        <v>731847.09</v>
      </c>
      <c r="O391" s="37">
        <v>0</v>
      </c>
      <c r="P391" s="37">
        <v>0</v>
      </c>
      <c r="Q391" s="37">
        <v>0</v>
      </c>
      <c r="R391" s="37">
        <v>6346</v>
      </c>
      <c r="S391" s="37">
        <v>343435</v>
      </c>
      <c r="T391" s="37"/>
      <c r="U391" s="37">
        <v>246380</v>
      </c>
      <c r="V391" s="37">
        <v>0</v>
      </c>
      <c r="W391" s="45">
        <f t="shared" si="24"/>
        <v>1328008.0899999999</v>
      </c>
      <c r="X391" s="46">
        <f t="shared" si="25"/>
        <v>25.243505960350653</v>
      </c>
    </row>
    <row r="392" spans="1:24" s="4" customFormat="1" ht="15" customHeight="1">
      <c r="A392" s="28" t="s">
        <v>647</v>
      </c>
      <c r="B392" s="29">
        <v>3125.21</v>
      </c>
      <c r="C392" s="30" t="s">
        <v>654</v>
      </c>
      <c r="D392" s="2" t="s">
        <v>655</v>
      </c>
      <c r="E392" s="2" t="s">
        <v>27</v>
      </c>
      <c r="F392" s="2" t="s">
        <v>656</v>
      </c>
      <c r="G392" s="28" t="s">
        <v>13</v>
      </c>
      <c r="H392" s="2" t="s">
        <v>23</v>
      </c>
      <c r="I392" s="2">
        <v>3</v>
      </c>
      <c r="J392" s="2"/>
      <c r="K392" s="2">
        <v>1272.81</v>
      </c>
      <c r="L392" s="35">
        <f t="shared" si="23"/>
        <v>3977798.5400999999</v>
      </c>
      <c r="M392" s="36">
        <v>119.22</v>
      </c>
      <c r="N392" s="37">
        <v>998259.35</v>
      </c>
      <c r="O392" s="37">
        <v>0</v>
      </c>
      <c r="P392" s="37">
        <v>0</v>
      </c>
      <c r="Q392" s="37">
        <v>0</v>
      </c>
      <c r="R392" s="37">
        <v>3993</v>
      </c>
      <c r="S392" s="37">
        <v>343435</v>
      </c>
      <c r="T392" s="37"/>
      <c r="U392" s="37">
        <v>246380</v>
      </c>
      <c r="V392" s="37">
        <v>0</v>
      </c>
      <c r="W392" s="45">
        <f t="shared" si="24"/>
        <v>1592067.35</v>
      </c>
      <c r="X392" s="46">
        <f t="shared" si="25"/>
        <v>40.023830617625407</v>
      </c>
    </row>
    <row r="393" spans="1:24" s="4" customFormat="1" ht="15" customHeight="1">
      <c r="A393" s="28" t="s">
        <v>647</v>
      </c>
      <c r="B393" s="29">
        <v>3125.21</v>
      </c>
      <c r="C393" s="30" t="s">
        <v>657</v>
      </c>
      <c r="D393" s="2">
        <v>4946469474</v>
      </c>
      <c r="E393" s="2" t="s">
        <v>14</v>
      </c>
      <c r="F393" s="2" t="s">
        <v>658</v>
      </c>
      <c r="G393" s="28" t="s">
        <v>9</v>
      </c>
      <c r="H393" s="2" t="s">
        <v>23</v>
      </c>
      <c r="I393" s="2">
        <v>6</v>
      </c>
      <c r="J393" s="2"/>
      <c r="K393" s="2">
        <v>12668.4</v>
      </c>
      <c r="L393" s="35">
        <f t="shared" si="23"/>
        <v>39591410.364</v>
      </c>
      <c r="M393" s="36">
        <v>23000</v>
      </c>
      <c r="N393" s="37">
        <v>872130</v>
      </c>
      <c r="O393" s="37">
        <v>1475</v>
      </c>
      <c r="P393" s="37">
        <v>22990</v>
      </c>
      <c r="Q393" s="37">
        <v>36433</v>
      </c>
      <c r="R393" s="37">
        <v>122300</v>
      </c>
      <c r="S393" s="37">
        <v>343435</v>
      </c>
      <c r="T393" s="37">
        <v>30000</v>
      </c>
      <c r="U393" s="37">
        <v>2085500</v>
      </c>
      <c r="V393" s="37">
        <v>0</v>
      </c>
      <c r="W393" s="45">
        <f t="shared" si="24"/>
        <v>3514263</v>
      </c>
      <c r="X393" s="46">
        <f t="shared" si="25"/>
        <v>8.8763268792148846</v>
      </c>
    </row>
    <row r="394" spans="1:24" s="4" customFormat="1" ht="15" customHeight="1">
      <c r="A394" s="28" t="s">
        <v>647</v>
      </c>
      <c r="B394" s="29">
        <v>3125.21</v>
      </c>
      <c r="C394" s="30" t="s">
        <v>659</v>
      </c>
      <c r="D394" s="2">
        <v>4947973106</v>
      </c>
      <c r="E394" s="2" t="s">
        <v>38</v>
      </c>
      <c r="F394" s="2" t="s">
        <v>660</v>
      </c>
      <c r="G394" s="28" t="s">
        <v>5</v>
      </c>
      <c r="H394" s="2" t="s">
        <v>17</v>
      </c>
      <c r="I394" s="2">
        <v>1</v>
      </c>
      <c r="J394" s="2" t="s">
        <v>661</v>
      </c>
      <c r="K394" s="2">
        <v>16219.2</v>
      </c>
      <c r="L394" s="35">
        <f t="shared" si="23"/>
        <v>50688406.032000005</v>
      </c>
      <c r="M394" s="36">
        <v>7440</v>
      </c>
      <c r="N394" s="40">
        <v>176533.51880997099</v>
      </c>
      <c r="O394" s="40">
        <v>157915.57699142001</v>
      </c>
      <c r="P394" s="40">
        <v>0</v>
      </c>
      <c r="Q394" s="40">
        <v>37511.243336548701</v>
      </c>
      <c r="R394" s="40">
        <v>275100.46037467598</v>
      </c>
      <c r="S394" s="40">
        <v>129723.125349038</v>
      </c>
      <c r="T394" s="40"/>
      <c r="U394" s="40">
        <v>1947499.4161547399</v>
      </c>
      <c r="V394" s="40">
        <v>0</v>
      </c>
      <c r="W394" s="45">
        <f t="shared" si="24"/>
        <v>2724283.3410163936</v>
      </c>
      <c r="X394" s="46">
        <f t="shared" si="25"/>
        <v>5.3745689680920945</v>
      </c>
    </row>
    <row r="395" spans="1:24" s="4" customFormat="1" ht="15" customHeight="1">
      <c r="A395" s="28" t="s">
        <v>647</v>
      </c>
      <c r="B395" s="29">
        <v>3125.21</v>
      </c>
      <c r="C395" s="30" t="s">
        <v>659</v>
      </c>
      <c r="D395" s="2">
        <v>4947973102</v>
      </c>
      <c r="E395" s="2" t="s">
        <v>38</v>
      </c>
      <c r="F395" s="2" t="s">
        <v>660</v>
      </c>
      <c r="G395" s="28" t="s">
        <v>5</v>
      </c>
      <c r="H395" s="2" t="s">
        <v>17</v>
      </c>
      <c r="I395" s="2">
        <v>1</v>
      </c>
      <c r="J395" s="2" t="s">
        <v>661</v>
      </c>
      <c r="K395" s="2">
        <v>25266.2</v>
      </c>
      <c r="L395" s="35">
        <f t="shared" si="23"/>
        <v>78962180.90200001</v>
      </c>
      <c r="M395" s="36">
        <v>11590</v>
      </c>
      <c r="N395" s="40">
        <v>275003.15631822101</v>
      </c>
      <c r="O395" s="40">
        <v>246000.20663045099</v>
      </c>
      <c r="P395" s="40">
        <v>0</v>
      </c>
      <c r="Q395" s="40">
        <v>58434.853530994602</v>
      </c>
      <c r="R395" s="40">
        <v>428551.19566431397</v>
      </c>
      <c r="S395" s="40">
        <v>202082.126719805</v>
      </c>
      <c r="T395" s="40"/>
      <c r="U395" s="40">
        <v>3033806.21414429</v>
      </c>
      <c r="V395" s="40">
        <v>0</v>
      </c>
      <c r="W395" s="45">
        <f t="shared" si="24"/>
        <v>4243877.7530080751</v>
      </c>
      <c r="X395" s="46">
        <f t="shared" si="25"/>
        <v>5.374570084728477</v>
      </c>
    </row>
    <row r="396" spans="1:24" s="4" customFormat="1" ht="15" customHeight="1">
      <c r="A396" s="28" t="s">
        <v>647</v>
      </c>
      <c r="B396" s="29">
        <v>3125.21</v>
      </c>
      <c r="C396" s="30" t="s">
        <v>659</v>
      </c>
      <c r="D396" s="2">
        <v>4947971632</v>
      </c>
      <c r="E396" s="2" t="s">
        <v>38</v>
      </c>
      <c r="F396" s="2" t="s">
        <v>660</v>
      </c>
      <c r="G396" s="28" t="s">
        <v>5</v>
      </c>
      <c r="H396" s="2" t="s">
        <v>17</v>
      </c>
      <c r="I396" s="2">
        <v>1</v>
      </c>
      <c r="J396" s="2" t="s">
        <v>661</v>
      </c>
      <c r="K396" s="2">
        <v>1447.4</v>
      </c>
      <c r="L396" s="35">
        <f t="shared" si="23"/>
        <v>4523428.9539999999</v>
      </c>
      <c r="M396" s="36">
        <v>667</v>
      </c>
      <c r="N396" s="40">
        <v>15826.324871807899</v>
      </c>
      <c r="O396" s="40">
        <v>14157.2163781286</v>
      </c>
      <c r="P396" s="40">
        <v>0</v>
      </c>
      <c r="Q396" s="40">
        <v>3362.90313245672</v>
      </c>
      <c r="R396" s="40">
        <v>24663.343961009301</v>
      </c>
      <c r="S396" s="40">
        <v>11629.747931157</v>
      </c>
      <c r="T396" s="40"/>
      <c r="U396" s="40">
        <v>174594.36970097001</v>
      </c>
      <c r="V396" s="40">
        <v>0</v>
      </c>
      <c r="W396" s="45">
        <f t="shared" si="24"/>
        <v>244233.90597552952</v>
      </c>
      <c r="X396" s="46">
        <f t="shared" si="25"/>
        <v>5.3993089857099923</v>
      </c>
    </row>
    <row r="397" spans="1:24" s="4" customFormat="1" ht="15" customHeight="1">
      <c r="A397" s="28" t="s">
        <v>647</v>
      </c>
      <c r="B397" s="29">
        <v>3125.21</v>
      </c>
      <c r="C397" s="30" t="s">
        <v>662</v>
      </c>
      <c r="D397" s="2">
        <v>4947655461</v>
      </c>
      <c r="E397" s="2" t="s">
        <v>33</v>
      </c>
      <c r="F397" s="2" t="s">
        <v>663</v>
      </c>
      <c r="G397" s="28" t="s">
        <v>5</v>
      </c>
      <c r="H397" s="2" t="s">
        <v>20</v>
      </c>
      <c r="I397" s="2">
        <v>1</v>
      </c>
      <c r="J397" s="2" t="s">
        <v>664</v>
      </c>
      <c r="K397" s="2">
        <v>6461.57</v>
      </c>
      <c r="L397" s="35">
        <f t="shared" si="23"/>
        <v>20193763.179699998</v>
      </c>
      <c r="M397" s="36">
        <v>768</v>
      </c>
      <c r="N397" s="40">
        <v>54436.623297346698</v>
      </c>
      <c r="O397" s="40">
        <v>36633.404580152703</v>
      </c>
      <c r="P397" s="40">
        <v>0</v>
      </c>
      <c r="Q397" s="40">
        <v>11415.852716659199</v>
      </c>
      <c r="R397" s="40">
        <v>108664.02512069599</v>
      </c>
      <c r="S397" s="40">
        <v>59105.3682723565</v>
      </c>
      <c r="T397" s="40"/>
      <c r="U397" s="40">
        <v>479868.09251768602</v>
      </c>
      <c r="V397" s="40">
        <v>0</v>
      </c>
      <c r="W397" s="45">
        <f t="shared" si="24"/>
        <v>750123.36650489713</v>
      </c>
      <c r="X397" s="46">
        <f t="shared" si="25"/>
        <v>3.7146289170062512</v>
      </c>
    </row>
    <row r="398" spans="1:24" s="4" customFormat="1" ht="15" customHeight="1">
      <c r="A398" s="28" t="s">
        <v>647</v>
      </c>
      <c r="B398" s="29">
        <v>3125.21</v>
      </c>
      <c r="C398" s="30" t="s">
        <v>662</v>
      </c>
      <c r="D398" s="2">
        <v>4947655461</v>
      </c>
      <c r="E398" s="2" t="s">
        <v>33</v>
      </c>
      <c r="F398" s="2" t="s">
        <v>663</v>
      </c>
      <c r="G398" s="28" t="s">
        <v>5</v>
      </c>
      <c r="H398" s="2" t="s">
        <v>20</v>
      </c>
      <c r="I398" s="2">
        <v>1</v>
      </c>
      <c r="J398" s="2" t="s">
        <v>664</v>
      </c>
      <c r="K398" s="2">
        <v>8544.31</v>
      </c>
      <c r="L398" s="35">
        <f t="shared" si="23"/>
        <v>26702763.055099998</v>
      </c>
      <c r="M398" s="36">
        <v>768</v>
      </c>
      <c r="N398" s="40">
        <v>65691.452586671498</v>
      </c>
      <c r="O398" s="40">
        <v>36633.404580152703</v>
      </c>
      <c r="P398" s="40">
        <v>0</v>
      </c>
      <c r="Q398" s="40">
        <v>11415.852716659199</v>
      </c>
      <c r="R398" s="40">
        <v>131131.05563088201</v>
      </c>
      <c r="S398" s="40">
        <v>71325.465510100999</v>
      </c>
      <c r="T398" s="40"/>
      <c r="U398" s="40">
        <v>579081.32683568902</v>
      </c>
      <c r="V398" s="40">
        <v>0</v>
      </c>
      <c r="W398" s="45">
        <f t="shared" si="24"/>
        <v>895278.55786015536</v>
      </c>
      <c r="X398" s="46">
        <f t="shared" si="25"/>
        <v>3.3527562522754168</v>
      </c>
    </row>
    <row r="399" spans="1:24" s="4" customFormat="1" ht="15" customHeight="1">
      <c r="A399" s="28" t="s">
        <v>647</v>
      </c>
      <c r="B399" s="29">
        <v>3125.21</v>
      </c>
      <c r="C399" s="30" t="s">
        <v>662</v>
      </c>
      <c r="D399" s="2">
        <v>4947655461</v>
      </c>
      <c r="E399" s="2" t="s">
        <v>33</v>
      </c>
      <c r="F399" s="2" t="s">
        <v>663</v>
      </c>
      <c r="G399" s="28" t="s">
        <v>5</v>
      </c>
      <c r="H399" s="2" t="s">
        <v>20</v>
      </c>
      <c r="I399" s="2">
        <v>1</v>
      </c>
      <c r="J399" s="2" t="s">
        <v>664</v>
      </c>
      <c r="K399" s="2">
        <v>5490</v>
      </c>
      <c r="L399" s="35">
        <f t="shared" si="23"/>
        <v>17157402.899999999</v>
      </c>
      <c r="M399" s="36">
        <v>2000</v>
      </c>
      <c r="N399" s="40">
        <v>29907.6033411055</v>
      </c>
      <c r="O399" s="40">
        <v>95399.491094147597</v>
      </c>
      <c r="P399" s="40">
        <v>0</v>
      </c>
      <c r="Q399" s="40">
        <v>29728.783116300001</v>
      </c>
      <c r="R399" s="40">
        <v>59699.834476472497</v>
      </c>
      <c r="S399" s="40">
        <v>32472.622336693701</v>
      </c>
      <c r="T399" s="40"/>
      <c r="U399" s="40">
        <v>263640.609901155</v>
      </c>
      <c r="V399" s="40">
        <v>0</v>
      </c>
      <c r="W399" s="45">
        <f t="shared" si="24"/>
        <v>510848.94426587428</v>
      </c>
      <c r="X399" s="46">
        <f t="shared" si="25"/>
        <v>2.9774258216310483</v>
      </c>
    </row>
    <row r="400" spans="1:24" s="4" customFormat="1" ht="15" customHeight="1">
      <c r="A400" s="28" t="s">
        <v>647</v>
      </c>
      <c r="B400" s="29">
        <v>3125.21</v>
      </c>
      <c r="C400" s="30" t="s">
        <v>662</v>
      </c>
      <c r="D400" s="2">
        <v>4947655461</v>
      </c>
      <c r="E400" s="2" t="s">
        <v>33</v>
      </c>
      <c r="F400" s="2" t="s">
        <v>663</v>
      </c>
      <c r="G400" s="28" t="s">
        <v>5</v>
      </c>
      <c r="H400" s="2" t="s">
        <v>20</v>
      </c>
      <c r="I400" s="2">
        <v>1</v>
      </c>
      <c r="J400" s="2" t="s">
        <v>664</v>
      </c>
      <c r="K400" s="2">
        <v>5010</v>
      </c>
      <c r="L400" s="35">
        <f t="shared" si="23"/>
        <v>15657302.1</v>
      </c>
      <c r="M400" s="36">
        <v>2000</v>
      </c>
      <c r="N400" s="40">
        <v>29907.6033411055</v>
      </c>
      <c r="O400" s="40">
        <v>95399.491094147597</v>
      </c>
      <c r="P400" s="40">
        <v>0</v>
      </c>
      <c r="Q400" s="40">
        <v>29728.783116300001</v>
      </c>
      <c r="R400" s="40">
        <v>59699.834476472497</v>
      </c>
      <c r="S400" s="40">
        <v>32472.622336693701</v>
      </c>
      <c r="T400" s="40"/>
      <c r="U400" s="40">
        <v>263640.609901155</v>
      </c>
      <c r="V400" s="40">
        <v>0</v>
      </c>
      <c r="W400" s="45">
        <f t="shared" si="24"/>
        <v>510848.94426587428</v>
      </c>
      <c r="X400" s="46">
        <f t="shared" si="25"/>
        <v>3.2626881757992923</v>
      </c>
    </row>
    <row r="401" spans="1:24" s="4" customFormat="1" ht="15" customHeight="1">
      <c r="A401" s="28" t="s">
        <v>647</v>
      </c>
      <c r="B401" s="29">
        <v>3125.21</v>
      </c>
      <c r="C401" s="30" t="s">
        <v>662</v>
      </c>
      <c r="D401" s="2">
        <v>4947655461</v>
      </c>
      <c r="E401" s="2" t="s">
        <v>33</v>
      </c>
      <c r="F401" s="2" t="s">
        <v>663</v>
      </c>
      <c r="G401" s="28" t="s">
        <v>5</v>
      </c>
      <c r="H401" s="2" t="s">
        <v>20</v>
      </c>
      <c r="I401" s="2">
        <v>1</v>
      </c>
      <c r="J401" s="2" t="s">
        <v>664</v>
      </c>
      <c r="K401" s="2">
        <v>476</v>
      </c>
      <c r="L401" s="35">
        <f t="shared" si="23"/>
        <v>1487599.96</v>
      </c>
      <c r="M401" s="36">
        <v>200</v>
      </c>
      <c r="N401" s="40">
        <v>29907.6033411055</v>
      </c>
      <c r="O401" s="40">
        <v>9539.9491094147597</v>
      </c>
      <c r="P401" s="40">
        <v>0</v>
      </c>
      <c r="Q401" s="40">
        <v>2972.8783116300001</v>
      </c>
      <c r="R401" s="40">
        <v>59699.834476472497</v>
      </c>
      <c r="S401" s="40">
        <v>32472.622336693701</v>
      </c>
      <c r="T401" s="40"/>
      <c r="U401" s="40">
        <v>263640.609901155</v>
      </c>
      <c r="V401" s="40">
        <v>0</v>
      </c>
      <c r="W401" s="45">
        <f t="shared" si="24"/>
        <v>398233.49747647147</v>
      </c>
      <c r="X401" s="46">
        <f t="shared" si="25"/>
        <v>26.770200872852367</v>
      </c>
    </row>
    <row r="402" spans="1:24" s="4" customFormat="1" ht="15" customHeight="1">
      <c r="A402" s="28" t="s">
        <v>647</v>
      </c>
      <c r="B402" s="29">
        <v>3125.21</v>
      </c>
      <c r="C402" s="30" t="s">
        <v>662</v>
      </c>
      <c r="D402" s="2">
        <v>4947655461</v>
      </c>
      <c r="E402" s="2" t="s">
        <v>33</v>
      </c>
      <c r="F402" s="2" t="s">
        <v>663</v>
      </c>
      <c r="G402" s="28" t="s">
        <v>5</v>
      </c>
      <c r="H402" s="2" t="s">
        <v>20</v>
      </c>
      <c r="I402" s="2">
        <v>1</v>
      </c>
      <c r="J402" s="2" t="s">
        <v>664</v>
      </c>
      <c r="K402" s="2">
        <v>896.84</v>
      </c>
      <c r="L402" s="35">
        <f t="shared" si="23"/>
        <v>2802813.3363999999</v>
      </c>
      <c r="M402" s="36">
        <v>315</v>
      </c>
      <c r="N402" s="40">
        <v>6688.8354872382597</v>
      </c>
      <c r="O402" s="40">
        <v>15025.419847328199</v>
      </c>
      <c r="P402" s="40">
        <v>0</v>
      </c>
      <c r="Q402" s="40">
        <v>4682.2833408172401</v>
      </c>
      <c r="R402" s="40">
        <v>13351.646480663099</v>
      </c>
      <c r="S402" s="40">
        <v>7262.5019856015497</v>
      </c>
      <c r="T402" s="40"/>
      <c r="U402" s="40">
        <v>58963.222404393302</v>
      </c>
      <c r="V402" s="40">
        <v>0</v>
      </c>
      <c r="W402" s="45">
        <f t="shared" si="24"/>
        <v>105973.90954604166</v>
      </c>
      <c r="X402" s="46">
        <f t="shared" si="25"/>
        <v>3.7809834914713609</v>
      </c>
    </row>
    <row r="403" spans="1:24" s="4" customFormat="1" ht="15" customHeight="1">
      <c r="A403" s="28" t="s">
        <v>647</v>
      </c>
      <c r="B403" s="29">
        <v>3125.21</v>
      </c>
      <c r="C403" s="30" t="s">
        <v>662</v>
      </c>
      <c r="D403" s="2">
        <v>4947655461</v>
      </c>
      <c r="E403" s="2" t="s">
        <v>33</v>
      </c>
      <c r="F403" s="2" t="s">
        <v>663</v>
      </c>
      <c r="G403" s="28" t="s">
        <v>5</v>
      </c>
      <c r="H403" s="2" t="s">
        <v>20</v>
      </c>
      <c r="I403" s="2">
        <v>1</v>
      </c>
      <c r="J403" s="2" t="s">
        <v>664</v>
      </c>
      <c r="K403" s="2">
        <v>1565.68</v>
      </c>
      <c r="L403" s="35">
        <f t="shared" si="23"/>
        <v>4893078.7927999999</v>
      </c>
      <c r="M403" s="36">
        <v>315</v>
      </c>
      <c r="N403" s="40">
        <v>10268.7756071686</v>
      </c>
      <c r="O403" s="40">
        <v>15025.419847328199</v>
      </c>
      <c r="P403" s="40">
        <v>0</v>
      </c>
      <c r="Q403" s="40">
        <v>4682.2833408172401</v>
      </c>
      <c r="R403" s="40">
        <v>20498.189667496801</v>
      </c>
      <c r="S403" s="40">
        <v>11149.4748793038</v>
      </c>
      <c r="T403" s="40"/>
      <c r="U403" s="40">
        <v>90521.003409561497</v>
      </c>
      <c r="V403" s="40">
        <v>0</v>
      </c>
      <c r="W403" s="45">
        <f t="shared" si="24"/>
        <v>152145.14675167613</v>
      </c>
      <c r="X403" s="46">
        <f t="shared" si="25"/>
        <v>3.109394988193376</v>
      </c>
    </row>
    <row r="404" spans="1:24" s="4" customFormat="1" ht="15" customHeight="1">
      <c r="A404" s="28" t="s">
        <v>647</v>
      </c>
      <c r="B404" s="29">
        <v>3125.21</v>
      </c>
      <c r="C404" s="30" t="s">
        <v>662</v>
      </c>
      <c r="D404" s="2">
        <v>4947655461</v>
      </c>
      <c r="E404" s="2" t="s">
        <v>33</v>
      </c>
      <c r="F404" s="2" t="s">
        <v>663</v>
      </c>
      <c r="G404" s="28" t="s">
        <v>5</v>
      </c>
      <c r="H404" s="2" t="s">
        <v>20</v>
      </c>
      <c r="I404" s="2">
        <v>1</v>
      </c>
      <c r="J404" s="2" t="s">
        <v>664</v>
      </c>
      <c r="K404" s="2">
        <v>1915</v>
      </c>
      <c r="L404" s="35">
        <f t="shared" si="23"/>
        <v>5984777.1500000004</v>
      </c>
      <c r="M404" s="36">
        <v>315</v>
      </c>
      <c r="N404" s="40">
        <v>89498.502998258293</v>
      </c>
      <c r="O404" s="40">
        <v>15025.419847328199</v>
      </c>
      <c r="P404" s="40">
        <v>0</v>
      </c>
      <c r="Q404" s="40">
        <v>4682.2833408172401</v>
      </c>
      <c r="R404" s="40">
        <v>178653.57967084399</v>
      </c>
      <c r="S404" s="40">
        <v>97174.322342555999</v>
      </c>
      <c r="T404" s="40"/>
      <c r="U404" s="40">
        <v>788944.52512920601</v>
      </c>
      <c r="V404" s="40">
        <v>0</v>
      </c>
      <c r="W404" s="45">
        <f t="shared" si="24"/>
        <v>1173978.6333290096</v>
      </c>
      <c r="X404" s="46">
        <f t="shared" si="25"/>
        <v>19.616079327682396</v>
      </c>
    </row>
    <row r="405" spans="1:24" s="4" customFormat="1" ht="15" customHeight="1">
      <c r="A405" s="28" t="s">
        <v>647</v>
      </c>
      <c r="B405" s="29">
        <v>3125.21</v>
      </c>
      <c r="C405" s="30" t="s">
        <v>665</v>
      </c>
      <c r="D405" s="2">
        <v>4947591490</v>
      </c>
      <c r="E405" s="2" t="s">
        <v>33</v>
      </c>
      <c r="F405" s="2" t="s">
        <v>666</v>
      </c>
      <c r="G405" s="28" t="s">
        <v>5</v>
      </c>
      <c r="H405" s="2" t="s">
        <v>20</v>
      </c>
      <c r="I405" s="2">
        <v>2</v>
      </c>
      <c r="J405" s="2" t="s">
        <v>667</v>
      </c>
      <c r="K405" s="2">
        <v>25344</v>
      </c>
      <c r="L405" s="35">
        <f t="shared" si="23"/>
        <v>79205322.239999995</v>
      </c>
      <c r="M405" s="36">
        <v>39600</v>
      </c>
      <c r="N405" s="37">
        <v>640599</v>
      </c>
      <c r="O405" s="37">
        <v>637364</v>
      </c>
      <c r="P405" s="37">
        <v>0</v>
      </c>
      <c r="Q405" s="37">
        <v>198619</v>
      </c>
      <c r="R405" s="37">
        <v>1062651</v>
      </c>
      <c r="S405" s="37">
        <v>343435</v>
      </c>
      <c r="T405" s="37"/>
      <c r="U405" s="37">
        <v>8700000</v>
      </c>
      <c r="V405" s="37">
        <v>0</v>
      </c>
      <c r="W405" s="45">
        <f t="shared" si="24"/>
        <v>11582668</v>
      </c>
      <c r="X405" s="46">
        <f t="shared" si="25"/>
        <v>14.623598102288335</v>
      </c>
    </row>
    <row r="406" spans="1:24" s="4" customFormat="1" ht="15" customHeight="1">
      <c r="A406" s="28" t="s">
        <v>647</v>
      </c>
      <c r="B406" s="29">
        <v>3125.21</v>
      </c>
      <c r="C406" s="49" t="s">
        <v>668</v>
      </c>
      <c r="D406" s="2">
        <v>4947777440</v>
      </c>
      <c r="E406" s="2" t="s">
        <v>36</v>
      </c>
      <c r="F406" s="2" t="s">
        <v>669</v>
      </c>
      <c r="G406" s="28" t="s">
        <v>5</v>
      </c>
      <c r="H406" s="2" t="s">
        <v>26</v>
      </c>
      <c r="I406" s="2">
        <v>4</v>
      </c>
      <c r="J406" s="2" t="s">
        <v>670</v>
      </c>
      <c r="K406" s="2">
        <v>79752</v>
      </c>
      <c r="L406" s="35">
        <f t="shared" si="23"/>
        <v>249241747.92000002</v>
      </c>
      <c r="M406" s="36">
        <v>87640</v>
      </c>
      <c r="N406" s="37">
        <v>0</v>
      </c>
      <c r="O406" s="37">
        <v>1942068</v>
      </c>
      <c r="P406" s="37">
        <v>7015071</v>
      </c>
      <c r="Q406" s="37">
        <v>496548</v>
      </c>
      <c r="R406" s="37">
        <v>3362425</v>
      </c>
      <c r="S406" s="37">
        <v>343435</v>
      </c>
      <c r="T406" s="37"/>
      <c r="U406" s="37">
        <v>0</v>
      </c>
      <c r="V406" s="37">
        <v>0</v>
      </c>
      <c r="W406" s="45">
        <f t="shared" si="24"/>
        <v>13159547</v>
      </c>
      <c r="X406" s="46">
        <f t="shared" si="25"/>
        <v>5.2798325761316134</v>
      </c>
    </row>
    <row r="407" spans="1:24" s="4" customFormat="1" ht="15" customHeight="1">
      <c r="A407" s="28" t="s">
        <v>647</v>
      </c>
      <c r="B407" s="29">
        <v>3125.21</v>
      </c>
      <c r="C407" s="30" t="s">
        <v>671</v>
      </c>
      <c r="D407" s="2">
        <v>4947975535</v>
      </c>
      <c r="E407" s="2" t="s">
        <v>14</v>
      </c>
      <c r="F407" s="2" t="s">
        <v>672</v>
      </c>
      <c r="G407" s="28" t="s">
        <v>5</v>
      </c>
      <c r="H407" s="2" t="s">
        <v>20</v>
      </c>
      <c r="I407" s="2">
        <v>1</v>
      </c>
      <c r="J407" s="2" t="s">
        <v>673</v>
      </c>
      <c r="K407" s="2">
        <v>11144</v>
      </c>
      <c r="L407" s="35">
        <f t="shared" si="23"/>
        <v>34827340.240000002</v>
      </c>
      <c r="M407" s="36">
        <v>5600</v>
      </c>
      <c r="N407" s="37">
        <v>355267</v>
      </c>
      <c r="O407" s="37">
        <v>318682</v>
      </c>
      <c r="P407" s="37">
        <v>0</v>
      </c>
      <c r="Q407" s="37">
        <v>99309</v>
      </c>
      <c r="R407" s="37">
        <v>622555</v>
      </c>
      <c r="S407" s="37">
        <v>343435</v>
      </c>
      <c r="T407" s="37">
        <v>30000</v>
      </c>
      <c r="U407" s="37">
        <v>2119000</v>
      </c>
      <c r="V407" s="37">
        <v>0</v>
      </c>
      <c r="W407" s="45">
        <f t="shared" si="24"/>
        <v>3888248</v>
      </c>
      <c r="X407" s="46">
        <f t="shared" si="25"/>
        <v>11.164355282963175</v>
      </c>
    </row>
    <row r="408" spans="1:24" s="4" customFormat="1" ht="15" customHeight="1">
      <c r="A408" s="28" t="s">
        <v>647</v>
      </c>
      <c r="B408" s="29">
        <v>3125.21</v>
      </c>
      <c r="C408" s="49" t="s">
        <v>674</v>
      </c>
      <c r="D408" s="2">
        <v>4947777438</v>
      </c>
      <c r="E408" s="2" t="s">
        <v>36</v>
      </c>
      <c r="F408" s="2" t="s">
        <v>675</v>
      </c>
      <c r="G408" s="28" t="s">
        <v>5</v>
      </c>
      <c r="H408" s="2" t="s">
        <v>26</v>
      </c>
      <c r="I408" s="2">
        <v>4</v>
      </c>
      <c r="J408" s="2" t="s">
        <v>676</v>
      </c>
      <c r="K408" s="2">
        <v>80271</v>
      </c>
      <c r="L408" s="35">
        <f t="shared" si="23"/>
        <v>250863731.91</v>
      </c>
      <c r="M408" s="36">
        <v>88210</v>
      </c>
      <c r="N408" s="37">
        <v>0</v>
      </c>
      <c r="O408" s="37">
        <v>1942068</v>
      </c>
      <c r="P408" s="37">
        <v>7015071</v>
      </c>
      <c r="Q408" s="37">
        <v>496548</v>
      </c>
      <c r="R408" s="37">
        <v>3362425</v>
      </c>
      <c r="S408" s="37">
        <v>343435</v>
      </c>
      <c r="T408" s="37"/>
      <c r="U408" s="37">
        <v>0</v>
      </c>
      <c r="V408" s="37">
        <v>0</v>
      </c>
      <c r="W408" s="45">
        <f t="shared" si="24"/>
        <v>13159547</v>
      </c>
      <c r="X408" s="46">
        <f t="shared" si="25"/>
        <v>5.2456953023090342</v>
      </c>
    </row>
    <row r="409" spans="1:24" s="4" customFormat="1" ht="15" customHeight="1">
      <c r="A409" s="28" t="s">
        <v>647</v>
      </c>
      <c r="B409" s="29">
        <v>3125.21</v>
      </c>
      <c r="C409" s="30" t="s">
        <v>677</v>
      </c>
      <c r="D409" s="2">
        <v>4947917127</v>
      </c>
      <c r="E409" s="2" t="s">
        <v>14</v>
      </c>
      <c r="F409" s="78" t="s">
        <v>678</v>
      </c>
      <c r="G409" s="28" t="s">
        <v>9</v>
      </c>
      <c r="H409" s="2" t="s">
        <v>23</v>
      </c>
      <c r="I409" s="2">
        <v>5</v>
      </c>
      <c r="J409" s="2"/>
      <c r="K409" s="2">
        <v>2340</v>
      </c>
      <c r="L409" s="35">
        <f t="shared" si="23"/>
        <v>7312991.4000000004</v>
      </c>
      <c r="M409" s="36">
        <v>1500</v>
      </c>
      <c r="N409" s="40">
        <v>374401.642335766</v>
      </c>
      <c r="O409" s="40">
        <v>1023.17518248175</v>
      </c>
      <c r="P409" s="40">
        <v>47044.160583941601</v>
      </c>
      <c r="Q409" s="40">
        <v>24689.781021897801</v>
      </c>
      <c r="R409" s="40">
        <v>74943.065693430704</v>
      </c>
      <c r="S409" s="40">
        <v>188011.86131386901</v>
      </c>
      <c r="T409" s="37">
        <v>30000</v>
      </c>
      <c r="U409" s="40">
        <v>1497481.7518248199</v>
      </c>
      <c r="V409" s="40">
        <v>0</v>
      </c>
      <c r="W409" s="45">
        <f t="shared" si="24"/>
        <v>2237595.437956207</v>
      </c>
      <c r="X409" s="46">
        <f t="shared" si="25"/>
        <v>30.597539578074805</v>
      </c>
    </row>
    <row r="410" spans="1:24" s="4" customFormat="1" ht="15" customHeight="1">
      <c r="A410" s="28" t="s">
        <v>647</v>
      </c>
      <c r="B410" s="29">
        <v>3125.21</v>
      </c>
      <c r="C410" s="30" t="s">
        <v>677</v>
      </c>
      <c r="D410" s="2">
        <v>4947945344</v>
      </c>
      <c r="E410" s="2" t="s">
        <v>14</v>
      </c>
      <c r="F410" s="78" t="s">
        <v>678</v>
      </c>
      <c r="G410" s="28" t="s">
        <v>9</v>
      </c>
      <c r="H410" s="2" t="s">
        <v>23</v>
      </c>
      <c r="I410" s="2">
        <v>5</v>
      </c>
      <c r="J410" s="2"/>
      <c r="K410" s="2">
        <v>2796.4</v>
      </c>
      <c r="L410" s="35">
        <f t="shared" si="23"/>
        <v>8739337.2440000009</v>
      </c>
      <c r="M410" s="36">
        <v>840</v>
      </c>
      <c r="N410" s="40">
        <v>209664.91970802899</v>
      </c>
      <c r="O410" s="40">
        <v>572.978102189781</v>
      </c>
      <c r="P410" s="40">
        <v>26344.729927007302</v>
      </c>
      <c r="Q410" s="40">
        <v>13826.277372262801</v>
      </c>
      <c r="R410" s="40">
        <v>41968.116788321197</v>
      </c>
      <c r="S410" s="40">
        <v>105286.642335766</v>
      </c>
      <c r="T410" s="37">
        <v>30000</v>
      </c>
      <c r="U410" s="40">
        <v>838589.78102189803</v>
      </c>
      <c r="V410" s="40">
        <v>0</v>
      </c>
      <c r="W410" s="45">
        <f t="shared" si="24"/>
        <v>1266253.4452554742</v>
      </c>
      <c r="X410" s="46">
        <f t="shared" si="25"/>
        <v>14.489124402709388</v>
      </c>
    </row>
    <row r="411" spans="1:24" s="4" customFormat="1" ht="15" customHeight="1">
      <c r="A411" s="28" t="s">
        <v>647</v>
      </c>
      <c r="B411" s="29">
        <v>3125.21</v>
      </c>
      <c r="C411" s="30" t="s">
        <v>677</v>
      </c>
      <c r="D411" s="2">
        <v>4948411912</v>
      </c>
      <c r="E411" s="2" t="s">
        <v>14</v>
      </c>
      <c r="F411" s="78" t="s">
        <v>678</v>
      </c>
      <c r="G411" s="28" t="s">
        <v>9</v>
      </c>
      <c r="H411" s="2" t="s">
        <v>23</v>
      </c>
      <c r="I411" s="2">
        <v>5</v>
      </c>
      <c r="J411" s="2"/>
      <c r="K411" s="2">
        <v>2356</v>
      </c>
      <c r="L411" s="35">
        <f t="shared" si="23"/>
        <v>7362994.7599999998</v>
      </c>
      <c r="M411" s="36">
        <v>400</v>
      </c>
      <c r="N411" s="40">
        <v>99840.437956204405</v>
      </c>
      <c r="O411" s="40">
        <v>272.84671532846698</v>
      </c>
      <c r="P411" s="40">
        <v>12545.109489051099</v>
      </c>
      <c r="Q411" s="40">
        <v>6583.9416058394199</v>
      </c>
      <c r="R411" s="40">
        <v>19984.817518248201</v>
      </c>
      <c r="S411" s="40">
        <v>50136.496350365</v>
      </c>
      <c r="T411" s="37">
        <v>30000</v>
      </c>
      <c r="U411" s="40">
        <v>399328.46715328499</v>
      </c>
      <c r="V411" s="40">
        <v>0</v>
      </c>
      <c r="W411" s="45">
        <f t="shared" si="24"/>
        <v>618692.11678832164</v>
      </c>
      <c r="X411" s="46">
        <f t="shared" si="25"/>
        <v>8.4027238502112098</v>
      </c>
    </row>
    <row r="412" spans="1:24" s="4" customFormat="1" ht="15" customHeight="1">
      <c r="A412" s="28" t="s">
        <v>647</v>
      </c>
      <c r="B412" s="29">
        <v>3125.21</v>
      </c>
      <c r="C412" s="30" t="s">
        <v>679</v>
      </c>
      <c r="D412" s="2">
        <v>4948180148</v>
      </c>
      <c r="E412" s="2" t="s">
        <v>24</v>
      </c>
      <c r="F412" s="2" t="s">
        <v>680</v>
      </c>
      <c r="G412" s="28" t="s">
        <v>5</v>
      </c>
      <c r="H412" s="2" t="s">
        <v>20</v>
      </c>
      <c r="I412" s="2">
        <v>1</v>
      </c>
      <c r="J412" s="2" t="s">
        <v>681</v>
      </c>
      <c r="K412" s="2">
        <v>15840</v>
      </c>
      <c r="L412" s="35">
        <f t="shared" si="23"/>
        <v>49503326.399999999</v>
      </c>
      <c r="M412" s="36">
        <v>16000</v>
      </c>
      <c r="N412" s="37">
        <v>469416</v>
      </c>
      <c r="O412" s="37">
        <v>318682</v>
      </c>
      <c r="P412" s="37">
        <v>0</v>
      </c>
      <c r="Q412" s="37">
        <v>99309</v>
      </c>
      <c r="R412" s="37">
        <v>624472</v>
      </c>
      <c r="S412" s="37">
        <v>343435</v>
      </c>
      <c r="T412" s="37"/>
      <c r="U412" s="37">
        <v>3913500</v>
      </c>
      <c r="V412" s="37">
        <v>0</v>
      </c>
      <c r="W412" s="45">
        <f t="shared" si="24"/>
        <v>5768814</v>
      </c>
      <c r="X412" s="46">
        <f t="shared" si="25"/>
        <v>11.653386589390891</v>
      </c>
    </row>
    <row r="413" spans="1:24" s="4" customFormat="1" ht="15" customHeight="1">
      <c r="A413" s="28" t="s">
        <v>647</v>
      </c>
      <c r="B413" s="29">
        <v>3125.21</v>
      </c>
      <c r="C413" s="30" t="s">
        <v>682</v>
      </c>
      <c r="D413" s="2">
        <v>4948068492</v>
      </c>
      <c r="E413" s="2" t="s">
        <v>33</v>
      </c>
      <c r="F413" s="78" t="s">
        <v>683</v>
      </c>
      <c r="G413" s="28" t="s">
        <v>9</v>
      </c>
      <c r="H413" s="2" t="s">
        <v>23</v>
      </c>
      <c r="I413" s="2">
        <v>4</v>
      </c>
      <c r="J413" s="2"/>
      <c r="K413" s="2">
        <v>1960.69</v>
      </c>
      <c r="L413" s="35">
        <f t="shared" si="23"/>
        <v>6127567.9949000003</v>
      </c>
      <c r="M413" s="36">
        <v>1960.69</v>
      </c>
      <c r="N413" s="37">
        <v>830198</v>
      </c>
      <c r="O413" s="37">
        <v>2165</v>
      </c>
      <c r="P413" s="37">
        <v>0</v>
      </c>
      <c r="Q413" s="37">
        <v>52697</v>
      </c>
      <c r="R413" s="37">
        <v>136061</v>
      </c>
      <c r="S413" s="37">
        <v>343435</v>
      </c>
      <c r="T413" s="37"/>
      <c r="U413" s="37">
        <v>1396800</v>
      </c>
      <c r="V413" s="37">
        <v>0</v>
      </c>
      <c r="W413" s="45">
        <f t="shared" si="24"/>
        <v>2761356</v>
      </c>
      <c r="X413" s="46">
        <f t="shared" si="25"/>
        <v>45.064469334298494</v>
      </c>
    </row>
    <row r="414" spans="1:24" s="4" customFormat="1" ht="15" customHeight="1">
      <c r="A414" s="28" t="s">
        <v>647</v>
      </c>
      <c r="B414" s="29">
        <v>3125.21</v>
      </c>
      <c r="C414" s="30" t="s">
        <v>684</v>
      </c>
      <c r="D414" s="2">
        <v>4948281188</v>
      </c>
      <c r="E414" s="2" t="s">
        <v>24</v>
      </c>
      <c r="F414" s="2" t="s">
        <v>685</v>
      </c>
      <c r="G414" s="28" t="s">
        <v>5</v>
      </c>
      <c r="H414" s="2" t="s">
        <v>20</v>
      </c>
      <c r="I414" s="2">
        <v>1</v>
      </c>
      <c r="J414" s="2" t="s">
        <v>686</v>
      </c>
      <c r="K414" s="2">
        <v>17760</v>
      </c>
      <c r="L414" s="35">
        <f t="shared" si="23"/>
        <v>55503729.600000001</v>
      </c>
      <c r="M414" s="36">
        <v>12000</v>
      </c>
      <c r="N414" s="37">
        <v>467629</v>
      </c>
      <c r="O414" s="37">
        <v>318682</v>
      </c>
      <c r="P414" s="37">
        <v>0</v>
      </c>
      <c r="Q414" s="37">
        <v>99309</v>
      </c>
      <c r="R414" s="37">
        <v>625065</v>
      </c>
      <c r="S414" s="37">
        <v>343435</v>
      </c>
      <c r="T414" s="37"/>
      <c r="U414" s="37">
        <v>499900</v>
      </c>
      <c r="V414" s="37">
        <v>0</v>
      </c>
      <c r="W414" s="45">
        <f t="shared" si="24"/>
        <v>2354020</v>
      </c>
      <c r="X414" s="46">
        <f t="shared" si="25"/>
        <v>4.2411924693435372</v>
      </c>
    </row>
    <row r="415" spans="1:24" s="4" customFormat="1" ht="15" customHeight="1">
      <c r="A415" s="28" t="s">
        <v>647</v>
      </c>
      <c r="B415" s="29">
        <v>3125.21</v>
      </c>
      <c r="C415" s="30" t="s">
        <v>687</v>
      </c>
      <c r="D415" s="2">
        <v>4944127167</v>
      </c>
      <c r="E415" s="2" t="s">
        <v>36</v>
      </c>
      <c r="F415" s="2" t="s">
        <v>688</v>
      </c>
      <c r="G415" s="28" t="s">
        <v>5</v>
      </c>
      <c r="H415" s="2" t="s">
        <v>20</v>
      </c>
      <c r="I415" s="2">
        <v>1</v>
      </c>
      <c r="J415" s="2" t="s">
        <v>689</v>
      </c>
      <c r="K415" s="2">
        <v>31711.439999999999</v>
      </c>
      <c r="L415" s="35">
        <f t="shared" si="23"/>
        <v>99104909.402400002</v>
      </c>
      <c r="M415" s="36">
        <v>17040</v>
      </c>
      <c r="N415" s="37">
        <v>320299</v>
      </c>
      <c r="O415" s="37">
        <v>318682</v>
      </c>
      <c r="P415" s="37">
        <v>0</v>
      </c>
      <c r="Q415" s="37">
        <v>99309</v>
      </c>
      <c r="R415" s="37">
        <v>532322</v>
      </c>
      <c r="S415" s="37">
        <v>343435</v>
      </c>
      <c r="T415" s="37"/>
      <c r="U415" s="37">
        <v>519300</v>
      </c>
      <c r="V415" s="37">
        <v>0</v>
      </c>
      <c r="W415" s="45">
        <f t="shared" si="24"/>
        <v>2133347</v>
      </c>
      <c r="X415" s="46">
        <f t="shared" si="25"/>
        <v>2.1526148531531142</v>
      </c>
    </row>
    <row r="416" spans="1:24" s="4" customFormat="1" ht="15" customHeight="1">
      <c r="A416" s="28" t="s">
        <v>647</v>
      </c>
      <c r="B416" s="29">
        <v>3125.21</v>
      </c>
      <c r="C416" s="30" t="s">
        <v>690</v>
      </c>
      <c r="D416" s="2">
        <v>4947782378</v>
      </c>
      <c r="E416" s="2" t="s">
        <v>36</v>
      </c>
      <c r="F416" s="2" t="s">
        <v>691</v>
      </c>
      <c r="G416" s="28" t="s">
        <v>5</v>
      </c>
      <c r="H416" s="2" t="s">
        <v>20</v>
      </c>
      <c r="I416" s="2">
        <v>1</v>
      </c>
      <c r="J416" s="2" t="s">
        <v>692</v>
      </c>
      <c r="K416" s="2">
        <v>27451.200000000001</v>
      </c>
      <c r="L416" s="35">
        <f t="shared" si="23"/>
        <v>85790764.752000004</v>
      </c>
      <c r="M416" s="36">
        <v>16800</v>
      </c>
      <c r="N416" s="37">
        <v>298380</v>
      </c>
      <c r="O416" s="37">
        <v>318682</v>
      </c>
      <c r="P416" s="37">
        <v>323071</v>
      </c>
      <c r="Q416" s="37">
        <v>99309</v>
      </c>
      <c r="R416" s="37">
        <v>741123</v>
      </c>
      <c r="S416" s="37">
        <v>343435</v>
      </c>
      <c r="T416" s="37"/>
      <c r="U416" s="37">
        <v>519300</v>
      </c>
      <c r="V416" s="37">
        <v>0</v>
      </c>
      <c r="W416" s="45">
        <f t="shared" si="24"/>
        <v>2643300</v>
      </c>
      <c r="X416" s="46">
        <f t="shared" si="25"/>
        <v>3.0811008709866732</v>
      </c>
    </row>
    <row r="417" spans="1:24" s="4" customFormat="1" ht="15" customHeight="1">
      <c r="A417" s="28" t="s">
        <v>647</v>
      </c>
      <c r="B417" s="29">
        <v>3125.21</v>
      </c>
      <c r="C417" s="30" t="s">
        <v>693</v>
      </c>
      <c r="D417" s="2">
        <v>4947807433</v>
      </c>
      <c r="E417" s="2" t="s">
        <v>33</v>
      </c>
      <c r="F417" s="2" t="s">
        <v>694</v>
      </c>
      <c r="G417" s="28" t="s">
        <v>5</v>
      </c>
      <c r="H417" s="2" t="s">
        <v>20</v>
      </c>
      <c r="I417" s="2">
        <v>1</v>
      </c>
      <c r="J417" s="2" t="s">
        <v>695</v>
      </c>
      <c r="K417" s="2">
        <v>14538.53</v>
      </c>
      <c r="L417" s="35">
        <f t="shared" si="23"/>
        <v>45435959.341300003</v>
      </c>
      <c r="M417" s="36">
        <v>1728</v>
      </c>
      <c r="N417" s="40">
        <v>132352.38586596699</v>
      </c>
      <c r="O417" s="37">
        <v>318682</v>
      </c>
      <c r="P417" s="40">
        <v>0</v>
      </c>
      <c r="Q417" s="37">
        <v>99309</v>
      </c>
      <c r="R417" s="40">
        <v>263803.44292685302</v>
      </c>
      <c r="S417" s="40">
        <v>143703.55901032299</v>
      </c>
      <c r="T417" s="40"/>
      <c r="U417" s="40">
        <v>1166708.7908584899</v>
      </c>
      <c r="V417" s="40">
        <v>0</v>
      </c>
      <c r="W417" s="45">
        <f t="shared" si="24"/>
        <v>2124559.1786616328</v>
      </c>
      <c r="X417" s="46">
        <f t="shared" si="25"/>
        <v>4.6759421600469402</v>
      </c>
    </row>
    <row r="418" spans="1:24" s="4" customFormat="1" ht="15" customHeight="1">
      <c r="A418" s="28" t="s">
        <v>647</v>
      </c>
      <c r="B418" s="29">
        <v>3125.21</v>
      </c>
      <c r="C418" s="30" t="s">
        <v>693</v>
      </c>
      <c r="D418" s="2">
        <v>4947807433</v>
      </c>
      <c r="E418" s="2" t="s">
        <v>33</v>
      </c>
      <c r="F418" s="2" t="s">
        <v>694</v>
      </c>
      <c r="G418" s="28" t="s">
        <v>5</v>
      </c>
      <c r="H418" s="2" t="s">
        <v>20</v>
      </c>
      <c r="I418" s="2">
        <v>1</v>
      </c>
      <c r="J418" s="2" t="s">
        <v>695</v>
      </c>
      <c r="K418" s="2">
        <v>19224.689999999999</v>
      </c>
      <c r="L418" s="35">
        <f t="shared" si="23"/>
        <v>60081193.434899993</v>
      </c>
      <c r="M418" s="36">
        <v>1728</v>
      </c>
      <c r="N418" s="40">
        <v>159716.381255977</v>
      </c>
      <c r="O418" s="37">
        <v>318682</v>
      </c>
      <c r="P418" s="40">
        <v>0</v>
      </c>
      <c r="Q418" s="37">
        <v>99309</v>
      </c>
      <c r="R418" s="40">
        <v>318344.91424928303</v>
      </c>
      <c r="S418" s="40">
        <v>173414.42142174</v>
      </c>
      <c r="T418" s="40"/>
      <c r="U418" s="40">
        <v>1407927.0640739601</v>
      </c>
      <c r="V418" s="40">
        <v>0</v>
      </c>
      <c r="W418" s="45">
        <f t="shared" si="24"/>
        <v>2477393.7810009602</v>
      </c>
      <c r="X418" s="46">
        <f t="shared" si="25"/>
        <v>4.1234097383323451</v>
      </c>
    </row>
    <row r="419" spans="1:24" s="4" customFormat="1" ht="15" customHeight="1">
      <c r="A419" s="28" t="s">
        <v>647</v>
      </c>
      <c r="B419" s="29">
        <v>3125.21</v>
      </c>
      <c r="C419" s="30" t="s">
        <v>693</v>
      </c>
      <c r="D419" s="2">
        <v>4947807433</v>
      </c>
      <c r="E419" s="2" t="s">
        <v>33</v>
      </c>
      <c r="F419" s="2" t="s">
        <v>694</v>
      </c>
      <c r="G419" s="28" t="s">
        <v>5</v>
      </c>
      <c r="H419" s="2" t="s">
        <v>20</v>
      </c>
      <c r="I419" s="2">
        <v>1</v>
      </c>
      <c r="J419" s="2" t="s">
        <v>695</v>
      </c>
      <c r="K419" s="2">
        <v>3435</v>
      </c>
      <c r="L419" s="35">
        <f t="shared" si="23"/>
        <v>10735096.35</v>
      </c>
      <c r="M419" s="36">
        <v>1500</v>
      </c>
      <c r="N419" s="40">
        <v>24238.232878055998</v>
      </c>
      <c r="O419" s="37">
        <v>318682</v>
      </c>
      <c r="P419" s="40">
        <v>0</v>
      </c>
      <c r="Q419" s="37">
        <v>99309</v>
      </c>
      <c r="R419" s="40">
        <v>48311.642823864102</v>
      </c>
      <c r="S419" s="40">
        <v>26317.019567936</v>
      </c>
      <c r="T419" s="40"/>
      <c r="U419" s="40">
        <v>213664.145067556</v>
      </c>
      <c r="V419" s="40">
        <v>0</v>
      </c>
      <c r="W419" s="45">
        <f t="shared" si="24"/>
        <v>730522.04033741215</v>
      </c>
      <c r="X419" s="46">
        <f t="shared" si="25"/>
        <v>6.8049882042969481</v>
      </c>
    </row>
    <row r="420" spans="1:24" s="4" customFormat="1" ht="15" customHeight="1">
      <c r="A420" s="28" t="s">
        <v>647</v>
      </c>
      <c r="B420" s="29">
        <v>3125.21</v>
      </c>
      <c r="C420" s="30" t="s">
        <v>696</v>
      </c>
      <c r="D420" s="2">
        <v>4947323777</v>
      </c>
      <c r="E420" s="2" t="s">
        <v>33</v>
      </c>
      <c r="F420" s="78" t="s">
        <v>697</v>
      </c>
      <c r="G420" s="28" t="s">
        <v>5</v>
      </c>
      <c r="H420" s="2" t="s">
        <v>17</v>
      </c>
      <c r="I420" s="2">
        <v>1</v>
      </c>
      <c r="J420" s="2" t="s">
        <v>698</v>
      </c>
      <c r="K420" s="2">
        <v>20375</v>
      </c>
      <c r="L420" s="35">
        <f t="shared" si="23"/>
        <v>63676153.75</v>
      </c>
      <c r="M420" s="36">
        <v>25000</v>
      </c>
      <c r="N420" s="37">
        <v>534642</v>
      </c>
      <c r="O420" s="37">
        <v>361122</v>
      </c>
      <c r="P420" s="37">
        <v>1919795</v>
      </c>
      <c r="Q420" s="37">
        <v>103626</v>
      </c>
      <c r="R420" s="37">
        <v>2559370</v>
      </c>
      <c r="S420" s="37">
        <v>343435</v>
      </c>
      <c r="T420" s="37"/>
      <c r="U420" s="37">
        <v>4561900</v>
      </c>
      <c r="V420" s="37">
        <v>0</v>
      </c>
      <c r="W420" s="45">
        <f t="shared" si="24"/>
        <v>10383890</v>
      </c>
      <c r="X420" s="46">
        <f t="shared" si="25"/>
        <v>16.307344882620207</v>
      </c>
    </row>
    <row r="421" spans="1:24" s="4" customFormat="1" ht="15" customHeight="1">
      <c r="A421" s="28" t="s">
        <v>647</v>
      </c>
      <c r="B421" s="29">
        <v>3125.21</v>
      </c>
      <c r="C421" s="49" t="s">
        <v>699</v>
      </c>
      <c r="D421" s="2">
        <v>4947777436</v>
      </c>
      <c r="E421" s="2" t="s">
        <v>36</v>
      </c>
      <c r="F421" s="2" t="s">
        <v>700</v>
      </c>
      <c r="G421" s="28" t="s">
        <v>5</v>
      </c>
      <c r="H421" s="2" t="s">
        <v>26</v>
      </c>
      <c r="I421" s="2">
        <v>4</v>
      </c>
      <c r="J421" s="2" t="s">
        <v>701</v>
      </c>
      <c r="K421" s="2">
        <v>80535</v>
      </c>
      <c r="L421" s="35">
        <f t="shared" si="23"/>
        <v>251688787.34999999</v>
      </c>
      <c r="M421" s="36">
        <v>88500</v>
      </c>
      <c r="N421" s="37">
        <v>0</v>
      </c>
      <c r="O421" s="37">
        <v>1942068</v>
      </c>
      <c r="P421" s="37">
        <v>7727526</v>
      </c>
      <c r="Q421" s="37">
        <v>496548</v>
      </c>
      <c r="R421" s="37">
        <v>3347880</v>
      </c>
      <c r="S421" s="37">
        <v>343435</v>
      </c>
      <c r="T421" s="37"/>
      <c r="U421" s="37">
        <v>0</v>
      </c>
      <c r="V421" s="37">
        <v>0</v>
      </c>
      <c r="W421" s="45">
        <f t="shared" si="24"/>
        <v>13857457</v>
      </c>
      <c r="X421" s="46">
        <f t="shared" si="25"/>
        <v>5.5057903635292798</v>
      </c>
    </row>
    <row r="422" spans="1:24" s="4" customFormat="1" ht="15" customHeight="1">
      <c r="A422" s="28" t="s">
        <v>647</v>
      </c>
      <c r="B422" s="29">
        <v>3125.21</v>
      </c>
      <c r="C422" s="30" t="s">
        <v>702</v>
      </c>
      <c r="D422" s="2">
        <v>4944904853</v>
      </c>
      <c r="E422" s="2" t="s">
        <v>6</v>
      </c>
      <c r="F422" s="2" t="s">
        <v>703</v>
      </c>
      <c r="G422" s="28" t="s">
        <v>9</v>
      </c>
      <c r="H422" s="2" t="s">
        <v>23</v>
      </c>
      <c r="I422" s="2">
        <v>1</v>
      </c>
      <c r="J422" s="2"/>
      <c r="K422" s="2">
        <v>1220.4000000000001</v>
      </c>
      <c r="L422" s="35">
        <f t="shared" si="23"/>
        <v>3814006.2840000005</v>
      </c>
      <c r="M422" s="36">
        <v>540</v>
      </c>
      <c r="N422" s="37">
        <v>48838</v>
      </c>
      <c r="O422" s="37">
        <v>0</v>
      </c>
      <c r="P422" s="37">
        <v>63152</v>
      </c>
      <c r="Q422" s="37">
        <v>47065</v>
      </c>
      <c r="R422" s="37">
        <v>61763</v>
      </c>
      <c r="S422" s="37">
        <v>343435</v>
      </c>
      <c r="T422" s="37">
        <v>30000</v>
      </c>
      <c r="U422" s="37">
        <v>1299800</v>
      </c>
      <c r="V422" s="37">
        <v>0</v>
      </c>
      <c r="W422" s="45">
        <f t="shared" si="24"/>
        <v>1894053</v>
      </c>
      <c r="X422" s="46">
        <f t="shared" si="25"/>
        <v>49.660458294095456</v>
      </c>
    </row>
    <row r="423" spans="1:24" s="4" customFormat="1" ht="15" customHeight="1">
      <c r="A423" s="28" t="s">
        <v>647</v>
      </c>
      <c r="B423" s="29">
        <v>3125.21</v>
      </c>
      <c r="C423" s="30" t="s">
        <v>704</v>
      </c>
      <c r="D423" s="2">
        <v>4948116671</v>
      </c>
      <c r="E423" s="2" t="s">
        <v>24</v>
      </c>
      <c r="F423" s="2" t="s">
        <v>705</v>
      </c>
      <c r="G423" s="28" t="s">
        <v>5</v>
      </c>
      <c r="H423" s="2" t="s">
        <v>26</v>
      </c>
      <c r="I423" s="2">
        <v>1</v>
      </c>
      <c r="J423" s="2" t="s">
        <v>706</v>
      </c>
      <c r="K423" s="2">
        <v>26865.599999999999</v>
      </c>
      <c r="L423" s="35">
        <f t="shared" si="23"/>
        <v>83960641.775999993</v>
      </c>
      <c r="M423" s="36">
        <v>23160</v>
      </c>
      <c r="N423" s="37">
        <v>308109</v>
      </c>
      <c r="O423" s="37">
        <v>374467</v>
      </c>
      <c r="P423" s="37">
        <v>134798</v>
      </c>
      <c r="Q423" s="37">
        <v>102978</v>
      </c>
      <c r="R423" s="37">
        <v>751236</v>
      </c>
      <c r="S423" s="37">
        <v>343435</v>
      </c>
      <c r="T423" s="37"/>
      <c r="U423" s="37">
        <v>2419294</v>
      </c>
      <c r="V423" s="37">
        <v>0</v>
      </c>
      <c r="W423" s="45">
        <f t="shared" si="24"/>
        <v>4434317</v>
      </c>
      <c r="X423" s="46">
        <f t="shared" si="25"/>
        <v>5.2814234219771556</v>
      </c>
    </row>
    <row r="424" spans="1:24" s="4" customFormat="1" ht="15" customHeight="1">
      <c r="A424" s="28" t="s">
        <v>647</v>
      </c>
      <c r="B424" s="29">
        <v>3125.21</v>
      </c>
      <c r="C424" s="30" t="s">
        <v>707</v>
      </c>
      <c r="D424" s="2">
        <v>4947823572</v>
      </c>
      <c r="E424" s="2" t="s">
        <v>24</v>
      </c>
      <c r="F424" s="78" t="s">
        <v>708</v>
      </c>
      <c r="G424" s="28" t="s">
        <v>5</v>
      </c>
      <c r="H424" s="2" t="s">
        <v>26</v>
      </c>
      <c r="I424" s="2">
        <v>1</v>
      </c>
      <c r="J424" s="2" t="s">
        <v>709</v>
      </c>
      <c r="K424" s="2">
        <v>27608</v>
      </c>
      <c r="L424" s="35">
        <f t="shared" si="23"/>
        <v>86280797.680000007</v>
      </c>
      <c r="M424" s="36">
        <v>23800</v>
      </c>
      <c r="N424" s="37">
        <v>310047</v>
      </c>
      <c r="O424" s="37">
        <v>374467</v>
      </c>
      <c r="P424" s="37">
        <v>1368598</v>
      </c>
      <c r="Q424" s="37">
        <v>102978</v>
      </c>
      <c r="R424" s="37">
        <v>756179</v>
      </c>
      <c r="S424" s="37">
        <v>343435</v>
      </c>
      <c r="T424" s="37"/>
      <c r="U424" s="37">
        <v>2419294</v>
      </c>
      <c r="V424" s="37">
        <v>0</v>
      </c>
      <c r="W424" s="45">
        <f t="shared" si="24"/>
        <v>5674998</v>
      </c>
      <c r="X424" s="46">
        <f t="shared" si="25"/>
        <v>6.5773592184990557</v>
      </c>
    </row>
    <row r="425" spans="1:24" s="4" customFormat="1" ht="15" customHeight="1">
      <c r="A425" s="28" t="s">
        <v>647</v>
      </c>
      <c r="B425" s="29">
        <v>3125.21</v>
      </c>
      <c r="C425" s="30" t="s">
        <v>710</v>
      </c>
      <c r="D425" s="2">
        <v>4947914565</v>
      </c>
      <c r="E425" s="2" t="s">
        <v>21</v>
      </c>
      <c r="F425" s="78" t="s">
        <v>711</v>
      </c>
      <c r="G425" s="28" t="s">
        <v>5</v>
      </c>
      <c r="H425" s="2" t="s">
        <v>20</v>
      </c>
      <c r="I425" s="2">
        <v>1</v>
      </c>
      <c r="J425" s="2" t="s">
        <v>712</v>
      </c>
      <c r="K425" s="2">
        <v>9460.08</v>
      </c>
      <c r="L425" s="35">
        <f t="shared" si="23"/>
        <v>29564736.616799999</v>
      </c>
      <c r="M425" s="36">
        <v>3991.6</v>
      </c>
      <c r="N425" s="37">
        <v>316307</v>
      </c>
      <c r="O425" s="37">
        <v>366666</v>
      </c>
      <c r="P425" s="37">
        <v>283152</v>
      </c>
      <c r="Q425" s="37">
        <v>206737</v>
      </c>
      <c r="R425" s="37">
        <v>781094</v>
      </c>
      <c r="S425" s="37">
        <v>343435</v>
      </c>
      <c r="T425" s="37"/>
      <c r="U425" s="37">
        <v>1728800</v>
      </c>
      <c r="V425" s="37">
        <v>0</v>
      </c>
      <c r="W425" s="45">
        <f t="shared" si="24"/>
        <v>4026191</v>
      </c>
      <c r="X425" s="46">
        <f t="shared" si="25"/>
        <v>13.618220423151476</v>
      </c>
    </row>
    <row r="426" spans="1:24" s="4" customFormat="1" ht="15" customHeight="1">
      <c r="A426" s="28" t="s">
        <v>647</v>
      </c>
      <c r="B426" s="29">
        <v>3125.21</v>
      </c>
      <c r="C426" s="30" t="s">
        <v>713</v>
      </c>
      <c r="D426" s="2" t="s">
        <v>714</v>
      </c>
      <c r="E426" s="2" t="s">
        <v>24</v>
      </c>
      <c r="F426" s="2" t="s">
        <v>715</v>
      </c>
      <c r="G426" s="28" t="s">
        <v>5</v>
      </c>
      <c r="H426" s="2" t="s">
        <v>17</v>
      </c>
      <c r="I426" s="2">
        <v>1</v>
      </c>
      <c r="J426" s="2" t="s">
        <v>716</v>
      </c>
      <c r="K426" s="2">
        <v>22800</v>
      </c>
      <c r="L426" s="35">
        <f t="shared" si="23"/>
        <v>71254788</v>
      </c>
      <c r="M426" s="36">
        <v>24000</v>
      </c>
      <c r="N426" s="37">
        <v>464334</v>
      </c>
      <c r="O426" s="37">
        <v>358864</v>
      </c>
      <c r="P426" s="37">
        <v>151138</v>
      </c>
      <c r="Q426" s="37">
        <v>102978</v>
      </c>
      <c r="R426" s="37">
        <v>733261</v>
      </c>
      <c r="S426" s="37">
        <v>343435</v>
      </c>
      <c r="T426" s="37"/>
      <c r="U426" s="37">
        <v>4154500</v>
      </c>
      <c r="V426" s="37">
        <v>0</v>
      </c>
      <c r="W426" s="45">
        <f t="shared" si="24"/>
        <v>6308510</v>
      </c>
      <c r="X426" s="46">
        <f t="shared" si="25"/>
        <v>8.8534541706867476</v>
      </c>
    </row>
    <row r="427" spans="1:24" s="4" customFormat="1" ht="15" customHeight="1">
      <c r="A427" s="28" t="s">
        <v>647</v>
      </c>
      <c r="B427" s="29">
        <v>3125.21</v>
      </c>
      <c r="C427" s="30" t="s">
        <v>717</v>
      </c>
      <c r="D427" s="2">
        <v>4947812102</v>
      </c>
      <c r="E427" s="2" t="s">
        <v>33</v>
      </c>
      <c r="F427" s="78" t="s">
        <v>718</v>
      </c>
      <c r="G427" s="28" t="s">
        <v>5</v>
      </c>
      <c r="H427" s="2" t="s">
        <v>20</v>
      </c>
      <c r="I427" s="2">
        <v>3</v>
      </c>
      <c r="J427" s="2" t="s">
        <v>719</v>
      </c>
      <c r="K427" s="2">
        <v>81378</v>
      </c>
      <c r="L427" s="35">
        <f t="shared" si="23"/>
        <v>254323339.38</v>
      </c>
      <c r="M427" s="36">
        <v>59400</v>
      </c>
      <c r="N427" s="37">
        <v>3266013</v>
      </c>
      <c r="O427" s="37">
        <v>914019</v>
      </c>
      <c r="P427" s="37">
        <v>1038484</v>
      </c>
      <c r="Q427" s="37">
        <v>359773</v>
      </c>
      <c r="R427" s="37">
        <v>2113880</v>
      </c>
      <c r="S427" s="37">
        <v>343435</v>
      </c>
      <c r="T427" s="37"/>
      <c r="U427" s="37">
        <v>11541300</v>
      </c>
      <c r="V427" s="37">
        <v>0</v>
      </c>
      <c r="W427" s="45">
        <f t="shared" si="24"/>
        <v>19576904</v>
      </c>
      <c r="X427" s="46">
        <f t="shared" si="25"/>
        <v>7.6976434989118143</v>
      </c>
    </row>
    <row r="428" spans="1:24" s="4" customFormat="1" ht="15" customHeight="1">
      <c r="A428" s="28" t="s">
        <v>647</v>
      </c>
      <c r="B428" s="29">
        <v>3125.21</v>
      </c>
      <c r="C428" s="30" t="s">
        <v>720</v>
      </c>
      <c r="D428" s="2">
        <v>4947975534</v>
      </c>
      <c r="E428" s="2" t="s">
        <v>14</v>
      </c>
      <c r="F428" s="78" t="s">
        <v>721</v>
      </c>
      <c r="G428" s="28" t="s">
        <v>9</v>
      </c>
      <c r="H428" s="2" t="s">
        <v>23</v>
      </c>
      <c r="I428" s="2">
        <v>1</v>
      </c>
      <c r="J428" s="2"/>
      <c r="K428" s="2">
        <v>2552</v>
      </c>
      <c r="L428" s="35">
        <f t="shared" si="23"/>
        <v>7975535.9199999999</v>
      </c>
      <c r="M428" s="36">
        <v>800</v>
      </c>
      <c r="N428" s="37">
        <v>476092</v>
      </c>
      <c r="O428" s="37">
        <v>539</v>
      </c>
      <c r="P428" s="37">
        <v>8312</v>
      </c>
      <c r="Q428" s="37">
        <v>13123</v>
      </c>
      <c r="R428" s="37">
        <v>93314</v>
      </c>
      <c r="S428" s="37">
        <v>343435</v>
      </c>
      <c r="T428" s="37">
        <v>30000</v>
      </c>
      <c r="U428" s="37">
        <v>308214.08450704202</v>
      </c>
      <c r="V428" s="37">
        <v>0</v>
      </c>
      <c r="W428" s="45">
        <f t="shared" si="24"/>
        <v>1273029.0845070421</v>
      </c>
      <c r="X428" s="46">
        <f t="shared" si="25"/>
        <v>15.961674516626614</v>
      </c>
    </row>
    <row r="429" spans="1:24" s="4" customFormat="1" ht="15" customHeight="1">
      <c r="A429" s="28" t="s">
        <v>647</v>
      </c>
      <c r="B429" s="29">
        <v>3125.21</v>
      </c>
      <c r="C429" s="30" t="s">
        <v>722</v>
      </c>
      <c r="D429" s="2">
        <v>4948213162</v>
      </c>
      <c r="E429" s="2" t="s">
        <v>14</v>
      </c>
      <c r="F429" s="2" t="s">
        <v>723</v>
      </c>
      <c r="G429" s="28" t="s">
        <v>5</v>
      </c>
      <c r="H429" s="2" t="s">
        <v>20</v>
      </c>
      <c r="I429" s="2">
        <v>1</v>
      </c>
      <c r="J429" s="2" t="s">
        <v>724</v>
      </c>
      <c r="K429" s="2">
        <v>12736</v>
      </c>
      <c r="L429" s="35">
        <f t="shared" si="23"/>
        <v>39802674.560000002</v>
      </c>
      <c r="M429" s="36">
        <v>6400</v>
      </c>
      <c r="N429" s="37">
        <v>360653</v>
      </c>
      <c r="O429" s="37">
        <v>318682</v>
      </c>
      <c r="P429" s="37">
        <v>0</v>
      </c>
      <c r="Q429" s="37">
        <v>99309</v>
      </c>
      <c r="R429" s="37">
        <v>728101</v>
      </c>
      <c r="S429" s="37">
        <v>343435</v>
      </c>
      <c r="T429" s="37">
        <v>30000</v>
      </c>
      <c r="U429" s="37">
        <v>2400300</v>
      </c>
      <c r="V429" s="37">
        <v>0</v>
      </c>
      <c r="W429" s="45">
        <f t="shared" si="24"/>
        <v>4280480</v>
      </c>
      <c r="X429" s="46">
        <f t="shared" si="25"/>
        <v>10.754252188624783</v>
      </c>
    </row>
    <row r="430" spans="1:24" s="4" customFormat="1" ht="15" customHeight="1">
      <c r="A430" s="28" t="s">
        <v>647</v>
      </c>
      <c r="B430" s="29">
        <v>3125.21</v>
      </c>
      <c r="C430" s="30" t="s">
        <v>725</v>
      </c>
      <c r="D430" s="2">
        <v>4948037015</v>
      </c>
      <c r="E430" s="2" t="s">
        <v>14</v>
      </c>
      <c r="F430" s="78" t="s">
        <v>726</v>
      </c>
      <c r="G430" s="28" t="s">
        <v>9</v>
      </c>
      <c r="H430" s="2" t="s">
        <v>23</v>
      </c>
      <c r="I430" s="2">
        <v>3</v>
      </c>
      <c r="J430" s="2"/>
      <c r="K430" s="2">
        <v>10861.2</v>
      </c>
      <c r="L430" s="35">
        <f t="shared" si="23"/>
        <v>33943530.852000006</v>
      </c>
      <c r="M430" s="36">
        <v>2520</v>
      </c>
      <c r="N430" s="37">
        <v>833176</v>
      </c>
      <c r="O430" s="37">
        <v>1708</v>
      </c>
      <c r="P430" s="37">
        <v>0</v>
      </c>
      <c r="Q430" s="37">
        <v>51924</v>
      </c>
      <c r="R430" s="37">
        <v>121830</v>
      </c>
      <c r="S430" s="37">
        <v>343435</v>
      </c>
      <c r="T430" s="37">
        <v>30000</v>
      </c>
      <c r="U430" s="37">
        <v>1367700</v>
      </c>
      <c r="V430" s="37">
        <v>0</v>
      </c>
      <c r="W430" s="45">
        <f t="shared" si="24"/>
        <v>2749773</v>
      </c>
      <c r="X430" s="46">
        <f t="shared" si="25"/>
        <v>8.1010222890173473</v>
      </c>
    </row>
    <row r="431" spans="1:24" s="4" customFormat="1" ht="15" customHeight="1">
      <c r="A431" s="28" t="s">
        <v>647</v>
      </c>
      <c r="B431" s="29">
        <v>3125.21</v>
      </c>
      <c r="C431" s="30" t="s">
        <v>727</v>
      </c>
      <c r="D431" s="2">
        <v>4947705166</v>
      </c>
      <c r="E431" s="2" t="s">
        <v>14</v>
      </c>
      <c r="F431" s="78" t="s">
        <v>728</v>
      </c>
      <c r="G431" s="28" t="s">
        <v>9</v>
      </c>
      <c r="H431" s="2" t="s">
        <v>23</v>
      </c>
      <c r="I431" s="2">
        <v>5</v>
      </c>
      <c r="J431" s="2"/>
      <c r="K431" s="2">
        <v>4600</v>
      </c>
      <c r="L431" s="35">
        <f t="shared" si="23"/>
        <v>14375966</v>
      </c>
      <c r="M431" s="36">
        <v>5000</v>
      </c>
      <c r="N431" s="37">
        <v>967456</v>
      </c>
      <c r="O431" s="37">
        <v>3322</v>
      </c>
      <c r="P431" s="37">
        <v>0</v>
      </c>
      <c r="Q431" s="37">
        <v>101969</v>
      </c>
      <c r="R431" s="37">
        <v>187241</v>
      </c>
      <c r="S431" s="37">
        <v>354356</v>
      </c>
      <c r="T431" s="37">
        <v>30000</v>
      </c>
      <c r="U431" s="37">
        <v>2085500</v>
      </c>
      <c r="V431" s="37">
        <v>0</v>
      </c>
      <c r="W431" s="45">
        <f t="shared" si="24"/>
        <v>3729844</v>
      </c>
      <c r="X431" s="46">
        <f t="shared" si="25"/>
        <v>25.944997365742239</v>
      </c>
    </row>
    <row r="432" spans="1:24" s="4" customFormat="1" ht="15" customHeight="1">
      <c r="A432" s="28" t="s">
        <v>647</v>
      </c>
      <c r="B432" s="29">
        <v>3125.21</v>
      </c>
      <c r="C432" s="30" t="s">
        <v>729</v>
      </c>
      <c r="D432" s="2">
        <v>4948208975</v>
      </c>
      <c r="E432" s="2" t="s">
        <v>14</v>
      </c>
      <c r="F432" s="78" t="s">
        <v>730</v>
      </c>
      <c r="G432" s="28" t="s">
        <v>9</v>
      </c>
      <c r="H432" s="2" t="s">
        <v>23</v>
      </c>
      <c r="I432" s="2">
        <v>5</v>
      </c>
      <c r="J432" s="2"/>
      <c r="K432" s="2">
        <v>5350</v>
      </c>
      <c r="L432" s="35">
        <f t="shared" si="23"/>
        <v>16719873.5</v>
      </c>
      <c r="M432" s="36">
        <v>5000</v>
      </c>
      <c r="N432" s="37">
        <v>959355</v>
      </c>
      <c r="O432" s="37">
        <v>3271</v>
      </c>
      <c r="P432" s="37">
        <v>0</v>
      </c>
      <c r="Q432" s="37">
        <v>102019</v>
      </c>
      <c r="R432" s="37">
        <v>187241</v>
      </c>
      <c r="S432" s="37">
        <v>354356</v>
      </c>
      <c r="T432" s="37">
        <v>30000</v>
      </c>
      <c r="U432" s="37">
        <v>2085500</v>
      </c>
      <c r="V432" s="37">
        <v>0</v>
      </c>
      <c r="W432" s="45">
        <f t="shared" si="24"/>
        <v>3721742</v>
      </c>
      <c r="X432" s="46">
        <f t="shared" si="25"/>
        <v>22.259390897903625</v>
      </c>
    </row>
    <row r="433" spans="1:24" s="4" customFormat="1" ht="15" customHeight="1">
      <c r="A433" s="28" t="s">
        <v>647</v>
      </c>
      <c r="B433" s="29">
        <v>3125.21</v>
      </c>
      <c r="C433" s="30" t="s">
        <v>731</v>
      </c>
      <c r="D433" s="2">
        <v>4948212957</v>
      </c>
      <c r="E433" s="2" t="s">
        <v>14</v>
      </c>
      <c r="F433" s="2" t="s">
        <v>732</v>
      </c>
      <c r="G433" s="28" t="s">
        <v>9</v>
      </c>
      <c r="H433" s="2" t="s">
        <v>23</v>
      </c>
      <c r="I433" s="2">
        <v>2</v>
      </c>
      <c r="J433" s="2"/>
      <c r="K433" s="2">
        <v>5180</v>
      </c>
      <c r="L433" s="35">
        <f t="shared" si="23"/>
        <v>16188587.800000001</v>
      </c>
      <c r="M433" s="36">
        <v>2000</v>
      </c>
      <c r="N433" s="37">
        <v>645857</v>
      </c>
      <c r="O433" s="37">
        <v>1323</v>
      </c>
      <c r="P433" s="37">
        <v>87293</v>
      </c>
      <c r="Q433" s="37">
        <v>32492</v>
      </c>
      <c r="R433" s="37">
        <v>111165</v>
      </c>
      <c r="S433" s="37">
        <v>343435</v>
      </c>
      <c r="T433" s="37">
        <v>30000</v>
      </c>
      <c r="U433" s="37">
        <v>770535.21126760601</v>
      </c>
      <c r="V433" s="37">
        <v>0</v>
      </c>
      <c r="W433" s="45">
        <f t="shared" si="24"/>
        <v>2022100.2112676059</v>
      </c>
      <c r="X433" s="46">
        <f t="shared" si="25"/>
        <v>12.490899368427961</v>
      </c>
    </row>
    <row r="434" spans="1:24" s="4" customFormat="1" ht="15" customHeight="1">
      <c r="A434" s="28" t="s">
        <v>647</v>
      </c>
      <c r="B434" s="29">
        <v>3125.21</v>
      </c>
      <c r="C434" s="30" t="s">
        <v>733</v>
      </c>
      <c r="D434" s="2">
        <v>4948210678</v>
      </c>
      <c r="E434" s="2" t="s">
        <v>14</v>
      </c>
      <c r="F434" s="78" t="s">
        <v>734</v>
      </c>
      <c r="G434" s="28" t="s">
        <v>5</v>
      </c>
      <c r="H434" s="2" t="s">
        <v>20</v>
      </c>
      <c r="I434" s="2">
        <v>3</v>
      </c>
      <c r="J434" s="2" t="s">
        <v>735</v>
      </c>
      <c r="K434" s="2">
        <f>18576+18576+18576</f>
        <v>55728</v>
      </c>
      <c r="L434" s="35">
        <f t="shared" si="23"/>
        <v>174161702.88</v>
      </c>
      <c r="M434" s="36">
        <f>10800+10800+6000+13200+2400+2400+19200</f>
        <v>64800</v>
      </c>
      <c r="N434" s="37">
        <v>967119</v>
      </c>
      <c r="O434" s="37">
        <v>888464</v>
      </c>
      <c r="P434" s="37">
        <v>408287</v>
      </c>
      <c r="Q434" s="37">
        <v>311907</v>
      </c>
      <c r="R434" s="37">
        <v>1756855</v>
      </c>
      <c r="S434" s="37">
        <v>343435</v>
      </c>
      <c r="T434" s="37">
        <v>30000</v>
      </c>
      <c r="U434" s="37">
        <v>7019700</v>
      </c>
      <c r="V434" s="37">
        <v>0</v>
      </c>
      <c r="W434" s="45">
        <f t="shared" si="24"/>
        <v>11725767</v>
      </c>
      <c r="X434" s="46">
        <f t="shared" si="25"/>
        <v>6.7326896821164102</v>
      </c>
    </row>
    <row r="435" spans="1:24" s="4" customFormat="1" ht="15" customHeight="1">
      <c r="A435" s="28" t="s">
        <v>647</v>
      </c>
      <c r="B435" s="29">
        <v>3125.21</v>
      </c>
      <c r="C435" s="30" t="s">
        <v>736</v>
      </c>
      <c r="D435" s="2">
        <v>4948471429</v>
      </c>
      <c r="E435" s="2" t="s">
        <v>24</v>
      </c>
      <c r="F435" s="2" t="s">
        <v>737</v>
      </c>
      <c r="G435" s="28" t="s">
        <v>5</v>
      </c>
      <c r="H435" s="2" t="s">
        <v>17</v>
      </c>
      <c r="I435" s="2">
        <v>1</v>
      </c>
      <c r="J435" s="2" t="s">
        <v>738</v>
      </c>
      <c r="K435" s="2">
        <v>40800</v>
      </c>
      <c r="L435" s="35">
        <f t="shared" si="23"/>
        <v>127508568</v>
      </c>
      <c r="M435" s="36">
        <v>24000</v>
      </c>
      <c r="N435" s="37">
        <v>467321</v>
      </c>
      <c r="O435" s="37">
        <v>362317</v>
      </c>
      <c r="P435" s="37">
        <v>152593</v>
      </c>
      <c r="Q435" s="37">
        <v>103969</v>
      </c>
      <c r="R435" s="37">
        <v>741384</v>
      </c>
      <c r="S435" s="37">
        <v>343435</v>
      </c>
      <c r="T435" s="37"/>
      <c r="U435" s="37">
        <v>2500900</v>
      </c>
      <c r="V435" s="37">
        <v>0</v>
      </c>
      <c r="W435" s="45">
        <f t="shared" si="24"/>
        <v>4671919</v>
      </c>
      <c r="X435" s="46">
        <f t="shared" si="25"/>
        <v>3.6640039750113105</v>
      </c>
    </row>
    <row r="436" spans="1:24" s="4" customFormat="1" ht="15" customHeight="1">
      <c r="A436" s="28" t="s">
        <v>647</v>
      </c>
      <c r="B436" s="29">
        <v>3125.21</v>
      </c>
      <c r="C436" s="30" t="s">
        <v>739</v>
      </c>
      <c r="D436" s="2">
        <v>4948210659</v>
      </c>
      <c r="E436" s="2" t="s">
        <v>14</v>
      </c>
      <c r="F436" s="78" t="s">
        <v>740</v>
      </c>
      <c r="G436" s="28" t="s">
        <v>5</v>
      </c>
      <c r="H436" s="2" t="s">
        <v>17</v>
      </c>
      <c r="I436" s="2">
        <v>1</v>
      </c>
      <c r="J436" s="2" t="s">
        <v>741</v>
      </c>
      <c r="K436" s="2">
        <f>53720+3160</f>
        <v>56880</v>
      </c>
      <c r="L436" s="35">
        <f t="shared" si="23"/>
        <v>177761944.80000001</v>
      </c>
      <c r="M436" s="36">
        <f>17000+1000</f>
        <v>18000</v>
      </c>
      <c r="N436" s="37">
        <v>467858</v>
      </c>
      <c r="O436" s="37">
        <v>418073</v>
      </c>
      <c r="P436" s="37">
        <v>0</v>
      </c>
      <c r="Q436" s="37">
        <v>99309</v>
      </c>
      <c r="R436" s="37">
        <v>728020</v>
      </c>
      <c r="S436" s="37">
        <v>343435</v>
      </c>
      <c r="T436" s="37">
        <v>30000</v>
      </c>
      <c r="U436" s="37">
        <v>4781550</v>
      </c>
      <c r="V436" s="37">
        <v>0</v>
      </c>
      <c r="W436" s="45">
        <f t="shared" si="24"/>
        <v>6868245</v>
      </c>
      <c r="X436" s="46">
        <f t="shared" si="25"/>
        <v>3.863731918396518</v>
      </c>
    </row>
    <row r="437" spans="1:24" s="4" customFormat="1" ht="15" customHeight="1">
      <c r="A437" s="28" t="s">
        <v>647</v>
      </c>
      <c r="B437" s="29">
        <v>3125.21</v>
      </c>
      <c r="C437" s="30" t="s">
        <v>742</v>
      </c>
      <c r="D437" s="2">
        <v>4948267739</v>
      </c>
      <c r="E437" s="2" t="s">
        <v>14</v>
      </c>
      <c r="F437" s="78" t="s">
        <v>743</v>
      </c>
      <c r="G437" s="28" t="s">
        <v>5</v>
      </c>
      <c r="H437" s="2" t="s">
        <v>17</v>
      </c>
      <c r="I437" s="2">
        <v>1</v>
      </c>
      <c r="J437" s="2" t="s">
        <v>744</v>
      </c>
      <c r="K437" s="2">
        <v>9828</v>
      </c>
      <c r="L437" s="35">
        <f t="shared" si="23"/>
        <v>30714563.879999999</v>
      </c>
      <c r="M437" s="36">
        <v>3780</v>
      </c>
      <c r="N437" s="40">
        <v>85766.403491755598</v>
      </c>
      <c r="O437" s="37">
        <v>76639.958292919502</v>
      </c>
      <c r="P437" s="40">
        <v>0</v>
      </c>
      <c r="Q437" s="37">
        <v>18205.044616876799</v>
      </c>
      <c r="R437" s="40">
        <v>159208.51018428701</v>
      </c>
      <c r="S437" s="40">
        <v>62957.531522793397</v>
      </c>
      <c r="T437" s="37">
        <v>30000</v>
      </c>
      <c r="U437" s="40">
        <v>920994.61687681905</v>
      </c>
      <c r="V437" s="40">
        <v>238796.82541222099</v>
      </c>
      <c r="W437" s="45">
        <f t="shared" si="24"/>
        <v>1592568.8903976723</v>
      </c>
      <c r="X437" s="46">
        <f t="shared" si="25"/>
        <v>5.1850610564413211</v>
      </c>
    </row>
    <row r="438" spans="1:24" s="4" customFormat="1" ht="15" customHeight="1">
      <c r="A438" s="28" t="s">
        <v>647</v>
      </c>
      <c r="B438" s="29">
        <v>3125.21</v>
      </c>
      <c r="C438" s="30" t="s">
        <v>742</v>
      </c>
      <c r="D438" s="2">
        <v>4948494944</v>
      </c>
      <c r="E438" s="2" t="s">
        <v>14</v>
      </c>
      <c r="F438" s="78" t="s">
        <v>743</v>
      </c>
      <c r="G438" s="28" t="s">
        <v>5</v>
      </c>
      <c r="H438" s="2" t="s">
        <v>17</v>
      </c>
      <c r="I438" s="2">
        <v>1</v>
      </c>
      <c r="J438" s="2" t="s">
        <v>744</v>
      </c>
      <c r="K438" s="2">
        <v>1212.2</v>
      </c>
      <c r="L438" s="35">
        <f t="shared" si="23"/>
        <v>3788379.5620000004</v>
      </c>
      <c r="M438" s="36">
        <v>190</v>
      </c>
      <c r="N438" s="40">
        <v>4311.00969932105</v>
      </c>
      <c r="O438" s="40">
        <v>3852.2730358874901</v>
      </c>
      <c r="P438" s="40">
        <v>0</v>
      </c>
      <c r="Q438" s="40">
        <v>915.06838021338501</v>
      </c>
      <c r="R438" s="40">
        <v>8002.6949563530598</v>
      </c>
      <c r="S438" s="40">
        <v>3164.5320077594602</v>
      </c>
      <c r="T438" s="37">
        <v>30000</v>
      </c>
      <c r="U438" s="40">
        <v>46293.380213385099</v>
      </c>
      <c r="V438" s="40">
        <v>12003.0150339476</v>
      </c>
      <c r="W438" s="45">
        <f t="shared" si="24"/>
        <v>108541.97332686714</v>
      </c>
      <c r="X438" s="46">
        <f t="shared" si="25"/>
        <v>2.8651293132191999</v>
      </c>
    </row>
    <row r="439" spans="1:24" s="4" customFormat="1" ht="15" customHeight="1">
      <c r="A439" s="28" t="s">
        <v>647</v>
      </c>
      <c r="B439" s="29">
        <v>3125.21</v>
      </c>
      <c r="C439" s="30" t="s">
        <v>742</v>
      </c>
      <c r="D439" s="2">
        <v>4948494945</v>
      </c>
      <c r="E439" s="2" t="s">
        <v>14</v>
      </c>
      <c r="F439" s="78" t="s">
        <v>743</v>
      </c>
      <c r="G439" s="28" t="s">
        <v>5</v>
      </c>
      <c r="H439" s="2" t="s">
        <v>17</v>
      </c>
      <c r="I439" s="2">
        <v>1</v>
      </c>
      <c r="J439" s="2" t="s">
        <v>744</v>
      </c>
      <c r="K439" s="2">
        <v>4860</v>
      </c>
      <c r="L439" s="35">
        <f t="shared" si="23"/>
        <v>15188520.6</v>
      </c>
      <c r="M439" s="36">
        <v>1350</v>
      </c>
      <c r="N439" s="40">
        <v>30630.858389912701</v>
      </c>
      <c r="O439" s="40">
        <v>27371.413676042699</v>
      </c>
      <c r="P439" s="40">
        <v>0</v>
      </c>
      <c r="Q439" s="40">
        <v>6501.8016488845797</v>
      </c>
      <c r="R439" s="40">
        <v>56860.253637245398</v>
      </c>
      <c r="S439" s="40">
        <v>22484.832686711899</v>
      </c>
      <c r="T439" s="37">
        <v>30000</v>
      </c>
      <c r="U439" s="40">
        <v>328926.64888457803</v>
      </c>
      <c r="V439" s="40">
        <v>85284.580504364698</v>
      </c>
      <c r="W439" s="45">
        <f t="shared" si="24"/>
        <v>588060.38942774001</v>
      </c>
      <c r="X439" s="46">
        <f t="shared" si="25"/>
        <v>3.871742383045127</v>
      </c>
    </row>
    <row r="440" spans="1:24" s="4" customFormat="1" ht="15" customHeight="1">
      <c r="A440" s="28" t="s">
        <v>647</v>
      </c>
      <c r="B440" s="29">
        <v>3125.21</v>
      </c>
      <c r="C440" s="30" t="s">
        <v>742</v>
      </c>
      <c r="D440" s="2">
        <v>4948495886</v>
      </c>
      <c r="E440" s="2" t="s">
        <v>14</v>
      </c>
      <c r="F440" s="78" t="s">
        <v>743</v>
      </c>
      <c r="G440" s="28" t="s">
        <v>5</v>
      </c>
      <c r="H440" s="2" t="s">
        <v>17</v>
      </c>
      <c r="I440" s="2">
        <v>1</v>
      </c>
      <c r="J440" s="2" t="s">
        <v>744</v>
      </c>
      <c r="K440" s="2">
        <v>13248</v>
      </c>
      <c r="L440" s="35">
        <f t="shared" si="23"/>
        <v>41402782.079999998</v>
      </c>
      <c r="M440" s="36">
        <v>4800</v>
      </c>
      <c r="N440" s="40">
        <v>108909.71871969</v>
      </c>
      <c r="O440" s="40">
        <v>97320.581959262898</v>
      </c>
      <c r="P440" s="40">
        <v>0</v>
      </c>
      <c r="Q440" s="40">
        <v>23117.516973811798</v>
      </c>
      <c r="R440" s="40">
        <v>202170.34626576101</v>
      </c>
      <c r="S440" s="40">
        <v>79946.071774975702</v>
      </c>
      <c r="T440" s="37">
        <v>30000</v>
      </c>
      <c r="U440" s="40">
        <v>1169516.9738118299</v>
      </c>
      <c r="V440" s="40">
        <v>303234.06401551899</v>
      </c>
      <c r="W440" s="45">
        <f t="shared" si="24"/>
        <v>2014215.2735208501</v>
      </c>
      <c r="X440" s="46">
        <f t="shared" si="25"/>
        <v>4.8649273607481458</v>
      </c>
    </row>
    <row r="441" spans="1:24" s="4" customFormat="1" ht="15" customHeight="1">
      <c r="A441" s="28" t="s">
        <v>647</v>
      </c>
      <c r="B441" s="29">
        <v>3125.21</v>
      </c>
      <c r="C441" s="30" t="s">
        <v>742</v>
      </c>
      <c r="D441" s="2">
        <v>4947917126</v>
      </c>
      <c r="E441" s="2" t="s">
        <v>14</v>
      </c>
      <c r="F441" s="78" t="s">
        <v>743</v>
      </c>
      <c r="G441" s="28" t="s">
        <v>5</v>
      </c>
      <c r="H441" s="2" t="s">
        <v>17</v>
      </c>
      <c r="I441" s="2">
        <v>1</v>
      </c>
      <c r="J441" s="2" t="s">
        <v>744</v>
      </c>
      <c r="K441" s="2">
        <v>43750</v>
      </c>
      <c r="L441" s="35">
        <f t="shared" si="23"/>
        <v>136727937.5</v>
      </c>
      <c r="M441" s="36">
        <v>7000</v>
      </c>
      <c r="N441" s="40">
        <v>158826.673132881</v>
      </c>
      <c r="O441" s="40">
        <v>141925.84869059201</v>
      </c>
      <c r="P441" s="40">
        <v>0</v>
      </c>
      <c r="Q441" s="40">
        <v>33713.045586808897</v>
      </c>
      <c r="R441" s="40">
        <v>294831.12997090199</v>
      </c>
      <c r="S441" s="40">
        <v>116588.02133850601</v>
      </c>
      <c r="T441" s="37">
        <v>30000</v>
      </c>
      <c r="U441" s="40">
        <v>1705545.5868089199</v>
      </c>
      <c r="V441" s="40">
        <v>442216.34335596499</v>
      </c>
      <c r="W441" s="45">
        <f t="shared" si="24"/>
        <v>2923646.6488845749</v>
      </c>
      <c r="X441" s="46">
        <f t="shared" si="25"/>
        <v>2.1382949983316868</v>
      </c>
    </row>
    <row r="442" spans="1:24" s="4" customFormat="1" ht="15" customHeight="1">
      <c r="A442" s="28" t="s">
        <v>647</v>
      </c>
      <c r="B442" s="29">
        <v>3125.21</v>
      </c>
      <c r="C442" s="30" t="s">
        <v>742</v>
      </c>
      <c r="D442" s="2">
        <v>4948267739</v>
      </c>
      <c r="E442" s="2" t="s">
        <v>14</v>
      </c>
      <c r="F442" s="78" t="s">
        <v>743</v>
      </c>
      <c r="G442" s="28" t="s">
        <v>5</v>
      </c>
      <c r="H442" s="2" t="s">
        <v>17</v>
      </c>
      <c r="I442" s="2">
        <v>1</v>
      </c>
      <c r="J442" s="2" t="s">
        <v>744</v>
      </c>
      <c r="K442" s="2">
        <v>13230</v>
      </c>
      <c r="L442" s="35">
        <f t="shared" si="23"/>
        <v>41346528.299999997</v>
      </c>
      <c r="M442" s="36">
        <v>3500</v>
      </c>
      <c r="N442" s="40">
        <v>79413.336566440397</v>
      </c>
      <c r="O442" s="40">
        <v>70962.924345295804</v>
      </c>
      <c r="P442" s="40">
        <v>0</v>
      </c>
      <c r="Q442" s="40">
        <v>16856.5227934045</v>
      </c>
      <c r="R442" s="40">
        <v>147416.064985451</v>
      </c>
      <c r="S442" s="40">
        <v>58294.010669253199</v>
      </c>
      <c r="T442" s="37">
        <v>30000</v>
      </c>
      <c r="U442" s="40">
        <v>852772.79340446205</v>
      </c>
      <c r="V442" s="40">
        <v>221108.17167798299</v>
      </c>
      <c r="W442" s="45">
        <f t="shared" si="24"/>
        <v>1476823.8244422898</v>
      </c>
      <c r="X442" s="46">
        <f t="shared" si="25"/>
        <v>3.5718206223430125</v>
      </c>
    </row>
    <row r="443" spans="1:24" s="4" customFormat="1" ht="15" customHeight="1">
      <c r="A443" s="28" t="s">
        <v>647</v>
      </c>
      <c r="B443" s="29">
        <v>3125.21</v>
      </c>
      <c r="C443" s="30" t="s">
        <v>745</v>
      </c>
      <c r="D443" s="2">
        <v>4946607248</v>
      </c>
      <c r="E443" s="2" t="s">
        <v>6</v>
      </c>
      <c r="F443" s="78" t="s">
        <v>746</v>
      </c>
      <c r="G443" s="28" t="s">
        <v>5</v>
      </c>
      <c r="H443" s="2" t="s">
        <v>17</v>
      </c>
      <c r="I443" s="2">
        <v>1</v>
      </c>
      <c r="J443" s="2" t="s">
        <v>747</v>
      </c>
      <c r="K443" s="2">
        <v>1640</v>
      </c>
      <c r="L443" s="35">
        <f t="shared" si="23"/>
        <v>5125344.4000000004</v>
      </c>
      <c r="M443" s="36">
        <v>4000</v>
      </c>
      <c r="N443" s="40">
        <v>92106.571428571406</v>
      </c>
      <c r="O443" s="40">
        <v>148865.42857142899</v>
      </c>
      <c r="P443" s="40">
        <v>0</v>
      </c>
      <c r="Q443" s="40">
        <v>35467.714285714297</v>
      </c>
      <c r="R443" s="40">
        <v>220962.285714286</v>
      </c>
      <c r="S443" s="40">
        <v>98124.285714285696</v>
      </c>
      <c r="T443" s="37">
        <v>30000</v>
      </c>
      <c r="U443" s="40">
        <v>1182571.42857143</v>
      </c>
      <c r="V443" s="40">
        <v>0</v>
      </c>
      <c r="W443" s="45">
        <f t="shared" si="24"/>
        <v>1808097.7142857164</v>
      </c>
      <c r="X443" s="46">
        <f t="shared" si="25"/>
        <v>35.277584747001903</v>
      </c>
    </row>
    <row r="444" spans="1:24" s="4" customFormat="1" ht="15" customHeight="1">
      <c r="A444" s="28" t="s">
        <v>647</v>
      </c>
      <c r="B444" s="29">
        <v>3125.21</v>
      </c>
      <c r="C444" s="30" t="s">
        <v>745</v>
      </c>
      <c r="D444" s="2">
        <v>4945994022</v>
      </c>
      <c r="E444" s="2" t="s">
        <v>6</v>
      </c>
      <c r="F444" s="2" t="s">
        <v>746</v>
      </c>
      <c r="G444" s="28" t="s">
        <v>5</v>
      </c>
      <c r="H444" s="2" t="s">
        <v>17</v>
      </c>
      <c r="I444" s="2">
        <v>1</v>
      </c>
      <c r="J444" s="2" t="s">
        <v>747</v>
      </c>
      <c r="K444" s="2">
        <f>1070+9175.25+454.75</f>
        <v>10700</v>
      </c>
      <c r="L444" s="35">
        <f t="shared" si="23"/>
        <v>33439747</v>
      </c>
      <c r="M444" s="36">
        <f>1000+8575+425</f>
        <v>10000</v>
      </c>
      <c r="N444" s="40">
        <v>230266.42857142899</v>
      </c>
      <c r="O444" s="40">
        <v>372163.57142857101</v>
      </c>
      <c r="P444" s="40">
        <v>0</v>
      </c>
      <c r="Q444" s="40">
        <v>88669.285714285696</v>
      </c>
      <c r="R444" s="40">
        <v>552404.71428571397</v>
      </c>
      <c r="S444" s="40">
        <v>245310.714285714</v>
      </c>
      <c r="T444" s="37">
        <v>30000</v>
      </c>
      <c r="U444" s="40">
        <v>2956428.57142857</v>
      </c>
      <c r="V444" s="40">
        <v>0</v>
      </c>
      <c r="W444" s="45">
        <f t="shared" si="24"/>
        <v>4475243.2857142836</v>
      </c>
      <c r="X444" s="46">
        <f t="shared" si="25"/>
        <v>13.383005815547239</v>
      </c>
    </row>
    <row r="445" spans="1:24" s="4" customFormat="1" ht="15" customHeight="1">
      <c r="A445" s="28" t="s">
        <v>647</v>
      </c>
      <c r="B445" s="29">
        <v>3125.21</v>
      </c>
      <c r="C445" s="30" t="s">
        <v>748</v>
      </c>
      <c r="D445" s="2">
        <v>4948210658</v>
      </c>
      <c r="E445" s="2" t="s">
        <v>14</v>
      </c>
      <c r="F445" s="2" t="s">
        <v>749</v>
      </c>
      <c r="G445" s="28" t="s">
        <v>5</v>
      </c>
      <c r="H445" s="2" t="s">
        <v>35</v>
      </c>
      <c r="I445" s="2">
        <v>1</v>
      </c>
      <c r="J445" s="2" t="s">
        <v>750</v>
      </c>
      <c r="K445" s="2">
        <v>16020</v>
      </c>
      <c r="L445" s="35">
        <f t="shared" si="23"/>
        <v>50065864.200000003</v>
      </c>
      <c r="M445" s="36">
        <v>6000</v>
      </c>
      <c r="N445" s="40">
        <v>89548.055555555606</v>
      </c>
      <c r="O445" s="40">
        <v>116131.38888888901</v>
      </c>
      <c r="P445" s="40">
        <v>0</v>
      </c>
      <c r="Q445" s="40">
        <v>27585.833333333299</v>
      </c>
      <c r="R445" s="40">
        <v>375184.88888888899</v>
      </c>
      <c r="S445" s="40">
        <v>95398.611111111095</v>
      </c>
      <c r="T445" s="37">
        <v>30000</v>
      </c>
      <c r="U445" s="40">
        <v>1634722.2222222199</v>
      </c>
      <c r="V445" s="40">
        <v>0</v>
      </c>
      <c r="W445" s="45">
        <f t="shared" si="24"/>
        <v>2368570.9999999981</v>
      </c>
      <c r="X445" s="46">
        <f t="shared" si="25"/>
        <v>4.7309100478884734</v>
      </c>
    </row>
    <row r="446" spans="1:24" s="4" customFormat="1" ht="15" customHeight="1">
      <c r="A446" s="28" t="s">
        <v>647</v>
      </c>
      <c r="B446" s="29">
        <v>3125.21</v>
      </c>
      <c r="C446" s="30" t="s">
        <v>748</v>
      </c>
      <c r="D446" s="2">
        <v>4948413335</v>
      </c>
      <c r="E446" s="2" t="s">
        <v>14</v>
      </c>
      <c r="F446" s="2" t="s">
        <v>749</v>
      </c>
      <c r="G446" s="28" t="s">
        <v>5</v>
      </c>
      <c r="H446" s="2" t="s">
        <v>35</v>
      </c>
      <c r="I446" s="2">
        <v>1</v>
      </c>
      <c r="J446" s="2" t="s">
        <v>750</v>
      </c>
      <c r="K446" s="2">
        <v>14730</v>
      </c>
      <c r="L446" s="35">
        <f t="shared" si="23"/>
        <v>46034343.299999997</v>
      </c>
      <c r="M446" s="36">
        <v>3000</v>
      </c>
      <c r="N446" s="40">
        <v>44774.027777777803</v>
      </c>
      <c r="O446" s="40">
        <v>58065.694444444402</v>
      </c>
      <c r="P446" s="40">
        <v>0</v>
      </c>
      <c r="Q446" s="40">
        <v>13792.916666666701</v>
      </c>
      <c r="R446" s="40">
        <v>187592.944444444</v>
      </c>
      <c r="S446" s="40">
        <v>47699.305555555598</v>
      </c>
      <c r="T446" s="37">
        <v>30000</v>
      </c>
      <c r="U446" s="40">
        <v>817361.11111111101</v>
      </c>
      <c r="V446" s="40">
        <v>0</v>
      </c>
      <c r="W446" s="45">
        <f t="shared" si="24"/>
        <v>1199285.9999999995</v>
      </c>
      <c r="X446" s="46">
        <f t="shared" si="25"/>
        <v>2.6051984540854733</v>
      </c>
    </row>
    <row r="447" spans="1:24" s="4" customFormat="1" ht="15" customHeight="1">
      <c r="A447" s="28" t="s">
        <v>647</v>
      </c>
      <c r="B447" s="29">
        <v>3125.21</v>
      </c>
      <c r="C447" s="30" t="s">
        <v>748</v>
      </c>
      <c r="D447" s="2">
        <v>4948242153</v>
      </c>
      <c r="E447" s="2" t="s">
        <v>14</v>
      </c>
      <c r="F447" s="2" t="s">
        <v>749</v>
      </c>
      <c r="G447" s="28" t="s">
        <v>5</v>
      </c>
      <c r="H447" s="2" t="s">
        <v>35</v>
      </c>
      <c r="I447" s="2">
        <v>1</v>
      </c>
      <c r="J447" s="2" t="s">
        <v>750</v>
      </c>
      <c r="K447" s="2">
        <v>14370</v>
      </c>
      <c r="L447" s="35">
        <f t="shared" si="23"/>
        <v>44909267.700000003</v>
      </c>
      <c r="M447" s="36">
        <v>3000</v>
      </c>
      <c r="N447" s="40">
        <v>44774.027777777803</v>
      </c>
      <c r="O447" s="40">
        <v>58065.694444444402</v>
      </c>
      <c r="P447" s="40">
        <v>0</v>
      </c>
      <c r="Q447" s="40">
        <v>13792.916666666701</v>
      </c>
      <c r="R447" s="40">
        <v>187592.944444444</v>
      </c>
      <c r="S447" s="40">
        <v>47699.305555555598</v>
      </c>
      <c r="T447" s="37">
        <v>30000</v>
      </c>
      <c r="U447" s="40">
        <v>817361.11111111101</v>
      </c>
      <c r="V447" s="40">
        <v>0</v>
      </c>
      <c r="W447" s="45">
        <f t="shared" si="24"/>
        <v>1199285.9999999995</v>
      </c>
      <c r="X447" s="46">
        <f t="shared" si="25"/>
        <v>2.670464386129368</v>
      </c>
    </row>
    <row r="448" spans="1:24" s="4" customFormat="1" ht="15" customHeight="1">
      <c r="A448" s="28" t="s">
        <v>647</v>
      </c>
      <c r="B448" s="29">
        <v>3125.21</v>
      </c>
      <c r="C448" s="30" t="s">
        <v>748</v>
      </c>
      <c r="D448" s="2">
        <v>4948343766</v>
      </c>
      <c r="E448" s="2" t="s">
        <v>14</v>
      </c>
      <c r="F448" s="2" t="s">
        <v>749</v>
      </c>
      <c r="G448" s="28" t="s">
        <v>5</v>
      </c>
      <c r="H448" s="2" t="s">
        <v>35</v>
      </c>
      <c r="I448" s="2">
        <v>1</v>
      </c>
      <c r="J448" s="2" t="s">
        <v>750</v>
      </c>
      <c r="K448" s="2">
        <v>8179.2</v>
      </c>
      <c r="L448" s="35">
        <f t="shared" si="23"/>
        <v>25561717.631999999</v>
      </c>
      <c r="M448" s="36">
        <v>9600</v>
      </c>
      <c r="N448" s="40">
        <v>143276.88888888899</v>
      </c>
      <c r="O448" s="40">
        <v>185810.22222222199</v>
      </c>
      <c r="P448" s="40">
        <v>0</v>
      </c>
      <c r="Q448" s="40">
        <v>44137.333333333299</v>
      </c>
      <c r="R448" s="40">
        <v>600296.22222222202</v>
      </c>
      <c r="S448" s="40">
        <v>152637.77777777801</v>
      </c>
      <c r="T448" s="37">
        <v>30000</v>
      </c>
      <c r="U448" s="40">
        <v>2615555.5555555602</v>
      </c>
      <c r="V448" s="40">
        <v>0</v>
      </c>
      <c r="W448" s="45">
        <f t="shared" si="24"/>
        <v>3771714.0000000047</v>
      </c>
      <c r="X448" s="46">
        <f t="shared" si="25"/>
        <v>14.755322996285278</v>
      </c>
    </row>
    <row r="449" spans="1:24" s="4" customFormat="1" ht="15" customHeight="1">
      <c r="A449" s="28" t="s">
        <v>647</v>
      </c>
      <c r="B449" s="29">
        <v>3125.21</v>
      </c>
      <c r="C449" s="30" t="s">
        <v>751</v>
      </c>
      <c r="D449" s="2">
        <v>4948242192</v>
      </c>
      <c r="E449" s="2" t="s">
        <v>14</v>
      </c>
      <c r="F449" s="2" t="s">
        <v>752</v>
      </c>
      <c r="G449" s="28" t="s">
        <v>5</v>
      </c>
      <c r="H449" s="2" t="s">
        <v>20</v>
      </c>
      <c r="I449" s="2">
        <v>2</v>
      </c>
      <c r="J449" s="2" t="s">
        <v>753</v>
      </c>
      <c r="K449" s="2">
        <f>15040+15040</f>
        <v>30080</v>
      </c>
      <c r="L449" s="35">
        <f t="shared" si="23"/>
        <v>94006316.799999997</v>
      </c>
      <c r="M449" s="36">
        <f>16000+16000</f>
        <v>32000</v>
      </c>
      <c r="N449" s="37">
        <v>935259</v>
      </c>
      <c r="O449" s="37">
        <v>637364</v>
      </c>
      <c r="P449" s="37">
        <v>421234</v>
      </c>
      <c r="Q449" s="37">
        <v>198619</v>
      </c>
      <c r="R449" s="37">
        <v>1251818</v>
      </c>
      <c r="S449" s="37">
        <v>343435</v>
      </c>
      <c r="T449" s="37">
        <v>30000</v>
      </c>
      <c r="U449" s="37">
        <v>0</v>
      </c>
      <c r="V449" s="37">
        <v>0</v>
      </c>
      <c r="W449" s="45">
        <f t="shared" si="24"/>
        <v>3817729</v>
      </c>
      <c r="X449" s="46">
        <f t="shared" si="25"/>
        <v>4.0611409211173353</v>
      </c>
    </row>
    <row r="450" spans="1:24" s="4" customFormat="1" ht="15" customHeight="1">
      <c r="A450" s="28" t="s">
        <v>647</v>
      </c>
      <c r="B450" s="29">
        <v>3125.21</v>
      </c>
      <c r="C450" s="30" t="s">
        <v>754</v>
      </c>
      <c r="D450" s="2">
        <v>4947782375</v>
      </c>
      <c r="E450" s="2" t="s">
        <v>36</v>
      </c>
      <c r="F450" s="2" t="s">
        <v>755</v>
      </c>
      <c r="G450" s="28" t="s">
        <v>5</v>
      </c>
      <c r="H450" s="2" t="s">
        <v>26</v>
      </c>
      <c r="I450" s="2">
        <v>1</v>
      </c>
      <c r="J450" s="2" t="s">
        <v>756</v>
      </c>
      <c r="K450" s="2">
        <v>35596.5</v>
      </c>
      <c r="L450" s="35">
        <f t="shared" si="23"/>
        <v>111246537.765</v>
      </c>
      <c r="M450" s="36">
        <v>19930.848999999998</v>
      </c>
      <c r="N450" s="37">
        <v>320299</v>
      </c>
      <c r="O450" s="37">
        <v>389675</v>
      </c>
      <c r="P450" s="37">
        <v>149506</v>
      </c>
      <c r="Q450" s="37">
        <v>99309</v>
      </c>
      <c r="R450" s="37">
        <v>603945</v>
      </c>
      <c r="S450" s="37">
        <v>343435</v>
      </c>
      <c r="T450" s="37"/>
      <c r="U450" s="37">
        <v>0</v>
      </c>
      <c r="V450" s="37">
        <v>0</v>
      </c>
      <c r="W450" s="45">
        <f t="shared" si="24"/>
        <v>1906169</v>
      </c>
      <c r="X450" s="46">
        <f t="shared" si="25"/>
        <v>1.7134636621470769</v>
      </c>
    </row>
    <row r="451" spans="1:24" s="4" customFormat="1" ht="15" customHeight="1">
      <c r="A451" s="28" t="s">
        <v>647</v>
      </c>
      <c r="B451" s="29">
        <v>3125.21</v>
      </c>
      <c r="C451" s="30" t="s">
        <v>757</v>
      </c>
      <c r="D451" s="2">
        <v>4948242167</v>
      </c>
      <c r="E451" s="2" t="s">
        <v>14</v>
      </c>
      <c r="F451" s="2" t="s">
        <v>758</v>
      </c>
      <c r="G451" s="28" t="s">
        <v>9</v>
      </c>
      <c r="H451" s="2" t="s">
        <v>23</v>
      </c>
      <c r="I451" s="2">
        <v>1</v>
      </c>
      <c r="J451" s="2"/>
      <c r="K451" s="2">
        <v>2930</v>
      </c>
      <c r="L451" s="35">
        <f t="shared" si="23"/>
        <v>9156865.3000000007</v>
      </c>
      <c r="M451" s="36">
        <v>100</v>
      </c>
      <c r="N451" s="37">
        <v>222461</v>
      </c>
      <c r="O451" s="37">
        <v>93</v>
      </c>
      <c r="P451" s="37">
        <v>0</v>
      </c>
      <c r="Q451" s="37">
        <v>2045</v>
      </c>
      <c r="R451" s="37">
        <v>80696</v>
      </c>
      <c r="S451" s="37">
        <v>354356</v>
      </c>
      <c r="T451" s="37">
        <v>30000</v>
      </c>
      <c r="U451" s="37">
        <v>166792.682926829</v>
      </c>
      <c r="V451" s="37">
        <v>0</v>
      </c>
      <c r="W451" s="45">
        <f t="shared" si="24"/>
        <v>856443.68292682897</v>
      </c>
      <c r="X451" s="46">
        <f t="shared" si="25"/>
        <v>9.3530226214731904</v>
      </c>
    </row>
    <row r="452" spans="1:24" s="4" customFormat="1" ht="15" customHeight="1">
      <c r="A452" s="28" t="s">
        <v>647</v>
      </c>
      <c r="B452" s="29">
        <v>3125.21</v>
      </c>
      <c r="C452" s="30" t="s">
        <v>759</v>
      </c>
      <c r="D452" s="2">
        <v>4946736885</v>
      </c>
      <c r="E452" s="2" t="s">
        <v>14</v>
      </c>
      <c r="F452" s="2" t="s">
        <v>760</v>
      </c>
      <c r="G452" s="28" t="s">
        <v>5</v>
      </c>
      <c r="H452" s="2" t="s">
        <v>17</v>
      </c>
      <c r="I452" s="2">
        <v>1</v>
      </c>
      <c r="J452" s="2" t="s">
        <v>761</v>
      </c>
      <c r="K452" s="2">
        <v>7398</v>
      </c>
      <c r="L452" s="35">
        <f t="shared" ref="L452:L515" si="26">B452*K452</f>
        <v>23120303.580000002</v>
      </c>
      <c r="M452" s="36">
        <v>1350</v>
      </c>
      <c r="N452" s="40">
        <v>32375.683229813701</v>
      </c>
      <c r="O452" s="40">
        <v>29213.1754658385</v>
      </c>
      <c r="P452" s="40">
        <v>0</v>
      </c>
      <c r="Q452" s="40">
        <v>6939.29347826087</v>
      </c>
      <c r="R452" s="40">
        <v>60584.937888198801</v>
      </c>
      <c r="S452" s="40">
        <v>24760.900621117999</v>
      </c>
      <c r="T452" s="37">
        <v>30000</v>
      </c>
      <c r="U452" s="40">
        <v>347670.41925465799</v>
      </c>
      <c r="V452" s="40">
        <v>0</v>
      </c>
      <c r="W452" s="45">
        <f t="shared" ref="W452:W515" si="27">+SUM(N452:V452)</f>
        <v>531544.40993788792</v>
      </c>
      <c r="X452" s="46">
        <f t="shared" ref="X452:X515" si="28">(W452/L452)*100</f>
        <v>2.2990373292403277</v>
      </c>
    </row>
    <row r="453" spans="1:24" s="4" customFormat="1" ht="15" customHeight="1">
      <c r="A453" s="28" t="s">
        <v>647</v>
      </c>
      <c r="B453" s="29">
        <v>3125.21</v>
      </c>
      <c r="C453" s="30" t="s">
        <v>759</v>
      </c>
      <c r="D453" s="2">
        <v>4946737921</v>
      </c>
      <c r="E453" s="2" t="s">
        <v>14</v>
      </c>
      <c r="F453" s="2" t="s">
        <v>760</v>
      </c>
      <c r="G453" s="28" t="s">
        <v>5</v>
      </c>
      <c r="H453" s="2" t="s">
        <v>17</v>
      </c>
      <c r="I453" s="2">
        <v>1</v>
      </c>
      <c r="J453" s="2" t="s">
        <v>761</v>
      </c>
      <c r="K453" s="2">
        <v>4438.8</v>
      </c>
      <c r="L453" s="35">
        <f t="shared" si="26"/>
        <v>13872182.148</v>
      </c>
      <c r="M453" s="36">
        <v>810</v>
      </c>
      <c r="N453" s="40">
        <v>19425.409937888198</v>
      </c>
      <c r="O453" s="40">
        <v>17527.905279503098</v>
      </c>
      <c r="P453" s="40">
        <v>0</v>
      </c>
      <c r="Q453" s="40">
        <v>4163.5760869565202</v>
      </c>
      <c r="R453" s="40">
        <v>36350.962732919303</v>
      </c>
      <c r="S453" s="40">
        <v>14856.540372670799</v>
      </c>
      <c r="T453" s="37">
        <v>30000</v>
      </c>
      <c r="U453" s="40">
        <v>208602.251552795</v>
      </c>
      <c r="V453" s="40">
        <v>0</v>
      </c>
      <c r="W453" s="45">
        <f t="shared" si="27"/>
        <v>330926.64596273296</v>
      </c>
      <c r="X453" s="46">
        <f t="shared" si="28"/>
        <v>2.3855413836996351</v>
      </c>
    </row>
    <row r="454" spans="1:24" s="4" customFormat="1" ht="15" customHeight="1">
      <c r="A454" s="28" t="s">
        <v>647</v>
      </c>
      <c r="B454" s="29">
        <v>3125.21</v>
      </c>
      <c r="C454" s="30" t="s">
        <v>759</v>
      </c>
      <c r="D454" s="2">
        <v>4948241404</v>
      </c>
      <c r="E454" s="2" t="s">
        <v>14</v>
      </c>
      <c r="F454" s="2" t="s">
        <v>760</v>
      </c>
      <c r="G454" s="28" t="s">
        <v>5</v>
      </c>
      <c r="H454" s="2" t="s">
        <v>17</v>
      </c>
      <c r="I454" s="2">
        <v>1</v>
      </c>
      <c r="J454" s="2" t="s">
        <v>761</v>
      </c>
      <c r="K454" s="2">
        <v>1227</v>
      </c>
      <c r="L454" s="35">
        <f t="shared" si="26"/>
        <v>3834632.67</v>
      </c>
      <c r="M454" s="36">
        <v>300</v>
      </c>
      <c r="N454" s="40">
        <v>7194.5962732919297</v>
      </c>
      <c r="O454" s="40">
        <v>6491.8167701863304</v>
      </c>
      <c r="P454" s="40">
        <v>0</v>
      </c>
      <c r="Q454" s="40">
        <v>1542.0652173912999</v>
      </c>
      <c r="R454" s="40">
        <v>13463.7639751553</v>
      </c>
      <c r="S454" s="40">
        <v>5502.4223602484499</v>
      </c>
      <c r="T454" s="37">
        <v>30000</v>
      </c>
      <c r="U454" s="40">
        <v>77260.093167701896</v>
      </c>
      <c r="V454" s="40">
        <v>0</v>
      </c>
      <c r="W454" s="45">
        <f t="shared" si="27"/>
        <v>141454.75776397521</v>
      </c>
      <c r="X454" s="46">
        <f t="shared" si="28"/>
        <v>3.688873744560655</v>
      </c>
    </row>
    <row r="455" spans="1:24" s="4" customFormat="1" ht="15" customHeight="1">
      <c r="A455" s="28" t="s">
        <v>647</v>
      </c>
      <c r="B455" s="29">
        <v>3125.21</v>
      </c>
      <c r="C455" s="30" t="s">
        <v>759</v>
      </c>
      <c r="D455" s="2">
        <v>4947642973</v>
      </c>
      <c r="E455" s="2" t="s">
        <v>14</v>
      </c>
      <c r="F455" s="2" t="s">
        <v>760</v>
      </c>
      <c r="G455" s="28" t="s">
        <v>5</v>
      </c>
      <c r="H455" s="2" t="s">
        <v>17</v>
      </c>
      <c r="I455" s="2">
        <v>1</v>
      </c>
      <c r="J455" s="2" t="s">
        <v>761</v>
      </c>
      <c r="K455" s="2">
        <v>25657.599999999999</v>
      </c>
      <c r="L455" s="35">
        <f t="shared" si="26"/>
        <v>80185388.096000001</v>
      </c>
      <c r="M455" s="36">
        <v>12160</v>
      </c>
      <c r="N455" s="40">
        <v>291620.96894409898</v>
      </c>
      <c r="O455" s="40">
        <v>263134.97308488598</v>
      </c>
      <c r="P455" s="40">
        <v>0</v>
      </c>
      <c r="Q455" s="40">
        <v>62505.043478260901</v>
      </c>
      <c r="R455" s="40">
        <v>545714.69979296101</v>
      </c>
      <c r="S455" s="40">
        <v>223031.51966873699</v>
      </c>
      <c r="T455" s="37">
        <v>30000</v>
      </c>
      <c r="U455" s="40">
        <v>3131609.10973085</v>
      </c>
      <c r="V455" s="40">
        <v>0</v>
      </c>
      <c r="W455" s="45">
        <f t="shared" si="27"/>
        <v>4547616.3146997932</v>
      </c>
      <c r="X455" s="46">
        <f t="shared" si="28"/>
        <v>5.6713778191798117</v>
      </c>
    </row>
    <row r="456" spans="1:24" s="4" customFormat="1" ht="15" customHeight="1">
      <c r="A456" s="28" t="s">
        <v>647</v>
      </c>
      <c r="B456" s="29">
        <v>3125.21</v>
      </c>
      <c r="C456" s="30" t="s">
        <v>759</v>
      </c>
      <c r="D456" s="2">
        <v>4948208978</v>
      </c>
      <c r="E456" s="2" t="s">
        <v>14</v>
      </c>
      <c r="F456" s="2" t="s">
        <v>760</v>
      </c>
      <c r="G456" s="28" t="s">
        <v>5</v>
      </c>
      <c r="H456" s="2" t="s">
        <v>17</v>
      </c>
      <c r="I456" s="2">
        <v>1</v>
      </c>
      <c r="J456" s="2" t="s">
        <v>761</v>
      </c>
      <c r="K456" s="2">
        <v>1386</v>
      </c>
      <c r="L456" s="35">
        <f t="shared" si="26"/>
        <v>4331541.0599999996</v>
      </c>
      <c r="M456" s="36">
        <v>450</v>
      </c>
      <c r="N456" s="40">
        <v>10791.8944099379</v>
      </c>
      <c r="O456" s="40">
        <v>9737.7251552795005</v>
      </c>
      <c r="P456" s="40">
        <v>0</v>
      </c>
      <c r="Q456" s="40">
        <v>2313.0978260869601</v>
      </c>
      <c r="R456" s="40">
        <v>20194.645962732899</v>
      </c>
      <c r="S456" s="40">
        <v>8253.6335403726698</v>
      </c>
      <c r="T456" s="37">
        <v>30000</v>
      </c>
      <c r="U456" s="40">
        <v>115890.139751553</v>
      </c>
      <c r="V456" s="40">
        <v>0</v>
      </c>
      <c r="W456" s="45">
        <f t="shared" si="27"/>
        <v>197181.13664596292</v>
      </c>
      <c r="X456" s="46">
        <f t="shared" si="28"/>
        <v>4.5522167264406113</v>
      </c>
    </row>
    <row r="457" spans="1:24" s="4" customFormat="1" ht="15" customHeight="1">
      <c r="A457" s="28" t="s">
        <v>647</v>
      </c>
      <c r="B457" s="29">
        <v>3125.21</v>
      </c>
      <c r="C457" s="30" t="s">
        <v>759</v>
      </c>
      <c r="D457" s="2">
        <v>4948212548</v>
      </c>
      <c r="E457" s="2" t="s">
        <v>14</v>
      </c>
      <c r="F457" s="2" t="s">
        <v>760</v>
      </c>
      <c r="G457" s="28" t="s">
        <v>5</v>
      </c>
      <c r="H457" s="2" t="s">
        <v>17</v>
      </c>
      <c r="I457" s="2">
        <v>1</v>
      </c>
      <c r="J457" s="2" t="s">
        <v>761</v>
      </c>
      <c r="K457" s="2">
        <v>2122.5</v>
      </c>
      <c r="L457" s="35">
        <f t="shared" si="26"/>
        <v>6633258.2249999996</v>
      </c>
      <c r="M457" s="36">
        <v>150</v>
      </c>
      <c r="N457" s="40">
        <v>3597.2981366459599</v>
      </c>
      <c r="O457" s="40">
        <v>3245.9083850931702</v>
      </c>
      <c r="P457" s="40">
        <v>0</v>
      </c>
      <c r="Q457" s="40">
        <v>771.03260869565202</v>
      </c>
      <c r="R457" s="40">
        <v>6731.8819875776398</v>
      </c>
      <c r="S457" s="40">
        <v>2751.2111801242199</v>
      </c>
      <c r="T457" s="37">
        <v>30000</v>
      </c>
      <c r="U457" s="40">
        <v>38630.046583850897</v>
      </c>
      <c r="V457" s="40">
        <v>0</v>
      </c>
      <c r="W457" s="45">
        <f t="shared" si="27"/>
        <v>85727.378881987534</v>
      </c>
      <c r="X457" s="46">
        <f t="shared" si="28"/>
        <v>1.2923871794842954</v>
      </c>
    </row>
    <row r="458" spans="1:24" s="4" customFormat="1" ht="15" customHeight="1">
      <c r="A458" s="28" t="s">
        <v>647</v>
      </c>
      <c r="B458" s="29">
        <v>3125.21</v>
      </c>
      <c r="C458" s="30" t="s">
        <v>759</v>
      </c>
      <c r="D458" s="2">
        <v>4947772696</v>
      </c>
      <c r="E458" s="2" t="s">
        <v>14</v>
      </c>
      <c r="F458" s="2" t="s">
        <v>760</v>
      </c>
      <c r="G458" s="28" t="s">
        <v>5</v>
      </c>
      <c r="H458" s="2" t="s">
        <v>17</v>
      </c>
      <c r="I458" s="2">
        <v>1</v>
      </c>
      <c r="J458" s="2" t="s">
        <v>761</v>
      </c>
      <c r="K458" s="2">
        <v>6258</v>
      </c>
      <c r="L458" s="35">
        <f t="shared" si="26"/>
        <v>19557564.18</v>
      </c>
      <c r="M458" s="36">
        <v>1400</v>
      </c>
      <c r="N458" s="40">
        <v>33574.782608695699</v>
      </c>
      <c r="O458" s="40">
        <v>30295.144927536199</v>
      </c>
      <c r="P458" s="40">
        <v>0</v>
      </c>
      <c r="Q458" s="40">
        <v>7196.3043478260897</v>
      </c>
      <c r="R458" s="40">
        <v>62829.231884057997</v>
      </c>
      <c r="S458" s="40">
        <v>25677.971014492799</v>
      </c>
      <c r="T458" s="37">
        <v>30000</v>
      </c>
      <c r="U458" s="40">
        <v>360547.10144927498</v>
      </c>
      <c r="V458" s="40">
        <v>0</v>
      </c>
      <c r="W458" s="45">
        <f t="shared" si="27"/>
        <v>550120.5362318838</v>
      </c>
      <c r="X458" s="46">
        <f t="shared" si="28"/>
        <v>2.8128274624017306</v>
      </c>
    </row>
    <row r="459" spans="1:24" s="4" customFormat="1" ht="15" customHeight="1">
      <c r="A459" s="28" t="s">
        <v>647</v>
      </c>
      <c r="B459" s="29">
        <v>3125.21</v>
      </c>
      <c r="C459" s="30" t="s">
        <v>759</v>
      </c>
      <c r="D459" s="2">
        <v>4948208979</v>
      </c>
      <c r="E459" s="2" t="s">
        <v>14</v>
      </c>
      <c r="F459" s="2" t="s">
        <v>760</v>
      </c>
      <c r="G459" s="28" t="s">
        <v>5</v>
      </c>
      <c r="H459" s="2" t="s">
        <v>17</v>
      </c>
      <c r="I459" s="2">
        <v>1</v>
      </c>
      <c r="J459" s="2" t="s">
        <v>761</v>
      </c>
      <c r="K459" s="2">
        <v>5832</v>
      </c>
      <c r="L459" s="35">
        <f t="shared" si="26"/>
        <v>18226224.719999999</v>
      </c>
      <c r="M459" s="36">
        <v>2700</v>
      </c>
      <c r="N459" s="40">
        <v>64751.366459627301</v>
      </c>
      <c r="O459" s="40">
        <v>58426.350931677</v>
      </c>
      <c r="P459" s="40">
        <v>0</v>
      </c>
      <c r="Q459" s="40">
        <v>13878.5869565217</v>
      </c>
      <c r="R459" s="40">
        <v>121169.875776398</v>
      </c>
      <c r="S459" s="40">
        <v>49521.801242235997</v>
      </c>
      <c r="T459" s="37">
        <v>30000</v>
      </c>
      <c r="U459" s="40">
        <v>695340.83850931702</v>
      </c>
      <c r="V459" s="40">
        <v>0</v>
      </c>
      <c r="W459" s="45">
        <f t="shared" si="27"/>
        <v>1033088.819875777</v>
      </c>
      <c r="X459" s="46">
        <f t="shared" si="28"/>
        <v>5.6681448613005854</v>
      </c>
    </row>
    <row r="460" spans="1:24" s="4" customFormat="1" ht="15" customHeight="1">
      <c r="A460" s="28" t="s">
        <v>647</v>
      </c>
      <c r="B460" s="29">
        <v>3125.21</v>
      </c>
      <c r="C460" s="30" t="s">
        <v>762</v>
      </c>
      <c r="D460" s="2">
        <v>4948210659</v>
      </c>
      <c r="E460" s="2" t="s">
        <v>14</v>
      </c>
      <c r="F460" s="2" t="s">
        <v>763</v>
      </c>
      <c r="G460" s="28" t="s">
        <v>5</v>
      </c>
      <c r="H460" s="2" t="s">
        <v>17</v>
      </c>
      <c r="I460" s="2">
        <v>2</v>
      </c>
      <c r="J460" s="2" t="s">
        <v>764</v>
      </c>
      <c r="K460" s="2">
        <v>85557</v>
      </c>
      <c r="L460" s="35">
        <f t="shared" si="26"/>
        <v>267383591.97</v>
      </c>
      <c r="M460" s="36">
        <v>27075</v>
      </c>
      <c r="N460" s="37">
        <v>935716</v>
      </c>
      <c r="O460" s="37">
        <v>836146</v>
      </c>
      <c r="P460" s="37">
        <v>0</v>
      </c>
      <c r="Q460" s="37">
        <v>198619</v>
      </c>
      <c r="R460" s="37">
        <v>1453043</v>
      </c>
      <c r="S460" s="37">
        <v>343435</v>
      </c>
      <c r="T460" s="37">
        <v>30000</v>
      </c>
      <c r="U460" s="37">
        <v>8932600</v>
      </c>
      <c r="V460" s="37">
        <v>0</v>
      </c>
      <c r="W460" s="45">
        <f t="shared" si="27"/>
        <v>12729559</v>
      </c>
      <c r="X460" s="46">
        <f t="shared" si="28"/>
        <v>4.7607853968198004</v>
      </c>
    </row>
    <row r="461" spans="1:24" s="4" customFormat="1" ht="15" customHeight="1">
      <c r="A461" s="28" t="s">
        <v>647</v>
      </c>
      <c r="B461" s="29">
        <v>3125.21</v>
      </c>
      <c r="C461" s="30" t="s">
        <v>765</v>
      </c>
      <c r="D461" s="2">
        <v>4948208974</v>
      </c>
      <c r="E461" s="2" t="s">
        <v>14</v>
      </c>
      <c r="F461" s="2" t="s">
        <v>766</v>
      </c>
      <c r="G461" s="28" t="s">
        <v>5</v>
      </c>
      <c r="H461" s="2" t="s">
        <v>20</v>
      </c>
      <c r="I461" s="2">
        <v>1</v>
      </c>
      <c r="J461" s="2" t="s">
        <v>767</v>
      </c>
      <c r="K461" s="2">
        <v>15040</v>
      </c>
      <c r="L461" s="35">
        <f t="shared" si="26"/>
        <v>47003158.399999999</v>
      </c>
      <c r="M461" s="36">
        <v>16000</v>
      </c>
      <c r="N461" s="37">
        <v>467363</v>
      </c>
      <c r="O461" s="37">
        <v>318682</v>
      </c>
      <c r="P461" s="37">
        <v>209309</v>
      </c>
      <c r="Q461" s="37">
        <v>99309</v>
      </c>
      <c r="R461" s="37">
        <v>622042</v>
      </c>
      <c r="S461" s="37">
        <v>343435</v>
      </c>
      <c r="T461" s="37">
        <v>30000</v>
      </c>
      <c r="U461" s="37">
        <v>0</v>
      </c>
      <c r="V461" s="37">
        <v>0</v>
      </c>
      <c r="W461" s="45">
        <f t="shared" si="27"/>
        <v>2090140</v>
      </c>
      <c r="X461" s="46">
        <f t="shared" si="28"/>
        <v>4.4468075575108585</v>
      </c>
    </row>
    <row r="462" spans="1:24" s="4" customFormat="1" ht="15" customHeight="1">
      <c r="A462" s="28" t="s">
        <v>647</v>
      </c>
      <c r="B462" s="29">
        <v>3125.21</v>
      </c>
      <c r="C462" s="30" t="s">
        <v>768</v>
      </c>
      <c r="D462" s="2">
        <v>4946630988</v>
      </c>
      <c r="E462" s="2" t="s">
        <v>6</v>
      </c>
      <c r="F462" s="2" t="s">
        <v>769</v>
      </c>
      <c r="G462" s="28" t="s">
        <v>5</v>
      </c>
      <c r="H462" s="2" t="s">
        <v>20</v>
      </c>
      <c r="I462" s="2">
        <v>1</v>
      </c>
      <c r="J462" s="2" t="s">
        <v>770</v>
      </c>
      <c r="K462" s="2">
        <v>22032</v>
      </c>
      <c r="L462" s="35">
        <f t="shared" si="26"/>
        <v>68854626.719999999</v>
      </c>
      <c r="M462" s="36">
        <v>2160</v>
      </c>
      <c r="N462" s="40">
        <v>200412.42857142899</v>
      </c>
      <c r="O462" s="40">
        <v>170046.42857142899</v>
      </c>
      <c r="P462" s="40">
        <v>90264.428571428594</v>
      </c>
      <c r="Q462" s="40">
        <v>53201.571428571398</v>
      </c>
      <c r="R462" s="40">
        <v>270817.42857142899</v>
      </c>
      <c r="S462" s="40">
        <v>147186.42857142899</v>
      </c>
      <c r="T462" s="37">
        <v>30000</v>
      </c>
      <c r="U462" s="40">
        <v>1028785.71428571</v>
      </c>
      <c r="V462" s="40">
        <v>0</v>
      </c>
      <c r="W462" s="45">
        <f t="shared" si="27"/>
        <v>1990714.4285714258</v>
      </c>
      <c r="X462" s="46">
        <f t="shared" si="28"/>
        <v>2.891184693610704</v>
      </c>
    </row>
    <row r="463" spans="1:24" s="4" customFormat="1" ht="15" customHeight="1">
      <c r="A463" s="28" t="s">
        <v>647</v>
      </c>
      <c r="B463" s="29">
        <v>3125.21</v>
      </c>
      <c r="C463" s="30" t="s">
        <v>768</v>
      </c>
      <c r="D463" s="2">
        <v>4947010977</v>
      </c>
      <c r="E463" s="2" t="s">
        <v>6</v>
      </c>
      <c r="F463" s="2" t="s">
        <v>769</v>
      </c>
      <c r="G463" s="28" t="s">
        <v>5</v>
      </c>
      <c r="H463" s="2" t="s">
        <v>20</v>
      </c>
      <c r="I463" s="2">
        <v>1</v>
      </c>
      <c r="J463" s="2" t="s">
        <v>770</v>
      </c>
      <c r="K463" s="2" t="s">
        <v>771</v>
      </c>
      <c r="L463" s="35">
        <f t="shared" si="26"/>
        <v>53253578.399999999</v>
      </c>
      <c r="M463" s="36">
        <v>960</v>
      </c>
      <c r="N463" s="40">
        <v>89072.190476190503</v>
      </c>
      <c r="O463" s="40">
        <v>75576.190476190503</v>
      </c>
      <c r="P463" s="40">
        <v>40117.523809523802</v>
      </c>
      <c r="Q463" s="40">
        <v>23645.142857142899</v>
      </c>
      <c r="R463" s="40">
        <v>120343.190476191</v>
      </c>
      <c r="S463" s="40">
        <v>65416.190476190503</v>
      </c>
      <c r="T463" s="37">
        <v>30000</v>
      </c>
      <c r="U463" s="40">
        <v>457238.09523809497</v>
      </c>
      <c r="V463" s="40">
        <v>0</v>
      </c>
      <c r="W463" s="45">
        <f t="shared" si="27"/>
        <v>901408.52380952425</v>
      </c>
      <c r="X463" s="46">
        <f t="shared" si="28"/>
        <v>1.6926722126329903</v>
      </c>
    </row>
    <row r="464" spans="1:24" s="4" customFormat="1" ht="15" customHeight="1">
      <c r="A464" s="28" t="s">
        <v>647</v>
      </c>
      <c r="B464" s="29">
        <v>3125.21</v>
      </c>
      <c r="C464" s="30" t="s">
        <v>768</v>
      </c>
      <c r="D464" s="2">
        <v>4947198891</v>
      </c>
      <c r="E464" s="2" t="s">
        <v>6</v>
      </c>
      <c r="F464" s="2" t="s">
        <v>769</v>
      </c>
      <c r="G464" s="28" t="s">
        <v>5</v>
      </c>
      <c r="H464" s="2" t="s">
        <v>20</v>
      </c>
      <c r="I464" s="2">
        <v>1</v>
      </c>
      <c r="J464" s="2" t="s">
        <v>770</v>
      </c>
      <c r="K464" s="2" t="s">
        <v>772</v>
      </c>
      <c r="L464" s="35">
        <f t="shared" si="26"/>
        <v>106507156.8</v>
      </c>
      <c r="M464" s="36">
        <v>1920</v>
      </c>
      <c r="N464" s="40">
        <v>178144.38095238101</v>
      </c>
      <c r="O464" s="40">
        <v>151152.38095238101</v>
      </c>
      <c r="P464" s="40">
        <v>80235.047619047604</v>
      </c>
      <c r="Q464" s="40">
        <v>47290.285714285703</v>
      </c>
      <c r="R464" s="40">
        <v>240726.38095238101</v>
      </c>
      <c r="S464" s="40">
        <v>130832.38095238101</v>
      </c>
      <c r="T464" s="37">
        <v>30000</v>
      </c>
      <c r="U464" s="40">
        <v>914476.19047618995</v>
      </c>
      <c r="V464" s="40">
        <v>0</v>
      </c>
      <c r="W464" s="45">
        <f t="shared" si="27"/>
        <v>1772857.0476190471</v>
      </c>
      <c r="X464" s="46">
        <f t="shared" si="28"/>
        <v>1.6645426475407024</v>
      </c>
    </row>
    <row r="465" spans="1:24" s="4" customFormat="1" ht="15" customHeight="1">
      <c r="A465" s="28" t="s">
        <v>647</v>
      </c>
      <c r="B465" s="29">
        <v>3125.21</v>
      </c>
      <c r="C465" s="30" t="s">
        <v>773</v>
      </c>
      <c r="D465" s="2">
        <v>4948492689</v>
      </c>
      <c r="E465" s="2" t="s">
        <v>24</v>
      </c>
      <c r="F465" s="2" t="s">
        <v>774</v>
      </c>
      <c r="G465" s="28" t="s">
        <v>9</v>
      </c>
      <c r="H465" s="2" t="s">
        <v>23</v>
      </c>
      <c r="I465" s="2">
        <v>1</v>
      </c>
      <c r="J465" s="2"/>
      <c r="K465" s="2">
        <v>4269.6000000000004</v>
      </c>
      <c r="L465" s="35">
        <f t="shared" si="26"/>
        <v>13343396.616</v>
      </c>
      <c r="M465" s="36">
        <v>720</v>
      </c>
      <c r="N465" s="37">
        <v>689162</v>
      </c>
      <c r="O465" s="37">
        <v>499</v>
      </c>
      <c r="P465" s="37">
        <v>0</v>
      </c>
      <c r="Q465" s="37">
        <v>15734</v>
      </c>
      <c r="R465" s="37">
        <v>96714</v>
      </c>
      <c r="S465" s="37">
        <v>354356</v>
      </c>
      <c r="T465" s="37"/>
      <c r="U465" s="37">
        <v>1200907.3170731701</v>
      </c>
      <c r="V465" s="37">
        <v>0</v>
      </c>
      <c r="W465" s="45">
        <f t="shared" si="27"/>
        <v>2357372.3170731701</v>
      </c>
      <c r="X465" s="46">
        <f t="shared" si="28"/>
        <v>17.666958308399952</v>
      </c>
    </row>
    <row r="466" spans="1:24" s="4" customFormat="1" ht="15" customHeight="1">
      <c r="A466" s="28" t="s">
        <v>647</v>
      </c>
      <c r="B466" s="29">
        <v>3125.21</v>
      </c>
      <c r="C466" s="30" t="s">
        <v>775</v>
      </c>
      <c r="D466" s="2">
        <v>4948210673</v>
      </c>
      <c r="E466" s="2" t="s">
        <v>14</v>
      </c>
      <c r="F466" s="2" t="s">
        <v>776</v>
      </c>
      <c r="G466" s="28" t="s">
        <v>9</v>
      </c>
      <c r="H466" s="2" t="s">
        <v>23</v>
      </c>
      <c r="I466" s="2">
        <v>1</v>
      </c>
      <c r="J466" s="2"/>
      <c r="K466" s="2">
        <v>7290</v>
      </c>
      <c r="L466" s="35">
        <f t="shared" si="26"/>
        <v>22782780.899999999</v>
      </c>
      <c r="M466" s="36">
        <v>750</v>
      </c>
      <c r="N466" s="37">
        <v>487256</v>
      </c>
      <c r="O466" s="37">
        <v>507</v>
      </c>
      <c r="P466" s="37">
        <v>7838</v>
      </c>
      <c r="Q466" s="37">
        <v>12339</v>
      </c>
      <c r="R466" s="37">
        <v>95537</v>
      </c>
      <c r="S466" s="37">
        <v>343435</v>
      </c>
      <c r="T466" s="37">
        <v>30000</v>
      </c>
      <c r="U466" s="37">
        <v>288950.70422535198</v>
      </c>
      <c r="V466" s="37">
        <v>0</v>
      </c>
      <c r="W466" s="45">
        <f t="shared" si="27"/>
        <v>1265862.704225352</v>
      </c>
      <c r="X466" s="46">
        <f t="shared" si="28"/>
        <v>5.5562255976633308</v>
      </c>
    </row>
    <row r="467" spans="1:24" s="4" customFormat="1" ht="15" customHeight="1">
      <c r="A467" s="28" t="s">
        <v>647</v>
      </c>
      <c r="B467" s="29">
        <v>3125.21</v>
      </c>
      <c r="C467" s="30" t="s">
        <v>777</v>
      </c>
      <c r="D467" s="2">
        <v>4947275283</v>
      </c>
      <c r="E467" s="2" t="s">
        <v>33</v>
      </c>
      <c r="F467" s="2" t="s">
        <v>778</v>
      </c>
      <c r="G467" s="28" t="s">
        <v>9</v>
      </c>
      <c r="H467" s="2" t="s">
        <v>23</v>
      </c>
      <c r="I467" s="2">
        <v>4</v>
      </c>
      <c r="J467" s="2"/>
      <c r="K467" s="2">
        <v>24100</v>
      </c>
      <c r="L467" s="35">
        <f t="shared" si="26"/>
        <v>75317561</v>
      </c>
      <c r="M467" s="36">
        <v>5000</v>
      </c>
      <c r="N467" s="37">
        <v>1595337</v>
      </c>
      <c r="O467" s="37">
        <v>3277</v>
      </c>
      <c r="P467" s="37">
        <v>0</v>
      </c>
      <c r="Q467" s="37">
        <v>80169</v>
      </c>
      <c r="R467" s="37">
        <v>203265</v>
      </c>
      <c r="S467" s="37">
        <v>343435</v>
      </c>
      <c r="T467" s="37"/>
      <c r="U467" s="37">
        <v>2163100</v>
      </c>
      <c r="V467" s="37">
        <v>0</v>
      </c>
      <c r="W467" s="45">
        <f t="shared" si="27"/>
        <v>4388583</v>
      </c>
      <c r="X467" s="46">
        <f t="shared" si="28"/>
        <v>5.8267725902595284</v>
      </c>
    </row>
    <row r="468" spans="1:24" s="4" customFormat="1" ht="15" customHeight="1">
      <c r="A468" s="28" t="s">
        <v>647</v>
      </c>
      <c r="B468" s="29">
        <v>3125.21</v>
      </c>
      <c r="C468" s="30" t="s">
        <v>779</v>
      </c>
      <c r="D468" s="2">
        <v>4948210662</v>
      </c>
      <c r="E468" s="2" t="s">
        <v>14</v>
      </c>
      <c r="F468" s="2" t="s">
        <v>780</v>
      </c>
      <c r="G468" s="28" t="s">
        <v>5</v>
      </c>
      <c r="H468" s="2" t="s">
        <v>20</v>
      </c>
      <c r="I468" s="2">
        <v>1</v>
      </c>
      <c r="J468" s="2" t="s">
        <v>781</v>
      </c>
      <c r="K468" s="2">
        <v>13248</v>
      </c>
      <c r="L468" s="35">
        <f t="shared" si="26"/>
        <v>41402782.079999998</v>
      </c>
      <c r="M468" s="36">
        <f>4200+5400</f>
        <v>9600</v>
      </c>
      <c r="N468" s="37">
        <v>322373</v>
      </c>
      <c r="O468" s="37">
        <v>318682</v>
      </c>
      <c r="P468" s="37">
        <v>0</v>
      </c>
      <c r="Q468" s="37">
        <v>99309</v>
      </c>
      <c r="R468" s="37">
        <v>535945</v>
      </c>
      <c r="S468" s="37">
        <v>343435</v>
      </c>
      <c r="T468" s="37">
        <v>30000</v>
      </c>
      <c r="U468" s="37">
        <v>2749500</v>
      </c>
      <c r="V468" s="37">
        <v>0</v>
      </c>
      <c r="W468" s="45">
        <f t="shared" si="27"/>
        <v>4399244</v>
      </c>
      <c r="X468" s="46">
        <f t="shared" si="28"/>
        <v>10.625479204512434</v>
      </c>
    </row>
    <row r="469" spans="1:24" s="4" customFormat="1" ht="15" customHeight="1">
      <c r="A469" s="28" t="s">
        <v>647</v>
      </c>
      <c r="B469" s="29">
        <v>3125.21</v>
      </c>
      <c r="C469" s="30" t="s">
        <v>782</v>
      </c>
      <c r="D469" s="2">
        <v>4947642970</v>
      </c>
      <c r="E469" s="2" t="s">
        <v>14</v>
      </c>
      <c r="F469" s="2" t="s">
        <v>783</v>
      </c>
      <c r="G469" s="28" t="s">
        <v>5</v>
      </c>
      <c r="H469" s="2" t="s">
        <v>20</v>
      </c>
      <c r="I469" s="2">
        <v>1</v>
      </c>
      <c r="J469" s="2" t="s">
        <v>784</v>
      </c>
      <c r="K469" s="2">
        <v>36842.400000000001</v>
      </c>
      <c r="L469" s="35">
        <f t="shared" si="26"/>
        <v>115140236.904</v>
      </c>
      <c r="M469" s="36">
        <v>15480</v>
      </c>
      <c r="N469" s="37">
        <v>320299</v>
      </c>
      <c r="O469" s="37">
        <v>318682</v>
      </c>
      <c r="P469" s="37">
        <v>0</v>
      </c>
      <c r="Q469" s="37">
        <v>99309</v>
      </c>
      <c r="R469" s="37">
        <v>532322</v>
      </c>
      <c r="S469" s="37">
        <v>343435</v>
      </c>
      <c r="T469" s="37">
        <v>30000</v>
      </c>
      <c r="U469" s="37">
        <v>3629900</v>
      </c>
      <c r="V469" s="37">
        <v>0</v>
      </c>
      <c r="W469" s="45">
        <f t="shared" si="27"/>
        <v>5273947</v>
      </c>
      <c r="X469" s="46">
        <f t="shared" si="28"/>
        <v>4.5804552273044541</v>
      </c>
    </row>
    <row r="470" spans="1:24" s="4" customFormat="1" ht="15" customHeight="1">
      <c r="A470" s="28" t="s">
        <v>647</v>
      </c>
      <c r="B470" s="29">
        <v>3125.21</v>
      </c>
      <c r="C470" s="30" t="s">
        <v>785</v>
      </c>
      <c r="D470" s="2">
        <v>4946765522</v>
      </c>
      <c r="E470" s="2" t="s">
        <v>6</v>
      </c>
      <c r="F470" s="2" t="s">
        <v>786</v>
      </c>
      <c r="G470" s="28" t="s">
        <v>5</v>
      </c>
      <c r="H470" s="2" t="s">
        <v>20</v>
      </c>
      <c r="I470" s="2">
        <v>1</v>
      </c>
      <c r="J470" s="2" t="s">
        <v>787</v>
      </c>
      <c r="K470" s="2">
        <v>24768</v>
      </c>
      <c r="L470" s="35">
        <f t="shared" si="26"/>
        <v>77405201.280000001</v>
      </c>
      <c r="M470" s="36">
        <v>960</v>
      </c>
      <c r="N470" s="40">
        <v>112129.739130435</v>
      </c>
      <c r="O470" s="40">
        <v>138008.69565217401</v>
      </c>
      <c r="P470" s="40">
        <v>0</v>
      </c>
      <c r="Q470" s="40">
        <v>43178.0869565217</v>
      </c>
      <c r="R470" s="40">
        <v>278830.56521739101</v>
      </c>
      <c r="S470" s="40">
        <v>119455.652173913</v>
      </c>
      <c r="T470" s="37">
        <v>30000</v>
      </c>
      <c r="U470" s="40">
        <v>737043.47826086998</v>
      </c>
      <c r="V470" s="40">
        <v>453093.21739130397</v>
      </c>
      <c r="W470" s="45">
        <f t="shared" si="27"/>
        <v>1911739.4347826086</v>
      </c>
      <c r="X470" s="46">
        <f t="shared" si="28"/>
        <v>2.4697816208334893</v>
      </c>
    </row>
    <row r="471" spans="1:24" s="4" customFormat="1" ht="15" customHeight="1">
      <c r="A471" s="28" t="s">
        <v>647</v>
      </c>
      <c r="B471" s="29">
        <v>3125.21</v>
      </c>
      <c r="C471" s="30" t="s">
        <v>785</v>
      </c>
      <c r="D471" s="2">
        <v>4946765519</v>
      </c>
      <c r="E471" s="2" t="s">
        <v>6</v>
      </c>
      <c r="F471" s="2" t="s">
        <v>786</v>
      </c>
      <c r="G471" s="28" t="s">
        <v>5</v>
      </c>
      <c r="H471" s="2" t="s">
        <v>20</v>
      </c>
      <c r="I471" s="2">
        <v>1</v>
      </c>
      <c r="J471" s="2" t="s">
        <v>787</v>
      </c>
      <c r="K471" s="2">
        <v>44964</v>
      </c>
      <c r="L471" s="35">
        <f t="shared" si="26"/>
        <v>140521942.44</v>
      </c>
      <c r="M471" s="36">
        <v>1800</v>
      </c>
      <c r="N471" s="40">
        <v>210243.26086956501</v>
      </c>
      <c r="O471" s="40">
        <v>258766.30434782599</v>
      </c>
      <c r="P471" s="40">
        <v>0</v>
      </c>
      <c r="Q471" s="40">
        <v>80958.9130434783</v>
      </c>
      <c r="R471" s="40">
        <v>522843.43478260899</v>
      </c>
      <c r="S471" s="40">
        <v>223979.347826087</v>
      </c>
      <c r="T471" s="37">
        <v>30000</v>
      </c>
      <c r="U471" s="40">
        <v>1381956.5217391299</v>
      </c>
      <c r="V471" s="40">
        <v>849549.78260869603</v>
      </c>
      <c r="W471" s="45">
        <f t="shared" si="27"/>
        <v>3558297.5652173916</v>
      </c>
      <c r="X471" s="46">
        <f t="shared" si="28"/>
        <v>2.5322006680463529</v>
      </c>
    </row>
    <row r="472" spans="1:24" s="4" customFormat="1" ht="15" customHeight="1">
      <c r="A472" s="28" t="s">
        <v>647</v>
      </c>
      <c r="B472" s="29">
        <v>3125.21</v>
      </c>
      <c r="C472" s="30" t="s">
        <v>788</v>
      </c>
      <c r="D472" s="2">
        <v>4946765517</v>
      </c>
      <c r="E472" s="2" t="s">
        <v>6</v>
      </c>
      <c r="F472" s="78" t="s">
        <v>789</v>
      </c>
      <c r="G472" s="28" t="s">
        <v>5</v>
      </c>
      <c r="H472" s="2" t="s">
        <v>20</v>
      </c>
      <c r="I472" s="2">
        <v>1</v>
      </c>
      <c r="J472" s="2" t="s">
        <v>790</v>
      </c>
      <c r="K472" s="2">
        <v>103773.6</v>
      </c>
      <c r="L472" s="35">
        <f t="shared" si="26"/>
        <v>324314292.45600003</v>
      </c>
      <c r="M472" s="36">
        <v>504</v>
      </c>
      <c r="N472" s="37">
        <v>322373</v>
      </c>
      <c r="O472" s="37">
        <v>396775</v>
      </c>
      <c r="P472" s="37">
        <v>0</v>
      </c>
      <c r="Q472" s="37">
        <v>124137</v>
      </c>
      <c r="R472" s="37">
        <v>798637</v>
      </c>
      <c r="S472" s="37">
        <v>343435</v>
      </c>
      <c r="T472" s="37">
        <v>30000</v>
      </c>
      <c r="U472" s="37">
        <v>2119000</v>
      </c>
      <c r="V472" s="37">
        <v>1261522</v>
      </c>
      <c r="W472" s="45">
        <f t="shared" si="27"/>
        <v>5395879</v>
      </c>
      <c r="X472" s="46">
        <f t="shared" si="28"/>
        <v>1.6637808217262156</v>
      </c>
    </row>
    <row r="473" spans="1:24" s="4" customFormat="1" ht="15" customHeight="1">
      <c r="A473" s="28" t="s">
        <v>647</v>
      </c>
      <c r="B473" s="29">
        <v>3125.21</v>
      </c>
      <c r="C473" s="30" t="s">
        <v>791</v>
      </c>
      <c r="D473" s="2">
        <v>4947994900</v>
      </c>
      <c r="E473" s="2" t="s">
        <v>18</v>
      </c>
      <c r="F473" s="2" t="s">
        <v>792</v>
      </c>
      <c r="G473" s="28" t="s">
        <v>5</v>
      </c>
      <c r="H473" s="2" t="s">
        <v>35</v>
      </c>
      <c r="I473" s="2">
        <v>1</v>
      </c>
      <c r="J473" s="2" t="s">
        <v>793</v>
      </c>
      <c r="K473" s="2">
        <v>81760</v>
      </c>
      <c r="L473" s="35">
        <f t="shared" si="26"/>
        <v>255517169.59999999</v>
      </c>
      <c r="M473" s="36">
        <v>8000</v>
      </c>
      <c r="N473" s="40">
        <v>261162.936708861</v>
      </c>
      <c r="O473" s="40">
        <v>338692.05063291098</v>
      </c>
      <c r="P473" s="40">
        <v>0</v>
      </c>
      <c r="Q473" s="40">
        <v>80452.860759493706</v>
      </c>
      <c r="R473" s="40">
        <v>1019335.0886075899</v>
      </c>
      <c r="S473" s="40">
        <v>278225.82278480998</v>
      </c>
      <c r="T473" s="37">
        <v>30000</v>
      </c>
      <c r="U473" s="40">
        <v>4067686.0759493699</v>
      </c>
      <c r="V473" s="40">
        <v>1055305.7215189899</v>
      </c>
      <c r="W473" s="45">
        <f t="shared" si="27"/>
        <v>7130860.5569620244</v>
      </c>
      <c r="X473" s="46">
        <f t="shared" si="28"/>
        <v>2.7907559277229974</v>
      </c>
    </row>
    <row r="474" spans="1:24" s="4" customFormat="1" ht="15" customHeight="1">
      <c r="A474" s="28" t="s">
        <v>647</v>
      </c>
      <c r="B474" s="29">
        <v>3125.21</v>
      </c>
      <c r="C474" s="30" t="s">
        <v>791</v>
      </c>
      <c r="D474" s="2">
        <v>4947994895</v>
      </c>
      <c r="E474" s="2" t="s">
        <v>18</v>
      </c>
      <c r="F474" s="2" t="s">
        <v>792</v>
      </c>
      <c r="G474" s="28" t="s">
        <v>5</v>
      </c>
      <c r="H474" s="2" t="s">
        <v>35</v>
      </c>
      <c r="I474" s="2">
        <v>1</v>
      </c>
      <c r="J474" s="2" t="s">
        <v>793</v>
      </c>
      <c r="K474" s="2">
        <v>8000</v>
      </c>
      <c r="L474" s="35">
        <f t="shared" si="26"/>
        <v>25001680</v>
      </c>
      <c r="M474" s="36">
        <v>1250</v>
      </c>
      <c r="N474" s="40">
        <v>40806.7088607595</v>
      </c>
      <c r="O474" s="40">
        <v>52920.6329113924</v>
      </c>
      <c r="P474" s="40">
        <v>0</v>
      </c>
      <c r="Q474" s="40">
        <v>12570.759493670899</v>
      </c>
      <c r="R474" s="40">
        <v>159271.607594937</v>
      </c>
      <c r="S474" s="40">
        <v>43472.784810126599</v>
      </c>
      <c r="T474" s="37">
        <v>30000</v>
      </c>
      <c r="U474" s="40">
        <v>635575.94936708896</v>
      </c>
      <c r="V474" s="40">
        <v>164891.51898734199</v>
      </c>
      <c r="W474" s="45">
        <f t="shared" si="27"/>
        <v>1139509.9620253174</v>
      </c>
      <c r="X474" s="46">
        <f t="shared" si="28"/>
        <v>4.5577335684054727</v>
      </c>
    </row>
    <row r="475" spans="1:24" s="4" customFormat="1" ht="15" customHeight="1">
      <c r="A475" s="28" t="s">
        <v>647</v>
      </c>
      <c r="B475" s="29">
        <v>3125.21</v>
      </c>
      <c r="C475" s="30" t="s">
        <v>791</v>
      </c>
      <c r="D475" s="2">
        <v>4948210657</v>
      </c>
      <c r="E475" s="2" t="s">
        <v>14</v>
      </c>
      <c r="F475" s="2" t="s">
        <v>792</v>
      </c>
      <c r="G475" s="28" t="s">
        <v>5</v>
      </c>
      <c r="H475" s="2" t="s">
        <v>35</v>
      </c>
      <c r="I475" s="2">
        <v>1</v>
      </c>
      <c r="J475" s="2" t="s">
        <v>793</v>
      </c>
      <c r="K475" s="2">
        <v>3218.75</v>
      </c>
      <c r="L475" s="35">
        <f t="shared" si="26"/>
        <v>10059269.6875</v>
      </c>
      <c r="M475" s="36">
        <v>625</v>
      </c>
      <c r="N475" s="40">
        <v>20403.354430379699</v>
      </c>
      <c r="O475" s="40">
        <v>26460.3164556962</v>
      </c>
      <c r="P475" s="40">
        <v>0</v>
      </c>
      <c r="Q475" s="40">
        <v>6285.3797468354396</v>
      </c>
      <c r="R475" s="40">
        <v>43628.303797468398</v>
      </c>
      <c r="S475" s="40">
        <v>21736.3924050633</v>
      </c>
      <c r="T475" s="37">
        <v>30000</v>
      </c>
      <c r="U475" s="40">
        <v>317787.97468354402</v>
      </c>
      <c r="V475" s="40">
        <v>82445.759493670907</v>
      </c>
      <c r="W475" s="45">
        <f t="shared" si="27"/>
        <v>548747.48101265798</v>
      </c>
      <c r="X475" s="46">
        <f t="shared" si="28"/>
        <v>5.455142351880184</v>
      </c>
    </row>
    <row r="476" spans="1:24" s="4" customFormat="1" ht="15" customHeight="1">
      <c r="A476" s="28" t="s">
        <v>647</v>
      </c>
      <c r="B476" s="29">
        <v>3125.21</v>
      </c>
      <c r="C476" s="30" t="s">
        <v>794</v>
      </c>
      <c r="D476" s="2">
        <v>4947385901</v>
      </c>
      <c r="E476" s="2" t="s">
        <v>33</v>
      </c>
      <c r="F476" s="78" t="s">
        <v>795</v>
      </c>
      <c r="G476" s="28" t="s">
        <v>5</v>
      </c>
      <c r="H476" s="2" t="s">
        <v>20</v>
      </c>
      <c r="I476" s="2">
        <v>1</v>
      </c>
      <c r="J476" s="2" t="s">
        <v>796</v>
      </c>
      <c r="K476" s="2">
        <v>22200</v>
      </c>
      <c r="L476" s="35">
        <f t="shared" si="26"/>
        <v>69379662</v>
      </c>
      <c r="M476" s="36">
        <v>12000</v>
      </c>
      <c r="N476" s="37">
        <v>467858</v>
      </c>
      <c r="O476" s="37">
        <v>318682</v>
      </c>
      <c r="P476" s="37">
        <v>0</v>
      </c>
      <c r="Q476" s="37">
        <v>99309</v>
      </c>
      <c r="R476" s="37">
        <v>625066</v>
      </c>
      <c r="S476" s="37">
        <v>343435</v>
      </c>
      <c r="T476" s="37"/>
      <c r="U476" s="37">
        <v>2788300</v>
      </c>
      <c r="V476" s="37">
        <v>0</v>
      </c>
      <c r="W476" s="45">
        <f t="shared" si="27"/>
        <v>4642650</v>
      </c>
      <c r="X476" s="46">
        <f t="shared" si="28"/>
        <v>6.691658428661702</v>
      </c>
    </row>
    <row r="477" spans="1:24" s="4" customFormat="1" ht="15" customHeight="1">
      <c r="A477" s="28" t="s">
        <v>647</v>
      </c>
      <c r="B477" s="29">
        <v>3125.21</v>
      </c>
      <c r="C477" s="30" t="s">
        <v>797</v>
      </c>
      <c r="D477" s="2">
        <v>4946611860</v>
      </c>
      <c r="E477" s="2" t="s">
        <v>6</v>
      </c>
      <c r="F477" s="78" t="s">
        <v>798</v>
      </c>
      <c r="G477" s="28" t="s">
        <v>5</v>
      </c>
      <c r="H477" s="2" t="s">
        <v>17</v>
      </c>
      <c r="I477" s="2">
        <v>1</v>
      </c>
      <c r="J477" s="2" t="s">
        <v>799</v>
      </c>
      <c r="K477" s="2">
        <v>25625.599999999999</v>
      </c>
      <c r="L477" s="35">
        <f t="shared" si="26"/>
        <v>80085381.376000002</v>
      </c>
      <c r="M477" s="36">
        <v>8320</v>
      </c>
      <c r="N477" s="37">
        <v>467858</v>
      </c>
      <c r="O477" s="37">
        <v>521029</v>
      </c>
      <c r="P477" s="37">
        <v>0</v>
      </c>
      <c r="Q477" s="37">
        <v>124137</v>
      </c>
      <c r="R477" s="37">
        <v>853489</v>
      </c>
      <c r="S477" s="37">
        <v>343435</v>
      </c>
      <c r="T477" s="37">
        <v>30000</v>
      </c>
      <c r="U477" s="37">
        <v>4054050</v>
      </c>
      <c r="V477" s="37">
        <v>0</v>
      </c>
      <c r="W477" s="45">
        <f t="shared" si="27"/>
        <v>6393998</v>
      </c>
      <c r="X477" s="46">
        <f t="shared" si="28"/>
        <v>7.9839764637946207</v>
      </c>
    </row>
    <row r="478" spans="1:24" s="4" customFormat="1" ht="15" customHeight="1">
      <c r="A478" s="28" t="s">
        <v>647</v>
      </c>
      <c r="B478" s="29">
        <v>3125.21</v>
      </c>
      <c r="C478" s="30" t="s">
        <v>800</v>
      </c>
      <c r="D478" s="2">
        <v>4947721350</v>
      </c>
      <c r="E478" s="2" t="s">
        <v>27</v>
      </c>
      <c r="F478" s="2" t="s">
        <v>801</v>
      </c>
      <c r="G478" s="28" t="s">
        <v>5</v>
      </c>
      <c r="H478" s="2" t="s">
        <v>17</v>
      </c>
      <c r="I478" s="2">
        <v>1</v>
      </c>
      <c r="J478" s="2" t="s">
        <v>802</v>
      </c>
      <c r="K478" s="2">
        <v>138.18</v>
      </c>
      <c r="L478" s="35">
        <f t="shared" si="26"/>
        <v>431841.51780000003</v>
      </c>
      <c r="M478" s="36">
        <v>33.54</v>
      </c>
      <c r="N478" s="40">
        <v>580.61058460198103</v>
      </c>
      <c r="O478" s="37">
        <v>938.37268628821198</v>
      </c>
      <c r="P478" s="40">
        <v>0</v>
      </c>
      <c r="Q478" s="37">
        <v>223.57060769699899</v>
      </c>
      <c r="R478" s="40">
        <v>1418.57068780646</v>
      </c>
      <c r="S478" s="40">
        <v>618.544344975483</v>
      </c>
      <c r="T478" s="40"/>
      <c r="U478" s="40">
        <v>9048.5760518702991</v>
      </c>
      <c r="V478" s="40">
        <v>0</v>
      </c>
      <c r="W478" s="45">
        <f t="shared" si="27"/>
        <v>12828.244963239435</v>
      </c>
      <c r="X478" s="46">
        <f t="shared" si="28"/>
        <v>2.9705909308100886</v>
      </c>
    </row>
    <row r="479" spans="1:24" s="4" customFormat="1" ht="15" customHeight="1">
      <c r="A479" s="28" t="s">
        <v>647</v>
      </c>
      <c r="B479" s="29">
        <v>3125.21</v>
      </c>
      <c r="C479" s="30" t="s">
        <v>800</v>
      </c>
      <c r="D479" s="2">
        <v>4947736756</v>
      </c>
      <c r="E479" s="2" t="s">
        <v>27</v>
      </c>
      <c r="F479" s="2" t="s">
        <v>801</v>
      </c>
      <c r="G479" s="28" t="s">
        <v>5</v>
      </c>
      <c r="H479" s="2" t="s">
        <v>17</v>
      </c>
      <c r="I479" s="2">
        <v>1</v>
      </c>
      <c r="J479" s="2" t="s">
        <v>802</v>
      </c>
      <c r="K479" s="2">
        <v>2561.1999999999998</v>
      </c>
      <c r="L479" s="35">
        <f t="shared" si="26"/>
        <v>8004287.852</v>
      </c>
      <c r="M479" s="36">
        <v>2036.55</v>
      </c>
      <c r="N479" s="40">
        <v>35245.174426047502</v>
      </c>
      <c r="O479" s="40">
        <v>56978.023084682703</v>
      </c>
      <c r="P479" s="40">
        <v>0</v>
      </c>
      <c r="Q479" s="40">
        <v>13575.215298310201</v>
      </c>
      <c r="R479" s="40">
        <v>86091.9695997003</v>
      </c>
      <c r="S479" s="40">
        <v>37547.891662793198</v>
      </c>
      <c r="T479" s="40"/>
      <c r="U479" s="40">
        <v>549281.48007179296</v>
      </c>
      <c r="V479" s="40">
        <v>0</v>
      </c>
      <c r="W479" s="45">
        <f t="shared" si="27"/>
        <v>778719.75414332689</v>
      </c>
      <c r="X479" s="46">
        <f t="shared" si="28"/>
        <v>9.7287824793651225</v>
      </c>
    </row>
    <row r="480" spans="1:24" s="4" customFormat="1" ht="15" customHeight="1">
      <c r="A480" s="28" t="s">
        <v>647</v>
      </c>
      <c r="B480" s="29">
        <v>3125.21</v>
      </c>
      <c r="C480" s="30" t="s">
        <v>800</v>
      </c>
      <c r="D480" s="2">
        <v>4948281616</v>
      </c>
      <c r="E480" s="2" t="s">
        <v>27</v>
      </c>
      <c r="F480" s="2" t="s">
        <v>801</v>
      </c>
      <c r="G480" s="28" t="s">
        <v>5</v>
      </c>
      <c r="H480" s="2" t="s">
        <v>17</v>
      </c>
      <c r="I480" s="2">
        <v>1</v>
      </c>
      <c r="J480" s="2" t="s">
        <v>802</v>
      </c>
      <c r="K480" s="2">
        <v>52377.39</v>
      </c>
      <c r="L480" s="35">
        <f t="shared" si="26"/>
        <v>163690343.00189999</v>
      </c>
      <c r="M480" s="36">
        <v>16552.907999999999</v>
      </c>
      <c r="N480" s="40">
        <v>286547.21498935</v>
      </c>
      <c r="O480" s="40">
        <v>463112.60422902898</v>
      </c>
      <c r="P480" s="40">
        <v>0</v>
      </c>
      <c r="Q480" s="40">
        <v>110338.214093993</v>
      </c>
      <c r="R480" s="40">
        <v>699977.459712493</v>
      </c>
      <c r="S480" s="40">
        <v>305268.56399223098</v>
      </c>
      <c r="T480" s="40"/>
      <c r="U480" s="40">
        <v>4465719.9438763401</v>
      </c>
      <c r="V480" s="40">
        <v>0</v>
      </c>
      <c r="W480" s="45">
        <f t="shared" si="27"/>
        <v>6330964.0008934364</v>
      </c>
      <c r="X480" s="46">
        <f t="shared" si="28"/>
        <v>3.8676466093176627</v>
      </c>
    </row>
    <row r="481" spans="1:24" s="4" customFormat="1" ht="15" customHeight="1">
      <c r="A481" s="28" t="s">
        <v>647</v>
      </c>
      <c r="B481" s="29">
        <v>3125.21</v>
      </c>
      <c r="C481" s="30" t="s">
        <v>803</v>
      </c>
      <c r="D481" s="2">
        <v>4946293634</v>
      </c>
      <c r="E481" s="2" t="s">
        <v>6</v>
      </c>
      <c r="F481" s="2" t="s">
        <v>804</v>
      </c>
      <c r="G481" s="28" t="s">
        <v>5</v>
      </c>
      <c r="H481" s="2" t="s">
        <v>20</v>
      </c>
      <c r="I481" s="2">
        <v>1</v>
      </c>
      <c r="J481" s="2" t="s">
        <v>805</v>
      </c>
      <c r="K481" s="2">
        <v>106444.8</v>
      </c>
      <c r="L481" s="35">
        <f t="shared" si="26"/>
        <v>332662353.40799999</v>
      </c>
      <c r="M481" s="36">
        <v>16632</v>
      </c>
      <c r="N481" s="37">
        <v>467858</v>
      </c>
      <c r="O481" s="37">
        <v>396775</v>
      </c>
      <c r="P481" s="37">
        <v>0</v>
      </c>
      <c r="Q481" s="37">
        <v>124137</v>
      </c>
      <c r="R481" s="37">
        <v>728530</v>
      </c>
      <c r="S481" s="37">
        <v>343435</v>
      </c>
      <c r="T481" s="37">
        <v>30000</v>
      </c>
      <c r="U481" s="37">
        <v>499900</v>
      </c>
      <c r="V481" s="37">
        <v>89250</v>
      </c>
      <c r="W481" s="45">
        <f t="shared" si="27"/>
        <v>2679885</v>
      </c>
      <c r="X481" s="46">
        <f t="shared" si="28"/>
        <v>0.80558709831322717</v>
      </c>
    </row>
    <row r="482" spans="1:24" s="4" customFormat="1" ht="15" customHeight="1">
      <c r="A482" s="28" t="s">
        <v>647</v>
      </c>
      <c r="B482" s="29">
        <v>3125.21</v>
      </c>
      <c r="C482" s="30" t="s">
        <v>806</v>
      </c>
      <c r="D482" s="2">
        <v>4947225151</v>
      </c>
      <c r="E482" s="2" t="s">
        <v>14</v>
      </c>
      <c r="F482" s="2" t="s">
        <v>807</v>
      </c>
      <c r="G482" s="28" t="s">
        <v>5</v>
      </c>
      <c r="H482" s="2" t="s">
        <v>20</v>
      </c>
      <c r="I482" s="2">
        <v>1</v>
      </c>
      <c r="J482" s="2" t="s">
        <v>808</v>
      </c>
      <c r="K482" s="2">
        <v>26960</v>
      </c>
      <c r="L482" s="35">
        <f t="shared" si="26"/>
        <v>84255661.599999994</v>
      </c>
      <c r="M482" s="36">
        <v>8000</v>
      </c>
      <c r="N482" s="37">
        <v>0</v>
      </c>
      <c r="O482" s="37">
        <v>318682</v>
      </c>
      <c r="P482" s="37">
        <v>0</v>
      </c>
      <c r="Q482" s="37">
        <v>99309</v>
      </c>
      <c r="R482" s="37">
        <v>620758</v>
      </c>
      <c r="S482" s="37">
        <v>343435</v>
      </c>
      <c r="T482" s="37">
        <v>30000</v>
      </c>
      <c r="U482" s="37">
        <v>2601700</v>
      </c>
      <c r="V482" s="37">
        <v>0</v>
      </c>
      <c r="W482" s="45">
        <f t="shared" si="27"/>
        <v>4013884</v>
      </c>
      <c r="X482" s="46">
        <f t="shared" si="28"/>
        <v>4.7639338695786826</v>
      </c>
    </row>
    <row r="483" spans="1:24" s="4" customFormat="1" ht="15" customHeight="1">
      <c r="A483" s="28" t="s">
        <v>647</v>
      </c>
      <c r="B483" s="29">
        <v>3125.21</v>
      </c>
      <c r="C483" s="30" t="s">
        <v>809</v>
      </c>
      <c r="D483" s="2">
        <v>4947974796</v>
      </c>
      <c r="E483" s="2" t="s">
        <v>18</v>
      </c>
      <c r="F483" s="2" t="s">
        <v>810</v>
      </c>
      <c r="G483" s="28" t="s">
        <v>9</v>
      </c>
      <c r="H483" s="2" t="s">
        <v>23</v>
      </c>
      <c r="I483" s="2">
        <v>3</v>
      </c>
      <c r="J483" s="2"/>
      <c r="K483" s="2">
        <v>5040</v>
      </c>
      <c r="L483" s="35">
        <f t="shared" si="26"/>
        <v>15751058.4</v>
      </c>
      <c r="M483" s="36">
        <v>1800</v>
      </c>
      <c r="N483" s="37">
        <v>625103</v>
      </c>
      <c r="O483" s="37">
        <v>2363</v>
      </c>
      <c r="P483" s="37">
        <v>18320</v>
      </c>
      <c r="Q483" s="37">
        <v>29170</v>
      </c>
      <c r="R483" s="37">
        <v>376791</v>
      </c>
      <c r="S483" s="37">
        <v>354356</v>
      </c>
      <c r="T483" s="37">
        <v>30000</v>
      </c>
      <c r="U483" s="37">
        <v>1367700</v>
      </c>
      <c r="V483" s="37">
        <v>0</v>
      </c>
      <c r="W483" s="45">
        <f t="shared" si="27"/>
        <v>2803803</v>
      </c>
      <c r="X483" s="46">
        <f t="shared" si="28"/>
        <v>17.800727600629045</v>
      </c>
    </row>
    <row r="484" spans="1:24" s="4" customFormat="1" ht="15" customHeight="1">
      <c r="A484" s="28" t="s">
        <v>647</v>
      </c>
      <c r="B484" s="29">
        <v>3125.21</v>
      </c>
      <c r="C484" s="30" t="s">
        <v>811</v>
      </c>
      <c r="D484" s="2">
        <v>4947917322</v>
      </c>
      <c r="E484" s="2" t="s">
        <v>21</v>
      </c>
      <c r="F484" s="2" t="s">
        <v>812</v>
      </c>
      <c r="G484" s="28" t="s">
        <v>5</v>
      </c>
      <c r="H484" s="2" t="s">
        <v>20</v>
      </c>
      <c r="I484" s="2">
        <v>1</v>
      </c>
      <c r="J484" s="2" t="s">
        <v>813</v>
      </c>
      <c r="K484" s="2">
        <v>23438.400000000001</v>
      </c>
      <c r="L484" s="35">
        <f t="shared" si="26"/>
        <v>73249922.06400001</v>
      </c>
      <c r="M484" s="36">
        <v>4560</v>
      </c>
      <c r="N484" s="37">
        <v>296664</v>
      </c>
      <c r="O484" s="37">
        <v>318682</v>
      </c>
      <c r="P484" s="37">
        <v>420901</v>
      </c>
      <c r="Q484" s="37">
        <v>99309</v>
      </c>
      <c r="R484" s="37">
        <v>739488</v>
      </c>
      <c r="S484" s="37">
        <v>354356</v>
      </c>
      <c r="T484" s="37"/>
      <c r="U484" s="37">
        <v>499900</v>
      </c>
      <c r="V484" s="37">
        <v>0</v>
      </c>
      <c r="W484" s="45">
        <f t="shared" si="27"/>
        <v>2729300</v>
      </c>
      <c r="X484" s="46">
        <f t="shared" si="28"/>
        <v>3.7260107903123125</v>
      </c>
    </row>
    <row r="485" spans="1:24" s="4" customFormat="1" ht="15" customHeight="1">
      <c r="A485" s="28" t="s">
        <v>647</v>
      </c>
      <c r="B485" s="29">
        <v>3125.21</v>
      </c>
      <c r="C485" s="30" t="s">
        <v>814</v>
      </c>
      <c r="D485" s="2">
        <v>4948452718</v>
      </c>
      <c r="E485" s="2" t="s">
        <v>36</v>
      </c>
      <c r="F485" s="2" t="s">
        <v>815</v>
      </c>
      <c r="G485" s="28" t="s">
        <v>5</v>
      </c>
      <c r="H485" s="2" t="s">
        <v>20</v>
      </c>
      <c r="I485" s="2">
        <v>3</v>
      </c>
      <c r="J485" s="2" t="s">
        <v>816</v>
      </c>
      <c r="K485" s="2">
        <v>82353.600000000006</v>
      </c>
      <c r="L485" s="35">
        <f t="shared" si="26"/>
        <v>257372294.25600001</v>
      </c>
      <c r="M485" s="36">
        <v>50400</v>
      </c>
      <c r="N485" s="37">
        <v>889992</v>
      </c>
      <c r="O485" s="37">
        <v>956046</v>
      </c>
      <c r="P485" s="37">
        <v>1061095</v>
      </c>
      <c r="Q485" s="37">
        <v>297928</v>
      </c>
      <c r="R485" s="37">
        <v>2414072</v>
      </c>
      <c r="S485" s="37">
        <v>354356</v>
      </c>
      <c r="T485" s="37"/>
      <c r="U485" s="37">
        <v>1557900</v>
      </c>
      <c r="V485" s="37">
        <v>0</v>
      </c>
      <c r="W485" s="45">
        <f t="shared" si="27"/>
        <v>7531389</v>
      </c>
      <c r="X485" s="46">
        <f t="shared" si="28"/>
        <v>2.9262625263420028</v>
      </c>
    </row>
    <row r="486" spans="1:24" s="4" customFormat="1" ht="15" customHeight="1">
      <c r="A486" s="28" t="s">
        <v>647</v>
      </c>
      <c r="B486" s="29">
        <v>3125.21</v>
      </c>
      <c r="C486" s="30" t="s">
        <v>817</v>
      </c>
      <c r="D486" s="2">
        <v>4948449282</v>
      </c>
      <c r="E486" s="2" t="s">
        <v>36</v>
      </c>
      <c r="F486" s="78" t="s">
        <v>818</v>
      </c>
      <c r="G486" s="28" t="s">
        <v>5</v>
      </c>
      <c r="H486" s="2" t="s">
        <v>20</v>
      </c>
      <c r="I486" s="2">
        <v>2</v>
      </c>
      <c r="J486" s="2" t="s">
        <v>819</v>
      </c>
      <c r="K486" s="2">
        <v>70000</v>
      </c>
      <c r="L486" s="35">
        <f t="shared" si="26"/>
        <v>218764700</v>
      </c>
      <c r="M486" s="36">
        <v>40000</v>
      </c>
      <c r="N486" s="37">
        <v>644746</v>
      </c>
      <c r="O486" s="37">
        <v>637364</v>
      </c>
      <c r="P486" s="37">
        <v>0</v>
      </c>
      <c r="Q486" s="37">
        <v>198619</v>
      </c>
      <c r="R486" s="37">
        <v>1068891</v>
      </c>
      <c r="S486" s="37">
        <v>343435</v>
      </c>
      <c r="T486" s="37"/>
      <c r="U486" s="37">
        <v>1038600</v>
      </c>
      <c r="V486" s="37">
        <v>0</v>
      </c>
      <c r="W486" s="45">
        <f t="shared" si="27"/>
        <v>3931655</v>
      </c>
      <c r="X486" s="46">
        <f t="shared" si="28"/>
        <v>1.7972072276743003</v>
      </c>
    </row>
    <row r="487" spans="1:24" s="4" customFormat="1" ht="15" customHeight="1">
      <c r="A487" s="28" t="s">
        <v>647</v>
      </c>
      <c r="B487" s="29">
        <v>3125.21</v>
      </c>
      <c r="C487" s="30" t="s">
        <v>820</v>
      </c>
      <c r="D487" s="2">
        <v>4948242174</v>
      </c>
      <c r="E487" s="2" t="s">
        <v>14</v>
      </c>
      <c r="F487" s="2" t="s">
        <v>821</v>
      </c>
      <c r="G487" s="28" t="s">
        <v>9</v>
      </c>
      <c r="H487" s="2" t="s">
        <v>23</v>
      </c>
      <c r="I487" s="2">
        <v>1</v>
      </c>
      <c r="J487" s="2"/>
      <c r="K487" s="2">
        <v>7962</v>
      </c>
      <c r="L487" s="35">
        <f t="shared" si="26"/>
        <v>24882922.02</v>
      </c>
      <c r="M487" s="36">
        <v>600</v>
      </c>
      <c r="N487" s="37">
        <v>339250</v>
      </c>
      <c r="O487" s="37">
        <v>404</v>
      </c>
      <c r="P487" s="37">
        <v>0</v>
      </c>
      <c r="Q487" s="37">
        <v>9842</v>
      </c>
      <c r="R487" s="37">
        <v>92303</v>
      </c>
      <c r="S487" s="37">
        <v>354356</v>
      </c>
      <c r="T487" s="37">
        <v>30000</v>
      </c>
      <c r="U487" s="37">
        <v>322500</v>
      </c>
      <c r="V487" s="37">
        <v>0</v>
      </c>
      <c r="W487" s="45">
        <f t="shared" si="27"/>
        <v>1148655</v>
      </c>
      <c r="X487" s="46">
        <f t="shared" si="28"/>
        <v>4.6162383946577989</v>
      </c>
    </row>
    <row r="488" spans="1:24" s="4" customFormat="1" ht="15" customHeight="1">
      <c r="A488" s="28" t="s">
        <v>647</v>
      </c>
      <c r="B488" s="29">
        <v>3125.21</v>
      </c>
      <c r="C488" s="30" t="s">
        <v>822</v>
      </c>
      <c r="D488" s="2">
        <v>4947112617</v>
      </c>
      <c r="E488" s="2" t="s">
        <v>10</v>
      </c>
      <c r="F488" s="2" t="s">
        <v>823</v>
      </c>
      <c r="G488" s="28" t="s">
        <v>5</v>
      </c>
      <c r="H488" s="2" t="s">
        <v>17</v>
      </c>
      <c r="I488" s="2">
        <v>1</v>
      </c>
      <c r="J488" s="2" t="s">
        <v>824</v>
      </c>
      <c r="K488" s="2">
        <v>53985</v>
      </c>
      <c r="L488" s="35">
        <f t="shared" si="26"/>
        <v>168714461.84999999</v>
      </c>
      <c r="M488" s="36">
        <v>16560</v>
      </c>
      <c r="N488" s="37">
        <v>322373</v>
      </c>
      <c r="O488" s="37">
        <v>521029</v>
      </c>
      <c r="P488" s="37">
        <v>0</v>
      </c>
      <c r="Q488" s="37">
        <v>124137</v>
      </c>
      <c r="R488" s="37">
        <v>928595</v>
      </c>
      <c r="S488" s="37">
        <v>686870</v>
      </c>
      <c r="T488" s="37"/>
      <c r="U488" s="37">
        <v>1400500</v>
      </c>
      <c r="V488" s="37">
        <v>302643</v>
      </c>
      <c r="W488" s="45">
        <f t="shared" si="27"/>
        <v>4286147</v>
      </c>
      <c r="X488" s="46">
        <f t="shared" si="28"/>
        <v>2.5404739777498806</v>
      </c>
    </row>
    <row r="489" spans="1:24" s="4" customFormat="1" ht="15" customHeight="1">
      <c r="A489" s="28" t="s">
        <v>647</v>
      </c>
      <c r="B489" s="29">
        <v>3125.21</v>
      </c>
      <c r="C489" s="30" t="s">
        <v>825</v>
      </c>
      <c r="D489" s="2">
        <v>4946611871</v>
      </c>
      <c r="E489" s="2" t="s">
        <v>10</v>
      </c>
      <c r="F489" s="2" t="s">
        <v>826</v>
      </c>
      <c r="G489" s="28" t="s">
        <v>9</v>
      </c>
      <c r="H489" s="2" t="s">
        <v>23</v>
      </c>
      <c r="I489" s="2">
        <v>2</v>
      </c>
      <c r="J489" s="2"/>
      <c r="K489" s="2">
        <v>8438.4</v>
      </c>
      <c r="L489" s="35">
        <f t="shared" si="26"/>
        <v>26371772.063999999</v>
      </c>
      <c r="M489" s="36">
        <v>792</v>
      </c>
      <c r="N489" s="40">
        <v>415826</v>
      </c>
      <c r="O489" s="40">
        <v>577.5</v>
      </c>
      <c r="P489" s="40">
        <v>0</v>
      </c>
      <c r="Q489" s="40">
        <v>18068</v>
      </c>
      <c r="R489" s="40">
        <v>63213</v>
      </c>
      <c r="S489" s="40">
        <v>343435</v>
      </c>
      <c r="T489" s="40"/>
      <c r="U489" s="40">
        <v>266750</v>
      </c>
      <c r="V489" s="40">
        <v>0</v>
      </c>
      <c r="W489" s="45">
        <f t="shared" si="27"/>
        <v>1107869.5</v>
      </c>
      <c r="X489" s="46">
        <f t="shared" si="28"/>
        <v>4.2009672209792388</v>
      </c>
    </row>
    <row r="490" spans="1:24" s="4" customFormat="1" ht="15" customHeight="1">
      <c r="A490" s="28" t="s">
        <v>647</v>
      </c>
      <c r="B490" s="29">
        <v>3125.21</v>
      </c>
      <c r="C490" s="30" t="s">
        <v>825</v>
      </c>
      <c r="D490" s="2">
        <v>4944874372</v>
      </c>
      <c r="E490" s="2" t="s">
        <v>10</v>
      </c>
      <c r="F490" s="2" t="s">
        <v>826</v>
      </c>
      <c r="G490" s="28" t="s">
        <v>9</v>
      </c>
      <c r="H490" s="2" t="s">
        <v>23</v>
      </c>
      <c r="I490" s="2">
        <v>2</v>
      </c>
      <c r="J490" s="2"/>
      <c r="K490" s="2">
        <v>8438.4</v>
      </c>
      <c r="L490" s="35">
        <f t="shared" si="26"/>
        <v>26371772.063999999</v>
      </c>
      <c r="M490" s="36">
        <v>792</v>
      </c>
      <c r="N490" s="40">
        <v>415826</v>
      </c>
      <c r="O490" s="40">
        <v>577.5</v>
      </c>
      <c r="P490" s="40">
        <v>0</v>
      </c>
      <c r="Q490" s="40">
        <v>18068</v>
      </c>
      <c r="R490" s="40">
        <v>63213</v>
      </c>
      <c r="S490" s="40">
        <v>343435</v>
      </c>
      <c r="T490" s="40"/>
      <c r="U490" s="40">
        <v>266750</v>
      </c>
      <c r="V490" s="40">
        <v>0</v>
      </c>
      <c r="W490" s="45">
        <f t="shared" si="27"/>
        <v>1107869.5</v>
      </c>
      <c r="X490" s="46">
        <f t="shared" si="28"/>
        <v>4.2009672209792388</v>
      </c>
    </row>
    <row r="491" spans="1:24" s="4" customFormat="1" ht="15" customHeight="1">
      <c r="A491" s="28" t="s">
        <v>647</v>
      </c>
      <c r="B491" s="29">
        <v>3125.21</v>
      </c>
      <c r="C491" s="30" t="s">
        <v>827</v>
      </c>
      <c r="D491" s="2">
        <v>4947112617</v>
      </c>
      <c r="E491" s="2" t="s">
        <v>10</v>
      </c>
      <c r="F491" s="2" t="s">
        <v>828</v>
      </c>
      <c r="G491" s="28" t="s">
        <v>5</v>
      </c>
      <c r="H491" s="2" t="s">
        <v>17</v>
      </c>
      <c r="I491" s="2">
        <v>1</v>
      </c>
      <c r="J491" s="2" t="s">
        <v>829</v>
      </c>
      <c r="K491" s="2">
        <v>53985</v>
      </c>
      <c r="L491" s="35">
        <f t="shared" si="26"/>
        <v>168714461.84999999</v>
      </c>
      <c r="M491" s="36">
        <v>16560</v>
      </c>
      <c r="N491" s="37">
        <v>322373</v>
      </c>
      <c r="O491" s="37">
        <v>521029</v>
      </c>
      <c r="P491" s="37">
        <v>0</v>
      </c>
      <c r="Q491" s="37">
        <v>124137</v>
      </c>
      <c r="R491" s="37">
        <v>928595</v>
      </c>
      <c r="S491" s="37">
        <v>686870</v>
      </c>
      <c r="T491" s="37"/>
      <c r="U491" s="37">
        <v>1400500</v>
      </c>
      <c r="V491" s="37">
        <v>302643</v>
      </c>
      <c r="W491" s="45">
        <f t="shared" si="27"/>
        <v>4286147</v>
      </c>
      <c r="X491" s="46">
        <f t="shared" si="28"/>
        <v>2.5404739777498806</v>
      </c>
    </row>
    <row r="492" spans="1:24" s="4" customFormat="1" ht="15" customHeight="1">
      <c r="A492" s="28" t="s">
        <v>647</v>
      </c>
      <c r="B492" s="29">
        <v>3125.21</v>
      </c>
      <c r="C492" s="30" t="s">
        <v>830</v>
      </c>
      <c r="D492" s="2">
        <v>4944881452</v>
      </c>
      <c r="E492" s="2" t="s">
        <v>10</v>
      </c>
      <c r="F492" s="2" t="s">
        <v>831</v>
      </c>
      <c r="G492" s="28" t="s">
        <v>5</v>
      </c>
      <c r="H492" s="2" t="s">
        <v>20</v>
      </c>
      <c r="I492" s="2">
        <v>1</v>
      </c>
      <c r="J492" s="2" t="s">
        <v>832</v>
      </c>
      <c r="K492" s="2">
        <v>15782.8</v>
      </c>
      <c r="L492" s="35">
        <f t="shared" si="26"/>
        <v>49324564.387999997</v>
      </c>
      <c r="M492" s="36">
        <v>8228</v>
      </c>
      <c r="N492" s="37">
        <v>467629</v>
      </c>
      <c r="O492" s="37">
        <v>396775</v>
      </c>
      <c r="P492" s="37">
        <v>0</v>
      </c>
      <c r="Q492" s="37">
        <v>124137</v>
      </c>
      <c r="R492" s="37">
        <v>733528</v>
      </c>
      <c r="S492" s="37">
        <v>686870</v>
      </c>
      <c r="T492" s="37"/>
      <c r="U492" s="37">
        <v>1352000</v>
      </c>
      <c r="V492" s="37">
        <v>0</v>
      </c>
      <c r="W492" s="45">
        <f t="shared" si="27"/>
        <v>3760939</v>
      </c>
      <c r="X492" s="46">
        <f t="shared" si="28"/>
        <v>7.6248803140266279</v>
      </c>
    </row>
    <row r="493" spans="1:24" s="4" customFormat="1" ht="15" customHeight="1">
      <c r="A493" s="28" t="s">
        <v>647</v>
      </c>
      <c r="B493" s="29">
        <v>3125.21</v>
      </c>
      <c r="C493" s="30" t="s">
        <v>833</v>
      </c>
      <c r="D493" s="2">
        <v>4948210663</v>
      </c>
      <c r="E493" s="2" t="s">
        <v>14</v>
      </c>
      <c r="F493" s="78" t="s">
        <v>834</v>
      </c>
      <c r="G493" s="28" t="s">
        <v>5</v>
      </c>
      <c r="H493" s="2" t="s">
        <v>26</v>
      </c>
      <c r="I493" s="2">
        <v>1</v>
      </c>
      <c r="J493" s="2" t="s">
        <v>835</v>
      </c>
      <c r="K493" s="2">
        <v>35008.800000000003</v>
      </c>
      <c r="L493" s="35">
        <f t="shared" si="26"/>
        <v>109409851.848</v>
      </c>
      <c r="M493" s="36">
        <v>20120</v>
      </c>
      <c r="N493" s="40">
        <v>323229.80531561503</v>
      </c>
      <c r="O493" s="37">
        <v>130236.893687708</v>
      </c>
      <c r="P493" s="40">
        <v>316765.00199335598</v>
      </c>
      <c r="Q493" s="37">
        <v>33190.981395348797</v>
      </c>
      <c r="R493" s="40">
        <v>575645.00930232601</v>
      </c>
      <c r="S493" s="40">
        <v>114782.594684385</v>
      </c>
      <c r="T493" s="37">
        <v>30000</v>
      </c>
      <c r="U493" s="40">
        <v>0</v>
      </c>
      <c r="V493" s="40">
        <v>0</v>
      </c>
      <c r="W493" s="45">
        <f t="shared" si="27"/>
        <v>1523850.2863787387</v>
      </c>
      <c r="X493" s="46">
        <f t="shared" si="28"/>
        <v>1.3927907410895506</v>
      </c>
    </row>
    <row r="494" spans="1:24" s="4" customFormat="1" ht="15" customHeight="1">
      <c r="A494" s="28" t="s">
        <v>647</v>
      </c>
      <c r="B494" s="29">
        <v>3125.21</v>
      </c>
      <c r="C494" s="30" t="s">
        <v>833</v>
      </c>
      <c r="D494" s="2">
        <v>4948494940</v>
      </c>
      <c r="E494" s="2" t="s">
        <v>14</v>
      </c>
      <c r="F494" s="78" t="s">
        <v>834</v>
      </c>
      <c r="G494" s="28" t="s">
        <v>5</v>
      </c>
      <c r="H494" s="2" t="s">
        <v>26</v>
      </c>
      <c r="I494" s="2">
        <v>1</v>
      </c>
      <c r="J494" s="2" t="s">
        <v>836</v>
      </c>
      <c r="K494" s="2">
        <v>34869.599999999999</v>
      </c>
      <c r="L494" s="35">
        <f t="shared" si="26"/>
        <v>108974822.616</v>
      </c>
      <c r="M494" s="36">
        <v>20040</v>
      </c>
      <c r="N494" s="40">
        <v>321944.59734219301</v>
      </c>
      <c r="O494" s="40">
        <v>129719.05315614599</v>
      </c>
      <c r="P494" s="40">
        <v>315505.49900332198</v>
      </c>
      <c r="Q494" s="40">
        <v>33059.009302325598</v>
      </c>
      <c r="R494" s="40">
        <v>573795.99534883699</v>
      </c>
      <c r="S494" s="40">
        <v>114326.20265780701</v>
      </c>
      <c r="T494" s="37">
        <v>30000</v>
      </c>
      <c r="U494" s="40">
        <v>0</v>
      </c>
      <c r="V494" s="40">
        <v>0</v>
      </c>
      <c r="W494" s="45">
        <f t="shared" si="27"/>
        <v>1518350.3568106305</v>
      </c>
      <c r="X494" s="46">
        <f t="shared" si="28"/>
        <v>1.3933038112490601</v>
      </c>
    </row>
    <row r="495" spans="1:24" s="4" customFormat="1" ht="15" customHeight="1">
      <c r="A495" s="28" t="s">
        <v>647</v>
      </c>
      <c r="B495" s="29">
        <v>3125.21</v>
      </c>
      <c r="C495" s="30" t="s">
        <v>833</v>
      </c>
      <c r="D495" s="2">
        <v>4948495887</v>
      </c>
      <c r="E495" s="2" t="s">
        <v>14</v>
      </c>
      <c r="F495" s="78" t="s">
        <v>834</v>
      </c>
      <c r="G495" s="28" t="s">
        <v>5</v>
      </c>
      <c r="H495" s="2" t="s">
        <v>26</v>
      </c>
      <c r="I495" s="2">
        <v>1</v>
      </c>
      <c r="J495" s="2" t="s">
        <v>837</v>
      </c>
      <c r="K495" s="2">
        <v>34869.599999999999</v>
      </c>
      <c r="L495" s="35">
        <f t="shared" si="26"/>
        <v>108974822.616</v>
      </c>
      <c r="M495" s="36">
        <v>20040</v>
      </c>
      <c r="N495" s="40">
        <v>321944.59734219301</v>
      </c>
      <c r="O495" s="40">
        <v>129719.05315614599</v>
      </c>
      <c r="P495" s="40">
        <v>315505.49900332198</v>
      </c>
      <c r="Q495" s="40">
        <v>33059.009302325598</v>
      </c>
      <c r="R495" s="40">
        <v>573795.99534883699</v>
      </c>
      <c r="S495" s="40">
        <v>114326.20265780701</v>
      </c>
      <c r="T495" s="37">
        <v>30000</v>
      </c>
      <c r="U495" s="40">
        <v>0</v>
      </c>
      <c r="V495" s="40">
        <v>0</v>
      </c>
      <c r="W495" s="45">
        <f t="shared" si="27"/>
        <v>1518350.3568106305</v>
      </c>
      <c r="X495" s="46">
        <f t="shared" si="28"/>
        <v>1.3933038112490601</v>
      </c>
    </row>
    <row r="496" spans="1:24" s="4" customFormat="1" ht="15" customHeight="1">
      <c r="A496" s="28" t="s">
        <v>647</v>
      </c>
      <c r="B496" s="29">
        <v>3125.21</v>
      </c>
      <c r="C496" s="30" t="s">
        <v>838</v>
      </c>
      <c r="D496" s="2">
        <v>4948495886</v>
      </c>
      <c r="E496" s="2" t="s">
        <v>14</v>
      </c>
      <c r="F496" s="2" t="s">
        <v>839</v>
      </c>
      <c r="G496" s="28" t="s">
        <v>5</v>
      </c>
      <c r="H496" s="2" t="s">
        <v>32</v>
      </c>
      <c r="I496" s="2">
        <v>1</v>
      </c>
      <c r="J496" s="2" t="s">
        <v>840</v>
      </c>
      <c r="K496" s="2">
        <v>27885</v>
      </c>
      <c r="L496" s="35">
        <f t="shared" si="26"/>
        <v>87146480.849999994</v>
      </c>
      <c r="M496" s="36">
        <v>3300</v>
      </c>
      <c r="N496" s="40">
        <v>197876.094339623</v>
      </c>
      <c r="O496" s="40">
        <v>198424.641509434</v>
      </c>
      <c r="P496" s="40">
        <v>0</v>
      </c>
      <c r="Q496" s="40">
        <v>61833.905660377401</v>
      </c>
      <c r="R496" s="40">
        <v>610793.094339623</v>
      </c>
      <c r="S496" s="40">
        <v>220636.754716981</v>
      </c>
      <c r="T496" s="37">
        <v>30000</v>
      </c>
      <c r="U496" s="40">
        <v>2492558.4905660399</v>
      </c>
      <c r="V496" s="40">
        <v>831226.41509433999</v>
      </c>
      <c r="W496" s="45">
        <f t="shared" si="27"/>
        <v>4643349.3962264182</v>
      </c>
      <c r="X496" s="46">
        <f t="shared" si="28"/>
        <v>5.3282121675328886</v>
      </c>
    </row>
    <row r="497" spans="1:24" s="4" customFormat="1" ht="15" customHeight="1">
      <c r="A497" s="28" t="s">
        <v>647</v>
      </c>
      <c r="B497" s="29">
        <v>3125.21</v>
      </c>
      <c r="C497" s="30" t="s">
        <v>838</v>
      </c>
      <c r="D497" s="2">
        <v>4947994876</v>
      </c>
      <c r="E497" s="2" t="s">
        <v>18</v>
      </c>
      <c r="F497" s="2" t="s">
        <v>839</v>
      </c>
      <c r="G497" s="28" t="s">
        <v>5</v>
      </c>
      <c r="H497" s="2" t="s">
        <v>32</v>
      </c>
      <c r="I497" s="2">
        <v>1</v>
      </c>
      <c r="J497" s="2" t="s">
        <v>840</v>
      </c>
      <c r="K497" s="2">
        <v>132220</v>
      </c>
      <c r="L497" s="35">
        <f t="shared" si="26"/>
        <v>413215266.19999999</v>
      </c>
      <c r="M497" s="36">
        <v>2000</v>
      </c>
      <c r="N497" s="40">
        <v>119924.905660377</v>
      </c>
      <c r="O497" s="40">
        <v>120257.358490566</v>
      </c>
      <c r="P497" s="40">
        <v>0</v>
      </c>
      <c r="Q497" s="40">
        <v>37475.094339622599</v>
      </c>
      <c r="R497" s="40">
        <v>370176.905660377</v>
      </c>
      <c r="S497" s="40">
        <v>133719.245283019</v>
      </c>
      <c r="T497" s="37">
        <v>30000</v>
      </c>
      <c r="U497" s="40">
        <v>1510641.5094339601</v>
      </c>
      <c r="V497" s="40">
        <v>503773.58490566001</v>
      </c>
      <c r="W497" s="45">
        <f t="shared" si="27"/>
        <v>2825968.6037735818</v>
      </c>
      <c r="X497" s="46">
        <f t="shared" si="28"/>
        <v>0.68389743432320016</v>
      </c>
    </row>
    <row r="498" spans="1:24" s="4" customFormat="1" ht="15" customHeight="1">
      <c r="A498" s="28" t="s">
        <v>647</v>
      </c>
      <c r="B498" s="29">
        <v>3125.21</v>
      </c>
      <c r="C498" s="30" t="s">
        <v>841</v>
      </c>
      <c r="D498" s="2">
        <v>4948180150</v>
      </c>
      <c r="E498" s="2" t="s">
        <v>21</v>
      </c>
      <c r="F498" s="2" t="s">
        <v>842</v>
      </c>
      <c r="G498" s="28" t="s">
        <v>5</v>
      </c>
      <c r="H498" s="2" t="s">
        <v>17</v>
      </c>
      <c r="I498" s="2">
        <v>1</v>
      </c>
      <c r="J498" s="2" t="s">
        <v>843</v>
      </c>
      <c r="K498" s="2">
        <v>26127.360000000001</v>
      </c>
      <c r="L498" s="35">
        <f t="shared" si="26"/>
        <v>81653486.7456</v>
      </c>
      <c r="M498" s="36">
        <v>18144</v>
      </c>
      <c r="N498" s="37">
        <v>317801</v>
      </c>
      <c r="O498" s="37">
        <v>418073</v>
      </c>
      <c r="P498" s="37">
        <v>0</v>
      </c>
      <c r="Q498" s="37">
        <v>99309</v>
      </c>
      <c r="R498" s="37">
        <v>627777</v>
      </c>
      <c r="S498" s="37">
        <v>354356</v>
      </c>
      <c r="T498" s="37"/>
      <c r="U498" s="37">
        <v>4781550</v>
      </c>
      <c r="V498" s="37">
        <v>0</v>
      </c>
      <c r="W498" s="45">
        <f t="shared" si="27"/>
        <v>6598866</v>
      </c>
      <c r="X498" s="46">
        <f t="shared" si="28"/>
        <v>8.0815483367654082</v>
      </c>
    </row>
    <row r="499" spans="1:24" s="4" customFormat="1" ht="15" customHeight="1">
      <c r="A499" s="28" t="s">
        <v>647</v>
      </c>
      <c r="B499" s="29">
        <v>3125.21</v>
      </c>
      <c r="C499" s="30" t="s">
        <v>844</v>
      </c>
      <c r="D499" s="2">
        <v>4948243647</v>
      </c>
      <c r="E499" s="2" t="s">
        <v>24</v>
      </c>
      <c r="F499" s="78" t="s">
        <v>845</v>
      </c>
      <c r="G499" s="28" t="s">
        <v>9</v>
      </c>
      <c r="H499" s="2" t="s">
        <v>23</v>
      </c>
      <c r="I499" s="2">
        <v>2</v>
      </c>
      <c r="J499" s="2"/>
      <c r="K499" s="2">
        <v>3663.2</v>
      </c>
      <c r="L499" s="35">
        <f t="shared" si="26"/>
        <v>11448269.272</v>
      </c>
      <c r="M499" s="36">
        <v>760</v>
      </c>
      <c r="N499" s="40">
        <v>508238.46428571403</v>
      </c>
      <c r="O499" s="40">
        <v>528.607142857143</v>
      </c>
      <c r="P499" s="40">
        <v>10317</v>
      </c>
      <c r="Q499" s="40">
        <v>16527.964285714301</v>
      </c>
      <c r="R499" s="40">
        <v>75968.107142857101</v>
      </c>
      <c r="S499" s="40">
        <v>240455.85714285701</v>
      </c>
      <c r="T499" s="40"/>
      <c r="U499" s="40">
        <v>384703.883495146</v>
      </c>
      <c r="V499" s="40">
        <v>0</v>
      </c>
      <c r="W499" s="45">
        <f t="shared" si="27"/>
        <v>1236739.8834951455</v>
      </c>
      <c r="X499" s="46">
        <f t="shared" si="28"/>
        <v>10.802854598467079</v>
      </c>
    </row>
    <row r="500" spans="1:24" s="4" customFormat="1" ht="15" customHeight="1">
      <c r="A500" s="28" t="s">
        <v>647</v>
      </c>
      <c r="B500" s="29">
        <v>3125.21</v>
      </c>
      <c r="C500" s="30" t="s">
        <v>844</v>
      </c>
      <c r="D500" s="2">
        <v>4948312277</v>
      </c>
      <c r="E500" s="2" t="s">
        <v>24</v>
      </c>
      <c r="F500" s="78" t="s">
        <v>845</v>
      </c>
      <c r="G500" s="28" t="s">
        <v>9</v>
      </c>
      <c r="H500" s="2" t="s">
        <v>23</v>
      </c>
      <c r="I500" s="2">
        <v>2</v>
      </c>
      <c r="J500" s="2"/>
      <c r="K500" s="2">
        <v>2617.1999999999998</v>
      </c>
      <c r="L500" s="35">
        <f t="shared" si="26"/>
        <v>8179299.6119999997</v>
      </c>
      <c r="M500" s="36">
        <v>360</v>
      </c>
      <c r="N500" s="40">
        <v>240744.535714286</v>
      </c>
      <c r="O500" s="40">
        <v>250.392857142857</v>
      </c>
      <c r="P500" s="40">
        <v>4887</v>
      </c>
      <c r="Q500" s="40">
        <v>7829.0357142857101</v>
      </c>
      <c r="R500" s="40">
        <v>35984.892857142899</v>
      </c>
      <c r="S500" s="40">
        <v>113900.142857143</v>
      </c>
      <c r="T500" s="40"/>
      <c r="U500" s="40">
        <v>182228.15533980599</v>
      </c>
      <c r="V500" s="40">
        <v>0</v>
      </c>
      <c r="W500" s="45">
        <f t="shared" si="27"/>
        <v>585824.15533980657</v>
      </c>
      <c r="X500" s="46">
        <f t="shared" si="28"/>
        <v>7.1622777392862993</v>
      </c>
    </row>
    <row r="501" spans="1:24" s="4" customFormat="1" ht="15" customHeight="1">
      <c r="A501" s="28" t="s">
        <v>647</v>
      </c>
      <c r="B501" s="29">
        <v>3125.21</v>
      </c>
      <c r="C501" s="30" t="s">
        <v>846</v>
      </c>
      <c r="D501" s="2">
        <v>4947915816</v>
      </c>
      <c r="E501" s="2" t="s">
        <v>14</v>
      </c>
      <c r="F501" s="2" t="s">
        <v>847</v>
      </c>
      <c r="G501" s="28" t="s">
        <v>9</v>
      </c>
      <c r="H501" s="2" t="s">
        <v>23</v>
      </c>
      <c r="I501" s="2">
        <v>6</v>
      </c>
      <c r="J501" s="2"/>
      <c r="K501" s="2">
        <v>4400</v>
      </c>
      <c r="L501" s="35">
        <f t="shared" si="26"/>
        <v>13750924</v>
      </c>
      <c r="M501" s="36">
        <v>2000</v>
      </c>
      <c r="N501" s="40">
        <v>1596050.4249291799</v>
      </c>
      <c r="O501" s="40">
        <v>1335.97733711048</v>
      </c>
      <c r="P501" s="40">
        <v>62101.983002832902</v>
      </c>
      <c r="Q501" s="40">
        <v>32998.300283286102</v>
      </c>
      <c r="R501" s="40">
        <v>90202.832861189803</v>
      </c>
      <c r="S501" s="40">
        <v>200768.27195467401</v>
      </c>
      <c r="T501" s="37">
        <v>30000</v>
      </c>
      <c r="U501" s="40">
        <v>1181586.40226629</v>
      </c>
      <c r="V501" s="40">
        <v>0</v>
      </c>
      <c r="W501" s="45">
        <f t="shared" si="27"/>
        <v>3195044.192634563</v>
      </c>
      <c r="X501" s="46">
        <f t="shared" si="28"/>
        <v>23.235123637033865</v>
      </c>
    </row>
    <row r="502" spans="1:24" s="4" customFormat="1" ht="15" customHeight="1">
      <c r="A502" s="28" t="s">
        <v>647</v>
      </c>
      <c r="B502" s="29">
        <v>3125.21</v>
      </c>
      <c r="C502" s="30" t="s">
        <v>846</v>
      </c>
      <c r="D502" s="2">
        <v>4947975264</v>
      </c>
      <c r="E502" s="2" t="s">
        <v>14</v>
      </c>
      <c r="F502" s="2" t="s">
        <v>847</v>
      </c>
      <c r="G502" s="28" t="s">
        <v>9</v>
      </c>
      <c r="H502" s="2" t="s">
        <v>23</v>
      </c>
      <c r="I502" s="2">
        <v>6</v>
      </c>
      <c r="J502" s="2"/>
      <c r="K502" s="2">
        <v>7920</v>
      </c>
      <c r="L502" s="35">
        <f t="shared" si="26"/>
        <v>24751663.199999999</v>
      </c>
      <c r="M502" s="36">
        <v>180</v>
      </c>
      <c r="N502" s="40">
        <v>143644.53824362601</v>
      </c>
      <c r="O502" s="40">
        <v>120.237960339943</v>
      </c>
      <c r="P502" s="40">
        <v>5589.1784702549603</v>
      </c>
      <c r="Q502" s="40">
        <v>2969.8470254957501</v>
      </c>
      <c r="R502" s="40">
        <v>8118.2549575070798</v>
      </c>
      <c r="S502" s="40">
        <v>18069.144475920701</v>
      </c>
      <c r="T502" s="37">
        <v>30000</v>
      </c>
      <c r="U502" s="40">
        <v>106342.776203966</v>
      </c>
      <c r="V502" s="40">
        <v>0</v>
      </c>
      <c r="W502" s="45">
        <f t="shared" si="27"/>
        <v>314853.97733711044</v>
      </c>
      <c r="X502" s="46">
        <f t="shared" si="28"/>
        <v>1.2720518002891639</v>
      </c>
    </row>
    <row r="503" spans="1:24" s="4" customFormat="1" ht="15" customHeight="1">
      <c r="A503" s="28" t="s">
        <v>647</v>
      </c>
      <c r="B503" s="29">
        <v>3125.21</v>
      </c>
      <c r="C503" s="30" t="s">
        <v>846</v>
      </c>
      <c r="D503" s="2">
        <v>4948037020</v>
      </c>
      <c r="E503" s="2" t="s">
        <v>14</v>
      </c>
      <c r="F503" s="2" t="s">
        <v>847</v>
      </c>
      <c r="G503" s="28" t="s">
        <v>9</v>
      </c>
      <c r="H503" s="2" t="s">
        <v>23</v>
      </c>
      <c r="I503" s="2">
        <v>6</v>
      </c>
      <c r="J503" s="2"/>
      <c r="K503" s="2">
        <v>28930.5</v>
      </c>
      <c r="L503" s="35">
        <f t="shared" si="26"/>
        <v>90413887.905000001</v>
      </c>
      <c r="M503" s="36">
        <v>1350</v>
      </c>
      <c r="N503" s="40">
        <v>1077334.0368272001</v>
      </c>
      <c r="O503" s="40">
        <v>901.78470254957494</v>
      </c>
      <c r="P503" s="40">
        <v>41918.838526912201</v>
      </c>
      <c r="Q503" s="40">
        <v>22273.852691218101</v>
      </c>
      <c r="R503" s="40">
        <v>60886.912181303102</v>
      </c>
      <c r="S503" s="40">
        <v>135518.58356940499</v>
      </c>
      <c r="T503" s="37">
        <v>30000</v>
      </c>
      <c r="U503" s="40">
        <v>797570.82152974501</v>
      </c>
      <c r="V503" s="40">
        <v>0</v>
      </c>
      <c r="W503" s="45">
        <f t="shared" si="27"/>
        <v>2166404.8300283332</v>
      </c>
      <c r="X503" s="46">
        <f t="shared" si="28"/>
        <v>2.3960974140439859</v>
      </c>
    </row>
    <row r="504" spans="1:24" s="4" customFormat="1" ht="15" customHeight="1">
      <c r="A504" s="28" t="s">
        <v>647</v>
      </c>
      <c r="B504" s="29">
        <v>3125.21</v>
      </c>
      <c r="C504" s="30" t="s">
        <v>848</v>
      </c>
      <c r="D504" s="2">
        <v>4948241408</v>
      </c>
      <c r="E504" s="2" t="s">
        <v>14</v>
      </c>
      <c r="F504" s="2" t="s">
        <v>849</v>
      </c>
      <c r="G504" s="28" t="s">
        <v>9</v>
      </c>
      <c r="H504" s="2" t="s">
        <v>23</v>
      </c>
      <c r="I504" s="2">
        <v>15</v>
      </c>
      <c r="J504" s="2"/>
      <c r="K504" s="2">
        <v>25056</v>
      </c>
      <c r="L504" s="35">
        <f t="shared" si="26"/>
        <v>78305261.760000005</v>
      </c>
      <c r="M504" s="36">
        <v>3200</v>
      </c>
      <c r="N504" s="40">
        <v>2109885.7001239201</v>
      </c>
      <c r="O504" s="40">
        <v>2207.88104089219</v>
      </c>
      <c r="P504" s="40">
        <v>101036.332094176</v>
      </c>
      <c r="Q504" s="40">
        <v>53678.711276332098</v>
      </c>
      <c r="R504" s="40">
        <v>104075.34076827799</v>
      </c>
      <c r="S504" s="40">
        <v>140512.912019827</v>
      </c>
      <c r="T504" s="37">
        <v>30000</v>
      </c>
      <c r="U504" s="40">
        <v>1911633.2094176</v>
      </c>
      <c r="V504" s="40">
        <v>529368.02973977698</v>
      </c>
      <c r="W504" s="45">
        <f t="shared" si="27"/>
        <v>4982398.1164808022</v>
      </c>
      <c r="X504" s="46">
        <f t="shared" si="28"/>
        <v>6.3627884059075033</v>
      </c>
    </row>
    <row r="505" spans="1:24" s="4" customFormat="1" ht="15" customHeight="1">
      <c r="A505" s="28" t="s">
        <v>647</v>
      </c>
      <c r="B505" s="29">
        <v>3125.21</v>
      </c>
      <c r="C505" s="30" t="s">
        <v>848</v>
      </c>
      <c r="D505" s="2">
        <v>4948243646</v>
      </c>
      <c r="E505" s="2" t="s">
        <v>18</v>
      </c>
      <c r="F505" s="2" t="s">
        <v>849</v>
      </c>
      <c r="G505" s="28" t="s">
        <v>9</v>
      </c>
      <c r="H505" s="2" t="s">
        <v>23</v>
      </c>
      <c r="I505" s="2">
        <v>15</v>
      </c>
      <c r="J505" s="2"/>
      <c r="K505" s="2">
        <f>12353.25+2353</f>
        <v>14706.25</v>
      </c>
      <c r="L505" s="35">
        <f t="shared" si="26"/>
        <v>45960119.5625</v>
      </c>
      <c r="M505" s="36">
        <f>525+100</f>
        <v>625</v>
      </c>
      <c r="N505" s="40">
        <v>412087.05080545199</v>
      </c>
      <c r="O505" s="40">
        <v>431.22676579925599</v>
      </c>
      <c r="P505" s="40">
        <v>19733.658612143699</v>
      </c>
      <c r="Q505" s="40">
        <v>10484.123296158599</v>
      </c>
      <c r="R505" s="40">
        <v>20327.214993804198</v>
      </c>
      <c r="S505" s="40">
        <v>27443.928128872401</v>
      </c>
      <c r="T505" s="37">
        <v>30000</v>
      </c>
      <c r="U505" s="40">
        <v>373365.86121437402</v>
      </c>
      <c r="V505" s="40">
        <v>103392.19330855001</v>
      </c>
      <c r="W505" s="45">
        <f t="shared" si="27"/>
        <v>997265.25712515425</v>
      </c>
      <c r="X505" s="46">
        <f t="shared" si="28"/>
        <v>2.1698491357686716</v>
      </c>
    </row>
    <row r="506" spans="1:24" s="4" customFormat="1" ht="15" customHeight="1">
      <c r="A506" s="28" t="s">
        <v>647</v>
      </c>
      <c r="B506" s="29">
        <v>3125.21</v>
      </c>
      <c r="C506" s="30" t="s">
        <v>848</v>
      </c>
      <c r="D506" s="2">
        <v>4946267782</v>
      </c>
      <c r="E506" s="2" t="s">
        <v>18</v>
      </c>
      <c r="F506" s="2" t="s">
        <v>849</v>
      </c>
      <c r="G506" s="28" t="s">
        <v>9</v>
      </c>
      <c r="H506" s="2" t="s">
        <v>23</v>
      </c>
      <c r="I506" s="2">
        <v>15</v>
      </c>
      <c r="J506" s="2"/>
      <c r="K506" s="2">
        <f>61575+615.75</f>
        <v>62190.75</v>
      </c>
      <c r="L506" s="35">
        <f t="shared" si="26"/>
        <v>194359153.8075</v>
      </c>
      <c r="M506" s="36">
        <f>2500+25</f>
        <v>2525</v>
      </c>
      <c r="N506" s="40">
        <v>1664831.6852540299</v>
      </c>
      <c r="O506" s="40">
        <v>1742.1561338290001</v>
      </c>
      <c r="P506" s="40">
        <v>79723.980793060706</v>
      </c>
      <c r="Q506" s="40">
        <v>42355.858116480798</v>
      </c>
      <c r="R506" s="40">
        <v>82121.948574969007</v>
      </c>
      <c r="S506" s="40">
        <v>110873.46964064401</v>
      </c>
      <c r="T506" s="37">
        <v>30000</v>
      </c>
      <c r="U506" s="40">
        <v>1508398.07930607</v>
      </c>
      <c r="V506" s="40">
        <v>417704.460966543</v>
      </c>
      <c r="W506" s="45">
        <f t="shared" si="27"/>
        <v>3937751.6387856263</v>
      </c>
      <c r="X506" s="46">
        <f t="shared" si="28"/>
        <v>2.0260181018722232</v>
      </c>
    </row>
    <row r="507" spans="1:24" s="4" customFormat="1" ht="15" customHeight="1">
      <c r="A507" s="28" t="s">
        <v>647</v>
      </c>
      <c r="B507" s="29">
        <v>3125.21</v>
      </c>
      <c r="C507" s="30" t="s">
        <v>848</v>
      </c>
      <c r="D507" s="2">
        <v>4947978384</v>
      </c>
      <c r="E507" s="2" t="s">
        <v>18</v>
      </c>
      <c r="F507" s="2" t="s">
        <v>849</v>
      </c>
      <c r="G507" s="28" t="s">
        <v>9</v>
      </c>
      <c r="H507" s="2" t="s">
        <v>23</v>
      </c>
      <c r="I507" s="2">
        <v>15</v>
      </c>
      <c r="J507" s="2"/>
      <c r="K507" s="2">
        <v>51340</v>
      </c>
      <c r="L507" s="35">
        <f t="shared" si="26"/>
        <v>160448281.40000001</v>
      </c>
      <c r="M507" s="36">
        <v>1000</v>
      </c>
      <c r="N507" s="40">
        <v>659339.28128872404</v>
      </c>
      <c r="O507" s="40">
        <v>689.96282527880999</v>
      </c>
      <c r="P507" s="40">
        <v>31573.853779429999</v>
      </c>
      <c r="Q507" s="40">
        <v>16774.5972738538</v>
      </c>
      <c r="R507" s="40">
        <v>32523.543990086699</v>
      </c>
      <c r="S507" s="40">
        <v>43910.285006195802</v>
      </c>
      <c r="T507" s="37">
        <v>30000</v>
      </c>
      <c r="U507" s="40">
        <v>597385.37794299901</v>
      </c>
      <c r="V507" s="40">
        <v>165427.50929367999</v>
      </c>
      <c r="W507" s="45">
        <f t="shared" si="27"/>
        <v>1577624.4114002483</v>
      </c>
      <c r="X507" s="46">
        <f t="shared" si="28"/>
        <v>0.98326039869957005</v>
      </c>
    </row>
    <row r="508" spans="1:24" s="4" customFormat="1" ht="15" customHeight="1">
      <c r="A508" s="28" t="s">
        <v>647</v>
      </c>
      <c r="B508" s="29">
        <v>3125.21</v>
      </c>
      <c r="C508" s="30" t="s">
        <v>848</v>
      </c>
      <c r="D508" s="2">
        <v>4948210674</v>
      </c>
      <c r="E508" s="2" t="s">
        <v>14</v>
      </c>
      <c r="F508" s="2" t="s">
        <v>849</v>
      </c>
      <c r="G508" s="28" t="s">
        <v>9</v>
      </c>
      <c r="H508" s="2" t="s">
        <v>23</v>
      </c>
      <c r="I508" s="2">
        <v>15</v>
      </c>
      <c r="J508" s="2"/>
      <c r="K508" s="2">
        <v>28504.799999999999</v>
      </c>
      <c r="L508" s="35">
        <f t="shared" si="26"/>
        <v>89083486.008000001</v>
      </c>
      <c r="M508" s="36">
        <v>720</v>
      </c>
      <c r="N508" s="40">
        <v>474724.28252788098</v>
      </c>
      <c r="O508" s="40">
        <v>496.77323420074299</v>
      </c>
      <c r="P508" s="40">
        <v>22733.1747211896</v>
      </c>
      <c r="Q508" s="40">
        <v>12077.7100371747</v>
      </c>
      <c r="R508" s="40">
        <v>23416.951672862499</v>
      </c>
      <c r="S508" s="40">
        <v>31615.405204461</v>
      </c>
      <c r="T508" s="37">
        <v>30000</v>
      </c>
      <c r="U508" s="40">
        <v>430117.47211895901</v>
      </c>
      <c r="V508" s="40">
        <v>119107.80669144999</v>
      </c>
      <c r="W508" s="45">
        <f t="shared" si="27"/>
        <v>1144289.5762081784</v>
      </c>
      <c r="X508" s="46">
        <f t="shared" si="28"/>
        <v>1.2845136932623151</v>
      </c>
    </row>
    <row r="509" spans="1:24" s="4" customFormat="1" ht="15" customHeight="1">
      <c r="A509" s="28" t="s">
        <v>647</v>
      </c>
      <c r="B509" s="29">
        <v>3125.21</v>
      </c>
      <c r="C509" s="49" t="s">
        <v>850</v>
      </c>
      <c r="D509" s="2">
        <v>4947777441</v>
      </c>
      <c r="E509" s="2" t="s">
        <v>36</v>
      </c>
      <c r="F509" s="2" t="s">
        <v>851</v>
      </c>
      <c r="G509" s="28" t="s">
        <v>5</v>
      </c>
      <c r="H509" s="2" t="s">
        <v>26</v>
      </c>
      <c r="I509" s="2">
        <v>4</v>
      </c>
      <c r="J509" s="2" t="s">
        <v>852</v>
      </c>
      <c r="K509" s="2">
        <v>76012</v>
      </c>
      <c r="L509" s="35">
        <f t="shared" si="26"/>
        <v>237553462.52000001</v>
      </c>
      <c r="M509" s="36">
        <v>83530</v>
      </c>
      <c r="N509" s="37">
        <v>1309186</v>
      </c>
      <c r="O509" s="37">
        <v>1942068</v>
      </c>
      <c r="P509" s="37">
        <v>6556947</v>
      </c>
      <c r="Q509" s="37">
        <v>496548</v>
      </c>
      <c r="R509" s="37">
        <v>3344937</v>
      </c>
      <c r="S509" s="37">
        <v>343435</v>
      </c>
      <c r="T509" s="37"/>
      <c r="U509" s="37">
        <v>0</v>
      </c>
      <c r="V509" s="37">
        <v>0</v>
      </c>
      <c r="W509" s="45">
        <f t="shared" si="27"/>
        <v>13993121</v>
      </c>
      <c r="X509" s="46">
        <f t="shared" si="28"/>
        <v>5.8905144347546168</v>
      </c>
    </row>
    <row r="510" spans="1:24" s="4" customFormat="1" ht="15" customHeight="1">
      <c r="A510" s="28" t="s">
        <v>647</v>
      </c>
      <c r="B510" s="29">
        <v>3125.21</v>
      </c>
      <c r="C510" s="30" t="s">
        <v>853</v>
      </c>
      <c r="D510" s="2">
        <v>4948413339</v>
      </c>
      <c r="E510" s="2" t="s">
        <v>14</v>
      </c>
      <c r="F510" s="2" t="s">
        <v>854</v>
      </c>
      <c r="G510" s="28" t="s">
        <v>9</v>
      </c>
      <c r="H510" s="2" t="s">
        <v>23</v>
      </c>
      <c r="I510" s="2">
        <v>3</v>
      </c>
      <c r="J510" s="2"/>
      <c r="K510" s="2">
        <v>10861.2</v>
      </c>
      <c r="L510" s="35">
        <f t="shared" si="26"/>
        <v>33943530.852000006</v>
      </c>
      <c r="M510" s="36">
        <v>2520</v>
      </c>
      <c r="N510" s="37">
        <v>1940863</v>
      </c>
      <c r="O510" s="37">
        <v>1680</v>
      </c>
      <c r="P510" s="37">
        <v>0</v>
      </c>
      <c r="Q510" s="37">
        <v>51952</v>
      </c>
      <c r="R510" s="37">
        <v>135675</v>
      </c>
      <c r="S510" s="37">
        <v>354356</v>
      </c>
      <c r="T510" s="37">
        <v>30000</v>
      </c>
      <c r="U510" s="37">
        <v>1354500</v>
      </c>
      <c r="V510" s="37">
        <v>0</v>
      </c>
      <c r="W510" s="45">
        <f t="shared" si="27"/>
        <v>3869026</v>
      </c>
      <c r="X510" s="46">
        <f t="shared" si="28"/>
        <v>11.398419383268228</v>
      </c>
    </row>
    <row r="511" spans="1:24" s="4" customFormat="1" ht="15" customHeight="1">
      <c r="A511" s="28" t="s">
        <v>647</v>
      </c>
      <c r="B511" s="29">
        <v>3125.21</v>
      </c>
      <c r="C511" s="30" t="s">
        <v>855</v>
      </c>
      <c r="D511" s="2">
        <v>4946580746</v>
      </c>
      <c r="E511" s="2" t="s">
        <v>6</v>
      </c>
      <c r="F511" s="2" t="s">
        <v>856</v>
      </c>
      <c r="G511" s="28" t="s">
        <v>5</v>
      </c>
      <c r="H511" s="2" t="s">
        <v>17</v>
      </c>
      <c r="I511" s="2">
        <v>2</v>
      </c>
      <c r="J511" s="2" t="s">
        <v>857</v>
      </c>
      <c r="K511" s="2">
        <f>49896+49896</f>
        <v>99792</v>
      </c>
      <c r="L511" s="35">
        <f t="shared" si="26"/>
        <v>311870956.31999999</v>
      </c>
      <c r="M511" s="36">
        <f>7200+7200</f>
        <v>14400</v>
      </c>
      <c r="N511" s="37">
        <v>927781</v>
      </c>
      <c r="O511" s="37">
        <v>521029</v>
      </c>
      <c r="P511" s="37">
        <v>0</v>
      </c>
      <c r="Q511" s="37">
        <v>124137</v>
      </c>
      <c r="R511" s="37">
        <v>1692053</v>
      </c>
      <c r="S511" s="37">
        <v>354356</v>
      </c>
      <c r="T511" s="37">
        <v>30000</v>
      </c>
      <c r="U511" s="37">
        <v>8108100</v>
      </c>
      <c r="V511" s="37">
        <v>0</v>
      </c>
      <c r="W511" s="45">
        <f t="shared" si="27"/>
        <v>11757456</v>
      </c>
      <c r="X511" s="46">
        <f t="shared" si="28"/>
        <v>3.7699746519313848</v>
      </c>
    </row>
    <row r="512" spans="1:24" s="4" customFormat="1" ht="15" customHeight="1">
      <c r="A512" s="28" t="s">
        <v>647</v>
      </c>
      <c r="B512" s="29">
        <v>3125.21</v>
      </c>
      <c r="C512" s="30" t="s">
        <v>858</v>
      </c>
      <c r="D512" s="2">
        <v>4948561426</v>
      </c>
      <c r="E512" s="2" t="s">
        <v>24</v>
      </c>
      <c r="F512" s="78" t="s">
        <v>859</v>
      </c>
      <c r="G512" s="28" t="s">
        <v>9</v>
      </c>
      <c r="H512" s="2" t="s">
        <v>23</v>
      </c>
      <c r="I512" s="2">
        <v>1</v>
      </c>
      <c r="J512" s="2"/>
      <c r="K512" s="2">
        <v>3564.4</v>
      </c>
      <c r="L512" s="35">
        <f t="shared" si="26"/>
        <v>11139498.524</v>
      </c>
      <c r="M512" s="36">
        <v>760</v>
      </c>
      <c r="N512" s="37">
        <v>707808</v>
      </c>
      <c r="O512" s="37">
        <v>1024389</v>
      </c>
      <c r="P512" s="37">
        <v>0</v>
      </c>
      <c r="Q512" s="37">
        <v>360615</v>
      </c>
      <c r="R512" s="37">
        <v>97596</v>
      </c>
      <c r="S512" s="37">
        <v>354356</v>
      </c>
      <c r="T512" s="37"/>
      <c r="U512" s="37">
        <v>408500</v>
      </c>
      <c r="V512" s="37">
        <v>0</v>
      </c>
      <c r="W512" s="45">
        <f t="shared" si="27"/>
        <v>2953264</v>
      </c>
      <c r="X512" s="46">
        <f t="shared" si="28"/>
        <v>26.511642275791914</v>
      </c>
    </row>
    <row r="513" spans="1:24" s="4" customFormat="1" ht="15" customHeight="1">
      <c r="A513" s="28" t="s">
        <v>647</v>
      </c>
      <c r="B513" s="29">
        <v>3125.21</v>
      </c>
      <c r="C513" s="30" t="s">
        <v>860</v>
      </c>
      <c r="D513" s="2">
        <v>4948947343</v>
      </c>
      <c r="E513" s="2" t="s">
        <v>27</v>
      </c>
      <c r="F513" s="78" t="s">
        <v>861</v>
      </c>
      <c r="G513" s="28" t="s">
        <v>13</v>
      </c>
      <c r="H513" s="2" t="s">
        <v>23</v>
      </c>
      <c r="I513" s="2">
        <v>3</v>
      </c>
      <c r="J513" s="2"/>
      <c r="K513" s="2">
        <v>3995.38</v>
      </c>
      <c r="L513" s="35">
        <f t="shared" si="26"/>
        <v>12486401.5298</v>
      </c>
      <c r="M513" s="36">
        <v>415.44</v>
      </c>
      <c r="N513" s="37">
        <v>970235.24173310201</v>
      </c>
      <c r="O513" s="37">
        <v>0</v>
      </c>
      <c r="P513" s="37">
        <v>0</v>
      </c>
      <c r="Q513" s="37">
        <v>0</v>
      </c>
      <c r="R513" s="37">
        <v>3880.55459272097</v>
      </c>
      <c r="S513" s="37">
        <v>346372.24263431499</v>
      </c>
      <c r="T513" s="37"/>
      <c r="U513" s="37">
        <v>240828.97746967099</v>
      </c>
      <c r="V513" s="37">
        <v>0</v>
      </c>
      <c r="W513" s="45">
        <f t="shared" si="27"/>
        <v>1561317.0164298089</v>
      </c>
      <c r="X513" s="46">
        <f t="shared" si="28"/>
        <v>12.504139104477582</v>
      </c>
    </row>
    <row r="514" spans="1:24" s="4" customFormat="1" ht="15" customHeight="1">
      <c r="A514" s="28" t="s">
        <v>647</v>
      </c>
      <c r="B514" s="29">
        <v>3125.21</v>
      </c>
      <c r="C514" s="30" t="s">
        <v>862</v>
      </c>
      <c r="D514" s="2">
        <v>4948494932</v>
      </c>
      <c r="E514" s="2" t="s">
        <v>14</v>
      </c>
      <c r="F514" s="78" t="s">
        <v>863</v>
      </c>
      <c r="G514" s="28" t="s">
        <v>13</v>
      </c>
      <c r="H514" s="2" t="s">
        <v>23</v>
      </c>
      <c r="I514" s="2">
        <v>2</v>
      </c>
      <c r="J514" s="2"/>
      <c r="K514" s="2">
        <v>10236</v>
      </c>
      <c r="L514" s="35">
        <f t="shared" si="26"/>
        <v>31989649.559999999</v>
      </c>
      <c r="M514" s="36">
        <v>80</v>
      </c>
      <c r="N514" s="40">
        <v>138930.94339622601</v>
      </c>
      <c r="O514" s="40">
        <v>0</v>
      </c>
      <c r="P514" s="40">
        <v>127417.735849057</v>
      </c>
      <c r="Q514" s="40">
        <v>0</v>
      </c>
      <c r="R514" s="40">
        <v>7857.7358490566003</v>
      </c>
      <c r="S514" s="40">
        <v>133719.245283019</v>
      </c>
      <c r="T514" s="37">
        <v>30000</v>
      </c>
      <c r="U514" s="40">
        <v>51597.905759162299</v>
      </c>
      <c r="V514" s="40">
        <v>0</v>
      </c>
      <c r="W514" s="45">
        <f t="shared" si="27"/>
        <v>489523.56613652094</v>
      </c>
      <c r="X514" s="46">
        <f t="shared" si="28"/>
        <v>1.5302561074273957</v>
      </c>
    </row>
    <row r="515" spans="1:24" s="4" customFormat="1" ht="15" customHeight="1">
      <c r="A515" s="28" t="s">
        <v>647</v>
      </c>
      <c r="B515" s="29">
        <v>3125.21</v>
      </c>
      <c r="C515" s="30" t="s">
        <v>862</v>
      </c>
      <c r="D515" s="2">
        <v>4948494932</v>
      </c>
      <c r="E515" s="2" t="s">
        <v>14</v>
      </c>
      <c r="F515" s="78" t="s">
        <v>863</v>
      </c>
      <c r="G515" s="28" t="s">
        <v>13</v>
      </c>
      <c r="H515" s="2" t="s">
        <v>23</v>
      </c>
      <c r="I515" s="2">
        <v>2</v>
      </c>
      <c r="J515" s="2"/>
      <c r="K515" s="2">
        <v>2198</v>
      </c>
      <c r="L515" s="35">
        <f t="shared" si="26"/>
        <v>6869211.5800000001</v>
      </c>
      <c r="M515" s="36">
        <v>40</v>
      </c>
      <c r="N515" s="40">
        <v>69465.471698113193</v>
      </c>
      <c r="O515" s="40">
        <v>0</v>
      </c>
      <c r="P515" s="40">
        <v>63708.867924528298</v>
      </c>
      <c r="Q515" s="40">
        <v>0</v>
      </c>
      <c r="R515" s="40">
        <v>3928.8679245283001</v>
      </c>
      <c r="S515" s="40">
        <v>66859.622641509399</v>
      </c>
      <c r="T515" s="37">
        <v>30000</v>
      </c>
      <c r="U515" s="40">
        <v>25798.9528795812</v>
      </c>
      <c r="V515" s="40">
        <v>0</v>
      </c>
      <c r="W515" s="45">
        <f t="shared" si="27"/>
        <v>259761.78306826041</v>
      </c>
      <c r="X515" s="46">
        <f t="shared" si="28"/>
        <v>3.7815370809740059</v>
      </c>
    </row>
    <row r="516" spans="1:24" s="4" customFormat="1" ht="15" customHeight="1">
      <c r="A516" s="28" t="s">
        <v>647</v>
      </c>
      <c r="B516" s="29">
        <v>3125.21</v>
      </c>
      <c r="C516" s="30" t="s">
        <v>862</v>
      </c>
      <c r="D516" s="2">
        <v>4948494932</v>
      </c>
      <c r="E516" s="2" t="s">
        <v>14</v>
      </c>
      <c r="F516" s="78" t="s">
        <v>863</v>
      </c>
      <c r="G516" s="28" t="s">
        <v>13</v>
      </c>
      <c r="H516" s="2" t="s">
        <v>23</v>
      </c>
      <c r="I516" s="2">
        <v>2</v>
      </c>
      <c r="J516" s="2"/>
      <c r="K516" s="2">
        <v>1892</v>
      </c>
      <c r="L516" s="35">
        <f t="shared" ref="L516:L579" si="29">B516*K516</f>
        <v>5912897.3200000003</v>
      </c>
      <c r="M516" s="36">
        <v>50</v>
      </c>
      <c r="N516" s="40">
        <v>86831.839622641506</v>
      </c>
      <c r="O516" s="40">
        <v>0</v>
      </c>
      <c r="P516" s="40">
        <v>79636.084905660406</v>
      </c>
      <c r="Q516" s="40">
        <v>0</v>
      </c>
      <c r="R516" s="40">
        <v>4911.0849056603802</v>
      </c>
      <c r="S516" s="40">
        <v>83574.528301886807</v>
      </c>
      <c r="T516" s="37">
        <v>30000</v>
      </c>
      <c r="U516" s="40">
        <v>32248.6910994764</v>
      </c>
      <c r="V516" s="40">
        <v>0</v>
      </c>
      <c r="W516" s="45">
        <f t="shared" ref="W516:W579" si="30">+SUM(N516:V516)</f>
        <v>317202.22883532557</v>
      </c>
      <c r="X516" s="46">
        <f t="shared" ref="X516:X579" si="31">(W516/L516)*100</f>
        <v>5.3645820596682636</v>
      </c>
    </row>
    <row r="517" spans="1:24" s="4" customFormat="1" ht="15" customHeight="1">
      <c r="A517" s="28" t="s">
        <v>647</v>
      </c>
      <c r="B517" s="29">
        <v>3125.21</v>
      </c>
      <c r="C517" s="30" t="s">
        <v>862</v>
      </c>
      <c r="D517" s="2">
        <v>4948494932</v>
      </c>
      <c r="E517" s="2" t="s">
        <v>14</v>
      </c>
      <c r="F517" s="78" t="s">
        <v>863</v>
      </c>
      <c r="G517" s="28" t="s">
        <v>13</v>
      </c>
      <c r="H517" s="2" t="s">
        <v>23</v>
      </c>
      <c r="I517" s="2">
        <v>2</v>
      </c>
      <c r="J517" s="2"/>
      <c r="K517" s="2">
        <f>636+212</f>
        <v>848</v>
      </c>
      <c r="L517" s="35">
        <f t="shared" si="29"/>
        <v>2650178.08</v>
      </c>
      <c r="M517" s="36">
        <v>2</v>
      </c>
      <c r="N517" s="40">
        <v>3473.2735849056598</v>
      </c>
      <c r="O517" s="40">
        <v>0</v>
      </c>
      <c r="P517" s="40">
        <v>3185.4433962264202</v>
      </c>
      <c r="Q517" s="40">
        <v>0</v>
      </c>
      <c r="R517" s="40">
        <v>196.44339622641499</v>
      </c>
      <c r="S517" s="40">
        <v>3342.9811320754702</v>
      </c>
      <c r="T517" s="37">
        <v>30000</v>
      </c>
      <c r="U517" s="40">
        <v>1289.9476439790601</v>
      </c>
      <c r="V517" s="40">
        <v>0</v>
      </c>
      <c r="W517" s="45">
        <f t="shared" si="30"/>
        <v>41488.089153413021</v>
      </c>
      <c r="X517" s="46">
        <f t="shared" si="31"/>
        <v>1.5654830694778452</v>
      </c>
    </row>
    <row r="518" spans="1:24" s="4" customFormat="1" ht="15" customHeight="1">
      <c r="A518" s="28" t="s">
        <v>647</v>
      </c>
      <c r="B518" s="29">
        <v>3125.21</v>
      </c>
      <c r="C518" s="30" t="s">
        <v>862</v>
      </c>
      <c r="D518" s="2">
        <v>4948494932</v>
      </c>
      <c r="E518" s="2" t="s">
        <v>14</v>
      </c>
      <c r="F518" s="78" t="s">
        <v>863</v>
      </c>
      <c r="G518" s="28" t="s">
        <v>13</v>
      </c>
      <c r="H518" s="2" t="s">
        <v>23</v>
      </c>
      <c r="I518" s="2">
        <v>2</v>
      </c>
      <c r="J518" s="2"/>
      <c r="K518" s="2">
        <v>2484.6</v>
      </c>
      <c r="L518" s="35">
        <f t="shared" si="29"/>
        <v>7764896.7659999998</v>
      </c>
      <c r="M518" s="36">
        <v>30</v>
      </c>
      <c r="N518" s="40">
        <v>52099.103773584902</v>
      </c>
      <c r="O518" s="40">
        <v>0</v>
      </c>
      <c r="P518" s="40">
        <v>47781.650943396198</v>
      </c>
      <c r="Q518" s="40">
        <v>0</v>
      </c>
      <c r="R518" s="40">
        <v>2946.6509433962301</v>
      </c>
      <c r="S518" s="40">
        <v>50144.7169811321</v>
      </c>
      <c r="T518" s="37">
        <v>30000</v>
      </c>
      <c r="U518" s="40">
        <v>19349.214659685898</v>
      </c>
      <c r="V518" s="40">
        <v>0</v>
      </c>
      <c r="W518" s="45">
        <f t="shared" si="30"/>
        <v>202321.33730119534</v>
      </c>
      <c r="X518" s="46">
        <f t="shared" si="31"/>
        <v>2.6055895319445299</v>
      </c>
    </row>
    <row r="519" spans="1:24" s="4" customFormat="1" ht="15" customHeight="1">
      <c r="A519" s="28" t="s">
        <v>647</v>
      </c>
      <c r="B519" s="29">
        <v>3125.21</v>
      </c>
      <c r="C519" s="30" t="s">
        <v>862</v>
      </c>
      <c r="D519" s="2">
        <v>4948494932</v>
      </c>
      <c r="E519" s="2" t="s">
        <v>14</v>
      </c>
      <c r="F519" s="78" t="s">
        <v>863</v>
      </c>
      <c r="G519" s="28" t="s">
        <v>13</v>
      </c>
      <c r="H519" s="2" t="s">
        <v>23</v>
      </c>
      <c r="I519" s="2">
        <v>2</v>
      </c>
      <c r="J519" s="2"/>
      <c r="K519" s="2">
        <v>715.6</v>
      </c>
      <c r="L519" s="35">
        <f t="shared" si="29"/>
        <v>2236400.2760000001</v>
      </c>
      <c r="M519" s="36">
        <v>10</v>
      </c>
      <c r="N519" s="40">
        <v>17366.367924528298</v>
      </c>
      <c r="O519" s="40">
        <v>0</v>
      </c>
      <c r="P519" s="40">
        <v>15927.2169811321</v>
      </c>
      <c r="Q519" s="40">
        <v>0</v>
      </c>
      <c r="R519" s="40">
        <v>982.21698113207503</v>
      </c>
      <c r="S519" s="40">
        <v>16714.905660377401</v>
      </c>
      <c r="T519" s="37">
        <v>30000</v>
      </c>
      <c r="U519" s="40">
        <v>6449.7382198952901</v>
      </c>
      <c r="V519" s="40">
        <v>0</v>
      </c>
      <c r="W519" s="45">
        <f t="shared" si="30"/>
        <v>87440.445767065161</v>
      </c>
      <c r="X519" s="46">
        <f t="shared" si="31"/>
        <v>3.9098745741285699</v>
      </c>
    </row>
    <row r="520" spans="1:24" s="4" customFormat="1" ht="15" customHeight="1">
      <c r="A520" s="28" t="s">
        <v>647</v>
      </c>
      <c r="B520" s="29">
        <v>3125.21</v>
      </c>
      <c r="C520" s="30" t="s">
        <v>864</v>
      </c>
      <c r="D520" s="2">
        <v>4947945348</v>
      </c>
      <c r="E520" s="2" t="s">
        <v>14</v>
      </c>
      <c r="F520" s="78" t="s">
        <v>865</v>
      </c>
      <c r="G520" s="28" t="s">
        <v>13</v>
      </c>
      <c r="H520" s="2" t="s">
        <v>23</v>
      </c>
      <c r="I520" s="2">
        <v>2</v>
      </c>
      <c r="J520" s="2"/>
      <c r="K520" s="2">
        <v>4309.6000000000004</v>
      </c>
      <c r="L520" s="35">
        <f t="shared" si="29"/>
        <v>13468405.016000001</v>
      </c>
      <c r="M520" s="36">
        <v>80</v>
      </c>
      <c r="N520" s="37">
        <v>148667.5</v>
      </c>
      <c r="O520" s="37">
        <v>0</v>
      </c>
      <c r="P520" s="37">
        <v>168828.5</v>
      </c>
      <c r="Q520" s="37">
        <v>0</v>
      </c>
      <c r="R520" s="37">
        <v>1185</v>
      </c>
      <c r="S520" s="37">
        <v>354356</v>
      </c>
      <c r="T520" s="37">
        <v>30000</v>
      </c>
      <c r="U520" s="37">
        <v>45148.167539267</v>
      </c>
      <c r="V520" s="37">
        <v>0</v>
      </c>
      <c r="W520" s="45">
        <f t="shared" si="30"/>
        <v>748185.16753926699</v>
      </c>
      <c r="X520" s="46">
        <f t="shared" si="31"/>
        <v>5.5551133682900744</v>
      </c>
    </row>
    <row r="521" spans="1:24" s="4" customFormat="1" ht="15" customHeight="1">
      <c r="A521" s="28" t="s">
        <v>647</v>
      </c>
      <c r="B521" s="29">
        <v>3125.21</v>
      </c>
      <c r="C521" s="30" t="s">
        <v>866</v>
      </c>
      <c r="D521" s="2">
        <v>4948494936</v>
      </c>
      <c r="E521" s="2" t="s">
        <v>14</v>
      </c>
      <c r="F521" s="2">
        <v>1024589507</v>
      </c>
      <c r="G521" s="28" t="s">
        <v>13</v>
      </c>
      <c r="H521" s="2" t="s">
        <v>23</v>
      </c>
      <c r="I521" s="2">
        <v>1</v>
      </c>
      <c r="J521" s="2"/>
      <c r="K521" s="2">
        <v>2046.4</v>
      </c>
      <c r="L521" s="35">
        <f t="shared" si="29"/>
        <v>6395429.7439999999</v>
      </c>
      <c r="M521" s="36">
        <v>20</v>
      </c>
      <c r="N521" s="37">
        <v>154062.85999999999</v>
      </c>
      <c r="O521" s="37">
        <v>0</v>
      </c>
      <c r="P521" s="37">
        <v>331517</v>
      </c>
      <c r="Q521" s="37">
        <v>0</v>
      </c>
      <c r="R521" s="37">
        <v>1942</v>
      </c>
      <c r="S521" s="37">
        <v>354356</v>
      </c>
      <c r="T521" s="37">
        <v>30000</v>
      </c>
      <c r="U521" s="37">
        <v>12899.4764397906</v>
      </c>
      <c r="V521" s="37">
        <v>0</v>
      </c>
      <c r="W521" s="45">
        <f t="shared" si="30"/>
        <v>884777.33643979055</v>
      </c>
      <c r="X521" s="46">
        <f t="shared" si="31"/>
        <v>13.834525150868277</v>
      </c>
    </row>
    <row r="522" spans="1:24" s="4" customFormat="1" ht="15" customHeight="1">
      <c r="A522" s="28" t="s">
        <v>647</v>
      </c>
      <c r="B522" s="29">
        <v>3125.21</v>
      </c>
      <c r="C522" s="30" t="s">
        <v>867</v>
      </c>
      <c r="D522" s="2">
        <v>4948494931</v>
      </c>
      <c r="E522" s="2" t="s">
        <v>14</v>
      </c>
      <c r="F522" s="2">
        <v>1024454772</v>
      </c>
      <c r="G522" s="28" t="s">
        <v>13</v>
      </c>
      <c r="H522" s="2" t="s">
        <v>23</v>
      </c>
      <c r="I522" s="2">
        <v>1</v>
      </c>
      <c r="J522" s="2"/>
      <c r="K522" s="2">
        <v>806.8</v>
      </c>
      <c r="L522" s="35">
        <f t="shared" si="29"/>
        <v>2521419.4279999998</v>
      </c>
      <c r="M522" s="36">
        <v>20</v>
      </c>
      <c r="N522" s="40">
        <v>33909.967857142903</v>
      </c>
      <c r="O522" s="40">
        <v>0</v>
      </c>
      <c r="P522" s="40">
        <v>26691.928571428602</v>
      </c>
      <c r="Q522" s="40">
        <v>0</v>
      </c>
      <c r="R522" s="40">
        <v>3099.1111111111099</v>
      </c>
      <c r="S522" s="40">
        <v>78745.777777777796</v>
      </c>
      <c r="T522" s="37">
        <v>30000</v>
      </c>
      <c r="U522" s="40">
        <v>17598.571428571398</v>
      </c>
      <c r="V522" s="40">
        <v>0</v>
      </c>
      <c r="W522" s="45">
        <f t="shared" si="30"/>
        <v>190045.35674603182</v>
      </c>
      <c r="X522" s="46">
        <f t="shared" si="31"/>
        <v>7.5372369481890038</v>
      </c>
    </row>
    <row r="523" spans="1:24" s="4" customFormat="1" ht="15" customHeight="1">
      <c r="A523" s="28" t="s">
        <v>647</v>
      </c>
      <c r="B523" s="29">
        <v>3125.21</v>
      </c>
      <c r="C523" s="30" t="s">
        <v>867</v>
      </c>
      <c r="D523" s="2">
        <v>4948494931</v>
      </c>
      <c r="E523" s="2" t="s">
        <v>14</v>
      </c>
      <c r="F523" s="2">
        <v>1024454772</v>
      </c>
      <c r="G523" s="28" t="s">
        <v>13</v>
      </c>
      <c r="H523" s="2" t="s">
        <v>23</v>
      </c>
      <c r="I523" s="2">
        <v>1</v>
      </c>
      <c r="J523" s="2"/>
      <c r="K523" s="2">
        <v>892.2</v>
      </c>
      <c r="L523" s="35">
        <f t="shared" si="29"/>
        <v>2788312.3620000002</v>
      </c>
      <c r="M523" s="36">
        <v>20</v>
      </c>
      <c r="N523" s="40">
        <v>33909.967857142903</v>
      </c>
      <c r="O523" s="40">
        <v>0</v>
      </c>
      <c r="P523" s="40">
        <v>26691.928571428602</v>
      </c>
      <c r="Q523" s="40">
        <v>0</v>
      </c>
      <c r="R523" s="40">
        <v>3099.1111111111099</v>
      </c>
      <c r="S523" s="40">
        <v>78745.777777777796</v>
      </c>
      <c r="T523" s="37">
        <v>30000</v>
      </c>
      <c r="U523" s="40">
        <v>17598.571428571398</v>
      </c>
      <c r="V523" s="40">
        <v>0</v>
      </c>
      <c r="W523" s="45">
        <f t="shared" si="30"/>
        <v>190045.35674603182</v>
      </c>
      <c r="X523" s="46">
        <f t="shared" si="31"/>
        <v>6.815784319433857</v>
      </c>
    </row>
    <row r="524" spans="1:24" s="4" customFormat="1" ht="15" customHeight="1">
      <c r="A524" s="28" t="s">
        <v>647</v>
      </c>
      <c r="B524" s="29">
        <v>3125.21</v>
      </c>
      <c r="C524" s="30" t="s">
        <v>867</v>
      </c>
      <c r="D524" s="2">
        <v>4948494931</v>
      </c>
      <c r="E524" s="2" t="s">
        <v>14</v>
      </c>
      <c r="F524" s="2">
        <v>1024454772</v>
      </c>
      <c r="G524" s="28" t="s">
        <v>13</v>
      </c>
      <c r="H524" s="2" t="s">
        <v>23</v>
      </c>
      <c r="I524" s="2">
        <v>1</v>
      </c>
      <c r="J524" s="2"/>
      <c r="K524" s="2">
        <v>1158.8</v>
      </c>
      <c r="L524" s="35">
        <f t="shared" si="29"/>
        <v>3621493.3479999998</v>
      </c>
      <c r="M524" s="36">
        <v>10</v>
      </c>
      <c r="N524" s="40">
        <v>16954.983928571401</v>
      </c>
      <c r="O524" s="40">
        <v>0</v>
      </c>
      <c r="P524" s="40">
        <v>13345.964285714301</v>
      </c>
      <c r="Q524" s="40">
        <v>0</v>
      </c>
      <c r="R524" s="40">
        <v>1549.55555555556</v>
      </c>
      <c r="S524" s="40">
        <v>39372.888888888898</v>
      </c>
      <c r="T524" s="37">
        <v>30000</v>
      </c>
      <c r="U524" s="40">
        <v>8799.2857142857101</v>
      </c>
      <c r="V524" s="40">
        <v>0</v>
      </c>
      <c r="W524" s="45">
        <f t="shared" si="30"/>
        <v>110022.67837301586</v>
      </c>
      <c r="X524" s="46">
        <f t="shared" si="31"/>
        <v>3.038047230813687</v>
      </c>
    </row>
    <row r="525" spans="1:24" s="4" customFormat="1" ht="15" customHeight="1">
      <c r="A525" s="28" t="s">
        <v>647</v>
      </c>
      <c r="B525" s="29">
        <v>3125.21</v>
      </c>
      <c r="C525" s="30" t="s">
        <v>867</v>
      </c>
      <c r="D525" s="2">
        <v>4948494931</v>
      </c>
      <c r="E525" s="2" t="s">
        <v>14</v>
      </c>
      <c r="F525" s="2">
        <v>1024454772</v>
      </c>
      <c r="G525" s="28" t="s">
        <v>13</v>
      </c>
      <c r="H525" s="2" t="s">
        <v>23</v>
      </c>
      <c r="I525" s="2">
        <v>1</v>
      </c>
      <c r="J525" s="2"/>
      <c r="K525" s="2">
        <v>5469.2</v>
      </c>
      <c r="L525" s="35">
        <f t="shared" si="29"/>
        <v>17092398.531999998</v>
      </c>
      <c r="M525" s="36">
        <v>40</v>
      </c>
      <c r="N525" s="40">
        <v>67819.935714285704</v>
      </c>
      <c r="O525" s="40">
        <v>0</v>
      </c>
      <c r="P525" s="40">
        <v>53383.857142857101</v>
      </c>
      <c r="Q525" s="40">
        <v>0</v>
      </c>
      <c r="R525" s="40">
        <v>6198.2222222222199</v>
      </c>
      <c r="S525" s="40">
        <v>157491.555555556</v>
      </c>
      <c r="T525" s="37">
        <v>30000</v>
      </c>
      <c r="U525" s="40">
        <v>35197.142857142899</v>
      </c>
      <c r="V525" s="40">
        <v>0</v>
      </c>
      <c r="W525" s="45">
        <f t="shared" si="30"/>
        <v>350090.71349206392</v>
      </c>
      <c r="X525" s="46">
        <f t="shared" si="31"/>
        <v>2.0482246118742906</v>
      </c>
    </row>
    <row r="526" spans="1:24" s="4" customFormat="1" ht="15" customHeight="1">
      <c r="A526" s="28" t="s">
        <v>647</v>
      </c>
      <c r="B526" s="29">
        <v>3125.21</v>
      </c>
      <c r="C526" s="30" t="s">
        <v>868</v>
      </c>
      <c r="D526" s="2">
        <v>4949034839</v>
      </c>
      <c r="E526" s="2" t="s">
        <v>14</v>
      </c>
      <c r="F526" s="2">
        <v>1024678264</v>
      </c>
      <c r="G526" s="28" t="s">
        <v>13</v>
      </c>
      <c r="H526" s="2" t="s">
        <v>23</v>
      </c>
      <c r="I526" s="2">
        <v>1</v>
      </c>
      <c r="J526" s="2"/>
      <c r="K526" s="2">
        <v>579</v>
      </c>
      <c r="L526" s="35">
        <f t="shared" si="29"/>
        <v>1809496.59</v>
      </c>
      <c r="M526" s="36">
        <v>10</v>
      </c>
      <c r="N526" s="37">
        <v>140310</v>
      </c>
      <c r="O526" s="37">
        <v>0</v>
      </c>
      <c r="P526" s="37">
        <v>0</v>
      </c>
      <c r="Q526" s="37">
        <v>0</v>
      </c>
      <c r="R526" s="37">
        <v>561</v>
      </c>
      <c r="S526" s="37">
        <v>354356</v>
      </c>
      <c r="T526" s="37">
        <v>30000</v>
      </c>
      <c r="U526" s="37">
        <v>246380</v>
      </c>
      <c r="V526" s="37">
        <v>0</v>
      </c>
      <c r="W526" s="45">
        <f t="shared" si="30"/>
        <v>771607</v>
      </c>
      <c r="X526" s="46">
        <f t="shared" si="31"/>
        <v>42.642080911575519</v>
      </c>
    </row>
    <row r="527" spans="1:24" s="4" customFormat="1" ht="15" customHeight="1">
      <c r="A527" s="28" t="s">
        <v>647</v>
      </c>
      <c r="B527" s="29">
        <v>3125.21</v>
      </c>
      <c r="C527" s="30" t="s">
        <v>869</v>
      </c>
      <c r="D527" s="2">
        <v>4948063395</v>
      </c>
      <c r="E527" s="2" t="s">
        <v>14</v>
      </c>
      <c r="F527" s="2">
        <v>1024402715</v>
      </c>
      <c r="G527" s="28" t="s">
        <v>13</v>
      </c>
      <c r="H527" s="2" t="s">
        <v>23</v>
      </c>
      <c r="I527" s="2">
        <v>2</v>
      </c>
      <c r="J527" s="2"/>
      <c r="K527" s="2">
        <v>12177.6</v>
      </c>
      <c r="L527" s="35">
        <f t="shared" si="29"/>
        <v>38057557.296000004</v>
      </c>
      <c r="M527" s="36">
        <v>80</v>
      </c>
      <c r="N527" s="37">
        <v>148667.5</v>
      </c>
      <c r="O527" s="37">
        <v>0</v>
      </c>
      <c r="P527" s="37">
        <v>168828.5</v>
      </c>
      <c r="Q527" s="37">
        <v>0</v>
      </c>
      <c r="R527" s="37">
        <v>1355</v>
      </c>
      <c r="S527" s="37">
        <v>354356</v>
      </c>
      <c r="T527" s="37">
        <v>30000</v>
      </c>
      <c r="U527" s="37">
        <v>51597.905759162299</v>
      </c>
      <c r="V527" s="37">
        <v>0</v>
      </c>
      <c r="W527" s="45">
        <f t="shared" si="30"/>
        <v>754804.90575916227</v>
      </c>
      <c r="X527" s="46">
        <f t="shared" si="31"/>
        <v>1.9833246256151473</v>
      </c>
    </row>
    <row r="528" spans="1:24" s="4" customFormat="1" ht="15" customHeight="1">
      <c r="A528" s="28" t="s">
        <v>647</v>
      </c>
      <c r="B528" s="29">
        <v>3125.21</v>
      </c>
      <c r="C528" s="30" t="s">
        <v>870</v>
      </c>
      <c r="D528" s="2">
        <v>4947612630</v>
      </c>
      <c r="E528" s="2" t="s">
        <v>14</v>
      </c>
      <c r="F528" s="78" t="s">
        <v>871</v>
      </c>
      <c r="G528" s="28" t="s">
        <v>13</v>
      </c>
      <c r="H528" s="2" t="s">
        <v>23</v>
      </c>
      <c r="I528" s="2">
        <v>7</v>
      </c>
      <c r="J528" s="2"/>
      <c r="K528" s="2">
        <f>4415.25+164.78</f>
        <v>4580.03</v>
      </c>
      <c r="L528" s="35">
        <f t="shared" si="29"/>
        <v>14313555.556299999</v>
      </c>
      <c r="M528" s="36">
        <v>35</v>
      </c>
      <c r="N528" s="37">
        <v>616098</v>
      </c>
      <c r="O528" s="37">
        <v>0</v>
      </c>
      <c r="P528" s="37">
        <v>0</v>
      </c>
      <c r="Q528" s="37">
        <v>0</v>
      </c>
      <c r="R528" s="37">
        <v>4520</v>
      </c>
      <c r="S528" s="37">
        <v>343435</v>
      </c>
      <c r="T528" s="37">
        <v>30000</v>
      </c>
      <c r="U528" s="37">
        <v>132666.15384615399</v>
      </c>
      <c r="V528" s="37">
        <v>0</v>
      </c>
      <c r="W528" s="45">
        <f t="shared" si="30"/>
        <v>1126719.153846154</v>
      </c>
      <c r="X528" s="46">
        <f t="shared" si="31"/>
        <v>7.8716930214466334</v>
      </c>
    </row>
    <row r="529" spans="1:24" s="4" customFormat="1" ht="15" customHeight="1">
      <c r="A529" s="28" t="s">
        <v>647</v>
      </c>
      <c r="B529" s="29">
        <v>3125.21</v>
      </c>
      <c r="C529" s="30" t="s">
        <v>872</v>
      </c>
      <c r="D529" s="2">
        <v>4947325455</v>
      </c>
      <c r="E529" s="2" t="s">
        <v>24</v>
      </c>
      <c r="F529" s="2">
        <v>195100017</v>
      </c>
      <c r="G529" s="28" t="s">
        <v>13</v>
      </c>
      <c r="H529" s="2" t="s">
        <v>23</v>
      </c>
      <c r="I529" s="2">
        <v>6</v>
      </c>
      <c r="J529" s="2"/>
      <c r="K529" s="2">
        <f>15796+151.79</f>
        <v>15947.79</v>
      </c>
      <c r="L529" s="35">
        <f t="shared" si="29"/>
        <v>49840192.785900004</v>
      </c>
      <c r="M529" s="36">
        <v>7</v>
      </c>
      <c r="N529" s="37">
        <v>377169</v>
      </c>
      <c r="O529" s="37">
        <v>0</v>
      </c>
      <c r="P529" s="37">
        <v>0</v>
      </c>
      <c r="Q529" s="37">
        <v>0</v>
      </c>
      <c r="R529" s="37">
        <v>3403</v>
      </c>
      <c r="S529" s="37">
        <v>343435</v>
      </c>
      <c r="T529" s="37"/>
      <c r="U529" s="37">
        <v>246380</v>
      </c>
      <c r="V529" s="37">
        <v>0</v>
      </c>
      <c r="W529" s="45">
        <f t="shared" si="30"/>
        <v>970387</v>
      </c>
      <c r="X529" s="46">
        <f t="shared" si="31"/>
        <v>1.9469968829545266</v>
      </c>
    </row>
    <row r="530" spans="1:24" s="4" customFormat="1" ht="15" customHeight="1">
      <c r="A530" s="28" t="s">
        <v>647</v>
      </c>
      <c r="B530" s="29">
        <v>3125.21</v>
      </c>
      <c r="C530" s="30" t="s">
        <v>873</v>
      </c>
      <c r="D530" s="78" t="s">
        <v>874</v>
      </c>
      <c r="E530" s="2" t="s">
        <v>14</v>
      </c>
      <c r="F530" s="2" t="s">
        <v>875</v>
      </c>
      <c r="G530" s="28" t="s">
        <v>13</v>
      </c>
      <c r="H530" s="2" t="s">
        <v>23</v>
      </c>
      <c r="I530" s="2">
        <v>7</v>
      </c>
      <c r="J530" s="2"/>
      <c r="K530" s="2">
        <f>2619.75+304</f>
        <v>2923.75</v>
      </c>
      <c r="L530" s="35">
        <f t="shared" si="29"/>
        <v>9137332.7375000007</v>
      </c>
      <c r="M530" s="36">
        <v>175</v>
      </c>
      <c r="N530" s="37">
        <v>356549</v>
      </c>
      <c r="O530" s="37">
        <v>0</v>
      </c>
      <c r="P530" s="37">
        <v>0</v>
      </c>
      <c r="Q530" s="37">
        <v>0</v>
      </c>
      <c r="R530" s="37">
        <v>5222</v>
      </c>
      <c r="S530" s="37">
        <v>343435</v>
      </c>
      <c r="T530" s="37">
        <v>30000</v>
      </c>
      <c r="U530" s="37">
        <v>246380</v>
      </c>
      <c r="V530" s="37">
        <v>0</v>
      </c>
      <c r="W530" s="45">
        <f t="shared" si="30"/>
        <v>981586</v>
      </c>
      <c r="X530" s="46">
        <f t="shared" si="31"/>
        <v>10.74258788860265</v>
      </c>
    </row>
    <row r="531" spans="1:24" s="4" customFormat="1" ht="15" customHeight="1">
      <c r="A531" s="28" t="s">
        <v>647</v>
      </c>
      <c r="B531" s="29">
        <v>3125.21</v>
      </c>
      <c r="C531" s="30" t="s">
        <v>876</v>
      </c>
      <c r="D531" s="2">
        <v>4947972446</v>
      </c>
      <c r="E531" s="2" t="s">
        <v>33</v>
      </c>
      <c r="F531" s="78" t="s">
        <v>877</v>
      </c>
      <c r="G531" s="28" t="s">
        <v>13</v>
      </c>
      <c r="H531" s="2" t="s">
        <v>23</v>
      </c>
      <c r="I531" s="2">
        <v>1</v>
      </c>
      <c r="J531" s="2"/>
      <c r="K531" s="2">
        <v>1620</v>
      </c>
      <c r="L531" s="35">
        <f t="shared" si="29"/>
        <v>5062840.2</v>
      </c>
      <c r="M531" s="36">
        <v>300</v>
      </c>
      <c r="N531" s="37">
        <v>126204</v>
      </c>
      <c r="O531" s="37">
        <v>0</v>
      </c>
      <c r="P531" s="37">
        <v>327250</v>
      </c>
      <c r="Q531" s="37">
        <v>0</v>
      </c>
      <c r="R531" s="37">
        <v>1814</v>
      </c>
      <c r="S531" s="37">
        <v>343435</v>
      </c>
      <c r="T531" s="37"/>
      <c r="U531" s="37">
        <v>246380</v>
      </c>
      <c r="V531" s="37">
        <v>0</v>
      </c>
      <c r="W531" s="45">
        <f t="shared" si="30"/>
        <v>1045083</v>
      </c>
      <c r="X531" s="46">
        <f t="shared" si="31"/>
        <v>20.642227657116255</v>
      </c>
    </row>
    <row r="532" spans="1:24" s="4" customFormat="1" ht="15" customHeight="1">
      <c r="A532" s="28" t="s">
        <v>647</v>
      </c>
      <c r="B532" s="29">
        <v>3125.21</v>
      </c>
      <c r="C532" s="30" t="s">
        <v>878</v>
      </c>
      <c r="D532" s="2">
        <v>4948494930</v>
      </c>
      <c r="E532" s="2" t="s">
        <v>14</v>
      </c>
      <c r="F532" s="78" t="s">
        <v>879</v>
      </c>
      <c r="G532" s="28" t="s">
        <v>13</v>
      </c>
      <c r="H532" s="2" t="s">
        <v>23</v>
      </c>
      <c r="I532" s="2">
        <v>1</v>
      </c>
      <c r="J532" s="2"/>
      <c r="K532" s="2">
        <v>2749.2</v>
      </c>
      <c r="L532" s="35">
        <f t="shared" si="29"/>
        <v>8591827.3320000004</v>
      </c>
      <c r="M532" s="36">
        <v>40</v>
      </c>
      <c r="N532" s="37">
        <v>143849.48000000001</v>
      </c>
      <c r="O532" s="37">
        <v>0</v>
      </c>
      <c r="P532" s="37">
        <v>0</v>
      </c>
      <c r="Q532" s="37">
        <v>0</v>
      </c>
      <c r="R532" s="37">
        <v>575</v>
      </c>
      <c r="S532" s="37">
        <v>343435</v>
      </c>
      <c r="T532" s="37">
        <v>30000</v>
      </c>
      <c r="U532" s="37">
        <v>246380</v>
      </c>
      <c r="V532" s="37">
        <v>0</v>
      </c>
      <c r="W532" s="45">
        <f t="shared" si="30"/>
        <v>764239.48</v>
      </c>
      <c r="X532" s="46">
        <f t="shared" si="31"/>
        <v>8.8949585515250416</v>
      </c>
    </row>
    <row r="533" spans="1:24" s="4" customFormat="1" ht="15" customHeight="1">
      <c r="A533" s="28" t="s">
        <v>647</v>
      </c>
      <c r="B533" s="29">
        <v>3125.21</v>
      </c>
      <c r="C533" s="30" t="s">
        <v>880</v>
      </c>
      <c r="D533" s="2">
        <v>4947273666</v>
      </c>
      <c r="E533" s="2" t="s">
        <v>14</v>
      </c>
      <c r="F533" s="2" t="s">
        <v>881</v>
      </c>
      <c r="G533" s="28" t="s">
        <v>13</v>
      </c>
      <c r="H533" s="2" t="s">
        <v>23</v>
      </c>
      <c r="I533" s="2">
        <v>7</v>
      </c>
      <c r="J533" s="2"/>
      <c r="K533" s="2">
        <f>15220.8+3903</f>
        <v>19123.8</v>
      </c>
      <c r="L533" s="35">
        <f t="shared" si="29"/>
        <v>59765890.997999996</v>
      </c>
      <c r="M533" s="36">
        <v>2520</v>
      </c>
      <c r="N533" s="37">
        <v>4842429</v>
      </c>
      <c r="O533" s="37">
        <v>0</v>
      </c>
      <c r="P533" s="37">
        <v>326536</v>
      </c>
      <c r="Q533" s="37">
        <v>0</v>
      </c>
      <c r="R533" s="37">
        <v>71076</v>
      </c>
      <c r="S533" s="37">
        <v>343435</v>
      </c>
      <c r="T533" s="37">
        <v>30000</v>
      </c>
      <c r="U533" s="37">
        <v>1154337</v>
      </c>
      <c r="V533" s="37">
        <v>0</v>
      </c>
      <c r="W533" s="45">
        <f t="shared" si="30"/>
        <v>6767813</v>
      </c>
      <c r="X533" s="46">
        <f t="shared" si="31"/>
        <v>11.323872006235929</v>
      </c>
    </row>
    <row r="534" spans="1:24" s="4" customFormat="1" ht="15" customHeight="1">
      <c r="A534" s="28" t="s">
        <v>647</v>
      </c>
      <c r="B534" s="29">
        <v>3125.21</v>
      </c>
      <c r="C534" s="30" t="s">
        <v>882</v>
      </c>
      <c r="D534" s="2">
        <v>4948494934</v>
      </c>
      <c r="E534" s="2" t="s">
        <v>14</v>
      </c>
      <c r="F534" s="2">
        <v>1024444404</v>
      </c>
      <c r="G534" s="28" t="s">
        <v>13</v>
      </c>
      <c r="H534" s="2" t="s">
        <v>23</v>
      </c>
      <c r="I534" s="2">
        <v>1</v>
      </c>
      <c r="J534" s="2"/>
      <c r="K534" s="2">
        <v>3543</v>
      </c>
      <c r="L534" s="35">
        <f t="shared" si="29"/>
        <v>11072619.029999999</v>
      </c>
      <c r="M534" s="36">
        <v>50</v>
      </c>
      <c r="N534" s="37">
        <v>155574.46</v>
      </c>
      <c r="O534" s="37">
        <v>0</v>
      </c>
      <c r="P534" s="37">
        <v>0</v>
      </c>
      <c r="Q534" s="37">
        <v>0</v>
      </c>
      <c r="R534" s="37">
        <v>622</v>
      </c>
      <c r="S534" s="37">
        <v>343435</v>
      </c>
      <c r="T534" s="37">
        <v>30000</v>
      </c>
      <c r="U534" s="37">
        <v>232433.96226415099</v>
      </c>
      <c r="V534" s="37">
        <v>0</v>
      </c>
      <c r="W534" s="45">
        <f t="shared" si="30"/>
        <v>762065.42226415093</v>
      </c>
      <c r="X534" s="46">
        <f t="shared" si="31"/>
        <v>6.8824315204869011</v>
      </c>
    </row>
    <row r="535" spans="1:24" s="4" customFormat="1" ht="15" customHeight="1">
      <c r="A535" s="28" t="s">
        <v>647</v>
      </c>
      <c r="B535" s="29">
        <v>3125.21</v>
      </c>
      <c r="C535" s="30" t="s">
        <v>883</v>
      </c>
      <c r="D535" s="2">
        <v>4948208971</v>
      </c>
      <c r="E535" s="2" t="s">
        <v>14</v>
      </c>
      <c r="F535" s="2">
        <v>1024289843</v>
      </c>
      <c r="G535" s="28" t="s">
        <v>13</v>
      </c>
      <c r="H535" s="2" t="s">
        <v>23</v>
      </c>
      <c r="I535" s="2">
        <v>1</v>
      </c>
      <c r="J535" s="2"/>
      <c r="K535" s="2">
        <v>848</v>
      </c>
      <c r="L535" s="35">
        <f t="shared" si="29"/>
        <v>2650178.08</v>
      </c>
      <c r="M535" s="36">
        <v>2</v>
      </c>
      <c r="N535" s="37">
        <v>132165</v>
      </c>
      <c r="O535" s="37">
        <v>0</v>
      </c>
      <c r="P535" s="37">
        <v>0</v>
      </c>
      <c r="Q535" s="37">
        <v>0</v>
      </c>
      <c r="R535" s="37">
        <v>529</v>
      </c>
      <c r="S535" s="37">
        <v>343435</v>
      </c>
      <c r="T535" s="37">
        <v>30000</v>
      </c>
      <c r="U535" s="37">
        <v>9297.3584905660391</v>
      </c>
      <c r="V535" s="37">
        <v>0</v>
      </c>
      <c r="W535" s="45">
        <f t="shared" si="30"/>
        <v>515426.35849056602</v>
      </c>
      <c r="X535" s="46">
        <f t="shared" si="31"/>
        <v>19.448744308177435</v>
      </c>
    </row>
    <row r="536" spans="1:24" s="4" customFormat="1" ht="15" customHeight="1">
      <c r="A536" s="28" t="s">
        <v>647</v>
      </c>
      <c r="B536" s="29">
        <v>3125.21</v>
      </c>
      <c r="C536" s="30" t="s">
        <v>884</v>
      </c>
      <c r="D536" s="2">
        <v>4948826965</v>
      </c>
      <c r="E536" s="2" t="s">
        <v>14</v>
      </c>
      <c r="F536" s="78" t="s">
        <v>885</v>
      </c>
      <c r="G536" s="28" t="s">
        <v>13</v>
      </c>
      <c r="H536" s="2" t="s">
        <v>23</v>
      </c>
      <c r="I536" s="2">
        <v>1</v>
      </c>
      <c r="J536" s="2"/>
      <c r="K536" s="2">
        <v>750.15</v>
      </c>
      <c r="L536" s="35">
        <f t="shared" si="29"/>
        <v>2344376.2815</v>
      </c>
      <c r="M536" s="36">
        <v>1</v>
      </c>
      <c r="N536" s="37">
        <v>97399.23</v>
      </c>
      <c r="O536" s="37">
        <v>0</v>
      </c>
      <c r="P536" s="37">
        <v>0</v>
      </c>
      <c r="Q536" s="37">
        <v>0</v>
      </c>
      <c r="R536" s="37">
        <v>390</v>
      </c>
      <c r="S536" s="37">
        <v>343435</v>
      </c>
      <c r="T536" s="37">
        <v>30000</v>
      </c>
      <c r="U536" s="37">
        <v>4648.6792452830196</v>
      </c>
      <c r="V536" s="37">
        <v>0</v>
      </c>
      <c r="W536" s="45">
        <f t="shared" si="30"/>
        <v>475872.90924528299</v>
      </c>
      <c r="X536" s="46">
        <f t="shared" si="31"/>
        <v>20.298486765989875</v>
      </c>
    </row>
    <row r="537" spans="1:24" s="4" customFormat="1" ht="15" customHeight="1">
      <c r="A537" s="28" t="s">
        <v>647</v>
      </c>
      <c r="B537" s="29">
        <v>3125.21</v>
      </c>
      <c r="C537" s="30" t="s">
        <v>886</v>
      </c>
      <c r="D537" s="2">
        <v>4947917130</v>
      </c>
      <c r="E537" s="2" t="s">
        <v>14</v>
      </c>
      <c r="F537" s="2" t="s">
        <v>887</v>
      </c>
      <c r="G537" s="28" t="s">
        <v>13</v>
      </c>
      <c r="H537" s="2" t="s">
        <v>23</v>
      </c>
      <c r="I537" s="2">
        <v>1</v>
      </c>
      <c r="J537" s="2"/>
      <c r="K537" s="2">
        <f>11622.6+327.68</f>
        <v>11950.28</v>
      </c>
      <c r="L537" s="35">
        <f t="shared" si="29"/>
        <v>37347134.558800004</v>
      </c>
      <c r="M537" s="36">
        <v>90</v>
      </c>
      <c r="N537" s="37">
        <v>459181</v>
      </c>
      <c r="O537" s="37">
        <v>0</v>
      </c>
      <c r="P537" s="37">
        <v>0</v>
      </c>
      <c r="Q537" s="37">
        <v>0</v>
      </c>
      <c r="R537" s="37">
        <v>8925</v>
      </c>
      <c r="S537" s="37">
        <v>343435</v>
      </c>
      <c r="T537" s="37">
        <v>30000</v>
      </c>
      <c r="U537" s="37">
        <v>246380</v>
      </c>
      <c r="V537" s="37">
        <v>0</v>
      </c>
      <c r="W537" s="45">
        <f t="shared" si="30"/>
        <v>1087921</v>
      </c>
      <c r="X537" s="46">
        <f t="shared" si="31"/>
        <v>2.9129972429000075</v>
      </c>
    </row>
    <row r="538" spans="1:24" s="4" customFormat="1" ht="15" customHeight="1">
      <c r="A538" s="28" t="s">
        <v>647</v>
      </c>
      <c r="B538" s="29">
        <v>3125.21</v>
      </c>
      <c r="C538" s="30" t="s">
        <v>888</v>
      </c>
      <c r="D538" s="2">
        <v>4948540096</v>
      </c>
      <c r="E538" s="2" t="s">
        <v>14</v>
      </c>
      <c r="F538" s="2" t="s">
        <v>889</v>
      </c>
      <c r="G538" s="28" t="s">
        <v>9</v>
      </c>
      <c r="H538" s="2" t="s">
        <v>23</v>
      </c>
      <c r="I538" s="2">
        <v>4</v>
      </c>
      <c r="J538" s="2"/>
      <c r="K538" s="2">
        <v>12180</v>
      </c>
      <c r="L538" s="35">
        <f t="shared" si="29"/>
        <v>38065057.799999997</v>
      </c>
      <c r="M538" s="36">
        <v>240</v>
      </c>
      <c r="N538" s="40">
        <v>389067.130434783</v>
      </c>
      <c r="O538" s="40">
        <v>178.95652173913001</v>
      </c>
      <c r="P538" s="40">
        <v>3527.47826086957</v>
      </c>
      <c r="Q538" s="40">
        <v>5702.0869565217399</v>
      </c>
      <c r="R538" s="40">
        <v>54253.565217391297</v>
      </c>
      <c r="S538" s="40">
        <v>184881.39130434801</v>
      </c>
      <c r="T538" s="37">
        <v>30000</v>
      </c>
      <c r="U538" s="40">
        <v>146179.90654205601</v>
      </c>
      <c r="V538" s="40">
        <v>0</v>
      </c>
      <c r="W538" s="45">
        <f t="shared" si="30"/>
        <v>813790.51523770881</v>
      </c>
      <c r="X538" s="46">
        <f t="shared" si="31"/>
        <v>2.137893811992869</v>
      </c>
    </row>
    <row r="539" spans="1:24" s="4" customFormat="1" ht="15" customHeight="1">
      <c r="A539" s="28" t="s">
        <v>647</v>
      </c>
      <c r="B539" s="29">
        <v>3125.21</v>
      </c>
      <c r="C539" s="30" t="s">
        <v>888</v>
      </c>
      <c r="D539" s="2">
        <v>4948540087</v>
      </c>
      <c r="E539" s="2" t="s">
        <v>14</v>
      </c>
      <c r="F539" s="2" t="s">
        <v>889</v>
      </c>
      <c r="G539" s="28" t="s">
        <v>9</v>
      </c>
      <c r="H539" s="2" t="s">
        <v>23</v>
      </c>
      <c r="I539" s="2">
        <v>4</v>
      </c>
      <c r="J539" s="2"/>
      <c r="K539" s="2">
        <v>1951.2</v>
      </c>
      <c r="L539" s="35">
        <f t="shared" si="29"/>
        <v>6097909.7520000003</v>
      </c>
      <c r="M539" s="36">
        <v>120</v>
      </c>
      <c r="N539" s="40">
        <v>194533.56521739101</v>
      </c>
      <c r="O539" s="40">
        <v>89.478260869565204</v>
      </c>
      <c r="P539" s="40">
        <v>1763.73913043478</v>
      </c>
      <c r="Q539" s="40">
        <v>2851.04347826087</v>
      </c>
      <c r="R539" s="40">
        <v>27126.782608695699</v>
      </c>
      <c r="S539" s="40">
        <v>92440.695652173905</v>
      </c>
      <c r="T539" s="37">
        <v>30000</v>
      </c>
      <c r="U539" s="40">
        <v>73089.953271028004</v>
      </c>
      <c r="V539" s="40">
        <v>0</v>
      </c>
      <c r="W539" s="45">
        <f t="shared" si="30"/>
        <v>421895.25761885382</v>
      </c>
      <c r="X539" s="46">
        <f t="shared" si="31"/>
        <v>6.9186864807318615</v>
      </c>
    </row>
    <row r="540" spans="1:24" s="4" customFormat="1" ht="15" customHeight="1">
      <c r="A540" s="28" t="s">
        <v>647</v>
      </c>
      <c r="B540" s="29">
        <v>3125.21</v>
      </c>
      <c r="C540" s="30" t="s">
        <v>888</v>
      </c>
      <c r="D540" s="2">
        <v>4948494938</v>
      </c>
      <c r="E540" s="2" t="s">
        <v>14</v>
      </c>
      <c r="F540" s="2" t="s">
        <v>889</v>
      </c>
      <c r="G540" s="28" t="s">
        <v>9</v>
      </c>
      <c r="H540" s="2" t="s">
        <v>23</v>
      </c>
      <c r="I540" s="2">
        <v>4</v>
      </c>
      <c r="J540" s="2"/>
      <c r="K540" s="2">
        <v>138.80000000000001</v>
      </c>
      <c r="L540" s="35">
        <f t="shared" si="29"/>
        <v>433779.14800000004</v>
      </c>
      <c r="M540" s="36">
        <v>40</v>
      </c>
      <c r="N540" s="40">
        <v>64844.521739130403</v>
      </c>
      <c r="O540" s="40">
        <v>29.826086956521699</v>
      </c>
      <c r="P540" s="40">
        <v>587.91304347826099</v>
      </c>
      <c r="Q540" s="40">
        <v>950.34782608695696</v>
      </c>
      <c r="R540" s="40">
        <v>9042.2608695652198</v>
      </c>
      <c r="S540" s="40">
        <v>30813.5652173913</v>
      </c>
      <c r="T540" s="37">
        <v>30000</v>
      </c>
      <c r="U540" s="40">
        <v>24363.317757009299</v>
      </c>
      <c r="V540" s="40">
        <v>0</v>
      </c>
      <c r="W540" s="45">
        <f t="shared" si="30"/>
        <v>160631.75253961794</v>
      </c>
      <c r="X540" s="46">
        <f t="shared" si="31"/>
        <v>37.030768602002496</v>
      </c>
    </row>
    <row r="541" spans="1:24" s="4" customFormat="1" ht="15" customHeight="1">
      <c r="A541" s="28" t="s">
        <v>647</v>
      </c>
      <c r="B541" s="29">
        <v>3125.21</v>
      </c>
      <c r="C541" s="30" t="s">
        <v>888</v>
      </c>
      <c r="D541" s="2">
        <v>4948494938</v>
      </c>
      <c r="E541" s="2" t="s">
        <v>14</v>
      </c>
      <c r="F541" s="2" t="s">
        <v>889</v>
      </c>
      <c r="G541" s="28" t="s">
        <v>9</v>
      </c>
      <c r="H541" s="2" t="s">
        <v>23</v>
      </c>
      <c r="I541" s="2">
        <v>4</v>
      </c>
      <c r="J541" s="2"/>
      <c r="K541" s="2">
        <v>3045</v>
      </c>
      <c r="L541" s="35">
        <f t="shared" si="29"/>
        <v>9516264.4499999993</v>
      </c>
      <c r="M541" s="36">
        <v>60</v>
      </c>
      <c r="N541" s="40">
        <v>97266.782608695605</v>
      </c>
      <c r="O541" s="40">
        <v>44.739130434782602</v>
      </c>
      <c r="P541" s="40">
        <v>881.86956521739103</v>
      </c>
      <c r="Q541" s="40">
        <v>1425.52173913043</v>
      </c>
      <c r="R541" s="40">
        <v>13563.391304347801</v>
      </c>
      <c r="S541" s="40">
        <v>46220.347826087003</v>
      </c>
      <c r="T541" s="37">
        <v>30000</v>
      </c>
      <c r="U541" s="40">
        <v>36544.976635514002</v>
      </c>
      <c r="V541" s="40">
        <v>0</v>
      </c>
      <c r="W541" s="45">
        <f t="shared" si="30"/>
        <v>225947.62880942703</v>
      </c>
      <c r="X541" s="46">
        <f t="shared" si="31"/>
        <v>2.3743311253758512</v>
      </c>
    </row>
    <row r="542" spans="1:24" s="4" customFormat="1" ht="15" customHeight="1">
      <c r="A542" s="28" t="s">
        <v>647</v>
      </c>
      <c r="B542" s="29">
        <v>3125.21</v>
      </c>
      <c r="C542" s="30" t="s">
        <v>890</v>
      </c>
      <c r="D542" s="2">
        <v>4947974771</v>
      </c>
      <c r="E542" s="2" t="s">
        <v>18</v>
      </c>
      <c r="F542" s="2" t="s">
        <v>891</v>
      </c>
      <c r="G542" s="28" t="s">
        <v>9</v>
      </c>
      <c r="H542" s="2" t="s">
        <v>23</v>
      </c>
      <c r="I542" s="2">
        <v>5</v>
      </c>
      <c r="J542" s="2"/>
      <c r="K542" s="2" t="s">
        <v>892</v>
      </c>
      <c r="L542" s="35">
        <f t="shared" si="29"/>
        <v>21470192.699999999</v>
      </c>
      <c r="M542" s="36">
        <v>3000</v>
      </c>
      <c r="N542" s="37">
        <v>774874</v>
      </c>
      <c r="O542" s="37">
        <v>3956</v>
      </c>
      <c r="P542" s="37">
        <v>30471</v>
      </c>
      <c r="Q542" s="37">
        <v>48530</v>
      </c>
      <c r="R542" s="37">
        <v>400681</v>
      </c>
      <c r="S542" s="37">
        <v>354356</v>
      </c>
      <c r="T542" s="37">
        <v>30000</v>
      </c>
      <c r="U542" s="37">
        <v>1518567.96116505</v>
      </c>
      <c r="V542" s="37">
        <v>0</v>
      </c>
      <c r="W542" s="45">
        <f t="shared" si="30"/>
        <v>3161435.96116505</v>
      </c>
      <c r="X542" s="46">
        <f t="shared" si="31"/>
        <v>14.724767519972238</v>
      </c>
    </row>
    <row r="543" spans="1:24" s="4" customFormat="1" ht="15" customHeight="1">
      <c r="A543" s="28" t="s">
        <v>647</v>
      </c>
      <c r="B543" s="29">
        <v>3125.21</v>
      </c>
      <c r="C543" s="30" t="s">
        <v>893</v>
      </c>
      <c r="D543" s="2">
        <v>4943584080</v>
      </c>
      <c r="E543" s="2" t="s">
        <v>6</v>
      </c>
      <c r="F543" s="2" t="s">
        <v>894</v>
      </c>
      <c r="G543" s="28" t="s">
        <v>9</v>
      </c>
      <c r="H543" s="2" t="s">
        <v>23</v>
      </c>
      <c r="I543" s="2">
        <v>4</v>
      </c>
      <c r="J543" s="2"/>
      <c r="K543" s="2">
        <v>13104</v>
      </c>
      <c r="L543" s="35">
        <f t="shared" si="29"/>
        <v>40952751.840000004</v>
      </c>
      <c r="M543" s="36">
        <v>2880</v>
      </c>
      <c r="N543" s="37">
        <v>776308</v>
      </c>
      <c r="O543" s="37">
        <v>2331</v>
      </c>
      <c r="P543" s="37">
        <v>72471</v>
      </c>
      <c r="Q543" s="37">
        <v>57792</v>
      </c>
      <c r="R543" s="37">
        <v>137083</v>
      </c>
      <c r="S543" s="37">
        <v>354356</v>
      </c>
      <c r="T543" s="37">
        <v>30000</v>
      </c>
      <c r="U543" s="37">
        <v>1367700</v>
      </c>
      <c r="V543" s="37">
        <v>0</v>
      </c>
      <c r="W543" s="45">
        <f t="shared" si="30"/>
        <v>2798041</v>
      </c>
      <c r="X543" s="46">
        <f t="shared" si="31"/>
        <v>6.832363819974252</v>
      </c>
    </row>
    <row r="544" spans="1:24" s="4" customFormat="1" ht="15" customHeight="1">
      <c r="A544" s="28" t="s">
        <v>647</v>
      </c>
      <c r="B544" s="29">
        <v>3125.21</v>
      </c>
      <c r="C544" s="30" t="s">
        <v>895</v>
      </c>
      <c r="D544" s="2">
        <v>4947974774</v>
      </c>
      <c r="E544" s="2" t="s">
        <v>18</v>
      </c>
      <c r="F544" s="78" t="s">
        <v>896</v>
      </c>
      <c r="G544" s="28" t="s">
        <v>9</v>
      </c>
      <c r="H544" s="2" t="s">
        <v>23</v>
      </c>
      <c r="I544" s="2">
        <v>5</v>
      </c>
      <c r="J544" s="2"/>
      <c r="K544" s="2" t="s">
        <v>897</v>
      </c>
      <c r="L544" s="35">
        <f t="shared" si="29"/>
        <v>43994831.254000001</v>
      </c>
      <c r="M544" s="36">
        <v>1180</v>
      </c>
      <c r="N544" s="40">
        <v>311115.12145749002</v>
      </c>
      <c r="O544" s="40">
        <v>818.51551956815103</v>
      </c>
      <c r="P544" s="40">
        <v>12428.616734143099</v>
      </c>
      <c r="Q544" s="40">
        <v>19827.901484480401</v>
      </c>
      <c r="R544" s="40">
        <v>112884.67611335999</v>
      </c>
      <c r="S544" s="40">
        <v>141072.90148448001</v>
      </c>
      <c r="T544" s="37">
        <v>30000</v>
      </c>
      <c r="U544" s="40">
        <v>718717.87383177597</v>
      </c>
      <c r="V544" s="40">
        <v>0</v>
      </c>
      <c r="W544" s="45">
        <f t="shared" si="30"/>
        <v>1346865.6066252976</v>
      </c>
      <c r="X544" s="46">
        <f t="shared" si="31"/>
        <v>3.061417826219849</v>
      </c>
    </row>
    <row r="545" spans="1:24" s="4" customFormat="1" ht="15" customHeight="1">
      <c r="A545" s="28" t="s">
        <v>647</v>
      </c>
      <c r="B545" s="29">
        <v>3125.21</v>
      </c>
      <c r="C545" s="30" t="s">
        <v>895</v>
      </c>
      <c r="D545" s="2">
        <v>4947978372</v>
      </c>
      <c r="E545" s="2" t="s">
        <v>18</v>
      </c>
      <c r="F545" s="78" t="s">
        <v>896</v>
      </c>
      <c r="G545" s="28" t="s">
        <v>9</v>
      </c>
      <c r="H545" s="2" t="s">
        <v>23</v>
      </c>
      <c r="I545" s="2">
        <v>5</v>
      </c>
      <c r="J545" s="2"/>
      <c r="K545" s="2">
        <v>7892.64</v>
      </c>
      <c r="L545" s="35">
        <f t="shared" si="29"/>
        <v>24666157.454400003</v>
      </c>
      <c r="M545" s="36">
        <v>144</v>
      </c>
      <c r="N545" s="40">
        <v>37966.5910931174</v>
      </c>
      <c r="O545" s="40">
        <v>99.886639676113404</v>
      </c>
      <c r="P545" s="40">
        <v>1516.71255060729</v>
      </c>
      <c r="Q545" s="40">
        <v>2419.67611336032</v>
      </c>
      <c r="R545" s="40">
        <v>13775.757085020199</v>
      </c>
      <c r="S545" s="40">
        <v>17215.676113360299</v>
      </c>
      <c r="T545" s="37">
        <v>30000</v>
      </c>
      <c r="U545" s="40">
        <v>87707.943925233601</v>
      </c>
      <c r="V545" s="40">
        <v>0</v>
      </c>
      <c r="W545" s="45">
        <f t="shared" si="30"/>
        <v>190702.24352037522</v>
      </c>
      <c r="X545" s="46">
        <f t="shared" si="31"/>
        <v>0.77313316382141783</v>
      </c>
    </row>
    <row r="546" spans="1:24" s="4" customFormat="1" ht="15" customHeight="1">
      <c r="A546" s="28" t="s">
        <v>647</v>
      </c>
      <c r="B546" s="29">
        <v>3125.21</v>
      </c>
      <c r="C546" s="30" t="s">
        <v>895</v>
      </c>
      <c r="D546" s="2">
        <v>4947771846</v>
      </c>
      <c r="E546" s="2" t="s">
        <v>38</v>
      </c>
      <c r="F546" s="2" t="s">
        <v>896</v>
      </c>
      <c r="G546" s="28" t="s">
        <v>9</v>
      </c>
      <c r="H546" s="2" t="s">
        <v>23</v>
      </c>
      <c r="I546" s="2">
        <v>5</v>
      </c>
      <c r="J546" s="2"/>
      <c r="K546" s="2" t="s">
        <v>898</v>
      </c>
      <c r="L546" s="35">
        <f t="shared" si="29"/>
        <v>6740452.9280000003</v>
      </c>
      <c r="M546" s="36">
        <v>640</v>
      </c>
      <c r="N546" s="40">
        <v>168740.4048583</v>
      </c>
      <c r="O546" s="40">
        <v>443.940620782726</v>
      </c>
      <c r="P546" s="40">
        <v>6740.9446693657201</v>
      </c>
      <c r="Q546" s="40">
        <v>10754.116059379199</v>
      </c>
      <c r="R546" s="40">
        <v>61225.587044534397</v>
      </c>
      <c r="S546" s="40">
        <v>76514.116059379201</v>
      </c>
      <c r="T546" s="40"/>
      <c r="U546" s="40">
        <v>389813.08411215001</v>
      </c>
      <c r="V546" s="40">
        <v>0</v>
      </c>
      <c r="W546" s="45">
        <f t="shared" si="30"/>
        <v>714232.19342389121</v>
      </c>
      <c r="X546" s="46">
        <f t="shared" si="31"/>
        <v>10.596204751418913</v>
      </c>
    </row>
    <row r="547" spans="1:24" s="4" customFormat="1" ht="15" customHeight="1">
      <c r="A547" s="28" t="s">
        <v>647</v>
      </c>
      <c r="B547" s="29">
        <v>3125.21</v>
      </c>
      <c r="C547" s="30" t="s">
        <v>895</v>
      </c>
      <c r="D547" s="2">
        <v>4947771846</v>
      </c>
      <c r="E547" s="2" t="s">
        <v>38</v>
      </c>
      <c r="F547" s="2" t="s">
        <v>896</v>
      </c>
      <c r="G547" s="28" t="s">
        <v>9</v>
      </c>
      <c r="H547" s="2" t="s">
        <v>23</v>
      </c>
      <c r="I547" s="2">
        <v>5</v>
      </c>
      <c r="J547" s="2"/>
      <c r="K547" s="61" t="s">
        <v>899</v>
      </c>
      <c r="L547" s="35">
        <f t="shared" si="29"/>
        <v>10531957.699999999</v>
      </c>
      <c r="M547" s="41">
        <v>1000</v>
      </c>
      <c r="N547" s="40">
        <v>263656.88259109302</v>
      </c>
      <c r="O547" s="40">
        <v>693.65721997300898</v>
      </c>
      <c r="P547" s="40">
        <v>10532.726045883899</v>
      </c>
      <c r="Q547" s="40">
        <v>16803.306342780001</v>
      </c>
      <c r="R547" s="40">
        <v>95664.979757085006</v>
      </c>
      <c r="S547" s="40">
        <v>119553.30634277999</v>
      </c>
      <c r="T547" s="40"/>
      <c r="U547" s="40">
        <v>609082.94392523402</v>
      </c>
      <c r="V547" s="40">
        <v>0</v>
      </c>
      <c r="W547" s="45">
        <f t="shared" si="30"/>
        <v>1115987.8022248289</v>
      </c>
      <c r="X547" s="46">
        <f t="shared" si="31"/>
        <v>10.596204751418902</v>
      </c>
    </row>
    <row r="548" spans="1:24" s="4" customFormat="1" ht="15" customHeight="1">
      <c r="A548" s="28" t="s">
        <v>647</v>
      </c>
      <c r="B548" s="29">
        <v>3125.21</v>
      </c>
      <c r="C548" s="30" t="s">
        <v>900</v>
      </c>
      <c r="D548" s="2">
        <v>4948494944</v>
      </c>
      <c r="E548" s="2" t="s">
        <v>14</v>
      </c>
      <c r="F548" s="2" t="s">
        <v>901</v>
      </c>
      <c r="G548" s="28" t="s">
        <v>9</v>
      </c>
      <c r="H548" s="2" t="s">
        <v>23</v>
      </c>
      <c r="I548" s="2">
        <v>2</v>
      </c>
      <c r="J548" s="2"/>
      <c r="K548" s="2">
        <v>16628</v>
      </c>
      <c r="L548" s="35">
        <f t="shared" si="29"/>
        <v>51965991.880000003</v>
      </c>
      <c r="M548" s="36">
        <f>100+100+100+100</f>
        <v>400</v>
      </c>
      <c r="N548" s="37">
        <v>481594</v>
      </c>
      <c r="O548" s="37">
        <v>628</v>
      </c>
      <c r="P548" s="37">
        <v>4704</v>
      </c>
      <c r="Q548" s="37">
        <v>7484</v>
      </c>
      <c r="R548" s="37">
        <v>350471</v>
      </c>
      <c r="S548" s="37">
        <v>354356</v>
      </c>
      <c r="T548" s="37">
        <v>30000</v>
      </c>
      <c r="U548" s="37">
        <v>1367700</v>
      </c>
      <c r="V548" s="37">
        <v>0</v>
      </c>
      <c r="W548" s="45">
        <f t="shared" si="30"/>
        <v>2596937</v>
      </c>
      <c r="X548" s="46">
        <f t="shared" si="31"/>
        <v>4.9973779120715207</v>
      </c>
    </row>
    <row r="549" spans="1:24" s="4" customFormat="1" ht="15" customHeight="1">
      <c r="A549" s="28" t="s">
        <v>647</v>
      </c>
      <c r="B549" s="29">
        <v>3125.21</v>
      </c>
      <c r="C549" s="30" t="s">
        <v>902</v>
      </c>
      <c r="D549" s="2">
        <v>4948494942</v>
      </c>
      <c r="E549" s="2" t="s">
        <v>14</v>
      </c>
      <c r="F549" s="2" t="s">
        <v>903</v>
      </c>
      <c r="G549" s="28" t="s">
        <v>9</v>
      </c>
      <c r="H549" s="2" t="s">
        <v>23</v>
      </c>
      <c r="I549" s="2">
        <v>1</v>
      </c>
      <c r="J549" s="2"/>
      <c r="K549" s="2">
        <v>1592</v>
      </c>
      <c r="L549" s="35">
        <f t="shared" si="29"/>
        <v>4975334.32</v>
      </c>
      <c r="M549" s="36">
        <v>800</v>
      </c>
      <c r="N549" s="37">
        <v>548550</v>
      </c>
      <c r="O549" s="37">
        <v>494</v>
      </c>
      <c r="P549" s="37">
        <v>19535</v>
      </c>
      <c r="Q549" s="37">
        <v>15661</v>
      </c>
      <c r="R549" s="37">
        <v>96151</v>
      </c>
      <c r="S549" s="37">
        <v>354356</v>
      </c>
      <c r="T549" s="37">
        <v>30000</v>
      </c>
      <c r="U549" s="37">
        <v>621681.818181818</v>
      </c>
      <c r="V549" s="37">
        <v>615909.09090909106</v>
      </c>
      <c r="W549" s="45">
        <f t="shared" si="30"/>
        <v>2302337.9090909092</v>
      </c>
      <c r="X549" s="46">
        <f t="shared" si="31"/>
        <v>46.275039243813247</v>
      </c>
    </row>
    <row r="550" spans="1:24" s="4" customFormat="1" ht="15" customHeight="1">
      <c r="A550" s="28" t="s">
        <v>647</v>
      </c>
      <c r="B550" s="29">
        <v>3125.21</v>
      </c>
      <c r="C550" s="30" t="s">
        <v>904</v>
      </c>
      <c r="D550" s="2">
        <v>4947642965</v>
      </c>
      <c r="E550" s="2" t="s">
        <v>14</v>
      </c>
      <c r="F550" s="2" t="s">
        <v>905</v>
      </c>
      <c r="G550" s="28" t="s">
        <v>5</v>
      </c>
      <c r="H550" s="2" t="s">
        <v>20</v>
      </c>
      <c r="I550" s="2">
        <v>1</v>
      </c>
      <c r="J550" s="2" t="s">
        <v>906</v>
      </c>
      <c r="K550" s="2">
        <v>22008</v>
      </c>
      <c r="L550" s="35">
        <f t="shared" si="29"/>
        <v>68779621.680000007</v>
      </c>
      <c r="M550" s="36">
        <f>210+8190</f>
        <v>8400</v>
      </c>
      <c r="N550" s="37">
        <v>316307</v>
      </c>
      <c r="O550" s="37">
        <v>318682</v>
      </c>
      <c r="P550" s="37">
        <v>0</v>
      </c>
      <c r="Q550" s="37">
        <v>99309</v>
      </c>
      <c r="R550" s="37">
        <v>622399</v>
      </c>
      <c r="S550" s="37">
        <v>343435</v>
      </c>
      <c r="T550" s="37">
        <v>30000</v>
      </c>
      <c r="U550" s="37">
        <v>2601700</v>
      </c>
      <c r="V550" s="37">
        <v>0</v>
      </c>
      <c r="W550" s="45">
        <f t="shared" si="30"/>
        <v>4331832</v>
      </c>
      <c r="X550" s="46">
        <f t="shared" si="31"/>
        <v>6.2981329268631701</v>
      </c>
    </row>
    <row r="551" spans="1:24" s="4" customFormat="1" ht="15" customHeight="1">
      <c r="A551" s="28" t="s">
        <v>647</v>
      </c>
      <c r="B551" s="29">
        <v>3125.21</v>
      </c>
      <c r="C551" s="30" t="s">
        <v>907</v>
      </c>
      <c r="D551" s="2">
        <v>4948101016</v>
      </c>
      <c r="E551" s="2" t="s">
        <v>33</v>
      </c>
      <c r="F551" s="78" t="s">
        <v>908</v>
      </c>
      <c r="G551" s="28" t="s">
        <v>5</v>
      </c>
      <c r="H551" s="2" t="s">
        <v>20</v>
      </c>
      <c r="I551" s="2">
        <v>2</v>
      </c>
      <c r="J551" s="2" t="s">
        <v>909</v>
      </c>
      <c r="K551" s="2">
        <v>54252</v>
      </c>
      <c r="L551" s="35">
        <f t="shared" si="29"/>
        <v>169548892.92000002</v>
      </c>
      <c r="M551" s="36">
        <v>39600</v>
      </c>
      <c r="N551" s="37">
        <v>2355449</v>
      </c>
      <c r="O551" s="37">
        <v>594177</v>
      </c>
      <c r="P551" s="37">
        <v>488932</v>
      </c>
      <c r="Q551" s="37">
        <v>233878</v>
      </c>
      <c r="R551" s="37">
        <v>1185365</v>
      </c>
      <c r="S551" s="37">
        <v>343435</v>
      </c>
      <c r="T551" s="37"/>
      <c r="U551" s="37">
        <v>7694200</v>
      </c>
      <c r="V551" s="37">
        <v>0</v>
      </c>
      <c r="W551" s="45">
        <f t="shared" si="30"/>
        <v>12895436</v>
      </c>
      <c r="X551" s="46">
        <f t="shared" si="31"/>
        <v>7.6057329410488013</v>
      </c>
    </row>
    <row r="552" spans="1:24" s="4" customFormat="1" ht="15" customHeight="1">
      <c r="A552" s="28" t="s">
        <v>647</v>
      </c>
      <c r="B552" s="29">
        <v>3125.21</v>
      </c>
      <c r="C552" s="30" t="s">
        <v>910</v>
      </c>
      <c r="D552" s="2">
        <v>4947222243</v>
      </c>
      <c r="E552" s="2" t="s">
        <v>6</v>
      </c>
      <c r="F552" s="2" t="s">
        <v>911</v>
      </c>
      <c r="G552" s="28" t="s">
        <v>5</v>
      </c>
      <c r="H552" s="2" t="s">
        <v>17</v>
      </c>
      <c r="I552" s="2">
        <v>1</v>
      </c>
      <c r="J552" s="2" t="s">
        <v>912</v>
      </c>
      <c r="K552" s="2">
        <f>156154+73766+36404+31614+479+479</f>
        <v>298896</v>
      </c>
      <c r="L552" s="35">
        <f t="shared" si="29"/>
        <v>934112768.15999997</v>
      </c>
      <c r="M552" s="36">
        <v>13110</v>
      </c>
      <c r="N552" s="40">
        <v>315347.84210526297</v>
      </c>
      <c r="O552" s="37">
        <v>464862.54185381799</v>
      </c>
      <c r="P552" s="40">
        <v>0</v>
      </c>
      <c r="Q552" s="37">
        <v>110755.142915476</v>
      </c>
      <c r="R552" s="40">
        <v>580915.15789473697</v>
      </c>
      <c r="S552" s="40">
        <v>242454.10526315801</v>
      </c>
      <c r="T552" s="37">
        <v>30000</v>
      </c>
      <c r="U552" s="40">
        <v>2773823.68421053</v>
      </c>
      <c r="V552" s="40">
        <v>913421.05263157899</v>
      </c>
      <c r="W552" s="45">
        <f t="shared" si="30"/>
        <v>5431579.5268745609</v>
      </c>
      <c r="X552" s="46">
        <f t="shared" si="31"/>
        <v>0.58146935916244857</v>
      </c>
    </row>
    <row r="553" spans="1:24" s="4" customFormat="1" ht="15" customHeight="1">
      <c r="A553" s="28" t="s">
        <v>647</v>
      </c>
      <c r="B553" s="29">
        <v>3125.21</v>
      </c>
      <c r="C553" s="30" t="s">
        <v>910</v>
      </c>
      <c r="D553" s="2">
        <v>4947189185</v>
      </c>
      <c r="E553" s="2" t="s">
        <v>6</v>
      </c>
      <c r="F553" s="2" t="s">
        <v>911</v>
      </c>
      <c r="G553" s="28" t="s">
        <v>5</v>
      </c>
      <c r="H553" s="2" t="s">
        <v>17</v>
      </c>
      <c r="I553" s="2">
        <v>1</v>
      </c>
      <c r="J553" s="2" t="s">
        <v>912</v>
      </c>
      <c r="K553" s="2">
        <v>26064</v>
      </c>
      <c r="L553" s="35">
        <f t="shared" si="29"/>
        <v>81455473.439999998</v>
      </c>
      <c r="M553" s="36">
        <v>1584</v>
      </c>
      <c r="N553" s="40">
        <v>145545.157894737</v>
      </c>
      <c r="O553" s="40">
        <v>56166.4581461821</v>
      </c>
      <c r="P553" s="40">
        <v>0</v>
      </c>
      <c r="Q553" s="40">
        <v>13381.857084524299</v>
      </c>
      <c r="R553" s="40">
        <v>268114.84210526297</v>
      </c>
      <c r="S553" s="40">
        <v>111901.894736842</v>
      </c>
      <c r="T553" s="37">
        <v>30000</v>
      </c>
      <c r="U553" s="40">
        <v>1280226.31578947</v>
      </c>
      <c r="V553" s="40">
        <v>421578.94736842101</v>
      </c>
      <c r="W553" s="45">
        <f t="shared" si="30"/>
        <v>2326915.4731254396</v>
      </c>
      <c r="X553" s="46">
        <f t="shared" si="31"/>
        <v>2.8566717187390025</v>
      </c>
    </row>
    <row r="554" spans="1:24" s="4" customFormat="1" ht="15" customHeight="1">
      <c r="A554" s="28" t="s">
        <v>647</v>
      </c>
      <c r="B554" s="29">
        <v>3125.21</v>
      </c>
      <c r="C554" s="30" t="s">
        <v>913</v>
      </c>
      <c r="D554" s="2">
        <v>4947466172</v>
      </c>
      <c r="E554" s="2" t="s">
        <v>24</v>
      </c>
      <c r="F554" s="2">
        <v>1024631091</v>
      </c>
      <c r="G554" s="28" t="s">
        <v>13</v>
      </c>
      <c r="H554" s="2" t="s">
        <v>23</v>
      </c>
      <c r="I554" s="2">
        <v>2</v>
      </c>
      <c r="J554" s="2"/>
      <c r="K554" s="2">
        <v>28533.15</v>
      </c>
      <c r="L554" s="35">
        <f t="shared" si="29"/>
        <v>89172085.711500004</v>
      </c>
      <c r="M554" s="36">
        <v>60.79</v>
      </c>
      <c r="N554" s="37">
        <v>703656.59</v>
      </c>
      <c r="O554" s="37">
        <v>0</v>
      </c>
      <c r="P554" s="37">
        <v>460584</v>
      </c>
      <c r="Q554" s="37">
        <v>0</v>
      </c>
      <c r="R554" s="37">
        <v>39100</v>
      </c>
      <c r="S554" s="37">
        <v>354356</v>
      </c>
      <c r="T554" s="37"/>
      <c r="U554" s="37">
        <v>246380</v>
      </c>
      <c r="V554" s="37">
        <v>0</v>
      </c>
      <c r="W554" s="45">
        <f t="shared" si="30"/>
        <v>1804076.5899999999</v>
      </c>
      <c r="X554" s="46">
        <f t="shared" si="31"/>
        <v>2.0231405104022802</v>
      </c>
    </row>
    <row r="555" spans="1:24" s="4" customFormat="1" ht="15" customHeight="1">
      <c r="A555" s="28" t="s">
        <v>647</v>
      </c>
      <c r="B555" s="29">
        <v>3125.21</v>
      </c>
      <c r="C555" s="30" t="s">
        <v>914</v>
      </c>
      <c r="D555" s="2">
        <v>4948116683</v>
      </c>
      <c r="E555" s="2" t="s">
        <v>24</v>
      </c>
      <c r="F555" s="2" t="s">
        <v>915</v>
      </c>
      <c r="G555" s="28" t="s">
        <v>5</v>
      </c>
      <c r="H555" s="2" t="s">
        <v>26</v>
      </c>
      <c r="I555" s="2">
        <v>2</v>
      </c>
      <c r="J555" s="2" t="s">
        <v>916</v>
      </c>
      <c r="K555" s="2">
        <f>27863.2+27793.6</f>
        <v>55656.800000000003</v>
      </c>
      <c r="L555" s="35">
        <f t="shared" si="29"/>
        <v>173939187.928</v>
      </c>
      <c r="M555" s="36">
        <f>24020+23960</f>
        <v>47980</v>
      </c>
      <c r="N555" s="37">
        <v>612672</v>
      </c>
      <c r="O555" s="37">
        <v>741456</v>
      </c>
      <c r="P555" s="37">
        <v>424622</v>
      </c>
      <c r="Q555" s="37">
        <v>203900</v>
      </c>
      <c r="R555" s="37">
        <v>1492165</v>
      </c>
      <c r="S555" s="37">
        <v>354356</v>
      </c>
      <c r="T555" s="37"/>
      <c r="U555" s="37">
        <v>4838588</v>
      </c>
      <c r="V555" s="37">
        <v>0</v>
      </c>
      <c r="W555" s="45">
        <f t="shared" si="30"/>
        <v>8667759</v>
      </c>
      <c r="X555" s="46">
        <f t="shared" si="31"/>
        <v>4.983212295775413</v>
      </c>
    </row>
    <row r="556" spans="1:24" s="4" customFormat="1" ht="15" customHeight="1">
      <c r="A556" s="28" t="s">
        <v>647</v>
      </c>
      <c r="B556" s="29">
        <v>3125.21</v>
      </c>
      <c r="C556" s="30" t="s">
        <v>917</v>
      </c>
      <c r="D556" s="2">
        <v>4948561421</v>
      </c>
      <c r="E556" s="2" t="s">
        <v>24</v>
      </c>
      <c r="F556" s="2" t="s">
        <v>918</v>
      </c>
      <c r="G556" s="28" t="s">
        <v>9</v>
      </c>
      <c r="H556" s="2" t="s">
        <v>23</v>
      </c>
      <c r="I556" s="2">
        <v>3</v>
      </c>
      <c r="J556" s="2"/>
      <c r="K556" s="2">
        <v>4590</v>
      </c>
      <c r="L556" s="35">
        <f t="shared" si="29"/>
        <v>14344713.9</v>
      </c>
      <c r="M556" s="36">
        <v>3000</v>
      </c>
      <c r="N556" s="37">
        <v>600302</v>
      </c>
      <c r="O556" s="37">
        <v>0</v>
      </c>
      <c r="P556" s="37">
        <v>82756</v>
      </c>
      <c r="Q556" s="37">
        <v>46411</v>
      </c>
      <c r="R556" s="37">
        <v>151592</v>
      </c>
      <c r="S556" s="37">
        <v>354356</v>
      </c>
      <c r="T556" s="37"/>
      <c r="U556" s="37">
        <v>557750</v>
      </c>
      <c r="V556" s="37">
        <v>0</v>
      </c>
      <c r="W556" s="45">
        <f t="shared" si="30"/>
        <v>1793167</v>
      </c>
      <c r="X556" s="46">
        <f t="shared" si="31"/>
        <v>12.500542098647225</v>
      </c>
    </row>
    <row r="557" spans="1:24" s="4" customFormat="1" ht="15" customHeight="1">
      <c r="A557" s="28" t="s">
        <v>647</v>
      </c>
      <c r="B557" s="29">
        <v>3125.21</v>
      </c>
      <c r="C557" s="30" t="s">
        <v>919</v>
      </c>
      <c r="D557" s="2">
        <v>4948149080</v>
      </c>
      <c r="E557" s="2" t="s">
        <v>27</v>
      </c>
      <c r="F557" s="2" t="s">
        <v>920</v>
      </c>
      <c r="G557" s="28" t="s">
        <v>9</v>
      </c>
      <c r="H557" s="2" t="s">
        <v>23</v>
      </c>
      <c r="I557" s="2">
        <v>2</v>
      </c>
      <c r="J557" s="2"/>
      <c r="K557" s="2">
        <v>2004</v>
      </c>
      <c r="L557" s="35">
        <f t="shared" si="29"/>
        <v>6262920.8399999999</v>
      </c>
      <c r="M557" s="36">
        <v>553.20000000000005</v>
      </c>
      <c r="N557" s="37">
        <v>635318</v>
      </c>
      <c r="O557" s="37">
        <v>405</v>
      </c>
      <c r="P557" s="37">
        <v>0</v>
      </c>
      <c r="Q557" s="37">
        <v>12440</v>
      </c>
      <c r="R557" s="37">
        <v>93097</v>
      </c>
      <c r="S557" s="37">
        <v>354356</v>
      </c>
      <c r="T557" s="37"/>
      <c r="U557" s="37">
        <v>1367700</v>
      </c>
      <c r="V557" s="37">
        <v>0</v>
      </c>
      <c r="W557" s="45">
        <f t="shared" si="30"/>
        <v>2463316</v>
      </c>
      <c r="X557" s="46">
        <f t="shared" si="31"/>
        <v>39.331744132343211</v>
      </c>
    </row>
    <row r="558" spans="1:24" s="4" customFormat="1" ht="15" customHeight="1">
      <c r="A558" s="54" t="s">
        <v>647</v>
      </c>
      <c r="B558" s="29">
        <v>3125.21</v>
      </c>
      <c r="C558" s="30" t="s">
        <v>921</v>
      </c>
      <c r="D558" s="2">
        <v>4948407500</v>
      </c>
      <c r="E558" s="2" t="s">
        <v>14</v>
      </c>
      <c r="F558" s="78" t="s">
        <v>922</v>
      </c>
      <c r="G558" s="28" t="s">
        <v>13</v>
      </c>
      <c r="H558" s="2" t="s">
        <v>23</v>
      </c>
      <c r="I558" s="2">
        <v>1</v>
      </c>
      <c r="J558" s="2"/>
      <c r="K558" s="2">
        <v>13169</v>
      </c>
      <c r="L558" s="35">
        <f t="shared" si="29"/>
        <v>41155890.490000002</v>
      </c>
      <c r="M558" s="36">
        <v>50</v>
      </c>
      <c r="N558" s="37">
        <v>445182</v>
      </c>
      <c r="O558" s="37">
        <v>0</v>
      </c>
      <c r="P558" s="37">
        <v>200000</v>
      </c>
      <c r="Q558" s="37">
        <v>0</v>
      </c>
      <c r="R558" s="37">
        <v>5425</v>
      </c>
      <c r="S558" s="37">
        <v>343435</v>
      </c>
      <c r="T558" s="37">
        <v>30000</v>
      </c>
      <c r="U558" s="37">
        <v>246380</v>
      </c>
      <c r="V558" s="37">
        <v>0</v>
      </c>
      <c r="W558" s="45">
        <f t="shared" si="30"/>
        <v>1270422</v>
      </c>
      <c r="X558" s="46">
        <f t="shared" si="31"/>
        <v>3.0868533881163023</v>
      </c>
    </row>
    <row r="559" spans="1:24" s="4" customFormat="1" ht="15" customHeight="1">
      <c r="A559" s="28" t="s">
        <v>647</v>
      </c>
      <c r="B559" s="29">
        <v>3125.21</v>
      </c>
      <c r="C559" s="30" t="s">
        <v>923</v>
      </c>
      <c r="D559" s="2">
        <v>4947917126</v>
      </c>
      <c r="E559" s="2" t="s">
        <v>14</v>
      </c>
      <c r="F559" s="2" t="s">
        <v>924</v>
      </c>
      <c r="G559" s="28" t="s">
        <v>5</v>
      </c>
      <c r="H559" s="2" t="s">
        <v>17</v>
      </c>
      <c r="I559" s="2">
        <v>1</v>
      </c>
      <c r="J559" s="2" t="s">
        <v>925</v>
      </c>
      <c r="K559" s="2">
        <v>35035</v>
      </c>
      <c r="L559" s="35">
        <f t="shared" si="29"/>
        <v>109491732.34999999</v>
      </c>
      <c r="M559" s="36">
        <v>3500</v>
      </c>
      <c r="N559" s="40">
        <v>48266.587112171801</v>
      </c>
      <c r="O559" s="40">
        <v>62774.1592536342</v>
      </c>
      <c r="P559" s="40">
        <v>0</v>
      </c>
      <c r="Q559" s="40">
        <v>15082.729442395301</v>
      </c>
      <c r="R559" s="40">
        <v>117366.85333044</v>
      </c>
      <c r="S559" s="40">
        <v>53818.442178346697</v>
      </c>
      <c r="T559" s="37">
        <v>30000</v>
      </c>
      <c r="U559" s="40">
        <v>763036.45042308501</v>
      </c>
      <c r="V559" s="40">
        <v>202755.47841180299</v>
      </c>
      <c r="W559" s="45">
        <f t="shared" si="30"/>
        <v>1293100.7001518761</v>
      </c>
      <c r="X559" s="46">
        <f t="shared" si="31"/>
        <v>1.1810030514617904</v>
      </c>
    </row>
    <row r="560" spans="1:24" s="4" customFormat="1" ht="15" customHeight="1">
      <c r="A560" s="28" t="s">
        <v>647</v>
      </c>
      <c r="B560" s="29">
        <v>3125.21</v>
      </c>
      <c r="C560" s="30" t="s">
        <v>923</v>
      </c>
      <c r="D560" s="2">
        <v>4947945344</v>
      </c>
      <c r="E560" s="2" t="s">
        <v>14</v>
      </c>
      <c r="F560" s="2" t="s">
        <v>924</v>
      </c>
      <c r="G560" s="28" t="s">
        <v>5</v>
      </c>
      <c r="H560" s="2" t="s">
        <v>17</v>
      </c>
      <c r="I560" s="2">
        <v>1</v>
      </c>
      <c r="J560" s="2" t="s">
        <v>925</v>
      </c>
      <c r="K560" s="2">
        <v>1839.2</v>
      </c>
      <c r="L560" s="35">
        <f t="shared" si="29"/>
        <v>5747886.2319999998</v>
      </c>
      <c r="M560" s="36">
        <v>880</v>
      </c>
      <c r="N560" s="40">
        <v>12135.5990453461</v>
      </c>
      <c r="O560" s="40">
        <v>15783.217183770899</v>
      </c>
      <c r="P560" s="40">
        <v>0</v>
      </c>
      <c r="Q560" s="40">
        <v>3792.22911694511</v>
      </c>
      <c r="R560" s="40">
        <v>29508.911694510702</v>
      </c>
      <c r="S560" s="40">
        <v>13531.494033412901</v>
      </c>
      <c r="T560" s="37">
        <v>30000</v>
      </c>
      <c r="U560" s="40">
        <v>191849.16467780399</v>
      </c>
      <c r="V560" s="40">
        <v>50978.520286396197</v>
      </c>
      <c r="W560" s="45">
        <f t="shared" si="30"/>
        <v>347579.13603818591</v>
      </c>
      <c r="X560" s="46">
        <f t="shared" si="31"/>
        <v>6.0470775170030526</v>
      </c>
    </row>
    <row r="561" spans="1:24" s="4" customFormat="1" ht="15" customHeight="1">
      <c r="A561" s="28" t="s">
        <v>647</v>
      </c>
      <c r="B561" s="29">
        <v>3125.21</v>
      </c>
      <c r="C561" s="30" t="s">
        <v>923</v>
      </c>
      <c r="D561" s="2">
        <v>4947774259</v>
      </c>
      <c r="E561" s="2" t="s">
        <v>14</v>
      </c>
      <c r="F561" s="2" t="s">
        <v>924</v>
      </c>
      <c r="G561" s="28" t="s">
        <v>5</v>
      </c>
      <c r="H561" s="2" t="s">
        <v>17</v>
      </c>
      <c r="I561" s="2">
        <v>1</v>
      </c>
      <c r="J561" s="2" t="s">
        <v>925</v>
      </c>
      <c r="K561" s="2">
        <v>30996</v>
      </c>
      <c r="L561" s="35">
        <f t="shared" si="29"/>
        <v>96869009.159999996</v>
      </c>
      <c r="M561" s="36">
        <v>16400</v>
      </c>
      <c r="N561" s="40">
        <v>226163.436754177</v>
      </c>
      <c r="O561" s="40">
        <v>294141.77478845703</v>
      </c>
      <c r="P561" s="40">
        <v>0</v>
      </c>
      <c r="Q561" s="40">
        <v>70673.360815795197</v>
      </c>
      <c r="R561" s="40">
        <v>549947.62703406403</v>
      </c>
      <c r="S561" s="40">
        <v>252177.84334996701</v>
      </c>
      <c r="T561" s="37">
        <v>30000</v>
      </c>
      <c r="U561" s="40">
        <v>3575370.7962681698</v>
      </c>
      <c r="V561" s="40">
        <v>950054.24170102004</v>
      </c>
      <c r="W561" s="45">
        <f t="shared" si="30"/>
        <v>5948529.0807116497</v>
      </c>
      <c r="X561" s="46">
        <f t="shared" si="31"/>
        <v>6.1407968681566416</v>
      </c>
    </row>
    <row r="562" spans="1:24" s="4" customFormat="1" ht="15" customHeight="1">
      <c r="A562" s="28" t="s">
        <v>647</v>
      </c>
      <c r="B562" s="29">
        <v>3125.21</v>
      </c>
      <c r="C562" s="30" t="s">
        <v>923</v>
      </c>
      <c r="D562" s="2">
        <v>4948242163</v>
      </c>
      <c r="E562" s="2" t="s">
        <v>14</v>
      </c>
      <c r="F562" s="2" t="s">
        <v>924</v>
      </c>
      <c r="G562" s="28" t="s">
        <v>5</v>
      </c>
      <c r="H562" s="2" t="s">
        <v>17</v>
      </c>
      <c r="I562" s="2">
        <v>1</v>
      </c>
      <c r="J562" s="2" t="s">
        <v>925</v>
      </c>
      <c r="K562" s="2">
        <v>2856</v>
      </c>
      <c r="L562" s="35">
        <f t="shared" si="29"/>
        <v>8925599.7599999998</v>
      </c>
      <c r="M562" s="36">
        <v>525</v>
      </c>
      <c r="N562" s="40">
        <v>7239.9880668257802</v>
      </c>
      <c r="O562" s="40">
        <v>9416.1238880451292</v>
      </c>
      <c r="P562" s="40">
        <v>0</v>
      </c>
      <c r="Q562" s="40">
        <v>2262.4094163592999</v>
      </c>
      <c r="R562" s="40">
        <v>17604.5779995661</v>
      </c>
      <c r="S562" s="40">
        <v>8072.7663267520102</v>
      </c>
      <c r="T562" s="37">
        <v>30000</v>
      </c>
      <c r="U562" s="40">
        <v>114455.467563463</v>
      </c>
      <c r="V562" s="40">
        <v>30413.321761770399</v>
      </c>
      <c r="W562" s="45">
        <f t="shared" si="30"/>
        <v>219464.65502278172</v>
      </c>
      <c r="X562" s="46">
        <f t="shared" si="31"/>
        <v>2.4588224984757967</v>
      </c>
    </row>
    <row r="563" spans="1:24" s="4" customFormat="1" ht="15" customHeight="1">
      <c r="A563" s="28" t="s">
        <v>647</v>
      </c>
      <c r="B563" s="29">
        <v>3125.21</v>
      </c>
      <c r="C563" s="30" t="s">
        <v>923</v>
      </c>
      <c r="D563" s="2">
        <v>4948242163</v>
      </c>
      <c r="E563" s="2" t="s">
        <v>14</v>
      </c>
      <c r="F563" s="2" t="s">
        <v>924</v>
      </c>
      <c r="G563" s="28" t="s">
        <v>5</v>
      </c>
      <c r="H563" s="2" t="s">
        <v>17</v>
      </c>
      <c r="I563" s="2">
        <v>1</v>
      </c>
      <c r="J563" s="2" t="s">
        <v>925</v>
      </c>
      <c r="K563" s="2">
        <v>570</v>
      </c>
      <c r="L563" s="35">
        <f t="shared" si="29"/>
        <v>1781369.7</v>
      </c>
      <c r="M563" s="36">
        <v>40</v>
      </c>
      <c r="N563" s="40">
        <v>551.61813842482104</v>
      </c>
      <c r="O563" s="40">
        <v>717.41896289867702</v>
      </c>
      <c r="P563" s="40">
        <v>0</v>
      </c>
      <c r="Q563" s="40">
        <v>172.374050770232</v>
      </c>
      <c r="R563" s="40">
        <v>1341.58689520503</v>
      </c>
      <c r="S563" s="40">
        <v>615.06791060967703</v>
      </c>
      <c r="T563" s="37">
        <v>30000</v>
      </c>
      <c r="U563" s="40">
        <v>8720.4165762638295</v>
      </c>
      <c r="V563" s="40">
        <v>2317.2054675634599</v>
      </c>
      <c r="W563" s="45">
        <f t="shared" si="30"/>
        <v>44435.688001735725</v>
      </c>
      <c r="X563" s="46">
        <f t="shared" si="31"/>
        <v>2.4944674876717468</v>
      </c>
    </row>
    <row r="564" spans="1:24" s="4" customFormat="1" ht="15" customHeight="1">
      <c r="A564" s="28" t="s">
        <v>647</v>
      </c>
      <c r="B564" s="29">
        <v>3125.21</v>
      </c>
      <c r="C564" s="30" t="s">
        <v>923</v>
      </c>
      <c r="D564" s="2">
        <v>4948242163</v>
      </c>
      <c r="E564" s="2" t="s">
        <v>14</v>
      </c>
      <c r="F564" s="2" t="s">
        <v>924</v>
      </c>
      <c r="G564" s="28" t="s">
        <v>5</v>
      </c>
      <c r="H564" s="2" t="s">
        <v>17</v>
      </c>
      <c r="I564" s="2">
        <v>1</v>
      </c>
      <c r="J564" s="2" t="s">
        <v>925</v>
      </c>
      <c r="K564" s="2">
        <v>8134</v>
      </c>
      <c r="L564" s="35">
        <f t="shared" si="29"/>
        <v>25420458.140000001</v>
      </c>
      <c r="M564" s="36">
        <f>875+525</f>
        <v>1400</v>
      </c>
      <c r="N564" s="40">
        <v>19306.634844868699</v>
      </c>
      <c r="O564" s="40">
        <v>25109.663701453701</v>
      </c>
      <c r="P564" s="40">
        <v>0</v>
      </c>
      <c r="Q564" s="40">
        <v>6033.0917769581201</v>
      </c>
      <c r="R564" s="40">
        <v>46946.541332176203</v>
      </c>
      <c r="S564" s="40">
        <v>21527.3768713387</v>
      </c>
      <c r="T564" s="37">
        <v>30000</v>
      </c>
      <c r="U564" s="40">
        <v>305214.58016923402</v>
      </c>
      <c r="V564" s="40">
        <v>81102.191364721206</v>
      </c>
      <c r="W564" s="45">
        <f t="shared" si="30"/>
        <v>535240.0800607506</v>
      </c>
      <c r="X564" s="46">
        <f t="shared" si="31"/>
        <v>2.1055485196725514</v>
      </c>
    </row>
    <row r="565" spans="1:24" s="4" customFormat="1" ht="15" customHeight="1">
      <c r="A565" s="28" t="s">
        <v>647</v>
      </c>
      <c r="B565" s="29">
        <v>3125.21</v>
      </c>
      <c r="C565" s="30" t="s">
        <v>923</v>
      </c>
      <c r="D565" s="2">
        <v>4948210658</v>
      </c>
      <c r="E565" s="2" t="s">
        <v>14</v>
      </c>
      <c r="F565" s="2" t="s">
        <v>924</v>
      </c>
      <c r="G565" s="28" t="s">
        <v>5</v>
      </c>
      <c r="H565" s="2" t="s">
        <v>17</v>
      </c>
      <c r="I565" s="2">
        <v>1</v>
      </c>
      <c r="J565" s="2" t="s">
        <v>925</v>
      </c>
      <c r="K565" s="2">
        <v>5724</v>
      </c>
      <c r="L565" s="35">
        <f t="shared" si="29"/>
        <v>17888702.039999999</v>
      </c>
      <c r="M565" s="36">
        <v>300</v>
      </c>
      <c r="N565" s="40">
        <v>4137.1360381861596</v>
      </c>
      <c r="O565" s="40">
        <v>5380.6422217400705</v>
      </c>
      <c r="P565" s="40">
        <v>0</v>
      </c>
      <c r="Q565" s="40">
        <v>1292.8053807767401</v>
      </c>
      <c r="R565" s="40">
        <v>10059.9017140377</v>
      </c>
      <c r="S565" s="40">
        <v>4613.0093295725801</v>
      </c>
      <c r="T565" s="37">
        <v>30000</v>
      </c>
      <c r="U565" s="40">
        <v>65403.124321978699</v>
      </c>
      <c r="V565" s="40">
        <v>17379.041006726002</v>
      </c>
      <c r="W565" s="45">
        <f t="shared" si="30"/>
        <v>138265.66001301794</v>
      </c>
      <c r="X565" s="46">
        <f t="shared" si="31"/>
        <v>0.7729217005451221</v>
      </c>
    </row>
    <row r="566" spans="1:24" s="4" customFormat="1" ht="15" customHeight="1">
      <c r="A566" s="28" t="s">
        <v>647</v>
      </c>
      <c r="B566" s="29">
        <v>3125.21</v>
      </c>
      <c r="C566" s="30" t="s">
        <v>926</v>
      </c>
      <c r="D566" s="2">
        <v>4947807440</v>
      </c>
      <c r="E566" s="2" t="s">
        <v>33</v>
      </c>
      <c r="F566" s="2" t="s">
        <v>927</v>
      </c>
      <c r="G566" s="28" t="s">
        <v>5</v>
      </c>
      <c r="H566" s="2" t="s">
        <v>20</v>
      </c>
      <c r="I566" s="2">
        <v>1</v>
      </c>
      <c r="J566" s="2" t="s">
        <v>928</v>
      </c>
      <c r="K566" s="2">
        <v>12945.29</v>
      </c>
      <c r="L566" s="35">
        <f t="shared" si="29"/>
        <v>40456749.760900006</v>
      </c>
      <c r="M566" s="36">
        <v>8573.0400000000009</v>
      </c>
      <c r="N566" s="37">
        <v>317801</v>
      </c>
      <c r="O566" s="37">
        <v>315061</v>
      </c>
      <c r="P566" s="37">
        <v>0</v>
      </c>
      <c r="Q566" s="37">
        <v>99309</v>
      </c>
      <c r="R566" s="37">
        <v>788883</v>
      </c>
      <c r="S566" s="37">
        <v>354356</v>
      </c>
      <c r="T566" s="37"/>
      <c r="U566" s="37">
        <v>2410000</v>
      </c>
      <c r="V566" s="37">
        <v>0</v>
      </c>
      <c r="W566" s="45">
        <f t="shared" si="30"/>
        <v>4285410</v>
      </c>
      <c r="X566" s="46">
        <f t="shared" si="31"/>
        <v>10.592571141594016</v>
      </c>
    </row>
    <row r="567" spans="1:24" s="4" customFormat="1" ht="15" customHeight="1">
      <c r="A567" s="28" t="s">
        <v>647</v>
      </c>
      <c r="B567" s="29">
        <v>3125.21</v>
      </c>
      <c r="C567" s="30" t="s">
        <v>929</v>
      </c>
      <c r="D567" s="2">
        <v>4942476056</v>
      </c>
      <c r="E567" s="2" t="s">
        <v>6</v>
      </c>
      <c r="F567" s="2" t="s">
        <v>930</v>
      </c>
      <c r="G567" s="28" t="s">
        <v>9</v>
      </c>
      <c r="H567" s="2" t="s">
        <v>23</v>
      </c>
      <c r="I567" s="2">
        <v>1</v>
      </c>
      <c r="J567" s="2"/>
      <c r="K567" s="2">
        <v>5205.6000000000004</v>
      </c>
      <c r="L567" s="35">
        <f t="shared" si="29"/>
        <v>16268593.176000001</v>
      </c>
      <c r="M567" s="36">
        <v>792</v>
      </c>
      <c r="N567" s="37">
        <v>732541</v>
      </c>
      <c r="O567" s="37">
        <v>564</v>
      </c>
      <c r="P567" s="37">
        <v>0</v>
      </c>
      <c r="Q567" s="37">
        <v>16991</v>
      </c>
      <c r="R567" s="37">
        <v>101214</v>
      </c>
      <c r="S567" s="37">
        <v>354356</v>
      </c>
      <c r="T567" s="37">
        <v>30000</v>
      </c>
      <c r="U567" s="37">
        <v>683850</v>
      </c>
      <c r="V567" s="37">
        <v>0</v>
      </c>
      <c r="W567" s="45">
        <f t="shared" si="30"/>
        <v>1919516</v>
      </c>
      <c r="X567" s="46">
        <f t="shared" si="31"/>
        <v>11.798905899446408</v>
      </c>
    </row>
    <row r="568" spans="1:24" s="4" customFormat="1" ht="15" customHeight="1">
      <c r="A568" s="28" t="s">
        <v>647</v>
      </c>
      <c r="B568" s="29">
        <v>3125.21</v>
      </c>
      <c r="C568" s="30" t="s">
        <v>931</v>
      </c>
      <c r="D568" s="2">
        <v>4946611853</v>
      </c>
      <c r="E568" s="2" t="s">
        <v>6</v>
      </c>
      <c r="F568" s="2" t="s">
        <v>932</v>
      </c>
      <c r="G568" s="28" t="s">
        <v>9</v>
      </c>
      <c r="H568" s="2" t="s">
        <v>23</v>
      </c>
      <c r="I568" s="2">
        <v>1</v>
      </c>
      <c r="J568" s="2"/>
      <c r="K568" s="2">
        <v>5205.6000000000004</v>
      </c>
      <c r="L568" s="35">
        <f t="shared" si="29"/>
        <v>16268593.176000001</v>
      </c>
      <c r="M568" s="36">
        <v>792</v>
      </c>
      <c r="N568" s="37">
        <v>732541</v>
      </c>
      <c r="O568" s="37">
        <v>564</v>
      </c>
      <c r="P568" s="37">
        <v>0</v>
      </c>
      <c r="Q568" s="37">
        <v>16991</v>
      </c>
      <c r="R568" s="37">
        <v>101214</v>
      </c>
      <c r="S568" s="37">
        <v>354356</v>
      </c>
      <c r="T568" s="37">
        <v>30000</v>
      </c>
      <c r="U568" s="37">
        <v>683850</v>
      </c>
      <c r="V568" s="37">
        <v>0</v>
      </c>
      <c r="W568" s="45">
        <f t="shared" si="30"/>
        <v>1919516</v>
      </c>
      <c r="X568" s="46">
        <f t="shared" si="31"/>
        <v>11.798905899446408</v>
      </c>
    </row>
    <row r="569" spans="1:24" s="4" customFormat="1" ht="15" customHeight="1">
      <c r="A569" s="28" t="s">
        <v>647</v>
      </c>
      <c r="B569" s="29">
        <v>3125.21</v>
      </c>
      <c r="C569" s="30" t="s">
        <v>933</v>
      </c>
      <c r="D569" s="2">
        <v>4947777442</v>
      </c>
      <c r="E569" s="2" t="s">
        <v>36</v>
      </c>
      <c r="F569" s="2" t="s">
        <v>934</v>
      </c>
      <c r="G569" s="28" t="s">
        <v>5</v>
      </c>
      <c r="H569" s="2" t="s">
        <v>26</v>
      </c>
      <c r="I569" s="2">
        <v>4</v>
      </c>
      <c r="J569" s="2" t="s">
        <v>935</v>
      </c>
      <c r="K569" s="2">
        <v>76685.7</v>
      </c>
      <c r="L569" s="35">
        <f t="shared" si="29"/>
        <v>239658916.49699998</v>
      </c>
      <c r="M569" s="36">
        <v>84270</v>
      </c>
      <c r="N569" s="37">
        <v>1309186</v>
      </c>
      <c r="O569" s="37">
        <v>1920003</v>
      </c>
      <c r="P569" s="37">
        <v>6556947</v>
      </c>
      <c r="Q569" s="37">
        <v>496548</v>
      </c>
      <c r="R569" s="37">
        <v>3344937</v>
      </c>
      <c r="S569" s="37">
        <v>343435</v>
      </c>
      <c r="T569" s="37"/>
      <c r="U569" s="37">
        <v>0</v>
      </c>
      <c r="V569" s="37">
        <v>0</v>
      </c>
      <c r="W569" s="45">
        <f t="shared" si="30"/>
        <v>13971056</v>
      </c>
      <c r="X569" s="46">
        <f t="shared" si="31"/>
        <v>5.8295581922047486</v>
      </c>
    </row>
    <row r="570" spans="1:24" s="4" customFormat="1" ht="15" customHeight="1">
      <c r="A570" s="28" t="s">
        <v>647</v>
      </c>
      <c r="B570" s="29">
        <v>3125.21</v>
      </c>
      <c r="C570" s="30" t="s">
        <v>936</v>
      </c>
      <c r="D570" s="2">
        <v>4948185771</v>
      </c>
      <c r="E570" s="2" t="s">
        <v>6</v>
      </c>
      <c r="F570" s="2" t="s">
        <v>937</v>
      </c>
      <c r="G570" s="28" t="s">
        <v>5</v>
      </c>
      <c r="H570" s="2" t="s">
        <v>20</v>
      </c>
      <c r="I570" s="2">
        <v>1</v>
      </c>
      <c r="J570" s="2" t="s">
        <v>938</v>
      </c>
      <c r="K570" s="2">
        <v>24818.400000000001</v>
      </c>
      <c r="L570" s="35">
        <f t="shared" si="29"/>
        <v>77562711.864000008</v>
      </c>
      <c r="M570" s="36">
        <v>6480</v>
      </c>
      <c r="N570" s="37">
        <v>317267</v>
      </c>
      <c r="O570" s="37">
        <v>392267</v>
      </c>
      <c r="P570" s="37">
        <v>0</v>
      </c>
      <c r="Q570" s="37">
        <v>124137</v>
      </c>
      <c r="R570" s="37">
        <v>789352</v>
      </c>
      <c r="S570" s="37">
        <v>354356</v>
      </c>
      <c r="T570" s="37">
        <v>30000</v>
      </c>
      <c r="U570" s="37">
        <v>2400300</v>
      </c>
      <c r="V570" s="37">
        <v>0</v>
      </c>
      <c r="W570" s="45">
        <f t="shared" si="30"/>
        <v>4407679</v>
      </c>
      <c r="X570" s="46">
        <f t="shared" si="31"/>
        <v>5.6827293606346716</v>
      </c>
    </row>
    <row r="571" spans="1:24" s="4" customFormat="1" ht="15" customHeight="1">
      <c r="A571" s="28" t="s">
        <v>647</v>
      </c>
      <c r="B571" s="29">
        <v>3125.21</v>
      </c>
      <c r="C571" s="30" t="s">
        <v>939</v>
      </c>
      <c r="D571" s="2">
        <v>4946580746</v>
      </c>
      <c r="E571" s="2" t="s">
        <v>6</v>
      </c>
      <c r="F571" s="2" t="s">
        <v>940</v>
      </c>
      <c r="G571" s="28" t="s">
        <v>5</v>
      </c>
      <c r="H571" s="2" t="s">
        <v>20</v>
      </c>
      <c r="I571" s="2">
        <v>1</v>
      </c>
      <c r="J571" s="2" t="s">
        <v>941</v>
      </c>
      <c r="K571" s="2">
        <v>19958.400000000001</v>
      </c>
      <c r="L571" s="35">
        <f t="shared" si="29"/>
        <v>62374191.264000006</v>
      </c>
      <c r="M571" s="36">
        <v>2880</v>
      </c>
      <c r="N571" s="37">
        <v>463890</v>
      </c>
      <c r="O571" s="37">
        <v>392267</v>
      </c>
      <c r="P571" s="37">
        <v>0</v>
      </c>
      <c r="Q571" s="37">
        <v>124137</v>
      </c>
      <c r="R571" s="37">
        <v>722855</v>
      </c>
      <c r="S571" s="37">
        <v>354356</v>
      </c>
      <c r="T571" s="37">
        <v>30000</v>
      </c>
      <c r="U571" s="37">
        <v>2119000</v>
      </c>
      <c r="V571" s="37">
        <v>0</v>
      </c>
      <c r="W571" s="45">
        <f t="shared" si="30"/>
        <v>4206505</v>
      </c>
      <c r="X571" s="46">
        <f t="shared" si="31"/>
        <v>6.7439832320965634</v>
      </c>
    </row>
    <row r="572" spans="1:24" s="4" customFormat="1" ht="15" customHeight="1">
      <c r="A572" s="28" t="s">
        <v>647</v>
      </c>
      <c r="B572" s="29">
        <v>3125.21</v>
      </c>
      <c r="C572" s="30" t="s">
        <v>942</v>
      </c>
      <c r="D572" s="2">
        <v>4948561422</v>
      </c>
      <c r="E572" s="2" t="s">
        <v>24</v>
      </c>
      <c r="F572" s="2" t="s">
        <v>943</v>
      </c>
      <c r="G572" s="28" t="s">
        <v>9</v>
      </c>
      <c r="H572" s="2" t="s">
        <v>23</v>
      </c>
      <c r="I572" s="2">
        <v>2</v>
      </c>
      <c r="J572" s="2"/>
      <c r="K572" s="2">
        <v>3978</v>
      </c>
      <c r="L572" s="35">
        <f t="shared" si="29"/>
        <v>12432085.380000001</v>
      </c>
      <c r="M572" s="36">
        <v>1020</v>
      </c>
      <c r="N572" s="37">
        <v>640778</v>
      </c>
      <c r="O572" s="37">
        <v>717</v>
      </c>
      <c r="P572" s="37">
        <v>0</v>
      </c>
      <c r="Q572" s="37">
        <v>17345</v>
      </c>
      <c r="R572" s="37">
        <v>98356</v>
      </c>
      <c r="S572" s="37">
        <v>354356</v>
      </c>
      <c r="T572" s="37"/>
      <c r="U572" s="37">
        <v>1367700</v>
      </c>
      <c r="V572" s="37">
        <v>0</v>
      </c>
      <c r="W572" s="45">
        <f t="shared" si="30"/>
        <v>2479252</v>
      </c>
      <c r="X572" s="46">
        <f t="shared" si="31"/>
        <v>19.942366258105604</v>
      </c>
    </row>
    <row r="573" spans="1:24" s="4" customFormat="1" ht="15" customHeight="1">
      <c r="A573" s="28" t="s">
        <v>647</v>
      </c>
      <c r="B573" s="29">
        <v>3125.21</v>
      </c>
      <c r="C573" s="30" t="s">
        <v>944</v>
      </c>
      <c r="D573" s="2">
        <v>4948242196</v>
      </c>
      <c r="E573" s="2" t="s">
        <v>14</v>
      </c>
      <c r="F573" s="2" t="s">
        <v>945</v>
      </c>
      <c r="G573" s="28" t="s">
        <v>9</v>
      </c>
      <c r="H573" s="2" t="s">
        <v>23</v>
      </c>
      <c r="I573" s="2">
        <v>3</v>
      </c>
      <c r="J573" s="2"/>
      <c r="K573" s="2">
        <v>124252.8</v>
      </c>
      <c r="L573" s="35">
        <f t="shared" si="29"/>
        <v>388316093.088</v>
      </c>
      <c r="M573" s="36">
        <v>960</v>
      </c>
      <c r="N573" s="37">
        <v>711840</v>
      </c>
      <c r="O573" s="37">
        <v>683</v>
      </c>
      <c r="P573" s="37">
        <v>21591</v>
      </c>
      <c r="Q573" s="37">
        <v>17179</v>
      </c>
      <c r="R573" s="37">
        <v>101527</v>
      </c>
      <c r="S573" s="37">
        <v>354356</v>
      </c>
      <c r="T573" s="37">
        <v>30000</v>
      </c>
      <c r="U573" s="37">
        <v>746018.181818182</v>
      </c>
      <c r="V573" s="37">
        <v>739090.90909090894</v>
      </c>
      <c r="W573" s="45">
        <f t="shared" si="30"/>
        <v>2722285.0909090908</v>
      </c>
      <c r="X573" s="46">
        <f t="shared" si="31"/>
        <v>0.70104874337313849</v>
      </c>
    </row>
    <row r="574" spans="1:24" s="4" customFormat="1" ht="15" customHeight="1">
      <c r="A574" s="28" t="s">
        <v>647</v>
      </c>
      <c r="B574" s="29">
        <v>3125.21</v>
      </c>
      <c r="C574" s="30" t="s">
        <v>946</v>
      </c>
      <c r="D574" s="2">
        <v>4948242179</v>
      </c>
      <c r="E574" s="2" t="s">
        <v>14</v>
      </c>
      <c r="F574" s="2" t="s">
        <v>947</v>
      </c>
      <c r="G574" s="28" t="s">
        <v>5</v>
      </c>
      <c r="H574" s="2" t="s">
        <v>32</v>
      </c>
      <c r="I574" s="2">
        <v>1</v>
      </c>
      <c r="J574" s="2" t="s">
        <v>948</v>
      </c>
      <c r="K574" s="2">
        <v>149059.75</v>
      </c>
      <c r="L574" s="35">
        <f t="shared" si="29"/>
        <v>465843021.29750001</v>
      </c>
      <c r="M574" s="36">
        <f>975+975+975+675</f>
        <v>3600</v>
      </c>
      <c r="N574" s="37">
        <v>317801</v>
      </c>
      <c r="O574" s="37">
        <v>315061</v>
      </c>
      <c r="P574" s="37">
        <v>0</v>
      </c>
      <c r="Q574" s="37">
        <v>99309</v>
      </c>
      <c r="R574" s="37">
        <v>991080</v>
      </c>
      <c r="S574" s="37">
        <v>354356</v>
      </c>
      <c r="T574" s="37">
        <v>30000</v>
      </c>
      <c r="U574" s="37">
        <v>4721000</v>
      </c>
      <c r="V574" s="37">
        <v>1335000</v>
      </c>
      <c r="W574" s="45">
        <f t="shared" si="30"/>
        <v>8163607</v>
      </c>
      <c r="X574" s="46">
        <f t="shared" si="31"/>
        <v>1.7524373290517747</v>
      </c>
    </row>
    <row r="575" spans="1:24" s="4" customFormat="1" ht="15" customHeight="1">
      <c r="A575" s="28" t="s">
        <v>647</v>
      </c>
      <c r="B575" s="29">
        <v>3125.21</v>
      </c>
      <c r="C575" s="30" t="s">
        <v>949</v>
      </c>
      <c r="D575" s="2">
        <v>4947223073</v>
      </c>
      <c r="E575" s="2" t="s">
        <v>6</v>
      </c>
      <c r="F575" s="2" t="s">
        <v>950</v>
      </c>
      <c r="G575" s="28" t="s">
        <v>5</v>
      </c>
      <c r="H575" s="2" t="s">
        <v>20</v>
      </c>
      <c r="I575" s="2">
        <v>1</v>
      </c>
      <c r="J575" s="2" t="s">
        <v>951</v>
      </c>
      <c r="K575" s="2">
        <v>54360</v>
      </c>
      <c r="L575" s="35">
        <f t="shared" si="29"/>
        <v>169886415.59999999</v>
      </c>
      <c r="M575" s="36">
        <v>7200</v>
      </c>
      <c r="N575" s="37">
        <v>316761</v>
      </c>
      <c r="O575" s="37">
        <v>392267</v>
      </c>
      <c r="P575" s="37">
        <v>0</v>
      </c>
      <c r="Q575" s="37">
        <v>124137</v>
      </c>
      <c r="R575" s="37">
        <v>721605</v>
      </c>
      <c r="S575" s="37">
        <v>354356</v>
      </c>
      <c r="T575" s="37">
        <v>30000</v>
      </c>
      <c r="U575" s="37">
        <v>2400300</v>
      </c>
      <c r="V575" s="37">
        <v>0</v>
      </c>
      <c r="W575" s="45">
        <f t="shared" si="30"/>
        <v>4339426</v>
      </c>
      <c r="X575" s="46">
        <f t="shared" si="31"/>
        <v>2.5543101752274535</v>
      </c>
    </row>
    <row r="576" spans="1:24" s="4" customFormat="1" ht="15" customHeight="1">
      <c r="A576" s="28" t="s">
        <v>647</v>
      </c>
      <c r="B576" s="29">
        <v>3125.21</v>
      </c>
      <c r="C576" s="30" t="s">
        <v>952</v>
      </c>
      <c r="D576" s="2">
        <v>4947975539</v>
      </c>
      <c r="E576" s="2" t="s">
        <v>14</v>
      </c>
      <c r="F576" s="2" t="s">
        <v>953</v>
      </c>
      <c r="G576" s="28" t="s">
        <v>5</v>
      </c>
      <c r="H576" s="2" t="s">
        <v>20</v>
      </c>
      <c r="I576" s="2">
        <v>2</v>
      </c>
      <c r="J576" s="2" t="s">
        <v>954</v>
      </c>
      <c r="K576" s="2">
        <v>52693.2</v>
      </c>
      <c r="L576" s="35">
        <f t="shared" si="29"/>
        <v>164677315.572</v>
      </c>
      <c r="M576" s="36">
        <f>12300+15580</f>
        <v>27880</v>
      </c>
      <c r="N576" s="37">
        <v>635603</v>
      </c>
      <c r="O576" s="37">
        <v>630122</v>
      </c>
      <c r="P576" s="37">
        <v>0</v>
      </c>
      <c r="Q576" s="37">
        <v>198619</v>
      </c>
      <c r="R576" s="37">
        <v>3477875</v>
      </c>
      <c r="S576" s="37">
        <v>354356</v>
      </c>
      <c r="T576" s="37">
        <v>30000</v>
      </c>
      <c r="U576" s="37">
        <v>6178000</v>
      </c>
      <c r="V576" s="37">
        <v>0</v>
      </c>
      <c r="W576" s="45">
        <f t="shared" si="30"/>
        <v>11504575</v>
      </c>
      <c r="X576" s="46">
        <f t="shared" si="31"/>
        <v>6.9861322186600656</v>
      </c>
    </row>
    <row r="577" spans="1:24" s="4" customFormat="1" ht="15" customHeight="1">
      <c r="A577" s="28" t="s">
        <v>647</v>
      </c>
      <c r="B577" s="29">
        <v>3125.21</v>
      </c>
      <c r="C577" s="30" t="s">
        <v>955</v>
      </c>
      <c r="D577" s="2">
        <v>4948210659</v>
      </c>
      <c r="E577" s="2" t="s">
        <v>14</v>
      </c>
      <c r="F577" s="2" t="s">
        <v>956</v>
      </c>
      <c r="G577" s="28" t="s">
        <v>9</v>
      </c>
      <c r="H577" s="2" t="s">
        <v>23</v>
      </c>
      <c r="I577" s="2">
        <v>18</v>
      </c>
      <c r="J577" s="2"/>
      <c r="K577" s="2">
        <v>11929</v>
      </c>
      <c r="L577" s="35">
        <f t="shared" si="29"/>
        <v>37280630.090000004</v>
      </c>
      <c r="M577" s="36">
        <v>3775</v>
      </c>
      <c r="N577" s="40">
        <v>2444744.9420231902</v>
      </c>
      <c r="O577" s="40">
        <v>2458.50459816074</v>
      </c>
      <c r="P577" s="40">
        <v>0</v>
      </c>
      <c r="Q577" s="40">
        <v>76738.912435025995</v>
      </c>
      <c r="R577" s="40">
        <v>118170.631747301</v>
      </c>
      <c r="S577" s="40">
        <v>106972.722910836</v>
      </c>
      <c r="T577" s="37">
        <v>30000</v>
      </c>
      <c r="U577" s="40">
        <v>1259138.3446621399</v>
      </c>
      <c r="V577" s="40">
        <v>0</v>
      </c>
      <c r="W577" s="45">
        <f t="shared" si="30"/>
        <v>4038224.0583766541</v>
      </c>
      <c r="X577" s="46">
        <f t="shared" si="31"/>
        <v>10.831963002309475</v>
      </c>
    </row>
    <row r="578" spans="1:24" s="4" customFormat="1" ht="15" customHeight="1">
      <c r="A578" s="28" t="s">
        <v>647</v>
      </c>
      <c r="B578" s="29">
        <v>3125.21</v>
      </c>
      <c r="C578" s="30" t="s">
        <v>955</v>
      </c>
      <c r="D578" s="2">
        <v>4947917126</v>
      </c>
      <c r="E578" s="2" t="s">
        <v>14</v>
      </c>
      <c r="F578" s="2" t="s">
        <v>956</v>
      </c>
      <c r="G578" s="28" t="s">
        <v>9</v>
      </c>
      <c r="H578" s="2" t="s">
        <v>23</v>
      </c>
      <c r="I578" s="2">
        <v>18</v>
      </c>
      <c r="J578" s="2"/>
      <c r="K578" s="2">
        <v>3066</v>
      </c>
      <c r="L578" s="35">
        <f t="shared" si="29"/>
        <v>9581893.8599999994</v>
      </c>
      <c r="M578" s="36">
        <v>600</v>
      </c>
      <c r="N578" s="40">
        <v>388568.73250699701</v>
      </c>
      <c r="O578" s="40">
        <v>390.755697720912</v>
      </c>
      <c r="P578" s="40">
        <v>0</v>
      </c>
      <c r="Q578" s="40">
        <v>12196.9132347061</v>
      </c>
      <c r="R578" s="40">
        <v>18782.0871651339</v>
      </c>
      <c r="S578" s="40">
        <v>17002.287085165899</v>
      </c>
      <c r="T578" s="37">
        <v>30000</v>
      </c>
      <c r="U578" s="40">
        <v>200127.948820472</v>
      </c>
      <c r="V578" s="40">
        <v>0</v>
      </c>
      <c r="W578" s="45">
        <f t="shared" si="30"/>
        <v>667068.7245101959</v>
      </c>
      <c r="X578" s="46">
        <f t="shared" si="31"/>
        <v>6.9617628232650439</v>
      </c>
    </row>
    <row r="579" spans="1:24" s="4" customFormat="1" ht="15" customHeight="1">
      <c r="A579" s="28" t="s">
        <v>647</v>
      </c>
      <c r="B579" s="29">
        <v>3125.21</v>
      </c>
      <c r="C579" s="30" t="s">
        <v>955</v>
      </c>
      <c r="D579" s="2">
        <v>4948242163</v>
      </c>
      <c r="E579" s="2" t="s">
        <v>14</v>
      </c>
      <c r="F579" s="78" t="s">
        <v>956</v>
      </c>
      <c r="G579" s="28" t="s">
        <v>9</v>
      </c>
      <c r="H579" s="2" t="s">
        <v>23</v>
      </c>
      <c r="I579" s="2">
        <v>18</v>
      </c>
      <c r="J579" s="2"/>
      <c r="K579" s="2">
        <v>3511.2</v>
      </c>
      <c r="L579" s="35">
        <f t="shared" si="29"/>
        <v>10973237.352</v>
      </c>
      <c r="M579" s="36">
        <v>280</v>
      </c>
      <c r="N579" s="40">
        <v>181332.07516993201</v>
      </c>
      <c r="O579" s="40">
        <v>182.352658936425</v>
      </c>
      <c r="P579" s="40">
        <v>0</v>
      </c>
      <c r="Q579" s="40">
        <v>5691.8928428628597</v>
      </c>
      <c r="R579" s="40">
        <v>8764.9740103958393</v>
      </c>
      <c r="S579" s="40">
        <v>7934.4006397440999</v>
      </c>
      <c r="T579" s="37">
        <v>30000</v>
      </c>
      <c r="U579" s="40">
        <v>93393.042782886798</v>
      </c>
      <c r="V579" s="40">
        <v>0</v>
      </c>
      <c r="W579" s="45">
        <f t="shared" si="30"/>
        <v>327298.73810475809</v>
      </c>
      <c r="X579" s="46">
        <f t="shared" si="31"/>
        <v>2.9826998870584358</v>
      </c>
    </row>
    <row r="580" spans="1:24" s="4" customFormat="1" ht="15" customHeight="1">
      <c r="A580" s="28" t="s">
        <v>647</v>
      </c>
      <c r="B580" s="29">
        <v>3125.21</v>
      </c>
      <c r="C580" s="30" t="s">
        <v>955</v>
      </c>
      <c r="D580" s="2">
        <v>4948244812</v>
      </c>
      <c r="E580" s="2" t="s">
        <v>14</v>
      </c>
      <c r="F580" s="78" t="s">
        <v>956</v>
      </c>
      <c r="G580" s="28" t="s">
        <v>9</v>
      </c>
      <c r="H580" s="2" t="s">
        <v>23</v>
      </c>
      <c r="I580" s="2">
        <v>18</v>
      </c>
      <c r="J580" s="2"/>
      <c r="K580" s="2">
        <v>35017.5</v>
      </c>
      <c r="L580" s="35">
        <f t="shared" ref="L580:L643" si="32">B580*K580</f>
        <v>109437041.175</v>
      </c>
      <c r="M580" s="36">
        <v>5250</v>
      </c>
      <c r="N580" s="40">
        <v>3399976.4094362301</v>
      </c>
      <c r="O580" s="40">
        <v>3419.11235505798</v>
      </c>
      <c r="P580" s="40">
        <v>0</v>
      </c>
      <c r="Q580" s="40">
        <v>106722.990803679</v>
      </c>
      <c r="R580" s="40">
        <v>164343.26269492201</v>
      </c>
      <c r="S580" s="40">
        <v>148770.01199520199</v>
      </c>
      <c r="T580" s="37">
        <v>30000</v>
      </c>
      <c r="U580" s="40">
        <v>1751119.55217913</v>
      </c>
      <c r="V580" s="40">
        <v>0</v>
      </c>
      <c r="W580" s="45">
        <f t="shared" ref="W580:W643" si="33">+SUM(N580:V580)</f>
        <v>5604351.3394642211</v>
      </c>
      <c r="X580" s="46">
        <f t="shared" ref="X580:X643" si="34">(W580/L580)*100</f>
        <v>5.1210735225400903</v>
      </c>
    </row>
    <row r="581" spans="1:24" s="4" customFormat="1" ht="15" customHeight="1">
      <c r="A581" s="28" t="s">
        <v>647</v>
      </c>
      <c r="B581" s="29">
        <v>3125.21</v>
      </c>
      <c r="C581" s="30" t="s">
        <v>955</v>
      </c>
      <c r="D581" s="2">
        <v>4948475548</v>
      </c>
      <c r="E581" s="2" t="s">
        <v>38</v>
      </c>
      <c r="F581" s="78" t="s">
        <v>956</v>
      </c>
      <c r="G581" s="28" t="s">
        <v>9</v>
      </c>
      <c r="H581" s="2" t="s">
        <v>23</v>
      </c>
      <c r="I581" s="2">
        <v>18</v>
      </c>
      <c r="J581" s="2"/>
      <c r="K581" s="2">
        <v>6520</v>
      </c>
      <c r="L581" s="35">
        <f t="shared" si="32"/>
        <v>20376369.199999999</v>
      </c>
      <c r="M581" s="36">
        <v>2000</v>
      </c>
      <c r="N581" s="40">
        <v>1295229.10835666</v>
      </c>
      <c r="O581" s="40">
        <v>1302.5189924030401</v>
      </c>
      <c r="P581" s="40">
        <v>0</v>
      </c>
      <c r="Q581" s="40">
        <v>40656.377449020401</v>
      </c>
      <c r="R581" s="40">
        <v>62606.957217113202</v>
      </c>
      <c r="S581" s="40">
        <v>56674.290283886497</v>
      </c>
      <c r="T581" s="40"/>
      <c r="U581" s="40">
        <v>667093.16273490596</v>
      </c>
      <c r="V581" s="40">
        <v>0</v>
      </c>
      <c r="W581" s="45">
        <f t="shared" si="33"/>
        <v>2123562.4150339891</v>
      </c>
      <c r="X581" s="46">
        <f t="shared" si="34"/>
        <v>10.421691883331153</v>
      </c>
    </row>
    <row r="582" spans="1:24" s="4" customFormat="1" ht="15" customHeight="1">
      <c r="A582" s="28" t="s">
        <v>647</v>
      </c>
      <c r="B582" s="29">
        <v>3125.21</v>
      </c>
      <c r="C582" s="30" t="s">
        <v>955</v>
      </c>
      <c r="D582" s="2">
        <v>4948242163</v>
      </c>
      <c r="E582" s="2" t="s">
        <v>14</v>
      </c>
      <c r="F582" s="78" t="s">
        <v>956</v>
      </c>
      <c r="G582" s="28" t="s">
        <v>9</v>
      </c>
      <c r="H582" s="2" t="s">
        <v>23</v>
      </c>
      <c r="I582" s="2">
        <v>18</v>
      </c>
      <c r="J582" s="2"/>
      <c r="K582" s="2">
        <v>3210</v>
      </c>
      <c r="L582" s="35">
        <f t="shared" si="32"/>
        <v>10031924.1</v>
      </c>
      <c r="M582" s="36">
        <v>600</v>
      </c>
      <c r="N582" s="40">
        <v>388568.73250699701</v>
      </c>
      <c r="O582" s="40">
        <v>390.755697720912</v>
      </c>
      <c r="P582" s="40">
        <v>0</v>
      </c>
      <c r="Q582" s="40">
        <v>12196.9132347061</v>
      </c>
      <c r="R582" s="40">
        <v>18782.0871651339</v>
      </c>
      <c r="S582" s="40">
        <v>17002.287085165899</v>
      </c>
      <c r="T582" s="37">
        <v>30000</v>
      </c>
      <c r="U582" s="40">
        <v>200127.948820472</v>
      </c>
      <c r="V582" s="40">
        <v>0</v>
      </c>
      <c r="W582" s="45">
        <f t="shared" si="33"/>
        <v>667068.7245101959</v>
      </c>
      <c r="X582" s="46">
        <f t="shared" si="34"/>
        <v>6.6494594442774533</v>
      </c>
    </row>
    <row r="583" spans="1:24" s="4" customFormat="1" ht="15" customHeight="1">
      <c r="A583" s="28" t="s">
        <v>647</v>
      </c>
      <c r="B583" s="29">
        <v>3125.21</v>
      </c>
      <c r="C583" s="30" t="s">
        <v>957</v>
      </c>
      <c r="D583" s="2">
        <v>4947086262</v>
      </c>
      <c r="E583" s="2" t="s">
        <v>27</v>
      </c>
      <c r="F583" s="2" t="s">
        <v>958</v>
      </c>
      <c r="G583" s="28" t="s">
        <v>5</v>
      </c>
      <c r="H583" s="2" t="s">
        <v>17</v>
      </c>
      <c r="I583" s="2">
        <v>1</v>
      </c>
      <c r="J583" s="2" t="s">
        <v>959</v>
      </c>
      <c r="K583" s="2">
        <v>1105.48</v>
      </c>
      <c r="L583" s="35">
        <f t="shared" si="32"/>
        <v>3454857.1507999999</v>
      </c>
      <c r="M583" s="36">
        <v>268.32</v>
      </c>
      <c r="N583" s="40">
        <v>5139.6611822000996</v>
      </c>
      <c r="O583" s="40">
        <v>10224.724057048201</v>
      </c>
      <c r="P583" s="40">
        <v>0</v>
      </c>
      <c r="Q583" s="40">
        <v>2464.07375966987</v>
      </c>
      <c r="R583" s="40">
        <v>13004.6091904696</v>
      </c>
      <c r="S583" s="40">
        <v>5730.83170615571</v>
      </c>
      <c r="T583" s="40"/>
      <c r="U583" s="40">
        <v>80467.212903303604</v>
      </c>
      <c r="V583" s="40">
        <v>0</v>
      </c>
      <c r="W583" s="45">
        <f t="shared" si="33"/>
        <v>117031.11279884708</v>
      </c>
      <c r="X583" s="46">
        <f t="shared" si="34"/>
        <v>3.3874370977030872</v>
      </c>
    </row>
    <row r="584" spans="1:24" s="4" customFormat="1" ht="15" customHeight="1">
      <c r="A584" s="28" t="s">
        <v>647</v>
      </c>
      <c r="B584" s="29">
        <v>3125.21</v>
      </c>
      <c r="C584" s="30" t="s">
        <v>957</v>
      </c>
      <c r="D584" s="2">
        <v>4948281616</v>
      </c>
      <c r="E584" s="2" t="s">
        <v>27</v>
      </c>
      <c r="F584" s="2" t="s">
        <v>958</v>
      </c>
      <c r="G584" s="28" t="s">
        <v>5</v>
      </c>
      <c r="H584" s="2" t="s">
        <v>17</v>
      </c>
      <c r="I584" s="2">
        <v>1</v>
      </c>
      <c r="J584" s="2" t="s">
        <v>959</v>
      </c>
      <c r="K584" s="2">
        <v>61851.68</v>
      </c>
      <c r="L584" s="35">
        <f t="shared" si="32"/>
        <v>193299488.85280001</v>
      </c>
      <c r="M584" s="36">
        <v>13249.311</v>
      </c>
      <c r="N584" s="40">
        <v>312662.33881779999</v>
      </c>
      <c r="O584" s="40">
        <v>504884.27594295202</v>
      </c>
      <c r="P584" s="40">
        <v>0</v>
      </c>
      <c r="Q584" s="40">
        <v>121672.92624032999</v>
      </c>
      <c r="R584" s="40">
        <v>791087.39080953004</v>
      </c>
      <c r="S584" s="40">
        <v>348625.16829384398</v>
      </c>
      <c r="T584" s="40"/>
      <c r="U584" s="40">
        <v>4895082.7870966997</v>
      </c>
      <c r="V584" s="40">
        <v>0</v>
      </c>
      <c r="W584" s="45">
        <f t="shared" si="33"/>
        <v>6974014.8872011555</v>
      </c>
      <c r="X584" s="46">
        <f t="shared" si="34"/>
        <v>3.6078806667264161</v>
      </c>
    </row>
    <row r="585" spans="1:24" s="4" customFormat="1" ht="15" customHeight="1">
      <c r="A585" s="28" t="s">
        <v>647</v>
      </c>
      <c r="B585" s="29">
        <v>3125.21</v>
      </c>
      <c r="C585" s="30" t="s">
        <v>960</v>
      </c>
      <c r="D585" s="2">
        <v>4948411910</v>
      </c>
      <c r="E585" s="2" t="s">
        <v>14</v>
      </c>
      <c r="F585" s="2" t="s">
        <v>961</v>
      </c>
      <c r="G585" s="28" t="s">
        <v>5</v>
      </c>
      <c r="H585" s="2" t="s">
        <v>20</v>
      </c>
      <c r="I585" s="2">
        <v>1</v>
      </c>
      <c r="J585" s="2" t="s">
        <v>962</v>
      </c>
      <c r="K585" s="2">
        <v>15360</v>
      </c>
      <c r="L585" s="35">
        <f t="shared" si="32"/>
        <v>48003225.600000001</v>
      </c>
      <c r="M585" s="36">
        <v>16000</v>
      </c>
      <c r="N585" s="37">
        <v>463361</v>
      </c>
      <c r="O585" s="37">
        <v>315061</v>
      </c>
      <c r="P585" s="37">
        <v>0</v>
      </c>
      <c r="Q585" s="37">
        <v>99309</v>
      </c>
      <c r="R585" s="37">
        <v>619972</v>
      </c>
      <c r="S585" s="37">
        <v>354356</v>
      </c>
      <c r="T585" s="37">
        <v>30000</v>
      </c>
      <c r="U585" s="37">
        <v>3428500</v>
      </c>
      <c r="V585" s="37">
        <v>0</v>
      </c>
      <c r="W585" s="45">
        <f t="shared" si="33"/>
        <v>5310559</v>
      </c>
      <c r="X585" s="46">
        <f t="shared" si="34"/>
        <v>11.062921155031715</v>
      </c>
    </row>
    <row r="586" spans="1:24" s="4" customFormat="1" ht="15" customHeight="1">
      <c r="A586" s="28" t="s">
        <v>647</v>
      </c>
      <c r="B586" s="29">
        <v>3125.21</v>
      </c>
      <c r="C586" s="30" t="s">
        <v>963</v>
      </c>
      <c r="D586" s="2">
        <v>4947724135</v>
      </c>
      <c r="E586" s="2" t="s">
        <v>27</v>
      </c>
      <c r="F586" s="2" t="s">
        <v>964</v>
      </c>
      <c r="G586" s="28" t="s">
        <v>5</v>
      </c>
      <c r="H586" s="2" t="s">
        <v>20</v>
      </c>
      <c r="I586" s="2">
        <v>1</v>
      </c>
      <c r="J586" s="2" t="s">
        <v>965</v>
      </c>
      <c r="K586" s="2">
        <v>13923</v>
      </c>
      <c r="L586" s="35">
        <f t="shared" si="32"/>
        <v>43512298.829999998</v>
      </c>
      <c r="M586" s="36">
        <v>7140</v>
      </c>
      <c r="N586" s="37">
        <v>463361</v>
      </c>
      <c r="O586" s="37">
        <v>392267</v>
      </c>
      <c r="P586" s="37">
        <v>0</v>
      </c>
      <c r="Q586" s="37">
        <v>124137</v>
      </c>
      <c r="R586" s="37">
        <v>722191</v>
      </c>
      <c r="S586" s="37">
        <v>354356</v>
      </c>
      <c r="T586" s="37"/>
      <c r="U586" s="37">
        <v>2400300</v>
      </c>
      <c r="V586" s="37">
        <v>0</v>
      </c>
      <c r="W586" s="45">
        <f t="shared" si="33"/>
        <v>4456612</v>
      </c>
      <c r="X586" s="46">
        <f t="shared" si="34"/>
        <v>10.242189265641242</v>
      </c>
    </row>
    <row r="587" spans="1:24" s="4" customFormat="1" ht="15" customHeight="1">
      <c r="A587" s="28" t="s">
        <v>647</v>
      </c>
      <c r="B587" s="29">
        <v>3125.21</v>
      </c>
      <c r="C587" s="30" t="s">
        <v>966</v>
      </c>
      <c r="D587" s="2">
        <v>4948281616</v>
      </c>
      <c r="E587" s="2" t="s">
        <v>27</v>
      </c>
      <c r="F587" s="2" t="s">
        <v>967</v>
      </c>
      <c r="G587" s="28" t="s">
        <v>5</v>
      </c>
      <c r="H587" s="2" t="s">
        <v>17</v>
      </c>
      <c r="I587" s="2">
        <v>1</v>
      </c>
      <c r="J587" s="2" t="s">
        <v>968</v>
      </c>
      <c r="K587" s="2">
        <v>26046.6</v>
      </c>
      <c r="L587" s="35">
        <f t="shared" si="32"/>
        <v>81401094.785999998</v>
      </c>
      <c r="M587" s="36">
        <f>33.6+1271.882+3941.489</f>
        <v>5246.9709999999995</v>
      </c>
      <c r="N587" s="37">
        <v>317801</v>
      </c>
      <c r="O587" s="37">
        <v>413323</v>
      </c>
      <c r="P587" s="37">
        <v>0</v>
      </c>
      <c r="Q587" s="37">
        <v>99309</v>
      </c>
      <c r="R587" s="37">
        <v>1402176</v>
      </c>
      <c r="S587" s="37">
        <v>354356</v>
      </c>
      <c r="T587" s="37"/>
      <c r="U587" s="37">
        <v>4054050</v>
      </c>
      <c r="V587" s="37">
        <v>0</v>
      </c>
      <c r="W587" s="45">
        <f t="shared" si="33"/>
        <v>6641015</v>
      </c>
      <c r="X587" s="46">
        <f t="shared" si="34"/>
        <v>8.1583853601219314</v>
      </c>
    </row>
    <row r="588" spans="1:24" s="4" customFormat="1" ht="15" customHeight="1">
      <c r="A588" s="28" t="s">
        <v>647</v>
      </c>
      <c r="B588" s="29">
        <v>3125.21</v>
      </c>
      <c r="C588" s="30" t="s">
        <v>969</v>
      </c>
      <c r="D588" s="2">
        <v>4948208970</v>
      </c>
      <c r="E588" s="2" t="s">
        <v>14</v>
      </c>
      <c r="F588" s="78" t="s">
        <v>970</v>
      </c>
      <c r="G588" s="28" t="s">
        <v>13</v>
      </c>
      <c r="H588" s="2" t="s">
        <v>23</v>
      </c>
      <c r="I588" s="2">
        <v>3</v>
      </c>
      <c r="J588" s="2"/>
      <c r="K588" s="2">
        <v>1656.4</v>
      </c>
      <c r="L588" s="35">
        <f t="shared" si="32"/>
        <v>5176597.8440000005</v>
      </c>
      <c r="M588" s="36">
        <v>20</v>
      </c>
      <c r="N588" s="40">
        <v>33909.967857142903</v>
      </c>
      <c r="O588" s="40">
        <v>0</v>
      </c>
      <c r="P588" s="40">
        <v>26691.928571428602</v>
      </c>
      <c r="Q588" s="40">
        <v>0</v>
      </c>
      <c r="R588" s="40">
        <v>1841.2631578947401</v>
      </c>
      <c r="S588" s="40">
        <v>37300.631578947403</v>
      </c>
      <c r="T588" s="37">
        <v>30000</v>
      </c>
      <c r="U588" s="40">
        <v>17598.571428571398</v>
      </c>
      <c r="V588" s="40">
        <v>0</v>
      </c>
      <c r="W588" s="45">
        <f t="shared" si="33"/>
        <v>147342.36259398505</v>
      </c>
      <c r="X588" s="46">
        <f t="shared" si="34"/>
        <v>2.846316577687487</v>
      </c>
    </row>
    <row r="589" spans="1:24" s="4" customFormat="1" ht="15" customHeight="1">
      <c r="A589" s="28" t="s">
        <v>647</v>
      </c>
      <c r="B589" s="29">
        <v>3125.21</v>
      </c>
      <c r="C589" s="30" t="s">
        <v>969</v>
      </c>
      <c r="D589" s="2">
        <v>4948208970</v>
      </c>
      <c r="E589" s="2" t="s">
        <v>14</v>
      </c>
      <c r="F589" s="78" t="s">
        <v>970</v>
      </c>
      <c r="G589" s="28" t="s">
        <v>13</v>
      </c>
      <c r="H589" s="2" t="s">
        <v>23</v>
      </c>
      <c r="I589" s="2">
        <v>3</v>
      </c>
      <c r="J589" s="2"/>
      <c r="K589" s="2">
        <v>2559</v>
      </c>
      <c r="L589" s="35">
        <f t="shared" si="32"/>
        <v>7997412.3899999997</v>
      </c>
      <c r="M589" s="36">
        <v>20</v>
      </c>
      <c r="N589" s="40">
        <v>33909.967857142903</v>
      </c>
      <c r="O589" s="40">
        <v>0</v>
      </c>
      <c r="P589" s="40">
        <v>26691.928571428602</v>
      </c>
      <c r="Q589" s="40">
        <v>0</v>
      </c>
      <c r="R589" s="40">
        <v>1841.2631578947401</v>
      </c>
      <c r="S589" s="40">
        <v>37300.631578947403</v>
      </c>
      <c r="T589" s="37">
        <v>30000</v>
      </c>
      <c r="U589" s="40">
        <v>17598.571428571398</v>
      </c>
      <c r="V589" s="40">
        <v>0</v>
      </c>
      <c r="W589" s="45">
        <f t="shared" si="33"/>
        <v>147342.36259398505</v>
      </c>
      <c r="X589" s="46">
        <f t="shared" si="34"/>
        <v>1.8423754510674302</v>
      </c>
    </row>
    <row r="590" spans="1:24" s="4" customFormat="1" ht="15" customHeight="1">
      <c r="A590" s="28" t="s">
        <v>647</v>
      </c>
      <c r="B590" s="29">
        <v>3125.21</v>
      </c>
      <c r="C590" s="30" t="s">
        <v>969</v>
      </c>
      <c r="D590" s="2">
        <v>4948269027</v>
      </c>
      <c r="E590" s="2" t="s">
        <v>14</v>
      </c>
      <c r="F590" s="78" t="s">
        <v>970</v>
      </c>
      <c r="G590" s="28" t="s">
        <v>13</v>
      </c>
      <c r="H590" s="2" t="s">
        <v>23</v>
      </c>
      <c r="I590" s="2">
        <v>3</v>
      </c>
      <c r="J590" s="2"/>
      <c r="K590" s="2">
        <v>1372</v>
      </c>
      <c r="L590" s="35">
        <f t="shared" si="32"/>
        <v>4287788.12</v>
      </c>
      <c r="M590" s="36">
        <v>20</v>
      </c>
      <c r="N590" s="40">
        <v>33909.967857142903</v>
      </c>
      <c r="O590" s="40">
        <v>0</v>
      </c>
      <c r="P590" s="40">
        <v>26691.928571428602</v>
      </c>
      <c r="Q590" s="40">
        <v>0</v>
      </c>
      <c r="R590" s="40">
        <v>1841.2631578947401</v>
      </c>
      <c r="S590" s="40">
        <v>37300.631578947403</v>
      </c>
      <c r="T590" s="37">
        <v>30000</v>
      </c>
      <c r="U590" s="40">
        <v>17598.571428571398</v>
      </c>
      <c r="V590" s="40">
        <v>0</v>
      </c>
      <c r="W590" s="45">
        <f t="shared" si="33"/>
        <v>147342.36259398505</v>
      </c>
      <c r="X590" s="46">
        <f t="shared" si="34"/>
        <v>3.4363256408757681</v>
      </c>
    </row>
    <row r="591" spans="1:24" s="4" customFormat="1" ht="15" customHeight="1">
      <c r="A591" s="28" t="s">
        <v>647</v>
      </c>
      <c r="B591" s="29">
        <v>3125.21</v>
      </c>
      <c r="C591" s="30" t="s">
        <v>969</v>
      </c>
      <c r="D591" s="2">
        <v>4948267737</v>
      </c>
      <c r="E591" s="2" t="s">
        <v>14</v>
      </c>
      <c r="F591" s="78" t="s">
        <v>970</v>
      </c>
      <c r="G591" s="28" t="s">
        <v>13</v>
      </c>
      <c r="H591" s="2" t="s">
        <v>23</v>
      </c>
      <c r="I591" s="2">
        <v>3</v>
      </c>
      <c r="J591" s="2"/>
      <c r="K591" s="2">
        <v>1737</v>
      </c>
      <c r="L591" s="35">
        <f t="shared" si="32"/>
        <v>5428489.7700000005</v>
      </c>
      <c r="M591" s="36">
        <v>30</v>
      </c>
      <c r="N591" s="40">
        <v>50864.9517857143</v>
      </c>
      <c r="O591" s="40">
        <v>0</v>
      </c>
      <c r="P591" s="40">
        <v>40037.892857142899</v>
      </c>
      <c r="Q591" s="40">
        <v>0</v>
      </c>
      <c r="R591" s="40">
        <v>2761.8947368421</v>
      </c>
      <c r="S591" s="40">
        <v>55950.947368421002</v>
      </c>
      <c r="T591" s="37">
        <v>30000</v>
      </c>
      <c r="U591" s="40">
        <v>26397.857142857101</v>
      </c>
      <c r="V591" s="40">
        <v>0</v>
      </c>
      <c r="W591" s="45">
        <f t="shared" si="33"/>
        <v>206013.54389097742</v>
      </c>
      <c r="X591" s="46">
        <f t="shared" si="34"/>
        <v>3.7950434212751114</v>
      </c>
    </row>
    <row r="592" spans="1:24" s="4" customFormat="1" ht="15" customHeight="1">
      <c r="A592" s="28" t="s">
        <v>647</v>
      </c>
      <c r="B592" s="29">
        <v>3125.21</v>
      </c>
      <c r="C592" s="30" t="s">
        <v>969</v>
      </c>
      <c r="D592" s="2">
        <v>4948494931</v>
      </c>
      <c r="E592" s="2" t="s">
        <v>14</v>
      </c>
      <c r="F592" s="78" t="s">
        <v>970</v>
      </c>
      <c r="G592" s="28" t="s">
        <v>13</v>
      </c>
      <c r="H592" s="2" t="s">
        <v>23</v>
      </c>
      <c r="I592" s="2">
        <v>3</v>
      </c>
      <c r="J592" s="2"/>
      <c r="K592" s="2">
        <f>5840.1+648.9</f>
        <v>6489</v>
      </c>
      <c r="L592" s="35">
        <f t="shared" si="32"/>
        <v>20279487.690000001</v>
      </c>
      <c r="M592" s="36">
        <v>90</v>
      </c>
      <c r="N592" s="40">
        <v>169549.839285714</v>
      </c>
      <c r="O592" s="40">
        <v>0</v>
      </c>
      <c r="P592" s="40">
        <v>133459.64285714299</v>
      </c>
      <c r="Q592" s="40">
        <v>0</v>
      </c>
      <c r="R592" s="40">
        <v>9206.3157894736796</v>
      </c>
      <c r="S592" s="40">
        <v>186503.157894737</v>
      </c>
      <c r="T592" s="37">
        <v>30000</v>
      </c>
      <c r="U592" s="40">
        <v>87992.857142857101</v>
      </c>
      <c r="V592" s="40">
        <v>0</v>
      </c>
      <c r="W592" s="45">
        <f t="shared" si="33"/>
        <v>616711.81296992465</v>
      </c>
      <c r="X592" s="46">
        <f t="shared" si="34"/>
        <v>3.0410620938616257</v>
      </c>
    </row>
    <row r="593" spans="1:24" s="4" customFormat="1" ht="15" customHeight="1">
      <c r="A593" s="28" t="s">
        <v>647</v>
      </c>
      <c r="B593" s="29">
        <v>3125.21</v>
      </c>
      <c r="C593" s="30" t="s">
        <v>971</v>
      </c>
      <c r="D593" s="2">
        <v>4948211903</v>
      </c>
      <c r="E593" s="2" t="s">
        <v>38</v>
      </c>
      <c r="F593" s="2" t="s">
        <v>972</v>
      </c>
      <c r="G593" s="28" t="s">
        <v>5</v>
      </c>
      <c r="H593" s="2" t="s">
        <v>17</v>
      </c>
      <c r="I593" s="2">
        <v>1</v>
      </c>
      <c r="J593" s="2" t="s">
        <v>973</v>
      </c>
      <c r="K593" s="2">
        <v>36035.4</v>
      </c>
      <c r="L593" s="35">
        <f t="shared" si="32"/>
        <v>112618192.434</v>
      </c>
      <c r="M593" s="36">
        <f>14630+1900</f>
        <v>16530</v>
      </c>
      <c r="N593" s="40">
        <v>0</v>
      </c>
      <c r="O593" s="37">
        <v>309346.60825862503</v>
      </c>
      <c r="P593" s="40">
        <v>0</v>
      </c>
      <c r="Q593" s="37">
        <v>74326.621841890796</v>
      </c>
      <c r="R593" s="40">
        <v>542899.33876332</v>
      </c>
      <c r="S593" s="40">
        <v>265051.45727278898</v>
      </c>
      <c r="T593" s="40"/>
      <c r="U593" s="40">
        <v>395681.802755718</v>
      </c>
      <c r="V593" s="40">
        <v>0</v>
      </c>
      <c r="W593" s="45">
        <f t="shared" si="33"/>
        <v>1587305.8288923427</v>
      </c>
      <c r="X593" s="46">
        <f t="shared" si="34"/>
        <v>1.4094577390971577</v>
      </c>
    </row>
    <row r="594" spans="1:24" s="4" customFormat="1" ht="15" customHeight="1">
      <c r="A594" s="28" t="s">
        <v>647</v>
      </c>
      <c r="B594" s="29">
        <v>3125.21</v>
      </c>
      <c r="C594" s="30" t="s">
        <v>971</v>
      </c>
      <c r="D594" s="2">
        <v>4948211903</v>
      </c>
      <c r="E594" s="2" t="s">
        <v>38</v>
      </c>
      <c r="F594" s="2" t="s">
        <v>972</v>
      </c>
      <c r="G594" s="28" t="s">
        <v>5</v>
      </c>
      <c r="H594" s="2" t="s">
        <v>17</v>
      </c>
      <c r="I594" s="2">
        <v>1</v>
      </c>
      <c r="J594" s="2" t="s">
        <v>973</v>
      </c>
      <c r="K594" s="2">
        <v>1366.47</v>
      </c>
      <c r="L594" s="35">
        <f t="shared" si="32"/>
        <v>4270505.7087000003</v>
      </c>
      <c r="M594" s="36">
        <v>567</v>
      </c>
      <c r="N594" s="40">
        <v>0</v>
      </c>
      <c r="O594" s="40">
        <v>10610.981662591699</v>
      </c>
      <c r="P594" s="40">
        <v>0</v>
      </c>
      <c r="Q594" s="40">
        <v>2549.4975550122199</v>
      </c>
      <c r="R594" s="40">
        <v>18623.519242516799</v>
      </c>
      <c r="S594" s="40">
        <v>9091.6017104459406</v>
      </c>
      <c r="T594" s="40"/>
      <c r="U594" s="40">
        <v>13572.3885155773</v>
      </c>
      <c r="V594" s="40">
        <v>0</v>
      </c>
      <c r="W594" s="45">
        <f t="shared" si="33"/>
        <v>54447.988686143959</v>
      </c>
      <c r="X594" s="46">
        <f t="shared" si="34"/>
        <v>1.2749775413066633</v>
      </c>
    </row>
    <row r="595" spans="1:24" s="4" customFormat="1" ht="15" customHeight="1">
      <c r="A595" s="28" t="s">
        <v>647</v>
      </c>
      <c r="B595" s="29">
        <v>3125.21</v>
      </c>
      <c r="C595" s="30" t="s">
        <v>971</v>
      </c>
      <c r="D595" s="2">
        <v>4948211903</v>
      </c>
      <c r="E595" s="2" t="s">
        <v>38</v>
      </c>
      <c r="F595" s="2" t="s">
        <v>972</v>
      </c>
      <c r="G595" s="28" t="s">
        <v>5</v>
      </c>
      <c r="H595" s="2" t="s">
        <v>17</v>
      </c>
      <c r="I595" s="2">
        <v>1</v>
      </c>
      <c r="J595" s="2" t="s">
        <v>973</v>
      </c>
      <c r="K595" s="2">
        <v>572.88</v>
      </c>
      <c r="L595" s="35">
        <f t="shared" si="32"/>
        <v>1790370.3048</v>
      </c>
      <c r="M595" s="36">
        <v>264</v>
      </c>
      <c r="N595" s="40">
        <v>0</v>
      </c>
      <c r="O595" s="40">
        <v>4940.5628905188796</v>
      </c>
      <c r="P595" s="40">
        <v>0</v>
      </c>
      <c r="Q595" s="40">
        <v>1187.0676446617799</v>
      </c>
      <c r="R595" s="40">
        <v>8671.2311817009395</v>
      </c>
      <c r="S595" s="40">
        <v>4233.1267223240302</v>
      </c>
      <c r="T595" s="40"/>
      <c r="U595" s="40">
        <v>6319.4189913799</v>
      </c>
      <c r="V595" s="40">
        <v>0</v>
      </c>
      <c r="W595" s="45">
        <f t="shared" si="33"/>
        <v>25351.407430585525</v>
      </c>
      <c r="X595" s="46">
        <f t="shared" si="34"/>
        <v>1.415986813600413</v>
      </c>
    </row>
    <row r="596" spans="1:24" s="4" customFormat="1" ht="15" customHeight="1">
      <c r="A596" s="28" t="s">
        <v>647</v>
      </c>
      <c r="B596" s="29">
        <v>3125.21</v>
      </c>
      <c r="C596" s="30" t="s">
        <v>971</v>
      </c>
      <c r="D596" s="2">
        <v>4948210198</v>
      </c>
      <c r="E596" s="2" t="s">
        <v>38</v>
      </c>
      <c r="F596" s="2" t="s">
        <v>972</v>
      </c>
      <c r="G596" s="28" t="s">
        <v>5</v>
      </c>
      <c r="H596" s="2" t="s">
        <v>17</v>
      </c>
      <c r="I596" s="2">
        <v>1</v>
      </c>
      <c r="J596" s="2" t="s">
        <v>973</v>
      </c>
      <c r="K596" s="2">
        <v>6976</v>
      </c>
      <c r="L596" s="35">
        <f t="shared" si="32"/>
        <v>21801464.960000001</v>
      </c>
      <c r="M596" s="36">
        <v>3200</v>
      </c>
      <c r="N596" s="40">
        <v>0</v>
      </c>
      <c r="O596" s="40">
        <v>59885.6107941683</v>
      </c>
      <c r="P596" s="40">
        <v>0</v>
      </c>
      <c r="Q596" s="40">
        <v>14388.6987231731</v>
      </c>
      <c r="R596" s="40">
        <v>105108.25674789</v>
      </c>
      <c r="S596" s="40">
        <v>51310.626937260997</v>
      </c>
      <c r="T596" s="40"/>
      <c r="U596" s="40">
        <v>76599.018077332104</v>
      </c>
      <c r="V596" s="40">
        <v>0</v>
      </c>
      <c r="W596" s="45">
        <f t="shared" si="33"/>
        <v>307292.21127982449</v>
      </c>
      <c r="X596" s="46">
        <f t="shared" si="34"/>
        <v>1.4095025808753012</v>
      </c>
    </row>
    <row r="597" spans="1:24" s="4" customFormat="1" ht="15" customHeight="1">
      <c r="A597" s="28" t="s">
        <v>647</v>
      </c>
      <c r="B597" s="29">
        <v>3125.21</v>
      </c>
      <c r="C597" s="30" t="s">
        <v>971</v>
      </c>
      <c r="D597" s="2">
        <v>4948210198</v>
      </c>
      <c r="E597" s="2" t="s">
        <v>38</v>
      </c>
      <c r="F597" s="2" t="s">
        <v>972</v>
      </c>
      <c r="G597" s="28" t="s">
        <v>5</v>
      </c>
      <c r="H597" s="2" t="s">
        <v>17</v>
      </c>
      <c r="I597" s="2">
        <v>1</v>
      </c>
      <c r="J597" s="2" t="s">
        <v>973</v>
      </c>
      <c r="K597" s="2">
        <v>1068.2</v>
      </c>
      <c r="L597" s="35">
        <f t="shared" si="32"/>
        <v>3338349.3220000002</v>
      </c>
      <c r="M597" s="36">
        <v>490</v>
      </c>
      <c r="N597" s="40">
        <v>0</v>
      </c>
      <c r="O597" s="40">
        <v>9169.9841528570105</v>
      </c>
      <c r="P597" s="40">
        <v>0</v>
      </c>
      <c r="Q597" s="40">
        <v>2203.26949198587</v>
      </c>
      <c r="R597" s="40">
        <v>16094.2018145207</v>
      </c>
      <c r="S597" s="40">
        <v>7856.9397497680902</v>
      </c>
      <c r="T597" s="40"/>
      <c r="U597" s="40">
        <v>11729.2246430915</v>
      </c>
      <c r="V597" s="40">
        <v>0</v>
      </c>
      <c r="W597" s="45">
        <f t="shared" si="33"/>
        <v>47053.619852223172</v>
      </c>
      <c r="X597" s="46">
        <f t="shared" si="34"/>
        <v>1.4094876034133366</v>
      </c>
    </row>
    <row r="598" spans="1:24" s="4" customFormat="1" ht="15" customHeight="1">
      <c r="A598" s="28" t="s">
        <v>647</v>
      </c>
      <c r="B598" s="29">
        <v>3125.21</v>
      </c>
      <c r="C598" s="30" t="s">
        <v>971</v>
      </c>
      <c r="D598" s="2">
        <v>4948210198</v>
      </c>
      <c r="E598" s="2" t="s">
        <v>38</v>
      </c>
      <c r="F598" s="2" t="s">
        <v>972</v>
      </c>
      <c r="G598" s="28" t="s">
        <v>5</v>
      </c>
      <c r="H598" s="2" t="s">
        <v>17</v>
      </c>
      <c r="I598" s="2">
        <v>1</v>
      </c>
      <c r="J598" s="2" t="s">
        <v>973</v>
      </c>
      <c r="K598" s="2">
        <v>287.76</v>
      </c>
      <c r="L598" s="35">
        <f t="shared" si="32"/>
        <v>899310.42960000003</v>
      </c>
      <c r="M598" s="36">
        <v>132</v>
      </c>
      <c r="N598" s="40">
        <v>0</v>
      </c>
      <c r="O598" s="40">
        <v>2470.2814452594398</v>
      </c>
      <c r="P598" s="40">
        <v>0</v>
      </c>
      <c r="Q598" s="40">
        <v>593.53382233088803</v>
      </c>
      <c r="R598" s="40">
        <v>4336.1155908504697</v>
      </c>
      <c r="S598" s="40">
        <v>2116.5633611620201</v>
      </c>
      <c r="T598" s="40"/>
      <c r="U598" s="40">
        <v>3159.70949568995</v>
      </c>
      <c r="V598" s="40">
        <v>0</v>
      </c>
      <c r="W598" s="45">
        <f t="shared" si="33"/>
        <v>12676.203715292766</v>
      </c>
      <c r="X598" s="46">
        <f t="shared" si="34"/>
        <v>1.4095470593987165</v>
      </c>
    </row>
    <row r="599" spans="1:24" s="4" customFormat="1" ht="15" customHeight="1">
      <c r="A599" s="28" t="s">
        <v>647</v>
      </c>
      <c r="B599" s="29">
        <v>3125.21</v>
      </c>
      <c r="C599" s="30" t="s">
        <v>971</v>
      </c>
      <c r="D599" s="2">
        <v>4948210198</v>
      </c>
      <c r="E599" s="2" t="s">
        <v>38</v>
      </c>
      <c r="F599" s="2" t="s">
        <v>972</v>
      </c>
      <c r="G599" s="28" t="s">
        <v>5</v>
      </c>
      <c r="H599" s="2" t="s">
        <v>17</v>
      </c>
      <c r="I599" s="2">
        <v>1</v>
      </c>
      <c r="J599" s="2" t="s">
        <v>973</v>
      </c>
      <c r="K599" s="2">
        <f>976.05+422.96</f>
        <v>1399.01</v>
      </c>
      <c r="L599" s="35">
        <f t="shared" si="32"/>
        <v>4372200.0421000002</v>
      </c>
      <c r="M599" s="36">
        <v>567</v>
      </c>
      <c r="N599" s="40">
        <v>0</v>
      </c>
      <c r="O599" s="40">
        <v>10610.981662591699</v>
      </c>
      <c r="P599" s="40">
        <v>0</v>
      </c>
      <c r="Q599" s="40">
        <v>2549.4975550122199</v>
      </c>
      <c r="R599" s="40">
        <v>19077.769700672001</v>
      </c>
      <c r="S599" s="40">
        <v>9308.0684178375104</v>
      </c>
      <c r="T599" s="40"/>
      <c r="U599" s="40">
        <v>13895.540623090999</v>
      </c>
      <c r="V599" s="40">
        <v>0</v>
      </c>
      <c r="W599" s="45">
        <f t="shared" si="33"/>
        <v>55441.857959204433</v>
      </c>
      <c r="X599" s="46">
        <f t="shared" si="34"/>
        <v>1.2680540100030577</v>
      </c>
    </row>
    <row r="600" spans="1:24" s="4" customFormat="1" ht="15" customHeight="1">
      <c r="A600" s="28" t="s">
        <v>647</v>
      </c>
      <c r="B600" s="29">
        <v>3125.21</v>
      </c>
      <c r="C600" s="30" t="s">
        <v>971</v>
      </c>
      <c r="D600" s="2">
        <v>4948210198</v>
      </c>
      <c r="E600" s="2" t="s">
        <v>38</v>
      </c>
      <c r="F600" s="2" t="s">
        <v>972</v>
      </c>
      <c r="G600" s="28" t="s">
        <v>5</v>
      </c>
      <c r="H600" s="2" t="s">
        <v>17</v>
      </c>
      <c r="I600" s="2">
        <v>1</v>
      </c>
      <c r="J600" s="2" t="s">
        <v>973</v>
      </c>
      <c r="K600" s="2">
        <f>442.68+286.44</f>
        <v>729.12</v>
      </c>
      <c r="L600" s="35">
        <f t="shared" si="32"/>
        <v>2278653.1151999999</v>
      </c>
      <c r="M600" s="36">
        <f>204+132</f>
        <v>336</v>
      </c>
      <c r="N600" s="40">
        <v>0</v>
      </c>
      <c r="O600" s="40">
        <v>6287.9891333876703</v>
      </c>
      <c r="P600" s="40">
        <v>0</v>
      </c>
      <c r="Q600" s="40">
        <v>1510.81336593317</v>
      </c>
      <c r="R600" s="40">
        <v>11036.5669585285</v>
      </c>
      <c r="S600" s="40">
        <v>5387.6158284124103</v>
      </c>
      <c r="T600" s="40"/>
      <c r="U600" s="40">
        <v>8042.8968981198695</v>
      </c>
      <c r="V600" s="40">
        <v>0</v>
      </c>
      <c r="W600" s="45">
        <f t="shared" si="33"/>
        <v>32265.882184381619</v>
      </c>
      <c r="X600" s="46">
        <f t="shared" si="34"/>
        <v>1.4160067615886154</v>
      </c>
    </row>
    <row r="601" spans="1:24" s="4" customFormat="1" ht="15" customHeight="1">
      <c r="A601" s="28" t="s">
        <v>647</v>
      </c>
      <c r="B601" s="29">
        <v>3125.21</v>
      </c>
      <c r="C601" s="30" t="s">
        <v>974</v>
      </c>
      <c r="D601" s="2">
        <v>4948291725</v>
      </c>
      <c r="E601" s="2" t="s">
        <v>36</v>
      </c>
      <c r="F601" s="2" t="s">
        <v>975</v>
      </c>
      <c r="G601" s="28" t="s">
        <v>5</v>
      </c>
      <c r="H601" s="2" t="s">
        <v>26</v>
      </c>
      <c r="I601" s="2">
        <v>4</v>
      </c>
      <c r="J601" s="2" t="s">
        <v>976</v>
      </c>
      <c r="K601" s="2">
        <v>77996.100000000006</v>
      </c>
      <c r="L601" s="35">
        <f t="shared" si="32"/>
        <v>243754191.68100002</v>
      </c>
      <c r="M601" s="36">
        <v>85710</v>
      </c>
      <c r="N601" s="37">
        <v>0</v>
      </c>
      <c r="O601" s="37">
        <v>1920003</v>
      </c>
      <c r="P601" s="37">
        <v>5641528</v>
      </c>
      <c r="Q601" s="37">
        <v>496548</v>
      </c>
      <c r="R601" s="37">
        <v>3286181</v>
      </c>
      <c r="S601" s="37">
        <v>343435</v>
      </c>
      <c r="T601" s="37"/>
      <c r="U601" s="37">
        <v>0</v>
      </c>
      <c r="V601" s="37">
        <v>0</v>
      </c>
      <c r="W601" s="45">
        <f t="shared" si="33"/>
        <v>11687695</v>
      </c>
      <c r="X601" s="46">
        <f t="shared" si="34"/>
        <v>4.7948693392299209</v>
      </c>
    </row>
    <row r="602" spans="1:24" s="4" customFormat="1" ht="15" customHeight="1">
      <c r="A602" s="28" t="s">
        <v>647</v>
      </c>
      <c r="B602" s="29">
        <v>3125.21</v>
      </c>
      <c r="C602" s="30" t="s">
        <v>977</v>
      </c>
      <c r="D602" s="2">
        <v>4948559404</v>
      </c>
      <c r="E602" s="2" t="s">
        <v>14</v>
      </c>
      <c r="F602" s="2" t="s">
        <v>978</v>
      </c>
      <c r="G602" s="28" t="s">
        <v>9</v>
      </c>
      <c r="H602" s="2" t="s">
        <v>23</v>
      </c>
      <c r="I602" s="2">
        <v>1</v>
      </c>
      <c r="J602" s="2"/>
      <c r="K602" s="2">
        <v>1829.48</v>
      </c>
      <c r="L602" s="35">
        <f t="shared" si="32"/>
        <v>5717509.1908</v>
      </c>
      <c r="M602" s="36">
        <v>1068</v>
      </c>
      <c r="N602" s="37">
        <v>562620</v>
      </c>
      <c r="O602" s="40">
        <v>721</v>
      </c>
      <c r="P602" s="37">
        <v>0</v>
      </c>
      <c r="Q602" s="37">
        <v>17326</v>
      </c>
      <c r="R602" s="37">
        <v>98029</v>
      </c>
      <c r="S602" s="37">
        <v>354356</v>
      </c>
      <c r="T602" s="37">
        <v>30000</v>
      </c>
      <c r="U602" s="37">
        <v>505516.16379310301</v>
      </c>
      <c r="V602" s="37">
        <v>0</v>
      </c>
      <c r="W602" s="45">
        <f t="shared" si="33"/>
        <v>1568568.1637931031</v>
      </c>
      <c r="X602" s="46">
        <f t="shared" si="34"/>
        <v>27.434466853452093</v>
      </c>
    </row>
    <row r="603" spans="1:24" s="4" customFormat="1" ht="15" customHeight="1">
      <c r="A603" s="28" t="s">
        <v>647</v>
      </c>
      <c r="B603" s="29">
        <v>3125.21</v>
      </c>
      <c r="C603" s="30" t="s">
        <v>979</v>
      </c>
      <c r="D603" s="2">
        <v>4948210674</v>
      </c>
      <c r="E603" s="2" t="s">
        <v>14</v>
      </c>
      <c r="F603" s="2" t="s">
        <v>980</v>
      </c>
      <c r="G603" s="28" t="s">
        <v>9</v>
      </c>
      <c r="H603" s="2" t="s">
        <v>23</v>
      </c>
      <c r="I603" s="2">
        <v>6</v>
      </c>
      <c r="J603" s="2"/>
      <c r="K603" s="2">
        <v>61668</v>
      </c>
      <c r="L603" s="35">
        <f t="shared" si="32"/>
        <v>192725450.28</v>
      </c>
      <c r="M603" s="36">
        <v>3600</v>
      </c>
      <c r="N603" s="37">
        <v>723283</v>
      </c>
      <c r="O603" s="37">
        <v>2366</v>
      </c>
      <c r="P603" s="37">
        <v>0</v>
      </c>
      <c r="Q603" s="37">
        <v>57372</v>
      </c>
      <c r="R603" s="37">
        <v>143529</v>
      </c>
      <c r="S603" s="37">
        <v>354356</v>
      </c>
      <c r="T603" s="37">
        <v>30000</v>
      </c>
      <c r="U603" s="37">
        <v>2085500</v>
      </c>
      <c r="V603" s="37">
        <v>0</v>
      </c>
      <c r="W603" s="45">
        <f t="shared" si="33"/>
        <v>3396406</v>
      </c>
      <c r="X603" s="46">
        <f t="shared" si="34"/>
        <v>1.7623027965769711</v>
      </c>
    </row>
    <row r="604" spans="1:24" s="4" customFormat="1" ht="15" customHeight="1">
      <c r="A604" s="28" t="s">
        <v>647</v>
      </c>
      <c r="B604" s="29">
        <v>3125.21</v>
      </c>
      <c r="C604" s="30" t="s">
        <v>981</v>
      </c>
      <c r="D604" s="2">
        <v>4947224863</v>
      </c>
      <c r="E604" s="2" t="s">
        <v>6</v>
      </c>
      <c r="F604" s="2" t="s">
        <v>982</v>
      </c>
      <c r="G604" s="28" t="s">
        <v>5</v>
      </c>
      <c r="H604" s="2" t="s">
        <v>17</v>
      </c>
      <c r="I604" s="2">
        <v>1</v>
      </c>
      <c r="J604" s="2" t="s">
        <v>983</v>
      </c>
      <c r="K604" s="2">
        <v>49636.800000000003</v>
      </c>
      <c r="L604" s="35">
        <f t="shared" si="32"/>
        <v>155125423.72800002</v>
      </c>
      <c r="M604" s="36">
        <v>14256</v>
      </c>
      <c r="N604" s="37">
        <v>317267</v>
      </c>
      <c r="O604" s="37">
        <v>515109</v>
      </c>
      <c r="P604" s="37">
        <v>0</v>
      </c>
      <c r="Q604" s="37">
        <v>124137</v>
      </c>
      <c r="R604" s="37">
        <v>912332</v>
      </c>
      <c r="S604" s="37">
        <v>354356</v>
      </c>
      <c r="T604" s="37">
        <v>30000</v>
      </c>
      <c r="U604" s="37">
        <v>4781550</v>
      </c>
      <c r="V604" s="37">
        <v>0</v>
      </c>
      <c r="W604" s="45">
        <f t="shared" si="33"/>
        <v>7034751</v>
      </c>
      <c r="X604" s="46">
        <f t="shared" si="34"/>
        <v>4.5348794742600482</v>
      </c>
    </row>
    <row r="605" spans="1:24" s="4" customFormat="1" ht="15" customHeight="1">
      <c r="A605" s="28" t="s">
        <v>647</v>
      </c>
      <c r="B605" s="29">
        <v>3125.21</v>
      </c>
      <c r="C605" s="30" t="s">
        <v>984</v>
      </c>
      <c r="D605" s="2">
        <v>4947198890</v>
      </c>
      <c r="E605" s="2" t="s">
        <v>6</v>
      </c>
      <c r="F605" s="2" t="s">
        <v>985</v>
      </c>
      <c r="G605" s="28" t="s">
        <v>5</v>
      </c>
      <c r="H605" s="2" t="s">
        <v>17</v>
      </c>
      <c r="I605" s="2">
        <v>1</v>
      </c>
      <c r="J605" s="2" t="s">
        <v>986</v>
      </c>
      <c r="K605" s="2">
        <v>30333.599999999999</v>
      </c>
      <c r="L605" s="35">
        <f t="shared" si="32"/>
        <v>94798870.055999994</v>
      </c>
      <c r="M605" s="36">
        <v>8712</v>
      </c>
      <c r="N605" s="37">
        <v>317267</v>
      </c>
      <c r="O605" s="37">
        <v>515109</v>
      </c>
      <c r="P605" s="37">
        <v>0</v>
      </c>
      <c r="Q605" s="37">
        <v>124137</v>
      </c>
      <c r="R605" s="37">
        <v>912332</v>
      </c>
      <c r="S605" s="37">
        <v>354356</v>
      </c>
      <c r="T605" s="37">
        <v>30000</v>
      </c>
      <c r="U605" s="37">
        <v>4054050</v>
      </c>
      <c r="V605" s="37">
        <v>0</v>
      </c>
      <c r="W605" s="45">
        <f t="shared" si="33"/>
        <v>6307251</v>
      </c>
      <c r="X605" s="46">
        <f t="shared" si="34"/>
        <v>6.6532976566853099</v>
      </c>
    </row>
    <row r="606" spans="1:24" s="4" customFormat="1" ht="15" customHeight="1">
      <c r="A606" s="28" t="s">
        <v>647</v>
      </c>
      <c r="B606" s="29">
        <v>3125.21</v>
      </c>
      <c r="C606" s="30" t="s">
        <v>987</v>
      </c>
      <c r="D606" s="2">
        <v>4947224359</v>
      </c>
      <c r="E606" s="2" t="s">
        <v>6</v>
      </c>
      <c r="F606" s="2" t="s">
        <v>988</v>
      </c>
      <c r="G606" s="28" t="s">
        <v>5</v>
      </c>
      <c r="H606" s="2" t="s">
        <v>17</v>
      </c>
      <c r="I606" s="2">
        <v>1</v>
      </c>
      <c r="J606" s="2" t="s">
        <v>989</v>
      </c>
      <c r="K606" s="2">
        <v>139860</v>
      </c>
      <c r="L606" s="35">
        <f t="shared" si="32"/>
        <v>437091870.60000002</v>
      </c>
      <c r="M606" s="36">
        <f>3000+6000</f>
        <v>9000</v>
      </c>
      <c r="N606" s="37">
        <v>317267</v>
      </c>
      <c r="O606" s="37">
        <v>515109</v>
      </c>
      <c r="P606" s="37">
        <v>0</v>
      </c>
      <c r="Q606" s="37">
        <v>124137</v>
      </c>
      <c r="R606" s="37">
        <v>912332</v>
      </c>
      <c r="S606" s="37">
        <v>354356</v>
      </c>
      <c r="T606" s="37">
        <v>30000</v>
      </c>
      <c r="U606" s="37">
        <v>4054050</v>
      </c>
      <c r="V606" s="37">
        <v>1335000</v>
      </c>
      <c r="W606" s="45">
        <f t="shared" si="33"/>
        <v>7642251</v>
      </c>
      <c r="X606" s="46">
        <f t="shared" si="34"/>
        <v>1.7484312827665753</v>
      </c>
    </row>
    <row r="607" spans="1:24" s="4" customFormat="1" ht="15" customHeight="1">
      <c r="A607" s="28" t="s">
        <v>647</v>
      </c>
      <c r="B607" s="29">
        <v>3125.21</v>
      </c>
      <c r="C607" s="30" t="s">
        <v>990</v>
      </c>
      <c r="D607" s="2">
        <v>4948471861</v>
      </c>
      <c r="E607" s="2" t="s">
        <v>38</v>
      </c>
      <c r="F607" s="2" t="s">
        <v>991</v>
      </c>
      <c r="G607" s="28" t="s">
        <v>5</v>
      </c>
      <c r="H607" s="2" t="s">
        <v>20</v>
      </c>
      <c r="I607" s="2">
        <v>1</v>
      </c>
      <c r="J607" s="2" t="s">
        <v>992</v>
      </c>
      <c r="K607" s="2">
        <v>31915.200000000001</v>
      </c>
      <c r="L607" s="35">
        <f t="shared" si="32"/>
        <v>99741702.192000002</v>
      </c>
      <c r="M607" s="36">
        <v>14640</v>
      </c>
      <c r="N607" s="40">
        <v>381959.74324324302</v>
      </c>
      <c r="O607" s="37">
        <v>259712.445945946</v>
      </c>
      <c r="P607" s="40">
        <v>85432.972972973002</v>
      </c>
      <c r="Q607" s="40">
        <v>81862.824324324305</v>
      </c>
      <c r="R607" s="40">
        <v>513873.20270270301</v>
      </c>
      <c r="S607" s="40">
        <v>292104.27027027</v>
      </c>
      <c r="T607" s="40"/>
      <c r="U607" s="40">
        <v>436067.56756756798</v>
      </c>
      <c r="V607" s="40">
        <v>0</v>
      </c>
      <c r="W607" s="45">
        <f t="shared" si="33"/>
        <v>2051013.0270270274</v>
      </c>
      <c r="X607" s="46">
        <f t="shared" si="34"/>
        <v>2.056324468053377</v>
      </c>
    </row>
    <row r="608" spans="1:24" s="4" customFormat="1" ht="15" customHeight="1">
      <c r="A608" s="28" t="s">
        <v>647</v>
      </c>
      <c r="B608" s="29">
        <v>3125.21</v>
      </c>
      <c r="C608" s="30" t="s">
        <v>990</v>
      </c>
      <c r="D608" s="2">
        <v>4948280417</v>
      </c>
      <c r="E608" s="2" t="s">
        <v>38</v>
      </c>
      <c r="F608" s="2" t="s">
        <v>991</v>
      </c>
      <c r="G608" s="28" t="s">
        <v>5</v>
      </c>
      <c r="H608" s="2" t="s">
        <v>20</v>
      </c>
      <c r="I608" s="2">
        <v>1</v>
      </c>
      <c r="J608" s="2" t="s">
        <v>992</v>
      </c>
      <c r="K608" s="2">
        <v>6801.6</v>
      </c>
      <c r="L608" s="35">
        <f t="shared" si="32"/>
        <v>21256428.336000003</v>
      </c>
      <c r="M608" s="36">
        <v>3120</v>
      </c>
      <c r="N608" s="40">
        <v>81401.256756756804</v>
      </c>
      <c r="O608" s="40">
        <v>55348.554054054097</v>
      </c>
      <c r="P608" s="40">
        <v>18207.027027027001</v>
      </c>
      <c r="Q608" s="40">
        <v>17446.175675675699</v>
      </c>
      <c r="R608" s="40">
        <v>109543.797297297</v>
      </c>
      <c r="S608" s="40">
        <v>62251.729729729697</v>
      </c>
      <c r="T608" s="40"/>
      <c r="U608" s="40">
        <v>92932.432432432397</v>
      </c>
      <c r="V608" s="40">
        <v>0</v>
      </c>
      <c r="W608" s="45">
        <f t="shared" si="33"/>
        <v>437130.97297297267</v>
      </c>
      <c r="X608" s="46">
        <f t="shared" si="34"/>
        <v>2.0564648306067737</v>
      </c>
    </row>
    <row r="609" spans="1:24" s="4" customFormat="1" ht="15" customHeight="1">
      <c r="A609" s="28" t="s">
        <v>647</v>
      </c>
      <c r="B609" s="29">
        <v>3125.21</v>
      </c>
      <c r="C609" s="30" t="s">
        <v>993</v>
      </c>
      <c r="D609" s="2">
        <v>4947320672</v>
      </c>
      <c r="E609" s="2" t="s">
        <v>14</v>
      </c>
      <c r="F609" s="2" t="s">
        <v>994</v>
      </c>
      <c r="G609" s="28" t="s">
        <v>5</v>
      </c>
      <c r="H609" s="2" t="s">
        <v>17</v>
      </c>
      <c r="I609" s="2">
        <v>1</v>
      </c>
      <c r="J609" s="2" t="s">
        <v>995</v>
      </c>
      <c r="K609" s="2">
        <v>25103.4</v>
      </c>
      <c r="L609" s="35">
        <f t="shared" si="32"/>
        <v>78453396.714000002</v>
      </c>
      <c r="M609" s="36">
        <v>18060</v>
      </c>
      <c r="N609" s="37">
        <v>0</v>
      </c>
      <c r="O609" s="37">
        <v>413323</v>
      </c>
      <c r="P609" s="37">
        <v>148057</v>
      </c>
      <c r="Q609" s="37">
        <v>99309</v>
      </c>
      <c r="R609" s="37">
        <v>717082</v>
      </c>
      <c r="S609" s="37">
        <v>354356</v>
      </c>
      <c r="T609" s="37">
        <v>30000</v>
      </c>
      <c r="U609" s="37">
        <v>0</v>
      </c>
      <c r="V609" s="37">
        <v>0</v>
      </c>
      <c r="W609" s="45">
        <f t="shared" si="33"/>
        <v>1762127</v>
      </c>
      <c r="X609" s="46">
        <f t="shared" si="34"/>
        <v>2.2460812071959002</v>
      </c>
    </row>
    <row r="610" spans="1:24" s="4" customFormat="1" ht="15" customHeight="1">
      <c r="A610" s="28" t="s">
        <v>647</v>
      </c>
      <c r="B610" s="29">
        <v>3125.21</v>
      </c>
      <c r="C610" s="30" t="s">
        <v>996</v>
      </c>
      <c r="D610" s="2">
        <v>4946765521</v>
      </c>
      <c r="E610" s="2" t="s">
        <v>6</v>
      </c>
      <c r="F610" s="2" t="s">
        <v>997</v>
      </c>
      <c r="G610" s="28" t="s">
        <v>9</v>
      </c>
      <c r="H610" s="2" t="s">
        <v>23</v>
      </c>
      <c r="I610" s="2">
        <v>4</v>
      </c>
      <c r="J610" s="2"/>
      <c r="K610" s="2">
        <v>19958.400000000001</v>
      </c>
      <c r="L610" s="35">
        <f t="shared" si="32"/>
        <v>62374191.264000006</v>
      </c>
      <c r="M610" s="36">
        <v>960</v>
      </c>
      <c r="N610" s="37">
        <v>808595</v>
      </c>
      <c r="O610" s="37">
        <v>1737</v>
      </c>
      <c r="P610" s="37">
        <v>93282</v>
      </c>
      <c r="Q610" s="37">
        <v>27600</v>
      </c>
      <c r="R610" s="37">
        <v>240354</v>
      </c>
      <c r="S610" s="37">
        <v>354356</v>
      </c>
      <c r="T610" s="37">
        <v>30000</v>
      </c>
      <c r="U610" s="37">
        <v>1367700</v>
      </c>
      <c r="V610" s="37">
        <v>0</v>
      </c>
      <c r="W610" s="45">
        <f t="shared" si="33"/>
        <v>2923624</v>
      </c>
      <c r="X610" s="46">
        <f t="shared" si="34"/>
        <v>4.6872335187893706</v>
      </c>
    </row>
    <row r="611" spans="1:24" s="4" customFormat="1" ht="15" customHeight="1">
      <c r="A611" s="28" t="s">
        <v>647</v>
      </c>
      <c r="B611" s="29">
        <v>3125.21</v>
      </c>
      <c r="C611" s="30" t="s">
        <v>998</v>
      </c>
      <c r="D611" s="2">
        <v>4947320677</v>
      </c>
      <c r="E611" s="2" t="s">
        <v>14</v>
      </c>
      <c r="F611" s="2" t="s">
        <v>999</v>
      </c>
      <c r="G611" s="28" t="s">
        <v>5</v>
      </c>
      <c r="H611" s="2" t="s">
        <v>17</v>
      </c>
      <c r="I611" s="2">
        <v>1</v>
      </c>
      <c r="J611" s="2" t="s">
        <v>1000</v>
      </c>
      <c r="K611" s="2">
        <v>25103.4</v>
      </c>
      <c r="L611" s="35">
        <f t="shared" si="32"/>
        <v>78453396.714000002</v>
      </c>
      <c r="M611" s="36">
        <v>18060</v>
      </c>
      <c r="N611" s="37">
        <v>0</v>
      </c>
      <c r="O611" s="37">
        <v>413323</v>
      </c>
      <c r="P611" s="37">
        <v>148057</v>
      </c>
      <c r="Q611" s="37">
        <v>99309</v>
      </c>
      <c r="R611" s="37">
        <v>717082</v>
      </c>
      <c r="S611" s="37">
        <v>354356</v>
      </c>
      <c r="T611" s="37">
        <v>30000</v>
      </c>
      <c r="U611" s="37">
        <v>0</v>
      </c>
      <c r="V611" s="37">
        <v>0</v>
      </c>
      <c r="W611" s="45">
        <f t="shared" si="33"/>
        <v>1762127</v>
      </c>
      <c r="X611" s="46">
        <f t="shared" si="34"/>
        <v>2.2460812071959002</v>
      </c>
    </row>
    <row r="612" spans="1:24" s="4" customFormat="1" ht="15" customHeight="1">
      <c r="A612" s="28" t="s">
        <v>647</v>
      </c>
      <c r="B612" s="29">
        <v>3125.21</v>
      </c>
      <c r="C612" s="30" t="s">
        <v>1001</v>
      </c>
      <c r="D612" s="2">
        <v>4948618682</v>
      </c>
      <c r="E612" s="2" t="s">
        <v>18</v>
      </c>
      <c r="F612" s="2" t="s">
        <v>1002</v>
      </c>
      <c r="G612" s="28" t="s">
        <v>9</v>
      </c>
      <c r="H612" s="2" t="s">
        <v>23</v>
      </c>
      <c r="I612" s="2">
        <v>13</v>
      </c>
      <c r="J612" s="2"/>
      <c r="K612" s="2">
        <v>12840</v>
      </c>
      <c r="L612" s="35">
        <f t="shared" si="32"/>
        <v>40127696.399999999</v>
      </c>
      <c r="M612" s="36">
        <v>4000</v>
      </c>
      <c r="N612" s="40">
        <v>2236094.4055944099</v>
      </c>
      <c r="O612" s="40">
        <v>2597.5524475524498</v>
      </c>
      <c r="P612" s="40">
        <v>170270.27972028</v>
      </c>
      <c r="Q612" s="40">
        <v>64293.006993007002</v>
      </c>
      <c r="R612" s="40">
        <v>108132.867132867</v>
      </c>
      <c r="S612" s="40">
        <v>123900.69930069899</v>
      </c>
      <c r="T612" s="37">
        <v>30000</v>
      </c>
      <c r="U612" s="40">
        <v>1458391.60839161</v>
      </c>
      <c r="V612" s="40">
        <v>466783.21678321698</v>
      </c>
      <c r="W612" s="45">
        <f t="shared" si="33"/>
        <v>4660463.6363636423</v>
      </c>
      <c r="X612" s="46">
        <f t="shared" si="34"/>
        <v>11.614082178820617</v>
      </c>
    </row>
    <row r="613" spans="1:24" s="4" customFormat="1" ht="15" customHeight="1">
      <c r="A613" s="28" t="s">
        <v>647</v>
      </c>
      <c r="B613" s="29">
        <v>3125.21</v>
      </c>
      <c r="C613" s="30" t="s">
        <v>1001</v>
      </c>
      <c r="D613" s="2">
        <v>4947978385</v>
      </c>
      <c r="E613" s="2" t="s">
        <v>18</v>
      </c>
      <c r="F613" s="2" t="s">
        <v>1002</v>
      </c>
      <c r="G613" s="28" t="s">
        <v>9</v>
      </c>
      <c r="H613" s="2" t="s">
        <v>23</v>
      </c>
      <c r="I613" s="2">
        <v>13</v>
      </c>
      <c r="J613" s="2"/>
      <c r="K613" s="2">
        <v>78206.399999999994</v>
      </c>
      <c r="L613" s="35">
        <f t="shared" si="32"/>
        <v>244411423.34399998</v>
      </c>
      <c r="M613" s="36">
        <v>1440</v>
      </c>
      <c r="N613" s="40">
        <v>804993.98601398605</v>
      </c>
      <c r="O613" s="40">
        <v>935.11888111888095</v>
      </c>
      <c r="P613" s="40">
        <v>61297.3006993007</v>
      </c>
      <c r="Q613" s="40">
        <v>23145.482517482498</v>
      </c>
      <c r="R613" s="40">
        <v>38927.832167832203</v>
      </c>
      <c r="S613" s="40">
        <v>44604.251748251801</v>
      </c>
      <c r="T613" s="37">
        <v>30000</v>
      </c>
      <c r="U613" s="40">
        <v>525020.97902097902</v>
      </c>
      <c r="V613" s="40">
        <v>168041.95804195799</v>
      </c>
      <c r="W613" s="45">
        <f t="shared" si="33"/>
        <v>1696966.9090909092</v>
      </c>
      <c r="X613" s="46">
        <f t="shared" si="34"/>
        <v>0.69430752698595899</v>
      </c>
    </row>
    <row r="614" spans="1:24" s="4" customFormat="1" ht="15" customHeight="1">
      <c r="A614" s="28" t="s">
        <v>647</v>
      </c>
      <c r="B614" s="29">
        <v>3125.21</v>
      </c>
      <c r="C614" s="30" t="s">
        <v>1001</v>
      </c>
      <c r="D614" s="2">
        <v>4948605868</v>
      </c>
      <c r="E614" s="2" t="s">
        <v>18</v>
      </c>
      <c r="F614" s="2" t="s">
        <v>1002</v>
      </c>
      <c r="G614" s="28" t="s">
        <v>9</v>
      </c>
      <c r="H614" s="2" t="s">
        <v>23</v>
      </c>
      <c r="I614" s="2">
        <v>13</v>
      </c>
      <c r="J614" s="2"/>
      <c r="K614" s="2">
        <v>45800</v>
      </c>
      <c r="L614" s="35">
        <f t="shared" si="32"/>
        <v>143134618</v>
      </c>
      <c r="M614" s="36">
        <v>5000</v>
      </c>
      <c r="N614" s="40">
        <v>2795118.0069930102</v>
      </c>
      <c r="O614" s="40">
        <v>3246.9405594405598</v>
      </c>
      <c r="P614" s="40">
        <v>212837.84965034999</v>
      </c>
      <c r="Q614" s="40">
        <v>80366.258741258702</v>
      </c>
      <c r="R614" s="40">
        <v>135166.083916084</v>
      </c>
      <c r="S614" s="40">
        <v>154875.87412587399</v>
      </c>
      <c r="T614" s="37">
        <v>30000</v>
      </c>
      <c r="U614" s="40">
        <v>1822989.5104895099</v>
      </c>
      <c r="V614" s="40">
        <v>583479.02097902098</v>
      </c>
      <c r="W614" s="45">
        <f t="shared" si="33"/>
        <v>5818079.5454545487</v>
      </c>
      <c r="X614" s="46">
        <f t="shared" si="34"/>
        <v>4.0647605916372713</v>
      </c>
    </row>
    <row r="615" spans="1:24" s="4" customFormat="1" ht="15" customHeight="1">
      <c r="A615" s="28" t="s">
        <v>647</v>
      </c>
      <c r="B615" s="29">
        <v>3125.21</v>
      </c>
      <c r="C615" s="30" t="s">
        <v>1001</v>
      </c>
      <c r="D615" s="2">
        <v>4948242174</v>
      </c>
      <c r="E615" s="2" t="s">
        <v>18</v>
      </c>
      <c r="F615" s="2" t="s">
        <v>1002</v>
      </c>
      <c r="G615" s="28" t="s">
        <v>9</v>
      </c>
      <c r="H615" s="2" t="s">
        <v>23</v>
      </c>
      <c r="I615" s="2">
        <v>13</v>
      </c>
      <c r="J615" s="2"/>
      <c r="K615" s="2">
        <v>3810</v>
      </c>
      <c r="L615" s="35">
        <f t="shared" si="32"/>
        <v>11907050.1</v>
      </c>
      <c r="M615" s="36">
        <v>1000</v>
      </c>
      <c r="N615" s="40">
        <v>559023.60139860096</v>
      </c>
      <c r="O615" s="40">
        <v>649.38811188811201</v>
      </c>
      <c r="P615" s="40">
        <v>42567.569930069898</v>
      </c>
      <c r="Q615" s="40">
        <v>16073.2517482517</v>
      </c>
      <c r="R615" s="40">
        <v>27033.216783216802</v>
      </c>
      <c r="S615" s="40">
        <v>30975.174825174799</v>
      </c>
      <c r="T615" s="37">
        <v>30000</v>
      </c>
      <c r="U615" s="40">
        <v>364597.90209790203</v>
      </c>
      <c r="V615" s="40">
        <v>116695.804195804</v>
      </c>
      <c r="W615" s="45">
        <f t="shared" si="33"/>
        <v>1187615.9090909082</v>
      </c>
      <c r="X615" s="46">
        <f t="shared" si="34"/>
        <v>9.9740565389147751</v>
      </c>
    </row>
    <row r="616" spans="1:24" s="4" customFormat="1" ht="15" customHeight="1">
      <c r="A616" s="28" t="s">
        <v>647</v>
      </c>
      <c r="B616" s="29">
        <v>3125.21</v>
      </c>
      <c r="C616" s="30" t="s">
        <v>1003</v>
      </c>
      <c r="D616" s="2">
        <v>4948796532</v>
      </c>
      <c r="E616" s="2" t="s">
        <v>24</v>
      </c>
      <c r="F616" s="2" t="s">
        <v>1004</v>
      </c>
      <c r="G616" s="28" t="s">
        <v>5</v>
      </c>
      <c r="H616" s="2" t="s">
        <v>26</v>
      </c>
      <c r="I616" s="2">
        <v>1</v>
      </c>
      <c r="J616" s="2" t="s">
        <v>1005</v>
      </c>
      <c r="K616" s="2">
        <v>32498.55</v>
      </c>
      <c r="L616" s="35">
        <f t="shared" si="32"/>
        <v>101564793.4455</v>
      </c>
      <c r="M616" s="36">
        <v>24435</v>
      </c>
      <c r="N616" s="37">
        <v>0</v>
      </c>
      <c r="O616" s="37">
        <v>372313</v>
      </c>
      <c r="P616" s="37">
        <v>213219</v>
      </c>
      <c r="Q616" s="37">
        <v>102386</v>
      </c>
      <c r="R616" s="37">
        <v>747175</v>
      </c>
      <c r="S616" s="37">
        <v>354356</v>
      </c>
      <c r="T616" s="37"/>
      <c r="U616" s="37">
        <v>0</v>
      </c>
      <c r="V616" s="37">
        <v>0</v>
      </c>
      <c r="W616" s="45">
        <f t="shared" si="33"/>
        <v>1789449</v>
      </c>
      <c r="X616" s="46">
        <f t="shared" si="34"/>
        <v>1.7618792293022525</v>
      </c>
    </row>
    <row r="617" spans="1:24" s="4" customFormat="1" ht="15" customHeight="1">
      <c r="A617" s="28" t="s">
        <v>647</v>
      </c>
      <c r="B617" s="29">
        <v>3125.21</v>
      </c>
      <c r="C617" s="30" t="s">
        <v>1006</v>
      </c>
      <c r="D617" s="2" t="s">
        <v>1007</v>
      </c>
      <c r="E617" s="2" t="s">
        <v>14</v>
      </c>
      <c r="F617" s="2" t="s">
        <v>1008</v>
      </c>
      <c r="G617" s="28" t="s">
        <v>9</v>
      </c>
      <c r="H617" s="2" t="s">
        <v>23</v>
      </c>
      <c r="I617" s="2">
        <v>10</v>
      </c>
      <c r="J617" s="2"/>
      <c r="K617" s="2">
        <v>6410</v>
      </c>
      <c r="L617" s="35">
        <f t="shared" si="32"/>
        <v>20032596.100000001</v>
      </c>
      <c r="M617" s="36">
        <v>1000</v>
      </c>
      <c r="N617" s="40">
        <v>532221.58671586704</v>
      </c>
      <c r="O617" s="40">
        <v>688.19188191881904</v>
      </c>
      <c r="P617" s="40">
        <v>0</v>
      </c>
      <c r="Q617" s="40">
        <v>21512.7306273063</v>
      </c>
      <c r="R617" s="40">
        <v>40960.885608856101</v>
      </c>
      <c r="S617" s="40">
        <v>65379.335793357903</v>
      </c>
      <c r="T617" s="37">
        <v>30000</v>
      </c>
      <c r="U617" s="40">
        <v>637121.77121771197</v>
      </c>
      <c r="V617" s="40">
        <v>0</v>
      </c>
      <c r="W617" s="45">
        <f t="shared" si="33"/>
        <v>1327884.501845018</v>
      </c>
      <c r="X617" s="46">
        <f t="shared" si="34"/>
        <v>6.6286191525871079</v>
      </c>
    </row>
    <row r="618" spans="1:24" s="4" customFormat="1" ht="15" customHeight="1">
      <c r="A618" s="28" t="s">
        <v>647</v>
      </c>
      <c r="B618" s="29">
        <v>3125.21</v>
      </c>
      <c r="C618" s="30" t="s">
        <v>1006</v>
      </c>
      <c r="D618" s="2">
        <v>4948242174</v>
      </c>
      <c r="E618" s="2" t="s">
        <v>14</v>
      </c>
      <c r="F618" s="2" t="s">
        <v>1008</v>
      </c>
      <c r="G618" s="28" t="s">
        <v>9</v>
      </c>
      <c r="H618" s="2" t="s">
        <v>23</v>
      </c>
      <c r="I618" s="2">
        <v>10</v>
      </c>
      <c r="J618" s="2"/>
      <c r="K618" s="2">
        <v>4790</v>
      </c>
      <c r="L618" s="35">
        <f t="shared" si="32"/>
        <v>14969755.9</v>
      </c>
      <c r="M618" s="36">
        <v>1000</v>
      </c>
      <c r="N618" s="40">
        <v>532221.58671586704</v>
      </c>
      <c r="O618" s="40">
        <v>688.19188191881904</v>
      </c>
      <c r="P618" s="40">
        <v>0</v>
      </c>
      <c r="Q618" s="40">
        <v>21512.7306273063</v>
      </c>
      <c r="R618" s="40">
        <v>40960.885608856101</v>
      </c>
      <c r="S618" s="40">
        <v>65379.335793357903</v>
      </c>
      <c r="T618" s="37">
        <v>30000</v>
      </c>
      <c r="U618" s="40">
        <v>637121.77121771197</v>
      </c>
      <c r="V618" s="40">
        <v>0</v>
      </c>
      <c r="W618" s="45">
        <f t="shared" si="33"/>
        <v>1327884.501845018</v>
      </c>
      <c r="X618" s="46">
        <f t="shared" si="34"/>
        <v>8.870448594589428</v>
      </c>
    </row>
    <row r="619" spans="1:24" s="4" customFormat="1" ht="15" customHeight="1">
      <c r="A619" s="28" t="s">
        <v>647</v>
      </c>
      <c r="B619" s="29">
        <v>3125.21</v>
      </c>
      <c r="C619" s="30" t="s">
        <v>1006</v>
      </c>
      <c r="D619" s="2">
        <v>4948242175</v>
      </c>
      <c r="E619" s="2" t="s">
        <v>14</v>
      </c>
      <c r="F619" s="2" t="s">
        <v>1008</v>
      </c>
      <c r="G619" s="28" t="s">
        <v>9</v>
      </c>
      <c r="H619" s="2" t="s">
        <v>23</v>
      </c>
      <c r="I619" s="2">
        <v>10</v>
      </c>
      <c r="J619" s="2"/>
      <c r="K619" s="2">
        <v>27885</v>
      </c>
      <c r="L619" s="35">
        <f t="shared" si="32"/>
        <v>87146480.849999994</v>
      </c>
      <c r="M619" s="36">
        <v>3300</v>
      </c>
      <c r="N619" s="40">
        <v>1756331.2361623601</v>
      </c>
      <c r="O619" s="40">
        <v>2271.0332103321002</v>
      </c>
      <c r="P619" s="40">
        <v>0</v>
      </c>
      <c r="Q619" s="40">
        <v>70992.011070110704</v>
      </c>
      <c r="R619" s="40">
        <v>135170.922509225</v>
      </c>
      <c r="S619" s="40">
        <v>215751.80811808101</v>
      </c>
      <c r="T619" s="37">
        <v>30000</v>
      </c>
      <c r="U619" s="40">
        <v>2102501.8450184502</v>
      </c>
      <c r="V619" s="40">
        <v>0</v>
      </c>
      <c r="W619" s="45">
        <f t="shared" si="33"/>
        <v>4313018.8560885591</v>
      </c>
      <c r="X619" s="46">
        <f t="shared" si="34"/>
        <v>4.949160096908904</v>
      </c>
    </row>
    <row r="620" spans="1:24" s="4" customFormat="1" ht="15" customHeight="1">
      <c r="A620" s="28" t="s">
        <v>647</v>
      </c>
      <c r="B620" s="29">
        <v>3125.21</v>
      </c>
      <c r="C620" s="30" t="s">
        <v>1006</v>
      </c>
      <c r="D620" s="2">
        <v>4948242175</v>
      </c>
      <c r="E620" s="2" t="s">
        <v>14</v>
      </c>
      <c r="F620" s="2" t="s">
        <v>1008</v>
      </c>
      <c r="G620" s="28" t="s">
        <v>9</v>
      </c>
      <c r="H620" s="2" t="s">
        <v>23</v>
      </c>
      <c r="I620" s="2">
        <v>10</v>
      </c>
      <c r="J620" s="2"/>
      <c r="K620" s="2">
        <v>5280</v>
      </c>
      <c r="L620" s="35">
        <f t="shared" si="32"/>
        <v>16501108.800000001</v>
      </c>
      <c r="M620" s="36">
        <v>120</v>
      </c>
      <c r="N620" s="40">
        <v>63866.590405904099</v>
      </c>
      <c r="O620" s="40">
        <v>82.583025830258293</v>
      </c>
      <c r="P620" s="40">
        <v>0</v>
      </c>
      <c r="Q620" s="40">
        <v>2581.52767527675</v>
      </c>
      <c r="R620" s="40">
        <v>4915.3062730627298</v>
      </c>
      <c r="S620" s="40">
        <v>7845.5202952029504</v>
      </c>
      <c r="T620" s="37">
        <v>30000</v>
      </c>
      <c r="U620" s="40">
        <v>76454.6125461255</v>
      </c>
      <c r="V620" s="40">
        <v>0</v>
      </c>
      <c r="W620" s="45">
        <f t="shared" si="33"/>
        <v>185746.14022140228</v>
      </c>
      <c r="X620" s="46">
        <f t="shared" si="34"/>
        <v>1.1256585389061993</v>
      </c>
    </row>
    <row r="621" spans="1:24" s="4" customFormat="1" ht="15" customHeight="1">
      <c r="A621" s="28" t="s">
        <v>647</v>
      </c>
      <c r="B621" s="29">
        <v>3125.21</v>
      </c>
      <c r="C621" s="30" t="s">
        <v>1009</v>
      </c>
      <c r="D621" s="2">
        <v>4948536571</v>
      </c>
      <c r="E621" s="2" t="s">
        <v>18</v>
      </c>
      <c r="F621" s="2" t="s">
        <v>1010</v>
      </c>
      <c r="G621" s="28" t="s">
        <v>5</v>
      </c>
      <c r="H621" s="2" t="s">
        <v>32</v>
      </c>
      <c r="I621" s="2">
        <v>1</v>
      </c>
      <c r="J621" s="2" t="s">
        <v>1011</v>
      </c>
      <c r="K621" s="2">
        <v>3345</v>
      </c>
      <c r="L621" s="35">
        <f t="shared" si="32"/>
        <v>10453827.449999999</v>
      </c>
      <c r="M621" s="36">
        <v>1500</v>
      </c>
      <c r="N621" s="40">
        <v>105755.66666666701</v>
      </c>
      <c r="O621" s="40">
        <v>105020.33333333299</v>
      </c>
      <c r="P621" s="40">
        <v>0</v>
      </c>
      <c r="Q621" s="40">
        <v>33103</v>
      </c>
      <c r="R621" s="40">
        <v>415984.66666666698</v>
      </c>
      <c r="S621" s="40">
        <v>118118.66666666701</v>
      </c>
      <c r="T621" s="37">
        <v>30000</v>
      </c>
      <c r="U621" s="40">
        <v>709994.61206896603</v>
      </c>
      <c r="V621" s="40">
        <v>0</v>
      </c>
      <c r="W621" s="45">
        <f t="shared" si="33"/>
        <v>1517976.9454023</v>
      </c>
      <c r="X621" s="46">
        <f t="shared" si="34"/>
        <v>14.520776745767888</v>
      </c>
    </row>
    <row r="622" spans="1:24" s="4" customFormat="1" ht="15" customHeight="1">
      <c r="A622" s="28" t="s">
        <v>647</v>
      </c>
      <c r="B622" s="29">
        <v>3125.21</v>
      </c>
      <c r="C622" s="30" t="s">
        <v>1009</v>
      </c>
      <c r="D622" s="2">
        <v>4948536575</v>
      </c>
      <c r="E622" s="2" t="s">
        <v>18</v>
      </c>
      <c r="F622" s="2" t="s">
        <v>1010</v>
      </c>
      <c r="G622" s="28" t="s">
        <v>5</v>
      </c>
      <c r="H622" s="2" t="s">
        <v>32</v>
      </c>
      <c r="I622" s="2">
        <v>1</v>
      </c>
      <c r="J622" s="2" t="s">
        <v>1011</v>
      </c>
      <c r="K622" s="2">
        <v>7740</v>
      </c>
      <c r="L622" s="35">
        <f t="shared" si="32"/>
        <v>24189125.399999999</v>
      </c>
      <c r="M622" s="36">
        <f>2780+220</f>
        <v>3000</v>
      </c>
      <c r="N622" s="40">
        <v>211511.33333333299</v>
      </c>
      <c r="O622" s="40">
        <v>210040.66666666701</v>
      </c>
      <c r="P622" s="40">
        <v>0</v>
      </c>
      <c r="Q622" s="40">
        <v>66206</v>
      </c>
      <c r="R622" s="40">
        <v>831970.33333333302</v>
      </c>
      <c r="S622" s="40">
        <v>236237.33333333299</v>
      </c>
      <c r="T622" s="37">
        <v>30000</v>
      </c>
      <c r="U622" s="40">
        <v>1419989.22413793</v>
      </c>
      <c r="V622" s="40">
        <v>0</v>
      </c>
      <c r="W622" s="45">
        <f t="shared" si="33"/>
        <v>3005954.8908045962</v>
      </c>
      <c r="X622" s="46">
        <f t="shared" si="34"/>
        <v>12.426885392080345</v>
      </c>
    </row>
    <row r="623" spans="1:24" s="4" customFormat="1" ht="15" customHeight="1">
      <c r="A623" s="28" t="s">
        <v>647</v>
      </c>
      <c r="B623" s="29">
        <v>3125.21</v>
      </c>
      <c r="C623" s="30" t="s">
        <v>1012</v>
      </c>
      <c r="D623" s="2">
        <v>4947705171</v>
      </c>
      <c r="E623" s="2" t="s">
        <v>14</v>
      </c>
      <c r="F623" s="2" t="s">
        <v>1013</v>
      </c>
      <c r="G623" s="28" t="s">
        <v>9</v>
      </c>
      <c r="H623" s="2" t="s">
        <v>23</v>
      </c>
      <c r="I623" s="2">
        <v>30</v>
      </c>
      <c r="J623" s="2"/>
      <c r="K623" s="2">
        <v>2562</v>
      </c>
      <c r="L623" s="35">
        <f t="shared" si="32"/>
        <v>8006788.0200000005</v>
      </c>
      <c r="M623" s="36">
        <v>525</v>
      </c>
      <c r="N623" s="40">
        <v>92688.316941624405</v>
      </c>
      <c r="O623" s="40">
        <v>350.01110406091402</v>
      </c>
      <c r="P623" s="40">
        <v>0</v>
      </c>
      <c r="Q623" s="40">
        <v>8666.3309010152298</v>
      </c>
      <c r="R623" s="40">
        <v>10195.6265862944</v>
      </c>
      <c r="S623" s="40">
        <v>11804.3718274112</v>
      </c>
      <c r="T623" s="37">
        <v>30000</v>
      </c>
      <c r="U623" s="40">
        <v>277890.22842639597</v>
      </c>
      <c r="V623" s="40">
        <v>0</v>
      </c>
      <c r="W623" s="45">
        <f t="shared" si="33"/>
        <v>431594.88578680216</v>
      </c>
      <c r="X623" s="46">
        <f t="shared" si="34"/>
        <v>5.390362336416672</v>
      </c>
    </row>
    <row r="624" spans="1:24" s="4" customFormat="1" ht="15" customHeight="1">
      <c r="A624" s="28" t="s">
        <v>647</v>
      </c>
      <c r="B624" s="29">
        <v>3125.21</v>
      </c>
      <c r="C624" s="30" t="s">
        <v>1012</v>
      </c>
      <c r="D624" s="2">
        <v>4948037019</v>
      </c>
      <c r="E624" s="2" t="s">
        <v>14</v>
      </c>
      <c r="F624" s="2" t="s">
        <v>1013</v>
      </c>
      <c r="G624" s="28" t="s">
        <v>9</v>
      </c>
      <c r="H624" s="2" t="s">
        <v>23</v>
      </c>
      <c r="I624" s="2">
        <v>30</v>
      </c>
      <c r="J624" s="2"/>
      <c r="K624" s="2">
        <v>23777.599999999999</v>
      </c>
      <c r="L624" s="35">
        <f t="shared" si="32"/>
        <v>74309993.295999989</v>
      </c>
      <c r="M624" s="36">
        <v>6160</v>
      </c>
      <c r="N624" s="40">
        <v>1087542.9187817301</v>
      </c>
      <c r="O624" s="40">
        <v>4106.7969543147201</v>
      </c>
      <c r="P624" s="40">
        <v>0</v>
      </c>
      <c r="Q624" s="40">
        <v>101684.94923857901</v>
      </c>
      <c r="R624" s="40">
        <v>119628.68527918799</v>
      </c>
      <c r="S624" s="40">
        <v>138504.62944162401</v>
      </c>
      <c r="T624" s="37">
        <v>30000</v>
      </c>
      <c r="U624" s="40">
        <v>3260578.6802030499</v>
      </c>
      <c r="V624" s="40">
        <v>0</v>
      </c>
      <c r="W624" s="45">
        <f t="shared" si="33"/>
        <v>4742046.659898486</v>
      </c>
      <c r="X624" s="46">
        <f t="shared" si="34"/>
        <v>6.3814386861931585</v>
      </c>
    </row>
    <row r="625" spans="1:24" s="4" customFormat="1" ht="15" customHeight="1">
      <c r="A625" s="28" t="s">
        <v>647</v>
      </c>
      <c r="B625" s="29">
        <v>3125.21</v>
      </c>
      <c r="C625" s="30" t="s">
        <v>1012</v>
      </c>
      <c r="D625" s="2">
        <v>4947975537</v>
      </c>
      <c r="E625" s="2" t="s">
        <v>14</v>
      </c>
      <c r="F625" s="2" t="s">
        <v>1013</v>
      </c>
      <c r="G625" s="28" t="s">
        <v>9</v>
      </c>
      <c r="H625" s="2" t="s">
        <v>23</v>
      </c>
      <c r="I625" s="2">
        <v>30</v>
      </c>
      <c r="J625" s="2"/>
      <c r="K625" s="2">
        <v>1323</v>
      </c>
      <c r="L625" s="35">
        <f t="shared" si="32"/>
        <v>4134652.83</v>
      </c>
      <c r="M625" s="36">
        <v>420</v>
      </c>
      <c r="N625" s="40">
        <v>74150.653553299504</v>
      </c>
      <c r="O625" s="40">
        <v>280.00888324873102</v>
      </c>
      <c r="P625" s="40">
        <v>0</v>
      </c>
      <c r="Q625" s="40">
        <v>6933.06472081218</v>
      </c>
      <c r="R625" s="40">
        <v>8156.5012690355297</v>
      </c>
      <c r="S625" s="40">
        <v>9443.4974619289296</v>
      </c>
      <c r="T625" s="37">
        <v>30000</v>
      </c>
      <c r="U625" s="40">
        <v>222312.18274111699</v>
      </c>
      <c r="V625" s="40">
        <v>0</v>
      </c>
      <c r="W625" s="45">
        <f t="shared" si="33"/>
        <v>351275.90862944187</v>
      </c>
      <c r="X625" s="46">
        <f t="shared" si="34"/>
        <v>8.4958985209271329</v>
      </c>
    </row>
    <row r="626" spans="1:24" s="4" customFormat="1" ht="15" customHeight="1">
      <c r="A626" s="28" t="s">
        <v>647</v>
      </c>
      <c r="B626" s="29">
        <v>3125.21</v>
      </c>
      <c r="C626" s="30" t="s">
        <v>1012</v>
      </c>
      <c r="D626" s="2">
        <v>4948242174</v>
      </c>
      <c r="E626" s="2" t="s">
        <v>14</v>
      </c>
      <c r="F626" s="2" t="s">
        <v>1013</v>
      </c>
      <c r="G626" s="28" t="s">
        <v>9</v>
      </c>
      <c r="H626" s="2" t="s">
        <v>23</v>
      </c>
      <c r="I626" s="2">
        <v>30</v>
      </c>
      <c r="J626" s="2"/>
      <c r="K626" s="2">
        <v>6848</v>
      </c>
      <c r="L626" s="35">
        <f t="shared" si="32"/>
        <v>21401438.080000002</v>
      </c>
      <c r="M626" s="36">
        <v>800</v>
      </c>
      <c r="N626" s="40">
        <v>141239.340101523</v>
      </c>
      <c r="O626" s="40">
        <v>533.35025380710704</v>
      </c>
      <c r="P626" s="40">
        <v>0</v>
      </c>
      <c r="Q626" s="40">
        <v>13205.8375634518</v>
      </c>
      <c r="R626" s="40">
        <v>15536.192893400999</v>
      </c>
      <c r="S626" s="40">
        <v>17987.614213198001</v>
      </c>
      <c r="T626" s="37">
        <v>30000</v>
      </c>
      <c r="U626" s="40">
        <v>423451.776649746</v>
      </c>
      <c r="V626" s="40">
        <v>0</v>
      </c>
      <c r="W626" s="45">
        <f t="shared" si="33"/>
        <v>641954.11167512694</v>
      </c>
      <c r="X626" s="46">
        <f t="shared" si="34"/>
        <v>2.9995839965307924</v>
      </c>
    </row>
    <row r="627" spans="1:24" s="4" customFormat="1" ht="15" customHeight="1">
      <c r="A627" s="28" t="s">
        <v>647</v>
      </c>
      <c r="B627" s="29">
        <v>3125.21</v>
      </c>
      <c r="C627" s="30" t="s">
        <v>1012</v>
      </c>
      <c r="D627" s="2">
        <v>4948411915</v>
      </c>
      <c r="E627" s="2" t="s">
        <v>14</v>
      </c>
      <c r="F627" s="2" t="s">
        <v>1013</v>
      </c>
      <c r="G627" s="28" t="s">
        <v>9</v>
      </c>
      <c r="H627" s="2" t="s">
        <v>23</v>
      </c>
      <c r="I627" s="2">
        <v>30</v>
      </c>
      <c r="J627" s="2"/>
      <c r="K627" s="2">
        <v>8064</v>
      </c>
      <c r="L627" s="35">
        <f t="shared" si="32"/>
        <v>25201693.440000001</v>
      </c>
      <c r="M627" s="36">
        <v>3360</v>
      </c>
      <c r="N627" s="40">
        <v>593205.22842639603</v>
      </c>
      <c r="O627" s="40">
        <v>2240.07106598985</v>
      </c>
      <c r="P627" s="40">
        <v>0</v>
      </c>
      <c r="Q627" s="40">
        <v>55464.517766497498</v>
      </c>
      <c r="R627" s="40">
        <v>65252.010152284303</v>
      </c>
      <c r="S627" s="40">
        <v>75547.979695431495</v>
      </c>
      <c r="T627" s="37">
        <v>30000</v>
      </c>
      <c r="U627" s="40">
        <v>1778497.4619289299</v>
      </c>
      <c r="V627" s="40">
        <v>0</v>
      </c>
      <c r="W627" s="45">
        <f t="shared" si="33"/>
        <v>2600207.2690355293</v>
      </c>
      <c r="X627" s="46">
        <f t="shared" si="34"/>
        <v>10.317589471620559</v>
      </c>
    </row>
    <row r="628" spans="1:24" s="4" customFormat="1" ht="15" customHeight="1">
      <c r="A628" s="28" t="s">
        <v>647</v>
      </c>
      <c r="B628" s="29">
        <v>3125.21</v>
      </c>
      <c r="C628" s="30" t="s">
        <v>1012</v>
      </c>
      <c r="D628" s="2">
        <v>4948494947</v>
      </c>
      <c r="E628" s="2" t="s">
        <v>14</v>
      </c>
      <c r="F628" s="2" t="s">
        <v>1013</v>
      </c>
      <c r="G628" s="28" t="s">
        <v>9</v>
      </c>
      <c r="H628" s="2" t="s">
        <v>23</v>
      </c>
      <c r="I628" s="2">
        <v>30</v>
      </c>
      <c r="J628" s="2"/>
      <c r="K628" s="2">
        <v>817.95</v>
      </c>
      <c r="L628" s="35">
        <f t="shared" si="32"/>
        <v>2556265.5195000004</v>
      </c>
      <c r="M628" s="36">
        <v>205</v>
      </c>
      <c r="N628" s="40">
        <v>36192.580901015201</v>
      </c>
      <c r="O628" s="40">
        <v>136.67100253807101</v>
      </c>
      <c r="P628" s="40">
        <v>0</v>
      </c>
      <c r="Q628" s="40">
        <v>3383.99587563452</v>
      </c>
      <c r="R628" s="40">
        <v>3981.1494289340098</v>
      </c>
      <c r="S628" s="40">
        <v>4609.3261421319803</v>
      </c>
      <c r="T628" s="37">
        <v>30000</v>
      </c>
      <c r="U628" s="40">
        <v>108509.517766497</v>
      </c>
      <c r="V628" s="40">
        <v>0</v>
      </c>
      <c r="W628" s="45">
        <f t="shared" si="33"/>
        <v>186813.24111675078</v>
      </c>
      <c r="X628" s="46">
        <f t="shared" si="34"/>
        <v>7.3080530833624442</v>
      </c>
    </row>
    <row r="629" spans="1:24" s="4" customFormat="1" ht="15" customHeight="1">
      <c r="A629" s="28" t="s">
        <v>647</v>
      </c>
      <c r="B629" s="29">
        <v>3125.21</v>
      </c>
      <c r="C629" s="30" t="s">
        <v>1012</v>
      </c>
      <c r="D629" s="2">
        <v>4947774262</v>
      </c>
      <c r="E629" s="2" t="s">
        <v>14</v>
      </c>
      <c r="F629" s="2" t="s">
        <v>1013</v>
      </c>
      <c r="G629" s="28" t="s">
        <v>9</v>
      </c>
      <c r="H629" s="2" t="s">
        <v>23</v>
      </c>
      <c r="I629" s="2">
        <v>30</v>
      </c>
      <c r="J629" s="2"/>
      <c r="K629" s="2">
        <v>4711</v>
      </c>
      <c r="L629" s="35">
        <f t="shared" si="32"/>
        <v>14722864.310000001</v>
      </c>
      <c r="M629" s="36">
        <v>700</v>
      </c>
      <c r="N629" s="40">
        <v>123584.42258883201</v>
      </c>
      <c r="O629" s="40">
        <v>466.68147208121798</v>
      </c>
      <c r="P629" s="40">
        <v>0</v>
      </c>
      <c r="Q629" s="40">
        <v>11555.107868020301</v>
      </c>
      <c r="R629" s="40">
        <v>13594.168781725901</v>
      </c>
      <c r="S629" s="40">
        <v>15739.1624365482</v>
      </c>
      <c r="T629" s="37">
        <v>30000</v>
      </c>
      <c r="U629" s="40">
        <v>370520.30456852802</v>
      </c>
      <c r="V629" s="40">
        <v>0</v>
      </c>
      <c r="W629" s="45">
        <f t="shared" si="33"/>
        <v>565459.84771573567</v>
      </c>
      <c r="X629" s="46">
        <f t="shared" si="34"/>
        <v>3.8406918369251453</v>
      </c>
    </row>
    <row r="630" spans="1:24" s="4" customFormat="1" ht="15" customHeight="1">
      <c r="A630" s="28" t="s">
        <v>647</v>
      </c>
      <c r="B630" s="29">
        <v>3125.21</v>
      </c>
      <c r="C630" s="30" t="s">
        <v>1012</v>
      </c>
      <c r="D630" s="2">
        <v>4948540096</v>
      </c>
      <c r="E630" s="2" t="s">
        <v>14</v>
      </c>
      <c r="F630" s="2" t="s">
        <v>1013</v>
      </c>
      <c r="G630" s="28" t="s">
        <v>9</v>
      </c>
      <c r="H630" s="2" t="s">
        <v>23</v>
      </c>
      <c r="I630" s="2">
        <v>30</v>
      </c>
      <c r="J630" s="2"/>
      <c r="K630" s="2">
        <v>3172</v>
      </c>
      <c r="L630" s="35">
        <f t="shared" si="32"/>
        <v>9913166.120000001</v>
      </c>
      <c r="M630" s="36">
        <v>650</v>
      </c>
      <c r="N630" s="40">
        <v>114756.963832487</v>
      </c>
      <c r="O630" s="40">
        <v>433.34708121827401</v>
      </c>
      <c r="P630" s="40">
        <v>0</v>
      </c>
      <c r="Q630" s="40">
        <v>10729.743020304601</v>
      </c>
      <c r="R630" s="40">
        <v>12623.156725888301</v>
      </c>
      <c r="S630" s="40">
        <v>14614.936548223301</v>
      </c>
      <c r="T630" s="37">
        <v>30000</v>
      </c>
      <c r="U630" s="40">
        <v>344054.56852791901</v>
      </c>
      <c r="V630" s="40">
        <v>0</v>
      </c>
      <c r="W630" s="45">
        <f t="shared" si="33"/>
        <v>527212.7157360405</v>
      </c>
      <c r="X630" s="46">
        <f t="shared" si="34"/>
        <v>5.3183080900094959</v>
      </c>
    </row>
    <row r="631" spans="1:24" s="4" customFormat="1" ht="15" customHeight="1">
      <c r="A631" s="28" t="s">
        <v>647</v>
      </c>
      <c r="B631" s="29">
        <v>3125.21</v>
      </c>
      <c r="C631" s="30" t="s">
        <v>1012</v>
      </c>
      <c r="D631" s="2">
        <v>4947975534</v>
      </c>
      <c r="E631" s="2" t="s">
        <v>14</v>
      </c>
      <c r="F631" s="2" t="s">
        <v>1013</v>
      </c>
      <c r="G631" s="28" t="s">
        <v>9</v>
      </c>
      <c r="H631" s="2" t="s">
        <v>23</v>
      </c>
      <c r="I631" s="2">
        <v>30</v>
      </c>
      <c r="J631" s="2"/>
      <c r="K631" s="2">
        <v>1629.6</v>
      </c>
      <c r="L631" s="35">
        <f t="shared" si="32"/>
        <v>5092842.216</v>
      </c>
      <c r="M631" s="36">
        <v>420</v>
      </c>
      <c r="N631" s="40">
        <v>74150.653553299504</v>
      </c>
      <c r="O631" s="40">
        <v>280.00888324873102</v>
      </c>
      <c r="P631" s="40">
        <v>0</v>
      </c>
      <c r="Q631" s="40">
        <v>6933.06472081218</v>
      </c>
      <c r="R631" s="40">
        <v>8156.5012690355297</v>
      </c>
      <c r="S631" s="40">
        <v>9443.4974619289296</v>
      </c>
      <c r="T631" s="37">
        <v>30000</v>
      </c>
      <c r="U631" s="40">
        <v>222312.18274111699</v>
      </c>
      <c r="V631" s="40">
        <v>0</v>
      </c>
      <c r="W631" s="45">
        <f t="shared" si="33"/>
        <v>351275.90862944187</v>
      </c>
      <c r="X631" s="46">
        <f t="shared" si="34"/>
        <v>6.8974433868351728</v>
      </c>
    </row>
    <row r="632" spans="1:24" s="4" customFormat="1" ht="15" customHeight="1">
      <c r="A632" s="28" t="s">
        <v>647</v>
      </c>
      <c r="B632" s="29">
        <v>3125.21</v>
      </c>
      <c r="C632" s="30" t="s">
        <v>1012</v>
      </c>
      <c r="D632" s="2">
        <v>4947975204</v>
      </c>
      <c r="E632" s="2" t="s">
        <v>14</v>
      </c>
      <c r="F632" s="2" t="s">
        <v>1013</v>
      </c>
      <c r="G632" s="28" t="s">
        <v>9</v>
      </c>
      <c r="H632" s="2" t="s">
        <v>23</v>
      </c>
      <c r="I632" s="2">
        <v>30</v>
      </c>
      <c r="J632" s="2"/>
      <c r="K632" s="2">
        <v>9777.6</v>
      </c>
      <c r="L632" s="35">
        <f t="shared" si="32"/>
        <v>30557053.296</v>
      </c>
      <c r="M632" s="36">
        <v>2520</v>
      </c>
      <c r="N632" s="40">
        <v>444903.92131979699</v>
      </c>
      <c r="O632" s="40">
        <v>1680.0532994923899</v>
      </c>
      <c r="P632" s="40">
        <v>0</v>
      </c>
      <c r="Q632" s="40">
        <v>41598.3883248731</v>
      </c>
      <c r="R632" s="40">
        <v>48939.007614213202</v>
      </c>
      <c r="S632" s="40">
        <v>56660.984771573603</v>
      </c>
      <c r="T632" s="37">
        <v>30000</v>
      </c>
      <c r="U632" s="40">
        <v>1333873.0964466999</v>
      </c>
      <c r="V632" s="40">
        <v>0</v>
      </c>
      <c r="W632" s="45">
        <f t="shared" si="33"/>
        <v>1957655.4517766493</v>
      </c>
      <c r="X632" s="46">
        <f t="shared" si="34"/>
        <v>6.406558357617917</v>
      </c>
    </row>
    <row r="633" spans="1:24" s="4" customFormat="1" ht="15" customHeight="1">
      <c r="A633" s="28" t="s">
        <v>647</v>
      </c>
      <c r="B633" s="29">
        <v>3125.21</v>
      </c>
      <c r="C633" s="30" t="s">
        <v>1014</v>
      </c>
      <c r="D633" s="2">
        <v>4948494929</v>
      </c>
      <c r="E633" s="2" t="s">
        <v>14</v>
      </c>
      <c r="F633" s="78" t="s">
        <v>1015</v>
      </c>
      <c r="G633" s="28" t="s">
        <v>13</v>
      </c>
      <c r="H633" s="2" t="s">
        <v>23</v>
      </c>
      <c r="I633" s="2">
        <v>3</v>
      </c>
      <c r="J633" s="2"/>
      <c r="K633" s="2">
        <v>1892.25</v>
      </c>
      <c r="L633" s="35">
        <f t="shared" si="32"/>
        <v>5913678.6225000005</v>
      </c>
      <c r="M633" s="36">
        <v>15</v>
      </c>
      <c r="N633" s="37">
        <v>198569</v>
      </c>
      <c r="O633" s="37">
        <v>0</v>
      </c>
      <c r="P633" s="37">
        <v>0</v>
      </c>
      <c r="Q633" s="37">
        <v>0</v>
      </c>
      <c r="R633" s="37">
        <v>1639</v>
      </c>
      <c r="S633" s="37">
        <v>354356</v>
      </c>
      <c r="T633" s="37">
        <v>30000</v>
      </c>
      <c r="U633" s="37">
        <v>246380</v>
      </c>
      <c r="V633" s="37">
        <v>0</v>
      </c>
      <c r="W633" s="45">
        <f t="shared" si="33"/>
        <v>830944</v>
      </c>
      <c r="X633" s="46">
        <f t="shared" si="34"/>
        <v>14.051220112612739</v>
      </c>
    </row>
    <row r="634" spans="1:24" s="4" customFormat="1" ht="15" customHeight="1">
      <c r="A634" s="28" t="s">
        <v>647</v>
      </c>
      <c r="B634" s="29">
        <v>3125.21</v>
      </c>
      <c r="C634" s="30" t="s">
        <v>1016</v>
      </c>
      <c r="D634" s="2">
        <v>4948471852</v>
      </c>
      <c r="E634" s="2" t="s">
        <v>38</v>
      </c>
      <c r="F634" s="2" t="s">
        <v>1017</v>
      </c>
      <c r="G634" s="28" t="s">
        <v>5</v>
      </c>
      <c r="H634" s="2" t="s">
        <v>17</v>
      </c>
      <c r="I634" s="2">
        <v>1</v>
      </c>
      <c r="J634" s="2" t="s">
        <v>1018</v>
      </c>
      <c r="K634" s="2">
        <v>21451.200000000001</v>
      </c>
      <c r="L634" s="35">
        <f t="shared" si="32"/>
        <v>67039504.752000004</v>
      </c>
      <c r="M634" s="36">
        <v>9840</v>
      </c>
      <c r="N634" s="40">
        <v>242912.74587107101</v>
      </c>
      <c r="O634" s="37">
        <v>216680.784230155</v>
      </c>
      <c r="P634" s="40">
        <v>77617.521576984596</v>
      </c>
      <c r="Q634" s="37">
        <v>52061.830580713897</v>
      </c>
      <c r="R634" s="40">
        <v>381613.071923282</v>
      </c>
      <c r="S634" s="40">
        <v>185767.876398508</v>
      </c>
      <c r="T634" s="40"/>
      <c r="U634" s="40">
        <v>277323.38838572201</v>
      </c>
      <c r="V634" s="40">
        <v>0</v>
      </c>
      <c r="W634" s="45">
        <f t="shared" si="33"/>
        <v>1433977.2189664366</v>
      </c>
      <c r="X634" s="46">
        <f t="shared" si="34"/>
        <v>2.1390033000261033</v>
      </c>
    </row>
    <row r="635" spans="1:24" s="4" customFormat="1" ht="15" customHeight="1">
      <c r="A635" s="28" t="s">
        <v>647</v>
      </c>
      <c r="B635" s="29">
        <v>3125.21</v>
      </c>
      <c r="C635" s="30" t="s">
        <v>1016</v>
      </c>
      <c r="D635" s="2">
        <v>4948471852</v>
      </c>
      <c r="E635" s="2" t="s">
        <v>38</v>
      </c>
      <c r="F635" s="2" t="s">
        <v>1017</v>
      </c>
      <c r="G635" s="28" t="s">
        <v>5</v>
      </c>
      <c r="H635" s="2" t="s">
        <v>17</v>
      </c>
      <c r="I635" s="2">
        <v>1</v>
      </c>
      <c r="J635" s="2" t="s">
        <v>1018</v>
      </c>
      <c r="K635" s="2">
        <v>11183.4</v>
      </c>
      <c r="L635" s="35">
        <f t="shared" si="32"/>
        <v>34950473.513999999</v>
      </c>
      <c r="M635" s="36">
        <v>5130</v>
      </c>
      <c r="N635" s="40">
        <v>126640.486414491</v>
      </c>
      <c r="O635" s="40">
        <v>112964.67714437901</v>
      </c>
      <c r="P635" s="40">
        <v>40465.232285562102</v>
      </c>
      <c r="Q635" s="40">
        <v>27141.9909429941</v>
      </c>
      <c r="R635" s="40">
        <v>198951.10761854</v>
      </c>
      <c r="S635" s="40">
        <v>96848.496537027197</v>
      </c>
      <c r="T635" s="40"/>
      <c r="U635" s="40">
        <v>144580.181140117</v>
      </c>
      <c r="V635" s="40">
        <v>0</v>
      </c>
      <c r="W635" s="45">
        <f t="shared" si="33"/>
        <v>747592.17208311043</v>
      </c>
      <c r="X635" s="46">
        <f t="shared" si="34"/>
        <v>2.1390044165886617</v>
      </c>
    </row>
    <row r="636" spans="1:24" s="4" customFormat="1" ht="15" customHeight="1">
      <c r="A636" s="28" t="s">
        <v>647</v>
      </c>
      <c r="B636" s="29">
        <v>3125.21</v>
      </c>
      <c r="C636" s="30" t="s">
        <v>1016</v>
      </c>
      <c r="D636" s="2">
        <v>4948210198</v>
      </c>
      <c r="E636" s="2" t="s">
        <v>38</v>
      </c>
      <c r="F636" s="2" t="s">
        <v>1017</v>
      </c>
      <c r="G636" s="28" t="s">
        <v>5</v>
      </c>
      <c r="H636" s="2" t="s">
        <v>17</v>
      </c>
      <c r="I636" s="2">
        <v>1</v>
      </c>
      <c r="J636" s="2" t="s">
        <v>1018</v>
      </c>
      <c r="K636" s="2">
        <v>8284</v>
      </c>
      <c r="L636" s="35">
        <f t="shared" si="32"/>
        <v>25889239.640000001</v>
      </c>
      <c r="M636" s="36">
        <v>3800</v>
      </c>
      <c r="N636" s="40">
        <v>93807.767714437898</v>
      </c>
      <c r="O636" s="40">
        <v>83677.538625466201</v>
      </c>
      <c r="P636" s="40">
        <v>29974.2461374534</v>
      </c>
      <c r="Q636" s="40">
        <v>20105.178476292</v>
      </c>
      <c r="R636" s="40">
        <v>147370.820458178</v>
      </c>
      <c r="S636" s="40">
        <v>71739.627064464599</v>
      </c>
      <c r="T636" s="40"/>
      <c r="U636" s="40">
        <v>107096.430474161</v>
      </c>
      <c r="V636" s="40">
        <v>0</v>
      </c>
      <c r="W636" s="45">
        <f t="shared" si="33"/>
        <v>553771.60895045311</v>
      </c>
      <c r="X636" s="46">
        <f t="shared" si="34"/>
        <v>2.139002985992883</v>
      </c>
    </row>
    <row r="637" spans="1:24" s="4" customFormat="1" ht="15" customHeight="1">
      <c r="A637" s="28" t="s">
        <v>647</v>
      </c>
      <c r="B637" s="29">
        <v>3125.21</v>
      </c>
      <c r="C637" s="30" t="s">
        <v>1019</v>
      </c>
      <c r="D637" s="2">
        <v>4948181156</v>
      </c>
      <c r="E637" s="2" t="s">
        <v>21</v>
      </c>
      <c r="F637" s="78" t="s">
        <v>1020</v>
      </c>
      <c r="G637" s="28" t="s">
        <v>5</v>
      </c>
      <c r="H637" s="2" t="s">
        <v>20</v>
      </c>
      <c r="I637" s="2">
        <v>1</v>
      </c>
      <c r="J637" s="2" t="s">
        <v>1021</v>
      </c>
      <c r="K637" s="2">
        <v>15676.42</v>
      </c>
      <c r="L637" s="35">
        <f t="shared" si="32"/>
        <v>48992104.548200004</v>
      </c>
      <c r="M637" s="36">
        <v>10886.4</v>
      </c>
      <c r="N637" s="37">
        <v>317267</v>
      </c>
      <c r="O637" s="37">
        <v>315061</v>
      </c>
      <c r="P637" s="37">
        <v>0</v>
      </c>
      <c r="Q637" s="37">
        <v>99309</v>
      </c>
      <c r="R637" s="37">
        <v>529637</v>
      </c>
      <c r="S637" s="37">
        <v>354356</v>
      </c>
      <c r="T637" s="37"/>
      <c r="U637" s="37">
        <v>2749500</v>
      </c>
      <c r="V637" s="37">
        <v>0</v>
      </c>
      <c r="W637" s="45">
        <f t="shared" si="33"/>
        <v>4365130</v>
      </c>
      <c r="X637" s="46">
        <f t="shared" si="34"/>
        <v>8.9098642327264077</v>
      </c>
    </row>
    <row r="638" spans="1:24" s="4" customFormat="1" ht="15" customHeight="1">
      <c r="A638" s="28" t="s">
        <v>647</v>
      </c>
      <c r="B638" s="29">
        <v>3125.21</v>
      </c>
      <c r="C638" s="30" t="s">
        <v>1022</v>
      </c>
      <c r="D638" s="2">
        <v>4948268543</v>
      </c>
      <c r="E638" s="2" t="s">
        <v>33</v>
      </c>
      <c r="F638" s="78" t="s">
        <v>1023</v>
      </c>
      <c r="G638" s="28" t="s">
        <v>5</v>
      </c>
      <c r="H638" s="2" t="s">
        <v>17</v>
      </c>
      <c r="I638" s="2">
        <v>4</v>
      </c>
      <c r="J638" s="2" t="s">
        <v>1024</v>
      </c>
      <c r="K638" s="2">
        <v>79083.19</v>
      </c>
      <c r="L638" s="35">
        <f t="shared" si="32"/>
        <v>247151576.21990001</v>
      </c>
      <c r="M638" s="36">
        <v>900</v>
      </c>
      <c r="N638" s="40">
        <v>393215.08494208503</v>
      </c>
      <c r="O638" s="40">
        <v>755311.06598984799</v>
      </c>
      <c r="P638" s="40">
        <v>0</v>
      </c>
      <c r="Q638" s="40">
        <v>181492.994923858</v>
      </c>
      <c r="R638" s="40">
        <v>935509.469111969</v>
      </c>
      <c r="S638" s="40">
        <v>109795.63320463301</v>
      </c>
      <c r="T638" s="40"/>
      <c r="U638" s="40">
        <v>5052558.5907335896</v>
      </c>
      <c r="V638" s="40">
        <v>0</v>
      </c>
      <c r="W638" s="45">
        <f t="shared" si="33"/>
        <v>7427882.8389059827</v>
      </c>
      <c r="X638" s="46">
        <f t="shared" si="34"/>
        <v>3.0053956978599712</v>
      </c>
    </row>
    <row r="639" spans="1:24" s="4" customFormat="1" ht="15" customHeight="1">
      <c r="A639" s="28" t="s">
        <v>647</v>
      </c>
      <c r="B639" s="29">
        <v>3125.21</v>
      </c>
      <c r="C639" s="30" t="s">
        <v>1022</v>
      </c>
      <c r="D639" s="2">
        <v>4948268543</v>
      </c>
      <c r="E639" s="2" t="s">
        <v>33</v>
      </c>
      <c r="F639" s="78" t="s">
        <v>1023</v>
      </c>
      <c r="G639" s="28" t="s">
        <v>5</v>
      </c>
      <c r="H639" s="2" t="s">
        <v>17</v>
      </c>
      <c r="I639" s="2">
        <v>4</v>
      </c>
      <c r="J639" s="2" t="s">
        <v>1024</v>
      </c>
      <c r="K639" s="2">
        <v>14612.48</v>
      </c>
      <c r="L639" s="35">
        <f t="shared" si="32"/>
        <v>45667068.620799996</v>
      </c>
      <c r="M639" s="36">
        <v>900</v>
      </c>
      <c r="N639" s="40">
        <v>709257.11583011597</v>
      </c>
      <c r="O639" s="40">
        <v>755311.06598984799</v>
      </c>
      <c r="P639" s="40">
        <v>0</v>
      </c>
      <c r="Q639" s="40">
        <v>181492.994923858</v>
      </c>
      <c r="R639" s="40">
        <v>1687415.2760617801</v>
      </c>
      <c r="S639" s="40">
        <v>198042.590733591</v>
      </c>
      <c r="T639" s="40"/>
      <c r="U639" s="40">
        <v>9113493.5328185298</v>
      </c>
      <c r="V639" s="40">
        <v>0</v>
      </c>
      <c r="W639" s="45">
        <f t="shared" si="33"/>
        <v>12645012.576357722</v>
      </c>
      <c r="X639" s="46">
        <f t="shared" si="34"/>
        <v>27.689564840162074</v>
      </c>
    </row>
    <row r="640" spans="1:24" s="4" customFormat="1" ht="15" customHeight="1">
      <c r="A640" s="28" t="s">
        <v>647</v>
      </c>
      <c r="B640" s="29">
        <v>3125.21</v>
      </c>
      <c r="C640" s="30" t="s">
        <v>1022</v>
      </c>
      <c r="D640" s="2">
        <v>4948268543</v>
      </c>
      <c r="E640" s="2" t="s">
        <v>33</v>
      </c>
      <c r="F640" s="2" t="s">
        <v>1023</v>
      </c>
      <c r="G640" s="28" t="s">
        <v>5</v>
      </c>
      <c r="H640" s="2" t="s">
        <v>17</v>
      </c>
      <c r="I640" s="2">
        <v>4</v>
      </c>
      <c r="J640" s="2" t="s">
        <v>1024</v>
      </c>
      <c r="K640" s="2">
        <v>19681.740000000002</v>
      </c>
      <c r="L640" s="35">
        <f t="shared" si="32"/>
        <v>61509570.665400006</v>
      </c>
      <c r="M640" s="36">
        <v>170</v>
      </c>
      <c r="N640" s="40">
        <v>166595.799227799</v>
      </c>
      <c r="O640" s="40">
        <v>142669.868020305</v>
      </c>
      <c r="P640" s="40">
        <v>0</v>
      </c>
      <c r="Q640" s="40">
        <v>34282.010152284303</v>
      </c>
      <c r="R640" s="40">
        <v>396353.25482625503</v>
      </c>
      <c r="S640" s="40">
        <v>46517.776061776101</v>
      </c>
      <c r="T640" s="40"/>
      <c r="U640" s="40">
        <v>2140647.8764478802</v>
      </c>
      <c r="V640" s="40">
        <v>0</v>
      </c>
      <c r="W640" s="45">
        <f t="shared" si="33"/>
        <v>2927066.5847362997</v>
      </c>
      <c r="X640" s="46">
        <f t="shared" si="34"/>
        <v>4.7587173070333524</v>
      </c>
    </row>
    <row r="641" spans="1:24" s="4" customFormat="1" ht="15" customHeight="1">
      <c r="A641" s="28" t="s">
        <v>647</v>
      </c>
      <c r="B641" s="29">
        <v>3125.21</v>
      </c>
      <c r="C641" s="30" t="s">
        <v>1025</v>
      </c>
      <c r="D641" s="2">
        <v>4948294608</v>
      </c>
      <c r="E641" s="2" t="s">
        <v>36</v>
      </c>
      <c r="F641" s="78" t="s">
        <v>1026</v>
      </c>
      <c r="G641" s="28" t="s">
        <v>5</v>
      </c>
      <c r="H641" s="2" t="s">
        <v>26</v>
      </c>
      <c r="I641" s="2">
        <v>4</v>
      </c>
      <c r="J641" s="2" t="s">
        <v>1027</v>
      </c>
      <c r="K641" s="2">
        <v>79645.2</v>
      </c>
      <c r="L641" s="35">
        <f t="shared" si="32"/>
        <v>248907975.49199998</v>
      </c>
      <c r="M641" s="36">
        <v>85640</v>
      </c>
      <c r="N641" s="37">
        <v>0</v>
      </c>
      <c r="O641" s="37">
        <v>1920003</v>
      </c>
      <c r="P641" s="37">
        <v>5190756</v>
      </c>
      <c r="Q641" s="37">
        <v>496548</v>
      </c>
      <c r="R641" s="37">
        <v>3256681</v>
      </c>
      <c r="S641" s="37">
        <v>354356</v>
      </c>
      <c r="T641" s="37"/>
      <c r="U641" s="37">
        <v>0</v>
      </c>
      <c r="V641" s="37">
        <v>0</v>
      </c>
      <c r="W641" s="45">
        <f t="shared" si="33"/>
        <v>11218344</v>
      </c>
      <c r="X641" s="46">
        <f t="shared" si="34"/>
        <v>4.5070247258350964</v>
      </c>
    </row>
    <row r="642" spans="1:24" s="4" customFormat="1" ht="15" customHeight="1">
      <c r="A642" s="28" t="s">
        <v>647</v>
      </c>
      <c r="B642" s="29">
        <v>3125.21</v>
      </c>
      <c r="C642" s="30" t="s">
        <v>1028</v>
      </c>
      <c r="D642" s="2">
        <v>4948413249</v>
      </c>
      <c r="E642" s="2" t="s">
        <v>21</v>
      </c>
      <c r="F642" s="78" t="s">
        <v>1029</v>
      </c>
      <c r="G642" s="28" t="s">
        <v>5</v>
      </c>
      <c r="H642" s="2" t="s">
        <v>17</v>
      </c>
      <c r="I642" s="2">
        <v>1</v>
      </c>
      <c r="J642" s="2" t="s">
        <v>1030</v>
      </c>
      <c r="K642" s="2">
        <v>158760</v>
      </c>
      <c r="L642" s="35">
        <f t="shared" si="32"/>
        <v>496158339.60000002</v>
      </c>
      <c r="M642" s="36">
        <f>6350+6350</f>
        <v>12700</v>
      </c>
      <c r="N642" s="37">
        <v>462361</v>
      </c>
      <c r="O642" s="37">
        <v>413323</v>
      </c>
      <c r="P642" s="37">
        <v>0</v>
      </c>
      <c r="Q642" s="37">
        <v>99309</v>
      </c>
      <c r="R642" s="37">
        <v>718339</v>
      </c>
      <c r="S642" s="37">
        <v>354356</v>
      </c>
      <c r="T642" s="37"/>
      <c r="U642" s="37">
        <v>4151050</v>
      </c>
      <c r="V642" s="37">
        <v>1335000</v>
      </c>
      <c r="W642" s="45">
        <f t="shared" si="33"/>
        <v>7533738</v>
      </c>
      <c r="X642" s="46">
        <f t="shared" si="34"/>
        <v>1.5184140623482527</v>
      </c>
    </row>
    <row r="643" spans="1:24" s="4" customFormat="1" ht="15" customHeight="1">
      <c r="A643" s="28" t="s">
        <v>647</v>
      </c>
      <c r="B643" s="29">
        <v>3125.21</v>
      </c>
      <c r="C643" s="30" t="s">
        <v>1031</v>
      </c>
      <c r="D643" s="2">
        <v>4947774257</v>
      </c>
      <c r="E643" s="2" t="s">
        <v>14</v>
      </c>
      <c r="F643" s="78" t="s">
        <v>1032</v>
      </c>
      <c r="G643" s="28" t="s">
        <v>9</v>
      </c>
      <c r="H643" s="2" t="s">
        <v>23</v>
      </c>
      <c r="I643" s="2">
        <v>32</v>
      </c>
      <c r="J643" s="2"/>
      <c r="K643" s="2">
        <v>18900</v>
      </c>
      <c r="L643" s="35">
        <f t="shared" si="32"/>
        <v>59066469</v>
      </c>
      <c r="M643" s="36">
        <v>4500</v>
      </c>
      <c r="N643" s="40">
        <v>865492.388059702</v>
      </c>
      <c r="O643" s="40">
        <v>2989.8805970149301</v>
      </c>
      <c r="P643" s="40">
        <v>0</v>
      </c>
      <c r="Q643" s="40">
        <v>73961.731343283594</v>
      </c>
      <c r="R643" s="40">
        <v>95373.402985074601</v>
      </c>
      <c r="S643" s="40">
        <v>95200.119402985103</v>
      </c>
      <c r="T643" s="37">
        <v>30000</v>
      </c>
      <c r="U643" s="40">
        <v>2241134.3283582102</v>
      </c>
      <c r="V643" s="40">
        <v>0</v>
      </c>
      <c r="W643" s="45">
        <f t="shared" si="33"/>
        <v>3404151.8507462703</v>
      </c>
      <c r="X643" s="46">
        <f t="shared" si="34"/>
        <v>5.7632560543720164</v>
      </c>
    </row>
    <row r="644" spans="1:24" s="4" customFormat="1" ht="15" customHeight="1">
      <c r="A644" s="28" t="s">
        <v>647</v>
      </c>
      <c r="B644" s="29">
        <v>3125.21</v>
      </c>
      <c r="C644" s="30" t="s">
        <v>1031</v>
      </c>
      <c r="D644" s="2">
        <v>4947975533</v>
      </c>
      <c r="E644" s="2" t="s">
        <v>14</v>
      </c>
      <c r="F644" s="2" t="s">
        <v>1032</v>
      </c>
      <c r="G644" s="28" t="s">
        <v>9</v>
      </c>
      <c r="H644" s="2" t="s">
        <v>23</v>
      </c>
      <c r="I644" s="2">
        <v>32</v>
      </c>
      <c r="J644" s="2"/>
      <c r="K644" s="2">
        <v>29389.5</v>
      </c>
      <c r="L644" s="35">
        <f t="shared" ref="L644:L707" si="35">B644*K644</f>
        <v>91848359.295000002</v>
      </c>
      <c r="M644" s="36">
        <v>9450</v>
      </c>
      <c r="N644" s="40">
        <v>1817534.01492537</v>
      </c>
      <c r="O644" s="40">
        <v>6278.7492537313401</v>
      </c>
      <c r="P644" s="40">
        <v>0</v>
      </c>
      <c r="Q644" s="40">
        <v>155319.63582089599</v>
      </c>
      <c r="R644" s="40">
        <v>200284.146268657</v>
      </c>
      <c r="S644" s="40">
        <v>199920.25074626901</v>
      </c>
      <c r="T644" s="37">
        <v>30000</v>
      </c>
      <c r="U644" s="40">
        <v>4706382.0895522404</v>
      </c>
      <c r="V644" s="40">
        <v>0</v>
      </c>
      <c r="W644" s="45">
        <f t="shared" ref="W644:W707" si="36">+SUM(N644:V644)</f>
        <v>7115718.8865671642</v>
      </c>
      <c r="X644" s="46">
        <f t="shared" ref="X644:X707" si="37">(W644/L644)*100</f>
        <v>7.7472465933907291</v>
      </c>
    </row>
    <row r="645" spans="1:24" s="4" customFormat="1" ht="15" customHeight="1">
      <c r="A645" s="28" t="s">
        <v>647</v>
      </c>
      <c r="B645" s="29">
        <v>3125.21</v>
      </c>
      <c r="C645" s="30" t="s">
        <v>1031</v>
      </c>
      <c r="D645" s="2">
        <v>4948210661</v>
      </c>
      <c r="E645" s="2" t="s">
        <v>14</v>
      </c>
      <c r="F645" s="2" t="s">
        <v>1032</v>
      </c>
      <c r="G645" s="28" t="s">
        <v>9</v>
      </c>
      <c r="H645" s="2" t="s">
        <v>23</v>
      </c>
      <c r="I645" s="2">
        <v>32</v>
      </c>
      <c r="J645" s="2"/>
      <c r="K645" s="2">
        <v>6258</v>
      </c>
      <c r="L645" s="35">
        <f t="shared" si="35"/>
        <v>19557564.18</v>
      </c>
      <c r="M645" s="36">
        <v>1400</v>
      </c>
      <c r="N645" s="40">
        <v>269264.29850746301</v>
      </c>
      <c r="O645" s="40">
        <v>930.18507462686603</v>
      </c>
      <c r="P645" s="40">
        <v>0</v>
      </c>
      <c r="Q645" s="40">
        <v>23010.316417910399</v>
      </c>
      <c r="R645" s="40">
        <v>29671.725373134301</v>
      </c>
      <c r="S645" s="40">
        <v>29617.814925373099</v>
      </c>
      <c r="T645" s="37">
        <v>30000</v>
      </c>
      <c r="U645" s="40">
        <v>697241.79104477598</v>
      </c>
      <c r="V645" s="40">
        <v>0</v>
      </c>
      <c r="W645" s="45">
        <f t="shared" si="36"/>
        <v>1079736.1313432837</v>
      </c>
      <c r="X645" s="46">
        <f t="shared" si="37"/>
        <v>5.5208108811804175</v>
      </c>
    </row>
    <row r="646" spans="1:24" s="4" customFormat="1" ht="15" customHeight="1">
      <c r="A646" s="28" t="s">
        <v>647</v>
      </c>
      <c r="B646" s="29">
        <v>3125.21</v>
      </c>
      <c r="C646" s="30" t="s">
        <v>1031</v>
      </c>
      <c r="D646" s="2">
        <v>4947774262</v>
      </c>
      <c r="E646" s="2" t="s">
        <v>14</v>
      </c>
      <c r="F646" s="2" t="s">
        <v>1032</v>
      </c>
      <c r="G646" s="28" t="s">
        <v>9</v>
      </c>
      <c r="H646" s="2" t="s">
        <v>23</v>
      </c>
      <c r="I646" s="2">
        <v>32</v>
      </c>
      <c r="J646" s="2"/>
      <c r="K646" s="2">
        <v>15260</v>
      </c>
      <c r="L646" s="35">
        <f t="shared" si="35"/>
        <v>47690704.600000001</v>
      </c>
      <c r="M646" s="36">
        <v>1400</v>
      </c>
      <c r="N646" s="40">
        <v>269264.29850746301</v>
      </c>
      <c r="O646" s="40">
        <v>930.18507462686603</v>
      </c>
      <c r="P646" s="40">
        <v>0</v>
      </c>
      <c r="Q646" s="40">
        <v>23010.316417910399</v>
      </c>
      <c r="R646" s="40">
        <v>29671.725373134301</v>
      </c>
      <c r="S646" s="40">
        <v>29617.814925373099</v>
      </c>
      <c r="T646" s="37">
        <v>30000</v>
      </c>
      <c r="U646" s="40">
        <v>697241.79104477598</v>
      </c>
      <c r="V646" s="40">
        <v>0</v>
      </c>
      <c r="W646" s="45">
        <f t="shared" si="36"/>
        <v>1079736.1313432837</v>
      </c>
      <c r="X646" s="46">
        <f t="shared" si="37"/>
        <v>2.2640389576950888</v>
      </c>
    </row>
    <row r="647" spans="1:24" s="4" customFormat="1" ht="15" customHeight="1">
      <c r="A647" s="28" t="s">
        <v>647</v>
      </c>
      <c r="B647" s="29">
        <v>3125.21</v>
      </c>
      <c r="C647" s="30" t="s">
        <v>1033</v>
      </c>
      <c r="D647" s="2">
        <v>4948649447</v>
      </c>
      <c r="E647" s="2" t="s">
        <v>21</v>
      </c>
      <c r="F647" s="2" t="s">
        <v>1034</v>
      </c>
      <c r="G647" s="28" t="s">
        <v>9</v>
      </c>
      <c r="H647" s="2" t="s">
        <v>23</v>
      </c>
      <c r="I647" s="2">
        <v>1</v>
      </c>
      <c r="J647" s="2"/>
      <c r="K647" s="2">
        <v>3643.2</v>
      </c>
      <c r="L647" s="35">
        <f t="shared" si="35"/>
        <v>11385765.071999999</v>
      </c>
      <c r="M647" s="36">
        <v>720</v>
      </c>
      <c r="N647" s="37">
        <v>473953</v>
      </c>
      <c r="O647" s="37">
        <v>505</v>
      </c>
      <c r="P647" s="37">
        <v>0</v>
      </c>
      <c r="Q647" s="37">
        <v>12449</v>
      </c>
      <c r="R647" s="37">
        <v>92561</v>
      </c>
      <c r="S647" s="37">
        <v>354356</v>
      </c>
      <c r="T647" s="37"/>
      <c r="U647" s="37">
        <v>252200</v>
      </c>
      <c r="V647" s="37">
        <v>0</v>
      </c>
      <c r="W647" s="45">
        <f t="shared" si="36"/>
        <v>1186024</v>
      </c>
      <c r="X647" s="46">
        <f t="shared" si="37"/>
        <v>10.416726434279621</v>
      </c>
    </row>
    <row r="648" spans="1:24" s="4" customFormat="1" ht="15" customHeight="1">
      <c r="A648" s="28" t="s">
        <v>647</v>
      </c>
      <c r="B648" s="29">
        <v>3125.21</v>
      </c>
      <c r="C648" s="30" t="s">
        <v>1035</v>
      </c>
      <c r="D648" s="2">
        <v>4946630993</v>
      </c>
      <c r="E648" s="2" t="s">
        <v>6</v>
      </c>
      <c r="F648" s="2" t="s">
        <v>1036</v>
      </c>
      <c r="G648" s="28" t="s">
        <v>5</v>
      </c>
      <c r="H648" s="2" t="s">
        <v>17</v>
      </c>
      <c r="I648" s="2">
        <v>1</v>
      </c>
      <c r="J648" s="2" t="s">
        <v>1037</v>
      </c>
      <c r="K648" s="2">
        <v>369122.4</v>
      </c>
      <c r="L648" s="35">
        <f t="shared" si="35"/>
        <v>1153585015.704</v>
      </c>
      <c r="M648" s="36">
        <f>10180+6380</f>
        <v>16560</v>
      </c>
      <c r="N648" s="37">
        <v>0</v>
      </c>
      <c r="O648" s="37">
        <v>515109</v>
      </c>
      <c r="P648" s="37">
        <v>0</v>
      </c>
      <c r="Q648" s="37">
        <v>124137</v>
      </c>
      <c r="R648" s="37">
        <v>843318</v>
      </c>
      <c r="S648" s="37">
        <v>354356</v>
      </c>
      <c r="T648" s="37">
        <v>30000</v>
      </c>
      <c r="U648" s="37">
        <v>4975550</v>
      </c>
      <c r="V648" s="37">
        <v>1335000</v>
      </c>
      <c r="W648" s="45">
        <f t="shared" si="36"/>
        <v>8177470</v>
      </c>
      <c r="X648" s="46">
        <f t="shared" si="37"/>
        <v>0.7088744989470519</v>
      </c>
    </row>
    <row r="649" spans="1:24" s="4" customFormat="1" ht="15" customHeight="1">
      <c r="A649" s="28" t="s">
        <v>647</v>
      </c>
      <c r="B649" s="29">
        <v>3125.21</v>
      </c>
      <c r="C649" s="30" t="s">
        <v>1038</v>
      </c>
      <c r="D649" s="2">
        <v>4948282162</v>
      </c>
      <c r="E649" s="2" t="s">
        <v>33</v>
      </c>
      <c r="F649" s="2" t="s">
        <v>1039</v>
      </c>
      <c r="G649" s="28" t="s">
        <v>5</v>
      </c>
      <c r="H649" s="2" t="s">
        <v>20</v>
      </c>
      <c r="I649" s="2">
        <v>1</v>
      </c>
      <c r="J649" s="2" t="s">
        <v>1040</v>
      </c>
      <c r="K649" s="2">
        <f>89.76+1256.64</f>
        <v>1346.4</v>
      </c>
      <c r="L649" s="35">
        <f t="shared" si="35"/>
        <v>4207782.7439999999</v>
      </c>
      <c r="M649" s="36">
        <v>120</v>
      </c>
      <c r="N649" s="40">
        <v>32464.5302325581</v>
      </c>
      <c r="O649" s="37">
        <v>101632.580645161</v>
      </c>
      <c r="P649" s="40">
        <v>0</v>
      </c>
      <c r="Q649" s="37">
        <v>32035.161290322601</v>
      </c>
      <c r="R649" s="40">
        <v>65575.669767441897</v>
      </c>
      <c r="S649" s="40">
        <v>36259.683720930203</v>
      </c>
      <c r="T649" s="40"/>
      <c r="U649" s="40">
        <v>221790.697674419</v>
      </c>
      <c r="V649" s="40">
        <v>0</v>
      </c>
      <c r="W649" s="45">
        <f t="shared" si="36"/>
        <v>489758.32333083276</v>
      </c>
      <c r="X649" s="46">
        <f t="shared" si="37"/>
        <v>11.639344356102828</v>
      </c>
    </row>
    <row r="650" spans="1:24" s="4" customFormat="1" ht="15" customHeight="1">
      <c r="A650" s="28" t="s">
        <v>647</v>
      </c>
      <c r="B650" s="29">
        <v>3125.21</v>
      </c>
      <c r="C650" s="30" t="s">
        <v>1038</v>
      </c>
      <c r="D650" s="2">
        <v>4948282162</v>
      </c>
      <c r="E650" s="2" t="s">
        <v>33</v>
      </c>
      <c r="F650" s="2" t="s">
        <v>1039</v>
      </c>
      <c r="G650" s="28" t="s">
        <v>5</v>
      </c>
      <c r="H650" s="2" t="s">
        <v>20</v>
      </c>
      <c r="I650" s="2">
        <v>1</v>
      </c>
      <c r="J650" s="2" t="s">
        <v>1040</v>
      </c>
      <c r="K650" s="2">
        <f>856.8+856.8</f>
        <v>1713.6</v>
      </c>
      <c r="L650" s="35">
        <f t="shared" si="35"/>
        <v>5355359.8559999997</v>
      </c>
      <c r="M650" s="36">
        <v>120</v>
      </c>
      <c r="N650" s="40">
        <v>41318.493023255804</v>
      </c>
      <c r="O650" s="40">
        <v>101632.580645161</v>
      </c>
      <c r="P650" s="40">
        <v>0</v>
      </c>
      <c r="Q650" s="40">
        <v>32035.161290322601</v>
      </c>
      <c r="R650" s="40">
        <v>83460.306976744207</v>
      </c>
      <c r="S650" s="40">
        <v>46148.688372092998</v>
      </c>
      <c r="T650" s="40"/>
      <c r="U650" s="40">
        <v>282279.06976744201</v>
      </c>
      <c r="V650" s="40">
        <v>0</v>
      </c>
      <c r="W650" s="45">
        <f t="shared" si="36"/>
        <v>586874.30007501855</v>
      </c>
      <c r="X650" s="46">
        <f t="shared" si="37"/>
        <v>10.958634262784424</v>
      </c>
    </row>
    <row r="651" spans="1:24" s="4" customFormat="1" ht="15" customHeight="1">
      <c r="A651" s="28" t="s">
        <v>647</v>
      </c>
      <c r="B651" s="29">
        <v>3125.21</v>
      </c>
      <c r="C651" s="30" t="s">
        <v>1038</v>
      </c>
      <c r="D651" s="2">
        <v>4948282162</v>
      </c>
      <c r="E651" s="2" t="s">
        <v>33</v>
      </c>
      <c r="F651" s="2" t="s">
        <v>1039</v>
      </c>
      <c r="G651" s="28" t="s">
        <v>5</v>
      </c>
      <c r="H651" s="2" t="s">
        <v>20</v>
      </c>
      <c r="I651" s="2">
        <v>1</v>
      </c>
      <c r="J651" s="2" t="s">
        <v>1040</v>
      </c>
      <c r="K651" s="2">
        <v>1686.96</v>
      </c>
      <c r="L651" s="35">
        <f t="shared" si="35"/>
        <v>5272104.2615999999</v>
      </c>
      <c r="M651" s="36">
        <v>66</v>
      </c>
      <c r="N651" s="40">
        <v>73045.193023255793</v>
      </c>
      <c r="O651" s="40">
        <v>55897.919354838697</v>
      </c>
      <c r="P651" s="40">
        <v>0</v>
      </c>
      <c r="Q651" s="40">
        <v>17619.338709677399</v>
      </c>
      <c r="R651" s="40">
        <v>147546.00697674401</v>
      </c>
      <c r="S651" s="40">
        <v>81584.288372092997</v>
      </c>
      <c r="T651" s="40"/>
      <c r="U651" s="40">
        <v>499029.06976744201</v>
      </c>
      <c r="V651" s="40">
        <v>0</v>
      </c>
      <c r="W651" s="45">
        <f t="shared" si="36"/>
        <v>874721.81620405091</v>
      </c>
      <c r="X651" s="46">
        <f t="shared" si="37"/>
        <v>16.591512094614508</v>
      </c>
    </row>
    <row r="652" spans="1:24" s="4" customFormat="1" ht="15" customHeight="1">
      <c r="A652" s="28" t="s">
        <v>647</v>
      </c>
      <c r="B652" s="29">
        <v>3125.21</v>
      </c>
      <c r="C652" s="30" t="s">
        <v>1038</v>
      </c>
      <c r="D652" s="2">
        <v>4948282162</v>
      </c>
      <c r="E652" s="2" t="s">
        <v>33</v>
      </c>
      <c r="F652" s="2" t="s">
        <v>1039</v>
      </c>
      <c r="G652" s="28" t="s">
        <v>5</v>
      </c>
      <c r="H652" s="2" t="s">
        <v>20</v>
      </c>
      <c r="I652" s="2">
        <v>1</v>
      </c>
      <c r="J652" s="2" t="s">
        <v>1040</v>
      </c>
      <c r="K652" s="2">
        <v>8773.3799999999992</v>
      </c>
      <c r="L652" s="35">
        <f t="shared" si="35"/>
        <v>27418654.909799997</v>
      </c>
      <c r="M652" s="36">
        <v>66</v>
      </c>
      <c r="N652" s="40">
        <v>170438.78372092999</v>
      </c>
      <c r="O652" s="40">
        <v>55897.919354838697</v>
      </c>
      <c r="P652" s="40">
        <v>0</v>
      </c>
      <c r="Q652" s="40">
        <v>17619.338709677399</v>
      </c>
      <c r="R652" s="40">
        <v>344273.01627907</v>
      </c>
      <c r="S652" s="40">
        <v>190363.339534884</v>
      </c>
      <c r="T652" s="40"/>
      <c r="U652" s="40">
        <v>1164401.1627907001</v>
      </c>
      <c r="V652" s="40">
        <v>0</v>
      </c>
      <c r="W652" s="45">
        <f t="shared" si="36"/>
        <v>1942993.5603901001</v>
      </c>
      <c r="X652" s="46">
        <f t="shared" si="37"/>
        <v>7.0863927015458144</v>
      </c>
    </row>
    <row r="653" spans="1:24" s="4" customFormat="1" ht="15" customHeight="1">
      <c r="A653" s="28" t="s">
        <v>647</v>
      </c>
      <c r="B653" s="29">
        <v>3125.21</v>
      </c>
      <c r="C653" s="30" t="s">
        <v>1041</v>
      </c>
      <c r="D653" s="2">
        <v>4948540080</v>
      </c>
      <c r="E653" s="2" t="s">
        <v>14</v>
      </c>
      <c r="F653" s="2" t="s">
        <v>1042</v>
      </c>
      <c r="G653" s="28" t="s">
        <v>9</v>
      </c>
      <c r="H653" s="2" t="s">
        <v>23</v>
      </c>
      <c r="I653" s="2">
        <v>2</v>
      </c>
      <c r="J653" s="2"/>
      <c r="K653" s="2">
        <v>1792</v>
      </c>
      <c r="L653" s="35">
        <f t="shared" si="35"/>
        <v>5600376.3200000003</v>
      </c>
      <c r="M653" s="36">
        <v>1600</v>
      </c>
      <c r="N653" s="37">
        <v>640778</v>
      </c>
      <c r="O653" s="37">
        <v>1091</v>
      </c>
      <c r="P653" s="37">
        <v>33313</v>
      </c>
      <c r="Q653" s="37">
        <v>26556</v>
      </c>
      <c r="R653" s="37">
        <v>108113</v>
      </c>
      <c r="S653" s="37">
        <v>354356</v>
      </c>
      <c r="T653" s="37">
        <v>30000</v>
      </c>
      <c r="U653" s="37">
        <v>1367700</v>
      </c>
      <c r="V653" s="37">
        <v>0</v>
      </c>
      <c r="W653" s="45">
        <f t="shared" si="36"/>
        <v>2561907</v>
      </c>
      <c r="X653" s="46">
        <f t="shared" si="37"/>
        <v>45.745265203892579</v>
      </c>
    </row>
    <row r="654" spans="1:24" s="4" customFormat="1" ht="15" customHeight="1">
      <c r="A654" s="28" t="s">
        <v>647</v>
      </c>
      <c r="B654" s="29">
        <v>3125.21</v>
      </c>
      <c r="C654" s="30" t="s">
        <v>1043</v>
      </c>
      <c r="D654" s="2">
        <v>4947915813</v>
      </c>
      <c r="E654" s="2" t="s">
        <v>14</v>
      </c>
      <c r="F654" s="2" t="s">
        <v>1044</v>
      </c>
      <c r="G654" s="28" t="s">
        <v>5</v>
      </c>
      <c r="H654" s="2" t="s">
        <v>20</v>
      </c>
      <c r="I654" s="2">
        <v>3</v>
      </c>
      <c r="J654" s="2" t="s">
        <v>1045</v>
      </c>
      <c r="K654" s="2">
        <f>16389.45+3476.55</f>
        <v>19866</v>
      </c>
      <c r="L654" s="35">
        <f t="shared" si="35"/>
        <v>62085421.859999999</v>
      </c>
      <c r="M654" s="36">
        <f>7095+1505</f>
        <v>8600</v>
      </c>
      <c r="N654" s="40">
        <v>317267</v>
      </c>
      <c r="O654" s="40">
        <v>205474.782608696</v>
      </c>
      <c r="P654" s="40">
        <v>207281</v>
      </c>
      <c r="Q654" s="40">
        <v>64766.956521739099</v>
      </c>
      <c r="R654" s="40">
        <v>345527</v>
      </c>
      <c r="S654" s="40">
        <v>77033.9130434783</v>
      </c>
      <c r="T654" s="37">
        <v>30000</v>
      </c>
      <c r="U654" s="40">
        <v>2601700</v>
      </c>
      <c r="V654" s="40">
        <v>0</v>
      </c>
      <c r="W654" s="45">
        <f t="shared" si="36"/>
        <v>3849050.6521739131</v>
      </c>
      <c r="X654" s="46">
        <f t="shared" si="37"/>
        <v>6.1996045719933415</v>
      </c>
    </row>
    <row r="655" spans="1:24" s="4" customFormat="1" ht="15" customHeight="1">
      <c r="A655" s="28" t="s">
        <v>647</v>
      </c>
      <c r="B655" s="29">
        <v>3125.21</v>
      </c>
      <c r="C655" s="30" t="s">
        <v>1043</v>
      </c>
      <c r="D655" s="2">
        <v>4947915813</v>
      </c>
      <c r="E655" s="2" t="s">
        <v>14</v>
      </c>
      <c r="F655" s="2" t="s">
        <v>1044</v>
      </c>
      <c r="G655" s="28" t="s">
        <v>5</v>
      </c>
      <c r="H655" s="2" t="s">
        <v>20</v>
      </c>
      <c r="I655" s="2">
        <v>3</v>
      </c>
      <c r="J655" s="2" t="s">
        <v>1045</v>
      </c>
      <c r="K655" s="2">
        <v>73684.800000000003</v>
      </c>
      <c r="L655" s="35">
        <f t="shared" si="35"/>
        <v>230280473.808</v>
      </c>
      <c r="M655" s="36">
        <f>15480+3010+12470</f>
        <v>30960</v>
      </c>
      <c r="N655" s="37">
        <v>634534</v>
      </c>
      <c r="O655" s="37">
        <v>739709.21739130397</v>
      </c>
      <c r="P655" s="40">
        <v>207281</v>
      </c>
      <c r="Q655" s="37">
        <v>233161.04347826101</v>
      </c>
      <c r="R655" s="37">
        <v>1241741</v>
      </c>
      <c r="S655" s="37">
        <v>277322</v>
      </c>
      <c r="T655" s="37">
        <v>30000</v>
      </c>
      <c r="U655" s="37">
        <v>3629900</v>
      </c>
      <c r="V655" s="37">
        <v>0</v>
      </c>
      <c r="W655" s="45">
        <f t="shared" si="36"/>
        <v>6993648.2608695645</v>
      </c>
      <c r="X655" s="46">
        <f t="shared" si="37"/>
        <v>3.0370131454135487</v>
      </c>
    </row>
    <row r="656" spans="1:24" s="4" customFormat="1" ht="15" customHeight="1">
      <c r="A656" s="28" t="s">
        <v>647</v>
      </c>
      <c r="B656" s="29">
        <v>3125.21</v>
      </c>
      <c r="C656" s="30" t="s">
        <v>1046</v>
      </c>
      <c r="D656" s="2">
        <v>4948736570</v>
      </c>
      <c r="E656" s="2" t="s">
        <v>14</v>
      </c>
      <c r="F656" s="2" t="s">
        <v>1047</v>
      </c>
      <c r="G656" s="28" t="s">
        <v>9</v>
      </c>
      <c r="H656" s="2" t="s">
        <v>23</v>
      </c>
      <c r="I656" s="2">
        <v>5</v>
      </c>
      <c r="J656" s="2"/>
      <c r="K656" s="2">
        <v>7128</v>
      </c>
      <c r="L656" s="35">
        <f t="shared" si="35"/>
        <v>22276496.879999999</v>
      </c>
      <c r="M656" s="36">
        <v>3600</v>
      </c>
      <c r="N656" s="37">
        <v>747610</v>
      </c>
      <c r="O656" s="37">
        <v>2587</v>
      </c>
      <c r="P656" s="37">
        <v>0</v>
      </c>
      <c r="Q656" s="37">
        <v>62782</v>
      </c>
      <c r="R656" s="37">
        <v>153798</v>
      </c>
      <c r="S656" s="37">
        <v>354356</v>
      </c>
      <c r="T656" s="37">
        <v>30000</v>
      </c>
      <c r="U656" s="37">
        <v>2085500</v>
      </c>
      <c r="V656" s="37">
        <v>0</v>
      </c>
      <c r="W656" s="45">
        <f t="shared" si="36"/>
        <v>3436633</v>
      </c>
      <c r="X656" s="46">
        <f t="shared" si="37"/>
        <v>15.427169803729033</v>
      </c>
    </row>
    <row r="657" spans="1:24" s="4" customFormat="1" ht="15" customHeight="1">
      <c r="A657" s="28" t="s">
        <v>647</v>
      </c>
      <c r="B657" s="29">
        <v>3125.21</v>
      </c>
      <c r="C657" s="30" t="s">
        <v>1048</v>
      </c>
      <c r="D657" s="2">
        <v>4948561429</v>
      </c>
      <c r="E657" s="2" t="s">
        <v>24</v>
      </c>
      <c r="F657" s="2" t="s">
        <v>1049</v>
      </c>
      <c r="G657" s="28" t="s">
        <v>5</v>
      </c>
      <c r="H657" s="2" t="s">
        <v>20</v>
      </c>
      <c r="I657" s="2">
        <v>3</v>
      </c>
      <c r="J657" s="2" t="s">
        <v>1050</v>
      </c>
      <c r="K657" s="2">
        <f>15840+15840</f>
        <v>31680</v>
      </c>
      <c r="L657" s="35">
        <f t="shared" si="35"/>
        <v>99006652.799999997</v>
      </c>
      <c r="M657" s="36">
        <f>16000+16000</f>
        <v>32000</v>
      </c>
      <c r="N657" s="40">
        <v>1067511.4975845399</v>
      </c>
      <c r="O657" s="40">
        <v>730549.17874396103</v>
      </c>
      <c r="P657" s="40">
        <v>1622199.03381643</v>
      </c>
      <c r="Q657" s="40">
        <v>230282.51207729499</v>
      </c>
      <c r="R657" s="40">
        <v>1923863.8454106301</v>
      </c>
      <c r="S657" s="40">
        <v>273898.357487923</v>
      </c>
      <c r="T657" s="40"/>
      <c r="U657" s="40">
        <v>7425314.0096618403</v>
      </c>
      <c r="V657" s="40">
        <v>0</v>
      </c>
      <c r="W657" s="45">
        <f t="shared" si="36"/>
        <v>13273618.434782619</v>
      </c>
      <c r="X657" s="46">
        <f t="shared" si="37"/>
        <v>13.406794452082133</v>
      </c>
    </row>
    <row r="658" spans="1:24" s="4" customFormat="1" ht="15" customHeight="1">
      <c r="A658" s="28" t="s">
        <v>647</v>
      </c>
      <c r="B658" s="29">
        <v>3125.21</v>
      </c>
      <c r="C658" s="30" t="s">
        <v>1048</v>
      </c>
      <c r="D658" s="2">
        <v>4948523520</v>
      </c>
      <c r="E658" s="2" t="s">
        <v>24</v>
      </c>
      <c r="F658" s="2" t="s">
        <v>1049</v>
      </c>
      <c r="G658" s="28" t="s">
        <v>5</v>
      </c>
      <c r="H658" s="2" t="s">
        <v>20</v>
      </c>
      <c r="I658" s="2">
        <v>3</v>
      </c>
      <c r="J658" s="2" t="s">
        <v>1050</v>
      </c>
      <c r="K658" s="2">
        <v>2743.2</v>
      </c>
      <c r="L658" s="35">
        <f t="shared" si="35"/>
        <v>8573076.0719999988</v>
      </c>
      <c r="M658" s="36">
        <v>2160</v>
      </c>
      <c r="N658" s="40">
        <v>72057.026086956495</v>
      </c>
      <c r="O658" s="40">
        <v>49312.069565217404</v>
      </c>
      <c r="P658" s="40">
        <v>109498.43478260899</v>
      </c>
      <c r="Q658" s="40">
        <v>15544.0695652174</v>
      </c>
      <c r="R658" s="40">
        <v>129860.469565217</v>
      </c>
      <c r="S658" s="40">
        <v>18488.1391304348</v>
      </c>
      <c r="T658" s="40"/>
      <c r="U658" s="40">
        <v>501208.69565217401</v>
      </c>
      <c r="V658" s="40">
        <v>0</v>
      </c>
      <c r="W658" s="45">
        <f t="shared" si="36"/>
        <v>895968.90434782603</v>
      </c>
      <c r="X658" s="46">
        <f t="shared" si="37"/>
        <v>10.450961788080889</v>
      </c>
    </row>
    <row r="659" spans="1:24" s="4" customFormat="1" ht="15" customHeight="1">
      <c r="A659" s="28" t="s">
        <v>647</v>
      </c>
      <c r="B659" s="29">
        <v>3125.21</v>
      </c>
      <c r="C659" s="30" t="s">
        <v>1048</v>
      </c>
      <c r="D659" s="2">
        <v>4948561298</v>
      </c>
      <c r="E659" s="2" t="s">
        <v>24</v>
      </c>
      <c r="F659" s="2" t="s">
        <v>1049</v>
      </c>
      <c r="G659" s="28" t="s">
        <v>5</v>
      </c>
      <c r="H659" s="2" t="s">
        <v>20</v>
      </c>
      <c r="I659" s="2">
        <v>3</v>
      </c>
      <c r="J659" s="2" t="s">
        <v>1050</v>
      </c>
      <c r="K659" s="2">
        <v>29756.400000000001</v>
      </c>
      <c r="L659" s="35">
        <f t="shared" si="35"/>
        <v>92994998.844000012</v>
      </c>
      <c r="M659" s="36">
        <v>7240</v>
      </c>
      <c r="N659" s="40">
        <v>241524.476328502</v>
      </c>
      <c r="O659" s="40">
        <v>165286.75169082099</v>
      </c>
      <c r="P659" s="40">
        <v>367022.53140096599</v>
      </c>
      <c r="Q659" s="40">
        <v>52101.418357487899</v>
      </c>
      <c r="R659" s="40">
        <v>435274.68502415501</v>
      </c>
      <c r="S659" s="40">
        <v>61969.503381642498</v>
      </c>
      <c r="T659" s="40"/>
      <c r="U659" s="40">
        <v>1679977.2946859901</v>
      </c>
      <c r="V659" s="40">
        <v>0</v>
      </c>
      <c r="W659" s="45">
        <f t="shared" si="36"/>
        <v>3003156.6608695644</v>
      </c>
      <c r="X659" s="46">
        <f t="shared" si="37"/>
        <v>3.2293743730320248</v>
      </c>
    </row>
    <row r="660" spans="1:24" s="4" customFormat="1" ht="15" customHeight="1">
      <c r="A660" s="28" t="s">
        <v>647</v>
      </c>
      <c r="B660" s="29">
        <v>3125.21</v>
      </c>
      <c r="C660" s="30" t="s">
        <v>1051</v>
      </c>
      <c r="D660" s="2">
        <v>4947193867</v>
      </c>
      <c r="E660" s="2" t="s">
        <v>21</v>
      </c>
      <c r="F660" s="78" t="s">
        <v>1052</v>
      </c>
      <c r="G660" s="28" t="s">
        <v>5</v>
      </c>
      <c r="H660" s="2" t="s">
        <v>20</v>
      </c>
      <c r="I660" s="2">
        <v>1</v>
      </c>
      <c r="J660" s="2" t="s">
        <v>1053</v>
      </c>
      <c r="K660" s="2">
        <v>34200</v>
      </c>
      <c r="L660" s="35">
        <f t="shared" si="35"/>
        <v>106882182</v>
      </c>
      <c r="M660" s="36">
        <v>18000</v>
      </c>
      <c r="N660" s="37">
        <v>462361</v>
      </c>
      <c r="O660" s="37">
        <v>315061</v>
      </c>
      <c r="P660" s="37">
        <v>103640</v>
      </c>
      <c r="Q660" s="37">
        <v>99309</v>
      </c>
      <c r="R660" s="37">
        <v>620383</v>
      </c>
      <c r="S660" s="37">
        <v>354356</v>
      </c>
      <c r="T660" s="37"/>
      <c r="U660" s="37">
        <v>0</v>
      </c>
      <c r="V660" s="37">
        <v>0</v>
      </c>
      <c r="W660" s="45">
        <f t="shared" si="36"/>
        <v>1955110</v>
      </c>
      <c r="X660" s="46">
        <f t="shared" si="37"/>
        <v>1.8292197664901713</v>
      </c>
    </row>
    <row r="661" spans="1:24" s="4" customFormat="1" ht="15" customHeight="1">
      <c r="A661" s="28" t="s">
        <v>647</v>
      </c>
      <c r="B661" s="29">
        <v>3125.21</v>
      </c>
      <c r="C661" s="30" t="s">
        <v>1054</v>
      </c>
      <c r="D661" s="2">
        <v>4948951735</v>
      </c>
      <c r="E661" s="2" t="s">
        <v>14</v>
      </c>
      <c r="F661" s="78" t="s">
        <v>1055</v>
      </c>
      <c r="G661" s="28" t="s">
        <v>13</v>
      </c>
      <c r="H661" s="2" t="s">
        <v>23</v>
      </c>
      <c r="I661" s="2">
        <v>1</v>
      </c>
      <c r="J661" s="2"/>
      <c r="K661" s="2">
        <v>20195</v>
      </c>
      <c r="L661" s="35">
        <f t="shared" si="35"/>
        <v>63113615.950000003</v>
      </c>
      <c r="M661" s="36">
        <v>500</v>
      </c>
      <c r="N661" s="37">
        <v>649864</v>
      </c>
      <c r="O661" s="37">
        <v>0</v>
      </c>
      <c r="P661" s="37">
        <v>0</v>
      </c>
      <c r="Q661" s="37">
        <v>0</v>
      </c>
      <c r="R661" s="37">
        <v>2599</v>
      </c>
      <c r="S661" s="37">
        <v>354356</v>
      </c>
      <c r="T661" s="37">
        <v>30000</v>
      </c>
      <c r="U661" s="37">
        <v>246380</v>
      </c>
      <c r="V661" s="37">
        <v>0</v>
      </c>
      <c r="W661" s="45">
        <f t="shared" si="36"/>
        <v>1283199</v>
      </c>
      <c r="X661" s="46">
        <f t="shared" si="37"/>
        <v>2.0331571574295131</v>
      </c>
    </row>
    <row r="662" spans="1:24" s="4" customFormat="1" ht="15" customHeight="1">
      <c r="A662" s="28" t="s">
        <v>647</v>
      </c>
      <c r="B662" s="29">
        <v>3125.21</v>
      </c>
      <c r="C662" s="30" t="s">
        <v>1056</v>
      </c>
      <c r="D662" s="2">
        <v>4948867701</v>
      </c>
      <c r="E662" s="2" t="s">
        <v>18</v>
      </c>
      <c r="F662" s="78" t="s">
        <v>1057</v>
      </c>
      <c r="G662" s="28" t="s">
        <v>13</v>
      </c>
      <c r="H662" s="2" t="s">
        <v>23</v>
      </c>
      <c r="I662" s="2">
        <v>2</v>
      </c>
      <c r="J662" s="2"/>
      <c r="K662" s="2">
        <v>105776</v>
      </c>
      <c r="L662" s="35">
        <f t="shared" si="35"/>
        <v>330572212.95999998</v>
      </c>
      <c r="M662" s="36">
        <v>1600</v>
      </c>
      <c r="N662" s="37">
        <v>862800</v>
      </c>
      <c r="O662" s="37">
        <v>0</v>
      </c>
      <c r="P662" s="37">
        <v>0</v>
      </c>
      <c r="Q662" s="37">
        <v>0</v>
      </c>
      <c r="R662" s="37">
        <v>6452</v>
      </c>
      <c r="S662" s="37">
        <v>354356</v>
      </c>
      <c r="T662" s="37">
        <v>30000</v>
      </c>
      <c r="U662" s="37">
        <v>179185.454545455</v>
      </c>
      <c r="V662" s="37">
        <v>170238</v>
      </c>
      <c r="W662" s="45">
        <f t="shared" si="36"/>
        <v>1603031.4545454551</v>
      </c>
      <c r="X662" s="46">
        <f t="shared" si="37"/>
        <v>0.484926255655803</v>
      </c>
    </row>
    <row r="663" spans="1:24" s="4" customFormat="1" ht="15" customHeight="1">
      <c r="A663" s="28" t="s">
        <v>647</v>
      </c>
      <c r="B663" s="29">
        <v>3125.21</v>
      </c>
      <c r="C663" s="30" t="s">
        <v>1058</v>
      </c>
      <c r="D663" s="2">
        <v>4947917138</v>
      </c>
      <c r="E663" s="2" t="s">
        <v>14</v>
      </c>
      <c r="F663" s="2" t="s">
        <v>1059</v>
      </c>
      <c r="G663" s="28" t="s">
        <v>5</v>
      </c>
      <c r="H663" s="2" t="s">
        <v>17</v>
      </c>
      <c r="I663" s="2">
        <v>1</v>
      </c>
      <c r="J663" s="2" t="s">
        <v>1060</v>
      </c>
      <c r="K663" s="2">
        <v>9298.7999999999993</v>
      </c>
      <c r="L663" s="35">
        <f t="shared" si="35"/>
        <v>29060702.748</v>
      </c>
      <c r="M663" s="36">
        <v>4920</v>
      </c>
      <c r="N663" s="40">
        <v>68432.864533099506</v>
      </c>
      <c r="O663" s="37">
        <v>89151.651030249894</v>
      </c>
      <c r="P663" s="40">
        <v>39919.081104778597</v>
      </c>
      <c r="Q663" s="37">
        <v>21420.441911442402</v>
      </c>
      <c r="R663" s="40">
        <v>305072.15957913199</v>
      </c>
      <c r="S663" s="40">
        <v>76432.771591407305</v>
      </c>
      <c r="T663" s="37">
        <v>30000</v>
      </c>
      <c r="U663" s="40">
        <v>1083661.8149934199</v>
      </c>
      <c r="V663" s="40">
        <v>287952.65234546299</v>
      </c>
      <c r="W663" s="45">
        <f t="shared" si="36"/>
        <v>2002043.4370889927</v>
      </c>
      <c r="X663" s="46">
        <f t="shared" si="37"/>
        <v>6.8891776446348194</v>
      </c>
    </row>
    <row r="664" spans="1:24" s="4" customFormat="1" ht="15" customHeight="1">
      <c r="A664" s="28" t="s">
        <v>647</v>
      </c>
      <c r="B664" s="29">
        <v>3125.21</v>
      </c>
      <c r="C664" s="30" t="s">
        <v>1058</v>
      </c>
      <c r="D664" s="2">
        <v>4947917125</v>
      </c>
      <c r="E664" s="2" t="s">
        <v>14</v>
      </c>
      <c r="F664" s="2" t="s">
        <v>1059</v>
      </c>
      <c r="G664" s="28" t="s">
        <v>5</v>
      </c>
      <c r="H664" s="2" t="s">
        <v>17</v>
      </c>
      <c r="I664" s="2">
        <v>1</v>
      </c>
      <c r="J664" s="2" t="s">
        <v>1060</v>
      </c>
      <c r="K664" s="2">
        <v>2528.4</v>
      </c>
      <c r="L664" s="35">
        <f t="shared" si="35"/>
        <v>7901780.9640000006</v>
      </c>
      <c r="M664" s="36">
        <v>420</v>
      </c>
      <c r="N664" s="40">
        <v>5841.8298991670299</v>
      </c>
      <c r="O664" s="40">
        <v>7610.5067952652398</v>
      </c>
      <c r="P664" s="40">
        <v>3407.7264357737799</v>
      </c>
      <c r="Q664" s="40">
        <v>1828.5743095133701</v>
      </c>
      <c r="R664" s="40">
        <v>26042.818500657599</v>
      </c>
      <c r="S664" s="40">
        <v>6524.7487943884298</v>
      </c>
      <c r="T664" s="37">
        <v>30000</v>
      </c>
      <c r="U664" s="40">
        <v>92507.715914072804</v>
      </c>
      <c r="V664" s="40">
        <v>24581.3239807102</v>
      </c>
      <c r="W664" s="45">
        <f t="shared" si="36"/>
        <v>198345.24462954846</v>
      </c>
      <c r="X664" s="46">
        <f t="shared" si="37"/>
        <v>2.5101334184432154</v>
      </c>
    </row>
    <row r="665" spans="1:24" s="4" customFormat="1" ht="15" customHeight="1">
      <c r="A665" s="28" t="s">
        <v>647</v>
      </c>
      <c r="B665" s="29">
        <v>3125.21</v>
      </c>
      <c r="C665" s="30" t="s">
        <v>1058</v>
      </c>
      <c r="D665" s="2">
        <v>4947510922</v>
      </c>
      <c r="E665" s="2" t="s">
        <v>14</v>
      </c>
      <c r="F665" s="2" t="s">
        <v>1059</v>
      </c>
      <c r="G665" s="28" t="s">
        <v>5</v>
      </c>
      <c r="H665" s="2" t="s">
        <v>17</v>
      </c>
      <c r="I665" s="2">
        <v>1</v>
      </c>
      <c r="J665" s="2" t="s">
        <v>1060</v>
      </c>
      <c r="K665" s="2">
        <v>5918.4</v>
      </c>
      <c r="L665" s="35">
        <f t="shared" si="35"/>
        <v>18496242.864</v>
      </c>
      <c r="M665" s="36">
        <v>1080</v>
      </c>
      <c r="N665" s="40">
        <v>15021.8483121438</v>
      </c>
      <c r="O665" s="40">
        <v>19569.874616396301</v>
      </c>
      <c r="P665" s="40">
        <v>8762.7251205611592</v>
      </c>
      <c r="Q665" s="40">
        <v>4702.0482244629502</v>
      </c>
      <c r="R665" s="40">
        <v>66966.961858833805</v>
      </c>
      <c r="S665" s="40">
        <v>16777.9254712845</v>
      </c>
      <c r="T665" s="37">
        <v>30000</v>
      </c>
      <c r="U665" s="40">
        <v>237876.98377904401</v>
      </c>
      <c r="V665" s="40">
        <v>63209.118807540603</v>
      </c>
      <c r="W665" s="45">
        <f t="shared" si="36"/>
        <v>462887.48619026714</v>
      </c>
      <c r="X665" s="46">
        <f t="shared" si="37"/>
        <v>2.5026027696208732</v>
      </c>
    </row>
    <row r="666" spans="1:24" s="4" customFormat="1" ht="15" customHeight="1">
      <c r="A666" s="28" t="s">
        <v>647</v>
      </c>
      <c r="B666" s="29">
        <v>3125.21</v>
      </c>
      <c r="C666" s="30" t="s">
        <v>1058</v>
      </c>
      <c r="D666" s="2">
        <v>4948241413</v>
      </c>
      <c r="E666" s="2" t="s">
        <v>14</v>
      </c>
      <c r="F666" s="2" t="s">
        <v>1059</v>
      </c>
      <c r="G666" s="28" t="s">
        <v>5</v>
      </c>
      <c r="H666" s="2" t="s">
        <v>17</v>
      </c>
      <c r="I666" s="2">
        <v>1</v>
      </c>
      <c r="J666" s="2" t="s">
        <v>1060</v>
      </c>
      <c r="K666" s="2">
        <v>2839.2</v>
      </c>
      <c r="L666" s="35">
        <f t="shared" si="35"/>
        <v>8873096.2319999989</v>
      </c>
      <c r="M666" s="36">
        <v>1560</v>
      </c>
      <c r="N666" s="40">
        <v>21698.225339763299</v>
      </c>
      <c r="O666" s="40">
        <v>28267.596668128001</v>
      </c>
      <c r="P666" s="40">
        <v>12657.2696185883</v>
      </c>
      <c r="Q666" s="40">
        <v>6791.8474353353804</v>
      </c>
      <c r="R666" s="40">
        <v>96729.611573871094</v>
      </c>
      <c r="S666" s="40">
        <v>24234.781236299899</v>
      </c>
      <c r="T666" s="37">
        <v>30000</v>
      </c>
      <c r="U666" s="40">
        <v>343600.08768084203</v>
      </c>
      <c r="V666" s="40">
        <v>91302.060499780797</v>
      </c>
      <c r="W666" s="45">
        <f t="shared" si="36"/>
        <v>655281.48005260876</v>
      </c>
      <c r="X666" s="46">
        <f t="shared" si="37"/>
        <v>7.3850374538866923</v>
      </c>
    </row>
    <row r="667" spans="1:24" s="4" customFormat="1" ht="15" customHeight="1">
      <c r="A667" s="28" t="s">
        <v>647</v>
      </c>
      <c r="B667" s="29">
        <v>3125.21</v>
      </c>
      <c r="C667" s="30" t="s">
        <v>1058</v>
      </c>
      <c r="D667" s="2">
        <v>4948242153</v>
      </c>
      <c r="E667" s="2" t="s">
        <v>14</v>
      </c>
      <c r="F667" s="2" t="s">
        <v>1059</v>
      </c>
      <c r="G667" s="28" t="s">
        <v>5</v>
      </c>
      <c r="H667" s="2" t="s">
        <v>17</v>
      </c>
      <c r="I667" s="2">
        <v>1</v>
      </c>
      <c r="J667" s="2" t="s">
        <v>1060</v>
      </c>
      <c r="K667" s="2">
        <v>4032</v>
      </c>
      <c r="L667" s="35">
        <f t="shared" si="35"/>
        <v>12600846.720000001</v>
      </c>
      <c r="M667" s="36">
        <f>400+1200</f>
        <v>1600</v>
      </c>
      <c r="N667" s="40">
        <v>22254.5900920649</v>
      </c>
      <c r="O667" s="40">
        <v>28992.406839105701</v>
      </c>
      <c r="P667" s="40">
        <v>12981.814993423901</v>
      </c>
      <c r="Q667" s="40">
        <v>6965.9973695747503</v>
      </c>
      <c r="R667" s="40">
        <v>99210.1657167909</v>
      </c>
      <c r="S667" s="40">
        <v>24856.1858833845</v>
      </c>
      <c r="T667" s="37">
        <v>30000</v>
      </c>
      <c r="U667" s="40">
        <v>352410.34633932501</v>
      </c>
      <c r="V667" s="40">
        <v>93643.138974134097</v>
      </c>
      <c r="W667" s="45">
        <f t="shared" si="36"/>
        <v>671314.64620780374</v>
      </c>
      <c r="X667" s="46">
        <f t="shared" si="37"/>
        <v>5.3275360071025739</v>
      </c>
    </row>
    <row r="668" spans="1:24" s="4" customFormat="1" ht="15" customHeight="1">
      <c r="A668" s="28" t="s">
        <v>647</v>
      </c>
      <c r="B668" s="29">
        <v>3125.21</v>
      </c>
      <c r="C668" s="30" t="s">
        <v>1058</v>
      </c>
      <c r="D668" s="2">
        <v>4948242156</v>
      </c>
      <c r="E668" s="2" t="s">
        <v>14</v>
      </c>
      <c r="F668" s="2" t="s">
        <v>1059</v>
      </c>
      <c r="G668" s="28" t="s">
        <v>5</v>
      </c>
      <c r="H668" s="2" t="s">
        <v>17</v>
      </c>
      <c r="I668" s="2">
        <v>1</v>
      </c>
      <c r="J668" s="2" t="s">
        <v>1060</v>
      </c>
      <c r="K668" s="2">
        <v>2454</v>
      </c>
      <c r="L668" s="35">
        <f t="shared" si="35"/>
        <v>7669265.3399999999</v>
      </c>
      <c r="M668" s="36">
        <v>600</v>
      </c>
      <c r="N668" s="40">
        <v>8345.4712845243303</v>
      </c>
      <c r="O668" s="40">
        <v>10872.152564664601</v>
      </c>
      <c r="P668" s="40">
        <v>4868.1806225339797</v>
      </c>
      <c r="Q668" s="40">
        <v>2612.24901359053</v>
      </c>
      <c r="R668" s="40">
        <v>37204.312143796597</v>
      </c>
      <c r="S668" s="40">
        <v>9321.0697062691797</v>
      </c>
      <c r="T668" s="37">
        <v>30000</v>
      </c>
      <c r="U668" s="40">
        <v>132153.879877247</v>
      </c>
      <c r="V668" s="40">
        <v>35116.177115300299</v>
      </c>
      <c r="W668" s="45">
        <f t="shared" si="36"/>
        <v>270493.49232792651</v>
      </c>
      <c r="X668" s="46">
        <f t="shared" si="37"/>
        <v>3.5269804907796618</v>
      </c>
    </row>
    <row r="669" spans="1:24" s="4" customFormat="1" ht="15" customHeight="1">
      <c r="A669" s="28" t="s">
        <v>647</v>
      </c>
      <c r="B669" s="29">
        <v>3125.21</v>
      </c>
      <c r="C669" s="30" t="s">
        <v>1058</v>
      </c>
      <c r="D669" s="2">
        <v>4948242156</v>
      </c>
      <c r="E669" s="2" t="s">
        <v>14</v>
      </c>
      <c r="F669" s="2" t="s">
        <v>1059</v>
      </c>
      <c r="G669" s="28" t="s">
        <v>5</v>
      </c>
      <c r="H669" s="2" t="s">
        <v>17</v>
      </c>
      <c r="I669" s="2">
        <v>1</v>
      </c>
      <c r="J669" s="2" t="s">
        <v>1060</v>
      </c>
      <c r="K669" s="2">
        <v>1518</v>
      </c>
      <c r="L669" s="35">
        <f t="shared" si="35"/>
        <v>4744068.78</v>
      </c>
      <c r="M669" s="36">
        <v>300</v>
      </c>
      <c r="N669" s="40">
        <v>4172.7356422621697</v>
      </c>
      <c r="O669" s="40">
        <v>5436.0762823323103</v>
      </c>
      <c r="P669" s="40">
        <v>2434.0903112669898</v>
      </c>
      <c r="Q669" s="40">
        <v>1306.12450679527</v>
      </c>
      <c r="R669" s="40">
        <v>18602.156071898298</v>
      </c>
      <c r="S669" s="40">
        <v>4660.5348531345899</v>
      </c>
      <c r="T669" s="37">
        <v>30000</v>
      </c>
      <c r="U669" s="40">
        <v>66076.9399386234</v>
      </c>
      <c r="V669" s="40">
        <v>17558.088557650201</v>
      </c>
      <c r="W669" s="45">
        <f t="shared" si="36"/>
        <v>150246.74616396322</v>
      </c>
      <c r="X669" s="46">
        <f t="shared" si="37"/>
        <v>3.167044010773453</v>
      </c>
    </row>
    <row r="670" spans="1:24" s="4" customFormat="1" ht="15" customHeight="1">
      <c r="A670" s="28" t="s">
        <v>647</v>
      </c>
      <c r="B670" s="29">
        <v>3125.21</v>
      </c>
      <c r="C670" s="30" t="s">
        <v>1058</v>
      </c>
      <c r="D670" s="2">
        <v>4948210656</v>
      </c>
      <c r="E670" s="2" t="s">
        <v>14</v>
      </c>
      <c r="F670" s="2" t="s">
        <v>1059</v>
      </c>
      <c r="G670" s="28" t="s">
        <v>5</v>
      </c>
      <c r="H670" s="2" t="s">
        <v>17</v>
      </c>
      <c r="I670" s="2">
        <v>1</v>
      </c>
      <c r="J670" s="2" t="s">
        <v>1060</v>
      </c>
      <c r="K670" s="2">
        <v>7884</v>
      </c>
      <c r="L670" s="35">
        <f t="shared" si="35"/>
        <v>24639155.640000001</v>
      </c>
      <c r="M670" s="36">
        <v>3600</v>
      </c>
      <c r="N670" s="40">
        <v>50072.827707146003</v>
      </c>
      <c r="O670" s="40">
        <v>65232.915387987698</v>
      </c>
      <c r="P670" s="40">
        <v>29209.083735203902</v>
      </c>
      <c r="Q670" s="40">
        <v>15673.4940815432</v>
      </c>
      <c r="R670" s="40">
        <v>223222.87286277901</v>
      </c>
      <c r="S670" s="40">
        <v>55926.4182376151</v>
      </c>
      <c r="T670" s="37">
        <v>30000</v>
      </c>
      <c r="U670" s="40">
        <v>792923.27926348103</v>
      </c>
      <c r="V670" s="40">
        <v>210697.06269180201</v>
      </c>
      <c r="W670" s="45">
        <f t="shared" si="36"/>
        <v>1472957.953967558</v>
      </c>
      <c r="X670" s="46">
        <f t="shared" si="37"/>
        <v>5.9781186315342332</v>
      </c>
    </row>
    <row r="671" spans="1:24" s="4" customFormat="1" ht="15" customHeight="1">
      <c r="A671" s="28" t="s">
        <v>647</v>
      </c>
      <c r="B671" s="29">
        <v>3125.21</v>
      </c>
      <c r="C671" s="30" t="s">
        <v>1058</v>
      </c>
      <c r="D671" s="2">
        <v>4948208980</v>
      </c>
      <c r="E671" s="2" t="s">
        <v>14</v>
      </c>
      <c r="F671" s="2" t="s">
        <v>1059</v>
      </c>
      <c r="G671" s="28" t="s">
        <v>5</v>
      </c>
      <c r="H671" s="2" t="s">
        <v>17</v>
      </c>
      <c r="I671" s="2">
        <v>1</v>
      </c>
      <c r="J671" s="2" t="s">
        <v>1060</v>
      </c>
      <c r="K671" s="2">
        <v>2025</v>
      </c>
      <c r="L671" s="35">
        <f t="shared" si="35"/>
        <v>6328550.25</v>
      </c>
      <c r="M671" s="36">
        <v>500</v>
      </c>
      <c r="N671" s="40">
        <v>6954.5594037702804</v>
      </c>
      <c r="O671" s="40">
        <v>9060.1271372205192</v>
      </c>
      <c r="P671" s="40">
        <v>4056.8171854449802</v>
      </c>
      <c r="Q671" s="40">
        <v>2176.8741779921102</v>
      </c>
      <c r="R671" s="40">
        <v>31002.926786497101</v>
      </c>
      <c r="S671" s="40">
        <v>7767.5580885576501</v>
      </c>
      <c r="T671" s="37">
        <v>30000</v>
      </c>
      <c r="U671" s="40">
        <v>110128.233231039</v>
      </c>
      <c r="V671" s="40">
        <v>29263.480929416899</v>
      </c>
      <c r="W671" s="45">
        <f t="shared" si="36"/>
        <v>230410.57693993853</v>
      </c>
      <c r="X671" s="46">
        <f t="shared" si="37"/>
        <v>3.6408113681318808</v>
      </c>
    </row>
    <row r="672" spans="1:24" s="4" customFormat="1" ht="15" customHeight="1">
      <c r="A672" s="28" t="s">
        <v>647</v>
      </c>
      <c r="B672" s="29">
        <v>3125.21</v>
      </c>
      <c r="C672" s="30" t="s">
        <v>1058</v>
      </c>
      <c r="D672" s="2">
        <v>4948210657</v>
      </c>
      <c r="E672" s="2" t="s">
        <v>14</v>
      </c>
      <c r="F672" s="2" t="s">
        <v>1059</v>
      </c>
      <c r="G672" s="28" t="s">
        <v>5</v>
      </c>
      <c r="H672" s="2" t="s">
        <v>17</v>
      </c>
      <c r="I672" s="2">
        <v>1</v>
      </c>
      <c r="J672" s="2" t="s">
        <v>1060</v>
      </c>
      <c r="K672" s="2">
        <v>10710</v>
      </c>
      <c r="L672" s="35">
        <f t="shared" si="35"/>
        <v>33470999.100000001</v>
      </c>
      <c r="M672" s="36">
        <v>4500</v>
      </c>
      <c r="N672" s="40">
        <v>62591.034633932497</v>
      </c>
      <c r="O672" s="40">
        <v>81541.144234984706</v>
      </c>
      <c r="P672" s="40">
        <v>36511.354669004802</v>
      </c>
      <c r="Q672" s="40">
        <v>19591.867601929</v>
      </c>
      <c r="R672" s="40">
        <v>279029.34107847401</v>
      </c>
      <c r="S672" s="40">
        <v>69908.022797018901</v>
      </c>
      <c r="T672" s="37">
        <v>30000</v>
      </c>
      <c r="U672" s="40">
        <v>991154.09907935106</v>
      </c>
      <c r="V672" s="40">
        <v>263371.328364752</v>
      </c>
      <c r="W672" s="45">
        <f t="shared" si="36"/>
        <v>1833698.1924594471</v>
      </c>
      <c r="X672" s="46">
        <f t="shared" si="37"/>
        <v>5.4784686497734301</v>
      </c>
    </row>
    <row r="673" spans="1:24" s="4" customFormat="1" ht="15" customHeight="1">
      <c r="A673" s="28" t="s">
        <v>647</v>
      </c>
      <c r="B673" s="29">
        <v>3125.21</v>
      </c>
      <c r="C673" s="30" t="s">
        <v>1058</v>
      </c>
      <c r="D673" s="2">
        <v>4947917126</v>
      </c>
      <c r="E673" s="2" t="s">
        <v>14</v>
      </c>
      <c r="F673" s="2" t="s">
        <v>1059</v>
      </c>
      <c r="G673" s="28" t="s">
        <v>5</v>
      </c>
      <c r="H673" s="2" t="s">
        <v>17</v>
      </c>
      <c r="I673" s="2">
        <v>1</v>
      </c>
      <c r="J673" s="2" t="s">
        <v>1060</v>
      </c>
      <c r="K673" s="2">
        <v>6732</v>
      </c>
      <c r="L673" s="35">
        <f t="shared" si="35"/>
        <v>21038913.719999999</v>
      </c>
      <c r="M673" s="36">
        <v>1800</v>
      </c>
      <c r="N673" s="40">
        <v>25036.413853573002</v>
      </c>
      <c r="O673" s="40">
        <v>32616.4576939939</v>
      </c>
      <c r="P673" s="40">
        <v>14604.5418676019</v>
      </c>
      <c r="Q673" s="40">
        <v>7836.74704077159</v>
      </c>
      <c r="R673" s="40">
        <v>111611.93643139</v>
      </c>
      <c r="S673" s="40">
        <v>27963.209118807499</v>
      </c>
      <c r="T673" s="37">
        <v>30000</v>
      </c>
      <c r="U673" s="40">
        <v>396461.63963173999</v>
      </c>
      <c r="V673" s="40">
        <v>105348.53134590101</v>
      </c>
      <c r="W673" s="45">
        <f t="shared" si="36"/>
        <v>751479.47698377888</v>
      </c>
      <c r="X673" s="46">
        <f t="shared" si="37"/>
        <v>3.5718549302733624</v>
      </c>
    </row>
    <row r="674" spans="1:24" s="4" customFormat="1" ht="15" customHeight="1">
      <c r="A674" s="28" t="s">
        <v>647</v>
      </c>
      <c r="B674" s="29">
        <v>3125.21</v>
      </c>
      <c r="C674" s="30" t="s">
        <v>1058</v>
      </c>
      <c r="D674" s="2">
        <v>4947774256</v>
      </c>
      <c r="E674" s="2" t="s">
        <v>14</v>
      </c>
      <c r="F674" s="2" t="s">
        <v>1059</v>
      </c>
      <c r="G674" s="28" t="s">
        <v>5</v>
      </c>
      <c r="H674" s="2" t="s">
        <v>17</v>
      </c>
      <c r="I674" s="2">
        <v>1</v>
      </c>
      <c r="J674" s="2" t="s">
        <v>1060</v>
      </c>
      <c r="K674" s="2">
        <v>2884</v>
      </c>
      <c r="L674" s="35">
        <f t="shared" si="35"/>
        <v>9013105.6400000006</v>
      </c>
      <c r="M674" s="36">
        <v>700</v>
      </c>
      <c r="N674" s="40">
        <v>9736.3831652783902</v>
      </c>
      <c r="O674" s="40">
        <v>12684.1779921087</v>
      </c>
      <c r="P674" s="40">
        <v>5679.5440596229701</v>
      </c>
      <c r="Q674" s="40">
        <v>3047.6238491889499</v>
      </c>
      <c r="R674" s="40">
        <v>43404.697501096001</v>
      </c>
      <c r="S674" s="40">
        <v>10874.581323980699</v>
      </c>
      <c r="T674" s="37">
        <v>30000</v>
      </c>
      <c r="U674" s="40">
        <v>154179.52652345499</v>
      </c>
      <c r="V674" s="40">
        <v>40968.873301183703</v>
      </c>
      <c r="W674" s="45">
        <f t="shared" si="36"/>
        <v>310575.40771591442</v>
      </c>
      <c r="X674" s="46">
        <f t="shared" si="37"/>
        <v>3.4458201215082438</v>
      </c>
    </row>
    <row r="675" spans="1:24" s="4" customFormat="1" ht="15" customHeight="1">
      <c r="A675" s="28" t="s">
        <v>647</v>
      </c>
      <c r="B675" s="29">
        <v>3125.21</v>
      </c>
      <c r="C675" s="30" t="s">
        <v>1058</v>
      </c>
      <c r="D675" s="2">
        <v>4947774256</v>
      </c>
      <c r="E675" s="2" t="s">
        <v>14</v>
      </c>
      <c r="F675" s="2" t="s">
        <v>1059</v>
      </c>
      <c r="G675" s="28" t="s">
        <v>5</v>
      </c>
      <c r="H675" s="2" t="s">
        <v>17</v>
      </c>
      <c r="I675" s="2">
        <v>1</v>
      </c>
      <c r="J675" s="2" t="s">
        <v>1060</v>
      </c>
      <c r="K675" s="2">
        <v>1860.6</v>
      </c>
      <c r="L675" s="35">
        <f t="shared" si="35"/>
        <v>5814765.7259999998</v>
      </c>
      <c r="M675" s="36">
        <v>420</v>
      </c>
      <c r="N675" s="40">
        <v>5841.8298991670299</v>
      </c>
      <c r="O675" s="40">
        <v>7610.5067952652398</v>
      </c>
      <c r="P675" s="40">
        <v>3407.7264357737799</v>
      </c>
      <c r="Q675" s="40">
        <v>1828.5743095133701</v>
      </c>
      <c r="R675" s="40">
        <v>26042.818500657599</v>
      </c>
      <c r="S675" s="40">
        <v>6524.7487943884298</v>
      </c>
      <c r="T675" s="37">
        <v>30000</v>
      </c>
      <c r="U675" s="40">
        <v>92507.715914072804</v>
      </c>
      <c r="V675" s="40">
        <v>24581.3239807102</v>
      </c>
      <c r="W675" s="45">
        <f t="shared" si="36"/>
        <v>198345.24462954846</v>
      </c>
      <c r="X675" s="46">
        <f t="shared" si="37"/>
        <v>3.4110616656948438</v>
      </c>
    </row>
    <row r="676" spans="1:24" s="4" customFormat="1" ht="15" customHeight="1">
      <c r="A676" s="28" t="s">
        <v>647</v>
      </c>
      <c r="B676" s="29">
        <v>3125.21</v>
      </c>
      <c r="C676" s="30" t="s">
        <v>1058</v>
      </c>
      <c r="D676" s="2">
        <v>4948242163</v>
      </c>
      <c r="E676" s="2" t="s">
        <v>14</v>
      </c>
      <c r="F676" s="2" t="s">
        <v>1059</v>
      </c>
      <c r="G676" s="28" t="s">
        <v>5</v>
      </c>
      <c r="H676" s="2" t="s">
        <v>17</v>
      </c>
      <c r="I676" s="2">
        <v>1</v>
      </c>
      <c r="J676" s="2" t="s">
        <v>1060</v>
      </c>
      <c r="K676" s="2">
        <v>116.7</v>
      </c>
      <c r="L676" s="35">
        <f t="shared" si="35"/>
        <v>364712.00700000004</v>
      </c>
      <c r="M676" s="36">
        <v>10</v>
      </c>
      <c r="N676" s="40">
        <v>139.091188075406</v>
      </c>
      <c r="O676" s="40">
        <v>181.20254274441001</v>
      </c>
      <c r="P676" s="40">
        <v>81.136343708899602</v>
      </c>
      <c r="Q676" s="40">
        <v>43.537483559842201</v>
      </c>
      <c r="R676" s="40">
        <v>620.13853572994299</v>
      </c>
      <c r="S676" s="40">
        <v>155.35116177115299</v>
      </c>
      <c r="T676" s="37">
        <v>30000</v>
      </c>
      <c r="U676" s="40">
        <v>2202.5646646207801</v>
      </c>
      <c r="V676" s="40">
        <v>585.26961858833897</v>
      </c>
      <c r="W676" s="45">
        <f t="shared" si="36"/>
        <v>34008.291538798774</v>
      </c>
      <c r="X676" s="46">
        <f t="shared" si="37"/>
        <v>9.3246975383507937</v>
      </c>
    </row>
    <row r="677" spans="1:24" s="4" customFormat="1" ht="15" customHeight="1">
      <c r="A677" s="28" t="s">
        <v>647</v>
      </c>
      <c r="B677" s="29">
        <v>3125.21</v>
      </c>
      <c r="C677" s="30" t="s">
        <v>1058</v>
      </c>
      <c r="D677" s="2">
        <v>4947917126</v>
      </c>
      <c r="E677" s="2" t="s">
        <v>14</v>
      </c>
      <c r="F677" s="2" t="s">
        <v>1059</v>
      </c>
      <c r="G677" s="28" t="s">
        <v>5</v>
      </c>
      <c r="H677" s="2" t="s">
        <v>17</v>
      </c>
      <c r="I677" s="2">
        <v>1</v>
      </c>
      <c r="J677" s="2" t="s">
        <v>1060</v>
      </c>
      <c r="K677" s="2">
        <v>7624</v>
      </c>
      <c r="L677" s="35">
        <f t="shared" si="35"/>
        <v>23826601.039999999</v>
      </c>
      <c r="M677" s="36">
        <v>800</v>
      </c>
      <c r="N677" s="40">
        <v>11127.295046032399</v>
      </c>
      <c r="O677" s="40">
        <v>14496.203419552799</v>
      </c>
      <c r="P677" s="40">
        <v>6490.9074967119705</v>
      </c>
      <c r="Q677" s="40">
        <v>3482.9986847873702</v>
      </c>
      <c r="R677" s="40">
        <v>49605.082858395399</v>
      </c>
      <c r="S677" s="40">
        <v>12428.092941692201</v>
      </c>
      <c r="T677" s="37">
        <v>30000</v>
      </c>
      <c r="U677" s="40">
        <v>176205.17316966201</v>
      </c>
      <c r="V677" s="40">
        <v>46821.5694870671</v>
      </c>
      <c r="W677" s="45">
        <f t="shared" si="36"/>
        <v>350657.32310390129</v>
      </c>
      <c r="X677" s="46">
        <f t="shared" si="37"/>
        <v>1.4717051857930521</v>
      </c>
    </row>
    <row r="678" spans="1:24" s="4" customFormat="1" ht="15" customHeight="1">
      <c r="A678" s="28" t="s">
        <v>647</v>
      </c>
      <c r="B678" s="29">
        <v>3125.21</v>
      </c>
      <c r="C678" s="30" t="s">
        <v>1061</v>
      </c>
      <c r="D678" s="2">
        <v>4948561424</v>
      </c>
      <c r="E678" s="2" t="s">
        <v>24</v>
      </c>
      <c r="F678" s="2" t="s">
        <v>1062</v>
      </c>
      <c r="G678" s="28" t="s">
        <v>5</v>
      </c>
      <c r="H678" s="2" t="s">
        <v>17</v>
      </c>
      <c r="I678" s="2">
        <v>1</v>
      </c>
      <c r="J678" s="2" t="s">
        <v>1063</v>
      </c>
      <c r="K678" s="2">
        <v>40800</v>
      </c>
      <c r="L678" s="35">
        <f t="shared" si="35"/>
        <v>127508568</v>
      </c>
      <c r="M678" s="36">
        <v>24000</v>
      </c>
      <c r="N678" s="37">
        <v>461707</v>
      </c>
      <c r="O678" s="37">
        <v>69081</v>
      </c>
      <c r="P678" s="37">
        <v>151721</v>
      </c>
      <c r="Q678" s="37">
        <v>151721</v>
      </c>
      <c r="R678" s="37">
        <v>445970</v>
      </c>
      <c r="S678" s="37">
        <v>354356</v>
      </c>
      <c r="T678" s="37"/>
      <c r="U678" s="37">
        <v>2500900</v>
      </c>
      <c r="V678" s="37">
        <v>0</v>
      </c>
      <c r="W678" s="45">
        <f t="shared" si="36"/>
        <v>4135456</v>
      </c>
      <c r="X678" s="46">
        <f t="shared" si="37"/>
        <v>3.2432769537494925</v>
      </c>
    </row>
    <row r="679" spans="1:24" s="4" customFormat="1" ht="15" customHeight="1">
      <c r="A679" s="28" t="s">
        <v>647</v>
      </c>
      <c r="B679" s="29">
        <v>3125.21</v>
      </c>
      <c r="C679" s="30" t="s">
        <v>1064</v>
      </c>
      <c r="D679" s="2">
        <v>4948415752</v>
      </c>
      <c r="E679" s="2" t="s">
        <v>6</v>
      </c>
      <c r="F679" s="2" t="s">
        <v>1065</v>
      </c>
      <c r="G679" s="28" t="s">
        <v>5</v>
      </c>
      <c r="H679" s="2" t="s">
        <v>17</v>
      </c>
      <c r="I679" s="2">
        <v>6</v>
      </c>
      <c r="J679" s="2" t="s">
        <v>1066</v>
      </c>
      <c r="K679" s="2">
        <v>36308</v>
      </c>
      <c r="L679" s="35">
        <f t="shared" si="35"/>
        <v>113470124.68000001</v>
      </c>
      <c r="M679" s="36">
        <v>400</v>
      </c>
      <c r="N679" s="40">
        <v>533654.80208649696</v>
      </c>
      <c r="O679" s="40">
        <v>187956.60869565199</v>
      </c>
      <c r="P679" s="40">
        <v>80672.911508748803</v>
      </c>
      <c r="Q679" s="40">
        <v>53935.391304347802</v>
      </c>
      <c r="R679" s="40">
        <v>726004.49637504097</v>
      </c>
      <c r="S679" s="40">
        <v>28601.1736150545</v>
      </c>
      <c r="T679" s="37">
        <v>30000</v>
      </c>
      <c r="U679" s="40">
        <v>1187644.9362826</v>
      </c>
      <c r="V679" s="40">
        <v>146563.54038956799</v>
      </c>
      <c r="W679" s="45">
        <f t="shared" si="36"/>
        <v>2975033.8602575092</v>
      </c>
      <c r="X679" s="46">
        <f t="shared" si="37"/>
        <v>2.6218653312027973</v>
      </c>
    </row>
    <row r="680" spans="1:24" s="4" customFormat="1" ht="15" customHeight="1">
      <c r="A680" s="28" t="s">
        <v>647</v>
      </c>
      <c r="B680" s="29">
        <v>3125.21</v>
      </c>
      <c r="C680" s="30" t="s">
        <v>1064</v>
      </c>
      <c r="D680" s="2">
        <v>4948415762</v>
      </c>
      <c r="E680" s="2" t="s">
        <v>6</v>
      </c>
      <c r="F680" s="2" t="s">
        <v>1065</v>
      </c>
      <c r="G680" s="28" t="s">
        <v>5</v>
      </c>
      <c r="H680" s="2" t="s">
        <v>17</v>
      </c>
      <c r="I680" s="2">
        <v>6</v>
      </c>
      <c r="J680" s="2" t="s">
        <v>1066</v>
      </c>
      <c r="K680" s="2">
        <f>63539+27231</f>
        <v>90770</v>
      </c>
      <c r="L680" s="35">
        <f t="shared" si="35"/>
        <v>283675311.69999999</v>
      </c>
      <c r="M680" s="36">
        <f>700+300</f>
        <v>1000</v>
      </c>
      <c r="N680" s="40">
        <v>1426478.8440066001</v>
      </c>
      <c r="O680" s="40">
        <v>469891.52173913002</v>
      </c>
      <c r="P680" s="40">
        <v>215641.649061737</v>
      </c>
      <c r="Q680" s="40">
        <v>134838.47826087</v>
      </c>
      <c r="R680" s="40">
        <v>1940635.9886087801</v>
      </c>
      <c r="S680" s="40">
        <v>76451.985283591901</v>
      </c>
      <c r="T680" s="37">
        <v>30000</v>
      </c>
      <c r="U680" s="40">
        <v>3174618.4409376001</v>
      </c>
      <c r="V680" s="40">
        <v>391769.71489996702</v>
      </c>
      <c r="W680" s="45">
        <f t="shared" si="36"/>
        <v>7860326.6227982771</v>
      </c>
      <c r="X680" s="46">
        <f t="shared" si="37"/>
        <v>2.7708885118317745</v>
      </c>
    </row>
    <row r="681" spans="1:24" s="4" customFormat="1" ht="15" customHeight="1">
      <c r="A681" s="28" t="s">
        <v>647</v>
      </c>
      <c r="B681" s="29">
        <v>3125.21</v>
      </c>
      <c r="C681" s="30" t="s">
        <v>1064</v>
      </c>
      <c r="D681" s="2">
        <v>4948415760</v>
      </c>
      <c r="E681" s="2" t="s">
        <v>6</v>
      </c>
      <c r="F681" s="2" t="s">
        <v>1065</v>
      </c>
      <c r="G681" s="28" t="s">
        <v>5</v>
      </c>
      <c r="H681" s="2" t="s">
        <v>17</v>
      </c>
      <c r="I681" s="2">
        <v>6</v>
      </c>
      <c r="J681" s="2" t="s">
        <v>1066</v>
      </c>
      <c r="K681" s="2">
        <f>72616+72616+72616+72616</f>
        <v>290464</v>
      </c>
      <c r="L681" s="35">
        <f t="shared" si="35"/>
        <v>907760997.44000006</v>
      </c>
      <c r="M681" s="36">
        <f>800+800+800+800</f>
        <v>3200</v>
      </c>
      <c r="N681" s="40">
        <v>4651615.3539068997</v>
      </c>
      <c r="O681" s="40">
        <v>1503652.8695652201</v>
      </c>
      <c r="P681" s="40">
        <v>703187.43942951504</v>
      </c>
      <c r="Q681" s="40">
        <v>431483.130434783</v>
      </c>
      <c r="R681" s="40">
        <v>6328233.5150161805</v>
      </c>
      <c r="S681" s="40">
        <v>249302.84110135399</v>
      </c>
      <c r="T681" s="37">
        <v>30000</v>
      </c>
      <c r="U681" s="40">
        <v>10352136.6227798</v>
      </c>
      <c r="V681" s="40">
        <v>1277524.7447104701</v>
      </c>
      <c r="W681" s="45">
        <f t="shared" si="36"/>
        <v>25527136.516944226</v>
      </c>
      <c r="X681" s="46">
        <f t="shared" si="37"/>
        <v>2.8120988441818886</v>
      </c>
    </row>
    <row r="682" spans="1:24" s="4" customFormat="1" ht="15" customHeight="1">
      <c r="A682" s="28" t="s">
        <v>647</v>
      </c>
      <c r="B682" s="29">
        <v>3125.21</v>
      </c>
      <c r="C682" s="30" t="s">
        <v>1067</v>
      </c>
      <c r="D682" s="2">
        <v>4948560117</v>
      </c>
      <c r="E682" s="2" t="s">
        <v>24</v>
      </c>
      <c r="F682" s="78" t="s">
        <v>1068</v>
      </c>
      <c r="G682" s="28" t="s">
        <v>9</v>
      </c>
      <c r="H682" s="2" t="s">
        <v>23</v>
      </c>
      <c r="I682" s="2">
        <v>2</v>
      </c>
      <c r="J682" s="2"/>
      <c r="K682" s="2">
        <v>3400</v>
      </c>
      <c r="L682" s="35">
        <f t="shared" si="35"/>
        <v>10625714</v>
      </c>
      <c r="M682" s="36">
        <v>2500</v>
      </c>
      <c r="N682" s="40">
        <v>1023853</v>
      </c>
      <c r="O682" s="40">
        <v>1672</v>
      </c>
      <c r="P682" s="40">
        <v>77020</v>
      </c>
      <c r="Q682" s="40">
        <v>40405</v>
      </c>
      <c r="R682" s="40">
        <v>124308</v>
      </c>
      <c r="S682" s="40">
        <v>354356</v>
      </c>
      <c r="T682" s="40"/>
      <c r="U682" s="40">
        <v>1191714.2857142901</v>
      </c>
      <c r="V682" s="40">
        <v>0</v>
      </c>
      <c r="W682" s="45">
        <f t="shared" si="36"/>
        <v>2813328.2857142901</v>
      </c>
      <c r="X682" s="46">
        <f t="shared" si="37"/>
        <v>26.476604637714608</v>
      </c>
    </row>
    <row r="683" spans="1:24" s="4" customFormat="1" ht="15" customHeight="1">
      <c r="A683" s="28" t="s">
        <v>647</v>
      </c>
      <c r="B683" s="29">
        <v>3125.21</v>
      </c>
      <c r="C683" s="30" t="s">
        <v>1069</v>
      </c>
      <c r="D683" s="2">
        <v>4948242175</v>
      </c>
      <c r="E683" s="2" t="s">
        <v>14</v>
      </c>
      <c r="F683" s="78" t="s">
        <v>1070</v>
      </c>
      <c r="G683" s="28" t="s">
        <v>5</v>
      </c>
      <c r="H683" s="2" t="s">
        <v>17</v>
      </c>
      <c r="I683" s="2">
        <v>1</v>
      </c>
      <c r="J683" s="2" t="s">
        <v>1071</v>
      </c>
      <c r="K683" s="2">
        <v>1780.8</v>
      </c>
      <c r="L683" s="35">
        <f t="shared" si="35"/>
        <v>5565373.9680000003</v>
      </c>
      <c r="M683" s="36">
        <v>420</v>
      </c>
      <c r="N683" s="40">
        <v>10636.471482889699</v>
      </c>
      <c r="O683" s="40">
        <v>9429.4220532319396</v>
      </c>
      <c r="P683" s="40">
        <v>3426.38783269962</v>
      </c>
      <c r="Q683" s="40">
        <v>2265.6045627376402</v>
      </c>
      <c r="R683" s="40">
        <f>12522.8212927757+4563</f>
        <v>17085.821292775698</v>
      </c>
      <c r="S683" s="40">
        <v>8084.1673003802298</v>
      </c>
      <c r="T683" s="37">
        <v>30000</v>
      </c>
      <c r="U683" s="40">
        <v>113510.646387833</v>
      </c>
      <c r="V683" s="40">
        <v>0</v>
      </c>
      <c r="W683" s="45">
        <f t="shared" si="36"/>
        <v>194438.52091254783</v>
      </c>
      <c r="X683" s="46">
        <f t="shared" si="37"/>
        <v>3.4937188773034458</v>
      </c>
    </row>
    <row r="684" spans="1:24" s="4" customFormat="1" ht="15" customHeight="1">
      <c r="A684" s="28" t="s">
        <v>647</v>
      </c>
      <c r="B684" s="29">
        <v>3125.21</v>
      </c>
      <c r="C684" s="30" t="s">
        <v>1069</v>
      </c>
      <c r="D684" s="2">
        <v>4948540100</v>
      </c>
      <c r="E684" s="2" t="s">
        <v>14</v>
      </c>
      <c r="F684" s="78" t="s">
        <v>1070</v>
      </c>
      <c r="G684" s="28" t="s">
        <v>5</v>
      </c>
      <c r="H684" s="2" t="s">
        <v>17</v>
      </c>
      <c r="I684" s="2">
        <v>1</v>
      </c>
      <c r="J684" s="2" t="s">
        <v>1071</v>
      </c>
      <c r="K684" s="2">
        <v>1162.5</v>
      </c>
      <c r="L684" s="35">
        <f t="shared" si="35"/>
        <v>3633056.625</v>
      </c>
      <c r="M684" s="36">
        <v>375</v>
      </c>
      <c r="N684" s="40">
        <v>9496.8495382944093</v>
      </c>
      <c r="O684" s="40">
        <v>8419.1268332428008</v>
      </c>
      <c r="P684" s="40">
        <v>3059.2748506246598</v>
      </c>
      <c r="Q684" s="40">
        <v>2022.86121673004</v>
      </c>
      <c r="R684" s="40">
        <f>11181.0904399783+4074</f>
        <v>15255.090439978299</v>
      </c>
      <c r="S684" s="40">
        <v>7218.0065181966302</v>
      </c>
      <c r="T684" s="37">
        <v>30000</v>
      </c>
      <c r="U684" s="40">
        <v>101348.79141770799</v>
      </c>
      <c r="V684" s="40">
        <v>0</v>
      </c>
      <c r="W684" s="45">
        <f t="shared" si="36"/>
        <v>176820.00081477483</v>
      </c>
      <c r="X684" s="46">
        <f t="shared" si="37"/>
        <v>4.866976187434866</v>
      </c>
    </row>
    <row r="685" spans="1:24" s="4" customFormat="1" ht="15" customHeight="1">
      <c r="A685" s="28" t="s">
        <v>647</v>
      </c>
      <c r="B685" s="29">
        <v>3125.21</v>
      </c>
      <c r="C685" s="30" t="s">
        <v>1069</v>
      </c>
      <c r="D685" s="2">
        <v>4948063394</v>
      </c>
      <c r="E685" s="2" t="s">
        <v>14</v>
      </c>
      <c r="F685" s="2" t="s">
        <v>1070</v>
      </c>
      <c r="G685" s="28" t="s">
        <v>5</v>
      </c>
      <c r="H685" s="2" t="s">
        <v>17</v>
      </c>
      <c r="I685" s="2">
        <v>1</v>
      </c>
      <c r="J685" s="2" t="s">
        <v>1071</v>
      </c>
      <c r="K685" s="2">
        <v>12248.5</v>
      </c>
      <c r="L685" s="35">
        <f t="shared" si="35"/>
        <v>38279134.685000002</v>
      </c>
      <c r="M685" s="36">
        <f>1625+4675</f>
        <v>6300</v>
      </c>
      <c r="N685" s="40">
        <v>159547.07224334599</v>
      </c>
      <c r="O685" s="40">
        <v>141441.330798479</v>
      </c>
      <c r="P685" s="40">
        <v>51395.817490494301</v>
      </c>
      <c r="Q685" s="40">
        <v>33984.068441064599</v>
      </c>
      <c r="R685" s="40">
        <f>187842.319391635+68441</f>
        <v>256283.31939163501</v>
      </c>
      <c r="S685" s="40">
        <v>121262.509505703</v>
      </c>
      <c r="T685" s="37">
        <v>30000</v>
      </c>
      <c r="U685" s="40">
        <v>1702659.6958174901</v>
      </c>
      <c r="V685" s="40">
        <v>0</v>
      </c>
      <c r="W685" s="45">
        <f t="shared" si="36"/>
        <v>2496573.8136882121</v>
      </c>
      <c r="X685" s="46">
        <f t="shared" si="37"/>
        <v>6.5220225959457627</v>
      </c>
    </row>
    <row r="686" spans="1:24" s="4" customFormat="1" ht="15" customHeight="1">
      <c r="A686" s="28" t="s">
        <v>647</v>
      </c>
      <c r="B686" s="29">
        <v>3125.21</v>
      </c>
      <c r="C686" s="30" t="s">
        <v>1069</v>
      </c>
      <c r="D686" s="2">
        <v>4948242199</v>
      </c>
      <c r="E686" s="2" t="s">
        <v>14</v>
      </c>
      <c r="F686" s="78" t="s">
        <v>1070</v>
      </c>
      <c r="G686" s="28" t="s">
        <v>5</v>
      </c>
      <c r="H686" s="2" t="s">
        <v>17</v>
      </c>
      <c r="I686" s="2">
        <v>1</v>
      </c>
      <c r="J686" s="2" t="s">
        <v>1071</v>
      </c>
      <c r="K686" s="2">
        <v>8300.25</v>
      </c>
      <c r="L686" s="35">
        <f t="shared" si="35"/>
        <v>25940024.302500002</v>
      </c>
      <c r="M686" s="36">
        <v>1575</v>
      </c>
      <c r="N686" s="40">
        <v>39886.768060836497</v>
      </c>
      <c r="O686" s="40">
        <v>35360.332699619801</v>
      </c>
      <c r="P686" s="40">
        <v>12848.954372623601</v>
      </c>
      <c r="Q686" s="40">
        <v>8496.0171102661607</v>
      </c>
      <c r="R686" s="40">
        <f>46960.5798479087+17110</f>
        <v>64070.579847908703</v>
      </c>
      <c r="S686" s="40">
        <v>30315.627376425899</v>
      </c>
      <c r="T686" s="37">
        <v>30000</v>
      </c>
      <c r="U686" s="40">
        <v>425664.92395437299</v>
      </c>
      <c r="V686" s="40">
        <v>0</v>
      </c>
      <c r="W686" s="45">
        <f t="shared" si="36"/>
        <v>646643.2034220536</v>
      </c>
      <c r="X686" s="46">
        <f t="shared" si="37"/>
        <v>2.4928396206619303</v>
      </c>
    </row>
    <row r="687" spans="1:24" s="4" customFormat="1" ht="15" customHeight="1">
      <c r="A687" s="28" t="s">
        <v>647</v>
      </c>
      <c r="B687" s="29">
        <v>3125.21</v>
      </c>
      <c r="C687" s="30" t="s">
        <v>1069</v>
      </c>
      <c r="D687" s="2">
        <v>4948243006</v>
      </c>
      <c r="E687" s="2" t="s">
        <v>14</v>
      </c>
      <c r="F687" s="78" t="s">
        <v>1070</v>
      </c>
      <c r="G687" s="28" t="s">
        <v>5</v>
      </c>
      <c r="H687" s="2" t="s">
        <v>17</v>
      </c>
      <c r="I687" s="2">
        <v>1</v>
      </c>
      <c r="J687" s="2" t="s">
        <v>1071</v>
      </c>
      <c r="K687" s="2">
        <v>23777.599999999999</v>
      </c>
      <c r="L687" s="35">
        <f t="shared" si="35"/>
        <v>74309993.295999989</v>
      </c>
      <c r="M687" s="36">
        <v>6160</v>
      </c>
      <c r="N687" s="40">
        <v>156001.58174904899</v>
      </c>
      <c r="O687" s="40">
        <v>138298.19011406801</v>
      </c>
      <c r="P687" s="40">
        <v>50253.688212927802</v>
      </c>
      <c r="Q687" s="40">
        <v>33228.866920152097</v>
      </c>
      <c r="R687" s="40">
        <f>183668.045627376+66920</f>
        <v>250588.04562737601</v>
      </c>
      <c r="S687" s="40">
        <v>118567.78707224299</v>
      </c>
      <c r="T687" s="37">
        <v>30000</v>
      </c>
      <c r="U687" s="40">
        <v>1664822.81368821</v>
      </c>
      <c r="V687" s="40">
        <v>0</v>
      </c>
      <c r="W687" s="45">
        <f t="shared" si="36"/>
        <v>2441760.9733840255</v>
      </c>
      <c r="X687" s="46">
        <f t="shared" si="37"/>
        <v>3.2859119817945972</v>
      </c>
    </row>
    <row r="688" spans="1:24" s="4" customFormat="1" ht="15" customHeight="1">
      <c r="A688" s="28" t="s">
        <v>647</v>
      </c>
      <c r="B688" s="29">
        <v>3125.21</v>
      </c>
      <c r="C688" s="30" t="s">
        <v>1069</v>
      </c>
      <c r="D688" s="2">
        <v>4948494947</v>
      </c>
      <c r="E688" s="2" t="s">
        <v>14</v>
      </c>
      <c r="F688" s="2" t="s">
        <v>1070</v>
      </c>
      <c r="G688" s="28" t="s">
        <v>5</v>
      </c>
      <c r="H688" s="2" t="s">
        <v>17</v>
      </c>
      <c r="I688" s="2">
        <v>1</v>
      </c>
      <c r="J688" s="2" t="s">
        <v>1071</v>
      </c>
      <c r="K688" s="2">
        <v>2772</v>
      </c>
      <c r="L688" s="35">
        <f t="shared" si="35"/>
        <v>8663082.1199999992</v>
      </c>
      <c r="M688" s="36">
        <v>900</v>
      </c>
      <c r="N688" s="40">
        <v>22792.4388919066</v>
      </c>
      <c r="O688" s="40">
        <v>20205.904399782699</v>
      </c>
      <c r="P688" s="40">
        <v>7342.2596414991804</v>
      </c>
      <c r="Q688" s="40">
        <v>4854.8669201520897</v>
      </c>
      <c r="R688" s="40">
        <f>26834.6170559479+9777</f>
        <v>36611.6170559479</v>
      </c>
      <c r="S688" s="40">
        <v>17323.215643671901</v>
      </c>
      <c r="T688" s="37">
        <v>30000</v>
      </c>
      <c r="U688" s="40">
        <v>243237.09940249901</v>
      </c>
      <c r="V688" s="40">
        <v>0</v>
      </c>
      <c r="W688" s="45">
        <f t="shared" si="36"/>
        <v>382367.40195545938</v>
      </c>
      <c r="X688" s="46">
        <f t="shared" si="37"/>
        <v>4.4137570977505574</v>
      </c>
    </row>
    <row r="689" spans="1:24" s="4" customFormat="1" ht="15" customHeight="1">
      <c r="A689" s="28" t="s">
        <v>647</v>
      </c>
      <c r="B689" s="29">
        <v>3125.21</v>
      </c>
      <c r="C689" s="30" t="s">
        <v>1069</v>
      </c>
      <c r="D689" s="2">
        <v>4948411918</v>
      </c>
      <c r="E689" s="2" t="s">
        <v>14</v>
      </c>
      <c r="F689" s="2" t="s">
        <v>1070</v>
      </c>
      <c r="G689" s="28" t="s">
        <v>5</v>
      </c>
      <c r="H689" s="2" t="s">
        <v>17</v>
      </c>
      <c r="I689" s="2">
        <v>1</v>
      </c>
      <c r="J689" s="2" t="s">
        <v>1071</v>
      </c>
      <c r="K689" s="2">
        <v>2397.6</v>
      </c>
      <c r="L689" s="35">
        <f t="shared" si="35"/>
        <v>7493003.4959999993</v>
      </c>
      <c r="M689" s="36">
        <v>400</v>
      </c>
      <c r="N689" s="40">
        <v>10129.9728408474</v>
      </c>
      <c r="O689" s="40">
        <v>8980.4019554589904</v>
      </c>
      <c r="P689" s="40">
        <v>3263.22650733297</v>
      </c>
      <c r="Q689" s="40">
        <v>2157.71863117871</v>
      </c>
      <c r="R689" s="40">
        <f>11926.4964693102+4345</f>
        <v>16271.496469310199</v>
      </c>
      <c r="S689" s="40">
        <v>7699.2069527430704</v>
      </c>
      <c r="T689" s="37">
        <v>30000</v>
      </c>
      <c r="U689" s="40">
        <v>108105.377512222</v>
      </c>
      <c r="V689" s="40">
        <v>0</v>
      </c>
      <c r="W689" s="45">
        <f t="shared" si="36"/>
        <v>186607.40086909334</v>
      </c>
      <c r="X689" s="46">
        <f t="shared" si="37"/>
        <v>2.4904219111696695</v>
      </c>
    </row>
    <row r="690" spans="1:24" s="4" customFormat="1" ht="15" customHeight="1">
      <c r="A690" s="28" t="s">
        <v>647</v>
      </c>
      <c r="B690" s="29">
        <v>3125.21</v>
      </c>
      <c r="C690" s="30" t="s">
        <v>1069</v>
      </c>
      <c r="D690" s="2">
        <v>4948411918</v>
      </c>
      <c r="E690" s="2" t="s">
        <v>14</v>
      </c>
      <c r="F690" s="2" t="s">
        <v>1070</v>
      </c>
      <c r="G690" s="28" t="s">
        <v>5</v>
      </c>
      <c r="H690" s="2" t="s">
        <v>17</v>
      </c>
      <c r="I690" s="2">
        <v>1</v>
      </c>
      <c r="J690" s="2" t="s">
        <v>1071</v>
      </c>
      <c r="K690" s="2">
        <v>4468.2</v>
      </c>
      <c r="L690" s="35">
        <f t="shared" si="35"/>
        <v>13964063.321999999</v>
      </c>
      <c r="M690" s="36">
        <v>660</v>
      </c>
      <c r="N690" s="40">
        <v>16714.455187398202</v>
      </c>
      <c r="O690" s="40">
        <v>14817.6632265073</v>
      </c>
      <c r="P690" s="40">
        <v>5384.3237370994002</v>
      </c>
      <c r="Q690" s="40">
        <v>3560.2357414448702</v>
      </c>
      <c r="R690" s="40">
        <f>19678.7191743618+7170</f>
        <v>26848.719174361799</v>
      </c>
      <c r="S690" s="40">
        <v>12703.691472026099</v>
      </c>
      <c r="T690" s="37">
        <v>30000</v>
      </c>
      <c r="U690" s="40">
        <v>178373.87289516599</v>
      </c>
      <c r="V690" s="40">
        <v>0</v>
      </c>
      <c r="W690" s="45">
        <f t="shared" si="36"/>
        <v>288402.96143400366</v>
      </c>
      <c r="X690" s="46">
        <f t="shared" si="37"/>
        <v>2.0653226412947636</v>
      </c>
    </row>
    <row r="691" spans="1:24" s="4" customFormat="1" ht="15" customHeight="1">
      <c r="A691" s="28" t="s">
        <v>647</v>
      </c>
      <c r="B691" s="29">
        <v>3125.21</v>
      </c>
      <c r="C691" s="30" t="s">
        <v>1069</v>
      </c>
      <c r="D691" s="2">
        <v>4948116379</v>
      </c>
      <c r="E691" s="2" t="s">
        <v>14</v>
      </c>
      <c r="F691" s="2" t="s">
        <v>1070</v>
      </c>
      <c r="G691" s="28" t="s">
        <v>5</v>
      </c>
      <c r="H691" s="2" t="s">
        <v>17</v>
      </c>
      <c r="I691" s="2">
        <v>1</v>
      </c>
      <c r="J691" s="2" t="s">
        <v>1071</v>
      </c>
      <c r="K691" s="2">
        <v>8877.6</v>
      </c>
      <c r="L691" s="35">
        <f t="shared" si="35"/>
        <v>27744364.296</v>
      </c>
      <c r="M691" s="36">
        <v>1620</v>
      </c>
      <c r="N691" s="40">
        <v>41026.3900054318</v>
      </c>
      <c r="O691" s="40">
        <v>36370.627919608902</v>
      </c>
      <c r="P691" s="40">
        <v>13216.0673546985</v>
      </c>
      <c r="Q691" s="40">
        <v>8738.7604562737706</v>
      </c>
      <c r="R691" s="40">
        <v>65901.310700706104</v>
      </c>
      <c r="S691" s="40">
        <v>31181.788158609499</v>
      </c>
      <c r="T691" s="37">
        <v>30000</v>
      </c>
      <c r="U691" s="40">
        <v>437826.77892449801</v>
      </c>
      <c r="V691" s="40">
        <v>0</v>
      </c>
      <c r="W691" s="45">
        <f t="shared" si="36"/>
        <v>664261.72351982654</v>
      </c>
      <c r="X691" s="46">
        <f t="shared" si="37"/>
        <v>2.3942221794413054</v>
      </c>
    </row>
    <row r="692" spans="1:24" s="4" customFormat="1" ht="15" customHeight="1">
      <c r="A692" s="28" t="s">
        <v>647</v>
      </c>
      <c r="B692" s="29">
        <v>3125.21</v>
      </c>
      <c r="C692" s="30" t="s">
        <v>1072</v>
      </c>
      <c r="D692" s="2">
        <v>4948560114</v>
      </c>
      <c r="E692" s="2" t="s">
        <v>24</v>
      </c>
      <c r="F692" s="2" t="s">
        <v>1073</v>
      </c>
      <c r="G692" s="28" t="s">
        <v>9</v>
      </c>
      <c r="H692" s="2" t="s">
        <v>23</v>
      </c>
      <c r="I692" s="2">
        <v>2</v>
      </c>
      <c r="J692" s="2"/>
      <c r="K692" s="2">
        <v>10135.200000000001</v>
      </c>
      <c r="L692" s="35">
        <f t="shared" si="35"/>
        <v>31674628.392000001</v>
      </c>
      <c r="M692" s="36">
        <v>1640</v>
      </c>
      <c r="N692" s="40">
        <v>678351</v>
      </c>
      <c r="O692" s="40">
        <v>1131</v>
      </c>
      <c r="P692" s="40">
        <v>0</v>
      </c>
      <c r="Q692" s="40">
        <v>27946</v>
      </c>
      <c r="R692" s="40">
        <v>112566</v>
      </c>
      <c r="S692" s="40">
        <v>354356</v>
      </c>
      <c r="T692" s="40"/>
      <c r="U692" s="40">
        <v>1367700</v>
      </c>
      <c r="V692" s="40">
        <v>0</v>
      </c>
      <c r="W692" s="45">
        <f t="shared" si="36"/>
        <v>2542050</v>
      </c>
      <c r="X692" s="46">
        <f t="shared" si="37"/>
        <v>8.0255085191213809</v>
      </c>
    </row>
    <row r="693" spans="1:24" s="4" customFormat="1" ht="15" customHeight="1">
      <c r="A693" s="28" t="s">
        <v>647</v>
      </c>
      <c r="B693" s="29">
        <v>3125.21</v>
      </c>
      <c r="C693" s="30" t="s">
        <v>1074</v>
      </c>
      <c r="D693" s="2" t="s">
        <v>1075</v>
      </c>
      <c r="E693" s="2" t="s">
        <v>6</v>
      </c>
      <c r="F693" s="2" t="s">
        <v>1076</v>
      </c>
      <c r="G693" s="28" t="s">
        <v>9</v>
      </c>
      <c r="H693" s="2" t="s">
        <v>23</v>
      </c>
      <c r="I693" s="2">
        <v>1</v>
      </c>
      <c r="J693" s="2"/>
      <c r="K693" s="2">
        <v>7800</v>
      </c>
      <c r="L693" s="35">
        <f t="shared" si="35"/>
        <v>24376638</v>
      </c>
      <c r="M693" s="36">
        <v>480</v>
      </c>
      <c r="N693" s="40">
        <v>623008</v>
      </c>
      <c r="O693" s="40">
        <v>409</v>
      </c>
      <c r="P693" s="40">
        <v>0</v>
      </c>
      <c r="Q693" s="40">
        <v>12224</v>
      </c>
      <c r="R693" s="40">
        <v>95834</v>
      </c>
      <c r="S693" s="40">
        <v>354356</v>
      </c>
      <c r="T693" s="37">
        <v>30000</v>
      </c>
      <c r="U693" s="40">
        <v>231722.22222222199</v>
      </c>
      <c r="V693" s="40">
        <v>148333.33333333299</v>
      </c>
      <c r="W693" s="45">
        <f t="shared" si="36"/>
        <v>1495886.555555555</v>
      </c>
      <c r="X693" s="46">
        <f t="shared" si="37"/>
        <v>6.1365581076256497</v>
      </c>
    </row>
    <row r="694" spans="1:24" s="4" customFormat="1" ht="15" customHeight="1">
      <c r="A694" s="28" t="s">
        <v>647</v>
      </c>
      <c r="B694" s="29">
        <v>3125.21</v>
      </c>
      <c r="C694" s="30" t="s">
        <v>1077</v>
      </c>
      <c r="D694" s="2">
        <v>4948620867</v>
      </c>
      <c r="E694" s="2" t="s">
        <v>18</v>
      </c>
      <c r="F694" s="78" t="s">
        <v>1078</v>
      </c>
      <c r="G694" s="28" t="s">
        <v>5</v>
      </c>
      <c r="H694" s="2" t="s">
        <v>20</v>
      </c>
      <c r="I694" s="2">
        <v>1</v>
      </c>
      <c r="J694" s="2" t="s">
        <v>1079</v>
      </c>
      <c r="K694" s="2">
        <v>21780</v>
      </c>
      <c r="L694" s="35">
        <f t="shared" si="35"/>
        <v>68067073.799999997</v>
      </c>
      <c r="M694" s="36">
        <v>19800</v>
      </c>
      <c r="N694" s="40">
        <v>462361</v>
      </c>
      <c r="O694" s="40">
        <v>315061</v>
      </c>
      <c r="P694" s="40">
        <v>0</v>
      </c>
      <c r="Q694" s="40">
        <v>99309</v>
      </c>
      <c r="R694" s="40">
        <v>619968</v>
      </c>
      <c r="S694" s="40">
        <v>354356</v>
      </c>
      <c r="T694" s="37">
        <v>30000</v>
      </c>
      <c r="U694" s="40">
        <v>4311200</v>
      </c>
      <c r="V694" s="40">
        <v>0</v>
      </c>
      <c r="W694" s="45">
        <f t="shared" si="36"/>
        <v>6192255</v>
      </c>
      <c r="X694" s="46">
        <f t="shared" si="37"/>
        <v>9.0972839793209985</v>
      </c>
    </row>
    <row r="695" spans="1:24" s="4" customFormat="1" ht="15" customHeight="1">
      <c r="A695" s="28" t="s">
        <v>647</v>
      </c>
      <c r="B695" s="29">
        <v>3125.21</v>
      </c>
      <c r="C695" s="30" t="s">
        <v>1080</v>
      </c>
      <c r="D695" s="2">
        <v>4948282959</v>
      </c>
      <c r="E695" s="2" t="s">
        <v>33</v>
      </c>
      <c r="F695" s="78" t="s">
        <v>1081</v>
      </c>
      <c r="G695" s="28" t="s">
        <v>9</v>
      </c>
      <c r="H695" s="2" t="s">
        <v>23</v>
      </c>
      <c r="I695" s="2">
        <v>1</v>
      </c>
      <c r="J695" s="2"/>
      <c r="K695" s="2">
        <v>2334.0100000000002</v>
      </c>
      <c r="L695" s="35">
        <f t="shared" si="35"/>
        <v>7294271.3921000008</v>
      </c>
      <c r="M695" s="36">
        <v>50</v>
      </c>
      <c r="N695" s="40">
        <v>420642.826393903</v>
      </c>
      <c r="O695" s="40">
        <v>248.863636363636</v>
      </c>
      <c r="P695" s="40">
        <v>17557.316085038099</v>
      </c>
      <c r="Q695" s="40">
        <v>7485.2272727272702</v>
      </c>
      <c r="R695" s="40">
        <v>70392.178178900896</v>
      </c>
      <c r="S695" s="40">
        <v>249911.23914961901</v>
      </c>
      <c r="T695" s="40"/>
      <c r="U695" s="40">
        <v>985099.783393502</v>
      </c>
      <c r="V695" s="40">
        <v>0</v>
      </c>
      <c r="W695" s="45">
        <f t="shared" si="36"/>
        <v>1751337.434110054</v>
      </c>
      <c r="X695" s="46">
        <f t="shared" si="37"/>
        <v>24.009765197478465</v>
      </c>
    </row>
    <row r="696" spans="1:24" s="4" customFormat="1" ht="15" customHeight="1">
      <c r="A696" s="28" t="s">
        <v>647</v>
      </c>
      <c r="B696" s="29">
        <v>3125.21</v>
      </c>
      <c r="C696" s="30" t="s">
        <v>1080</v>
      </c>
      <c r="D696" s="2">
        <v>4948282959</v>
      </c>
      <c r="E696" s="2" t="s">
        <v>33</v>
      </c>
      <c r="F696" s="78" t="s">
        <v>1081</v>
      </c>
      <c r="G696" s="28" t="s">
        <v>9</v>
      </c>
      <c r="H696" s="2" t="s">
        <v>23</v>
      </c>
      <c r="I696" s="2">
        <v>1</v>
      </c>
      <c r="J696" s="2"/>
      <c r="K696" s="2">
        <f>833.7+2223.21+416.85</f>
        <v>3473.7599999999998</v>
      </c>
      <c r="L696" s="35">
        <f t="shared" si="35"/>
        <v>10856229.489599999</v>
      </c>
      <c r="M696" s="36">
        <v>38</v>
      </c>
      <c r="N696" s="40">
        <v>175798.173606097</v>
      </c>
      <c r="O696" s="40">
        <v>189.136363636364</v>
      </c>
      <c r="P696" s="40">
        <v>7337.68391496189</v>
      </c>
      <c r="Q696" s="40">
        <v>5688.7727272727298</v>
      </c>
      <c r="R696" s="40">
        <v>29418.8218210991</v>
      </c>
      <c r="S696" s="40">
        <v>104444.760850381</v>
      </c>
      <c r="T696" s="40"/>
      <c r="U696" s="40">
        <v>411700.216606498</v>
      </c>
      <c r="V696" s="40">
        <v>0</v>
      </c>
      <c r="W696" s="45">
        <f t="shared" si="36"/>
        <v>734577.56588994607</v>
      </c>
      <c r="X696" s="46">
        <f t="shared" si="37"/>
        <v>6.7664152327808962</v>
      </c>
    </row>
    <row r="697" spans="1:24" s="4" customFormat="1" ht="15" customHeight="1">
      <c r="A697" s="28" t="s">
        <v>647</v>
      </c>
      <c r="B697" s="29">
        <v>3125.21</v>
      </c>
      <c r="C697" s="30" t="s">
        <v>1082</v>
      </c>
      <c r="D697" s="2">
        <v>4948449294</v>
      </c>
      <c r="E697" s="2" t="s">
        <v>36</v>
      </c>
      <c r="F697" s="2" t="s">
        <v>1083</v>
      </c>
      <c r="G697" s="28" t="s">
        <v>5</v>
      </c>
      <c r="H697" s="2" t="s">
        <v>20</v>
      </c>
      <c r="I697" s="2">
        <v>1</v>
      </c>
      <c r="J697" s="2" t="s">
        <v>1084</v>
      </c>
      <c r="K697" s="2">
        <v>31711.439999999999</v>
      </c>
      <c r="L697" s="35">
        <f t="shared" si="35"/>
        <v>99104909.402400002</v>
      </c>
      <c r="M697" s="36">
        <v>17040</v>
      </c>
      <c r="N697" s="40">
        <v>321838</v>
      </c>
      <c r="O697" s="40">
        <v>315061</v>
      </c>
      <c r="P697" s="40">
        <v>0</v>
      </c>
      <c r="Q697" s="40">
        <v>99309</v>
      </c>
      <c r="R697" s="40">
        <v>534384</v>
      </c>
      <c r="S697" s="40">
        <v>354356</v>
      </c>
      <c r="T697" s="40"/>
      <c r="U697" s="40">
        <v>519300</v>
      </c>
      <c r="V697" s="40">
        <v>0</v>
      </c>
      <c r="W697" s="45">
        <f t="shared" si="36"/>
        <v>2144248</v>
      </c>
      <c r="X697" s="46">
        <f t="shared" si="37"/>
        <v>2.1636143082413972</v>
      </c>
    </row>
    <row r="698" spans="1:24" s="4" customFormat="1" ht="15" customHeight="1">
      <c r="A698" s="28" t="s">
        <v>647</v>
      </c>
      <c r="B698" s="29">
        <v>3125.21</v>
      </c>
      <c r="C698" s="30" t="s">
        <v>1085</v>
      </c>
      <c r="D698" s="2">
        <v>4948495730</v>
      </c>
      <c r="E698" s="2" t="s">
        <v>14</v>
      </c>
      <c r="F698" s="2" t="s">
        <v>1086</v>
      </c>
      <c r="G698" s="28" t="s">
        <v>9</v>
      </c>
      <c r="H698" s="2" t="s">
        <v>23</v>
      </c>
      <c r="I698" s="2">
        <v>3</v>
      </c>
      <c r="J698" s="2"/>
      <c r="K698" s="2">
        <v>6732</v>
      </c>
      <c r="L698" s="35">
        <f t="shared" si="35"/>
        <v>21038913.719999999</v>
      </c>
      <c r="M698" s="36">
        <v>1800</v>
      </c>
      <c r="N698" s="40">
        <v>376613</v>
      </c>
      <c r="O698" s="40">
        <v>1199</v>
      </c>
      <c r="P698" s="40">
        <v>18647</v>
      </c>
      <c r="Q698" s="40">
        <v>29385</v>
      </c>
      <c r="R698" s="40">
        <v>112947</v>
      </c>
      <c r="S698" s="40">
        <v>354356</v>
      </c>
      <c r="T698" s="37">
        <v>30000</v>
      </c>
      <c r="U698" s="40">
        <v>858034.28571428603</v>
      </c>
      <c r="V698" s="40">
        <v>0</v>
      </c>
      <c r="W698" s="45">
        <f t="shared" si="36"/>
        <v>1781181.2857142859</v>
      </c>
      <c r="X698" s="46">
        <f t="shared" si="37"/>
        <v>8.4661276215086172</v>
      </c>
    </row>
    <row r="699" spans="1:24" s="4" customFormat="1" ht="15" customHeight="1">
      <c r="A699" s="28" t="s">
        <v>647</v>
      </c>
      <c r="B699" s="29">
        <v>3125.21</v>
      </c>
      <c r="C699" s="30" t="s">
        <v>1087</v>
      </c>
      <c r="D699" s="2">
        <v>4948536589</v>
      </c>
      <c r="E699" s="2" t="s">
        <v>18</v>
      </c>
      <c r="F699" s="2" t="s">
        <v>1088</v>
      </c>
      <c r="G699" s="28" t="s">
        <v>9</v>
      </c>
      <c r="H699" s="2" t="s">
        <v>23</v>
      </c>
      <c r="I699" s="2">
        <v>1</v>
      </c>
      <c r="J699" s="2"/>
      <c r="K699" s="2">
        <v>1958.25</v>
      </c>
      <c r="L699" s="35">
        <f t="shared" si="35"/>
        <v>6119942.4824999999</v>
      </c>
      <c r="M699" s="36">
        <v>75</v>
      </c>
      <c r="N699" s="40">
        <v>1656233.88</v>
      </c>
      <c r="O699" s="40">
        <v>126</v>
      </c>
      <c r="P699" s="40">
        <v>788</v>
      </c>
      <c r="Q699" s="40">
        <v>1230</v>
      </c>
      <c r="R699" s="40">
        <v>351679</v>
      </c>
      <c r="S699" s="40">
        <v>354356</v>
      </c>
      <c r="T699" s="37">
        <v>30000</v>
      </c>
      <c r="U699" s="40">
        <v>35751.428571428602</v>
      </c>
      <c r="V699" s="40">
        <v>0</v>
      </c>
      <c r="W699" s="45">
        <f t="shared" si="36"/>
        <v>2430164.3085714285</v>
      </c>
      <c r="X699" s="46">
        <f t="shared" si="37"/>
        <v>39.708940329431087</v>
      </c>
    </row>
    <row r="700" spans="1:24" s="4" customFormat="1" ht="15" customHeight="1">
      <c r="A700" s="28" t="s">
        <v>647</v>
      </c>
      <c r="B700" s="29">
        <v>3125.21</v>
      </c>
      <c r="C700" s="30" t="s">
        <v>1089</v>
      </c>
      <c r="D700" s="2">
        <v>4945994028</v>
      </c>
      <c r="E700" s="2" t="s">
        <v>10</v>
      </c>
      <c r="F700" s="2" t="s">
        <v>1090</v>
      </c>
      <c r="G700" s="28" t="s">
        <v>9</v>
      </c>
      <c r="H700" s="2" t="s">
        <v>23</v>
      </c>
      <c r="I700" s="2">
        <v>5</v>
      </c>
      <c r="J700" s="2"/>
      <c r="K700" s="2">
        <f>4848+1212</f>
        <v>6060</v>
      </c>
      <c r="L700" s="35">
        <f t="shared" si="35"/>
        <v>18938772.600000001</v>
      </c>
      <c r="M700" s="36">
        <f>2400+600</f>
        <v>3000</v>
      </c>
      <c r="N700" s="40">
        <v>949198</v>
      </c>
      <c r="O700" s="40">
        <v>1927</v>
      </c>
      <c r="P700" s="40">
        <v>0</v>
      </c>
      <c r="Q700" s="40">
        <v>60208</v>
      </c>
      <c r="R700" s="40">
        <v>151839</v>
      </c>
      <c r="S700" s="40">
        <v>708712</v>
      </c>
      <c r="T700" s="40"/>
      <c r="U700" s="40">
        <v>553500</v>
      </c>
      <c r="V700" s="40">
        <v>0</v>
      </c>
      <c r="W700" s="45">
        <f t="shared" si="36"/>
        <v>2425384</v>
      </c>
      <c r="X700" s="46">
        <f t="shared" si="37"/>
        <v>12.806447657542494</v>
      </c>
    </row>
    <row r="701" spans="1:24" s="4" customFormat="1" ht="15" customHeight="1">
      <c r="A701" s="28" t="s">
        <v>647</v>
      </c>
      <c r="B701" s="29">
        <v>3125.21</v>
      </c>
      <c r="C701" s="30" t="s">
        <v>1091</v>
      </c>
      <c r="D701" s="2">
        <v>4943838729</v>
      </c>
      <c r="E701" s="2" t="s">
        <v>10</v>
      </c>
      <c r="F701" s="78" t="s">
        <v>1092</v>
      </c>
      <c r="G701" s="28" t="s">
        <v>9</v>
      </c>
      <c r="H701" s="2" t="s">
        <v>23</v>
      </c>
      <c r="I701" s="2">
        <v>1</v>
      </c>
      <c r="J701" s="2"/>
      <c r="K701" s="2">
        <v>7797.6</v>
      </c>
      <c r="L701" s="35">
        <f t="shared" si="35"/>
        <v>24369137.496000003</v>
      </c>
      <c r="M701" s="36">
        <v>720</v>
      </c>
      <c r="N701" s="40">
        <v>694177</v>
      </c>
      <c r="O701" s="40">
        <v>561</v>
      </c>
      <c r="P701" s="40">
        <v>0</v>
      </c>
      <c r="Q701" s="40">
        <v>17536</v>
      </c>
      <c r="R701" s="40">
        <v>26828</v>
      </c>
      <c r="S701" s="40">
        <v>708712</v>
      </c>
      <c r="T701" s="40"/>
      <c r="U701" s="40">
        <v>533500</v>
      </c>
      <c r="V701" s="40">
        <v>0</v>
      </c>
      <c r="W701" s="45">
        <f t="shared" si="36"/>
        <v>1981314</v>
      </c>
      <c r="X701" s="46">
        <f t="shared" si="37"/>
        <v>8.1304231646492067</v>
      </c>
    </row>
    <row r="702" spans="1:24" s="4" customFormat="1" ht="15" customHeight="1">
      <c r="A702" s="28" t="s">
        <v>647</v>
      </c>
      <c r="B702" s="29">
        <v>3125.21</v>
      </c>
      <c r="C702" s="30" t="s">
        <v>1093</v>
      </c>
      <c r="D702" s="2">
        <v>4945994028</v>
      </c>
      <c r="E702" s="2" t="s">
        <v>10</v>
      </c>
      <c r="F702" s="78" t="s">
        <v>1094</v>
      </c>
      <c r="G702" s="28" t="s">
        <v>5</v>
      </c>
      <c r="H702" s="2" t="s">
        <v>20</v>
      </c>
      <c r="I702" s="2">
        <v>1</v>
      </c>
      <c r="J702" s="2" t="s">
        <v>1095</v>
      </c>
      <c r="K702" s="2">
        <f>11988+1332</f>
        <v>13320</v>
      </c>
      <c r="L702" s="35">
        <f t="shared" si="35"/>
        <v>41627797.200000003</v>
      </c>
      <c r="M702" s="36">
        <f>10800+1200</f>
        <v>12000</v>
      </c>
      <c r="N702" s="40">
        <v>317801</v>
      </c>
      <c r="O702" s="40">
        <v>392267</v>
      </c>
      <c r="P702" s="40">
        <v>0</v>
      </c>
      <c r="Q702" s="40">
        <v>124137</v>
      </c>
      <c r="R702" s="40">
        <v>636590</v>
      </c>
      <c r="S702" s="40">
        <v>708712</v>
      </c>
      <c r="T702" s="40"/>
      <c r="U702" s="40">
        <v>1352000</v>
      </c>
      <c r="V702" s="40">
        <v>0</v>
      </c>
      <c r="W702" s="45">
        <f t="shared" si="36"/>
        <v>3531507</v>
      </c>
      <c r="X702" s="46">
        <f t="shared" si="37"/>
        <v>8.4835308076306273</v>
      </c>
    </row>
    <row r="703" spans="1:24" s="4" customFormat="1" ht="15" customHeight="1">
      <c r="A703" s="28" t="s">
        <v>647</v>
      </c>
      <c r="B703" s="29">
        <v>3125.21</v>
      </c>
      <c r="C703" s="30" t="s">
        <v>1096</v>
      </c>
      <c r="D703" s="2">
        <v>4948468969</v>
      </c>
      <c r="E703" s="2" t="s">
        <v>10</v>
      </c>
      <c r="F703" s="2" t="s">
        <v>1097</v>
      </c>
      <c r="G703" s="28" t="s">
        <v>5</v>
      </c>
      <c r="H703" s="2" t="s">
        <v>20</v>
      </c>
      <c r="I703" s="2">
        <v>1</v>
      </c>
      <c r="J703" s="2" t="s">
        <v>1098</v>
      </c>
      <c r="K703" s="2">
        <v>66000</v>
      </c>
      <c r="L703" s="35">
        <f t="shared" si="35"/>
        <v>206263860</v>
      </c>
      <c r="M703" s="36">
        <v>5000</v>
      </c>
      <c r="N703" s="40">
        <v>501824</v>
      </c>
      <c r="O703" s="40">
        <v>392267</v>
      </c>
      <c r="P703" s="40">
        <v>259537</v>
      </c>
      <c r="Q703" s="40">
        <v>124137</v>
      </c>
      <c r="R703" s="40">
        <v>729045</v>
      </c>
      <c r="S703" s="40">
        <v>708712</v>
      </c>
      <c r="T703" s="40"/>
      <c r="U703" s="40">
        <v>828200</v>
      </c>
      <c r="V703" s="40">
        <v>0</v>
      </c>
      <c r="W703" s="45">
        <f t="shared" si="36"/>
        <v>3543722</v>
      </c>
      <c r="X703" s="46">
        <f t="shared" si="37"/>
        <v>1.7180527892768032</v>
      </c>
    </row>
    <row r="704" spans="1:24" s="4" customFormat="1" ht="15" customHeight="1">
      <c r="A704" s="28" t="s">
        <v>647</v>
      </c>
      <c r="B704" s="29">
        <v>3125.21</v>
      </c>
      <c r="C704" s="30" t="s">
        <v>1099</v>
      </c>
      <c r="D704" s="2">
        <v>4948628831</v>
      </c>
      <c r="E704" s="2" t="s">
        <v>14</v>
      </c>
      <c r="F704" s="78" t="s">
        <v>1100</v>
      </c>
      <c r="G704" s="28" t="s">
        <v>13</v>
      </c>
      <c r="H704" s="2" t="s">
        <v>23</v>
      </c>
      <c r="I704" s="2">
        <v>5</v>
      </c>
      <c r="J704" s="2"/>
      <c r="K704" s="2">
        <v>7602</v>
      </c>
      <c r="L704" s="35">
        <f t="shared" si="35"/>
        <v>23757846.420000002</v>
      </c>
      <c r="M704" s="36">
        <v>600</v>
      </c>
      <c r="N704" s="40">
        <v>575386</v>
      </c>
      <c r="O704" s="40">
        <v>0</v>
      </c>
      <c r="P704" s="40">
        <v>0</v>
      </c>
      <c r="Q704" s="40">
        <v>0</v>
      </c>
      <c r="R704" s="40">
        <v>20635</v>
      </c>
      <c r="S704" s="40">
        <v>354356</v>
      </c>
      <c r="T704" s="37">
        <v>30000</v>
      </c>
      <c r="U704" s="40">
        <v>67194.5454545455</v>
      </c>
      <c r="V704" s="40">
        <v>0</v>
      </c>
      <c r="W704" s="45">
        <f t="shared" si="36"/>
        <v>1047571.5454545455</v>
      </c>
      <c r="X704" s="46">
        <f t="shared" si="37"/>
        <v>4.4093708113740107</v>
      </c>
    </row>
    <row r="705" spans="1:24" s="4" customFormat="1" ht="15" customHeight="1">
      <c r="A705" s="28" t="s">
        <v>647</v>
      </c>
      <c r="B705" s="29">
        <v>3125.21</v>
      </c>
      <c r="C705" s="30" t="s">
        <v>1101</v>
      </c>
      <c r="D705" s="2">
        <v>4948951739</v>
      </c>
      <c r="E705" s="2" t="s">
        <v>14</v>
      </c>
      <c r="F705" s="78" t="s">
        <v>1102</v>
      </c>
      <c r="G705" s="28" t="s">
        <v>13</v>
      </c>
      <c r="H705" s="2" t="s">
        <v>23</v>
      </c>
      <c r="I705" s="2">
        <v>1</v>
      </c>
      <c r="J705" s="2"/>
      <c r="K705" s="2">
        <v>1561.8</v>
      </c>
      <c r="L705" s="35">
        <f t="shared" si="35"/>
        <v>4880952.9780000001</v>
      </c>
      <c r="M705" s="36">
        <v>20</v>
      </c>
      <c r="N705" s="40">
        <v>133476.79999999999</v>
      </c>
      <c r="O705" s="40">
        <v>0</v>
      </c>
      <c r="P705" s="40">
        <v>0</v>
      </c>
      <c r="Q705" s="40">
        <v>0</v>
      </c>
      <c r="R705" s="40">
        <v>534</v>
      </c>
      <c r="S705" s="40">
        <v>354356</v>
      </c>
      <c r="T705" s="37">
        <v>30000</v>
      </c>
      <c r="U705" s="40">
        <v>44796.363636363603</v>
      </c>
      <c r="V705" s="40">
        <v>0</v>
      </c>
      <c r="W705" s="45">
        <f t="shared" si="36"/>
        <v>563163.16363636358</v>
      </c>
      <c r="X705" s="46">
        <f t="shared" si="37"/>
        <v>11.537975599738784</v>
      </c>
    </row>
    <row r="706" spans="1:24" s="4" customFormat="1" ht="15" customHeight="1">
      <c r="A706" s="28" t="s">
        <v>647</v>
      </c>
      <c r="B706" s="29">
        <v>3125.21</v>
      </c>
      <c r="C706" s="30" t="s">
        <v>1103</v>
      </c>
      <c r="D706" s="2">
        <v>4949034850</v>
      </c>
      <c r="E706" s="2" t="s">
        <v>14</v>
      </c>
      <c r="F706" s="78" t="s">
        <v>1104</v>
      </c>
      <c r="G706" s="28" t="s">
        <v>13</v>
      </c>
      <c r="H706" s="2" t="s">
        <v>23</v>
      </c>
      <c r="I706" s="2">
        <v>1</v>
      </c>
      <c r="J706" s="2"/>
      <c r="K706" s="2">
        <v>2516</v>
      </c>
      <c r="L706" s="35">
        <f t="shared" si="35"/>
        <v>7863028.3600000003</v>
      </c>
      <c r="M706" s="36">
        <v>40</v>
      </c>
      <c r="N706" s="40">
        <v>143281</v>
      </c>
      <c r="O706" s="40">
        <v>0</v>
      </c>
      <c r="P706" s="40">
        <v>0</v>
      </c>
      <c r="Q706" s="40">
        <v>0</v>
      </c>
      <c r="R706" s="40">
        <v>573</v>
      </c>
      <c r="S706" s="40">
        <v>354356</v>
      </c>
      <c r="T706" s="37">
        <v>30000</v>
      </c>
      <c r="U706" s="40">
        <v>164253.33333333299</v>
      </c>
      <c r="V706" s="40">
        <v>0</v>
      </c>
      <c r="W706" s="45">
        <f t="shared" si="36"/>
        <v>692463.33333333302</v>
      </c>
      <c r="X706" s="46">
        <f t="shared" si="37"/>
        <v>8.8065730101644064</v>
      </c>
    </row>
    <row r="707" spans="1:24" s="4" customFormat="1" ht="15" customHeight="1">
      <c r="A707" s="28" t="s">
        <v>647</v>
      </c>
      <c r="B707" s="29">
        <v>3125.21</v>
      </c>
      <c r="C707" s="30" t="s">
        <v>1105</v>
      </c>
      <c r="D707" s="2">
        <v>4948408914</v>
      </c>
      <c r="E707" s="2" t="s">
        <v>14</v>
      </c>
      <c r="F707" s="78" t="s">
        <v>1106</v>
      </c>
      <c r="G707" s="28" t="s">
        <v>13</v>
      </c>
      <c r="H707" s="2" t="s">
        <v>23</v>
      </c>
      <c r="I707" s="2">
        <v>1</v>
      </c>
      <c r="J707" s="2"/>
      <c r="K707" s="2">
        <v>1258</v>
      </c>
      <c r="L707" s="35">
        <f t="shared" si="35"/>
        <v>3931514.18</v>
      </c>
      <c r="M707" s="36">
        <v>20</v>
      </c>
      <c r="N707" s="40">
        <v>143281.54</v>
      </c>
      <c r="O707" s="40">
        <v>0</v>
      </c>
      <c r="P707" s="40">
        <v>0</v>
      </c>
      <c r="Q707" s="40">
        <v>0</v>
      </c>
      <c r="R707" s="40">
        <v>573</v>
      </c>
      <c r="S707" s="40">
        <v>354356</v>
      </c>
      <c r="T707" s="37">
        <v>30000</v>
      </c>
      <c r="U707" s="40">
        <v>82126.666666666701</v>
      </c>
      <c r="V707" s="40">
        <v>0</v>
      </c>
      <c r="W707" s="45">
        <f t="shared" si="36"/>
        <v>610337.20666666678</v>
      </c>
      <c r="X707" s="46">
        <f t="shared" si="37"/>
        <v>15.524227529726645</v>
      </c>
    </row>
    <row r="708" spans="1:24" s="4" customFormat="1" ht="15" customHeight="1">
      <c r="A708" s="28" t="s">
        <v>647</v>
      </c>
      <c r="B708" s="29">
        <v>3125.21</v>
      </c>
      <c r="C708" s="30" t="s">
        <v>1107</v>
      </c>
      <c r="D708" s="2">
        <v>4949227686</v>
      </c>
      <c r="E708" s="2" t="s">
        <v>6</v>
      </c>
      <c r="F708" s="78" t="s">
        <v>1108</v>
      </c>
      <c r="G708" s="28" t="s">
        <v>13</v>
      </c>
      <c r="H708" s="2" t="s">
        <v>23</v>
      </c>
      <c r="I708" s="2">
        <v>1</v>
      </c>
      <c r="J708" s="2"/>
      <c r="K708" s="2">
        <v>543.35</v>
      </c>
      <c r="L708" s="35">
        <f>B708*K708</f>
        <v>1698082.8535000002</v>
      </c>
      <c r="M708" s="36">
        <v>339</v>
      </c>
      <c r="N708" s="40">
        <v>247653.87</v>
      </c>
      <c r="O708" s="40">
        <v>0</v>
      </c>
      <c r="P708" s="40">
        <v>0</v>
      </c>
      <c r="Q708" s="40">
        <v>0</v>
      </c>
      <c r="R708" s="40">
        <v>990</v>
      </c>
      <c r="S708" s="40">
        <v>354356</v>
      </c>
      <c r="T708" s="37">
        <v>30000</v>
      </c>
      <c r="U708" s="40">
        <v>246380</v>
      </c>
      <c r="V708" s="40">
        <v>0</v>
      </c>
      <c r="W708" s="45">
        <f>+SUM(N708:V708)</f>
        <v>879379.87</v>
      </c>
      <c r="X708" s="46">
        <f t="shared" ref="X708:X712" si="38">(W708/L708)*100</f>
        <v>51.786629149895006</v>
      </c>
    </row>
    <row r="709" spans="1:24" ht="15" customHeight="1">
      <c r="G709"/>
      <c r="I709"/>
      <c r="N709"/>
      <c r="O709" s="24"/>
      <c r="P709"/>
      <c r="Q709" s="24"/>
      <c r="R709"/>
      <c r="S709"/>
      <c r="T709"/>
      <c r="U709"/>
      <c r="X709" s="60"/>
    </row>
    <row r="710" spans="1:24" ht="15" customHeight="1">
      <c r="A710" s="31" t="s">
        <v>647</v>
      </c>
      <c r="B710" s="31"/>
      <c r="C710" s="31"/>
      <c r="D710" s="31"/>
      <c r="E710" s="31"/>
      <c r="F710" s="32">
        <v>185</v>
      </c>
      <c r="G710" s="31"/>
      <c r="H710" s="31"/>
      <c r="I710" s="38"/>
      <c r="J710" s="31"/>
      <c r="K710" s="39">
        <f>+SUM(K387:K708)</f>
        <v>7207479.7000000011</v>
      </c>
      <c r="L710" s="39">
        <f>+SUM(L387:L708)</f>
        <v>22767385803.018997</v>
      </c>
      <c r="M710" s="31"/>
      <c r="N710" s="39"/>
      <c r="O710" s="39"/>
      <c r="P710" s="39"/>
      <c r="Q710" s="39"/>
      <c r="R710" s="39"/>
      <c r="S710" s="39"/>
      <c r="T710" s="39"/>
      <c r="U710" s="39"/>
      <c r="V710" s="31"/>
      <c r="W710" s="39">
        <f>+SUM(W387:W708)</f>
        <v>899689010.42751133</v>
      </c>
      <c r="X710" s="47">
        <f t="shared" si="38"/>
        <v>3.9516570686310897</v>
      </c>
    </row>
    <row r="711" spans="1:24" ht="15" customHeight="1">
      <c r="G711"/>
      <c r="I711"/>
      <c r="N711"/>
      <c r="O711" s="24"/>
      <c r="P711"/>
      <c r="Q711" s="24"/>
      <c r="R711"/>
      <c r="S711"/>
      <c r="T711"/>
      <c r="U711"/>
      <c r="X711" s="60"/>
    </row>
    <row r="712" spans="1:24" s="4" customFormat="1" ht="15" customHeight="1">
      <c r="A712" s="28" t="s">
        <v>1109</v>
      </c>
      <c r="B712" s="29">
        <v>3106.0650000000001</v>
      </c>
      <c r="C712" s="30" t="s">
        <v>1110</v>
      </c>
      <c r="D712" s="2">
        <v>4949034846</v>
      </c>
      <c r="E712" s="2" t="s">
        <v>14</v>
      </c>
      <c r="F712" s="78" t="s">
        <v>1111</v>
      </c>
      <c r="G712" s="28" t="s">
        <v>13</v>
      </c>
      <c r="H712" s="2" t="s">
        <v>23</v>
      </c>
      <c r="I712" s="2">
        <v>2</v>
      </c>
      <c r="J712" s="2"/>
      <c r="K712" s="2">
        <f>11622.6+191.92</f>
        <v>11814.52</v>
      </c>
      <c r="L712" s="35">
        <f>B712*K712</f>
        <v>36696667.0638</v>
      </c>
      <c r="M712" s="36">
        <v>90</v>
      </c>
      <c r="N712" s="40">
        <v>431925</v>
      </c>
      <c r="O712" s="40">
        <v>0</v>
      </c>
      <c r="P712" s="40">
        <v>0</v>
      </c>
      <c r="Q712" s="40">
        <v>0</v>
      </c>
      <c r="R712" s="40">
        <v>7094</v>
      </c>
      <c r="S712" s="40">
        <v>354356</v>
      </c>
      <c r="T712" s="37">
        <v>30000</v>
      </c>
      <c r="U712" s="40">
        <v>201583.636363636</v>
      </c>
      <c r="V712" s="40">
        <v>0</v>
      </c>
      <c r="W712" s="45">
        <f>+SUM(N712:V712)</f>
        <v>1024958.636363636</v>
      </c>
      <c r="X712" s="46">
        <f t="shared" si="38"/>
        <v>2.7930564772589999</v>
      </c>
    </row>
    <row r="713" spans="1:24" s="4" customFormat="1" ht="15" customHeight="1">
      <c r="A713" s="28" t="s">
        <v>1109</v>
      </c>
      <c r="B713" s="29">
        <v>3106.0650000000001</v>
      </c>
      <c r="C713" s="30" t="s">
        <v>1112</v>
      </c>
      <c r="D713" s="2">
        <v>4948793530</v>
      </c>
      <c r="E713" s="2" t="s">
        <v>27</v>
      </c>
      <c r="F713" s="78" t="s">
        <v>1113</v>
      </c>
      <c r="G713" s="28" t="s">
        <v>13</v>
      </c>
      <c r="H713" s="2" t="s">
        <v>23</v>
      </c>
      <c r="I713" s="2">
        <v>1</v>
      </c>
      <c r="J713" s="2"/>
      <c r="K713" s="2">
        <v>380.29</v>
      </c>
      <c r="L713" s="35">
        <f t="shared" ref="L713:L776" si="39">B713*K713</f>
        <v>1181205.4588500001</v>
      </c>
      <c r="M713" s="36">
        <v>44.8</v>
      </c>
      <c r="N713" s="40">
        <v>1004831.24</v>
      </c>
      <c r="O713" s="40">
        <v>0</v>
      </c>
      <c r="P713" s="40">
        <v>0</v>
      </c>
      <c r="Q713" s="40">
        <v>0</v>
      </c>
      <c r="R713" s="40">
        <v>4019</v>
      </c>
      <c r="S713" s="40">
        <v>354356</v>
      </c>
      <c r="T713" s="40"/>
      <c r="U713" s="40">
        <v>246380</v>
      </c>
      <c r="V713" s="40">
        <v>0</v>
      </c>
      <c r="W713" s="45">
        <f t="shared" ref="W713:W776" si="40">+SUM(N713:V713)</f>
        <v>1609586.24</v>
      </c>
      <c r="X713" s="46">
        <f t="shared" ref="X713:X776" si="41">(W713/L713)*100</f>
        <v>136.26640716400547</v>
      </c>
    </row>
    <row r="714" spans="1:24" s="4" customFormat="1" ht="15" customHeight="1">
      <c r="A714" s="28" t="s">
        <v>1109</v>
      </c>
      <c r="B714" s="29">
        <v>3106.0650000000001</v>
      </c>
      <c r="C714" s="30" t="s">
        <v>1114</v>
      </c>
      <c r="D714" s="2">
        <v>4948212806</v>
      </c>
      <c r="E714" s="2" t="s">
        <v>14</v>
      </c>
      <c r="F714" s="78" t="s">
        <v>1115</v>
      </c>
      <c r="G714" s="28" t="s">
        <v>5</v>
      </c>
      <c r="H714" s="2" t="s">
        <v>17</v>
      </c>
      <c r="I714" s="2">
        <v>1</v>
      </c>
      <c r="J714" s="2" t="s">
        <v>1116</v>
      </c>
      <c r="K714" s="2">
        <v>35048</v>
      </c>
      <c r="L714" s="35">
        <f t="shared" si="39"/>
        <v>108861366.12</v>
      </c>
      <c r="M714" s="36">
        <f>4000+4000+2400</f>
        <v>10400</v>
      </c>
      <c r="N714" s="40">
        <v>315336</v>
      </c>
      <c r="O714" s="40">
        <v>413405</v>
      </c>
      <c r="P714" s="40">
        <v>0</v>
      </c>
      <c r="Q714" s="40">
        <v>99309</v>
      </c>
      <c r="R714" s="40">
        <v>723713</v>
      </c>
      <c r="S714" s="40">
        <v>354356</v>
      </c>
      <c r="T714" s="37">
        <v>30000</v>
      </c>
      <c r="U714" s="40">
        <v>4331400</v>
      </c>
      <c r="V714" s="40">
        <v>0</v>
      </c>
      <c r="W714" s="45">
        <f t="shared" si="40"/>
        <v>6267519</v>
      </c>
      <c r="X714" s="46">
        <f t="shared" si="41"/>
        <v>5.7573400218872797</v>
      </c>
    </row>
    <row r="715" spans="1:24" s="4" customFormat="1" ht="15" customHeight="1">
      <c r="A715" s="28" t="s">
        <v>1109</v>
      </c>
      <c r="B715" s="29">
        <v>3106.0650000000001</v>
      </c>
      <c r="C715" s="30" t="s">
        <v>1117</v>
      </c>
      <c r="D715" s="2">
        <v>4947782368</v>
      </c>
      <c r="E715" s="2" t="s">
        <v>36</v>
      </c>
      <c r="F715" s="78" t="s">
        <v>1118</v>
      </c>
      <c r="G715" s="28" t="s">
        <v>5</v>
      </c>
      <c r="H715" s="2" t="s">
        <v>20</v>
      </c>
      <c r="I715" s="2">
        <v>1</v>
      </c>
      <c r="J715" s="2" t="s">
        <v>1119</v>
      </c>
      <c r="K715" s="2">
        <v>31711.439999999999</v>
      </c>
      <c r="L715" s="35">
        <f t="shared" si="39"/>
        <v>98497793.883599997</v>
      </c>
      <c r="M715" s="36">
        <v>17040</v>
      </c>
      <c r="N715" s="40">
        <v>315336</v>
      </c>
      <c r="O715" s="40">
        <v>315124</v>
      </c>
      <c r="P715" s="40">
        <v>0</v>
      </c>
      <c r="Q715" s="40">
        <v>99309</v>
      </c>
      <c r="R715" s="40">
        <v>623924</v>
      </c>
      <c r="S715" s="40">
        <v>354356</v>
      </c>
      <c r="T715" s="40"/>
      <c r="U715" s="40">
        <v>519300</v>
      </c>
      <c r="V715" s="40">
        <v>0</v>
      </c>
      <c r="W715" s="45">
        <f t="shared" si="40"/>
        <v>2227349</v>
      </c>
      <c r="X715" s="46">
        <f t="shared" si="41"/>
        <v>2.2613186673319556</v>
      </c>
    </row>
    <row r="716" spans="1:24" s="4" customFormat="1" ht="15" customHeight="1">
      <c r="A716" s="28" t="s">
        <v>1109</v>
      </c>
      <c r="B716" s="29">
        <v>3106.0650000000001</v>
      </c>
      <c r="C716" s="30" t="s">
        <v>1120</v>
      </c>
      <c r="D716" s="2">
        <v>4948828038</v>
      </c>
      <c r="E716" s="2" t="s">
        <v>14</v>
      </c>
      <c r="F716" s="78" t="s">
        <v>1121</v>
      </c>
      <c r="G716" s="28" t="s">
        <v>9</v>
      </c>
      <c r="H716" s="2" t="s">
        <v>23</v>
      </c>
      <c r="I716" s="2">
        <v>1</v>
      </c>
      <c r="J716" s="2"/>
      <c r="K716" s="2">
        <v>1100</v>
      </c>
      <c r="L716" s="35">
        <f t="shared" si="39"/>
        <v>3416671.5</v>
      </c>
      <c r="M716" s="36">
        <v>880</v>
      </c>
      <c r="N716" s="40">
        <v>508472</v>
      </c>
      <c r="O716" s="40">
        <v>593</v>
      </c>
      <c r="P716" s="40">
        <v>0</v>
      </c>
      <c r="Q716" s="40">
        <v>14423</v>
      </c>
      <c r="R716" s="40">
        <v>92965.5</v>
      </c>
      <c r="S716" s="40">
        <v>354356</v>
      </c>
      <c r="T716" s="37">
        <v>30000</v>
      </c>
      <c r="U716" s="40">
        <v>0</v>
      </c>
      <c r="V716" s="40">
        <v>0</v>
      </c>
      <c r="W716" s="45">
        <f t="shared" si="40"/>
        <v>1000809.5</v>
      </c>
      <c r="X716" s="46">
        <f t="shared" si="41"/>
        <v>29.291943928469564</v>
      </c>
    </row>
    <row r="717" spans="1:24" s="4" customFormat="1" ht="15" customHeight="1">
      <c r="A717" s="28" t="s">
        <v>1109</v>
      </c>
      <c r="B717" s="29">
        <v>3106.0650000000001</v>
      </c>
      <c r="C717" s="30" t="s">
        <v>1122</v>
      </c>
      <c r="D717" s="2">
        <v>4947978380</v>
      </c>
      <c r="E717" s="2" t="s">
        <v>18</v>
      </c>
      <c r="F717" s="78" t="s">
        <v>1123</v>
      </c>
      <c r="G717" s="28" t="s">
        <v>5</v>
      </c>
      <c r="H717" s="2" t="s">
        <v>17</v>
      </c>
      <c r="I717" s="2">
        <v>2</v>
      </c>
      <c r="J717" s="2" t="s">
        <v>1124</v>
      </c>
      <c r="K717" s="2">
        <v>65120</v>
      </c>
      <c r="L717" s="35">
        <f t="shared" si="39"/>
        <v>202266952.80000001</v>
      </c>
      <c r="M717" s="36">
        <v>16000</v>
      </c>
      <c r="N717" s="40">
        <v>465789</v>
      </c>
      <c r="O717" s="40">
        <v>413405</v>
      </c>
      <c r="P717" s="40">
        <v>0</v>
      </c>
      <c r="Q717" s="40">
        <v>99309.5</v>
      </c>
      <c r="R717" s="40">
        <v>724314.5</v>
      </c>
      <c r="S717" s="40">
        <v>177178</v>
      </c>
      <c r="T717" s="37">
        <v>30000</v>
      </c>
      <c r="U717" s="40">
        <v>4781550</v>
      </c>
      <c r="V717" s="40">
        <v>0</v>
      </c>
      <c r="W717" s="45">
        <f t="shared" si="40"/>
        <v>6691546</v>
      </c>
      <c r="X717" s="46">
        <f t="shared" si="41"/>
        <v>3.3082744894152576</v>
      </c>
    </row>
    <row r="718" spans="1:24" s="4" customFormat="1" ht="15" customHeight="1">
      <c r="A718" s="28" t="s">
        <v>1109</v>
      </c>
      <c r="B718" s="29">
        <v>3106.0650000000001</v>
      </c>
      <c r="C718" s="30" t="s">
        <v>1122</v>
      </c>
      <c r="D718" s="2">
        <v>4948605872</v>
      </c>
      <c r="E718" s="2" t="s">
        <v>18</v>
      </c>
      <c r="F718" s="78" t="s">
        <v>1123</v>
      </c>
      <c r="G718" s="28" t="s">
        <v>5</v>
      </c>
      <c r="H718" s="2" t="s">
        <v>17</v>
      </c>
      <c r="I718" s="2">
        <v>2</v>
      </c>
      <c r="J718" s="2" t="s">
        <v>1124</v>
      </c>
      <c r="K718" s="2">
        <v>65120</v>
      </c>
      <c r="L718" s="35">
        <f t="shared" si="39"/>
        <v>202266952.80000001</v>
      </c>
      <c r="M718" s="36">
        <v>16000</v>
      </c>
      <c r="N718" s="40">
        <v>465789</v>
      </c>
      <c r="O718" s="40">
        <v>413405</v>
      </c>
      <c r="P718" s="40">
        <v>0</v>
      </c>
      <c r="Q718" s="40">
        <v>99309.5</v>
      </c>
      <c r="R718" s="40">
        <v>724314.5</v>
      </c>
      <c r="S718" s="40">
        <v>177178</v>
      </c>
      <c r="T718" s="37">
        <v>30000</v>
      </c>
      <c r="U718" s="40">
        <v>4781550</v>
      </c>
      <c r="V718" s="40">
        <v>0</v>
      </c>
      <c r="W718" s="45">
        <f t="shared" si="40"/>
        <v>6691546</v>
      </c>
      <c r="X718" s="46">
        <f t="shared" si="41"/>
        <v>3.3082744894152576</v>
      </c>
    </row>
    <row r="719" spans="1:24" s="4" customFormat="1" ht="15" customHeight="1">
      <c r="A719" s="28" t="s">
        <v>1109</v>
      </c>
      <c r="B719" s="29">
        <v>3106.0650000000001</v>
      </c>
      <c r="C719" s="30" t="s">
        <v>1125</v>
      </c>
      <c r="D719" s="2">
        <v>4948291731</v>
      </c>
      <c r="E719" s="2" t="s">
        <v>36</v>
      </c>
      <c r="F719" s="78" t="s">
        <v>1126</v>
      </c>
      <c r="G719" s="28" t="s">
        <v>5</v>
      </c>
      <c r="H719" s="2" t="s">
        <v>26</v>
      </c>
      <c r="I719" s="2">
        <v>4</v>
      </c>
      <c r="J719" s="2" t="s">
        <v>1127</v>
      </c>
      <c r="K719" s="2">
        <v>77932</v>
      </c>
      <c r="L719" s="35">
        <f t="shared" si="39"/>
        <v>242061857.58000001</v>
      </c>
      <c r="M719" s="36">
        <v>85640</v>
      </c>
      <c r="N719" s="40">
        <v>0</v>
      </c>
      <c r="O719" s="40">
        <v>1920384</v>
      </c>
      <c r="P719" s="40">
        <v>5641528</v>
      </c>
      <c r="Q719" s="40">
        <v>496548</v>
      </c>
      <c r="R719" s="40">
        <v>3286181</v>
      </c>
      <c r="S719" s="40">
        <v>343435</v>
      </c>
      <c r="T719" s="40"/>
      <c r="U719" s="40">
        <v>0</v>
      </c>
      <c r="V719" s="40">
        <v>0</v>
      </c>
      <c r="W719" s="45">
        <f t="shared" si="40"/>
        <v>11688076</v>
      </c>
      <c r="X719" s="46">
        <f t="shared" si="41"/>
        <v>4.8285492463996151</v>
      </c>
    </row>
    <row r="720" spans="1:24" s="4" customFormat="1" ht="15" customHeight="1">
      <c r="A720" s="28" t="s">
        <v>1109</v>
      </c>
      <c r="B720" s="29">
        <v>3106.0650000000001</v>
      </c>
      <c r="C720" s="30" t="s">
        <v>1128</v>
      </c>
      <c r="D720" s="2">
        <v>4948210672</v>
      </c>
      <c r="E720" s="2" t="s">
        <v>14</v>
      </c>
      <c r="F720" s="78" t="s">
        <v>1129</v>
      </c>
      <c r="G720" s="28" t="s">
        <v>5</v>
      </c>
      <c r="H720" s="2" t="s">
        <v>26</v>
      </c>
      <c r="I720" s="2">
        <v>1</v>
      </c>
      <c r="J720" s="2" t="s">
        <v>1130</v>
      </c>
      <c r="K720" s="2">
        <v>34904.400000000001</v>
      </c>
      <c r="L720" s="35">
        <f t="shared" si="39"/>
        <v>108415335.186</v>
      </c>
      <c r="M720" s="36">
        <v>20060</v>
      </c>
      <c r="N720" s="40">
        <v>322373</v>
      </c>
      <c r="O720" s="40">
        <v>385324</v>
      </c>
      <c r="P720" s="40">
        <v>315925</v>
      </c>
      <c r="Q720" s="40">
        <v>99309</v>
      </c>
      <c r="R720" s="40">
        <v>536366</v>
      </c>
      <c r="S720" s="40">
        <v>343435</v>
      </c>
      <c r="T720" s="37">
        <v>30000</v>
      </c>
      <c r="U720" s="40">
        <v>0</v>
      </c>
      <c r="V720" s="40">
        <v>0</v>
      </c>
      <c r="W720" s="45">
        <f t="shared" si="40"/>
        <v>2032732</v>
      </c>
      <c r="X720" s="46">
        <f t="shared" si="41"/>
        <v>1.8749487759389345</v>
      </c>
    </row>
    <row r="721" spans="1:24" s="4" customFormat="1" ht="15" customHeight="1">
      <c r="A721" s="28" t="s">
        <v>1109</v>
      </c>
      <c r="B721" s="29">
        <v>3106.0650000000001</v>
      </c>
      <c r="C721" s="30" t="s">
        <v>1131</v>
      </c>
      <c r="D721" s="2">
        <v>4948828033</v>
      </c>
      <c r="E721" s="2" t="s">
        <v>14</v>
      </c>
      <c r="F721" s="2" t="s">
        <v>1132</v>
      </c>
      <c r="G721" s="28" t="s">
        <v>9</v>
      </c>
      <c r="H721" s="2" t="s">
        <v>23</v>
      </c>
      <c r="I721" s="2">
        <v>6</v>
      </c>
      <c r="J721" s="2"/>
      <c r="K721" s="2">
        <v>8407.7999999999993</v>
      </c>
      <c r="L721" s="35">
        <f t="shared" si="39"/>
        <v>26115173.307</v>
      </c>
      <c r="M721" s="36">
        <v>1620</v>
      </c>
      <c r="N721" s="40">
        <v>585184.95505618001</v>
      </c>
      <c r="O721" s="40">
        <v>1220.4606741573</v>
      </c>
      <c r="P721" s="40">
        <v>0</v>
      </c>
      <c r="Q721" s="40">
        <v>30171.134831460698</v>
      </c>
      <c r="R721" s="40">
        <v>109997.08988764</v>
      </c>
      <c r="S721" s="40">
        <v>322503.77528089902</v>
      </c>
      <c r="T721" s="37">
        <v>30000</v>
      </c>
      <c r="U721" s="40">
        <v>1898039.3258427</v>
      </c>
      <c r="V721" s="40">
        <v>0</v>
      </c>
      <c r="W721" s="45">
        <f t="shared" si="40"/>
        <v>2977116.7415730366</v>
      </c>
      <c r="X721" s="46">
        <f t="shared" si="41"/>
        <v>11.399950161445187</v>
      </c>
    </row>
    <row r="722" spans="1:24" s="4" customFormat="1" ht="15" customHeight="1">
      <c r="A722" s="28" t="s">
        <v>1109</v>
      </c>
      <c r="B722" s="29">
        <v>3106.0650000000001</v>
      </c>
      <c r="C722" s="30" t="s">
        <v>1131</v>
      </c>
      <c r="D722" s="2">
        <v>4948951745</v>
      </c>
      <c r="E722" s="2" t="s">
        <v>14</v>
      </c>
      <c r="F722" s="2" t="s">
        <v>1132</v>
      </c>
      <c r="G722" s="28" t="s">
        <v>9</v>
      </c>
      <c r="H722" s="2" t="s">
        <v>23</v>
      </c>
      <c r="I722" s="2">
        <v>6</v>
      </c>
      <c r="J722" s="2"/>
      <c r="K722" s="2">
        <v>14555.2</v>
      </c>
      <c r="L722" s="35">
        <f t="shared" si="39"/>
        <v>45209397.288000003</v>
      </c>
      <c r="M722" s="36">
        <v>160</v>
      </c>
      <c r="N722" s="40">
        <v>57796.044943820198</v>
      </c>
      <c r="O722" s="40">
        <v>120.539325842697</v>
      </c>
      <c r="P722" s="40">
        <v>0</v>
      </c>
      <c r="Q722" s="40">
        <v>2979.8651685393302</v>
      </c>
      <c r="R722" s="40">
        <v>10863.910112359599</v>
      </c>
      <c r="S722" s="40">
        <v>31852.224719101101</v>
      </c>
      <c r="T722" s="37">
        <v>30000</v>
      </c>
      <c r="U722" s="40">
        <v>187460.674157303</v>
      </c>
      <c r="V722" s="40">
        <v>0</v>
      </c>
      <c r="W722" s="45">
        <f t="shared" si="40"/>
        <v>321073.25842696591</v>
      </c>
      <c r="X722" s="46">
        <f t="shared" si="41"/>
        <v>0.71019141525292762</v>
      </c>
    </row>
    <row r="723" spans="1:24" s="4" customFormat="1" ht="15" customHeight="1">
      <c r="A723" s="28" t="s">
        <v>1109</v>
      </c>
      <c r="B723" s="29">
        <v>3106.0650000000001</v>
      </c>
      <c r="C723" s="30" t="s">
        <v>1133</v>
      </c>
      <c r="D723" s="2">
        <v>4948559176</v>
      </c>
      <c r="E723" s="2" t="s">
        <v>24</v>
      </c>
      <c r="F723" s="78" t="s">
        <v>1134</v>
      </c>
      <c r="G723" s="28" t="s">
        <v>9</v>
      </c>
      <c r="H723" s="2" t="s">
        <v>23</v>
      </c>
      <c r="I723" s="2">
        <v>1</v>
      </c>
      <c r="J723" s="2"/>
      <c r="K723" s="2">
        <v>11268.4</v>
      </c>
      <c r="L723" s="35">
        <f t="shared" si="39"/>
        <v>35000382.846000001</v>
      </c>
      <c r="M723" s="36">
        <f>165+275</f>
        <v>440</v>
      </c>
      <c r="N723" s="40">
        <v>40149.5</v>
      </c>
      <c r="O723" s="40">
        <v>314.41666666666703</v>
      </c>
      <c r="P723" s="40">
        <v>0</v>
      </c>
      <c r="Q723" s="40">
        <v>7512.0833333333303</v>
      </c>
      <c r="R723" s="40">
        <v>7346.5833333333303</v>
      </c>
      <c r="S723" s="40">
        <v>29529.666666666701</v>
      </c>
      <c r="T723" s="40"/>
      <c r="U723" s="40">
        <v>173791.66666666701</v>
      </c>
      <c r="V723" s="40">
        <v>0</v>
      </c>
      <c r="W723" s="45">
        <f t="shared" si="40"/>
        <v>258643.91666666704</v>
      </c>
      <c r="X723" s="46">
        <f t="shared" si="41"/>
        <v>0.73897453580633055</v>
      </c>
    </row>
    <row r="724" spans="1:24" s="4" customFormat="1" ht="15" customHeight="1">
      <c r="A724" s="28" t="s">
        <v>1109</v>
      </c>
      <c r="B724" s="29">
        <v>3106.0650000000001</v>
      </c>
      <c r="C724" s="30" t="s">
        <v>1133</v>
      </c>
      <c r="D724" s="2">
        <v>4948734663</v>
      </c>
      <c r="E724" s="2" t="s">
        <v>24</v>
      </c>
      <c r="F724" s="78" t="s">
        <v>1134</v>
      </c>
      <c r="G724" s="28" t="s">
        <v>9</v>
      </c>
      <c r="H724" s="2" t="s">
        <v>23</v>
      </c>
      <c r="I724" s="2">
        <v>1</v>
      </c>
      <c r="J724" s="2"/>
      <c r="K724" s="2">
        <v>704</v>
      </c>
      <c r="L724" s="35">
        <f t="shared" si="39"/>
        <v>2186669.7600000002</v>
      </c>
      <c r="M724" s="36">
        <v>40</v>
      </c>
      <c r="N724" s="40">
        <v>441644.5</v>
      </c>
      <c r="O724" s="40">
        <v>28.5833333333333</v>
      </c>
      <c r="P724" s="40">
        <v>0</v>
      </c>
      <c r="Q724" s="40">
        <v>682.91666666666697</v>
      </c>
      <c r="R724" s="40">
        <v>80812.416666666701</v>
      </c>
      <c r="S724" s="40">
        <v>324826.33333333302</v>
      </c>
      <c r="T724" s="40"/>
      <c r="U724" s="40">
        <v>1911708.33333333</v>
      </c>
      <c r="V724" s="40">
        <v>0</v>
      </c>
      <c r="W724" s="45">
        <f t="shared" si="40"/>
        <v>2759703.0833333298</v>
      </c>
      <c r="X724" s="46">
        <f t="shared" si="41"/>
        <v>126.20575515405351</v>
      </c>
    </row>
    <row r="725" spans="1:24" s="4" customFormat="1" ht="15" customHeight="1">
      <c r="A725" s="28" t="s">
        <v>1109</v>
      </c>
      <c r="B725" s="29">
        <v>3106.0650000000001</v>
      </c>
      <c r="C725" s="30" t="s">
        <v>1135</v>
      </c>
      <c r="D725" s="2">
        <v>4948618688</v>
      </c>
      <c r="E725" s="2" t="s">
        <v>18</v>
      </c>
      <c r="F725" s="2" t="s">
        <v>1136</v>
      </c>
      <c r="G725" s="28" t="s">
        <v>9</v>
      </c>
      <c r="H725" s="2" t="s">
        <v>23</v>
      </c>
      <c r="I725" s="2">
        <v>4</v>
      </c>
      <c r="J725" s="2"/>
      <c r="K725" s="2">
        <v>14760</v>
      </c>
      <c r="L725" s="35">
        <f t="shared" si="39"/>
        <v>45845519.399999999</v>
      </c>
      <c r="M725" s="36">
        <v>4000</v>
      </c>
      <c r="N725" s="40">
        <v>958003</v>
      </c>
      <c r="O725" s="40">
        <v>2558</v>
      </c>
      <c r="P725" s="40">
        <v>0</v>
      </c>
      <c r="Q725" s="40">
        <v>79752</v>
      </c>
      <c r="R725" s="40">
        <v>167131</v>
      </c>
      <c r="S725" s="40">
        <v>354356</v>
      </c>
      <c r="T725" s="37">
        <v>30000</v>
      </c>
      <c r="U725" s="40">
        <v>1367700</v>
      </c>
      <c r="V725" s="40">
        <v>0</v>
      </c>
      <c r="W725" s="45">
        <f t="shared" si="40"/>
        <v>2959500</v>
      </c>
      <c r="X725" s="46">
        <f t="shared" si="41"/>
        <v>6.4553745681851735</v>
      </c>
    </row>
    <row r="726" spans="1:24" s="4" customFormat="1" ht="15" customHeight="1">
      <c r="A726" s="28" t="s">
        <v>1109</v>
      </c>
      <c r="B726" s="29">
        <v>3106.0650000000001</v>
      </c>
      <c r="C726" s="30" t="s">
        <v>1137</v>
      </c>
      <c r="D726" s="2">
        <v>4948620874</v>
      </c>
      <c r="E726" s="2" t="s">
        <v>18</v>
      </c>
      <c r="F726" s="78" t="s">
        <v>1138</v>
      </c>
      <c r="G726" s="28" t="s">
        <v>5</v>
      </c>
      <c r="H726" s="2" t="s">
        <v>35</v>
      </c>
      <c r="I726" s="2">
        <v>1</v>
      </c>
      <c r="J726" s="2" t="s">
        <v>1139</v>
      </c>
      <c r="K726" s="2">
        <v>19525</v>
      </c>
      <c r="L726" s="35">
        <f t="shared" si="39"/>
        <v>60645919.125</v>
      </c>
      <c r="M726" s="36">
        <v>625</v>
      </c>
      <c r="N726" s="40">
        <v>25127.888819487802</v>
      </c>
      <c r="O726" s="40">
        <v>32277.092442223598</v>
      </c>
      <c r="P726" s="40">
        <v>0</v>
      </c>
      <c r="Q726" s="40">
        <v>7753.6695815115499</v>
      </c>
      <c r="R726" s="40">
        <v>114141.865708932</v>
      </c>
      <c r="S726" s="40">
        <v>27666.770768269798</v>
      </c>
      <c r="T726" s="37">
        <v>30000</v>
      </c>
      <c r="U726" s="40">
        <v>384451.12429731397</v>
      </c>
      <c r="V726" s="40">
        <v>104231.73016864499</v>
      </c>
      <c r="W726" s="45">
        <f t="shared" si="40"/>
        <v>725650.14178638381</v>
      </c>
      <c r="X726" s="46">
        <f t="shared" si="41"/>
        <v>1.1965358135486643</v>
      </c>
    </row>
    <row r="727" spans="1:24" s="4" customFormat="1" ht="15" customHeight="1">
      <c r="A727" s="28" t="s">
        <v>1109</v>
      </c>
      <c r="B727" s="29">
        <v>3106.0650000000001</v>
      </c>
      <c r="C727" s="30" t="s">
        <v>1137</v>
      </c>
      <c r="D727" s="2">
        <v>4948620853</v>
      </c>
      <c r="E727" s="2" t="s">
        <v>18</v>
      </c>
      <c r="F727" s="78" t="s">
        <v>1138</v>
      </c>
      <c r="G727" s="28" t="s">
        <v>5</v>
      </c>
      <c r="H727" s="2" t="s">
        <v>35</v>
      </c>
      <c r="I727" s="2">
        <v>1</v>
      </c>
      <c r="J727" s="2" t="s">
        <v>1139</v>
      </c>
      <c r="K727" s="2">
        <v>48120</v>
      </c>
      <c r="L727" s="35">
        <f t="shared" si="39"/>
        <v>149463847.80000001</v>
      </c>
      <c r="M727" s="36">
        <v>4000</v>
      </c>
      <c r="N727" s="40">
        <v>160818.488444722</v>
      </c>
      <c r="O727" s="40">
        <v>206573.391630231</v>
      </c>
      <c r="P727" s="40">
        <v>0</v>
      </c>
      <c r="Q727" s="40">
        <v>49623.485321674001</v>
      </c>
      <c r="R727" s="40">
        <v>730510.14053716406</v>
      </c>
      <c r="S727" s="40">
        <v>177067.332916927</v>
      </c>
      <c r="T727" s="37">
        <v>30000</v>
      </c>
      <c r="U727" s="40">
        <v>2460487.1955028102</v>
      </c>
      <c r="V727" s="40">
        <v>667083.07307932503</v>
      </c>
      <c r="W727" s="45">
        <f t="shared" si="40"/>
        <v>4482163.1074328534</v>
      </c>
      <c r="X727" s="46">
        <f t="shared" si="41"/>
        <v>2.9988275916932823</v>
      </c>
    </row>
    <row r="728" spans="1:24" s="4" customFormat="1" ht="15" customHeight="1">
      <c r="A728" s="28" t="s">
        <v>1109</v>
      </c>
      <c r="B728" s="29">
        <v>3106.0650000000001</v>
      </c>
      <c r="C728" s="30" t="s">
        <v>1137</v>
      </c>
      <c r="D728" s="2">
        <v>4947994888</v>
      </c>
      <c r="E728" s="2" t="s">
        <v>18</v>
      </c>
      <c r="F728" s="78" t="s">
        <v>1138</v>
      </c>
      <c r="G728" s="28" t="s">
        <v>5</v>
      </c>
      <c r="H728" s="2" t="s">
        <v>35</v>
      </c>
      <c r="I728" s="2">
        <v>1</v>
      </c>
      <c r="J728" s="2" t="s">
        <v>1139</v>
      </c>
      <c r="K728" s="2">
        <v>283852.40000000002</v>
      </c>
      <c r="L728" s="35">
        <f t="shared" si="39"/>
        <v>881664004.80600011</v>
      </c>
      <c r="M728" s="36">
        <v>3380</v>
      </c>
      <c r="N728" s="40">
        <v>135891.62273579001</v>
      </c>
      <c r="O728" s="40">
        <v>174554.515927545</v>
      </c>
      <c r="P728" s="40">
        <v>0</v>
      </c>
      <c r="Q728" s="40">
        <v>41931.845096814497</v>
      </c>
      <c r="R728" s="40">
        <f>570353.993753904+46927</f>
        <v>617280.99375390401</v>
      </c>
      <c r="S728" s="40">
        <v>149621.89631480299</v>
      </c>
      <c r="T728" s="37">
        <v>30000</v>
      </c>
      <c r="U728" s="40">
        <v>2079111.6801998799</v>
      </c>
      <c r="V728" s="40">
        <v>563685.19675203005</v>
      </c>
      <c r="W728" s="45">
        <f t="shared" si="40"/>
        <v>3792077.7507807664</v>
      </c>
      <c r="X728" s="46">
        <f t="shared" si="41"/>
        <v>0.43010463511155467</v>
      </c>
    </row>
    <row r="729" spans="1:24" s="4" customFormat="1" ht="15" customHeight="1">
      <c r="A729" s="28" t="s">
        <v>1109</v>
      </c>
      <c r="B729" s="29">
        <v>3106.0650000000001</v>
      </c>
      <c r="C729" s="30" t="s">
        <v>1140</v>
      </c>
      <c r="D729" s="2">
        <v>4948495848</v>
      </c>
      <c r="E729" s="2" t="s">
        <v>14</v>
      </c>
      <c r="F729" s="2" t="s">
        <v>1141</v>
      </c>
      <c r="G729" s="28" t="s">
        <v>5</v>
      </c>
      <c r="H729" s="2" t="s">
        <v>17</v>
      </c>
      <c r="I729" s="2">
        <v>1</v>
      </c>
      <c r="J729" s="2" t="s">
        <v>1142</v>
      </c>
      <c r="K729" s="2">
        <v>1198.8</v>
      </c>
      <c r="L729" s="35">
        <f t="shared" si="39"/>
        <v>3723550.7220000001</v>
      </c>
      <c r="M729" s="36">
        <v>200</v>
      </c>
      <c r="N729" s="40">
        <v>3961.0830769230802</v>
      </c>
      <c r="O729" s="40">
        <v>5088.0615384615403</v>
      </c>
      <c r="P729" s="40">
        <v>0</v>
      </c>
      <c r="Q729" s="40">
        <v>1222.2646153846199</v>
      </c>
      <c r="R729" s="40">
        <f>6556.78769230769+1368</f>
        <v>7924.7876923076901</v>
      </c>
      <c r="S729" s="40">
        <v>4361.3046153846199</v>
      </c>
      <c r="T729" s="37">
        <v>30000</v>
      </c>
      <c r="U729" s="40">
        <v>58849.8461538462</v>
      </c>
      <c r="V729" s="40">
        <v>0</v>
      </c>
      <c r="W729" s="45">
        <f t="shared" si="40"/>
        <v>111407.34769230775</v>
      </c>
      <c r="X729" s="46">
        <f t="shared" si="41"/>
        <v>2.9919653580673784</v>
      </c>
    </row>
    <row r="730" spans="1:24" s="4" customFormat="1" ht="15" customHeight="1">
      <c r="A730" s="28" t="s">
        <v>1109</v>
      </c>
      <c r="B730" s="29">
        <v>3106.0650000000001</v>
      </c>
      <c r="C730" s="30" t="s">
        <v>1140</v>
      </c>
      <c r="D730" s="2">
        <v>4948495848</v>
      </c>
      <c r="E730" s="2" t="s">
        <v>14</v>
      </c>
      <c r="F730" s="2" t="s">
        <v>1141</v>
      </c>
      <c r="G730" s="28" t="s">
        <v>5</v>
      </c>
      <c r="H730" s="2" t="s">
        <v>17</v>
      </c>
      <c r="I730" s="2">
        <v>1</v>
      </c>
      <c r="J730" s="2" t="s">
        <v>1142</v>
      </c>
      <c r="K730" s="2">
        <v>21021</v>
      </c>
      <c r="L730" s="35">
        <f t="shared" si="39"/>
        <v>65292592.365000002</v>
      </c>
      <c r="M730" s="36">
        <v>2100</v>
      </c>
      <c r="N730" s="40">
        <v>41591.372307692298</v>
      </c>
      <c r="O730" s="40">
        <v>53424.646153846203</v>
      </c>
      <c r="P730" s="40">
        <v>0</v>
      </c>
      <c r="Q730" s="40">
        <v>12833.778461538501</v>
      </c>
      <c r="R730" s="40">
        <v>83209.270769230803</v>
      </c>
      <c r="S730" s="40">
        <v>45793.698461538501</v>
      </c>
      <c r="T730" s="37">
        <v>30000</v>
      </c>
      <c r="U730" s="40">
        <v>617923.38461538497</v>
      </c>
      <c r="V730" s="40">
        <v>0</v>
      </c>
      <c r="W730" s="45">
        <f t="shared" si="40"/>
        <v>884776.15076923126</v>
      </c>
      <c r="X730" s="46">
        <f t="shared" si="41"/>
        <v>1.3550942284894085</v>
      </c>
    </row>
    <row r="731" spans="1:24" s="4" customFormat="1" ht="15" customHeight="1">
      <c r="A731" s="28" t="s">
        <v>1109</v>
      </c>
      <c r="B731" s="29">
        <v>3106.0650000000001</v>
      </c>
      <c r="C731" s="30" t="s">
        <v>1140</v>
      </c>
      <c r="D731" s="2">
        <v>4948830201</v>
      </c>
      <c r="E731" s="2" t="s">
        <v>14</v>
      </c>
      <c r="F731" s="2" t="s">
        <v>1141</v>
      </c>
      <c r="G731" s="28" t="s">
        <v>5</v>
      </c>
      <c r="H731" s="2" t="s">
        <v>17</v>
      </c>
      <c r="I731" s="2">
        <v>1</v>
      </c>
      <c r="J731" s="2" t="s">
        <v>1142</v>
      </c>
      <c r="K731" s="2">
        <v>16380</v>
      </c>
      <c r="L731" s="35">
        <f t="shared" si="39"/>
        <v>50877344.700000003</v>
      </c>
      <c r="M731" s="36">
        <v>6300</v>
      </c>
      <c r="N731" s="40">
        <v>124774.116923077</v>
      </c>
      <c r="O731" s="40">
        <v>160273.938461538</v>
      </c>
      <c r="P731" s="40">
        <v>0</v>
      </c>
      <c r="Q731" s="40">
        <v>38501.335384615399</v>
      </c>
      <c r="R731" s="40">
        <f>206538.812307692+43088</f>
        <v>249626.81230769199</v>
      </c>
      <c r="S731" s="40">
        <v>137381.09538461501</v>
      </c>
      <c r="T731" s="37">
        <v>30000</v>
      </c>
      <c r="U731" s="40">
        <v>1853770.15384615</v>
      </c>
      <c r="V731" s="40">
        <v>0</v>
      </c>
      <c r="W731" s="45">
        <f t="shared" si="40"/>
        <v>2594327.4523076871</v>
      </c>
      <c r="X731" s="46">
        <f t="shared" si="41"/>
        <v>5.0991801313634335</v>
      </c>
    </row>
    <row r="732" spans="1:24" s="4" customFormat="1" ht="15" customHeight="1">
      <c r="A732" s="28" t="s">
        <v>1109</v>
      </c>
      <c r="B732" s="29">
        <v>3106.0650000000001</v>
      </c>
      <c r="C732" s="30" t="s">
        <v>1140</v>
      </c>
      <c r="D732" s="2">
        <v>4948712024</v>
      </c>
      <c r="E732" s="2" t="s">
        <v>14</v>
      </c>
      <c r="F732" s="2" t="s">
        <v>1141</v>
      </c>
      <c r="G732" s="28" t="s">
        <v>5</v>
      </c>
      <c r="H732" s="2" t="s">
        <v>17</v>
      </c>
      <c r="I732" s="2">
        <v>1</v>
      </c>
      <c r="J732" s="2" t="s">
        <v>1142</v>
      </c>
      <c r="K732" s="2">
        <v>32130</v>
      </c>
      <c r="L732" s="35">
        <f t="shared" si="39"/>
        <v>99797868.450000003</v>
      </c>
      <c r="M732" s="36">
        <v>7650</v>
      </c>
      <c r="N732" s="40">
        <v>151511.427692308</v>
      </c>
      <c r="O732" s="40">
        <v>194618.353846154</v>
      </c>
      <c r="P732" s="40">
        <v>0</v>
      </c>
      <c r="Q732" s="40">
        <v>46751.621538461499</v>
      </c>
      <c r="R732" s="40">
        <f>250797.129230769+52321</f>
        <v>303118.129230769</v>
      </c>
      <c r="S732" s="40">
        <v>166819.901538462</v>
      </c>
      <c r="T732" s="37">
        <v>30000</v>
      </c>
      <c r="U732" s="40">
        <v>2251006.6153846201</v>
      </c>
      <c r="V732" s="40">
        <v>0</v>
      </c>
      <c r="W732" s="45">
        <f t="shared" si="40"/>
        <v>3143826.0492307749</v>
      </c>
      <c r="X732" s="46">
        <f t="shared" si="41"/>
        <v>3.1501935843508235</v>
      </c>
    </row>
    <row r="733" spans="1:24" s="4" customFormat="1" ht="15" customHeight="1">
      <c r="A733" s="28" t="s">
        <v>1109</v>
      </c>
      <c r="B733" s="29">
        <v>3106.0650000000001</v>
      </c>
      <c r="C733" s="30" t="s">
        <v>1143</v>
      </c>
      <c r="D733" s="2">
        <v>4948711429</v>
      </c>
      <c r="E733" s="2" t="s">
        <v>21</v>
      </c>
      <c r="F733" s="2" t="s">
        <v>1144</v>
      </c>
      <c r="G733" s="28" t="s">
        <v>5</v>
      </c>
      <c r="H733" s="2" t="s">
        <v>20</v>
      </c>
      <c r="I733" s="2">
        <v>3</v>
      </c>
      <c r="J733" s="2" t="s">
        <v>1145</v>
      </c>
      <c r="K733" s="2">
        <f>22302+2478+22302+19824</f>
        <v>66906</v>
      </c>
      <c r="L733" s="35">
        <f t="shared" si="39"/>
        <v>207814384.89000002</v>
      </c>
      <c r="M733" s="36">
        <f>18900+2100+18900+16800</f>
        <v>56700</v>
      </c>
      <c r="N733" s="40">
        <v>1399515</v>
      </c>
      <c r="O733" s="40">
        <v>885875</v>
      </c>
      <c r="P733" s="40">
        <v>1128768</v>
      </c>
      <c r="Q733" s="40">
        <v>925220</v>
      </c>
      <c r="R733" s="40">
        <v>2026449</v>
      </c>
      <c r="S733" s="40">
        <v>354356</v>
      </c>
      <c r="T733" s="40"/>
      <c r="U733" s="40">
        <v>0</v>
      </c>
      <c r="V733" s="40">
        <v>0</v>
      </c>
      <c r="W733" s="45">
        <f t="shared" si="40"/>
        <v>6720183</v>
      </c>
      <c r="X733" s="46">
        <f t="shared" si="41"/>
        <v>3.2337429401516729</v>
      </c>
    </row>
    <row r="734" spans="1:24" s="4" customFormat="1" ht="15" customHeight="1">
      <c r="A734" s="28" t="s">
        <v>1109</v>
      </c>
      <c r="B734" s="29">
        <v>3106.0650000000001</v>
      </c>
      <c r="C734" s="30" t="s">
        <v>1146</v>
      </c>
      <c r="D734" s="2">
        <v>4948536574</v>
      </c>
      <c r="E734" s="2" t="s">
        <v>18</v>
      </c>
      <c r="F734" s="78" t="s">
        <v>1147</v>
      </c>
      <c r="G734" s="28" t="s">
        <v>9</v>
      </c>
      <c r="H734" s="2" t="s">
        <v>23</v>
      </c>
      <c r="I734" s="2">
        <v>1</v>
      </c>
      <c r="J734" s="2"/>
      <c r="K734" s="2">
        <v>560</v>
      </c>
      <c r="L734" s="35">
        <f t="shared" si="39"/>
        <v>1739396.4000000001</v>
      </c>
      <c r="M734" s="36">
        <v>200</v>
      </c>
      <c r="N734" s="40">
        <v>434847</v>
      </c>
      <c r="O734" s="40">
        <v>156</v>
      </c>
      <c r="P734" s="40">
        <v>4460</v>
      </c>
      <c r="Q734" s="40">
        <v>3475</v>
      </c>
      <c r="R734" s="40">
        <v>233062</v>
      </c>
      <c r="S734" s="40">
        <v>354356</v>
      </c>
      <c r="T734" s="37">
        <v>30000</v>
      </c>
      <c r="U734" s="40">
        <v>402264.70588235301</v>
      </c>
      <c r="V734" s="40">
        <v>0</v>
      </c>
      <c r="W734" s="45">
        <f t="shared" si="40"/>
        <v>1462620.705882353</v>
      </c>
      <c r="X734" s="46">
        <f t="shared" si="41"/>
        <v>84.087831036234917</v>
      </c>
    </row>
    <row r="735" spans="1:24" s="4" customFormat="1" ht="15" customHeight="1">
      <c r="A735" s="28" t="s">
        <v>1109</v>
      </c>
      <c r="B735" s="29">
        <v>3106.0650000000001</v>
      </c>
      <c r="C735" s="30" t="s">
        <v>1148</v>
      </c>
      <c r="D735" s="2">
        <v>4949425520</v>
      </c>
      <c r="E735" s="2" t="s">
        <v>33</v>
      </c>
      <c r="F735" s="78" t="s">
        <v>1149</v>
      </c>
      <c r="G735" s="28" t="s">
        <v>13</v>
      </c>
      <c r="H735" s="2" t="s">
        <v>23</v>
      </c>
      <c r="I735" s="2">
        <v>4</v>
      </c>
      <c r="J735" s="2"/>
      <c r="K735" s="2">
        <v>2318</v>
      </c>
      <c r="L735" s="35">
        <f t="shared" si="39"/>
        <v>7199858.6699999999</v>
      </c>
      <c r="M735" s="36">
        <v>100</v>
      </c>
      <c r="N735" s="40">
        <v>860187.37</v>
      </c>
      <c r="O735" s="40">
        <v>0</v>
      </c>
      <c r="P735" s="40">
        <v>0</v>
      </c>
      <c r="Q735" s="40">
        <v>0</v>
      </c>
      <c r="R735" s="40">
        <v>3441</v>
      </c>
      <c r="S735" s="40">
        <v>354356</v>
      </c>
      <c r="T735" s="40"/>
      <c r="U735" s="40">
        <v>246380</v>
      </c>
      <c r="V735" s="40">
        <v>0</v>
      </c>
      <c r="W735" s="45">
        <f t="shared" si="40"/>
        <v>1464364.37</v>
      </c>
      <c r="X735" s="46">
        <f t="shared" si="41"/>
        <v>20.338793261340506</v>
      </c>
    </row>
    <row r="736" spans="1:24" s="4" customFormat="1" ht="15" customHeight="1">
      <c r="A736" s="28" t="s">
        <v>1109</v>
      </c>
      <c r="B736" s="29">
        <v>3106.0650000000001</v>
      </c>
      <c r="C736" s="30" t="s">
        <v>1150</v>
      </c>
      <c r="D736" s="2">
        <v>4949470462</v>
      </c>
      <c r="E736" s="2" t="s">
        <v>24</v>
      </c>
      <c r="F736" s="78" t="s">
        <v>1151</v>
      </c>
      <c r="G736" s="28" t="s">
        <v>13</v>
      </c>
      <c r="H736" s="2" t="s">
        <v>23</v>
      </c>
      <c r="I736" s="2">
        <v>1</v>
      </c>
      <c r="J736" s="2"/>
      <c r="K736" s="2">
        <f>415.85+345</f>
        <v>760.85</v>
      </c>
      <c r="L736" s="35">
        <f t="shared" si="39"/>
        <v>2363249.5552500002</v>
      </c>
      <c r="M736" s="36">
        <v>217.72</v>
      </c>
      <c r="N736" s="40">
        <v>533155</v>
      </c>
      <c r="O736" s="40">
        <v>0</v>
      </c>
      <c r="P736" s="40">
        <v>0</v>
      </c>
      <c r="Q736" s="40">
        <v>0</v>
      </c>
      <c r="R736" s="40">
        <v>6390</v>
      </c>
      <c r="S736" s="40">
        <v>354356</v>
      </c>
      <c r="T736" s="40"/>
      <c r="U736" s="40">
        <v>246380</v>
      </c>
      <c r="V736" s="40">
        <v>0</v>
      </c>
      <c r="W736" s="45">
        <f t="shared" si="40"/>
        <v>1140281</v>
      </c>
      <c r="X736" s="46">
        <f t="shared" si="41"/>
        <v>48.250553881067951</v>
      </c>
    </row>
    <row r="737" spans="1:24" s="4" customFormat="1" ht="15" customHeight="1">
      <c r="A737" s="28" t="s">
        <v>1109</v>
      </c>
      <c r="B737" s="29">
        <v>3106.0650000000001</v>
      </c>
      <c r="C737" s="30" t="s">
        <v>1152</v>
      </c>
      <c r="D737" s="2">
        <v>4949355660</v>
      </c>
      <c r="E737" s="2" t="s">
        <v>27</v>
      </c>
      <c r="F737" s="2" t="s">
        <v>1153</v>
      </c>
      <c r="G737" s="28" t="s">
        <v>13</v>
      </c>
      <c r="H737" s="2" t="s">
        <v>23</v>
      </c>
      <c r="I737" s="2">
        <v>21</v>
      </c>
      <c r="J737" s="2"/>
      <c r="K737" s="2">
        <f>5274.36+3464</f>
        <v>8738.36</v>
      </c>
      <c r="L737" s="35">
        <f t="shared" si="39"/>
        <v>27141914.153400004</v>
      </c>
      <c r="M737" s="36">
        <v>2704.8</v>
      </c>
      <c r="N737" s="40">
        <v>4258920</v>
      </c>
      <c r="O737" s="40">
        <v>0</v>
      </c>
      <c r="P737" s="40">
        <v>0</v>
      </c>
      <c r="Q737" s="40">
        <v>0</v>
      </c>
      <c r="R737" s="40">
        <v>59746</v>
      </c>
      <c r="S737" s="40">
        <v>354356</v>
      </c>
      <c r="T737" s="40"/>
      <c r="U737" s="40">
        <v>1087370</v>
      </c>
      <c r="V737" s="40">
        <v>0</v>
      </c>
      <c r="W737" s="45">
        <f t="shared" si="40"/>
        <v>5760392</v>
      </c>
      <c r="X737" s="46">
        <f t="shared" si="41"/>
        <v>21.223234173697396</v>
      </c>
    </row>
    <row r="738" spans="1:24" s="4" customFormat="1" ht="15" customHeight="1">
      <c r="A738" s="28" t="s">
        <v>1109</v>
      </c>
      <c r="B738" s="29">
        <v>3106.0650000000001</v>
      </c>
      <c r="C738" s="30" t="s">
        <v>1154</v>
      </c>
      <c r="D738" s="2">
        <v>4948772919</v>
      </c>
      <c r="E738" s="2" t="s">
        <v>14</v>
      </c>
      <c r="F738" s="78" t="s">
        <v>1155</v>
      </c>
      <c r="G738" s="28" t="s">
        <v>13</v>
      </c>
      <c r="H738" s="2" t="s">
        <v>23</v>
      </c>
      <c r="I738" s="2">
        <v>10</v>
      </c>
      <c r="J738" s="2"/>
      <c r="K738" s="2">
        <f>18900+12571</f>
        <v>31471</v>
      </c>
      <c r="L738" s="35">
        <f t="shared" si="39"/>
        <v>97750971.614999995</v>
      </c>
      <c r="M738" s="36">
        <v>4500</v>
      </c>
      <c r="N738" s="40">
        <v>8073282</v>
      </c>
      <c r="O738" s="40">
        <v>0</v>
      </c>
      <c r="P738" s="40">
        <v>0</v>
      </c>
      <c r="Q738" s="40">
        <v>0</v>
      </c>
      <c r="R738" s="40">
        <v>190297</v>
      </c>
      <c r="S738" s="40">
        <v>354356</v>
      </c>
      <c r="T738" s="37">
        <v>30000</v>
      </c>
      <c r="U738" s="40">
        <v>1154337</v>
      </c>
      <c r="V738" s="40">
        <v>0</v>
      </c>
      <c r="W738" s="45">
        <f t="shared" si="40"/>
        <v>9802272</v>
      </c>
      <c r="X738" s="46">
        <f t="shared" si="41"/>
        <v>10.027800069964552</v>
      </c>
    </row>
    <row r="739" spans="1:24" s="4" customFormat="1" ht="15" customHeight="1">
      <c r="A739" s="28" t="s">
        <v>1109</v>
      </c>
      <c r="B739" s="29">
        <v>3106.0650000000001</v>
      </c>
      <c r="C739" s="30" t="s">
        <v>1156</v>
      </c>
      <c r="D739" s="2">
        <v>4949366038</v>
      </c>
      <c r="E739" s="2" t="s">
        <v>14</v>
      </c>
      <c r="F739" s="78" t="s">
        <v>1157</v>
      </c>
      <c r="G739" s="28" t="s">
        <v>13</v>
      </c>
      <c r="H739" s="2" t="s">
        <v>23</v>
      </c>
      <c r="I739" s="2">
        <v>2</v>
      </c>
      <c r="J739" s="2"/>
      <c r="K739" s="2">
        <v>708.6</v>
      </c>
      <c r="L739" s="35">
        <f t="shared" si="39"/>
        <v>2200957.659</v>
      </c>
      <c r="M739" s="36">
        <v>10</v>
      </c>
      <c r="N739" s="40">
        <v>40198.6</v>
      </c>
      <c r="O739" s="40">
        <v>0</v>
      </c>
      <c r="P739" s="40">
        <v>0</v>
      </c>
      <c r="Q739" s="40">
        <v>0</v>
      </c>
      <c r="R739" s="40">
        <v>160.80000000000001</v>
      </c>
      <c r="S739" s="40">
        <v>70871.199999999997</v>
      </c>
      <c r="T739" s="37">
        <v>30000</v>
      </c>
      <c r="U739" s="40">
        <v>30797.5</v>
      </c>
      <c r="V739" s="40">
        <v>0</v>
      </c>
      <c r="W739" s="45">
        <f t="shared" si="40"/>
        <v>172028.1</v>
      </c>
      <c r="X739" s="46">
        <f t="shared" si="41"/>
        <v>7.8160567649520605</v>
      </c>
    </row>
    <row r="740" spans="1:24" s="4" customFormat="1" ht="15" customHeight="1">
      <c r="A740" s="28" t="s">
        <v>1109</v>
      </c>
      <c r="B740" s="29">
        <v>3106.0650000000001</v>
      </c>
      <c r="C740" s="30" t="s">
        <v>1156</v>
      </c>
      <c r="D740" s="2">
        <v>4949035714</v>
      </c>
      <c r="E740" s="2" t="s">
        <v>14</v>
      </c>
      <c r="F740" s="78" t="s">
        <v>1157</v>
      </c>
      <c r="G740" s="28" t="s">
        <v>13</v>
      </c>
      <c r="H740" s="2" t="s">
        <v>23</v>
      </c>
      <c r="I740" s="2">
        <v>2</v>
      </c>
      <c r="J740" s="2"/>
      <c r="K740" s="2">
        <v>2834.4</v>
      </c>
      <c r="L740" s="35">
        <f t="shared" si="39"/>
        <v>8803830.6359999999</v>
      </c>
      <c r="M740" s="36">
        <v>40</v>
      </c>
      <c r="N740" s="40">
        <v>160794.4</v>
      </c>
      <c r="O740" s="40">
        <v>0</v>
      </c>
      <c r="P740" s="40">
        <v>0</v>
      </c>
      <c r="Q740" s="40">
        <v>0</v>
      </c>
      <c r="R740" s="40">
        <v>643.20000000000005</v>
      </c>
      <c r="S740" s="40">
        <v>283484.79999999999</v>
      </c>
      <c r="T740" s="37">
        <v>30000</v>
      </c>
      <c r="U740" s="40">
        <v>123190</v>
      </c>
      <c r="V740" s="40">
        <v>0</v>
      </c>
      <c r="W740" s="45">
        <f t="shared" si="40"/>
        <v>598112.4</v>
      </c>
      <c r="X740" s="46">
        <f t="shared" si="41"/>
        <v>6.7937744912338642</v>
      </c>
    </row>
    <row r="741" spans="1:24" s="4" customFormat="1" ht="15" customHeight="1">
      <c r="A741" s="28" t="s">
        <v>1109</v>
      </c>
      <c r="B741" s="29">
        <v>3106.0650000000001</v>
      </c>
      <c r="C741" s="30" t="s">
        <v>1158</v>
      </c>
      <c r="D741" s="2">
        <v>4948826970</v>
      </c>
      <c r="E741" s="2" t="s">
        <v>14</v>
      </c>
      <c r="F741" s="78" t="s">
        <v>1159</v>
      </c>
      <c r="G741" s="28" t="s">
        <v>13</v>
      </c>
      <c r="H741" s="2" t="s">
        <v>23</v>
      </c>
      <c r="I741" s="2">
        <v>2</v>
      </c>
      <c r="J741" s="2"/>
      <c r="K741" s="2">
        <v>1023.2</v>
      </c>
      <c r="L741" s="35">
        <f t="shared" si="39"/>
        <v>3178125.7080000001</v>
      </c>
      <c r="M741" s="36">
        <v>10</v>
      </c>
      <c r="N741" s="40">
        <v>67297.333333333299</v>
      </c>
      <c r="O741" s="40">
        <v>0</v>
      </c>
      <c r="P741" s="40">
        <v>0</v>
      </c>
      <c r="Q741" s="40">
        <v>0</v>
      </c>
      <c r="R741" s="40">
        <v>269.33333333333297</v>
      </c>
      <c r="S741" s="40">
        <v>118118.66666666701</v>
      </c>
      <c r="T741" s="37">
        <v>30000</v>
      </c>
      <c r="U741" s="40">
        <v>30797.5</v>
      </c>
      <c r="V741" s="40">
        <v>0</v>
      </c>
      <c r="W741" s="45">
        <f t="shared" si="40"/>
        <v>246482.83333333363</v>
      </c>
      <c r="X741" s="46">
        <f t="shared" si="41"/>
        <v>7.7556036475487842</v>
      </c>
    </row>
    <row r="742" spans="1:24" s="4" customFormat="1" ht="15" customHeight="1">
      <c r="A742" s="28" t="s">
        <v>1109</v>
      </c>
      <c r="B742" s="29">
        <v>3106.0650000000001</v>
      </c>
      <c r="C742" s="30" t="s">
        <v>1158</v>
      </c>
      <c r="D742" s="2">
        <v>4949096196</v>
      </c>
      <c r="E742" s="2" t="s">
        <v>14</v>
      </c>
      <c r="F742" s="78" t="s">
        <v>1159</v>
      </c>
      <c r="G742" s="28" t="s">
        <v>13</v>
      </c>
      <c r="H742" s="2" t="s">
        <v>23</v>
      </c>
      <c r="I742" s="2">
        <v>2</v>
      </c>
      <c r="J742" s="2"/>
      <c r="K742" s="2">
        <v>1907.4</v>
      </c>
      <c r="L742" s="35">
        <f t="shared" si="39"/>
        <v>5924508.3810000001</v>
      </c>
      <c r="M742" s="36">
        <v>20</v>
      </c>
      <c r="N742" s="40">
        <v>134594.66666666701</v>
      </c>
      <c r="O742" s="40">
        <v>0</v>
      </c>
      <c r="P742" s="40">
        <v>0</v>
      </c>
      <c r="Q742" s="40">
        <v>0</v>
      </c>
      <c r="R742" s="40">
        <v>538.66666666666697</v>
      </c>
      <c r="S742" s="40">
        <v>236237.33333333299</v>
      </c>
      <c r="T742" s="37">
        <v>30000</v>
      </c>
      <c r="U742" s="40">
        <v>61595</v>
      </c>
      <c r="V742" s="40">
        <v>0</v>
      </c>
      <c r="W742" s="45">
        <f t="shared" si="40"/>
        <v>462965.66666666663</v>
      </c>
      <c r="X742" s="46">
        <f t="shared" si="41"/>
        <v>7.8144149167111561</v>
      </c>
    </row>
    <row r="743" spans="1:24" s="4" customFormat="1" ht="15" customHeight="1">
      <c r="A743" s="28" t="s">
        <v>1109</v>
      </c>
      <c r="B743" s="29">
        <v>3106.0650000000001</v>
      </c>
      <c r="C743" s="30" t="s">
        <v>1160</v>
      </c>
      <c r="D743" s="2">
        <v>4948772919</v>
      </c>
      <c r="E743" s="2" t="s">
        <v>14</v>
      </c>
      <c r="F743" s="78" t="s">
        <v>1161</v>
      </c>
      <c r="G743" s="28" t="s">
        <v>13</v>
      </c>
      <c r="H743" s="2" t="s">
        <v>23</v>
      </c>
      <c r="I743" s="2">
        <v>5</v>
      </c>
      <c r="J743" s="2"/>
      <c r="K743" s="2">
        <f>9450+6285.75</f>
        <v>15735.75</v>
      </c>
      <c r="L743" s="35">
        <f t="shared" si="39"/>
        <v>48876262.323750004</v>
      </c>
      <c r="M743" s="36">
        <v>2250</v>
      </c>
      <c r="N743" s="40">
        <v>4064920</v>
      </c>
      <c r="O743" s="40">
        <v>0</v>
      </c>
      <c r="P743" s="40">
        <v>0</v>
      </c>
      <c r="Q743" s="40">
        <v>0</v>
      </c>
      <c r="R743" s="40">
        <v>96762</v>
      </c>
      <c r="S743" s="40">
        <v>354356</v>
      </c>
      <c r="T743" s="37">
        <v>30000</v>
      </c>
      <c r="U743" s="40">
        <v>1154337</v>
      </c>
      <c r="V743" s="40">
        <v>0</v>
      </c>
      <c r="W743" s="45">
        <f t="shared" si="40"/>
        <v>5700375</v>
      </c>
      <c r="X743" s="46">
        <f t="shared" si="41"/>
        <v>11.662870131601835</v>
      </c>
    </row>
    <row r="744" spans="1:24" s="4" customFormat="1" ht="15" customHeight="1">
      <c r="A744" s="28" t="s">
        <v>1109</v>
      </c>
      <c r="B744" s="29">
        <v>3106.0650000000001</v>
      </c>
      <c r="C744" s="30" t="s">
        <v>1162</v>
      </c>
      <c r="D744" s="2">
        <v>4949336188</v>
      </c>
      <c r="E744" s="2" t="s">
        <v>18</v>
      </c>
      <c r="F744" s="78" t="s">
        <v>1163</v>
      </c>
      <c r="G744" s="28" t="s">
        <v>13</v>
      </c>
      <c r="H744" s="2" t="s">
        <v>23</v>
      </c>
      <c r="I744" s="2">
        <v>1</v>
      </c>
      <c r="J744" s="2"/>
      <c r="K744" s="2">
        <v>4002</v>
      </c>
      <c r="L744" s="35">
        <f t="shared" si="39"/>
        <v>12430472.130000001</v>
      </c>
      <c r="M744" s="36">
        <v>200</v>
      </c>
      <c r="N744" s="40">
        <v>1004831.24</v>
      </c>
      <c r="O744" s="40">
        <v>0</v>
      </c>
      <c r="P744" s="40">
        <v>198730</v>
      </c>
      <c r="Q744" s="40">
        <v>0</v>
      </c>
      <c r="R744" s="40">
        <v>4019</v>
      </c>
      <c r="S744" s="40">
        <v>354356</v>
      </c>
      <c r="T744" s="37">
        <v>30000</v>
      </c>
      <c r="U744" s="40">
        <v>246380</v>
      </c>
      <c r="V744" s="40">
        <v>0</v>
      </c>
      <c r="W744" s="45">
        <f t="shared" si="40"/>
        <v>1838316.24</v>
      </c>
      <c r="X744" s="46">
        <f t="shared" si="41"/>
        <v>14.788788557462457</v>
      </c>
    </row>
    <row r="745" spans="1:24" s="4" customFormat="1" ht="15" customHeight="1">
      <c r="A745" s="28" t="s">
        <v>1109</v>
      </c>
      <c r="B745" s="29">
        <v>3106.0650000000001</v>
      </c>
      <c r="C745" s="30" t="s">
        <v>1164</v>
      </c>
      <c r="D745" s="2">
        <v>4949035714</v>
      </c>
      <c r="E745" s="2" t="s">
        <v>14</v>
      </c>
      <c r="F745" s="78" t="s">
        <v>1165</v>
      </c>
      <c r="G745" s="28" t="s">
        <v>13</v>
      </c>
      <c r="H745" s="2" t="s">
        <v>23</v>
      </c>
      <c r="I745" s="2">
        <v>3</v>
      </c>
      <c r="J745" s="2"/>
      <c r="K745" s="2">
        <v>446.1</v>
      </c>
      <c r="L745" s="35">
        <f t="shared" si="39"/>
        <v>1385615.5965</v>
      </c>
      <c r="M745" s="36">
        <v>10</v>
      </c>
      <c r="N745" s="40">
        <v>15907.8032786885</v>
      </c>
      <c r="O745" s="40">
        <v>0</v>
      </c>
      <c r="P745" s="40">
        <v>0</v>
      </c>
      <c r="Q745" s="40">
        <v>0</v>
      </c>
      <c r="R745" s="40">
        <v>653.80327868852498</v>
      </c>
      <c r="S745" s="40">
        <v>11618.2295081967</v>
      </c>
      <c r="T745" s="37">
        <v>30000</v>
      </c>
      <c r="U745" s="40">
        <v>6940.2816901408496</v>
      </c>
      <c r="V745" s="40">
        <v>0</v>
      </c>
      <c r="W745" s="45">
        <f t="shared" si="40"/>
        <v>65120.117755714578</v>
      </c>
      <c r="X745" s="46">
        <f t="shared" si="41"/>
        <v>4.6997246509208574</v>
      </c>
    </row>
    <row r="746" spans="1:24" s="4" customFormat="1" ht="15" customHeight="1">
      <c r="A746" s="28" t="s">
        <v>1109</v>
      </c>
      <c r="B746" s="29">
        <v>3106.0650000000001</v>
      </c>
      <c r="C746" s="30" t="s">
        <v>1164</v>
      </c>
      <c r="D746" s="2">
        <v>4949035714</v>
      </c>
      <c r="E746" s="2" t="s">
        <v>14</v>
      </c>
      <c r="F746" s="78" t="s">
        <v>1165</v>
      </c>
      <c r="G746" s="28" t="s">
        <v>13</v>
      </c>
      <c r="H746" s="2" t="s">
        <v>23</v>
      </c>
      <c r="I746" s="2">
        <v>3</v>
      </c>
      <c r="J746" s="2"/>
      <c r="K746" s="2">
        <f>4969.2+828.2</f>
        <v>5797.4</v>
      </c>
      <c r="L746" s="35">
        <f t="shared" si="39"/>
        <v>18007101.230999999</v>
      </c>
      <c r="M746" s="36">
        <f>60+10</f>
        <v>70</v>
      </c>
      <c r="N746" s="40">
        <v>111354.62295082</v>
      </c>
      <c r="O746" s="40">
        <v>0</v>
      </c>
      <c r="P746" s="40">
        <v>0</v>
      </c>
      <c r="Q746" s="40">
        <v>0</v>
      </c>
      <c r="R746" s="40">
        <v>4576.6229508196702</v>
      </c>
      <c r="S746" s="40">
        <v>81327.606557377003</v>
      </c>
      <c r="T746" s="37">
        <v>30000</v>
      </c>
      <c r="U746" s="40">
        <v>48581.971830985902</v>
      </c>
      <c r="V746" s="40">
        <v>0</v>
      </c>
      <c r="W746" s="45">
        <f t="shared" si="40"/>
        <v>275840.82429000258</v>
      </c>
      <c r="X746" s="46">
        <f t="shared" si="41"/>
        <v>1.5318446914438997</v>
      </c>
    </row>
    <row r="747" spans="1:24" s="4" customFormat="1" ht="15" customHeight="1">
      <c r="A747" s="28" t="s">
        <v>1109</v>
      </c>
      <c r="B747" s="29">
        <v>3106.0650000000001</v>
      </c>
      <c r="C747" s="30" t="s">
        <v>1164</v>
      </c>
      <c r="D747" s="2">
        <v>4949035714</v>
      </c>
      <c r="E747" s="2" t="s">
        <v>14</v>
      </c>
      <c r="F747" s="78" t="s">
        <v>1165</v>
      </c>
      <c r="G747" s="28" t="s">
        <v>13</v>
      </c>
      <c r="H747" s="2" t="s">
        <v>23</v>
      </c>
      <c r="I747" s="2">
        <v>3</v>
      </c>
      <c r="J747" s="2"/>
      <c r="K747" s="2">
        <v>15354</v>
      </c>
      <c r="L747" s="35">
        <f t="shared" si="39"/>
        <v>47690522.009999998</v>
      </c>
      <c r="M747" s="36">
        <v>120</v>
      </c>
      <c r="N747" s="40">
        <v>190893.63934426199</v>
      </c>
      <c r="O747" s="40">
        <v>0</v>
      </c>
      <c r="P747" s="40">
        <v>0</v>
      </c>
      <c r="Q747" s="40">
        <v>0</v>
      </c>
      <c r="R747" s="40">
        <v>7845.6393442622903</v>
      </c>
      <c r="S747" s="40">
        <v>139418.75409836101</v>
      </c>
      <c r="T747" s="37">
        <v>30000</v>
      </c>
      <c r="U747" s="40">
        <v>83283.380281690101</v>
      </c>
      <c r="V747" s="40">
        <v>0</v>
      </c>
      <c r="W747" s="45">
        <f t="shared" si="40"/>
        <v>451441.41306857538</v>
      </c>
      <c r="X747" s="46">
        <f t="shared" si="41"/>
        <v>0.94660614738902371</v>
      </c>
    </row>
    <row r="748" spans="1:24" s="4" customFormat="1" ht="15" customHeight="1">
      <c r="A748" s="28" t="s">
        <v>1109</v>
      </c>
      <c r="B748" s="29">
        <v>3106.0650000000001</v>
      </c>
      <c r="C748" s="30" t="s">
        <v>1164</v>
      </c>
      <c r="D748" s="2">
        <v>4948951744</v>
      </c>
      <c r="E748" s="2" t="s">
        <v>14</v>
      </c>
      <c r="F748" s="78" t="s">
        <v>1165</v>
      </c>
      <c r="G748" s="28" t="s">
        <v>13</v>
      </c>
      <c r="H748" s="2" t="s">
        <v>23</v>
      </c>
      <c r="I748" s="2">
        <v>3</v>
      </c>
      <c r="J748" s="2"/>
      <c r="K748" s="2">
        <v>1883.4</v>
      </c>
      <c r="L748" s="35">
        <f t="shared" si="39"/>
        <v>5849962.8210000005</v>
      </c>
      <c r="M748" s="36">
        <v>60</v>
      </c>
      <c r="N748" s="40">
        <v>95446.819672131096</v>
      </c>
      <c r="O748" s="40">
        <v>0</v>
      </c>
      <c r="P748" s="40">
        <v>0</v>
      </c>
      <c r="Q748" s="40">
        <v>0</v>
      </c>
      <c r="R748" s="40">
        <v>3922.8196721311501</v>
      </c>
      <c r="S748" s="40">
        <v>69709.377049180301</v>
      </c>
      <c r="T748" s="37">
        <v>30000</v>
      </c>
      <c r="U748" s="40">
        <v>41641.690140845101</v>
      </c>
      <c r="V748" s="40">
        <v>0</v>
      </c>
      <c r="W748" s="45">
        <f t="shared" si="40"/>
        <v>240720.70653428766</v>
      </c>
      <c r="X748" s="46">
        <f t="shared" si="41"/>
        <v>4.1149100242168464</v>
      </c>
    </row>
    <row r="749" spans="1:24" s="4" customFormat="1" ht="15" customHeight="1">
      <c r="A749" s="28" t="s">
        <v>1109</v>
      </c>
      <c r="B749" s="29">
        <v>3106.0650000000001</v>
      </c>
      <c r="C749" s="30" t="s">
        <v>1164</v>
      </c>
      <c r="D749" s="2">
        <v>4949035713</v>
      </c>
      <c r="E749" s="2" t="s">
        <v>14</v>
      </c>
      <c r="F749" s="78" t="s">
        <v>1165</v>
      </c>
      <c r="G749" s="28" t="s">
        <v>13</v>
      </c>
      <c r="H749" s="2" t="s">
        <v>23</v>
      </c>
      <c r="I749" s="2">
        <v>3</v>
      </c>
      <c r="J749" s="2"/>
      <c r="K749" s="2">
        <v>1158.8</v>
      </c>
      <c r="L749" s="35">
        <f t="shared" si="39"/>
        <v>3599308.122</v>
      </c>
      <c r="M749" s="36">
        <v>10</v>
      </c>
      <c r="N749" s="40">
        <v>15907.8032786885</v>
      </c>
      <c r="O749" s="40">
        <v>0</v>
      </c>
      <c r="P749" s="40">
        <v>0</v>
      </c>
      <c r="Q749" s="40">
        <v>0</v>
      </c>
      <c r="R749" s="40">
        <v>653.80327868852498</v>
      </c>
      <c r="S749" s="40">
        <v>11618.2295081967</v>
      </c>
      <c r="T749" s="37">
        <v>30000</v>
      </c>
      <c r="U749" s="40">
        <v>6940.2816901408496</v>
      </c>
      <c r="V749" s="40">
        <v>0</v>
      </c>
      <c r="W749" s="45">
        <f t="shared" si="40"/>
        <v>65120.117755714578</v>
      </c>
      <c r="X749" s="46">
        <f t="shared" si="41"/>
        <v>1.8092398746770748</v>
      </c>
    </row>
    <row r="750" spans="1:24" s="4" customFormat="1" ht="15" customHeight="1">
      <c r="A750" s="28" t="s">
        <v>1109</v>
      </c>
      <c r="B750" s="29">
        <v>3106.0650000000001</v>
      </c>
      <c r="C750" s="30" t="s">
        <v>1164</v>
      </c>
      <c r="D750" s="2">
        <v>4949035713</v>
      </c>
      <c r="E750" s="2" t="s">
        <v>14</v>
      </c>
      <c r="F750" s="78" t="s">
        <v>1165</v>
      </c>
      <c r="G750" s="28" t="s">
        <v>13</v>
      </c>
      <c r="H750" s="2" t="s">
        <v>23</v>
      </c>
      <c r="I750" s="2">
        <v>3</v>
      </c>
      <c r="J750" s="2"/>
      <c r="K750" s="2">
        <v>4836.6499999999996</v>
      </c>
      <c r="L750" s="35">
        <f t="shared" si="39"/>
        <v>15022949.282249998</v>
      </c>
      <c r="M750" s="36">
        <v>35</v>
      </c>
      <c r="N750" s="40">
        <v>55677.311475409799</v>
      </c>
      <c r="O750" s="40">
        <v>0</v>
      </c>
      <c r="P750" s="40">
        <v>0</v>
      </c>
      <c r="Q750" s="40">
        <v>0</v>
      </c>
      <c r="R750" s="40">
        <v>2288.3114754098401</v>
      </c>
      <c r="S750" s="40">
        <v>40663.803278688501</v>
      </c>
      <c r="T750" s="37">
        <v>30000</v>
      </c>
      <c r="U750" s="40">
        <v>24290.985915493002</v>
      </c>
      <c r="V750" s="40">
        <v>0</v>
      </c>
      <c r="W750" s="45">
        <f t="shared" si="40"/>
        <v>152920.41214500114</v>
      </c>
      <c r="X750" s="46">
        <f t="shared" si="41"/>
        <v>1.0179120575590344</v>
      </c>
    </row>
    <row r="751" spans="1:24" s="4" customFormat="1" ht="15" customHeight="1">
      <c r="A751" s="28" t="s">
        <v>1109</v>
      </c>
      <c r="B751" s="29">
        <v>3106.0650000000001</v>
      </c>
      <c r="C751" s="30" t="s">
        <v>1166</v>
      </c>
      <c r="D751" s="2">
        <v>4949035716</v>
      </c>
      <c r="E751" s="2" t="s">
        <v>14</v>
      </c>
      <c r="F751" s="78" t="s">
        <v>1167</v>
      </c>
      <c r="G751" s="28" t="s">
        <v>13</v>
      </c>
      <c r="H751" s="2" t="s">
        <v>23</v>
      </c>
      <c r="I751" s="2">
        <v>10</v>
      </c>
      <c r="J751" s="2"/>
      <c r="K751" s="2">
        <f>6307.5+22.77</f>
        <v>6330.27</v>
      </c>
      <c r="L751" s="35">
        <f t="shared" si="39"/>
        <v>19662230.087550003</v>
      </c>
      <c r="M751" s="36">
        <v>50</v>
      </c>
      <c r="N751" s="40">
        <v>622719</v>
      </c>
      <c r="O751" s="40">
        <v>0</v>
      </c>
      <c r="P751" s="40">
        <v>0</v>
      </c>
      <c r="Q751" s="40">
        <v>0</v>
      </c>
      <c r="R751" s="40">
        <v>8299</v>
      </c>
      <c r="S751" s="40">
        <v>354356</v>
      </c>
      <c r="T751" s="37">
        <v>30000</v>
      </c>
      <c r="U751" s="40">
        <v>34701.408450704199</v>
      </c>
      <c r="V751" s="40">
        <v>0</v>
      </c>
      <c r="W751" s="45">
        <f t="shared" si="40"/>
        <v>1050075.4084507043</v>
      </c>
      <c r="X751" s="46">
        <f t="shared" si="41"/>
        <v>5.3405712565412671</v>
      </c>
    </row>
    <row r="752" spans="1:24" s="4" customFormat="1" ht="15" customHeight="1">
      <c r="A752" s="28" t="s">
        <v>1109</v>
      </c>
      <c r="B752" s="29">
        <v>3106.0650000000001</v>
      </c>
      <c r="C752" s="30" t="s">
        <v>1168</v>
      </c>
      <c r="D752" s="2">
        <v>4945646683</v>
      </c>
      <c r="E752" s="2" t="s">
        <v>21</v>
      </c>
      <c r="F752" s="2" t="s">
        <v>1169</v>
      </c>
      <c r="G752" s="28" t="s">
        <v>5</v>
      </c>
      <c r="H752" s="2" t="s">
        <v>20</v>
      </c>
      <c r="I752" s="2">
        <v>1</v>
      </c>
      <c r="J752" s="2" t="s">
        <v>1170</v>
      </c>
      <c r="K752" s="2">
        <v>5648.11</v>
      </c>
      <c r="L752" s="35">
        <f t="shared" si="39"/>
        <v>17543396.787149999</v>
      </c>
      <c r="M752" s="36">
        <v>997.9</v>
      </c>
      <c r="N752" s="40">
        <v>319027</v>
      </c>
      <c r="O752" s="40">
        <v>369115</v>
      </c>
      <c r="P752" s="40">
        <v>88785</v>
      </c>
      <c r="Q752" s="40">
        <v>215966</v>
      </c>
      <c r="R752" s="40">
        <v>792053</v>
      </c>
      <c r="S752" s="40">
        <v>354356</v>
      </c>
      <c r="T752" s="40"/>
      <c r="U752" s="40">
        <v>0</v>
      </c>
      <c r="V752" s="40">
        <v>0</v>
      </c>
      <c r="W752" s="45">
        <f t="shared" si="40"/>
        <v>2139302</v>
      </c>
      <c r="X752" s="46">
        <f t="shared" si="41"/>
        <v>12.194343124969807</v>
      </c>
    </row>
    <row r="753" spans="1:24" s="4" customFormat="1" ht="15" customHeight="1">
      <c r="A753" s="28" t="s">
        <v>1109</v>
      </c>
      <c r="B753" s="29">
        <v>3106.0650000000001</v>
      </c>
      <c r="C753" s="30" t="s">
        <v>1171</v>
      </c>
      <c r="D753" s="2">
        <v>4948711426</v>
      </c>
      <c r="E753" s="2" t="s">
        <v>21</v>
      </c>
      <c r="F753" s="2" t="s">
        <v>1172</v>
      </c>
      <c r="G753" s="28" t="s">
        <v>5</v>
      </c>
      <c r="H753" s="2" t="s">
        <v>20</v>
      </c>
      <c r="I753" s="2">
        <v>1</v>
      </c>
      <c r="J753" s="2" t="s">
        <v>1173</v>
      </c>
      <c r="K753" s="2">
        <f>7434+14868</f>
        <v>22302</v>
      </c>
      <c r="L753" s="35">
        <f t="shared" si="39"/>
        <v>69271461.629999995</v>
      </c>
      <c r="M753" s="36">
        <f>6300+12600</f>
        <v>18900</v>
      </c>
      <c r="N753" s="40">
        <v>466505</v>
      </c>
      <c r="O753" s="40">
        <v>295292</v>
      </c>
      <c r="P753" s="40">
        <v>376255</v>
      </c>
      <c r="Q753" s="40">
        <v>103666</v>
      </c>
      <c r="R753" s="40">
        <v>677483</v>
      </c>
      <c r="S753" s="40">
        <v>354356</v>
      </c>
      <c r="T753" s="40"/>
      <c r="U753" s="40">
        <v>0</v>
      </c>
      <c r="V753" s="40">
        <v>0</v>
      </c>
      <c r="W753" s="45">
        <f t="shared" si="40"/>
        <v>2273557</v>
      </c>
      <c r="X753" s="46">
        <f t="shared" si="41"/>
        <v>3.2820976293870645</v>
      </c>
    </row>
    <row r="754" spans="1:24" s="4" customFormat="1" ht="15" customHeight="1">
      <c r="A754" s="28" t="s">
        <v>1109</v>
      </c>
      <c r="B754" s="29">
        <v>3106.0650000000001</v>
      </c>
      <c r="C754" s="30" t="s">
        <v>1174</v>
      </c>
      <c r="D754" s="2">
        <v>4948242183</v>
      </c>
      <c r="E754" s="2" t="s">
        <v>14</v>
      </c>
      <c r="F754" s="78" t="s">
        <v>1175</v>
      </c>
      <c r="G754" s="28" t="s">
        <v>9</v>
      </c>
      <c r="H754" s="2" t="s">
        <v>23</v>
      </c>
      <c r="I754" s="2">
        <v>1</v>
      </c>
      <c r="J754" s="2"/>
      <c r="K754" s="2">
        <v>4878.6000000000004</v>
      </c>
      <c r="L754" s="35">
        <f t="shared" si="39"/>
        <v>15153248.709000001</v>
      </c>
      <c r="M754" s="36">
        <v>940</v>
      </c>
      <c r="N754" s="40">
        <v>468129</v>
      </c>
      <c r="O754" s="40">
        <v>621</v>
      </c>
      <c r="P754" s="40">
        <v>0</v>
      </c>
      <c r="Q754" s="40">
        <v>15240</v>
      </c>
      <c r="R754" s="40">
        <v>93494</v>
      </c>
      <c r="S754" s="40">
        <v>354356</v>
      </c>
      <c r="T754" s="37">
        <v>30000</v>
      </c>
      <c r="U754" s="40">
        <v>691203.22580645198</v>
      </c>
      <c r="V754" s="40">
        <v>0</v>
      </c>
      <c r="W754" s="45">
        <f t="shared" si="40"/>
        <v>1653043.2258064519</v>
      </c>
      <c r="X754" s="46">
        <f t="shared" si="41"/>
        <v>10.908837157966374</v>
      </c>
    </row>
    <row r="755" spans="1:24" s="4" customFormat="1" ht="15" customHeight="1">
      <c r="A755" s="28" t="s">
        <v>1109</v>
      </c>
      <c r="B755" s="29">
        <v>3106.0650000000001</v>
      </c>
      <c r="C755" s="30" t="s">
        <v>1176</v>
      </c>
      <c r="D755" s="2">
        <v>4948830216</v>
      </c>
      <c r="E755" s="2" t="s">
        <v>14</v>
      </c>
      <c r="F755" s="78" t="s">
        <v>1177</v>
      </c>
      <c r="G755" s="28" t="s">
        <v>5</v>
      </c>
      <c r="H755" s="2" t="s">
        <v>17</v>
      </c>
      <c r="I755" s="2">
        <v>1</v>
      </c>
      <c r="J755" s="2" t="s">
        <v>1178</v>
      </c>
      <c r="K755" s="2">
        <v>951.6</v>
      </c>
      <c r="L755" s="35">
        <f t="shared" si="39"/>
        <v>2955731.4539999999</v>
      </c>
      <c r="M755" s="36">
        <v>120</v>
      </c>
      <c r="N755" s="40">
        <v>3056.0570488206299</v>
      </c>
      <c r="O755" s="40">
        <v>2721.26165660998</v>
      </c>
      <c r="P755" s="40">
        <v>0</v>
      </c>
      <c r="Q755" s="40">
        <v>653.70707624794295</v>
      </c>
      <c r="R755" s="40">
        <f>4454.1524958859+1317</f>
        <v>5771.1524958859</v>
      </c>
      <c r="S755" s="40">
        <v>2332.5682940208399</v>
      </c>
      <c r="T755" s="37">
        <v>30000</v>
      </c>
      <c r="U755" s="40">
        <v>37129.237520570503</v>
      </c>
      <c r="V755" s="40">
        <v>0</v>
      </c>
      <c r="W755" s="45">
        <f t="shared" si="40"/>
        <v>81663.984092155792</v>
      </c>
      <c r="X755" s="46">
        <f t="shared" si="41"/>
        <v>2.7629026981338134</v>
      </c>
    </row>
    <row r="756" spans="1:24" s="4" customFormat="1" ht="15" customHeight="1">
      <c r="A756" s="28" t="s">
        <v>1109</v>
      </c>
      <c r="B756" s="29">
        <v>3106.0650000000001</v>
      </c>
      <c r="C756" s="30" t="s">
        <v>1176</v>
      </c>
      <c r="D756" s="2">
        <v>4948774454</v>
      </c>
      <c r="E756" s="2" t="s">
        <v>14</v>
      </c>
      <c r="F756" s="78" t="s">
        <v>1177</v>
      </c>
      <c r="G756" s="28" t="s">
        <v>5</v>
      </c>
      <c r="H756" s="2" t="s">
        <v>17</v>
      </c>
      <c r="I756" s="2">
        <v>1</v>
      </c>
      <c r="J756" s="2" t="s">
        <v>1178</v>
      </c>
      <c r="K756" s="2">
        <v>5342.4</v>
      </c>
      <c r="L756" s="35">
        <f t="shared" si="39"/>
        <v>16593841.655999999</v>
      </c>
      <c r="M756" s="36">
        <v>1260</v>
      </c>
      <c r="N756" s="40">
        <v>32088.5990126166</v>
      </c>
      <c r="O756" s="40">
        <v>28573.2473944048</v>
      </c>
      <c r="P756" s="40">
        <v>0</v>
      </c>
      <c r="Q756" s="40">
        <v>6863.9243006034003</v>
      </c>
      <c r="R756" s="40">
        <f>46768.601206802+13823</f>
        <v>60591.601206801999</v>
      </c>
      <c r="S756" s="40">
        <v>24491.967087218902</v>
      </c>
      <c r="T756" s="37">
        <v>30000</v>
      </c>
      <c r="U756" s="40">
        <v>389856.99396599003</v>
      </c>
      <c r="V756" s="40">
        <v>0</v>
      </c>
      <c r="W756" s="45">
        <f t="shared" si="40"/>
        <v>572466.33296763571</v>
      </c>
      <c r="X756" s="46">
        <f t="shared" si="41"/>
        <v>3.4498722166644478</v>
      </c>
    </row>
    <row r="757" spans="1:24" s="4" customFormat="1" ht="15" customHeight="1">
      <c r="A757" s="28" t="s">
        <v>1109</v>
      </c>
      <c r="B757" s="29">
        <v>3106.0650000000001</v>
      </c>
      <c r="C757" s="30" t="s">
        <v>1176</v>
      </c>
      <c r="D757" s="2">
        <v>4948830216</v>
      </c>
      <c r="E757" s="2" t="s">
        <v>14</v>
      </c>
      <c r="F757" s="78" t="s">
        <v>1177</v>
      </c>
      <c r="G757" s="28" t="s">
        <v>5</v>
      </c>
      <c r="H757" s="2" t="s">
        <v>17</v>
      </c>
      <c r="I757" s="2">
        <v>1</v>
      </c>
      <c r="J757" s="2" t="s">
        <v>1178</v>
      </c>
      <c r="K757" s="2">
        <v>2884</v>
      </c>
      <c r="L757" s="35">
        <f t="shared" si="39"/>
        <v>8957891.4600000009</v>
      </c>
      <c r="M757" s="36">
        <v>700</v>
      </c>
      <c r="N757" s="40">
        <v>17826.999451453601</v>
      </c>
      <c r="O757" s="40">
        <v>15874.0263302249</v>
      </c>
      <c r="P757" s="40">
        <v>0</v>
      </c>
      <c r="Q757" s="40">
        <v>3813.2912781129999</v>
      </c>
      <c r="R757" s="40">
        <v>33662.556226001099</v>
      </c>
      <c r="S757" s="40">
        <v>13606.6483817883</v>
      </c>
      <c r="T757" s="37">
        <v>30000</v>
      </c>
      <c r="U757" s="40">
        <v>216587.21886999501</v>
      </c>
      <c r="V757" s="40">
        <v>0</v>
      </c>
      <c r="W757" s="45">
        <f t="shared" si="40"/>
        <v>331370.74053757591</v>
      </c>
      <c r="X757" s="46">
        <f t="shared" si="41"/>
        <v>3.6992046846878837</v>
      </c>
    </row>
    <row r="758" spans="1:24" s="4" customFormat="1" ht="15" customHeight="1">
      <c r="A758" s="28" t="s">
        <v>1109</v>
      </c>
      <c r="B758" s="29">
        <v>3106.0650000000001</v>
      </c>
      <c r="C758" s="30" t="s">
        <v>1176</v>
      </c>
      <c r="D758" s="2">
        <v>4948828040</v>
      </c>
      <c r="E758" s="2" t="s">
        <v>14</v>
      </c>
      <c r="F758" s="78" t="s">
        <v>1177</v>
      </c>
      <c r="G758" s="28" t="s">
        <v>5</v>
      </c>
      <c r="H758" s="2" t="s">
        <v>17</v>
      </c>
      <c r="I758" s="2">
        <v>1</v>
      </c>
      <c r="J758" s="2" t="s">
        <v>1178</v>
      </c>
      <c r="K758" s="2">
        <v>2226.8000000000002</v>
      </c>
      <c r="L758" s="35">
        <f t="shared" si="39"/>
        <v>6916585.5420000004</v>
      </c>
      <c r="M758" s="36">
        <v>760</v>
      </c>
      <c r="N758" s="40">
        <v>19355.027975863999</v>
      </c>
      <c r="O758" s="40">
        <v>17234.657158529899</v>
      </c>
      <c r="P758" s="40">
        <v>0</v>
      </c>
      <c r="Q758" s="40">
        <v>4140.1448162369697</v>
      </c>
      <c r="R758" s="40">
        <v>36547.632473944002</v>
      </c>
      <c r="S758" s="40">
        <v>14772.932528798699</v>
      </c>
      <c r="T758" s="37">
        <v>30000</v>
      </c>
      <c r="U758" s="40">
        <v>235151.83763028</v>
      </c>
      <c r="V758" s="40">
        <v>0</v>
      </c>
      <c r="W758" s="45">
        <f t="shared" si="40"/>
        <v>357202.23258365359</v>
      </c>
      <c r="X758" s="46">
        <f t="shared" si="41"/>
        <v>5.1644302006328537</v>
      </c>
    </row>
    <row r="759" spans="1:24" s="4" customFormat="1" ht="15" customHeight="1">
      <c r="A759" s="28" t="s">
        <v>1109</v>
      </c>
      <c r="B759" s="29">
        <v>3106.0650000000001</v>
      </c>
      <c r="C759" s="30" t="s">
        <v>1176</v>
      </c>
      <c r="D759" s="2">
        <v>4948494946</v>
      </c>
      <c r="E759" s="2" t="s">
        <v>14</v>
      </c>
      <c r="F759" s="78" t="s">
        <v>1177</v>
      </c>
      <c r="G759" s="28" t="s">
        <v>5</v>
      </c>
      <c r="H759" s="2" t="s">
        <v>17</v>
      </c>
      <c r="I759" s="2">
        <v>1</v>
      </c>
      <c r="J759" s="2" t="s">
        <v>1178</v>
      </c>
      <c r="K759" s="2">
        <v>4888.8</v>
      </c>
      <c r="L759" s="35">
        <f t="shared" si="39"/>
        <v>15184930.572000001</v>
      </c>
      <c r="M759" s="36">
        <v>1260</v>
      </c>
      <c r="N759" s="40">
        <v>32088.5990126166</v>
      </c>
      <c r="O759" s="40">
        <v>28573.2473944048</v>
      </c>
      <c r="P759" s="40">
        <v>0</v>
      </c>
      <c r="Q759" s="40">
        <v>6863.9243006034003</v>
      </c>
      <c r="R759" s="40">
        <f>46768.601206802+13823</f>
        <v>60591.601206801999</v>
      </c>
      <c r="S759" s="40">
        <v>24491.967087218902</v>
      </c>
      <c r="T759" s="37">
        <v>30000</v>
      </c>
      <c r="U759" s="40">
        <v>389856.99396599003</v>
      </c>
      <c r="V759" s="40">
        <v>0</v>
      </c>
      <c r="W759" s="45">
        <f t="shared" si="40"/>
        <v>572466.33296763571</v>
      </c>
      <c r="X759" s="46">
        <f t="shared" si="41"/>
        <v>3.7699634532621795</v>
      </c>
    </row>
    <row r="760" spans="1:24" s="4" customFormat="1" ht="15" customHeight="1">
      <c r="A760" s="28" t="s">
        <v>1109</v>
      </c>
      <c r="B760" s="29">
        <v>3106.0650000000001</v>
      </c>
      <c r="C760" s="30" t="s">
        <v>1176</v>
      </c>
      <c r="D760" s="2">
        <v>4948242153</v>
      </c>
      <c r="E760" s="2" t="s">
        <v>14</v>
      </c>
      <c r="F760" s="78" t="s">
        <v>1177</v>
      </c>
      <c r="G760" s="28" t="s">
        <v>5</v>
      </c>
      <c r="H760" s="2" t="s">
        <v>17</v>
      </c>
      <c r="I760" s="2">
        <v>1</v>
      </c>
      <c r="J760" s="2" t="s">
        <v>1178</v>
      </c>
      <c r="K760" s="2">
        <v>3259.2</v>
      </c>
      <c r="L760" s="35">
        <f t="shared" si="39"/>
        <v>10123287.048</v>
      </c>
      <c r="M760" s="36">
        <v>840</v>
      </c>
      <c r="N760" s="40">
        <v>21392.3993417444</v>
      </c>
      <c r="O760" s="40">
        <v>19048.831596269902</v>
      </c>
      <c r="P760" s="40">
        <v>0</v>
      </c>
      <c r="Q760" s="40">
        <v>4575.9495337356002</v>
      </c>
      <c r="R760" s="40">
        <f>31179.0674712012+9216</f>
        <v>40395.067471201197</v>
      </c>
      <c r="S760" s="40">
        <v>16327.9780581459</v>
      </c>
      <c r="T760" s="37">
        <v>30000</v>
      </c>
      <c r="U760" s="40">
        <v>259904.66264399301</v>
      </c>
      <c r="V760" s="40">
        <v>0</v>
      </c>
      <c r="W760" s="45">
        <f t="shared" si="40"/>
        <v>391644.88864509005</v>
      </c>
      <c r="X760" s="46">
        <f t="shared" si="41"/>
        <v>3.8687521828442581</v>
      </c>
    </row>
    <row r="761" spans="1:24" s="4" customFormat="1" ht="15" customHeight="1">
      <c r="A761" s="28" t="s">
        <v>1109</v>
      </c>
      <c r="B761" s="29">
        <v>3106.0650000000001</v>
      </c>
      <c r="C761" s="30" t="s">
        <v>1176</v>
      </c>
      <c r="D761" s="2">
        <v>4948242199</v>
      </c>
      <c r="E761" s="2" t="s">
        <v>14</v>
      </c>
      <c r="F761" s="78" t="s">
        <v>1177</v>
      </c>
      <c r="G761" s="28" t="s">
        <v>5</v>
      </c>
      <c r="H761" s="2" t="s">
        <v>17</v>
      </c>
      <c r="I761" s="2">
        <v>1</v>
      </c>
      <c r="J761" s="2" t="s">
        <v>1178</v>
      </c>
      <c r="K761" s="2">
        <v>3259.2</v>
      </c>
      <c r="L761" s="35">
        <f t="shared" si="39"/>
        <v>10123287.048</v>
      </c>
      <c r="M761" s="36">
        <v>840</v>
      </c>
      <c r="N761" s="40">
        <v>21392.3993417444</v>
      </c>
      <c r="O761" s="40">
        <v>19048.831596269902</v>
      </c>
      <c r="P761" s="40">
        <v>0</v>
      </c>
      <c r="Q761" s="40">
        <v>4575.9495337356002</v>
      </c>
      <c r="R761" s="40">
        <f>31179.0674712012+9216</f>
        <v>40395.067471201197</v>
      </c>
      <c r="S761" s="40">
        <v>16327.9780581459</v>
      </c>
      <c r="T761" s="37">
        <v>30000</v>
      </c>
      <c r="U761" s="40">
        <v>259904.66264399301</v>
      </c>
      <c r="V761" s="40">
        <v>0</v>
      </c>
      <c r="W761" s="45">
        <f t="shared" si="40"/>
        <v>391644.88864509005</v>
      </c>
      <c r="X761" s="46">
        <f t="shared" si="41"/>
        <v>3.8687521828442581</v>
      </c>
    </row>
    <row r="762" spans="1:24" s="4" customFormat="1" ht="15" customHeight="1">
      <c r="A762" s="28" t="s">
        <v>1109</v>
      </c>
      <c r="B762" s="29">
        <v>3106.0650000000001</v>
      </c>
      <c r="C762" s="30" t="s">
        <v>1176</v>
      </c>
      <c r="D762" s="2">
        <v>4948828049</v>
      </c>
      <c r="E762" s="2" t="s">
        <v>14</v>
      </c>
      <c r="F762" s="78" t="s">
        <v>1177</v>
      </c>
      <c r="G762" s="28" t="s">
        <v>5</v>
      </c>
      <c r="H762" s="2" t="s">
        <v>17</v>
      </c>
      <c r="I762" s="2">
        <v>1</v>
      </c>
      <c r="J762" s="2" t="s">
        <v>1178</v>
      </c>
      <c r="K762" s="2">
        <v>10038</v>
      </c>
      <c r="L762" s="35">
        <f t="shared" si="39"/>
        <v>31178680.469999999</v>
      </c>
      <c r="M762" s="36">
        <v>4200</v>
      </c>
      <c r="N762" s="40">
        <v>106961.996708722</v>
      </c>
      <c r="O762" s="40">
        <v>95244.157981349403</v>
      </c>
      <c r="P762" s="40">
        <v>0</v>
      </c>
      <c r="Q762" s="40">
        <v>22879.747668677999</v>
      </c>
      <c r="R762" s="40">
        <f>155895.337356007+46078</f>
        <v>201973.33735600699</v>
      </c>
      <c r="S762" s="40">
        <v>81639.8902907296</v>
      </c>
      <c r="T762" s="37">
        <v>30000</v>
      </c>
      <c r="U762" s="40">
        <v>1299523.3132199701</v>
      </c>
      <c r="V762" s="40">
        <v>0</v>
      </c>
      <c r="W762" s="45">
        <f t="shared" si="40"/>
        <v>1838222.4432254559</v>
      </c>
      <c r="X762" s="46">
        <f t="shared" si="41"/>
        <v>5.8957672855789589</v>
      </c>
    </row>
    <row r="763" spans="1:24" s="4" customFormat="1" ht="15" customHeight="1">
      <c r="A763" s="28" t="s">
        <v>1109</v>
      </c>
      <c r="B763" s="29">
        <v>3106.0650000000001</v>
      </c>
      <c r="C763" s="30" t="s">
        <v>1176</v>
      </c>
      <c r="D763" s="2">
        <v>4948892171</v>
      </c>
      <c r="E763" s="2" t="s">
        <v>14</v>
      </c>
      <c r="F763" s="78" t="s">
        <v>1177</v>
      </c>
      <c r="G763" s="28" t="s">
        <v>5</v>
      </c>
      <c r="H763" s="2" t="s">
        <v>17</v>
      </c>
      <c r="I763" s="2">
        <v>1</v>
      </c>
      <c r="J763" s="2" t="s">
        <v>1178</v>
      </c>
      <c r="K763" s="2">
        <v>6975</v>
      </c>
      <c r="L763" s="35">
        <f t="shared" si="39"/>
        <v>21664803.375</v>
      </c>
      <c r="M763" s="36">
        <v>2250</v>
      </c>
      <c r="N763" s="40">
        <v>57301.069665386698</v>
      </c>
      <c r="O763" s="40">
        <v>51023.656061437199</v>
      </c>
      <c r="P763" s="40">
        <v>0</v>
      </c>
      <c r="Q763" s="40">
        <v>12257.007679648899</v>
      </c>
      <c r="R763" s="40">
        <f>83515.3592978607+24685</f>
        <v>108200.3592978607</v>
      </c>
      <c r="S763" s="40">
        <v>43735.6555128908</v>
      </c>
      <c r="T763" s="37">
        <v>30000</v>
      </c>
      <c r="U763" s="40">
        <v>696173.203510697</v>
      </c>
      <c r="V763" s="40">
        <v>0</v>
      </c>
      <c r="W763" s="45">
        <f t="shared" si="40"/>
        <v>998690.95172792138</v>
      </c>
      <c r="X763" s="46">
        <f t="shared" si="41"/>
        <v>4.6097392828423089</v>
      </c>
    </row>
    <row r="764" spans="1:24" s="4" customFormat="1" ht="15" customHeight="1">
      <c r="A764" s="28" t="s">
        <v>1109</v>
      </c>
      <c r="B764" s="29">
        <v>3106.0650000000001</v>
      </c>
      <c r="C764" s="30" t="s">
        <v>1176</v>
      </c>
      <c r="D764" s="2">
        <v>4948828033</v>
      </c>
      <c r="E764" s="2" t="s">
        <v>14</v>
      </c>
      <c r="F764" s="78" t="s">
        <v>1177</v>
      </c>
      <c r="G764" s="28" t="s">
        <v>5</v>
      </c>
      <c r="H764" s="2" t="s">
        <v>17</v>
      </c>
      <c r="I764" s="2">
        <v>1</v>
      </c>
      <c r="J764" s="2" t="s">
        <v>1178</v>
      </c>
      <c r="K764" s="2">
        <v>21168</v>
      </c>
      <c r="L764" s="35">
        <f t="shared" si="39"/>
        <v>65749183.920000002</v>
      </c>
      <c r="M764" s="36">
        <f>2400+1200+2000</f>
        <v>5600</v>
      </c>
      <c r="N764" s="40">
        <v>142615.99561162901</v>
      </c>
      <c r="O764" s="40">
        <v>126992.210641799</v>
      </c>
      <c r="P764" s="40">
        <v>0</v>
      </c>
      <c r="Q764" s="40">
        <v>30506.330224903999</v>
      </c>
      <c r="R764" s="40">
        <f>207860.449808009+61437</f>
        <v>269297.44980800897</v>
      </c>
      <c r="S764" s="40">
        <v>108853.18705430601</v>
      </c>
      <c r="T764" s="37">
        <v>30000</v>
      </c>
      <c r="U764" s="40">
        <v>1732697.75095996</v>
      </c>
      <c r="V764" s="40">
        <v>0</v>
      </c>
      <c r="W764" s="45">
        <f t="shared" si="40"/>
        <v>2440962.9243006073</v>
      </c>
      <c r="X764" s="46">
        <f t="shared" si="41"/>
        <v>3.7125372191244796</v>
      </c>
    </row>
    <row r="765" spans="1:24" s="4" customFormat="1" ht="15" customHeight="1">
      <c r="A765" s="28" t="s">
        <v>1109</v>
      </c>
      <c r="B765" s="29">
        <v>3106.0650000000001</v>
      </c>
      <c r="C765" s="30" t="s">
        <v>1176</v>
      </c>
      <c r="D765" s="2">
        <v>4948771043</v>
      </c>
      <c r="E765" s="2" t="s">
        <v>14</v>
      </c>
      <c r="F765" s="78" t="s">
        <v>1177</v>
      </c>
      <c r="G765" s="28" t="s">
        <v>5</v>
      </c>
      <c r="H765" s="2" t="s">
        <v>17</v>
      </c>
      <c r="I765" s="2">
        <v>1</v>
      </c>
      <c r="J765" s="2" t="s">
        <v>1178</v>
      </c>
      <c r="K765" s="2">
        <v>7304</v>
      </c>
      <c r="L765" s="35">
        <f t="shared" si="39"/>
        <v>22686698.760000002</v>
      </c>
      <c r="M765" s="36">
        <v>400</v>
      </c>
      <c r="N765" s="40">
        <v>10186.856829402101</v>
      </c>
      <c r="O765" s="40">
        <v>9070.8721886999392</v>
      </c>
      <c r="P765" s="40">
        <v>0</v>
      </c>
      <c r="Q765" s="40">
        <v>2179.02358749314</v>
      </c>
      <c r="R765" s="40">
        <v>19235.1749862863</v>
      </c>
      <c r="S765" s="40">
        <v>7775.2276467361498</v>
      </c>
      <c r="T765" s="37">
        <v>30000</v>
      </c>
      <c r="U765" s="40">
        <v>123764.125068568</v>
      </c>
      <c r="V765" s="40">
        <v>0</v>
      </c>
      <c r="W765" s="45">
        <f t="shared" si="40"/>
        <v>202211.28030718563</v>
      </c>
      <c r="X765" s="46">
        <f t="shared" si="41"/>
        <v>0.89132086799562915</v>
      </c>
    </row>
    <row r="766" spans="1:24" s="4" customFormat="1" ht="15" customHeight="1">
      <c r="A766" s="28" t="s">
        <v>1109</v>
      </c>
      <c r="B766" s="29">
        <v>3106.0650000000001</v>
      </c>
      <c r="C766" s="30" t="s">
        <v>1179</v>
      </c>
      <c r="D766" s="2">
        <v>4948775102</v>
      </c>
      <c r="E766" s="2" t="s">
        <v>14</v>
      </c>
      <c r="F766" s="2" t="s">
        <v>1180</v>
      </c>
      <c r="G766" s="28" t="s">
        <v>9</v>
      </c>
      <c r="H766" s="2" t="s">
        <v>23</v>
      </c>
      <c r="I766" s="2">
        <v>3</v>
      </c>
      <c r="J766" s="2"/>
      <c r="K766" s="2">
        <v>2552</v>
      </c>
      <c r="L766" s="35">
        <f t="shared" si="39"/>
        <v>7926677.8799999999</v>
      </c>
      <c r="M766" s="36">
        <v>800</v>
      </c>
      <c r="N766" s="40">
        <v>271587.31707317103</v>
      </c>
      <c r="O766" s="40">
        <v>531.21951219512198</v>
      </c>
      <c r="P766" s="40">
        <v>0</v>
      </c>
      <c r="Q766" s="40">
        <v>13104.8780487805</v>
      </c>
      <c r="R766" s="40">
        <v>55586.341463414603</v>
      </c>
      <c r="S766" s="40">
        <v>172856.585365854</v>
      </c>
      <c r="T766" s="37">
        <v>30000</v>
      </c>
      <c r="U766" s="40">
        <v>417100</v>
      </c>
      <c r="V766" s="40">
        <v>0</v>
      </c>
      <c r="W766" s="45">
        <f t="shared" si="40"/>
        <v>960766.34146341518</v>
      </c>
      <c r="X766" s="46">
        <f t="shared" si="41"/>
        <v>12.120668406212758</v>
      </c>
    </row>
    <row r="767" spans="1:24" s="4" customFormat="1" ht="15" customHeight="1">
      <c r="A767" s="28" t="s">
        <v>1109</v>
      </c>
      <c r="B767" s="29">
        <v>3106.0650000000001</v>
      </c>
      <c r="C767" s="30" t="s">
        <v>1179</v>
      </c>
      <c r="D767" s="2">
        <v>4948830238</v>
      </c>
      <c r="E767" s="2" t="s">
        <v>14</v>
      </c>
      <c r="F767" s="2" t="s">
        <v>1180</v>
      </c>
      <c r="G767" s="28" t="s">
        <v>9</v>
      </c>
      <c r="H767" s="2" t="s">
        <v>23</v>
      </c>
      <c r="I767" s="2">
        <v>3</v>
      </c>
      <c r="J767" s="2"/>
      <c r="K767" s="2">
        <v>4141.2</v>
      </c>
      <c r="L767" s="35">
        <f t="shared" si="39"/>
        <v>12862836.378</v>
      </c>
      <c r="M767" s="36">
        <v>840</v>
      </c>
      <c r="N767" s="40">
        <v>285166.68292682897</v>
      </c>
      <c r="O767" s="40">
        <v>557.78048780487802</v>
      </c>
      <c r="P767" s="40">
        <v>0</v>
      </c>
      <c r="Q767" s="40">
        <v>13760.1219512195</v>
      </c>
      <c r="R767" s="40">
        <v>58365.658536585397</v>
      </c>
      <c r="S767" s="40">
        <v>181499.414634146</v>
      </c>
      <c r="T767" s="37">
        <v>30000</v>
      </c>
      <c r="U767" s="40">
        <v>252200</v>
      </c>
      <c r="V767" s="40">
        <v>0</v>
      </c>
      <c r="W767" s="45">
        <f t="shared" si="40"/>
        <v>821549.65853658482</v>
      </c>
      <c r="X767" s="46">
        <f t="shared" si="41"/>
        <v>6.3870023250993491</v>
      </c>
    </row>
    <row r="768" spans="1:24" s="4" customFormat="1" ht="15" customHeight="1">
      <c r="A768" s="28" t="s">
        <v>1109</v>
      </c>
      <c r="B768" s="29">
        <v>3106.0650000000001</v>
      </c>
      <c r="C768" s="30" t="s">
        <v>1181</v>
      </c>
      <c r="D768" s="2">
        <v>4949100395</v>
      </c>
      <c r="E768" s="2" t="s">
        <v>24</v>
      </c>
      <c r="F768" s="78" t="s">
        <v>1182</v>
      </c>
      <c r="G768" s="28" t="s">
        <v>9</v>
      </c>
      <c r="H768" s="2" t="s">
        <v>23</v>
      </c>
      <c r="I768" s="2">
        <v>2</v>
      </c>
      <c r="J768" s="2"/>
      <c r="K768" s="2">
        <v>7601.4</v>
      </c>
      <c r="L768" s="35">
        <f t="shared" si="39"/>
        <v>23610442.491</v>
      </c>
      <c r="M768" s="36">
        <v>1230</v>
      </c>
      <c r="N768" s="40">
        <v>670644</v>
      </c>
      <c r="O768" s="40">
        <v>867</v>
      </c>
      <c r="P768" s="40">
        <v>0</v>
      </c>
      <c r="Q768" s="40">
        <v>21364</v>
      </c>
      <c r="R768" s="40">
        <v>105661</v>
      </c>
      <c r="S768" s="40">
        <v>354356</v>
      </c>
      <c r="T768" s="40"/>
      <c r="U768" s="40">
        <v>845362.31155778898</v>
      </c>
      <c r="V768" s="40">
        <v>0</v>
      </c>
      <c r="W768" s="45">
        <f t="shared" si="40"/>
        <v>1998254.3115577889</v>
      </c>
      <c r="X768" s="46">
        <f t="shared" si="41"/>
        <v>8.4634343990778564</v>
      </c>
    </row>
    <row r="769" spans="1:24" s="4" customFormat="1" ht="15" customHeight="1">
      <c r="A769" s="28" t="s">
        <v>1109</v>
      </c>
      <c r="B769" s="29">
        <v>3106.0650000000001</v>
      </c>
      <c r="C769" s="30" t="s">
        <v>1183</v>
      </c>
      <c r="D769" s="2">
        <v>4948892170</v>
      </c>
      <c r="E769" s="2" t="s">
        <v>14</v>
      </c>
      <c r="F769" s="2" t="s">
        <v>1184</v>
      </c>
      <c r="G769" s="28" t="s">
        <v>5</v>
      </c>
      <c r="H769" s="2" t="s">
        <v>20</v>
      </c>
      <c r="I769" s="2">
        <v>1</v>
      </c>
      <c r="J769" s="2" t="s">
        <v>1185</v>
      </c>
      <c r="K769" s="2">
        <v>16692</v>
      </c>
      <c r="L769" s="35">
        <f t="shared" si="39"/>
        <v>51846436.980000004</v>
      </c>
      <c r="M769" s="36">
        <v>15600</v>
      </c>
      <c r="N769" s="40">
        <v>465789</v>
      </c>
      <c r="O769" s="40">
        <v>315124</v>
      </c>
      <c r="P769" s="40">
        <v>0</v>
      </c>
      <c r="Q769" s="40">
        <v>99309</v>
      </c>
      <c r="R769" s="40">
        <v>727270</v>
      </c>
      <c r="S769" s="40">
        <v>354356</v>
      </c>
      <c r="T769" s="37">
        <v>30000</v>
      </c>
      <c r="U769" s="40">
        <v>3428500</v>
      </c>
      <c r="V769" s="40">
        <v>0</v>
      </c>
      <c r="W769" s="45">
        <f t="shared" si="40"/>
        <v>5420348</v>
      </c>
      <c r="X769" s="46">
        <f t="shared" si="41"/>
        <v>10.454620058251878</v>
      </c>
    </row>
    <row r="770" spans="1:24" s="4" customFormat="1" ht="15" customHeight="1">
      <c r="A770" s="28" t="s">
        <v>1109</v>
      </c>
      <c r="B770" s="29">
        <v>3106.0650000000001</v>
      </c>
      <c r="C770" s="30" t="s">
        <v>1186</v>
      </c>
      <c r="D770" s="2">
        <v>4947010964</v>
      </c>
      <c r="E770" s="2" t="s">
        <v>6</v>
      </c>
      <c r="F770" s="2" t="s">
        <v>1187</v>
      </c>
      <c r="G770" s="28" t="s">
        <v>9</v>
      </c>
      <c r="H770" s="2" t="s">
        <v>23</v>
      </c>
      <c r="I770" s="2">
        <v>3</v>
      </c>
      <c r="J770" s="2"/>
      <c r="K770" s="2">
        <v>18270</v>
      </c>
      <c r="L770" s="35">
        <f t="shared" si="39"/>
        <v>56747807.550000004</v>
      </c>
      <c r="M770" s="36">
        <v>1980</v>
      </c>
      <c r="N770" s="40">
        <v>741426</v>
      </c>
      <c r="O770" s="40">
        <v>2751</v>
      </c>
      <c r="P770" s="40">
        <v>210280</v>
      </c>
      <c r="Q770" s="40">
        <v>42657</v>
      </c>
      <c r="R770" s="40">
        <v>256188</v>
      </c>
      <c r="S770" s="40">
        <v>354356</v>
      </c>
      <c r="T770" s="37">
        <v>30000</v>
      </c>
      <c r="U770" s="40">
        <v>1367700</v>
      </c>
      <c r="V770" s="40">
        <v>0</v>
      </c>
      <c r="W770" s="45">
        <f t="shared" si="40"/>
        <v>3005358</v>
      </c>
      <c r="X770" s="46">
        <f t="shared" si="41"/>
        <v>5.2959896245366043</v>
      </c>
    </row>
    <row r="771" spans="1:24" s="4" customFormat="1" ht="15" customHeight="1">
      <c r="A771" s="28" t="s">
        <v>1109</v>
      </c>
      <c r="B771" s="29">
        <v>3106.0650000000001</v>
      </c>
      <c r="C771" s="30" t="s">
        <v>1188</v>
      </c>
      <c r="D771" s="2">
        <v>4948828046</v>
      </c>
      <c r="E771" s="2" t="s">
        <v>14</v>
      </c>
      <c r="F771" s="2" t="s">
        <v>1189</v>
      </c>
      <c r="G771" s="28" t="s">
        <v>5</v>
      </c>
      <c r="H771" s="2" t="s">
        <v>17</v>
      </c>
      <c r="I771" s="2">
        <v>1</v>
      </c>
      <c r="J771" s="2" t="s">
        <v>1190</v>
      </c>
      <c r="K771" s="2">
        <v>12780</v>
      </c>
      <c r="L771" s="35">
        <f t="shared" si="39"/>
        <v>39695510.700000003</v>
      </c>
      <c r="M771" s="36">
        <v>9000</v>
      </c>
      <c r="N771" s="40">
        <v>221219.05013192599</v>
      </c>
      <c r="O771" s="40">
        <v>196340.105540897</v>
      </c>
      <c r="P771" s="40">
        <v>0</v>
      </c>
      <c r="Q771" s="40">
        <v>47165.224274406297</v>
      </c>
      <c r="R771" s="40">
        <v>254714.24802110801</v>
      </c>
      <c r="S771" s="40">
        <v>168295.725593668</v>
      </c>
      <c r="T771" s="37">
        <v>30000</v>
      </c>
      <c r="U771" s="40">
        <v>3304923.4828495998</v>
      </c>
      <c r="V771" s="40">
        <v>0</v>
      </c>
      <c r="W771" s="45">
        <f t="shared" si="40"/>
        <v>4222657.8364116047</v>
      </c>
      <c r="X771" s="46">
        <f t="shared" si="41"/>
        <v>10.637620632530631</v>
      </c>
    </row>
    <row r="772" spans="1:24" s="4" customFormat="1" ht="15" customHeight="1">
      <c r="A772" s="28" t="s">
        <v>1109</v>
      </c>
      <c r="B772" s="29">
        <v>3106.0650000000001</v>
      </c>
      <c r="C772" s="30" t="s">
        <v>1188</v>
      </c>
      <c r="D772" s="2">
        <v>4948774494</v>
      </c>
      <c r="E772" s="2" t="s">
        <v>14</v>
      </c>
      <c r="F772" s="2" t="s">
        <v>1189</v>
      </c>
      <c r="G772" s="28" t="s">
        <v>5</v>
      </c>
      <c r="H772" s="2" t="s">
        <v>17</v>
      </c>
      <c r="I772" s="2">
        <v>1</v>
      </c>
      <c r="J772" s="2" t="s">
        <v>1190</v>
      </c>
      <c r="K772" s="2">
        <v>18792</v>
      </c>
      <c r="L772" s="35">
        <f t="shared" si="39"/>
        <v>58369173.480000004</v>
      </c>
      <c r="M772" s="36">
        <v>2400</v>
      </c>
      <c r="N772" s="40">
        <v>58991.746701846998</v>
      </c>
      <c r="O772" s="40">
        <v>52357.361477572602</v>
      </c>
      <c r="P772" s="40">
        <v>0</v>
      </c>
      <c r="Q772" s="40">
        <v>12577.393139841701</v>
      </c>
      <c r="R772" s="40">
        <v>67923.799472295505</v>
      </c>
      <c r="S772" s="40">
        <v>44878.860158311298</v>
      </c>
      <c r="T772" s="37">
        <v>30000</v>
      </c>
      <c r="U772" s="40">
        <v>881312.92875989503</v>
      </c>
      <c r="V772" s="40">
        <v>0</v>
      </c>
      <c r="W772" s="45">
        <f t="shared" si="40"/>
        <v>1148042.0897097632</v>
      </c>
      <c r="X772" s="46">
        <f t="shared" si="41"/>
        <v>1.9668637077808475</v>
      </c>
    </row>
    <row r="773" spans="1:24" s="4" customFormat="1" ht="15" customHeight="1">
      <c r="A773" s="28" t="s">
        <v>1109</v>
      </c>
      <c r="B773" s="29">
        <v>3106.0650000000001</v>
      </c>
      <c r="C773" s="30" t="s">
        <v>1188</v>
      </c>
      <c r="D773" s="2">
        <v>4948413337</v>
      </c>
      <c r="E773" s="2" t="s">
        <v>14</v>
      </c>
      <c r="F773" s="2" t="s">
        <v>1189</v>
      </c>
      <c r="G773" s="28" t="s">
        <v>5</v>
      </c>
      <c r="H773" s="2" t="s">
        <v>17</v>
      </c>
      <c r="I773" s="2">
        <v>1</v>
      </c>
      <c r="J773" s="2" t="s">
        <v>1190</v>
      </c>
      <c r="K773" s="2">
        <v>9820</v>
      </c>
      <c r="L773" s="35">
        <f t="shared" si="39"/>
        <v>30501558.300000001</v>
      </c>
      <c r="M773" s="36">
        <v>2000</v>
      </c>
      <c r="N773" s="40">
        <v>49159.788918205799</v>
      </c>
      <c r="O773" s="40">
        <v>43631.134564643799</v>
      </c>
      <c r="P773" s="40">
        <v>0</v>
      </c>
      <c r="Q773" s="40">
        <v>10481.160949868099</v>
      </c>
      <c r="R773" s="40">
        <v>56603.166226912901</v>
      </c>
      <c r="S773" s="40">
        <v>37399.050131926102</v>
      </c>
      <c r="T773" s="37">
        <v>30000</v>
      </c>
      <c r="U773" s="40">
        <v>734427.44063324505</v>
      </c>
      <c r="V773" s="40">
        <v>0</v>
      </c>
      <c r="W773" s="45">
        <f t="shared" si="40"/>
        <v>961701.74142480176</v>
      </c>
      <c r="X773" s="46">
        <f t="shared" si="41"/>
        <v>3.1529593733078278</v>
      </c>
    </row>
    <row r="774" spans="1:24" s="4" customFormat="1" ht="15" customHeight="1">
      <c r="A774" s="28" t="s">
        <v>1109</v>
      </c>
      <c r="B774" s="29">
        <v>3106.0650000000001</v>
      </c>
      <c r="C774" s="30" t="s">
        <v>1188</v>
      </c>
      <c r="D774" s="2">
        <v>4948828031</v>
      </c>
      <c r="E774" s="2" t="s">
        <v>14</v>
      </c>
      <c r="F774" s="2" t="s">
        <v>1189</v>
      </c>
      <c r="G774" s="28" t="s">
        <v>5</v>
      </c>
      <c r="H774" s="2" t="s">
        <v>17</v>
      </c>
      <c r="I774" s="2">
        <v>1</v>
      </c>
      <c r="J774" s="2" t="s">
        <v>1190</v>
      </c>
      <c r="K774" s="2">
        <v>2399</v>
      </c>
      <c r="L774" s="35">
        <f t="shared" si="39"/>
        <v>7451449.9350000005</v>
      </c>
      <c r="M774" s="36">
        <v>50</v>
      </c>
      <c r="N774" s="40">
        <v>1228.9947229551501</v>
      </c>
      <c r="O774" s="40">
        <v>1090.77836411609</v>
      </c>
      <c r="P774" s="40">
        <v>0</v>
      </c>
      <c r="Q774" s="40">
        <v>262.02902374670202</v>
      </c>
      <c r="R774" s="40">
        <v>1415.07915567282</v>
      </c>
      <c r="S774" s="40">
        <v>934.97625329815298</v>
      </c>
      <c r="T774" s="37">
        <v>30000</v>
      </c>
      <c r="U774" s="40">
        <v>18360.686015831099</v>
      </c>
      <c r="V774" s="40">
        <v>0</v>
      </c>
      <c r="W774" s="45">
        <f t="shared" si="40"/>
        <v>53292.543535620018</v>
      </c>
      <c r="X774" s="46">
        <f t="shared" si="41"/>
        <v>0.71519696167186309</v>
      </c>
    </row>
    <row r="775" spans="1:24" s="4" customFormat="1" ht="15" customHeight="1">
      <c r="A775" s="28" t="s">
        <v>1109</v>
      </c>
      <c r="B775" s="29">
        <v>3106.0650000000001</v>
      </c>
      <c r="C775" s="30" t="s">
        <v>1188</v>
      </c>
      <c r="D775" s="2">
        <v>4948951748</v>
      </c>
      <c r="E775" s="2" t="s">
        <v>14</v>
      </c>
      <c r="F775" s="2" t="s">
        <v>1189</v>
      </c>
      <c r="G775" s="28" t="s">
        <v>5</v>
      </c>
      <c r="H775" s="2" t="s">
        <v>17</v>
      </c>
      <c r="I775" s="2">
        <v>1</v>
      </c>
      <c r="J775" s="2" t="s">
        <v>1190</v>
      </c>
      <c r="K775" s="2">
        <v>46475</v>
      </c>
      <c r="L775" s="35">
        <f t="shared" si="39"/>
        <v>144354370.875</v>
      </c>
      <c r="M775" s="36">
        <v>5500</v>
      </c>
      <c r="N775" s="40">
        <v>135189.41952506601</v>
      </c>
      <c r="O775" s="40">
        <v>119985.62005277</v>
      </c>
      <c r="P775" s="40">
        <v>0</v>
      </c>
      <c r="Q775" s="40">
        <v>28823.192612137202</v>
      </c>
      <c r="R775" s="40">
        <v>155658.70712401101</v>
      </c>
      <c r="S775" s="40">
        <v>102847.387862797</v>
      </c>
      <c r="T775" s="37">
        <v>30000</v>
      </c>
      <c r="U775" s="40">
        <v>2019675.46174142</v>
      </c>
      <c r="V775" s="40">
        <v>0</v>
      </c>
      <c r="W775" s="45">
        <f t="shared" si="40"/>
        <v>2592179.7889182009</v>
      </c>
      <c r="X775" s="46">
        <f t="shared" si="41"/>
        <v>1.7957057851492653</v>
      </c>
    </row>
    <row r="776" spans="1:24" s="4" customFormat="1" ht="15" customHeight="1">
      <c r="A776" s="28" t="s">
        <v>1109</v>
      </c>
      <c r="B776" s="29">
        <v>3106.0650000000001</v>
      </c>
      <c r="C776" s="30" t="s">
        <v>1191</v>
      </c>
      <c r="D776" s="2">
        <v>4948605870</v>
      </c>
      <c r="E776" s="2" t="s">
        <v>18</v>
      </c>
      <c r="F776" s="2" t="s">
        <v>1192</v>
      </c>
      <c r="G776" s="28" t="s">
        <v>5</v>
      </c>
      <c r="H776" s="2" t="s">
        <v>20</v>
      </c>
      <c r="I776" s="2">
        <v>1</v>
      </c>
      <c r="J776" s="2" t="s">
        <v>1193</v>
      </c>
      <c r="K776" s="2">
        <f>3106.5+15532.5</f>
        <v>18639</v>
      </c>
      <c r="L776" s="35">
        <f t="shared" si="39"/>
        <v>57893945.535000004</v>
      </c>
      <c r="M776" s="36">
        <f>2850+14250</f>
        <v>17100</v>
      </c>
      <c r="N776" s="40">
        <v>321838</v>
      </c>
      <c r="O776" s="40">
        <v>315124</v>
      </c>
      <c r="P776" s="40">
        <v>0</v>
      </c>
      <c r="Q776" s="40">
        <v>99309</v>
      </c>
      <c r="R776" s="40">
        <v>638422</v>
      </c>
      <c r="S776" s="40">
        <v>354356</v>
      </c>
      <c r="T776" s="37">
        <v>30000</v>
      </c>
      <c r="U776" s="40">
        <v>3913500</v>
      </c>
      <c r="V776" s="40">
        <v>0</v>
      </c>
      <c r="W776" s="45">
        <f t="shared" si="40"/>
        <v>5672549</v>
      </c>
      <c r="X776" s="46">
        <f t="shared" si="41"/>
        <v>9.79817310355992</v>
      </c>
    </row>
    <row r="777" spans="1:24" s="4" customFormat="1" ht="15" customHeight="1">
      <c r="A777" s="28" t="s">
        <v>1109</v>
      </c>
      <c r="B777" s="29">
        <v>3106.0650000000001</v>
      </c>
      <c r="C777" s="30" t="s">
        <v>1194</v>
      </c>
      <c r="D777" s="2">
        <v>4946294193</v>
      </c>
      <c r="E777" s="2" t="s">
        <v>6</v>
      </c>
      <c r="F777" s="2" t="s">
        <v>1195</v>
      </c>
      <c r="G777" s="28" t="s">
        <v>5</v>
      </c>
      <c r="H777" s="2" t="s">
        <v>20</v>
      </c>
      <c r="I777" s="2">
        <v>1</v>
      </c>
      <c r="J777" s="2" t="s">
        <v>1196</v>
      </c>
      <c r="K777" s="2">
        <v>95744</v>
      </c>
      <c r="L777" s="35">
        <f t="shared" ref="L777:L840" si="42">B777*K777</f>
        <v>297387087.36000001</v>
      </c>
      <c r="M777" s="36">
        <v>13600</v>
      </c>
      <c r="N777" s="40">
        <v>321838</v>
      </c>
      <c r="O777" s="40">
        <v>392345</v>
      </c>
      <c r="P777" s="40">
        <v>0</v>
      </c>
      <c r="Q777" s="40">
        <v>124137</v>
      </c>
      <c r="R777" s="40">
        <v>638422</v>
      </c>
      <c r="S777" s="40">
        <v>354356</v>
      </c>
      <c r="T777" s="37">
        <v>30000</v>
      </c>
      <c r="U777" s="40">
        <v>499900</v>
      </c>
      <c r="V777" s="40">
        <v>0</v>
      </c>
      <c r="W777" s="45">
        <f t="shared" ref="W777:W840" si="43">+SUM(N777:V777)</f>
        <v>2360998</v>
      </c>
      <c r="X777" s="46">
        <f t="shared" ref="X777:X840" si="44">(W777/L777)*100</f>
        <v>0.79391409390344814</v>
      </c>
    </row>
    <row r="778" spans="1:24" s="4" customFormat="1" ht="15" customHeight="1">
      <c r="A778" s="28" t="s">
        <v>1109</v>
      </c>
      <c r="B778" s="29">
        <v>3106.0650000000001</v>
      </c>
      <c r="C778" s="30" t="s">
        <v>1197</v>
      </c>
      <c r="D778" s="2">
        <v>4947299670</v>
      </c>
      <c r="E778" s="2" t="s">
        <v>36</v>
      </c>
      <c r="F778" s="2" t="s">
        <v>1198</v>
      </c>
      <c r="G778" s="28" t="s">
        <v>5</v>
      </c>
      <c r="H778" s="2" t="s">
        <v>26</v>
      </c>
      <c r="I778" s="2">
        <v>1</v>
      </c>
      <c r="J778" s="2" t="s">
        <v>1199</v>
      </c>
      <c r="K778" s="2">
        <v>69255.570000000007</v>
      </c>
      <c r="L778" s="35">
        <f t="shared" si="42"/>
        <v>215112302.03205001</v>
      </c>
      <c r="M778" s="36">
        <v>25002.010999999999</v>
      </c>
      <c r="N778" s="40">
        <v>331180</v>
      </c>
      <c r="O778" s="40">
        <v>492801</v>
      </c>
      <c r="P778" s="40">
        <v>282231</v>
      </c>
      <c r="Q778" s="40">
        <v>108416</v>
      </c>
      <c r="R778" s="40">
        <v>955712</v>
      </c>
      <c r="S778" s="40">
        <v>343435</v>
      </c>
      <c r="T778" s="40"/>
      <c r="U778" s="40">
        <v>0</v>
      </c>
      <c r="V778" s="40">
        <v>0</v>
      </c>
      <c r="W778" s="45">
        <f t="shared" si="43"/>
        <v>2513775</v>
      </c>
      <c r="X778" s="46">
        <f t="shared" si="44"/>
        <v>1.1685872803432078</v>
      </c>
    </row>
    <row r="779" spans="1:24" s="4" customFormat="1" ht="15" customHeight="1">
      <c r="A779" s="28" t="s">
        <v>1109</v>
      </c>
      <c r="B779" s="29">
        <v>3106.0650000000001</v>
      </c>
      <c r="C779" s="30" t="s">
        <v>1200</v>
      </c>
      <c r="D779" s="2">
        <v>4949100872</v>
      </c>
      <c r="E779" s="2" t="s">
        <v>24</v>
      </c>
      <c r="F779" s="2" t="s">
        <v>1201</v>
      </c>
      <c r="G779" s="28" t="s">
        <v>5</v>
      </c>
      <c r="H779" s="2" t="s">
        <v>17</v>
      </c>
      <c r="I779" s="2">
        <v>2</v>
      </c>
      <c r="J779" s="2" t="s">
        <v>1202</v>
      </c>
      <c r="K779" s="2">
        <f>40800+40800</f>
        <v>81600</v>
      </c>
      <c r="L779" s="35">
        <f t="shared" si="42"/>
        <v>253454904</v>
      </c>
      <c r="M779" s="36">
        <f>24000+24000</f>
        <v>48000</v>
      </c>
      <c r="N779" s="40">
        <v>923836</v>
      </c>
      <c r="O779" s="40">
        <v>715367</v>
      </c>
      <c r="P779" s="40">
        <v>301282</v>
      </c>
      <c r="Q779" s="40">
        <v>205279</v>
      </c>
      <c r="R779" s="40">
        <v>1469006</v>
      </c>
      <c r="S779" s="40">
        <v>354356</v>
      </c>
      <c r="T779" s="40"/>
      <c r="U779" s="40">
        <v>5001800</v>
      </c>
      <c r="V779" s="40">
        <v>0</v>
      </c>
      <c r="W779" s="45">
        <f t="shared" si="43"/>
        <v>8970926</v>
      </c>
      <c r="X779" s="46">
        <f t="shared" si="44"/>
        <v>3.5394564707258533</v>
      </c>
    </row>
    <row r="780" spans="1:24" s="4" customFormat="1" ht="15" customHeight="1">
      <c r="A780" s="28" t="s">
        <v>1109</v>
      </c>
      <c r="B780" s="29">
        <v>3106.0650000000001</v>
      </c>
      <c r="C780" s="30" t="s">
        <v>1203</v>
      </c>
      <c r="D780" s="2">
        <v>4948559155</v>
      </c>
      <c r="E780" s="2" t="s">
        <v>24</v>
      </c>
      <c r="F780" s="2" t="s">
        <v>1204</v>
      </c>
      <c r="G780" s="28" t="s">
        <v>5</v>
      </c>
      <c r="H780" s="2" t="s">
        <v>26</v>
      </c>
      <c r="I780" s="2">
        <v>2</v>
      </c>
      <c r="J780" s="2" t="s">
        <v>1205</v>
      </c>
      <c r="K780" s="2">
        <f>27399.2+27492</f>
        <v>54891.199999999997</v>
      </c>
      <c r="L780" s="35">
        <f t="shared" si="42"/>
        <v>170495635.12799999</v>
      </c>
      <c r="M780" s="36">
        <f>23620+23700</f>
        <v>47320</v>
      </c>
      <c r="N780" s="40">
        <v>623071</v>
      </c>
      <c r="O780" s="40">
        <v>672260</v>
      </c>
      <c r="P780" s="40">
        <v>0</v>
      </c>
      <c r="Q780" s="40">
        <v>207332</v>
      </c>
      <c r="R780" s="40">
        <v>1426699</v>
      </c>
      <c r="S780" s="40">
        <v>354356</v>
      </c>
      <c r="T780" s="40"/>
      <c r="U780" s="40">
        <v>4838588</v>
      </c>
      <c r="V780" s="40">
        <v>0</v>
      </c>
      <c r="W780" s="45">
        <f t="shared" si="43"/>
        <v>8122306</v>
      </c>
      <c r="X780" s="46">
        <f t="shared" si="44"/>
        <v>4.7639377945964183</v>
      </c>
    </row>
    <row r="781" spans="1:24" s="4" customFormat="1" ht="15" customHeight="1">
      <c r="A781" s="28" t="s">
        <v>1109</v>
      </c>
      <c r="B781" s="29">
        <v>3106.0650000000001</v>
      </c>
      <c r="C781" s="30" t="s">
        <v>1206</v>
      </c>
      <c r="D781" s="2">
        <v>4947722816</v>
      </c>
      <c r="E781" s="2" t="s">
        <v>6</v>
      </c>
      <c r="F781" s="2" t="s">
        <v>1207</v>
      </c>
      <c r="G781" s="28" t="s">
        <v>5</v>
      </c>
      <c r="H781" s="2" t="s">
        <v>20</v>
      </c>
      <c r="I781" s="2">
        <v>1</v>
      </c>
      <c r="J781" s="2" t="s">
        <v>1208</v>
      </c>
      <c r="K781" s="2">
        <v>25677</v>
      </c>
      <c r="L781" s="35">
        <f t="shared" si="42"/>
        <v>79754431.004999995</v>
      </c>
      <c r="M781" s="36">
        <v>8910</v>
      </c>
      <c r="N781" s="40">
        <v>251195.526315789</v>
      </c>
      <c r="O781" s="40">
        <v>309746.05263157899</v>
      </c>
      <c r="P781" s="40">
        <v>0</v>
      </c>
      <c r="Q781" s="40">
        <v>98002.894736842107</v>
      </c>
      <c r="R781" s="40">
        <v>626058.47368421103</v>
      </c>
      <c r="S781" s="40">
        <v>279754.73684210499</v>
      </c>
      <c r="T781" s="37">
        <v>30000</v>
      </c>
      <c r="U781" s="40">
        <v>394657.89473684202</v>
      </c>
      <c r="V781" s="40">
        <v>0</v>
      </c>
      <c r="W781" s="45">
        <f t="shared" si="43"/>
        <v>1989415.5789473681</v>
      </c>
      <c r="X781" s="46">
        <f t="shared" si="44"/>
        <v>2.4944263959737194</v>
      </c>
    </row>
    <row r="782" spans="1:24" s="4" customFormat="1" ht="15" customHeight="1">
      <c r="A782" s="28" t="s">
        <v>1109</v>
      </c>
      <c r="B782" s="29">
        <v>3106.0650000000001</v>
      </c>
      <c r="C782" s="30" t="s">
        <v>1206</v>
      </c>
      <c r="D782" s="2">
        <v>4946294197</v>
      </c>
      <c r="E782" s="2" t="s">
        <v>6</v>
      </c>
      <c r="F782" s="2" t="s">
        <v>1207</v>
      </c>
      <c r="G782" s="28" t="s">
        <v>5</v>
      </c>
      <c r="H782" s="2" t="s">
        <v>20</v>
      </c>
      <c r="I782" s="2">
        <v>1</v>
      </c>
      <c r="J782" s="2" t="s">
        <v>1208</v>
      </c>
      <c r="K782" s="2">
        <v>6847.2</v>
      </c>
      <c r="L782" s="35">
        <f t="shared" si="42"/>
        <v>21267848.267999999</v>
      </c>
      <c r="M782" s="36">
        <v>2376</v>
      </c>
      <c r="N782" s="40">
        <v>66985.473684210505</v>
      </c>
      <c r="O782" s="40">
        <v>82598.947368421097</v>
      </c>
      <c r="P782" s="40">
        <v>0</v>
      </c>
      <c r="Q782" s="40">
        <v>26134.1052631579</v>
      </c>
      <c r="R782" s="40">
        <f>110682.526315789+56266</f>
        <v>166948.526315789</v>
      </c>
      <c r="S782" s="40">
        <v>74601.263157894704</v>
      </c>
      <c r="T782" s="37">
        <v>30000</v>
      </c>
      <c r="U782" s="40">
        <v>105242.105263158</v>
      </c>
      <c r="V782" s="40">
        <v>0</v>
      </c>
      <c r="W782" s="45">
        <f t="shared" si="43"/>
        <v>552510.42105263122</v>
      </c>
      <c r="X782" s="46">
        <f t="shared" si="44"/>
        <v>2.5978670436724371</v>
      </c>
    </row>
    <row r="783" spans="1:24" s="4" customFormat="1" ht="15" customHeight="1">
      <c r="A783" s="28" t="s">
        <v>1109</v>
      </c>
      <c r="B783" s="29">
        <v>3106.0650000000001</v>
      </c>
      <c r="C783" s="30" t="s">
        <v>1209</v>
      </c>
      <c r="D783" s="2">
        <v>4948957243</v>
      </c>
      <c r="E783" s="2" t="s">
        <v>21</v>
      </c>
      <c r="F783" s="78" t="s">
        <v>1210</v>
      </c>
      <c r="G783" s="28" t="s">
        <v>9</v>
      </c>
      <c r="H783" s="2" t="s">
        <v>23</v>
      </c>
      <c r="I783" s="2">
        <v>4</v>
      </c>
      <c r="J783" s="2"/>
      <c r="K783" s="2">
        <v>4757.6000000000004</v>
      </c>
      <c r="L783" s="35">
        <f t="shared" si="42"/>
        <v>14777414.844000001</v>
      </c>
      <c r="M783" s="36">
        <v>760</v>
      </c>
      <c r="N783" s="40">
        <v>240237</v>
      </c>
      <c r="O783" s="40">
        <v>526</v>
      </c>
      <c r="P783" s="40">
        <v>16408</v>
      </c>
      <c r="Q783" s="40">
        <v>13151</v>
      </c>
      <c r="R783" s="40">
        <v>90676</v>
      </c>
      <c r="S783" s="40">
        <v>354356</v>
      </c>
      <c r="T783" s="40"/>
      <c r="U783" s="40">
        <v>522337.68844221102</v>
      </c>
      <c r="V783" s="40">
        <v>0</v>
      </c>
      <c r="W783" s="45">
        <f t="shared" si="43"/>
        <v>1237691.6884422111</v>
      </c>
      <c r="X783" s="46">
        <f t="shared" si="44"/>
        <v>8.3755629892514314</v>
      </c>
    </row>
    <row r="784" spans="1:24" s="4" customFormat="1" ht="15" customHeight="1">
      <c r="A784" s="28" t="s">
        <v>1109</v>
      </c>
      <c r="B784" s="29">
        <v>3106.0650000000001</v>
      </c>
      <c r="C784" s="30" t="s">
        <v>1211</v>
      </c>
      <c r="D784" s="2">
        <v>4948536570</v>
      </c>
      <c r="E784" s="2" t="s">
        <v>18</v>
      </c>
      <c r="F784" s="78" t="s">
        <v>1212</v>
      </c>
      <c r="G784" s="28" t="s">
        <v>9</v>
      </c>
      <c r="H784" s="2" t="s">
        <v>23</v>
      </c>
      <c r="I784" s="2">
        <v>1</v>
      </c>
      <c r="J784" s="2"/>
      <c r="K784" s="2">
        <v>3221</v>
      </c>
      <c r="L784" s="35">
        <f t="shared" si="42"/>
        <v>10004635.365</v>
      </c>
      <c r="M784" s="36">
        <v>100</v>
      </c>
      <c r="N784" s="40">
        <v>399505</v>
      </c>
      <c r="O784" s="40">
        <v>124</v>
      </c>
      <c r="P784" s="40">
        <v>2121</v>
      </c>
      <c r="Q784" s="40">
        <v>2054</v>
      </c>
      <c r="R784" s="40">
        <v>181390</v>
      </c>
      <c r="S784" s="40">
        <v>354356</v>
      </c>
      <c r="T784" s="37">
        <v>30000</v>
      </c>
      <c r="U784" s="40">
        <v>201132.35294117601</v>
      </c>
      <c r="V784" s="40">
        <v>0</v>
      </c>
      <c r="W784" s="45">
        <f t="shared" si="43"/>
        <v>1170682.3529411759</v>
      </c>
      <c r="X784" s="46">
        <f t="shared" si="44"/>
        <v>11.70139950364074</v>
      </c>
    </row>
    <row r="785" spans="1:24" s="4" customFormat="1" ht="15" customHeight="1">
      <c r="A785" s="28" t="s">
        <v>1109</v>
      </c>
      <c r="B785" s="29">
        <v>3106.0650000000001</v>
      </c>
      <c r="C785" s="30" t="s">
        <v>1213</v>
      </c>
      <c r="D785" s="2">
        <v>4948267743</v>
      </c>
      <c r="E785" s="2" t="s">
        <v>14</v>
      </c>
      <c r="F785" s="2" t="s">
        <v>1214</v>
      </c>
      <c r="G785" s="28" t="s">
        <v>9</v>
      </c>
      <c r="H785" s="2" t="s">
        <v>23</v>
      </c>
      <c r="I785" s="2">
        <v>4</v>
      </c>
      <c r="J785" s="2"/>
      <c r="K785" s="2">
        <v>7328</v>
      </c>
      <c r="L785" s="35">
        <f t="shared" si="42"/>
        <v>22761244.32</v>
      </c>
      <c r="M785" s="36">
        <v>3200</v>
      </c>
      <c r="N785" s="40">
        <v>521009</v>
      </c>
      <c r="O785" s="40">
        <v>2109</v>
      </c>
      <c r="P785" s="40">
        <v>0</v>
      </c>
      <c r="Q785" s="40">
        <v>65949</v>
      </c>
      <c r="R785" s="40">
        <v>142693</v>
      </c>
      <c r="S785" s="40">
        <v>354356</v>
      </c>
      <c r="T785" s="37">
        <v>30000</v>
      </c>
      <c r="U785" s="40">
        <v>1668400</v>
      </c>
      <c r="V785" s="40">
        <v>0</v>
      </c>
      <c r="W785" s="45">
        <f t="shared" si="43"/>
        <v>2784516</v>
      </c>
      <c r="X785" s="46">
        <f t="shared" si="44"/>
        <v>12.233584248965172</v>
      </c>
    </row>
    <row r="786" spans="1:24" s="4" customFormat="1" ht="15" customHeight="1">
      <c r="A786" s="28" t="s">
        <v>1109</v>
      </c>
      <c r="B786" s="29">
        <v>3106.0650000000001</v>
      </c>
      <c r="C786" s="30" t="s">
        <v>1215</v>
      </c>
      <c r="D786" s="2">
        <v>4949162876</v>
      </c>
      <c r="E786" s="2" t="s">
        <v>18</v>
      </c>
      <c r="F786" s="78" t="s">
        <v>1216</v>
      </c>
      <c r="G786" s="28" t="s">
        <v>9</v>
      </c>
      <c r="H786" s="2" t="s">
        <v>23</v>
      </c>
      <c r="I786" s="2">
        <v>3</v>
      </c>
      <c r="J786" s="2"/>
      <c r="K786" s="2">
        <v>44050</v>
      </c>
      <c r="L786" s="35">
        <f t="shared" si="42"/>
        <v>136822163.25</v>
      </c>
      <c r="M786" s="36">
        <v>500</v>
      </c>
      <c r="N786" s="40">
        <v>570202</v>
      </c>
      <c r="O786" s="40">
        <v>399</v>
      </c>
      <c r="P786" s="40">
        <v>0</v>
      </c>
      <c r="Q786" s="40">
        <v>10370</v>
      </c>
      <c r="R786" s="40">
        <v>92373</v>
      </c>
      <c r="S786" s="40">
        <v>354356</v>
      </c>
      <c r="T786" s="37">
        <v>30000</v>
      </c>
      <c r="U786" s="40">
        <v>252787.87878787899</v>
      </c>
      <c r="V786" s="40">
        <v>0</v>
      </c>
      <c r="W786" s="45">
        <f t="shared" si="43"/>
        <v>1310487.8787878789</v>
      </c>
      <c r="X786" s="46">
        <f t="shared" si="44"/>
        <v>0.95780379995408294</v>
      </c>
    </row>
    <row r="787" spans="1:24" s="4" customFormat="1" ht="15" customHeight="1">
      <c r="A787" s="28" t="s">
        <v>1109</v>
      </c>
      <c r="B787" s="29">
        <v>3106.0650000000001</v>
      </c>
      <c r="C787" s="30" t="s">
        <v>1217</v>
      </c>
      <c r="D787" s="2">
        <v>4948617084</v>
      </c>
      <c r="E787" s="2" t="s">
        <v>18</v>
      </c>
      <c r="F787" s="2" t="s">
        <v>1218</v>
      </c>
      <c r="G787" s="28" t="s">
        <v>5</v>
      </c>
      <c r="H787" s="2" t="s">
        <v>20</v>
      </c>
      <c r="I787" s="2">
        <v>1</v>
      </c>
      <c r="J787" s="2" t="s">
        <v>1219</v>
      </c>
      <c r="K787" s="2">
        <v>19440</v>
      </c>
      <c r="L787" s="35">
        <f t="shared" si="42"/>
        <v>60381903.600000001</v>
      </c>
      <c r="M787" s="36">
        <v>18000</v>
      </c>
      <c r="N787" s="40">
        <v>321838</v>
      </c>
      <c r="O787" s="40">
        <v>315124</v>
      </c>
      <c r="P787" s="40">
        <v>0</v>
      </c>
      <c r="Q787" s="40">
        <v>99309</v>
      </c>
      <c r="R787" s="40">
        <v>535089</v>
      </c>
      <c r="S787" s="40">
        <v>354356</v>
      </c>
      <c r="T787" s="37">
        <v>30000</v>
      </c>
      <c r="U787" s="40">
        <v>3913500</v>
      </c>
      <c r="V787" s="40">
        <v>0</v>
      </c>
      <c r="W787" s="45">
        <f t="shared" si="43"/>
        <v>5569216</v>
      </c>
      <c r="X787" s="46">
        <f t="shared" si="44"/>
        <v>9.2233196834821207</v>
      </c>
    </row>
    <row r="788" spans="1:24" s="4" customFormat="1" ht="15" customHeight="1">
      <c r="A788" s="28" t="s">
        <v>1109</v>
      </c>
      <c r="B788" s="29">
        <v>3106.0650000000001</v>
      </c>
      <c r="C788" s="30" t="s">
        <v>1220</v>
      </c>
      <c r="D788" s="2">
        <v>4946607250</v>
      </c>
      <c r="E788" s="2" t="s">
        <v>6</v>
      </c>
      <c r="F788" s="78" t="s">
        <v>1221</v>
      </c>
      <c r="G788" s="28" t="s">
        <v>9</v>
      </c>
      <c r="H788" s="2" t="s">
        <v>23</v>
      </c>
      <c r="I788" s="2">
        <v>5</v>
      </c>
      <c r="J788" s="2"/>
      <c r="K788" s="2">
        <v>6562.5</v>
      </c>
      <c r="L788" s="35">
        <f t="shared" si="42"/>
        <v>20383551.5625</v>
      </c>
      <c r="M788" s="36">
        <v>4375</v>
      </c>
      <c r="N788" s="40">
        <v>2194623</v>
      </c>
      <c r="O788" s="40">
        <v>2807</v>
      </c>
      <c r="P788" s="40">
        <v>0</v>
      </c>
      <c r="Q788" s="40">
        <v>69254</v>
      </c>
      <c r="R788" s="40">
        <v>156571</v>
      </c>
      <c r="S788" s="40">
        <v>354356</v>
      </c>
      <c r="T788" s="37">
        <v>30000</v>
      </c>
      <c r="U788" s="40">
        <v>2085500</v>
      </c>
      <c r="V788" s="40">
        <v>0</v>
      </c>
      <c r="W788" s="45">
        <f t="shared" si="43"/>
        <v>4893111</v>
      </c>
      <c r="X788" s="46">
        <f t="shared" si="44"/>
        <v>24.005193525754105</v>
      </c>
    </row>
    <row r="789" spans="1:24" s="4" customFormat="1" ht="15" customHeight="1">
      <c r="A789" s="28" t="s">
        <v>1109</v>
      </c>
      <c r="B789" s="29">
        <v>3106.0650000000001</v>
      </c>
      <c r="C789" s="30" t="s">
        <v>1222</v>
      </c>
      <c r="D789" s="2">
        <v>4948951746</v>
      </c>
      <c r="E789" s="2" t="s">
        <v>14</v>
      </c>
      <c r="F789" s="78" t="s">
        <v>1223</v>
      </c>
      <c r="G789" s="28" t="s">
        <v>9</v>
      </c>
      <c r="H789" s="2" t="s">
        <v>23</v>
      </c>
      <c r="I789" s="2">
        <v>1</v>
      </c>
      <c r="J789" s="2"/>
      <c r="K789" s="2">
        <v>2070.6</v>
      </c>
      <c r="L789" s="35">
        <f t="shared" si="42"/>
        <v>6431418.1890000002</v>
      </c>
      <c r="M789" s="36">
        <v>420</v>
      </c>
      <c r="N789" s="40">
        <v>447282</v>
      </c>
      <c r="O789" s="40">
        <v>280</v>
      </c>
      <c r="P789" s="40">
        <v>0</v>
      </c>
      <c r="Q789" s="40">
        <v>6874</v>
      </c>
      <c r="R789" s="40">
        <v>85791</v>
      </c>
      <c r="S789" s="40">
        <v>354356</v>
      </c>
      <c r="T789" s="37">
        <v>30000</v>
      </c>
      <c r="U789" s="40">
        <v>310606.38297872298</v>
      </c>
      <c r="V789" s="40">
        <v>198829.787234043</v>
      </c>
      <c r="W789" s="45">
        <f t="shared" si="43"/>
        <v>1434019.1702127659</v>
      </c>
      <c r="X789" s="46">
        <f t="shared" si="44"/>
        <v>22.297091062519396</v>
      </c>
    </row>
    <row r="790" spans="1:24" s="4" customFormat="1" ht="15" customHeight="1">
      <c r="A790" s="28" t="s">
        <v>1109</v>
      </c>
      <c r="B790" s="29">
        <v>3106.0650000000001</v>
      </c>
      <c r="C790" s="30" t="s">
        <v>1224</v>
      </c>
      <c r="D790" s="2">
        <v>4948605874</v>
      </c>
      <c r="E790" s="2" t="s">
        <v>18</v>
      </c>
      <c r="F790" s="78" t="s">
        <v>1225</v>
      </c>
      <c r="G790" s="28" t="s">
        <v>5</v>
      </c>
      <c r="H790" s="2" t="s">
        <v>20</v>
      </c>
      <c r="I790" s="2">
        <v>1</v>
      </c>
      <c r="J790" s="2" t="s">
        <v>1226</v>
      </c>
      <c r="K790" s="2">
        <v>32560</v>
      </c>
      <c r="L790" s="35">
        <f t="shared" si="42"/>
        <v>101133476.40000001</v>
      </c>
      <c r="M790" s="36">
        <v>8000</v>
      </c>
      <c r="N790" s="40">
        <v>318181</v>
      </c>
      <c r="O790" s="40">
        <v>315124</v>
      </c>
      <c r="P790" s="40">
        <v>0</v>
      </c>
      <c r="Q790" s="40">
        <v>99309</v>
      </c>
      <c r="R790" s="40">
        <v>530350</v>
      </c>
      <c r="S790" s="40">
        <v>354356</v>
      </c>
      <c r="T790" s="37">
        <v>30000</v>
      </c>
      <c r="U790" s="40">
        <v>2900300</v>
      </c>
      <c r="V790" s="40">
        <v>0</v>
      </c>
      <c r="W790" s="45">
        <f t="shared" si="43"/>
        <v>4547620</v>
      </c>
      <c r="X790" s="46">
        <f t="shared" si="44"/>
        <v>4.4966515162728049</v>
      </c>
    </row>
    <row r="791" spans="1:24" s="4" customFormat="1" ht="15" customHeight="1">
      <c r="A791" s="28" t="s">
        <v>1109</v>
      </c>
      <c r="B791" s="29">
        <v>3106.0650000000001</v>
      </c>
      <c r="C791" s="30" t="s">
        <v>1227</v>
      </c>
      <c r="D791" s="2">
        <v>4948828035</v>
      </c>
      <c r="E791" s="2" t="s">
        <v>14</v>
      </c>
      <c r="F791" s="2" t="s">
        <v>1228</v>
      </c>
      <c r="G791" s="28" t="s">
        <v>5</v>
      </c>
      <c r="H791" s="2" t="s">
        <v>20</v>
      </c>
      <c r="I791" s="2">
        <v>1</v>
      </c>
      <c r="J791" s="2" t="s">
        <v>1229</v>
      </c>
      <c r="K791" s="2">
        <v>33096</v>
      </c>
      <c r="L791" s="35">
        <f t="shared" si="42"/>
        <v>102798327.23999999</v>
      </c>
      <c r="M791" s="36">
        <v>16800</v>
      </c>
      <c r="N791" s="40">
        <v>318181</v>
      </c>
      <c r="O791" s="40">
        <v>315124</v>
      </c>
      <c r="P791" s="40">
        <v>0</v>
      </c>
      <c r="Q791" s="40">
        <v>99309</v>
      </c>
      <c r="R791" s="40">
        <v>530350</v>
      </c>
      <c r="S791" s="40">
        <v>354356</v>
      </c>
      <c r="T791" s="37">
        <v>30000</v>
      </c>
      <c r="U791" s="40">
        <v>5014900</v>
      </c>
      <c r="V791" s="40">
        <v>0</v>
      </c>
      <c r="W791" s="45">
        <f t="shared" si="43"/>
        <v>6662220</v>
      </c>
      <c r="X791" s="46">
        <f t="shared" si="44"/>
        <v>6.4808642113853914</v>
      </c>
    </row>
    <row r="792" spans="1:24" s="4" customFormat="1" ht="15" customHeight="1">
      <c r="A792" s="28" t="s">
        <v>1109</v>
      </c>
      <c r="B792" s="29">
        <v>3106.0650000000001</v>
      </c>
      <c r="C792" s="30" t="s">
        <v>1230</v>
      </c>
      <c r="D792" s="2">
        <v>4949035725</v>
      </c>
      <c r="E792" s="2" t="s">
        <v>14</v>
      </c>
      <c r="F792" s="2" t="s">
        <v>1231</v>
      </c>
      <c r="G792" s="28" t="s">
        <v>9</v>
      </c>
      <c r="H792" s="2" t="s">
        <v>23</v>
      </c>
      <c r="I792" s="2">
        <v>1</v>
      </c>
      <c r="J792" s="2"/>
      <c r="K792" s="2">
        <v>1951.2</v>
      </c>
      <c r="L792" s="35">
        <f t="shared" si="42"/>
        <v>6060554.0279999999</v>
      </c>
      <c r="M792" s="36">
        <v>120</v>
      </c>
      <c r="N792" s="40">
        <v>434368</v>
      </c>
      <c r="O792" s="40">
        <v>92</v>
      </c>
      <c r="P792" s="40">
        <v>0</v>
      </c>
      <c r="Q792" s="40">
        <v>2308</v>
      </c>
      <c r="R792" s="40">
        <v>81510</v>
      </c>
      <c r="S792" s="40">
        <v>354356</v>
      </c>
      <c r="T792" s="37">
        <v>30000</v>
      </c>
      <c r="U792" s="40">
        <v>60669.090909090897</v>
      </c>
      <c r="V792" s="40">
        <v>0</v>
      </c>
      <c r="W792" s="45">
        <f t="shared" si="43"/>
        <v>963303.09090909094</v>
      </c>
      <c r="X792" s="46">
        <f t="shared" si="44"/>
        <v>15.894637461502569</v>
      </c>
    </row>
    <row r="793" spans="1:24" s="4" customFormat="1" ht="15" customHeight="1">
      <c r="A793" s="28" t="s">
        <v>1109</v>
      </c>
      <c r="B793" s="29">
        <v>3106.0650000000001</v>
      </c>
      <c r="C793" s="30" t="s">
        <v>1232</v>
      </c>
      <c r="D793" s="2">
        <v>4948734652</v>
      </c>
      <c r="E793" s="2" t="s">
        <v>21</v>
      </c>
      <c r="F793" s="2" t="s">
        <v>1233</v>
      </c>
      <c r="G793" s="28" t="s">
        <v>9</v>
      </c>
      <c r="H793" s="2" t="s">
        <v>23</v>
      </c>
      <c r="I793" s="2">
        <v>1</v>
      </c>
      <c r="J793" s="2"/>
      <c r="K793" s="2">
        <v>2682</v>
      </c>
      <c r="L793" s="35">
        <f t="shared" si="42"/>
        <v>8330466.3300000001</v>
      </c>
      <c r="M793" s="36">
        <v>900</v>
      </c>
      <c r="N793" s="40">
        <v>1140911</v>
      </c>
      <c r="O793" s="40">
        <v>560</v>
      </c>
      <c r="P793" s="40">
        <v>17953</v>
      </c>
      <c r="Q793" s="40">
        <v>14209</v>
      </c>
      <c r="R793" s="40">
        <v>95264</v>
      </c>
      <c r="S793" s="40">
        <v>354356</v>
      </c>
      <c r="T793" s="40"/>
      <c r="U793" s="40">
        <v>0</v>
      </c>
      <c r="V793" s="40">
        <v>0</v>
      </c>
      <c r="W793" s="45">
        <f t="shared" si="43"/>
        <v>1623253</v>
      </c>
      <c r="X793" s="46">
        <f t="shared" si="44"/>
        <v>19.485739881743211</v>
      </c>
    </row>
    <row r="794" spans="1:24" s="4" customFormat="1" ht="15" customHeight="1">
      <c r="A794" s="28" t="s">
        <v>1109</v>
      </c>
      <c r="B794" s="29">
        <v>3106.0650000000001</v>
      </c>
      <c r="C794" s="30" t="s">
        <v>1234</v>
      </c>
      <c r="D794" s="2">
        <v>4948492529</v>
      </c>
      <c r="E794" s="2" t="s">
        <v>6</v>
      </c>
      <c r="F794" s="2" t="s">
        <v>1235</v>
      </c>
      <c r="G794" s="28" t="s">
        <v>5</v>
      </c>
      <c r="H794" s="2" t="s">
        <v>20</v>
      </c>
      <c r="I794" s="2">
        <v>1</v>
      </c>
      <c r="J794" s="2" t="s">
        <v>1236</v>
      </c>
      <c r="K794" s="2">
        <v>60000</v>
      </c>
      <c r="L794" s="35">
        <f t="shared" si="42"/>
        <v>186363900</v>
      </c>
      <c r="M794" s="36">
        <v>12000</v>
      </c>
      <c r="N794" s="40">
        <v>2026140</v>
      </c>
      <c r="O794" s="40">
        <v>392345</v>
      </c>
      <c r="P794" s="40">
        <v>0</v>
      </c>
      <c r="Q794" s="40">
        <v>124137</v>
      </c>
      <c r="R794" s="40">
        <v>757385</v>
      </c>
      <c r="S794" s="40">
        <v>354356</v>
      </c>
      <c r="T794" s="37">
        <v>30000</v>
      </c>
      <c r="U794" s="40">
        <v>2749500</v>
      </c>
      <c r="V794" s="40">
        <v>0</v>
      </c>
      <c r="W794" s="45">
        <f t="shared" si="43"/>
        <v>6433863</v>
      </c>
      <c r="X794" s="46">
        <f t="shared" si="44"/>
        <v>3.4523118479490931</v>
      </c>
    </row>
    <row r="795" spans="1:24" s="4" customFormat="1" ht="15" customHeight="1">
      <c r="A795" s="28" t="s">
        <v>1109</v>
      </c>
      <c r="B795" s="29">
        <v>3106.0650000000001</v>
      </c>
      <c r="C795" s="30" t="s">
        <v>1237</v>
      </c>
      <c r="D795" s="2">
        <v>4948495889</v>
      </c>
      <c r="E795" s="2" t="s">
        <v>14</v>
      </c>
      <c r="F795" s="2" t="s">
        <v>1238</v>
      </c>
      <c r="G795" s="28" t="s">
        <v>5</v>
      </c>
      <c r="H795" s="2" t="s">
        <v>20</v>
      </c>
      <c r="I795" s="2">
        <v>1</v>
      </c>
      <c r="J795" s="2" t="s">
        <v>1239</v>
      </c>
      <c r="K795" s="2">
        <v>20976</v>
      </c>
      <c r="L795" s="35">
        <f t="shared" si="42"/>
        <v>65152819.439999998</v>
      </c>
      <c r="M795" s="36">
        <v>15200</v>
      </c>
      <c r="N795" s="40">
        <v>321838</v>
      </c>
      <c r="O795" s="40">
        <v>315124</v>
      </c>
      <c r="P795" s="40">
        <v>0</v>
      </c>
      <c r="Q795" s="40">
        <v>99309</v>
      </c>
      <c r="R795" s="40">
        <v>535089</v>
      </c>
      <c r="S795" s="40">
        <v>354356</v>
      </c>
      <c r="T795" s="37">
        <v>30000</v>
      </c>
      <c r="U795" s="40">
        <v>3428500</v>
      </c>
      <c r="V795" s="40">
        <v>0</v>
      </c>
      <c r="W795" s="45">
        <f t="shared" si="43"/>
        <v>5084216</v>
      </c>
      <c r="X795" s="46">
        <f t="shared" si="44"/>
        <v>7.803524150911251</v>
      </c>
    </row>
    <row r="796" spans="1:24" s="4" customFormat="1" ht="15" customHeight="1">
      <c r="A796" s="28" t="s">
        <v>1109</v>
      </c>
      <c r="B796" s="29">
        <v>3106.0650000000001</v>
      </c>
      <c r="C796" s="30" t="s">
        <v>1240</v>
      </c>
      <c r="D796" s="2">
        <v>4949137003</v>
      </c>
      <c r="E796" s="2" t="s">
        <v>14</v>
      </c>
      <c r="F796" s="78" t="s">
        <v>1241</v>
      </c>
      <c r="G796" s="28" t="s">
        <v>9</v>
      </c>
      <c r="H796" s="2" t="s">
        <v>23</v>
      </c>
      <c r="I796" s="2">
        <v>1</v>
      </c>
      <c r="J796" s="2"/>
      <c r="K796" s="2">
        <v>3241.4</v>
      </c>
      <c r="L796" s="35">
        <f t="shared" si="42"/>
        <v>10067999.091</v>
      </c>
      <c r="M796" s="36">
        <v>380</v>
      </c>
      <c r="N796" s="40">
        <v>635663</v>
      </c>
      <c r="O796" s="40">
        <v>280</v>
      </c>
      <c r="P796" s="40">
        <v>0</v>
      </c>
      <c r="Q796" s="40">
        <v>6766</v>
      </c>
      <c r="R796" s="40">
        <v>87276</v>
      </c>
      <c r="S796" s="40">
        <v>354356</v>
      </c>
      <c r="T796" s="37">
        <v>30000</v>
      </c>
      <c r="U796" s="40">
        <v>764302.94117647095</v>
      </c>
      <c r="V796" s="40">
        <v>0</v>
      </c>
      <c r="W796" s="45">
        <f t="shared" si="43"/>
        <v>1878643.9411764708</v>
      </c>
      <c r="X796" s="46">
        <f t="shared" si="44"/>
        <v>18.659556126259794</v>
      </c>
    </row>
    <row r="797" spans="1:24" s="4" customFormat="1" ht="15" customHeight="1">
      <c r="A797" s="28" t="s">
        <v>1109</v>
      </c>
      <c r="B797" s="29">
        <v>3106.0650000000001</v>
      </c>
      <c r="C797" s="30" t="s">
        <v>1242</v>
      </c>
      <c r="D797" s="2">
        <v>4948561419</v>
      </c>
      <c r="E797" s="2" t="s">
        <v>24</v>
      </c>
      <c r="F797" s="2" t="s">
        <v>1243</v>
      </c>
      <c r="G797" s="28" t="s">
        <v>9</v>
      </c>
      <c r="H797" s="2" t="s">
        <v>23</v>
      </c>
      <c r="I797" s="2">
        <v>4</v>
      </c>
      <c r="J797" s="2"/>
      <c r="K797" s="2">
        <v>5600</v>
      </c>
      <c r="L797" s="35">
        <f t="shared" si="42"/>
        <v>17393964</v>
      </c>
      <c r="M797" s="36">
        <f>2800+400</f>
        <v>3200</v>
      </c>
      <c r="N797" s="40">
        <v>684630</v>
      </c>
      <c r="O797" s="40">
        <v>293126</v>
      </c>
      <c r="P797" s="40">
        <v>354794</v>
      </c>
      <c r="Q797" s="40">
        <v>149681</v>
      </c>
      <c r="R797" s="40">
        <v>523887</v>
      </c>
      <c r="S797" s="40">
        <v>354356</v>
      </c>
      <c r="T797" s="40"/>
      <c r="U797" s="40">
        <v>557750</v>
      </c>
      <c r="V797" s="40">
        <v>0</v>
      </c>
      <c r="W797" s="45">
        <f t="shared" si="43"/>
        <v>2918224</v>
      </c>
      <c r="X797" s="46">
        <f t="shared" si="44"/>
        <v>16.777222259399871</v>
      </c>
    </row>
    <row r="798" spans="1:24" s="4" customFormat="1" ht="15" customHeight="1">
      <c r="A798" s="28" t="s">
        <v>1109</v>
      </c>
      <c r="B798" s="29">
        <v>3106.0650000000001</v>
      </c>
      <c r="C798" s="30" t="s">
        <v>1244</v>
      </c>
      <c r="D798" s="2">
        <v>4948559407</v>
      </c>
      <c r="E798" s="2" t="s">
        <v>14</v>
      </c>
      <c r="F798" s="2" t="s">
        <v>1245</v>
      </c>
      <c r="G798" s="28" t="s">
        <v>5</v>
      </c>
      <c r="H798" s="2" t="s">
        <v>20</v>
      </c>
      <c r="I798" s="2">
        <v>1</v>
      </c>
      <c r="J798" s="2" t="s">
        <v>1246</v>
      </c>
      <c r="K798" s="2">
        <v>18576</v>
      </c>
      <c r="L798" s="35">
        <f t="shared" si="42"/>
        <v>57698263.439999998</v>
      </c>
      <c r="M798" s="36">
        <f>7200+14400</f>
        <v>21600</v>
      </c>
      <c r="N798" s="40">
        <v>321837</v>
      </c>
      <c r="O798" s="40">
        <v>293126</v>
      </c>
      <c r="P798" s="40">
        <v>0</v>
      </c>
      <c r="Q798" s="40">
        <v>102906</v>
      </c>
      <c r="R798" s="40">
        <v>0</v>
      </c>
      <c r="S798" s="40">
        <v>354356</v>
      </c>
      <c r="T798" s="37">
        <v>30000</v>
      </c>
      <c r="U798" s="40">
        <v>2339900</v>
      </c>
      <c r="V798" s="40">
        <v>0</v>
      </c>
      <c r="W798" s="45">
        <f t="shared" si="43"/>
        <v>3442125</v>
      </c>
      <c r="X798" s="46">
        <f t="shared" si="44"/>
        <v>5.9657341396061954</v>
      </c>
    </row>
    <row r="799" spans="1:24" s="4" customFormat="1" ht="15" customHeight="1">
      <c r="A799" s="28" t="s">
        <v>1109</v>
      </c>
      <c r="B799" s="29">
        <v>3106.0650000000001</v>
      </c>
      <c r="C799" s="30" t="s">
        <v>1247</v>
      </c>
      <c r="D799" s="2">
        <v>4948951742</v>
      </c>
      <c r="E799" s="2" t="s">
        <v>14</v>
      </c>
      <c r="F799" s="78" t="s">
        <v>1248</v>
      </c>
      <c r="G799" s="28" t="s">
        <v>9</v>
      </c>
      <c r="H799" s="2" t="s">
        <v>23</v>
      </c>
      <c r="I799" s="2">
        <v>1</v>
      </c>
      <c r="J799" s="2"/>
      <c r="K799" s="2">
        <v>1840</v>
      </c>
      <c r="L799" s="35">
        <f t="shared" si="42"/>
        <v>5715159.6000000006</v>
      </c>
      <c r="M799" s="36">
        <v>800</v>
      </c>
      <c r="N799" s="40">
        <v>634445</v>
      </c>
      <c r="O799" s="40">
        <v>526</v>
      </c>
      <c r="P799" s="40">
        <v>0</v>
      </c>
      <c r="Q799" s="40">
        <v>13182</v>
      </c>
      <c r="R799" s="40">
        <v>93960</v>
      </c>
      <c r="S799" s="40">
        <v>354356</v>
      </c>
      <c r="T799" s="37">
        <v>30000</v>
      </c>
      <c r="U799" s="40">
        <v>591631.20567375899</v>
      </c>
      <c r="V799" s="40">
        <v>378723.40425531898</v>
      </c>
      <c r="W799" s="45">
        <f t="shared" si="43"/>
        <v>2096823.6099290778</v>
      </c>
      <c r="X799" s="46">
        <f t="shared" si="44"/>
        <v>36.688802355214669</v>
      </c>
    </row>
    <row r="800" spans="1:24" s="4" customFormat="1" ht="15" customHeight="1">
      <c r="A800" s="28" t="s">
        <v>1109</v>
      </c>
      <c r="B800" s="29">
        <v>3106.0650000000001</v>
      </c>
      <c r="C800" s="30" t="s">
        <v>1249</v>
      </c>
      <c r="D800" s="2">
        <v>4947917128</v>
      </c>
      <c r="E800" s="2" t="s">
        <v>14</v>
      </c>
      <c r="F800" s="2" t="s">
        <v>1250</v>
      </c>
      <c r="G800" s="28" t="s">
        <v>5</v>
      </c>
      <c r="H800" s="2" t="s">
        <v>20</v>
      </c>
      <c r="I800" s="2">
        <v>1</v>
      </c>
      <c r="J800" s="2" t="s">
        <v>1251</v>
      </c>
      <c r="K800" s="2">
        <v>20357.400000000001</v>
      </c>
      <c r="L800" s="35">
        <f t="shared" si="42"/>
        <v>63231407.631000005</v>
      </c>
      <c r="M800" s="36">
        <f>630+7770</f>
        <v>8400</v>
      </c>
      <c r="N800" s="40">
        <v>168832.005076142</v>
      </c>
      <c r="O800" s="40">
        <v>167959.49238578699</v>
      </c>
      <c r="P800" s="40">
        <v>0</v>
      </c>
      <c r="Q800" s="40">
        <v>52931.192893400999</v>
      </c>
      <c r="R800" s="40">
        <f>281210.78680203+106599</f>
        <v>387809.78680202999</v>
      </c>
      <c r="S800" s="40">
        <v>188869.94923857899</v>
      </c>
      <c r="T800" s="37">
        <v>30000</v>
      </c>
      <c r="U800" s="40">
        <v>1934718.27411168</v>
      </c>
      <c r="V800" s="40">
        <v>0</v>
      </c>
      <c r="W800" s="45">
        <f t="shared" si="43"/>
        <v>2931120.700507619</v>
      </c>
      <c r="X800" s="46">
        <f t="shared" si="44"/>
        <v>4.6355455466257878</v>
      </c>
    </row>
    <row r="801" spans="1:24" s="4" customFormat="1" ht="15" customHeight="1">
      <c r="A801" s="28" t="s">
        <v>1109</v>
      </c>
      <c r="B801" s="29">
        <v>3106.0650000000001</v>
      </c>
      <c r="C801" s="30" t="s">
        <v>1249</v>
      </c>
      <c r="D801" s="2">
        <v>4948242169</v>
      </c>
      <c r="E801" s="2" t="s">
        <v>14</v>
      </c>
      <c r="F801" s="2" t="s">
        <v>1250</v>
      </c>
      <c r="G801" s="28" t="s">
        <v>5</v>
      </c>
      <c r="H801" s="2" t="s">
        <v>20</v>
      </c>
      <c r="I801" s="2">
        <v>1</v>
      </c>
      <c r="J801" s="2" t="s">
        <v>1251</v>
      </c>
      <c r="K801" s="2">
        <v>12824</v>
      </c>
      <c r="L801" s="35">
        <f t="shared" si="42"/>
        <v>39832177.560000002</v>
      </c>
      <c r="M801" s="36">
        <f>2400+3200</f>
        <v>5600</v>
      </c>
      <c r="N801" s="40">
        <v>112554.67005076099</v>
      </c>
      <c r="O801" s="40">
        <v>111972.994923858</v>
      </c>
      <c r="P801" s="40">
        <v>0</v>
      </c>
      <c r="Q801" s="40">
        <v>35287.461928933997</v>
      </c>
      <c r="R801" s="40">
        <f>187473.85786802+71066</f>
        <v>258539.85786801999</v>
      </c>
      <c r="S801" s="40">
        <v>125913.299492386</v>
      </c>
      <c r="T801" s="37">
        <v>30000</v>
      </c>
      <c r="U801" s="40">
        <v>1289812.18274112</v>
      </c>
      <c r="V801" s="40">
        <v>0</v>
      </c>
      <c r="W801" s="45">
        <f t="shared" si="43"/>
        <v>1964080.4670050789</v>
      </c>
      <c r="X801" s="46">
        <f t="shared" si="44"/>
        <v>4.9308890131516039</v>
      </c>
    </row>
    <row r="802" spans="1:24" s="4" customFormat="1" ht="15" customHeight="1">
      <c r="A802" s="28" t="s">
        <v>1109</v>
      </c>
      <c r="B802" s="29">
        <v>3106.0650000000001</v>
      </c>
      <c r="C802" s="30" t="s">
        <v>1249</v>
      </c>
      <c r="D802" s="2">
        <v>4948267741</v>
      </c>
      <c r="E802" s="2" t="s">
        <v>14</v>
      </c>
      <c r="F802" s="2" t="s">
        <v>1250</v>
      </c>
      <c r="G802" s="28" t="s">
        <v>5</v>
      </c>
      <c r="H802" s="2" t="s">
        <v>20</v>
      </c>
      <c r="I802" s="2">
        <v>1</v>
      </c>
      <c r="J802" s="2" t="s">
        <v>1251</v>
      </c>
      <c r="K802" s="2">
        <v>2147.1999999999998</v>
      </c>
      <c r="L802" s="35">
        <f t="shared" si="42"/>
        <v>6669342.7679999992</v>
      </c>
      <c r="M802" s="36">
        <v>1760</v>
      </c>
      <c r="N802" s="40">
        <v>35374.324873096397</v>
      </c>
      <c r="O802" s="40">
        <v>35191.512690355303</v>
      </c>
      <c r="P802" s="40">
        <v>0</v>
      </c>
      <c r="Q802" s="40">
        <v>11090.345177665</v>
      </c>
      <c r="R802" s="40">
        <f>58920.3553299492+22335</f>
        <v>81255.355329949205</v>
      </c>
      <c r="S802" s="40">
        <v>39572.7512690355</v>
      </c>
      <c r="T802" s="37">
        <v>30000</v>
      </c>
      <c r="U802" s="40">
        <v>405369.54314720799</v>
      </c>
      <c r="V802" s="40">
        <v>0</v>
      </c>
      <c r="W802" s="45">
        <f t="shared" si="43"/>
        <v>637853.83248730935</v>
      </c>
      <c r="X802" s="46">
        <f t="shared" si="44"/>
        <v>9.5639683650355973</v>
      </c>
    </row>
    <row r="803" spans="1:24" s="4" customFormat="1" ht="15" customHeight="1">
      <c r="A803" s="28" t="s">
        <v>1109</v>
      </c>
      <c r="B803" s="29">
        <v>3106.0650000000001</v>
      </c>
      <c r="C803" s="30" t="s">
        <v>1252</v>
      </c>
      <c r="D803" s="2">
        <v>4947224896</v>
      </c>
      <c r="E803" s="2" t="s">
        <v>6</v>
      </c>
      <c r="F803" s="2" t="s">
        <v>1253</v>
      </c>
      <c r="G803" s="28" t="s">
        <v>9</v>
      </c>
      <c r="H803" s="2" t="s">
        <v>23</v>
      </c>
      <c r="I803" s="2">
        <v>8</v>
      </c>
      <c r="J803" s="2"/>
      <c r="K803" s="2">
        <v>39916.800000000003</v>
      </c>
      <c r="L803" s="35">
        <f t="shared" si="42"/>
        <v>123984175.392</v>
      </c>
      <c r="M803" s="36">
        <v>1920</v>
      </c>
      <c r="N803" s="40">
        <v>1139306</v>
      </c>
      <c r="O803" s="40">
        <v>2876</v>
      </c>
      <c r="P803" s="40">
        <v>83257</v>
      </c>
      <c r="Q803" s="40">
        <v>44574</v>
      </c>
      <c r="R803" s="40">
        <v>259261</v>
      </c>
      <c r="S803" s="40">
        <v>354356</v>
      </c>
      <c r="T803" s="37">
        <v>30000</v>
      </c>
      <c r="U803" s="40">
        <v>2085500</v>
      </c>
      <c r="V803" s="40">
        <v>0</v>
      </c>
      <c r="W803" s="45">
        <f t="shared" si="43"/>
        <v>3999130</v>
      </c>
      <c r="X803" s="46">
        <f t="shared" si="44"/>
        <v>3.2255164720465137</v>
      </c>
    </row>
    <row r="804" spans="1:24" s="4" customFormat="1" ht="15" customHeight="1">
      <c r="A804" s="28" t="s">
        <v>1109</v>
      </c>
      <c r="B804" s="29">
        <v>3106.0650000000001</v>
      </c>
      <c r="C804" s="30" t="s">
        <v>1254</v>
      </c>
      <c r="D804" s="2">
        <v>4947106849</v>
      </c>
      <c r="E804" s="2" t="s">
        <v>14</v>
      </c>
      <c r="F804" s="78" t="s">
        <v>1255</v>
      </c>
      <c r="G804" s="28" t="s">
        <v>5</v>
      </c>
      <c r="H804" s="2" t="s">
        <v>20</v>
      </c>
      <c r="I804" s="2">
        <v>1</v>
      </c>
      <c r="J804" s="2" t="s">
        <v>1256</v>
      </c>
      <c r="K804" s="2">
        <v>31040</v>
      </c>
      <c r="L804" s="35">
        <f t="shared" si="42"/>
        <v>96412257.600000009</v>
      </c>
      <c r="M804" s="36">
        <v>8000</v>
      </c>
      <c r="N804" s="40">
        <v>321838</v>
      </c>
      <c r="O804" s="40">
        <v>315124</v>
      </c>
      <c r="P804" s="40">
        <v>0</v>
      </c>
      <c r="Q804" s="40">
        <v>99309</v>
      </c>
      <c r="R804" s="40">
        <v>535089</v>
      </c>
      <c r="S804" s="40">
        <v>354356</v>
      </c>
      <c r="T804" s="37">
        <v>30000</v>
      </c>
      <c r="U804" s="40">
        <v>2601700</v>
      </c>
      <c r="V804" s="40">
        <v>0</v>
      </c>
      <c r="W804" s="45">
        <f t="shared" si="43"/>
        <v>4257416</v>
      </c>
      <c r="X804" s="46">
        <f t="shared" si="44"/>
        <v>4.4158451487189314</v>
      </c>
    </row>
    <row r="805" spans="1:24" s="4" customFormat="1" ht="15" customHeight="1">
      <c r="A805" s="28" t="s">
        <v>1109</v>
      </c>
      <c r="B805" s="29">
        <v>3106.0650000000001</v>
      </c>
      <c r="C805" s="30" t="s">
        <v>1257</v>
      </c>
      <c r="D805" s="2">
        <v>4947198889</v>
      </c>
      <c r="E805" s="2" t="s">
        <v>6</v>
      </c>
      <c r="F805" s="78" t="s">
        <v>1258</v>
      </c>
      <c r="G805" s="28" t="s">
        <v>9</v>
      </c>
      <c r="H805" s="2" t="s">
        <v>23</v>
      </c>
      <c r="I805" s="2">
        <v>3</v>
      </c>
      <c r="J805" s="2"/>
      <c r="K805" s="2">
        <v>6390</v>
      </c>
      <c r="L805" s="35">
        <f t="shared" si="42"/>
        <v>19847755.350000001</v>
      </c>
      <c r="M805" s="36">
        <v>1500</v>
      </c>
      <c r="N805" s="40">
        <v>811236</v>
      </c>
      <c r="O805" s="40">
        <v>1300</v>
      </c>
      <c r="P805" s="40">
        <v>0</v>
      </c>
      <c r="Q805" s="40">
        <v>40235</v>
      </c>
      <c r="R805" s="40">
        <v>125605</v>
      </c>
      <c r="S805" s="40">
        <v>354356</v>
      </c>
      <c r="T805" s="37">
        <v>30000</v>
      </c>
      <c r="U805" s="40">
        <v>914692.98245613999</v>
      </c>
      <c r="V805" s="40">
        <v>0</v>
      </c>
      <c r="W805" s="45">
        <f t="shared" si="43"/>
        <v>2277424.9824561402</v>
      </c>
      <c r="X805" s="46">
        <f t="shared" si="44"/>
        <v>11.474471255290538</v>
      </c>
    </row>
    <row r="806" spans="1:24" s="4" customFormat="1" ht="15" customHeight="1">
      <c r="A806" s="28" t="s">
        <v>1109</v>
      </c>
      <c r="B806" s="29">
        <v>3106.0650000000001</v>
      </c>
      <c r="C806" s="30" t="s">
        <v>1259</v>
      </c>
      <c r="D806" s="2">
        <v>4948495884</v>
      </c>
      <c r="E806" s="2" t="s">
        <v>14</v>
      </c>
      <c r="F806" s="78" t="s">
        <v>1260</v>
      </c>
      <c r="G806" s="28" t="s">
        <v>5</v>
      </c>
      <c r="H806" s="2" t="s">
        <v>20</v>
      </c>
      <c r="I806" s="2">
        <v>1</v>
      </c>
      <c r="J806" s="2" t="s">
        <v>1261</v>
      </c>
      <c r="K806" s="2">
        <v>11214</v>
      </c>
      <c r="L806" s="35">
        <f t="shared" si="42"/>
        <v>34831412.910000004</v>
      </c>
      <c r="M806" s="36">
        <f>150+150</f>
        <v>300</v>
      </c>
      <c r="N806" s="40">
        <v>11961.6917293233</v>
      </c>
      <c r="O806" s="40">
        <v>11846.7669172932</v>
      </c>
      <c r="P806" s="40">
        <v>0</v>
      </c>
      <c r="Q806" s="40">
        <v>3733.4210526315801</v>
      </c>
      <c r="R806" s="40">
        <v>30151.082706766902</v>
      </c>
      <c r="S806" s="40">
        <v>13321.6541353383</v>
      </c>
      <c r="T806" s="37">
        <v>30000</v>
      </c>
      <c r="U806" s="40">
        <v>109033.83458646599</v>
      </c>
      <c r="V806" s="40">
        <v>0</v>
      </c>
      <c r="W806" s="45">
        <f t="shared" si="43"/>
        <v>210048.45112781928</v>
      </c>
      <c r="X806" s="46">
        <f t="shared" si="44"/>
        <v>0.60304315438066813</v>
      </c>
    </row>
    <row r="807" spans="1:24" s="4" customFormat="1" ht="15" customHeight="1">
      <c r="A807" s="28" t="s">
        <v>1109</v>
      </c>
      <c r="B807" s="29">
        <v>3106.0650000000001</v>
      </c>
      <c r="C807" s="30" t="s">
        <v>1259</v>
      </c>
      <c r="D807" s="2">
        <v>4948772914</v>
      </c>
      <c r="E807" s="2" t="s">
        <v>14</v>
      </c>
      <c r="F807" s="78" t="s">
        <v>1260</v>
      </c>
      <c r="G807" s="28" t="s">
        <v>5</v>
      </c>
      <c r="H807" s="2" t="s">
        <v>20</v>
      </c>
      <c r="I807" s="2">
        <v>1</v>
      </c>
      <c r="J807" s="2" t="s">
        <v>1261</v>
      </c>
      <c r="K807" s="2">
        <v>4468.2</v>
      </c>
      <c r="L807" s="35">
        <f t="shared" si="42"/>
        <v>13878519.632999999</v>
      </c>
      <c r="M807" s="36">
        <v>660</v>
      </c>
      <c r="N807" s="40">
        <v>26315.7218045113</v>
      </c>
      <c r="O807" s="40">
        <v>26062.8872180451</v>
      </c>
      <c r="P807" s="40">
        <v>0</v>
      </c>
      <c r="Q807" s="40">
        <v>8213.5263157894697</v>
      </c>
      <c r="R807" s="40">
        <f>44226.7819548872+22105</f>
        <v>66331.781954887207</v>
      </c>
      <c r="S807" s="40">
        <v>29307.639097744399</v>
      </c>
      <c r="T807" s="37">
        <v>30000</v>
      </c>
      <c r="U807" s="40">
        <v>239874.43609022599</v>
      </c>
      <c r="V807" s="40">
        <v>0</v>
      </c>
      <c r="W807" s="45">
        <f t="shared" si="43"/>
        <v>426105.99248120346</v>
      </c>
      <c r="X807" s="46">
        <f t="shared" si="44"/>
        <v>3.0702553568322895</v>
      </c>
    </row>
    <row r="808" spans="1:24" s="4" customFormat="1" ht="15" customHeight="1">
      <c r="A808" s="28" t="s">
        <v>1109</v>
      </c>
      <c r="B808" s="29">
        <v>3106.0650000000001</v>
      </c>
      <c r="C808" s="30" t="s">
        <v>1259</v>
      </c>
      <c r="D808" s="2">
        <v>4949035720</v>
      </c>
      <c r="E808" s="2" t="s">
        <v>14</v>
      </c>
      <c r="F808" s="78" t="s">
        <v>1260</v>
      </c>
      <c r="G808" s="28" t="s">
        <v>5</v>
      </c>
      <c r="H808" s="2" t="s">
        <v>20</v>
      </c>
      <c r="I808" s="2">
        <v>1</v>
      </c>
      <c r="J808" s="2" t="s">
        <v>1261</v>
      </c>
      <c r="K808" s="2">
        <v>10920</v>
      </c>
      <c r="L808" s="35">
        <f t="shared" si="42"/>
        <v>33918229.799999997</v>
      </c>
      <c r="M808" s="36">
        <v>4200</v>
      </c>
      <c r="N808" s="40">
        <v>167463.684210526</v>
      </c>
      <c r="O808" s="40">
        <v>165854.73684210499</v>
      </c>
      <c r="P808" s="40">
        <v>0</v>
      </c>
      <c r="Q808" s="40">
        <v>52267.8947368421</v>
      </c>
      <c r="R808" s="40">
        <f>281443.157894737+140666</f>
        <v>422109.15789473703</v>
      </c>
      <c r="S808" s="40">
        <v>186503.157894737</v>
      </c>
      <c r="T808" s="37">
        <v>30000</v>
      </c>
      <c r="U808" s="40">
        <v>1526473.68421053</v>
      </c>
      <c r="V808" s="40">
        <v>0</v>
      </c>
      <c r="W808" s="45">
        <f t="shared" si="43"/>
        <v>2550672.315789477</v>
      </c>
      <c r="X808" s="46">
        <f t="shared" si="44"/>
        <v>7.5200631956019031</v>
      </c>
    </row>
    <row r="809" spans="1:24" s="4" customFormat="1" ht="15" customHeight="1">
      <c r="A809" s="28" t="s">
        <v>1109</v>
      </c>
      <c r="B809" s="29">
        <v>3106.0650000000001</v>
      </c>
      <c r="C809" s="30" t="s">
        <v>1259</v>
      </c>
      <c r="D809" s="2">
        <v>4949035723</v>
      </c>
      <c r="E809" s="2" t="s">
        <v>14</v>
      </c>
      <c r="F809" s="78" t="s">
        <v>1260</v>
      </c>
      <c r="G809" s="28" t="s">
        <v>5</v>
      </c>
      <c r="H809" s="2" t="s">
        <v>20</v>
      </c>
      <c r="I809" s="2">
        <v>1</v>
      </c>
      <c r="J809" s="2" t="s">
        <v>1261</v>
      </c>
      <c r="K809" s="2">
        <v>8845.2000000000007</v>
      </c>
      <c r="L809" s="35">
        <f t="shared" si="42"/>
        <v>27473766.138000004</v>
      </c>
      <c r="M809" s="36">
        <v>2520</v>
      </c>
      <c r="N809" s="40">
        <v>100478.210526316</v>
      </c>
      <c r="O809" s="40">
        <v>99512.842105263102</v>
      </c>
      <c r="P809" s="40">
        <v>0</v>
      </c>
      <c r="Q809" s="40">
        <v>31360.7368421053</v>
      </c>
      <c r="R809" s="40">
        <f>168865.894736842+84399</f>
        <v>253264.89473684199</v>
      </c>
      <c r="S809" s="40">
        <v>111901.894736842</v>
      </c>
      <c r="T809" s="37">
        <v>30000</v>
      </c>
      <c r="U809" s="40">
        <v>915884.21052631596</v>
      </c>
      <c r="V809" s="40">
        <v>0</v>
      </c>
      <c r="W809" s="45">
        <f t="shared" si="43"/>
        <v>1542402.7894736845</v>
      </c>
      <c r="X809" s="46">
        <f t="shared" si="44"/>
        <v>5.6140930286959421</v>
      </c>
    </row>
    <row r="810" spans="1:24" s="4" customFormat="1" ht="15" customHeight="1">
      <c r="A810" s="28" t="s">
        <v>1109</v>
      </c>
      <c r="B810" s="29">
        <v>3106.0650000000001</v>
      </c>
      <c r="C810" s="30" t="s">
        <v>1259</v>
      </c>
      <c r="D810" s="2">
        <v>4949035723</v>
      </c>
      <c r="E810" s="2" t="s">
        <v>14</v>
      </c>
      <c r="F810" s="78" t="s">
        <v>1260</v>
      </c>
      <c r="G810" s="28" t="s">
        <v>5</v>
      </c>
      <c r="H810" s="2" t="s">
        <v>20</v>
      </c>
      <c r="I810" s="2">
        <v>1</v>
      </c>
      <c r="J810" s="2" t="s">
        <v>1261</v>
      </c>
      <c r="K810" s="2">
        <v>1518</v>
      </c>
      <c r="L810" s="35">
        <f t="shared" si="42"/>
        <v>4715006.67</v>
      </c>
      <c r="M810" s="36">
        <v>300</v>
      </c>
      <c r="N810" s="40">
        <v>11961.6917293233</v>
      </c>
      <c r="O810" s="40">
        <v>11846.7669172932</v>
      </c>
      <c r="P810" s="40">
        <v>0</v>
      </c>
      <c r="Q810" s="40">
        <v>3733.4210526315801</v>
      </c>
      <c r="R810" s="40">
        <f>20103.0827067669+10048</f>
        <v>30151.082706766902</v>
      </c>
      <c r="S810" s="40">
        <v>13321.6541353383</v>
      </c>
      <c r="T810" s="37">
        <v>30000</v>
      </c>
      <c r="U810" s="40">
        <v>109033.83458646599</v>
      </c>
      <c r="V810" s="40">
        <v>0</v>
      </c>
      <c r="W810" s="45">
        <f t="shared" si="43"/>
        <v>210048.45112781928</v>
      </c>
      <c r="X810" s="46">
        <f t="shared" si="44"/>
        <v>4.4548919191204304</v>
      </c>
    </row>
    <row r="811" spans="1:24" s="4" customFormat="1" ht="15" customHeight="1">
      <c r="A811" s="28" t="s">
        <v>1109</v>
      </c>
      <c r="B811" s="29">
        <v>3106.0650000000001</v>
      </c>
      <c r="C811" s="30" t="s">
        <v>1262</v>
      </c>
      <c r="D811" s="2">
        <v>4948618695</v>
      </c>
      <c r="E811" s="2" t="s">
        <v>18</v>
      </c>
      <c r="F811" s="78" t="s">
        <v>1263</v>
      </c>
      <c r="G811" s="28" t="s">
        <v>5</v>
      </c>
      <c r="H811" s="2" t="s">
        <v>35</v>
      </c>
      <c r="I811" s="2">
        <v>1</v>
      </c>
      <c r="J811" s="2" t="s">
        <v>1264</v>
      </c>
      <c r="K811" s="2">
        <v>5481.6</v>
      </c>
      <c r="L811" s="35">
        <f t="shared" si="42"/>
        <v>17026205.904000003</v>
      </c>
      <c r="M811" s="36">
        <v>960</v>
      </c>
      <c r="N811" s="40">
        <v>22778.0581655481</v>
      </c>
      <c r="O811" s="40">
        <v>29594.988814317701</v>
      </c>
      <c r="P811" s="40">
        <v>0</v>
      </c>
      <c r="Q811" s="40">
        <v>7109.3691275167803</v>
      </c>
      <c r="R811" s="40">
        <f>79123.4004474273+7878</f>
        <v>87001.400447427295</v>
      </c>
      <c r="S811" s="40">
        <v>25367.7673378076</v>
      </c>
      <c r="T811" s="37">
        <v>30000</v>
      </c>
      <c r="U811" s="40">
        <v>590714.98881431797</v>
      </c>
      <c r="V811" s="40">
        <v>95570.469798657694</v>
      </c>
      <c r="W811" s="45">
        <f t="shared" si="43"/>
        <v>888137.04250559316</v>
      </c>
      <c r="X811" s="46">
        <f t="shared" si="44"/>
        <v>5.2162945022116833</v>
      </c>
    </row>
    <row r="812" spans="1:24" s="4" customFormat="1" ht="15" customHeight="1">
      <c r="A812" s="28" t="s">
        <v>1109</v>
      </c>
      <c r="B812" s="29">
        <v>3106.0650000000001</v>
      </c>
      <c r="C812" s="30" t="s">
        <v>1262</v>
      </c>
      <c r="D812" s="2">
        <v>4948620862</v>
      </c>
      <c r="E812" s="2" t="s">
        <v>18</v>
      </c>
      <c r="F812" s="78" t="s">
        <v>1263</v>
      </c>
      <c r="G812" s="28" t="s">
        <v>5</v>
      </c>
      <c r="H812" s="2" t="s">
        <v>35</v>
      </c>
      <c r="I812" s="2">
        <v>1</v>
      </c>
      <c r="J812" s="2" t="s">
        <v>1264</v>
      </c>
      <c r="K812" s="2">
        <v>54720</v>
      </c>
      <c r="L812" s="35">
        <f t="shared" si="42"/>
        <v>169963876.80000001</v>
      </c>
      <c r="M812" s="36">
        <v>3200</v>
      </c>
      <c r="N812" s="40">
        <v>75926.860551827005</v>
      </c>
      <c r="O812" s="40">
        <v>98649.962714392197</v>
      </c>
      <c r="P812" s="40">
        <v>0</v>
      </c>
      <c r="Q812" s="40">
        <v>23697.8970917226</v>
      </c>
      <c r="R812" s="40">
        <f>263744.668158091+26261</f>
        <v>290005.66815809102</v>
      </c>
      <c r="S812" s="40">
        <v>84559.224459358695</v>
      </c>
      <c r="T812" s="37">
        <v>30000</v>
      </c>
      <c r="U812" s="40">
        <v>1969049.9627143899</v>
      </c>
      <c r="V812" s="40">
        <v>318568.23266219202</v>
      </c>
      <c r="W812" s="45">
        <f t="shared" si="43"/>
        <v>2890457.8083519735</v>
      </c>
      <c r="X812" s="46">
        <f t="shared" si="44"/>
        <v>1.7006306650402159</v>
      </c>
    </row>
    <row r="813" spans="1:24" s="4" customFormat="1" ht="15" customHeight="1">
      <c r="A813" s="28" t="s">
        <v>1109</v>
      </c>
      <c r="B813" s="29">
        <v>3106.0650000000001</v>
      </c>
      <c r="C813" s="30" t="s">
        <v>1262</v>
      </c>
      <c r="D813" s="2">
        <v>4948620869</v>
      </c>
      <c r="E813" s="2" t="s">
        <v>18</v>
      </c>
      <c r="F813" s="78" t="s">
        <v>1263</v>
      </c>
      <c r="G813" s="28" t="s">
        <v>5</v>
      </c>
      <c r="H813" s="2" t="s">
        <v>35</v>
      </c>
      <c r="I813" s="2">
        <v>1</v>
      </c>
      <c r="J813" s="2" t="s">
        <v>1264</v>
      </c>
      <c r="K813" s="2">
        <v>8000</v>
      </c>
      <c r="L813" s="35">
        <f t="shared" si="42"/>
        <v>24848520</v>
      </c>
      <c r="M813" s="36">
        <v>1250</v>
      </c>
      <c r="N813" s="40">
        <v>29658.9299030574</v>
      </c>
      <c r="O813" s="40">
        <v>38535.1416853095</v>
      </c>
      <c r="P813" s="40">
        <v>0</v>
      </c>
      <c r="Q813" s="40">
        <v>9256.9910514541407</v>
      </c>
      <c r="R813" s="40">
        <f>103025.260999254+10258</f>
        <v>113283.26099925399</v>
      </c>
      <c r="S813" s="40">
        <v>33030.947054436998</v>
      </c>
      <c r="T813" s="37">
        <v>30000</v>
      </c>
      <c r="U813" s="40">
        <v>769160.141685309</v>
      </c>
      <c r="V813" s="40">
        <v>124440.71588366901</v>
      </c>
      <c r="W813" s="45">
        <f t="shared" si="43"/>
        <v>1147366.12826249</v>
      </c>
      <c r="X813" s="46">
        <f t="shared" si="44"/>
        <v>4.6174425207718208</v>
      </c>
    </row>
    <row r="814" spans="1:24" s="4" customFormat="1" ht="15" customHeight="1">
      <c r="A814" s="28" t="s">
        <v>1109</v>
      </c>
      <c r="B814" s="29">
        <v>3106.0650000000001</v>
      </c>
      <c r="C814" s="30" t="s">
        <v>1262</v>
      </c>
      <c r="D814" s="2">
        <v>4948618698</v>
      </c>
      <c r="E814" s="2" t="s">
        <v>18</v>
      </c>
      <c r="F814" s="78" t="s">
        <v>1263</v>
      </c>
      <c r="G814" s="28" t="s">
        <v>5</v>
      </c>
      <c r="H814" s="2" t="s">
        <v>35</v>
      </c>
      <c r="I814" s="2">
        <v>1</v>
      </c>
      <c r="J814" s="2" t="s">
        <v>1264</v>
      </c>
      <c r="K814" s="2">
        <v>96240</v>
      </c>
      <c r="L814" s="35">
        <f t="shared" si="42"/>
        <v>298927695.60000002</v>
      </c>
      <c r="M814" s="36">
        <v>8000</v>
      </c>
      <c r="N814" s="40">
        <v>189817.15137956801</v>
      </c>
      <c r="O814" s="40">
        <v>246624.906785981</v>
      </c>
      <c r="P814" s="40">
        <v>0</v>
      </c>
      <c r="Q814" s="40">
        <v>59244.742729306497</v>
      </c>
      <c r="R814" s="40">
        <f>659361.670395227+65652</f>
        <v>725013.67039522703</v>
      </c>
      <c r="S814" s="40">
        <v>211398.06114839701</v>
      </c>
      <c r="T814" s="37">
        <v>30000</v>
      </c>
      <c r="U814" s="40">
        <v>4922624.9067859799</v>
      </c>
      <c r="V814" s="40">
        <v>796420.58165548102</v>
      </c>
      <c r="W814" s="45">
        <f t="shared" si="43"/>
        <v>7181144.0208799401</v>
      </c>
      <c r="X814" s="46">
        <f t="shared" si="44"/>
        <v>2.4023013345973618</v>
      </c>
    </row>
    <row r="815" spans="1:24" s="4" customFormat="1" ht="15" customHeight="1">
      <c r="A815" s="28" t="s">
        <v>1109</v>
      </c>
      <c r="B815" s="29">
        <v>3106.0650000000001</v>
      </c>
      <c r="C815" s="30" t="s">
        <v>1265</v>
      </c>
      <c r="D815" s="2">
        <v>4948793511</v>
      </c>
      <c r="E815" s="2" t="s">
        <v>27</v>
      </c>
      <c r="F815" s="2" t="s">
        <v>1266</v>
      </c>
      <c r="G815" s="28" t="s">
        <v>5</v>
      </c>
      <c r="H815" s="2" t="s">
        <v>17</v>
      </c>
      <c r="I815" s="2">
        <v>1</v>
      </c>
      <c r="J815" s="2" t="s">
        <v>1267</v>
      </c>
      <c r="K815" s="2">
        <v>58613.53</v>
      </c>
      <c r="L815" s="35">
        <f t="shared" si="42"/>
        <v>182057434.05945</v>
      </c>
      <c r="M815" s="36">
        <v>14218.462</v>
      </c>
      <c r="N815" s="40">
        <v>243434.093675888</v>
      </c>
      <c r="O815" s="40">
        <v>399567.25690828398</v>
      </c>
      <c r="P815" s="40">
        <v>142002.83354118399</v>
      </c>
      <c r="Q815" s="40">
        <v>96273.146919760606</v>
      </c>
      <c r="R815" s="40">
        <v>526402.08890716697</v>
      </c>
      <c r="S815" s="40">
        <v>274817.07508558</v>
      </c>
      <c r="T815" s="40"/>
      <c r="U815" s="40">
        <v>4374469.3271003496</v>
      </c>
      <c r="V815" s="40">
        <v>0</v>
      </c>
      <c r="W815" s="45">
        <f t="shared" si="43"/>
        <v>6056965.8221382126</v>
      </c>
      <c r="X815" s="46">
        <f t="shared" si="44"/>
        <v>3.3269533064825789</v>
      </c>
    </row>
    <row r="816" spans="1:24" s="4" customFormat="1" ht="15" customHeight="1">
      <c r="A816" s="28" t="s">
        <v>1109</v>
      </c>
      <c r="B816" s="29">
        <v>3106.0650000000001</v>
      </c>
      <c r="C816" s="30" t="s">
        <v>1265</v>
      </c>
      <c r="D816" s="2">
        <v>4948281616</v>
      </c>
      <c r="E816" s="2" t="s">
        <v>27</v>
      </c>
      <c r="F816" s="2" t="s">
        <v>1266</v>
      </c>
      <c r="G816" s="28" t="s">
        <v>5</v>
      </c>
      <c r="H816" s="2" t="s">
        <v>17</v>
      </c>
      <c r="I816" s="2">
        <v>1</v>
      </c>
      <c r="J816" s="2" t="s">
        <v>1267</v>
      </c>
      <c r="K816" s="2">
        <v>2858.15</v>
      </c>
      <c r="L816" s="35">
        <f t="shared" si="42"/>
        <v>8877599.6797500011</v>
      </c>
      <c r="M816" s="36">
        <v>1110.2280000000001</v>
      </c>
      <c r="N816" s="40">
        <v>19008.198422135501</v>
      </c>
      <c r="O816" s="40">
        <v>31199.630206331101</v>
      </c>
      <c r="P816" s="40">
        <v>11088.085467806701</v>
      </c>
      <c r="Q816" s="40">
        <v>7517.3491590322501</v>
      </c>
      <c r="R816" s="40">
        <v>41103.3442550416</v>
      </c>
      <c r="S816" s="40">
        <v>21458.693045570901</v>
      </c>
      <c r="T816" s="40"/>
      <c r="U816" s="40">
        <v>341574.09796417999</v>
      </c>
      <c r="V816" s="40">
        <v>0</v>
      </c>
      <c r="W816" s="45">
        <f t="shared" si="43"/>
        <v>472949.39852009807</v>
      </c>
      <c r="X816" s="46">
        <f t="shared" si="44"/>
        <v>5.3274467827030536</v>
      </c>
    </row>
    <row r="817" spans="1:24" s="4" customFormat="1" ht="15" customHeight="1">
      <c r="A817" s="28" t="s">
        <v>1109</v>
      </c>
      <c r="B817" s="29">
        <v>3106.0650000000001</v>
      </c>
      <c r="C817" s="30" t="s">
        <v>1265</v>
      </c>
      <c r="D817" s="2">
        <v>4948860667</v>
      </c>
      <c r="E817" s="2" t="s">
        <v>27</v>
      </c>
      <c r="F817" s="2" t="s">
        <v>1266</v>
      </c>
      <c r="G817" s="28" t="s">
        <v>5</v>
      </c>
      <c r="H817" s="2" t="s">
        <v>17</v>
      </c>
      <c r="I817" s="2">
        <v>1</v>
      </c>
      <c r="J817" s="2" t="s">
        <v>1267</v>
      </c>
      <c r="K817" s="2">
        <v>3859.91</v>
      </c>
      <c r="L817" s="35">
        <f t="shared" si="42"/>
        <v>11989131.354149999</v>
      </c>
      <c r="M817" s="36">
        <v>3004.95</v>
      </c>
      <c r="N817" s="40">
        <v>51447.707901976901</v>
      </c>
      <c r="O817" s="40">
        <v>84445.1128853845</v>
      </c>
      <c r="P817" s="40">
        <v>30011.080991008901</v>
      </c>
      <c r="Q817" s="40">
        <v>20346.503921207099</v>
      </c>
      <c r="R817" s="40">
        <v>111250.566837791</v>
      </c>
      <c r="S817" s="40">
        <v>58080.231868848699</v>
      </c>
      <c r="T817" s="40"/>
      <c r="U817" s="40">
        <v>924506.57493547397</v>
      </c>
      <c r="V817" s="40">
        <v>0</v>
      </c>
      <c r="W817" s="45">
        <f t="shared" si="43"/>
        <v>1280087.7793416912</v>
      </c>
      <c r="X817" s="46">
        <f t="shared" si="44"/>
        <v>10.677068600959092</v>
      </c>
    </row>
    <row r="818" spans="1:24" s="4" customFormat="1" ht="15" customHeight="1">
      <c r="A818" s="28" t="s">
        <v>1109</v>
      </c>
      <c r="B818" s="29">
        <v>3106.0650000000001</v>
      </c>
      <c r="C818" s="30" t="s">
        <v>1268</v>
      </c>
      <c r="D818" s="2">
        <v>4948793511</v>
      </c>
      <c r="E818" s="2" t="s">
        <v>27</v>
      </c>
      <c r="F818" s="2" t="s">
        <v>1269</v>
      </c>
      <c r="G818" s="28" t="s">
        <v>5</v>
      </c>
      <c r="H818" s="2" t="s">
        <v>20</v>
      </c>
      <c r="I818" s="2">
        <v>1</v>
      </c>
      <c r="J818" s="2" t="s">
        <v>1270</v>
      </c>
      <c r="K818" s="2">
        <v>30413.040000000001</v>
      </c>
      <c r="L818" s="35">
        <f t="shared" si="42"/>
        <v>94464879.087600008</v>
      </c>
      <c r="M818" s="36">
        <v>8022.71</v>
      </c>
      <c r="N818" s="40">
        <v>318181</v>
      </c>
      <c r="O818" s="40">
        <v>315124</v>
      </c>
      <c r="P818" s="40">
        <v>0</v>
      </c>
      <c r="Q818" s="40">
        <v>99309</v>
      </c>
      <c r="R818" s="40">
        <v>677792</v>
      </c>
      <c r="S818" s="40">
        <v>354356</v>
      </c>
      <c r="T818" s="40"/>
      <c r="U818" s="40">
        <v>2900300</v>
      </c>
      <c r="V818" s="40">
        <v>0</v>
      </c>
      <c r="W818" s="45">
        <f t="shared" si="43"/>
        <v>4665062</v>
      </c>
      <c r="X818" s="46">
        <f t="shared" si="44"/>
        <v>4.9384089039842562</v>
      </c>
    </row>
    <row r="819" spans="1:24" s="4" customFormat="1" ht="15" customHeight="1">
      <c r="A819" s="28" t="s">
        <v>1109</v>
      </c>
      <c r="B819" s="29">
        <v>3106.0650000000001</v>
      </c>
      <c r="C819" s="30" t="s">
        <v>1271</v>
      </c>
      <c r="D819" s="2">
        <v>4948771225</v>
      </c>
      <c r="E819" s="2" t="s">
        <v>33</v>
      </c>
      <c r="F819" s="78" t="s">
        <v>1272</v>
      </c>
      <c r="G819" s="28" t="s">
        <v>9</v>
      </c>
      <c r="H819" s="2" t="s">
        <v>23</v>
      </c>
      <c r="I819" s="2">
        <v>1</v>
      </c>
      <c r="J819" s="2"/>
      <c r="K819" s="2">
        <v>2197</v>
      </c>
      <c r="L819" s="35">
        <f t="shared" si="42"/>
        <v>6824024.8049999997</v>
      </c>
      <c r="M819" s="36">
        <v>1000</v>
      </c>
      <c r="N819" s="40">
        <v>2124299</v>
      </c>
      <c r="O819" s="40">
        <v>0</v>
      </c>
      <c r="P819" s="40">
        <v>17248</v>
      </c>
      <c r="Q819" s="40">
        <v>46429</v>
      </c>
      <c r="R819" s="40">
        <v>300035</v>
      </c>
      <c r="S819" s="40">
        <v>354356</v>
      </c>
      <c r="T819" s="40"/>
      <c r="U819" s="40">
        <v>1338600</v>
      </c>
      <c r="V819" s="40">
        <v>0</v>
      </c>
      <c r="W819" s="45">
        <f t="shared" si="43"/>
        <v>4180967</v>
      </c>
      <c r="X819" s="46">
        <f t="shared" si="44"/>
        <v>61.268344114701677</v>
      </c>
    </row>
    <row r="820" spans="1:24" s="4" customFormat="1" ht="15" customHeight="1">
      <c r="A820" s="28" t="s">
        <v>1109</v>
      </c>
      <c r="B820" s="29">
        <v>3106.0650000000001</v>
      </c>
      <c r="C820" s="30" t="s">
        <v>1273</v>
      </c>
      <c r="D820" s="2">
        <v>4942476059</v>
      </c>
      <c r="E820" s="2" t="s">
        <v>10</v>
      </c>
      <c r="F820" s="78" t="s">
        <v>1274</v>
      </c>
      <c r="G820" s="28" t="s">
        <v>9</v>
      </c>
      <c r="H820" s="2" t="s">
        <v>23</v>
      </c>
      <c r="I820" s="2">
        <v>3</v>
      </c>
      <c r="J820" s="2"/>
      <c r="K820" s="2">
        <v>32716.799999999999</v>
      </c>
      <c r="L820" s="35">
        <f t="shared" si="42"/>
        <v>101620507.392</v>
      </c>
      <c r="M820" s="36">
        <v>1440</v>
      </c>
      <c r="N820" s="40">
        <v>580217.14285714296</v>
      </c>
      <c r="O820" s="40">
        <v>1187.3571428571399</v>
      </c>
      <c r="P820" s="40">
        <v>0</v>
      </c>
      <c r="Q820" s="40">
        <v>36915.428571428602</v>
      </c>
      <c r="R820" s="40">
        <v>95643</v>
      </c>
      <c r="S820" s="40">
        <v>455600.57142857101</v>
      </c>
      <c r="T820" s="40"/>
      <c r="U820" s="40">
        <v>342964.28571428597</v>
      </c>
      <c r="V820" s="40">
        <v>0</v>
      </c>
      <c r="W820" s="45">
        <f t="shared" si="43"/>
        <v>1512527.7857142857</v>
      </c>
      <c r="X820" s="46">
        <f t="shared" si="44"/>
        <v>1.4884080236676307</v>
      </c>
    </row>
    <row r="821" spans="1:24" s="4" customFormat="1" ht="15" customHeight="1">
      <c r="A821" s="28" t="s">
        <v>1109</v>
      </c>
      <c r="B821" s="29">
        <v>3106.0650000000001</v>
      </c>
      <c r="C821" s="30" t="s">
        <v>1273</v>
      </c>
      <c r="D821" s="2">
        <v>4946369359</v>
      </c>
      <c r="E821" s="2" t="s">
        <v>10</v>
      </c>
      <c r="F821" s="78" t="s">
        <v>1274</v>
      </c>
      <c r="G821" s="28" t="s">
        <v>9</v>
      </c>
      <c r="H821" s="2" t="s">
        <v>23</v>
      </c>
      <c r="I821" s="2">
        <v>3</v>
      </c>
      <c r="J821" s="2"/>
      <c r="K821" s="2">
        <v>13584</v>
      </c>
      <c r="L821" s="35">
        <f t="shared" si="42"/>
        <v>42192786.960000001</v>
      </c>
      <c r="M821" s="36">
        <v>800</v>
      </c>
      <c r="N821" s="40">
        <v>322342.85714285698</v>
      </c>
      <c r="O821" s="40">
        <v>659.642857142857</v>
      </c>
      <c r="P821" s="40">
        <v>0</v>
      </c>
      <c r="Q821" s="40">
        <v>20508.571428571398</v>
      </c>
      <c r="R821" s="40">
        <v>53135</v>
      </c>
      <c r="S821" s="40">
        <v>253111.42857142899</v>
      </c>
      <c r="T821" s="40"/>
      <c r="U821" s="40">
        <v>190535.714285714</v>
      </c>
      <c r="V821" s="40">
        <v>0</v>
      </c>
      <c r="W821" s="45">
        <f t="shared" si="43"/>
        <v>840293.2142857142</v>
      </c>
      <c r="X821" s="46">
        <f t="shared" si="44"/>
        <v>1.9915565546365466</v>
      </c>
    </row>
    <row r="822" spans="1:24" s="4" customFormat="1" ht="15" customHeight="1">
      <c r="A822" s="28" t="s">
        <v>1109</v>
      </c>
      <c r="B822" s="29">
        <v>3106.0650000000001</v>
      </c>
      <c r="C822" s="30" t="s">
        <v>1275</v>
      </c>
      <c r="D822" s="2">
        <v>4946553536</v>
      </c>
      <c r="E822" s="2" t="s">
        <v>10</v>
      </c>
      <c r="F822" s="78" t="s">
        <v>1276</v>
      </c>
      <c r="G822" s="28" t="s">
        <v>5</v>
      </c>
      <c r="H822" s="2" t="s">
        <v>17</v>
      </c>
      <c r="I822" s="2">
        <v>1</v>
      </c>
      <c r="J822" s="2" t="s">
        <v>1277</v>
      </c>
      <c r="K822" s="2">
        <v>70200</v>
      </c>
      <c r="L822" s="35">
        <f t="shared" si="42"/>
        <v>218045763</v>
      </c>
      <c r="M822" s="36">
        <v>18000</v>
      </c>
      <c r="N822" s="40">
        <v>317056</v>
      </c>
      <c r="O822" s="40">
        <v>515212</v>
      </c>
      <c r="P822" s="40">
        <v>0</v>
      </c>
      <c r="Q822" s="40">
        <v>124137</v>
      </c>
      <c r="R822" s="40">
        <v>851071</v>
      </c>
      <c r="S822" s="40">
        <v>708712</v>
      </c>
      <c r="T822" s="40"/>
      <c r="U822" s="40">
        <v>1600500</v>
      </c>
      <c r="V822" s="40">
        <v>0</v>
      </c>
      <c r="W822" s="45">
        <f t="shared" si="43"/>
        <v>4116688</v>
      </c>
      <c r="X822" s="46">
        <f t="shared" si="44"/>
        <v>1.8879926595959582</v>
      </c>
    </row>
    <row r="823" spans="1:24" s="4" customFormat="1" ht="15" customHeight="1">
      <c r="A823" s="28" t="s">
        <v>1109</v>
      </c>
      <c r="B823" s="29">
        <v>3106.0650000000001</v>
      </c>
      <c r="C823" s="30" t="s">
        <v>1278</v>
      </c>
      <c r="D823" s="2">
        <v>4946882424</v>
      </c>
      <c r="E823" s="2" t="s">
        <v>10</v>
      </c>
      <c r="F823" s="78" t="s">
        <v>1279</v>
      </c>
      <c r="G823" s="28" t="s">
        <v>9</v>
      </c>
      <c r="H823" s="2" t="s">
        <v>23</v>
      </c>
      <c r="I823" s="2">
        <v>4</v>
      </c>
      <c r="J823" s="2"/>
      <c r="K823" s="2">
        <v>5260.8</v>
      </c>
      <c r="L823" s="35">
        <f t="shared" si="42"/>
        <v>16340386.752</v>
      </c>
      <c r="M823" s="36">
        <v>2112</v>
      </c>
      <c r="N823" s="40">
        <v>2506817</v>
      </c>
      <c r="O823" s="40">
        <v>1341</v>
      </c>
      <c r="P823" s="40">
        <v>51408</v>
      </c>
      <c r="Q823" s="40">
        <v>41310</v>
      </c>
      <c r="R823" s="40">
        <v>138714</v>
      </c>
      <c r="S823" s="40">
        <v>708712</v>
      </c>
      <c r="T823" s="40"/>
      <c r="U823" s="40">
        <v>533500</v>
      </c>
      <c r="V823" s="40">
        <v>0</v>
      </c>
      <c r="W823" s="45">
        <f t="shared" si="43"/>
        <v>3981802</v>
      </c>
      <c r="X823" s="46">
        <f t="shared" si="44"/>
        <v>24.367856528932176</v>
      </c>
    </row>
    <row r="824" spans="1:24" s="4" customFormat="1" ht="15" customHeight="1">
      <c r="A824" s="28" t="s">
        <v>1109</v>
      </c>
      <c r="B824" s="29">
        <v>3106.0650000000001</v>
      </c>
      <c r="C824" s="30" t="s">
        <v>1280</v>
      </c>
      <c r="D824" s="2">
        <v>4947224879</v>
      </c>
      <c r="E824" s="2" t="s">
        <v>10</v>
      </c>
      <c r="F824" s="78" t="s">
        <v>1281</v>
      </c>
      <c r="G824" s="28" t="s">
        <v>5</v>
      </c>
      <c r="H824" s="2" t="s">
        <v>17</v>
      </c>
      <c r="I824" s="2">
        <v>1</v>
      </c>
      <c r="J824" s="2" t="s">
        <v>1282</v>
      </c>
      <c r="K824" s="2">
        <v>13151.6</v>
      </c>
      <c r="L824" s="35">
        <f t="shared" si="42"/>
        <v>40849724.454000004</v>
      </c>
      <c r="M824" s="36">
        <v>5390</v>
      </c>
      <c r="N824" s="40">
        <v>321838</v>
      </c>
      <c r="O824" s="40">
        <v>515212</v>
      </c>
      <c r="P824" s="40">
        <v>0</v>
      </c>
      <c r="Q824" s="40">
        <v>124137</v>
      </c>
      <c r="R824" s="40">
        <v>768173</v>
      </c>
      <c r="S824" s="40">
        <v>708712</v>
      </c>
      <c r="T824" s="40"/>
      <c r="U824" s="40">
        <v>1400500</v>
      </c>
      <c r="V824" s="40">
        <v>0</v>
      </c>
      <c r="W824" s="45">
        <f t="shared" si="43"/>
        <v>3838572</v>
      </c>
      <c r="X824" s="46">
        <f t="shared" si="44"/>
        <v>9.3968124664403394</v>
      </c>
    </row>
    <row r="825" spans="1:24" s="4" customFormat="1" ht="15" customHeight="1">
      <c r="A825" s="28" t="s">
        <v>1109</v>
      </c>
      <c r="B825" s="29">
        <v>3106.0650000000001</v>
      </c>
      <c r="C825" s="30" t="s">
        <v>1283</v>
      </c>
      <c r="D825" s="2">
        <v>4946294304</v>
      </c>
      <c r="E825" s="2" t="s">
        <v>10</v>
      </c>
      <c r="F825" s="78" t="s">
        <v>1284</v>
      </c>
      <c r="G825" s="28" t="s">
        <v>5</v>
      </c>
      <c r="H825" s="2" t="s">
        <v>20</v>
      </c>
      <c r="I825" s="2">
        <v>1</v>
      </c>
      <c r="J825" s="2" t="s">
        <v>1285</v>
      </c>
      <c r="K825" s="2">
        <v>40384</v>
      </c>
      <c r="L825" s="35">
        <f t="shared" si="42"/>
        <v>125435328.96000001</v>
      </c>
      <c r="M825" s="36">
        <v>6400</v>
      </c>
      <c r="N825" s="40">
        <v>321838</v>
      </c>
      <c r="O825" s="40">
        <v>392345</v>
      </c>
      <c r="P825" s="40">
        <v>0</v>
      </c>
      <c r="Q825" s="40">
        <v>124137</v>
      </c>
      <c r="R825" s="40">
        <v>643422</v>
      </c>
      <c r="S825" s="40">
        <v>708712</v>
      </c>
      <c r="T825" s="40"/>
      <c r="U825" s="40">
        <v>1352000</v>
      </c>
      <c r="V825" s="40">
        <v>0</v>
      </c>
      <c r="W825" s="45">
        <f t="shared" si="43"/>
        <v>3542454</v>
      </c>
      <c r="X825" s="46">
        <f t="shared" si="44"/>
        <v>2.8241278030447474</v>
      </c>
    </row>
    <row r="826" spans="1:24" s="4" customFormat="1" ht="15" customHeight="1">
      <c r="A826" s="28" t="s">
        <v>1109</v>
      </c>
      <c r="B826" s="29">
        <v>3106.0650000000001</v>
      </c>
      <c r="C826" s="30" t="s">
        <v>1286</v>
      </c>
      <c r="D826" s="2">
        <v>4947720143</v>
      </c>
      <c r="E826" s="2" t="s">
        <v>10</v>
      </c>
      <c r="F826" s="78" t="s">
        <v>1287</v>
      </c>
      <c r="G826" s="28" t="s">
        <v>5</v>
      </c>
      <c r="H826" s="2" t="s">
        <v>20</v>
      </c>
      <c r="I826" s="2">
        <v>1</v>
      </c>
      <c r="J826" s="2" t="s">
        <v>1288</v>
      </c>
      <c r="K826" s="2">
        <v>106176</v>
      </c>
      <c r="L826" s="35">
        <f t="shared" si="42"/>
        <v>329789557.44</v>
      </c>
      <c r="M826" s="36">
        <v>16800</v>
      </c>
      <c r="N826" s="40">
        <v>318619</v>
      </c>
      <c r="O826" s="40">
        <v>392345</v>
      </c>
      <c r="P826" s="40">
        <v>0</v>
      </c>
      <c r="Q826" s="40">
        <v>124137</v>
      </c>
      <c r="R826" s="40">
        <v>732270</v>
      </c>
      <c r="S826" s="40">
        <v>708712</v>
      </c>
      <c r="T826" s="40"/>
      <c r="U826" s="40">
        <v>1381100</v>
      </c>
      <c r="V826" s="40">
        <v>0</v>
      </c>
      <c r="W826" s="45">
        <f t="shared" si="43"/>
        <v>3657183</v>
      </c>
      <c r="X826" s="46">
        <f t="shared" si="44"/>
        <v>1.1089444518464981</v>
      </c>
    </row>
    <row r="827" spans="1:24" s="4" customFormat="1" ht="15" customHeight="1">
      <c r="A827" s="28" t="s">
        <v>1109</v>
      </c>
      <c r="B827" s="29">
        <v>3106.0650000000001</v>
      </c>
      <c r="C827" s="30" t="s">
        <v>1289</v>
      </c>
      <c r="D827" s="2">
        <v>4947574268</v>
      </c>
      <c r="E827" s="2" t="s">
        <v>10</v>
      </c>
      <c r="F827" s="78" t="s">
        <v>1290</v>
      </c>
      <c r="G827" s="28" t="s">
        <v>5</v>
      </c>
      <c r="H827" s="2" t="s">
        <v>17</v>
      </c>
      <c r="I827" s="2">
        <v>1</v>
      </c>
      <c r="J827" s="2" t="s">
        <v>1291</v>
      </c>
      <c r="K827" s="2">
        <v>40384</v>
      </c>
      <c r="L827" s="35">
        <f t="shared" si="42"/>
        <v>125435328.96000001</v>
      </c>
      <c r="M827" s="36">
        <v>7040</v>
      </c>
      <c r="N827" s="40">
        <v>160919</v>
      </c>
      <c r="O827" s="40">
        <v>257606</v>
      </c>
      <c r="P827" s="40">
        <v>0</v>
      </c>
      <c r="Q827" s="40">
        <v>62068.5</v>
      </c>
      <c r="R827" s="40">
        <v>384087</v>
      </c>
      <c r="S827" s="40">
        <v>354356</v>
      </c>
      <c r="T827" s="40"/>
      <c r="U827" s="40">
        <v>700250</v>
      </c>
      <c r="V827" s="40">
        <v>0</v>
      </c>
      <c r="W827" s="45">
        <f t="shared" si="43"/>
        <v>1919286.5</v>
      </c>
      <c r="X827" s="46">
        <f t="shared" si="44"/>
        <v>1.5301004237905256</v>
      </c>
    </row>
    <row r="828" spans="1:24" s="4" customFormat="1" ht="15" customHeight="1">
      <c r="A828" s="28" t="s">
        <v>1109</v>
      </c>
      <c r="B828" s="29">
        <v>3106.0650000000001</v>
      </c>
      <c r="C828" s="30" t="s">
        <v>1289</v>
      </c>
      <c r="D828" s="2">
        <v>4947574269</v>
      </c>
      <c r="E828" s="2" t="s">
        <v>10</v>
      </c>
      <c r="F828" s="78" t="s">
        <v>1290</v>
      </c>
      <c r="G828" s="28" t="s">
        <v>5</v>
      </c>
      <c r="H828" s="2" t="s">
        <v>17</v>
      </c>
      <c r="I828" s="2">
        <v>1</v>
      </c>
      <c r="J828" s="2" t="s">
        <v>1291</v>
      </c>
      <c r="K828" s="2">
        <v>40384</v>
      </c>
      <c r="L828" s="35">
        <f t="shared" si="42"/>
        <v>125435328.96000001</v>
      </c>
      <c r="M828" s="36">
        <v>7040</v>
      </c>
      <c r="N828" s="40">
        <v>160919</v>
      </c>
      <c r="O828" s="40">
        <v>257606</v>
      </c>
      <c r="P828" s="40">
        <v>0</v>
      </c>
      <c r="Q828" s="40">
        <v>62068.5</v>
      </c>
      <c r="R828" s="40">
        <v>384087</v>
      </c>
      <c r="S828" s="40">
        <v>354356</v>
      </c>
      <c r="T828" s="40"/>
      <c r="U828" s="40">
        <v>700250</v>
      </c>
      <c r="V828" s="40">
        <v>0</v>
      </c>
      <c r="W828" s="45">
        <f t="shared" si="43"/>
        <v>1919286.5</v>
      </c>
      <c r="X828" s="46">
        <f t="shared" si="44"/>
        <v>1.5301004237905256</v>
      </c>
    </row>
    <row r="829" spans="1:24" s="4" customFormat="1" ht="15" customHeight="1">
      <c r="A829" s="28" t="s">
        <v>1109</v>
      </c>
      <c r="B829" s="29">
        <v>3106.0650000000001</v>
      </c>
      <c r="C829" s="30" t="s">
        <v>1292</v>
      </c>
      <c r="D829" s="2">
        <v>4947493047</v>
      </c>
      <c r="E829" s="2" t="s">
        <v>33</v>
      </c>
      <c r="F829" s="78" t="s">
        <v>1293</v>
      </c>
      <c r="G829" s="28" t="s">
        <v>5</v>
      </c>
      <c r="H829" s="2" t="s">
        <v>20</v>
      </c>
      <c r="I829" s="2">
        <v>1</v>
      </c>
      <c r="J829" s="2" t="s">
        <v>1294</v>
      </c>
      <c r="K829" s="2">
        <v>13416</v>
      </c>
      <c r="L829" s="35">
        <f t="shared" si="42"/>
        <v>41670968.039999999</v>
      </c>
      <c r="M829" s="36">
        <v>24000</v>
      </c>
      <c r="N829" s="40">
        <v>644932</v>
      </c>
      <c r="O829" s="40">
        <v>249323</v>
      </c>
      <c r="P829" s="40">
        <v>401215</v>
      </c>
      <c r="Q829" s="40">
        <v>165948</v>
      </c>
      <c r="R829" s="40">
        <v>799805</v>
      </c>
      <c r="S829" s="40">
        <v>354356</v>
      </c>
      <c r="T829" s="40"/>
      <c r="U829" s="40">
        <v>3847100</v>
      </c>
      <c r="V829" s="40">
        <v>0</v>
      </c>
      <c r="W829" s="45">
        <f t="shared" si="43"/>
        <v>6462679</v>
      </c>
      <c r="X829" s="46">
        <f t="shared" si="44"/>
        <v>15.508828577719791</v>
      </c>
    </row>
    <row r="830" spans="1:24" s="4" customFormat="1" ht="15" customHeight="1">
      <c r="A830" s="28" t="s">
        <v>1109</v>
      </c>
      <c r="B830" s="29">
        <v>3106.0650000000001</v>
      </c>
      <c r="C830" s="30" t="s">
        <v>1295</v>
      </c>
      <c r="D830" s="2">
        <v>4948892083</v>
      </c>
      <c r="E830" s="2" t="s">
        <v>36</v>
      </c>
      <c r="F830" s="78" t="s">
        <v>1296</v>
      </c>
      <c r="G830" s="28" t="s">
        <v>5</v>
      </c>
      <c r="H830" s="2" t="s">
        <v>20</v>
      </c>
      <c r="I830" s="2">
        <v>3</v>
      </c>
      <c r="J830" s="2" t="s">
        <v>1297</v>
      </c>
      <c r="K830" s="2">
        <v>109980</v>
      </c>
      <c r="L830" s="35">
        <f t="shared" si="42"/>
        <v>341605028.69999999</v>
      </c>
      <c r="M830" s="36">
        <v>58500</v>
      </c>
      <c r="N830" s="40">
        <v>892193</v>
      </c>
      <c r="O830" s="40">
        <v>1177035</v>
      </c>
      <c r="P830" s="40">
        <v>1262211</v>
      </c>
      <c r="Q830" s="40">
        <v>372411</v>
      </c>
      <c r="R830" s="40">
        <v>2555901</v>
      </c>
      <c r="S830" s="40">
        <v>354356</v>
      </c>
      <c r="T830" s="40"/>
      <c r="U830" s="40">
        <v>14433600</v>
      </c>
      <c r="V830" s="40">
        <v>0</v>
      </c>
      <c r="W830" s="45">
        <f t="shared" si="43"/>
        <v>21047707</v>
      </c>
      <c r="X830" s="46">
        <f t="shared" si="44"/>
        <v>6.161416030700253</v>
      </c>
    </row>
    <row r="831" spans="1:24" s="4" customFormat="1" ht="15" customHeight="1">
      <c r="A831" s="28" t="s">
        <v>1109</v>
      </c>
      <c r="B831" s="29">
        <v>3106.0650000000001</v>
      </c>
      <c r="C831" s="30" t="s">
        <v>1298</v>
      </c>
      <c r="D831" s="2">
        <v>4948449283</v>
      </c>
      <c r="E831" s="2" t="s">
        <v>36</v>
      </c>
      <c r="F831" s="78" t="s">
        <v>1299</v>
      </c>
      <c r="G831" s="28" t="s">
        <v>5</v>
      </c>
      <c r="H831" s="2" t="s">
        <v>20</v>
      </c>
      <c r="I831" s="2">
        <v>3</v>
      </c>
      <c r="J831" s="2" t="s">
        <v>1300</v>
      </c>
      <c r="K831" s="2">
        <v>131040</v>
      </c>
      <c r="L831" s="35">
        <f t="shared" si="42"/>
        <v>407018757.60000002</v>
      </c>
      <c r="M831" s="36">
        <v>58500</v>
      </c>
      <c r="N831" s="40">
        <v>952920</v>
      </c>
      <c r="O831" s="40">
        <v>1177035</v>
      </c>
      <c r="P831" s="40">
        <v>0</v>
      </c>
      <c r="Q831" s="40">
        <v>372411</v>
      </c>
      <c r="R831" s="40">
        <v>2168452</v>
      </c>
      <c r="S831" s="40">
        <v>354356</v>
      </c>
      <c r="T831" s="40"/>
      <c r="U831" s="40">
        <v>1557900</v>
      </c>
      <c r="V831" s="40">
        <v>0</v>
      </c>
      <c r="W831" s="45">
        <f t="shared" si="43"/>
        <v>6583074</v>
      </c>
      <c r="X831" s="46">
        <f t="shared" si="44"/>
        <v>1.6173883579266275</v>
      </c>
    </row>
    <row r="832" spans="1:24" s="4" customFormat="1" ht="15" customHeight="1">
      <c r="A832" s="28" t="s">
        <v>1109</v>
      </c>
      <c r="B832" s="29">
        <v>3106.0650000000001</v>
      </c>
      <c r="C832" s="30" t="s">
        <v>1301</v>
      </c>
      <c r="D832" s="2">
        <v>4947226230</v>
      </c>
      <c r="E832" s="2" t="s">
        <v>6</v>
      </c>
      <c r="F832" s="78" t="s">
        <v>1302</v>
      </c>
      <c r="G832" s="28" t="s">
        <v>9</v>
      </c>
      <c r="H832" s="2" t="s">
        <v>23</v>
      </c>
      <c r="I832" s="2">
        <v>3</v>
      </c>
      <c r="J832" s="2"/>
      <c r="K832" s="2">
        <v>22996.799999999999</v>
      </c>
      <c r="L832" s="35">
        <f t="shared" si="42"/>
        <v>71429555.591999993</v>
      </c>
      <c r="M832" s="36">
        <v>1584</v>
      </c>
      <c r="N832" s="40">
        <v>775269</v>
      </c>
      <c r="O832" s="40">
        <v>1176</v>
      </c>
      <c r="P832" s="40">
        <v>0</v>
      </c>
      <c r="Q832" s="40">
        <v>36514</v>
      </c>
      <c r="R832" s="40">
        <v>121601</v>
      </c>
      <c r="S832" s="40">
        <v>354356</v>
      </c>
      <c r="T832" s="37">
        <v>30000</v>
      </c>
      <c r="U832" s="40">
        <v>878105.26315789495</v>
      </c>
      <c r="V832" s="40">
        <v>0</v>
      </c>
      <c r="W832" s="45">
        <f t="shared" si="43"/>
        <v>2197021.2631578948</v>
      </c>
      <c r="X832" s="46">
        <f t="shared" si="44"/>
        <v>3.0757873893365764</v>
      </c>
    </row>
    <row r="833" spans="1:24" s="4" customFormat="1" ht="15" customHeight="1">
      <c r="A833" s="28" t="s">
        <v>1109</v>
      </c>
      <c r="B833" s="29">
        <v>3106.0650000000001</v>
      </c>
      <c r="C833" s="30" t="s">
        <v>1303</v>
      </c>
      <c r="D833" s="2">
        <v>4948449287</v>
      </c>
      <c r="E833" s="2" t="s">
        <v>36</v>
      </c>
      <c r="F833" s="78" t="s">
        <v>1304</v>
      </c>
      <c r="G833" s="28" t="s">
        <v>5</v>
      </c>
      <c r="H833" s="2" t="s">
        <v>20</v>
      </c>
      <c r="I833" s="2">
        <v>2</v>
      </c>
      <c r="J833" s="2" t="s">
        <v>1305</v>
      </c>
      <c r="K833" s="2">
        <v>87360</v>
      </c>
      <c r="L833" s="35">
        <f t="shared" si="42"/>
        <v>271345838.39999998</v>
      </c>
      <c r="M833" s="36">
        <v>39000</v>
      </c>
      <c r="N833" s="40">
        <v>635280</v>
      </c>
      <c r="O833" s="40">
        <v>784690</v>
      </c>
      <c r="P833" s="40">
        <v>0</v>
      </c>
      <c r="Q833" s="40">
        <v>248274</v>
      </c>
      <c r="R833" s="40">
        <v>1446635</v>
      </c>
      <c r="S833" s="40">
        <v>354356</v>
      </c>
      <c r="T833" s="40"/>
      <c r="U833" s="40">
        <v>1038600</v>
      </c>
      <c r="V833" s="40">
        <v>0</v>
      </c>
      <c r="W833" s="45">
        <f t="shared" si="43"/>
        <v>4507835</v>
      </c>
      <c r="X833" s="46">
        <f t="shared" si="44"/>
        <v>1.6612876860690413</v>
      </c>
    </row>
    <row r="834" spans="1:24" s="4" customFormat="1" ht="15" customHeight="1">
      <c r="A834" s="28" t="s">
        <v>1109</v>
      </c>
      <c r="B834" s="29">
        <v>3106.0650000000001</v>
      </c>
      <c r="C834" s="30" t="s">
        <v>1306</v>
      </c>
      <c r="D834" s="2">
        <v>4948559160</v>
      </c>
      <c r="E834" s="2" t="s">
        <v>24</v>
      </c>
      <c r="F834" s="78" t="s">
        <v>1307</v>
      </c>
      <c r="G834" s="28" t="s">
        <v>5</v>
      </c>
      <c r="H834" s="2" t="s">
        <v>20</v>
      </c>
      <c r="I834" s="2">
        <v>1</v>
      </c>
      <c r="J834" s="2" t="s">
        <v>1308</v>
      </c>
      <c r="K834" s="2">
        <v>1680</v>
      </c>
      <c r="L834" s="35">
        <f t="shared" si="42"/>
        <v>5218189.2</v>
      </c>
      <c r="M834" s="36">
        <v>375</v>
      </c>
      <c r="N834" s="40">
        <v>48428.303198887297</v>
      </c>
      <c r="O834" s="40">
        <v>32871.070931849797</v>
      </c>
      <c r="P834" s="40">
        <v>0</v>
      </c>
      <c r="Q834" s="40">
        <v>10359.0751043115</v>
      </c>
      <c r="R834" s="40">
        <f>55214.9165507649+20862</f>
        <v>76076.916550764901</v>
      </c>
      <c r="S834" s="40">
        <v>36963.421418637001</v>
      </c>
      <c r="T834" s="40"/>
      <c r="U834" s="40">
        <v>273191.93324061198</v>
      </c>
      <c r="V834" s="40">
        <v>0</v>
      </c>
      <c r="W834" s="45">
        <f t="shared" si="43"/>
        <v>477890.7204450625</v>
      </c>
      <c r="X834" s="46">
        <f t="shared" si="44"/>
        <v>9.1581715826835577</v>
      </c>
    </row>
    <row r="835" spans="1:24" s="4" customFormat="1" ht="15" customHeight="1">
      <c r="A835" s="28" t="s">
        <v>1109</v>
      </c>
      <c r="B835" s="29">
        <v>3106.0650000000001</v>
      </c>
      <c r="C835" s="30" t="s">
        <v>1306</v>
      </c>
      <c r="D835" s="2">
        <v>4948413338</v>
      </c>
      <c r="E835" s="2" t="s">
        <v>14</v>
      </c>
      <c r="F835" s="78" t="s">
        <v>1307</v>
      </c>
      <c r="G835" s="28" t="s">
        <v>5</v>
      </c>
      <c r="H835" s="2" t="s">
        <v>20</v>
      </c>
      <c r="I835" s="2">
        <v>1</v>
      </c>
      <c r="J835" s="2" t="s">
        <v>1308</v>
      </c>
      <c r="K835" s="2">
        <v>3537.5</v>
      </c>
      <c r="L835" s="35">
        <f t="shared" si="42"/>
        <v>10987704.9375</v>
      </c>
      <c r="M835" s="36">
        <v>250</v>
      </c>
      <c r="N835" s="40">
        <v>32285.535465924899</v>
      </c>
      <c r="O835" s="40">
        <v>21914.047287899899</v>
      </c>
      <c r="P835" s="40">
        <v>0</v>
      </c>
      <c r="Q835" s="40">
        <v>6906.0500695410301</v>
      </c>
      <c r="R835" s="40">
        <f>36809.9443671766+13908</f>
        <v>50717.944367176598</v>
      </c>
      <c r="S835" s="40">
        <v>24642.280945758001</v>
      </c>
      <c r="T835" s="37">
        <v>30000</v>
      </c>
      <c r="U835" s="40">
        <v>182127.955493741</v>
      </c>
      <c r="V835" s="40">
        <v>0</v>
      </c>
      <c r="W835" s="45">
        <f t="shared" si="43"/>
        <v>348593.81363004143</v>
      </c>
      <c r="X835" s="46">
        <f t="shared" si="44"/>
        <v>3.1725807674387365</v>
      </c>
    </row>
    <row r="836" spans="1:24" s="4" customFormat="1" ht="15" customHeight="1">
      <c r="A836" s="28" t="s">
        <v>1109</v>
      </c>
      <c r="B836" s="29">
        <v>3106.0650000000001</v>
      </c>
      <c r="C836" s="30" t="s">
        <v>1306</v>
      </c>
      <c r="D836" s="2">
        <v>4948951745</v>
      </c>
      <c r="E836" s="2" t="s">
        <v>14</v>
      </c>
      <c r="F836" s="78" t="s">
        <v>1307</v>
      </c>
      <c r="G836" s="28" t="s">
        <v>5</v>
      </c>
      <c r="H836" s="2" t="s">
        <v>20</v>
      </c>
      <c r="I836" s="2">
        <v>1</v>
      </c>
      <c r="J836" s="2" t="s">
        <v>1308</v>
      </c>
      <c r="K836" s="2">
        <v>16275.6</v>
      </c>
      <c r="L836" s="35">
        <f t="shared" si="42"/>
        <v>50553071.513999999</v>
      </c>
      <c r="M836" s="36">
        <v>2970</v>
      </c>
      <c r="N836" s="40">
        <v>383552.16133518802</v>
      </c>
      <c r="O836" s="40">
        <v>260338.88178025</v>
      </c>
      <c r="P836" s="40">
        <v>0</v>
      </c>
      <c r="Q836" s="40">
        <v>82043.874826147396</v>
      </c>
      <c r="R836" s="40">
        <f>437302.139082058+165299</f>
        <v>602601.13908205798</v>
      </c>
      <c r="S836" s="40">
        <v>292750.29763560498</v>
      </c>
      <c r="T836" s="37">
        <v>30000</v>
      </c>
      <c r="U836" s="40">
        <v>2163680.11126565</v>
      </c>
      <c r="V836" s="40">
        <v>0</v>
      </c>
      <c r="W836" s="45">
        <f t="shared" si="43"/>
        <v>3814966.4659248986</v>
      </c>
      <c r="X836" s="46">
        <f t="shared" si="44"/>
        <v>7.5464583093994495</v>
      </c>
    </row>
    <row r="837" spans="1:24" s="4" customFormat="1" ht="15" customHeight="1">
      <c r="A837" s="28" t="s">
        <v>1109</v>
      </c>
      <c r="B837" s="29">
        <v>3106.0650000000001</v>
      </c>
      <c r="C837" s="30" t="s">
        <v>1309</v>
      </c>
      <c r="D837" s="2">
        <v>4948536587</v>
      </c>
      <c r="E837" s="2" t="s">
        <v>18</v>
      </c>
      <c r="F837" s="2" t="s">
        <v>1310</v>
      </c>
      <c r="G837" s="28" t="s">
        <v>9</v>
      </c>
      <c r="H837" s="2" t="s">
        <v>23</v>
      </c>
      <c r="I837" s="2">
        <v>1</v>
      </c>
      <c r="J837" s="2"/>
      <c r="K837" s="2">
        <v>3221</v>
      </c>
      <c r="L837" s="35">
        <f t="shared" si="42"/>
        <v>10004635.365</v>
      </c>
      <c r="M837" s="36">
        <v>100</v>
      </c>
      <c r="N837" s="40">
        <v>391394</v>
      </c>
      <c r="O837" s="40">
        <v>61</v>
      </c>
      <c r="P837" s="40">
        <v>0</v>
      </c>
      <c r="Q837" s="40">
        <v>2055</v>
      </c>
      <c r="R837" s="40">
        <v>219341.39</v>
      </c>
      <c r="S837" s="40">
        <v>354356</v>
      </c>
      <c r="T837" s="37">
        <v>30000</v>
      </c>
      <c r="U837" s="40">
        <v>58091.922005571003</v>
      </c>
      <c r="V837" s="40">
        <v>37186.629526462399</v>
      </c>
      <c r="W837" s="45">
        <f t="shared" si="43"/>
        <v>1092485.9415320335</v>
      </c>
      <c r="X837" s="46">
        <f t="shared" si="44"/>
        <v>10.919797690518164</v>
      </c>
    </row>
    <row r="838" spans="1:24" s="4" customFormat="1" ht="15" customHeight="1">
      <c r="A838" s="28" t="s">
        <v>1109</v>
      </c>
      <c r="B838" s="29">
        <v>3106.0650000000001</v>
      </c>
      <c r="C838" s="30" t="s">
        <v>1311</v>
      </c>
      <c r="D838" s="2">
        <v>4948775104</v>
      </c>
      <c r="E838" s="2" t="s">
        <v>14</v>
      </c>
      <c r="F838" s="2" t="s">
        <v>1312</v>
      </c>
      <c r="G838" s="28" t="s">
        <v>9</v>
      </c>
      <c r="H838" s="2" t="s">
        <v>23</v>
      </c>
      <c r="I838" s="2">
        <v>4</v>
      </c>
      <c r="J838" s="2"/>
      <c r="K838" s="2">
        <v>31358.25</v>
      </c>
      <c r="L838" s="35">
        <f t="shared" si="42"/>
        <v>97400762.786249995</v>
      </c>
      <c r="M838" s="36">
        <v>1575</v>
      </c>
      <c r="N838" s="40">
        <v>397834.73523421597</v>
      </c>
      <c r="O838" s="40">
        <v>1024.5519348268799</v>
      </c>
      <c r="P838" s="40">
        <v>0</v>
      </c>
      <c r="Q838" s="40">
        <v>25683.085539714899</v>
      </c>
      <c r="R838" s="40">
        <v>77185.906313645595</v>
      </c>
      <c r="S838" s="40">
        <v>227336.33401222</v>
      </c>
      <c r="T838" s="37">
        <v>30000</v>
      </c>
      <c r="U838" s="40">
        <v>796281.818181818</v>
      </c>
      <c r="V838" s="40">
        <v>0</v>
      </c>
      <c r="W838" s="45">
        <f t="shared" si="43"/>
        <v>1555346.4312164413</v>
      </c>
      <c r="X838" s="46">
        <f t="shared" si="44"/>
        <v>1.5968524133940443</v>
      </c>
    </row>
    <row r="839" spans="1:24" s="4" customFormat="1" ht="15" customHeight="1">
      <c r="A839" s="28" t="s">
        <v>1109</v>
      </c>
      <c r="B839" s="29">
        <v>3106.0650000000001</v>
      </c>
      <c r="C839" s="30" t="s">
        <v>1311</v>
      </c>
      <c r="D839" s="2">
        <v>4949035724</v>
      </c>
      <c r="E839" s="2" t="s">
        <v>14</v>
      </c>
      <c r="F839" s="2" t="s">
        <v>1312</v>
      </c>
      <c r="G839" s="28" t="s">
        <v>9</v>
      </c>
      <c r="H839" s="2" t="s">
        <v>23</v>
      </c>
      <c r="I839" s="2">
        <v>4</v>
      </c>
      <c r="J839" s="2"/>
      <c r="K839" s="2">
        <v>2156</v>
      </c>
      <c r="L839" s="35">
        <f t="shared" si="42"/>
        <v>6696676.1399999997</v>
      </c>
      <c r="M839" s="36">
        <f>660+220</f>
        <v>880</v>
      </c>
      <c r="N839" s="40">
        <v>222282.264765784</v>
      </c>
      <c r="O839" s="40">
        <v>572.44806517311599</v>
      </c>
      <c r="P839" s="40">
        <v>0</v>
      </c>
      <c r="Q839" s="40">
        <v>14349.914460285099</v>
      </c>
      <c r="R839" s="40">
        <v>43126.093686354398</v>
      </c>
      <c r="S839" s="40">
        <v>127019.66598778</v>
      </c>
      <c r="T839" s="37">
        <v>30000</v>
      </c>
      <c r="U839" s="40">
        <v>444906.66666666698</v>
      </c>
      <c r="V839" s="40">
        <v>0</v>
      </c>
      <c r="W839" s="45">
        <f t="shared" si="43"/>
        <v>882257.05363204353</v>
      </c>
      <c r="X839" s="46">
        <f t="shared" si="44"/>
        <v>13.174551601237262</v>
      </c>
    </row>
    <row r="840" spans="1:24" s="4" customFormat="1" ht="15" customHeight="1">
      <c r="A840" s="28" t="s">
        <v>1109</v>
      </c>
      <c r="B840" s="29">
        <v>3106.0650000000001</v>
      </c>
      <c r="C840" s="30" t="s">
        <v>1313</v>
      </c>
      <c r="D840" s="2">
        <v>4948472952</v>
      </c>
      <c r="E840" s="2" t="s">
        <v>21</v>
      </c>
      <c r="F840" s="2" t="s">
        <v>1314</v>
      </c>
      <c r="G840" s="28" t="s">
        <v>9</v>
      </c>
      <c r="H840" s="2" t="s">
        <v>23</v>
      </c>
      <c r="I840" s="2">
        <v>4</v>
      </c>
      <c r="J840" s="2"/>
      <c r="K840" s="2">
        <v>10670.4</v>
      </c>
      <c r="L840" s="35">
        <f t="shared" si="42"/>
        <v>33142955.976</v>
      </c>
      <c r="M840" s="36">
        <v>3040</v>
      </c>
      <c r="N840" s="40">
        <v>455772</v>
      </c>
      <c r="O840" s="40">
        <v>2093</v>
      </c>
      <c r="P840" s="40">
        <v>0</v>
      </c>
      <c r="Q840" s="40">
        <v>52584</v>
      </c>
      <c r="R840" s="40">
        <v>130711</v>
      </c>
      <c r="S840" s="40">
        <v>354356</v>
      </c>
      <c r="T840" s="40"/>
      <c r="U840" s="40">
        <v>252200</v>
      </c>
      <c r="V840" s="40">
        <v>0</v>
      </c>
      <c r="W840" s="45">
        <f t="shared" si="43"/>
        <v>1247716</v>
      </c>
      <c r="X840" s="46">
        <f t="shared" si="44"/>
        <v>3.7646491185140989</v>
      </c>
    </row>
    <row r="841" spans="1:24" s="4" customFormat="1" ht="15" customHeight="1">
      <c r="A841" s="28" t="s">
        <v>1109</v>
      </c>
      <c r="B841" s="29">
        <v>3106.0650000000001</v>
      </c>
      <c r="C841" s="30" t="s">
        <v>1315</v>
      </c>
      <c r="D841" s="2">
        <v>4948559409</v>
      </c>
      <c r="E841" s="2" t="s">
        <v>14</v>
      </c>
      <c r="F841" s="2" t="s">
        <v>1316</v>
      </c>
      <c r="G841" s="28" t="s">
        <v>9</v>
      </c>
      <c r="H841" s="2" t="s">
        <v>23</v>
      </c>
      <c r="I841" s="2">
        <v>6</v>
      </c>
      <c r="J841" s="2"/>
      <c r="K841" s="2">
        <v>12426</v>
      </c>
      <c r="L841" s="35">
        <f t="shared" ref="L841:L904" si="45">B841*K841</f>
        <v>38595963.689999998</v>
      </c>
      <c r="M841" s="36">
        <v>600</v>
      </c>
      <c r="N841" s="40">
        <v>537320</v>
      </c>
      <c r="O841" s="40">
        <v>415.58823529411802</v>
      </c>
      <c r="P841" s="40">
        <v>0</v>
      </c>
      <c r="Q841" s="40">
        <v>10371.7647058824</v>
      </c>
      <c r="R841" s="40">
        <v>36257.352941176498</v>
      </c>
      <c r="S841" s="40">
        <v>104222.352941176</v>
      </c>
      <c r="T841" s="37">
        <v>30000</v>
      </c>
      <c r="U841" s="40">
        <v>348551.53203342599</v>
      </c>
      <c r="V841" s="40">
        <v>223119.777158774</v>
      </c>
      <c r="W841" s="45">
        <f t="shared" ref="W841:W904" si="46">+SUM(N841:V841)</f>
        <v>1290258.3680157289</v>
      </c>
      <c r="X841" s="46">
        <f t="shared" ref="X841:X904" si="47">(W841/L841)*100</f>
        <v>3.3429878273774722</v>
      </c>
    </row>
    <row r="842" spans="1:24" s="4" customFormat="1" ht="15" customHeight="1">
      <c r="A842" s="28" t="s">
        <v>1109</v>
      </c>
      <c r="B842" s="29">
        <v>3106.0650000000001</v>
      </c>
      <c r="C842" s="30" t="s">
        <v>1315</v>
      </c>
      <c r="D842" s="2">
        <v>4948242184</v>
      </c>
      <c r="E842" s="2" t="s">
        <v>14</v>
      </c>
      <c r="F842" s="2" t="s">
        <v>1316</v>
      </c>
      <c r="G842" s="28" t="s">
        <v>9</v>
      </c>
      <c r="H842" s="2" t="s">
        <v>23</v>
      </c>
      <c r="I842" s="2">
        <v>6</v>
      </c>
      <c r="J842" s="2"/>
      <c r="K842" s="2">
        <v>57009.599999999999</v>
      </c>
      <c r="L842" s="35">
        <f t="shared" si="45"/>
        <v>177075523.22400001</v>
      </c>
      <c r="M842" s="36">
        <v>1440</v>
      </c>
      <c r="N842" s="40">
        <v>1289568</v>
      </c>
      <c r="O842" s="40">
        <v>997.41176470588198</v>
      </c>
      <c r="P842" s="40">
        <v>0</v>
      </c>
      <c r="Q842" s="40">
        <v>24892.235294117701</v>
      </c>
      <c r="R842" s="40">
        <v>87017.647058823495</v>
      </c>
      <c r="S842" s="40">
        <v>250133.64705882399</v>
      </c>
      <c r="T842" s="37">
        <v>30000</v>
      </c>
      <c r="U842" s="40">
        <v>836523.67688022298</v>
      </c>
      <c r="V842" s="40">
        <v>535487.46518105897</v>
      </c>
      <c r="W842" s="45">
        <f t="shared" si="46"/>
        <v>3054620.0832377532</v>
      </c>
      <c r="X842" s="46">
        <f t="shared" si="47"/>
        <v>1.7250380106874896</v>
      </c>
    </row>
    <row r="843" spans="1:24" s="4" customFormat="1" ht="15" customHeight="1">
      <c r="A843" s="28" t="s">
        <v>1109</v>
      </c>
      <c r="B843" s="29">
        <v>3106.0650000000001</v>
      </c>
      <c r="C843" s="30" t="s">
        <v>1317</v>
      </c>
      <c r="D843" s="2">
        <v>4948620871</v>
      </c>
      <c r="E843" s="2" t="s">
        <v>18</v>
      </c>
      <c r="F843" s="2" t="s">
        <v>1318</v>
      </c>
      <c r="G843" s="28" t="s">
        <v>9</v>
      </c>
      <c r="H843" s="2" t="s">
        <v>23</v>
      </c>
      <c r="I843" s="2">
        <v>3</v>
      </c>
      <c r="J843" s="2"/>
      <c r="K843" s="2">
        <v>94925</v>
      </c>
      <c r="L843" s="35">
        <f t="shared" si="45"/>
        <v>294843220.125</v>
      </c>
      <c r="M843" s="36">
        <v>1250</v>
      </c>
      <c r="N843" s="40">
        <v>533931.89655172406</v>
      </c>
      <c r="O843" s="40">
        <v>847.41379310344803</v>
      </c>
      <c r="P843" s="40">
        <v>0</v>
      </c>
      <c r="Q843" s="40">
        <v>21512.931034482801</v>
      </c>
      <c r="R843" s="40">
        <v>93944.827586206899</v>
      </c>
      <c r="S843" s="40">
        <v>305479.310344828</v>
      </c>
      <c r="T843" s="37">
        <v>30000</v>
      </c>
      <c r="U843" s="40">
        <v>726149.02506963804</v>
      </c>
      <c r="V843" s="40">
        <v>464832.86908078002</v>
      </c>
      <c r="W843" s="45">
        <f t="shared" si="46"/>
        <v>2176698.2734607635</v>
      </c>
      <c r="X843" s="46">
        <f t="shared" si="47"/>
        <v>0.73825617307324998</v>
      </c>
    </row>
    <row r="844" spans="1:24" s="4" customFormat="1" ht="15" customHeight="1">
      <c r="A844" s="28" t="s">
        <v>1109</v>
      </c>
      <c r="B844" s="29">
        <v>3106.0650000000001</v>
      </c>
      <c r="C844" s="30" t="s">
        <v>1317</v>
      </c>
      <c r="D844" s="2">
        <v>4948898907</v>
      </c>
      <c r="E844" s="2" t="s">
        <v>18</v>
      </c>
      <c r="F844" s="2" t="s">
        <v>1318</v>
      </c>
      <c r="G844" s="28" t="s">
        <v>9</v>
      </c>
      <c r="H844" s="2" t="s">
        <v>23</v>
      </c>
      <c r="I844" s="2">
        <v>3</v>
      </c>
      <c r="J844" s="2"/>
      <c r="K844" s="2">
        <v>2764</v>
      </c>
      <c r="L844" s="35">
        <f t="shared" si="45"/>
        <v>8585163.6600000001</v>
      </c>
      <c r="M844" s="36">
        <v>200</v>
      </c>
      <c r="N844" s="40">
        <v>85429.103448275899</v>
      </c>
      <c r="O844" s="40">
        <v>135.586206896552</v>
      </c>
      <c r="P844" s="40">
        <v>0</v>
      </c>
      <c r="Q844" s="40">
        <v>3442.06896551724</v>
      </c>
      <c r="R844" s="40">
        <v>15031.1724137931</v>
      </c>
      <c r="S844" s="40">
        <v>48876.689655172398</v>
      </c>
      <c r="T844" s="37">
        <v>30000</v>
      </c>
      <c r="U844" s="40">
        <v>116183.84401114201</v>
      </c>
      <c r="V844" s="40">
        <v>74373.259052924797</v>
      </c>
      <c r="W844" s="45">
        <f t="shared" si="46"/>
        <v>373471.72375372204</v>
      </c>
      <c r="X844" s="46">
        <f t="shared" si="47"/>
        <v>4.3501992337525461</v>
      </c>
    </row>
    <row r="845" spans="1:24" s="4" customFormat="1" ht="15" customHeight="1">
      <c r="A845" s="28" t="s">
        <v>1109</v>
      </c>
      <c r="B845" s="29">
        <v>3106.0650000000001</v>
      </c>
      <c r="C845" s="30" t="s">
        <v>1319</v>
      </c>
      <c r="D845" s="2">
        <v>4948495881</v>
      </c>
      <c r="E845" s="2" t="s">
        <v>14</v>
      </c>
      <c r="F845" s="78" t="s">
        <v>1320</v>
      </c>
      <c r="G845" s="28" t="s">
        <v>9</v>
      </c>
      <c r="H845" s="2" t="s">
        <v>23</v>
      </c>
      <c r="I845" s="2">
        <v>3</v>
      </c>
      <c r="J845" s="2"/>
      <c r="K845" s="2">
        <v>2392.1999999999998</v>
      </c>
      <c r="L845" s="35">
        <f t="shared" si="45"/>
        <v>7430328.693</v>
      </c>
      <c r="M845" s="36">
        <v>420</v>
      </c>
      <c r="N845" s="40">
        <v>231459.717391304</v>
      </c>
      <c r="O845" s="40">
        <v>283.5</v>
      </c>
      <c r="P845" s="40">
        <v>0</v>
      </c>
      <c r="Q845" s="40">
        <v>7048.6956521739103</v>
      </c>
      <c r="R845" s="40">
        <v>45554.021739130403</v>
      </c>
      <c r="S845" s="40">
        <v>161771.217391304</v>
      </c>
      <c r="T845" s="37">
        <v>30000</v>
      </c>
      <c r="U845" s="40">
        <v>308835.48387096799</v>
      </c>
      <c r="V845" s="40">
        <v>0</v>
      </c>
      <c r="W845" s="45">
        <f t="shared" si="46"/>
        <v>784952.63604488026</v>
      </c>
      <c r="X845" s="46">
        <f t="shared" si="47"/>
        <v>10.564171094939208</v>
      </c>
    </row>
    <row r="846" spans="1:24" s="4" customFormat="1" ht="15" customHeight="1">
      <c r="A846" s="28" t="s">
        <v>1109</v>
      </c>
      <c r="B846" s="29">
        <v>3106.0650000000001</v>
      </c>
      <c r="C846" s="30" t="s">
        <v>1319</v>
      </c>
      <c r="D846" s="2">
        <v>4948830203</v>
      </c>
      <c r="E846" s="2" t="s">
        <v>14</v>
      </c>
      <c r="F846" s="78" t="s">
        <v>1320</v>
      </c>
      <c r="G846" s="28" t="s">
        <v>9</v>
      </c>
      <c r="H846" s="2" t="s">
        <v>23</v>
      </c>
      <c r="I846" s="2">
        <v>3</v>
      </c>
      <c r="J846" s="2"/>
      <c r="K846" s="2">
        <v>2945</v>
      </c>
      <c r="L846" s="35">
        <f t="shared" si="45"/>
        <v>9147361.4250000007</v>
      </c>
      <c r="M846" s="36">
        <v>500</v>
      </c>
      <c r="N846" s="40">
        <v>275547.28260869603</v>
      </c>
      <c r="O846" s="40">
        <v>337.5</v>
      </c>
      <c r="P846" s="40">
        <v>0</v>
      </c>
      <c r="Q846" s="40">
        <v>8391.3043478260897</v>
      </c>
      <c r="R846" s="40">
        <v>54230.978260869597</v>
      </c>
      <c r="S846" s="40">
        <v>192584.782608696</v>
      </c>
      <c r="T846" s="37">
        <v>30000</v>
      </c>
      <c r="U846" s="40">
        <v>367661.29032258102</v>
      </c>
      <c r="V846" s="40">
        <v>0</v>
      </c>
      <c r="W846" s="45">
        <f t="shared" si="46"/>
        <v>928753.13814866869</v>
      </c>
      <c r="X846" s="46">
        <f t="shared" si="47"/>
        <v>10.153235397590826</v>
      </c>
    </row>
    <row r="847" spans="1:24" s="4" customFormat="1" ht="15" customHeight="1">
      <c r="A847" s="28" t="s">
        <v>1109</v>
      </c>
      <c r="B847" s="29">
        <v>3106.0650000000001</v>
      </c>
      <c r="C847" s="30" t="s">
        <v>1321</v>
      </c>
      <c r="D847" s="2">
        <v>4946630991</v>
      </c>
      <c r="E847" s="2" t="s">
        <v>6</v>
      </c>
      <c r="F847" s="78" t="s">
        <v>1322</v>
      </c>
      <c r="G847" s="28" t="s">
        <v>9</v>
      </c>
      <c r="H847" s="2" t="s">
        <v>23</v>
      </c>
      <c r="I847" s="2">
        <v>7</v>
      </c>
      <c r="J847" s="2"/>
      <c r="K847" s="2">
        <v>13680</v>
      </c>
      <c r="L847" s="35">
        <f t="shared" si="45"/>
        <v>42490969.200000003</v>
      </c>
      <c r="M847" s="36">
        <v>1600</v>
      </c>
      <c r="N847" s="40">
        <v>666976.875</v>
      </c>
      <c r="O847" s="40">
        <v>1692.10526315789</v>
      </c>
      <c r="P847" s="40">
        <v>38620.625</v>
      </c>
      <c r="Q847" s="40">
        <v>42008.421052631602</v>
      </c>
      <c r="R847" s="40">
        <v>107211.25</v>
      </c>
      <c r="S847" s="40">
        <v>221472.5</v>
      </c>
      <c r="T847" s="37">
        <v>30000</v>
      </c>
      <c r="U847" s="40">
        <v>1303437.5</v>
      </c>
      <c r="V847" s="40">
        <v>0</v>
      </c>
      <c r="W847" s="45">
        <f t="shared" si="46"/>
        <v>2411419.2763157897</v>
      </c>
      <c r="X847" s="46">
        <f t="shared" si="47"/>
        <v>5.6751336147818199</v>
      </c>
    </row>
    <row r="848" spans="1:24" s="4" customFormat="1" ht="15" customHeight="1">
      <c r="A848" s="28" t="s">
        <v>1109</v>
      </c>
      <c r="B848" s="29">
        <v>3106.0650000000001</v>
      </c>
      <c r="C848" s="30" t="s">
        <v>1321</v>
      </c>
      <c r="D848" s="2">
        <v>4946630989</v>
      </c>
      <c r="E848" s="2" t="s">
        <v>6</v>
      </c>
      <c r="F848" s="78" t="s">
        <v>1322</v>
      </c>
      <c r="G848" s="28" t="s">
        <v>9</v>
      </c>
      <c r="H848" s="2" t="s">
        <v>23</v>
      </c>
      <c r="I848" s="2">
        <v>7</v>
      </c>
      <c r="J848" s="2"/>
      <c r="K848" s="2">
        <v>14688</v>
      </c>
      <c r="L848" s="35">
        <f t="shared" si="45"/>
        <v>45621882.719999999</v>
      </c>
      <c r="M848" s="36">
        <v>1440</v>
      </c>
      <c r="N848" s="40">
        <v>400186.125</v>
      </c>
      <c r="O848" s="40">
        <v>1522.89473684211</v>
      </c>
      <c r="P848" s="40">
        <v>23172.375</v>
      </c>
      <c r="Q848" s="40">
        <v>37807.578947368398</v>
      </c>
      <c r="R848" s="40">
        <v>64326.75</v>
      </c>
      <c r="S848" s="40">
        <v>132883.5</v>
      </c>
      <c r="T848" s="37">
        <v>30000</v>
      </c>
      <c r="U848" s="40">
        <v>782062.5</v>
      </c>
      <c r="V848" s="40">
        <v>0</v>
      </c>
      <c r="W848" s="45">
        <f t="shared" si="46"/>
        <v>1471961.7236842106</v>
      </c>
      <c r="X848" s="46">
        <f t="shared" si="47"/>
        <v>3.2264379195357558</v>
      </c>
    </row>
    <row r="849" spans="1:24" s="4" customFormat="1" ht="15" customHeight="1">
      <c r="A849" s="28" t="s">
        <v>1109</v>
      </c>
      <c r="B849" s="29">
        <v>3106.0650000000001</v>
      </c>
      <c r="C849" s="30" t="s">
        <v>1323</v>
      </c>
      <c r="D849" s="2">
        <v>4948775148</v>
      </c>
      <c r="E849" s="2" t="s">
        <v>14</v>
      </c>
      <c r="F849" s="78" t="s">
        <v>1324</v>
      </c>
      <c r="G849" s="28" t="s">
        <v>9</v>
      </c>
      <c r="H849" s="2" t="s">
        <v>23</v>
      </c>
      <c r="I849" s="2">
        <v>1</v>
      </c>
      <c r="J849" s="2"/>
      <c r="K849" s="2">
        <v>3261.6</v>
      </c>
      <c r="L849" s="35">
        <f t="shared" si="45"/>
        <v>10130741.604</v>
      </c>
      <c r="M849" s="36">
        <v>540</v>
      </c>
      <c r="N849" s="40">
        <v>663064</v>
      </c>
      <c r="O849" s="40">
        <v>402</v>
      </c>
      <c r="P849" s="40">
        <v>0</v>
      </c>
      <c r="Q849" s="40">
        <v>9613</v>
      </c>
      <c r="R849" s="40">
        <v>89044</v>
      </c>
      <c r="S849" s="40">
        <v>354356</v>
      </c>
      <c r="T849" s="37">
        <v>30000</v>
      </c>
      <c r="U849" s="40">
        <v>1367700</v>
      </c>
      <c r="V849" s="40">
        <v>0</v>
      </c>
      <c r="W849" s="45">
        <f t="shared" si="46"/>
        <v>2514179</v>
      </c>
      <c r="X849" s="46">
        <f t="shared" si="47"/>
        <v>24.817324321126765</v>
      </c>
    </row>
    <row r="850" spans="1:24" s="4" customFormat="1" ht="15" customHeight="1">
      <c r="A850" s="28" t="s">
        <v>1109</v>
      </c>
      <c r="B850" s="29">
        <v>3106.0650000000001</v>
      </c>
      <c r="C850" s="30" t="s">
        <v>1325</v>
      </c>
      <c r="D850" s="2">
        <v>4946765520</v>
      </c>
      <c r="E850" s="2" t="s">
        <v>6</v>
      </c>
      <c r="F850" s="78" t="s">
        <v>1326</v>
      </c>
      <c r="G850" s="28" t="s">
        <v>9</v>
      </c>
      <c r="H850" s="2" t="s">
        <v>23</v>
      </c>
      <c r="I850" s="2">
        <v>2</v>
      </c>
      <c r="J850" s="2"/>
      <c r="K850" s="2">
        <v>9979.2000000000007</v>
      </c>
      <c r="L850" s="35">
        <f t="shared" si="45"/>
        <v>30996043.848000001</v>
      </c>
      <c r="M850" s="36">
        <v>480</v>
      </c>
      <c r="N850" s="40">
        <v>646749</v>
      </c>
      <c r="O850" s="40">
        <v>464</v>
      </c>
      <c r="P850" s="40">
        <v>0</v>
      </c>
      <c r="Q850" s="40">
        <v>14071</v>
      </c>
      <c r="R850" s="40">
        <v>96109.5</v>
      </c>
      <c r="S850" s="40">
        <v>354356</v>
      </c>
      <c r="T850" s="37">
        <v>30000</v>
      </c>
      <c r="U850" s="40">
        <v>292701.754385965</v>
      </c>
      <c r="V850" s="40">
        <v>0</v>
      </c>
      <c r="W850" s="45">
        <f t="shared" si="46"/>
        <v>1434451.2543859649</v>
      </c>
      <c r="X850" s="46">
        <f t="shared" si="47"/>
        <v>4.6278527073335587</v>
      </c>
    </row>
    <row r="851" spans="1:24" s="4" customFormat="1" ht="15" customHeight="1">
      <c r="A851" s="28" t="s">
        <v>1109</v>
      </c>
      <c r="B851" s="29">
        <v>3106.0650000000001</v>
      </c>
      <c r="C851" s="30" t="s">
        <v>1327</v>
      </c>
      <c r="D851" s="2">
        <v>4949075520</v>
      </c>
      <c r="E851" s="2" t="s">
        <v>18</v>
      </c>
      <c r="F851" s="78" t="s">
        <v>1328</v>
      </c>
      <c r="G851" s="28" t="s">
        <v>5</v>
      </c>
      <c r="H851" s="2" t="s">
        <v>20</v>
      </c>
      <c r="I851" s="2">
        <v>1</v>
      </c>
      <c r="J851" s="2" t="s">
        <v>1329</v>
      </c>
      <c r="K851" s="2">
        <v>209640</v>
      </c>
      <c r="L851" s="35">
        <f t="shared" si="45"/>
        <v>651155466.60000002</v>
      </c>
      <c r="M851" s="36">
        <v>4000</v>
      </c>
      <c r="N851" s="40">
        <v>464266</v>
      </c>
      <c r="O851" s="40">
        <v>315124</v>
      </c>
      <c r="P851" s="40">
        <v>0</v>
      </c>
      <c r="Q851" s="40">
        <v>99309</v>
      </c>
      <c r="R851" s="40">
        <v>620885</v>
      </c>
      <c r="S851" s="40">
        <v>354356</v>
      </c>
      <c r="T851" s="37">
        <v>30000</v>
      </c>
      <c r="U851" s="40">
        <v>2619000</v>
      </c>
      <c r="V851" s="40">
        <v>1335000</v>
      </c>
      <c r="W851" s="45">
        <f t="shared" si="46"/>
        <v>5837940</v>
      </c>
      <c r="X851" s="46">
        <f t="shared" si="47"/>
        <v>0.89655086986871657</v>
      </c>
    </row>
    <row r="852" spans="1:24" s="4" customFormat="1" ht="15" customHeight="1">
      <c r="A852" s="28" t="s">
        <v>1109</v>
      </c>
      <c r="B852" s="29">
        <v>3106.0650000000001</v>
      </c>
      <c r="C852" s="30" t="s">
        <v>1330</v>
      </c>
      <c r="D852" s="2">
        <v>4948452713</v>
      </c>
      <c r="E852" s="2" t="s">
        <v>36</v>
      </c>
      <c r="F852" s="78" t="s">
        <v>1331</v>
      </c>
      <c r="G852" s="28" t="s">
        <v>5</v>
      </c>
      <c r="H852" s="2" t="s">
        <v>26</v>
      </c>
      <c r="I852" s="2">
        <v>1</v>
      </c>
      <c r="J852" s="2" t="s">
        <v>1332</v>
      </c>
      <c r="K852" s="2">
        <v>35580.29</v>
      </c>
      <c r="L852" s="35">
        <f t="shared" si="45"/>
        <v>110514693.45885001</v>
      </c>
      <c r="M852" s="36">
        <v>19921.77</v>
      </c>
      <c r="N852" s="40">
        <v>321837</v>
      </c>
      <c r="O852" s="40">
        <v>385324</v>
      </c>
      <c r="P852" s="40">
        <v>375477</v>
      </c>
      <c r="Q852" s="40">
        <v>99309</v>
      </c>
      <c r="R852" s="40">
        <v>608966</v>
      </c>
      <c r="S852" s="40">
        <v>354356</v>
      </c>
      <c r="T852" s="40"/>
      <c r="U852" s="40">
        <v>0</v>
      </c>
      <c r="V852" s="40">
        <v>0</v>
      </c>
      <c r="W852" s="45">
        <f t="shared" si="46"/>
        <v>2145269</v>
      </c>
      <c r="X852" s="46">
        <f t="shared" si="47"/>
        <v>1.9411617884085142</v>
      </c>
    </row>
    <row r="853" spans="1:24" s="4" customFormat="1" ht="15" customHeight="1">
      <c r="A853" s="28" t="s">
        <v>1109</v>
      </c>
      <c r="B853" s="29">
        <v>3106.0650000000001</v>
      </c>
      <c r="C853" s="30" t="s">
        <v>1333</v>
      </c>
      <c r="D853" s="2">
        <v>4948291737</v>
      </c>
      <c r="E853" s="2" t="s">
        <v>36</v>
      </c>
      <c r="F853" s="78" t="s">
        <v>1334</v>
      </c>
      <c r="G853" s="28" t="s">
        <v>5</v>
      </c>
      <c r="H853" s="2" t="s">
        <v>26</v>
      </c>
      <c r="I853" s="2">
        <v>4</v>
      </c>
      <c r="J853" s="2" t="s">
        <v>1335</v>
      </c>
      <c r="K853" s="2">
        <v>79133.7</v>
      </c>
      <c r="L853" s="35">
        <f t="shared" si="45"/>
        <v>245794415.89050001</v>
      </c>
      <c r="M853" s="36">
        <v>85090</v>
      </c>
      <c r="N853" s="40">
        <v>0</v>
      </c>
      <c r="O853" s="40">
        <v>1920384</v>
      </c>
      <c r="P853" s="40">
        <v>5190756</v>
      </c>
      <c r="Q853" s="40">
        <v>496548</v>
      </c>
      <c r="R853" s="40">
        <v>3256681</v>
      </c>
      <c r="S853" s="40">
        <v>354356</v>
      </c>
      <c r="T853" s="40"/>
      <c r="U853" s="40">
        <v>0</v>
      </c>
      <c r="V853" s="40">
        <v>0</v>
      </c>
      <c r="W853" s="45">
        <f t="shared" si="46"/>
        <v>11218725</v>
      </c>
      <c r="X853" s="46">
        <f t="shared" si="47"/>
        <v>4.56427171437364</v>
      </c>
    </row>
    <row r="854" spans="1:24" s="4" customFormat="1" ht="15" customHeight="1">
      <c r="A854" s="28" t="s">
        <v>1109</v>
      </c>
      <c r="B854" s="29">
        <v>3106.0650000000001</v>
      </c>
      <c r="C854" s="30" t="s">
        <v>1336</v>
      </c>
      <c r="D854" s="2">
        <v>4948605869</v>
      </c>
      <c r="E854" s="2" t="s">
        <v>18</v>
      </c>
      <c r="F854" s="2" t="s">
        <v>1337</v>
      </c>
      <c r="G854" s="28" t="s">
        <v>5</v>
      </c>
      <c r="H854" s="2" t="s">
        <v>20</v>
      </c>
      <c r="I854" s="2">
        <v>1</v>
      </c>
      <c r="J854" s="2" t="s">
        <v>1338</v>
      </c>
      <c r="K854" s="2">
        <v>18639</v>
      </c>
      <c r="L854" s="35">
        <f t="shared" si="45"/>
        <v>57893945.535000004</v>
      </c>
      <c r="M854" s="36">
        <v>17100</v>
      </c>
      <c r="N854" s="40">
        <v>465788</v>
      </c>
      <c r="O854" s="40">
        <v>311327</v>
      </c>
      <c r="P854" s="40">
        <v>0</v>
      </c>
      <c r="Q854" s="40">
        <v>99309</v>
      </c>
      <c r="R854" s="40">
        <v>727859</v>
      </c>
      <c r="S854" s="40">
        <v>354356</v>
      </c>
      <c r="T854" s="37">
        <v>30000</v>
      </c>
      <c r="U854" s="40">
        <v>3913500</v>
      </c>
      <c r="V854" s="40">
        <v>0</v>
      </c>
      <c r="W854" s="45">
        <f t="shared" si="46"/>
        <v>5902139</v>
      </c>
      <c r="X854" s="46">
        <f t="shared" si="47"/>
        <v>10.194743069345376</v>
      </c>
    </row>
    <row r="855" spans="1:24" s="4" customFormat="1" ht="15" customHeight="1">
      <c r="A855" s="28" t="s">
        <v>1109</v>
      </c>
      <c r="B855" s="29">
        <v>3106.0650000000001</v>
      </c>
      <c r="C855" s="30" t="s">
        <v>1339</v>
      </c>
      <c r="D855" s="2">
        <v>4948771043</v>
      </c>
      <c r="E855" s="2" t="s">
        <v>14</v>
      </c>
      <c r="F855" s="2" t="s">
        <v>1340</v>
      </c>
      <c r="G855" s="28" t="s">
        <v>9</v>
      </c>
      <c r="H855" s="2" t="s">
        <v>23</v>
      </c>
      <c r="I855" s="2">
        <v>2</v>
      </c>
      <c r="J855" s="2"/>
      <c r="K855" s="2">
        <v>3349.5</v>
      </c>
      <c r="L855" s="35">
        <f t="shared" si="45"/>
        <v>10403764.717499999</v>
      </c>
      <c r="M855" s="36">
        <v>1050</v>
      </c>
      <c r="N855" s="40">
        <v>480559</v>
      </c>
      <c r="O855" s="40">
        <v>737</v>
      </c>
      <c r="P855" s="40">
        <v>0</v>
      </c>
      <c r="Q855" s="40">
        <v>18601</v>
      </c>
      <c r="R855" s="40">
        <v>96632</v>
      </c>
      <c r="S855" s="40">
        <v>354356</v>
      </c>
      <c r="T855" s="37">
        <v>30000</v>
      </c>
      <c r="U855" s="40">
        <v>530854.54545454495</v>
      </c>
      <c r="V855" s="40">
        <v>0</v>
      </c>
      <c r="W855" s="45">
        <f t="shared" si="46"/>
        <v>1511739.5454545449</v>
      </c>
      <c r="X855" s="46">
        <f t="shared" si="47"/>
        <v>14.530697170723911</v>
      </c>
    </row>
    <row r="856" spans="1:24" s="4" customFormat="1" ht="15" customHeight="1">
      <c r="A856" s="28" t="s">
        <v>1109</v>
      </c>
      <c r="B856" s="29">
        <v>3106.0650000000001</v>
      </c>
      <c r="C856" s="30" t="s">
        <v>1341</v>
      </c>
      <c r="D856" s="2">
        <v>4948520834</v>
      </c>
      <c r="E856" s="2" t="s">
        <v>33</v>
      </c>
      <c r="F856" s="78" t="s">
        <v>1342</v>
      </c>
      <c r="G856" s="28" t="s">
        <v>9</v>
      </c>
      <c r="H856" s="2" t="s">
        <v>23</v>
      </c>
      <c r="I856" s="2">
        <v>2</v>
      </c>
      <c r="J856" s="2"/>
      <c r="K856" s="2">
        <v>2967</v>
      </c>
      <c r="L856" s="35">
        <f t="shared" si="45"/>
        <v>9215694.8550000004</v>
      </c>
      <c r="M856" s="36">
        <v>1075</v>
      </c>
      <c r="N856" s="40">
        <v>635663</v>
      </c>
      <c r="O856" s="40">
        <v>778</v>
      </c>
      <c r="P856" s="40">
        <v>11884</v>
      </c>
      <c r="Q856" s="40">
        <v>18915</v>
      </c>
      <c r="R856" s="40">
        <v>100021</v>
      </c>
      <c r="S856" s="40">
        <v>354356</v>
      </c>
      <c r="T856" s="40"/>
      <c r="U856" s="40">
        <v>1396800</v>
      </c>
      <c r="V856" s="40">
        <v>0</v>
      </c>
      <c r="W856" s="45">
        <f t="shared" si="46"/>
        <v>2518417</v>
      </c>
      <c r="X856" s="46">
        <f t="shared" si="47"/>
        <v>27.327478173104069</v>
      </c>
    </row>
    <row r="857" spans="1:24" s="4" customFormat="1" ht="15" customHeight="1">
      <c r="A857" s="28" t="s">
        <v>1109</v>
      </c>
      <c r="B857" s="29">
        <v>3106.0650000000001</v>
      </c>
      <c r="C857" s="30" t="s">
        <v>1343</v>
      </c>
      <c r="D857" s="2">
        <v>4948308281</v>
      </c>
      <c r="E857" s="2" t="s">
        <v>33</v>
      </c>
      <c r="F857" s="2">
        <v>2085533</v>
      </c>
      <c r="G857" s="28" t="s">
        <v>5</v>
      </c>
      <c r="H857" s="2" t="s">
        <v>17</v>
      </c>
      <c r="I857" s="2">
        <v>1</v>
      </c>
      <c r="J857" s="2" t="s">
        <v>1344</v>
      </c>
      <c r="K857" s="2">
        <v>10279.5</v>
      </c>
      <c r="L857" s="35">
        <f t="shared" si="45"/>
        <v>31928795.1675</v>
      </c>
      <c r="M857" s="36">
        <v>23150</v>
      </c>
      <c r="N857" s="40">
        <v>1977644</v>
      </c>
      <c r="O857" s="40">
        <v>408424</v>
      </c>
      <c r="P857" s="40">
        <v>638482</v>
      </c>
      <c r="Q857" s="40">
        <v>99309</v>
      </c>
      <c r="R857" s="40">
        <v>728147</v>
      </c>
      <c r="S857" s="40">
        <v>354356</v>
      </c>
      <c r="T857" s="40"/>
      <c r="U857" s="40">
        <v>5885000</v>
      </c>
      <c r="V857" s="40">
        <v>0</v>
      </c>
      <c r="W857" s="45">
        <f t="shared" si="46"/>
        <v>10091362</v>
      </c>
      <c r="X857" s="46">
        <f t="shared" si="47"/>
        <v>31.605834003632861</v>
      </c>
    </row>
    <row r="858" spans="1:24" s="4" customFormat="1" ht="15" customHeight="1">
      <c r="A858" s="28" t="s">
        <v>1109</v>
      </c>
      <c r="B858" s="29">
        <v>3106.0650000000001</v>
      </c>
      <c r="C858" s="30" t="s">
        <v>1345</v>
      </c>
      <c r="D858" s="2">
        <v>4948740710</v>
      </c>
      <c r="E858" s="2" t="s">
        <v>33</v>
      </c>
      <c r="F858" s="78" t="s">
        <v>1346</v>
      </c>
      <c r="G858" s="28" t="s">
        <v>5</v>
      </c>
      <c r="H858" s="2" t="s">
        <v>17</v>
      </c>
      <c r="I858" s="2">
        <v>1</v>
      </c>
      <c r="J858" s="2" t="s">
        <v>1347</v>
      </c>
      <c r="K858" s="2">
        <f>6461.57+25846.27</f>
        <v>32307.84</v>
      </c>
      <c r="L858" s="35">
        <f t="shared" si="45"/>
        <v>100350251.04960001</v>
      </c>
      <c r="M858" s="36">
        <v>3840</v>
      </c>
      <c r="N858" s="40">
        <v>143675.47227533499</v>
      </c>
      <c r="O858" s="40">
        <v>204212</v>
      </c>
      <c r="P858" s="40">
        <v>0</v>
      </c>
      <c r="Q858" s="40">
        <v>49654.5</v>
      </c>
      <c r="R858" s="40">
        <f>236524.640535373+90631</f>
        <v>327155.64053537301</v>
      </c>
      <c r="S858" s="40">
        <v>160578.14913957901</v>
      </c>
      <c r="T858" s="40"/>
      <c r="U858" s="40">
        <v>2578020.7456979002</v>
      </c>
      <c r="V858" s="40">
        <v>0</v>
      </c>
      <c r="W858" s="45">
        <f t="shared" si="46"/>
        <v>3463296.5076481872</v>
      </c>
      <c r="X858" s="46">
        <f t="shared" si="47"/>
        <v>3.4512086132563708</v>
      </c>
    </row>
    <row r="859" spans="1:24" s="4" customFormat="1" ht="15" customHeight="1">
      <c r="A859" s="28" t="s">
        <v>1109</v>
      </c>
      <c r="B859" s="29">
        <v>3106.0650000000001</v>
      </c>
      <c r="C859" s="30" t="s">
        <v>1345</v>
      </c>
      <c r="D859" s="2">
        <v>4948740710</v>
      </c>
      <c r="E859" s="2" t="s">
        <v>33</v>
      </c>
      <c r="F859" s="78" t="s">
        <v>1346</v>
      </c>
      <c r="G859" s="28" t="s">
        <v>5</v>
      </c>
      <c r="H859" s="2" t="s">
        <v>17</v>
      </c>
      <c r="I859" s="2">
        <v>1</v>
      </c>
      <c r="J859" s="2" t="s">
        <v>1347</v>
      </c>
      <c r="K859" s="2">
        <f>23496.84+19224.69</f>
        <v>42721.53</v>
      </c>
      <c r="L859" s="35">
        <f t="shared" si="45"/>
        <v>132695849.07945</v>
      </c>
      <c r="M859" s="36">
        <v>3840</v>
      </c>
      <c r="N859" s="40">
        <v>173380.52772466501</v>
      </c>
      <c r="O859" s="40">
        <v>204212</v>
      </c>
      <c r="P859" s="40">
        <v>0</v>
      </c>
      <c r="Q859" s="40">
        <v>49654.5</v>
      </c>
      <c r="R859" s="40">
        <f>285426.359464627+109369</f>
        <v>394795.35946462699</v>
      </c>
      <c r="S859" s="40">
        <v>193777.85086042099</v>
      </c>
      <c r="T859" s="40"/>
      <c r="U859" s="40">
        <v>3111029.2543020998</v>
      </c>
      <c r="V859" s="40">
        <v>0</v>
      </c>
      <c r="W859" s="45">
        <f t="shared" si="46"/>
        <v>4126849.4923518128</v>
      </c>
      <c r="X859" s="46">
        <f t="shared" si="47"/>
        <v>3.1100064704216277</v>
      </c>
    </row>
    <row r="860" spans="1:24" s="4" customFormat="1" ht="15" customHeight="1">
      <c r="A860" s="28" t="s">
        <v>1109</v>
      </c>
      <c r="B860" s="29">
        <v>3106.0650000000001</v>
      </c>
      <c r="C860" s="30" t="s">
        <v>1348</v>
      </c>
      <c r="D860" s="2">
        <v>4948892055</v>
      </c>
      <c r="E860" s="2" t="s">
        <v>36</v>
      </c>
      <c r="F860" s="78" t="s">
        <v>1349</v>
      </c>
      <c r="G860" s="28" t="s">
        <v>5</v>
      </c>
      <c r="H860" s="2" t="s">
        <v>20</v>
      </c>
      <c r="I860" s="2">
        <v>1</v>
      </c>
      <c r="J860" s="2" t="s">
        <v>1350</v>
      </c>
      <c r="K860" s="2">
        <v>34600</v>
      </c>
      <c r="L860" s="35">
        <f t="shared" si="45"/>
        <v>107469849</v>
      </c>
      <c r="M860" s="36">
        <v>20000</v>
      </c>
      <c r="N860" s="40">
        <v>313889</v>
      </c>
      <c r="O860" s="40">
        <v>311327</v>
      </c>
      <c r="P860" s="40">
        <v>0</v>
      </c>
      <c r="Q860" s="40">
        <v>99309</v>
      </c>
      <c r="R860" s="40">
        <v>523724</v>
      </c>
      <c r="S860" s="40">
        <v>354356</v>
      </c>
      <c r="T860" s="40"/>
      <c r="U860" s="40">
        <v>519300</v>
      </c>
      <c r="V860" s="40">
        <v>0</v>
      </c>
      <c r="W860" s="45">
        <f t="shared" si="46"/>
        <v>2121905</v>
      </c>
      <c r="X860" s="46">
        <f t="shared" si="47"/>
        <v>1.9744188902694002</v>
      </c>
    </row>
    <row r="861" spans="1:24" s="4" customFormat="1" ht="15" customHeight="1">
      <c r="A861" s="28" t="s">
        <v>1109</v>
      </c>
      <c r="B861" s="29">
        <v>3106.0650000000001</v>
      </c>
      <c r="C861" s="30" t="s">
        <v>1351</v>
      </c>
      <c r="D861" s="2">
        <v>4948828022</v>
      </c>
      <c r="E861" s="2" t="s">
        <v>14</v>
      </c>
      <c r="F861" s="2" t="s">
        <v>1352</v>
      </c>
      <c r="G861" s="28" t="s">
        <v>9</v>
      </c>
      <c r="H861" s="2" t="s">
        <v>23</v>
      </c>
      <c r="I861" s="2">
        <v>5</v>
      </c>
      <c r="J861" s="2"/>
      <c r="K861" s="2">
        <v>207088</v>
      </c>
      <c r="L861" s="35">
        <f t="shared" si="45"/>
        <v>643228788.72000003</v>
      </c>
      <c r="M861" s="36">
        <v>1600</v>
      </c>
      <c r="N861" s="40">
        <v>884491</v>
      </c>
      <c r="O861" s="40">
        <v>1144</v>
      </c>
      <c r="P861" s="40">
        <v>35420</v>
      </c>
      <c r="Q861" s="40">
        <v>28625</v>
      </c>
      <c r="R861" s="40">
        <v>114227</v>
      </c>
      <c r="S861" s="40">
        <v>354356</v>
      </c>
      <c r="T861" s="37">
        <v>30000</v>
      </c>
      <c r="U861" s="40">
        <v>1183262.4113475201</v>
      </c>
      <c r="V861" s="40">
        <v>757446.80851063796</v>
      </c>
      <c r="W861" s="45">
        <f t="shared" si="46"/>
        <v>3388972.2198581579</v>
      </c>
      <c r="X861" s="46">
        <f t="shared" si="47"/>
        <v>0.52686886521389675</v>
      </c>
    </row>
    <row r="862" spans="1:24" s="4" customFormat="1" ht="15" customHeight="1">
      <c r="A862" s="28" t="s">
        <v>1109</v>
      </c>
      <c r="B862" s="29">
        <v>3106.0650000000001</v>
      </c>
      <c r="C862" s="30" t="s">
        <v>1353</v>
      </c>
      <c r="D862" s="2">
        <v>4948495730</v>
      </c>
      <c r="E862" s="2" t="s">
        <v>14</v>
      </c>
      <c r="F862" s="2" t="s">
        <v>1354</v>
      </c>
      <c r="G862" s="28" t="s">
        <v>9</v>
      </c>
      <c r="H862" s="2" t="s">
        <v>23</v>
      </c>
      <c r="I862" s="2">
        <v>38</v>
      </c>
      <c r="J862" s="2"/>
      <c r="K862" s="2">
        <v>5754</v>
      </c>
      <c r="L862" s="35">
        <f t="shared" si="45"/>
        <v>17872298.010000002</v>
      </c>
      <c r="M862" s="36">
        <v>300</v>
      </c>
      <c r="N862" s="40">
        <v>53434.319775596101</v>
      </c>
      <c r="O862" s="40">
        <v>210.95513748190999</v>
      </c>
      <c r="P862" s="40">
        <v>16741.0659186536</v>
      </c>
      <c r="Q862" s="40">
        <v>6481.4471780028898</v>
      </c>
      <c r="R862" s="40">
        <v>8260.4207573632502</v>
      </c>
      <c r="S862" s="40">
        <v>4969.9298737727904</v>
      </c>
      <c r="T862" s="37">
        <v>30000</v>
      </c>
      <c r="U862" s="52">
        <v>145664.474053296</v>
      </c>
      <c r="V862" s="52">
        <v>0</v>
      </c>
      <c r="W862" s="45">
        <f t="shared" si="46"/>
        <v>265762.61269416654</v>
      </c>
      <c r="X862" s="46">
        <f t="shared" si="47"/>
        <v>1.4870086238796245</v>
      </c>
    </row>
    <row r="863" spans="1:24" s="4" customFormat="1" ht="15" customHeight="1">
      <c r="A863" s="28" t="s">
        <v>1109</v>
      </c>
      <c r="B863" s="29">
        <v>3106.0650000000001</v>
      </c>
      <c r="C863" s="30" t="s">
        <v>1353</v>
      </c>
      <c r="D863" s="2">
        <v>4948772945</v>
      </c>
      <c r="E863" s="2" t="s">
        <v>14</v>
      </c>
      <c r="F863" s="2" t="s">
        <v>1354</v>
      </c>
      <c r="G863" s="28" t="s">
        <v>9</v>
      </c>
      <c r="H863" s="2" t="s">
        <v>23</v>
      </c>
      <c r="I863" s="2">
        <v>38</v>
      </c>
      <c r="J863" s="2"/>
      <c r="K863" s="2">
        <v>16216.2</v>
      </c>
      <c r="L863" s="35">
        <f t="shared" si="45"/>
        <v>50368571.253000006</v>
      </c>
      <c r="M863" s="36">
        <v>4620</v>
      </c>
      <c r="N863" s="40">
        <v>822888.52454418002</v>
      </c>
      <c r="O863" s="40">
        <v>3248.70911722142</v>
      </c>
      <c r="P863" s="40">
        <v>257812.41514726501</v>
      </c>
      <c r="Q863" s="40">
        <v>99814.286541244597</v>
      </c>
      <c r="R863" s="40">
        <v>127210.479663394</v>
      </c>
      <c r="S863" s="40">
        <v>76536.920056100993</v>
      </c>
      <c r="T863" s="37">
        <v>30000</v>
      </c>
      <c r="U863" s="52">
        <v>2243232.9004207598</v>
      </c>
      <c r="V863" s="52">
        <v>0</v>
      </c>
      <c r="W863" s="45">
        <f t="shared" si="46"/>
        <v>3660744.2354901657</v>
      </c>
      <c r="X863" s="46">
        <f t="shared" si="47"/>
        <v>7.2679135906046328</v>
      </c>
    </row>
    <row r="864" spans="1:24" s="4" customFormat="1" ht="15" customHeight="1">
      <c r="A864" s="28" t="s">
        <v>1109</v>
      </c>
      <c r="B864" s="29">
        <v>3106.0650000000001</v>
      </c>
      <c r="C864" s="30" t="s">
        <v>1353</v>
      </c>
      <c r="D864" s="2">
        <v>4948772945</v>
      </c>
      <c r="E864" s="2" t="s">
        <v>14</v>
      </c>
      <c r="F864" s="2" t="s">
        <v>1354</v>
      </c>
      <c r="G864" s="28" t="s">
        <v>9</v>
      </c>
      <c r="H864" s="2" t="s">
        <v>23</v>
      </c>
      <c r="I864" s="2">
        <v>38</v>
      </c>
      <c r="J864" s="2"/>
      <c r="K864" s="2">
        <v>2200.1999999999998</v>
      </c>
      <c r="L864" s="35">
        <f t="shared" si="45"/>
        <v>6833964.2129999995</v>
      </c>
      <c r="M864" s="36">
        <v>190</v>
      </c>
      <c r="N864" s="40">
        <v>33841.735857877502</v>
      </c>
      <c r="O864" s="40">
        <v>133.60492040521001</v>
      </c>
      <c r="P864" s="40">
        <v>10602.675081813901</v>
      </c>
      <c r="Q864" s="40">
        <v>4104.9165460684999</v>
      </c>
      <c r="R864" s="40">
        <v>5231.5998129967302</v>
      </c>
      <c r="S864" s="40">
        <v>3147.6222533894302</v>
      </c>
      <c r="T864" s="37">
        <v>30000</v>
      </c>
      <c r="U864" s="52">
        <v>92254.166900420794</v>
      </c>
      <c r="V864" s="52">
        <v>0</v>
      </c>
      <c r="W864" s="45">
        <f t="shared" si="46"/>
        <v>179316.32137297207</v>
      </c>
      <c r="X864" s="46">
        <f t="shared" si="47"/>
        <v>2.6238990399139817</v>
      </c>
    </row>
    <row r="865" spans="1:24" s="4" customFormat="1" ht="15" customHeight="1">
      <c r="A865" s="28" t="s">
        <v>1109</v>
      </c>
      <c r="B865" s="29">
        <v>3106.0650000000001</v>
      </c>
      <c r="C865" s="30" t="s">
        <v>1353</v>
      </c>
      <c r="D865" s="2">
        <v>4948772945</v>
      </c>
      <c r="E865" s="2" t="s">
        <v>14</v>
      </c>
      <c r="F865" s="2" t="s">
        <v>1354</v>
      </c>
      <c r="G865" s="28" t="s">
        <v>9</v>
      </c>
      <c r="H865" s="2" t="s">
        <v>23</v>
      </c>
      <c r="I865" s="2">
        <v>38</v>
      </c>
      <c r="J865" s="2"/>
      <c r="K865" s="2">
        <v>822.7</v>
      </c>
      <c r="L865" s="35">
        <f t="shared" si="45"/>
        <v>2555359.6755000004</v>
      </c>
      <c r="M865" s="36">
        <v>190</v>
      </c>
      <c r="N865" s="40">
        <v>33841.735857877502</v>
      </c>
      <c r="O865" s="40">
        <v>133.60492040521001</v>
      </c>
      <c r="P865" s="40">
        <v>10602.675081813901</v>
      </c>
      <c r="Q865" s="40">
        <v>4104.9165460684999</v>
      </c>
      <c r="R865" s="40">
        <v>5231.5998129967302</v>
      </c>
      <c r="S865" s="40">
        <v>3147.6222533894302</v>
      </c>
      <c r="T865" s="37">
        <v>30000</v>
      </c>
      <c r="U865" s="52">
        <v>92254.166900420794</v>
      </c>
      <c r="V865" s="52">
        <v>0</v>
      </c>
      <c r="W865" s="45">
        <f t="shared" si="46"/>
        <v>179316.32137297207</v>
      </c>
      <c r="X865" s="46">
        <f t="shared" si="47"/>
        <v>7.0172634831879677</v>
      </c>
    </row>
    <row r="866" spans="1:24" s="4" customFormat="1" ht="15" customHeight="1">
      <c r="A866" s="28" t="s">
        <v>1109</v>
      </c>
      <c r="B866" s="29">
        <v>3106.0650000000001</v>
      </c>
      <c r="C866" s="30" t="s">
        <v>1353</v>
      </c>
      <c r="D866" s="2">
        <v>4948772945</v>
      </c>
      <c r="E866" s="2" t="s">
        <v>14</v>
      </c>
      <c r="F866" s="2" t="s">
        <v>1354</v>
      </c>
      <c r="G866" s="28" t="s">
        <v>9</v>
      </c>
      <c r="H866" s="2" t="s">
        <v>23</v>
      </c>
      <c r="I866" s="2">
        <v>38</v>
      </c>
      <c r="J866" s="2"/>
      <c r="K866" s="2">
        <v>4554</v>
      </c>
      <c r="L866" s="35">
        <f t="shared" si="45"/>
        <v>14145020.01</v>
      </c>
      <c r="M866" s="36">
        <v>900</v>
      </c>
      <c r="N866" s="40">
        <v>160302.959326788</v>
      </c>
      <c r="O866" s="40">
        <v>632.86541244573095</v>
      </c>
      <c r="P866" s="40">
        <v>50223.197755960697</v>
      </c>
      <c r="Q866" s="40">
        <v>19444.341534008701</v>
      </c>
      <c r="R866" s="40">
        <v>24781.2622720898</v>
      </c>
      <c r="S866" s="40">
        <v>14909.789621318399</v>
      </c>
      <c r="T866" s="37">
        <v>30000</v>
      </c>
      <c r="U866" s="52">
        <v>436993.42215988802</v>
      </c>
      <c r="V866" s="52">
        <v>0</v>
      </c>
      <c r="W866" s="45">
        <f t="shared" si="46"/>
        <v>737287.83808249934</v>
      </c>
      <c r="X866" s="46">
        <f t="shared" si="47"/>
        <v>5.2123492053122895</v>
      </c>
    </row>
    <row r="867" spans="1:24" s="4" customFormat="1" ht="15" customHeight="1">
      <c r="A867" s="28" t="s">
        <v>1109</v>
      </c>
      <c r="B867" s="29">
        <v>3106.0650000000001</v>
      </c>
      <c r="C867" s="30" t="s">
        <v>1353</v>
      </c>
      <c r="D867" s="2">
        <v>4948411913</v>
      </c>
      <c r="E867" s="2" t="s">
        <v>14</v>
      </c>
      <c r="F867" s="2" t="s">
        <v>1354</v>
      </c>
      <c r="G867" s="28" t="s">
        <v>9</v>
      </c>
      <c r="H867" s="2" t="s">
        <v>23</v>
      </c>
      <c r="I867" s="2">
        <v>38</v>
      </c>
      <c r="J867" s="2"/>
      <c r="K867" s="2">
        <v>9937.2000000000007</v>
      </c>
      <c r="L867" s="35">
        <f t="shared" si="45"/>
        <v>30865589.118000004</v>
      </c>
      <c r="M867" s="36">
        <v>5460</v>
      </c>
      <c r="N867" s="40">
        <v>972504.61991584802</v>
      </c>
      <c r="O867" s="40">
        <v>3839.38350217077</v>
      </c>
      <c r="P867" s="40">
        <v>304687.39971949498</v>
      </c>
      <c r="Q867" s="40">
        <v>117962.338639653</v>
      </c>
      <c r="R867" s="40">
        <v>150339.65778401101</v>
      </c>
      <c r="S867" s="40">
        <v>90452.723702664807</v>
      </c>
      <c r="T867" s="37">
        <v>30000</v>
      </c>
      <c r="U867" s="52">
        <v>2651093.4277699902</v>
      </c>
      <c r="V867" s="52">
        <v>0</v>
      </c>
      <c r="W867" s="45">
        <f t="shared" si="46"/>
        <v>4320879.5510338331</v>
      </c>
      <c r="X867" s="46">
        <f t="shared" si="47"/>
        <v>13.999018565675161</v>
      </c>
    </row>
    <row r="868" spans="1:24" s="4" customFormat="1" ht="15" customHeight="1">
      <c r="A868" s="28" t="s">
        <v>1109</v>
      </c>
      <c r="B868" s="29">
        <v>3106.0650000000001</v>
      </c>
      <c r="C868" s="30" t="s">
        <v>1353</v>
      </c>
      <c r="D868" s="2">
        <v>4948495730</v>
      </c>
      <c r="E868" s="2" t="s">
        <v>14</v>
      </c>
      <c r="F868" s="2" t="s">
        <v>1354</v>
      </c>
      <c r="G868" s="28" t="s">
        <v>9</v>
      </c>
      <c r="H868" s="2" t="s">
        <v>23</v>
      </c>
      <c r="I868" s="2">
        <v>38</v>
      </c>
      <c r="J868" s="2"/>
      <c r="K868" s="2">
        <v>459.8</v>
      </c>
      <c r="L868" s="35">
        <f t="shared" si="45"/>
        <v>1428168.6870000002</v>
      </c>
      <c r="M868" s="36">
        <v>220</v>
      </c>
      <c r="N868" s="40">
        <v>156740.67134174801</v>
      </c>
      <c r="O868" s="40">
        <v>154.70043415340101</v>
      </c>
      <c r="P868" s="40">
        <v>49107.126694717197</v>
      </c>
      <c r="Q868" s="40">
        <v>4753.0612638687899</v>
      </c>
      <c r="R868" s="40">
        <v>24230.5675549322</v>
      </c>
      <c r="S868" s="40">
        <v>14578.4609630669</v>
      </c>
      <c r="T868" s="37">
        <v>30000</v>
      </c>
      <c r="U868" s="52">
        <v>427282.45722300099</v>
      </c>
      <c r="V868" s="52">
        <v>0</v>
      </c>
      <c r="W868" s="45">
        <f t="shared" si="46"/>
        <v>706847.0454754876</v>
      </c>
      <c r="X868" s="46">
        <f t="shared" si="47"/>
        <v>49.493246274729977</v>
      </c>
    </row>
    <row r="869" spans="1:24" s="4" customFormat="1" ht="15" customHeight="1">
      <c r="A869" s="28" t="s">
        <v>1109</v>
      </c>
      <c r="B869" s="29">
        <v>3106.0650000000001</v>
      </c>
      <c r="C869" s="30" t="s">
        <v>1353</v>
      </c>
      <c r="D869" s="2">
        <v>4948267740</v>
      </c>
      <c r="E869" s="2" t="s">
        <v>14</v>
      </c>
      <c r="F869" s="2" t="s">
        <v>1354</v>
      </c>
      <c r="G869" s="28" t="s">
        <v>9</v>
      </c>
      <c r="H869" s="2" t="s">
        <v>23</v>
      </c>
      <c r="I869" s="2">
        <v>38</v>
      </c>
      <c r="J869" s="2"/>
      <c r="K869" s="2">
        <v>14196</v>
      </c>
      <c r="L869" s="35">
        <f t="shared" si="45"/>
        <v>44093698.740000002</v>
      </c>
      <c r="M869" s="36">
        <v>7800</v>
      </c>
      <c r="N869" s="40">
        <v>1389292.3141655</v>
      </c>
      <c r="O869" s="40">
        <v>5484.8335745296699</v>
      </c>
      <c r="P869" s="40">
        <v>435267.71388499299</v>
      </c>
      <c r="Q869" s="40">
        <v>168517.626628075</v>
      </c>
      <c r="R869" s="40">
        <v>214770.939691445</v>
      </c>
      <c r="S869" s="40">
        <v>129218.176718093</v>
      </c>
      <c r="T869" s="37">
        <v>30000</v>
      </c>
      <c r="U869" s="52">
        <v>3787276.3253856902</v>
      </c>
      <c r="V869" s="52">
        <v>0</v>
      </c>
      <c r="W869" s="45">
        <f t="shared" si="46"/>
        <v>6159827.930048326</v>
      </c>
      <c r="X869" s="46">
        <f t="shared" si="47"/>
        <v>13.969859880365131</v>
      </c>
    </row>
    <row r="870" spans="1:24" s="4" customFormat="1" ht="15" customHeight="1">
      <c r="A870" s="28" t="s">
        <v>1109</v>
      </c>
      <c r="B870" s="29">
        <v>3106.0650000000001</v>
      </c>
      <c r="C870" s="30" t="s">
        <v>1353</v>
      </c>
      <c r="D870" s="2">
        <v>4948242156</v>
      </c>
      <c r="E870" s="2" t="s">
        <v>14</v>
      </c>
      <c r="F870" s="2" t="s">
        <v>1354</v>
      </c>
      <c r="G870" s="28" t="s">
        <v>9</v>
      </c>
      <c r="H870" s="2" t="s">
        <v>23</v>
      </c>
      <c r="I870" s="2">
        <v>38</v>
      </c>
      <c r="J870" s="2"/>
      <c r="K870" s="2">
        <v>4000.5</v>
      </c>
      <c r="L870" s="35">
        <f t="shared" si="45"/>
        <v>12425813.032500001</v>
      </c>
      <c r="M870" s="36">
        <v>1050</v>
      </c>
      <c r="N870" s="40">
        <v>187020.11921458601</v>
      </c>
      <c r="O870" s="40">
        <v>738.34298118668596</v>
      </c>
      <c r="P870" s="40">
        <v>58593.7307152875</v>
      </c>
      <c r="Q870" s="40">
        <v>22685.065123010099</v>
      </c>
      <c r="R870" s="40">
        <v>28911.4726507714</v>
      </c>
      <c r="S870" s="40">
        <v>17394.754558204801</v>
      </c>
      <c r="T870" s="37">
        <v>30000</v>
      </c>
      <c r="U870" s="52">
        <v>509825.65918653598</v>
      </c>
      <c r="V870" s="52">
        <v>0</v>
      </c>
      <c r="W870" s="45">
        <f t="shared" si="46"/>
        <v>855169.1444295824</v>
      </c>
      <c r="X870" s="46">
        <f t="shared" si="47"/>
        <v>6.8821987116083889</v>
      </c>
    </row>
    <row r="871" spans="1:24" s="4" customFormat="1" ht="15" customHeight="1">
      <c r="A871" s="28" t="s">
        <v>1109</v>
      </c>
      <c r="B871" s="29">
        <v>3106.0650000000001</v>
      </c>
      <c r="C871" s="30" t="s">
        <v>1355</v>
      </c>
      <c r="D871" s="2">
        <v>4947330798</v>
      </c>
      <c r="E871" s="2" t="s">
        <v>6</v>
      </c>
      <c r="F871" s="2" t="s">
        <v>1356</v>
      </c>
      <c r="G871" s="28" t="s">
        <v>9</v>
      </c>
      <c r="H871" s="2" t="s">
        <v>23</v>
      </c>
      <c r="I871" s="2">
        <v>8</v>
      </c>
      <c r="J871" s="2"/>
      <c r="K871" s="2">
        <v>104486.39999999999</v>
      </c>
      <c r="L871" s="35">
        <f t="shared" si="45"/>
        <v>324541550.01599997</v>
      </c>
      <c r="M871" s="36">
        <v>3840</v>
      </c>
      <c r="N871" s="40">
        <v>1199728</v>
      </c>
      <c r="O871" s="40">
        <v>3456</v>
      </c>
      <c r="P871" s="40">
        <v>0</v>
      </c>
      <c r="Q871" s="40">
        <v>106777</v>
      </c>
      <c r="R871" s="40">
        <v>196132</v>
      </c>
      <c r="S871" s="40">
        <v>354356</v>
      </c>
      <c r="T871" s="37">
        <v>30000</v>
      </c>
      <c r="U871" s="40">
        <v>1853777.7777777801</v>
      </c>
      <c r="V871" s="40">
        <v>1186666.66666667</v>
      </c>
      <c r="W871" s="45">
        <f t="shared" si="46"/>
        <v>4930893.4444444496</v>
      </c>
      <c r="X871" s="46">
        <f t="shared" si="47"/>
        <v>1.5193411888867097</v>
      </c>
    </row>
    <row r="872" spans="1:24" s="4" customFormat="1" ht="15" customHeight="1">
      <c r="A872" s="28" t="s">
        <v>1109</v>
      </c>
      <c r="B872" s="29">
        <v>3106.0650000000001</v>
      </c>
      <c r="C872" s="30" t="s">
        <v>1357</v>
      </c>
      <c r="D872" s="2">
        <v>4947971639</v>
      </c>
      <c r="E872" s="2" t="s">
        <v>38</v>
      </c>
      <c r="F872" s="2" t="s">
        <v>1358</v>
      </c>
      <c r="G872" s="28" t="s">
        <v>9</v>
      </c>
      <c r="H872" s="2" t="s">
        <v>23</v>
      </c>
      <c r="I872" s="2">
        <v>1</v>
      </c>
      <c r="J872" s="2"/>
      <c r="K872" s="2">
        <v>130.19999999999999</v>
      </c>
      <c r="L872" s="35">
        <f t="shared" si="45"/>
        <v>404409.663</v>
      </c>
      <c r="M872" s="36">
        <v>60</v>
      </c>
      <c r="N872" s="40">
        <v>644380</v>
      </c>
      <c r="O872" s="40">
        <v>63</v>
      </c>
      <c r="P872" s="40">
        <v>1766</v>
      </c>
      <c r="Q872" s="40">
        <v>1322</v>
      </c>
      <c r="R872" s="40">
        <v>81634</v>
      </c>
      <c r="S872" s="40">
        <v>354356</v>
      </c>
      <c r="T872" s="40"/>
      <c r="U872" s="40">
        <v>41623</v>
      </c>
      <c r="V872" s="40">
        <v>0</v>
      </c>
      <c r="W872" s="45">
        <f t="shared" si="46"/>
        <v>1125144</v>
      </c>
      <c r="X872" s="46">
        <f t="shared" si="47"/>
        <v>278.21887134284424</v>
      </c>
    </row>
    <row r="873" spans="1:24" s="4" customFormat="1" ht="15" customHeight="1">
      <c r="A873" s="28" t="s">
        <v>1109</v>
      </c>
      <c r="B873" s="29">
        <v>3106.0650000000001</v>
      </c>
      <c r="C873" s="30" t="s">
        <v>1359</v>
      </c>
      <c r="D873" s="2">
        <v>4949571458</v>
      </c>
      <c r="E873" s="2" t="s">
        <v>14</v>
      </c>
      <c r="F873" s="78" t="s">
        <v>1360</v>
      </c>
      <c r="G873" s="28" t="s">
        <v>13</v>
      </c>
      <c r="H873" s="2" t="s">
        <v>23</v>
      </c>
      <c r="I873" s="2">
        <v>1</v>
      </c>
      <c r="J873" s="2"/>
      <c r="K873" s="2">
        <v>1854</v>
      </c>
      <c r="L873" s="35">
        <f t="shared" si="45"/>
        <v>5758644.5099999998</v>
      </c>
      <c r="M873" s="36">
        <v>60</v>
      </c>
      <c r="N873" s="40">
        <v>165083</v>
      </c>
      <c r="O873" s="40">
        <v>0</v>
      </c>
      <c r="P873" s="40">
        <v>0</v>
      </c>
      <c r="Q873" s="40">
        <v>0</v>
      </c>
      <c r="R873" s="40">
        <v>660</v>
      </c>
      <c r="S873" s="40">
        <v>354356</v>
      </c>
      <c r="T873" s="37">
        <v>30000</v>
      </c>
      <c r="U873" s="40">
        <v>20887.921776973901</v>
      </c>
      <c r="V873" s="40">
        <v>0</v>
      </c>
      <c r="W873" s="45">
        <f t="shared" si="46"/>
        <v>570986.92177697388</v>
      </c>
      <c r="X873" s="46">
        <f t="shared" si="47"/>
        <v>9.9153007410935654</v>
      </c>
    </row>
    <row r="874" spans="1:24" s="4" customFormat="1" ht="15" customHeight="1">
      <c r="A874" s="28" t="s">
        <v>1109</v>
      </c>
      <c r="B874" s="29">
        <v>3106.0650000000001</v>
      </c>
      <c r="C874" s="30" t="s">
        <v>1361</v>
      </c>
      <c r="D874" s="2">
        <v>4949681908</v>
      </c>
      <c r="E874" s="2" t="s">
        <v>14</v>
      </c>
      <c r="F874" s="78" t="s">
        <v>1362</v>
      </c>
      <c r="G874" s="28" t="s">
        <v>13</v>
      </c>
      <c r="H874" s="2" t="s">
        <v>23</v>
      </c>
      <c r="I874" s="2">
        <v>1</v>
      </c>
      <c r="J874" s="2"/>
      <c r="K874" s="2">
        <v>828.2</v>
      </c>
      <c r="L874" s="35">
        <f t="shared" si="45"/>
        <v>2572443.0330000003</v>
      </c>
      <c r="M874" s="36">
        <v>10</v>
      </c>
      <c r="N874" s="40">
        <v>129058</v>
      </c>
      <c r="O874" s="40">
        <v>0</v>
      </c>
      <c r="P874" s="40">
        <v>0</v>
      </c>
      <c r="Q874" s="40">
        <v>0</v>
      </c>
      <c r="R874" s="40">
        <v>516</v>
      </c>
      <c r="S874" s="40">
        <v>354356</v>
      </c>
      <c r="T874" s="37">
        <v>30000</v>
      </c>
      <c r="U874" s="40">
        <v>3481.3202961623201</v>
      </c>
      <c r="V874" s="40">
        <v>0</v>
      </c>
      <c r="W874" s="45">
        <f t="shared" si="46"/>
        <v>517411.32029616233</v>
      </c>
      <c r="X874" s="46">
        <f t="shared" si="47"/>
        <v>20.113616265109428</v>
      </c>
    </row>
    <row r="875" spans="1:24" s="4" customFormat="1" ht="15" customHeight="1">
      <c r="A875" s="28" t="s">
        <v>1109</v>
      </c>
      <c r="B875" s="29">
        <v>3106.0650000000001</v>
      </c>
      <c r="C875" s="30" t="s">
        <v>1363</v>
      </c>
      <c r="D875" s="2">
        <v>4947940815</v>
      </c>
      <c r="E875" s="2" t="s">
        <v>27</v>
      </c>
      <c r="F875" s="2">
        <v>1025129606</v>
      </c>
      <c r="G875" s="28" t="s">
        <v>13</v>
      </c>
      <c r="H875" s="2" t="s">
        <v>23</v>
      </c>
      <c r="I875" s="2">
        <v>1</v>
      </c>
      <c r="J875" s="2"/>
      <c r="K875" s="2">
        <v>522</v>
      </c>
      <c r="L875" s="35">
        <f t="shared" si="45"/>
        <v>1621365.93</v>
      </c>
      <c r="M875" s="36">
        <v>180</v>
      </c>
      <c r="N875" s="40">
        <v>332040</v>
      </c>
      <c r="O875" s="40">
        <v>0</v>
      </c>
      <c r="P875" s="40">
        <v>0</v>
      </c>
      <c r="Q875" s="40">
        <v>0</v>
      </c>
      <c r="R875" s="40">
        <v>1328</v>
      </c>
      <c r="S875" s="40">
        <v>354356</v>
      </c>
      <c r="T875" s="40"/>
      <c r="U875" s="40">
        <v>246380</v>
      </c>
      <c r="V875" s="40">
        <v>0</v>
      </c>
      <c r="W875" s="45">
        <f t="shared" si="46"/>
        <v>934104</v>
      </c>
      <c r="X875" s="46">
        <f t="shared" si="47"/>
        <v>57.612164084390251</v>
      </c>
    </row>
    <row r="876" spans="1:24" s="4" customFormat="1" ht="15" customHeight="1">
      <c r="A876" s="28" t="s">
        <v>1109</v>
      </c>
      <c r="B876" s="29">
        <v>3106.0650000000001</v>
      </c>
      <c r="C876" s="30" t="s">
        <v>1364</v>
      </c>
      <c r="D876" s="2">
        <v>4949386335</v>
      </c>
      <c r="E876" s="2" t="s">
        <v>6</v>
      </c>
      <c r="F876" s="78" t="s">
        <v>1365</v>
      </c>
      <c r="G876" s="28" t="s">
        <v>13</v>
      </c>
      <c r="H876" s="2" t="s">
        <v>23</v>
      </c>
      <c r="I876" s="2">
        <v>1</v>
      </c>
      <c r="J876" s="2"/>
      <c r="K876" s="2">
        <f>3930+94.19</f>
        <v>4024.19</v>
      </c>
      <c r="L876" s="35">
        <f t="shared" si="45"/>
        <v>12499395.71235</v>
      </c>
      <c r="M876" s="36">
        <v>500</v>
      </c>
      <c r="N876" s="40">
        <v>358029</v>
      </c>
      <c r="O876" s="40">
        <v>0</v>
      </c>
      <c r="P876" s="40">
        <v>0</v>
      </c>
      <c r="Q876" s="40">
        <v>0</v>
      </c>
      <c r="R876" s="40">
        <v>2593</v>
      </c>
      <c r="S876" s="40">
        <v>354356</v>
      </c>
      <c r="T876" s="37">
        <v>30000</v>
      </c>
      <c r="U876" s="40">
        <v>246380</v>
      </c>
      <c r="V876" s="40">
        <v>0</v>
      </c>
      <c r="W876" s="45">
        <f t="shared" si="46"/>
        <v>991358</v>
      </c>
      <c r="X876" s="46">
        <f t="shared" si="47"/>
        <v>7.9312474203892185</v>
      </c>
    </row>
    <row r="877" spans="1:24" s="4" customFormat="1" ht="15" customHeight="1">
      <c r="A877" s="28" t="s">
        <v>1109</v>
      </c>
      <c r="B877" s="29">
        <v>3106.0650000000001</v>
      </c>
      <c r="C877" s="30" t="s">
        <v>1366</v>
      </c>
      <c r="D877" s="2">
        <v>4949718140</v>
      </c>
      <c r="E877" s="2" t="s">
        <v>14</v>
      </c>
      <c r="F877" s="78" t="s">
        <v>1367</v>
      </c>
      <c r="G877" s="28" t="s">
        <v>13</v>
      </c>
      <c r="H877" s="2" t="s">
        <v>23</v>
      </c>
      <c r="I877" s="2">
        <v>1</v>
      </c>
      <c r="J877" s="2"/>
      <c r="K877" s="2">
        <v>2528.4</v>
      </c>
      <c r="L877" s="35">
        <f t="shared" si="45"/>
        <v>7853374.7460000003</v>
      </c>
      <c r="M877" s="36">
        <v>420</v>
      </c>
      <c r="N877" s="40">
        <v>1011453.59</v>
      </c>
      <c r="O877" s="40">
        <v>0</v>
      </c>
      <c r="P877" s="40">
        <v>0</v>
      </c>
      <c r="Q877" s="40">
        <v>0</v>
      </c>
      <c r="R877" s="40">
        <v>4046</v>
      </c>
      <c r="S877" s="40">
        <v>354356</v>
      </c>
      <c r="T877" s="37">
        <v>30000</v>
      </c>
      <c r="U877" s="40">
        <v>146215.452438818</v>
      </c>
      <c r="V877" s="40">
        <v>0</v>
      </c>
      <c r="W877" s="45">
        <f t="shared" si="46"/>
        <v>1546071.0424388179</v>
      </c>
      <c r="X877" s="46">
        <f t="shared" si="47"/>
        <v>19.686709121149303</v>
      </c>
    </row>
    <row r="878" spans="1:24" s="4" customFormat="1" ht="15" customHeight="1">
      <c r="A878" s="28" t="s">
        <v>1109</v>
      </c>
      <c r="B878" s="29">
        <v>3106.0650000000001</v>
      </c>
      <c r="C878" s="30" t="s">
        <v>1368</v>
      </c>
      <c r="D878" s="2">
        <v>4949035719</v>
      </c>
      <c r="E878" s="2" t="s">
        <v>14</v>
      </c>
      <c r="F878" s="78" t="s">
        <v>1369</v>
      </c>
      <c r="G878" s="28" t="s">
        <v>13</v>
      </c>
      <c r="H878" s="2" t="s">
        <v>23</v>
      </c>
      <c r="I878" s="2">
        <v>1</v>
      </c>
      <c r="J878" s="2"/>
      <c r="K878" s="2">
        <v>975.6</v>
      </c>
      <c r="L878" s="35">
        <f t="shared" si="45"/>
        <v>3030277.014</v>
      </c>
      <c r="M878" s="36">
        <v>20</v>
      </c>
      <c r="N878" s="40">
        <v>51154</v>
      </c>
      <c r="O878" s="40">
        <v>0</v>
      </c>
      <c r="P878" s="40">
        <v>0</v>
      </c>
      <c r="Q878" s="40">
        <v>0</v>
      </c>
      <c r="R878" s="40">
        <v>205</v>
      </c>
      <c r="S878" s="40">
        <v>109033</v>
      </c>
      <c r="T878" s="37">
        <v>30000</v>
      </c>
      <c r="U878" s="40">
        <v>41063.333333333299</v>
      </c>
      <c r="V878" s="40">
        <v>0</v>
      </c>
      <c r="W878" s="45">
        <f t="shared" si="46"/>
        <v>231455.33333333331</v>
      </c>
      <c r="X878" s="46">
        <f t="shared" si="47"/>
        <v>7.6380915759186543</v>
      </c>
    </row>
    <row r="879" spans="1:24" s="4" customFormat="1" ht="15" customHeight="1">
      <c r="A879" s="28" t="s">
        <v>1109</v>
      </c>
      <c r="B879" s="29">
        <v>3106.0650000000001</v>
      </c>
      <c r="C879" s="30" t="s">
        <v>1368</v>
      </c>
      <c r="D879" s="2">
        <v>4948494932</v>
      </c>
      <c r="E879" s="2" t="s">
        <v>14</v>
      </c>
      <c r="F879" s="78" t="s">
        <v>1369</v>
      </c>
      <c r="G879" s="28" t="s">
        <v>13</v>
      </c>
      <c r="H879" s="2" t="s">
        <v>23</v>
      </c>
      <c r="I879" s="2">
        <v>1</v>
      </c>
      <c r="J879" s="2"/>
      <c r="K879" s="2">
        <v>1951.2</v>
      </c>
      <c r="L879" s="35">
        <f t="shared" si="45"/>
        <v>6060554.0279999999</v>
      </c>
      <c r="M879" s="36">
        <v>40</v>
      </c>
      <c r="N879" s="40">
        <v>102307</v>
      </c>
      <c r="O879" s="40">
        <v>0</v>
      </c>
      <c r="P879" s="40">
        <v>0</v>
      </c>
      <c r="Q879" s="40">
        <v>0</v>
      </c>
      <c r="R879" s="40">
        <v>409</v>
      </c>
      <c r="S879" s="40">
        <v>218065</v>
      </c>
      <c r="T879" s="37">
        <v>30000</v>
      </c>
      <c r="U879" s="40">
        <v>82126.666666666701</v>
      </c>
      <c r="V879" s="40">
        <v>0</v>
      </c>
      <c r="W879" s="45">
        <f t="shared" si="46"/>
        <v>432907.66666666669</v>
      </c>
      <c r="X879" s="46">
        <f t="shared" si="47"/>
        <v>7.1430378256940887</v>
      </c>
    </row>
    <row r="880" spans="1:24" s="4" customFormat="1" ht="15" customHeight="1">
      <c r="A880" s="28" t="s">
        <v>1109</v>
      </c>
      <c r="B880" s="29">
        <v>3106.0650000000001</v>
      </c>
      <c r="C880" s="30" t="s">
        <v>1368</v>
      </c>
      <c r="D880" s="2">
        <v>4949571458</v>
      </c>
      <c r="E880" s="2" t="s">
        <v>14</v>
      </c>
      <c r="F880" s="78" t="s">
        <v>1369</v>
      </c>
      <c r="G880" s="28" t="s">
        <v>13</v>
      </c>
      <c r="H880" s="2" t="s">
        <v>23</v>
      </c>
      <c r="I880" s="2">
        <v>1</v>
      </c>
      <c r="J880" s="2"/>
      <c r="K880" s="2">
        <v>560.29999999999995</v>
      </c>
      <c r="L880" s="35">
        <f t="shared" si="45"/>
        <v>1740328.2194999999</v>
      </c>
      <c r="M880" s="36">
        <v>5</v>
      </c>
      <c r="N880" s="40">
        <v>12788</v>
      </c>
      <c r="O880" s="40">
        <v>0</v>
      </c>
      <c r="P880" s="40">
        <v>0</v>
      </c>
      <c r="Q880" s="40">
        <v>0</v>
      </c>
      <c r="R880" s="40">
        <v>51</v>
      </c>
      <c r="S880" s="40">
        <v>27258</v>
      </c>
      <c r="T880" s="37">
        <v>30000</v>
      </c>
      <c r="U880" s="40">
        <v>10265.833333333299</v>
      </c>
      <c r="V880" s="40">
        <v>0</v>
      </c>
      <c r="W880" s="45">
        <f t="shared" si="46"/>
        <v>80362.833333333299</v>
      </c>
      <c r="X880" s="46">
        <f t="shared" si="47"/>
        <v>4.6176825976206786</v>
      </c>
    </row>
    <row r="881" spans="1:24" s="4" customFormat="1" ht="15" customHeight="1">
      <c r="A881" s="28" t="s">
        <v>1109</v>
      </c>
      <c r="B881" s="29">
        <v>3106.0650000000001</v>
      </c>
      <c r="C881" s="30" t="s">
        <v>1370</v>
      </c>
      <c r="D881" s="2">
        <v>4949654737</v>
      </c>
      <c r="E881" s="2" t="s">
        <v>14</v>
      </c>
      <c r="F881" s="78" t="s">
        <v>1371</v>
      </c>
      <c r="G881" s="28" t="s">
        <v>13</v>
      </c>
      <c r="H881" s="2" t="s">
        <v>23</v>
      </c>
      <c r="I881" s="2">
        <v>1</v>
      </c>
      <c r="J881" s="2"/>
      <c r="K881" s="2">
        <v>828.2</v>
      </c>
      <c r="L881" s="35">
        <f t="shared" si="45"/>
        <v>2572443.0330000003</v>
      </c>
      <c r="M881" s="36">
        <v>10</v>
      </c>
      <c r="N881" s="40">
        <v>132436</v>
      </c>
      <c r="O881" s="40">
        <v>0</v>
      </c>
      <c r="P881" s="40">
        <v>0</v>
      </c>
      <c r="Q881" s="40">
        <v>0</v>
      </c>
      <c r="R881" s="40">
        <v>529</v>
      </c>
      <c r="S881" s="40">
        <v>354356</v>
      </c>
      <c r="T881" s="37">
        <v>30000</v>
      </c>
      <c r="U881" s="40">
        <v>20531.666666666701</v>
      </c>
      <c r="V881" s="40">
        <v>0</v>
      </c>
      <c r="W881" s="45">
        <f t="shared" si="46"/>
        <v>537852.66666666674</v>
      </c>
      <c r="X881" s="46">
        <f t="shared" si="47"/>
        <v>20.908244022003448</v>
      </c>
    </row>
    <row r="882" spans="1:24" s="4" customFormat="1" ht="15" customHeight="1">
      <c r="A882" s="28" t="s">
        <v>1109</v>
      </c>
      <c r="B882" s="29">
        <v>3106.0650000000001</v>
      </c>
      <c r="C882" s="30" t="s">
        <v>1372</v>
      </c>
      <c r="D882" s="2">
        <v>4949162082</v>
      </c>
      <c r="E882" s="2" t="s">
        <v>14</v>
      </c>
      <c r="F882" s="78" t="s">
        <v>1373</v>
      </c>
      <c r="G882" s="28" t="s">
        <v>13</v>
      </c>
      <c r="H882" s="2" t="s">
        <v>23</v>
      </c>
      <c r="I882" s="2">
        <v>7</v>
      </c>
      <c r="J882" s="2"/>
      <c r="K882" s="2">
        <f>4415.25+159.56</f>
        <v>4574.8100000000004</v>
      </c>
      <c r="L882" s="35">
        <f t="shared" si="45"/>
        <v>14209657.222650001</v>
      </c>
      <c r="M882" s="36">
        <v>35</v>
      </c>
      <c r="N882" s="40">
        <v>589039</v>
      </c>
      <c r="O882" s="40">
        <v>0</v>
      </c>
      <c r="P882" s="40">
        <v>0</v>
      </c>
      <c r="Q882" s="40">
        <v>0</v>
      </c>
      <c r="R882" s="40">
        <v>4323</v>
      </c>
      <c r="S882" s="40">
        <v>354356</v>
      </c>
      <c r="T882" s="37">
        <v>30000</v>
      </c>
      <c r="U882" s="40">
        <v>71860.833333333299</v>
      </c>
      <c r="V882" s="40">
        <v>0</v>
      </c>
      <c r="W882" s="45">
        <f t="shared" si="46"/>
        <v>1049578.8333333333</v>
      </c>
      <c r="X882" s="46">
        <f t="shared" si="47"/>
        <v>7.3863768624926358</v>
      </c>
    </row>
    <row r="883" spans="1:24" s="4" customFormat="1" ht="15" customHeight="1">
      <c r="A883" s="28" t="s">
        <v>1109</v>
      </c>
      <c r="B883" s="29">
        <v>3106.0650000000001</v>
      </c>
      <c r="C883" s="30" t="s">
        <v>1374</v>
      </c>
      <c r="D883" s="2">
        <v>4949035713</v>
      </c>
      <c r="E883" s="2" t="s">
        <v>14</v>
      </c>
      <c r="F883" s="78" t="s">
        <v>1375</v>
      </c>
      <c r="G883" s="28" t="s">
        <v>13</v>
      </c>
      <c r="H883" s="2" t="s">
        <v>23</v>
      </c>
      <c r="I883" s="2">
        <v>1</v>
      </c>
      <c r="J883" s="2"/>
      <c r="K883" s="2">
        <v>391.5</v>
      </c>
      <c r="L883" s="35">
        <f t="shared" si="45"/>
        <v>1216024.4475</v>
      </c>
      <c r="M883" s="36">
        <v>10</v>
      </c>
      <c r="N883" s="40">
        <v>149550.76</v>
      </c>
      <c r="O883" s="40">
        <v>0</v>
      </c>
      <c r="P883" s="40">
        <v>0</v>
      </c>
      <c r="Q883" s="40">
        <v>0</v>
      </c>
      <c r="R883" s="40">
        <v>598</v>
      </c>
      <c r="S883" s="40">
        <v>354356</v>
      </c>
      <c r="T883" s="37">
        <v>30000</v>
      </c>
      <c r="U883" s="40">
        <v>20531.666666666701</v>
      </c>
      <c r="V883" s="40">
        <v>0</v>
      </c>
      <c r="W883" s="45">
        <f t="shared" si="46"/>
        <v>555036.42666666675</v>
      </c>
      <c r="X883" s="46">
        <f t="shared" si="47"/>
        <v>45.643525326135908</v>
      </c>
    </row>
    <row r="884" spans="1:24" s="4" customFormat="1" ht="15" customHeight="1">
      <c r="A884" s="28" t="s">
        <v>1109</v>
      </c>
      <c r="B884" s="29">
        <v>3106.0650000000001</v>
      </c>
      <c r="C884" s="30" t="s">
        <v>1376</v>
      </c>
      <c r="D884" s="2">
        <v>4949627406</v>
      </c>
      <c r="E884" s="2" t="s">
        <v>24</v>
      </c>
      <c r="F884" s="78" t="s">
        <v>1377</v>
      </c>
      <c r="G884" s="28" t="s">
        <v>13</v>
      </c>
      <c r="H884" s="2" t="s">
        <v>23</v>
      </c>
      <c r="I884" s="2">
        <v>1</v>
      </c>
      <c r="J884" s="2"/>
      <c r="K884" s="2">
        <f>228.61+363.77</f>
        <v>592.38</v>
      </c>
      <c r="L884" s="35">
        <f t="shared" si="45"/>
        <v>1839970.7847</v>
      </c>
      <c r="M884" s="36">
        <v>217.72399999999999</v>
      </c>
      <c r="N884" s="40">
        <v>556635</v>
      </c>
      <c r="O884" s="40">
        <v>0</v>
      </c>
      <c r="P884" s="40">
        <v>0</v>
      </c>
      <c r="Q884" s="40">
        <v>0</v>
      </c>
      <c r="R884" s="40">
        <v>6712</v>
      </c>
      <c r="S884" s="40">
        <v>354356</v>
      </c>
      <c r="T884" s="40"/>
      <c r="U884" s="40">
        <v>75795.305488046099</v>
      </c>
      <c r="V884" s="40">
        <v>0</v>
      </c>
      <c r="W884" s="45">
        <f t="shared" si="46"/>
        <v>993498.30548804614</v>
      </c>
      <c r="X884" s="46">
        <f t="shared" si="47"/>
        <v>53.995330455751343</v>
      </c>
    </row>
    <row r="885" spans="1:24" s="4" customFormat="1" ht="15" customHeight="1">
      <c r="A885" s="28" t="s">
        <v>1109</v>
      </c>
      <c r="B885" s="29">
        <v>3106.0650000000001</v>
      </c>
      <c r="C885" s="30" t="s">
        <v>1378</v>
      </c>
      <c r="D885" s="2">
        <v>4949419400</v>
      </c>
      <c r="E885" s="2" t="s">
        <v>27</v>
      </c>
      <c r="F885" s="78" t="s">
        <v>1379</v>
      </c>
      <c r="G885" s="28" t="s">
        <v>13</v>
      </c>
      <c r="H885" s="2" t="s">
        <v>23</v>
      </c>
      <c r="I885" s="2">
        <v>2</v>
      </c>
      <c r="J885" s="2"/>
      <c r="K885" s="2">
        <v>1061.22</v>
      </c>
      <c r="L885" s="35">
        <f t="shared" si="45"/>
        <v>3296218.2993000001</v>
      </c>
      <c r="M885" s="36">
        <v>92.57</v>
      </c>
      <c r="N885" s="40">
        <v>989092.13</v>
      </c>
      <c r="O885" s="40">
        <v>0</v>
      </c>
      <c r="P885" s="40">
        <v>0</v>
      </c>
      <c r="Q885" s="40">
        <v>0</v>
      </c>
      <c r="R885" s="40">
        <v>3956</v>
      </c>
      <c r="S885" s="40">
        <v>354356</v>
      </c>
      <c r="T885" s="40"/>
      <c r="U885" s="40">
        <v>246380</v>
      </c>
      <c r="V885" s="40">
        <v>0</v>
      </c>
      <c r="W885" s="45">
        <f t="shared" si="46"/>
        <v>1593784.13</v>
      </c>
      <c r="X885" s="46">
        <f t="shared" si="47"/>
        <v>48.351898608731801</v>
      </c>
    </row>
    <row r="886" spans="1:24" s="4" customFormat="1" ht="15" customHeight="1">
      <c r="A886" s="28" t="s">
        <v>1109</v>
      </c>
      <c r="B886" s="29">
        <v>3106.0650000000001</v>
      </c>
      <c r="C886" s="30" t="s">
        <v>1380</v>
      </c>
      <c r="D886" s="2">
        <v>4949035724</v>
      </c>
      <c r="E886" s="2" t="s">
        <v>14</v>
      </c>
      <c r="F886" s="78" t="s">
        <v>1381</v>
      </c>
      <c r="G886" s="28" t="s">
        <v>9</v>
      </c>
      <c r="H886" s="2" t="s">
        <v>23</v>
      </c>
      <c r="I886" s="2">
        <v>2</v>
      </c>
      <c r="J886" s="2"/>
      <c r="K886" s="2">
        <v>22648</v>
      </c>
      <c r="L886" s="35">
        <f t="shared" si="45"/>
        <v>70346160.120000005</v>
      </c>
      <c r="M886" s="36">
        <f>600+200</f>
        <v>800</v>
      </c>
      <c r="N886" s="40">
        <v>495057</v>
      </c>
      <c r="O886" s="40">
        <v>528</v>
      </c>
      <c r="P886" s="40">
        <v>0</v>
      </c>
      <c r="Q886" s="40">
        <v>12795</v>
      </c>
      <c r="R886" s="40">
        <v>96016</v>
      </c>
      <c r="S886" s="40">
        <v>354356</v>
      </c>
      <c r="T886" s="37">
        <v>30000</v>
      </c>
      <c r="U886" s="40">
        <v>322097</v>
      </c>
      <c r="V886" s="40">
        <v>0</v>
      </c>
      <c r="W886" s="45">
        <f t="shared" si="46"/>
        <v>1310849</v>
      </c>
      <c r="X886" s="46">
        <f t="shared" si="47"/>
        <v>1.8634265150562421</v>
      </c>
    </row>
    <row r="887" spans="1:24" s="4" customFormat="1" ht="15" customHeight="1">
      <c r="A887" s="28" t="s">
        <v>1109</v>
      </c>
      <c r="B887" s="29">
        <v>3106.0650000000001</v>
      </c>
      <c r="C887" s="30" t="s">
        <v>1382</v>
      </c>
      <c r="D887" s="2">
        <v>4948985834</v>
      </c>
      <c r="E887" s="2" t="s">
        <v>21</v>
      </c>
      <c r="F887" s="2" t="s">
        <v>1383</v>
      </c>
      <c r="G887" s="28" t="s">
        <v>5</v>
      </c>
      <c r="H887" s="2" t="s">
        <v>17</v>
      </c>
      <c r="I887" s="2">
        <v>1</v>
      </c>
      <c r="J887" s="2" t="s">
        <v>1384</v>
      </c>
      <c r="K887" s="2">
        <v>15676.41</v>
      </c>
      <c r="L887" s="35">
        <f t="shared" si="45"/>
        <v>48691948.426650003</v>
      </c>
      <c r="M887" s="36">
        <v>10886.4</v>
      </c>
      <c r="N887" s="40">
        <v>313889</v>
      </c>
      <c r="O887" s="40">
        <v>408424</v>
      </c>
      <c r="P887" s="40">
        <v>0</v>
      </c>
      <c r="Q887" s="40">
        <v>99309</v>
      </c>
      <c r="R887" s="40">
        <v>621048</v>
      </c>
      <c r="S887" s="40">
        <v>354356</v>
      </c>
      <c r="T887" s="40"/>
      <c r="U887" s="40">
        <v>4816050</v>
      </c>
      <c r="V887" s="40">
        <v>0</v>
      </c>
      <c r="W887" s="45">
        <f t="shared" si="46"/>
        <v>6613076</v>
      </c>
      <c r="X887" s="46">
        <f t="shared" si="47"/>
        <v>13.581456921901571</v>
      </c>
    </row>
    <row r="888" spans="1:24" s="4" customFormat="1" ht="15" customHeight="1">
      <c r="A888" s="28" t="s">
        <v>1109</v>
      </c>
      <c r="B888" s="29">
        <v>3106.0650000000001</v>
      </c>
      <c r="C888" s="30" t="s">
        <v>1385</v>
      </c>
      <c r="D888" s="2">
        <v>4948773130</v>
      </c>
      <c r="E888" s="2" t="s">
        <v>18</v>
      </c>
      <c r="F888" s="2" t="s">
        <v>1386</v>
      </c>
      <c r="G888" s="28" t="s">
        <v>5</v>
      </c>
      <c r="H888" s="2" t="s">
        <v>17</v>
      </c>
      <c r="I888" s="2">
        <v>1</v>
      </c>
      <c r="J888" s="2" t="s">
        <v>1387</v>
      </c>
      <c r="K888" s="2">
        <v>11800</v>
      </c>
      <c r="L888" s="35">
        <f t="shared" si="45"/>
        <v>36651567</v>
      </c>
      <c r="M888" s="36">
        <v>20000</v>
      </c>
      <c r="N888" s="40">
        <v>297003</v>
      </c>
      <c r="O888" s="40">
        <v>408424</v>
      </c>
      <c r="P888" s="40">
        <v>99801</v>
      </c>
      <c r="Q888" s="40">
        <v>99309</v>
      </c>
      <c r="R888" s="40">
        <v>847755</v>
      </c>
      <c r="S888" s="40">
        <v>354356</v>
      </c>
      <c r="T888" s="37">
        <v>30000</v>
      </c>
      <c r="U888" s="40">
        <v>5640550</v>
      </c>
      <c r="V888" s="40">
        <v>0</v>
      </c>
      <c r="W888" s="45">
        <f t="shared" si="46"/>
        <v>7777198</v>
      </c>
      <c r="X888" s="46">
        <f t="shared" si="47"/>
        <v>21.219278291703052</v>
      </c>
    </row>
    <row r="889" spans="1:24" s="4" customFormat="1" ht="15" customHeight="1">
      <c r="A889" s="28" t="s">
        <v>1109</v>
      </c>
      <c r="B889" s="29">
        <v>3106.0650000000001</v>
      </c>
      <c r="C889" s="30" t="s">
        <v>1388</v>
      </c>
      <c r="D889" s="2">
        <v>4948208977</v>
      </c>
      <c r="E889" s="2" t="s">
        <v>14</v>
      </c>
      <c r="F889" s="78" t="s">
        <v>1389</v>
      </c>
      <c r="G889" s="28" t="s">
        <v>5</v>
      </c>
      <c r="H889" s="2" t="s">
        <v>17</v>
      </c>
      <c r="I889" s="2">
        <v>1</v>
      </c>
      <c r="J889" s="2" t="s">
        <v>1390</v>
      </c>
      <c r="K889" s="2">
        <f>10206+7776+20898</f>
        <v>38880</v>
      </c>
      <c r="L889" s="35">
        <f t="shared" si="45"/>
        <v>120763807.2</v>
      </c>
      <c r="M889" s="36">
        <f>225+3375+1125+3600+9675</f>
        <v>18000</v>
      </c>
      <c r="N889" s="40">
        <v>354263.08089500898</v>
      </c>
      <c r="O889" s="40">
        <v>316335.28399311501</v>
      </c>
      <c r="P889" s="40">
        <v>609815.83476764197</v>
      </c>
      <c r="Q889" s="40">
        <v>76917.469879518103</v>
      </c>
      <c r="R889" s="40">
        <f>983875.04302926+154905</f>
        <v>1138780.0430292599</v>
      </c>
      <c r="S889" s="40">
        <v>274458.17555937998</v>
      </c>
      <c r="T889" s="37">
        <v>30000</v>
      </c>
      <c r="U889" s="40">
        <v>4898416.5232357997</v>
      </c>
      <c r="V889" s="40">
        <v>0</v>
      </c>
      <c r="W889" s="45">
        <f t="shared" si="46"/>
        <v>7698986.4113597237</v>
      </c>
      <c r="X889" s="46">
        <f t="shared" si="47"/>
        <v>6.3752432039586466</v>
      </c>
    </row>
    <row r="890" spans="1:24" s="4" customFormat="1" ht="15" customHeight="1">
      <c r="A890" s="28" t="s">
        <v>1109</v>
      </c>
      <c r="B890" s="29">
        <v>3106.0650000000001</v>
      </c>
      <c r="C890" s="30" t="s">
        <v>1388</v>
      </c>
      <c r="D890" s="2">
        <v>4949035723</v>
      </c>
      <c r="E890" s="2" t="s">
        <v>14</v>
      </c>
      <c r="F890" s="78" t="s">
        <v>1389</v>
      </c>
      <c r="G890" s="28" t="s">
        <v>5</v>
      </c>
      <c r="H890" s="2" t="s">
        <v>17</v>
      </c>
      <c r="I890" s="2">
        <v>1</v>
      </c>
      <c r="J890" s="2" t="s">
        <v>1390</v>
      </c>
      <c r="K890" s="2">
        <f>3083.2+3083.2</f>
        <v>6166.4</v>
      </c>
      <c r="L890" s="35">
        <f t="shared" si="45"/>
        <v>19153239.215999998</v>
      </c>
      <c r="M890" s="36">
        <f>410+410</f>
        <v>820</v>
      </c>
      <c r="N890" s="40">
        <v>16138.6514629948</v>
      </c>
      <c r="O890" s="40">
        <v>14410.8296041308</v>
      </c>
      <c r="P890" s="40">
        <v>27780.499139414798</v>
      </c>
      <c r="Q890" s="40">
        <v>3504.01807228916</v>
      </c>
      <c r="R890" s="40">
        <f>44820.9741824441+7057</f>
        <v>51877.974182444101</v>
      </c>
      <c r="S890" s="40">
        <v>12503.0946643718</v>
      </c>
      <c r="T890" s="37">
        <v>30000</v>
      </c>
      <c r="U890" s="40">
        <v>223150.08605852001</v>
      </c>
      <c r="V890" s="40">
        <v>0</v>
      </c>
      <c r="W890" s="45">
        <f t="shared" si="46"/>
        <v>379365.15318416548</v>
      </c>
      <c r="X890" s="46">
        <f t="shared" si="47"/>
        <v>1.9806840446458585</v>
      </c>
    </row>
    <row r="891" spans="1:24" s="4" customFormat="1" ht="15" customHeight="1">
      <c r="A891" s="28" t="s">
        <v>1109</v>
      </c>
      <c r="B891" s="29">
        <v>3106.0650000000001</v>
      </c>
      <c r="C891" s="30" t="s">
        <v>1388</v>
      </c>
      <c r="D891" s="2">
        <v>4948772924</v>
      </c>
      <c r="E891" s="2" t="s">
        <v>14</v>
      </c>
      <c r="F891" s="78" t="s">
        <v>1389</v>
      </c>
      <c r="G891" s="28" t="s">
        <v>5</v>
      </c>
      <c r="H891" s="2" t="s">
        <v>17</v>
      </c>
      <c r="I891" s="2">
        <v>1</v>
      </c>
      <c r="J891" s="2" t="s">
        <v>1390</v>
      </c>
      <c r="K891" s="2">
        <v>6048</v>
      </c>
      <c r="L891" s="35">
        <f t="shared" si="45"/>
        <v>18785481.120000001</v>
      </c>
      <c r="M891" s="36">
        <v>2400</v>
      </c>
      <c r="N891" s="40">
        <v>47235.0774526678</v>
      </c>
      <c r="O891" s="40">
        <v>42178.037865748702</v>
      </c>
      <c r="P891" s="40">
        <v>81308.777969018905</v>
      </c>
      <c r="Q891" s="40">
        <v>10255.6626506024</v>
      </c>
      <c r="R891" s="40">
        <f>131183.339070568+20654</f>
        <v>151837.33907056801</v>
      </c>
      <c r="S891" s="40">
        <v>36594.423407917398</v>
      </c>
      <c r="T891" s="37">
        <v>30000</v>
      </c>
      <c r="U891" s="40">
        <v>653122.20309810701</v>
      </c>
      <c r="V891" s="40">
        <v>0</v>
      </c>
      <c r="W891" s="45">
        <f t="shared" si="46"/>
        <v>1052531.5215146302</v>
      </c>
      <c r="X891" s="46">
        <f t="shared" si="47"/>
        <v>5.6028989345077269</v>
      </c>
    </row>
    <row r="892" spans="1:24" s="4" customFormat="1" ht="15" customHeight="1">
      <c r="A892" s="28" t="s">
        <v>1109</v>
      </c>
      <c r="B892" s="29">
        <v>3106.0650000000001</v>
      </c>
      <c r="C892" s="30" t="s">
        <v>1388</v>
      </c>
      <c r="D892" s="2">
        <v>4948242156</v>
      </c>
      <c r="E892" s="2" t="s">
        <v>14</v>
      </c>
      <c r="F892" s="78" t="s">
        <v>1389</v>
      </c>
      <c r="G892" s="28" t="s">
        <v>5</v>
      </c>
      <c r="H892" s="2" t="s">
        <v>17</v>
      </c>
      <c r="I892" s="2">
        <v>1</v>
      </c>
      <c r="J892" s="2" t="s">
        <v>1390</v>
      </c>
      <c r="K892" s="2">
        <v>2460</v>
      </c>
      <c r="L892" s="35">
        <f t="shared" si="45"/>
        <v>7640919.9000000004</v>
      </c>
      <c r="M892" s="36">
        <v>410</v>
      </c>
      <c r="N892" s="40">
        <v>8069.3257314974198</v>
      </c>
      <c r="O892" s="40">
        <v>7205.4148020654002</v>
      </c>
      <c r="P892" s="40">
        <v>13890.249569707399</v>
      </c>
      <c r="Q892" s="40">
        <v>1752.00903614458</v>
      </c>
      <c r="R892" s="40">
        <f>22410.487091222+3528</f>
        <v>25938.487091221999</v>
      </c>
      <c r="S892" s="40">
        <v>6251.5473321858899</v>
      </c>
      <c r="T892" s="37">
        <v>30000</v>
      </c>
      <c r="U892" s="40">
        <v>111575.04302926001</v>
      </c>
      <c r="V892" s="40">
        <v>0</v>
      </c>
      <c r="W892" s="45">
        <f t="shared" si="46"/>
        <v>204682.07659208268</v>
      </c>
      <c r="X892" s="46">
        <f t="shared" si="47"/>
        <v>2.6787622337473094</v>
      </c>
    </row>
    <row r="893" spans="1:24" s="4" customFormat="1" ht="15" customHeight="1">
      <c r="A893" s="28" t="s">
        <v>1109</v>
      </c>
      <c r="B893" s="29">
        <v>3106.0650000000001</v>
      </c>
      <c r="C893" s="30" t="s">
        <v>1388</v>
      </c>
      <c r="D893" s="2">
        <v>4947612645</v>
      </c>
      <c r="E893" s="2" t="s">
        <v>14</v>
      </c>
      <c r="F893" s="78" t="s">
        <v>1389</v>
      </c>
      <c r="G893" s="28" t="s">
        <v>5</v>
      </c>
      <c r="H893" s="2" t="s">
        <v>17</v>
      </c>
      <c r="I893" s="2">
        <v>1</v>
      </c>
      <c r="J893" s="2" t="s">
        <v>1390</v>
      </c>
      <c r="K893" s="2">
        <v>1620.7</v>
      </c>
      <c r="L893" s="35">
        <f t="shared" si="45"/>
        <v>5033999.5455</v>
      </c>
      <c r="M893" s="36">
        <v>190</v>
      </c>
      <c r="N893" s="40">
        <v>3739.4436316695401</v>
      </c>
      <c r="O893" s="40">
        <v>3339.0946643717698</v>
      </c>
      <c r="P893" s="40">
        <v>6436.94492254733</v>
      </c>
      <c r="Q893" s="40">
        <v>811.90662650602405</v>
      </c>
      <c r="R893" s="40">
        <f>10385.34767642+1635</f>
        <v>12020.34767642</v>
      </c>
      <c r="S893" s="40">
        <v>2897.0585197934602</v>
      </c>
      <c r="T893" s="37">
        <v>30000</v>
      </c>
      <c r="U893" s="40">
        <v>51705.507745266797</v>
      </c>
      <c r="V893" s="40">
        <v>0</v>
      </c>
      <c r="W893" s="45">
        <f t="shared" si="46"/>
        <v>110950.30378657492</v>
      </c>
      <c r="X893" s="46">
        <f t="shared" si="47"/>
        <v>2.2040189472356184</v>
      </c>
    </row>
    <row r="894" spans="1:24" s="4" customFormat="1" ht="15" customHeight="1">
      <c r="A894" s="28" t="s">
        <v>1109</v>
      </c>
      <c r="B894" s="29">
        <v>3106.0650000000001</v>
      </c>
      <c r="C894" s="30" t="s">
        <v>1388</v>
      </c>
      <c r="D894" s="2">
        <v>4948495848</v>
      </c>
      <c r="E894" s="2" t="s">
        <v>14</v>
      </c>
      <c r="F894" s="78" t="s">
        <v>1389</v>
      </c>
      <c r="G894" s="28" t="s">
        <v>5</v>
      </c>
      <c r="H894" s="2" t="s">
        <v>17</v>
      </c>
      <c r="I894" s="2">
        <v>1</v>
      </c>
      <c r="J894" s="2" t="s">
        <v>1390</v>
      </c>
      <c r="K894" s="2">
        <v>4711</v>
      </c>
      <c r="L894" s="35">
        <f t="shared" si="45"/>
        <v>14632672.215</v>
      </c>
      <c r="M894" s="36">
        <v>700</v>
      </c>
      <c r="N894" s="40">
        <v>13776.897590361399</v>
      </c>
      <c r="O894" s="40">
        <v>12301.9277108434</v>
      </c>
      <c r="P894" s="40">
        <v>23715.0602409639</v>
      </c>
      <c r="Q894" s="40">
        <v>2991.2349397590401</v>
      </c>
      <c r="R894" s="40">
        <f>38261.8072289157+6024</f>
        <v>44285.807228915699</v>
      </c>
      <c r="S894" s="40">
        <v>10673.3734939759</v>
      </c>
      <c r="T894" s="37">
        <v>30000</v>
      </c>
      <c r="U894" s="40">
        <v>190493.97590361399</v>
      </c>
      <c r="V894" s="40">
        <v>0</v>
      </c>
      <c r="W894" s="45">
        <f t="shared" si="46"/>
        <v>328238.27710843331</v>
      </c>
      <c r="X894" s="46">
        <f t="shared" si="47"/>
        <v>2.2431875209502414</v>
      </c>
    </row>
    <row r="895" spans="1:24" s="4" customFormat="1" ht="15" customHeight="1">
      <c r="A895" s="28" t="s">
        <v>1109</v>
      </c>
      <c r="B895" s="29">
        <v>3106.0650000000001</v>
      </c>
      <c r="C895" s="30" t="s">
        <v>1388</v>
      </c>
      <c r="D895" s="2">
        <v>4949162091</v>
      </c>
      <c r="E895" s="2" t="s">
        <v>14</v>
      </c>
      <c r="F895" s="78" t="s">
        <v>1389</v>
      </c>
      <c r="G895" s="28" t="s">
        <v>5</v>
      </c>
      <c r="H895" s="2" t="s">
        <v>17</v>
      </c>
      <c r="I895" s="2">
        <v>1</v>
      </c>
      <c r="J895" s="2" t="s">
        <v>1390</v>
      </c>
      <c r="K895" s="2">
        <v>11214</v>
      </c>
      <c r="L895" s="35">
        <f t="shared" si="45"/>
        <v>34831412.910000004</v>
      </c>
      <c r="M895" s="36">
        <v>300</v>
      </c>
      <c r="N895" s="40">
        <v>5904.3846815834804</v>
      </c>
      <c r="O895" s="40">
        <v>5272.2547332185904</v>
      </c>
      <c r="P895" s="40">
        <v>10163.5972461274</v>
      </c>
      <c r="Q895" s="40">
        <v>1281.9578313253</v>
      </c>
      <c r="R895" s="40">
        <f>16397.917383821+2582</f>
        <v>18979.917383821001</v>
      </c>
      <c r="S895" s="40">
        <v>4574.3029259896703</v>
      </c>
      <c r="T895" s="37">
        <v>30000</v>
      </c>
      <c r="U895" s="40">
        <v>81640.275387263304</v>
      </c>
      <c r="V895" s="40">
        <v>0</v>
      </c>
      <c r="W895" s="45">
        <f t="shared" si="46"/>
        <v>157816.69018932874</v>
      </c>
      <c r="X895" s="46">
        <f t="shared" si="47"/>
        <v>0.45308724798820899</v>
      </c>
    </row>
    <row r="896" spans="1:24" s="4" customFormat="1" ht="15" customHeight="1">
      <c r="A896" s="28" t="s">
        <v>1109</v>
      </c>
      <c r="B896" s="29">
        <v>3106.0650000000001</v>
      </c>
      <c r="C896" s="30" t="s">
        <v>1388</v>
      </c>
      <c r="D896" s="2">
        <v>4949162088</v>
      </c>
      <c r="E896" s="2" t="s">
        <v>14</v>
      </c>
      <c r="F896" s="78" t="s">
        <v>1389</v>
      </c>
      <c r="G896" s="28" t="s">
        <v>5</v>
      </c>
      <c r="H896" s="2" t="s">
        <v>17</v>
      </c>
      <c r="I896" s="2">
        <v>1</v>
      </c>
      <c r="J896" s="2" t="s">
        <v>1390</v>
      </c>
      <c r="K896" s="2">
        <v>5754</v>
      </c>
      <c r="L896" s="35">
        <f t="shared" si="45"/>
        <v>17872298.010000002</v>
      </c>
      <c r="M896" s="36">
        <v>300</v>
      </c>
      <c r="N896" s="40">
        <v>5904.3846815834804</v>
      </c>
      <c r="O896" s="40">
        <v>5272.2547332185904</v>
      </c>
      <c r="P896" s="40">
        <v>10163.5972461274</v>
      </c>
      <c r="Q896" s="40">
        <v>1281.9578313253</v>
      </c>
      <c r="R896" s="40">
        <f>16397.917383821+2582</f>
        <v>18979.917383821001</v>
      </c>
      <c r="S896" s="40">
        <v>4574.3029259896703</v>
      </c>
      <c r="T896" s="37">
        <v>30000</v>
      </c>
      <c r="U896" s="40">
        <v>81640.275387263304</v>
      </c>
      <c r="V896" s="40">
        <v>0</v>
      </c>
      <c r="W896" s="45">
        <f t="shared" si="46"/>
        <v>157816.69018932874</v>
      </c>
      <c r="X896" s="46">
        <f t="shared" si="47"/>
        <v>0.88302405264855321</v>
      </c>
    </row>
    <row r="897" spans="1:24" s="4" customFormat="1" ht="15" customHeight="1">
      <c r="A897" s="28" t="s">
        <v>1109</v>
      </c>
      <c r="B897" s="29">
        <v>3106.0650000000001</v>
      </c>
      <c r="C897" s="30" t="s">
        <v>1388</v>
      </c>
      <c r="D897" s="2">
        <v>4948208978</v>
      </c>
      <c r="E897" s="2" t="s">
        <v>14</v>
      </c>
      <c r="F897" s="78" t="s">
        <v>1389</v>
      </c>
      <c r="G897" s="28" t="s">
        <v>5</v>
      </c>
      <c r="H897" s="2" t="s">
        <v>17</v>
      </c>
      <c r="I897" s="2">
        <v>1</v>
      </c>
      <c r="J897" s="2" t="s">
        <v>1390</v>
      </c>
      <c r="K897" s="2">
        <v>3416.4</v>
      </c>
      <c r="L897" s="35">
        <f t="shared" si="45"/>
        <v>10611560.466</v>
      </c>
      <c r="M897" s="36">
        <v>120</v>
      </c>
      <c r="N897" s="40">
        <v>2361.7538726333901</v>
      </c>
      <c r="O897" s="40">
        <v>2108.9018932874401</v>
      </c>
      <c r="P897" s="40">
        <v>4065.4388984509501</v>
      </c>
      <c r="Q897" s="40">
        <v>512.78313253012004</v>
      </c>
      <c r="R897" s="40">
        <v>7592.1669535284</v>
      </c>
      <c r="S897" s="40">
        <v>1829.7211703958701</v>
      </c>
      <c r="T897" s="37">
        <v>30000</v>
      </c>
      <c r="U897" s="40">
        <v>32656.110154905298</v>
      </c>
      <c r="V897" s="40">
        <v>0</v>
      </c>
      <c r="W897" s="45">
        <f t="shared" si="46"/>
        <v>81126.876075731474</v>
      </c>
      <c r="X897" s="46">
        <f t="shared" si="47"/>
        <v>0.76451410078344528</v>
      </c>
    </row>
    <row r="898" spans="1:24" s="4" customFormat="1" ht="15" customHeight="1">
      <c r="A898" s="28" t="s">
        <v>1109</v>
      </c>
      <c r="B898" s="29">
        <v>3106.0650000000001</v>
      </c>
      <c r="C898" s="30" t="s">
        <v>1391</v>
      </c>
      <c r="D898" s="2">
        <v>4948242197</v>
      </c>
      <c r="E898" s="2" t="s">
        <v>14</v>
      </c>
      <c r="F898" s="78" t="s">
        <v>1392</v>
      </c>
      <c r="G898" s="28" t="s">
        <v>5</v>
      </c>
      <c r="H898" s="2" t="s">
        <v>20</v>
      </c>
      <c r="I898" s="2">
        <v>1</v>
      </c>
      <c r="J898" s="2" t="s">
        <v>1393</v>
      </c>
      <c r="K898" s="2">
        <v>42400.800000000003</v>
      </c>
      <c r="L898" s="35">
        <f t="shared" si="45"/>
        <v>131699640.85200001</v>
      </c>
      <c r="M898" s="36">
        <v>7020</v>
      </c>
      <c r="N898" s="40">
        <v>350348</v>
      </c>
      <c r="O898" s="40">
        <v>311327</v>
      </c>
      <c r="P898" s="40">
        <v>0</v>
      </c>
      <c r="Q898" s="40">
        <v>99309</v>
      </c>
      <c r="R898" s="40">
        <v>616163</v>
      </c>
      <c r="S898" s="40">
        <v>354356</v>
      </c>
      <c r="T898" s="37">
        <v>30000</v>
      </c>
      <c r="U898" s="40">
        <v>3501700</v>
      </c>
      <c r="V898" s="40">
        <v>0</v>
      </c>
      <c r="W898" s="45">
        <f t="shared" si="46"/>
        <v>5263203</v>
      </c>
      <c r="X898" s="46">
        <f t="shared" si="47"/>
        <v>3.9963685291402005</v>
      </c>
    </row>
    <row r="899" spans="1:24" s="4" customFormat="1" ht="15" customHeight="1">
      <c r="A899" s="28" t="s">
        <v>1109</v>
      </c>
      <c r="B899" s="29">
        <v>3106.0650000000001</v>
      </c>
      <c r="C899" s="30" t="s">
        <v>1394</v>
      </c>
      <c r="D899" s="2">
        <v>4949099751</v>
      </c>
      <c r="E899" s="2" t="s">
        <v>24</v>
      </c>
      <c r="F899" s="2" t="s">
        <v>1395</v>
      </c>
      <c r="G899" s="28" t="s">
        <v>9</v>
      </c>
      <c r="H899" s="2" t="s">
        <v>23</v>
      </c>
      <c r="I899" s="2">
        <v>3</v>
      </c>
      <c r="J899" s="2"/>
      <c r="K899" s="2">
        <v>9859.85</v>
      </c>
      <c r="L899" s="35">
        <f t="shared" si="45"/>
        <v>30625334.990250003</v>
      </c>
      <c r="M899" s="36">
        <v>385</v>
      </c>
      <c r="N899" s="40">
        <v>204418.29491525399</v>
      </c>
      <c r="O899" s="40">
        <v>268.84745762711901</v>
      </c>
      <c r="P899" s="40">
        <v>0</v>
      </c>
      <c r="Q899" s="40">
        <v>8390.3898305084695</v>
      </c>
      <c r="R899" s="40">
        <v>32131.186440678001</v>
      </c>
      <c r="S899" s="40">
        <v>92492.9220338983</v>
      </c>
      <c r="T899" s="40"/>
      <c r="U899" s="40">
        <v>340941.61358811002</v>
      </c>
      <c r="V899" s="40">
        <v>0</v>
      </c>
      <c r="W899" s="45">
        <f t="shared" si="46"/>
        <v>678643.25426607591</v>
      </c>
      <c r="X899" s="46">
        <f t="shared" si="47"/>
        <v>2.2159537339987669</v>
      </c>
    </row>
    <row r="900" spans="1:24" s="4" customFormat="1" ht="15" customHeight="1">
      <c r="A900" s="28" t="s">
        <v>1109</v>
      </c>
      <c r="B900" s="29">
        <v>3106.0650000000001</v>
      </c>
      <c r="C900" s="30" t="s">
        <v>1394</v>
      </c>
      <c r="D900" s="2">
        <v>4949100876</v>
      </c>
      <c r="E900" s="2" t="s">
        <v>24</v>
      </c>
      <c r="F900" s="2" t="s">
        <v>1395</v>
      </c>
      <c r="G900" s="28" t="s">
        <v>9</v>
      </c>
      <c r="H900" s="2" t="s">
        <v>23</v>
      </c>
      <c r="I900" s="2">
        <v>3</v>
      </c>
      <c r="J900" s="2"/>
      <c r="K900" s="2">
        <v>8451.2999999999993</v>
      </c>
      <c r="L900" s="35">
        <f t="shared" si="45"/>
        <v>26250287.134499997</v>
      </c>
      <c r="M900" s="36">
        <v>330</v>
      </c>
      <c r="N900" s="40">
        <v>175215.681355932</v>
      </c>
      <c r="O900" s="40">
        <v>230.44067796610199</v>
      </c>
      <c r="P900" s="40">
        <v>0</v>
      </c>
      <c r="Q900" s="40">
        <v>7191.7627118644104</v>
      </c>
      <c r="R900" s="40">
        <v>27541.016949152501</v>
      </c>
      <c r="S900" s="40">
        <v>79279.647457627099</v>
      </c>
      <c r="T900" s="40"/>
      <c r="U900" s="40">
        <v>292235.66878980899</v>
      </c>
      <c r="V900" s="40">
        <v>0</v>
      </c>
      <c r="W900" s="45">
        <f t="shared" si="46"/>
        <v>581694.21794235113</v>
      </c>
      <c r="X900" s="46">
        <f t="shared" si="47"/>
        <v>2.2159537339987692</v>
      </c>
    </row>
    <row r="901" spans="1:24" s="4" customFormat="1" ht="15" customHeight="1">
      <c r="A901" s="28" t="s">
        <v>1109</v>
      </c>
      <c r="B901" s="29">
        <v>3106.0650000000001</v>
      </c>
      <c r="C901" s="30" t="s">
        <v>1394</v>
      </c>
      <c r="D901" s="2">
        <v>4949100400</v>
      </c>
      <c r="E901" s="2" t="s">
        <v>24</v>
      </c>
      <c r="F901" s="2" t="s">
        <v>1395</v>
      </c>
      <c r="G901" s="28" t="s">
        <v>9</v>
      </c>
      <c r="H901" s="2" t="s">
        <v>23</v>
      </c>
      <c r="I901" s="2">
        <v>3</v>
      </c>
      <c r="J901" s="2"/>
      <c r="K901" s="2">
        <v>3564.4</v>
      </c>
      <c r="L901" s="35">
        <f t="shared" si="45"/>
        <v>11071258.086000001</v>
      </c>
      <c r="M901" s="36">
        <v>760</v>
      </c>
      <c r="N901" s="40">
        <v>403527.02372881398</v>
      </c>
      <c r="O901" s="40">
        <v>530.71186440678002</v>
      </c>
      <c r="P901" s="40">
        <v>0</v>
      </c>
      <c r="Q901" s="40">
        <v>16562.8474576271</v>
      </c>
      <c r="R901" s="40">
        <v>63427.796610169498</v>
      </c>
      <c r="S901" s="40">
        <v>182583.43050847499</v>
      </c>
      <c r="T901" s="40"/>
      <c r="U901" s="40">
        <v>673027.60084925697</v>
      </c>
      <c r="V901" s="40">
        <v>0</v>
      </c>
      <c r="W901" s="45">
        <f t="shared" si="46"/>
        <v>1339659.4110187492</v>
      </c>
      <c r="X901" s="46">
        <f t="shared" si="47"/>
        <v>12.100335848125482</v>
      </c>
    </row>
    <row r="902" spans="1:24" s="4" customFormat="1" ht="15" customHeight="1">
      <c r="A902" s="28" t="s">
        <v>1109</v>
      </c>
      <c r="B902" s="29">
        <v>3106.0650000000001</v>
      </c>
      <c r="C902" s="30" t="s">
        <v>1396</v>
      </c>
      <c r="D902" s="2">
        <v>4947226208</v>
      </c>
      <c r="E902" s="2" t="s">
        <v>6</v>
      </c>
      <c r="F902" s="78" t="s">
        <v>1397</v>
      </c>
      <c r="G902" s="28" t="s">
        <v>5</v>
      </c>
      <c r="H902" s="2" t="s">
        <v>17</v>
      </c>
      <c r="I902" s="2">
        <v>1</v>
      </c>
      <c r="J902" s="2" t="s">
        <v>1398</v>
      </c>
      <c r="K902" s="2">
        <v>220002.3</v>
      </c>
      <c r="L902" s="35">
        <f t="shared" si="45"/>
        <v>683341443.94949996</v>
      </c>
      <c r="M902" s="36">
        <f>9870+2370</f>
        <v>12240</v>
      </c>
      <c r="N902" s="40">
        <v>0</v>
      </c>
      <c r="O902" s="40">
        <v>509004</v>
      </c>
      <c r="P902" s="40">
        <v>0</v>
      </c>
      <c r="Q902" s="40">
        <v>124137</v>
      </c>
      <c r="R902" s="40">
        <v>837828</v>
      </c>
      <c r="S902" s="40">
        <v>354356</v>
      </c>
      <c r="T902" s="37">
        <v>30000</v>
      </c>
      <c r="U902" s="40">
        <v>5446550</v>
      </c>
      <c r="V902" s="40">
        <v>1335000</v>
      </c>
      <c r="W902" s="45">
        <f t="shared" si="46"/>
        <v>8636875</v>
      </c>
      <c r="X902" s="46">
        <f t="shared" si="47"/>
        <v>1.2639179251417216</v>
      </c>
    </row>
    <row r="903" spans="1:24" s="4" customFormat="1" ht="15" customHeight="1">
      <c r="A903" s="28" t="s">
        <v>1109</v>
      </c>
      <c r="B903" s="29">
        <v>3106.0650000000001</v>
      </c>
      <c r="C903" s="30" t="s">
        <v>1399</v>
      </c>
      <c r="D903" s="2">
        <v>4948522604</v>
      </c>
      <c r="E903" s="2" t="s">
        <v>27</v>
      </c>
      <c r="F903" s="78" t="s">
        <v>1400</v>
      </c>
      <c r="G903" s="28" t="s">
        <v>5</v>
      </c>
      <c r="H903" s="2" t="s">
        <v>20</v>
      </c>
      <c r="I903" s="2">
        <v>1</v>
      </c>
      <c r="J903" s="2" t="s">
        <v>1401</v>
      </c>
      <c r="K903" s="2">
        <v>14718</v>
      </c>
      <c r="L903" s="35">
        <f t="shared" si="45"/>
        <v>45715064.670000002</v>
      </c>
      <c r="M903" s="36">
        <v>8494.2000000000007</v>
      </c>
      <c r="N903" s="40">
        <v>461000</v>
      </c>
      <c r="O903" s="40">
        <v>387618</v>
      </c>
      <c r="P903" s="40">
        <v>102537</v>
      </c>
      <c r="Q903" s="40">
        <v>124137</v>
      </c>
      <c r="R903" s="40">
        <v>617016</v>
      </c>
      <c r="S903" s="40">
        <v>354356</v>
      </c>
      <c r="T903" s="40"/>
      <c r="U903" s="40">
        <v>2900300</v>
      </c>
      <c r="V903" s="40">
        <v>0</v>
      </c>
      <c r="W903" s="45">
        <f t="shared" si="46"/>
        <v>4946964</v>
      </c>
      <c r="X903" s="46">
        <f t="shared" si="47"/>
        <v>10.821299358778749</v>
      </c>
    </row>
    <row r="904" spans="1:24" s="4" customFormat="1" ht="15" customHeight="1">
      <c r="A904" s="28" t="s">
        <v>1109</v>
      </c>
      <c r="B904" s="29">
        <v>3106.0650000000001</v>
      </c>
      <c r="C904" s="30" t="s">
        <v>1402</v>
      </c>
      <c r="D904" s="2">
        <v>4948830210</v>
      </c>
      <c r="E904" s="2" t="s">
        <v>14</v>
      </c>
      <c r="F904" s="2" t="s">
        <v>1403</v>
      </c>
      <c r="G904" s="28" t="s">
        <v>5</v>
      </c>
      <c r="H904" s="2" t="s">
        <v>20</v>
      </c>
      <c r="I904" s="2">
        <v>1</v>
      </c>
      <c r="J904" s="2" t="s">
        <v>1404</v>
      </c>
      <c r="K904" s="2">
        <v>22860</v>
      </c>
      <c r="L904" s="35">
        <f t="shared" si="45"/>
        <v>71004645.900000006</v>
      </c>
      <c r="M904" s="36">
        <v>18000</v>
      </c>
      <c r="N904" s="40">
        <v>464266</v>
      </c>
      <c r="O904" s="40">
        <v>311327</v>
      </c>
      <c r="P904" s="40">
        <v>0</v>
      </c>
      <c r="Q904" s="40">
        <v>99309</v>
      </c>
      <c r="R904" s="40">
        <v>620885</v>
      </c>
      <c r="S904" s="40">
        <v>354356</v>
      </c>
      <c r="T904" s="37">
        <v>30000</v>
      </c>
      <c r="U904" s="40">
        <v>5014900</v>
      </c>
      <c r="V904" s="40">
        <v>0</v>
      </c>
      <c r="W904" s="45">
        <f t="shared" si="46"/>
        <v>6895043</v>
      </c>
      <c r="X904" s="46">
        <f t="shared" si="47"/>
        <v>9.7106927477825771</v>
      </c>
    </row>
    <row r="905" spans="1:24" s="4" customFormat="1" ht="15" customHeight="1">
      <c r="A905" s="28" t="s">
        <v>1109</v>
      </c>
      <c r="B905" s="29">
        <v>3106.0650000000001</v>
      </c>
      <c r="C905" s="30" t="s">
        <v>1405</v>
      </c>
      <c r="D905" s="2">
        <v>4948494944</v>
      </c>
      <c r="E905" s="2" t="s">
        <v>14</v>
      </c>
      <c r="F905" s="78" t="s">
        <v>1406</v>
      </c>
      <c r="G905" s="28" t="s">
        <v>9</v>
      </c>
      <c r="H905" s="2" t="s">
        <v>23</v>
      </c>
      <c r="I905" s="2">
        <v>11</v>
      </c>
      <c r="J905" s="2"/>
      <c r="K905" s="2">
        <v>7378</v>
      </c>
      <c r="L905" s="35">
        <f t="shared" ref="L905:L968" si="48">B905*K905</f>
        <v>22916547.57</v>
      </c>
      <c r="M905" s="36">
        <v>1400</v>
      </c>
      <c r="N905" s="40">
        <v>372139.89660078997</v>
      </c>
      <c r="O905" s="40">
        <v>74730.561264822099</v>
      </c>
      <c r="P905" s="40">
        <v>190726.92490118599</v>
      </c>
      <c r="Q905" s="40">
        <v>37604.332015810302</v>
      </c>
      <c r="R905" s="40">
        <v>29263.209486166001</v>
      </c>
      <c r="S905" s="40">
        <v>78434.529644268798</v>
      </c>
      <c r="T905" s="37">
        <v>30000</v>
      </c>
      <c r="U905" s="40">
        <v>764344.66403162095</v>
      </c>
      <c r="V905" s="40">
        <v>0</v>
      </c>
      <c r="W905" s="45">
        <f t="shared" ref="W905:W968" si="49">+SUM(N905:V905)</f>
        <v>1577244.1179446641</v>
      </c>
      <c r="X905" s="46">
        <f t="shared" ref="X905:X968" si="50">(W905/L905)*100</f>
        <v>6.8825555556607094</v>
      </c>
    </row>
    <row r="906" spans="1:24" s="4" customFormat="1" ht="15" customHeight="1">
      <c r="A906" s="28" t="s">
        <v>1109</v>
      </c>
      <c r="B906" s="29">
        <v>3106.0650000000001</v>
      </c>
      <c r="C906" s="30" t="s">
        <v>1405</v>
      </c>
      <c r="D906" s="2">
        <v>4948343776</v>
      </c>
      <c r="E906" s="2" t="s">
        <v>14</v>
      </c>
      <c r="F906" s="78" t="s">
        <v>1406</v>
      </c>
      <c r="G906" s="28" t="s">
        <v>9</v>
      </c>
      <c r="H906" s="2" t="s">
        <v>23</v>
      </c>
      <c r="I906" s="2">
        <v>11</v>
      </c>
      <c r="J906" s="2"/>
      <c r="K906" s="2">
        <v>14014</v>
      </c>
      <c r="L906" s="35">
        <f t="shared" si="48"/>
        <v>43528394.910000004</v>
      </c>
      <c r="M906" s="36">
        <v>1400</v>
      </c>
      <c r="N906" s="40">
        <v>372139.89660078997</v>
      </c>
      <c r="O906" s="40">
        <v>74730.561264822099</v>
      </c>
      <c r="P906" s="40">
        <v>190726.92490118599</v>
      </c>
      <c r="Q906" s="40">
        <v>37604.332015810302</v>
      </c>
      <c r="R906" s="40">
        <v>29263.209486166001</v>
      </c>
      <c r="S906" s="40">
        <v>78434.529644268798</v>
      </c>
      <c r="T906" s="37">
        <v>30000</v>
      </c>
      <c r="U906" s="40">
        <v>764344.66403162095</v>
      </c>
      <c r="V906" s="40">
        <v>0</v>
      </c>
      <c r="W906" s="45">
        <f t="shared" si="49"/>
        <v>1577244.1179446641</v>
      </c>
      <c r="X906" s="46">
        <f t="shared" si="50"/>
        <v>3.6234832945386541</v>
      </c>
    </row>
    <row r="907" spans="1:24" s="4" customFormat="1" ht="15" customHeight="1">
      <c r="A907" s="28" t="s">
        <v>1109</v>
      </c>
      <c r="B907" s="29">
        <v>3106.0650000000001</v>
      </c>
      <c r="C907" s="30" t="s">
        <v>1405</v>
      </c>
      <c r="D907" s="2">
        <v>4948830201</v>
      </c>
      <c r="E907" s="2" t="s">
        <v>14</v>
      </c>
      <c r="F907" s="78" t="s">
        <v>1406</v>
      </c>
      <c r="G907" s="28" t="s">
        <v>9</v>
      </c>
      <c r="H907" s="2" t="s">
        <v>23</v>
      </c>
      <c r="I907" s="2">
        <v>11</v>
      </c>
      <c r="J907" s="2"/>
      <c r="K907" s="2">
        <v>1816.5</v>
      </c>
      <c r="L907" s="35">
        <f t="shared" si="48"/>
        <v>5642167.0724999998</v>
      </c>
      <c r="M907" s="36">
        <v>525</v>
      </c>
      <c r="N907" s="40">
        <v>139552.46122529599</v>
      </c>
      <c r="O907" s="40">
        <v>28023.9604743083</v>
      </c>
      <c r="P907" s="40">
        <v>71522.5968379447</v>
      </c>
      <c r="Q907" s="40">
        <v>14101.624505928899</v>
      </c>
      <c r="R907" s="40">
        <v>10973.703557312299</v>
      </c>
      <c r="S907" s="40">
        <v>29412.948616600799</v>
      </c>
      <c r="T907" s="37">
        <v>30000</v>
      </c>
      <c r="U907" s="40">
        <v>286629.24901185802</v>
      </c>
      <c r="V907" s="40">
        <v>0</v>
      </c>
      <c r="W907" s="45">
        <f t="shared" si="49"/>
        <v>610216.544229249</v>
      </c>
      <c r="X907" s="46">
        <f t="shared" si="50"/>
        <v>10.815286686625301</v>
      </c>
    </row>
    <row r="908" spans="1:24" s="4" customFormat="1" ht="15" customHeight="1">
      <c r="A908" s="28" t="s">
        <v>1109</v>
      </c>
      <c r="B908" s="29">
        <v>3106.0650000000001</v>
      </c>
      <c r="C908" s="30" t="s">
        <v>1405</v>
      </c>
      <c r="D908" s="2">
        <v>4948830205</v>
      </c>
      <c r="E908" s="2" t="s">
        <v>14</v>
      </c>
      <c r="F908" s="78" t="s">
        <v>1406</v>
      </c>
      <c r="G908" s="28" t="s">
        <v>9</v>
      </c>
      <c r="H908" s="2" t="s">
        <v>23</v>
      </c>
      <c r="I908" s="2">
        <v>11</v>
      </c>
      <c r="J908" s="2"/>
      <c r="K908" s="2">
        <v>2149</v>
      </c>
      <c r="L908" s="35">
        <f t="shared" si="48"/>
        <v>6674933.6850000005</v>
      </c>
      <c r="M908" s="36">
        <v>700</v>
      </c>
      <c r="N908" s="40">
        <v>186069.94830039499</v>
      </c>
      <c r="O908" s="40">
        <v>37365.280632411101</v>
      </c>
      <c r="P908" s="40">
        <v>95363.462450592895</v>
      </c>
      <c r="Q908" s="40">
        <v>18802.1660079051</v>
      </c>
      <c r="R908" s="40">
        <v>14631.604743083</v>
      </c>
      <c r="S908" s="40">
        <v>39217.264822134399</v>
      </c>
      <c r="T908" s="37">
        <v>30000</v>
      </c>
      <c r="U908" s="40">
        <v>382172.33201581001</v>
      </c>
      <c r="V908" s="40">
        <v>0</v>
      </c>
      <c r="W908" s="45">
        <f t="shared" si="49"/>
        <v>803622.05897233146</v>
      </c>
      <c r="X908" s="46">
        <f t="shared" si="50"/>
        <v>12.039401391780739</v>
      </c>
    </row>
    <row r="909" spans="1:24" s="4" customFormat="1" ht="15" customHeight="1">
      <c r="A909" s="28" t="s">
        <v>1109</v>
      </c>
      <c r="B909" s="29">
        <v>3106.0650000000001</v>
      </c>
      <c r="C909" s="30" t="s">
        <v>1405</v>
      </c>
      <c r="D909" s="2">
        <v>4948830205</v>
      </c>
      <c r="E909" s="2" t="s">
        <v>14</v>
      </c>
      <c r="F909" s="78" t="s">
        <v>1406</v>
      </c>
      <c r="G909" s="28" t="s">
        <v>9</v>
      </c>
      <c r="H909" s="2" t="s">
        <v>23</v>
      </c>
      <c r="I909" s="2">
        <v>11</v>
      </c>
      <c r="J909" s="2"/>
      <c r="K909" s="2">
        <v>1839.2</v>
      </c>
      <c r="L909" s="35">
        <f t="shared" si="48"/>
        <v>5712674.7480000006</v>
      </c>
      <c r="M909" s="36">
        <v>880</v>
      </c>
      <c r="N909" s="40">
        <v>233916.50643478299</v>
      </c>
      <c r="O909" s="40">
        <v>46973.4956521739</v>
      </c>
      <c r="P909" s="40">
        <v>119885.495652174</v>
      </c>
      <c r="Q909" s="40">
        <v>23637.008695652199</v>
      </c>
      <c r="R909" s="40">
        <v>18394.0173913043</v>
      </c>
      <c r="S909" s="40">
        <v>49301.704347826097</v>
      </c>
      <c r="T909" s="37">
        <v>30000</v>
      </c>
      <c r="U909" s="40">
        <v>480445.21739130397</v>
      </c>
      <c r="V909" s="40">
        <v>0</v>
      </c>
      <c r="W909" s="45">
        <f t="shared" si="49"/>
        <v>1002553.4455652174</v>
      </c>
      <c r="X909" s="46">
        <f t="shared" si="50"/>
        <v>17.549632874096499</v>
      </c>
    </row>
    <row r="910" spans="1:24" s="4" customFormat="1" ht="15" customHeight="1">
      <c r="A910" s="28" t="s">
        <v>1109</v>
      </c>
      <c r="B910" s="29">
        <v>3106.0650000000001</v>
      </c>
      <c r="C910" s="30" t="s">
        <v>1405</v>
      </c>
      <c r="D910" s="2">
        <v>4948830205</v>
      </c>
      <c r="E910" s="2" t="s">
        <v>14</v>
      </c>
      <c r="F910" s="78" t="s">
        <v>1406</v>
      </c>
      <c r="G910" s="28" t="s">
        <v>9</v>
      </c>
      <c r="H910" s="2" t="s">
        <v>23</v>
      </c>
      <c r="I910" s="2">
        <v>11</v>
      </c>
      <c r="J910" s="2"/>
      <c r="K910" s="2">
        <v>10410</v>
      </c>
      <c r="L910" s="35">
        <f t="shared" si="48"/>
        <v>32334136.650000002</v>
      </c>
      <c r="M910" s="36">
        <f>25+275</f>
        <v>300</v>
      </c>
      <c r="N910" s="40">
        <v>79744.263557312195</v>
      </c>
      <c r="O910" s="40">
        <v>16013.6916996047</v>
      </c>
      <c r="P910" s="40">
        <v>40870.055335968398</v>
      </c>
      <c r="Q910" s="40">
        <v>8058.0711462450599</v>
      </c>
      <c r="R910" s="40">
        <v>6270.6877470355703</v>
      </c>
      <c r="S910" s="40">
        <v>16807.399209486201</v>
      </c>
      <c r="T910" s="37">
        <v>30000</v>
      </c>
      <c r="U910" s="40">
        <v>163788.14229249</v>
      </c>
      <c r="V910" s="40">
        <v>0</v>
      </c>
      <c r="W910" s="45">
        <f t="shared" si="49"/>
        <v>361552.31098814216</v>
      </c>
      <c r="X910" s="46">
        <f t="shared" si="50"/>
        <v>1.1181752427836731</v>
      </c>
    </row>
    <row r="911" spans="1:24" s="4" customFormat="1" ht="15" customHeight="1">
      <c r="A911" s="28" t="s">
        <v>1109</v>
      </c>
      <c r="B911" s="29">
        <v>3106.0650000000001</v>
      </c>
      <c r="C911" s="30" t="s">
        <v>1405</v>
      </c>
      <c r="D911" s="2">
        <v>4948411919</v>
      </c>
      <c r="E911" s="2" t="s">
        <v>14</v>
      </c>
      <c r="F911" s="78" t="s">
        <v>1406</v>
      </c>
      <c r="G911" s="28" t="s">
        <v>9</v>
      </c>
      <c r="H911" s="2" t="s">
        <v>23</v>
      </c>
      <c r="I911" s="2">
        <v>11</v>
      </c>
      <c r="J911" s="2"/>
      <c r="K911" s="2">
        <v>1860.6</v>
      </c>
      <c r="L911" s="35">
        <f t="shared" si="48"/>
        <v>5779144.5389999999</v>
      </c>
      <c r="M911" s="36">
        <v>420</v>
      </c>
      <c r="N911" s="40">
        <v>111641.968980237</v>
      </c>
      <c r="O911" s="40">
        <v>22419.168379446601</v>
      </c>
      <c r="P911" s="40">
        <v>57218.077470355704</v>
      </c>
      <c r="Q911" s="40">
        <v>11281.299604743101</v>
      </c>
      <c r="R911" s="40">
        <v>8778.9628458497991</v>
      </c>
      <c r="S911" s="40">
        <v>23530.358893280601</v>
      </c>
      <c r="T911" s="37">
        <v>30000</v>
      </c>
      <c r="U911" s="40">
        <v>229303.399209486</v>
      </c>
      <c r="V911" s="40">
        <v>0</v>
      </c>
      <c r="W911" s="45">
        <f t="shared" si="49"/>
        <v>494173.23538339883</v>
      </c>
      <c r="X911" s="46">
        <f t="shared" si="50"/>
        <v>8.5509755301761086</v>
      </c>
    </row>
    <row r="912" spans="1:24" s="4" customFormat="1" ht="15" customHeight="1">
      <c r="A912" s="28" t="s">
        <v>1109</v>
      </c>
      <c r="B912" s="29">
        <v>3106.0650000000001</v>
      </c>
      <c r="C912" s="30" t="s">
        <v>1405</v>
      </c>
      <c r="D912" s="2">
        <v>4948495881</v>
      </c>
      <c r="E912" s="2" t="s">
        <v>14</v>
      </c>
      <c r="F912" s="78" t="s">
        <v>1406</v>
      </c>
      <c r="G912" s="28" t="s">
        <v>9</v>
      </c>
      <c r="H912" s="2" t="s">
        <v>23</v>
      </c>
      <c r="I912" s="2">
        <v>11</v>
      </c>
      <c r="J912" s="2"/>
      <c r="K912" s="2">
        <v>7630</v>
      </c>
      <c r="L912" s="35">
        <f t="shared" si="48"/>
        <v>23699275.949999999</v>
      </c>
      <c r="M912" s="36">
        <v>700</v>
      </c>
      <c r="N912" s="40">
        <v>186069.94830039499</v>
      </c>
      <c r="O912" s="40">
        <v>37365.280632411101</v>
      </c>
      <c r="P912" s="40">
        <v>95363.462450592895</v>
      </c>
      <c r="Q912" s="40">
        <v>18802.1660079051</v>
      </c>
      <c r="R912" s="40">
        <v>14631.604743083</v>
      </c>
      <c r="S912" s="40">
        <v>39217.264822134399</v>
      </c>
      <c r="T912" s="37">
        <v>30000</v>
      </c>
      <c r="U912" s="40">
        <v>382172.33201581001</v>
      </c>
      <c r="V912" s="40">
        <v>0</v>
      </c>
      <c r="W912" s="45">
        <f t="shared" si="49"/>
        <v>803622.05897233146</v>
      </c>
      <c r="X912" s="46">
        <f t="shared" si="50"/>
        <v>3.3909139699786124</v>
      </c>
    </row>
    <row r="913" spans="1:24" s="4" customFormat="1" ht="15" customHeight="1">
      <c r="A913" s="28" t="s">
        <v>1109</v>
      </c>
      <c r="B913" s="29">
        <v>3106.0650000000001</v>
      </c>
      <c r="C913" s="30" t="s">
        <v>1407</v>
      </c>
      <c r="D913" s="2">
        <v>4949046592</v>
      </c>
      <c r="E913" s="2" t="s">
        <v>33</v>
      </c>
      <c r="F913" s="2" t="s">
        <v>1408</v>
      </c>
      <c r="G913" s="28" t="s">
        <v>9</v>
      </c>
      <c r="H913" s="2" t="s">
        <v>23</v>
      </c>
      <c r="I913" s="2">
        <v>3</v>
      </c>
      <c r="J913" s="2"/>
      <c r="K913" s="2">
        <v>1960.69</v>
      </c>
      <c r="L913" s="35">
        <f t="shared" si="48"/>
        <v>6090030.5848500002</v>
      </c>
      <c r="M913" s="36">
        <v>133</v>
      </c>
      <c r="N913" s="40">
        <v>823784</v>
      </c>
      <c r="O913" s="40">
        <v>2050</v>
      </c>
      <c r="P913" s="40">
        <v>0</v>
      </c>
      <c r="Q913" s="40">
        <v>50673</v>
      </c>
      <c r="R913" s="40">
        <v>133888</v>
      </c>
      <c r="S913" s="40">
        <v>354356</v>
      </c>
      <c r="T913" s="40"/>
      <c r="U913" s="40">
        <v>1396800</v>
      </c>
      <c r="V913" s="40">
        <v>0</v>
      </c>
      <c r="W913" s="45">
        <f t="shared" si="49"/>
        <v>2761551</v>
      </c>
      <c r="X913" s="46">
        <f t="shared" si="50"/>
        <v>45.34543729336653</v>
      </c>
    </row>
    <row r="914" spans="1:24" s="4" customFormat="1" ht="15" customHeight="1">
      <c r="A914" s="28" t="s">
        <v>1109</v>
      </c>
      <c r="B914" s="29">
        <v>3106.0650000000001</v>
      </c>
      <c r="C914" s="30" t="s">
        <v>1409</v>
      </c>
      <c r="D914" s="2">
        <v>4947226229</v>
      </c>
      <c r="E914" s="2" t="s">
        <v>6</v>
      </c>
      <c r="F914" s="2" t="s">
        <v>1410</v>
      </c>
      <c r="G914" s="28" t="s">
        <v>5</v>
      </c>
      <c r="H914" s="2" t="s">
        <v>20</v>
      </c>
      <c r="I914" s="2">
        <v>1</v>
      </c>
      <c r="J914" s="2" t="s">
        <v>1411</v>
      </c>
      <c r="K914" s="2">
        <v>44964</v>
      </c>
      <c r="L914" s="35">
        <f t="shared" si="48"/>
        <v>139661106.66</v>
      </c>
      <c r="M914" s="36">
        <v>1800</v>
      </c>
      <c r="N914" s="40">
        <v>156945</v>
      </c>
      <c r="O914" s="40">
        <v>193809</v>
      </c>
      <c r="P914" s="40">
        <v>64085.5</v>
      </c>
      <c r="Q914" s="40">
        <v>62068.5</v>
      </c>
      <c r="R914" s="40">
        <f>260463+130787</f>
        <v>391250</v>
      </c>
      <c r="S914" s="40">
        <v>177178</v>
      </c>
      <c r="T914" s="37">
        <v>30000</v>
      </c>
      <c r="U914" s="40">
        <v>1309500</v>
      </c>
      <c r="V914" s="40">
        <v>0</v>
      </c>
      <c r="W914" s="45">
        <f t="shared" si="49"/>
        <v>2384836</v>
      </c>
      <c r="X914" s="46">
        <f t="shared" si="50"/>
        <v>1.7075877866311044</v>
      </c>
    </row>
    <row r="915" spans="1:24" s="4" customFormat="1" ht="15" customHeight="1">
      <c r="A915" s="28" t="s">
        <v>1109</v>
      </c>
      <c r="B915" s="29">
        <v>3106.0650000000001</v>
      </c>
      <c r="C915" s="30" t="s">
        <v>1409</v>
      </c>
      <c r="D915" s="2">
        <v>4946765518</v>
      </c>
      <c r="E915" s="2" t="s">
        <v>6</v>
      </c>
      <c r="F915" s="2" t="s">
        <v>1410</v>
      </c>
      <c r="G915" s="28" t="s">
        <v>5</v>
      </c>
      <c r="H915" s="2" t="s">
        <v>20</v>
      </c>
      <c r="I915" s="2">
        <v>1</v>
      </c>
      <c r="J915" s="2" t="s">
        <v>1411</v>
      </c>
      <c r="K915" s="2">
        <v>44964</v>
      </c>
      <c r="L915" s="35">
        <f t="shared" si="48"/>
        <v>139661106.66</v>
      </c>
      <c r="M915" s="36">
        <v>1800</v>
      </c>
      <c r="N915" s="40">
        <v>156945</v>
      </c>
      <c r="O915" s="40">
        <v>193809</v>
      </c>
      <c r="P915" s="40">
        <v>64085.5</v>
      </c>
      <c r="Q915" s="40">
        <v>62068.5</v>
      </c>
      <c r="R915" s="40">
        <f>260463+130787</f>
        <v>391250</v>
      </c>
      <c r="S915" s="40">
        <v>177178</v>
      </c>
      <c r="T915" s="37">
        <v>30000</v>
      </c>
      <c r="U915" s="40">
        <v>1309500</v>
      </c>
      <c r="V915" s="40">
        <v>0</v>
      </c>
      <c r="W915" s="45">
        <f t="shared" si="49"/>
        <v>2384836</v>
      </c>
      <c r="X915" s="46">
        <f t="shared" si="50"/>
        <v>1.7075877866311044</v>
      </c>
    </row>
    <row r="916" spans="1:24" s="4" customFormat="1" ht="15" customHeight="1">
      <c r="A916" s="28" t="s">
        <v>1109</v>
      </c>
      <c r="B916" s="29">
        <v>3106.0650000000001</v>
      </c>
      <c r="C916" s="30" t="s">
        <v>1412</v>
      </c>
      <c r="D916" s="2">
        <v>4949162084</v>
      </c>
      <c r="E916" s="2" t="s">
        <v>14</v>
      </c>
      <c r="F916" s="78" t="s">
        <v>1413</v>
      </c>
      <c r="G916" s="28" t="s">
        <v>9</v>
      </c>
      <c r="H916" s="2" t="s">
        <v>23</v>
      </c>
      <c r="I916" s="2">
        <v>3</v>
      </c>
      <c r="J916" s="2"/>
      <c r="K916" s="2">
        <v>3902.4</v>
      </c>
      <c r="L916" s="35">
        <f t="shared" si="48"/>
        <v>12121108.056</v>
      </c>
      <c r="M916" s="36">
        <v>240</v>
      </c>
      <c r="N916" s="40">
        <v>150017.181818182</v>
      </c>
      <c r="O916" s="40">
        <v>170.18181818181799</v>
      </c>
      <c r="P916" s="40">
        <v>0</v>
      </c>
      <c r="Q916" s="40">
        <v>4155.8181818181802</v>
      </c>
      <c r="R916" s="40">
        <v>28577.727272727301</v>
      </c>
      <c r="S916" s="40">
        <v>96642.545454545398</v>
      </c>
      <c r="T916" s="37">
        <v>30000</v>
      </c>
      <c r="U916" s="40">
        <v>212535.031847134</v>
      </c>
      <c r="V916" s="40">
        <v>0</v>
      </c>
      <c r="W916" s="45">
        <f t="shared" si="49"/>
        <v>522098.4863925887</v>
      </c>
      <c r="X916" s="46">
        <f t="shared" si="50"/>
        <v>4.3073494929710465</v>
      </c>
    </row>
    <row r="917" spans="1:24" s="4" customFormat="1" ht="15" customHeight="1">
      <c r="A917" s="28" t="s">
        <v>1109</v>
      </c>
      <c r="B917" s="29">
        <v>3106.0650000000001</v>
      </c>
      <c r="C917" s="30" t="s">
        <v>1412</v>
      </c>
      <c r="D917" s="2">
        <v>4948776998</v>
      </c>
      <c r="E917" s="2" t="s">
        <v>14</v>
      </c>
      <c r="F917" s="78" t="s">
        <v>1413</v>
      </c>
      <c r="G917" s="28" t="s">
        <v>9</v>
      </c>
      <c r="H917" s="2" t="s">
        <v>23</v>
      </c>
      <c r="I917" s="2">
        <v>3</v>
      </c>
      <c r="J917" s="2"/>
      <c r="K917" s="2">
        <v>23705.599999999999</v>
      </c>
      <c r="L917" s="35">
        <f t="shared" si="48"/>
        <v>73631134.464000002</v>
      </c>
      <c r="M917" s="36">
        <v>320</v>
      </c>
      <c r="N917" s="40">
        <v>200022.909090909</v>
      </c>
      <c r="O917" s="40">
        <v>226.90909090909099</v>
      </c>
      <c r="P917" s="40">
        <v>0</v>
      </c>
      <c r="Q917" s="40">
        <v>5541.0909090909099</v>
      </c>
      <c r="R917" s="40">
        <v>38103.636363636397</v>
      </c>
      <c r="S917" s="40">
        <v>128856.727272727</v>
      </c>
      <c r="T917" s="37">
        <v>30000</v>
      </c>
      <c r="U917" s="40">
        <v>283380.04246284498</v>
      </c>
      <c r="V917" s="40">
        <v>0</v>
      </c>
      <c r="W917" s="45">
        <f t="shared" si="49"/>
        <v>686131.31519011734</v>
      </c>
      <c r="X917" s="46">
        <f t="shared" si="50"/>
        <v>0.93184944138757375</v>
      </c>
    </row>
    <row r="918" spans="1:24" s="4" customFormat="1" ht="15" customHeight="1">
      <c r="A918" s="28" t="s">
        <v>1109</v>
      </c>
      <c r="B918" s="29">
        <v>3106.0650000000001</v>
      </c>
      <c r="C918" s="30" t="s">
        <v>1412</v>
      </c>
      <c r="D918" s="2">
        <v>4949035730</v>
      </c>
      <c r="E918" s="2" t="s">
        <v>14</v>
      </c>
      <c r="F918" s="78" t="s">
        <v>1413</v>
      </c>
      <c r="G918" s="28" t="s">
        <v>9</v>
      </c>
      <c r="H918" s="2" t="s">
        <v>23</v>
      </c>
      <c r="I918" s="2">
        <v>3</v>
      </c>
      <c r="J918" s="2"/>
      <c r="K918" s="2">
        <v>23705.599999999999</v>
      </c>
      <c r="L918" s="35">
        <f t="shared" si="48"/>
        <v>73631134.464000002</v>
      </c>
      <c r="M918" s="36">
        <v>320</v>
      </c>
      <c r="N918" s="40">
        <v>200022.909090909</v>
      </c>
      <c r="O918" s="40">
        <v>226.90909090909099</v>
      </c>
      <c r="P918" s="40">
        <v>0</v>
      </c>
      <c r="Q918" s="40">
        <v>5541.0909090909099</v>
      </c>
      <c r="R918" s="40">
        <v>38103.636363636397</v>
      </c>
      <c r="S918" s="40">
        <v>128856.727272727</v>
      </c>
      <c r="T918" s="37">
        <v>30000</v>
      </c>
      <c r="U918" s="40">
        <v>283380.04246284498</v>
      </c>
      <c r="V918" s="40">
        <v>0</v>
      </c>
      <c r="W918" s="45">
        <f t="shared" si="49"/>
        <v>686131.31519011734</v>
      </c>
      <c r="X918" s="46">
        <f t="shared" si="50"/>
        <v>0.93184944138757375</v>
      </c>
    </row>
    <row r="919" spans="1:24" s="4" customFormat="1" ht="15" customHeight="1">
      <c r="A919" s="28" t="s">
        <v>1109</v>
      </c>
      <c r="B919" s="29">
        <v>3106.0650000000001</v>
      </c>
      <c r="C919" s="30" t="s">
        <v>1414</v>
      </c>
      <c r="D919" s="2">
        <v>4947816328</v>
      </c>
      <c r="E919" s="2" t="s">
        <v>27</v>
      </c>
      <c r="F919" s="2" t="s">
        <v>1415</v>
      </c>
      <c r="G919" s="28" t="s">
        <v>9</v>
      </c>
      <c r="H919" s="2" t="s">
        <v>23</v>
      </c>
      <c r="I919" s="2">
        <v>3</v>
      </c>
      <c r="J919" s="2"/>
      <c r="K919" s="2">
        <v>2458.5</v>
      </c>
      <c r="L919" s="35">
        <f t="shared" si="48"/>
        <v>7636260.8025000002</v>
      </c>
      <c r="M919" s="36">
        <f>825+825</f>
        <v>1650</v>
      </c>
      <c r="N919" s="40">
        <v>676617</v>
      </c>
      <c r="O919" s="40">
        <v>1082</v>
      </c>
      <c r="P919" s="40">
        <v>20741</v>
      </c>
      <c r="Q919" s="40">
        <v>33647</v>
      </c>
      <c r="R919" s="40">
        <v>115241</v>
      </c>
      <c r="S919" s="40">
        <v>354356</v>
      </c>
      <c r="T919" s="40"/>
      <c r="U919" s="40">
        <v>1367700</v>
      </c>
      <c r="V919" s="40">
        <v>0</v>
      </c>
      <c r="W919" s="45">
        <f t="shared" si="49"/>
        <v>2569384</v>
      </c>
      <c r="X919" s="46">
        <f t="shared" si="50"/>
        <v>33.647148342010809</v>
      </c>
    </row>
    <row r="920" spans="1:24" s="4" customFormat="1" ht="15" customHeight="1">
      <c r="A920" s="28" t="s">
        <v>1109</v>
      </c>
      <c r="B920" s="29">
        <v>3106.0650000000001</v>
      </c>
      <c r="C920" s="30" t="s">
        <v>1416</v>
      </c>
      <c r="D920" s="2">
        <v>4947514934</v>
      </c>
      <c r="E920" s="2" t="s">
        <v>6</v>
      </c>
      <c r="F920" s="2" t="s">
        <v>1417</v>
      </c>
      <c r="G920" s="28" t="s">
        <v>5</v>
      </c>
      <c r="H920" s="2" t="s">
        <v>17</v>
      </c>
      <c r="I920" s="2">
        <v>1</v>
      </c>
      <c r="J920" s="2" t="s">
        <v>1418</v>
      </c>
      <c r="K920" s="2">
        <v>117559.2</v>
      </c>
      <c r="L920" s="35">
        <f t="shared" si="48"/>
        <v>365146516.54799998</v>
      </c>
      <c r="M920" s="36">
        <v>16104</v>
      </c>
      <c r="N920" s="40">
        <v>313889</v>
      </c>
      <c r="O920" s="40">
        <v>509004</v>
      </c>
      <c r="P920" s="40">
        <v>0</v>
      </c>
      <c r="Q920" s="40">
        <v>124137</v>
      </c>
      <c r="R920" s="40">
        <v>900658</v>
      </c>
      <c r="S920" s="40">
        <v>354356</v>
      </c>
      <c r="T920" s="37">
        <v>30000</v>
      </c>
      <c r="U920" s="40">
        <v>1600500</v>
      </c>
      <c r="V920" s="40">
        <v>0</v>
      </c>
      <c r="W920" s="45">
        <f t="shared" si="49"/>
        <v>3832544</v>
      </c>
      <c r="X920" s="46">
        <f t="shared" si="50"/>
        <v>1.0495907331204668</v>
      </c>
    </row>
    <row r="921" spans="1:24" s="4" customFormat="1" ht="15" customHeight="1">
      <c r="A921" s="28" t="s">
        <v>1109</v>
      </c>
      <c r="B921" s="29">
        <v>3106.0650000000001</v>
      </c>
      <c r="C921" s="30" t="s">
        <v>1419</v>
      </c>
      <c r="D921" s="2">
        <v>4948417073</v>
      </c>
      <c r="E921" s="2" t="s">
        <v>6</v>
      </c>
      <c r="F921" s="2" t="s">
        <v>1420</v>
      </c>
      <c r="G921" s="28" t="s">
        <v>5</v>
      </c>
      <c r="H921" s="2" t="s">
        <v>17</v>
      </c>
      <c r="I921" s="2">
        <v>1</v>
      </c>
      <c r="J921" s="2" t="s">
        <v>1421</v>
      </c>
      <c r="K921" s="2">
        <v>3720</v>
      </c>
      <c r="L921" s="35">
        <f t="shared" si="48"/>
        <v>11554561.800000001</v>
      </c>
      <c r="M921" s="36">
        <v>2400</v>
      </c>
      <c r="N921" s="40">
        <v>75635.903614457799</v>
      </c>
      <c r="O921" s="40">
        <v>113998.65621500601</v>
      </c>
      <c r="P921" s="40">
        <v>0</v>
      </c>
      <c r="Q921" s="40">
        <v>27802.239641657299</v>
      </c>
      <c r="R921" s="40">
        <f>156164.578313253+63030</f>
        <v>219194.57831325301</v>
      </c>
      <c r="S921" s="40">
        <v>85386.987951807198</v>
      </c>
      <c r="T921" s="37">
        <v>30000</v>
      </c>
      <c r="U921" s="40">
        <v>1160493.97590361</v>
      </c>
      <c r="V921" s="40">
        <v>321686.74698795198</v>
      </c>
      <c r="W921" s="45">
        <f t="shared" si="49"/>
        <v>2034199.0886277433</v>
      </c>
      <c r="X921" s="46">
        <f t="shared" si="50"/>
        <v>17.60515996917982</v>
      </c>
    </row>
    <row r="922" spans="1:24" s="4" customFormat="1" ht="15" customHeight="1">
      <c r="A922" s="28" t="s">
        <v>1109</v>
      </c>
      <c r="B922" s="29">
        <v>3106.0650000000001</v>
      </c>
      <c r="C922" s="30" t="s">
        <v>1419</v>
      </c>
      <c r="D922" s="2">
        <v>4946611876</v>
      </c>
      <c r="E922" s="2" t="s">
        <v>6</v>
      </c>
      <c r="F922" s="2" t="s">
        <v>1420</v>
      </c>
      <c r="G922" s="28" t="s">
        <v>5</v>
      </c>
      <c r="H922" s="2" t="s">
        <v>17</v>
      </c>
      <c r="I922" s="2">
        <v>1</v>
      </c>
      <c r="J922" s="2" t="s">
        <v>1421</v>
      </c>
      <c r="K922" s="2">
        <v>110822.39999999999</v>
      </c>
      <c r="L922" s="35">
        <f t="shared" si="48"/>
        <v>344221577.85600001</v>
      </c>
      <c r="M922" s="36">
        <v>4224</v>
      </c>
      <c r="N922" s="40">
        <v>121017.44578313299</v>
      </c>
      <c r="O922" s="40">
        <v>200637.63493840999</v>
      </c>
      <c r="P922" s="40">
        <v>0</v>
      </c>
      <c r="Q922" s="40">
        <v>48931.941769316902</v>
      </c>
      <c r="R922" s="40">
        <f>249863.325301205+100848</f>
        <v>350711.32530120504</v>
      </c>
      <c r="S922" s="40">
        <v>136619.18072289199</v>
      </c>
      <c r="T922" s="37">
        <v>30000</v>
      </c>
      <c r="U922" s="40">
        <v>1856790.3614457799</v>
      </c>
      <c r="V922" s="40">
        <v>514698.79518072301</v>
      </c>
      <c r="W922" s="45">
        <f t="shared" si="49"/>
        <v>3259406.68514146</v>
      </c>
      <c r="X922" s="46">
        <f t="shared" si="50"/>
        <v>0.9468920296754274</v>
      </c>
    </row>
    <row r="923" spans="1:24" s="4" customFormat="1" ht="15" customHeight="1">
      <c r="A923" s="28" t="s">
        <v>1109</v>
      </c>
      <c r="B923" s="29">
        <v>3106.0650000000001</v>
      </c>
      <c r="C923" s="30" t="s">
        <v>1419</v>
      </c>
      <c r="D923" s="2">
        <v>4946611875</v>
      </c>
      <c r="E923" s="2" t="s">
        <v>6</v>
      </c>
      <c r="F923" s="2" t="s">
        <v>1420</v>
      </c>
      <c r="G923" s="28" t="s">
        <v>5</v>
      </c>
      <c r="H923" s="2" t="s">
        <v>17</v>
      </c>
      <c r="I923" s="2">
        <v>1</v>
      </c>
      <c r="J923" s="2" t="s">
        <v>1421</v>
      </c>
      <c r="K923" s="2">
        <v>96969.600000000006</v>
      </c>
      <c r="L923" s="35">
        <f t="shared" si="48"/>
        <v>301193880.62400001</v>
      </c>
      <c r="M923" s="36">
        <v>3696</v>
      </c>
      <c r="N923" s="40">
        <v>105890.265060241</v>
      </c>
      <c r="O923" s="40">
        <v>175557.930571109</v>
      </c>
      <c r="P923" s="40">
        <v>0</v>
      </c>
      <c r="Q923" s="40">
        <v>42815.449048152303</v>
      </c>
      <c r="R923" s="40">
        <f>218630.409638554+88242</f>
        <v>306872.40963855397</v>
      </c>
      <c r="S923" s="40">
        <v>119541.78313253001</v>
      </c>
      <c r="T923" s="37">
        <v>30000</v>
      </c>
      <c r="U923" s="40">
        <v>1624691.5662650601</v>
      </c>
      <c r="V923" s="40">
        <v>450361.44578313298</v>
      </c>
      <c r="W923" s="45">
        <f t="shared" si="49"/>
        <v>2855730.8494987795</v>
      </c>
      <c r="X923" s="46">
        <f t="shared" si="50"/>
        <v>0.94813707489089882</v>
      </c>
    </row>
    <row r="924" spans="1:24" s="4" customFormat="1" ht="15" customHeight="1">
      <c r="A924" s="28" t="s">
        <v>1109</v>
      </c>
      <c r="B924" s="29">
        <v>3106.0650000000001</v>
      </c>
      <c r="C924" s="30" t="s">
        <v>1419</v>
      </c>
      <c r="D924" s="2">
        <v>4946611874</v>
      </c>
      <c r="E924" s="2" t="s">
        <v>6</v>
      </c>
      <c r="F924" s="2" t="s">
        <v>1420</v>
      </c>
      <c r="G924" s="28" t="s">
        <v>5</v>
      </c>
      <c r="H924" s="2" t="s">
        <v>17</v>
      </c>
      <c r="I924" s="2">
        <v>1</v>
      </c>
      <c r="J924" s="2" t="s">
        <v>1421</v>
      </c>
      <c r="K924" s="2">
        <v>10389.6</v>
      </c>
      <c r="L924" s="35">
        <f t="shared" si="48"/>
        <v>32270772.924000002</v>
      </c>
      <c r="M924" s="36">
        <v>396</v>
      </c>
      <c r="N924" s="40">
        <v>11345.3855421687</v>
      </c>
      <c r="O924" s="40">
        <v>18809.778275475899</v>
      </c>
      <c r="P924" s="40">
        <v>0</v>
      </c>
      <c r="Q924" s="40">
        <v>4587.3695408734602</v>
      </c>
      <c r="R924" s="40">
        <v>32878.686746988002</v>
      </c>
      <c r="S924" s="40">
        <v>12808.048192771101</v>
      </c>
      <c r="T924" s="37">
        <v>30000</v>
      </c>
      <c r="U924" s="40">
        <v>174074.09638554201</v>
      </c>
      <c r="V924" s="40">
        <v>48253.012048192802</v>
      </c>
      <c r="W924" s="45">
        <f t="shared" si="49"/>
        <v>332756.37673201197</v>
      </c>
      <c r="X924" s="46">
        <f t="shared" si="50"/>
        <v>1.0311385398660182</v>
      </c>
    </row>
    <row r="925" spans="1:24" s="4" customFormat="1" ht="15" customHeight="1">
      <c r="A925" s="28" t="s">
        <v>1109</v>
      </c>
      <c r="B925" s="29">
        <v>3106.0650000000001</v>
      </c>
      <c r="C925" s="30" t="s">
        <v>1422</v>
      </c>
      <c r="D925" s="2">
        <v>4948559405</v>
      </c>
      <c r="E925" s="2" t="s">
        <v>14</v>
      </c>
      <c r="F925" s="78" t="s">
        <v>1423</v>
      </c>
      <c r="G925" s="28" t="s">
        <v>5</v>
      </c>
      <c r="H925" s="2" t="s">
        <v>32</v>
      </c>
      <c r="I925" s="2">
        <v>1</v>
      </c>
      <c r="J925" s="2" t="s">
        <v>1424</v>
      </c>
      <c r="K925" s="2">
        <v>11214</v>
      </c>
      <c r="L925" s="35">
        <f t="shared" si="48"/>
        <v>34831412.910000004</v>
      </c>
      <c r="M925" s="36">
        <v>4200</v>
      </c>
      <c r="N925" s="40">
        <v>183101.91666666701</v>
      </c>
      <c r="O925" s="40">
        <v>181607.41666666701</v>
      </c>
      <c r="P925" s="40">
        <v>0</v>
      </c>
      <c r="Q925" s="40">
        <v>57930.25</v>
      </c>
      <c r="R925" s="40">
        <f>581184.916666667+62849</f>
        <v>644033.91666666698</v>
      </c>
      <c r="S925" s="40">
        <v>206707.66666666701</v>
      </c>
      <c r="T925" s="37">
        <v>30000</v>
      </c>
      <c r="U925" s="40">
        <v>1684491.66666667</v>
      </c>
      <c r="V925" s="40">
        <v>0</v>
      </c>
      <c r="W925" s="45">
        <f t="shared" si="49"/>
        <v>2987872.8333333377</v>
      </c>
      <c r="X925" s="46">
        <f t="shared" si="50"/>
        <v>8.5780982845962228</v>
      </c>
    </row>
    <row r="926" spans="1:24" s="4" customFormat="1" ht="15" customHeight="1">
      <c r="A926" s="28" t="s">
        <v>1109</v>
      </c>
      <c r="B926" s="29">
        <v>3106.0650000000001</v>
      </c>
      <c r="C926" s="30" t="s">
        <v>1422</v>
      </c>
      <c r="D926" s="2">
        <v>4949100380</v>
      </c>
      <c r="E926" s="2" t="s">
        <v>24</v>
      </c>
      <c r="F926" s="78" t="s">
        <v>1423</v>
      </c>
      <c r="G926" s="28" t="s">
        <v>5</v>
      </c>
      <c r="H926" s="2" t="s">
        <v>32</v>
      </c>
      <c r="I926" s="2">
        <v>1</v>
      </c>
      <c r="J926" s="2" t="s">
        <v>1424</v>
      </c>
      <c r="K926" s="2">
        <v>4590</v>
      </c>
      <c r="L926" s="35">
        <f t="shared" si="48"/>
        <v>14256838.35</v>
      </c>
      <c r="M926" s="36">
        <v>3000</v>
      </c>
      <c r="N926" s="40">
        <v>130787.08333333299</v>
      </c>
      <c r="O926" s="40">
        <v>129719.58333333299</v>
      </c>
      <c r="P926" s="40">
        <v>0</v>
      </c>
      <c r="Q926" s="40">
        <v>41378.75</v>
      </c>
      <c r="R926" s="40">
        <f>415132.083333333+44878</f>
        <v>460010.08333333302</v>
      </c>
      <c r="S926" s="40">
        <v>147648.33333333299</v>
      </c>
      <c r="T926" s="40"/>
      <c r="U926" s="40">
        <v>1203208.33333333</v>
      </c>
      <c r="V926" s="40">
        <v>0</v>
      </c>
      <c r="W926" s="45">
        <f t="shared" si="49"/>
        <v>2112752.1666666623</v>
      </c>
      <c r="X926" s="46">
        <f t="shared" si="50"/>
        <v>14.819219484708981</v>
      </c>
    </row>
    <row r="927" spans="1:24" s="4" customFormat="1" ht="15" customHeight="1">
      <c r="A927" s="28" t="s">
        <v>1109</v>
      </c>
      <c r="B927" s="29">
        <v>3106.0650000000001</v>
      </c>
      <c r="C927" s="30" t="s">
        <v>1425</v>
      </c>
      <c r="D927" s="2">
        <v>4948892090</v>
      </c>
      <c r="E927" s="2" t="s">
        <v>36</v>
      </c>
      <c r="F927" s="78" t="s">
        <v>1426</v>
      </c>
      <c r="G927" s="28" t="s">
        <v>5</v>
      </c>
      <c r="H927" s="2" t="s">
        <v>26</v>
      </c>
      <c r="I927" s="2">
        <v>3</v>
      </c>
      <c r="J927" s="2" t="s">
        <v>1427</v>
      </c>
      <c r="K927" s="2">
        <v>140193.43</v>
      </c>
      <c r="L927" s="35">
        <f t="shared" si="48"/>
        <v>435449906.15294999</v>
      </c>
      <c r="M927" s="36">
        <v>74969.747000000003</v>
      </c>
      <c r="N927" s="40">
        <v>954542</v>
      </c>
      <c r="O927" s="40">
        <v>1422951</v>
      </c>
      <c r="P927" s="40">
        <v>2505674</v>
      </c>
      <c r="Q927" s="40">
        <v>372411</v>
      </c>
      <c r="R927" s="40">
        <v>2631970</v>
      </c>
      <c r="S927" s="40">
        <v>354356</v>
      </c>
      <c r="T927" s="40"/>
      <c r="U927" s="40">
        <v>0</v>
      </c>
      <c r="V927" s="40">
        <v>0</v>
      </c>
      <c r="W927" s="45">
        <f t="shared" si="49"/>
        <v>8241904</v>
      </c>
      <c r="X927" s="46">
        <f t="shared" si="50"/>
        <v>1.8927329834134963</v>
      </c>
    </row>
    <row r="928" spans="1:24" s="4" customFormat="1" ht="15" customHeight="1">
      <c r="A928" s="28" t="s">
        <v>1109</v>
      </c>
      <c r="B928" s="29">
        <v>3106.0650000000001</v>
      </c>
      <c r="C928" s="30" t="s">
        <v>1428</v>
      </c>
      <c r="D928" s="2">
        <v>4948892088</v>
      </c>
      <c r="E928" s="2" t="s">
        <v>36</v>
      </c>
      <c r="F928" s="2" t="s">
        <v>1429</v>
      </c>
      <c r="G928" s="28" t="s">
        <v>5</v>
      </c>
      <c r="H928" s="2" t="s">
        <v>26</v>
      </c>
      <c r="I928" s="2">
        <v>3</v>
      </c>
      <c r="J928" s="2" t="s">
        <v>1430</v>
      </c>
      <c r="K928" s="2">
        <v>140278.25</v>
      </c>
      <c r="L928" s="35">
        <f t="shared" si="48"/>
        <v>435713362.58625001</v>
      </c>
      <c r="M928" s="36">
        <v>75015.106</v>
      </c>
      <c r="N928" s="40">
        <v>954542</v>
      </c>
      <c r="O928" s="40">
        <v>1422951</v>
      </c>
      <c r="P928" s="40">
        <v>2505674</v>
      </c>
      <c r="Q928" s="40">
        <v>372411</v>
      </c>
      <c r="R928" s="40">
        <v>2631970</v>
      </c>
      <c r="S928" s="40">
        <v>354356</v>
      </c>
      <c r="T928" s="40"/>
      <c r="U928" s="40">
        <v>0</v>
      </c>
      <c r="V928" s="40">
        <v>0</v>
      </c>
      <c r="W928" s="45">
        <f t="shared" si="49"/>
        <v>8241904</v>
      </c>
      <c r="X928" s="46">
        <f t="shared" si="50"/>
        <v>1.8915885322127353</v>
      </c>
    </row>
    <row r="929" spans="1:24" s="4" customFormat="1" ht="15" customHeight="1">
      <c r="A929" s="28" t="s">
        <v>1109</v>
      </c>
      <c r="B929" s="29">
        <v>3106.0650000000001</v>
      </c>
      <c r="C929" s="30" t="s">
        <v>1431</v>
      </c>
      <c r="D929" s="2">
        <v>4948561297</v>
      </c>
      <c r="E929" s="2" t="s">
        <v>24</v>
      </c>
      <c r="F929" s="2" t="s">
        <v>1432</v>
      </c>
      <c r="G929" s="28" t="s">
        <v>9</v>
      </c>
      <c r="H929" s="2" t="s">
        <v>23</v>
      </c>
      <c r="I929" s="2">
        <v>1</v>
      </c>
      <c r="J929" s="2"/>
      <c r="K929" s="2">
        <v>615.6</v>
      </c>
      <c r="L929" s="35">
        <f t="shared" si="48"/>
        <v>1912093.6140000001</v>
      </c>
      <c r="M929" s="36">
        <v>180</v>
      </c>
      <c r="N929" s="40">
        <v>645823</v>
      </c>
      <c r="O929" s="40">
        <v>126</v>
      </c>
      <c r="P929" s="40">
        <v>0</v>
      </c>
      <c r="Q929" s="40">
        <v>4300</v>
      </c>
      <c r="R929" s="40">
        <v>84686</v>
      </c>
      <c r="S929" s="40">
        <v>354356</v>
      </c>
      <c r="T929" s="40"/>
      <c r="U929" s="40">
        <v>315623.07692307699</v>
      </c>
      <c r="V929" s="40">
        <v>0</v>
      </c>
      <c r="W929" s="45">
        <f t="shared" si="49"/>
        <v>1404914.076923077</v>
      </c>
      <c r="X929" s="46">
        <f t="shared" si="50"/>
        <v>73.475172273813001</v>
      </c>
    </row>
    <row r="930" spans="1:24" s="4" customFormat="1" ht="15" customHeight="1">
      <c r="A930" s="28" t="s">
        <v>1109</v>
      </c>
      <c r="B930" s="29">
        <v>3106.0650000000001</v>
      </c>
      <c r="C930" s="30" t="s">
        <v>1433</v>
      </c>
      <c r="D930" s="2">
        <v>4948296553</v>
      </c>
      <c r="E930" s="2" t="s">
        <v>36</v>
      </c>
      <c r="F930" s="78" t="s">
        <v>1434</v>
      </c>
      <c r="G930" s="28" t="s">
        <v>5</v>
      </c>
      <c r="H930" s="2" t="s">
        <v>26</v>
      </c>
      <c r="I930" s="2">
        <v>4</v>
      </c>
      <c r="J930" s="2" t="s">
        <v>1435</v>
      </c>
      <c r="K930" s="2">
        <v>79477.8</v>
      </c>
      <c r="L930" s="35">
        <f t="shared" si="48"/>
        <v>246863212.85700002</v>
      </c>
      <c r="M930" s="36">
        <v>85480</v>
      </c>
      <c r="N930" s="40">
        <v>0</v>
      </c>
      <c r="O930" s="40">
        <v>1897247</v>
      </c>
      <c r="P930" s="40">
        <v>5552171</v>
      </c>
      <c r="Q930" s="40">
        <v>496548</v>
      </c>
      <c r="R930" s="40">
        <v>8829268</v>
      </c>
      <c r="S930" s="40">
        <v>354356</v>
      </c>
      <c r="T930" s="40"/>
      <c r="U930" s="40">
        <v>0</v>
      </c>
      <c r="V930" s="40">
        <v>0</v>
      </c>
      <c r="W930" s="45">
        <f t="shared" si="49"/>
        <v>17129590</v>
      </c>
      <c r="X930" s="46">
        <f t="shared" si="50"/>
        <v>6.9388994017195369</v>
      </c>
    </row>
    <row r="931" spans="1:24" s="4" customFormat="1" ht="15" customHeight="1">
      <c r="A931" s="28" t="s">
        <v>1109</v>
      </c>
      <c r="B931" s="29">
        <v>3106.0650000000001</v>
      </c>
      <c r="C931" s="30" t="s">
        <v>1436</v>
      </c>
      <c r="D931" s="2">
        <v>4947648342</v>
      </c>
      <c r="E931" s="2" t="s">
        <v>24</v>
      </c>
      <c r="F931" s="2" t="s">
        <v>1437</v>
      </c>
      <c r="G931" s="28" t="s">
        <v>9</v>
      </c>
      <c r="H931" s="2" t="s">
        <v>23</v>
      </c>
      <c r="I931" s="2">
        <v>3</v>
      </c>
      <c r="J931" s="2"/>
      <c r="K931" s="2">
        <v>3382.4</v>
      </c>
      <c r="L931" s="35">
        <f t="shared" si="48"/>
        <v>10505954.256000001</v>
      </c>
      <c r="M931" s="36">
        <v>1120</v>
      </c>
      <c r="N931" s="40">
        <v>716939</v>
      </c>
      <c r="O931" s="40">
        <v>791</v>
      </c>
      <c r="P931" s="40">
        <v>0</v>
      </c>
      <c r="Q931" s="40">
        <v>18902</v>
      </c>
      <c r="R931" s="40">
        <v>100299</v>
      </c>
      <c r="S931" s="40">
        <v>354356</v>
      </c>
      <c r="T931" s="40"/>
      <c r="U931" s="40">
        <v>858735.29411764699</v>
      </c>
      <c r="V931" s="40">
        <v>0</v>
      </c>
      <c r="W931" s="45">
        <f t="shared" si="49"/>
        <v>2050022.294117647</v>
      </c>
      <c r="X931" s="46">
        <f t="shared" si="50"/>
        <v>19.512956597415883</v>
      </c>
    </row>
    <row r="932" spans="1:24" s="4" customFormat="1" ht="15" customHeight="1">
      <c r="A932" s="28" t="s">
        <v>1109</v>
      </c>
      <c r="B932" s="29">
        <v>3106.0650000000001</v>
      </c>
      <c r="C932" s="30" t="s">
        <v>1438</v>
      </c>
      <c r="D932" s="2">
        <v>4948712684</v>
      </c>
      <c r="E932" s="2" t="s">
        <v>33</v>
      </c>
      <c r="F932" s="78" t="s">
        <v>1439</v>
      </c>
      <c r="G932" s="28" t="s">
        <v>9</v>
      </c>
      <c r="H932" s="2" t="s">
        <v>23</v>
      </c>
      <c r="I932" s="2">
        <v>8</v>
      </c>
      <c r="J932" s="2"/>
      <c r="K932" s="2">
        <v>2872.8</v>
      </c>
      <c r="L932" s="35">
        <f t="shared" si="48"/>
        <v>8923103.5320000015</v>
      </c>
      <c r="M932" s="36">
        <v>5040</v>
      </c>
      <c r="N932" s="40">
        <v>1221744</v>
      </c>
      <c r="O932" s="40">
        <v>3384</v>
      </c>
      <c r="P932" s="40">
        <v>0</v>
      </c>
      <c r="Q932" s="40">
        <v>82155</v>
      </c>
      <c r="R932" s="40">
        <v>168428</v>
      </c>
      <c r="S932" s="40">
        <v>354356</v>
      </c>
      <c r="T932" s="40"/>
      <c r="U932" s="40">
        <v>2163100</v>
      </c>
      <c r="V932" s="40">
        <v>0</v>
      </c>
      <c r="W932" s="45">
        <f t="shared" si="49"/>
        <v>3993167</v>
      </c>
      <c r="X932" s="46">
        <f t="shared" si="50"/>
        <v>44.750876034103143</v>
      </c>
    </row>
    <row r="933" spans="1:24" s="4" customFormat="1" ht="15" customHeight="1">
      <c r="A933" s="28" t="s">
        <v>1109</v>
      </c>
      <c r="B933" s="29">
        <v>3106.0650000000001</v>
      </c>
      <c r="C933" s="30" t="s">
        <v>1440</v>
      </c>
      <c r="D933" s="2">
        <v>4948294649</v>
      </c>
      <c r="E933" s="2" t="s">
        <v>36</v>
      </c>
      <c r="F933" s="78" t="s">
        <v>1441</v>
      </c>
      <c r="G933" s="28" t="s">
        <v>5</v>
      </c>
      <c r="H933" s="2" t="s">
        <v>26</v>
      </c>
      <c r="I933" s="2">
        <v>4</v>
      </c>
      <c r="J933" s="2" t="s">
        <v>1442</v>
      </c>
      <c r="K933" s="2">
        <v>79449.899999999994</v>
      </c>
      <c r="L933" s="35">
        <f t="shared" si="48"/>
        <v>246776553.6435</v>
      </c>
      <c r="M933" s="36">
        <v>85430</v>
      </c>
      <c r="N933" s="40">
        <v>0</v>
      </c>
      <c r="O933" s="40">
        <v>1897247</v>
      </c>
      <c r="P933" s="40">
        <v>5552171</v>
      </c>
      <c r="Q933" s="40">
        <v>496548</v>
      </c>
      <c r="R933" s="40">
        <v>8829268</v>
      </c>
      <c r="S933" s="40">
        <v>354356</v>
      </c>
      <c r="T933" s="40"/>
      <c r="U933" s="40">
        <v>0</v>
      </c>
      <c r="V933" s="40">
        <v>0</v>
      </c>
      <c r="W933" s="45">
        <f t="shared" si="49"/>
        <v>17129590</v>
      </c>
      <c r="X933" s="46">
        <f t="shared" si="50"/>
        <v>6.9413360982201997</v>
      </c>
    </row>
    <row r="934" spans="1:24" s="4" customFormat="1" ht="15" customHeight="1">
      <c r="A934" s="28" t="s">
        <v>1109</v>
      </c>
      <c r="B934" s="29">
        <v>3106.0650000000001</v>
      </c>
      <c r="C934" s="30" t="s">
        <v>1443</v>
      </c>
      <c r="D934" s="2">
        <v>4948952425</v>
      </c>
      <c r="E934" s="2" t="s">
        <v>36</v>
      </c>
      <c r="F934" s="78" t="s">
        <v>1444</v>
      </c>
      <c r="G934" s="28" t="s">
        <v>5</v>
      </c>
      <c r="H934" s="2" t="s">
        <v>26</v>
      </c>
      <c r="I934" s="2">
        <v>4</v>
      </c>
      <c r="J934" s="2" t="s">
        <v>1445</v>
      </c>
      <c r="K934" s="2">
        <v>79487.100000000006</v>
      </c>
      <c r="L934" s="35">
        <f t="shared" si="48"/>
        <v>246892099.26150003</v>
      </c>
      <c r="M934" s="36">
        <v>85470</v>
      </c>
      <c r="N934" s="40">
        <v>0</v>
      </c>
      <c r="O934" s="40">
        <v>1897247</v>
      </c>
      <c r="P934" s="40">
        <v>7053008</v>
      </c>
      <c r="Q934" s="40">
        <v>496548</v>
      </c>
      <c r="R934" s="40">
        <v>3266429</v>
      </c>
      <c r="S934" s="40">
        <v>354356</v>
      </c>
      <c r="T934" s="40"/>
      <c r="U934" s="40">
        <v>0</v>
      </c>
      <c r="V934" s="40">
        <v>0</v>
      </c>
      <c r="W934" s="45">
        <f t="shared" si="49"/>
        <v>13067588</v>
      </c>
      <c r="X934" s="46">
        <f t="shared" si="50"/>
        <v>5.2928336058900118</v>
      </c>
    </row>
    <row r="935" spans="1:24" s="4" customFormat="1" ht="15" customHeight="1">
      <c r="A935" s="28" t="s">
        <v>1109</v>
      </c>
      <c r="B935" s="29">
        <v>3106.0650000000001</v>
      </c>
      <c r="C935" s="30" t="s">
        <v>1446</v>
      </c>
      <c r="D935" s="2">
        <v>4948452713</v>
      </c>
      <c r="E935" s="2" t="s">
        <v>36</v>
      </c>
      <c r="F935" s="78" t="s">
        <v>1447</v>
      </c>
      <c r="G935" s="28" t="s">
        <v>5</v>
      </c>
      <c r="H935" s="2" t="s">
        <v>26</v>
      </c>
      <c r="I935" s="2">
        <v>2</v>
      </c>
      <c r="J935" s="2" t="s">
        <v>1448</v>
      </c>
      <c r="K935" s="2">
        <v>71209.2</v>
      </c>
      <c r="L935" s="35">
        <f t="shared" si="48"/>
        <v>221180403.79800001</v>
      </c>
      <c r="M935" s="36">
        <v>39870.769999999997</v>
      </c>
      <c r="N935" s="40">
        <v>636362</v>
      </c>
      <c r="O935" s="40">
        <v>761365</v>
      </c>
      <c r="P935" s="40">
        <v>1039390</v>
      </c>
      <c r="Q935" s="40">
        <v>198619</v>
      </c>
      <c r="R935" s="40">
        <v>1201053</v>
      </c>
      <c r="S935" s="40">
        <v>354356</v>
      </c>
      <c r="T935" s="40"/>
      <c r="U935" s="40">
        <v>0</v>
      </c>
      <c r="V935" s="40">
        <v>0</v>
      </c>
      <c r="W935" s="45">
        <f t="shared" si="49"/>
        <v>4191145</v>
      </c>
      <c r="X935" s="46">
        <f t="shared" si="50"/>
        <v>1.8948988825554798</v>
      </c>
    </row>
    <row r="936" spans="1:24" s="4" customFormat="1" ht="15" customHeight="1">
      <c r="A936" s="28" t="s">
        <v>1109</v>
      </c>
      <c r="B936" s="29">
        <v>3106.0650000000001</v>
      </c>
      <c r="C936" s="30" t="s">
        <v>1449</v>
      </c>
      <c r="D936" s="2">
        <v>4948952439</v>
      </c>
      <c r="E936" s="2" t="s">
        <v>36</v>
      </c>
      <c r="F936" s="78" t="s">
        <v>1450</v>
      </c>
      <c r="G936" s="28" t="s">
        <v>5</v>
      </c>
      <c r="H936" s="2" t="s">
        <v>26</v>
      </c>
      <c r="I936" s="2">
        <v>4</v>
      </c>
      <c r="J936" s="2" t="s">
        <v>1451</v>
      </c>
      <c r="K936" s="2">
        <v>79563.600000000006</v>
      </c>
      <c r="L936" s="35">
        <f t="shared" si="48"/>
        <v>247129713.23400003</v>
      </c>
      <c r="M936" s="36">
        <v>85520</v>
      </c>
      <c r="N936" s="40">
        <v>0</v>
      </c>
      <c r="O936" s="40">
        <v>1897247</v>
      </c>
      <c r="P936" s="40">
        <v>9887525</v>
      </c>
      <c r="Q936" s="40">
        <v>496548</v>
      </c>
      <c r="R936" s="40">
        <v>3251768</v>
      </c>
      <c r="S936" s="40">
        <v>354356</v>
      </c>
      <c r="T936" s="40"/>
      <c r="U936" s="40">
        <v>0</v>
      </c>
      <c r="V936" s="40">
        <v>0</v>
      </c>
      <c r="W936" s="45">
        <f t="shared" si="49"/>
        <v>15887444</v>
      </c>
      <c r="X936" s="46">
        <f t="shared" si="50"/>
        <v>6.428787454204925</v>
      </c>
    </row>
    <row r="937" spans="1:24" s="4" customFormat="1" ht="15" customHeight="1">
      <c r="A937" s="28" t="s">
        <v>1109</v>
      </c>
      <c r="B937" s="29">
        <v>3106.0650000000001</v>
      </c>
      <c r="C937" s="30" t="s">
        <v>1452</v>
      </c>
      <c r="D937" s="2">
        <v>4948892095</v>
      </c>
      <c r="E937" s="2" t="s">
        <v>36</v>
      </c>
      <c r="F937" s="78" t="s">
        <v>1453</v>
      </c>
      <c r="G937" s="28" t="s">
        <v>5</v>
      </c>
      <c r="H937" s="2" t="s">
        <v>26</v>
      </c>
      <c r="I937" s="2">
        <v>1</v>
      </c>
      <c r="J937" s="2" t="s">
        <v>1454</v>
      </c>
      <c r="K937" s="2">
        <v>46804.65</v>
      </c>
      <c r="L937" s="35">
        <f t="shared" si="48"/>
        <v>145378285.20225</v>
      </c>
      <c r="M937" s="36">
        <v>25029.226999999999</v>
      </c>
      <c r="N937" s="40">
        <v>318181</v>
      </c>
      <c r="O937" s="40">
        <v>380682</v>
      </c>
      <c r="P937" s="40">
        <v>556816</v>
      </c>
      <c r="Q937" s="40">
        <v>99309</v>
      </c>
      <c r="R937" s="40">
        <v>878221</v>
      </c>
      <c r="S937" s="40">
        <v>354356</v>
      </c>
      <c r="T937" s="40"/>
      <c r="U937" s="40">
        <v>0</v>
      </c>
      <c r="V937" s="40">
        <v>0</v>
      </c>
      <c r="W937" s="45">
        <f t="shared" si="49"/>
        <v>2587565</v>
      </c>
      <c r="X937" s="46">
        <f t="shared" si="50"/>
        <v>1.7798841115784139</v>
      </c>
    </row>
    <row r="938" spans="1:24" s="4" customFormat="1" ht="15" customHeight="1">
      <c r="A938" s="28" t="s">
        <v>1109</v>
      </c>
      <c r="B938" s="29">
        <v>3106.0650000000001</v>
      </c>
      <c r="C938" s="30" t="s">
        <v>1455</v>
      </c>
      <c r="D938" s="2">
        <v>4948452720</v>
      </c>
      <c r="E938" s="2" t="s">
        <v>36</v>
      </c>
      <c r="F938" s="2" t="s">
        <v>1456</v>
      </c>
      <c r="G938" s="28" t="s">
        <v>5</v>
      </c>
      <c r="H938" s="2" t="s">
        <v>26</v>
      </c>
      <c r="I938" s="2">
        <v>3</v>
      </c>
      <c r="J938" s="2" t="s">
        <v>1457</v>
      </c>
      <c r="K938" s="2">
        <v>104290.46</v>
      </c>
      <c r="L938" s="35">
        <f t="shared" si="48"/>
        <v>323932947.63990003</v>
      </c>
      <c r="M938" s="36">
        <v>67458.192999999999</v>
      </c>
      <c r="N938" s="40">
        <v>934607</v>
      </c>
      <c r="O938" s="40">
        <v>1422951</v>
      </c>
      <c r="P938" s="40">
        <v>1802290</v>
      </c>
      <c r="Q938" s="40">
        <v>372411</v>
      </c>
      <c r="R938" s="40">
        <v>2086770</v>
      </c>
      <c r="S938" s="40">
        <v>354356</v>
      </c>
      <c r="T938" s="40"/>
      <c r="U938" s="40">
        <v>0</v>
      </c>
      <c r="V938" s="40">
        <v>0</v>
      </c>
      <c r="W938" s="45">
        <f t="shared" si="49"/>
        <v>6973385</v>
      </c>
      <c r="X938" s="46">
        <f t="shared" si="50"/>
        <v>2.1527248311128764</v>
      </c>
    </row>
    <row r="939" spans="1:24" s="4" customFormat="1" ht="15" customHeight="1">
      <c r="A939" s="28" t="s">
        <v>1109</v>
      </c>
      <c r="B939" s="29">
        <v>3106.0650000000001</v>
      </c>
      <c r="C939" s="30" t="s">
        <v>1458</v>
      </c>
      <c r="D939" s="2">
        <v>4948952431</v>
      </c>
      <c r="E939" s="2" t="s">
        <v>36</v>
      </c>
      <c r="F939" s="78" t="s">
        <v>1459</v>
      </c>
      <c r="G939" s="28" t="s">
        <v>5</v>
      </c>
      <c r="H939" s="2" t="s">
        <v>26</v>
      </c>
      <c r="I939" s="2">
        <v>4</v>
      </c>
      <c r="J939" s="2" t="s">
        <v>1460</v>
      </c>
      <c r="K939" s="2">
        <v>79533.600000000006</v>
      </c>
      <c r="L939" s="35">
        <f t="shared" si="48"/>
        <v>247036531.28400001</v>
      </c>
      <c r="M939" s="36">
        <v>85520</v>
      </c>
      <c r="N939" s="40">
        <v>0</v>
      </c>
      <c r="O939" s="40">
        <v>1897247</v>
      </c>
      <c r="P939" s="40">
        <v>7053008</v>
      </c>
      <c r="Q939" s="40">
        <v>496548</v>
      </c>
      <c r="R939" s="40">
        <v>3266429</v>
      </c>
      <c r="S939" s="40">
        <v>354356</v>
      </c>
      <c r="T939" s="40"/>
      <c r="U939" s="40">
        <v>0</v>
      </c>
      <c r="V939" s="40">
        <v>0</v>
      </c>
      <c r="W939" s="45">
        <f t="shared" si="49"/>
        <v>13067588</v>
      </c>
      <c r="X939" s="46">
        <f t="shared" si="50"/>
        <v>5.2897391054188416</v>
      </c>
    </row>
    <row r="940" spans="1:24" s="4" customFormat="1" ht="15" customHeight="1">
      <c r="A940" s="28" t="s">
        <v>1109</v>
      </c>
      <c r="B940" s="29">
        <v>3106.0650000000001</v>
      </c>
      <c r="C940" s="30" t="s">
        <v>1461</v>
      </c>
      <c r="D940" s="2">
        <v>4948952444</v>
      </c>
      <c r="E940" s="2" t="s">
        <v>36</v>
      </c>
      <c r="F940" s="78" t="s">
        <v>1462</v>
      </c>
      <c r="G940" s="28" t="s">
        <v>5</v>
      </c>
      <c r="H940" s="2" t="s">
        <v>26</v>
      </c>
      <c r="I940" s="2">
        <v>4</v>
      </c>
      <c r="J940" s="2" t="s">
        <v>1463</v>
      </c>
      <c r="K940" s="2">
        <v>79515</v>
      </c>
      <c r="L940" s="35">
        <f t="shared" si="48"/>
        <v>246978758.47499999</v>
      </c>
      <c r="M940" s="36">
        <v>85500</v>
      </c>
      <c r="N940" s="40">
        <v>0</v>
      </c>
      <c r="O940" s="40">
        <v>1897247</v>
      </c>
      <c r="P940" s="40">
        <v>9887525</v>
      </c>
      <c r="Q940" s="40">
        <v>496548</v>
      </c>
      <c r="R940" s="40">
        <v>3251768</v>
      </c>
      <c r="S940" s="40">
        <v>354356</v>
      </c>
      <c r="T940" s="40"/>
      <c r="U940" s="40">
        <v>0</v>
      </c>
      <c r="V940" s="40">
        <v>0</v>
      </c>
      <c r="W940" s="45">
        <f t="shared" si="49"/>
        <v>15887444</v>
      </c>
      <c r="X940" s="46">
        <f t="shared" si="50"/>
        <v>6.4327167640241338</v>
      </c>
    </row>
    <row r="941" spans="1:24" s="4" customFormat="1" ht="15" customHeight="1">
      <c r="A941" s="28" t="s">
        <v>1109</v>
      </c>
      <c r="B941" s="29">
        <v>3106.0650000000001</v>
      </c>
      <c r="C941" s="30" t="s">
        <v>1464</v>
      </c>
      <c r="D941" s="2">
        <v>4949163509</v>
      </c>
      <c r="E941" s="2" t="s">
        <v>18</v>
      </c>
      <c r="F941" s="2" t="s">
        <v>1465</v>
      </c>
      <c r="G941" s="28" t="s">
        <v>9</v>
      </c>
      <c r="H941" s="2" t="s">
        <v>23</v>
      </c>
      <c r="I941" s="2">
        <v>1</v>
      </c>
      <c r="J941" s="2"/>
      <c r="K941" s="2">
        <v>12006</v>
      </c>
      <c r="L941" s="35">
        <f t="shared" si="48"/>
        <v>37291416.390000001</v>
      </c>
      <c r="M941" s="36">
        <f>50+550</f>
        <v>600</v>
      </c>
      <c r="N941" s="40">
        <v>473196</v>
      </c>
      <c r="O941" s="40">
        <v>815</v>
      </c>
      <c r="P941" s="40">
        <v>12355</v>
      </c>
      <c r="Q941" s="40">
        <v>9781</v>
      </c>
      <c r="R941" s="40">
        <v>358916</v>
      </c>
      <c r="S941" s="40">
        <v>354356</v>
      </c>
      <c r="T941" s="37">
        <v>30000</v>
      </c>
      <c r="U941" s="40">
        <v>1052076.92307692</v>
      </c>
      <c r="V941" s="40">
        <v>0</v>
      </c>
      <c r="W941" s="45">
        <f t="shared" si="49"/>
        <v>2291495.9230769202</v>
      </c>
      <c r="X941" s="46">
        <f t="shared" si="50"/>
        <v>6.1448347767541582</v>
      </c>
    </row>
    <row r="942" spans="1:24" s="4" customFormat="1" ht="15" customHeight="1">
      <c r="A942" s="28" t="s">
        <v>1109</v>
      </c>
      <c r="B942" s="29">
        <v>3106.0650000000001</v>
      </c>
      <c r="C942" s="30" t="s">
        <v>1466</v>
      </c>
      <c r="D942" s="2">
        <v>4947320682</v>
      </c>
      <c r="E942" s="2" t="s">
        <v>14</v>
      </c>
      <c r="F942" s="2" t="s">
        <v>1467</v>
      </c>
      <c r="G942" s="28" t="s">
        <v>5</v>
      </c>
      <c r="H942" s="2" t="s">
        <v>17</v>
      </c>
      <c r="I942" s="2">
        <v>1</v>
      </c>
      <c r="J942" s="2" t="s">
        <v>1468</v>
      </c>
      <c r="K942" s="2">
        <v>25103.4</v>
      </c>
      <c r="L942" s="35">
        <f t="shared" si="48"/>
        <v>77972792.121000007</v>
      </c>
      <c r="M942" s="36">
        <v>18060</v>
      </c>
      <c r="N942" s="40">
        <v>0</v>
      </c>
      <c r="O942" s="40">
        <v>408424</v>
      </c>
      <c r="P942" s="40">
        <v>0</v>
      </c>
      <c r="Q942" s="40">
        <v>99309</v>
      </c>
      <c r="R942" s="40">
        <v>717765</v>
      </c>
      <c r="S942" s="40">
        <v>354356</v>
      </c>
      <c r="T942" s="37">
        <v>30000</v>
      </c>
      <c r="U942" s="40">
        <v>1600500</v>
      </c>
      <c r="V942" s="40">
        <v>0</v>
      </c>
      <c r="W942" s="45">
        <f t="shared" si="49"/>
        <v>3210354</v>
      </c>
      <c r="X942" s="46">
        <f t="shared" si="50"/>
        <v>4.1172746450045006</v>
      </c>
    </row>
    <row r="943" spans="1:24" s="4" customFormat="1" ht="15" customHeight="1">
      <c r="A943" s="28" t="s">
        <v>1109</v>
      </c>
      <c r="B943" s="29">
        <v>3106.0650000000001</v>
      </c>
      <c r="C943" s="30" t="s">
        <v>1469</v>
      </c>
      <c r="D943" s="2">
        <v>4949168415</v>
      </c>
      <c r="E943" s="2" t="s">
        <v>36</v>
      </c>
      <c r="F943" s="2" t="s">
        <v>1470</v>
      </c>
      <c r="G943" s="28" t="s">
        <v>5</v>
      </c>
      <c r="H943" s="2" t="s">
        <v>26</v>
      </c>
      <c r="I943" s="2">
        <v>4</v>
      </c>
      <c r="J943" s="2" t="s">
        <v>1471</v>
      </c>
      <c r="K943" s="2">
        <v>73098</v>
      </c>
      <c r="L943" s="35">
        <f t="shared" si="48"/>
        <v>227047139.37</v>
      </c>
      <c r="M943" s="36">
        <v>78600</v>
      </c>
      <c r="N943" s="40">
        <v>1272976</v>
      </c>
      <c r="O943" s="40">
        <v>1897247</v>
      </c>
      <c r="P943" s="40">
        <v>6311840</v>
      </c>
      <c r="Q943" s="40">
        <v>496548</v>
      </c>
      <c r="R943" s="40">
        <v>3529751</v>
      </c>
      <c r="S943" s="40">
        <v>354356</v>
      </c>
      <c r="T943" s="40"/>
      <c r="U943" s="40">
        <v>0</v>
      </c>
      <c r="V943" s="40">
        <v>0</v>
      </c>
      <c r="W943" s="45">
        <f t="shared" si="49"/>
        <v>13862718</v>
      </c>
      <c r="X943" s="46">
        <f t="shared" si="50"/>
        <v>6.1056563136913482</v>
      </c>
    </row>
    <row r="944" spans="1:24" s="4" customFormat="1" ht="15" customHeight="1">
      <c r="A944" s="28" t="s">
        <v>1109</v>
      </c>
      <c r="B944" s="29">
        <v>3106.0650000000001</v>
      </c>
      <c r="C944" s="30" t="s">
        <v>1472</v>
      </c>
      <c r="D944" s="2">
        <v>4949168414</v>
      </c>
      <c r="E944" s="2" t="s">
        <v>36</v>
      </c>
      <c r="F944" s="2" t="s">
        <v>1473</v>
      </c>
      <c r="G944" s="28" t="s">
        <v>5</v>
      </c>
      <c r="H944" s="2" t="s">
        <v>26</v>
      </c>
      <c r="I944" s="2">
        <v>2</v>
      </c>
      <c r="J944" s="2" t="s">
        <v>1474</v>
      </c>
      <c r="K944" s="2">
        <v>36883.800000000003</v>
      </c>
      <c r="L944" s="35">
        <f t="shared" si="48"/>
        <v>114563480.24700001</v>
      </c>
      <c r="M944" s="36">
        <v>39660</v>
      </c>
      <c r="N944" s="40">
        <v>636488</v>
      </c>
      <c r="O944" s="40">
        <v>948623</v>
      </c>
      <c r="P944" s="40">
        <v>3155940</v>
      </c>
      <c r="Q944" s="40">
        <v>248273</v>
      </c>
      <c r="R944" s="40">
        <v>1764877</v>
      </c>
      <c r="S944" s="40">
        <v>354356</v>
      </c>
      <c r="T944" s="40"/>
      <c r="U944" s="40">
        <v>0</v>
      </c>
      <c r="V944" s="40">
        <v>0</v>
      </c>
      <c r="W944" s="45">
        <f t="shared" si="49"/>
        <v>7108557</v>
      </c>
      <c r="X944" s="46">
        <f t="shared" si="50"/>
        <v>6.2049066462313114</v>
      </c>
    </row>
    <row r="945" spans="1:24" s="4" customFormat="1" ht="15" customHeight="1">
      <c r="A945" s="28" t="s">
        <v>1109</v>
      </c>
      <c r="B945" s="29">
        <v>3106.0650000000001</v>
      </c>
      <c r="C945" s="30" t="s">
        <v>1475</v>
      </c>
      <c r="D945" s="2">
        <v>4949229729</v>
      </c>
      <c r="E945" s="2" t="s">
        <v>36</v>
      </c>
      <c r="F945" s="2" t="s">
        <v>1476</v>
      </c>
      <c r="G945" s="28" t="s">
        <v>5</v>
      </c>
      <c r="H945" s="2" t="s">
        <v>26</v>
      </c>
      <c r="I945" s="2">
        <v>1</v>
      </c>
      <c r="J945" s="2" t="s">
        <v>1477</v>
      </c>
      <c r="K945" s="2">
        <v>34201.24</v>
      </c>
      <c r="L945" s="35">
        <f t="shared" si="48"/>
        <v>106231274.52059999</v>
      </c>
      <c r="M945" s="36">
        <v>19803.843000000001</v>
      </c>
      <c r="N945" s="40">
        <v>313889</v>
      </c>
      <c r="O945" s="40">
        <v>380682</v>
      </c>
      <c r="P945" s="40">
        <v>1318336</v>
      </c>
      <c r="Q945" s="40">
        <v>99309</v>
      </c>
      <c r="R945" s="40">
        <v>598514</v>
      </c>
      <c r="S945" s="40">
        <v>354356</v>
      </c>
      <c r="T945" s="40"/>
      <c r="U945" s="40">
        <v>0</v>
      </c>
      <c r="V945" s="40">
        <v>0</v>
      </c>
      <c r="W945" s="45">
        <f t="shared" si="49"/>
        <v>3065086</v>
      </c>
      <c r="X945" s="46">
        <f t="shared" si="50"/>
        <v>2.8852953274185085</v>
      </c>
    </row>
    <row r="946" spans="1:24" s="4" customFormat="1" ht="15" customHeight="1">
      <c r="A946" s="28" t="s">
        <v>1109</v>
      </c>
      <c r="B946" s="29">
        <v>3106.0650000000001</v>
      </c>
      <c r="C946" s="30" t="s">
        <v>1478</v>
      </c>
      <c r="D946" s="2">
        <v>4948776858</v>
      </c>
      <c r="E946" s="2" t="s">
        <v>14</v>
      </c>
      <c r="F946" s="78" t="s">
        <v>1479</v>
      </c>
      <c r="G946" s="28" t="s">
        <v>5</v>
      </c>
      <c r="H946" s="2" t="s">
        <v>20</v>
      </c>
      <c r="I946" s="2">
        <v>1</v>
      </c>
      <c r="J946" s="2" t="s">
        <v>1480</v>
      </c>
      <c r="K946" s="2">
        <v>22008</v>
      </c>
      <c r="L946" s="35">
        <f t="shared" si="48"/>
        <v>68358278.519999996</v>
      </c>
      <c r="M946" s="36">
        <f>420+210+7770</f>
        <v>8400</v>
      </c>
      <c r="N946" s="40">
        <v>249149.444444444</v>
      </c>
      <c r="O946" s="40">
        <v>242143.22222222199</v>
      </c>
      <c r="P946" s="40">
        <v>0</v>
      </c>
      <c r="Q946" s="40">
        <v>77240.333333333299</v>
      </c>
      <c r="R946" s="40">
        <f>408978.111111111+155556</f>
        <v>564534.11111111101</v>
      </c>
      <c r="S946" s="40">
        <v>275610.22222222202</v>
      </c>
      <c r="T946" s="37">
        <v>30000</v>
      </c>
      <c r="U946" s="40">
        <v>2995144.4444444398</v>
      </c>
      <c r="V946" s="40">
        <v>0</v>
      </c>
      <c r="W946" s="45">
        <f t="shared" si="49"/>
        <v>4433821.7777777724</v>
      </c>
      <c r="X946" s="46">
        <f t="shared" si="50"/>
        <v>6.4861518952390558</v>
      </c>
    </row>
    <row r="947" spans="1:24" s="4" customFormat="1" ht="15" customHeight="1">
      <c r="A947" s="28" t="s">
        <v>1109</v>
      </c>
      <c r="B947" s="29">
        <v>3106.0650000000001</v>
      </c>
      <c r="C947" s="30" t="s">
        <v>1478</v>
      </c>
      <c r="D947" s="2">
        <v>4949037253</v>
      </c>
      <c r="E947" s="2" t="s">
        <v>14</v>
      </c>
      <c r="F947" s="78" t="s">
        <v>1479</v>
      </c>
      <c r="G947" s="28" t="s">
        <v>5</v>
      </c>
      <c r="H947" s="2" t="s">
        <v>20</v>
      </c>
      <c r="I947" s="2">
        <v>1</v>
      </c>
      <c r="J947" s="2" t="s">
        <v>1480</v>
      </c>
      <c r="K947" s="2">
        <v>5496</v>
      </c>
      <c r="L947" s="35">
        <f t="shared" si="48"/>
        <v>17070933.240000002</v>
      </c>
      <c r="M947" s="36">
        <v>2400</v>
      </c>
      <c r="N947" s="40">
        <v>71185.555555555504</v>
      </c>
      <c r="O947" s="40">
        <v>69183.777777777796</v>
      </c>
      <c r="P947" s="40">
        <v>0</v>
      </c>
      <c r="Q947" s="40">
        <v>22068.666666666701</v>
      </c>
      <c r="R947" s="40">
        <f>116850.888888889+44444</f>
        <v>161294.88888888899</v>
      </c>
      <c r="S947" s="40">
        <v>78745.777777777796</v>
      </c>
      <c r="T947" s="37">
        <v>30000</v>
      </c>
      <c r="U947" s="40">
        <v>855755.55555555597</v>
      </c>
      <c r="V947" s="40">
        <v>0</v>
      </c>
      <c r="W947" s="45">
        <f t="shared" si="49"/>
        <v>1288234.2222222227</v>
      </c>
      <c r="X947" s="46">
        <f t="shared" si="50"/>
        <v>7.5463608468907735</v>
      </c>
    </row>
    <row r="948" spans="1:24" s="4" customFormat="1" ht="15" customHeight="1">
      <c r="A948" s="28" t="s">
        <v>1109</v>
      </c>
      <c r="B948" s="29">
        <v>3106.0650000000001</v>
      </c>
      <c r="C948" s="30" t="s">
        <v>1481</v>
      </c>
      <c r="D948" s="2">
        <v>4948957158</v>
      </c>
      <c r="E948" s="2" t="s">
        <v>36</v>
      </c>
      <c r="F948" s="2" t="s">
        <v>1482</v>
      </c>
      <c r="G948" s="28" t="s">
        <v>5</v>
      </c>
      <c r="H948" s="2" t="s">
        <v>26</v>
      </c>
      <c r="I948" s="2">
        <v>4</v>
      </c>
      <c r="J948" s="2" t="s">
        <v>1483</v>
      </c>
      <c r="K948" s="2">
        <v>79524.3</v>
      </c>
      <c r="L948" s="35">
        <f t="shared" si="48"/>
        <v>247007644.8795</v>
      </c>
      <c r="M948" s="36">
        <v>85510</v>
      </c>
      <c r="N948" s="40">
        <v>1272976</v>
      </c>
      <c r="O948" s="40">
        <v>1897247</v>
      </c>
      <c r="P948" s="40">
        <v>6311840</v>
      </c>
      <c r="Q948" s="40">
        <v>496548</v>
      </c>
      <c r="R948" s="40">
        <v>3529751</v>
      </c>
      <c r="S948" s="40">
        <v>354356</v>
      </c>
      <c r="T948" s="40"/>
      <c r="U948" s="40">
        <v>0</v>
      </c>
      <c r="V948" s="40">
        <v>0</v>
      </c>
      <c r="W948" s="45">
        <f t="shared" si="49"/>
        <v>13862718</v>
      </c>
      <c r="X948" s="46">
        <f t="shared" si="50"/>
        <v>5.6122627325007599</v>
      </c>
    </row>
    <row r="949" spans="1:24" s="4" customFormat="1" ht="15" customHeight="1">
      <c r="A949" s="28" t="s">
        <v>1109</v>
      </c>
      <c r="B949" s="29">
        <v>3106.0650000000001</v>
      </c>
      <c r="C949" s="30" t="s">
        <v>1484</v>
      </c>
      <c r="D949" s="2">
        <v>4948826974</v>
      </c>
      <c r="E949" s="2" t="s">
        <v>14</v>
      </c>
      <c r="F949" s="78" t="s">
        <v>1485</v>
      </c>
      <c r="G949" s="28" t="s">
        <v>13</v>
      </c>
      <c r="H949" s="2" t="s">
        <v>23</v>
      </c>
      <c r="I949" s="2">
        <v>2</v>
      </c>
      <c r="J949" s="2"/>
      <c r="K949" s="2">
        <v>9772.7999999999993</v>
      </c>
      <c r="L949" s="35">
        <f t="shared" si="48"/>
        <v>30354952.031999998</v>
      </c>
      <c r="M949" s="36">
        <v>160</v>
      </c>
      <c r="N949" s="40">
        <v>247706.323076923</v>
      </c>
      <c r="O949" s="40">
        <v>0</v>
      </c>
      <c r="P949" s="40">
        <v>140711.79487179499</v>
      </c>
      <c r="Q949" s="40">
        <v>0</v>
      </c>
      <c r="R949" s="40">
        <v>5606.1538461538503</v>
      </c>
      <c r="S949" s="40">
        <v>181721.025641026</v>
      </c>
      <c r="T949" s="37">
        <v>30000</v>
      </c>
      <c r="U949" s="40">
        <v>126348.717948718</v>
      </c>
      <c r="V949" s="40">
        <v>0</v>
      </c>
      <c r="W949" s="45">
        <f t="shared" si="49"/>
        <v>732094.01538461586</v>
      </c>
      <c r="X949" s="46">
        <f t="shared" si="50"/>
        <v>2.4117778694324636</v>
      </c>
    </row>
    <row r="950" spans="1:24" s="4" customFormat="1" ht="15" customHeight="1">
      <c r="A950" s="28" t="s">
        <v>1109</v>
      </c>
      <c r="B950" s="29">
        <v>3106.0650000000001</v>
      </c>
      <c r="C950" s="30" t="s">
        <v>1484</v>
      </c>
      <c r="D950" s="2">
        <v>4948826974</v>
      </c>
      <c r="E950" s="2" t="s">
        <v>14</v>
      </c>
      <c r="F950" s="78" t="s">
        <v>1485</v>
      </c>
      <c r="G950" s="28" t="s">
        <v>13</v>
      </c>
      <c r="H950" s="2" t="s">
        <v>23</v>
      </c>
      <c r="I950" s="2">
        <v>2</v>
      </c>
      <c r="J950" s="2"/>
      <c r="K950" s="2">
        <v>13731</v>
      </c>
      <c r="L950" s="35">
        <f t="shared" si="48"/>
        <v>42649378.515000001</v>
      </c>
      <c r="M950" s="36">
        <v>150</v>
      </c>
      <c r="N950" s="40">
        <v>232224.677884615</v>
      </c>
      <c r="O950" s="40">
        <v>0</v>
      </c>
      <c r="P950" s="40">
        <v>131917.30769230801</v>
      </c>
      <c r="Q950" s="40">
        <v>0</v>
      </c>
      <c r="R950" s="40">
        <v>5255.7692307692296</v>
      </c>
      <c r="S950" s="40">
        <v>170363.461538462</v>
      </c>
      <c r="T950" s="37">
        <v>30000</v>
      </c>
      <c r="U950" s="40">
        <v>118451.92307692301</v>
      </c>
      <c r="V950" s="40">
        <v>0</v>
      </c>
      <c r="W950" s="45">
        <f t="shared" si="49"/>
        <v>688213.13942307723</v>
      </c>
      <c r="X950" s="46">
        <f t="shared" si="50"/>
        <v>1.6136533834391731</v>
      </c>
    </row>
    <row r="951" spans="1:24" s="4" customFormat="1" ht="15" customHeight="1">
      <c r="A951" s="28" t="s">
        <v>1109</v>
      </c>
      <c r="B951" s="29">
        <v>3106.0650000000001</v>
      </c>
      <c r="C951" s="30" t="s">
        <v>1484</v>
      </c>
      <c r="D951" s="2">
        <v>4949192133</v>
      </c>
      <c r="E951" s="2" t="s">
        <v>14</v>
      </c>
      <c r="F951" s="78" t="s">
        <v>1485</v>
      </c>
      <c r="G951" s="28" t="s">
        <v>13</v>
      </c>
      <c r="H951" s="2" t="s">
        <v>23</v>
      </c>
      <c r="I951" s="2">
        <v>2</v>
      </c>
      <c r="J951" s="2"/>
      <c r="K951" s="2">
        <v>848</v>
      </c>
      <c r="L951" s="35">
        <f t="shared" si="48"/>
        <v>2633943.12</v>
      </c>
      <c r="M951" s="36">
        <v>2</v>
      </c>
      <c r="N951" s="40">
        <v>3096.3290384615402</v>
      </c>
      <c r="O951" s="40">
        <v>0</v>
      </c>
      <c r="P951" s="40">
        <v>1758.8974358974399</v>
      </c>
      <c r="Q951" s="40">
        <v>0</v>
      </c>
      <c r="R951" s="40">
        <v>70.076923076923094</v>
      </c>
      <c r="S951" s="40">
        <v>2271.5128205128199</v>
      </c>
      <c r="T951" s="37">
        <v>30000</v>
      </c>
      <c r="U951" s="40">
        <v>1579.35897435897</v>
      </c>
      <c r="V951" s="40">
        <v>0</v>
      </c>
      <c r="W951" s="45">
        <f t="shared" si="49"/>
        <v>38776.175192307695</v>
      </c>
      <c r="X951" s="46">
        <f t="shared" si="50"/>
        <v>1.4721720791110968</v>
      </c>
    </row>
    <row r="952" spans="1:24" s="4" customFormat="1" ht="15" customHeight="1">
      <c r="A952" s="28" t="s">
        <v>1109</v>
      </c>
      <c r="B952" s="29">
        <v>3106.0650000000001</v>
      </c>
      <c r="C952" s="30" t="s">
        <v>1486</v>
      </c>
      <c r="D952" s="2">
        <v>4948618679</v>
      </c>
      <c r="E952" s="2" t="s">
        <v>18</v>
      </c>
      <c r="F952" s="78" t="s">
        <v>1487</v>
      </c>
      <c r="G952" s="28" t="s">
        <v>9</v>
      </c>
      <c r="H952" s="2" t="s">
        <v>23</v>
      </c>
      <c r="I952" s="2">
        <v>1</v>
      </c>
      <c r="J952" s="2"/>
      <c r="K952" s="2">
        <v>5460</v>
      </c>
      <c r="L952" s="35">
        <f t="shared" si="48"/>
        <v>16959114.899999999</v>
      </c>
      <c r="M952" s="36">
        <v>1000</v>
      </c>
      <c r="N952" s="40">
        <v>710167</v>
      </c>
      <c r="O952" s="40">
        <v>660</v>
      </c>
      <c r="P952" s="40">
        <v>0</v>
      </c>
      <c r="Q952" s="40">
        <v>19933</v>
      </c>
      <c r="R952" s="40">
        <v>101674.55</v>
      </c>
      <c r="S952" s="40">
        <v>354356</v>
      </c>
      <c r="T952" s="37">
        <v>30000</v>
      </c>
      <c r="U952" s="40">
        <v>469495.72264745599</v>
      </c>
      <c r="V952" s="40">
        <v>0</v>
      </c>
      <c r="W952" s="45">
        <f t="shared" si="49"/>
        <v>1686286.272647456</v>
      </c>
      <c r="X952" s="46">
        <f t="shared" si="50"/>
        <v>9.9432445772712832</v>
      </c>
    </row>
    <row r="953" spans="1:24" s="4" customFormat="1" ht="15" customHeight="1">
      <c r="A953" s="28" t="s">
        <v>1109</v>
      </c>
      <c r="B953" s="29">
        <v>3106.0650000000001</v>
      </c>
      <c r="C953" s="30" t="s">
        <v>1488</v>
      </c>
      <c r="D953" s="2">
        <v>4949037254</v>
      </c>
      <c r="E953" s="2" t="s">
        <v>14</v>
      </c>
      <c r="F953" s="2" t="s">
        <v>1489</v>
      </c>
      <c r="G953" s="28" t="s">
        <v>9</v>
      </c>
      <c r="H953" s="2" t="s">
        <v>23</v>
      </c>
      <c r="I953" s="2">
        <v>4</v>
      </c>
      <c r="J953" s="2"/>
      <c r="K953" s="2">
        <v>14348.8</v>
      </c>
      <c r="L953" s="35">
        <f t="shared" si="48"/>
        <v>44568305.471999995</v>
      </c>
      <c r="M953" s="36">
        <v>3040</v>
      </c>
      <c r="N953" s="40">
        <v>666395</v>
      </c>
      <c r="O953" s="40">
        <v>2154</v>
      </c>
      <c r="P953" s="40">
        <v>0</v>
      </c>
      <c r="Q953" s="40">
        <v>52553</v>
      </c>
      <c r="R953" s="40">
        <v>138251</v>
      </c>
      <c r="S953" s="40">
        <v>354356</v>
      </c>
      <c r="T953" s="37">
        <v>30000</v>
      </c>
      <c r="U953" s="40">
        <v>1367700</v>
      </c>
      <c r="V953" s="40">
        <v>0</v>
      </c>
      <c r="W953" s="45">
        <f t="shared" si="49"/>
        <v>2611409</v>
      </c>
      <c r="X953" s="46">
        <f t="shared" si="50"/>
        <v>5.8593410100382117</v>
      </c>
    </row>
    <row r="954" spans="1:24" s="4" customFormat="1" ht="15" customHeight="1">
      <c r="A954" s="28" t="s">
        <v>1109</v>
      </c>
      <c r="B954" s="29">
        <v>3106.0650000000001</v>
      </c>
      <c r="C954" s="30" t="s">
        <v>1490</v>
      </c>
      <c r="D954" s="2">
        <v>4949096194</v>
      </c>
      <c r="E954" s="2" t="s">
        <v>14</v>
      </c>
      <c r="F954" s="2" t="s">
        <v>1491</v>
      </c>
      <c r="G954" s="28" t="s">
        <v>5</v>
      </c>
      <c r="H954" s="2" t="s">
        <v>20</v>
      </c>
      <c r="I954" s="2">
        <v>1</v>
      </c>
      <c r="J954" s="2" t="s">
        <v>1492</v>
      </c>
      <c r="K954" s="2">
        <v>3894</v>
      </c>
      <c r="L954" s="35">
        <f t="shared" si="48"/>
        <v>12095017.109999999</v>
      </c>
      <c r="M954" s="36">
        <v>1100</v>
      </c>
      <c r="N954" s="40">
        <v>73336.404332129998</v>
      </c>
      <c r="O954" s="40">
        <v>49452.664259927798</v>
      </c>
      <c r="P954" s="40">
        <v>16513.342960288799</v>
      </c>
      <c r="Q954" s="40">
        <v>15774.714801444001</v>
      </c>
      <c r="R954" s="40">
        <v>100604.85559566801</v>
      </c>
      <c r="S954" s="40">
        <v>56287.595667870002</v>
      </c>
      <c r="T954" s="37">
        <v>30000</v>
      </c>
      <c r="U954" s="40">
        <v>460697.47292418801</v>
      </c>
      <c r="V954" s="40">
        <v>0</v>
      </c>
      <c r="W954" s="45">
        <f t="shared" si="49"/>
        <v>802667.05054151663</v>
      </c>
      <c r="X954" s="46">
        <f t="shared" si="50"/>
        <v>6.6363448951046307</v>
      </c>
    </row>
    <row r="955" spans="1:24" s="4" customFormat="1" ht="15" customHeight="1">
      <c r="A955" s="28" t="s">
        <v>1109</v>
      </c>
      <c r="B955" s="29">
        <v>3106.0650000000001</v>
      </c>
      <c r="C955" s="30" t="s">
        <v>1490</v>
      </c>
      <c r="D955" s="2">
        <v>4948984290</v>
      </c>
      <c r="E955" s="2" t="s">
        <v>18</v>
      </c>
      <c r="F955" s="2" t="s">
        <v>1491</v>
      </c>
      <c r="G955" s="28" t="s">
        <v>5</v>
      </c>
      <c r="H955" s="2" t="s">
        <v>20</v>
      </c>
      <c r="I955" s="2">
        <v>1</v>
      </c>
      <c r="J955" s="2" t="s">
        <v>1492</v>
      </c>
      <c r="K955" s="2">
        <v>19525</v>
      </c>
      <c r="L955" s="35">
        <f t="shared" si="48"/>
        <v>60645919.125</v>
      </c>
      <c r="M955" s="36">
        <v>625</v>
      </c>
      <c r="N955" s="40">
        <v>41668.411552346603</v>
      </c>
      <c r="O955" s="40">
        <v>28098.104693140798</v>
      </c>
      <c r="P955" s="40">
        <v>9382.58122743682</v>
      </c>
      <c r="Q955" s="40">
        <v>8962.9061371841199</v>
      </c>
      <c r="R955" s="40">
        <f>39111.2815884477+18051</f>
        <v>57162.281588447702</v>
      </c>
      <c r="S955" s="40">
        <v>31981.588447653401</v>
      </c>
      <c r="T955" s="37">
        <v>30000</v>
      </c>
      <c r="U955" s="40">
        <v>261759.92779783401</v>
      </c>
      <c r="V955" s="40">
        <v>0</v>
      </c>
      <c r="W955" s="45">
        <f t="shared" si="49"/>
        <v>469015.80144404346</v>
      </c>
      <c r="X955" s="46">
        <f t="shared" si="50"/>
        <v>0.7733674552402019</v>
      </c>
    </row>
    <row r="956" spans="1:24" s="4" customFormat="1" ht="15" customHeight="1">
      <c r="A956" s="28" t="s">
        <v>1109</v>
      </c>
      <c r="B956" s="29">
        <v>3106.0650000000001</v>
      </c>
      <c r="C956" s="30" t="s">
        <v>1490</v>
      </c>
      <c r="D956" s="2">
        <v>4948618663</v>
      </c>
      <c r="E956" s="2" t="s">
        <v>18</v>
      </c>
      <c r="F956" s="2" t="s">
        <v>1491</v>
      </c>
      <c r="G956" s="28" t="s">
        <v>5</v>
      </c>
      <c r="H956" s="2" t="s">
        <v>20</v>
      </c>
      <c r="I956" s="2">
        <v>1</v>
      </c>
      <c r="J956" s="2" t="s">
        <v>1492</v>
      </c>
      <c r="K956" s="2">
        <v>77010</v>
      </c>
      <c r="L956" s="35">
        <f t="shared" si="48"/>
        <v>239198065.65000001</v>
      </c>
      <c r="M956" s="36">
        <v>1500</v>
      </c>
      <c r="N956" s="40">
        <v>100004.187725632</v>
      </c>
      <c r="O956" s="40">
        <v>67435.451263537907</v>
      </c>
      <c r="P956" s="40">
        <v>22518.194945848401</v>
      </c>
      <c r="Q956" s="40">
        <v>21510.974729241902</v>
      </c>
      <c r="R956" s="40">
        <f>93867.0758122744+43321</f>
        <v>137188.07581227442</v>
      </c>
      <c r="S956" s="40">
        <v>76755.812274368203</v>
      </c>
      <c r="T956" s="37">
        <v>30000</v>
      </c>
      <c r="U956" s="40">
        <v>628223.82671480102</v>
      </c>
      <c r="V956" s="40">
        <v>0</v>
      </c>
      <c r="W956" s="45">
        <f t="shared" si="49"/>
        <v>1083636.5234657037</v>
      </c>
      <c r="X956" s="46">
        <f t="shared" si="50"/>
        <v>0.45302896598307157</v>
      </c>
    </row>
    <row r="957" spans="1:24" s="4" customFormat="1" ht="15" customHeight="1">
      <c r="A957" s="28" t="s">
        <v>1109</v>
      </c>
      <c r="B957" s="29">
        <v>3106.0650000000001</v>
      </c>
      <c r="C957" s="30" t="s">
        <v>1490</v>
      </c>
      <c r="D957" s="2">
        <v>4949192135</v>
      </c>
      <c r="E957" s="2" t="s">
        <v>14</v>
      </c>
      <c r="F957" s="2" t="s">
        <v>1491</v>
      </c>
      <c r="G957" s="28" t="s">
        <v>5</v>
      </c>
      <c r="H957" s="2" t="s">
        <v>20</v>
      </c>
      <c r="I957" s="2">
        <v>1</v>
      </c>
      <c r="J957" s="2" t="s">
        <v>1492</v>
      </c>
      <c r="K957" s="2">
        <v>3708</v>
      </c>
      <c r="L957" s="35">
        <f t="shared" si="48"/>
        <v>11517289.02</v>
      </c>
      <c r="M957" s="36">
        <v>3600</v>
      </c>
      <c r="N957" s="40">
        <v>240010.05054151599</v>
      </c>
      <c r="O957" s="40">
        <v>161845.08303249101</v>
      </c>
      <c r="P957" s="40">
        <v>54043.667870036101</v>
      </c>
      <c r="Q957" s="40">
        <v>51626.339350180497</v>
      </c>
      <c r="R957" s="40">
        <f>225280.981949458+103971</f>
        <v>329251.98194945802</v>
      </c>
      <c r="S957" s="40">
        <v>184213.94945848401</v>
      </c>
      <c r="T957" s="37">
        <v>30000</v>
      </c>
      <c r="U957" s="40">
        <v>1507737.18411552</v>
      </c>
      <c r="V957" s="40">
        <v>0</v>
      </c>
      <c r="W957" s="45">
        <f t="shared" si="49"/>
        <v>2558728.2563176854</v>
      </c>
      <c r="X957" s="46">
        <f t="shared" si="50"/>
        <v>22.216410926863112</v>
      </c>
    </row>
    <row r="958" spans="1:24" s="4" customFormat="1" ht="15" customHeight="1">
      <c r="A958" s="28" t="s">
        <v>1109</v>
      </c>
      <c r="B958" s="29">
        <v>3106.0650000000001</v>
      </c>
      <c r="C958" s="30" t="s">
        <v>1490</v>
      </c>
      <c r="D958" s="2">
        <v>4949035723</v>
      </c>
      <c r="E958" s="2" t="s">
        <v>14</v>
      </c>
      <c r="F958" s="2" t="s">
        <v>1491</v>
      </c>
      <c r="G958" s="28" t="s">
        <v>5</v>
      </c>
      <c r="H958" s="2" t="s">
        <v>20</v>
      </c>
      <c r="I958" s="2">
        <v>1</v>
      </c>
      <c r="J958" s="2" t="s">
        <v>1492</v>
      </c>
      <c r="K958" s="2">
        <v>4798</v>
      </c>
      <c r="L958" s="35">
        <f t="shared" si="48"/>
        <v>14902899.870000001</v>
      </c>
      <c r="M958" s="36">
        <v>100</v>
      </c>
      <c r="N958" s="40">
        <v>6666.9458483754497</v>
      </c>
      <c r="O958" s="40">
        <v>4495.6967509025299</v>
      </c>
      <c r="P958" s="40">
        <v>1501.2129963898899</v>
      </c>
      <c r="Q958" s="40">
        <v>1434.0649819494599</v>
      </c>
      <c r="R958" s="40">
        <f>6257.80505415162+2888</f>
        <v>9145.8050541516204</v>
      </c>
      <c r="S958" s="40">
        <v>5117.0541516245503</v>
      </c>
      <c r="T958" s="37">
        <v>30000</v>
      </c>
      <c r="U958" s="40">
        <v>41881.588447653397</v>
      </c>
      <c r="V958" s="40">
        <v>0</v>
      </c>
      <c r="W958" s="45">
        <f t="shared" si="49"/>
        <v>100242.3682310469</v>
      </c>
      <c r="X958" s="46">
        <f t="shared" si="50"/>
        <v>0.67263666202869621</v>
      </c>
    </row>
    <row r="959" spans="1:24" s="4" customFormat="1" ht="15" customHeight="1">
      <c r="A959" s="28" t="s">
        <v>1109</v>
      </c>
      <c r="B959" s="29">
        <v>3106.0650000000001</v>
      </c>
      <c r="C959" s="30" t="s">
        <v>1493</v>
      </c>
      <c r="D959" s="2">
        <v>4948495885</v>
      </c>
      <c r="E959" s="2" t="s">
        <v>14</v>
      </c>
      <c r="F959" s="2" t="s">
        <v>1494</v>
      </c>
      <c r="G959" s="28" t="s">
        <v>5</v>
      </c>
      <c r="H959" s="2" t="s">
        <v>20</v>
      </c>
      <c r="I959" s="2">
        <v>1</v>
      </c>
      <c r="J959" s="2" t="s">
        <v>1495</v>
      </c>
      <c r="K959" s="2">
        <v>4067</v>
      </c>
      <c r="L959" s="35">
        <f t="shared" si="48"/>
        <v>12632366.355</v>
      </c>
      <c r="M959" s="36">
        <v>700</v>
      </c>
      <c r="N959" s="40">
        <v>26124.9616161616</v>
      </c>
      <c r="O959" s="40">
        <v>17610.416161616198</v>
      </c>
      <c r="P959" s="40">
        <v>7350.6505050505102</v>
      </c>
      <c r="Q959" s="40">
        <v>5617.4787878787902</v>
      </c>
      <c r="R959" s="40">
        <v>41796.967676767701</v>
      </c>
      <c r="S959" s="40">
        <v>20044.3797979798</v>
      </c>
      <c r="T959" s="37">
        <v>30000</v>
      </c>
      <c r="U959" s="40">
        <v>183810.101010101</v>
      </c>
      <c r="V959" s="40">
        <v>0</v>
      </c>
      <c r="W959" s="45">
        <f t="shared" si="49"/>
        <v>332354.95555555564</v>
      </c>
      <c r="X959" s="46">
        <f t="shared" si="50"/>
        <v>2.630979392265699</v>
      </c>
    </row>
    <row r="960" spans="1:24" s="4" customFormat="1" ht="15" customHeight="1">
      <c r="A960" s="28" t="s">
        <v>1109</v>
      </c>
      <c r="B960" s="29">
        <v>3106.0650000000001</v>
      </c>
      <c r="C960" s="30" t="s">
        <v>1493</v>
      </c>
      <c r="D960" s="2">
        <v>4948772924</v>
      </c>
      <c r="E960" s="2" t="s">
        <v>14</v>
      </c>
      <c r="F960" s="2" t="s">
        <v>1494</v>
      </c>
      <c r="G960" s="28" t="s">
        <v>5</v>
      </c>
      <c r="H960" s="2" t="s">
        <v>20</v>
      </c>
      <c r="I960" s="2">
        <v>1</v>
      </c>
      <c r="J960" s="2" t="s">
        <v>1495</v>
      </c>
      <c r="K960" s="2">
        <v>10272</v>
      </c>
      <c r="L960" s="35">
        <f t="shared" si="48"/>
        <v>31905499.68</v>
      </c>
      <c r="M960" s="36">
        <v>1200</v>
      </c>
      <c r="N960" s="40">
        <v>44785.648484848498</v>
      </c>
      <c r="O960" s="40">
        <v>30189.2848484848</v>
      </c>
      <c r="P960" s="40">
        <v>12601.1151515152</v>
      </c>
      <c r="Q960" s="40">
        <v>9629.96363636364</v>
      </c>
      <c r="R960" s="40">
        <f>52258.2303030303+19394</f>
        <v>71652.230303030301</v>
      </c>
      <c r="S960" s="40">
        <v>34361.793939393901</v>
      </c>
      <c r="T960" s="37">
        <v>30000</v>
      </c>
      <c r="U960" s="40">
        <v>315103.03030302998</v>
      </c>
      <c r="V960" s="40">
        <v>0</v>
      </c>
      <c r="W960" s="45">
        <f t="shared" si="49"/>
        <v>548323.0666666663</v>
      </c>
      <c r="X960" s="46">
        <f t="shared" si="50"/>
        <v>1.7185847962455929</v>
      </c>
    </row>
    <row r="961" spans="1:24" s="4" customFormat="1" ht="15" customHeight="1">
      <c r="A961" s="28" t="s">
        <v>1109</v>
      </c>
      <c r="B961" s="29">
        <v>3106.0650000000001</v>
      </c>
      <c r="C961" s="30" t="s">
        <v>1493</v>
      </c>
      <c r="D961" s="2">
        <v>4948772939</v>
      </c>
      <c r="E961" s="2" t="s">
        <v>14</v>
      </c>
      <c r="F961" s="2" t="s">
        <v>1494</v>
      </c>
      <c r="G961" s="28" t="s">
        <v>5</v>
      </c>
      <c r="H961" s="2" t="s">
        <v>20</v>
      </c>
      <c r="I961" s="2">
        <v>1</v>
      </c>
      <c r="J961" s="2" t="s">
        <v>1495</v>
      </c>
      <c r="K961" s="2">
        <v>24288</v>
      </c>
      <c r="L961" s="35">
        <f t="shared" si="48"/>
        <v>75440106.719999999</v>
      </c>
      <c r="M961" s="36">
        <v>8800</v>
      </c>
      <c r="N961" s="40">
        <v>328428.088888889</v>
      </c>
      <c r="O961" s="40">
        <v>221388.088888889</v>
      </c>
      <c r="P961" s="40">
        <v>92408.177777777804</v>
      </c>
      <c r="Q961" s="40">
        <v>70619.733333333294</v>
      </c>
      <c r="R961" s="40">
        <f>383227.022222222+142222</f>
        <v>525449.02222222206</v>
      </c>
      <c r="S961" s="40">
        <v>251986.488888889</v>
      </c>
      <c r="T961" s="37">
        <v>30000</v>
      </c>
      <c r="U961" s="40">
        <v>2310755.5555555602</v>
      </c>
      <c r="V961" s="40">
        <v>0</v>
      </c>
      <c r="W961" s="45">
        <f t="shared" si="49"/>
        <v>3831035.1555555603</v>
      </c>
      <c r="X961" s="46">
        <f t="shared" si="50"/>
        <v>5.0782472641172856</v>
      </c>
    </row>
    <row r="962" spans="1:24" s="4" customFormat="1" ht="15" customHeight="1">
      <c r="A962" s="28" t="s">
        <v>1109</v>
      </c>
      <c r="B962" s="29">
        <v>3106.0650000000001</v>
      </c>
      <c r="C962" s="30" t="s">
        <v>1493</v>
      </c>
      <c r="D962" s="2">
        <v>4948540087</v>
      </c>
      <c r="E962" s="2" t="s">
        <v>14</v>
      </c>
      <c r="F962" s="2" t="s">
        <v>1494</v>
      </c>
      <c r="G962" s="28" t="s">
        <v>5</v>
      </c>
      <c r="H962" s="2" t="s">
        <v>20</v>
      </c>
      <c r="I962" s="2">
        <v>1</v>
      </c>
      <c r="J962" s="2" t="s">
        <v>1495</v>
      </c>
      <c r="K962" s="2">
        <v>1220</v>
      </c>
      <c r="L962" s="35">
        <f t="shared" si="48"/>
        <v>3789399.3000000003</v>
      </c>
      <c r="M962" s="36">
        <v>250</v>
      </c>
      <c r="N962" s="40">
        <v>9330.3434343434292</v>
      </c>
      <c r="O962" s="40">
        <v>6289.43434343434</v>
      </c>
      <c r="P962" s="40">
        <v>2625.2323232323201</v>
      </c>
      <c r="Q962" s="40">
        <v>2006.2424242424199</v>
      </c>
      <c r="R962" s="40">
        <f>10887.1313131313+4040</f>
        <v>14927.1313131313</v>
      </c>
      <c r="S962" s="40">
        <v>7158.7070707070698</v>
      </c>
      <c r="T962" s="37">
        <v>30000</v>
      </c>
      <c r="U962" s="40">
        <v>65646.464646464694</v>
      </c>
      <c r="V962" s="40">
        <v>0</v>
      </c>
      <c r="W962" s="45">
        <f t="shared" si="49"/>
        <v>137983.55555555556</v>
      </c>
      <c r="X962" s="46">
        <f t="shared" si="50"/>
        <v>3.6413041918162476</v>
      </c>
    </row>
    <row r="963" spans="1:24" s="4" customFormat="1" ht="15" customHeight="1">
      <c r="A963" s="28" t="s">
        <v>1109</v>
      </c>
      <c r="B963" s="29">
        <v>3106.0650000000001</v>
      </c>
      <c r="C963" s="30" t="s">
        <v>1493</v>
      </c>
      <c r="D963" s="2">
        <v>4949035733</v>
      </c>
      <c r="E963" s="2" t="s">
        <v>14</v>
      </c>
      <c r="F963" s="2" t="s">
        <v>1494</v>
      </c>
      <c r="G963" s="28" t="s">
        <v>5</v>
      </c>
      <c r="H963" s="2" t="s">
        <v>20</v>
      </c>
      <c r="I963" s="2">
        <v>1</v>
      </c>
      <c r="J963" s="2" t="s">
        <v>1495</v>
      </c>
      <c r="K963" s="2">
        <v>2803.5</v>
      </c>
      <c r="L963" s="35">
        <f t="shared" si="48"/>
        <v>8707853.227500001</v>
      </c>
      <c r="M963" s="36">
        <v>525</v>
      </c>
      <c r="N963" s="40">
        <v>19593.7212121212</v>
      </c>
      <c r="O963" s="40">
        <v>13207.8121212121</v>
      </c>
      <c r="P963" s="40">
        <v>5512.9878787878797</v>
      </c>
      <c r="Q963" s="40">
        <v>4213.1090909090899</v>
      </c>
      <c r="R963" s="40">
        <v>31347.975757575801</v>
      </c>
      <c r="S963" s="40">
        <v>15033.2848484848</v>
      </c>
      <c r="T963" s="37">
        <v>30000</v>
      </c>
      <c r="U963" s="40">
        <v>137857.57575757601</v>
      </c>
      <c r="V963" s="40">
        <v>0</v>
      </c>
      <c r="W963" s="45">
        <f t="shared" si="49"/>
        <v>256766.46666666688</v>
      </c>
      <c r="X963" s="46">
        <f t="shared" si="50"/>
        <v>2.9486770155447806</v>
      </c>
    </row>
    <row r="964" spans="1:24" s="4" customFormat="1" ht="15" customHeight="1">
      <c r="A964" s="28" t="s">
        <v>1109</v>
      </c>
      <c r="B964" s="29">
        <v>3106.0650000000001</v>
      </c>
      <c r="C964" s="30" t="s">
        <v>1493</v>
      </c>
      <c r="D964" s="2">
        <v>4948951750</v>
      </c>
      <c r="E964" s="2" t="s">
        <v>14</v>
      </c>
      <c r="F964" s="2" t="s">
        <v>1494</v>
      </c>
      <c r="G964" s="28" t="s">
        <v>5</v>
      </c>
      <c r="H964" s="2" t="s">
        <v>20</v>
      </c>
      <c r="I964" s="2">
        <v>1</v>
      </c>
      <c r="J964" s="2" t="s">
        <v>1495</v>
      </c>
      <c r="K964" s="2">
        <v>2772</v>
      </c>
      <c r="L964" s="35">
        <f t="shared" si="48"/>
        <v>8610012.1799999997</v>
      </c>
      <c r="M964" s="36">
        <v>900</v>
      </c>
      <c r="N964" s="40">
        <v>33589.236363636403</v>
      </c>
      <c r="O964" s="40">
        <v>22641.963636363598</v>
      </c>
      <c r="P964" s="40">
        <v>9450.8363636363592</v>
      </c>
      <c r="Q964" s="40">
        <v>7222.4727272727296</v>
      </c>
      <c r="R964" s="40">
        <f>39193.6727272727+14545</f>
        <v>53738.6727272727</v>
      </c>
      <c r="S964" s="40">
        <v>25771.345454545499</v>
      </c>
      <c r="T964" s="37">
        <v>30000</v>
      </c>
      <c r="U964" s="40">
        <v>236327.272727273</v>
      </c>
      <c r="V964" s="40">
        <v>0</v>
      </c>
      <c r="W964" s="45">
        <f t="shared" si="49"/>
        <v>418741.80000000028</v>
      </c>
      <c r="X964" s="46">
        <f t="shared" si="50"/>
        <v>4.8634286600974388</v>
      </c>
    </row>
    <row r="965" spans="1:24" s="4" customFormat="1" ht="15" customHeight="1">
      <c r="A965" s="28" t="s">
        <v>1109</v>
      </c>
      <c r="B965" s="29">
        <v>3106.0650000000001</v>
      </c>
      <c r="C965" s="30" t="s">
        <v>1496</v>
      </c>
      <c r="D965" s="2">
        <v>4949037267</v>
      </c>
      <c r="E965" s="2" t="s">
        <v>14</v>
      </c>
      <c r="F965" s="78" t="s">
        <v>1497</v>
      </c>
      <c r="G965" s="28" t="s">
        <v>9</v>
      </c>
      <c r="H965" s="2" t="s">
        <v>23</v>
      </c>
      <c r="I965" s="2">
        <v>2</v>
      </c>
      <c r="J965" s="2"/>
      <c r="K965" s="2">
        <v>1792</v>
      </c>
      <c r="L965" s="35">
        <f t="shared" si="48"/>
        <v>5566068.4800000004</v>
      </c>
      <c r="M965" s="36">
        <v>1600</v>
      </c>
      <c r="N965" s="40">
        <v>651374</v>
      </c>
      <c r="O965" s="40">
        <v>1107</v>
      </c>
      <c r="P965" s="40">
        <v>0</v>
      </c>
      <c r="Q965" s="40">
        <v>26540</v>
      </c>
      <c r="R965" s="40">
        <v>108022</v>
      </c>
      <c r="S965" s="40">
        <v>354356</v>
      </c>
      <c r="T965" s="37">
        <v>30000</v>
      </c>
      <c r="U965" s="40">
        <v>1226764.70588235</v>
      </c>
      <c r="V965" s="40">
        <v>0</v>
      </c>
      <c r="W965" s="45">
        <f t="shared" si="49"/>
        <v>2398163.70588235</v>
      </c>
      <c r="X965" s="46">
        <f t="shared" si="50"/>
        <v>43.085415037551776</v>
      </c>
    </row>
    <row r="966" spans="1:24" s="4" customFormat="1" ht="15" customHeight="1">
      <c r="A966" s="28" t="s">
        <v>1109</v>
      </c>
      <c r="B966" s="29">
        <v>3106.0650000000001</v>
      </c>
      <c r="C966" s="30" t="s">
        <v>1498</v>
      </c>
      <c r="D966" s="2">
        <v>4949231338</v>
      </c>
      <c r="E966" s="2" t="s">
        <v>14</v>
      </c>
      <c r="F966" s="2" t="s">
        <v>1499</v>
      </c>
      <c r="G966" s="28" t="s">
        <v>9</v>
      </c>
      <c r="H966" s="2" t="s">
        <v>23</v>
      </c>
      <c r="I966" s="2">
        <v>7</v>
      </c>
      <c r="J966" s="2"/>
      <c r="K966" s="2">
        <v>10795.5</v>
      </c>
      <c r="L966" s="35">
        <f t="shared" si="48"/>
        <v>33531524.7075</v>
      </c>
      <c r="M966" s="36">
        <v>225</v>
      </c>
      <c r="N966" s="40">
        <v>314355.44927536201</v>
      </c>
      <c r="O966" s="40">
        <v>149.08695652173901</v>
      </c>
      <c r="P966" s="40">
        <v>0</v>
      </c>
      <c r="Q966" s="40">
        <v>3656.95652173913</v>
      </c>
      <c r="R966" s="40">
        <v>18988.550724637698</v>
      </c>
      <c r="S966" s="40">
        <v>37661.024154589402</v>
      </c>
      <c r="T966" s="37">
        <v>30000</v>
      </c>
      <c r="U966" s="40">
        <v>258222.647456101</v>
      </c>
      <c r="V966" s="40">
        <v>0</v>
      </c>
      <c r="W966" s="45">
        <f t="shared" si="49"/>
        <v>663033.71508895094</v>
      </c>
      <c r="X966" s="46">
        <f t="shared" si="50"/>
        <v>1.9773443673459026</v>
      </c>
    </row>
    <row r="967" spans="1:24" s="4" customFormat="1" ht="15" customHeight="1">
      <c r="A967" s="28" t="s">
        <v>1109</v>
      </c>
      <c r="B967" s="29">
        <v>3106.0650000000001</v>
      </c>
      <c r="C967" s="30" t="s">
        <v>1498</v>
      </c>
      <c r="D967" s="2">
        <v>4949035723</v>
      </c>
      <c r="E967" s="2" t="s">
        <v>14</v>
      </c>
      <c r="F967" s="2" t="s">
        <v>1499</v>
      </c>
      <c r="G967" s="28" t="s">
        <v>9</v>
      </c>
      <c r="H967" s="2" t="s">
        <v>23</v>
      </c>
      <c r="I967" s="2">
        <v>7</v>
      </c>
      <c r="J967" s="2"/>
      <c r="K967" s="2">
        <v>18792</v>
      </c>
      <c r="L967" s="35">
        <f t="shared" si="48"/>
        <v>58369173.480000004</v>
      </c>
      <c r="M967" s="36">
        <v>2400</v>
      </c>
      <c r="N967" s="40">
        <v>1143110.72463768</v>
      </c>
      <c r="O967" s="40">
        <v>1590.26086956522</v>
      </c>
      <c r="P967" s="40">
        <v>0</v>
      </c>
      <c r="Q967" s="40">
        <v>39007.5362318841</v>
      </c>
      <c r="R967" s="40">
        <v>69049.275362318804</v>
      </c>
      <c r="S967" s="40">
        <v>136949.17874396101</v>
      </c>
      <c r="T967" s="37">
        <v>30000</v>
      </c>
      <c r="U967" s="40">
        <v>938991.44529491197</v>
      </c>
      <c r="V967" s="40">
        <v>0</v>
      </c>
      <c r="W967" s="45">
        <f t="shared" si="49"/>
        <v>2358698.4211403211</v>
      </c>
      <c r="X967" s="46">
        <f t="shared" si="50"/>
        <v>4.0410002069817228</v>
      </c>
    </row>
    <row r="968" spans="1:24" s="4" customFormat="1" ht="15" customHeight="1">
      <c r="A968" s="28" t="s">
        <v>1109</v>
      </c>
      <c r="B968" s="29">
        <v>3106.0650000000001</v>
      </c>
      <c r="C968" s="30" t="s">
        <v>1498</v>
      </c>
      <c r="D968" s="2">
        <v>4949366039</v>
      </c>
      <c r="E968" s="2" t="s">
        <v>14</v>
      </c>
      <c r="F968" s="2" t="s">
        <v>1499</v>
      </c>
      <c r="G968" s="28" t="s">
        <v>9</v>
      </c>
      <c r="H968" s="2" t="s">
        <v>23</v>
      </c>
      <c r="I968" s="2">
        <v>7</v>
      </c>
      <c r="J968" s="2"/>
      <c r="K968" s="2">
        <v>1947</v>
      </c>
      <c r="L968" s="35">
        <f t="shared" si="48"/>
        <v>6047508.5549999997</v>
      </c>
      <c r="M968" s="36">
        <v>550</v>
      </c>
      <c r="N968" s="40">
        <v>128599.956521739</v>
      </c>
      <c r="O968" s="40">
        <v>364.43478260869603</v>
      </c>
      <c r="P968" s="40">
        <v>0</v>
      </c>
      <c r="Q968" s="40">
        <v>8939.2270531401009</v>
      </c>
      <c r="R968" s="40">
        <v>7768.04347826087</v>
      </c>
      <c r="S968" s="40">
        <v>15406.782608695699</v>
      </c>
      <c r="T968" s="37">
        <v>30000</v>
      </c>
      <c r="U968" s="40">
        <v>117231.428571429</v>
      </c>
      <c r="V968" s="40">
        <v>0</v>
      </c>
      <c r="W968" s="45">
        <f t="shared" si="49"/>
        <v>308309.87301587337</v>
      </c>
      <c r="X968" s="46">
        <f t="shared" si="50"/>
        <v>5.0981304153917542</v>
      </c>
    </row>
    <row r="969" spans="1:24" s="4" customFormat="1" ht="15" customHeight="1">
      <c r="A969" s="28" t="s">
        <v>1109</v>
      </c>
      <c r="B969" s="29">
        <v>3106.0650000000001</v>
      </c>
      <c r="C969" s="30" t="s">
        <v>1498</v>
      </c>
      <c r="D969" s="2">
        <v>4949336177</v>
      </c>
      <c r="E969" s="2" t="s">
        <v>18</v>
      </c>
      <c r="F969" s="2" t="s">
        <v>1499</v>
      </c>
      <c r="G969" s="28" t="s">
        <v>9</v>
      </c>
      <c r="H969" s="2" t="s">
        <v>23</v>
      </c>
      <c r="I969" s="2">
        <v>7</v>
      </c>
      <c r="J969" s="2"/>
      <c r="K969" s="2">
        <v>6420</v>
      </c>
      <c r="L969" s="35">
        <f t="shared" ref="L969:L1032" si="51">B969*K969</f>
        <v>19940937.300000001</v>
      </c>
      <c r="M969" s="36">
        <v>2000</v>
      </c>
      <c r="N969" s="40">
        <v>1371732.8695652201</v>
      </c>
      <c r="O969" s="40">
        <v>1325.21739130435</v>
      </c>
      <c r="P969" s="40">
        <v>0</v>
      </c>
      <c r="Q969" s="40">
        <v>32506.2801932367</v>
      </c>
      <c r="R969" s="40">
        <v>82859.130434782594</v>
      </c>
      <c r="S969" s="40">
        <v>164339.01449275401</v>
      </c>
      <c r="T969" s="37">
        <v>30000</v>
      </c>
      <c r="U969" s="40">
        <v>1250468.57142857</v>
      </c>
      <c r="V969" s="40">
        <v>0</v>
      </c>
      <c r="W969" s="45">
        <f t="shared" ref="W969:W1032" si="52">+SUM(N969:V969)</f>
        <v>2933231.0835058675</v>
      </c>
      <c r="X969" s="46">
        <f t="shared" ref="X969:X1032" si="53">(W969/L969)*100</f>
        <v>14.70959483687794</v>
      </c>
    </row>
    <row r="970" spans="1:24" s="4" customFormat="1" ht="15" customHeight="1">
      <c r="A970" s="28" t="s">
        <v>1109</v>
      </c>
      <c r="B970" s="29">
        <v>3106.0650000000001</v>
      </c>
      <c r="C970" s="30" t="s">
        <v>1500</v>
      </c>
      <c r="D970" s="2">
        <v>4949366039</v>
      </c>
      <c r="E970" s="2" t="s">
        <v>14</v>
      </c>
      <c r="F970" s="2" t="s">
        <v>1501</v>
      </c>
      <c r="G970" s="28" t="s">
        <v>9</v>
      </c>
      <c r="H970" s="2" t="s">
        <v>23</v>
      </c>
      <c r="I970" s="2">
        <v>1</v>
      </c>
      <c r="J970" s="2"/>
      <c r="K970" s="2">
        <v>138.80000000000001</v>
      </c>
      <c r="L970" s="35">
        <f t="shared" si="51"/>
        <v>431121.82200000004</v>
      </c>
      <c r="M970" s="36">
        <v>40</v>
      </c>
      <c r="N970" s="40">
        <v>443835</v>
      </c>
      <c r="O970" s="40">
        <v>31</v>
      </c>
      <c r="P970" s="40">
        <v>0</v>
      </c>
      <c r="Q970" s="40">
        <v>1014</v>
      </c>
      <c r="R970" s="40">
        <v>80409.440000000002</v>
      </c>
      <c r="S970" s="40">
        <v>354356</v>
      </c>
      <c r="T970" s="37">
        <v>30000</v>
      </c>
      <c r="U970" s="40">
        <v>18779.828905898201</v>
      </c>
      <c r="V970" s="40">
        <v>0</v>
      </c>
      <c r="W970" s="45">
        <f t="shared" si="52"/>
        <v>928425.26890589809</v>
      </c>
      <c r="X970" s="46">
        <f t="shared" si="53"/>
        <v>215.35102644511878</v>
      </c>
    </row>
    <row r="971" spans="1:24" s="4" customFormat="1" ht="15" customHeight="1">
      <c r="A971" s="28" t="s">
        <v>1109</v>
      </c>
      <c r="B971" s="29">
        <v>3106.0650000000001</v>
      </c>
      <c r="C971" s="30" t="s">
        <v>1502</v>
      </c>
      <c r="D971" s="2">
        <v>4948492529</v>
      </c>
      <c r="E971" s="2" t="s">
        <v>6</v>
      </c>
      <c r="F971" s="2" t="s">
        <v>1503</v>
      </c>
      <c r="G971" s="28" t="s">
        <v>5</v>
      </c>
      <c r="H971" s="2" t="s">
        <v>20</v>
      </c>
      <c r="I971" s="2">
        <v>1</v>
      </c>
      <c r="J971" s="2" t="s">
        <v>1504</v>
      </c>
      <c r="K971" s="2">
        <v>59700</v>
      </c>
      <c r="L971" s="35">
        <f t="shared" si="51"/>
        <v>185432080.5</v>
      </c>
      <c r="M971" s="36">
        <v>12000</v>
      </c>
      <c r="N971" s="40">
        <v>2022263</v>
      </c>
      <c r="O971" s="40">
        <v>387618</v>
      </c>
      <c r="P971" s="40">
        <v>129949</v>
      </c>
      <c r="Q971" s="40">
        <v>124137</v>
      </c>
      <c r="R971" s="40">
        <v>756441</v>
      </c>
      <c r="S971" s="40">
        <v>354356</v>
      </c>
      <c r="T971" s="37">
        <v>30000</v>
      </c>
      <c r="U971" s="40">
        <v>3249500</v>
      </c>
      <c r="V971" s="40">
        <v>0</v>
      </c>
      <c r="W971" s="45">
        <f t="shared" si="52"/>
        <v>7054264</v>
      </c>
      <c r="X971" s="46">
        <f t="shared" si="53"/>
        <v>3.8042306277203202</v>
      </c>
    </row>
    <row r="972" spans="1:24" s="4" customFormat="1" ht="15" customHeight="1">
      <c r="A972" s="28" t="s">
        <v>1109</v>
      </c>
      <c r="B972" s="29">
        <v>3106.0650000000001</v>
      </c>
      <c r="C972" s="30" t="s">
        <v>1505</v>
      </c>
      <c r="D972" s="2">
        <v>4949037270</v>
      </c>
      <c r="E972" s="2" t="s">
        <v>14</v>
      </c>
      <c r="F972" s="2" t="s">
        <v>1506</v>
      </c>
      <c r="G972" s="28" t="s">
        <v>9</v>
      </c>
      <c r="H972" s="2" t="s">
        <v>23</v>
      </c>
      <c r="I972" s="2">
        <v>1</v>
      </c>
      <c r="J972" s="2"/>
      <c r="K972" s="2">
        <v>4319.6400000000003</v>
      </c>
      <c r="L972" s="35">
        <f t="shared" si="51"/>
        <v>13417082.616600001</v>
      </c>
      <c r="M972" s="36">
        <v>852</v>
      </c>
      <c r="N972" s="40">
        <v>580051</v>
      </c>
      <c r="O972" s="40">
        <v>599</v>
      </c>
      <c r="P972" s="40">
        <v>0</v>
      </c>
      <c r="Q972" s="40">
        <v>14632</v>
      </c>
      <c r="R972" s="40">
        <v>95272</v>
      </c>
      <c r="S972" s="40">
        <v>354356</v>
      </c>
      <c r="T972" s="37">
        <v>30000</v>
      </c>
      <c r="U972" s="40">
        <v>400010.35569563298</v>
      </c>
      <c r="V972" s="40">
        <v>0</v>
      </c>
      <c r="W972" s="45">
        <f t="shared" si="52"/>
        <v>1474920.355695633</v>
      </c>
      <c r="X972" s="46">
        <f t="shared" si="53"/>
        <v>10.992854391988455</v>
      </c>
    </row>
    <row r="973" spans="1:24" s="4" customFormat="1" ht="15" customHeight="1">
      <c r="A973" s="28" t="s">
        <v>1109</v>
      </c>
      <c r="B973" s="29">
        <v>3106.0650000000001</v>
      </c>
      <c r="C973" s="30" t="s">
        <v>1507</v>
      </c>
      <c r="D973" s="2">
        <v>4948773541</v>
      </c>
      <c r="E973" s="2" t="s">
        <v>6</v>
      </c>
      <c r="F973" s="2" t="s">
        <v>1508</v>
      </c>
      <c r="G973" s="28" t="s">
        <v>9</v>
      </c>
      <c r="H973" s="2" t="s">
        <v>23</v>
      </c>
      <c r="I973" s="2">
        <v>2</v>
      </c>
      <c r="J973" s="2"/>
      <c r="K973" s="2">
        <v>11620</v>
      </c>
      <c r="L973" s="35">
        <f t="shared" si="51"/>
        <v>36092475.299999997</v>
      </c>
      <c r="M973" s="36">
        <v>1540</v>
      </c>
      <c r="N973" s="40">
        <v>764786</v>
      </c>
      <c r="O973" s="40">
        <v>880</v>
      </c>
      <c r="P973" s="40">
        <v>17137</v>
      </c>
      <c r="Q973" s="40">
        <v>27294</v>
      </c>
      <c r="R973" s="40">
        <v>30990</v>
      </c>
      <c r="S973" s="40">
        <v>354356</v>
      </c>
      <c r="T973" s="40"/>
      <c r="U973" s="40">
        <v>252200</v>
      </c>
      <c r="V973" s="40">
        <v>0</v>
      </c>
      <c r="W973" s="45">
        <f t="shared" si="52"/>
        <v>1447643</v>
      </c>
      <c r="X973" s="46">
        <f t="shared" si="53"/>
        <v>4.0109274522382234</v>
      </c>
    </row>
    <row r="974" spans="1:24" s="4" customFormat="1" ht="15" customHeight="1">
      <c r="A974" s="28" t="s">
        <v>1109</v>
      </c>
      <c r="B974" s="29">
        <v>3106.0650000000001</v>
      </c>
      <c r="C974" s="30" t="s">
        <v>1509</v>
      </c>
      <c r="D974" s="2">
        <v>4946611854</v>
      </c>
      <c r="E974" s="2" t="s">
        <v>6</v>
      </c>
      <c r="F974" s="2" t="s">
        <v>1510</v>
      </c>
      <c r="G974" s="28" t="s">
        <v>5</v>
      </c>
      <c r="H974" s="2" t="s">
        <v>1511</v>
      </c>
      <c r="I974" s="2" t="s">
        <v>1512</v>
      </c>
      <c r="J974" s="2" t="s">
        <v>1513</v>
      </c>
      <c r="K974" s="2">
        <v>10411.200000000001</v>
      </c>
      <c r="L974" s="35">
        <f t="shared" si="51"/>
        <v>32337863.928000003</v>
      </c>
      <c r="M974" s="36">
        <v>1584</v>
      </c>
      <c r="N974" s="40">
        <v>45801.595735228802</v>
      </c>
      <c r="O974" s="40">
        <v>53475.689027099099</v>
      </c>
      <c r="P974" s="40">
        <v>0</v>
      </c>
      <c r="Q974" s="40">
        <v>15882.4771212794</v>
      </c>
      <c r="R974" s="40">
        <f>71181.8996001777+25589</f>
        <v>96770.899600177698</v>
      </c>
      <c r="S974" s="40">
        <v>11334.354509107099</v>
      </c>
      <c r="T974" s="37">
        <v>30000</v>
      </c>
      <c r="U974" s="40">
        <v>142288.76055086599</v>
      </c>
      <c r="V974" s="40">
        <v>0</v>
      </c>
      <c r="W974" s="45">
        <f t="shared" si="52"/>
        <v>395553.77654375811</v>
      </c>
      <c r="X974" s="46">
        <f t="shared" si="53"/>
        <v>1.2231908001853662</v>
      </c>
    </row>
    <row r="975" spans="1:24" s="4" customFormat="1" ht="15" customHeight="1">
      <c r="A975" s="28" t="s">
        <v>1109</v>
      </c>
      <c r="B975" s="29">
        <v>3106.0650000000001</v>
      </c>
      <c r="C975" s="30" t="s">
        <v>1509</v>
      </c>
      <c r="D975" s="2">
        <v>4947169232</v>
      </c>
      <c r="E975" s="2" t="s">
        <v>6</v>
      </c>
      <c r="F975" s="2" t="s">
        <v>1510</v>
      </c>
      <c r="G975" s="28" t="s">
        <v>5</v>
      </c>
      <c r="H975" s="2" t="s">
        <v>1511</v>
      </c>
      <c r="I975" s="2" t="s">
        <v>1512</v>
      </c>
      <c r="J975" s="2" t="s">
        <v>1513</v>
      </c>
      <c r="K975" s="2">
        <v>26028</v>
      </c>
      <c r="L975" s="35">
        <f t="shared" si="51"/>
        <v>80844659.820000008</v>
      </c>
      <c r="M975" s="36">
        <v>3960</v>
      </c>
      <c r="N975" s="40">
        <v>114503.989338072</v>
      </c>
      <c r="O975" s="40">
        <v>133689.22256774799</v>
      </c>
      <c r="P975" s="40">
        <v>0</v>
      </c>
      <c r="Q975" s="40">
        <v>39706.192803198603</v>
      </c>
      <c r="R975" s="40">
        <f>177954.749000444+63972</f>
        <v>241926.74900044399</v>
      </c>
      <c r="S975" s="40">
        <v>28335.886272767701</v>
      </c>
      <c r="T975" s="37">
        <v>30000</v>
      </c>
      <c r="U975" s="40">
        <v>355721.90137716598</v>
      </c>
      <c r="V975" s="40">
        <v>0</v>
      </c>
      <c r="W975" s="45">
        <f t="shared" si="52"/>
        <v>943883.94135939633</v>
      </c>
      <c r="X975" s="46">
        <f t="shared" si="53"/>
        <v>1.1675278781071581</v>
      </c>
    </row>
    <row r="976" spans="1:24" s="4" customFormat="1" ht="15" customHeight="1">
      <c r="A976" s="28" t="s">
        <v>1109</v>
      </c>
      <c r="B976" s="29">
        <v>3106.0650000000001</v>
      </c>
      <c r="C976" s="30" t="s">
        <v>1509</v>
      </c>
      <c r="D976" s="2">
        <v>4946611852</v>
      </c>
      <c r="E976" s="2" t="s">
        <v>6</v>
      </c>
      <c r="F976" s="2" t="s">
        <v>1510</v>
      </c>
      <c r="G976" s="28" t="s">
        <v>5</v>
      </c>
      <c r="H976" s="2" t="s">
        <v>1511</v>
      </c>
      <c r="I976" s="2" t="s">
        <v>1512</v>
      </c>
      <c r="J976" s="2" t="s">
        <v>1513</v>
      </c>
      <c r="K976" s="2">
        <v>30369.599999999999</v>
      </c>
      <c r="L976" s="35">
        <f t="shared" si="51"/>
        <v>94329951.623999998</v>
      </c>
      <c r="M976" s="36">
        <v>792</v>
      </c>
      <c r="N976" s="40">
        <v>22900.797867614401</v>
      </c>
      <c r="O976" s="40">
        <v>26737.844513549499</v>
      </c>
      <c r="P976" s="40">
        <v>0</v>
      </c>
      <c r="Q976" s="40">
        <v>7941.2385606397102</v>
      </c>
      <c r="R976" s="40">
        <f>35590.9498000888+12794</f>
        <v>48384.949800088798</v>
      </c>
      <c r="S976" s="40">
        <v>5667.1772545535296</v>
      </c>
      <c r="T976" s="37">
        <v>30000</v>
      </c>
      <c r="U976" s="40">
        <v>71144.380275433097</v>
      </c>
      <c r="V976" s="40">
        <v>0</v>
      </c>
      <c r="W976" s="45">
        <f t="shared" si="52"/>
        <v>212776.38827187903</v>
      </c>
      <c r="X976" s="46">
        <f t="shared" si="53"/>
        <v>0.22556609497692476</v>
      </c>
    </row>
    <row r="977" spans="1:24" s="4" customFormat="1" ht="15" customHeight="1">
      <c r="A977" s="28" t="s">
        <v>1109</v>
      </c>
      <c r="B977" s="29">
        <v>3106.0650000000001</v>
      </c>
      <c r="C977" s="30" t="s">
        <v>1509</v>
      </c>
      <c r="D977" s="2">
        <v>4947169231</v>
      </c>
      <c r="E977" s="2" t="s">
        <v>6</v>
      </c>
      <c r="F977" s="2" t="s">
        <v>1510</v>
      </c>
      <c r="G977" s="28" t="s">
        <v>5</v>
      </c>
      <c r="H977" s="2" t="s">
        <v>1511</v>
      </c>
      <c r="I977" s="2" t="s">
        <v>1512</v>
      </c>
      <c r="J977" s="2" t="s">
        <v>1513</v>
      </c>
      <c r="K977" s="2">
        <v>146832</v>
      </c>
      <c r="L977" s="35">
        <f t="shared" si="51"/>
        <v>456069736.07999998</v>
      </c>
      <c r="M977" s="36">
        <v>9240</v>
      </c>
      <c r="N977" s="40">
        <v>267175.97512216802</v>
      </c>
      <c r="O977" s="40">
        <v>311941.51932474499</v>
      </c>
      <c r="P977" s="40">
        <v>0</v>
      </c>
      <c r="Q977" s="40">
        <v>92647.783207463304</v>
      </c>
      <c r="R977" s="40">
        <f>415227.747667703+149267</f>
        <v>564494.74766770308</v>
      </c>
      <c r="S977" s="40">
        <v>66117.067969791198</v>
      </c>
      <c r="T977" s="37">
        <v>30000</v>
      </c>
      <c r="U977" s="40">
        <v>830017.76988005301</v>
      </c>
      <c r="V977" s="40">
        <v>0</v>
      </c>
      <c r="W977" s="45">
        <f t="shared" si="52"/>
        <v>2162394.8631719234</v>
      </c>
      <c r="X977" s="46">
        <f t="shared" si="53"/>
        <v>0.47413689006380688</v>
      </c>
    </row>
    <row r="978" spans="1:24" s="4" customFormat="1" ht="15" customHeight="1">
      <c r="A978" s="28" t="s">
        <v>1109</v>
      </c>
      <c r="B978" s="29">
        <v>3106.0650000000001</v>
      </c>
      <c r="C978" s="30" t="s">
        <v>1509</v>
      </c>
      <c r="D978" s="2">
        <v>4947169235</v>
      </c>
      <c r="E978" s="2" t="s">
        <v>6</v>
      </c>
      <c r="F978" s="2" t="s">
        <v>1510</v>
      </c>
      <c r="G978" s="28" t="s">
        <v>5</v>
      </c>
      <c r="H978" s="2" t="s">
        <v>1511</v>
      </c>
      <c r="I978" s="2" t="s">
        <v>1512</v>
      </c>
      <c r="J978" s="2" t="s">
        <v>1513</v>
      </c>
      <c r="K978" s="2">
        <v>54808</v>
      </c>
      <c r="L978" s="35">
        <f t="shared" si="51"/>
        <v>170237210.52000001</v>
      </c>
      <c r="M978" s="36">
        <v>11440</v>
      </c>
      <c r="N978" s="40">
        <v>330789.30253220798</v>
      </c>
      <c r="O978" s="40">
        <v>386213.30964016001</v>
      </c>
      <c r="P978" s="40">
        <v>0</v>
      </c>
      <c r="Q978" s="40">
        <v>114706.77920924001</v>
      </c>
      <c r="R978" s="40">
        <f>514091.497112394+184807</f>
        <v>698898.49711239408</v>
      </c>
      <c r="S978" s="40">
        <v>81859.227010217699</v>
      </c>
      <c r="T978" s="37">
        <v>30000</v>
      </c>
      <c r="U978" s="40">
        <v>1027641.0484229201</v>
      </c>
      <c r="V978" s="40">
        <v>0</v>
      </c>
      <c r="W978" s="45">
        <f t="shared" si="52"/>
        <v>2670108.1639271397</v>
      </c>
      <c r="X978" s="46">
        <f t="shared" si="53"/>
        <v>1.5684632964621132</v>
      </c>
    </row>
    <row r="979" spans="1:24" s="4" customFormat="1" ht="15" customHeight="1">
      <c r="A979" s="28" t="s">
        <v>1109</v>
      </c>
      <c r="B979" s="29">
        <v>3106.0650000000001</v>
      </c>
      <c r="C979" s="30" t="s">
        <v>1509</v>
      </c>
      <c r="D979" s="2">
        <v>4946611856</v>
      </c>
      <c r="E979" s="2" t="s">
        <v>6</v>
      </c>
      <c r="F979" s="2" t="s">
        <v>1510</v>
      </c>
      <c r="G979" s="28" t="s">
        <v>5</v>
      </c>
      <c r="H979" s="2" t="s">
        <v>1511</v>
      </c>
      <c r="I979" s="2" t="s">
        <v>1512</v>
      </c>
      <c r="J979" s="2" t="s">
        <v>1513</v>
      </c>
      <c r="K979" s="2">
        <v>83970</v>
      </c>
      <c r="L979" s="35">
        <f t="shared" si="51"/>
        <v>260816278.05000001</v>
      </c>
      <c r="M979" s="36">
        <v>14850</v>
      </c>
      <c r="N979" s="40">
        <v>429389.96001777</v>
      </c>
      <c r="O979" s="40">
        <v>501334.58462905401</v>
      </c>
      <c r="P979" s="40">
        <v>0</v>
      </c>
      <c r="Q979" s="40">
        <v>148898.223011995</v>
      </c>
      <c r="R979" s="40">
        <f>667330.308751666+239893</f>
        <v>907223.30875166599</v>
      </c>
      <c r="S979" s="40">
        <v>106259.573522879</v>
      </c>
      <c r="T979" s="37">
        <v>30000</v>
      </c>
      <c r="U979" s="40">
        <v>1333957.1301643699</v>
      </c>
      <c r="V979" s="40">
        <v>0</v>
      </c>
      <c r="W979" s="45">
        <f t="shared" si="52"/>
        <v>3457062.7800977342</v>
      </c>
      <c r="X979" s="46">
        <f t="shared" si="53"/>
        <v>1.3254781511125602</v>
      </c>
    </row>
    <row r="980" spans="1:24" s="4" customFormat="1" ht="15" customHeight="1">
      <c r="A980" s="28" t="s">
        <v>1109</v>
      </c>
      <c r="B980" s="29">
        <v>3106.0650000000001</v>
      </c>
      <c r="C980" s="30" t="s">
        <v>1509</v>
      </c>
      <c r="D980" s="2">
        <v>4946581605</v>
      </c>
      <c r="E980" s="2" t="s">
        <v>6</v>
      </c>
      <c r="F980" s="2" t="s">
        <v>1510</v>
      </c>
      <c r="G980" s="28" t="s">
        <v>5</v>
      </c>
      <c r="H980" s="2" t="s">
        <v>1511</v>
      </c>
      <c r="I980" s="2" t="s">
        <v>1512</v>
      </c>
      <c r="J980" s="2" t="s">
        <v>1513</v>
      </c>
      <c r="K980" s="2">
        <v>18878.400000000001</v>
      </c>
      <c r="L980" s="35">
        <f t="shared" si="51"/>
        <v>58637537.496000007</v>
      </c>
      <c r="M980" s="36">
        <v>1188</v>
      </c>
      <c r="N980" s="40">
        <v>34351.196801421604</v>
      </c>
      <c r="O980" s="40">
        <v>40106.766770324299</v>
      </c>
      <c r="P980" s="40">
        <v>0</v>
      </c>
      <c r="Q980" s="40">
        <v>11911.857840959599</v>
      </c>
      <c r="R980" s="40">
        <f>53386.4247001333+19191</f>
        <v>72577.424700133299</v>
      </c>
      <c r="S980" s="40">
        <v>8500.7658818303007</v>
      </c>
      <c r="T980" s="37">
        <v>30000</v>
      </c>
      <c r="U980" s="40">
        <v>106716.57041315</v>
      </c>
      <c r="V980" s="40">
        <v>0</v>
      </c>
      <c r="W980" s="45">
        <f t="shared" si="52"/>
        <v>304164.58240781911</v>
      </c>
      <c r="X980" s="46">
        <f t="shared" si="53"/>
        <v>0.51871991116367711</v>
      </c>
    </row>
    <row r="981" spans="1:24" s="4" customFormat="1" ht="15" customHeight="1">
      <c r="A981" s="28" t="s">
        <v>1109</v>
      </c>
      <c r="B981" s="29">
        <v>3106.0650000000001</v>
      </c>
      <c r="C981" s="30" t="s">
        <v>1509</v>
      </c>
      <c r="D981" s="2">
        <v>4946581603</v>
      </c>
      <c r="E981" s="2" t="s">
        <v>6</v>
      </c>
      <c r="F981" s="2" t="s">
        <v>1510</v>
      </c>
      <c r="G981" s="28" t="s">
        <v>5</v>
      </c>
      <c r="H981" s="2" t="s">
        <v>1511</v>
      </c>
      <c r="I981" s="2" t="s">
        <v>1512</v>
      </c>
      <c r="J981" s="2" t="s">
        <v>1513</v>
      </c>
      <c r="K981" s="2">
        <v>102782.39999999999</v>
      </c>
      <c r="L981" s="35">
        <f t="shared" si="51"/>
        <v>319248815.25599998</v>
      </c>
      <c r="M981" s="36">
        <v>6468</v>
      </c>
      <c r="N981" s="40">
        <v>187023.18258551799</v>
      </c>
      <c r="O981" s="40">
        <v>218359.06352732101</v>
      </c>
      <c r="P981" s="40">
        <v>0</v>
      </c>
      <c r="Q981" s="40">
        <v>64853.448245224303</v>
      </c>
      <c r="R981" s="40">
        <f>290659.423367392+104487</f>
        <v>395146.42336739198</v>
      </c>
      <c r="S981" s="40">
        <v>46281.947578853797</v>
      </c>
      <c r="T981" s="37">
        <v>30000</v>
      </c>
      <c r="U981" s="40">
        <v>581012.43891603698</v>
      </c>
      <c r="V981" s="40">
        <v>0</v>
      </c>
      <c r="W981" s="45">
        <f t="shared" si="52"/>
        <v>1522676.504220346</v>
      </c>
      <c r="X981" s="46">
        <f t="shared" si="53"/>
        <v>0.47695603913184098</v>
      </c>
    </row>
    <row r="982" spans="1:24" s="4" customFormat="1" ht="15" customHeight="1">
      <c r="A982" s="28" t="s">
        <v>1109</v>
      </c>
      <c r="B982" s="29">
        <v>3106.0650000000001</v>
      </c>
      <c r="C982" s="30" t="s">
        <v>1514</v>
      </c>
      <c r="D982" s="2">
        <v>4941326582</v>
      </c>
      <c r="E982" s="2" t="s">
        <v>6</v>
      </c>
      <c r="F982" s="2" t="s">
        <v>1515</v>
      </c>
      <c r="G982" s="28" t="s">
        <v>5</v>
      </c>
      <c r="H982" s="2" t="s">
        <v>17</v>
      </c>
      <c r="I982" s="2">
        <v>1</v>
      </c>
      <c r="J982" s="2" t="s">
        <v>1516</v>
      </c>
      <c r="K982" s="2">
        <v>13051.5</v>
      </c>
      <c r="L982" s="35">
        <f t="shared" si="51"/>
        <v>40538807.347500004</v>
      </c>
      <c r="M982" s="36">
        <v>5775</v>
      </c>
      <c r="N982" s="40">
        <v>290967.77566539898</v>
      </c>
      <c r="O982" s="40">
        <v>319337.11026615999</v>
      </c>
      <c r="P982" s="40">
        <v>0</v>
      </c>
      <c r="Q982" s="40">
        <v>77880.627376425895</v>
      </c>
      <c r="R982" s="40">
        <f>407645.36121673+125475</f>
        <v>533120.36121672997</v>
      </c>
      <c r="S982" s="40">
        <v>222314.600760456</v>
      </c>
      <c r="T982" s="37">
        <v>30000</v>
      </c>
      <c r="U982" s="40">
        <v>2140294.6768060802</v>
      </c>
      <c r="V982" s="40">
        <v>0</v>
      </c>
      <c r="W982" s="45">
        <f t="shared" si="52"/>
        <v>3613915.1520912508</v>
      </c>
      <c r="X982" s="46">
        <f t="shared" si="53"/>
        <v>8.9147051641471595</v>
      </c>
    </row>
    <row r="983" spans="1:24" s="4" customFormat="1" ht="15" customHeight="1">
      <c r="A983" s="28" t="s">
        <v>1109</v>
      </c>
      <c r="B983" s="29">
        <v>3106.0650000000001</v>
      </c>
      <c r="C983" s="30" t="s">
        <v>1514</v>
      </c>
      <c r="D983" s="2">
        <v>4946611863</v>
      </c>
      <c r="E983" s="2" t="s">
        <v>6</v>
      </c>
      <c r="F983" s="2" t="s">
        <v>1515</v>
      </c>
      <c r="G983" s="28" t="s">
        <v>5</v>
      </c>
      <c r="H983" s="2" t="s">
        <v>17</v>
      </c>
      <c r="I983" s="2">
        <v>1</v>
      </c>
      <c r="J983" s="2" t="s">
        <v>1516</v>
      </c>
      <c r="K983" s="2">
        <v>10564.4</v>
      </c>
      <c r="L983" s="35">
        <f t="shared" si="51"/>
        <v>32813713.085999999</v>
      </c>
      <c r="M983" s="36">
        <v>3430</v>
      </c>
      <c r="N983" s="40">
        <v>172817.22433460099</v>
      </c>
      <c r="O983" s="40">
        <v>189666.88973384001</v>
      </c>
      <c r="P983" s="40">
        <v>0</v>
      </c>
      <c r="Q983" s="40">
        <v>46256.372623574098</v>
      </c>
      <c r="R983" s="40">
        <f>242116.63878327+74525</f>
        <v>316641.63878327003</v>
      </c>
      <c r="S983" s="40">
        <v>132041.399239544</v>
      </c>
      <c r="T983" s="37">
        <v>30000</v>
      </c>
      <c r="U983" s="40">
        <v>1271205.3231939201</v>
      </c>
      <c r="V983" s="40">
        <v>0</v>
      </c>
      <c r="W983" s="45">
        <f t="shared" si="52"/>
        <v>2158628.8479087492</v>
      </c>
      <c r="X983" s="46">
        <f t="shared" si="53"/>
        <v>6.5784351872989655</v>
      </c>
    </row>
    <row r="984" spans="1:24" s="4" customFormat="1" ht="15" customHeight="1">
      <c r="A984" s="28" t="s">
        <v>1109</v>
      </c>
      <c r="B984" s="29">
        <v>3106.0650000000001</v>
      </c>
      <c r="C984" s="30" t="s">
        <v>1517</v>
      </c>
      <c r="D984" s="2">
        <v>4948776527</v>
      </c>
      <c r="E984" s="2" t="s">
        <v>14</v>
      </c>
      <c r="F984" s="2" t="s">
        <v>1518</v>
      </c>
      <c r="G984" s="28" t="s">
        <v>5</v>
      </c>
      <c r="H984" s="2" t="s">
        <v>20</v>
      </c>
      <c r="I984" s="2">
        <v>1</v>
      </c>
      <c r="J984" s="2" t="s">
        <v>1519</v>
      </c>
      <c r="K984" s="2">
        <v>36842.400000000001</v>
      </c>
      <c r="L984" s="35">
        <f t="shared" si="51"/>
        <v>114434889.156</v>
      </c>
      <c r="M984" s="36">
        <v>15480</v>
      </c>
      <c r="N984" s="40">
        <v>318244</v>
      </c>
      <c r="O984" s="40">
        <v>311327</v>
      </c>
      <c r="P984" s="40">
        <v>0</v>
      </c>
      <c r="Q984" s="40">
        <v>99309</v>
      </c>
      <c r="R984" s="40">
        <v>534710</v>
      </c>
      <c r="S984" s="40">
        <v>354356</v>
      </c>
      <c r="T984" s="37">
        <v>30000</v>
      </c>
      <c r="U984" s="40">
        <v>4529900</v>
      </c>
      <c r="V984" s="40">
        <v>0</v>
      </c>
      <c r="W984" s="45">
        <f t="shared" si="52"/>
        <v>6177846</v>
      </c>
      <c r="X984" s="46">
        <f t="shared" si="53"/>
        <v>5.3985686057494524</v>
      </c>
    </row>
    <row r="985" spans="1:24" s="4" customFormat="1" ht="15" customHeight="1">
      <c r="A985" s="28" t="s">
        <v>1109</v>
      </c>
      <c r="B985" s="29">
        <v>3106.0650000000001</v>
      </c>
      <c r="C985" s="30" t="s">
        <v>1520</v>
      </c>
      <c r="D985" s="2">
        <v>4948892056</v>
      </c>
      <c r="E985" s="2" t="s">
        <v>36</v>
      </c>
      <c r="F985" s="2" t="s">
        <v>1521</v>
      </c>
      <c r="G985" s="28" t="s">
        <v>5</v>
      </c>
      <c r="H985" s="2" t="s">
        <v>20</v>
      </c>
      <c r="I985" s="2">
        <v>1</v>
      </c>
      <c r="J985" s="2" t="s">
        <v>1522</v>
      </c>
      <c r="K985" s="2">
        <v>34600</v>
      </c>
      <c r="L985" s="35">
        <f t="shared" si="51"/>
        <v>107469849</v>
      </c>
      <c r="M985" s="36">
        <v>20000</v>
      </c>
      <c r="N985" s="40">
        <v>318244</v>
      </c>
      <c r="O985" s="40">
        <v>311327</v>
      </c>
      <c r="P985" s="40">
        <v>0</v>
      </c>
      <c r="Q985" s="40">
        <v>99309</v>
      </c>
      <c r="R985" s="40">
        <v>532238</v>
      </c>
      <c r="S985" s="40">
        <v>354356</v>
      </c>
      <c r="T985" s="40"/>
      <c r="U985" s="40">
        <v>519300</v>
      </c>
      <c r="V985" s="40">
        <v>0</v>
      </c>
      <c r="W985" s="45">
        <f t="shared" si="52"/>
        <v>2134774</v>
      </c>
      <c r="X985" s="46">
        <f t="shared" si="53"/>
        <v>1.9863934116070081</v>
      </c>
    </row>
    <row r="986" spans="1:24" s="4" customFormat="1" ht="15" customHeight="1">
      <c r="A986" s="28" t="s">
        <v>1109</v>
      </c>
      <c r="B986" s="29">
        <v>3106.0650000000001</v>
      </c>
      <c r="C986" s="30" t="s">
        <v>1523</v>
      </c>
      <c r="D986" s="2">
        <v>4949192130</v>
      </c>
      <c r="E986" s="2" t="s">
        <v>14</v>
      </c>
      <c r="F986" s="2" t="s">
        <v>1524</v>
      </c>
      <c r="G986" s="28" t="s">
        <v>5</v>
      </c>
      <c r="H986" s="2" t="s">
        <v>17</v>
      </c>
      <c r="I986" s="2">
        <v>2</v>
      </c>
      <c r="J986" s="2" t="s">
        <v>1525</v>
      </c>
      <c r="K986" s="2">
        <f>40843+56880+15879</f>
        <v>113602</v>
      </c>
      <c r="L986" s="35">
        <f t="shared" si="51"/>
        <v>352855196.13</v>
      </c>
      <c r="M986" s="36">
        <f>12925+18000+5025</f>
        <v>35950</v>
      </c>
      <c r="N986" s="40">
        <v>636488</v>
      </c>
      <c r="O986" s="40">
        <v>816849</v>
      </c>
      <c r="P986" s="40">
        <v>0</v>
      </c>
      <c r="Q986" s="40">
        <v>198619</v>
      </c>
      <c r="R986" s="40">
        <v>1259480</v>
      </c>
      <c r="S986" s="40">
        <v>354356</v>
      </c>
      <c r="T986" s="37">
        <v>30000</v>
      </c>
      <c r="U986" s="40">
        <v>10893100</v>
      </c>
      <c r="V986" s="40">
        <v>0</v>
      </c>
      <c r="W986" s="45">
        <f t="shared" si="52"/>
        <v>14188892</v>
      </c>
      <c r="X986" s="46">
        <f t="shared" si="53"/>
        <v>4.0211656667151603</v>
      </c>
    </row>
    <row r="987" spans="1:24" s="4" customFormat="1" ht="15" customHeight="1">
      <c r="A987" s="28" t="s">
        <v>1109</v>
      </c>
      <c r="B987" s="29">
        <v>3106.0650000000001</v>
      </c>
      <c r="C987" s="30" t="s">
        <v>1526</v>
      </c>
      <c r="D987" s="2">
        <v>4949192138</v>
      </c>
      <c r="E987" s="2" t="s">
        <v>14</v>
      </c>
      <c r="F987" s="2" t="s">
        <v>1527</v>
      </c>
      <c r="G987" s="28" t="s">
        <v>5</v>
      </c>
      <c r="H987" s="2" t="s">
        <v>17</v>
      </c>
      <c r="I987" s="2">
        <v>1</v>
      </c>
      <c r="J987" s="2" t="s">
        <v>1528</v>
      </c>
      <c r="K987" s="2">
        <v>6732</v>
      </c>
      <c r="L987" s="35">
        <f t="shared" si="51"/>
        <v>20910029.580000002</v>
      </c>
      <c r="M987" s="36">
        <v>1800</v>
      </c>
      <c r="N987" s="40">
        <v>29467.037037037</v>
      </c>
      <c r="O987" s="40">
        <v>37817.037037037</v>
      </c>
      <c r="P987" s="40">
        <v>0</v>
      </c>
      <c r="Q987" s="40">
        <v>9195.2777777777792</v>
      </c>
      <c r="R987" s="40">
        <v>59529.185185185197</v>
      </c>
      <c r="S987" s="40">
        <v>32810.740740740701</v>
      </c>
      <c r="T987" s="37">
        <v>30000</v>
      </c>
      <c r="U987" s="40">
        <v>522273.14814814797</v>
      </c>
      <c r="V987" s="40">
        <v>0</v>
      </c>
      <c r="W987" s="45">
        <f t="shared" si="52"/>
        <v>721092.42592592561</v>
      </c>
      <c r="X987" s="46">
        <f t="shared" si="53"/>
        <v>3.4485480910827362</v>
      </c>
    </row>
    <row r="988" spans="1:24" s="4" customFormat="1" ht="15" customHeight="1">
      <c r="A988" s="28" t="s">
        <v>1109</v>
      </c>
      <c r="B988" s="29">
        <v>3106.0650000000001</v>
      </c>
      <c r="C988" s="30" t="s">
        <v>1526</v>
      </c>
      <c r="D988" s="2">
        <v>4948772936</v>
      </c>
      <c r="E988" s="2" t="s">
        <v>14</v>
      </c>
      <c r="F988" s="78" t="s">
        <v>1527</v>
      </c>
      <c r="G988" s="28" t="s">
        <v>5</v>
      </c>
      <c r="H988" s="2" t="s">
        <v>17</v>
      </c>
      <c r="I988" s="2">
        <v>1</v>
      </c>
      <c r="J988" s="2" t="s">
        <v>1528</v>
      </c>
      <c r="K988" s="2">
        <v>3259.2</v>
      </c>
      <c r="L988" s="35">
        <f t="shared" si="51"/>
        <v>10123287.048</v>
      </c>
      <c r="M988" s="36">
        <v>840</v>
      </c>
      <c r="N988" s="40">
        <v>13751.2839506173</v>
      </c>
      <c r="O988" s="40">
        <v>17647.950617284001</v>
      </c>
      <c r="P988" s="40">
        <v>0</v>
      </c>
      <c r="Q988" s="40">
        <v>4291.1296296296296</v>
      </c>
      <c r="R988" s="40">
        <f>22946.0864197531+4834</f>
        <v>27780.086419753101</v>
      </c>
      <c r="S988" s="40">
        <v>15311.679012345699</v>
      </c>
      <c r="T988" s="37">
        <v>30000</v>
      </c>
      <c r="U988" s="40">
        <v>243727.46913580201</v>
      </c>
      <c r="V988" s="40">
        <v>0</v>
      </c>
      <c r="W988" s="45">
        <f t="shared" si="52"/>
        <v>352509.59876543173</v>
      </c>
      <c r="X988" s="46">
        <f t="shared" si="53"/>
        <v>3.4821653983927585</v>
      </c>
    </row>
    <row r="989" spans="1:24" s="4" customFormat="1" ht="15" customHeight="1">
      <c r="A989" s="28" t="s">
        <v>1109</v>
      </c>
      <c r="B989" s="29">
        <v>3106.0650000000001</v>
      </c>
      <c r="C989" s="30" t="s">
        <v>1526</v>
      </c>
      <c r="D989" s="2">
        <v>4948772936</v>
      </c>
      <c r="E989" s="2" t="s">
        <v>14</v>
      </c>
      <c r="F989" s="2" t="s">
        <v>1527</v>
      </c>
      <c r="G989" s="28" t="s">
        <v>5</v>
      </c>
      <c r="H989" s="2" t="s">
        <v>17</v>
      </c>
      <c r="I989" s="2">
        <v>1</v>
      </c>
      <c r="J989" s="2" t="s">
        <v>1528</v>
      </c>
      <c r="K989" s="2">
        <v>4000.5</v>
      </c>
      <c r="L989" s="35">
        <f t="shared" si="51"/>
        <v>12425813.032500001</v>
      </c>
      <c r="M989" s="36">
        <v>1050</v>
      </c>
      <c r="N989" s="40">
        <v>17189.104938271601</v>
      </c>
      <c r="O989" s="40">
        <v>22059.9382716049</v>
      </c>
      <c r="P989" s="40">
        <v>0</v>
      </c>
      <c r="Q989" s="40">
        <v>5363.9120370370401</v>
      </c>
      <c r="R989" s="40">
        <f>28682.6080246914+6043</f>
        <v>34725.608024691399</v>
      </c>
      <c r="S989" s="40">
        <v>19139.5987654321</v>
      </c>
      <c r="T989" s="37">
        <v>30000</v>
      </c>
      <c r="U989" s="40">
        <v>304659.33641975297</v>
      </c>
      <c r="V989" s="40">
        <v>0</v>
      </c>
      <c r="W989" s="45">
        <f t="shared" si="52"/>
        <v>433137.49845679</v>
      </c>
      <c r="X989" s="46">
        <f t="shared" si="53"/>
        <v>3.4857879908856573</v>
      </c>
    </row>
    <row r="990" spans="1:24" s="4" customFormat="1" ht="15" customHeight="1">
      <c r="A990" s="28" t="s">
        <v>1109</v>
      </c>
      <c r="B990" s="29">
        <v>3106.0650000000001</v>
      </c>
      <c r="C990" s="30" t="s">
        <v>1526</v>
      </c>
      <c r="D990" s="2">
        <v>4948952402</v>
      </c>
      <c r="E990" s="2" t="s">
        <v>14</v>
      </c>
      <c r="F990" s="2" t="s">
        <v>1527</v>
      </c>
      <c r="G990" s="28" t="s">
        <v>5</v>
      </c>
      <c r="H990" s="2" t="s">
        <v>17</v>
      </c>
      <c r="I990" s="2">
        <v>1</v>
      </c>
      <c r="J990" s="2" t="s">
        <v>1528</v>
      </c>
      <c r="K990" s="2">
        <v>37800</v>
      </c>
      <c r="L990" s="35">
        <f t="shared" si="51"/>
        <v>117409257</v>
      </c>
      <c r="M990" s="36">
        <v>9000</v>
      </c>
      <c r="N990" s="40">
        <v>147335.18518518499</v>
      </c>
      <c r="O990" s="40">
        <v>189085.18518518499</v>
      </c>
      <c r="P990" s="40">
        <v>0</v>
      </c>
      <c r="Q990" s="40">
        <v>45976.388888888898</v>
      </c>
      <c r="R990" s="40">
        <v>297644.92592592601</v>
      </c>
      <c r="S990" s="40">
        <v>164053.703703704</v>
      </c>
      <c r="T990" s="37">
        <v>30000</v>
      </c>
      <c r="U990" s="40">
        <v>2611365.7407407402</v>
      </c>
      <c r="V990" s="40">
        <v>0</v>
      </c>
      <c r="W990" s="45">
        <f t="shared" si="52"/>
        <v>3485461.1296296292</v>
      </c>
      <c r="X990" s="46">
        <f t="shared" si="53"/>
        <v>2.9686425233315541</v>
      </c>
    </row>
    <row r="991" spans="1:24" s="4" customFormat="1" ht="15" customHeight="1">
      <c r="A991" s="28" t="s">
        <v>1109</v>
      </c>
      <c r="B991" s="29">
        <v>3106.0650000000001</v>
      </c>
      <c r="C991" s="30" t="s">
        <v>1526</v>
      </c>
      <c r="D991" s="2">
        <v>4949414670</v>
      </c>
      <c r="E991" s="2" t="s">
        <v>14</v>
      </c>
      <c r="F991" s="2" t="s">
        <v>1527</v>
      </c>
      <c r="G991" s="28" t="s">
        <v>5</v>
      </c>
      <c r="H991" s="2" t="s">
        <v>17</v>
      </c>
      <c r="I991" s="2">
        <v>1</v>
      </c>
      <c r="J991" s="2" t="s">
        <v>1528</v>
      </c>
      <c r="K991" s="2">
        <v>28350</v>
      </c>
      <c r="L991" s="35">
        <f t="shared" si="51"/>
        <v>88056942.75</v>
      </c>
      <c r="M991" s="36">
        <v>6750</v>
      </c>
      <c r="N991" s="40">
        <v>110501.38888888901</v>
      </c>
      <c r="O991" s="40">
        <v>141813.88888888899</v>
      </c>
      <c r="P991" s="40">
        <v>0</v>
      </c>
      <c r="Q991" s="40">
        <v>34482.291666666701</v>
      </c>
      <c r="R991" s="40">
        <f>184388.194444444+38845</f>
        <v>223233.194444444</v>
      </c>
      <c r="S991" s="40">
        <v>123040.277777778</v>
      </c>
      <c r="T991" s="37">
        <v>30000</v>
      </c>
      <c r="U991" s="40">
        <v>1958524.3055555599</v>
      </c>
      <c r="V991" s="40">
        <v>0</v>
      </c>
      <c r="W991" s="45">
        <f t="shared" si="52"/>
        <v>2621595.3472222267</v>
      </c>
      <c r="X991" s="46">
        <f t="shared" si="53"/>
        <v>2.9771591714978394</v>
      </c>
    </row>
    <row r="992" spans="1:24" s="4" customFormat="1" ht="15" customHeight="1">
      <c r="A992" s="28" t="s">
        <v>1109</v>
      </c>
      <c r="B992" s="29">
        <v>3106.0650000000001</v>
      </c>
      <c r="C992" s="30" t="s">
        <v>1529</v>
      </c>
      <c r="D992" s="2">
        <v>4949336171</v>
      </c>
      <c r="E992" s="2" t="s">
        <v>18</v>
      </c>
      <c r="F992" s="78" t="s">
        <v>1530</v>
      </c>
      <c r="G992" s="28" t="s">
        <v>5</v>
      </c>
      <c r="H992" s="2" t="s">
        <v>20</v>
      </c>
      <c r="I992" s="2">
        <v>2</v>
      </c>
      <c r="J992" s="2" t="s">
        <v>1531</v>
      </c>
      <c r="K992" s="2">
        <v>18639</v>
      </c>
      <c r="L992" s="35">
        <f t="shared" si="51"/>
        <v>57893945.535000004</v>
      </c>
      <c r="M992" s="36">
        <v>17100</v>
      </c>
      <c r="N992" s="40">
        <v>463784</v>
      </c>
      <c r="O992" s="40">
        <v>311327</v>
      </c>
      <c r="P992" s="40">
        <v>0</v>
      </c>
      <c r="Q992" s="40">
        <v>99309.5</v>
      </c>
      <c r="R992" s="40">
        <f>523403+200000</f>
        <v>723403</v>
      </c>
      <c r="S992" s="40">
        <v>177178</v>
      </c>
      <c r="T992" s="37">
        <v>30000</v>
      </c>
      <c r="U992" s="40">
        <v>4413500</v>
      </c>
      <c r="V992" s="40">
        <v>0</v>
      </c>
      <c r="W992" s="45">
        <f t="shared" si="52"/>
        <v>6218501.5</v>
      </c>
      <c r="X992" s="46">
        <f t="shared" si="53"/>
        <v>10.741194856447608</v>
      </c>
    </row>
    <row r="993" spans="1:24" s="4" customFormat="1" ht="15" customHeight="1">
      <c r="A993" s="28" t="s">
        <v>1109</v>
      </c>
      <c r="B993" s="29">
        <v>3106.0650000000001</v>
      </c>
      <c r="C993" s="30" t="s">
        <v>1529</v>
      </c>
      <c r="D993" s="2">
        <v>4949336175</v>
      </c>
      <c r="E993" s="2" t="s">
        <v>18</v>
      </c>
      <c r="F993" s="78" t="s">
        <v>1530</v>
      </c>
      <c r="G993" s="28" t="s">
        <v>5</v>
      </c>
      <c r="H993" s="2" t="s">
        <v>20</v>
      </c>
      <c r="I993" s="2">
        <v>2</v>
      </c>
      <c r="J993" s="2" t="s">
        <v>1531</v>
      </c>
      <c r="K993" s="2">
        <v>18639</v>
      </c>
      <c r="L993" s="35">
        <f t="shared" si="51"/>
        <v>57893945.535000004</v>
      </c>
      <c r="M993" s="36">
        <v>17100</v>
      </c>
      <c r="N993" s="40">
        <v>463784</v>
      </c>
      <c r="O993" s="40">
        <v>311327</v>
      </c>
      <c r="P993" s="40">
        <v>0</v>
      </c>
      <c r="Q993" s="40">
        <v>99309.5</v>
      </c>
      <c r="R993" s="40">
        <f>523403+200000</f>
        <v>723403</v>
      </c>
      <c r="S993" s="40">
        <v>177178</v>
      </c>
      <c r="T993" s="37">
        <v>30000</v>
      </c>
      <c r="U993" s="40">
        <v>4413500</v>
      </c>
      <c r="V993" s="40">
        <v>0</v>
      </c>
      <c r="W993" s="45">
        <f t="shared" si="52"/>
        <v>6218501.5</v>
      </c>
      <c r="X993" s="46">
        <f t="shared" si="53"/>
        <v>10.741194856447608</v>
      </c>
    </row>
    <row r="994" spans="1:24" s="4" customFormat="1" ht="15" customHeight="1">
      <c r="A994" s="28" t="s">
        <v>1109</v>
      </c>
      <c r="B994" s="29">
        <v>3106.0650000000001</v>
      </c>
      <c r="C994" s="30" t="s">
        <v>1532</v>
      </c>
      <c r="D994" s="2">
        <v>4949192130</v>
      </c>
      <c r="E994" s="2" t="s">
        <v>14</v>
      </c>
      <c r="F994" s="78" t="s">
        <v>1533</v>
      </c>
      <c r="G994" s="28" t="s">
        <v>5</v>
      </c>
      <c r="H994" s="2" t="s">
        <v>17</v>
      </c>
      <c r="I994" s="2">
        <v>1</v>
      </c>
      <c r="J994" s="2" t="s">
        <v>1534</v>
      </c>
      <c r="K994" s="2">
        <v>56880</v>
      </c>
      <c r="L994" s="35">
        <f t="shared" si="51"/>
        <v>176672977.20000002</v>
      </c>
      <c r="M994" s="36">
        <v>18000</v>
      </c>
      <c r="N994" s="40">
        <v>318244</v>
      </c>
      <c r="O994" s="40">
        <v>408424</v>
      </c>
      <c r="P994" s="40">
        <v>0</v>
      </c>
      <c r="Q994" s="40">
        <v>99309</v>
      </c>
      <c r="R994" s="40">
        <v>630912</v>
      </c>
      <c r="S994" s="40">
        <v>354356</v>
      </c>
      <c r="T994" s="37">
        <v>30000</v>
      </c>
      <c r="U994" s="40">
        <v>5446550</v>
      </c>
      <c r="V994" s="40">
        <v>0</v>
      </c>
      <c r="W994" s="45">
        <f t="shared" si="52"/>
        <v>7287795</v>
      </c>
      <c r="X994" s="46">
        <f t="shared" si="53"/>
        <v>4.1250196354306974</v>
      </c>
    </row>
    <row r="995" spans="1:24" s="4" customFormat="1" ht="15" customHeight="1">
      <c r="A995" s="28" t="s">
        <v>1109</v>
      </c>
      <c r="B995" s="29">
        <v>3106.0650000000001</v>
      </c>
      <c r="C995" s="30" t="s">
        <v>1535</v>
      </c>
      <c r="D995" s="2">
        <v>4948774467</v>
      </c>
      <c r="E995" s="2" t="s">
        <v>14</v>
      </c>
      <c r="F995" s="2" t="s">
        <v>1536</v>
      </c>
      <c r="G995" s="28" t="s">
        <v>5</v>
      </c>
      <c r="H995" s="2" t="s">
        <v>17</v>
      </c>
      <c r="I995" s="2">
        <v>1</v>
      </c>
      <c r="J995" s="2" t="s">
        <v>1537</v>
      </c>
      <c r="K995" s="2">
        <v>9872.4</v>
      </c>
      <c r="L995" s="35">
        <f t="shared" si="51"/>
        <v>30664316.105999999</v>
      </c>
      <c r="M995" s="36">
        <v>2280</v>
      </c>
      <c r="N995" s="40">
        <v>86674.573770491799</v>
      </c>
      <c r="O995" s="40">
        <v>76328.419672131102</v>
      </c>
      <c r="P995" s="40">
        <v>0</v>
      </c>
      <c r="Q995" s="40">
        <v>18559.386885245902</v>
      </c>
      <c r="R995" s="40">
        <f>124794.86557377+37377</f>
        <v>162171.86557377002</v>
      </c>
      <c r="S995" s="40">
        <v>66223.908196721299</v>
      </c>
      <c r="T995" s="37">
        <v>30000</v>
      </c>
      <c r="U995" s="40">
        <v>1018786.2295082</v>
      </c>
      <c r="V995" s="40">
        <v>0</v>
      </c>
      <c r="W995" s="45">
        <f t="shared" si="52"/>
        <v>1458744.3836065601</v>
      </c>
      <c r="X995" s="46">
        <f t="shared" si="53"/>
        <v>4.7571397925979895</v>
      </c>
    </row>
    <row r="996" spans="1:24" s="4" customFormat="1" ht="15" customHeight="1">
      <c r="A996" s="28" t="s">
        <v>1109</v>
      </c>
      <c r="B996" s="29">
        <v>3106.0650000000001</v>
      </c>
      <c r="C996" s="30" t="s">
        <v>1535</v>
      </c>
      <c r="D996" s="2">
        <v>4948774467</v>
      </c>
      <c r="E996" s="2" t="s">
        <v>14</v>
      </c>
      <c r="F996" s="2" t="s">
        <v>1536</v>
      </c>
      <c r="G996" s="28" t="s">
        <v>5</v>
      </c>
      <c r="H996" s="2" t="s">
        <v>17</v>
      </c>
      <c r="I996" s="2">
        <v>1</v>
      </c>
      <c r="J996" s="2" t="s">
        <v>1537</v>
      </c>
      <c r="K996" s="2">
        <v>6166.4</v>
      </c>
      <c r="L996" s="35">
        <f t="shared" si="51"/>
        <v>19153239.215999998</v>
      </c>
      <c r="M996" s="36">
        <v>820</v>
      </c>
      <c r="N996" s="40">
        <v>31172.434426229502</v>
      </c>
      <c r="O996" s="40">
        <v>27451.449180327902</v>
      </c>
      <c r="P996" s="40">
        <v>0</v>
      </c>
      <c r="Q996" s="40">
        <v>6674.8672131147496</v>
      </c>
      <c r="R996" s="40">
        <f>44882.3639344262+13443</f>
        <v>58325.363934426197</v>
      </c>
      <c r="S996" s="40">
        <v>23817.3704918033</v>
      </c>
      <c r="T996" s="37">
        <v>30000</v>
      </c>
      <c r="U996" s="40">
        <v>366405.57377049199</v>
      </c>
      <c r="V996" s="40">
        <v>0</v>
      </c>
      <c r="W996" s="45">
        <f t="shared" si="52"/>
        <v>543847.05901639361</v>
      </c>
      <c r="X996" s="46">
        <f t="shared" si="53"/>
        <v>2.8394521306979827</v>
      </c>
    </row>
    <row r="997" spans="1:24" s="4" customFormat="1" ht="15" customHeight="1">
      <c r="A997" s="28" t="s">
        <v>1109</v>
      </c>
      <c r="B997" s="29">
        <v>3106.0650000000001</v>
      </c>
      <c r="C997" s="30" t="s">
        <v>1535</v>
      </c>
      <c r="D997" s="2">
        <v>4949331824</v>
      </c>
      <c r="E997" s="2" t="s">
        <v>14</v>
      </c>
      <c r="F997" s="2" t="s">
        <v>1536</v>
      </c>
      <c r="G997" s="28" t="s">
        <v>5</v>
      </c>
      <c r="H997" s="2" t="s">
        <v>17</v>
      </c>
      <c r="I997" s="2">
        <v>1</v>
      </c>
      <c r="J997" s="2" t="s">
        <v>1537</v>
      </c>
      <c r="K997" s="2">
        <v>2286</v>
      </c>
      <c r="L997" s="35">
        <f t="shared" si="51"/>
        <v>7100464.5899999999</v>
      </c>
      <c r="M997" s="36">
        <v>1800</v>
      </c>
      <c r="N997" s="40">
        <v>68427.295081967197</v>
      </c>
      <c r="O997" s="40">
        <v>60259.278688524602</v>
      </c>
      <c r="P997" s="40">
        <v>0</v>
      </c>
      <c r="Q997" s="40">
        <v>14652.1475409836</v>
      </c>
      <c r="R997" s="40">
        <f>98522.262295082+29508</f>
        <v>128030.26229508199</v>
      </c>
      <c r="S997" s="40">
        <v>52282.032786885196</v>
      </c>
      <c r="T997" s="37">
        <v>30000</v>
      </c>
      <c r="U997" s="40">
        <v>804304.91803278704</v>
      </c>
      <c r="V997" s="40">
        <v>0</v>
      </c>
      <c r="W997" s="45">
        <f t="shared" si="52"/>
        <v>1157955.9344262297</v>
      </c>
      <c r="X997" s="46">
        <f t="shared" si="53"/>
        <v>16.308171384405561</v>
      </c>
    </row>
    <row r="998" spans="1:24" s="4" customFormat="1" ht="15" customHeight="1">
      <c r="A998" s="28" t="s">
        <v>1109</v>
      </c>
      <c r="B998" s="29">
        <v>3106.0650000000001</v>
      </c>
      <c r="C998" s="30" t="s">
        <v>1535</v>
      </c>
      <c r="D998" s="2">
        <v>4949366040</v>
      </c>
      <c r="E998" s="2" t="s">
        <v>14</v>
      </c>
      <c r="F998" s="78" t="s">
        <v>1536</v>
      </c>
      <c r="G998" s="28" t="s">
        <v>5</v>
      </c>
      <c r="H998" s="2" t="s">
        <v>17</v>
      </c>
      <c r="I998" s="2">
        <v>1</v>
      </c>
      <c r="J998" s="2" t="s">
        <v>1537</v>
      </c>
      <c r="K998" s="2">
        <v>7686</v>
      </c>
      <c r="L998" s="35">
        <f t="shared" si="51"/>
        <v>23873215.59</v>
      </c>
      <c r="M998" s="36">
        <v>1575</v>
      </c>
      <c r="N998" s="40">
        <v>59873.883196721297</v>
      </c>
      <c r="O998" s="40">
        <v>52726.868852459003</v>
      </c>
      <c r="P998" s="40">
        <v>0</v>
      </c>
      <c r="Q998" s="40">
        <v>12820.6290983607</v>
      </c>
      <c r="R998" s="40">
        <f>86206.9795081967+25820</f>
        <v>112026.9795081967</v>
      </c>
      <c r="S998" s="40">
        <v>45746.778688524602</v>
      </c>
      <c r="T998" s="37">
        <v>30000</v>
      </c>
      <c r="U998" s="40">
        <v>703766.80327868904</v>
      </c>
      <c r="V998" s="40">
        <v>0</v>
      </c>
      <c r="W998" s="45">
        <f t="shared" si="52"/>
        <v>1016961.9426229513</v>
      </c>
      <c r="X998" s="46">
        <f t="shared" si="53"/>
        <v>4.2598448407131873</v>
      </c>
    </row>
    <row r="999" spans="1:24" s="4" customFormat="1" ht="15" customHeight="1">
      <c r="A999" s="28" t="s">
        <v>1109</v>
      </c>
      <c r="B999" s="29">
        <v>3106.0650000000001</v>
      </c>
      <c r="C999" s="30" t="s">
        <v>1535</v>
      </c>
      <c r="D999" s="2">
        <v>4948494948</v>
      </c>
      <c r="E999" s="2" t="s">
        <v>14</v>
      </c>
      <c r="F999" s="2" t="s">
        <v>1536</v>
      </c>
      <c r="G999" s="28" t="s">
        <v>5</v>
      </c>
      <c r="H999" s="2" t="s">
        <v>17</v>
      </c>
      <c r="I999" s="2">
        <v>1</v>
      </c>
      <c r="J999" s="2" t="s">
        <v>1537</v>
      </c>
      <c r="K999" s="2">
        <v>11067</v>
      </c>
      <c r="L999" s="35">
        <f t="shared" si="51"/>
        <v>34374821.355000004</v>
      </c>
      <c r="M999" s="36">
        <v>2100</v>
      </c>
      <c r="N999" s="40">
        <v>79831.844262295097</v>
      </c>
      <c r="O999" s="40">
        <v>70302.491803278695</v>
      </c>
      <c r="P999" s="40">
        <v>0</v>
      </c>
      <c r="Q999" s="40">
        <v>17094.172131147501</v>
      </c>
      <c r="R999" s="40">
        <f>114942.639344262+34426</f>
        <v>149368.63934426202</v>
      </c>
      <c r="S999" s="40">
        <v>60995.704918032803</v>
      </c>
      <c r="T999" s="37">
        <v>30000</v>
      </c>
      <c r="U999" s="40">
        <v>938355.73770491802</v>
      </c>
      <c r="V999" s="40">
        <v>0</v>
      </c>
      <c r="W999" s="45">
        <f t="shared" si="52"/>
        <v>1345948.590163934</v>
      </c>
      <c r="X999" s="46">
        <f t="shared" si="53"/>
        <v>3.9155071564267443</v>
      </c>
    </row>
    <row r="1000" spans="1:24" s="4" customFormat="1" ht="15" customHeight="1">
      <c r="A1000" s="28" t="s">
        <v>1109</v>
      </c>
      <c r="B1000" s="29">
        <v>3106.0650000000001</v>
      </c>
      <c r="C1000" s="30" t="s">
        <v>1535</v>
      </c>
      <c r="D1000" s="2">
        <v>4948494944</v>
      </c>
      <c r="E1000" s="2" t="s">
        <v>14</v>
      </c>
      <c r="F1000" s="2" t="s">
        <v>1536</v>
      </c>
      <c r="G1000" s="28" t="s">
        <v>5</v>
      </c>
      <c r="H1000" s="2" t="s">
        <v>17</v>
      </c>
      <c r="I1000" s="2">
        <v>1</v>
      </c>
      <c r="J1000" s="2" t="s">
        <v>1537</v>
      </c>
      <c r="K1000" s="2">
        <v>922.25</v>
      </c>
      <c r="L1000" s="35">
        <f t="shared" si="51"/>
        <v>2864568.44625</v>
      </c>
      <c r="M1000" s="36">
        <v>175</v>
      </c>
      <c r="N1000" s="40">
        <v>6652.6536885245896</v>
      </c>
      <c r="O1000" s="40">
        <v>5858.5409836065601</v>
      </c>
      <c r="P1000" s="40">
        <v>0</v>
      </c>
      <c r="Q1000" s="40">
        <v>1424.5143442623</v>
      </c>
      <c r="R1000" s="40">
        <f>9578.55327868853+2869</f>
        <v>12447.553278688531</v>
      </c>
      <c r="S1000" s="40">
        <v>5082.97540983607</v>
      </c>
      <c r="T1000" s="37">
        <v>30000</v>
      </c>
      <c r="U1000" s="40">
        <v>78196.311475409806</v>
      </c>
      <c r="V1000" s="40">
        <v>0</v>
      </c>
      <c r="W1000" s="45">
        <f t="shared" si="52"/>
        <v>139662.54918032786</v>
      </c>
      <c r="X1000" s="46">
        <f t="shared" si="53"/>
        <v>4.8755179637323653</v>
      </c>
    </row>
    <row r="1001" spans="1:24" s="4" customFormat="1" ht="15" customHeight="1">
      <c r="A1001" s="28" t="s">
        <v>1109</v>
      </c>
      <c r="B1001" s="29">
        <v>3106.0650000000001</v>
      </c>
      <c r="C1001" s="30" t="s">
        <v>1535</v>
      </c>
      <c r="D1001" s="2">
        <v>4948772936</v>
      </c>
      <c r="E1001" s="2" t="s">
        <v>14</v>
      </c>
      <c r="F1001" s="78" t="s">
        <v>1536</v>
      </c>
      <c r="G1001" s="28" t="s">
        <v>5</v>
      </c>
      <c r="H1001" s="2" t="s">
        <v>17</v>
      </c>
      <c r="I1001" s="2">
        <v>1</v>
      </c>
      <c r="J1001" s="2" t="s">
        <v>1537</v>
      </c>
      <c r="K1001" s="2">
        <v>8300.25</v>
      </c>
      <c r="L1001" s="35">
        <f t="shared" si="51"/>
        <v>25781116.016249999</v>
      </c>
      <c r="M1001" s="36">
        <v>1575</v>
      </c>
      <c r="N1001" s="40">
        <v>59873.883196721297</v>
      </c>
      <c r="O1001" s="40">
        <v>52726.868852459003</v>
      </c>
      <c r="P1001" s="40">
        <v>0</v>
      </c>
      <c r="Q1001" s="40">
        <v>12820.6290983607</v>
      </c>
      <c r="R1001" s="40">
        <f>86206.9795081967+25820</f>
        <v>112026.9795081967</v>
      </c>
      <c r="S1001" s="40">
        <v>45746.778688524602</v>
      </c>
      <c r="T1001" s="37">
        <v>30000</v>
      </c>
      <c r="U1001" s="40">
        <v>703766.80327868904</v>
      </c>
      <c r="V1001" s="40">
        <v>0</v>
      </c>
      <c r="W1001" s="45">
        <f t="shared" si="52"/>
        <v>1016961.9426229513</v>
      </c>
      <c r="X1001" s="46">
        <f t="shared" si="53"/>
        <v>3.9446001561063295</v>
      </c>
    </row>
    <row r="1002" spans="1:24" s="4" customFormat="1" ht="15" customHeight="1">
      <c r="A1002" s="28" t="s">
        <v>1109</v>
      </c>
      <c r="B1002" s="29">
        <v>3106.0650000000001</v>
      </c>
      <c r="C1002" s="30" t="s">
        <v>1535</v>
      </c>
      <c r="D1002" s="2">
        <v>4949137004</v>
      </c>
      <c r="E1002" s="2" t="s">
        <v>14</v>
      </c>
      <c r="F1002" s="78" t="s">
        <v>1536</v>
      </c>
      <c r="G1002" s="28" t="s">
        <v>5</v>
      </c>
      <c r="H1002" s="2" t="s">
        <v>17</v>
      </c>
      <c r="I1002" s="2">
        <v>1</v>
      </c>
      <c r="J1002" s="2" t="s">
        <v>1537</v>
      </c>
      <c r="K1002" s="2">
        <v>5812.5</v>
      </c>
      <c r="L1002" s="35">
        <f t="shared" si="51"/>
        <v>18054002.8125</v>
      </c>
      <c r="M1002" s="36">
        <v>1875</v>
      </c>
      <c r="N1002" s="40">
        <v>71278.432377049205</v>
      </c>
      <c r="O1002" s="40">
        <v>62770.081967213097</v>
      </c>
      <c r="P1002" s="40">
        <v>0</v>
      </c>
      <c r="Q1002" s="40">
        <v>15262.653688524601</v>
      </c>
      <c r="R1002" s="40">
        <f>102627.356557377+30738</f>
        <v>133365.356557377</v>
      </c>
      <c r="S1002" s="40">
        <v>54460.4508196721</v>
      </c>
      <c r="T1002" s="37">
        <v>30000</v>
      </c>
      <c r="U1002" s="40">
        <v>837817.62295082002</v>
      </c>
      <c r="V1002" s="40">
        <v>0</v>
      </c>
      <c r="W1002" s="45">
        <f t="shared" si="52"/>
        <v>1204954.5983606561</v>
      </c>
      <c r="X1002" s="46">
        <f t="shared" si="53"/>
        <v>6.6741686642830533</v>
      </c>
    </row>
    <row r="1003" spans="1:24" s="4" customFormat="1" ht="15" customHeight="1">
      <c r="A1003" s="28" t="s">
        <v>1109</v>
      </c>
      <c r="B1003" s="29">
        <v>3106.0650000000001</v>
      </c>
      <c r="C1003" s="30" t="s">
        <v>1538</v>
      </c>
      <c r="D1003" s="2">
        <v>4949366048</v>
      </c>
      <c r="E1003" s="2" t="s">
        <v>14</v>
      </c>
      <c r="F1003" s="78" t="s">
        <v>1539</v>
      </c>
      <c r="G1003" s="28" t="s">
        <v>13</v>
      </c>
      <c r="H1003" s="2" t="s">
        <v>23</v>
      </c>
      <c r="I1003" s="2">
        <v>1</v>
      </c>
      <c r="J1003" s="2"/>
      <c r="K1003" s="2">
        <f>1879.25+602</f>
        <v>2481.25</v>
      </c>
      <c r="L1003" s="35">
        <f t="shared" si="51"/>
        <v>7706923.78125</v>
      </c>
      <c r="M1003" s="36">
        <v>408</v>
      </c>
      <c r="N1003" s="40">
        <v>728059</v>
      </c>
      <c r="O1003" s="40">
        <v>0</v>
      </c>
      <c r="P1003" s="40">
        <v>0</v>
      </c>
      <c r="Q1003" s="40">
        <v>0</v>
      </c>
      <c r="R1003" s="40">
        <v>10336</v>
      </c>
      <c r="S1003" s="40">
        <v>354356</v>
      </c>
      <c r="T1003" s="37">
        <v>30000</v>
      </c>
      <c r="U1003" s="40">
        <v>162658.640776699</v>
      </c>
      <c r="V1003" s="40">
        <v>0</v>
      </c>
      <c r="W1003" s="45">
        <f t="shared" si="52"/>
        <v>1285409.6407766989</v>
      </c>
      <c r="X1003" s="46">
        <f t="shared" si="53"/>
        <v>16.678634397604174</v>
      </c>
    </row>
    <row r="1004" spans="1:24" s="4" customFormat="1" ht="15" customHeight="1">
      <c r="A1004" s="28" t="s">
        <v>1109</v>
      </c>
      <c r="B1004" s="29">
        <v>3106.0650000000001</v>
      </c>
      <c r="C1004" s="30" t="s">
        <v>1540</v>
      </c>
      <c r="D1004" s="2">
        <v>4948826980</v>
      </c>
      <c r="E1004" s="2" t="s">
        <v>14</v>
      </c>
      <c r="F1004" s="78" t="s">
        <v>1541</v>
      </c>
      <c r="G1004" s="28" t="s">
        <v>13</v>
      </c>
      <c r="H1004" s="2" t="s">
        <v>23</v>
      </c>
      <c r="I1004" s="2">
        <v>1</v>
      </c>
      <c r="J1004" s="2"/>
      <c r="K1004" s="2">
        <v>1099</v>
      </c>
      <c r="L1004" s="35">
        <f t="shared" si="51"/>
        <v>3413565.4350000001</v>
      </c>
      <c r="M1004" s="36">
        <v>20</v>
      </c>
      <c r="N1004" s="40">
        <v>130682.7</v>
      </c>
      <c r="O1004" s="40">
        <v>0</v>
      </c>
      <c r="P1004" s="40">
        <v>0</v>
      </c>
      <c r="Q1004" s="40">
        <v>0</v>
      </c>
      <c r="R1004" s="40">
        <v>523</v>
      </c>
      <c r="S1004" s="40">
        <v>354356</v>
      </c>
      <c r="T1004" s="37">
        <v>30000</v>
      </c>
      <c r="U1004" s="40">
        <v>7973.4627831715197</v>
      </c>
      <c r="V1004" s="40">
        <v>0</v>
      </c>
      <c r="W1004" s="45">
        <f t="shared" si="52"/>
        <v>523535.16278317152</v>
      </c>
      <c r="X1004" s="46">
        <f t="shared" si="53"/>
        <v>15.336901335338588</v>
      </c>
    </row>
    <row r="1005" spans="1:24" s="4" customFormat="1" ht="15" customHeight="1">
      <c r="A1005" s="28" t="s">
        <v>1109</v>
      </c>
      <c r="B1005" s="29">
        <v>3106.0650000000001</v>
      </c>
      <c r="C1005" s="30" t="s">
        <v>1542</v>
      </c>
      <c r="D1005" s="2">
        <v>4949571460</v>
      </c>
      <c r="E1005" s="2" t="s">
        <v>14</v>
      </c>
      <c r="F1005" s="78" t="s">
        <v>1543</v>
      </c>
      <c r="G1005" s="28" t="s">
        <v>13</v>
      </c>
      <c r="H1005" s="2" t="s">
        <v>23</v>
      </c>
      <c r="I1005" s="2">
        <v>2</v>
      </c>
      <c r="J1005" s="2"/>
      <c r="K1005" s="2">
        <v>13731</v>
      </c>
      <c r="L1005" s="35">
        <f t="shared" si="51"/>
        <v>42649378.515000001</v>
      </c>
      <c r="M1005" s="36">
        <v>150</v>
      </c>
      <c r="N1005" s="40">
        <v>269563.36578947399</v>
      </c>
      <c r="O1005" s="40">
        <v>0</v>
      </c>
      <c r="P1005" s="40">
        <v>0</v>
      </c>
      <c r="Q1005" s="40">
        <v>0</v>
      </c>
      <c r="R1005" s="40">
        <v>8183.6842105263204</v>
      </c>
      <c r="S1005" s="40">
        <v>279754.73684210499</v>
      </c>
      <c r="T1005" s="37">
        <v>30000</v>
      </c>
      <c r="U1005" s="40">
        <v>59800.970873786398</v>
      </c>
      <c r="V1005" s="40">
        <v>0</v>
      </c>
      <c r="W1005" s="45">
        <f t="shared" si="52"/>
        <v>647302.75771589158</v>
      </c>
      <c r="X1005" s="46">
        <f t="shared" si="53"/>
        <v>1.5177308093439907</v>
      </c>
    </row>
    <row r="1006" spans="1:24" s="4" customFormat="1" ht="15" customHeight="1">
      <c r="A1006" s="28" t="s">
        <v>1109</v>
      </c>
      <c r="B1006" s="29">
        <v>3106.0650000000001</v>
      </c>
      <c r="C1006" s="30" t="s">
        <v>1542</v>
      </c>
      <c r="D1006" s="2">
        <v>4949571460</v>
      </c>
      <c r="E1006" s="2" t="s">
        <v>14</v>
      </c>
      <c r="F1006" s="78" t="s">
        <v>1543</v>
      </c>
      <c r="G1006" s="28" t="s">
        <v>13</v>
      </c>
      <c r="H1006" s="2" t="s">
        <v>23</v>
      </c>
      <c r="I1006" s="2">
        <v>2</v>
      </c>
      <c r="J1006" s="2"/>
      <c r="K1006" s="2">
        <v>388.1</v>
      </c>
      <c r="L1006" s="35">
        <f t="shared" si="51"/>
        <v>1205463.8265000002</v>
      </c>
      <c r="M1006" s="36">
        <v>10</v>
      </c>
      <c r="N1006" s="40">
        <v>17970.891052631599</v>
      </c>
      <c r="O1006" s="40">
        <v>0</v>
      </c>
      <c r="P1006" s="40">
        <v>0</v>
      </c>
      <c r="Q1006" s="40">
        <v>0</v>
      </c>
      <c r="R1006" s="40">
        <v>545.57894736842104</v>
      </c>
      <c r="S1006" s="40">
        <v>18650.315789473701</v>
      </c>
      <c r="T1006" s="37">
        <v>30000</v>
      </c>
      <c r="U1006" s="40">
        <v>3986.7313915857599</v>
      </c>
      <c r="V1006" s="40">
        <v>0</v>
      </c>
      <c r="W1006" s="45">
        <f t="shared" si="52"/>
        <v>71153.517181059491</v>
      </c>
      <c r="X1006" s="46">
        <f t="shared" si="53"/>
        <v>5.9025841851803982</v>
      </c>
    </row>
    <row r="1007" spans="1:24" s="4" customFormat="1" ht="15" customHeight="1">
      <c r="A1007" s="28" t="s">
        <v>1109</v>
      </c>
      <c r="B1007" s="29">
        <v>3106.0650000000001</v>
      </c>
      <c r="C1007" s="30" t="s">
        <v>1542</v>
      </c>
      <c r="D1007" s="2">
        <v>4949571463</v>
      </c>
      <c r="E1007" s="2" t="s">
        <v>14</v>
      </c>
      <c r="F1007" s="78" t="s">
        <v>1543</v>
      </c>
      <c r="G1007" s="28" t="s">
        <v>13</v>
      </c>
      <c r="H1007" s="2" t="s">
        <v>23</v>
      </c>
      <c r="I1007" s="2">
        <v>2</v>
      </c>
      <c r="J1007" s="2"/>
      <c r="K1007" s="2">
        <v>1581.3</v>
      </c>
      <c r="L1007" s="35">
        <f t="shared" si="51"/>
        <v>4911620.5844999999</v>
      </c>
      <c r="M1007" s="36">
        <v>30</v>
      </c>
      <c r="N1007" s="40">
        <v>53912.6731578947</v>
      </c>
      <c r="O1007" s="40">
        <v>0</v>
      </c>
      <c r="P1007" s="40">
        <v>0</v>
      </c>
      <c r="Q1007" s="40">
        <v>0</v>
      </c>
      <c r="R1007" s="40">
        <v>1636.7368421052599</v>
      </c>
      <c r="S1007" s="40">
        <v>55950.947368421002</v>
      </c>
      <c r="T1007" s="37">
        <v>30000</v>
      </c>
      <c r="U1007" s="40">
        <v>11960.1941747573</v>
      </c>
      <c r="V1007" s="40">
        <v>0</v>
      </c>
      <c r="W1007" s="45">
        <f t="shared" si="52"/>
        <v>153460.55154317827</v>
      </c>
      <c r="X1007" s="46">
        <f t="shared" si="53"/>
        <v>3.1244382358740452</v>
      </c>
    </row>
    <row r="1008" spans="1:24" s="4" customFormat="1" ht="15" customHeight="1">
      <c r="A1008" s="28" t="s">
        <v>1109</v>
      </c>
      <c r="B1008" s="29">
        <v>3106.0650000000001</v>
      </c>
      <c r="C1008" s="30" t="s">
        <v>1544</v>
      </c>
      <c r="D1008" s="2">
        <v>4948739502</v>
      </c>
      <c r="E1008" s="2" t="s">
        <v>33</v>
      </c>
      <c r="F1008" s="2" t="s">
        <v>1545</v>
      </c>
      <c r="G1008" s="28" t="s">
        <v>5</v>
      </c>
      <c r="H1008" s="2" t="s">
        <v>20</v>
      </c>
      <c r="I1008" s="2">
        <v>3</v>
      </c>
      <c r="J1008" s="2" t="s">
        <v>1546</v>
      </c>
      <c r="K1008" s="2">
        <v>79002</v>
      </c>
      <c r="L1008" s="35">
        <f t="shared" si="51"/>
        <v>245385347.13</v>
      </c>
      <c r="M1008" s="36">
        <v>59400</v>
      </c>
      <c r="N1008" s="40">
        <v>2857353</v>
      </c>
      <c r="O1008" s="40">
        <v>340993</v>
      </c>
      <c r="P1008" s="40">
        <v>712860</v>
      </c>
      <c r="Q1008" s="40">
        <v>202753</v>
      </c>
      <c r="R1008" s="40">
        <v>2032974</v>
      </c>
      <c r="S1008" s="40">
        <v>354356</v>
      </c>
      <c r="T1008" s="40"/>
      <c r="U1008" s="40">
        <v>11541300</v>
      </c>
      <c r="V1008" s="40">
        <v>1350000</v>
      </c>
      <c r="W1008" s="45">
        <f t="shared" si="52"/>
        <v>19392589</v>
      </c>
      <c r="X1008" s="46">
        <f t="shared" si="53"/>
        <v>7.9029123893555928</v>
      </c>
    </row>
    <row r="1009" spans="1:24" s="4" customFormat="1" ht="15" customHeight="1">
      <c r="A1009" s="28" t="s">
        <v>1109</v>
      </c>
      <c r="B1009" s="29">
        <v>3106.0650000000001</v>
      </c>
      <c r="C1009" s="30" t="s">
        <v>1547</v>
      </c>
      <c r="D1009" s="2">
        <v>4948892084</v>
      </c>
      <c r="E1009" s="2" t="s">
        <v>36</v>
      </c>
      <c r="F1009" s="2" t="s">
        <v>1548</v>
      </c>
      <c r="G1009" s="28" t="s">
        <v>5</v>
      </c>
      <c r="H1009" s="2" t="s">
        <v>20</v>
      </c>
      <c r="I1009" s="2">
        <v>2</v>
      </c>
      <c r="J1009" s="2" t="s">
        <v>1549</v>
      </c>
      <c r="K1009" s="2">
        <v>73320</v>
      </c>
      <c r="L1009" s="35">
        <f t="shared" si="51"/>
        <v>227736685.80000001</v>
      </c>
      <c r="M1009" s="36">
        <v>39000</v>
      </c>
      <c r="N1009" s="40">
        <v>603003</v>
      </c>
      <c r="O1009" s="40">
        <v>775236</v>
      </c>
      <c r="P1009" s="40">
        <v>149728</v>
      </c>
      <c r="Q1009" s="40">
        <v>248274</v>
      </c>
      <c r="R1009" s="40">
        <v>1716384</v>
      </c>
      <c r="S1009" s="40">
        <v>354356</v>
      </c>
      <c r="T1009" s="40"/>
      <c r="U1009" s="40">
        <v>1038600</v>
      </c>
      <c r="V1009" s="40">
        <v>0</v>
      </c>
      <c r="W1009" s="45">
        <f t="shared" si="52"/>
        <v>4885581</v>
      </c>
      <c r="X1009" s="46">
        <f t="shared" si="53"/>
        <v>2.1452762355075952</v>
      </c>
    </row>
    <row r="1010" spans="1:24" s="4" customFormat="1" ht="15" customHeight="1">
      <c r="A1010" s="28" t="s">
        <v>1109</v>
      </c>
      <c r="B1010" s="29">
        <v>3106.0650000000001</v>
      </c>
      <c r="C1010" s="30" t="s">
        <v>1550</v>
      </c>
      <c r="D1010" s="2">
        <v>4948541023</v>
      </c>
      <c r="E1010" s="2" t="s">
        <v>10</v>
      </c>
      <c r="F1010" s="78" t="s">
        <v>1551</v>
      </c>
      <c r="G1010" s="28" t="s">
        <v>9</v>
      </c>
      <c r="H1010" s="2" t="s">
        <v>23</v>
      </c>
      <c r="I1010" s="2">
        <v>3</v>
      </c>
      <c r="J1010" s="2"/>
      <c r="K1010" s="2">
        <v>19278</v>
      </c>
      <c r="L1010" s="35">
        <f t="shared" si="51"/>
        <v>59878721.07</v>
      </c>
      <c r="M1010" s="36">
        <v>1980</v>
      </c>
      <c r="N1010" s="40">
        <v>669539</v>
      </c>
      <c r="O1010" s="40">
        <v>1298</v>
      </c>
      <c r="P1010" s="40">
        <v>24741</v>
      </c>
      <c r="Q1010" s="40">
        <v>40314</v>
      </c>
      <c r="R1010" s="40">
        <v>130214</v>
      </c>
      <c r="S1010" s="40">
        <v>708712</v>
      </c>
      <c r="T1010" s="40"/>
      <c r="U1010" s="40">
        <v>533500</v>
      </c>
      <c r="V1010" s="40">
        <v>0</v>
      </c>
      <c r="W1010" s="45">
        <f t="shared" si="52"/>
        <v>2108318</v>
      </c>
      <c r="X1010" s="46">
        <f t="shared" si="53"/>
        <v>3.5209803454808495</v>
      </c>
    </row>
    <row r="1011" spans="1:24" s="4" customFormat="1" ht="15" customHeight="1">
      <c r="A1011" s="28" t="s">
        <v>1109</v>
      </c>
      <c r="B1011" s="29">
        <v>3106.0650000000001</v>
      </c>
      <c r="C1011" s="30" t="s">
        <v>1552</v>
      </c>
      <c r="D1011" s="2">
        <v>4947112618</v>
      </c>
      <c r="E1011" s="2" t="s">
        <v>10</v>
      </c>
      <c r="F1011" s="2" t="s">
        <v>1553</v>
      </c>
      <c r="G1011" s="28" t="s">
        <v>5</v>
      </c>
      <c r="H1011" s="2" t="s">
        <v>17</v>
      </c>
      <c r="I1011" s="2">
        <v>1</v>
      </c>
      <c r="J1011" s="2" t="s">
        <v>1554</v>
      </c>
      <c r="K1011" s="2">
        <v>53985.599999999999</v>
      </c>
      <c r="L1011" s="35">
        <f t="shared" si="51"/>
        <v>167682782.664</v>
      </c>
      <c r="M1011" s="36">
        <f>2760+5520+8280</f>
        <v>16560</v>
      </c>
      <c r="N1011" s="40">
        <v>313889</v>
      </c>
      <c r="O1011" s="40">
        <v>509004</v>
      </c>
      <c r="P1011" s="40">
        <v>0</v>
      </c>
      <c r="Q1011" s="40">
        <v>124137</v>
      </c>
      <c r="R1011" s="40">
        <v>905659</v>
      </c>
      <c r="S1011" s="40">
        <v>708712</v>
      </c>
      <c r="T1011" s="40"/>
      <c r="U1011" s="40">
        <v>1600500</v>
      </c>
      <c r="V1011" s="40">
        <v>0</v>
      </c>
      <c r="W1011" s="45">
        <f t="shared" si="52"/>
        <v>4161901</v>
      </c>
      <c r="X1011" s="46">
        <f t="shared" si="53"/>
        <v>2.4820085484504086</v>
      </c>
    </row>
    <row r="1012" spans="1:24" s="4" customFormat="1" ht="15" customHeight="1">
      <c r="A1012" s="28" t="s">
        <v>1109</v>
      </c>
      <c r="B1012" s="29">
        <v>3106.0650000000001</v>
      </c>
      <c r="C1012" s="30" t="s">
        <v>1555</v>
      </c>
      <c r="D1012" s="2">
        <v>4947112618</v>
      </c>
      <c r="E1012" s="2" t="s">
        <v>10</v>
      </c>
      <c r="F1012" s="2" t="s">
        <v>1556</v>
      </c>
      <c r="G1012" s="28" t="s">
        <v>5</v>
      </c>
      <c r="H1012" s="2" t="s">
        <v>17</v>
      </c>
      <c r="I1012" s="2">
        <v>1</v>
      </c>
      <c r="J1012" s="2" t="s">
        <v>1557</v>
      </c>
      <c r="K1012" s="2">
        <v>53985.599999999999</v>
      </c>
      <c r="L1012" s="35">
        <f t="shared" si="51"/>
        <v>167682782.664</v>
      </c>
      <c r="M1012" s="36">
        <f>8280+8280</f>
        <v>16560</v>
      </c>
      <c r="N1012" s="40">
        <v>313889</v>
      </c>
      <c r="O1012" s="40">
        <v>509004</v>
      </c>
      <c r="P1012" s="40">
        <v>0</v>
      </c>
      <c r="Q1012" s="40">
        <v>124137</v>
      </c>
      <c r="R1012" s="40">
        <v>905659</v>
      </c>
      <c r="S1012" s="40">
        <v>708712</v>
      </c>
      <c r="T1012" s="40"/>
      <c r="U1012" s="40">
        <v>1600500</v>
      </c>
      <c r="V1012" s="40">
        <v>0</v>
      </c>
      <c r="W1012" s="45">
        <f t="shared" si="52"/>
        <v>4161901</v>
      </c>
      <c r="X1012" s="46">
        <f t="shared" si="53"/>
        <v>2.4820085484504086</v>
      </c>
    </row>
    <row r="1013" spans="1:24" s="4" customFormat="1" ht="15" customHeight="1">
      <c r="A1013" s="28" t="s">
        <v>1109</v>
      </c>
      <c r="B1013" s="29">
        <v>3106.0650000000001</v>
      </c>
      <c r="C1013" s="30" t="s">
        <v>1558</v>
      </c>
      <c r="D1013" s="2">
        <v>4947720143</v>
      </c>
      <c r="E1013" s="2" t="s">
        <v>10</v>
      </c>
      <c r="F1013" s="2" t="s">
        <v>1559</v>
      </c>
      <c r="G1013" s="28" t="s">
        <v>5</v>
      </c>
      <c r="H1013" s="2" t="s">
        <v>20</v>
      </c>
      <c r="I1013" s="2">
        <v>1</v>
      </c>
      <c r="J1013" s="2" t="s">
        <v>1560</v>
      </c>
      <c r="K1013" s="2">
        <v>47779.199999999997</v>
      </c>
      <c r="L1013" s="35">
        <f t="shared" si="51"/>
        <v>148405300.84799999</v>
      </c>
      <c r="M1013" s="36">
        <v>7560</v>
      </c>
      <c r="N1013" s="40">
        <v>382336.70588235301</v>
      </c>
      <c r="O1013" s="40">
        <v>319214.82352941198</v>
      </c>
      <c r="P1013" s="40">
        <v>0</v>
      </c>
      <c r="Q1013" s="40">
        <v>102230.470588235</v>
      </c>
      <c r="R1013" s="40">
        <f>435092+164706</f>
        <v>599798</v>
      </c>
      <c r="S1013" s="40">
        <v>583645.17647058796</v>
      </c>
      <c r="T1013" s="40"/>
      <c r="U1013" s="40">
        <v>1278117.6470588199</v>
      </c>
      <c r="V1013" s="40">
        <v>0</v>
      </c>
      <c r="W1013" s="45">
        <f t="shared" si="52"/>
        <v>3265342.8235294078</v>
      </c>
      <c r="X1013" s="46">
        <f t="shared" si="53"/>
        <v>2.2002871897910468</v>
      </c>
    </row>
    <row r="1014" spans="1:24" s="4" customFormat="1" ht="15" customHeight="1">
      <c r="A1014" s="28" t="s">
        <v>1109</v>
      </c>
      <c r="B1014" s="29">
        <v>3106.0650000000001</v>
      </c>
      <c r="C1014" s="30" t="s">
        <v>1558</v>
      </c>
      <c r="D1014" s="2">
        <v>4946346882</v>
      </c>
      <c r="E1014" s="2" t="s">
        <v>10</v>
      </c>
      <c r="F1014" s="2" t="s">
        <v>1559</v>
      </c>
      <c r="G1014" s="28" t="s">
        <v>5</v>
      </c>
      <c r="H1014" s="2" t="s">
        <v>20</v>
      </c>
      <c r="I1014" s="2">
        <v>1</v>
      </c>
      <c r="J1014" s="2" t="s">
        <v>1560</v>
      </c>
      <c r="K1014" s="2">
        <v>13008.6</v>
      </c>
      <c r="L1014" s="35">
        <f t="shared" si="51"/>
        <v>40405557.159000002</v>
      </c>
      <c r="M1014" s="36">
        <v>1620</v>
      </c>
      <c r="N1014" s="40">
        <v>81929.294117647107</v>
      </c>
      <c r="O1014" s="40">
        <v>68403.176470588194</v>
      </c>
      <c r="P1014" s="40">
        <v>0</v>
      </c>
      <c r="Q1014" s="40">
        <v>21906.529411764699</v>
      </c>
      <c r="R1014" s="40">
        <f>93234+35294</f>
        <v>128528</v>
      </c>
      <c r="S1014" s="40">
        <v>125066.82352941199</v>
      </c>
      <c r="T1014" s="40"/>
      <c r="U1014" s="40">
        <v>273882.35294117703</v>
      </c>
      <c r="V1014" s="40">
        <v>0</v>
      </c>
      <c r="W1014" s="45">
        <f t="shared" si="52"/>
        <v>699716.17647058901</v>
      </c>
      <c r="X1014" s="46">
        <f t="shared" si="53"/>
        <v>1.7317325280706668</v>
      </c>
    </row>
    <row r="1015" spans="1:24" s="4" customFormat="1" ht="15" customHeight="1">
      <c r="A1015" s="28" t="s">
        <v>1109</v>
      </c>
      <c r="B1015" s="29">
        <v>3106.0650000000001</v>
      </c>
      <c r="C1015" s="30" t="s">
        <v>1561</v>
      </c>
      <c r="D1015" s="2">
        <v>4947112618</v>
      </c>
      <c r="E1015" s="2" t="s">
        <v>10</v>
      </c>
      <c r="F1015" s="78" t="s">
        <v>1562</v>
      </c>
      <c r="G1015" s="28" t="s">
        <v>5</v>
      </c>
      <c r="H1015" s="2" t="s">
        <v>17</v>
      </c>
      <c r="I1015" s="2">
        <v>1</v>
      </c>
      <c r="J1015" s="2" t="s">
        <v>1563</v>
      </c>
      <c r="K1015" s="2">
        <v>53985.599999999999</v>
      </c>
      <c r="L1015" s="35">
        <f t="shared" si="51"/>
        <v>167682782.664</v>
      </c>
      <c r="M1015" s="36">
        <f>5520+5520+5520</f>
        <v>16560</v>
      </c>
      <c r="N1015" s="40">
        <v>313889</v>
      </c>
      <c r="O1015" s="40">
        <v>509004</v>
      </c>
      <c r="P1015" s="40">
        <v>0</v>
      </c>
      <c r="Q1015" s="40">
        <v>124137</v>
      </c>
      <c r="R1015" s="40">
        <v>905659</v>
      </c>
      <c r="S1015" s="40">
        <v>708712</v>
      </c>
      <c r="T1015" s="40"/>
      <c r="U1015" s="40">
        <v>1600500</v>
      </c>
      <c r="V1015" s="40">
        <v>0</v>
      </c>
      <c r="W1015" s="45">
        <f t="shared" si="52"/>
        <v>4161901</v>
      </c>
      <c r="X1015" s="46">
        <f t="shared" si="53"/>
        <v>2.4820085484504086</v>
      </c>
    </row>
    <row r="1016" spans="1:24" s="4" customFormat="1" ht="15" customHeight="1">
      <c r="A1016" s="28" t="s">
        <v>1109</v>
      </c>
      <c r="B1016" s="29">
        <v>3106.0650000000001</v>
      </c>
      <c r="C1016" s="30" t="s">
        <v>1564</v>
      </c>
      <c r="D1016" s="2">
        <v>4947010968</v>
      </c>
      <c r="E1016" s="2" t="s">
        <v>10</v>
      </c>
      <c r="F1016" s="78" t="s">
        <v>1565</v>
      </c>
      <c r="G1016" s="28" t="s">
        <v>9</v>
      </c>
      <c r="H1016" s="2" t="s">
        <v>23</v>
      </c>
      <c r="I1016" s="2">
        <v>6</v>
      </c>
      <c r="J1016" s="2"/>
      <c r="K1016" s="2">
        <v>25536</v>
      </c>
      <c r="L1016" s="35">
        <f t="shared" si="51"/>
        <v>79316475.840000004</v>
      </c>
      <c r="M1016" s="36">
        <v>4200</v>
      </c>
      <c r="N1016" s="40">
        <v>950717</v>
      </c>
      <c r="O1016" s="40">
        <v>3246</v>
      </c>
      <c r="P1016" s="40">
        <v>0</v>
      </c>
      <c r="Q1016" s="40">
        <v>101289</v>
      </c>
      <c r="R1016" s="40">
        <v>194415</v>
      </c>
      <c r="S1016" s="40">
        <v>708712</v>
      </c>
      <c r="T1016" s="40"/>
      <c r="U1016" s="40">
        <v>834200</v>
      </c>
      <c r="V1016" s="40">
        <v>0</v>
      </c>
      <c r="W1016" s="45">
        <f t="shared" si="52"/>
        <v>2792579</v>
      </c>
      <c r="X1016" s="46">
        <f t="shared" si="53"/>
        <v>3.5208056969566943</v>
      </c>
    </row>
    <row r="1017" spans="1:24" s="4" customFormat="1" ht="15" customHeight="1">
      <c r="A1017" s="28" t="s">
        <v>1109</v>
      </c>
      <c r="B1017" s="29">
        <v>3106.0650000000001</v>
      </c>
      <c r="C1017" s="30" t="s">
        <v>1566</v>
      </c>
      <c r="D1017" s="2">
        <v>4948495776</v>
      </c>
      <c r="E1017" s="2" t="s">
        <v>14</v>
      </c>
      <c r="F1017" s="78" t="s">
        <v>1567</v>
      </c>
      <c r="G1017" s="28" t="s">
        <v>5</v>
      </c>
      <c r="H1017" s="2" t="s">
        <v>26</v>
      </c>
      <c r="I1017" s="2">
        <v>1</v>
      </c>
      <c r="J1017" s="2" t="s">
        <v>1568</v>
      </c>
      <c r="K1017" s="2">
        <v>35078.400000000001</v>
      </c>
      <c r="L1017" s="35">
        <f t="shared" si="51"/>
        <v>108955790.49600001</v>
      </c>
      <c r="M1017" s="36">
        <v>20160</v>
      </c>
      <c r="N1017" s="40">
        <v>317267</v>
      </c>
      <c r="O1017" s="40">
        <v>380682</v>
      </c>
      <c r="P1017" s="40">
        <v>1480578</v>
      </c>
      <c r="Q1017" s="40">
        <v>99309</v>
      </c>
      <c r="R1017" s="40">
        <v>604441</v>
      </c>
      <c r="S1017" s="40">
        <v>354356</v>
      </c>
      <c r="T1017" s="37">
        <v>30000</v>
      </c>
      <c r="U1017" s="40">
        <v>0</v>
      </c>
      <c r="V1017" s="40">
        <v>0</v>
      </c>
      <c r="W1017" s="45">
        <f t="shared" si="52"/>
        <v>3266633</v>
      </c>
      <c r="X1017" s="46">
        <f t="shared" si="53"/>
        <v>2.9981270248504366</v>
      </c>
    </row>
    <row r="1018" spans="1:24" s="4" customFormat="1" ht="15" customHeight="1">
      <c r="A1018" s="28" t="s">
        <v>1109</v>
      </c>
      <c r="B1018" s="29">
        <v>3106.0650000000001</v>
      </c>
      <c r="C1018" s="30" t="s">
        <v>1569</v>
      </c>
      <c r="D1018" s="2">
        <v>4948449292</v>
      </c>
      <c r="E1018" s="2" t="s">
        <v>36</v>
      </c>
      <c r="F1018" s="2" t="s">
        <v>1570</v>
      </c>
      <c r="G1018" s="28" t="s">
        <v>5</v>
      </c>
      <c r="H1018" s="2" t="s">
        <v>26</v>
      </c>
      <c r="I1018" s="2">
        <v>4</v>
      </c>
      <c r="J1018" s="2" t="s">
        <v>1571</v>
      </c>
      <c r="K1018" s="2">
        <v>220977.75</v>
      </c>
      <c r="L1018" s="35">
        <f t="shared" si="51"/>
        <v>686371255.05375004</v>
      </c>
      <c r="M1018" s="36">
        <v>99989.93</v>
      </c>
      <c r="N1018" s="40">
        <v>1246142</v>
      </c>
      <c r="O1018" s="40">
        <v>1884840</v>
      </c>
      <c r="P1018" s="40">
        <v>2282137</v>
      </c>
      <c r="Q1018" s="40">
        <v>414665</v>
      </c>
      <c r="R1018" s="40">
        <v>3396048</v>
      </c>
      <c r="S1018" s="40">
        <v>354356</v>
      </c>
      <c r="T1018" s="40"/>
      <c r="U1018" s="40">
        <v>0</v>
      </c>
      <c r="V1018" s="40">
        <v>0</v>
      </c>
      <c r="W1018" s="45">
        <f t="shared" si="52"/>
        <v>9578188</v>
      </c>
      <c r="X1018" s="46">
        <f t="shared" si="53"/>
        <v>1.3954820994433876</v>
      </c>
    </row>
    <row r="1019" spans="1:24" s="4" customFormat="1" ht="15" customHeight="1">
      <c r="A1019" s="28" t="s">
        <v>1109</v>
      </c>
      <c r="B1019" s="29">
        <v>3106.0650000000001</v>
      </c>
      <c r="C1019" s="30" t="s">
        <v>1572</v>
      </c>
      <c r="D1019" s="2">
        <v>4949681910</v>
      </c>
      <c r="E1019" s="2" t="s">
        <v>14</v>
      </c>
      <c r="F1019" s="78" t="s">
        <v>1573</v>
      </c>
      <c r="G1019" s="28" t="s">
        <v>13</v>
      </c>
      <c r="H1019" s="2" t="s">
        <v>23</v>
      </c>
      <c r="I1019" s="2">
        <v>1</v>
      </c>
      <c r="J1019" s="2"/>
      <c r="K1019" s="2">
        <v>1158.8</v>
      </c>
      <c r="L1019" s="35">
        <f t="shared" si="51"/>
        <v>3599308.122</v>
      </c>
      <c r="M1019" s="36">
        <v>10</v>
      </c>
      <c r="N1019" s="40">
        <v>132894.29</v>
      </c>
      <c r="O1019" s="40">
        <v>0</v>
      </c>
      <c r="P1019" s="40">
        <v>0</v>
      </c>
      <c r="Q1019" s="40">
        <v>0</v>
      </c>
      <c r="R1019" s="40">
        <v>532</v>
      </c>
      <c r="S1019" s="40">
        <v>354356</v>
      </c>
      <c r="T1019" s="37">
        <v>30000</v>
      </c>
      <c r="U1019" s="40">
        <v>35197.142857142899</v>
      </c>
      <c r="V1019" s="40">
        <v>0</v>
      </c>
      <c r="W1019" s="45">
        <f t="shared" si="52"/>
        <v>552979.43285714299</v>
      </c>
      <c r="X1019" s="46">
        <f t="shared" si="53"/>
        <v>15.363492485602293</v>
      </c>
    </row>
    <row r="1020" spans="1:24" s="4" customFormat="1" ht="15" customHeight="1">
      <c r="A1020" s="28" t="s">
        <v>1109</v>
      </c>
      <c r="B1020" s="29">
        <v>3106.0650000000001</v>
      </c>
      <c r="C1020" s="30" t="s">
        <v>1574</v>
      </c>
      <c r="D1020" s="2">
        <v>4949192133</v>
      </c>
      <c r="E1020" s="2" t="s">
        <v>14</v>
      </c>
      <c r="F1020" s="78" t="s">
        <v>1575</v>
      </c>
      <c r="G1020" s="28" t="s">
        <v>13</v>
      </c>
      <c r="H1020" s="2" t="s">
        <v>23</v>
      </c>
      <c r="I1020" s="2">
        <v>1</v>
      </c>
      <c r="J1020" s="2"/>
      <c r="K1020" s="2">
        <v>2198</v>
      </c>
      <c r="L1020" s="35">
        <f t="shared" si="51"/>
        <v>6827130.8700000001</v>
      </c>
      <c r="M1020" s="36">
        <v>40</v>
      </c>
      <c r="N1020" s="40">
        <v>109986.913333333</v>
      </c>
      <c r="O1020" s="40">
        <v>0</v>
      </c>
      <c r="P1020" s="40">
        <v>0</v>
      </c>
      <c r="Q1020" s="40">
        <v>0</v>
      </c>
      <c r="R1020" s="40">
        <v>440</v>
      </c>
      <c r="S1020" s="40">
        <v>236237.33333333299</v>
      </c>
      <c r="T1020" s="37">
        <v>30000</v>
      </c>
      <c r="U1020" s="40">
        <v>140788.57142857101</v>
      </c>
      <c r="V1020" s="40">
        <v>0</v>
      </c>
      <c r="W1020" s="45">
        <f t="shared" si="52"/>
        <v>517452.81809523702</v>
      </c>
      <c r="X1020" s="46">
        <f t="shared" si="53"/>
        <v>7.5793598796977069</v>
      </c>
    </row>
    <row r="1021" spans="1:24" s="4" customFormat="1" ht="15" customHeight="1">
      <c r="A1021" s="28" t="s">
        <v>1109</v>
      </c>
      <c r="B1021" s="29">
        <v>3106.0650000000001</v>
      </c>
      <c r="C1021" s="30" t="s">
        <v>1574</v>
      </c>
      <c r="D1021" s="2">
        <v>4949035718</v>
      </c>
      <c r="E1021" s="2" t="s">
        <v>14</v>
      </c>
      <c r="F1021" s="78" t="s">
        <v>1575</v>
      </c>
      <c r="G1021" s="28" t="s">
        <v>13</v>
      </c>
      <c r="H1021" s="2" t="s">
        <v>23</v>
      </c>
      <c r="I1021" s="2">
        <v>1</v>
      </c>
      <c r="J1021" s="2"/>
      <c r="K1021" s="2">
        <v>1099</v>
      </c>
      <c r="L1021" s="35">
        <f t="shared" si="51"/>
        <v>3413565.4350000001</v>
      </c>
      <c r="M1021" s="36">
        <v>20</v>
      </c>
      <c r="N1021" s="40">
        <v>54993.456666666701</v>
      </c>
      <c r="O1021" s="40">
        <v>0</v>
      </c>
      <c r="P1021" s="40">
        <v>0</v>
      </c>
      <c r="Q1021" s="40">
        <v>0</v>
      </c>
      <c r="R1021" s="40">
        <v>220</v>
      </c>
      <c r="S1021" s="40">
        <v>118118.66666666701</v>
      </c>
      <c r="T1021" s="37">
        <v>30000</v>
      </c>
      <c r="U1021" s="40">
        <v>70394.285714285696</v>
      </c>
      <c r="V1021" s="40">
        <v>0</v>
      </c>
      <c r="W1021" s="45">
        <f t="shared" si="52"/>
        <v>273726.40904761938</v>
      </c>
      <c r="X1021" s="46">
        <f t="shared" si="53"/>
        <v>8.0187831245607697</v>
      </c>
    </row>
    <row r="1022" spans="1:24" s="4" customFormat="1" ht="15" customHeight="1">
      <c r="A1022" s="28" t="s">
        <v>1109</v>
      </c>
      <c r="B1022" s="29">
        <v>3106.0650000000001</v>
      </c>
      <c r="C1022" s="30" t="s">
        <v>1461</v>
      </c>
      <c r="D1022" s="2">
        <v>4948952444</v>
      </c>
      <c r="E1022" s="2" t="s">
        <v>36</v>
      </c>
      <c r="F1022" s="78" t="s">
        <v>1462</v>
      </c>
      <c r="G1022" s="28" t="s">
        <v>5</v>
      </c>
      <c r="H1022" s="2" t="s">
        <v>26</v>
      </c>
      <c r="I1022" s="2">
        <v>4</v>
      </c>
      <c r="J1022" s="2" t="s">
        <v>1463</v>
      </c>
      <c r="K1022" s="2">
        <v>79515</v>
      </c>
      <c r="L1022" s="35">
        <f t="shared" si="51"/>
        <v>246978758.47499999</v>
      </c>
      <c r="M1022" s="36">
        <v>85500</v>
      </c>
      <c r="N1022" s="40">
        <v>0</v>
      </c>
      <c r="O1022" s="40">
        <v>1897247</v>
      </c>
      <c r="P1022" s="40">
        <v>9887525</v>
      </c>
      <c r="Q1022" s="40">
        <v>496548</v>
      </c>
      <c r="R1022" s="40">
        <v>3251768</v>
      </c>
      <c r="S1022" s="40">
        <v>354356</v>
      </c>
      <c r="T1022" s="40"/>
      <c r="U1022" s="40">
        <v>0</v>
      </c>
      <c r="V1022" s="40">
        <v>0</v>
      </c>
      <c r="W1022" s="45">
        <f t="shared" si="52"/>
        <v>15887444</v>
      </c>
      <c r="X1022" s="46">
        <f t="shared" si="53"/>
        <v>6.4327167640241338</v>
      </c>
    </row>
    <row r="1023" spans="1:24" s="4" customFormat="1" ht="15" customHeight="1">
      <c r="A1023" s="28" t="s">
        <v>1109</v>
      </c>
      <c r="B1023" s="29">
        <v>3106.0650000000001</v>
      </c>
      <c r="C1023" s="30" t="s">
        <v>1458</v>
      </c>
      <c r="D1023" s="2">
        <v>4948952431</v>
      </c>
      <c r="E1023" s="2" t="s">
        <v>36</v>
      </c>
      <c r="F1023" s="78" t="s">
        <v>1459</v>
      </c>
      <c r="G1023" s="28" t="s">
        <v>5</v>
      </c>
      <c r="H1023" s="2" t="s">
        <v>26</v>
      </c>
      <c r="I1023" s="2">
        <v>4</v>
      </c>
      <c r="J1023" s="2" t="s">
        <v>1576</v>
      </c>
      <c r="K1023" s="2">
        <v>79533.600000000006</v>
      </c>
      <c r="L1023" s="35">
        <f t="shared" si="51"/>
        <v>247036531.28400001</v>
      </c>
      <c r="M1023" s="36">
        <v>85520</v>
      </c>
      <c r="N1023" s="40">
        <v>0</v>
      </c>
      <c r="O1023" s="40">
        <v>1897247</v>
      </c>
      <c r="P1023" s="40">
        <v>7053008</v>
      </c>
      <c r="Q1023" s="40">
        <v>496548</v>
      </c>
      <c r="R1023" s="40">
        <v>3266429</v>
      </c>
      <c r="S1023" s="40">
        <v>354356</v>
      </c>
      <c r="T1023" s="40"/>
      <c r="U1023" s="40">
        <v>0</v>
      </c>
      <c r="V1023" s="40">
        <v>0</v>
      </c>
      <c r="W1023" s="45">
        <f t="shared" si="52"/>
        <v>13067588</v>
      </c>
      <c r="X1023" s="46">
        <f t="shared" si="53"/>
        <v>5.2897391054188416</v>
      </c>
    </row>
    <row r="1024" spans="1:24" s="4" customFormat="1" ht="15" customHeight="1">
      <c r="A1024" s="28" t="s">
        <v>1109</v>
      </c>
      <c r="B1024" s="29">
        <v>3106.0650000000001</v>
      </c>
      <c r="C1024" s="30" t="s">
        <v>1577</v>
      </c>
      <c r="D1024" s="2">
        <v>4949251496</v>
      </c>
      <c r="E1024" s="2" t="s">
        <v>24</v>
      </c>
      <c r="F1024" s="2" t="s">
        <v>1578</v>
      </c>
      <c r="G1024" s="28" t="s">
        <v>9</v>
      </c>
      <c r="H1024" s="2" t="s">
        <v>23</v>
      </c>
      <c r="I1024" s="2">
        <v>2</v>
      </c>
      <c r="J1024" s="2"/>
      <c r="K1024" s="2">
        <v>11697.7</v>
      </c>
      <c r="L1024" s="35">
        <f t="shared" si="51"/>
        <v>36333816.550500005</v>
      </c>
      <c r="M1024" s="36">
        <f>170+1020</f>
        <v>1190</v>
      </c>
      <c r="N1024" s="40">
        <v>662228.15107913699</v>
      </c>
      <c r="O1024" s="40">
        <v>861.25179856115096</v>
      </c>
      <c r="P1024" s="40">
        <v>16474.2230215827</v>
      </c>
      <c r="Q1024" s="40">
        <v>26169.726618705001</v>
      </c>
      <c r="R1024" s="40">
        <v>101409.402877698</v>
      </c>
      <c r="S1024" s="40">
        <v>303369.52517985599</v>
      </c>
      <c r="T1024" s="40"/>
      <c r="U1024" s="40">
        <v>1170908.6330935301</v>
      </c>
      <c r="V1024" s="40">
        <v>0</v>
      </c>
      <c r="W1024" s="45">
        <f t="shared" si="52"/>
        <v>2281420.9136690702</v>
      </c>
      <c r="X1024" s="46">
        <f t="shared" si="53"/>
        <v>6.2790566207052496</v>
      </c>
    </row>
    <row r="1025" spans="1:24" s="4" customFormat="1" ht="15" customHeight="1">
      <c r="A1025" s="28" t="s">
        <v>1109</v>
      </c>
      <c r="B1025" s="29">
        <v>3106.0650000000001</v>
      </c>
      <c r="C1025" s="30" t="s">
        <v>1577</v>
      </c>
      <c r="D1025" s="2">
        <v>4949098588</v>
      </c>
      <c r="E1025" s="2" t="s">
        <v>24</v>
      </c>
      <c r="F1025" s="2" t="s">
        <v>1578</v>
      </c>
      <c r="G1025" s="28" t="s">
        <v>9</v>
      </c>
      <c r="H1025" s="2" t="s">
        <v>23</v>
      </c>
      <c r="I1025" s="2">
        <v>2</v>
      </c>
      <c r="J1025" s="2"/>
      <c r="K1025" s="2">
        <v>3422</v>
      </c>
      <c r="L1025" s="35">
        <f t="shared" si="51"/>
        <v>10628954.43</v>
      </c>
      <c r="M1025" s="36">
        <v>200</v>
      </c>
      <c r="N1025" s="40">
        <v>111298.84892086301</v>
      </c>
      <c r="O1025" s="40">
        <v>144.74820143884901</v>
      </c>
      <c r="P1025" s="40">
        <v>2768.7769784172701</v>
      </c>
      <c r="Q1025" s="40">
        <v>4398.27338129496</v>
      </c>
      <c r="R1025" s="40">
        <v>17043.597122302199</v>
      </c>
      <c r="S1025" s="40">
        <v>50986.4748201439</v>
      </c>
      <c r="T1025" s="40"/>
      <c r="U1025" s="40">
        <v>196791.36690647501</v>
      </c>
      <c r="V1025" s="40">
        <v>0</v>
      </c>
      <c r="W1025" s="45">
        <f t="shared" si="52"/>
        <v>383432.08633093518</v>
      </c>
      <c r="X1025" s="46">
        <f t="shared" si="53"/>
        <v>3.6074299580089098</v>
      </c>
    </row>
    <row r="1026" spans="1:24" s="4" customFormat="1" ht="15" customHeight="1">
      <c r="A1026" s="28" t="s">
        <v>1109</v>
      </c>
      <c r="B1026" s="29">
        <v>3106.0650000000001</v>
      </c>
      <c r="C1026" s="30" t="s">
        <v>1579</v>
      </c>
      <c r="D1026" s="2">
        <v>4949037254</v>
      </c>
      <c r="E1026" s="2" t="s">
        <v>14</v>
      </c>
      <c r="F1026" s="2" t="s">
        <v>1580</v>
      </c>
      <c r="G1026" s="28" t="s">
        <v>5</v>
      </c>
      <c r="H1026" s="2" t="s">
        <v>17</v>
      </c>
      <c r="I1026" s="2">
        <v>1</v>
      </c>
      <c r="J1026" s="2" t="s">
        <v>1581</v>
      </c>
      <c r="K1026" s="2">
        <v>7962</v>
      </c>
      <c r="L1026" s="35">
        <f t="shared" si="51"/>
        <v>24730489.530000001</v>
      </c>
      <c r="M1026" s="36">
        <v>600</v>
      </c>
      <c r="N1026" s="40">
        <v>267379</v>
      </c>
      <c r="O1026" s="40">
        <v>408424</v>
      </c>
      <c r="P1026" s="40">
        <v>50114.182330827098</v>
      </c>
      <c r="Q1026" s="40">
        <v>99309</v>
      </c>
      <c r="R1026" s="40">
        <v>21117.618421052601</v>
      </c>
      <c r="S1026" s="40">
        <v>354356</v>
      </c>
      <c r="T1026" s="37">
        <v>30000</v>
      </c>
      <c r="U1026" s="40">
        <v>160405.54511278201</v>
      </c>
      <c r="V1026" s="40">
        <v>0</v>
      </c>
      <c r="W1026" s="45">
        <f t="shared" si="52"/>
        <v>1391105.3458646617</v>
      </c>
      <c r="X1026" s="46">
        <f t="shared" si="53"/>
        <v>5.6250619065875878</v>
      </c>
    </row>
    <row r="1027" spans="1:24" s="4" customFormat="1" ht="15" customHeight="1">
      <c r="A1027" s="28" t="s">
        <v>1109</v>
      </c>
      <c r="B1027" s="29">
        <v>3106.0650000000001</v>
      </c>
      <c r="C1027" s="30" t="s">
        <v>1582</v>
      </c>
      <c r="D1027" s="2">
        <v>4946580736</v>
      </c>
      <c r="E1027" s="2" t="s">
        <v>6</v>
      </c>
      <c r="F1027" s="78" t="s">
        <v>1583</v>
      </c>
      <c r="G1027" s="28" t="s">
        <v>9</v>
      </c>
      <c r="H1027" s="2" t="s">
        <v>23</v>
      </c>
      <c r="I1027" s="2">
        <v>1</v>
      </c>
      <c r="J1027" s="2"/>
      <c r="K1027" s="2">
        <v>4800</v>
      </c>
      <c r="L1027" s="35">
        <f t="shared" si="51"/>
        <v>14909112</v>
      </c>
      <c r="M1027" s="36">
        <v>660</v>
      </c>
      <c r="N1027" s="40">
        <v>713595</v>
      </c>
      <c r="O1027" s="40">
        <v>472</v>
      </c>
      <c r="P1027" s="40">
        <v>8867</v>
      </c>
      <c r="Q1027" s="40">
        <v>14238</v>
      </c>
      <c r="R1027" s="40">
        <v>93415</v>
      </c>
      <c r="S1027" s="40">
        <v>354356</v>
      </c>
      <c r="T1027" s="37">
        <v>30000</v>
      </c>
      <c r="U1027" s="40">
        <v>1367700</v>
      </c>
      <c r="V1027" s="40">
        <v>0</v>
      </c>
      <c r="W1027" s="45">
        <f t="shared" si="52"/>
        <v>2582643</v>
      </c>
      <c r="X1027" s="46">
        <f t="shared" si="53"/>
        <v>17.322580982690315</v>
      </c>
    </row>
    <row r="1028" spans="1:24" s="4" customFormat="1" ht="15" customHeight="1">
      <c r="A1028" s="28" t="s">
        <v>1109</v>
      </c>
      <c r="B1028" s="29">
        <v>3106.0650000000001</v>
      </c>
      <c r="C1028" s="30" t="s">
        <v>1584</v>
      </c>
      <c r="D1028" s="2">
        <v>4948495848</v>
      </c>
      <c r="E1028" s="2" t="s">
        <v>14</v>
      </c>
      <c r="F1028" s="2" t="s">
        <v>1585</v>
      </c>
      <c r="G1028" s="28" t="s">
        <v>5</v>
      </c>
      <c r="H1028" s="2" t="s">
        <v>17</v>
      </c>
      <c r="I1028" s="2">
        <v>1</v>
      </c>
      <c r="J1028" s="2" t="s">
        <v>1581</v>
      </c>
      <c r="K1028" s="2">
        <v>43750</v>
      </c>
      <c r="L1028" s="35">
        <f t="shared" si="51"/>
        <v>135890343.75</v>
      </c>
      <c r="M1028" s="36">
        <v>7000</v>
      </c>
      <c r="N1028" s="40">
        <v>483162.47582205001</v>
      </c>
      <c r="O1028" s="40">
        <v>138247.96905222401</v>
      </c>
      <c r="P1028" s="40">
        <v>584665.46052631596</v>
      </c>
      <c r="Q1028" s="40">
        <v>33615.232108317199</v>
      </c>
      <c r="R1028" s="40">
        <f>461488.66881299+65789</f>
        <v>527277.66881298996</v>
      </c>
      <c r="S1028" s="40">
        <v>119946.421663443</v>
      </c>
      <c r="T1028" s="37">
        <v>30000</v>
      </c>
      <c r="U1028" s="40">
        <v>1871398.0263157899</v>
      </c>
      <c r="V1028" s="40">
        <v>0</v>
      </c>
      <c r="W1028" s="45">
        <f t="shared" si="52"/>
        <v>3788313.2543011303</v>
      </c>
      <c r="X1028" s="46">
        <f t="shared" si="53"/>
        <v>2.7877722211598499</v>
      </c>
    </row>
    <row r="1029" spans="1:24" s="4" customFormat="1" ht="15" customHeight="1">
      <c r="A1029" s="28" t="s">
        <v>1109</v>
      </c>
      <c r="B1029" s="29">
        <v>3106.0650000000001</v>
      </c>
      <c r="C1029" s="30" t="s">
        <v>1584</v>
      </c>
      <c r="D1029" s="2">
        <v>4949309835</v>
      </c>
      <c r="E1029" s="2" t="s">
        <v>14</v>
      </c>
      <c r="F1029" s="2" t="s">
        <v>1585</v>
      </c>
      <c r="G1029" s="28" t="s">
        <v>5</v>
      </c>
      <c r="H1029" s="2" t="s">
        <v>17</v>
      </c>
      <c r="I1029" s="2">
        <v>1</v>
      </c>
      <c r="J1029" s="2" t="s">
        <v>1581</v>
      </c>
      <c r="K1029" s="2">
        <v>28864.799999999999</v>
      </c>
      <c r="L1029" s="35">
        <f t="shared" si="51"/>
        <v>89655945.011999995</v>
      </c>
      <c r="M1029" s="36">
        <f>8930+4750</f>
        <v>13680</v>
      </c>
      <c r="N1029" s="40">
        <v>944237.52417794999</v>
      </c>
      <c r="O1029" s="40">
        <v>270176.03094777599</v>
      </c>
      <c r="P1029" s="40">
        <v>1142603.3571428601</v>
      </c>
      <c r="Q1029" s="40">
        <v>65693.767891682801</v>
      </c>
      <c r="R1029" s="40">
        <f>901880.712765957+128521</f>
        <v>1030401.712765957</v>
      </c>
      <c r="S1029" s="40">
        <v>234409.578336557</v>
      </c>
      <c r="T1029" s="37">
        <v>30000</v>
      </c>
      <c r="U1029" s="40">
        <v>3657246.42857143</v>
      </c>
      <c r="V1029" s="40">
        <v>0</v>
      </c>
      <c r="W1029" s="45">
        <f t="shared" si="52"/>
        <v>7374768.3998342119</v>
      </c>
      <c r="X1029" s="46">
        <f t="shared" si="53"/>
        <v>8.2256323312939674</v>
      </c>
    </row>
    <row r="1030" spans="1:24" s="4" customFormat="1" ht="15" customHeight="1">
      <c r="A1030" s="28" t="s">
        <v>1109</v>
      </c>
      <c r="B1030" s="29">
        <v>3106.0650000000001</v>
      </c>
      <c r="C1030" s="30" t="s">
        <v>1586</v>
      </c>
      <c r="D1030" s="2">
        <v>4942446903</v>
      </c>
      <c r="E1030" s="2" t="s">
        <v>6</v>
      </c>
      <c r="F1030" s="2" t="s">
        <v>1587</v>
      </c>
      <c r="G1030" s="28" t="s">
        <v>5</v>
      </c>
      <c r="H1030" s="2" t="s">
        <v>17</v>
      </c>
      <c r="I1030" s="2">
        <v>1</v>
      </c>
      <c r="J1030" s="2" t="s">
        <v>1588</v>
      </c>
      <c r="K1030" s="2">
        <v>39245</v>
      </c>
      <c r="L1030" s="35">
        <f t="shared" si="51"/>
        <v>121897520.925</v>
      </c>
      <c r="M1030" s="36">
        <v>8683</v>
      </c>
      <c r="N1030" s="40">
        <v>0</v>
      </c>
      <c r="O1030" s="40">
        <v>509004</v>
      </c>
      <c r="P1030" s="40">
        <v>299348</v>
      </c>
      <c r="Q1030" s="40">
        <v>124137</v>
      </c>
      <c r="R1030" s="40">
        <v>845839</v>
      </c>
      <c r="S1030" s="40">
        <v>354356</v>
      </c>
      <c r="T1030" s="37">
        <v>30000</v>
      </c>
      <c r="U1030" s="40">
        <v>0</v>
      </c>
      <c r="V1030" s="40">
        <v>0</v>
      </c>
      <c r="W1030" s="45">
        <f t="shared" si="52"/>
        <v>2162684</v>
      </c>
      <c r="X1030" s="46">
        <f t="shared" si="53"/>
        <v>1.7741821027932443</v>
      </c>
    </row>
    <row r="1031" spans="1:24" s="4" customFormat="1" ht="15" customHeight="1">
      <c r="A1031" s="28" t="s">
        <v>1109</v>
      </c>
      <c r="B1031" s="29">
        <v>3106.0650000000001</v>
      </c>
      <c r="C1031" s="30" t="s">
        <v>1589</v>
      </c>
      <c r="D1031" s="2">
        <v>4948950535</v>
      </c>
      <c r="E1031" s="2" t="s">
        <v>21</v>
      </c>
      <c r="F1031" s="2" t="s">
        <v>1590</v>
      </c>
      <c r="G1031" s="28" t="s">
        <v>9</v>
      </c>
      <c r="H1031" s="2" t="s">
        <v>23</v>
      </c>
      <c r="I1031" s="2">
        <v>1</v>
      </c>
      <c r="J1031" s="2"/>
      <c r="K1031" s="2">
        <v>2600</v>
      </c>
      <c r="L1031" s="35">
        <f t="shared" si="51"/>
        <v>8075769</v>
      </c>
      <c r="M1031" s="36">
        <v>800</v>
      </c>
      <c r="N1031" s="40">
        <v>310954</v>
      </c>
      <c r="O1031" s="40">
        <v>558</v>
      </c>
      <c r="P1031" s="40">
        <v>8647</v>
      </c>
      <c r="Q1031" s="40">
        <v>13642</v>
      </c>
      <c r="R1031" s="40">
        <v>93195</v>
      </c>
      <c r="S1031" s="40">
        <v>354356</v>
      </c>
      <c r="T1031" s="40"/>
      <c r="U1031" s="40">
        <v>573459.11949685495</v>
      </c>
      <c r="V1031" s="40">
        <v>0</v>
      </c>
      <c r="W1031" s="45">
        <f t="shared" si="52"/>
        <v>1354811.119496855</v>
      </c>
      <c r="X1031" s="46">
        <f t="shared" si="53"/>
        <v>16.77624904200275</v>
      </c>
    </row>
    <row r="1032" spans="1:24" s="4" customFormat="1" ht="15" customHeight="1">
      <c r="A1032" s="28" t="s">
        <v>1109</v>
      </c>
      <c r="B1032" s="29">
        <v>3106.0650000000001</v>
      </c>
      <c r="C1032" s="30" t="s">
        <v>1591</v>
      </c>
      <c r="D1032" s="2">
        <v>4948892179</v>
      </c>
      <c r="E1032" s="2" t="s">
        <v>14</v>
      </c>
      <c r="F1032" s="2" t="s">
        <v>1592</v>
      </c>
      <c r="G1032" s="28" t="s">
        <v>5</v>
      </c>
      <c r="H1032" s="2" t="s">
        <v>20</v>
      </c>
      <c r="I1032" s="2">
        <v>1</v>
      </c>
      <c r="J1032" s="2" t="s">
        <v>1593</v>
      </c>
      <c r="K1032" s="2">
        <v>22790</v>
      </c>
      <c r="L1032" s="35">
        <f t="shared" si="51"/>
        <v>70787221.349999994</v>
      </c>
      <c r="M1032" s="36">
        <v>8600</v>
      </c>
      <c r="N1032" s="40">
        <v>464746</v>
      </c>
      <c r="O1032" s="40">
        <v>311327</v>
      </c>
      <c r="P1032" s="40">
        <v>707211</v>
      </c>
      <c r="Q1032" s="40">
        <v>99309</v>
      </c>
      <c r="R1032" s="40">
        <v>626250</v>
      </c>
      <c r="S1032" s="40">
        <v>354356</v>
      </c>
      <c r="T1032" s="37">
        <v>30000</v>
      </c>
      <c r="U1032" s="40">
        <v>2801700</v>
      </c>
      <c r="V1032" s="40">
        <v>0</v>
      </c>
      <c r="W1032" s="45">
        <f t="shared" si="52"/>
        <v>5394899</v>
      </c>
      <c r="X1032" s="46">
        <f t="shared" si="53"/>
        <v>7.6212894038112999</v>
      </c>
    </row>
    <row r="1033" spans="1:24" s="4" customFormat="1" ht="15" customHeight="1">
      <c r="A1033" s="28" t="s">
        <v>1109</v>
      </c>
      <c r="B1033" s="29">
        <v>3106.0650000000001</v>
      </c>
      <c r="C1033" s="30" t="s">
        <v>1594</v>
      </c>
      <c r="D1033" s="2">
        <v>4949366037</v>
      </c>
      <c r="E1033" s="2" t="s">
        <v>14</v>
      </c>
      <c r="F1033" s="2" t="s">
        <v>1595</v>
      </c>
      <c r="G1033" s="28" t="s">
        <v>9</v>
      </c>
      <c r="H1033" s="2" t="s">
        <v>23</v>
      </c>
      <c r="I1033" s="2">
        <v>1</v>
      </c>
      <c r="J1033" s="2"/>
      <c r="K1033" s="2">
        <v>1327.36</v>
      </c>
      <c r="L1033" s="35">
        <f>B1033*K1033</f>
        <v>4122866.4383999999</v>
      </c>
      <c r="M1033" s="36">
        <v>1088</v>
      </c>
      <c r="N1033" s="40">
        <v>581403</v>
      </c>
      <c r="O1033" s="40">
        <v>714</v>
      </c>
      <c r="P1033" s="40">
        <v>0</v>
      </c>
      <c r="Q1033" s="40">
        <v>22325</v>
      </c>
      <c r="R1033" s="40">
        <v>103116</v>
      </c>
      <c r="S1033" s="40">
        <v>354356</v>
      </c>
      <c r="T1033" s="37">
        <v>30000</v>
      </c>
      <c r="U1033" s="40">
        <v>779904.40251572302</v>
      </c>
      <c r="V1033" s="40">
        <v>0</v>
      </c>
      <c r="W1033" s="45">
        <f>+SUM(N1033:V1033)</f>
        <v>1871818.4025157229</v>
      </c>
      <c r="X1033" s="46">
        <f t="shared" ref="X1033:X1038" si="54">(W1033/L1033)*100</f>
        <v>45.400898391511738</v>
      </c>
    </row>
    <row r="1034" spans="1:24" s="4" customFormat="1" ht="15" customHeight="1">
      <c r="A1034" s="28" t="s">
        <v>1109</v>
      </c>
      <c r="B1034" s="29">
        <v>3106.0650000000001</v>
      </c>
      <c r="C1034" s="30" t="s">
        <v>1596</v>
      </c>
      <c r="D1034" s="2">
        <v>4949286580</v>
      </c>
      <c r="E1034" s="2" t="s">
        <v>14</v>
      </c>
      <c r="F1034" s="2" t="s">
        <v>1597</v>
      </c>
      <c r="G1034" s="28" t="s">
        <v>5</v>
      </c>
      <c r="H1034" s="2" t="s">
        <v>20</v>
      </c>
      <c r="I1034" s="2">
        <v>1</v>
      </c>
      <c r="J1034" s="2" t="s">
        <v>1598</v>
      </c>
      <c r="K1034" s="2">
        <v>20113.2</v>
      </c>
      <c r="L1034" s="35">
        <f>B1034*K1034</f>
        <v>62472906.558000006</v>
      </c>
      <c r="M1034" s="36">
        <v>3330</v>
      </c>
      <c r="N1034" s="40">
        <v>320731</v>
      </c>
      <c r="O1034" s="40">
        <v>311327</v>
      </c>
      <c r="P1034" s="40">
        <v>0</v>
      </c>
      <c r="Q1034" s="40">
        <v>99309</v>
      </c>
      <c r="R1034" s="40">
        <v>533351</v>
      </c>
      <c r="S1034" s="40">
        <v>354356</v>
      </c>
      <c r="T1034" s="37">
        <v>30000</v>
      </c>
      <c r="U1034" s="40">
        <v>3220400</v>
      </c>
      <c r="V1034" s="40">
        <v>0</v>
      </c>
      <c r="W1034" s="45">
        <f>+SUM(N1034:V1034)</f>
        <v>4869474</v>
      </c>
      <c r="X1034" s="46">
        <f t="shared" si="54"/>
        <v>7.794537293505253</v>
      </c>
    </row>
    <row r="1035" spans="1:24" s="4" customFormat="1" ht="15" customHeight="1">
      <c r="A1035" s="28" t="s">
        <v>1109</v>
      </c>
      <c r="B1035" s="29">
        <v>3106.0650000000001</v>
      </c>
      <c r="C1035" s="30" t="s">
        <v>1599</v>
      </c>
      <c r="D1035" s="2">
        <v>4948892100</v>
      </c>
      <c r="E1035" s="2" t="s">
        <v>36</v>
      </c>
      <c r="F1035" s="2" t="s">
        <v>1600</v>
      </c>
      <c r="G1035" s="28" t="s">
        <v>5</v>
      </c>
      <c r="H1035" s="2" t="s">
        <v>26</v>
      </c>
      <c r="I1035" s="2">
        <v>1</v>
      </c>
      <c r="J1035" s="2" t="s">
        <v>1601</v>
      </c>
      <c r="K1035" s="2">
        <v>34028.9</v>
      </c>
      <c r="L1035" s="35">
        <f>B1035*K1035</f>
        <v>105695975.27850001</v>
      </c>
      <c r="M1035" s="36">
        <v>19704.053</v>
      </c>
      <c r="N1035" s="40">
        <v>324484</v>
      </c>
      <c r="O1035" s="40">
        <v>189991.112213518</v>
      </c>
      <c r="P1035" s="40">
        <v>741204.49719627399</v>
      </c>
      <c r="Q1035" s="40">
        <v>49563.224325847499</v>
      </c>
      <c r="R1035" s="40">
        <f>492932.714712437+109201</f>
        <v>602133.71471243701</v>
      </c>
      <c r="S1035" s="40">
        <v>176852.30864483601</v>
      </c>
      <c r="T1035" s="37">
        <v>30000</v>
      </c>
      <c r="U1035" s="40">
        <v>0</v>
      </c>
      <c r="V1035" s="40">
        <v>0</v>
      </c>
      <c r="W1035" s="45">
        <f t="shared" ref="W1035:W1040" si="55">+SUM(N1035:V1035)</f>
        <v>2114228.8570929123</v>
      </c>
      <c r="X1035" s="46">
        <f t="shared" si="54"/>
        <v>2.0002926805132333</v>
      </c>
    </row>
    <row r="1036" spans="1:24" s="4" customFormat="1" ht="15" customHeight="1">
      <c r="A1036" s="28" t="s">
        <v>1109</v>
      </c>
      <c r="B1036" s="29">
        <v>3106.0650000000001</v>
      </c>
      <c r="C1036" s="30" t="s">
        <v>1599</v>
      </c>
      <c r="D1036" s="2">
        <v>4949229729</v>
      </c>
      <c r="E1036" s="2" t="s">
        <v>36</v>
      </c>
      <c r="F1036" s="2" t="s">
        <v>1600</v>
      </c>
      <c r="G1036" s="28" t="s">
        <v>5</v>
      </c>
      <c r="H1036" s="2" t="s">
        <v>26</v>
      </c>
      <c r="I1036" s="2">
        <v>1</v>
      </c>
      <c r="J1036" s="2" t="s">
        <v>1602</v>
      </c>
      <c r="K1036" s="2">
        <v>34154.230000000003</v>
      </c>
      <c r="L1036" s="35">
        <f>B1036*K1036</f>
        <v>106085258.40495001</v>
      </c>
      <c r="M1036" s="36">
        <v>19776.627</v>
      </c>
      <c r="N1036" s="40">
        <v>324484</v>
      </c>
      <c r="O1036" s="40">
        <v>190690.887786482</v>
      </c>
      <c r="P1036" s="40">
        <v>743934.50280372601</v>
      </c>
      <c r="Q1036" s="40">
        <v>49745.775674152501</v>
      </c>
      <c r="R1036" s="40">
        <f>494748.285287563+109201</f>
        <v>603949.28528756299</v>
      </c>
      <c r="S1036" s="40">
        <v>177503.69135516399</v>
      </c>
      <c r="T1036" s="37">
        <v>30000</v>
      </c>
      <c r="U1036" s="40">
        <v>0</v>
      </c>
      <c r="V1036" s="40">
        <v>0</v>
      </c>
      <c r="W1036" s="45">
        <f t="shared" si="55"/>
        <v>2120308.1429070877</v>
      </c>
      <c r="X1036" s="46">
        <f t="shared" si="54"/>
        <v>1.9986831109119991</v>
      </c>
    </row>
    <row r="1037" spans="1:24" ht="15" customHeight="1">
      <c r="G1037"/>
      <c r="I1037"/>
      <c r="N1037"/>
      <c r="O1037" s="24"/>
      <c r="P1037"/>
      <c r="Q1037" s="24"/>
      <c r="R1037"/>
      <c r="S1037"/>
      <c r="T1037"/>
      <c r="U1037"/>
      <c r="X1037" s="60"/>
    </row>
    <row r="1038" spans="1:24" ht="15" customHeight="1">
      <c r="A1038" s="31" t="s">
        <v>1109</v>
      </c>
      <c r="B1038" s="31"/>
      <c r="C1038" s="31"/>
      <c r="D1038" s="31"/>
      <c r="E1038" s="31"/>
      <c r="F1038" s="32">
        <v>200</v>
      </c>
      <c r="G1038" s="31"/>
      <c r="H1038" s="31"/>
      <c r="I1038" s="38"/>
      <c r="J1038" s="31"/>
      <c r="K1038" s="39">
        <f>+SUM(K712:K1036)</f>
        <v>8722804.3599999994</v>
      </c>
      <c r="L1038" s="39">
        <f>+SUM(L712:L1036)</f>
        <v>27093597324.443413</v>
      </c>
      <c r="M1038" s="31"/>
      <c r="N1038" s="39"/>
      <c r="O1038" s="39"/>
      <c r="P1038" s="39"/>
      <c r="Q1038" s="39"/>
      <c r="R1038" s="39"/>
      <c r="S1038" s="39"/>
      <c r="T1038" s="39"/>
      <c r="U1038" s="39"/>
      <c r="V1038" s="31"/>
      <c r="W1038" s="39">
        <f>+SUM(W712:W1036)</f>
        <v>958818489.82282102</v>
      </c>
      <c r="X1038" s="47">
        <f t="shared" si="54"/>
        <v>3.5389117153438692</v>
      </c>
    </row>
    <row r="1039" spans="1:24" ht="15" customHeight="1">
      <c r="G1039"/>
      <c r="I1039"/>
      <c r="N1039"/>
      <c r="O1039" s="24"/>
      <c r="P1039"/>
      <c r="Q1039" s="24"/>
      <c r="R1039"/>
      <c r="S1039"/>
      <c r="T1039"/>
      <c r="U1039"/>
      <c r="X1039" s="60"/>
    </row>
    <row r="1040" spans="1:24" s="4" customFormat="1" ht="15" customHeight="1">
      <c r="A1040" s="28" t="s">
        <v>1603</v>
      </c>
      <c r="B1040" s="29">
        <v>3149.63</v>
      </c>
      <c r="C1040" s="30" t="s">
        <v>1469</v>
      </c>
      <c r="D1040" s="2">
        <v>4949168415</v>
      </c>
      <c r="E1040" s="2" t="s">
        <v>36</v>
      </c>
      <c r="F1040" s="2" t="s">
        <v>1470</v>
      </c>
      <c r="G1040" s="28" t="s">
        <v>5</v>
      </c>
      <c r="H1040" s="2" t="s">
        <v>26</v>
      </c>
      <c r="I1040" s="2">
        <v>4</v>
      </c>
      <c r="J1040" s="2" t="s">
        <v>1604</v>
      </c>
      <c r="K1040" s="2">
        <v>73098</v>
      </c>
      <c r="L1040" s="35">
        <f>+B1040*K1040</f>
        <v>230231653.74000001</v>
      </c>
      <c r="M1040" s="36">
        <v>78600</v>
      </c>
      <c r="N1040" s="40">
        <v>1272976</v>
      </c>
      <c r="O1040" s="40">
        <v>1992976</v>
      </c>
      <c r="P1040" s="40">
        <v>6311840</v>
      </c>
      <c r="Q1040" s="40">
        <v>496548</v>
      </c>
      <c r="R1040" s="40">
        <v>3529751</v>
      </c>
      <c r="S1040" s="40">
        <v>354356</v>
      </c>
      <c r="T1040" s="37"/>
      <c r="U1040" s="40">
        <v>0</v>
      </c>
      <c r="V1040" s="40">
        <v>0</v>
      </c>
      <c r="W1040" s="45">
        <f t="shared" si="55"/>
        <v>13958447</v>
      </c>
      <c r="X1040" s="46">
        <f>(W1040/L1040)*100</f>
        <v>6.0627836239074391</v>
      </c>
    </row>
    <row r="1041" spans="1:24" s="4" customFormat="1" ht="15" customHeight="1">
      <c r="A1041" s="28" t="s">
        <v>1603</v>
      </c>
      <c r="B1041" s="29">
        <v>3149.63</v>
      </c>
      <c r="C1041" s="30" t="s">
        <v>1605</v>
      </c>
      <c r="D1041" s="2">
        <v>4949197088</v>
      </c>
      <c r="E1041" s="2" t="s">
        <v>33</v>
      </c>
      <c r="F1041" s="2" t="s">
        <v>1606</v>
      </c>
      <c r="G1041" s="28" t="s">
        <v>5</v>
      </c>
      <c r="H1041" s="2" t="s">
        <v>17</v>
      </c>
      <c r="I1041" s="2">
        <v>2</v>
      </c>
      <c r="J1041" s="2" t="s">
        <v>1607</v>
      </c>
      <c r="K1041" s="2">
        <v>13740</v>
      </c>
      <c r="L1041" s="35">
        <f t="shared" ref="L1041:L1104" si="56">+B1041*K1041</f>
        <v>43275916.200000003</v>
      </c>
      <c r="M1041" s="36">
        <v>125</v>
      </c>
      <c r="N1041" s="40">
        <v>121030.566037736</v>
      </c>
      <c r="O1041" s="40">
        <v>108891.370558376</v>
      </c>
      <c r="P1041" s="40">
        <v>0</v>
      </c>
      <c r="Q1041" s="40">
        <v>25205.4568527919</v>
      </c>
      <c r="R1041" s="40">
        <v>287064.15094339597</v>
      </c>
      <c r="S1041" s="40">
        <v>66859.622641509399</v>
      </c>
      <c r="T1041" s="40"/>
      <c r="U1041" s="40">
        <v>1780773.58490566</v>
      </c>
      <c r="V1041" s="40">
        <v>0</v>
      </c>
      <c r="W1041" s="45">
        <f t="shared" ref="W1041:W1104" si="57">+SUM(N1041:V1041)</f>
        <v>2389824.751939469</v>
      </c>
      <c r="X1041" s="46">
        <f t="shared" ref="X1041:X1104" si="58">(W1041/L1041)*100</f>
        <v>5.5222973001770184</v>
      </c>
    </row>
    <row r="1042" spans="1:24" s="4" customFormat="1" ht="15" customHeight="1">
      <c r="A1042" s="28" t="s">
        <v>1603</v>
      </c>
      <c r="B1042" s="29">
        <v>3149.63</v>
      </c>
      <c r="C1042" s="30" t="s">
        <v>1605</v>
      </c>
      <c r="D1042" s="2">
        <v>4949197088</v>
      </c>
      <c r="E1042" s="2" t="s">
        <v>33</v>
      </c>
      <c r="F1042" s="2" t="s">
        <v>1606</v>
      </c>
      <c r="G1042" s="28" t="s">
        <v>5</v>
      </c>
      <c r="H1042" s="2" t="s">
        <v>17</v>
      </c>
      <c r="I1042" s="2">
        <v>2</v>
      </c>
      <c r="J1042" s="2" t="s">
        <v>1607</v>
      </c>
      <c r="K1042" s="2">
        <f>7557.63+7487.65</f>
        <v>15045.279999999999</v>
      </c>
      <c r="L1042" s="35">
        <f t="shared" si="56"/>
        <v>47387065.246399999</v>
      </c>
      <c r="M1042" s="36">
        <v>430</v>
      </c>
      <c r="N1042" s="40">
        <v>185620.54477987401</v>
      </c>
      <c r="O1042" s="40">
        <v>374586.31472081202</v>
      </c>
      <c r="P1042" s="40">
        <v>0</v>
      </c>
      <c r="Q1042" s="40">
        <v>86706.771573604099</v>
      </c>
      <c r="R1042" s="40">
        <f>376306.819496855+63975</f>
        <v>440281.81949685502</v>
      </c>
      <c r="S1042" s="40">
        <v>102540.374591195</v>
      </c>
      <c r="T1042" s="40"/>
      <c r="U1042" s="40">
        <v>2731113.08805031</v>
      </c>
      <c r="V1042" s="40">
        <v>0</v>
      </c>
      <c r="W1042" s="45">
        <f t="shared" si="57"/>
        <v>3920848.9132126505</v>
      </c>
      <c r="X1042" s="46">
        <f t="shared" si="58"/>
        <v>8.2740910263703622</v>
      </c>
    </row>
    <row r="1043" spans="1:24" s="4" customFormat="1" ht="15" customHeight="1">
      <c r="A1043" s="28" t="s">
        <v>1603</v>
      </c>
      <c r="B1043" s="29">
        <v>3149.63</v>
      </c>
      <c r="C1043" s="30" t="s">
        <v>1605</v>
      </c>
      <c r="D1043" s="2">
        <v>4949197088</v>
      </c>
      <c r="E1043" s="2" t="s">
        <v>33</v>
      </c>
      <c r="F1043" s="2" t="s">
        <v>1606</v>
      </c>
      <c r="G1043" s="28" t="s">
        <v>5</v>
      </c>
      <c r="H1043" s="2" t="s">
        <v>17</v>
      </c>
      <c r="I1043" s="2">
        <v>2</v>
      </c>
      <c r="J1043" s="2" t="s">
        <v>1607</v>
      </c>
      <c r="K1043" s="2">
        <v>25809.83</v>
      </c>
      <c r="L1043" s="35">
        <f t="shared" si="56"/>
        <v>81291414.862900004</v>
      </c>
      <c r="M1043" s="36">
        <v>430</v>
      </c>
      <c r="N1043" s="40">
        <v>334810.88918239</v>
      </c>
      <c r="O1043" s="40">
        <v>374586.31472081202</v>
      </c>
      <c r="P1043" s="40">
        <v>0</v>
      </c>
      <c r="Q1043" s="40">
        <v>86706.771573604099</v>
      </c>
      <c r="R1043" s="40">
        <f>678759.029559748+115356</f>
        <v>794115.02955974801</v>
      </c>
      <c r="S1043" s="40">
        <v>184956.00276729601</v>
      </c>
      <c r="T1043" s="40"/>
      <c r="U1043" s="40">
        <v>4926213.3270440297</v>
      </c>
      <c r="V1043" s="40">
        <v>0</v>
      </c>
      <c r="W1043" s="45">
        <f t="shared" si="57"/>
        <v>6701388.3348478796</v>
      </c>
      <c r="X1043" s="46">
        <f t="shared" si="58"/>
        <v>8.2436605958328286</v>
      </c>
    </row>
    <row r="1044" spans="1:24" s="4" customFormat="1" ht="15" customHeight="1">
      <c r="A1044" s="28" t="s">
        <v>1603</v>
      </c>
      <c r="B1044" s="29">
        <v>3149.63</v>
      </c>
      <c r="C1044" s="30" t="s">
        <v>1608</v>
      </c>
      <c r="D1044" s="2">
        <v>4949355681</v>
      </c>
      <c r="E1044" s="2" t="s">
        <v>24</v>
      </c>
      <c r="F1044" s="2" t="s">
        <v>1609</v>
      </c>
      <c r="G1044" s="28" t="s">
        <v>5</v>
      </c>
      <c r="H1044" s="2" t="s">
        <v>26</v>
      </c>
      <c r="I1044" s="2">
        <v>2</v>
      </c>
      <c r="J1044" s="2" t="s">
        <v>1610</v>
      </c>
      <c r="K1044" s="2">
        <v>63148.4</v>
      </c>
      <c r="L1044" s="35">
        <f t="shared" si="56"/>
        <v>198894095.09200001</v>
      </c>
      <c r="M1044" s="36">
        <v>47480</v>
      </c>
      <c r="N1044" s="40">
        <v>0</v>
      </c>
      <c r="O1044" s="40">
        <v>749587</v>
      </c>
      <c r="P1044" s="40">
        <v>269832</v>
      </c>
      <c r="Q1044" s="40">
        <v>218630</v>
      </c>
      <c r="R1044" s="40">
        <v>1528392</v>
      </c>
      <c r="S1044" s="40">
        <v>354356</v>
      </c>
      <c r="T1044" s="40"/>
      <c r="U1044" s="40">
        <v>0</v>
      </c>
      <c r="V1044" s="40">
        <v>0</v>
      </c>
      <c r="W1044" s="45">
        <f t="shared" si="57"/>
        <v>3120797</v>
      </c>
      <c r="X1044" s="46">
        <f t="shared" si="58"/>
        <v>1.5690747372647997</v>
      </c>
    </row>
    <row r="1045" spans="1:24" s="4" customFormat="1" ht="15" customHeight="1">
      <c r="A1045" s="28" t="s">
        <v>1603</v>
      </c>
      <c r="B1045" s="29">
        <v>3149.63</v>
      </c>
      <c r="C1045" s="30" t="s">
        <v>1611</v>
      </c>
      <c r="D1045" s="2">
        <v>4949816212</v>
      </c>
      <c r="E1045" s="2" t="s">
        <v>24</v>
      </c>
      <c r="F1045" s="2" t="s">
        <v>1612</v>
      </c>
      <c r="G1045" s="28" t="s">
        <v>5</v>
      </c>
      <c r="H1045" s="2" t="s">
        <v>26</v>
      </c>
      <c r="I1045" s="2">
        <v>1</v>
      </c>
      <c r="J1045" s="2" t="s">
        <v>1613</v>
      </c>
      <c r="K1045" s="2">
        <v>32199.3</v>
      </c>
      <c r="L1045" s="35">
        <f t="shared" si="56"/>
        <v>101415881.259</v>
      </c>
      <c r="M1045" s="36">
        <v>24210</v>
      </c>
      <c r="N1045" s="40">
        <v>0</v>
      </c>
      <c r="O1045" s="40">
        <v>374794</v>
      </c>
      <c r="P1045" s="40">
        <v>134916</v>
      </c>
      <c r="Q1045" s="40">
        <v>109315</v>
      </c>
      <c r="R1045" s="40">
        <v>764217</v>
      </c>
      <c r="S1045" s="40">
        <v>354356</v>
      </c>
      <c r="T1045" s="40"/>
      <c r="U1045" s="40">
        <v>0</v>
      </c>
      <c r="V1045" s="40">
        <v>0</v>
      </c>
      <c r="W1045" s="45">
        <f t="shared" si="57"/>
        <v>1737598</v>
      </c>
      <c r="X1045" s="46">
        <f t="shared" si="58"/>
        <v>1.713339152043112</v>
      </c>
    </row>
    <row r="1046" spans="1:24" s="4" customFormat="1" ht="15" customHeight="1">
      <c r="A1046" s="28" t="s">
        <v>1603</v>
      </c>
      <c r="B1046" s="29">
        <v>3149.63</v>
      </c>
      <c r="C1046" s="30" t="s">
        <v>1614</v>
      </c>
      <c r="D1046" s="2">
        <v>4949599812</v>
      </c>
      <c r="E1046" s="2" t="s">
        <v>24</v>
      </c>
      <c r="F1046" s="2" t="s">
        <v>1615</v>
      </c>
      <c r="G1046" s="28" t="s">
        <v>5</v>
      </c>
      <c r="H1046" s="2" t="s">
        <v>26</v>
      </c>
      <c r="I1046" s="2">
        <v>2</v>
      </c>
      <c r="J1046" s="2" t="s">
        <v>1616</v>
      </c>
      <c r="K1046" s="2">
        <f>32272.45+32192.65</f>
        <v>64465.100000000006</v>
      </c>
      <c r="L1046" s="35">
        <f t="shared" si="56"/>
        <v>203041212.91300002</v>
      </c>
      <c r="M1046" s="36">
        <v>48470</v>
      </c>
      <c r="N1046" s="40">
        <v>0</v>
      </c>
      <c r="O1046" s="40">
        <v>749587</v>
      </c>
      <c r="P1046" s="40">
        <v>269833</v>
      </c>
      <c r="Q1046" s="40">
        <v>218630</v>
      </c>
      <c r="R1046" s="40">
        <v>1522432</v>
      </c>
      <c r="S1046" s="40">
        <v>354356</v>
      </c>
      <c r="T1046" s="40"/>
      <c r="U1046" s="40">
        <v>0</v>
      </c>
      <c r="V1046" s="40">
        <v>0</v>
      </c>
      <c r="W1046" s="45">
        <f t="shared" si="57"/>
        <v>3114838</v>
      </c>
      <c r="X1046" s="46">
        <f t="shared" si="58"/>
        <v>1.5340915055184681</v>
      </c>
    </row>
    <row r="1047" spans="1:24" s="4" customFormat="1" ht="15" customHeight="1">
      <c r="A1047" s="28" t="s">
        <v>1603</v>
      </c>
      <c r="B1047" s="29">
        <v>3149.63</v>
      </c>
      <c r="C1047" s="30" t="s">
        <v>1617</v>
      </c>
      <c r="D1047" s="2">
        <v>4949329797</v>
      </c>
      <c r="E1047" s="2" t="s">
        <v>14</v>
      </c>
      <c r="F1047" s="2" t="s">
        <v>1618</v>
      </c>
      <c r="G1047" s="28" t="s">
        <v>5</v>
      </c>
      <c r="H1047" s="2" t="s">
        <v>20</v>
      </c>
      <c r="I1047" s="2">
        <v>1</v>
      </c>
      <c r="J1047" s="2" t="s">
        <v>1619</v>
      </c>
      <c r="K1047" s="2">
        <v>18576</v>
      </c>
      <c r="L1047" s="35">
        <f t="shared" si="56"/>
        <v>58507526.880000003</v>
      </c>
      <c r="M1047" s="36">
        <v>21600</v>
      </c>
      <c r="N1047" s="40">
        <v>320731</v>
      </c>
      <c r="O1047" s="40">
        <v>327035</v>
      </c>
      <c r="P1047" s="40">
        <v>134916</v>
      </c>
      <c r="Q1047" s="40">
        <v>99309</v>
      </c>
      <c r="R1047" s="40">
        <v>594675</v>
      </c>
      <c r="S1047" s="40">
        <v>354356</v>
      </c>
      <c r="T1047" s="40">
        <v>30000</v>
      </c>
      <c r="U1047" s="40">
        <v>2589900</v>
      </c>
      <c r="V1047" s="40">
        <v>0</v>
      </c>
      <c r="W1047" s="45">
        <f t="shared" si="57"/>
        <v>4450922</v>
      </c>
      <c r="X1047" s="46">
        <f t="shared" si="58"/>
        <v>7.6074348675323797</v>
      </c>
    </row>
    <row r="1048" spans="1:24" s="4" customFormat="1" ht="15" customHeight="1">
      <c r="A1048" s="28" t="s">
        <v>1603</v>
      </c>
      <c r="B1048" s="29">
        <v>3149.63</v>
      </c>
      <c r="C1048" s="30" t="s">
        <v>1620</v>
      </c>
      <c r="D1048" s="2">
        <v>4948931073</v>
      </c>
      <c r="E1048" s="2" t="s">
        <v>33</v>
      </c>
      <c r="F1048" s="2" t="s">
        <v>1621</v>
      </c>
      <c r="G1048" s="28" t="s">
        <v>5</v>
      </c>
      <c r="H1048" s="2" t="s">
        <v>17</v>
      </c>
      <c r="I1048" s="2">
        <v>1</v>
      </c>
      <c r="J1048" s="2" t="s">
        <v>1622</v>
      </c>
      <c r="K1048" s="2">
        <f>9228.21+19994.46</f>
        <v>29222.67</v>
      </c>
      <c r="L1048" s="35">
        <f t="shared" si="56"/>
        <v>92040598.11209999</v>
      </c>
      <c r="M1048" s="36">
        <v>3648</v>
      </c>
      <c r="N1048" s="40">
        <v>138102.38191467299</v>
      </c>
      <c r="O1048" s="40">
        <v>186411.23582658399</v>
      </c>
      <c r="P1048" s="40">
        <v>0</v>
      </c>
      <c r="Q1048" s="40">
        <v>43149.027155788499</v>
      </c>
      <c r="R1048" s="40">
        <f>227474.879085853+47901</f>
        <v>275375.879085853</v>
      </c>
      <c r="S1048" s="40">
        <v>152580.84702057499</v>
      </c>
      <c r="T1048" s="40"/>
      <c r="U1048" s="40">
        <v>2449627.1200216701</v>
      </c>
      <c r="V1048" s="40">
        <v>0</v>
      </c>
      <c r="W1048" s="45">
        <f t="shared" si="57"/>
        <v>3245246.4910251433</v>
      </c>
      <c r="X1048" s="46">
        <f t="shared" si="58"/>
        <v>3.5258859216371299</v>
      </c>
    </row>
    <row r="1049" spans="1:24" s="4" customFormat="1" ht="15" customHeight="1">
      <c r="A1049" s="28" t="s">
        <v>1603</v>
      </c>
      <c r="B1049" s="29">
        <v>3149.63</v>
      </c>
      <c r="C1049" s="30" t="s">
        <v>1620</v>
      </c>
      <c r="D1049" s="2">
        <v>4948931073</v>
      </c>
      <c r="E1049" s="2" t="s">
        <v>33</v>
      </c>
      <c r="F1049" s="2" t="s">
        <v>1621</v>
      </c>
      <c r="G1049" s="28" t="s">
        <v>5</v>
      </c>
      <c r="H1049" s="2" t="s">
        <v>17</v>
      </c>
      <c r="I1049" s="2">
        <v>1</v>
      </c>
      <c r="J1049" s="2" t="s">
        <v>1622</v>
      </c>
      <c r="K1049" s="2">
        <v>32864.83</v>
      </c>
      <c r="L1049" s="35">
        <f t="shared" si="56"/>
        <v>103512054.51290001</v>
      </c>
      <c r="M1049" s="36">
        <v>3648</v>
      </c>
      <c r="N1049" s="40">
        <v>166655.19505315</v>
      </c>
      <c r="O1049" s="40">
        <v>186411.23582658399</v>
      </c>
      <c r="P1049" s="40">
        <v>0</v>
      </c>
      <c r="Q1049" s="40">
        <v>43149.027155788499</v>
      </c>
      <c r="R1049" s="40">
        <f>274505.550289257+57804</f>
        <v>332309.55028925702</v>
      </c>
      <c r="S1049" s="40">
        <v>184127.098092339</v>
      </c>
      <c r="T1049" s="40"/>
      <c r="U1049" s="40">
        <v>2956090.1110810102</v>
      </c>
      <c r="V1049" s="40">
        <v>0</v>
      </c>
      <c r="W1049" s="45">
        <f t="shared" si="57"/>
        <v>3868742.2174981288</v>
      </c>
      <c r="X1049" s="46">
        <f t="shared" si="58"/>
        <v>3.7374798864764038</v>
      </c>
    </row>
    <row r="1050" spans="1:24" s="4" customFormat="1" ht="15" customHeight="1">
      <c r="A1050" s="28" t="s">
        <v>1603</v>
      </c>
      <c r="B1050" s="29">
        <v>3149.63</v>
      </c>
      <c r="C1050" s="30" t="s">
        <v>1620</v>
      </c>
      <c r="D1050" s="2">
        <v>4948931073</v>
      </c>
      <c r="E1050" s="2" t="s">
        <v>33</v>
      </c>
      <c r="F1050" s="2" t="s">
        <v>1621</v>
      </c>
      <c r="G1050" s="28" t="s">
        <v>5</v>
      </c>
      <c r="H1050" s="2" t="s">
        <v>17</v>
      </c>
      <c r="I1050" s="2">
        <v>1</v>
      </c>
      <c r="J1050" s="2" t="s">
        <v>1622</v>
      </c>
      <c r="K1050" s="2">
        <f>2000+2500</f>
        <v>4500</v>
      </c>
      <c r="L1050" s="35">
        <f t="shared" si="56"/>
        <v>14173335</v>
      </c>
      <c r="M1050" s="36">
        <v>900</v>
      </c>
      <c r="N1050" s="40">
        <v>14376.080728959199</v>
      </c>
      <c r="O1050" s="40">
        <v>45989.614101953302</v>
      </c>
      <c r="P1050" s="40">
        <v>0</v>
      </c>
      <c r="Q1050" s="40">
        <v>10645.3191996189</v>
      </c>
      <c r="R1050" s="40">
        <f>23679.5135624014+4986</f>
        <v>28665.5135624014</v>
      </c>
      <c r="S1050" s="40">
        <v>15883.2493983776</v>
      </c>
      <c r="T1050" s="40"/>
      <c r="U1050" s="40">
        <v>254999.492007586</v>
      </c>
      <c r="V1050" s="40">
        <v>0</v>
      </c>
      <c r="W1050" s="45">
        <f t="shared" si="57"/>
        <v>370559.26899889641</v>
      </c>
      <c r="X1050" s="46">
        <f t="shared" si="58"/>
        <v>2.6144818350719601</v>
      </c>
    </row>
    <row r="1051" spans="1:24" s="4" customFormat="1" ht="15" customHeight="1">
      <c r="A1051" s="28" t="s">
        <v>1603</v>
      </c>
      <c r="B1051" s="29">
        <v>3149.63</v>
      </c>
      <c r="C1051" s="30" t="s">
        <v>1620</v>
      </c>
      <c r="D1051" s="2">
        <v>4948931073</v>
      </c>
      <c r="E1051" s="2" t="s">
        <v>33</v>
      </c>
      <c r="F1051" s="2" t="s">
        <v>1621</v>
      </c>
      <c r="G1051" s="28" t="s">
        <v>5</v>
      </c>
      <c r="H1051" s="2" t="s">
        <v>17</v>
      </c>
      <c r="I1051" s="2">
        <v>1</v>
      </c>
      <c r="J1051" s="2" t="s">
        <v>1622</v>
      </c>
      <c r="K1051" s="2">
        <v>518</v>
      </c>
      <c r="L1051" s="35">
        <f t="shared" si="56"/>
        <v>1631508.34</v>
      </c>
      <c r="M1051" s="36">
        <v>200</v>
      </c>
      <c r="N1051" s="40">
        <v>1597.34230321768</v>
      </c>
      <c r="O1051" s="40">
        <v>10219.914244878501</v>
      </c>
      <c r="P1051" s="40">
        <v>0</v>
      </c>
      <c r="Q1051" s="40">
        <v>2365.6264888041901</v>
      </c>
      <c r="R1051" s="40">
        <v>3185.0570624890402</v>
      </c>
      <c r="S1051" s="40">
        <v>1764.80548870862</v>
      </c>
      <c r="T1051" s="40"/>
      <c r="U1051" s="40">
        <v>28333.276889731798</v>
      </c>
      <c r="V1051" s="40">
        <v>0</v>
      </c>
      <c r="W1051" s="45">
        <f t="shared" si="57"/>
        <v>47466.022477829829</v>
      </c>
      <c r="X1051" s="46">
        <f t="shared" si="58"/>
        <v>2.9093337321113433</v>
      </c>
    </row>
    <row r="1052" spans="1:24" s="4" customFormat="1" ht="15" customHeight="1">
      <c r="A1052" s="28" t="s">
        <v>1603</v>
      </c>
      <c r="B1052" s="29">
        <v>3149.63</v>
      </c>
      <c r="C1052" s="30" t="s">
        <v>1623</v>
      </c>
      <c r="D1052" s="2">
        <v>4949188788</v>
      </c>
      <c r="E1052" s="2" t="s">
        <v>38</v>
      </c>
      <c r="F1052" s="2" t="s">
        <v>1624</v>
      </c>
      <c r="G1052" s="28" t="s">
        <v>9</v>
      </c>
      <c r="H1052" s="2" t="s">
        <v>23</v>
      </c>
      <c r="I1052" s="2">
        <v>5</v>
      </c>
      <c r="J1052" s="2"/>
      <c r="K1052" s="2">
        <v>7308</v>
      </c>
      <c r="L1052" s="35">
        <f t="shared" si="56"/>
        <v>23017496.039999999</v>
      </c>
      <c r="M1052" s="36">
        <v>3600</v>
      </c>
      <c r="N1052" s="40">
        <v>637351.05882352905</v>
      </c>
      <c r="O1052" s="40">
        <v>2380.9411764705901</v>
      </c>
      <c r="P1052" s="40">
        <v>0</v>
      </c>
      <c r="Q1052" s="40">
        <v>58845.882352941197</v>
      </c>
      <c r="R1052" s="40">
        <v>123074.82352941199</v>
      </c>
      <c r="S1052" s="40">
        <v>250133.64705882399</v>
      </c>
      <c r="T1052" s="40"/>
      <c r="U1052" s="40">
        <v>1472117.6470588199</v>
      </c>
      <c r="V1052" s="40">
        <v>0</v>
      </c>
      <c r="W1052" s="45">
        <f t="shared" si="57"/>
        <v>2543903.9999999967</v>
      </c>
      <c r="X1052" s="46">
        <f t="shared" si="58"/>
        <v>11.052044912179756</v>
      </c>
    </row>
    <row r="1053" spans="1:24" s="4" customFormat="1" ht="15" customHeight="1">
      <c r="A1053" s="28" t="s">
        <v>1603</v>
      </c>
      <c r="B1053" s="29">
        <v>3149.63</v>
      </c>
      <c r="C1053" s="30" t="s">
        <v>1623</v>
      </c>
      <c r="D1053" s="2">
        <v>4949188792</v>
      </c>
      <c r="E1053" s="2" t="s">
        <v>38</v>
      </c>
      <c r="F1053" s="2" t="s">
        <v>1624</v>
      </c>
      <c r="G1053" s="28" t="s">
        <v>9</v>
      </c>
      <c r="H1053" s="2" t="s">
        <v>23</v>
      </c>
      <c r="I1053" s="2">
        <v>5</v>
      </c>
      <c r="J1053" s="2"/>
      <c r="K1053" s="2">
        <v>3045</v>
      </c>
      <c r="L1053" s="35">
        <f t="shared" si="56"/>
        <v>9590623.3499999996</v>
      </c>
      <c r="M1053" s="36">
        <v>1500</v>
      </c>
      <c r="N1053" s="40">
        <v>265562.94117647101</v>
      </c>
      <c r="O1053" s="40">
        <v>992.05882352941205</v>
      </c>
      <c r="P1053" s="40">
        <v>0</v>
      </c>
      <c r="Q1053" s="40">
        <v>24519.1176470588</v>
      </c>
      <c r="R1053" s="40">
        <v>51281.176470588201</v>
      </c>
      <c r="S1053" s="40">
        <v>104222.352941176</v>
      </c>
      <c r="T1053" s="40"/>
      <c r="U1053" s="40">
        <v>613382.35294117697</v>
      </c>
      <c r="V1053" s="40">
        <v>0</v>
      </c>
      <c r="W1053" s="45">
        <f t="shared" si="57"/>
        <v>1059960.0000000005</v>
      </c>
      <c r="X1053" s="46">
        <f t="shared" si="58"/>
        <v>11.052044912179774</v>
      </c>
    </row>
    <row r="1054" spans="1:24" s="4" customFormat="1" ht="15" customHeight="1">
      <c r="A1054" s="28" t="s">
        <v>1603</v>
      </c>
      <c r="B1054" s="29">
        <v>3149.63</v>
      </c>
      <c r="C1054" s="30" t="s">
        <v>1625</v>
      </c>
      <c r="D1054" s="2">
        <v>4948892086</v>
      </c>
      <c r="E1054" s="2" t="s">
        <v>36</v>
      </c>
      <c r="F1054" s="2" t="s">
        <v>1626</v>
      </c>
      <c r="G1054" s="28" t="s">
        <v>5</v>
      </c>
      <c r="H1054" s="2" t="s">
        <v>20</v>
      </c>
      <c r="I1054" s="2">
        <v>3</v>
      </c>
      <c r="J1054" s="2" t="s">
        <v>1627</v>
      </c>
      <c r="K1054" s="2">
        <v>109980</v>
      </c>
      <c r="L1054" s="35">
        <f t="shared" si="56"/>
        <v>346396307.40000004</v>
      </c>
      <c r="M1054" s="36">
        <v>58500</v>
      </c>
      <c r="N1054" s="40">
        <v>887060</v>
      </c>
      <c r="O1054" s="40">
        <v>981107</v>
      </c>
      <c r="P1054" s="40">
        <v>1254495</v>
      </c>
      <c r="Q1054" s="40">
        <v>297298</v>
      </c>
      <c r="R1054" s="40">
        <v>2548425</v>
      </c>
      <c r="S1054" s="40">
        <v>354356</v>
      </c>
      <c r="T1054" s="40"/>
      <c r="U1054" s="40">
        <v>1557900</v>
      </c>
      <c r="V1054" s="40">
        <v>0</v>
      </c>
      <c r="W1054" s="45">
        <f t="shared" si="57"/>
        <v>7880641</v>
      </c>
      <c r="X1054" s="46">
        <f t="shared" si="58"/>
        <v>2.2750360877547853</v>
      </c>
    </row>
    <row r="1055" spans="1:24" s="4" customFormat="1" ht="15" customHeight="1">
      <c r="A1055" s="28" t="s">
        <v>1603</v>
      </c>
      <c r="B1055" s="29">
        <v>3149.63</v>
      </c>
      <c r="C1055" s="30" t="s">
        <v>1628</v>
      </c>
      <c r="D1055" s="2">
        <v>4946630987</v>
      </c>
      <c r="E1055" s="2" t="s">
        <v>6</v>
      </c>
      <c r="F1055" s="2" t="s">
        <v>1629</v>
      </c>
      <c r="G1055" s="28" t="s">
        <v>5</v>
      </c>
      <c r="H1055" s="2" t="s">
        <v>17</v>
      </c>
      <c r="I1055" s="2">
        <v>1</v>
      </c>
      <c r="J1055" s="2" t="s">
        <v>1630</v>
      </c>
      <c r="K1055" s="2">
        <v>211560</v>
      </c>
      <c r="L1055" s="35">
        <f t="shared" si="56"/>
        <v>666335722.80000007</v>
      </c>
      <c r="M1055" s="36">
        <v>13200</v>
      </c>
      <c r="N1055" s="40">
        <v>0</v>
      </c>
      <c r="O1055" s="40">
        <v>534687</v>
      </c>
      <c r="P1055" s="40">
        <v>0</v>
      </c>
      <c r="Q1055" s="40">
        <v>124137</v>
      </c>
      <c r="R1055" s="40">
        <v>848949</v>
      </c>
      <c r="S1055" s="40">
        <v>354356</v>
      </c>
      <c r="T1055" s="40">
        <v>30000</v>
      </c>
      <c r="U1055" s="40">
        <v>5446550</v>
      </c>
      <c r="V1055" s="40">
        <v>1355000</v>
      </c>
      <c r="W1055" s="45">
        <f t="shared" si="57"/>
        <v>8693679</v>
      </c>
      <c r="X1055" s="46">
        <f t="shared" si="58"/>
        <v>1.3046995234576968</v>
      </c>
    </row>
    <row r="1056" spans="1:24" s="4" customFormat="1" ht="15" customHeight="1">
      <c r="A1056" s="28" t="s">
        <v>1603</v>
      </c>
      <c r="B1056" s="29">
        <v>3149.63</v>
      </c>
      <c r="C1056" s="30" t="s">
        <v>1631</v>
      </c>
      <c r="D1056" s="2">
        <v>4948892084</v>
      </c>
      <c r="E1056" s="2" t="s">
        <v>36</v>
      </c>
      <c r="F1056" s="2" t="s">
        <v>1632</v>
      </c>
      <c r="G1056" s="28" t="s">
        <v>5</v>
      </c>
      <c r="H1056" s="2" t="s">
        <v>20</v>
      </c>
      <c r="I1056" s="2">
        <v>1</v>
      </c>
      <c r="J1056" s="2" t="s">
        <v>1633</v>
      </c>
      <c r="K1056" s="2">
        <v>36660</v>
      </c>
      <c r="L1056" s="35">
        <f t="shared" si="56"/>
        <v>115465435.8</v>
      </c>
      <c r="M1056" s="36">
        <v>19500</v>
      </c>
      <c r="N1056" s="40">
        <v>295686</v>
      </c>
      <c r="O1056" s="40">
        <v>327035</v>
      </c>
      <c r="P1056" s="40">
        <v>418165</v>
      </c>
      <c r="Q1056" s="40">
        <v>99309</v>
      </c>
      <c r="R1056" s="40">
        <v>823861</v>
      </c>
      <c r="S1056" s="40">
        <v>354356</v>
      </c>
      <c r="T1056" s="40"/>
      <c r="U1056" s="40">
        <v>519300</v>
      </c>
      <c r="V1056" s="40">
        <v>0</v>
      </c>
      <c r="W1056" s="45">
        <f t="shared" si="57"/>
        <v>2837712</v>
      </c>
      <c r="X1056" s="46">
        <f t="shared" si="58"/>
        <v>2.4576289695171272</v>
      </c>
    </row>
    <row r="1057" spans="1:24" s="4" customFormat="1" ht="15" customHeight="1">
      <c r="A1057" s="28" t="s">
        <v>1603</v>
      </c>
      <c r="B1057" s="29">
        <v>3149.63</v>
      </c>
      <c r="C1057" s="30" t="s">
        <v>1634</v>
      </c>
      <c r="D1057" s="2">
        <v>4948993026</v>
      </c>
      <c r="E1057" s="2" t="s">
        <v>18</v>
      </c>
      <c r="F1057" s="2" t="s">
        <v>1635</v>
      </c>
      <c r="G1057" s="28" t="s">
        <v>9</v>
      </c>
      <c r="H1057" s="2" t="s">
        <v>23</v>
      </c>
      <c r="I1057" s="2">
        <v>1</v>
      </c>
      <c r="J1057" s="2"/>
      <c r="K1057" s="2">
        <v>989.8</v>
      </c>
      <c r="L1057" s="35">
        <f t="shared" si="56"/>
        <v>3117503.7739999997</v>
      </c>
      <c r="M1057" s="36">
        <v>20</v>
      </c>
      <c r="N1057" s="40">
        <v>1021528</v>
      </c>
      <c r="O1057" s="40">
        <v>62</v>
      </c>
      <c r="P1057" s="40">
        <v>1635</v>
      </c>
      <c r="Q1057" s="40">
        <v>630</v>
      </c>
      <c r="R1057" s="40">
        <v>348495</v>
      </c>
      <c r="S1057" s="40">
        <v>354356</v>
      </c>
      <c r="T1057" s="40">
        <v>30000</v>
      </c>
      <c r="U1057" s="40">
        <v>14336.4779874214</v>
      </c>
      <c r="V1057" s="40">
        <v>0</v>
      </c>
      <c r="W1057" s="45">
        <f t="shared" si="57"/>
        <v>1771042.4779874214</v>
      </c>
      <c r="X1057" s="46">
        <f t="shared" si="58"/>
        <v>56.809633808880243</v>
      </c>
    </row>
    <row r="1058" spans="1:24" s="4" customFormat="1" ht="15" customHeight="1">
      <c r="A1058" s="28" t="s">
        <v>1603</v>
      </c>
      <c r="B1058" s="29">
        <v>3149.63</v>
      </c>
      <c r="C1058" s="30" t="s">
        <v>1636</v>
      </c>
      <c r="D1058" s="2">
        <v>4949286591</v>
      </c>
      <c r="E1058" s="2" t="s">
        <v>14</v>
      </c>
      <c r="F1058" s="2" t="s">
        <v>1637</v>
      </c>
      <c r="G1058" s="28" t="s">
        <v>9</v>
      </c>
      <c r="H1058" s="2" t="s">
        <v>23</v>
      </c>
      <c r="I1058" s="2">
        <v>1</v>
      </c>
      <c r="J1058" s="2"/>
      <c r="K1058" s="2">
        <v>29646</v>
      </c>
      <c r="L1058" s="35">
        <f t="shared" si="56"/>
        <v>93373930.980000004</v>
      </c>
      <c r="M1058" s="36">
        <v>540</v>
      </c>
      <c r="N1058" s="40">
        <v>451161</v>
      </c>
      <c r="O1058" s="40">
        <v>371</v>
      </c>
      <c r="P1058" s="40">
        <v>0</v>
      </c>
      <c r="Q1058" s="40">
        <v>9121</v>
      </c>
      <c r="R1058" s="40">
        <v>91994</v>
      </c>
      <c r="S1058" s="40">
        <v>354356</v>
      </c>
      <c r="T1058" s="40">
        <v>30000</v>
      </c>
      <c r="U1058" s="40">
        <v>671416.363636364</v>
      </c>
      <c r="V1058" s="40">
        <v>0</v>
      </c>
      <c r="W1058" s="45">
        <f t="shared" si="57"/>
        <v>1608419.363636364</v>
      </c>
      <c r="X1058" s="46">
        <f t="shared" si="58"/>
        <v>1.7225571920934497</v>
      </c>
    </row>
    <row r="1059" spans="1:24" s="4" customFormat="1" ht="15" customHeight="1">
      <c r="A1059" s="28" t="s">
        <v>1603</v>
      </c>
      <c r="B1059" s="29">
        <v>3149.63</v>
      </c>
      <c r="C1059" s="30" t="s">
        <v>1638</v>
      </c>
      <c r="D1059" s="2">
        <v>4949366040</v>
      </c>
      <c r="E1059" s="2" t="s">
        <v>14</v>
      </c>
      <c r="F1059" s="2" t="s">
        <v>1639</v>
      </c>
      <c r="G1059" s="28" t="s">
        <v>5</v>
      </c>
      <c r="H1059" s="2" t="s">
        <v>20</v>
      </c>
      <c r="I1059" s="2">
        <v>1</v>
      </c>
      <c r="J1059" s="2" t="s">
        <v>1640</v>
      </c>
      <c r="K1059" s="2">
        <v>10861.2</v>
      </c>
      <c r="L1059" s="35">
        <f t="shared" si="56"/>
        <v>34208761.356000006</v>
      </c>
      <c r="M1059" s="36">
        <v>2520</v>
      </c>
      <c r="N1059" s="40">
        <v>65205.838137472303</v>
      </c>
      <c r="O1059" s="40">
        <v>91164.623893805299</v>
      </c>
      <c r="P1059" s="40">
        <v>99309</v>
      </c>
      <c r="Q1059" s="40">
        <v>27683.482300885</v>
      </c>
      <c r="R1059" s="40">
        <f>74383.5831485588+27938</f>
        <v>102321.5831485588</v>
      </c>
      <c r="S1059" s="40">
        <v>49499.840354767199</v>
      </c>
      <c r="T1059" s="40">
        <v>30000</v>
      </c>
      <c r="U1059" s="40">
        <v>548770.50997782697</v>
      </c>
      <c r="V1059" s="40">
        <v>0</v>
      </c>
      <c r="W1059" s="45">
        <f t="shared" si="57"/>
        <v>1013954.8778133156</v>
      </c>
      <c r="X1059" s="46">
        <f t="shared" si="58"/>
        <v>2.9640210215780707</v>
      </c>
    </row>
    <row r="1060" spans="1:24" s="4" customFormat="1" ht="15" customHeight="1">
      <c r="A1060" s="28" t="s">
        <v>1603</v>
      </c>
      <c r="B1060" s="29">
        <v>3149.63</v>
      </c>
      <c r="C1060" s="30" t="s">
        <v>1638</v>
      </c>
      <c r="D1060" s="2">
        <v>4949416071</v>
      </c>
      <c r="E1060" s="2" t="s">
        <v>14</v>
      </c>
      <c r="F1060" s="2" t="s">
        <v>1639</v>
      </c>
      <c r="G1060" s="28" t="s">
        <v>5</v>
      </c>
      <c r="H1060" s="2" t="s">
        <v>20</v>
      </c>
      <c r="I1060" s="2">
        <v>1</v>
      </c>
      <c r="J1060" s="2" t="s">
        <v>1640</v>
      </c>
      <c r="K1060" s="2">
        <v>10700</v>
      </c>
      <c r="L1060" s="35">
        <f t="shared" si="56"/>
        <v>33701041</v>
      </c>
      <c r="M1060" s="36">
        <v>1000</v>
      </c>
      <c r="N1060" s="40">
        <v>258753.32594235</v>
      </c>
      <c r="O1060" s="40">
        <v>36176.438053097401</v>
      </c>
      <c r="P1060" s="40">
        <v>0</v>
      </c>
      <c r="Q1060" s="40">
        <v>10985.5088495575</v>
      </c>
      <c r="R1060" s="40">
        <f>295172.949002217+110865</f>
        <v>406037.94900221698</v>
      </c>
      <c r="S1060" s="40">
        <v>196427.93791574301</v>
      </c>
      <c r="T1060" s="40">
        <v>30000</v>
      </c>
      <c r="U1060" s="40">
        <v>2177660.7538802698</v>
      </c>
      <c r="V1060" s="40">
        <v>0</v>
      </c>
      <c r="W1060" s="45">
        <f t="shared" si="57"/>
        <v>3116041.9136432349</v>
      </c>
      <c r="X1060" s="46">
        <f t="shared" si="58"/>
        <v>9.2461295591528909</v>
      </c>
    </row>
    <row r="1061" spans="1:24" s="4" customFormat="1" ht="15" customHeight="1">
      <c r="A1061" s="28" t="s">
        <v>1603</v>
      </c>
      <c r="B1061" s="29">
        <v>3149.63</v>
      </c>
      <c r="C1061" s="30" t="s">
        <v>1638</v>
      </c>
      <c r="D1061" s="2">
        <v>4949416073</v>
      </c>
      <c r="E1061" s="2" t="s">
        <v>14</v>
      </c>
      <c r="F1061" s="2" t="s">
        <v>1639</v>
      </c>
      <c r="G1061" s="28" t="s">
        <v>5</v>
      </c>
      <c r="H1061" s="2" t="s">
        <v>20</v>
      </c>
      <c r="I1061" s="2">
        <v>1</v>
      </c>
      <c r="J1061" s="2" t="s">
        <v>1640</v>
      </c>
      <c r="K1061" s="2">
        <v>14241.6</v>
      </c>
      <c r="L1061" s="35">
        <f t="shared" si="56"/>
        <v>44855770.608000003</v>
      </c>
      <c r="M1061" s="36">
        <v>5520</v>
      </c>
      <c r="N1061" s="40">
        <v>142831.83592017699</v>
      </c>
      <c r="O1061" s="40">
        <v>199693.93805309699</v>
      </c>
      <c r="P1061" s="40">
        <v>0</v>
      </c>
      <c r="Q1061" s="40">
        <v>60640.008849557496</v>
      </c>
      <c r="R1061" s="40">
        <f>162935.467849224+61197</f>
        <v>224132.46784922399</v>
      </c>
      <c r="S1061" s="40">
        <v>108428.22172949</v>
      </c>
      <c r="T1061" s="40">
        <v>30000</v>
      </c>
      <c r="U1061" s="40">
        <v>1202068.7361419101</v>
      </c>
      <c r="V1061" s="40">
        <v>0</v>
      </c>
      <c r="W1061" s="45">
        <f t="shared" si="57"/>
        <v>1967795.2085434555</v>
      </c>
      <c r="X1061" s="46">
        <f t="shared" si="58"/>
        <v>4.3869388082533582</v>
      </c>
    </row>
    <row r="1062" spans="1:24" s="4" customFormat="1" ht="15" customHeight="1">
      <c r="A1062" s="28" t="s">
        <v>1603</v>
      </c>
      <c r="B1062" s="29">
        <v>3149.63</v>
      </c>
      <c r="C1062" s="30" t="s">
        <v>1641</v>
      </c>
      <c r="D1062" s="2">
        <v>4947226234</v>
      </c>
      <c r="E1062" s="2" t="s">
        <v>6</v>
      </c>
      <c r="F1062" s="2" t="s">
        <v>1642</v>
      </c>
      <c r="G1062" s="28" t="s">
        <v>5</v>
      </c>
      <c r="H1062" s="2" t="s">
        <v>17</v>
      </c>
      <c r="I1062" s="2">
        <v>1</v>
      </c>
      <c r="J1062" s="2" t="s">
        <v>212</v>
      </c>
      <c r="K1062" s="2">
        <v>21470</v>
      </c>
      <c r="L1062" s="35">
        <f t="shared" si="56"/>
        <v>67622556.100000009</v>
      </c>
      <c r="M1062" s="36">
        <v>9500</v>
      </c>
      <c r="N1062" s="40">
        <v>221999.59927140301</v>
      </c>
      <c r="O1062" s="40">
        <v>370093.00546448102</v>
      </c>
      <c r="P1062" s="40">
        <v>0</v>
      </c>
      <c r="Q1062" s="40">
        <v>85923.606557377003</v>
      </c>
      <c r="R1062" s="40">
        <v>528633.318761384</v>
      </c>
      <c r="S1062" s="40">
        <v>245273.734061931</v>
      </c>
      <c r="T1062" s="40">
        <v>30000</v>
      </c>
      <c r="U1062" s="40">
        <v>1217290.2003643</v>
      </c>
      <c r="V1062" s="40">
        <v>0</v>
      </c>
      <c r="W1062" s="45">
        <f t="shared" si="57"/>
        <v>2699213.464480876</v>
      </c>
      <c r="X1062" s="46">
        <f t="shared" si="58"/>
        <v>3.9915874526974227</v>
      </c>
    </row>
    <row r="1063" spans="1:24" s="4" customFormat="1" ht="15" customHeight="1">
      <c r="A1063" s="28" t="s">
        <v>1603</v>
      </c>
      <c r="B1063" s="29">
        <v>3149.63</v>
      </c>
      <c r="C1063" s="30" t="s">
        <v>1641</v>
      </c>
      <c r="D1063" s="2">
        <v>4941326582</v>
      </c>
      <c r="E1063" s="2" t="s">
        <v>6</v>
      </c>
      <c r="F1063" s="2" t="s">
        <v>1642</v>
      </c>
      <c r="G1063" s="28" t="s">
        <v>5</v>
      </c>
      <c r="H1063" s="2" t="s">
        <v>17</v>
      </c>
      <c r="I1063" s="2">
        <v>1</v>
      </c>
      <c r="J1063" s="2" t="s">
        <v>212</v>
      </c>
      <c r="K1063" s="2">
        <v>9548.5</v>
      </c>
      <c r="L1063" s="35">
        <f t="shared" si="56"/>
        <v>30074242.055</v>
      </c>
      <c r="M1063" s="36">
        <v>4225</v>
      </c>
      <c r="N1063" s="40">
        <v>98731.400728597495</v>
      </c>
      <c r="O1063" s="40">
        <v>164593.99453551901</v>
      </c>
      <c r="P1063" s="40">
        <v>0</v>
      </c>
      <c r="Q1063" s="40">
        <v>38213.393442622903</v>
      </c>
      <c r="R1063" s="40">
        <f>201085.681238616+34017</f>
        <v>235102.681238616</v>
      </c>
      <c r="S1063" s="40">
        <v>109082.265938069</v>
      </c>
      <c r="T1063" s="40">
        <v>30000</v>
      </c>
      <c r="U1063" s="40">
        <v>541373.799635701</v>
      </c>
      <c r="V1063" s="40">
        <v>0</v>
      </c>
      <c r="W1063" s="45">
        <f t="shared" si="57"/>
        <v>1217097.5355191254</v>
      </c>
      <c r="X1063" s="46">
        <f t="shared" si="58"/>
        <v>4.0469765897783505</v>
      </c>
    </row>
    <row r="1064" spans="1:24" s="4" customFormat="1" ht="15" customHeight="1">
      <c r="A1064" s="28" t="s">
        <v>1603</v>
      </c>
      <c r="B1064" s="29">
        <v>3149.63</v>
      </c>
      <c r="C1064" s="30" t="s">
        <v>1643</v>
      </c>
      <c r="D1064" s="2">
        <v>4948541366</v>
      </c>
      <c r="E1064" s="2" t="s">
        <v>14</v>
      </c>
      <c r="F1064" s="2" t="s">
        <v>1644</v>
      </c>
      <c r="G1064" s="28" t="s">
        <v>5</v>
      </c>
      <c r="H1064" s="2" t="s">
        <v>20</v>
      </c>
      <c r="I1064" s="2">
        <v>1</v>
      </c>
      <c r="J1064" s="2" t="s">
        <v>1645</v>
      </c>
      <c r="K1064" s="2">
        <v>10861.2</v>
      </c>
      <c r="L1064" s="35">
        <f t="shared" si="56"/>
        <v>34208761.356000006</v>
      </c>
      <c r="M1064" s="36">
        <v>2520</v>
      </c>
      <c r="N1064" s="40">
        <v>64556.0798722045</v>
      </c>
      <c r="O1064" s="40">
        <v>65824.936102236403</v>
      </c>
      <c r="P1064" s="40">
        <v>0</v>
      </c>
      <c r="Q1064" s="40">
        <v>19988.7124600639</v>
      </c>
      <c r="R1064" s="40">
        <f>106457.520766773+22242</f>
        <v>128699.520766773</v>
      </c>
      <c r="S1064" s="40">
        <v>71324.051118210904</v>
      </c>
      <c r="T1064" s="40">
        <v>30000</v>
      </c>
      <c r="U1064" s="40">
        <v>654052.71565495199</v>
      </c>
      <c r="V1064" s="40">
        <v>0</v>
      </c>
      <c r="W1064" s="45">
        <f t="shared" si="57"/>
        <v>1034446.0159744406</v>
      </c>
      <c r="X1064" s="46">
        <f t="shared" si="58"/>
        <v>3.0239212849868506</v>
      </c>
    </row>
    <row r="1065" spans="1:24" s="4" customFormat="1" ht="15" customHeight="1">
      <c r="A1065" s="28" t="s">
        <v>1603</v>
      </c>
      <c r="B1065" s="29">
        <v>3149.63</v>
      </c>
      <c r="C1065" s="30" t="s">
        <v>1643</v>
      </c>
      <c r="D1065" s="2">
        <v>4949035728</v>
      </c>
      <c r="E1065" s="2" t="s">
        <v>14</v>
      </c>
      <c r="F1065" s="2" t="s">
        <v>1644</v>
      </c>
      <c r="G1065" s="28" t="s">
        <v>5</v>
      </c>
      <c r="H1065" s="2" t="s">
        <v>20</v>
      </c>
      <c r="I1065" s="2">
        <v>1</v>
      </c>
      <c r="J1065" s="2" t="s">
        <v>1645</v>
      </c>
      <c r="K1065" s="2">
        <v>10700</v>
      </c>
      <c r="L1065" s="35">
        <f t="shared" si="56"/>
        <v>33701041</v>
      </c>
      <c r="M1065" s="36">
        <v>10000</v>
      </c>
      <c r="N1065" s="40">
        <v>256174.92012779601</v>
      </c>
      <c r="O1065" s="40">
        <v>261210.06389776399</v>
      </c>
      <c r="P1065" s="40">
        <v>0</v>
      </c>
      <c r="Q1065" s="40">
        <v>79320.287539936093</v>
      </c>
      <c r="R1065" s="40">
        <f>422450.479233227+88263</f>
        <v>510713.47923322697</v>
      </c>
      <c r="S1065" s="40">
        <v>283031.94888178899</v>
      </c>
      <c r="T1065" s="40">
        <v>30000</v>
      </c>
      <c r="U1065" s="40">
        <v>2595447.2843450499</v>
      </c>
      <c r="V1065" s="40">
        <v>0</v>
      </c>
      <c r="W1065" s="45">
        <f t="shared" si="57"/>
        <v>4015897.9840255622</v>
      </c>
      <c r="X1065" s="46">
        <f t="shared" si="58"/>
        <v>11.916243133336927</v>
      </c>
    </row>
    <row r="1066" spans="1:24" s="4" customFormat="1" ht="15" customHeight="1">
      <c r="A1066" s="28" t="s">
        <v>1603</v>
      </c>
      <c r="B1066" s="29">
        <v>3149.63</v>
      </c>
      <c r="C1066" s="30" t="s">
        <v>1646</v>
      </c>
      <c r="D1066" s="2">
        <v>4949336180</v>
      </c>
      <c r="E1066" s="2" t="s">
        <v>18</v>
      </c>
      <c r="F1066" s="2" t="s">
        <v>1647</v>
      </c>
      <c r="G1066" s="28" t="s">
        <v>5</v>
      </c>
      <c r="H1066" s="2" t="s">
        <v>20</v>
      </c>
      <c r="I1066" s="2">
        <v>2</v>
      </c>
      <c r="J1066" s="2" t="s">
        <v>1648</v>
      </c>
      <c r="K1066" s="2">
        <v>21780</v>
      </c>
      <c r="L1066" s="35">
        <f t="shared" si="56"/>
        <v>68598941.400000006</v>
      </c>
      <c r="M1066" s="36">
        <v>19800</v>
      </c>
      <c r="N1066" s="40">
        <v>320731</v>
      </c>
      <c r="O1066" s="40">
        <v>327035.5</v>
      </c>
      <c r="P1066" s="40">
        <v>0</v>
      </c>
      <c r="Q1066" s="40">
        <v>99309.5</v>
      </c>
      <c r="R1066" s="40">
        <f>422846+110505</f>
        <v>533351</v>
      </c>
      <c r="S1066" s="40">
        <v>177178</v>
      </c>
      <c r="T1066" s="40">
        <v>30000</v>
      </c>
      <c r="U1066" s="40">
        <v>0</v>
      </c>
      <c r="V1066" s="40">
        <v>0</v>
      </c>
      <c r="W1066" s="45">
        <f t="shared" si="57"/>
        <v>1487605</v>
      </c>
      <c r="X1066" s="46">
        <f t="shared" si="58"/>
        <v>2.1685538721738933</v>
      </c>
    </row>
    <row r="1067" spans="1:24" s="4" customFormat="1" ht="15" customHeight="1">
      <c r="A1067" s="28" t="s">
        <v>1603</v>
      </c>
      <c r="B1067" s="29">
        <v>3149.63</v>
      </c>
      <c r="C1067" s="30" t="s">
        <v>1646</v>
      </c>
      <c r="D1067" s="2">
        <v>4949336178</v>
      </c>
      <c r="E1067" s="2" t="s">
        <v>18</v>
      </c>
      <c r="F1067" s="2" t="s">
        <v>1647</v>
      </c>
      <c r="G1067" s="28" t="s">
        <v>5</v>
      </c>
      <c r="H1067" s="2" t="s">
        <v>20</v>
      </c>
      <c r="I1067" s="2">
        <v>2</v>
      </c>
      <c r="J1067" s="2" t="s">
        <v>1648</v>
      </c>
      <c r="K1067" s="2">
        <v>21780</v>
      </c>
      <c r="L1067" s="35">
        <f t="shared" si="56"/>
        <v>68598941.400000006</v>
      </c>
      <c r="M1067" s="36">
        <v>19800</v>
      </c>
      <c r="N1067" s="40">
        <v>320731</v>
      </c>
      <c r="O1067" s="40">
        <v>327035.5</v>
      </c>
      <c r="P1067" s="40">
        <v>0</v>
      </c>
      <c r="Q1067" s="40">
        <v>99309.5</v>
      </c>
      <c r="R1067" s="40">
        <f>422846+110505</f>
        <v>533351</v>
      </c>
      <c r="S1067" s="40">
        <v>177178</v>
      </c>
      <c r="T1067" s="40">
        <v>30000</v>
      </c>
      <c r="U1067" s="40">
        <f>4311200+500000</f>
        <v>4811200</v>
      </c>
      <c r="V1067" s="40">
        <v>0</v>
      </c>
      <c r="W1067" s="45">
        <f t="shared" si="57"/>
        <v>6298805</v>
      </c>
      <c r="X1067" s="46">
        <f t="shared" si="58"/>
        <v>9.182073179922277</v>
      </c>
    </row>
    <row r="1068" spans="1:24" s="4" customFormat="1" ht="15" customHeight="1">
      <c r="A1068" s="28" t="s">
        <v>1603</v>
      </c>
      <c r="B1068" s="29">
        <v>3149.63</v>
      </c>
      <c r="C1068" s="30" t="s">
        <v>1649</v>
      </c>
      <c r="D1068" s="2">
        <v>4948210666</v>
      </c>
      <c r="E1068" s="2" t="s">
        <v>14</v>
      </c>
      <c r="F1068" s="78" t="s">
        <v>1650</v>
      </c>
      <c r="G1068" s="28" t="s">
        <v>5</v>
      </c>
      <c r="H1068" s="2" t="s">
        <v>26</v>
      </c>
      <c r="I1068" s="2">
        <v>1</v>
      </c>
      <c r="J1068" s="2" t="s">
        <v>1651</v>
      </c>
      <c r="K1068" s="2">
        <v>34869.599999999999</v>
      </c>
      <c r="L1068" s="35">
        <f t="shared" si="56"/>
        <v>109826338.248</v>
      </c>
      <c r="M1068" s="36">
        <v>20040</v>
      </c>
      <c r="N1068" s="40">
        <v>317267</v>
      </c>
      <c r="O1068" s="40">
        <v>399890</v>
      </c>
      <c r="P1068" s="40">
        <v>814318</v>
      </c>
      <c r="Q1068" s="40">
        <v>99309</v>
      </c>
      <c r="R1068" s="40">
        <v>601776</v>
      </c>
      <c r="S1068" s="40">
        <v>354356</v>
      </c>
      <c r="T1068" s="40">
        <v>30000</v>
      </c>
      <c r="U1068" s="40">
        <v>0</v>
      </c>
      <c r="V1068" s="40">
        <v>0</v>
      </c>
      <c r="W1068" s="45">
        <f t="shared" si="57"/>
        <v>2616916</v>
      </c>
      <c r="X1068" s="46">
        <f t="shared" si="58"/>
        <v>2.3827763373943278</v>
      </c>
    </row>
    <row r="1069" spans="1:24" s="4" customFormat="1" ht="15" customHeight="1">
      <c r="A1069" s="28" t="s">
        <v>1603</v>
      </c>
      <c r="B1069" s="29">
        <v>3149.63</v>
      </c>
      <c r="C1069" s="30" t="s">
        <v>1652</v>
      </c>
      <c r="D1069" s="2">
        <v>4949532977</v>
      </c>
      <c r="E1069" s="2" t="s">
        <v>14</v>
      </c>
      <c r="F1069" s="2" t="s">
        <v>1653</v>
      </c>
      <c r="G1069" s="28" t="s">
        <v>9</v>
      </c>
      <c r="H1069" s="2" t="s">
        <v>23</v>
      </c>
      <c r="I1069" s="2">
        <v>2</v>
      </c>
      <c r="J1069" s="2"/>
      <c r="K1069" s="2">
        <v>24360</v>
      </c>
      <c r="L1069" s="35">
        <f t="shared" si="56"/>
        <v>76724986.799999997</v>
      </c>
      <c r="M1069" s="36">
        <v>480</v>
      </c>
      <c r="N1069" s="40">
        <v>606154.28571428603</v>
      </c>
      <c r="O1069" s="40">
        <v>344.57142857142901</v>
      </c>
      <c r="P1069" s="40">
        <v>0</v>
      </c>
      <c r="Q1069" s="40">
        <v>10499.142857142901</v>
      </c>
      <c r="R1069" s="40">
        <v>85020</v>
      </c>
      <c r="S1069" s="40">
        <v>303733.71428571403</v>
      </c>
      <c r="T1069" s="40">
        <v>30000</v>
      </c>
      <c r="U1069" s="40">
        <v>596814.54545454495</v>
      </c>
      <c r="V1069" s="40">
        <v>0</v>
      </c>
      <c r="W1069" s="45">
        <f t="shared" si="57"/>
        <v>1632566.2597402595</v>
      </c>
      <c r="X1069" s="46">
        <f t="shared" si="58"/>
        <v>2.1278156280376965</v>
      </c>
    </row>
    <row r="1070" spans="1:24" s="4" customFormat="1" ht="15" customHeight="1">
      <c r="A1070" s="28" t="s">
        <v>1603</v>
      </c>
      <c r="B1070" s="29">
        <v>3149.63</v>
      </c>
      <c r="C1070" s="30" t="s">
        <v>1652</v>
      </c>
      <c r="D1070" s="2">
        <v>4949532984</v>
      </c>
      <c r="E1070" s="2" t="s">
        <v>14</v>
      </c>
      <c r="F1070" s="2" t="s">
        <v>1653</v>
      </c>
      <c r="G1070" s="28" t="s">
        <v>9</v>
      </c>
      <c r="H1070" s="2" t="s">
        <v>23</v>
      </c>
      <c r="I1070" s="2">
        <v>2</v>
      </c>
      <c r="J1070" s="2"/>
      <c r="K1070" s="2">
        <v>277.60000000000002</v>
      </c>
      <c r="L1070" s="35">
        <f t="shared" si="56"/>
        <v>874337.28800000006</v>
      </c>
      <c r="M1070" s="36">
        <v>80</v>
      </c>
      <c r="N1070" s="40">
        <v>101025.714285714</v>
      </c>
      <c r="O1070" s="40">
        <v>57.428571428571402</v>
      </c>
      <c r="P1070" s="40">
        <v>0</v>
      </c>
      <c r="Q1070" s="40">
        <v>1749.8571428571399</v>
      </c>
      <c r="R1070" s="40">
        <v>14170</v>
      </c>
      <c r="S1070" s="40">
        <v>50622.285714285703</v>
      </c>
      <c r="T1070" s="40">
        <v>30000</v>
      </c>
      <c r="U1070" s="40">
        <v>99469.090909090897</v>
      </c>
      <c r="V1070" s="40">
        <v>0</v>
      </c>
      <c r="W1070" s="45">
        <f t="shared" si="57"/>
        <v>297094.37662337633</v>
      </c>
      <c r="X1070" s="46">
        <f t="shared" si="58"/>
        <v>33.979378519125483</v>
      </c>
    </row>
    <row r="1071" spans="1:24" s="4" customFormat="1" ht="15" customHeight="1">
      <c r="A1071" s="28" t="s">
        <v>1603</v>
      </c>
      <c r="B1071" s="29">
        <v>3149.63</v>
      </c>
      <c r="C1071" s="30" t="s">
        <v>1449</v>
      </c>
      <c r="D1071" s="2">
        <v>4948952439</v>
      </c>
      <c r="E1071" s="2" t="s">
        <v>36</v>
      </c>
      <c r="F1071" s="78" t="s">
        <v>1450</v>
      </c>
      <c r="G1071" s="28" t="s">
        <v>5</v>
      </c>
      <c r="H1071" s="2" t="s">
        <v>26</v>
      </c>
      <c r="I1071" s="2">
        <v>4</v>
      </c>
      <c r="J1071" s="2" t="s">
        <v>1451</v>
      </c>
      <c r="K1071" s="2">
        <v>79564</v>
      </c>
      <c r="L1071" s="35">
        <f t="shared" si="56"/>
        <v>250597161.32000002</v>
      </c>
      <c r="M1071" s="36">
        <v>85520</v>
      </c>
      <c r="N1071" s="40">
        <v>0</v>
      </c>
      <c r="O1071" s="40">
        <v>1992976</v>
      </c>
      <c r="P1071" s="40">
        <v>9887525</v>
      </c>
      <c r="Q1071" s="40">
        <v>496548</v>
      </c>
      <c r="R1071" s="40">
        <v>3251768</v>
      </c>
      <c r="S1071" s="40">
        <v>354356</v>
      </c>
      <c r="T1071" s="40"/>
      <c r="U1071" s="40">
        <v>0</v>
      </c>
      <c r="V1071" s="40">
        <v>0</v>
      </c>
      <c r="W1071" s="45">
        <f t="shared" si="57"/>
        <v>15983173</v>
      </c>
      <c r="X1071" s="46">
        <f t="shared" si="58"/>
        <v>6.3780343383819451</v>
      </c>
    </row>
    <row r="1072" spans="1:24" s="4" customFormat="1" ht="15" customHeight="1">
      <c r="A1072" s="28" t="s">
        <v>1603</v>
      </c>
      <c r="B1072" s="29">
        <v>3149.63</v>
      </c>
      <c r="C1072" s="30" t="s">
        <v>1654</v>
      </c>
      <c r="D1072" s="2">
        <v>4948992868</v>
      </c>
      <c r="E1072" s="2" t="s">
        <v>18</v>
      </c>
      <c r="F1072" s="2" t="s">
        <v>1655</v>
      </c>
      <c r="G1072" s="28" t="s">
        <v>5</v>
      </c>
      <c r="H1072" s="2" t="s">
        <v>20</v>
      </c>
      <c r="I1072" s="2">
        <v>1</v>
      </c>
      <c r="J1072" s="2" t="s">
        <v>1656</v>
      </c>
      <c r="K1072" s="2">
        <v>2764</v>
      </c>
      <c r="L1072" s="35">
        <f t="shared" si="56"/>
        <v>8705577.3200000003</v>
      </c>
      <c r="M1072" s="36">
        <v>200</v>
      </c>
      <c r="N1072" s="40">
        <v>6492.5303643724701</v>
      </c>
      <c r="O1072" s="40">
        <v>6501.7296222663999</v>
      </c>
      <c r="P1072" s="40">
        <v>0</v>
      </c>
      <c r="Q1072" s="40">
        <v>1974.33399602386</v>
      </c>
      <c r="R1072" s="40">
        <v>14116.8785425101</v>
      </c>
      <c r="S1072" s="40">
        <v>7173.1983805667996</v>
      </c>
      <c r="T1072" s="40">
        <v>30000</v>
      </c>
      <c r="U1072" s="40">
        <v>65779.352226720599</v>
      </c>
      <c r="V1072" s="40">
        <v>0</v>
      </c>
      <c r="W1072" s="45">
        <f t="shared" si="57"/>
        <v>132038.02313246022</v>
      </c>
      <c r="X1072" s="46">
        <f t="shared" si="58"/>
        <v>1.5167061101062074</v>
      </c>
    </row>
    <row r="1073" spans="1:24" s="4" customFormat="1" ht="15" customHeight="1">
      <c r="A1073" s="28" t="s">
        <v>1603</v>
      </c>
      <c r="B1073" s="29">
        <v>3149.63</v>
      </c>
      <c r="C1073" s="30" t="s">
        <v>1654</v>
      </c>
      <c r="D1073" s="2">
        <v>4949305807</v>
      </c>
      <c r="E1073" s="2" t="s">
        <v>14</v>
      </c>
      <c r="F1073" s="2" t="s">
        <v>1655</v>
      </c>
      <c r="G1073" s="28" t="s">
        <v>5</v>
      </c>
      <c r="H1073" s="2" t="s">
        <v>20</v>
      </c>
      <c r="I1073" s="2">
        <v>1</v>
      </c>
      <c r="J1073" s="2" t="s">
        <v>1656</v>
      </c>
      <c r="K1073" s="2">
        <v>15640</v>
      </c>
      <c r="L1073" s="35">
        <f t="shared" si="56"/>
        <v>49260213.200000003</v>
      </c>
      <c r="M1073" s="36">
        <v>4000</v>
      </c>
      <c r="N1073" s="40">
        <v>129850.60728744901</v>
      </c>
      <c r="O1073" s="40">
        <v>130034.592445328</v>
      </c>
      <c r="P1073" s="40">
        <v>0</v>
      </c>
      <c r="Q1073" s="40">
        <v>39486.679920477101</v>
      </c>
      <c r="R1073" s="40">
        <v>282336.570850202</v>
      </c>
      <c r="S1073" s="40">
        <v>143463.967611336</v>
      </c>
      <c r="T1073" s="40">
        <v>30000</v>
      </c>
      <c r="U1073" s="40">
        <v>1315587.0445344099</v>
      </c>
      <c r="V1073" s="40">
        <v>0</v>
      </c>
      <c r="W1073" s="45">
        <f t="shared" si="57"/>
        <v>2070759.462649202</v>
      </c>
      <c r="X1073" s="46">
        <f t="shared" si="58"/>
        <v>4.2037159974151344</v>
      </c>
    </row>
    <row r="1074" spans="1:24" s="4" customFormat="1" ht="15" customHeight="1">
      <c r="A1074" s="28" t="s">
        <v>1603</v>
      </c>
      <c r="B1074" s="29">
        <v>3149.63</v>
      </c>
      <c r="C1074" s="30" t="s">
        <v>1654</v>
      </c>
      <c r="D1074" s="2">
        <v>4949451292</v>
      </c>
      <c r="E1074" s="2" t="s">
        <v>18</v>
      </c>
      <c r="F1074" s="2" t="s">
        <v>1655</v>
      </c>
      <c r="G1074" s="28" t="s">
        <v>5</v>
      </c>
      <c r="H1074" s="2" t="s">
        <v>20</v>
      </c>
      <c r="I1074" s="2">
        <v>1</v>
      </c>
      <c r="J1074" s="2" t="s">
        <v>1656</v>
      </c>
      <c r="K1074" s="2">
        <v>102680</v>
      </c>
      <c r="L1074" s="35">
        <f t="shared" si="56"/>
        <v>323404008.40000004</v>
      </c>
      <c r="M1074" s="36">
        <v>2000</v>
      </c>
      <c r="N1074" s="40">
        <v>64925.303643724699</v>
      </c>
      <c r="O1074" s="40">
        <v>65017.296222664001</v>
      </c>
      <c r="P1074" s="40">
        <v>0</v>
      </c>
      <c r="Q1074" s="40">
        <v>19743.339960238602</v>
      </c>
      <c r="R1074" s="40">
        <f>118798.785425101+22369</f>
        <v>141167.785425101</v>
      </c>
      <c r="S1074" s="40">
        <v>71731.983805668002</v>
      </c>
      <c r="T1074" s="40">
        <v>30000</v>
      </c>
      <c r="U1074" s="40">
        <v>657793.52226720599</v>
      </c>
      <c r="V1074" s="40">
        <v>0</v>
      </c>
      <c r="W1074" s="45">
        <f t="shared" si="57"/>
        <v>1050379.2313246024</v>
      </c>
      <c r="X1074" s="46">
        <f t="shared" si="58"/>
        <v>0.32478856292512243</v>
      </c>
    </row>
    <row r="1075" spans="1:24" s="4" customFormat="1" ht="15" customHeight="1">
      <c r="A1075" s="28" t="s">
        <v>1603</v>
      </c>
      <c r="B1075" s="29">
        <v>3149.63</v>
      </c>
      <c r="C1075" s="30" t="s">
        <v>1654</v>
      </c>
      <c r="D1075" s="2">
        <v>4948830211</v>
      </c>
      <c r="E1075" s="2" t="s">
        <v>14</v>
      </c>
      <c r="F1075" s="2" t="s">
        <v>1655</v>
      </c>
      <c r="G1075" s="28" t="s">
        <v>5</v>
      </c>
      <c r="H1075" s="2" t="s">
        <v>20</v>
      </c>
      <c r="I1075" s="2">
        <v>1</v>
      </c>
      <c r="J1075" s="2" t="s">
        <v>1656</v>
      </c>
      <c r="K1075" s="2">
        <v>9494.4</v>
      </c>
      <c r="L1075" s="35">
        <f t="shared" si="56"/>
        <v>29903847.072000001</v>
      </c>
      <c r="M1075" s="36">
        <v>3860</v>
      </c>
      <c r="N1075" s="40">
        <v>119462.558704453</v>
      </c>
      <c r="O1075" s="40">
        <v>125483.381709742</v>
      </c>
      <c r="P1075" s="40">
        <v>0</v>
      </c>
      <c r="Q1075" s="40">
        <v>38104.646123260398</v>
      </c>
      <c r="R1075" s="40">
        <f>218589.765182186+41160</f>
        <v>259749.76518218601</v>
      </c>
      <c r="S1075" s="40">
        <v>131986.85020242899</v>
      </c>
      <c r="T1075" s="40">
        <v>30000</v>
      </c>
      <c r="U1075" s="40">
        <v>1210340.0809716601</v>
      </c>
      <c r="V1075" s="40">
        <v>0</v>
      </c>
      <c r="W1075" s="45">
        <f t="shared" si="57"/>
        <v>1915127.2828937303</v>
      </c>
      <c r="X1075" s="46">
        <f t="shared" si="58"/>
        <v>6.4042839648111025</v>
      </c>
    </row>
    <row r="1076" spans="1:24" s="4" customFormat="1" ht="15" customHeight="1">
      <c r="A1076" s="28" t="s">
        <v>1603</v>
      </c>
      <c r="B1076" s="29">
        <v>3149.63</v>
      </c>
      <c r="C1076" s="30" t="s">
        <v>1428</v>
      </c>
      <c r="D1076" s="2">
        <v>4948892088</v>
      </c>
      <c r="E1076" s="2" t="s">
        <v>36</v>
      </c>
      <c r="F1076" s="2" t="s">
        <v>1429</v>
      </c>
      <c r="G1076" s="28" t="s">
        <v>5</v>
      </c>
      <c r="H1076" s="2" t="s">
        <v>26</v>
      </c>
      <c r="I1076" s="2">
        <v>3</v>
      </c>
      <c r="J1076" s="2" t="s">
        <v>1430</v>
      </c>
      <c r="K1076" s="2">
        <v>140278</v>
      </c>
      <c r="L1076" s="35">
        <f t="shared" si="56"/>
        <v>441823797.13999999</v>
      </c>
      <c r="M1076" s="36">
        <v>75015</v>
      </c>
      <c r="N1076" s="40">
        <v>954542</v>
      </c>
      <c r="O1076" s="40">
        <v>1494748</v>
      </c>
      <c r="P1076" s="40">
        <v>2505674</v>
      </c>
      <c r="Q1076" s="40">
        <v>372411</v>
      </c>
      <c r="R1076" s="40">
        <v>2631970</v>
      </c>
      <c r="S1076" s="40">
        <v>354356</v>
      </c>
      <c r="T1076" s="40"/>
      <c r="U1076" s="40">
        <v>0</v>
      </c>
      <c r="V1076" s="40">
        <v>0</v>
      </c>
      <c r="W1076" s="45">
        <f t="shared" si="57"/>
        <v>8313701</v>
      </c>
      <c r="X1076" s="46">
        <f t="shared" si="58"/>
        <v>1.8816779570987325</v>
      </c>
    </row>
    <row r="1077" spans="1:24" s="4" customFormat="1" ht="15" customHeight="1">
      <c r="A1077" s="28" t="s">
        <v>1603</v>
      </c>
      <c r="B1077" s="29">
        <v>3149.63</v>
      </c>
      <c r="C1077" s="30" t="s">
        <v>1481</v>
      </c>
      <c r="D1077" s="2">
        <v>4948957158</v>
      </c>
      <c r="E1077" s="2" t="s">
        <v>36</v>
      </c>
      <c r="F1077" s="2" t="s">
        <v>1482</v>
      </c>
      <c r="G1077" s="28" t="s">
        <v>5</v>
      </c>
      <c r="H1077" s="2" t="s">
        <v>26</v>
      </c>
      <c r="I1077" s="2">
        <v>4</v>
      </c>
      <c r="J1077" s="2" t="s">
        <v>1483</v>
      </c>
      <c r="K1077" s="2">
        <v>79524</v>
      </c>
      <c r="L1077" s="35">
        <f t="shared" si="56"/>
        <v>250471176.12</v>
      </c>
      <c r="M1077" s="36">
        <v>85510</v>
      </c>
      <c r="N1077" s="40">
        <v>1272976</v>
      </c>
      <c r="O1077" s="40">
        <v>1992976</v>
      </c>
      <c r="P1077" s="40">
        <v>6311840</v>
      </c>
      <c r="Q1077" s="40">
        <v>496548</v>
      </c>
      <c r="R1077" s="40">
        <v>3529751</v>
      </c>
      <c r="S1077" s="40">
        <v>354356</v>
      </c>
      <c r="T1077" s="40"/>
      <c r="U1077" s="40">
        <v>0</v>
      </c>
      <c r="V1077" s="40">
        <v>0</v>
      </c>
      <c r="W1077" s="45">
        <f t="shared" si="57"/>
        <v>13958447</v>
      </c>
      <c r="X1077" s="46">
        <f t="shared" si="58"/>
        <v>5.572875576434611</v>
      </c>
    </row>
    <row r="1078" spans="1:24" s="4" customFormat="1" ht="15" customHeight="1">
      <c r="A1078" s="28" t="s">
        <v>1603</v>
      </c>
      <c r="B1078" s="29">
        <v>3149.63</v>
      </c>
      <c r="C1078" s="30" t="s">
        <v>1657</v>
      </c>
      <c r="D1078" s="2">
        <v>4948772924</v>
      </c>
      <c r="E1078" s="2" t="s">
        <v>14</v>
      </c>
      <c r="F1078" s="2" t="s">
        <v>1658</v>
      </c>
      <c r="G1078" s="28" t="s">
        <v>5</v>
      </c>
      <c r="H1078" s="2" t="s">
        <v>20</v>
      </c>
      <c r="I1078" s="2">
        <v>1</v>
      </c>
      <c r="J1078" s="2" t="s">
        <v>1659</v>
      </c>
      <c r="K1078" s="2">
        <v>6732</v>
      </c>
      <c r="L1078" s="35">
        <f t="shared" si="56"/>
        <v>21203309.16</v>
      </c>
      <c r="M1078" s="36">
        <v>1800</v>
      </c>
      <c r="N1078" s="40">
        <v>382148</v>
      </c>
      <c r="O1078" s="40">
        <v>327035</v>
      </c>
      <c r="P1078" s="40">
        <v>38216.5581395349</v>
      </c>
      <c r="Q1078" s="40">
        <v>99309</v>
      </c>
      <c r="R1078" s="40">
        <v>121043.232558139</v>
      </c>
      <c r="S1078" s="40">
        <v>354356</v>
      </c>
      <c r="T1078" s="40">
        <v>30000</v>
      </c>
      <c r="U1078" s="40">
        <v>604558.13953488402</v>
      </c>
      <c r="V1078" s="40">
        <v>0</v>
      </c>
      <c r="W1078" s="45">
        <f t="shared" si="57"/>
        <v>1956665.9302325579</v>
      </c>
      <c r="X1078" s="46">
        <f t="shared" si="58"/>
        <v>9.2281158354461219</v>
      </c>
    </row>
    <row r="1079" spans="1:24" s="4" customFormat="1" ht="15" customHeight="1">
      <c r="A1079" s="28" t="s">
        <v>1603</v>
      </c>
      <c r="B1079" s="29">
        <v>3149.63</v>
      </c>
      <c r="C1079" s="30" t="s">
        <v>1660</v>
      </c>
      <c r="D1079" s="2">
        <v>4948541353</v>
      </c>
      <c r="E1079" s="2" t="s">
        <v>14</v>
      </c>
      <c r="F1079" s="2" t="s">
        <v>1661</v>
      </c>
      <c r="G1079" s="28" t="s">
        <v>5</v>
      </c>
      <c r="H1079" s="2" t="s">
        <v>20</v>
      </c>
      <c r="I1079" s="2">
        <v>1</v>
      </c>
      <c r="J1079" s="2" t="s">
        <v>1659</v>
      </c>
      <c r="K1079" s="2">
        <v>16506</v>
      </c>
      <c r="L1079" s="35">
        <f t="shared" si="56"/>
        <v>51987792.780000001</v>
      </c>
      <c r="M1079" s="36">
        <v>6300</v>
      </c>
      <c r="N1079" s="40">
        <v>1147200</v>
      </c>
      <c r="O1079" s="40">
        <v>299682.98181818199</v>
      </c>
      <c r="P1079" s="40">
        <v>133757.6</v>
      </c>
      <c r="Q1079" s="40">
        <v>91003.156363636401</v>
      </c>
      <c r="R1079" s="40">
        <f>297460.8+130233</f>
        <v>427693.8</v>
      </c>
      <c r="S1079" s="40">
        <v>283484.79999999999</v>
      </c>
      <c r="T1079" s="40">
        <v>30000</v>
      </c>
      <c r="U1079" s="40">
        <v>2115953.4883720898</v>
      </c>
      <c r="V1079" s="40">
        <v>0</v>
      </c>
      <c r="W1079" s="45">
        <f t="shared" si="57"/>
        <v>4528775.8265539082</v>
      </c>
      <c r="X1079" s="46">
        <f t="shared" si="58"/>
        <v>8.7112292797630637</v>
      </c>
    </row>
    <row r="1080" spans="1:24" s="4" customFormat="1" ht="15" customHeight="1">
      <c r="A1080" s="28" t="s">
        <v>1603</v>
      </c>
      <c r="B1080" s="29">
        <v>3149.63</v>
      </c>
      <c r="C1080" s="30" t="s">
        <v>1660</v>
      </c>
      <c r="D1080" s="2">
        <v>4948771043</v>
      </c>
      <c r="E1080" s="2" t="s">
        <v>14</v>
      </c>
      <c r="F1080" s="2" t="s">
        <v>1661</v>
      </c>
      <c r="G1080" s="28" t="s">
        <v>5</v>
      </c>
      <c r="H1080" s="2" t="s">
        <v>20</v>
      </c>
      <c r="I1080" s="2">
        <v>1</v>
      </c>
      <c r="J1080" s="2" t="s">
        <v>1659</v>
      </c>
      <c r="K1080" s="2">
        <v>8300.25</v>
      </c>
      <c r="L1080" s="35">
        <f t="shared" si="56"/>
        <v>26142716.407500003</v>
      </c>
      <c r="M1080" s="36">
        <v>575</v>
      </c>
      <c r="N1080" s="40">
        <v>286800</v>
      </c>
      <c r="O1080" s="40">
        <v>27352.018181818199</v>
      </c>
      <c r="P1080" s="40">
        <v>33439.4</v>
      </c>
      <c r="Q1080" s="40">
        <v>8305.8436363636392</v>
      </c>
      <c r="R1080" s="40">
        <v>106923.2</v>
      </c>
      <c r="S1080" s="40">
        <v>70871.199999999997</v>
      </c>
      <c r="T1080" s="40">
        <v>30000</v>
      </c>
      <c r="U1080" s="40">
        <v>528988.37209302303</v>
      </c>
      <c r="V1080" s="40">
        <v>0</v>
      </c>
      <c r="W1080" s="45">
        <f t="shared" si="57"/>
        <v>1092680.0339112049</v>
      </c>
      <c r="X1080" s="46">
        <f t="shared" si="58"/>
        <v>4.1796729034543993</v>
      </c>
    </row>
    <row r="1081" spans="1:24" s="4" customFormat="1" ht="15" customHeight="1">
      <c r="A1081" s="28" t="s">
        <v>1603</v>
      </c>
      <c r="B1081" s="29">
        <v>3149.63</v>
      </c>
      <c r="C1081" s="30" t="s">
        <v>1662</v>
      </c>
      <c r="D1081" s="2">
        <v>4949627408</v>
      </c>
      <c r="E1081" s="2" t="s">
        <v>24</v>
      </c>
      <c r="F1081" s="2" t="s">
        <v>1663</v>
      </c>
      <c r="G1081" s="28" t="s">
        <v>9</v>
      </c>
      <c r="H1081" s="2" t="s">
        <v>23</v>
      </c>
      <c r="I1081" s="2">
        <v>3</v>
      </c>
      <c r="J1081" s="2"/>
      <c r="K1081" s="2">
        <v>17119.439999999999</v>
      </c>
      <c r="L1081" s="35">
        <f t="shared" si="56"/>
        <v>53919901.8072</v>
      </c>
      <c r="M1081" s="36">
        <v>2232</v>
      </c>
      <c r="N1081" s="40">
        <v>754091</v>
      </c>
      <c r="O1081" s="40">
        <v>1604</v>
      </c>
      <c r="P1081" s="40">
        <v>0</v>
      </c>
      <c r="Q1081" s="40">
        <v>39396</v>
      </c>
      <c r="R1081" s="40">
        <v>124833</v>
      </c>
      <c r="S1081" s="40">
        <v>354356</v>
      </c>
      <c r="T1081" s="40"/>
      <c r="U1081" s="40">
        <v>888157.98511734395</v>
      </c>
      <c r="V1081" s="40">
        <v>0</v>
      </c>
      <c r="W1081" s="45">
        <f t="shared" si="57"/>
        <v>2162437.9851173442</v>
      </c>
      <c r="X1081" s="46">
        <f t="shared" si="58"/>
        <v>4.0104635072399013</v>
      </c>
    </row>
    <row r="1082" spans="1:24" s="4" customFormat="1" ht="15" customHeight="1">
      <c r="A1082" s="28" t="s">
        <v>1603</v>
      </c>
      <c r="B1082" s="29">
        <v>3149.63</v>
      </c>
      <c r="C1082" s="30" t="s">
        <v>1664</v>
      </c>
      <c r="D1082" s="2">
        <v>4946607246</v>
      </c>
      <c r="E1082" s="2" t="s">
        <v>6</v>
      </c>
      <c r="F1082" s="2" t="s">
        <v>1665</v>
      </c>
      <c r="G1082" s="28" t="s">
        <v>9</v>
      </c>
      <c r="H1082" s="2" t="s">
        <v>23</v>
      </c>
      <c r="I1082" s="2">
        <v>2</v>
      </c>
      <c r="J1082" s="2"/>
      <c r="K1082" s="2">
        <v>20937.599999999999</v>
      </c>
      <c r="L1082" s="35">
        <f t="shared" si="56"/>
        <v>65945693.088</v>
      </c>
      <c r="M1082" s="36">
        <v>1584</v>
      </c>
      <c r="N1082" s="40">
        <v>204387</v>
      </c>
      <c r="O1082" s="40">
        <v>1195</v>
      </c>
      <c r="P1082" s="40">
        <v>0</v>
      </c>
      <c r="Q1082" s="40">
        <v>28882</v>
      </c>
      <c r="R1082" s="40">
        <v>108017</v>
      </c>
      <c r="S1082" s="40">
        <v>354356</v>
      </c>
      <c r="T1082" s="40">
        <v>30000</v>
      </c>
      <c r="U1082" s="40">
        <v>1367700</v>
      </c>
      <c r="V1082" s="40">
        <v>0</v>
      </c>
      <c r="W1082" s="45">
        <f t="shared" si="57"/>
        <v>2094537</v>
      </c>
      <c r="X1082" s="46">
        <f t="shared" si="58"/>
        <v>3.1761543505274625</v>
      </c>
    </row>
    <row r="1083" spans="1:24" s="4" customFormat="1" ht="15" customHeight="1">
      <c r="A1083" s="28" t="s">
        <v>1603</v>
      </c>
      <c r="B1083" s="29">
        <v>3149.63</v>
      </c>
      <c r="C1083" s="30" t="s">
        <v>1666</v>
      </c>
      <c r="D1083" s="2">
        <v>4949387322</v>
      </c>
      <c r="E1083" s="2" t="s">
        <v>14</v>
      </c>
      <c r="F1083" s="2" t="s">
        <v>1667</v>
      </c>
      <c r="G1083" s="28" t="s">
        <v>9</v>
      </c>
      <c r="H1083" s="2" t="s">
        <v>23</v>
      </c>
      <c r="I1083" s="2">
        <v>3</v>
      </c>
      <c r="J1083" s="2"/>
      <c r="K1083" s="2">
        <v>3510.7</v>
      </c>
      <c r="L1083" s="35">
        <f t="shared" si="56"/>
        <v>11057406.040999999</v>
      </c>
      <c r="M1083" s="36">
        <v>3000.6</v>
      </c>
      <c r="N1083" s="40">
        <v>747555</v>
      </c>
      <c r="O1083" s="40">
        <v>1982</v>
      </c>
      <c r="P1083" s="40">
        <v>0</v>
      </c>
      <c r="Q1083" s="40">
        <v>48664</v>
      </c>
      <c r="R1083" s="40">
        <v>131498</v>
      </c>
      <c r="S1083" s="40">
        <v>354356</v>
      </c>
      <c r="T1083" s="40">
        <v>30000</v>
      </c>
      <c r="U1083" s="40">
        <v>1367700</v>
      </c>
      <c r="V1083" s="40">
        <v>0</v>
      </c>
      <c r="W1083" s="45">
        <f t="shared" si="57"/>
        <v>2681755</v>
      </c>
      <c r="X1083" s="46">
        <f t="shared" si="58"/>
        <v>24.253020916987779</v>
      </c>
    </row>
    <row r="1084" spans="1:24" s="4" customFormat="1" ht="15" customHeight="1">
      <c r="A1084" s="28" t="s">
        <v>1603</v>
      </c>
      <c r="B1084" s="29">
        <v>3149.63</v>
      </c>
      <c r="C1084" s="30" t="s">
        <v>1668</v>
      </c>
      <c r="D1084" s="2">
        <v>4950043003</v>
      </c>
      <c r="E1084" s="2" t="s">
        <v>14</v>
      </c>
      <c r="F1084" s="78" t="s">
        <v>1669</v>
      </c>
      <c r="G1084" s="28" t="s">
        <v>13</v>
      </c>
      <c r="H1084" s="2" t="s">
        <v>23</v>
      </c>
      <c r="I1084" s="2">
        <v>1</v>
      </c>
      <c r="J1084" s="2"/>
      <c r="K1084" s="2">
        <f>1414.9+119.81</f>
        <v>1534.71</v>
      </c>
      <c r="L1084" s="35">
        <f t="shared" si="56"/>
        <v>4833768.6573000001</v>
      </c>
      <c r="M1084" s="36">
        <v>10</v>
      </c>
      <c r="N1084" s="40">
        <v>106530</v>
      </c>
      <c r="O1084" s="40">
        <v>0</v>
      </c>
      <c r="P1084" s="40">
        <v>0</v>
      </c>
      <c r="Q1084" s="40">
        <v>0</v>
      </c>
      <c r="R1084" s="40">
        <v>1959</v>
      </c>
      <c r="S1084" s="40">
        <v>354356</v>
      </c>
      <c r="T1084" s="40">
        <v>30000</v>
      </c>
      <c r="U1084" s="40">
        <v>37904.615384615397</v>
      </c>
      <c r="V1084" s="40">
        <v>0</v>
      </c>
      <c r="W1084" s="45">
        <f t="shared" si="57"/>
        <v>530749.61538461538</v>
      </c>
      <c r="X1084" s="46">
        <f t="shared" si="58"/>
        <v>10.980037585850797</v>
      </c>
    </row>
    <row r="1085" spans="1:24" s="4" customFormat="1" ht="15" customHeight="1">
      <c r="A1085" s="28" t="s">
        <v>1603</v>
      </c>
      <c r="B1085" s="29">
        <v>3149.63</v>
      </c>
      <c r="C1085" s="30" t="s">
        <v>1670</v>
      </c>
      <c r="D1085" s="2">
        <v>4950057178</v>
      </c>
      <c r="E1085" s="2" t="s">
        <v>14</v>
      </c>
      <c r="F1085" s="2" t="s">
        <v>1671</v>
      </c>
      <c r="G1085" s="28" t="s">
        <v>13</v>
      </c>
      <c r="H1085" s="2" t="s">
        <v>23</v>
      </c>
      <c r="I1085" s="2">
        <v>1</v>
      </c>
      <c r="J1085" s="2"/>
      <c r="K1085" s="2">
        <f>5811.3+11085</f>
        <v>16896.3</v>
      </c>
      <c r="L1085" s="35">
        <f t="shared" si="56"/>
        <v>53217093.369000003</v>
      </c>
      <c r="M1085" s="36">
        <v>45</v>
      </c>
      <c r="N1085" s="40">
        <v>420337</v>
      </c>
      <c r="O1085" s="40">
        <v>0</v>
      </c>
      <c r="P1085" s="40">
        <v>0</v>
      </c>
      <c r="Q1085" s="40">
        <v>0</v>
      </c>
      <c r="R1085" s="40">
        <v>6100</v>
      </c>
      <c r="S1085" s="40">
        <v>354356</v>
      </c>
      <c r="T1085" s="40">
        <v>30000</v>
      </c>
      <c r="U1085" s="40">
        <v>170570.76923076899</v>
      </c>
      <c r="V1085" s="40">
        <v>0</v>
      </c>
      <c r="W1085" s="45">
        <f t="shared" si="57"/>
        <v>981363.76923076902</v>
      </c>
      <c r="X1085" s="46">
        <f t="shared" si="58"/>
        <v>1.8440762302182265</v>
      </c>
    </row>
    <row r="1086" spans="1:24" s="4" customFormat="1" ht="15" customHeight="1">
      <c r="A1086" s="28" t="s">
        <v>1603</v>
      </c>
      <c r="B1086" s="29">
        <v>3149.63</v>
      </c>
      <c r="C1086" s="30" t="s">
        <v>1672</v>
      </c>
      <c r="D1086" s="2">
        <v>4950089523</v>
      </c>
      <c r="E1086" s="2" t="s">
        <v>14</v>
      </c>
      <c r="F1086" s="78" t="s">
        <v>1673</v>
      </c>
      <c r="G1086" s="28" t="s">
        <v>13</v>
      </c>
      <c r="H1086" s="2" t="s">
        <v>23</v>
      </c>
      <c r="I1086" s="2">
        <v>1</v>
      </c>
      <c r="J1086" s="2"/>
      <c r="K1086" s="2">
        <v>687.3</v>
      </c>
      <c r="L1086" s="35">
        <f t="shared" si="56"/>
        <v>2164740.699</v>
      </c>
      <c r="M1086" s="36">
        <v>10</v>
      </c>
      <c r="N1086" s="40">
        <v>134790</v>
      </c>
      <c r="O1086" s="40">
        <v>0</v>
      </c>
      <c r="P1086" s="40">
        <v>0</v>
      </c>
      <c r="Q1086" s="40">
        <v>0</v>
      </c>
      <c r="R1086" s="40">
        <v>539</v>
      </c>
      <c r="S1086" s="40">
        <v>354356</v>
      </c>
      <c r="T1086" s="40">
        <v>30000</v>
      </c>
      <c r="U1086" s="40">
        <v>37904.615384615397</v>
      </c>
      <c r="V1086" s="40">
        <v>0</v>
      </c>
      <c r="W1086" s="45">
        <f t="shared" si="57"/>
        <v>557589.61538461538</v>
      </c>
      <c r="X1086" s="46">
        <f t="shared" si="58"/>
        <v>25.757801645351492</v>
      </c>
    </row>
    <row r="1087" spans="1:24" s="4" customFormat="1" ht="15" customHeight="1">
      <c r="A1087" s="28" t="s">
        <v>1603</v>
      </c>
      <c r="B1087" s="29">
        <v>3149.63</v>
      </c>
      <c r="C1087" s="30" t="s">
        <v>1674</v>
      </c>
      <c r="D1087" s="2">
        <v>4949591590</v>
      </c>
      <c r="E1087" s="2" t="s">
        <v>14</v>
      </c>
      <c r="F1087" s="78" t="s">
        <v>1675</v>
      </c>
      <c r="G1087" s="28" t="s">
        <v>13</v>
      </c>
      <c r="H1087" s="2" t="s">
        <v>23</v>
      </c>
      <c r="I1087" s="2">
        <v>1</v>
      </c>
      <c r="J1087" s="2"/>
      <c r="K1087" s="2">
        <v>1099</v>
      </c>
      <c r="L1087" s="35">
        <f t="shared" si="56"/>
        <v>3461443.37</v>
      </c>
      <c r="M1087" s="36">
        <v>20</v>
      </c>
      <c r="N1087" s="40">
        <v>133912</v>
      </c>
      <c r="O1087" s="40">
        <v>0</v>
      </c>
      <c r="P1087" s="40">
        <v>0</v>
      </c>
      <c r="Q1087" s="40">
        <v>0</v>
      </c>
      <c r="R1087" s="40">
        <v>536</v>
      </c>
      <c r="S1087" s="40">
        <v>354356</v>
      </c>
      <c r="T1087" s="40">
        <v>30000</v>
      </c>
      <c r="U1087" s="40">
        <v>89592.727272727294</v>
      </c>
      <c r="V1087" s="40">
        <v>0</v>
      </c>
      <c r="W1087" s="45">
        <f t="shared" si="57"/>
        <v>608396.72727272729</v>
      </c>
      <c r="X1087" s="46">
        <f t="shared" si="58"/>
        <v>17.576388293555333</v>
      </c>
    </row>
    <row r="1088" spans="1:24" s="4" customFormat="1" ht="15" customHeight="1">
      <c r="A1088" s="28" t="s">
        <v>1603</v>
      </c>
      <c r="B1088" s="29">
        <v>3149.63</v>
      </c>
      <c r="C1088" s="30" t="s">
        <v>1676</v>
      </c>
      <c r="D1088" s="2">
        <v>4949231337</v>
      </c>
      <c r="E1088" s="2" t="s">
        <v>14</v>
      </c>
      <c r="F1088" s="78" t="s">
        <v>1677</v>
      </c>
      <c r="G1088" s="28" t="s">
        <v>13</v>
      </c>
      <c r="H1088" s="2" t="s">
        <v>23</v>
      </c>
      <c r="I1088" s="2">
        <v>1</v>
      </c>
      <c r="J1088" s="2"/>
      <c r="K1088" s="2">
        <f>374.25+206.16</f>
        <v>580.41</v>
      </c>
      <c r="L1088" s="35">
        <f t="shared" si="56"/>
        <v>1828076.7482999999</v>
      </c>
      <c r="M1088" s="36">
        <v>25</v>
      </c>
      <c r="N1088" s="40">
        <v>497416</v>
      </c>
      <c r="O1088" s="40">
        <v>0</v>
      </c>
      <c r="P1088" s="40">
        <v>0</v>
      </c>
      <c r="Q1088" s="40">
        <v>0</v>
      </c>
      <c r="R1088" s="40">
        <v>4628</v>
      </c>
      <c r="S1088" s="40">
        <v>354356</v>
      </c>
      <c r="T1088" s="40">
        <v>30000</v>
      </c>
      <c r="U1088" s="40">
        <v>111990.909090909</v>
      </c>
      <c r="V1088" s="40">
        <v>0</v>
      </c>
      <c r="W1088" s="45">
        <f t="shared" si="57"/>
        <v>998390.90909090894</v>
      </c>
      <c r="X1088" s="46">
        <f t="shared" si="58"/>
        <v>54.614277547118952</v>
      </c>
    </row>
    <row r="1089" spans="1:24" s="4" customFormat="1" ht="15" customHeight="1">
      <c r="A1089" s="28" t="s">
        <v>1603</v>
      </c>
      <c r="B1089" s="29">
        <v>3149.63</v>
      </c>
      <c r="C1089" s="30" t="s">
        <v>1678</v>
      </c>
      <c r="D1089" s="2" t="s">
        <v>1679</v>
      </c>
      <c r="E1089" s="2" t="s">
        <v>33</v>
      </c>
      <c r="F1089" s="78" t="s">
        <v>1680</v>
      </c>
      <c r="G1089" s="28" t="s">
        <v>13</v>
      </c>
      <c r="H1089" s="2" t="s">
        <v>23</v>
      </c>
      <c r="I1089" s="2">
        <v>1</v>
      </c>
      <c r="J1089" s="2"/>
      <c r="K1089" s="2">
        <f>2520+48.88</f>
        <v>2568.88</v>
      </c>
      <c r="L1089" s="35">
        <f t="shared" si="56"/>
        <v>8091021.5144000007</v>
      </c>
      <c r="M1089" s="36">
        <v>20</v>
      </c>
      <c r="N1089" s="40">
        <v>164842.816177662</v>
      </c>
      <c r="O1089" s="40">
        <v>0</v>
      </c>
      <c r="P1089" s="40">
        <v>0</v>
      </c>
      <c r="Q1089" s="40">
        <v>0</v>
      </c>
      <c r="R1089" s="40">
        <v>3034.59134381585</v>
      </c>
      <c r="S1089" s="40">
        <v>103337.079591506</v>
      </c>
      <c r="T1089" s="40"/>
      <c r="U1089" s="40">
        <v>71849.1846328416</v>
      </c>
      <c r="V1089" s="40">
        <v>0</v>
      </c>
      <c r="W1089" s="45">
        <f t="shared" si="57"/>
        <v>343063.67174582544</v>
      </c>
      <c r="X1089" s="46">
        <f t="shared" si="58"/>
        <v>4.2400538811478583</v>
      </c>
    </row>
    <row r="1090" spans="1:24" s="4" customFormat="1" ht="15" customHeight="1">
      <c r="A1090" s="28" t="s">
        <v>1603</v>
      </c>
      <c r="B1090" s="29">
        <v>3149.63</v>
      </c>
      <c r="C1090" s="30" t="s">
        <v>1678</v>
      </c>
      <c r="D1090" s="2" t="s">
        <v>1679</v>
      </c>
      <c r="E1090" s="2" t="s">
        <v>33</v>
      </c>
      <c r="F1090" s="2" t="s">
        <v>1680</v>
      </c>
      <c r="G1090" s="28" t="s">
        <v>13</v>
      </c>
      <c r="H1090" s="2" t="s">
        <v>23</v>
      </c>
      <c r="I1090" s="2">
        <v>1</v>
      </c>
      <c r="J1090" s="2"/>
      <c r="K1090" s="2">
        <f>6120+118.73</f>
        <v>6238.73</v>
      </c>
      <c r="L1090" s="35">
        <f t="shared" si="56"/>
        <v>19649691.1699</v>
      </c>
      <c r="M1090" s="36">
        <v>30</v>
      </c>
      <c r="N1090" s="40">
        <v>400424.183822338</v>
      </c>
      <c r="O1090" s="40">
        <v>0</v>
      </c>
      <c r="P1090" s="40">
        <v>0</v>
      </c>
      <c r="Q1090" s="40">
        <v>0</v>
      </c>
      <c r="R1090" s="40">
        <v>7371.4086561841495</v>
      </c>
      <c r="S1090" s="40">
        <v>251018.92040849401</v>
      </c>
      <c r="T1090" s="40"/>
      <c r="U1090" s="40">
        <v>174530.81536715801</v>
      </c>
      <c r="V1090" s="40">
        <v>0</v>
      </c>
      <c r="W1090" s="45">
        <f t="shared" si="57"/>
        <v>833345.32825417421</v>
      </c>
      <c r="X1090" s="46">
        <f t="shared" si="58"/>
        <v>4.2410098003510521</v>
      </c>
    </row>
    <row r="1091" spans="1:24" s="4" customFormat="1" ht="15" customHeight="1">
      <c r="A1091" s="28" t="s">
        <v>1603</v>
      </c>
      <c r="B1091" s="29">
        <v>3149.63</v>
      </c>
      <c r="C1091" s="30" t="s">
        <v>1681</v>
      </c>
      <c r="D1091" s="2">
        <v>4949681910</v>
      </c>
      <c r="E1091" s="2" t="s">
        <v>14</v>
      </c>
      <c r="F1091" s="2" t="s">
        <v>1682</v>
      </c>
      <c r="G1091" s="28" t="s">
        <v>13</v>
      </c>
      <c r="H1091" s="2" t="s">
        <v>23</v>
      </c>
      <c r="I1091" s="2">
        <v>1</v>
      </c>
      <c r="J1091" s="2"/>
      <c r="K1091" s="2">
        <v>708.6</v>
      </c>
      <c r="L1091" s="35">
        <f t="shared" si="56"/>
        <v>2231827.818</v>
      </c>
      <c r="M1091" s="36">
        <v>10</v>
      </c>
      <c r="N1091" s="40">
        <v>149411.57999999999</v>
      </c>
      <c r="O1091" s="40">
        <v>0</v>
      </c>
      <c r="P1091" s="40">
        <v>0</v>
      </c>
      <c r="Q1091" s="40">
        <v>0</v>
      </c>
      <c r="R1091" s="40">
        <v>597.64</v>
      </c>
      <c r="S1091" s="40">
        <v>354356</v>
      </c>
      <c r="T1091" s="40">
        <v>30000</v>
      </c>
      <c r="U1091" s="40">
        <v>44796.363636363603</v>
      </c>
      <c r="V1091" s="40">
        <v>0</v>
      </c>
      <c r="W1091" s="45">
        <f t="shared" si="57"/>
        <v>579161.58363636362</v>
      </c>
      <c r="X1091" s="46">
        <f t="shared" si="58"/>
        <v>25.950101480290972</v>
      </c>
    </row>
    <row r="1092" spans="1:24" s="4" customFormat="1" ht="15" customHeight="1">
      <c r="A1092" s="28" t="s">
        <v>1603</v>
      </c>
      <c r="B1092" s="29">
        <v>3149.63</v>
      </c>
      <c r="C1092" s="30" t="s">
        <v>1683</v>
      </c>
      <c r="D1092" s="2">
        <v>4950039555</v>
      </c>
      <c r="E1092" s="2" t="s">
        <v>14</v>
      </c>
      <c r="F1092" s="78" t="s">
        <v>1684</v>
      </c>
      <c r="G1092" s="28" t="s">
        <v>13</v>
      </c>
      <c r="H1092" s="2" t="s">
        <v>23</v>
      </c>
      <c r="I1092" s="2">
        <v>1</v>
      </c>
      <c r="J1092" s="2"/>
      <c r="K1092" s="2">
        <v>623.70000000000005</v>
      </c>
      <c r="L1092" s="35">
        <f t="shared" si="56"/>
        <v>1964424.2310000001</v>
      </c>
      <c r="M1092" s="36">
        <v>10</v>
      </c>
      <c r="N1092" s="40">
        <v>151033.65</v>
      </c>
      <c r="O1092" s="40">
        <v>0</v>
      </c>
      <c r="P1092" s="40">
        <v>0</v>
      </c>
      <c r="Q1092" s="40">
        <v>0</v>
      </c>
      <c r="R1092" s="40">
        <v>604</v>
      </c>
      <c r="S1092" s="40">
        <v>354356</v>
      </c>
      <c r="T1092" s="40">
        <v>30000</v>
      </c>
      <c r="U1092" s="40">
        <v>0</v>
      </c>
      <c r="V1092" s="40">
        <v>0</v>
      </c>
      <c r="W1092" s="45">
        <f t="shared" si="57"/>
        <v>535993.65</v>
      </c>
      <c r="X1092" s="46">
        <f t="shared" si="58"/>
        <v>27.285025380039713</v>
      </c>
    </row>
    <row r="1093" spans="1:24" s="4" customFormat="1" ht="15" customHeight="1">
      <c r="A1093" s="28" t="s">
        <v>1603</v>
      </c>
      <c r="B1093" s="29">
        <v>3149.63</v>
      </c>
      <c r="C1093" s="30" t="s">
        <v>1685</v>
      </c>
      <c r="D1093" s="2">
        <v>4949387716</v>
      </c>
      <c r="E1093" s="2" t="s">
        <v>36</v>
      </c>
      <c r="F1093" s="2" t="s">
        <v>1686</v>
      </c>
      <c r="G1093" s="28" t="s">
        <v>5</v>
      </c>
      <c r="H1093" s="2" t="s">
        <v>20</v>
      </c>
      <c r="I1093" s="2">
        <v>3</v>
      </c>
      <c r="J1093" s="2" t="s">
        <v>1687</v>
      </c>
      <c r="K1093" s="2">
        <v>109980</v>
      </c>
      <c r="L1093" s="35">
        <f t="shared" si="56"/>
        <v>346396307.40000004</v>
      </c>
      <c r="M1093" s="36">
        <v>58500</v>
      </c>
      <c r="N1093" s="40">
        <v>914035</v>
      </c>
      <c r="O1093" s="40">
        <v>1221527</v>
      </c>
      <c r="P1093" s="40">
        <v>227511</v>
      </c>
      <c r="Q1093" s="40">
        <v>372411</v>
      </c>
      <c r="R1093" s="40">
        <v>2593801</v>
      </c>
      <c r="S1093" s="40">
        <v>354356</v>
      </c>
      <c r="T1093" s="40"/>
      <c r="U1093" s="40">
        <v>1557900</v>
      </c>
      <c r="V1093" s="40">
        <v>0</v>
      </c>
      <c r="W1093" s="45">
        <f t="shared" si="57"/>
        <v>7241541</v>
      </c>
      <c r="X1093" s="46">
        <f t="shared" si="58"/>
        <v>2.0905364304700433</v>
      </c>
    </row>
    <row r="1094" spans="1:24" s="4" customFormat="1" ht="15" customHeight="1">
      <c r="A1094" s="28" t="s">
        <v>1603</v>
      </c>
      <c r="B1094" s="29">
        <v>3149.63</v>
      </c>
      <c r="C1094" s="30" t="s">
        <v>1688</v>
      </c>
      <c r="D1094" s="2">
        <v>4948892087</v>
      </c>
      <c r="E1094" s="2" t="s">
        <v>36</v>
      </c>
      <c r="F1094" s="2" t="s">
        <v>1689</v>
      </c>
      <c r="G1094" s="28" t="s">
        <v>5</v>
      </c>
      <c r="H1094" s="2" t="s">
        <v>20</v>
      </c>
      <c r="I1094" s="2">
        <v>3</v>
      </c>
      <c r="J1094" s="2" t="s">
        <v>1690</v>
      </c>
      <c r="K1094" s="2">
        <v>109980</v>
      </c>
      <c r="L1094" s="35">
        <f t="shared" si="56"/>
        <v>346396307.40000004</v>
      </c>
      <c r="M1094" s="36">
        <v>58500</v>
      </c>
      <c r="N1094" s="40">
        <v>887060</v>
      </c>
      <c r="O1094" s="40">
        <v>1221527</v>
      </c>
      <c r="P1094" s="40">
        <v>1254495</v>
      </c>
      <c r="Q1094" s="40">
        <v>372411</v>
      </c>
      <c r="R1094" s="40">
        <v>2548425</v>
      </c>
      <c r="S1094" s="40">
        <v>354356</v>
      </c>
      <c r="T1094" s="40"/>
      <c r="U1094" s="40">
        <v>1557900</v>
      </c>
      <c r="V1094" s="40">
        <v>0</v>
      </c>
      <c r="W1094" s="45">
        <f t="shared" si="57"/>
        <v>8196174</v>
      </c>
      <c r="X1094" s="46">
        <f t="shared" si="58"/>
        <v>2.3661262620029877</v>
      </c>
    </row>
    <row r="1095" spans="1:24" s="4" customFormat="1" ht="15" customHeight="1">
      <c r="A1095" s="28" t="s">
        <v>1603</v>
      </c>
      <c r="B1095" s="29">
        <v>3149.63</v>
      </c>
      <c r="C1095" s="30" t="s">
        <v>1691</v>
      </c>
      <c r="D1095" s="2">
        <v>4945301133</v>
      </c>
      <c r="E1095" s="2" t="s">
        <v>10</v>
      </c>
      <c r="F1095" s="2" t="s">
        <v>1692</v>
      </c>
      <c r="G1095" s="28" t="s">
        <v>9</v>
      </c>
      <c r="H1095" s="2" t="s">
        <v>23</v>
      </c>
      <c r="I1095" s="2">
        <v>2</v>
      </c>
      <c r="J1095" s="2"/>
      <c r="K1095" s="2">
        <v>3192</v>
      </c>
      <c r="L1095" s="35">
        <f t="shared" si="56"/>
        <v>10053618.960000001</v>
      </c>
      <c r="M1095" s="36">
        <v>660</v>
      </c>
      <c r="N1095" s="40">
        <v>642185</v>
      </c>
      <c r="O1095" s="40">
        <v>531</v>
      </c>
      <c r="P1095" s="40">
        <v>0</v>
      </c>
      <c r="Q1095" s="40">
        <v>16779</v>
      </c>
      <c r="R1095" s="40">
        <v>105607</v>
      </c>
      <c r="S1095" s="40">
        <v>708712</v>
      </c>
      <c r="T1095" s="40"/>
      <c r="U1095" s="40">
        <v>143827.58620689699</v>
      </c>
      <c r="V1095" s="40">
        <v>0</v>
      </c>
      <c r="W1095" s="45">
        <f t="shared" si="57"/>
        <v>1617641.5862068969</v>
      </c>
      <c r="X1095" s="46">
        <f t="shared" si="58"/>
        <v>16.090142193004866</v>
      </c>
    </row>
    <row r="1096" spans="1:24" s="4" customFormat="1" ht="15" customHeight="1">
      <c r="A1096" s="28" t="s">
        <v>1603</v>
      </c>
      <c r="B1096" s="29">
        <v>3149.63</v>
      </c>
      <c r="C1096" s="30" t="s">
        <v>1472</v>
      </c>
      <c r="D1096" s="2">
        <v>4949168414</v>
      </c>
      <c r="E1096" s="2" t="s">
        <v>36</v>
      </c>
      <c r="F1096" s="2" t="s">
        <v>1473</v>
      </c>
      <c r="G1096" s="28" t="s">
        <v>5</v>
      </c>
      <c r="H1096" s="2" t="s">
        <v>26</v>
      </c>
      <c r="I1096" s="2">
        <v>2</v>
      </c>
      <c r="J1096" s="2" t="s">
        <v>1474</v>
      </c>
      <c r="K1096" s="2">
        <v>36883</v>
      </c>
      <c r="L1096" s="35">
        <f t="shared" si="56"/>
        <v>116167803.29000001</v>
      </c>
      <c r="M1096" s="36">
        <v>39660</v>
      </c>
      <c r="N1096" s="40">
        <v>636488</v>
      </c>
      <c r="O1096" s="40">
        <v>799781</v>
      </c>
      <c r="P1096" s="40">
        <v>3155940</v>
      </c>
      <c r="Q1096" s="40">
        <v>198619</v>
      </c>
      <c r="R1096" s="40">
        <v>1764877</v>
      </c>
      <c r="S1096" s="40">
        <v>354356</v>
      </c>
      <c r="T1096" s="40"/>
      <c r="U1096" s="40">
        <v>0</v>
      </c>
      <c r="V1096" s="40">
        <v>0</v>
      </c>
      <c r="W1096" s="45">
        <f t="shared" si="57"/>
        <v>6910061</v>
      </c>
      <c r="X1096" s="46">
        <f t="shared" si="58"/>
        <v>5.9483443814029959</v>
      </c>
    </row>
    <row r="1097" spans="1:24" s="4" customFormat="1" ht="15" customHeight="1">
      <c r="A1097" s="28" t="s">
        <v>1603</v>
      </c>
      <c r="B1097" s="29">
        <v>3149.63</v>
      </c>
      <c r="C1097" s="30" t="s">
        <v>1693</v>
      </c>
      <c r="D1097" s="2">
        <v>4947010975</v>
      </c>
      <c r="E1097" s="2" t="s">
        <v>10</v>
      </c>
      <c r="F1097" s="2" t="s">
        <v>1694</v>
      </c>
      <c r="G1097" s="28" t="s">
        <v>9</v>
      </c>
      <c r="H1097" s="2" t="s">
        <v>23</v>
      </c>
      <c r="I1097" s="2">
        <v>6</v>
      </c>
      <c r="J1097" s="2"/>
      <c r="K1097" s="2">
        <v>11649.6</v>
      </c>
      <c r="L1097" s="35">
        <f t="shared" si="56"/>
        <v>36691929.648000002</v>
      </c>
      <c r="M1097" s="36">
        <v>1584</v>
      </c>
      <c r="N1097" s="40">
        <v>520397</v>
      </c>
      <c r="O1097" s="40">
        <v>1140</v>
      </c>
      <c r="P1097" s="40">
        <v>0</v>
      </c>
      <c r="Q1097" s="40">
        <v>35554</v>
      </c>
      <c r="R1097" s="40">
        <v>81752</v>
      </c>
      <c r="S1097" s="40">
        <v>354356</v>
      </c>
      <c r="T1097" s="40"/>
      <c r="U1097" s="40">
        <v>345186.206896552</v>
      </c>
      <c r="V1097" s="40">
        <v>0</v>
      </c>
      <c r="W1097" s="45">
        <f t="shared" si="57"/>
        <v>1338385.2068965519</v>
      </c>
      <c r="X1097" s="46">
        <f t="shared" si="58"/>
        <v>3.6476282924779468</v>
      </c>
    </row>
    <row r="1098" spans="1:24" s="4" customFormat="1" ht="15" customHeight="1">
      <c r="A1098" s="28" t="s">
        <v>1603</v>
      </c>
      <c r="B1098" s="29">
        <v>3149.63</v>
      </c>
      <c r="C1098" s="30" t="s">
        <v>1693</v>
      </c>
      <c r="D1098" s="2">
        <v>4947225892</v>
      </c>
      <c r="E1098" s="2" t="s">
        <v>10</v>
      </c>
      <c r="F1098" s="2" t="s">
        <v>1694</v>
      </c>
      <c r="G1098" s="28" t="s">
        <v>9</v>
      </c>
      <c r="H1098" s="2" t="s">
        <v>23</v>
      </c>
      <c r="I1098" s="2">
        <v>6</v>
      </c>
      <c r="J1098" s="2"/>
      <c r="K1098" s="2">
        <v>11649.6</v>
      </c>
      <c r="L1098" s="35">
        <f t="shared" si="56"/>
        <v>36691929.648000002</v>
      </c>
      <c r="M1098" s="36">
        <v>1584</v>
      </c>
      <c r="N1098" s="40">
        <v>520397</v>
      </c>
      <c r="O1098" s="40">
        <v>1140</v>
      </c>
      <c r="P1098" s="40">
        <v>0</v>
      </c>
      <c r="Q1098" s="40">
        <v>35554</v>
      </c>
      <c r="R1098" s="40">
        <v>81752</v>
      </c>
      <c r="S1098" s="40">
        <v>354356</v>
      </c>
      <c r="T1098" s="40"/>
      <c r="U1098" s="40">
        <v>345186.206896552</v>
      </c>
      <c r="V1098" s="40">
        <v>0</v>
      </c>
      <c r="W1098" s="45">
        <f t="shared" si="57"/>
        <v>1338385.2068965519</v>
      </c>
      <c r="X1098" s="46">
        <f t="shared" si="58"/>
        <v>3.6476282924779468</v>
      </c>
    </row>
    <row r="1099" spans="1:24" s="4" customFormat="1" ht="15" customHeight="1">
      <c r="A1099" s="28" t="s">
        <v>1603</v>
      </c>
      <c r="B1099" s="29">
        <v>3149.63</v>
      </c>
      <c r="C1099" s="30" t="s">
        <v>1695</v>
      </c>
      <c r="D1099" s="2">
        <v>4946611870</v>
      </c>
      <c r="E1099" s="2" t="s">
        <v>10</v>
      </c>
      <c r="F1099" s="2" t="s">
        <v>1696</v>
      </c>
      <c r="G1099" s="28" t="s">
        <v>9</v>
      </c>
      <c r="H1099" s="2" t="s">
        <v>23</v>
      </c>
      <c r="I1099" s="2">
        <v>2</v>
      </c>
      <c r="J1099" s="2"/>
      <c r="K1099" s="2">
        <v>16560</v>
      </c>
      <c r="L1099" s="35">
        <f t="shared" si="56"/>
        <v>52157872.800000004</v>
      </c>
      <c r="M1099" s="36">
        <v>1440</v>
      </c>
      <c r="N1099" s="40">
        <v>832372</v>
      </c>
      <c r="O1099" s="40">
        <v>1148</v>
      </c>
      <c r="P1099" s="40">
        <v>0</v>
      </c>
      <c r="Q1099" s="40">
        <v>35581</v>
      </c>
      <c r="R1099" s="40">
        <v>125865</v>
      </c>
      <c r="S1099" s="40">
        <v>708712</v>
      </c>
      <c r="T1099" s="40"/>
      <c r="U1099" s="40">
        <v>533500</v>
      </c>
      <c r="V1099" s="40">
        <v>0</v>
      </c>
      <c r="W1099" s="45">
        <f t="shared" si="57"/>
        <v>2237178</v>
      </c>
      <c r="X1099" s="46">
        <f t="shared" si="58"/>
        <v>4.289243176343648</v>
      </c>
    </row>
    <row r="1100" spans="1:24" s="4" customFormat="1" ht="15" customHeight="1">
      <c r="A1100" s="28" t="s">
        <v>1603</v>
      </c>
      <c r="B1100" s="29">
        <v>3149.63</v>
      </c>
      <c r="C1100" s="30" t="s">
        <v>1697</v>
      </c>
      <c r="D1100" s="2">
        <v>4949164936</v>
      </c>
      <c r="E1100" s="2" t="s">
        <v>10</v>
      </c>
      <c r="F1100" s="2" t="s">
        <v>1698</v>
      </c>
      <c r="G1100" s="28" t="s">
        <v>9</v>
      </c>
      <c r="H1100" s="2" t="s">
        <v>23</v>
      </c>
      <c r="I1100" s="2">
        <v>3</v>
      </c>
      <c r="J1100" s="2"/>
      <c r="K1100" s="2">
        <v>42880</v>
      </c>
      <c r="L1100" s="35">
        <f t="shared" si="56"/>
        <v>135056134.40000001</v>
      </c>
      <c r="M1100" s="36">
        <v>1600</v>
      </c>
      <c r="N1100" s="40">
        <v>711694</v>
      </c>
      <c r="O1100" s="40">
        <v>1062</v>
      </c>
      <c r="P1100" s="40">
        <v>20910</v>
      </c>
      <c r="Q1100" s="40">
        <v>33364</v>
      </c>
      <c r="R1100" s="40">
        <v>123070</v>
      </c>
      <c r="S1100" s="40">
        <v>708712</v>
      </c>
      <c r="T1100" s="40"/>
      <c r="U1100" s="40">
        <v>533500</v>
      </c>
      <c r="V1100" s="40">
        <v>0</v>
      </c>
      <c r="W1100" s="45">
        <f t="shared" si="57"/>
        <v>2132312</v>
      </c>
      <c r="X1100" s="46">
        <f t="shared" si="58"/>
        <v>1.5788338748721062</v>
      </c>
    </row>
    <row r="1101" spans="1:24" s="4" customFormat="1" ht="15" customHeight="1">
      <c r="A1101" s="28" t="s">
        <v>1603</v>
      </c>
      <c r="B1101" s="29">
        <v>3149.63</v>
      </c>
      <c r="C1101" s="30" t="s">
        <v>1699</v>
      </c>
      <c r="D1101" s="2">
        <v>4946611859</v>
      </c>
      <c r="E1101" s="2" t="s">
        <v>10</v>
      </c>
      <c r="F1101" s="2" t="s">
        <v>1700</v>
      </c>
      <c r="G1101" s="28" t="s">
        <v>5</v>
      </c>
      <c r="H1101" s="2" t="s">
        <v>17</v>
      </c>
      <c r="I1101" s="2">
        <v>1</v>
      </c>
      <c r="J1101" s="2" t="s">
        <v>1701</v>
      </c>
      <c r="K1101" s="2">
        <v>13151.6</v>
      </c>
      <c r="L1101" s="35">
        <f t="shared" si="56"/>
        <v>41422673.908</v>
      </c>
      <c r="M1101" s="36">
        <v>5390</v>
      </c>
      <c r="N1101" s="40">
        <v>320731</v>
      </c>
      <c r="O1101" s="40">
        <v>534687</v>
      </c>
      <c r="P1101" s="40">
        <v>187092</v>
      </c>
      <c r="Q1101" s="40">
        <v>124137</v>
      </c>
      <c r="R1101" s="40">
        <v>767854</v>
      </c>
      <c r="S1101" s="40">
        <v>708712</v>
      </c>
      <c r="T1101" s="40"/>
      <c r="U1101" s="40">
        <v>1600500</v>
      </c>
      <c r="V1101" s="40">
        <v>0</v>
      </c>
      <c r="W1101" s="45">
        <f t="shared" si="57"/>
        <v>4243713</v>
      </c>
      <c r="X1101" s="46">
        <f t="shared" si="58"/>
        <v>10.244903574852051</v>
      </c>
    </row>
    <row r="1102" spans="1:24" s="4" customFormat="1" ht="15" customHeight="1">
      <c r="A1102" s="28" t="s">
        <v>1603</v>
      </c>
      <c r="B1102" s="29">
        <v>3149.63</v>
      </c>
      <c r="C1102" s="30" t="s">
        <v>1702</v>
      </c>
      <c r="D1102" s="2">
        <v>4946611865</v>
      </c>
      <c r="E1102" s="2" t="s">
        <v>10</v>
      </c>
      <c r="F1102" s="2" t="s">
        <v>1703</v>
      </c>
      <c r="G1102" s="28" t="s">
        <v>5</v>
      </c>
      <c r="H1102" s="2" t="s">
        <v>17</v>
      </c>
      <c r="I1102" s="2">
        <v>1</v>
      </c>
      <c r="J1102" s="2" t="s">
        <v>1704</v>
      </c>
      <c r="K1102" s="2">
        <f>505+24240+15655</f>
        <v>40400</v>
      </c>
      <c r="L1102" s="35">
        <f t="shared" si="56"/>
        <v>127245052</v>
      </c>
      <c r="M1102" s="36">
        <v>20000</v>
      </c>
      <c r="N1102" s="40">
        <v>320731</v>
      </c>
      <c r="O1102" s="40">
        <v>534687</v>
      </c>
      <c r="P1102" s="40">
        <v>187092</v>
      </c>
      <c r="Q1102" s="40">
        <v>124137</v>
      </c>
      <c r="R1102" s="40">
        <v>767854</v>
      </c>
      <c r="S1102" s="40">
        <v>708712</v>
      </c>
      <c r="T1102" s="40"/>
      <c r="U1102" s="40">
        <v>1600500</v>
      </c>
      <c r="V1102" s="40">
        <v>0</v>
      </c>
      <c r="W1102" s="45">
        <f t="shared" si="57"/>
        <v>4243713</v>
      </c>
      <c r="X1102" s="46">
        <f t="shared" si="58"/>
        <v>3.3350711350253528</v>
      </c>
    </row>
    <row r="1103" spans="1:24" s="4" customFormat="1" ht="15" customHeight="1">
      <c r="A1103" s="28" t="s">
        <v>1603</v>
      </c>
      <c r="B1103" s="29">
        <v>3149.63</v>
      </c>
      <c r="C1103" s="30" t="s">
        <v>1705</v>
      </c>
      <c r="D1103" s="2">
        <v>4947996109</v>
      </c>
      <c r="E1103" s="2" t="s">
        <v>18</v>
      </c>
      <c r="F1103" s="2" t="s">
        <v>1706</v>
      </c>
      <c r="G1103" s="28" t="s">
        <v>9</v>
      </c>
      <c r="H1103" s="2" t="s">
        <v>23</v>
      </c>
      <c r="I1103" s="2">
        <v>10</v>
      </c>
      <c r="J1103" s="2"/>
      <c r="K1103" s="2">
        <v>80968.75</v>
      </c>
      <c r="L1103" s="35">
        <f t="shared" si="56"/>
        <v>255021604.0625</v>
      </c>
      <c r="M1103" s="36">
        <v>3125</v>
      </c>
      <c r="N1103" s="40">
        <v>1621857.7810871201</v>
      </c>
      <c r="O1103" s="40">
        <v>2080.23082650782</v>
      </c>
      <c r="P1103" s="40">
        <v>80063.756515264293</v>
      </c>
      <c r="Q1103" s="40">
        <v>65228.034251675403</v>
      </c>
      <c r="R1103" s="40">
        <v>107625.65152643299</v>
      </c>
      <c r="S1103" s="40">
        <v>164908.78629933001</v>
      </c>
      <c r="T1103" s="40">
        <v>30000</v>
      </c>
      <c r="U1103" s="40">
        <v>970541.697691735</v>
      </c>
      <c r="V1103" s="40">
        <v>630584.51228592696</v>
      </c>
      <c r="W1103" s="45">
        <f t="shared" si="57"/>
        <v>3672890.4504839922</v>
      </c>
      <c r="X1103" s="46">
        <f t="shared" si="58"/>
        <v>1.4402271776095683</v>
      </c>
    </row>
    <row r="1104" spans="1:24" s="4" customFormat="1" ht="15" customHeight="1">
      <c r="A1104" s="28" t="s">
        <v>1603</v>
      </c>
      <c r="B1104" s="29">
        <v>3149.63</v>
      </c>
      <c r="C1104" s="30" t="s">
        <v>1705</v>
      </c>
      <c r="D1104" s="2">
        <v>4948984296</v>
      </c>
      <c r="E1104" s="2" t="s">
        <v>18</v>
      </c>
      <c r="F1104" s="2" t="s">
        <v>1706</v>
      </c>
      <c r="G1104" s="28" t="s">
        <v>9</v>
      </c>
      <c r="H1104" s="2" t="s">
        <v>23</v>
      </c>
      <c r="I1104" s="2">
        <v>10</v>
      </c>
      <c r="J1104" s="2"/>
      <c r="K1104" s="2">
        <v>39050</v>
      </c>
      <c r="L1104" s="35">
        <f t="shared" si="56"/>
        <v>122993051.5</v>
      </c>
      <c r="M1104" s="36">
        <v>1250</v>
      </c>
      <c r="N1104" s="40">
        <v>648743.11243484705</v>
      </c>
      <c r="O1104" s="40">
        <v>832.09233060312704</v>
      </c>
      <c r="P1104" s="40">
        <v>32025.5026061057</v>
      </c>
      <c r="Q1104" s="40">
        <v>26091.213700670101</v>
      </c>
      <c r="R1104" s="40">
        <v>43050.260610573299</v>
      </c>
      <c r="S1104" s="40">
        <v>65963.514519731994</v>
      </c>
      <c r="T1104" s="40">
        <v>30000</v>
      </c>
      <c r="U1104" s="40">
        <v>388216.67907669401</v>
      </c>
      <c r="V1104" s="40">
        <v>252233.80491437099</v>
      </c>
      <c r="W1104" s="45">
        <f t="shared" si="57"/>
        <v>1487156.1801935965</v>
      </c>
      <c r="X1104" s="46">
        <f t="shared" si="58"/>
        <v>1.209138371685653</v>
      </c>
    </row>
    <row r="1105" spans="1:24" s="4" customFormat="1" ht="15" customHeight="1">
      <c r="A1105" s="28" t="s">
        <v>1603</v>
      </c>
      <c r="B1105" s="29">
        <v>3149.63</v>
      </c>
      <c r="C1105" s="30" t="s">
        <v>1705</v>
      </c>
      <c r="D1105" s="2">
        <v>4949309841</v>
      </c>
      <c r="E1105" s="2" t="s">
        <v>14</v>
      </c>
      <c r="F1105" s="2" t="s">
        <v>1706</v>
      </c>
      <c r="G1105" s="28" t="s">
        <v>9</v>
      </c>
      <c r="H1105" s="2" t="s">
        <v>23</v>
      </c>
      <c r="I1105" s="2">
        <v>10</v>
      </c>
      <c r="J1105" s="2"/>
      <c r="K1105" s="2">
        <v>3862.8</v>
      </c>
      <c r="L1105" s="35">
        <f t="shared" ref="L1105:L1168" si="59">+B1105*K1105</f>
        <v>12166390.764</v>
      </c>
      <c r="M1105" s="36">
        <v>740</v>
      </c>
      <c r="N1105" s="40">
        <v>384055.92256143002</v>
      </c>
      <c r="O1105" s="40">
        <v>492.59865971705102</v>
      </c>
      <c r="P1105" s="40">
        <v>18959.097542814601</v>
      </c>
      <c r="Q1105" s="40">
        <v>15445.9985107967</v>
      </c>
      <c r="R1105" s="40">
        <v>25485.754281459402</v>
      </c>
      <c r="S1105" s="40">
        <v>39050.400595681298</v>
      </c>
      <c r="T1105" s="40">
        <v>30000</v>
      </c>
      <c r="U1105" s="40">
        <v>229824.27401340299</v>
      </c>
      <c r="V1105" s="40">
        <v>149322.41250930799</v>
      </c>
      <c r="W1105" s="45">
        <f t="shared" ref="W1105:W1168" si="60">+SUM(N1105:V1105)</f>
        <v>892636.45867461001</v>
      </c>
      <c r="X1105" s="46">
        <f t="shared" ref="X1105:X1168" si="61">(W1105/L1105)*100</f>
        <v>7.3369043949820814</v>
      </c>
    </row>
    <row r="1106" spans="1:24" s="4" customFormat="1" ht="15" customHeight="1">
      <c r="A1106" s="28" t="s">
        <v>1603</v>
      </c>
      <c r="B1106" s="29">
        <v>3149.63</v>
      </c>
      <c r="C1106" s="30" t="s">
        <v>1705</v>
      </c>
      <c r="D1106" s="2">
        <v>4949336187</v>
      </c>
      <c r="E1106" s="2" t="s">
        <v>18</v>
      </c>
      <c r="F1106" s="2" t="s">
        <v>1706</v>
      </c>
      <c r="G1106" s="28" t="s">
        <v>9</v>
      </c>
      <c r="H1106" s="2" t="s">
        <v>23</v>
      </c>
      <c r="I1106" s="2">
        <v>10</v>
      </c>
      <c r="J1106" s="2"/>
      <c r="K1106" s="2">
        <v>134368</v>
      </c>
      <c r="L1106" s="35">
        <f t="shared" si="59"/>
        <v>423209483.84000003</v>
      </c>
      <c r="M1106" s="36">
        <v>1600</v>
      </c>
      <c r="N1106" s="40">
        <v>830391.18391660496</v>
      </c>
      <c r="O1106" s="40">
        <v>1065.0781831720001</v>
      </c>
      <c r="P1106" s="40">
        <v>40992.643335815301</v>
      </c>
      <c r="Q1106" s="40">
        <v>33396.753536857803</v>
      </c>
      <c r="R1106" s="40">
        <v>55104.333581533901</v>
      </c>
      <c r="S1106" s="40">
        <v>84433.298585256896</v>
      </c>
      <c r="T1106" s="40">
        <v>30000</v>
      </c>
      <c r="U1106" s="40">
        <v>496917.349218168</v>
      </c>
      <c r="V1106" s="40">
        <v>322859.27029039501</v>
      </c>
      <c r="W1106" s="45">
        <f t="shared" si="60"/>
        <v>1895159.9106478039</v>
      </c>
      <c r="X1106" s="46">
        <f t="shared" si="61"/>
        <v>0.44780657877796859</v>
      </c>
    </row>
    <row r="1107" spans="1:24" s="4" customFormat="1" ht="15" customHeight="1">
      <c r="A1107" s="28" t="s">
        <v>1603</v>
      </c>
      <c r="B1107" s="29">
        <v>3149.63</v>
      </c>
      <c r="C1107" s="30" t="s">
        <v>1707</v>
      </c>
      <c r="D1107" s="2">
        <v>4949355657</v>
      </c>
      <c r="E1107" s="2" t="s">
        <v>14</v>
      </c>
      <c r="F1107" s="2" t="s">
        <v>1708</v>
      </c>
      <c r="G1107" s="28" t="s">
        <v>5</v>
      </c>
      <c r="H1107" s="2" t="s">
        <v>20</v>
      </c>
      <c r="I1107" s="2">
        <v>1</v>
      </c>
      <c r="J1107" s="2" t="s">
        <v>1709</v>
      </c>
      <c r="K1107" s="2">
        <v>19552.5</v>
      </c>
      <c r="L1107" s="35">
        <f t="shared" si="59"/>
        <v>61583140.575000003</v>
      </c>
      <c r="M1107" s="36">
        <v>4950</v>
      </c>
      <c r="N1107" s="40">
        <v>314410</v>
      </c>
      <c r="O1107" s="40">
        <v>327035</v>
      </c>
      <c r="P1107" s="40">
        <v>0</v>
      </c>
      <c r="Q1107" s="40">
        <v>99309</v>
      </c>
      <c r="R1107" s="40">
        <v>527143</v>
      </c>
      <c r="S1107" s="40">
        <v>354356</v>
      </c>
      <c r="T1107" s="40">
        <v>30000</v>
      </c>
      <c r="U1107" s="40">
        <v>3220400</v>
      </c>
      <c r="V1107" s="40">
        <v>0</v>
      </c>
      <c r="W1107" s="45">
        <f t="shared" si="60"/>
        <v>4872653</v>
      </c>
      <c r="X1107" s="46">
        <f t="shared" si="61"/>
        <v>7.9123165114740495</v>
      </c>
    </row>
    <row r="1108" spans="1:24" s="4" customFormat="1" ht="15" customHeight="1">
      <c r="A1108" s="28" t="s">
        <v>1603</v>
      </c>
      <c r="B1108" s="29">
        <v>3149.63</v>
      </c>
      <c r="C1108" s="30" t="s">
        <v>1710</v>
      </c>
      <c r="D1108" s="2">
        <v>4949532983</v>
      </c>
      <c r="E1108" s="2" t="s">
        <v>14</v>
      </c>
      <c r="F1108" s="78" t="s">
        <v>1711</v>
      </c>
      <c r="G1108" s="28" t="s">
        <v>9</v>
      </c>
      <c r="H1108" s="2" t="s">
        <v>23</v>
      </c>
      <c r="I1108" s="2">
        <v>2</v>
      </c>
      <c r="J1108" s="2"/>
      <c r="K1108" s="2">
        <v>4796.3999999999996</v>
      </c>
      <c r="L1108" s="35">
        <f t="shared" si="59"/>
        <v>15106885.331999999</v>
      </c>
      <c r="M1108" s="36">
        <v>840</v>
      </c>
      <c r="N1108" s="40">
        <v>494927</v>
      </c>
      <c r="O1108" s="40">
        <v>574</v>
      </c>
      <c r="P1108" s="40">
        <v>8569</v>
      </c>
      <c r="Q1108" s="40">
        <v>13873</v>
      </c>
      <c r="R1108" s="40">
        <v>94178</v>
      </c>
      <c r="S1108" s="40">
        <v>354356</v>
      </c>
      <c r="T1108" s="40">
        <v>30000</v>
      </c>
      <c r="U1108" s="40">
        <v>334253.00515168899</v>
      </c>
      <c r="V1108" s="40">
        <v>0</v>
      </c>
      <c r="W1108" s="45">
        <f t="shared" si="60"/>
        <v>1330730.0051516891</v>
      </c>
      <c r="X1108" s="46">
        <f t="shared" si="61"/>
        <v>8.8087648506398892</v>
      </c>
    </row>
    <row r="1109" spans="1:24" s="4" customFormat="1" ht="15" customHeight="1">
      <c r="A1109" s="28" t="s">
        <v>1603</v>
      </c>
      <c r="B1109" s="29">
        <v>3149.63</v>
      </c>
      <c r="C1109" s="30" t="s">
        <v>1712</v>
      </c>
      <c r="D1109" s="2">
        <v>4948559408</v>
      </c>
      <c r="E1109" s="2" t="s">
        <v>14</v>
      </c>
      <c r="F1109" s="2" t="s">
        <v>1713</v>
      </c>
      <c r="G1109" s="28" t="s">
        <v>5</v>
      </c>
      <c r="H1109" s="2" t="s">
        <v>17</v>
      </c>
      <c r="I1109" s="2">
        <v>1</v>
      </c>
      <c r="J1109" s="2" t="s">
        <v>1714</v>
      </c>
      <c r="K1109" s="2">
        <v>33920</v>
      </c>
      <c r="L1109" s="35">
        <f t="shared" si="59"/>
        <v>106835449.60000001</v>
      </c>
      <c r="M1109" s="36">
        <v>8000</v>
      </c>
      <c r="N1109" s="40">
        <v>318820</v>
      </c>
      <c r="O1109" s="40">
        <v>429032</v>
      </c>
      <c r="P1109" s="40">
        <v>0</v>
      </c>
      <c r="Q1109" s="40">
        <v>99309</v>
      </c>
      <c r="R1109" s="40">
        <v>714039</v>
      </c>
      <c r="S1109" s="40">
        <v>354356</v>
      </c>
      <c r="T1109" s="40">
        <v>30000</v>
      </c>
      <c r="U1109" s="40">
        <v>5354400</v>
      </c>
      <c r="V1109" s="40">
        <v>0</v>
      </c>
      <c r="W1109" s="45">
        <f t="shared" si="60"/>
        <v>7299956</v>
      </c>
      <c r="X1109" s="46">
        <f t="shared" si="61"/>
        <v>6.8328967841026422</v>
      </c>
    </row>
    <row r="1110" spans="1:24" s="4" customFormat="1" ht="15" customHeight="1">
      <c r="A1110" s="28" t="s">
        <v>1603</v>
      </c>
      <c r="B1110" s="29">
        <v>3149.63</v>
      </c>
      <c r="C1110" s="30" t="s">
        <v>1715</v>
      </c>
      <c r="D1110" s="2">
        <v>4947870951</v>
      </c>
      <c r="E1110" s="2" t="s">
        <v>10</v>
      </c>
      <c r="F1110" s="2" t="s">
        <v>1716</v>
      </c>
      <c r="G1110" s="28" t="s">
        <v>5</v>
      </c>
      <c r="H1110" s="2" t="s">
        <v>20</v>
      </c>
      <c r="I1110" s="2">
        <v>1</v>
      </c>
      <c r="J1110" s="2" t="s">
        <v>1717</v>
      </c>
      <c r="K1110" s="2">
        <v>18993.599999999999</v>
      </c>
      <c r="L1110" s="35">
        <f t="shared" si="59"/>
        <v>59822812.368000001</v>
      </c>
      <c r="M1110" s="36">
        <v>1584</v>
      </c>
      <c r="N1110" s="40">
        <v>269893.18032786902</v>
      </c>
      <c r="O1110" s="40">
        <v>240300</v>
      </c>
      <c r="P1110" s="40">
        <v>0</v>
      </c>
      <c r="Q1110" s="40">
        <v>73261.180327868802</v>
      </c>
      <c r="R1110" s="40">
        <f>309028.131147541+118033</f>
        <v>427061.13114754099</v>
      </c>
      <c r="S1110" s="40">
        <v>418256.26229508198</v>
      </c>
      <c r="T1110" s="40"/>
      <c r="U1110" s="40">
        <v>606806.557377049</v>
      </c>
      <c r="V1110" s="40">
        <v>0</v>
      </c>
      <c r="W1110" s="45">
        <f t="shared" si="60"/>
        <v>2035578.3114754099</v>
      </c>
      <c r="X1110" s="46">
        <f t="shared" si="61"/>
        <v>3.4026790632201496</v>
      </c>
    </row>
    <row r="1111" spans="1:24" s="4" customFormat="1" ht="15" customHeight="1">
      <c r="A1111" s="28" t="s">
        <v>1603</v>
      </c>
      <c r="B1111" s="29">
        <v>3149.63</v>
      </c>
      <c r="C1111" s="30" t="s">
        <v>1715</v>
      </c>
      <c r="D1111" s="2">
        <v>4947226210</v>
      </c>
      <c r="E1111" s="2" t="s">
        <v>10</v>
      </c>
      <c r="F1111" s="2" t="s">
        <v>1716</v>
      </c>
      <c r="G1111" s="28" t="s">
        <v>5</v>
      </c>
      <c r="H1111" s="2" t="s">
        <v>20</v>
      </c>
      <c r="I1111" s="2">
        <v>1</v>
      </c>
      <c r="J1111" s="2" t="s">
        <v>1717</v>
      </c>
      <c r="K1111" s="2">
        <v>14420</v>
      </c>
      <c r="L1111" s="35">
        <f t="shared" si="59"/>
        <v>45417664.600000001</v>
      </c>
      <c r="M1111" s="36">
        <v>1100</v>
      </c>
      <c r="N1111" s="40">
        <v>187425.81967213101</v>
      </c>
      <c r="O1111" s="40">
        <v>166875</v>
      </c>
      <c r="P1111" s="40">
        <v>0</v>
      </c>
      <c r="Q1111" s="40">
        <v>50875.819672131103</v>
      </c>
      <c r="R1111" s="40">
        <f>214602.868852459+81967</f>
        <v>296569.86885245901</v>
      </c>
      <c r="S1111" s="40">
        <v>290455.73770491802</v>
      </c>
      <c r="T1111" s="40"/>
      <c r="U1111" s="40">
        <v>421393.442622951</v>
      </c>
      <c r="V1111" s="40">
        <v>0</v>
      </c>
      <c r="W1111" s="45">
        <f t="shared" si="60"/>
        <v>1413595.6885245901</v>
      </c>
      <c r="X1111" s="46">
        <f t="shared" si="61"/>
        <v>3.1124358792428755</v>
      </c>
    </row>
    <row r="1112" spans="1:24" s="4" customFormat="1" ht="15" customHeight="1">
      <c r="A1112" s="28" t="s">
        <v>1603</v>
      </c>
      <c r="B1112" s="29">
        <v>3149.63</v>
      </c>
      <c r="C1112" s="30" t="s">
        <v>1718</v>
      </c>
      <c r="D1112" s="2">
        <v>4947226223</v>
      </c>
      <c r="E1112" s="2" t="s">
        <v>10</v>
      </c>
      <c r="F1112" s="78" t="s">
        <v>1719</v>
      </c>
      <c r="G1112" s="28" t="s">
        <v>9</v>
      </c>
      <c r="H1112" s="2" t="s">
        <v>23</v>
      </c>
      <c r="I1112" s="2">
        <v>2</v>
      </c>
      <c r="J1112" s="2"/>
      <c r="K1112" s="2">
        <v>13034</v>
      </c>
      <c r="L1112" s="35">
        <f t="shared" si="59"/>
        <v>41052277.420000002</v>
      </c>
      <c r="M1112" s="36">
        <v>700</v>
      </c>
      <c r="N1112" s="40">
        <v>380958.23943661997</v>
      </c>
      <c r="O1112" s="40">
        <v>563.94366197183103</v>
      </c>
      <c r="P1112" s="40">
        <v>21759.1549295775</v>
      </c>
      <c r="Q1112" s="40">
        <v>17656.267605633799</v>
      </c>
      <c r="R1112" s="40">
        <v>62043.169014084502</v>
      </c>
      <c r="S1112" s="40">
        <v>349365.07042253501</v>
      </c>
      <c r="T1112" s="40"/>
      <c r="U1112" s="40">
        <v>262992.95774647902</v>
      </c>
      <c r="V1112" s="40">
        <v>0</v>
      </c>
      <c r="W1112" s="45">
        <f t="shared" si="60"/>
        <v>1095338.8028169016</v>
      </c>
      <c r="X1112" s="46">
        <f t="shared" si="61"/>
        <v>2.6681559992656347</v>
      </c>
    </row>
    <row r="1113" spans="1:24" s="4" customFormat="1" ht="15" customHeight="1">
      <c r="A1113" s="28" t="s">
        <v>1603</v>
      </c>
      <c r="B1113" s="29">
        <v>3149.63</v>
      </c>
      <c r="C1113" s="30" t="s">
        <v>1718</v>
      </c>
      <c r="D1113" s="2">
        <v>4946209908</v>
      </c>
      <c r="E1113" s="2" t="s">
        <v>10</v>
      </c>
      <c r="F1113" s="2" t="s">
        <v>1719</v>
      </c>
      <c r="G1113" s="28" t="s">
        <v>9</v>
      </c>
      <c r="H1113" s="2" t="s">
        <v>23</v>
      </c>
      <c r="I1113" s="2">
        <v>2</v>
      </c>
      <c r="J1113" s="2"/>
      <c r="K1113" s="2">
        <v>7135.2</v>
      </c>
      <c r="L1113" s="35">
        <f t="shared" si="59"/>
        <v>22473239.976</v>
      </c>
      <c r="M1113" s="36">
        <v>720</v>
      </c>
      <c r="N1113" s="40">
        <v>391842.76056338003</v>
      </c>
      <c r="O1113" s="40">
        <v>580.05633802816897</v>
      </c>
      <c r="P1113" s="40">
        <v>22380.8450704225</v>
      </c>
      <c r="Q1113" s="40">
        <v>18160.732394366201</v>
      </c>
      <c r="R1113" s="40">
        <v>63815.830985915498</v>
      </c>
      <c r="S1113" s="40">
        <v>359346.92957746499</v>
      </c>
      <c r="T1113" s="40"/>
      <c r="U1113" s="40">
        <v>270507.04225352098</v>
      </c>
      <c r="V1113" s="40">
        <v>0</v>
      </c>
      <c r="W1113" s="45">
        <f t="shared" si="60"/>
        <v>1126634.1971830984</v>
      </c>
      <c r="X1113" s="46">
        <f t="shared" si="61"/>
        <v>5.0132255001338155</v>
      </c>
    </row>
    <row r="1114" spans="1:24" s="4" customFormat="1" ht="15" customHeight="1">
      <c r="A1114" s="28" t="s">
        <v>1603</v>
      </c>
      <c r="B1114" s="29">
        <v>3149.63</v>
      </c>
      <c r="C1114" s="30" t="s">
        <v>1720</v>
      </c>
      <c r="D1114" s="2">
        <v>4949416075</v>
      </c>
      <c r="E1114" s="2" t="s">
        <v>14</v>
      </c>
      <c r="F1114" s="78" t="s">
        <v>1721</v>
      </c>
      <c r="G1114" s="28" t="s">
        <v>9</v>
      </c>
      <c r="H1114" s="2" t="s">
        <v>23</v>
      </c>
      <c r="I1114" s="2">
        <v>3</v>
      </c>
      <c r="J1114" s="2"/>
      <c r="K1114" s="2">
        <v>589</v>
      </c>
      <c r="L1114" s="35">
        <f t="shared" si="59"/>
        <v>1855132.07</v>
      </c>
      <c r="M1114" s="36">
        <v>100</v>
      </c>
      <c r="N1114" s="40">
        <v>41094.0769230769</v>
      </c>
      <c r="O1114" s="40">
        <v>68.615384615384599</v>
      </c>
      <c r="P1114" s="40">
        <v>1036.1538461538501</v>
      </c>
      <c r="Q1114" s="40">
        <v>1662.6923076923099</v>
      </c>
      <c r="R1114" s="40">
        <v>8342.0769230769201</v>
      </c>
      <c r="S1114" s="40">
        <v>27258.1538461538</v>
      </c>
      <c r="T1114" s="40">
        <v>30000</v>
      </c>
      <c r="U1114" s="52">
        <v>39792.024422820097</v>
      </c>
      <c r="V1114" s="52">
        <v>0</v>
      </c>
      <c r="W1114" s="45">
        <f t="shared" si="60"/>
        <v>149253.79365358927</v>
      </c>
      <c r="X1114" s="46">
        <f t="shared" si="61"/>
        <v>8.0454538017656745</v>
      </c>
    </row>
    <row r="1115" spans="1:24" s="4" customFormat="1" ht="15" customHeight="1">
      <c r="A1115" s="28" t="s">
        <v>1603</v>
      </c>
      <c r="B1115" s="29">
        <v>3149.63</v>
      </c>
      <c r="C1115" s="30" t="s">
        <v>1720</v>
      </c>
      <c r="D1115" s="2">
        <v>4949587515</v>
      </c>
      <c r="E1115" s="2" t="s">
        <v>14</v>
      </c>
      <c r="F1115" s="78" t="s">
        <v>1721</v>
      </c>
      <c r="G1115" s="28" t="s">
        <v>9</v>
      </c>
      <c r="H1115" s="2" t="s">
        <v>23</v>
      </c>
      <c r="I1115" s="2">
        <v>3</v>
      </c>
      <c r="J1115" s="2"/>
      <c r="K1115" s="2">
        <v>2356</v>
      </c>
      <c r="L1115" s="35">
        <f t="shared" si="59"/>
        <v>7420528.2800000003</v>
      </c>
      <c r="M1115" s="36">
        <v>400</v>
      </c>
      <c r="N1115" s="40">
        <v>164376.30769230801</v>
      </c>
      <c r="O1115" s="40">
        <v>274.461538461538</v>
      </c>
      <c r="P1115" s="40">
        <v>4144.6153846153802</v>
      </c>
      <c r="Q1115" s="40">
        <v>6650.7692307692296</v>
      </c>
      <c r="R1115" s="40">
        <v>33368.307692307702</v>
      </c>
      <c r="S1115" s="40">
        <v>109032.615384615</v>
      </c>
      <c r="T1115" s="40">
        <v>30000</v>
      </c>
      <c r="U1115" s="52">
        <v>159168.09769128001</v>
      </c>
      <c r="V1115" s="52">
        <v>0</v>
      </c>
      <c r="W1115" s="45">
        <f t="shared" si="60"/>
        <v>507015.17461435689</v>
      </c>
      <c r="X1115" s="46">
        <f t="shared" si="61"/>
        <v>6.8326021474896512</v>
      </c>
    </row>
    <row r="1116" spans="1:24" s="4" customFormat="1" ht="15" customHeight="1">
      <c r="A1116" s="28" t="s">
        <v>1603</v>
      </c>
      <c r="B1116" s="29">
        <v>3149.63</v>
      </c>
      <c r="C1116" s="30" t="s">
        <v>1720</v>
      </c>
      <c r="D1116" s="2">
        <v>4949662472</v>
      </c>
      <c r="E1116" s="2" t="s">
        <v>14</v>
      </c>
      <c r="F1116" s="78" t="s">
        <v>1721</v>
      </c>
      <c r="G1116" s="28" t="s">
        <v>9</v>
      </c>
      <c r="H1116" s="2" t="s">
        <v>23</v>
      </c>
      <c r="I1116" s="2">
        <v>3</v>
      </c>
      <c r="J1116" s="2"/>
      <c r="K1116" s="2">
        <v>2552</v>
      </c>
      <c r="L1116" s="35">
        <f t="shared" si="59"/>
        <v>8037855.7600000007</v>
      </c>
      <c r="M1116" s="36">
        <v>800</v>
      </c>
      <c r="N1116" s="40">
        <v>328752.61538461503</v>
      </c>
      <c r="O1116" s="40">
        <v>548.92307692307702</v>
      </c>
      <c r="P1116" s="40">
        <v>8289.2307692307695</v>
      </c>
      <c r="Q1116" s="40">
        <v>13301.538461538499</v>
      </c>
      <c r="R1116" s="40">
        <v>66736.615384615405</v>
      </c>
      <c r="S1116" s="40">
        <v>218065.23076923101</v>
      </c>
      <c r="T1116" s="40">
        <v>30000</v>
      </c>
      <c r="U1116" s="52">
        <v>318336.19538256101</v>
      </c>
      <c r="V1116" s="52">
        <v>0</v>
      </c>
      <c r="W1116" s="45">
        <f t="shared" si="60"/>
        <v>984030.34922871483</v>
      </c>
      <c r="X1116" s="46">
        <f t="shared" si="61"/>
        <v>12.242448466488963</v>
      </c>
    </row>
    <row r="1117" spans="1:24" s="4" customFormat="1" ht="15" customHeight="1">
      <c r="A1117" s="28" t="s">
        <v>1603</v>
      </c>
      <c r="B1117" s="29">
        <v>3149.63</v>
      </c>
      <c r="C1117" s="30" t="s">
        <v>1722</v>
      </c>
      <c r="D1117" s="2">
        <v>4949718147</v>
      </c>
      <c r="E1117" s="2" t="s">
        <v>14</v>
      </c>
      <c r="F1117" s="78" t="s">
        <v>1723</v>
      </c>
      <c r="G1117" s="28" t="s">
        <v>9</v>
      </c>
      <c r="H1117" s="2" t="s">
        <v>23</v>
      </c>
      <c r="I1117" s="2">
        <v>4</v>
      </c>
      <c r="J1117" s="2"/>
      <c r="K1117" s="2">
        <v>14348.8</v>
      </c>
      <c r="L1117" s="35">
        <f t="shared" si="59"/>
        <v>45193410.943999998</v>
      </c>
      <c r="M1117" s="36">
        <v>3040</v>
      </c>
      <c r="N1117" s="40">
        <v>658812</v>
      </c>
      <c r="O1117" s="40">
        <v>2167</v>
      </c>
      <c r="P1117" s="40">
        <v>33750</v>
      </c>
      <c r="Q1117" s="40">
        <v>52540</v>
      </c>
      <c r="R1117" s="40">
        <v>138355</v>
      </c>
      <c r="S1117" s="40">
        <v>354356</v>
      </c>
      <c r="T1117" s="40">
        <v>30000</v>
      </c>
      <c r="U1117" s="40">
        <v>900556.818181818</v>
      </c>
      <c r="V1117" s="40">
        <v>0</v>
      </c>
      <c r="W1117" s="45">
        <f t="shared" si="60"/>
        <v>2170536.8181818179</v>
      </c>
      <c r="X1117" s="46">
        <f t="shared" si="61"/>
        <v>4.8027727335548329</v>
      </c>
    </row>
    <row r="1118" spans="1:24" s="4" customFormat="1" ht="15" customHeight="1">
      <c r="A1118" s="28" t="s">
        <v>1603</v>
      </c>
      <c r="B1118" s="29">
        <v>3149.63</v>
      </c>
      <c r="C1118" s="30" t="s">
        <v>1724</v>
      </c>
      <c r="D1118" s="2">
        <v>4949366049</v>
      </c>
      <c r="E1118" s="2" t="s">
        <v>14</v>
      </c>
      <c r="F1118" s="2" t="s">
        <v>1725</v>
      </c>
      <c r="G1118" s="28" t="s">
        <v>9</v>
      </c>
      <c r="H1118" s="2" t="s">
        <v>23</v>
      </c>
      <c r="I1118" s="2">
        <v>4</v>
      </c>
      <c r="J1118" s="2"/>
      <c r="K1118" s="2">
        <v>6368</v>
      </c>
      <c r="L1118" s="35">
        <f t="shared" si="59"/>
        <v>20056843.84</v>
      </c>
      <c r="M1118" s="36">
        <v>3200</v>
      </c>
      <c r="N1118" s="40">
        <v>936695</v>
      </c>
      <c r="O1118" s="40">
        <v>2045</v>
      </c>
      <c r="P1118" s="40">
        <v>0</v>
      </c>
      <c r="Q1118" s="40">
        <v>62626</v>
      </c>
      <c r="R1118" s="40">
        <v>149336</v>
      </c>
      <c r="S1118" s="40">
        <v>354356</v>
      </c>
      <c r="T1118" s="40">
        <v>30000</v>
      </c>
      <c r="U1118" s="40">
        <v>1367700</v>
      </c>
      <c r="V1118" s="40">
        <v>0</v>
      </c>
      <c r="W1118" s="45">
        <f t="shared" si="60"/>
        <v>2902758</v>
      </c>
      <c r="X1118" s="46">
        <f t="shared" si="61"/>
        <v>14.472655933088225</v>
      </c>
    </row>
    <row r="1119" spans="1:24" s="4" customFormat="1" ht="15" customHeight="1">
      <c r="A1119" s="28" t="s">
        <v>1603</v>
      </c>
      <c r="B1119" s="29">
        <v>3149.63</v>
      </c>
      <c r="C1119" s="30" t="s">
        <v>1726</v>
      </c>
      <c r="D1119" s="2">
        <v>4948149080</v>
      </c>
      <c r="E1119" s="2" t="s">
        <v>27</v>
      </c>
      <c r="F1119" s="2" t="s">
        <v>1727</v>
      </c>
      <c r="G1119" s="28" t="s">
        <v>9</v>
      </c>
      <c r="H1119" s="2" t="s">
        <v>23</v>
      </c>
      <c r="I1119" s="2">
        <v>5</v>
      </c>
      <c r="J1119" s="2"/>
      <c r="K1119" s="2">
        <v>2805.6</v>
      </c>
      <c r="L1119" s="35">
        <f t="shared" si="59"/>
        <v>8836601.9279999994</v>
      </c>
      <c r="M1119" s="36">
        <v>7</v>
      </c>
      <c r="N1119" s="40">
        <v>330717.57894736802</v>
      </c>
      <c r="O1119" s="40">
        <v>573.26315789473699</v>
      </c>
      <c r="P1119" s="40">
        <v>11097.5789473684</v>
      </c>
      <c r="Q1119" s="40">
        <v>27355.631578947399</v>
      </c>
      <c r="R1119" s="40">
        <v>50242.684210526299</v>
      </c>
      <c r="S1119" s="40">
        <v>130552.210526316</v>
      </c>
      <c r="T1119" s="40"/>
      <c r="U1119" s="40">
        <v>768342.10526315798</v>
      </c>
      <c r="V1119" s="40">
        <v>0</v>
      </c>
      <c r="W1119" s="45">
        <f t="shared" si="60"/>
        <v>1318881.0526315789</v>
      </c>
      <c r="X1119" s="46">
        <f t="shared" si="61"/>
        <v>14.925206129887114</v>
      </c>
    </row>
    <row r="1120" spans="1:24" s="4" customFormat="1" ht="15" customHeight="1">
      <c r="A1120" s="28" t="s">
        <v>1603</v>
      </c>
      <c r="B1120" s="29">
        <v>3149.63</v>
      </c>
      <c r="C1120" s="30" t="s">
        <v>1726</v>
      </c>
      <c r="D1120" s="2">
        <v>4948980151</v>
      </c>
      <c r="E1120" s="2" t="s">
        <v>27</v>
      </c>
      <c r="F1120" s="2" t="s">
        <v>1727</v>
      </c>
      <c r="G1120" s="28" t="s">
        <v>9</v>
      </c>
      <c r="H1120" s="2" t="s">
        <v>23</v>
      </c>
      <c r="I1120" s="2">
        <v>5</v>
      </c>
      <c r="J1120" s="2"/>
      <c r="K1120" s="2">
        <v>4809.6000000000004</v>
      </c>
      <c r="L1120" s="35">
        <f t="shared" si="59"/>
        <v>15148460.448000001</v>
      </c>
      <c r="M1120" s="36">
        <v>12</v>
      </c>
      <c r="N1120" s="40">
        <v>566944.42105263204</v>
      </c>
      <c r="O1120" s="40">
        <v>982.73684210526301</v>
      </c>
      <c r="P1120" s="40">
        <v>19024.421052631598</v>
      </c>
      <c r="Q1120" s="40">
        <v>46895.368421052597</v>
      </c>
      <c r="R1120" s="40">
        <v>86130.315789473694</v>
      </c>
      <c r="S1120" s="40">
        <v>223803.78947368401</v>
      </c>
      <c r="T1120" s="40"/>
      <c r="U1120" s="40">
        <v>1317157.8947368399</v>
      </c>
      <c r="V1120" s="40">
        <v>0</v>
      </c>
      <c r="W1120" s="45">
        <f t="shared" si="60"/>
        <v>2260938.9473684193</v>
      </c>
      <c r="X1120" s="46">
        <f t="shared" si="61"/>
        <v>14.925206129887103</v>
      </c>
    </row>
    <row r="1121" spans="1:24" s="4" customFormat="1" ht="15" customHeight="1">
      <c r="A1121" s="28" t="s">
        <v>1603</v>
      </c>
      <c r="B1121" s="29">
        <v>3149.63</v>
      </c>
      <c r="C1121" s="30" t="s">
        <v>1728</v>
      </c>
      <c r="D1121" s="2">
        <v>4949590156</v>
      </c>
      <c r="E1121" s="2" t="s">
        <v>24</v>
      </c>
      <c r="F1121" s="2" t="s">
        <v>1729</v>
      </c>
      <c r="G1121" s="28" t="s">
        <v>9</v>
      </c>
      <c r="H1121" s="2" t="s">
        <v>23</v>
      </c>
      <c r="I1121" s="2">
        <v>2</v>
      </c>
      <c r="J1121" s="2"/>
      <c r="K1121" s="2">
        <v>7601.4</v>
      </c>
      <c r="L1121" s="35">
        <f t="shared" si="59"/>
        <v>23941597.482000001</v>
      </c>
      <c r="M1121" s="36">
        <v>1230</v>
      </c>
      <c r="N1121" s="40">
        <v>662396</v>
      </c>
      <c r="O1121" s="40">
        <v>881</v>
      </c>
      <c r="P1121" s="40">
        <v>0</v>
      </c>
      <c r="Q1121" s="40">
        <v>21350</v>
      </c>
      <c r="R1121" s="40">
        <v>105629</v>
      </c>
      <c r="S1121" s="40">
        <v>354356</v>
      </c>
      <c r="T1121" s="40"/>
      <c r="U1121" s="40">
        <v>489441.90040068701</v>
      </c>
      <c r="V1121" s="40">
        <v>0</v>
      </c>
      <c r="W1121" s="45">
        <f t="shared" si="60"/>
        <v>1634053.900400687</v>
      </c>
      <c r="X1121" s="46">
        <f t="shared" si="61"/>
        <v>6.8251665396564158</v>
      </c>
    </row>
    <row r="1122" spans="1:24" s="4" customFormat="1" ht="15" customHeight="1">
      <c r="A1122" s="28" t="s">
        <v>1603</v>
      </c>
      <c r="B1122" s="29">
        <v>3149.63</v>
      </c>
      <c r="C1122" s="30" t="s">
        <v>1730</v>
      </c>
      <c r="D1122" s="2">
        <v>4949570841</v>
      </c>
      <c r="E1122" s="2" t="s">
        <v>24</v>
      </c>
      <c r="F1122" s="2" t="s">
        <v>1731</v>
      </c>
      <c r="G1122" s="28" t="s">
        <v>5</v>
      </c>
      <c r="H1122" s="2" t="s">
        <v>17</v>
      </c>
      <c r="I1122" s="2">
        <v>1</v>
      </c>
      <c r="J1122" s="2" t="s">
        <v>1732</v>
      </c>
      <c r="K1122" s="2">
        <v>15840</v>
      </c>
      <c r="L1122" s="35">
        <f t="shared" si="59"/>
        <v>49890139.200000003</v>
      </c>
      <c r="M1122" s="36">
        <v>16000</v>
      </c>
      <c r="N1122" s="40">
        <v>314409</v>
      </c>
      <c r="O1122" s="40">
        <v>429032</v>
      </c>
      <c r="P1122" s="40">
        <v>0</v>
      </c>
      <c r="Q1122" s="40">
        <v>99309</v>
      </c>
      <c r="R1122" s="40">
        <v>621908</v>
      </c>
      <c r="S1122" s="40">
        <v>354356</v>
      </c>
      <c r="T1122" s="40"/>
      <c r="U1122" s="40">
        <v>5446550</v>
      </c>
      <c r="V1122" s="40">
        <v>0</v>
      </c>
      <c r="W1122" s="45">
        <f t="shared" si="60"/>
        <v>7265564</v>
      </c>
      <c r="X1122" s="46">
        <f t="shared" si="61"/>
        <v>14.563126334191507</v>
      </c>
    </row>
    <row r="1123" spans="1:24" s="4" customFormat="1" ht="15" customHeight="1">
      <c r="A1123" s="28" t="s">
        <v>1603</v>
      </c>
      <c r="B1123" s="29">
        <v>3149.63</v>
      </c>
      <c r="C1123" s="30" t="s">
        <v>1733</v>
      </c>
      <c r="D1123" s="2">
        <v>4948774467</v>
      </c>
      <c r="E1123" s="2" t="s">
        <v>14</v>
      </c>
      <c r="F1123" s="2" t="s">
        <v>1734</v>
      </c>
      <c r="G1123" s="28" t="s">
        <v>5</v>
      </c>
      <c r="H1123" s="2" t="s">
        <v>20</v>
      </c>
      <c r="I1123" s="2">
        <v>1</v>
      </c>
      <c r="J1123" s="2" t="s">
        <v>1735</v>
      </c>
      <c r="K1123" s="2">
        <v>30996</v>
      </c>
      <c r="L1123" s="35">
        <f t="shared" si="59"/>
        <v>97625931.480000004</v>
      </c>
      <c r="M1123" s="36">
        <v>16400</v>
      </c>
      <c r="N1123" s="40">
        <v>353184</v>
      </c>
      <c r="O1123" s="40">
        <v>327035</v>
      </c>
      <c r="P1123" s="40">
        <v>0</v>
      </c>
      <c r="Q1123" s="40">
        <v>99309</v>
      </c>
      <c r="R1123" s="40">
        <v>622975</v>
      </c>
      <c r="S1123" s="40">
        <v>354356</v>
      </c>
      <c r="T1123" s="40">
        <v>30000</v>
      </c>
      <c r="U1123" s="40">
        <v>3928500</v>
      </c>
      <c r="V1123" s="40">
        <v>0</v>
      </c>
      <c r="W1123" s="45">
        <f t="shared" si="60"/>
        <v>5715359</v>
      </c>
      <c r="X1123" s="46">
        <f t="shared" si="61"/>
        <v>5.8543451656293479</v>
      </c>
    </row>
    <row r="1124" spans="1:24" s="4" customFormat="1" ht="15" customHeight="1">
      <c r="A1124" s="28" t="s">
        <v>1603</v>
      </c>
      <c r="B1124" s="29">
        <v>3149.63</v>
      </c>
      <c r="C1124" s="30" t="s">
        <v>1736</v>
      </c>
      <c r="D1124" s="2">
        <v>4949724157</v>
      </c>
      <c r="E1124" s="2" t="s">
        <v>24</v>
      </c>
      <c r="F1124" s="2" t="s">
        <v>1737</v>
      </c>
      <c r="G1124" s="28" t="s">
        <v>5</v>
      </c>
      <c r="H1124" s="2" t="s">
        <v>20</v>
      </c>
      <c r="I1124" s="2">
        <v>1</v>
      </c>
      <c r="J1124" s="2" t="s">
        <v>1738</v>
      </c>
      <c r="K1124" s="2">
        <v>2177.2800000000002</v>
      </c>
      <c r="L1124" s="35">
        <f t="shared" si="59"/>
        <v>6857626.4064000007</v>
      </c>
      <c r="M1124" s="36">
        <v>3402</v>
      </c>
      <c r="N1124" s="40">
        <v>119270.625</v>
      </c>
      <c r="O1124" s="40">
        <v>122638.125</v>
      </c>
      <c r="P1124" s="40">
        <v>0</v>
      </c>
      <c r="Q1124" s="40">
        <v>37240.875</v>
      </c>
      <c r="R1124" s="40">
        <v>232331.25</v>
      </c>
      <c r="S1124" s="40">
        <v>132883.5</v>
      </c>
      <c r="T1124" s="40"/>
      <c r="U1124" s="52">
        <v>1087612.5</v>
      </c>
      <c r="V1124" s="52">
        <v>0</v>
      </c>
      <c r="W1124" s="45">
        <f t="shared" si="60"/>
        <v>1731976.875</v>
      </c>
      <c r="X1124" s="46">
        <f t="shared" si="61"/>
        <v>25.256215086077045</v>
      </c>
    </row>
    <row r="1125" spans="1:24" s="4" customFormat="1" ht="15" customHeight="1">
      <c r="A1125" s="28" t="s">
        <v>1603</v>
      </c>
      <c r="B1125" s="29">
        <v>3149.63</v>
      </c>
      <c r="C1125" s="30" t="s">
        <v>1736</v>
      </c>
      <c r="D1125" s="2">
        <v>4949662475</v>
      </c>
      <c r="E1125" s="2" t="s">
        <v>24</v>
      </c>
      <c r="F1125" s="2" t="s">
        <v>1737</v>
      </c>
      <c r="G1125" s="28" t="s">
        <v>5</v>
      </c>
      <c r="H1125" s="2" t="s">
        <v>20</v>
      </c>
      <c r="I1125" s="2">
        <v>1</v>
      </c>
      <c r="J1125" s="2" t="s">
        <v>1738</v>
      </c>
      <c r="K1125" s="2">
        <v>4422.6000000000004</v>
      </c>
      <c r="L1125" s="35">
        <f t="shared" si="59"/>
        <v>13929553.638000002</v>
      </c>
      <c r="M1125" s="36">
        <v>5670</v>
      </c>
      <c r="N1125" s="40">
        <v>198784.375</v>
      </c>
      <c r="O1125" s="40">
        <v>204396.875</v>
      </c>
      <c r="P1125" s="40">
        <v>0</v>
      </c>
      <c r="Q1125" s="40">
        <v>62068.125</v>
      </c>
      <c r="R1125" s="40">
        <f>262218.75+125000</f>
        <v>387218.75</v>
      </c>
      <c r="S1125" s="40">
        <v>221472.5</v>
      </c>
      <c r="T1125" s="40"/>
      <c r="U1125" s="52">
        <v>1812687.5</v>
      </c>
      <c r="V1125" s="52">
        <v>0</v>
      </c>
      <c r="W1125" s="45">
        <f t="shared" si="60"/>
        <v>2886628.125</v>
      </c>
      <c r="X1125" s="46">
        <f t="shared" si="61"/>
        <v>20.72304827575552</v>
      </c>
    </row>
    <row r="1126" spans="1:24" s="4" customFormat="1" ht="15" customHeight="1">
      <c r="A1126" s="28" t="s">
        <v>1603</v>
      </c>
      <c r="B1126" s="29">
        <v>3149.63</v>
      </c>
      <c r="C1126" s="30" t="s">
        <v>1739</v>
      </c>
      <c r="D1126" s="2">
        <v>4948793547</v>
      </c>
      <c r="E1126" s="2" t="s">
        <v>27</v>
      </c>
      <c r="F1126" s="2" t="s">
        <v>1740</v>
      </c>
      <c r="G1126" s="28" t="s">
        <v>5</v>
      </c>
      <c r="H1126" s="2" t="s">
        <v>20</v>
      </c>
      <c r="I1126" s="2">
        <v>1</v>
      </c>
      <c r="J1126" s="2" t="s">
        <v>1741</v>
      </c>
      <c r="K1126" s="2">
        <v>8190</v>
      </c>
      <c r="L1126" s="35">
        <f t="shared" si="59"/>
        <v>25795469.699999999</v>
      </c>
      <c r="M1126" s="36">
        <v>4200</v>
      </c>
      <c r="N1126" s="40">
        <v>471488</v>
      </c>
      <c r="O1126" s="40">
        <v>407175</v>
      </c>
      <c r="P1126" s="40">
        <v>0</v>
      </c>
      <c r="Q1126" s="40">
        <v>124137</v>
      </c>
      <c r="R1126" s="40">
        <v>628165</v>
      </c>
      <c r="S1126" s="40">
        <v>354356</v>
      </c>
      <c r="T1126" s="40"/>
      <c r="U1126" s="40">
        <v>2619000</v>
      </c>
      <c r="V1126" s="40">
        <v>0</v>
      </c>
      <c r="W1126" s="45">
        <f t="shared" si="60"/>
        <v>4604321</v>
      </c>
      <c r="X1126" s="46">
        <f t="shared" si="61"/>
        <v>17.849339645868127</v>
      </c>
    </row>
    <row r="1127" spans="1:24" s="4" customFormat="1" ht="15" customHeight="1">
      <c r="A1127" s="28" t="s">
        <v>1603</v>
      </c>
      <c r="B1127" s="29">
        <v>3149.63</v>
      </c>
      <c r="C1127" s="30" t="s">
        <v>1742</v>
      </c>
      <c r="D1127" s="2">
        <v>4948561423</v>
      </c>
      <c r="E1127" s="2" t="s">
        <v>24</v>
      </c>
      <c r="F1127" s="2" t="s">
        <v>1743</v>
      </c>
      <c r="G1127" s="28" t="s">
        <v>9</v>
      </c>
      <c r="H1127" s="2" t="s">
        <v>23</v>
      </c>
      <c r="I1127" s="2">
        <v>2</v>
      </c>
      <c r="J1127" s="2"/>
      <c r="K1127" s="2">
        <v>3483.58</v>
      </c>
      <c r="L1127" s="35">
        <f t="shared" si="59"/>
        <v>10971988.0754</v>
      </c>
      <c r="M1127" s="36">
        <v>1741.7919999999999</v>
      </c>
      <c r="N1127" s="40">
        <v>693690</v>
      </c>
      <c r="O1127" s="40">
        <v>0</v>
      </c>
      <c r="P1127" s="40">
        <v>63876</v>
      </c>
      <c r="Q1127" s="40">
        <v>88414</v>
      </c>
      <c r="R1127" s="40">
        <v>189462</v>
      </c>
      <c r="S1127" s="40">
        <v>354356</v>
      </c>
      <c r="T1127" s="40"/>
      <c r="U1127" s="40">
        <v>557750</v>
      </c>
      <c r="V1127" s="40">
        <v>0</v>
      </c>
      <c r="W1127" s="45">
        <f t="shared" si="60"/>
        <v>1947548</v>
      </c>
      <c r="X1127" s="46">
        <f t="shared" si="61"/>
        <v>17.750183345227516</v>
      </c>
    </row>
    <row r="1128" spans="1:24" s="4" customFormat="1" ht="15" customHeight="1">
      <c r="A1128" s="28" t="s">
        <v>1603</v>
      </c>
      <c r="B1128" s="29">
        <v>3149.63</v>
      </c>
      <c r="C1128" s="30" t="s">
        <v>1744</v>
      </c>
      <c r="D1128" s="2">
        <v>4949387314</v>
      </c>
      <c r="E1128" s="2" t="s">
        <v>14</v>
      </c>
      <c r="F1128" s="2" t="s">
        <v>1745</v>
      </c>
      <c r="G1128" s="28" t="s">
        <v>9</v>
      </c>
      <c r="H1128" s="2" t="s">
        <v>23</v>
      </c>
      <c r="I1128" s="2">
        <v>4</v>
      </c>
      <c r="J1128" s="2"/>
      <c r="K1128" s="2">
        <v>10360</v>
      </c>
      <c r="L1128" s="35">
        <f t="shared" si="59"/>
        <v>32630166.800000001</v>
      </c>
      <c r="M1128" s="36">
        <v>4000</v>
      </c>
      <c r="N1128" s="40">
        <v>827111</v>
      </c>
      <c r="O1128" s="40">
        <v>2657</v>
      </c>
      <c r="P1128" s="40">
        <v>80698</v>
      </c>
      <c r="Q1128" s="40">
        <v>65004</v>
      </c>
      <c r="R1128" s="40">
        <v>152222</v>
      </c>
      <c r="S1128" s="40">
        <v>354356</v>
      </c>
      <c r="T1128" s="40">
        <v>30000</v>
      </c>
      <c r="U1128" s="40">
        <v>1591680.9769128</v>
      </c>
      <c r="V1128" s="40">
        <v>0</v>
      </c>
      <c r="W1128" s="45">
        <f t="shared" si="60"/>
        <v>3103728.9769128002</v>
      </c>
      <c r="X1128" s="46">
        <f t="shared" si="61"/>
        <v>9.5118391393353221</v>
      </c>
    </row>
    <row r="1129" spans="1:24" s="4" customFormat="1" ht="15" customHeight="1">
      <c r="A1129" s="28" t="s">
        <v>1603</v>
      </c>
      <c r="B1129" s="29">
        <v>3149.63</v>
      </c>
      <c r="C1129" s="30" t="s">
        <v>1746</v>
      </c>
      <c r="D1129" s="2">
        <v>4949100373</v>
      </c>
      <c r="E1129" s="2" t="s">
        <v>24</v>
      </c>
      <c r="F1129" s="78" t="s">
        <v>1747</v>
      </c>
      <c r="G1129" s="28" t="s">
        <v>5</v>
      </c>
      <c r="H1129" s="2" t="s">
        <v>26</v>
      </c>
      <c r="I1129" s="2">
        <v>1</v>
      </c>
      <c r="J1129" s="2" t="s">
        <v>1748</v>
      </c>
      <c r="K1129" s="2">
        <v>26610.400000000001</v>
      </c>
      <c r="L1129" s="35">
        <f t="shared" si="59"/>
        <v>83812914.15200001</v>
      </c>
      <c r="M1129" s="36">
        <v>22940</v>
      </c>
      <c r="N1129" s="40">
        <v>308665</v>
      </c>
      <c r="O1129" s="40">
        <v>377466</v>
      </c>
      <c r="P1129" s="40">
        <v>135878</v>
      </c>
      <c r="Q1129" s="40">
        <v>110094</v>
      </c>
      <c r="R1129" s="40">
        <v>769482</v>
      </c>
      <c r="S1129" s="40">
        <v>354356</v>
      </c>
      <c r="T1129" s="40"/>
      <c r="U1129" s="40">
        <v>2419294</v>
      </c>
      <c r="V1129" s="40">
        <v>0</v>
      </c>
      <c r="W1129" s="45">
        <f t="shared" si="60"/>
        <v>4475235</v>
      </c>
      <c r="X1129" s="46">
        <f t="shared" si="61"/>
        <v>5.3395530334190253</v>
      </c>
    </row>
    <row r="1130" spans="1:24" s="4" customFormat="1" ht="15" customHeight="1">
      <c r="A1130" s="28" t="s">
        <v>1603</v>
      </c>
      <c r="B1130" s="29">
        <v>3149.63</v>
      </c>
      <c r="C1130" s="30" t="s">
        <v>1749</v>
      </c>
      <c r="D1130" s="2">
        <v>4949654721</v>
      </c>
      <c r="E1130" s="2" t="s">
        <v>18</v>
      </c>
      <c r="F1130" s="2" t="s">
        <v>1750</v>
      </c>
      <c r="G1130" s="28" t="s">
        <v>5</v>
      </c>
      <c r="H1130" s="2" t="s">
        <v>20</v>
      </c>
      <c r="I1130" s="2">
        <v>1</v>
      </c>
      <c r="J1130" s="2" t="s">
        <v>1751</v>
      </c>
      <c r="K1130" s="2">
        <v>18639</v>
      </c>
      <c r="L1130" s="35">
        <f t="shared" si="59"/>
        <v>58705953.57</v>
      </c>
      <c r="M1130" s="36">
        <v>17100</v>
      </c>
      <c r="N1130" s="40">
        <v>325475.88</v>
      </c>
      <c r="O1130" s="40">
        <v>327035</v>
      </c>
      <c r="P1130" s="40">
        <v>0</v>
      </c>
      <c r="Q1130" s="40">
        <v>99309</v>
      </c>
      <c r="R1130" s="40">
        <v>644515</v>
      </c>
      <c r="S1130" s="40">
        <v>354356</v>
      </c>
      <c r="T1130" s="40">
        <v>30000</v>
      </c>
      <c r="U1130" s="40">
        <v>4413500</v>
      </c>
      <c r="V1130" s="40">
        <v>0</v>
      </c>
      <c r="W1130" s="45">
        <f t="shared" si="60"/>
        <v>6194190.8799999999</v>
      </c>
      <c r="X1130" s="46">
        <f t="shared" si="61"/>
        <v>10.551214150050642</v>
      </c>
    </row>
    <row r="1131" spans="1:24" s="4" customFormat="1" ht="15" customHeight="1">
      <c r="A1131" s="28" t="s">
        <v>1603</v>
      </c>
      <c r="B1131" s="29">
        <v>3149.63</v>
      </c>
      <c r="C1131" s="30" t="s">
        <v>1752</v>
      </c>
      <c r="D1131" s="2">
        <v>4949100334</v>
      </c>
      <c r="E1131" s="2" t="s">
        <v>24</v>
      </c>
      <c r="F1131" s="2" t="s">
        <v>1753</v>
      </c>
      <c r="G1131" s="28" t="s">
        <v>5</v>
      </c>
      <c r="H1131" s="2" t="s">
        <v>26</v>
      </c>
      <c r="I1131" s="2">
        <v>1</v>
      </c>
      <c r="J1131" s="2" t="s">
        <v>1754</v>
      </c>
      <c r="K1131" s="2">
        <v>27515.200000000001</v>
      </c>
      <c r="L1131" s="35">
        <f t="shared" si="59"/>
        <v>86662699.376000002</v>
      </c>
      <c r="M1131" s="36">
        <v>23720</v>
      </c>
      <c r="N1131" s="40">
        <v>308664</v>
      </c>
      <c r="O1131" s="40">
        <v>377466</v>
      </c>
      <c r="P1131" s="40">
        <v>135878</v>
      </c>
      <c r="Q1131" s="40">
        <v>110094</v>
      </c>
      <c r="R1131" s="40">
        <v>769452</v>
      </c>
      <c r="S1131" s="40">
        <v>354356</v>
      </c>
      <c r="T1131" s="40"/>
      <c r="U1131" s="40">
        <v>2419294</v>
      </c>
      <c r="V1131" s="40">
        <v>0</v>
      </c>
      <c r="W1131" s="45">
        <f t="shared" si="60"/>
        <v>4475204</v>
      </c>
      <c r="X1131" s="46">
        <f t="shared" si="61"/>
        <v>5.1639333095125624</v>
      </c>
    </row>
    <row r="1132" spans="1:24" s="4" customFormat="1" ht="15" customHeight="1">
      <c r="A1132" s="28" t="s">
        <v>1603</v>
      </c>
      <c r="B1132" s="29">
        <v>3149.63</v>
      </c>
      <c r="C1132" s="30" t="s">
        <v>1755</v>
      </c>
      <c r="D1132" s="2">
        <v>4948861867</v>
      </c>
      <c r="E1132" s="2" t="s">
        <v>33</v>
      </c>
      <c r="F1132" s="2" t="s">
        <v>1756</v>
      </c>
      <c r="G1132" s="28" t="s">
        <v>5</v>
      </c>
      <c r="H1132" s="2" t="s">
        <v>20</v>
      </c>
      <c r="I1132" s="2">
        <v>3</v>
      </c>
      <c r="J1132" s="2" t="s">
        <v>1757</v>
      </c>
      <c r="K1132" s="2">
        <v>79002</v>
      </c>
      <c r="L1132" s="35">
        <f t="shared" si="59"/>
        <v>248827069.26000002</v>
      </c>
      <c r="M1132" s="36">
        <v>59400</v>
      </c>
      <c r="N1132" s="40">
        <v>3098872</v>
      </c>
      <c r="O1132" s="40">
        <v>881585</v>
      </c>
      <c r="P1132" s="40">
        <v>1004445</v>
      </c>
      <c r="Q1132" s="40">
        <v>347007</v>
      </c>
      <c r="R1132" s="40">
        <v>1460074</v>
      </c>
      <c r="S1132" s="40">
        <v>354356</v>
      </c>
      <c r="T1132" s="40"/>
      <c r="U1132" s="40">
        <v>12891300</v>
      </c>
      <c r="V1132" s="40">
        <v>0</v>
      </c>
      <c r="W1132" s="45">
        <f t="shared" si="60"/>
        <v>20037639</v>
      </c>
      <c r="X1132" s="46">
        <f t="shared" si="61"/>
        <v>8.0528372815670721</v>
      </c>
    </row>
    <row r="1133" spans="1:24" s="4" customFormat="1" ht="15" customHeight="1">
      <c r="A1133" s="28" t="s">
        <v>1603</v>
      </c>
      <c r="B1133" s="29">
        <v>3149.63</v>
      </c>
      <c r="C1133" s="30" t="s">
        <v>1758</v>
      </c>
      <c r="D1133" s="2">
        <v>4948561427</v>
      </c>
      <c r="E1133" s="2" t="s">
        <v>24</v>
      </c>
      <c r="F1133" s="2" t="s">
        <v>1759</v>
      </c>
      <c r="G1133" s="28" t="s">
        <v>9</v>
      </c>
      <c r="H1133" s="2" t="s">
        <v>23</v>
      </c>
      <c r="I1133" s="2">
        <v>4</v>
      </c>
      <c r="J1133" s="2"/>
      <c r="K1133" s="2">
        <v>6653.65</v>
      </c>
      <c r="L1133" s="35">
        <f t="shared" si="59"/>
        <v>20956535.649500001</v>
      </c>
      <c r="M1133" s="36">
        <v>3483.5839999999998</v>
      </c>
      <c r="N1133" s="40">
        <v>852578</v>
      </c>
      <c r="O1133" s="40">
        <v>0</v>
      </c>
      <c r="P1133" s="40">
        <v>127720</v>
      </c>
      <c r="Q1133" s="40">
        <v>88414</v>
      </c>
      <c r="R1133" s="40">
        <v>192917</v>
      </c>
      <c r="S1133" s="40">
        <v>354356</v>
      </c>
      <c r="T1133" s="40"/>
      <c r="U1133" s="40">
        <v>557750</v>
      </c>
      <c r="V1133" s="40">
        <v>0</v>
      </c>
      <c r="W1133" s="45">
        <f t="shared" si="60"/>
        <v>2173735</v>
      </c>
      <c r="X1133" s="46">
        <f t="shared" si="61"/>
        <v>10.372587513298567</v>
      </c>
    </row>
    <row r="1134" spans="1:24" s="4" customFormat="1" ht="15" customHeight="1">
      <c r="A1134" s="28" t="s">
        <v>1603</v>
      </c>
      <c r="B1134" s="29">
        <v>3149.63</v>
      </c>
      <c r="C1134" s="30" t="s">
        <v>1760</v>
      </c>
      <c r="D1134" s="2">
        <v>4949718142</v>
      </c>
      <c r="E1134" s="2" t="s">
        <v>14</v>
      </c>
      <c r="F1134" s="78" t="s">
        <v>1761</v>
      </c>
      <c r="G1134" s="28" t="s">
        <v>13</v>
      </c>
      <c r="H1134" s="2" t="s">
        <v>23</v>
      </c>
      <c r="I1134" s="2">
        <v>1</v>
      </c>
      <c r="J1134" s="2"/>
      <c r="K1134" s="2">
        <v>15354</v>
      </c>
      <c r="L1134" s="35">
        <f t="shared" si="59"/>
        <v>48359419.020000003</v>
      </c>
      <c r="M1134" s="36">
        <v>120</v>
      </c>
      <c r="N1134" s="40">
        <v>265028</v>
      </c>
      <c r="O1134" s="40">
        <v>0</v>
      </c>
      <c r="P1134" s="40">
        <v>0</v>
      </c>
      <c r="Q1134" s="40">
        <v>0</v>
      </c>
      <c r="R1134" s="40">
        <v>4060</v>
      </c>
      <c r="S1134" s="40">
        <v>354356</v>
      </c>
      <c r="T1134" s="40">
        <v>30000</v>
      </c>
      <c r="U1134" s="40">
        <v>55784.150943396198</v>
      </c>
      <c r="V1134" s="40">
        <v>0</v>
      </c>
      <c r="W1134" s="45">
        <f t="shared" si="60"/>
        <v>709228.15094339615</v>
      </c>
      <c r="X1134" s="46">
        <f t="shared" si="61"/>
        <v>1.4665770708495913</v>
      </c>
    </row>
    <row r="1135" spans="1:24" s="4" customFormat="1" ht="15" customHeight="1">
      <c r="A1135" s="28" t="s">
        <v>1603</v>
      </c>
      <c r="B1135" s="29">
        <v>3149.63</v>
      </c>
      <c r="C1135" s="30" t="s">
        <v>1762</v>
      </c>
      <c r="D1135" s="2">
        <v>4949331202</v>
      </c>
      <c r="E1135" s="2" t="s">
        <v>14</v>
      </c>
      <c r="F1135" s="2" t="s">
        <v>1763</v>
      </c>
      <c r="G1135" s="28" t="s">
        <v>5</v>
      </c>
      <c r="H1135" s="2" t="s">
        <v>20</v>
      </c>
      <c r="I1135" s="2">
        <v>3</v>
      </c>
      <c r="J1135" s="2" t="s">
        <v>1764</v>
      </c>
      <c r="K1135" s="2">
        <f>8256+18576+18576</f>
        <v>45408</v>
      </c>
      <c r="L1135" s="35">
        <f t="shared" si="59"/>
        <v>143018399.03999999</v>
      </c>
      <c r="M1135" s="36">
        <v>52800</v>
      </c>
      <c r="N1135" s="40">
        <v>0</v>
      </c>
      <c r="O1135" s="40">
        <v>9482</v>
      </c>
      <c r="P1135" s="40">
        <v>889742</v>
      </c>
      <c r="Q1135" s="40">
        <v>330415</v>
      </c>
      <c r="R1135" s="40">
        <v>916321</v>
      </c>
      <c r="S1135" s="40">
        <v>354356</v>
      </c>
      <c r="T1135" s="40">
        <v>30000</v>
      </c>
      <c r="U1135" s="40">
        <v>7527200</v>
      </c>
      <c r="V1135" s="40">
        <v>0</v>
      </c>
      <c r="W1135" s="45">
        <f t="shared" si="60"/>
        <v>10057516</v>
      </c>
      <c r="X1135" s="46">
        <f t="shared" si="61"/>
        <v>7.0323231608732186</v>
      </c>
    </row>
    <row r="1136" spans="1:24" s="4" customFormat="1" ht="15" customHeight="1">
      <c r="A1136" s="28" t="s">
        <v>1603</v>
      </c>
      <c r="B1136" s="29">
        <v>3149.63</v>
      </c>
      <c r="C1136" s="30" t="s">
        <v>1765</v>
      </c>
      <c r="D1136" s="2">
        <v>4949587510</v>
      </c>
      <c r="E1136" s="2" t="s">
        <v>14</v>
      </c>
      <c r="F1136" s="2" t="s">
        <v>1766</v>
      </c>
      <c r="G1136" s="28" t="s">
        <v>9</v>
      </c>
      <c r="H1136" s="2" t="s">
        <v>23</v>
      </c>
      <c r="I1136" s="2">
        <v>3</v>
      </c>
      <c r="J1136" s="2"/>
      <c r="K1136" s="2">
        <v>400.56</v>
      </c>
      <c r="L1136" s="35">
        <f t="shared" si="59"/>
        <v>1261615.7927999999</v>
      </c>
      <c r="M1136" s="36">
        <v>40</v>
      </c>
      <c r="N1136" s="40">
        <v>23662.9130434783</v>
      </c>
      <c r="O1136" s="40">
        <v>29</v>
      </c>
      <c r="P1136" s="40">
        <v>885.13043478260897</v>
      </c>
      <c r="Q1136" s="40">
        <v>685.43478260869597</v>
      </c>
      <c r="R1136" s="40">
        <v>4452.8260869565202</v>
      </c>
      <c r="S1136" s="40">
        <v>15406.782608695699</v>
      </c>
      <c r="T1136" s="40">
        <v>30000</v>
      </c>
      <c r="U1136" s="40">
        <v>25394.216133942198</v>
      </c>
      <c r="V1136" s="40">
        <v>0</v>
      </c>
      <c r="W1136" s="45">
        <f t="shared" si="60"/>
        <v>100516.30309046402</v>
      </c>
      <c r="X1136" s="46">
        <f t="shared" si="61"/>
        <v>7.9672673458993826</v>
      </c>
    </row>
    <row r="1137" spans="1:24" s="4" customFormat="1" ht="15" customHeight="1">
      <c r="A1137" s="28" t="s">
        <v>1603</v>
      </c>
      <c r="B1137" s="29">
        <v>3149.63</v>
      </c>
      <c r="C1137" s="30" t="s">
        <v>1765</v>
      </c>
      <c r="D1137" s="2">
        <v>4949591599</v>
      </c>
      <c r="E1137" s="2" t="s">
        <v>14</v>
      </c>
      <c r="F1137" s="2" t="s">
        <v>1766</v>
      </c>
      <c r="G1137" s="28" t="s">
        <v>9</v>
      </c>
      <c r="H1137" s="2" t="s">
        <v>23</v>
      </c>
      <c r="I1137" s="2">
        <v>3</v>
      </c>
      <c r="J1137" s="2"/>
      <c r="K1137" s="2">
        <v>1100</v>
      </c>
      <c r="L1137" s="35">
        <f t="shared" si="59"/>
        <v>3464593</v>
      </c>
      <c r="M1137" s="36">
        <v>880</v>
      </c>
      <c r="N1137" s="40">
        <v>520584.08695652202</v>
      </c>
      <c r="O1137" s="40">
        <v>638</v>
      </c>
      <c r="P1137" s="40">
        <v>19472.869565217399</v>
      </c>
      <c r="Q1137" s="40">
        <v>15079.5652173913</v>
      </c>
      <c r="R1137" s="40">
        <v>97962.173913043502</v>
      </c>
      <c r="S1137" s="40">
        <v>338949.21739130397</v>
      </c>
      <c r="T1137" s="40">
        <v>30000</v>
      </c>
      <c r="U1137" s="40">
        <v>558672.754946728</v>
      </c>
      <c r="V1137" s="40">
        <v>0</v>
      </c>
      <c r="W1137" s="45">
        <f t="shared" si="60"/>
        <v>1581358.6679902063</v>
      </c>
      <c r="X1137" s="46">
        <f t="shared" si="61"/>
        <v>45.643418086632579</v>
      </c>
    </row>
    <row r="1138" spans="1:24" s="4" customFormat="1" ht="15" customHeight="1">
      <c r="A1138" s="28" t="s">
        <v>1603</v>
      </c>
      <c r="B1138" s="29">
        <v>3149.63</v>
      </c>
      <c r="C1138" s="30" t="s">
        <v>1767</v>
      </c>
      <c r="D1138" s="2">
        <v>4949590076</v>
      </c>
      <c r="E1138" s="2" t="s">
        <v>14</v>
      </c>
      <c r="F1138" s="2" t="s">
        <v>1768</v>
      </c>
      <c r="G1138" s="28" t="s">
        <v>9</v>
      </c>
      <c r="H1138" s="2" t="s">
        <v>23</v>
      </c>
      <c r="I1138" s="2">
        <v>3</v>
      </c>
      <c r="J1138" s="2"/>
      <c r="K1138" s="2">
        <v>1100</v>
      </c>
      <c r="L1138" s="35">
        <f t="shared" si="59"/>
        <v>3464593</v>
      </c>
      <c r="M1138" s="36">
        <v>880</v>
      </c>
      <c r="N1138" s="40">
        <v>379170.33846153802</v>
      </c>
      <c r="O1138" s="40">
        <v>601.78461538461499</v>
      </c>
      <c r="P1138" s="40">
        <v>18705.4153846154</v>
      </c>
      <c r="Q1138" s="40">
        <v>14592.430769230799</v>
      </c>
      <c r="R1138" s="40">
        <v>69415.753846153806</v>
      </c>
      <c r="S1138" s="40">
        <v>239871.753846154</v>
      </c>
      <c r="T1138" s="40">
        <v>30000</v>
      </c>
      <c r="U1138" s="40">
        <v>558672.754946728</v>
      </c>
      <c r="V1138" s="40">
        <v>0</v>
      </c>
      <c r="W1138" s="45">
        <f t="shared" si="60"/>
        <v>1311030.2318698047</v>
      </c>
      <c r="X1138" s="46">
        <f t="shared" si="61"/>
        <v>37.84081512229011</v>
      </c>
    </row>
    <row r="1139" spans="1:24" s="4" customFormat="1" ht="15" customHeight="1">
      <c r="A1139" s="28" t="s">
        <v>1603</v>
      </c>
      <c r="B1139" s="29">
        <v>3149.63</v>
      </c>
      <c r="C1139" s="30" t="s">
        <v>1767</v>
      </c>
      <c r="D1139" s="2">
        <v>4949590076</v>
      </c>
      <c r="E1139" s="2" t="s">
        <v>14</v>
      </c>
      <c r="F1139" s="2" t="s">
        <v>1768</v>
      </c>
      <c r="G1139" s="28" t="s">
        <v>9</v>
      </c>
      <c r="H1139" s="2" t="s">
        <v>23</v>
      </c>
      <c r="I1139" s="2">
        <v>3</v>
      </c>
      <c r="J1139" s="2"/>
      <c r="K1139" s="2">
        <v>2461.1999999999998</v>
      </c>
      <c r="L1139" s="35">
        <f t="shared" si="59"/>
        <v>7751869.3559999997</v>
      </c>
      <c r="M1139" s="36">
        <v>420</v>
      </c>
      <c r="N1139" s="40">
        <v>180967.66153846201</v>
      </c>
      <c r="O1139" s="40">
        <v>287.21538461538501</v>
      </c>
      <c r="P1139" s="40">
        <v>8927.5846153846196</v>
      </c>
      <c r="Q1139" s="40">
        <v>6964.5692307692298</v>
      </c>
      <c r="R1139" s="40">
        <v>33130.246153846201</v>
      </c>
      <c r="S1139" s="40">
        <v>114484.246153846</v>
      </c>
      <c r="T1139" s="40">
        <v>30000</v>
      </c>
      <c r="U1139" s="40">
        <v>266639.269406393</v>
      </c>
      <c r="V1139" s="40">
        <v>0</v>
      </c>
      <c r="W1139" s="45">
        <f t="shared" si="60"/>
        <v>641400.7924833165</v>
      </c>
      <c r="X1139" s="46">
        <f t="shared" si="61"/>
        <v>8.2741434746557996</v>
      </c>
    </row>
    <row r="1140" spans="1:24" s="4" customFormat="1" ht="15" customHeight="1">
      <c r="A1140" s="28" t="s">
        <v>1603</v>
      </c>
      <c r="B1140" s="29">
        <v>3149.63</v>
      </c>
      <c r="C1140" s="30" t="s">
        <v>1769</v>
      </c>
      <c r="D1140" s="2">
        <v>4949654739</v>
      </c>
      <c r="E1140" s="2" t="s">
        <v>14</v>
      </c>
      <c r="F1140" s="2" t="s">
        <v>1770</v>
      </c>
      <c r="G1140" s="28" t="s">
        <v>5</v>
      </c>
      <c r="H1140" s="2" t="s">
        <v>20</v>
      </c>
      <c r="I1140" s="2">
        <v>1</v>
      </c>
      <c r="J1140" s="2" t="s">
        <v>1771</v>
      </c>
      <c r="K1140" s="2">
        <v>36842.400000000001</v>
      </c>
      <c r="L1140" s="35">
        <f t="shared" si="59"/>
        <v>116039928.31200001</v>
      </c>
      <c r="M1140" s="36">
        <v>15480</v>
      </c>
      <c r="N1140" s="40">
        <v>325476</v>
      </c>
      <c r="O1140" s="40">
        <v>327035</v>
      </c>
      <c r="P1140" s="40">
        <v>0</v>
      </c>
      <c r="Q1140" s="40">
        <v>99309</v>
      </c>
      <c r="R1140" s="40">
        <v>539889</v>
      </c>
      <c r="S1140" s="40">
        <v>354356</v>
      </c>
      <c r="T1140" s="40">
        <v>30000</v>
      </c>
      <c r="U1140" s="40">
        <v>4529900</v>
      </c>
      <c r="V1140" s="40">
        <v>0</v>
      </c>
      <c r="W1140" s="45">
        <f t="shared" si="60"/>
        <v>6205965</v>
      </c>
      <c r="X1140" s="46">
        <f t="shared" si="61"/>
        <v>5.3481289503332317</v>
      </c>
    </row>
    <row r="1141" spans="1:24" s="4" customFormat="1" ht="15" customHeight="1">
      <c r="A1141" s="28" t="s">
        <v>1603</v>
      </c>
      <c r="B1141" s="29">
        <v>3149.63</v>
      </c>
      <c r="C1141" s="30" t="s">
        <v>1772</v>
      </c>
      <c r="D1141" s="2">
        <v>4949590819</v>
      </c>
      <c r="E1141" s="2" t="s">
        <v>18</v>
      </c>
      <c r="F1141" s="2" t="s">
        <v>1773</v>
      </c>
      <c r="G1141" s="28" t="s">
        <v>9</v>
      </c>
      <c r="H1141" s="2" t="s">
        <v>23</v>
      </c>
      <c r="I1141" s="2">
        <v>1</v>
      </c>
      <c r="J1141" s="2"/>
      <c r="K1141" s="2">
        <v>779</v>
      </c>
      <c r="L1141" s="35">
        <f t="shared" si="59"/>
        <v>2453561.77</v>
      </c>
      <c r="M1141" s="36">
        <v>475</v>
      </c>
      <c r="N1141" s="40">
        <v>462423</v>
      </c>
      <c r="O1141" s="40">
        <v>317</v>
      </c>
      <c r="P1141" s="40">
        <v>4945</v>
      </c>
      <c r="Q1141" s="40">
        <v>7729</v>
      </c>
      <c r="R1141" s="40">
        <v>128977</v>
      </c>
      <c r="S1141" s="40">
        <v>354356</v>
      </c>
      <c r="T1141" s="40">
        <v>30000</v>
      </c>
      <c r="U1141" s="40">
        <v>248897.61306532699</v>
      </c>
      <c r="V1141" s="40">
        <v>0</v>
      </c>
      <c r="W1141" s="45">
        <f t="shared" si="60"/>
        <v>1237644.6130653271</v>
      </c>
      <c r="X1141" s="46">
        <f t="shared" si="61"/>
        <v>50.442773774769364</v>
      </c>
    </row>
    <row r="1142" spans="1:24" s="4" customFormat="1" ht="15" customHeight="1">
      <c r="A1142" s="28" t="s">
        <v>1603</v>
      </c>
      <c r="B1142" s="29">
        <v>3149.63</v>
      </c>
      <c r="C1142" s="30" t="s">
        <v>1774</v>
      </c>
      <c r="D1142" s="2">
        <v>4949253042</v>
      </c>
      <c r="E1142" s="2" t="s">
        <v>27</v>
      </c>
      <c r="F1142" s="78" t="s">
        <v>1775</v>
      </c>
      <c r="G1142" s="28" t="s">
        <v>9</v>
      </c>
      <c r="H1142" s="2" t="s">
        <v>23</v>
      </c>
      <c r="I1142" s="2">
        <v>1</v>
      </c>
      <c r="J1142" s="2"/>
      <c r="K1142" s="2">
        <v>5839.7259999999997</v>
      </c>
      <c r="L1142" s="35">
        <f t="shared" si="59"/>
        <v>18392976.20138</v>
      </c>
      <c r="M1142" s="36">
        <v>200</v>
      </c>
      <c r="N1142" s="40">
        <v>698093</v>
      </c>
      <c r="O1142" s="40">
        <v>157</v>
      </c>
      <c r="P1142" s="40">
        <v>0</v>
      </c>
      <c r="Q1142" s="40">
        <v>4799</v>
      </c>
      <c r="R1142" s="40">
        <v>87817</v>
      </c>
      <c r="S1142" s="40">
        <v>354356</v>
      </c>
      <c r="T1142" s="40"/>
      <c r="U1142" s="40">
        <v>252200</v>
      </c>
      <c r="V1142" s="40">
        <v>0</v>
      </c>
      <c r="W1142" s="45">
        <f t="shared" si="60"/>
        <v>1397422</v>
      </c>
      <c r="X1142" s="46">
        <f t="shared" si="61"/>
        <v>7.597584994945807</v>
      </c>
    </row>
    <row r="1143" spans="1:24" s="4" customFormat="1" ht="15" customHeight="1">
      <c r="A1143" s="28" t="s">
        <v>1603</v>
      </c>
      <c r="B1143" s="29">
        <v>3149.63</v>
      </c>
      <c r="C1143" s="30" t="s">
        <v>1776</v>
      </c>
      <c r="D1143" s="2">
        <v>4949417132</v>
      </c>
      <c r="E1143" s="2" t="s">
        <v>14</v>
      </c>
      <c r="F1143" s="2" t="s">
        <v>1777</v>
      </c>
      <c r="G1143" s="28" t="s">
        <v>5</v>
      </c>
      <c r="H1143" s="2" t="s">
        <v>32</v>
      </c>
      <c r="I1143" s="2">
        <v>1</v>
      </c>
      <c r="J1143" s="2" t="s">
        <v>1778</v>
      </c>
      <c r="K1143" s="2">
        <v>6172.2</v>
      </c>
      <c r="L1143" s="35">
        <f t="shared" si="59"/>
        <v>19440146.285999998</v>
      </c>
      <c r="M1143" s="36">
        <v>1620</v>
      </c>
      <c r="N1143" s="40">
        <v>82129.457943925197</v>
      </c>
      <c r="O1143" s="40">
        <v>82522.850467289696</v>
      </c>
      <c r="P1143" s="40">
        <v>0</v>
      </c>
      <c r="Q1143" s="40">
        <v>25059.2803738318</v>
      </c>
      <c r="R1143" s="40">
        <f>313351.654205607+28181</f>
        <v>341532.65420560702</v>
      </c>
      <c r="S1143" s="40">
        <v>89416.934579439199</v>
      </c>
      <c r="T1143" s="40">
        <v>30000</v>
      </c>
      <c r="U1143" s="40">
        <v>1323500.3831775701</v>
      </c>
      <c r="V1143" s="40">
        <v>0</v>
      </c>
      <c r="W1143" s="45">
        <f t="shared" si="60"/>
        <v>1974161.560747663</v>
      </c>
      <c r="X1143" s="46">
        <f t="shared" si="61"/>
        <v>10.155075644514948</v>
      </c>
    </row>
    <row r="1144" spans="1:24" s="4" customFormat="1" ht="15" customHeight="1">
      <c r="A1144" s="28" t="s">
        <v>1603</v>
      </c>
      <c r="B1144" s="29">
        <v>3149.63</v>
      </c>
      <c r="C1144" s="30" t="s">
        <v>1776</v>
      </c>
      <c r="D1144" s="2">
        <v>4949681273</v>
      </c>
      <c r="E1144" s="2" t="s">
        <v>18</v>
      </c>
      <c r="F1144" s="2" t="s">
        <v>1777</v>
      </c>
      <c r="G1144" s="28" t="s">
        <v>5</v>
      </c>
      <c r="H1144" s="2" t="s">
        <v>32</v>
      </c>
      <c r="I1144" s="2">
        <v>1</v>
      </c>
      <c r="J1144" s="2" t="s">
        <v>1778</v>
      </c>
      <c r="K1144" s="2">
        <v>67600</v>
      </c>
      <c r="L1144" s="35">
        <f t="shared" si="59"/>
        <v>212914988</v>
      </c>
      <c r="M1144" s="36">
        <v>4000</v>
      </c>
      <c r="N1144" s="40">
        <v>202788.785046729</v>
      </c>
      <c r="O1144" s="40">
        <v>203760.124610592</v>
      </c>
      <c r="P1144" s="40">
        <v>0</v>
      </c>
      <c r="Q1144" s="40">
        <v>61874.7663551402</v>
      </c>
      <c r="R1144" s="40">
        <f>773707.788161994+69584</f>
        <v>843291.78816199396</v>
      </c>
      <c r="S1144" s="40">
        <v>220782.55451713401</v>
      </c>
      <c r="T1144" s="40">
        <v>30000</v>
      </c>
      <c r="U1144" s="40">
        <v>3267902.18068536</v>
      </c>
      <c r="V1144" s="40">
        <v>0</v>
      </c>
      <c r="W1144" s="45">
        <f t="shared" si="60"/>
        <v>4830400.1993769491</v>
      </c>
      <c r="X1144" s="46">
        <f t="shared" si="61"/>
        <v>2.2686989980136811</v>
      </c>
    </row>
    <row r="1145" spans="1:24" s="4" customFormat="1" ht="15" customHeight="1">
      <c r="A1145" s="28" t="s">
        <v>1603</v>
      </c>
      <c r="B1145" s="29">
        <v>3149.63</v>
      </c>
      <c r="C1145" s="30" t="s">
        <v>1776</v>
      </c>
      <c r="D1145" s="2">
        <v>4947705169</v>
      </c>
      <c r="E1145" s="2" t="s">
        <v>14</v>
      </c>
      <c r="F1145" s="2" t="s">
        <v>1777</v>
      </c>
      <c r="G1145" s="28" t="s">
        <v>5</v>
      </c>
      <c r="H1145" s="2" t="s">
        <v>32</v>
      </c>
      <c r="I1145" s="2">
        <v>1</v>
      </c>
      <c r="J1145" s="2" t="s">
        <v>1778</v>
      </c>
      <c r="K1145" s="2">
        <v>1928</v>
      </c>
      <c r="L1145" s="35">
        <f t="shared" si="59"/>
        <v>6072486.6400000006</v>
      </c>
      <c r="M1145" s="36">
        <v>800</v>
      </c>
      <c r="N1145" s="40">
        <v>40557.757009345798</v>
      </c>
      <c r="O1145" s="40">
        <v>40752.024922118399</v>
      </c>
      <c r="P1145" s="40">
        <v>0</v>
      </c>
      <c r="Q1145" s="40">
        <v>12374.953271028</v>
      </c>
      <c r="R1145" s="40">
        <f>154741.557632399+13917</f>
        <v>168658.557632399</v>
      </c>
      <c r="S1145" s="40">
        <v>44156.510903426803</v>
      </c>
      <c r="T1145" s="40">
        <v>30000</v>
      </c>
      <c r="U1145" s="40">
        <v>653580.43613707204</v>
      </c>
      <c r="V1145" s="40">
        <v>0</v>
      </c>
      <c r="W1145" s="45">
        <f t="shared" si="60"/>
        <v>990080.23987538996</v>
      </c>
      <c r="X1145" s="46">
        <f t="shared" si="61"/>
        <v>16.304362587702457</v>
      </c>
    </row>
    <row r="1146" spans="1:24" s="4" customFormat="1" ht="15" customHeight="1">
      <c r="A1146" s="28" t="s">
        <v>1603</v>
      </c>
      <c r="B1146" s="29">
        <v>3149.63</v>
      </c>
      <c r="C1146" s="30" t="s">
        <v>1779</v>
      </c>
      <c r="D1146" s="2">
        <v>4949682942</v>
      </c>
      <c r="E1146" s="2" t="s">
        <v>18</v>
      </c>
      <c r="F1146" s="2" t="s">
        <v>1780</v>
      </c>
      <c r="G1146" s="28" t="s">
        <v>9</v>
      </c>
      <c r="H1146" s="2" t="s">
        <v>23</v>
      </c>
      <c r="I1146" s="2">
        <v>1</v>
      </c>
      <c r="J1146" s="2"/>
      <c r="K1146" s="2">
        <v>3138</v>
      </c>
      <c r="L1146" s="35">
        <f t="shared" si="59"/>
        <v>9883538.9399999995</v>
      </c>
      <c r="M1146" s="36">
        <v>200</v>
      </c>
      <c r="N1146" s="40">
        <v>443114</v>
      </c>
      <c r="O1146" s="40">
        <v>350</v>
      </c>
      <c r="P1146" s="40">
        <v>2265</v>
      </c>
      <c r="Q1146" s="40">
        <v>3473</v>
      </c>
      <c r="R1146" s="40">
        <v>221660</v>
      </c>
      <c r="S1146" s="40">
        <v>354356</v>
      </c>
      <c r="T1146" s="40">
        <v>30000</v>
      </c>
      <c r="U1146" s="40">
        <v>104798.994974874</v>
      </c>
      <c r="V1146" s="40">
        <v>0</v>
      </c>
      <c r="W1146" s="45">
        <f t="shared" si="60"/>
        <v>1160016.994974874</v>
      </c>
      <c r="X1146" s="46">
        <f t="shared" si="61"/>
        <v>11.736858649690047</v>
      </c>
    </row>
    <row r="1147" spans="1:24" s="4" customFormat="1" ht="15" customHeight="1">
      <c r="A1147" s="28" t="s">
        <v>1603</v>
      </c>
      <c r="B1147" s="29">
        <v>3149.63</v>
      </c>
      <c r="C1147" s="30" t="s">
        <v>1781</v>
      </c>
      <c r="D1147" s="2">
        <v>4948828026</v>
      </c>
      <c r="E1147" s="2" t="s">
        <v>14</v>
      </c>
      <c r="F1147" s="2" t="s">
        <v>1782</v>
      </c>
      <c r="G1147" s="28" t="s">
        <v>9</v>
      </c>
      <c r="H1147" s="2" t="s">
        <v>23</v>
      </c>
      <c r="I1147" s="2">
        <v>1</v>
      </c>
      <c r="J1147" s="2"/>
      <c r="K1147" s="2">
        <v>1735.2</v>
      </c>
      <c r="L1147" s="35">
        <f t="shared" si="59"/>
        <v>5465237.9760000007</v>
      </c>
      <c r="M1147" s="36">
        <v>60</v>
      </c>
      <c r="N1147" s="40">
        <v>613737.375</v>
      </c>
      <c r="O1147" s="40">
        <v>46.875</v>
      </c>
      <c r="P1147" s="40">
        <v>2978.625</v>
      </c>
      <c r="Q1147" s="40">
        <v>1066.5</v>
      </c>
      <c r="R1147" s="40">
        <v>34847.25</v>
      </c>
      <c r="S1147" s="40">
        <v>132883.5</v>
      </c>
      <c r="T1147" s="40">
        <v>30000</v>
      </c>
      <c r="U1147" s="40">
        <v>512887.5</v>
      </c>
      <c r="V1147" s="40">
        <v>0</v>
      </c>
      <c r="W1147" s="45">
        <f t="shared" si="60"/>
        <v>1328447.625</v>
      </c>
      <c r="X1147" s="46">
        <f t="shared" si="61"/>
        <v>24.307223781173548</v>
      </c>
    </row>
    <row r="1148" spans="1:24" s="4" customFormat="1" ht="15" customHeight="1">
      <c r="A1148" s="28" t="s">
        <v>1603</v>
      </c>
      <c r="B1148" s="29">
        <v>3149.63</v>
      </c>
      <c r="C1148" s="30" t="s">
        <v>1781</v>
      </c>
      <c r="D1148" s="2">
        <v>4948828026</v>
      </c>
      <c r="E1148" s="2" t="s">
        <v>14</v>
      </c>
      <c r="F1148" s="2" t="s">
        <v>1782</v>
      </c>
      <c r="G1148" s="28" t="s">
        <v>9</v>
      </c>
      <c r="H1148" s="2" t="s">
        <v>23</v>
      </c>
      <c r="I1148" s="2">
        <v>1</v>
      </c>
      <c r="J1148" s="2"/>
      <c r="K1148" s="2">
        <v>5316</v>
      </c>
      <c r="L1148" s="35">
        <f t="shared" si="59"/>
        <v>16743433.08</v>
      </c>
      <c r="M1148" s="36">
        <v>100</v>
      </c>
      <c r="N1148" s="40">
        <v>1022895.625</v>
      </c>
      <c r="O1148" s="40">
        <v>78.125</v>
      </c>
      <c r="P1148" s="40">
        <v>4964.375</v>
      </c>
      <c r="Q1148" s="40">
        <v>1777.5</v>
      </c>
      <c r="R1148" s="40">
        <v>58078.75</v>
      </c>
      <c r="S1148" s="40">
        <v>221472.5</v>
      </c>
      <c r="T1148" s="40">
        <v>30000</v>
      </c>
      <c r="U1148" s="40">
        <v>854812.5</v>
      </c>
      <c r="V1148" s="40">
        <v>0</v>
      </c>
      <c r="W1148" s="45">
        <f t="shared" si="60"/>
        <v>2194079.375</v>
      </c>
      <c r="X1148" s="46">
        <f t="shared" si="61"/>
        <v>13.104118877632231</v>
      </c>
    </row>
    <row r="1149" spans="1:24" s="4" customFormat="1" ht="15" customHeight="1">
      <c r="A1149" s="28" t="s">
        <v>1603</v>
      </c>
      <c r="B1149" s="29">
        <v>3149.63</v>
      </c>
      <c r="C1149" s="30" t="s">
        <v>1783</v>
      </c>
      <c r="D1149" s="2">
        <v>4949188758</v>
      </c>
      <c r="E1149" s="2" t="s">
        <v>38</v>
      </c>
      <c r="F1149" s="2" t="s">
        <v>1784</v>
      </c>
      <c r="G1149" s="28" t="s">
        <v>5</v>
      </c>
      <c r="H1149" s="2" t="s">
        <v>20</v>
      </c>
      <c r="I1149" s="2">
        <v>1</v>
      </c>
      <c r="J1149" s="2" t="s">
        <v>1785</v>
      </c>
      <c r="K1149" s="2">
        <v>10488</v>
      </c>
      <c r="L1149" s="35">
        <f t="shared" si="59"/>
        <v>33033319.440000001</v>
      </c>
      <c r="M1149" s="36">
        <v>7600</v>
      </c>
      <c r="N1149" s="40">
        <v>422560</v>
      </c>
      <c r="O1149" s="40">
        <v>327035</v>
      </c>
      <c r="P1149" s="40">
        <v>95288.584905660406</v>
      </c>
      <c r="Q1149" s="40">
        <v>99309</v>
      </c>
      <c r="R1149" s="40">
        <f>386802.358490566+179245</f>
        <v>566047.35849056602</v>
      </c>
      <c r="S1149" s="40">
        <v>317583.20754716999</v>
      </c>
      <c r="T1149" s="40"/>
      <c r="U1149" s="40">
        <v>3138316.0377358501</v>
      </c>
      <c r="V1149" s="40">
        <v>0</v>
      </c>
      <c r="W1149" s="45">
        <f t="shared" si="60"/>
        <v>4966139.1886792462</v>
      </c>
      <c r="X1149" s="46">
        <f t="shared" si="61"/>
        <v>15.033727378501826</v>
      </c>
    </row>
    <row r="1150" spans="1:24" s="4" customFormat="1" ht="15" customHeight="1">
      <c r="A1150" s="28" t="s">
        <v>1603</v>
      </c>
      <c r="B1150" s="29">
        <v>3149.63</v>
      </c>
      <c r="C1150" s="30" t="s">
        <v>1783</v>
      </c>
      <c r="D1150" s="2">
        <v>4949257928</v>
      </c>
      <c r="E1150" s="2" t="s">
        <v>38</v>
      </c>
      <c r="F1150" s="2" t="s">
        <v>1784</v>
      </c>
      <c r="G1150" s="28" t="s">
        <v>5</v>
      </c>
      <c r="H1150" s="2" t="s">
        <v>20</v>
      </c>
      <c r="I1150" s="2">
        <v>1</v>
      </c>
      <c r="J1150" s="2" t="s">
        <v>1785</v>
      </c>
      <c r="K1150" s="2">
        <v>1214.4000000000001</v>
      </c>
      <c r="L1150" s="35">
        <f t="shared" si="59"/>
        <v>3824910.6720000003</v>
      </c>
      <c r="M1150" s="36">
        <v>880</v>
      </c>
      <c r="N1150" s="40">
        <v>48928</v>
      </c>
      <c r="O1150" s="40">
        <v>327035</v>
      </c>
      <c r="P1150" s="40">
        <v>11033.4150943396</v>
      </c>
      <c r="Q1150" s="40">
        <v>99309</v>
      </c>
      <c r="R1150" s="40">
        <v>65542.641509434005</v>
      </c>
      <c r="S1150" s="40">
        <v>36772.792452830203</v>
      </c>
      <c r="T1150" s="40"/>
      <c r="U1150" s="40">
        <v>363383.96226415102</v>
      </c>
      <c r="V1150" s="40">
        <v>0</v>
      </c>
      <c r="W1150" s="45">
        <f t="shared" si="60"/>
        <v>952004.81132075493</v>
      </c>
      <c r="X1150" s="46">
        <f t="shared" si="61"/>
        <v>24.889595939843556</v>
      </c>
    </row>
    <row r="1151" spans="1:24" s="4" customFormat="1" ht="15" customHeight="1">
      <c r="A1151" s="28" t="s">
        <v>1603</v>
      </c>
      <c r="B1151" s="29">
        <v>3149.63</v>
      </c>
      <c r="C1151" s="30" t="s">
        <v>1425</v>
      </c>
      <c r="D1151" s="2">
        <v>4948892090</v>
      </c>
      <c r="E1151" s="2" t="s">
        <v>36</v>
      </c>
      <c r="F1151" s="78" t="s">
        <v>1426</v>
      </c>
      <c r="G1151" s="28" t="s">
        <v>5</v>
      </c>
      <c r="H1151" s="2" t="s">
        <v>26</v>
      </c>
      <c r="I1151" s="2">
        <v>3</v>
      </c>
      <c r="J1151" s="2" t="s">
        <v>1427</v>
      </c>
      <c r="K1151" s="2">
        <v>140193</v>
      </c>
      <c r="L1151" s="35">
        <f t="shared" si="59"/>
        <v>441556078.59000003</v>
      </c>
      <c r="M1151" s="36">
        <v>74970</v>
      </c>
      <c r="N1151" s="40">
        <v>954542</v>
      </c>
      <c r="O1151" s="40">
        <v>1199671</v>
      </c>
      <c r="P1151" s="40">
        <v>2505674</v>
      </c>
      <c r="Q1151" s="40">
        <v>297928</v>
      </c>
      <c r="R1151" s="40">
        <v>2631970</v>
      </c>
      <c r="S1151" s="40">
        <v>354356</v>
      </c>
      <c r="T1151" s="40"/>
      <c r="U1151" s="40">
        <v>0</v>
      </c>
      <c r="V1151" s="40">
        <v>0</v>
      </c>
      <c r="W1151" s="45">
        <f t="shared" si="60"/>
        <v>7944141</v>
      </c>
      <c r="X1151" s="46">
        <f t="shared" si="61"/>
        <v>1.7991239131771544</v>
      </c>
    </row>
    <row r="1152" spans="1:24" s="4" customFormat="1" ht="15" customHeight="1">
      <c r="A1152" s="28" t="s">
        <v>1603</v>
      </c>
      <c r="B1152" s="29">
        <v>3149.63</v>
      </c>
      <c r="C1152" s="30" t="s">
        <v>1786</v>
      </c>
      <c r="D1152" s="2">
        <v>4949508549</v>
      </c>
      <c r="E1152" s="2" t="s">
        <v>33</v>
      </c>
      <c r="F1152" s="2" t="s">
        <v>1787</v>
      </c>
      <c r="G1152" s="28" t="s">
        <v>5</v>
      </c>
      <c r="H1152" s="2" t="s">
        <v>20</v>
      </c>
      <c r="I1152" s="2">
        <v>1</v>
      </c>
      <c r="J1152" s="2" t="s">
        <v>1788</v>
      </c>
      <c r="K1152" s="2">
        <v>19785.599999999999</v>
      </c>
      <c r="L1152" s="35">
        <f t="shared" si="59"/>
        <v>62317319.327999994</v>
      </c>
      <c r="M1152" s="36">
        <v>4320</v>
      </c>
      <c r="N1152" s="40">
        <v>471646</v>
      </c>
      <c r="O1152" s="40">
        <v>327035</v>
      </c>
      <c r="P1152" s="40">
        <v>265805</v>
      </c>
      <c r="Q1152" s="40">
        <v>99309</v>
      </c>
      <c r="R1152" s="40">
        <v>983897</v>
      </c>
      <c r="S1152" s="40">
        <v>354356</v>
      </c>
      <c r="T1152" s="40"/>
      <c r="U1152" s="40">
        <v>2667500</v>
      </c>
      <c r="V1152" s="40">
        <v>0</v>
      </c>
      <c r="W1152" s="45">
        <f t="shared" si="60"/>
        <v>5169548</v>
      </c>
      <c r="X1152" s="46">
        <f t="shared" si="61"/>
        <v>8.2955237095335939</v>
      </c>
    </row>
    <row r="1153" spans="1:24" s="4" customFormat="1" ht="15" customHeight="1">
      <c r="A1153" s="28" t="s">
        <v>1603</v>
      </c>
      <c r="B1153" s="29">
        <v>3149.63</v>
      </c>
      <c r="C1153" s="30" t="s">
        <v>1789</v>
      </c>
      <c r="D1153" s="2">
        <v>4949164160</v>
      </c>
      <c r="E1153" s="2" t="s">
        <v>6</v>
      </c>
      <c r="F1153" s="78" t="s">
        <v>1790</v>
      </c>
      <c r="G1153" s="28" t="s">
        <v>5</v>
      </c>
      <c r="H1153" s="2" t="s">
        <v>17</v>
      </c>
      <c r="I1153" s="2">
        <v>1</v>
      </c>
      <c r="J1153" s="2" t="s">
        <v>1791</v>
      </c>
      <c r="K1153" s="2">
        <v>177840</v>
      </c>
      <c r="L1153" s="35">
        <f t="shared" si="59"/>
        <v>560130199.20000005</v>
      </c>
      <c r="M1153" s="36">
        <v>14400</v>
      </c>
      <c r="N1153" s="40">
        <v>0</v>
      </c>
      <c r="O1153" s="40">
        <v>534687</v>
      </c>
      <c r="P1153" s="40">
        <v>0</v>
      </c>
      <c r="Q1153" s="40">
        <v>124137</v>
      </c>
      <c r="R1153" s="40">
        <v>856660</v>
      </c>
      <c r="S1153" s="40">
        <v>354356</v>
      </c>
      <c r="T1153" s="40">
        <v>30000</v>
      </c>
      <c r="U1153" s="40">
        <v>5446550</v>
      </c>
      <c r="V1153" s="40">
        <v>1335000</v>
      </c>
      <c r="W1153" s="45">
        <f t="shared" si="60"/>
        <v>8681390</v>
      </c>
      <c r="X1153" s="46">
        <f t="shared" si="61"/>
        <v>1.5498878675706296</v>
      </c>
    </row>
    <row r="1154" spans="1:24" s="4" customFormat="1" ht="15" customHeight="1">
      <c r="A1154" s="28" t="s">
        <v>1603</v>
      </c>
      <c r="B1154" s="29">
        <v>3149.63</v>
      </c>
      <c r="C1154" s="30" t="s">
        <v>1792</v>
      </c>
      <c r="D1154" s="2">
        <v>4948771043</v>
      </c>
      <c r="E1154" s="2" t="s">
        <v>14</v>
      </c>
      <c r="F1154" s="2" t="s">
        <v>1793</v>
      </c>
      <c r="G1154" s="28" t="s">
        <v>5</v>
      </c>
      <c r="H1154" s="2" t="s">
        <v>17</v>
      </c>
      <c r="I1154" s="2">
        <v>1</v>
      </c>
      <c r="J1154" s="2" t="s">
        <v>1794</v>
      </c>
      <c r="K1154" s="2">
        <v>6000.75</v>
      </c>
      <c r="L1154" s="35">
        <f t="shared" si="59"/>
        <v>18900142.2225</v>
      </c>
      <c r="M1154" s="36">
        <v>1575</v>
      </c>
      <c r="N1154" s="40">
        <v>24266.2579881657</v>
      </c>
      <c r="O1154" s="40">
        <v>31987.001183431999</v>
      </c>
      <c r="P1154" s="40">
        <v>22648.462721893498</v>
      </c>
      <c r="Q1154" s="40">
        <v>7404.1029585798797</v>
      </c>
      <c r="R1154" s="40">
        <f>41013.9692307692+8404</f>
        <v>49417.969230769202</v>
      </c>
      <c r="S1154" s="40">
        <v>26419.441420118299</v>
      </c>
      <c r="T1154" s="40">
        <v>30000</v>
      </c>
      <c r="U1154" s="40">
        <v>420538.04733727803</v>
      </c>
      <c r="V1154" s="40">
        <v>0</v>
      </c>
      <c r="W1154" s="45">
        <f t="shared" si="60"/>
        <v>612681.28284023656</v>
      </c>
      <c r="X1154" s="46">
        <f t="shared" si="61"/>
        <v>3.2416755155993462</v>
      </c>
    </row>
    <row r="1155" spans="1:24" s="4" customFormat="1" ht="15" customHeight="1">
      <c r="A1155" s="28" t="s">
        <v>1603</v>
      </c>
      <c r="B1155" s="29">
        <v>3149.63</v>
      </c>
      <c r="C1155" s="30" t="s">
        <v>1792</v>
      </c>
      <c r="D1155" s="2">
        <v>4949286595</v>
      </c>
      <c r="E1155" s="2" t="s">
        <v>14</v>
      </c>
      <c r="F1155" s="2" t="s">
        <v>1793</v>
      </c>
      <c r="G1155" s="28" t="s">
        <v>5</v>
      </c>
      <c r="H1155" s="2" t="s">
        <v>17</v>
      </c>
      <c r="I1155" s="2">
        <v>1</v>
      </c>
      <c r="J1155" s="2" t="s">
        <v>1794</v>
      </c>
      <c r="K1155" s="2">
        <v>7884</v>
      </c>
      <c r="L1155" s="35">
        <f t="shared" si="59"/>
        <v>24831682.920000002</v>
      </c>
      <c r="M1155" s="36">
        <v>3600</v>
      </c>
      <c r="N1155" s="40">
        <v>55465.732544378698</v>
      </c>
      <c r="O1155" s="40">
        <v>73113.145562130201</v>
      </c>
      <c r="P1155" s="40">
        <v>51767.914792899399</v>
      </c>
      <c r="Q1155" s="40">
        <v>16923.6639053254</v>
      </c>
      <c r="R1155" s="40">
        <f>93746.2153846154+19208</f>
        <v>112954.2153846154</v>
      </c>
      <c r="S1155" s="40">
        <v>60387.2946745562</v>
      </c>
      <c r="T1155" s="40">
        <v>30000</v>
      </c>
      <c r="U1155" s="40">
        <v>961229.822485207</v>
      </c>
      <c r="V1155" s="40">
        <v>0</v>
      </c>
      <c r="W1155" s="45">
        <f t="shared" si="60"/>
        <v>1361841.7893491122</v>
      </c>
      <c r="X1155" s="46">
        <f t="shared" si="61"/>
        <v>5.4842911523014575</v>
      </c>
    </row>
    <row r="1156" spans="1:24" s="4" customFormat="1" ht="15" customHeight="1">
      <c r="A1156" s="28" t="s">
        <v>1603</v>
      </c>
      <c r="B1156" s="29">
        <v>3149.63</v>
      </c>
      <c r="C1156" s="30" t="s">
        <v>1792</v>
      </c>
      <c r="D1156" s="2">
        <v>4949532987</v>
      </c>
      <c r="E1156" s="2" t="s">
        <v>14</v>
      </c>
      <c r="F1156" s="2" t="s">
        <v>1793</v>
      </c>
      <c r="G1156" s="28" t="s">
        <v>5</v>
      </c>
      <c r="H1156" s="2" t="s">
        <v>17</v>
      </c>
      <c r="I1156" s="2">
        <v>1</v>
      </c>
      <c r="J1156" s="2" t="s">
        <v>1794</v>
      </c>
      <c r="K1156" s="2">
        <v>21168</v>
      </c>
      <c r="L1156" s="35">
        <f t="shared" si="59"/>
        <v>66671367.840000004</v>
      </c>
      <c r="M1156" s="36">
        <v>5600</v>
      </c>
      <c r="N1156" s="40">
        <v>86280.028402366894</v>
      </c>
      <c r="O1156" s="40">
        <v>113731.559763314</v>
      </c>
      <c r="P1156" s="40">
        <v>80527.867455621294</v>
      </c>
      <c r="Q1156" s="40">
        <v>26325.699408283999</v>
      </c>
      <c r="R1156" s="40">
        <f>145827.446153846+29878</f>
        <v>175705.44615384599</v>
      </c>
      <c r="S1156" s="40">
        <v>93935.791715976302</v>
      </c>
      <c r="T1156" s="40">
        <v>30000</v>
      </c>
      <c r="U1156" s="40">
        <v>1495246.3905325399</v>
      </c>
      <c r="V1156" s="40">
        <v>0</v>
      </c>
      <c r="W1156" s="45">
        <f t="shared" si="60"/>
        <v>2101752.7834319482</v>
      </c>
      <c r="X1156" s="46">
        <f t="shared" si="61"/>
        <v>3.1524068749808754</v>
      </c>
    </row>
    <row r="1157" spans="1:24" s="4" customFormat="1" ht="15" customHeight="1">
      <c r="A1157" s="28" t="s">
        <v>1603</v>
      </c>
      <c r="B1157" s="29">
        <v>3149.63</v>
      </c>
      <c r="C1157" s="30" t="s">
        <v>1792</v>
      </c>
      <c r="D1157" s="2">
        <v>4949532981</v>
      </c>
      <c r="E1157" s="2" t="s">
        <v>14</v>
      </c>
      <c r="F1157" s="2" t="s">
        <v>1793</v>
      </c>
      <c r="G1157" s="28" t="s">
        <v>5</v>
      </c>
      <c r="H1157" s="2" t="s">
        <v>17</v>
      </c>
      <c r="I1157" s="2">
        <v>1</v>
      </c>
      <c r="J1157" s="2" t="s">
        <v>1794</v>
      </c>
      <c r="K1157" s="2">
        <f>5040+7056</f>
        <v>12096</v>
      </c>
      <c r="L1157" s="35">
        <f t="shared" si="59"/>
        <v>38097924.480000004</v>
      </c>
      <c r="M1157" s="36">
        <v>5040</v>
      </c>
      <c r="N1157" s="40">
        <v>77652.025562130206</v>
      </c>
      <c r="O1157" s="40">
        <v>102358.403786982</v>
      </c>
      <c r="P1157" s="40">
        <v>72475.080710059206</v>
      </c>
      <c r="Q1157" s="40">
        <v>23693.129467455601</v>
      </c>
      <c r="R1157" s="40">
        <f>131244.701538462+26892</f>
        <v>158136.70153846199</v>
      </c>
      <c r="S1157" s="40">
        <v>84542.212544378694</v>
      </c>
      <c r="T1157" s="40">
        <v>30000</v>
      </c>
      <c r="U1157" s="40">
        <v>1345721.75147929</v>
      </c>
      <c r="V1157" s="40">
        <v>0</v>
      </c>
      <c r="W1157" s="45">
        <f t="shared" si="60"/>
        <v>1894579.3050887575</v>
      </c>
      <c r="X1157" s="46">
        <f t="shared" si="61"/>
        <v>4.972919997474774</v>
      </c>
    </row>
    <row r="1158" spans="1:24" s="4" customFormat="1" ht="15" customHeight="1">
      <c r="A1158" s="28" t="s">
        <v>1603</v>
      </c>
      <c r="B1158" s="29">
        <v>3149.63</v>
      </c>
      <c r="C1158" s="30" t="s">
        <v>1792</v>
      </c>
      <c r="D1158" s="2">
        <v>4949037255</v>
      </c>
      <c r="E1158" s="2" t="s">
        <v>14</v>
      </c>
      <c r="F1158" s="2" t="s">
        <v>1793</v>
      </c>
      <c r="G1158" s="28" t="s">
        <v>5</v>
      </c>
      <c r="H1158" s="2" t="s">
        <v>17</v>
      </c>
      <c r="I1158" s="2">
        <v>1</v>
      </c>
      <c r="J1158" s="2" t="s">
        <v>1794</v>
      </c>
      <c r="K1158" s="2">
        <v>7668</v>
      </c>
      <c r="L1158" s="35">
        <f t="shared" si="59"/>
        <v>24151362.84</v>
      </c>
      <c r="M1158" s="36">
        <v>1800</v>
      </c>
      <c r="N1158" s="40">
        <v>27732.866272189302</v>
      </c>
      <c r="O1158" s="40">
        <v>36556.572781065101</v>
      </c>
      <c r="P1158" s="40">
        <v>25883.957396449699</v>
      </c>
      <c r="Q1158" s="40">
        <v>8461.8319526627201</v>
      </c>
      <c r="R1158" s="40">
        <f>46873.1076923077+9604</f>
        <v>56477.107692307698</v>
      </c>
      <c r="S1158" s="40">
        <v>30193.6473372781</v>
      </c>
      <c r="T1158" s="40">
        <v>30000</v>
      </c>
      <c r="U1158" s="40">
        <v>480614.91124260402</v>
      </c>
      <c r="V1158" s="40">
        <v>0</v>
      </c>
      <c r="W1158" s="45">
        <f t="shared" si="60"/>
        <v>695920.89467455656</v>
      </c>
      <c r="X1158" s="46">
        <f t="shared" si="61"/>
        <v>2.88149740983543</v>
      </c>
    </row>
    <row r="1159" spans="1:24" s="4" customFormat="1" ht="15" customHeight="1">
      <c r="A1159" s="28" t="s">
        <v>1603</v>
      </c>
      <c r="B1159" s="29">
        <v>3149.63</v>
      </c>
      <c r="C1159" s="30" t="s">
        <v>1792</v>
      </c>
      <c r="D1159" s="2">
        <v>4949662090</v>
      </c>
      <c r="E1159" s="2" t="s">
        <v>14</v>
      </c>
      <c r="F1159" s="2" t="s">
        <v>1793</v>
      </c>
      <c r="G1159" s="28" t="s">
        <v>5</v>
      </c>
      <c r="H1159" s="2" t="s">
        <v>17</v>
      </c>
      <c r="I1159" s="2">
        <v>1</v>
      </c>
      <c r="J1159" s="2" t="s">
        <v>1794</v>
      </c>
      <c r="K1159" s="2">
        <v>128.80000000000001</v>
      </c>
      <c r="L1159" s="35">
        <f t="shared" si="59"/>
        <v>405672.34400000004</v>
      </c>
      <c r="M1159" s="36">
        <v>10</v>
      </c>
      <c r="N1159" s="40">
        <v>154.07147928994101</v>
      </c>
      <c r="O1159" s="40">
        <v>203.09207100591701</v>
      </c>
      <c r="P1159" s="40">
        <v>143.79976331360899</v>
      </c>
      <c r="Q1159" s="40">
        <v>47.0101775147929</v>
      </c>
      <c r="R1159" s="40">
        <f>260.406153846154+53</f>
        <v>313.40615384615398</v>
      </c>
      <c r="S1159" s="40">
        <v>167.742485207101</v>
      </c>
      <c r="T1159" s="40">
        <v>30000</v>
      </c>
      <c r="U1159" s="40">
        <v>2670.0828402366901</v>
      </c>
      <c r="V1159" s="40">
        <v>0</v>
      </c>
      <c r="W1159" s="45">
        <f t="shared" si="60"/>
        <v>33699.204970414205</v>
      </c>
      <c r="X1159" s="46">
        <f t="shared" si="61"/>
        <v>8.3070008268579922</v>
      </c>
    </row>
    <row r="1160" spans="1:24" s="4" customFormat="1" ht="15" customHeight="1">
      <c r="A1160" s="28" t="s">
        <v>1603</v>
      </c>
      <c r="B1160" s="29">
        <v>3149.63</v>
      </c>
      <c r="C1160" s="30" t="s">
        <v>1792</v>
      </c>
      <c r="D1160" s="2">
        <v>4948952403</v>
      </c>
      <c r="E1160" s="2" t="s">
        <v>14</v>
      </c>
      <c r="F1160" s="2" t="s">
        <v>1793</v>
      </c>
      <c r="G1160" s="28" t="s">
        <v>5</v>
      </c>
      <c r="H1160" s="2" t="s">
        <v>17</v>
      </c>
      <c r="I1160" s="2">
        <v>1</v>
      </c>
      <c r="J1160" s="2" t="s">
        <v>1794</v>
      </c>
      <c r="K1160" s="2">
        <v>35035</v>
      </c>
      <c r="L1160" s="35">
        <f t="shared" si="59"/>
        <v>110347287.05</v>
      </c>
      <c r="M1160" s="36">
        <v>3500</v>
      </c>
      <c r="N1160" s="40">
        <v>53925.017751479303</v>
      </c>
      <c r="O1160" s="40">
        <v>71082.224852070998</v>
      </c>
      <c r="P1160" s="40">
        <v>50329.917159763303</v>
      </c>
      <c r="Q1160" s="40">
        <v>16453.562130177499</v>
      </c>
      <c r="R1160" s="40">
        <v>109817.153846154</v>
      </c>
      <c r="S1160" s="40">
        <v>58709.869822485198</v>
      </c>
      <c r="T1160" s="40">
        <v>30000</v>
      </c>
      <c r="U1160" s="40">
        <v>934528.99408284004</v>
      </c>
      <c r="V1160" s="40">
        <v>0</v>
      </c>
      <c r="W1160" s="45">
        <f t="shared" si="60"/>
        <v>1324846.7396449703</v>
      </c>
      <c r="X1160" s="46">
        <f t="shared" si="61"/>
        <v>1.2006155974135209</v>
      </c>
    </row>
    <row r="1161" spans="1:24" s="4" customFormat="1" ht="15" customHeight="1">
      <c r="A1161" s="28" t="s">
        <v>1603</v>
      </c>
      <c r="B1161" s="29">
        <v>3149.63</v>
      </c>
      <c r="C1161" s="30" t="s">
        <v>1795</v>
      </c>
      <c r="D1161" s="2">
        <v>4949381300</v>
      </c>
      <c r="E1161" s="2" t="s">
        <v>38</v>
      </c>
      <c r="F1161" s="2" t="s">
        <v>1796</v>
      </c>
      <c r="G1161" s="28" t="s">
        <v>5</v>
      </c>
      <c r="H1161" s="2" t="s">
        <v>20</v>
      </c>
      <c r="I1161" s="2">
        <v>1</v>
      </c>
      <c r="J1161" s="2" t="s">
        <v>1797</v>
      </c>
      <c r="K1161" s="2">
        <v>25728</v>
      </c>
      <c r="L1161" s="35">
        <f t="shared" si="59"/>
        <v>81033680.640000001</v>
      </c>
      <c r="M1161" s="36">
        <v>19200</v>
      </c>
      <c r="N1161" s="40">
        <v>471488</v>
      </c>
      <c r="O1161" s="40">
        <v>327035</v>
      </c>
      <c r="P1161" s="40">
        <v>106322</v>
      </c>
      <c r="Q1161" s="40">
        <v>99309</v>
      </c>
      <c r="R1161" s="40">
        <v>628591</v>
      </c>
      <c r="S1161" s="40">
        <v>354356</v>
      </c>
      <c r="T1161" s="40"/>
      <c r="U1161" s="40">
        <v>5412600</v>
      </c>
      <c r="V1161" s="40">
        <v>0</v>
      </c>
      <c r="W1161" s="45">
        <f t="shared" si="60"/>
        <v>7399701</v>
      </c>
      <c r="X1161" s="46">
        <f t="shared" si="61"/>
        <v>9.1316363042595725</v>
      </c>
    </row>
    <row r="1162" spans="1:24" s="4" customFormat="1" ht="15" customHeight="1">
      <c r="A1162" s="28" t="s">
        <v>1603</v>
      </c>
      <c r="B1162" s="29">
        <v>3149.63</v>
      </c>
      <c r="C1162" s="30" t="s">
        <v>1798</v>
      </c>
      <c r="D1162" s="2">
        <v>4948494930</v>
      </c>
      <c r="E1162" s="2" t="s">
        <v>14</v>
      </c>
      <c r="F1162" s="2" t="s">
        <v>1799</v>
      </c>
      <c r="G1162" s="28" t="s">
        <v>13</v>
      </c>
      <c r="H1162" s="2" t="s">
        <v>23</v>
      </c>
      <c r="I1162" s="2">
        <v>1</v>
      </c>
      <c r="J1162" s="2"/>
      <c r="K1162" s="2">
        <v>550.79999999999995</v>
      </c>
      <c r="L1162" s="35">
        <f t="shared" si="59"/>
        <v>1734816.2039999999</v>
      </c>
      <c r="M1162" s="36">
        <v>2</v>
      </c>
      <c r="N1162" s="40">
        <v>409987</v>
      </c>
      <c r="O1162" s="40">
        <v>0</v>
      </c>
      <c r="P1162" s="40">
        <v>0</v>
      </c>
      <c r="Q1162" s="40">
        <v>0</v>
      </c>
      <c r="R1162" s="40">
        <v>1640</v>
      </c>
      <c r="S1162" s="40">
        <v>354356</v>
      </c>
      <c r="T1162" s="40">
        <v>30000</v>
      </c>
      <c r="U1162" s="40">
        <v>246380</v>
      </c>
      <c r="V1162" s="40">
        <v>0</v>
      </c>
      <c r="W1162" s="45">
        <f t="shared" si="60"/>
        <v>1042363</v>
      </c>
      <c r="X1162" s="46">
        <f t="shared" si="61"/>
        <v>60.084924131824636</v>
      </c>
    </row>
    <row r="1163" spans="1:24" s="4" customFormat="1" ht="15" customHeight="1">
      <c r="A1163" s="28" t="s">
        <v>1603</v>
      </c>
      <c r="B1163" s="29">
        <v>3149.63</v>
      </c>
      <c r="C1163" s="30" t="s">
        <v>1800</v>
      </c>
      <c r="D1163" s="2">
        <v>4950215959</v>
      </c>
      <c r="E1163" s="2" t="s">
        <v>14</v>
      </c>
      <c r="F1163" s="78" t="s">
        <v>1801</v>
      </c>
      <c r="G1163" s="28" t="s">
        <v>13</v>
      </c>
      <c r="H1163" s="2" t="s">
        <v>23</v>
      </c>
      <c r="I1163" s="2">
        <v>1</v>
      </c>
      <c r="J1163" s="2"/>
      <c r="K1163" s="2">
        <v>975.6</v>
      </c>
      <c r="L1163" s="35">
        <f t="shared" si="59"/>
        <v>3072779.0280000004</v>
      </c>
      <c r="M1163" s="36">
        <v>20</v>
      </c>
      <c r="N1163" s="40">
        <v>142899.91</v>
      </c>
      <c r="O1163" s="40">
        <v>0</v>
      </c>
      <c r="P1163" s="40">
        <v>0</v>
      </c>
      <c r="Q1163" s="40">
        <v>0</v>
      </c>
      <c r="R1163" s="40">
        <v>572</v>
      </c>
      <c r="S1163" s="40">
        <v>354356</v>
      </c>
      <c r="T1163" s="40">
        <v>30000</v>
      </c>
      <c r="U1163" s="40">
        <v>9297.3584905660391</v>
      </c>
      <c r="V1163" s="40">
        <v>0</v>
      </c>
      <c r="W1163" s="45">
        <f t="shared" si="60"/>
        <v>537125.26849056606</v>
      </c>
      <c r="X1163" s="46">
        <f t="shared" si="61"/>
        <v>17.480113721036695</v>
      </c>
    </row>
    <row r="1164" spans="1:24" s="4" customFormat="1" ht="15" customHeight="1">
      <c r="A1164" s="28" t="s">
        <v>1603</v>
      </c>
      <c r="B1164" s="29">
        <v>3149.63</v>
      </c>
      <c r="C1164" s="30" t="s">
        <v>1802</v>
      </c>
      <c r="D1164" s="2">
        <v>4949590094</v>
      </c>
      <c r="E1164" s="2" t="s">
        <v>14</v>
      </c>
      <c r="F1164" s="78" t="s">
        <v>1803</v>
      </c>
      <c r="G1164" s="28" t="s">
        <v>13</v>
      </c>
      <c r="H1164" s="2" t="s">
        <v>23</v>
      </c>
      <c r="I1164" s="2">
        <v>2</v>
      </c>
      <c r="J1164" s="2"/>
      <c r="K1164" s="2">
        <v>4092.8</v>
      </c>
      <c r="L1164" s="35">
        <f t="shared" si="59"/>
        <v>12890805.664000001</v>
      </c>
      <c r="M1164" s="36">
        <v>40</v>
      </c>
      <c r="N1164" s="40">
        <v>169464.8</v>
      </c>
      <c r="O1164" s="40">
        <v>0</v>
      </c>
      <c r="P1164" s="40">
        <v>0</v>
      </c>
      <c r="Q1164" s="40">
        <v>0</v>
      </c>
      <c r="R1164" s="40">
        <v>1600</v>
      </c>
      <c r="S1164" s="40">
        <v>283484.79999999999</v>
      </c>
      <c r="T1164" s="40">
        <v>30000</v>
      </c>
      <c r="U1164" s="40">
        <v>18594.7169811321</v>
      </c>
      <c r="V1164" s="40">
        <v>0</v>
      </c>
      <c r="W1164" s="45">
        <f t="shared" si="60"/>
        <v>503144.31698113208</v>
      </c>
      <c r="X1164" s="46">
        <f t="shared" si="61"/>
        <v>3.9031254530991593</v>
      </c>
    </row>
    <row r="1165" spans="1:24" s="4" customFormat="1" ht="15" customHeight="1">
      <c r="A1165" s="28" t="s">
        <v>1603</v>
      </c>
      <c r="B1165" s="29">
        <v>3149.63</v>
      </c>
      <c r="C1165" s="30" t="s">
        <v>1802</v>
      </c>
      <c r="D1165" s="2">
        <v>4949654736</v>
      </c>
      <c r="E1165" s="2" t="s">
        <v>14</v>
      </c>
      <c r="F1165" s="78" t="s">
        <v>1803</v>
      </c>
      <c r="G1165" s="28" t="s">
        <v>13</v>
      </c>
      <c r="H1165" s="2" t="s">
        <v>23</v>
      </c>
      <c r="I1165" s="2">
        <v>2</v>
      </c>
      <c r="J1165" s="2"/>
      <c r="K1165" s="2">
        <v>708.6</v>
      </c>
      <c r="L1165" s="35">
        <f t="shared" si="59"/>
        <v>2231827.818</v>
      </c>
      <c r="M1165" s="36">
        <v>10</v>
      </c>
      <c r="N1165" s="40">
        <v>42366.2</v>
      </c>
      <c r="O1165" s="40">
        <v>0</v>
      </c>
      <c r="P1165" s="40">
        <v>0</v>
      </c>
      <c r="Q1165" s="40">
        <v>0</v>
      </c>
      <c r="R1165" s="40">
        <v>400</v>
      </c>
      <c r="S1165" s="40">
        <v>70871.199999999997</v>
      </c>
      <c r="T1165" s="40">
        <v>30000</v>
      </c>
      <c r="U1165" s="40">
        <v>4648.6792452830196</v>
      </c>
      <c r="V1165" s="40">
        <v>0</v>
      </c>
      <c r="W1165" s="45">
        <f t="shared" si="60"/>
        <v>148286.07924528301</v>
      </c>
      <c r="X1165" s="46">
        <f t="shared" si="61"/>
        <v>6.6441540897257063</v>
      </c>
    </row>
    <row r="1166" spans="1:24" s="4" customFormat="1" ht="15" customHeight="1">
      <c r="A1166" s="28" t="s">
        <v>1603</v>
      </c>
      <c r="B1166" s="29">
        <v>3149.63</v>
      </c>
      <c r="C1166" s="30" t="s">
        <v>1804</v>
      </c>
      <c r="D1166" s="2">
        <v>4950041581</v>
      </c>
      <c r="E1166" s="2" t="s">
        <v>14</v>
      </c>
      <c r="F1166" s="78" t="s">
        <v>1805</v>
      </c>
      <c r="G1166" s="28" t="s">
        <v>13</v>
      </c>
      <c r="H1166" s="2" t="s">
        <v>23</v>
      </c>
      <c r="I1166" s="2">
        <v>1</v>
      </c>
      <c r="J1166" s="2"/>
      <c r="K1166" s="2">
        <v>12783</v>
      </c>
      <c r="L1166" s="35">
        <f t="shared" si="59"/>
        <v>40261720.289999999</v>
      </c>
      <c r="M1166" s="36">
        <v>300</v>
      </c>
      <c r="N1166" s="40">
        <v>432818</v>
      </c>
      <c r="O1166" s="40">
        <v>0</v>
      </c>
      <c r="P1166" s="40">
        <v>0</v>
      </c>
      <c r="Q1166" s="40">
        <v>0</v>
      </c>
      <c r="R1166" s="40">
        <v>5000</v>
      </c>
      <c r="S1166" s="40">
        <v>354356</v>
      </c>
      <c r="T1166" s="40">
        <v>30000</v>
      </c>
      <c r="U1166" s="40">
        <v>139460.37735849101</v>
      </c>
      <c r="V1166" s="40">
        <v>0</v>
      </c>
      <c r="W1166" s="45">
        <f t="shared" si="60"/>
        <v>961634.37735849107</v>
      </c>
      <c r="X1166" s="46">
        <f t="shared" si="61"/>
        <v>2.3884582437907822</v>
      </c>
    </row>
    <row r="1167" spans="1:24" s="4" customFormat="1" ht="15" customHeight="1">
      <c r="A1167" s="28" t="s">
        <v>1603</v>
      </c>
      <c r="B1167" s="29">
        <v>3149.63</v>
      </c>
      <c r="C1167" s="30" t="s">
        <v>1806</v>
      </c>
      <c r="D1167" s="2">
        <v>4950041582</v>
      </c>
      <c r="E1167" s="2" t="s">
        <v>14</v>
      </c>
      <c r="F1167" s="78" t="s">
        <v>1807</v>
      </c>
      <c r="G1167" s="28" t="s">
        <v>13</v>
      </c>
      <c r="H1167" s="2" t="s">
        <v>23</v>
      </c>
      <c r="I1167" s="2">
        <v>3</v>
      </c>
      <c r="J1167" s="2"/>
      <c r="K1167" s="2">
        <v>783</v>
      </c>
      <c r="L1167" s="35">
        <f t="shared" si="59"/>
        <v>2466160.29</v>
      </c>
      <c r="M1167" s="36">
        <v>20</v>
      </c>
      <c r="N1167" s="40">
        <v>131254</v>
      </c>
      <c r="O1167" s="40">
        <v>0</v>
      </c>
      <c r="P1167" s="40">
        <v>0</v>
      </c>
      <c r="Q1167" s="40">
        <v>0</v>
      </c>
      <c r="R1167" s="40">
        <v>1000</v>
      </c>
      <c r="S1167" s="40">
        <v>177178</v>
      </c>
      <c r="T1167" s="40">
        <v>30000</v>
      </c>
      <c r="U1167" s="40">
        <v>9297.3584905660391</v>
      </c>
      <c r="V1167" s="40">
        <v>0</v>
      </c>
      <c r="W1167" s="45">
        <f t="shared" si="60"/>
        <v>348729.35849056602</v>
      </c>
      <c r="X1167" s="46">
        <f t="shared" si="61"/>
        <v>14.140579584572176</v>
      </c>
    </row>
    <row r="1168" spans="1:24" s="4" customFormat="1" ht="15" customHeight="1">
      <c r="A1168" s="28" t="s">
        <v>1603</v>
      </c>
      <c r="B1168" s="29">
        <v>3149.63</v>
      </c>
      <c r="C1168" s="30" t="s">
        <v>1806</v>
      </c>
      <c r="D1168" s="2">
        <v>4950089544</v>
      </c>
      <c r="E1168" s="2" t="s">
        <v>14</v>
      </c>
      <c r="F1168" s="78" t="s">
        <v>1807</v>
      </c>
      <c r="G1168" s="28" t="s">
        <v>13</v>
      </c>
      <c r="H1168" s="2" t="s">
        <v>23</v>
      </c>
      <c r="I1168" s="2">
        <v>3</v>
      </c>
      <c r="J1168" s="2"/>
      <c r="K1168" s="2">
        <v>391.5</v>
      </c>
      <c r="L1168" s="35">
        <f t="shared" si="59"/>
        <v>1233080.145</v>
      </c>
      <c r="M1168" s="36">
        <v>10</v>
      </c>
      <c r="N1168" s="40">
        <v>65627</v>
      </c>
      <c r="O1168" s="40">
        <v>0</v>
      </c>
      <c r="P1168" s="40">
        <v>0</v>
      </c>
      <c r="Q1168" s="40">
        <v>0</v>
      </c>
      <c r="R1168" s="40">
        <v>500</v>
      </c>
      <c r="S1168" s="40">
        <v>88589</v>
      </c>
      <c r="T1168" s="40">
        <v>30000</v>
      </c>
      <c r="U1168" s="40">
        <v>4648.6792452830196</v>
      </c>
      <c r="V1168" s="40">
        <v>0</v>
      </c>
      <c r="W1168" s="45">
        <f t="shared" si="60"/>
        <v>189364.67924528301</v>
      </c>
      <c r="X1168" s="46">
        <f t="shared" si="61"/>
        <v>15.357045526451408</v>
      </c>
    </row>
    <row r="1169" spans="1:24" s="4" customFormat="1" ht="15" customHeight="1">
      <c r="A1169" s="28" t="s">
        <v>1603</v>
      </c>
      <c r="B1169" s="29">
        <v>3149.63</v>
      </c>
      <c r="C1169" s="30" t="s">
        <v>1806</v>
      </c>
      <c r="D1169" s="2">
        <v>4950089532</v>
      </c>
      <c r="E1169" s="2" t="s">
        <v>14</v>
      </c>
      <c r="F1169" s="78" t="s">
        <v>1807</v>
      </c>
      <c r="G1169" s="28" t="s">
        <v>13</v>
      </c>
      <c r="H1169" s="2" t="s">
        <v>23</v>
      </c>
      <c r="I1169" s="2">
        <v>3</v>
      </c>
      <c r="J1169" s="2"/>
      <c r="K1169" s="2">
        <v>708.6</v>
      </c>
      <c r="L1169" s="35">
        <f t="shared" ref="L1169:L1232" si="62">+B1169*K1169</f>
        <v>2231827.818</v>
      </c>
      <c r="M1169" s="36">
        <v>10</v>
      </c>
      <c r="N1169" s="40">
        <v>65627</v>
      </c>
      <c r="O1169" s="40">
        <v>0</v>
      </c>
      <c r="P1169" s="40">
        <v>0</v>
      </c>
      <c r="Q1169" s="40">
        <v>0</v>
      </c>
      <c r="R1169" s="40">
        <v>500</v>
      </c>
      <c r="S1169" s="40">
        <v>88589</v>
      </c>
      <c r="T1169" s="40">
        <v>30000</v>
      </c>
      <c r="U1169" s="40">
        <v>4648.6792452830196</v>
      </c>
      <c r="V1169" s="40">
        <v>0</v>
      </c>
      <c r="W1169" s="45">
        <f t="shared" ref="W1169:W1232" si="63">+SUM(N1169:V1169)</f>
        <v>189364.67924528301</v>
      </c>
      <c r="X1169" s="46">
        <f t="shared" ref="X1169:X1232" si="64">(W1169/L1169)*100</f>
        <v>8.484735144800629</v>
      </c>
    </row>
    <row r="1170" spans="1:24" s="4" customFormat="1" ht="15" customHeight="1">
      <c r="A1170" s="28" t="s">
        <v>1603</v>
      </c>
      <c r="B1170" s="29">
        <v>3149.63</v>
      </c>
      <c r="C1170" s="30" t="s">
        <v>1808</v>
      </c>
      <c r="D1170" s="2">
        <v>4949192140</v>
      </c>
      <c r="E1170" s="2" t="s">
        <v>14</v>
      </c>
      <c r="F1170" s="2" t="s">
        <v>1809</v>
      </c>
      <c r="G1170" s="28" t="s">
        <v>9</v>
      </c>
      <c r="H1170" s="2" t="s">
        <v>23</v>
      </c>
      <c r="I1170" s="2">
        <v>1</v>
      </c>
      <c r="J1170" s="2"/>
      <c r="K1170" s="2">
        <v>1848</v>
      </c>
      <c r="L1170" s="35">
        <f t="shared" si="62"/>
        <v>5820516.2400000002</v>
      </c>
      <c r="M1170" s="36">
        <v>840</v>
      </c>
      <c r="N1170" s="40">
        <v>478229</v>
      </c>
      <c r="O1170" s="40">
        <v>566</v>
      </c>
      <c r="P1170" s="40">
        <v>0</v>
      </c>
      <c r="Q1170" s="40">
        <v>14189</v>
      </c>
      <c r="R1170" s="40">
        <v>96776</v>
      </c>
      <c r="S1170" s="40">
        <v>354356</v>
      </c>
      <c r="T1170" s="40">
        <v>30000</v>
      </c>
      <c r="U1170" s="40">
        <v>533278.53881278494</v>
      </c>
      <c r="V1170" s="40">
        <v>0</v>
      </c>
      <c r="W1170" s="45">
        <f t="shared" si="63"/>
        <v>1507394.5388127849</v>
      </c>
      <c r="X1170" s="46">
        <f t="shared" si="64"/>
        <v>25.897952632682369</v>
      </c>
    </row>
    <row r="1171" spans="1:24" s="4" customFormat="1" ht="15" customHeight="1">
      <c r="A1171" s="28" t="s">
        <v>1603</v>
      </c>
      <c r="B1171" s="29">
        <v>3149.63</v>
      </c>
      <c r="C1171" s="30" t="s">
        <v>1810</v>
      </c>
      <c r="D1171" s="2">
        <v>4946580748</v>
      </c>
      <c r="E1171" s="2" t="s">
        <v>6</v>
      </c>
      <c r="F1171" s="2" t="s">
        <v>1811</v>
      </c>
      <c r="G1171" s="28" t="s">
        <v>5</v>
      </c>
      <c r="H1171" s="2" t="s">
        <v>17</v>
      </c>
      <c r="I1171" s="2">
        <v>1</v>
      </c>
      <c r="J1171" s="2" t="s">
        <v>1812</v>
      </c>
      <c r="K1171" s="2">
        <f>70910+2062</f>
        <v>72972</v>
      </c>
      <c r="L1171" s="35">
        <f t="shared" si="62"/>
        <v>229834800.36000001</v>
      </c>
      <c r="M1171" s="36">
        <v>7200</v>
      </c>
      <c r="N1171" s="40">
        <v>325476</v>
      </c>
      <c r="O1171" s="40">
        <v>534687</v>
      </c>
      <c r="P1171" s="40">
        <v>0</v>
      </c>
      <c r="Q1171" s="40">
        <v>124137</v>
      </c>
      <c r="R1171" s="40">
        <v>876177</v>
      </c>
      <c r="S1171" s="40">
        <v>354356</v>
      </c>
      <c r="T1171" s="40">
        <v>30000</v>
      </c>
      <c r="U1171" s="40">
        <v>4719050</v>
      </c>
      <c r="V1171" s="40">
        <v>0</v>
      </c>
      <c r="W1171" s="45">
        <f t="shared" si="63"/>
        <v>6963883</v>
      </c>
      <c r="X1171" s="46">
        <f t="shared" si="64"/>
        <v>3.0299515082538302</v>
      </c>
    </row>
    <row r="1172" spans="1:24" s="4" customFormat="1" ht="15" customHeight="1">
      <c r="A1172" s="28" t="s">
        <v>1603</v>
      </c>
      <c r="B1172" s="29">
        <v>3149.63</v>
      </c>
      <c r="C1172" s="30" t="s">
        <v>1813</v>
      </c>
      <c r="D1172" s="2">
        <v>4949389417</v>
      </c>
      <c r="E1172" s="2" t="s">
        <v>36</v>
      </c>
      <c r="F1172" s="2" t="s">
        <v>1814</v>
      </c>
      <c r="G1172" s="28" t="s">
        <v>5</v>
      </c>
      <c r="H1172" s="2" t="s">
        <v>26</v>
      </c>
      <c r="I1172" s="2">
        <v>1</v>
      </c>
      <c r="J1172" s="2" t="s">
        <v>1815</v>
      </c>
      <c r="K1172" s="2">
        <v>34075.9</v>
      </c>
      <c r="L1172" s="35">
        <f t="shared" si="62"/>
        <v>107326476.91700001</v>
      </c>
      <c r="M1172" s="36">
        <v>19731.268</v>
      </c>
      <c r="N1172" s="40">
        <v>314409</v>
      </c>
      <c r="O1172" s="40">
        <v>399890</v>
      </c>
      <c r="P1172" s="40">
        <v>660260</v>
      </c>
      <c r="Q1172" s="40">
        <v>99309</v>
      </c>
      <c r="R1172" s="40">
        <v>596696</v>
      </c>
      <c r="S1172" s="40">
        <v>354356</v>
      </c>
      <c r="T1172" s="40"/>
      <c r="U1172" s="40">
        <v>0</v>
      </c>
      <c r="V1172" s="40">
        <v>0</v>
      </c>
      <c r="W1172" s="45">
        <f t="shared" si="63"/>
        <v>2424920</v>
      </c>
      <c r="X1172" s="46">
        <f t="shared" si="64"/>
        <v>2.2593865648597511</v>
      </c>
    </row>
    <row r="1173" spans="1:24" s="4" customFormat="1" ht="15" customHeight="1">
      <c r="A1173" s="28" t="s">
        <v>1603</v>
      </c>
      <c r="B1173" s="29">
        <v>3149.63</v>
      </c>
      <c r="C1173" s="30" t="s">
        <v>1816</v>
      </c>
      <c r="D1173" s="2">
        <v>4949331871</v>
      </c>
      <c r="E1173" s="2" t="s">
        <v>14</v>
      </c>
      <c r="F1173" s="2" t="s">
        <v>1817</v>
      </c>
      <c r="G1173" s="28" t="s">
        <v>5</v>
      </c>
      <c r="H1173" s="2" t="s">
        <v>20</v>
      </c>
      <c r="I1173" s="2">
        <v>1</v>
      </c>
      <c r="J1173" s="2" t="s">
        <v>1818</v>
      </c>
      <c r="K1173" s="2">
        <v>123336</v>
      </c>
      <c r="L1173" s="35">
        <f t="shared" si="62"/>
        <v>388462765.68000001</v>
      </c>
      <c r="M1173" s="36">
        <v>7200</v>
      </c>
      <c r="N1173" s="40">
        <v>325476</v>
      </c>
      <c r="O1173" s="40">
        <v>327035</v>
      </c>
      <c r="P1173" s="40">
        <v>0</v>
      </c>
      <c r="Q1173" s="40">
        <v>99309</v>
      </c>
      <c r="R1173" s="40">
        <v>539263</v>
      </c>
      <c r="S1173" s="40">
        <v>354356</v>
      </c>
      <c r="T1173" s="40">
        <v>30000</v>
      </c>
      <c r="U1173" s="40">
        <v>2900300</v>
      </c>
      <c r="V1173" s="40">
        <v>0</v>
      </c>
      <c r="W1173" s="45">
        <f t="shared" si="63"/>
        <v>4575739</v>
      </c>
      <c r="X1173" s="46">
        <f t="shared" si="64"/>
        <v>1.1779092886779552</v>
      </c>
    </row>
    <row r="1174" spans="1:24" s="4" customFormat="1" ht="15" customHeight="1">
      <c r="A1174" s="28" t="s">
        <v>1603</v>
      </c>
      <c r="B1174" s="29">
        <v>3149.63</v>
      </c>
      <c r="C1174" s="30" t="s">
        <v>1819</v>
      </c>
      <c r="D1174" s="2">
        <v>4947229912</v>
      </c>
      <c r="E1174" s="2" t="s">
        <v>6</v>
      </c>
      <c r="F1174" s="2" t="s">
        <v>1820</v>
      </c>
      <c r="G1174" s="28" t="s">
        <v>5</v>
      </c>
      <c r="H1174" s="2" t="s">
        <v>20</v>
      </c>
      <c r="I1174" s="2">
        <v>1</v>
      </c>
      <c r="J1174" s="2" t="s">
        <v>1821</v>
      </c>
      <c r="K1174" s="2">
        <v>17376</v>
      </c>
      <c r="L1174" s="35">
        <f t="shared" si="62"/>
        <v>54727970.880000003</v>
      </c>
      <c r="M1174" s="36">
        <v>4800</v>
      </c>
      <c r="N1174" s="40">
        <v>325476</v>
      </c>
      <c r="O1174" s="40">
        <v>407175</v>
      </c>
      <c r="P1174" s="40">
        <v>0</v>
      </c>
      <c r="Q1174" s="40">
        <v>124137</v>
      </c>
      <c r="R1174" s="40">
        <v>749113</v>
      </c>
      <c r="S1174" s="40">
        <v>354356</v>
      </c>
      <c r="T1174" s="40">
        <v>30000</v>
      </c>
      <c r="U1174" s="40">
        <v>2619000</v>
      </c>
      <c r="V1174" s="40">
        <v>0</v>
      </c>
      <c r="W1174" s="45">
        <f t="shared" si="63"/>
        <v>4609257</v>
      </c>
      <c r="X1174" s="46">
        <f t="shared" si="64"/>
        <v>8.4221229581241861</v>
      </c>
    </row>
    <row r="1175" spans="1:24" s="4" customFormat="1" ht="15" customHeight="1">
      <c r="A1175" s="28" t="s">
        <v>1603</v>
      </c>
      <c r="B1175" s="29">
        <v>3149.63</v>
      </c>
      <c r="C1175" s="30" t="s">
        <v>1822</v>
      </c>
      <c r="D1175" s="2">
        <v>4948952405</v>
      </c>
      <c r="E1175" s="2" t="s">
        <v>14</v>
      </c>
      <c r="F1175" s="2" t="s">
        <v>1823</v>
      </c>
      <c r="G1175" s="28" t="s">
        <v>5</v>
      </c>
      <c r="H1175" s="2" t="s">
        <v>20</v>
      </c>
      <c r="I1175" s="2">
        <v>1</v>
      </c>
      <c r="J1175" s="2" t="s">
        <v>1824</v>
      </c>
      <c r="K1175" s="2">
        <v>37800</v>
      </c>
      <c r="L1175" s="35">
        <f t="shared" si="62"/>
        <v>119056014</v>
      </c>
      <c r="M1175" s="36">
        <v>9000</v>
      </c>
      <c r="N1175" s="40">
        <v>325476</v>
      </c>
      <c r="O1175" s="40">
        <v>327035</v>
      </c>
      <c r="P1175" s="40">
        <v>0</v>
      </c>
      <c r="Q1175" s="40">
        <v>99309</v>
      </c>
      <c r="R1175" s="40">
        <v>539264</v>
      </c>
      <c r="S1175" s="40">
        <v>354356</v>
      </c>
      <c r="T1175" s="40">
        <v>30000</v>
      </c>
      <c r="U1175" s="40">
        <v>3501700</v>
      </c>
      <c r="V1175" s="40">
        <v>0</v>
      </c>
      <c r="W1175" s="45">
        <f t="shared" si="63"/>
        <v>5177140</v>
      </c>
      <c r="X1175" s="46">
        <f t="shared" si="64"/>
        <v>4.3484909548542419</v>
      </c>
    </row>
    <row r="1176" spans="1:24" s="4" customFormat="1" ht="15" customHeight="1">
      <c r="A1176" s="28" t="s">
        <v>1603</v>
      </c>
      <c r="B1176" s="29">
        <v>3149.63</v>
      </c>
      <c r="C1176" s="30" t="s">
        <v>1825</v>
      </c>
      <c r="D1176" s="2">
        <v>4948546257</v>
      </c>
      <c r="E1176" s="2" t="s">
        <v>33</v>
      </c>
      <c r="F1176" s="2" t="s">
        <v>1826</v>
      </c>
      <c r="G1176" s="28" t="s">
        <v>5</v>
      </c>
      <c r="H1176" s="2" t="s">
        <v>20</v>
      </c>
      <c r="I1176" s="2">
        <v>2</v>
      </c>
      <c r="J1176" s="2" t="s">
        <v>1827</v>
      </c>
      <c r="K1176" s="2">
        <f>6270+4045</f>
        <v>10315</v>
      </c>
      <c r="L1176" s="35">
        <f t="shared" si="62"/>
        <v>32488433.450000003</v>
      </c>
      <c r="M1176" s="36">
        <v>38000</v>
      </c>
      <c r="N1176" s="40">
        <v>662727</v>
      </c>
      <c r="O1176" s="40">
        <v>561364</v>
      </c>
      <c r="P1176" s="40">
        <v>370577</v>
      </c>
      <c r="Q1176" s="40">
        <v>346010</v>
      </c>
      <c r="R1176" s="40">
        <v>1348257</v>
      </c>
      <c r="S1176" s="40">
        <v>354356</v>
      </c>
      <c r="T1176" s="40"/>
      <c r="U1176" s="40">
        <v>8594200</v>
      </c>
      <c r="V1176" s="40">
        <v>0</v>
      </c>
      <c r="W1176" s="45">
        <f t="shared" si="63"/>
        <v>12237491</v>
      </c>
      <c r="X1176" s="46">
        <f t="shared" si="64"/>
        <v>37.667223994759894</v>
      </c>
    </row>
    <row r="1177" spans="1:24" s="4" customFormat="1" ht="15" customHeight="1">
      <c r="A1177" s="28" t="s">
        <v>1603</v>
      </c>
      <c r="B1177" s="29">
        <v>3149.63</v>
      </c>
      <c r="C1177" s="30" t="s">
        <v>1828</v>
      </c>
      <c r="D1177" s="2">
        <v>4948740714</v>
      </c>
      <c r="E1177" s="2" t="s">
        <v>33</v>
      </c>
      <c r="F1177" s="2" t="s">
        <v>1829</v>
      </c>
      <c r="G1177" s="28" t="s">
        <v>5</v>
      </c>
      <c r="H1177" s="2" t="s">
        <v>20</v>
      </c>
      <c r="I1177" s="2">
        <v>2</v>
      </c>
      <c r="J1177" s="2" t="s">
        <v>1830</v>
      </c>
      <c r="K1177" s="2">
        <v>53064</v>
      </c>
      <c r="L1177" s="35">
        <f t="shared" si="62"/>
        <v>167131966.31999999</v>
      </c>
      <c r="M1177" s="36">
        <v>39600</v>
      </c>
      <c r="N1177" s="40">
        <v>934296</v>
      </c>
      <c r="O1177" s="40">
        <v>654071</v>
      </c>
      <c r="P1177" s="40">
        <v>0</v>
      </c>
      <c r="Q1177" s="40">
        <v>198619</v>
      </c>
      <c r="R1177" s="40">
        <v>1253298</v>
      </c>
      <c r="S1177" s="40">
        <v>354356</v>
      </c>
      <c r="T1177" s="40"/>
      <c r="U1177" s="40">
        <v>9700000</v>
      </c>
      <c r="V1177" s="40">
        <v>0</v>
      </c>
      <c r="W1177" s="45">
        <f t="shared" si="63"/>
        <v>13094640</v>
      </c>
      <c r="X1177" s="46">
        <f t="shared" si="64"/>
        <v>7.8349105131260686</v>
      </c>
    </row>
    <row r="1178" spans="1:24" s="4" customFormat="1" ht="15" customHeight="1">
      <c r="A1178" s="28" t="s">
        <v>1603</v>
      </c>
      <c r="B1178" s="29">
        <v>3149.63</v>
      </c>
      <c r="C1178" s="30" t="s">
        <v>1831</v>
      </c>
      <c r="D1178" s="2">
        <v>4949652740</v>
      </c>
      <c r="E1178" s="2" t="s">
        <v>21</v>
      </c>
      <c r="F1178" s="2" t="s">
        <v>1832</v>
      </c>
      <c r="G1178" s="28" t="s">
        <v>5</v>
      </c>
      <c r="H1178" s="2" t="s">
        <v>20</v>
      </c>
      <c r="I1178" s="2">
        <v>1</v>
      </c>
      <c r="J1178" s="2" t="s">
        <v>1833</v>
      </c>
      <c r="K1178" s="2">
        <v>71124.479999999996</v>
      </c>
      <c r="L1178" s="35">
        <f t="shared" si="62"/>
        <v>224015795.94240001</v>
      </c>
      <c r="M1178" s="36">
        <v>6350.4</v>
      </c>
      <c r="N1178" s="40">
        <v>467148</v>
      </c>
      <c r="O1178" s="40">
        <v>327035</v>
      </c>
      <c r="P1178" s="40">
        <v>0</v>
      </c>
      <c r="Q1178" s="40">
        <v>99309</v>
      </c>
      <c r="R1178" s="40">
        <v>658268</v>
      </c>
      <c r="S1178" s="40">
        <v>354356</v>
      </c>
      <c r="T1178" s="40"/>
      <c r="U1178" s="40">
        <v>4719050</v>
      </c>
      <c r="V1178" s="40">
        <v>0</v>
      </c>
      <c r="W1178" s="45">
        <f t="shared" si="63"/>
        <v>6625166</v>
      </c>
      <c r="X1178" s="46">
        <f t="shared" si="64"/>
        <v>2.9574548402397007</v>
      </c>
    </row>
    <row r="1179" spans="1:24" s="4" customFormat="1" ht="15" customHeight="1">
      <c r="A1179" s="28" t="s">
        <v>1603</v>
      </c>
      <c r="B1179" s="29">
        <v>3149.63</v>
      </c>
      <c r="C1179" s="30" t="s">
        <v>1834</v>
      </c>
      <c r="D1179" s="2">
        <v>4949162086</v>
      </c>
      <c r="E1179" s="2" t="s">
        <v>14</v>
      </c>
      <c r="F1179" s="2" t="s">
        <v>1835</v>
      </c>
      <c r="G1179" s="28" t="s">
        <v>5</v>
      </c>
      <c r="H1179" s="2" t="s">
        <v>20</v>
      </c>
      <c r="I1179" s="2">
        <v>1</v>
      </c>
      <c r="J1179" s="2" t="s">
        <v>1836</v>
      </c>
      <c r="K1179" s="2">
        <v>30996</v>
      </c>
      <c r="L1179" s="35">
        <f t="shared" si="62"/>
        <v>97625931.480000004</v>
      </c>
      <c r="M1179" s="36">
        <v>16400</v>
      </c>
      <c r="N1179" s="40">
        <v>467148</v>
      </c>
      <c r="O1179" s="40">
        <v>327035</v>
      </c>
      <c r="P1179" s="40">
        <v>0</v>
      </c>
      <c r="Q1179" s="40">
        <v>99309</v>
      </c>
      <c r="R1179" s="40">
        <v>628147</v>
      </c>
      <c r="S1179" s="40">
        <v>354356</v>
      </c>
      <c r="T1179" s="40">
        <v>30000</v>
      </c>
      <c r="U1179" s="40">
        <v>3928500</v>
      </c>
      <c r="V1179" s="40">
        <v>0</v>
      </c>
      <c r="W1179" s="45">
        <f t="shared" si="63"/>
        <v>5834495</v>
      </c>
      <c r="X1179" s="46">
        <f t="shared" si="64"/>
        <v>5.9763783162420072</v>
      </c>
    </row>
    <row r="1180" spans="1:24" s="4" customFormat="1" ht="15" customHeight="1">
      <c r="A1180" s="28" t="s">
        <v>1603</v>
      </c>
      <c r="B1180" s="29">
        <v>3149.63</v>
      </c>
      <c r="C1180" s="30" t="s">
        <v>1837</v>
      </c>
      <c r="D1180" s="2">
        <v>4947229906</v>
      </c>
      <c r="E1180" s="2" t="s">
        <v>6</v>
      </c>
      <c r="F1180" s="2" t="s">
        <v>1838</v>
      </c>
      <c r="G1180" s="28" t="s">
        <v>5</v>
      </c>
      <c r="H1180" s="2" t="s">
        <v>20</v>
      </c>
      <c r="I1180" s="2">
        <v>1</v>
      </c>
      <c r="J1180" s="2" t="s">
        <v>1839</v>
      </c>
      <c r="K1180" s="2">
        <v>96576</v>
      </c>
      <c r="L1180" s="35">
        <f t="shared" si="62"/>
        <v>304178666.88</v>
      </c>
      <c r="M1180" s="36">
        <v>4224</v>
      </c>
      <c r="N1180" s="40">
        <v>467148</v>
      </c>
      <c r="O1180" s="40">
        <v>407175</v>
      </c>
      <c r="P1180" s="40">
        <v>0</v>
      </c>
      <c r="Q1180" s="40">
        <v>124137</v>
      </c>
      <c r="R1180" s="40">
        <v>732368</v>
      </c>
      <c r="S1180" s="40">
        <v>354356</v>
      </c>
      <c r="T1180" s="40">
        <v>30000</v>
      </c>
      <c r="U1180" s="40">
        <v>2619000</v>
      </c>
      <c r="V1180" s="40">
        <v>0</v>
      </c>
      <c r="W1180" s="45">
        <f t="shared" si="63"/>
        <v>4734184</v>
      </c>
      <c r="X1180" s="46">
        <f t="shared" si="64"/>
        <v>1.556382651209284</v>
      </c>
    </row>
    <row r="1181" spans="1:24" s="4" customFormat="1" ht="15" customHeight="1">
      <c r="A1181" s="28" t="s">
        <v>1603</v>
      </c>
      <c r="B1181" s="29">
        <v>3149.63</v>
      </c>
      <c r="C1181" s="30" t="s">
        <v>1840</v>
      </c>
      <c r="D1181" s="2">
        <v>4947917129</v>
      </c>
      <c r="E1181" s="2" t="s">
        <v>14</v>
      </c>
      <c r="F1181" s="2" t="s">
        <v>1841</v>
      </c>
      <c r="G1181" s="28" t="s">
        <v>9</v>
      </c>
      <c r="H1181" s="2" t="s">
        <v>23</v>
      </c>
      <c r="I1181" s="2">
        <v>12</v>
      </c>
      <c r="J1181" s="2"/>
      <c r="K1181" s="2">
        <v>5920</v>
      </c>
      <c r="L1181" s="35">
        <f t="shared" si="62"/>
        <v>18645809.600000001</v>
      </c>
      <c r="M1181" s="36">
        <v>4000</v>
      </c>
      <c r="N1181" s="40">
        <v>605257.93991416297</v>
      </c>
      <c r="O1181" s="40">
        <v>2754.0772532188798</v>
      </c>
      <c r="P1181" s="40">
        <v>758804.72103004297</v>
      </c>
      <c r="Q1181" s="40">
        <v>84649.7854077253</v>
      </c>
      <c r="R1181" s="40">
        <v>137630.90128755401</v>
      </c>
      <c r="S1181" s="40">
        <v>152084.120171674</v>
      </c>
      <c r="T1181" s="40">
        <v>30000</v>
      </c>
      <c r="U1181" s="40">
        <v>1184943.18181818</v>
      </c>
      <c r="V1181" s="40">
        <v>0</v>
      </c>
      <c r="W1181" s="45">
        <f t="shared" si="63"/>
        <v>2956124.7268825583</v>
      </c>
      <c r="X1181" s="46">
        <f t="shared" si="64"/>
        <v>15.854096927400557</v>
      </c>
    </row>
    <row r="1182" spans="1:24" s="4" customFormat="1" ht="15" customHeight="1">
      <c r="A1182" s="28" t="s">
        <v>1603</v>
      </c>
      <c r="B1182" s="29">
        <v>3149.63</v>
      </c>
      <c r="C1182" s="30" t="s">
        <v>1840</v>
      </c>
      <c r="D1182" s="2">
        <v>4949309838</v>
      </c>
      <c r="E1182" s="2" t="s">
        <v>14</v>
      </c>
      <c r="F1182" s="2" t="s">
        <v>1841</v>
      </c>
      <c r="G1182" s="28" t="s">
        <v>9</v>
      </c>
      <c r="H1182" s="2" t="s">
        <v>23</v>
      </c>
      <c r="I1182" s="2">
        <v>12</v>
      </c>
      <c r="J1182" s="2"/>
      <c r="K1182" s="2">
        <v>11225.2</v>
      </c>
      <c r="L1182" s="35">
        <f t="shared" si="62"/>
        <v>35355226.676000006</v>
      </c>
      <c r="M1182" s="36">
        <v>5320</v>
      </c>
      <c r="N1182" s="40">
        <v>804993.06008583703</v>
      </c>
      <c r="O1182" s="40">
        <v>3662.9227467811202</v>
      </c>
      <c r="P1182" s="40">
        <v>1009210.2789699601</v>
      </c>
      <c r="Q1182" s="40">
        <v>112584.21459227501</v>
      </c>
      <c r="R1182" s="40">
        <v>183049.09871244599</v>
      </c>
      <c r="S1182" s="40">
        <v>202271.879828326</v>
      </c>
      <c r="T1182" s="40">
        <v>30000</v>
      </c>
      <c r="U1182" s="40">
        <v>2085500</v>
      </c>
      <c r="V1182" s="40">
        <v>0</v>
      </c>
      <c r="W1182" s="45">
        <f t="shared" si="63"/>
        <v>4431271.4549356252</v>
      </c>
      <c r="X1182" s="46">
        <f t="shared" si="64"/>
        <v>12.533568220462524</v>
      </c>
    </row>
    <row r="1183" spans="1:24" s="4" customFormat="1" ht="15" customHeight="1">
      <c r="A1183" s="28" t="s">
        <v>1603</v>
      </c>
      <c r="B1183" s="29">
        <v>3149.63</v>
      </c>
      <c r="C1183" s="30" t="s">
        <v>1842</v>
      </c>
      <c r="D1183" s="2">
        <v>4949331209</v>
      </c>
      <c r="E1183" s="2" t="s">
        <v>14</v>
      </c>
      <c r="F1183" s="2" t="s">
        <v>1843</v>
      </c>
      <c r="G1183" s="28" t="s">
        <v>5</v>
      </c>
      <c r="H1183" s="2" t="s">
        <v>20</v>
      </c>
      <c r="I1183" s="2">
        <v>1</v>
      </c>
      <c r="J1183" s="2" t="s">
        <v>1844</v>
      </c>
      <c r="K1183" s="2">
        <v>15040</v>
      </c>
      <c r="L1183" s="35">
        <f t="shared" si="62"/>
        <v>47370435.200000003</v>
      </c>
      <c r="M1183" s="36">
        <v>16000</v>
      </c>
      <c r="N1183" s="40">
        <v>460533</v>
      </c>
      <c r="O1183" s="40">
        <v>327035</v>
      </c>
      <c r="P1183" s="40">
        <v>205414</v>
      </c>
      <c r="Q1183" s="40">
        <v>99309</v>
      </c>
      <c r="R1183" s="40">
        <v>619188</v>
      </c>
      <c r="S1183" s="40">
        <v>354356</v>
      </c>
      <c r="T1183" s="40">
        <v>30000</v>
      </c>
      <c r="U1183" s="40">
        <v>0</v>
      </c>
      <c r="V1183" s="40">
        <v>0</v>
      </c>
      <c r="W1183" s="45">
        <f t="shared" si="63"/>
        <v>2095835</v>
      </c>
      <c r="X1183" s="46">
        <f t="shared" si="64"/>
        <v>4.4243524281575528</v>
      </c>
    </row>
    <row r="1184" spans="1:24" s="4" customFormat="1" ht="15" customHeight="1">
      <c r="A1184" s="28" t="s">
        <v>1603</v>
      </c>
      <c r="B1184" s="29">
        <v>3149.63</v>
      </c>
      <c r="C1184" s="30" t="s">
        <v>1845</v>
      </c>
      <c r="D1184" s="2">
        <v>4949417457</v>
      </c>
      <c r="E1184" s="2" t="s">
        <v>14</v>
      </c>
      <c r="F1184" s="2" t="s">
        <v>1846</v>
      </c>
      <c r="G1184" s="28" t="s">
        <v>9</v>
      </c>
      <c r="H1184" s="2" t="s">
        <v>23</v>
      </c>
      <c r="I1184" s="2">
        <v>1</v>
      </c>
      <c r="J1184" s="2"/>
      <c r="K1184" s="2">
        <v>1327.36</v>
      </c>
      <c r="L1184" s="35">
        <f t="shared" si="62"/>
        <v>4180692.8767999997</v>
      </c>
      <c r="M1184" s="36">
        <v>1088</v>
      </c>
      <c r="N1184" s="40">
        <v>595339</v>
      </c>
      <c r="O1184" s="40">
        <v>724</v>
      </c>
      <c r="P1184" s="40">
        <v>0</v>
      </c>
      <c r="Q1184" s="40">
        <v>23035</v>
      </c>
      <c r="R1184" s="40">
        <v>100347</v>
      </c>
      <c r="S1184" s="40">
        <v>354356</v>
      </c>
      <c r="T1184" s="40">
        <v>30000</v>
      </c>
      <c r="U1184" s="40">
        <v>623139.69849246205</v>
      </c>
      <c r="V1184" s="40">
        <v>0</v>
      </c>
      <c r="W1184" s="45">
        <f t="shared" si="63"/>
        <v>1726940.698492462</v>
      </c>
      <c r="X1184" s="46">
        <f t="shared" si="64"/>
        <v>41.307523642212693</v>
      </c>
    </row>
    <row r="1185" spans="1:24" s="4" customFormat="1" ht="15" customHeight="1">
      <c r="A1185" s="28" t="s">
        <v>1603</v>
      </c>
      <c r="B1185" s="29">
        <v>3149.63</v>
      </c>
      <c r="C1185" s="30" t="s">
        <v>1847</v>
      </c>
      <c r="D1185" s="2">
        <v>4949484779</v>
      </c>
      <c r="E1185" s="2" t="s">
        <v>21</v>
      </c>
      <c r="F1185" s="2" t="s">
        <v>1848</v>
      </c>
      <c r="G1185" s="28" t="s">
        <v>5</v>
      </c>
      <c r="H1185" s="2" t="s">
        <v>17</v>
      </c>
      <c r="I1185" s="2">
        <v>1</v>
      </c>
      <c r="J1185" s="2" t="s">
        <v>1849</v>
      </c>
      <c r="K1185" s="2">
        <v>106686.72</v>
      </c>
      <c r="L1185" s="35">
        <f t="shared" si="62"/>
        <v>336023693.91360003</v>
      </c>
      <c r="M1185" s="36">
        <v>9525.6</v>
      </c>
      <c r="N1185" s="40">
        <v>389290</v>
      </c>
      <c r="O1185" s="40">
        <v>357526.66666666698</v>
      </c>
      <c r="P1185" s="40">
        <v>0</v>
      </c>
      <c r="Q1185" s="40">
        <v>82757.5</v>
      </c>
      <c r="R1185" s="40">
        <v>460055.33333333302</v>
      </c>
      <c r="S1185" s="40">
        <v>295296.66666666698</v>
      </c>
      <c r="T1185" s="40"/>
      <c r="U1185" s="40">
        <v>4013375</v>
      </c>
      <c r="V1185" s="40">
        <v>0</v>
      </c>
      <c r="W1185" s="45">
        <f t="shared" si="63"/>
        <v>5598301.166666667</v>
      </c>
      <c r="X1185" s="46">
        <f t="shared" si="64"/>
        <v>1.6660435761134536</v>
      </c>
    </row>
    <row r="1186" spans="1:24" s="4" customFormat="1" ht="15" customHeight="1">
      <c r="A1186" s="28" t="s">
        <v>1603</v>
      </c>
      <c r="B1186" s="29">
        <v>3149.63</v>
      </c>
      <c r="C1186" s="30" t="s">
        <v>1847</v>
      </c>
      <c r="D1186" s="2">
        <v>4949387377</v>
      </c>
      <c r="E1186" s="2" t="s">
        <v>21</v>
      </c>
      <c r="F1186" s="2" t="s">
        <v>1848</v>
      </c>
      <c r="G1186" s="28" t="s">
        <v>5</v>
      </c>
      <c r="H1186" s="2" t="s">
        <v>17</v>
      </c>
      <c r="I1186" s="2">
        <v>1</v>
      </c>
      <c r="J1186" s="2" t="s">
        <v>1849</v>
      </c>
      <c r="K1186" s="2">
        <v>15642.94</v>
      </c>
      <c r="L1186" s="35">
        <f t="shared" si="62"/>
        <v>49269473.112200007</v>
      </c>
      <c r="M1186" s="36">
        <v>1905.12</v>
      </c>
      <c r="N1186" s="40">
        <v>77858</v>
      </c>
      <c r="O1186" s="40">
        <v>71505.333333333299</v>
      </c>
      <c r="P1186" s="40">
        <v>0</v>
      </c>
      <c r="Q1186" s="40">
        <v>16551.5</v>
      </c>
      <c r="R1186" s="40">
        <v>122010.66666666701</v>
      </c>
      <c r="S1186" s="40">
        <v>59059.333333333299</v>
      </c>
      <c r="T1186" s="40"/>
      <c r="U1186" s="40">
        <v>802675</v>
      </c>
      <c r="V1186" s="40">
        <v>0</v>
      </c>
      <c r="W1186" s="45">
        <f t="shared" si="63"/>
        <v>1149659.8333333337</v>
      </c>
      <c r="X1186" s="46">
        <f t="shared" si="64"/>
        <v>2.3334120718426301</v>
      </c>
    </row>
    <row r="1187" spans="1:24" s="4" customFormat="1" ht="15" customHeight="1">
      <c r="A1187" s="28" t="s">
        <v>1603</v>
      </c>
      <c r="B1187" s="29">
        <v>3149.63</v>
      </c>
      <c r="C1187" s="30" t="s">
        <v>1850</v>
      </c>
      <c r="D1187" s="2">
        <v>4949331209</v>
      </c>
      <c r="E1187" s="2" t="s">
        <v>14</v>
      </c>
      <c r="F1187" s="2" t="s">
        <v>1851</v>
      </c>
      <c r="G1187" s="28" t="s">
        <v>5</v>
      </c>
      <c r="H1187" s="2" t="s">
        <v>20</v>
      </c>
      <c r="I1187" s="2">
        <v>1</v>
      </c>
      <c r="J1187" s="2" t="s">
        <v>1852</v>
      </c>
      <c r="K1187" s="2">
        <v>15040</v>
      </c>
      <c r="L1187" s="35">
        <f t="shared" si="62"/>
        <v>47370435.200000003</v>
      </c>
      <c r="M1187" s="36">
        <v>16000</v>
      </c>
      <c r="N1187" s="40">
        <v>460533</v>
      </c>
      <c r="O1187" s="40">
        <v>327035</v>
      </c>
      <c r="P1187" s="40">
        <v>205414</v>
      </c>
      <c r="Q1187" s="40">
        <v>99309</v>
      </c>
      <c r="R1187" s="40">
        <v>619188</v>
      </c>
      <c r="S1187" s="40">
        <v>354356</v>
      </c>
      <c r="T1187" s="40">
        <v>30000</v>
      </c>
      <c r="U1187" s="40">
        <v>0</v>
      </c>
      <c r="V1187" s="40">
        <v>0</v>
      </c>
      <c r="W1187" s="45">
        <f t="shared" si="63"/>
        <v>2095835</v>
      </c>
      <c r="X1187" s="46">
        <f t="shared" si="64"/>
        <v>4.4243524281575528</v>
      </c>
    </row>
    <row r="1188" spans="1:24" s="4" customFormat="1" ht="15" customHeight="1">
      <c r="A1188" s="28" t="s">
        <v>1603</v>
      </c>
      <c r="B1188" s="29">
        <v>3149.63</v>
      </c>
      <c r="C1188" s="30" t="s">
        <v>1853</v>
      </c>
      <c r="D1188" s="2">
        <v>4949570839</v>
      </c>
      <c r="E1188" s="2" t="s">
        <v>24</v>
      </c>
      <c r="F1188" s="2" t="s">
        <v>1854</v>
      </c>
      <c r="G1188" s="28" t="s">
        <v>9</v>
      </c>
      <c r="H1188" s="2" t="s">
        <v>23</v>
      </c>
      <c r="I1188" s="2">
        <v>1</v>
      </c>
      <c r="J1188" s="2"/>
      <c r="K1188" s="2">
        <v>663</v>
      </c>
      <c r="L1188" s="35">
        <f t="shared" si="62"/>
        <v>2088204.6900000002</v>
      </c>
      <c r="M1188" s="36">
        <v>170</v>
      </c>
      <c r="N1188" s="40">
        <v>648329</v>
      </c>
      <c r="O1188" s="40">
        <v>127</v>
      </c>
      <c r="P1188" s="40">
        <v>1978</v>
      </c>
      <c r="Q1188" s="40">
        <v>3150</v>
      </c>
      <c r="R1188" s="40">
        <v>82727</v>
      </c>
      <c r="S1188" s="40">
        <v>354356</v>
      </c>
      <c r="T1188" s="40"/>
      <c r="U1188" s="40">
        <v>89079.145728643198</v>
      </c>
      <c r="V1188" s="40">
        <v>0</v>
      </c>
      <c r="W1188" s="45">
        <f t="shared" si="63"/>
        <v>1179746.1457286433</v>
      </c>
      <c r="X1188" s="46">
        <f t="shared" si="64"/>
        <v>56.495713824330274</v>
      </c>
    </row>
    <row r="1189" spans="1:24" s="4" customFormat="1" ht="15" customHeight="1">
      <c r="A1189" s="28" t="s">
        <v>1603</v>
      </c>
      <c r="B1189" s="29">
        <v>3149.63</v>
      </c>
      <c r="C1189" s="30" t="s">
        <v>1855</v>
      </c>
      <c r="D1189" s="2">
        <v>4947229914</v>
      </c>
      <c r="E1189" s="2" t="s">
        <v>6</v>
      </c>
      <c r="F1189" s="2" t="s">
        <v>1856</v>
      </c>
      <c r="G1189" s="28" t="s">
        <v>9</v>
      </c>
      <c r="H1189" s="2" t="s">
        <v>23</v>
      </c>
      <c r="I1189" s="2">
        <v>3</v>
      </c>
      <c r="J1189" s="2"/>
      <c r="K1189" s="2">
        <v>24498</v>
      </c>
      <c r="L1189" s="35">
        <f t="shared" si="62"/>
        <v>77159635.74000001</v>
      </c>
      <c r="M1189" s="36">
        <v>1980</v>
      </c>
      <c r="N1189" s="40">
        <v>888134</v>
      </c>
      <c r="O1189" s="40">
        <v>1385</v>
      </c>
      <c r="P1189" s="40">
        <v>0</v>
      </c>
      <c r="Q1189" s="40">
        <v>43810</v>
      </c>
      <c r="R1189" s="40">
        <v>129588</v>
      </c>
      <c r="S1189" s="40">
        <v>354356</v>
      </c>
      <c r="T1189" s="40">
        <v>30000</v>
      </c>
      <c r="U1189" s="40">
        <v>1367700</v>
      </c>
      <c r="V1189" s="40">
        <v>0</v>
      </c>
      <c r="W1189" s="45">
        <f t="shared" si="63"/>
        <v>2814973</v>
      </c>
      <c r="X1189" s="46">
        <f t="shared" si="64"/>
        <v>3.6482455794444624</v>
      </c>
    </row>
    <row r="1190" spans="1:24" s="4" customFormat="1" ht="15" customHeight="1">
      <c r="A1190" s="28" t="s">
        <v>1603</v>
      </c>
      <c r="B1190" s="29">
        <v>3149.63</v>
      </c>
      <c r="C1190" s="30" t="s">
        <v>1857</v>
      </c>
      <c r="D1190" s="2">
        <v>4949387708</v>
      </c>
      <c r="E1190" s="2" t="s">
        <v>38</v>
      </c>
      <c r="F1190" s="2" t="s">
        <v>1858</v>
      </c>
      <c r="G1190" s="28" t="s">
        <v>5</v>
      </c>
      <c r="H1190" s="2" t="s">
        <v>20</v>
      </c>
      <c r="I1190" s="2">
        <v>1</v>
      </c>
      <c r="J1190" s="2" t="s">
        <v>1859</v>
      </c>
      <c r="K1190" s="2">
        <v>34200</v>
      </c>
      <c r="L1190" s="35">
        <f t="shared" si="62"/>
        <v>107717346</v>
      </c>
      <c r="M1190" s="36">
        <v>20000</v>
      </c>
      <c r="N1190" s="40">
        <v>325476</v>
      </c>
      <c r="O1190" s="40">
        <v>163517.5</v>
      </c>
      <c r="P1190" s="40">
        <v>106322</v>
      </c>
      <c r="Q1190" s="40">
        <v>49654.5</v>
      </c>
      <c r="R1190" s="40">
        <v>428007.5</v>
      </c>
      <c r="S1190" s="40">
        <v>177178</v>
      </c>
      <c r="T1190" s="40"/>
      <c r="U1190" s="40">
        <v>519300</v>
      </c>
      <c r="V1190" s="40">
        <v>0</v>
      </c>
      <c r="W1190" s="45">
        <f t="shared" si="63"/>
        <v>1769455.5</v>
      </c>
      <c r="X1190" s="46">
        <f t="shared" si="64"/>
        <v>1.6426838997685667</v>
      </c>
    </row>
    <row r="1191" spans="1:24" s="4" customFormat="1" ht="15" customHeight="1">
      <c r="A1191" s="28" t="s">
        <v>1603</v>
      </c>
      <c r="B1191" s="29">
        <v>3149.63</v>
      </c>
      <c r="C1191" s="30" t="s">
        <v>1857</v>
      </c>
      <c r="D1191" s="2">
        <v>4949387705</v>
      </c>
      <c r="E1191" s="2" t="s">
        <v>38</v>
      </c>
      <c r="F1191" s="2" t="s">
        <v>1858</v>
      </c>
      <c r="G1191" s="28" t="s">
        <v>5</v>
      </c>
      <c r="H1191" s="2" t="s">
        <v>20</v>
      </c>
      <c r="I1191" s="2">
        <v>1</v>
      </c>
      <c r="J1191" s="2" t="s">
        <v>1860</v>
      </c>
      <c r="K1191" s="2">
        <v>34200</v>
      </c>
      <c r="L1191" s="35">
        <f t="shared" si="62"/>
        <v>107717346</v>
      </c>
      <c r="M1191" s="36">
        <v>20000</v>
      </c>
      <c r="N1191" s="40">
        <v>325476</v>
      </c>
      <c r="O1191" s="40">
        <v>163517.5</v>
      </c>
      <c r="P1191" s="40">
        <v>106322</v>
      </c>
      <c r="Q1191" s="40">
        <v>49654.5</v>
      </c>
      <c r="R1191" s="40">
        <v>428007.5</v>
      </c>
      <c r="S1191" s="40">
        <v>177178</v>
      </c>
      <c r="T1191" s="40"/>
      <c r="U1191" s="40">
        <v>519300</v>
      </c>
      <c r="V1191" s="40">
        <v>0</v>
      </c>
      <c r="W1191" s="45">
        <f t="shared" si="63"/>
        <v>1769455.5</v>
      </c>
      <c r="X1191" s="46">
        <f t="shared" si="64"/>
        <v>1.6426838997685667</v>
      </c>
    </row>
    <row r="1192" spans="1:24" s="4" customFormat="1" ht="15" customHeight="1">
      <c r="A1192" s="28" t="s">
        <v>1603</v>
      </c>
      <c r="B1192" s="29">
        <v>3149.63</v>
      </c>
      <c r="C1192" s="30" t="s">
        <v>1861</v>
      </c>
      <c r="D1192" s="2">
        <v>4949098585</v>
      </c>
      <c r="E1192" s="2" t="s">
        <v>24</v>
      </c>
      <c r="F1192" s="2" t="s">
        <v>1862</v>
      </c>
      <c r="G1192" s="28" t="s">
        <v>9</v>
      </c>
      <c r="H1192" s="2" t="s">
        <v>23</v>
      </c>
      <c r="I1192" s="2">
        <v>1</v>
      </c>
      <c r="J1192" s="2"/>
      <c r="K1192" s="2">
        <v>576</v>
      </c>
      <c r="L1192" s="35">
        <f t="shared" si="62"/>
        <v>1814186.8800000001</v>
      </c>
      <c r="M1192" s="36">
        <v>320</v>
      </c>
      <c r="N1192" s="40">
        <v>648329</v>
      </c>
      <c r="O1192" s="40">
        <v>222</v>
      </c>
      <c r="P1192" s="40">
        <v>3574</v>
      </c>
      <c r="Q1192" s="40">
        <v>5593</v>
      </c>
      <c r="R1192" s="40">
        <v>85365</v>
      </c>
      <c r="S1192" s="40">
        <v>354356</v>
      </c>
      <c r="T1192" s="40"/>
      <c r="U1192" s="40">
        <v>167678.39195979899</v>
      </c>
      <c r="V1192" s="40">
        <v>0</v>
      </c>
      <c r="W1192" s="45">
        <f t="shared" si="63"/>
        <v>1265117.391959799</v>
      </c>
      <c r="X1192" s="46">
        <f t="shared" si="64"/>
        <v>69.734678709604552</v>
      </c>
    </row>
    <row r="1193" spans="1:24" s="4" customFormat="1" ht="15" customHeight="1">
      <c r="A1193" s="28" t="s">
        <v>1603</v>
      </c>
      <c r="B1193" s="29">
        <v>3149.63</v>
      </c>
      <c r="C1193" s="30" t="s">
        <v>1863</v>
      </c>
      <c r="D1193" s="2">
        <v>4949387715</v>
      </c>
      <c r="E1193" s="2" t="s">
        <v>36</v>
      </c>
      <c r="F1193" s="2" t="s">
        <v>1864</v>
      </c>
      <c r="G1193" s="28" t="s">
        <v>5</v>
      </c>
      <c r="H1193" s="2" t="s">
        <v>20</v>
      </c>
      <c r="I1193" s="2">
        <v>3</v>
      </c>
      <c r="J1193" s="2" t="s">
        <v>1865</v>
      </c>
      <c r="K1193" s="2">
        <v>109800</v>
      </c>
      <c r="L1193" s="35">
        <f t="shared" si="62"/>
        <v>345829374</v>
      </c>
      <c r="M1193" s="36">
        <v>58500</v>
      </c>
      <c r="N1193" s="40">
        <v>914035</v>
      </c>
      <c r="O1193" s="40">
        <v>1221527</v>
      </c>
      <c r="P1193" s="40">
        <v>227511</v>
      </c>
      <c r="Q1193" s="40">
        <v>372411</v>
      </c>
      <c r="R1193" s="40">
        <v>2593801</v>
      </c>
      <c r="S1193" s="40">
        <v>354356</v>
      </c>
      <c r="T1193" s="40"/>
      <c r="U1193" s="40">
        <v>1557900</v>
      </c>
      <c r="V1193" s="40">
        <v>0</v>
      </c>
      <c r="W1193" s="45">
        <f t="shared" si="63"/>
        <v>7241541</v>
      </c>
      <c r="X1193" s="46">
        <f t="shared" si="64"/>
        <v>2.0939635393724538</v>
      </c>
    </row>
    <row r="1194" spans="1:24" s="4" customFormat="1" ht="15" customHeight="1">
      <c r="A1194" s="28" t="s">
        <v>1603</v>
      </c>
      <c r="B1194" s="29">
        <v>3149.63</v>
      </c>
      <c r="C1194" s="30" t="s">
        <v>1866</v>
      </c>
      <c r="D1194" s="2">
        <v>4949591597</v>
      </c>
      <c r="E1194" s="2" t="s">
        <v>14</v>
      </c>
      <c r="F1194" s="2" t="s">
        <v>1867</v>
      </c>
      <c r="G1194" s="28" t="s">
        <v>5</v>
      </c>
      <c r="H1194" s="2" t="s">
        <v>20</v>
      </c>
      <c r="I1194" s="2">
        <v>1</v>
      </c>
      <c r="J1194" s="2" t="s">
        <v>1868</v>
      </c>
      <c r="K1194" s="2">
        <v>22860</v>
      </c>
      <c r="L1194" s="35">
        <f t="shared" si="62"/>
        <v>72000541.799999997</v>
      </c>
      <c r="M1194" s="36">
        <v>18000</v>
      </c>
      <c r="N1194" s="40">
        <v>467148</v>
      </c>
      <c r="O1194" s="40">
        <v>327035</v>
      </c>
      <c r="P1194" s="40">
        <v>0</v>
      </c>
      <c r="Q1194" s="40">
        <v>99309</v>
      </c>
      <c r="R1194" s="40">
        <v>626859</v>
      </c>
      <c r="S1194" s="40">
        <v>354356</v>
      </c>
      <c r="T1194" s="40">
        <v>30000</v>
      </c>
      <c r="U1194" s="40">
        <v>5014900</v>
      </c>
      <c r="V1194" s="40">
        <v>0</v>
      </c>
      <c r="W1194" s="45">
        <f t="shared" si="63"/>
        <v>6919607</v>
      </c>
      <c r="X1194" s="46">
        <f t="shared" si="64"/>
        <v>9.6104929588182628</v>
      </c>
    </row>
    <row r="1195" spans="1:24" s="4" customFormat="1" ht="15" customHeight="1">
      <c r="A1195" s="28" t="s">
        <v>1603</v>
      </c>
      <c r="B1195" s="29">
        <v>3149.63</v>
      </c>
      <c r="C1195" s="30" t="s">
        <v>1869</v>
      </c>
      <c r="D1195" s="2">
        <v>4949422382</v>
      </c>
      <c r="E1195" s="2" t="s">
        <v>27</v>
      </c>
      <c r="F1195" s="2" t="s">
        <v>1870</v>
      </c>
      <c r="G1195" s="28" t="s">
        <v>5</v>
      </c>
      <c r="H1195" s="2" t="s">
        <v>17</v>
      </c>
      <c r="I1195" s="2">
        <v>1</v>
      </c>
      <c r="J1195" s="2" t="s">
        <v>1871</v>
      </c>
      <c r="K1195" s="2">
        <f>61054+10404.52+4279.08</f>
        <v>75737.600000000006</v>
      </c>
      <c r="L1195" s="35">
        <f t="shared" si="62"/>
        <v>238545417.08800003</v>
      </c>
      <c r="M1195" s="36">
        <v>18054.674999999999</v>
      </c>
      <c r="N1195" s="40">
        <v>325476</v>
      </c>
      <c r="O1195" s="40">
        <v>534687</v>
      </c>
      <c r="P1195" s="40">
        <v>189860</v>
      </c>
      <c r="Q1195" s="40">
        <v>124137</v>
      </c>
      <c r="R1195" s="40">
        <v>846437</v>
      </c>
      <c r="S1195" s="40">
        <v>354356</v>
      </c>
      <c r="T1195" s="40"/>
      <c r="U1195" s="40">
        <v>5640550</v>
      </c>
      <c r="V1195" s="40">
        <v>0</v>
      </c>
      <c r="W1195" s="45">
        <f t="shared" si="63"/>
        <v>8015503</v>
      </c>
      <c r="X1195" s="46">
        <f t="shared" si="64"/>
        <v>3.3601580352487179</v>
      </c>
    </row>
    <row r="1196" spans="1:24" s="4" customFormat="1" ht="15" customHeight="1">
      <c r="A1196" s="28" t="s">
        <v>1603</v>
      </c>
      <c r="B1196" s="29">
        <v>3149.63</v>
      </c>
      <c r="C1196" s="30" t="s">
        <v>1872</v>
      </c>
      <c r="D1196" s="2">
        <v>4949422382</v>
      </c>
      <c r="E1196" s="2" t="s">
        <v>27</v>
      </c>
      <c r="F1196" s="2" t="s">
        <v>1873</v>
      </c>
      <c r="G1196" s="28" t="s">
        <v>5</v>
      </c>
      <c r="H1196" s="2" t="s">
        <v>20</v>
      </c>
      <c r="I1196" s="2">
        <v>1</v>
      </c>
      <c r="J1196" s="2" t="s">
        <v>1874</v>
      </c>
      <c r="K1196" s="2">
        <f>334.15+25611.81</f>
        <v>25945.960000000003</v>
      </c>
      <c r="L1196" s="35">
        <f t="shared" si="62"/>
        <v>81720173.994800016</v>
      </c>
      <c r="M1196" s="36">
        <v>4445.5479999999998</v>
      </c>
      <c r="N1196" s="40">
        <v>181144.02829218301</v>
      </c>
      <c r="O1196" s="40">
        <v>226614.39348604201</v>
      </c>
      <c r="P1196" s="40">
        <v>73966.982558069707</v>
      </c>
      <c r="Q1196" s="40">
        <v>69088.7971122413</v>
      </c>
      <c r="R1196" s="40">
        <f>317976.434356647+62732</f>
        <v>380708.43435664702</v>
      </c>
      <c r="S1196" s="40">
        <v>197217.830215853</v>
      </c>
      <c r="T1196" s="40"/>
      <c r="U1196" s="40">
        <v>1614170.1367411299</v>
      </c>
      <c r="V1196" s="40">
        <v>0</v>
      </c>
      <c r="W1196" s="45">
        <f t="shared" si="63"/>
        <v>2742910.6027621659</v>
      </c>
      <c r="X1196" s="46">
        <f t="shared" si="64"/>
        <v>3.3564669146895132</v>
      </c>
    </row>
    <row r="1197" spans="1:24" s="4" customFormat="1" ht="15" customHeight="1">
      <c r="A1197" s="28" t="s">
        <v>1603</v>
      </c>
      <c r="B1197" s="29">
        <v>3149.63</v>
      </c>
      <c r="C1197" s="30" t="s">
        <v>1872</v>
      </c>
      <c r="D1197" s="2">
        <v>4948793511</v>
      </c>
      <c r="E1197" s="2" t="s">
        <v>27</v>
      </c>
      <c r="F1197" s="2" t="s">
        <v>1873</v>
      </c>
      <c r="G1197" s="28" t="s">
        <v>5</v>
      </c>
      <c r="H1197" s="2" t="s">
        <v>20</v>
      </c>
      <c r="I1197" s="2">
        <v>1</v>
      </c>
      <c r="J1197" s="2" t="s">
        <v>1874</v>
      </c>
      <c r="K1197" s="2">
        <v>1483.13</v>
      </c>
      <c r="L1197" s="35">
        <f t="shared" si="62"/>
        <v>4671310.7419000007</v>
      </c>
      <c r="M1197" s="36">
        <v>175.86</v>
      </c>
      <c r="N1197" s="40">
        <v>7165.8182108174997</v>
      </c>
      <c r="O1197" s="40">
        <v>8964.5657269824605</v>
      </c>
      <c r="P1197" s="40">
        <v>2926.03601460655</v>
      </c>
      <c r="Q1197" s="40">
        <v>2733.0614493778398</v>
      </c>
      <c r="R1197" s="40">
        <f>12578.7272448661+2482</f>
        <v>15060.727244866101</v>
      </c>
      <c r="S1197" s="40">
        <v>7801.6765586064903</v>
      </c>
      <c r="T1197" s="40"/>
      <c r="U1197" s="40">
        <v>63854.4359991827</v>
      </c>
      <c r="V1197" s="40">
        <v>0</v>
      </c>
      <c r="W1197" s="45">
        <f t="shared" si="63"/>
        <v>108506.32120443965</v>
      </c>
      <c r="X1197" s="46">
        <f t="shared" si="64"/>
        <v>2.3228238753456592</v>
      </c>
    </row>
    <row r="1198" spans="1:24" s="4" customFormat="1" ht="15" customHeight="1">
      <c r="A1198" s="28" t="s">
        <v>1603</v>
      </c>
      <c r="B1198" s="29">
        <v>3149.63</v>
      </c>
      <c r="C1198" s="30" t="s">
        <v>1872</v>
      </c>
      <c r="D1198" s="2">
        <v>4949594062</v>
      </c>
      <c r="E1198" s="2" t="s">
        <v>27</v>
      </c>
      <c r="F1198" s="2" t="s">
        <v>1873</v>
      </c>
      <c r="G1198" s="28" t="s">
        <v>5</v>
      </c>
      <c r="H1198" s="2" t="s">
        <v>20</v>
      </c>
      <c r="I1198" s="2">
        <v>1</v>
      </c>
      <c r="J1198" s="2" t="s">
        <v>1874</v>
      </c>
      <c r="K1198" s="2">
        <v>4108.6400000000003</v>
      </c>
      <c r="L1198" s="35">
        <f t="shared" si="62"/>
        <v>12940695.803200001</v>
      </c>
      <c r="M1198" s="36">
        <v>3366.24</v>
      </c>
      <c r="N1198" s="40">
        <v>137165.153496999</v>
      </c>
      <c r="O1198" s="40">
        <v>171596.04078697501</v>
      </c>
      <c r="P1198" s="40">
        <v>56008.981427323801</v>
      </c>
      <c r="Q1198" s="40">
        <v>52315.141438380902</v>
      </c>
      <c r="R1198" s="40">
        <f>240776.838398487+47502</f>
        <v>288278.83839848696</v>
      </c>
      <c r="S1198" s="40">
        <v>149336.49322554001</v>
      </c>
      <c r="T1198" s="40"/>
      <c r="U1198" s="40">
        <v>1222275.4272596899</v>
      </c>
      <c r="V1198" s="40">
        <v>0</v>
      </c>
      <c r="W1198" s="45">
        <f t="shared" si="63"/>
        <v>2076976.0760333957</v>
      </c>
      <c r="X1198" s="46">
        <f t="shared" si="64"/>
        <v>16.049956722727359</v>
      </c>
    </row>
    <row r="1199" spans="1:24" s="4" customFormat="1" ht="15" customHeight="1">
      <c r="A1199" s="28" t="s">
        <v>1603</v>
      </c>
      <c r="B1199" s="29">
        <v>3149.63</v>
      </c>
      <c r="C1199" s="30" t="s">
        <v>1875</v>
      </c>
      <c r="D1199" s="2">
        <v>4948618678</v>
      </c>
      <c r="E1199" s="2" t="s">
        <v>18</v>
      </c>
      <c r="F1199" s="2" t="s">
        <v>1876</v>
      </c>
      <c r="G1199" s="28" t="s">
        <v>5</v>
      </c>
      <c r="H1199" s="2" t="s">
        <v>32</v>
      </c>
      <c r="I1199" s="2">
        <v>1</v>
      </c>
      <c r="J1199" s="2" t="s">
        <v>1877</v>
      </c>
      <c r="K1199" s="2">
        <v>104275</v>
      </c>
      <c r="L1199" s="35">
        <f t="shared" si="62"/>
        <v>328427668.25</v>
      </c>
      <c r="M1199" s="36">
        <v>1920</v>
      </c>
      <c r="N1199" s="40">
        <v>221600.68085106401</v>
      </c>
      <c r="O1199" s="40">
        <v>222662.12765957401</v>
      </c>
      <c r="P1199" s="40">
        <v>0</v>
      </c>
      <c r="Q1199" s="40">
        <v>67614.638297872298</v>
      </c>
      <c r="R1199" s="40">
        <f>845481.531914894+136170</f>
        <v>981651.531914894</v>
      </c>
      <c r="S1199" s="40">
        <v>241263.65957446801</v>
      </c>
      <c r="T1199" s="40">
        <v>30000</v>
      </c>
      <c r="U1199" s="40">
        <v>3717708.2553191502</v>
      </c>
      <c r="V1199" s="40">
        <v>0</v>
      </c>
      <c r="W1199" s="45">
        <f t="shared" si="63"/>
        <v>5482500.8936170228</v>
      </c>
      <c r="X1199" s="46">
        <f t="shared" si="64"/>
        <v>1.6693176073837142</v>
      </c>
    </row>
    <row r="1200" spans="1:24" s="4" customFormat="1" ht="15" customHeight="1">
      <c r="A1200" s="28" t="s">
        <v>1603</v>
      </c>
      <c r="B1200" s="29">
        <v>3149.63</v>
      </c>
      <c r="C1200" s="30" t="s">
        <v>1875</v>
      </c>
      <c r="D1200" s="2">
        <v>4949536400</v>
      </c>
      <c r="E1200" s="2" t="s">
        <v>18</v>
      </c>
      <c r="F1200" s="2" t="s">
        <v>1876</v>
      </c>
      <c r="G1200" s="28" t="s">
        <v>5</v>
      </c>
      <c r="H1200" s="2" t="s">
        <v>32</v>
      </c>
      <c r="I1200" s="2">
        <v>1</v>
      </c>
      <c r="J1200" s="2" t="s">
        <v>1877</v>
      </c>
      <c r="K1200" s="2">
        <v>23044.799999999999</v>
      </c>
      <c r="L1200" s="35">
        <f t="shared" si="62"/>
        <v>72582593.423999995</v>
      </c>
      <c r="M1200" s="36">
        <v>480</v>
      </c>
      <c r="N1200" s="40">
        <v>55400.170212766003</v>
      </c>
      <c r="O1200" s="40">
        <v>55665.531914893603</v>
      </c>
      <c r="P1200" s="40">
        <v>0</v>
      </c>
      <c r="Q1200" s="40">
        <v>16903.6595744681</v>
      </c>
      <c r="R1200" s="40">
        <f>211370.382978723+34043</f>
        <v>245413.38297872301</v>
      </c>
      <c r="S1200" s="40">
        <v>60315.914893617002</v>
      </c>
      <c r="T1200" s="40">
        <v>30000</v>
      </c>
      <c r="U1200" s="40">
        <v>929427.06382978696</v>
      </c>
      <c r="V1200" s="40">
        <v>0</v>
      </c>
      <c r="W1200" s="45">
        <f t="shared" si="63"/>
        <v>1393125.7234042548</v>
      </c>
      <c r="X1200" s="46">
        <f t="shared" si="64"/>
        <v>1.919366142328564</v>
      </c>
    </row>
    <row r="1201" spans="1:24" s="4" customFormat="1" ht="15" customHeight="1">
      <c r="A1201" s="28" t="s">
        <v>1603</v>
      </c>
      <c r="B1201" s="29">
        <v>3149.63</v>
      </c>
      <c r="C1201" s="30" t="s">
        <v>1875</v>
      </c>
      <c r="D1201" s="2">
        <v>4949591595</v>
      </c>
      <c r="E1201" s="2" t="s">
        <v>14</v>
      </c>
      <c r="F1201" s="2" t="s">
        <v>1876</v>
      </c>
      <c r="G1201" s="28" t="s">
        <v>5</v>
      </c>
      <c r="H1201" s="2" t="s">
        <v>32</v>
      </c>
      <c r="I1201" s="2">
        <v>1</v>
      </c>
      <c r="J1201" s="2" t="s">
        <v>1877</v>
      </c>
      <c r="K1201" s="2">
        <v>18480</v>
      </c>
      <c r="L1201" s="35">
        <f t="shared" si="62"/>
        <v>58205162.399999999</v>
      </c>
      <c r="M1201" s="36">
        <v>420</v>
      </c>
      <c r="N1201" s="40">
        <v>48475.148936170197</v>
      </c>
      <c r="O1201" s="40">
        <v>48707.340425531896</v>
      </c>
      <c r="P1201" s="40">
        <v>0</v>
      </c>
      <c r="Q1201" s="40">
        <v>14790.702127659601</v>
      </c>
      <c r="R1201" s="40">
        <f>184949.085106383+29787</f>
        <v>214736.08510638299</v>
      </c>
      <c r="S1201" s="40">
        <v>52776.425531914902</v>
      </c>
      <c r="T1201" s="40">
        <v>30000</v>
      </c>
      <c r="U1201" s="40">
        <v>813248.68085106404</v>
      </c>
      <c r="V1201" s="40">
        <v>0</v>
      </c>
      <c r="W1201" s="45">
        <f t="shared" si="63"/>
        <v>1222734.3829787236</v>
      </c>
      <c r="X1201" s="46">
        <f t="shared" si="64"/>
        <v>2.100731846731732</v>
      </c>
    </row>
    <row r="1202" spans="1:24" s="4" customFormat="1" ht="15" customHeight="1">
      <c r="A1202" s="28" t="s">
        <v>1603</v>
      </c>
      <c r="B1202" s="29">
        <v>3149.63</v>
      </c>
      <c r="C1202" s="30" t="s">
        <v>1878</v>
      </c>
      <c r="D1202" s="2">
        <v>4949383313</v>
      </c>
      <c r="E1202" s="2" t="s">
        <v>38</v>
      </c>
      <c r="F1202" s="2" t="s">
        <v>1879</v>
      </c>
      <c r="G1202" s="28" t="s">
        <v>5</v>
      </c>
      <c r="H1202" s="2" t="s">
        <v>17</v>
      </c>
      <c r="I1202" s="2">
        <v>1</v>
      </c>
      <c r="J1202" s="2" t="s">
        <v>1880</v>
      </c>
      <c r="K1202" s="2">
        <v>25270</v>
      </c>
      <c r="L1202" s="35">
        <f t="shared" si="62"/>
        <v>79591150.100000009</v>
      </c>
      <c r="M1202" s="36">
        <v>19000</v>
      </c>
      <c r="N1202" s="40">
        <v>471488</v>
      </c>
      <c r="O1202" s="40">
        <v>429032</v>
      </c>
      <c r="P1202" s="40">
        <v>0</v>
      </c>
      <c r="Q1202" s="40">
        <v>99309</v>
      </c>
      <c r="R1202" s="40">
        <v>729082</v>
      </c>
      <c r="S1202" s="40">
        <v>354356</v>
      </c>
      <c r="T1202" s="40"/>
      <c r="U1202" s="40">
        <v>6275900</v>
      </c>
      <c r="V1202" s="40">
        <v>0</v>
      </c>
      <c r="W1202" s="45">
        <f t="shared" si="63"/>
        <v>8359167</v>
      </c>
      <c r="X1202" s="46">
        <f t="shared" si="64"/>
        <v>10.502633759528999</v>
      </c>
    </row>
    <row r="1203" spans="1:24" s="4" customFormat="1" ht="15" customHeight="1">
      <c r="A1203" s="28" t="s">
        <v>1603</v>
      </c>
      <c r="B1203" s="29">
        <v>3149.63</v>
      </c>
      <c r="C1203" s="30" t="s">
        <v>1881</v>
      </c>
      <c r="D1203" s="2">
        <v>4948992945</v>
      </c>
      <c r="E1203" s="2" t="s">
        <v>18</v>
      </c>
      <c r="F1203" s="2" t="s">
        <v>1882</v>
      </c>
      <c r="G1203" s="28" t="s">
        <v>9</v>
      </c>
      <c r="H1203" s="2" t="s">
        <v>23</v>
      </c>
      <c r="I1203" s="2">
        <v>3</v>
      </c>
      <c r="J1203" s="2"/>
      <c r="K1203" s="2">
        <v>33293</v>
      </c>
      <c r="L1203" s="35">
        <f t="shared" si="62"/>
        <v>104860631.59</v>
      </c>
      <c r="M1203" s="36">
        <v>1300</v>
      </c>
      <c r="N1203" s="40">
        <v>504082</v>
      </c>
      <c r="O1203" s="40">
        <v>1760</v>
      </c>
      <c r="P1203" s="40">
        <v>13625</v>
      </c>
      <c r="Q1203" s="40">
        <v>21871</v>
      </c>
      <c r="R1203" s="40">
        <v>252772</v>
      </c>
      <c r="S1203" s="40">
        <v>354356</v>
      </c>
      <c r="T1203" s="40">
        <v>30000</v>
      </c>
      <c r="U1203" s="40">
        <v>744560.30150753795</v>
      </c>
      <c r="V1203" s="40">
        <v>0</v>
      </c>
      <c r="W1203" s="45">
        <f t="shared" si="63"/>
        <v>1923026.301507538</v>
      </c>
      <c r="X1203" s="46">
        <f t="shared" si="64"/>
        <v>1.8338877730838754</v>
      </c>
    </row>
    <row r="1204" spans="1:24" s="4" customFormat="1" ht="15" customHeight="1">
      <c r="A1204" s="28" t="s">
        <v>1603</v>
      </c>
      <c r="B1204" s="29">
        <v>3149.63</v>
      </c>
      <c r="C1204" s="30" t="s">
        <v>1883</v>
      </c>
      <c r="D1204" s="2">
        <v>4948985827</v>
      </c>
      <c r="E1204" s="2" t="s">
        <v>18</v>
      </c>
      <c r="F1204" s="2" t="s">
        <v>1884</v>
      </c>
      <c r="G1204" s="28" t="s">
        <v>9</v>
      </c>
      <c r="H1204" s="2" t="s">
        <v>23</v>
      </c>
      <c r="I1204" s="2">
        <v>1</v>
      </c>
      <c r="J1204" s="2"/>
      <c r="K1204" s="2">
        <v>7247.25</v>
      </c>
      <c r="L1204" s="35">
        <f t="shared" si="62"/>
        <v>22826156.017500002</v>
      </c>
      <c r="M1204" s="36">
        <v>225</v>
      </c>
      <c r="N1204" s="40">
        <v>362872</v>
      </c>
      <c r="O1204" s="40">
        <v>314</v>
      </c>
      <c r="P1204" s="40">
        <v>2361</v>
      </c>
      <c r="Q1204" s="40">
        <v>4779</v>
      </c>
      <c r="R1204" s="40">
        <v>368588</v>
      </c>
      <c r="S1204" s="40">
        <v>354356</v>
      </c>
      <c r="T1204" s="40">
        <v>30000</v>
      </c>
      <c r="U1204" s="40">
        <v>142842.465753425</v>
      </c>
      <c r="V1204" s="40">
        <v>0</v>
      </c>
      <c r="W1204" s="45">
        <f t="shared" si="63"/>
        <v>1266112.4657534249</v>
      </c>
      <c r="X1204" s="46">
        <f t="shared" si="64"/>
        <v>5.5467616395101373</v>
      </c>
    </row>
    <row r="1205" spans="1:24" s="4" customFormat="1" ht="15" customHeight="1">
      <c r="A1205" s="28" t="s">
        <v>1603</v>
      </c>
      <c r="B1205" s="29">
        <v>3149.63</v>
      </c>
      <c r="C1205" s="30" t="s">
        <v>1885</v>
      </c>
      <c r="D1205" s="2">
        <v>4949416075</v>
      </c>
      <c r="E1205" s="2" t="s">
        <v>14</v>
      </c>
      <c r="F1205" s="78" t="s">
        <v>1886</v>
      </c>
      <c r="G1205" s="28" t="s">
        <v>9</v>
      </c>
      <c r="H1205" s="2" t="s">
        <v>23</v>
      </c>
      <c r="I1205" s="2">
        <v>2</v>
      </c>
      <c r="J1205" s="2"/>
      <c r="K1205" s="2">
        <v>2481.6</v>
      </c>
      <c r="L1205" s="35">
        <f t="shared" si="62"/>
        <v>7816121.8080000002</v>
      </c>
      <c r="M1205" s="36">
        <v>880</v>
      </c>
      <c r="N1205" s="40">
        <v>538030</v>
      </c>
      <c r="O1205" s="40">
        <v>605</v>
      </c>
      <c r="P1205" s="40">
        <v>9154</v>
      </c>
      <c r="Q1205" s="40">
        <v>14764</v>
      </c>
      <c r="R1205" s="40">
        <v>95278</v>
      </c>
      <c r="S1205" s="40">
        <v>354356</v>
      </c>
      <c r="T1205" s="40">
        <v>30000</v>
      </c>
      <c r="U1205" s="40">
        <v>350169.81492081698</v>
      </c>
      <c r="V1205" s="40">
        <v>0</v>
      </c>
      <c r="W1205" s="45">
        <f t="shared" si="63"/>
        <v>1392356.814920817</v>
      </c>
      <c r="X1205" s="46">
        <f t="shared" si="64"/>
        <v>17.813908855613079</v>
      </c>
    </row>
    <row r="1206" spans="1:24" s="4" customFormat="1" ht="15" customHeight="1">
      <c r="A1206" s="28" t="s">
        <v>1603</v>
      </c>
      <c r="B1206" s="29">
        <v>3149.63</v>
      </c>
      <c r="C1206" s="30" t="s">
        <v>1887</v>
      </c>
      <c r="D1206" s="2">
        <v>4949570840</v>
      </c>
      <c r="E1206" s="2" t="s">
        <v>24</v>
      </c>
      <c r="F1206" s="2" t="s">
        <v>1888</v>
      </c>
      <c r="G1206" s="28" t="s">
        <v>9</v>
      </c>
      <c r="H1206" s="2" t="s">
        <v>23</v>
      </c>
      <c r="I1206" s="2">
        <v>3</v>
      </c>
      <c r="J1206" s="2"/>
      <c r="K1206" s="2">
        <v>8911</v>
      </c>
      <c r="L1206" s="35">
        <f t="shared" si="62"/>
        <v>28066352.93</v>
      </c>
      <c r="M1206" s="36">
        <v>1900</v>
      </c>
      <c r="N1206" s="40">
        <v>731257.24604966096</v>
      </c>
      <c r="O1206" s="40">
        <v>1361.30925507901</v>
      </c>
      <c r="P1206" s="40">
        <v>26249.164785552999</v>
      </c>
      <c r="Q1206" s="40">
        <v>41178.961625282202</v>
      </c>
      <c r="R1206" s="40">
        <v>120075.711060948</v>
      </c>
      <c r="S1206" s="40">
        <v>303962.257336343</v>
      </c>
      <c r="T1206" s="40"/>
      <c r="U1206" s="40">
        <v>995590.45226130704</v>
      </c>
      <c r="V1206" s="40">
        <v>0</v>
      </c>
      <c r="W1206" s="45">
        <f t="shared" si="63"/>
        <v>2219675.1023741732</v>
      </c>
      <c r="X1206" s="46">
        <f t="shared" si="64"/>
        <v>7.9086695300605747</v>
      </c>
    </row>
    <row r="1207" spans="1:24" s="4" customFormat="1" ht="15" customHeight="1">
      <c r="A1207" s="28" t="s">
        <v>1603</v>
      </c>
      <c r="B1207" s="29">
        <v>3149.63</v>
      </c>
      <c r="C1207" s="30" t="s">
        <v>1887</v>
      </c>
      <c r="D1207" s="2">
        <v>4949627016</v>
      </c>
      <c r="E1207" s="2" t="s">
        <v>24</v>
      </c>
      <c r="F1207" s="2" t="s">
        <v>1888</v>
      </c>
      <c r="G1207" s="28" t="s">
        <v>9</v>
      </c>
      <c r="H1207" s="2" t="s">
        <v>23</v>
      </c>
      <c r="I1207" s="2">
        <v>3</v>
      </c>
      <c r="J1207" s="2"/>
      <c r="K1207" s="2">
        <v>1108.8</v>
      </c>
      <c r="L1207" s="35">
        <f t="shared" si="62"/>
        <v>3492309.7439999999</v>
      </c>
      <c r="M1207" s="36">
        <v>180</v>
      </c>
      <c r="N1207" s="40">
        <v>69277.002257336295</v>
      </c>
      <c r="O1207" s="40">
        <v>128.96613995485299</v>
      </c>
      <c r="P1207" s="40">
        <v>2486.7629796839701</v>
      </c>
      <c r="Q1207" s="40">
        <v>3901.16478555305</v>
      </c>
      <c r="R1207" s="40">
        <v>11375.593679458199</v>
      </c>
      <c r="S1207" s="40">
        <v>28796.4243792325</v>
      </c>
      <c r="T1207" s="40"/>
      <c r="U1207" s="40">
        <v>94319.095477386902</v>
      </c>
      <c r="V1207" s="40">
        <v>0</v>
      </c>
      <c r="W1207" s="45">
        <f t="shared" si="63"/>
        <v>210285.00969860575</v>
      </c>
      <c r="X1207" s="46">
        <f t="shared" si="64"/>
        <v>6.0213733922052057</v>
      </c>
    </row>
    <row r="1208" spans="1:24" s="4" customFormat="1" ht="15" customHeight="1">
      <c r="A1208" s="28" t="s">
        <v>1603</v>
      </c>
      <c r="B1208" s="29">
        <v>3149.63</v>
      </c>
      <c r="C1208" s="30" t="s">
        <v>1887</v>
      </c>
      <c r="D1208" s="2">
        <v>4949596127</v>
      </c>
      <c r="E1208" s="2" t="s">
        <v>24</v>
      </c>
      <c r="F1208" s="2" t="s">
        <v>1888</v>
      </c>
      <c r="G1208" s="28" t="s">
        <v>9</v>
      </c>
      <c r="H1208" s="2" t="s">
        <v>23</v>
      </c>
      <c r="I1208" s="2">
        <v>3</v>
      </c>
      <c r="J1208" s="2"/>
      <c r="K1208" s="2">
        <v>1166.4000000000001</v>
      </c>
      <c r="L1208" s="35">
        <f t="shared" si="62"/>
        <v>3673728.4320000005</v>
      </c>
      <c r="M1208" s="36">
        <v>135</v>
      </c>
      <c r="N1208" s="40">
        <v>51957.751693002298</v>
      </c>
      <c r="O1208" s="40">
        <v>96.724604966140006</v>
      </c>
      <c r="P1208" s="40">
        <v>1865.0722347629801</v>
      </c>
      <c r="Q1208" s="40">
        <v>2925.8735891647898</v>
      </c>
      <c r="R1208" s="40">
        <v>8531.69525959368</v>
      </c>
      <c r="S1208" s="40">
        <v>21597.3182844244</v>
      </c>
      <c r="T1208" s="40"/>
      <c r="U1208" s="40">
        <v>70739.321608040205</v>
      </c>
      <c r="V1208" s="40">
        <v>0</v>
      </c>
      <c r="W1208" s="45">
        <f t="shared" si="63"/>
        <v>157713.75727395451</v>
      </c>
      <c r="X1208" s="46">
        <f t="shared" si="64"/>
        <v>4.293016214812976</v>
      </c>
    </row>
    <row r="1209" spans="1:24" s="4" customFormat="1" ht="15" customHeight="1">
      <c r="A1209" s="28" t="s">
        <v>1603</v>
      </c>
      <c r="B1209" s="29">
        <v>3149.63</v>
      </c>
      <c r="C1209" s="30" t="s">
        <v>1889</v>
      </c>
      <c r="D1209" s="2">
        <v>4949651596</v>
      </c>
      <c r="E1209" s="2" t="s">
        <v>21</v>
      </c>
      <c r="F1209" s="2" t="s">
        <v>1890</v>
      </c>
      <c r="G1209" s="28" t="s">
        <v>5</v>
      </c>
      <c r="H1209" s="2" t="s">
        <v>17</v>
      </c>
      <c r="I1209" s="2">
        <v>1</v>
      </c>
      <c r="J1209" s="2" t="s">
        <v>1891</v>
      </c>
      <c r="K1209" s="2">
        <v>82555.199999999997</v>
      </c>
      <c r="L1209" s="35">
        <f t="shared" si="62"/>
        <v>260018334.57600001</v>
      </c>
      <c r="M1209" s="36">
        <v>12700.8</v>
      </c>
      <c r="N1209" s="40">
        <v>467148</v>
      </c>
      <c r="O1209" s="40">
        <v>429032</v>
      </c>
      <c r="P1209" s="40">
        <v>0</v>
      </c>
      <c r="Q1209" s="40">
        <v>99309</v>
      </c>
      <c r="R1209" s="40">
        <v>732066</v>
      </c>
      <c r="S1209" s="40">
        <v>354356</v>
      </c>
      <c r="T1209" s="40"/>
      <c r="U1209" s="40">
        <v>4816050</v>
      </c>
      <c r="V1209" s="40">
        <v>0</v>
      </c>
      <c r="W1209" s="45">
        <f t="shared" si="63"/>
        <v>6897961</v>
      </c>
      <c r="X1209" s="46">
        <f t="shared" si="64"/>
        <v>2.6528748487094918</v>
      </c>
    </row>
    <row r="1210" spans="1:24" s="4" customFormat="1" ht="15" customHeight="1">
      <c r="A1210" s="28" t="s">
        <v>1603</v>
      </c>
      <c r="B1210" s="29">
        <v>3149.63</v>
      </c>
      <c r="C1210" s="30" t="s">
        <v>1892</v>
      </c>
      <c r="D1210" s="2">
        <v>4948185788</v>
      </c>
      <c r="E1210" s="2" t="s">
        <v>6</v>
      </c>
      <c r="F1210" s="2" t="s">
        <v>1893</v>
      </c>
      <c r="G1210" s="28" t="s">
        <v>5</v>
      </c>
      <c r="H1210" s="2" t="s">
        <v>17</v>
      </c>
      <c r="I1210" s="2">
        <v>1</v>
      </c>
      <c r="J1210" s="2" t="s">
        <v>1894</v>
      </c>
      <c r="K1210" s="2">
        <v>271814.40000000002</v>
      </c>
      <c r="L1210" s="35">
        <f t="shared" si="62"/>
        <v>856114788.67200005</v>
      </c>
      <c r="M1210" s="36">
        <v>9504</v>
      </c>
      <c r="N1210" s="40">
        <v>307012</v>
      </c>
      <c r="O1210" s="40">
        <v>534687</v>
      </c>
      <c r="P1210" s="40">
        <v>0</v>
      </c>
      <c r="Q1210" s="40">
        <v>124137</v>
      </c>
      <c r="R1210" s="40">
        <v>719904</v>
      </c>
      <c r="S1210" s="40">
        <v>354356</v>
      </c>
      <c r="T1210" s="40">
        <v>30000</v>
      </c>
      <c r="U1210" s="40">
        <v>4719050</v>
      </c>
      <c r="V1210" s="40">
        <v>1335000</v>
      </c>
      <c r="W1210" s="45">
        <f t="shared" si="63"/>
        <v>8124146</v>
      </c>
      <c r="X1210" s="46">
        <f t="shared" si="64"/>
        <v>0.94895522276891453</v>
      </c>
    </row>
    <row r="1211" spans="1:24" s="4" customFormat="1" ht="15" customHeight="1">
      <c r="A1211" s="28" t="s">
        <v>1603</v>
      </c>
      <c r="B1211" s="29">
        <v>3149.63</v>
      </c>
      <c r="C1211" s="30" t="s">
        <v>1895</v>
      </c>
      <c r="D1211" s="2">
        <v>4949387719</v>
      </c>
      <c r="E1211" s="2" t="s">
        <v>36</v>
      </c>
      <c r="F1211" s="2" t="s">
        <v>1896</v>
      </c>
      <c r="G1211" s="28" t="s">
        <v>5</v>
      </c>
      <c r="H1211" s="2" t="s">
        <v>20</v>
      </c>
      <c r="I1211" s="2">
        <v>3</v>
      </c>
      <c r="J1211" s="2" t="s">
        <v>1897</v>
      </c>
      <c r="K1211" s="2">
        <v>102375</v>
      </c>
      <c r="L1211" s="35">
        <f t="shared" si="62"/>
        <v>322443371.25</v>
      </c>
      <c r="M1211" s="36">
        <v>58500</v>
      </c>
      <c r="N1211" s="40">
        <v>896758</v>
      </c>
      <c r="O1211" s="40">
        <v>981107</v>
      </c>
      <c r="P1211" s="40">
        <v>667281</v>
      </c>
      <c r="Q1211" s="40">
        <v>297928</v>
      </c>
      <c r="R1211" s="40">
        <v>4685920</v>
      </c>
      <c r="S1211" s="40">
        <v>354356</v>
      </c>
      <c r="T1211" s="40"/>
      <c r="U1211" s="40">
        <v>1557900</v>
      </c>
      <c r="V1211" s="40">
        <v>0</v>
      </c>
      <c r="W1211" s="45">
        <f t="shared" si="63"/>
        <v>9441250</v>
      </c>
      <c r="X1211" s="46">
        <f t="shared" si="64"/>
        <v>2.9280335221033016</v>
      </c>
    </row>
    <row r="1212" spans="1:24" s="4" customFormat="1" ht="15" customHeight="1">
      <c r="A1212" s="28" t="s">
        <v>1603</v>
      </c>
      <c r="B1212" s="29">
        <v>3149.63</v>
      </c>
      <c r="C1212" s="30" t="s">
        <v>1898</v>
      </c>
      <c r="D1212" s="2">
        <v>4949570838</v>
      </c>
      <c r="E1212" s="2" t="s">
        <v>24</v>
      </c>
      <c r="F1212" s="2" t="s">
        <v>1899</v>
      </c>
      <c r="G1212" s="28" t="s">
        <v>9</v>
      </c>
      <c r="H1212" s="2" t="s">
        <v>23</v>
      </c>
      <c r="I1212" s="2">
        <v>4</v>
      </c>
      <c r="J1212" s="2"/>
      <c r="K1212" s="2">
        <v>10414.74</v>
      </c>
      <c r="L1212" s="35">
        <f t="shared" si="62"/>
        <v>32802577.5462</v>
      </c>
      <c r="M1212" s="36">
        <v>2534</v>
      </c>
      <c r="N1212" s="40">
        <v>495997</v>
      </c>
      <c r="O1212" s="40">
        <v>1795</v>
      </c>
      <c r="P1212" s="40">
        <v>0</v>
      </c>
      <c r="Q1212" s="40">
        <v>46213</v>
      </c>
      <c r="R1212" s="40">
        <v>123699</v>
      </c>
      <c r="S1212" s="40">
        <v>354356</v>
      </c>
      <c r="T1212" s="40"/>
      <c r="U1212" s="40">
        <v>1367700</v>
      </c>
      <c r="V1212" s="40">
        <v>0</v>
      </c>
      <c r="W1212" s="45">
        <f t="shared" si="63"/>
        <v>2389760</v>
      </c>
      <c r="X1212" s="46">
        <f t="shared" si="64"/>
        <v>7.2852811540013898</v>
      </c>
    </row>
    <row r="1213" spans="1:24" s="4" customFormat="1" ht="15" customHeight="1">
      <c r="A1213" s="28" t="s">
        <v>1603</v>
      </c>
      <c r="B1213" s="29">
        <v>3149.63</v>
      </c>
      <c r="C1213" s="30" t="s">
        <v>1900</v>
      </c>
      <c r="D1213" s="2">
        <v>4949591594</v>
      </c>
      <c r="E1213" s="2" t="s">
        <v>14</v>
      </c>
      <c r="F1213" s="2" t="s">
        <v>1901</v>
      </c>
      <c r="G1213" s="28" t="s">
        <v>9</v>
      </c>
      <c r="H1213" s="2" t="s">
        <v>23</v>
      </c>
      <c r="I1213" s="2">
        <v>2</v>
      </c>
      <c r="J1213" s="2"/>
      <c r="K1213" s="2">
        <v>22648</v>
      </c>
      <c r="L1213" s="35">
        <f t="shared" si="62"/>
        <v>71332820.24000001</v>
      </c>
      <c r="M1213" s="36">
        <v>800</v>
      </c>
      <c r="N1213" s="40">
        <v>506620</v>
      </c>
      <c r="O1213" s="40">
        <v>526</v>
      </c>
      <c r="P1213" s="40">
        <v>0</v>
      </c>
      <c r="Q1213" s="40">
        <v>13785</v>
      </c>
      <c r="R1213" s="40">
        <v>94951</v>
      </c>
      <c r="S1213" s="40">
        <v>354356</v>
      </c>
      <c r="T1213" s="40">
        <v>30000</v>
      </c>
      <c r="U1213" s="40">
        <v>625234.28571428603</v>
      </c>
      <c r="V1213" s="40">
        <v>0</v>
      </c>
      <c r="W1213" s="45">
        <f t="shared" si="63"/>
        <v>1625472.2857142859</v>
      </c>
      <c r="X1213" s="46">
        <f t="shared" si="64"/>
        <v>2.2787158565235015</v>
      </c>
    </row>
    <row r="1214" spans="1:24" s="4" customFormat="1" ht="15" customHeight="1">
      <c r="A1214" s="28" t="s">
        <v>1603</v>
      </c>
      <c r="B1214" s="29">
        <v>3149.63</v>
      </c>
      <c r="C1214" s="30" t="s">
        <v>1902</v>
      </c>
      <c r="D1214" s="2">
        <v>4949387723</v>
      </c>
      <c r="E1214" s="2" t="s">
        <v>36</v>
      </c>
      <c r="F1214" s="2" t="s">
        <v>1903</v>
      </c>
      <c r="G1214" s="28" t="s">
        <v>5</v>
      </c>
      <c r="H1214" s="2" t="s">
        <v>20</v>
      </c>
      <c r="I1214" s="2">
        <v>3</v>
      </c>
      <c r="J1214" s="2" t="s">
        <v>1904</v>
      </c>
      <c r="K1214" s="2">
        <v>102375</v>
      </c>
      <c r="L1214" s="35">
        <f t="shared" si="62"/>
        <v>322443371.25</v>
      </c>
      <c r="M1214" s="36">
        <v>58500</v>
      </c>
      <c r="N1214" s="40">
        <v>896758</v>
      </c>
      <c r="O1214" s="40">
        <v>981107</v>
      </c>
      <c r="P1214" s="40">
        <v>667281</v>
      </c>
      <c r="Q1214" s="40">
        <v>297928</v>
      </c>
      <c r="R1214" s="40">
        <v>4685920</v>
      </c>
      <c r="S1214" s="40">
        <v>354356</v>
      </c>
      <c r="T1214" s="40"/>
      <c r="U1214" s="40">
        <v>1557900</v>
      </c>
      <c r="V1214" s="40">
        <v>0</v>
      </c>
      <c r="W1214" s="45">
        <f t="shared" si="63"/>
        <v>9441250</v>
      </c>
      <c r="X1214" s="46">
        <f t="shared" si="64"/>
        <v>2.9280335221033016</v>
      </c>
    </row>
    <row r="1215" spans="1:24" s="4" customFormat="1" ht="15" customHeight="1">
      <c r="A1215" s="28" t="s">
        <v>1603</v>
      </c>
      <c r="B1215" s="29">
        <v>3149.63</v>
      </c>
      <c r="C1215" s="30" t="s">
        <v>1905</v>
      </c>
      <c r="D1215" s="2">
        <v>4949168412</v>
      </c>
      <c r="E1215" s="2" t="s">
        <v>36</v>
      </c>
      <c r="F1215" s="2" t="s">
        <v>1906</v>
      </c>
      <c r="G1215" s="28" t="s">
        <v>5</v>
      </c>
      <c r="H1215" s="2" t="s">
        <v>26</v>
      </c>
      <c r="I1215" s="2">
        <v>4</v>
      </c>
      <c r="J1215" s="2" t="s">
        <v>1907</v>
      </c>
      <c r="K1215" s="2">
        <v>70866</v>
      </c>
      <c r="L1215" s="35">
        <f t="shared" si="62"/>
        <v>223201679.58000001</v>
      </c>
      <c r="M1215" s="36">
        <v>76200</v>
      </c>
      <c r="N1215" s="40">
        <v>1282923</v>
      </c>
      <c r="O1215" s="40">
        <v>1992976</v>
      </c>
      <c r="P1215" s="40">
        <v>4116045</v>
      </c>
      <c r="Q1215" s="40">
        <v>496548</v>
      </c>
      <c r="R1215" s="40">
        <v>3544365</v>
      </c>
      <c r="S1215" s="40">
        <v>354356</v>
      </c>
      <c r="T1215" s="40"/>
      <c r="U1215" s="40">
        <v>0</v>
      </c>
      <c r="V1215" s="40">
        <v>0</v>
      </c>
      <c r="W1215" s="45">
        <f t="shared" si="63"/>
        <v>11787213</v>
      </c>
      <c r="X1215" s="46">
        <f t="shared" si="64"/>
        <v>5.2809696693053887</v>
      </c>
    </row>
    <row r="1216" spans="1:24" s="4" customFormat="1" ht="15" customHeight="1">
      <c r="A1216" s="28" t="s">
        <v>1603</v>
      </c>
      <c r="B1216" s="29">
        <v>3149.63</v>
      </c>
      <c r="C1216" s="30" t="s">
        <v>1908</v>
      </c>
      <c r="D1216" s="2">
        <v>4949590084</v>
      </c>
      <c r="E1216" s="2" t="s">
        <v>14</v>
      </c>
      <c r="F1216" s="2" t="s">
        <v>1909</v>
      </c>
      <c r="G1216" s="28" t="s">
        <v>9</v>
      </c>
      <c r="H1216" s="2" t="s">
        <v>23</v>
      </c>
      <c r="I1216" s="2">
        <v>1</v>
      </c>
      <c r="J1216" s="2"/>
      <c r="K1216" s="2">
        <v>1465</v>
      </c>
      <c r="L1216" s="35">
        <f t="shared" si="62"/>
        <v>4614207.95</v>
      </c>
      <c r="M1216" s="36">
        <v>50</v>
      </c>
      <c r="N1216" s="40">
        <v>453213</v>
      </c>
      <c r="O1216" s="40">
        <v>63</v>
      </c>
      <c r="P1216" s="40">
        <v>0</v>
      </c>
      <c r="Q1216" s="40">
        <v>1254</v>
      </c>
      <c r="R1216" s="40">
        <v>80613.820000000007</v>
      </c>
      <c r="S1216" s="40">
        <v>354356</v>
      </c>
      <c r="T1216" s="40">
        <v>30000</v>
      </c>
      <c r="U1216" s="40">
        <v>19861.9047619048</v>
      </c>
      <c r="V1216" s="40">
        <v>0</v>
      </c>
      <c r="W1216" s="45">
        <f t="shared" si="63"/>
        <v>939361.72476190492</v>
      </c>
      <c r="X1216" s="46">
        <f t="shared" si="64"/>
        <v>20.358027530204936</v>
      </c>
    </row>
    <row r="1217" spans="1:24" s="4" customFormat="1" ht="15" customHeight="1">
      <c r="A1217" s="28" t="s">
        <v>1603</v>
      </c>
      <c r="B1217" s="29">
        <v>3149.63</v>
      </c>
      <c r="C1217" s="30" t="s">
        <v>1910</v>
      </c>
      <c r="D1217" s="2">
        <v>4949387711</v>
      </c>
      <c r="E1217" s="2" t="s">
        <v>36</v>
      </c>
      <c r="F1217" s="2" t="s">
        <v>1911</v>
      </c>
      <c r="G1217" s="28" t="s">
        <v>5</v>
      </c>
      <c r="H1217" s="2" t="s">
        <v>20</v>
      </c>
      <c r="I1217" s="2">
        <v>3</v>
      </c>
      <c r="J1217" s="2" t="s">
        <v>1912</v>
      </c>
      <c r="K1217" s="2">
        <v>109980</v>
      </c>
      <c r="L1217" s="35">
        <f t="shared" si="62"/>
        <v>346396307.40000004</v>
      </c>
      <c r="M1217" s="36">
        <v>58500</v>
      </c>
      <c r="N1217" s="40">
        <v>910698</v>
      </c>
      <c r="O1217" s="40">
        <v>981107</v>
      </c>
      <c r="P1217" s="40">
        <v>1292076</v>
      </c>
      <c r="Q1217" s="40">
        <v>297928</v>
      </c>
      <c r="R1217" s="40">
        <v>2590300</v>
      </c>
      <c r="S1217" s="40">
        <v>354356</v>
      </c>
      <c r="T1217" s="40"/>
      <c r="U1217" s="40">
        <v>1557900</v>
      </c>
      <c r="V1217" s="40">
        <v>0</v>
      </c>
      <c r="W1217" s="45">
        <f t="shared" si="63"/>
        <v>7984365</v>
      </c>
      <c r="X1217" s="46">
        <f t="shared" si="64"/>
        <v>2.3049798249668059</v>
      </c>
    </row>
    <row r="1218" spans="1:24" s="4" customFormat="1" ht="15" customHeight="1">
      <c r="A1218" s="28" t="s">
        <v>1603</v>
      </c>
      <c r="B1218" s="29">
        <v>3149.63</v>
      </c>
      <c r="C1218" s="30" t="s">
        <v>1913</v>
      </c>
      <c r="D1218" s="2">
        <v>4947224354</v>
      </c>
      <c r="E1218" s="2" t="s">
        <v>6</v>
      </c>
      <c r="F1218" s="2" t="s">
        <v>1914</v>
      </c>
      <c r="G1218" s="28" t="s">
        <v>5</v>
      </c>
      <c r="H1218" s="2" t="s">
        <v>17</v>
      </c>
      <c r="I1218" s="2">
        <v>1</v>
      </c>
      <c r="J1218" s="2" t="s">
        <v>1915</v>
      </c>
      <c r="K1218" s="2">
        <v>34752</v>
      </c>
      <c r="L1218" s="35">
        <f t="shared" si="62"/>
        <v>109455941.76000001</v>
      </c>
      <c r="M1218" s="36">
        <v>10560</v>
      </c>
      <c r="N1218" s="40">
        <v>471488</v>
      </c>
      <c r="O1218" s="40">
        <v>534687</v>
      </c>
      <c r="P1218" s="40">
        <v>0</v>
      </c>
      <c r="Q1218" s="40">
        <v>124137</v>
      </c>
      <c r="R1218" s="40">
        <v>858547</v>
      </c>
      <c r="S1218" s="40">
        <v>354356</v>
      </c>
      <c r="T1218" s="40">
        <v>30000</v>
      </c>
      <c r="U1218" s="40">
        <v>4719050</v>
      </c>
      <c r="V1218" s="40">
        <v>0</v>
      </c>
      <c r="W1218" s="45">
        <f t="shared" si="63"/>
        <v>7092265</v>
      </c>
      <c r="X1218" s="46">
        <f t="shared" si="64"/>
        <v>6.4795614435906517</v>
      </c>
    </row>
    <row r="1219" spans="1:24" s="4" customFormat="1" ht="15" customHeight="1">
      <c r="A1219" s="28" t="s">
        <v>1603</v>
      </c>
      <c r="B1219" s="29">
        <v>3149.63</v>
      </c>
      <c r="C1219" s="30" t="s">
        <v>1916</v>
      </c>
      <c r="D1219" s="2">
        <v>4949046593</v>
      </c>
      <c r="E1219" s="2" t="s">
        <v>33</v>
      </c>
      <c r="F1219" s="2" t="s">
        <v>1917</v>
      </c>
      <c r="G1219" s="28" t="s">
        <v>9</v>
      </c>
      <c r="H1219" s="2" t="s">
        <v>23</v>
      </c>
      <c r="I1219" s="2">
        <v>2</v>
      </c>
      <c r="J1219" s="2"/>
      <c r="K1219" s="2">
        <v>9143</v>
      </c>
      <c r="L1219" s="35">
        <f t="shared" si="62"/>
        <v>28797067.09</v>
      </c>
      <c r="M1219" s="36">
        <v>5600</v>
      </c>
      <c r="N1219" s="40">
        <v>629814</v>
      </c>
      <c r="O1219" s="40">
        <v>1441</v>
      </c>
      <c r="P1219" s="40">
        <v>121771</v>
      </c>
      <c r="Q1219" s="40">
        <v>36572</v>
      </c>
      <c r="R1219" s="40">
        <v>117460</v>
      </c>
      <c r="S1219" s="40">
        <v>354356</v>
      </c>
      <c r="T1219" s="40"/>
      <c r="U1219" s="40">
        <v>1396800</v>
      </c>
      <c r="V1219" s="40">
        <v>0</v>
      </c>
      <c r="W1219" s="45">
        <f t="shared" si="63"/>
        <v>2658214</v>
      </c>
      <c r="X1219" s="46">
        <f t="shared" si="64"/>
        <v>9.2308497656800785</v>
      </c>
    </row>
    <row r="1220" spans="1:24" s="4" customFormat="1" ht="15" customHeight="1">
      <c r="A1220" s="28" t="s">
        <v>1603</v>
      </c>
      <c r="B1220" s="29">
        <v>3149.63</v>
      </c>
      <c r="C1220" s="30" t="s">
        <v>1918</v>
      </c>
      <c r="D1220" s="2" t="s">
        <v>1919</v>
      </c>
      <c r="E1220" s="2" t="s">
        <v>14</v>
      </c>
      <c r="F1220" s="78" t="s">
        <v>1920</v>
      </c>
      <c r="G1220" s="28" t="s">
        <v>5</v>
      </c>
      <c r="H1220" s="2" t="s">
        <v>26</v>
      </c>
      <c r="I1220" s="2">
        <v>1</v>
      </c>
      <c r="J1220" s="2" t="s">
        <v>1921</v>
      </c>
      <c r="K1220" s="2">
        <v>34974</v>
      </c>
      <c r="L1220" s="35">
        <f t="shared" si="62"/>
        <v>110155159.62</v>
      </c>
      <c r="M1220" s="36">
        <v>20100</v>
      </c>
      <c r="N1220" s="40">
        <v>318180</v>
      </c>
      <c r="O1220" s="40">
        <v>399890</v>
      </c>
      <c r="P1220" s="40">
        <v>965148</v>
      </c>
      <c r="Q1220" s="40">
        <v>99309</v>
      </c>
      <c r="R1220" s="40">
        <v>603809</v>
      </c>
      <c r="S1220" s="40">
        <v>354356</v>
      </c>
      <c r="T1220" s="40">
        <v>30000</v>
      </c>
      <c r="U1220" s="40">
        <v>0</v>
      </c>
      <c r="V1220" s="40">
        <v>0</v>
      </c>
      <c r="W1220" s="45">
        <f t="shared" si="63"/>
        <v>2770692</v>
      </c>
      <c r="X1220" s="46">
        <f t="shared" si="64"/>
        <v>2.5152630249531653</v>
      </c>
    </row>
    <row r="1221" spans="1:24" s="4" customFormat="1" ht="15" customHeight="1">
      <c r="A1221" s="28" t="s">
        <v>1603</v>
      </c>
      <c r="B1221" s="29">
        <v>3149.63</v>
      </c>
      <c r="C1221" s="30" t="s">
        <v>1922</v>
      </c>
      <c r="D1221" s="2">
        <v>4949682946</v>
      </c>
      <c r="E1221" s="2" t="s">
        <v>18</v>
      </c>
      <c r="F1221" s="2" t="s">
        <v>1923</v>
      </c>
      <c r="G1221" s="28" t="s">
        <v>9</v>
      </c>
      <c r="H1221" s="2" t="s">
        <v>23</v>
      </c>
      <c r="I1221" s="2">
        <v>1</v>
      </c>
      <c r="J1221" s="2"/>
      <c r="K1221" s="2">
        <v>1680</v>
      </c>
      <c r="L1221" s="35">
        <f t="shared" si="62"/>
        <v>5291378.4000000004</v>
      </c>
      <c r="M1221" s="36">
        <v>600</v>
      </c>
      <c r="N1221" s="40">
        <v>482936</v>
      </c>
      <c r="O1221" s="40">
        <v>413</v>
      </c>
      <c r="P1221" s="40">
        <v>6222</v>
      </c>
      <c r="Q1221" s="40">
        <v>9711</v>
      </c>
      <c r="R1221" s="40">
        <v>89781</v>
      </c>
      <c r="S1221" s="40">
        <v>354356</v>
      </c>
      <c r="T1221" s="40">
        <v>30000</v>
      </c>
      <c r="U1221" s="40">
        <v>314396.98492462299</v>
      </c>
      <c r="V1221" s="40">
        <v>0</v>
      </c>
      <c r="W1221" s="45">
        <f t="shared" si="63"/>
        <v>1287815.984924623</v>
      </c>
      <c r="X1221" s="46">
        <f t="shared" si="64"/>
        <v>24.338005857313529</v>
      </c>
    </row>
    <row r="1222" spans="1:24" s="4" customFormat="1" ht="15" customHeight="1">
      <c r="A1222" s="28" t="s">
        <v>1603</v>
      </c>
      <c r="B1222" s="29">
        <v>3149.63</v>
      </c>
      <c r="C1222" s="30" t="s">
        <v>1924</v>
      </c>
      <c r="D1222" s="2">
        <v>4949417102</v>
      </c>
      <c r="E1222" s="2" t="s">
        <v>14</v>
      </c>
      <c r="F1222" s="2" t="s">
        <v>1925</v>
      </c>
      <c r="G1222" s="28" t="s">
        <v>5</v>
      </c>
      <c r="H1222" s="2" t="s">
        <v>20</v>
      </c>
      <c r="I1222" s="2">
        <v>1</v>
      </c>
      <c r="J1222" s="2" t="s">
        <v>1926</v>
      </c>
      <c r="K1222" s="2">
        <v>149652</v>
      </c>
      <c r="L1222" s="35">
        <f t="shared" si="62"/>
        <v>471348428.75999999</v>
      </c>
      <c r="M1222" s="36">
        <v>3600</v>
      </c>
      <c r="N1222" s="40">
        <v>471488</v>
      </c>
      <c r="O1222" s="40">
        <v>327035</v>
      </c>
      <c r="P1222" s="40">
        <v>0</v>
      </c>
      <c r="Q1222" s="40">
        <v>99309</v>
      </c>
      <c r="R1222" s="40">
        <v>628165</v>
      </c>
      <c r="S1222" s="40">
        <v>354356</v>
      </c>
      <c r="T1222" s="40">
        <v>30000</v>
      </c>
      <c r="U1222" s="40">
        <v>2619000</v>
      </c>
      <c r="V1222" s="40">
        <v>0</v>
      </c>
      <c r="W1222" s="45">
        <f t="shared" si="63"/>
        <v>4529353</v>
      </c>
      <c r="X1222" s="46">
        <f t="shared" si="64"/>
        <v>0.96093520708567892</v>
      </c>
    </row>
    <row r="1223" spans="1:24" s="4" customFormat="1" ht="15" customHeight="1">
      <c r="A1223" s="28" t="s">
        <v>1603</v>
      </c>
      <c r="B1223" s="29">
        <v>3149.63</v>
      </c>
      <c r="C1223" s="30" t="s">
        <v>1927</v>
      </c>
      <c r="D1223" s="2">
        <v>4949389422</v>
      </c>
      <c r="E1223" s="2" t="s">
        <v>36</v>
      </c>
      <c r="F1223" s="2" t="s">
        <v>1928</v>
      </c>
      <c r="G1223" s="28" t="s">
        <v>5</v>
      </c>
      <c r="H1223" s="2" t="s">
        <v>26</v>
      </c>
      <c r="I1223" s="2">
        <v>2</v>
      </c>
      <c r="J1223" s="2" t="s">
        <v>1929</v>
      </c>
      <c r="K1223" s="2">
        <v>70569.81</v>
      </c>
      <c r="L1223" s="35">
        <f t="shared" si="62"/>
        <v>222268790.67030001</v>
      </c>
      <c r="M1223" s="36">
        <v>39780</v>
      </c>
      <c r="N1223" s="40">
        <v>628820</v>
      </c>
      <c r="O1223" s="40">
        <v>799781</v>
      </c>
      <c r="P1223" s="40">
        <v>1467246</v>
      </c>
      <c r="Q1223" s="40">
        <v>198619</v>
      </c>
      <c r="R1223" s="40">
        <v>1300980</v>
      </c>
      <c r="S1223" s="40">
        <v>354356</v>
      </c>
      <c r="T1223" s="40"/>
      <c r="U1223" s="40">
        <v>0</v>
      </c>
      <c r="V1223" s="40">
        <v>0</v>
      </c>
      <c r="W1223" s="45">
        <f t="shared" si="63"/>
        <v>4749802</v>
      </c>
      <c r="X1223" s="46">
        <f t="shared" si="64"/>
        <v>2.1369630822554693</v>
      </c>
    </row>
    <row r="1224" spans="1:24" s="4" customFormat="1" ht="15" customHeight="1">
      <c r="A1224" s="28" t="s">
        <v>1603</v>
      </c>
      <c r="B1224" s="29">
        <v>3149.63</v>
      </c>
      <c r="C1224" s="30" t="s">
        <v>1930</v>
      </c>
      <c r="D1224" s="2">
        <v>4949622339</v>
      </c>
      <c r="E1224" s="2" t="s">
        <v>24</v>
      </c>
      <c r="F1224" s="2" t="s">
        <v>1931</v>
      </c>
      <c r="G1224" s="28" t="s">
        <v>9</v>
      </c>
      <c r="H1224" s="2" t="s">
        <v>23</v>
      </c>
      <c r="I1224" s="2">
        <v>2</v>
      </c>
      <c r="J1224" s="2"/>
      <c r="K1224" s="2">
        <v>2264</v>
      </c>
      <c r="L1224" s="35">
        <f t="shared" si="62"/>
        <v>7130762.3200000003</v>
      </c>
      <c r="M1224" s="36">
        <v>400</v>
      </c>
      <c r="N1224" s="40">
        <v>263615</v>
      </c>
      <c r="O1224" s="40">
        <v>282</v>
      </c>
      <c r="P1224" s="40">
        <v>0</v>
      </c>
      <c r="Q1224" s="40">
        <v>9219</v>
      </c>
      <c r="R1224" s="40">
        <v>86847</v>
      </c>
      <c r="S1224" s="40">
        <v>354356</v>
      </c>
      <c r="T1224" s="40"/>
      <c r="U1224" s="40">
        <v>158895.23809523799</v>
      </c>
      <c r="V1224" s="40">
        <v>0</v>
      </c>
      <c r="W1224" s="45">
        <f t="shared" si="63"/>
        <v>873214.23809523799</v>
      </c>
      <c r="X1224" s="46">
        <f t="shared" si="64"/>
        <v>12.245734732261248</v>
      </c>
    </row>
    <row r="1225" spans="1:24" s="4" customFormat="1" ht="15" customHeight="1">
      <c r="A1225" s="28" t="s">
        <v>1603</v>
      </c>
      <c r="B1225" s="29">
        <v>3149.63</v>
      </c>
      <c r="C1225" s="30" t="s">
        <v>1932</v>
      </c>
      <c r="D1225" s="2">
        <v>4949331231</v>
      </c>
      <c r="E1225" s="2" t="s">
        <v>14</v>
      </c>
      <c r="F1225" s="2" t="s">
        <v>1933</v>
      </c>
      <c r="G1225" s="28" t="s">
        <v>5</v>
      </c>
      <c r="H1225" s="2" t="s">
        <v>17</v>
      </c>
      <c r="I1225" s="2">
        <v>1</v>
      </c>
      <c r="J1225" s="2" t="s">
        <v>1934</v>
      </c>
      <c r="K1225" s="2">
        <v>25103.4</v>
      </c>
      <c r="L1225" s="35">
        <f t="shared" si="62"/>
        <v>79066421.742000014</v>
      </c>
      <c r="M1225" s="36">
        <v>18060</v>
      </c>
      <c r="N1225" s="40">
        <v>0</v>
      </c>
      <c r="O1225" s="40">
        <v>429032</v>
      </c>
      <c r="P1225" s="40">
        <v>0</v>
      </c>
      <c r="Q1225" s="40">
        <v>99309</v>
      </c>
      <c r="R1225" s="40">
        <v>727196</v>
      </c>
      <c r="S1225" s="40">
        <v>354356</v>
      </c>
      <c r="T1225" s="40">
        <v>30000</v>
      </c>
      <c r="U1225" s="40">
        <v>6275900</v>
      </c>
      <c r="V1225" s="40">
        <v>0</v>
      </c>
      <c r="W1225" s="45">
        <f t="shared" si="63"/>
        <v>7915793</v>
      </c>
      <c r="X1225" s="46">
        <f t="shared" si="64"/>
        <v>10.011573592934127</v>
      </c>
    </row>
    <row r="1226" spans="1:24" s="4" customFormat="1" ht="15" customHeight="1">
      <c r="A1226" s="28" t="s">
        <v>1603</v>
      </c>
      <c r="B1226" s="29">
        <v>3149.63</v>
      </c>
      <c r="C1226" s="30" t="s">
        <v>1935</v>
      </c>
      <c r="D1226" s="2">
        <v>4949387750</v>
      </c>
      <c r="E1226" s="2" t="s">
        <v>36</v>
      </c>
      <c r="F1226" s="78" t="s">
        <v>1936</v>
      </c>
      <c r="G1226" s="28" t="s">
        <v>5</v>
      </c>
      <c r="H1226" s="2" t="s">
        <v>26</v>
      </c>
      <c r="I1226" s="2">
        <v>2</v>
      </c>
      <c r="J1226" s="2" t="s">
        <v>1937</v>
      </c>
      <c r="K1226" s="2">
        <v>93524</v>
      </c>
      <c r="L1226" s="35">
        <f t="shared" si="62"/>
        <v>294565996.12</v>
      </c>
      <c r="M1226" s="36">
        <v>50013</v>
      </c>
      <c r="N1226" s="40">
        <v>625424</v>
      </c>
      <c r="O1226" s="40">
        <v>799781</v>
      </c>
      <c r="P1226" s="40">
        <v>2087881</v>
      </c>
      <c r="Q1226" s="40">
        <v>198619</v>
      </c>
      <c r="R1226" s="40">
        <v>1648781</v>
      </c>
      <c r="S1226" s="40">
        <v>354356</v>
      </c>
      <c r="T1226" s="40"/>
      <c r="U1226" s="40">
        <v>0</v>
      </c>
      <c r="V1226" s="40">
        <v>0</v>
      </c>
      <c r="W1226" s="45">
        <f t="shared" si="63"/>
        <v>5714842</v>
      </c>
      <c r="X1226" s="46">
        <f t="shared" si="64"/>
        <v>1.9400888341748357</v>
      </c>
    </row>
    <row r="1227" spans="1:24" s="4" customFormat="1" ht="15" customHeight="1">
      <c r="A1227" s="28" t="s">
        <v>1603</v>
      </c>
      <c r="B1227" s="29">
        <v>3149.63</v>
      </c>
      <c r="C1227" s="30" t="s">
        <v>1938</v>
      </c>
      <c r="D1227" s="2">
        <v>4949818316</v>
      </c>
      <c r="E1227" s="2" t="s">
        <v>14</v>
      </c>
      <c r="F1227" s="78" t="s">
        <v>1939</v>
      </c>
      <c r="G1227" s="28" t="s">
        <v>13</v>
      </c>
      <c r="H1227" s="2" t="s">
        <v>23</v>
      </c>
      <c r="I1227" s="2">
        <v>2</v>
      </c>
      <c r="J1227" s="2"/>
      <c r="K1227" s="2">
        <f>1755.2+108.13</f>
        <v>1863.33</v>
      </c>
      <c r="L1227" s="35">
        <f t="shared" si="62"/>
        <v>5868800.0679000001</v>
      </c>
      <c r="M1227" s="36">
        <v>40</v>
      </c>
      <c r="N1227" s="40">
        <v>1011434</v>
      </c>
      <c r="O1227" s="40">
        <v>0</v>
      </c>
      <c r="P1227" s="40">
        <v>0</v>
      </c>
      <c r="Q1227" s="40">
        <v>0</v>
      </c>
      <c r="R1227" s="40">
        <v>5430</v>
      </c>
      <c r="S1227" s="40">
        <v>354356</v>
      </c>
      <c r="T1227" s="40">
        <v>30000</v>
      </c>
      <c r="U1227" s="40">
        <v>246380</v>
      </c>
      <c r="V1227" s="40">
        <v>0</v>
      </c>
      <c r="W1227" s="45">
        <f t="shared" si="63"/>
        <v>1647600</v>
      </c>
      <c r="X1227" s="46">
        <f t="shared" si="64"/>
        <v>28.073881899840416</v>
      </c>
    </row>
    <row r="1228" spans="1:24" s="4" customFormat="1" ht="15" customHeight="1">
      <c r="A1228" s="28" t="s">
        <v>1603</v>
      </c>
      <c r="B1228" s="29">
        <v>3149.63</v>
      </c>
      <c r="C1228" s="30" t="s">
        <v>1940</v>
      </c>
      <c r="D1228" s="2">
        <v>4950363249</v>
      </c>
      <c r="E1228" s="2" t="s">
        <v>14</v>
      </c>
      <c r="F1228" s="78" t="s">
        <v>1941</v>
      </c>
      <c r="G1228" s="28" t="s">
        <v>13</v>
      </c>
      <c r="H1228" s="2" t="s">
        <v>23</v>
      </c>
      <c r="I1228" s="2">
        <v>6</v>
      </c>
      <c r="J1228" s="2"/>
      <c r="K1228" s="2">
        <f>3924.3+131.28</f>
        <v>4055.5800000000004</v>
      </c>
      <c r="L1228" s="35">
        <f t="shared" si="62"/>
        <v>12773576.435400002</v>
      </c>
      <c r="M1228" s="36">
        <v>30</v>
      </c>
      <c r="N1228" s="40">
        <v>577817</v>
      </c>
      <c r="O1228" s="40">
        <v>0</v>
      </c>
      <c r="P1228" s="40">
        <v>0</v>
      </c>
      <c r="Q1228" s="40">
        <v>0</v>
      </c>
      <c r="R1228" s="40">
        <v>0</v>
      </c>
      <c r="S1228" s="40">
        <v>354356</v>
      </c>
      <c r="T1228" s="40">
        <v>30000</v>
      </c>
      <c r="U1228" s="40">
        <v>246380</v>
      </c>
      <c r="V1228" s="40">
        <v>0</v>
      </c>
      <c r="W1228" s="45">
        <f t="shared" si="63"/>
        <v>1208553</v>
      </c>
      <c r="X1228" s="46">
        <f t="shared" si="64"/>
        <v>9.4613517687237643</v>
      </c>
    </row>
    <row r="1229" spans="1:24" s="4" customFormat="1" ht="15" customHeight="1">
      <c r="A1229" s="28" t="s">
        <v>1603</v>
      </c>
      <c r="B1229" s="29">
        <v>3149.63</v>
      </c>
      <c r="C1229" s="30" t="s">
        <v>1942</v>
      </c>
      <c r="D1229" s="2">
        <v>4949284059</v>
      </c>
      <c r="E1229" s="2" t="s">
        <v>27</v>
      </c>
      <c r="F1229" s="2" t="s">
        <v>1943</v>
      </c>
      <c r="G1229" s="28" t="s">
        <v>9</v>
      </c>
      <c r="H1229" s="2" t="s">
        <v>23</v>
      </c>
      <c r="I1229" s="2">
        <v>2</v>
      </c>
      <c r="J1229" s="2"/>
      <c r="K1229" s="2">
        <v>2518.59</v>
      </c>
      <c r="L1229" s="35">
        <f t="shared" si="62"/>
        <v>7932626.6217000009</v>
      </c>
      <c r="M1229" s="36">
        <v>445.28</v>
      </c>
      <c r="N1229" s="40">
        <v>714004</v>
      </c>
      <c r="O1229" s="40">
        <v>345</v>
      </c>
      <c r="P1229" s="40">
        <v>13565</v>
      </c>
      <c r="Q1229" s="40">
        <v>11259</v>
      </c>
      <c r="R1229" s="40">
        <v>88687</v>
      </c>
      <c r="S1229" s="40">
        <v>354356</v>
      </c>
      <c r="T1229" s="40"/>
      <c r="U1229" s="40">
        <v>300987.73531089601</v>
      </c>
      <c r="V1229" s="40">
        <v>0</v>
      </c>
      <c r="W1229" s="45">
        <f t="shared" si="63"/>
        <v>1483203.7353108961</v>
      </c>
      <c r="X1229" s="46">
        <f t="shared" si="64"/>
        <v>18.697511001633885</v>
      </c>
    </row>
    <row r="1230" spans="1:24" s="4" customFormat="1" ht="15" customHeight="1">
      <c r="A1230" s="28" t="s">
        <v>1603</v>
      </c>
      <c r="B1230" s="29">
        <v>3149.63</v>
      </c>
      <c r="C1230" s="30" t="s">
        <v>1944</v>
      </c>
      <c r="D1230" s="2">
        <v>4949037258</v>
      </c>
      <c r="E1230" s="2" t="s">
        <v>14</v>
      </c>
      <c r="F1230" s="2" t="s">
        <v>1945</v>
      </c>
      <c r="G1230" s="28" t="s">
        <v>9</v>
      </c>
      <c r="H1230" s="2" t="s">
        <v>23</v>
      </c>
      <c r="I1230" s="2">
        <v>5</v>
      </c>
      <c r="J1230" s="2"/>
      <c r="K1230" s="2">
        <v>9160</v>
      </c>
      <c r="L1230" s="35">
        <f t="shared" si="62"/>
        <v>28850610.800000001</v>
      </c>
      <c r="M1230" s="36">
        <v>4000</v>
      </c>
      <c r="N1230" s="40">
        <v>608230</v>
      </c>
      <c r="O1230" s="40">
        <v>2648</v>
      </c>
      <c r="P1230" s="40">
        <v>0</v>
      </c>
      <c r="Q1230" s="40">
        <v>85088</v>
      </c>
      <c r="R1230" s="40">
        <v>156996</v>
      </c>
      <c r="S1230" s="40">
        <v>354356</v>
      </c>
      <c r="T1230" s="40">
        <v>30000</v>
      </c>
      <c r="U1230" s="40">
        <v>2085500</v>
      </c>
      <c r="V1230" s="40">
        <v>0</v>
      </c>
      <c r="W1230" s="45">
        <f t="shared" si="63"/>
        <v>3322818</v>
      </c>
      <c r="X1230" s="46">
        <f t="shared" si="64"/>
        <v>11.51732288454704</v>
      </c>
    </row>
    <row r="1231" spans="1:24" s="4" customFormat="1" ht="15" customHeight="1">
      <c r="A1231" s="28" t="s">
        <v>1603</v>
      </c>
      <c r="B1231" s="29">
        <v>3149.63</v>
      </c>
      <c r="C1231" s="30" t="s">
        <v>1946</v>
      </c>
      <c r="D1231" s="2">
        <v>4948094916</v>
      </c>
      <c r="E1231" s="2" t="s">
        <v>6</v>
      </c>
      <c r="F1231" s="2" t="s">
        <v>1947</v>
      </c>
      <c r="G1231" s="28" t="s">
        <v>9</v>
      </c>
      <c r="H1231" s="2" t="s">
        <v>23</v>
      </c>
      <c r="I1231" s="2">
        <v>2</v>
      </c>
      <c r="J1231" s="2"/>
      <c r="K1231" s="2">
        <f>20030.4+194.39</f>
        <v>20224.79</v>
      </c>
      <c r="L1231" s="35">
        <f t="shared" si="62"/>
        <v>63700605.327700004</v>
      </c>
      <c r="M1231" s="36">
        <v>1584</v>
      </c>
      <c r="N1231" s="40">
        <v>682469</v>
      </c>
      <c r="O1231" s="40">
        <v>1347</v>
      </c>
      <c r="P1231" s="40">
        <v>0</v>
      </c>
      <c r="Q1231" s="40">
        <v>34287</v>
      </c>
      <c r="R1231" s="40">
        <v>113883</v>
      </c>
      <c r="S1231" s="40">
        <v>354356</v>
      </c>
      <c r="T1231" s="40">
        <v>30000</v>
      </c>
      <c r="U1231" s="40">
        <v>1367700</v>
      </c>
      <c r="V1231" s="40">
        <v>0</v>
      </c>
      <c r="W1231" s="45">
        <f t="shared" si="63"/>
        <v>2584042</v>
      </c>
      <c r="X1231" s="46">
        <f t="shared" si="64"/>
        <v>4.0565422992555735</v>
      </c>
    </row>
    <row r="1232" spans="1:24" s="4" customFormat="1" ht="15" customHeight="1">
      <c r="A1232" s="28" t="s">
        <v>1603</v>
      </c>
      <c r="B1232" s="29">
        <v>3149.63</v>
      </c>
      <c r="C1232" s="30" t="s">
        <v>1948</v>
      </c>
      <c r="D1232" s="2">
        <v>4949366042</v>
      </c>
      <c r="E1232" s="2" t="s">
        <v>14</v>
      </c>
      <c r="F1232" s="78" t="s">
        <v>1949</v>
      </c>
      <c r="G1232" s="28" t="s">
        <v>5</v>
      </c>
      <c r="H1232" s="2" t="s">
        <v>20</v>
      </c>
      <c r="I1232" s="2">
        <v>1</v>
      </c>
      <c r="J1232" s="2" t="s">
        <v>1950</v>
      </c>
      <c r="K1232" s="2">
        <v>6543.6</v>
      </c>
      <c r="L1232" s="35">
        <f t="shared" si="62"/>
        <v>20609918.868000001</v>
      </c>
      <c r="M1232" s="36">
        <v>1640</v>
      </c>
      <c r="N1232" s="40">
        <v>48782.479443390301</v>
      </c>
      <c r="O1232" s="40">
        <v>33923.934218848801</v>
      </c>
      <c r="P1232" s="40">
        <v>33086.922201138499</v>
      </c>
      <c r="Q1232" s="40">
        <v>10301.5028462998</v>
      </c>
      <c r="R1232" s="40">
        <v>108063.60404807101</v>
      </c>
      <c r="S1232" s="40">
        <v>36757.991144845</v>
      </c>
      <c r="T1232" s="40">
        <v>30000</v>
      </c>
      <c r="U1232" s="40">
        <v>469894.75015812798</v>
      </c>
      <c r="V1232" s="40">
        <v>0</v>
      </c>
      <c r="W1232" s="45">
        <f t="shared" si="63"/>
        <v>770811.18406072143</v>
      </c>
      <c r="X1232" s="46">
        <f t="shared" si="64"/>
        <v>3.7400010596719122</v>
      </c>
    </row>
    <row r="1233" spans="1:24" s="4" customFormat="1" ht="15" customHeight="1">
      <c r="A1233" s="28" t="s">
        <v>1603</v>
      </c>
      <c r="B1233" s="29">
        <v>3149.63</v>
      </c>
      <c r="C1233" s="30" t="s">
        <v>1948</v>
      </c>
      <c r="D1233" s="2">
        <v>4949818313</v>
      </c>
      <c r="E1233" s="2" t="s">
        <v>14</v>
      </c>
      <c r="F1233" s="2" t="s">
        <v>1949</v>
      </c>
      <c r="G1233" s="28" t="s">
        <v>5</v>
      </c>
      <c r="H1233" s="2" t="s">
        <v>20</v>
      </c>
      <c r="I1233" s="2">
        <v>1</v>
      </c>
      <c r="J1233" s="2" t="s">
        <v>1950</v>
      </c>
      <c r="K1233" s="2">
        <v>2528.4</v>
      </c>
      <c r="L1233" s="35">
        <f t="shared" ref="L1233:L1296" si="65">+B1233*K1233</f>
        <v>7963524.4920000006</v>
      </c>
      <c r="M1233" s="36">
        <v>420</v>
      </c>
      <c r="N1233" s="40">
        <v>12493.0740037951</v>
      </c>
      <c r="O1233" s="40">
        <v>8687.8368121442109</v>
      </c>
      <c r="P1233" s="40">
        <v>8473.4800759013306</v>
      </c>
      <c r="Q1233" s="40">
        <v>2638.1897533206802</v>
      </c>
      <c r="R1233" s="40">
        <f>22361.825426945+5313</f>
        <v>27674.825426945001</v>
      </c>
      <c r="S1233" s="40">
        <v>9413.6318785578806</v>
      </c>
      <c r="T1233" s="40">
        <v>30000</v>
      </c>
      <c r="U1233" s="40">
        <v>120338.89943074</v>
      </c>
      <c r="V1233" s="40">
        <v>0</v>
      </c>
      <c r="W1233" s="45">
        <f t="shared" ref="W1233:W1296" si="66">+SUM(N1233:V1233)</f>
        <v>219719.93738140422</v>
      </c>
      <c r="X1233" s="46">
        <f t="shared" ref="X1233:X1296" si="67">(W1233/L1233)*100</f>
        <v>2.75907906859746</v>
      </c>
    </row>
    <row r="1234" spans="1:24" s="4" customFormat="1" ht="15" customHeight="1">
      <c r="A1234" s="28" t="s">
        <v>1603</v>
      </c>
      <c r="B1234" s="29">
        <v>3149.63</v>
      </c>
      <c r="C1234" s="30" t="s">
        <v>1948</v>
      </c>
      <c r="D1234" s="2">
        <v>4949662198</v>
      </c>
      <c r="E1234" s="2" t="s">
        <v>14</v>
      </c>
      <c r="F1234" s="2" t="s">
        <v>1949</v>
      </c>
      <c r="G1234" s="28" t="s">
        <v>5</v>
      </c>
      <c r="H1234" s="2" t="s">
        <v>20</v>
      </c>
      <c r="I1234" s="2">
        <v>1</v>
      </c>
      <c r="J1234" s="2" t="s">
        <v>1950</v>
      </c>
      <c r="K1234" s="2">
        <v>4000.5</v>
      </c>
      <c r="L1234" s="35">
        <f t="shared" si="65"/>
        <v>12600094.815000001</v>
      </c>
      <c r="M1234" s="36">
        <v>1050</v>
      </c>
      <c r="N1234" s="40">
        <v>31232.685009487701</v>
      </c>
      <c r="O1234" s="40">
        <v>21719.592030360502</v>
      </c>
      <c r="P1234" s="40">
        <v>21183.700189753301</v>
      </c>
      <c r="Q1234" s="40">
        <v>6595.4743833017101</v>
      </c>
      <c r="R1234" s="40">
        <f>55904.5635673624+13283</f>
        <v>69187.563567362406</v>
      </c>
      <c r="S1234" s="40">
        <v>23534.0796963947</v>
      </c>
      <c r="T1234" s="40">
        <v>30000</v>
      </c>
      <c r="U1234" s="40">
        <v>300847.24857684999</v>
      </c>
      <c r="V1234" s="40">
        <v>0</v>
      </c>
      <c r="W1234" s="45">
        <f t="shared" si="66"/>
        <v>504300.34345351032</v>
      </c>
      <c r="X1234" s="46">
        <f t="shared" si="67"/>
        <v>4.0023535604919198</v>
      </c>
    </row>
    <row r="1235" spans="1:24" s="4" customFormat="1" ht="15" customHeight="1">
      <c r="A1235" s="28" t="s">
        <v>1603</v>
      </c>
      <c r="B1235" s="29">
        <v>3149.63</v>
      </c>
      <c r="C1235" s="30" t="s">
        <v>1948</v>
      </c>
      <c r="D1235" s="2">
        <v>4949591600</v>
      </c>
      <c r="E1235" s="2" t="s">
        <v>14</v>
      </c>
      <c r="F1235" s="2" t="s">
        <v>1949</v>
      </c>
      <c r="G1235" s="28" t="s">
        <v>5</v>
      </c>
      <c r="H1235" s="2" t="s">
        <v>20</v>
      </c>
      <c r="I1235" s="2">
        <v>1</v>
      </c>
      <c r="J1235" s="2" t="s">
        <v>1950</v>
      </c>
      <c r="K1235" s="2">
        <v>12573</v>
      </c>
      <c r="L1235" s="35">
        <f t="shared" si="65"/>
        <v>39600297.990000002</v>
      </c>
      <c r="M1235" s="36">
        <v>9900</v>
      </c>
      <c r="N1235" s="40">
        <v>294479.60151802702</v>
      </c>
      <c r="O1235" s="40">
        <v>204784.72485768501</v>
      </c>
      <c r="P1235" s="40">
        <v>199732.030360531</v>
      </c>
      <c r="Q1235" s="40">
        <v>62185.901328273198</v>
      </c>
      <c r="R1235" s="40">
        <f>527100.170777989+125237</f>
        <v>652337.17077798897</v>
      </c>
      <c r="S1235" s="40">
        <v>221892.75142315001</v>
      </c>
      <c r="T1235" s="40">
        <v>30000</v>
      </c>
      <c r="U1235" s="40">
        <v>2836559.7722960198</v>
      </c>
      <c r="V1235" s="40">
        <v>0</v>
      </c>
      <c r="W1235" s="45">
        <f t="shared" si="66"/>
        <v>4501971.9525616746</v>
      </c>
      <c r="X1235" s="46">
        <f t="shared" si="67"/>
        <v>11.368530493630445</v>
      </c>
    </row>
    <row r="1236" spans="1:24" s="4" customFormat="1" ht="15" customHeight="1">
      <c r="A1236" s="28" t="s">
        <v>1603</v>
      </c>
      <c r="B1236" s="29">
        <v>3149.63</v>
      </c>
      <c r="C1236" s="30" t="s">
        <v>1948</v>
      </c>
      <c r="D1236" s="2">
        <v>4949532989</v>
      </c>
      <c r="E1236" s="2" t="s">
        <v>14</v>
      </c>
      <c r="F1236" s="2" t="s">
        <v>1949</v>
      </c>
      <c r="G1236" s="28" t="s">
        <v>5</v>
      </c>
      <c r="H1236" s="2" t="s">
        <v>20</v>
      </c>
      <c r="I1236" s="2">
        <v>1</v>
      </c>
      <c r="J1236" s="2" t="s">
        <v>1950</v>
      </c>
      <c r="K1236" s="2">
        <v>10584</v>
      </c>
      <c r="L1236" s="35">
        <f t="shared" si="65"/>
        <v>33335683.920000002</v>
      </c>
      <c r="M1236" s="36">
        <v>2800</v>
      </c>
      <c r="N1236" s="40">
        <v>83287.1600253004</v>
      </c>
      <c r="O1236" s="40">
        <v>57918.912080961403</v>
      </c>
      <c r="P1236" s="40">
        <v>56489.867172675498</v>
      </c>
      <c r="Q1236" s="40">
        <v>17587.931688804601</v>
      </c>
      <c r="R1236" s="40">
        <f>149078.836179633+35421</f>
        <v>184499.83617963301</v>
      </c>
      <c r="S1236" s="40">
        <v>62757.545857052501</v>
      </c>
      <c r="T1236" s="40">
        <v>30000</v>
      </c>
      <c r="U1236" s="40">
        <v>802259.32953826699</v>
      </c>
      <c r="V1236" s="40">
        <v>0</v>
      </c>
      <c r="W1236" s="45">
        <f t="shared" si="66"/>
        <v>1294800.5825426944</v>
      </c>
      <c r="X1236" s="46">
        <f t="shared" si="67"/>
        <v>3.8841278482541313</v>
      </c>
    </row>
    <row r="1237" spans="1:24" s="4" customFormat="1" ht="15" customHeight="1">
      <c r="A1237" s="28" t="s">
        <v>1603</v>
      </c>
      <c r="B1237" s="29">
        <v>3149.63</v>
      </c>
      <c r="C1237" s="30" t="s">
        <v>1951</v>
      </c>
      <c r="D1237" s="2">
        <v>4949588796</v>
      </c>
      <c r="E1237" s="2" t="s">
        <v>38</v>
      </c>
      <c r="F1237" s="2" t="s">
        <v>1952</v>
      </c>
      <c r="G1237" s="28" t="s">
        <v>5</v>
      </c>
      <c r="H1237" s="2" t="s">
        <v>17</v>
      </c>
      <c r="I1237" s="2">
        <v>1</v>
      </c>
      <c r="J1237" s="2" t="s">
        <v>1953</v>
      </c>
      <c r="K1237" s="2">
        <v>2622</v>
      </c>
      <c r="L1237" s="35">
        <f t="shared" si="65"/>
        <v>8258329.8600000003</v>
      </c>
      <c r="M1237" s="36">
        <v>1900</v>
      </c>
      <c r="N1237" s="40">
        <v>0</v>
      </c>
      <c r="O1237" s="40">
        <v>37392.697247706397</v>
      </c>
      <c r="P1237" s="40">
        <v>0</v>
      </c>
      <c r="Q1237" s="40">
        <v>8655.3715596330294</v>
      </c>
      <c r="R1237" s="40">
        <f>45800+17431</f>
        <v>63231</v>
      </c>
      <c r="S1237" s="40">
        <v>30884.238532110099</v>
      </c>
      <c r="T1237" s="40"/>
      <c r="U1237" s="40">
        <v>551209.17431192705</v>
      </c>
      <c r="V1237" s="40">
        <v>0</v>
      </c>
      <c r="W1237" s="45">
        <f t="shared" si="66"/>
        <v>691372.48165137658</v>
      </c>
      <c r="X1237" s="46">
        <f t="shared" si="67"/>
        <v>8.3718196460049921</v>
      </c>
    </row>
    <row r="1238" spans="1:24" s="4" customFormat="1" ht="15" customHeight="1">
      <c r="A1238" s="28" t="s">
        <v>1603</v>
      </c>
      <c r="B1238" s="29">
        <v>3149.63</v>
      </c>
      <c r="C1238" s="30" t="s">
        <v>1951</v>
      </c>
      <c r="D1238" s="2">
        <v>4949383323</v>
      </c>
      <c r="E1238" s="2" t="s">
        <v>38</v>
      </c>
      <c r="F1238" s="2" t="s">
        <v>1952</v>
      </c>
      <c r="G1238" s="28" t="s">
        <v>5</v>
      </c>
      <c r="H1238" s="2" t="s">
        <v>17</v>
      </c>
      <c r="I1238" s="2">
        <v>1</v>
      </c>
      <c r="J1238" s="2" t="s">
        <v>1953</v>
      </c>
      <c r="K1238" s="2">
        <v>22743</v>
      </c>
      <c r="L1238" s="35">
        <f t="shared" si="65"/>
        <v>71632035.090000004</v>
      </c>
      <c r="M1238" s="36">
        <v>17100</v>
      </c>
      <c r="N1238" s="40">
        <v>0</v>
      </c>
      <c r="O1238" s="40">
        <v>336534.275229358</v>
      </c>
      <c r="P1238" s="40">
        <v>0</v>
      </c>
      <c r="Q1238" s="40">
        <v>77898.344036697206</v>
      </c>
      <c r="R1238" s="40">
        <f>412202+156881</f>
        <v>569083</v>
      </c>
      <c r="S1238" s="40">
        <v>277958.146788991</v>
      </c>
      <c r="T1238" s="40"/>
      <c r="U1238" s="40">
        <v>4960882.5688073402</v>
      </c>
      <c r="V1238" s="40">
        <v>0</v>
      </c>
      <c r="W1238" s="45">
        <f t="shared" si="66"/>
        <v>6222356.3348623868</v>
      </c>
      <c r="X1238" s="46">
        <f t="shared" si="67"/>
        <v>8.6865552919786335</v>
      </c>
    </row>
    <row r="1239" spans="1:24" s="4" customFormat="1" ht="15" customHeight="1">
      <c r="A1239" s="28" t="s">
        <v>1603</v>
      </c>
      <c r="B1239" s="29">
        <v>3149.63</v>
      </c>
      <c r="C1239" s="30" t="s">
        <v>1951</v>
      </c>
      <c r="D1239" s="2">
        <v>4949573803</v>
      </c>
      <c r="E1239" s="2" t="s">
        <v>38</v>
      </c>
      <c r="F1239" s="2" t="s">
        <v>1952</v>
      </c>
      <c r="G1239" s="28" t="s">
        <v>5</v>
      </c>
      <c r="H1239" s="2" t="s">
        <v>17</v>
      </c>
      <c r="I1239" s="2">
        <v>1</v>
      </c>
      <c r="J1239" s="2" t="s">
        <v>1953</v>
      </c>
      <c r="K1239" s="2">
        <v>3780</v>
      </c>
      <c r="L1239" s="35">
        <f t="shared" si="65"/>
        <v>11905601.4</v>
      </c>
      <c r="M1239" s="36">
        <v>2800</v>
      </c>
      <c r="N1239" s="40">
        <v>0</v>
      </c>
      <c r="O1239" s="40">
        <v>55105.027522935801</v>
      </c>
      <c r="P1239" s="40">
        <v>0</v>
      </c>
      <c r="Q1239" s="40">
        <v>12755.284403669701</v>
      </c>
      <c r="R1239" s="40">
        <f>67495+25688</f>
        <v>93183</v>
      </c>
      <c r="S1239" s="40">
        <v>45513.614678899103</v>
      </c>
      <c r="T1239" s="40"/>
      <c r="U1239" s="40">
        <v>812308.256880734</v>
      </c>
      <c r="V1239" s="40">
        <v>0</v>
      </c>
      <c r="W1239" s="45">
        <f t="shared" si="66"/>
        <v>1018865.1834862386</v>
      </c>
      <c r="X1239" s="46">
        <f t="shared" si="67"/>
        <v>8.5578640612496795</v>
      </c>
    </row>
    <row r="1240" spans="1:24" s="4" customFormat="1" ht="15" customHeight="1">
      <c r="A1240" s="28" t="s">
        <v>1603</v>
      </c>
      <c r="B1240" s="29">
        <v>3149.63</v>
      </c>
      <c r="C1240" s="30" t="s">
        <v>1954</v>
      </c>
      <c r="D1240" s="2">
        <v>4949168414</v>
      </c>
      <c r="E1240" s="2" t="s">
        <v>36</v>
      </c>
      <c r="F1240" s="2" t="s">
        <v>1955</v>
      </c>
      <c r="G1240" s="28" t="s">
        <v>5</v>
      </c>
      <c r="H1240" s="2" t="s">
        <v>26</v>
      </c>
      <c r="I1240" s="2">
        <v>2</v>
      </c>
      <c r="J1240" s="2" t="s">
        <v>1956</v>
      </c>
      <c r="K1240" s="2">
        <v>35768</v>
      </c>
      <c r="L1240" s="35">
        <f t="shared" si="65"/>
        <v>112655965.84</v>
      </c>
      <c r="M1240" s="36">
        <v>38460</v>
      </c>
      <c r="N1240" s="40">
        <v>0</v>
      </c>
      <c r="O1240" s="40">
        <v>799781</v>
      </c>
      <c r="P1240" s="40">
        <v>2058022</v>
      </c>
      <c r="Q1240" s="40">
        <v>198619</v>
      </c>
      <c r="R1240" s="40">
        <v>1635065</v>
      </c>
      <c r="S1240" s="40">
        <v>354356</v>
      </c>
      <c r="T1240" s="40"/>
      <c r="U1240" s="40">
        <v>0</v>
      </c>
      <c r="V1240" s="40">
        <v>0</v>
      </c>
      <c r="W1240" s="45">
        <f t="shared" si="66"/>
        <v>5045843</v>
      </c>
      <c r="X1240" s="46">
        <f t="shared" si="67"/>
        <v>4.4789842795954318</v>
      </c>
    </row>
    <row r="1241" spans="1:24" s="4" customFormat="1" ht="15" customHeight="1">
      <c r="A1241" s="28" t="s">
        <v>1603</v>
      </c>
      <c r="B1241" s="29">
        <v>3149.63</v>
      </c>
      <c r="C1241" s="30" t="s">
        <v>1957</v>
      </c>
      <c r="D1241" s="2">
        <v>4949587549</v>
      </c>
      <c r="E1241" s="2" t="s">
        <v>14</v>
      </c>
      <c r="F1241" s="2" t="s">
        <v>1958</v>
      </c>
      <c r="G1241" s="28" t="s">
        <v>5</v>
      </c>
      <c r="H1241" s="2" t="s">
        <v>1959</v>
      </c>
      <c r="I1241" s="2">
        <v>3</v>
      </c>
      <c r="J1241" s="2" t="s">
        <v>1960</v>
      </c>
      <c r="K1241" s="2">
        <f>56800+18960+56880</f>
        <v>132640</v>
      </c>
      <c r="L1241" s="35">
        <f t="shared" si="65"/>
        <v>417766923.19999999</v>
      </c>
      <c r="M1241" s="36">
        <v>42000</v>
      </c>
      <c r="N1241" s="40">
        <v>1414464</v>
      </c>
      <c r="O1241" s="40">
        <f>858064+327035</f>
        <v>1185099</v>
      </c>
      <c r="P1241" s="40">
        <v>0</v>
      </c>
      <c r="Q1241" s="40">
        <f>198619+99309</f>
        <v>297928</v>
      </c>
      <c r="R1241" s="40">
        <v>2086332</v>
      </c>
      <c r="S1241" s="40">
        <v>354356</v>
      </c>
      <c r="T1241" s="40">
        <v>30000</v>
      </c>
      <c r="U1241" s="40">
        <v>13793400</v>
      </c>
      <c r="V1241" s="40">
        <v>0</v>
      </c>
      <c r="W1241" s="45">
        <f t="shared" si="66"/>
        <v>19161579</v>
      </c>
      <c r="X1241" s="46">
        <f t="shared" si="67"/>
        <v>4.5866673343180562</v>
      </c>
    </row>
    <row r="1242" spans="1:24" s="4" customFormat="1" ht="15" customHeight="1">
      <c r="A1242" s="28" t="s">
        <v>1603</v>
      </c>
      <c r="B1242" s="29">
        <v>3149.63</v>
      </c>
      <c r="C1242" s="30" t="s">
        <v>1961</v>
      </c>
      <c r="D1242" s="2">
        <v>4949037265</v>
      </c>
      <c r="E1242" s="2" t="s">
        <v>14</v>
      </c>
      <c r="F1242" s="2" t="s">
        <v>1962</v>
      </c>
      <c r="G1242" s="28" t="s">
        <v>9</v>
      </c>
      <c r="H1242" s="2" t="s">
        <v>23</v>
      </c>
      <c r="I1242" s="2">
        <v>7</v>
      </c>
      <c r="J1242" s="2"/>
      <c r="K1242" s="2">
        <v>13755</v>
      </c>
      <c r="L1242" s="35">
        <f t="shared" si="65"/>
        <v>43323160.649999999</v>
      </c>
      <c r="M1242" s="36">
        <v>5250</v>
      </c>
      <c r="N1242" s="40">
        <v>821842</v>
      </c>
      <c r="O1242" s="40">
        <v>3489</v>
      </c>
      <c r="P1242" s="40">
        <v>0</v>
      </c>
      <c r="Q1242" s="40">
        <v>89070</v>
      </c>
      <c r="R1242" s="40">
        <v>163091</v>
      </c>
      <c r="S1242" s="40">
        <v>354356</v>
      </c>
      <c r="T1242" s="40">
        <v>30000</v>
      </c>
      <c r="U1242" s="40">
        <v>2085500</v>
      </c>
      <c r="V1242" s="40">
        <v>0</v>
      </c>
      <c r="W1242" s="45">
        <f t="shared" si="66"/>
        <v>3547348</v>
      </c>
      <c r="X1242" s="46">
        <f t="shared" si="67"/>
        <v>8.1881098857453747</v>
      </c>
    </row>
    <row r="1243" spans="1:24" s="4" customFormat="1" ht="15" customHeight="1">
      <c r="A1243" s="28" t="s">
        <v>1603</v>
      </c>
      <c r="B1243" s="29">
        <v>3149.63</v>
      </c>
      <c r="C1243" s="30" t="s">
        <v>1963</v>
      </c>
      <c r="D1243" s="2">
        <v>4947169237</v>
      </c>
      <c r="E1243" s="2" t="s">
        <v>6</v>
      </c>
      <c r="F1243" s="2" t="s">
        <v>1964</v>
      </c>
      <c r="G1243" s="28" t="s">
        <v>5</v>
      </c>
      <c r="H1243" s="2" t="s">
        <v>20</v>
      </c>
      <c r="I1243" s="2">
        <v>1</v>
      </c>
      <c r="J1243" s="2" t="s">
        <v>1965</v>
      </c>
      <c r="K1243" s="2">
        <v>89440</v>
      </c>
      <c r="L1243" s="35">
        <f t="shared" si="65"/>
        <v>281702907.19999999</v>
      </c>
      <c r="M1243" s="36">
        <v>10400</v>
      </c>
      <c r="N1243" s="40">
        <v>307012</v>
      </c>
      <c r="O1243" s="40">
        <v>407175</v>
      </c>
      <c r="P1243" s="40">
        <v>0</v>
      </c>
      <c r="Q1243" s="40">
        <v>99309</v>
      </c>
      <c r="R1243" s="40">
        <v>911084</v>
      </c>
      <c r="S1243" s="40">
        <v>354356</v>
      </c>
      <c r="T1243" s="40">
        <v>30000</v>
      </c>
      <c r="U1243" s="40">
        <v>499900</v>
      </c>
      <c r="V1243" s="40">
        <v>0</v>
      </c>
      <c r="W1243" s="45">
        <f t="shared" si="66"/>
        <v>2608836</v>
      </c>
      <c r="X1243" s="46">
        <f t="shared" si="67"/>
        <v>0.92609480886464923</v>
      </c>
    </row>
    <row r="1244" spans="1:24" s="4" customFormat="1" ht="15" customHeight="1">
      <c r="A1244" s="28" t="s">
        <v>1603</v>
      </c>
      <c r="B1244" s="29">
        <v>3149.63</v>
      </c>
      <c r="C1244" s="30" t="s">
        <v>1966</v>
      </c>
      <c r="D1244" s="2">
        <v>4949417140</v>
      </c>
      <c r="E1244" s="2" t="s">
        <v>14</v>
      </c>
      <c r="F1244" s="2" t="s">
        <v>1967</v>
      </c>
      <c r="G1244" s="28" t="s">
        <v>9</v>
      </c>
      <c r="H1244" s="2" t="s">
        <v>23</v>
      </c>
      <c r="I1244" s="2">
        <v>1</v>
      </c>
      <c r="J1244" s="2"/>
      <c r="K1244" s="2">
        <v>1586.5</v>
      </c>
      <c r="L1244" s="35">
        <f t="shared" si="65"/>
        <v>4996887.9950000001</v>
      </c>
      <c r="M1244" s="36">
        <v>950</v>
      </c>
      <c r="N1244" s="40">
        <v>470822</v>
      </c>
      <c r="O1244" s="40">
        <v>619</v>
      </c>
      <c r="P1244" s="40">
        <v>0</v>
      </c>
      <c r="Q1244" s="40">
        <v>16071</v>
      </c>
      <c r="R1244" s="40">
        <v>93788</v>
      </c>
      <c r="S1244" s="40">
        <v>354356</v>
      </c>
      <c r="T1244" s="40">
        <v>30000</v>
      </c>
      <c r="U1244" s="40">
        <v>742465.71428571397</v>
      </c>
      <c r="V1244" s="40">
        <v>0</v>
      </c>
      <c r="W1244" s="45">
        <f t="shared" si="66"/>
        <v>1708121.7142857141</v>
      </c>
      <c r="X1244" s="46">
        <f t="shared" si="67"/>
        <v>34.183710261164542</v>
      </c>
    </row>
    <row r="1245" spans="1:24" s="4" customFormat="1" ht="15" customHeight="1">
      <c r="A1245" s="28" t="s">
        <v>1603</v>
      </c>
      <c r="B1245" s="29">
        <v>3149.63</v>
      </c>
      <c r="C1245" s="30" t="s">
        <v>1968</v>
      </c>
      <c r="D1245" s="2">
        <v>4949742135</v>
      </c>
      <c r="E1245" s="2" t="s">
        <v>18</v>
      </c>
      <c r="F1245" s="2" t="s">
        <v>1969</v>
      </c>
      <c r="G1245" s="28" t="s">
        <v>9</v>
      </c>
      <c r="H1245" s="2" t="s">
        <v>23</v>
      </c>
      <c r="I1245" s="2">
        <v>4</v>
      </c>
      <c r="J1245" s="2"/>
      <c r="K1245" s="2">
        <v>4512</v>
      </c>
      <c r="L1245" s="35">
        <f t="shared" si="65"/>
        <v>14211130.560000001</v>
      </c>
      <c r="M1245" s="36">
        <v>4800</v>
      </c>
      <c r="N1245" s="40">
        <v>681544</v>
      </c>
      <c r="O1245" s="40">
        <v>3164</v>
      </c>
      <c r="P1245" s="40">
        <v>0</v>
      </c>
      <c r="Q1245" s="40">
        <v>79939</v>
      </c>
      <c r="R1245" s="40">
        <v>151248</v>
      </c>
      <c r="S1245" s="40">
        <v>354356</v>
      </c>
      <c r="T1245" s="40">
        <v>30000</v>
      </c>
      <c r="U1245" s="40">
        <v>1906742.8571428601</v>
      </c>
      <c r="V1245" s="40">
        <v>0</v>
      </c>
      <c r="W1245" s="45">
        <f t="shared" si="66"/>
        <v>3206993.8571428601</v>
      </c>
      <c r="X1245" s="46">
        <f t="shared" si="67"/>
        <v>22.566774990932601</v>
      </c>
    </row>
    <row r="1246" spans="1:24" s="4" customFormat="1" ht="15" customHeight="1">
      <c r="A1246" s="28" t="s">
        <v>1603</v>
      </c>
      <c r="B1246" s="29">
        <v>3149.63</v>
      </c>
      <c r="C1246" s="30" t="s">
        <v>1970</v>
      </c>
      <c r="D1246" s="2">
        <v>4948892093</v>
      </c>
      <c r="E1246" s="2" t="s">
        <v>36</v>
      </c>
      <c r="F1246" s="2" t="s">
        <v>1971</v>
      </c>
      <c r="G1246" s="28" t="s">
        <v>5</v>
      </c>
      <c r="H1246" s="2" t="s">
        <v>26</v>
      </c>
      <c r="I1246" s="2">
        <v>1</v>
      </c>
      <c r="J1246" s="2" t="s">
        <v>1972</v>
      </c>
      <c r="K1246" s="2">
        <v>140363</v>
      </c>
      <c r="L1246" s="35">
        <f t="shared" si="65"/>
        <v>442091515.69</v>
      </c>
      <c r="M1246" s="36">
        <v>75060</v>
      </c>
      <c r="N1246" s="40">
        <v>943229</v>
      </c>
      <c r="O1246" s="40">
        <v>399890</v>
      </c>
      <c r="P1246" s="40">
        <v>1467246</v>
      </c>
      <c r="Q1246" s="40">
        <v>99309</v>
      </c>
      <c r="R1246" s="40">
        <v>1799991</v>
      </c>
      <c r="S1246" s="40">
        <v>354356</v>
      </c>
      <c r="T1246" s="40"/>
      <c r="U1246" s="40">
        <v>0</v>
      </c>
      <c r="V1246" s="40">
        <v>0</v>
      </c>
      <c r="W1246" s="45">
        <f t="shared" si="66"/>
        <v>5064021</v>
      </c>
      <c r="X1246" s="46">
        <f t="shared" si="67"/>
        <v>1.1454689403157317</v>
      </c>
    </row>
    <row r="1247" spans="1:24" s="4" customFormat="1" ht="15" customHeight="1">
      <c r="A1247" s="28" t="s">
        <v>1603</v>
      </c>
      <c r="B1247" s="29">
        <v>3149.63</v>
      </c>
      <c r="C1247" s="30" t="s">
        <v>1973</v>
      </c>
      <c r="D1247" s="2">
        <v>4948957161</v>
      </c>
      <c r="E1247" s="2" t="s">
        <v>36</v>
      </c>
      <c r="F1247" s="2" t="s">
        <v>1974</v>
      </c>
      <c r="G1247" s="28" t="s">
        <v>5</v>
      </c>
      <c r="H1247" s="2" t="s">
        <v>26</v>
      </c>
      <c r="I1247" s="2">
        <v>4</v>
      </c>
      <c r="J1247" s="2" t="s">
        <v>1975</v>
      </c>
      <c r="K1247" s="2">
        <v>74744</v>
      </c>
      <c r="L1247" s="35">
        <f t="shared" si="65"/>
        <v>235415944.72</v>
      </c>
      <c r="M1247" s="36">
        <v>80370</v>
      </c>
      <c r="N1247" s="40">
        <v>1282923</v>
      </c>
      <c r="O1247" s="40">
        <v>1992976</v>
      </c>
      <c r="P1247" s="40">
        <v>4116045</v>
      </c>
      <c r="Q1247" s="40">
        <v>496548</v>
      </c>
      <c r="R1247" s="40">
        <v>3544365</v>
      </c>
      <c r="S1247" s="40">
        <v>354356</v>
      </c>
      <c r="T1247" s="40"/>
      <c r="U1247" s="40">
        <v>0</v>
      </c>
      <c r="V1247" s="40">
        <v>0</v>
      </c>
      <c r="W1247" s="45">
        <f t="shared" si="66"/>
        <v>11787213</v>
      </c>
      <c r="X1247" s="46">
        <f t="shared" si="67"/>
        <v>5.0069730892780111</v>
      </c>
    </row>
    <row r="1248" spans="1:24" s="4" customFormat="1" ht="15" customHeight="1">
      <c r="A1248" s="28" t="s">
        <v>1603</v>
      </c>
      <c r="B1248" s="29">
        <v>3149.63</v>
      </c>
      <c r="C1248" s="30" t="s">
        <v>1976</v>
      </c>
      <c r="D1248" s="2">
        <v>4949168413</v>
      </c>
      <c r="E1248" s="2" t="s">
        <v>36</v>
      </c>
      <c r="F1248" s="2" t="s">
        <v>1977</v>
      </c>
      <c r="G1248" s="28" t="s">
        <v>5</v>
      </c>
      <c r="H1248" s="2" t="s">
        <v>26</v>
      </c>
      <c r="I1248" s="2">
        <v>4</v>
      </c>
      <c r="J1248" s="2" t="s">
        <v>1978</v>
      </c>
      <c r="K1248" s="2">
        <v>70410</v>
      </c>
      <c r="L1248" s="35">
        <f t="shared" si="65"/>
        <v>221765448.30000001</v>
      </c>
      <c r="M1248" s="36">
        <v>75710</v>
      </c>
      <c r="N1248" s="40">
        <v>1257640</v>
      </c>
      <c r="O1248" s="40">
        <v>1992976</v>
      </c>
      <c r="P1248" s="40">
        <v>8803477</v>
      </c>
      <c r="Q1248" s="40">
        <v>496548</v>
      </c>
      <c r="R1248" s="40">
        <v>3503648</v>
      </c>
      <c r="S1248" s="40">
        <v>354356</v>
      </c>
      <c r="T1248" s="40"/>
      <c r="U1248" s="40">
        <v>0</v>
      </c>
      <c r="V1248" s="40">
        <v>0</v>
      </c>
      <c r="W1248" s="45">
        <f t="shared" si="66"/>
        <v>16408645</v>
      </c>
      <c r="X1248" s="46">
        <f t="shared" si="67"/>
        <v>7.3990989695575573</v>
      </c>
    </row>
    <row r="1249" spans="1:24" s="4" customFormat="1" ht="15" customHeight="1">
      <c r="A1249" s="28" t="s">
        <v>1603</v>
      </c>
      <c r="B1249" s="29">
        <v>3149.63</v>
      </c>
      <c r="C1249" s="30" t="s">
        <v>1979</v>
      </c>
      <c r="D1249" s="2">
        <v>4949389417</v>
      </c>
      <c r="E1249" s="2" t="s">
        <v>36</v>
      </c>
      <c r="F1249" s="2" t="s">
        <v>1980</v>
      </c>
      <c r="G1249" s="28" t="s">
        <v>5</v>
      </c>
      <c r="H1249" s="2" t="s">
        <v>26</v>
      </c>
      <c r="I1249" s="2">
        <v>1</v>
      </c>
      <c r="J1249" s="2" t="s">
        <v>1981</v>
      </c>
      <c r="K1249" s="2">
        <v>34091.57</v>
      </c>
      <c r="L1249" s="35">
        <f t="shared" si="65"/>
        <v>107375831.6191</v>
      </c>
      <c r="M1249" s="36">
        <v>19740.34</v>
      </c>
      <c r="N1249" s="40">
        <v>325475</v>
      </c>
      <c r="O1249" s="40">
        <v>399890</v>
      </c>
      <c r="P1249" s="40">
        <v>1214919</v>
      </c>
      <c r="Q1249" s="40">
        <v>99309</v>
      </c>
      <c r="R1249" s="40">
        <v>616146</v>
      </c>
      <c r="S1249" s="40">
        <v>354356</v>
      </c>
      <c r="T1249" s="40"/>
      <c r="U1249" s="40">
        <v>0</v>
      </c>
      <c r="V1249" s="40">
        <v>0</v>
      </c>
      <c r="W1249" s="45">
        <f t="shared" si="66"/>
        <v>3010095</v>
      </c>
      <c r="X1249" s="46">
        <f t="shared" si="67"/>
        <v>2.8033263674062803</v>
      </c>
    </row>
    <row r="1250" spans="1:24" s="4" customFormat="1" ht="15" customHeight="1">
      <c r="A1250" s="28" t="s">
        <v>1603</v>
      </c>
      <c r="B1250" s="29">
        <v>3149.63</v>
      </c>
      <c r="C1250" s="30" t="s">
        <v>1982</v>
      </c>
      <c r="D1250" s="2">
        <v>4949387750</v>
      </c>
      <c r="E1250" s="2" t="s">
        <v>36</v>
      </c>
      <c r="F1250" s="2" t="s">
        <v>1983</v>
      </c>
      <c r="G1250" s="28" t="s">
        <v>5</v>
      </c>
      <c r="H1250" s="2" t="s">
        <v>26</v>
      </c>
      <c r="I1250" s="2">
        <v>1</v>
      </c>
      <c r="J1250" s="2" t="s">
        <v>1984</v>
      </c>
      <c r="K1250" s="2">
        <v>42784.47</v>
      </c>
      <c r="L1250" s="35">
        <f t="shared" si="65"/>
        <v>134755250.24610001</v>
      </c>
      <c r="M1250" s="36">
        <v>25020</v>
      </c>
      <c r="N1250" s="40">
        <v>307012</v>
      </c>
      <c r="O1250" s="40">
        <v>399890</v>
      </c>
      <c r="P1250" s="40">
        <v>1025202</v>
      </c>
      <c r="Q1250" s="40">
        <v>99309</v>
      </c>
      <c r="R1250" s="40">
        <v>613209</v>
      </c>
      <c r="S1250" s="40">
        <v>354356</v>
      </c>
      <c r="T1250" s="40"/>
      <c r="U1250" s="40">
        <v>0</v>
      </c>
      <c r="V1250" s="40">
        <v>0</v>
      </c>
      <c r="W1250" s="45">
        <f t="shared" si="66"/>
        <v>2798978</v>
      </c>
      <c r="X1250" s="46">
        <f t="shared" si="67"/>
        <v>2.077082707269883</v>
      </c>
    </row>
    <row r="1251" spans="1:24" s="4" customFormat="1" ht="15" customHeight="1">
      <c r="A1251" s="28" t="s">
        <v>1603</v>
      </c>
      <c r="B1251" s="29">
        <v>3149.63</v>
      </c>
      <c r="C1251" s="30" t="s">
        <v>1985</v>
      </c>
      <c r="D1251" s="2">
        <v>4949389435</v>
      </c>
      <c r="E1251" s="2" t="s">
        <v>36</v>
      </c>
      <c r="F1251" s="2" t="s">
        <v>1986</v>
      </c>
      <c r="G1251" s="28" t="s">
        <v>5</v>
      </c>
      <c r="H1251" s="2" t="s">
        <v>26</v>
      </c>
      <c r="I1251" s="2">
        <v>4</v>
      </c>
      <c r="J1251" s="2" t="s">
        <v>1987</v>
      </c>
      <c r="K1251" s="2">
        <v>74651</v>
      </c>
      <c r="L1251" s="35">
        <f t="shared" si="65"/>
        <v>235123029.13</v>
      </c>
      <c r="M1251" s="36">
        <v>80270</v>
      </c>
      <c r="N1251" s="40">
        <v>0</v>
      </c>
      <c r="O1251" s="40">
        <v>1992976</v>
      </c>
      <c r="P1251" s="40">
        <v>932000</v>
      </c>
      <c r="Q1251" s="40">
        <v>496548</v>
      </c>
      <c r="R1251" s="40">
        <v>621216</v>
      </c>
      <c r="S1251" s="40">
        <v>354356</v>
      </c>
      <c r="T1251" s="40"/>
      <c r="U1251" s="40">
        <v>0</v>
      </c>
      <c r="V1251" s="40">
        <v>0</v>
      </c>
      <c r="W1251" s="45">
        <f t="shared" si="66"/>
        <v>4397096</v>
      </c>
      <c r="X1251" s="46">
        <f t="shared" si="67"/>
        <v>1.8701256173289758</v>
      </c>
    </row>
    <row r="1252" spans="1:24" s="4" customFormat="1" ht="15" customHeight="1">
      <c r="A1252" s="28" t="s">
        <v>1603</v>
      </c>
      <c r="B1252" s="29">
        <v>3149.63</v>
      </c>
      <c r="C1252" s="30" t="s">
        <v>1988</v>
      </c>
      <c r="D1252" s="2">
        <v>4949389433</v>
      </c>
      <c r="E1252" s="2" t="s">
        <v>36</v>
      </c>
      <c r="F1252" s="2" t="s">
        <v>1989</v>
      </c>
      <c r="G1252" s="28" t="s">
        <v>5</v>
      </c>
      <c r="H1252" s="2" t="s">
        <v>26</v>
      </c>
      <c r="I1252" s="2">
        <v>4</v>
      </c>
      <c r="J1252" s="2" t="s">
        <v>1990</v>
      </c>
      <c r="K1252" s="2">
        <v>64616.4</v>
      </c>
      <c r="L1252" s="35">
        <f t="shared" si="65"/>
        <v>203517751.93200001</v>
      </c>
      <c r="M1252" s="36">
        <v>71480</v>
      </c>
      <c r="N1252" s="40">
        <v>0</v>
      </c>
      <c r="O1252" s="40">
        <v>1992976</v>
      </c>
      <c r="P1252" s="40">
        <v>1304802</v>
      </c>
      <c r="Q1252" s="40">
        <v>496548</v>
      </c>
      <c r="R1252" s="40">
        <v>621216</v>
      </c>
      <c r="S1252" s="40">
        <v>354356</v>
      </c>
      <c r="T1252" s="40"/>
      <c r="U1252" s="40">
        <v>0</v>
      </c>
      <c r="V1252" s="40">
        <v>0</v>
      </c>
      <c r="W1252" s="45">
        <f t="shared" si="66"/>
        <v>4769898</v>
      </c>
      <c r="X1252" s="46">
        <f t="shared" si="67"/>
        <v>2.3437257707100327</v>
      </c>
    </row>
    <row r="1253" spans="1:24" s="4" customFormat="1" ht="15" customHeight="1">
      <c r="A1253" s="28" t="s">
        <v>1603</v>
      </c>
      <c r="B1253" s="29">
        <v>3149.63</v>
      </c>
      <c r="C1253" s="30" t="s">
        <v>1991</v>
      </c>
      <c r="D1253" s="2">
        <v>4949595170</v>
      </c>
      <c r="E1253" s="2" t="s">
        <v>33</v>
      </c>
      <c r="F1253" s="2" t="s">
        <v>1992</v>
      </c>
      <c r="G1253" s="28" t="s">
        <v>5</v>
      </c>
      <c r="H1253" s="2" t="s">
        <v>17</v>
      </c>
      <c r="I1253" s="2">
        <v>2</v>
      </c>
      <c r="J1253" s="2" t="s">
        <v>1993</v>
      </c>
      <c r="K1253" s="2">
        <v>15045.27</v>
      </c>
      <c r="L1253" s="35">
        <f t="shared" si="65"/>
        <v>47387033.750100002</v>
      </c>
      <c r="M1253" s="36">
        <v>430</v>
      </c>
      <c r="N1253" s="40">
        <v>237928.49350649401</v>
      </c>
      <c r="O1253" s="40">
        <v>319452.39826839801</v>
      </c>
      <c r="P1253" s="40">
        <v>0</v>
      </c>
      <c r="Q1253" s="40">
        <v>73944.7359307359</v>
      </c>
      <c r="R1253" s="40">
        <f>486373+82357</f>
        <v>568730</v>
      </c>
      <c r="S1253" s="40">
        <v>131924.744588745</v>
      </c>
      <c r="T1253" s="40"/>
      <c r="U1253" s="40">
        <v>3784595.6709956699</v>
      </c>
      <c r="V1253" s="40">
        <v>0</v>
      </c>
      <c r="W1253" s="45">
        <f t="shared" si="66"/>
        <v>5116576.0432900432</v>
      </c>
      <c r="X1253" s="46">
        <f t="shared" si="67"/>
        <v>10.797417855426001</v>
      </c>
    </row>
    <row r="1254" spans="1:24" s="4" customFormat="1" ht="15" customHeight="1">
      <c r="A1254" s="28" t="s">
        <v>1603</v>
      </c>
      <c r="B1254" s="29">
        <v>3149.63</v>
      </c>
      <c r="C1254" s="30" t="s">
        <v>1991</v>
      </c>
      <c r="D1254" s="2">
        <v>4949595170</v>
      </c>
      <c r="E1254" s="2" t="s">
        <v>33</v>
      </c>
      <c r="F1254" s="2" t="s">
        <v>1992</v>
      </c>
      <c r="G1254" s="28" t="s">
        <v>5</v>
      </c>
      <c r="H1254" s="2" t="s">
        <v>17</v>
      </c>
      <c r="I1254" s="2">
        <v>2</v>
      </c>
      <c r="J1254" s="2" t="s">
        <v>1993</v>
      </c>
      <c r="K1254" s="2">
        <v>25809.83</v>
      </c>
      <c r="L1254" s="35">
        <f t="shared" si="65"/>
        <v>81291414.862900004</v>
      </c>
      <c r="M1254" s="36">
        <v>430</v>
      </c>
      <c r="N1254" s="40">
        <v>237928.49350649401</v>
      </c>
      <c r="O1254" s="40">
        <v>319452.39826839801</v>
      </c>
      <c r="P1254" s="40">
        <v>0</v>
      </c>
      <c r="Q1254" s="40">
        <v>73944.7359307359</v>
      </c>
      <c r="R1254" s="40">
        <f>486373+82357</f>
        <v>568730</v>
      </c>
      <c r="S1254" s="40">
        <v>131924.744588745</v>
      </c>
      <c r="T1254" s="40"/>
      <c r="U1254" s="40">
        <v>3784595.6709956699</v>
      </c>
      <c r="V1254" s="40">
        <v>0</v>
      </c>
      <c r="W1254" s="45">
        <f t="shared" si="66"/>
        <v>5116576.0432900432</v>
      </c>
      <c r="X1254" s="46">
        <f t="shared" si="67"/>
        <v>6.2941161153601222</v>
      </c>
    </row>
    <row r="1255" spans="1:24" s="4" customFormat="1" ht="15" customHeight="1">
      <c r="A1255" s="28" t="s">
        <v>1603</v>
      </c>
      <c r="B1255" s="29">
        <v>3149.63</v>
      </c>
      <c r="C1255" s="30" t="s">
        <v>1991</v>
      </c>
      <c r="D1255" s="2">
        <v>4949595170</v>
      </c>
      <c r="E1255" s="2" t="s">
        <v>33</v>
      </c>
      <c r="F1255" s="2" t="s">
        <v>1992</v>
      </c>
      <c r="G1255" s="28" t="s">
        <v>5</v>
      </c>
      <c r="H1255" s="2" t="s">
        <v>17</v>
      </c>
      <c r="I1255" s="2">
        <v>2</v>
      </c>
      <c r="J1255" s="2" t="s">
        <v>1993</v>
      </c>
      <c r="K1255" s="2">
        <v>13740</v>
      </c>
      <c r="L1255" s="35">
        <f t="shared" si="65"/>
        <v>43275916.200000003</v>
      </c>
      <c r="M1255" s="36">
        <v>125</v>
      </c>
      <c r="N1255" s="40">
        <v>69165.259740259702</v>
      </c>
      <c r="O1255" s="40">
        <v>92864.069264069301</v>
      </c>
      <c r="P1255" s="40">
        <v>0</v>
      </c>
      <c r="Q1255" s="40">
        <v>21495.562770562799</v>
      </c>
      <c r="R1255" s="40">
        <f>141388+23941</f>
        <v>165329</v>
      </c>
      <c r="S1255" s="40">
        <v>38350.216450216503</v>
      </c>
      <c r="T1255" s="40"/>
      <c r="U1255" s="40">
        <v>1100173.16017316</v>
      </c>
      <c r="V1255" s="40">
        <v>0</v>
      </c>
      <c r="W1255" s="45">
        <f t="shared" si="66"/>
        <v>1487377.2683982681</v>
      </c>
      <c r="X1255" s="46">
        <f t="shared" si="67"/>
        <v>3.4369630940321216</v>
      </c>
    </row>
    <row r="1256" spans="1:24" s="4" customFormat="1" ht="15" customHeight="1">
      <c r="A1256" s="28" t="s">
        <v>1603</v>
      </c>
      <c r="B1256" s="29">
        <v>3149.63</v>
      </c>
      <c r="C1256" s="30" t="s">
        <v>1991</v>
      </c>
      <c r="D1256" s="2">
        <v>4949595170</v>
      </c>
      <c r="E1256" s="2" t="s">
        <v>33</v>
      </c>
      <c r="F1256" s="2" t="s">
        <v>1992</v>
      </c>
      <c r="G1256" s="28" t="s">
        <v>5</v>
      </c>
      <c r="H1256" s="2" t="s">
        <v>17</v>
      </c>
      <c r="I1256" s="2">
        <v>2</v>
      </c>
      <c r="J1256" s="2" t="s">
        <v>1993</v>
      </c>
      <c r="K1256" s="2">
        <v>17544</v>
      </c>
      <c r="L1256" s="35">
        <f t="shared" si="65"/>
        <v>55257108.719999999</v>
      </c>
      <c r="M1256" s="36">
        <v>170</v>
      </c>
      <c r="N1256" s="40">
        <v>94064.753246753302</v>
      </c>
      <c r="O1256" s="40">
        <v>126295.134199134</v>
      </c>
      <c r="P1256" s="40">
        <v>0</v>
      </c>
      <c r="Q1256" s="40">
        <v>29233.9653679654</v>
      </c>
      <c r="R1256" s="40">
        <f>192287+32560</f>
        <v>224847</v>
      </c>
      <c r="S1256" s="40">
        <v>52156.294372294396</v>
      </c>
      <c r="T1256" s="40"/>
      <c r="U1256" s="40">
        <v>1496235.4978354999</v>
      </c>
      <c r="V1256" s="40">
        <v>0</v>
      </c>
      <c r="W1256" s="45">
        <f t="shared" si="66"/>
        <v>2022832.6450216472</v>
      </c>
      <c r="X1256" s="46">
        <f t="shared" si="67"/>
        <v>3.6607645457379752</v>
      </c>
    </row>
    <row r="1257" spans="1:24" s="4" customFormat="1" ht="15" customHeight="1">
      <c r="A1257" s="28" t="s">
        <v>1603</v>
      </c>
      <c r="B1257" s="29">
        <v>3149.63</v>
      </c>
      <c r="C1257" s="30" t="s">
        <v>1994</v>
      </c>
      <c r="D1257" s="2">
        <v>4947010969</v>
      </c>
      <c r="E1257" s="2" t="s">
        <v>6</v>
      </c>
      <c r="F1257" s="2" t="s">
        <v>1995</v>
      </c>
      <c r="G1257" s="28" t="s">
        <v>5</v>
      </c>
      <c r="H1257" s="2" t="s">
        <v>20</v>
      </c>
      <c r="I1257" s="2">
        <v>1</v>
      </c>
      <c r="J1257" s="2" t="s">
        <v>1996</v>
      </c>
      <c r="K1257" s="2">
        <v>33840</v>
      </c>
      <c r="L1257" s="35">
        <f t="shared" si="65"/>
        <v>106583479.2</v>
      </c>
      <c r="M1257" s="36">
        <v>1440</v>
      </c>
      <c r="N1257" s="40">
        <v>175501.714285714</v>
      </c>
      <c r="O1257" s="40">
        <v>155114.285714286</v>
      </c>
      <c r="P1257" s="40">
        <v>0</v>
      </c>
      <c r="Q1257" s="40">
        <v>37832</v>
      </c>
      <c r="R1257" s="40">
        <f>371289+76190</f>
        <v>447479</v>
      </c>
      <c r="S1257" s="40">
        <v>134992.76190476201</v>
      </c>
      <c r="T1257" s="40">
        <v>30000</v>
      </c>
      <c r="U1257" s="40">
        <v>997714.28571428603</v>
      </c>
      <c r="V1257" s="40">
        <v>0</v>
      </c>
      <c r="W1257" s="45">
        <f t="shared" si="66"/>
        <v>1978634.047619048</v>
      </c>
      <c r="X1257" s="46">
        <f t="shared" si="67"/>
        <v>1.8564172069352451</v>
      </c>
    </row>
    <row r="1258" spans="1:24" s="4" customFormat="1" ht="15" customHeight="1">
      <c r="A1258" s="28" t="s">
        <v>1603</v>
      </c>
      <c r="B1258" s="29">
        <v>3149.63</v>
      </c>
      <c r="C1258" s="30" t="s">
        <v>1994</v>
      </c>
      <c r="D1258" s="2">
        <v>4947226202</v>
      </c>
      <c r="E1258" s="2" t="s">
        <v>6</v>
      </c>
      <c r="F1258" s="2" t="s">
        <v>1995</v>
      </c>
      <c r="G1258" s="28" t="s">
        <v>5</v>
      </c>
      <c r="H1258" s="2" t="s">
        <v>20</v>
      </c>
      <c r="I1258" s="2">
        <v>1</v>
      </c>
      <c r="J1258" s="2" t="s">
        <v>1996</v>
      </c>
      <c r="K1258" s="2">
        <v>45120</v>
      </c>
      <c r="L1258" s="35">
        <f t="shared" si="65"/>
        <v>142111305.59999999</v>
      </c>
      <c r="M1258" s="36">
        <v>1920</v>
      </c>
      <c r="N1258" s="40">
        <v>234002.285714286</v>
      </c>
      <c r="O1258" s="40">
        <v>206819.04761904801</v>
      </c>
      <c r="P1258" s="40">
        <v>0</v>
      </c>
      <c r="Q1258" s="40">
        <v>50442.666666666701</v>
      </c>
      <c r="R1258" s="40">
        <f>495052+101587</f>
        <v>596639</v>
      </c>
      <c r="S1258" s="40">
        <v>179990.349206349</v>
      </c>
      <c r="T1258" s="40">
        <v>30000</v>
      </c>
      <c r="U1258" s="40">
        <v>1330285.7142857099</v>
      </c>
      <c r="V1258" s="40">
        <v>0</v>
      </c>
      <c r="W1258" s="45">
        <f t="shared" si="66"/>
        <v>2628179.0634920597</v>
      </c>
      <c r="X1258" s="46">
        <f t="shared" si="67"/>
        <v>1.8493807036644803</v>
      </c>
    </row>
    <row r="1259" spans="1:24" s="4" customFormat="1" ht="15" customHeight="1">
      <c r="A1259" s="28" t="s">
        <v>1603</v>
      </c>
      <c r="B1259" s="29">
        <v>3149.63</v>
      </c>
      <c r="C1259" s="30" t="s">
        <v>1994</v>
      </c>
      <c r="D1259" s="2">
        <v>4947189181</v>
      </c>
      <c r="E1259" s="2" t="s">
        <v>6</v>
      </c>
      <c r="F1259" s="2" t="s">
        <v>1995</v>
      </c>
      <c r="G1259" s="28" t="s">
        <v>5</v>
      </c>
      <c r="H1259" s="2" t="s">
        <v>20</v>
      </c>
      <c r="I1259" s="2">
        <v>1</v>
      </c>
      <c r="J1259" s="2" t="s">
        <v>1996</v>
      </c>
      <c r="K1259" s="2">
        <v>23142</v>
      </c>
      <c r="L1259" s="35">
        <f t="shared" si="65"/>
        <v>72888737.460000008</v>
      </c>
      <c r="M1259" s="36">
        <v>420</v>
      </c>
      <c r="N1259" s="40">
        <v>51188</v>
      </c>
      <c r="O1259" s="40">
        <v>45241.666666666701</v>
      </c>
      <c r="P1259" s="40">
        <v>0</v>
      </c>
      <c r="Q1259" s="40">
        <v>11034.333333333299</v>
      </c>
      <c r="R1259" s="40">
        <f>108293+22222</f>
        <v>130515</v>
      </c>
      <c r="S1259" s="40">
        <v>39372.888888888898</v>
      </c>
      <c r="T1259" s="40">
        <v>30000</v>
      </c>
      <c r="U1259" s="40">
        <v>291000</v>
      </c>
      <c r="V1259" s="40">
        <v>0</v>
      </c>
      <c r="W1259" s="45">
        <f t="shared" si="66"/>
        <v>598351.88888888888</v>
      </c>
      <c r="X1259" s="46">
        <f t="shared" si="67"/>
        <v>0.82091130912680887</v>
      </c>
    </row>
    <row r="1260" spans="1:24" s="4" customFormat="1" ht="15" customHeight="1">
      <c r="A1260" s="28" t="s">
        <v>1603</v>
      </c>
      <c r="B1260" s="29">
        <v>3149.63</v>
      </c>
      <c r="C1260" s="30" t="s">
        <v>1997</v>
      </c>
      <c r="D1260" s="2">
        <v>4948951741</v>
      </c>
      <c r="E1260" s="2" t="s">
        <v>14</v>
      </c>
      <c r="F1260" s="2" t="s">
        <v>1998</v>
      </c>
      <c r="G1260" s="28" t="s">
        <v>5</v>
      </c>
      <c r="H1260" s="2" t="s">
        <v>20</v>
      </c>
      <c r="I1260" s="2">
        <v>1</v>
      </c>
      <c r="J1260" s="2" t="s">
        <v>1999</v>
      </c>
      <c r="K1260" s="2">
        <v>15040</v>
      </c>
      <c r="L1260" s="35">
        <f t="shared" si="65"/>
        <v>47370435.200000003</v>
      </c>
      <c r="M1260" s="36">
        <v>16000</v>
      </c>
      <c r="N1260" s="40">
        <v>461259</v>
      </c>
      <c r="O1260" s="40">
        <v>327035</v>
      </c>
      <c r="P1260" s="40">
        <v>208768</v>
      </c>
      <c r="Q1260" s="40">
        <v>99309</v>
      </c>
      <c r="R1260" s="40">
        <v>621719</v>
      </c>
      <c r="S1260" s="40">
        <v>354356</v>
      </c>
      <c r="T1260" s="40">
        <v>30000</v>
      </c>
      <c r="U1260" s="40">
        <v>0</v>
      </c>
      <c r="V1260" s="40">
        <v>0</v>
      </c>
      <c r="W1260" s="45">
        <f t="shared" si="66"/>
        <v>2102446</v>
      </c>
      <c r="X1260" s="46">
        <f t="shared" si="67"/>
        <v>4.4383083902931926</v>
      </c>
    </row>
    <row r="1261" spans="1:24" s="4" customFormat="1" ht="15" customHeight="1">
      <c r="A1261" s="28" t="s">
        <v>1603</v>
      </c>
      <c r="B1261" s="29">
        <v>3149.63</v>
      </c>
      <c r="C1261" s="30" t="s">
        <v>2000</v>
      </c>
      <c r="D1261" s="2">
        <v>4949591262</v>
      </c>
      <c r="E1261" s="2" t="s">
        <v>38</v>
      </c>
      <c r="F1261" s="2" t="s">
        <v>2001</v>
      </c>
      <c r="G1261" s="28" t="s">
        <v>5</v>
      </c>
      <c r="H1261" s="2" t="s">
        <v>17</v>
      </c>
      <c r="I1261" s="2">
        <v>1</v>
      </c>
      <c r="J1261" s="2" t="s">
        <v>2002</v>
      </c>
      <c r="K1261" s="2">
        <v>3260</v>
      </c>
      <c r="L1261" s="35">
        <f t="shared" si="65"/>
        <v>10267793.800000001</v>
      </c>
      <c r="M1261" s="36">
        <v>1000</v>
      </c>
      <c r="N1261" s="40">
        <v>27099.529411764699</v>
      </c>
      <c r="O1261" s="40">
        <v>25237.176470588201</v>
      </c>
      <c r="P1261" s="40">
        <v>0</v>
      </c>
      <c r="Q1261" s="40">
        <v>5841.7058823529396</v>
      </c>
      <c r="R1261" s="40">
        <f>31285+11765</f>
        <v>43050</v>
      </c>
      <c r="S1261" s="40">
        <v>20844.470588235301</v>
      </c>
      <c r="T1261" s="40"/>
      <c r="U1261" s="40">
        <v>1999661</v>
      </c>
      <c r="V1261" s="40">
        <v>0</v>
      </c>
      <c r="W1261" s="45">
        <f t="shared" si="66"/>
        <v>2121733.8823529412</v>
      </c>
      <c r="X1261" s="46">
        <f t="shared" si="67"/>
        <v>20.663970505065471</v>
      </c>
    </row>
    <row r="1262" spans="1:24" s="4" customFormat="1" ht="15" customHeight="1">
      <c r="A1262" s="28" t="s">
        <v>1603</v>
      </c>
      <c r="B1262" s="29">
        <v>3149.63</v>
      </c>
      <c r="C1262" s="30" t="s">
        <v>2000</v>
      </c>
      <c r="D1262" s="2">
        <v>4948605871</v>
      </c>
      <c r="E1262" s="2" t="s">
        <v>18</v>
      </c>
      <c r="F1262" s="2" t="s">
        <v>2001</v>
      </c>
      <c r="G1262" s="28" t="s">
        <v>5</v>
      </c>
      <c r="H1262" s="2" t="s">
        <v>17</v>
      </c>
      <c r="I1262" s="2">
        <v>1</v>
      </c>
      <c r="J1262" s="2" t="s">
        <v>2002</v>
      </c>
      <c r="K1262" s="2">
        <v>68640</v>
      </c>
      <c r="L1262" s="35">
        <f t="shared" si="65"/>
        <v>216190603.20000002</v>
      </c>
      <c r="M1262" s="36">
        <v>16000</v>
      </c>
      <c r="N1262" s="40">
        <v>433592.47058823501</v>
      </c>
      <c r="O1262" s="40">
        <v>403794.82352941198</v>
      </c>
      <c r="P1262" s="40">
        <v>0</v>
      </c>
      <c r="Q1262" s="40">
        <v>93467.294117647107</v>
      </c>
      <c r="R1262" s="40">
        <f>500567+188235</f>
        <v>688802</v>
      </c>
      <c r="S1262" s="40">
        <v>333511.52941176499</v>
      </c>
      <c r="T1262" s="40">
        <v>30000</v>
      </c>
      <c r="U1262" s="40">
        <f>4781550+665000</f>
        <v>5446550</v>
      </c>
      <c r="V1262" s="40">
        <v>0</v>
      </c>
      <c r="W1262" s="45">
        <f t="shared" si="66"/>
        <v>7429718.1176470593</v>
      </c>
      <c r="X1262" s="46">
        <f t="shared" si="67"/>
        <v>3.436651735863725</v>
      </c>
    </row>
    <row r="1263" spans="1:24" s="4" customFormat="1" ht="15" customHeight="1">
      <c r="A1263" s="28" t="s">
        <v>1603</v>
      </c>
      <c r="B1263" s="29">
        <v>3149.63</v>
      </c>
      <c r="C1263" s="30" t="s">
        <v>2003</v>
      </c>
      <c r="D1263" s="2">
        <v>4947229913</v>
      </c>
      <c r="E1263" s="2" t="s">
        <v>6</v>
      </c>
      <c r="F1263" s="2" t="s">
        <v>2004</v>
      </c>
      <c r="G1263" s="28" t="s">
        <v>5</v>
      </c>
      <c r="H1263" s="2" t="s">
        <v>20</v>
      </c>
      <c r="I1263" s="2">
        <v>1</v>
      </c>
      <c r="J1263" s="2" t="s">
        <v>2005</v>
      </c>
      <c r="K1263" s="2">
        <v>91800</v>
      </c>
      <c r="L1263" s="35">
        <f t="shared" si="65"/>
        <v>289136034</v>
      </c>
      <c r="M1263" s="36">
        <v>7200</v>
      </c>
      <c r="N1263" s="40">
        <v>460692</v>
      </c>
      <c r="O1263" s="40">
        <v>407175</v>
      </c>
      <c r="P1263" s="40">
        <v>0</v>
      </c>
      <c r="Q1263" s="40">
        <v>124137</v>
      </c>
      <c r="R1263" s="40">
        <v>726469</v>
      </c>
      <c r="S1263" s="40">
        <v>354356</v>
      </c>
      <c r="T1263" s="40">
        <v>30000</v>
      </c>
      <c r="U1263" s="40">
        <v>2900300</v>
      </c>
      <c r="V1263" s="40">
        <v>0</v>
      </c>
      <c r="W1263" s="45">
        <f t="shared" si="66"/>
        <v>5003129</v>
      </c>
      <c r="X1263" s="46">
        <f t="shared" si="67"/>
        <v>1.73037200890706</v>
      </c>
    </row>
    <row r="1264" spans="1:24" s="4" customFormat="1" ht="15" customHeight="1">
      <c r="A1264" s="28" t="s">
        <v>1603</v>
      </c>
      <c r="B1264" s="29">
        <v>3149.63</v>
      </c>
      <c r="C1264" s="30" t="s">
        <v>2006</v>
      </c>
      <c r="D1264" s="2">
        <v>4947223085</v>
      </c>
      <c r="E1264" s="2" t="s">
        <v>6</v>
      </c>
      <c r="F1264" s="2" t="s">
        <v>2007</v>
      </c>
      <c r="G1264" s="28" t="s">
        <v>5</v>
      </c>
      <c r="H1264" s="2" t="s">
        <v>17</v>
      </c>
      <c r="I1264" s="2">
        <v>4</v>
      </c>
      <c r="J1264" s="2" t="s">
        <v>2008</v>
      </c>
      <c r="K1264" s="2">
        <v>245108</v>
      </c>
      <c r="L1264" s="35">
        <f t="shared" si="65"/>
        <v>771999510.04000008</v>
      </c>
      <c r="M1264" s="36">
        <v>25200</v>
      </c>
      <c r="N1264" s="40">
        <v>1278174</v>
      </c>
      <c r="O1264" s="40">
        <v>2138685</v>
      </c>
      <c r="P1264" s="40">
        <v>0</v>
      </c>
      <c r="Q1264" s="40">
        <v>496548</v>
      </c>
      <c r="R1264" s="40">
        <v>3873429</v>
      </c>
      <c r="S1264" s="40">
        <v>354356</v>
      </c>
      <c r="T1264" s="40">
        <v>30000</v>
      </c>
      <c r="U1264" s="40">
        <v>18779200</v>
      </c>
      <c r="V1264" s="40">
        <v>0</v>
      </c>
      <c r="W1264" s="45">
        <f t="shared" si="66"/>
        <v>26950392</v>
      </c>
      <c r="X1264" s="46">
        <f t="shared" si="67"/>
        <v>3.4909856352892765</v>
      </c>
    </row>
    <row r="1265" spans="1:24" s="4" customFormat="1" ht="15" customHeight="1">
      <c r="A1265" s="28" t="s">
        <v>1603</v>
      </c>
      <c r="B1265" s="29">
        <v>3149.63</v>
      </c>
      <c r="C1265" s="30" t="s">
        <v>2009</v>
      </c>
      <c r="D1265" s="2">
        <v>4949416084</v>
      </c>
      <c r="E1265" s="2" t="s">
        <v>14</v>
      </c>
      <c r="F1265" s="2" t="s">
        <v>2010</v>
      </c>
      <c r="G1265" s="28" t="s">
        <v>5</v>
      </c>
      <c r="H1265" s="2" t="s">
        <v>20</v>
      </c>
      <c r="I1265" s="2">
        <v>1</v>
      </c>
      <c r="J1265" s="2" t="s">
        <v>2011</v>
      </c>
      <c r="K1265" s="2">
        <v>4944</v>
      </c>
      <c r="L1265" s="35">
        <f t="shared" si="65"/>
        <v>15571770.720000001</v>
      </c>
      <c r="M1265" s="36">
        <v>600</v>
      </c>
      <c r="N1265" s="40">
        <v>22550.300230946901</v>
      </c>
      <c r="O1265" s="40">
        <v>22658.314087759802</v>
      </c>
      <c r="P1265" s="40">
        <v>0</v>
      </c>
      <c r="Q1265" s="40">
        <v>6880.5311778290998</v>
      </c>
      <c r="R1265" s="40">
        <v>45477.845265588898</v>
      </c>
      <c r="S1265" s="40">
        <v>24551.224018475801</v>
      </c>
      <c r="T1265" s="40">
        <v>30000</v>
      </c>
      <c r="U1265" s="40">
        <v>298296.82997118199</v>
      </c>
      <c r="V1265" s="40">
        <v>0</v>
      </c>
      <c r="W1265" s="45">
        <f t="shared" si="66"/>
        <v>450415.04475178249</v>
      </c>
      <c r="X1265" s="46">
        <f t="shared" si="67"/>
        <v>2.8925101252183252</v>
      </c>
    </row>
    <row r="1266" spans="1:24" s="4" customFormat="1" ht="15" customHeight="1">
      <c r="A1266" s="28" t="s">
        <v>1603</v>
      </c>
      <c r="B1266" s="29">
        <v>3149.63</v>
      </c>
      <c r="C1266" s="30" t="s">
        <v>2009</v>
      </c>
      <c r="D1266" s="2">
        <v>4948830213</v>
      </c>
      <c r="E1266" s="2" t="s">
        <v>14</v>
      </c>
      <c r="F1266" s="2" t="s">
        <v>2010</v>
      </c>
      <c r="G1266" s="28" t="s">
        <v>5</v>
      </c>
      <c r="H1266" s="2" t="s">
        <v>20</v>
      </c>
      <c r="I1266" s="2">
        <v>1</v>
      </c>
      <c r="J1266" s="2" t="s">
        <v>2011</v>
      </c>
      <c r="K1266" s="2">
        <v>9456</v>
      </c>
      <c r="L1266" s="35">
        <f t="shared" si="65"/>
        <v>29782901.280000001</v>
      </c>
      <c r="M1266" s="36">
        <v>4800</v>
      </c>
      <c r="N1266" s="40">
        <v>180402.40184757501</v>
      </c>
      <c r="O1266" s="40">
        <v>181266.512702079</v>
      </c>
      <c r="P1266" s="40">
        <v>0</v>
      </c>
      <c r="Q1266" s="40">
        <v>55044.249422632798</v>
      </c>
      <c r="R1266" s="40">
        <v>363825.76212471101</v>
      </c>
      <c r="S1266" s="40">
        <v>196409.792147806</v>
      </c>
      <c r="T1266" s="40">
        <v>30000</v>
      </c>
      <c r="U1266" s="40">
        <v>2386374.6397694498</v>
      </c>
      <c r="V1266" s="40">
        <v>0</v>
      </c>
      <c r="W1266" s="45">
        <f t="shared" si="66"/>
        <v>3393323.3580142539</v>
      </c>
      <c r="X1266" s="46">
        <f t="shared" si="67"/>
        <v>11.393528542140249</v>
      </c>
    </row>
    <row r="1267" spans="1:24" s="4" customFormat="1" ht="15" customHeight="1">
      <c r="A1267" s="28" t="s">
        <v>1603</v>
      </c>
      <c r="B1267" s="29">
        <v>3149.63</v>
      </c>
      <c r="C1267" s="30" t="s">
        <v>2009</v>
      </c>
      <c r="D1267" s="2">
        <v>4949366045</v>
      </c>
      <c r="E1267" s="2" t="s">
        <v>14</v>
      </c>
      <c r="F1267" s="2" t="s">
        <v>2010</v>
      </c>
      <c r="G1267" s="28" t="s">
        <v>5</v>
      </c>
      <c r="H1267" s="2" t="s">
        <v>20</v>
      </c>
      <c r="I1267" s="2">
        <v>1</v>
      </c>
      <c r="J1267" s="2" t="s">
        <v>2011</v>
      </c>
      <c r="K1267" s="2">
        <v>9325.7999999999993</v>
      </c>
      <c r="L1267" s="35">
        <f t="shared" si="65"/>
        <v>29372819.454</v>
      </c>
      <c r="M1267" s="36">
        <v>540</v>
      </c>
      <c r="N1267" s="40">
        <v>20295.270207852202</v>
      </c>
      <c r="O1267" s="40">
        <v>20392.482678983801</v>
      </c>
      <c r="P1267" s="40">
        <v>0</v>
      </c>
      <c r="Q1267" s="40">
        <v>6192.47806004619</v>
      </c>
      <c r="R1267" s="40">
        <f>33901.96073903+7028</f>
        <v>40929.960739030001</v>
      </c>
      <c r="S1267" s="40">
        <v>22096.101616628199</v>
      </c>
      <c r="T1267" s="40">
        <v>30000</v>
      </c>
      <c r="U1267" s="40">
        <v>268467.14697406301</v>
      </c>
      <c r="V1267" s="40">
        <v>0</v>
      </c>
      <c r="W1267" s="45">
        <f t="shared" si="66"/>
        <v>408373.44027660345</v>
      </c>
      <c r="X1267" s="46">
        <f t="shared" si="67"/>
        <v>1.3903106609024929</v>
      </c>
    </row>
    <row r="1268" spans="1:24" s="4" customFormat="1" ht="15" customHeight="1">
      <c r="A1268" s="28" t="s">
        <v>1603</v>
      </c>
      <c r="B1268" s="29">
        <v>3149.63</v>
      </c>
      <c r="C1268" s="30" t="s">
        <v>2009</v>
      </c>
      <c r="D1268" s="2">
        <v>4949366041</v>
      </c>
      <c r="E1268" s="2" t="s">
        <v>14</v>
      </c>
      <c r="F1268" s="2" t="s">
        <v>2010</v>
      </c>
      <c r="G1268" s="28" t="s">
        <v>5</v>
      </c>
      <c r="H1268" s="2" t="s">
        <v>20</v>
      </c>
      <c r="I1268" s="2">
        <v>1</v>
      </c>
      <c r="J1268" s="2" t="s">
        <v>2011</v>
      </c>
      <c r="K1268" s="2">
        <v>4248.3999999999996</v>
      </c>
      <c r="L1268" s="35">
        <f t="shared" si="65"/>
        <v>13380888.092</v>
      </c>
      <c r="M1268" s="36">
        <v>1720</v>
      </c>
      <c r="N1268" s="40">
        <v>37583.833718244801</v>
      </c>
      <c r="O1268" s="40">
        <v>64953.833718244801</v>
      </c>
      <c r="P1268" s="40">
        <v>0</v>
      </c>
      <c r="Q1268" s="40">
        <v>19724.189376443399</v>
      </c>
      <c r="R1268" s="40">
        <f>62781.4087759815+13016</f>
        <v>75797.408775981501</v>
      </c>
      <c r="S1268" s="40">
        <v>40918.706697459602</v>
      </c>
      <c r="T1268" s="40">
        <v>30000</v>
      </c>
      <c r="U1268" s="40">
        <v>497161.38328530302</v>
      </c>
      <c r="V1268" s="40">
        <v>0</v>
      </c>
      <c r="W1268" s="45">
        <f t="shared" si="66"/>
        <v>766139.35557167709</v>
      </c>
      <c r="X1268" s="46">
        <f t="shared" si="67"/>
        <v>5.7256241163075492</v>
      </c>
    </row>
    <row r="1269" spans="1:24" s="4" customFormat="1" ht="15" customHeight="1">
      <c r="A1269" s="28" t="s">
        <v>1603</v>
      </c>
      <c r="B1269" s="29">
        <v>3149.63</v>
      </c>
      <c r="C1269" s="30" t="s">
        <v>2009</v>
      </c>
      <c r="D1269" s="2">
        <v>4949331969</v>
      </c>
      <c r="E1269" s="2" t="s">
        <v>14</v>
      </c>
      <c r="F1269" s="2" t="s">
        <v>2010</v>
      </c>
      <c r="G1269" s="28" t="s">
        <v>5</v>
      </c>
      <c r="H1269" s="2" t="s">
        <v>20</v>
      </c>
      <c r="I1269" s="2">
        <v>1</v>
      </c>
      <c r="J1269" s="2" t="s">
        <v>2011</v>
      </c>
      <c r="K1269" s="2">
        <v>6410</v>
      </c>
      <c r="L1269" s="35">
        <f t="shared" si="65"/>
        <v>20189128.300000001</v>
      </c>
      <c r="M1269" s="36">
        <v>1000</v>
      </c>
      <c r="N1269" s="40">
        <v>64644.193995381102</v>
      </c>
      <c r="O1269" s="40">
        <v>37763.856812933001</v>
      </c>
      <c r="P1269" s="40">
        <v>0</v>
      </c>
      <c r="Q1269" s="40">
        <v>11467.5519630485</v>
      </c>
      <c r="R1269" s="40">
        <v>130371.023094688</v>
      </c>
      <c r="S1269" s="40">
        <v>70380.175519630502</v>
      </c>
      <c r="T1269" s="40">
        <v>30000</v>
      </c>
      <c r="U1269" s="40">
        <v>0</v>
      </c>
      <c r="V1269" s="40">
        <v>0</v>
      </c>
      <c r="W1269" s="45">
        <f t="shared" si="66"/>
        <v>344626.80138568109</v>
      </c>
      <c r="X1269" s="46">
        <f t="shared" si="67"/>
        <v>1.7069919823417095</v>
      </c>
    </row>
    <row r="1270" spans="1:24" s="4" customFormat="1" ht="15" customHeight="1">
      <c r="A1270" s="28" t="s">
        <v>1603</v>
      </c>
      <c r="B1270" s="29">
        <v>3149.63</v>
      </c>
      <c r="C1270" s="30" t="s">
        <v>2012</v>
      </c>
      <c r="D1270" s="2">
        <v>4949661984</v>
      </c>
      <c r="E1270" s="2" t="s">
        <v>14</v>
      </c>
      <c r="F1270" s="2" t="s">
        <v>2013</v>
      </c>
      <c r="G1270" s="28" t="s">
        <v>5</v>
      </c>
      <c r="H1270" s="2" t="s">
        <v>17</v>
      </c>
      <c r="I1270" s="2">
        <v>1</v>
      </c>
      <c r="J1270" s="2" t="s">
        <v>2014</v>
      </c>
      <c r="K1270" s="2">
        <v>3420</v>
      </c>
      <c r="L1270" s="35">
        <f t="shared" si="65"/>
        <v>10771734.6</v>
      </c>
      <c r="M1270" s="36">
        <v>400</v>
      </c>
      <c r="N1270" s="40">
        <v>7324.3544303797498</v>
      </c>
      <c r="O1270" s="40">
        <v>9654.7285513361494</v>
      </c>
      <c r="P1270" s="40">
        <v>0</v>
      </c>
      <c r="Q1270" s="40">
        <v>2234.8016877637101</v>
      </c>
      <c r="R1270" s="40">
        <f>12163.1054852321+4890</f>
        <v>17053.105485232099</v>
      </c>
      <c r="S1270" s="40">
        <v>7974.2559774964802</v>
      </c>
      <c r="T1270" s="40">
        <v>30000</v>
      </c>
      <c r="U1270" s="40">
        <v>141229.81715893099</v>
      </c>
      <c r="V1270" s="40">
        <v>0</v>
      </c>
      <c r="W1270" s="45">
        <f t="shared" si="66"/>
        <v>215471.06329113917</v>
      </c>
      <c r="X1270" s="46">
        <f t="shared" si="67"/>
        <v>2.000337654913436</v>
      </c>
    </row>
    <row r="1271" spans="1:24" s="4" customFormat="1" ht="15" customHeight="1">
      <c r="A1271" s="28" t="s">
        <v>1603</v>
      </c>
      <c r="B1271" s="29">
        <v>3149.63</v>
      </c>
      <c r="C1271" s="30" t="s">
        <v>2012</v>
      </c>
      <c r="D1271" s="2">
        <v>4949661984</v>
      </c>
      <c r="E1271" s="2" t="s">
        <v>14</v>
      </c>
      <c r="F1271" s="2" t="s">
        <v>2013</v>
      </c>
      <c r="G1271" s="28" t="s">
        <v>5</v>
      </c>
      <c r="H1271" s="2" t="s">
        <v>17</v>
      </c>
      <c r="I1271" s="2">
        <v>1</v>
      </c>
      <c r="J1271" s="2" t="s">
        <v>2014</v>
      </c>
      <c r="K1271" s="2">
        <v>7760.5</v>
      </c>
      <c r="L1271" s="35">
        <f t="shared" si="65"/>
        <v>24442703.615000002</v>
      </c>
      <c r="M1271" s="36">
        <v>425</v>
      </c>
      <c r="N1271" s="40">
        <v>7782.1265822784799</v>
      </c>
      <c r="O1271" s="40">
        <v>10258.149085794699</v>
      </c>
      <c r="P1271" s="40">
        <v>0</v>
      </c>
      <c r="Q1271" s="40">
        <v>2374.4767932489399</v>
      </c>
      <c r="R1271" s="40">
        <f>12923.2995780591+5196</f>
        <v>18119.299578059101</v>
      </c>
      <c r="S1271" s="40">
        <v>8472.6469760900109</v>
      </c>
      <c r="T1271" s="40">
        <v>30000</v>
      </c>
      <c r="U1271" s="40">
        <v>150056.680731364</v>
      </c>
      <c r="V1271" s="40">
        <v>0</v>
      </c>
      <c r="W1271" s="45">
        <f t="shared" si="66"/>
        <v>227063.37974683521</v>
      </c>
      <c r="X1271" s="46">
        <f t="shared" si="67"/>
        <v>0.92896180113026006</v>
      </c>
    </row>
    <row r="1272" spans="1:24" s="4" customFormat="1" ht="15" customHeight="1">
      <c r="A1272" s="28" t="s">
        <v>1603</v>
      </c>
      <c r="B1272" s="29">
        <v>3149.63</v>
      </c>
      <c r="C1272" s="30" t="s">
        <v>2012</v>
      </c>
      <c r="D1272" s="2">
        <v>4949532975</v>
      </c>
      <c r="E1272" s="2" t="s">
        <v>14</v>
      </c>
      <c r="F1272" s="2" t="s">
        <v>2013</v>
      </c>
      <c r="G1272" s="28" t="s">
        <v>5</v>
      </c>
      <c r="H1272" s="2" t="s">
        <v>17</v>
      </c>
      <c r="I1272" s="2">
        <v>1</v>
      </c>
      <c r="J1272" s="2" t="s">
        <v>2014</v>
      </c>
      <c r="K1272" s="2">
        <v>10113.6</v>
      </c>
      <c r="L1272" s="35">
        <f t="shared" si="65"/>
        <v>31854097.968000002</v>
      </c>
      <c r="M1272" s="36">
        <v>1680</v>
      </c>
      <c r="N1272" s="40">
        <v>30762.288607594899</v>
      </c>
      <c r="O1272" s="40">
        <v>40549.8599156118</v>
      </c>
      <c r="P1272" s="40">
        <v>0</v>
      </c>
      <c r="Q1272" s="40">
        <v>9386.1670886075899</v>
      </c>
      <c r="R1272" s="40">
        <f>51085.0430379747+20539</f>
        <v>71624.043037974698</v>
      </c>
      <c r="S1272" s="40">
        <v>33491.875105485196</v>
      </c>
      <c r="T1272" s="40">
        <v>30000</v>
      </c>
      <c r="U1272" s="40">
        <v>593165.23206751002</v>
      </c>
      <c r="V1272" s="40">
        <v>0</v>
      </c>
      <c r="W1272" s="45">
        <f t="shared" si="66"/>
        <v>808979.46582278423</v>
      </c>
      <c r="X1272" s="46">
        <f t="shared" si="67"/>
        <v>2.5396401638353376</v>
      </c>
    </row>
    <row r="1273" spans="1:24" s="4" customFormat="1" ht="15" customHeight="1">
      <c r="A1273" s="28" t="s">
        <v>1603</v>
      </c>
      <c r="B1273" s="29">
        <v>3149.63</v>
      </c>
      <c r="C1273" s="30" t="s">
        <v>2012</v>
      </c>
      <c r="D1273" s="2" t="s">
        <v>2015</v>
      </c>
      <c r="E1273" s="2" t="s">
        <v>14</v>
      </c>
      <c r="F1273" s="2" t="s">
        <v>2013</v>
      </c>
      <c r="G1273" s="28" t="s">
        <v>5</v>
      </c>
      <c r="H1273" s="2" t="s">
        <v>17</v>
      </c>
      <c r="I1273" s="2">
        <v>1</v>
      </c>
      <c r="J1273" s="2" t="s">
        <v>2014</v>
      </c>
      <c r="K1273" s="2">
        <v>58590</v>
      </c>
      <c r="L1273" s="35">
        <f t="shared" si="65"/>
        <v>184536821.70000002</v>
      </c>
      <c r="M1273" s="36">
        <v>13950</v>
      </c>
      <c r="N1273" s="40">
        <v>255436.86075949401</v>
      </c>
      <c r="O1273" s="40">
        <v>336708.65822784801</v>
      </c>
      <c r="P1273" s="40">
        <v>0</v>
      </c>
      <c r="Q1273" s="40">
        <v>77938.708860759507</v>
      </c>
      <c r="R1273" s="40">
        <v>594737.30379746796</v>
      </c>
      <c r="S1273" s="40">
        <v>278102.17721519002</v>
      </c>
      <c r="T1273" s="40">
        <v>30000</v>
      </c>
      <c r="U1273" s="40">
        <v>4925389.8734177202</v>
      </c>
      <c r="V1273" s="40">
        <v>0</v>
      </c>
      <c r="W1273" s="45">
        <f t="shared" si="66"/>
        <v>6498313.5822784798</v>
      </c>
      <c r="X1273" s="46">
        <f t="shared" si="67"/>
        <v>3.5214183935836578</v>
      </c>
    </row>
    <row r="1274" spans="1:24" s="4" customFormat="1" ht="15" customHeight="1">
      <c r="A1274" s="28" t="s">
        <v>1603</v>
      </c>
      <c r="B1274" s="29">
        <v>3149.63</v>
      </c>
      <c r="C1274" s="30" t="s">
        <v>2012</v>
      </c>
      <c r="D1274" s="2">
        <v>4949532988</v>
      </c>
      <c r="E1274" s="2" t="s">
        <v>14</v>
      </c>
      <c r="F1274" s="2" t="s">
        <v>2013</v>
      </c>
      <c r="G1274" s="28" t="s">
        <v>5</v>
      </c>
      <c r="H1274" s="2" t="s">
        <v>17</v>
      </c>
      <c r="I1274" s="2">
        <v>1</v>
      </c>
      <c r="J1274" s="2" t="s">
        <v>2014</v>
      </c>
      <c r="K1274" s="2">
        <v>8936.4</v>
      </c>
      <c r="L1274" s="35">
        <f t="shared" si="65"/>
        <v>28146353.532000002</v>
      </c>
      <c r="M1274" s="36">
        <v>1320</v>
      </c>
      <c r="N1274" s="40">
        <v>24170.369620253201</v>
      </c>
      <c r="O1274" s="40">
        <v>31860.604219409299</v>
      </c>
      <c r="P1274" s="40">
        <v>0</v>
      </c>
      <c r="Q1274" s="40">
        <v>7374.84556962025</v>
      </c>
      <c r="R1274" s="40">
        <v>56276.248101265803</v>
      </c>
      <c r="S1274" s="40">
        <v>26315.0447257384</v>
      </c>
      <c r="T1274" s="40">
        <v>30000</v>
      </c>
      <c r="U1274" s="40">
        <v>466058.39662447298</v>
      </c>
      <c r="V1274" s="40">
        <v>0</v>
      </c>
      <c r="W1274" s="45">
        <f t="shared" si="66"/>
        <v>642055.5088607599</v>
      </c>
      <c r="X1274" s="46">
        <f t="shared" si="67"/>
        <v>2.2811321123029225</v>
      </c>
    </row>
    <row r="1275" spans="1:24" s="4" customFormat="1" ht="15" customHeight="1">
      <c r="A1275" s="28" t="s">
        <v>1603</v>
      </c>
      <c r="B1275" s="29">
        <v>3149.63</v>
      </c>
      <c r="C1275" s="30" t="s">
        <v>2016</v>
      </c>
      <c r="D1275" s="2">
        <v>4949389401</v>
      </c>
      <c r="E1275" s="2" t="s">
        <v>36</v>
      </c>
      <c r="F1275" s="2" t="s">
        <v>2017</v>
      </c>
      <c r="G1275" s="28" t="s">
        <v>5</v>
      </c>
      <c r="H1275" s="2" t="s">
        <v>26</v>
      </c>
      <c r="I1275" s="2">
        <v>2</v>
      </c>
      <c r="J1275" s="2" t="s">
        <v>2018</v>
      </c>
      <c r="K1275" s="2">
        <v>93524</v>
      </c>
      <c r="L1275" s="35">
        <f t="shared" si="65"/>
        <v>294565996.12</v>
      </c>
      <c r="M1275" s="36">
        <v>50013</v>
      </c>
      <c r="N1275" s="40">
        <v>625424</v>
      </c>
      <c r="O1275" s="40">
        <v>799781</v>
      </c>
      <c r="P1275" s="40">
        <v>2087881</v>
      </c>
      <c r="Q1275" s="40">
        <v>198619</v>
      </c>
      <c r="R1275" s="40">
        <v>1648781</v>
      </c>
      <c r="S1275" s="40">
        <v>354356</v>
      </c>
      <c r="T1275" s="40"/>
      <c r="U1275" s="40">
        <v>0</v>
      </c>
      <c r="V1275" s="40">
        <v>0</v>
      </c>
      <c r="W1275" s="45">
        <f t="shared" si="66"/>
        <v>5714842</v>
      </c>
      <c r="X1275" s="46">
        <f t="shared" si="67"/>
        <v>1.9400888341748357</v>
      </c>
    </row>
    <row r="1276" spans="1:24" s="4" customFormat="1" ht="15" customHeight="1">
      <c r="A1276" s="28" t="s">
        <v>1603</v>
      </c>
      <c r="B1276" s="29">
        <v>3149.63</v>
      </c>
      <c r="C1276" s="30" t="s">
        <v>2019</v>
      </c>
      <c r="D1276" s="2">
        <v>4949194130</v>
      </c>
      <c r="E1276" s="2" t="s">
        <v>36</v>
      </c>
      <c r="F1276" s="2" t="s">
        <v>2020</v>
      </c>
      <c r="G1276" s="28" t="s">
        <v>5</v>
      </c>
      <c r="H1276" s="2" t="s">
        <v>26</v>
      </c>
      <c r="I1276" s="2">
        <v>2</v>
      </c>
      <c r="J1276" s="2" t="s">
        <v>2021</v>
      </c>
      <c r="K1276" s="2">
        <v>75366</v>
      </c>
      <c r="L1276" s="35">
        <f t="shared" si="65"/>
        <v>237375014.58000001</v>
      </c>
      <c r="M1276" s="36">
        <v>44914</v>
      </c>
      <c r="N1276" s="40">
        <v>630115</v>
      </c>
      <c r="O1276" s="40">
        <v>799781</v>
      </c>
      <c r="P1276" s="40">
        <v>2429839</v>
      </c>
      <c r="Q1276" s="40">
        <v>198619</v>
      </c>
      <c r="R1276" s="40">
        <v>1405843</v>
      </c>
      <c r="S1276" s="40">
        <v>354356</v>
      </c>
      <c r="T1276" s="40"/>
      <c r="U1276" s="40">
        <v>0</v>
      </c>
      <c r="V1276" s="40">
        <v>0</v>
      </c>
      <c r="W1276" s="45">
        <f t="shared" si="66"/>
        <v>5818553</v>
      </c>
      <c r="X1276" s="46">
        <f t="shared" si="67"/>
        <v>2.4512070111064843</v>
      </c>
    </row>
    <row r="1277" spans="1:24" s="4" customFormat="1" ht="15" customHeight="1">
      <c r="A1277" s="28" t="s">
        <v>1603</v>
      </c>
      <c r="B1277" s="29">
        <v>3149.63</v>
      </c>
      <c r="C1277" s="30" t="s">
        <v>2022</v>
      </c>
      <c r="D1277" s="2">
        <v>4948777383</v>
      </c>
      <c r="E1277" s="2" t="s">
        <v>14</v>
      </c>
      <c r="F1277" s="78" t="s">
        <v>2023</v>
      </c>
      <c r="G1277" s="28" t="s">
        <v>5</v>
      </c>
      <c r="H1277" s="2" t="s">
        <v>20</v>
      </c>
      <c r="I1277" s="2">
        <v>2</v>
      </c>
      <c r="J1277" s="2" t="s">
        <v>2024</v>
      </c>
      <c r="K1277" s="2">
        <f>36842.4+36842.4</f>
        <v>73684.800000000003</v>
      </c>
      <c r="L1277" s="35">
        <f t="shared" si="65"/>
        <v>232079856.62400001</v>
      </c>
      <c r="M1277" s="36">
        <v>30960</v>
      </c>
      <c r="N1277" s="40">
        <v>641462</v>
      </c>
      <c r="O1277" s="40">
        <v>654071</v>
      </c>
      <c r="P1277" s="40">
        <v>1129779</v>
      </c>
      <c r="Q1277" s="40">
        <v>198619</v>
      </c>
      <c r="R1277" s="40">
        <v>1056162</v>
      </c>
      <c r="S1277" s="40">
        <v>354356</v>
      </c>
      <c r="T1277" s="40">
        <v>30000</v>
      </c>
      <c r="U1277" s="40">
        <v>9059800</v>
      </c>
      <c r="V1277" s="40">
        <v>0</v>
      </c>
      <c r="W1277" s="45">
        <f t="shared" si="66"/>
        <v>13124249</v>
      </c>
      <c r="X1277" s="46">
        <f t="shared" si="67"/>
        <v>5.6550573543584246</v>
      </c>
    </row>
    <row r="1278" spans="1:24" s="4" customFormat="1" ht="15" customHeight="1">
      <c r="A1278" s="28" t="s">
        <v>1603</v>
      </c>
      <c r="B1278" s="29">
        <v>3149.63</v>
      </c>
      <c r="C1278" s="30" t="s">
        <v>2025</v>
      </c>
      <c r="D1278" s="2">
        <v>4949389401</v>
      </c>
      <c r="E1278" s="2" t="s">
        <v>36</v>
      </c>
      <c r="F1278" s="2" t="s">
        <v>2026</v>
      </c>
      <c r="G1278" s="28" t="s">
        <v>5</v>
      </c>
      <c r="H1278" s="2" t="s">
        <v>26</v>
      </c>
      <c r="I1278" s="2">
        <v>1</v>
      </c>
      <c r="J1278" s="2" t="s">
        <v>2027</v>
      </c>
      <c r="K1278" s="2">
        <v>42784.47</v>
      </c>
      <c r="L1278" s="35">
        <f t="shared" si="65"/>
        <v>134755250.24610001</v>
      </c>
      <c r="M1278" s="36">
        <v>25020.154999999999</v>
      </c>
      <c r="N1278" s="40">
        <v>307012</v>
      </c>
      <c r="O1278" s="40">
        <v>399890</v>
      </c>
      <c r="P1278" s="40">
        <v>1025202</v>
      </c>
      <c r="Q1278" s="40">
        <v>99309</v>
      </c>
      <c r="R1278" s="40">
        <v>613209</v>
      </c>
      <c r="S1278" s="40">
        <v>354356</v>
      </c>
      <c r="T1278" s="40"/>
      <c r="U1278" s="40">
        <v>0</v>
      </c>
      <c r="V1278" s="40">
        <v>0</v>
      </c>
      <c r="W1278" s="45">
        <f t="shared" si="66"/>
        <v>2798978</v>
      </c>
      <c r="X1278" s="46">
        <f t="shared" si="67"/>
        <v>2.077082707269883</v>
      </c>
    </row>
    <row r="1279" spans="1:24" s="4" customFormat="1" ht="15" customHeight="1">
      <c r="A1279" s="28" t="s">
        <v>1603</v>
      </c>
      <c r="B1279" s="29">
        <v>3149.63</v>
      </c>
      <c r="C1279" s="30" t="s">
        <v>2028</v>
      </c>
      <c r="D1279" s="2">
        <v>4949571464</v>
      </c>
      <c r="E1279" s="2" t="s">
        <v>14</v>
      </c>
      <c r="F1279" s="2" t="s">
        <v>2029</v>
      </c>
      <c r="G1279" s="28" t="s">
        <v>5</v>
      </c>
      <c r="H1279" s="2" t="s">
        <v>20</v>
      </c>
      <c r="I1279" s="2">
        <v>1</v>
      </c>
      <c r="J1279" s="2" t="s">
        <v>2030</v>
      </c>
      <c r="K1279" s="2">
        <v>5520</v>
      </c>
      <c r="L1279" s="35">
        <f t="shared" si="65"/>
        <v>17385957.600000001</v>
      </c>
      <c r="M1279" s="36">
        <v>2400</v>
      </c>
      <c r="N1279" s="40">
        <v>105480.223880597</v>
      </c>
      <c r="O1279" s="40">
        <v>73216.791044776095</v>
      </c>
      <c r="P1279" s="40">
        <v>160673.28358208999</v>
      </c>
      <c r="Q1279" s="40">
        <v>22233.3582089552</v>
      </c>
      <c r="R1279" s="40">
        <f>188425.746268657+44776</f>
        <v>233201.74626865701</v>
      </c>
      <c r="S1279" s="40">
        <v>79333.432835820902</v>
      </c>
      <c r="T1279" s="40">
        <v>30000</v>
      </c>
      <c r="U1279" s="40">
        <v>727500</v>
      </c>
      <c r="V1279" s="40">
        <v>298880.59701492498</v>
      </c>
      <c r="W1279" s="45">
        <f t="shared" si="66"/>
        <v>1730519.4328358211</v>
      </c>
      <c r="X1279" s="46">
        <f t="shared" si="67"/>
        <v>9.9535468373385481</v>
      </c>
    </row>
    <row r="1280" spans="1:24" s="4" customFormat="1" ht="15" customHeight="1">
      <c r="A1280" s="28" t="s">
        <v>1603</v>
      </c>
      <c r="B1280" s="29">
        <v>3149.63</v>
      </c>
      <c r="C1280" s="30" t="s">
        <v>2028</v>
      </c>
      <c r="D1280" s="2">
        <v>4949387320</v>
      </c>
      <c r="E1280" s="2" t="s">
        <v>14</v>
      </c>
      <c r="F1280" s="2" t="s">
        <v>2029</v>
      </c>
      <c r="G1280" s="28" t="s">
        <v>5</v>
      </c>
      <c r="H1280" s="2" t="s">
        <v>20</v>
      </c>
      <c r="I1280" s="2">
        <v>1</v>
      </c>
      <c r="J1280" s="2" t="s">
        <v>2030</v>
      </c>
      <c r="K1280" s="2">
        <v>237196.79999999999</v>
      </c>
      <c r="L1280" s="35">
        <f t="shared" si="65"/>
        <v>747082157.18400002</v>
      </c>
      <c r="M1280" s="36">
        <v>1920</v>
      </c>
      <c r="N1280" s="40">
        <v>84384.179104477604</v>
      </c>
      <c r="O1280" s="40">
        <v>58573.432835820902</v>
      </c>
      <c r="P1280" s="40">
        <v>128538.62686567201</v>
      </c>
      <c r="Q1280" s="40">
        <v>17786.686567164201</v>
      </c>
      <c r="R1280" s="40">
        <f>150740.597014925+35821</f>
        <v>186561.59701492501</v>
      </c>
      <c r="S1280" s="40">
        <v>63466.746268656701</v>
      </c>
      <c r="T1280" s="40">
        <v>30000</v>
      </c>
      <c r="U1280" s="40">
        <v>582000</v>
      </c>
      <c r="V1280" s="40">
        <v>239104.47761194</v>
      </c>
      <c r="W1280" s="45">
        <f t="shared" si="66"/>
        <v>1390415.7462686566</v>
      </c>
      <c r="X1280" s="46">
        <f t="shared" si="67"/>
        <v>0.18611283014837268</v>
      </c>
    </row>
    <row r="1281" spans="1:24" s="4" customFormat="1" ht="15" customHeight="1">
      <c r="A1281" s="28" t="s">
        <v>1603</v>
      </c>
      <c r="B1281" s="29">
        <v>3149.63</v>
      </c>
      <c r="C1281" s="30" t="s">
        <v>2028</v>
      </c>
      <c r="D1281" s="2">
        <v>4949719637</v>
      </c>
      <c r="E1281" s="2" t="s">
        <v>14</v>
      </c>
      <c r="F1281" s="2" t="s">
        <v>2029</v>
      </c>
      <c r="G1281" s="28" t="s">
        <v>5</v>
      </c>
      <c r="H1281" s="2" t="s">
        <v>20</v>
      </c>
      <c r="I1281" s="2">
        <v>1</v>
      </c>
      <c r="J1281" s="2" t="s">
        <v>2030</v>
      </c>
      <c r="K1281" s="2">
        <v>12672</v>
      </c>
      <c r="L1281" s="35">
        <f t="shared" si="65"/>
        <v>39912111.359999999</v>
      </c>
      <c r="M1281" s="36">
        <v>6400</v>
      </c>
      <c r="N1281" s="40">
        <v>281280.59701492498</v>
      </c>
      <c r="O1281" s="40">
        <v>195244.77611940299</v>
      </c>
      <c r="P1281" s="40">
        <v>428462.08955223899</v>
      </c>
      <c r="Q1281" s="40">
        <v>59288.955223880599</v>
      </c>
      <c r="R1281" s="40">
        <f>502468.656716418+119403</f>
        <v>621871.65671641799</v>
      </c>
      <c r="S1281" s="40">
        <v>211555.82089552199</v>
      </c>
      <c r="T1281" s="40">
        <v>30000</v>
      </c>
      <c r="U1281" s="40">
        <v>1940000</v>
      </c>
      <c r="V1281" s="40">
        <v>797014.92537313397</v>
      </c>
      <c r="W1281" s="45">
        <f t="shared" si="66"/>
        <v>4564718.820895521</v>
      </c>
      <c r="X1281" s="46">
        <f t="shared" si="67"/>
        <v>11.436926450025622</v>
      </c>
    </row>
    <row r="1282" spans="1:24" s="4" customFormat="1" ht="15" customHeight="1">
      <c r="A1282" s="28" t="s">
        <v>1603</v>
      </c>
      <c r="B1282" s="29">
        <v>3149.63</v>
      </c>
      <c r="C1282" s="30" t="s">
        <v>2031</v>
      </c>
      <c r="D1282" s="2">
        <v>4949661357</v>
      </c>
      <c r="E1282" s="2" t="s">
        <v>14</v>
      </c>
      <c r="F1282" s="2" t="s">
        <v>2032</v>
      </c>
      <c r="G1282" s="28" t="s">
        <v>9</v>
      </c>
      <c r="H1282" s="2" t="s">
        <v>23</v>
      </c>
      <c r="I1282" s="2">
        <v>5</v>
      </c>
      <c r="J1282" s="2"/>
      <c r="K1282" s="2">
        <v>1199.5</v>
      </c>
      <c r="L1282" s="35">
        <f t="shared" si="65"/>
        <v>3777981.1850000001</v>
      </c>
      <c r="M1282" s="36">
        <v>25</v>
      </c>
      <c r="N1282" s="40">
        <v>19202.511556240399</v>
      </c>
      <c r="O1282" s="40">
        <v>17.1725731895223</v>
      </c>
      <c r="P1282" s="40">
        <v>0</v>
      </c>
      <c r="Q1282" s="40">
        <v>552.08782742681001</v>
      </c>
      <c r="R1282" s="40">
        <v>1207.9506933744201</v>
      </c>
      <c r="S1282" s="40">
        <v>2730.0154083204902</v>
      </c>
      <c r="T1282" s="40">
        <v>30000</v>
      </c>
      <c r="U1282" s="40">
        <v>85839</v>
      </c>
      <c r="V1282" s="40">
        <v>0</v>
      </c>
      <c r="W1282" s="45">
        <f t="shared" si="66"/>
        <v>139548.73805855165</v>
      </c>
      <c r="X1282" s="46">
        <f t="shared" si="67"/>
        <v>3.6937383016255452</v>
      </c>
    </row>
    <row r="1283" spans="1:24" s="4" customFormat="1" ht="15" customHeight="1">
      <c r="A1283" s="28" t="s">
        <v>1603</v>
      </c>
      <c r="B1283" s="29">
        <v>3149.63</v>
      </c>
      <c r="C1283" s="30" t="s">
        <v>2031</v>
      </c>
      <c r="D1283" s="2">
        <v>4949570836</v>
      </c>
      <c r="E1283" s="2" t="s">
        <v>24</v>
      </c>
      <c r="F1283" s="2" t="s">
        <v>2032</v>
      </c>
      <c r="G1283" s="28" t="s">
        <v>9</v>
      </c>
      <c r="H1283" s="2" t="s">
        <v>23</v>
      </c>
      <c r="I1283" s="2">
        <v>5</v>
      </c>
      <c r="J1283" s="2"/>
      <c r="K1283" s="2">
        <v>14200.2</v>
      </c>
      <c r="L1283" s="35">
        <f t="shared" si="65"/>
        <v>44725375.926000006</v>
      </c>
      <c r="M1283" s="36">
        <v>3220</v>
      </c>
      <c r="N1283" s="40">
        <v>2473283.4884437602</v>
      </c>
      <c r="O1283" s="40">
        <v>2211.8274268104801</v>
      </c>
      <c r="P1283" s="40">
        <v>0</v>
      </c>
      <c r="Q1283" s="40">
        <v>71108.912172573197</v>
      </c>
      <c r="R1283" s="40">
        <v>155584.049306626</v>
      </c>
      <c r="S1283" s="40">
        <v>351625.98459168</v>
      </c>
      <c r="T1283" s="40"/>
      <c r="U1283" s="40">
        <v>1562579</v>
      </c>
      <c r="V1283" s="40">
        <v>0</v>
      </c>
      <c r="W1283" s="45">
        <f t="shared" si="66"/>
        <v>4616393.2619414497</v>
      </c>
      <c r="X1283" s="46">
        <f t="shared" si="67"/>
        <v>10.321642169267541</v>
      </c>
    </row>
    <row r="1284" spans="1:24" s="4" customFormat="1" ht="15" customHeight="1">
      <c r="A1284" s="28" t="s">
        <v>1603</v>
      </c>
      <c r="B1284" s="29">
        <v>3149.63</v>
      </c>
      <c r="C1284" s="30" t="s">
        <v>2033</v>
      </c>
      <c r="D1284" s="2">
        <v>4949587506</v>
      </c>
      <c r="E1284" s="2" t="s">
        <v>14</v>
      </c>
      <c r="F1284" s="78" t="s">
        <v>2034</v>
      </c>
      <c r="G1284" s="28" t="s">
        <v>5</v>
      </c>
      <c r="H1284" s="2" t="s">
        <v>17</v>
      </c>
      <c r="I1284" s="2">
        <v>1</v>
      </c>
      <c r="J1284" s="2" t="s">
        <v>2035</v>
      </c>
      <c r="K1284" s="2">
        <v>22440</v>
      </c>
      <c r="L1284" s="35">
        <f t="shared" si="65"/>
        <v>70677697.200000003</v>
      </c>
      <c r="M1284" s="36">
        <v>6000</v>
      </c>
      <c r="N1284" s="40">
        <v>536073.26334599103</v>
      </c>
      <c r="O1284" s="40">
        <v>429032</v>
      </c>
      <c r="P1284" s="40">
        <v>174223.81058744699</v>
      </c>
      <c r="Q1284" s="40">
        <v>99309</v>
      </c>
      <c r="R1284" s="40">
        <v>211748.61268706701</v>
      </c>
      <c r="S1284" s="40">
        <v>354356</v>
      </c>
      <c r="T1284" s="40">
        <v>30000</v>
      </c>
      <c r="U1284" s="40">
        <v>1524873.7994192501</v>
      </c>
      <c r="V1284" s="40">
        <v>0</v>
      </c>
      <c r="W1284" s="45">
        <f t="shared" si="66"/>
        <v>3359616.4860397549</v>
      </c>
      <c r="X1284" s="46">
        <f t="shared" si="67"/>
        <v>4.7534322977910417</v>
      </c>
    </row>
    <row r="1285" spans="1:24" s="4" customFormat="1" ht="15" customHeight="1">
      <c r="A1285" s="28" t="s">
        <v>1603</v>
      </c>
      <c r="B1285" s="29">
        <v>3149.63</v>
      </c>
      <c r="C1285" s="30" t="s">
        <v>2036</v>
      </c>
      <c r="D1285" s="2">
        <v>4949532973</v>
      </c>
      <c r="E1285" s="2" t="s">
        <v>14</v>
      </c>
      <c r="F1285" s="2" t="s">
        <v>2037</v>
      </c>
      <c r="G1285" s="28" t="s">
        <v>5</v>
      </c>
      <c r="H1285" s="2" t="s">
        <v>17</v>
      </c>
      <c r="I1285" s="2">
        <v>1</v>
      </c>
      <c r="J1285" s="2" t="s">
        <v>2035</v>
      </c>
      <c r="K1285" s="2">
        <v>6804</v>
      </c>
      <c r="L1285" s="35">
        <f t="shared" si="65"/>
        <v>21430082.52</v>
      </c>
      <c r="M1285" s="36">
        <v>1400</v>
      </c>
      <c r="N1285" s="40">
        <v>125083.69850473</v>
      </c>
      <c r="O1285" s="40">
        <v>36658.211779066201</v>
      </c>
      <c r="P1285" s="40">
        <v>40652.2062862374</v>
      </c>
      <c r="Q1285" s="40">
        <v>8485.3585596582197</v>
      </c>
      <c r="R1285" s="40">
        <f>37710.1983521514+12508</f>
        <v>50218.198352151398</v>
      </c>
      <c r="S1285" s="40">
        <v>30277.595361611198</v>
      </c>
      <c r="T1285" s="40">
        <v>30000</v>
      </c>
      <c r="U1285" s="40">
        <v>355803.88653115899</v>
      </c>
      <c r="V1285" s="40">
        <v>0</v>
      </c>
      <c r="W1285" s="45">
        <f t="shared" si="66"/>
        <v>677179.15537461336</v>
      </c>
      <c r="X1285" s="46">
        <f t="shared" si="67"/>
        <v>3.1599465599006638</v>
      </c>
    </row>
    <row r="1286" spans="1:24" s="4" customFormat="1" ht="15" customHeight="1">
      <c r="A1286" s="28" t="s">
        <v>1603</v>
      </c>
      <c r="B1286" s="29">
        <v>3149.63</v>
      </c>
      <c r="C1286" s="30" t="s">
        <v>2036</v>
      </c>
      <c r="D1286" s="2">
        <v>4948951749</v>
      </c>
      <c r="E1286" s="2" t="s">
        <v>14</v>
      </c>
      <c r="F1286" s="78" t="s">
        <v>2037</v>
      </c>
      <c r="G1286" s="28" t="s">
        <v>5</v>
      </c>
      <c r="H1286" s="2" t="s">
        <v>17</v>
      </c>
      <c r="I1286" s="2">
        <v>1</v>
      </c>
      <c r="J1286" s="2" t="s">
        <v>2035</v>
      </c>
      <c r="K1286" s="2">
        <v>6258</v>
      </c>
      <c r="L1286" s="35">
        <f t="shared" si="65"/>
        <v>19710384.539999999</v>
      </c>
      <c r="M1286" s="36">
        <v>1400</v>
      </c>
      <c r="N1286" s="40">
        <v>125083.69850473</v>
      </c>
      <c r="O1286" s="40">
        <v>36658.211779066201</v>
      </c>
      <c r="P1286" s="40">
        <v>40652.2062862374</v>
      </c>
      <c r="Q1286" s="40">
        <v>8485.3585596582197</v>
      </c>
      <c r="R1286" s="40">
        <v>50218.198352151398</v>
      </c>
      <c r="S1286" s="40">
        <v>30277.595361611198</v>
      </c>
      <c r="T1286" s="40">
        <v>30000</v>
      </c>
      <c r="U1286" s="40">
        <v>355803.88653115899</v>
      </c>
      <c r="V1286" s="40">
        <v>0</v>
      </c>
      <c r="W1286" s="45">
        <f t="shared" si="66"/>
        <v>677179.15537461336</v>
      </c>
      <c r="X1286" s="46">
        <f t="shared" si="67"/>
        <v>3.435646595328238</v>
      </c>
    </row>
    <row r="1287" spans="1:24" s="4" customFormat="1" ht="15" customHeight="1">
      <c r="A1287" s="28" t="s">
        <v>1603</v>
      </c>
      <c r="B1287" s="29">
        <v>3149.63</v>
      </c>
      <c r="C1287" s="30" t="s">
        <v>2036</v>
      </c>
      <c r="D1287" s="2">
        <v>4949287007</v>
      </c>
      <c r="E1287" s="2" t="s">
        <v>14</v>
      </c>
      <c r="F1287" s="78" t="s">
        <v>2037</v>
      </c>
      <c r="G1287" s="28" t="s">
        <v>5</v>
      </c>
      <c r="H1287" s="2" t="s">
        <v>17</v>
      </c>
      <c r="I1287" s="2">
        <v>1</v>
      </c>
      <c r="J1287" s="2" t="s">
        <v>2035</v>
      </c>
      <c r="K1287" s="2">
        <v>8568</v>
      </c>
      <c r="L1287" s="35">
        <f t="shared" si="65"/>
        <v>26986029.84</v>
      </c>
      <c r="M1287" s="36">
        <v>3600</v>
      </c>
      <c r="N1287" s="40">
        <v>321643.79615502001</v>
      </c>
      <c r="O1287" s="40">
        <v>94263.973146170305</v>
      </c>
      <c r="P1287" s="40">
        <v>104534.24473603901</v>
      </c>
      <c r="Q1287" s="40">
        <v>21819.493439121099</v>
      </c>
      <c r="R1287" s="40">
        <v>129133.081476961</v>
      </c>
      <c r="S1287" s="40">
        <v>77856.673787000298</v>
      </c>
      <c r="T1287" s="40">
        <v>30000</v>
      </c>
      <c r="U1287" s="40">
        <v>914924.27965155197</v>
      </c>
      <c r="V1287" s="40">
        <v>0</v>
      </c>
      <c r="W1287" s="45">
        <f t="shared" si="66"/>
        <v>1694175.5423918637</v>
      </c>
      <c r="X1287" s="46">
        <f t="shared" si="67"/>
        <v>6.2779725377783233</v>
      </c>
    </row>
    <row r="1288" spans="1:24" s="4" customFormat="1" ht="15" customHeight="1">
      <c r="A1288" s="28" t="s">
        <v>1603</v>
      </c>
      <c r="B1288" s="29">
        <v>3149.63</v>
      </c>
      <c r="C1288" s="30" t="s">
        <v>2036</v>
      </c>
      <c r="D1288" s="2">
        <v>4948774475</v>
      </c>
      <c r="E1288" s="2" t="s">
        <v>14</v>
      </c>
      <c r="F1288" s="2" t="s">
        <v>2037</v>
      </c>
      <c r="G1288" s="28" t="s">
        <v>5</v>
      </c>
      <c r="H1288" s="2" t="s">
        <v>17</v>
      </c>
      <c r="I1288" s="2">
        <v>1</v>
      </c>
      <c r="J1288" s="2" t="s">
        <v>2035</v>
      </c>
      <c r="K1288" s="2">
        <v>4258.8</v>
      </c>
      <c r="L1288" s="35">
        <f t="shared" si="65"/>
        <v>13413644.244000001</v>
      </c>
      <c r="M1288" s="36">
        <v>2340</v>
      </c>
      <c r="N1288" s="40">
        <v>209068.46750076301</v>
      </c>
      <c r="O1288" s="40">
        <v>61271.5825450107</v>
      </c>
      <c r="P1288" s="40">
        <v>67947.259078425399</v>
      </c>
      <c r="Q1288" s="40">
        <v>14182.670735428699</v>
      </c>
      <c r="R1288" s="40">
        <f>63029.9029600244+20907</f>
        <v>83936.902960024396</v>
      </c>
      <c r="S1288" s="40">
        <v>50606.837961550198</v>
      </c>
      <c r="T1288" s="40">
        <v>30000</v>
      </c>
      <c r="U1288" s="40">
        <v>594700.78177350899</v>
      </c>
      <c r="V1288" s="40">
        <v>0</v>
      </c>
      <c r="W1288" s="45">
        <f t="shared" si="66"/>
        <v>1111714.5025547114</v>
      </c>
      <c r="X1288" s="46">
        <f t="shared" si="67"/>
        <v>8.287937881250933</v>
      </c>
    </row>
    <row r="1289" spans="1:24" s="4" customFormat="1" ht="15" customHeight="1">
      <c r="A1289" s="28" t="s">
        <v>1603</v>
      </c>
      <c r="B1289" s="29">
        <v>3149.63</v>
      </c>
      <c r="C1289" s="30" t="s">
        <v>2036</v>
      </c>
      <c r="D1289" s="2">
        <v>4948892173</v>
      </c>
      <c r="E1289" s="2" t="s">
        <v>14</v>
      </c>
      <c r="F1289" s="2" t="s">
        <v>2037</v>
      </c>
      <c r="G1289" s="28" t="s">
        <v>5</v>
      </c>
      <c r="H1289" s="2" t="s">
        <v>17</v>
      </c>
      <c r="I1289" s="2">
        <v>1</v>
      </c>
      <c r="J1289" s="2" t="s">
        <v>2035</v>
      </c>
      <c r="K1289" s="2">
        <v>5678.4</v>
      </c>
      <c r="L1289" s="35">
        <f t="shared" si="65"/>
        <v>17884858.991999999</v>
      </c>
      <c r="M1289" s="36">
        <v>3120</v>
      </c>
      <c r="N1289" s="40">
        <v>278757.95666768402</v>
      </c>
      <c r="O1289" s="40">
        <v>81695.443393347596</v>
      </c>
      <c r="P1289" s="40">
        <v>90596.345437900498</v>
      </c>
      <c r="Q1289" s="40">
        <v>18910.227647238298</v>
      </c>
      <c r="R1289" s="40">
        <f>84039.8706133659+27876</f>
        <v>111915.8706133659</v>
      </c>
      <c r="S1289" s="40">
        <v>67475.783948733602</v>
      </c>
      <c r="T1289" s="40">
        <v>30000</v>
      </c>
      <c r="U1289" s="40">
        <v>792934.37569801195</v>
      </c>
      <c r="V1289" s="40">
        <v>0</v>
      </c>
      <c r="W1289" s="45">
        <f t="shared" si="66"/>
        <v>1472286.0034062818</v>
      </c>
      <c r="X1289" s="46">
        <f t="shared" si="67"/>
        <v>8.2320246643534833</v>
      </c>
    </row>
    <row r="1290" spans="1:24" s="4" customFormat="1" ht="15" customHeight="1">
      <c r="A1290" s="28" t="s">
        <v>1603</v>
      </c>
      <c r="B1290" s="29">
        <v>3149.63</v>
      </c>
      <c r="C1290" s="30" t="s">
        <v>2036</v>
      </c>
      <c r="D1290" s="2">
        <v>4948772914</v>
      </c>
      <c r="E1290" s="2" t="s">
        <v>14</v>
      </c>
      <c r="F1290" s="2" t="s">
        <v>2037</v>
      </c>
      <c r="G1290" s="28" t="s">
        <v>5</v>
      </c>
      <c r="H1290" s="2" t="s">
        <v>17</v>
      </c>
      <c r="I1290" s="2">
        <v>1</v>
      </c>
      <c r="J1290" s="2" t="s">
        <v>2035</v>
      </c>
      <c r="K1290" s="2">
        <v>5751</v>
      </c>
      <c r="L1290" s="35">
        <f t="shared" si="65"/>
        <v>18113522.129999999</v>
      </c>
      <c r="M1290" s="36">
        <v>1350</v>
      </c>
      <c r="N1290" s="40">
        <v>120616.423558132</v>
      </c>
      <c r="O1290" s="40">
        <v>35348.989929813899</v>
      </c>
      <c r="P1290" s="40">
        <v>39200.341776014597</v>
      </c>
      <c r="Q1290" s="40">
        <v>8182.3100396704303</v>
      </c>
      <c r="R1290" s="40">
        <v>48425.405553860197</v>
      </c>
      <c r="S1290" s="40">
        <v>29196.252670125101</v>
      </c>
      <c r="T1290" s="40">
        <v>30000</v>
      </c>
      <c r="U1290" s="40">
        <v>343096.60486933199</v>
      </c>
      <c r="V1290" s="40">
        <v>0</v>
      </c>
      <c r="W1290" s="45">
        <f t="shared" si="66"/>
        <v>654066.32839694829</v>
      </c>
      <c r="X1290" s="46">
        <f t="shared" si="67"/>
        <v>3.6109284748860069</v>
      </c>
    </row>
    <row r="1291" spans="1:24" s="4" customFormat="1" ht="15" customHeight="1">
      <c r="A1291" s="28" t="s">
        <v>1603</v>
      </c>
      <c r="B1291" s="29">
        <v>3149.63</v>
      </c>
      <c r="C1291" s="30" t="s">
        <v>2036</v>
      </c>
      <c r="D1291" s="2">
        <v>4949037263</v>
      </c>
      <c r="E1291" s="2" t="s">
        <v>14</v>
      </c>
      <c r="F1291" s="2" t="s">
        <v>2037</v>
      </c>
      <c r="G1291" s="28" t="s">
        <v>5</v>
      </c>
      <c r="H1291" s="2" t="s">
        <v>17</v>
      </c>
      <c r="I1291" s="2">
        <v>1</v>
      </c>
      <c r="J1291" s="2" t="s">
        <v>2035</v>
      </c>
      <c r="K1291" s="2">
        <v>4468.2</v>
      </c>
      <c r="L1291" s="35">
        <f t="shared" si="65"/>
        <v>14073176.766000001</v>
      </c>
      <c r="M1291" s="36">
        <v>660</v>
      </c>
      <c r="N1291" s="40">
        <v>58968.029295086999</v>
      </c>
      <c r="O1291" s="40">
        <v>17281.7284101312</v>
      </c>
      <c r="P1291" s="40">
        <v>19164.611534940501</v>
      </c>
      <c r="Q1291" s="40">
        <v>4000.2404638388798</v>
      </c>
      <c r="R1291" s="40">
        <f>17777.6649374428+5897</f>
        <v>23674.664937442802</v>
      </c>
      <c r="S1291" s="40">
        <v>14273.723527616699</v>
      </c>
      <c r="T1291" s="40">
        <v>30000</v>
      </c>
      <c r="U1291" s="40">
        <v>167736.11793611801</v>
      </c>
      <c r="V1291" s="40">
        <v>0</v>
      </c>
      <c r="W1291" s="45">
        <f t="shared" si="66"/>
        <v>335099.11610517511</v>
      </c>
      <c r="X1291" s="46">
        <f t="shared" si="67"/>
        <v>2.3811192147799609</v>
      </c>
    </row>
    <row r="1292" spans="1:24" s="4" customFormat="1" ht="15" customHeight="1">
      <c r="A1292" s="28" t="s">
        <v>1603</v>
      </c>
      <c r="B1292" s="29">
        <v>3149.63</v>
      </c>
      <c r="C1292" s="30" t="s">
        <v>2036</v>
      </c>
      <c r="D1292" s="2">
        <v>4949366043</v>
      </c>
      <c r="E1292" s="2" t="s">
        <v>14</v>
      </c>
      <c r="F1292" s="2" t="s">
        <v>2037</v>
      </c>
      <c r="G1292" s="28" t="s">
        <v>5</v>
      </c>
      <c r="H1292" s="2" t="s">
        <v>17</v>
      </c>
      <c r="I1292" s="2">
        <v>1</v>
      </c>
      <c r="J1292" s="2" t="s">
        <v>2035</v>
      </c>
      <c r="K1292" s="2">
        <v>5754</v>
      </c>
      <c r="L1292" s="35">
        <f t="shared" si="65"/>
        <v>18122971.02</v>
      </c>
      <c r="M1292" s="36">
        <v>300</v>
      </c>
      <c r="N1292" s="40">
        <v>26803.649679585</v>
      </c>
      <c r="O1292" s="40">
        <v>7855.3310955141897</v>
      </c>
      <c r="P1292" s="40">
        <v>8711.18706133659</v>
      </c>
      <c r="Q1292" s="40">
        <v>1818.2911199267601</v>
      </c>
      <c r="R1292" s="40">
        <f>8080.75678974672+2680</f>
        <v>10760.75678974672</v>
      </c>
      <c r="S1292" s="40">
        <v>6488.0561489166903</v>
      </c>
      <c r="T1292" s="40">
        <v>30000</v>
      </c>
      <c r="U1292" s="40">
        <v>76243.689970962703</v>
      </c>
      <c r="V1292" s="40">
        <v>0</v>
      </c>
      <c r="W1292" s="45">
        <f t="shared" si="66"/>
        <v>168680.96186598865</v>
      </c>
      <c r="X1292" s="46">
        <f t="shared" si="67"/>
        <v>0.93075777520052927</v>
      </c>
    </row>
    <row r="1293" spans="1:24" s="4" customFormat="1" ht="15" customHeight="1">
      <c r="A1293" s="28" t="s">
        <v>1603</v>
      </c>
      <c r="B1293" s="29">
        <v>3149.63</v>
      </c>
      <c r="C1293" s="30" t="s">
        <v>2036</v>
      </c>
      <c r="D1293" s="2">
        <v>4949532985</v>
      </c>
      <c r="E1293" s="2" t="s">
        <v>14</v>
      </c>
      <c r="F1293" s="2" t="s">
        <v>2037</v>
      </c>
      <c r="G1293" s="28" t="s">
        <v>5</v>
      </c>
      <c r="H1293" s="2" t="s">
        <v>17</v>
      </c>
      <c r="I1293" s="2">
        <v>1</v>
      </c>
      <c r="J1293" s="2" t="s">
        <v>2035</v>
      </c>
      <c r="K1293" s="2">
        <v>2184</v>
      </c>
      <c r="L1293" s="35">
        <f t="shared" si="65"/>
        <v>6878791.9199999999</v>
      </c>
      <c r="M1293" s="36">
        <v>840</v>
      </c>
      <c r="N1293" s="40">
        <v>75050.219102838004</v>
      </c>
      <c r="O1293" s="40">
        <v>21994.927067439701</v>
      </c>
      <c r="P1293" s="40">
        <v>24391.323771742402</v>
      </c>
      <c r="Q1293" s="40">
        <v>5091.2151357949297</v>
      </c>
      <c r="R1293" s="40">
        <f>22626.1190112908+7505</f>
        <v>30131.119011290801</v>
      </c>
      <c r="S1293" s="40">
        <v>18166.557216966699</v>
      </c>
      <c r="T1293" s="40">
        <v>30000</v>
      </c>
      <c r="U1293" s="40">
        <v>213482.331918696</v>
      </c>
      <c r="V1293" s="40">
        <v>0</v>
      </c>
      <c r="W1293" s="45">
        <f t="shared" si="66"/>
        <v>418307.6932247685</v>
      </c>
      <c r="X1293" s="46">
        <f t="shared" si="67"/>
        <v>6.0811214830985687</v>
      </c>
    </row>
    <row r="1294" spans="1:24" s="4" customFormat="1" ht="15" customHeight="1">
      <c r="A1294" s="28" t="s">
        <v>1603</v>
      </c>
      <c r="B1294" s="29">
        <v>3149.63</v>
      </c>
      <c r="C1294" s="30" t="s">
        <v>2036</v>
      </c>
      <c r="D1294" s="2">
        <v>4949591593</v>
      </c>
      <c r="E1294" s="2" t="s">
        <v>14</v>
      </c>
      <c r="F1294" s="2" t="s">
        <v>2037</v>
      </c>
      <c r="G1294" s="28" t="s">
        <v>5</v>
      </c>
      <c r="H1294" s="2" t="s">
        <v>17</v>
      </c>
      <c r="I1294" s="2">
        <v>1</v>
      </c>
      <c r="J1294" s="2" t="s">
        <v>2035</v>
      </c>
      <c r="K1294" s="2">
        <v>1132.25</v>
      </c>
      <c r="L1294" s="35">
        <f t="shared" si="65"/>
        <v>3566168.5675000004</v>
      </c>
      <c r="M1294" s="36">
        <v>175</v>
      </c>
      <c r="N1294" s="40">
        <v>15635.4623130912</v>
      </c>
      <c r="O1294" s="40">
        <v>4582.2764723832797</v>
      </c>
      <c r="P1294" s="40">
        <v>5081.5257857796796</v>
      </c>
      <c r="Q1294" s="40">
        <v>1060.66981995728</v>
      </c>
      <c r="R1294" s="40">
        <f>4713.77479401892+1564</f>
        <v>6277.7747940189201</v>
      </c>
      <c r="S1294" s="40">
        <v>3784.6994202013998</v>
      </c>
      <c r="T1294" s="40">
        <v>30000</v>
      </c>
      <c r="U1294" s="40">
        <v>44475.485816394903</v>
      </c>
      <c r="V1294" s="40">
        <v>0</v>
      </c>
      <c r="W1294" s="45">
        <f t="shared" si="66"/>
        <v>110897.89442182667</v>
      </c>
      <c r="X1294" s="46">
        <f t="shared" si="67"/>
        <v>3.1097210443860113</v>
      </c>
    </row>
    <row r="1295" spans="1:24" s="4" customFormat="1" ht="15" customHeight="1">
      <c r="A1295" s="28" t="s">
        <v>1603</v>
      </c>
      <c r="B1295" s="29">
        <v>3149.63</v>
      </c>
      <c r="C1295" s="30" t="s">
        <v>2036</v>
      </c>
      <c r="D1295" s="2">
        <v>4949037263</v>
      </c>
      <c r="E1295" s="2" t="s">
        <v>14</v>
      </c>
      <c r="F1295" s="2" t="s">
        <v>2037</v>
      </c>
      <c r="G1295" s="28" t="s">
        <v>5</v>
      </c>
      <c r="H1295" s="2" t="s">
        <v>17</v>
      </c>
      <c r="I1295" s="2">
        <v>1</v>
      </c>
      <c r="J1295" s="2" t="s">
        <v>2035</v>
      </c>
      <c r="K1295" s="2">
        <v>3520</v>
      </c>
      <c r="L1295" s="35">
        <f t="shared" si="65"/>
        <v>11086697.6</v>
      </c>
      <c r="M1295" s="36">
        <v>400</v>
      </c>
      <c r="N1295" s="40">
        <v>35738.199572780002</v>
      </c>
      <c r="O1295" s="40">
        <v>10473.7747940189</v>
      </c>
      <c r="P1295" s="40">
        <v>11614.916081782099</v>
      </c>
      <c r="Q1295" s="40">
        <v>2424.3881599023498</v>
      </c>
      <c r="R1295" s="40">
        <v>14348.342386329001</v>
      </c>
      <c r="S1295" s="40">
        <v>8650.7415318889198</v>
      </c>
      <c r="T1295" s="40">
        <v>30000</v>
      </c>
      <c r="U1295" s="40">
        <v>101658.253294617</v>
      </c>
      <c r="V1295" s="40">
        <v>0</v>
      </c>
      <c r="W1295" s="45">
        <f t="shared" si="66"/>
        <v>214908.61582131829</v>
      </c>
      <c r="X1295" s="46">
        <f t="shared" si="67"/>
        <v>1.9384367065384582</v>
      </c>
    </row>
    <row r="1296" spans="1:24" s="4" customFormat="1" ht="15" customHeight="1">
      <c r="A1296" s="28" t="s">
        <v>1603</v>
      </c>
      <c r="B1296" s="29">
        <v>3149.63</v>
      </c>
      <c r="C1296" s="30" t="s">
        <v>2036</v>
      </c>
      <c r="D1296" s="2">
        <v>4949037263</v>
      </c>
      <c r="E1296" s="2" t="s">
        <v>14</v>
      </c>
      <c r="F1296" s="2" t="s">
        <v>2037</v>
      </c>
      <c r="G1296" s="28" t="s">
        <v>5</v>
      </c>
      <c r="H1296" s="2" t="s">
        <v>17</v>
      </c>
      <c r="I1296" s="2">
        <v>1</v>
      </c>
      <c r="J1296" s="2" t="s">
        <v>2035</v>
      </c>
      <c r="K1296" s="2">
        <v>3456</v>
      </c>
      <c r="L1296" s="35">
        <f t="shared" si="65"/>
        <v>10885121.280000001</v>
      </c>
      <c r="M1296" s="36">
        <v>400</v>
      </c>
      <c r="N1296" s="40">
        <v>35738.199572780002</v>
      </c>
      <c r="O1296" s="40">
        <v>10473.7747940189</v>
      </c>
      <c r="P1296" s="40">
        <v>11614.916081782099</v>
      </c>
      <c r="Q1296" s="40">
        <v>2424.3881599023498</v>
      </c>
      <c r="R1296" s="40">
        <f>10774.342386329+3574</f>
        <v>14348.342386329001</v>
      </c>
      <c r="S1296" s="40">
        <v>8650.7415318889198</v>
      </c>
      <c r="T1296" s="40">
        <v>30000</v>
      </c>
      <c r="U1296" s="40">
        <v>101658.253294617</v>
      </c>
      <c r="V1296" s="40">
        <v>0</v>
      </c>
      <c r="W1296" s="45">
        <f t="shared" si="66"/>
        <v>214908.61582131829</v>
      </c>
      <c r="X1296" s="46">
        <f t="shared" si="67"/>
        <v>1.9743336825854667</v>
      </c>
    </row>
    <row r="1297" spans="1:24" s="4" customFormat="1" ht="15" customHeight="1">
      <c r="A1297" s="28" t="s">
        <v>1603</v>
      </c>
      <c r="B1297" s="29">
        <v>3149.63</v>
      </c>
      <c r="C1297" s="30" t="s">
        <v>2036</v>
      </c>
      <c r="D1297" s="2">
        <v>4949037263</v>
      </c>
      <c r="E1297" s="2" t="s">
        <v>14</v>
      </c>
      <c r="F1297" s="2" t="s">
        <v>2037</v>
      </c>
      <c r="G1297" s="28" t="s">
        <v>5</v>
      </c>
      <c r="H1297" s="2" t="s">
        <v>17</v>
      </c>
      <c r="I1297" s="2">
        <v>1</v>
      </c>
      <c r="J1297" s="2" t="s">
        <v>2035</v>
      </c>
      <c r="K1297" s="2">
        <v>4100</v>
      </c>
      <c r="L1297" s="35">
        <f t="shared" ref="L1297:L1360" si="68">+B1297*K1297</f>
        <v>12913483</v>
      </c>
      <c r="M1297" s="36">
        <v>400</v>
      </c>
      <c r="N1297" s="40">
        <v>35738.199572780002</v>
      </c>
      <c r="O1297" s="40">
        <v>10473.7747940189</v>
      </c>
      <c r="P1297" s="40">
        <v>11614.916081782099</v>
      </c>
      <c r="Q1297" s="40">
        <v>2424.3881599023498</v>
      </c>
      <c r="R1297" s="40">
        <f>10774.342386329+3574</f>
        <v>14348.342386329001</v>
      </c>
      <c r="S1297" s="40">
        <v>8650.7415318889198</v>
      </c>
      <c r="T1297" s="40">
        <v>30000</v>
      </c>
      <c r="U1297" s="40">
        <v>101658.253294617</v>
      </c>
      <c r="V1297" s="40">
        <v>0</v>
      </c>
      <c r="W1297" s="45">
        <f t="shared" ref="W1297:W1360" si="69">+SUM(N1297:V1297)</f>
        <v>214908.61582131829</v>
      </c>
      <c r="X1297" s="46">
        <f t="shared" ref="X1297:X1360" si="70">(W1297/L1297)*100</f>
        <v>1.6642188309793593</v>
      </c>
    </row>
    <row r="1298" spans="1:24" s="4" customFormat="1" ht="15" customHeight="1">
      <c r="A1298" s="28" t="s">
        <v>1603</v>
      </c>
      <c r="B1298" s="29">
        <v>3149.63</v>
      </c>
      <c r="C1298" s="30" t="s">
        <v>2038</v>
      </c>
      <c r="D1298" s="2">
        <v>4949389437</v>
      </c>
      <c r="E1298" s="2" t="s">
        <v>36</v>
      </c>
      <c r="F1298" s="2" t="s">
        <v>2039</v>
      </c>
      <c r="G1298" s="28" t="s">
        <v>5</v>
      </c>
      <c r="H1298" s="2" t="s">
        <v>26</v>
      </c>
      <c r="I1298" s="2">
        <v>4</v>
      </c>
      <c r="J1298" s="2" t="s">
        <v>2040</v>
      </c>
      <c r="K1298" s="2">
        <v>83169</v>
      </c>
      <c r="L1298" s="35">
        <f t="shared" si="68"/>
        <v>261951577.47</v>
      </c>
      <c r="M1298" s="36">
        <v>89430</v>
      </c>
      <c r="N1298" s="40">
        <v>0</v>
      </c>
      <c r="O1298" s="40">
        <v>1992976</v>
      </c>
      <c r="P1298" s="40">
        <v>3728008</v>
      </c>
      <c r="Q1298" s="40">
        <v>496548</v>
      </c>
      <c r="R1298" s="40">
        <v>2461385</v>
      </c>
      <c r="S1298" s="40">
        <v>354356</v>
      </c>
      <c r="T1298" s="40"/>
      <c r="U1298" s="40">
        <v>0</v>
      </c>
      <c r="V1298" s="40">
        <v>0</v>
      </c>
      <c r="W1298" s="45">
        <f t="shared" si="69"/>
        <v>9033273</v>
      </c>
      <c r="X1298" s="46">
        <f t="shared" si="70"/>
        <v>3.4484514608561709</v>
      </c>
    </row>
    <row r="1299" spans="1:24" s="4" customFormat="1" ht="15" customHeight="1">
      <c r="A1299" s="28" t="s">
        <v>1603</v>
      </c>
      <c r="B1299" s="29">
        <v>3149.63</v>
      </c>
      <c r="C1299" s="30" t="s">
        <v>2041</v>
      </c>
      <c r="D1299" s="2">
        <v>4947816328</v>
      </c>
      <c r="E1299" s="2" t="s">
        <v>27</v>
      </c>
      <c r="F1299" s="2" t="s">
        <v>2042</v>
      </c>
      <c r="G1299" s="28" t="s">
        <v>9</v>
      </c>
      <c r="H1299" s="2" t="s">
        <v>23</v>
      </c>
      <c r="I1299" s="2">
        <v>4</v>
      </c>
      <c r="J1299" s="2"/>
      <c r="K1299" s="2">
        <v>737.55</v>
      </c>
      <c r="L1299" s="35">
        <f t="shared" si="68"/>
        <v>2323009.6064999998</v>
      </c>
      <c r="M1299" s="36">
        <v>544.5</v>
      </c>
      <c r="N1299" s="40">
        <v>146256.75</v>
      </c>
      <c r="O1299" s="40">
        <v>327.24384363698999</v>
      </c>
      <c r="P1299" s="40">
        <v>12629.0625</v>
      </c>
      <c r="Q1299" s="40">
        <v>10416.480971241601</v>
      </c>
      <c r="R1299" s="40">
        <v>24027</v>
      </c>
      <c r="S1299" s="40">
        <v>66441.75</v>
      </c>
      <c r="T1299" s="40"/>
      <c r="U1299" s="40">
        <v>334596.049629207</v>
      </c>
      <c r="V1299" s="40">
        <v>0</v>
      </c>
      <c r="W1299" s="45">
        <f t="shared" si="69"/>
        <v>594694.33694408555</v>
      </c>
      <c r="X1299" s="46">
        <f t="shared" si="70"/>
        <v>25.600166924840721</v>
      </c>
    </row>
    <row r="1300" spans="1:24" s="4" customFormat="1" ht="15" customHeight="1">
      <c r="A1300" s="28" t="s">
        <v>1603</v>
      </c>
      <c r="B1300" s="29">
        <v>3149.63</v>
      </c>
      <c r="C1300" s="30" t="s">
        <v>2041</v>
      </c>
      <c r="D1300" s="2">
        <v>4949250042</v>
      </c>
      <c r="E1300" s="2" t="s">
        <v>27</v>
      </c>
      <c r="F1300" s="2" t="s">
        <v>2042</v>
      </c>
      <c r="G1300" s="28" t="s">
        <v>9</v>
      </c>
      <c r="H1300" s="2" t="s">
        <v>23</v>
      </c>
      <c r="I1300" s="2">
        <v>4</v>
      </c>
      <c r="J1300" s="2"/>
      <c r="K1300" s="2">
        <v>3196.05</v>
      </c>
      <c r="L1300" s="35">
        <f t="shared" si="68"/>
        <v>10066374.9615</v>
      </c>
      <c r="M1300" s="36">
        <v>2359</v>
      </c>
      <c r="N1300" s="40">
        <v>633779.25</v>
      </c>
      <c r="O1300" s="40">
        <v>1417.7561563630099</v>
      </c>
      <c r="P1300" s="40">
        <v>54725.9375</v>
      </c>
      <c r="Q1300" s="40">
        <v>45128.519028758397</v>
      </c>
      <c r="R1300" s="40">
        <v>104117</v>
      </c>
      <c r="S1300" s="40">
        <v>287914.25</v>
      </c>
      <c r="T1300" s="40"/>
      <c r="U1300" s="40">
        <v>1449916.2150599</v>
      </c>
      <c r="V1300" s="40">
        <v>0</v>
      </c>
      <c r="W1300" s="45">
        <f t="shared" si="69"/>
        <v>2576998.9277450214</v>
      </c>
      <c r="X1300" s="46">
        <f t="shared" si="70"/>
        <v>25.600068918563512</v>
      </c>
    </row>
    <row r="1301" spans="1:24" s="4" customFormat="1" ht="15" customHeight="1">
      <c r="A1301" s="28" t="s">
        <v>1603</v>
      </c>
      <c r="B1301" s="29">
        <v>3149.63</v>
      </c>
      <c r="C1301" s="30" t="s">
        <v>2043</v>
      </c>
      <c r="D1301" s="2">
        <v>4949037265</v>
      </c>
      <c r="E1301" s="2" t="s">
        <v>14</v>
      </c>
      <c r="F1301" s="2" t="s">
        <v>2044</v>
      </c>
      <c r="G1301" s="28" t="s">
        <v>9</v>
      </c>
      <c r="H1301" s="2" t="s">
        <v>23</v>
      </c>
      <c r="I1301" s="2">
        <v>4</v>
      </c>
      <c r="J1301" s="2"/>
      <c r="K1301" s="2">
        <v>8253</v>
      </c>
      <c r="L1301" s="35">
        <f t="shared" si="68"/>
        <v>25993896.390000001</v>
      </c>
      <c r="M1301" s="36">
        <v>3150</v>
      </c>
      <c r="N1301" s="40">
        <v>566071</v>
      </c>
      <c r="O1301" s="40">
        <v>2087</v>
      </c>
      <c r="P1301" s="40">
        <v>0</v>
      </c>
      <c r="Q1301" s="40">
        <v>53394</v>
      </c>
      <c r="R1301" s="40">
        <v>130314</v>
      </c>
      <c r="S1301" s="40">
        <v>354356</v>
      </c>
      <c r="T1301" s="40">
        <v>30000</v>
      </c>
      <c r="U1301" s="40">
        <v>2085500</v>
      </c>
      <c r="V1301" s="40">
        <v>0</v>
      </c>
      <c r="W1301" s="45">
        <f t="shared" si="69"/>
        <v>3221722</v>
      </c>
      <c r="X1301" s="46">
        <f t="shared" si="70"/>
        <v>12.394148040227684</v>
      </c>
    </row>
    <row r="1302" spans="1:24" s="4" customFormat="1" ht="15" customHeight="1">
      <c r="A1302" s="28" t="s">
        <v>1603</v>
      </c>
      <c r="B1302" s="29">
        <v>3149.63</v>
      </c>
      <c r="C1302" s="30" t="s">
        <v>1455</v>
      </c>
      <c r="D1302" s="2">
        <v>4948452720</v>
      </c>
      <c r="E1302" s="2" t="s">
        <v>36</v>
      </c>
      <c r="F1302" s="78" t="s">
        <v>2045</v>
      </c>
      <c r="G1302" s="28" t="s">
        <v>5</v>
      </c>
      <c r="H1302" s="2" t="s">
        <v>26</v>
      </c>
      <c r="I1302" s="2">
        <v>3</v>
      </c>
      <c r="J1302" s="2" t="s">
        <v>1457</v>
      </c>
      <c r="K1302" s="2">
        <v>104290</v>
      </c>
      <c r="L1302" s="35">
        <f t="shared" si="68"/>
        <v>328474912.69999999</v>
      </c>
      <c r="M1302" s="36">
        <v>67458</v>
      </c>
      <c r="N1302" s="40">
        <v>934607</v>
      </c>
      <c r="O1302" s="40">
        <v>1199671</v>
      </c>
      <c r="P1302" s="40">
        <v>1802290</v>
      </c>
      <c r="Q1302" s="40">
        <v>297928</v>
      </c>
      <c r="R1302" s="40">
        <v>2086770</v>
      </c>
      <c r="S1302" s="40">
        <v>354356</v>
      </c>
      <c r="T1302" s="40"/>
      <c r="U1302" s="40">
        <v>0</v>
      </c>
      <c r="V1302" s="40">
        <v>0</v>
      </c>
      <c r="W1302" s="45">
        <f t="shared" si="69"/>
        <v>6675622</v>
      </c>
      <c r="X1302" s="46">
        <f t="shared" si="70"/>
        <v>2.0323080216774194</v>
      </c>
    </row>
    <row r="1303" spans="1:24" s="4" customFormat="1" ht="15" customHeight="1">
      <c r="A1303" s="28" t="s">
        <v>1603</v>
      </c>
      <c r="B1303" s="29">
        <v>3149.63</v>
      </c>
      <c r="C1303" s="30" t="s">
        <v>2046</v>
      </c>
      <c r="D1303" s="2">
        <v>4949654738</v>
      </c>
      <c r="E1303" s="2" t="s">
        <v>14</v>
      </c>
      <c r="F1303" s="2" t="s">
        <v>2047</v>
      </c>
      <c r="G1303" s="28" t="s">
        <v>5</v>
      </c>
      <c r="H1303" s="2" t="s">
        <v>20</v>
      </c>
      <c r="I1303" s="2">
        <v>2</v>
      </c>
      <c r="J1303" s="2" t="s">
        <v>2048</v>
      </c>
      <c r="K1303" s="2">
        <v>73684.800000000003</v>
      </c>
      <c r="L1303" s="35">
        <f t="shared" si="68"/>
        <v>232079856.62400001</v>
      </c>
      <c r="M1303" s="36">
        <v>30960</v>
      </c>
      <c r="N1303" s="40">
        <v>650952</v>
      </c>
      <c r="O1303" s="40">
        <v>654071</v>
      </c>
      <c r="P1303" s="40">
        <v>0</v>
      </c>
      <c r="Q1303" s="40">
        <v>198619</v>
      </c>
      <c r="R1303" s="40">
        <v>1076780</v>
      </c>
      <c r="S1303" s="40">
        <v>354356</v>
      </c>
      <c r="T1303" s="40">
        <v>30000</v>
      </c>
      <c r="U1303" s="40">
        <v>9059800</v>
      </c>
      <c r="V1303" s="40">
        <v>0</v>
      </c>
      <c r="W1303" s="45">
        <f t="shared" si="69"/>
        <v>12024578</v>
      </c>
      <c r="X1303" s="46">
        <f t="shared" si="70"/>
        <v>5.1812243315374857</v>
      </c>
    </row>
    <row r="1304" spans="1:24" s="4" customFormat="1" ht="15" customHeight="1">
      <c r="A1304" s="28" t="s">
        <v>1603</v>
      </c>
      <c r="B1304" s="29">
        <v>3149.63</v>
      </c>
      <c r="C1304" s="30" t="s">
        <v>2049</v>
      </c>
      <c r="D1304" s="2">
        <v>4949076772</v>
      </c>
      <c r="E1304" s="2" t="s">
        <v>33</v>
      </c>
      <c r="F1304" s="2" t="s">
        <v>2050</v>
      </c>
      <c r="G1304" s="28" t="s">
        <v>5</v>
      </c>
      <c r="H1304" s="2" t="s">
        <v>20</v>
      </c>
      <c r="I1304" s="2">
        <v>1</v>
      </c>
      <c r="J1304" s="2" t="s">
        <v>2051</v>
      </c>
      <c r="K1304" s="2">
        <v>14280</v>
      </c>
      <c r="L1304" s="35">
        <f t="shared" si="68"/>
        <v>44976716.399999999</v>
      </c>
      <c r="M1304" s="36">
        <v>24000</v>
      </c>
      <c r="N1304" s="40">
        <v>721598</v>
      </c>
      <c r="O1304" s="40">
        <v>294076</v>
      </c>
      <c r="P1304" s="40">
        <v>227096</v>
      </c>
      <c r="Q1304" s="40">
        <v>172066</v>
      </c>
      <c r="R1304" s="40">
        <v>751286</v>
      </c>
      <c r="S1304" s="40">
        <v>354356</v>
      </c>
      <c r="T1304" s="40"/>
      <c r="U1304" s="40">
        <v>4297100</v>
      </c>
      <c r="V1304" s="40">
        <v>0</v>
      </c>
      <c r="W1304" s="45">
        <f t="shared" si="69"/>
        <v>6817578</v>
      </c>
      <c r="X1304" s="46">
        <f t="shared" si="70"/>
        <v>15.158016293070254</v>
      </c>
    </row>
    <row r="1305" spans="1:24" s="4" customFormat="1" ht="15" customHeight="1">
      <c r="A1305" s="28" t="s">
        <v>1603</v>
      </c>
      <c r="B1305" s="29">
        <v>3149.63</v>
      </c>
      <c r="C1305" s="30" t="s">
        <v>2052</v>
      </c>
      <c r="D1305" s="2">
        <v>4949654735</v>
      </c>
      <c r="E1305" s="2" t="s">
        <v>14</v>
      </c>
      <c r="F1305" s="78" t="s">
        <v>2053</v>
      </c>
      <c r="G1305" s="28" t="s">
        <v>13</v>
      </c>
      <c r="H1305" s="2" t="s">
        <v>23</v>
      </c>
      <c r="I1305" s="2">
        <v>1</v>
      </c>
      <c r="J1305" s="2"/>
      <c r="K1305" s="2">
        <v>784.8</v>
      </c>
      <c r="L1305" s="35">
        <f t="shared" si="68"/>
        <v>2471829.6239999998</v>
      </c>
      <c r="M1305" s="36">
        <v>10</v>
      </c>
      <c r="N1305" s="40">
        <v>148571</v>
      </c>
      <c r="O1305" s="40">
        <v>0</v>
      </c>
      <c r="P1305" s="40">
        <v>0</v>
      </c>
      <c r="Q1305" s="40">
        <v>0</v>
      </c>
      <c r="R1305" s="40">
        <v>594</v>
      </c>
      <c r="S1305" s="40">
        <v>354356</v>
      </c>
      <c r="T1305" s="40">
        <v>30000</v>
      </c>
      <c r="U1305" s="40">
        <v>13317.8378378378</v>
      </c>
      <c r="V1305" s="40">
        <v>0</v>
      </c>
      <c r="W1305" s="45">
        <f t="shared" si="69"/>
        <v>546838.83783783775</v>
      </c>
      <c r="X1305" s="46">
        <f t="shared" si="70"/>
        <v>22.122836967740696</v>
      </c>
    </row>
    <row r="1306" spans="1:24" s="4" customFormat="1" ht="15" customHeight="1">
      <c r="A1306" s="28" t="s">
        <v>1603</v>
      </c>
      <c r="B1306" s="29">
        <v>3149.63</v>
      </c>
      <c r="C1306" s="30" t="s">
        <v>2054</v>
      </c>
      <c r="D1306" s="2">
        <v>4950215960</v>
      </c>
      <c r="E1306" s="2" t="s">
        <v>14</v>
      </c>
      <c r="F1306" s="78" t="s">
        <v>2055</v>
      </c>
      <c r="G1306" s="28" t="s">
        <v>13</v>
      </c>
      <c r="H1306" s="2" t="s">
        <v>23</v>
      </c>
      <c r="I1306" s="2">
        <v>1</v>
      </c>
      <c r="J1306" s="2"/>
      <c r="K1306" s="2">
        <v>3139.2</v>
      </c>
      <c r="L1306" s="35">
        <f t="shared" si="68"/>
        <v>9887318.4959999993</v>
      </c>
      <c r="M1306" s="36">
        <v>40</v>
      </c>
      <c r="N1306" s="40">
        <v>144582</v>
      </c>
      <c r="O1306" s="40">
        <v>0</v>
      </c>
      <c r="P1306" s="40">
        <v>0</v>
      </c>
      <c r="Q1306" s="40">
        <v>0</v>
      </c>
      <c r="R1306" s="40">
        <v>578</v>
      </c>
      <c r="S1306" s="40">
        <v>354356</v>
      </c>
      <c r="T1306" s="40">
        <v>30000</v>
      </c>
      <c r="U1306" s="40">
        <v>53271.351351351397</v>
      </c>
      <c r="V1306" s="40">
        <v>0</v>
      </c>
      <c r="W1306" s="45">
        <f t="shared" si="69"/>
        <v>582787.35135135136</v>
      </c>
      <c r="X1306" s="46">
        <f t="shared" si="70"/>
        <v>5.8942912740913833</v>
      </c>
    </row>
    <row r="1307" spans="1:24" s="4" customFormat="1" ht="15" customHeight="1">
      <c r="A1307" s="28" t="s">
        <v>1603</v>
      </c>
      <c r="B1307" s="29">
        <v>3149.63</v>
      </c>
      <c r="C1307" s="30" t="s">
        <v>2056</v>
      </c>
      <c r="D1307" s="2">
        <v>4949685750</v>
      </c>
      <c r="E1307" s="2" t="s">
        <v>27</v>
      </c>
      <c r="F1307" s="78" t="s">
        <v>2057</v>
      </c>
      <c r="G1307" s="28" t="s">
        <v>13</v>
      </c>
      <c r="H1307" s="2" t="s">
        <v>23</v>
      </c>
      <c r="I1307" s="2">
        <v>1</v>
      </c>
      <c r="J1307" s="2"/>
      <c r="K1307" s="2">
        <f>984+353.078</f>
        <v>1337.078</v>
      </c>
      <c r="L1307" s="35">
        <f t="shared" si="68"/>
        <v>4211300.9811399998</v>
      </c>
      <c r="M1307" s="36">
        <v>200</v>
      </c>
      <c r="N1307" s="40">
        <v>798083</v>
      </c>
      <c r="O1307" s="40">
        <v>0</v>
      </c>
      <c r="P1307" s="40">
        <v>0</v>
      </c>
      <c r="Q1307" s="40">
        <v>0</v>
      </c>
      <c r="R1307" s="40">
        <v>7712</v>
      </c>
      <c r="S1307" s="40">
        <v>354356</v>
      </c>
      <c r="T1307" s="40"/>
      <c r="U1307" s="40">
        <v>246380</v>
      </c>
      <c r="V1307" s="40">
        <v>0</v>
      </c>
      <c r="W1307" s="45">
        <f t="shared" si="69"/>
        <v>1406531</v>
      </c>
      <c r="X1307" s="46">
        <f t="shared" si="70"/>
        <v>33.398966407270464</v>
      </c>
    </row>
    <row r="1308" spans="1:24" s="4" customFormat="1" ht="15" customHeight="1">
      <c r="A1308" s="28" t="s">
        <v>1603</v>
      </c>
      <c r="B1308" s="29">
        <v>3149.63</v>
      </c>
      <c r="C1308" s="30" t="s">
        <v>2058</v>
      </c>
      <c r="D1308" s="2">
        <v>4949654735</v>
      </c>
      <c r="E1308" s="2" t="s">
        <v>14</v>
      </c>
      <c r="F1308" s="78" t="s">
        <v>2059</v>
      </c>
      <c r="G1308" s="28" t="s">
        <v>13</v>
      </c>
      <c r="H1308" s="2" t="s">
        <v>23</v>
      </c>
      <c r="I1308" s="2">
        <v>1</v>
      </c>
      <c r="J1308" s="2"/>
      <c r="K1308" s="2">
        <v>3434.8</v>
      </c>
      <c r="L1308" s="35">
        <f t="shared" si="68"/>
        <v>10818349.124000002</v>
      </c>
      <c r="M1308" s="36">
        <v>40</v>
      </c>
      <c r="N1308" s="40">
        <v>142419</v>
      </c>
      <c r="O1308" s="40">
        <v>0</v>
      </c>
      <c r="P1308" s="40">
        <v>0</v>
      </c>
      <c r="Q1308" s="40">
        <v>0</v>
      </c>
      <c r="R1308" s="40">
        <v>570</v>
      </c>
      <c r="S1308" s="40">
        <v>354356</v>
      </c>
      <c r="T1308" s="40">
        <v>30000</v>
      </c>
      <c r="U1308" s="40">
        <v>53271.351351351397</v>
      </c>
      <c r="V1308" s="40">
        <v>0</v>
      </c>
      <c r="W1308" s="45">
        <f t="shared" si="69"/>
        <v>580616.35135135136</v>
      </c>
      <c r="X1308" s="46">
        <f t="shared" si="70"/>
        <v>5.3669589019204524</v>
      </c>
    </row>
    <row r="1309" spans="1:24" s="4" customFormat="1" ht="15" customHeight="1">
      <c r="A1309" s="28" t="s">
        <v>1603</v>
      </c>
      <c r="B1309" s="29">
        <v>3149.63</v>
      </c>
      <c r="C1309" s="30" t="s">
        <v>2060</v>
      </c>
      <c r="D1309" s="2">
        <v>4949366047</v>
      </c>
      <c r="E1309" s="2" t="s">
        <v>14</v>
      </c>
      <c r="F1309" s="2" t="s">
        <v>2061</v>
      </c>
      <c r="G1309" s="28" t="s">
        <v>5</v>
      </c>
      <c r="H1309" s="2" t="s">
        <v>32</v>
      </c>
      <c r="I1309" s="2">
        <v>1</v>
      </c>
      <c r="J1309" s="2" t="s">
        <v>2062</v>
      </c>
      <c r="K1309" s="2">
        <v>164.75</v>
      </c>
      <c r="L1309" s="35">
        <f t="shared" si="68"/>
        <v>518901.54250000004</v>
      </c>
      <c r="M1309" s="36">
        <v>25</v>
      </c>
      <c r="N1309" s="40">
        <v>1500.20187793427</v>
      </c>
      <c r="O1309" s="40">
        <v>1535.3755868544599</v>
      </c>
      <c r="P1309" s="40">
        <v>980.131455399061</v>
      </c>
      <c r="Q1309" s="40">
        <v>466.23943661971799</v>
      </c>
      <c r="R1309" s="40">
        <f>12590+519</f>
        <v>13109</v>
      </c>
      <c r="S1309" s="40">
        <v>1663.64319248826</v>
      </c>
      <c r="T1309" s="40">
        <v>30000</v>
      </c>
      <c r="U1309" s="40">
        <v>13322.535211267599</v>
      </c>
      <c r="V1309" s="40">
        <v>0</v>
      </c>
      <c r="W1309" s="45">
        <f t="shared" si="69"/>
        <v>62577.126760563369</v>
      </c>
      <c r="X1309" s="46">
        <f t="shared" si="70"/>
        <v>12.059537626169876</v>
      </c>
    </row>
    <row r="1310" spans="1:24" s="4" customFormat="1" ht="15" customHeight="1">
      <c r="A1310" s="28" t="s">
        <v>1603</v>
      </c>
      <c r="B1310" s="29">
        <v>3149.63</v>
      </c>
      <c r="C1310" s="30" t="s">
        <v>2060</v>
      </c>
      <c r="D1310" s="2">
        <v>4949845519</v>
      </c>
      <c r="E1310" s="2" t="s">
        <v>18</v>
      </c>
      <c r="F1310" s="2" t="s">
        <v>2061</v>
      </c>
      <c r="G1310" s="28" t="s">
        <v>5</v>
      </c>
      <c r="H1310" s="2" t="s">
        <v>32</v>
      </c>
      <c r="I1310" s="2">
        <v>1</v>
      </c>
      <c r="J1310" s="2" t="s">
        <v>2062</v>
      </c>
      <c r="K1310" s="2">
        <v>4512</v>
      </c>
      <c r="L1310" s="35">
        <f t="shared" si="68"/>
        <v>14211130.560000001</v>
      </c>
      <c r="M1310" s="36">
        <v>4800</v>
      </c>
      <c r="N1310" s="40">
        <v>288038.76056338003</v>
      </c>
      <c r="O1310" s="40">
        <v>294792.11267605599</v>
      </c>
      <c r="P1310" s="40">
        <v>188185.23943662</v>
      </c>
      <c r="Q1310" s="40">
        <v>89517.971830985902</v>
      </c>
      <c r="R1310" s="40">
        <f>2417248+99702</f>
        <v>2516950</v>
      </c>
      <c r="S1310" s="40">
        <v>319419.49295774603</v>
      </c>
      <c r="T1310" s="40">
        <v>30000</v>
      </c>
      <c r="U1310" s="40">
        <v>2557926.7605633801</v>
      </c>
      <c r="V1310" s="40">
        <v>0</v>
      </c>
      <c r="W1310" s="45">
        <f t="shared" si="69"/>
        <v>6284830.3380281683</v>
      </c>
      <c r="X1310" s="46">
        <f t="shared" si="70"/>
        <v>44.224703386499378</v>
      </c>
    </row>
    <row r="1311" spans="1:24" s="4" customFormat="1" ht="15" customHeight="1">
      <c r="A1311" s="28" t="s">
        <v>1603</v>
      </c>
      <c r="B1311" s="29">
        <v>3149.63</v>
      </c>
      <c r="C1311" s="30" t="s">
        <v>2060</v>
      </c>
      <c r="D1311" s="2">
        <v>4949876195</v>
      </c>
      <c r="E1311" s="2" t="s">
        <v>18</v>
      </c>
      <c r="F1311" s="2" t="s">
        <v>2061</v>
      </c>
      <c r="G1311" s="28" t="s">
        <v>5</v>
      </c>
      <c r="H1311" s="2" t="s">
        <v>32</v>
      </c>
      <c r="I1311" s="2">
        <v>1</v>
      </c>
      <c r="J1311" s="2" t="s">
        <v>2062</v>
      </c>
      <c r="K1311" s="2">
        <v>5365</v>
      </c>
      <c r="L1311" s="35">
        <f t="shared" si="68"/>
        <v>16897764.949999999</v>
      </c>
      <c r="M1311" s="36">
        <v>500</v>
      </c>
      <c r="N1311" s="40">
        <v>30004.037558685399</v>
      </c>
      <c r="O1311" s="40">
        <v>30707.5117370892</v>
      </c>
      <c r="P1311" s="40">
        <v>19602.6291079812</v>
      </c>
      <c r="Q1311" s="40">
        <v>9324.7887323943705</v>
      </c>
      <c r="R1311" s="40">
        <f>251797+10386</f>
        <v>262183</v>
      </c>
      <c r="S1311" s="40">
        <v>33272.863849765301</v>
      </c>
      <c r="T1311" s="40">
        <v>30000</v>
      </c>
      <c r="U1311" s="40">
        <v>266450.70422535198</v>
      </c>
      <c r="V1311" s="40">
        <v>0</v>
      </c>
      <c r="W1311" s="45">
        <f t="shared" si="69"/>
        <v>681545.53521126742</v>
      </c>
      <c r="X1311" s="46">
        <f t="shared" si="70"/>
        <v>4.0333472339563308</v>
      </c>
    </row>
    <row r="1312" spans="1:24" s="4" customFormat="1" ht="15" customHeight="1">
      <c r="A1312" s="28" t="s">
        <v>1603</v>
      </c>
      <c r="B1312" s="29">
        <v>3149.63</v>
      </c>
      <c r="C1312" s="30" t="s">
        <v>2063</v>
      </c>
      <c r="D1312" s="2">
        <v>4949383322</v>
      </c>
      <c r="E1312" s="2" t="s">
        <v>38</v>
      </c>
      <c r="F1312" s="2" t="s">
        <v>2064</v>
      </c>
      <c r="G1312" s="28" t="s">
        <v>5</v>
      </c>
      <c r="H1312" s="2" t="s">
        <v>20</v>
      </c>
      <c r="I1312" s="2">
        <v>3</v>
      </c>
      <c r="J1312" s="2" t="s">
        <v>2065</v>
      </c>
      <c r="K1312" s="2">
        <f>25728+6432</f>
        <v>32160</v>
      </c>
      <c r="L1312" s="35">
        <f t="shared" si="68"/>
        <v>101292100.8</v>
      </c>
      <c r="M1312" s="36">
        <v>24000</v>
      </c>
      <c r="N1312" s="40">
        <v>933152.08462274203</v>
      </c>
      <c r="O1312" s="40">
        <v>662425.25178641803</v>
      </c>
      <c r="P1312" s="40">
        <v>422869.521183818</v>
      </c>
      <c r="Q1312" s="40">
        <v>201155.46053001701</v>
      </c>
      <c r="R1312" s="40">
        <f>1164120.85748045+405109</f>
        <v>1569229.8574804501</v>
      </c>
      <c r="S1312" s="40">
        <v>239254.59967366201</v>
      </c>
      <c r="T1312" s="40"/>
      <c r="U1312" s="40">
        <v>8887345.9742305707</v>
      </c>
      <c r="V1312" s="40">
        <v>0</v>
      </c>
      <c r="W1312" s="45">
        <f t="shared" si="69"/>
        <v>12915432.749507677</v>
      </c>
      <c r="X1312" s="46">
        <f t="shared" si="70"/>
        <v>12.750681097047281</v>
      </c>
    </row>
    <row r="1313" spans="1:24" s="4" customFormat="1" ht="15" customHeight="1">
      <c r="A1313" s="28" t="s">
        <v>1603</v>
      </c>
      <c r="B1313" s="29">
        <v>3149.63</v>
      </c>
      <c r="C1313" s="30" t="s">
        <v>2063</v>
      </c>
      <c r="D1313" s="2">
        <v>4949573808</v>
      </c>
      <c r="E1313" s="2" t="s">
        <v>38</v>
      </c>
      <c r="F1313" s="2" t="s">
        <v>2064</v>
      </c>
      <c r="G1313" s="28" t="s">
        <v>5</v>
      </c>
      <c r="H1313" s="2" t="s">
        <v>20</v>
      </c>
      <c r="I1313" s="2">
        <v>3</v>
      </c>
      <c r="J1313" s="2" t="s">
        <v>2065</v>
      </c>
      <c r="K1313" s="2">
        <v>2004.77</v>
      </c>
      <c r="L1313" s="35">
        <f t="shared" si="68"/>
        <v>6314283.7351000002</v>
      </c>
      <c r="M1313" s="36">
        <v>1485</v>
      </c>
      <c r="N1313" s="40">
        <v>57738.785236032199</v>
      </c>
      <c r="O1313" s="40">
        <v>40987.562454284598</v>
      </c>
      <c r="P1313" s="40">
        <v>26165.051623248699</v>
      </c>
      <c r="Q1313" s="40">
        <v>12446.494120294799</v>
      </c>
      <c r="R1313" s="40">
        <f>72029+25066</f>
        <v>97095</v>
      </c>
      <c r="S1313" s="40">
        <v>14803.878354807901</v>
      </c>
      <c r="T1313" s="40"/>
      <c r="U1313" s="40">
        <v>549904.53215551702</v>
      </c>
      <c r="V1313" s="40">
        <v>0</v>
      </c>
      <c r="W1313" s="45">
        <f t="shared" si="69"/>
        <v>799141.30394418526</v>
      </c>
      <c r="X1313" s="46">
        <f t="shared" si="70"/>
        <v>12.656087966112425</v>
      </c>
    </row>
    <row r="1314" spans="1:24" s="4" customFormat="1" ht="15" customHeight="1">
      <c r="A1314" s="28" t="s">
        <v>1603</v>
      </c>
      <c r="B1314" s="29">
        <v>3149.63</v>
      </c>
      <c r="C1314" s="30" t="s">
        <v>2063</v>
      </c>
      <c r="D1314" s="2">
        <v>4949383323</v>
      </c>
      <c r="E1314" s="2" t="s">
        <v>38</v>
      </c>
      <c r="F1314" s="2" t="s">
        <v>2064</v>
      </c>
      <c r="G1314" s="28" t="s">
        <v>5</v>
      </c>
      <c r="H1314" s="2" t="s">
        <v>20</v>
      </c>
      <c r="I1314" s="2">
        <v>3</v>
      </c>
      <c r="J1314" s="2" t="s">
        <v>2065</v>
      </c>
      <c r="K1314" s="2">
        <v>10613.4</v>
      </c>
      <c r="L1314" s="35">
        <f t="shared" si="68"/>
        <v>33428283.041999999</v>
      </c>
      <c r="M1314" s="36">
        <v>7980</v>
      </c>
      <c r="N1314" s="40">
        <v>310273.06813706202</v>
      </c>
      <c r="O1314" s="40">
        <v>220256.39621898401</v>
      </c>
      <c r="P1314" s="40">
        <v>140604.11579362</v>
      </c>
      <c r="Q1314" s="40">
        <v>66884.190626230804</v>
      </c>
      <c r="R1314" s="40">
        <f>387070+134699</f>
        <v>521769</v>
      </c>
      <c r="S1314" s="40">
        <v>79552.154391492702</v>
      </c>
      <c r="T1314" s="40"/>
      <c r="U1314" s="40">
        <v>2955042.5364316702</v>
      </c>
      <c r="V1314" s="40">
        <v>0</v>
      </c>
      <c r="W1314" s="45">
        <f t="shared" si="69"/>
        <v>4294381.4615990594</v>
      </c>
      <c r="X1314" s="46">
        <f t="shared" si="70"/>
        <v>12.846551096278287</v>
      </c>
    </row>
    <row r="1315" spans="1:24" s="4" customFormat="1" ht="15" customHeight="1">
      <c r="A1315" s="28" t="s">
        <v>1603</v>
      </c>
      <c r="B1315" s="29">
        <v>3149.63</v>
      </c>
      <c r="C1315" s="30" t="s">
        <v>2063</v>
      </c>
      <c r="D1315" s="2">
        <v>4949590758</v>
      </c>
      <c r="E1315" s="2" t="s">
        <v>38</v>
      </c>
      <c r="F1315" s="2" t="s">
        <v>2064</v>
      </c>
      <c r="G1315" s="28" t="s">
        <v>5</v>
      </c>
      <c r="H1315" s="2" t="s">
        <v>20</v>
      </c>
      <c r="I1315" s="2">
        <v>3</v>
      </c>
      <c r="J1315" s="2" t="s">
        <v>2065</v>
      </c>
      <c r="K1315" s="2">
        <v>49.32</v>
      </c>
      <c r="L1315" s="35">
        <f t="shared" si="68"/>
        <v>155339.75160000002</v>
      </c>
      <c r="M1315" s="36">
        <v>36</v>
      </c>
      <c r="N1315" s="40">
        <v>1399.7281269341099</v>
      </c>
      <c r="O1315" s="40">
        <v>993.63787767962594</v>
      </c>
      <c r="P1315" s="40">
        <v>634.30428177572696</v>
      </c>
      <c r="Q1315" s="40">
        <v>301.73319079502602</v>
      </c>
      <c r="R1315" s="40">
        <f>1746+608</f>
        <v>2354</v>
      </c>
      <c r="S1315" s="40">
        <v>358.88189951049299</v>
      </c>
      <c r="T1315" s="40"/>
      <c r="U1315" s="40">
        <v>13331.018961345901</v>
      </c>
      <c r="V1315" s="40">
        <v>0</v>
      </c>
      <c r="W1315" s="45">
        <f t="shared" si="69"/>
        <v>19373.304338040882</v>
      </c>
      <c r="X1315" s="46">
        <f t="shared" si="70"/>
        <v>12.471569021126772</v>
      </c>
    </row>
    <row r="1316" spans="1:24" s="4" customFormat="1" ht="15" customHeight="1">
      <c r="A1316" s="28" t="s">
        <v>1603</v>
      </c>
      <c r="B1316" s="29">
        <v>3149.63</v>
      </c>
      <c r="C1316" s="30" t="s">
        <v>2063</v>
      </c>
      <c r="D1316" s="2">
        <v>4949590751</v>
      </c>
      <c r="E1316" s="2" t="s">
        <v>38</v>
      </c>
      <c r="F1316" s="2" t="s">
        <v>2064</v>
      </c>
      <c r="G1316" s="28" t="s">
        <v>5</v>
      </c>
      <c r="H1316" s="2" t="s">
        <v>20</v>
      </c>
      <c r="I1316" s="2">
        <v>3</v>
      </c>
      <c r="J1316" s="2" t="s">
        <v>2065</v>
      </c>
      <c r="K1316" s="2">
        <v>607.20000000000005</v>
      </c>
      <c r="L1316" s="35">
        <f t="shared" si="68"/>
        <v>1912455.3360000001</v>
      </c>
      <c r="M1316" s="36">
        <v>440</v>
      </c>
      <c r="N1316" s="40">
        <v>17107.788218083599</v>
      </c>
      <c r="O1316" s="40">
        <v>12144.462949417701</v>
      </c>
      <c r="P1316" s="40">
        <v>7752.6078883700002</v>
      </c>
      <c r="Q1316" s="40">
        <v>3687.8501097169901</v>
      </c>
      <c r="R1316" s="40">
        <f>21342+7427</f>
        <v>28769</v>
      </c>
      <c r="S1316" s="40">
        <v>4386.3343273504797</v>
      </c>
      <c r="T1316" s="40"/>
      <c r="U1316" s="40">
        <v>162934.67619422701</v>
      </c>
      <c r="V1316" s="40">
        <v>0</v>
      </c>
      <c r="W1316" s="45">
        <f t="shared" si="69"/>
        <v>236782.71968716578</v>
      </c>
      <c r="X1316" s="46">
        <f t="shared" si="70"/>
        <v>12.381084945095196</v>
      </c>
    </row>
    <row r="1317" spans="1:24" s="4" customFormat="1" ht="15" customHeight="1">
      <c r="A1317" s="28" t="s">
        <v>1603</v>
      </c>
      <c r="B1317" s="29">
        <v>3149.63</v>
      </c>
      <c r="C1317" s="30" t="s">
        <v>2063</v>
      </c>
      <c r="D1317" s="2">
        <v>4949590756</v>
      </c>
      <c r="E1317" s="2" t="s">
        <v>38</v>
      </c>
      <c r="F1317" s="2" t="s">
        <v>2064</v>
      </c>
      <c r="G1317" s="28" t="s">
        <v>5</v>
      </c>
      <c r="H1317" s="2" t="s">
        <v>20</v>
      </c>
      <c r="I1317" s="2">
        <v>3</v>
      </c>
      <c r="J1317" s="2" t="s">
        <v>2065</v>
      </c>
      <c r="K1317" s="2">
        <v>146.30000000000001</v>
      </c>
      <c r="L1317" s="35">
        <f t="shared" si="68"/>
        <v>460790.86900000006</v>
      </c>
      <c r="M1317" s="36">
        <v>110</v>
      </c>
      <c r="N1317" s="40">
        <v>4276.9470545208997</v>
      </c>
      <c r="O1317" s="40">
        <v>3036.1157373544102</v>
      </c>
      <c r="P1317" s="40">
        <v>1938.1519720925</v>
      </c>
      <c r="Q1317" s="40">
        <v>921.96252742924696</v>
      </c>
      <c r="R1317" s="40">
        <f>5335+1857</f>
        <v>7192</v>
      </c>
      <c r="S1317" s="40">
        <v>1096.5835818376199</v>
      </c>
      <c r="T1317" s="40"/>
      <c r="U1317" s="40">
        <v>40733.669048556803</v>
      </c>
      <c r="V1317" s="40">
        <v>0</v>
      </c>
      <c r="W1317" s="45">
        <f t="shared" si="69"/>
        <v>59195.429921791481</v>
      </c>
      <c r="X1317" s="46">
        <f t="shared" si="70"/>
        <v>12.846485011792078</v>
      </c>
    </row>
    <row r="1318" spans="1:24" s="4" customFormat="1" ht="15" customHeight="1">
      <c r="A1318" s="28" t="s">
        <v>1603</v>
      </c>
      <c r="B1318" s="29">
        <v>3149.63</v>
      </c>
      <c r="C1318" s="30" t="s">
        <v>2063</v>
      </c>
      <c r="D1318" s="2">
        <v>4949588791</v>
      </c>
      <c r="E1318" s="2" t="s">
        <v>38</v>
      </c>
      <c r="F1318" s="2" t="s">
        <v>2064</v>
      </c>
      <c r="G1318" s="28" t="s">
        <v>5</v>
      </c>
      <c r="H1318" s="2" t="s">
        <v>20</v>
      </c>
      <c r="I1318" s="2">
        <v>3</v>
      </c>
      <c r="J1318" s="2" t="s">
        <v>2065</v>
      </c>
      <c r="K1318" s="2">
        <v>1101.5999999999999</v>
      </c>
      <c r="L1318" s="35">
        <f t="shared" si="68"/>
        <v>3469632.4079999998</v>
      </c>
      <c r="M1318" s="36">
        <v>816</v>
      </c>
      <c r="N1318" s="40">
        <v>31727.170877173201</v>
      </c>
      <c r="O1318" s="40">
        <v>22522.4585607382</v>
      </c>
      <c r="P1318" s="40">
        <v>14377.5637202498</v>
      </c>
      <c r="Q1318" s="40">
        <v>6839.2856580205898</v>
      </c>
      <c r="R1318" s="40">
        <f>39580+14378</f>
        <v>53958</v>
      </c>
      <c r="S1318" s="40">
        <v>8134.6563889045201</v>
      </c>
      <c r="T1318" s="40"/>
      <c r="U1318" s="40">
        <v>302169.76312383998</v>
      </c>
      <c r="V1318" s="40">
        <v>0</v>
      </c>
      <c r="W1318" s="45">
        <f t="shared" si="69"/>
        <v>439728.8983289263</v>
      </c>
      <c r="X1318" s="46">
        <f t="shared" si="70"/>
        <v>12.673645119149645</v>
      </c>
    </row>
    <row r="1319" spans="1:24" s="4" customFormat="1" ht="15" customHeight="1">
      <c r="A1319" s="28" t="s">
        <v>1603</v>
      </c>
      <c r="B1319" s="29">
        <v>3149.63</v>
      </c>
      <c r="C1319" s="30" t="s">
        <v>2063</v>
      </c>
      <c r="D1319" s="2">
        <v>4949383329</v>
      </c>
      <c r="E1319" s="2" t="s">
        <v>38</v>
      </c>
      <c r="F1319" s="2" t="s">
        <v>2064</v>
      </c>
      <c r="G1319" s="28" t="s">
        <v>5</v>
      </c>
      <c r="H1319" s="2" t="s">
        <v>20</v>
      </c>
      <c r="I1319" s="2">
        <v>3</v>
      </c>
      <c r="J1319" s="2" t="s">
        <v>2065</v>
      </c>
      <c r="K1319" s="2">
        <v>896.28</v>
      </c>
      <c r="L1319" s="35">
        <f t="shared" si="68"/>
        <v>2822950.3764</v>
      </c>
      <c r="M1319" s="36">
        <v>679</v>
      </c>
      <c r="N1319" s="40">
        <v>26400.427727451799</v>
      </c>
      <c r="O1319" s="40">
        <v>18741.114415124099</v>
      </c>
      <c r="P1319" s="40">
        <v>11963.6835368255</v>
      </c>
      <c r="Q1319" s="40">
        <v>5691.0232374950801</v>
      </c>
      <c r="R1319" s="40">
        <f>32935+11461</f>
        <v>44396</v>
      </c>
      <c r="S1319" s="40">
        <v>6768.9113824340302</v>
      </c>
      <c r="T1319" s="40"/>
      <c r="U1319" s="40">
        <v>251437.829854273</v>
      </c>
      <c r="V1319" s="40">
        <v>0</v>
      </c>
      <c r="W1319" s="45">
        <f t="shared" si="69"/>
        <v>365398.99015360349</v>
      </c>
      <c r="X1319" s="46">
        <f t="shared" si="70"/>
        <v>12.943868698803795</v>
      </c>
    </row>
    <row r="1320" spans="1:24" s="4" customFormat="1" ht="15" customHeight="1">
      <c r="A1320" s="28" t="s">
        <v>1603</v>
      </c>
      <c r="B1320" s="29">
        <v>3149.63</v>
      </c>
      <c r="C1320" s="30" t="s">
        <v>2066</v>
      </c>
      <c r="D1320" s="2">
        <v>4948492548</v>
      </c>
      <c r="E1320" s="2" t="s">
        <v>6</v>
      </c>
      <c r="F1320" s="2" t="s">
        <v>2067</v>
      </c>
      <c r="G1320" s="28" t="s">
        <v>5</v>
      </c>
      <c r="H1320" s="2" t="s">
        <v>20</v>
      </c>
      <c r="I1320" s="2">
        <v>1</v>
      </c>
      <c r="J1320" s="2" t="s">
        <v>2068</v>
      </c>
      <c r="K1320" s="2">
        <v>59500</v>
      </c>
      <c r="L1320" s="35">
        <f t="shared" si="68"/>
        <v>187402985</v>
      </c>
      <c r="M1320" s="36">
        <v>12000</v>
      </c>
      <c r="N1320" s="40">
        <v>1494305</v>
      </c>
      <c r="O1320" s="40">
        <v>407175</v>
      </c>
      <c r="P1320" s="40">
        <v>207510</v>
      </c>
      <c r="Q1320" s="40">
        <v>124137</v>
      </c>
      <c r="R1320" s="40">
        <v>625278</v>
      </c>
      <c r="S1320" s="40">
        <v>354356</v>
      </c>
      <c r="T1320" s="40">
        <v>30000</v>
      </c>
      <c r="U1320" s="40">
        <v>3249500</v>
      </c>
      <c r="V1320" s="40">
        <v>0</v>
      </c>
      <c r="W1320" s="45">
        <f t="shared" si="69"/>
        <v>6492261</v>
      </c>
      <c r="X1320" s="46">
        <f t="shared" si="70"/>
        <v>3.4643316914082241</v>
      </c>
    </row>
    <row r="1321" spans="1:24" s="4" customFormat="1" ht="15" customHeight="1">
      <c r="A1321" s="28" t="s">
        <v>1603</v>
      </c>
      <c r="B1321" s="29">
        <v>3149.63</v>
      </c>
      <c r="C1321" s="30" t="s">
        <v>2069</v>
      </c>
      <c r="D1321" s="2">
        <v>4950365705</v>
      </c>
      <c r="E1321" s="2" t="s">
        <v>14</v>
      </c>
      <c r="F1321" s="78" t="s">
        <v>2070</v>
      </c>
      <c r="G1321" s="28" t="s">
        <v>13</v>
      </c>
      <c r="H1321" s="2" t="s">
        <v>23</v>
      </c>
      <c r="I1321" s="2">
        <v>1</v>
      </c>
      <c r="J1321" s="2"/>
      <c r="K1321" s="2">
        <v>7872.8</v>
      </c>
      <c r="L1321" s="35">
        <f t="shared" si="68"/>
        <v>24796407.064000003</v>
      </c>
      <c r="M1321" s="36">
        <v>130</v>
      </c>
      <c r="N1321" s="40">
        <v>418323.25757575798</v>
      </c>
      <c r="O1321" s="40">
        <v>0</v>
      </c>
      <c r="P1321" s="40">
        <v>0</v>
      </c>
      <c r="Q1321" s="40">
        <v>0</v>
      </c>
      <c r="R1321" s="40">
        <v>1673.2575757575801</v>
      </c>
      <c r="S1321" s="40">
        <v>348986.96969697002</v>
      </c>
      <c r="T1321" s="40">
        <v>30000</v>
      </c>
      <c r="U1321" s="40">
        <v>180957.062146893</v>
      </c>
      <c r="V1321" s="40">
        <v>0</v>
      </c>
      <c r="W1321" s="45">
        <f t="shared" si="69"/>
        <v>979940.54699537857</v>
      </c>
      <c r="X1321" s="46">
        <f t="shared" si="70"/>
        <v>3.951945717240942</v>
      </c>
    </row>
    <row r="1322" spans="1:24" s="4" customFormat="1" ht="15" customHeight="1">
      <c r="A1322" s="28" t="s">
        <v>1603</v>
      </c>
      <c r="B1322" s="29">
        <v>3149.63</v>
      </c>
      <c r="C1322" s="30" t="s">
        <v>2069</v>
      </c>
      <c r="D1322" s="2">
        <v>4950365708</v>
      </c>
      <c r="E1322" s="2" t="s">
        <v>14</v>
      </c>
      <c r="F1322" s="78" t="s">
        <v>2070</v>
      </c>
      <c r="G1322" s="28" t="s">
        <v>13</v>
      </c>
      <c r="H1322" s="2" t="s">
        <v>23</v>
      </c>
      <c r="I1322" s="2">
        <v>1</v>
      </c>
      <c r="J1322" s="2"/>
      <c r="K1322" s="2">
        <v>584.36</v>
      </c>
      <c r="L1322" s="35">
        <f t="shared" si="68"/>
        <v>1840517.7868000001</v>
      </c>
      <c r="M1322" s="36">
        <v>2</v>
      </c>
      <c r="N1322" s="40">
        <v>6435.7424242424204</v>
      </c>
      <c r="O1322" s="40">
        <v>0</v>
      </c>
      <c r="P1322" s="40">
        <v>0</v>
      </c>
      <c r="Q1322" s="40">
        <v>0</v>
      </c>
      <c r="R1322" s="40">
        <v>25.7424242424242</v>
      </c>
      <c r="S1322" s="40">
        <v>5369.0303030303003</v>
      </c>
      <c r="T1322" s="40">
        <v>30000</v>
      </c>
      <c r="U1322" s="40">
        <v>2783.9548022598901</v>
      </c>
      <c r="V1322" s="40">
        <v>0</v>
      </c>
      <c r="W1322" s="45">
        <f t="shared" si="69"/>
        <v>44614.469953775035</v>
      </c>
      <c r="X1322" s="46">
        <f t="shared" si="70"/>
        <v>2.4240173213073692</v>
      </c>
    </row>
    <row r="1323" spans="1:24" s="4" customFormat="1" ht="15" customHeight="1">
      <c r="A1323" s="28" t="s">
        <v>1603</v>
      </c>
      <c r="B1323" s="29">
        <v>3149.63</v>
      </c>
      <c r="C1323" s="30" t="s">
        <v>2071</v>
      </c>
      <c r="D1323" s="2" t="s">
        <v>2072</v>
      </c>
      <c r="E1323" s="2" t="s">
        <v>14</v>
      </c>
      <c r="F1323" s="78" t="s">
        <v>2073</v>
      </c>
      <c r="G1323" s="28" t="s">
        <v>13</v>
      </c>
      <c r="H1323" s="2" t="s">
        <v>23</v>
      </c>
      <c r="I1323" s="2">
        <v>1</v>
      </c>
      <c r="J1323" s="2"/>
      <c r="K1323" s="2">
        <f>5960.25+110.59</f>
        <v>6070.84</v>
      </c>
      <c r="L1323" s="35">
        <f t="shared" si="68"/>
        <v>19120899.7892</v>
      </c>
      <c r="M1323" s="36">
        <v>45</v>
      </c>
      <c r="N1323" s="40">
        <v>376350</v>
      </c>
      <c r="O1323" s="40">
        <v>0</v>
      </c>
      <c r="P1323" s="40">
        <v>0</v>
      </c>
      <c r="Q1323" s="40">
        <v>0</v>
      </c>
      <c r="R1323" s="40">
        <v>2921</v>
      </c>
      <c r="S1323" s="40">
        <v>354356</v>
      </c>
      <c r="T1323" s="40">
        <v>30000</v>
      </c>
      <c r="U1323" s="40">
        <v>62638.983050847499</v>
      </c>
      <c r="V1323" s="40">
        <v>0</v>
      </c>
      <c r="W1323" s="45">
        <f t="shared" si="69"/>
        <v>826265.98305084754</v>
      </c>
      <c r="X1323" s="46">
        <f t="shared" si="70"/>
        <v>4.3212714472649703</v>
      </c>
    </row>
    <row r="1324" spans="1:24" s="4" customFormat="1" ht="15" customHeight="1">
      <c r="A1324" s="28" t="s">
        <v>1603</v>
      </c>
      <c r="B1324" s="29">
        <v>3149.63</v>
      </c>
      <c r="C1324" s="30" t="s">
        <v>2074</v>
      </c>
      <c r="D1324" s="2">
        <v>4947226240</v>
      </c>
      <c r="E1324" s="2" t="s">
        <v>6</v>
      </c>
      <c r="F1324" s="2" t="s">
        <v>2075</v>
      </c>
      <c r="G1324" s="28" t="s">
        <v>5</v>
      </c>
      <c r="H1324" s="2" t="s">
        <v>17</v>
      </c>
      <c r="I1324" s="2">
        <v>1</v>
      </c>
      <c r="J1324" s="2" t="s">
        <v>2076</v>
      </c>
      <c r="K1324" s="2">
        <v>23487.200000000001</v>
      </c>
      <c r="L1324" s="35">
        <f t="shared" si="68"/>
        <v>73975989.736000001</v>
      </c>
      <c r="M1324" s="36">
        <v>2904</v>
      </c>
      <c r="N1324" s="40">
        <v>0</v>
      </c>
      <c r="O1324" s="40">
        <v>534687</v>
      </c>
      <c r="P1324" s="40">
        <v>0</v>
      </c>
      <c r="Q1324" s="40">
        <v>124137</v>
      </c>
      <c r="R1324" s="40">
        <v>315116</v>
      </c>
      <c r="S1324" s="40">
        <v>354356</v>
      </c>
      <c r="T1324" s="40">
        <v>30000</v>
      </c>
      <c r="U1324" s="40">
        <v>1410503.1239723801</v>
      </c>
      <c r="V1324" s="40">
        <v>579480.43406774104</v>
      </c>
      <c r="W1324" s="45">
        <f t="shared" si="69"/>
        <v>3348279.5580401211</v>
      </c>
      <c r="X1324" s="46">
        <f t="shared" si="70"/>
        <v>4.526170680499459</v>
      </c>
    </row>
    <row r="1325" spans="1:24" s="4" customFormat="1" ht="15" customHeight="1">
      <c r="A1325" s="28" t="s">
        <v>1603</v>
      </c>
      <c r="B1325" s="29">
        <v>3149.63</v>
      </c>
      <c r="C1325" s="30" t="s">
        <v>2077</v>
      </c>
      <c r="D1325" s="2">
        <v>4947226249</v>
      </c>
      <c r="E1325" s="2" t="s">
        <v>6</v>
      </c>
      <c r="F1325" s="2" t="s">
        <v>2078</v>
      </c>
      <c r="G1325" s="28" t="s">
        <v>5</v>
      </c>
      <c r="H1325" s="2" t="s">
        <v>17</v>
      </c>
      <c r="I1325" s="2">
        <v>1</v>
      </c>
      <c r="J1325" s="2" t="s">
        <v>2076</v>
      </c>
      <c r="K1325" s="2">
        <v>8164.8</v>
      </c>
      <c r="L1325" s="35">
        <f t="shared" si="68"/>
        <v>25716099.024</v>
      </c>
      <c r="M1325" s="36">
        <v>1584</v>
      </c>
      <c r="N1325" s="40">
        <v>0</v>
      </c>
      <c r="O1325" s="40">
        <v>534687</v>
      </c>
      <c r="P1325" s="40">
        <v>0</v>
      </c>
      <c r="Q1325" s="40">
        <v>124137</v>
      </c>
      <c r="R1325" s="40">
        <v>171882</v>
      </c>
      <c r="S1325" s="40">
        <v>354356</v>
      </c>
      <c r="T1325" s="40">
        <v>30000</v>
      </c>
      <c r="U1325" s="40">
        <v>769365.34034857003</v>
      </c>
      <c r="V1325" s="40">
        <v>316080.23676422198</v>
      </c>
      <c r="W1325" s="45">
        <f t="shared" si="69"/>
        <v>2300507.5771127921</v>
      </c>
      <c r="X1325" s="46">
        <f t="shared" si="70"/>
        <v>8.9457875199726171</v>
      </c>
    </row>
    <row r="1326" spans="1:24" s="4" customFormat="1" ht="15" customHeight="1">
      <c r="A1326" s="28" t="s">
        <v>1603</v>
      </c>
      <c r="B1326" s="29">
        <v>3149.63</v>
      </c>
      <c r="C1326" s="30" t="s">
        <v>2079</v>
      </c>
      <c r="D1326" s="2">
        <v>4948665436</v>
      </c>
      <c r="E1326" s="2" t="s">
        <v>6</v>
      </c>
      <c r="F1326" s="2" t="s">
        <v>2080</v>
      </c>
      <c r="G1326" s="28" t="s">
        <v>5</v>
      </c>
      <c r="H1326" s="2" t="s">
        <v>17</v>
      </c>
      <c r="I1326" s="2">
        <v>1</v>
      </c>
      <c r="J1326" s="2" t="s">
        <v>2076</v>
      </c>
      <c r="K1326" s="2">
        <v>167927.76</v>
      </c>
      <c r="L1326" s="35">
        <f t="shared" si="68"/>
        <v>528910310.72880006</v>
      </c>
      <c r="M1326" s="36">
        <v>2002</v>
      </c>
      <c r="N1326" s="40">
        <v>0</v>
      </c>
      <c r="O1326" s="40">
        <v>534687</v>
      </c>
      <c r="P1326" s="40">
        <v>0</v>
      </c>
      <c r="Q1326" s="40">
        <v>124137</v>
      </c>
      <c r="R1326" s="40">
        <v>238963</v>
      </c>
      <c r="S1326" s="40">
        <v>354356</v>
      </c>
      <c r="T1326" s="40">
        <v>30000</v>
      </c>
      <c r="U1326" s="40">
        <v>1069631.53567905</v>
      </c>
      <c r="V1326" s="40">
        <v>439439.32916803699</v>
      </c>
      <c r="W1326" s="45">
        <f t="shared" si="69"/>
        <v>2791213.8648470868</v>
      </c>
      <c r="X1326" s="46">
        <f t="shared" si="70"/>
        <v>0.52772914579808372</v>
      </c>
    </row>
    <row r="1327" spans="1:24" s="4" customFormat="1" ht="15" customHeight="1">
      <c r="A1327" s="28" t="s">
        <v>1603</v>
      </c>
      <c r="B1327" s="29">
        <v>3149.63</v>
      </c>
      <c r="C1327" s="30" t="s">
        <v>2081</v>
      </c>
      <c r="D1327" s="2">
        <v>4949662491</v>
      </c>
      <c r="E1327" s="2" t="s">
        <v>18</v>
      </c>
      <c r="F1327" s="2" t="s">
        <v>2082</v>
      </c>
      <c r="G1327" s="28" t="s">
        <v>5</v>
      </c>
      <c r="H1327" s="2" t="s">
        <v>20</v>
      </c>
      <c r="I1327" s="2">
        <v>1</v>
      </c>
      <c r="J1327" s="2" t="s">
        <v>2083</v>
      </c>
      <c r="K1327" s="2">
        <v>17100</v>
      </c>
      <c r="L1327" s="35">
        <f t="shared" si="68"/>
        <v>53858673</v>
      </c>
      <c r="M1327" s="36">
        <v>17100</v>
      </c>
      <c r="N1327" s="40">
        <v>460692</v>
      </c>
      <c r="O1327" s="40">
        <v>327035</v>
      </c>
      <c r="P1327" s="40">
        <v>0</v>
      </c>
      <c r="Q1327" s="40">
        <v>99309</v>
      </c>
      <c r="R1327" s="40">
        <v>726469</v>
      </c>
      <c r="S1327" s="40">
        <v>354356</v>
      </c>
      <c r="T1327" s="40">
        <v>30000</v>
      </c>
      <c r="U1327" s="40">
        <v>4413500</v>
      </c>
      <c r="V1327" s="40">
        <v>0</v>
      </c>
      <c r="W1327" s="45">
        <f t="shared" si="69"/>
        <v>6411361</v>
      </c>
      <c r="X1327" s="46">
        <f t="shared" si="70"/>
        <v>11.904045612115247</v>
      </c>
    </row>
    <row r="1328" spans="1:24" s="4" customFormat="1" ht="15" customHeight="1">
      <c r="A1328" s="28" t="s">
        <v>1603</v>
      </c>
      <c r="B1328" s="29">
        <v>3149.63</v>
      </c>
      <c r="C1328" s="30" t="s">
        <v>2084</v>
      </c>
      <c r="D1328" s="2">
        <v>4949599732</v>
      </c>
      <c r="E1328" s="2" t="s">
        <v>33</v>
      </c>
      <c r="F1328" s="2" t="s">
        <v>2085</v>
      </c>
      <c r="G1328" s="28" t="s">
        <v>9</v>
      </c>
      <c r="H1328" s="2" t="s">
        <v>23</v>
      </c>
      <c r="I1328" s="2">
        <v>4</v>
      </c>
      <c r="J1328" s="2"/>
      <c r="K1328" s="2">
        <v>7797.38</v>
      </c>
      <c r="L1328" s="35">
        <f t="shared" si="68"/>
        <v>24558861.9694</v>
      </c>
      <c r="M1328" s="36">
        <v>4082.4</v>
      </c>
      <c r="N1328" s="40">
        <v>1640735</v>
      </c>
      <c r="O1328" s="40">
        <v>2718</v>
      </c>
      <c r="P1328" s="40">
        <v>83235</v>
      </c>
      <c r="Q1328" s="40">
        <v>68581</v>
      </c>
      <c r="R1328" s="40">
        <v>150864</v>
      </c>
      <c r="S1328" s="40">
        <v>354356</v>
      </c>
      <c r="T1328" s="40"/>
      <c r="U1328" s="40">
        <v>2163100</v>
      </c>
      <c r="V1328" s="40">
        <v>0</v>
      </c>
      <c r="W1328" s="45">
        <f t="shared" si="69"/>
        <v>4463589</v>
      </c>
      <c r="X1328" s="46">
        <f t="shared" si="70"/>
        <v>18.175064486137714</v>
      </c>
    </row>
    <row r="1329" spans="1:24" s="4" customFormat="1" ht="15" customHeight="1">
      <c r="A1329" s="28" t="s">
        <v>1603</v>
      </c>
      <c r="B1329" s="29">
        <v>3149.63</v>
      </c>
      <c r="C1329" s="30" t="s">
        <v>2086</v>
      </c>
      <c r="D1329" s="2">
        <v>4949681278</v>
      </c>
      <c r="E1329" s="2" t="s">
        <v>18</v>
      </c>
      <c r="F1329" s="2" t="s">
        <v>2087</v>
      </c>
      <c r="G1329" s="28" t="s">
        <v>5</v>
      </c>
      <c r="H1329" s="2" t="s">
        <v>20</v>
      </c>
      <c r="I1329" s="2">
        <v>1</v>
      </c>
      <c r="J1329" s="2" t="s">
        <v>2088</v>
      </c>
      <c r="K1329" s="2">
        <v>23652</v>
      </c>
      <c r="L1329" s="35">
        <f t="shared" si="68"/>
        <v>74495048.760000005</v>
      </c>
      <c r="M1329" s="36">
        <v>19800</v>
      </c>
      <c r="N1329" s="40">
        <v>460692</v>
      </c>
      <c r="O1329" s="40">
        <v>327035</v>
      </c>
      <c r="P1329" s="40">
        <v>0</v>
      </c>
      <c r="Q1329" s="40">
        <v>99309</v>
      </c>
      <c r="R1329" s="40">
        <v>726469</v>
      </c>
      <c r="S1329" s="40">
        <v>354356</v>
      </c>
      <c r="T1329" s="40">
        <v>30000</v>
      </c>
      <c r="U1329" s="40">
        <v>0</v>
      </c>
      <c r="V1329" s="40">
        <v>0</v>
      </c>
      <c r="W1329" s="45">
        <f t="shared" si="69"/>
        <v>1997861</v>
      </c>
      <c r="X1329" s="46">
        <f t="shared" si="70"/>
        <v>2.6818708535066405</v>
      </c>
    </row>
    <row r="1330" spans="1:24" s="4" customFormat="1" ht="15" customHeight="1">
      <c r="A1330" s="28" t="s">
        <v>1603</v>
      </c>
      <c r="B1330" s="29">
        <v>3149.63</v>
      </c>
      <c r="C1330" s="30" t="s">
        <v>2089</v>
      </c>
      <c r="D1330" s="2">
        <v>4949311078</v>
      </c>
      <c r="E1330" s="2" t="s">
        <v>33</v>
      </c>
      <c r="F1330" s="2" t="s">
        <v>2090</v>
      </c>
      <c r="G1330" s="28" t="s">
        <v>5</v>
      </c>
      <c r="H1330" s="2" t="s">
        <v>17</v>
      </c>
      <c r="I1330" s="2">
        <v>1</v>
      </c>
      <c r="J1330" s="2" t="s">
        <v>2091</v>
      </c>
      <c r="K1330" s="2">
        <v>27684.639999999999</v>
      </c>
      <c r="L1330" s="35">
        <f t="shared" si="68"/>
        <v>87196372.683200002</v>
      </c>
      <c r="M1330" s="36">
        <v>3456</v>
      </c>
      <c r="N1330" s="40">
        <v>158628.23074623899</v>
      </c>
      <c r="O1330" s="40">
        <v>147726.86978180701</v>
      </c>
      <c r="P1330" s="40">
        <v>0</v>
      </c>
      <c r="Q1330" s="40">
        <v>34194.670120554001</v>
      </c>
      <c r="R1330" s="40">
        <f>183130+68865</f>
        <v>251995</v>
      </c>
      <c r="S1330" s="40">
        <v>122013.98186709201</v>
      </c>
      <c r="T1330" s="40"/>
      <c r="U1330" s="40">
        <v>1958887.7951579201</v>
      </c>
      <c r="V1330" s="40">
        <v>0</v>
      </c>
      <c r="W1330" s="45">
        <f t="shared" si="69"/>
        <v>2673446.5476736119</v>
      </c>
      <c r="X1330" s="46">
        <f t="shared" si="70"/>
        <v>3.0660066071632599</v>
      </c>
    </row>
    <row r="1331" spans="1:24" s="4" customFormat="1" ht="15" customHeight="1">
      <c r="A1331" s="28" t="s">
        <v>1603</v>
      </c>
      <c r="B1331" s="29">
        <v>3149.63</v>
      </c>
      <c r="C1331" s="30" t="s">
        <v>2089</v>
      </c>
      <c r="D1331" s="2">
        <v>4949311078</v>
      </c>
      <c r="E1331" s="2" t="s">
        <v>33</v>
      </c>
      <c r="F1331" s="2" t="s">
        <v>2090</v>
      </c>
      <c r="G1331" s="28" t="s">
        <v>5</v>
      </c>
      <c r="H1331" s="2" t="s">
        <v>17</v>
      </c>
      <c r="I1331" s="2">
        <v>1</v>
      </c>
      <c r="J1331" s="2" t="s">
        <v>2091</v>
      </c>
      <c r="K1331" s="2">
        <v>31135.1</v>
      </c>
      <c r="L1331" s="35">
        <f t="shared" si="68"/>
        <v>98064045.012999997</v>
      </c>
      <c r="M1331" s="36">
        <v>3456</v>
      </c>
      <c r="N1331" s="40">
        <v>158628.23074623899</v>
      </c>
      <c r="O1331" s="40">
        <v>147726.86978180701</v>
      </c>
      <c r="P1331" s="40">
        <v>0</v>
      </c>
      <c r="Q1331" s="40">
        <v>34194.670120554001</v>
      </c>
      <c r="R1331" s="40">
        <f>183130+68865</f>
        <v>251995</v>
      </c>
      <c r="S1331" s="40">
        <v>122013.98186709201</v>
      </c>
      <c r="T1331" s="40"/>
      <c r="U1331" s="40">
        <v>1958887.7951579201</v>
      </c>
      <c r="V1331" s="40">
        <v>0</v>
      </c>
      <c r="W1331" s="45">
        <f t="shared" si="69"/>
        <v>2673446.5476736119</v>
      </c>
      <c r="X1331" s="46">
        <f t="shared" si="70"/>
        <v>2.7262250372388808</v>
      </c>
    </row>
    <row r="1332" spans="1:24" s="4" customFormat="1" ht="15" customHeight="1">
      <c r="A1332" s="28" t="s">
        <v>1603</v>
      </c>
      <c r="B1332" s="29">
        <v>3149.63</v>
      </c>
      <c r="C1332" s="30" t="s">
        <v>2089</v>
      </c>
      <c r="D1332" s="2">
        <v>4949311078</v>
      </c>
      <c r="E1332" s="2" t="s">
        <v>33</v>
      </c>
      <c r="F1332" s="2" t="s">
        <v>2090</v>
      </c>
      <c r="G1332" s="28" t="s">
        <v>5</v>
      </c>
      <c r="H1332" s="2" t="s">
        <v>17</v>
      </c>
      <c r="I1332" s="2">
        <v>1</v>
      </c>
      <c r="J1332" s="2" t="s">
        <v>2091</v>
      </c>
      <c r="K1332" s="2">
        <v>5625</v>
      </c>
      <c r="L1332" s="35">
        <f t="shared" si="68"/>
        <v>17716668.75</v>
      </c>
      <c r="M1332" s="36">
        <v>1125</v>
      </c>
      <c r="N1332" s="40">
        <v>51636.793862708</v>
      </c>
      <c r="O1332" s="40">
        <v>48088.173757098702</v>
      </c>
      <c r="P1332" s="40">
        <v>0</v>
      </c>
      <c r="Q1332" s="40">
        <v>11131.0775132012</v>
      </c>
      <c r="R1332" s="40">
        <f>59613+22417</f>
        <v>82030</v>
      </c>
      <c r="S1332" s="40">
        <v>39718.093055693898</v>
      </c>
      <c r="T1332" s="40"/>
      <c r="U1332" s="40">
        <v>637658.78748630104</v>
      </c>
      <c r="V1332" s="40">
        <v>0</v>
      </c>
      <c r="W1332" s="45">
        <f t="shared" si="69"/>
        <v>870262.92567500286</v>
      </c>
      <c r="X1332" s="46">
        <f t="shared" si="70"/>
        <v>4.9121137723761015</v>
      </c>
    </row>
    <row r="1333" spans="1:24" s="4" customFormat="1" ht="15" customHeight="1">
      <c r="A1333" s="28" t="s">
        <v>1603</v>
      </c>
      <c r="B1333" s="29">
        <v>3149.63</v>
      </c>
      <c r="C1333" s="30" t="s">
        <v>2089</v>
      </c>
      <c r="D1333" s="2">
        <v>4949311078</v>
      </c>
      <c r="E1333" s="2" t="s">
        <v>33</v>
      </c>
      <c r="F1333" s="2" t="s">
        <v>2090</v>
      </c>
      <c r="G1333" s="28" t="s">
        <v>5</v>
      </c>
      <c r="H1333" s="2" t="s">
        <v>17</v>
      </c>
      <c r="I1333" s="2">
        <v>1</v>
      </c>
      <c r="J1333" s="2" t="s">
        <v>2091</v>
      </c>
      <c r="K1333" s="2">
        <v>4860</v>
      </c>
      <c r="L1333" s="35">
        <f t="shared" si="68"/>
        <v>15307201.800000001</v>
      </c>
      <c r="M1333" s="36">
        <v>2000</v>
      </c>
      <c r="N1333" s="40">
        <v>91798.7446448142</v>
      </c>
      <c r="O1333" s="40">
        <v>85490.0866792866</v>
      </c>
      <c r="P1333" s="40">
        <v>0</v>
      </c>
      <c r="Q1333" s="40">
        <v>19788.582245690901</v>
      </c>
      <c r="R1333" s="40">
        <f>105978+39853</f>
        <v>145831</v>
      </c>
      <c r="S1333" s="40">
        <v>70609.943210122496</v>
      </c>
      <c r="T1333" s="40"/>
      <c r="U1333" s="40">
        <v>1133615.6221978699</v>
      </c>
      <c r="V1333" s="40">
        <v>0</v>
      </c>
      <c r="W1333" s="45">
        <f t="shared" si="69"/>
        <v>1547133.978977784</v>
      </c>
      <c r="X1333" s="46">
        <f t="shared" si="70"/>
        <v>10.107229258438235</v>
      </c>
    </row>
    <row r="1334" spans="1:24" s="4" customFormat="1" ht="15" customHeight="1">
      <c r="A1334" s="28" t="s">
        <v>1603</v>
      </c>
      <c r="B1334" s="29">
        <v>3149.63</v>
      </c>
      <c r="C1334" s="30" t="s">
        <v>2092</v>
      </c>
      <c r="D1334" s="2">
        <v>4947226220</v>
      </c>
      <c r="E1334" s="2" t="s">
        <v>6</v>
      </c>
      <c r="F1334" s="2" t="s">
        <v>2093</v>
      </c>
      <c r="G1334" s="28" t="s">
        <v>5</v>
      </c>
      <c r="H1334" s="2" t="s">
        <v>20</v>
      </c>
      <c r="I1334" s="2">
        <v>1</v>
      </c>
      <c r="J1334" s="2" t="s">
        <v>2094</v>
      </c>
      <c r="K1334" s="2">
        <v>25363.8</v>
      </c>
      <c r="L1334" s="35">
        <f t="shared" si="68"/>
        <v>79886585.393999994</v>
      </c>
      <c r="M1334" s="36">
        <v>3780</v>
      </c>
      <c r="N1334" s="40">
        <v>460692</v>
      </c>
      <c r="O1334" s="40">
        <v>293863</v>
      </c>
      <c r="P1334" s="40">
        <v>374435.88</v>
      </c>
      <c r="Q1334" s="40">
        <v>109417</v>
      </c>
      <c r="R1334" s="40">
        <v>1058119.44</v>
      </c>
      <c r="S1334" s="40">
        <v>354356</v>
      </c>
      <c r="T1334" s="40">
        <v>30000</v>
      </c>
      <c r="U1334" s="40">
        <v>2328000</v>
      </c>
      <c r="V1334" s="40">
        <v>0</v>
      </c>
      <c r="W1334" s="45">
        <f t="shared" si="69"/>
        <v>5008883.32</v>
      </c>
      <c r="X1334" s="46">
        <f t="shared" si="70"/>
        <v>6.2699930098354155</v>
      </c>
    </row>
    <row r="1335" spans="1:24" s="4" customFormat="1" ht="15" customHeight="1">
      <c r="A1335" s="28" t="s">
        <v>1603</v>
      </c>
      <c r="B1335" s="29">
        <v>3149.63</v>
      </c>
      <c r="C1335" s="30" t="s">
        <v>2095</v>
      </c>
      <c r="D1335" s="2">
        <v>4949597522</v>
      </c>
      <c r="E1335" s="2" t="s">
        <v>24</v>
      </c>
      <c r="F1335" s="2" t="s">
        <v>2096</v>
      </c>
      <c r="G1335" s="28" t="s">
        <v>5</v>
      </c>
      <c r="H1335" s="2" t="s">
        <v>17</v>
      </c>
      <c r="I1335" s="2">
        <v>1</v>
      </c>
      <c r="J1335" s="2" t="s">
        <v>2097</v>
      </c>
      <c r="K1335" s="2">
        <v>17766</v>
      </c>
      <c r="L1335" s="35">
        <f t="shared" si="68"/>
        <v>55956326.579999998</v>
      </c>
      <c r="M1335" s="36">
        <v>18900</v>
      </c>
      <c r="N1335" s="40">
        <v>460167</v>
      </c>
      <c r="O1335" s="40">
        <v>357572</v>
      </c>
      <c r="P1335" s="40">
        <v>239580.32</v>
      </c>
      <c r="Q1335" s="40">
        <v>108826</v>
      </c>
      <c r="R1335" s="40">
        <v>1554310</v>
      </c>
      <c r="S1335" s="40">
        <v>354356</v>
      </c>
      <c r="T1335" s="40"/>
      <c r="U1335" s="40">
        <v>2880900</v>
      </c>
      <c r="V1335" s="40">
        <v>0</v>
      </c>
      <c r="W1335" s="45">
        <f t="shared" si="69"/>
        <v>5955711.3200000003</v>
      </c>
      <c r="X1335" s="46">
        <f t="shared" si="70"/>
        <v>10.643499464685554</v>
      </c>
    </row>
    <row r="1336" spans="1:24" s="4" customFormat="1" ht="15" customHeight="1">
      <c r="A1336" s="28" t="s">
        <v>1603</v>
      </c>
      <c r="B1336" s="29">
        <v>3149.63</v>
      </c>
      <c r="C1336" s="30" t="s">
        <v>2098</v>
      </c>
      <c r="D1336" s="2">
        <v>4949681927</v>
      </c>
      <c r="E1336" s="2" t="s">
        <v>14</v>
      </c>
      <c r="F1336" s="2" t="s">
        <v>2099</v>
      </c>
      <c r="G1336" s="28" t="s">
        <v>5</v>
      </c>
      <c r="H1336" s="2" t="s">
        <v>2100</v>
      </c>
      <c r="I1336" s="2">
        <v>3</v>
      </c>
      <c r="J1336" s="2" t="s">
        <v>2101</v>
      </c>
      <c r="K1336" s="2">
        <v>18000</v>
      </c>
      <c r="L1336" s="35">
        <f t="shared" si="68"/>
        <v>56693340</v>
      </c>
      <c r="M1336" s="36">
        <v>18000</v>
      </c>
      <c r="N1336" s="40">
        <v>0</v>
      </c>
      <c r="O1336" s="40">
        <f>327035+858054</f>
        <v>1185089</v>
      </c>
      <c r="P1336" s="40">
        <v>199556.541019956</v>
      </c>
      <c r="Q1336" s="40">
        <f>99309+198619</f>
        <v>297928</v>
      </c>
      <c r="R1336" s="40">
        <v>682607</v>
      </c>
      <c r="S1336" s="40">
        <v>117856.762749446</v>
      </c>
      <c r="T1336" s="40">
        <v>30000</v>
      </c>
      <c r="U1336" s="40">
        <v>521374.72283813701</v>
      </c>
      <c r="V1336" s="40">
        <v>0</v>
      </c>
      <c r="W1336" s="45">
        <f t="shared" si="69"/>
        <v>3034412.026607539</v>
      </c>
      <c r="X1336" s="46">
        <f t="shared" si="70"/>
        <v>5.3523253817953558</v>
      </c>
    </row>
    <row r="1337" spans="1:24" s="4" customFormat="1" ht="15" customHeight="1">
      <c r="A1337" s="28" t="s">
        <v>1603</v>
      </c>
      <c r="B1337" s="29">
        <v>3149.63</v>
      </c>
      <c r="C1337" s="30" t="s">
        <v>2102</v>
      </c>
      <c r="D1337" s="2">
        <v>4946611866</v>
      </c>
      <c r="E1337" s="2" t="s">
        <v>10</v>
      </c>
      <c r="F1337" s="78" t="s">
        <v>2103</v>
      </c>
      <c r="G1337" s="28" t="s">
        <v>5</v>
      </c>
      <c r="H1337" s="2" t="s">
        <v>20</v>
      </c>
      <c r="I1337" s="2">
        <v>2</v>
      </c>
      <c r="J1337" s="2" t="s">
        <v>2104</v>
      </c>
      <c r="K1337" s="2">
        <f>3636+37560+20604</f>
        <v>61800</v>
      </c>
      <c r="L1337" s="35">
        <f t="shared" si="68"/>
        <v>194647134</v>
      </c>
      <c r="M1337" s="36">
        <v>24000</v>
      </c>
      <c r="N1337" s="40">
        <v>0</v>
      </c>
      <c r="O1337" s="40">
        <v>814351</v>
      </c>
      <c r="P1337" s="40">
        <v>0</v>
      </c>
      <c r="Q1337" s="40">
        <v>248274</v>
      </c>
      <c r="R1337" s="40">
        <v>1462998</v>
      </c>
      <c r="S1337" s="40">
        <v>708712</v>
      </c>
      <c r="T1337" s="40"/>
      <c r="U1337" s="40">
        <v>3104000</v>
      </c>
      <c r="V1337" s="40">
        <v>0</v>
      </c>
      <c r="W1337" s="45">
        <f t="shared" si="69"/>
        <v>6338335</v>
      </c>
      <c r="X1337" s="46">
        <f t="shared" si="70"/>
        <v>3.2563207429501633</v>
      </c>
    </row>
    <row r="1338" spans="1:24" s="4" customFormat="1" ht="15" customHeight="1">
      <c r="A1338" s="28" t="s">
        <v>1603</v>
      </c>
      <c r="B1338" s="29">
        <v>3149.63</v>
      </c>
      <c r="C1338" s="30" t="s">
        <v>2105</v>
      </c>
      <c r="D1338" s="2">
        <v>4949838814</v>
      </c>
      <c r="E1338" s="2" t="s">
        <v>14</v>
      </c>
      <c r="F1338" s="2" t="s">
        <v>2106</v>
      </c>
      <c r="G1338" s="28" t="s">
        <v>5</v>
      </c>
      <c r="H1338" s="2" t="s">
        <v>20</v>
      </c>
      <c r="I1338" s="2">
        <v>1</v>
      </c>
      <c r="J1338" s="2" t="s">
        <v>2107</v>
      </c>
      <c r="K1338" s="2">
        <v>1742</v>
      </c>
      <c r="L1338" s="35">
        <f t="shared" si="68"/>
        <v>5486655.46</v>
      </c>
      <c r="M1338" s="36">
        <v>880</v>
      </c>
      <c r="N1338" s="40">
        <v>42033.069984447902</v>
      </c>
      <c r="O1338" s="40">
        <v>29838.341109383098</v>
      </c>
      <c r="P1338" s="40">
        <v>0</v>
      </c>
      <c r="Q1338" s="40">
        <v>9060.8522550544294</v>
      </c>
      <c r="R1338" s="40">
        <f>40265+18248</f>
        <v>58513</v>
      </c>
      <c r="S1338" s="40">
        <v>32331.081389320902</v>
      </c>
      <c r="T1338" s="40">
        <v>30000</v>
      </c>
      <c r="U1338" s="40">
        <v>296481.078278901</v>
      </c>
      <c r="V1338" s="40">
        <v>0</v>
      </c>
      <c r="W1338" s="45">
        <f t="shared" si="69"/>
        <v>498257.4230171073</v>
      </c>
      <c r="X1338" s="46">
        <f t="shared" si="70"/>
        <v>9.0812595514628374</v>
      </c>
    </row>
    <row r="1339" spans="1:24" s="4" customFormat="1" ht="15" customHeight="1">
      <c r="A1339" s="28" t="s">
        <v>1603</v>
      </c>
      <c r="B1339" s="29">
        <v>3149.63</v>
      </c>
      <c r="C1339" s="30" t="s">
        <v>2105</v>
      </c>
      <c r="D1339" s="2">
        <v>4949137005</v>
      </c>
      <c r="E1339" s="2" t="s">
        <v>14</v>
      </c>
      <c r="F1339" s="2" t="s">
        <v>2106</v>
      </c>
      <c r="G1339" s="28" t="s">
        <v>5</v>
      </c>
      <c r="H1339" s="2" t="s">
        <v>20</v>
      </c>
      <c r="I1339" s="2">
        <v>1</v>
      </c>
      <c r="J1339" s="2" t="s">
        <v>2107</v>
      </c>
      <c r="K1339" s="2">
        <v>1773</v>
      </c>
      <c r="L1339" s="35">
        <f t="shared" si="68"/>
        <v>5584293.9900000002</v>
      </c>
      <c r="M1339" s="36">
        <v>900</v>
      </c>
      <c r="N1339" s="40">
        <v>42988.367029549001</v>
      </c>
      <c r="O1339" s="40">
        <v>30516.485225505399</v>
      </c>
      <c r="P1339" s="40">
        <v>0</v>
      </c>
      <c r="Q1339" s="40">
        <v>9266.7807153965805</v>
      </c>
      <c r="R1339" s="40">
        <f>41180+18663</f>
        <v>59843</v>
      </c>
      <c r="S1339" s="40">
        <v>33065.878693623599</v>
      </c>
      <c r="T1339" s="40">
        <v>30000</v>
      </c>
      <c r="U1339" s="40">
        <v>303219.28460342099</v>
      </c>
      <c r="V1339" s="40">
        <v>0</v>
      </c>
      <c r="W1339" s="45">
        <f t="shared" si="69"/>
        <v>508899.79626749555</v>
      </c>
      <c r="X1339" s="46">
        <f t="shared" si="70"/>
        <v>9.1130552434882723</v>
      </c>
    </row>
    <row r="1340" spans="1:24" s="4" customFormat="1" ht="15" customHeight="1">
      <c r="A1340" s="28" t="s">
        <v>1603</v>
      </c>
      <c r="B1340" s="29">
        <v>3149.63</v>
      </c>
      <c r="C1340" s="30" t="s">
        <v>2105</v>
      </c>
      <c r="D1340" s="2">
        <v>4949718144</v>
      </c>
      <c r="E1340" s="2" t="s">
        <v>14</v>
      </c>
      <c r="F1340" s="2" t="s">
        <v>2106</v>
      </c>
      <c r="G1340" s="28" t="s">
        <v>5</v>
      </c>
      <c r="H1340" s="2" t="s">
        <v>20</v>
      </c>
      <c r="I1340" s="2">
        <v>1</v>
      </c>
      <c r="J1340" s="2" t="s">
        <v>2107</v>
      </c>
      <c r="K1340" s="2">
        <v>3834</v>
      </c>
      <c r="L1340" s="35">
        <f t="shared" si="68"/>
        <v>12075681.42</v>
      </c>
      <c r="M1340" s="36">
        <v>900</v>
      </c>
      <c r="N1340" s="40">
        <v>42988.367029549001</v>
      </c>
      <c r="O1340" s="40">
        <v>30516.485225505399</v>
      </c>
      <c r="P1340" s="40">
        <v>0</v>
      </c>
      <c r="Q1340" s="40">
        <v>9266.7807153965805</v>
      </c>
      <c r="R1340" s="40">
        <f>41180+18663</f>
        <v>59843</v>
      </c>
      <c r="S1340" s="40">
        <v>33065.878693623599</v>
      </c>
      <c r="T1340" s="40">
        <v>30000</v>
      </c>
      <c r="U1340" s="40">
        <v>303219.28460342099</v>
      </c>
      <c r="V1340" s="40">
        <v>0</v>
      </c>
      <c r="W1340" s="45">
        <f t="shared" si="69"/>
        <v>508899.79626749555</v>
      </c>
      <c r="X1340" s="46">
        <f t="shared" si="70"/>
        <v>4.2142532464018538</v>
      </c>
    </row>
    <row r="1341" spans="1:24" s="4" customFormat="1" ht="15" customHeight="1">
      <c r="A1341" s="28" t="s">
        <v>1603</v>
      </c>
      <c r="B1341" s="29">
        <v>3149.63</v>
      </c>
      <c r="C1341" s="30" t="s">
        <v>2105</v>
      </c>
      <c r="D1341" s="2">
        <v>4949532986</v>
      </c>
      <c r="E1341" s="2" t="s">
        <v>14</v>
      </c>
      <c r="F1341" s="2" t="s">
        <v>2106</v>
      </c>
      <c r="G1341" s="28" t="s">
        <v>5</v>
      </c>
      <c r="H1341" s="2" t="s">
        <v>20</v>
      </c>
      <c r="I1341" s="2">
        <v>1</v>
      </c>
      <c r="J1341" s="2" t="s">
        <v>2107</v>
      </c>
      <c r="K1341" s="2">
        <v>4258.8</v>
      </c>
      <c r="L1341" s="35">
        <f t="shared" si="68"/>
        <v>13413644.244000001</v>
      </c>
      <c r="M1341" s="36">
        <v>2340</v>
      </c>
      <c r="N1341" s="40">
        <v>111769.75427682701</v>
      </c>
      <c r="O1341" s="40">
        <v>79342.861586314102</v>
      </c>
      <c r="P1341" s="40">
        <v>0</v>
      </c>
      <c r="Q1341" s="40">
        <v>24093.629860031098</v>
      </c>
      <c r="R1341" s="40">
        <f>107068+48523</f>
        <v>155591</v>
      </c>
      <c r="S1341" s="40">
        <v>85971.284603421504</v>
      </c>
      <c r="T1341" s="40">
        <v>30000</v>
      </c>
      <c r="U1341" s="40">
        <v>788370.13996889605</v>
      </c>
      <c r="V1341" s="40">
        <v>0</v>
      </c>
      <c r="W1341" s="45">
        <f t="shared" si="69"/>
        <v>1275138.6702954897</v>
      </c>
      <c r="X1341" s="46">
        <f t="shared" si="70"/>
        <v>9.5062806728743112</v>
      </c>
    </row>
    <row r="1342" spans="1:24" s="4" customFormat="1" ht="15" customHeight="1">
      <c r="A1342" s="28" t="s">
        <v>1603</v>
      </c>
      <c r="B1342" s="29">
        <v>3149.63</v>
      </c>
      <c r="C1342" s="30" t="s">
        <v>2105</v>
      </c>
      <c r="D1342" s="2">
        <v>4949719615</v>
      </c>
      <c r="E1342" s="2" t="s">
        <v>14</v>
      </c>
      <c r="F1342" s="2" t="s">
        <v>2106</v>
      </c>
      <c r="G1342" s="28" t="s">
        <v>5</v>
      </c>
      <c r="H1342" s="2" t="s">
        <v>20</v>
      </c>
      <c r="I1342" s="2">
        <v>1</v>
      </c>
      <c r="J1342" s="2" t="s">
        <v>2107</v>
      </c>
      <c r="K1342" s="2">
        <v>2803.5</v>
      </c>
      <c r="L1342" s="35">
        <f t="shared" si="68"/>
        <v>8829987.7050000001</v>
      </c>
      <c r="M1342" s="36">
        <v>525</v>
      </c>
      <c r="N1342" s="40">
        <v>25076.547433903601</v>
      </c>
      <c r="O1342" s="40">
        <v>17801.283048211499</v>
      </c>
      <c r="P1342" s="40">
        <v>0</v>
      </c>
      <c r="Q1342" s="40">
        <v>5405.6220839813404</v>
      </c>
      <c r="R1342" s="40">
        <f>24022+10886</f>
        <v>34908</v>
      </c>
      <c r="S1342" s="40">
        <v>19288.429237947101</v>
      </c>
      <c r="T1342" s="40">
        <v>30000</v>
      </c>
      <c r="U1342" s="40">
        <v>176877.916018663</v>
      </c>
      <c r="V1342" s="40">
        <v>0</v>
      </c>
      <c r="W1342" s="45">
        <f t="shared" si="69"/>
        <v>309357.79782270652</v>
      </c>
      <c r="X1342" s="46">
        <f t="shared" si="70"/>
        <v>3.5034906973599971</v>
      </c>
    </row>
    <row r="1343" spans="1:24" s="4" customFormat="1" ht="15" customHeight="1">
      <c r="A1343" s="28" t="s">
        <v>1603</v>
      </c>
      <c r="B1343" s="29">
        <v>3149.63</v>
      </c>
      <c r="C1343" s="30" t="s">
        <v>2105</v>
      </c>
      <c r="D1343" s="2">
        <v>4949660514</v>
      </c>
      <c r="E1343" s="2" t="s">
        <v>14</v>
      </c>
      <c r="F1343" s="2" t="s">
        <v>2106</v>
      </c>
      <c r="G1343" s="28" t="s">
        <v>5</v>
      </c>
      <c r="H1343" s="2" t="s">
        <v>20</v>
      </c>
      <c r="I1343" s="2">
        <v>1</v>
      </c>
      <c r="J1343" s="2" t="s">
        <v>2107</v>
      </c>
      <c r="K1343" s="2">
        <v>5257.6</v>
      </c>
      <c r="L1343" s="35">
        <f t="shared" si="68"/>
        <v>16559494.688000001</v>
      </c>
      <c r="M1343" s="36">
        <v>1240</v>
      </c>
      <c r="N1343" s="40">
        <v>59228.416796267498</v>
      </c>
      <c r="O1343" s="40">
        <v>42044.935199585299</v>
      </c>
      <c r="P1343" s="40">
        <v>0</v>
      </c>
      <c r="Q1343" s="40">
        <v>12767.5645412131</v>
      </c>
      <c r="R1343" s="40">
        <f>56737+25713</f>
        <v>82450</v>
      </c>
      <c r="S1343" s="40">
        <v>45557.432866770403</v>
      </c>
      <c r="T1343" s="40">
        <v>30000</v>
      </c>
      <c r="U1343" s="40">
        <v>417768.79212027002</v>
      </c>
      <c r="V1343" s="40">
        <v>0</v>
      </c>
      <c r="W1343" s="45">
        <f t="shared" si="69"/>
        <v>689817.14152410626</v>
      </c>
      <c r="X1343" s="46">
        <f t="shared" si="70"/>
        <v>4.1656895607085698</v>
      </c>
    </row>
    <row r="1344" spans="1:24" s="4" customFormat="1" ht="15" customHeight="1">
      <c r="A1344" s="28" t="s">
        <v>1603</v>
      </c>
      <c r="B1344" s="29">
        <v>3149.63</v>
      </c>
      <c r="C1344" s="30" t="s">
        <v>2105</v>
      </c>
      <c r="D1344" s="2">
        <v>4949660514</v>
      </c>
      <c r="E1344" s="2" t="s">
        <v>14</v>
      </c>
      <c r="F1344" s="2" t="s">
        <v>2106</v>
      </c>
      <c r="G1344" s="28" t="s">
        <v>5</v>
      </c>
      <c r="H1344" s="2" t="s">
        <v>20</v>
      </c>
      <c r="I1344" s="2">
        <v>1</v>
      </c>
      <c r="J1344" s="2" t="s">
        <v>2107</v>
      </c>
      <c r="K1344" s="2">
        <v>3969</v>
      </c>
      <c r="L1344" s="35">
        <f t="shared" si="68"/>
        <v>12500881.470000001</v>
      </c>
      <c r="M1344" s="36">
        <v>1260</v>
      </c>
      <c r="N1344" s="40">
        <v>60183.713841368597</v>
      </c>
      <c r="O1344" s="40">
        <v>42723.079315707597</v>
      </c>
      <c r="P1344" s="40">
        <v>0</v>
      </c>
      <c r="Q1344" s="40">
        <v>12973.4930015552</v>
      </c>
      <c r="R1344" s="40">
        <f>57652+26128</f>
        <v>83780</v>
      </c>
      <c r="S1344" s="40">
        <v>46292.230171073097</v>
      </c>
      <c r="T1344" s="40">
        <v>30000</v>
      </c>
      <c r="U1344" s="40">
        <v>424506.99844479002</v>
      </c>
      <c r="V1344" s="40">
        <v>0</v>
      </c>
      <c r="W1344" s="45">
        <f t="shared" si="69"/>
        <v>700459.51477449457</v>
      </c>
      <c r="X1344" s="46">
        <f t="shared" si="70"/>
        <v>5.6032809882685379</v>
      </c>
    </row>
    <row r="1345" spans="1:24" s="4" customFormat="1" ht="15" customHeight="1">
      <c r="A1345" s="28" t="s">
        <v>1603</v>
      </c>
      <c r="B1345" s="29">
        <v>3149.63</v>
      </c>
      <c r="C1345" s="30" t="s">
        <v>2105</v>
      </c>
      <c r="D1345" s="2">
        <v>4949660514</v>
      </c>
      <c r="E1345" s="2" t="s">
        <v>14</v>
      </c>
      <c r="F1345" s="2" t="s">
        <v>2106</v>
      </c>
      <c r="G1345" s="28" t="s">
        <v>5</v>
      </c>
      <c r="H1345" s="2" t="s">
        <v>20</v>
      </c>
      <c r="I1345" s="2">
        <v>1</v>
      </c>
      <c r="J1345" s="2" t="s">
        <v>2107</v>
      </c>
      <c r="K1345" s="2">
        <v>4416</v>
      </c>
      <c r="L1345" s="35">
        <f t="shared" si="68"/>
        <v>13908766.08</v>
      </c>
      <c r="M1345" s="36">
        <v>1600</v>
      </c>
      <c r="N1345" s="40">
        <v>76423.763608087102</v>
      </c>
      <c r="O1345" s="40">
        <v>54251.529289787497</v>
      </c>
      <c r="P1345" s="40">
        <v>0</v>
      </c>
      <c r="Q1345" s="40">
        <v>16474.276827371701</v>
      </c>
      <c r="R1345" s="40">
        <f>73209+33178</f>
        <v>106387</v>
      </c>
      <c r="S1345" s="40">
        <v>58783.784344219799</v>
      </c>
      <c r="T1345" s="40">
        <v>30000</v>
      </c>
      <c r="U1345" s="40">
        <v>539056.50596163794</v>
      </c>
      <c r="V1345" s="40">
        <v>0</v>
      </c>
      <c r="W1345" s="45">
        <f t="shared" si="69"/>
        <v>881376.86003110406</v>
      </c>
      <c r="X1345" s="46">
        <f t="shared" si="70"/>
        <v>6.3368443682324411</v>
      </c>
    </row>
    <row r="1346" spans="1:24" s="4" customFormat="1" ht="15" customHeight="1">
      <c r="A1346" s="28" t="s">
        <v>1603</v>
      </c>
      <c r="B1346" s="29">
        <v>3149.63</v>
      </c>
      <c r="C1346" s="30" t="s">
        <v>2108</v>
      </c>
      <c r="D1346" s="2">
        <v>4949037263</v>
      </c>
      <c r="E1346" s="2" t="s">
        <v>14</v>
      </c>
      <c r="F1346" s="2" t="s">
        <v>2109</v>
      </c>
      <c r="G1346" s="28" t="s">
        <v>5</v>
      </c>
      <c r="H1346" s="2" t="s">
        <v>17</v>
      </c>
      <c r="I1346" s="2">
        <v>1</v>
      </c>
      <c r="J1346" s="2" t="s">
        <v>2110</v>
      </c>
      <c r="K1346" s="2">
        <v>11165</v>
      </c>
      <c r="L1346" s="35">
        <f t="shared" si="68"/>
        <v>35165618.950000003</v>
      </c>
      <c r="M1346" s="36">
        <v>3500</v>
      </c>
      <c r="N1346" s="40">
        <v>48405.280242371802</v>
      </c>
      <c r="O1346" s="40">
        <v>64990.781216187002</v>
      </c>
      <c r="P1346" s="40">
        <v>0</v>
      </c>
      <c r="Q1346" s="40">
        <v>15043.5619995672</v>
      </c>
      <c r="R1346" s="40">
        <f>80320+16665</f>
        <v>96985</v>
      </c>
      <c r="S1346" s="40">
        <v>53678.6842674746</v>
      </c>
      <c r="T1346" s="40">
        <v>30000</v>
      </c>
      <c r="U1346" s="40">
        <v>861790.73793551198</v>
      </c>
      <c r="V1346" s="40">
        <v>0</v>
      </c>
      <c r="W1346" s="45">
        <f t="shared" si="69"/>
        <v>1170894.0456611125</v>
      </c>
      <c r="X1346" s="46">
        <f t="shared" si="70"/>
        <v>3.3296557280164478</v>
      </c>
    </row>
    <row r="1347" spans="1:24" s="4" customFormat="1" ht="15" customHeight="1">
      <c r="A1347" s="28" t="s">
        <v>1603</v>
      </c>
      <c r="B1347" s="29">
        <v>3149.63</v>
      </c>
      <c r="C1347" s="30" t="s">
        <v>2108</v>
      </c>
      <c r="D1347" s="2">
        <v>4949532991</v>
      </c>
      <c r="E1347" s="2" t="s">
        <v>14</v>
      </c>
      <c r="F1347" s="2" t="s">
        <v>2109</v>
      </c>
      <c r="G1347" s="28" t="s">
        <v>5</v>
      </c>
      <c r="H1347" s="2" t="s">
        <v>17</v>
      </c>
      <c r="I1347" s="2">
        <v>1</v>
      </c>
      <c r="J1347" s="2" t="s">
        <v>2110</v>
      </c>
      <c r="K1347" s="2">
        <v>20380.8</v>
      </c>
      <c r="L1347" s="35">
        <f t="shared" si="68"/>
        <v>64191979.104000002</v>
      </c>
      <c r="M1347" s="36">
        <v>5280</v>
      </c>
      <c r="N1347" s="40">
        <v>73022.822765635196</v>
      </c>
      <c r="O1347" s="40">
        <v>98043.235663276399</v>
      </c>
      <c r="P1347" s="40">
        <v>0</v>
      </c>
      <c r="Q1347" s="40">
        <v>22694.287816489901</v>
      </c>
      <c r="R1347" s="40">
        <f>121169+25141</f>
        <v>146310</v>
      </c>
      <c r="S1347" s="40">
        <v>80978.129409218804</v>
      </c>
      <c r="T1347" s="40">
        <v>30000</v>
      </c>
      <c r="U1347" s="40">
        <v>1300072.884657</v>
      </c>
      <c r="V1347" s="40">
        <v>0</v>
      </c>
      <c r="W1347" s="45">
        <f t="shared" si="69"/>
        <v>1751121.3603116204</v>
      </c>
      <c r="X1347" s="46">
        <f t="shared" si="70"/>
        <v>2.727944183609853</v>
      </c>
    </row>
    <row r="1348" spans="1:24" s="4" customFormat="1" ht="15" customHeight="1">
      <c r="A1348" s="28" t="s">
        <v>1603</v>
      </c>
      <c r="B1348" s="29">
        <v>3149.63</v>
      </c>
      <c r="C1348" s="30" t="s">
        <v>2108</v>
      </c>
      <c r="D1348" s="2">
        <v>4949532992</v>
      </c>
      <c r="E1348" s="2" t="s">
        <v>14</v>
      </c>
      <c r="F1348" s="2" t="s">
        <v>2109</v>
      </c>
      <c r="G1348" s="28" t="s">
        <v>5</v>
      </c>
      <c r="H1348" s="2" t="s">
        <v>17</v>
      </c>
      <c r="I1348" s="2">
        <v>1</v>
      </c>
      <c r="J1348" s="2" t="s">
        <v>2110</v>
      </c>
      <c r="K1348" s="2">
        <v>19367.25</v>
      </c>
      <c r="L1348" s="35">
        <f t="shared" si="68"/>
        <v>60999671.6175</v>
      </c>
      <c r="M1348" s="36">
        <v>3675</v>
      </c>
      <c r="N1348" s="40">
        <v>50825.5442544904</v>
      </c>
      <c r="O1348" s="40">
        <v>68240.320276996295</v>
      </c>
      <c r="P1348" s="40">
        <v>0</v>
      </c>
      <c r="Q1348" s="40">
        <v>15795.740099545599</v>
      </c>
      <c r="R1348" s="40">
        <f>84336+17499</f>
        <v>101835</v>
      </c>
      <c r="S1348" s="40">
        <v>56362.618480848301</v>
      </c>
      <c r="T1348" s="40">
        <v>30000</v>
      </c>
      <c r="U1348" s="40">
        <v>904880.27483228699</v>
      </c>
      <c r="V1348" s="40">
        <v>0</v>
      </c>
      <c r="W1348" s="45">
        <f t="shared" si="69"/>
        <v>1227939.4979441676</v>
      </c>
      <c r="X1348" s="46">
        <f t="shared" si="70"/>
        <v>2.0130264071649329</v>
      </c>
    </row>
    <row r="1349" spans="1:24" s="4" customFormat="1" ht="15" customHeight="1">
      <c r="A1349" s="28" t="s">
        <v>1603</v>
      </c>
      <c r="B1349" s="29">
        <v>3149.63</v>
      </c>
      <c r="C1349" s="30" t="s">
        <v>2108</v>
      </c>
      <c r="D1349" s="2">
        <v>4949590092</v>
      </c>
      <c r="E1349" s="2" t="s">
        <v>14</v>
      </c>
      <c r="F1349" s="2" t="s">
        <v>2109</v>
      </c>
      <c r="G1349" s="28" t="s">
        <v>5</v>
      </c>
      <c r="H1349" s="2" t="s">
        <v>17</v>
      </c>
      <c r="I1349" s="2">
        <v>1</v>
      </c>
      <c r="J1349" s="2" t="s">
        <v>2110</v>
      </c>
      <c r="K1349" s="2">
        <v>5124</v>
      </c>
      <c r="L1349" s="35">
        <f t="shared" si="68"/>
        <v>16138704.120000001</v>
      </c>
      <c r="M1349" s="36">
        <v>1050</v>
      </c>
      <c r="N1349" s="40">
        <v>14521.584072711499</v>
      </c>
      <c r="O1349" s="40">
        <v>19497.2343648561</v>
      </c>
      <c r="P1349" s="40">
        <v>0</v>
      </c>
      <c r="Q1349" s="40">
        <v>4513.0685998701601</v>
      </c>
      <c r="R1349" s="40">
        <f>24096+5000</f>
        <v>29096</v>
      </c>
      <c r="S1349" s="40">
        <v>16103.6052802424</v>
      </c>
      <c r="T1349" s="40">
        <v>30000</v>
      </c>
      <c r="U1349" s="40">
        <v>258537.22138065399</v>
      </c>
      <c r="V1349" s="40">
        <v>0</v>
      </c>
      <c r="W1349" s="45">
        <f t="shared" si="69"/>
        <v>372268.71369833418</v>
      </c>
      <c r="X1349" s="46">
        <f t="shared" si="70"/>
        <v>2.30668281003428</v>
      </c>
    </row>
    <row r="1350" spans="1:24" s="4" customFormat="1" ht="15" customHeight="1">
      <c r="A1350" s="28" t="s">
        <v>1603</v>
      </c>
      <c r="B1350" s="29">
        <v>3149.63</v>
      </c>
      <c r="C1350" s="30" t="s">
        <v>2108</v>
      </c>
      <c r="D1350" s="2">
        <v>4949719617</v>
      </c>
      <c r="E1350" s="2" t="s">
        <v>14</v>
      </c>
      <c r="F1350" s="2" t="s">
        <v>2109</v>
      </c>
      <c r="G1350" s="28" t="s">
        <v>5</v>
      </c>
      <c r="H1350" s="2" t="s">
        <v>17</v>
      </c>
      <c r="I1350" s="2">
        <v>1</v>
      </c>
      <c r="J1350" s="2" t="s">
        <v>2110</v>
      </c>
      <c r="K1350" s="2">
        <v>26496</v>
      </c>
      <c r="L1350" s="35">
        <f t="shared" si="68"/>
        <v>83452596.480000004</v>
      </c>
      <c r="M1350" s="36">
        <v>9600</v>
      </c>
      <c r="N1350" s="40">
        <v>132768.76866479099</v>
      </c>
      <c r="O1350" s="40">
        <v>178260.42847868401</v>
      </c>
      <c r="P1350" s="40">
        <v>0</v>
      </c>
      <c r="Q1350" s="40">
        <v>41262.341484527198</v>
      </c>
      <c r="R1350" s="40">
        <f>220307+45711</f>
        <v>266018</v>
      </c>
      <c r="S1350" s="40">
        <v>147232.96256221601</v>
      </c>
      <c r="T1350" s="40">
        <v>30000</v>
      </c>
      <c r="U1350" s="40">
        <v>2363768.8811945501</v>
      </c>
      <c r="V1350" s="40">
        <v>0</v>
      </c>
      <c r="W1350" s="45">
        <f t="shared" si="69"/>
        <v>3159311.3823847682</v>
      </c>
      <c r="X1350" s="46">
        <f t="shared" si="70"/>
        <v>3.7857556452924976</v>
      </c>
    </row>
    <row r="1351" spans="1:24" s="4" customFormat="1" ht="15" customHeight="1">
      <c r="A1351" s="28" t="s">
        <v>1603</v>
      </c>
      <c r="B1351" s="29">
        <v>3149.63</v>
      </c>
      <c r="C1351" s="30" t="s">
        <v>2111</v>
      </c>
      <c r="D1351" s="2">
        <v>4949569779</v>
      </c>
      <c r="E1351" s="2" t="s">
        <v>38</v>
      </c>
      <c r="F1351" s="2" t="s">
        <v>2112</v>
      </c>
      <c r="G1351" s="28" t="s">
        <v>5</v>
      </c>
      <c r="H1351" s="2" t="s">
        <v>17</v>
      </c>
      <c r="I1351" s="2">
        <v>1</v>
      </c>
      <c r="J1351" s="2" t="s">
        <v>2113</v>
      </c>
      <c r="K1351" s="2">
        <v>1350</v>
      </c>
      <c r="L1351" s="35">
        <f t="shared" si="68"/>
        <v>4252000.5</v>
      </c>
      <c r="M1351" s="36">
        <v>1000</v>
      </c>
      <c r="N1351" s="40">
        <v>26114.988558352401</v>
      </c>
      <c r="O1351" s="40">
        <v>35063.092513893404</v>
      </c>
      <c r="P1351" s="40">
        <v>0</v>
      </c>
      <c r="Q1351" s="40">
        <v>8116.1327231121304</v>
      </c>
      <c r="R1351" s="40">
        <f>219159+17062</f>
        <v>236221</v>
      </c>
      <c r="S1351" s="40">
        <v>111776.72441974501</v>
      </c>
      <c r="T1351" s="40"/>
      <c r="U1351" s="40">
        <v>445521.41222621797</v>
      </c>
      <c r="V1351" s="40">
        <v>0</v>
      </c>
      <c r="W1351" s="45">
        <f t="shared" si="69"/>
        <v>862813.35044132103</v>
      </c>
      <c r="X1351" s="46">
        <f t="shared" si="70"/>
        <v>20.291939063537765</v>
      </c>
    </row>
    <row r="1352" spans="1:24" s="4" customFormat="1" ht="15" customHeight="1">
      <c r="A1352" s="28" t="s">
        <v>1603</v>
      </c>
      <c r="B1352" s="29">
        <v>3149.63</v>
      </c>
      <c r="C1352" s="30" t="s">
        <v>2111</v>
      </c>
      <c r="D1352" s="2">
        <v>4949383318</v>
      </c>
      <c r="E1352" s="2" t="s">
        <v>38</v>
      </c>
      <c r="F1352" s="2" t="s">
        <v>2112</v>
      </c>
      <c r="G1352" s="28" t="s">
        <v>5</v>
      </c>
      <c r="H1352" s="2" t="s">
        <v>17</v>
      </c>
      <c r="I1352" s="2">
        <v>1</v>
      </c>
      <c r="J1352" s="2" t="s">
        <v>2113</v>
      </c>
      <c r="K1352" s="2">
        <v>1458.01</v>
      </c>
      <c r="L1352" s="35">
        <f t="shared" si="68"/>
        <v>4592192.0362999998</v>
      </c>
      <c r="M1352" s="36">
        <v>1080</v>
      </c>
      <c r="N1352" s="40">
        <v>28204.187643020599</v>
      </c>
      <c r="O1352" s="40">
        <v>37868.139915004896</v>
      </c>
      <c r="P1352" s="40">
        <v>0</v>
      </c>
      <c r="Q1352" s="40">
        <v>8765.4233409611006</v>
      </c>
      <c r="R1352" s="40">
        <f>236692+18427</f>
        <v>255119</v>
      </c>
      <c r="S1352" s="40">
        <v>120718.862373325</v>
      </c>
      <c r="T1352" s="40"/>
      <c r="U1352" s="40">
        <v>481163.125204315</v>
      </c>
      <c r="V1352" s="40">
        <v>0</v>
      </c>
      <c r="W1352" s="45">
        <f t="shared" si="69"/>
        <v>931838.73847662657</v>
      </c>
      <c r="X1352" s="46">
        <f t="shared" si="70"/>
        <v>20.291806856305239</v>
      </c>
    </row>
    <row r="1353" spans="1:24" s="4" customFormat="1" ht="15" customHeight="1">
      <c r="A1353" s="28" t="s">
        <v>1603</v>
      </c>
      <c r="B1353" s="29">
        <v>3149.63</v>
      </c>
      <c r="C1353" s="30" t="s">
        <v>2111</v>
      </c>
      <c r="D1353" s="2">
        <v>4949383316</v>
      </c>
      <c r="E1353" s="2" t="s">
        <v>38</v>
      </c>
      <c r="F1353" s="2" t="s">
        <v>2112</v>
      </c>
      <c r="G1353" s="28" t="s">
        <v>5</v>
      </c>
      <c r="H1353" s="2" t="s">
        <v>17</v>
      </c>
      <c r="I1353" s="2">
        <v>1</v>
      </c>
      <c r="J1353" s="2" t="s">
        <v>2113</v>
      </c>
      <c r="K1353" s="2">
        <v>1214.4000000000001</v>
      </c>
      <c r="L1353" s="35">
        <f t="shared" si="68"/>
        <v>3824910.6720000003</v>
      </c>
      <c r="M1353" s="36">
        <v>920</v>
      </c>
      <c r="N1353" s="40">
        <v>24025.789473684199</v>
      </c>
      <c r="O1353" s="40">
        <v>32258.045112782002</v>
      </c>
      <c r="P1353" s="40">
        <v>0</v>
      </c>
      <c r="Q1353" s="40">
        <v>7466.8421052631602</v>
      </c>
      <c r="R1353" s="40">
        <f>201627+15697</f>
        <v>217324</v>
      </c>
      <c r="S1353" s="40">
        <v>102834.586466165</v>
      </c>
      <c r="T1353" s="40"/>
      <c r="U1353" s="40">
        <v>409879.69924812001</v>
      </c>
      <c r="V1353" s="40">
        <v>0</v>
      </c>
      <c r="W1353" s="45">
        <f t="shared" si="69"/>
        <v>793788.96240601433</v>
      </c>
      <c r="X1353" s="46">
        <f t="shared" si="70"/>
        <v>20.753137274992923</v>
      </c>
    </row>
    <row r="1354" spans="1:24" s="4" customFormat="1" ht="15" customHeight="1">
      <c r="A1354" s="28" t="s">
        <v>1603</v>
      </c>
      <c r="B1354" s="29">
        <v>3149.63</v>
      </c>
      <c r="C1354" s="30" t="s">
        <v>2111</v>
      </c>
      <c r="D1354" s="2">
        <v>4949383334</v>
      </c>
      <c r="E1354" s="2" t="s">
        <v>38</v>
      </c>
      <c r="F1354" s="2" t="s">
        <v>2112</v>
      </c>
      <c r="G1354" s="28" t="s">
        <v>5</v>
      </c>
      <c r="H1354" s="2" t="s">
        <v>17</v>
      </c>
      <c r="I1354" s="2">
        <v>1</v>
      </c>
      <c r="J1354" s="2" t="s">
        <v>2113</v>
      </c>
      <c r="K1354" s="2">
        <v>615.6</v>
      </c>
      <c r="L1354" s="35">
        <f t="shared" si="68"/>
        <v>1938912.2280000001</v>
      </c>
      <c r="M1354" s="36">
        <v>456</v>
      </c>
      <c r="N1354" s="40">
        <v>11908.4347826087</v>
      </c>
      <c r="O1354" s="40">
        <v>15988.7701863354</v>
      </c>
      <c r="P1354" s="40">
        <v>0</v>
      </c>
      <c r="Q1354" s="40">
        <v>3700.95652173913</v>
      </c>
      <c r="R1354" s="40">
        <f>99937+7780</f>
        <v>107717</v>
      </c>
      <c r="S1354" s="40">
        <v>50970.186335403698</v>
      </c>
      <c r="T1354" s="40"/>
      <c r="U1354" s="40">
        <v>203157.76397515499</v>
      </c>
      <c r="V1354" s="40">
        <v>0</v>
      </c>
      <c r="W1354" s="45">
        <f t="shared" si="69"/>
        <v>393443.11180124187</v>
      </c>
      <c r="X1354" s="46">
        <f t="shared" si="70"/>
        <v>20.291950616407263</v>
      </c>
    </row>
    <row r="1355" spans="1:24" s="4" customFormat="1" ht="15" customHeight="1">
      <c r="A1355" s="28" t="s">
        <v>1603</v>
      </c>
      <c r="B1355" s="29">
        <v>3149.63</v>
      </c>
      <c r="C1355" s="30" t="s">
        <v>2111</v>
      </c>
      <c r="D1355" s="2">
        <v>4949569789</v>
      </c>
      <c r="E1355" s="2" t="s">
        <v>38</v>
      </c>
      <c r="F1355" s="2" t="s">
        <v>2112</v>
      </c>
      <c r="G1355" s="28" t="s">
        <v>5</v>
      </c>
      <c r="H1355" s="2" t="s">
        <v>17</v>
      </c>
      <c r="I1355" s="2">
        <v>1</v>
      </c>
      <c r="J1355" s="2" t="s">
        <v>2113</v>
      </c>
      <c r="K1355" s="2">
        <v>2622</v>
      </c>
      <c r="L1355" s="35">
        <f t="shared" si="68"/>
        <v>8258329.8600000003</v>
      </c>
      <c r="M1355" s="36">
        <v>1900</v>
      </c>
      <c r="N1355" s="40">
        <v>49618.478260869597</v>
      </c>
      <c r="O1355" s="40">
        <v>66619.875776397501</v>
      </c>
      <c r="P1355" s="40">
        <v>0</v>
      </c>
      <c r="Q1355" s="40">
        <v>15420.652173913</v>
      </c>
      <c r="R1355" s="40">
        <f>41640+32417</f>
        <v>74057</v>
      </c>
      <c r="S1355" s="40">
        <v>212375.77639751599</v>
      </c>
      <c r="T1355" s="40"/>
      <c r="U1355" s="40">
        <v>846490.68322981405</v>
      </c>
      <c r="V1355" s="40">
        <v>0</v>
      </c>
      <c r="W1355" s="45">
        <f t="shared" si="69"/>
        <v>1264582.4658385101</v>
      </c>
      <c r="X1355" s="46">
        <f t="shared" si="70"/>
        <v>15.312811273907023</v>
      </c>
    </row>
    <row r="1356" spans="1:24" s="4" customFormat="1" ht="15" customHeight="1">
      <c r="A1356" s="28" t="s">
        <v>1603</v>
      </c>
      <c r="B1356" s="29">
        <v>3149.63</v>
      </c>
      <c r="C1356" s="30" t="s">
        <v>2111</v>
      </c>
      <c r="D1356" s="2">
        <v>4949569793</v>
      </c>
      <c r="E1356" s="2" t="s">
        <v>38</v>
      </c>
      <c r="F1356" s="2" t="s">
        <v>2112</v>
      </c>
      <c r="G1356" s="28" t="s">
        <v>5</v>
      </c>
      <c r="H1356" s="2" t="s">
        <v>17</v>
      </c>
      <c r="I1356" s="2">
        <v>1</v>
      </c>
      <c r="J1356" s="2" t="s">
        <v>2113</v>
      </c>
      <c r="K1356" s="2">
        <v>607.20000000000005</v>
      </c>
      <c r="L1356" s="35">
        <f t="shared" si="68"/>
        <v>1912455.3360000001</v>
      </c>
      <c r="M1356" s="36">
        <v>440</v>
      </c>
      <c r="N1356" s="40">
        <v>11490.5949656751</v>
      </c>
      <c r="O1356" s="40">
        <v>15427.7607061131</v>
      </c>
      <c r="P1356" s="40">
        <v>0</v>
      </c>
      <c r="Q1356" s="40">
        <v>3571.0983981693398</v>
      </c>
      <c r="R1356" s="40">
        <f>96430+7507</f>
        <v>103937</v>
      </c>
      <c r="S1356" s="40">
        <v>49181.758744687802</v>
      </c>
      <c r="T1356" s="40"/>
      <c r="U1356" s="40">
        <v>196029.42137953601</v>
      </c>
      <c r="V1356" s="40">
        <v>0</v>
      </c>
      <c r="W1356" s="45">
        <f t="shared" si="69"/>
        <v>379637.63419418136</v>
      </c>
      <c r="X1356" s="46">
        <f t="shared" si="70"/>
        <v>19.850797404148178</v>
      </c>
    </row>
    <row r="1357" spans="1:24" s="4" customFormat="1" ht="15" customHeight="1">
      <c r="A1357" s="28" t="s">
        <v>1603</v>
      </c>
      <c r="B1357" s="29">
        <v>3149.63</v>
      </c>
      <c r="C1357" s="30" t="s">
        <v>2111</v>
      </c>
      <c r="D1357" s="2">
        <v>4949569794</v>
      </c>
      <c r="E1357" s="2" t="s">
        <v>38</v>
      </c>
      <c r="F1357" s="2" t="s">
        <v>2112</v>
      </c>
      <c r="G1357" s="28" t="s">
        <v>5</v>
      </c>
      <c r="H1357" s="2" t="s">
        <v>17</v>
      </c>
      <c r="I1357" s="2">
        <v>1</v>
      </c>
      <c r="J1357" s="2" t="s">
        <v>2113</v>
      </c>
      <c r="K1357" s="2">
        <v>266</v>
      </c>
      <c r="L1357" s="35">
        <f t="shared" si="68"/>
        <v>837801.58000000007</v>
      </c>
      <c r="M1357" s="36">
        <v>200</v>
      </c>
      <c r="N1357" s="40">
        <v>5222.9977116704804</v>
      </c>
      <c r="O1357" s="40">
        <v>7012.6185027786896</v>
      </c>
      <c r="P1357" s="40">
        <v>0</v>
      </c>
      <c r="Q1357" s="40">
        <v>1623.2265446224301</v>
      </c>
      <c r="R1357" s="40">
        <f>43832+3412</f>
        <v>47244</v>
      </c>
      <c r="S1357" s="40">
        <v>22355.344883949001</v>
      </c>
      <c r="T1357" s="40"/>
      <c r="U1357" s="40">
        <v>89104.282445243502</v>
      </c>
      <c r="V1357" s="40">
        <v>0</v>
      </c>
      <c r="W1357" s="45">
        <f t="shared" si="69"/>
        <v>172562.47008826409</v>
      </c>
      <c r="X1357" s="46">
        <f t="shared" si="70"/>
        <v>20.597057132342012</v>
      </c>
    </row>
    <row r="1358" spans="1:24" s="4" customFormat="1" ht="15" customHeight="1">
      <c r="A1358" s="28" t="s">
        <v>1603</v>
      </c>
      <c r="B1358" s="29">
        <v>3149.63</v>
      </c>
      <c r="C1358" s="30" t="s">
        <v>2111</v>
      </c>
      <c r="D1358" s="2">
        <v>4949381300</v>
      </c>
      <c r="E1358" s="2" t="s">
        <v>38</v>
      </c>
      <c r="F1358" s="2" t="s">
        <v>2112</v>
      </c>
      <c r="G1358" s="28" t="s">
        <v>5</v>
      </c>
      <c r="H1358" s="2" t="s">
        <v>17</v>
      </c>
      <c r="I1358" s="2">
        <v>1</v>
      </c>
      <c r="J1358" s="2" t="s">
        <v>2113</v>
      </c>
      <c r="K1358" s="2">
        <v>8361.6</v>
      </c>
      <c r="L1358" s="35">
        <f t="shared" si="68"/>
        <v>26335946.208000001</v>
      </c>
      <c r="M1358" s="36">
        <v>6240</v>
      </c>
      <c r="N1358" s="40">
        <v>162957.528604119</v>
      </c>
      <c r="O1358" s="40">
        <v>218793.69728669501</v>
      </c>
      <c r="P1358" s="40">
        <v>0</v>
      </c>
      <c r="Q1358" s="40">
        <v>50644.668192219702</v>
      </c>
      <c r="R1358" s="40">
        <f>1367554+106466</f>
        <v>1474020</v>
      </c>
      <c r="S1358" s="40">
        <v>697486.76037920895</v>
      </c>
      <c r="T1358" s="40"/>
      <c r="U1358" s="40">
        <v>2780053.6122916001</v>
      </c>
      <c r="V1358" s="40">
        <v>0</v>
      </c>
      <c r="W1358" s="45">
        <f t="shared" si="69"/>
        <v>5383956.2667538431</v>
      </c>
      <c r="X1358" s="46">
        <f t="shared" si="70"/>
        <v>20.443375089816872</v>
      </c>
    </row>
    <row r="1359" spans="1:24" s="4" customFormat="1" ht="15" customHeight="1">
      <c r="A1359" s="28" t="s">
        <v>1603</v>
      </c>
      <c r="B1359" s="29">
        <v>3149.63</v>
      </c>
      <c r="C1359" s="30" t="s">
        <v>2114</v>
      </c>
      <c r="D1359" s="2">
        <v>4946607249</v>
      </c>
      <c r="E1359" s="2" t="s">
        <v>6</v>
      </c>
      <c r="F1359" s="2" t="s">
        <v>2115</v>
      </c>
      <c r="G1359" s="28" t="s">
        <v>5</v>
      </c>
      <c r="H1359" s="2" t="s">
        <v>20</v>
      </c>
      <c r="I1359" s="2">
        <v>1</v>
      </c>
      <c r="J1359" s="2" t="s">
        <v>2116</v>
      </c>
      <c r="K1359" s="2">
        <v>6816</v>
      </c>
      <c r="L1359" s="35">
        <f t="shared" si="68"/>
        <v>21467878.080000002</v>
      </c>
      <c r="M1359" s="36">
        <v>3200</v>
      </c>
      <c r="N1359" s="40">
        <v>152618.02985074601</v>
      </c>
      <c r="O1359" s="40">
        <v>194471.641791045</v>
      </c>
      <c r="P1359" s="40">
        <v>0</v>
      </c>
      <c r="Q1359" s="40">
        <v>59289.313432835799</v>
      </c>
      <c r="R1359" s="40">
        <f>203328+52545</f>
        <v>255873</v>
      </c>
      <c r="S1359" s="40">
        <v>169244.65671641799</v>
      </c>
      <c r="T1359" s="40">
        <v>30000</v>
      </c>
      <c r="U1359" s="40">
        <v>1385217.91044776</v>
      </c>
      <c r="V1359" s="40">
        <v>0</v>
      </c>
      <c r="W1359" s="45">
        <f t="shared" si="69"/>
        <v>2246714.5522388048</v>
      </c>
      <c r="X1359" s="46">
        <f t="shared" si="70"/>
        <v>10.46547098817325</v>
      </c>
    </row>
    <row r="1360" spans="1:24" s="4" customFormat="1" ht="15" customHeight="1">
      <c r="A1360" s="28" t="s">
        <v>1603</v>
      </c>
      <c r="B1360" s="29">
        <v>3149.63</v>
      </c>
      <c r="C1360" s="30" t="s">
        <v>2114</v>
      </c>
      <c r="D1360" s="2">
        <v>4946611851</v>
      </c>
      <c r="E1360" s="2" t="s">
        <v>6</v>
      </c>
      <c r="F1360" s="2" t="s">
        <v>2115</v>
      </c>
      <c r="G1360" s="28" t="s">
        <v>5</v>
      </c>
      <c r="H1360" s="2" t="s">
        <v>20</v>
      </c>
      <c r="I1360" s="2">
        <v>1</v>
      </c>
      <c r="J1360" s="2" t="s">
        <v>2116</v>
      </c>
      <c r="K1360" s="2">
        <v>7910</v>
      </c>
      <c r="L1360" s="35">
        <f t="shared" si="68"/>
        <v>24913573.300000001</v>
      </c>
      <c r="M1360" s="36">
        <v>3500</v>
      </c>
      <c r="N1360" s="40">
        <v>166925.97014925399</v>
      </c>
      <c r="O1360" s="40">
        <v>212703.358208955</v>
      </c>
      <c r="P1360" s="40">
        <v>0</v>
      </c>
      <c r="Q1360" s="40">
        <v>64847.686567164201</v>
      </c>
      <c r="R1360" s="40">
        <f>222389+57471</f>
        <v>279860</v>
      </c>
      <c r="S1360" s="40">
        <v>185111.34328358201</v>
      </c>
      <c r="T1360" s="40">
        <v>30000</v>
      </c>
      <c r="U1360" s="40">
        <v>1515082.08955224</v>
      </c>
      <c r="V1360" s="40">
        <v>0</v>
      </c>
      <c r="W1360" s="45">
        <f t="shared" si="69"/>
        <v>2454530.4477611952</v>
      </c>
      <c r="X1360" s="46">
        <f t="shared" si="70"/>
        <v>9.85218145227363</v>
      </c>
    </row>
    <row r="1361" spans="1:24" s="4" customFormat="1" ht="15" customHeight="1">
      <c r="A1361" s="28" t="s">
        <v>1603</v>
      </c>
      <c r="B1361" s="29">
        <v>3149.63</v>
      </c>
      <c r="C1361" s="30" t="s">
        <v>2117</v>
      </c>
      <c r="D1361" s="2">
        <v>4949364249</v>
      </c>
      <c r="E1361" s="2" t="s">
        <v>6</v>
      </c>
      <c r="F1361" s="2" t="s">
        <v>2118</v>
      </c>
      <c r="G1361" s="28" t="s">
        <v>5</v>
      </c>
      <c r="H1361" s="2" t="s">
        <v>20</v>
      </c>
      <c r="I1361" s="2">
        <v>1</v>
      </c>
      <c r="J1361" s="2" t="s">
        <v>2119</v>
      </c>
      <c r="K1361" s="2">
        <v>60500</v>
      </c>
      <c r="L1361" s="35">
        <f t="shared" ref="L1361:L1389" si="71">+B1361*K1361</f>
        <v>190552615</v>
      </c>
      <c r="M1361" s="36">
        <v>12100</v>
      </c>
      <c r="N1361" s="40">
        <v>1990422</v>
      </c>
      <c r="O1361" s="40">
        <v>407175</v>
      </c>
      <c r="P1361" s="40">
        <v>0</v>
      </c>
      <c r="Q1361" s="40">
        <v>124137</v>
      </c>
      <c r="R1361" s="40">
        <v>730154</v>
      </c>
      <c r="S1361" s="40">
        <v>354356</v>
      </c>
      <c r="T1361" s="40">
        <v>30000</v>
      </c>
      <c r="U1361" s="40">
        <v>3249500</v>
      </c>
      <c r="V1361" s="40">
        <v>0</v>
      </c>
      <c r="W1361" s="45">
        <f t="shared" ref="W1361:W1389" si="72">+SUM(N1361:V1361)</f>
        <v>6885744</v>
      </c>
      <c r="X1361" s="46">
        <f t="shared" ref="X1361:X1385" si="73">(W1361/L1361)*100</f>
        <v>3.6135657335376901</v>
      </c>
    </row>
    <row r="1362" spans="1:24" s="4" customFormat="1" ht="15" customHeight="1">
      <c r="A1362" s="28" t="s">
        <v>1603</v>
      </c>
      <c r="B1362" s="29">
        <v>3149.63</v>
      </c>
      <c r="C1362" s="30" t="s">
        <v>2120</v>
      </c>
      <c r="D1362" s="2">
        <v>4949389436</v>
      </c>
      <c r="E1362" s="2" t="s">
        <v>36</v>
      </c>
      <c r="F1362" s="2" t="s">
        <v>2121</v>
      </c>
      <c r="G1362" s="28" t="s">
        <v>5</v>
      </c>
      <c r="H1362" s="2" t="s">
        <v>26</v>
      </c>
      <c r="I1362" s="2">
        <v>4</v>
      </c>
      <c r="J1362" s="2" t="s">
        <v>2122</v>
      </c>
      <c r="K1362" s="2">
        <v>81719</v>
      </c>
      <c r="L1362" s="35">
        <f t="shared" si="71"/>
        <v>257384613.97</v>
      </c>
      <c r="M1362" s="36">
        <v>87870</v>
      </c>
      <c r="N1362" s="40">
        <v>0</v>
      </c>
      <c r="O1362" s="40">
        <v>1992976</v>
      </c>
      <c r="P1362" s="40">
        <v>3728008</v>
      </c>
      <c r="Q1362" s="40">
        <v>496548</v>
      </c>
      <c r="R1362" s="40">
        <v>2461385</v>
      </c>
      <c r="S1362" s="40">
        <v>354356</v>
      </c>
      <c r="T1362" s="40"/>
      <c r="U1362" s="40">
        <v>0</v>
      </c>
      <c r="V1362" s="40">
        <v>0</v>
      </c>
      <c r="W1362" s="45">
        <f t="shared" si="72"/>
        <v>9033273</v>
      </c>
      <c r="X1362" s="46">
        <f t="shared" si="73"/>
        <v>3.5096398579026529</v>
      </c>
    </row>
    <row r="1363" spans="1:24" s="4" customFormat="1" ht="15" customHeight="1">
      <c r="A1363" s="28" t="s">
        <v>1603</v>
      </c>
      <c r="B1363" s="29">
        <v>3149.63</v>
      </c>
      <c r="C1363" s="30" t="s">
        <v>2123</v>
      </c>
      <c r="D1363" s="2">
        <v>4949389425</v>
      </c>
      <c r="E1363" s="2" t="s">
        <v>36</v>
      </c>
      <c r="F1363" s="2" t="s">
        <v>2124</v>
      </c>
      <c r="G1363" s="28" t="s">
        <v>5</v>
      </c>
      <c r="H1363" s="2" t="s">
        <v>26</v>
      </c>
      <c r="I1363" s="2">
        <v>1</v>
      </c>
      <c r="J1363" s="2" t="s">
        <v>2125</v>
      </c>
      <c r="K1363" s="2">
        <v>35502.17</v>
      </c>
      <c r="L1363" s="35">
        <f t="shared" si="71"/>
        <v>111818699.6971</v>
      </c>
      <c r="M1363" s="36">
        <v>20012.494999999999</v>
      </c>
      <c r="N1363" s="40">
        <v>319543</v>
      </c>
      <c r="O1363" s="40">
        <v>399890</v>
      </c>
      <c r="P1363" s="40">
        <v>926388</v>
      </c>
      <c r="Q1363" s="40">
        <v>99309</v>
      </c>
      <c r="R1363" s="40">
        <v>610306</v>
      </c>
      <c r="S1363" s="40">
        <v>354356</v>
      </c>
      <c r="T1363" s="40"/>
      <c r="U1363" s="40">
        <v>0</v>
      </c>
      <c r="V1363" s="40">
        <v>0</v>
      </c>
      <c r="W1363" s="45">
        <f t="shared" si="72"/>
        <v>2709792</v>
      </c>
      <c r="X1363" s="46">
        <f t="shared" si="73"/>
        <v>2.4233799957792552</v>
      </c>
    </row>
    <row r="1364" spans="1:24" s="4" customFormat="1" ht="15" customHeight="1">
      <c r="A1364" s="28" t="s">
        <v>1603</v>
      </c>
      <c r="B1364" s="29">
        <v>3149.63</v>
      </c>
      <c r="C1364" s="30" t="s">
        <v>2126</v>
      </c>
      <c r="D1364" s="2">
        <v>4948630691</v>
      </c>
      <c r="E1364" s="2" t="s">
        <v>10</v>
      </c>
      <c r="F1364" s="2" t="s">
        <v>2127</v>
      </c>
      <c r="G1364" s="28" t="s">
        <v>9</v>
      </c>
      <c r="H1364" s="2" t="s">
        <v>23</v>
      </c>
      <c r="I1364" s="2">
        <v>1</v>
      </c>
      <c r="J1364" s="2"/>
      <c r="K1364" s="2">
        <v>37916.639999999999</v>
      </c>
      <c r="L1364" s="35">
        <f t="shared" si="71"/>
        <v>119423386.8432</v>
      </c>
      <c r="M1364" s="36">
        <v>432</v>
      </c>
      <c r="N1364" s="40">
        <v>742405</v>
      </c>
      <c r="O1364" s="40">
        <v>345</v>
      </c>
      <c r="P1364" s="40">
        <v>6673</v>
      </c>
      <c r="Q1364" s="40">
        <v>11019</v>
      </c>
      <c r="R1364" s="40">
        <v>17669</v>
      </c>
      <c r="S1364" s="40">
        <v>708712</v>
      </c>
      <c r="T1364" s="40"/>
      <c r="U1364" s="40">
        <v>533500</v>
      </c>
      <c r="V1364" s="40">
        <v>0</v>
      </c>
      <c r="W1364" s="45">
        <f t="shared" si="72"/>
        <v>2020323</v>
      </c>
      <c r="X1364" s="46">
        <f t="shared" si="73"/>
        <v>1.691731455123304</v>
      </c>
    </row>
    <row r="1365" spans="1:24" s="4" customFormat="1" ht="15" customHeight="1">
      <c r="A1365" s="28" t="s">
        <v>1603</v>
      </c>
      <c r="B1365" s="29">
        <v>3149.63</v>
      </c>
      <c r="C1365" s="30" t="s">
        <v>2128</v>
      </c>
      <c r="D1365" s="2">
        <v>4949417105</v>
      </c>
      <c r="E1365" s="2" t="s">
        <v>14</v>
      </c>
      <c r="F1365" s="2" t="s">
        <v>2129</v>
      </c>
      <c r="G1365" s="28" t="s">
        <v>5</v>
      </c>
      <c r="H1365" s="2" t="s">
        <v>20</v>
      </c>
      <c r="I1365" s="2">
        <v>2</v>
      </c>
      <c r="J1365" s="2" t="s">
        <v>2130</v>
      </c>
      <c r="K1365" s="2">
        <v>56368</v>
      </c>
      <c r="L1365" s="35">
        <f t="shared" si="71"/>
        <v>177538343.84</v>
      </c>
      <c r="M1365" s="36">
        <v>10400</v>
      </c>
      <c r="N1365" s="40">
        <v>354004</v>
      </c>
      <c r="O1365" s="40">
        <v>654071</v>
      </c>
      <c r="P1365" s="40">
        <v>0</v>
      </c>
      <c r="Q1365" s="40">
        <v>198619</v>
      </c>
      <c r="R1365" s="40">
        <v>622799</v>
      </c>
      <c r="S1365" s="40">
        <v>354356</v>
      </c>
      <c r="T1365" s="40">
        <v>30000</v>
      </c>
      <c r="U1365" s="40">
        <v>1552000</v>
      </c>
      <c r="V1365" s="40">
        <v>0</v>
      </c>
      <c r="W1365" s="45">
        <f t="shared" si="72"/>
        <v>3765849</v>
      </c>
      <c r="X1365" s="46">
        <f t="shared" si="73"/>
        <v>2.1211468568129908</v>
      </c>
    </row>
    <row r="1366" spans="1:24" s="4" customFormat="1" ht="15" customHeight="1">
      <c r="A1366" s="28" t="s">
        <v>1603</v>
      </c>
      <c r="B1366" s="29">
        <v>3149.63</v>
      </c>
      <c r="C1366" s="30" t="s">
        <v>2131</v>
      </c>
      <c r="D1366" s="2">
        <v>4949662455</v>
      </c>
      <c r="E1366" s="2" t="s">
        <v>14</v>
      </c>
      <c r="F1366" s="2" t="s">
        <v>2132</v>
      </c>
      <c r="G1366" s="28" t="s">
        <v>5</v>
      </c>
      <c r="H1366" s="2" t="s">
        <v>17</v>
      </c>
      <c r="I1366" s="2">
        <v>1</v>
      </c>
      <c r="J1366" s="2" t="s">
        <v>2133</v>
      </c>
      <c r="K1366" s="2">
        <f>3815+3815+7630</f>
        <v>15260</v>
      </c>
      <c r="L1366" s="35">
        <f t="shared" si="71"/>
        <v>48063353.800000004</v>
      </c>
      <c r="M1366" s="36">
        <v>1400</v>
      </c>
      <c r="N1366" s="40">
        <v>28458.117048346099</v>
      </c>
      <c r="O1366" s="40">
        <v>38763.781865117802</v>
      </c>
      <c r="P1366" s="40">
        <v>0</v>
      </c>
      <c r="Q1366" s="40">
        <v>8972.7395934172291</v>
      </c>
      <c r="R1366" s="40">
        <f>60130+9798</f>
        <v>69928</v>
      </c>
      <c r="S1366" s="40">
        <v>31558.422391857501</v>
      </c>
      <c r="T1366" s="40">
        <v>30000</v>
      </c>
      <c r="U1366" s="40">
        <v>485061.70483460597</v>
      </c>
      <c r="V1366" s="40">
        <v>0</v>
      </c>
      <c r="W1366" s="45">
        <f t="shared" si="72"/>
        <v>692742.7657333446</v>
      </c>
      <c r="X1366" s="46">
        <f t="shared" si="73"/>
        <v>1.4413117499373183</v>
      </c>
    </row>
    <row r="1367" spans="1:24" s="4" customFormat="1" ht="15" customHeight="1">
      <c r="A1367" s="28" t="s">
        <v>1603</v>
      </c>
      <c r="B1367" s="29">
        <v>3149.63</v>
      </c>
      <c r="C1367" s="30" t="s">
        <v>2131</v>
      </c>
      <c r="D1367" s="2">
        <v>4949662455</v>
      </c>
      <c r="E1367" s="2" t="s">
        <v>14</v>
      </c>
      <c r="F1367" s="2" t="s">
        <v>2132</v>
      </c>
      <c r="G1367" s="28" t="s">
        <v>5</v>
      </c>
      <c r="H1367" s="2" t="s">
        <v>17</v>
      </c>
      <c r="I1367" s="2">
        <v>1</v>
      </c>
      <c r="J1367" s="2" t="s">
        <v>2133</v>
      </c>
      <c r="K1367" s="2">
        <v>128.80000000000001</v>
      </c>
      <c r="L1367" s="35">
        <f t="shared" si="71"/>
        <v>405672.34400000004</v>
      </c>
      <c r="M1367" s="36">
        <v>10</v>
      </c>
      <c r="N1367" s="40">
        <v>203.27226463104299</v>
      </c>
      <c r="O1367" s="40">
        <v>276.88415617941303</v>
      </c>
      <c r="P1367" s="40">
        <v>0</v>
      </c>
      <c r="Q1367" s="40">
        <v>64.090997095837395</v>
      </c>
      <c r="R1367" s="40">
        <f>429+70</f>
        <v>499</v>
      </c>
      <c r="S1367" s="40">
        <v>225.41730279898201</v>
      </c>
      <c r="T1367" s="40">
        <v>30000</v>
      </c>
      <c r="U1367" s="40">
        <v>3464.7264631043299</v>
      </c>
      <c r="V1367" s="40">
        <v>0</v>
      </c>
      <c r="W1367" s="45">
        <f t="shared" si="72"/>
        <v>34733.391183809603</v>
      </c>
      <c r="X1367" s="46">
        <f t="shared" si="73"/>
        <v>8.5619322336179771</v>
      </c>
    </row>
    <row r="1368" spans="1:24" s="4" customFormat="1" ht="15" customHeight="1">
      <c r="A1368" s="28" t="s">
        <v>1603</v>
      </c>
      <c r="B1368" s="29">
        <v>3149.63</v>
      </c>
      <c r="C1368" s="30" t="s">
        <v>2131</v>
      </c>
      <c r="D1368" s="2">
        <v>4948771043</v>
      </c>
      <c r="E1368" s="2" t="s">
        <v>14</v>
      </c>
      <c r="F1368" s="2" t="s">
        <v>2132</v>
      </c>
      <c r="G1368" s="28" t="s">
        <v>5</v>
      </c>
      <c r="H1368" s="2" t="s">
        <v>17</v>
      </c>
      <c r="I1368" s="2">
        <v>1</v>
      </c>
      <c r="J1368" s="2" t="s">
        <v>2133</v>
      </c>
      <c r="K1368" s="2">
        <v>14514.5</v>
      </c>
      <c r="L1368" s="35">
        <f t="shared" si="71"/>
        <v>45715304.634999998</v>
      </c>
      <c r="M1368" s="36">
        <v>4550</v>
      </c>
      <c r="N1368" s="40">
        <v>92488.8804071247</v>
      </c>
      <c r="O1368" s="40">
        <v>125982.291061633</v>
      </c>
      <c r="P1368" s="40">
        <v>0</v>
      </c>
      <c r="Q1368" s="40">
        <v>29161.403678605999</v>
      </c>
      <c r="R1368" s="40">
        <f>195421+31843</f>
        <v>227264</v>
      </c>
      <c r="S1368" s="40">
        <v>102564.872773537</v>
      </c>
      <c r="T1368" s="40">
        <v>30000</v>
      </c>
      <c r="U1368" s="40">
        <v>1576450.54071247</v>
      </c>
      <c r="V1368" s="40">
        <v>0</v>
      </c>
      <c r="W1368" s="45">
        <f t="shared" si="72"/>
        <v>2183911.988633371</v>
      </c>
      <c r="X1368" s="46">
        <f t="shared" si="73"/>
        <v>4.777200996624992</v>
      </c>
    </row>
    <row r="1369" spans="1:24" s="4" customFormat="1" ht="15" customHeight="1">
      <c r="A1369" s="28" t="s">
        <v>1603</v>
      </c>
      <c r="B1369" s="29">
        <v>3149.63</v>
      </c>
      <c r="C1369" s="30" t="s">
        <v>2131</v>
      </c>
      <c r="D1369" s="2">
        <v>4949366046</v>
      </c>
      <c r="E1369" s="2" t="s">
        <v>14</v>
      </c>
      <c r="F1369" s="2" t="s">
        <v>2132</v>
      </c>
      <c r="G1369" s="28" t="s">
        <v>5</v>
      </c>
      <c r="H1369" s="2" t="s">
        <v>17</v>
      </c>
      <c r="I1369" s="2">
        <v>1</v>
      </c>
      <c r="J1369" s="2" t="s">
        <v>2133</v>
      </c>
      <c r="K1369" s="2">
        <v>15916.5</v>
      </c>
      <c r="L1369" s="35">
        <f t="shared" si="71"/>
        <v>50131085.895000003</v>
      </c>
      <c r="M1369" s="36">
        <v>6075</v>
      </c>
      <c r="N1369" s="40">
        <v>128061.526717557</v>
      </c>
      <c r="O1369" s="40">
        <v>168207.124878993</v>
      </c>
      <c r="P1369" s="40">
        <v>0</v>
      </c>
      <c r="Q1369" s="40">
        <v>38935.2807357212</v>
      </c>
      <c r="R1369" s="40">
        <f>270583+44090</f>
        <v>314673</v>
      </c>
      <c r="S1369" s="40">
        <v>142012.90076335901</v>
      </c>
      <c r="T1369" s="40">
        <v>30000</v>
      </c>
      <c r="U1369" s="40">
        <v>2182777.6717557302</v>
      </c>
      <c r="V1369" s="40">
        <v>0</v>
      </c>
      <c r="W1369" s="45">
        <f t="shared" si="72"/>
        <v>3004667.5048513603</v>
      </c>
      <c r="X1369" s="46">
        <f t="shared" si="73"/>
        <v>5.9936214251266424</v>
      </c>
    </row>
    <row r="1370" spans="1:24" s="4" customFormat="1" ht="15" customHeight="1">
      <c r="A1370" s="28" t="s">
        <v>1603</v>
      </c>
      <c r="B1370" s="29">
        <v>3149.63</v>
      </c>
      <c r="C1370" s="30" t="s">
        <v>2131</v>
      </c>
      <c r="D1370" s="2">
        <v>4950090416</v>
      </c>
      <c r="E1370" s="2" t="s">
        <v>14</v>
      </c>
      <c r="F1370" s="2" t="s">
        <v>2132</v>
      </c>
      <c r="G1370" s="28" t="s">
        <v>5</v>
      </c>
      <c r="H1370" s="2" t="s">
        <v>17</v>
      </c>
      <c r="I1370" s="2">
        <v>1</v>
      </c>
      <c r="J1370" s="2" t="s">
        <v>2133</v>
      </c>
      <c r="K1370" s="2">
        <v>1764</v>
      </c>
      <c r="L1370" s="35">
        <f t="shared" si="71"/>
        <v>5555947.3200000003</v>
      </c>
      <c r="M1370" s="36">
        <v>175</v>
      </c>
      <c r="N1370" s="40">
        <v>3557.2646310432601</v>
      </c>
      <c r="O1370" s="40">
        <v>4845.4727331397198</v>
      </c>
      <c r="P1370" s="40">
        <v>0</v>
      </c>
      <c r="Q1370" s="40">
        <v>1121.59244917715</v>
      </c>
      <c r="R1370" s="40">
        <f>7516+1225</f>
        <v>8741</v>
      </c>
      <c r="S1370" s="40">
        <v>3944.8027989821899</v>
      </c>
      <c r="T1370" s="40">
        <v>30000</v>
      </c>
      <c r="U1370" s="40">
        <v>60632.713104325703</v>
      </c>
      <c r="V1370" s="40">
        <v>0</v>
      </c>
      <c r="W1370" s="45">
        <f t="shared" si="72"/>
        <v>112842.84571666803</v>
      </c>
      <c r="X1370" s="46">
        <f t="shared" si="73"/>
        <v>2.0310279996799543</v>
      </c>
    </row>
    <row r="1371" spans="1:24" s="4" customFormat="1" ht="15" customHeight="1">
      <c r="A1371" s="28" t="s">
        <v>1603</v>
      </c>
      <c r="B1371" s="29">
        <v>3149.63</v>
      </c>
      <c r="C1371" s="30" t="s">
        <v>2131</v>
      </c>
      <c r="D1371" s="2">
        <v>4950090419</v>
      </c>
      <c r="E1371" s="2" t="s">
        <v>14</v>
      </c>
      <c r="F1371" s="2" t="s">
        <v>2132</v>
      </c>
      <c r="G1371" s="28" t="s">
        <v>5</v>
      </c>
      <c r="H1371" s="2" t="s">
        <v>17</v>
      </c>
      <c r="I1371" s="2">
        <v>1</v>
      </c>
      <c r="J1371" s="2" t="s">
        <v>2133</v>
      </c>
      <c r="K1371" s="2">
        <v>2528.4</v>
      </c>
      <c r="L1371" s="35">
        <f t="shared" si="71"/>
        <v>7963524.4920000006</v>
      </c>
      <c r="M1371" s="36">
        <v>420</v>
      </c>
      <c r="N1371" s="40">
        <v>8537.4351145038199</v>
      </c>
      <c r="O1371" s="40">
        <v>11629.1345595353</v>
      </c>
      <c r="P1371" s="40">
        <v>0</v>
      </c>
      <c r="Q1371" s="40">
        <v>2691.82187802517</v>
      </c>
      <c r="R1371" s="40">
        <f t="shared" ref="R1371:R1373" si="74">18039+2939</f>
        <v>20978</v>
      </c>
      <c r="S1371" s="40">
        <v>9467.5267175572499</v>
      </c>
      <c r="T1371" s="40">
        <v>30000</v>
      </c>
      <c r="U1371" s="40">
        <v>145518.51145038201</v>
      </c>
      <c r="V1371" s="40">
        <v>0</v>
      </c>
      <c r="W1371" s="45">
        <f t="shared" si="72"/>
        <v>228822.42972000357</v>
      </c>
      <c r="X1371" s="46">
        <f t="shared" si="73"/>
        <v>2.873381377176325</v>
      </c>
    </row>
    <row r="1372" spans="1:24" s="4" customFormat="1" ht="15" customHeight="1">
      <c r="A1372" s="28" t="s">
        <v>1603</v>
      </c>
      <c r="B1372" s="29">
        <v>3149.63</v>
      </c>
      <c r="C1372" s="30" t="s">
        <v>2131</v>
      </c>
      <c r="D1372" s="2">
        <v>4950090417</v>
      </c>
      <c r="E1372" s="2" t="s">
        <v>14</v>
      </c>
      <c r="F1372" s="2" t="s">
        <v>2132</v>
      </c>
      <c r="G1372" s="28" t="s">
        <v>5</v>
      </c>
      <c r="H1372" s="2" t="s">
        <v>17</v>
      </c>
      <c r="I1372" s="2">
        <v>1</v>
      </c>
      <c r="J1372" s="2" t="s">
        <v>2133</v>
      </c>
      <c r="K1372" s="2">
        <v>2528.4</v>
      </c>
      <c r="L1372" s="35">
        <f t="shared" si="71"/>
        <v>7963524.4920000006</v>
      </c>
      <c r="M1372" s="36">
        <v>420</v>
      </c>
      <c r="N1372" s="40">
        <v>8537.4351145038199</v>
      </c>
      <c r="O1372" s="40">
        <v>11629.1345595353</v>
      </c>
      <c r="P1372" s="40">
        <v>0</v>
      </c>
      <c r="Q1372" s="40">
        <v>2691.82187802517</v>
      </c>
      <c r="R1372" s="40">
        <f t="shared" si="74"/>
        <v>20978</v>
      </c>
      <c r="S1372" s="40">
        <v>9467.5267175572499</v>
      </c>
      <c r="T1372" s="40">
        <v>30000</v>
      </c>
      <c r="U1372" s="40">
        <v>145518.51145038201</v>
      </c>
      <c r="V1372" s="40">
        <v>0</v>
      </c>
      <c r="W1372" s="45">
        <f t="shared" si="72"/>
        <v>228822.42972000357</v>
      </c>
      <c r="X1372" s="46">
        <f t="shared" si="73"/>
        <v>2.873381377176325</v>
      </c>
    </row>
    <row r="1373" spans="1:24" s="4" customFormat="1" ht="15" customHeight="1">
      <c r="A1373" s="28" t="s">
        <v>1603</v>
      </c>
      <c r="B1373" s="29">
        <v>3149.63</v>
      </c>
      <c r="C1373" s="30" t="s">
        <v>2131</v>
      </c>
      <c r="D1373" s="2">
        <v>4950090419</v>
      </c>
      <c r="E1373" s="2" t="s">
        <v>14</v>
      </c>
      <c r="F1373" s="2" t="s">
        <v>2132</v>
      </c>
      <c r="G1373" s="28" t="s">
        <v>5</v>
      </c>
      <c r="H1373" s="2" t="s">
        <v>17</v>
      </c>
      <c r="I1373" s="2">
        <v>1</v>
      </c>
      <c r="J1373" s="2" t="s">
        <v>2133</v>
      </c>
      <c r="K1373" s="2">
        <v>2528.4</v>
      </c>
      <c r="L1373" s="35">
        <f t="shared" si="71"/>
        <v>7963524.4920000006</v>
      </c>
      <c r="M1373" s="36">
        <v>420</v>
      </c>
      <c r="N1373" s="40">
        <v>8537.4351145038199</v>
      </c>
      <c r="O1373" s="40">
        <v>11629.1345595353</v>
      </c>
      <c r="P1373" s="40">
        <v>0</v>
      </c>
      <c r="Q1373" s="40">
        <v>2691.82187802517</v>
      </c>
      <c r="R1373" s="40">
        <f t="shared" si="74"/>
        <v>20978</v>
      </c>
      <c r="S1373" s="40">
        <v>9467.5267175572499</v>
      </c>
      <c r="T1373" s="40">
        <v>30000</v>
      </c>
      <c r="U1373" s="40">
        <v>145518.51145038201</v>
      </c>
      <c r="V1373" s="40">
        <v>0</v>
      </c>
      <c r="W1373" s="45">
        <f t="shared" si="72"/>
        <v>228822.42972000357</v>
      </c>
      <c r="X1373" s="46">
        <f t="shared" si="73"/>
        <v>2.873381377176325</v>
      </c>
    </row>
    <row r="1374" spans="1:24" s="4" customFormat="1" ht="15" customHeight="1">
      <c r="A1374" s="28" t="s">
        <v>1603</v>
      </c>
      <c r="B1374" s="29">
        <v>3149.63</v>
      </c>
      <c r="C1374" s="30" t="s">
        <v>2131</v>
      </c>
      <c r="D1374" s="2">
        <v>4950057190</v>
      </c>
      <c r="E1374" s="2" t="s">
        <v>14</v>
      </c>
      <c r="F1374" s="2" t="s">
        <v>2132</v>
      </c>
      <c r="G1374" s="28" t="s">
        <v>5</v>
      </c>
      <c r="H1374" s="2" t="s">
        <v>17</v>
      </c>
      <c r="I1374" s="2">
        <v>1</v>
      </c>
      <c r="J1374" s="2" t="s">
        <v>2133</v>
      </c>
      <c r="K1374" s="2">
        <v>7290</v>
      </c>
      <c r="L1374" s="35">
        <f t="shared" si="71"/>
        <v>22960802.699999999</v>
      </c>
      <c r="M1374" s="36">
        <v>2025</v>
      </c>
      <c r="N1374" s="40">
        <v>41162.633587786302</v>
      </c>
      <c r="O1374" s="40">
        <v>56069.041626331098</v>
      </c>
      <c r="P1374" s="40">
        <v>0</v>
      </c>
      <c r="Q1374" s="40">
        <v>12978.4269119071</v>
      </c>
      <c r="R1374" s="40">
        <f>86973+14172</f>
        <v>101145</v>
      </c>
      <c r="S1374" s="40">
        <v>45647.003816793898</v>
      </c>
      <c r="T1374" s="40">
        <v>30000</v>
      </c>
      <c r="U1374" s="40">
        <v>701607.10877862596</v>
      </c>
      <c r="V1374" s="40">
        <v>0</v>
      </c>
      <c r="W1374" s="45">
        <f t="shared" si="72"/>
        <v>988609.2147214443</v>
      </c>
      <c r="X1374" s="46">
        <f t="shared" si="73"/>
        <v>4.305638734143403</v>
      </c>
    </row>
    <row r="1375" spans="1:24" s="4" customFormat="1" ht="15" customHeight="1">
      <c r="A1375" s="28" t="s">
        <v>1603</v>
      </c>
      <c r="B1375" s="29">
        <v>3149.63</v>
      </c>
      <c r="C1375" s="30" t="s">
        <v>2134</v>
      </c>
      <c r="D1375" s="2">
        <v>4949389439</v>
      </c>
      <c r="E1375" s="2" t="s">
        <v>36</v>
      </c>
      <c r="F1375" s="2" t="s">
        <v>2135</v>
      </c>
      <c r="G1375" s="28" t="s">
        <v>5</v>
      </c>
      <c r="H1375" s="2" t="s">
        <v>26</v>
      </c>
      <c r="I1375" s="2">
        <v>4</v>
      </c>
      <c r="J1375" s="2" t="s">
        <v>2136</v>
      </c>
      <c r="K1375" s="2">
        <v>77822</v>
      </c>
      <c r="L1375" s="35">
        <f t="shared" si="71"/>
        <v>245110505.86000001</v>
      </c>
      <c r="M1375" s="36">
        <v>83680</v>
      </c>
      <c r="N1375" s="40">
        <v>1289635</v>
      </c>
      <c r="O1375" s="40">
        <v>1992976</v>
      </c>
      <c r="P1375" s="40">
        <v>3761435</v>
      </c>
      <c r="Q1375" s="40">
        <v>496548</v>
      </c>
      <c r="R1375" s="40">
        <v>2484036</v>
      </c>
      <c r="S1375" s="40">
        <v>354356</v>
      </c>
      <c r="T1375" s="40"/>
      <c r="U1375" s="40">
        <v>0</v>
      </c>
      <c r="V1375" s="40">
        <v>0</v>
      </c>
      <c r="W1375" s="45">
        <f t="shared" si="72"/>
        <v>10378986</v>
      </c>
      <c r="X1375" s="46">
        <f t="shared" si="73"/>
        <v>4.2344109093096867</v>
      </c>
    </row>
    <row r="1376" spans="1:24" s="4" customFormat="1" ht="15" customHeight="1">
      <c r="A1376" s="28" t="s">
        <v>1603</v>
      </c>
      <c r="B1376" s="29">
        <v>3149.63</v>
      </c>
      <c r="C1376" s="30" t="s">
        <v>2137</v>
      </c>
      <c r="D1376" s="2">
        <v>4947722839</v>
      </c>
      <c r="E1376" s="2" t="s">
        <v>6</v>
      </c>
      <c r="F1376" s="2" t="s">
        <v>2138</v>
      </c>
      <c r="G1376" s="28" t="s">
        <v>5</v>
      </c>
      <c r="H1376" s="2" t="s">
        <v>20</v>
      </c>
      <c r="I1376" s="2">
        <v>1</v>
      </c>
      <c r="J1376" s="2" t="s">
        <v>2139</v>
      </c>
      <c r="K1376" s="2">
        <v>183792</v>
      </c>
      <c r="L1376" s="35">
        <f t="shared" si="71"/>
        <v>578876796.96000004</v>
      </c>
      <c r="M1376" s="36">
        <v>16800</v>
      </c>
      <c r="N1376" s="40">
        <v>319544</v>
      </c>
      <c r="O1376" s="40">
        <v>407175</v>
      </c>
      <c r="P1376" s="40">
        <v>0</v>
      </c>
      <c r="Q1376" s="40">
        <v>124137</v>
      </c>
      <c r="R1376" s="40">
        <v>632075</v>
      </c>
      <c r="S1376" s="40">
        <v>354356</v>
      </c>
      <c r="T1376" s="40">
        <v>30000</v>
      </c>
      <c r="U1376" s="40">
        <v>499900</v>
      </c>
      <c r="V1376" s="40">
        <v>0</v>
      </c>
      <c r="W1376" s="45">
        <f t="shared" si="72"/>
        <v>2367187</v>
      </c>
      <c r="X1376" s="46">
        <f t="shared" si="73"/>
        <v>0.4089276012497649</v>
      </c>
    </row>
    <row r="1377" spans="1:24" s="4" customFormat="1" ht="15" customHeight="1">
      <c r="A1377" s="28" t="s">
        <v>1603</v>
      </c>
      <c r="B1377" s="29">
        <v>3149.63</v>
      </c>
      <c r="C1377" s="30" t="s">
        <v>2140</v>
      </c>
      <c r="D1377" s="2">
        <v>4949389432</v>
      </c>
      <c r="E1377" s="2" t="s">
        <v>36</v>
      </c>
      <c r="F1377" s="2" t="s">
        <v>2141</v>
      </c>
      <c r="G1377" s="28" t="s">
        <v>5</v>
      </c>
      <c r="H1377" s="2" t="s">
        <v>26</v>
      </c>
      <c r="I1377" s="2">
        <v>1</v>
      </c>
      <c r="J1377" s="2" t="s">
        <v>2142</v>
      </c>
      <c r="K1377" s="2">
        <v>38369.32</v>
      </c>
      <c r="L1377" s="35">
        <f t="shared" si="71"/>
        <v>120849161.35160001</v>
      </c>
      <c r="M1377" s="36">
        <v>22425.607</v>
      </c>
      <c r="N1377" s="40">
        <v>319544</v>
      </c>
      <c r="O1377" s="40">
        <v>399890</v>
      </c>
      <c r="P1377" s="40">
        <v>741111</v>
      </c>
      <c r="Q1377" s="40">
        <v>99309</v>
      </c>
      <c r="R1377" s="40">
        <v>584639</v>
      </c>
      <c r="S1377" s="40">
        <v>354356</v>
      </c>
      <c r="T1377" s="40"/>
      <c r="U1377" s="40">
        <v>0</v>
      </c>
      <c r="V1377" s="40">
        <v>0</v>
      </c>
      <c r="W1377" s="45">
        <f t="shared" si="72"/>
        <v>2498849</v>
      </c>
      <c r="X1377" s="46">
        <f t="shared" si="73"/>
        <v>2.0677421109525276</v>
      </c>
    </row>
    <row r="1378" spans="1:24" s="4" customFormat="1" ht="15" customHeight="1">
      <c r="A1378" s="28" t="s">
        <v>1603</v>
      </c>
      <c r="B1378" s="29">
        <v>3149.63</v>
      </c>
      <c r="C1378" s="30" t="s">
        <v>2143</v>
      </c>
      <c r="D1378" s="2">
        <v>4948495888</v>
      </c>
      <c r="E1378" s="2" t="s">
        <v>14</v>
      </c>
      <c r="F1378" s="2" t="s">
        <v>2144</v>
      </c>
      <c r="G1378" s="28" t="s">
        <v>5</v>
      </c>
      <c r="H1378" s="2" t="s">
        <v>20</v>
      </c>
      <c r="I1378" s="2">
        <v>1</v>
      </c>
      <c r="J1378" s="2" t="s">
        <v>2145</v>
      </c>
      <c r="K1378" s="2">
        <v>2208</v>
      </c>
      <c r="L1378" s="35">
        <f t="shared" si="71"/>
        <v>6954383.04</v>
      </c>
      <c r="M1378" s="36">
        <v>1600</v>
      </c>
      <c r="N1378" s="40">
        <v>77427.226890756298</v>
      </c>
      <c r="O1378" s="40">
        <v>54963.865546218498</v>
      </c>
      <c r="P1378" s="40">
        <v>0</v>
      </c>
      <c r="Q1378" s="40">
        <v>16690.588235294101</v>
      </c>
      <c r="R1378" s="40">
        <f>71145+33613</f>
        <v>104758</v>
      </c>
      <c r="S1378" s="40">
        <v>59555.630252100796</v>
      </c>
      <c r="T1378" s="40">
        <v>30000</v>
      </c>
      <c r="U1378" s="40">
        <v>546134.45378151303</v>
      </c>
      <c r="V1378" s="40">
        <v>0</v>
      </c>
      <c r="W1378" s="45">
        <f t="shared" si="72"/>
        <v>889529.76470588276</v>
      </c>
      <c r="X1378" s="46">
        <f t="shared" si="73"/>
        <v>12.790922783365739</v>
      </c>
    </row>
    <row r="1379" spans="1:24" s="4" customFormat="1" ht="15" customHeight="1">
      <c r="A1379" s="28" t="s">
        <v>1603</v>
      </c>
      <c r="B1379" s="29">
        <v>3149.63</v>
      </c>
      <c r="C1379" s="30" t="s">
        <v>2143</v>
      </c>
      <c r="D1379" s="2">
        <v>4945565224</v>
      </c>
      <c r="E1379" s="2" t="s">
        <v>14</v>
      </c>
      <c r="F1379" s="2" t="s">
        <v>2144</v>
      </c>
      <c r="G1379" s="28" t="s">
        <v>5</v>
      </c>
      <c r="H1379" s="2" t="s">
        <v>20</v>
      </c>
      <c r="I1379" s="2">
        <v>1</v>
      </c>
      <c r="J1379" s="2" t="s">
        <v>2145</v>
      </c>
      <c r="K1379" s="2">
        <v>12276</v>
      </c>
      <c r="L1379" s="35">
        <f t="shared" si="71"/>
        <v>38664857.880000003</v>
      </c>
      <c r="M1379" s="36">
        <v>7920</v>
      </c>
      <c r="N1379" s="40">
        <v>383264.77310924401</v>
      </c>
      <c r="O1379" s="40">
        <v>272071.134453782</v>
      </c>
      <c r="P1379" s="40">
        <v>0</v>
      </c>
      <c r="Q1379" s="40">
        <v>82618.411764705903</v>
      </c>
      <c r="R1379" s="40">
        <f>352168+166387</f>
        <v>518555</v>
      </c>
      <c r="S1379" s="40">
        <v>294800.36974789901</v>
      </c>
      <c r="T1379" s="40">
        <v>30000</v>
      </c>
      <c r="U1379" s="40">
        <v>2703365.5462184902</v>
      </c>
      <c r="V1379" s="40">
        <v>0</v>
      </c>
      <c r="W1379" s="45">
        <f t="shared" si="72"/>
        <v>4284675.2352941213</v>
      </c>
      <c r="X1379" s="46">
        <f t="shared" si="73"/>
        <v>11.081575027618131</v>
      </c>
    </row>
    <row r="1380" spans="1:24" s="4" customFormat="1" ht="15" customHeight="1">
      <c r="A1380" s="28" t="s">
        <v>1603</v>
      </c>
      <c r="B1380" s="29">
        <v>3149.63</v>
      </c>
      <c r="C1380" s="30" t="s">
        <v>2146</v>
      </c>
      <c r="D1380" s="2">
        <v>4949389431</v>
      </c>
      <c r="E1380" s="2" t="s">
        <v>36</v>
      </c>
      <c r="F1380" s="2" t="s">
        <v>2147</v>
      </c>
      <c r="G1380" s="28" t="s">
        <v>5</v>
      </c>
      <c r="H1380" s="2" t="s">
        <v>26</v>
      </c>
      <c r="I1380" s="2">
        <v>1</v>
      </c>
      <c r="J1380" s="2" t="s">
        <v>2148</v>
      </c>
      <c r="K1380" s="2">
        <v>38686.21</v>
      </c>
      <c r="L1380" s="35">
        <f t="shared" si="71"/>
        <v>121847247.6023</v>
      </c>
      <c r="M1380" s="36">
        <v>22452.822</v>
      </c>
      <c r="N1380" s="40">
        <v>319544</v>
      </c>
      <c r="O1380" s="40">
        <v>399890</v>
      </c>
      <c r="P1380" s="40">
        <v>741111</v>
      </c>
      <c r="Q1380" s="40">
        <v>99309</v>
      </c>
      <c r="R1380" s="40">
        <v>584639</v>
      </c>
      <c r="S1380" s="40">
        <v>354356</v>
      </c>
      <c r="T1380" s="40"/>
      <c r="U1380" s="40">
        <v>0</v>
      </c>
      <c r="V1380" s="40">
        <v>0</v>
      </c>
      <c r="W1380" s="45">
        <f t="shared" si="72"/>
        <v>2498849</v>
      </c>
      <c r="X1380" s="46">
        <f t="shared" si="73"/>
        <v>2.0508046338117132</v>
      </c>
    </row>
    <row r="1381" spans="1:24" s="4" customFormat="1" ht="15" customHeight="1">
      <c r="A1381" s="28" t="s">
        <v>1603</v>
      </c>
      <c r="B1381" s="29">
        <v>3149.63</v>
      </c>
      <c r="C1381" s="30" t="s">
        <v>2149</v>
      </c>
      <c r="D1381" s="2">
        <v>4946611862</v>
      </c>
      <c r="E1381" s="2" t="s">
        <v>6</v>
      </c>
      <c r="F1381" s="2" t="s">
        <v>2150</v>
      </c>
      <c r="G1381" s="28" t="s">
        <v>5</v>
      </c>
      <c r="H1381" s="2" t="s">
        <v>17</v>
      </c>
      <c r="I1381" s="2">
        <v>1</v>
      </c>
      <c r="J1381" s="2" t="s">
        <v>2151</v>
      </c>
      <c r="K1381" s="2">
        <f>29556.8+15868.8</f>
        <v>45425.599999999999</v>
      </c>
      <c r="L1381" s="35">
        <f t="shared" si="71"/>
        <v>143073832.528</v>
      </c>
      <c r="M1381" s="36">
        <v>9790</v>
      </c>
      <c r="N1381" s="40">
        <v>460692</v>
      </c>
      <c r="O1381" s="40">
        <v>534687</v>
      </c>
      <c r="P1381" s="40">
        <v>0</v>
      </c>
      <c r="Q1381" s="40">
        <v>124137</v>
      </c>
      <c r="R1381" s="40">
        <v>620313</v>
      </c>
      <c r="S1381" s="40">
        <v>354356</v>
      </c>
      <c r="T1381" s="40">
        <v>30000</v>
      </c>
      <c r="U1381" s="40">
        <v>4816050</v>
      </c>
      <c r="V1381" s="40">
        <v>0</v>
      </c>
      <c r="W1381" s="45">
        <f t="shared" si="72"/>
        <v>6940235</v>
      </c>
      <c r="X1381" s="46">
        <f t="shared" si="73"/>
        <v>4.850806662106975</v>
      </c>
    </row>
    <row r="1382" spans="1:24" s="4" customFormat="1" ht="15" customHeight="1">
      <c r="A1382" s="28" t="s">
        <v>1603</v>
      </c>
      <c r="B1382" s="29">
        <v>3149.63</v>
      </c>
      <c r="C1382" s="30" t="s">
        <v>2152</v>
      </c>
      <c r="D1382" s="2">
        <v>4949627409</v>
      </c>
      <c r="E1382" s="2" t="s">
        <v>21</v>
      </c>
      <c r="F1382" s="2" t="s">
        <v>2153</v>
      </c>
      <c r="G1382" s="28" t="s">
        <v>5</v>
      </c>
      <c r="H1382" s="2" t="s">
        <v>20</v>
      </c>
      <c r="I1382" s="2">
        <v>2</v>
      </c>
      <c r="J1382" s="2" t="s">
        <v>2154</v>
      </c>
      <c r="K1382" s="2">
        <v>14696.64</v>
      </c>
      <c r="L1382" s="35">
        <f t="shared" si="71"/>
        <v>46288978.243199997</v>
      </c>
      <c r="M1382" s="36">
        <v>10886.4</v>
      </c>
      <c r="N1382" s="40">
        <f>921384/2</f>
        <v>460692</v>
      </c>
      <c r="O1382" s="40">
        <v>327035.5</v>
      </c>
      <c r="P1382" s="40">
        <v>0</v>
      </c>
      <c r="Q1382" s="40">
        <v>99309.5</v>
      </c>
      <c r="R1382" s="40">
        <f>420313+200000</f>
        <v>620313</v>
      </c>
      <c r="S1382" s="40">
        <f>354356/2</f>
        <v>177178</v>
      </c>
      <c r="T1382" s="40"/>
      <c r="U1382" s="40">
        <f>6499000/2</f>
        <v>3249500</v>
      </c>
      <c r="V1382" s="40">
        <v>0</v>
      </c>
      <c r="W1382" s="45">
        <f t="shared" si="72"/>
        <v>4934028</v>
      </c>
      <c r="X1382" s="46">
        <f t="shared" si="73"/>
        <v>10.659185376866306</v>
      </c>
    </row>
    <row r="1383" spans="1:24" s="4" customFormat="1" ht="15" customHeight="1">
      <c r="A1383" s="28" t="s">
        <v>1603</v>
      </c>
      <c r="B1383" s="29">
        <v>3149.63</v>
      </c>
      <c r="C1383" s="30" t="s">
        <v>2152</v>
      </c>
      <c r="D1383" s="2">
        <v>4949653304</v>
      </c>
      <c r="E1383" s="2" t="s">
        <v>21</v>
      </c>
      <c r="F1383" s="2" t="s">
        <v>2153</v>
      </c>
      <c r="G1383" s="28" t="s">
        <v>5</v>
      </c>
      <c r="H1383" s="2" t="s">
        <v>20</v>
      </c>
      <c r="I1383" s="2">
        <v>2</v>
      </c>
      <c r="J1383" s="2" t="s">
        <v>2154</v>
      </c>
      <c r="K1383" s="2">
        <v>14696.64</v>
      </c>
      <c r="L1383" s="35">
        <f t="shared" si="71"/>
        <v>46288978.243199997</v>
      </c>
      <c r="M1383" s="36">
        <v>10886.4</v>
      </c>
      <c r="N1383" s="40">
        <v>460692</v>
      </c>
      <c r="O1383" s="40">
        <v>327035.5</v>
      </c>
      <c r="P1383" s="40">
        <v>0</v>
      </c>
      <c r="Q1383" s="40">
        <v>99309.5</v>
      </c>
      <c r="R1383" s="40">
        <f>420313+200000</f>
        <v>620313</v>
      </c>
      <c r="S1383" s="40">
        <v>177178</v>
      </c>
      <c r="T1383" s="40"/>
      <c r="U1383" s="40">
        <v>3249500</v>
      </c>
      <c r="V1383" s="40">
        <v>0</v>
      </c>
      <c r="W1383" s="45">
        <f t="shared" si="72"/>
        <v>4934028</v>
      </c>
      <c r="X1383" s="46">
        <f t="shared" si="73"/>
        <v>10.659185376866306</v>
      </c>
    </row>
    <row r="1384" spans="1:24" s="4" customFormat="1" ht="15" customHeight="1">
      <c r="A1384" s="28" t="s">
        <v>1603</v>
      </c>
      <c r="B1384" s="29">
        <v>3149.63</v>
      </c>
      <c r="C1384" s="30" t="s">
        <v>2155</v>
      </c>
      <c r="D1384" s="2">
        <v>4949570841</v>
      </c>
      <c r="E1384" s="2" t="s">
        <v>24</v>
      </c>
      <c r="F1384" s="2" t="s">
        <v>2156</v>
      </c>
      <c r="G1384" s="28" t="s">
        <v>5</v>
      </c>
      <c r="H1384" s="2" t="s">
        <v>17</v>
      </c>
      <c r="I1384" s="2">
        <v>1</v>
      </c>
      <c r="J1384" s="2" t="s">
        <v>2157</v>
      </c>
      <c r="K1384" s="2">
        <v>14850</v>
      </c>
      <c r="L1384" s="35">
        <f t="shared" si="71"/>
        <v>46772005.5</v>
      </c>
      <c r="M1384" s="36">
        <v>15000</v>
      </c>
      <c r="N1384" s="40">
        <v>319544</v>
      </c>
      <c r="O1384" s="40">
        <v>429032</v>
      </c>
      <c r="P1384" s="40">
        <v>444666</v>
      </c>
      <c r="Q1384" s="40">
        <v>99309</v>
      </c>
      <c r="R1384" s="40">
        <v>1281805</v>
      </c>
      <c r="S1384" s="40">
        <v>354356</v>
      </c>
      <c r="T1384" s="40"/>
      <c r="U1384" s="40">
        <v>5446550</v>
      </c>
      <c r="V1384" s="40">
        <v>0</v>
      </c>
      <c r="W1384" s="45">
        <f t="shared" si="72"/>
        <v>8375262</v>
      </c>
      <c r="X1384" s="46">
        <f t="shared" si="73"/>
        <v>17.906570202554175</v>
      </c>
    </row>
    <row r="1385" spans="1:24" s="4" customFormat="1" ht="15" customHeight="1">
      <c r="A1385" s="28" t="s">
        <v>1603</v>
      </c>
      <c r="B1385" s="29">
        <v>3149.63</v>
      </c>
      <c r="C1385" s="30" t="s">
        <v>2158</v>
      </c>
      <c r="D1385" s="2">
        <v>4948892097</v>
      </c>
      <c r="E1385" s="2" t="s">
        <v>36</v>
      </c>
      <c r="F1385" s="2" t="s">
        <v>2159</v>
      </c>
      <c r="G1385" s="28" t="s">
        <v>5</v>
      </c>
      <c r="H1385" s="2" t="s">
        <v>20</v>
      </c>
      <c r="I1385" s="2">
        <v>1</v>
      </c>
      <c r="J1385" s="2" t="s">
        <v>2160</v>
      </c>
      <c r="K1385" s="2">
        <v>32682.720000000001</v>
      </c>
      <c r="L1385" s="35">
        <f t="shared" si="71"/>
        <v>102938475.3936</v>
      </c>
      <c r="M1385" s="36">
        <v>17040</v>
      </c>
      <c r="N1385" s="40">
        <v>319543</v>
      </c>
      <c r="O1385" s="40">
        <v>312888</v>
      </c>
      <c r="P1385" s="40">
        <v>0</v>
      </c>
      <c r="Q1385" s="40">
        <v>109678</v>
      </c>
      <c r="R1385" s="40">
        <v>722052</v>
      </c>
      <c r="S1385" s="40">
        <v>354356</v>
      </c>
      <c r="T1385" s="40"/>
      <c r="U1385" s="40">
        <v>519300</v>
      </c>
      <c r="V1385" s="40">
        <v>0</v>
      </c>
      <c r="W1385" s="45">
        <f t="shared" si="72"/>
        <v>2337817</v>
      </c>
      <c r="X1385" s="46">
        <f t="shared" si="73"/>
        <v>2.2710818195636007</v>
      </c>
    </row>
    <row r="1386" spans="1:24" s="4" customFormat="1" ht="15" customHeight="1">
      <c r="A1386" s="28" t="s">
        <v>1603</v>
      </c>
      <c r="B1386" s="29">
        <v>3149.63</v>
      </c>
      <c r="C1386" s="30" t="s">
        <v>2161</v>
      </c>
      <c r="D1386" s="2">
        <v>4944881458</v>
      </c>
      <c r="E1386" s="2" t="s">
        <v>6</v>
      </c>
      <c r="F1386" s="2" t="s">
        <v>2162</v>
      </c>
      <c r="G1386" s="28" t="s">
        <v>9</v>
      </c>
      <c r="H1386" s="2" t="s">
        <v>23</v>
      </c>
      <c r="I1386" s="2">
        <v>2</v>
      </c>
      <c r="J1386" s="2"/>
      <c r="K1386" s="2">
        <v>2632</v>
      </c>
      <c r="L1386" s="35">
        <f t="shared" si="71"/>
        <v>8289826.1600000001</v>
      </c>
      <c r="M1386" s="36">
        <v>880</v>
      </c>
      <c r="N1386" s="40">
        <v>629960</v>
      </c>
      <c r="O1386" s="40">
        <v>664</v>
      </c>
      <c r="P1386" s="40">
        <v>12833</v>
      </c>
      <c r="Q1386" s="40">
        <v>16630</v>
      </c>
      <c r="R1386" s="40">
        <v>103567</v>
      </c>
      <c r="S1386" s="40">
        <v>354356</v>
      </c>
      <c r="T1386" s="40">
        <v>30000</v>
      </c>
      <c r="U1386" s="40">
        <v>1367700</v>
      </c>
      <c r="V1386" s="40">
        <v>0</v>
      </c>
      <c r="W1386" s="45">
        <f t="shared" si="72"/>
        <v>2515710</v>
      </c>
      <c r="X1386" s="46">
        <f t="shared" ref="X1386:X1391" si="75">(W1386/L1386)*100</f>
        <v>30.346957239450724</v>
      </c>
    </row>
    <row r="1387" spans="1:24" s="4" customFormat="1" ht="15" customHeight="1">
      <c r="A1387" s="28" t="s">
        <v>1603</v>
      </c>
      <c r="B1387" s="29">
        <v>3149.63</v>
      </c>
      <c r="C1387" s="30" t="s">
        <v>2163</v>
      </c>
      <c r="D1387" s="2">
        <v>4949484774</v>
      </c>
      <c r="E1387" s="2" t="s">
        <v>24</v>
      </c>
      <c r="F1387" s="2" t="s">
        <v>2164</v>
      </c>
      <c r="G1387" s="28" t="s">
        <v>9</v>
      </c>
      <c r="H1387" s="2" t="s">
        <v>23</v>
      </c>
      <c r="I1387" s="2">
        <v>4</v>
      </c>
      <c r="J1387" s="2"/>
      <c r="K1387" s="2">
        <v>5100</v>
      </c>
      <c r="L1387" s="35">
        <f t="shared" si="71"/>
        <v>16063113</v>
      </c>
      <c r="M1387" s="36">
        <v>3750</v>
      </c>
      <c r="N1387" s="40">
        <v>1213590.1960784299</v>
      </c>
      <c r="O1387" s="40">
        <v>2509.8039215686299</v>
      </c>
      <c r="P1387" s="40">
        <v>47593.137254902002</v>
      </c>
      <c r="Q1387" s="40">
        <v>79030.392156862697</v>
      </c>
      <c r="R1387" s="40">
        <v>153439.21568627501</v>
      </c>
      <c r="S1387" s="40">
        <v>347407.843137255</v>
      </c>
      <c r="T1387" s="40"/>
      <c r="U1387" s="40">
        <v>1340882.3529411801</v>
      </c>
      <c r="V1387" s="40">
        <v>0</v>
      </c>
      <c r="W1387" s="45">
        <f t="shared" si="72"/>
        <v>3184452.9411764732</v>
      </c>
      <c r="X1387" s="46">
        <f t="shared" si="75"/>
        <v>19.824631384816087</v>
      </c>
    </row>
    <row r="1388" spans="1:24" s="4" customFormat="1" ht="15" customHeight="1">
      <c r="A1388" s="28" t="s">
        <v>1603</v>
      </c>
      <c r="B1388" s="29">
        <v>3149.63</v>
      </c>
      <c r="C1388" s="30" t="s">
        <v>2163</v>
      </c>
      <c r="D1388" s="2">
        <v>4948242171</v>
      </c>
      <c r="E1388" s="2" t="s">
        <v>14</v>
      </c>
      <c r="F1388" s="2" t="s">
        <v>2164</v>
      </c>
      <c r="G1388" s="28" t="s">
        <v>9</v>
      </c>
      <c r="H1388" s="2" t="s">
        <v>23</v>
      </c>
      <c r="I1388" s="2">
        <v>4</v>
      </c>
      <c r="J1388" s="2"/>
      <c r="K1388" s="2">
        <v>1566.75</v>
      </c>
      <c r="L1388" s="35">
        <f t="shared" si="71"/>
        <v>4934682.8025000002</v>
      </c>
      <c r="M1388" s="36">
        <v>75</v>
      </c>
      <c r="N1388" s="40">
        <v>24271.8039215686</v>
      </c>
      <c r="O1388" s="40">
        <v>50.196078431372499</v>
      </c>
      <c r="P1388" s="40">
        <v>951.862745098039</v>
      </c>
      <c r="Q1388" s="40">
        <v>1580.60784313725</v>
      </c>
      <c r="R1388" s="40">
        <v>3068.7843137254899</v>
      </c>
      <c r="S1388" s="40">
        <v>6948.1568627450997</v>
      </c>
      <c r="T1388" s="40">
        <v>30000</v>
      </c>
      <c r="U1388" s="40">
        <v>26817.647058823499</v>
      </c>
      <c r="V1388" s="40">
        <v>0</v>
      </c>
      <c r="W1388" s="45">
        <f t="shared" si="72"/>
        <v>93689.05882352934</v>
      </c>
      <c r="X1388" s="46">
        <f t="shared" si="75"/>
        <v>1.8985832032823824</v>
      </c>
    </row>
    <row r="1389" spans="1:24" s="4" customFormat="1" ht="15" customHeight="1">
      <c r="A1389" s="28" t="s">
        <v>1603</v>
      </c>
      <c r="B1389" s="29">
        <v>3149.63</v>
      </c>
      <c r="C1389" s="30" t="s">
        <v>2165</v>
      </c>
      <c r="D1389" s="2">
        <v>4949389402</v>
      </c>
      <c r="E1389" s="2" t="s">
        <v>36</v>
      </c>
      <c r="F1389" s="2" t="s">
        <v>2166</v>
      </c>
      <c r="G1389" s="28" t="s">
        <v>5</v>
      </c>
      <c r="H1389" s="2" t="s">
        <v>26</v>
      </c>
      <c r="I1389" s="2">
        <v>3</v>
      </c>
      <c r="J1389" s="2" t="s">
        <v>2167</v>
      </c>
      <c r="K1389" s="2">
        <v>128151</v>
      </c>
      <c r="L1389" s="35">
        <f t="shared" si="71"/>
        <v>403628234.13</v>
      </c>
      <c r="M1389" s="36">
        <v>74942</v>
      </c>
      <c r="N1389" s="40">
        <v>1063531</v>
      </c>
      <c r="O1389" s="40">
        <v>1199671</v>
      </c>
      <c r="P1389" s="40">
        <v>3075606</v>
      </c>
      <c r="Q1389" s="40">
        <v>297928</v>
      </c>
      <c r="R1389" s="40">
        <v>1845426</v>
      </c>
      <c r="S1389" s="40">
        <v>354356</v>
      </c>
      <c r="T1389" s="40"/>
      <c r="U1389" s="40">
        <v>0</v>
      </c>
      <c r="V1389" s="40">
        <v>0</v>
      </c>
      <c r="W1389" s="45">
        <f t="shared" si="72"/>
        <v>7836518</v>
      </c>
      <c r="X1389" s="46">
        <f t="shared" si="75"/>
        <v>1.941518788171797</v>
      </c>
    </row>
    <row r="1390" spans="1:24" ht="15" customHeight="1">
      <c r="G1390"/>
      <c r="I1390"/>
      <c r="N1390"/>
      <c r="O1390" s="24"/>
      <c r="P1390"/>
      <c r="Q1390" s="24"/>
      <c r="R1390"/>
      <c r="S1390"/>
      <c r="T1390"/>
      <c r="U1390"/>
      <c r="X1390" s="60"/>
    </row>
    <row r="1391" spans="1:24" ht="15" customHeight="1">
      <c r="A1391" s="31" t="s">
        <v>1603</v>
      </c>
      <c r="B1391" s="31"/>
      <c r="C1391" s="31"/>
      <c r="D1391" s="31"/>
      <c r="E1391" s="31"/>
      <c r="F1391" s="32">
        <v>226</v>
      </c>
      <c r="G1391" s="31"/>
      <c r="H1391" s="31"/>
      <c r="I1391" s="38"/>
      <c r="J1391" s="31"/>
      <c r="K1391" s="39">
        <f>+SUM(K1040:K1389)</f>
        <v>9898749.1340000071</v>
      </c>
      <c r="L1391" s="39">
        <f>+SUM(L1040:L1389)</f>
        <v>31177397234.920444</v>
      </c>
      <c r="M1391" s="31"/>
      <c r="N1391" s="39"/>
      <c r="O1391" s="39"/>
      <c r="P1391" s="39"/>
      <c r="Q1391" s="39"/>
      <c r="R1391" s="39"/>
      <c r="S1391" s="39"/>
      <c r="T1391" s="39"/>
      <c r="U1391" s="39"/>
      <c r="V1391" s="31"/>
      <c r="W1391" s="39">
        <f>+SUM(W1040:W1389)</f>
        <v>1122778565.4999347</v>
      </c>
      <c r="X1391" s="47">
        <f t="shared" si="75"/>
        <v>3.6012581712316876</v>
      </c>
    </row>
    <row r="1392" spans="1:24" ht="15" customHeight="1">
      <c r="G1392"/>
      <c r="I1392"/>
      <c r="N1392"/>
      <c r="O1392" s="24"/>
      <c r="P1392"/>
      <c r="Q1392" s="24"/>
      <c r="R1392"/>
      <c r="S1392"/>
      <c r="T1392"/>
      <c r="U1392"/>
      <c r="X1392" s="60"/>
    </row>
    <row r="1393" spans="1:24" s="4" customFormat="1" ht="15" customHeight="1">
      <c r="A1393" s="28" t="s">
        <v>2168</v>
      </c>
      <c r="B1393" s="29">
        <v>3271.01</v>
      </c>
      <c r="C1393" s="30" t="s">
        <v>2169</v>
      </c>
      <c r="D1393" s="2">
        <v>4949661299</v>
      </c>
      <c r="E1393" s="2" t="s">
        <v>14</v>
      </c>
      <c r="F1393" s="2" t="s">
        <v>2170</v>
      </c>
      <c r="G1393" s="28" t="s">
        <v>9</v>
      </c>
      <c r="H1393" s="2" t="s">
        <v>23</v>
      </c>
      <c r="I1393" s="2">
        <v>2</v>
      </c>
      <c r="J1393" s="2"/>
      <c r="K1393" s="2">
        <v>2340</v>
      </c>
      <c r="L1393" s="35">
        <f>+B1393*K1393</f>
        <v>7654163.4000000004</v>
      </c>
      <c r="M1393" s="36">
        <v>1500</v>
      </c>
      <c r="N1393" s="40">
        <v>538024</v>
      </c>
      <c r="O1393" s="40">
        <v>1011</v>
      </c>
      <c r="P1393" s="40">
        <v>85470</v>
      </c>
      <c r="Q1393" s="40">
        <v>25468</v>
      </c>
      <c r="R1393" s="40">
        <v>104769</v>
      </c>
      <c r="S1393" s="40">
        <v>354356</v>
      </c>
      <c r="T1393" s="40">
        <v>30000</v>
      </c>
      <c r="U1393" s="40">
        <v>766727.94117647095</v>
      </c>
      <c r="V1393" s="40">
        <v>0</v>
      </c>
      <c r="W1393" s="45">
        <f>+SUM(N1393:V1393)</f>
        <v>1905825.9411764708</v>
      </c>
      <c r="X1393" s="46">
        <f>(W1393/L1393)*100</f>
        <v>24.899206374095314</v>
      </c>
    </row>
    <row r="1394" spans="1:24" s="4" customFormat="1" ht="15" customHeight="1">
      <c r="A1394" s="28" t="s">
        <v>2168</v>
      </c>
      <c r="B1394" s="29">
        <v>3271.01</v>
      </c>
      <c r="C1394" s="30" t="s">
        <v>2171</v>
      </c>
      <c r="D1394" s="2">
        <v>4950250825</v>
      </c>
      <c r="E1394" s="2" t="s">
        <v>24</v>
      </c>
      <c r="F1394" s="2" t="s">
        <v>2172</v>
      </c>
      <c r="G1394" s="28" t="s">
        <v>9</v>
      </c>
      <c r="H1394" s="2" t="s">
        <v>23</v>
      </c>
      <c r="I1394" s="2">
        <v>1</v>
      </c>
      <c r="J1394" s="2"/>
      <c r="K1394" s="2">
        <v>23443.8</v>
      </c>
      <c r="L1394" s="35">
        <f t="shared" ref="L1394:L1457" si="76">+B1394*K1394</f>
        <v>76684904.238000005</v>
      </c>
      <c r="M1394" s="36">
        <v>820</v>
      </c>
      <c r="N1394" s="40">
        <v>596307</v>
      </c>
      <c r="O1394" s="40">
        <v>569</v>
      </c>
      <c r="P1394" s="40">
        <v>0</v>
      </c>
      <c r="Q1394" s="40">
        <v>18453</v>
      </c>
      <c r="R1394" s="40">
        <v>101655</v>
      </c>
      <c r="S1394" s="40">
        <v>354356</v>
      </c>
      <c r="T1394" s="40"/>
      <c r="U1394" s="40">
        <v>555755.20317145705</v>
      </c>
      <c r="V1394" s="40">
        <v>0</v>
      </c>
      <c r="W1394" s="45">
        <f t="shared" ref="W1394:W1457" si="77">+SUM(N1394:V1394)</f>
        <v>1627095.2031714572</v>
      </c>
      <c r="X1394" s="46">
        <f t="shared" ref="X1394:X1457" si="78">(W1394/L1394)*100</f>
        <v>2.1217933559929723</v>
      </c>
    </row>
    <row r="1395" spans="1:24" s="4" customFormat="1" ht="15" customHeight="1">
      <c r="A1395" s="28" t="s">
        <v>2168</v>
      </c>
      <c r="B1395" s="29">
        <v>3271.01</v>
      </c>
      <c r="C1395" s="30" t="s">
        <v>2173</v>
      </c>
      <c r="D1395" s="2">
        <v>4949654740</v>
      </c>
      <c r="E1395" s="2" t="s">
        <v>14</v>
      </c>
      <c r="F1395" s="2" t="s">
        <v>2174</v>
      </c>
      <c r="G1395" s="28" t="s">
        <v>9</v>
      </c>
      <c r="H1395" s="2" t="s">
        <v>23</v>
      </c>
      <c r="I1395" s="2">
        <v>1</v>
      </c>
      <c r="J1395" s="2"/>
      <c r="K1395" s="2">
        <v>1327.36</v>
      </c>
      <c r="L1395" s="35">
        <f t="shared" si="76"/>
        <v>4341807.8335999995</v>
      </c>
      <c r="M1395" s="36">
        <v>1088</v>
      </c>
      <c r="N1395" s="40">
        <v>582472</v>
      </c>
      <c r="O1395" s="40">
        <v>727</v>
      </c>
      <c r="P1395" s="40">
        <v>111389</v>
      </c>
      <c r="Q1395" s="40">
        <v>23032</v>
      </c>
      <c r="R1395" s="40">
        <v>110263</v>
      </c>
      <c r="S1395" s="40">
        <v>354356</v>
      </c>
      <c r="T1395" s="40">
        <v>30000</v>
      </c>
      <c r="U1395" s="40">
        <v>737392.26957383496</v>
      </c>
      <c r="V1395" s="40">
        <v>0</v>
      </c>
      <c r="W1395" s="45">
        <f t="shared" si="77"/>
        <v>1949631.269573835</v>
      </c>
      <c r="X1395" s="46">
        <f t="shared" si="78"/>
        <v>44.903674789247937</v>
      </c>
    </row>
    <row r="1396" spans="1:24" s="4" customFormat="1" ht="15" customHeight="1">
      <c r="A1396" s="28" t="s">
        <v>2168</v>
      </c>
      <c r="B1396" s="29">
        <v>3271.01</v>
      </c>
      <c r="C1396" s="30" t="s">
        <v>2175</v>
      </c>
      <c r="D1396" s="2">
        <v>4950090417</v>
      </c>
      <c r="E1396" s="2" t="s">
        <v>14</v>
      </c>
      <c r="F1396" s="2" t="s">
        <v>2176</v>
      </c>
      <c r="G1396" s="28" t="s">
        <v>5</v>
      </c>
      <c r="H1396" s="2" t="s">
        <v>17</v>
      </c>
      <c r="I1396" s="2">
        <v>1</v>
      </c>
      <c r="J1396" s="2" t="s">
        <v>2177</v>
      </c>
      <c r="K1396" s="2">
        <v>963.2</v>
      </c>
      <c r="L1396" s="35">
        <f t="shared" si="76"/>
        <v>3150636.8320000004</v>
      </c>
      <c r="M1396" s="36">
        <f>160+260</f>
        <v>420</v>
      </c>
      <c r="N1396" s="40">
        <v>8969.0303867403309</v>
      </c>
      <c r="O1396" s="40">
        <v>8358.0773480662992</v>
      </c>
      <c r="P1396" s="40">
        <v>5807.1961325966804</v>
      </c>
      <c r="Q1396" s="40">
        <v>1920.3397790055201</v>
      </c>
      <c r="R1396" s="40">
        <v>14509</v>
      </c>
      <c r="S1396" s="40">
        <v>6852.1878453038698</v>
      </c>
      <c r="T1396" s="40">
        <v>30000</v>
      </c>
      <c r="U1396" s="40">
        <v>110009.254143646</v>
      </c>
      <c r="V1396" s="40">
        <v>0</v>
      </c>
      <c r="W1396" s="45">
        <f t="shared" si="77"/>
        <v>186425.0856353587</v>
      </c>
      <c r="X1396" s="46">
        <f t="shared" si="78"/>
        <v>5.917060441301877</v>
      </c>
    </row>
    <row r="1397" spans="1:24" s="4" customFormat="1" ht="15" customHeight="1">
      <c r="A1397" s="28" t="s">
        <v>2168</v>
      </c>
      <c r="B1397" s="29">
        <v>3271.01</v>
      </c>
      <c r="C1397" s="30" t="s">
        <v>2175</v>
      </c>
      <c r="D1397" s="2">
        <v>4949719612</v>
      </c>
      <c r="E1397" s="2" t="s">
        <v>14</v>
      </c>
      <c r="F1397" s="2" t="s">
        <v>2176</v>
      </c>
      <c r="G1397" s="28" t="s">
        <v>5</v>
      </c>
      <c r="H1397" s="2" t="s">
        <v>17</v>
      </c>
      <c r="I1397" s="2">
        <v>1</v>
      </c>
      <c r="J1397" s="2" t="s">
        <v>2177</v>
      </c>
      <c r="K1397" s="2">
        <v>42042</v>
      </c>
      <c r="L1397" s="35">
        <f t="shared" si="76"/>
        <v>137519802.42000002</v>
      </c>
      <c r="M1397" s="36">
        <v>4200</v>
      </c>
      <c r="N1397" s="40">
        <v>89690.303867403301</v>
      </c>
      <c r="O1397" s="40">
        <v>83580.773480663003</v>
      </c>
      <c r="P1397" s="40">
        <v>58071.961325966899</v>
      </c>
      <c r="Q1397" s="40">
        <v>19203.397790055202</v>
      </c>
      <c r="R1397" s="40">
        <v>145097</v>
      </c>
      <c r="S1397" s="40">
        <v>68521.878453038706</v>
      </c>
      <c r="T1397" s="40">
        <v>30000</v>
      </c>
      <c r="U1397" s="40">
        <v>1100092.5414364601</v>
      </c>
      <c r="V1397" s="40">
        <v>0</v>
      </c>
      <c r="W1397" s="45">
        <f t="shared" si="77"/>
        <v>1594257.8563535872</v>
      </c>
      <c r="X1397" s="46">
        <f t="shared" si="78"/>
        <v>1.1592933005274071</v>
      </c>
    </row>
    <row r="1398" spans="1:24" s="4" customFormat="1" ht="15" customHeight="1">
      <c r="A1398" s="28" t="s">
        <v>2168</v>
      </c>
      <c r="B1398" s="29">
        <v>3271.01</v>
      </c>
      <c r="C1398" s="30" t="s">
        <v>2175</v>
      </c>
      <c r="D1398" s="2">
        <v>4949719612</v>
      </c>
      <c r="E1398" s="2" t="s">
        <v>14</v>
      </c>
      <c r="F1398" s="2" t="s">
        <v>2176</v>
      </c>
      <c r="G1398" s="28" t="s">
        <v>5</v>
      </c>
      <c r="H1398" s="2" t="s">
        <v>17</v>
      </c>
      <c r="I1398" s="2">
        <v>1</v>
      </c>
      <c r="J1398" s="2" t="s">
        <v>2177</v>
      </c>
      <c r="K1398" s="2">
        <v>43750</v>
      </c>
      <c r="L1398" s="35">
        <f t="shared" si="76"/>
        <v>143106687.5</v>
      </c>
      <c r="M1398" s="36">
        <v>7000</v>
      </c>
      <c r="N1398" s="40">
        <v>149483.839779006</v>
      </c>
      <c r="O1398" s="40">
        <v>139301.289134438</v>
      </c>
      <c r="P1398" s="40">
        <v>96786.602209944802</v>
      </c>
      <c r="Q1398" s="40">
        <v>32005.662983425402</v>
      </c>
      <c r="R1398" s="40">
        <v>241829</v>
      </c>
      <c r="S1398" s="40">
        <v>114203.130755064</v>
      </c>
      <c r="T1398" s="40">
        <v>30000</v>
      </c>
      <c r="U1398" s="40">
        <v>1833487.5690607701</v>
      </c>
      <c r="V1398" s="40">
        <v>0</v>
      </c>
      <c r="W1398" s="45">
        <f t="shared" si="77"/>
        <v>2637097.0939226481</v>
      </c>
      <c r="X1398" s="46">
        <f t="shared" si="78"/>
        <v>1.8427490287081434</v>
      </c>
    </row>
    <row r="1399" spans="1:24" s="4" customFormat="1" ht="15" customHeight="1">
      <c r="A1399" s="28" t="s">
        <v>2168</v>
      </c>
      <c r="B1399" s="29">
        <v>3271.01</v>
      </c>
      <c r="C1399" s="30" t="s">
        <v>2175</v>
      </c>
      <c r="D1399" s="2">
        <v>4949532991</v>
      </c>
      <c r="E1399" s="2" t="s">
        <v>14</v>
      </c>
      <c r="F1399" s="2" t="s">
        <v>2176</v>
      </c>
      <c r="G1399" s="28" t="s">
        <v>5</v>
      </c>
      <c r="H1399" s="2" t="s">
        <v>17</v>
      </c>
      <c r="I1399" s="2">
        <v>1</v>
      </c>
      <c r="J1399" s="2" t="s">
        <v>2177</v>
      </c>
      <c r="K1399" s="2">
        <v>5678.4</v>
      </c>
      <c r="L1399" s="35">
        <f t="shared" si="76"/>
        <v>18574103.184</v>
      </c>
      <c r="M1399" s="36">
        <v>3120</v>
      </c>
      <c r="N1399" s="40">
        <v>66627.082872928193</v>
      </c>
      <c r="O1399" s="40">
        <v>62088.574585635397</v>
      </c>
      <c r="P1399" s="40">
        <v>43139.171270718201</v>
      </c>
      <c r="Q1399" s="40">
        <v>14265.381215469601</v>
      </c>
      <c r="R1399" s="40">
        <v>107786</v>
      </c>
      <c r="S1399" s="40">
        <v>50901.9668508287</v>
      </c>
      <c r="T1399" s="40">
        <v>30000</v>
      </c>
      <c r="U1399" s="40">
        <v>817211.60220994498</v>
      </c>
      <c r="V1399" s="40">
        <v>0</v>
      </c>
      <c r="W1399" s="45">
        <f t="shared" si="77"/>
        <v>1192019.7790055252</v>
      </c>
      <c r="X1399" s="46">
        <f t="shared" si="78"/>
        <v>6.4176437871431027</v>
      </c>
    </row>
    <row r="1400" spans="1:24" s="4" customFormat="1" ht="15" customHeight="1">
      <c r="A1400" s="28" t="s">
        <v>2168</v>
      </c>
      <c r="B1400" s="29">
        <v>3271.01</v>
      </c>
      <c r="C1400" s="30" t="s">
        <v>2175</v>
      </c>
      <c r="D1400" s="2">
        <v>4949366042</v>
      </c>
      <c r="E1400" s="2" t="s">
        <v>14</v>
      </c>
      <c r="F1400" s="2" t="s">
        <v>2176</v>
      </c>
      <c r="G1400" s="28" t="s">
        <v>5</v>
      </c>
      <c r="H1400" s="2" t="s">
        <v>17</v>
      </c>
      <c r="I1400" s="2">
        <v>1</v>
      </c>
      <c r="J1400" s="2" t="s">
        <v>2177</v>
      </c>
      <c r="K1400" s="2">
        <v>2562</v>
      </c>
      <c r="L1400" s="35">
        <f t="shared" si="76"/>
        <v>8380327.6200000001</v>
      </c>
      <c r="M1400" s="36">
        <v>525</v>
      </c>
      <c r="N1400" s="40">
        <v>11211.2879834254</v>
      </c>
      <c r="O1400" s="40">
        <v>10447.596685082901</v>
      </c>
      <c r="P1400" s="40">
        <v>7258.9951657458596</v>
      </c>
      <c r="Q1400" s="40">
        <v>2400.4247237569102</v>
      </c>
      <c r="R1400" s="40">
        <v>18137</v>
      </c>
      <c r="S1400" s="40">
        <v>8565.2348066298291</v>
      </c>
      <c r="T1400" s="40">
        <v>30000</v>
      </c>
      <c r="U1400" s="40">
        <v>137511.56767955801</v>
      </c>
      <c r="V1400" s="40">
        <v>0</v>
      </c>
      <c r="W1400" s="45">
        <f t="shared" si="77"/>
        <v>225532.1070441989</v>
      </c>
      <c r="X1400" s="46">
        <f t="shared" si="78"/>
        <v>2.6912087124846664</v>
      </c>
    </row>
    <row r="1401" spans="1:24" s="4" customFormat="1" ht="15" customHeight="1">
      <c r="A1401" s="28" t="s">
        <v>2168</v>
      </c>
      <c r="B1401" s="29">
        <v>3271.01</v>
      </c>
      <c r="C1401" s="30" t="s">
        <v>2175</v>
      </c>
      <c r="D1401" s="2">
        <v>4949416093</v>
      </c>
      <c r="E1401" s="2" t="s">
        <v>14</v>
      </c>
      <c r="F1401" s="2" t="s">
        <v>2176</v>
      </c>
      <c r="G1401" s="28" t="s">
        <v>5</v>
      </c>
      <c r="H1401" s="2" t="s">
        <v>17</v>
      </c>
      <c r="I1401" s="2">
        <v>1</v>
      </c>
      <c r="J1401" s="2" t="s">
        <v>2177</v>
      </c>
      <c r="K1401" s="2">
        <v>5124</v>
      </c>
      <c r="L1401" s="35">
        <f t="shared" si="76"/>
        <v>16760655.24</v>
      </c>
      <c r="M1401" s="36">
        <v>1050</v>
      </c>
      <c r="N1401" s="40">
        <v>22422.5759668508</v>
      </c>
      <c r="O1401" s="40">
        <v>20895.1933701657</v>
      </c>
      <c r="P1401" s="40">
        <v>14517.990331491699</v>
      </c>
      <c r="Q1401" s="40">
        <v>4800.8494475138104</v>
      </c>
      <c r="R1401" s="40">
        <v>36275</v>
      </c>
      <c r="S1401" s="40">
        <v>17130.469613259698</v>
      </c>
      <c r="T1401" s="40">
        <v>30000</v>
      </c>
      <c r="U1401" s="40">
        <v>275023.13535911602</v>
      </c>
      <c r="V1401" s="40">
        <v>0</v>
      </c>
      <c r="W1401" s="45">
        <f t="shared" si="77"/>
        <v>421065.21408839774</v>
      </c>
      <c r="X1401" s="46">
        <f t="shared" si="78"/>
        <v>2.5122240631947856</v>
      </c>
    </row>
    <row r="1402" spans="1:24" s="4" customFormat="1" ht="15" customHeight="1">
      <c r="A1402" s="28" t="s">
        <v>2168</v>
      </c>
      <c r="B1402" s="29">
        <v>3271.01</v>
      </c>
      <c r="C1402" s="30" t="s">
        <v>2175</v>
      </c>
      <c r="D1402" s="2">
        <v>4949662470</v>
      </c>
      <c r="E1402" s="2" t="s">
        <v>14</v>
      </c>
      <c r="F1402" s="2" t="s">
        <v>2176</v>
      </c>
      <c r="G1402" s="28" t="s">
        <v>5</v>
      </c>
      <c r="H1402" s="2" t="s">
        <v>17</v>
      </c>
      <c r="I1402" s="2">
        <v>1</v>
      </c>
      <c r="J1402" s="2" t="s">
        <v>2177</v>
      </c>
      <c r="K1402" s="2">
        <v>6848</v>
      </c>
      <c r="L1402" s="35">
        <f t="shared" si="76"/>
        <v>22399876.48</v>
      </c>
      <c r="M1402" s="36">
        <v>225</v>
      </c>
      <c r="N1402" s="40">
        <v>4804.8377071823197</v>
      </c>
      <c r="O1402" s="40">
        <v>4477.5414364640901</v>
      </c>
      <c r="P1402" s="40">
        <v>3110.9979281768001</v>
      </c>
      <c r="Q1402" s="40">
        <v>1028.7534530386699</v>
      </c>
      <c r="R1402" s="40">
        <v>7773</v>
      </c>
      <c r="S1402" s="40">
        <v>3670.8149171270702</v>
      </c>
      <c r="T1402" s="40">
        <v>30000</v>
      </c>
      <c r="U1402" s="40">
        <v>58933.529005524899</v>
      </c>
      <c r="V1402" s="40">
        <v>0</v>
      </c>
      <c r="W1402" s="45">
        <f t="shared" si="77"/>
        <v>113799.47444751384</v>
      </c>
      <c r="X1402" s="46">
        <f t="shared" si="78"/>
        <v>0.50803616952585018</v>
      </c>
    </row>
    <row r="1403" spans="1:24" s="4" customFormat="1" ht="15" customHeight="1">
      <c r="A1403" s="28" t="s">
        <v>2168</v>
      </c>
      <c r="B1403" s="29">
        <v>3271.01</v>
      </c>
      <c r="C1403" s="30" t="s">
        <v>2175</v>
      </c>
      <c r="D1403" s="2">
        <v>4949719627</v>
      </c>
      <c r="E1403" s="2" t="s">
        <v>14</v>
      </c>
      <c r="F1403" s="2" t="s">
        <v>2176</v>
      </c>
      <c r="G1403" s="28" t="s">
        <v>5</v>
      </c>
      <c r="H1403" s="2" t="s">
        <v>17</v>
      </c>
      <c r="I1403" s="2">
        <v>1</v>
      </c>
      <c r="J1403" s="2" t="s">
        <v>2177</v>
      </c>
      <c r="K1403" s="2">
        <v>13404.6</v>
      </c>
      <c r="L1403" s="35">
        <f t="shared" si="76"/>
        <v>43846580.646000005</v>
      </c>
      <c r="M1403" s="36">
        <v>1980</v>
      </c>
      <c r="N1403" s="40">
        <v>42282.571823204402</v>
      </c>
      <c r="O1403" s="40">
        <v>39402.364640884</v>
      </c>
      <c r="P1403" s="40">
        <v>27376.781767955799</v>
      </c>
      <c r="Q1403" s="40">
        <v>9053.0303867403309</v>
      </c>
      <c r="R1403" s="40">
        <v>68403</v>
      </c>
      <c r="S1403" s="40">
        <v>32303.171270718201</v>
      </c>
      <c r="T1403" s="40">
        <v>30000</v>
      </c>
      <c r="U1403" s="40">
        <v>518615.055248619</v>
      </c>
      <c r="V1403" s="40">
        <v>0</v>
      </c>
      <c r="W1403" s="45">
        <f t="shared" si="77"/>
        <v>767435.97513812175</v>
      </c>
      <c r="X1403" s="46">
        <f t="shared" si="78"/>
        <v>1.7502755376390626</v>
      </c>
    </row>
    <row r="1404" spans="1:24" s="4" customFormat="1" ht="15" customHeight="1">
      <c r="A1404" s="28" t="s">
        <v>2168</v>
      </c>
      <c r="B1404" s="29">
        <v>3271.01</v>
      </c>
      <c r="C1404" s="30" t="s">
        <v>2175</v>
      </c>
      <c r="D1404" s="2">
        <v>4950058257</v>
      </c>
      <c r="E1404" s="2" t="s">
        <v>14</v>
      </c>
      <c r="F1404" s="2" t="s">
        <v>2176</v>
      </c>
      <c r="G1404" s="28" t="s">
        <v>5</v>
      </c>
      <c r="H1404" s="2" t="s">
        <v>17</v>
      </c>
      <c r="I1404" s="2">
        <v>1</v>
      </c>
      <c r="J1404" s="2" t="s">
        <v>2177</v>
      </c>
      <c r="K1404" s="2">
        <v>8064</v>
      </c>
      <c r="L1404" s="35">
        <f t="shared" si="76"/>
        <v>26377424.640000001</v>
      </c>
      <c r="M1404" s="36">
        <v>3200</v>
      </c>
      <c r="N1404" s="40">
        <v>68335.469613259702</v>
      </c>
      <c r="O1404" s="40">
        <v>63680.589318600403</v>
      </c>
      <c r="P1404" s="40">
        <v>44245.303867403301</v>
      </c>
      <c r="Q1404" s="40">
        <v>14631.160220994499</v>
      </c>
      <c r="R1404" s="40">
        <v>110550</v>
      </c>
      <c r="S1404" s="40">
        <v>52207.145488029499</v>
      </c>
      <c r="T1404" s="40">
        <v>30000</v>
      </c>
      <c r="U1404" s="40">
        <v>838165.74585635401</v>
      </c>
      <c r="V1404" s="40">
        <v>0</v>
      </c>
      <c r="W1404" s="45">
        <f t="shared" si="77"/>
        <v>1221815.4143646415</v>
      </c>
      <c r="X1404" s="46">
        <f t="shared" si="78"/>
        <v>4.632049682787537</v>
      </c>
    </row>
    <row r="1405" spans="1:24" s="4" customFormat="1" ht="15" customHeight="1">
      <c r="A1405" s="28" t="s">
        <v>2168</v>
      </c>
      <c r="B1405" s="29">
        <v>3271.01</v>
      </c>
      <c r="C1405" s="30" t="s">
        <v>2178</v>
      </c>
      <c r="D1405" s="2">
        <v>4949681277</v>
      </c>
      <c r="E1405" s="2" t="s">
        <v>18</v>
      </c>
      <c r="F1405" s="2" t="s">
        <v>2179</v>
      </c>
      <c r="G1405" s="28" t="s">
        <v>5</v>
      </c>
      <c r="H1405" s="2" t="s">
        <v>32</v>
      </c>
      <c r="I1405" s="2">
        <v>1</v>
      </c>
      <c r="J1405" s="2" t="s">
        <v>2180</v>
      </c>
      <c r="K1405" s="2">
        <v>246720</v>
      </c>
      <c r="L1405" s="35">
        <f t="shared" si="76"/>
        <v>807023587.20000005</v>
      </c>
      <c r="M1405" s="36">
        <v>2400</v>
      </c>
      <c r="N1405" s="40">
        <v>124803.483870968</v>
      </c>
      <c r="O1405" s="40">
        <v>127540.25806451601</v>
      </c>
      <c r="P1405" s="40">
        <v>0</v>
      </c>
      <c r="Q1405" s="40">
        <v>38442.193548387098</v>
      </c>
      <c r="R1405" s="40">
        <v>561685</v>
      </c>
      <c r="S1405" s="40">
        <v>137170.064516129</v>
      </c>
      <c r="T1405" s="40">
        <v>30000</v>
      </c>
      <c r="U1405" s="40">
        <v>1020193.5483871</v>
      </c>
      <c r="V1405" s="40">
        <v>516774.19354838697</v>
      </c>
      <c r="W1405" s="45">
        <f t="shared" si="77"/>
        <v>2556608.7419354869</v>
      </c>
      <c r="X1405" s="46">
        <f t="shared" si="78"/>
        <v>0.31679479788264198</v>
      </c>
    </row>
    <row r="1406" spans="1:24" s="4" customFormat="1" ht="15" customHeight="1">
      <c r="A1406" s="28" t="s">
        <v>2168</v>
      </c>
      <c r="B1406" s="29">
        <v>3271.01</v>
      </c>
      <c r="C1406" s="30" t="s">
        <v>2178</v>
      </c>
      <c r="D1406" s="2">
        <v>4949662492</v>
      </c>
      <c r="E1406" s="2" t="s">
        <v>18</v>
      </c>
      <c r="F1406" s="2" t="s">
        <v>2179</v>
      </c>
      <c r="G1406" s="28" t="s">
        <v>5</v>
      </c>
      <c r="H1406" s="2" t="s">
        <v>32</v>
      </c>
      <c r="I1406" s="2">
        <v>1</v>
      </c>
      <c r="J1406" s="2" t="s">
        <v>2180</v>
      </c>
      <c r="K1406" s="2">
        <v>4674</v>
      </c>
      <c r="L1406" s="35">
        <f t="shared" si="76"/>
        <v>15288700.74</v>
      </c>
      <c r="M1406" s="36">
        <v>3800</v>
      </c>
      <c r="N1406" s="40">
        <v>197605.51612903201</v>
      </c>
      <c r="O1406" s="40">
        <v>201938.74193548399</v>
      </c>
      <c r="P1406" s="40">
        <v>0</v>
      </c>
      <c r="Q1406" s="40">
        <v>60866.806451612902</v>
      </c>
      <c r="R1406" s="40">
        <v>889334</v>
      </c>
      <c r="S1406" s="40">
        <v>217185.935483871</v>
      </c>
      <c r="T1406" s="40">
        <v>30000</v>
      </c>
      <c r="U1406" s="40">
        <v>1615306.4516129</v>
      </c>
      <c r="V1406" s="40">
        <v>818225.80645161297</v>
      </c>
      <c r="W1406" s="45">
        <f t="shared" si="77"/>
        <v>4030463.2580645131</v>
      </c>
      <c r="X1406" s="46">
        <f t="shared" si="78"/>
        <v>26.362366080719774</v>
      </c>
    </row>
    <row r="1407" spans="1:24" s="4" customFormat="1" ht="15" customHeight="1">
      <c r="A1407" s="28" t="s">
        <v>2168</v>
      </c>
      <c r="B1407" s="29">
        <v>3271.01</v>
      </c>
      <c r="C1407" s="30" t="s">
        <v>2181</v>
      </c>
      <c r="D1407" s="2">
        <v>4950058946</v>
      </c>
      <c r="E1407" s="2" t="s">
        <v>27</v>
      </c>
      <c r="F1407" s="2" t="s">
        <v>2182</v>
      </c>
      <c r="G1407" s="28" t="s">
        <v>5</v>
      </c>
      <c r="H1407" s="2" t="s">
        <v>17</v>
      </c>
      <c r="I1407" s="2">
        <v>1</v>
      </c>
      <c r="J1407" s="2" t="s">
        <v>2183</v>
      </c>
      <c r="K1407" s="2">
        <f>47190+28635.68</f>
        <v>75825.679999999993</v>
      </c>
      <c r="L1407" s="35">
        <f t="shared" si="76"/>
        <v>248026557.5368</v>
      </c>
      <c r="M1407" s="36">
        <f>13503.49+3807.957</f>
        <v>17311.447</v>
      </c>
      <c r="N1407" s="40">
        <v>325834.17671627901</v>
      </c>
      <c r="O1407" s="40">
        <v>538677.33247568097</v>
      </c>
      <c r="P1407" s="40">
        <v>0</v>
      </c>
      <c r="Q1407" s="40">
        <v>124135.924388663</v>
      </c>
      <c r="R1407" s="40">
        <v>827780</v>
      </c>
      <c r="S1407" s="40">
        <v>354352.92960736097</v>
      </c>
      <c r="T1407" s="40"/>
      <c r="U1407" s="40">
        <v>5640501.1262594704</v>
      </c>
      <c r="V1407" s="40">
        <v>0</v>
      </c>
      <c r="W1407" s="45">
        <f t="shared" si="77"/>
        <v>7811281.489447454</v>
      </c>
      <c r="X1407" s="46">
        <f t="shared" si="78"/>
        <v>3.1493730215920466</v>
      </c>
    </row>
    <row r="1408" spans="1:24" s="4" customFormat="1" ht="15" customHeight="1">
      <c r="A1408" s="28" t="s">
        <v>2168</v>
      </c>
      <c r="B1408" s="29">
        <v>3271.01</v>
      </c>
      <c r="C1408" s="30" t="s">
        <v>2181</v>
      </c>
      <c r="D1408" s="2">
        <v>4949339716</v>
      </c>
      <c r="E1408" s="2" t="s">
        <v>27</v>
      </c>
      <c r="F1408" s="2" t="s">
        <v>2182</v>
      </c>
      <c r="G1408" s="28" t="s">
        <v>5</v>
      </c>
      <c r="H1408" s="2" t="s">
        <v>17</v>
      </c>
      <c r="I1408" s="2">
        <v>1</v>
      </c>
      <c r="J1408" s="2" t="s">
        <v>2183</v>
      </c>
      <c r="K1408" s="2">
        <v>254.1</v>
      </c>
      <c r="L1408" s="35">
        <f t="shared" si="76"/>
        <v>831163.64100000006</v>
      </c>
      <c r="M1408" s="36">
        <v>0.15</v>
      </c>
      <c r="N1408" s="40">
        <v>2.8232837213112099</v>
      </c>
      <c r="O1408" s="40">
        <v>4.6675243191023901</v>
      </c>
      <c r="P1408" s="40">
        <v>0</v>
      </c>
      <c r="Q1408" s="40">
        <v>1.0756113373018099</v>
      </c>
      <c r="R1408" s="40">
        <v>7</v>
      </c>
      <c r="S1408" s="40">
        <v>3.0703926391077601</v>
      </c>
      <c r="T1408" s="40"/>
      <c r="U1408" s="40">
        <v>48.873740533585703</v>
      </c>
      <c r="V1408" s="40">
        <v>0</v>
      </c>
      <c r="W1408" s="45">
        <f t="shared" si="77"/>
        <v>67.510552550408875</v>
      </c>
      <c r="X1408" s="46">
        <f t="shared" si="78"/>
        <v>8.1224140735011857E-3</v>
      </c>
    </row>
    <row r="1409" spans="1:24" s="4" customFormat="1" ht="15" customHeight="1">
      <c r="A1409" s="28" t="s">
        <v>2168</v>
      </c>
      <c r="B1409" s="29">
        <v>3271.01</v>
      </c>
      <c r="C1409" s="30" t="s">
        <v>2184</v>
      </c>
      <c r="D1409" s="2">
        <v>4949389417</v>
      </c>
      <c r="E1409" s="2" t="s">
        <v>36</v>
      </c>
      <c r="F1409" s="2" t="s">
        <v>2185</v>
      </c>
      <c r="G1409" s="28" t="s">
        <v>5</v>
      </c>
      <c r="H1409" s="2" t="s">
        <v>26</v>
      </c>
      <c r="I1409" s="2">
        <v>1</v>
      </c>
      <c r="J1409" s="2" t="s">
        <v>2186</v>
      </c>
      <c r="K1409" s="2">
        <v>34232.57</v>
      </c>
      <c r="L1409" s="35">
        <f t="shared" si="76"/>
        <v>111975078.79570001</v>
      </c>
      <c r="M1409" s="36">
        <v>19821.987000000001</v>
      </c>
      <c r="N1409" s="40">
        <v>319544</v>
      </c>
      <c r="O1409" s="40">
        <v>402877</v>
      </c>
      <c r="P1409" s="40">
        <v>894722</v>
      </c>
      <c r="Q1409" s="40">
        <v>99309</v>
      </c>
      <c r="R1409" s="40">
        <v>496010</v>
      </c>
      <c r="S1409" s="40">
        <v>354356</v>
      </c>
      <c r="T1409" s="40"/>
      <c r="U1409" s="40">
        <v>0</v>
      </c>
      <c r="V1409" s="40">
        <v>0</v>
      </c>
      <c r="W1409" s="45">
        <f t="shared" si="77"/>
        <v>2566818</v>
      </c>
      <c r="X1409" s="46">
        <f t="shared" si="78"/>
        <v>2.2923118497493471</v>
      </c>
    </row>
    <row r="1410" spans="1:24" s="4" customFormat="1" ht="15" customHeight="1">
      <c r="A1410" s="28" t="s">
        <v>2168</v>
      </c>
      <c r="B1410" s="29">
        <v>3271.01</v>
      </c>
      <c r="C1410" s="30" t="s">
        <v>2187</v>
      </c>
      <c r="D1410" s="2">
        <v>4949389403</v>
      </c>
      <c r="E1410" s="2" t="s">
        <v>36</v>
      </c>
      <c r="F1410" s="2" t="s">
        <v>2188</v>
      </c>
      <c r="G1410" s="28" t="s">
        <v>5</v>
      </c>
      <c r="H1410" s="2" t="s">
        <v>26</v>
      </c>
      <c r="I1410" s="2">
        <v>3</v>
      </c>
      <c r="J1410" s="2" t="s">
        <v>2189</v>
      </c>
      <c r="K1410" s="2">
        <v>128229</v>
      </c>
      <c r="L1410" s="35">
        <f t="shared" si="76"/>
        <v>419438341.29000002</v>
      </c>
      <c r="M1410" s="36">
        <v>74987</v>
      </c>
      <c r="N1410" s="40">
        <v>1063533</v>
      </c>
      <c r="O1410" s="40">
        <v>1505915</v>
      </c>
      <c r="P1410" s="40">
        <v>3075606</v>
      </c>
      <c r="Q1410" s="40">
        <v>372411</v>
      </c>
      <c r="R1410" s="40">
        <v>1845426</v>
      </c>
      <c r="S1410" s="40">
        <v>354356</v>
      </c>
      <c r="T1410" s="40"/>
      <c r="U1410" s="40">
        <v>0</v>
      </c>
      <c r="V1410" s="40">
        <v>0</v>
      </c>
      <c r="W1410" s="45">
        <f t="shared" si="77"/>
        <v>8217247</v>
      </c>
      <c r="X1410" s="46">
        <f t="shared" si="78"/>
        <v>1.9591072610881295</v>
      </c>
    </row>
    <row r="1411" spans="1:24" s="4" customFormat="1" ht="15" customHeight="1">
      <c r="A1411" s="28" t="s">
        <v>2168</v>
      </c>
      <c r="B1411" s="29">
        <v>3271.01</v>
      </c>
      <c r="C1411" s="30" t="s">
        <v>2190</v>
      </c>
      <c r="D1411" s="2">
        <v>4950058946</v>
      </c>
      <c r="E1411" s="2" t="s">
        <v>27</v>
      </c>
      <c r="F1411" s="2" t="s">
        <v>2191</v>
      </c>
      <c r="G1411" s="28" t="s">
        <v>5</v>
      </c>
      <c r="H1411" s="2" t="s">
        <v>17</v>
      </c>
      <c r="I1411" s="2">
        <v>1</v>
      </c>
      <c r="J1411" s="2" t="s">
        <v>2192</v>
      </c>
      <c r="K1411" s="2">
        <v>56778.67</v>
      </c>
      <c r="L1411" s="35">
        <f t="shared" si="76"/>
        <v>185723597.3567</v>
      </c>
      <c r="M1411" s="36">
        <v>17326</v>
      </c>
      <c r="N1411" s="40">
        <v>330273</v>
      </c>
      <c r="O1411" s="40">
        <v>538682</v>
      </c>
      <c r="P1411" s="40">
        <v>192659</v>
      </c>
      <c r="Q1411" s="40">
        <v>124137</v>
      </c>
      <c r="R1411" s="40">
        <v>827655</v>
      </c>
      <c r="S1411" s="40">
        <v>354356</v>
      </c>
      <c r="T1411" s="40"/>
      <c r="U1411" s="40">
        <v>5042050</v>
      </c>
      <c r="V1411" s="40">
        <v>0</v>
      </c>
      <c r="W1411" s="45">
        <f t="shared" si="77"/>
        <v>7409812</v>
      </c>
      <c r="X1411" s="46">
        <f t="shared" si="78"/>
        <v>3.9896987272805968</v>
      </c>
    </row>
    <row r="1412" spans="1:24" s="4" customFormat="1" ht="15" customHeight="1">
      <c r="A1412" s="28" t="s">
        <v>2168</v>
      </c>
      <c r="B1412" s="29">
        <v>3271.01</v>
      </c>
      <c r="C1412" s="30" t="s">
        <v>2193</v>
      </c>
      <c r="D1412" s="2">
        <v>4950480493</v>
      </c>
      <c r="E1412" s="2" t="s">
        <v>33</v>
      </c>
      <c r="F1412" s="2" t="s">
        <v>2194</v>
      </c>
      <c r="G1412" s="28" t="s">
        <v>13</v>
      </c>
      <c r="H1412" s="2" t="s">
        <v>23</v>
      </c>
      <c r="I1412" s="2">
        <v>6</v>
      </c>
      <c r="J1412" s="2"/>
      <c r="K1412" s="2">
        <v>3477</v>
      </c>
      <c r="L1412" s="35">
        <f t="shared" si="76"/>
        <v>11373301.770000001</v>
      </c>
      <c r="M1412" s="36">
        <v>150</v>
      </c>
      <c r="N1412" s="40">
        <v>897563</v>
      </c>
      <c r="O1412" s="40">
        <v>0</v>
      </c>
      <c r="P1412" s="40">
        <v>369733</v>
      </c>
      <c r="Q1412" s="40">
        <v>0</v>
      </c>
      <c r="R1412" s="40">
        <v>5069</v>
      </c>
      <c r="S1412" s="40">
        <v>354356</v>
      </c>
      <c r="T1412" s="40"/>
      <c r="U1412" s="40">
        <v>246380</v>
      </c>
      <c r="V1412" s="40">
        <v>0</v>
      </c>
      <c r="W1412" s="45">
        <f t="shared" si="77"/>
        <v>1873101</v>
      </c>
      <c r="X1412" s="46">
        <f t="shared" si="78"/>
        <v>16.469280758387896</v>
      </c>
    </row>
    <row r="1413" spans="1:24" s="4" customFormat="1" ht="15" customHeight="1">
      <c r="A1413" s="28" t="s">
        <v>2168</v>
      </c>
      <c r="B1413" s="29">
        <v>3271.01</v>
      </c>
      <c r="C1413" s="30" t="s">
        <v>2195</v>
      </c>
      <c r="D1413" s="2">
        <v>4950210613</v>
      </c>
      <c r="E1413" s="2" t="s">
        <v>14</v>
      </c>
      <c r="F1413" s="2" t="s">
        <v>2196</v>
      </c>
      <c r="G1413" s="28" t="s">
        <v>5</v>
      </c>
      <c r="H1413" s="2" t="s">
        <v>17</v>
      </c>
      <c r="I1413" s="2">
        <v>1</v>
      </c>
      <c r="J1413" s="2" t="s">
        <v>2197</v>
      </c>
      <c r="K1413" s="2">
        <v>595.20000000000005</v>
      </c>
      <c r="L1413" s="35">
        <f t="shared" si="76"/>
        <v>1946905.1520000002</v>
      </c>
      <c r="M1413" s="36">
        <v>80</v>
      </c>
      <c r="N1413" s="40">
        <v>2734.5236051502102</v>
      </c>
      <c r="O1413" s="40">
        <v>2473.4592274678098</v>
      </c>
      <c r="P1413" s="40">
        <v>2645.9685264663799</v>
      </c>
      <c r="Q1413" s="40">
        <v>568.29184549356205</v>
      </c>
      <c r="R1413" s="40">
        <v>4355.5307582260402</v>
      </c>
      <c r="S1413" s="40">
        <v>2027.78826895565</v>
      </c>
      <c r="T1413" s="40">
        <v>30000</v>
      </c>
      <c r="U1413" s="40">
        <v>32277.825464949899</v>
      </c>
      <c r="V1413" s="40">
        <v>0</v>
      </c>
      <c r="W1413" s="45">
        <f t="shared" si="77"/>
        <v>77083.387696709557</v>
      </c>
      <c r="X1413" s="46">
        <f t="shared" si="78"/>
        <v>3.9592780170890185</v>
      </c>
    </row>
    <row r="1414" spans="1:24" s="4" customFormat="1" ht="15" customHeight="1">
      <c r="A1414" s="28" t="s">
        <v>2168</v>
      </c>
      <c r="B1414" s="29">
        <v>3271.01</v>
      </c>
      <c r="C1414" s="30" t="s">
        <v>2195</v>
      </c>
      <c r="D1414" s="2">
        <v>4949532994</v>
      </c>
      <c r="E1414" s="2" t="s">
        <v>14</v>
      </c>
      <c r="F1414" s="2" t="s">
        <v>2196</v>
      </c>
      <c r="G1414" s="28" t="s">
        <v>5</v>
      </c>
      <c r="H1414" s="2" t="s">
        <v>17</v>
      </c>
      <c r="I1414" s="2">
        <v>1</v>
      </c>
      <c r="J1414" s="2" t="s">
        <v>2197</v>
      </c>
      <c r="K1414" s="2">
        <f>35840+7168</f>
        <v>43008</v>
      </c>
      <c r="L1414" s="35">
        <f t="shared" si="76"/>
        <v>140679598.08000001</v>
      </c>
      <c r="M1414" s="36">
        <f>3500+700</f>
        <v>4200</v>
      </c>
      <c r="N1414" s="40">
        <v>143562.489270386</v>
      </c>
      <c r="O1414" s="40">
        <v>129856.60944206</v>
      </c>
      <c r="P1414" s="40">
        <v>138913.347639485</v>
      </c>
      <c r="Q1414" s="40">
        <v>29835.321888412</v>
      </c>
      <c r="R1414" s="40">
        <v>228691.364806867</v>
      </c>
      <c r="S1414" s="40">
        <v>106458.88412017201</v>
      </c>
      <c r="T1414" s="40">
        <v>30000</v>
      </c>
      <c r="U1414" s="40">
        <v>1694585.8369098699</v>
      </c>
      <c r="V1414" s="40">
        <v>0</v>
      </c>
      <c r="W1414" s="45">
        <f t="shared" si="77"/>
        <v>2501903.8540772516</v>
      </c>
      <c r="X1414" s="46">
        <f t="shared" si="78"/>
        <v>1.7784411444326835</v>
      </c>
    </row>
    <row r="1415" spans="1:24" s="4" customFormat="1" ht="15" customHeight="1">
      <c r="A1415" s="28" t="s">
        <v>2168</v>
      </c>
      <c r="B1415" s="29">
        <v>3271.01</v>
      </c>
      <c r="C1415" s="30" t="s">
        <v>2195</v>
      </c>
      <c r="D1415" s="2">
        <v>4950057198</v>
      </c>
      <c r="E1415" s="2" t="s">
        <v>14</v>
      </c>
      <c r="F1415" s="2" t="s">
        <v>2196</v>
      </c>
      <c r="G1415" s="28" t="s">
        <v>5</v>
      </c>
      <c r="H1415" s="2" t="s">
        <v>17</v>
      </c>
      <c r="I1415" s="2">
        <v>1</v>
      </c>
      <c r="J1415" s="2" t="s">
        <v>2197</v>
      </c>
      <c r="K1415" s="2">
        <v>5019</v>
      </c>
      <c r="L1415" s="35">
        <f t="shared" si="76"/>
        <v>16417199.190000001</v>
      </c>
      <c r="M1415" s="36">
        <v>700</v>
      </c>
      <c r="N1415" s="40">
        <v>23927.0815450644</v>
      </c>
      <c r="O1415" s="40">
        <v>21642.768240343401</v>
      </c>
      <c r="P1415" s="40">
        <v>23152.224606580799</v>
      </c>
      <c r="Q1415" s="40">
        <v>4972.5536480686696</v>
      </c>
      <c r="R1415" s="40">
        <v>38114.8941344778</v>
      </c>
      <c r="S1415" s="40">
        <v>17743.147353361899</v>
      </c>
      <c r="T1415" s="40">
        <v>30000</v>
      </c>
      <c r="U1415" s="40">
        <v>282430.972818312</v>
      </c>
      <c r="V1415" s="40">
        <v>0</v>
      </c>
      <c r="W1415" s="45">
        <f t="shared" si="77"/>
        <v>441983.64234620897</v>
      </c>
      <c r="X1415" s="46">
        <f t="shared" si="78"/>
        <v>2.6921988168080997</v>
      </c>
    </row>
    <row r="1416" spans="1:24" s="4" customFormat="1" ht="15" customHeight="1">
      <c r="A1416" s="28" t="s">
        <v>2168</v>
      </c>
      <c r="B1416" s="29">
        <v>3271.01</v>
      </c>
      <c r="C1416" s="30" t="s">
        <v>2195</v>
      </c>
      <c r="D1416" s="2">
        <v>4949587530</v>
      </c>
      <c r="E1416" s="2" t="s">
        <v>14</v>
      </c>
      <c r="F1416" s="2" t="s">
        <v>2196</v>
      </c>
      <c r="G1416" s="28" t="s">
        <v>5</v>
      </c>
      <c r="H1416" s="2" t="s">
        <v>17</v>
      </c>
      <c r="I1416" s="2">
        <v>1</v>
      </c>
      <c r="J1416" s="2" t="s">
        <v>2197</v>
      </c>
      <c r="K1416" s="2">
        <v>2583</v>
      </c>
      <c r="L1416" s="35">
        <f t="shared" si="76"/>
        <v>8449018.8300000001</v>
      </c>
      <c r="M1416" s="36">
        <v>525</v>
      </c>
      <c r="N1416" s="40">
        <v>17945.3111587983</v>
      </c>
      <c r="O1416" s="40">
        <v>16232.0761802575</v>
      </c>
      <c r="P1416" s="40">
        <v>17364.1684549356</v>
      </c>
      <c r="Q1416" s="40">
        <v>3729.4152360515</v>
      </c>
      <c r="R1416" s="40">
        <v>28586.670600858401</v>
      </c>
      <c r="S1416" s="40">
        <v>13307.360515021501</v>
      </c>
      <c r="T1416" s="40">
        <v>30000</v>
      </c>
      <c r="U1416" s="40">
        <v>211823.229613734</v>
      </c>
      <c r="V1416" s="40">
        <v>0</v>
      </c>
      <c r="W1416" s="45">
        <f t="shared" si="77"/>
        <v>338988.2317596568</v>
      </c>
      <c r="X1416" s="46">
        <f t="shared" si="78"/>
        <v>4.0121609216446359</v>
      </c>
    </row>
    <row r="1417" spans="1:24" s="4" customFormat="1" ht="15" customHeight="1">
      <c r="A1417" s="28" t="s">
        <v>2168</v>
      </c>
      <c r="B1417" s="29">
        <v>3271.01</v>
      </c>
      <c r="C1417" s="30" t="s">
        <v>2195</v>
      </c>
      <c r="D1417" s="2">
        <v>4949532982</v>
      </c>
      <c r="E1417" s="2" t="s">
        <v>14</v>
      </c>
      <c r="F1417" s="2" t="s">
        <v>2196</v>
      </c>
      <c r="G1417" s="28" t="s">
        <v>5</v>
      </c>
      <c r="H1417" s="2" t="s">
        <v>17</v>
      </c>
      <c r="I1417" s="2">
        <v>1</v>
      </c>
      <c r="J1417" s="2" t="s">
        <v>2197</v>
      </c>
      <c r="K1417" s="2">
        <v>11292.75</v>
      </c>
      <c r="L1417" s="35">
        <f t="shared" si="76"/>
        <v>36938698.177500002</v>
      </c>
      <c r="M1417" s="36">
        <v>1575</v>
      </c>
      <c r="N1417" s="40">
        <v>53835.933476394799</v>
      </c>
      <c r="O1417" s="40">
        <v>48696.228540772499</v>
      </c>
      <c r="P1417" s="40">
        <v>52092.505364806901</v>
      </c>
      <c r="Q1417" s="40">
        <v>11188.2457081545</v>
      </c>
      <c r="R1417" s="40">
        <v>85750.0118025751</v>
      </c>
      <c r="S1417" s="40">
        <v>39922.0815450644</v>
      </c>
      <c r="T1417" s="40">
        <v>30000</v>
      </c>
      <c r="U1417" s="40">
        <v>635469.68884120195</v>
      </c>
      <c r="V1417" s="40">
        <v>0</v>
      </c>
      <c r="W1417" s="45">
        <f t="shared" si="77"/>
        <v>956954.69527897006</v>
      </c>
      <c r="X1417" s="46">
        <f t="shared" si="78"/>
        <v>2.5906562561586637</v>
      </c>
    </row>
    <row r="1418" spans="1:24" s="4" customFormat="1" ht="15" customHeight="1">
      <c r="A1418" s="28" t="s">
        <v>2168</v>
      </c>
      <c r="B1418" s="29">
        <v>3271.01</v>
      </c>
      <c r="C1418" s="30" t="s">
        <v>2195</v>
      </c>
      <c r="D1418" s="2">
        <v>4950090428</v>
      </c>
      <c r="E1418" s="2" t="s">
        <v>14</v>
      </c>
      <c r="F1418" s="2" t="s">
        <v>2196</v>
      </c>
      <c r="G1418" s="28" t="s">
        <v>5</v>
      </c>
      <c r="H1418" s="2" t="s">
        <v>17</v>
      </c>
      <c r="I1418" s="2">
        <v>1</v>
      </c>
      <c r="J1418" s="2" t="s">
        <v>2197</v>
      </c>
      <c r="K1418" s="2">
        <v>6703</v>
      </c>
      <c r="L1418" s="35">
        <f t="shared" si="76"/>
        <v>21925580.030000001</v>
      </c>
      <c r="M1418" s="36">
        <f>1260+2520</f>
        <v>3780</v>
      </c>
      <c r="N1418" s="40">
        <v>129206.24034334801</v>
      </c>
      <c r="O1418" s="40">
        <v>116870.948497854</v>
      </c>
      <c r="P1418" s="40">
        <v>125022.01287553601</v>
      </c>
      <c r="Q1418" s="40">
        <v>26851.7896995708</v>
      </c>
      <c r="R1418" s="40">
        <v>205821.82832618</v>
      </c>
      <c r="S1418" s="40">
        <v>95812.9957081545</v>
      </c>
      <c r="T1418" s="40">
        <v>30000</v>
      </c>
      <c r="U1418" s="40">
        <v>1525127.2532188799</v>
      </c>
      <c r="V1418" s="40">
        <v>0</v>
      </c>
      <c r="W1418" s="45">
        <f t="shared" si="77"/>
        <v>2254713.0686695231</v>
      </c>
      <c r="X1418" s="46">
        <f t="shared" si="78"/>
        <v>10.283481967567008</v>
      </c>
    </row>
    <row r="1419" spans="1:24" s="4" customFormat="1" ht="15" customHeight="1">
      <c r="A1419" s="28" t="s">
        <v>2168</v>
      </c>
      <c r="B1419" s="29">
        <v>3271.01</v>
      </c>
      <c r="C1419" s="30" t="s">
        <v>2195</v>
      </c>
      <c r="D1419" s="2">
        <v>4949532991</v>
      </c>
      <c r="E1419" s="2" t="s">
        <v>14</v>
      </c>
      <c r="F1419" s="2" t="s">
        <v>2196</v>
      </c>
      <c r="G1419" s="28" t="s">
        <v>5</v>
      </c>
      <c r="H1419" s="2" t="s">
        <v>17</v>
      </c>
      <c r="I1419" s="2">
        <v>1</v>
      </c>
      <c r="J1419" s="2" t="s">
        <v>2197</v>
      </c>
      <c r="K1419" s="2">
        <v>6177.6</v>
      </c>
      <c r="L1419" s="35">
        <f t="shared" si="76"/>
        <v>20206991.376000002</v>
      </c>
      <c r="M1419" s="36">
        <v>3120</v>
      </c>
      <c r="N1419" s="40">
        <v>106646.42060085799</v>
      </c>
      <c r="O1419" s="40">
        <v>96464.909871244599</v>
      </c>
      <c r="P1419" s="40">
        <v>103192.772532189</v>
      </c>
      <c r="Q1419" s="40">
        <v>22163.381974248899</v>
      </c>
      <c r="R1419" s="40">
        <v>169884.69957081499</v>
      </c>
      <c r="S1419" s="40">
        <v>79083.7424892704</v>
      </c>
      <c r="T1419" s="40">
        <v>30000</v>
      </c>
      <c r="U1419" s="40">
        <v>1258835.1931330501</v>
      </c>
      <c r="V1419" s="40">
        <v>0</v>
      </c>
      <c r="W1419" s="45">
        <f t="shared" si="77"/>
        <v>1866271.1201716759</v>
      </c>
      <c r="X1419" s="46">
        <f t="shared" si="78"/>
        <v>9.2357693703391206</v>
      </c>
    </row>
    <row r="1420" spans="1:24" s="4" customFormat="1" ht="15" customHeight="1">
      <c r="A1420" s="28" t="s">
        <v>2168</v>
      </c>
      <c r="B1420" s="29">
        <v>3271.01</v>
      </c>
      <c r="C1420" s="30" t="s">
        <v>2198</v>
      </c>
      <c r="D1420" s="2">
        <v>4947225886</v>
      </c>
      <c r="E1420" s="2" t="s">
        <v>6</v>
      </c>
      <c r="F1420" s="2" t="s">
        <v>2199</v>
      </c>
      <c r="G1420" s="28" t="s">
        <v>9</v>
      </c>
      <c r="H1420" s="2" t="s">
        <v>23</v>
      </c>
      <c r="I1420" s="2">
        <v>4</v>
      </c>
      <c r="J1420" s="2"/>
      <c r="K1420" s="2">
        <v>60576</v>
      </c>
      <c r="L1420" s="35">
        <f t="shared" si="76"/>
        <v>198144701.76000002</v>
      </c>
      <c r="M1420" s="36">
        <v>1920</v>
      </c>
      <c r="N1420" s="40">
        <v>824899</v>
      </c>
      <c r="O1420" s="40">
        <v>1549</v>
      </c>
      <c r="P1420" s="40">
        <v>29712</v>
      </c>
      <c r="Q1420" s="40">
        <v>48543</v>
      </c>
      <c r="R1420" s="40">
        <v>133010</v>
      </c>
      <c r="S1420" s="40">
        <v>354356</v>
      </c>
      <c r="T1420" s="40">
        <v>30000</v>
      </c>
      <c r="U1420" s="40">
        <v>1367700</v>
      </c>
      <c r="V1420" s="40">
        <v>0</v>
      </c>
      <c r="W1420" s="45">
        <f t="shared" si="77"/>
        <v>2789769</v>
      </c>
      <c r="X1420" s="46">
        <f t="shared" si="78"/>
        <v>1.4079452921123616</v>
      </c>
    </row>
    <row r="1421" spans="1:24" s="4" customFormat="1" ht="15" customHeight="1">
      <c r="A1421" s="28" t="s">
        <v>2168</v>
      </c>
      <c r="B1421" s="29">
        <v>3271.01</v>
      </c>
      <c r="C1421" s="30" t="s">
        <v>2200</v>
      </c>
      <c r="D1421" s="2">
        <v>4949681926</v>
      </c>
      <c r="E1421" s="2" t="s">
        <v>14</v>
      </c>
      <c r="F1421" s="2" t="s">
        <v>2201</v>
      </c>
      <c r="G1421" s="28" t="s">
        <v>5</v>
      </c>
      <c r="H1421" s="2" t="s">
        <v>17</v>
      </c>
      <c r="I1421" s="2">
        <v>1</v>
      </c>
      <c r="J1421" s="2" t="s">
        <v>2202</v>
      </c>
      <c r="K1421" s="2">
        <v>7962</v>
      </c>
      <c r="L1421" s="35">
        <f t="shared" si="76"/>
        <v>26043781.620000001</v>
      </c>
      <c r="M1421" s="36">
        <v>600</v>
      </c>
      <c r="N1421" s="40">
        <v>11301.0436270317</v>
      </c>
      <c r="O1421" s="40">
        <v>14789.974337040199</v>
      </c>
      <c r="P1421" s="40">
        <v>6592.2668947818602</v>
      </c>
      <c r="Q1421" s="40">
        <v>3398.08383233533</v>
      </c>
      <c r="R1421" s="40">
        <v>27865.349871685201</v>
      </c>
      <c r="S1421" s="40">
        <v>12125.098374679201</v>
      </c>
      <c r="T1421" s="40">
        <v>30000</v>
      </c>
      <c r="U1421" s="40">
        <v>193004.277159966</v>
      </c>
      <c r="V1421" s="40">
        <v>0</v>
      </c>
      <c r="W1421" s="45">
        <f t="shared" si="77"/>
        <v>299076.09409751953</v>
      </c>
      <c r="X1421" s="46">
        <f t="shared" si="78"/>
        <v>1.1483589382728034</v>
      </c>
    </row>
    <row r="1422" spans="1:24" s="4" customFormat="1" ht="15" customHeight="1">
      <c r="A1422" s="28" t="s">
        <v>2168</v>
      </c>
      <c r="B1422" s="29">
        <v>3271.01</v>
      </c>
      <c r="C1422" s="30" t="s">
        <v>2200</v>
      </c>
      <c r="D1422" s="2">
        <v>4949719628</v>
      </c>
      <c r="E1422" s="2" t="s">
        <v>14</v>
      </c>
      <c r="F1422" s="2" t="s">
        <v>2201</v>
      </c>
      <c r="G1422" s="28" t="s">
        <v>5</v>
      </c>
      <c r="H1422" s="2" t="s">
        <v>17</v>
      </c>
      <c r="I1422" s="2">
        <v>1</v>
      </c>
      <c r="J1422" s="2" t="s">
        <v>2202</v>
      </c>
      <c r="K1422" s="2">
        <v>6372</v>
      </c>
      <c r="L1422" s="35">
        <f t="shared" si="76"/>
        <v>20842875.720000003</v>
      </c>
      <c r="M1422" s="36">
        <v>1800</v>
      </c>
      <c r="N1422" s="40">
        <v>33903.130881094999</v>
      </c>
      <c r="O1422" s="40">
        <v>44369.923011120598</v>
      </c>
      <c r="P1422" s="40">
        <v>19776.800684345599</v>
      </c>
      <c r="Q1422" s="40">
        <v>10194.251497006</v>
      </c>
      <c r="R1422" s="40">
        <v>83595.049615055599</v>
      </c>
      <c r="S1422" s="40">
        <v>36375.295124037599</v>
      </c>
      <c r="T1422" s="40">
        <v>30000</v>
      </c>
      <c r="U1422" s="40">
        <v>579012.83147989702</v>
      </c>
      <c r="V1422" s="40">
        <v>0</v>
      </c>
      <c r="W1422" s="45">
        <f t="shared" si="77"/>
        <v>837227.28229255741</v>
      </c>
      <c r="X1422" s="46">
        <f t="shared" si="78"/>
        <v>4.0168510983788437</v>
      </c>
    </row>
    <row r="1423" spans="1:24" s="4" customFormat="1" ht="15" customHeight="1">
      <c r="A1423" s="28" t="s">
        <v>2168</v>
      </c>
      <c r="B1423" s="29">
        <v>3271.01</v>
      </c>
      <c r="C1423" s="30" t="s">
        <v>2200</v>
      </c>
      <c r="D1423" s="2">
        <v>4950058261</v>
      </c>
      <c r="E1423" s="2" t="s">
        <v>14</v>
      </c>
      <c r="F1423" s="2" t="s">
        <v>2201</v>
      </c>
      <c r="G1423" s="28" t="s">
        <v>5</v>
      </c>
      <c r="H1423" s="2" t="s">
        <v>17</v>
      </c>
      <c r="I1423" s="2">
        <v>1</v>
      </c>
      <c r="J1423" s="2" t="s">
        <v>2202</v>
      </c>
      <c r="K1423" s="2">
        <v>3792</v>
      </c>
      <c r="L1423" s="35">
        <f t="shared" si="76"/>
        <v>12403669.92</v>
      </c>
      <c r="M1423" s="36">
        <v>400</v>
      </c>
      <c r="N1423" s="40">
        <v>7534.0290846877697</v>
      </c>
      <c r="O1423" s="40">
        <v>9859.9828913601395</v>
      </c>
      <c r="P1423" s="40">
        <v>4394.8445965212404</v>
      </c>
      <c r="Q1423" s="40">
        <v>2265.3892215568899</v>
      </c>
      <c r="R1423" s="40">
        <v>18576.2332477901</v>
      </c>
      <c r="S1423" s="40">
        <v>8083.3989164528102</v>
      </c>
      <c r="T1423" s="40">
        <v>30000</v>
      </c>
      <c r="U1423" s="40">
        <v>128669.518106644</v>
      </c>
      <c r="V1423" s="40">
        <v>0</v>
      </c>
      <c r="W1423" s="45">
        <f t="shared" si="77"/>
        <v>209383.39606501296</v>
      </c>
      <c r="X1423" s="46">
        <f t="shared" si="78"/>
        <v>1.6880761695165534</v>
      </c>
    </row>
    <row r="1424" spans="1:24" s="4" customFormat="1" ht="15" customHeight="1">
      <c r="A1424" s="28" t="s">
        <v>2168</v>
      </c>
      <c r="B1424" s="29">
        <v>3271.01</v>
      </c>
      <c r="C1424" s="30" t="s">
        <v>2200</v>
      </c>
      <c r="D1424" s="2">
        <v>4950058261</v>
      </c>
      <c r="E1424" s="2" t="s">
        <v>14</v>
      </c>
      <c r="F1424" s="2" t="s">
        <v>2201</v>
      </c>
      <c r="G1424" s="28" t="s">
        <v>5</v>
      </c>
      <c r="H1424" s="2" t="s">
        <v>17</v>
      </c>
      <c r="I1424" s="2">
        <v>1</v>
      </c>
      <c r="J1424" s="2" t="s">
        <v>2202</v>
      </c>
      <c r="K1424" s="2">
        <v>2767.5</v>
      </c>
      <c r="L1424" s="35">
        <f t="shared" si="76"/>
        <v>9052520.1750000007</v>
      </c>
      <c r="M1424" s="36">
        <v>675</v>
      </c>
      <c r="N1424" s="40">
        <v>12713.674080410599</v>
      </c>
      <c r="O1424" s="40">
        <v>16638.721129170201</v>
      </c>
      <c r="P1424" s="40">
        <v>7416.3002566296</v>
      </c>
      <c r="Q1424" s="40">
        <v>3822.8443113772501</v>
      </c>
      <c r="R1424" s="40">
        <v>31348.268605645899</v>
      </c>
      <c r="S1424" s="40">
        <v>13640.7356715141</v>
      </c>
      <c r="T1424" s="40">
        <v>30000</v>
      </c>
      <c r="U1424" s="40">
        <v>217129.811804962</v>
      </c>
      <c r="V1424" s="40">
        <v>0</v>
      </c>
      <c r="W1424" s="45">
        <f t="shared" si="77"/>
        <v>332710.35585970967</v>
      </c>
      <c r="X1424" s="46">
        <f t="shared" si="78"/>
        <v>3.6753340443089333</v>
      </c>
    </row>
    <row r="1425" spans="1:24" s="4" customFormat="1" ht="15" customHeight="1">
      <c r="A1425" s="28" t="s">
        <v>2168</v>
      </c>
      <c r="B1425" s="29">
        <v>3271.01</v>
      </c>
      <c r="C1425" s="30" t="s">
        <v>2200</v>
      </c>
      <c r="D1425" s="2">
        <v>4949532995</v>
      </c>
      <c r="E1425" s="2" t="s">
        <v>14</v>
      </c>
      <c r="F1425" s="2" t="s">
        <v>2201</v>
      </c>
      <c r="G1425" s="28" t="s">
        <v>5</v>
      </c>
      <c r="H1425" s="2" t="s">
        <v>17</v>
      </c>
      <c r="I1425" s="2">
        <v>1</v>
      </c>
      <c r="J1425" s="2" t="s">
        <v>2202</v>
      </c>
      <c r="K1425" s="2">
        <v>2745.6</v>
      </c>
      <c r="L1425" s="35">
        <f t="shared" si="76"/>
        <v>8980885.0559999999</v>
      </c>
      <c r="M1425" s="36">
        <v>1320</v>
      </c>
      <c r="N1425" s="40">
        <v>24862.2959794696</v>
      </c>
      <c r="O1425" s="40">
        <v>32537.943541488501</v>
      </c>
      <c r="P1425" s="40">
        <v>14502.9871685201</v>
      </c>
      <c r="Q1425" s="40">
        <v>7475.7844311377203</v>
      </c>
      <c r="R1425" s="40">
        <v>61303.569717707403</v>
      </c>
      <c r="S1425" s="40">
        <v>26675.2164242943</v>
      </c>
      <c r="T1425" s="40">
        <v>30000</v>
      </c>
      <c r="U1425" s="40">
        <v>424609.40975192498</v>
      </c>
      <c r="V1425" s="40">
        <v>0</v>
      </c>
      <c r="W1425" s="45">
        <f t="shared" si="77"/>
        <v>621967.20701454266</v>
      </c>
      <c r="X1425" s="46">
        <f t="shared" si="78"/>
        <v>6.9254555997130289</v>
      </c>
    </row>
    <row r="1426" spans="1:24" s="4" customFormat="1" ht="15" customHeight="1">
      <c r="A1426" s="28" t="s">
        <v>2168</v>
      </c>
      <c r="B1426" s="29">
        <v>3271.01</v>
      </c>
      <c r="C1426" s="30" t="s">
        <v>2200</v>
      </c>
      <c r="D1426" s="2">
        <v>4949532995</v>
      </c>
      <c r="E1426" s="2" t="s">
        <v>14</v>
      </c>
      <c r="F1426" s="2" t="s">
        <v>2201</v>
      </c>
      <c r="G1426" s="28" t="s">
        <v>5</v>
      </c>
      <c r="H1426" s="2" t="s">
        <v>17</v>
      </c>
      <c r="I1426" s="2">
        <v>1</v>
      </c>
      <c r="J1426" s="2" t="s">
        <v>2202</v>
      </c>
      <c r="K1426" s="2">
        <v>8738.4</v>
      </c>
      <c r="L1426" s="35">
        <f t="shared" si="76"/>
        <v>28583393.784000002</v>
      </c>
      <c r="M1426" s="36">
        <v>1320</v>
      </c>
      <c r="N1426" s="40">
        <v>24862.2959794696</v>
      </c>
      <c r="O1426" s="40">
        <v>32537.943541488501</v>
      </c>
      <c r="P1426" s="40">
        <v>14502.9871685201</v>
      </c>
      <c r="Q1426" s="40">
        <v>7475.7844311377203</v>
      </c>
      <c r="R1426" s="40">
        <v>61303.569717707403</v>
      </c>
      <c r="S1426" s="40">
        <v>26675.2164242943</v>
      </c>
      <c r="T1426" s="40">
        <v>30000</v>
      </c>
      <c r="U1426" s="40">
        <v>424609.40975192498</v>
      </c>
      <c r="V1426" s="40">
        <v>0</v>
      </c>
      <c r="W1426" s="45">
        <f t="shared" si="77"/>
        <v>621967.20701454266</v>
      </c>
      <c r="X1426" s="46">
        <f t="shared" si="78"/>
        <v>2.1759739648645167</v>
      </c>
    </row>
    <row r="1427" spans="1:24" s="4" customFormat="1" ht="15" customHeight="1">
      <c r="A1427" s="28" t="s">
        <v>2168</v>
      </c>
      <c r="B1427" s="29">
        <v>3271.01</v>
      </c>
      <c r="C1427" s="30" t="s">
        <v>2200</v>
      </c>
      <c r="D1427" s="2">
        <v>4949532995</v>
      </c>
      <c r="E1427" s="2" t="s">
        <v>14</v>
      </c>
      <c r="F1427" s="2" t="s">
        <v>2201</v>
      </c>
      <c r="G1427" s="28" t="s">
        <v>5</v>
      </c>
      <c r="H1427" s="2" t="s">
        <v>17</v>
      </c>
      <c r="I1427" s="2">
        <v>1</v>
      </c>
      <c r="J1427" s="2" t="s">
        <v>2202</v>
      </c>
      <c r="K1427" s="2">
        <f>21113.75+23336.25</f>
        <v>44450</v>
      </c>
      <c r="L1427" s="35">
        <f t="shared" si="76"/>
        <v>145396394.5</v>
      </c>
      <c r="M1427" s="36">
        <f>3325+3675</f>
        <v>7000</v>
      </c>
      <c r="N1427" s="40">
        <v>131845.508982036</v>
      </c>
      <c r="O1427" s="40">
        <v>172549.70059880201</v>
      </c>
      <c r="P1427" s="40">
        <v>76909.780439121794</v>
      </c>
      <c r="Q1427" s="40">
        <v>39644.311377245504</v>
      </c>
      <c r="R1427" s="40">
        <v>325093.08183632698</v>
      </c>
      <c r="S1427" s="40">
        <v>141459.48103792401</v>
      </c>
      <c r="T1427" s="40">
        <v>30000</v>
      </c>
      <c r="U1427" s="40">
        <v>2251716.5668662698</v>
      </c>
      <c r="V1427" s="40">
        <v>0</v>
      </c>
      <c r="W1427" s="45">
        <f t="shared" si="77"/>
        <v>3169218.4311377262</v>
      </c>
      <c r="X1427" s="46">
        <f t="shared" si="78"/>
        <v>2.1797090925371783</v>
      </c>
    </row>
    <row r="1428" spans="1:24" s="4" customFormat="1" ht="15" customHeight="1">
      <c r="A1428" s="28" t="s">
        <v>2168</v>
      </c>
      <c r="B1428" s="29">
        <v>3271.01</v>
      </c>
      <c r="C1428" s="30" t="s">
        <v>2200</v>
      </c>
      <c r="D1428" s="2">
        <v>4949532995</v>
      </c>
      <c r="E1428" s="2" t="s">
        <v>14</v>
      </c>
      <c r="F1428" s="2" t="s">
        <v>2201</v>
      </c>
      <c r="G1428" s="28" t="s">
        <v>5</v>
      </c>
      <c r="H1428" s="2" t="s">
        <v>17</v>
      </c>
      <c r="I1428" s="2">
        <v>1</v>
      </c>
      <c r="J1428" s="2" t="s">
        <v>2202</v>
      </c>
      <c r="K1428" s="2">
        <v>3978</v>
      </c>
      <c r="L1428" s="35">
        <f t="shared" si="76"/>
        <v>13012077.780000001</v>
      </c>
      <c r="M1428" s="36">
        <v>900</v>
      </c>
      <c r="N1428" s="40">
        <v>16951.5654405475</v>
      </c>
      <c r="O1428" s="40">
        <v>22184.961505560299</v>
      </c>
      <c r="P1428" s="40">
        <v>9888.4003421727994</v>
      </c>
      <c r="Q1428" s="40">
        <v>5097.1257485029901</v>
      </c>
      <c r="R1428" s="40">
        <v>41798.0248075278</v>
      </c>
      <c r="S1428" s="40">
        <v>18187.647562018799</v>
      </c>
      <c r="T1428" s="40">
        <v>30000</v>
      </c>
      <c r="U1428" s="40">
        <v>289506.41573994898</v>
      </c>
      <c r="V1428" s="40">
        <v>0</v>
      </c>
      <c r="W1428" s="45">
        <f t="shared" si="77"/>
        <v>433614.14114627917</v>
      </c>
      <c r="X1428" s="46">
        <f t="shared" si="78"/>
        <v>3.3323973963079028</v>
      </c>
    </row>
    <row r="1429" spans="1:24" s="4" customFormat="1" ht="15" customHeight="1">
      <c r="A1429" s="28" t="s">
        <v>2168</v>
      </c>
      <c r="B1429" s="29">
        <v>3271.01</v>
      </c>
      <c r="C1429" s="30" t="s">
        <v>2200</v>
      </c>
      <c r="D1429" s="2">
        <v>4950058283</v>
      </c>
      <c r="E1429" s="2" t="s">
        <v>14</v>
      </c>
      <c r="F1429" s="2" t="s">
        <v>2201</v>
      </c>
      <c r="G1429" s="28" t="s">
        <v>5</v>
      </c>
      <c r="H1429" s="2" t="s">
        <v>17</v>
      </c>
      <c r="I1429" s="2">
        <v>1</v>
      </c>
      <c r="J1429" s="2" t="s">
        <v>2202</v>
      </c>
      <c r="K1429" s="2">
        <v>3840</v>
      </c>
      <c r="L1429" s="35">
        <f t="shared" si="76"/>
        <v>12560678.4</v>
      </c>
      <c r="M1429" s="36">
        <v>400</v>
      </c>
      <c r="N1429" s="40">
        <v>7534.0290846877697</v>
      </c>
      <c r="O1429" s="40">
        <v>9859.9828913601395</v>
      </c>
      <c r="P1429" s="40">
        <v>4394.8445965212404</v>
      </c>
      <c r="Q1429" s="40">
        <v>2265.3892215568899</v>
      </c>
      <c r="R1429" s="40">
        <v>18576.2332477901</v>
      </c>
      <c r="S1429" s="40">
        <v>8083.3989164528102</v>
      </c>
      <c r="T1429" s="40">
        <v>30000</v>
      </c>
      <c r="U1429" s="40">
        <v>128669.518106644</v>
      </c>
      <c r="V1429" s="40">
        <v>0</v>
      </c>
      <c r="W1429" s="45">
        <f t="shared" si="77"/>
        <v>209383.39606501296</v>
      </c>
      <c r="X1429" s="46">
        <f t="shared" si="78"/>
        <v>1.6669752173975965</v>
      </c>
    </row>
    <row r="1430" spans="1:24" s="4" customFormat="1" ht="15" customHeight="1">
      <c r="A1430" s="28" t="s">
        <v>2168</v>
      </c>
      <c r="B1430" s="29">
        <v>3271.01</v>
      </c>
      <c r="C1430" s="30" t="s">
        <v>2200</v>
      </c>
      <c r="D1430" s="2">
        <v>4950058283</v>
      </c>
      <c r="E1430" s="2" t="s">
        <v>14</v>
      </c>
      <c r="F1430" s="2" t="s">
        <v>2201</v>
      </c>
      <c r="G1430" s="28" t="s">
        <v>5</v>
      </c>
      <c r="H1430" s="2" t="s">
        <v>17</v>
      </c>
      <c r="I1430" s="2">
        <v>1</v>
      </c>
      <c r="J1430" s="2" t="s">
        <v>2202</v>
      </c>
      <c r="K1430" s="2">
        <v>2158.8000000000002</v>
      </c>
      <c r="L1430" s="35">
        <f t="shared" si="76"/>
        <v>7061456.3880000012</v>
      </c>
      <c r="M1430" s="36">
        <v>420</v>
      </c>
      <c r="N1430" s="40">
        <v>7910.7305389221601</v>
      </c>
      <c r="O1430" s="40">
        <v>10352.9820359281</v>
      </c>
      <c r="P1430" s="40">
        <v>4614.5868263473103</v>
      </c>
      <c r="Q1430" s="40">
        <v>2378.6586826347302</v>
      </c>
      <c r="R1430" s="40">
        <v>19505.5449101796</v>
      </c>
      <c r="S1430" s="40">
        <v>8487.5688622754496</v>
      </c>
      <c r="T1430" s="40">
        <v>30000</v>
      </c>
      <c r="U1430" s="40">
        <v>135102.994011976</v>
      </c>
      <c r="V1430" s="40">
        <v>0</v>
      </c>
      <c r="W1430" s="45">
        <f t="shared" si="77"/>
        <v>218353.06586826337</v>
      </c>
      <c r="X1430" s="46">
        <f t="shared" si="78"/>
        <v>3.0921817521853585</v>
      </c>
    </row>
    <row r="1431" spans="1:24" s="4" customFormat="1" ht="15" customHeight="1">
      <c r="A1431" s="28" t="s">
        <v>2168</v>
      </c>
      <c r="B1431" s="29">
        <v>3271.01</v>
      </c>
      <c r="C1431" s="30" t="s">
        <v>2200</v>
      </c>
      <c r="D1431" s="2">
        <v>4950272187</v>
      </c>
      <c r="E1431" s="2" t="s">
        <v>14</v>
      </c>
      <c r="F1431" s="2" t="s">
        <v>2201</v>
      </c>
      <c r="G1431" s="28" t="s">
        <v>5</v>
      </c>
      <c r="H1431" s="2" t="s">
        <v>17</v>
      </c>
      <c r="I1431" s="2">
        <v>1</v>
      </c>
      <c r="J1431" s="2" t="s">
        <v>2202</v>
      </c>
      <c r="K1431" s="2">
        <v>4410</v>
      </c>
      <c r="L1431" s="35">
        <f t="shared" si="76"/>
        <v>14425154.100000001</v>
      </c>
      <c r="M1431" s="36">
        <v>1800</v>
      </c>
      <c r="N1431" s="40">
        <v>33903.130881094999</v>
      </c>
      <c r="O1431" s="40">
        <v>44369.923011120598</v>
      </c>
      <c r="P1431" s="40">
        <v>19776.800684345599</v>
      </c>
      <c r="Q1431" s="40">
        <v>10194.251497006</v>
      </c>
      <c r="R1431" s="40">
        <v>83595.049615055599</v>
      </c>
      <c r="S1431" s="40">
        <v>36375.295124037599</v>
      </c>
      <c r="T1431" s="40">
        <v>30000</v>
      </c>
      <c r="U1431" s="40">
        <v>579012.83147989702</v>
      </c>
      <c r="V1431" s="40">
        <v>0</v>
      </c>
      <c r="W1431" s="45">
        <f t="shared" si="77"/>
        <v>837227.28229255741</v>
      </c>
      <c r="X1431" s="46">
        <f t="shared" si="78"/>
        <v>5.8039399543922885</v>
      </c>
    </row>
    <row r="1432" spans="1:24" s="4" customFormat="1" ht="15" customHeight="1">
      <c r="A1432" s="28" t="s">
        <v>2168</v>
      </c>
      <c r="B1432" s="29">
        <v>3271.01</v>
      </c>
      <c r="C1432" s="30" t="s">
        <v>2200</v>
      </c>
      <c r="D1432" s="2">
        <v>4949590086</v>
      </c>
      <c r="E1432" s="2" t="s">
        <v>14</v>
      </c>
      <c r="F1432" s="2" t="s">
        <v>2201</v>
      </c>
      <c r="G1432" s="28" t="s">
        <v>5</v>
      </c>
      <c r="H1432" s="2" t="s">
        <v>17</v>
      </c>
      <c r="I1432" s="2">
        <v>1</v>
      </c>
      <c r="J1432" s="2" t="s">
        <v>2202</v>
      </c>
      <c r="K1432" s="2">
        <v>2655</v>
      </c>
      <c r="L1432" s="35">
        <f t="shared" si="76"/>
        <v>8684531.5500000007</v>
      </c>
      <c r="M1432" s="36">
        <v>900</v>
      </c>
      <c r="N1432" s="40">
        <v>16951.5654405475</v>
      </c>
      <c r="O1432" s="40">
        <v>22184.961505560299</v>
      </c>
      <c r="P1432" s="40">
        <v>9888.4003421727994</v>
      </c>
      <c r="Q1432" s="40">
        <v>5097.1257485029901</v>
      </c>
      <c r="R1432" s="40">
        <v>41796.0248075278</v>
      </c>
      <c r="S1432" s="40">
        <v>18187.647562018799</v>
      </c>
      <c r="T1432" s="40">
        <v>30000</v>
      </c>
      <c r="U1432" s="40">
        <v>289506.41573994898</v>
      </c>
      <c r="V1432" s="40">
        <v>0</v>
      </c>
      <c r="W1432" s="45">
        <f t="shared" si="77"/>
        <v>433612.14114627917</v>
      </c>
      <c r="X1432" s="46">
        <f t="shared" si="78"/>
        <v>4.9929249338299559</v>
      </c>
    </row>
    <row r="1433" spans="1:24" s="4" customFormat="1" ht="15" customHeight="1">
      <c r="A1433" s="28" t="s">
        <v>2168</v>
      </c>
      <c r="B1433" s="29">
        <v>3271.01</v>
      </c>
      <c r="C1433" s="30" t="s">
        <v>2203</v>
      </c>
      <c r="D1433" s="2">
        <v>4950133489</v>
      </c>
      <c r="E1433" s="2" t="s">
        <v>18</v>
      </c>
      <c r="F1433" s="2" t="s">
        <v>2204</v>
      </c>
      <c r="G1433" s="28" t="s">
        <v>9</v>
      </c>
      <c r="H1433" s="2" t="s">
        <v>23</v>
      </c>
      <c r="I1433" s="2">
        <v>3</v>
      </c>
      <c r="J1433" s="2"/>
      <c r="K1433" s="2">
        <v>44050</v>
      </c>
      <c r="L1433" s="35">
        <f t="shared" si="76"/>
        <v>144087990.5</v>
      </c>
      <c r="M1433" s="36">
        <v>500</v>
      </c>
      <c r="N1433" s="40">
        <v>1521300</v>
      </c>
      <c r="O1433" s="40">
        <v>421</v>
      </c>
      <c r="P1433" s="40">
        <v>6707</v>
      </c>
      <c r="Q1433" s="40">
        <v>10685</v>
      </c>
      <c r="R1433" s="40">
        <v>99195.94</v>
      </c>
      <c r="S1433" s="40">
        <v>354356</v>
      </c>
      <c r="T1433" s="40">
        <v>30000</v>
      </c>
      <c r="U1433" s="40">
        <v>1367700</v>
      </c>
      <c r="V1433" s="40">
        <v>0</v>
      </c>
      <c r="W1433" s="45">
        <f t="shared" si="77"/>
        <v>3390364.94</v>
      </c>
      <c r="X1433" s="46">
        <f t="shared" si="78"/>
        <v>2.3529823188144192</v>
      </c>
    </row>
    <row r="1434" spans="1:24" s="4" customFormat="1" ht="15" customHeight="1">
      <c r="A1434" s="28" t="s">
        <v>2168</v>
      </c>
      <c r="B1434" s="29">
        <v>3271.01</v>
      </c>
      <c r="C1434" s="30" t="s">
        <v>2205</v>
      </c>
      <c r="D1434" s="2">
        <v>4949681915</v>
      </c>
      <c r="E1434" s="2" t="s">
        <v>14</v>
      </c>
      <c r="F1434" s="2" t="s">
        <v>2206</v>
      </c>
      <c r="G1434" s="28" t="s">
        <v>9</v>
      </c>
      <c r="H1434" s="2" t="s">
        <v>23</v>
      </c>
      <c r="I1434" s="2">
        <v>23</v>
      </c>
      <c r="J1434" s="2"/>
      <c r="K1434" s="2">
        <v>3036</v>
      </c>
      <c r="L1434" s="35">
        <f t="shared" si="76"/>
        <v>9930786.3600000013</v>
      </c>
      <c r="M1434" s="36">
        <v>600</v>
      </c>
      <c r="N1434" s="40">
        <v>84982.539130434801</v>
      </c>
      <c r="O1434" s="40">
        <v>408.91826086956502</v>
      </c>
      <c r="P1434" s="40">
        <v>113460.146086957</v>
      </c>
      <c r="Q1434" s="40">
        <v>12945.391304347801</v>
      </c>
      <c r="R1434" s="40">
        <v>14280.0834782609</v>
      </c>
      <c r="S1434" s="40">
        <v>14790.5113043478</v>
      </c>
      <c r="T1434" s="40">
        <v>30000</v>
      </c>
      <c r="U1434" s="40">
        <v>288267.130434783</v>
      </c>
      <c r="V1434" s="40">
        <v>0</v>
      </c>
      <c r="W1434" s="45">
        <f t="shared" si="77"/>
        <v>559134.7200000009</v>
      </c>
      <c r="X1434" s="46">
        <f t="shared" si="78"/>
        <v>5.6303166711160708</v>
      </c>
    </row>
    <row r="1435" spans="1:24" s="4" customFormat="1" ht="15" customHeight="1">
      <c r="A1435" s="28" t="s">
        <v>2168</v>
      </c>
      <c r="B1435" s="29">
        <v>3271.01</v>
      </c>
      <c r="C1435" s="30" t="s">
        <v>2205</v>
      </c>
      <c r="D1435" s="2">
        <v>4949681915</v>
      </c>
      <c r="E1435" s="2" t="s">
        <v>14</v>
      </c>
      <c r="F1435" s="2" t="s">
        <v>2206</v>
      </c>
      <c r="G1435" s="28" t="s">
        <v>9</v>
      </c>
      <c r="H1435" s="2" t="s">
        <v>23</v>
      </c>
      <c r="I1435" s="2">
        <v>23</v>
      </c>
      <c r="J1435" s="2"/>
      <c r="K1435" s="2">
        <v>5535</v>
      </c>
      <c r="L1435" s="35">
        <f t="shared" si="76"/>
        <v>18105040.350000001</v>
      </c>
      <c r="M1435" s="36">
        <v>1350</v>
      </c>
      <c r="N1435" s="40">
        <v>191210.713043478</v>
      </c>
      <c r="O1435" s="40">
        <v>920.06608695652199</v>
      </c>
      <c r="P1435" s="40">
        <v>255285.32869565199</v>
      </c>
      <c r="Q1435" s="40">
        <v>29127.130434782601</v>
      </c>
      <c r="R1435" s="40">
        <v>32130.187826087</v>
      </c>
      <c r="S1435" s="40">
        <v>33278.650434782598</v>
      </c>
      <c r="T1435" s="40">
        <v>30000</v>
      </c>
      <c r="U1435" s="40">
        <v>648601.04347826098</v>
      </c>
      <c r="V1435" s="40">
        <v>0</v>
      </c>
      <c r="W1435" s="45">
        <f t="shared" si="77"/>
        <v>1220553.1199999996</v>
      </c>
      <c r="X1435" s="46">
        <f t="shared" si="78"/>
        <v>6.7415100789874769</v>
      </c>
    </row>
    <row r="1436" spans="1:24" s="4" customFormat="1" ht="15" customHeight="1">
      <c r="A1436" s="28" t="s">
        <v>2168</v>
      </c>
      <c r="B1436" s="29">
        <v>3271.01</v>
      </c>
      <c r="C1436" s="30" t="s">
        <v>2205</v>
      </c>
      <c r="D1436" s="2">
        <v>4949681915</v>
      </c>
      <c r="E1436" s="2" t="s">
        <v>14</v>
      </c>
      <c r="F1436" s="2" t="s">
        <v>2206</v>
      </c>
      <c r="G1436" s="28" t="s">
        <v>9</v>
      </c>
      <c r="H1436" s="2" t="s">
        <v>23</v>
      </c>
      <c r="I1436" s="2">
        <v>23</v>
      </c>
      <c r="J1436" s="2"/>
      <c r="K1436" s="2">
        <v>8568</v>
      </c>
      <c r="L1436" s="35">
        <f t="shared" si="76"/>
        <v>28026013.680000003</v>
      </c>
      <c r="M1436" s="36">
        <v>1575</v>
      </c>
      <c r="N1436" s="40">
        <v>223079.16521739101</v>
      </c>
      <c r="O1436" s="40">
        <v>1073.4104347826101</v>
      </c>
      <c r="P1436" s="40">
        <v>297832.88347826101</v>
      </c>
      <c r="Q1436" s="40">
        <v>33981.652173912997</v>
      </c>
      <c r="R1436" s="40">
        <v>37485.219130434802</v>
      </c>
      <c r="S1436" s="40">
        <v>38825.092173912999</v>
      </c>
      <c r="T1436" s="40">
        <v>30000</v>
      </c>
      <c r="U1436" s="40">
        <v>756701.21739130397</v>
      </c>
      <c r="V1436" s="40">
        <v>0</v>
      </c>
      <c r="W1436" s="45">
        <f t="shared" si="77"/>
        <v>1418978.6399999994</v>
      </c>
      <c r="X1436" s="46">
        <f t="shared" si="78"/>
        <v>5.0630769548671655</v>
      </c>
    </row>
    <row r="1437" spans="1:24" s="4" customFormat="1" ht="15" customHeight="1">
      <c r="A1437" s="28" t="s">
        <v>2168</v>
      </c>
      <c r="B1437" s="29">
        <v>3271.01</v>
      </c>
      <c r="C1437" s="30" t="s">
        <v>2205</v>
      </c>
      <c r="D1437" s="2">
        <v>4948892177</v>
      </c>
      <c r="E1437" s="2" t="s">
        <v>14</v>
      </c>
      <c r="F1437" s="2" t="s">
        <v>2206</v>
      </c>
      <c r="G1437" s="28" t="s">
        <v>9</v>
      </c>
      <c r="H1437" s="2" t="s">
        <v>23</v>
      </c>
      <c r="I1437" s="2">
        <v>23</v>
      </c>
      <c r="J1437" s="2"/>
      <c r="K1437" s="2">
        <v>11840</v>
      </c>
      <c r="L1437" s="35">
        <f t="shared" si="76"/>
        <v>38728758.400000006</v>
      </c>
      <c r="M1437" s="36">
        <v>8000</v>
      </c>
      <c r="N1437" s="40">
        <v>1133100.5217391299</v>
      </c>
      <c r="O1437" s="40">
        <v>5452.2434782608698</v>
      </c>
      <c r="P1437" s="40">
        <v>1512801.94782609</v>
      </c>
      <c r="Q1437" s="40">
        <v>172605.217391304</v>
      </c>
      <c r="R1437" s="40">
        <v>190401.11304347799</v>
      </c>
      <c r="S1437" s="40">
        <v>197206.81739130401</v>
      </c>
      <c r="T1437" s="40">
        <v>30000</v>
      </c>
      <c r="U1437" s="40">
        <v>3843561.7391304402</v>
      </c>
      <c r="V1437" s="40">
        <v>0</v>
      </c>
      <c r="W1437" s="45">
        <f t="shared" si="77"/>
        <v>7085129.6000000071</v>
      </c>
      <c r="X1437" s="46">
        <f t="shared" si="78"/>
        <v>18.294233775384871</v>
      </c>
    </row>
    <row r="1438" spans="1:24" s="4" customFormat="1" ht="15" customHeight="1">
      <c r="A1438" s="28" t="s">
        <v>2168</v>
      </c>
      <c r="B1438" s="29">
        <v>3271.01</v>
      </c>
      <c r="C1438" s="30" t="s">
        <v>2205</v>
      </c>
      <c r="D1438" s="2">
        <v>4949532979</v>
      </c>
      <c r="E1438" s="2" t="s">
        <v>14</v>
      </c>
      <c r="F1438" s="2" t="s">
        <v>2206</v>
      </c>
      <c r="G1438" s="28" t="s">
        <v>9</v>
      </c>
      <c r="H1438" s="2" t="s">
        <v>23</v>
      </c>
      <c r="I1438" s="2">
        <v>23</v>
      </c>
      <c r="J1438" s="2"/>
      <c r="K1438" s="2">
        <v>2361.6</v>
      </c>
      <c r="L1438" s="35">
        <f t="shared" si="76"/>
        <v>7724817.216</v>
      </c>
      <c r="M1438" s="36">
        <v>820</v>
      </c>
      <c r="N1438" s="40">
        <v>116142.803478261</v>
      </c>
      <c r="O1438" s="40">
        <v>558.85495652173904</v>
      </c>
      <c r="P1438" s="40">
        <v>155062.19965217399</v>
      </c>
      <c r="Q1438" s="40">
        <v>17692.034782608702</v>
      </c>
      <c r="R1438" s="40">
        <v>19516.114086956499</v>
      </c>
      <c r="S1438" s="40">
        <v>20213.698782608699</v>
      </c>
      <c r="T1438" s="40">
        <v>30000</v>
      </c>
      <c r="U1438" s="40">
        <v>393965.07826087001</v>
      </c>
      <c r="V1438" s="40">
        <v>0</v>
      </c>
      <c r="W1438" s="45">
        <f t="shared" si="77"/>
        <v>753150.78400000068</v>
      </c>
      <c r="X1438" s="46">
        <f t="shared" si="78"/>
        <v>9.7497554044390817</v>
      </c>
    </row>
    <row r="1439" spans="1:24" s="4" customFormat="1" ht="15" customHeight="1">
      <c r="A1439" s="28" t="s">
        <v>2168</v>
      </c>
      <c r="B1439" s="29">
        <v>3271.01</v>
      </c>
      <c r="C1439" s="30" t="s">
        <v>2205</v>
      </c>
      <c r="D1439" s="2">
        <v>4949532979</v>
      </c>
      <c r="E1439" s="2" t="s">
        <v>14</v>
      </c>
      <c r="F1439" s="2" t="s">
        <v>2206</v>
      </c>
      <c r="G1439" s="28" t="s">
        <v>9</v>
      </c>
      <c r="H1439" s="2" t="s">
        <v>23</v>
      </c>
      <c r="I1439" s="2">
        <v>23</v>
      </c>
      <c r="J1439" s="2"/>
      <c r="K1439" s="2">
        <v>2149</v>
      </c>
      <c r="L1439" s="35">
        <f t="shared" si="76"/>
        <v>7029400.4900000002</v>
      </c>
      <c r="M1439" s="36">
        <v>700</v>
      </c>
      <c r="N1439" s="40">
        <v>99146.295652173896</v>
      </c>
      <c r="O1439" s="40">
        <v>477.07130434782601</v>
      </c>
      <c r="P1439" s="40">
        <v>132370.17043478301</v>
      </c>
      <c r="Q1439" s="40">
        <v>15102.956521739099</v>
      </c>
      <c r="R1439" s="40">
        <v>16660.097391304302</v>
      </c>
      <c r="S1439" s="40">
        <v>17255.596521739099</v>
      </c>
      <c r="T1439" s="40">
        <v>30000</v>
      </c>
      <c r="U1439" s="40">
        <v>336311.65217391303</v>
      </c>
      <c r="V1439" s="40">
        <v>0</v>
      </c>
      <c r="W1439" s="45">
        <f t="shared" si="77"/>
        <v>647323.84000000032</v>
      </c>
      <c r="X1439" s="46">
        <f t="shared" si="78"/>
        <v>9.2088057995967212</v>
      </c>
    </row>
    <row r="1440" spans="1:24" s="4" customFormat="1" ht="15" customHeight="1">
      <c r="A1440" s="28" t="s">
        <v>2168</v>
      </c>
      <c r="B1440" s="29">
        <v>3271.01</v>
      </c>
      <c r="C1440" s="30" t="s">
        <v>2205</v>
      </c>
      <c r="D1440" s="2">
        <v>4949590080</v>
      </c>
      <c r="E1440" s="2" t="s">
        <v>14</v>
      </c>
      <c r="F1440" s="2" t="s">
        <v>2206</v>
      </c>
      <c r="G1440" s="28" t="s">
        <v>9</v>
      </c>
      <c r="H1440" s="2" t="s">
        <v>23</v>
      </c>
      <c r="I1440" s="2">
        <v>23</v>
      </c>
      <c r="J1440" s="2"/>
      <c r="K1440" s="2">
        <v>2772</v>
      </c>
      <c r="L1440" s="35">
        <f t="shared" si="76"/>
        <v>9067239.7200000007</v>
      </c>
      <c r="M1440" s="36">
        <v>900</v>
      </c>
      <c r="N1440" s="40">
        <v>127473.808695652</v>
      </c>
      <c r="O1440" s="40">
        <v>613.37739130434795</v>
      </c>
      <c r="P1440" s="40">
        <v>170190.219130435</v>
      </c>
      <c r="Q1440" s="40">
        <v>19418.0869565217</v>
      </c>
      <c r="R1440" s="40">
        <v>21420.125217391302</v>
      </c>
      <c r="S1440" s="40">
        <v>22185.7669565217</v>
      </c>
      <c r="T1440" s="40">
        <v>30000</v>
      </c>
      <c r="U1440" s="40">
        <v>432400.69565217401</v>
      </c>
      <c r="V1440" s="40">
        <v>0</v>
      </c>
      <c r="W1440" s="45">
        <f t="shared" si="77"/>
        <v>823702.08000000007</v>
      </c>
      <c r="X1440" s="46">
        <f t="shared" si="78"/>
        <v>9.0843752391714645</v>
      </c>
    </row>
    <row r="1441" spans="1:24" s="4" customFormat="1" ht="15" customHeight="1">
      <c r="A1441" s="28" t="s">
        <v>2168</v>
      </c>
      <c r="B1441" s="29">
        <v>3271.01</v>
      </c>
      <c r="C1441" s="30" t="s">
        <v>2205</v>
      </c>
      <c r="D1441" s="2">
        <v>4949681919</v>
      </c>
      <c r="E1441" s="2" t="s">
        <v>14</v>
      </c>
      <c r="F1441" s="2" t="s">
        <v>2206</v>
      </c>
      <c r="G1441" s="28" t="s">
        <v>9</v>
      </c>
      <c r="H1441" s="2" t="s">
        <v>23</v>
      </c>
      <c r="I1441" s="2">
        <v>23</v>
      </c>
      <c r="J1441" s="2"/>
      <c r="K1441" s="2">
        <v>1632</v>
      </c>
      <c r="L1441" s="35">
        <f t="shared" si="76"/>
        <v>5338288.32</v>
      </c>
      <c r="M1441" s="36">
        <v>300</v>
      </c>
      <c r="N1441" s="40">
        <v>42491.269565217401</v>
      </c>
      <c r="O1441" s="40">
        <v>204.45913043478299</v>
      </c>
      <c r="P1441" s="40">
        <v>56730.073043478304</v>
      </c>
      <c r="Q1441" s="40">
        <v>6472.6956521739103</v>
      </c>
      <c r="R1441" s="40">
        <v>7140.04173913044</v>
      </c>
      <c r="S1441" s="40">
        <v>7395.2556521739098</v>
      </c>
      <c r="T1441" s="40">
        <v>30000</v>
      </c>
      <c r="U1441" s="40">
        <v>144133.56521739101</v>
      </c>
      <c r="V1441" s="40">
        <v>0</v>
      </c>
      <c r="W1441" s="45">
        <f t="shared" si="77"/>
        <v>294567.35999999975</v>
      </c>
      <c r="X1441" s="46">
        <f t="shared" si="78"/>
        <v>5.5180114362949908</v>
      </c>
    </row>
    <row r="1442" spans="1:24" s="4" customFormat="1" ht="15" customHeight="1">
      <c r="A1442" s="28" t="s">
        <v>2168</v>
      </c>
      <c r="B1442" s="29">
        <v>3271.01</v>
      </c>
      <c r="C1442" s="30" t="s">
        <v>2205</v>
      </c>
      <c r="D1442" s="2">
        <v>4949662342</v>
      </c>
      <c r="E1442" s="2" t="s">
        <v>14</v>
      </c>
      <c r="F1442" s="2" t="s">
        <v>2206</v>
      </c>
      <c r="G1442" s="28" t="s">
        <v>9</v>
      </c>
      <c r="H1442" s="2" t="s">
        <v>23</v>
      </c>
      <c r="I1442" s="2">
        <v>23</v>
      </c>
      <c r="J1442" s="2"/>
      <c r="K1442" s="2">
        <v>1735</v>
      </c>
      <c r="L1442" s="35">
        <f t="shared" si="76"/>
        <v>5675202.3500000006</v>
      </c>
      <c r="M1442" s="36">
        <v>50</v>
      </c>
      <c r="N1442" s="40">
        <v>7081.8782608695701</v>
      </c>
      <c r="O1442" s="40">
        <v>34.076521739130399</v>
      </c>
      <c r="P1442" s="40">
        <v>9455.0121739130409</v>
      </c>
      <c r="Q1442" s="40">
        <v>1078.78260869565</v>
      </c>
      <c r="R1442" s="40">
        <v>1190.00695652174</v>
      </c>
      <c r="S1442" s="40">
        <v>1232.54260869565</v>
      </c>
      <c r="T1442" s="40">
        <v>30000</v>
      </c>
      <c r="U1442" s="40">
        <v>24022.260869565202</v>
      </c>
      <c r="V1442" s="40">
        <v>0</v>
      </c>
      <c r="W1442" s="45">
        <f t="shared" si="77"/>
        <v>74094.559999999983</v>
      </c>
      <c r="X1442" s="46">
        <f t="shared" si="78"/>
        <v>1.305584460790195</v>
      </c>
    </row>
    <row r="1443" spans="1:24" s="4" customFormat="1" ht="15" customHeight="1">
      <c r="A1443" s="28" t="s">
        <v>2168</v>
      </c>
      <c r="B1443" s="29">
        <v>3271.01</v>
      </c>
      <c r="C1443" s="30" t="s">
        <v>2205</v>
      </c>
      <c r="D1443" s="2">
        <v>4949096191</v>
      </c>
      <c r="E1443" s="2" t="s">
        <v>14</v>
      </c>
      <c r="F1443" s="2" t="s">
        <v>2206</v>
      </c>
      <c r="G1443" s="28" t="s">
        <v>9</v>
      </c>
      <c r="H1443" s="2" t="s">
        <v>23</v>
      </c>
      <c r="I1443" s="2">
        <v>23</v>
      </c>
      <c r="J1443" s="2"/>
      <c r="K1443" s="2">
        <v>634.4</v>
      </c>
      <c r="L1443" s="35">
        <f t="shared" si="76"/>
        <v>2075128.7439999999</v>
      </c>
      <c r="M1443" s="36">
        <v>80</v>
      </c>
      <c r="N1443" s="40">
        <v>11331.005217391301</v>
      </c>
      <c r="O1443" s="40">
        <v>54.522434782608698</v>
      </c>
      <c r="P1443" s="40">
        <v>15128.0194782609</v>
      </c>
      <c r="Q1443" s="40">
        <v>1726.05217391304</v>
      </c>
      <c r="R1443" s="40">
        <v>1904.0111304347799</v>
      </c>
      <c r="S1443" s="40">
        <v>1972.06817391304</v>
      </c>
      <c r="T1443" s="40">
        <v>30000</v>
      </c>
      <c r="U1443" s="40">
        <v>38435.617391304397</v>
      </c>
      <c r="V1443" s="40">
        <v>0</v>
      </c>
      <c r="W1443" s="45">
        <f t="shared" si="77"/>
        <v>100551.29600000006</v>
      </c>
      <c r="X1443" s="46">
        <f t="shared" si="78"/>
        <v>4.845544947065707</v>
      </c>
    </row>
    <row r="1444" spans="1:24" s="4" customFormat="1" ht="15" customHeight="1">
      <c r="A1444" s="28" t="s">
        <v>2168</v>
      </c>
      <c r="B1444" s="29">
        <v>3271.01</v>
      </c>
      <c r="C1444" s="30" t="s">
        <v>2207</v>
      </c>
      <c r="D1444" s="2">
        <v>4949747394</v>
      </c>
      <c r="E1444" s="2" t="s">
        <v>14</v>
      </c>
      <c r="F1444" s="2" t="s">
        <v>2208</v>
      </c>
      <c r="G1444" s="28" t="s">
        <v>5</v>
      </c>
      <c r="H1444" s="2" t="s">
        <v>20</v>
      </c>
      <c r="I1444" s="2">
        <v>1</v>
      </c>
      <c r="J1444" s="2" t="s">
        <v>2209</v>
      </c>
      <c r="K1444" s="2">
        <v>19065</v>
      </c>
      <c r="L1444" s="35">
        <f t="shared" si="76"/>
        <v>62361805.650000006</v>
      </c>
      <c r="M1444" s="36">
        <v>15500</v>
      </c>
      <c r="N1444" s="40">
        <v>357103</v>
      </c>
      <c r="O1444" s="40">
        <v>294849</v>
      </c>
      <c r="P1444" s="40">
        <v>295627</v>
      </c>
      <c r="Q1444" s="40">
        <v>109784</v>
      </c>
      <c r="R1444" s="40">
        <v>690814</v>
      </c>
      <c r="S1444" s="40">
        <v>354356</v>
      </c>
      <c r="T1444" s="40">
        <v>30000</v>
      </c>
      <c r="U1444" s="40">
        <v>2541400</v>
      </c>
      <c r="V1444" s="40">
        <v>0</v>
      </c>
      <c r="W1444" s="45">
        <f t="shared" si="77"/>
        <v>4673933</v>
      </c>
      <c r="X1444" s="46">
        <f t="shared" si="78"/>
        <v>7.494864767437984</v>
      </c>
    </row>
    <row r="1445" spans="1:24" s="4" customFormat="1" ht="15" customHeight="1">
      <c r="A1445" s="28" t="s">
        <v>2168</v>
      </c>
      <c r="B1445" s="29">
        <v>3271.01</v>
      </c>
      <c r="C1445" s="30" t="s">
        <v>2210</v>
      </c>
      <c r="D1445" s="2">
        <v>4950090237</v>
      </c>
      <c r="E1445" s="2" t="s">
        <v>24</v>
      </c>
      <c r="F1445" s="2" t="s">
        <v>2211</v>
      </c>
      <c r="G1445" s="28" t="s">
        <v>5</v>
      </c>
      <c r="H1445" s="2" t="s">
        <v>20</v>
      </c>
      <c r="I1445" s="2">
        <v>1</v>
      </c>
      <c r="J1445" s="2" t="s">
        <v>2212</v>
      </c>
      <c r="K1445" s="2">
        <v>40098.239999999998</v>
      </c>
      <c r="L1445" s="35">
        <f t="shared" si="76"/>
        <v>131161744.02240001</v>
      </c>
      <c r="M1445" s="36">
        <v>15422.4</v>
      </c>
      <c r="N1445" s="40">
        <v>512061</v>
      </c>
      <c r="O1445" s="40">
        <v>329479</v>
      </c>
      <c r="P1445" s="40">
        <v>0</v>
      </c>
      <c r="Q1445" s="40">
        <v>99309</v>
      </c>
      <c r="R1445" s="40">
        <v>625279</v>
      </c>
      <c r="S1445" s="40">
        <v>354356</v>
      </c>
      <c r="T1445" s="40"/>
      <c r="U1445" s="40">
        <v>0</v>
      </c>
      <c r="V1445" s="40">
        <v>0</v>
      </c>
      <c r="W1445" s="45">
        <f t="shared" si="77"/>
        <v>1920484</v>
      </c>
      <c r="X1445" s="46">
        <f t="shared" si="78"/>
        <v>1.4642104786834924</v>
      </c>
    </row>
    <row r="1446" spans="1:24" s="4" customFormat="1" ht="15" customHeight="1">
      <c r="A1446" s="28" t="s">
        <v>2168</v>
      </c>
      <c r="B1446" s="29">
        <v>3271.01</v>
      </c>
      <c r="C1446" s="30" t="s">
        <v>2213</v>
      </c>
      <c r="D1446" s="2">
        <v>4949571453</v>
      </c>
      <c r="E1446" s="2" t="s">
        <v>14</v>
      </c>
      <c r="F1446" s="2" t="s">
        <v>2214</v>
      </c>
      <c r="G1446" s="28" t="s">
        <v>9</v>
      </c>
      <c r="H1446" s="2" t="s">
        <v>23</v>
      </c>
      <c r="I1446" s="2">
        <v>1</v>
      </c>
      <c r="J1446" s="2"/>
      <c r="K1446" s="2">
        <v>2284.6999999999998</v>
      </c>
      <c r="L1446" s="35">
        <f t="shared" si="76"/>
        <v>7473276.5470000003</v>
      </c>
      <c r="M1446" s="36">
        <v>110</v>
      </c>
      <c r="N1446" s="40">
        <v>528201</v>
      </c>
      <c r="O1446" s="40">
        <v>94</v>
      </c>
      <c r="P1446" s="40">
        <v>7744</v>
      </c>
      <c r="Q1446" s="40">
        <v>2900</v>
      </c>
      <c r="R1446" s="40">
        <v>88450</v>
      </c>
      <c r="S1446" s="40">
        <v>354356</v>
      </c>
      <c r="T1446" s="40">
        <v>30000</v>
      </c>
      <c r="U1446" s="40">
        <v>74552.527254707602</v>
      </c>
      <c r="V1446" s="40">
        <v>0</v>
      </c>
      <c r="W1446" s="45">
        <f t="shared" si="77"/>
        <v>1086297.5272547076</v>
      </c>
      <c r="X1446" s="46">
        <f t="shared" si="78"/>
        <v>14.53575978920224</v>
      </c>
    </row>
    <row r="1447" spans="1:24" s="4" customFormat="1" ht="15" customHeight="1">
      <c r="A1447" s="28" t="s">
        <v>2168</v>
      </c>
      <c r="B1447" s="29">
        <v>3271.01</v>
      </c>
      <c r="C1447" s="30" t="s">
        <v>2215</v>
      </c>
      <c r="D1447" s="2">
        <v>4949654739</v>
      </c>
      <c r="E1447" s="2" t="s">
        <v>14</v>
      </c>
      <c r="F1447" s="2" t="s">
        <v>2216</v>
      </c>
      <c r="G1447" s="28" t="s">
        <v>9</v>
      </c>
      <c r="H1447" s="2" t="s">
        <v>23</v>
      </c>
      <c r="I1447" s="2">
        <v>3</v>
      </c>
      <c r="J1447" s="2"/>
      <c r="K1447" s="2">
        <v>5959.8</v>
      </c>
      <c r="L1447" s="35">
        <f t="shared" si="76"/>
        <v>19494565.398000002</v>
      </c>
      <c r="M1447" s="36">
        <v>2580</v>
      </c>
      <c r="N1447" s="40">
        <v>774851</v>
      </c>
      <c r="O1447" s="40">
        <v>1741</v>
      </c>
      <c r="P1447" s="40">
        <v>251574</v>
      </c>
      <c r="Q1447" s="40">
        <v>44618</v>
      </c>
      <c r="R1447" s="40">
        <v>129028</v>
      </c>
      <c r="S1447" s="40">
        <v>354356</v>
      </c>
      <c r="T1447" s="40">
        <v>30000</v>
      </c>
      <c r="U1447" s="40">
        <v>1318772.0588235301</v>
      </c>
      <c r="V1447" s="40">
        <v>0</v>
      </c>
      <c r="W1447" s="45">
        <f t="shared" si="77"/>
        <v>2904940.0588235301</v>
      </c>
      <c r="X1447" s="46">
        <f t="shared" si="78"/>
        <v>14.901281457249391</v>
      </c>
    </row>
    <row r="1448" spans="1:24" s="4" customFormat="1" ht="15" customHeight="1">
      <c r="A1448" s="28" t="s">
        <v>2168</v>
      </c>
      <c r="B1448" s="29">
        <v>3271.01</v>
      </c>
      <c r="C1448" s="30" t="s">
        <v>2217</v>
      </c>
      <c r="D1448" s="2">
        <v>4949866950</v>
      </c>
      <c r="E1448" s="2" t="s">
        <v>14</v>
      </c>
      <c r="F1448" s="2" t="s">
        <v>2218</v>
      </c>
      <c r="G1448" s="28" t="s">
        <v>5</v>
      </c>
      <c r="H1448" s="2" t="s">
        <v>20</v>
      </c>
      <c r="I1448" s="2">
        <v>1</v>
      </c>
      <c r="J1448" s="2" t="s">
        <v>2219</v>
      </c>
      <c r="K1448" s="2">
        <v>3431.7</v>
      </c>
      <c r="L1448" s="35">
        <f t="shared" si="76"/>
        <v>11225125.017000001</v>
      </c>
      <c r="M1448" s="36">
        <v>2790</v>
      </c>
      <c r="N1448" s="40">
        <v>121650.813186813</v>
      </c>
      <c r="O1448" s="40">
        <v>100443.06593406601</v>
      </c>
      <c r="P1448" s="40">
        <v>100708.098901099</v>
      </c>
      <c r="Q1448" s="40">
        <v>37398.945054945099</v>
      </c>
      <c r="R1448" s="40">
        <v>235834</v>
      </c>
      <c r="S1448" s="40">
        <v>120714.681318681</v>
      </c>
      <c r="T1448" s="40">
        <v>30000</v>
      </c>
      <c r="U1448" s="40">
        <v>799663.73626373603</v>
      </c>
      <c r="V1448" s="40">
        <v>0</v>
      </c>
      <c r="W1448" s="45">
        <f t="shared" si="77"/>
        <v>1546413.3406593401</v>
      </c>
      <c r="X1448" s="46">
        <f t="shared" si="78"/>
        <v>13.776357397511024</v>
      </c>
    </row>
    <row r="1449" spans="1:24" s="4" customFormat="1" ht="15" customHeight="1">
      <c r="A1449" s="28" t="s">
        <v>2168</v>
      </c>
      <c r="B1449" s="29">
        <v>3271.01</v>
      </c>
      <c r="C1449" s="30" t="s">
        <v>2217</v>
      </c>
      <c r="D1449" s="2">
        <v>4949868806</v>
      </c>
      <c r="E1449" s="2" t="s">
        <v>14</v>
      </c>
      <c r="F1449" s="2" t="s">
        <v>2218</v>
      </c>
      <c r="G1449" s="28" t="s">
        <v>5</v>
      </c>
      <c r="H1449" s="2" t="s">
        <v>20</v>
      </c>
      <c r="I1449" s="2">
        <v>1</v>
      </c>
      <c r="J1449" s="2" t="s">
        <v>2219</v>
      </c>
      <c r="K1449" s="2">
        <v>6372</v>
      </c>
      <c r="L1449" s="35">
        <f t="shared" si="76"/>
        <v>20842875.720000003</v>
      </c>
      <c r="M1449" s="36">
        <f>450+4950</f>
        <v>5400</v>
      </c>
      <c r="N1449" s="40">
        <v>235453.186813187</v>
      </c>
      <c r="O1449" s="40">
        <v>194405.93406593401</v>
      </c>
      <c r="P1449" s="40">
        <v>194918.901098901</v>
      </c>
      <c r="Q1449" s="40">
        <v>72385.054945054901</v>
      </c>
      <c r="R1449" s="40">
        <v>456452</v>
      </c>
      <c r="S1449" s="40">
        <v>233641.31868131901</v>
      </c>
      <c r="T1449" s="40">
        <v>30000</v>
      </c>
      <c r="U1449" s="40">
        <v>1547736.2637362599</v>
      </c>
      <c r="V1449" s="40">
        <v>0</v>
      </c>
      <c r="W1449" s="45">
        <f t="shared" si="77"/>
        <v>2964992.6593406559</v>
      </c>
      <c r="X1449" s="46">
        <f t="shared" si="78"/>
        <v>14.22544901755359</v>
      </c>
    </row>
    <row r="1450" spans="1:24" s="4" customFormat="1" ht="15" customHeight="1">
      <c r="A1450" s="28" t="s">
        <v>2168</v>
      </c>
      <c r="B1450" s="29">
        <v>3271.01</v>
      </c>
      <c r="C1450" s="30" t="s">
        <v>2220</v>
      </c>
      <c r="D1450" s="2">
        <v>4949309836</v>
      </c>
      <c r="E1450" s="2" t="s">
        <v>14</v>
      </c>
      <c r="F1450" s="2" t="s">
        <v>2221</v>
      </c>
      <c r="G1450" s="28" t="s">
        <v>5</v>
      </c>
      <c r="H1450" s="2" t="s">
        <v>17</v>
      </c>
      <c r="I1450" s="2">
        <v>1</v>
      </c>
      <c r="J1450" s="2" t="s">
        <v>2222</v>
      </c>
      <c r="K1450" s="2">
        <v>16837.8</v>
      </c>
      <c r="L1450" s="35">
        <f t="shared" si="76"/>
        <v>55076612.178000003</v>
      </c>
      <c r="M1450" s="36">
        <v>7980</v>
      </c>
      <c r="N1450" s="40">
        <v>245768.14443330001</v>
      </c>
      <c r="O1450" s="40">
        <v>271167.551886792</v>
      </c>
      <c r="P1450" s="40">
        <v>802842.046138415</v>
      </c>
      <c r="Q1450" s="40">
        <v>62302.344339622599</v>
      </c>
      <c r="R1450" s="40">
        <v>1170258</v>
      </c>
      <c r="S1450" s="40">
        <v>270120.922768305</v>
      </c>
      <c r="T1450" s="40">
        <v>30000</v>
      </c>
      <c r="U1450" s="40">
        <v>4784036.1083249701</v>
      </c>
      <c r="V1450" s="40">
        <v>0</v>
      </c>
      <c r="W1450" s="45">
        <f t="shared" si="77"/>
        <v>7636495.1178914048</v>
      </c>
      <c r="X1450" s="46">
        <f t="shared" si="78"/>
        <v>13.865223033710402</v>
      </c>
    </row>
    <row r="1451" spans="1:24" s="4" customFormat="1" ht="15" customHeight="1">
      <c r="A1451" s="28" t="s">
        <v>2168</v>
      </c>
      <c r="B1451" s="29">
        <v>3271.01</v>
      </c>
      <c r="C1451" s="30" t="s">
        <v>2220</v>
      </c>
      <c r="D1451" s="2">
        <v>4949662469</v>
      </c>
      <c r="E1451" s="2" t="s">
        <v>14</v>
      </c>
      <c r="F1451" s="2" t="s">
        <v>2221</v>
      </c>
      <c r="G1451" s="28" t="s">
        <v>5</v>
      </c>
      <c r="H1451" s="2" t="s">
        <v>17</v>
      </c>
      <c r="I1451" s="2">
        <v>1</v>
      </c>
      <c r="J1451" s="2" t="s">
        <v>2222</v>
      </c>
      <c r="K1451" s="2">
        <v>7304</v>
      </c>
      <c r="L1451" s="35">
        <f t="shared" si="76"/>
        <v>23891457.040000003</v>
      </c>
      <c r="M1451" s="36">
        <v>400</v>
      </c>
      <c r="N1451" s="40">
        <v>6467.5827482447303</v>
      </c>
      <c r="O1451" s="40">
        <v>13592.358490565999</v>
      </c>
      <c r="P1451" s="40">
        <v>21127.4222668004</v>
      </c>
      <c r="Q1451" s="40">
        <v>3122.9245283018899</v>
      </c>
      <c r="R1451" s="40">
        <v>30796</v>
      </c>
      <c r="S1451" s="40">
        <v>7108.4453360080197</v>
      </c>
      <c r="T1451" s="40">
        <v>30000</v>
      </c>
      <c r="U1451" s="40">
        <v>125895.687061184</v>
      </c>
      <c r="V1451" s="40">
        <v>0</v>
      </c>
      <c r="W1451" s="45">
        <f t="shared" si="77"/>
        <v>238110.42043110504</v>
      </c>
      <c r="X1451" s="46">
        <f t="shared" si="78"/>
        <v>0.99663415266993283</v>
      </c>
    </row>
    <row r="1452" spans="1:24" s="4" customFormat="1" ht="15" customHeight="1">
      <c r="A1452" s="28" t="s">
        <v>2168</v>
      </c>
      <c r="B1452" s="29">
        <v>3271.01</v>
      </c>
      <c r="C1452" s="30" t="s">
        <v>2220</v>
      </c>
      <c r="D1452" s="2">
        <v>4949662469</v>
      </c>
      <c r="E1452" s="2" t="s">
        <v>14</v>
      </c>
      <c r="F1452" s="2" t="s">
        <v>2221</v>
      </c>
      <c r="G1452" s="28" t="s">
        <v>5</v>
      </c>
      <c r="H1452" s="2" t="s">
        <v>17</v>
      </c>
      <c r="I1452" s="2">
        <v>1</v>
      </c>
      <c r="J1452" s="2" t="s">
        <v>2222</v>
      </c>
      <c r="K1452" s="2">
        <v>3487.5</v>
      </c>
      <c r="L1452" s="35">
        <f t="shared" si="76"/>
        <v>11407647.375</v>
      </c>
      <c r="M1452" s="36">
        <v>1125</v>
      </c>
      <c r="N1452" s="40">
        <v>18190.076479438299</v>
      </c>
      <c r="O1452" s="40">
        <v>38228.508254717002</v>
      </c>
      <c r="P1452" s="40">
        <v>59420.8751253761</v>
      </c>
      <c r="Q1452" s="40">
        <v>8783.2252358490605</v>
      </c>
      <c r="R1452" s="40">
        <v>86614</v>
      </c>
      <c r="S1452" s="40">
        <v>19992.5025075226</v>
      </c>
      <c r="T1452" s="40">
        <v>30000</v>
      </c>
      <c r="U1452" s="40">
        <v>354081.61985957902</v>
      </c>
      <c r="V1452" s="40">
        <v>0</v>
      </c>
      <c r="W1452" s="45">
        <f t="shared" si="77"/>
        <v>615310.80746248201</v>
      </c>
      <c r="X1452" s="46">
        <f t="shared" si="78"/>
        <v>5.3938449115366529</v>
      </c>
    </row>
    <row r="1453" spans="1:24" s="4" customFormat="1" ht="15" customHeight="1">
      <c r="A1453" s="28" t="s">
        <v>2168</v>
      </c>
      <c r="B1453" s="29">
        <v>3271.01</v>
      </c>
      <c r="C1453" s="30" t="s">
        <v>2220</v>
      </c>
      <c r="D1453" s="2">
        <v>4949681921</v>
      </c>
      <c r="E1453" s="2" t="s">
        <v>14</v>
      </c>
      <c r="F1453" s="2" t="s">
        <v>2221</v>
      </c>
      <c r="G1453" s="28" t="s">
        <v>5</v>
      </c>
      <c r="H1453" s="2" t="s">
        <v>17</v>
      </c>
      <c r="I1453" s="2">
        <v>1</v>
      </c>
      <c r="J1453" s="2" t="s">
        <v>2222</v>
      </c>
      <c r="K1453" s="2">
        <v>4554</v>
      </c>
      <c r="L1453" s="35">
        <f t="shared" si="76"/>
        <v>14896179.540000001</v>
      </c>
      <c r="M1453" s="36">
        <v>900</v>
      </c>
      <c r="N1453" s="40">
        <v>14552.061183550701</v>
      </c>
      <c r="O1453" s="40">
        <v>30582.806603773599</v>
      </c>
      <c r="P1453" s="40">
        <v>47536.700100300899</v>
      </c>
      <c r="Q1453" s="40">
        <v>7026.5801886792497</v>
      </c>
      <c r="R1453" s="40">
        <v>69292</v>
      </c>
      <c r="S1453" s="40">
        <v>15994.0020060181</v>
      </c>
      <c r="T1453" s="40">
        <v>30000</v>
      </c>
      <c r="U1453" s="40">
        <v>283265.29588766297</v>
      </c>
      <c r="V1453" s="40">
        <v>0</v>
      </c>
      <c r="W1453" s="45">
        <f t="shared" si="77"/>
        <v>498249.44596998551</v>
      </c>
      <c r="X1453" s="46">
        <f t="shared" si="78"/>
        <v>3.3448136458885989</v>
      </c>
    </row>
    <row r="1454" spans="1:24" s="4" customFormat="1" ht="15" customHeight="1">
      <c r="A1454" s="28" t="s">
        <v>2168</v>
      </c>
      <c r="B1454" s="29">
        <v>3271.01</v>
      </c>
      <c r="C1454" s="30" t="s">
        <v>2220</v>
      </c>
      <c r="D1454" s="2">
        <v>4949681921</v>
      </c>
      <c r="E1454" s="2" t="s">
        <v>14</v>
      </c>
      <c r="F1454" s="2" t="s">
        <v>2221</v>
      </c>
      <c r="G1454" s="28" t="s">
        <v>5</v>
      </c>
      <c r="H1454" s="2" t="s">
        <v>17</v>
      </c>
      <c r="I1454" s="2">
        <v>1</v>
      </c>
      <c r="J1454" s="2" t="s">
        <v>2222</v>
      </c>
      <c r="K1454" s="2">
        <v>2767.5</v>
      </c>
      <c r="L1454" s="35">
        <f t="shared" si="76"/>
        <v>9052520.1750000007</v>
      </c>
      <c r="M1454" s="36">
        <v>675</v>
      </c>
      <c r="N1454" s="40">
        <v>10914.045887663</v>
      </c>
      <c r="O1454" s="40">
        <v>22937.104952830199</v>
      </c>
      <c r="P1454" s="40">
        <v>35652.525075225698</v>
      </c>
      <c r="Q1454" s="40">
        <v>5269.9351415094297</v>
      </c>
      <c r="R1454" s="40">
        <v>51968</v>
      </c>
      <c r="S1454" s="40">
        <v>11995.501504513501</v>
      </c>
      <c r="T1454" s="40">
        <v>30000</v>
      </c>
      <c r="U1454" s="40">
        <v>212448.97191574701</v>
      </c>
      <c r="V1454" s="40">
        <v>0</v>
      </c>
      <c r="W1454" s="45">
        <f t="shared" si="77"/>
        <v>381186.08447748882</v>
      </c>
      <c r="X1454" s="46">
        <f t="shared" si="78"/>
        <v>4.2108283340830974</v>
      </c>
    </row>
    <row r="1455" spans="1:24" s="4" customFormat="1" ht="15" customHeight="1">
      <c r="A1455" s="28" t="s">
        <v>2168</v>
      </c>
      <c r="B1455" s="29">
        <v>3271.01</v>
      </c>
      <c r="C1455" s="30" t="s">
        <v>2220</v>
      </c>
      <c r="D1455" s="2">
        <v>4949662469</v>
      </c>
      <c r="E1455" s="2" t="s">
        <v>14</v>
      </c>
      <c r="F1455" s="2" t="s">
        <v>2221</v>
      </c>
      <c r="G1455" s="28" t="s">
        <v>5</v>
      </c>
      <c r="H1455" s="2" t="s">
        <v>17</v>
      </c>
      <c r="I1455" s="2">
        <v>1</v>
      </c>
      <c r="J1455" s="2" t="s">
        <v>2222</v>
      </c>
      <c r="K1455" s="2">
        <v>12332.8</v>
      </c>
      <c r="L1455" s="35">
        <f t="shared" si="76"/>
        <v>40340712.127999999</v>
      </c>
      <c r="M1455" s="36">
        <v>1640</v>
      </c>
      <c r="N1455" s="40">
        <v>26517.0892678034</v>
      </c>
      <c r="O1455" s="40">
        <v>55728.669811320797</v>
      </c>
      <c r="P1455" s="40">
        <v>86622.4312938816</v>
      </c>
      <c r="Q1455" s="40">
        <v>12803.990566037701</v>
      </c>
      <c r="R1455" s="40">
        <v>126264</v>
      </c>
      <c r="S1455" s="40">
        <v>29144.625877632901</v>
      </c>
      <c r="T1455" s="40">
        <v>30000</v>
      </c>
      <c r="U1455" s="40">
        <v>516172.31695085298</v>
      </c>
      <c r="V1455" s="40">
        <v>0</v>
      </c>
      <c r="W1455" s="45">
        <f t="shared" si="77"/>
        <v>883253.12376752938</v>
      </c>
      <c r="X1455" s="46">
        <f t="shared" si="78"/>
        <v>2.1894832222222327</v>
      </c>
    </row>
    <row r="1456" spans="1:24" s="4" customFormat="1" ht="15" customHeight="1">
      <c r="A1456" s="28" t="s">
        <v>2168</v>
      </c>
      <c r="B1456" s="29">
        <v>3271.01</v>
      </c>
      <c r="C1456" s="30" t="s">
        <v>2223</v>
      </c>
      <c r="D1456" s="2">
        <v>4949747399</v>
      </c>
      <c r="E1456" s="2" t="s">
        <v>14</v>
      </c>
      <c r="F1456" s="2" t="s">
        <v>2224</v>
      </c>
      <c r="G1456" s="28" t="s">
        <v>5</v>
      </c>
      <c r="H1456" s="2" t="s">
        <v>20</v>
      </c>
      <c r="I1456" s="2">
        <v>2</v>
      </c>
      <c r="J1456" s="2" t="s">
        <v>2225</v>
      </c>
      <c r="K1456" s="2">
        <f>17700+17700</f>
        <v>35400</v>
      </c>
      <c r="L1456" s="35">
        <f t="shared" si="76"/>
        <v>115793754.00000001</v>
      </c>
      <c r="M1456" s="36">
        <f>15000+15000</f>
        <v>30000</v>
      </c>
      <c r="N1456" s="40">
        <v>745810</v>
      </c>
      <c r="O1456" s="40">
        <v>594244</v>
      </c>
      <c r="P1456" s="40">
        <v>285870.13</v>
      </c>
      <c r="Q1456" s="40">
        <v>347694</v>
      </c>
      <c r="R1456" s="40">
        <v>1354689</v>
      </c>
      <c r="S1456" s="40">
        <v>354356</v>
      </c>
      <c r="T1456" s="40">
        <v>30000</v>
      </c>
      <c r="U1456" s="40">
        <v>5082800</v>
      </c>
      <c r="V1456" s="40">
        <v>0</v>
      </c>
      <c r="W1456" s="45">
        <f t="shared" si="77"/>
        <v>8795463.129999999</v>
      </c>
      <c r="X1456" s="46">
        <f t="shared" si="78"/>
        <v>7.5958010049488491</v>
      </c>
    </row>
    <row r="1457" spans="1:24" s="4" customFormat="1" ht="15" customHeight="1">
      <c r="A1457" s="28" t="s">
        <v>2168</v>
      </c>
      <c r="B1457" s="29">
        <v>3271.01</v>
      </c>
      <c r="C1457" s="30" t="s">
        <v>2226</v>
      </c>
      <c r="D1457" s="2">
        <v>4949311079</v>
      </c>
      <c r="E1457" s="2" t="s">
        <v>33</v>
      </c>
      <c r="F1457" s="2" t="s">
        <v>2227</v>
      </c>
      <c r="G1457" s="28" t="s">
        <v>5</v>
      </c>
      <c r="H1457" s="2" t="s">
        <v>20</v>
      </c>
      <c r="I1457" s="2">
        <v>1</v>
      </c>
      <c r="J1457" s="2" t="s">
        <v>2228</v>
      </c>
      <c r="K1457" s="2">
        <f>12810+330.9</f>
        <v>13140.9</v>
      </c>
      <c r="L1457" s="35">
        <f t="shared" si="76"/>
        <v>42984015.309</v>
      </c>
      <c r="M1457" s="36">
        <v>420</v>
      </c>
      <c r="N1457" s="40">
        <v>464578</v>
      </c>
      <c r="O1457" s="40">
        <v>298726</v>
      </c>
      <c r="P1457" s="40">
        <v>461751</v>
      </c>
      <c r="Q1457" s="40">
        <v>111228</v>
      </c>
      <c r="R1457" s="40">
        <v>694237</v>
      </c>
      <c r="S1457" s="40">
        <v>354356</v>
      </c>
      <c r="T1457" s="40"/>
      <c r="U1457" s="40">
        <v>2958500</v>
      </c>
      <c r="V1457" s="40">
        <v>0</v>
      </c>
      <c r="W1457" s="45">
        <f t="shared" si="77"/>
        <v>5343376</v>
      </c>
      <c r="X1457" s="46">
        <f t="shared" si="78"/>
        <v>12.431076905188993</v>
      </c>
    </row>
    <row r="1458" spans="1:24" s="4" customFormat="1" ht="15" customHeight="1">
      <c r="A1458" s="28" t="s">
        <v>2168</v>
      </c>
      <c r="B1458" s="29">
        <v>3271.01</v>
      </c>
      <c r="C1458" s="30" t="s">
        <v>2229</v>
      </c>
      <c r="D1458" s="2">
        <v>4949389428</v>
      </c>
      <c r="E1458" s="2" t="s">
        <v>36</v>
      </c>
      <c r="F1458" s="2" t="s">
        <v>2230</v>
      </c>
      <c r="G1458" s="28" t="s">
        <v>5</v>
      </c>
      <c r="H1458" s="2" t="s">
        <v>20</v>
      </c>
      <c r="I1458" s="2">
        <v>1</v>
      </c>
      <c r="J1458" s="2" t="s">
        <v>2231</v>
      </c>
      <c r="K1458" s="2">
        <v>30233.200000000001</v>
      </c>
      <c r="L1458" s="35">
        <f t="shared" ref="L1458:L1521" si="79">+B1458*K1458</f>
        <v>98893099.532000005</v>
      </c>
      <c r="M1458" s="36">
        <v>16800</v>
      </c>
      <c r="N1458" s="40">
        <v>319544</v>
      </c>
      <c r="O1458" s="40">
        <v>296099</v>
      </c>
      <c r="P1458" s="40">
        <v>216475.28</v>
      </c>
      <c r="Q1458" s="40">
        <v>110250</v>
      </c>
      <c r="R1458" s="40">
        <v>688388</v>
      </c>
      <c r="S1458" s="40">
        <v>354356</v>
      </c>
      <c r="T1458" s="40"/>
      <c r="U1458" s="40">
        <v>2541400</v>
      </c>
      <c r="V1458" s="40">
        <v>0</v>
      </c>
      <c r="W1458" s="45">
        <f t="shared" ref="W1458:W1521" si="80">+SUM(N1458:V1458)</f>
        <v>4526512.28</v>
      </c>
      <c r="X1458" s="46">
        <f t="shared" ref="X1458:X1521" si="81">(W1458/L1458)*100</f>
        <v>4.5771770744583682</v>
      </c>
    </row>
    <row r="1459" spans="1:24" s="4" customFormat="1" ht="15" customHeight="1">
      <c r="A1459" s="28" t="s">
        <v>2168</v>
      </c>
      <c r="B1459" s="29">
        <v>3271.01</v>
      </c>
      <c r="C1459" s="30" t="s">
        <v>2232</v>
      </c>
      <c r="D1459" s="2">
        <v>4950130496</v>
      </c>
      <c r="E1459" s="2" t="s">
        <v>24</v>
      </c>
      <c r="F1459" s="2" t="s">
        <v>2233</v>
      </c>
      <c r="G1459" s="28" t="s">
        <v>5</v>
      </c>
      <c r="H1459" s="2" t="s">
        <v>26</v>
      </c>
      <c r="I1459" s="2">
        <v>2</v>
      </c>
      <c r="J1459" s="2" t="s">
        <v>2234</v>
      </c>
      <c r="K1459" s="2">
        <v>39353.629999999997</v>
      </c>
      <c r="L1459" s="35">
        <f t="shared" si="79"/>
        <v>128726117.26629999</v>
      </c>
      <c r="M1459" s="36">
        <v>38963.983</v>
      </c>
      <c r="N1459" s="40">
        <v>660548</v>
      </c>
      <c r="O1459" s="40">
        <v>779453</v>
      </c>
      <c r="P1459" s="40">
        <v>446382</v>
      </c>
      <c r="Q1459" s="40">
        <v>227340</v>
      </c>
      <c r="R1459" s="40">
        <v>1400117</v>
      </c>
      <c r="S1459" s="40">
        <v>354356</v>
      </c>
      <c r="T1459" s="40"/>
      <c r="U1459" s="40">
        <v>4838588</v>
      </c>
      <c r="V1459" s="40">
        <v>0</v>
      </c>
      <c r="W1459" s="45">
        <f t="shared" si="80"/>
        <v>8706784</v>
      </c>
      <c r="X1459" s="46">
        <f t="shared" si="81"/>
        <v>6.763805344946423</v>
      </c>
    </row>
    <row r="1460" spans="1:24" s="4" customFormat="1" ht="15" customHeight="1">
      <c r="A1460" s="28" t="s">
        <v>2168</v>
      </c>
      <c r="B1460" s="29">
        <v>3271.01</v>
      </c>
      <c r="C1460" s="30" t="s">
        <v>2235</v>
      </c>
      <c r="D1460" s="2">
        <v>4949955739</v>
      </c>
      <c r="E1460" s="2" t="s">
        <v>24</v>
      </c>
      <c r="F1460" s="2" t="s">
        <v>2236</v>
      </c>
      <c r="G1460" s="28" t="s">
        <v>5</v>
      </c>
      <c r="H1460" s="2" t="s">
        <v>20</v>
      </c>
      <c r="I1460" s="2">
        <v>1</v>
      </c>
      <c r="J1460" s="2" t="s">
        <v>2237</v>
      </c>
      <c r="K1460" s="2">
        <v>18100</v>
      </c>
      <c r="L1460" s="35">
        <f t="shared" si="79"/>
        <v>59205281.000000007</v>
      </c>
      <c r="M1460" s="36">
        <f>300+9700</f>
        <v>10000</v>
      </c>
      <c r="N1460" s="40">
        <v>478161</v>
      </c>
      <c r="O1460" s="40">
        <v>303993</v>
      </c>
      <c r="P1460" s="40">
        <v>222247</v>
      </c>
      <c r="Q1460" s="40">
        <v>113189</v>
      </c>
      <c r="R1460" s="40">
        <v>700800</v>
      </c>
      <c r="S1460" s="40">
        <v>354356</v>
      </c>
      <c r="T1460" s="40"/>
      <c r="U1460" s="40">
        <v>2347400</v>
      </c>
      <c r="V1460" s="40">
        <v>0</v>
      </c>
      <c r="W1460" s="45">
        <f t="shared" si="80"/>
        <v>4520146</v>
      </c>
      <c r="X1460" s="46">
        <f t="shared" si="81"/>
        <v>7.6347006950275258</v>
      </c>
    </row>
    <row r="1461" spans="1:24" s="4" customFormat="1" ht="15" customHeight="1">
      <c r="A1461" s="28" t="s">
        <v>2168</v>
      </c>
      <c r="B1461" s="29">
        <v>3271.01</v>
      </c>
      <c r="C1461" s="30" t="s">
        <v>2238</v>
      </c>
      <c r="D1461" s="2">
        <v>4949922753</v>
      </c>
      <c r="E1461" s="2" t="s">
        <v>14</v>
      </c>
      <c r="F1461" s="2" t="s">
        <v>2239</v>
      </c>
      <c r="G1461" s="28" t="s">
        <v>5</v>
      </c>
      <c r="H1461" s="2" t="s">
        <v>20</v>
      </c>
      <c r="I1461" s="2">
        <v>2</v>
      </c>
      <c r="J1461" s="2" t="s">
        <v>2240</v>
      </c>
      <c r="K1461" s="2">
        <f>18576+18576</f>
        <v>37152</v>
      </c>
      <c r="L1461" s="35">
        <f t="shared" si="79"/>
        <v>121524563.52000001</v>
      </c>
      <c r="M1461" s="36">
        <f>20400+1200+8400+13200</f>
        <v>43200</v>
      </c>
      <c r="N1461" s="40">
        <v>660548</v>
      </c>
      <c r="O1461" s="40">
        <v>606825</v>
      </c>
      <c r="P1461" s="40">
        <v>1448468</v>
      </c>
      <c r="Q1461" s="40">
        <v>225945</v>
      </c>
      <c r="R1461" s="40">
        <v>1229459</v>
      </c>
      <c r="S1461" s="40">
        <v>354356</v>
      </c>
      <c r="T1461" s="40">
        <v>30000</v>
      </c>
      <c r="U1461" s="40">
        <v>5179800</v>
      </c>
      <c r="V1461" s="40">
        <v>0</v>
      </c>
      <c r="W1461" s="45">
        <f t="shared" si="80"/>
        <v>9735401</v>
      </c>
      <c r="X1461" s="46">
        <f t="shared" si="81"/>
        <v>8.0110561338472017</v>
      </c>
    </row>
    <row r="1462" spans="1:24" s="4" customFormat="1" ht="15" customHeight="1">
      <c r="A1462" s="28" t="s">
        <v>2168</v>
      </c>
      <c r="B1462" s="29">
        <v>3271.01</v>
      </c>
      <c r="C1462" s="30" t="s">
        <v>2241</v>
      </c>
      <c r="D1462" s="2">
        <v>4948830203</v>
      </c>
      <c r="E1462" s="2" t="s">
        <v>14</v>
      </c>
      <c r="F1462" s="78" t="s">
        <v>2242</v>
      </c>
      <c r="G1462" s="28" t="s">
        <v>9</v>
      </c>
      <c r="H1462" s="2" t="s">
        <v>23</v>
      </c>
      <c r="I1462" s="2">
        <v>1</v>
      </c>
      <c r="J1462" s="2"/>
      <c r="K1462" s="2">
        <v>2616.3000000000002</v>
      </c>
      <c r="L1462" s="35">
        <f t="shared" si="79"/>
        <v>8557943.4630000014</v>
      </c>
      <c r="M1462" s="36">
        <v>570</v>
      </c>
      <c r="N1462" s="40">
        <v>485681</v>
      </c>
      <c r="O1462" s="40">
        <v>420</v>
      </c>
      <c r="P1462" s="40">
        <v>0</v>
      </c>
      <c r="Q1462" s="40">
        <v>10336</v>
      </c>
      <c r="R1462" s="40">
        <v>96375</v>
      </c>
      <c r="S1462" s="40">
        <v>354356</v>
      </c>
      <c r="T1462" s="40">
        <v>30000</v>
      </c>
      <c r="U1462" s="40">
        <v>330020.82176568598</v>
      </c>
      <c r="V1462" s="40">
        <v>0</v>
      </c>
      <c r="W1462" s="45">
        <f t="shared" si="80"/>
        <v>1307188.8217656859</v>
      </c>
      <c r="X1462" s="46">
        <f t="shared" si="81"/>
        <v>15.274567159940652</v>
      </c>
    </row>
    <row r="1463" spans="1:24" s="4" customFormat="1" ht="15" customHeight="1">
      <c r="A1463" s="28" t="s">
        <v>2168</v>
      </c>
      <c r="B1463" s="29">
        <v>3271.01</v>
      </c>
      <c r="C1463" s="30" t="s">
        <v>2243</v>
      </c>
      <c r="D1463" s="2">
        <v>4949624379</v>
      </c>
      <c r="E1463" s="2" t="s">
        <v>33</v>
      </c>
      <c r="F1463" s="2" t="s">
        <v>2244</v>
      </c>
      <c r="G1463" s="28" t="s">
        <v>5</v>
      </c>
      <c r="H1463" s="2" t="s">
        <v>20</v>
      </c>
      <c r="I1463" s="2">
        <v>1</v>
      </c>
      <c r="J1463" s="2" t="s">
        <v>2245</v>
      </c>
      <c r="K1463" s="2">
        <v>21780</v>
      </c>
      <c r="L1463" s="35">
        <f t="shared" si="79"/>
        <v>71242597.800000012</v>
      </c>
      <c r="M1463" s="36">
        <v>19800</v>
      </c>
      <c r="N1463" s="40">
        <v>1504954</v>
      </c>
      <c r="O1463" s="40">
        <v>304370</v>
      </c>
      <c r="P1463" s="40">
        <v>250458</v>
      </c>
      <c r="Q1463" s="40">
        <v>119805</v>
      </c>
      <c r="R1463" s="40">
        <v>707414</v>
      </c>
      <c r="S1463" s="40">
        <v>354356</v>
      </c>
      <c r="T1463" s="40"/>
      <c r="U1463" s="40">
        <v>4297100</v>
      </c>
      <c r="V1463" s="40">
        <v>0</v>
      </c>
      <c r="W1463" s="45">
        <f t="shared" si="80"/>
        <v>7538457</v>
      </c>
      <c r="X1463" s="46">
        <f t="shared" si="81"/>
        <v>10.581389832474636</v>
      </c>
    </row>
    <row r="1464" spans="1:24" s="4" customFormat="1" ht="15" customHeight="1">
      <c r="A1464" s="28" t="s">
        <v>2168</v>
      </c>
      <c r="B1464" s="29">
        <v>3271.01</v>
      </c>
      <c r="C1464" s="30" t="s">
        <v>2246</v>
      </c>
      <c r="D1464" s="2">
        <v>4950216809</v>
      </c>
      <c r="E1464" s="2" t="s">
        <v>24</v>
      </c>
      <c r="F1464" s="2" t="s">
        <v>2247</v>
      </c>
      <c r="G1464" s="28" t="s">
        <v>5</v>
      </c>
      <c r="H1464" s="2" t="s">
        <v>20</v>
      </c>
      <c r="I1464" s="2">
        <v>1</v>
      </c>
      <c r="J1464" s="2" t="s">
        <v>2248</v>
      </c>
      <c r="K1464" s="2">
        <v>7896</v>
      </c>
      <c r="L1464" s="35">
        <f t="shared" si="79"/>
        <v>25827894.960000001</v>
      </c>
      <c r="M1464" s="36">
        <v>8400</v>
      </c>
      <c r="N1464" s="40">
        <v>672090</v>
      </c>
      <c r="O1464" s="40">
        <v>0</v>
      </c>
      <c r="P1464" s="40">
        <v>117255</v>
      </c>
      <c r="Q1464" s="40">
        <v>0</v>
      </c>
      <c r="R1464" s="40">
        <v>0</v>
      </c>
      <c r="S1464" s="40">
        <v>354356</v>
      </c>
      <c r="T1464" s="40"/>
      <c r="U1464" s="40">
        <v>2347400</v>
      </c>
      <c r="V1464" s="40">
        <v>0</v>
      </c>
      <c r="W1464" s="45">
        <f t="shared" si="80"/>
        <v>3491101</v>
      </c>
      <c r="X1464" s="46">
        <f t="shared" si="81"/>
        <v>13.516784876997193</v>
      </c>
    </row>
    <row r="1465" spans="1:24" s="4" customFormat="1" ht="15" customHeight="1">
      <c r="A1465" s="28" t="s">
        <v>2168</v>
      </c>
      <c r="B1465" s="29">
        <v>3271.01</v>
      </c>
      <c r="C1465" s="30" t="s">
        <v>2249</v>
      </c>
      <c r="D1465" s="2">
        <v>4948665442</v>
      </c>
      <c r="E1465" s="2" t="s">
        <v>6</v>
      </c>
      <c r="F1465" s="2" t="s">
        <v>2250</v>
      </c>
      <c r="G1465" s="28" t="s">
        <v>5</v>
      </c>
      <c r="H1465" s="2" t="s">
        <v>17</v>
      </c>
      <c r="I1465" s="2">
        <v>1</v>
      </c>
      <c r="J1465" s="2" t="s">
        <v>2251</v>
      </c>
      <c r="K1465" s="2">
        <v>40564.800000000003</v>
      </c>
      <c r="L1465" s="35">
        <f t="shared" si="79"/>
        <v>132687866.44800001</v>
      </c>
      <c r="M1465" s="36">
        <f>10080+2880</f>
        <v>12960</v>
      </c>
      <c r="N1465" s="40">
        <v>330274</v>
      </c>
      <c r="O1465" s="40">
        <v>538682</v>
      </c>
      <c r="P1465" s="40">
        <v>0</v>
      </c>
      <c r="Q1465" s="40">
        <v>124137</v>
      </c>
      <c r="R1465" s="40">
        <v>941008</v>
      </c>
      <c r="S1465" s="40">
        <v>354356</v>
      </c>
      <c r="T1465" s="40">
        <v>30000</v>
      </c>
      <c r="U1465" s="40">
        <v>5446550</v>
      </c>
      <c r="V1465" s="40">
        <v>0</v>
      </c>
      <c r="W1465" s="45">
        <f t="shared" si="80"/>
        <v>7765007</v>
      </c>
      <c r="X1465" s="46">
        <f t="shared" si="81"/>
        <v>5.852085204070324</v>
      </c>
    </row>
    <row r="1466" spans="1:24" s="4" customFormat="1" ht="15" customHeight="1">
      <c r="A1466" s="28" t="s">
        <v>2168</v>
      </c>
      <c r="B1466" s="29">
        <v>3271.01</v>
      </c>
      <c r="C1466" s="30" t="s">
        <v>2252</v>
      </c>
      <c r="D1466" s="2">
        <v>4950529280</v>
      </c>
      <c r="E1466" s="2" t="s">
        <v>24</v>
      </c>
      <c r="F1466" s="2" t="s">
        <v>2253</v>
      </c>
      <c r="G1466" s="28" t="s">
        <v>5</v>
      </c>
      <c r="H1466" s="2" t="s">
        <v>17</v>
      </c>
      <c r="I1466" s="2">
        <v>1</v>
      </c>
      <c r="J1466" s="2" t="s">
        <v>2254</v>
      </c>
      <c r="K1466" s="2">
        <v>35700</v>
      </c>
      <c r="L1466" s="35">
        <f t="shared" si="79"/>
        <v>116775057.00000001</v>
      </c>
      <c r="M1466" s="36">
        <v>21000</v>
      </c>
      <c r="N1466" s="40">
        <v>406505.75</v>
      </c>
      <c r="O1466" s="40">
        <v>149161.35294117601</v>
      </c>
      <c r="P1466" s="40">
        <v>370140.42625000002</v>
      </c>
      <c r="Q1466" s="40">
        <v>45397.058823529398</v>
      </c>
      <c r="R1466" s="40">
        <v>951571</v>
      </c>
      <c r="S1466" s="40">
        <v>310061.5</v>
      </c>
      <c r="T1466" s="40"/>
      <c r="U1466" s="40">
        <v>2520787.5</v>
      </c>
      <c r="V1466" s="40">
        <v>0</v>
      </c>
      <c r="W1466" s="45">
        <f t="shared" si="80"/>
        <v>4753624.5880147051</v>
      </c>
      <c r="X1466" s="46">
        <f t="shared" si="81"/>
        <v>4.0707533870137222</v>
      </c>
    </row>
    <row r="1467" spans="1:24" s="4" customFormat="1" ht="15" customHeight="1">
      <c r="A1467" s="28" t="s">
        <v>2168</v>
      </c>
      <c r="B1467" s="29">
        <v>3271.01</v>
      </c>
      <c r="C1467" s="30" t="s">
        <v>2252</v>
      </c>
      <c r="D1467" s="2">
        <v>4950133767</v>
      </c>
      <c r="E1467" s="2" t="s">
        <v>24</v>
      </c>
      <c r="F1467" s="2" t="s">
        <v>2253</v>
      </c>
      <c r="G1467" s="28" t="s">
        <v>5</v>
      </c>
      <c r="H1467" s="2" t="s">
        <v>17</v>
      </c>
      <c r="I1467" s="2">
        <v>1</v>
      </c>
      <c r="J1467" s="2" t="s">
        <v>2254</v>
      </c>
      <c r="K1467" s="2">
        <v>6690</v>
      </c>
      <c r="L1467" s="35">
        <f t="shared" si="79"/>
        <v>21883056.900000002</v>
      </c>
      <c r="M1467" s="36">
        <v>30000</v>
      </c>
      <c r="N1467" s="40">
        <v>58072.25</v>
      </c>
      <c r="O1467" s="40">
        <v>213087.64705882399</v>
      </c>
      <c r="P1467" s="40">
        <v>52877.203750000001</v>
      </c>
      <c r="Q1467" s="40">
        <v>64852.941176470602</v>
      </c>
      <c r="R1467" s="40">
        <v>135939</v>
      </c>
      <c r="S1467" s="40">
        <v>44294.5</v>
      </c>
      <c r="T1467" s="40"/>
      <c r="U1467" s="40">
        <v>360112.5</v>
      </c>
      <c r="V1467" s="40">
        <v>0</v>
      </c>
      <c r="W1467" s="45">
        <f t="shared" si="80"/>
        <v>929236.04198529455</v>
      </c>
      <c r="X1467" s="46">
        <f t="shared" si="81"/>
        <v>4.2463721875406462</v>
      </c>
    </row>
    <row r="1468" spans="1:24" s="4" customFormat="1" ht="15" customHeight="1">
      <c r="A1468" s="28" t="s">
        <v>2168</v>
      </c>
      <c r="B1468" s="29">
        <v>3271.01</v>
      </c>
      <c r="C1468" s="30" t="s">
        <v>2255</v>
      </c>
      <c r="D1468" s="2">
        <v>4950184119</v>
      </c>
      <c r="E1468" s="2" t="s">
        <v>38</v>
      </c>
      <c r="F1468" s="2" t="s">
        <v>2256</v>
      </c>
      <c r="G1468" s="28" t="s">
        <v>5</v>
      </c>
      <c r="H1468" s="2" t="s">
        <v>20</v>
      </c>
      <c r="I1468" s="2">
        <v>1</v>
      </c>
      <c r="J1468" s="2" t="s">
        <v>2257</v>
      </c>
      <c r="K1468" s="2">
        <v>411</v>
      </c>
      <c r="L1468" s="35">
        <f t="shared" si="79"/>
        <v>1344385.11</v>
      </c>
      <c r="M1468" s="36">
        <v>300</v>
      </c>
      <c r="N1468" s="40">
        <v>458491.12234042602</v>
      </c>
      <c r="O1468" s="40">
        <v>13056.582446808499</v>
      </c>
      <c r="P1468" s="40">
        <v>0</v>
      </c>
      <c r="Q1468" s="40">
        <v>13056.582446808499</v>
      </c>
      <c r="R1468" s="40">
        <v>610588.978723404</v>
      </c>
      <c r="S1468" s="40">
        <v>340219.45744680898</v>
      </c>
      <c r="T1468" s="40"/>
      <c r="U1468" s="40">
        <v>3362004.5212766002</v>
      </c>
      <c r="V1468" s="40">
        <v>0</v>
      </c>
      <c r="W1468" s="45">
        <f t="shared" si="80"/>
        <v>4797417.2446808564</v>
      </c>
      <c r="X1468" s="46">
        <f t="shared" si="81"/>
        <v>356.84843643357937</v>
      </c>
    </row>
    <row r="1469" spans="1:24" s="4" customFormat="1" ht="15" customHeight="1">
      <c r="A1469" s="28" t="s">
        <v>2168</v>
      </c>
      <c r="B1469" s="29">
        <v>3271.01</v>
      </c>
      <c r="C1469" s="30" t="s">
        <v>2255</v>
      </c>
      <c r="D1469" s="2">
        <v>4950183968</v>
      </c>
      <c r="E1469" s="2" t="s">
        <v>38</v>
      </c>
      <c r="F1469" s="2" t="s">
        <v>2256</v>
      </c>
      <c r="G1469" s="28" t="s">
        <v>5</v>
      </c>
      <c r="H1469" s="2" t="s">
        <v>20</v>
      </c>
      <c r="I1469" s="2">
        <v>1</v>
      </c>
      <c r="J1469" s="2" t="s">
        <v>2257</v>
      </c>
      <c r="K1469" s="2">
        <v>9602.6</v>
      </c>
      <c r="L1469" s="35">
        <f t="shared" si="79"/>
        <v>31410200.626000002</v>
      </c>
      <c r="M1469" s="36">
        <v>7220</v>
      </c>
      <c r="N1469" s="40">
        <v>19050.8776595745</v>
      </c>
      <c r="O1469" s="40">
        <v>314228.41755319102</v>
      </c>
      <c r="P1469" s="40">
        <v>0</v>
      </c>
      <c r="Q1469" s="40">
        <v>314228.41755319102</v>
      </c>
      <c r="R1469" s="40">
        <v>25371.0212765957</v>
      </c>
      <c r="S1469" s="40">
        <v>14136.542553191501</v>
      </c>
      <c r="T1469" s="40"/>
      <c r="U1469" s="40">
        <v>139695.478723404</v>
      </c>
      <c r="V1469" s="40">
        <v>0</v>
      </c>
      <c r="W1469" s="45">
        <f t="shared" si="80"/>
        <v>826710.75531914772</v>
      </c>
      <c r="X1469" s="46">
        <f t="shared" si="81"/>
        <v>2.6319817729366313</v>
      </c>
    </row>
    <row r="1470" spans="1:24" s="4" customFormat="1" ht="15" customHeight="1">
      <c r="A1470" s="28" t="s">
        <v>2168</v>
      </c>
      <c r="B1470" s="29">
        <v>3271.01</v>
      </c>
      <c r="C1470" s="30" t="s">
        <v>2258</v>
      </c>
      <c r="D1470" s="2">
        <v>4949681264</v>
      </c>
      <c r="E1470" s="2" t="s">
        <v>18</v>
      </c>
      <c r="F1470" s="2" t="s">
        <v>2259</v>
      </c>
      <c r="G1470" s="28" t="s">
        <v>5</v>
      </c>
      <c r="H1470" s="2" t="s">
        <v>17</v>
      </c>
      <c r="I1470" s="2">
        <v>2</v>
      </c>
      <c r="J1470" s="2" t="s">
        <v>2260</v>
      </c>
      <c r="K1470" s="2">
        <v>68640</v>
      </c>
      <c r="L1470" s="35">
        <f t="shared" si="79"/>
        <v>224522126.40000001</v>
      </c>
      <c r="M1470" s="36">
        <v>16000</v>
      </c>
      <c r="N1470" s="40">
        <v>475992</v>
      </c>
      <c r="O1470" s="40">
        <v>432237.5</v>
      </c>
      <c r="P1470" s="40">
        <v>154127.5</v>
      </c>
      <c r="Q1470" s="40">
        <v>99309.5</v>
      </c>
      <c r="R1470" s="40">
        <v>735975.5</v>
      </c>
      <c r="S1470" s="40">
        <v>177178</v>
      </c>
      <c r="T1470" s="40">
        <v>30000</v>
      </c>
      <c r="U1470" s="40">
        <v>5446550</v>
      </c>
      <c r="V1470" s="40">
        <v>0</v>
      </c>
      <c r="W1470" s="45">
        <f t="shared" si="80"/>
        <v>7551370</v>
      </c>
      <c r="X1470" s="46">
        <f t="shared" si="81"/>
        <v>3.3633077154038569</v>
      </c>
    </row>
    <row r="1471" spans="1:24" s="4" customFormat="1" ht="15" customHeight="1">
      <c r="A1471" s="28" t="s">
        <v>2168</v>
      </c>
      <c r="B1471" s="29">
        <v>3271.01</v>
      </c>
      <c r="C1471" s="30" t="s">
        <v>2258</v>
      </c>
      <c r="D1471" s="2">
        <v>4949681267</v>
      </c>
      <c r="E1471" s="2" t="s">
        <v>18</v>
      </c>
      <c r="F1471" s="2" t="s">
        <v>2259</v>
      </c>
      <c r="G1471" s="28" t="s">
        <v>5</v>
      </c>
      <c r="H1471" s="2" t="s">
        <v>17</v>
      </c>
      <c r="I1471" s="2">
        <v>2</v>
      </c>
      <c r="J1471" s="2" t="s">
        <v>2260</v>
      </c>
      <c r="K1471" s="2">
        <v>68640</v>
      </c>
      <c r="L1471" s="35">
        <f t="shared" si="79"/>
        <v>224522126.40000001</v>
      </c>
      <c r="M1471" s="36">
        <v>16000</v>
      </c>
      <c r="N1471" s="40">
        <v>475992</v>
      </c>
      <c r="O1471" s="40">
        <v>432237.5</v>
      </c>
      <c r="P1471" s="40">
        <v>154127.5</v>
      </c>
      <c r="Q1471" s="40">
        <v>99309.5</v>
      </c>
      <c r="R1471" s="40">
        <v>735975.5</v>
      </c>
      <c r="S1471" s="40">
        <v>177178</v>
      </c>
      <c r="T1471" s="40">
        <v>30000</v>
      </c>
      <c r="U1471" s="40">
        <v>5446550</v>
      </c>
      <c r="V1471" s="40">
        <v>0</v>
      </c>
      <c r="W1471" s="45">
        <f t="shared" si="80"/>
        <v>7551370</v>
      </c>
      <c r="X1471" s="46">
        <f t="shared" si="81"/>
        <v>3.3633077154038569</v>
      </c>
    </row>
    <row r="1472" spans="1:24" s="4" customFormat="1" ht="15" customHeight="1">
      <c r="A1472" s="28" t="s">
        <v>2168</v>
      </c>
      <c r="B1472" s="29">
        <v>3271.01</v>
      </c>
      <c r="C1472" s="30" t="s">
        <v>2261</v>
      </c>
      <c r="D1472" s="2">
        <v>4949954634</v>
      </c>
      <c r="E1472" s="2" t="s">
        <v>14</v>
      </c>
      <c r="F1472" s="2" t="s">
        <v>2262</v>
      </c>
      <c r="G1472" s="28" t="s">
        <v>5</v>
      </c>
      <c r="H1472" s="2" t="s">
        <v>20</v>
      </c>
      <c r="I1472" s="2">
        <v>1</v>
      </c>
      <c r="J1472" s="2" t="s">
        <v>2263</v>
      </c>
      <c r="K1472" s="2">
        <v>22860</v>
      </c>
      <c r="L1472" s="35">
        <f t="shared" si="79"/>
        <v>74775288.600000009</v>
      </c>
      <c r="M1472" s="36">
        <f>13950+4050</f>
        <v>18000</v>
      </c>
      <c r="N1472" s="40">
        <v>319544</v>
      </c>
      <c r="O1472" s="40">
        <v>329479</v>
      </c>
      <c r="P1472" s="40">
        <v>0</v>
      </c>
      <c r="Q1472" s="40">
        <v>99309</v>
      </c>
      <c r="R1472" s="40">
        <v>529764</v>
      </c>
      <c r="S1472" s="40">
        <v>354356</v>
      </c>
      <c r="T1472" s="40">
        <v>30000</v>
      </c>
      <c r="U1472" s="40">
        <v>5014900</v>
      </c>
      <c r="V1472" s="40">
        <v>0</v>
      </c>
      <c r="W1472" s="45">
        <f t="shared" si="80"/>
        <v>6677352</v>
      </c>
      <c r="X1472" s="46">
        <f t="shared" si="81"/>
        <v>8.9298913117133711</v>
      </c>
    </row>
    <row r="1473" spans="1:24" s="4" customFormat="1" ht="15" customHeight="1">
      <c r="A1473" s="28" t="s">
        <v>2168</v>
      </c>
      <c r="B1473" s="29">
        <v>3271.01</v>
      </c>
      <c r="C1473" s="30" t="s">
        <v>2264</v>
      </c>
      <c r="D1473" s="2">
        <v>4949682939</v>
      </c>
      <c r="E1473" s="2" t="s">
        <v>18</v>
      </c>
      <c r="F1473" s="2" t="s">
        <v>2265</v>
      </c>
      <c r="G1473" s="28" t="s">
        <v>5</v>
      </c>
      <c r="H1473" s="2" t="s">
        <v>32</v>
      </c>
      <c r="I1473" s="2">
        <v>1</v>
      </c>
      <c r="J1473" s="2" t="s">
        <v>2266</v>
      </c>
      <c r="K1473" s="2">
        <v>12610.8</v>
      </c>
      <c r="L1473" s="35">
        <f t="shared" si="79"/>
        <v>41250052.908</v>
      </c>
      <c r="M1473" s="36">
        <v>4520</v>
      </c>
      <c r="N1473" s="40">
        <v>251319.60942760899</v>
      </c>
      <c r="O1473" s="48">
        <v>250714.65993266</v>
      </c>
      <c r="P1473" s="40">
        <v>0</v>
      </c>
      <c r="Q1473" s="40">
        <v>75568.464646464694</v>
      </c>
      <c r="R1473" s="40">
        <v>1138618.9292929301</v>
      </c>
      <c r="S1473" s="40">
        <v>269644.63299663301</v>
      </c>
      <c r="T1473" s="40">
        <v>30000</v>
      </c>
      <c r="U1473" s="40">
        <v>2005464.6464646501</v>
      </c>
      <c r="V1473" s="40">
        <v>0</v>
      </c>
      <c r="W1473" s="45">
        <f t="shared" si="80"/>
        <v>4021330.9427609467</v>
      </c>
      <c r="X1473" s="46">
        <f t="shared" si="81"/>
        <v>9.7486685695403157</v>
      </c>
    </row>
    <row r="1474" spans="1:24" s="4" customFormat="1" ht="15" customHeight="1">
      <c r="A1474" s="28" t="s">
        <v>2168</v>
      </c>
      <c r="B1474" s="29">
        <v>3271.01</v>
      </c>
      <c r="C1474" s="30" t="s">
        <v>2264</v>
      </c>
      <c r="D1474" s="2">
        <v>4948990393</v>
      </c>
      <c r="E1474" s="2" t="s">
        <v>18</v>
      </c>
      <c r="F1474" s="2" t="s">
        <v>2265</v>
      </c>
      <c r="G1474" s="28" t="s">
        <v>5</v>
      </c>
      <c r="H1474" s="2" t="s">
        <v>32</v>
      </c>
      <c r="I1474" s="2">
        <v>1</v>
      </c>
      <c r="J1474" s="2" t="s">
        <v>2266</v>
      </c>
      <c r="K1474" s="2">
        <v>3961.8</v>
      </c>
      <c r="L1474" s="35">
        <f t="shared" si="79"/>
        <v>12959087.418000001</v>
      </c>
      <c r="M1474" s="36">
        <v>1420</v>
      </c>
      <c r="N1474" s="40">
        <v>78954.390572390606</v>
      </c>
      <c r="O1474" s="48">
        <v>78764.340067340105</v>
      </c>
      <c r="P1474" s="40">
        <v>0</v>
      </c>
      <c r="Q1474" s="40">
        <v>23740.535353535401</v>
      </c>
      <c r="R1474" s="40">
        <v>357707.07070707099</v>
      </c>
      <c r="S1474" s="40">
        <v>84711.367003367006</v>
      </c>
      <c r="T1474" s="40">
        <v>30000</v>
      </c>
      <c r="U1474" s="40">
        <v>630035.35353535402</v>
      </c>
      <c r="V1474" s="40">
        <v>0</v>
      </c>
      <c r="W1474" s="45">
        <f t="shared" si="80"/>
        <v>1283913.0572390582</v>
      </c>
      <c r="X1474" s="46">
        <f t="shared" si="81"/>
        <v>9.907434187500888</v>
      </c>
    </row>
    <row r="1475" spans="1:24" s="4" customFormat="1" ht="15" customHeight="1">
      <c r="A1475" s="28" t="s">
        <v>2168</v>
      </c>
      <c r="B1475" s="29">
        <v>3271.01</v>
      </c>
      <c r="C1475" s="30" t="s">
        <v>2267</v>
      </c>
      <c r="D1475" s="2">
        <v>4949591271</v>
      </c>
      <c r="E1475" s="2" t="s">
        <v>38</v>
      </c>
      <c r="F1475" s="2" t="s">
        <v>2268</v>
      </c>
      <c r="G1475" s="28" t="s">
        <v>9</v>
      </c>
      <c r="H1475" s="2" t="s">
        <v>23</v>
      </c>
      <c r="I1475" s="2">
        <v>5</v>
      </c>
      <c r="J1475" s="2"/>
      <c r="K1475" s="2">
        <v>6520</v>
      </c>
      <c r="L1475" s="35">
        <f t="shared" si="79"/>
        <v>21326985.200000003</v>
      </c>
      <c r="M1475" s="36">
        <v>2000</v>
      </c>
      <c r="N1475" s="40">
        <v>1523451.5</v>
      </c>
      <c r="O1475" s="48">
        <v>3582</v>
      </c>
      <c r="P1475" s="40">
        <v>114236.5</v>
      </c>
      <c r="Q1475" s="40">
        <v>57275.333333333299</v>
      </c>
      <c r="R1475" s="40">
        <v>90217</v>
      </c>
      <c r="S1475" s="40">
        <v>177178</v>
      </c>
      <c r="T1475" s="40"/>
      <c r="U1475" s="40">
        <v>1629160.5</v>
      </c>
      <c r="V1475" s="40">
        <v>0</v>
      </c>
      <c r="W1475" s="45">
        <f t="shared" si="80"/>
        <v>3595100.833333333</v>
      </c>
      <c r="X1475" s="46">
        <f t="shared" si="81"/>
        <v>16.857051287930432</v>
      </c>
    </row>
    <row r="1476" spans="1:24" s="4" customFormat="1" ht="15" customHeight="1">
      <c r="A1476" s="28" t="s">
        <v>2168</v>
      </c>
      <c r="B1476" s="29">
        <v>3271.01</v>
      </c>
      <c r="C1476" s="30" t="s">
        <v>2267</v>
      </c>
      <c r="D1476" s="2">
        <v>4949590074</v>
      </c>
      <c r="E1476" s="2" t="s">
        <v>14</v>
      </c>
      <c r="F1476" s="2" t="s">
        <v>2268</v>
      </c>
      <c r="G1476" s="28" t="s">
        <v>9</v>
      </c>
      <c r="H1476" s="2" t="s">
        <v>23</v>
      </c>
      <c r="I1476" s="2">
        <v>5</v>
      </c>
      <c r="J1476" s="2"/>
      <c r="K1476" s="2">
        <v>6410</v>
      </c>
      <c r="L1476" s="35">
        <f t="shared" si="79"/>
        <v>20967174.100000001</v>
      </c>
      <c r="M1476" s="36">
        <v>1000</v>
      </c>
      <c r="N1476" s="40">
        <v>761725.75</v>
      </c>
      <c r="O1476" s="48">
        <v>1791</v>
      </c>
      <c r="P1476" s="40">
        <v>57118.25</v>
      </c>
      <c r="Q1476" s="40">
        <v>28637.666666666701</v>
      </c>
      <c r="R1476" s="40">
        <v>45108.5</v>
      </c>
      <c r="S1476" s="40">
        <v>88589</v>
      </c>
      <c r="T1476" s="40">
        <v>30000</v>
      </c>
      <c r="U1476" s="40">
        <v>814580.25</v>
      </c>
      <c r="V1476" s="40">
        <v>0</v>
      </c>
      <c r="W1476" s="45">
        <f t="shared" si="80"/>
        <v>1827550.4166666667</v>
      </c>
      <c r="X1476" s="46">
        <f t="shared" si="81"/>
        <v>8.7162457274901275</v>
      </c>
    </row>
    <row r="1477" spans="1:24" s="4" customFormat="1" ht="15" customHeight="1">
      <c r="A1477" s="28" t="s">
        <v>2168</v>
      </c>
      <c r="B1477" s="29">
        <v>3271.01</v>
      </c>
      <c r="C1477" s="30" t="s">
        <v>2269</v>
      </c>
      <c r="D1477" s="2">
        <v>4949661864</v>
      </c>
      <c r="E1477" s="2" t="s">
        <v>14</v>
      </c>
      <c r="F1477" s="2" t="s">
        <v>2270</v>
      </c>
      <c r="G1477" s="28" t="s">
        <v>5</v>
      </c>
      <c r="H1477" s="2" t="s">
        <v>20</v>
      </c>
      <c r="I1477" s="2">
        <v>1</v>
      </c>
      <c r="J1477" s="2" t="s">
        <v>2271</v>
      </c>
      <c r="K1477" s="2">
        <v>6584.6</v>
      </c>
      <c r="L1477" s="35">
        <f t="shared" si="79"/>
        <v>21538292.446000002</v>
      </c>
      <c r="M1477" s="36">
        <v>820</v>
      </c>
      <c r="N1477" s="40">
        <v>23588.847355769201</v>
      </c>
      <c r="O1477" s="40">
        <v>16236.3449519231</v>
      </c>
      <c r="P1477" s="40">
        <v>0</v>
      </c>
      <c r="Q1477" s="40">
        <v>4893.8329326923104</v>
      </c>
      <c r="R1477" s="40">
        <v>43335.308894230802</v>
      </c>
      <c r="S1477" s="40">
        <v>17462.254807692301</v>
      </c>
      <c r="T1477" s="40">
        <v>30000</v>
      </c>
      <c r="U1477" s="40">
        <v>268399.69951923098</v>
      </c>
      <c r="V1477" s="40">
        <v>0</v>
      </c>
      <c r="W1477" s="45">
        <f t="shared" si="80"/>
        <v>403916.28846153867</v>
      </c>
      <c r="X1477" s="46">
        <f t="shared" si="81"/>
        <v>1.8753403477746549</v>
      </c>
    </row>
    <row r="1478" spans="1:24" s="4" customFormat="1" ht="15" customHeight="1">
      <c r="A1478" s="28" t="s">
        <v>2168</v>
      </c>
      <c r="B1478" s="29">
        <v>3271.01</v>
      </c>
      <c r="C1478" s="30" t="s">
        <v>2269</v>
      </c>
      <c r="D1478" s="2">
        <v>4949661864</v>
      </c>
      <c r="E1478" s="2" t="s">
        <v>14</v>
      </c>
      <c r="F1478" s="2" t="s">
        <v>2270</v>
      </c>
      <c r="G1478" s="28" t="s">
        <v>5</v>
      </c>
      <c r="H1478" s="2" t="s">
        <v>20</v>
      </c>
      <c r="I1478" s="2">
        <v>1</v>
      </c>
      <c r="J1478" s="2" t="s">
        <v>2271</v>
      </c>
      <c r="K1478" s="2">
        <v>605.20000000000005</v>
      </c>
      <c r="L1478" s="35">
        <f t="shared" si="79"/>
        <v>1979615.2520000003</v>
      </c>
      <c r="M1478" s="36">
        <v>40</v>
      </c>
      <c r="N1478" s="40">
        <v>1150.67548076923</v>
      </c>
      <c r="O1478" s="40">
        <v>792.01682692307702</v>
      </c>
      <c r="P1478" s="40">
        <v>0</v>
      </c>
      <c r="Q1478" s="40">
        <v>238.72355769230799</v>
      </c>
      <c r="R1478" s="40">
        <v>2114.13701923077</v>
      </c>
      <c r="S1478" s="40">
        <v>851.81730769230796</v>
      </c>
      <c r="T1478" s="40">
        <v>30000</v>
      </c>
      <c r="U1478" s="40">
        <v>13092.6682692308</v>
      </c>
      <c r="V1478" s="40">
        <v>0</v>
      </c>
      <c r="W1478" s="45">
        <f t="shared" si="80"/>
        <v>48240.038461538497</v>
      </c>
      <c r="X1478" s="46">
        <f t="shared" si="81"/>
        <v>2.4368390985471398</v>
      </c>
    </row>
    <row r="1479" spans="1:24" s="4" customFormat="1" ht="15" customHeight="1">
      <c r="A1479" s="28" t="s">
        <v>2168</v>
      </c>
      <c r="B1479" s="29">
        <v>3271.01</v>
      </c>
      <c r="C1479" s="30" t="s">
        <v>2269</v>
      </c>
      <c r="D1479" s="2">
        <v>4949661864</v>
      </c>
      <c r="E1479" s="2" t="s">
        <v>14</v>
      </c>
      <c r="F1479" s="2" t="s">
        <v>2270</v>
      </c>
      <c r="G1479" s="28" t="s">
        <v>5</v>
      </c>
      <c r="H1479" s="2" t="s">
        <v>20</v>
      </c>
      <c r="I1479" s="2">
        <v>1</v>
      </c>
      <c r="J1479" s="2" t="s">
        <v>2271</v>
      </c>
      <c r="K1479" s="2">
        <v>23166</v>
      </c>
      <c r="L1479" s="35">
        <f t="shared" si="79"/>
        <v>75776217.660000011</v>
      </c>
      <c r="M1479" s="36">
        <v>9900</v>
      </c>
      <c r="N1479" s="40">
        <v>284792.18149038497</v>
      </c>
      <c r="O1479" s="40">
        <v>196024.164663462</v>
      </c>
      <c r="P1479" s="40">
        <v>0</v>
      </c>
      <c r="Q1479" s="40">
        <v>59084.0805288462</v>
      </c>
      <c r="R1479" s="40">
        <v>523191.41225961503</v>
      </c>
      <c r="S1479" s="40">
        <v>210824.78365384601</v>
      </c>
      <c r="T1479" s="40">
        <v>30000</v>
      </c>
      <c r="U1479" s="40">
        <v>3240435.3966346201</v>
      </c>
      <c r="V1479" s="40">
        <v>0</v>
      </c>
      <c r="W1479" s="45">
        <f t="shared" si="80"/>
        <v>4544352.0192307746</v>
      </c>
      <c r="X1479" s="46">
        <f t="shared" si="81"/>
        <v>5.9970689479657171</v>
      </c>
    </row>
    <row r="1480" spans="1:24" s="4" customFormat="1" ht="15" customHeight="1">
      <c r="A1480" s="28" t="s">
        <v>2168</v>
      </c>
      <c r="B1480" s="29">
        <v>3271.01</v>
      </c>
      <c r="C1480" s="30" t="s">
        <v>2269</v>
      </c>
      <c r="D1480" s="2">
        <v>4949661864</v>
      </c>
      <c r="E1480" s="2" t="s">
        <v>14</v>
      </c>
      <c r="F1480" s="2" t="s">
        <v>2270</v>
      </c>
      <c r="G1480" s="28" t="s">
        <v>5</v>
      </c>
      <c r="H1480" s="2" t="s">
        <v>20</v>
      </c>
      <c r="I1480" s="2">
        <v>1</v>
      </c>
      <c r="J1480" s="2" t="s">
        <v>2271</v>
      </c>
      <c r="K1480" s="2">
        <v>20638.8</v>
      </c>
      <c r="L1480" s="35">
        <f t="shared" si="79"/>
        <v>67509721.188000008</v>
      </c>
      <c r="M1480" s="36">
        <v>5880</v>
      </c>
      <c r="N1480" s="40">
        <v>169149.29567307699</v>
      </c>
      <c r="O1480" s="40">
        <v>116426.47355769201</v>
      </c>
      <c r="P1480" s="40">
        <v>0</v>
      </c>
      <c r="Q1480" s="40">
        <v>35092.362980769198</v>
      </c>
      <c r="R1480" s="40">
        <v>310744.14182692301</v>
      </c>
      <c r="S1480" s="40">
        <v>125217.144230769</v>
      </c>
      <c r="T1480" s="40">
        <v>30000</v>
      </c>
      <c r="U1480" s="40">
        <v>1924622.23557692</v>
      </c>
      <c r="V1480" s="40">
        <v>0</v>
      </c>
      <c r="W1480" s="45">
        <f t="shared" si="80"/>
        <v>2711251.6538461503</v>
      </c>
      <c r="X1480" s="46">
        <f t="shared" si="81"/>
        <v>4.01609072906093</v>
      </c>
    </row>
    <row r="1481" spans="1:24" s="4" customFormat="1" ht="15" customHeight="1">
      <c r="A1481" s="28" t="s">
        <v>2168</v>
      </c>
      <c r="B1481" s="29">
        <v>3271.01</v>
      </c>
      <c r="C1481" s="30" t="s">
        <v>2272</v>
      </c>
      <c r="D1481" s="2">
        <v>4949681270</v>
      </c>
      <c r="E1481" s="2" t="s">
        <v>18</v>
      </c>
      <c r="F1481" s="2" t="s">
        <v>2273</v>
      </c>
      <c r="G1481" s="28" t="s">
        <v>5</v>
      </c>
      <c r="H1481" s="2" t="s">
        <v>35</v>
      </c>
      <c r="I1481" s="2">
        <v>1</v>
      </c>
      <c r="J1481" s="2" t="s">
        <v>2274</v>
      </c>
      <c r="K1481" s="2">
        <f>17267.25+17052.75</f>
        <v>34320</v>
      </c>
      <c r="L1481" s="35">
        <f t="shared" si="79"/>
        <v>112261063.2</v>
      </c>
      <c r="M1481" s="36">
        <f>4025+3975</f>
        <v>8000</v>
      </c>
      <c r="N1481" s="40">
        <v>153392.39477503599</v>
      </c>
      <c r="O1481" s="40">
        <v>208306.98795180701</v>
      </c>
      <c r="P1481" s="40">
        <v>917173.79390420904</v>
      </c>
      <c r="Q1481" s="40">
        <v>47859.759036144598</v>
      </c>
      <c r="R1481" s="40">
        <v>1169952.97532656</v>
      </c>
      <c r="S1481" s="40">
        <v>164577.53265602299</v>
      </c>
      <c r="T1481" s="40">
        <v>30000</v>
      </c>
      <c r="U1481" s="40">
        <v>2827843.2510885298</v>
      </c>
      <c r="V1481" s="40">
        <v>0</v>
      </c>
      <c r="W1481" s="45">
        <f t="shared" si="80"/>
        <v>5519106.6947383098</v>
      </c>
      <c r="X1481" s="46">
        <f t="shared" si="81"/>
        <v>4.916314292254369</v>
      </c>
    </row>
    <row r="1482" spans="1:24" s="4" customFormat="1" ht="15" customHeight="1">
      <c r="A1482" s="28" t="s">
        <v>2168</v>
      </c>
      <c r="B1482" s="29">
        <v>3271.01</v>
      </c>
      <c r="C1482" s="30" t="s">
        <v>2272</v>
      </c>
      <c r="D1482" s="2">
        <v>4949662490</v>
      </c>
      <c r="E1482" s="2" t="s">
        <v>18</v>
      </c>
      <c r="F1482" s="2" t="s">
        <v>2273</v>
      </c>
      <c r="G1482" s="28" t="s">
        <v>5</v>
      </c>
      <c r="H1482" s="2" t="s">
        <v>35</v>
      </c>
      <c r="I1482" s="2">
        <v>1</v>
      </c>
      <c r="J1482" s="2" t="s">
        <v>2274</v>
      </c>
      <c r="K1482" s="2">
        <v>89400</v>
      </c>
      <c r="L1482" s="35">
        <f t="shared" si="79"/>
        <v>292428294</v>
      </c>
      <c r="M1482" s="36">
        <v>5000</v>
      </c>
      <c r="N1482" s="40">
        <v>95870.246734397704</v>
      </c>
      <c r="O1482" s="40">
        <v>130191.86746988</v>
      </c>
      <c r="P1482" s="40">
        <v>573283.62119013094</v>
      </c>
      <c r="Q1482" s="40">
        <v>29912.349397590398</v>
      </c>
      <c r="R1482" s="40">
        <v>731220.60957910004</v>
      </c>
      <c r="S1482" s="40">
        <v>102860.957910015</v>
      </c>
      <c r="T1482" s="40">
        <v>30000</v>
      </c>
      <c r="U1482" s="40">
        <v>1767402.03193033</v>
      </c>
      <c r="V1482" s="40">
        <v>0</v>
      </c>
      <c r="W1482" s="45">
        <f t="shared" si="80"/>
        <v>3460741.6842114441</v>
      </c>
      <c r="X1482" s="46">
        <f t="shared" si="81"/>
        <v>1.1834496713274414</v>
      </c>
    </row>
    <row r="1483" spans="1:24" s="4" customFormat="1" ht="15" customHeight="1">
      <c r="A1483" s="28" t="s">
        <v>2168</v>
      </c>
      <c r="B1483" s="29">
        <v>3271.01</v>
      </c>
      <c r="C1483" s="30" t="s">
        <v>2272</v>
      </c>
      <c r="D1483" s="2">
        <v>4949719633</v>
      </c>
      <c r="E1483" s="2" t="s">
        <v>14</v>
      </c>
      <c r="F1483" s="2" t="s">
        <v>2273</v>
      </c>
      <c r="G1483" s="28" t="s">
        <v>5</v>
      </c>
      <c r="H1483" s="2" t="s">
        <v>35</v>
      </c>
      <c r="I1483" s="2">
        <v>1</v>
      </c>
      <c r="J1483" s="2" t="s">
        <v>2274</v>
      </c>
      <c r="K1483" s="2">
        <v>3708</v>
      </c>
      <c r="L1483" s="35">
        <f t="shared" si="79"/>
        <v>12128905.08</v>
      </c>
      <c r="M1483" s="36">
        <v>3600</v>
      </c>
      <c r="N1483" s="40">
        <v>69026.577648766295</v>
      </c>
      <c r="O1483" s="40">
        <v>93738.144578313295</v>
      </c>
      <c r="P1483" s="40">
        <v>412764.00725689402</v>
      </c>
      <c r="Q1483" s="40">
        <v>21536.891566265102</v>
      </c>
      <c r="R1483" s="40">
        <v>526478.83889695199</v>
      </c>
      <c r="S1483" s="40">
        <v>74059.889695210499</v>
      </c>
      <c r="T1483" s="40">
        <v>30000</v>
      </c>
      <c r="U1483" s="40">
        <v>1272529.46298984</v>
      </c>
      <c r="V1483" s="40">
        <v>0</v>
      </c>
      <c r="W1483" s="45">
        <f t="shared" si="80"/>
        <v>2500133.8126322413</v>
      </c>
      <c r="X1483" s="46">
        <f t="shared" si="81"/>
        <v>20.613021506408238</v>
      </c>
    </row>
    <row r="1484" spans="1:24" s="4" customFormat="1" ht="15" customHeight="1">
      <c r="A1484" s="28" t="s">
        <v>2168</v>
      </c>
      <c r="B1484" s="29">
        <v>3271.01</v>
      </c>
      <c r="C1484" s="30" t="s">
        <v>2275</v>
      </c>
      <c r="D1484" s="2">
        <v>4950058270</v>
      </c>
      <c r="E1484" s="2" t="s">
        <v>14</v>
      </c>
      <c r="F1484" s="2" t="s">
        <v>2276</v>
      </c>
      <c r="G1484" s="28" t="s">
        <v>9</v>
      </c>
      <c r="H1484" s="2" t="s">
        <v>23</v>
      </c>
      <c r="I1484" s="2">
        <v>3</v>
      </c>
      <c r="J1484" s="2"/>
      <c r="K1484" s="2">
        <v>47411.199999999997</v>
      </c>
      <c r="L1484" s="35">
        <f t="shared" si="79"/>
        <v>155082509.31200001</v>
      </c>
      <c r="M1484" s="36">
        <v>640</v>
      </c>
      <c r="N1484" s="40">
        <v>344520.57142857101</v>
      </c>
      <c r="O1484" s="48">
        <v>461.142857142857</v>
      </c>
      <c r="P1484" s="40">
        <v>21296.571428571398</v>
      </c>
      <c r="Q1484" s="48">
        <v>11242.857142857099</v>
      </c>
      <c r="R1484" s="40">
        <v>64302.857142857101</v>
      </c>
      <c r="S1484" s="40">
        <v>202489.14285714299</v>
      </c>
      <c r="T1484" s="40">
        <v>30000</v>
      </c>
      <c r="U1484" s="40">
        <v>246804.73372781099</v>
      </c>
      <c r="V1484" s="40">
        <v>0</v>
      </c>
      <c r="W1484" s="45">
        <f t="shared" si="80"/>
        <v>921117.87658495351</v>
      </c>
      <c r="X1484" s="46">
        <f t="shared" si="81"/>
        <v>0.59395342561282571</v>
      </c>
    </row>
    <row r="1485" spans="1:24" s="4" customFormat="1" ht="15" customHeight="1">
      <c r="A1485" s="28" t="s">
        <v>2168</v>
      </c>
      <c r="B1485" s="29">
        <v>3271.01</v>
      </c>
      <c r="C1485" s="30" t="s">
        <v>2275</v>
      </c>
      <c r="D1485" s="2">
        <v>4949838819</v>
      </c>
      <c r="E1485" s="2" t="s">
        <v>14</v>
      </c>
      <c r="F1485" s="2" t="s">
        <v>2276</v>
      </c>
      <c r="G1485" s="28" t="s">
        <v>9</v>
      </c>
      <c r="H1485" s="2" t="s">
        <v>23</v>
      </c>
      <c r="I1485" s="2">
        <v>3</v>
      </c>
      <c r="J1485" s="2"/>
      <c r="K1485" s="2">
        <v>7804.8</v>
      </c>
      <c r="L1485" s="35">
        <f t="shared" si="79"/>
        <v>25529578.848000001</v>
      </c>
      <c r="M1485" s="36">
        <v>480</v>
      </c>
      <c r="N1485" s="40">
        <v>258390.42857142899</v>
      </c>
      <c r="O1485" s="48">
        <v>345.857142857143</v>
      </c>
      <c r="P1485" s="40">
        <v>15972.4285714286</v>
      </c>
      <c r="Q1485" s="48">
        <v>8432.1428571428605</v>
      </c>
      <c r="R1485" s="40">
        <v>48227.142857142899</v>
      </c>
      <c r="S1485" s="40">
        <v>151866.85714285701</v>
      </c>
      <c r="T1485" s="40">
        <v>30000</v>
      </c>
      <c r="U1485" s="40">
        <v>185103.550295858</v>
      </c>
      <c r="V1485" s="40">
        <v>0</v>
      </c>
      <c r="W1485" s="45">
        <f t="shared" si="80"/>
        <v>698338.40743871545</v>
      </c>
      <c r="X1485" s="46">
        <f t="shared" si="81"/>
        <v>2.7354090390465786</v>
      </c>
    </row>
    <row r="1486" spans="1:24" s="4" customFormat="1" ht="15" customHeight="1">
      <c r="A1486" s="28" t="s">
        <v>2168</v>
      </c>
      <c r="B1486" s="29">
        <v>3271.01</v>
      </c>
      <c r="C1486" s="30" t="s">
        <v>2277</v>
      </c>
      <c r="D1486" s="2">
        <v>4949654734</v>
      </c>
      <c r="E1486" s="2" t="s">
        <v>14</v>
      </c>
      <c r="F1486" s="78" t="s">
        <v>2278</v>
      </c>
      <c r="G1486" s="28" t="s">
        <v>13</v>
      </c>
      <c r="H1486" s="2" t="s">
        <v>23</v>
      </c>
      <c r="I1486" s="2">
        <v>1</v>
      </c>
      <c r="J1486" s="2"/>
      <c r="K1486" s="2">
        <v>1854.57</v>
      </c>
      <c r="L1486" s="35">
        <f t="shared" si="79"/>
        <v>6066317.0157000003</v>
      </c>
      <c r="M1486" s="36">
        <v>8</v>
      </c>
      <c r="N1486" s="40">
        <v>307607</v>
      </c>
      <c r="O1486" s="40">
        <v>0</v>
      </c>
      <c r="P1486" s="40">
        <v>0</v>
      </c>
      <c r="Q1486" s="40">
        <v>0</v>
      </c>
      <c r="R1486" s="40">
        <v>1230</v>
      </c>
      <c r="S1486" s="40">
        <v>354356</v>
      </c>
      <c r="T1486" s="40">
        <v>30000</v>
      </c>
      <c r="U1486" s="40">
        <v>28985.8823529412</v>
      </c>
      <c r="V1486" s="40">
        <v>0</v>
      </c>
      <c r="W1486" s="45">
        <f t="shared" si="80"/>
        <v>722178.8823529412</v>
      </c>
      <c r="X1486" s="46">
        <f t="shared" si="81"/>
        <v>11.904733637953605</v>
      </c>
    </row>
    <row r="1487" spans="1:24" s="4" customFormat="1" ht="15" customHeight="1">
      <c r="A1487" s="28" t="s">
        <v>2168</v>
      </c>
      <c r="B1487" s="29">
        <v>3271.01</v>
      </c>
      <c r="C1487" s="30" t="s">
        <v>2279</v>
      </c>
      <c r="D1487" s="2">
        <v>4950089537</v>
      </c>
      <c r="E1487" s="2" t="s">
        <v>14</v>
      </c>
      <c r="F1487" s="78" t="s">
        <v>2280</v>
      </c>
      <c r="G1487" s="28" t="s">
        <v>13</v>
      </c>
      <c r="H1487" s="2" t="s">
        <v>23</v>
      </c>
      <c r="I1487" s="2">
        <v>1</v>
      </c>
      <c r="J1487" s="2"/>
      <c r="K1487" s="2">
        <v>5152.2</v>
      </c>
      <c r="L1487" s="35">
        <f t="shared" si="79"/>
        <v>16852897.721999999</v>
      </c>
      <c r="M1487" s="36">
        <v>60</v>
      </c>
      <c r="N1487" s="40">
        <v>329341</v>
      </c>
      <c r="O1487" s="40">
        <v>0</v>
      </c>
      <c r="P1487" s="40">
        <v>0</v>
      </c>
      <c r="Q1487" s="40">
        <v>0</v>
      </c>
      <c r="R1487" s="40">
        <v>1317</v>
      </c>
      <c r="S1487" s="40">
        <v>354356</v>
      </c>
      <c r="T1487" s="40">
        <v>30000</v>
      </c>
      <c r="U1487" s="40">
        <v>217394.117647059</v>
      </c>
      <c r="V1487" s="40">
        <v>0</v>
      </c>
      <c r="W1487" s="45">
        <f t="shared" si="80"/>
        <v>932408.11764705903</v>
      </c>
      <c r="X1487" s="46">
        <f t="shared" si="81"/>
        <v>5.5326278781712475</v>
      </c>
    </row>
    <row r="1488" spans="1:24" s="4" customFormat="1" ht="15" customHeight="1">
      <c r="A1488" s="28" t="s">
        <v>2168</v>
      </c>
      <c r="B1488" s="29">
        <v>3271.01</v>
      </c>
      <c r="C1488" s="30" t="s">
        <v>2281</v>
      </c>
      <c r="D1488" s="2">
        <v>4950043004</v>
      </c>
      <c r="E1488" s="2" t="s">
        <v>14</v>
      </c>
      <c r="F1488" s="78" t="s">
        <v>2282</v>
      </c>
      <c r="G1488" s="28" t="s">
        <v>13</v>
      </c>
      <c r="H1488" s="2" t="s">
        <v>23</v>
      </c>
      <c r="I1488" s="2">
        <v>4</v>
      </c>
      <c r="J1488" s="2"/>
      <c r="K1488" s="2">
        <f>2616.2+88.21</f>
        <v>2704.41</v>
      </c>
      <c r="L1488" s="35">
        <f t="shared" si="79"/>
        <v>8846152.1541000009</v>
      </c>
      <c r="M1488" s="36">
        <v>20</v>
      </c>
      <c r="N1488" s="40">
        <v>726064</v>
      </c>
      <c r="O1488" s="40">
        <v>0</v>
      </c>
      <c r="P1488" s="40">
        <v>0</v>
      </c>
      <c r="Q1488" s="40">
        <v>0</v>
      </c>
      <c r="R1488" s="40">
        <v>4033</v>
      </c>
      <c r="S1488" s="40">
        <v>354356</v>
      </c>
      <c r="T1488" s="40">
        <v>30000</v>
      </c>
      <c r="U1488" s="40">
        <v>246380</v>
      </c>
      <c r="V1488" s="40">
        <v>0</v>
      </c>
      <c r="W1488" s="45">
        <f t="shared" si="80"/>
        <v>1360833</v>
      </c>
      <c r="X1488" s="46">
        <f t="shared" si="81"/>
        <v>15.383332507674346</v>
      </c>
    </row>
    <row r="1489" spans="1:24" s="4" customFormat="1" ht="15" customHeight="1">
      <c r="A1489" s="28" t="s">
        <v>2168</v>
      </c>
      <c r="B1489" s="29">
        <v>3271.01</v>
      </c>
      <c r="C1489" s="30" t="s">
        <v>2283</v>
      </c>
      <c r="D1489" s="2">
        <v>4950443826</v>
      </c>
      <c r="E1489" s="2" t="s">
        <v>14</v>
      </c>
      <c r="F1489" s="2" t="s">
        <v>2284</v>
      </c>
      <c r="G1489" s="28" t="s">
        <v>13</v>
      </c>
      <c r="H1489" s="2" t="s">
        <v>23</v>
      </c>
      <c r="I1489" s="2">
        <v>1</v>
      </c>
      <c r="J1489" s="2"/>
      <c r="K1489" s="2">
        <v>930.45</v>
      </c>
      <c r="L1489" s="35">
        <f t="shared" si="79"/>
        <v>3043511.2545000003</v>
      </c>
      <c r="M1489" s="36">
        <v>15</v>
      </c>
      <c r="N1489" s="40">
        <v>134971</v>
      </c>
      <c r="O1489" s="40">
        <v>0</v>
      </c>
      <c r="P1489" s="40">
        <v>0</v>
      </c>
      <c r="Q1489" s="40">
        <v>0</v>
      </c>
      <c r="R1489" s="40">
        <v>540</v>
      </c>
      <c r="S1489" s="40">
        <v>354356</v>
      </c>
      <c r="T1489" s="40">
        <v>30000</v>
      </c>
      <c r="U1489" s="40">
        <v>246380</v>
      </c>
      <c r="V1489" s="40">
        <v>0</v>
      </c>
      <c r="W1489" s="45">
        <f t="shared" si="80"/>
        <v>766247</v>
      </c>
      <c r="X1489" s="46">
        <f t="shared" si="81"/>
        <v>25.176414211285113</v>
      </c>
    </row>
    <row r="1490" spans="1:24" s="4" customFormat="1" ht="15" customHeight="1">
      <c r="A1490" s="28" t="s">
        <v>2168</v>
      </c>
      <c r="B1490" s="29">
        <v>3271.01</v>
      </c>
      <c r="C1490" s="30" t="s">
        <v>2285</v>
      </c>
      <c r="D1490" s="2">
        <v>4950640791</v>
      </c>
      <c r="E1490" s="2" t="s">
        <v>33</v>
      </c>
      <c r="F1490" s="2" t="s">
        <v>2286</v>
      </c>
      <c r="G1490" s="28" t="s">
        <v>13</v>
      </c>
      <c r="H1490" s="2" t="s">
        <v>23</v>
      </c>
      <c r="I1490" s="2">
        <v>3</v>
      </c>
      <c r="J1490" s="2"/>
      <c r="K1490" s="2">
        <v>1816.5</v>
      </c>
      <c r="L1490" s="35">
        <f t="shared" si="79"/>
        <v>5941789.665</v>
      </c>
      <c r="M1490" s="36">
        <v>150</v>
      </c>
      <c r="N1490" s="40">
        <v>887641</v>
      </c>
      <c r="O1490" s="40">
        <v>0</v>
      </c>
      <c r="P1490" s="40">
        <v>0</v>
      </c>
      <c r="Q1490" s="40">
        <v>0</v>
      </c>
      <c r="R1490" s="40">
        <v>3551</v>
      </c>
      <c r="S1490" s="40">
        <v>354356</v>
      </c>
      <c r="T1490" s="40"/>
      <c r="U1490" s="40">
        <v>246380</v>
      </c>
      <c r="V1490" s="40">
        <v>0</v>
      </c>
      <c r="W1490" s="45">
        <f t="shared" si="80"/>
        <v>1491928</v>
      </c>
      <c r="X1490" s="46">
        <f t="shared" si="81"/>
        <v>25.109067875427733</v>
      </c>
    </row>
    <row r="1491" spans="1:24" s="4" customFormat="1" ht="15" customHeight="1">
      <c r="A1491" s="28" t="s">
        <v>2168</v>
      </c>
      <c r="B1491" s="29">
        <v>3271.01</v>
      </c>
      <c r="C1491" s="30" t="s">
        <v>2287</v>
      </c>
      <c r="D1491" s="2">
        <v>4950585736</v>
      </c>
      <c r="E1491" s="2" t="s">
        <v>14</v>
      </c>
      <c r="F1491" s="78" t="s">
        <v>2288</v>
      </c>
      <c r="G1491" s="28" t="s">
        <v>13</v>
      </c>
      <c r="H1491" s="2" t="s">
        <v>23</v>
      </c>
      <c r="I1491" s="2">
        <v>3</v>
      </c>
      <c r="J1491" s="2"/>
      <c r="K1491" s="2">
        <f>1962.15+65.19</f>
        <v>2027.3400000000001</v>
      </c>
      <c r="L1491" s="35">
        <f t="shared" si="79"/>
        <v>6631449.4134000009</v>
      </c>
      <c r="M1491" s="36">
        <v>15</v>
      </c>
      <c r="N1491" s="40">
        <v>708579</v>
      </c>
      <c r="O1491" s="40">
        <v>0</v>
      </c>
      <c r="P1491" s="40">
        <v>0</v>
      </c>
      <c r="Q1491" s="40">
        <v>0</v>
      </c>
      <c r="R1491" s="40">
        <v>3669</v>
      </c>
      <c r="S1491" s="40">
        <v>354356</v>
      </c>
      <c r="T1491" s="40">
        <v>30000</v>
      </c>
      <c r="U1491" s="40">
        <v>246380</v>
      </c>
      <c r="V1491" s="40">
        <v>0</v>
      </c>
      <c r="W1491" s="45">
        <f t="shared" si="80"/>
        <v>1342984</v>
      </c>
      <c r="X1491" s="46">
        <f t="shared" si="81"/>
        <v>20.251741606989665</v>
      </c>
    </row>
    <row r="1492" spans="1:24" s="4" customFormat="1" ht="15" customHeight="1">
      <c r="A1492" s="28" t="s">
        <v>2168</v>
      </c>
      <c r="B1492" s="29">
        <v>3271.01</v>
      </c>
      <c r="C1492" s="30" t="s">
        <v>2289</v>
      </c>
      <c r="D1492" s="2">
        <v>4950216343</v>
      </c>
      <c r="E1492" s="2" t="s">
        <v>27</v>
      </c>
      <c r="F1492" s="78" t="s">
        <v>2290</v>
      </c>
      <c r="G1492" s="28" t="s">
        <v>13</v>
      </c>
      <c r="H1492" s="2" t="s">
        <v>23</v>
      </c>
      <c r="I1492" s="2">
        <v>4</v>
      </c>
      <c r="J1492" s="2"/>
      <c r="K1492" s="2">
        <v>310.33</v>
      </c>
      <c r="L1492" s="35">
        <f t="shared" si="79"/>
        <v>1015092.5333</v>
      </c>
      <c r="M1492" s="36">
        <v>25.6</v>
      </c>
      <c r="N1492" s="40">
        <v>1034023.19</v>
      </c>
      <c r="O1492" s="40">
        <v>0</v>
      </c>
      <c r="P1492" s="40">
        <v>0</v>
      </c>
      <c r="Q1492" s="40">
        <v>0</v>
      </c>
      <c r="R1492" s="40">
        <v>4136</v>
      </c>
      <c r="S1492" s="40">
        <v>354356</v>
      </c>
      <c r="T1492" s="40"/>
      <c r="U1492" s="40">
        <v>246380</v>
      </c>
      <c r="V1492" s="40">
        <v>0</v>
      </c>
      <c r="W1492" s="45">
        <f t="shared" si="80"/>
        <v>1638895.19</v>
      </c>
      <c r="X1492" s="46">
        <f t="shared" si="81"/>
        <v>161.4527874293448</v>
      </c>
    </row>
    <row r="1493" spans="1:24" s="4" customFormat="1" ht="15" customHeight="1">
      <c r="A1493" s="28" t="s">
        <v>2168</v>
      </c>
      <c r="B1493" s="29">
        <v>3271.01</v>
      </c>
      <c r="C1493" s="30" t="s">
        <v>2291</v>
      </c>
      <c r="D1493" s="2">
        <v>4950722783</v>
      </c>
      <c r="E1493" s="2" t="s">
        <v>14</v>
      </c>
      <c r="F1493" s="78" t="s">
        <v>2292</v>
      </c>
      <c r="G1493" s="28" t="s">
        <v>13</v>
      </c>
      <c r="H1493" s="2" t="s">
        <v>23</v>
      </c>
      <c r="I1493" s="2">
        <v>7</v>
      </c>
      <c r="J1493" s="2"/>
      <c r="K1493" s="2">
        <v>9013.2000000000007</v>
      </c>
      <c r="L1493" s="35">
        <f t="shared" si="79"/>
        <v>29482267.332000006</v>
      </c>
      <c r="M1493" s="36">
        <v>35</v>
      </c>
      <c r="N1493" s="40">
        <v>428836</v>
      </c>
      <c r="O1493" s="40">
        <v>0</v>
      </c>
      <c r="P1493" s="40">
        <v>0</v>
      </c>
      <c r="Q1493" s="40">
        <v>0</v>
      </c>
      <c r="R1493" s="40">
        <v>4715</v>
      </c>
      <c r="S1493" s="40">
        <v>354356</v>
      </c>
      <c r="T1493" s="40">
        <v>30000</v>
      </c>
      <c r="U1493" s="40">
        <v>246380</v>
      </c>
      <c r="V1493" s="40">
        <v>0</v>
      </c>
      <c r="W1493" s="45">
        <f t="shared" si="80"/>
        <v>1064287</v>
      </c>
      <c r="X1493" s="46">
        <f t="shared" si="81"/>
        <v>3.6099224934604148</v>
      </c>
    </row>
    <row r="1494" spans="1:24" s="4" customFormat="1" ht="15" customHeight="1">
      <c r="A1494" s="28" t="s">
        <v>2168</v>
      </c>
      <c r="B1494" s="29">
        <v>3271.01</v>
      </c>
      <c r="C1494" s="30" t="s">
        <v>2293</v>
      </c>
      <c r="D1494" s="2">
        <v>4950089529</v>
      </c>
      <c r="E1494" s="2" t="s">
        <v>14</v>
      </c>
      <c r="F1494" s="78" t="s">
        <v>2294</v>
      </c>
      <c r="G1494" s="28" t="s">
        <v>13</v>
      </c>
      <c r="H1494" s="2" t="s">
        <v>23</v>
      </c>
      <c r="I1494" s="2">
        <v>1</v>
      </c>
      <c r="J1494" s="2"/>
      <c r="K1494" s="2">
        <v>490.3</v>
      </c>
      <c r="L1494" s="35">
        <f t="shared" si="79"/>
        <v>1603776.2030000002</v>
      </c>
      <c r="M1494" s="36">
        <v>10</v>
      </c>
      <c r="N1494" s="40">
        <v>24495.1578947368</v>
      </c>
      <c r="O1494" s="40">
        <v>0</v>
      </c>
      <c r="P1494" s="40">
        <v>0</v>
      </c>
      <c r="Q1494" s="40">
        <v>0</v>
      </c>
      <c r="R1494" s="40">
        <v>1992.7368421052599</v>
      </c>
      <c r="S1494" s="40">
        <v>37300.631578947403</v>
      </c>
      <c r="T1494" s="40">
        <v>30000</v>
      </c>
      <c r="U1494" s="40">
        <v>13317.8378378378</v>
      </c>
      <c r="V1494" s="40">
        <v>0</v>
      </c>
      <c r="W1494" s="45">
        <f t="shared" si="80"/>
        <v>107106.36415362726</v>
      </c>
      <c r="X1494" s="46">
        <f t="shared" si="81"/>
        <v>6.6783859215067336</v>
      </c>
    </row>
    <row r="1495" spans="1:24" s="4" customFormat="1" ht="15" customHeight="1">
      <c r="A1495" s="28" t="s">
        <v>2168</v>
      </c>
      <c r="B1495" s="29">
        <v>3271.01</v>
      </c>
      <c r="C1495" s="30" t="s">
        <v>2293</v>
      </c>
      <c r="D1495" s="2">
        <v>4950215963</v>
      </c>
      <c r="E1495" s="2" t="s">
        <v>14</v>
      </c>
      <c r="F1495" s="78" t="s">
        <v>2294</v>
      </c>
      <c r="G1495" s="28" t="s">
        <v>13</v>
      </c>
      <c r="H1495" s="2" t="s">
        <v>23</v>
      </c>
      <c r="I1495" s="2">
        <v>1</v>
      </c>
      <c r="J1495" s="2"/>
      <c r="K1495" s="2">
        <v>911.6</v>
      </c>
      <c r="L1495" s="35">
        <f t="shared" si="79"/>
        <v>2981852.7160000005</v>
      </c>
      <c r="M1495" s="36">
        <v>20</v>
      </c>
      <c r="N1495" s="40">
        <v>48990.315789473701</v>
      </c>
      <c r="O1495" s="40">
        <v>0</v>
      </c>
      <c r="P1495" s="40">
        <v>0</v>
      </c>
      <c r="Q1495" s="40">
        <v>0</v>
      </c>
      <c r="R1495" s="40">
        <v>3985.4736842105299</v>
      </c>
      <c r="S1495" s="40">
        <v>74601.263157894704</v>
      </c>
      <c r="T1495" s="40">
        <v>30000</v>
      </c>
      <c r="U1495" s="40">
        <v>26635.675675675699</v>
      </c>
      <c r="V1495" s="40">
        <v>0</v>
      </c>
      <c r="W1495" s="45">
        <f t="shared" si="80"/>
        <v>184212.72830725464</v>
      </c>
      <c r="X1495" s="46">
        <f t="shared" si="81"/>
        <v>6.177794339700533</v>
      </c>
    </row>
    <row r="1496" spans="1:24" s="4" customFormat="1" ht="15" customHeight="1">
      <c r="A1496" s="28" t="s">
        <v>2168</v>
      </c>
      <c r="B1496" s="29">
        <v>3271.01</v>
      </c>
      <c r="C1496" s="30" t="s">
        <v>2293</v>
      </c>
      <c r="D1496" s="2">
        <v>4950215963</v>
      </c>
      <c r="E1496" s="2" t="s">
        <v>14</v>
      </c>
      <c r="F1496" s="78" t="s">
        <v>2294</v>
      </c>
      <c r="G1496" s="28" t="s">
        <v>13</v>
      </c>
      <c r="H1496" s="2" t="s">
        <v>23</v>
      </c>
      <c r="I1496" s="2">
        <v>1</v>
      </c>
      <c r="J1496" s="2"/>
      <c r="K1496" s="2">
        <v>561.5</v>
      </c>
      <c r="L1496" s="35">
        <f t="shared" si="79"/>
        <v>1836672.1150000002</v>
      </c>
      <c r="M1496" s="36">
        <v>10</v>
      </c>
      <c r="N1496" s="40">
        <v>24495.1578947368</v>
      </c>
      <c r="O1496" s="40">
        <v>0</v>
      </c>
      <c r="P1496" s="40">
        <v>0</v>
      </c>
      <c r="Q1496" s="40">
        <v>0</v>
      </c>
      <c r="R1496" s="40">
        <v>1992.7368421052599</v>
      </c>
      <c r="S1496" s="40">
        <v>37300.631578947403</v>
      </c>
      <c r="T1496" s="40">
        <v>30000</v>
      </c>
      <c r="U1496" s="40">
        <v>13317.8378378378</v>
      </c>
      <c r="V1496" s="40">
        <v>0</v>
      </c>
      <c r="W1496" s="45">
        <f t="shared" si="80"/>
        <v>107106.36415362726</v>
      </c>
      <c r="X1496" s="46">
        <f t="shared" si="81"/>
        <v>5.8315451777644727</v>
      </c>
    </row>
    <row r="1497" spans="1:24" s="4" customFormat="1" ht="15" customHeight="1">
      <c r="A1497" s="28" t="s">
        <v>2168</v>
      </c>
      <c r="B1497" s="29">
        <v>3271.01</v>
      </c>
      <c r="C1497" s="30" t="s">
        <v>2293</v>
      </c>
      <c r="D1497" s="2">
        <v>4950215963</v>
      </c>
      <c r="E1497" s="2" t="s">
        <v>14</v>
      </c>
      <c r="F1497" s="78" t="s">
        <v>2294</v>
      </c>
      <c r="G1497" s="28" t="s">
        <v>13</v>
      </c>
      <c r="H1497" s="2" t="s">
        <v>23</v>
      </c>
      <c r="I1497" s="2">
        <v>1</v>
      </c>
      <c r="J1497" s="2"/>
      <c r="K1497" s="2">
        <v>906.6</v>
      </c>
      <c r="L1497" s="35">
        <f t="shared" si="79"/>
        <v>2965497.6660000002</v>
      </c>
      <c r="M1497" s="36">
        <v>20</v>
      </c>
      <c r="N1497" s="40">
        <v>48990.315789473701</v>
      </c>
      <c r="O1497" s="40">
        <v>0</v>
      </c>
      <c r="P1497" s="40">
        <v>0</v>
      </c>
      <c r="Q1497" s="40">
        <v>0</v>
      </c>
      <c r="R1497" s="40">
        <v>3985.4736842105299</v>
      </c>
      <c r="S1497" s="40">
        <v>74601.263157894704</v>
      </c>
      <c r="T1497" s="40">
        <v>30000</v>
      </c>
      <c r="U1497" s="40">
        <v>26635.675675675699</v>
      </c>
      <c r="V1497" s="40">
        <v>0</v>
      </c>
      <c r="W1497" s="45">
        <f t="shared" si="80"/>
        <v>184212.72830725464</v>
      </c>
      <c r="X1497" s="46">
        <f t="shared" si="81"/>
        <v>6.2118655637227072</v>
      </c>
    </row>
    <row r="1498" spans="1:24" s="4" customFormat="1" ht="15" customHeight="1">
      <c r="A1498" s="28" t="s">
        <v>2168</v>
      </c>
      <c r="B1498" s="29">
        <v>3271.01</v>
      </c>
      <c r="C1498" s="30" t="s">
        <v>2293</v>
      </c>
      <c r="D1498" s="2">
        <v>4950216842</v>
      </c>
      <c r="E1498" s="2" t="s">
        <v>14</v>
      </c>
      <c r="F1498" s="78" t="s">
        <v>2294</v>
      </c>
      <c r="G1498" s="28" t="s">
        <v>13</v>
      </c>
      <c r="H1498" s="2" t="s">
        <v>23</v>
      </c>
      <c r="I1498" s="2">
        <v>1</v>
      </c>
      <c r="J1498" s="2"/>
      <c r="K1498" s="2">
        <v>1977.3</v>
      </c>
      <c r="L1498" s="35">
        <f t="shared" si="79"/>
        <v>6467768.0729999999</v>
      </c>
      <c r="M1498" s="36">
        <v>15</v>
      </c>
      <c r="N1498" s="40">
        <v>36742.736842105303</v>
      </c>
      <c r="O1498" s="40">
        <v>0</v>
      </c>
      <c r="P1498" s="40">
        <v>0</v>
      </c>
      <c r="Q1498" s="40">
        <v>0</v>
      </c>
      <c r="R1498" s="40">
        <v>2989.10526315789</v>
      </c>
      <c r="S1498" s="40">
        <v>55950.947368421002</v>
      </c>
      <c r="T1498" s="40">
        <v>30000</v>
      </c>
      <c r="U1498" s="40">
        <v>19976.7567567568</v>
      </c>
      <c r="V1498" s="40">
        <v>0</v>
      </c>
      <c r="W1498" s="45">
        <f t="shared" si="80"/>
        <v>145659.54623044099</v>
      </c>
      <c r="X1498" s="46">
        <f t="shared" si="81"/>
        <v>2.2520836335876604</v>
      </c>
    </row>
    <row r="1499" spans="1:24" s="4" customFormat="1" ht="15" customHeight="1">
      <c r="A1499" s="28" t="s">
        <v>2168</v>
      </c>
      <c r="B1499" s="29">
        <v>3271.01</v>
      </c>
      <c r="C1499" s="30" t="s">
        <v>2293</v>
      </c>
      <c r="D1499" s="2">
        <v>4950216842</v>
      </c>
      <c r="E1499" s="2" t="s">
        <v>14</v>
      </c>
      <c r="F1499" s="78" t="s">
        <v>2294</v>
      </c>
      <c r="G1499" s="28" t="s">
        <v>13</v>
      </c>
      <c r="H1499" s="2" t="s">
        <v>23</v>
      </c>
      <c r="I1499" s="2">
        <v>1</v>
      </c>
      <c r="J1499" s="2"/>
      <c r="K1499" s="2">
        <v>3862</v>
      </c>
      <c r="L1499" s="35">
        <f t="shared" si="79"/>
        <v>12632640.620000001</v>
      </c>
      <c r="M1499" s="36">
        <v>20</v>
      </c>
      <c r="N1499" s="40">
        <v>48990.315789473701</v>
      </c>
      <c r="O1499" s="40">
        <v>0</v>
      </c>
      <c r="P1499" s="40">
        <v>0</v>
      </c>
      <c r="Q1499" s="40">
        <v>0</v>
      </c>
      <c r="R1499" s="40">
        <v>3985.4736842105299</v>
      </c>
      <c r="S1499" s="40">
        <v>74601.263157894704</v>
      </c>
      <c r="T1499" s="40">
        <v>30000</v>
      </c>
      <c r="U1499" s="40">
        <v>26635.675675675699</v>
      </c>
      <c r="V1499" s="40">
        <v>0</v>
      </c>
      <c r="W1499" s="45">
        <f t="shared" si="80"/>
        <v>184212.72830725464</v>
      </c>
      <c r="X1499" s="46">
        <f t="shared" si="81"/>
        <v>1.4582282030220111</v>
      </c>
    </row>
    <row r="1500" spans="1:24" s="4" customFormat="1" ht="15" customHeight="1">
      <c r="A1500" s="28" t="s">
        <v>2168</v>
      </c>
      <c r="B1500" s="29">
        <v>3271.01</v>
      </c>
      <c r="C1500" s="30" t="s">
        <v>2295</v>
      </c>
      <c r="D1500" s="2">
        <v>4949681929</v>
      </c>
      <c r="E1500" s="2" t="s">
        <v>14</v>
      </c>
      <c r="F1500" s="2" t="s">
        <v>2296</v>
      </c>
      <c r="G1500" s="28" t="s">
        <v>5</v>
      </c>
      <c r="H1500" s="2" t="s">
        <v>20</v>
      </c>
      <c r="I1500" s="2">
        <v>1</v>
      </c>
      <c r="J1500" s="2" t="s">
        <v>2297</v>
      </c>
      <c r="K1500" s="2">
        <v>18000</v>
      </c>
      <c r="L1500" s="35">
        <f t="shared" si="79"/>
        <v>58878180.000000007</v>
      </c>
      <c r="M1500" s="36">
        <v>18000</v>
      </c>
      <c r="N1500" s="40">
        <v>0</v>
      </c>
      <c r="O1500" s="40">
        <v>332655</v>
      </c>
      <c r="P1500" s="40">
        <v>323668</v>
      </c>
      <c r="Q1500" s="40">
        <v>99309</v>
      </c>
      <c r="R1500" s="40">
        <v>632344</v>
      </c>
      <c r="S1500" s="40">
        <v>354356</v>
      </c>
      <c r="T1500" s="40">
        <v>30000</v>
      </c>
      <c r="U1500" s="40">
        <v>0</v>
      </c>
      <c r="V1500" s="40">
        <v>0</v>
      </c>
      <c r="W1500" s="45">
        <f t="shared" si="80"/>
        <v>1772332</v>
      </c>
      <c r="X1500" s="46">
        <f t="shared" si="81"/>
        <v>3.0101677735283254</v>
      </c>
    </row>
    <row r="1501" spans="1:24" s="4" customFormat="1" ht="15" customHeight="1">
      <c r="A1501" s="28" t="s">
        <v>2168</v>
      </c>
      <c r="B1501" s="29">
        <v>3271.01</v>
      </c>
      <c r="C1501" s="30" t="s">
        <v>2298</v>
      </c>
      <c r="D1501" s="2">
        <v>4949590183</v>
      </c>
      <c r="E1501" s="2" t="s">
        <v>24</v>
      </c>
      <c r="F1501" s="2" t="s">
        <v>2299</v>
      </c>
      <c r="G1501" s="28" t="s">
        <v>9</v>
      </c>
      <c r="H1501" s="2" t="s">
        <v>23</v>
      </c>
      <c r="I1501" s="2">
        <v>2</v>
      </c>
      <c r="J1501" s="2"/>
      <c r="K1501" s="2">
        <v>1166.4000000000001</v>
      </c>
      <c r="L1501" s="35">
        <f t="shared" si="79"/>
        <v>3815306.0640000007</v>
      </c>
      <c r="M1501" s="36">
        <v>135</v>
      </c>
      <c r="N1501" s="40">
        <v>188923.15384615399</v>
      </c>
      <c r="O1501" s="40">
        <v>100.471153846154</v>
      </c>
      <c r="P1501" s="40">
        <v>5850.6923076923104</v>
      </c>
      <c r="Q1501" s="40">
        <v>3117.4615384615399</v>
      </c>
      <c r="R1501" s="40">
        <v>27280.125</v>
      </c>
      <c r="S1501" s="40">
        <v>91996.269230769205</v>
      </c>
      <c r="T1501" s="48"/>
      <c r="U1501" s="40">
        <v>355075.96153846203</v>
      </c>
      <c r="V1501" s="40">
        <v>0</v>
      </c>
      <c r="W1501" s="45">
        <f t="shared" si="80"/>
        <v>672344.13461538521</v>
      </c>
      <c r="X1501" s="46">
        <f t="shared" si="81"/>
        <v>17.622285691819272</v>
      </c>
    </row>
    <row r="1502" spans="1:24" s="4" customFormat="1" ht="15" customHeight="1">
      <c r="A1502" s="28" t="s">
        <v>2168</v>
      </c>
      <c r="B1502" s="29">
        <v>3271.01</v>
      </c>
      <c r="C1502" s="30" t="s">
        <v>2298</v>
      </c>
      <c r="D1502" s="2">
        <v>4950215969</v>
      </c>
      <c r="E1502" s="2" t="s">
        <v>24</v>
      </c>
      <c r="F1502" s="2" t="s">
        <v>2299</v>
      </c>
      <c r="G1502" s="28" t="s">
        <v>9</v>
      </c>
      <c r="H1502" s="2" t="s">
        <v>23</v>
      </c>
      <c r="I1502" s="2">
        <v>2</v>
      </c>
      <c r="J1502" s="2"/>
      <c r="K1502" s="2">
        <v>9859.85</v>
      </c>
      <c r="L1502" s="35">
        <f t="shared" si="79"/>
        <v>32251667.948500004</v>
      </c>
      <c r="M1502" s="36">
        <v>385</v>
      </c>
      <c r="N1502" s="40">
        <v>538780.84615384601</v>
      </c>
      <c r="O1502" s="40">
        <v>286.52884615384602</v>
      </c>
      <c r="P1502" s="40">
        <v>16685.307692307699</v>
      </c>
      <c r="Q1502" s="40">
        <v>8890.5384615384592</v>
      </c>
      <c r="R1502" s="40">
        <v>77798.875</v>
      </c>
      <c r="S1502" s="40">
        <v>262359.73076923098</v>
      </c>
      <c r="T1502" s="48"/>
      <c r="U1502" s="40">
        <v>1012624.03846154</v>
      </c>
      <c r="V1502" s="40">
        <v>0</v>
      </c>
      <c r="W1502" s="45">
        <f t="shared" si="80"/>
        <v>1917425.8653846171</v>
      </c>
      <c r="X1502" s="46">
        <f t="shared" si="81"/>
        <v>5.9451990775993186</v>
      </c>
    </row>
    <row r="1503" spans="1:24" s="4" customFormat="1" ht="15" customHeight="1">
      <c r="A1503" s="28" t="s">
        <v>2168</v>
      </c>
      <c r="B1503" s="29">
        <v>3271.01</v>
      </c>
      <c r="C1503" s="30" t="s">
        <v>2300</v>
      </c>
      <c r="D1503" s="2">
        <v>4950210634</v>
      </c>
      <c r="E1503" s="2" t="s">
        <v>14</v>
      </c>
      <c r="F1503" s="2" t="s">
        <v>2301</v>
      </c>
      <c r="G1503" s="28" t="s">
        <v>5</v>
      </c>
      <c r="H1503" s="2" t="s">
        <v>17</v>
      </c>
      <c r="I1503" s="2">
        <v>1</v>
      </c>
      <c r="J1503" s="2" t="s">
        <v>2302</v>
      </c>
      <c r="K1503" s="2">
        <v>3310</v>
      </c>
      <c r="L1503" s="35">
        <f t="shared" si="79"/>
        <v>10827043.100000001</v>
      </c>
      <c r="M1503" s="36">
        <v>100</v>
      </c>
      <c r="N1503" s="40">
        <v>2778.17759721416</v>
      </c>
      <c r="O1503" s="40">
        <v>2532.81485780615</v>
      </c>
      <c r="P1503" s="40">
        <v>0</v>
      </c>
      <c r="Q1503" s="40">
        <v>576.37260591990696</v>
      </c>
      <c r="R1503" s="40">
        <v>5312.9674985490401</v>
      </c>
      <c r="S1503" s="40">
        <v>2056.6221706326201</v>
      </c>
      <c r="T1503" s="40">
        <v>30000</v>
      </c>
      <c r="U1503" s="40">
        <v>31610.853163087599</v>
      </c>
      <c r="V1503" s="40">
        <v>0</v>
      </c>
      <c r="W1503" s="45">
        <f t="shared" si="80"/>
        <v>74867.80789320948</v>
      </c>
      <c r="X1503" s="46">
        <f t="shared" si="81"/>
        <v>0.69148896149872607</v>
      </c>
    </row>
    <row r="1504" spans="1:24" s="4" customFormat="1" ht="15" customHeight="1">
      <c r="A1504" s="28" t="s">
        <v>2168</v>
      </c>
      <c r="B1504" s="29">
        <v>3271.01</v>
      </c>
      <c r="C1504" s="30" t="s">
        <v>2300</v>
      </c>
      <c r="D1504" s="2">
        <v>4950365721</v>
      </c>
      <c r="E1504" s="2" t="s">
        <v>14</v>
      </c>
      <c r="F1504" s="2" t="s">
        <v>2301</v>
      </c>
      <c r="G1504" s="28" t="s">
        <v>5</v>
      </c>
      <c r="H1504" s="2" t="s">
        <v>17</v>
      </c>
      <c r="I1504" s="2">
        <v>1</v>
      </c>
      <c r="J1504" s="2" t="s">
        <v>2302</v>
      </c>
      <c r="K1504" s="2">
        <v>3310</v>
      </c>
      <c r="L1504" s="35">
        <f t="shared" si="79"/>
        <v>10827043.100000001</v>
      </c>
      <c r="M1504" s="36">
        <v>100</v>
      </c>
      <c r="N1504" s="40">
        <v>2778.17759721416</v>
      </c>
      <c r="O1504" s="40">
        <v>2532.81485780615</v>
      </c>
      <c r="P1504" s="40">
        <v>0</v>
      </c>
      <c r="Q1504" s="40">
        <v>576.37260591990696</v>
      </c>
      <c r="R1504" s="40">
        <v>5312.9674985490401</v>
      </c>
      <c r="S1504" s="40">
        <v>2056.6221706326201</v>
      </c>
      <c r="T1504" s="40">
        <v>30000</v>
      </c>
      <c r="U1504" s="40">
        <v>31610.853163087599</v>
      </c>
      <c r="V1504" s="40">
        <v>0</v>
      </c>
      <c r="W1504" s="45">
        <f t="shared" si="80"/>
        <v>74867.80789320948</v>
      </c>
      <c r="X1504" s="46">
        <f t="shared" si="81"/>
        <v>0.69148896149872607</v>
      </c>
    </row>
    <row r="1505" spans="1:24" s="4" customFormat="1" ht="15" customHeight="1">
      <c r="A1505" s="28" t="s">
        <v>2168</v>
      </c>
      <c r="B1505" s="29">
        <v>3271.01</v>
      </c>
      <c r="C1505" s="30" t="s">
        <v>2300</v>
      </c>
      <c r="D1505" s="2" t="s">
        <v>2303</v>
      </c>
      <c r="E1505" s="2" t="s">
        <v>14</v>
      </c>
      <c r="F1505" s="2" t="s">
        <v>2301</v>
      </c>
      <c r="G1505" s="28" t="s">
        <v>5</v>
      </c>
      <c r="H1505" s="2" t="s">
        <v>17</v>
      </c>
      <c r="I1505" s="2">
        <v>1</v>
      </c>
      <c r="J1505" s="2" t="s">
        <v>2302</v>
      </c>
      <c r="K1505" s="2">
        <v>3335.2</v>
      </c>
      <c r="L1505" s="35">
        <f t="shared" si="79"/>
        <v>10909472.551999999</v>
      </c>
      <c r="M1505" s="36">
        <v>880</v>
      </c>
      <c r="N1505" s="40">
        <v>24447.962855484599</v>
      </c>
      <c r="O1505" s="40">
        <v>22288.7707486941</v>
      </c>
      <c r="P1505" s="40">
        <v>0</v>
      </c>
      <c r="Q1505" s="40">
        <v>5072.0789320951799</v>
      </c>
      <c r="R1505" s="40">
        <v>46752.313987231602</v>
      </c>
      <c r="S1505" s="40">
        <v>18098.275101567</v>
      </c>
      <c r="T1505" s="40">
        <v>30000</v>
      </c>
      <c r="U1505" s="40">
        <v>278175.50783517101</v>
      </c>
      <c r="V1505" s="40">
        <v>0</v>
      </c>
      <c r="W1505" s="45">
        <f t="shared" si="80"/>
        <v>424834.90946024354</v>
      </c>
      <c r="X1505" s="46">
        <f t="shared" si="81"/>
        <v>3.8941837695201853</v>
      </c>
    </row>
    <row r="1506" spans="1:24" s="4" customFormat="1" ht="15" customHeight="1">
      <c r="A1506" s="28" t="s">
        <v>2168</v>
      </c>
      <c r="B1506" s="29">
        <v>3271.01</v>
      </c>
      <c r="C1506" s="30" t="s">
        <v>2300</v>
      </c>
      <c r="D1506" s="2" t="s">
        <v>2303</v>
      </c>
      <c r="E1506" s="2" t="s">
        <v>14</v>
      </c>
      <c r="F1506" s="2" t="s">
        <v>2301</v>
      </c>
      <c r="G1506" s="28" t="s">
        <v>5</v>
      </c>
      <c r="H1506" s="2" t="s">
        <v>17</v>
      </c>
      <c r="I1506" s="2">
        <v>1</v>
      </c>
      <c r="J1506" s="2" t="s">
        <v>2302</v>
      </c>
      <c r="K1506" s="2">
        <v>7884</v>
      </c>
      <c r="L1506" s="35">
        <f t="shared" si="79"/>
        <v>25788642.840000004</v>
      </c>
      <c r="M1506" s="36">
        <v>3600</v>
      </c>
      <c r="N1506" s="40">
        <v>100014.39349971</v>
      </c>
      <c r="O1506" s="40">
        <v>91181.334881021496</v>
      </c>
      <c r="P1506" s="40">
        <v>0</v>
      </c>
      <c r="Q1506" s="40">
        <v>20749.413813116698</v>
      </c>
      <c r="R1506" s="40">
        <v>191258.829947766</v>
      </c>
      <c r="S1506" s="40">
        <v>74038.398142774196</v>
      </c>
      <c r="T1506" s="40">
        <v>30000</v>
      </c>
      <c r="U1506" s="40">
        <v>1137990.71387115</v>
      </c>
      <c r="V1506" s="40">
        <v>0</v>
      </c>
      <c r="W1506" s="45">
        <f t="shared" si="80"/>
        <v>1645233.0841555384</v>
      </c>
      <c r="X1506" s="46">
        <f t="shared" si="81"/>
        <v>6.3796807546757206</v>
      </c>
    </row>
    <row r="1507" spans="1:24" s="4" customFormat="1" ht="15" customHeight="1">
      <c r="A1507" s="28" t="s">
        <v>2168</v>
      </c>
      <c r="B1507" s="29">
        <v>3271.01</v>
      </c>
      <c r="C1507" s="30" t="s">
        <v>2300</v>
      </c>
      <c r="D1507" s="2">
        <v>4949868828</v>
      </c>
      <c r="E1507" s="2" t="s">
        <v>14</v>
      </c>
      <c r="F1507" s="2" t="s">
        <v>2301</v>
      </c>
      <c r="G1507" s="28" t="s">
        <v>5</v>
      </c>
      <c r="H1507" s="2" t="s">
        <v>17</v>
      </c>
      <c r="I1507" s="2">
        <v>1</v>
      </c>
      <c r="J1507" s="2" t="s">
        <v>2302</v>
      </c>
      <c r="K1507" s="2">
        <v>2142</v>
      </c>
      <c r="L1507" s="35">
        <f t="shared" si="79"/>
        <v>7006503.4200000009</v>
      </c>
      <c r="M1507" s="36">
        <v>900</v>
      </c>
      <c r="N1507" s="40">
        <v>25003.5983749275</v>
      </c>
      <c r="O1507" s="40">
        <v>22795.333720255399</v>
      </c>
      <c r="P1507" s="40">
        <v>0</v>
      </c>
      <c r="Q1507" s="40">
        <v>5187.35345327916</v>
      </c>
      <c r="R1507" s="40">
        <v>47814.707486941399</v>
      </c>
      <c r="S1507" s="40">
        <v>18509.5995356936</v>
      </c>
      <c r="T1507" s="40">
        <v>30000</v>
      </c>
      <c r="U1507" s="40">
        <v>284497.67846778902</v>
      </c>
      <c r="V1507" s="40">
        <v>0</v>
      </c>
      <c r="W1507" s="45">
        <f t="shared" si="80"/>
        <v>433808.2710388861</v>
      </c>
      <c r="X1507" s="46">
        <f t="shared" si="81"/>
        <v>6.1915087317389199</v>
      </c>
    </row>
    <row r="1508" spans="1:24" s="4" customFormat="1" ht="15" customHeight="1">
      <c r="A1508" s="28" t="s">
        <v>2168</v>
      </c>
      <c r="B1508" s="29">
        <v>3271.01</v>
      </c>
      <c r="C1508" s="30" t="s">
        <v>2300</v>
      </c>
      <c r="D1508" s="2">
        <v>4950090432</v>
      </c>
      <c r="E1508" s="2" t="s">
        <v>14</v>
      </c>
      <c r="F1508" s="2" t="s">
        <v>2301</v>
      </c>
      <c r="G1508" s="28" t="s">
        <v>5</v>
      </c>
      <c r="H1508" s="2" t="s">
        <v>17</v>
      </c>
      <c r="I1508" s="2">
        <v>1</v>
      </c>
      <c r="J1508" s="2" t="s">
        <v>2302</v>
      </c>
      <c r="K1508" s="2">
        <v>2247</v>
      </c>
      <c r="L1508" s="35">
        <f t="shared" si="79"/>
        <v>7349959.4700000007</v>
      </c>
      <c r="M1508" s="36">
        <v>700</v>
      </c>
      <c r="N1508" s="40">
        <v>19447.243180499099</v>
      </c>
      <c r="O1508" s="40">
        <v>17729.704004643099</v>
      </c>
      <c r="P1508" s="40">
        <v>0</v>
      </c>
      <c r="Q1508" s="40">
        <v>4034.60824143935</v>
      </c>
      <c r="R1508" s="40">
        <v>37188.772489843301</v>
      </c>
      <c r="S1508" s="40">
        <v>14396.355194428301</v>
      </c>
      <c r="T1508" s="40">
        <v>30000</v>
      </c>
      <c r="U1508" s="40">
        <v>221275.97214161299</v>
      </c>
      <c r="V1508" s="40">
        <v>0</v>
      </c>
      <c r="W1508" s="45">
        <f t="shared" si="80"/>
        <v>344072.65525246615</v>
      </c>
      <c r="X1508" s="46">
        <f t="shared" si="81"/>
        <v>4.6812864296306946</v>
      </c>
    </row>
    <row r="1509" spans="1:24" s="4" customFormat="1" ht="15" customHeight="1">
      <c r="A1509" s="28" t="s">
        <v>2168</v>
      </c>
      <c r="B1509" s="29">
        <v>3271.01</v>
      </c>
      <c r="C1509" s="30" t="s">
        <v>2300</v>
      </c>
      <c r="D1509" s="2">
        <v>4950210615</v>
      </c>
      <c r="E1509" s="2" t="s">
        <v>14</v>
      </c>
      <c r="F1509" s="2" t="s">
        <v>2301</v>
      </c>
      <c r="G1509" s="28" t="s">
        <v>5</v>
      </c>
      <c r="H1509" s="2" t="s">
        <v>17</v>
      </c>
      <c r="I1509" s="2">
        <v>1</v>
      </c>
      <c r="J1509" s="2" t="s">
        <v>2302</v>
      </c>
      <c r="K1509" s="2">
        <f>135.9+135.9</f>
        <v>271.8</v>
      </c>
      <c r="L1509" s="35">
        <f t="shared" si="79"/>
        <v>889060.51800000004</v>
      </c>
      <c r="M1509" s="36">
        <f>10+10</f>
        <v>20</v>
      </c>
      <c r="N1509" s="40">
        <v>555.63551944283199</v>
      </c>
      <c r="O1509" s="40">
        <v>506.56297156122997</v>
      </c>
      <c r="P1509" s="40">
        <v>0</v>
      </c>
      <c r="Q1509" s="40">
        <v>115.27452118398099</v>
      </c>
      <c r="R1509" s="40">
        <v>1062.3934997098099</v>
      </c>
      <c r="S1509" s="40">
        <v>411.32443412652299</v>
      </c>
      <c r="T1509" s="40">
        <v>30000</v>
      </c>
      <c r="U1509" s="40">
        <v>6322.1706326175299</v>
      </c>
      <c r="V1509" s="40">
        <v>0</v>
      </c>
      <c r="W1509" s="45">
        <f t="shared" si="80"/>
        <v>38973.36157864191</v>
      </c>
      <c r="X1509" s="46">
        <f t="shared" si="81"/>
        <v>4.3836567690931822</v>
      </c>
    </row>
    <row r="1510" spans="1:24" s="4" customFormat="1" ht="15" customHeight="1">
      <c r="A1510" s="28" t="s">
        <v>2168</v>
      </c>
      <c r="B1510" s="29">
        <v>3271.01</v>
      </c>
      <c r="C1510" s="30" t="s">
        <v>2300</v>
      </c>
      <c r="D1510" s="2">
        <v>4950365720</v>
      </c>
      <c r="E1510" s="2" t="s">
        <v>14</v>
      </c>
      <c r="F1510" s="2" t="s">
        <v>2301</v>
      </c>
      <c r="G1510" s="28" t="s">
        <v>5</v>
      </c>
      <c r="H1510" s="2" t="s">
        <v>17</v>
      </c>
      <c r="I1510" s="2">
        <v>1</v>
      </c>
      <c r="J1510" s="2" t="s">
        <v>2302</v>
      </c>
      <c r="K1510" s="2">
        <v>14742</v>
      </c>
      <c r="L1510" s="35">
        <f t="shared" si="79"/>
        <v>48221229.420000002</v>
      </c>
      <c r="M1510" s="36">
        <f>4950+1350</f>
        <v>6300</v>
      </c>
      <c r="N1510" s="40">
        <v>175025.188624492</v>
      </c>
      <c r="O1510" s="40">
        <v>159567.33604178799</v>
      </c>
      <c r="P1510" s="40">
        <v>0</v>
      </c>
      <c r="Q1510" s="40">
        <v>36311.474172954098</v>
      </c>
      <c r="R1510" s="40">
        <v>334701.95240859</v>
      </c>
      <c r="S1510" s="40">
        <v>129567.19674985499</v>
      </c>
      <c r="T1510" s="40">
        <v>30000</v>
      </c>
      <c r="U1510" s="40">
        <v>1991483.74927452</v>
      </c>
      <c r="V1510" s="40">
        <v>0</v>
      </c>
      <c r="W1510" s="45">
        <f t="shared" si="80"/>
        <v>2856656.8972721989</v>
      </c>
      <c r="X1510" s="46">
        <f t="shared" si="81"/>
        <v>5.9240648395567153</v>
      </c>
    </row>
    <row r="1511" spans="1:24" s="4" customFormat="1" ht="15" customHeight="1">
      <c r="A1511" s="28" t="s">
        <v>2168</v>
      </c>
      <c r="B1511" s="29">
        <v>3271.01</v>
      </c>
      <c r="C1511" s="30" t="s">
        <v>2300</v>
      </c>
      <c r="D1511" s="2">
        <v>4950274555</v>
      </c>
      <c r="E1511" s="2" t="s">
        <v>14</v>
      </c>
      <c r="F1511" s="2" t="s">
        <v>2301</v>
      </c>
      <c r="G1511" s="28" t="s">
        <v>5</v>
      </c>
      <c r="H1511" s="2" t="s">
        <v>17</v>
      </c>
      <c r="I1511" s="2">
        <v>1</v>
      </c>
      <c r="J1511" s="2" t="s">
        <v>2302</v>
      </c>
      <c r="K1511" s="2">
        <v>2226.8000000000002</v>
      </c>
      <c r="L1511" s="35">
        <f t="shared" si="79"/>
        <v>7283885.0680000009</v>
      </c>
      <c r="M1511" s="36">
        <v>760</v>
      </c>
      <c r="N1511" s="40">
        <v>21114.1497388276</v>
      </c>
      <c r="O1511" s="40">
        <v>19249.392919326801</v>
      </c>
      <c r="P1511" s="40">
        <v>0</v>
      </c>
      <c r="Q1511" s="40">
        <v>4380.4318049912899</v>
      </c>
      <c r="R1511" s="40">
        <v>40376.952988972698</v>
      </c>
      <c r="S1511" s="40">
        <v>15630.328496807901</v>
      </c>
      <c r="T1511" s="40">
        <v>30000</v>
      </c>
      <c r="U1511" s="40">
        <v>240242.48403946601</v>
      </c>
      <c r="V1511" s="40">
        <v>0</v>
      </c>
      <c r="W1511" s="45">
        <f t="shared" si="80"/>
        <v>370993.73998839234</v>
      </c>
      <c r="X1511" s="46">
        <f t="shared" si="81"/>
        <v>5.0933497237382861</v>
      </c>
    </row>
    <row r="1512" spans="1:24" s="4" customFormat="1" ht="15" customHeight="1">
      <c r="A1512" s="28" t="s">
        <v>2168</v>
      </c>
      <c r="B1512" s="29">
        <v>3271.01</v>
      </c>
      <c r="C1512" s="30" t="s">
        <v>2300</v>
      </c>
      <c r="D1512" s="2">
        <v>4949532982</v>
      </c>
      <c r="E1512" s="2" t="s">
        <v>14</v>
      </c>
      <c r="F1512" s="2" t="s">
        <v>2301</v>
      </c>
      <c r="G1512" s="28" t="s">
        <v>5</v>
      </c>
      <c r="H1512" s="2" t="s">
        <v>17</v>
      </c>
      <c r="I1512" s="2">
        <v>1</v>
      </c>
      <c r="J1512" s="2" t="s">
        <v>2302</v>
      </c>
      <c r="K1512" s="2">
        <v>2115.6</v>
      </c>
      <c r="L1512" s="35">
        <f t="shared" si="79"/>
        <v>6920148.7560000001</v>
      </c>
      <c r="M1512" s="36">
        <v>410</v>
      </c>
      <c r="N1512" s="40">
        <v>11390.5281485781</v>
      </c>
      <c r="O1512" s="40">
        <v>10384.540917005201</v>
      </c>
      <c r="P1512" s="40">
        <v>0</v>
      </c>
      <c r="Q1512" s="40">
        <v>2363.1276842716202</v>
      </c>
      <c r="R1512" s="40">
        <v>21782.066744051099</v>
      </c>
      <c r="S1512" s="40">
        <v>8432.1508995937293</v>
      </c>
      <c r="T1512" s="40">
        <v>30000</v>
      </c>
      <c r="U1512" s="40">
        <v>129604.49796865899</v>
      </c>
      <c r="V1512" s="40">
        <v>0</v>
      </c>
      <c r="W1512" s="45">
        <f t="shared" si="80"/>
        <v>213956.91236215876</v>
      </c>
      <c r="X1512" s="46">
        <f t="shared" si="81"/>
        <v>3.0917964325066127</v>
      </c>
    </row>
    <row r="1513" spans="1:24" s="4" customFormat="1" ht="15" customHeight="1">
      <c r="A1513" s="28" t="s">
        <v>2168</v>
      </c>
      <c r="B1513" s="29">
        <v>3271.01</v>
      </c>
      <c r="C1513" s="30" t="s">
        <v>2300</v>
      </c>
      <c r="D1513" s="2">
        <v>4950090425</v>
      </c>
      <c r="E1513" s="2" t="s">
        <v>14</v>
      </c>
      <c r="F1513" s="2" t="s">
        <v>2301</v>
      </c>
      <c r="G1513" s="28" t="s">
        <v>5</v>
      </c>
      <c r="H1513" s="2" t="s">
        <v>17</v>
      </c>
      <c r="I1513" s="2">
        <v>1</v>
      </c>
      <c r="J1513" s="2" t="s">
        <v>2302</v>
      </c>
      <c r="K1513" s="2">
        <v>4137.5</v>
      </c>
      <c r="L1513" s="35">
        <f t="shared" si="79"/>
        <v>13533803.875</v>
      </c>
      <c r="M1513" s="36">
        <v>125</v>
      </c>
      <c r="N1513" s="40">
        <v>3472.7219965177001</v>
      </c>
      <c r="O1513" s="40">
        <v>3166.0185722576898</v>
      </c>
      <c r="P1513" s="40">
        <v>0</v>
      </c>
      <c r="Q1513" s="40">
        <v>720.46575739988396</v>
      </c>
      <c r="R1513" s="40">
        <v>6640.9593731862997</v>
      </c>
      <c r="S1513" s="40">
        <v>2570.77771329077</v>
      </c>
      <c r="T1513" s="40">
        <v>30000</v>
      </c>
      <c r="U1513" s="40">
        <v>39513.566453859501</v>
      </c>
      <c r="V1513" s="40">
        <v>0</v>
      </c>
      <c r="W1513" s="45">
        <f t="shared" si="80"/>
        <v>86084.509866511842</v>
      </c>
      <c r="X1513" s="46">
        <f t="shared" si="81"/>
        <v>0.63607032185185886</v>
      </c>
    </row>
    <row r="1514" spans="1:24" s="4" customFormat="1" ht="15" customHeight="1">
      <c r="A1514" s="28" t="s">
        <v>2168</v>
      </c>
      <c r="B1514" s="29">
        <v>3271.01</v>
      </c>
      <c r="C1514" s="30" t="s">
        <v>2300</v>
      </c>
      <c r="D1514" s="2">
        <v>4950443828</v>
      </c>
      <c r="E1514" s="2" t="s">
        <v>14</v>
      </c>
      <c r="F1514" s="2" t="s">
        <v>2301</v>
      </c>
      <c r="G1514" s="28" t="s">
        <v>5</v>
      </c>
      <c r="H1514" s="2" t="s">
        <v>17</v>
      </c>
      <c r="I1514" s="2">
        <v>1</v>
      </c>
      <c r="J1514" s="2" t="s">
        <v>2302</v>
      </c>
      <c r="K1514" s="2">
        <v>1177.75</v>
      </c>
      <c r="L1514" s="35">
        <f t="shared" si="79"/>
        <v>3852432.0275000003</v>
      </c>
      <c r="M1514" s="36">
        <v>175</v>
      </c>
      <c r="N1514" s="40">
        <v>4861.8107951247803</v>
      </c>
      <c r="O1514" s="40">
        <v>4432.4260011607703</v>
      </c>
      <c r="P1514" s="40">
        <v>0</v>
      </c>
      <c r="Q1514" s="40">
        <v>1008.65206035984</v>
      </c>
      <c r="R1514" s="40">
        <v>9296.9431224608197</v>
      </c>
      <c r="S1514" s="40">
        <v>3599.0887986070802</v>
      </c>
      <c r="T1514" s="40">
        <v>30000</v>
      </c>
      <c r="U1514" s="40">
        <v>55318.9930354034</v>
      </c>
      <c r="V1514" s="40">
        <v>0</v>
      </c>
      <c r="W1514" s="45">
        <f t="shared" si="80"/>
        <v>108517.9138131167</v>
      </c>
      <c r="X1514" s="46">
        <f t="shared" si="81"/>
        <v>2.8168677095008574</v>
      </c>
    </row>
    <row r="1515" spans="1:24" s="4" customFormat="1" ht="15" customHeight="1">
      <c r="A1515" s="28" t="s">
        <v>2168</v>
      </c>
      <c r="B1515" s="29">
        <v>3271.01</v>
      </c>
      <c r="C1515" s="30" t="s">
        <v>2300</v>
      </c>
      <c r="D1515" s="2">
        <v>4949818311</v>
      </c>
      <c r="E1515" s="2" t="s">
        <v>14</v>
      </c>
      <c r="F1515" s="2" t="s">
        <v>2301</v>
      </c>
      <c r="G1515" s="28" t="s">
        <v>5</v>
      </c>
      <c r="H1515" s="2" t="s">
        <v>17</v>
      </c>
      <c r="I1515" s="2">
        <v>1</v>
      </c>
      <c r="J1515" s="2" t="s">
        <v>2302</v>
      </c>
      <c r="K1515" s="2">
        <v>5888.8</v>
      </c>
      <c r="L1515" s="35">
        <f t="shared" si="79"/>
        <v>19262323.688000001</v>
      </c>
      <c r="M1515" s="36">
        <v>680</v>
      </c>
      <c r="N1515" s="40">
        <v>18891.6076610563</v>
      </c>
      <c r="O1515" s="40">
        <v>17223.1410330818</v>
      </c>
      <c r="P1515" s="40">
        <v>0</v>
      </c>
      <c r="Q1515" s="40">
        <v>3919.3337202553698</v>
      </c>
      <c r="R1515" s="40">
        <v>36126.378990133497</v>
      </c>
      <c r="S1515" s="40">
        <v>13985.030760301799</v>
      </c>
      <c r="T1515" s="40">
        <v>30000</v>
      </c>
      <c r="U1515" s="40">
        <v>214953.801508996</v>
      </c>
      <c r="V1515" s="40">
        <v>0</v>
      </c>
      <c r="W1515" s="45">
        <f t="shared" si="80"/>
        <v>335099.29367382475</v>
      </c>
      <c r="X1515" s="46">
        <f t="shared" si="81"/>
        <v>1.7396618346860415</v>
      </c>
    </row>
    <row r="1516" spans="1:24" s="4" customFormat="1" ht="15" customHeight="1">
      <c r="A1516" s="28" t="s">
        <v>2168</v>
      </c>
      <c r="B1516" s="29">
        <v>3271.01</v>
      </c>
      <c r="C1516" s="30" t="s">
        <v>2300</v>
      </c>
      <c r="D1516" s="2">
        <v>4950210625</v>
      </c>
      <c r="E1516" s="2" t="s">
        <v>14</v>
      </c>
      <c r="F1516" s="2" t="s">
        <v>2301</v>
      </c>
      <c r="G1516" s="28" t="s">
        <v>5</v>
      </c>
      <c r="H1516" s="2" t="s">
        <v>17</v>
      </c>
      <c r="I1516" s="2">
        <v>1</v>
      </c>
      <c r="J1516" s="2" t="s">
        <v>2302</v>
      </c>
      <c r="K1516" s="2">
        <v>3716.4</v>
      </c>
      <c r="L1516" s="35">
        <f t="shared" si="79"/>
        <v>12156381.564000001</v>
      </c>
      <c r="M1516" s="36">
        <v>380</v>
      </c>
      <c r="N1516" s="40">
        <v>10557.0748694138</v>
      </c>
      <c r="O1516" s="40">
        <v>9624.6964596633807</v>
      </c>
      <c r="P1516" s="40">
        <v>0</v>
      </c>
      <c r="Q1516" s="40">
        <v>2190.21590249565</v>
      </c>
      <c r="R1516" s="40">
        <v>20188.4764944864</v>
      </c>
      <c r="S1516" s="40">
        <v>7815.1642484039503</v>
      </c>
      <c r="T1516" s="40">
        <v>30000</v>
      </c>
      <c r="U1516" s="40">
        <v>120121.24201973301</v>
      </c>
      <c r="V1516" s="40">
        <v>0</v>
      </c>
      <c r="W1516" s="45">
        <f t="shared" si="80"/>
        <v>200496.86999419617</v>
      </c>
      <c r="X1516" s="46">
        <f t="shared" si="81"/>
        <v>1.6493137282556931</v>
      </c>
    </row>
    <row r="1517" spans="1:24" s="4" customFormat="1" ht="15" customHeight="1">
      <c r="A1517" s="28" t="s">
        <v>2168</v>
      </c>
      <c r="B1517" s="29">
        <v>3271.01</v>
      </c>
      <c r="C1517" s="30" t="s">
        <v>2300</v>
      </c>
      <c r="D1517" s="2">
        <v>4949718149</v>
      </c>
      <c r="E1517" s="2" t="s">
        <v>14</v>
      </c>
      <c r="F1517" s="2" t="s">
        <v>2301</v>
      </c>
      <c r="G1517" s="28" t="s">
        <v>5</v>
      </c>
      <c r="H1517" s="2" t="s">
        <v>17</v>
      </c>
      <c r="I1517" s="2">
        <v>1</v>
      </c>
      <c r="J1517" s="2" t="s">
        <v>2302</v>
      </c>
      <c r="K1517" s="2">
        <v>9366</v>
      </c>
      <c r="L1517" s="35">
        <f t="shared" si="79"/>
        <v>30636279.660000004</v>
      </c>
      <c r="M1517" s="36">
        <v>2100</v>
      </c>
      <c r="N1517" s="40">
        <v>58341.7295414974</v>
      </c>
      <c r="O1517" s="40">
        <v>53189.112013929203</v>
      </c>
      <c r="P1517" s="40">
        <v>0</v>
      </c>
      <c r="Q1517" s="40">
        <v>12103.824724318099</v>
      </c>
      <c r="R1517" s="40">
        <v>111567.31746953</v>
      </c>
      <c r="S1517" s="40">
        <v>43189.065583285003</v>
      </c>
      <c r="T1517" s="40">
        <v>30000</v>
      </c>
      <c r="U1517" s="40">
        <v>663827.91642483999</v>
      </c>
      <c r="V1517" s="40">
        <v>0</v>
      </c>
      <c r="W1517" s="45">
        <f t="shared" si="80"/>
        <v>972218.96575739968</v>
      </c>
      <c r="X1517" s="46">
        <f t="shared" si="81"/>
        <v>3.1734237203310589</v>
      </c>
    </row>
    <row r="1518" spans="1:24" s="4" customFormat="1" ht="15" customHeight="1">
      <c r="A1518" s="28" t="s">
        <v>2168</v>
      </c>
      <c r="B1518" s="29">
        <v>3271.01</v>
      </c>
      <c r="C1518" s="30" t="s">
        <v>2304</v>
      </c>
      <c r="D1518" s="2">
        <v>4950252530</v>
      </c>
      <c r="E1518" s="2" t="s">
        <v>14</v>
      </c>
      <c r="F1518" s="78" t="s">
        <v>2305</v>
      </c>
      <c r="G1518" s="28" t="s">
        <v>9</v>
      </c>
      <c r="H1518" s="2" t="s">
        <v>23</v>
      </c>
      <c r="I1518" s="2">
        <v>1</v>
      </c>
      <c r="J1518" s="2"/>
      <c r="K1518" s="2">
        <v>5107.5</v>
      </c>
      <c r="L1518" s="35">
        <f t="shared" si="79"/>
        <v>16706683.575000001</v>
      </c>
      <c r="M1518" s="36">
        <v>750</v>
      </c>
      <c r="N1518" s="40">
        <v>500614</v>
      </c>
      <c r="O1518" s="40">
        <v>517</v>
      </c>
      <c r="P1518" s="40">
        <v>0</v>
      </c>
      <c r="Q1518" s="40">
        <v>12730</v>
      </c>
      <c r="R1518" s="40">
        <v>101935</v>
      </c>
      <c r="S1518" s="40">
        <v>354356</v>
      </c>
      <c r="T1518" s="40">
        <v>30000</v>
      </c>
      <c r="U1518" s="40">
        <v>434237.923375902</v>
      </c>
      <c r="V1518" s="40">
        <v>0</v>
      </c>
      <c r="W1518" s="45">
        <f t="shared" si="80"/>
        <v>1434389.923375902</v>
      </c>
      <c r="X1518" s="46">
        <f t="shared" si="81"/>
        <v>8.5857250898217359</v>
      </c>
    </row>
    <row r="1519" spans="1:24" s="4" customFormat="1" ht="15" customHeight="1">
      <c r="A1519" s="28" t="s">
        <v>2168</v>
      </c>
      <c r="B1519" s="29">
        <v>3271.01</v>
      </c>
      <c r="C1519" s="30" t="s">
        <v>2306</v>
      </c>
      <c r="D1519" s="2">
        <v>4950272191</v>
      </c>
      <c r="E1519" s="2" t="s">
        <v>14</v>
      </c>
      <c r="F1519" s="78" t="s">
        <v>2307</v>
      </c>
      <c r="G1519" s="28" t="s">
        <v>9</v>
      </c>
      <c r="H1519" s="2" t="s">
        <v>23</v>
      </c>
      <c r="I1519" s="2">
        <v>1</v>
      </c>
      <c r="J1519" s="2"/>
      <c r="K1519" s="2">
        <v>8079</v>
      </c>
      <c r="L1519" s="35">
        <f t="shared" si="79"/>
        <v>26426489.790000003</v>
      </c>
      <c r="M1519" s="36">
        <v>300</v>
      </c>
      <c r="N1519" s="40">
        <v>492152</v>
      </c>
      <c r="O1519" s="40">
        <v>226</v>
      </c>
      <c r="P1519" s="40">
        <v>0</v>
      </c>
      <c r="Q1519" s="40">
        <v>5422</v>
      </c>
      <c r="R1519" s="40">
        <v>94272</v>
      </c>
      <c r="S1519" s="40">
        <v>354356</v>
      </c>
      <c r="T1519" s="40">
        <v>30000</v>
      </c>
      <c r="U1519" s="40">
        <v>1367700</v>
      </c>
      <c r="V1519" s="40">
        <v>0</v>
      </c>
      <c r="W1519" s="45">
        <f t="shared" si="80"/>
        <v>2344128</v>
      </c>
      <c r="X1519" s="46">
        <f t="shared" si="81"/>
        <v>8.8703721857415854</v>
      </c>
    </row>
    <row r="1520" spans="1:24" s="4" customFormat="1" ht="15" customHeight="1">
      <c r="A1520" s="28" t="s">
        <v>2168</v>
      </c>
      <c r="B1520" s="29">
        <v>3271.01</v>
      </c>
      <c r="C1520" s="30" t="s">
        <v>2308</v>
      </c>
      <c r="D1520" s="2">
        <v>4950090223</v>
      </c>
      <c r="E1520" s="2" t="s">
        <v>24</v>
      </c>
      <c r="F1520" s="2" t="s">
        <v>2309</v>
      </c>
      <c r="G1520" s="28" t="s">
        <v>9</v>
      </c>
      <c r="H1520" s="2" t="s">
        <v>23</v>
      </c>
      <c r="I1520" s="2">
        <v>1</v>
      </c>
      <c r="J1520" s="2"/>
      <c r="K1520" s="2">
        <v>4248.24</v>
      </c>
      <c r="L1520" s="35">
        <f t="shared" si="79"/>
        <v>13896035.522400001</v>
      </c>
      <c r="M1520" s="36">
        <v>372</v>
      </c>
      <c r="N1520" s="40">
        <v>602457</v>
      </c>
      <c r="O1520" s="40">
        <v>291</v>
      </c>
      <c r="P1520" s="40">
        <v>0</v>
      </c>
      <c r="Q1520" s="40">
        <v>7055</v>
      </c>
      <c r="R1520" s="40">
        <v>93418</v>
      </c>
      <c r="S1520" s="40">
        <v>354356</v>
      </c>
      <c r="T1520" s="40"/>
      <c r="U1520" s="40">
        <v>215382.00999444799</v>
      </c>
      <c r="V1520" s="40">
        <v>0</v>
      </c>
      <c r="W1520" s="45">
        <f t="shared" si="80"/>
        <v>1272959.0099944479</v>
      </c>
      <c r="X1520" s="46">
        <f t="shared" si="81"/>
        <v>9.1605912200100192</v>
      </c>
    </row>
    <row r="1521" spans="1:24" s="4" customFormat="1" ht="15" customHeight="1">
      <c r="A1521" s="28" t="s">
        <v>2168</v>
      </c>
      <c r="B1521" s="29">
        <v>3271.01</v>
      </c>
      <c r="C1521" s="30" t="s">
        <v>2310</v>
      </c>
      <c r="D1521" s="2">
        <v>4950090430</v>
      </c>
      <c r="E1521" s="2" t="s">
        <v>14</v>
      </c>
      <c r="F1521" s="2" t="s">
        <v>2311</v>
      </c>
      <c r="G1521" s="28" t="s">
        <v>9</v>
      </c>
      <c r="H1521" s="2" t="s">
        <v>23</v>
      </c>
      <c r="I1521" s="2">
        <v>2</v>
      </c>
      <c r="J1521" s="2"/>
      <c r="K1521" s="2">
        <v>2182.4</v>
      </c>
      <c r="L1521" s="35">
        <f t="shared" si="79"/>
        <v>7138652.2240000004</v>
      </c>
      <c r="M1521" s="36">
        <f>880+440+440</f>
        <v>1760</v>
      </c>
      <c r="N1521" s="40">
        <v>632143</v>
      </c>
      <c r="O1521" s="40">
        <v>1229</v>
      </c>
      <c r="P1521" s="40">
        <v>0</v>
      </c>
      <c r="Q1521" s="40">
        <v>29741</v>
      </c>
      <c r="R1521" s="40">
        <v>117255</v>
      </c>
      <c r="S1521" s="40">
        <v>354356</v>
      </c>
      <c r="T1521" s="40">
        <v>30000</v>
      </c>
      <c r="U1521" s="40">
        <v>1019011.66018878</v>
      </c>
      <c r="V1521" s="40">
        <v>0</v>
      </c>
      <c r="W1521" s="45">
        <f t="shared" si="80"/>
        <v>2183735.6601887802</v>
      </c>
      <c r="X1521" s="46">
        <f t="shared" si="81"/>
        <v>30.590307409108767</v>
      </c>
    </row>
    <row r="1522" spans="1:24" s="4" customFormat="1" ht="15" customHeight="1">
      <c r="A1522" s="28" t="s">
        <v>2168</v>
      </c>
      <c r="B1522" s="29">
        <v>3271.01</v>
      </c>
      <c r="C1522" s="30" t="s">
        <v>2312</v>
      </c>
      <c r="D1522" s="2">
        <v>4950133768</v>
      </c>
      <c r="E1522" s="2" t="s">
        <v>24</v>
      </c>
      <c r="F1522" s="2" t="s">
        <v>2313</v>
      </c>
      <c r="G1522" s="28" t="s">
        <v>9</v>
      </c>
      <c r="H1522" s="2" t="s">
        <v>23</v>
      </c>
      <c r="I1522" s="2">
        <v>1</v>
      </c>
      <c r="J1522" s="2"/>
      <c r="K1522" s="2">
        <v>1242</v>
      </c>
      <c r="L1522" s="35">
        <f t="shared" ref="L1522:L1585" si="82">+B1522*K1522</f>
        <v>4062594.4200000004</v>
      </c>
      <c r="M1522" s="36">
        <v>360</v>
      </c>
      <c r="N1522" s="40">
        <v>666011</v>
      </c>
      <c r="O1522" s="40">
        <v>259</v>
      </c>
      <c r="P1522" s="40">
        <v>7894</v>
      </c>
      <c r="Q1522" s="40">
        <v>6198</v>
      </c>
      <c r="R1522" s="40">
        <v>92812</v>
      </c>
      <c r="S1522" s="40">
        <v>354356</v>
      </c>
      <c r="T1522" s="40"/>
      <c r="U1522" s="40">
        <v>252200</v>
      </c>
      <c r="V1522" s="40">
        <v>0</v>
      </c>
      <c r="W1522" s="45">
        <f t="shared" ref="W1522:W1585" si="83">+SUM(N1522:V1522)</f>
        <v>1379730</v>
      </c>
      <c r="X1522" s="46">
        <f t="shared" ref="X1522:X1585" si="84">(W1522/L1522)*100</f>
        <v>33.961795280563592</v>
      </c>
    </row>
    <row r="1523" spans="1:24" s="4" customFormat="1" ht="15" customHeight="1">
      <c r="A1523" s="28" t="s">
        <v>2168</v>
      </c>
      <c r="B1523" s="29">
        <v>3271.01</v>
      </c>
      <c r="C1523" s="30" t="s">
        <v>2314</v>
      </c>
      <c r="D1523" s="2">
        <v>4949868823</v>
      </c>
      <c r="E1523" s="2" t="s">
        <v>14</v>
      </c>
      <c r="F1523" s="2" t="s">
        <v>2315</v>
      </c>
      <c r="G1523" s="28" t="s">
        <v>5</v>
      </c>
      <c r="H1523" s="2" t="s">
        <v>20</v>
      </c>
      <c r="I1523" s="2">
        <v>2</v>
      </c>
      <c r="J1523" s="2" t="s">
        <v>2316</v>
      </c>
      <c r="K1523" s="2">
        <f>18768+20976</f>
        <v>39744</v>
      </c>
      <c r="L1523" s="35">
        <f t="shared" si="82"/>
        <v>130003021.44000001</v>
      </c>
      <c r="M1523" s="36">
        <f>13600+2000+13200</f>
        <v>28800</v>
      </c>
      <c r="N1523" s="40">
        <v>927002</v>
      </c>
      <c r="O1523" s="40">
        <v>665311</v>
      </c>
      <c r="P1523" s="40">
        <v>0</v>
      </c>
      <c r="Q1523" s="40">
        <v>198619</v>
      </c>
      <c r="R1523" s="40">
        <v>1250171</v>
      </c>
      <c r="S1523" s="40">
        <v>354356</v>
      </c>
      <c r="T1523" s="40">
        <v>30000</v>
      </c>
      <c r="U1523" s="40">
        <v>7857000</v>
      </c>
      <c r="V1523" s="40">
        <v>0</v>
      </c>
      <c r="W1523" s="45">
        <f t="shared" si="83"/>
        <v>11282459</v>
      </c>
      <c r="X1523" s="46">
        <f t="shared" si="84"/>
        <v>8.6786129083985681</v>
      </c>
    </row>
    <row r="1524" spans="1:24" s="4" customFormat="1" ht="15" customHeight="1">
      <c r="A1524" s="28" t="s">
        <v>2168</v>
      </c>
      <c r="B1524" s="29">
        <v>3271.01</v>
      </c>
      <c r="C1524" s="30" t="s">
        <v>2317</v>
      </c>
      <c r="D1524" s="2">
        <v>4950167675</v>
      </c>
      <c r="E1524" s="2" t="s">
        <v>24</v>
      </c>
      <c r="F1524" s="2" t="s">
        <v>2318</v>
      </c>
      <c r="G1524" s="28" t="s">
        <v>9</v>
      </c>
      <c r="H1524" s="2" t="s">
        <v>23</v>
      </c>
      <c r="I1524" s="2">
        <v>2</v>
      </c>
      <c r="J1524" s="2"/>
      <c r="K1524" s="2">
        <v>5346.6</v>
      </c>
      <c r="L1524" s="35">
        <f t="shared" si="82"/>
        <v>17488782.066000003</v>
      </c>
      <c r="M1524" s="36">
        <v>1140</v>
      </c>
      <c r="N1524" s="40">
        <v>781422</v>
      </c>
      <c r="O1524" s="40">
        <v>839</v>
      </c>
      <c r="P1524" s="40">
        <v>48472</v>
      </c>
      <c r="Q1524" s="40">
        <v>25813</v>
      </c>
      <c r="R1524" s="40">
        <v>116708</v>
      </c>
      <c r="S1524" s="40">
        <v>354356</v>
      </c>
      <c r="T1524" s="40"/>
      <c r="U1524" s="40">
        <v>1367700</v>
      </c>
      <c r="V1524" s="40">
        <v>0</v>
      </c>
      <c r="W1524" s="45">
        <f t="shared" si="83"/>
        <v>2695310</v>
      </c>
      <c r="X1524" s="46">
        <f t="shared" si="84"/>
        <v>15.411650678865515</v>
      </c>
    </row>
    <row r="1525" spans="1:24" s="4" customFormat="1" ht="15" customHeight="1">
      <c r="A1525" s="28" t="s">
        <v>2168</v>
      </c>
      <c r="B1525" s="29">
        <v>3271.01</v>
      </c>
      <c r="C1525" s="30" t="s">
        <v>2319</v>
      </c>
      <c r="D1525" s="2">
        <v>4947722839</v>
      </c>
      <c r="E1525" s="2" t="s">
        <v>6</v>
      </c>
      <c r="F1525" s="2" t="s">
        <v>2320</v>
      </c>
      <c r="G1525" s="28" t="s">
        <v>9</v>
      </c>
      <c r="H1525" s="2" t="s">
        <v>23</v>
      </c>
      <c r="I1525" s="2">
        <v>8</v>
      </c>
      <c r="J1525" s="2"/>
      <c r="K1525" s="2">
        <v>73516.800000000003</v>
      </c>
      <c r="L1525" s="35">
        <f t="shared" si="82"/>
        <v>240474187.96800002</v>
      </c>
      <c r="M1525" s="36">
        <v>6720</v>
      </c>
      <c r="N1525" s="40">
        <v>1239952</v>
      </c>
      <c r="O1525" s="40">
        <v>4390</v>
      </c>
      <c r="P1525" s="40">
        <v>256221</v>
      </c>
      <c r="Q1525" s="40">
        <v>136240</v>
      </c>
      <c r="R1525" s="40">
        <v>233810</v>
      </c>
      <c r="S1525" s="40">
        <v>354356</v>
      </c>
      <c r="T1525" s="40">
        <v>30000</v>
      </c>
      <c r="U1525" s="40">
        <v>368600</v>
      </c>
      <c r="V1525" s="40">
        <v>0</v>
      </c>
      <c r="W1525" s="45">
        <f t="shared" si="83"/>
        <v>2623569</v>
      </c>
      <c r="X1525" s="46">
        <f t="shared" si="84"/>
        <v>1.0909981741363106</v>
      </c>
    </row>
    <row r="1526" spans="1:24" s="4" customFormat="1" ht="15" customHeight="1">
      <c r="A1526" s="28" t="s">
        <v>2168</v>
      </c>
      <c r="B1526" s="29">
        <v>3271.01</v>
      </c>
      <c r="C1526" s="30" t="s">
        <v>2321</v>
      </c>
      <c r="D1526" s="2">
        <v>4949595181</v>
      </c>
      <c r="E1526" s="2" t="s">
        <v>33</v>
      </c>
      <c r="F1526" s="78" t="s">
        <v>2322</v>
      </c>
      <c r="G1526" s="28" t="s">
        <v>9</v>
      </c>
      <c r="H1526" s="2" t="s">
        <v>23</v>
      </c>
      <c r="I1526" s="2">
        <v>4</v>
      </c>
      <c r="J1526" s="2"/>
      <c r="K1526" s="2">
        <v>1960.69</v>
      </c>
      <c r="L1526" s="35">
        <f t="shared" si="82"/>
        <v>6413436.5969000002</v>
      </c>
      <c r="M1526" s="36">
        <v>3016.44</v>
      </c>
      <c r="N1526" s="40">
        <v>904885</v>
      </c>
      <c r="O1526" s="40">
        <v>2231</v>
      </c>
      <c r="P1526" s="40">
        <v>0</v>
      </c>
      <c r="Q1526" s="40">
        <v>54345</v>
      </c>
      <c r="R1526" s="40">
        <v>144055</v>
      </c>
      <c r="S1526" s="40">
        <v>354356</v>
      </c>
      <c r="T1526" s="40"/>
      <c r="U1526" s="40">
        <v>1396800</v>
      </c>
      <c r="V1526" s="40">
        <v>0</v>
      </c>
      <c r="W1526" s="45">
        <f t="shared" si="83"/>
        <v>2856672</v>
      </c>
      <c r="X1526" s="46">
        <f t="shared" si="84"/>
        <v>44.541985514923489</v>
      </c>
    </row>
    <row r="1527" spans="1:24" s="4" customFormat="1" ht="15" customHeight="1">
      <c r="A1527" s="28" t="s">
        <v>2168</v>
      </c>
      <c r="B1527" s="29">
        <v>3271.01</v>
      </c>
      <c r="C1527" s="30" t="s">
        <v>2323</v>
      </c>
      <c r="D1527" s="2">
        <v>4949685076</v>
      </c>
      <c r="E1527" s="2" t="s">
        <v>18</v>
      </c>
      <c r="F1527" s="2" t="s">
        <v>2324</v>
      </c>
      <c r="G1527" s="28" t="s">
        <v>9</v>
      </c>
      <c r="H1527" s="2" t="s">
        <v>23</v>
      </c>
      <c r="I1527" s="2">
        <v>5</v>
      </c>
      <c r="J1527" s="2"/>
      <c r="K1527" s="2">
        <v>8130</v>
      </c>
      <c r="L1527" s="35">
        <f t="shared" si="82"/>
        <v>26593311.300000001</v>
      </c>
      <c r="M1527" s="36">
        <v>3000</v>
      </c>
      <c r="N1527" s="40">
        <v>828696</v>
      </c>
      <c r="O1527" s="40">
        <v>2024</v>
      </c>
      <c r="P1527" s="40">
        <v>94969</v>
      </c>
      <c r="Q1527" s="40">
        <v>50062</v>
      </c>
      <c r="R1527" s="40">
        <v>278194</v>
      </c>
      <c r="S1527" s="40">
        <v>354356</v>
      </c>
      <c r="T1527" s="40">
        <v>30000</v>
      </c>
      <c r="U1527" s="40">
        <v>2085500</v>
      </c>
      <c r="V1527" s="40">
        <v>0</v>
      </c>
      <c r="W1527" s="45">
        <f t="shared" si="83"/>
        <v>3723801</v>
      </c>
      <c r="X1527" s="46">
        <f t="shared" si="84"/>
        <v>14.002772945390971</v>
      </c>
    </row>
    <row r="1528" spans="1:24" s="4" customFormat="1" ht="15" customHeight="1">
      <c r="A1528" s="28" t="s">
        <v>2168</v>
      </c>
      <c r="B1528" s="29">
        <v>3271.01</v>
      </c>
      <c r="C1528" s="30" t="s">
        <v>2325</v>
      </c>
      <c r="D1528" s="2">
        <v>4950062292</v>
      </c>
      <c r="E1528" s="2" t="s">
        <v>21</v>
      </c>
      <c r="F1528" s="2" t="s">
        <v>2326</v>
      </c>
      <c r="G1528" s="28" t="s">
        <v>5</v>
      </c>
      <c r="H1528" s="2" t="s">
        <v>20</v>
      </c>
      <c r="I1528" s="2">
        <v>1</v>
      </c>
      <c r="J1528" s="2" t="s">
        <v>2327</v>
      </c>
      <c r="K1528" s="2">
        <v>31050</v>
      </c>
      <c r="L1528" s="35">
        <f t="shared" si="82"/>
        <v>101564860.5</v>
      </c>
      <c r="M1528" s="36">
        <v>9000</v>
      </c>
      <c r="N1528" s="40">
        <v>463501</v>
      </c>
      <c r="O1528" s="40">
        <v>332655</v>
      </c>
      <c r="P1528" s="40">
        <v>0</v>
      </c>
      <c r="Q1528" s="40">
        <v>99309</v>
      </c>
      <c r="R1528" s="40">
        <v>625085</v>
      </c>
      <c r="S1528" s="40">
        <v>354356</v>
      </c>
      <c r="T1528" s="40"/>
      <c r="U1528" s="40">
        <v>2900300</v>
      </c>
      <c r="V1528" s="40">
        <v>0</v>
      </c>
      <c r="W1528" s="45">
        <f t="shared" si="83"/>
        <v>4775206</v>
      </c>
      <c r="X1528" s="46">
        <f t="shared" si="84"/>
        <v>4.7016320176996649</v>
      </c>
    </row>
    <row r="1529" spans="1:24" s="4" customFormat="1" ht="15" customHeight="1">
      <c r="A1529" s="28" t="s">
        <v>2168</v>
      </c>
      <c r="B1529" s="29">
        <v>3271.01</v>
      </c>
      <c r="C1529" s="30" t="s">
        <v>2328</v>
      </c>
      <c r="D1529" s="2">
        <v>4949570837</v>
      </c>
      <c r="E1529" s="2" t="s">
        <v>24</v>
      </c>
      <c r="F1529" s="2" t="s">
        <v>2329</v>
      </c>
      <c r="G1529" s="28" t="s">
        <v>5</v>
      </c>
      <c r="H1529" s="2" t="s">
        <v>20</v>
      </c>
      <c r="I1529" s="2">
        <v>1</v>
      </c>
      <c r="J1529" s="2" t="s">
        <v>2330</v>
      </c>
      <c r="K1529" s="2">
        <v>3410</v>
      </c>
      <c r="L1529" s="35">
        <f t="shared" si="82"/>
        <v>11154144.100000001</v>
      </c>
      <c r="M1529" s="36">
        <v>2750</v>
      </c>
      <c r="N1529" s="40">
        <v>132086.856710394</v>
      </c>
      <c r="O1529" s="40">
        <v>92310.923309788093</v>
      </c>
      <c r="P1529" s="40">
        <v>0</v>
      </c>
      <c r="Q1529" s="40">
        <v>27557.996972754801</v>
      </c>
      <c r="R1529" s="40">
        <v>178139.842583249</v>
      </c>
      <c r="S1529" s="40">
        <v>98332.896064581204</v>
      </c>
      <c r="T1529" s="48"/>
      <c r="U1529" s="40">
        <v>901728.05247224995</v>
      </c>
      <c r="V1529" s="40">
        <v>0</v>
      </c>
      <c r="W1529" s="45">
        <f t="shared" si="83"/>
        <v>1430156.5681130169</v>
      </c>
      <c r="X1529" s="46">
        <f t="shared" si="84"/>
        <v>12.821750869374341</v>
      </c>
    </row>
    <row r="1530" spans="1:24" s="4" customFormat="1" ht="15" customHeight="1">
      <c r="A1530" s="28" t="s">
        <v>2168</v>
      </c>
      <c r="B1530" s="29">
        <v>3271.01</v>
      </c>
      <c r="C1530" s="30" t="s">
        <v>2328</v>
      </c>
      <c r="D1530" s="2">
        <v>4950057193</v>
      </c>
      <c r="E1530" s="2" t="s">
        <v>14</v>
      </c>
      <c r="F1530" s="2" t="s">
        <v>2329</v>
      </c>
      <c r="G1530" s="28" t="s">
        <v>5</v>
      </c>
      <c r="H1530" s="2" t="s">
        <v>20</v>
      </c>
      <c r="I1530" s="2">
        <v>1</v>
      </c>
      <c r="J1530" s="2" t="s">
        <v>2330</v>
      </c>
      <c r="K1530" s="2">
        <v>15840</v>
      </c>
      <c r="L1530" s="35">
        <f t="shared" si="82"/>
        <v>51812798.400000006</v>
      </c>
      <c r="M1530" s="36">
        <v>360</v>
      </c>
      <c r="N1530" s="40">
        <v>17291.370332997001</v>
      </c>
      <c r="O1530" s="40">
        <v>12084.339051463199</v>
      </c>
      <c r="P1530" s="40">
        <v>0</v>
      </c>
      <c r="Q1530" s="40">
        <v>3607.59233097881</v>
      </c>
      <c r="R1530" s="40">
        <v>23319.801210898098</v>
      </c>
      <c r="S1530" s="40">
        <v>12872.6700302725</v>
      </c>
      <c r="T1530" s="40">
        <v>30000</v>
      </c>
      <c r="U1530" s="40">
        <v>118044.399596367</v>
      </c>
      <c r="V1530" s="40">
        <v>0</v>
      </c>
      <c r="W1530" s="45">
        <f t="shared" si="83"/>
        <v>217220.17255297661</v>
      </c>
      <c r="X1530" s="46">
        <f t="shared" si="84"/>
        <v>0.41924037932870384</v>
      </c>
    </row>
    <row r="1531" spans="1:24" s="4" customFormat="1" ht="15" customHeight="1">
      <c r="A1531" s="28" t="s">
        <v>2168</v>
      </c>
      <c r="B1531" s="29">
        <v>3271.01</v>
      </c>
      <c r="C1531" s="30" t="s">
        <v>2328</v>
      </c>
      <c r="D1531" s="2">
        <v>4950090417</v>
      </c>
      <c r="E1531" s="2" t="s">
        <v>14</v>
      </c>
      <c r="F1531" s="2" t="s">
        <v>2329</v>
      </c>
      <c r="G1531" s="28" t="s">
        <v>5</v>
      </c>
      <c r="H1531" s="2" t="s">
        <v>20</v>
      </c>
      <c r="I1531" s="2">
        <v>1</v>
      </c>
      <c r="J1531" s="2" t="s">
        <v>2330</v>
      </c>
      <c r="K1531" s="2">
        <v>11086</v>
      </c>
      <c r="L1531" s="35">
        <f t="shared" si="82"/>
        <v>36262416.859999999</v>
      </c>
      <c r="M1531" s="36">
        <v>4600</v>
      </c>
      <c r="N1531" s="40">
        <v>220945.287588295</v>
      </c>
      <c r="O1531" s="40">
        <v>154410.99899091799</v>
      </c>
      <c r="P1531" s="40">
        <v>0</v>
      </c>
      <c r="Q1531" s="40">
        <v>46097.013118062598</v>
      </c>
      <c r="R1531" s="40">
        <v>297980.68213925301</v>
      </c>
      <c r="S1531" s="40">
        <v>164484.11705348099</v>
      </c>
      <c r="T1531" s="40">
        <v>30000</v>
      </c>
      <c r="U1531" s="40">
        <v>1508345.10595358</v>
      </c>
      <c r="V1531" s="40">
        <v>0</v>
      </c>
      <c r="W1531" s="45">
        <f t="shared" si="83"/>
        <v>2422263.2048435896</v>
      </c>
      <c r="X1531" s="46">
        <f t="shared" si="84"/>
        <v>6.6798173276627804</v>
      </c>
    </row>
    <row r="1532" spans="1:24" s="4" customFormat="1" ht="15" customHeight="1">
      <c r="A1532" s="28" t="s">
        <v>2168</v>
      </c>
      <c r="B1532" s="29">
        <v>3271.01</v>
      </c>
      <c r="C1532" s="30" t="s">
        <v>2328</v>
      </c>
      <c r="D1532" s="2">
        <v>4949309840</v>
      </c>
      <c r="E1532" s="2" t="s">
        <v>14</v>
      </c>
      <c r="F1532" s="2" t="s">
        <v>2329</v>
      </c>
      <c r="G1532" s="28" t="s">
        <v>5</v>
      </c>
      <c r="H1532" s="2" t="s">
        <v>20</v>
      </c>
      <c r="I1532" s="2">
        <v>1</v>
      </c>
      <c r="J1532" s="2" t="s">
        <v>2330</v>
      </c>
      <c r="K1532" s="2">
        <v>8250</v>
      </c>
      <c r="L1532" s="35">
        <f t="shared" si="82"/>
        <v>26985832.5</v>
      </c>
      <c r="M1532" s="36">
        <v>2200</v>
      </c>
      <c r="N1532" s="40">
        <v>105669.485368315</v>
      </c>
      <c r="O1532" s="40">
        <v>73848.738647830498</v>
      </c>
      <c r="P1532" s="40">
        <v>0</v>
      </c>
      <c r="Q1532" s="40">
        <v>22046.3975782038</v>
      </c>
      <c r="R1532" s="40">
        <v>142512.67406659899</v>
      </c>
      <c r="S1532" s="40">
        <v>78666.316851665004</v>
      </c>
      <c r="T1532" s="40">
        <v>30000</v>
      </c>
      <c r="U1532" s="40">
        <v>721382.44197779999</v>
      </c>
      <c r="V1532" s="40">
        <v>0</v>
      </c>
      <c r="W1532" s="45">
        <f t="shared" si="83"/>
        <v>1174126.0544904133</v>
      </c>
      <c r="X1532" s="46">
        <f t="shared" si="84"/>
        <v>4.3508980295138695</v>
      </c>
    </row>
    <row r="1533" spans="1:24" s="4" customFormat="1" ht="15" customHeight="1">
      <c r="A1533" s="28" t="s">
        <v>2168</v>
      </c>
      <c r="B1533" s="29">
        <v>3271.01</v>
      </c>
      <c r="C1533" s="30" t="s">
        <v>2331</v>
      </c>
      <c r="D1533" s="2">
        <v>4949868825</v>
      </c>
      <c r="E1533" s="2" t="s">
        <v>14</v>
      </c>
      <c r="F1533" s="2" t="s">
        <v>2332</v>
      </c>
      <c r="G1533" s="28" t="s">
        <v>5</v>
      </c>
      <c r="H1533" s="2" t="s">
        <v>20</v>
      </c>
      <c r="I1533" s="2">
        <v>1</v>
      </c>
      <c r="J1533" s="2" t="s">
        <v>2333</v>
      </c>
      <c r="K1533" s="2">
        <v>14241.6</v>
      </c>
      <c r="L1533" s="35">
        <f t="shared" si="82"/>
        <v>46584416.016000003</v>
      </c>
      <c r="M1533" s="36">
        <v>5520</v>
      </c>
      <c r="N1533" s="40">
        <v>256089.801169591</v>
      </c>
      <c r="O1533" s="40">
        <v>178972.280701754</v>
      </c>
      <c r="P1533" s="40">
        <v>0</v>
      </c>
      <c r="Q1533" s="40">
        <v>53429.403508771902</v>
      </c>
      <c r="R1533" s="40">
        <v>403691.89473684202</v>
      </c>
      <c r="S1533" s="40">
        <v>190647.67251462</v>
      </c>
      <c r="T1533" s="40">
        <v>30000</v>
      </c>
      <c r="U1533" s="40">
        <v>1748269.00584795</v>
      </c>
      <c r="V1533" s="40">
        <v>0</v>
      </c>
      <c r="W1533" s="45">
        <f t="shared" si="83"/>
        <v>2861100.0584795289</v>
      </c>
      <c r="X1533" s="46">
        <f t="shared" si="84"/>
        <v>6.1417536231362178</v>
      </c>
    </row>
    <row r="1534" spans="1:24" s="4" customFormat="1" ht="15" customHeight="1">
      <c r="A1534" s="28" t="s">
        <v>2168</v>
      </c>
      <c r="B1534" s="29">
        <v>3271.01</v>
      </c>
      <c r="C1534" s="30" t="s">
        <v>2331</v>
      </c>
      <c r="D1534" s="2">
        <v>4949416093</v>
      </c>
      <c r="E1534" s="2" t="s">
        <v>14</v>
      </c>
      <c r="F1534" s="2" t="s">
        <v>2332</v>
      </c>
      <c r="G1534" s="28" t="s">
        <v>5</v>
      </c>
      <c r="H1534" s="2" t="s">
        <v>20</v>
      </c>
      <c r="I1534" s="2">
        <v>1</v>
      </c>
      <c r="J1534" s="2" t="s">
        <v>2333</v>
      </c>
      <c r="K1534" s="2">
        <v>1856.8</v>
      </c>
      <c r="L1534" s="35">
        <f t="shared" si="82"/>
        <v>6073611.3680000007</v>
      </c>
      <c r="M1534" s="36">
        <v>880</v>
      </c>
      <c r="N1534" s="40">
        <v>40825.910331384002</v>
      </c>
      <c r="O1534" s="40">
        <v>28531.812865497101</v>
      </c>
      <c r="P1534" s="40">
        <v>0</v>
      </c>
      <c r="Q1534" s="40">
        <v>8517.7309941520507</v>
      </c>
      <c r="R1534" s="40">
        <v>64356.736842105303</v>
      </c>
      <c r="S1534" s="40">
        <v>30393.107212475599</v>
      </c>
      <c r="T1534" s="40">
        <v>30000</v>
      </c>
      <c r="U1534" s="40">
        <v>278709.55165692</v>
      </c>
      <c r="V1534" s="40">
        <v>0</v>
      </c>
      <c r="W1534" s="45">
        <f t="shared" si="83"/>
        <v>481334.84990253404</v>
      </c>
      <c r="X1534" s="46">
        <f t="shared" si="84"/>
        <v>7.925018917715744</v>
      </c>
    </row>
    <row r="1535" spans="1:24" s="4" customFormat="1" ht="15" customHeight="1">
      <c r="A1535" s="28" t="s">
        <v>2168</v>
      </c>
      <c r="B1535" s="29">
        <v>3271.01</v>
      </c>
      <c r="C1535" s="30" t="s">
        <v>2331</v>
      </c>
      <c r="D1535" s="2">
        <v>4950058268</v>
      </c>
      <c r="E1535" s="2" t="s">
        <v>14</v>
      </c>
      <c r="F1535" s="78" t="s">
        <v>2332</v>
      </c>
      <c r="G1535" s="28" t="s">
        <v>5</v>
      </c>
      <c r="H1535" s="2" t="s">
        <v>20</v>
      </c>
      <c r="I1535" s="2">
        <v>1</v>
      </c>
      <c r="J1535" s="2" t="s">
        <v>2333</v>
      </c>
      <c r="K1535" s="2">
        <v>12820</v>
      </c>
      <c r="L1535" s="35">
        <f t="shared" si="82"/>
        <v>41934348.200000003</v>
      </c>
      <c r="M1535" s="36">
        <v>2000</v>
      </c>
      <c r="N1535" s="40">
        <v>92786.159844054593</v>
      </c>
      <c r="O1535" s="40">
        <v>64845.029239766103</v>
      </c>
      <c r="P1535" s="40">
        <v>0</v>
      </c>
      <c r="Q1535" s="40">
        <v>19358.479532163699</v>
      </c>
      <c r="R1535" s="40">
        <v>146264.94736842101</v>
      </c>
      <c r="S1535" s="40">
        <v>69075.243664717302</v>
      </c>
      <c r="T1535" s="40">
        <v>30000</v>
      </c>
      <c r="U1535" s="40">
        <v>633430.79922027304</v>
      </c>
      <c r="V1535" s="40">
        <v>0</v>
      </c>
      <c r="W1535" s="45">
        <f t="shared" si="83"/>
        <v>1055760.6588693957</v>
      </c>
      <c r="X1535" s="46">
        <f t="shared" si="84"/>
        <v>2.5176512910945772</v>
      </c>
    </row>
    <row r="1536" spans="1:24" s="4" customFormat="1" ht="15" customHeight="1">
      <c r="A1536" s="28" t="s">
        <v>2168</v>
      </c>
      <c r="B1536" s="29">
        <v>3271.01</v>
      </c>
      <c r="C1536" s="30" t="s">
        <v>2331</v>
      </c>
      <c r="D1536" s="2">
        <v>4950210610</v>
      </c>
      <c r="E1536" s="2" t="s">
        <v>14</v>
      </c>
      <c r="F1536" s="78" t="s">
        <v>2332</v>
      </c>
      <c r="G1536" s="28" t="s">
        <v>5</v>
      </c>
      <c r="H1536" s="2" t="s">
        <v>20</v>
      </c>
      <c r="I1536" s="2">
        <v>1</v>
      </c>
      <c r="J1536" s="2" t="s">
        <v>2333</v>
      </c>
      <c r="K1536" s="2">
        <v>2124.1999999999998</v>
      </c>
      <c r="L1536" s="35">
        <f t="shared" si="82"/>
        <v>6948279.4419999998</v>
      </c>
      <c r="M1536" s="36">
        <v>860</v>
      </c>
      <c r="N1536" s="40">
        <v>39898.048732943498</v>
      </c>
      <c r="O1536" s="40">
        <v>27883.362573099399</v>
      </c>
      <c r="P1536" s="40">
        <v>0</v>
      </c>
      <c r="Q1536" s="40">
        <v>8324.1461988304109</v>
      </c>
      <c r="R1536" s="40">
        <v>62893.947368421097</v>
      </c>
      <c r="S1536" s="40">
        <v>29702.354775828499</v>
      </c>
      <c r="T1536" s="40">
        <v>30000</v>
      </c>
      <c r="U1536" s="40">
        <v>272375.24366471701</v>
      </c>
      <c r="V1536" s="40">
        <v>0</v>
      </c>
      <c r="W1536" s="45">
        <f t="shared" si="83"/>
        <v>471077.10331383988</v>
      </c>
      <c r="X1536" s="46">
        <f t="shared" si="84"/>
        <v>6.7797662320018119</v>
      </c>
    </row>
    <row r="1537" spans="1:24" s="4" customFormat="1" ht="15" customHeight="1">
      <c r="A1537" s="28" t="s">
        <v>2168</v>
      </c>
      <c r="B1537" s="29">
        <v>3271.01</v>
      </c>
      <c r="C1537" s="30" t="s">
        <v>2331</v>
      </c>
      <c r="D1537" s="2">
        <v>4949747386</v>
      </c>
      <c r="E1537" s="2" t="s">
        <v>14</v>
      </c>
      <c r="F1537" s="78" t="s">
        <v>2332</v>
      </c>
      <c r="G1537" s="28" t="s">
        <v>5</v>
      </c>
      <c r="H1537" s="2" t="s">
        <v>20</v>
      </c>
      <c r="I1537" s="2">
        <v>1</v>
      </c>
      <c r="J1537" s="2" t="s">
        <v>2333</v>
      </c>
      <c r="K1537" s="2">
        <v>4910</v>
      </c>
      <c r="L1537" s="35">
        <f t="shared" si="82"/>
        <v>16060659.100000001</v>
      </c>
      <c r="M1537" s="36">
        <v>1000</v>
      </c>
      <c r="N1537" s="40">
        <v>46393.079922027297</v>
      </c>
      <c r="O1537" s="40">
        <v>32422.514619883001</v>
      </c>
      <c r="P1537" s="40">
        <v>0</v>
      </c>
      <c r="Q1537" s="40">
        <v>9679.2397660818697</v>
      </c>
      <c r="R1537" s="40">
        <v>73132.473684210505</v>
      </c>
      <c r="S1537" s="40">
        <v>34537.621832358702</v>
      </c>
      <c r="T1537" s="40">
        <v>30000</v>
      </c>
      <c r="U1537" s="40">
        <v>316715.399610136</v>
      </c>
      <c r="V1537" s="40">
        <v>0</v>
      </c>
      <c r="W1537" s="45">
        <f t="shared" si="83"/>
        <v>542880.3294346974</v>
      </c>
      <c r="X1537" s="46">
        <f t="shared" si="84"/>
        <v>3.3801871147037628</v>
      </c>
    </row>
    <row r="1538" spans="1:24" s="4" customFormat="1" ht="15" customHeight="1">
      <c r="A1538" s="28" t="s">
        <v>2168</v>
      </c>
      <c r="B1538" s="29">
        <v>3271.01</v>
      </c>
      <c r="C1538" s="30" t="s">
        <v>2334</v>
      </c>
      <c r="D1538" s="2">
        <v>4950212582</v>
      </c>
      <c r="E1538" s="2" t="s">
        <v>27</v>
      </c>
      <c r="F1538" s="2" t="s">
        <v>2335</v>
      </c>
      <c r="G1538" s="28" t="s">
        <v>5</v>
      </c>
      <c r="H1538" s="2" t="s">
        <v>17</v>
      </c>
      <c r="I1538" s="2">
        <v>1</v>
      </c>
      <c r="J1538" s="2" t="s">
        <v>2336</v>
      </c>
      <c r="K1538" s="2">
        <v>3116.32</v>
      </c>
      <c r="L1538" s="35">
        <f t="shared" si="82"/>
        <v>10193513.883200001</v>
      </c>
      <c r="M1538" s="36">
        <v>2485.1999999999998</v>
      </c>
      <c r="N1538" s="40">
        <v>158368.186650583</v>
      </c>
      <c r="O1538" s="40">
        <v>264342.28621852602</v>
      </c>
      <c r="P1538" s="40">
        <v>0</v>
      </c>
      <c r="Q1538" s="40">
        <v>60334.926930469497</v>
      </c>
      <c r="R1538" s="40">
        <v>393584</v>
      </c>
      <c r="S1538" s="40">
        <v>172229.418846705</v>
      </c>
      <c r="T1538" s="48"/>
      <c r="U1538" s="40">
        <v>1409647.3136650701</v>
      </c>
      <c r="V1538" s="40">
        <v>0</v>
      </c>
      <c r="W1538" s="45">
        <f t="shared" si="83"/>
        <v>2458506.1323113535</v>
      </c>
      <c r="X1538" s="46">
        <f t="shared" si="84"/>
        <v>24.118337998864494</v>
      </c>
    </row>
    <row r="1539" spans="1:24" s="4" customFormat="1" ht="15" customHeight="1">
      <c r="A1539" s="28" t="s">
        <v>2168</v>
      </c>
      <c r="B1539" s="29">
        <v>3271.01</v>
      </c>
      <c r="C1539" s="30" t="s">
        <v>2334</v>
      </c>
      <c r="D1539" s="2">
        <v>4949422382</v>
      </c>
      <c r="E1539" s="2" t="s">
        <v>27</v>
      </c>
      <c r="F1539" s="2" t="s">
        <v>2335</v>
      </c>
      <c r="G1539" s="28" t="s">
        <v>5</v>
      </c>
      <c r="H1539" s="2" t="s">
        <v>17</v>
      </c>
      <c r="I1539" s="2">
        <v>1</v>
      </c>
      <c r="J1539" s="2" t="s">
        <v>2336</v>
      </c>
      <c r="K1539" s="2">
        <v>4248.3999999999996</v>
      </c>
      <c r="L1539" s="35">
        <f t="shared" si="82"/>
        <v>13896558.884</v>
      </c>
      <c r="M1539" s="36">
        <v>992.08799999999997</v>
      </c>
      <c r="N1539" s="40">
        <v>63220.335408741099</v>
      </c>
      <c r="O1539" s="40">
        <v>105525.032210673</v>
      </c>
      <c r="P1539" s="40">
        <v>0</v>
      </c>
      <c r="Q1539" s="40">
        <v>24085.6096042957</v>
      </c>
      <c r="R1539" s="40">
        <v>157118</v>
      </c>
      <c r="S1539" s="40">
        <v>68753.717883788093</v>
      </c>
      <c r="T1539" s="48"/>
      <c r="U1539" s="40">
        <v>562729.02950239496</v>
      </c>
      <c r="V1539" s="40">
        <v>0</v>
      </c>
      <c r="W1539" s="45">
        <f t="shared" si="83"/>
        <v>981431.72460989282</v>
      </c>
      <c r="X1539" s="46">
        <f t="shared" si="84"/>
        <v>7.0624082753312276</v>
      </c>
    </row>
    <row r="1540" spans="1:24" s="4" customFormat="1" ht="15" customHeight="1">
      <c r="A1540" s="28" t="s">
        <v>2168</v>
      </c>
      <c r="B1540" s="29">
        <v>3271.01</v>
      </c>
      <c r="C1540" s="30" t="s">
        <v>2334</v>
      </c>
      <c r="D1540" s="2">
        <v>4950058946</v>
      </c>
      <c r="E1540" s="2" t="s">
        <v>27</v>
      </c>
      <c r="F1540" s="2" t="s">
        <v>2335</v>
      </c>
      <c r="G1540" s="28" t="s">
        <v>5</v>
      </c>
      <c r="H1540" s="2" t="s">
        <v>17</v>
      </c>
      <c r="I1540" s="2">
        <v>1</v>
      </c>
      <c r="J1540" s="2" t="s">
        <v>2336</v>
      </c>
      <c r="K1540" s="2">
        <v>18771.72</v>
      </c>
      <c r="L1540" s="35">
        <f t="shared" si="82"/>
        <v>61402483.837200008</v>
      </c>
      <c r="M1540" s="36">
        <v>1635.924</v>
      </c>
      <c r="N1540" s="40">
        <v>104248.47794067601</v>
      </c>
      <c r="O1540" s="40">
        <v>174007.68157080101</v>
      </c>
      <c r="P1540" s="40">
        <v>0</v>
      </c>
      <c r="Q1540" s="40">
        <v>39716.463465234803</v>
      </c>
      <c r="R1540" s="40">
        <v>259084</v>
      </c>
      <c r="S1540" s="40">
        <v>113372.863269507</v>
      </c>
      <c r="T1540" s="48"/>
      <c r="U1540" s="40">
        <v>927923.65683253505</v>
      </c>
      <c r="V1540" s="40">
        <v>0</v>
      </c>
      <c r="W1540" s="45">
        <f t="shared" si="83"/>
        <v>1618353.1430787537</v>
      </c>
      <c r="X1540" s="46">
        <f t="shared" si="84"/>
        <v>2.6356476838454745</v>
      </c>
    </row>
    <row r="1541" spans="1:24" s="4" customFormat="1" ht="15" customHeight="1">
      <c r="A1541" s="28" t="s">
        <v>2168</v>
      </c>
      <c r="B1541" s="29">
        <v>3271.01</v>
      </c>
      <c r="C1541" s="30" t="s">
        <v>2337</v>
      </c>
      <c r="D1541" s="2">
        <v>4949284059</v>
      </c>
      <c r="E1541" s="2" t="s">
        <v>27</v>
      </c>
      <c r="F1541" s="2" t="s">
        <v>2338</v>
      </c>
      <c r="G1541" s="28" t="s">
        <v>9</v>
      </c>
      <c r="H1541" s="2" t="s">
        <v>23</v>
      </c>
      <c r="I1541" s="2">
        <v>1</v>
      </c>
      <c r="J1541" s="2"/>
      <c r="K1541" s="2">
        <v>58.96</v>
      </c>
      <c r="L1541" s="35">
        <f t="shared" si="82"/>
        <v>192858.74960000001</v>
      </c>
      <c r="M1541" s="36">
        <v>19.071000000000002</v>
      </c>
      <c r="N1541" s="40">
        <v>320706.58140579402</v>
      </c>
      <c r="O1541" s="40">
        <v>15.227487087356799</v>
      </c>
      <c r="P1541" s="40">
        <v>1247.7022232203001</v>
      </c>
      <c r="Q1541" s="40">
        <v>627.65798338198999</v>
      </c>
      <c r="R1541" s="40">
        <v>41725.693914215102</v>
      </c>
      <c r="S1541" s="40">
        <v>168623.481697732</v>
      </c>
      <c r="T1541" s="48"/>
      <c r="U1541" s="40">
        <v>650832.31529306096</v>
      </c>
      <c r="V1541" s="40">
        <v>0</v>
      </c>
      <c r="W1541" s="45">
        <f t="shared" si="83"/>
        <v>1183778.6600044919</v>
      </c>
      <c r="X1541" s="46">
        <f t="shared" si="84"/>
        <v>613.80604326208481</v>
      </c>
    </row>
    <row r="1542" spans="1:24" s="4" customFormat="1" ht="15" customHeight="1">
      <c r="A1542" s="28" t="s">
        <v>2168</v>
      </c>
      <c r="B1542" s="29">
        <v>3271.01</v>
      </c>
      <c r="C1542" s="30" t="s">
        <v>2337</v>
      </c>
      <c r="D1542" s="2">
        <v>4950034980</v>
      </c>
      <c r="E1542" s="2" t="s">
        <v>27</v>
      </c>
      <c r="F1542" s="2" t="s">
        <v>2338</v>
      </c>
      <c r="G1542" s="28" t="s">
        <v>9</v>
      </c>
      <c r="H1542" s="2" t="s">
        <v>23</v>
      </c>
      <c r="I1542" s="2">
        <v>1</v>
      </c>
      <c r="J1542" s="2"/>
      <c r="K1542" s="2">
        <v>18.45</v>
      </c>
      <c r="L1542" s="35">
        <f t="shared" si="82"/>
        <v>60350.1345</v>
      </c>
      <c r="M1542" s="36">
        <v>21.006</v>
      </c>
      <c r="N1542" s="40">
        <v>353246.41859420598</v>
      </c>
      <c r="O1542" s="40">
        <v>16.772512912643201</v>
      </c>
      <c r="P1542" s="40">
        <v>1374.2977767796999</v>
      </c>
      <c r="Q1542" s="40">
        <v>691.34201661801001</v>
      </c>
      <c r="R1542" s="40">
        <v>45959.306085784898</v>
      </c>
      <c r="S1542" s="40">
        <v>185732.518302268</v>
      </c>
      <c r="T1542" s="48"/>
      <c r="U1542" s="40">
        <v>716867.68470693904</v>
      </c>
      <c r="V1542" s="40">
        <v>0</v>
      </c>
      <c r="W1542" s="45">
        <f t="shared" si="83"/>
        <v>1303888.3399955081</v>
      </c>
      <c r="X1542" s="46">
        <f t="shared" si="84"/>
        <v>2160.5392445239836</v>
      </c>
    </row>
    <row r="1543" spans="1:24" s="4" customFormat="1" ht="15" customHeight="1">
      <c r="A1543" s="28" t="s">
        <v>2168</v>
      </c>
      <c r="B1543" s="29">
        <v>3271.01</v>
      </c>
      <c r="C1543" s="30" t="s">
        <v>2339</v>
      </c>
      <c r="D1543" s="2">
        <v>4949590091</v>
      </c>
      <c r="E1543" s="2" t="s">
        <v>14</v>
      </c>
      <c r="F1543" s="2" t="s">
        <v>2340</v>
      </c>
      <c r="G1543" s="28" t="s">
        <v>9</v>
      </c>
      <c r="H1543" s="2" t="s">
        <v>23</v>
      </c>
      <c r="I1543" s="2">
        <v>3</v>
      </c>
      <c r="J1543" s="2"/>
      <c r="K1543" s="2">
        <v>10861.2</v>
      </c>
      <c r="L1543" s="35">
        <f t="shared" si="82"/>
        <v>35527093.812000006</v>
      </c>
      <c r="M1543" s="36">
        <v>2520</v>
      </c>
      <c r="N1543" s="40">
        <v>853596</v>
      </c>
      <c r="O1543" s="40">
        <v>1743</v>
      </c>
      <c r="P1543" s="40">
        <v>80528</v>
      </c>
      <c r="Q1543" s="40">
        <v>53565</v>
      </c>
      <c r="R1543" s="40">
        <v>181608</v>
      </c>
      <c r="S1543" s="40">
        <v>354356</v>
      </c>
      <c r="T1543" s="40">
        <v>30000</v>
      </c>
      <c r="U1543" s="40">
        <v>971793.63905325404</v>
      </c>
      <c r="V1543" s="40">
        <v>0</v>
      </c>
      <c r="W1543" s="45">
        <f t="shared" si="83"/>
        <v>2527189.6390532539</v>
      </c>
      <c r="X1543" s="46">
        <f t="shared" si="84"/>
        <v>7.1134150528227096</v>
      </c>
    </row>
    <row r="1544" spans="1:24" s="4" customFormat="1" ht="15" customHeight="1">
      <c r="A1544" s="28" t="s">
        <v>2168</v>
      </c>
      <c r="B1544" s="29">
        <v>3271.01</v>
      </c>
      <c r="C1544" s="30" t="s">
        <v>2341</v>
      </c>
      <c r="D1544" s="2">
        <v>4950342621</v>
      </c>
      <c r="E1544" s="2" t="s">
        <v>18</v>
      </c>
      <c r="F1544" s="2" t="s">
        <v>2342</v>
      </c>
      <c r="G1544" s="28" t="s">
        <v>9</v>
      </c>
      <c r="H1544" s="2" t="s">
        <v>23</v>
      </c>
      <c r="I1544" s="2">
        <v>1</v>
      </c>
      <c r="J1544" s="2"/>
      <c r="K1544" s="2">
        <v>3561.6</v>
      </c>
      <c r="L1544" s="35">
        <f t="shared" si="82"/>
        <v>11650029.216</v>
      </c>
      <c r="M1544" s="36">
        <v>240</v>
      </c>
      <c r="N1544" s="40">
        <v>446517</v>
      </c>
      <c r="O1544" s="40">
        <v>387</v>
      </c>
      <c r="P1544" s="40">
        <v>8710</v>
      </c>
      <c r="Q1544" s="40">
        <v>4551</v>
      </c>
      <c r="R1544" s="40">
        <v>253064</v>
      </c>
      <c r="S1544" s="40">
        <v>354356</v>
      </c>
      <c r="T1544" s="40">
        <v>30000</v>
      </c>
      <c r="U1544" s="40">
        <v>92551.775147929002</v>
      </c>
      <c r="V1544" s="40">
        <v>0</v>
      </c>
      <c r="W1544" s="45">
        <f t="shared" si="83"/>
        <v>1190136.7751479291</v>
      </c>
      <c r="X1544" s="46">
        <f t="shared" si="84"/>
        <v>10.215740691134153</v>
      </c>
    </row>
    <row r="1545" spans="1:24" s="4" customFormat="1" ht="15" customHeight="1">
      <c r="A1545" s="28" t="s">
        <v>2168</v>
      </c>
      <c r="B1545" s="29">
        <v>3271.01</v>
      </c>
      <c r="C1545" s="30" t="s">
        <v>2343</v>
      </c>
      <c r="D1545" s="2">
        <v>4947772695</v>
      </c>
      <c r="E1545" s="2" t="s">
        <v>14</v>
      </c>
      <c r="F1545" s="2" t="s">
        <v>2344</v>
      </c>
      <c r="G1545" s="28" t="s">
        <v>9</v>
      </c>
      <c r="H1545" s="2" t="s">
        <v>23</v>
      </c>
      <c r="I1545" s="2">
        <v>1</v>
      </c>
      <c r="J1545" s="2"/>
      <c r="K1545" s="2">
        <v>1406</v>
      </c>
      <c r="L1545" s="35">
        <f t="shared" si="82"/>
        <v>4599040.0600000005</v>
      </c>
      <c r="M1545" s="36">
        <v>950</v>
      </c>
      <c r="N1545" s="40">
        <v>484823</v>
      </c>
      <c r="O1545" s="40">
        <v>643</v>
      </c>
      <c r="P1545" s="40">
        <v>10134</v>
      </c>
      <c r="Q1545" s="40">
        <v>16016</v>
      </c>
      <c r="R1545" s="40">
        <v>101333</v>
      </c>
      <c r="S1545" s="40">
        <v>354356</v>
      </c>
      <c r="T1545" s="40">
        <v>30000</v>
      </c>
      <c r="U1545" s="40">
        <v>568628.00875273498</v>
      </c>
      <c r="V1545" s="40">
        <v>0</v>
      </c>
      <c r="W1545" s="45">
        <f t="shared" si="83"/>
        <v>1565933.0087527349</v>
      </c>
      <c r="X1545" s="46">
        <f t="shared" si="84"/>
        <v>34.049127390134856</v>
      </c>
    </row>
    <row r="1546" spans="1:24" s="4" customFormat="1" ht="15" customHeight="1">
      <c r="A1546" s="28" t="s">
        <v>2168</v>
      </c>
      <c r="B1546" s="29">
        <v>3271.01</v>
      </c>
      <c r="C1546" s="30" t="s">
        <v>2345</v>
      </c>
      <c r="D1546" s="2">
        <v>4950058273</v>
      </c>
      <c r="E1546" s="2" t="s">
        <v>14</v>
      </c>
      <c r="F1546" s="2" t="s">
        <v>2346</v>
      </c>
      <c r="G1546" s="28" t="s">
        <v>9</v>
      </c>
      <c r="H1546" s="2" t="s">
        <v>23</v>
      </c>
      <c r="I1546" s="2">
        <v>2</v>
      </c>
      <c r="J1546" s="2"/>
      <c r="K1546" s="2">
        <v>11448.25</v>
      </c>
      <c r="L1546" s="35">
        <f t="shared" si="82"/>
        <v>37447340.232500002</v>
      </c>
      <c r="M1546" s="36">
        <v>575</v>
      </c>
      <c r="N1546" s="40">
        <v>277176.659090909</v>
      </c>
      <c r="O1546" s="40">
        <v>386.29545454545502</v>
      </c>
      <c r="P1546" s="40">
        <v>6076.1818181818198</v>
      </c>
      <c r="Q1546" s="40">
        <v>9590.4772727272702</v>
      </c>
      <c r="R1546" s="40">
        <v>58003.386363636397</v>
      </c>
      <c r="S1546" s="40">
        <v>185231.545454545</v>
      </c>
      <c r="T1546" s="40">
        <v>30000</v>
      </c>
      <c r="U1546" s="40">
        <v>344169.58424507699</v>
      </c>
      <c r="V1546" s="40">
        <v>0</v>
      </c>
      <c r="W1546" s="45">
        <f t="shared" si="83"/>
        <v>910634.12969962193</v>
      </c>
      <c r="X1546" s="46">
        <f t="shared" si="84"/>
        <v>2.4317725212144596</v>
      </c>
    </row>
    <row r="1547" spans="1:24" s="4" customFormat="1" ht="15" customHeight="1">
      <c r="A1547" s="28" t="s">
        <v>2168</v>
      </c>
      <c r="B1547" s="29">
        <v>3271.01</v>
      </c>
      <c r="C1547" s="30" t="s">
        <v>2345</v>
      </c>
      <c r="D1547" s="2">
        <v>4950210610</v>
      </c>
      <c r="E1547" s="2" t="s">
        <v>14</v>
      </c>
      <c r="F1547" s="2" t="s">
        <v>2346</v>
      </c>
      <c r="G1547" s="28" t="s">
        <v>9</v>
      </c>
      <c r="H1547" s="2" t="s">
        <v>23</v>
      </c>
      <c r="I1547" s="2">
        <v>2</v>
      </c>
      <c r="J1547" s="2"/>
      <c r="K1547" s="2">
        <v>10452.75</v>
      </c>
      <c r="L1547" s="35">
        <f t="shared" si="82"/>
        <v>34191049.777500004</v>
      </c>
      <c r="M1547" s="36">
        <v>525</v>
      </c>
      <c r="N1547" s="40">
        <v>253074.340909091</v>
      </c>
      <c r="O1547" s="40">
        <v>352.70454545454498</v>
      </c>
      <c r="P1547" s="40">
        <v>5547.8181818181802</v>
      </c>
      <c r="Q1547" s="40">
        <v>8756.5227272727298</v>
      </c>
      <c r="R1547" s="40">
        <v>52959.613636363603</v>
      </c>
      <c r="S1547" s="40">
        <v>169124.454545455</v>
      </c>
      <c r="T1547" s="40">
        <v>30000</v>
      </c>
      <c r="U1547" s="40">
        <v>314241.79431072198</v>
      </c>
      <c r="V1547" s="40">
        <v>0</v>
      </c>
      <c r="W1547" s="45">
        <f t="shared" si="83"/>
        <v>834057.24885617709</v>
      </c>
      <c r="X1547" s="46">
        <f t="shared" si="84"/>
        <v>2.4394022830063631</v>
      </c>
    </row>
    <row r="1548" spans="1:24" s="4" customFormat="1" ht="15" customHeight="1">
      <c r="A1548" s="28" t="s">
        <v>2168</v>
      </c>
      <c r="B1548" s="29">
        <v>3271.01</v>
      </c>
      <c r="C1548" s="30" t="s">
        <v>2347</v>
      </c>
      <c r="D1548" s="2">
        <v>4949818309</v>
      </c>
      <c r="E1548" s="2" t="s">
        <v>14</v>
      </c>
      <c r="F1548" s="2" t="s">
        <v>2348</v>
      </c>
      <c r="G1548" s="28" t="s">
        <v>9</v>
      </c>
      <c r="H1548" s="2" t="s">
        <v>23</v>
      </c>
      <c r="I1548" s="2">
        <v>2</v>
      </c>
      <c r="J1548" s="2"/>
      <c r="K1548" s="2">
        <v>5027.12</v>
      </c>
      <c r="L1548" s="35">
        <f t="shared" si="82"/>
        <v>16443759.791200001</v>
      </c>
      <c r="M1548" s="36">
        <v>1528</v>
      </c>
      <c r="N1548" s="40">
        <v>693769</v>
      </c>
      <c r="O1548" s="40">
        <v>1133</v>
      </c>
      <c r="P1548" s="40">
        <v>94678</v>
      </c>
      <c r="Q1548" s="40">
        <v>27377</v>
      </c>
      <c r="R1548" s="40">
        <v>115411</v>
      </c>
      <c r="S1548" s="40">
        <v>354356</v>
      </c>
      <c r="T1548" s="40">
        <v>30000</v>
      </c>
      <c r="U1548" s="40">
        <v>589246.30177514802</v>
      </c>
      <c r="V1548" s="40">
        <v>0</v>
      </c>
      <c r="W1548" s="45">
        <f t="shared" si="83"/>
        <v>1905970.3017751481</v>
      </c>
      <c r="X1548" s="46">
        <f t="shared" si="84"/>
        <v>11.590842520061271</v>
      </c>
    </row>
    <row r="1549" spans="1:24" s="4" customFormat="1" ht="15" customHeight="1">
      <c r="A1549" s="28" t="s">
        <v>2168</v>
      </c>
      <c r="B1549" s="29">
        <v>3271.01</v>
      </c>
      <c r="C1549" s="30" t="s">
        <v>2349</v>
      </c>
      <c r="D1549" s="2">
        <v>4950184133</v>
      </c>
      <c r="E1549" s="2" t="s">
        <v>36</v>
      </c>
      <c r="F1549" s="2" t="s">
        <v>2350</v>
      </c>
      <c r="G1549" s="28" t="s">
        <v>5</v>
      </c>
      <c r="H1549" s="2" t="s">
        <v>20</v>
      </c>
      <c r="I1549" s="2">
        <v>1</v>
      </c>
      <c r="J1549" s="2" t="s">
        <v>2351</v>
      </c>
      <c r="K1549" s="2">
        <v>31800</v>
      </c>
      <c r="L1549" s="35">
        <f t="shared" si="82"/>
        <v>104018118</v>
      </c>
      <c r="M1549" s="36">
        <v>20000</v>
      </c>
      <c r="N1549" s="40">
        <v>322409</v>
      </c>
      <c r="O1549" s="40">
        <v>166327.5</v>
      </c>
      <c r="P1549" s="40">
        <v>0</v>
      </c>
      <c r="Q1549" s="40">
        <v>49654.5</v>
      </c>
      <c r="R1549" s="40">
        <v>536328</v>
      </c>
      <c r="S1549" s="40">
        <v>177178</v>
      </c>
      <c r="T1549" s="48"/>
      <c r="U1549" s="40">
        <v>519300</v>
      </c>
      <c r="V1549" s="40">
        <v>0</v>
      </c>
      <c r="W1549" s="45">
        <f t="shared" si="83"/>
        <v>1771197</v>
      </c>
      <c r="X1549" s="46">
        <f t="shared" si="84"/>
        <v>1.7027773949918994</v>
      </c>
    </row>
    <row r="1550" spans="1:24" s="4" customFormat="1" ht="15" customHeight="1">
      <c r="A1550" s="28" t="s">
        <v>2168</v>
      </c>
      <c r="B1550" s="29">
        <v>3271.01</v>
      </c>
      <c r="C1550" s="30" t="s">
        <v>2349</v>
      </c>
      <c r="D1550" s="2">
        <v>4950184135</v>
      </c>
      <c r="E1550" s="2" t="s">
        <v>36</v>
      </c>
      <c r="F1550" s="2" t="s">
        <v>2350</v>
      </c>
      <c r="G1550" s="28" t="s">
        <v>5</v>
      </c>
      <c r="H1550" s="2" t="s">
        <v>20</v>
      </c>
      <c r="I1550" s="2">
        <v>1</v>
      </c>
      <c r="J1550" s="2" t="s">
        <v>2352</v>
      </c>
      <c r="K1550" s="2">
        <v>31800</v>
      </c>
      <c r="L1550" s="35">
        <f t="shared" si="82"/>
        <v>104018118</v>
      </c>
      <c r="M1550" s="36">
        <v>20000</v>
      </c>
      <c r="N1550" s="40">
        <v>322409</v>
      </c>
      <c r="O1550" s="40">
        <v>166327.5</v>
      </c>
      <c r="P1550" s="40">
        <v>0</v>
      </c>
      <c r="Q1550" s="40">
        <v>49654.5</v>
      </c>
      <c r="R1550" s="40">
        <v>536328</v>
      </c>
      <c r="S1550" s="40">
        <v>177178</v>
      </c>
      <c r="T1550" s="48"/>
      <c r="U1550" s="40">
        <v>519300</v>
      </c>
      <c r="V1550" s="40">
        <v>0</v>
      </c>
      <c r="W1550" s="45">
        <f t="shared" si="83"/>
        <v>1771197</v>
      </c>
      <c r="X1550" s="46">
        <f t="shared" si="84"/>
        <v>1.7027773949918994</v>
      </c>
    </row>
    <row r="1551" spans="1:24" s="4" customFormat="1" ht="15" customHeight="1">
      <c r="A1551" s="28" t="s">
        <v>2168</v>
      </c>
      <c r="B1551" s="29">
        <v>3271.01</v>
      </c>
      <c r="C1551" s="30" t="s">
        <v>2353</v>
      </c>
      <c r="D1551" s="2">
        <v>4950058280</v>
      </c>
      <c r="E1551" s="2" t="s">
        <v>14</v>
      </c>
      <c r="F1551" s="78" t="s">
        <v>2354</v>
      </c>
      <c r="G1551" s="28" t="s">
        <v>9</v>
      </c>
      <c r="H1551" s="2" t="s">
        <v>23</v>
      </c>
      <c r="I1551" s="2">
        <v>1</v>
      </c>
      <c r="J1551" s="2"/>
      <c r="K1551" s="2">
        <v>1170</v>
      </c>
      <c r="L1551" s="35">
        <f t="shared" si="82"/>
        <v>3827081.7</v>
      </c>
      <c r="M1551" s="36">
        <v>750</v>
      </c>
      <c r="N1551" s="40">
        <v>477549</v>
      </c>
      <c r="O1551" s="40">
        <v>514</v>
      </c>
      <c r="P1551" s="40">
        <v>8030</v>
      </c>
      <c r="Q1551" s="40">
        <v>12733</v>
      </c>
      <c r="R1551" s="40">
        <v>98876</v>
      </c>
      <c r="S1551" s="40">
        <v>354356</v>
      </c>
      <c r="T1551" s="40">
        <v>30000</v>
      </c>
      <c r="U1551" s="40">
        <v>1367700</v>
      </c>
      <c r="V1551" s="40">
        <v>0</v>
      </c>
      <c r="W1551" s="45">
        <f t="shared" si="83"/>
        <v>2349758</v>
      </c>
      <c r="X1551" s="46">
        <f t="shared" si="84"/>
        <v>61.398166650061327</v>
      </c>
    </row>
    <row r="1552" spans="1:24" s="4" customFormat="1" ht="15" customHeight="1">
      <c r="A1552" s="28" t="s">
        <v>2168</v>
      </c>
      <c r="B1552" s="29">
        <v>3271.01</v>
      </c>
      <c r="C1552" s="30" t="s">
        <v>2355</v>
      </c>
      <c r="D1552" s="2">
        <v>4950090422</v>
      </c>
      <c r="E1552" s="2" t="s">
        <v>14</v>
      </c>
      <c r="F1552" s="78" t="s">
        <v>2356</v>
      </c>
      <c r="G1552" s="28" t="s">
        <v>9</v>
      </c>
      <c r="H1552" s="2" t="s">
        <v>23</v>
      </c>
      <c r="I1552" s="2">
        <v>1</v>
      </c>
      <c r="J1552" s="2"/>
      <c r="K1552" s="2">
        <v>1266.6500000000001</v>
      </c>
      <c r="L1552" s="35">
        <f t="shared" si="82"/>
        <v>4143224.8165000007</v>
      </c>
      <c r="M1552" s="36">
        <v>235</v>
      </c>
      <c r="N1552" s="40">
        <v>478504</v>
      </c>
      <c r="O1552" s="40">
        <v>161</v>
      </c>
      <c r="P1552" s="40">
        <v>2687</v>
      </c>
      <c r="Q1552" s="40">
        <v>4234</v>
      </c>
      <c r="R1552" s="40">
        <v>89971</v>
      </c>
      <c r="S1552" s="40">
        <v>354356</v>
      </c>
      <c r="T1552" s="40">
        <v>30000</v>
      </c>
      <c r="U1552" s="40">
        <v>140660.612691466</v>
      </c>
      <c r="V1552" s="40">
        <v>0</v>
      </c>
      <c r="W1552" s="45">
        <f t="shared" si="83"/>
        <v>1100573.612691466</v>
      </c>
      <c r="X1552" s="46">
        <f t="shared" si="84"/>
        <v>26.563212508009116</v>
      </c>
    </row>
    <row r="1553" spans="1:24" s="4" customFormat="1" ht="15" customHeight="1">
      <c r="A1553" s="28" t="s">
        <v>2168</v>
      </c>
      <c r="B1553" s="29">
        <v>3271.01</v>
      </c>
      <c r="C1553" s="30" t="s">
        <v>2357</v>
      </c>
      <c r="D1553" s="2">
        <v>4950000732</v>
      </c>
      <c r="E1553" s="2" t="s">
        <v>36</v>
      </c>
      <c r="F1553" s="2" t="s">
        <v>2358</v>
      </c>
      <c r="G1553" s="28" t="s">
        <v>5</v>
      </c>
      <c r="H1553" s="2" t="s">
        <v>20</v>
      </c>
      <c r="I1553" s="2">
        <v>1</v>
      </c>
      <c r="J1553" s="2" t="s">
        <v>2359</v>
      </c>
      <c r="K1553" s="2">
        <v>31800</v>
      </c>
      <c r="L1553" s="35">
        <f t="shared" si="82"/>
        <v>104018118</v>
      </c>
      <c r="M1553" s="36">
        <v>20000</v>
      </c>
      <c r="N1553" s="40">
        <v>322409</v>
      </c>
      <c r="O1553" s="40">
        <v>332655</v>
      </c>
      <c r="P1553" s="40">
        <v>0</v>
      </c>
      <c r="Q1553" s="40">
        <v>99309</v>
      </c>
      <c r="R1553" s="40">
        <v>536328</v>
      </c>
      <c r="S1553" s="40">
        <v>354356</v>
      </c>
      <c r="T1553" s="40"/>
      <c r="U1553" s="40">
        <v>519300</v>
      </c>
      <c r="V1553" s="40">
        <v>0</v>
      </c>
      <c r="W1553" s="45">
        <f t="shared" si="83"/>
        <v>2164357</v>
      </c>
      <c r="X1553" s="46">
        <f t="shared" si="84"/>
        <v>2.0807500093397193</v>
      </c>
    </row>
    <row r="1554" spans="1:24" s="4" customFormat="1" ht="15" customHeight="1">
      <c r="A1554" s="28" t="s">
        <v>2168</v>
      </c>
      <c r="B1554" s="29">
        <v>3271.01</v>
      </c>
      <c r="C1554" s="30" t="s">
        <v>2360</v>
      </c>
      <c r="D1554" s="2">
        <v>4942476061</v>
      </c>
      <c r="E1554" s="2" t="s">
        <v>6</v>
      </c>
      <c r="F1554" s="78" t="s">
        <v>2361</v>
      </c>
      <c r="G1554" s="28" t="s">
        <v>9</v>
      </c>
      <c r="H1554" s="2" t="s">
        <v>23</v>
      </c>
      <c r="I1554" s="2">
        <v>1</v>
      </c>
      <c r="J1554" s="2"/>
      <c r="K1554" s="2">
        <v>41853.599999999999</v>
      </c>
      <c r="L1554" s="35">
        <f t="shared" si="82"/>
        <v>136903544.13600001</v>
      </c>
      <c r="M1554" s="36">
        <v>792</v>
      </c>
      <c r="N1554" s="40">
        <v>729315</v>
      </c>
      <c r="O1554" s="40">
        <v>611</v>
      </c>
      <c r="P1554" s="40">
        <v>12142</v>
      </c>
      <c r="Q1554" s="40">
        <v>19343</v>
      </c>
      <c r="R1554" s="40">
        <v>106633</v>
      </c>
      <c r="S1554" s="40">
        <v>354356</v>
      </c>
      <c r="T1554" s="40">
        <v>30000</v>
      </c>
      <c r="U1554" s="40">
        <v>1367700</v>
      </c>
      <c r="V1554" s="40">
        <v>0</v>
      </c>
      <c r="W1554" s="45">
        <f t="shared" si="83"/>
        <v>2620100</v>
      </c>
      <c r="X1554" s="46">
        <f t="shared" si="84"/>
        <v>1.9138291974364026</v>
      </c>
    </row>
    <row r="1555" spans="1:24" s="4" customFormat="1" ht="15" customHeight="1">
      <c r="A1555" s="28" t="s">
        <v>2168</v>
      </c>
      <c r="B1555" s="29">
        <v>3271.01</v>
      </c>
      <c r="C1555" s="30" t="s">
        <v>2362</v>
      </c>
      <c r="D1555" s="2">
        <v>4950058277</v>
      </c>
      <c r="E1555" s="2" t="s">
        <v>14</v>
      </c>
      <c r="F1555" s="2" t="s">
        <v>2363</v>
      </c>
      <c r="G1555" s="28" t="s">
        <v>9</v>
      </c>
      <c r="H1555" s="2" t="s">
        <v>23</v>
      </c>
      <c r="I1555" s="2">
        <v>2</v>
      </c>
      <c r="J1555" s="2"/>
      <c r="K1555" s="2">
        <v>2748</v>
      </c>
      <c r="L1555" s="35">
        <f t="shared" si="82"/>
        <v>8988735.4800000004</v>
      </c>
      <c r="M1555" s="36">
        <v>1200</v>
      </c>
      <c r="N1555" s="40">
        <v>377021</v>
      </c>
      <c r="O1555" s="40">
        <v>826</v>
      </c>
      <c r="P1555" s="40">
        <v>15772</v>
      </c>
      <c r="Q1555" s="40">
        <v>25686</v>
      </c>
      <c r="R1555" s="40">
        <v>109812</v>
      </c>
      <c r="S1555" s="40">
        <v>354356</v>
      </c>
      <c r="T1555" s="40">
        <v>30000</v>
      </c>
      <c r="U1555" s="40">
        <v>1053726.31578947</v>
      </c>
      <c r="V1555" s="40">
        <v>0</v>
      </c>
      <c r="W1555" s="45">
        <f t="shared" si="83"/>
        <v>1967199.31578947</v>
      </c>
      <c r="X1555" s="46">
        <f t="shared" si="84"/>
        <v>21.885161935919712</v>
      </c>
    </row>
    <row r="1556" spans="1:24" s="4" customFormat="1" ht="15" customHeight="1">
      <c r="A1556" s="28" t="s">
        <v>2168</v>
      </c>
      <c r="B1556" s="29">
        <v>3271.01</v>
      </c>
      <c r="C1556" s="30" t="s">
        <v>2364</v>
      </c>
      <c r="D1556" s="2">
        <v>4949685086</v>
      </c>
      <c r="E1556" s="2" t="s">
        <v>18</v>
      </c>
      <c r="F1556" s="2" t="s">
        <v>2365</v>
      </c>
      <c r="G1556" s="28" t="s">
        <v>9</v>
      </c>
      <c r="H1556" s="2" t="s">
        <v>23</v>
      </c>
      <c r="I1556" s="2">
        <v>6</v>
      </c>
      <c r="J1556" s="2"/>
      <c r="K1556" s="2">
        <v>24072</v>
      </c>
      <c r="L1556" s="35">
        <f t="shared" si="82"/>
        <v>78739752.719999999</v>
      </c>
      <c r="M1556" s="36">
        <v>800</v>
      </c>
      <c r="N1556" s="40">
        <v>588669.957446808</v>
      </c>
      <c r="O1556" s="40">
        <v>1078.4680851063799</v>
      </c>
      <c r="P1556" s="40">
        <v>24964.085106383001</v>
      </c>
      <c r="Q1556" s="40">
        <v>13461.1063829787</v>
      </c>
      <c r="R1556" s="40">
        <v>269861.44680851098</v>
      </c>
      <c r="S1556" s="40">
        <v>241263.65957446801</v>
      </c>
      <c r="T1556" s="40">
        <v>30000</v>
      </c>
      <c r="U1556" s="40">
        <v>702484.21052631596</v>
      </c>
      <c r="V1556" s="40">
        <v>0</v>
      </c>
      <c r="W1556" s="45">
        <f t="shared" si="83"/>
        <v>1871782.933930571</v>
      </c>
      <c r="X1556" s="46">
        <f t="shared" si="84"/>
        <v>2.3771765458632634</v>
      </c>
    </row>
    <row r="1557" spans="1:24" s="4" customFormat="1" ht="15" customHeight="1">
      <c r="A1557" s="28" t="s">
        <v>2168</v>
      </c>
      <c r="B1557" s="29">
        <v>3271.01</v>
      </c>
      <c r="C1557" s="30" t="s">
        <v>2364</v>
      </c>
      <c r="D1557" s="2">
        <v>4948992569</v>
      </c>
      <c r="E1557" s="2" t="s">
        <v>18</v>
      </c>
      <c r="F1557" s="2" t="s">
        <v>2365</v>
      </c>
      <c r="G1557" s="28" t="s">
        <v>9</v>
      </c>
      <c r="H1557" s="2" t="s">
        <v>23</v>
      </c>
      <c r="I1557" s="2">
        <v>6</v>
      </c>
      <c r="J1557" s="2"/>
      <c r="K1557" s="2">
        <v>9791.25</v>
      </c>
      <c r="L1557" s="35">
        <f t="shared" si="82"/>
        <v>32027276.662500001</v>
      </c>
      <c r="M1557" s="36">
        <v>375</v>
      </c>
      <c r="N1557" s="40">
        <v>275939.04255319102</v>
      </c>
      <c r="O1557" s="40">
        <v>505.531914893617</v>
      </c>
      <c r="P1557" s="40">
        <v>11701.914893617</v>
      </c>
      <c r="Q1557" s="40">
        <v>6309.8936170212801</v>
      </c>
      <c r="R1557" s="40">
        <v>126497.553191489</v>
      </c>
      <c r="S1557" s="40">
        <v>113092.34042553201</v>
      </c>
      <c r="T1557" s="40">
        <v>30000</v>
      </c>
      <c r="U1557" s="40">
        <v>329289.47368421103</v>
      </c>
      <c r="V1557" s="40">
        <v>0</v>
      </c>
      <c r="W1557" s="45">
        <f t="shared" si="83"/>
        <v>893335.75027995487</v>
      </c>
      <c r="X1557" s="46">
        <f t="shared" si="84"/>
        <v>2.7892966351583088</v>
      </c>
    </row>
    <row r="1558" spans="1:24" s="4" customFormat="1" ht="15" customHeight="1">
      <c r="A1558" s="28" t="s">
        <v>2168</v>
      </c>
      <c r="B1558" s="29">
        <v>3271.01</v>
      </c>
      <c r="C1558" s="30" t="s">
        <v>2366</v>
      </c>
      <c r="D1558" s="2">
        <v>4949681926</v>
      </c>
      <c r="E1558" s="2" t="s">
        <v>14</v>
      </c>
      <c r="F1558" s="2" t="s">
        <v>2367</v>
      </c>
      <c r="G1558" s="28" t="s">
        <v>5</v>
      </c>
      <c r="H1558" s="2" t="s">
        <v>17</v>
      </c>
      <c r="I1558" s="2">
        <v>1</v>
      </c>
      <c r="J1558" s="2" t="s">
        <v>2368</v>
      </c>
      <c r="K1558" s="2">
        <v>4100</v>
      </c>
      <c r="L1558" s="35">
        <f t="shared" si="82"/>
        <v>13411141</v>
      </c>
      <c r="M1558" s="36">
        <v>400</v>
      </c>
      <c r="N1558" s="40">
        <v>9279.6893203883501</v>
      </c>
      <c r="O1558" s="40">
        <v>12468.685714285701</v>
      </c>
      <c r="P1558" s="40">
        <v>65202.213592232998</v>
      </c>
      <c r="Q1558" s="40">
        <v>2837.4</v>
      </c>
      <c r="R1558" s="40">
        <v>30357.038834951501</v>
      </c>
      <c r="S1558" s="40">
        <v>6880.69902912621</v>
      </c>
      <c r="T1558" s="40">
        <v>30000</v>
      </c>
      <c r="U1558" s="40">
        <v>110466.990291262</v>
      </c>
      <c r="V1558" s="40">
        <v>0</v>
      </c>
      <c r="W1558" s="45">
        <f t="shared" si="83"/>
        <v>267492.71678224672</v>
      </c>
      <c r="X1558" s="46">
        <f t="shared" si="84"/>
        <v>1.9945559947676839</v>
      </c>
    </row>
    <row r="1559" spans="1:24" s="4" customFormat="1" ht="15" customHeight="1">
      <c r="A1559" s="28" t="s">
        <v>2168</v>
      </c>
      <c r="B1559" s="29">
        <v>3271.01</v>
      </c>
      <c r="C1559" s="30" t="s">
        <v>2366</v>
      </c>
      <c r="D1559" s="2">
        <v>4949719623</v>
      </c>
      <c r="E1559" s="2" t="s">
        <v>14</v>
      </c>
      <c r="F1559" s="2" t="s">
        <v>2367</v>
      </c>
      <c r="G1559" s="28" t="s">
        <v>5</v>
      </c>
      <c r="H1559" s="2" t="s">
        <v>17</v>
      </c>
      <c r="I1559" s="2">
        <v>1</v>
      </c>
      <c r="J1559" s="2" t="s">
        <v>2368</v>
      </c>
      <c r="K1559" s="2">
        <v>43750</v>
      </c>
      <c r="L1559" s="35">
        <f t="shared" si="82"/>
        <v>143106687.5</v>
      </c>
      <c r="M1559" s="36">
        <v>7000</v>
      </c>
      <c r="N1559" s="40">
        <v>162394.56310679601</v>
      </c>
      <c r="O1559" s="40">
        <v>218202</v>
      </c>
      <c r="P1559" s="40">
        <v>1141038.7378640799</v>
      </c>
      <c r="Q1559" s="40">
        <v>49654.5</v>
      </c>
      <c r="R1559" s="40">
        <v>531256.67961165099</v>
      </c>
      <c r="S1559" s="40">
        <v>120412.233009709</v>
      </c>
      <c r="T1559" s="40">
        <v>30000</v>
      </c>
      <c r="U1559" s="40">
        <v>1933172.33009709</v>
      </c>
      <c r="V1559" s="40">
        <v>0</v>
      </c>
      <c r="W1559" s="45">
        <f t="shared" si="83"/>
        <v>4186131.0436893259</v>
      </c>
      <c r="X1559" s="46">
        <f t="shared" si="84"/>
        <v>2.9251819861243913</v>
      </c>
    </row>
    <row r="1560" spans="1:24" s="4" customFormat="1" ht="15" customHeight="1">
      <c r="A1560" s="28" t="s">
        <v>2168</v>
      </c>
      <c r="B1560" s="29">
        <v>3271.01</v>
      </c>
      <c r="C1560" s="30" t="s">
        <v>2366</v>
      </c>
      <c r="D1560" s="2">
        <v>4950058276</v>
      </c>
      <c r="E1560" s="2" t="s">
        <v>14</v>
      </c>
      <c r="F1560" s="2" t="s">
        <v>2367</v>
      </c>
      <c r="G1560" s="28" t="s">
        <v>5</v>
      </c>
      <c r="H1560" s="2" t="s">
        <v>17</v>
      </c>
      <c r="I1560" s="2">
        <v>1</v>
      </c>
      <c r="J1560" s="2" t="s">
        <v>2368</v>
      </c>
      <c r="K1560" s="2">
        <v>18499.2</v>
      </c>
      <c r="L1560" s="35">
        <f t="shared" si="82"/>
        <v>60511068.192000009</v>
      </c>
      <c r="M1560" s="36">
        <v>2460</v>
      </c>
      <c r="N1560" s="40">
        <v>153114.87378640799</v>
      </c>
      <c r="O1560" s="40">
        <v>76682.417142857099</v>
      </c>
      <c r="P1560" s="40">
        <v>1075836.52427184</v>
      </c>
      <c r="Q1560" s="40">
        <v>17450.009999999998</v>
      </c>
      <c r="R1560" s="40">
        <v>500899.640776699</v>
      </c>
      <c r="S1560" s="40">
        <v>113531.533980583</v>
      </c>
      <c r="T1560" s="40">
        <v>30000</v>
      </c>
      <c r="U1560" s="40">
        <v>1822705.33980583</v>
      </c>
      <c r="V1560" s="40">
        <v>0</v>
      </c>
      <c r="W1560" s="45">
        <f t="shared" si="83"/>
        <v>3790220.3397642169</v>
      </c>
      <c r="X1560" s="46">
        <f t="shared" si="84"/>
        <v>6.263681096717626</v>
      </c>
    </row>
    <row r="1561" spans="1:24" s="4" customFormat="1" ht="15" customHeight="1">
      <c r="A1561" s="28" t="s">
        <v>2168</v>
      </c>
      <c r="B1561" s="29">
        <v>3271.01</v>
      </c>
      <c r="C1561" s="30" t="s">
        <v>2366</v>
      </c>
      <c r="D1561" s="2">
        <v>4950058257</v>
      </c>
      <c r="E1561" s="2" t="s">
        <v>14</v>
      </c>
      <c r="F1561" s="2" t="s">
        <v>2367</v>
      </c>
      <c r="G1561" s="28" t="s">
        <v>5</v>
      </c>
      <c r="H1561" s="2" t="s">
        <v>17</v>
      </c>
      <c r="I1561" s="2">
        <v>1</v>
      </c>
      <c r="J1561" s="2" t="s">
        <v>2368</v>
      </c>
      <c r="K1561" s="2">
        <v>13969</v>
      </c>
      <c r="L1561" s="35">
        <f t="shared" si="82"/>
        <v>45692738.690000005</v>
      </c>
      <c r="M1561" s="36">
        <v>1600</v>
      </c>
      <c r="N1561" s="40">
        <v>57070.089320388302</v>
      </c>
      <c r="O1561" s="40">
        <v>49874.742857142897</v>
      </c>
      <c r="P1561" s="40">
        <v>400993.61359223298</v>
      </c>
      <c r="Q1561" s="40">
        <v>11349.6</v>
      </c>
      <c r="R1561" s="40">
        <v>186698.33883495099</v>
      </c>
      <c r="S1561" s="40">
        <v>42316.299029126203</v>
      </c>
      <c r="T1561" s="40">
        <v>30000</v>
      </c>
      <c r="U1561" s="40">
        <v>679371.99029126205</v>
      </c>
      <c r="V1561" s="40">
        <v>0</v>
      </c>
      <c r="W1561" s="45">
        <f t="shared" si="83"/>
        <v>1457674.6739251034</v>
      </c>
      <c r="X1561" s="46">
        <f t="shared" si="84"/>
        <v>3.1901670062165035</v>
      </c>
    </row>
    <row r="1562" spans="1:24" s="4" customFormat="1" ht="15" customHeight="1">
      <c r="A1562" s="28" t="s">
        <v>2168</v>
      </c>
      <c r="B1562" s="29">
        <v>3271.01</v>
      </c>
      <c r="C1562" s="30" t="s">
        <v>2366</v>
      </c>
      <c r="D1562" s="2">
        <v>4950090421</v>
      </c>
      <c r="E1562" s="2" t="s">
        <v>14</v>
      </c>
      <c r="F1562" s="2" t="s">
        <v>2367</v>
      </c>
      <c r="G1562" s="28" t="s">
        <v>5</v>
      </c>
      <c r="H1562" s="2" t="s">
        <v>17</v>
      </c>
      <c r="I1562" s="2">
        <v>1</v>
      </c>
      <c r="J1562" s="2" t="s">
        <v>2368</v>
      </c>
      <c r="K1562" s="2">
        <v>4298</v>
      </c>
      <c r="L1562" s="35">
        <f t="shared" si="82"/>
        <v>14058800.98</v>
      </c>
      <c r="M1562" s="36">
        <v>1400</v>
      </c>
      <c r="N1562" s="40">
        <v>37118.7572815534</v>
      </c>
      <c r="O1562" s="40">
        <v>43640.4</v>
      </c>
      <c r="P1562" s="40">
        <v>260808.85436893199</v>
      </c>
      <c r="Q1562" s="40">
        <v>9930.9</v>
      </c>
      <c r="R1562" s="40">
        <v>121430.15533980601</v>
      </c>
      <c r="S1562" s="40">
        <v>27522.796116504898</v>
      </c>
      <c r="T1562" s="40">
        <v>30000</v>
      </c>
      <c r="U1562" s="40">
        <v>441867.961165049</v>
      </c>
      <c r="V1562" s="40">
        <v>0</v>
      </c>
      <c r="W1562" s="45">
        <f t="shared" si="83"/>
        <v>972319.82427184528</v>
      </c>
      <c r="X1562" s="46">
        <f t="shared" si="84"/>
        <v>6.9160935250101625</v>
      </c>
    </row>
    <row r="1563" spans="1:24" s="4" customFormat="1" ht="15" customHeight="1">
      <c r="A1563" s="28" t="s">
        <v>2168</v>
      </c>
      <c r="B1563" s="29">
        <v>3271.01</v>
      </c>
      <c r="C1563" s="30" t="s">
        <v>2366</v>
      </c>
      <c r="D1563" s="2">
        <v>4950090421</v>
      </c>
      <c r="E1563" s="2" t="s">
        <v>14</v>
      </c>
      <c r="F1563" s="2" t="s">
        <v>2367</v>
      </c>
      <c r="G1563" s="28" t="s">
        <v>5</v>
      </c>
      <c r="H1563" s="2" t="s">
        <v>17</v>
      </c>
      <c r="I1563" s="2">
        <v>1</v>
      </c>
      <c r="J1563" s="2" t="s">
        <v>2368</v>
      </c>
      <c r="K1563" s="2">
        <v>2528.4</v>
      </c>
      <c r="L1563" s="35">
        <f t="shared" si="82"/>
        <v>8270421.6840000013</v>
      </c>
      <c r="M1563" s="36">
        <v>420</v>
      </c>
      <c r="N1563" s="40">
        <v>32478.912621359199</v>
      </c>
      <c r="O1563" s="40">
        <v>13092.12</v>
      </c>
      <c r="P1563" s="40">
        <v>228207.74757281601</v>
      </c>
      <c r="Q1563" s="40">
        <v>2979.27</v>
      </c>
      <c r="R1563" s="40">
        <v>106251.13592233</v>
      </c>
      <c r="S1563" s="40">
        <v>24082.446601941701</v>
      </c>
      <c r="T1563" s="40">
        <v>30000</v>
      </c>
      <c r="U1563" s="40">
        <v>386634.46601941698</v>
      </c>
      <c r="V1563" s="40">
        <v>0</v>
      </c>
      <c r="W1563" s="45">
        <f t="shared" si="83"/>
        <v>823726.09873786382</v>
      </c>
      <c r="X1563" s="46">
        <f t="shared" si="84"/>
        <v>9.9599044669203316</v>
      </c>
    </row>
    <row r="1564" spans="1:24" s="4" customFormat="1" ht="15" customHeight="1">
      <c r="A1564" s="28" t="s">
        <v>2168</v>
      </c>
      <c r="B1564" s="29">
        <v>3271.01</v>
      </c>
      <c r="C1564" s="30" t="s">
        <v>2366</v>
      </c>
      <c r="D1564" s="2">
        <v>4950090421</v>
      </c>
      <c r="E1564" s="2" t="s">
        <v>14</v>
      </c>
      <c r="F1564" s="2" t="s">
        <v>2367</v>
      </c>
      <c r="G1564" s="28" t="s">
        <v>5</v>
      </c>
      <c r="H1564" s="2" t="s">
        <v>17</v>
      </c>
      <c r="I1564" s="2">
        <v>1</v>
      </c>
      <c r="J1564" s="2" t="s">
        <v>2368</v>
      </c>
      <c r="K1564" s="2">
        <v>2528.4</v>
      </c>
      <c r="L1564" s="35">
        <f t="shared" si="82"/>
        <v>8270421.6840000013</v>
      </c>
      <c r="M1564" s="36">
        <v>420</v>
      </c>
      <c r="N1564" s="40">
        <v>9743.6737864077695</v>
      </c>
      <c r="O1564" s="40">
        <v>13092.12</v>
      </c>
      <c r="P1564" s="40">
        <v>68462.3242718447</v>
      </c>
      <c r="Q1564" s="40">
        <v>2979.27</v>
      </c>
      <c r="R1564" s="40">
        <v>31875.740776699</v>
      </c>
      <c r="S1564" s="40">
        <v>7224.7339805825204</v>
      </c>
      <c r="T1564" s="40">
        <v>30000</v>
      </c>
      <c r="U1564" s="40">
        <v>115990.339805825</v>
      </c>
      <c r="V1564" s="40">
        <v>0</v>
      </c>
      <c r="W1564" s="45">
        <f t="shared" si="83"/>
        <v>279368.20262135903</v>
      </c>
      <c r="X1564" s="46">
        <f t="shared" si="84"/>
        <v>3.3779196913480982</v>
      </c>
    </row>
    <row r="1565" spans="1:24" s="4" customFormat="1" ht="15" customHeight="1">
      <c r="A1565" s="28" t="s">
        <v>2168</v>
      </c>
      <c r="B1565" s="29">
        <v>3271.01</v>
      </c>
      <c r="C1565" s="30" t="s">
        <v>2366</v>
      </c>
      <c r="D1565" s="2">
        <v>4950057198</v>
      </c>
      <c r="E1565" s="2" t="s">
        <v>14</v>
      </c>
      <c r="F1565" s="2" t="s">
        <v>2367</v>
      </c>
      <c r="G1565" s="28" t="s">
        <v>5</v>
      </c>
      <c r="H1565" s="2" t="s">
        <v>17</v>
      </c>
      <c r="I1565" s="2">
        <v>1</v>
      </c>
      <c r="J1565" s="2" t="s">
        <v>2368</v>
      </c>
      <c r="K1565" s="2">
        <v>5754</v>
      </c>
      <c r="L1565" s="35">
        <f t="shared" si="82"/>
        <v>18821391.540000003</v>
      </c>
      <c r="M1565" s="36">
        <v>300</v>
      </c>
      <c r="N1565" s="40">
        <v>6959.7669902912603</v>
      </c>
      <c r="O1565" s="40">
        <v>9351.5142857142891</v>
      </c>
      <c r="P1565" s="40">
        <v>48901.660194174801</v>
      </c>
      <c r="Q1565" s="40">
        <v>2128.0500000000002</v>
      </c>
      <c r="R1565" s="40">
        <v>22768.529126213602</v>
      </c>
      <c r="S1565" s="40">
        <v>5160.5242718446598</v>
      </c>
      <c r="T1565" s="40">
        <v>30000</v>
      </c>
      <c r="U1565" s="40">
        <v>82850.242718446607</v>
      </c>
      <c r="V1565" s="40">
        <v>0</v>
      </c>
      <c r="W1565" s="45">
        <f t="shared" si="83"/>
        <v>208120.28758668521</v>
      </c>
      <c r="X1565" s="46">
        <f t="shared" si="84"/>
        <v>1.1057646143983528</v>
      </c>
    </row>
    <row r="1566" spans="1:24" s="4" customFormat="1" ht="15" customHeight="1">
      <c r="A1566" s="28" t="s">
        <v>2168</v>
      </c>
      <c r="B1566" s="29">
        <v>3271.01</v>
      </c>
      <c r="C1566" s="30" t="s">
        <v>2369</v>
      </c>
      <c r="D1566" s="2">
        <v>4948775148</v>
      </c>
      <c r="E1566" s="2" t="s">
        <v>14</v>
      </c>
      <c r="F1566" s="78" t="s">
        <v>2370</v>
      </c>
      <c r="G1566" s="28" t="s">
        <v>5</v>
      </c>
      <c r="H1566" s="2" t="s">
        <v>20</v>
      </c>
      <c r="I1566" s="2">
        <v>1</v>
      </c>
      <c r="J1566" s="2" t="s">
        <v>2371</v>
      </c>
      <c r="K1566" s="2">
        <v>2925</v>
      </c>
      <c r="L1566" s="35">
        <f t="shared" si="82"/>
        <v>9567704.25</v>
      </c>
      <c r="M1566" s="36">
        <v>4500</v>
      </c>
      <c r="N1566" s="40">
        <v>387824</v>
      </c>
      <c r="O1566" s="40">
        <v>332655</v>
      </c>
      <c r="P1566" s="40">
        <v>217391</v>
      </c>
      <c r="Q1566" s="40">
        <v>99309</v>
      </c>
      <c r="R1566" s="40">
        <v>635924</v>
      </c>
      <c r="S1566" s="40">
        <v>354356</v>
      </c>
      <c r="T1566" s="40">
        <v>30000</v>
      </c>
      <c r="U1566" s="40">
        <v>3220400</v>
      </c>
      <c r="V1566" s="40">
        <v>0</v>
      </c>
      <c r="W1566" s="45">
        <f t="shared" si="83"/>
        <v>5277859</v>
      </c>
      <c r="X1566" s="46">
        <f t="shared" si="84"/>
        <v>55.163274930869655</v>
      </c>
    </row>
    <row r="1567" spans="1:24" s="4" customFormat="1" ht="15" customHeight="1">
      <c r="A1567" s="28" t="s">
        <v>2168</v>
      </c>
      <c r="B1567" s="29">
        <v>3271.01</v>
      </c>
      <c r="C1567" s="30" t="s">
        <v>2372</v>
      </c>
      <c r="D1567" s="2">
        <v>4950285310</v>
      </c>
      <c r="E1567" s="2" t="s">
        <v>18</v>
      </c>
      <c r="F1567" s="2" t="s">
        <v>2373</v>
      </c>
      <c r="G1567" s="28" t="s">
        <v>5</v>
      </c>
      <c r="H1567" s="2" t="s">
        <v>20</v>
      </c>
      <c r="I1567" s="2">
        <v>2</v>
      </c>
      <c r="J1567" s="2" t="s">
        <v>2374</v>
      </c>
      <c r="K1567" s="2">
        <f>23364+23364</f>
        <v>46728</v>
      </c>
      <c r="L1567" s="35">
        <f t="shared" si="82"/>
        <v>152847755.28</v>
      </c>
      <c r="M1567" s="36">
        <f>19800+19800</f>
        <v>39600</v>
      </c>
      <c r="N1567" s="40">
        <v>927002</v>
      </c>
      <c r="O1567" s="40">
        <v>665311</v>
      </c>
      <c r="P1567" s="40">
        <v>0</v>
      </c>
      <c r="Q1567" s="40">
        <v>198619</v>
      </c>
      <c r="R1567" s="40">
        <v>1250171</v>
      </c>
      <c r="S1567" s="40">
        <v>354356</v>
      </c>
      <c r="T1567" s="40">
        <v>30000</v>
      </c>
      <c r="U1567" s="40">
        <v>9622400</v>
      </c>
      <c r="V1567" s="40">
        <v>0</v>
      </c>
      <c r="W1567" s="45">
        <f t="shared" si="83"/>
        <v>13047859</v>
      </c>
      <c r="X1567" s="46">
        <f t="shared" si="84"/>
        <v>8.5365067848708556</v>
      </c>
    </row>
    <row r="1568" spans="1:24" s="4" customFormat="1" ht="15" customHeight="1">
      <c r="A1568" s="28" t="s">
        <v>2168</v>
      </c>
      <c r="B1568" s="29">
        <v>3271.01</v>
      </c>
      <c r="C1568" s="30" t="s">
        <v>2375</v>
      </c>
      <c r="D1568" s="2">
        <v>4949078452</v>
      </c>
      <c r="E1568" s="2" t="s">
        <v>6</v>
      </c>
      <c r="F1568" s="2" t="s">
        <v>2376</v>
      </c>
      <c r="G1568" s="28" t="s">
        <v>9</v>
      </c>
      <c r="H1568" s="2" t="s">
        <v>23</v>
      </c>
      <c r="I1568" s="2">
        <v>6</v>
      </c>
      <c r="J1568" s="2"/>
      <c r="K1568" s="2">
        <f>23040+255.39</f>
        <v>23295.39</v>
      </c>
      <c r="L1568" s="35">
        <f t="shared" si="82"/>
        <v>76199453.643900007</v>
      </c>
      <c r="M1568" s="36">
        <v>3960</v>
      </c>
      <c r="N1568" s="40">
        <v>840447</v>
      </c>
      <c r="O1568" s="40">
        <v>2873</v>
      </c>
      <c r="P1568" s="40">
        <v>166432</v>
      </c>
      <c r="Q1568" s="40">
        <v>88609</v>
      </c>
      <c r="R1568" s="40">
        <v>182509</v>
      </c>
      <c r="S1568" s="40">
        <v>354356</v>
      </c>
      <c r="T1568" s="40">
        <v>30000</v>
      </c>
      <c r="U1568" s="40">
        <v>2085500</v>
      </c>
      <c r="V1568" s="40">
        <v>0</v>
      </c>
      <c r="W1568" s="45">
        <f t="shared" si="83"/>
        <v>3750726</v>
      </c>
      <c r="X1568" s="46">
        <f t="shared" si="84"/>
        <v>4.9222478910782277</v>
      </c>
    </row>
    <row r="1569" spans="1:24" s="4" customFormat="1" ht="15" customHeight="1">
      <c r="A1569" s="28" t="s">
        <v>2168</v>
      </c>
      <c r="B1569" s="29">
        <v>3271.01</v>
      </c>
      <c r="C1569" s="30" t="s">
        <v>2377</v>
      </c>
      <c r="D1569" s="2">
        <v>4949311086</v>
      </c>
      <c r="E1569" s="2" t="s">
        <v>33</v>
      </c>
      <c r="F1569" s="2" t="s">
        <v>2378</v>
      </c>
      <c r="G1569" s="28" t="s">
        <v>5</v>
      </c>
      <c r="H1569" s="2" t="s">
        <v>20</v>
      </c>
      <c r="I1569" s="2">
        <v>1</v>
      </c>
      <c r="J1569" s="2" t="s">
        <v>2379</v>
      </c>
      <c r="K1569" s="2">
        <v>14145.52</v>
      </c>
      <c r="L1569" s="35">
        <f t="shared" si="82"/>
        <v>46270137.375200003</v>
      </c>
      <c r="M1569" s="36">
        <v>8573.0400000000009</v>
      </c>
      <c r="N1569" s="40">
        <v>319543</v>
      </c>
      <c r="O1569" s="40">
        <v>332655</v>
      </c>
      <c r="P1569" s="40">
        <v>394951</v>
      </c>
      <c r="Q1569" s="40">
        <v>99309</v>
      </c>
      <c r="R1569" s="40">
        <v>689284</v>
      </c>
      <c r="S1569" s="40">
        <v>354356</v>
      </c>
      <c r="T1569" s="40"/>
      <c r="U1569" s="40">
        <v>2910000</v>
      </c>
      <c r="V1569" s="40">
        <v>0</v>
      </c>
      <c r="W1569" s="45">
        <f t="shared" si="83"/>
        <v>5100098</v>
      </c>
      <c r="X1569" s="46">
        <f t="shared" si="84"/>
        <v>11.022439718827298</v>
      </c>
    </row>
    <row r="1570" spans="1:24" s="4" customFormat="1" ht="15" customHeight="1">
      <c r="A1570" s="28" t="s">
        <v>2168</v>
      </c>
      <c r="B1570" s="29">
        <v>3271.01</v>
      </c>
      <c r="C1570" s="30" t="s">
        <v>2380</v>
      </c>
      <c r="D1570" s="2">
        <v>4950195006</v>
      </c>
      <c r="E1570" s="2" t="s">
        <v>18</v>
      </c>
      <c r="F1570" s="2" t="s">
        <v>2381</v>
      </c>
      <c r="G1570" s="28" t="s">
        <v>9</v>
      </c>
      <c r="H1570" s="2" t="s">
        <v>23</v>
      </c>
      <c r="I1570" s="2">
        <v>6</v>
      </c>
      <c r="J1570" s="2"/>
      <c r="K1570" s="2">
        <v>103520</v>
      </c>
      <c r="L1570" s="35">
        <f t="shared" si="82"/>
        <v>338614955.20000005</v>
      </c>
      <c r="M1570" s="36">
        <v>2000</v>
      </c>
      <c r="N1570" s="40">
        <v>2246300.9230769202</v>
      </c>
      <c r="O1570" s="40">
        <v>1474.4615384615399</v>
      </c>
      <c r="P1570" s="40">
        <v>22695.384615384599</v>
      </c>
      <c r="Q1570" s="40">
        <v>35919.384615384603</v>
      </c>
      <c r="R1570" s="40">
        <v>96678.769230769205</v>
      </c>
      <c r="S1570" s="40">
        <v>218065.23076923101</v>
      </c>
      <c r="T1570" s="40">
        <v>30000</v>
      </c>
      <c r="U1570" s="40">
        <v>1283384.6153846199</v>
      </c>
      <c r="V1570" s="40">
        <v>0</v>
      </c>
      <c r="W1570" s="45">
        <f t="shared" si="83"/>
        <v>3934518.7692307709</v>
      </c>
      <c r="X1570" s="46">
        <f t="shared" si="84"/>
        <v>1.1619447720219211</v>
      </c>
    </row>
    <row r="1571" spans="1:24" s="4" customFormat="1" ht="15" customHeight="1">
      <c r="A1571" s="28" t="s">
        <v>2168</v>
      </c>
      <c r="B1571" s="29">
        <v>3271.01</v>
      </c>
      <c r="C1571" s="30" t="s">
        <v>2380</v>
      </c>
      <c r="D1571" s="2">
        <v>4949681290</v>
      </c>
      <c r="E1571" s="2" t="s">
        <v>18</v>
      </c>
      <c r="F1571" s="2" t="s">
        <v>2381</v>
      </c>
      <c r="G1571" s="28" t="s">
        <v>9</v>
      </c>
      <c r="H1571" s="2" t="s">
        <v>23</v>
      </c>
      <c r="I1571" s="2">
        <v>6</v>
      </c>
      <c r="J1571" s="2"/>
      <c r="K1571" s="2">
        <v>53175</v>
      </c>
      <c r="L1571" s="35">
        <f t="shared" si="82"/>
        <v>173935956.75</v>
      </c>
      <c r="M1571" s="36">
        <v>1250</v>
      </c>
      <c r="N1571" s="40">
        <v>1403938.07692308</v>
      </c>
      <c r="O1571" s="40">
        <v>921.538461538462</v>
      </c>
      <c r="P1571" s="40">
        <v>14184.615384615399</v>
      </c>
      <c r="Q1571" s="40">
        <v>22449.615384615401</v>
      </c>
      <c r="R1571" s="40">
        <v>60424.230769230802</v>
      </c>
      <c r="S1571" s="40">
        <v>136290.76923076899</v>
      </c>
      <c r="T1571" s="40">
        <v>30000</v>
      </c>
      <c r="U1571" s="40">
        <v>802115.38461538497</v>
      </c>
      <c r="V1571" s="40">
        <v>0</v>
      </c>
      <c r="W1571" s="45">
        <f t="shared" si="83"/>
        <v>2470324.2307692342</v>
      </c>
      <c r="X1571" s="46">
        <f t="shared" si="84"/>
        <v>1.4202493129812472</v>
      </c>
    </row>
    <row r="1572" spans="1:24" s="4" customFormat="1" ht="15" customHeight="1">
      <c r="A1572" s="28" t="s">
        <v>2168</v>
      </c>
      <c r="B1572" s="29">
        <v>3271.01</v>
      </c>
      <c r="C1572" s="30" t="s">
        <v>2382</v>
      </c>
      <c r="D1572" s="2">
        <v>4949532993</v>
      </c>
      <c r="E1572" s="2" t="s">
        <v>14</v>
      </c>
      <c r="F1572" s="2" t="s">
        <v>2383</v>
      </c>
      <c r="G1572" s="28" t="s">
        <v>5</v>
      </c>
      <c r="H1572" s="2" t="s">
        <v>20</v>
      </c>
      <c r="I1572" s="2">
        <v>1</v>
      </c>
      <c r="J1572" s="2" t="s">
        <v>2384</v>
      </c>
      <c r="K1572" s="2">
        <v>123336</v>
      </c>
      <c r="L1572" s="35">
        <f t="shared" si="82"/>
        <v>403433289.36000001</v>
      </c>
      <c r="M1572" s="36">
        <f>4800+2400</f>
        <v>7200</v>
      </c>
      <c r="N1572" s="40">
        <v>322409</v>
      </c>
      <c r="O1572" s="40">
        <v>332655</v>
      </c>
      <c r="P1572" s="40">
        <v>0</v>
      </c>
      <c r="Q1572" s="40">
        <v>99309</v>
      </c>
      <c r="R1572" s="40">
        <v>536328</v>
      </c>
      <c r="S1572" s="40">
        <v>354356</v>
      </c>
      <c r="T1572" s="40">
        <v>30000</v>
      </c>
      <c r="U1572" s="40">
        <v>2900300</v>
      </c>
      <c r="V1572" s="40">
        <v>0</v>
      </c>
      <c r="W1572" s="45">
        <f t="shared" si="83"/>
        <v>4575357</v>
      </c>
      <c r="X1572" s="46">
        <f t="shared" si="84"/>
        <v>1.134104973652093</v>
      </c>
    </row>
    <row r="1573" spans="1:24" s="4" customFormat="1" ht="15" customHeight="1">
      <c r="A1573" s="28" t="s">
        <v>2168</v>
      </c>
      <c r="B1573" s="29">
        <v>3271.01</v>
      </c>
      <c r="C1573" s="30" t="s">
        <v>2385</v>
      </c>
      <c r="D1573" s="2">
        <v>4949222855</v>
      </c>
      <c r="E1573" s="2" t="s">
        <v>14</v>
      </c>
      <c r="F1573" s="78" t="s">
        <v>2386</v>
      </c>
      <c r="G1573" s="28" t="s">
        <v>5</v>
      </c>
      <c r="H1573" s="2" t="s">
        <v>26</v>
      </c>
      <c r="I1573" s="2">
        <v>2</v>
      </c>
      <c r="J1573" s="2" t="s">
        <v>2387</v>
      </c>
      <c r="K1573" s="2">
        <v>70052.399999999994</v>
      </c>
      <c r="L1573" s="35">
        <f t="shared" si="82"/>
        <v>229142100.92399999</v>
      </c>
      <c r="M1573" s="36">
        <f>20120+20140</f>
        <v>40260</v>
      </c>
      <c r="N1573" s="40">
        <v>627749</v>
      </c>
      <c r="O1573" s="40">
        <v>406762</v>
      </c>
      <c r="P1573" s="40">
        <v>2343709</v>
      </c>
      <c r="Q1573" s="40">
        <v>99309</v>
      </c>
      <c r="R1573" s="40">
        <v>1193708</v>
      </c>
      <c r="S1573" s="40">
        <v>354356</v>
      </c>
      <c r="T1573" s="40">
        <v>30000</v>
      </c>
      <c r="U1573" s="40">
        <v>0</v>
      </c>
      <c r="V1573" s="40">
        <v>0</v>
      </c>
      <c r="W1573" s="45">
        <f t="shared" si="83"/>
        <v>5055593</v>
      </c>
      <c r="X1573" s="46">
        <f t="shared" si="84"/>
        <v>2.2063134533608899</v>
      </c>
    </row>
    <row r="1574" spans="1:24" s="4" customFormat="1" ht="15" customHeight="1">
      <c r="A1574" s="28" t="s">
        <v>2168</v>
      </c>
      <c r="B1574" s="29">
        <v>3271.01</v>
      </c>
      <c r="C1574" s="30" t="s">
        <v>2388</v>
      </c>
      <c r="D1574" s="2">
        <v>4949682940</v>
      </c>
      <c r="E1574" s="2" t="s">
        <v>18</v>
      </c>
      <c r="F1574" s="78" t="s">
        <v>2389</v>
      </c>
      <c r="G1574" s="28" t="s">
        <v>9</v>
      </c>
      <c r="H1574" s="2" t="s">
        <v>23</v>
      </c>
      <c r="I1574" s="2">
        <v>1</v>
      </c>
      <c r="J1574" s="2"/>
      <c r="K1574" s="2">
        <v>5842.5</v>
      </c>
      <c r="L1574" s="35">
        <f t="shared" si="82"/>
        <v>19110875.925000001</v>
      </c>
      <c r="M1574" s="36">
        <v>150</v>
      </c>
      <c r="N1574" s="40">
        <v>405505</v>
      </c>
      <c r="O1574" s="40">
        <v>194</v>
      </c>
      <c r="P1574" s="40">
        <v>8807</v>
      </c>
      <c r="Q1574" s="40">
        <v>2521</v>
      </c>
      <c r="R1574" s="40">
        <v>368932</v>
      </c>
      <c r="S1574" s="40">
        <v>354356</v>
      </c>
      <c r="T1574" s="40">
        <v>30000</v>
      </c>
      <c r="U1574" s="40">
        <v>86847.584675180406</v>
      </c>
      <c r="V1574" s="40">
        <v>0</v>
      </c>
      <c r="W1574" s="45">
        <f t="shared" si="83"/>
        <v>1257162.5846751805</v>
      </c>
      <c r="X1574" s="46">
        <f t="shared" si="84"/>
        <v>6.5782572688393426</v>
      </c>
    </row>
    <row r="1575" spans="1:24" s="4" customFormat="1" ht="15" customHeight="1">
      <c r="A1575" s="28" t="s">
        <v>2168</v>
      </c>
      <c r="B1575" s="29">
        <v>3271.01</v>
      </c>
      <c r="C1575" s="30" t="s">
        <v>2390</v>
      </c>
      <c r="D1575" s="2">
        <v>4949923661</v>
      </c>
      <c r="E1575" s="2" t="s">
        <v>33</v>
      </c>
      <c r="F1575" s="2" t="s">
        <v>2391</v>
      </c>
      <c r="G1575" s="28" t="s">
        <v>9</v>
      </c>
      <c r="H1575" s="2" t="s">
        <v>23</v>
      </c>
      <c r="I1575" s="2">
        <v>4</v>
      </c>
      <c r="J1575" s="2"/>
      <c r="K1575" s="2">
        <v>19600</v>
      </c>
      <c r="L1575" s="35">
        <f t="shared" si="82"/>
        <v>64111796.000000007</v>
      </c>
      <c r="M1575" s="36">
        <v>4000</v>
      </c>
      <c r="N1575" s="40">
        <v>3375909</v>
      </c>
      <c r="O1575" s="40">
        <v>0</v>
      </c>
      <c r="P1575" s="40">
        <v>53532.15</v>
      </c>
      <c r="Q1575" s="40">
        <v>88364</v>
      </c>
      <c r="R1575" s="40">
        <v>128469</v>
      </c>
      <c r="S1575" s="40">
        <v>354356</v>
      </c>
      <c r="T1575" s="40"/>
      <c r="U1575" s="40">
        <v>1338600</v>
      </c>
      <c r="V1575" s="40">
        <v>0</v>
      </c>
      <c r="W1575" s="45">
        <f t="shared" si="83"/>
        <v>5339230.1500000004</v>
      </c>
      <c r="X1575" s="46">
        <f t="shared" si="84"/>
        <v>8.3279996554768179</v>
      </c>
    </row>
    <row r="1576" spans="1:24" s="4" customFormat="1" ht="15" customHeight="1">
      <c r="A1576" s="28" t="s">
        <v>2168</v>
      </c>
      <c r="B1576" s="29">
        <v>3271.01</v>
      </c>
      <c r="C1576" s="30" t="s">
        <v>2392</v>
      </c>
      <c r="D1576" s="2">
        <v>4949599818</v>
      </c>
      <c r="E1576" s="2" t="s">
        <v>24</v>
      </c>
      <c r="F1576" s="2" t="s">
        <v>2393</v>
      </c>
      <c r="G1576" s="28" t="s">
        <v>5</v>
      </c>
      <c r="H1576" s="2" t="s">
        <v>26</v>
      </c>
      <c r="I1576" s="2">
        <v>2</v>
      </c>
      <c r="J1576" s="2" t="s">
        <v>2394</v>
      </c>
      <c r="K1576" s="2">
        <v>63434.35</v>
      </c>
      <c r="L1576" s="35">
        <f t="shared" si="82"/>
        <v>207494393.19350001</v>
      </c>
      <c r="M1576" s="36">
        <f>23435+24260</f>
        <v>47695</v>
      </c>
      <c r="N1576" s="40">
        <v>0</v>
      </c>
      <c r="O1576" s="40">
        <v>747653</v>
      </c>
      <c r="P1576" s="40">
        <v>905277.03</v>
      </c>
      <c r="Q1576" s="40">
        <v>218085</v>
      </c>
      <c r="R1576" s="40">
        <v>1997875</v>
      </c>
      <c r="S1576" s="40">
        <v>354356</v>
      </c>
      <c r="T1576" s="40"/>
      <c r="U1576" s="40">
        <v>0</v>
      </c>
      <c r="V1576" s="40">
        <v>0</v>
      </c>
      <c r="W1576" s="45">
        <f t="shared" si="83"/>
        <v>4223246.03</v>
      </c>
      <c r="X1576" s="46">
        <f t="shared" si="84"/>
        <v>2.0353542883742355</v>
      </c>
    </row>
    <row r="1577" spans="1:24" s="4" customFormat="1" ht="15" customHeight="1">
      <c r="A1577" s="28" t="s">
        <v>2168</v>
      </c>
      <c r="B1577" s="29">
        <v>3271.01</v>
      </c>
      <c r="C1577" s="30" t="s">
        <v>2395</v>
      </c>
      <c r="D1577" s="2">
        <v>4950058287</v>
      </c>
      <c r="E1577" s="2" t="s">
        <v>14</v>
      </c>
      <c r="F1577" s="2" t="s">
        <v>2396</v>
      </c>
      <c r="G1577" s="28" t="s">
        <v>9</v>
      </c>
      <c r="H1577" s="2" t="s">
        <v>23</v>
      </c>
      <c r="I1577" s="2">
        <v>3</v>
      </c>
      <c r="J1577" s="2"/>
      <c r="K1577" s="2">
        <v>13760</v>
      </c>
      <c r="L1577" s="35">
        <f t="shared" si="82"/>
        <v>45009097.600000001</v>
      </c>
      <c r="M1577" s="36">
        <v>2000</v>
      </c>
      <c r="N1577" s="40">
        <v>1682797.0370370401</v>
      </c>
      <c r="O1577" s="40">
        <v>1397.53086419753</v>
      </c>
      <c r="P1577" s="40">
        <v>0</v>
      </c>
      <c r="Q1577" s="40">
        <v>33906.172839506202</v>
      </c>
      <c r="R1577" s="40">
        <v>130703.209876543</v>
      </c>
      <c r="S1577" s="40">
        <v>349981.234567901</v>
      </c>
      <c r="T1577" s="40">
        <v>30000</v>
      </c>
      <c r="U1577" s="40">
        <v>1087614.0808344199</v>
      </c>
      <c r="V1577" s="40">
        <v>0</v>
      </c>
      <c r="W1577" s="45">
        <f t="shared" si="83"/>
        <v>3316399.2660196079</v>
      </c>
      <c r="X1577" s="46">
        <f t="shared" si="84"/>
        <v>7.368286508413818</v>
      </c>
    </row>
    <row r="1578" spans="1:24" s="4" customFormat="1" ht="15" customHeight="1">
      <c r="A1578" s="28" t="s">
        <v>2168</v>
      </c>
      <c r="B1578" s="29">
        <v>3271.01</v>
      </c>
      <c r="C1578" s="30" t="s">
        <v>2395</v>
      </c>
      <c r="D1578" s="2">
        <v>4950210634</v>
      </c>
      <c r="E1578" s="2" t="s">
        <v>14</v>
      </c>
      <c r="F1578" s="2" t="s">
        <v>2396</v>
      </c>
      <c r="G1578" s="28" t="s">
        <v>9</v>
      </c>
      <c r="H1578" s="2" t="s">
        <v>23</v>
      </c>
      <c r="I1578" s="2">
        <v>3</v>
      </c>
      <c r="J1578" s="2"/>
      <c r="K1578" s="2">
        <v>1253.75</v>
      </c>
      <c r="L1578" s="35">
        <f t="shared" si="82"/>
        <v>4101028.7875000001</v>
      </c>
      <c r="M1578" s="36">
        <v>25</v>
      </c>
      <c r="N1578" s="40">
        <v>21034.962962963</v>
      </c>
      <c r="O1578" s="40">
        <v>17.469135802469101</v>
      </c>
      <c r="P1578" s="40">
        <v>0</v>
      </c>
      <c r="Q1578" s="40">
        <v>423.82716049382702</v>
      </c>
      <c r="R1578" s="40">
        <v>1633.7901234567901</v>
      </c>
      <c r="S1578" s="40">
        <v>4374.7654320987604</v>
      </c>
      <c r="T1578" s="40">
        <v>30000</v>
      </c>
      <c r="U1578" s="40">
        <v>13595.176010430199</v>
      </c>
      <c r="V1578" s="40">
        <v>0</v>
      </c>
      <c r="W1578" s="45">
        <f t="shared" si="83"/>
        <v>71079.99082524504</v>
      </c>
      <c r="X1578" s="46">
        <f t="shared" si="84"/>
        <v>1.7332234058414311</v>
      </c>
    </row>
    <row r="1579" spans="1:24" s="4" customFormat="1" ht="15" customHeight="1">
      <c r="A1579" s="28" t="s">
        <v>2168</v>
      </c>
      <c r="B1579" s="29">
        <v>3271.01</v>
      </c>
      <c r="C1579" s="30" t="s">
        <v>2397</v>
      </c>
      <c r="D1579" s="2">
        <v>4950640946</v>
      </c>
      <c r="E1579" s="2" t="s">
        <v>24</v>
      </c>
      <c r="F1579" s="2" t="s">
        <v>2398</v>
      </c>
      <c r="G1579" s="28" t="s">
        <v>9</v>
      </c>
      <c r="H1579" s="2" t="s">
        <v>23</v>
      </c>
      <c r="I1579" s="2">
        <v>3</v>
      </c>
      <c r="J1579" s="2"/>
      <c r="K1579" s="2">
        <v>7493.4</v>
      </c>
      <c r="L1579" s="35">
        <f t="shared" si="82"/>
        <v>24510986.333999999</v>
      </c>
      <c r="M1579" s="36">
        <v>1810</v>
      </c>
      <c r="N1579" s="40">
        <v>1772533</v>
      </c>
      <c r="O1579" s="40">
        <v>1382</v>
      </c>
      <c r="P1579" s="40">
        <v>0</v>
      </c>
      <c r="Q1579" s="40">
        <v>33110</v>
      </c>
      <c r="R1579" s="40">
        <v>128220</v>
      </c>
      <c r="S1579" s="40">
        <v>354356</v>
      </c>
      <c r="T1579" s="40"/>
      <c r="U1579" s="40">
        <v>984290.74315514998</v>
      </c>
      <c r="V1579" s="40">
        <v>0</v>
      </c>
      <c r="W1579" s="45">
        <f t="shared" si="83"/>
        <v>3273891.7431551497</v>
      </c>
      <c r="X1579" s="46">
        <f t="shared" si="84"/>
        <v>13.356833945983752</v>
      </c>
    </row>
    <row r="1580" spans="1:24" s="4" customFormat="1" ht="15" customHeight="1">
      <c r="A1580" s="28" t="s">
        <v>2168</v>
      </c>
      <c r="B1580" s="29">
        <v>3271.01</v>
      </c>
      <c r="C1580" s="30" t="s">
        <v>2399</v>
      </c>
      <c r="D1580" s="2">
        <v>4949653308</v>
      </c>
      <c r="E1580" s="2" t="s">
        <v>21</v>
      </c>
      <c r="F1580" s="2" t="s">
        <v>2400</v>
      </c>
      <c r="G1580" s="28" t="s">
        <v>5</v>
      </c>
      <c r="H1580" s="2" t="s">
        <v>20</v>
      </c>
      <c r="I1580" s="2">
        <v>1</v>
      </c>
      <c r="J1580" s="2" t="s">
        <v>2401</v>
      </c>
      <c r="K1580" s="2">
        <v>16336.32</v>
      </c>
      <c r="L1580" s="35">
        <f t="shared" si="82"/>
        <v>53436266.0832</v>
      </c>
      <c r="M1580" s="36">
        <v>3536</v>
      </c>
      <c r="N1580" s="40">
        <v>310538</v>
      </c>
      <c r="O1580" s="40">
        <v>332655</v>
      </c>
      <c r="P1580" s="40">
        <v>440586</v>
      </c>
      <c r="Q1580" s="40">
        <v>99309</v>
      </c>
      <c r="R1580" s="40">
        <v>756943</v>
      </c>
      <c r="S1580" s="40">
        <v>354356</v>
      </c>
      <c r="T1580" s="40"/>
      <c r="U1580" s="40">
        <v>499900</v>
      </c>
      <c r="V1580" s="40">
        <v>0</v>
      </c>
      <c r="W1580" s="45">
        <f t="shared" si="83"/>
        <v>2794287</v>
      </c>
      <c r="X1580" s="46">
        <f t="shared" si="84"/>
        <v>5.2291958342473048</v>
      </c>
    </row>
    <row r="1581" spans="1:24" s="4" customFormat="1" ht="15" customHeight="1">
      <c r="A1581" s="28" t="s">
        <v>2168</v>
      </c>
      <c r="B1581" s="29">
        <v>3271.01</v>
      </c>
      <c r="C1581" s="30" t="s">
        <v>2402</v>
      </c>
      <c r="D1581" s="2">
        <v>4950722783</v>
      </c>
      <c r="E1581" s="2" t="s">
        <v>14</v>
      </c>
      <c r="F1581" s="78" t="s">
        <v>2403</v>
      </c>
      <c r="G1581" s="28" t="s">
        <v>13</v>
      </c>
      <c r="H1581" s="2" t="s">
        <v>23</v>
      </c>
      <c r="I1581" s="2">
        <v>1</v>
      </c>
      <c r="J1581" s="2"/>
      <c r="K1581" s="2">
        <v>906.6</v>
      </c>
      <c r="L1581" s="35">
        <f t="shared" si="82"/>
        <v>2965497.6660000002</v>
      </c>
      <c r="M1581" s="36">
        <v>20</v>
      </c>
      <c r="N1581" s="40">
        <v>89894</v>
      </c>
      <c r="O1581" s="40">
        <v>0</v>
      </c>
      <c r="P1581" s="40">
        <v>0</v>
      </c>
      <c r="Q1581" s="40">
        <v>0</v>
      </c>
      <c r="R1581" s="40">
        <v>1859.5</v>
      </c>
      <c r="S1581" s="40">
        <v>88589</v>
      </c>
      <c r="T1581" s="40">
        <v>30000</v>
      </c>
      <c r="U1581" s="40">
        <v>9041.4678899082592</v>
      </c>
      <c r="V1581" s="40">
        <v>0</v>
      </c>
      <c r="W1581" s="45">
        <f t="shared" si="83"/>
        <v>219383.96788990826</v>
      </c>
      <c r="X1581" s="46">
        <f t="shared" si="84"/>
        <v>7.3978803087652896</v>
      </c>
    </row>
    <row r="1582" spans="1:24" s="4" customFormat="1" ht="15" customHeight="1">
      <c r="A1582" s="28" t="s">
        <v>2168</v>
      </c>
      <c r="B1582" s="29">
        <v>3271.01</v>
      </c>
      <c r="C1582" s="30" t="s">
        <v>2402</v>
      </c>
      <c r="D1582" s="2">
        <v>4950722783</v>
      </c>
      <c r="E1582" s="2" t="s">
        <v>14</v>
      </c>
      <c r="F1582" s="78" t="s">
        <v>2403</v>
      </c>
      <c r="G1582" s="28" t="s">
        <v>13</v>
      </c>
      <c r="H1582" s="2" t="s">
        <v>23</v>
      </c>
      <c r="I1582" s="2">
        <v>1</v>
      </c>
      <c r="J1582" s="2"/>
      <c r="K1582" s="2">
        <v>8137.2</v>
      </c>
      <c r="L1582" s="35">
        <f t="shared" si="82"/>
        <v>26616862.572000001</v>
      </c>
      <c r="M1582" s="36">
        <v>60</v>
      </c>
      <c r="N1582" s="40">
        <v>269682</v>
      </c>
      <c r="O1582" s="40">
        <v>0</v>
      </c>
      <c r="P1582" s="40">
        <v>0</v>
      </c>
      <c r="Q1582" s="40">
        <v>0</v>
      </c>
      <c r="R1582" s="40">
        <v>5578.5</v>
      </c>
      <c r="S1582" s="40">
        <v>265767</v>
      </c>
      <c r="T1582" s="40">
        <v>30000</v>
      </c>
      <c r="U1582" s="40">
        <v>27124.403669724801</v>
      </c>
      <c r="V1582" s="40">
        <v>0</v>
      </c>
      <c r="W1582" s="45">
        <f t="shared" si="83"/>
        <v>598151.90366972482</v>
      </c>
      <c r="X1582" s="46">
        <f t="shared" si="84"/>
        <v>2.2472667544932943</v>
      </c>
    </row>
    <row r="1583" spans="1:24" s="4" customFormat="1" ht="15" customHeight="1">
      <c r="A1583" s="28" t="s">
        <v>2168</v>
      </c>
      <c r="B1583" s="29">
        <v>3271.01</v>
      </c>
      <c r="C1583" s="30" t="s">
        <v>2404</v>
      </c>
      <c r="D1583" s="2">
        <v>4950722783</v>
      </c>
      <c r="E1583" s="2" t="s">
        <v>14</v>
      </c>
      <c r="F1583" s="78" t="s">
        <v>2405</v>
      </c>
      <c r="G1583" s="28" t="s">
        <v>13</v>
      </c>
      <c r="H1583" s="2" t="s">
        <v>23</v>
      </c>
      <c r="I1583" s="2">
        <v>1</v>
      </c>
      <c r="J1583" s="2"/>
      <c r="K1583" s="2">
        <v>638</v>
      </c>
      <c r="L1583" s="35">
        <f t="shared" si="82"/>
        <v>2086904.3800000001</v>
      </c>
      <c r="M1583" s="36">
        <v>20</v>
      </c>
      <c r="N1583" s="40">
        <v>319996</v>
      </c>
      <c r="O1583" s="40">
        <v>0</v>
      </c>
      <c r="P1583" s="40">
        <v>0</v>
      </c>
      <c r="Q1583" s="40">
        <v>0</v>
      </c>
      <c r="R1583" s="40">
        <v>1280</v>
      </c>
      <c r="S1583" s="40">
        <v>354356</v>
      </c>
      <c r="T1583" s="40">
        <v>30000</v>
      </c>
      <c r="U1583" s="40">
        <v>9041.4678899082592</v>
      </c>
      <c r="V1583" s="40">
        <v>0</v>
      </c>
      <c r="W1583" s="45">
        <f t="shared" si="83"/>
        <v>714673.46788990824</v>
      </c>
      <c r="X1583" s="46">
        <f t="shared" si="84"/>
        <v>34.245625949086758</v>
      </c>
    </row>
    <row r="1584" spans="1:24" s="4" customFormat="1" ht="15" customHeight="1">
      <c r="A1584" s="28" t="s">
        <v>2168</v>
      </c>
      <c r="B1584" s="29">
        <v>3271.01</v>
      </c>
      <c r="C1584" s="30" t="s">
        <v>2406</v>
      </c>
      <c r="D1584" s="2">
        <v>4950365710</v>
      </c>
      <c r="E1584" s="2" t="s">
        <v>14</v>
      </c>
      <c r="F1584" s="78" t="s">
        <v>2407</v>
      </c>
      <c r="G1584" s="28" t="s">
        <v>13</v>
      </c>
      <c r="H1584" s="2" t="s">
        <v>23</v>
      </c>
      <c r="I1584" s="2">
        <v>1</v>
      </c>
      <c r="J1584" s="2"/>
      <c r="K1584" s="2">
        <v>1424.8</v>
      </c>
      <c r="L1584" s="35">
        <f t="shared" si="82"/>
        <v>4660535.0480000004</v>
      </c>
      <c r="M1584" s="36">
        <v>40</v>
      </c>
      <c r="N1584" s="40">
        <v>159246</v>
      </c>
      <c r="O1584" s="40">
        <v>0</v>
      </c>
      <c r="P1584" s="40">
        <v>0</v>
      </c>
      <c r="Q1584" s="40">
        <v>0</v>
      </c>
      <c r="R1584" s="40">
        <v>636.79999999999995</v>
      </c>
      <c r="S1584" s="40">
        <v>141742.39999999999</v>
      </c>
      <c r="T1584" s="40">
        <v>30000</v>
      </c>
      <c r="U1584" s="40">
        <v>18082.9357798165</v>
      </c>
      <c r="V1584" s="40">
        <v>0</v>
      </c>
      <c r="W1584" s="45">
        <f t="shared" si="83"/>
        <v>349708.13577981642</v>
      </c>
      <c r="X1584" s="46">
        <f t="shared" si="84"/>
        <v>7.5036048903846035</v>
      </c>
    </row>
    <row r="1585" spans="1:24" s="4" customFormat="1" ht="15" customHeight="1">
      <c r="A1585" s="28" t="s">
        <v>2168</v>
      </c>
      <c r="B1585" s="29">
        <v>3271.01</v>
      </c>
      <c r="C1585" s="30" t="s">
        <v>2406</v>
      </c>
      <c r="D1585" s="2">
        <v>4950365710</v>
      </c>
      <c r="E1585" s="2" t="s">
        <v>14</v>
      </c>
      <c r="F1585" s="78" t="s">
        <v>2407</v>
      </c>
      <c r="G1585" s="28" t="s">
        <v>13</v>
      </c>
      <c r="H1585" s="2" t="s">
        <v>23</v>
      </c>
      <c r="I1585" s="2">
        <v>1</v>
      </c>
      <c r="J1585" s="2"/>
      <c r="K1585" s="2">
        <v>1123</v>
      </c>
      <c r="L1585" s="35">
        <f t="shared" si="82"/>
        <v>3673344.2300000004</v>
      </c>
      <c r="M1585" s="36">
        <v>20</v>
      </c>
      <c r="N1585" s="40">
        <v>79623</v>
      </c>
      <c r="O1585" s="40">
        <v>0</v>
      </c>
      <c r="P1585" s="40">
        <v>0</v>
      </c>
      <c r="Q1585" s="40">
        <v>0</v>
      </c>
      <c r="R1585" s="40">
        <v>318.39999999999998</v>
      </c>
      <c r="S1585" s="40">
        <v>70871.199999999997</v>
      </c>
      <c r="T1585" s="40">
        <v>30000</v>
      </c>
      <c r="U1585" s="40">
        <v>9041.4678899082592</v>
      </c>
      <c r="V1585" s="40">
        <v>0</v>
      </c>
      <c r="W1585" s="45">
        <f t="shared" si="83"/>
        <v>189854.06788990824</v>
      </c>
      <c r="X1585" s="46">
        <f t="shared" si="84"/>
        <v>5.1684257178889057</v>
      </c>
    </row>
    <row r="1586" spans="1:24" s="4" customFormat="1" ht="15" customHeight="1">
      <c r="A1586" s="28" t="s">
        <v>2168</v>
      </c>
      <c r="B1586" s="29">
        <v>3271.01</v>
      </c>
      <c r="C1586" s="30" t="s">
        <v>2406</v>
      </c>
      <c r="D1586" s="2">
        <v>4950365710</v>
      </c>
      <c r="E1586" s="2" t="s">
        <v>14</v>
      </c>
      <c r="F1586" s="78" t="s">
        <v>2407</v>
      </c>
      <c r="G1586" s="28" t="s">
        <v>13</v>
      </c>
      <c r="H1586" s="2" t="s">
        <v>23</v>
      </c>
      <c r="I1586" s="2">
        <v>1</v>
      </c>
      <c r="J1586" s="2"/>
      <c r="K1586" s="2">
        <v>2714.4</v>
      </c>
      <c r="L1586" s="35">
        <f t="shared" ref="L1586:L1649" si="85">+B1586*K1586</f>
        <v>8878829.5440000016</v>
      </c>
      <c r="M1586" s="36">
        <v>40</v>
      </c>
      <c r="N1586" s="40">
        <v>159246</v>
      </c>
      <c r="O1586" s="40">
        <v>0</v>
      </c>
      <c r="P1586" s="40">
        <v>0</v>
      </c>
      <c r="Q1586" s="40">
        <v>0</v>
      </c>
      <c r="R1586" s="40">
        <v>636.79999999999995</v>
      </c>
      <c r="S1586" s="40">
        <v>141742.39999999999</v>
      </c>
      <c r="T1586" s="40">
        <v>30000</v>
      </c>
      <c r="U1586" s="40">
        <v>18082.9357798165</v>
      </c>
      <c r="V1586" s="40">
        <v>0</v>
      </c>
      <c r="W1586" s="45">
        <f t="shared" ref="W1586:W1649" si="86">+SUM(N1586:V1586)</f>
        <v>349708.13577981642</v>
      </c>
      <c r="X1586" s="46">
        <f t="shared" ref="X1586:X1649" si="87">(W1586/L1586)*100</f>
        <v>3.9386738313513048</v>
      </c>
    </row>
    <row r="1587" spans="1:24" s="4" customFormat="1" ht="15" customHeight="1">
      <c r="A1587" s="28" t="s">
        <v>2168</v>
      </c>
      <c r="B1587" s="29">
        <v>3271.01</v>
      </c>
      <c r="C1587" s="30" t="s">
        <v>2408</v>
      </c>
      <c r="D1587" s="2">
        <v>4950722783</v>
      </c>
      <c r="E1587" s="2" t="s">
        <v>14</v>
      </c>
      <c r="F1587" s="2" t="s">
        <v>2409</v>
      </c>
      <c r="G1587" s="28" t="s">
        <v>13</v>
      </c>
      <c r="H1587" s="2" t="s">
        <v>23</v>
      </c>
      <c r="I1587" s="2">
        <v>1</v>
      </c>
      <c r="J1587" s="2"/>
      <c r="K1587" s="2">
        <v>1123</v>
      </c>
      <c r="L1587" s="35">
        <f t="shared" si="85"/>
        <v>3673344.2300000004</v>
      </c>
      <c r="M1587" s="36">
        <v>20</v>
      </c>
      <c r="N1587" s="40">
        <v>78998.122000000003</v>
      </c>
      <c r="O1587" s="40">
        <v>0</v>
      </c>
      <c r="P1587" s="40">
        <v>0</v>
      </c>
      <c r="Q1587" s="40">
        <v>0</v>
      </c>
      <c r="R1587" s="40">
        <v>2116</v>
      </c>
      <c r="S1587" s="40">
        <v>70871.199999999997</v>
      </c>
      <c r="T1587" s="40">
        <v>30000</v>
      </c>
      <c r="U1587" s="40">
        <v>9041.4678899082592</v>
      </c>
      <c r="V1587" s="40">
        <v>0</v>
      </c>
      <c r="W1587" s="45">
        <f t="shared" si="86"/>
        <v>191026.78988990825</v>
      </c>
      <c r="X1587" s="46">
        <f t="shared" si="87"/>
        <v>5.2003509044919598</v>
      </c>
    </row>
    <row r="1588" spans="1:24" s="4" customFormat="1" ht="15" customHeight="1">
      <c r="A1588" s="28" t="s">
        <v>2168</v>
      </c>
      <c r="B1588" s="29">
        <v>3271.01</v>
      </c>
      <c r="C1588" s="30" t="s">
        <v>2408</v>
      </c>
      <c r="D1588" s="2">
        <v>4950585715</v>
      </c>
      <c r="E1588" s="2" t="s">
        <v>14</v>
      </c>
      <c r="F1588" s="2" t="s">
        <v>2409</v>
      </c>
      <c r="G1588" s="28" t="s">
        <v>13</v>
      </c>
      <c r="H1588" s="2" t="s">
        <v>23</v>
      </c>
      <c r="I1588" s="2">
        <v>1</v>
      </c>
      <c r="J1588" s="2"/>
      <c r="K1588" s="2">
        <v>4177.8</v>
      </c>
      <c r="L1588" s="35">
        <f t="shared" si="85"/>
        <v>13665625.578000002</v>
      </c>
      <c r="M1588" s="36">
        <v>60</v>
      </c>
      <c r="N1588" s="40">
        <v>236994.36600000001</v>
      </c>
      <c r="O1588" s="40">
        <v>0</v>
      </c>
      <c r="P1588" s="40">
        <v>0</v>
      </c>
      <c r="Q1588" s="40">
        <v>0</v>
      </c>
      <c r="R1588" s="40">
        <v>6348</v>
      </c>
      <c r="S1588" s="40">
        <v>212613.6</v>
      </c>
      <c r="T1588" s="40">
        <v>30000</v>
      </c>
      <c r="U1588" s="40">
        <v>27124.403669724801</v>
      </c>
      <c r="V1588" s="40">
        <v>0</v>
      </c>
      <c r="W1588" s="45">
        <f t="shared" si="86"/>
        <v>513080.36966972484</v>
      </c>
      <c r="X1588" s="46">
        <f t="shared" si="87"/>
        <v>3.7545326171947955</v>
      </c>
    </row>
    <row r="1589" spans="1:24" s="4" customFormat="1" ht="15" customHeight="1">
      <c r="A1589" s="28" t="s">
        <v>2168</v>
      </c>
      <c r="B1589" s="29">
        <v>3271.01</v>
      </c>
      <c r="C1589" s="30" t="s">
        <v>2408</v>
      </c>
      <c r="D1589" s="2">
        <v>4950642047</v>
      </c>
      <c r="E1589" s="2" t="s">
        <v>14</v>
      </c>
      <c r="F1589" s="2" t="s">
        <v>2409</v>
      </c>
      <c r="G1589" s="28" t="s">
        <v>13</v>
      </c>
      <c r="H1589" s="2" t="s">
        <v>23</v>
      </c>
      <c r="I1589" s="2">
        <v>1</v>
      </c>
      <c r="J1589" s="2"/>
      <c r="K1589" s="2">
        <v>1293.2</v>
      </c>
      <c r="L1589" s="35">
        <f t="shared" si="85"/>
        <v>4230070.1320000002</v>
      </c>
      <c r="M1589" s="36">
        <v>20</v>
      </c>
      <c r="N1589" s="40">
        <v>78998.122000000003</v>
      </c>
      <c r="O1589" s="40">
        <v>0</v>
      </c>
      <c r="P1589" s="40">
        <v>0</v>
      </c>
      <c r="Q1589" s="40">
        <v>0</v>
      </c>
      <c r="R1589" s="40">
        <v>2116</v>
      </c>
      <c r="S1589" s="40">
        <v>70871.199999999997</v>
      </c>
      <c r="T1589" s="40">
        <v>30000</v>
      </c>
      <c r="U1589" s="40">
        <v>9041.4678899082592</v>
      </c>
      <c r="V1589" s="40">
        <v>0</v>
      </c>
      <c r="W1589" s="45">
        <f t="shared" si="86"/>
        <v>191026.78988990825</v>
      </c>
      <c r="X1589" s="46">
        <f t="shared" si="87"/>
        <v>4.5159248884507202</v>
      </c>
    </row>
    <row r="1590" spans="1:24" s="4" customFormat="1" ht="15" customHeight="1">
      <c r="A1590" s="28" t="s">
        <v>2168</v>
      </c>
      <c r="B1590" s="29">
        <v>3271.01</v>
      </c>
      <c r="C1590" s="30" t="s">
        <v>2410</v>
      </c>
      <c r="D1590" s="2">
        <v>4950528086</v>
      </c>
      <c r="E1590" s="2" t="s">
        <v>14</v>
      </c>
      <c r="F1590" s="78" t="s">
        <v>2411</v>
      </c>
      <c r="G1590" s="28" t="s">
        <v>13</v>
      </c>
      <c r="H1590" s="2" t="s">
        <v>23</v>
      </c>
      <c r="I1590" s="2">
        <v>2</v>
      </c>
      <c r="J1590" s="2"/>
      <c r="K1590" s="2">
        <v>13013</v>
      </c>
      <c r="L1590" s="35">
        <f t="shared" si="85"/>
        <v>42565653.130000003</v>
      </c>
      <c r="M1590" s="36">
        <v>100</v>
      </c>
      <c r="N1590" s="40">
        <v>263507.55555555603</v>
      </c>
      <c r="O1590" s="40">
        <v>0</v>
      </c>
      <c r="P1590" s="40">
        <v>0</v>
      </c>
      <c r="Q1590" s="40">
        <v>0</v>
      </c>
      <c r="R1590" s="40">
        <v>3720.8888888888901</v>
      </c>
      <c r="S1590" s="40">
        <v>157491.555555556</v>
      </c>
      <c r="T1590" s="40">
        <v>30000</v>
      </c>
      <c r="U1590" s="40">
        <v>45207.339449541301</v>
      </c>
      <c r="V1590" s="40">
        <v>0</v>
      </c>
      <c r="W1590" s="45">
        <f t="shared" si="86"/>
        <v>499927.33944954223</v>
      </c>
      <c r="X1590" s="46">
        <f t="shared" si="87"/>
        <v>1.1744853013830454</v>
      </c>
    </row>
    <row r="1591" spans="1:24" s="4" customFormat="1" ht="15" customHeight="1">
      <c r="A1591" s="28" t="s">
        <v>2168</v>
      </c>
      <c r="B1591" s="29">
        <v>3271.01</v>
      </c>
      <c r="C1591" s="30" t="s">
        <v>2410</v>
      </c>
      <c r="D1591" s="2">
        <v>4950528086</v>
      </c>
      <c r="E1591" s="2" t="s">
        <v>14</v>
      </c>
      <c r="F1591" s="78" t="s">
        <v>2411</v>
      </c>
      <c r="G1591" s="28" t="s">
        <v>13</v>
      </c>
      <c r="H1591" s="2" t="s">
        <v>23</v>
      </c>
      <c r="I1591" s="2">
        <v>2</v>
      </c>
      <c r="J1591" s="2"/>
      <c r="K1591" s="2">
        <v>11311.25</v>
      </c>
      <c r="L1591" s="35">
        <f t="shared" si="85"/>
        <v>36999211.862500004</v>
      </c>
      <c r="M1591" s="36">
        <v>125</v>
      </c>
      <c r="N1591" s="40">
        <v>329384.44444444397</v>
      </c>
      <c r="O1591" s="40">
        <v>0</v>
      </c>
      <c r="P1591" s="40">
        <v>0</v>
      </c>
      <c r="Q1591" s="40">
        <v>0</v>
      </c>
      <c r="R1591" s="40">
        <v>4651.1111111111104</v>
      </c>
      <c r="S1591" s="40">
        <v>196864.444444444</v>
      </c>
      <c r="T1591" s="40">
        <v>30000</v>
      </c>
      <c r="U1591" s="40">
        <v>56509.174311926603</v>
      </c>
      <c r="V1591" s="40">
        <v>0</v>
      </c>
      <c r="W1591" s="45">
        <f t="shared" si="86"/>
        <v>617409.17431192566</v>
      </c>
      <c r="X1591" s="46">
        <f t="shared" si="87"/>
        <v>1.6687089892790159</v>
      </c>
    </row>
    <row r="1592" spans="1:24" s="4" customFormat="1" ht="15" customHeight="1">
      <c r="A1592" s="28" t="s">
        <v>2168</v>
      </c>
      <c r="B1592" s="29">
        <v>3271.01</v>
      </c>
      <c r="C1592" s="30" t="s">
        <v>2412</v>
      </c>
      <c r="D1592" s="2">
        <v>4950722782</v>
      </c>
      <c r="E1592" s="2" t="s">
        <v>14</v>
      </c>
      <c r="F1592" s="78" t="s">
        <v>2413</v>
      </c>
      <c r="G1592" s="28" t="s">
        <v>13</v>
      </c>
      <c r="H1592" s="2" t="s">
        <v>23</v>
      </c>
      <c r="I1592" s="2">
        <v>1</v>
      </c>
      <c r="J1592" s="2"/>
      <c r="K1592" s="2">
        <v>703</v>
      </c>
      <c r="L1592" s="35">
        <f t="shared" si="85"/>
        <v>2299520.0300000003</v>
      </c>
      <c r="M1592" s="36">
        <v>10</v>
      </c>
      <c r="N1592" s="40">
        <v>150623.5</v>
      </c>
      <c r="O1592" s="40">
        <v>0</v>
      </c>
      <c r="P1592" s="40">
        <v>0</v>
      </c>
      <c r="Q1592" s="40">
        <v>0</v>
      </c>
      <c r="R1592" s="40">
        <v>602.5</v>
      </c>
      <c r="S1592" s="40">
        <v>177178</v>
      </c>
      <c r="T1592" s="40">
        <v>30000</v>
      </c>
      <c r="U1592" s="40">
        <v>4520.7339449541296</v>
      </c>
      <c r="V1592" s="40">
        <v>0</v>
      </c>
      <c r="W1592" s="45">
        <f t="shared" si="86"/>
        <v>362924.73394495412</v>
      </c>
      <c r="X1592" s="46">
        <f t="shared" si="87"/>
        <v>15.782629818838936</v>
      </c>
    </row>
    <row r="1593" spans="1:24" s="4" customFormat="1" ht="15" customHeight="1">
      <c r="A1593" s="28" t="s">
        <v>2168</v>
      </c>
      <c r="B1593" s="29">
        <v>3271.01</v>
      </c>
      <c r="C1593" s="30" t="s">
        <v>2412</v>
      </c>
      <c r="D1593" s="2">
        <v>4950365709</v>
      </c>
      <c r="E1593" s="2" t="s">
        <v>14</v>
      </c>
      <c r="F1593" s="78" t="s">
        <v>2413</v>
      </c>
      <c r="G1593" s="28" t="s">
        <v>13</v>
      </c>
      <c r="H1593" s="2" t="s">
        <v>23</v>
      </c>
      <c r="I1593" s="2">
        <v>1</v>
      </c>
      <c r="J1593" s="2"/>
      <c r="K1593" s="2">
        <v>387.2</v>
      </c>
      <c r="L1593" s="35">
        <f t="shared" si="85"/>
        <v>1266535.0720000002</v>
      </c>
      <c r="M1593" s="36">
        <v>10</v>
      </c>
      <c r="N1593" s="40">
        <v>150623.5</v>
      </c>
      <c r="O1593" s="40">
        <v>0</v>
      </c>
      <c r="P1593" s="40">
        <v>0</v>
      </c>
      <c r="Q1593" s="40">
        <v>0</v>
      </c>
      <c r="R1593" s="40">
        <v>602.5</v>
      </c>
      <c r="S1593" s="40">
        <v>177178</v>
      </c>
      <c r="T1593" s="40">
        <v>30000</v>
      </c>
      <c r="U1593" s="40">
        <v>4520.7339449541296</v>
      </c>
      <c r="V1593" s="40">
        <v>0</v>
      </c>
      <c r="W1593" s="45">
        <f t="shared" si="86"/>
        <v>362924.73394495412</v>
      </c>
      <c r="X1593" s="46">
        <f t="shared" si="87"/>
        <v>28.654929655588258</v>
      </c>
    </row>
    <row r="1594" spans="1:24" s="4" customFormat="1" ht="15" customHeight="1">
      <c r="A1594" s="28" t="s">
        <v>2168</v>
      </c>
      <c r="B1594" s="29">
        <v>3271.01</v>
      </c>
      <c r="C1594" s="30" t="s">
        <v>2414</v>
      </c>
      <c r="D1594" s="2">
        <v>4950215976</v>
      </c>
      <c r="E1594" s="2" t="s">
        <v>24</v>
      </c>
      <c r="F1594" s="78" t="s">
        <v>2415</v>
      </c>
      <c r="G1594" s="28" t="s">
        <v>5</v>
      </c>
      <c r="H1594" s="2" t="s">
        <v>26</v>
      </c>
      <c r="I1594" s="2">
        <v>1</v>
      </c>
      <c r="J1594" s="2" t="s">
        <v>2416</v>
      </c>
      <c r="K1594" s="2">
        <v>24963.200000000001</v>
      </c>
      <c r="L1594" s="35">
        <f t="shared" si="85"/>
        <v>81654876.832000002</v>
      </c>
      <c r="M1594" s="36">
        <v>2152</v>
      </c>
      <c r="N1594" s="40">
        <v>316465.061685491</v>
      </c>
      <c r="O1594" s="40">
        <v>20507.417516496698</v>
      </c>
      <c r="P1594" s="40">
        <v>0</v>
      </c>
      <c r="Q1594" s="40">
        <v>0</v>
      </c>
      <c r="R1594" s="40">
        <v>323349.23718505597</v>
      </c>
      <c r="S1594" s="40">
        <v>165632.95221546499</v>
      </c>
      <c r="T1594" s="48"/>
      <c r="U1594" s="40">
        <v>2261651.03735882</v>
      </c>
      <c r="V1594" s="40">
        <v>0</v>
      </c>
      <c r="W1594" s="45">
        <f t="shared" si="86"/>
        <v>3087605.7059613289</v>
      </c>
      <c r="X1594" s="46">
        <f t="shared" si="87"/>
        <v>3.7812875675679383</v>
      </c>
    </row>
    <row r="1595" spans="1:24" s="4" customFormat="1" ht="15" customHeight="1">
      <c r="A1595" s="28" t="s">
        <v>2168</v>
      </c>
      <c r="B1595" s="29">
        <v>3271.01</v>
      </c>
      <c r="C1595" s="30" t="s">
        <v>2414</v>
      </c>
      <c r="D1595" s="2">
        <v>4950248064</v>
      </c>
      <c r="E1595" s="2" t="s">
        <v>24</v>
      </c>
      <c r="F1595" s="78" t="s">
        <v>2415</v>
      </c>
      <c r="G1595" s="28" t="s">
        <v>5</v>
      </c>
      <c r="H1595" s="2" t="s">
        <v>26</v>
      </c>
      <c r="I1595" s="2">
        <v>1</v>
      </c>
      <c r="J1595" s="2" t="s">
        <v>2417</v>
      </c>
      <c r="K1595" s="2">
        <v>28443.200000000001</v>
      </c>
      <c r="L1595" s="35">
        <f t="shared" si="85"/>
        <v>93037991.632000014</v>
      </c>
      <c r="M1595" s="36">
        <v>24520</v>
      </c>
      <c r="N1595" s="40">
        <v>360581.938314509</v>
      </c>
      <c r="O1595" s="40">
        <v>233662.58248350301</v>
      </c>
      <c r="P1595" s="40">
        <v>0</v>
      </c>
      <c r="Q1595" s="40">
        <v>0</v>
      </c>
      <c r="R1595" s="40">
        <v>340544.76281494403</v>
      </c>
      <c r="S1595" s="40">
        <v>188723.04778453501</v>
      </c>
      <c r="T1595" s="48"/>
      <c r="U1595" s="40">
        <v>2576936.96264118</v>
      </c>
      <c r="V1595" s="40">
        <v>0</v>
      </c>
      <c r="W1595" s="45">
        <f t="shared" si="86"/>
        <v>3700449.2940386711</v>
      </c>
      <c r="X1595" s="46">
        <f t="shared" si="87"/>
        <v>3.9773529384375896</v>
      </c>
    </row>
    <row r="1596" spans="1:24" s="4" customFormat="1" ht="15" customHeight="1">
      <c r="A1596" s="28" t="s">
        <v>2168</v>
      </c>
      <c r="B1596" s="29">
        <v>3271.01</v>
      </c>
      <c r="C1596" s="30" t="s">
        <v>2418</v>
      </c>
      <c r="D1596" s="2">
        <v>4950216832</v>
      </c>
      <c r="E1596" s="2" t="s">
        <v>24</v>
      </c>
      <c r="F1596" s="78" t="s">
        <v>2419</v>
      </c>
      <c r="G1596" s="28" t="s">
        <v>5</v>
      </c>
      <c r="H1596" s="2" t="s">
        <v>26</v>
      </c>
      <c r="I1596" s="2">
        <v>2</v>
      </c>
      <c r="J1596" s="2" t="s">
        <v>2420</v>
      </c>
      <c r="K1596" s="2">
        <f>21651.36+19745.33</f>
        <v>41396.69</v>
      </c>
      <c r="L1596" s="35">
        <f t="shared" si="85"/>
        <v>135408986.95690003</v>
      </c>
      <c r="M1596" s="36">
        <f>21436.995+19549.831</f>
        <v>40986.826000000001</v>
      </c>
      <c r="N1596" s="40">
        <v>665483</v>
      </c>
      <c r="O1596" s="40">
        <v>780967</v>
      </c>
      <c r="P1596" s="40">
        <v>447251</v>
      </c>
      <c r="Q1596" s="40">
        <v>227782</v>
      </c>
      <c r="R1596" s="40">
        <v>1404098</v>
      </c>
      <c r="S1596" s="40">
        <v>354356</v>
      </c>
      <c r="T1596" s="40"/>
      <c r="U1596" s="40">
        <v>4838588</v>
      </c>
      <c r="V1596" s="40">
        <v>0</v>
      </c>
      <c r="W1596" s="45">
        <f t="shared" si="86"/>
        <v>8718525</v>
      </c>
      <c r="X1596" s="46">
        <f t="shared" si="87"/>
        <v>6.4386605320184991</v>
      </c>
    </row>
    <row r="1597" spans="1:24" s="4" customFormat="1" ht="15" customHeight="1">
      <c r="A1597" s="28" t="s">
        <v>2168</v>
      </c>
      <c r="B1597" s="29">
        <v>3271.01</v>
      </c>
      <c r="C1597" s="30" t="s">
        <v>2421</v>
      </c>
      <c r="D1597" s="2">
        <v>4950060157</v>
      </c>
      <c r="E1597" s="2" t="s">
        <v>14</v>
      </c>
      <c r="F1597" s="78" t="s">
        <v>2422</v>
      </c>
      <c r="G1597" s="28" t="s">
        <v>9</v>
      </c>
      <c r="H1597" s="2" t="s">
        <v>23</v>
      </c>
      <c r="I1597" s="2">
        <v>2</v>
      </c>
      <c r="J1597" s="2"/>
      <c r="K1597" s="2">
        <v>5440</v>
      </c>
      <c r="L1597" s="35">
        <f t="shared" si="85"/>
        <v>17794294.400000002</v>
      </c>
      <c r="M1597" s="36">
        <v>2000</v>
      </c>
      <c r="N1597" s="40">
        <v>666437</v>
      </c>
      <c r="O1597" s="40">
        <v>1361</v>
      </c>
      <c r="P1597" s="40">
        <v>42571</v>
      </c>
      <c r="Q1597" s="40">
        <v>33511</v>
      </c>
      <c r="R1597" s="40">
        <v>124481</v>
      </c>
      <c r="S1597" s="40">
        <v>354356</v>
      </c>
      <c r="T1597" s="40">
        <v>30000</v>
      </c>
      <c r="U1597" s="40">
        <v>1174929.5774647901</v>
      </c>
      <c r="V1597" s="40">
        <v>0</v>
      </c>
      <c r="W1597" s="45">
        <f t="shared" si="86"/>
        <v>2427646.5774647901</v>
      </c>
      <c r="X1597" s="46">
        <f t="shared" si="87"/>
        <v>13.642836984110984</v>
      </c>
    </row>
    <row r="1598" spans="1:24" s="4" customFormat="1" ht="15" customHeight="1">
      <c r="A1598" s="28" t="s">
        <v>2168</v>
      </c>
      <c r="B1598" s="29">
        <v>3271.01</v>
      </c>
      <c r="C1598" s="30" t="s">
        <v>2423</v>
      </c>
      <c r="D1598" s="2">
        <v>4948095913</v>
      </c>
      <c r="E1598" s="2" t="s">
        <v>6</v>
      </c>
      <c r="F1598" s="2" t="s">
        <v>2424</v>
      </c>
      <c r="G1598" s="28" t="s">
        <v>5</v>
      </c>
      <c r="H1598" s="2" t="s">
        <v>20</v>
      </c>
      <c r="I1598" s="2">
        <v>1</v>
      </c>
      <c r="J1598" s="2" t="s">
        <v>2425</v>
      </c>
      <c r="K1598" s="2">
        <v>133476</v>
      </c>
      <c r="L1598" s="35">
        <f t="shared" si="85"/>
        <v>436601330.76000005</v>
      </c>
      <c r="M1598" s="36">
        <f>6800+1600</f>
        <v>8400</v>
      </c>
      <c r="N1598" s="40">
        <v>480378</v>
      </c>
      <c r="O1598" s="40">
        <v>414172</v>
      </c>
      <c r="P1598" s="40">
        <v>271738</v>
      </c>
      <c r="Q1598" s="40">
        <v>124137</v>
      </c>
      <c r="R1598" s="40">
        <v>742499</v>
      </c>
      <c r="S1598" s="40">
        <v>354356</v>
      </c>
      <c r="T1598" s="40">
        <v>30000</v>
      </c>
      <c r="U1598" s="40">
        <v>3249500</v>
      </c>
      <c r="V1598" s="40">
        <v>0</v>
      </c>
      <c r="W1598" s="45">
        <f t="shared" si="86"/>
        <v>5666780</v>
      </c>
      <c r="X1598" s="46">
        <f t="shared" si="87"/>
        <v>1.29793007963025</v>
      </c>
    </row>
    <row r="1599" spans="1:24" s="4" customFormat="1" ht="15" customHeight="1">
      <c r="A1599" s="28" t="s">
        <v>2168</v>
      </c>
      <c r="B1599" s="29">
        <v>3271.01</v>
      </c>
      <c r="C1599" s="30" t="s">
        <v>2426</v>
      </c>
      <c r="D1599" s="2">
        <v>4950165171</v>
      </c>
      <c r="E1599" s="2" t="s">
        <v>6</v>
      </c>
      <c r="F1599" s="78" t="s">
        <v>2427</v>
      </c>
      <c r="G1599" s="28" t="s">
        <v>5</v>
      </c>
      <c r="H1599" s="2" t="s">
        <v>20</v>
      </c>
      <c r="I1599" s="2">
        <v>1</v>
      </c>
      <c r="J1599" s="2" t="s">
        <v>2428</v>
      </c>
      <c r="K1599" s="2">
        <v>83886</v>
      </c>
      <c r="L1599" s="35">
        <f t="shared" si="85"/>
        <v>274391944.86000001</v>
      </c>
      <c r="M1599" s="36">
        <v>6820</v>
      </c>
      <c r="N1599" s="40">
        <v>480378</v>
      </c>
      <c r="O1599" s="40">
        <v>414172</v>
      </c>
      <c r="P1599" s="40">
        <v>271738</v>
      </c>
      <c r="Q1599" s="40">
        <v>124137</v>
      </c>
      <c r="R1599" s="40">
        <v>740859</v>
      </c>
      <c r="S1599" s="40">
        <v>354356</v>
      </c>
      <c r="T1599" s="40">
        <v>30000</v>
      </c>
      <c r="U1599" s="40">
        <v>2900300</v>
      </c>
      <c r="V1599" s="40">
        <v>0</v>
      </c>
      <c r="W1599" s="45">
        <f t="shared" si="86"/>
        <v>5315940</v>
      </c>
      <c r="X1599" s="46">
        <f t="shared" si="87"/>
        <v>1.9373527902622263</v>
      </c>
    </row>
    <row r="1600" spans="1:24" s="4" customFormat="1" ht="15" customHeight="1">
      <c r="A1600" s="28" t="s">
        <v>2168</v>
      </c>
      <c r="B1600" s="29">
        <v>3271.01</v>
      </c>
      <c r="C1600" s="30" t="s">
        <v>2429</v>
      </c>
      <c r="D1600" s="2">
        <v>4950059698</v>
      </c>
      <c r="E1600" s="2" t="s">
        <v>14</v>
      </c>
      <c r="F1600" s="2" t="s">
        <v>2430</v>
      </c>
      <c r="G1600" s="28" t="s">
        <v>5</v>
      </c>
      <c r="H1600" s="2" t="s">
        <v>20</v>
      </c>
      <c r="I1600" s="2">
        <v>1</v>
      </c>
      <c r="J1600" s="2" t="s">
        <v>2431</v>
      </c>
      <c r="K1600" s="2">
        <v>5160</v>
      </c>
      <c r="L1600" s="35">
        <f t="shared" si="85"/>
        <v>16878411.600000001</v>
      </c>
      <c r="M1600" s="36">
        <v>5160</v>
      </c>
      <c r="N1600" s="40">
        <v>332741</v>
      </c>
      <c r="O1600" s="40">
        <v>332655</v>
      </c>
      <c r="P1600" s="40">
        <v>0</v>
      </c>
      <c r="Q1600" s="40">
        <v>99309</v>
      </c>
      <c r="R1600" s="40">
        <v>549042</v>
      </c>
      <c r="S1600" s="40">
        <v>354356</v>
      </c>
      <c r="T1600" s="40">
        <v>30000</v>
      </c>
      <c r="U1600" s="40">
        <v>3220400</v>
      </c>
      <c r="V1600" s="40">
        <v>0</v>
      </c>
      <c r="W1600" s="45">
        <f t="shared" si="86"/>
        <v>4918503</v>
      </c>
      <c r="X1600" s="46">
        <f t="shared" si="87"/>
        <v>29.140793082685573</v>
      </c>
    </row>
    <row r="1601" spans="1:24" s="4" customFormat="1" ht="15" customHeight="1">
      <c r="A1601" s="28" t="s">
        <v>2168</v>
      </c>
      <c r="B1601" s="29">
        <v>3271.01</v>
      </c>
      <c r="C1601" s="30" t="s">
        <v>2432</v>
      </c>
      <c r="D1601" s="2">
        <v>4949868828</v>
      </c>
      <c r="E1601" s="2" t="s">
        <v>14</v>
      </c>
      <c r="F1601" s="2" t="s">
        <v>2433</v>
      </c>
      <c r="G1601" s="28" t="s">
        <v>5</v>
      </c>
      <c r="H1601" s="2" t="s">
        <v>20</v>
      </c>
      <c r="I1601" s="2">
        <v>1</v>
      </c>
      <c r="J1601" s="2" t="s">
        <v>2434</v>
      </c>
      <c r="K1601" s="2">
        <f>16981.2+3844.8</f>
        <v>20826</v>
      </c>
      <c r="L1601" s="35">
        <f t="shared" si="85"/>
        <v>68122054.260000005</v>
      </c>
      <c r="M1601" s="36">
        <f>1440+6360</f>
        <v>7800</v>
      </c>
      <c r="N1601" s="40">
        <v>330274</v>
      </c>
      <c r="O1601" s="40">
        <v>332655</v>
      </c>
      <c r="P1601" s="40">
        <v>0</v>
      </c>
      <c r="Q1601" s="40">
        <v>99309</v>
      </c>
      <c r="R1601" s="40">
        <v>549533</v>
      </c>
      <c r="S1601" s="40">
        <v>354356</v>
      </c>
      <c r="T1601" s="40">
        <v>30000</v>
      </c>
      <c r="U1601" s="40">
        <v>2900300</v>
      </c>
      <c r="V1601" s="40">
        <v>0</v>
      </c>
      <c r="W1601" s="45">
        <f t="shared" si="86"/>
        <v>4596427</v>
      </c>
      <c r="X1601" s="46">
        <f t="shared" si="87"/>
        <v>6.7473405638310817</v>
      </c>
    </row>
    <row r="1602" spans="1:24" s="4" customFormat="1" ht="15" customHeight="1">
      <c r="A1602" s="28" t="s">
        <v>2168</v>
      </c>
      <c r="B1602" s="29">
        <v>3271.01</v>
      </c>
      <c r="C1602" s="30" t="s">
        <v>2435</v>
      </c>
      <c r="D1602" s="2">
        <v>4949416096</v>
      </c>
      <c r="E1602" s="2" t="s">
        <v>14</v>
      </c>
      <c r="F1602" s="2" t="s">
        <v>2436</v>
      </c>
      <c r="G1602" s="28" t="s">
        <v>5</v>
      </c>
      <c r="H1602" s="2" t="s">
        <v>20</v>
      </c>
      <c r="I1602" s="2">
        <v>1</v>
      </c>
      <c r="J1602" s="2" t="s">
        <v>2437</v>
      </c>
      <c r="K1602" s="2">
        <f>29004.8+16315.2</f>
        <v>45320</v>
      </c>
      <c r="L1602" s="35">
        <f t="shared" si="85"/>
        <v>148242173.20000002</v>
      </c>
      <c r="M1602" s="36">
        <f>3520+1980</f>
        <v>5500</v>
      </c>
      <c r="N1602" s="40">
        <v>258100.04854368899</v>
      </c>
      <c r="O1602" s="40">
        <v>177631.31067961201</v>
      </c>
      <c r="P1602" s="40">
        <v>62694.660194174801</v>
      </c>
      <c r="Q1602" s="40">
        <v>53029.077669902901</v>
      </c>
      <c r="R1602" s="40">
        <v>348043.62135922298</v>
      </c>
      <c r="S1602" s="40">
        <v>189219.223300971</v>
      </c>
      <c r="T1602" s="40">
        <v>30000</v>
      </c>
      <c r="U1602" s="40">
        <v>2210110.5882352898</v>
      </c>
      <c r="V1602" s="40">
        <v>0</v>
      </c>
      <c r="W1602" s="45">
        <f t="shared" si="86"/>
        <v>3328828.5299828625</v>
      </c>
      <c r="X1602" s="46">
        <f t="shared" si="87"/>
        <v>2.2455340866406446</v>
      </c>
    </row>
    <row r="1603" spans="1:24" s="4" customFormat="1" ht="15" customHeight="1">
      <c r="A1603" s="28" t="s">
        <v>2168</v>
      </c>
      <c r="B1603" s="29">
        <v>3271.01</v>
      </c>
      <c r="C1603" s="30" t="s">
        <v>2435</v>
      </c>
      <c r="D1603" s="2">
        <v>4949416096</v>
      </c>
      <c r="E1603" s="2" t="s">
        <v>14</v>
      </c>
      <c r="F1603" s="2" t="s">
        <v>2436</v>
      </c>
      <c r="G1603" s="28" t="s">
        <v>5</v>
      </c>
      <c r="H1603" s="2" t="s">
        <v>20</v>
      </c>
      <c r="I1603" s="2">
        <v>1</v>
      </c>
      <c r="J1603" s="2" t="s">
        <v>2437</v>
      </c>
      <c r="K1603" s="2">
        <f>18192+18192</f>
        <v>36384</v>
      </c>
      <c r="L1603" s="35">
        <f t="shared" si="85"/>
        <v>119012427.84</v>
      </c>
      <c r="M1603" s="36">
        <f>2400+2400</f>
        <v>4800</v>
      </c>
      <c r="N1603" s="40">
        <v>225250.95145631101</v>
      </c>
      <c r="O1603" s="40">
        <v>155023.68932038799</v>
      </c>
      <c r="P1603" s="40">
        <v>54715.339805825199</v>
      </c>
      <c r="Q1603" s="40">
        <v>46279.922330097099</v>
      </c>
      <c r="R1603" s="40">
        <v>303747.37864077702</v>
      </c>
      <c r="S1603" s="40">
        <v>165136.776699029</v>
      </c>
      <c r="T1603" s="40">
        <v>30000</v>
      </c>
      <c r="U1603" s="40">
        <v>2210110.5882352898</v>
      </c>
      <c r="V1603" s="40">
        <v>0</v>
      </c>
      <c r="W1603" s="45">
        <f t="shared" si="86"/>
        <v>3190264.6464877171</v>
      </c>
      <c r="X1603" s="46">
        <f t="shared" si="87"/>
        <v>2.6806147092274268</v>
      </c>
    </row>
    <row r="1604" spans="1:24" s="4" customFormat="1" ht="15" customHeight="1">
      <c r="A1604" s="28" t="s">
        <v>2168</v>
      </c>
      <c r="B1604" s="29">
        <v>3271.01</v>
      </c>
      <c r="C1604" s="30" t="s">
        <v>2438</v>
      </c>
      <c r="D1604" s="2">
        <v>4949662474</v>
      </c>
      <c r="E1604" s="2" t="s">
        <v>14</v>
      </c>
      <c r="F1604" s="2" t="s">
        <v>2439</v>
      </c>
      <c r="G1604" s="28" t="s">
        <v>9</v>
      </c>
      <c r="H1604" s="2" t="s">
        <v>23</v>
      </c>
      <c r="I1604" s="2">
        <v>1</v>
      </c>
      <c r="J1604" s="2"/>
      <c r="K1604" s="2">
        <v>12090.75</v>
      </c>
      <c r="L1604" s="35">
        <f t="shared" si="85"/>
        <v>39548964.157500006</v>
      </c>
      <c r="M1604" s="36">
        <v>525</v>
      </c>
      <c r="N1604" s="40">
        <v>481529</v>
      </c>
      <c r="O1604" s="40">
        <v>359</v>
      </c>
      <c r="P1604" s="40">
        <v>30305</v>
      </c>
      <c r="Q1604" s="40">
        <v>8764</v>
      </c>
      <c r="R1604" s="40">
        <v>97718</v>
      </c>
      <c r="S1604" s="40">
        <v>354356</v>
      </c>
      <c r="T1604" s="40">
        <v>30000</v>
      </c>
      <c r="U1604" s="40">
        <v>308419.01408450701</v>
      </c>
      <c r="V1604" s="40">
        <v>0</v>
      </c>
      <c r="W1604" s="45">
        <f t="shared" si="86"/>
        <v>1311450.014084507</v>
      </c>
      <c r="X1604" s="46">
        <f t="shared" si="87"/>
        <v>3.3160160879606897</v>
      </c>
    </row>
    <row r="1605" spans="1:24" s="4" customFormat="1" ht="15" customHeight="1">
      <c r="A1605" s="28" t="s">
        <v>2168</v>
      </c>
      <c r="B1605" s="29">
        <v>3271.01</v>
      </c>
      <c r="C1605" s="30" t="s">
        <v>2440</v>
      </c>
      <c r="D1605" s="2">
        <v>4950060160</v>
      </c>
      <c r="E1605" s="2" t="s">
        <v>14</v>
      </c>
      <c r="F1605" s="2" t="s">
        <v>2441</v>
      </c>
      <c r="G1605" s="28" t="s">
        <v>9</v>
      </c>
      <c r="H1605" s="2" t="s">
        <v>23</v>
      </c>
      <c r="I1605" s="2">
        <v>1</v>
      </c>
      <c r="J1605" s="2"/>
      <c r="K1605" s="2">
        <v>3797.5</v>
      </c>
      <c r="L1605" s="35">
        <f t="shared" si="85"/>
        <v>12421660.475000001</v>
      </c>
      <c r="M1605" s="36">
        <v>875</v>
      </c>
      <c r="N1605" s="40">
        <v>593943</v>
      </c>
      <c r="O1605" s="40">
        <v>582</v>
      </c>
      <c r="P1605" s="40">
        <v>73561</v>
      </c>
      <c r="Q1605" s="40">
        <v>14522</v>
      </c>
      <c r="R1605" s="40">
        <v>101173</v>
      </c>
      <c r="S1605" s="40">
        <v>354356</v>
      </c>
      <c r="T1605" s="40">
        <v>30000</v>
      </c>
      <c r="U1605" s="40">
        <v>514031.69014084502</v>
      </c>
      <c r="V1605" s="40">
        <v>0</v>
      </c>
      <c r="W1605" s="45">
        <f t="shared" si="86"/>
        <v>1682168.690140845</v>
      </c>
      <c r="X1605" s="46">
        <f t="shared" si="87"/>
        <v>13.542220812800352</v>
      </c>
    </row>
    <row r="1606" spans="1:24" s="4" customFormat="1" ht="15" customHeight="1">
      <c r="A1606" s="28" t="s">
        <v>2168</v>
      </c>
      <c r="B1606" s="29">
        <v>3271.01</v>
      </c>
      <c r="C1606" s="30" t="s">
        <v>2442</v>
      </c>
      <c r="D1606" s="2">
        <v>4949595178</v>
      </c>
      <c r="E1606" s="2" t="s">
        <v>33</v>
      </c>
      <c r="F1606" s="2" t="s">
        <v>2443</v>
      </c>
      <c r="G1606" s="28" t="s">
        <v>5</v>
      </c>
      <c r="H1606" s="2" t="s">
        <v>17</v>
      </c>
      <c r="I1606" s="2">
        <v>1</v>
      </c>
      <c r="J1606" s="2" t="s">
        <v>2444</v>
      </c>
      <c r="K1606" s="2">
        <v>29222.67</v>
      </c>
      <c r="L1606" s="35">
        <f t="shared" si="85"/>
        <v>95587645.796700001</v>
      </c>
      <c r="M1606" s="36">
        <v>3648</v>
      </c>
      <c r="N1606" s="40">
        <v>146932.57831640399</v>
      </c>
      <c r="O1606" s="40">
        <v>197862.51454138701</v>
      </c>
      <c r="P1606" s="40">
        <v>0</v>
      </c>
      <c r="Q1606" s="40">
        <v>45026.004474272901</v>
      </c>
      <c r="R1606" s="40">
        <v>292054.912273533</v>
      </c>
      <c r="S1606" s="40">
        <v>156477.38247431899</v>
      </c>
      <c r="T1606" s="48"/>
      <c r="U1606" s="40">
        <v>2490767.7581740501</v>
      </c>
      <c r="V1606" s="40">
        <v>0</v>
      </c>
      <c r="W1606" s="45">
        <f t="shared" si="86"/>
        <v>3329121.150253966</v>
      </c>
      <c r="X1606" s="46">
        <f t="shared" si="87"/>
        <v>3.4827943742170269</v>
      </c>
    </row>
    <row r="1607" spans="1:24" s="4" customFormat="1" ht="15" customHeight="1">
      <c r="A1607" s="28" t="s">
        <v>2168</v>
      </c>
      <c r="B1607" s="29">
        <v>3271.01</v>
      </c>
      <c r="C1607" s="30" t="s">
        <v>2442</v>
      </c>
      <c r="D1607" s="2">
        <v>4949595178</v>
      </c>
      <c r="E1607" s="2" t="s">
        <v>33</v>
      </c>
      <c r="F1607" s="2" t="s">
        <v>2443</v>
      </c>
      <c r="G1607" s="28" t="s">
        <v>5</v>
      </c>
      <c r="H1607" s="2" t="s">
        <v>17</v>
      </c>
      <c r="I1607" s="2">
        <v>1</v>
      </c>
      <c r="J1607" s="2" t="s">
        <v>2444</v>
      </c>
      <c r="K1607" s="2">
        <v>32864.83</v>
      </c>
      <c r="L1607" s="35">
        <f t="shared" si="85"/>
        <v>107501187.57830001</v>
      </c>
      <c r="M1607" s="36">
        <v>3648</v>
      </c>
      <c r="N1607" s="40">
        <v>177311.04387549101</v>
      </c>
      <c r="O1607" s="40">
        <v>197862.51454138701</v>
      </c>
      <c r="P1607" s="40">
        <v>0</v>
      </c>
      <c r="Q1607" s="40">
        <v>45026.004474272901</v>
      </c>
      <c r="R1607" s="40">
        <v>352436.99118240702</v>
      </c>
      <c r="S1607" s="40">
        <v>188829.24636141499</v>
      </c>
      <c r="T1607" s="48"/>
      <c r="U1607" s="40">
        <v>3005736.6195686799</v>
      </c>
      <c r="V1607" s="40">
        <v>0</v>
      </c>
      <c r="W1607" s="45">
        <f t="shared" si="86"/>
        <v>3967202.420003653</v>
      </c>
      <c r="X1607" s="46">
        <f t="shared" si="87"/>
        <v>3.6903800873028358</v>
      </c>
    </row>
    <row r="1608" spans="1:24" s="4" customFormat="1" ht="15" customHeight="1">
      <c r="A1608" s="28" t="s">
        <v>2168</v>
      </c>
      <c r="B1608" s="29">
        <v>3271.01</v>
      </c>
      <c r="C1608" s="30" t="s">
        <v>2442</v>
      </c>
      <c r="D1608" s="2">
        <v>4949595178</v>
      </c>
      <c r="E1608" s="2" t="s">
        <v>33</v>
      </c>
      <c r="F1608" s="2" t="s">
        <v>2443</v>
      </c>
      <c r="G1608" s="28" t="s">
        <v>5</v>
      </c>
      <c r="H1608" s="2" t="s">
        <v>17</v>
      </c>
      <c r="I1608" s="2">
        <v>1</v>
      </c>
      <c r="J1608" s="2" t="s">
        <v>2444</v>
      </c>
      <c r="K1608" s="2">
        <v>1250</v>
      </c>
      <c r="L1608" s="35">
        <f t="shared" si="85"/>
        <v>4088762.5000000005</v>
      </c>
      <c r="M1608" s="36">
        <v>250</v>
      </c>
      <c r="N1608" s="40">
        <v>4248.6889040525002</v>
      </c>
      <c r="O1608" s="40">
        <v>13559.6569724086</v>
      </c>
      <c r="P1608" s="40">
        <v>0</v>
      </c>
      <c r="Q1608" s="40">
        <v>3085.6636838180498</v>
      </c>
      <c r="R1608" s="40">
        <v>8444.5482720296804</v>
      </c>
      <c r="S1608" s="40">
        <v>4524.6855821327299</v>
      </c>
      <c r="T1608" s="48"/>
      <c r="U1608" s="40">
        <v>72022.811128635498</v>
      </c>
      <c r="V1608" s="40">
        <v>0</v>
      </c>
      <c r="W1608" s="45">
        <f t="shared" si="86"/>
        <v>105886.05454307706</v>
      </c>
      <c r="X1608" s="46">
        <f t="shared" si="87"/>
        <v>2.589684642800286</v>
      </c>
    </row>
    <row r="1609" spans="1:24" s="4" customFormat="1" ht="15" customHeight="1">
      <c r="A1609" s="28" t="s">
        <v>2168</v>
      </c>
      <c r="B1609" s="29">
        <v>3271.01</v>
      </c>
      <c r="C1609" s="30" t="s">
        <v>2442</v>
      </c>
      <c r="D1609" s="2">
        <v>4949595178</v>
      </c>
      <c r="E1609" s="2" t="s">
        <v>33</v>
      </c>
      <c r="F1609" s="2" t="s">
        <v>2443</v>
      </c>
      <c r="G1609" s="28" t="s">
        <v>5</v>
      </c>
      <c r="H1609" s="2" t="s">
        <v>17</v>
      </c>
      <c r="I1609" s="2">
        <v>1</v>
      </c>
      <c r="J1609" s="2" t="s">
        <v>2444</v>
      </c>
      <c r="K1609" s="2">
        <v>729</v>
      </c>
      <c r="L1609" s="35">
        <f t="shared" si="85"/>
        <v>2384566.29</v>
      </c>
      <c r="M1609" s="36">
        <v>300</v>
      </c>
      <c r="N1609" s="40">
        <v>2549.2133424315002</v>
      </c>
      <c r="O1609" s="40">
        <v>16271.588366890401</v>
      </c>
      <c r="P1609" s="40">
        <v>0</v>
      </c>
      <c r="Q1609" s="40">
        <v>3702.7964205816602</v>
      </c>
      <c r="R1609" s="40">
        <v>5066.7289632178099</v>
      </c>
      <c r="S1609" s="40">
        <v>2714.8113492796401</v>
      </c>
      <c r="T1609" s="48"/>
      <c r="U1609" s="40">
        <v>43213.6866771813</v>
      </c>
      <c r="V1609" s="40">
        <v>0</v>
      </c>
      <c r="W1609" s="45">
        <f t="shared" si="86"/>
        <v>73518.82511958231</v>
      </c>
      <c r="X1609" s="46">
        <f t="shared" si="87"/>
        <v>3.0831109803025147</v>
      </c>
    </row>
    <row r="1610" spans="1:24" s="4" customFormat="1" ht="15" customHeight="1">
      <c r="A1610" s="28" t="s">
        <v>2168</v>
      </c>
      <c r="B1610" s="29">
        <v>3271.01</v>
      </c>
      <c r="C1610" s="30" t="s">
        <v>2442</v>
      </c>
      <c r="D1610" s="2">
        <v>4949595178</v>
      </c>
      <c r="E1610" s="2" t="s">
        <v>33</v>
      </c>
      <c r="F1610" s="2" t="s">
        <v>2443</v>
      </c>
      <c r="G1610" s="28" t="s">
        <v>5</v>
      </c>
      <c r="H1610" s="2" t="s">
        <v>17</v>
      </c>
      <c r="I1610" s="2">
        <v>1</v>
      </c>
      <c r="J1610" s="2" t="s">
        <v>2444</v>
      </c>
      <c r="K1610" s="2">
        <v>518</v>
      </c>
      <c r="L1610" s="35">
        <f t="shared" si="85"/>
        <v>1694383.1800000002</v>
      </c>
      <c r="M1610" s="36">
        <v>200</v>
      </c>
      <c r="N1610" s="40">
        <v>1699.475561621</v>
      </c>
      <c r="O1610" s="40">
        <v>10847.7255779269</v>
      </c>
      <c r="P1610" s="40">
        <v>0</v>
      </c>
      <c r="Q1610" s="40">
        <v>2468.5309470544398</v>
      </c>
      <c r="R1610" s="40">
        <v>3377.8193088118701</v>
      </c>
      <c r="S1610" s="40">
        <v>1809.87423285309</v>
      </c>
      <c r="T1610" s="48"/>
      <c r="U1610" s="40">
        <v>28809.124451454201</v>
      </c>
      <c r="V1610" s="40">
        <v>0</v>
      </c>
      <c r="W1610" s="45">
        <f t="shared" si="86"/>
        <v>49012.550079721506</v>
      </c>
      <c r="X1610" s="46">
        <f t="shared" si="87"/>
        <v>2.8926485259208898</v>
      </c>
    </row>
    <row r="1611" spans="1:24" s="4" customFormat="1" ht="15" customHeight="1">
      <c r="A1611" s="28" t="s">
        <v>2168</v>
      </c>
      <c r="B1611" s="29">
        <v>3271.01</v>
      </c>
      <c r="C1611" s="30" t="s">
        <v>2445</v>
      </c>
      <c r="D1611" s="2">
        <v>4950133764</v>
      </c>
      <c r="E1611" s="2" t="s">
        <v>24</v>
      </c>
      <c r="F1611" s="2" t="s">
        <v>2446</v>
      </c>
      <c r="G1611" s="28" t="s">
        <v>5</v>
      </c>
      <c r="H1611" s="2" t="s">
        <v>20</v>
      </c>
      <c r="I1611" s="2">
        <v>1</v>
      </c>
      <c r="J1611" s="2" t="s">
        <v>2447</v>
      </c>
      <c r="K1611" s="2">
        <v>4296.3999999999996</v>
      </c>
      <c r="L1611" s="35">
        <f t="shared" si="85"/>
        <v>14053567.364</v>
      </c>
      <c r="M1611" s="36">
        <v>920</v>
      </c>
      <c r="N1611" s="40">
        <v>25985.995294117602</v>
      </c>
      <c r="O1611" s="40">
        <v>18002.5058823529</v>
      </c>
      <c r="P1611" s="40">
        <v>22058.785882352899</v>
      </c>
      <c r="Q1611" s="40">
        <v>5374.3694117647101</v>
      </c>
      <c r="R1611" s="40">
        <v>50316.948235294098</v>
      </c>
      <c r="S1611" s="40">
        <v>19176.912941176499</v>
      </c>
      <c r="T1611" s="48"/>
      <c r="U1611" s="40">
        <v>368351.764705882</v>
      </c>
      <c r="V1611" s="40">
        <v>0</v>
      </c>
      <c r="W1611" s="45">
        <f t="shared" si="86"/>
        <v>509267.2823529407</v>
      </c>
      <c r="X1611" s="46">
        <f t="shared" si="87"/>
        <v>3.6237580762411516</v>
      </c>
    </row>
    <row r="1612" spans="1:24" s="4" customFormat="1" ht="15" customHeight="1">
      <c r="A1612" s="28" t="s">
        <v>2168</v>
      </c>
      <c r="B1612" s="29">
        <v>3271.01</v>
      </c>
      <c r="C1612" s="30" t="s">
        <v>2445</v>
      </c>
      <c r="D1612" s="2">
        <v>4950371604</v>
      </c>
      <c r="E1612" s="2" t="s">
        <v>21</v>
      </c>
      <c r="F1612" s="2" t="s">
        <v>2446</v>
      </c>
      <c r="G1612" s="28" t="s">
        <v>5</v>
      </c>
      <c r="H1612" s="2" t="s">
        <v>20</v>
      </c>
      <c r="I1612" s="2">
        <v>1</v>
      </c>
      <c r="J1612" s="2" t="s">
        <v>2447</v>
      </c>
      <c r="K1612" s="2">
        <v>8265.6</v>
      </c>
      <c r="L1612" s="35">
        <f t="shared" si="85"/>
        <v>27036860.256000005</v>
      </c>
      <c r="M1612" s="36">
        <v>5040</v>
      </c>
      <c r="N1612" s="40">
        <v>142358.061176471</v>
      </c>
      <c r="O1612" s="40">
        <v>98622.423529411797</v>
      </c>
      <c r="P1612" s="40">
        <v>120843.783529412</v>
      </c>
      <c r="Q1612" s="40">
        <v>29442.197647058802</v>
      </c>
      <c r="R1612" s="40">
        <v>275646.67294117599</v>
      </c>
      <c r="S1612" s="40">
        <v>105056.13176470601</v>
      </c>
      <c r="T1612" s="48"/>
      <c r="U1612" s="40">
        <v>2017927.0588235301</v>
      </c>
      <c r="V1612" s="40">
        <v>0</v>
      </c>
      <c r="W1612" s="45">
        <f t="shared" si="86"/>
        <v>2789896.3294117656</v>
      </c>
      <c r="X1612" s="46">
        <f t="shared" si="87"/>
        <v>10.318862112669438</v>
      </c>
    </row>
    <row r="1613" spans="1:24" s="4" customFormat="1" ht="15" customHeight="1">
      <c r="A1613" s="28" t="s">
        <v>2168</v>
      </c>
      <c r="B1613" s="29">
        <v>3271.01</v>
      </c>
      <c r="C1613" s="30" t="s">
        <v>2445</v>
      </c>
      <c r="D1613" s="2">
        <v>4950274564</v>
      </c>
      <c r="E1613" s="2" t="s">
        <v>14</v>
      </c>
      <c r="F1613" s="2" t="s">
        <v>2446</v>
      </c>
      <c r="G1613" s="28" t="s">
        <v>5</v>
      </c>
      <c r="H1613" s="2" t="s">
        <v>20</v>
      </c>
      <c r="I1613" s="2">
        <v>1</v>
      </c>
      <c r="J1613" s="2" t="s">
        <v>2447</v>
      </c>
      <c r="K1613" s="2">
        <v>28483.200000000001</v>
      </c>
      <c r="L1613" s="35">
        <f t="shared" si="85"/>
        <v>93168832.032000005</v>
      </c>
      <c r="M1613" s="36">
        <v>11040</v>
      </c>
      <c r="N1613" s="40">
        <v>311831.94352941198</v>
      </c>
      <c r="O1613" s="40">
        <v>216030.07058823499</v>
      </c>
      <c r="P1613" s="40">
        <v>264705.43058823497</v>
      </c>
      <c r="Q1613" s="40">
        <v>64492.432941176499</v>
      </c>
      <c r="R1613" s="40">
        <v>603797.378823529</v>
      </c>
      <c r="S1613" s="40">
        <v>230122.955294118</v>
      </c>
      <c r="T1613" s="40">
        <v>30000</v>
      </c>
      <c r="U1613" s="40">
        <v>4420221.1764705898</v>
      </c>
      <c r="V1613" s="40">
        <v>0</v>
      </c>
      <c r="W1613" s="45">
        <f t="shared" si="86"/>
        <v>6141201.3882352952</v>
      </c>
      <c r="X1613" s="46">
        <f t="shared" si="87"/>
        <v>6.5914761989567738</v>
      </c>
    </row>
    <row r="1614" spans="1:24" s="4" customFormat="1" ht="15" customHeight="1">
      <c r="A1614" s="28" t="s">
        <v>2168</v>
      </c>
      <c r="B1614" s="29">
        <v>3271.01</v>
      </c>
      <c r="C1614" s="30" t="s">
        <v>2448</v>
      </c>
      <c r="D1614" s="2">
        <v>4949662493</v>
      </c>
      <c r="E1614" s="2" t="s">
        <v>18</v>
      </c>
      <c r="F1614" s="2" t="s">
        <v>2449</v>
      </c>
      <c r="G1614" s="28" t="s">
        <v>5</v>
      </c>
      <c r="H1614" s="2" t="s">
        <v>17</v>
      </c>
      <c r="I1614" s="2">
        <v>1</v>
      </c>
      <c r="J1614" s="2" t="s">
        <v>2450</v>
      </c>
      <c r="K1614" s="2">
        <v>68160</v>
      </c>
      <c r="L1614" s="35">
        <f t="shared" si="85"/>
        <v>222952041.60000002</v>
      </c>
      <c r="M1614" s="36">
        <v>16000</v>
      </c>
      <c r="N1614" s="40">
        <v>481881</v>
      </c>
      <c r="O1614" s="40">
        <v>436404</v>
      </c>
      <c r="P1614" s="40">
        <v>0</v>
      </c>
      <c r="Q1614" s="40">
        <v>99309</v>
      </c>
      <c r="R1614" s="40">
        <v>738600</v>
      </c>
      <c r="S1614" s="40">
        <v>354356</v>
      </c>
      <c r="T1614" s="40">
        <v>30000</v>
      </c>
      <c r="U1614" s="40">
        <v>5446550</v>
      </c>
      <c r="V1614" s="40">
        <v>0</v>
      </c>
      <c r="W1614" s="45">
        <f t="shared" si="86"/>
        <v>7587100</v>
      </c>
      <c r="X1614" s="46">
        <f t="shared" si="87"/>
        <v>3.4030188490545759</v>
      </c>
    </row>
    <row r="1615" spans="1:24" s="4" customFormat="1" ht="15" customHeight="1">
      <c r="A1615" s="28" t="s">
        <v>2168</v>
      </c>
      <c r="B1615" s="29">
        <v>3271.01</v>
      </c>
      <c r="C1615" s="30" t="s">
        <v>2451</v>
      </c>
      <c r="D1615" s="2">
        <v>4950282857</v>
      </c>
      <c r="E1615" s="2" t="s">
        <v>18</v>
      </c>
      <c r="F1615" s="2" t="s">
        <v>2452</v>
      </c>
      <c r="G1615" s="28" t="s">
        <v>9</v>
      </c>
      <c r="H1615" s="2" t="s">
        <v>23</v>
      </c>
      <c r="I1615" s="2">
        <v>1</v>
      </c>
      <c r="J1615" s="2"/>
      <c r="K1615" s="2">
        <v>5842.5</v>
      </c>
      <c r="L1615" s="35">
        <f t="shared" si="85"/>
        <v>19110875.925000001</v>
      </c>
      <c r="M1615" s="36">
        <v>150</v>
      </c>
      <c r="N1615" s="40">
        <v>419561.95</v>
      </c>
      <c r="O1615" s="40">
        <v>198</v>
      </c>
      <c r="P1615" s="40">
        <v>8807</v>
      </c>
      <c r="Q1615" s="40">
        <v>2519</v>
      </c>
      <c r="R1615" s="40">
        <v>367101</v>
      </c>
      <c r="S1615" s="40">
        <v>354356</v>
      </c>
      <c r="T1615" s="40">
        <v>30000</v>
      </c>
      <c r="U1615" s="40">
        <v>88119.718309859105</v>
      </c>
      <c r="V1615" s="40">
        <v>0</v>
      </c>
      <c r="W1615" s="45">
        <f t="shared" si="86"/>
        <v>1270662.668309859</v>
      </c>
      <c r="X1615" s="46">
        <f t="shared" si="87"/>
        <v>6.6488981106702409</v>
      </c>
    </row>
    <row r="1616" spans="1:24" s="4" customFormat="1" ht="15" customHeight="1">
      <c r="A1616" s="28" t="s">
        <v>2168</v>
      </c>
      <c r="B1616" s="29">
        <v>3271.01</v>
      </c>
      <c r="C1616" s="30" t="s">
        <v>2453</v>
      </c>
      <c r="D1616" s="2">
        <v>4950215951</v>
      </c>
      <c r="E1616" s="2" t="s">
        <v>14</v>
      </c>
      <c r="F1616" s="2" t="s">
        <v>2454</v>
      </c>
      <c r="G1616" s="28" t="s">
        <v>5</v>
      </c>
      <c r="H1616" s="2" t="s">
        <v>20</v>
      </c>
      <c r="I1616" s="2">
        <v>1</v>
      </c>
      <c r="J1616" s="2" t="s">
        <v>2455</v>
      </c>
      <c r="K1616" s="2">
        <v>26100</v>
      </c>
      <c r="L1616" s="35">
        <f t="shared" si="85"/>
        <v>85373361</v>
      </c>
      <c r="M1616" s="36">
        <v>18000</v>
      </c>
      <c r="N1616" s="40">
        <v>481881</v>
      </c>
      <c r="O1616" s="40">
        <v>332655</v>
      </c>
      <c r="P1616" s="40">
        <v>0</v>
      </c>
      <c r="Q1616" s="40">
        <v>99309</v>
      </c>
      <c r="R1616" s="40">
        <v>635431</v>
      </c>
      <c r="S1616" s="40">
        <v>354356</v>
      </c>
      <c r="T1616" s="40">
        <v>30000</v>
      </c>
      <c r="U1616" s="40">
        <v>5014900</v>
      </c>
      <c r="V1616" s="40">
        <v>0</v>
      </c>
      <c r="W1616" s="45">
        <f t="shared" si="86"/>
        <v>6948532</v>
      </c>
      <c r="X1616" s="46">
        <f t="shared" si="87"/>
        <v>8.1389931456487936</v>
      </c>
    </row>
    <row r="1617" spans="1:24" s="4" customFormat="1" ht="15" customHeight="1">
      <c r="A1617" s="28" t="s">
        <v>2168</v>
      </c>
      <c r="B1617" s="29">
        <v>3271.01</v>
      </c>
      <c r="C1617" s="30" t="s">
        <v>2456</v>
      </c>
      <c r="D1617" s="2">
        <v>4950365714</v>
      </c>
      <c r="E1617" s="2" t="s">
        <v>14</v>
      </c>
      <c r="F1617" s="2" t="s">
        <v>2457</v>
      </c>
      <c r="G1617" s="28" t="s">
        <v>5</v>
      </c>
      <c r="H1617" s="2" t="s">
        <v>20</v>
      </c>
      <c r="I1617" s="2">
        <v>2</v>
      </c>
      <c r="J1617" s="2" t="s">
        <v>2458</v>
      </c>
      <c r="K1617" s="2">
        <f>24776+24776</f>
        <v>49552</v>
      </c>
      <c r="L1617" s="35">
        <f t="shared" si="85"/>
        <v>162085087.52000001</v>
      </c>
      <c r="M1617" s="36">
        <f>15200+15200</f>
        <v>30400</v>
      </c>
      <c r="N1617" s="40">
        <v>960755</v>
      </c>
      <c r="O1617" s="40">
        <v>332655</v>
      </c>
      <c r="P1617" s="40">
        <v>434782</v>
      </c>
      <c r="Q1617" s="40">
        <v>99309</v>
      </c>
      <c r="R1617" s="40">
        <v>1272589</v>
      </c>
      <c r="S1617" s="40">
        <v>354356</v>
      </c>
      <c r="T1617" s="40">
        <v>30000</v>
      </c>
      <c r="U1617" s="40">
        <v>7857000</v>
      </c>
      <c r="V1617" s="40">
        <v>0</v>
      </c>
      <c r="W1617" s="45">
        <f t="shared" si="86"/>
        <v>11341446</v>
      </c>
      <c r="X1617" s="46">
        <f t="shared" si="87"/>
        <v>6.9972174328502348</v>
      </c>
    </row>
    <row r="1618" spans="1:24" s="4" customFormat="1" ht="15" customHeight="1">
      <c r="A1618" s="28" t="s">
        <v>2168</v>
      </c>
      <c r="B1618" s="29">
        <v>3271.01</v>
      </c>
      <c r="C1618" s="30" t="s">
        <v>2459</v>
      </c>
      <c r="D1618" s="2">
        <v>4950559749</v>
      </c>
      <c r="E1618" s="2" t="s">
        <v>36</v>
      </c>
      <c r="F1618" s="2" t="s">
        <v>2460</v>
      </c>
      <c r="G1618" s="28" t="s">
        <v>5</v>
      </c>
      <c r="H1618" s="2" t="s">
        <v>32</v>
      </c>
      <c r="I1618" s="2">
        <v>1</v>
      </c>
      <c r="J1618" s="2" t="s">
        <v>2461</v>
      </c>
      <c r="K1618" s="2">
        <v>56000</v>
      </c>
      <c r="L1618" s="35">
        <f t="shared" si="85"/>
        <v>183176560</v>
      </c>
      <c r="M1618" s="36">
        <v>17500</v>
      </c>
      <c r="N1618" s="40">
        <v>332741</v>
      </c>
      <c r="O1618" s="40">
        <v>332655</v>
      </c>
      <c r="P1618" s="40">
        <v>0</v>
      </c>
      <c r="Q1618" s="40">
        <v>99309</v>
      </c>
      <c r="R1618" s="40">
        <v>1126739</v>
      </c>
      <c r="S1618" s="40">
        <v>354356</v>
      </c>
      <c r="T1618" s="48"/>
      <c r="U1618" s="40">
        <v>0</v>
      </c>
      <c r="V1618" s="40">
        <v>0</v>
      </c>
      <c r="W1618" s="45">
        <f t="shared" si="86"/>
        <v>2245800</v>
      </c>
      <c r="X1618" s="46">
        <f t="shared" si="87"/>
        <v>1.226030230068738</v>
      </c>
    </row>
    <row r="1619" spans="1:24" s="4" customFormat="1" ht="15" customHeight="1">
      <c r="A1619" s="28" t="s">
        <v>2168</v>
      </c>
      <c r="B1619" s="29">
        <v>3271.01</v>
      </c>
      <c r="C1619" s="30" t="s">
        <v>2462</v>
      </c>
      <c r="D1619" s="2">
        <v>4950057174</v>
      </c>
      <c r="E1619" s="2" t="s">
        <v>14</v>
      </c>
      <c r="F1619" s="78" t="s">
        <v>2463</v>
      </c>
      <c r="G1619" s="28" t="s">
        <v>13</v>
      </c>
      <c r="H1619" s="2" t="s">
        <v>23</v>
      </c>
      <c r="I1619" s="2">
        <v>2</v>
      </c>
      <c r="J1619" s="2"/>
      <c r="K1619" s="2">
        <f>1755.2+113</f>
        <v>1868.2</v>
      </c>
      <c r="L1619" s="35">
        <f t="shared" si="85"/>
        <v>6110900.8820000002</v>
      </c>
      <c r="M1619" s="36">
        <v>40</v>
      </c>
      <c r="N1619" s="40">
        <v>1062704</v>
      </c>
      <c r="O1619" s="40">
        <v>0</v>
      </c>
      <c r="P1619" s="40">
        <v>0</v>
      </c>
      <c r="Q1619" s="40">
        <v>0</v>
      </c>
      <c r="R1619" s="40">
        <v>5697</v>
      </c>
      <c r="S1619" s="40">
        <v>354356</v>
      </c>
      <c r="T1619" s="40">
        <v>30000</v>
      </c>
      <c r="U1619" s="40">
        <v>41063.333333333299</v>
      </c>
      <c r="V1619" s="40">
        <v>0</v>
      </c>
      <c r="W1619" s="45">
        <f t="shared" si="86"/>
        <v>1493820.3333333333</v>
      </c>
      <c r="X1619" s="46">
        <f t="shared" si="87"/>
        <v>24.44517366880331</v>
      </c>
    </row>
    <row r="1620" spans="1:24" s="4" customFormat="1" ht="15" customHeight="1">
      <c r="A1620" s="28" t="s">
        <v>2168</v>
      </c>
      <c r="B1620" s="29">
        <v>3271.01</v>
      </c>
      <c r="C1620" s="30" t="s">
        <v>2464</v>
      </c>
      <c r="D1620" s="2">
        <v>4950722785</v>
      </c>
      <c r="E1620" s="2" t="s">
        <v>14</v>
      </c>
      <c r="F1620" s="78" t="s">
        <v>2465</v>
      </c>
      <c r="G1620" s="28" t="s">
        <v>13</v>
      </c>
      <c r="H1620" s="2" t="s">
        <v>23</v>
      </c>
      <c r="I1620" s="2">
        <v>1</v>
      </c>
      <c r="J1620" s="2"/>
      <c r="K1620" s="2">
        <v>4293.5</v>
      </c>
      <c r="L1620" s="35">
        <f t="shared" si="85"/>
        <v>14044081.435000001</v>
      </c>
      <c r="M1620" s="36">
        <v>50</v>
      </c>
      <c r="N1620" s="40">
        <v>325015</v>
      </c>
      <c r="O1620" s="40">
        <v>0</v>
      </c>
      <c r="P1620" s="40">
        <v>0</v>
      </c>
      <c r="Q1620" s="40">
        <v>0</v>
      </c>
      <c r="R1620" s="40">
        <v>1300</v>
      </c>
      <c r="S1620" s="40">
        <v>354356</v>
      </c>
      <c r="T1620" s="40">
        <v>30000</v>
      </c>
      <c r="U1620" s="40">
        <v>246380</v>
      </c>
      <c r="V1620" s="40">
        <v>0</v>
      </c>
      <c r="W1620" s="45">
        <f t="shared" si="86"/>
        <v>957051</v>
      </c>
      <c r="X1620" s="46">
        <f t="shared" si="87"/>
        <v>6.8146215502203109</v>
      </c>
    </row>
    <row r="1621" spans="1:24" s="4" customFormat="1" ht="15" customHeight="1">
      <c r="A1621" s="28" t="s">
        <v>2168</v>
      </c>
      <c r="B1621" s="29">
        <v>3271.01</v>
      </c>
      <c r="C1621" s="30" t="s">
        <v>2466</v>
      </c>
      <c r="D1621" s="2">
        <v>4950722783</v>
      </c>
      <c r="E1621" s="2" t="s">
        <v>14</v>
      </c>
      <c r="F1621" s="78" t="s">
        <v>2467</v>
      </c>
      <c r="G1621" s="28" t="s">
        <v>13</v>
      </c>
      <c r="H1621" s="2" t="s">
        <v>23</v>
      </c>
      <c r="I1621" s="2">
        <v>1</v>
      </c>
      <c r="J1621" s="2"/>
      <c r="K1621" s="2">
        <v>2354.4</v>
      </c>
      <c r="L1621" s="35">
        <f t="shared" si="85"/>
        <v>7701265.9440000011</v>
      </c>
      <c r="M1621" s="36">
        <v>30</v>
      </c>
      <c r="N1621" s="40">
        <v>322197</v>
      </c>
      <c r="O1621" s="40">
        <v>0</v>
      </c>
      <c r="P1621" s="40">
        <v>0</v>
      </c>
      <c r="Q1621" s="40">
        <v>0</v>
      </c>
      <c r="R1621" s="40">
        <v>133</v>
      </c>
      <c r="S1621" s="40">
        <v>354356</v>
      </c>
      <c r="T1621" s="40">
        <v>30000</v>
      </c>
      <c r="U1621" s="40">
        <v>30797.5</v>
      </c>
      <c r="V1621" s="40">
        <v>0</v>
      </c>
      <c r="W1621" s="45">
        <f t="shared" si="86"/>
        <v>737483.5</v>
      </c>
      <c r="X1621" s="46">
        <f t="shared" si="87"/>
        <v>9.5761333962836073</v>
      </c>
    </row>
    <row r="1622" spans="1:24" s="4" customFormat="1" ht="15" customHeight="1">
      <c r="A1622" s="28" t="s">
        <v>2168</v>
      </c>
      <c r="B1622" s="29">
        <v>3271.01</v>
      </c>
      <c r="C1622" s="30" t="s">
        <v>2468</v>
      </c>
      <c r="D1622" s="2">
        <v>4950365710</v>
      </c>
      <c r="E1622" s="2" t="s">
        <v>14</v>
      </c>
      <c r="F1622" s="78" t="s">
        <v>2469</v>
      </c>
      <c r="G1622" s="28" t="s">
        <v>13</v>
      </c>
      <c r="H1622" s="2" t="s">
        <v>23</v>
      </c>
      <c r="I1622" s="2">
        <v>1</v>
      </c>
      <c r="J1622" s="2"/>
      <c r="K1622" s="2">
        <v>6107.4</v>
      </c>
      <c r="L1622" s="35">
        <f t="shared" si="85"/>
        <v>19977366.473999999</v>
      </c>
      <c r="M1622" s="36">
        <v>90</v>
      </c>
      <c r="N1622" s="40">
        <v>390000</v>
      </c>
      <c r="O1622" s="40">
        <v>0</v>
      </c>
      <c r="P1622" s="40">
        <v>0</v>
      </c>
      <c r="Q1622" s="40">
        <v>0</v>
      </c>
      <c r="R1622" s="40">
        <v>1560</v>
      </c>
      <c r="S1622" s="40">
        <v>354356</v>
      </c>
      <c r="T1622" s="40">
        <v>30000</v>
      </c>
      <c r="U1622" s="40">
        <v>184785</v>
      </c>
      <c r="V1622" s="40">
        <v>0</v>
      </c>
      <c r="W1622" s="45">
        <f t="shared" si="86"/>
        <v>960701</v>
      </c>
      <c r="X1622" s="46">
        <f t="shared" si="87"/>
        <v>4.8089471715419867</v>
      </c>
    </row>
    <row r="1623" spans="1:24" s="4" customFormat="1" ht="15" customHeight="1">
      <c r="A1623" s="28" t="s">
        <v>2168</v>
      </c>
      <c r="B1623" s="29">
        <v>3271.01</v>
      </c>
      <c r="C1623" s="30" t="s">
        <v>2470</v>
      </c>
      <c r="D1623" s="2">
        <v>4950930532</v>
      </c>
      <c r="E1623" s="2" t="s">
        <v>14</v>
      </c>
      <c r="F1623" s="78" t="s">
        <v>2471</v>
      </c>
      <c r="G1623" s="28" t="s">
        <v>13</v>
      </c>
      <c r="H1623" s="2" t="s">
        <v>23</v>
      </c>
      <c r="I1623" s="2">
        <v>2</v>
      </c>
      <c r="J1623" s="2"/>
      <c r="K1623" s="2">
        <f>5590.5+3026.69</f>
        <v>8617.19</v>
      </c>
      <c r="L1623" s="35">
        <f t="shared" si="85"/>
        <v>28186914.661900003</v>
      </c>
      <c r="M1623" s="36">
        <v>1500</v>
      </c>
      <c r="N1623" s="40">
        <v>874574</v>
      </c>
      <c r="O1623" s="40">
        <v>0</v>
      </c>
      <c r="P1623" s="40">
        <v>0</v>
      </c>
      <c r="Q1623" s="40">
        <v>0</v>
      </c>
      <c r="R1623" s="40">
        <v>45240</v>
      </c>
      <c r="S1623" s="40">
        <v>354356</v>
      </c>
      <c r="T1623" s="40">
        <v>30000</v>
      </c>
      <c r="U1623" s="40">
        <v>0</v>
      </c>
      <c r="V1623" s="40">
        <v>0</v>
      </c>
      <c r="W1623" s="45">
        <f t="shared" si="86"/>
        <v>1304170</v>
      </c>
      <c r="X1623" s="46">
        <f t="shared" si="87"/>
        <v>4.6268632648994208</v>
      </c>
    </row>
    <row r="1624" spans="1:24" s="4" customFormat="1" ht="15" customHeight="1">
      <c r="A1624" s="28" t="s">
        <v>2168</v>
      </c>
      <c r="B1624" s="29">
        <v>3271.01</v>
      </c>
      <c r="C1624" s="30" t="s">
        <v>2472</v>
      </c>
      <c r="D1624" s="2">
        <v>4950722784</v>
      </c>
      <c r="E1624" s="2" t="s">
        <v>14</v>
      </c>
      <c r="F1624" s="78" t="s">
        <v>2473</v>
      </c>
      <c r="G1624" s="28" t="s">
        <v>13</v>
      </c>
      <c r="H1624" s="2" t="s">
        <v>23</v>
      </c>
      <c r="I1624" s="2">
        <v>1</v>
      </c>
      <c r="J1624" s="2"/>
      <c r="K1624" s="2">
        <v>2634.4</v>
      </c>
      <c r="L1624" s="35">
        <f t="shared" si="85"/>
        <v>8617148.7440000009</v>
      </c>
      <c r="M1624" s="36">
        <v>40</v>
      </c>
      <c r="N1624" s="40">
        <v>180240.815</v>
      </c>
      <c r="O1624" s="40">
        <v>0</v>
      </c>
      <c r="P1624" s="40">
        <v>0</v>
      </c>
      <c r="Q1624" s="40">
        <v>0</v>
      </c>
      <c r="R1624" s="40">
        <v>721</v>
      </c>
      <c r="S1624" s="40">
        <v>177178</v>
      </c>
      <c r="T1624" s="40">
        <v>30000</v>
      </c>
      <c r="U1624" s="40">
        <v>41063.333333333299</v>
      </c>
      <c r="V1624" s="40">
        <v>0</v>
      </c>
      <c r="W1624" s="45">
        <f t="shared" si="86"/>
        <v>429203.14833333332</v>
      </c>
      <c r="X1624" s="46">
        <f t="shared" si="87"/>
        <v>4.9808023638002235</v>
      </c>
    </row>
    <row r="1625" spans="1:24" s="4" customFormat="1" ht="15" customHeight="1">
      <c r="A1625" s="28" t="s">
        <v>2168</v>
      </c>
      <c r="B1625" s="29">
        <v>3271.01</v>
      </c>
      <c r="C1625" s="30" t="s">
        <v>2472</v>
      </c>
      <c r="D1625" s="2">
        <v>4950722784</v>
      </c>
      <c r="E1625" s="2" t="s">
        <v>14</v>
      </c>
      <c r="F1625" s="78" t="s">
        <v>2473</v>
      </c>
      <c r="G1625" s="28" t="s">
        <v>13</v>
      </c>
      <c r="H1625" s="2" t="s">
        <v>23</v>
      </c>
      <c r="I1625" s="2">
        <v>1</v>
      </c>
      <c r="J1625" s="2"/>
      <c r="K1625" s="2">
        <v>1823.6</v>
      </c>
      <c r="L1625" s="35">
        <f t="shared" si="85"/>
        <v>5965013.8360000001</v>
      </c>
      <c r="M1625" s="36">
        <v>40</v>
      </c>
      <c r="N1625" s="40">
        <v>180240.815</v>
      </c>
      <c r="O1625" s="40">
        <v>0</v>
      </c>
      <c r="P1625" s="40">
        <v>0</v>
      </c>
      <c r="Q1625" s="40">
        <v>0</v>
      </c>
      <c r="R1625" s="40">
        <v>721</v>
      </c>
      <c r="S1625" s="40">
        <v>177178</v>
      </c>
      <c r="T1625" s="40">
        <v>30000</v>
      </c>
      <c r="U1625" s="40">
        <v>41063.333333333299</v>
      </c>
      <c r="V1625" s="40">
        <v>0</v>
      </c>
      <c r="W1625" s="45">
        <f t="shared" si="86"/>
        <v>429203.14833333332</v>
      </c>
      <c r="X1625" s="46">
        <f t="shared" si="87"/>
        <v>7.1953420416732348</v>
      </c>
    </row>
    <row r="1626" spans="1:24" s="4" customFormat="1" ht="15" customHeight="1">
      <c r="A1626" s="28" t="s">
        <v>2168</v>
      </c>
      <c r="B1626" s="29">
        <v>3271.01</v>
      </c>
      <c r="C1626" s="30" t="s">
        <v>2474</v>
      </c>
      <c r="D1626" s="2">
        <v>4950556393</v>
      </c>
      <c r="E1626" s="2" t="s">
        <v>36</v>
      </c>
      <c r="F1626" s="2" t="s">
        <v>2475</v>
      </c>
      <c r="G1626" s="28" t="s">
        <v>5</v>
      </c>
      <c r="H1626" s="2" t="s">
        <v>26</v>
      </c>
      <c r="I1626" s="2">
        <v>3</v>
      </c>
      <c r="J1626" s="2" t="s">
        <v>2476</v>
      </c>
      <c r="K1626" s="2">
        <v>120024.17</v>
      </c>
      <c r="L1626" s="35">
        <f t="shared" si="85"/>
        <v>392600260.31170005</v>
      </c>
      <c r="M1626" s="36">
        <v>75015.106</v>
      </c>
      <c r="N1626" s="40">
        <v>1007847</v>
      </c>
      <c r="O1626" s="40">
        <v>1518887</v>
      </c>
      <c r="P1626" s="40">
        <v>4997244</v>
      </c>
      <c r="Q1626" s="40">
        <v>372411</v>
      </c>
      <c r="R1626" s="40">
        <v>2767308</v>
      </c>
      <c r="S1626" s="40">
        <v>354356</v>
      </c>
      <c r="T1626" s="48"/>
      <c r="U1626" s="40">
        <v>0</v>
      </c>
      <c r="V1626" s="40">
        <v>0</v>
      </c>
      <c r="W1626" s="45">
        <f t="shared" si="86"/>
        <v>11018053</v>
      </c>
      <c r="X1626" s="46">
        <f t="shared" si="87"/>
        <v>2.8064303857700845</v>
      </c>
    </row>
    <row r="1627" spans="1:24" s="4" customFormat="1" ht="15" customHeight="1">
      <c r="A1627" s="28" t="s">
        <v>2168</v>
      </c>
      <c r="B1627" s="29">
        <v>3271.01</v>
      </c>
      <c r="C1627" s="30" t="s">
        <v>2477</v>
      </c>
      <c r="D1627" s="2">
        <v>4950003304</v>
      </c>
      <c r="E1627" s="2" t="s">
        <v>36</v>
      </c>
      <c r="F1627" s="2" t="s">
        <v>2478</v>
      </c>
      <c r="G1627" s="28" t="s">
        <v>5</v>
      </c>
      <c r="H1627" s="2" t="s">
        <v>26</v>
      </c>
      <c r="I1627" s="2">
        <v>2</v>
      </c>
      <c r="J1627" s="2" t="s">
        <v>2479</v>
      </c>
      <c r="K1627" s="2">
        <v>42630</v>
      </c>
      <c r="L1627" s="35">
        <f t="shared" si="85"/>
        <v>139443156.30000001</v>
      </c>
      <c r="M1627" s="36">
        <v>43500</v>
      </c>
      <c r="N1627" s="40">
        <v>672619.91791960702</v>
      </c>
      <c r="O1627" s="40">
        <v>1012580</v>
      </c>
      <c r="P1627" s="40">
        <v>2550351.3424363299</v>
      </c>
      <c r="Q1627" s="40">
        <v>248274</v>
      </c>
      <c r="R1627" s="40">
        <v>1823757.5339061101</v>
      </c>
      <c r="S1627" s="40">
        <v>118245.52009819</v>
      </c>
      <c r="T1627" s="48"/>
      <c r="U1627" s="40">
        <v>0</v>
      </c>
      <c r="V1627" s="40">
        <v>0</v>
      </c>
      <c r="W1627" s="45">
        <f t="shared" si="86"/>
        <v>6425828.3143602358</v>
      </c>
      <c r="X1627" s="46">
        <f t="shared" si="87"/>
        <v>4.6082063005914868</v>
      </c>
    </row>
    <row r="1628" spans="1:24" s="4" customFormat="1" ht="15" customHeight="1">
      <c r="A1628" s="28" t="s">
        <v>2168</v>
      </c>
      <c r="B1628" s="29">
        <v>3271.01</v>
      </c>
      <c r="C1628" s="30" t="s">
        <v>2477</v>
      </c>
      <c r="D1628" s="2">
        <v>4950184128</v>
      </c>
      <c r="E1628" s="2" t="s">
        <v>36</v>
      </c>
      <c r="F1628" s="2" t="s">
        <v>2478</v>
      </c>
      <c r="G1628" s="28" t="s">
        <v>5</v>
      </c>
      <c r="H1628" s="2" t="s">
        <v>26</v>
      </c>
      <c r="I1628" s="2">
        <v>4</v>
      </c>
      <c r="J1628" s="2" t="s">
        <v>2480</v>
      </c>
      <c r="K1628" s="2">
        <v>85122.8</v>
      </c>
      <c r="L1628" s="35">
        <f t="shared" si="85"/>
        <v>278437530.02800006</v>
      </c>
      <c r="M1628" s="36">
        <v>86860</v>
      </c>
      <c r="N1628" s="40">
        <v>1343075.0820803901</v>
      </c>
      <c r="O1628" s="40">
        <v>2025161</v>
      </c>
      <c r="P1628" s="40">
        <v>5092494.6575636696</v>
      </c>
      <c r="Q1628" s="40">
        <v>496548</v>
      </c>
      <c r="R1628" s="40">
        <v>3641644.4660938899</v>
      </c>
      <c r="S1628" s="40">
        <v>236110.47990181</v>
      </c>
      <c r="T1628" s="48"/>
      <c r="U1628" s="40">
        <v>0</v>
      </c>
      <c r="V1628" s="40">
        <v>0</v>
      </c>
      <c r="W1628" s="45">
        <f t="shared" si="86"/>
        <v>12835033.68563976</v>
      </c>
      <c r="X1628" s="46">
        <f t="shared" si="87"/>
        <v>4.6096636772884212</v>
      </c>
    </row>
    <row r="1629" spans="1:24" s="4" customFormat="1" ht="15" customHeight="1">
      <c r="A1629" s="28" t="s">
        <v>2168</v>
      </c>
      <c r="B1629" s="29">
        <v>3271.01</v>
      </c>
      <c r="C1629" s="30" t="s">
        <v>2481</v>
      </c>
      <c r="D1629" s="2">
        <v>4950003302</v>
      </c>
      <c r="E1629" s="2" t="s">
        <v>36</v>
      </c>
      <c r="F1629" s="2" t="s">
        <v>2482</v>
      </c>
      <c r="G1629" s="28" t="s">
        <v>5</v>
      </c>
      <c r="H1629" s="2" t="s">
        <v>26</v>
      </c>
      <c r="I1629" s="2">
        <v>4</v>
      </c>
      <c r="J1629" s="2" t="s">
        <v>2483</v>
      </c>
      <c r="K1629" s="2">
        <v>82770.8</v>
      </c>
      <c r="L1629" s="35">
        <f t="shared" si="85"/>
        <v>270744114.50800002</v>
      </c>
      <c r="M1629" s="36">
        <v>84460</v>
      </c>
      <c r="N1629" s="40">
        <v>1339251.0989616101</v>
      </c>
      <c r="O1629" s="40">
        <v>2025161</v>
      </c>
      <c r="P1629" s="40">
        <v>5077995.3835745798</v>
      </c>
      <c r="Q1629" s="40">
        <v>496548</v>
      </c>
      <c r="R1629" s="40">
        <v>3631276.68281938</v>
      </c>
      <c r="S1629" s="40">
        <v>235438.22970421601</v>
      </c>
      <c r="T1629" s="48"/>
      <c r="U1629" s="40">
        <v>0</v>
      </c>
      <c r="V1629" s="40">
        <v>0</v>
      </c>
      <c r="W1629" s="45">
        <f t="shared" si="86"/>
        <v>12805670.395059785</v>
      </c>
      <c r="X1629" s="46">
        <f t="shared" si="87"/>
        <v>4.7298056389260497</v>
      </c>
    </row>
    <row r="1630" spans="1:24" s="4" customFormat="1" ht="15" customHeight="1">
      <c r="A1630" s="28" t="s">
        <v>2168</v>
      </c>
      <c r="B1630" s="29">
        <v>3271.01</v>
      </c>
      <c r="C1630" s="30" t="s">
        <v>2481</v>
      </c>
      <c r="D1630" s="2">
        <v>4950003304</v>
      </c>
      <c r="E1630" s="2" t="s">
        <v>36</v>
      </c>
      <c r="F1630" s="2" t="s">
        <v>2482</v>
      </c>
      <c r="G1630" s="28" t="s">
        <v>5</v>
      </c>
      <c r="H1630" s="2" t="s">
        <v>26</v>
      </c>
      <c r="I1630" s="2">
        <v>2</v>
      </c>
      <c r="J1630" s="2" t="s">
        <v>2484</v>
      </c>
      <c r="K1630" s="2">
        <v>41806.800000000003</v>
      </c>
      <c r="L1630" s="35">
        <f t="shared" si="85"/>
        <v>136750460.86800003</v>
      </c>
      <c r="M1630" s="36">
        <v>42660</v>
      </c>
      <c r="N1630" s="40">
        <v>676443.90103838895</v>
      </c>
      <c r="O1630" s="40">
        <v>1012580</v>
      </c>
      <c r="P1630" s="40">
        <v>2564850.6164254202</v>
      </c>
      <c r="Q1630" s="40">
        <v>248274</v>
      </c>
      <c r="R1630" s="40">
        <v>1834125.31718062</v>
      </c>
      <c r="S1630" s="40">
        <v>118917.77029578399</v>
      </c>
      <c r="T1630" s="48"/>
      <c r="U1630" s="40">
        <v>0</v>
      </c>
      <c r="V1630" s="40">
        <v>0</v>
      </c>
      <c r="W1630" s="45">
        <f t="shared" si="86"/>
        <v>6455191.6049402133</v>
      </c>
      <c r="X1630" s="46">
        <f t="shared" si="87"/>
        <v>4.7204167093602418</v>
      </c>
    </row>
    <row r="1631" spans="1:24" s="4" customFormat="1" ht="15" customHeight="1">
      <c r="A1631" s="28" t="s">
        <v>2168</v>
      </c>
      <c r="B1631" s="29">
        <v>3271.01</v>
      </c>
      <c r="C1631" s="30" t="s">
        <v>2485</v>
      </c>
      <c r="D1631" s="2">
        <v>4950184129</v>
      </c>
      <c r="E1631" s="2" t="s">
        <v>36</v>
      </c>
      <c r="F1631" s="2" t="s">
        <v>2486</v>
      </c>
      <c r="G1631" s="28" t="s">
        <v>5</v>
      </c>
      <c r="H1631" s="2" t="s">
        <v>26</v>
      </c>
      <c r="I1631" s="2">
        <v>3</v>
      </c>
      <c r="J1631" s="2" t="s">
        <v>2487</v>
      </c>
      <c r="K1631" s="2">
        <v>63739.199999999997</v>
      </c>
      <c r="L1631" s="35">
        <f t="shared" si="85"/>
        <v>208491560.59200001</v>
      </c>
      <c r="M1631" s="36">
        <v>65040</v>
      </c>
      <c r="N1631" s="40">
        <v>333160.08610086102</v>
      </c>
      <c r="O1631" s="40">
        <v>1518887</v>
      </c>
      <c r="P1631" s="40">
        <v>1263231.4421894201</v>
      </c>
      <c r="Q1631" s="40">
        <v>372411</v>
      </c>
      <c r="R1631" s="40">
        <v>910153.14913899102</v>
      </c>
      <c r="S1631" s="40">
        <v>117137.976629766</v>
      </c>
      <c r="T1631" s="48"/>
      <c r="U1631" s="40">
        <v>0</v>
      </c>
      <c r="V1631" s="40">
        <v>0</v>
      </c>
      <c r="W1631" s="45">
        <f t="shared" si="86"/>
        <v>4514980.6540590376</v>
      </c>
      <c r="X1631" s="46">
        <f t="shared" si="87"/>
        <v>2.1655460015930643</v>
      </c>
    </row>
    <row r="1632" spans="1:24" s="4" customFormat="1" ht="15" customHeight="1">
      <c r="A1632" s="28" t="s">
        <v>2168</v>
      </c>
      <c r="B1632" s="29">
        <v>3271.01</v>
      </c>
      <c r="C1632" s="30" t="s">
        <v>2488</v>
      </c>
      <c r="D1632" s="2">
        <v>4948665437</v>
      </c>
      <c r="E1632" s="2" t="s">
        <v>10</v>
      </c>
      <c r="F1632" s="2" t="s">
        <v>2489</v>
      </c>
      <c r="G1632" s="28" t="s">
        <v>5</v>
      </c>
      <c r="H1632" s="2" t="s">
        <v>17</v>
      </c>
      <c r="I1632" s="2">
        <v>1</v>
      </c>
      <c r="J1632" s="2" t="s">
        <v>2490</v>
      </c>
      <c r="K1632" s="2">
        <v>23155.200000000001</v>
      </c>
      <c r="L1632" s="35">
        <f t="shared" si="85"/>
        <v>75740890.752000004</v>
      </c>
      <c r="M1632" s="36">
        <f>4320+4320</f>
        <v>8640</v>
      </c>
      <c r="N1632" s="40">
        <v>319544</v>
      </c>
      <c r="O1632" s="40">
        <v>543322</v>
      </c>
      <c r="P1632" s="40">
        <v>0</v>
      </c>
      <c r="Q1632" s="40">
        <v>124137</v>
      </c>
      <c r="R1632" s="40">
        <v>916452</v>
      </c>
      <c r="S1632" s="40">
        <v>708712</v>
      </c>
      <c r="T1632" s="48"/>
      <c r="U1632" s="40">
        <v>1600500</v>
      </c>
      <c r="V1632" s="40">
        <v>0</v>
      </c>
      <c r="W1632" s="45">
        <f t="shared" si="86"/>
        <v>4212667</v>
      </c>
      <c r="X1632" s="46">
        <f t="shared" si="87"/>
        <v>5.5619454143913147</v>
      </c>
    </row>
    <row r="1633" spans="1:24" s="4" customFormat="1" ht="15" customHeight="1">
      <c r="A1633" s="28" t="s">
        <v>2168</v>
      </c>
      <c r="B1633" s="29">
        <v>3271.01</v>
      </c>
      <c r="C1633" s="30" t="s">
        <v>2491</v>
      </c>
      <c r="D1633" s="2">
        <v>4949389438</v>
      </c>
      <c r="E1633" s="2" t="s">
        <v>36</v>
      </c>
      <c r="F1633" s="78" t="s">
        <v>2492</v>
      </c>
      <c r="G1633" s="28" t="s">
        <v>5</v>
      </c>
      <c r="H1633" s="2" t="s">
        <v>26</v>
      </c>
      <c r="I1633" s="2">
        <v>4</v>
      </c>
      <c r="J1633" s="2" t="s">
        <v>2493</v>
      </c>
      <c r="K1633" s="2">
        <v>73479.3</v>
      </c>
      <c r="L1633" s="35">
        <f t="shared" si="85"/>
        <v>240351525.09300002</v>
      </c>
      <c r="M1633" s="36">
        <v>79010</v>
      </c>
      <c r="N1633" s="40">
        <v>1330965</v>
      </c>
      <c r="O1633" s="40">
        <v>2025161</v>
      </c>
      <c r="P1633" s="40">
        <v>6599369</v>
      </c>
      <c r="Q1633" s="40">
        <v>496548</v>
      </c>
      <c r="R1633" s="40">
        <v>3667290</v>
      </c>
      <c r="S1633" s="40">
        <v>354356</v>
      </c>
      <c r="T1633" s="48"/>
      <c r="U1633" s="40">
        <v>0</v>
      </c>
      <c r="V1633" s="40">
        <v>0</v>
      </c>
      <c r="W1633" s="45">
        <f t="shared" si="86"/>
        <v>14473689</v>
      </c>
      <c r="X1633" s="46">
        <f t="shared" si="87"/>
        <v>6.0218835700749755</v>
      </c>
    </row>
    <row r="1634" spans="1:24" s="4" customFormat="1" ht="15" customHeight="1">
      <c r="A1634" s="28" t="s">
        <v>2168</v>
      </c>
      <c r="B1634" s="29">
        <v>3271.01</v>
      </c>
      <c r="C1634" s="30" t="s">
        <v>2494</v>
      </c>
      <c r="D1634" s="2">
        <v>4950003306</v>
      </c>
      <c r="E1634" s="2" t="s">
        <v>36</v>
      </c>
      <c r="F1634" s="2" t="s">
        <v>2495</v>
      </c>
      <c r="G1634" s="28" t="s">
        <v>5</v>
      </c>
      <c r="H1634" s="2" t="s">
        <v>26</v>
      </c>
      <c r="I1634" s="2">
        <v>4</v>
      </c>
      <c r="J1634" s="2" t="s">
        <v>2496</v>
      </c>
      <c r="K1634" s="2">
        <v>84828.800000000003</v>
      </c>
      <c r="L1634" s="35">
        <f t="shared" si="85"/>
        <v>277475853.088</v>
      </c>
      <c r="M1634" s="36">
        <v>86560</v>
      </c>
      <c r="N1634" s="40">
        <v>1343797</v>
      </c>
      <c r="O1634" s="40">
        <v>2025161</v>
      </c>
      <c r="P1634" s="40">
        <v>6271052</v>
      </c>
      <c r="Q1634" s="40">
        <v>496548</v>
      </c>
      <c r="R1634" s="40">
        <v>3696155</v>
      </c>
      <c r="S1634" s="40">
        <v>354356</v>
      </c>
      <c r="T1634" s="48"/>
      <c r="U1634" s="40">
        <v>0</v>
      </c>
      <c r="V1634" s="40">
        <v>0</v>
      </c>
      <c r="W1634" s="45">
        <f t="shared" si="86"/>
        <v>14187069</v>
      </c>
      <c r="X1634" s="46">
        <f t="shared" si="87"/>
        <v>5.1129022010793301</v>
      </c>
    </row>
    <row r="1635" spans="1:24" s="4" customFormat="1" ht="15" customHeight="1">
      <c r="A1635" s="28" t="s">
        <v>2168</v>
      </c>
      <c r="B1635" s="29">
        <v>3271.01</v>
      </c>
      <c r="C1635" s="30" t="s">
        <v>2497</v>
      </c>
      <c r="D1635" s="2">
        <v>4950130443</v>
      </c>
      <c r="E1635" s="2" t="s">
        <v>21</v>
      </c>
      <c r="F1635" s="2" t="s">
        <v>2498</v>
      </c>
      <c r="G1635" s="28" t="s">
        <v>9</v>
      </c>
      <c r="H1635" s="2" t="s">
        <v>23</v>
      </c>
      <c r="I1635" s="2">
        <v>2</v>
      </c>
      <c r="J1635" s="2"/>
      <c r="K1635" s="2">
        <v>8177.6</v>
      </c>
      <c r="L1635" s="35">
        <f t="shared" si="85"/>
        <v>26749011.376000002</v>
      </c>
      <c r="M1635" s="36">
        <v>1520</v>
      </c>
      <c r="N1635" s="40">
        <v>334719</v>
      </c>
      <c r="O1635" s="40">
        <v>1117</v>
      </c>
      <c r="P1635" s="40">
        <v>17289</v>
      </c>
      <c r="Q1635" s="40">
        <v>27076</v>
      </c>
      <c r="R1635" s="40">
        <v>112204</v>
      </c>
      <c r="S1635" s="40">
        <v>354356</v>
      </c>
      <c r="T1635" s="48"/>
      <c r="U1635" s="40">
        <v>252200</v>
      </c>
      <c r="V1635" s="40">
        <v>0</v>
      </c>
      <c r="W1635" s="45">
        <f t="shared" si="86"/>
        <v>1098961</v>
      </c>
      <c r="X1635" s="46">
        <f t="shared" si="87"/>
        <v>4.1084172590618442</v>
      </c>
    </row>
    <row r="1636" spans="1:24" s="4" customFormat="1" ht="15" customHeight="1">
      <c r="A1636" s="28" t="s">
        <v>2168</v>
      </c>
      <c r="B1636" s="29">
        <v>3271.01</v>
      </c>
      <c r="C1636" s="30" t="s">
        <v>2499</v>
      </c>
      <c r="D1636" s="2">
        <v>4950210629</v>
      </c>
      <c r="E1636" s="2" t="s">
        <v>14</v>
      </c>
      <c r="F1636" s="2" t="s">
        <v>2500</v>
      </c>
      <c r="G1636" s="28" t="s">
        <v>5</v>
      </c>
      <c r="H1636" s="2" t="s">
        <v>17</v>
      </c>
      <c r="I1636" s="2">
        <v>1</v>
      </c>
      <c r="J1636" s="2" t="s">
        <v>2501</v>
      </c>
      <c r="K1636" s="2">
        <v>297.60000000000002</v>
      </c>
      <c r="L1636" s="35">
        <f t="shared" si="85"/>
        <v>973452.57600000012</v>
      </c>
      <c r="M1636" s="36">
        <v>40</v>
      </c>
      <c r="N1636" s="40">
        <v>821.58271604938295</v>
      </c>
      <c r="O1636" s="40">
        <v>1076.44444444444</v>
      </c>
      <c r="P1636" s="40">
        <v>0</v>
      </c>
      <c r="Q1636" s="40">
        <v>245.207407407407</v>
      </c>
      <c r="R1636" s="40">
        <v>1649.4395061728401</v>
      </c>
      <c r="S1636" s="40">
        <v>874.95308641975305</v>
      </c>
      <c r="T1636" s="40">
        <v>30000</v>
      </c>
      <c r="U1636" s="40">
        <v>13448.2716049383</v>
      </c>
      <c r="V1636" s="40">
        <v>0</v>
      </c>
      <c r="W1636" s="45">
        <f t="shared" si="86"/>
        <v>48115.898765432124</v>
      </c>
      <c r="X1636" s="46">
        <f t="shared" si="87"/>
        <v>4.9428087152580629</v>
      </c>
    </row>
    <row r="1637" spans="1:24" s="4" customFormat="1" ht="15" customHeight="1">
      <c r="A1637" s="28" t="s">
        <v>2168</v>
      </c>
      <c r="B1637" s="29">
        <v>3271.01</v>
      </c>
      <c r="C1637" s="30" t="s">
        <v>2499</v>
      </c>
      <c r="D1637" s="2">
        <v>4949532997</v>
      </c>
      <c r="E1637" s="2" t="s">
        <v>14</v>
      </c>
      <c r="F1637" s="2" t="s">
        <v>2500</v>
      </c>
      <c r="G1637" s="28" t="s">
        <v>5</v>
      </c>
      <c r="H1637" s="2" t="s">
        <v>17</v>
      </c>
      <c r="I1637" s="2">
        <v>1</v>
      </c>
      <c r="J1637" s="2" t="s">
        <v>2501</v>
      </c>
      <c r="K1637" s="2">
        <v>2145.5</v>
      </c>
      <c r="L1637" s="35">
        <f t="shared" si="85"/>
        <v>7017951.9550000001</v>
      </c>
      <c r="M1637" s="36">
        <v>350</v>
      </c>
      <c r="N1637" s="40">
        <v>7188.8487654320998</v>
      </c>
      <c r="O1637" s="40">
        <v>9418.8888888888905</v>
      </c>
      <c r="P1637" s="40">
        <v>0</v>
      </c>
      <c r="Q1637" s="40">
        <v>2145.5648148148098</v>
      </c>
      <c r="R1637" s="40">
        <v>14429.5956790123</v>
      </c>
      <c r="S1637" s="40">
        <v>7655.8395061728397</v>
      </c>
      <c r="T1637" s="40">
        <v>30000</v>
      </c>
      <c r="U1637" s="40">
        <v>117672.37654321</v>
      </c>
      <c r="V1637" s="40">
        <v>0</v>
      </c>
      <c r="W1637" s="45">
        <f t="shared" si="86"/>
        <v>188511.11419753096</v>
      </c>
      <c r="X1637" s="46">
        <f t="shared" si="87"/>
        <v>2.6861271693834352</v>
      </c>
    </row>
    <row r="1638" spans="1:24" s="4" customFormat="1" ht="15" customHeight="1">
      <c r="A1638" s="28" t="s">
        <v>2168</v>
      </c>
      <c r="B1638" s="29">
        <v>3271.01</v>
      </c>
      <c r="C1638" s="30" t="s">
        <v>2499</v>
      </c>
      <c r="D1638" s="2">
        <v>4950058287</v>
      </c>
      <c r="E1638" s="2" t="s">
        <v>14</v>
      </c>
      <c r="F1638" s="2" t="s">
        <v>2500</v>
      </c>
      <c r="G1638" s="28" t="s">
        <v>5</v>
      </c>
      <c r="H1638" s="2" t="s">
        <v>17</v>
      </c>
      <c r="I1638" s="2">
        <v>1</v>
      </c>
      <c r="J1638" s="2" t="s">
        <v>2501</v>
      </c>
      <c r="K1638" s="2">
        <v>2115.6</v>
      </c>
      <c r="L1638" s="35">
        <f t="shared" si="85"/>
        <v>6920148.7560000001</v>
      </c>
      <c r="M1638" s="36">
        <v>410</v>
      </c>
      <c r="N1638" s="40">
        <v>8421.2228395061702</v>
      </c>
      <c r="O1638" s="40">
        <v>11033.5555555556</v>
      </c>
      <c r="P1638" s="40">
        <v>0</v>
      </c>
      <c r="Q1638" s="40">
        <v>2513.37592592593</v>
      </c>
      <c r="R1638" s="40">
        <v>16902.754938271599</v>
      </c>
      <c r="S1638" s="40">
        <v>8968.2691358024695</v>
      </c>
      <c r="T1638" s="40">
        <v>30000</v>
      </c>
      <c r="U1638" s="40">
        <v>137844.78395061701</v>
      </c>
      <c r="V1638" s="40">
        <v>0</v>
      </c>
      <c r="W1638" s="45">
        <f t="shared" si="86"/>
        <v>215683.96234567877</v>
      </c>
      <c r="X1638" s="46">
        <f t="shared" si="87"/>
        <v>3.1167532657253005</v>
      </c>
    </row>
    <row r="1639" spans="1:24" s="4" customFormat="1" ht="15" customHeight="1">
      <c r="A1639" s="28" t="s">
        <v>2168</v>
      </c>
      <c r="B1639" s="29">
        <v>3271.01</v>
      </c>
      <c r="C1639" s="30" t="s">
        <v>2499</v>
      </c>
      <c r="D1639" s="2">
        <v>4950058287</v>
      </c>
      <c r="E1639" s="2" t="s">
        <v>14</v>
      </c>
      <c r="F1639" s="2" t="s">
        <v>2500</v>
      </c>
      <c r="G1639" s="28" t="s">
        <v>5</v>
      </c>
      <c r="H1639" s="2" t="s">
        <v>17</v>
      </c>
      <c r="I1639" s="2">
        <v>1</v>
      </c>
      <c r="J1639" s="2" t="s">
        <v>2501</v>
      </c>
      <c r="K1639" s="2">
        <v>16216.2</v>
      </c>
      <c r="L1639" s="35">
        <f t="shared" si="85"/>
        <v>53043352.362000003</v>
      </c>
      <c r="M1639" s="36">
        <v>4620</v>
      </c>
      <c r="N1639" s="40">
        <v>94892.803703703699</v>
      </c>
      <c r="O1639" s="40">
        <v>124329.33333333299</v>
      </c>
      <c r="P1639" s="40">
        <v>0</v>
      </c>
      <c r="Q1639" s="40">
        <v>28321.4555555556</v>
      </c>
      <c r="R1639" s="40">
        <v>190464.262962963</v>
      </c>
      <c r="S1639" s="40">
        <v>101057.081481481</v>
      </c>
      <c r="T1639" s="40">
        <v>30000</v>
      </c>
      <c r="U1639" s="40">
        <v>1553275.3703703701</v>
      </c>
      <c r="V1639" s="40">
        <v>0</v>
      </c>
      <c r="W1639" s="45">
        <f t="shared" si="86"/>
        <v>2122340.3074074062</v>
      </c>
      <c r="X1639" s="46">
        <f t="shared" si="87"/>
        <v>4.0011428631495027</v>
      </c>
    </row>
    <row r="1640" spans="1:24" s="4" customFormat="1" ht="15" customHeight="1">
      <c r="A1640" s="28" t="s">
        <v>2168</v>
      </c>
      <c r="B1640" s="29">
        <v>3271.01</v>
      </c>
      <c r="C1640" s="30" t="s">
        <v>2499</v>
      </c>
      <c r="D1640" s="2">
        <v>4950210629</v>
      </c>
      <c r="E1640" s="2" t="s">
        <v>14</v>
      </c>
      <c r="F1640" s="2" t="s">
        <v>2500</v>
      </c>
      <c r="G1640" s="28" t="s">
        <v>5</v>
      </c>
      <c r="H1640" s="2" t="s">
        <v>17</v>
      </c>
      <c r="I1640" s="2">
        <v>1</v>
      </c>
      <c r="J1640" s="2" t="s">
        <v>2501</v>
      </c>
      <c r="K1640" s="2">
        <v>25401.599999999999</v>
      </c>
      <c r="L1640" s="35">
        <f t="shared" si="85"/>
        <v>83088887.615999997</v>
      </c>
      <c r="M1640" s="36">
        <v>10080</v>
      </c>
      <c r="N1640" s="40">
        <v>207038.844444444</v>
      </c>
      <c r="O1640" s="40">
        <v>271264</v>
      </c>
      <c r="P1640" s="40">
        <v>0</v>
      </c>
      <c r="Q1640" s="40">
        <v>61792.266666666699</v>
      </c>
      <c r="R1640" s="40">
        <v>415558.75555555598</v>
      </c>
      <c r="S1640" s="40">
        <v>220488.17777777801</v>
      </c>
      <c r="T1640" s="40">
        <v>30000</v>
      </c>
      <c r="U1640" s="40">
        <v>3388964.4444444398</v>
      </c>
      <c r="V1640" s="40">
        <v>0</v>
      </c>
      <c r="W1640" s="45">
        <f t="shared" si="86"/>
        <v>4595106.488888884</v>
      </c>
      <c r="X1640" s="46">
        <f t="shared" si="87"/>
        <v>5.5303502318209254</v>
      </c>
    </row>
    <row r="1641" spans="1:24" s="4" customFormat="1" ht="15" customHeight="1">
      <c r="A1641" s="28" t="s">
        <v>2168</v>
      </c>
      <c r="B1641" s="29">
        <v>3271.01</v>
      </c>
      <c r="C1641" s="30" t="s">
        <v>2499</v>
      </c>
      <c r="D1641" s="2">
        <v>4950363247</v>
      </c>
      <c r="E1641" s="2" t="s">
        <v>14</v>
      </c>
      <c r="F1641" s="2" t="s">
        <v>2500</v>
      </c>
      <c r="G1641" s="28" t="s">
        <v>5</v>
      </c>
      <c r="H1641" s="2" t="s">
        <v>17</v>
      </c>
      <c r="I1641" s="2">
        <v>1</v>
      </c>
      <c r="J1641" s="2" t="s">
        <v>2501</v>
      </c>
      <c r="K1641" s="2">
        <v>2492.6999999999998</v>
      </c>
      <c r="L1641" s="35">
        <f t="shared" si="85"/>
        <v>8153646.6270000003</v>
      </c>
      <c r="M1641" s="36">
        <v>700</v>
      </c>
      <c r="N1641" s="40">
        <v>14377.6975308642</v>
      </c>
      <c r="O1641" s="40">
        <v>18837.777777777799</v>
      </c>
      <c r="P1641" s="40">
        <v>0</v>
      </c>
      <c r="Q1641" s="40">
        <v>4291.1296296296296</v>
      </c>
      <c r="R1641" s="40">
        <v>28858.191358024698</v>
      </c>
      <c r="S1641" s="40">
        <v>15311.679012345699</v>
      </c>
      <c r="T1641" s="40">
        <v>30000</v>
      </c>
      <c r="U1641" s="40">
        <v>235344.75308642001</v>
      </c>
      <c r="V1641" s="40">
        <v>0</v>
      </c>
      <c r="W1641" s="45">
        <f t="shared" si="86"/>
        <v>347021.22839506203</v>
      </c>
      <c r="X1641" s="46">
        <f t="shared" si="87"/>
        <v>4.2560248716928113</v>
      </c>
    </row>
    <row r="1642" spans="1:24" s="4" customFormat="1" ht="15" customHeight="1">
      <c r="A1642" s="28" t="s">
        <v>2168</v>
      </c>
      <c r="B1642" s="29">
        <v>3271.01</v>
      </c>
      <c r="C1642" s="30" t="s">
        <v>2502</v>
      </c>
      <c r="D1642" s="2">
        <v>4950280526</v>
      </c>
      <c r="E1642" s="2" t="s">
        <v>38</v>
      </c>
      <c r="F1642" s="2" t="s">
        <v>2503</v>
      </c>
      <c r="G1642" s="28" t="s">
        <v>5</v>
      </c>
      <c r="H1642" s="2" t="s">
        <v>17</v>
      </c>
      <c r="I1642" s="2">
        <v>1</v>
      </c>
      <c r="J1642" s="2" t="s">
        <v>2504</v>
      </c>
      <c r="K1642" s="2">
        <v>21732.2</v>
      </c>
      <c r="L1642" s="35">
        <f t="shared" si="85"/>
        <v>71086243.522</v>
      </c>
      <c r="M1642" s="36">
        <v>16340</v>
      </c>
      <c r="N1642" s="40">
        <v>376819.50475285202</v>
      </c>
      <c r="O1642" s="40">
        <v>338573.49809885898</v>
      </c>
      <c r="P1642" s="40">
        <v>0</v>
      </c>
      <c r="Q1642" s="40">
        <v>77124.955323193906</v>
      </c>
      <c r="R1642" s="40">
        <v>581527.51425855502</v>
      </c>
      <c r="S1642" s="40">
        <v>275198.52851710998</v>
      </c>
      <c r="T1642" s="48"/>
      <c r="U1642" s="40">
        <v>410829.847908745</v>
      </c>
      <c r="V1642" s="40">
        <v>0</v>
      </c>
      <c r="W1642" s="45">
        <f t="shared" si="86"/>
        <v>2060073.848859315</v>
      </c>
      <c r="X1642" s="46">
        <f t="shared" si="87"/>
        <v>2.8979922792259472</v>
      </c>
    </row>
    <row r="1643" spans="1:24" s="4" customFormat="1" ht="15" customHeight="1">
      <c r="A1643" s="28" t="s">
        <v>2168</v>
      </c>
      <c r="B1643" s="29">
        <v>3271.01</v>
      </c>
      <c r="C1643" s="30" t="s">
        <v>2502</v>
      </c>
      <c r="D1643" s="2">
        <v>4950280531</v>
      </c>
      <c r="E1643" s="2" t="s">
        <v>38</v>
      </c>
      <c r="F1643" s="2" t="s">
        <v>2503</v>
      </c>
      <c r="G1643" s="28" t="s">
        <v>5</v>
      </c>
      <c r="H1643" s="2" t="s">
        <v>17</v>
      </c>
      <c r="I1643" s="2">
        <v>1</v>
      </c>
      <c r="J1643" s="2" t="s">
        <v>2504</v>
      </c>
      <c r="K1643" s="2">
        <v>3780</v>
      </c>
      <c r="L1643" s="35">
        <f t="shared" si="85"/>
        <v>12364417.800000001</v>
      </c>
      <c r="M1643" s="36">
        <v>2800</v>
      </c>
      <c r="N1643" s="40">
        <v>64571.2737642586</v>
      </c>
      <c r="O1643" s="40">
        <v>58017.490494296602</v>
      </c>
      <c r="P1643" s="40">
        <v>0</v>
      </c>
      <c r="Q1643" s="40">
        <v>13216.0266159696</v>
      </c>
      <c r="R1643" s="40">
        <v>99649.821292775698</v>
      </c>
      <c r="S1643" s="40">
        <v>47157.642585551301</v>
      </c>
      <c r="T1643" s="48"/>
      <c r="U1643" s="40">
        <v>70399.239543726202</v>
      </c>
      <c r="V1643" s="40">
        <v>0</v>
      </c>
      <c r="W1643" s="45">
        <f t="shared" si="86"/>
        <v>353011.49429657799</v>
      </c>
      <c r="X1643" s="46">
        <f t="shared" si="87"/>
        <v>2.8550595750377989</v>
      </c>
    </row>
    <row r="1644" spans="1:24" s="4" customFormat="1" ht="15" customHeight="1">
      <c r="A1644" s="28" t="s">
        <v>2168</v>
      </c>
      <c r="B1644" s="29">
        <v>3271.01</v>
      </c>
      <c r="C1644" s="30" t="s">
        <v>2502</v>
      </c>
      <c r="D1644" s="2">
        <v>4950280538</v>
      </c>
      <c r="E1644" s="2" t="s">
        <v>38</v>
      </c>
      <c r="F1644" s="2" t="s">
        <v>2503</v>
      </c>
      <c r="G1644" s="28" t="s">
        <v>5</v>
      </c>
      <c r="H1644" s="2" t="s">
        <v>17</v>
      </c>
      <c r="I1644" s="2">
        <v>1</v>
      </c>
      <c r="J1644" s="2" t="s">
        <v>2504</v>
      </c>
      <c r="K1644" s="2">
        <v>2622</v>
      </c>
      <c r="L1644" s="35">
        <f t="shared" si="85"/>
        <v>8576588.2200000007</v>
      </c>
      <c r="M1644" s="36">
        <v>1900</v>
      </c>
      <c r="N1644" s="40">
        <v>43816.221482889698</v>
      </c>
      <c r="O1644" s="40">
        <v>39369.011406844103</v>
      </c>
      <c r="P1644" s="40">
        <v>0</v>
      </c>
      <c r="Q1644" s="40">
        <v>8968.0180608365008</v>
      </c>
      <c r="R1644" s="40">
        <v>67619.664448669195</v>
      </c>
      <c r="S1644" s="40">
        <v>31999.828897338401</v>
      </c>
      <c r="T1644" s="48"/>
      <c r="U1644" s="40">
        <v>47770.912547528504</v>
      </c>
      <c r="V1644" s="40">
        <v>0</v>
      </c>
      <c r="W1644" s="45">
        <f t="shared" si="86"/>
        <v>239543.65684410642</v>
      </c>
      <c r="X1644" s="46">
        <f t="shared" si="87"/>
        <v>2.7929947282009815</v>
      </c>
    </row>
    <row r="1645" spans="1:24" s="4" customFormat="1" ht="15" customHeight="1">
      <c r="A1645" s="28" t="s">
        <v>2168</v>
      </c>
      <c r="B1645" s="29">
        <v>3271.01</v>
      </c>
      <c r="C1645" s="30" t="s">
        <v>2505</v>
      </c>
      <c r="D1645" s="2">
        <v>4949662468</v>
      </c>
      <c r="E1645" s="2" t="s">
        <v>14</v>
      </c>
      <c r="F1645" s="2" t="s">
        <v>2506</v>
      </c>
      <c r="G1645" s="28" t="s">
        <v>5</v>
      </c>
      <c r="H1645" s="2" t="s">
        <v>17</v>
      </c>
      <c r="I1645" s="2">
        <v>1</v>
      </c>
      <c r="J1645" s="2" t="s">
        <v>2507</v>
      </c>
      <c r="K1645" s="2">
        <v>2427.1999999999998</v>
      </c>
      <c r="L1645" s="35">
        <f t="shared" si="85"/>
        <v>7939395.4720000001</v>
      </c>
      <c r="M1645" s="36">
        <v>820</v>
      </c>
      <c r="N1645" s="40">
        <v>12533.1933853927</v>
      </c>
      <c r="O1645" s="40">
        <v>16421.0932475884</v>
      </c>
      <c r="P1645" s="40">
        <v>0</v>
      </c>
      <c r="Q1645" s="40">
        <v>3740.6237942122202</v>
      </c>
      <c r="R1645" s="40">
        <v>25433.695452457501</v>
      </c>
      <c r="S1645" s="40">
        <v>13347.3550757924</v>
      </c>
      <c r="T1645" s="40">
        <v>30000</v>
      </c>
      <c r="U1645" s="40">
        <v>214286.678915939</v>
      </c>
      <c r="V1645" s="40">
        <v>0</v>
      </c>
      <c r="W1645" s="45">
        <f t="shared" si="86"/>
        <v>315762.63987138221</v>
      </c>
      <c r="X1645" s="46">
        <f t="shared" si="87"/>
        <v>3.9771622535366538</v>
      </c>
    </row>
    <row r="1646" spans="1:24" s="4" customFormat="1" ht="15" customHeight="1">
      <c r="A1646" s="28" t="s">
        <v>2168</v>
      </c>
      <c r="B1646" s="29">
        <v>3271.01</v>
      </c>
      <c r="C1646" s="30" t="s">
        <v>2505</v>
      </c>
      <c r="D1646" s="2">
        <v>4949662468</v>
      </c>
      <c r="E1646" s="2" t="s">
        <v>14</v>
      </c>
      <c r="F1646" s="2" t="s">
        <v>2506</v>
      </c>
      <c r="G1646" s="28" t="s">
        <v>5</v>
      </c>
      <c r="H1646" s="2" t="s">
        <v>17</v>
      </c>
      <c r="I1646" s="2">
        <v>1</v>
      </c>
      <c r="J1646" s="2" t="s">
        <v>2507</v>
      </c>
      <c r="K1646" s="2">
        <v>14742</v>
      </c>
      <c r="L1646" s="35">
        <f t="shared" si="85"/>
        <v>48221229.420000002</v>
      </c>
      <c r="M1646" s="36">
        <v>6300</v>
      </c>
      <c r="N1646" s="40">
        <v>96291.607717041799</v>
      </c>
      <c r="O1646" s="40">
        <v>126162.057877814</v>
      </c>
      <c r="P1646" s="40">
        <v>0</v>
      </c>
      <c r="Q1646" s="40">
        <v>28738.938906752399</v>
      </c>
      <c r="R1646" s="40">
        <v>192329.85530546599</v>
      </c>
      <c r="S1646" s="40">
        <v>102546.752411576</v>
      </c>
      <c r="T1646" s="40">
        <v>30000</v>
      </c>
      <c r="U1646" s="40">
        <v>1646348.87459807</v>
      </c>
      <c r="V1646" s="40">
        <v>0</v>
      </c>
      <c r="W1646" s="45">
        <f t="shared" si="86"/>
        <v>2222418.0868167202</v>
      </c>
      <c r="X1646" s="46">
        <f t="shared" si="87"/>
        <v>4.6087959878827993</v>
      </c>
    </row>
    <row r="1647" spans="1:24" s="4" customFormat="1" ht="15" customHeight="1">
      <c r="A1647" s="28" t="s">
        <v>2168</v>
      </c>
      <c r="B1647" s="29">
        <v>3271.01</v>
      </c>
      <c r="C1647" s="30" t="s">
        <v>2505</v>
      </c>
      <c r="D1647" s="2">
        <v>4949662468</v>
      </c>
      <c r="E1647" s="2" t="s">
        <v>14</v>
      </c>
      <c r="F1647" s="2" t="s">
        <v>2506</v>
      </c>
      <c r="G1647" s="28" t="s">
        <v>5</v>
      </c>
      <c r="H1647" s="2" t="s">
        <v>17</v>
      </c>
      <c r="I1647" s="2">
        <v>1</v>
      </c>
      <c r="J1647" s="2" t="s">
        <v>2507</v>
      </c>
      <c r="K1647" s="2">
        <v>2115.6</v>
      </c>
      <c r="L1647" s="35">
        <f t="shared" si="85"/>
        <v>6920148.7560000001</v>
      </c>
      <c r="M1647" s="36">
        <v>410</v>
      </c>
      <c r="N1647" s="40">
        <v>6266.5966926963702</v>
      </c>
      <c r="O1647" s="40">
        <v>8210.5466237942092</v>
      </c>
      <c r="P1647" s="40">
        <v>0</v>
      </c>
      <c r="Q1647" s="40">
        <v>1870.3118971061101</v>
      </c>
      <c r="R1647" s="40">
        <v>12516.3477262288</v>
      </c>
      <c r="S1647" s="40">
        <v>6673.6775378961902</v>
      </c>
      <c r="T1647" s="40">
        <v>30000</v>
      </c>
      <c r="U1647" s="40">
        <v>107143.33945797</v>
      </c>
      <c r="V1647" s="40">
        <v>0</v>
      </c>
      <c r="W1647" s="45">
        <f t="shared" si="86"/>
        <v>172680.81993569166</v>
      </c>
      <c r="X1647" s="46">
        <f t="shared" si="87"/>
        <v>2.4953339302998598</v>
      </c>
    </row>
    <row r="1648" spans="1:24" s="4" customFormat="1" ht="15" customHeight="1">
      <c r="A1648" s="28" t="s">
        <v>2168</v>
      </c>
      <c r="B1648" s="29">
        <v>3271.01</v>
      </c>
      <c r="C1648" s="30" t="s">
        <v>2505</v>
      </c>
      <c r="D1648" s="2">
        <v>4949661423</v>
      </c>
      <c r="E1648" s="2" t="s">
        <v>14</v>
      </c>
      <c r="F1648" s="2" t="s">
        <v>2506</v>
      </c>
      <c r="G1648" s="28" t="s">
        <v>5</v>
      </c>
      <c r="H1648" s="2" t="s">
        <v>17</v>
      </c>
      <c r="I1648" s="2">
        <v>1</v>
      </c>
      <c r="J1648" s="2" t="s">
        <v>2507</v>
      </c>
      <c r="K1648" s="2">
        <v>12355.2</v>
      </c>
      <c r="L1648" s="35">
        <f t="shared" si="85"/>
        <v>40413982.752000004</v>
      </c>
      <c r="M1648" s="36">
        <v>6240</v>
      </c>
      <c r="N1648" s="40">
        <v>95374.544786403305</v>
      </c>
      <c r="O1648" s="40">
        <v>124960.514469453</v>
      </c>
      <c r="P1648" s="40">
        <v>0</v>
      </c>
      <c r="Q1648" s="40">
        <v>28465.234726688101</v>
      </c>
      <c r="R1648" s="40">
        <v>190498.999540652</v>
      </c>
      <c r="S1648" s="40">
        <v>101570.11667432199</v>
      </c>
      <c r="T1648" s="40">
        <v>30000</v>
      </c>
      <c r="U1648" s="40">
        <v>1630669.36150666</v>
      </c>
      <c r="V1648" s="40">
        <v>0</v>
      </c>
      <c r="W1648" s="45">
        <f t="shared" si="86"/>
        <v>2201538.7717041783</v>
      </c>
      <c r="X1648" s="46">
        <f t="shared" si="87"/>
        <v>5.447467984568358</v>
      </c>
    </row>
    <row r="1649" spans="1:24" s="4" customFormat="1" ht="15" customHeight="1">
      <c r="A1649" s="28" t="s">
        <v>2168</v>
      </c>
      <c r="B1649" s="29">
        <v>3271.01</v>
      </c>
      <c r="C1649" s="30" t="s">
        <v>2505</v>
      </c>
      <c r="D1649" s="2">
        <v>4949681912</v>
      </c>
      <c r="E1649" s="2" t="s">
        <v>14</v>
      </c>
      <c r="F1649" s="2" t="s">
        <v>2506</v>
      </c>
      <c r="G1649" s="28" t="s">
        <v>5</v>
      </c>
      <c r="H1649" s="2" t="s">
        <v>17</v>
      </c>
      <c r="I1649" s="2">
        <v>1</v>
      </c>
      <c r="J1649" s="2" t="s">
        <v>2507</v>
      </c>
      <c r="K1649" s="2">
        <v>12160</v>
      </c>
      <c r="L1649" s="35">
        <f t="shared" si="85"/>
        <v>39775481.600000001</v>
      </c>
      <c r="M1649" s="36">
        <v>8000</v>
      </c>
      <c r="N1649" s="40">
        <v>122275.05741846601</v>
      </c>
      <c r="O1649" s="40">
        <v>160205.78778134999</v>
      </c>
      <c r="P1649" s="40">
        <v>0</v>
      </c>
      <c r="Q1649" s="40">
        <v>36493.8906752412</v>
      </c>
      <c r="R1649" s="40">
        <v>244229.10197519499</v>
      </c>
      <c r="S1649" s="40">
        <v>130218.098300413</v>
      </c>
      <c r="T1649" s="40">
        <v>30000</v>
      </c>
      <c r="U1649" s="40">
        <v>2090601.7455213601</v>
      </c>
      <c r="V1649" s="40">
        <v>0</v>
      </c>
      <c r="W1649" s="45">
        <f t="shared" si="86"/>
        <v>2814023.6816720255</v>
      </c>
      <c r="X1649" s="46">
        <f t="shared" si="87"/>
        <v>7.0747696029707541</v>
      </c>
    </row>
    <row r="1650" spans="1:24" s="4" customFormat="1" ht="15" customHeight="1">
      <c r="A1650" s="28" t="s">
        <v>2168</v>
      </c>
      <c r="B1650" s="29">
        <v>3271.01</v>
      </c>
      <c r="C1650" s="30" t="s">
        <v>2508</v>
      </c>
      <c r="D1650" s="2">
        <v>4948957661</v>
      </c>
      <c r="E1650" s="2" t="s">
        <v>27</v>
      </c>
      <c r="F1650" s="2" t="s">
        <v>2509</v>
      </c>
      <c r="G1650" s="28" t="s">
        <v>5</v>
      </c>
      <c r="H1650" s="2" t="s">
        <v>17</v>
      </c>
      <c r="I1650" s="2">
        <v>1</v>
      </c>
      <c r="J1650" s="2" t="s">
        <v>2510</v>
      </c>
      <c r="K1650" s="2">
        <v>15256.38</v>
      </c>
      <c r="L1650" s="35">
        <f t="shared" ref="L1650:L1713" si="88">+B1650*K1650</f>
        <v>49903771.543800004</v>
      </c>
      <c r="M1650" s="36">
        <v>6547.8</v>
      </c>
      <c r="N1650" s="40">
        <v>485206</v>
      </c>
      <c r="O1650" s="40">
        <v>543322</v>
      </c>
      <c r="P1650" s="40">
        <v>0</v>
      </c>
      <c r="Q1650" s="40">
        <v>124137</v>
      </c>
      <c r="R1650" s="40">
        <v>875625</v>
      </c>
      <c r="S1650" s="40">
        <v>354356</v>
      </c>
      <c r="T1650" s="48"/>
      <c r="U1650" s="40">
        <v>4719050</v>
      </c>
      <c r="V1650" s="40">
        <v>0</v>
      </c>
      <c r="W1650" s="45">
        <f t="shared" ref="W1650:W1713" si="89">+SUM(N1650:V1650)</f>
        <v>7101696</v>
      </c>
      <c r="X1650" s="46">
        <f t="shared" ref="X1650:X1713" si="90">(W1650/L1650)*100</f>
        <v>14.23078012002944</v>
      </c>
    </row>
    <row r="1651" spans="1:24" s="4" customFormat="1" ht="15" customHeight="1">
      <c r="A1651" s="28" t="s">
        <v>2168</v>
      </c>
      <c r="B1651" s="29">
        <v>3271.01</v>
      </c>
      <c r="C1651" s="30" t="s">
        <v>2511</v>
      </c>
      <c r="D1651" s="2">
        <v>4948282178</v>
      </c>
      <c r="E1651" s="2" t="s">
        <v>14</v>
      </c>
      <c r="F1651" s="2" t="s">
        <v>2512</v>
      </c>
      <c r="G1651" s="28" t="s">
        <v>9</v>
      </c>
      <c r="H1651" s="2" t="s">
        <v>23</v>
      </c>
      <c r="I1651" s="2">
        <v>4</v>
      </c>
      <c r="J1651" s="2"/>
      <c r="K1651" s="2">
        <v>61300.800000000003</v>
      </c>
      <c r="L1651" s="35">
        <f t="shared" si="88"/>
        <v>200515529.80800003</v>
      </c>
      <c r="M1651" s="36">
        <v>1440</v>
      </c>
      <c r="N1651" s="40">
        <v>923135</v>
      </c>
      <c r="O1651" s="40">
        <v>1179</v>
      </c>
      <c r="P1651" s="40">
        <v>0</v>
      </c>
      <c r="Q1651" s="40">
        <v>28680</v>
      </c>
      <c r="R1651" s="40">
        <v>120304</v>
      </c>
      <c r="S1651" s="40">
        <v>354356</v>
      </c>
      <c r="T1651" s="40">
        <v>30000</v>
      </c>
      <c r="U1651" s="40">
        <v>1367700</v>
      </c>
      <c r="V1651" s="40">
        <v>0</v>
      </c>
      <c r="W1651" s="45">
        <f t="shared" si="89"/>
        <v>2825354</v>
      </c>
      <c r="X1651" s="46">
        <f t="shared" si="90"/>
        <v>1.4090449765688304</v>
      </c>
    </row>
    <row r="1652" spans="1:24" s="4" customFormat="1" ht="15" customHeight="1">
      <c r="A1652" s="28" t="s">
        <v>2168</v>
      </c>
      <c r="B1652" s="29">
        <v>3271.01</v>
      </c>
      <c r="C1652" s="30" t="s">
        <v>2513</v>
      </c>
      <c r="D1652" s="2">
        <v>4949099760</v>
      </c>
      <c r="E1652" s="2" t="s">
        <v>24</v>
      </c>
      <c r="F1652" s="78" t="s">
        <v>2514</v>
      </c>
      <c r="G1652" s="28" t="s">
        <v>9</v>
      </c>
      <c r="H1652" s="2" t="s">
        <v>23</v>
      </c>
      <c r="I1652" s="2">
        <v>4</v>
      </c>
      <c r="J1652" s="2"/>
      <c r="K1652" s="2">
        <v>5600</v>
      </c>
      <c r="L1652" s="35">
        <f t="shared" si="88"/>
        <v>18317656</v>
      </c>
      <c r="M1652" s="36">
        <v>3200</v>
      </c>
      <c r="N1652" s="40">
        <v>707826</v>
      </c>
      <c r="O1652" s="40">
        <v>0</v>
      </c>
      <c r="P1652" s="40">
        <v>109005</v>
      </c>
      <c r="Q1652" s="40">
        <v>49332</v>
      </c>
      <c r="R1652" s="40">
        <v>87911</v>
      </c>
      <c r="S1652" s="40">
        <v>354356</v>
      </c>
      <c r="T1652" s="48"/>
      <c r="U1652" s="40">
        <v>557750</v>
      </c>
      <c r="V1652" s="40">
        <v>0</v>
      </c>
      <c r="W1652" s="45">
        <f t="shared" si="89"/>
        <v>1866180</v>
      </c>
      <c r="X1652" s="46">
        <f t="shared" si="90"/>
        <v>10.187875566611797</v>
      </c>
    </row>
    <row r="1653" spans="1:24" s="4" customFormat="1" ht="15" customHeight="1">
      <c r="A1653" s="28" t="s">
        <v>2168</v>
      </c>
      <c r="B1653" s="29">
        <v>3271.01</v>
      </c>
      <c r="C1653" s="30" t="s">
        <v>2515</v>
      </c>
      <c r="D1653" s="2">
        <v>4950272173</v>
      </c>
      <c r="E1653" s="2" t="s">
        <v>14</v>
      </c>
      <c r="F1653" s="2" t="s">
        <v>2516</v>
      </c>
      <c r="G1653" s="28" t="s">
        <v>9</v>
      </c>
      <c r="H1653" s="2" t="s">
        <v>23</v>
      </c>
      <c r="I1653" s="2">
        <v>1</v>
      </c>
      <c r="J1653" s="2"/>
      <c r="K1653" s="2">
        <v>8224.92</v>
      </c>
      <c r="L1653" s="35">
        <f t="shared" si="88"/>
        <v>26903795.569200002</v>
      </c>
      <c r="M1653" s="36">
        <v>396</v>
      </c>
      <c r="N1653" s="40">
        <v>619662</v>
      </c>
      <c r="O1653" s="40">
        <v>297</v>
      </c>
      <c r="P1653" s="40">
        <v>0</v>
      </c>
      <c r="Q1653" s="40">
        <v>9024</v>
      </c>
      <c r="R1653" s="40">
        <v>95475.13</v>
      </c>
      <c r="S1653" s="40">
        <v>354356</v>
      </c>
      <c r="T1653" s="40">
        <v>30000</v>
      </c>
      <c r="U1653" s="40">
        <v>339354.13533834601</v>
      </c>
      <c r="V1653" s="40">
        <v>0</v>
      </c>
      <c r="W1653" s="45">
        <f t="shared" si="89"/>
        <v>1448168.2653383459</v>
      </c>
      <c r="X1653" s="46">
        <f t="shared" si="90"/>
        <v>5.3827656458861801</v>
      </c>
    </row>
    <row r="1654" spans="1:24" s="4" customFormat="1" ht="15" customHeight="1">
      <c r="A1654" s="28" t="s">
        <v>2168</v>
      </c>
      <c r="B1654" s="29">
        <v>3271.01</v>
      </c>
      <c r="C1654" s="30" t="s">
        <v>2517</v>
      </c>
      <c r="D1654" s="2">
        <v>4948269702</v>
      </c>
      <c r="E1654" s="2" t="s">
        <v>10</v>
      </c>
      <c r="F1654" s="2" t="s">
        <v>2518</v>
      </c>
      <c r="G1654" s="28" t="s">
        <v>5</v>
      </c>
      <c r="H1654" s="2" t="s">
        <v>20</v>
      </c>
      <c r="I1654" s="2">
        <v>1</v>
      </c>
      <c r="J1654" s="2" t="s">
        <v>2519</v>
      </c>
      <c r="K1654" s="2">
        <f>12223.75+3333.75</f>
        <v>15557.5</v>
      </c>
      <c r="L1654" s="35">
        <f t="shared" si="88"/>
        <v>50888738.075000003</v>
      </c>
      <c r="M1654" s="36">
        <f>9625+2625</f>
        <v>12250</v>
      </c>
      <c r="N1654" s="40">
        <v>385220.273037543</v>
      </c>
      <c r="O1654" s="40">
        <v>345969.266211604</v>
      </c>
      <c r="P1654" s="40">
        <v>0</v>
      </c>
      <c r="Q1654" s="40">
        <v>103800.563139932</v>
      </c>
      <c r="R1654" s="40">
        <v>608496</v>
      </c>
      <c r="S1654" s="40">
        <v>592609.010238908</v>
      </c>
      <c r="T1654" s="48"/>
      <c r="U1654" s="40">
        <v>1322080.20477816</v>
      </c>
      <c r="V1654" s="40">
        <v>0</v>
      </c>
      <c r="W1654" s="45">
        <f t="shared" si="89"/>
        <v>3358175.3174061468</v>
      </c>
      <c r="X1654" s="46">
        <f t="shared" si="90"/>
        <v>6.5990540234203809</v>
      </c>
    </row>
    <row r="1655" spans="1:24" s="4" customFormat="1" ht="15" customHeight="1">
      <c r="A1655" s="28" t="s">
        <v>2168</v>
      </c>
      <c r="B1655" s="29">
        <v>3271.01</v>
      </c>
      <c r="C1655" s="30" t="s">
        <v>2517</v>
      </c>
      <c r="D1655" s="2">
        <v>4945773645</v>
      </c>
      <c r="E1655" s="2" t="s">
        <v>10</v>
      </c>
      <c r="F1655" s="2" t="s">
        <v>2518</v>
      </c>
      <c r="G1655" s="28" t="s">
        <v>5</v>
      </c>
      <c r="H1655" s="2" t="s">
        <v>20</v>
      </c>
      <c r="I1655" s="2">
        <v>1</v>
      </c>
      <c r="J1655" s="2" t="s">
        <v>2519</v>
      </c>
      <c r="K1655" s="2">
        <v>5568</v>
      </c>
      <c r="L1655" s="35">
        <f t="shared" si="88"/>
        <v>18212983.68</v>
      </c>
      <c r="M1655" s="36">
        <v>2400</v>
      </c>
      <c r="N1655" s="40">
        <v>75471.726962457295</v>
      </c>
      <c r="O1655" s="40">
        <v>67781.733788395897</v>
      </c>
      <c r="P1655" s="40">
        <v>0</v>
      </c>
      <c r="Q1655" s="40">
        <v>20336.436860068301</v>
      </c>
      <c r="R1655" s="40">
        <v>119216</v>
      </c>
      <c r="S1655" s="40">
        <v>116102.989761092</v>
      </c>
      <c r="T1655" s="48"/>
      <c r="U1655" s="40">
        <v>259019.795221843</v>
      </c>
      <c r="V1655" s="40">
        <v>0</v>
      </c>
      <c r="W1655" s="45">
        <f t="shared" si="89"/>
        <v>657928.68259385647</v>
      </c>
      <c r="X1655" s="46">
        <f t="shared" si="90"/>
        <v>3.6124157038384634</v>
      </c>
    </row>
    <row r="1656" spans="1:24" s="4" customFormat="1" ht="15" customHeight="1">
      <c r="A1656" s="28" t="s">
        <v>2168</v>
      </c>
      <c r="B1656" s="29">
        <v>3271.01</v>
      </c>
      <c r="C1656" s="30" t="s">
        <v>2520</v>
      </c>
      <c r="D1656" s="2">
        <v>4950413073</v>
      </c>
      <c r="E1656" s="2" t="s">
        <v>38</v>
      </c>
      <c r="F1656" s="2" t="s">
        <v>2521</v>
      </c>
      <c r="G1656" s="28" t="s">
        <v>5</v>
      </c>
      <c r="H1656" s="2" t="s">
        <v>20</v>
      </c>
      <c r="I1656" s="2">
        <v>4</v>
      </c>
      <c r="J1656" s="2" t="s">
        <v>2522</v>
      </c>
      <c r="K1656" s="2">
        <v>607.20000000000005</v>
      </c>
      <c r="L1656" s="35">
        <f t="shared" si="88"/>
        <v>1986157.2720000003</v>
      </c>
      <c r="M1656" s="36">
        <v>440</v>
      </c>
      <c r="N1656" s="40">
        <v>17089.136499169501</v>
      </c>
      <c r="O1656" s="40">
        <v>11704.355726321301</v>
      </c>
      <c r="P1656" s="40">
        <v>0</v>
      </c>
      <c r="Q1656" s="40">
        <v>3497.7230793860399</v>
      </c>
      <c r="R1656" s="40">
        <v>22624.936142962899</v>
      </c>
      <c r="S1656" s="40">
        <v>3120.1424826399302</v>
      </c>
      <c r="T1656" s="48"/>
      <c r="U1656" s="40">
        <v>17948.330031418202</v>
      </c>
      <c r="V1656" s="40">
        <v>0</v>
      </c>
      <c r="W1656" s="45">
        <f t="shared" si="89"/>
        <v>75984.623961897873</v>
      </c>
      <c r="X1656" s="46">
        <f t="shared" si="90"/>
        <v>3.8257103318602588</v>
      </c>
    </row>
    <row r="1657" spans="1:24" s="4" customFormat="1" ht="15" customHeight="1">
      <c r="A1657" s="28" t="s">
        <v>2168</v>
      </c>
      <c r="B1657" s="29">
        <v>3271.01</v>
      </c>
      <c r="C1657" s="30" t="s">
        <v>2520</v>
      </c>
      <c r="D1657" s="2">
        <v>4950280536</v>
      </c>
      <c r="E1657" s="2" t="s">
        <v>38</v>
      </c>
      <c r="F1657" s="2" t="s">
        <v>2521</v>
      </c>
      <c r="G1657" s="28" t="s">
        <v>5</v>
      </c>
      <c r="H1657" s="2" t="s">
        <v>20</v>
      </c>
      <c r="I1657" s="2">
        <v>4</v>
      </c>
      <c r="J1657" s="2" t="s">
        <v>2522</v>
      </c>
      <c r="K1657" s="2">
        <v>1020.6</v>
      </c>
      <c r="L1657" s="35">
        <f t="shared" si="88"/>
        <v>3338392.8060000003</v>
      </c>
      <c r="M1657" s="36">
        <v>756</v>
      </c>
      <c r="N1657" s="40">
        <v>29362.2436213004</v>
      </c>
      <c r="O1657" s="40">
        <v>20110.211202497401</v>
      </c>
      <c r="P1657" s="40">
        <v>0</v>
      </c>
      <c r="Q1657" s="40">
        <v>6009.7242000360202</v>
      </c>
      <c r="R1657" s="40">
        <v>38873.881191090797</v>
      </c>
      <c r="S1657" s="40">
        <v>5360.9720838086096</v>
      </c>
      <c r="T1657" s="48"/>
      <c r="U1657" s="40">
        <v>30838.4943267095</v>
      </c>
      <c r="V1657" s="40">
        <v>0</v>
      </c>
      <c r="W1657" s="45">
        <f t="shared" si="89"/>
        <v>130555.52662544273</v>
      </c>
      <c r="X1657" s="46">
        <f t="shared" si="90"/>
        <v>3.910729929407915</v>
      </c>
    </row>
    <row r="1658" spans="1:24" s="4" customFormat="1" ht="15" customHeight="1">
      <c r="A1658" s="28" t="s">
        <v>2168</v>
      </c>
      <c r="B1658" s="29">
        <v>3271.01</v>
      </c>
      <c r="C1658" s="30" t="s">
        <v>2520</v>
      </c>
      <c r="D1658" s="2">
        <v>4950413074</v>
      </c>
      <c r="E1658" s="2" t="s">
        <v>38</v>
      </c>
      <c r="F1658" s="2" t="s">
        <v>2521</v>
      </c>
      <c r="G1658" s="28" t="s">
        <v>5</v>
      </c>
      <c r="H1658" s="2" t="s">
        <v>20</v>
      </c>
      <c r="I1658" s="2">
        <v>4</v>
      </c>
      <c r="J1658" s="2" t="s">
        <v>2522</v>
      </c>
      <c r="K1658" s="2">
        <v>246.6</v>
      </c>
      <c r="L1658" s="35">
        <f t="shared" si="88"/>
        <v>806631.06599999999</v>
      </c>
      <c r="M1658" s="36">
        <v>180</v>
      </c>
      <c r="N1658" s="40">
        <v>6991.0103860238896</v>
      </c>
      <c r="O1658" s="40">
        <v>4788.1455244041499</v>
      </c>
      <c r="P1658" s="40">
        <v>0</v>
      </c>
      <c r="Q1658" s="40">
        <v>1430.88671429429</v>
      </c>
      <c r="R1658" s="40">
        <v>9256.0193312120991</v>
      </c>
      <c r="S1658" s="40">
        <v>1276.4219247163401</v>
      </c>
      <c r="T1658" s="48"/>
      <c r="U1658" s="40">
        <v>7342.4986492165499</v>
      </c>
      <c r="V1658" s="40">
        <v>0</v>
      </c>
      <c r="W1658" s="45">
        <f t="shared" si="89"/>
        <v>31084.982529867317</v>
      </c>
      <c r="X1658" s="46">
        <f t="shared" si="90"/>
        <v>3.8536803056711575</v>
      </c>
    </row>
    <row r="1659" spans="1:24" s="4" customFormat="1" ht="15" customHeight="1">
      <c r="A1659" s="28" t="s">
        <v>2168</v>
      </c>
      <c r="B1659" s="29">
        <v>3271.01</v>
      </c>
      <c r="C1659" s="30" t="s">
        <v>2520</v>
      </c>
      <c r="D1659" s="2">
        <v>4950280533</v>
      </c>
      <c r="E1659" s="2" t="s">
        <v>38</v>
      </c>
      <c r="F1659" s="2" t="s">
        <v>2521</v>
      </c>
      <c r="G1659" s="28" t="s">
        <v>5</v>
      </c>
      <c r="H1659" s="2" t="s">
        <v>20</v>
      </c>
      <c r="I1659" s="2">
        <v>4</v>
      </c>
      <c r="J1659" s="2" t="s">
        <v>2522</v>
      </c>
      <c r="K1659" s="2">
        <v>197.34</v>
      </c>
      <c r="L1659" s="35">
        <f t="shared" si="88"/>
        <v>645501.11340000003</v>
      </c>
      <c r="M1659" s="36">
        <v>149.5</v>
      </c>
      <c r="N1659" s="40">
        <v>5806.4225150587299</v>
      </c>
      <c r="O1659" s="40">
        <v>3976.82086610234</v>
      </c>
      <c r="P1659" s="40">
        <v>0</v>
      </c>
      <c r="Q1659" s="40">
        <v>1188.43090992776</v>
      </c>
      <c r="R1659" s="40">
        <v>7686.9771667567202</v>
      </c>
      <c r="S1659" s="40">
        <v>1060.1393208060699</v>
      </c>
      <c r="T1659" s="48"/>
      <c r="U1659" s="40">
        <v>6098.3530447659596</v>
      </c>
      <c r="V1659" s="40">
        <v>0</v>
      </c>
      <c r="W1659" s="45">
        <f t="shared" si="89"/>
        <v>25817.14382341758</v>
      </c>
      <c r="X1659" s="46">
        <f t="shared" si="90"/>
        <v>3.9995506262464611</v>
      </c>
    </row>
    <row r="1660" spans="1:24" s="4" customFormat="1" ht="15" customHeight="1">
      <c r="A1660" s="28" t="s">
        <v>2168</v>
      </c>
      <c r="B1660" s="29">
        <v>3271.01</v>
      </c>
      <c r="C1660" s="30" t="s">
        <v>2520</v>
      </c>
      <c r="D1660" s="2">
        <v>4950280532</v>
      </c>
      <c r="E1660" s="2" t="s">
        <v>38</v>
      </c>
      <c r="F1660" s="2" t="s">
        <v>2521</v>
      </c>
      <c r="G1660" s="28" t="s">
        <v>5</v>
      </c>
      <c r="H1660" s="2" t="s">
        <v>20</v>
      </c>
      <c r="I1660" s="2">
        <v>4</v>
      </c>
      <c r="J1660" s="2" t="s">
        <v>2522</v>
      </c>
      <c r="K1660" s="2">
        <v>2059.4299999999998</v>
      </c>
      <c r="L1660" s="35">
        <f t="shared" si="88"/>
        <v>6736416.1243000003</v>
      </c>
      <c r="M1660" s="36">
        <v>1525.5</v>
      </c>
      <c r="N1660" s="40">
        <v>59248.813021552502</v>
      </c>
      <c r="O1660" s="40">
        <v>40579.533319325201</v>
      </c>
      <c r="P1660" s="40">
        <v>0</v>
      </c>
      <c r="Q1660" s="40">
        <v>12126.7649036441</v>
      </c>
      <c r="R1660" s="40">
        <v>78441.813832022599</v>
      </c>
      <c r="S1660" s="40">
        <v>10817.675811970899</v>
      </c>
      <c r="T1660" s="48"/>
      <c r="U1660" s="40">
        <v>62227.676052110197</v>
      </c>
      <c r="V1660" s="40">
        <v>0</v>
      </c>
      <c r="W1660" s="45">
        <f t="shared" si="89"/>
        <v>263442.27694062551</v>
      </c>
      <c r="X1660" s="46">
        <f t="shared" si="90"/>
        <v>3.9107185791317272</v>
      </c>
    </row>
    <row r="1661" spans="1:24" s="4" customFormat="1" ht="15" customHeight="1">
      <c r="A1661" s="28" t="s">
        <v>2168</v>
      </c>
      <c r="B1661" s="29">
        <v>3271.01</v>
      </c>
      <c r="C1661" s="30" t="s">
        <v>2520</v>
      </c>
      <c r="D1661" s="2">
        <v>4950280515</v>
      </c>
      <c r="E1661" s="2" t="s">
        <v>38</v>
      </c>
      <c r="F1661" s="2" t="s">
        <v>2521</v>
      </c>
      <c r="G1661" s="28" t="s">
        <v>5</v>
      </c>
      <c r="H1661" s="2" t="s">
        <v>20</v>
      </c>
      <c r="I1661" s="2">
        <v>4</v>
      </c>
      <c r="J1661" s="2" t="s">
        <v>2522</v>
      </c>
      <c r="K1661" s="2">
        <v>42451</v>
      </c>
      <c r="L1661" s="35">
        <f t="shared" si="88"/>
        <v>138857645.51000002</v>
      </c>
      <c r="M1661" s="36">
        <v>31680</v>
      </c>
      <c r="N1661" s="40">
        <v>1230417.82794021</v>
      </c>
      <c r="O1661" s="40">
        <v>842713.61229513097</v>
      </c>
      <c r="P1661" s="40">
        <v>0</v>
      </c>
      <c r="Q1661" s="40">
        <v>251836.06171579499</v>
      </c>
      <c r="R1661" s="40">
        <v>1629001.4022933301</v>
      </c>
      <c r="S1661" s="40">
        <v>224650.25875007501</v>
      </c>
      <c r="T1661" s="48"/>
      <c r="U1661" s="40">
        <v>1292279.7622621099</v>
      </c>
      <c r="V1661" s="40">
        <v>0</v>
      </c>
      <c r="W1661" s="45">
        <f t="shared" si="89"/>
        <v>5470898.9252566509</v>
      </c>
      <c r="X1661" s="46">
        <f t="shared" si="90"/>
        <v>3.9399335234030426</v>
      </c>
    </row>
    <row r="1662" spans="1:24" s="4" customFormat="1" ht="15" customHeight="1">
      <c r="A1662" s="28" t="s">
        <v>2168</v>
      </c>
      <c r="B1662" s="29">
        <v>3271.01</v>
      </c>
      <c r="C1662" s="30" t="s">
        <v>2520</v>
      </c>
      <c r="D1662" s="2">
        <v>4950280528</v>
      </c>
      <c r="E1662" s="2" t="s">
        <v>38</v>
      </c>
      <c r="F1662" s="2" t="s">
        <v>2521</v>
      </c>
      <c r="G1662" s="28" t="s">
        <v>5</v>
      </c>
      <c r="H1662" s="2" t="s">
        <v>20</v>
      </c>
      <c r="I1662" s="2">
        <v>4</v>
      </c>
      <c r="J1662" s="2" t="s">
        <v>2522</v>
      </c>
      <c r="K1662" s="2">
        <v>5184</v>
      </c>
      <c r="L1662" s="35">
        <f t="shared" si="88"/>
        <v>16956915.84</v>
      </c>
      <c r="M1662" s="36">
        <v>3840</v>
      </c>
      <c r="N1662" s="40">
        <v>149141.55490184299</v>
      </c>
      <c r="O1662" s="40">
        <v>102147.104520622</v>
      </c>
      <c r="P1662" s="40">
        <v>0</v>
      </c>
      <c r="Q1662" s="40">
        <v>30525.583238278199</v>
      </c>
      <c r="R1662" s="40">
        <v>197455.07906585801</v>
      </c>
      <c r="S1662" s="40">
        <v>27230.334393948498</v>
      </c>
      <c r="T1662" s="48"/>
      <c r="U1662" s="40">
        <v>156639.97118328599</v>
      </c>
      <c r="V1662" s="40">
        <v>0</v>
      </c>
      <c r="W1662" s="45">
        <f t="shared" si="89"/>
        <v>663139.6273038357</v>
      </c>
      <c r="X1662" s="46">
        <f t="shared" si="90"/>
        <v>3.9107325504296173</v>
      </c>
    </row>
    <row r="1663" spans="1:24" s="4" customFormat="1" ht="15" customHeight="1">
      <c r="A1663" s="28" t="s">
        <v>2168</v>
      </c>
      <c r="B1663" s="29">
        <v>3271.01</v>
      </c>
      <c r="C1663" s="30" t="s">
        <v>2520</v>
      </c>
      <c r="D1663" s="2">
        <v>4950280526</v>
      </c>
      <c r="E1663" s="2" t="s">
        <v>38</v>
      </c>
      <c r="F1663" s="2" t="s">
        <v>2521</v>
      </c>
      <c r="G1663" s="28" t="s">
        <v>5</v>
      </c>
      <c r="H1663" s="2" t="s">
        <v>20</v>
      </c>
      <c r="I1663" s="2">
        <v>4</v>
      </c>
      <c r="J1663" s="2" t="s">
        <v>2522</v>
      </c>
      <c r="K1663" s="2">
        <v>15162</v>
      </c>
      <c r="L1663" s="35">
        <f t="shared" si="88"/>
        <v>49595053.620000005</v>
      </c>
      <c r="M1663" s="36">
        <v>11400</v>
      </c>
      <c r="N1663" s="40">
        <v>442763.99111484701</v>
      </c>
      <c r="O1663" s="40">
        <v>303249.21654559602</v>
      </c>
      <c r="P1663" s="40">
        <v>0</v>
      </c>
      <c r="Q1663" s="40">
        <v>90622.825238638397</v>
      </c>
      <c r="R1663" s="40">
        <v>586193.89097676706</v>
      </c>
      <c r="S1663" s="40">
        <v>80840.055232034603</v>
      </c>
      <c r="T1663" s="48"/>
      <c r="U1663" s="40">
        <v>465024.91445038101</v>
      </c>
      <c r="V1663" s="40">
        <v>0</v>
      </c>
      <c r="W1663" s="45">
        <f t="shared" si="89"/>
        <v>1968694.893558264</v>
      </c>
      <c r="X1663" s="46">
        <f t="shared" si="90"/>
        <v>3.9695387944179092</v>
      </c>
    </row>
    <row r="1664" spans="1:24" s="4" customFormat="1" ht="15" customHeight="1">
      <c r="A1664" s="28" t="s">
        <v>2168</v>
      </c>
      <c r="B1664" s="29">
        <v>3271.01</v>
      </c>
      <c r="C1664" s="30" t="s">
        <v>2523</v>
      </c>
      <c r="D1664" s="2">
        <v>4949251360</v>
      </c>
      <c r="E1664" s="2" t="s">
        <v>27</v>
      </c>
      <c r="F1664" s="2" t="s">
        <v>2524</v>
      </c>
      <c r="G1664" s="28" t="s">
        <v>5</v>
      </c>
      <c r="H1664" s="2" t="s">
        <v>20</v>
      </c>
      <c r="I1664" s="2">
        <v>1</v>
      </c>
      <c r="J1664" s="2" t="s">
        <v>2525</v>
      </c>
      <c r="K1664" s="2">
        <v>14280</v>
      </c>
      <c r="L1664" s="35">
        <f t="shared" si="88"/>
        <v>46710022.800000004</v>
      </c>
      <c r="M1664" s="36">
        <v>6000</v>
      </c>
      <c r="N1664" s="40">
        <v>485206</v>
      </c>
      <c r="O1664" s="40">
        <v>413751</v>
      </c>
      <c r="P1664" s="40">
        <v>0</v>
      </c>
      <c r="Q1664" s="40">
        <v>124137</v>
      </c>
      <c r="R1664" s="40">
        <v>545403</v>
      </c>
      <c r="S1664" s="40">
        <v>354356</v>
      </c>
      <c r="T1664" s="48"/>
      <c r="U1664" s="40">
        <v>2900300</v>
      </c>
      <c r="V1664" s="40">
        <v>0</v>
      </c>
      <c r="W1664" s="45">
        <f t="shared" si="89"/>
        <v>4823153</v>
      </c>
      <c r="X1664" s="46">
        <f t="shared" si="90"/>
        <v>10.325734630127389</v>
      </c>
    </row>
    <row r="1665" spans="1:24" s="4" customFormat="1" ht="15" customHeight="1">
      <c r="A1665" s="28" t="s">
        <v>2168</v>
      </c>
      <c r="B1665" s="29">
        <v>3271.01</v>
      </c>
      <c r="C1665" s="30" t="s">
        <v>2526</v>
      </c>
      <c r="D1665" s="2">
        <v>4950129087</v>
      </c>
      <c r="E1665" s="2" t="s">
        <v>33</v>
      </c>
      <c r="F1665" s="2" t="s">
        <v>2527</v>
      </c>
      <c r="G1665" s="28" t="s">
        <v>5</v>
      </c>
      <c r="H1665" s="2" t="s">
        <v>17</v>
      </c>
      <c r="I1665" s="2">
        <v>1</v>
      </c>
      <c r="J1665" s="2" t="s">
        <v>2528</v>
      </c>
      <c r="K1665" s="2">
        <v>20167.68</v>
      </c>
      <c r="L1665" s="35">
        <f t="shared" si="88"/>
        <v>65968682.956800006</v>
      </c>
      <c r="M1665" s="36">
        <v>430</v>
      </c>
      <c r="N1665" s="40">
        <v>335949</v>
      </c>
      <c r="O1665" s="40">
        <v>435960</v>
      </c>
      <c r="P1665" s="40">
        <v>0</v>
      </c>
      <c r="Q1665" s="40">
        <v>99309</v>
      </c>
      <c r="R1665" s="40">
        <v>657991</v>
      </c>
      <c r="S1665" s="40">
        <v>354356</v>
      </c>
      <c r="T1665" s="48"/>
      <c r="U1665" s="40">
        <v>4719050</v>
      </c>
      <c r="V1665" s="40">
        <v>0</v>
      </c>
      <c r="W1665" s="45">
        <f t="shared" si="89"/>
        <v>6602615</v>
      </c>
      <c r="X1665" s="46">
        <f t="shared" si="90"/>
        <v>10.008711261256744</v>
      </c>
    </row>
    <row r="1666" spans="1:24" s="4" customFormat="1" ht="15" customHeight="1">
      <c r="A1666" s="28" t="s">
        <v>2168</v>
      </c>
      <c r="B1666" s="29">
        <v>3271.01</v>
      </c>
      <c r="C1666" s="30" t="s">
        <v>2529</v>
      </c>
      <c r="D1666" s="2">
        <v>4950223952</v>
      </c>
      <c r="E1666" s="2" t="s">
        <v>24</v>
      </c>
      <c r="F1666" s="2" t="s">
        <v>2530</v>
      </c>
      <c r="G1666" s="28" t="s">
        <v>5</v>
      </c>
      <c r="H1666" s="2" t="s">
        <v>20</v>
      </c>
      <c r="I1666" s="2">
        <v>1</v>
      </c>
      <c r="J1666" s="2" t="s">
        <v>2531</v>
      </c>
      <c r="K1666" s="2">
        <v>31680</v>
      </c>
      <c r="L1666" s="35">
        <f t="shared" si="88"/>
        <v>103625596.80000001</v>
      </c>
      <c r="M1666" s="36">
        <v>8000</v>
      </c>
      <c r="N1666" s="40">
        <v>335949</v>
      </c>
      <c r="O1666" s="40">
        <v>332317</v>
      </c>
      <c r="P1666" s="40">
        <v>0</v>
      </c>
      <c r="Q1666" s="40">
        <v>99309</v>
      </c>
      <c r="R1666" s="40">
        <v>660597</v>
      </c>
      <c r="S1666" s="40">
        <v>354356</v>
      </c>
      <c r="T1666" s="48"/>
      <c r="U1666" s="40">
        <v>2900300</v>
      </c>
      <c r="V1666" s="40">
        <v>0</v>
      </c>
      <c r="W1666" s="45">
        <f t="shared" si="89"/>
        <v>4682828</v>
      </c>
      <c r="X1666" s="46">
        <f t="shared" si="90"/>
        <v>4.5189877256272641</v>
      </c>
    </row>
    <row r="1667" spans="1:24" s="4" customFormat="1" ht="15" customHeight="1">
      <c r="A1667" s="28" t="s">
        <v>2168</v>
      </c>
      <c r="B1667" s="29">
        <v>3271.01</v>
      </c>
      <c r="C1667" s="30" t="s">
        <v>2532</v>
      </c>
      <c r="D1667" s="2">
        <v>4949311062</v>
      </c>
      <c r="E1667" s="2" t="s">
        <v>6</v>
      </c>
      <c r="F1667" s="2" t="s">
        <v>2533</v>
      </c>
      <c r="G1667" s="28" t="s">
        <v>5</v>
      </c>
      <c r="H1667" s="2" t="s">
        <v>20</v>
      </c>
      <c r="I1667" s="2">
        <v>2</v>
      </c>
      <c r="J1667" s="2" t="s">
        <v>2534</v>
      </c>
      <c r="K1667" s="2">
        <v>120000</v>
      </c>
      <c r="L1667" s="35">
        <f t="shared" si="88"/>
        <v>392521200</v>
      </c>
      <c r="M1667" s="36">
        <v>24000</v>
      </c>
      <c r="N1667" s="40">
        <v>2446358</v>
      </c>
      <c r="O1667" s="40">
        <v>413751</v>
      </c>
      <c r="P1667" s="40">
        <v>3223729</v>
      </c>
      <c r="Q1667" s="40">
        <v>124137</v>
      </c>
      <c r="R1667" s="40">
        <v>1507610</v>
      </c>
      <c r="S1667" s="40">
        <v>354356</v>
      </c>
      <c r="T1667" s="40">
        <v>30000</v>
      </c>
      <c r="U1667" s="40">
        <v>6499000</v>
      </c>
      <c r="V1667" s="40">
        <v>0</v>
      </c>
      <c r="W1667" s="45">
        <f t="shared" si="89"/>
        <v>14598941</v>
      </c>
      <c r="X1667" s="46">
        <f t="shared" si="90"/>
        <v>3.7192745258090518</v>
      </c>
    </row>
    <row r="1668" spans="1:24" s="4" customFormat="1" ht="15" customHeight="1">
      <c r="A1668" s="28" t="s">
        <v>2168</v>
      </c>
      <c r="B1668" s="29">
        <v>3271.01</v>
      </c>
      <c r="C1668" s="30" t="s">
        <v>2535</v>
      </c>
      <c r="D1668" s="2">
        <v>4949922793</v>
      </c>
      <c r="E1668" s="2" t="s">
        <v>14</v>
      </c>
      <c r="F1668" s="2" t="s">
        <v>2536</v>
      </c>
      <c r="G1668" s="28" t="s">
        <v>5</v>
      </c>
      <c r="H1668" s="2" t="s">
        <v>17</v>
      </c>
      <c r="I1668" s="2">
        <v>1</v>
      </c>
      <c r="J1668" s="2" t="s">
        <v>2537</v>
      </c>
      <c r="K1668" s="2">
        <v>427.6</v>
      </c>
      <c r="L1668" s="35">
        <f t="shared" si="88"/>
        <v>1398683.8760000002</v>
      </c>
      <c r="M1668" s="36">
        <v>840</v>
      </c>
      <c r="N1668" s="40">
        <v>16797.45</v>
      </c>
      <c r="O1668" s="40">
        <v>21798</v>
      </c>
      <c r="P1668" s="40">
        <v>42133.599999999999</v>
      </c>
      <c r="Q1668" s="40">
        <v>4965.45</v>
      </c>
      <c r="R1668" s="40">
        <v>60999.95</v>
      </c>
      <c r="S1668" s="40">
        <v>17717.8</v>
      </c>
      <c r="T1668" s="40">
        <v>30000</v>
      </c>
      <c r="U1668" s="40">
        <v>272327.5</v>
      </c>
      <c r="V1668" s="40">
        <v>67750</v>
      </c>
      <c r="W1668" s="45">
        <f t="shared" si="89"/>
        <v>534489.75</v>
      </c>
      <c r="X1668" s="46">
        <f t="shared" si="90"/>
        <v>38.213763608153577</v>
      </c>
    </row>
    <row r="1669" spans="1:24" s="4" customFormat="1" ht="15" customHeight="1">
      <c r="A1669" s="28" t="s">
        <v>2168</v>
      </c>
      <c r="B1669" s="29">
        <v>3271.01</v>
      </c>
      <c r="C1669" s="30" t="s">
        <v>2535</v>
      </c>
      <c r="D1669" s="2">
        <v>4950035124</v>
      </c>
      <c r="E1669" s="2" t="s">
        <v>38</v>
      </c>
      <c r="F1669" s="2" t="s">
        <v>2536</v>
      </c>
      <c r="G1669" s="28" t="s">
        <v>5</v>
      </c>
      <c r="H1669" s="2" t="s">
        <v>17</v>
      </c>
      <c r="I1669" s="2">
        <v>1</v>
      </c>
      <c r="J1669" s="2" t="s">
        <v>2537</v>
      </c>
      <c r="K1669" s="2">
        <v>3760</v>
      </c>
      <c r="L1669" s="35">
        <f t="shared" si="88"/>
        <v>12298997.600000001</v>
      </c>
      <c r="M1669" s="36">
        <v>1000</v>
      </c>
      <c r="N1669" s="40">
        <v>19996.964285714301</v>
      </c>
      <c r="O1669" s="40">
        <v>25950</v>
      </c>
      <c r="P1669" s="40">
        <v>50159.047619047597</v>
      </c>
      <c r="Q1669" s="40">
        <v>5911.25</v>
      </c>
      <c r="R1669" s="40">
        <v>72619.559523809497</v>
      </c>
      <c r="S1669" s="40">
        <v>21092.619047618999</v>
      </c>
      <c r="T1669" s="48"/>
      <c r="U1669" s="40">
        <v>324199.40476190503</v>
      </c>
      <c r="V1669" s="40">
        <v>80654.761904761894</v>
      </c>
      <c r="W1669" s="45">
        <f t="shared" si="89"/>
        <v>600583.60714285728</v>
      </c>
      <c r="X1669" s="46">
        <f t="shared" si="90"/>
        <v>4.8831915142650093</v>
      </c>
    </row>
    <row r="1670" spans="1:24" s="4" customFormat="1" ht="15" customHeight="1">
      <c r="A1670" s="28" t="s">
        <v>2168</v>
      </c>
      <c r="B1670" s="29">
        <v>3271.01</v>
      </c>
      <c r="C1670" s="30" t="s">
        <v>2535</v>
      </c>
      <c r="D1670" s="2">
        <v>4950210605</v>
      </c>
      <c r="E1670" s="2" t="s">
        <v>14</v>
      </c>
      <c r="F1670" s="2" t="s">
        <v>2536</v>
      </c>
      <c r="G1670" s="28" t="s">
        <v>5</v>
      </c>
      <c r="H1670" s="2" t="s">
        <v>17</v>
      </c>
      <c r="I1670" s="2">
        <v>1</v>
      </c>
      <c r="J1670" s="2" t="s">
        <v>2537</v>
      </c>
      <c r="K1670" s="2">
        <v>8250</v>
      </c>
      <c r="L1670" s="35">
        <f t="shared" si="88"/>
        <v>26985832.5</v>
      </c>
      <c r="M1670" s="36">
        <v>2200</v>
      </c>
      <c r="N1670" s="40">
        <v>43993.321428571398</v>
      </c>
      <c r="O1670" s="40">
        <v>57090</v>
      </c>
      <c r="P1670" s="40">
        <v>110349.904761905</v>
      </c>
      <c r="Q1670" s="40">
        <v>13004.75</v>
      </c>
      <c r="R1670" s="40">
        <v>159762.63095238101</v>
      </c>
      <c r="S1670" s="40">
        <v>46403.761904761901</v>
      </c>
      <c r="T1670" s="40">
        <v>30000</v>
      </c>
      <c r="U1670" s="40">
        <v>713238.690476191</v>
      </c>
      <c r="V1670" s="40">
        <v>177440.47619047601</v>
      </c>
      <c r="W1670" s="45">
        <f t="shared" si="89"/>
        <v>1351283.5357142861</v>
      </c>
      <c r="X1670" s="46">
        <f t="shared" si="90"/>
        <v>5.007381320232704</v>
      </c>
    </row>
    <row r="1671" spans="1:24" s="4" customFormat="1" ht="15" customHeight="1">
      <c r="A1671" s="28" t="s">
        <v>2168</v>
      </c>
      <c r="B1671" s="29">
        <v>3271.01</v>
      </c>
      <c r="C1671" s="30" t="s">
        <v>2535</v>
      </c>
      <c r="D1671" s="2">
        <v>4950210634</v>
      </c>
      <c r="E1671" s="2" t="s">
        <v>14</v>
      </c>
      <c r="F1671" s="2" t="s">
        <v>2536</v>
      </c>
      <c r="G1671" s="28" t="s">
        <v>5</v>
      </c>
      <c r="H1671" s="2" t="s">
        <v>17</v>
      </c>
      <c r="I1671" s="2">
        <v>1</v>
      </c>
      <c r="J1671" s="2" t="s">
        <v>2537</v>
      </c>
      <c r="K1671" s="2">
        <v>14394</v>
      </c>
      <c r="L1671" s="35">
        <f t="shared" si="88"/>
        <v>47082917.940000005</v>
      </c>
      <c r="M1671" s="36">
        <v>300</v>
      </c>
      <c r="N1671" s="40">
        <v>5999.0892857142899</v>
      </c>
      <c r="O1671" s="40">
        <v>7785</v>
      </c>
      <c r="P1671" s="40">
        <v>15047.714285714301</v>
      </c>
      <c r="Q1671" s="40">
        <v>1773.375</v>
      </c>
      <c r="R1671" s="40">
        <v>21786.267857142899</v>
      </c>
      <c r="S1671" s="40">
        <v>6327.7857142857101</v>
      </c>
      <c r="T1671" s="40">
        <v>30000</v>
      </c>
      <c r="U1671" s="40">
        <v>97259.821428571406</v>
      </c>
      <c r="V1671" s="40">
        <v>24196.428571428602</v>
      </c>
      <c r="W1671" s="45">
        <f t="shared" si="89"/>
        <v>210175.48214285722</v>
      </c>
      <c r="X1671" s="46">
        <f t="shared" si="90"/>
        <v>0.44639434287121671</v>
      </c>
    </row>
    <row r="1672" spans="1:24" s="4" customFormat="1" ht="15" customHeight="1">
      <c r="A1672" s="28" t="s">
        <v>2168</v>
      </c>
      <c r="B1672" s="29">
        <v>3271.01</v>
      </c>
      <c r="C1672" s="30" t="s">
        <v>2535</v>
      </c>
      <c r="D1672" s="2">
        <v>4950274555</v>
      </c>
      <c r="E1672" s="2" t="s">
        <v>14</v>
      </c>
      <c r="F1672" s="2" t="s">
        <v>2536</v>
      </c>
      <c r="G1672" s="28" t="s">
        <v>5</v>
      </c>
      <c r="H1672" s="2" t="s">
        <v>17</v>
      </c>
      <c r="I1672" s="2">
        <v>1</v>
      </c>
      <c r="J1672" s="2" t="s">
        <v>2537</v>
      </c>
      <c r="K1672" s="2">
        <v>3268.75</v>
      </c>
      <c r="L1672" s="35">
        <f t="shared" si="88"/>
        <v>10692113.9375</v>
      </c>
      <c r="M1672" s="36">
        <v>625</v>
      </c>
      <c r="N1672" s="40">
        <v>12498.1026785714</v>
      </c>
      <c r="O1672" s="40">
        <v>16218.75</v>
      </c>
      <c r="P1672" s="40">
        <v>31349.4047619048</v>
      </c>
      <c r="Q1672" s="40">
        <v>3694.53125</v>
      </c>
      <c r="R1672" s="40">
        <v>45387.474702380998</v>
      </c>
      <c r="S1672" s="40">
        <v>13182.886904761899</v>
      </c>
      <c r="T1672" s="40">
        <v>30000</v>
      </c>
      <c r="U1672" s="40">
        <v>202624.62797619001</v>
      </c>
      <c r="V1672" s="40">
        <v>50409.226190476198</v>
      </c>
      <c r="W1672" s="45">
        <f t="shared" si="89"/>
        <v>405365.00446428533</v>
      </c>
      <c r="X1672" s="46">
        <f t="shared" si="90"/>
        <v>3.7912521960934753</v>
      </c>
    </row>
    <row r="1673" spans="1:24" s="4" customFormat="1" ht="15" customHeight="1">
      <c r="A1673" s="28" t="s">
        <v>2168</v>
      </c>
      <c r="B1673" s="29">
        <v>3271.01</v>
      </c>
      <c r="C1673" s="30" t="s">
        <v>2535</v>
      </c>
      <c r="D1673" s="2">
        <v>4949681280</v>
      </c>
      <c r="E1673" s="2" t="s">
        <v>18</v>
      </c>
      <c r="F1673" s="2" t="s">
        <v>2536</v>
      </c>
      <c r="G1673" s="28" t="s">
        <v>5</v>
      </c>
      <c r="H1673" s="2" t="s">
        <v>17</v>
      </c>
      <c r="I1673" s="2">
        <v>1</v>
      </c>
      <c r="J1673" s="2" t="s">
        <v>2537</v>
      </c>
      <c r="K1673" s="2">
        <v>49906.25</v>
      </c>
      <c r="L1673" s="35">
        <f t="shared" si="88"/>
        <v>163243842.8125</v>
      </c>
      <c r="M1673" s="36">
        <v>3125</v>
      </c>
      <c r="N1673" s="40">
        <v>62490.513392857101</v>
      </c>
      <c r="O1673" s="40">
        <v>81093.75</v>
      </c>
      <c r="P1673" s="40">
        <v>156747.02380952399</v>
      </c>
      <c r="Q1673" s="40">
        <v>18472.65625</v>
      </c>
      <c r="R1673" s="40">
        <v>226935.373511905</v>
      </c>
      <c r="S1673" s="40">
        <v>65914.434523809497</v>
      </c>
      <c r="T1673" s="40">
        <v>30000</v>
      </c>
      <c r="U1673" s="40">
        <v>1013123.13988095</v>
      </c>
      <c r="V1673" s="40">
        <v>252046.13095238101</v>
      </c>
      <c r="W1673" s="45">
        <f t="shared" si="89"/>
        <v>1906823.0223214265</v>
      </c>
      <c r="X1673" s="46">
        <f t="shared" si="90"/>
        <v>1.168082660558035</v>
      </c>
    </row>
    <row r="1674" spans="1:24" s="4" customFormat="1" ht="15" customHeight="1">
      <c r="A1674" s="28" t="s">
        <v>2168</v>
      </c>
      <c r="B1674" s="29">
        <v>3271.01</v>
      </c>
      <c r="C1674" s="30" t="s">
        <v>2535</v>
      </c>
      <c r="D1674" s="2">
        <v>4950282861</v>
      </c>
      <c r="E1674" s="2" t="s">
        <v>18</v>
      </c>
      <c r="F1674" s="2" t="s">
        <v>2536</v>
      </c>
      <c r="G1674" s="28" t="s">
        <v>5</v>
      </c>
      <c r="H1674" s="2" t="s">
        <v>17</v>
      </c>
      <c r="I1674" s="2">
        <v>1</v>
      </c>
      <c r="J1674" s="2" t="s">
        <v>2537</v>
      </c>
      <c r="K1674" s="2">
        <v>97790</v>
      </c>
      <c r="L1674" s="35">
        <f t="shared" si="88"/>
        <v>319872067.90000004</v>
      </c>
      <c r="M1674" s="36">
        <v>1000</v>
      </c>
      <c r="N1674" s="40">
        <v>19996.964285714301</v>
      </c>
      <c r="O1674" s="40">
        <v>25950</v>
      </c>
      <c r="P1674" s="40">
        <v>50159.047619047597</v>
      </c>
      <c r="Q1674" s="40">
        <v>5911.25</v>
      </c>
      <c r="R1674" s="40">
        <v>72609.559523809497</v>
      </c>
      <c r="S1674" s="40">
        <v>21092.619047618999</v>
      </c>
      <c r="T1674" s="40">
        <v>30000</v>
      </c>
      <c r="U1674" s="40">
        <v>324199.40476190503</v>
      </c>
      <c r="V1674" s="40">
        <v>80654.761904761894</v>
      </c>
      <c r="W1674" s="45">
        <f t="shared" si="89"/>
        <v>630573.60714285728</v>
      </c>
      <c r="X1674" s="46">
        <f t="shared" si="90"/>
        <v>0.19713306362842231</v>
      </c>
    </row>
    <row r="1675" spans="1:24" s="4" customFormat="1" ht="15" customHeight="1">
      <c r="A1675" s="28" t="s">
        <v>2168</v>
      </c>
      <c r="B1675" s="29">
        <v>3271.01</v>
      </c>
      <c r="C1675" s="30" t="s">
        <v>2535</v>
      </c>
      <c r="D1675" s="2">
        <v>4949570837</v>
      </c>
      <c r="E1675" s="2" t="s">
        <v>24</v>
      </c>
      <c r="F1675" s="2" t="s">
        <v>2536</v>
      </c>
      <c r="G1675" s="28" t="s">
        <v>5</v>
      </c>
      <c r="H1675" s="2" t="s">
        <v>17</v>
      </c>
      <c r="I1675" s="2">
        <v>1</v>
      </c>
      <c r="J1675" s="2" t="s">
        <v>2537</v>
      </c>
      <c r="K1675" s="2">
        <v>2970</v>
      </c>
      <c r="L1675" s="35">
        <f t="shared" si="88"/>
        <v>9714899.7000000011</v>
      </c>
      <c r="M1675" s="36">
        <v>2250</v>
      </c>
      <c r="N1675" s="40">
        <v>44993.169642857101</v>
      </c>
      <c r="O1675" s="40">
        <v>58387.5</v>
      </c>
      <c r="P1675" s="40">
        <v>112857.857142857</v>
      </c>
      <c r="Q1675" s="40">
        <v>13300.3125</v>
      </c>
      <c r="R1675" s="40">
        <v>163393.50892857101</v>
      </c>
      <c r="S1675" s="40">
        <v>47458.392857142899</v>
      </c>
      <c r="T1675" s="48"/>
      <c r="U1675" s="40">
        <v>729448.66071428603</v>
      </c>
      <c r="V1675" s="40">
        <v>181473.214285714</v>
      </c>
      <c r="W1675" s="45">
        <f t="shared" si="89"/>
        <v>1351312.6160714282</v>
      </c>
      <c r="X1675" s="46">
        <f t="shared" si="90"/>
        <v>13.909691893900131</v>
      </c>
    </row>
    <row r="1676" spans="1:24" s="4" customFormat="1" ht="15" customHeight="1">
      <c r="A1676" s="28" t="s">
        <v>2168</v>
      </c>
      <c r="B1676" s="29">
        <v>3271.01</v>
      </c>
      <c r="C1676" s="30" t="s">
        <v>2535</v>
      </c>
      <c r="D1676" s="2">
        <v>4950060354</v>
      </c>
      <c r="E1676" s="2" t="s">
        <v>18</v>
      </c>
      <c r="F1676" s="2" t="s">
        <v>2536</v>
      </c>
      <c r="G1676" s="28" t="s">
        <v>5</v>
      </c>
      <c r="H1676" s="2" t="s">
        <v>17</v>
      </c>
      <c r="I1676" s="2">
        <v>1</v>
      </c>
      <c r="J1676" s="2" t="s">
        <v>2537</v>
      </c>
      <c r="K1676" s="2">
        <v>83378</v>
      </c>
      <c r="L1676" s="35">
        <f t="shared" si="88"/>
        <v>272730271.78000003</v>
      </c>
      <c r="M1676" s="36">
        <v>4700</v>
      </c>
      <c r="N1676" s="40">
        <v>93985.732142857101</v>
      </c>
      <c r="O1676" s="40">
        <v>121965</v>
      </c>
      <c r="P1676" s="40">
        <v>235747.52380952399</v>
      </c>
      <c r="Q1676" s="40">
        <v>27782.875</v>
      </c>
      <c r="R1676" s="40">
        <v>341310.52976190503</v>
      </c>
      <c r="S1676" s="40">
        <v>99135.309523809497</v>
      </c>
      <c r="T1676" s="40">
        <v>30000</v>
      </c>
      <c r="U1676" s="40">
        <v>1523737.2023809501</v>
      </c>
      <c r="V1676" s="40">
        <v>379077.38095238101</v>
      </c>
      <c r="W1676" s="45">
        <f t="shared" si="89"/>
        <v>2852741.5535714268</v>
      </c>
      <c r="X1676" s="46">
        <f t="shared" si="90"/>
        <v>1.0459937340115337</v>
      </c>
    </row>
    <row r="1677" spans="1:24" s="4" customFormat="1" ht="15" customHeight="1">
      <c r="A1677" s="28" t="s">
        <v>2168</v>
      </c>
      <c r="B1677" s="29">
        <v>3271.01</v>
      </c>
      <c r="C1677" s="30" t="s">
        <v>2535</v>
      </c>
      <c r="D1677" s="2">
        <v>4950210605</v>
      </c>
      <c r="E1677" s="2" t="s">
        <v>14</v>
      </c>
      <c r="F1677" s="2" t="s">
        <v>2536</v>
      </c>
      <c r="G1677" s="28" t="s">
        <v>5</v>
      </c>
      <c r="H1677" s="2" t="s">
        <v>17</v>
      </c>
      <c r="I1677" s="2">
        <v>1</v>
      </c>
      <c r="J1677" s="2" t="s">
        <v>2537</v>
      </c>
      <c r="K1677" s="2">
        <v>2059.6</v>
      </c>
      <c r="L1677" s="35">
        <f t="shared" si="88"/>
        <v>6736972.1960000005</v>
      </c>
      <c r="M1677" s="36">
        <v>760</v>
      </c>
      <c r="N1677" s="40">
        <v>15197.6928571429</v>
      </c>
      <c r="O1677" s="40">
        <v>19722</v>
      </c>
      <c r="P1677" s="40">
        <v>38120.8761904762</v>
      </c>
      <c r="Q1677" s="40">
        <v>4492.55</v>
      </c>
      <c r="R1677" s="40">
        <v>55191.145238095203</v>
      </c>
      <c r="S1677" s="40">
        <v>16030.3904761905</v>
      </c>
      <c r="T1677" s="40">
        <v>30000</v>
      </c>
      <c r="U1677" s="40">
        <v>246391.54761904801</v>
      </c>
      <c r="V1677" s="40">
        <v>61297.619047619002</v>
      </c>
      <c r="W1677" s="45">
        <f t="shared" si="89"/>
        <v>486443.82142857177</v>
      </c>
      <c r="X1677" s="46">
        <f t="shared" si="90"/>
        <v>7.2205110437800561</v>
      </c>
    </row>
    <row r="1678" spans="1:24" s="4" customFormat="1" ht="15" customHeight="1">
      <c r="A1678" s="28" t="s">
        <v>2168</v>
      </c>
      <c r="B1678" s="29">
        <v>3271.01</v>
      </c>
      <c r="C1678" s="30" t="s">
        <v>2538</v>
      </c>
      <c r="D1678" s="2">
        <v>4951047696</v>
      </c>
      <c r="E1678" s="2" t="s">
        <v>14</v>
      </c>
      <c r="F1678" s="78" t="s">
        <v>2539</v>
      </c>
      <c r="G1678" s="28" t="s">
        <v>13</v>
      </c>
      <c r="H1678" s="2" t="s">
        <v>23</v>
      </c>
      <c r="I1678" s="2">
        <v>1</v>
      </c>
      <c r="J1678" s="2"/>
      <c r="K1678" s="2">
        <v>928.4</v>
      </c>
      <c r="L1678" s="35">
        <f t="shared" si="88"/>
        <v>3036805.6840000004</v>
      </c>
      <c r="M1678" s="36">
        <v>10</v>
      </c>
      <c r="N1678" s="40">
        <v>323923.53000000003</v>
      </c>
      <c r="O1678" s="40">
        <v>0</v>
      </c>
      <c r="P1678" s="40">
        <v>0</v>
      </c>
      <c r="Q1678" s="40">
        <v>0</v>
      </c>
      <c r="R1678" s="40">
        <v>1296</v>
      </c>
      <c r="S1678" s="40">
        <v>354356</v>
      </c>
      <c r="T1678" s="40">
        <v>30000</v>
      </c>
      <c r="U1678" s="40">
        <v>10265.833333333299</v>
      </c>
      <c r="V1678" s="40">
        <v>0</v>
      </c>
      <c r="W1678" s="45">
        <f t="shared" si="89"/>
        <v>719841.36333333328</v>
      </c>
      <c r="X1678" s="46">
        <f t="shared" si="90"/>
        <v>23.703899367877145</v>
      </c>
    </row>
    <row r="1679" spans="1:24" s="4" customFormat="1" ht="15" customHeight="1">
      <c r="A1679" s="28" t="s">
        <v>2168</v>
      </c>
      <c r="B1679" s="29">
        <v>3271.01</v>
      </c>
      <c r="C1679" s="30" t="s">
        <v>2540</v>
      </c>
      <c r="D1679" s="2">
        <v>4949591590</v>
      </c>
      <c r="E1679" s="2" t="s">
        <v>14</v>
      </c>
      <c r="F1679" s="78" t="s">
        <v>2541</v>
      </c>
      <c r="G1679" s="28" t="s">
        <v>13</v>
      </c>
      <c r="H1679" s="2" t="s">
        <v>23</v>
      </c>
      <c r="I1679" s="2">
        <v>1</v>
      </c>
      <c r="J1679" s="2"/>
      <c r="K1679" s="2">
        <v>582.29999999999995</v>
      </c>
      <c r="L1679" s="35">
        <f t="shared" si="88"/>
        <v>1904709.1229999999</v>
      </c>
      <c r="M1679" s="36">
        <v>10</v>
      </c>
      <c r="N1679" s="40">
        <v>324471.34000000003</v>
      </c>
      <c r="O1679" s="40">
        <v>0</v>
      </c>
      <c r="P1679" s="40">
        <v>0</v>
      </c>
      <c r="Q1679" s="40">
        <v>0</v>
      </c>
      <c r="R1679" s="40">
        <v>1298</v>
      </c>
      <c r="S1679" s="40">
        <v>354356</v>
      </c>
      <c r="T1679" s="40">
        <v>30000</v>
      </c>
      <c r="U1679" s="40">
        <v>10265.833333333299</v>
      </c>
      <c r="V1679" s="40">
        <v>0</v>
      </c>
      <c r="W1679" s="45">
        <f t="shared" si="89"/>
        <v>720391.17333333334</v>
      </c>
      <c r="X1679" s="46">
        <f t="shared" si="90"/>
        <v>37.821584652184889</v>
      </c>
    </row>
    <row r="1680" spans="1:24" s="4" customFormat="1" ht="15" customHeight="1">
      <c r="A1680" s="28" t="s">
        <v>2168</v>
      </c>
      <c r="B1680" s="29">
        <v>3271.01</v>
      </c>
      <c r="C1680" s="30" t="s">
        <v>2542</v>
      </c>
      <c r="D1680" s="2">
        <v>4951179419</v>
      </c>
      <c r="E1680" s="2" t="s">
        <v>14</v>
      </c>
      <c r="F1680" s="78" t="s">
        <v>2543</v>
      </c>
      <c r="G1680" s="28" t="s">
        <v>13</v>
      </c>
      <c r="H1680" s="2" t="s">
        <v>23</v>
      </c>
      <c r="I1680" s="2">
        <v>1</v>
      </c>
      <c r="J1680" s="2"/>
      <c r="K1680" s="2">
        <v>1288.8</v>
      </c>
      <c r="L1680" s="35">
        <f t="shared" si="88"/>
        <v>4215677.6880000001</v>
      </c>
      <c r="M1680" s="36">
        <v>30</v>
      </c>
      <c r="N1680" s="40">
        <v>306458.03999999998</v>
      </c>
      <c r="O1680" s="40">
        <v>0</v>
      </c>
      <c r="P1680" s="40">
        <v>0</v>
      </c>
      <c r="Q1680" s="40">
        <v>0</v>
      </c>
      <c r="R1680" s="40">
        <v>1226</v>
      </c>
      <c r="S1680" s="40">
        <v>354356</v>
      </c>
      <c r="T1680" s="40">
        <v>30000</v>
      </c>
      <c r="U1680" s="40">
        <v>41063.333333333299</v>
      </c>
      <c r="V1680" s="40">
        <v>0</v>
      </c>
      <c r="W1680" s="45">
        <f t="shared" si="89"/>
        <v>733103.37333333329</v>
      </c>
      <c r="X1680" s="46">
        <f t="shared" si="90"/>
        <v>17.389929391901209</v>
      </c>
    </row>
    <row r="1681" spans="1:24" s="4" customFormat="1" ht="15" customHeight="1">
      <c r="A1681" s="28" t="s">
        <v>2168</v>
      </c>
      <c r="B1681" s="29">
        <v>3271.01</v>
      </c>
      <c r="C1681" s="30" t="s">
        <v>2544</v>
      </c>
      <c r="D1681" s="2">
        <v>4950216815</v>
      </c>
      <c r="E1681" s="2" t="s">
        <v>14</v>
      </c>
      <c r="F1681" s="78" t="s">
        <v>2545</v>
      </c>
      <c r="G1681" s="28" t="s">
        <v>9</v>
      </c>
      <c r="H1681" s="2" t="s">
        <v>23</v>
      </c>
      <c r="I1681" s="2">
        <v>5</v>
      </c>
      <c r="J1681" s="2"/>
      <c r="K1681" s="2">
        <v>5520</v>
      </c>
      <c r="L1681" s="35">
        <f t="shared" si="88"/>
        <v>18055975.200000003</v>
      </c>
      <c r="M1681" s="36">
        <v>6000</v>
      </c>
      <c r="N1681" s="40">
        <v>906385</v>
      </c>
      <c r="O1681" s="40">
        <v>0</v>
      </c>
      <c r="P1681" s="40">
        <v>392355</v>
      </c>
      <c r="Q1681" s="40">
        <v>46115</v>
      </c>
      <c r="R1681" s="40">
        <v>290636</v>
      </c>
      <c r="S1681" s="40">
        <v>354356</v>
      </c>
      <c r="T1681" s="40">
        <v>30000</v>
      </c>
      <c r="U1681" s="40">
        <v>897250</v>
      </c>
      <c r="V1681" s="40">
        <v>0</v>
      </c>
      <c r="W1681" s="45">
        <f t="shared" si="89"/>
        <v>2917097</v>
      </c>
      <c r="X1681" s="46">
        <f t="shared" si="90"/>
        <v>16.155854046587301</v>
      </c>
    </row>
    <row r="1682" spans="1:24" s="4" customFormat="1" ht="15" customHeight="1">
      <c r="A1682" s="28" t="s">
        <v>2168</v>
      </c>
      <c r="B1682" s="29">
        <v>3271.01</v>
      </c>
      <c r="C1682" s="30" t="s">
        <v>2546</v>
      </c>
      <c r="D1682" s="2">
        <v>4950002065</v>
      </c>
      <c r="E1682" s="2" t="s">
        <v>36</v>
      </c>
      <c r="F1682" s="78" t="s">
        <v>2547</v>
      </c>
      <c r="G1682" s="28" t="s">
        <v>5</v>
      </c>
      <c r="H1682" s="2" t="s">
        <v>20</v>
      </c>
      <c r="I1682" s="2">
        <v>3</v>
      </c>
      <c r="J1682" s="2" t="s">
        <v>2548</v>
      </c>
      <c r="K1682" s="2">
        <v>94770</v>
      </c>
      <c r="L1682" s="35">
        <f t="shared" si="88"/>
        <v>309993617.70000005</v>
      </c>
      <c r="M1682" s="36">
        <v>58500</v>
      </c>
      <c r="N1682" s="40">
        <v>931617</v>
      </c>
      <c r="O1682" s="40">
        <v>1270864</v>
      </c>
      <c r="P1682" s="40">
        <v>1321758</v>
      </c>
      <c r="Q1682" s="40">
        <v>372411</v>
      </c>
      <c r="R1682" s="40">
        <v>2625327</v>
      </c>
      <c r="S1682" s="40">
        <v>354356</v>
      </c>
      <c r="T1682" s="48"/>
      <c r="U1682" s="40">
        <v>1557900</v>
      </c>
      <c r="V1682" s="40">
        <v>0</v>
      </c>
      <c r="W1682" s="45">
        <f t="shared" si="89"/>
        <v>8434233</v>
      </c>
      <c r="X1682" s="46">
        <f t="shared" si="90"/>
        <v>2.7207763380994274</v>
      </c>
    </row>
    <row r="1683" spans="1:24" s="4" customFormat="1" ht="15" customHeight="1">
      <c r="A1683" s="28" t="s">
        <v>2168</v>
      </c>
      <c r="B1683" s="29">
        <v>3271.01</v>
      </c>
      <c r="C1683" s="30" t="s">
        <v>2549</v>
      </c>
      <c r="D1683" s="2">
        <v>4950372291</v>
      </c>
      <c r="E1683" s="2" t="s">
        <v>18</v>
      </c>
      <c r="F1683" s="2" t="s">
        <v>2550</v>
      </c>
      <c r="G1683" s="28" t="s">
        <v>5</v>
      </c>
      <c r="H1683" s="2" t="s">
        <v>32</v>
      </c>
      <c r="I1683" s="2">
        <v>1</v>
      </c>
      <c r="J1683" s="2" t="s">
        <v>2551</v>
      </c>
      <c r="K1683" s="2">
        <v>21892.799999999999</v>
      </c>
      <c r="L1683" s="35">
        <f t="shared" si="88"/>
        <v>71611567.728</v>
      </c>
      <c r="M1683" s="36">
        <v>480</v>
      </c>
      <c r="N1683" s="40">
        <v>55991.5</v>
      </c>
      <c r="O1683" s="40">
        <v>56707.333333333299</v>
      </c>
      <c r="P1683" s="40">
        <v>0</v>
      </c>
      <c r="Q1683" s="40">
        <v>16551.5</v>
      </c>
      <c r="R1683" s="40">
        <v>168100</v>
      </c>
      <c r="S1683" s="40">
        <v>59059.333333333299</v>
      </c>
      <c r="T1683" s="40">
        <v>30000</v>
      </c>
      <c r="U1683" s="40">
        <v>827114</v>
      </c>
      <c r="V1683" s="40">
        <v>222500</v>
      </c>
      <c r="W1683" s="45">
        <f t="shared" si="89"/>
        <v>1436023.6666666665</v>
      </c>
      <c r="X1683" s="46">
        <f t="shared" si="90"/>
        <v>2.0052956697178739</v>
      </c>
    </row>
    <row r="1684" spans="1:24" s="4" customFormat="1" ht="15" customHeight="1">
      <c r="A1684" s="28" t="s">
        <v>2168</v>
      </c>
      <c r="B1684" s="29">
        <v>3271.01</v>
      </c>
      <c r="C1684" s="30" t="s">
        <v>2549</v>
      </c>
      <c r="D1684" s="2">
        <v>4950285297</v>
      </c>
      <c r="E1684" s="2" t="s">
        <v>18</v>
      </c>
      <c r="F1684" s="2" t="s">
        <v>2550</v>
      </c>
      <c r="G1684" s="28" t="s">
        <v>5</v>
      </c>
      <c r="H1684" s="2" t="s">
        <v>32</v>
      </c>
      <c r="I1684" s="2">
        <v>1</v>
      </c>
      <c r="J1684" s="2" t="s">
        <v>2551</v>
      </c>
      <c r="K1684" s="2">
        <v>223584</v>
      </c>
      <c r="L1684" s="35">
        <f t="shared" si="88"/>
        <v>731345499.84000003</v>
      </c>
      <c r="M1684" s="36">
        <v>2400</v>
      </c>
      <c r="N1684" s="40">
        <v>279957.5</v>
      </c>
      <c r="O1684" s="40">
        <v>283536.66666666698</v>
      </c>
      <c r="P1684" s="40">
        <v>0</v>
      </c>
      <c r="Q1684" s="40">
        <v>82757.5</v>
      </c>
      <c r="R1684" s="40">
        <v>840498</v>
      </c>
      <c r="S1684" s="40">
        <v>295296.66666666698</v>
      </c>
      <c r="T1684" s="40">
        <v>30000</v>
      </c>
      <c r="U1684" s="40">
        <v>4135570</v>
      </c>
      <c r="V1684" s="40">
        <v>1112500</v>
      </c>
      <c r="W1684" s="45">
        <f t="shared" si="89"/>
        <v>7060116.333333334</v>
      </c>
      <c r="X1684" s="46">
        <f t="shared" si="90"/>
        <v>0.96535992015783356</v>
      </c>
    </row>
    <row r="1685" spans="1:24" s="4" customFormat="1" ht="15" customHeight="1">
      <c r="A1685" s="28" t="s">
        <v>2168</v>
      </c>
      <c r="B1685" s="29">
        <v>3271.01</v>
      </c>
      <c r="C1685" s="30" t="s">
        <v>2552</v>
      </c>
      <c r="D1685" s="2">
        <v>4950874847</v>
      </c>
      <c r="E1685" s="2" t="s">
        <v>14</v>
      </c>
      <c r="F1685" s="78" t="s">
        <v>2553</v>
      </c>
      <c r="G1685" s="28" t="s">
        <v>13</v>
      </c>
      <c r="H1685" s="2" t="s">
        <v>23</v>
      </c>
      <c r="I1685" s="2">
        <v>1</v>
      </c>
      <c r="J1685" s="2"/>
      <c r="K1685" s="2">
        <v>638</v>
      </c>
      <c r="L1685" s="35">
        <f t="shared" si="88"/>
        <v>2086904.3800000001</v>
      </c>
      <c r="M1685" s="36">
        <v>20</v>
      </c>
      <c r="N1685" s="40">
        <v>322910.7</v>
      </c>
      <c r="O1685" s="40">
        <v>0</v>
      </c>
      <c r="P1685" s="40">
        <v>0</v>
      </c>
      <c r="Q1685" s="40">
        <v>0</v>
      </c>
      <c r="R1685" s="40">
        <v>1292</v>
      </c>
      <c r="S1685" s="40">
        <v>354356</v>
      </c>
      <c r="T1685" s="40">
        <v>30000</v>
      </c>
      <c r="U1685" s="40">
        <v>27375.555555555598</v>
      </c>
      <c r="V1685" s="40">
        <v>0</v>
      </c>
      <c r="W1685" s="45">
        <f t="shared" si="89"/>
        <v>735934.25555555557</v>
      </c>
      <c r="X1685" s="46">
        <f t="shared" si="90"/>
        <v>35.264397478314535</v>
      </c>
    </row>
    <row r="1686" spans="1:24" s="4" customFormat="1" ht="15" customHeight="1">
      <c r="A1686" s="28" t="s">
        <v>2168</v>
      </c>
      <c r="B1686" s="29">
        <v>3271.01</v>
      </c>
      <c r="C1686" s="30" t="s">
        <v>2554</v>
      </c>
      <c r="D1686" s="2">
        <v>4950879132</v>
      </c>
      <c r="E1686" s="2" t="s">
        <v>14</v>
      </c>
      <c r="F1686" s="78" t="s">
        <v>2555</v>
      </c>
      <c r="G1686" s="28" t="s">
        <v>13</v>
      </c>
      <c r="H1686" s="2" t="s">
        <v>23</v>
      </c>
      <c r="I1686" s="2">
        <v>1</v>
      </c>
      <c r="J1686" s="2"/>
      <c r="K1686" s="2">
        <f>662.4+101.19</f>
        <v>763.58999999999992</v>
      </c>
      <c r="L1686" s="35">
        <f t="shared" si="88"/>
        <v>2497710.5258999998</v>
      </c>
      <c r="M1686" s="36">
        <v>120</v>
      </c>
      <c r="N1686" s="40">
        <v>516790</v>
      </c>
      <c r="O1686" s="40">
        <v>0</v>
      </c>
      <c r="P1686" s="40">
        <v>0</v>
      </c>
      <c r="Q1686" s="40">
        <v>0</v>
      </c>
      <c r="R1686" s="40">
        <v>3362</v>
      </c>
      <c r="S1686" s="40">
        <v>354356</v>
      </c>
      <c r="T1686" s="40">
        <v>30000</v>
      </c>
      <c r="U1686" s="40">
        <v>164253.33333333299</v>
      </c>
      <c r="V1686" s="40">
        <v>0</v>
      </c>
      <c r="W1686" s="45">
        <f t="shared" si="89"/>
        <v>1068761.333333333</v>
      </c>
      <c r="X1686" s="46">
        <f t="shared" si="90"/>
        <v>42.789639642016816</v>
      </c>
    </row>
    <row r="1687" spans="1:24" s="4" customFormat="1" ht="15" customHeight="1">
      <c r="A1687" s="28" t="s">
        <v>2168</v>
      </c>
      <c r="B1687" s="29">
        <v>3271.01</v>
      </c>
      <c r="C1687" s="30" t="s">
        <v>2556</v>
      </c>
      <c r="D1687" s="2">
        <v>4951008889</v>
      </c>
      <c r="E1687" s="2" t="s">
        <v>14</v>
      </c>
      <c r="F1687" s="78" t="s">
        <v>2557</v>
      </c>
      <c r="G1687" s="28" t="s">
        <v>13</v>
      </c>
      <c r="H1687" s="2" t="s">
        <v>23</v>
      </c>
      <c r="I1687" s="2">
        <v>1</v>
      </c>
      <c r="J1687" s="2"/>
      <c r="K1687" s="2">
        <v>816.2</v>
      </c>
      <c r="L1687" s="35">
        <f t="shared" si="88"/>
        <v>2669798.3620000002</v>
      </c>
      <c r="M1687" s="36">
        <v>220</v>
      </c>
      <c r="N1687" s="40">
        <v>530034.99</v>
      </c>
      <c r="O1687" s="40">
        <v>0</v>
      </c>
      <c r="P1687" s="40">
        <v>0</v>
      </c>
      <c r="Q1687" s="40">
        <v>0</v>
      </c>
      <c r="R1687" s="40">
        <v>2120</v>
      </c>
      <c r="S1687" s="40">
        <v>354356</v>
      </c>
      <c r="T1687" s="40">
        <v>30000</v>
      </c>
      <c r="U1687" s="40">
        <v>225848.33333333299</v>
      </c>
      <c r="V1687" s="40">
        <v>0</v>
      </c>
      <c r="W1687" s="45">
        <f t="shared" si="89"/>
        <v>1142359.323333333</v>
      </c>
      <c r="X1687" s="46">
        <f t="shared" si="90"/>
        <v>42.788224743593311</v>
      </c>
    </row>
    <row r="1688" spans="1:24" s="4" customFormat="1" ht="15" customHeight="1">
      <c r="A1688" s="28" t="s">
        <v>2168</v>
      </c>
      <c r="B1688" s="29">
        <v>3271.01</v>
      </c>
      <c r="C1688" s="30" t="s">
        <v>2558</v>
      </c>
      <c r="D1688" s="2">
        <v>4951047699</v>
      </c>
      <c r="E1688" s="2" t="s">
        <v>14</v>
      </c>
      <c r="F1688" s="78" t="s">
        <v>2559</v>
      </c>
      <c r="G1688" s="28" t="s">
        <v>13</v>
      </c>
      <c r="H1688" s="2" t="s">
        <v>23</v>
      </c>
      <c r="I1688" s="2">
        <v>1</v>
      </c>
      <c r="J1688" s="2"/>
      <c r="K1688" s="2">
        <v>859.5</v>
      </c>
      <c r="L1688" s="35">
        <f t="shared" si="88"/>
        <v>2811433.0950000002</v>
      </c>
      <c r="M1688" s="36">
        <v>10</v>
      </c>
      <c r="N1688" s="40">
        <v>306943</v>
      </c>
      <c r="O1688" s="40">
        <v>0</v>
      </c>
      <c r="P1688" s="40">
        <v>0</v>
      </c>
      <c r="Q1688" s="40">
        <v>0</v>
      </c>
      <c r="R1688" s="40">
        <v>1228</v>
      </c>
      <c r="S1688" s="40">
        <v>354356</v>
      </c>
      <c r="T1688" s="40">
        <v>30000</v>
      </c>
      <c r="U1688" s="40">
        <v>13687.777777777799</v>
      </c>
      <c r="V1688" s="40">
        <v>0</v>
      </c>
      <c r="W1688" s="45">
        <f t="shared" si="89"/>
        <v>706214.77777777775</v>
      </c>
      <c r="X1688" s="46">
        <f t="shared" si="90"/>
        <v>25.119387654422475</v>
      </c>
    </row>
    <row r="1689" spans="1:24" s="4" customFormat="1" ht="15" customHeight="1">
      <c r="A1689" s="28" t="s">
        <v>2168</v>
      </c>
      <c r="B1689" s="29">
        <v>3271.01</v>
      </c>
      <c r="C1689" s="30" t="s">
        <v>2560</v>
      </c>
      <c r="D1689" s="2">
        <v>4950816757</v>
      </c>
      <c r="E1689" s="2" t="s">
        <v>24</v>
      </c>
      <c r="F1689" s="2" t="s">
        <v>2561</v>
      </c>
      <c r="G1689" s="28" t="s">
        <v>13</v>
      </c>
      <c r="H1689" s="2" t="s">
        <v>23</v>
      </c>
      <c r="I1689" s="2">
        <v>3</v>
      </c>
      <c r="J1689" s="2"/>
      <c r="K1689" s="2">
        <v>753.6</v>
      </c>
      <c r="L1689" s="35">
        <f t="shared" si="88"/>
        <v>2465033.1360000004</v>
      </c>
      <c r="M1689" s="36">
        <v>60</v>
      </c>
      <c r="N1689" s="40">
        <v>73033.48</v>
      </c>
      <c r="O1689" s="40">
        <v>0</v>
      </c>
      <c r="P1689" s="40">
        <v>0</v>
      </c>
      <c r="Q1689" s="40">
        <v>0</v>
      </c>
      <c r="R1689" s="40">
        <v>292</v>
      </c>
      <c r="S1689" s="40">
        <v>354356</v>
      </c>
      <c r="T1689" s="48"/>
      <c r="U1689" s="40">
        <v>246380</v>
      </c>
      <c r="V1689" s="40">
        <v>0</v>
      </c>
      <c r="W1689" s="45">
        <f t="shared" si="89"/>
        <v>674061.48</v>
      </c>
      <c r="X1689" s="46">
        <f t="shared" si="90"/>
        <v>27.344925719489389</v>
      </c>
    </row>
    <row r="1690" spans="1:24" s="4" customFormat="1" ht="15" customHeight="1">
      <c r="A1690" s="28" t="s">
        <v>2168</v>
      </c>
      <c r="B1690" s="29">
        <v>3271.01</v>
      </c>
      <c r="C1690" s="30" t="s">
        <v>2562</v>
      </c>
      <c r="D1690" s="2">
        <v>4950090413</v>
      </c>
      <c r="E1690" s="2" t="s">
        <v>14</v>
      </c>
      <c r="F1690" s="78" t="s">
        <v>2563</v>
      </c>
      <c r="G1690" s="28" t="s">
        <v>5</v>
      </c>
      <c r="H1690" s="2" t="s">
        <v>17</v>
      </c>
      <c r="I1690" s="2">
        <v>1</v>
      </c>
      <c r="J1690" s="2" t="s">
        <v>2564</v>
      </c>
      <c r="K1690" s="2">
        <v>1416</v>
      </c>
      <c r="L1690" s="35">
        <f t="shared" si="88"/>
        <v>4631750.16</v>
      </c>
      <c r="M1690" s="36">
        <v>1200</v>
      </c>
      <c r="N1690" s="40">
        <v>0</v>
      </c>
      <c r="O1690" s="40">
        <v>25751.538461538501</v>
      </c>
      <c r="P1690" s="40">
        <v>106381.211538462</v>
      </c>
      <c r="Q1690" s="40">
        <v>5729.3653846153802</v>
      </c>
      <c r="R1690" s="40">
        <v>51048.3461538462</v>
      </c>
      <c r="S1690" s="40">
        <v>20443.615384615401</v>
      </c>
      <c r="T1690" s="40">
        <v>30000</v>
      </c>
      <c r="U1690" s="40">
        <v>328214.42307692301</v>
      </c>
      <c r="V1690" s="40">
        <v>0</v>
      </c>
      <c r="W1690" s="45">
        <f t="shared" si="89"/>
        <v>567568.50000000047</v>
      </c>
      <c r="X1690" s="46">
        <f t="shared" si="90"/>
        <v>12.253866905463667</v>
      </c>
    </row>
    <row r="1691" spans="1:24" s="4" customFormat="1" ht="15" customHeight="1">
      <c r="A1691" s="28" t="s">
        <v>2168</v>
      </c>
      <c r="B1691" s="29">
        <v>3271.01</v>
      </c>
      <c r="C1691" s="30" t="s">
        <v>2562</v>
      </c>
      <c r="D1691" s="2">
        <v>4950090414</v>
      </c>
      <c r="E1691" s="2" t="s">
        <v>14</v>
      </c>
      <c r="F1691" s="78" t="s">
        <v>2563</v>
      </c>
      <c r="G1691" s="28" t="s">
        <v>5</v>
      </c>
      <c r="H1691" s="2" t="s">
        <v>17</v>
      </c>
      <c r="I1691" s="2">
        <v>1</v>
      </c>
      <c r="J1691" s="2" t="s">
        <v>2564</v>
      </c>
      <c r="K1691" s="2">
        <v>2360</v>
      </c>
      <c r="L1691" s="35">
        <f t="shared" si="88"/>
        <v>7719583.6000000006</v>
      </c>
      <c r="M1691" s="36">
        <v>2000</v>
      </c>
      <c r="N1691" s="40">
        <v>0</v>
      </c>
      <c r="O1691" s="40">
        <v>42919.230769230802</v>
      </c>
      <c r="P1691" s="40">
        <v>177302.01923076899</v>
      </c>
      <c r="Q1691" s="40">
        <v>9548.9423076923104</v>
      </c>
      <c r="R1691" s="40">
        <v>85081.576923076893</v>
      </c>
      <c r="S1691" s="40">
        <v>34072.692307692298</v>
      </c>
      <c r="T1691" s="40">
        <v>30000</v>
      </c>
      <c r="U1691" s="40">
        <v>547024.03846153803</v>
      </c>
      <c r="V1691" s="40">
        <v>0</v>
      </c>
      <c r="W1691" s="45">
        <f t="shared" si="89"/>
        <v>925948.4999999993</v>
      </c>
      <c r="X1691" s="46">
        <f t="shared" si="90"/>
        <v>11.99479852773405</v>
      </c>
    </row>
    <row r="1692" spans="1:24" s="4" customFormat="1" ht="15" customHeight="1">
      <c r="A1692" s="28" t="s">
        <v>2168</v>
      </c>
      <c r="B1692" s="29">
        <v>3271.01</v>
      </c>
      <c r="C1692" s="30" t="s">
        <v>2562</v>
      </c>
      <c r="D1692" s="2">
        <v>4950216818</v>
      </c>
      <c r="E1692" s="2" t="s">
        <v>14</v>
      </c>
      <c r="F1692" s="78" t="s">
        <v>2563</v>
      </c>
      <c r="G1692" s="28" t="s">
        <v>5</v>
      </c>
      <c r="H1692" s="2" t="s">
        <v>17</v>
      </c>
      <c r="I1692" s="2">
        <v>1</v>
      </c>
      <c r="J1692" s="2" t="s">
        <v>2564</v>
      </c>
      <c r="K1692" s="2">
        <v>4656</v>
      </c>
      <c r="L1692" s="35">
        <f t="shared" si="88"/>
        <v>15229822.560000001</v>
      </c>
      <c r="M1692" s="36">
        <v>1600</v>
      </c>
      <c r="N1692" s="40">
        <v>0</v>
      </c>
      <c r="O1692" s="40">
        <v>34335.384615384603</v>
      </c>
      <c r="P1692" s="40">
        <v>141841.615384615</v>
      </c>
      <c r="Q1692" s="40">
        <v>7639.1538461538503</v>
      </c>
      <c r="R1692" s="40">
        <v>68065.461538461503</v>
      </c>
      <c r="S1692" s="40">
        <v>27258.1538461538</v>
      </c>
      <c r="T1692" s="40">
        <v>30000</v>
      </c>
      <c r="U1692" s="40">
        <v>437619.23076923098</v>
      </c>
      <c r="V1692" s="40">
        <v>0</v>
      </c>
      <c r="W1692" s="45">
        <f t="shared" si="89"/>
        <v>746758.99999999977</v>
      </c>
      <c r="X1692" s="46">
        <f t="shared" si="90"/>
        <v>4.9032678946720418</v>
      </c>
    </row>
    <row r="1693" spans="1:24" s="4" customFormat="1" ht="15" customHeight="1">
      <c r="A1693" s="28" t="s">
        <v>2168</v>
      </c>
      <c r="B1693" s="29">
        <v>3271.01</v>
      </c>
      <c r="C1693" s="30" t="s">
        <v>2562</v>
      </c>
      <c r="D1693" s="2">
        <v>4950216825</v>
      </c>
      <c r="E1693" s="2" t="s">
        <v>14</v>
      </c>
      <c r="F1693" s="78" t="s">
        <v>2563</v>
      </c>
      <c r="G1693" s="28" t="s">
        <v>5</v>
      </c>
      <c r="H1693" s="2" t="s">
        <v>17</v>
      </c>
      <c r="I1693" s="2">
        <v>1</v>
      </c>
      <c r="J1693" s="2" t="s">
        <v>2564</v>
      </c>
      <c r="K1693" s="2">
        <v>21920</v>
      </c>
      <c r="L1693" s="35">
        <f t="shared" si="88"/>
        <v>71700539.200000003</v>
      </c>
      <c r="M1693" s="36">
        <v>16000</v>
      </c>
      <c r="N1693" s="40">
        <v>0</v>
      </c>
      <c r="O1693" s="40">
        <v>343353.84615384601</v>
      </c>
      <c r="P1693" s="40">
        <v>1418416.15384615</v>
      </c>
      <c r="Q1693" s="40">
        <v>76391.538461538497</v>
      </c>
      <c r="R1693" s="40">
        <v>680650.61538461503</v>
      </c>
      <c r="S1693" s="40">
        <v>272581.53846153797</v>
      </c>
      <c r="T1693" s="40">
        <v>30000</v>
      </c>
      <c r="U1693" s="40">
        <v>4376192.3076923098</v>
      </c>
      <c r="V1693" s="40">
        <v>0</v>
      </c>
      <c r="W1693" s="45">
        <f t="shared" si="89"/>
        <v>7197585.9999999972</v>
      </c>
      <c r="X1693" s="46">
        <f t="shared" si="90"/>
        <v>10.038398707049049</v>
      </c>
    </row>
    <row r="1694" spans="1:24" s="4" customFormat="1" ht="15" customHeight="1">
      <c r="A1694" s="28" t="s">
        <v>2168</v>
      </c>
      <c r="B1694" s="29">
        <v>3271.01</v>
      </c>
      <c r="C1694" s="30" t="s">
        <v>2565</v>
      </c>
      <c r="D1694" s="2">
        <v>4950215953</v>
      </c>
      <c r="E1694" s="2" t="s">
        <v>14</v>
      </c>
      <c r="F1694" s="2" t="s">
        <v>2566</v>
      </c>
      <c r="G1694" s="28" t="s">
        <v>9</v>
      </c>
      <c r="H1694" s="2" t="s">
        <v>23</v>
      </c>
      <c r="I1694" s="2">
        <v>3</v>
      </c>
      <c r="J1694" s="2"/>
      <c r="K1694" s="2">
        <v>7696.8</v>
      </c>
      <c r="L1694" s="35">
        <f t="shared" si="88"/>
        <v>25176309.768000003</v>
      </c>
      <c r="M1694" s="36">
        <v>180</v>
      </c>
      <c r="N1694" s="40">
        <v>164675.02247190999</v>
      </c>
      <c r="O1694" s="40">
        <v>133.078651685393</v>
      </c>
      <c r="P1694" s="40">
        <v>0</v>
      </c>
      <c r="Q1694" s="40">
        <v>4050.4044943820199</v>
      </c>
      <c r="R1694" s="40">
        <v>12596.157303370799</v>
      </c>
      <c r="S1694" s="40">
        <v>35833.7528089888</v>
      </c>
      <c r="T1694" s="40">
        <v>30000</v>
      </c>
      <c r="U1694" s="40">
        <v>102705.882352941</v>
      </c>
      <c r="V1694" s="40">
        <v>0</v>
      </c>
      <c r="W1694" s="45">
        <f t="shared" si="89"/>
        <v>349994.298083278</v>
      </c>
      <c r="X1694" s="46">
        <f t="shared" si="90"/>
        <v>1.3901731481240882</v>
      </c>
    </row>
    <row r="1695" spans="1:24" s="4" customFormat="1" ht="15" customHeight="1">
      <c r="A1695" s="28" t="s">
        <v>2168</v>
      </c>
      <c r="B1695" s="29">
        <v>3271.01</v>
      </c>
      <c r="C1695" s="30" t="s">
        <v>2565</v>
      </c>
      <c r="D1695" s="2">
        <v>4950726671</v>
      </c>
      <c r="E1695" s="2" t="s">
        <v>14</v>
      </c>
      <c r="F1695" s="2" t="s">
        <v>2566</v>
      </c>
      <c r="G1695" s="28" t="s">
        <v>9</v>
      </c>
      <c r="H1695" s="2" t="s">
        <v>23</v>
      </c>
      <c r="I1695" s="2">
        <v>3</v>
      </c>
      <c r="J1695" s="2"/>
      <c r="K1695" s="2">
        <v>3033.6</v>
      </c>
      <c r="L1695" s="35">
        <f t="shared" si="88"/>
        <v>9922935.9360000007</v>
      </c>
      <c r="M1695" s="36">
        <v>1600</v>
      </c>
      <c r="N1695" s="40">
        <v>1463777.9775280899</v>
      </c>
      <c r="O1695" s="40">
        <v>1182.92134831461</v>
      </c>
      <c r="P1695" s="40">
        <v>0</v>
      </c>
      <c r="Q1695" s="40">
        <v>36003.595505618003</v>
      </c>
      <c r="R1695" s="40">
        <v>111965.842696629</v>
      </c>
      <c r="S1695" s="40">
        <v>318522.24719101097</v>
      </c>
      <c r="T1695" s="40">
        <v>30000</v>
      </c>
      <c r="U1695" s="40">
        <v>912941.17647058796</v>
      </c>
      <c r="V1695" s="40">
        <v>0</v>
      </c>
      <c r="W1695" s="45">
        <f t="shared" si="89"/>
        <v>2874393.7607402503</v>
      </c>
      <c r="X1695" s="46">
        <f t="shared" si="90"/>
        <v>28.967170394722281</v>
      </c>
    </row>
    <row r="1696" spans="1:24" s="4" customFormat="1" ht="15" customHeight="1">
      <c r="A1696" s="28" t="s">
        <v>2168</v>
      </c>
      <c r="B1696" s="29">
        <v>3271.01</v>
      </c>
      <c r="C1696" s="30" t="s">
        <v>2567</v>
      </c>
      <c r="D1696" s="2">
        <v>4949590098</v>
      </c>
      <c r="E1696" s="2" t="s">
        <v>14</v>
      </c>
      <c r="F1696" s="2" t="s">
        <v>2568</v>
      </c>
      <c r="G1696" s="28" t="s">
        <v>9</v>
      </c>
      <c r="H1696" s="2" t="s">
        <v>23</v>
      </c>
      <c r="I1696" s="2">
        <v>6</v>
      </c>
      <c r="J1696" s="2"/>
      <c r="K1696" s="2">
        <v>10508.4</v>
      </c>
      <c r="L1696" s="35">
        <f t="shared" si="88"/>
        <v>34373081.483999997</v>
      </c>
      <c r="M1696" s="36">
        <v>2520</v>
      </c>
      <c r="N1696" s="40">
        <v>1573522.5</v>
      </c>
      <c r="O1696" s="40">
        <v>1760.5</v>
      </c>
      <c r="P1696" s="40">
        <v>0</v>
      </c>
      <c r="Q1696" s="40">
        <v>53541.5</v>
      </c>
      <c r="R1696" s="40">
        <v>106633.5</v>
      </c>
      <c r="S1696" s="40">
        <v>177178</v>
      </c>
      <c r="T1696" s="40">
        <v>30000</v>
      </c>
      <c r="U1696" s="40">
        <v>1042750</v>
      </c>
      <c r="V1696" s="40">
        <v>0</v>
      </c>
      <c r="W1696" s="45">
        <f t="shared" si="89"/>
        <v>2985386</v>
      </c>
      <c r="X1696" s="46">
        <f t="shared" si="90"/>
        <v>8.6852440081336297</v>
      </c>
    </row>
    <row r="1697" spans="1:24" s="4" customFormat="1" ht="15" customHeight="1">
      <c r="A1697" s="28" t="s">
        <v>2168</v>
      </c>
      <c r="B1697" s="29">
        <v>3271.01</v>
      </c>
      <c r="C1697" s="30" t="s">
        <v>2567</v>
      </c>
      <c r="D1697" s="2">
        <v>4950058291</v>
      </c>
      <c r="E1697" s="2" t="s">
        <v>14</v>
      </c>
      <c r="F1697" s="2" t="s">
        <v>2568</v>
      </c>
      <c r="G1697" s="28" t="s">
        <v>9</v>
      </c>
      <c r="H1697" s="2" t="s">
        <v>23</v>
      </c>
      <c r="I1697" s="2">
        <v>6</v>
      </c>
      <c r="J1697" s="2"/>
      <c r="K1697" s="2">
        <v>10508.4</v>
      </c>
      <c r="L1697" s="35">
        <f t="shared" si="88"/>
        <v>34373081.483999997</v>
      </c>
      <c r="M1697" s="36">
        <v>2520</v>
      </c>
      <c r="N1697" s="40">
        <v>1573522.5</v>
      </c>
      <c r="O1697" s="40">
        <v>1760.5</v>
      </c>
      <c r="P1697" s="40">
        <v>0</v>
      </c>
      <c r="Q1697" s="40">
        <v>53541.5</v>
      </c>
      <c r="R1697" s="40">
        <v>106633.5</v>
      </c>
      <c r="S1697" s="40">
        <v>177178</v>
      </c>
      <c r="T1697" s="40">
        <v>30000</v>
      </c>
      <c r="U1697" s="40">
        <v>1042750</v>
      </c>
      <c r="V1697" s="40">
        <v>0</v>
      </c>
      <c r="W1697" s="45">
        <f t="shared" si="89"/>
        <v>2985386</v>
      </c>
      <c r="X1697" s="46">
        <f t="shared" si="90"/>
        <v>8.6852440081336297</v>
      </c>
    </row>
    <row r="1698" spans="1:24" s="4" customFormat="1" ht="15" customHeight="1">
      <c r="A1698" s="28" t="s">
        <v>2168</v>
      </c>
      <c r="B1698" s="29">
        <v>3271.01</v>
      </c>
      <c r="C1698" s="30" t="s">
        <v>2569</v>
      </c>
      <c r="D1698" s="2">
        <v>4950285325</v>
      </c>
      <c r="E1698" s="2" t="s">
        <v>18</v>
      </c>
      <c r="F1698" s="2" t="s">
        <v>2570</v>
      </c>
      <c r="G1698" s="28" t="s">
        <v>5</v>
      </c>
      <c r="H1698" s="2" t="s">
        <v>20</v>
      </c>
      <c r="I1698" s="2">
        <v>1</v>
      </c>
      <c r="J1698" s="2" t="s">
        <v>2571</v>
      </c>
      <c r="K1698" s="2">
        <v>23364</v>
      </c>
      <c r="L1698" s="35">
        <f t="shared" si="88"/>
        <v>76423877.640000001</v>
      </c>
      <c r="M1698" s="36">
        <v>19800</v>
      </c>
      <c r="N1698" s="40">
        <v>335949</v>
      </c>
      <c r="O1698" s="40">
        <v>340244</v>
      </c>
      <c r="P1698" s="40">
        <v>0</v>
      </c>
      <c r="Q1698" s="40">
        <v>99309</v>
      </c>
      <c r="R1698" s="40">
        <v>553827</v>
      </c>
      <c r="S1698" s="40">
        <v>354356</v>
      </c>
      <c r="T1698" s="40">
        <v>30000</v>
      </c>
      <c r="U1698" s="40">
        <v>4811200</v>
      </c>
      <c r="V1698" s="40">
        <v>0</v>
      </c>
      <c r="W1698" s="45">
        <f t="shared" si="89"/>
        <v>6524885</v>
      </c>
      <c r="X1698" s="46">
        <f t="shared" si="90"/>
        <v>8.5377570485705068</v>
      </c>
    </row>
    <row r="1699" spans="1:24" s="4" customFormat="1" ht="15" customHeight="1">
      <c r="A1699" s="28" t="s">
        <v>2168</v>
      </c>
      <c r="B1699" s="29">
        <v>3271.01</v>
      </c>
      <c r="C1699" s="30" t="s">
        <v>2572</v>
      </c>
      <c r="D1699" s="2">
        <v>4950365718</v>
      </c>
      <c r="E1699" s="2" t="s">
        <v>14</v>
      </c>
      <c r="F1699" s="2" t="s">
        <v>2573</v>
      </c>
      <c r="G1699" s="28" t="s">
        <v>9</v>
      </c>
      <c r="H1699" s="2" t="s">
        <v>23</v>
      </c>
      <c r="I1699" s="2">
        <v>9</v>
      </c>
      <c r="J1699" s="2"/>
      <c r="K1699" s="2">
        <v>2507.5</v>
      </c>
      <c r="L1699" s="35">
        <f t="shared" si="88"/>
        <v>8202057.5750000002</v>
      </c>
      <c r="M1699" s="36">
        <v>50</v>
      </c>
      <c r="N1699" s="40">
        <v>29993.6538461538</v>
      </c>
      <c r="O1699" s="40">
        <v>35.75</v>
      </c>
      <c r="P1699" s="40">
        <v>0</v>
      </c>
      <c r="Q1699" s="40">
        <v>860.336538461538</v>
      </c>
      <c r="R1699" s="40">
        <v>1836.5673076923099</v>
      </c>
      <c r="S1699" s="40">
        <v>3407.26923076923</v>
      </c>
      <c r="T1699" s="40">
        <v>30000</v>
      </c>
      <c r="U1699" s="40">
        <v>20052.884615384599</v>
      </c>
      <c r="V1699" s="40">
        <v>0</v>
      </c>
      <c r="W1699" s="45">
        <f t="shared" si="89"/>
        <v>86186.461538461474</v>
      </c>
      <c r="X1699" s="46">
        <f t="shared" si="90"/>
        <v>1.0507907406204897</v>
      </c>
    </row>
    <row r="1700" spans="1:24" s="4" customFormat="1" ht="15" customHeight="1">
      <c r="A1700" s="28" t="s">
        <v>2168</v>
      </c>
      <c r="B1700" s="29">
        <v>3271.01</v>
      </c>
      <c r="C1700" s="30" t="s">
        <v>2572</v>
      </c>
      <c r="D1700" s="2">
        <v>4950215953</v>
      </c>
      <c r="E1700" s="2" t="s">
        <v>14</v>
      </c>
      <c r="F1700" s="2" t="s">
        <v>2573</v>
      </c>
      <c r="G1700" s="28" t="s">
        <v>9</v>
      </c>
      <c r="H1700" s="2" t="s">
        <v>23</v>
      </c>
      <c r="I1700" s="2">
        <v>9</v>
      </c>
      <c r="J1700" s="2"/>
      <c r="K1700" s="2">
        <v>2507.5</v>
      </c>
      <c r="L1700" s="35">
        <f t="shared" si="88"/>
        <v>8202057.5750000002</v>
      </c>
      <c r="M1700" s="36">
        <v>50</v>
      </c>
      <c r="N1700" s="40">
        <v>29993.6538461538</v>
      </c>
      <c r="O1700" s="40">
        <v>35.75</v>
      </c>
      <c r="P1700" s="40">
        <v>0</v>
      </c>
      <c r="Q1700" s="40">
        <v>860.336538461538</v>
      </c>
      <c r="R1700" s="40">
        <v>1836.5673076923099</v>
      </c>
      <c r="S1700" s="40">
        <v>3407.26923076923</v>
      </c>
      <c r="T1700" s="40">
        <v>30000</v>
      </c>
      <c r="U1700" s="40">
        <v>20052.884615384599</v>
      </c>
      <c r="V1700" s="40">
        <v>0</v>
      </c>
      <c r="W1700" s="45">
        <f t="shared" si="89"/>
        <v>86186.461538461474</v>
      </c>
      <c r="X1700" s="46">
        <f t="shared" si="90"/>
        <v>1.0507907406204897</v>
      </c>
    </row>
    <row r="1701" spans="1:24" s="4" customFormat="1" ht="15" customHeight="1">
      <c r="A1701" s="28" t="s">
        <v>2168</v>
      </c>
      <c r="B1701" s="29">
        <v>3271.01</v>
      </c>
      <c r="C1701" s="30" t="s">
        <v>2572</v>
      </c>
      <c r="D1701" s="2">
        <v>4949818312</v>
      </c>
      <c r="E1701" s="2" t="s">
        <v>14</v>
      </c>
      <c r="F1701" s="2" t="s">
        <v>2573</v>
      </c>
      <c r="G1701" s="28" t="s">
        <v>9</v>
      </c>
      <c r="H1701" s="2" t="s">
        <v>23</v>
      </c>
      <c r="I1701" s="2">
        <v>9</v>
      </c>
      <c r="J1701" s="2"/>
      <c r="K1701" s="2">
        <v>3708</v>
      </c>
      <c r="L1701" s="35">
        <f t="shared" si="88"/>
        <v>12128905.08</v>
      </c>
      <c r="M1701" s="36">
        <v>3600</v>
      </c>
      <c r="N1701" s="40">
        <v>2159543.0769230798</v>
      </c>
      <c r="O1701" s="40">
        <v>2574</v>
      </c>
      <c r="P1701" s="40">
        <v>0</v>
      </c>
      <c r="Q1701" s="40">
        <v>61944.230769230802</v>
      </c>
      <c r="R1701" s="40">
        <v>132232.84615384601</v>
      </c>
      <c r="S1701" s="40">
        <v>245323.384615385</v>
      </c>
      <c r="T1701" s="40">
        <v>30000</v>
      </c>
      <c r="U1701" s="40">
        <v>1443807.6923076899</v>
      </c>
      <c r="V1701" s="40">
        <v>0</v>
      </c>
      <c r="W1701" s="45">
        <f t="shared" si="89"/>
        <v>4075425.2307692319</v>
      </c>
      <c r="X1701" s="46">
        <f t="shared" si="90"/>
        <v>33.600932680142897</v>
      </c>
    </row>
    <row r="1702" spans="1:24" s="4" customFormat="1" ht="15" customHeight="1">
      <c r="A1702" s="28" t="s">
        <v>2168</v>
      </c>
      <c r="B1702" s="29">
        <v>3271.01</v>
      </c>
      <c r="C1702" s="30" t="s">
        <v>2572</v>
      </c>
      <c r="D1702" s="2">
        <v>4950365718</v>
      </c>
      <c r="E1702" s="2" t="s">
        <v>14</v>
      </c>
      <c r="F1702" s="2" t="s">
        <v>2573</v>
      </c>
      <c r="G1702" s="28" t="s">
        <v>9</v>
      </c>
      <c r="H1702" s="2" t="s">
        <v>23</v>
      </c>
      <c r="I1702" s="2">
        <v>9</v>
      </c>
      <c r="J1702" s="2"/>
      <c r="K1702" s="2">
        <v>25656</v>
      </c>
      <c r="L1702" s="35">
        <f t="shared" si="88"/>
        <v>83921032.560000002</v>
      </c>
      <c r="M1702" s="36">
        <v>600</v>
      </c>
      <c r="N1702" s="40">
        <v>359923.84615384601</v>
      </c>
      <c r="O1702" s="40">
        <v>429</v>
      </c>
      <c r="P1702" s="40">
        <v>0</v>
      </c>
      <c r="Q1702" s="40">
        <v>10324.038461538499</v>
      </c>
      <c r="R1702" s="40">
        <v>22038.807692307699</v>
      </c>
      <c r="S1702" s="40">
        <v>40887.230769230802</v>
      </c>
      <c r="T1702" s="40">
        <v>30000</v>
      </c>
      <c r="U1702" s="40">
        <v>240634.615384615</v>
      </c>
      <c r="V1702" s="40">
        <v>0</v>
      </c>
      <c r="W1702" s="45">
        <f t="shared" si="89"/>
        <v>704237.53846153803</v>
      </c>
      <c r="X1702" s="46">
        <f t="shared" si="90"/>
        <v>0.83916691320264425</v>
      </c>
    </row>
    <row r="1703" spans="1:24" s="4" customFormat="1" ht="15" customHeight="1">
      <c r="A1703" s="28" t="s">
        <v>2168</v>
      </c>
      <c r="B1703" s="29">
        <v>3271.01</v>
      </c>
      <c r="C1703" s="30" t="s">
        <v>2572</v>
      </c>
      <c r="D1703" s="2">
        <v>4950058292</v>
      </c>
      <c r="E1703" s="2" t="s">
        <v>14</v>
      </c>
      <c r="F1703" s="2" t="s">
        <v>2573</v>
      </c>
      <c r="G1703" s="28" t="s">
        <v>9</v>
      </c>
      <c r="H1703" s="2" t="s">
        <v>23</v>
      </c>
      <c r="I1703" s="2">
        <v>9</v>
      </c>
      <c r="J1703" s="2"/>
      <c r="K1703" s="2">
        <v>19404</v>
      </c>
      <c r="L1703" s="35">
        <f t="shared" si="88"/>
        <v>63470678.040000007</v>
      </c>
      <c r="M1703" s="36">
        <v>900</v>
      </c>
      <c r="N1703" s="40">
        <v>539885.76923076902</v>
      </c>
      <c r="O1703" s="40">
        <v>643.5</v>
      </c>
      <c r="P1703" s="40">
        <v>0</v>
      </c>
      <c r="Q1703" s="40">
        <v>15486.057692307701</v>
      </c>
      <c r="R1703" s="40">
        <v>33058.211538461503</v>
      </c>
      <c r="S1703" s="40">
        <v>61330.846153846098</v>
      </c>
      <c r="T1703" s="40">
        <v>30000</v>
      </c>
      <c r="U1703" s="40">
        <v>360951.92307692301</v>
      </c>
      <c r="V1703" s="40">
        <v>0</v>
      </c>
      <c r="W1703" s="45">
        <f t="shared" si="89"/>
        <v>1041356.3076923074</v>
      </c>
      <c r="X1703" s="46">
        <f t="shared" si="90"/>
        <v>1.6406888028453577</v>
      </c>
    </row>
    <row r="1704" spans="1:24" s="4" customFormat="1" ht="15" customHeight="1">
      <c r="A1704" s="28" t="s">
        <v>2168</v>
      </c>
      <c r="B1704" s="29">
        <v>3271.01</v>
      </c>
      <c r="C1704" s="30" t="s">
        <v>2574</v>
      </c>
      <c r="D1704" s="2">
        <v>4950282870</v>
      </c>
      <c r="E1704" s="2" t="s">
        <v>18</v>
      </c>
      <c r="F1704" s="2" t="s">
        <v>2575</v>
      </c>
      <c r="G1704" s="28" t="s">
        <v>5</v>
      </c>
      <c r="H1704" s="2" t="s">
        <v>17</v>
      </c>
      <c r="I1704" s="2">
        <v>1</v>
      </c>
      <c r="J1704" s="2" t="s">
        <v>2576</v>
      </c>
      <c r="K1704" s="2">
        <f>104020+234045</f>
        <v>338065</v>
      </c>
      <c r="L1704" s="35">
        <f t="shared" si="88"/>
        <v>1105813995.6500001</v>
      </c>
      <c r="M1704" s="36">
        <f>2000+4500</f>
        <v>6500</v>
      </c>
      <c r="N1704" s="40">
        <v>272958.5625</v>
      </c>
      <c r="O1704" s="40">
        <v>362667.5</v>
      </c>
      <c r="P1704" s="40">
        <v>0</v>
      </c>
      <c r="Q1704" s="40">
        <v>80688.5625</v>
      </c>
      <c r="R1704" s="40">
        <v>539492.5</v>
      </c>
      <c r="S1704" s="40">
        <v>287914.25</v>
      </c>
      <c r="T1704" s="40">
        <v>30000</v>
      </c>
      <c r="U1704" s="40">
        <v>3834228.125</v>
      </c>
      <c r="V1704" s="40">
        <v>1084687.5</v>
      </c>
      <c r="W1704" s="45">
        <f t="shared" si="89"/>
        <v>6492637</v>
      </c>
      <c r="X1704" s="46">
        <f t="shared" si="90"/>
        <v>0.587136446594132</v>
      </c>
    </row>
    <row r="1705" spans="1:24" s="4" customFormat="1" ht="15" customHeight="1">
      <c r="A1705" s="28" t="s">
        <v>2168</v>
      </c>
      <c r="B1705" s="29">
        <v>3271.01</v>
      </c>
      <c r="C1705" s="30" t="s">
        <v>2574</v>
      </c>
      <c r="D1705" s="2">
        <v>4950282871</v>
      </c>
      <c r="E1705" s="2" t="s">
        <v>18</v>
      </c>
      <c r="F1705" s="2" t="s">
        <v>2575</v>
      </c>
      <c r="G1705" s="28" t="s">
        <v>5</v>
      </c>
      <c r="H1705" s="2" t="s">
        <v>17</v>
      </c>
      <c r="I1705" s="2">
        <v>1</v>
      </c>
      <c r="J1705" s="2" t="s">
        <v>2576</v>
      </c>
      <c r="K1705" s="2">
        <v>84720</v>
      </c>
      <c r="L1705" s="35">
        <f t="shared" si="88"/>
        <v>277119967.20000005</v>
      </c>
      <c r="M1705" s="36">
        <v>1500</v>
      </c>
      <c r="N1705" s="40">
        <v>62990.4375</v>
      </c>
      <c r="O1705" s="40">
        <v>83692.5</v>
      </c>
      <c r="P1705" s="40">
        <v>0</v>
      </c>
      <c r="Q1705" s="40">
        <v>18620.4375</v>
      </c>
      <c r="R1705" s="40">
        <v>124498.5</v>
      </c>
      <c r="S1705" s="40">
        <v>66441.75</v>
      </c>
      <c r="T1705" s="40">
        <v>30000</v>
      </c>
      <c r="U1705" s="40">
        <v>884821.875</v>
      </c>
      <c r="V1705" s="40">
        <v>250312.5</v>
      </c>
      <c r="W1705" s="45">
        <f t="shared" si="89"/>
        <v>1521378</v>
      </c>
      <c r="X1705" s="46">
        <f t="shared" si="90"/>
        <v>0.54899616775070104</v>
      </c>
    </row>
    <row r="1706" spans="1:24" s="4" customFormat="1" ht="15" customHeight="1">
      <c r="A1706" s="28" t="s">
        <v>2168</v>
      </c>
      <c r="B1706" s="29">
        <v>3271.01</v>
      </c>
      <c r="C1706" s="30" t="s">
        <v>2577</v>
      </c>
      <c r="D1706" s="2">
        <v>4949484777</v>
      </c>
      <c r="E1706" s="2" t="s">
        <v>21</v>
      </c>
      <c r="F1706" s="2" t="s">
        <v>2578</v>
      </c>
      <c r="G1706" s="28" t="s">
        <v>5</v>
      </c>
      <c r="H1706" s="2" t="s">
        <v>20</v>
      </c>
      <c r="I1706" s="2">
        <v>1</v>
      </c>
      <c r="J1706" s="2" t="s">
        <v>2579</v>
      </c>
      <c r="K1706" s="2">
        <v>25132.799999999999</v>
      </c>
      <c r="L1706" s="35">
        <f t="shared" si="88"/>
        <v>82209640.128000006</v>
      </c>
      <c r="M1706" s="36">
        <v>5440</v>
      </c>
      <c r="N1706" s="40">
        <v>309842</v>
      </c>
      <c r="O1706" s="40">
        <v>340244</v>
      </c>
      <c r="P1706" s="40">
        <v>1068146</v>
      </c>
      <c r="Q1706" s="40">
        <v>99309</v>
      </c>
      <c r="R1706" s="40">
        <v>758633</v>
      </c>
      <c r="S1706" s="40">
        <v>354356</v>
      </c>
      <c r="T1706" s="48"/>
      <c r="U1706" s="40">
        <v>499900</v>
      </c>
      <c r="V1706" s="40">
        <v>0</v>
      </c>
      <c r="W1706" s="45">
        <f t="shared" si="89"/>
        <v>3430430</v>
      </c>
      <c r="X1706" s="46">
        <f t="shared" si="90"/>
        <v>4.172783136696423</v>
      </c>
    </row>
    <row r="1707" spans="1:24" s="4" customFormat="1" ht="15" customHeight="1">
      <c r="A1707" s="28" t="s">
        <v>2168</v>
      </c>
      <c r="B1707" s="29">
        <v>3271.01</v>
      </c>
      <c r="C1707" s="30" t="s">
        <v>2580</v>
      </c>
      <c r="D1707" s="2">
        <v>4949484777</v>
      </c>
      <c r="E1707" s="2" t="s">
        <v>21</v>
      </c>
      <c r="F1707" s="2" t="s">
        <v>2578</v>
      </c>
      <c r="G1707" s="28" t="s">
        <v>5</v>
      </c>
      <c r="H1707" s="2" t="s">
        <v>20</v>
      </c>
      <c r="I1707" s="2">
        <v>1</v>
      </c>
      <c r="J1707" s="2" t="s">
        <v>2579</v>
      </c>
      <c r="K1707" s="2">
        <v>25132.799999999999</v>
      </c>
      <c r="L1707" s="35">
        <f t="shared" si="88"/>
        <v>82209640.128000006</v>
      </c>
      <c r="M1707" s="36">
        <v>5440</v>
      </c>
      <c r="N1707" s="40">
        <v>929528</v>
      </c>
      <c r="O1707" s="40">
        <v>340244</v>
      </c>
      <c r="P1707" s="40">
        <v>694101</v>
      </c>
      <c r="Q1707" s="40">
        <v>99309</v>
      </c>
      <c r="R1707" s="40">
        <v>2619738</v>
      </c>
      <c r="S1707" s="40">
        <v>354356</v>
      </c>
      <c r="T1707" s="48"/>
      <c r="U1707" s="40">
        <v>1557900</v>
      </c>
      <c r="V1707" s="40">
        <v>0</v>
      </c>
      <c r="W1707" s="45">
        <f t="shared" si="89"/>
        <v>6595176</v>
      </c>
      <c r="X1707" s="46">
        <f t="shared" si="90"/>
        <v>8.0223876296397165</v>
      </c>
    </row>
    <row r="1708" spans="1:24" s="4" customFormat="1" ht="15" customHeight="1">
      <c r="A1708" s="28" t="s">
        <v>2168</v>
      </c>
      <c r="B1708" s="29">
        <v>3271.01</v>
      </c>
      <c r="C1708" s="30" t="s">
        <v>2581</v>
      </c>
      <c r="D1708" s="2">
        <v>4950000736</v>
      </c>
      <c r="E1708" s="2" t="s">
        <v>36</v>
      </c>
      <c r="F1708" s="2" t="s">
        <v>2582</v>
      </c>
      <c r="G1708" s="28" t="s">
        <v>5</v>
      </c>
      <c r="H1708" s="2" t="s">
        <v>20</v>
      </c>
      <c r="I1708" s="2">
        <v>1</v>
      </c>
      <c r="J1708" s="2" t="s">
        <v>2583</v>
      </c>
      <c r="K1708" s="2">
        <v>31800</v>
      </c>
      <c r="L1708" s="35">
        <f t="shared" si="88"/>
        <v>104018118</v>
      </c>
      <c r="M1708" s="36">
        <v>20000</v>
      </c>
      <c r="N1708" s="40">
        <v>332741</v>
      </c>
      <c r="O1708" s="40">
        <v>340244</v>
      </c>
      <c r="P1708" s="40">
        <v>0</v>
      </c>
      <c r="Q1708" s="40">
        <v>99309</v>
      </c>
      <c r="R1708" s="40">
        <v>549439</v>
      </c>
      <c r="S1708" s="40">
        <v>354356</v>
      </c>
      <c r="T1708" s="48"/>
      <c r="U1708" s="40">
        <v>519300</v>
      </c>
      <c r="V1708" s="40">
        <v>0</v>
      </c>
      <c r="W1708" s="45">
        <f t="shared" si="89"/>
        <v>2195389</v>
      </c>
      <c r="X1708" s="46">
        <f t="shared" si="90"/>
        <v>2.1105832735793202</v>
      </c>
    </row>
    <row r="1709" spans="1:24" s="4" customFormat="1" ht="15" customHeight="1">
      <c r="A1709" s="28" t="s">
        <v>2168</v>
      </c>
      <c r="B1709" s="29">
        <v>3271.01</v>
      </c>
      <c r="C1709" s="30" t="s">
        <v>2584</v>
      </c>
      <c r="D1709" s="2">
        <v>4948495883</v>
      </c>
      <c r="E1709" s="2" t="s">
        <v>14</v>
      </c>
      <c r="F1709" s="78" t="s">
        <v>2585</v>
      </c>
      <c r="G1709" s="28" t="s">
        <v>5</v>
      </c>
      <c r="H1709" s="2" t="s">
        <v>26</v>
      </c>
      <c r="I1709" s="2">
        <v>1</v>
      </c>
      <c r="J1709" s="2" t="s">
        <v>2586</v>
      </c>
      <c r="K1709" s="2">
        <v>34939.199999999997</v>
      </c>
      <c r="L1709" s="35">
        <f t="shared" si="88"/>
        <v>114286472.59199999</v>
      </c>
      <c r="M1709" s="36">
        <v>20080</v>
      </c>
      <c r="N1709" s="40">
        <v>310751</v>
      </c>
      <c r="O1709" s="40">
        <v>416041</v>
      </c>
      <c r="P1709" s="40">
        <v>1171854</v>
      </c>
      <c r="Q1709" s="40">
        <v>99309</v>
      </c>
      <c r="R1709" s="40">
        <v>690209</v>
      </c>
      <c r="S1709" s="40">
        <v>354356</v>
      </c>
      <c r="T1709" s="40">
        <v>30000</v>
      </c>
      <c r="U1709" s="40">
        <v>0</v>
      </c>
      <c r="V1709" s="40">
        <v>0</v>
      </c>
      <c r="W1709" s="45">
        <f t="shared" si="89"/>
        <v>3072520</v>
      </c>
      <c r="X1709" s="46">
        <f t="shared" si="90"/>
        <v>2.6884371617355134</v>
      </c>
    </row>
    <row r="1710" spans="1:24" s="4" customFormat="1" ht="15" customHeight="1">
      <c r="A1710" s="28" t="s">
        <v>2168</v>
      </c>
      <c r="B1710" s="29">
        <v>3271.01</v>
      </c>
      <c r="C1710" s="30" t="s">
        <v>2587</v>
      </c>
      <c r="D1710" s="2">
        <v>4949417130</v>
      </c>
      <c r="E1710" s="2" t="s">
        <v>14</v>
      </c>
      <c r="F1710" s="2" t="s">
        <v>2268</v>
      </c>
      <c r="G1710" s="28" t="s">
        <v>9</v>
      </c>
      <c r="H1710" s="2" t="s">
        <v>23</v>
      </c>
      <c r="I1710" s="2">
        <v>1</v>
      </c>
      <c r="J1710" s="2"/>
      <c r="K1710" s="2">
        <v>5740</v>
      </c>
      <c r="L1710" s="35">
        <f t="shared" si="88"/>
        <v>18775597.400000002</v>
      </c>
      <c r="M1710" s="36">
        <v>1000</v>
      </c>
      <c r="N1710" s="40">
        <v>761725.75</v>
      </c>
      <c r="O1710" s="40">
        <v>0</v>
      </c>
      <c r="P1710" s="40">
        <v>57118.25</v>
      </c>
      <c r="Q1710" s="40">
        <v>0</v>
      </c>
      <c r="R1710" s="40">
        <v>45108.5</v>
      </c>
      <c r="S1710" s="40">
        <v>88589</v>
      </c>
      <c r="T1710" s="40">
        <v>30000</v>
      </c>
      <c r="U1710" s="40">
        <v>814580.25</v>
      </c>
      <c r="V1710" s="40">
        <v>0</v>
      </c>
      <c r="W1710" s="45">
        <f t="shared" si="89"/>
        <v>1797121.75</v>
      </c>
      <c r="X1710" s="46">
        <f t="shared" si="90"/>
        <v>9.5715822602800369</v>
      </c>
    </row>
    <row r="1711" spans="1:24" s="4" customFormat="1" ht="15" customHeight="1">
      <c r="A1711" s="28" t="s">
        <v>2168</v>
      </c>
      <c r="B1711" s="29">
        <v>3271.01</v>
      </c>
      <c r="C1711" s="30" t="s">
        <v>2588</v>
      </c>
      <c r="D1711" s="2">
        <v>4950616605</v>
      </c>
      <c r="E1711" s="2" t="s">
        <v>33</v>
      </c>
      <c r="F1711" s="2" t="s">
        <v>2589</v>
      </c>
      <c r="G1711" s="28" t="s">
        <v>5</v>
      </c>
      <c r="H1711" s="2" t="s">
        <v>17</v>
      </c>
      <c r="I1711" s="2">
        <v>2</v>
      </c>
      <c r="J1711" s="2" t="s">
        <v>2590</v>
      </c>
      <c r="K1711" s="2">
        <v>76930.559999999998</v>
      </c>
      <c r="L1711" s="35">
        <f t="shared" si="88"/>
        <v>251640631.06560001</v>
      </c>
      <c r="M1711" s="36">
        <v>576</v>
      </c>
      <c r="N1711" s="40">
        <v>377942.625</v>
      </c>
      <c r="O1711" s="40">
        <v>30783.482758620699</v>
      </c>
      <c r="P1711" s="40">
        <v>0</v>
      </c>
      <c r="Q1711" s="40">
        <v>6848.93103448276</v>
      </c>
      <c r="R1711" s="40">
        <v>738553.0625</v>
      </c>
      <c r="S1711" s="40">
        <v>199325.25</v>
      </c>
      <c r="T1711" s="48"/>
      <c r="U1711" s="40">
        <v>595125</v>
      </c>
      <c r="V1711" s="40">
        <v>0</v>
      </c>
      <c r="W1711" s="45">
        <f t="shared" si="89"/>
        <v>1948578.3512931035</v>
      </c>
      <c r="X1711" s="46">
        <f t="shared" si="90"/>
        <v>0.77434965213750806</v>
      </c>
    </row>
    <row r="1712" spans="1:24" s="4" customFormat="1" ht="15" customHeight="1">
      <c r="A1712" s="28" t="s">
        <v>2168</v>
      </c>
      <c r="B1712" s="29">
        <v>3271.01</v>
      </c>
      <c r="C1712" s="30" t="s">
        <v>2588</v>
      </c>
      <c r="D1712" s="2">
        <v>4950616605</v>
      </c>
      <c r="E1712" s="2" t="s">
        <v>33</v>
      </c>
      <c r="F1712" s="2" t="s">
        <v>2589</v>
      </c>
      <c r="G1712" s="28" t="s">
        <v>5</v>
      </c>
      <c r="H1712" s="2" t="s">
        <v>17</v>
      </c>
      <c r="I1712" s="2">
        <v>2</v>
      </c>
      <c r="J1712" s="2" t="s">
        <v>2590</v>
      </c>
      <c r="K1712" s="2">
        <v>59834.879999999997</v>
      </c>
      <c r="L1712" s="35">
        <f t="shared" si="88"/>
        <v>195720490.82879999</v>
      </c>
      <c r="M1712" s="36">
        <v>16128</v>
      </c>
      <c r="N1712" s="40">
        <v>293955.375</v>
      </c>
      <c r="O1712" s="40">
        <v>861937.51724137901</v>
      </c>
      <c r="P1712" s="40">
        <v>0</v>
      </c>
      <c r="Q1712" s="40">
        <v>191770.06896551701</v>
      </c>
      <c r="R1712" s="40">
        <v>574429.9375</v>
      </c>
      <c r="S1712" s="40">
        <v>155030.75</v>
      </c>
      <c r="T1712" s="48"/>
      <c r="U1712" s="40">
        <v>462875</v>
      </c>
      <c r="V1712" s="40">
        <v>0</v>
      </c>
      <c r="W1712" s="45">
        <f t="shared" si="89"/>
        <v>2539998.6487068962</v>
      </c>
      <c r="X1712" s="46">
        <f t="shared" si="90"/>
        <v>1.2977683828356408</v>
      </c>
    </row>
    <row r="1713" spans="1:24" s="4" customFormat="1" ht="15" customHeight="1">
      <c r="A1713" s="28" t="s">
        <v>2168</v>
      </c>
      <c r="B1713" s="29">
        <v>3271.01</v>
      </c>
      <c r="C1713" s="30" t="s">
        <v>2591</v>
      </c>
      <c r="D1713" s="2">
        <v>4950216840</v>
      </c>
      <c r="E1713" s="2" t="s">
        <v>14</v>
      </c>
      <c r="F1713" s="2" t="s">
        <v>2592</v>
      </c>
      <c r="G1713" s="28" t="s">
        <v>5</v>
      </c>
      <c r="H1713" s="2" t="s">
        <v>17</v>
      </c>
      <c r="I1713" s="2">
        <v>1</v>
      </c>
      <c r="J1713" s="2" t="s">
        <v>2593</v>
      </c>
      <c r="K1713" s="2">
        <v>21800</v>
      </c>
      <c r="L1713" s="35">
        <f t="shared" si="88"/>
        <v>71308018</v>
      </c>
      <c r="M1713" s="36">
        <v>5000</v>
      </c>
      <c r="N1713" s="40">
        <v>132372</v>
      </c>
      <c r="O1713" s="40">
        <v>178544</v>
      </c>
      <c r="P1713" s="40">
        <v>0</v>
      </c>
      <c r="Q1713" s="40">
        <v>39723.599999999999</v>
      </c>
      <c r="R1713" s="40">
        <v>298072</v>
      </c>
      <c r="S1713" s="40">
        <v>141742.39999999999</v>
      </c>
      <c r="T1713" s="40">
        <v>30000</v>
      </c>
      <c r="U1713" s="40">
        <v>2180560</v>
      </c>
      <c r="V1713" s="40">
        <v>0</v>
      </c>
      <c r="W1713" s="45">
        <f t="shared" si="89"/>
        <v>3001014</v>
      </c>
      <c r="X1713" s="46">
        <f t="shared" si="90"/>
        <v>4.2085225254753258</v>
      </c>
    </row>
    <row r="1714" spans="1:24" s="4" customFormat="1" ht="15" customHeight="1">
      <c r="A1714" s="28" t="s">
        <v>2168</v>
      </c>
      <c r="B1714" s="29">
        <v>3271.01</v>
      </c>
      <c r="C1714" s="30" t="s">
        <v>2591</v>
      </c>
      <c r="D1714" s="2">
        <v>4950216839</v>
      </c>
      <c r="E1714" s="2" t="s">
        <v>14</v>
      </c>
      <c r="F1714" s="2" t="s">
        <v>2592</v>
      </c>
      <c r="G1714" s="28" t="s">
        <v>5</v>
      </c>
      <c r="H1714" s="2" t="s">
        <v>17</v>
      </c>
      <c r="I1714" s="2">
        <v>1</v>
      </c>
      <c r="J1714" s="2" t="s">
        <v>2593</v>
      </c>
      <c r="K1714" s="2">
        <v>32700</v>
      </c>
      <c r="L1714" s="35">
        <f t="shared" ref="L1714:L1777" si="91">+B1714*K1714</f>
        <v>106962027</v>
      </c>
      <c r="M1714" s="36">
        <v>7500</v>
      </c>
      <c r="N1714" s="40">
        <v>198558</v>
      </c>
      <c r="O1714" s="40">
        <v>267816</v>
      </c>
      <c r="P1714" s="40">
        <v>0</v>
      </c>
      <c r="Q1714" s="40">
        <v>59585.4</v>
      </c>
      <c r="R1714" s="40">
        <v>447108</v>
      </c>
      <c r="S1714" s="40">
        <v>212613.6</v>
      </c>
      <c r="T1714" s="40">
        <v>30000</v>
      </c>
      <c r="U1714" s="40">
        <v>3270840</v>
      </c>
      <c r="V1714" s="40">
        <v>0</v>
      </c>
      <c r="W1714" s="45">
        <f t="shared" ref="W1714:W1777" si="92">+SUM(N1714:V1714)</f>
        <v>4486521</v>
      </c>
      <c r="X1714" s="46">
        <f t="shared" ref="X1714:X1777" si="93">(W1714/L1714)*100</f>
        <v>4.1944988570570008</v>
      </c>
    </row>
    <row r="1715" spans="1:24" s="4" customFormat="1" ht="15" customHeight="1">
      <c r="A1715" s="28" t="s">
        <v>2168</v>
      </c>
      <c r="B1715" s="29">
        <v>3271.01</v>
      </c>
      <c r="C1715" s="30" t="s">
        <v>2594</v>
      </c>
      <c r="D1715" s="2">
        <v>4950060156</v>
      </c>
      <c r="E1715" s="2" t="s">
        <v>14</v>
      </c>
      <c r="F1715" s="2" t="s">
        <v>2595</v>
      </c>
      <c r="G1715" s="28" t="s">
        <v>5</v>
      </c>
      <c r="H1715" s="2" t="s">
        <v>17</v>
      </c>
      <c r="I1715" s="2">
        <v>1</v>
      </c>
      <c r="J1715" s="2" t="s">
        <v>2596</v>
      </c>
      <c r="K1715" s="2">
        <v>24200.400000000001</v>
      </c>
      <c r="L1715" s="35">
        <f t="shared" si="91"/>
        <v>79159750.404000014</v>
      </c>
      <c r="M1715" s="36">
        <v>18060</v>
      </c>
      <c r="N1715" s="40">
        <v>0</v>
      </c>
      <c r="O1715" s="40">
        <v>446360</v>
      </c>
      <c r="P1715" s="40">
        <v>156776</v>
      </c>
      <c r="Q1715" s="40">
        <v>99309</v>
      </c>
      <c r="R1715" s="40">
        <v>741483</v>
      </c>
      <c r="S1715" s="40">
        <v>354356</v>
      </c>
      <c r="T1715" s="40">
        <v>30000</v>
      </c>
      <c r="U1715" s="40">
        <v>0</v>
      </c>
      <c r="V1715" s="40">
        <v>0</v>
      </c>
      <c r="W1715" s="45">
        <f t="shared" si="92"/>
        <v>1828284</v>
      </c>
      <c r="X1715" s="46">
        <f t="shared" si="93"/>
        <v>2.3096131438883556</v>
      </c>
    </row>
    <row r="1716" spans="1:24" s="4" customFormat="1" ht="15" customHeight="1">
      <c r="A1716" s="28" t="s">
        <v>2168</v>
      </c>
      <c r="B1716" s="29">
        <v>3271.01</v>
      </c>
      <c r="C1716" s="30" t="s">
        <v>2597</v>
      </c>
      <c r="D1716" s="2">
        <v>4950365736</v>
      </c>
      <c r="E1716" s="2" t="s">
        <v>14</v>
      </c>
      <c r="F1716" s="2" t="s">
        <v>2598</v>
      </c>
      <c r="G1716" s="28" t="s">
        <v>9</v>
      </c>
      <c r="H1716" s="2" t="s">
        <v>23</v>
      </c>
      <c r="I1716" s="2">
        <v>1</v>
      </c>
      <c r="J1716" s="2"/>
      <c r="K1716" s="2">
        <v>674</v>
      </c>
      <c r="L1716" s="35">
        <f t="shared" si="91"/>
        <v>2204660.7400000002</v>
      </c>
      <c r="M1716" s="36">
        <v>40</v>
      </c>
      <c r="N1716" s="40">
        <v>464422</v>
      </c>
      <c r="O1716" s="40">
        <v>33</v>
      </c>
      <c r="P1716" s="40">
        <v>0</v>
      </c>
      <c r="Q1716" s="40">
        <v>1046</v>
      </c>
      <c r="R1716" s="40">
        <v>86574</v>
      </c>
      <c r="S1716" s="40">
        <v>354356</v>
      </c>
      <c r="T1716" s="40">
        <v>30000</v>
      </c>
      <c r="U1716" s="40">
        <v>52603.8461538462</v>
      </c>
      <c r="V1716" s="40">
        <v>0</v>
      </c>
      <c r="W1716" s="45">
        <f t="shared" si="92"/>
        <v>989034.84615384624</v>
      </c>
      <c r="X1716" s="46">
        <f t="shared" si="93"/>
        <v>44.861090335098275</v>
      </c>
    </row>
    <row r="1717" spans="1:24" s="4" customFormat="1" ht="15" customHeight="1">
      <c r="A1717" s="28" t="s">
        <v>2168</v>
      </c>
      <c r="B1717" s="29">
        <v>3271.01</v>
      </c>
      <c r="C1717" s="30" t="s">
        <v>2599</v>
      </c>
      <c r="D1717" s="2">
        <v>4950664711</v>
      </c>
      <c r="E1717" s="2" t="s">
        <v>18</v>
      </c>
      <c r="F1717" s="2" t="s">
        <v>2600</v>
      </c>
      <c r="G1717" s="28" t="s">
        <v>9</v>
      </c>
      <c r="H1717" s="2" t="s">
        <v>23</v>
      </c>
      <c r="I1717" s="2">
        <v>3</v>
      </c>
      <c r="J1717" s="2"/>
      <c r="K1717" s="2">
        <v>124762.5</v>
      </c>
      <c r="L1717" s="35">
        <f t="shared" si="91"/>
        <v>408099385.125</v>
      </c>
      <c r="M1717" s="36">
        <v>1875</v>
      </c>
      <c r="N1717" s="40">
        <v>2118933</v>
      </c>
      <c r="O1717" s="40">
        <v>1349</v>
      </c>
      <c r="P1717" s="40">
        <v>0</v>
      </c>
      <c r="Q1717" s="40">
        <v>32793</v>
      </c>
      <c r="R1717" s="40">
        <v>124365</v>
      </c>
      <c r="S1717" s="40">
        <v>354356</v>
      </c>
      <c r="T1717" s="40">
        <v>30000</v>
      </c>
      <c r="U1717" s="40">
        <v>1069852.9411764699</v>
      </c>
      <c r="V1717" s="40">
        <v>0</v>
      </c>
      <c r="W1717" s="45">
        <f t="shared" si="92"/>
        <v>3731648.9411764699</v>
      </c>
      <c r="X1717" s="46">
        <f t="shared" si="93"/>
        <v>0.91439709962647298</v>
      </c>
    </row>
    <row r="1718" spans="1:24" s="4" customFormat="1" ht="15" customHeight="1">
      <c r="A1718" s="28" t="s">
        <v>2168</v>
      </c>
      <c r="B1718" s="29">
        <v>3271.01</v>
      </c>
      <c r="C1718" s="30" t="s">
        <v>2601</v>
      </c>
      <c r="D1718" s="2">
        <v>4950282862</v>
      </c>
      <c r="E1718" s="2" t="s">
        <v>18</v>
      </c>
      <c r="F1718" s="2" t="s">
        <v>2602</v>
      </c>
      <c r="G1718" s="28" t="s">
        <v>5</v>
      </c>
      <c r="H1718" s="2" t="s">
        <v>17</v>
      </c>
      <c r="I1718" s="2">
        <v>1</v>
      </c>
      <c r="J1718" s="2" t="s">
        <v>2603</v>
      </c>
      <c r="K1718" s="2">
        <v>49672</v>
      </c>
      <c r="L1718" s="35">
        <f t="shared" si="91"/>
        <v>162477608.72</v>
      </c>
      <c r="M1718" s="36">
        <v>2800</v>
      </c>
      <c r="N1718" s="40">
        <v>47628.212658227902</v>
      </c>
      <c r="O1718" s="40">
        <v>63281.417721518999</v>
      </c>
      <c r="P1718" s="40">
        <v>0</v>
      </c>
      <c r="Q1718" s="40">
        <v>14079.2506329114</v>
      </c>
      <c r="R1718" s="40">
        <v>94135.493670886106</v>
      </c>
      <c r="S1718" s="40">
        <v>50237.812658227798</v>
      </c>
      <c r="T1718" s="40">
        <v>30000</v>
      </c>
      <c r="U1718" s="40">
        <v>799672.91139240505</v>
      </c>
      <c r="V1718" s="40">
        <v>0</v>
      </c>
      <c r="W1718" s="45">
        <f t="shared" si="92"/>
        <v>1099035.0987341772</v>
      </c>
      <c r="X1718" s="46">
        <f t="shared" si="93"/>
        <v>0.67642249747050387</v>
      </c>
    </row>
    <row r="1719" spans="1:24" s="4" customFormat="1" ht="15" customHeight="1">
      <c r="A1719" s="28" t="s">
        <v>2168</v>
      </c>
      <c r="B1719" s="29">
        <v>3271.01</v>
      </c>
      <c r="C1719" s="30" t="s">
        <v>2601</v>
      </c>
      <c r="D1719" s="2">
        <v>4950528079</v>
      </c>
      <c r="E1719" s="2" t="s">
        <v>18</v>
      </c>
      <c r="F1719" s="2" t="s">
        <v>2602</v>
      </c>
      <c r="G1719" s="28" t="s">
        <v>5</v>
      </c>
      <c r="H1719" s="2" t="s">
        <v>17</v>
      </c>
      <c r="I1719" s="2">
        <v>1</v>
      </c>
      <c r="J1719" s="2" t="s">
        <v>2603</v>
      </c>
      <c r="K1719" s="2">
        <v>8928</v>
      </c>
      <c r="L1719" s="35">
        <f t="shared" si="91"/>
        <v>29203577.280000001</v>
      </c>
      <c r="M1719" s="36">
        <v>9600</v>
      </c>
      <c r="N1719" s="40">
        <v>163296.729113924</v>
      </c>
      <c r="O1719" s="40">
        <v>216964.86075949401</v>
      </c>
      <c r="P1719" s="40">
        <v>0</v>
      </c>
      <c r="Q1719" s="40">
        <v>48271.716455696202</v>
      </c>
      <c r="R1719" s="40">
        <v>322749.83544303803</v>
      </c>
      <c r="S1719" s="40">
        <v>172243.92911392401</v>
      </c>
      <c r="T1719" s="40">
        <v>30000</v>
      </c>
      <c r="U1719" s="40">
        <v>2741735.6962025301</v>
      </c>
      <c r="V1719" s="40">
        <v>0</v>
      </c>
      <c r="W1719" s="45">
        <f t="shared" si="92"/>
        <v>3695262.767088606</v>
      </c>
      <c r="X1719" s="46">
        <f t="shared" si="93"/>
        <v>12.653459306231287</v>
      </c>
    </row>
    <row r="1720" spans="1:24" s="4" customFormat="1" ht="15" customHeight="1">
      <c r="A1720" s="28" t="s">
        <v>2168</v>
      </c>
      <c r="B1720" s="29">
        <v>3271.01</v>
      </c>
      <c r="C1720" s="30" t="s">
        <v>2601</v>
      </c>
      <c r="D1720" s="2">
        <v>4950282865</v>
      </c>
      <c r="E1720" s="2" t="s">
        <v>18</v>
      </c>
      <c r="F1720" s="2" t="s">
        <v>2602</v>
      </c>
      <c r="G1720" s="28" t="s">
        <v>5</v>
      </c>
      <c r="H1720" s="2" t="s">
        <v>17</v>
      </c>
      <c r="I1720" s="2">
        <v>1</v>
      </c>
      <c r="J1720" s="2" t="s">
        <v>2603</v>
      </c>
      <c r="K1720" s="2">
        <v>31311</v>
      </c>
      <c r="L1720" s="35">
        <f t="shared" si="91"/>
        <v>102418594.11</v>
      </c>
      <c r="M1720" s="36">
        <v>7350</v>
      </c>
      <c r="N1720" s="40">
        <v>125024.058227848</v>
      </c>
      <c r="O1720" s="40">
        <v>166113.721518987</v>
      </c>
      <c r="P1720" s="40">
        <v>0</v>
      </c>
      <c r="Q1720" s="40">
        <v>36958.032911392402</v>
      </c>
      <c r="R1720" s="40">
        <v>247915.670886076</v>
      </c>
      <c r="S1720" s="40">
        <v>131874.25822784801</v>
      </c>
      <c r="T1720" s="40">
        <v>30000</v>
      </c>
      <c r="U1720" s="40">
        <v>2099141.3924050601</v>
      </c>
      <c r="V1720" s="40">
        <v>0</v>
      </c>
      <c r="W1720" s="45">
        <f t="shared" si="92"/>
        <v>2837027.1341772117</v>
      </c>
      <c r="X1720" s="46">
        <f t="shared" si="93"/>
        <v>2.7700313198306326</v>
      </c>
    </row>
    <row r="1721" spans="1:24" s="4" customFormat="1" ht="15" customHeight="1">
      <c r="A1721" s="28" t="s">
        <v>2168</v>
      </c>
      <c r="B1721" s="29">
        <v>3271.01</v>
      </c>
      <c r="C1721" s="30" t="s">
        <v>2604</v>
      </c>
      <c r="D1721" s="2">
        <v>4949718149</v>
      </c>
      <c r="E1721" s="2" t="s">
        <v>14</v>
      </c>
      <c r="F1721" s="2" t="s">
        <v>2605</v>
      </c>
      <c r="G1721" s="28" t="s">
        <v>5</v>
      </c>
      <c r="H1721" s="2" t="s">
        <v>17</v>
      </c>
      <c r="I1721" s="2">
        <v>1</v>
      </c>
      <c r="J1721" s="2" t="s">
        <v>2606</v>
      </c>
      <c r="K1721" s="2">
        <v>3855.6</v>
      </c>
      <c r="L1721" s="35">
        <f t="shared" si="91"/>
        <v>12611706.156000001</v>
      </c>
      <c r="M1721" s="36">
        <v>840</v>
      </c>
      <c r="N1721" s="40">
        <v>30382.0134831461</v>
      </c>
      <c r="O1721" s="40">
        <v>28085.5730337079</v>
      </c>
      <c r="P1721" s="40">
        <v>0</v>
      </c>
      <c r="Q1721" s="40">
        <v>6248.6561797752802</v>
      </c>
      <c r="R1721" s="40">
        <v>47869.474157303397</v>
      </c>
      <c r="S1721" s="40">
        <v>22296.557303370799</v>
      </c>
      <c r="T1721" s="40">
        <v>30000</v>
      </c>
      <c r="U1721" s="40">
        <v>342704.26966292103</v>
      </c>
      <c r="V1721" s="40">
        <v>0</v>
      </c>
      <c r="W1721" s="45">
        <f t="shared" si="92"/>
        <v>507586.54382022447</v>
      </c>
      <c r="X1721" s="46">
        <f t="shared" si="93"/>
        <v>4.0247254220931952</v>
      </c>
    </row>
    <row r="1722" spans="1:24" s="4" customFormat="1" ht="15" customHeight="1">
      <c r="A1722" s="28" t="s">
        <v>2168</v>
      </c>
      <c r="B1722" s="29">
        <v>3271.01</v>
      </c>
      <c r="C1722" s="30" t="s">
        <v>2604</v>
      </c>
      <c r="D1722" s="2">
        <v>4949718149</v>
      </c>
      <c r="E1722" s="2" t="s">
        <v>14</v>
      </c>
      <c r="F1722" s="2" t="s">
        <v>2605</v>
      </c>
      <c r="G1722" s="28" t="s">
        <v>5</v>
      </c>
      <c r="H1722" s="2" t="s">
        <v>17</v>
      </c>
      <c r="I1722" s="2">
        <v>1</v>
      </c>
      <c r="J1722" s="2" t="s">
        <v>2606</v>
      </c>
      <c r="K1722" s="2">
        <v>10290</v>
      </c>
      <c r="L1722" s="35">
        <f t="shared" si="91"/>
        <v>33658692.900000006</v>
      </c>
      <c r="M1722" s="36">
        <v>3500</v>
      </c>
      <c r="N1722" s="40">
        <v>126591.722846442</v>
      </c>
      <c r="O1722" s="40">
        <v>117023.220973783</v>
      </c>
      <c r="P1722" s="40">
        <v>0</v>
      </c>
      <c r="Q1722" s="40">
        <v>26036.0674157303</v>
      </c>
      <c r="R1722" s="40">
        <v>199456.80898876401</v>
      </c>
      <c r="S1722" s="40">
        <v>92902.322097378303</v>
      </c>
      <c r="T1722" s="40">
        <v>30000</v>
      </c>
      <c r="U1722" s="40">
        <v>1427934.4569288399</v>
      </c>
      <c r="V1722" s="40">
        <v>0</v>
      </c>
      <c r="W1722" s="45">
        <f t="shared" si="92"/>
        <v>2019944.5992509373</v>
      </c>
      <c r="X1722" s="46">
        <f t="shared" si="93"/>
        <v>6.0012568083145528</v>
      </c>
    </row>
    <row r="1723" spans="1:24" s="4" customFormat="1" ht="15" customHeight="1">
      <c r="A1723" s="28" t="s">
        <v>2168</v>
      </c>
      <c r="B1723" s="29">
        <v>3271.01</v>
      </c>
      <c r="C1723" s="30" t="s">
        <v>2604</v>
      </c>
      <c r="D1723" s="2">
        <v>4950365724</v>
      </c>
      <c r="E1723" s="2" t="s">
        <v>14</v>
      </c>
      <c r="F1723" s="2" t="s">
        <v>2605</v>
      </c>
      <c r="G1723" s="28" t="s">
        <v>5</v>
      </c>
      <c r="H1723" s="2" t="s">
        <v>17</v>
      </c>
      <c r="I1723" s="2">
        <v>1</v>
      </c>
      <c r="J1723" s="2" t="s">
        <v>2606</v>
      </c>
      <c r="K1723" s="2">
        <v>6201</v>
      </c>
      <c r="L1723" s="35">
        <f t="shared" si="91"/>
        <v>20283533.010000002</v>
      </c>
      <c r="M1723" s="36">
        <f>1000+325</f>
        <v>1325</v>
      </c>
      <c r="N1723" s="40">
        <v>47924.009363295903</v>
      </c>
      <c r="O1723" s="40">
        <v>44301.647940074901</v>
      </c>
      <c r="P1723" s="40">
        <v>0</v>
      </c>
      <c r="Q1723" s="40">
        <v>9856.5112359550603</v>
      </c>
      <c r="R1723" s="40">
        <v>75508.634831460702</v>
      </c>
      <c r="S1723" s="40">
        <v>35170.164794007498</v>
      </c>
      <c r="T1723" s="40">
        <v>30000</v>
      </c>
      <c r="U1723" s="40">
        <v>540575.18726591801</v>
      </c>
      <c r="V1723" s="40">
        <v>0</v>
      </c>
      <c r="W1723" s="45">
        <f t="shared" si="92"/>
        <v>783336.15543071204</v>
      </c>
      <c r="X1723" s="46">
        <f t="shared" si="93"/>
        <v>3.8619315236873129</v>
      </c>
    </row>
    <row r="1724" spans="1:24" s="4" customFormat="1" ht="15" customHeight="1">
      <c r="A1724" s="28" t="s">
        <v>2168</v>
      </c>
      <c r="B1724" s="29">
        <v>3271.01</v>
      </c>
      <c r="C1724" s="30" t="s">
        <v>2604</v>
      </c>
      <c r="D1724" s="2">
        <v>4950365724</v>
      </c>
      <c r="E1724" s="2" t="s">
        <v>14</v>
      </c>
      <c r="F1724" s="2" t="s">
        <v>2605</v>
      </c>
      <c r="G1724" s="28" t="s">
        <v>5</v>
      </c>
      <c r="H1724" s="2" t="s">
        <v>17</v>
      </c>
      <c r="I1724" s="2">
        <v>1</v>
      </c>
      <c r="J1724" s="2" t="s">
        <v>2606</v>
      </c>
      <c r="K1724" s="2">
        <v>1659</v>
      </c>
      <c r="L1724" s="35">
        <f t="shared" si="91"/>
        <v>5426605.5900000008</v>
      </c>
      <c r="M1724" s="36">
        <v>175</v>
      </c>
      <c r="N1724" s="40">
        <v>6329.5861423221004</v>
      </c>
      <c r="O1724" s="40">
        <v>5851.1610486891404</v>
      </c>
      <c r="P1724" s="40">
        <v>0</v>
      </c>
      <c r="Q1724" s="40">
        <v>1301.80337078652</v>
      </c>
      <c r="R1724" s="40">
        <v>9973.1404494382004</v>
      </c>
      <c r="S1724" s="40">
        <v>4645.11610486891</v>
      </c>
      <c r="T1724" s="40">
        <v>30000</v>
      </c>
      <c r="U1724" s="40">
        <v>71396.722846441902</v>
      </c>
      <c r="V1724" s="40">
        <v>0</v>
      </c>
      <c r="W1724" s="45">
        <f t="shared" si="92"/>
        <v>129497.52996254677</v>
      </c>
      <c r="X1724" s="46">
        <f t="shared" si="93"/>
        <v>2.3863449778104613</v>
      </c>
    </row>
    <row r="1725" spans="1:24" s="4" customFormat="1" ht="15" customHeight="1">
      <c r="A1725" s="28" t="s">
        <v>2168</v>
      </c>
      <c r="B1725" s="29">
        <v>3271.01</v>
      </c>
      <c r="C1725" s="30" t="s">
        <v>2604</v>
      </c>
      <c r="D1725" s="2">
        <v>4949590100</v>
      </c>
      <c r="E1725" s="2" t="s">
        <v>14</v>
      </c>
      <c r="F1725" s="2" t="s">
        <v>2605</v>
      </c>
      <c r="G1725" s="28" t="s">
        <v>5</v>
      </c>
      <c r="H1725" s="2" t="s">
        <v>17</v>
      </c>
      <c r="I1725" s="2">
        <v>1</v>
      </c>
      <c r="J1725" s="2" t="s">
        <v>2606</v>
      </c>
      <c r="K1725" s="2">
        <v>3165.2</v>
      </c>
      <c r="L1725" s="35">
        <f t="shared" si="91"/>
        <v>10353400.852</v>
      </c>
      <c r="M1725" s="36">
        <v>820</v>
      </c>
      <c r="N1725" s="40">
        <v>29658.6322097378</v>
      </c>
      <c r="O1725" s="40">
        <v>27416.868913857699</v>
      </c>
      <c r="P1725" s="40">
        <v>0</v>
      </c>
      <c r="Q1725" s="40">
        <v>6099.8786516853897</v>
      </c>
      <c r="R1725" s="40">
        <v>46730.343820224698</v>
      </c>
      <c r="S1725" s="40">
        <v>21765.686891385802</v>
      </c>
      <c r="T1725" s="40">
        <v>30000</v>
      </c>
      <c r="U1725" s="40">
        <v>334544.64419475698</v>
      </c>
      <c r="V1725" s="40">
        <v>0</v>
      </c>
      <c r="W1725" s="45">
        <f t="shared" si="92"/>
        <v>496216.05468164838</v>
      </c>
      <c r="X1725" s="46">
        <f t="shared" si="93"/>
        <v>4.7927831808597725</v>
      </c>
    </row>
    <row r="1726" spans="1:24" s="4" customFormat="1" ht="15" customHeight="1">
      <c r="A1726" s="28" t="s">
        <v>2168</v>
      </c>
      <c r="B1726" s="29">
        <v>3271.01</v>
      </c>
      <c r="C1726" s="30" t="s">
        <v>2604</v>
      </c>
      <c r="D1726" s="2">
        <v>4949662471</v>
      </c>
      <c r="E1726" s="2" t="s">
        <v>14</v>
      </c>
      <c r="F1726" s="2" t="s">
        <v>2605</v>
      </c>
      <c r="G1726" s="28" t="s">
        <v>5</v>
      </c>
      <c r="H1726" s="2" t="s">
        <v>17</v>
      </c>
      <c r="I1726" s="2">
        <v>1</v>
      </c>
      <c r="J1726" s="2" t="s">
        <v>2606</v>
      </c>
      <c r="K1726" s="2">
        <v>13689</v>
      </c>
      <c r="L1726" s="35">
        <f t="shared" si="91"/>
        <v>44776855.890000001</v>
      </c>
      <c r="M1726" s="36">
        <v>5850</v>
      </c>
      <c r="N1726" s="40">
        <v>211589.02247190999</v>
      </c>
      <c r="O1726" s="40">
        <v>195595.95505618001</v>
      </c>
      <c r="P1726" s="40">
        <v>0</v>
      </c>
      <c r="Q1726" s="40">
        <v>43517.4269662921</v>
      </c>
      <c r="R1726" s="40">
        <v>333378.12359550601</v>
      </c>
      <c r="S1726" s="40">
        <v>155279.595505618</v>
      </c>
      <c r="T1726" s="40">
        <v>30000</v>
      </c>
      <c r="U1726" s="40">
        <v>2386690.4494381999</v>
      </c>
      <c r="V1726" s="40">
        <v>0</v>
      </c>
      <c r="W1726" s="45">
        <f t="shared" si="92"/>
        <v>3356050.5730337063</v>
      </c>
      <c r="X1726" s="46">
        <f t="shared" si="93"/>
        <v>7.4950563328480868</v>
      </c>
    </row>
    <row r="1727" spans="1:24" s="4" customFormat="1" ht="15" customHeight="1">
      <c r="A1727" s="28" t="s">
        <v>2168</v>
      </c>
      <c r="B1727" s="29">
        <v>3271.01</v>
      </c>
      <c r="C1727" s="30" t="s">
        <v>2604</v>
      </c>
      <c r="D1727" s="2">
        <v>4950058264</v>
      </c>
      <c r="E1727" s="2" t="s">
        <v>14</v>
      </c>
      <c r="F1727" s="2" t="s">
        <v>2605</v>
      </c>
      <c r="G1727" s="28" t="s">
        <v>5</v>
      </c>
      <c r="H1727" s="2" t="s">
        <v>17</v>
      </c>
      <c r="I1727" s="2">
        <v>1</v>
      </c>
      <c r="J1727" s="2" t="s">
        <v>2606</v>
      </c>
      <c r="K1727" s="2">
        <v>3645.6</v>
      </c>
      <c r="L1727" s="35">
        <f t="shared" si="91"/>
        <v>11924794.056</v>
      </c>
      <c r="M1727" s="36">
        <v>840</v>
      </c>
      <c r="N1727" s="40">
        <v>30382.0134831461</v>
      </c>
      <c r="O1727" s="40">
        <v>28085.5730337079</v>
      </c>
      <c r="P1727" s="40">
        <v>0</v>
      </c>
      <c r="Q1727" s="40">
        <v>6248.6561797752802</v>
      </c>
      <c r="R1727" s="40">
        <v>47869.474157303397</v>
      </c>
      <c r="S1727" s="40">
        <v>22296.557303370799</v>
      </c>
      <c r="T1727" s="40">
        <v>30000</v>
      </c>
      <c r="U1727" s="40">
        <v>342704.26966292103</v>
      </c>
      <c r="V1727" s="40">
        <v>0</v>
      </c>
      <c r="W1727" s="45">
        <f t="shared" si="92"/>
        <v>507586.54382022447</v>
      </c>
      <c r="X1727" s="46">
        <f t="shared" si="93"/>
        <v>4.256564444103172</v>
      </c>
    </row>
    <row r="1728" spans="1:24" s="4" customFormat="1" ht="15" customHeight="1">
      <c r="A1728" s="28" t="s">
        <v>2168</v>
      </c>
      <c r="B1728" s="29">
        <v>3271.01</v>
      </c>
      <c r="C1728" s="30" t="s">
        <v>2607</v>
      </c>
      <c r="D1728" s="2">
        <v>4948123289</v>
      </c>
      <c r="E1728" s="2" t="s">
        <v>6</v>
      </c>
      <c r="F1728" s="2" t="s">
        <v>2608</v>
      </c>
      <c r="G1728" s="28" t="s">
        <v>5</v>
      </c>
      <c r="H1728" s="2" t="s">
        <v>20</v>
      </c>
      <c r="I1728" s="2">
        <v>1</v>
      </c>
      <c r="J1728" s="2" t="s">
        <v>2609</v>
      </c>
      <c r="K1728" s="2">
        <v>30931.200000000001</v>
      </c>
      <c r="L1728" s="35">
        <f t="shared" si="91"/>
        <v>101176264.51200001</v>
      </c>
      <c r="M1728" s="36">
        <v>3168</v>
      </c>
      <c r="N1728" s="40">
        <v>335608</v>
      </c>
      <c r="O1728" s="40">
        <v>423621</v>
      </c>
      <c r="P1728" s="40">
        <v>0</v>
      </c>
      <c r="Q1728" s="40">
        <v>124137</v>
      </c>
      <c r="R1728" s="40">
        <v>826509</v>
      </c>
      <c r="S1728" s="40">
        <v>354356</v>
      </c>
      <c r="T1728" s="40">
        <v>30000</v>
      </c>
      <c r="U1728" s="40">
        <v>2619000</v>
      </c>
      <c r="V1728" s="40">
        <v>0</v>
      </c>
      <c r="W1728" s="45">
        <f t="shared" si="92"/>
        <v>4713231</v>
      </c>
      <c r="X1728" s="46">
        <f t="shared" si="93"/>
        <v>4.6584354766734712</v>
      </c>
    </row>
    <row r="1729" spans="1:24" s="4" customFormat="1" ht="15" customHeight="1">
      <c r="A1729" s="28" t="s">
        <v>2168</v>
      </c>
      <c r="B1729" s="29">
        <v>3271.01</v>
      </c>
      <c r="C1729" s="30" t="s">
        <v>2610</v>
      </c>
      <c r="D1729" s="2">
        <v>4950133490</v>
      </c>
      <c r="E1729" s="2" t="s">
        <v>18</v>
      </c>
      <c r="F1729" s="2" t="s">
        <v>2611</v>
      </c>
      <c r="G1729" s="28" t="s">
        <v>9</v>
      </c>
      <c r="H1729" s="2" t="s">
        <v>23</v>
      </c>
      <c r="I1729" s="2">
        <v>3</v>
      </c>
      <c r="J1729" s="2"/>
      <c r="K1729" s="2">
        <v>12138</v>
      </c>
      <c r="L1729" s="35">
        <f t="shared" si="91"/>
        <v>39703519.380000003</v>
      </c>
      <c r="M1729" s="36">
        <v>600</v>
      </c>
      <c r="N1729" s="40">
        <v>294364.13500000001</v>
      </c>
      <c r="O1729" s="40">
        <v>821</v>
      </c>
      <c r="P1729" s="40">
        <v>67206</v>
      </c>
      <c r="Q1729" s="40">
        <v>10077.5</v>
      </c>
      <c r="R1729" s="40">
        <v>191147</v>
      </c>
      <c r="S1729" s="40">
        <v>177178</v>
      </c>
      <c r="T1729" s="40">
        <v>30000</v>
      </c>
      <c r="U1729" s="40">
        <v>514172.932330827</v>
      </c>
      <c r="V1729" s="40">
        <v>0</v>
      </c>
      <c r="W1729" s="45">
        <f t="shared" si="92"/>
        <v>1284966.567330827</v>
      </c>
      <c r="X1729" s="46">
        <f t="shared" si="93"/>
        <v>3.2364047001286944</v>
      </c>
    </row>
    <row r="1730" spans="1:24" s="4" customFormat="1" ht="15" customHeight="1">
      <c r="A1730" s="28" t="s">
        <v>2168</v>
      </c>
      <c r="B1730" s="29">
        <v>3271.01</v>
      </c>
      <c r="C1730" s="30" t="s">
        <v>2610</v>
      </c>
      <c r="D1730" s="2">
        <v>4950282858</v>
      </c>
      <c r="E1730" s="2" t="s">
        <v>18</v>
      </c>
      <c r="F1730" s="2" t="s">
        <v>2611</v>
      </c>
      <c r="G1730" s="28" t="s">
        <v>9</v>
      </c>
      <c r="H1730" s="2" t="s">
        <v>23</v>
      </c>
      <c r="I1730" s="2">
        <v>3</v>
      </c>
      <c r="J1730" s="2"/>
      <c r="K1730" s="2">
        <v>3679</v>
      </c>
      <c r="L1730" s="35">
        <f t="shared" si="91"/>
        <v>12034045.790000001</v>
      </c>
      <c r="M1730" s="36">
        <v>100</v>
      </c>
      <c r="N1730" s="40">
        <v>49060.6891666667</v>
      </c>
      <c r="O1730" s="40">
        <v>136.833333333333</v>
      </c>
      <c r="P1730" s="40">
        <v>11201</v>
      </c>
      <c r="Q1730" s="40">
        <v>1679.5833333333301</v>
      </c>
      <c r="R1730" s="40">
        <v>31857.833333333299</v>
      </c>
      <c r="S1730" s="40">
        <v>29529.666666666701</v>
      </c>
      <c r="T1730" s="40">
        <v>30000</v>
      </c>
      <c r="U1730" s="40">
        <v>85695.488721804504</v>
      </c>
      <c r="V1730" s="40">
        <v>0</v>
      </c>
      <c r="W1730" s="45">
        <f t="shared" si="92"/>
        <v>239161.09455513785</v>
      </c>
      <c r="X1730" s="46">
        <f t="shared" si="93"/>
        <v>1.9873706542971183</v>
      </c>
    </row>
    <row r="1731" spans="1:24" s="4" customFormat="1" ht="15" customHeight="1">
      <c r="A1731" s="28" t="s">
        <v>2168</v>
      </c>
      <c r="B1731" s="29">
        <v>3271.01</v>
      </c>
      <c r="C1731" s="30" t="s">
        <v>2610</v>
      </c>
      <c r="D1731" s="2">
        <v>4950285785</v>
      </c>
      <c r="E1731" s="2" t="s">
        <v>18</v>
      </c>
      <c r="F1731" s="2" t="s">
        <v>2611</v>
      </c>
      <c r="G1731" s="28" t="s">
        <v>9</v>
      </c>
      <c r="H1731" s="2" t="s">
        <v>23</v>
      </c>
      <c r="I1731" s="2">
        <v>3</v>
      </c>
      <c r="J1731" s="2"/>
      <c r="K1731" s="2">
        <v>12435</v>
      </c>
      <c r="L1731" s="35">
        <f t="shared" si="91"/>
        <v>40675009.350000001</v>
      </c>
      <c r="M1731" s="36">
        <v>500</v>
      </c>
      <c r="N1731" s="40">
        <v>245303.44583333301</v>
      </c>
      <c r="O1731" s="40">
        <v>684.16666666666697</v>
      </c>
      <c r="P1731" s="40">
        <v>56005</v>
      </c>
      <c r="Q1731" s="40">
        <v>8397.9166666666697</v>
      </c>
      <c r="R1731" s="40">
        <v>159289.16666666701</v>
      </c>
      <c r="S1731" s="40">
        <v>147648.33333333299</v>
      </c>
      <c r="T1731" s="40">
        <v>30000</v>
      </c>
      <c r="U1731" s="40">
        <v>428477.443609023</v>
      </c>
      <c r="V1731" s="40">
        <v>0</v>
      </c>
      <c r="W1731" s="45">
        <f t="shared" si="92"/>
        <v>1075805.4727756893</v>
      </c>
      <c r="X1731" s="46">
        <f t="shared" si="93"/>
        <v>2.6448807018545635</v>
      </c>
    </row>
    <row r="1732" spans="1:24" s="4" customFormat="1" ht="15" customHeight="1">
      <c r="A1732" s="28" t="s">
        <v>2168</v>
      </c>
      <c r="B1732" s="29">
        <v>3271.01</v>
      </c>
      <c r="C1732" s="30" t="s">
        <v>2612</v>
      </c>
      <c r="D1732" s="2">
        <v>4950129087</v>
      </c>
      <c r="E1732" s="2" t="s">
        <v>33</v>
      </c>
      <c r="F1732" s="2" t="s">
        <v>2613</v>
      </c>
      <c r="G1732" s="28" t="s">
        <v>5</v>
      </c>
      <c r="H1732" s="2" t="s">
        <v>20</v>
      </c>
      <c r="I1732" s="2">
        <v>1</v>
      </c>
      <c r="J1732" s="2" t="s">
        <v>2614</v>
      </c>
      <c r="K1732" s="2">
        <v>15045.27</v>
      </c>
      <c r="L1732" s="35">
        <f t="shared" si="91"/>
        <v>49213228.622700006</v>
      </c>
      <c r="M1732" s="36">
        <v>430</v>
      </c>
      <c r="N1732" s="40">
        <v>240943.59474373399</v>
      </c>
      <c r="O1732" s="40">
        <v>170122</v>
      </c>
      <c r="P1732" s="40">
        <v>0</v>
      </c>
      <c r="Q1732" s="40">
        <v>49654.5</v>
      </c>
      <c r="R1732" s="40">
        <v>475934.048073326</v>
      </c>
      <c r="S1732" s="40">
        <v>254145.14839755601</v>
      </c>
      <c r="T1732" s="48"/>
      <c r="U1732" s="40">
        <v>758800.66093029105</v>
      </c>
      <c r="V1732" s="40">
        <v>0</v>
      </c>
      <c r="W1732" s="45">
        <f t="shared" si="92"/>
        <v>1949599.9521449071</v>
      </c>
      <c r="X1732" s="46">
        <f t="shared" si="93"/>
        <v>3.9615363728557282</v>
      </c>
    </row>
    <row r="1733" spans="1:24" s="4" customFormat="1" ht="15" customHeight="1">
      <c r="A1733" s="28" t="s">
        <v>2168</v>
      </c>
      <c r="B1733" s="29">
        <v>3271.01</v>
      </c>
      <c r="C1733" s="30" t="s">
        <v>2612</v>
      </c>
      <c r="D1733" s="2">
        <v>4950129087</v>
      </c>
      <c r="E1733" s="2" t="s">
        <v>33</v>
      </c>
      <c r="F1733" s="2" t="s">
        <v>2613</v>
      </c>
      <c r="G1733" s="28" t="s">
        <v>5</v>
      </c>
      <c r="H1733" s="2" t="s">
        <v>20</v>
      </c>
      <c r="I1733" s="2">
        <v>1</v>
      </c>
      <c r="J1733" s="2" t="s">
        <v>2614</v>
      </c>
      <c r="K1733" s="2">
        <v>5642.15</v>
      </c>
      <c r="L1733" s="35">
        <f t="shared" si="91"/>
        <v>18455529.0715</v>
      </c>
      <c r="M1733" s="36">
        <v>430</v>
      </c>
      <c r="N1733" s="40">
        <v>95005.4052562664</v>
      </c>
      <c r="O1733" s="40">
        <v>170122</v>
      </c>
      <c r="P1733" s="40">
        <v>0</v>
      </c>
      <c r="Q1733" s="40">
        <v>49654.5</v>
      </c>
      <c r="R1733" s="40">
        <v>187662.951926674</v>
      </c>
      <c r="S1733" s="40">
        <v>100210.851602444</v>
      </c>
      <c r="T1733" s="48"/>
      <c r="U1733" s="40">
        <v>299199.33906970901</v>
      </c>
      <c r="V1733" s="40">
        <v>0</v>
      </c>
      <c r="W1733" s="45">
        <f t="shared" si="92"/>
        <v>901855.04785509338</v>
      </c>
      <c r="X1733" s="46">
        <f t="shared" si="93"/>
        <v>4.8866388189747729</v>
      </c>
    </row>
    <row r="1734" spans="1:24" s="4" customFormat="1" ht="15" customHeight="1">
      <c r="A1734" s="28" t="s">
        <v>2168</v>
      </c>
      <c r="B1734" s="29">
        <v>3271.01</v>
      </c>
      <c r="C1734" s="30" t="s">
        <v>2615</v>
      </c>
      <c r="D1734" s="2">
        <v>4950585737</v>
      </c>
      <c r="E1734" s="2" t="s">
        <v>14</v>
      </c>
      <c r="F1734" s="78" t="s">
        <v>2616</v>
      </c>
      <c r="G1734" s="28" t="s">
        <v>9</v>
      </c>
      <c r="H1734" s="2" t="s">
        <v>23</v>
      </c>
      <c r="I1734" s="2">
        <v>3</v>
      </c>
      <c r="J1734" s="2"/>
      <c r="K1734" s="2">
        <v>6372.6</v>
      </c>
      <c r="L1734" s="35">
        <f t="shared" si="91"/>
        <v>20844838.326000001</v>
      </c>
      <c r="M1734" s="36">
        <v>2580</v>
      </c>
      <c r="N1734" s="40">
        <v>803977</v>
      </c>
      <c r="O1734" s="40">
        <v>1872</v>
      </c>
      <c r="P1734" s="40">
        <v>0</v>
      </c>
      <c r="Q1734" s="40">
        <v>44487</v>
      </c>
      <c r="R1734" s="40">
        <v>136394</v>
      </c>
      <c r="S1734" s="40">
        <v>354356</v>
      </c>
      <c r="T1734" s="40">
        <v>30000</v>
      </c>
      <c r="U1734" s="40">
        <v>1552839.82683983</v>
      </c>
      <c r="V1734" s="40">
        <v>0</v>
      </c>
      <c r="W1734" s="45">
        <f t="shared" si="92"/>
        <v>2923925.8268398298</v>
      </c>
      <c r="X1734" s="46">
        <f t="shared" si="93"/>
        <v>14.027097649362835</v>
      </c>
    </row>
    <row r="1735" spans="1:24" s="4" customFormat="1" ht="15" customHeight="1">
      <c r="A1735" s="28" t="s">
        <v>2168</v>
      </c>
      <c r="B1735" s="29">
        <v>3271.01</v>
      </c>
      <c r="C1735" s="30" t="s">
        <v>2617</v>
      </c>
      <c r="D1735" s="2">
        <v>4950223951</v>
      </c>
      <c r="E1735" s="2" t="s">
        <v>24</v>
      </c>
      <c r="F1735" s="2" t="s">
        <v>2618</v>
      </c>
      <c r="G1735" s="28" t="s">
        <v>5</v>
      </c>
      <c r="H1735" s="2" t="s">
        <v>20</v>
      </c>
      <c r="I1735" s="2">
        <v>1</v>
      </c>
      <c r="J1735" s="2" t="s">
        <v>2619</v>
      </c>
      <c r="K1735" s="2">
        <v>34237.730000000003</v>
      </c>
      <c r="L1735" s="35">
        <f t="shared" si="91"/>
        <v>111991957.20730002</v>
      </c>
      <c r="M1735" s="36">
        <v>15422.4</v>
      </c>
      <c r="N1735" s="40">
        <v>335949</v>
      </c>
      <c r="O1735" s="40">
        <v>340244</v>
      </c>
      <c r="P1735" s="40">
        <v>0</v>
      </c>
      <c r="Q1735" s="40">
        <v>99309</v>
      </c>
      <c r="R1735" s="40">
        <v>553313</v>
      </c>
      <c r="S1735" s="40">
        <v>354356</v>
      </c>
      <c r="T1735" s="48"/>
      <c r="U1735" s="40">
        <v>519300</v>
      </c>
      <c r="V1735" s="40">
        <v>0</v>
      </c>
      <c r="W1735" s="45">
        <f t="shared" si="92"/>
        <v>2202471</v>
      </c>
      <c r="X1735" s="46">
        <f t="shared" si="93"/>
        <v>1.9666331894916071</v>
      </c>
    </row>
    <row r="1736" spans="1:24" s="4" customFormat="1" ht="15" customHeight="1">
      <c r="A1736" s="28" t="s">
        <v>2168</v>
      </c>
      <c r="B1736" s="29">
        <v>3271.01</v>
      </c>
      <c r="C1736" s="30" t="s">
        <v>2620</v>
      </c>
      <c r="D1736" s="2">
        <v>4950130444</v>
      </c>
      <c r="E1736" s="2" t="s">
        <v>21</v>
      </c>
      <c r="F1736" s="2" t="s">
        <v>2621</v>
      </c>
      <c r="G1736" s="28" t="s">
        <v>9</v>
      </c>
      <c r="H1736" s="2" t="s">
        <v>23</v>
      </c>
      <c r="I1736" s="2">
        <v>4</v>
      </c>
      <c r="J1736" s="2"/>
      <c r="K1736" s="2">
        <v>16112</v>
      </c>
      <c r="L1736" s="35">
        <f t="shared" si="91"/>
        <v>52702513.120000005</v>
      </c>
      <c r="M1736" s="36">
        <v>3040</v>
      </c>
      <c r="N1736" s="40">
        <v>883184</v>
      </c>
      <c r="O1736" s="40">
        <v>2234</v>
      </c>
      <c r="P1736" s="40">
        <v>0</v>
      </c>
      <c r="Q1736" s="40">
        <v>54025</v>
      </c>
      <c r="R1736" s="40">
        <v>138379</v>
      </c>
      <c r="S1736" s="40">
        <v>354356</v>
      </c>
      <c r="T1736" s="48"/>
      <c r="U1736" s="40">
        <v>252200</v>
      </c>
      <c r="V1736" s="40">
        <v>0</v>
      </c>
      <c r="W1736" s="45">
        <f t="shared" si="92"/>
        <v>1684378</v>
      </c>
      <c r="X1736" s="46">
        <f t="shared" si="93"/>
        <v>3.1960107787740348</v>
      </c>
    </row>
    <row r="1737" spans="1:24" s="4" customFormat="1" ht="15" customHeight="1">
      <c r="A1737" s="28" t="s">
        <v>2168</v>
      </c>
      <c r="B1737" s="29">
        <v>3271.01</v>
      </c>
      <c r="C1737" s="30" t="s">
        <v>2622</v>
      </c>
      <c r="D1737" s="2">
        <v>4947224859</v>
      </c>
      <c r="E1737" s="2" t="s">
        <v>6</v>
      </c>
      <c r="F1737" s="2" t="s">
        <v>2623</v>
      </c>
      <c r="G1737" s="28" t="s">
        <v>9</v>
      </c>
      <c r="H1737" s="2" t="s">
        <v>23</v>
      </c>
      <c r="I1737" s="2">
        <v>2</v>
      </c>
      <c r="J1737" s="2"/>
      <c r="K1737" s="2">
        <v>3930</v>
      </c>
      <c r="L1737" s="35">
        <f t="shared" si="91"/>
        <v>12855069.300000001</v>
      </c>
      <c r="M1737" s="36">
        <v>1100</v>
      </c>
      <c r="N1737" s="40">
        <v>740080</v>
      </c>
      <c r="O1737" s="40">
        <v>936</v>
      </c>
      <c r="P1737" s="40">
        <v>0</v>
      </c>
      <c r="Q1737" s="40">
        <v>27620</v>
      </c>
      <c r="R1737" s="40">
        <v>115264</v>
      </c>
      <c r="S1737" s="40">
        <v>354356</v>
      </c>
      <c r="T1737" s="40">
        <v>30000</v>
      </c>
      <c r="U1737" s="40">
        <v>1367700</v>
      </c>
      <c r="V1737" s="40">
        <v>0</v>
      </c>
      <c r="W1737" s="45">
        <f t="shared" si="92"/>
        <v>2635956</v>
      </c>
      <c r="X1737" s="46">
        <f t="shared" si="93"/>
        <v>20.505187008210061</v>
      </c>
    </row>
    <row r="1738" spans="1:24" s="4" customFormat="1" ht="15" customHeight="1">
      <c r="A1738" s="28" t="s">
        <v>2168</v>
      </c>
      <c r="B1738" s="29">
        <v>3271.01</v>
      </c>
      <c r="C1738" s="30" t="s">
        <v>2624</v>
      </c>
      <c r="D1738" s="2">
        <v>4950184136</v>
      </c>
      <c r="E1738" s="2" t="s">
        <v>36</v>
      </c>
      <c r="F1738" s="2" t="s">
        <v>2625</v>
      </c>
      <c r="G1738" s="28" t="s">
        <v>5</v>
      </c>
      <c r="H1738" s="2" t="s">
        <v>20</v>
      </c>
      <c r="I1738" s="2">
        <v>1</v>
      </c>
      <c r="J1738" s="2" t="s">
        <v>2626</v>
      </c>
      <c r="K1738" s="2">
        <v>30263.040000000001</v>
      </c>
      <c r="L1738" s="35">
        <f t="shared" si="91"/>
        <v>98990706.470400006</v>
      </c>
      <c r="M1738" s="36">
        <v>17040</v>
      </c>
      <c r="N1738" s="40">
        <v>335949</v>
      </c>
      <c r="O1738" s="40">
        <v>340244</v>
      </c>
      <c r="P1738" s="40">
        <v>0</v>
      </c>
      <c r="Q1738" s="40">
        <v>99309</v>
      </c>
      <c r="R1738" s="40">
        <v>553827</v>
      </c>
      <c r="S1738" s="40">
        <v>354356</v>
      </c>
      <c r="T1738" s="48"/>
      <c r="U1738" s="40">
        <v>519300</v>
      </c>
      <c r="V1738" s="40">
        <v>0</v>
      </c>
      <c r="W1738" s="45">
        <f t="shared" si="92"/>
        <v>2202985</v>
      </c>
      <c r="X1738" s="46">
        <f t="shared" si="93"/>
        <v>2.2254462853628909</v>
      </c>
    </row>
    <row r="1739" spans="1:24" s="4" customFormat="1" ht="15" customHeight="1">
      <c r="A1739" s="28" t="s">
        <v>2168</v>
      </c>
      <c r="B1739" s="29">
        <v>3271.01</v>
      </c>
      <c r="C1739" s="30" t="s">
        <v>2627</v>
      </c>
      <c r="D1739" s="2">
        <v>4950760125</v>
      </c>
      <c r="E1739" s="2" t="s">
        <v>36</v>
      </c>
      <c r="F1739" s="2" t="s">
        <v>2628</v>
      </c>
      <c r="G1739" s="28" t="s">
        <v>5</v>
      </c>
      <c r="H1739" s="2" t="s">
        <v>20</v>
      </c>
      <c r="I1739" s="2">
        <v>1</v>
      </c>
      <c r="J1739" s="2" t="s">
        <v>2629</v>
      </c>
      <c r="K1739" s="2">
        <v>31590</v>
      </c>
      <c r="L1739" s="35">
        <f t="shared" si="91"/>
        <v>103331205.90000001</v>
      </c>
      <c r="M1739" s="36">
        <v>19500</v>
      </c>
      <c r="N1739" s="40">
        <v>345830</v>
      </c>
      <c r="O1739" s="40">
        <v>340244</v>
      </c>
      <c r="P1739" s="40">
        <v>0</v>
      </c>
      <c r="Q1739" s="40">
        <v>99309</v>
      </c>
      <c r="R1739" s="40">
        <v>744845</v>
      </c>
      <c r="S1739" s="40">
        <v>354356</v>
      </c>
      <c r="T1739" s="48"/>
      <c r="U1739" s="40">
        <v>519300</v>
      </c>
      <c r="V1739" s="40">
        <v>0</v>
      </c>
      <c r="W1739" s="45">
        <f t="shared" si="92"/>
        <v>2403884</v>
      </c>
      <c r="X1739" s="46">
        <f t="shared" si="93"/>
        <v>2.3263872506495153</v>
      </c>
    </row>
    <row r="1740" spans="1:24" s="4" customFormat="1" ht="15" customHeight="1">
      <c r="A1740" s="28" t="s">
        <v>2168</v>
      </c>
      <c r="B1740" s="29">
        <v>3271.01</v>
      </c>
      <c r="C1740" s="30" t="s">
        <v>2630</v>
      </c>
      <c r="D1740" s="2">
        <v>4950443831</v>
      </c>
      <c r="E1740" s="2" t="s">
        <v>14</v>
      </c>
      <c r="F1740" s="78" t="s">
        <v>2631</v>
      </c>
      <c r="G1740" s="28" t="s">
        <v>9</v>
      </c>
      <c r="H1740" s="2" t="s">
        <v>23</v>
      </c>
      <c r="I1740" s="2">
        <v>22</v>
      </c>
      <c r="J1740" s="2"/>
      <c r="K1740" s="2">
        <v>2529.6</v>
      </c>
      <c r="L1740" s="35">
        <f t="shared" si="91"/>
        <v>8274346.8960000006</v>
      </c>
      <c r="M1740" s="36">
        <v>340</v>
      </c>
      <c r="N1740" s="40">
        <v>87594.398058252395</v>
      </c>
      <c r="O1740" s="40">
        <v>245.881067961165</v>
      </c>
      <c r="P1740" s="40">
        <v>37815.550970873803</v>
      </c>
      <c r="Q1740" s="40">
        <v>7487.3859223300997</v>
      </c>
      <c r="R1740" s="40">
        <v>14163.3519417476</v>
      </c>
      <c r="S1740" s="40">
        <v>14621.485436893199</v>
      </c>
      <c r="T1740" s="40">
        <v>30000</v>
      </c>
      <c r="U1740" s="40">
        <v>220133.49514563099</v>
      </c>
      <c r="V1740" s="40">
        <v>0</v>
      </c>
      <c r="W1740" s="45">
        <f t="shared" si="92"/>
        <v>412061.54854368931</v>
      </c>
      <c r="X1740" s="46">
        <f t="shared" si="93"/>
        <v>4.9799887981840456</v>
      </c>
    </row>
    <row r="1741" spans="1:24" s="4" customFormat="1" ht="15" customHeight="1">
      <c r="A1741" s="28" t="s">
        <v>2168</v>
      </c>
      <c r="B1741" s="29">
        <v>3271.01</v>
      </c>
      <c r="C1741" s="30" t="s">
        <v>2630</v>
      </c>
      <c r="D1741" s="2">
        <v>4950210632</v>
      </c>
      <c r="E1741" s="2" t="s">
        <v>14</v>
      </c>
      <c r="F1741" s="78" t="s">
        <v>2631</v>
      </c>
      <c r="G1741" s="28" t="s">
        <v>9</v>
      </c>
      <c r="H1741" s="2" t="s">
        <v>23</v>
      </c>
      <c r="I1741" s="2">
        <v>22</v>
      </c>
      <c r="J1741" s="2"/>
      <c r="K1741" s="2">
        <v>1117.2</v>
      </c>
      <c r="L1741" s="35">
        <f t="shared" si="91"/>
        <v>3654372.3720000004</v>
      </c>
      <c r="M1741" s="36">
        <v>420</v>
      </c>
      <c r="N1741" s="40">
        <v>108204.84466019399</v>
      </c>
      <c r="O1741" s="40">
        <v>303.735436893204</v>
      </c>
      <c r="P1741" s="40">
        <v>46713.327669902901</v>
      </c>
      <c r="Q1741" s="40">
        <v>9249.1237864077702</v>
      </c>
      <c r="R1741" s="40">
        <v>17495.905339805799</v>
      </c>
      <c r="S1741" s="40">
        <v>18061.834951456301</v>
      </c>
      <c r="T1741" s="40">
        <v>30000</v>
      </c>
      <c r="U1741" s="40">
        <v>271929.61165048502</v>
      </c>
      <c r="V1741" s="40">
        <v>0</v>
      </c>
      <c r="W1741" s="45">
        <f t="shared" si="92"/>
        <v>501958.38349514501</v>
      </c>
      <c r="X1741" s="46">
        <f t="shared" si="93"/>
        <v>13.7358301890956</v>
      </c>
    </row>
    <row r="1742" spans="1:24" s="4" customFormat="1" ht="15" customHeight="1">
      <c r="A1742" s="28" t="s">
        <v>2168</v>
      </c>
      <c r="B1742" s="29">
        <v>3271.01</v>
      </c>
      <c r="C1742" s="30" t="s">
        <v>2630</v>
      </c>
      <c r="D1742" s="2">
        <v>4949781209</v>
      </c>
      <c r="E1742" s="2" t="s">
        <v>14</v>
      </c>
      <c r="F1742" s="78" t="s">
        <v>2631</v>
      </c>
      <c r="G1742" s="28" t="s">
        <v>9</v>
      </c>
      <c r="H1742" s="2" t="s">
        <v>23</v>
      </c>
      <c r="I1742" s="2">
        <v>22</v>
      </c>
      <c r="J1742" s="2"/>
      <c r="K1742" s="2">
        <v>1426</v>
      </c>
      <c r="L1742" s="35">
        <f t="shared" si="91"/>
        <v>4664460.2600000007</v>
      </c>
      <c r="M1742" s="36">
        <v>100</v>
      </c>
      <c r="N1742" s="40">
        <v>25763.058252427199</v>
      </c>
      <c r="O1742" s="40">
        <v>72.317961165048501</v>
      </c>
      <c r="P1742" s="40">
        <v>11122.2208737864</v>
      </c>
      <c r="Q1742" s="40">
        <v>2202.1723300970898</v>
      </c>
      <c r="R1742" s="40">
        <v>4165.6917475728196</v>
      </c>
      <c r="S1742" s="40">
        <v>4300.4368932038797</v>
      </c>
      <c r="T1742" s="40">
        <v>30000</v>
      </c>
      <c r="U1742" s="40">
        <v>64745.145631068001</v>
      </c>
      <c r="V1742" s="40">
        <v>0</v>
      </c>
      <c r="W1742" s="45">
        <f t="shared" si="92"/>
        <v>142371.04368932045</v>
      </c>
      <c r="X1742" s="46">
        <f t="shared" si="93"/>
        <v>3.0522511877788072</v>
      </c>
    </row>
    <row r="1743" spans="1:24" s="4" customFormat="1" ht="15" customHeight="1">
      <c r="A1743" s="28" t="s">
        <v>2168</v>
      </c>
      <c r="B1743" s="29">
        <v>3271.01</v>
      </c>
      <c r="C1743" s="30" t="s">
        <v>2630</v>
      </c>
      <c r="D1743" s="2">
        <v>4950058257</v>
      </c>
      <c r="E1743" s="2" t="s">
        <v>14</v>
      </c>
      <c r="F1743" s="78" t="s">
        <v>2631</v>
      </c>
      <c r="G1743" s="28" t="s">
        <v>9</v>
      </c>
      <c r="H1743" s="2" t="s">
        <v>23</v>
      </c>
      <c r="I1743" s="2">
        <v>22</v>
      </c>
      <c r="J1743" s="2"/>
      <c r="K1743" s="2">
        <v>3122</v>
      </c>
      <c r="L1743" s="35">
        <f t="shared" si="91"/>
        <v>10212093.220000001</v>
      </c>
      <c r="M1743" s="36">
        <v>700</v>
      </c>
      <c r="N1743" s="40">
        <v>180341.40776699001</v>
      </c>
      <c r="O1743" s="40">
        <v>506.22572815533999</v>
      </c>
      <c r="P1743" s="40">
        <v>77855.546116504906</v>
      </c>
      <c r="Q1743" s="40">
        <v>15415.206310679599</v>
      </c>
      <c r="R1743" s="40">
        <v>29159.842233009698</v>
      </c>
      <c r="S1743" s="40">
        <v>30103.058252427199</v>
      </c>
      <c r="T1743" s="40">
        <v>30000</v>
      </c>
      <c r="U1743" s="40">
        <v>453216.01941747603</v>
      </c>
      <c r="V1743" s="40">
        <v>0</v>
      </c>
      <c r="W1743" s="45">
        <f t="shared" si="92"/>
        <v>816597.30582524277</v>
      </c>
      <c r="X1743" s="46">
        <f t="shared" si="93"/>
        <v>7.996375358442358</v>
      </c>
    </row>
    <row r="1744" spans="1:24" s="4" customFormat="1" ht="15" customHeight="1">
      <c r="A1744" s="28" t="s">
        <v>2168</v>
      </c>
      <c r="B1744" s="29">
        <v>3271.01</v>
      </c>
      <c r="C1744" s="30" t="s">
        <v>2630</v>
      </c>
      <c r="D1744" s="2">
        <v>4950443831</v>
      </c>
      <c r="E1744" s="2" t="s">
        <v>14</v>
      </c>
      <c r="F1744" s="78" t="s">
        <v>2631</v>
      </c>
      <c r="G1744" s="28" t="s">
        <v>9</v>
      </c>
      <c r="H1744" s="2" t="s">
        <v>23</v>
      </c>
      <c r="I1744" s="2">
        <v>22</v>
      </c>
      <c r="J1744" s="2"/>
      <c r="K1744" s="2">
        <v>15722</v>
      </c>
      <c r="L1744" s="35">
        <f t="shared" si="91"/>
        <v>51426819.220000006</v>
      </c>
      <c r="M1744" s="36">
        <v>1400</v>
      </c>
      <c r="N1744" s="40">
        <v>360682.81553398102</v>
      </c>
      <c r="O1744" s="40">
        <v>1012.45145631068</v>
      </c>
      <c r="P1744" s="40">
        <v>155711.09223300999</v>
      </c>
      <c r="Q1744" s="40">
        <v>30830.412621359199</v>
      </c>
      <c r="R1744" s="40">
        <v>58319.684466019396</v>
      </c>
      <c r="S1744" s="40">
        <v>60206.116504854399</v>
      </c>
      <c r="T1744" s="40">
        <v>30000</v>
      </c>
      <c r="U1744" s="40">
        <v>906432.038834951</v>
      </c>
      <c r="V1744" s="40">
        <v>0</v>
      </c>
      <c r="W1744" s="45">
        <f t="shared" si="92"/>
        <v>1603194.6116504855</v>
      </c>
      <c r="X1744" s="46">
        <f t="shared" si="93"/>
        <v>3.1174290690469135</v>
      </c>
    </row>
    <row r="1745" spans="1:24" s="4" customFormat="1" ht="15" customHeight="1">
      <c r="A1745" s="28" t="s">
        <v>2168</v>
      </c>
      <c r="B1745" s="29">
        <v>3271.01</v>
      </c>
      <c r="C1745" s="30" t="s">
        <v>2630</v>
      </c>
      <c r="D1745" s="2">
        <v>4950210634</v>
      </c>
      <c r="E1745" s="2" t="s">
        <v>14</v>
      </c>
      <c r="F1745" s="78" t="s">
        <v>2631</v>
      </c>
      <c r="G1745" s="28" t="s">
        <v>9</v>
      </c>
      <c r="H1745" s="2" t="s">
        <v>23</v>
      </c>
      <c r="I1745" s="2">
        <v>22</v>
      </c>
      <c r="J1745" s="2"/>
      <c r="K1745" s="2">
        <v>302.60000000000002</v>
      </c>
      <c r="L1745" s="35">
        <f t="shared" si="91"/>
        <v>989807.62600000016</v>
      </c>
      <c r="M1745" s="36">
        <v>20</v>
      </c>
      <c r="N1745" s="40">
        <v>5152.6116504854399</v>
      </c>
      <c r="O1745" s="40">
        <v>14.463592233009701</v>
      </c>
      <c r="P1745" s="40">
        <v>2224.4441747572801</v>
      </c>
      <c r="Q1745" s="40">
        <v>440.43446601941702</v>
      </c>
      <c r="R1745" s="40">
        <v>833.13834951456295</v>
      </c>
      <c r="S1745" s="40">
        <v>860.08737864077705</v>
      </c>
      <c r="T1745" s="40">
        <v>30000</v>
      </c>
      <c r="U1745" s="40">
        <v>12949.0291262136</v>
      </c>
      <c r="V1745" s="40">
        <v>0</v>
      </c>
      <c r="W1745" s="45">
        <f t="shared" si="92"/>
        <v>52474.208737864086</v>
      </c>
      <c r="X1745" s="46">
        <f t="shared" si="93"/>
        <v>5.3014552888344868</v>
      </c>
    </row>
    <row r="1746" spans="1:24" s="4" customFormat="1" ht="15" customHeight="1">
      <c r="A1746" s="28" t="s">
        <v>2168</v>
      </c>
      <c r="B1746" s="29">
        <v>3271.01</v>
      </c>
      <c r="C1746" s="30" t="s">
        <v>2630</v>
      </c>
      <c r="D1746" s="2">
        <v>4950365721</v>
      </c>
      <c r="E1746" s="2" t="s">
        <v>14</v>
      </c>
      <c r="F1746" s="78" t="s">
        <v>2631</v>
      </c>
      <c r="G1746" s="28" t="s">
        <v>9</v>
      </c>
      <c r="H1746" s="2" t="s">
        <v>23</v>
      </c>
      <c r="I1746" s="2">
        <v>22</v>
      </c>
      <c r="J1746" s="2"/>
      <c r="K1746" s="2">
        <v>6696</v>
      </c>
      <c r="L1746" s="35">
        <f t="shared" si="91"/>
        <v>21902682.960000001</v>
      </c>
      <c r="M1746" s="36">
        <v>1440</v>
      </c>
      <c r="N1746" s="40">
        <v>370988.038834951</v>
      </c>
      <c r="O1746" s="40">
        <v>1041.3786407767</v>
      </c>
      <c r="P1746" s="40">
        <v>160159.980582524</v>
      </c>
      <c r="Q1746" s="40">
        <v>31711.281553398101</v>
      </c>
      <c r="R1746" s="40">
        <v>59985.961165048502</v>
      </c>
      <c r="S1746" s="40">
        <v>61926.291262135899</v>
      </c>
      <c r="T1746" s="40">
        <v>30000</v>
      </c>
      <c r="U1746" s="40">
        <v>932330.09708737896</v>
      </c>
      <c r="V1746" s="40">
        <v>0</v>
      </c>
      <c r="W1746" s="45">
        <f t="shared" si="92"/>
        <v>1648143.0291262134</v>
      </c>
      <c r="X1746" s="46">
        <f t="shared" si="93"/>
        <v>7.5248453905676831</v>
      </c>
    </row>
    <row r="1747" spans="1:24" s="4" customFormat="1" ht="15" customHeight="1">
      <c r="A1747" s="28" t="s">
        <v>2168</v>
      </c>
      <c r="B1747" s="29">
        <v>3271.01</v>
      </c>
      <c r="C1747" s="30" t="s">
        <v>2630</v>
      </c>
      <c r="D1747" s="2">
        <v>4950210634</v>
      </c>
      <c r="E1747" s="2" t="s">
        <v>14</v>
      </c>
      <c r="F1747" s="78" t="s">
        <v>2631</v>
      </c>
      <c r="G1747" s="28" t="s">
        <v>9</v>
      </c>
      <c r="H1747" s="2" t="s">
        <v>23</v>
      </c>
      <c r="I1747" s="2">
        <v>22</v>
      </c>
      <c r="J1747" s="2"/>
      <c r="K1747" s="2">
        <v>271.8</v>
      </c>
      <c r="L1747" s="35">
        <f t="shared" si="91"/>
        <v>889060.51800000004</v>
      </c>
      <c r="M1747" s="36">
        <v>20</v>
      </c>
      <c r="N1747" s="40">
        <v>5152.6116504854399</v>
      </c>
      <c r="O1747" s="40">
        <v>14.463592233009701</v>
      </c>
      <c r="P1747" s="40">
        <v>2224.4441747572801</v>
      </c>
      <c r="Q1747" s="40">
        <v>440.43446601941702</v>
      </c>
      <c r="R1747" s="40">
        <v>833.13834951456295</v>
      </c>
      <c r="S1747" s="40">
        <v>860.08737864077705</v>
      </c>
      <c r="T1747" s="40">
        <v>30000</v>
      </c>
      <c r="U1747" s="40">
        <v>12949.0291262136</v>
      </c>
      <c r="V1747" s="40">
        <v>0</v>
      </c>
      <c r="W1747" s="45">
        <f t="shared" si="92"/>
        <v>52474.208737864086</v>
      </c>
      <c r="X1747" s="46">
        <f t="shared" si="93"/>
        <v>5.9022088682903453</v>
      </c>
    </row>
    <row r="1748" spans="1:24" s="4" customFormat="1" ht="15" customHeight="1">
      <c r="A1748" s="28" t="s">
        <v>2168</v>
      </c>
      <c r="B1748" s="29">
        <v>3271.01</v>
      </c>
      <c r="C1748" s="30" t="s">
        <v>2630</v>
      </c>
      <c r="D1748" s="2">
        <v>4950443832</v>
      </c>
      <c r="E1748" s="2" t="s">
        <v>14</v>
      </c>
      <c r="F1748" s="78" t="s">
        <v>2631</v>
      </c>
      <c r="G1748" s="28" t="s">
        <v>9</v>
      </c>
      <c r="H1748" s="2" t="s">
        <v>23</v>
      </c>
      <c r="I1748" s="2">
        <v>22</v>
      </c>
      <c r="J1748" s="2"/>
      <c r="K1748" s="2">
        <v>1882</v>
      </c>
      <c r="L1748" s="35">
        <f t="shared" si="91"/>
        <v>6156040.8200000003</v>
      </c>
      <c r="M1748" s="36">
        <v>50</v>
      </c>
      <c r="N1748" s="40">
        <v>12881.5291262136</v>
      </c>
      <c r="O1748" s="40">
        <v>36.1589805825243</v>
      </c>
      <c r="P1748" s="40">
        <v>5561.1104368932001</v>
      </c>
      <c r="Q1748" s="40">
        <v>1101.0861650485399</v>
      </c>
      <c r="R1748" s="40">
        <v>2082.8458737864098</v>
      </c>
      <c r="S1748" s="40">
        <v>2150.2184466019398</v>
      </c>
      <c r="T1748" s="40">
        <v>30000</v>
      </c>
      <c r="U1748" s="40">
        <v>32372.572815534</v>
      </c>
      <c r="V1748" s="40">
        <v>0</v>
      </c>
      <c r="W1748" s="45">
        <f t="shared" si="92"/>
        <v>86185.521844660208</v>
      </c>
      <c r="X1748" s="46">
        <f t="shared" si="93"/>
        <v>1.4000154379200527</v>
      </c>
    </row>
    <row r="1749" spans="1:24" s="4" customFormat="1" ht="15" customHeight="1">
      <c r="A1749" s="28" t="s">
        <v>2168</v>
      </c>
      <c r="B1749" s="29">
        <v>3271.01</v>
      </c>
      <c r="C1749" s="30" t="s">
        <v>2630</v>
      </c>
      <c r="D1749" s="2">
        <v>4950443833</v>
      </c>
      <c r="E1749" s="2" t="s">
        <v>14</v>
      </c>
      <c r="F1749" s="78" t="s">
        <v>2631</v>
      </c>
      <c r="G1749" s="28" t="s">
        <v>9</v>
      </c>
      <c r="H1749" s="2" t="s">
        <v>23</v>
      </c>
      <c r="I1749" s="2">
        <v>22</v>
      </c>
      <c r="J1749" s="2"/>
      <c r="K1749" s="2">
        <v>14315</v>
      </c>
      <c r="L1749" s="35">
        <f t="shared" si="91"/>
        <v>46824508.150000006</v>
      </c>
      <c r="M1749" s="36">
        <v>3500</v>
      </c>
      <c r="N1749" s="40">
        <v>901707.038834951</v>
      </c>
      <c r="O1749" s="40">
        <v>2531.1286407767002</v>
      </c>
      <c r="P1749" s="40">
        <v>389277.73058252397</v>
      </c>
      <c r="Q1749" s="40">
        <v>77076.031553398105</v>
      </c>
      <c r="R1749" s="40">
        <v>145799.211165049</v>
      </c>
      <c r="S1749" s="40">
        <v>150515.29126213599</v>
      </c>
      <c r="T1749" s="40">
        <v>30000</v>
      </c>
      <c r="U1749" s="40">
        <v>2266080.09708738</v>
      </c>
      <c r="V1749" s="40">
        <v>0</v>
      </c>
      <c r="W1749" s="45">
        <f t="shared" si="92"/>
        <v>3962986.5291262148</v>
      </c>
      <c r="X1749" s="46">
        <f t="shared" si="93"/>
        <v>8.4634877881279245</v>
      </c>
    </row>
    <row r="1750" spans="1:24" s="4" customFormat="1" ht="15" customHeight="1">
      <c r="A1750" s="28" t="s">
        <v>2168</v>
      </c>
      <c r="B1750" s="29">
        <v>3271.01</v>
      </c>
      <c r="C1750" s="30" t="s">
        <v>2630</v>
      </c>
      <c r="D1750" s="2">
        <v>4949922778</v>
      </c>
      <c r="E1750" s="2" t="s">
        <v>14</v>
      </c>
      <c r="F1750" s="78" t="s">
        <v>2631</v>
      </c>
      <c r="G1750" s="28" t="s">
        <v>9</v>
      </c>
      <c r="H1750" s="2" t="s">
        <v>23</v>
      </c>
      <c r="I1750" s="2">
        <v>22</v>
      </c>
      <c r="J1750" s="2"/>
      <c r="K1750" s="2">
        <v>7540</v>
      </c>
      <c r="L1750" s="35">
        <f t="shared" si="91"/>
        <v>24663415.400000002</v>
      </c>
      <c r="M1750" s="36">
        <v>250</v>
      </c>
      <c r="N1750" s="40">
        <v>64407.645631068001</v>
      </c>
      <c r="O1750" s="40">
        <v>180.79490291262101</v>
      </c>
      <c r="P1750" s="40">
        <v>27805.552184466</v>
      </c>
      <c r="Q1750" s="40">
        <v>5505.4308252427199</v>
      </c>
      <c r="R1750" s="40">
        <v>10414.229368931999</v>
      </c>
      <c r="S1750" s="40">
        <v>10751.0922330097</v>
      </c>
      <c r="T1750" s="40">
        <v>30000</v>
      </c>
      <c r="U1750" s="40">
        <v>161862.86407767</v>
      </c>
      <c r="V1750" s="40">
        <v>0</v>
      </c>
      <c r="W1750" s="45">
        <f t="shared" si="92"/>
        <v>310927.60922330106</v>
      </c>
      <c r="X1750" s="46">
        <f t="shared" si="93"/>
        <v>1.2606835029965113</v>
      </c>
    </row>
    <row r="1751" spans="1:24" s="4" customFormat="1" ht="15" customHeight="1">
      <c r="A1751" s="28" t="s">
        <v>2168</v>
      </c>
      <c r="B1751" s="29">
        <v>3271.01</v>
      </c>
      <c r="C1751" s="30" t="s">
        <v>2632</v>
      </c>
      <c r="D1751" s="2">
        <v>4950722772</v>
      </c>
      <c r="E1751" s="2" t="s">
        <v>14</v>
      </c>
      <c r="F1751" s="2" t="s">
        <v>2633</v>
      </c>
      <c r="G1751" s="28" t="s">
        <v>5</v>
      </c>
      <c r="H1751" s="2" t="s">
        <v>20</v>
      </c>
      <c r="I1751" s="2">
        <v>1</v>
      </c>
      <c r="J1751" s="2" t="s">
        <v>2634</v>
      </c>
      <c r="K1751" s="2">
        <v>138.80000000000001</v>
      </c>
      <c r="L1751" s="35">
        <f t="shared" si="91"/>
        <v>454016.18800000008</v>
      </c>
      <c r="M1751" s="36">
        <v>40</v>
      </c>
      <c r="N1751" s="40">
        <v>2499.0447761194</v>
      </c>
      <c r="O1751" s="40">
        <v>2539.13432835821</v>
      </c>
      <c r="P1751" s="40">
        <v>0</v>
      </c>
      <c r="Q1751" s="40">
        <v>741.11194029850697</v>
      </c>
      <c r="R1751" s="40">
        <v>5667.4701492537297</v>
      </c>
      <c r="S1751" s="40">
        <v>2644.4477611940301</v>
      </c>
      <c r="T1751" s="40">
        <v>30000</v>
      </c>
      <c r="U1751" s="40">
        <v>19544.776119402999</v>
      </c>
      <c r="V1751" s="40">
        <v>0</v>
      </c>
      <c r="W1751" s="45">
        <f t="shared" si="92"/>
        <v>63635.985074626878</v>
      </c>
      <c r="X1751" s="46">
        <f t="shared" si="93"/>
        <v>14.016237032197379</v>
      </c>
    </row>
    <row r="1752" spans="1:24" s="4" customFormat="1" ht="15" customHeight="1">
      <c r="A1752" s="28" t="s">
        <v>2168</v>
      </c>
      <c r="B1752" s="29">
        <v>3271.01</v>
      </c>
      <c r="C1752" s="30" t="s">
        <v>2632</v>
      </c>
      <c r="D1752" s="2">
        <v>4950722772</v>
      </c>
      <c r="E1752" s="2" t="s">
        <v>14</v>
      </c>
      <c r="F1752" s="2" t="s">
        <v>2633</v>
      </c>
      <c r="G1752" s="28" t="s">
        <v>5</v>
      </c>
      <c r="H1752" s="2" t="s">
        <v>20</v>
      </c>
      <c r="I1752" s="2">
        <v>1</v>
      </c>
      <c r="J1752" s="2" t="s">
        <v>2634</v>
      </c>
      <c r="K1752" s="2">
        <v>24832</v>
      </c>
      <c r="L1752" s="35">
        <f t="shared" si="91"/>
        <v>81225720.320000008</v>
      </c>
      <c r="M1752" s="36">
        <v>320</v>
      </c>
      <c r="N1752" s="40">
        <v>19992.3582089552</v>
      </c>
      <c r="O1752" s="40">
        <v>20313.074626865699</v>
      </c>
      <c r="P1752" s="40">
        <v>0</v>
      </c>
      <c r="Q1752" s="40">
        <v>5928.8955223880603</v>
      </c>
      <c r="R1752" s="40">
        <v>45335.761194029903</v>
      </c>
      <c r="S1752" s="40">
        <v>21155.582089552201</v>
      </c>
      <c r="T1752" s="40">
        <v>30000</v>
      </c>
      <c r="U1752" s="40">
        <v>156358.20895522399</v>
      </c>
      <c r="V1752" s="40">
        <v>0</v>
      </c>
      <c r="W1752" s="45">
        <f t="shared" si="92"/>
        <v>299083.88059701503</v>
      </c>
      <c r="X1752" s="46">
        <f t="shared" si="93"/>
        <v>0.36821326966228496</v>
      </c>
    </row>
    <row r="1753" spans="1:24" s="4" customFormat="1" ht="15" customHeight="1">
      <c r="A1753" s="28" t="s">
        <v>2168</v>
      </c>
      <c r="B1753" s="29">
        <v>3271.01</v>
      </c>
      <c r="C1753" s="30" t="s">
        <v>2632</v>
      </c>
      <c r="D1753" s="2">
        <v>4949923352</v>
      </c>
      <c r="E1753" s="2" t="s">
        <v>14</v>
      </c>
      <c r="F1753" s="2" t="s">
        <v>2633</v>
      </c>
      <c r="G1753" s="28" t="s">
        <v>5</v>
      </c>
      <c r="H1753" s="2" t="s">
        <v>20</v>
      </c>
      <c r="I1753" s="2">
        <v>1</v>
      </c>
      <c r="J1753" s="2" t="s">
        <v>2634</v>
      </c>
      <c r="K1753" s="2">
        <v>30834</v>
      </c>
      <c r="L1753" s="35">
        <f t="shared" si="91"/>
        <v>100858322.34</v>
      </c>
      <c r="M1753" s="36">
        <v>1800</v>
      </c>
      <c r="N1753" s="40">
        <v>112457.01492537301</v>
      </c>
      <c r="O1753" s="40">
        <v>114261.044776119</v>
      </c>
      <c r="P1753" s="40">
        <v>0</v>
      </c>
      <c r="Q1753" s="40">
        <v>33350.037313432797</v>
      </c>
      <c r="R1753" s="40">
        <v>255015.15671641799</v>
      </c>
      <c r="S1753" s="40">
        <v>119000.149253731</v>
      </c>
      <c r="T1753" s="40">
        <v>30000</v>
      </c>
      <c r="U1753" s="40">
        <v>879514.92537313397</v>
      </c>
      <c r="V1753" s="40">
        <v>0</v>
      </c>
      <c r="W1753" s="45">
        <f t="shared" si="92"/>
        <v>1543598.3283582078</v>
      </c>
      <c r="X1753" s="46">
        <f t="shared" si="93"/>
        <v>1.5304620308422709</v>
      </c>
    </row>
    <row r="1754" spans="1:24" s="4" customFormat="1" ht="15" customHeight="1">
      <c r="A1754" s="28" t="s">
        <v>2168</v>
      </c>
      <c r="B1754" s="29">
        <v>3271.01</v>
      </c>
      <c r="C1754" s="30" t="s">
        <v>2632</v>
      </c>
      <c r="D1754" s="2">
        <v>4950215957</v>
      </c>
      <c r="E1754" s="2" t="s">
        <v>14</v>
      </c>
      <c r="F1754" s="2" t="s">
        <v>2633</v>
      </c>
      <c r="G1754" s="28" t="s">
        <v>5</v>
      </c>
      <c r="H1754" s="2" t="s">
        <v>20</v>
      </c>
      <c r="I1754" s="2">
        <v>1</v>
      </c>
      <c r="J1754" s="2" t="s">
        <v>2634</v>
      </c>
      <c r="K1754" s="2">
        <v>51390</v>
      </c>
      <c r="L1754" s="35">
        <f t="shared" si="91"/>
        <v>168097203.90000001</v>
      </c>
      <c r="M1754" s="36">
        <v>3000</v>
      </c>
      <c r="N1754" s="40">
        <v>187428.358208955</v>
      </c>
      <c r="O1754" s="40">
        <v>190435.074626866</v>
      </c>
      <c r="P1754" s="40">
        <v>0</v>
      </c>
      <c r="Q1754" s="40">
        <v>55583.395522388098</v>
      </c>
      <c r="R1754" s="40">
        <v>425025.26119403</v>
      </c>
      <c r="S1754" s="40">
        <v>198333.58208955199</v>
      </c>
      <c r="T1754" s="40">
        <v>30000</v>
      </c>
      <c r="U1754" s="40">
        <v>1465858.2089552199</v>
      </c>
      <c r="V1754" s="40">
        <v>0</v>
      </c>
      <c r="W1754" s="45">
        <f t="shared" si="92"/>
        <v>2552663.8805970112</v>
      </c>
      <c r="X1754" s="46">
        <f t="shared" si="93"/>
        <v>1.5185641529858969</v>
      </c>
    </row>
    <row r="1755" spans="1:24" s="4" customFormat="1" ht="15" customHeight="1">
      <c r="A1755" s="28" t="s">
        <v>2168</v>
      </c>
      <c r="B1755" s="29">
        <v>3271.01</v>
      </c>
      <c r="C1755" s="30" t="s">
        <v>2632</v>
      </c>
      <c r="D1755" s="2">
        <v>4950722772</v>
      </c>
      <c r="E1755" s="2" t="s">
        <v>14</v>
      </c>
      <c r="F1755" s="2" t="s">
        <v>2633</v>
      </c>
      <c r="G1755" s="28" t="s">
        <v>5</v>
      </c>
      <c r="H1755" s="2" t="s">
        <v>20</v>
      </c>
      <c r="I1755" s="2">
        <v>1</v>
      </c>
      <c r="J1755" s="2" t="s">
        <v>2634</v>
      </c>
      <c r="K1755" s="2">
        <v>8211.2000000000007</v>
      </c>
      <c r="L1755" s="35">
        <f t="shared" si="91"/>
        <v>26858917.312000003</v>
      </c>
      <c r="M1755" s="36">
        <v>160</v>
      </c>
      <c r="N1755" s="40">
        <v>9996.1791044776091</v>
      </c>
      <c r="O1755" s="40">
        <v>10156.5373134328</v>
      </c>
      <c r="P1755" s="40">
        <v>0</v>
      </c>
      <c r="Q1755" s="40">
        <v>2964.4477611940301</v>
      </c>
      <c r="R1755" s="40">
        <v>22667.880597014901</v>
      </c>
      <c r="S1755" s="40">
        <v>10577.791044776101</v>
      </c>
      <c r="T1755" s="40">
        <v>30000</v>
      </c>
      <c r="U1755" s="40">
        <v>78179.104477611894</v>
      </c>
      <c r="V1755" s="40">
        <v>0</v>
      </c>
      <c r="W1755" s="45">
        <f t="shared" si="92"/>
        <v>164541.94029850734</v>
      </c>
      <c r="X1755" s="46">
        <f t="shared" si="93"/>
        <v>0.61261568508941133</v>
      </c>
    </row>
    <row r="1756" spans="1:24" s="4" customFormat="1" ht="15" customHeight="1">
      <c r="A1756" s="28" t="s">
        <v>2168</v>
      </c>
      <c r="B1756" s="29">
        <v>3271.01</v>
      </c>
      <c r="C1756" s="30" t="s">
        <v>2632</v>
      </c>
      <c r="D1756" s="2">
        <v>4950722772</v>
      </c>
      <c r="E1756" s="2" t="s">
        <v>14</v>
      </c>
      <c r="F1756" s="2" t="s">
        <v>2633</v>
      </c>
      <c r="G1756" s="28" t="s">
        <v>5</v>
      </c>
      <c r="H1756" s="2" t="s">
        <v>20</v>
      </c>
      <c r="I1756" s="2">
        <v>1</v>
      </c>
      <c r="J1756" s="2" t="s">
        <v>2634</v>
      </c>
      <c r="K1756" s="2">
        <v>674</v>
      </c>
      <c r="L1756" s="35">
        <f t="shared" si="91"/>
        <v>2204660.7400000002</v>
      </c>
      <c r="M1756" s="36">
        <v>40</v>
      </c>
      <c r="N1756" s="40">
        <v>2499.0447761194</v>
      </c>
      <c r="O1756" s="40">
        <v>2539.13432835821</v>
      </c>
      <c r="P1756" s="40">
        <v>0</v>
      </c>
      <c r="Q1756" s="40">
        <v>741.11194029850697</v>
      </c>
      <c r="R1756" s="40">
        <v>5667.4701492537297</v>
      </c>
      <c r="S1756" s="40">
        <v>2644.4477611940301</v>
      </c>
      <c r="T1756" s="40">
        <v>30000</v>
      </c>
      <c r="U1756" s="40">
        <v>19544.776119402999</v>
      </c>
      <c r="V1756" s="40">
        <v>0</v>
      </c>
      <c r="W1756" s="45">
        <f t="shared" si="92"/>
        <v>63635.985074626878</v>
      </c>
      <c r="X1756" s="46">
        <f t="shared" si="93"/>
        <v>2.8864298220608249</v>
      </c>
    </row>
    <row r="1757" spans="1:24" s="4" customFormat="1" ht="15" customHeight="1">
      <c r="A1757" s="28" t="s">
        <v>2168</v>
      </c>
      <c r="B1757" s="29">
        <v>3271.01</v>
      </c>
      <c r="C1757" s="30" t="s">
        <v>2635</v>
      </c>
      <c r="D1757" s="2">
        <v>4950640755</v>
      </c>
      <c r="E1757" s="2" t="s">
        <v>33</v>
      </c>
      <c r="F1757" s="2" t="s">
        <v>2636</v>
      </c>
      <c r="G1757" s="28" t="s">
        <v>5</v>
      </c>
      <c r="H1757" s="2" t="s">
        <v>20</v>
      </c>
      <c r="I1757" s="2">
        <v>1</v>
      </c>
      <c r="J1757" s="2" t="s">
        <v>2637</v>
      </c>
      <c r="K1757" s="2">
        <v>55184.98</v>
      </c>
      <c r="L1757" s="35">
        <f t="shared" si="91"/>
        <v>180510621.42980003</v>
      </c>
      <c r="M1757" s="36" t="s">
        <v>2638</v>
      </c>
      <c r="N1757" s="40">
        <v>373017</v>
      </c>
      <c r="O1757" s="40">
        <v>340244</v>
      </c>
      <c r="P1757" s="40">
        <v>0</v>
      </c>
      <c r="Q1757" s="40">
        <v>99309</v>
      </c>
      <c r="R1757" s="40">
        <v>637844</v>
      </c>
      <c r="S1757" s="40">
        <v>354356</v>
      </c>
      <c r="T1757" s="48"/>
      <c r="U1757" s="40">
        <v>499900</v>
      </c>
      <c r="V1757" s="40">
        <v>0</v>
      </c>
      <c r="W1757" s="45">
        <f t="shared" si="92"/>
        <v>2304670</v>
      </c>
      <c r="X1757" s="46">
        <f t="shared" si="93"/>
        <v>1.276750355045605</v>
      </c>
    </row>
    <row r="1758" spans="1:24" s="4" customFormat="1" ht="15" customHeight="1">
      <c r="A1758" s="28" t="s">
        <v>2168</v>
      </c>
      <c r="B1758" s="29">
        <v>3271.01</v>
      </c>
      <c r="C1758" s="30" t="s">
        <v>2639</v>
      </c>
      <c r="D1758" s="2">
        <v>4948474963</v>
      </c>
      <c r="E1758" s="2" t="s">
        <v>6</v>
      </c>
      <c r="F1758" s="2" t="s">
        <v>2640</v>
      </c>
      <c r="G1758" s="28" t="s">
        <v>9</v>
      </c>
      <c r="H1758" s="2" t="s">
        <v>23</v>
      </c>
      <c r="I1758" s="2">
        <v>1</v>
      </c>
      <c r="J1758" s="2"/>
      <c r="K1758" s="2">
        <v>7257.6</v>
      </c>
      <c r="L1758" s="35">
        <f t="shared" si="91"/>
        <v>23739682.176000003</v>
      </c>
      <c r="M1758" s="36">
        <v>480</v>
      </c>
      <c r="N1758" s="40">
        <v>682651</v>
      </c>
      <c r="O1758" s="40">
        <v>435</v>
      </c>
      <c r="P1758" s="40">
        <v>0</v>
      </c>
      <c r="Q1758" s="40">
        <v>12592</v>
      </c>
      <c r="R1758" s="40">
        <v>102443</v>
      </c>
      <c r="S1758" s="40">
        <v>354356</v>
      </c>
      <c r="T1758" s="40">
        <v>30000</v>
      </c>
      <c r="U1758" s="40">
        <v>1367700</v>
      </c>
      <c r="V1758" s="40">
        <v>0</v>
      </c>
      <c r="W1758" s="45">
        <f t="shared" si="92"/>
        <v>2550177</v>
      </c>
      <c r="X1758" s="46">
        <f t="shared" si="93"/>
        <v>10.742254176334933</v>
      </c>
    </row>
    <row r="1759" spans="1:24" s="4" customFormat="1" ht="15" customHeight="1">
      <c r="A1759" s="28" t="s">
        <v>2168</v>
      </c>
      <c r="B1759" s="29">
        <v>3271.01</v>
      </c>
      <c r="C1759" s="30" t="s">
        <v>2641</v>
      </c>
      <c r="D1759" s="2">
        <v>4950757120</v>
      </c>
      <c r="E1759" s="2" t="s">
        <v>14</v>
      </c>
      <c r="F1759" s="2" t="s">
        <v>2642</v>
      </c>
      <c r="G1759" s="28" t="s">
        <v>9</v>
      </c>
      <c r="H1759" s="2" t="s">
        <v>23</v>
      </c>
      <c r="I1759" s="2">
        <v>1</v>
      </c>
      <c r="J1759" s="2"/>
      <c r="K1759" s="2">
        <v>1406</v>
      </c>
      <c r="L1759" s="35">
        <f t="shared" si="91"/>
        <v>4599040.0600000005</v>
      </c>
      <c r="M1759" s="36">
        <v>950</v>
      </c>
      <c r="N1759" s="40">
        <v>492652</v>
      </c>
      <c r="O1759" s="40">
        <v>668</v>
      </c>
      <c r="P1759" s="40">
        <v>0</v>
      </c>
      <c r="Q1759" s="40">
        <v>15990</v>
      </c>
      <c r="R1759" s="40">
        <v>102328</v>
      </c>
      <c r="S1759" s="40">
        <v>354356</v>
      </c>
      <c r="T1759" s="40">
        <v>30000</v>
      </c>
      <c r="U1759" s="40">
        <v>896079.31034482794</v>
      </c>
      <c r="V1759" s="40">
        <v>0</v>
      </c>
      <c r="W1759" s="45">
        <f t="shared" si="92"/>
        <v>1892073.3103448278</v>
      </c>
      <c r="X1759" s="46">
        <f t="shared" si="93"/>
        <v>41.140613816371662</v>
      </c>
    </row>
    <row r="1760" spans="1:24" s="4" customFormat="1" ht="15" customHeight="1">
      <c r="A1760" s="28" t="s">
        <v>2168</v>
      </c>
      <c r="B1760" s="29">
        <v>3271.01</v>
      </c>
      <c r="C1760" s="30" t="s">
        <v>2643</v>
      </c>
      <c r="D1760" s="2">
        <v>4950282872</v>
      </c>
      <c r="E1760" s="2" t="s">
        <v>18</v>
      </c>
      <c r="F1760" s="2" t="s">
        <v>2644</v>
      </c>
      <c r="G1760" s="28" t="s">
        <v>9</v>
      </c>
      <c r="H1760" s="2" t="s">
        <v>23</v>
      </c>
      <c r="I1760" s="2">
        <v>2</v>
      </c>
      <c r="J1760" s="2"/>
      <c r="K1760" s="2">
        <v>7560</v>
      </c>
      <c r="L1760" s="35">
        <f t="shared" si="91"/>
        <v>24728835.600000001</v>
      </c>
      <c r="M1760" s="36">
        <v>2000</v>
      </c>
      <c r="N1760" s="40">
        <v>828376</v>
      </c>
      <c r="O1760" s="40">
        <v>1370</v>
      </c>
      <c r="P1760" s="40">
        <v>0</v>
      </c>
      <c r="Q1760" s="40">
        <v>41071</v>
      </c>
      <c r="R1760" s="40">
        <v>132557</v>
      </c>
      <c r="S1760" s="40">
        <v>354356</v>
      </c>
      <c r="T1760" s="40">
        <v>30000</v>
      </c>
      <c r="U1760" s="40">
        <v>834200</v>
      </c>
      <c r="V1760" s="40">
        <v>0</v>
      </c>
      <c r="W1760" s="45">
        <f t="shared" si="92"/>
        <v>2221930</v>
      </c>
      <c r="X1760" s="46">
        <f t="shared" si="93"/>
        <v>8.9851784206127352</v>
      </c>
    </row>
    <row r="1761" spans="1:24" s="4" customFormat="1" ht="15" customHeight="1">
      <c r="A1761" s="28" t="s">
        <v>2168</v>
      </c>
      <c r="B1761" s="29">
        <v>3271.01</v>
      </c>
      <c r="C1761" s="30" t="s">
        <v>2645</v>
      </c>
      <c r="D1761" s="2">
        <v>4950282859</v>
      </c>
      <c r="E1761" s="2" t="s">
        <v>18</v>
      </c>
      <c r="F1761" s="2" t="s">
        <v>2646</v>
      </c>
      <c r="G1761" s="28" t="s">
        <v>9</v>
      </c>
      <c r="H1761" s="2" t="s">
        <v>23</v>
      </c>
      <c r="I1761" s="2">
        <v>5</v>
      </c>
      <c r="J1761" s="2"/>
      <c r="K1761" s="2">
        <v>9030</v>
      </c>
      <c r="L1761" s="35">
        <f t="shared" si="91"/>
        <v>29537220.300000001</v>
      </c>
      <c r="M1761" s="36">
        <v>3000</v>
      </c>
      <c r="N1761" s="40">
        <v>842079</v>
      </c>
      <c r="O1761" s="40">
        <v>2105</v>
      </c>
      <c r="P1761" s="40">
        <v>0</v>
      </c>
      <c r="Q1761" s="40">
        <v>49981</v>
      </c>
      <c r="R1761" s="40">
        <v>280867</v>
      </c>
      <c r="S1761" s="40">
        <v>354356</v>
      </c>
      <c r="T1761" s="40">
        <v>30000</v>
      </c>
      <c r="U1761" s="40">
        <v>1251300</v>
      </c>
      <c r="V1761" s="40">
        <v>0</v>
      </c>
      <c r="W1761" s="45">
        <f t="shared" si="92"/>
        <v>2810688</v>
      </c>
      <c r="X1761" s="46">
        <f t="shared" si="93"/>
        <v>9.5157498622170618</v>
      </c>
    </row>
    <row r="1762" spans="1:24" s="4" customFormat="1" ht="15" customHeight="1">
      <c r="A1762" s="28" t="s">
        <v>2168</v>
      </c>
      <c r="B1762" s="29">
        <v>3271.01</v>
      </c>
      <c r="C1762" s="30" t="s">
        <v>2647</v>
      </c>
      <c r="D1762" s="2">
        <v>4950365730</v>
      </c>
      <c r="E1762" s="2" t="s">
        <v>14</v>
      </c>
      <c r="F1762" s="78" t="s">
        <v>2648</v>
      </c>
      <c r="G1762" s="28" t="s">
        <v>9</v>
      </c>
      <c r="H1762" s="2" t="s">
        <v>23</v>
      </c>
      <c r="I1762" s="2">
        <v>1</v>
      </c>
      <c r="J1762" s="2"/>
      <c r="K1762" s="2">
        <v>771.2</v>
      </c>
      <c r="L1762" s="35">
        <f t="shared" si="91"/>
        <v>2522602.9120000005</v>
      </c>
      <c r="M1762" s="36">
        <f>100+60</f>
        <v>160</v>
      </c>
      <c r="N1762" s="40">
        <v>483318</v>
      </c>
      <c r="O1762" s="40">
        <v>134</v>
      </c>
      <c r="P1762" s="40">
        <v>0</v>
      </c>
      <c r="Q1762" s="40">
        <v>2945</v>
      </c>
      <c r="R1762" s="40">
        <v>88658</v>
      </c>
      <c r="S1762" s="40">
        <v>354356</v>
      </c>
      <c r="T1762" s="40">
        <v>30000</v>
      </c>
      <c r="U1762" s="40">
        <v>150918.62068965501</v>
      </c>
      <c r="V1762" s="40">
        <v>0</v>
      </c>
      <c r="W1762" s="45">
        <f t="shared" si="92"/>
        <v>1110329.620689655</v>
      </c>
      <c r="X1762" s="46">
        <f t="shared" si="93"/>
        <v>44.015235826765533</v>
      </c>
    </row>
    <row r="1763" spans="1:24" s="4" customFormat="1" ht="15" customHeight="1">
      <c r="A1763" s="28" t="s">
        <v>2168</v>
      </c>
      <c r="B1763" s="29">
        <v>3271.01</v>
      </c>
      <c r="C1763" s="30" t="s">
        <v>2649</v>
      </c>
      <c r="D1763" s="2">
        <v>4950365738</v>
      </c>
      <c r="E1763" s="2" t="s">
        <v>14</v>
      </c>
      <c r="F1763" s="2" t="s">
        <v>2650</v>
      </c>
      <c r="G1763" s="28" t="s">
        <v>9</v>
      </c>
      <c r="H1763" s="2" t="s">
        <v>23</v>
      </c>
      <c r="I1763" s="2">
        <v>1</v>
      </c>
      <c r="J1763" s="2"/>
      <c r="K1763" s="2">
        <v>674</v>
      </c>
      <c r="L1763" s="35">
        <f t="shared" si="91"/>
        <v>2204660.7400000002</v>
      </c>
      <c r="M1763" s="36">
        <v>40</v>
      </c>
      <c r="N1763" s="40">
        <v>464422</v>
      </c>
      <c r="O1763" s="40">
        <v>33</v>
      </c>
      <c r="P1763" s="40">
        <v>0</v>
      </c>
      <c r="Q1763" s="40">
        <v>1045</v>
      </c>
      <c r="R1763" s="40">
        <v>86573</v>
      </c>
      <c r="S1763" s="40">
        <v>354356</v>
      </c>
      <c r="T1763" s="40">
        <v>30000</v>
      </c>
      <c r="U1763" s="40">
        <v>37729.655172413797</v>
      </c>
      <c r="V1763" s="40">
        <v>0</v>
      </c>
      <c r="W1763" s="45">
        <f t="shared" si="92"/>
        <v>974158.6551724138</v>
      </c>
      <c r="X1763" s="46">
        <f t="shared" si="93"/>
        <v>44.186329329401211</v>
      </c>
    </row>
    <row r="1764" spans="1:24" s="4" customFormat="1" ht="15" customHeight="1">
      <c r="A1764" s="28" t="s">
        <v>2168</v>
      </c>
      <c r="B1764" s="29">
        <v>3271.01</v>
      </c>
      <c r="C1764" s="30" t="s">
        <v>2651</v>
      </c>
      <c r="D1764" s="2">
        <v>4950002684</v>
      </c>
      <c r="E1764" s="2" t="s">
        <v>36</v>
      </c>
      <c r="F1764" s="2" t="s">
        <v>2652</v>
      </c>
      <c r="G1764" s="28" t="s">
        <v>5</v>
      </c>
      <c r="H1764" s="2" t="s">
        <v>20</v>
      </c>
      <c r="I1764" s="2">
        <v>2</v>
      </c>
      <c r="J1764" s="2" t="s">
        <v>2653</v>
      </c>
      <c r="K1764" s="2">
        <v>63180</v>
      </c>
      <c r="L1764" s="35">
        <f t="shared" si="91"/>
        <v>206662411.80000001</v>
      </c>
      <c r="M1764" s="36">
        <v>39000</v>
      </c>
      <c r="N1764" s="40">
        <v>633699</v>
      </c>
      <c r="O1764" s="40">
        <v>680489</v>
      </c>
      <c r="P1764" s="40">
        <v>318178</v>
      </c>
      <c r="Q1764" s="40">
        <v>198619</v>
      </c>
      <c r="R1764" s="40">
        <v>1775578</v>
      </c>
      <c r="S1764" s="40">
        <v>354356</v>
      </c>
      <c r="T1764" s="40"/>
      <c r="U1764" s="40">
        <v>1038600</v>
      </c>
      <c r="V1764" s="40">
        <v>0</v>
      </c>
      <c r="W1764" s="45">
        <f t="shared" si="92"/>
        <v>4999519</v>
      </c>
      <c r="X1764" s="46">
        <f t="shared" si="93"/>
        <v>2.4191719028414047</v>
      </c>
    </row>
    <row r="1765" spans="1:24" s="4" customFormat="1" ht="15" customHeight="1">
      <c r="A1765" s="28" t="s">
        <v>2168</v>
      </c>
      <c r="B1765" s="29">
        <v>3271.01</v>
      </c>
      <c r="C1765" s="30" t="s">
        <v>2654</v>
      </c>
      <c r="D1765" s="2">
        <v>4950585740</v>
      </c>
      <c r="E1765" s="2" t="s">
        <v>14</v>
      </c>
      <c r="F1765" s="2" t="s">
        <v>2655</v>
      </c>
      <c r="G1765" s="28" t="s">
        <v>9</v>
      </c>
      <c r="H1765" s="2" t="s">
        <v>23</v>
      </c>
      <c r="I1765" s="2">
        <v>1</v>
      </c>
      <c r="J1765" s="2"/>
      <c r="K1765" s="2">
        <v>8946</v>
      </c>
      <c r="L1765" s="35">
        <f t="shared" si="91"/>
        <v>29262455.460000001</v>
      </c>
      <c r="M1765" s="36">
        <v>300</v>
      </c>
      <c r="N1765" s="40">
        <v>500516</v>
      </c>
      <c r="O1765" s="40">
        <v>234</v>
      </c>
      <c r="P1765" s="40">
        <v>0</v>
      </c>
      <c r="Q1765" s="40">
        <v>5525</v>
      </c>
      <c r="R1765" s="40">
        <v>94417</v>
      </c>
      <c r="S1765" s="40">
        <v>354356</v>
      </c>
      <c r="T1765" s="40">
        <v>30000</v>
      </c>
      <c r="U1765" s="40">
        <v>282972.41379310301</v>
      </c>
      <c r="V1765" s="40">
        <v>0</v>
      </c>
      <c r="W1765" s="45">
        <f t="shared" si="92"/>
        <v>1268020.4137931031</v>
      </c>
      <c r="X1765" s="46">
        <f t="shared" si="93"/>
        <v>4.3332673005736311</v>
      </c>
    </row>
    <row r="1766" spans="1:24" s="4" customFormat="1" ht="15" customHeight="1">
      <c r="A1766" s="28" t="s">
        <v>2168</v>
      </c>
      <c r="B1766" s="29">
        <v>3271.01</v>
      </c>
      <c r="C1766" s="30" t="s">
        <v>2656</v>
      </c>
      <c r="D1766" s="2">
        <v>4950664903</v>
      </c>
      <c r="E1766" s="2" t="s">
        <v>27</v>
      </c>
      <c r="F1766" s="2" t="s">
        <v>2657</v>
      </c>
      <c r="G1766" s="28" t="s">
        <v>13</v>
      </c>
      <c r="H1766" s="2" t="s">
        <v>23</v>
      </c>
      <c r="I1766" s="2">
        <v>9</v>
      </c>
      <c r="J1766" s="2"/>
      <c r="K1766" s="2">
        <f>345.16+373.12</f>
        <v>718.28</v>
      </c>
      <c r="L1766" s="35">
        <f t="shared" si="91"/>
        <v>2349501.0628</v>
      </c>
      <c r="M1766" s="36">
        <f>21.718+25.6</f>
        <v>47.317999999999998</v>
      </c>
      <c r="N1766" s="40">
        <v>1117152.96</v>
      </c>
      <c r="O1766" s="40">
        <v>0</v>
      </c>
      <c r="P1766" s="40">
        <v>0</v>
      </c>
      <c r="Q1766" s="40">
        <v>0</v>
      </c>
      <c r="R1766" s="40">
        <v>4469</v>
      </c>
      <c r="S1766" s="40">
        <v>354356</v>
      </c>
      <c r="T1766" s="40"/>
      <c r="U1766" s="40">
        <v>246380</v>
      </c>
      <c r="V1766" s="40">
        <v>0</v>
      </c>
      <c r="W1766" s="45">
        <f t="shared" si="92"/>
        <v>1722357.96</v>
      </c>
      <c r="X1766" s="46">
        <f t="shared" si="93"/>
        <v>73.307392248948076</v>
      </c>
    </row>
    <row r="1767" spans="1:24" s="4" customFormat="1" ht="15" customHeight="1">
      <c r="A1767" s="28" t="s">
        <v>2168</v>
      </c>
      <c r="B1767" s="29">
        <v>3271.01</v>
      </c>
      <c r="C1767" s="30" t="s">
        <v>2658</v>
      </c>
      <c r="D1767" s="2">
        <v>4951322085</v>
      </c>
      <c r="E1767" s="2" t="s">
        <v>33</v>
      </c>
      <c r="F1767" s="78" t="s">
        <v>2659</v>
      </c>
      <c r="G1767" s="28" t="s">
        <v>13</v>
      </c>
      <c r="H1767" s="2" t="s">
        <v>23</v>
      </c>
      <c r="I1767" s="2">
        <v>2</v>
      </c>
      <c r="J1767" s="2"/>
      <c r="K1767" s="2">
        <v>20282.5</v>
      </c>
      <c r="L1767" s="35">
        <f t="shared" si="91"/>
        <v>66344260.325000003</v>
      </c>
      <c r="M1767" s="36">
        <v>546</v>
      </c>
      <c r="N1767" s="40">
        <v>952754.65</v>
      </c>
      <c r="O1767" s="40">
        <v>0</v>
      </c>
      <c r="P1767" s="40">
        <v>0</v>
      </c>
      <c r="Q1767" s="40">
        <v>0</v>
      </c>
      <c r="R1767" s="40">
        <v>6811</v>
      </c>
      <c r="S1767" s="40">
        <v>354356</v>
      </c>
      <c r="T1767" s="40"/>
      <c r="U1767" s="40">
        <v>246380</v>
      </c>
      <c r="V1767" s="40">
        <v>0</v>
      </c>
      <c r="W1767" s="45">
        <f t="shared" si="92"/>
        <v>1560301.65</v>
      </c>
      <c r="X1767" s="46">
        <f t="shared" si="93"/>
        <v>2.3518261298815677</v>
      </c>
    </row>
    <row r="1768" spans="1:24" s="4" customFormat="1" ht="15" customHeight="1">
      <c r="A1768" s="28" t="s">
        <v>2168</v>
      </c>
      <c r="B1768" s="29">
        <v>3271.01</v>
      </c>
      <c r="C1768" s="30" t="s">
        <v>2660</v>
      </c>
      <c r="D1768" s="2">
        <v>4950559724</v>
      </c>
      <c r="E1768" s="2" t="s">
        <v>36</v>
      </c>
      <c r="F1768" s="2" t="s">
        <v>2661</v>
      </c>
      <c r="G1768" s="28" t="s">
        <v>5</v>
      </c>
      <c r="H1768" s="2" t="s">
        <v>26</v>
      </c>
      <c r="I1768" s="2">
        <v>2</v>
      </c>
      <c r="J1768" s="2" t="s">
        <v>2662</v>
      </c>
      <c r="K1768" s="2">
        <v>68418</v>
      </c>
      <c r="L1768" s="35">
        <f t="shared" si="91"/>
        <v>223795962.18000001</v>
      </c>
      <c r="M1768" s="36">
        <v>39163</v>
      </c>
      <c r="N1768" s="40">
        <v>671215</v>
      </c>
      <c r="O1768" s="40">
        <v>832083</v>
      </c>
      <c r="P1768" s="40">
        <v>2662486</v>
      </c>
      <c r="Q1768" s="40">
        <v>198619</v>
      </c>
      <c r="R1768" s="40">
        <v>1146854</v>
      </c>
      <c r="S1768" s="40">
        <v>354356</v>
      </c>
      <c r="T1768" s="40"/>
      <c r="U1768" s="40">
        <v>0</v>
      </c>
      <c r="V1768" s="40">
        <v>0</v>
      </c>
      <c r="W1768" s="45">
        <f t="shared" si="92"/>
        <v>5865613</v>
      </c>
      <c r="X1768" s="46">
        <f t="shared" si="93"/>
        <v>2.6209646245906186</v>
      </c>
    </row>
    <row r="1769" spans="1:24" s="4" customFormat="1" ht="15" customHeight="1">
      <c r="A1769" s="28" t="s">
        <v>2168</v>
      </c>
      <c r="B1769" s="29">
        <v>3271.01</v>
      </c>
      <c r="C1769" s="30" t="s">
        <v>2663</v>
      </c>
      <c r="D1769" s="2">
        <v>4950002673</v>
      </c>
      <c r="E1769" s="2" t="s">
        <v>36</v>
      </c>
      <c r="F1769" s="2" t="s">
        <v>2664</v>
      </c>
      <c r="G1769" s="28" t="s">
        <v>5</v>
      </c>
      <c r="H1769" s="2" t="s">
        <v>20</v>
      </c>
      <c r="I1769" s="2">
        <v>3</v>
      </c>
      <c r="J1769" s="2" t="s">
        <v>2665</v>
      </c>
      <c r="K1769" s="2">
        <v>84770</v>
      </c>
      <c r="L1769" s="35">
        <f t="shared" si="91"/>
        <v>277283517.70000005</v>
      </c>
      <c r="M1769" s="36">
        <v>58500</v>
      </c>
      <c r="N1769" s="40">
        <v>958720</v>
      </c>
      <c r="O1769" s="40">
        <v>1270864</v>
      </c>
      <c r="P1769" s="40">
        <v>477267</v>
      </c>
      <c r="Q1769" s="40">
        <v>372411</v>
      </c>
      <c r="R1769" s="40">
        <v>2661900</v>
      </c>
      <c r="S1769" s="40">
        <v>354356</v>
      </c>
      <c r="T1769" s="40"/>
      <c r="U1769" s="40">
        <v>1557900</v>
      </c>
      <c r="V1769" s="40">
        <v>0</v>
      </c>
      <c r="W1769" s="45">
        <f t="shared" si="92"/>
        <v>7653418</v>
      </c>
      <c r="X1769" s="46">
        <f t="shared" si="93"/>
        <v>2.7601417002652222</v>
      </c>
    </row>
    <row r="1770" spans="1:24" s="4" customFormat="1" ht="15" customHeight="1">
      <c r="A1770" s="28" t="s">
        <v>2168</v>
      </c>
      <c r="B1770" s="29">
        <v>3271.01</v>
      </c>
      <c r="C1770" s="30" t="s">
        <v>2666</v>
      </c>
      <c r="D1770" s="2">
        <v>4950760128</v>
      </c>
      <c r="E1770" s="2" t="s">
        <v>36</v>
      </c>
      <c r="F1770" s="2" t="s">
        <v>2667</v>
      </c>
      <c r="G1770" s="28" t="s">
        <v>5</v>
      </c>
      <c r="H1770" s="2" t="s">
        <v>20</v>
      </c>
      <c r="I1770" s="2">
        <v>3</v>
      </c>
      <c r="J1770" s="2" t="s">
        <v>2668</v>
      </c>
      <c r="K1770" s="2">
        <v>94770</v>
      </c>
      <c r="L1770" s="35">
        <f t="shared" si="91"/>
        <v>309993617.70000005</v>
      </c>
      <c r="M1770" s="36">
        <v>58500</v>
      </c>
      <c r="N1770" s="40">
        <v>1037490</v>
      </c>
      <c r="O1770" s="40">
        <v>1270864</v>
      </c>
      <c r="P1770" s="40">
        <v>0</v>
      </c>
      <c r="Q1770" s="40">
        <v>372411</v>
      </c>
      <c r="R1770" s="40">
        <v>2228538</v>
      </c>
      <c r="S1770" s="40">
        <v>354356</v>
      </c>
      <c r="T1770" s="40"/>
      <c r="U1770" s="40">
        <v>1557900</v>
      </c>
      <c r="V1770" s="40">
        <v>0</v>
      </c>
      <c r="W1770" s="45">
        <f t="shared" si="92"/>
        <v>6821559</v>
      </c>
      <c r="X1770" s="46">
        <f t="shared" si="93"/>
        <v>2.2005482082542884</v>
      </c>
    </row>
    <row r="1771" spans="1:24" s="4" customFormat="1" ht="15" customHeight="1">
      <c r="A1771" s="28" t="s">
        <v>2168</v>
      </c>
      <c r="B1771" s="29">
        <v>3271.01</v>
      </c>
      <c r="C1771" s="30" t="s">
        <v>2669</v>
      </c>
      <c r="D1771" s="2">
        <v>4950251299</v>
      </c>
      <c r="E1771" s="2" t="s">
        <v>14</v>
      </c>
      <c r="F1771" s="2" t="s">
        <v>2670</v>
      </c>
      <c r="G1771" s="28" t="s">
        <v>9</v>
      </c>
      <c r="H1771" s="2" t="s">
        <v>23</v>
      </c>
      <c r="I1771" s="2">
        <v>1</v>
      </c>
      <c r="J1771" s="2"/>
      <c r="K1771" s="2">
        <v>4340</v>
      </c>
      <c r="L1771" s="35">
        <f t="shared" si="91"/>
        <v>14196183.4</v>
      </c>
      <c r="M1771" s="36">
        <v>1000</v>
      </c>
      <c r="N1771" s="40">
        <v>616366</v>
      </c>
      <c r="O1771" s="40">
        <v>692</v>
      </c>
      <c r="P1771" s="40">
        <v>10495</v>
      </c>
      <c r="Q1771" s="40">
        <v>16395</v>
      </c>
      <c r="R1771" s="40">
        <v>103254</v>
      </c>
      <c r="S1771" s="40">
        <v>354356</v>
      </c>
      <c r="T1771" s="40">
        <v>30000</v>
      </c>
      <c r="U1771" s="40">
        <v>1315096.15384615</v>
      </c>
      <c r="V1771" s="40">
        <v>0</v>
      </c>
      <c r="W1771" s="45">
        <f t="shared" si="92"/>
        <v>2446654.1538461503</v>
      </c>
      <c r="X1771" s="46">
        <f t="shared" si="93"/>
        <v>17.234591051043694</v>
      </c>
    </row>
    <row r="1772" spans="1:24" s="4" customFormat="1" ht="15" customHeight="1">
      <c r="A1772" s="28" t="s">
        <v>2168</v>
      </c>
      <c r="B1772" s="29">
        <v>3271.01</v>
      </c>
      <c r="C1772" s="30" t="s">
        <v>2671</v>
      </c>
      <c r="D1772" s="2">
        <v>4950342622</v>
      </c>
      <c r="E1772" s="2" t="s">
        <v>18</v>
      </c>
      <c r="F1772" s="2" t="s">
        <v>2672</v>
      </c>
      <c r="G1772" s="28" t="s">
        <v>9</v>
      </c>
      <c r="H1772" s="2" t="s">
        <v>23</v>
      </c>
      <c r="I1772" s="2">
        <v>1</v>
      </c>
      <c r="J1772" s="2"/>
      <c r="K1772" s="2">
        <v>3858.4</v>
      </c>
      <c r="L1772" s="35">
        <f t="shared" si="91"/>
        <v>12620864.984000001</v>
      </c>
      <c r="M1772" s="36">
        <v>260</v>
      </c>
      <c r="N1772" s="40">
        <v>453728</v>
      </c>
      <c r="O1772" s="40">
        <v>396</v>
      </c>
      <c r="P1772" s="40">
        <v>122134</v>
      </c>
      <c r="Q1772" s="40">
        <v>4895</v>
      </c>
      <c r="R1772" s="40">
        <v>369693</v>
      </c>
      <c r="S1772" s="40">
        <v>354356</v>
      </c>
      <c r="T1772" s="40">
        <v>30000</v>
      </c>
      <c r="U1772" s="40">
        <v>156487.734487735</v>
      </c>
      <c r="V1772" s="40">
        <v>0</v>
      </c>
      <c r="W1772" s="45">
        <f t="shared" si="92"/>
        <v>1491689.734487735</v>
      </c>
      <c r="X1772" s="46">
        <f t="shared" si="93"/>
        <v>11.819235340674449</v>
      </c>
    </row>
    <row r="1773" spans="1:24" s="4" customFormat="1" ht="15" customHeight="1">
      <c r="A1773" s="28" t="s">
        <v>2168</v>
      </c>
      <c r="B1773" s="29">
        <v>3271.01</v>
      </c>
      <c r="C1773" s="30" t="s">
        <v>2673</v>
      </c>
      <c r="D1773" s="2">
        <v>4949980089</v>
      </c>
      <c r="E1773" s="2" t="s">
        <v>18</v>
      </c>
      <c r="F1773" s="2" t="s">
        <v>2273</v>
      </c>
      <c r="G1773" s="28" t="s">
        <v>9</v>
      </c>
      <c r="H1773" s="2" t="s">
        <v>23</v>
      </c>
      <c r="I1773" s="2">
        <v>1</v>
      </c>
      <c r="J1773" s="2"/>
      <c r="K1773" s="2">
        <v>4187.5</v>
      </c>
      <c r="L1773" s="35">
        <f t="shared" si="91"/>
        <v>13697354.375</v>
      </c>
      <c r="M1773" s="36">
        <v>625</v>
      </c>
      <c r="N1773" s="40">
        <v>11984</v>
      </c>
      <c r="O1773" s="40">
        <v>434</v>
      </c>
      <c r="P1773" s="40">
        <v>308890</v>
      </c>
      <c r="Q1773" s="40">
        <v>10655</v>
      </c>
      <c r="R1773" s="40">
        <v>96766</v>
      </c>
      <c r="S1773" s="40">
        <v>354356</v>
      </c>
      <c r="T1773" s="40">
        <v>30000</v>
      </c>
      <c r="U1773" s="40">
        <v>376172.43867243902</v>
      </c>
      <c r="V1773" s="40">
        <v>0</v>
      </c>
      <c r="W1773" s="45">
        <f t="shared" si="92"/>
        <v>1189257.438672439</v>
      </c>
      <c r="X1773" s="46">
        <f t="shared" si="93"/>
        <v>8.682387898520286</v>
      </c>
    </row>
    <row r="1774" spans="1:24" s="4" customFormat="1" ht="15" customHeight="1">
      <c r="A1774" s="28" t="s">
        <v>2168</v>
      </c>
      <c r="B1774" s="29">
        <v>3271.01</v>
      </c>
      <c r="C1774" s="30" t="s">
        <v>2674</v>
      </c>
      <c r="D1774" s="2">
        <v>4949422382</v>
      </c>
      <c r="E1774" s="2" t="s">
        <v>27</v>
      </c>
      <c r="F1774" s="2" t="s">
        <v>2675</v>
      </c>
      <c r="G1774" s="28" t="s">
        <v>5</v>
      </c>
      <c r="H1774" s="2" t="s">
        <v>20</v>
      </c>
      <c r="I1774" s="2">
        <v>1</v>
      </c>
      <c r="J1774" s="2" t="s">
        <v>2676</v>
      </c>
      <c r="K1774" s="2">
        <v>561.19000000000005</v>
      </c>
      <c r="L1774" s="35">
        <f t="shared" si="91"/>
        <v>1835658.1019000004</v>
      </c>
      <c r="M1774" s="36">
        <v>39.942</v>
      </c>
      <c r="N1774" s="40">
        <v>1220.16738921408</v>
      </c>
      <c r="O1774" s="40">
        <v>1321.41129957322</v>
      </c>
      <c r="P1774" s="40">
        <v>0</v>
      </c>
      <c r="Q1774" s="40">
        <v>387.22356657276401</v>
      </c>
      <c r="R1774" s="40">
        <f>2244.99021046654+624</f>
        <v>2868.9902104665398</v>
      </c>
      <c r="S1774" s="40">
        <v>1105.35129861732</v>
      </c>
      <c r="T1774" s="48"/>
      <c r="U1774" s="40">
        <v>16989.556026945102</v>
      </c>
      <c r="V1774" s="40">
        <v>0</v>
      </c>
      <c r="W1774" s="45">
        <f t="shared" si="92"/>
        <v>23892.699791389026</v>
      </c>
      <c r="X1774" s="46">
        <f t="shared" si="93"/>
        <v>1.3015876849103249</v>
      </c>
    </row>
    <row r="1775" spans="1:24" s="4" customFormat="1" ht="15" customHeight="1">
      <c r="A1775" s="28" t="s">
        <v>2168</v>
      </c>
      <c r="B1775" s="29">
        <v>3271.01</v>
      </c>
      <c r="C1775" s="30" t="s">
        <v>2674</v>
      </c>
      <c r="D1775" s="2">
        <v>4950058946</v>
      </c>
      <c r="E1775" s="2" t="s">
        <v>27</v>
      </c>
      <c r="F1775" s="2" t="s">
        <v>2675</v>
      </c>
      <c r="G1775" s="28" t="s">
        <v>5</v>
      </c>
      <c r="H1775" s="2" t="s">
        <v>20</v>
      </c>
      <c r="I1775" s="2">
        <v>1</v>
      </c>
      <c r="J1775" s="2" t="s">
        <v>2676</v>
      </c>
      <c r="K1775" s="2">
        <v>2886.09</v>
      </c>
      <c r="L1775" s="35">
        <f t="shared" si="91"/>
        <v>9440429.2509000003</v>
      </c>
      <c r="M1775" s="36">
        <v>205.416</v>
      </c>
      <c r="N1775" s="40">
        <v>6275.1465731009903</v>
      </c>
      <c r="O1775" s="40">
        <v>6795.8295406622701</v>
      </c>
      <c r="P1775" s="40">
        <v>0</v>
      </c>
      <c r="Q1775" s="40">
        <v>1991.43548523136</v>
      </c>
      <c r="R1775" s="40">
        <f>11545.6639395422+3208</f>
        <v>14753.663939542201</v>
      </c>
      <c r="S1775" s="40">
        <v>5684.6638214605</v>
      </c>
      <c r="T1775" s="48"/>
      <c r="U1775" s="40">
        <v>87374.859567146297</v>
      </c>
      <c r="V1775" s="40">
        <v>0</v>
      </c>
      <c r="W1775" s="45">
        <f t="shared" si="92"/>
        <v>122875.59892714361</v>
      </c>
      <c r="X1775" s="46">
        <f t="shared" si="93"/>
        <v>1.3015891085188662</v>
      </c>
    </row>
    <row r="1776" spans="1:24" s="4" customFormat="1" ht="15" customHeight="1">
      <c r="A1776" s="28" t="s">
        <v>2168</v>
      </c>
      <c r="B1776" s="29">
        <v>3271.01</v>
      </c>
      <c r="C1776" s="30" t="s">
        <v>2674</v>
      </c>
      <c r="D1776" s="2">
        <v>4950664545</v>
      </c>
      <c r="E1776" s="2" t="s">
        <v>27</v>
      </c>
      <c r="F1776" s="2" t="s">
        <v>2675</v>
      </c>
      <c r="G1776" s="28" t="s">
        <v>5</v>
      </c>
      <c r="H1776" s="2" t="s">
        <v>20</v>
      </c>
      <c r="I1776" s="2">
        <v>1</v>
      </c>
      <c r="J1776" s="2" t="s">
        <v>2676</v>
      </c>
      <c r="K1776" s="2">
        <v>49056.44</v>
      </c>
      <c r="L1776" s="35">
        <f t="shared" si="91"/>
        <v>160464105.80440003</v>
      </c>
      <c r="M1776" s="36">
        <v>12559.338</v>
      </c>
      <c r="N1776" s="40">
        <v>383668.68603768502</v>
      </c>
      <c r="O1776" s="40">
        <v>415503.75915976497</v>
      </c>
      <c r="P1776" s="40">
        <v>0</v>
      </c>
      <c r="Q1776" s="40">
        <v>121758.340948196</v>
      </c>
      <c r="R1776" s="40">
        <f>705913.345849991+196168</f>
        <v>902081.34584999096</v>
      </c>
      <c r="S1776" s="40">
        <v>347565.98487992201</v>
      </c>
      <c r="T1776" s="48"/>
      <c r="U1776" s="40">
        <v>5342185.5844059102</v>
      </c>
      <c r="V1776" s="40">
        <v>0</v>
      </c>
      <c r="W1776" s="45">
        <f t="shared" si="92"/>
        <v>7512763.7012814693</v>
      </c>
      <c r="X1776" s="46">
        <f t="shared" si="93"/>
        <v>4.6818967167892724</v>
      </c>
    </row>
    <row r="1777" spans="1:24" s="4" customFormat="1" ht="15" customHeight="1">
      <c r="A1777" s="28" t="s">
        <v>2168</v>
      </c>
      <c r="B1777" s="29">
        <v>3271.01</v>
      </c>
      <c r="C1777" s="30" t="s">
        <v>2677</v>
      </c>
      <c r="D1777" s="2">
        <v>4950280459</v>
      </c>
      <c r="E1777" s="2" t="s">
        <v>14</v>
      </c>
      <c r="F1777" s="2" t="s">
        <v>2678</v>
      </c>
      <c r="G1777" s="28" t="s">
        <v>9</v>
      </c>
      <c r="H1777" s="2" t="s">
        <v>23</v>
      </c>
      <c r="I1777" s="2">
        <v>6</v>
      </c>
      <c r="J1777" s="2"/>
      <c r="K1777" s="2">
        <v>18192</v>
      </c>
      <c r="L1777" s="35">
        <f t="shared" si="91"/>
        <v>59506213.920000002</v>
      </c>
      <c r="M1777" s="36">
        <v>2400</v>
      </c>
      <c r="N1777" s="40">
        <v>1669078.59649123</v>
      </c>
      <c r="O1777" s="40">
        <v>1767.7192982456099</v>
      </c>
      <c r="P1777" s="40">
        <v>0</v>
      </c>
      <c r="Q1777" s="40">
        <v>41397.8947368421</v>
      </c>
      <c r="R1777" s="40">
        <v>108703.859649123</v>
      </c>
      <c r="S1777" s="40">
        <v>248670.87719298201</v>
      </c>
      <c r="T1777" s="40">
        <v>30000</v>
      </c>
      <c r="U1777" s="40">
        <v>1463508.7719298201</v>
      </c>
      <c r="V1777" s="40">
        <v>0</v>
      </c>
      <c r="W1777" s="45">
        <f t="shared" si="92"/>
        <v>3563127.7192982426</v>
      </c>
      <c r="X1777" s="46">
        <f t="shared" si="93"/>
        <v>5.9878246061638238</v>
      </c>
    </row>
    <row r="1778" spans="1:24" s="4" customFormat="1" ht="15" customHeight="1">
      <c r="A1778" s="28" t="s">
        <v>2168</v>
      </c>
      <c r="B1778" s="29">
        <v>3271.01</v>
      </c>
      <c r="C1778" s="30" t="s">
        <v>2677</v>
      </c>
      <c r="D1778" s="2">
        <v>4950280459</v>
      </c>
      <c r="E1778" s="2" t="s">
        <v>14</v>
      </c>
      <c r="F1778" s="2" t="s">
        <v>2678</v>
      </c>
      <c r="G1778" s="28" t="s">
        <v>9</v>
      </c>
      <c r="H1778" s="2" t="s">
        <v>23</v>
      </c>
      <c r="I1778" s="2">
        <v>6</v>
      </c>
      <c r="J1778" s="2"/>
      <c r="K1778" s="2">
        <v>12828</v>
      </c>
      <c r="L1778" s="35">
        <f>+B1778*K1778</f>
        <v>41960516.280000001</v>
      </c>
      <c r="M1778" s="36">
        <v>300</v>
      </c>
      <c r="N1778" s="40">
        <v>208634.82456140401</v>
      </c>
      <c r="O1778" s="40">
        <v>220.96491228070201</v>
      </c>
      <c r="P1778" s="40">
        <v>0</v>
      </c>
      <c r="Q1778" s="40">
        <v>5174.7368421052597</v>
      </c>
      <c r="R1778" s="40">
        <v>13587.9824561403</v>
      </c>
      <c r="S1778" s="40">
        <v>31083.859649122802</v>
      </c>
      <c r="T1778" s="40">
        <v>30000</v>
      </c>
      <c r="U1778" s="40">
        <v>182938.596491228</v>
      </c>
      <c r="V1778" s="40">
        <v>0</v>
      </c>
      <c r="W1778" s="45">
        <f>+SUM(N1778:V1778)</f>
        <v>471640.96491228102</v>
      </c>
      <c r="X1778" s="46">
        <f>(W1778/L1778)*100</f>
        <v>1.124011348585535</v>
      </c>
    </row>
    <row r="1779" spans="1:24" s="4" customFormat="1" ht="15" customHeight="1">
      <c r="A1779" s="28" t="s">
        <v>2168</v>
      </c>
      <c r="B1779" s="29">
        <v>3271.01</v>
      </c>
      <c r="C1779" s="30" t="s">
        <v>2677</v>
      </c>
      <c r="D1779" s="2">
        <v>4950280460</v>
      </c>
      <c r="E1779" s="2" t="s">
        <v>14</v>
      </c>
      <c r="F1779" s="2" t="s">
        <v>2678</v>
      </c>
      <c r="G1779" s="28" t="s">
        <v>9</v>
      </c>
      <c r="H1779" s="2" t="s">
        <v>23</v>
      </c>
      <c r="I1779" s="2">
        <v>6</v>
      </c>
      <c r="J1779" s="2"/>
      <c r="K1779" s="2">
        <v>28504.799999999999</v>
      </c>
      <c r="L1779" s="35">
        <f>+B1779*K1779</f>
        <v>93239485.848000005</v>
      </c>
      <c r="M1779" s="36">
        <v>720</v>
      </c>
      <c r="N1779" s="40">
        <v>500723.57894736802</v>
      </c>
      <c r="O1779" s="40">
        <v>530.31578947368405</v>
      </c>
      <c r="P1779" s="40">
        <v>0</v>
      </c>
      <c r="Q1779" s="40">
        <v>12419.368421052601</v>
      </c>
      <c r="R1779" s="40">
        <v>32611.1578947368</v>
      </c>
      <c r="S1779" s="40">
        <v>74601.263157894704</v>
      </c>
      <c r="T1779" s="40">
        <v>30000</v>
      </c>
      <c r="U1779" s="40">
        <v>439052.63157894701</v>
      </c>
      <c r="V1779" s="40">
        <v>0</v>
      </c>
      <c r="W1779" s="45">
        <f>+SUM(N1779:V1779)</f>
        <v>1089938.3157894728</v>
      </c>
      <c r="X1779" s="46">
        <f t="shared" ref="X1779:X1784" si="94">(W1779/L1779)*100</f>
        <v>1.1689664586592656</v>
      </c>
    </row>
    <row r="1780" spans="1:24" s="4" customFormat="1" ht="15" customHeight="1">
      <c r="A1780" s="28" t="s">
        <v>2168</v>
      </c>
      <c r="B1780" s="29">
        <v>3271.01</v>
      </c>
      <c r="C1780" s="30" t="s">
        <v>2679</v>
      </c>
      <c r="D1780" s="2">
        <v>4948307299</v>
      </c>
      <c r="E1780" s="2" t="s">
        <v>6</v>
      </c>
      <c r="F1780" s="78" t="s">
        <v>2680</v>
      </c>
      <c r="G1780" s="28" t="s">
        <v>5</v>
      </c>
      <c r="H1780" s="2" t="s">
        <v>17</v>
      </c>
      <c r="I1780" s="2">
        <v>1</v>
      </c>
      <c r="J1780" s="2" t="s">
        <v>2681</v>
      </c>
      <c r="K1780" s="2">
        <f>5112+15336</f>
        <v>20448</v>
      </c>
      <c r="L1780" s="35">
        <f>+B1780*K1780</f>
        <v>66885612.480000004</v>
      </c>
      <c r="M1780" s="36">
        <f>2400+7200</f>
        <v>9600</v>
      </c>
      <c r="N1780" s="40">
        <v>50542</v>
      </c>
      <c r="O1780" s="40">
        <v>446360</v>
      </c>
      <c r="P1780" s="40">
        <v>0</v>
      </c>
      <c r="Q1780" s="40">
        <v>99309</v>
      </c>
      <c r="R1780" s="40">
        <v>743612</v>
      </c>
      <c r="S1780" s="40">
        <v>354356</v>
      </c>
      <c r="T1780" s="40">
        <v>30000</v>
      </c>
      <c r="U1780" s="40">
        <v>4719050</v>
      </c>
      <c r="V1780" s="40">
        <v>0</v>
      </c>
      <c r="W1780" s="45">
        <f>+SUM(N1780:V1780)</f>
        <v>6443229</v>
      </c>
      <c r="X1780" s="46">
        <f t="shared" si="94"/>
        <v>9.6332062473475002</v>
      </c>
    </row>
    <row r="1781" spans="1:24" ht="15" customHeight="1">
      <c r="G1781"/>
      <c r="I1781"/>
      <c r="N1781"/>
      <c r="O1781" s="24"/>
      <c r="P1781"/>
      <c r="Q1781" s="24"/>
      <c r="R1781"/>
      <c r="S1781"/>
      <c r="T1781"/>
      <c r="U1781"/>
      <c r="X1781" s="60"/>
    </row>
    <row r="1782" spans="1:24" ht="15" customHeight="1">
      <c r="A1782" s="31" t="s">
        <v>2168</v>
      </c>
      <c r="B1782" s="31"/>
      <c r="C1782" s="31"/>
      <c r="D1782" s="31"/>
      <c r="E1782" s="31"/>
      <c r="F1782" s="32">
        <v>201</v>
      </c>
      <c r="G1782" s="31"/>
      <c r="H1782" s="31"/>
      <c r="I1782" s="38"/>
      <c r="J1782" s="31"/>
      <c r="K1782" s="39">
        <f>+SUM(K1393:K1780)</f>
        <v>7810377.5299999975</v>
      </c>
      <c r="L1782" s="39">
        <f>+SUM(L1393:L1780)</f>
        <v>25547823004.405327</v>
      </c>
      <c r="M1782" s="31"/>
      <c r="N1782" s="39"/>
      <c r="O1782" s="39"/>
      <c r="P1782" s="39"/>
      <c r="Q1782" s="39"/>
      <c r="R1782" s="39"/>
      <c r="S1782" s="39"/>
      <c r="T1782" s="39"/>
      <c r="U1782" s="39"/>
      <c r="V1782" s="31"/>
      <c r="W1782" s="39">
        <f>+SUM(W1393:W1780)</f>
        <v>916080073.79894876</v>
      </c>
      <c r="X1782" s="47">
        <f t="shared" si="94"/>
        <v>3.5857461265524853</v>
      </c>
    </row>
    <row r="1783" spans="1:24" ht="15" customHeight="1">
      <c r="G1783"/>
      <c r="I1783"/>
      <c r="N1783"/>
      <c r="O1783" s="24"/>
      <c r="P1783"/>
      <c r="Q1783" s="24"/>
      <c r="R1783"/>
      <c r="S1783"/>
      <c r="T1783"/>
      <c r="U1783"/>
      <c r="X1783" s="60"/>
    </row>
    <row r="1784" spans="1:24" s="4" customFormat="1" ht="15" customHeight="1">
      <c r="A1784" s="28" t="s">
        <v>2682</v>
      </c>
      <c r="B1784" s="29">
        <v>3278.81</v>
      </c>
      <c r="C1784" s="30" t="s">
        <v>2683</v>
      </c>
      <c r="D1784" s="2">
        <v>4950058298</v>
      </c>
      <c r="E1784" s="2" t="s">
        <v>14</v>
      </c>
      <c r="F1784" s="2" t="s">
        <v>2684</v>
      </c>
      <c r="G1784" s="28" t="s">
        <v>5</v>
      </c>
      <c r="H1784" s="2" t="s">
        <v>20</v>
      </c>
      <c r="I1784" s="2">
        <v>1</v>
      </c>
      <c r="J1784" s="2" t="s">
        <v>2685</v>
      </c>
      <c r="K1784" s="2">
        <v>20731.5</v>
      </c>
      <c r="L1784" s="35">
        <f>B1784*K1784</f>
        <v>67974649.515000001</v>
      </c>
      <c r="M1784" s="36">
        <v>7650</v>
      </c>
      <c r="N1784" s="40">
        <v>306913.292307692</v>
      </c>
      <c r="O1784" s="40">
        <v>260629.615384615</v>
      </c>
      <c r="P1784" s="40">
        <v>0</v>
      </c>
      <c r="Q1784" s="40">
        <v>86307.692307692298</v>
      </c>
      <c r="R1784" s="40">
        <v>502873.26153846201</v>
      </c>
      <c r="S1784" s="40">
        <v>278033.16923076898</v>
      </c>
      <c r="T1784" s="40">
        <v>30000</v>
      </c>
      <c r="U1784" s="40">
        <v>2549607.6923076902</v>
      </c>
      <c r="V1784" s="40">
        <v>0</v>
      </c>
      <c r="W1784" s="45">
        <f>+SUM(N1784:V1784)</f>
        <v>4014364.7230769205</v>
      </c>
      <c r="X1784" s="46">
        <f t="shared" si="94"/>
        <v>5.9056791785164977</v>
      </c>
    </row>
    <row r="1785" spans="1:24" s="4" customFormat="1" ht="15" customHeight="1">
      <c r="A1785" s="28" t="s">
        <v>2682</v>
      </c>
      <c r="B1785" s="29">
        <v>3278.81</v>
      </c>
      <c r="C1785" s="30" t="s">
        <v>2683</v>
      </c>
      <c r="D1785" s="2">
        <v>4950443835</v>
      </c>
      <c r="E1785" s="2" t="s">
        <v>14</v>
      </c>
      <c r="F1785" s="2" t="s">
        <v>2684</v>
      </c>
      <c r="G1785" s="28" t="s">
        <v>5</v>
      </c>
      <c r="H1785" s="2" t="s">
        <v>20</v>
      </c>
      <c r="I1785" s="2">
        <v>1</v>
      </c>
      <c r="J1785" s="2" t="s">
        <v>2685</v>
      </c>
      <c r="K1785" s="2">
        <v>9366</v>
      </c>
      <c r="L1785" s="35">
        <f t="shared" ref="L1785:L1848" si="95">B1785*K1785</f>
        <v>30709334.460000001</v>
      </c>
      <c r="M1785" s="36">
        <v>2100</v>
      </c>
      <c r="N1785" s="40">
        <v>84250.707692307697</v>
      </c>
      <c r="O1785" s="40">
        <v>71545.384615384595</v>
      </c>
      <c r="P1785" s="40">
        <v>0</v>
      </c>
      <c r="Q1785" s="40">
        <v>23692.307692307699</v>
      </c>
      <c r="R1785" s="40">
        <v>138043.738461539</v>
      </c>
      <c r="S1785" s="40">
        <v>76322.830769230801</v>
      </c>
      <c r="T1785" s="40">
        <v>30000</v>
      </c>
      <c r="U1785" s="40">
        <v>699892.30769230798</v>
      </c>
      <c r="V1785" s="40">
        <v>0</v>
      </c>
      <c r="W1785" s="45">
        <f t="shared" ref="W1785:W1848" si="96">+SUM(N1785:V1785)</f>
        <v>1123747.2769230776</v>
      </c>
      <c r="X1785" s="46">
        <f t="shared" ref="X1785:X1848" si="97">(W1785/L1785)*100</f>
        <v>3.6593019571518179</v>
      </c>
    </row>
    <row r="1786" spans="1:24" s="4" customFormat="1" ht="15" customHeight="1">
      <c r="A1786" s="28" t="s">
        <v>2682</v>
      </c>
      <c r="B1786" s="29">
        <v>3278.81</v>
      </c>
      <c r="C1786" s="30" t="s">
        <v>2686</v>
      </c>
      <c r="D1786" s="2">
        <v>4949868829</v>
      </c>
      <c r="E1786" s="2" t="s">
        <v>14</v>
      </c>
      <c r="F1786" s="2" t="s">
        <v>2687</v>
      </c>
      <c r="G1786" s="28" t="s">
        <v>5</v>
      </c>
      <c r="H1786" s="2" t="s">
        <v>20</v>
      </c>
      <c r="I1786" s="2">
        <v>1</v>
      </c>
      <c r="J1786" s="2" t="s">
        <v>2688</v>
      </c>
      <c r="K1786" s="2">
        <v>11214</v>
      </c>
      <c r="L1786" s="35">
        <f t="shared" si="95"/>
        <v>36768575.339999996</v>
      </c>
      <c r="M1786" s="36">
        <v>4200</v>
      </c>
      <c r="N1786" s="40">
        <v>151558.448275862</v>
      </c>
      <c r="O1786" s="40">
        <v>150337.823275862</v>
      </c>
      <c r="P1786" s="40">
        <v>0</v>
      </c>
      <c r="Q1786" s="40">
        <v>49784.482758620703</v>
      </c>
      <c r="R1786" s="40">
        <v>339610.94396551698</v>
      </c>
      <c r="S1786" s="40">
        <v>160376.637931034</v>
      </c>
      <c r="T1786" s="40">
        <v>30000</v>
      </c>
      <c r="U1786" s="40">
        <v>1470678.8793103399</v>
      </c>
      <c r="V1786" s="40">
        <v>0</v>
      </c>
      <c r="W1786" s="45">
        <f t="shared" si="96"/>
        <v>2352347.2155172355</v>
      </c>
      <c r="X1786" s="46">
        <f t="shared" si="97"/>
        <v>6.3977110719276391</v>
      </c>
    </row>
    <row r="1787" spans="1:24" s="4" customFormat="1" ht="15" customHeight="1">
      <c r="A1787" s="28" t="s">
        <v>2682</v>
      </c>
      <c r="B1787" s="29">
        <v>3278.81</v>
      </c>
      <c r="C1787" s="30" t="s">
        <v>2686</v>
      </c>
      <c r="D1787" s="2">
        <v>4950697618</v>
      </c>
      <c r="E1787" s="2" t="s">
        <v>14</v>
      </c>
      <c r="F1787" s="2" t="s">
        <v>2687</v>
      </c>
      <c r="G1787" s="28" t="s">
        <v>5</v>
      </c>
      <c r="H1787" s="2" t="s">
        <v>20</v>
      </c>
      <c r="I1787" s="2">
        <v>1</v>
      </c>
      <c r="J1787" s="2" t="s">
        <v>2688</v>
      </c>
      <c r="K1787" s="2">
        <v>4280</v>
      </c>
      <c r="L1787" s="35">
        <f t="shared" si="95"/>
        <v>14033306.799999999</v>
      </c>
      <c r="M1787" s="36">
        <v>4000</v>
      </c>
      <c r="N1787" s="40">
        <v>144341.37931034499</v>
      </c>
      <c r="O1787" s="40">
        <v>143178.87931034499</v>
      </c>
      <c r="P1787" s="40">
        <v>0</v>
      </c>
      <c r="Q1787" s="40">
        <v>47413.793103448297</v>
      </c>
      <c r="R1787" s="40">
        <v>323439.32758620701</v>
      </c>
      <c r="S1787" s="40">
        <v>152739.655172414</v>
      </c>
      <c r="T1787" s="40">
        <v>30000</v>
      </c>
      <c r="U1787" s="40">
        <v>1400646.5517241401</v>
      </c>
      <c r="V1787" s="40">
        <v>0</v>
      </c>
      <c r="W1787" s="45">
        <f t="shared" si="96"/>
        <v>2241759.5862068995</v>
      </c>
      <c r="X1787" s="46">
        <f t="shared" si="97"/>
        <v>15.974564072146558</v>
      </c>
    </row>
    <row r="1788" spans="1:24" s="4" customFormat="1" ht="15" customHeight="1">
      <c r="A1788" s="28" t="s">
        <v>2682</v>
      </c>
      <c r="B1788" s="29">
        <v>3278.81</v>
      </c>
      <c r="C1788" s="30" t="s">
        <v>2686</v>
      </c>
      <c r="D1788" s="2">
        <v>4950722780</v>
      </c>
      <c r="E1788" s="2" t="s">
        <v>14</v>
      </c>
      <c r="F1788" s="2" t="s">
        <v>2687</v>
      </c>
      <c r="G1788" s="28" t="s">
        <v>5</v>
      </c>
      <c r="H1788" s="2" t="s">
        <v>20</v>
      </c>
      <c r="I1788" s="2">
        <v>1</v>
      </c>
      <c r="J1788" s="2" t="s">
        <v>2688</v>
      </c>
      <c r="K1788" s="2">
        <v>3888</v>
      </c>
      <c r="L1788" s="35">
        <f t="shared" si="95"/>
        <v>12748013.279999999</v>
      </c>
      <c r="M1788" s="36">
        <v>1080</v>
      </c>
      <c r="N1788" s="40">
        <v>38972.172413793101</v>
      </c>
      <c r="O1788" s="40">
        <v>38658.297413793101</v>
      </c>
      <c r="P1788" s="40">
        <v>0</v>
      </c>
      <c r="Q1788" s="40">
        <v>12801.724137931</v>
      </c>
      <c r="R1788" s="40">
        <v>87328.728448275899</v>
      </c>
      <c r="S1788" s="40">
        <v>41239.706896551703</v>
      </c>
      <c r="T1788" s="40">
        <v>30000</v>
      </c>
      <c r="U1788" s="40">
        <v>378174.56896551698</v>
      </c>
      <c r="V1788" s="40">
        <v>0</v>
      </c>
      <c r="W1788" s="45">
        <f t="shared" si="96"/>
        <v>627175.1982758618</v>
      </c>
      <c r="X1788" s="46">
        <f t="shared" si="97"/>
        <v>4.9197877700662538</v>
      </c>
    </row>
    <row r="1789" spans="1:24" s="4" customFormat="1" ht="15" customHeight="1">
      <c r="A1789" s="28" t="s">
        <v>2682</v>
      </c>
      <c r="B1789" s="29">
        <v>3278.81</v>
      </c>
      <c r="C1789" s="30" t="s">
        <v>2689</v>
      </c>
      <c r="D1789" s="2">
        <v>4950759912</v>
      </c>
      <c r="E1789" s="2" t="s">
        <v>14</v>
      </c>
      <c r="F1789" s="2" t="s">
        <v>2690</v>
      </c>
      <c r="G1789" s="28" t="s">
        <v>5</v>
      </c>
      <c r="H1789" s="2" t="s">
        <v>17</v>
      </c>
      <c r="I1789" s="2">
        <v>2</v>
      </c>
      <c r="J1789" s="2" t="s">
        <v>2691</v>
      </c>
      <c r="K1789" s="2">
        <f>56550+56550</f>
        <v>113100</v>
      </c>
      <c r="L1789" s="35">
        <f t="shared" si="95"/>
        <v>370833411</v>
      </c>
      <c r="M1789" s="36">
        <f>15000+15000</f>
        <v>30000</v>
      </c>
      <c r="N1789" s="40">
        <v>671215</v>
      </c>
      <c r="O1789" s="40">
        <v>871502</v>
      </c>
      <c r="P1789" s="40">
        <v>0</v>
      </c>
      <c r="Q1789" s="40">
        <v>198619</v>
      </c>
      <c r="R1789" s="40">
        <v>1198666</v>
      </c>
      <c r="S1789" s="40">
        <v>354356</v>
      </c>
      <c r="T1789" s="40">
        <v>30000</v>
      </c>
      <c r="U1789" s="40">
        <v>9563100</v>
      </c>
      <c r="V1789" s="40">
        <v>0</v>
      </c>
      <c r="W1789" s="45">
        <f t="shared" si="96"/>
        <v>12887458</v>
      </c>
      <c r="X1789" s="46">
        <f t="shared" si="97"/>
        <v>3.4752688451796487</v>
      </c>
    </row>
    <row r="1790" spans="1:24" s="4" customFormat="1" ht="15" customHeight="1">
      <c r="A1790" s="28" t="s">
        <v>2682</v>
      </c>
      <c r="B1790" s="29">
        <v>3278.81</v>
      </c>
      <c r="C1790" s="30" t="s">
        <v>2692</v>
      </c>
      <c r="D1790" s="2">
        <v>4950285373</v>
      </c>
      <c r="E1790" s="2" t="s">
        <v>18</v>
      </c>
      <c r="F1790" s="2" t="s">
        <v>2693</v>
      </c>
      <c r="G1790" s="28" t="s">
        <v>5</v>
      </c>
      <c r="H1790" s="2" t="s">
        <v>35</v>
      </c>
      <c r="I1790" s="2">
        <v>1</v>
      </c>
      <c r="J1790" s="2" t="s">
        <v>2694</v>
      </c>
      <c r="K1790" s="2">
        <v>49906.25</v>
      </c>
      <c r="L1790" s="35">
        <f t="shared" si="95"/>
        <v>163633111.5625</v>
      </c>
      <c r="M1790" s="36">
        <v>3125</v>
      </c>
      <c r="N1790" s="40">
        <v>73987.654320987698</v>
      </c>
      <c r="O1790" s="40">
        <v>98114.417989417998</v>
      </c>
      <c r="P1790" s="40">
        <v>0</v>
      </c>
      <c r="Q1790" s="40">
        <v>24092.151675485002</v>
      </c>
      <c r="R1790" s="40">
        <v>2067.6161501998999</v>
      </c>
      <c r="S1790" s="40">
        <v>78120.811287477904</v>
      </c>
      <c r="T1790" s="40">
        <v>30000</v>
      </c>
      <c r="U1790" s="40">
        <v>1819124.7795414501</v>
      </c>
      <c r="V1790" s="40">
        <v>0</v>
      </c>
      <c r="W1790" s="45">
        <f t="shared" si="96"/>
        <v>2125507.4309650185</v>
      </c>
      <c r="X1790" s="46">
        <f t="shared" si="97"/>
        <v>1.2989470228054527</v>
      </c>
    </row>
    <row r="1791" spans="1:24" s="4" customFormat="1" ht="15" customHeight="1">
      <c r="A1791" s="28" t="s">
        <v>2682</v>
      </c>
      <c r="B1791" s="29">
        <v>3278.81</v>
      </c>
      <c r="C1791" s="30" t="s">
        <v>2692</v>
      </c>
      <c r="D1791" s="2">
        <v>4950721714</v>
      </c>
      <c r="E1791" s="2" t="s">
        <v>18</v>
      </c>
      <c r="F1791" s="2" t="s">
        <v>2693</v>
      </c>
      <c r="G1791" s="28" t="s">
        <v>5</v>
      </c>
      <c r="H1791" s="2" t="s">
        <v>35</v>
      </c>
      <c r="I1791" s="2">
        <v>1</v>
      </c>
      <c r="J1791" s="2" t="s">
        <v>2694</v>
      </c>
      <c r="K1791" s="2">
        <v>41448</v>
      </c>
      <c r="L1791" s="35">
        <f t="shared" si="95"/>
        <v>135900116.88</v>
      </c>
      <c r="M1791" s="36">
        <v>2400</v>
      </c>
      <c r="N1791" s="40">
        <v>56822.518518518496</v>
      </c>
      <c r="O1791" s="40">
        <v>75351.873015873003</v>
      </c>
      <c r="P1791" s="40">
        <v>0</v>
      </c>
      <c r="Q1791" s="40">
        <v>18502.772486772501</v>
      </c>
      <c r="R1791" s="40">
        <v>470634</v>
      </c>
      <c r="S1791" s="40">
        <v>59996.783068783101</v>
      </c>
      <c r="T1791" s="40">
        <v>30000</v>
      </c>
      <c r="U1791" s="40">
        <v>1397087.83068783</v>
      </c>
      <c r="V1791" s="40">
        <v>0</v>
      </c>
      <c r="W1791" s="45">
        <f t="shared" si="96"/>
        <v>2108395.7777777771</v>
      </c>
      <c r="X1791" s="46">
        <f t="shared" si="97"/>
        <v>1.551430437428905</v>
      </c>
    </row>
    <row r="1792" spans="1:24" s="4" customFormat="1" ht="15" customHeight="1">
      <c r="A1792" s="28" t="s">
        <v>2682</v>
      </c>
      <c r="B1792" s="29">
        <v>3278.81</v>
      </c>
      <c r="C1792" s="30" t="s">
        <v>2692</v>
      </c>
      <c r="D1792" s="2">
        <v>4950282865</v>
      </c>
      <c r="E1792" s="2" t="s">
        <v>18</v>
      </c>
      <c r="F1792" s="2" t="s">
        <v>2693</v>
      </c>
      <c r="G1792" s="28" t="s">
        <v>5</v>
      </c>
      <c r="H1792" s="2" t="s">
        <v>35</v>
      </c>
      <c r="I1792" s="2">
        <v>1</v>
      </c>
      <c r="J1792" s="2" t="s">
        <v>2694</v>
      </c>
      <c r="K1792" s="2">
        <v>36849</v>
      </c>
      <c r="L1792" s="35">
        <f t="shared" si="95"/>
        <v>120820869.69</v>
      </c>
      <c r="M1792" s="36">
        <v>8650</v>
      </c>
      <c r="N1792" s="40">
        <v>204797.82716049399</v>
      </c>
      <c r="O1792" s="40">
        <v>271580.70899470901</v>
      </c>
      <c r="P1792" s="40">
        <v>0</v>
      </c>
      <c r="Q1792" s="40">
        <v>66687.075837742494</v>
      </c>
      <c r="R1792" s="40">
        <v>650208.21507734398</v>
      </c>
      <c r="S1792" s="40">
        <v>216238.40564373901</v>
      </c>
      <c r="T1792" s="40">
        <v>30000</v>
      </c>
      <c r="U1792" s="40">
        <v>5035337.3897707202</v>
      </c>
      <c r="V1792" s="40">
        <v>0</v>
      </c>
      <c r="W1792" s="45">
        <f t="shared" si="96"/>
        <v>6474849.6224847492</v>
      </c>
      <c r="X1792" s="46">
        <f t="shared" si="97"/>
        <v>5.359049011232746</v>
      </c>
    </row>
    <row r="1793" spans="1:24" s="4" customFormat="1" ht="15" customHeight="1">
      <c r="A1793" s="28" t="s">
        <v>2682</v>
      </c>
      <c r="B1793" s="29">
        <v>3278.81</v>
      </c>
      <c r="C1793" s="30" t="s">
        <v>2695</v>
      </c>
      <c r="D1793" s="2">
        <v>4950130442</v>
      </c>
      <c r="E1793" s="2" t="s">
        <v>21</v>
      </c>
      <c r="F1793" s="2" t="s">
        <v>2696</v>
      </c>
      <c r="G1793" s="28" t="s">
        <v>9</v>
      </c>
      <c r="H1793" s="2" t="s">
        <v>23</v>
      </c>
      <c r="I1793" s="2">
        <v>1</v>
      </c>
      <c r="J1793" s="2"/>
      <c r="K1793" s="2">
        <v>4305.6000000000004</v>
      </c>
      <c r="L1793" s="35">
        <f t="shared" si="95"/>
        <v>14117244.336000001</v>
      </c>
      <c r="M1793" s="36">
        <v>720</v>
      </c>
      <c r="N1793" s="40">
        <v>494231</v>
      </c>
      <c r="O1793" s="40">
        <v>535</v>
      </c>
      <c r="P1793" s="40">
        <v>0</v>
      </c>
      <c r="Q1793" s="40">
        <v>12824</v>
      </c>
      <c r="R1793" s="40">
        <v>99022</v>
      </c>
      <c r="S1793" s="40">
        <v>354356</v>
      </c>
      <c r="T1793" s="40"/>
      <c r="U1793" s="40">
        <v>252200</v>
      </c>
      <c r="V1793" s="40">
        <v>0</v>
      </c>
      <c r="W1793" s="45">
        <f t="shared" si="96"/>
        <v>1213168</v>
      </c>
      <c r="X1793" s="46">
        <f t="shared" si="97"/>
        <v>8.5935184737600192</v>
      </c>
    </row>
    <row r="1794" spans="1:24" s="4" customFormat="1" ht="15" customHeight="1">
      <c r="A1794" s="28" t="s">
        <v>2682</v>
      </c>
      <c r="B1794" s="29">
        <v>3278.81</v>
      </c>
      <c r="C1794" s="30" t="s">
        <v>2697</v>
      </c>
      <c r="D1794" s="2">
        <v>4950722770</v>
      </c>
      <c r="E1794" s="2" t="s">
        <v>14</v>
      </c>
      <c r="F1794" s="2" t="s">
        <v>2698</v>
      </c>
      <c r="G1794" s="28" t="s">
        <v>9</v>
      </c>
      <c r="H1794" s="2" t="s">
        <v>23</v>
      </c>
      <c r="I1794" s="2">
        <v>6</v>
      </c>
      <c r="J1794" s="2"/>
      <c r="K1794" s="2">
        <v>13600</v>
      </c>
      <c r="L1794" s="35">
        <f t="shared" si="95"/>
        <v>44591816</v>
      </c>
      <c r="M1794" s="36">
        <v>5000</v>
      </c>
      <c r="N1794" s="40">
        <v>914182.75862068997</v>
      </c>
      <c r="O1794" s="40">
        <v>3561.2068965517201</v>
      </c>
      <c r="P1794" s="40">
        <v>0</v>
      </c>
      <c r="Q1794" s="40">
        <v>83807.758620689696</v>
      </c>
      <c r="R1794" s="40">
        <v>168644.82758620699</v>
      </c>
      <c r="S1794" s="40">
        <v>305479.310344828</v>
      </c>
      <c r="T1794" s="40">
        <v>30000</v>
      </c>
      <c r="U1794" s="40">
        <v>1797844.8275862101</v>
      </c>
      <c r="V1794" s="40">
        <v>0</v>
      </c>
      <c r="W1794" s="45">
        <f t="shared" si="96"/>
        <v>3303520.6896551764</v>
      </c>
      <c r="X1794" s="46">
        <f t="shared" si="97"/>
        <v>7.4083564788103189</v>
      </c>
    </row>
    <row r="1795" spans="1:24" s="4" customFormat="1" ht="15" customHeight="1">
      <c r="A1795" s="28" t="s">
        <v>2682</v>
      </c>
      <c r="B1795" s="29">
        <v>3278.81</v>
      </c>
      <c r="C1795" s="30" t="s">
        <v>2697</v>
      </c>
      <c r="D1795" s="2">
        <v>4950721198</v>
      </c>
      <c r="E1795" s="2" t="s">
        <v>14</v>
      </c>
      <c r="F1795" s="2" t="s">
        <v>2698</v>
      </c>
      <c r="G1795" s="28" t="s">
        <v>9</v>
      </c>
      <c r="H1795" s="2" t="s">
        <v>23</v>
      </c>
      <c r="I1795" s="2">
        <v>6</v>
      </c>
      <c r="J1795" s="2"/>
      <c r="K1795" s="2">
        <v>1928</v>
      </c>
      <c r="L1795" s="35">
        <f t="shared" si="95"/>
        <v>6321545.6799999997</v>
      </c>
      <c r="M1795" s="36">
        <v>800</v>
      </c>
      <c r="N1795" s="40">
        <v>146269.24137931</v>
      </c>
      <c r="O1795" s="40">
        <v>569.79310344827604</v>
      </c>
      <c r="P1795" s="40">
        <v>0</v>
      </c>
      <c r="Q1795" s="40">
        <v>13409.241379310301</v>
      </c>
      <c r="R1795" s="40">
        <v>26983.172413793101</v>
      </c>
      <c r="S1795" s="40">
        <v>48876.689655172398</v>
      </c>
      <c r="T1795" s="40">
        <v>30000</v>
      </c>
      <c r="U1795" s="40">
        <v>287655.17241379299</v>
      </c>
      <c r="V1795" s="40">
        <v>0</v>
      </c>
      <c r="W1795" s="45">
        <f t="shared" si="96"/>
        <v>553763.31034482713</v>
      </c>
      <c r="X1795" s="46">
        <f t="shared" si="97"/>
        <v>8.7599352812843581</v>
      </c>
    </row>
    <row r="1796" spans="1:24" s="4" customFormat="1" ht="15" customHeight="1">
      <c r="A1796" s="28" t="s">
        <v>2682</v>
      </c>
      <c r="B1796" s="29">
        <v>3278.81</v>
      </c>
      <c r="C1796" s="30" t="s">
        <v>2699</v>
      </c>
      <c r="D1796" s="2">
        <v>4950498655</v>
      </c>
      <c r="E1796" s="2" t="s">
        <v>14</v>
      </c>
      <c r="F1796" s="2" t="s">
        <v>2700</v>
      </c>
      <c r="G1796" s="28" t="s">
        <v>9</v>
      </c>
      <c r="H1796" s="2" t="s">
        <v>23</v>
      </c>
      <c r="I1796" s="2">
        <v>3</v>
      </c>
      <c r="J1796" s="2"/>
      <c r="K1796" s="2">
        <v>8984.16</v>
      </c>
      <c r="L1796" s="35">
        <f t="shared" si="95"/>
        <v>29457353.649599999</v>
      </c>
      <c r="M1796" s="36">
        <v>2428</v>
      </c>
      <c r="N1796" s="40">
        <v>900679</v>
      </c>
      <c r="O1796" s="40">
        <v>3683</v>
      </c>
      <c r="P1796" s="40">
        <v>367358</v>
      </c>
      <c r="Q1796" s="40">
        <v>44059</v>
      </c>
      <c r="R1796" s="40">
        <v>489201</v>
      </c>
      <c r="S1796" s="40">
        <v>354356</v>
      </c>
      <c r="T1796" s="40">
        <v>30000</v>
      </c>
      <c r="U1796" s="40">
        <v>0</v>
      </c>
      <c r="V1796" s="40">
        <v>0</v>
      </c>
      <c r="W1796" s="45">
        <f t="shared" si="96"/>
        <v>2189336</v>
      </c>
      <c r="X1796" s="46">
        <f t="shared" si="97"/>
        <v>7.4322222764560149</v>
      </c>
    </row>
    <row r="1797" spans="1:24" s="4" customFormat="1" ht="15" customHeight="1">
      <c r="A1797" s="28" t="s">
        <v>2682</v>
      </c>
      <c r="B1797" s="29">
        <v>3278.81</v>
      </c>
      <c r="C1797" s="30" t="s">
        <v>2701</v>
      </c>
      <c r="D1797" s="2">
        <v>4948861179</v>
      </c>
      <c r="E1797" s="2" t="s">
        <v>6</v>
      </c>
      <c r="F1797" s="2" t="s">
        <v>2702</v>
      </c>
      <c r="G1797" s="28" t="s">
        <v>5</v>
      </c>
      <c r="H1797" s="2" t="s">
        <v>17</v>
      </c>
      <c r="I1797" s="2">
        <v>1</v>
      </c>
      <c r="J1797" s="2" t="s">
        <v>2703</v>
      </c>
      <c r="K1797" s="2">
        <f>17000+34000</f>
        <v>51000</v>
      </c>
      <c r="L1797" s="35">
        <f t="shared" si="95"/>
        <v>167219310</v>
      </c>
      <c r="M1797" s="36">
        <f>5000+10000</f>
        <v>15000</v>
      </c>
      <c r="N1797" s="40">
        <v>397605</v>
      </c>
      <c r="O1797" s="40">
        <v>543061</v>
      </c>
      <c r="P1797" s="40">
        <v>0</v>
      </c>
      <c r="Q1797" s="40">
        <v>124137</v>
      </c>
      <c r="R1797" s="40">
        <v>877693</v>
      </c>
      <c r="S1797" s="40">
        <v>354356</v>
      </c>
      <c r="T1797" s="40">
        <v>30000</v>
      </c>
      <c r="U1797" s="40">
        <v>529000</v>
      </c>
      <c r="V1797" s="40">
        <v>0</v>
      </c>
      <c r="W1797" s="45">
        <f t="shared" si="96"/>
        <v>2855852</v>
      </c>
      <c r="X1797" s="46">
        <f t="shared" si="97"/>
        <v>1.707848214419734</v>
      </c>
    </row>
    <row r="1798" spans="1:24" s="4" customFormat="1" ht="15" customHeight="1">
      <c r="A1798" s="28" t="s">
        <v>2682</v>
      </c>
      <c r="B1798" s="29">
        <v>3278.81</v>
      </c>
      <c r="C1798" s="30" t="s">
        <v>2704</v>
      </c>
      <c r="D1798" s="2">
        <v>4950812440</v>
      </c>
      <c r="E1798" s="2" t="s">
        <v>14</v>
      </c>
      <c r="F1798" s="2" t="s">
        <v>2705</v>
      </c>
      <c r="G1798" s="28" t="s">
        <v>9</v>
      </c>
      <c r="H1798" s="2" t="s">
        <v>23</v>
      </c>
      <c r="I1798" s="2">
        <v>3</v>
      </c>
      <c r="J1798" s="2"/>
      <c r="K1798" s="2">
        <v>7343.98</v>
      </c>
      <c r="L1798" s="35">
        <f t="shared" si="95"/>
        <v>24079515.0638</v>
      </c>
      <c r="M1798" s="36">
        <v>2721</v>
      </c>
      <c r="N1798" s="40">
        <v>799777</v>
      </c>
      <c r="O1798" s="40">
        <v>1883</v>
      </c>
      <c r="P1798" s="40">
        <v>0</v>
      </c>
      <c r="Q1798" s="40">
        <v>44254</v>
      </c>
      <c r="R1798" s="40">
        <v>136154</v>
      </c>
      <c r="S1798" s="40">
        <v>354356</v>
      </c>
      <c r="T1798" s="40">
        <v>30000</v>
      </c>
      <c r="U1798" s="40">
        <v>252200</v>
      </c>
      <c r="V1798" s="40">
        <v>0</v>
      </c>
      <c r="W1798" s="45">
        <f t="shared" si="96"/>
        <v>1618624</v>
      </c>
      <c r="X1798" s="46">
        <f t="shared" si="97"/>
        <v>6.7219958363420806</v>
      </c>
    </row>
    <row r="1799" spans="1:24" s="4" customFormat="1" ht="15" customHeight="1">
      <c r="A1799" s="28" t="s">
        <v>2682</v>
      </c>
      <c r="B1799" s="29">
        <v>3278.81</v>
      </c>
      <c r="C1799" s="30" t="s">
        <v>2706</v>
      </c>
      <c r="D1799" s="2">
        <v>4950272170</v>
      </c>
      <c r="E1799" s="2" t="s">
        <v>14</v>
      </c>
      <c r="F1799" s="2" t="s">
        <v>2707</v>
      </c>
      <c r="G1799" s="28" t="s">
        <v>9</v>
      </c>
      <c r="H1799" s="2" t="s">
        <v>23</v>
      </c>
      <c r="I1799" s="2">
        <v>1</v>
      </c>
      <c r="J1799" s="2"/>
      <c r="K1799" s="2">
        <v>2485.29</v>
      </c>
      <c r="L1799" s="35">
        <f t="shared" si="95"/>
        <v>8148793.7048999993</v>
      </c>
      <c r="M1799" s="36">
        <v>764</v>
      </c>
      <c r="N1799" s="40">
        <v>621435</v>
      </c>
      <c r="O1799" s="40">
        <v>572</v>
      </c>
      <c r="P1799" s="40">
        <v>0</v>
      </c>
      <c r="Q1799" s="40">
        <v>13675</v>
      </c>
      <c r="R1799" s="40">
        <v>100423</v>
      </c>
      <c r="S1799" s="40">
        <v>354356</v>
      </c>
      <c r="T1799" s="40">
        <v>30000</v>
      </c>
      <c r="U1799" s="40">
        <v>325899.36592350202</v>
      </c>
      <c r="V1799" s="40">
        <v>0</v>
      </c>
      <c r="W1799" s="45">
        <f t="shared" si="96"/>
        <v>1446360.365923502</v>
      </c>
      <c r="X1799" s="46">
        <f t="shared" si="97"/>
        <v>17.749380071479568</v>
      </c>
    </row>
    <row r="1800" spans="1:24" s="4" customFormat="1" ht="15" customHeight="1">
      <c r="A1800" s="28" t="s">
        <v>2682</v>
      </c>
      <c r="B1800" s="29">
        <v>3278.81</v>
      </c>
      <c r="C1800" s="30" t="s">
        <v>2708</v>
      </c>
      <c r="D1800" s="2">
        <v>4950365717</v>
      </c>
      <c r="E1800" s="2" t="s">
        <v>14</v>
      </c>
      <c r="F1800" s="2" t="s">
        <v>2709</v>
      </c>
      <c r="G1800" s="28" t="s">
        <v>9</v>
      </c>
      <c r="H1800" s="2" t="s">
        <v>23</v>
      </c>
      <c r="I1800" s="2">
        <v>4</v>
      </c>
      <c r="J1800" s="2"/>
      <c r="K1800" s="2">
        <v>6381.75</v>
      </c>
      <c r="L1800" s="35">
        <f t="shared" si="95"/>
        <v>20924545.717500001</v>
      </c>
      <c r="M1800" s="36">
        <v>3175</v>
      </c>
      <c r="N1800" s="40">
        <v>809007</v>
      </c>
      <c r="O1800" s="40">
        <v>2152</v>
      </c>
      <c r="P1800" s="40">
        <v>0</v>
      </c>
      <c r="Q1800" s="40">
        <v>64008</v>
      </c>
      <c r="R1800" s="40">
        <v>156293</v>
      </c>
      <c r="S1800" s="40">
        <v>354356</v>
      </c>
      <c r="T1800" s="40">
        <v>30000</v>
      </c>
      <c r="U1800" s="40">
        <v>1354359.2759255499</v>
      </c>
      <c r="V1800" s="40">
        <v>0</v>
      </c>
      <c r="W1800" s="45">
        <f t="shared" si="96"/>
        <v>2770175.2759255497</v>
      </c>
      <c r="X1800" s="46">
        <f t="shared" si="97"/>
        <v>13.238878938283213</v>
      </c>
    </row>
    <row r="1801" spans="1:24" s="4" customFormat="1" ht="15" customHeight="1">
      <c r="A1801" s="28" t="s">
        <v>2682</v>
      </c>
      <c r="B1801" s="29">
        <v>3278.81</v>
      </c>
      <c r="C1801" s="30" t="s">
        <v>2710</v>
      </c>
      <c r="D1801" s="2">
        <v>4949532980</v>
      </c>
      <c r="E1801" s="2" t="s">
        <v>14</v>
      </c>
      <c r="F1801" s="2" t="s">
        <v>2711</v>
      </c>
      <c r="G1801" s="28" t="s">
        <v>9</v>
      </c>
      <c r="H1801" s="2" t="s">
        <v>23</v>
      </c>
      <c r="I1801" s="2">
        <v>3</v>
      </c>
      <c r="J1801" s="2"/>
      <c r="K1801" s="2">
        <v>7605</v>
      </c>
      <c r="L1801" s="35">
        <f t="shared" si="95"/>
        <v>24935350.050000001</v>
      </c>
      <c r="M1801" s="36">
        <v>1170</v>
      </c>
      <c r="N1801" s="40">
        <v>914281</v>
      </c>
      <c r="O1801" s="40">
        <v>908</v>
      </c>
      <c r="P1801" s="40">
        <v>0</v>
      </c>
      <c r="Q1801" s="40">
        <v>21256</v>
      </c>
      <c r="R1801" s="40">
        <v>112543</v>
      </c>
      <c r="S1801" s="40">
        <v>354356</v>
      </c>
      <c r="T1801" s="40">
        <v>30000</v>
      </c>
      <c r="U1801" s="40">
        <v>1367700</v>
      </c>
      <c r="V1801" s="40">
        <v>0</v>
      </c>
      <c r="W1801" s="45">
        <f t="shared" si="96"/>
        <v>2801044</v>
      </c>
      <c r="X1801" s="46">
        <f t="shared" si="97"/>
        <v>11.233225097636037</v>
      </c>
    </row>
    <row r="1802" spans="1:24" s="4" customFormat="1" ht="15" customHeight="1">
      <c r="A1802" s="28" t="s">
        <v>2682</v>
      </c>
      <c r="B1802" s="29">
        <v>3278.81</v>
      </c>
      <c r="C1802" s="30" t="s">
        <v>2712</v>
      </c>
      <c r="D1802" s="2">
        <v>4950583110</v>
      </c>
      <c r="E1802" s="2" t="s">
        <v>24</v>
      </c>
      <c r="F1802" s="2" t="s">
        <v>2713</v>
      </c>
      <c r="G1802" s="28" t="s">
        <v>5</v>
      </c>
      <c r="H1802" s="2" t="s">
        <v>26</v>
      </c>
      <c r="I1802" s="2">
        <v>2</v>
      </c>
      <c r="J1802" s="2" t="s">
        <v>2714</v>
      </c>
      <c r="K1802" s="2">
        <f>27584.8+27700.8</f>
        <v>55285.599999999999</v>
      </c>
      <c r="L1802" s="35">
        <f t="shared" si="95"/>
        <v>181270978.13599998</v>
      </c>
      <c r="M1802" s="36">
        <f>23780+23880</f>
        <v>47660</v>
      </c>
      <c r="N1802" s="40">
        <v>680354</v>
      </c>
      <c r="O1802" s="40">
        <v>806122</v>
      </c>
      <c r="P1802" s="40">
        <v>145092</v>
      </c>
      <c r="Q1802" s="40">
        <v>235119</v>
      </c>
      <c r="R1802" s="40">
        <v>1615228</v>
      </c>
      <c r="S1802" s="40">
        <v>354356</v>
      </c>
      <c r="T1802" s="40"/>
      <c r="U1802" s="40">
        <v>4838588</v>
      </c>
      <c r="V1802" s="40">
        <v>0</v>
      </c>
      <c r="W1802" s="45">
        <f t="shared" si="96"/>
        <v>8674859</v>
      </c>
      <c r="X1802" s="46">
        <f t="shared" si="97"/>
        <v>4.7855752140817707</v>
      </c>
    </row>
    <row r="1803" spans="1:24" s="4" customFormat="1" ht="15" customHeight="1">
      <c r="A1803" s="28" t="s">
        <v>2682</v>
      </c>
      <c r="B1803" s="29">
        <v>3278.81</v>
      </c>
      <c r="C1803" s="30" t="s">
        <v>2715</v>
      </c>
      <c r="D1803" s="2">
        <v>4950406822</v>
      </c>
      <c r="E1803" s="2" t="s">
        <v>21</v>
      </c>
      <c r="F1803" s="2" t="s">
        <v>2716</v>
      </c>
      <c r="G1803" s="28" t="s">
        <v>5</v>
      </c>
      <c r="H1803" s="2" t="s">
        <v>17</v>
      </c>
      <c r="I1803" s="2">
        <v>1</v>
      </c>
      <c r="J1803" s="2" t="s">
        <v>2717</v>
      </c>
      <c r="K1803" s="2">
        <v>106686.72</v>
      </c>
      <c r="L1803" s="35">
        <f t="shared" si="95"/>
        <v>349805484.40319997</v>
      </c>
      <c r="M1803" s="36">
        <v>9525.6</v>
      </c>
      <c r="N1803" s="40">
        <v>482518</v>
      </c>
      <c r="O1803" s="40">
        <v>435751</v>
      </c>
      <c r="P1803" s="40">
        <v>0</v>
      </c>
      <c r="Q1803" s="40">
        <v>110000</v>
      </c>
      <c r="R1803" s="40">
        <v>742340</v>
      </c>
      <c r="S1803" s="40">
        <v>354356</v>
      </c>
      <c r="T1803" s="40"/>
      <c r="U1803" s="40">
        <v>4719050</v>
      </c>
      <c r="V1803" s="40">
        <v>0</v>
      </c>
      <c r="W1803" s="45">
        <f t="shared" si="96"/>
        <v>6844015</v>
      </c>
      <c r="X1803" s="46">
        <f t="shared" si="97"/>
        <v>1.9565202105611676</v>
      </c>
    </row>
    <row r="1804" spans="1:24" s="4" customFormat="1" ht="15" customHeight="1">
      <c r="A1804" s="28" t="s">
        <v>2682</v>
      </c>
      <c r="B1804" s="29">
        <v>3278.81</v>
      </c>
      <c r="C1804" s="30" t="s">
        <v>2718</v>
      </c>
      <c r="D1804" s="2">
        <v>4950760125</v>
      </c>
      <c r="E1804" s="2" t="s">
        <v>36</v>
      </c>
      <c r="F1804" s="2" t="s">
        <v>2719</v>
      </c>
      <c r="G1804" s="28" t="s">
        <v>5</v>
      </c>
      <c r="H1804" s="2" t="s">
        <v>20</v>
      </c>
      <c r="I1804" s="2">
        <v>2</v>
      </c>
      <c r="J1804" s="2" t="s">
        <v>2720</v>
      </c>
      <c r="K1804" s="2">
        <v>63180</v>
      </c>
      <c r="L1804" s="35">
        <f t="shared" si="95"/>
        <v>207155215.79999998</v>
      </c>
      <c r="M1804" s="36">
        <v>39000</v>
      </c>
      <c r="N1804" s="40">
        <v>354266</v>
      </c>
      <c r="O1804" s="40">
        <v>827105</v>
      </c>
      <c r="P1804" s="40">
        <v>0</v>
      </c>
      <c r="Q1804" s="40">
        <v>248274</v>
      </c>
      <c r="R1804" s="40">
        <v>752867</v>
      </c>
      <c r="S1804" s="40">
        <v>177178</v>
      </c>
      <c r="T1804" s="40"/>
      <c r="U1804" s="40">
        <v>519300</v>
      </c>
      <c r="V1804" s="40">
        <v>0</v>
      </c>
      <c r="W1804" s="45">
        <f t="shared" si="96"/>
        <v>2878990</v>
      </c>
      <c r="X1804" s="46">
        <f t="shared" si="97"/>
        <v>1.389774323992667</v>
      </c>
    </row>
    <row r="1805" spans="1:24" s="4" customFormat="1" ht="15" customHeight="1">
      <c r="A1805" s="28" t="s">
        <v>2682</v>
      </c>
      <c r="B1805" s="29">
        <v>3278.81</v>
      </c>
      <c r="C1805" s="30" t="s">
        <v>2721</v>
      </c>
      <c r="D1805" s="2">
        <v>4950559750</v>
      </c>
      <c r="E1805" s="2" t="s">
        <v>36</v>
      </c>
      <c r="F1805" s="2" t="s">
        <v>2722</v>
      </c>
      <c r="G1805" s="28" t="s">
        <v>5</v>
      </c>
      <c r="H1805" s="2" t="s">
        <v>26</v>
      </c>
      <c r="I1805" s="2">
        <v>3</v>
      </c>
      <c r="J1805" s="2" t="s">
        <v>2723</v>
      </c>
      <c r="K1805" s="2">
        <v>63053.2</v>
      </c>
      <c r="L1805" s="35">
        <f t="shared" si="95"/>
        <v>206739462.692</v>
      </c>
      <c r="M1805" s="36">
        <v>64340</v>
      </c>
      <c r="N1805" s="40">
        <v>343076.396642835</v>
      </c>
      <c r="O1805" s="40">
        <v>1518157</v>
      </c>
      <c r="P1805" s="40">
        <v>2735396.3307429301</v>
      </c>
      <c r="Q1805" s="40">
        <v>372411</v>
      </c>
      <c r="R1805" s="40">
        <v>869621.05688529694</v>
      </c>
      <c r="S1805" s="40">
        <v>119403.762511657</v>
      </c>
      <c r="T1805" s="40"/>
      <c r="U1805" s="40">
        <v>0</v>
      </c>
      <c r="V1805" s="40">
        <v>0</v>
      </c>
      <c r="W1805" s="45">
        <f t="shared" si="96"/>
        <v>5958065.546782718</v>
      </c>
      <c r="X1805" s="46">
        <f t="shared" si="97"/>
        <v>2.8819198179203123</v>
      </c>
    </row>
    <row r="1806" spans="1:24" s="4" customFormat="1" ht="15" customHeight="1">
      <c r="A1806" s="28" t="s">
        <v>2682</v>
      </c>
      <c r="B1806" s="29">
        <v>3278.81</v>
      </c>
      <c r="C1806" s="30" t="s">
        <v>2724</v>
      </c>
      <c r="D1806" s="2">
        <v>4950003305</v>
      </c>
      <c r="E1806" s="2" t="s">
        <v>36</v>
      </c>
      <c r="F1806" s="2" t="s">
        <v>2725</v>
      </c>
      <c r="G1806" s="28" t="s">
        <v>5</v>
      </c>
      <c r="H1806" s="2" t="s">
        <v>26</v>
      </c>
      <c r="I1806" s="2">
        <v>4</v>
      </c>
      <c r="J1806" s="2" t="s">
        <v>2726</v>
      </c>
      <c r="K1806" s="2">
        <v>85045.2</v>
      </c>
      <c r="L1806" s="35">
        <f t="shared" si="95"/>
        <v>278847052.21200001</v>
      </c>
      <c r="M1806" s="36">
        <v>86740</v>
      </c>
      <c r="N1806" s="40">
        <v>1357536</v>
      </c>
      <c r="O1806" s="40">
        <v>2024188</v>
      </c>
      <c r="P1806" s="40">
        <v>10823825</v>
      </c>
      <c r="Q1806" s="40">
        <v>496548</v>
      </c>
      <c r="R1806" s="40">
        <v>3441025</v>
      </c>
      <c r="S1806" s="40">
        <v>354356</v>
      </c>
      <c r="T1806" s="40"/>
      <c r="U1806" s="40">
        <v>0</v>
      </c>
      <c r="V1806" s="40">
        <v>0</v>
      </c>
      <c r="W1806" s="45">
        <f t="shared" si="96"/>
        <v>18497478</v>
      </c>
      <c r="X1806" s="46">
        <f t="shared" si="97"/>
        <v>6.6335569457398673</v>
      </c>
    </row>
    <row r="1807" spans="1:24" s="4" customFormat="1" ht="15" customHeight="1">
      <c r="A1807" s="28" t="s">
        <v>2682</v>
      </c>
      <c r="B1807" s="29">
        <v>3278.81</v>
      </c>
      <c r="C1807" s="30" t="s">
        <v>2727</v>
      </c>
      <c r="D1807" s="2">
        <v>4950585744</v>
      </c>
      <c r="E1807" s="2" t="s">
        <v>14</v>
      </c>
      <c r="F1807" s="78" t="s">
        <v>2728</v>
      </c>
      <c r="G1807" s="28" t="s">
        <v>9</v>
      </c>
      <c r="H1807" s="2" t="s">
        <v>23</v>
      </c>
      <c r="I1807" s="2">
        <v>2</v>
      </c>
      <c r="J1807" s="2"/>
      <c r="K1807" s="2">
        <v>1132.5</v>
      </c>
      <c r="L1807" s="35">
        <f t="shared" si="95"/>
        <v>3713252.3249999997</v>
      </c>
      <c r="M1807" s="36">
        <v>750</v>
      </c>
      <c r="N1807" s="40">
        <v>433095.78947368398</v>
      </c>
      <c r="O1807" s="40">
        <v>556.57894736842104</v>
      </c>
      <c r="P1807" s="40">
        <v>0</v>
      </c>
      <c r="Q1807" s="40">
        <v>12858.1578947368</v>
      </c>
      <c r="R1807" s="40">
        <v>81227.368421052597</v>
      </c>
      <c r="S1807" s="40">
        <v>279754.73684210499</v>
      </c>
      <c r="T1807" s="40">
        <v>30000</v>
      </c>
      <c r="U1807" s="40">
        <v>319927.38801390899</v>
      </c>
      <c r="V1807" s="40">
        <v>0</v>
      </c>
      <c r="W1807" s="45">
        <f t="shared" si="96"/>
        <v>1157420.0195928556</v>
      </c>
      <c r="X1807" s="46">
        <f t="shared" si="97"/>
        <v>31.169980337731445</v>
      </c>
    </row>
    <row r="1808" spans="1:24" s="4" customFormat="1" ht="15" customHeight="1">
      <c r="A1808" s="28" t="s">
        <v>2682</v>
      </c>
      <c r="B1808" s="29">
        <v>3278.81</v>
      </c>
      <c r="C1808" s="30" t="s">
        <v>2727</v>
      </c>
      <c r="D1808" s="2">
        <v>4950902084</v>
      </c>
      <c r="E1808" s="2" t="s">
        <v>14</v>
      </c>
      <c r="F1808" s="78" t="s">
        <v>2728</v>
      </c>
      <c r="G1808" s="28" t="s">
        <v>9</v>
      </c>
      <c r="H1808" s="2" t="s">
        <v>23</v>
      </c>
      <c r="I1808" s="2">
        <v>2</v>
      </c>
      <c r="J1808" s="2"/>
      <c r="K1808" s="2">
        <v>964</v>
      </c>
      <c r="L1808" s="35">
        <f t="shared" si="95"/>
        <v>3160772.84</v>
      </c>
      <c r="M1808" s="36">
        <v>200</v>
      </c>
      <c r="N1808" s="40">
        <v>115492.210526316</v>
      </c>
      <c r="O1808" s="40">
        <v>148.42105263157899</v>
      </c>
      <c r="P1808" s="40">
        <v>0</v>
      </c>
      <c r="Q1808" s="40">
        <v>3428.8421052631602</v>
      </c>
      <c r="R1808" s="40">
        <v>21660.631578947399</v>
      </c>
      <c r="S1808" s="40">
        <v>74601.263157894704</v>
      </c>
      <c r="T1808" s="40">
        <v>30000</v>
      </c>
      <c r="U1808" s="40">
        <v>85313.970137042299</v>
      </c>
      <c r="V1808" s="40">
        <v>0</v>
      </c>
      <c r="W1808" s="45">
        <f t="shared" si="96"/>
        <v>330645.3385580951</v>
      </c>
      <c r="X1808" s="46">
        <f t="shared" si="97"/>
        <v>10.460901662205346</v>
      </c>
    </row>
    <row r="1809" spans="1:24" s="4" customFormat="1" ht="15" customHeight="1">
      <c r="A1809" s="28" t="s">
        <v>2682</v>
      </c>
      <c r="B1809" s="29">
        <v>3278.81</v>
      </c>
      <c r="C1809" s="30" t="s">
        <v>2729</v>
      </c>
      <c r="D1809" s="2">
        <v>4950722786</v>
      </c>
      <c r="E1809" s="2" t="s">
        <v>14</v>
      </c>
      <c r="F1809" s="78" t="s">
        <v>2730</v>
      </c>
      <c r="G1809" s="28" t="s">
        <v>13</v>
      </c>
      <c r="H1809" s="2" t="s">
        <v>23</v>
      </c>
      <c r="I1809" s="2">
        <v>1</v>
      </c>
      <c r="J1809" s="2"/>
      <c r="K1809" s="2">
        <v>582.29999999999995</v>
      </c>
      <c r="L1809" s="35">
        <f t="shared" si="95"/>
        <v>1909251.0629999998</v>
      </c>
      <c r="M1809" s="36">
        <v>10</v>
      </c>
      <c r="N1809" s="40">
        <v>321456.58</v>
      </c>
      <c r="O1809" s="40">
        <v>0</v>
      </c>
      <c r="P1809" s="40">
        <v>0</v>
      </c>
      <c r="Q1809" s="40">
        <v>0</v>
      </c>
      <c r="R1809" s="40">
        <v>1286</v>
      </c>
      <c r="S1809" s="40">
        <v>354356</v>
      </c>
      <c r="T1809" s="40">
        <v>30000</v>
      </c>
      <c r="U1809" s="40">
        <v>80780.327868852502</v>
      </c>
      <c r="V1809" s="40">
        <v>0</v>
      </c>
      <c r="W1809" s="45">
        <f t="shared" si="96"/>
        <v>787878.90786885261</v>
      </c>
      <c r="X1809" s="46">
        <f t="shared" si="97"/>
        <v>41.266385712042556</v>
      </c>
    </row>
    <row r="1810" spans="1:24" s="4" customFormat="1" ht="15" customHeight="1">
      <c r="A1810" s="28" t="s">
        <v>2682</v>
      </c>
      <c r="B1810" s="29">
        <v>3278.81</v>
      </c>
      <c r="C1810" s="30" t="s">
        <v>2731</v>
      </c>
      <c r="D1810" s="2">
        <v>4951047699</v>
      </c>
      <c r="E1810" s="2" t="s">
        <v>14</v>
      </c>
      <c r="F1810" s="78" t="s">
        <v>2732</v>
      </c>
      <c r="G1810" s="28" t="s">
        <v>13</v>
      </c>
      <c r="H1810" s="2" t="s">
        <v>23</v>
      </c>
      <c r="I1810" s="2">
        <v>1</v>
      </c>
      <c r="J1810" s="2"/>
      <c r="K1810" s="2">
        <v>1164.5999999999999</v>
      </c>
      <c r="L1810" s="35">
        <f t="shared" si="95"/>
        <v>3818502.1259999997</v>
      </c>
      <c r="M1810" s="36">
        <v>20</v>
      </c>
      <c r="N1810" s="40">
        <v>312804.19</v>
      </c>
      <c r="O1810" s="40">
        <v>0</v>
      </c>
      <c r="P1810" s="40">
        <v>0</v>
      </c>
      <c r="Q1810" s="40">
        <v>0</v>
      </c>
      <c r="R1810" s="40">
        <v>1251</v>
      </c>
      <c r="S1810" s="40">
        <v>354356</v>
      </c>
      <c r="T1810" s="40">
        <v>30000</v>
      </c>
      <c r="U1810" s="40">
        <v>161560.655737705</v>
      </c>
      <c r="V1810" s="40">
        <v>0</v>
      </c>
      <c r="W1810" s="45">
        <f t="shared" si="96"/>
        <v>859971.84573770501</v>
      </c>
      <c r="X1810" s="46">
        <f t="shared" si="97"/>
        <v>22.521182845027045</v>
      </c>
    </row>
    <row r="1811" spans="1:24" s="4" customFormat="1" ht="15" customHeight="1">
      <c r="A1811" s="28" t="s">
        <v>2682</v>
      </c>
      <c r="B1811" s="29">
        <v>3278.81</v>
      </c>
      <c r="C1811" s="30" t="s">
        <v>2733</v>
      </c>
      <c r="D1811" s="2">
        <v>4951235267</v>
      </c>
      <c r="E1811" s="2" t="s">
        <v>14</v>
      </c>
      <c r="F1811" s="2" t="s">
        <v>2734</v>
      </c>
      <c r="G1811" s="28" t="s">
        <v>13</v>
      </c>
      <c r="H1811" s="2" t="s">
        <v>23</v>
      </c>
      <c r="I1811" s="2">
        <v>2</v>
      </c>
      <c r="J1811" s="2"/>
      <c r="K1811" s="2">
        <f>3080+6253.52</f>
        <v>9333.52</v>
      </c>
      <c r="L1811" s="35">
        <f t="shared" si="95"/>
        <v>30602838.711200003</v>
      </c>
      <c r="M1811" s="36">
        <v>2000</v>
      </c>
      <c r="N1811" s="40">
        <v>1971700</v>
      </c>
      <c r="O1811" s="40">
        <v>0</v>
      </c>
      <c r="P1811" s="40">
        <v>0</v>
      </c>
      <c r="Q1811" s="40">
        <v>0</v>
      </c>
      <c r="R1811" s="40">
        <v>87932</v>
      </c>
      <c r="S1811" s="40">
        <v>354356</v>
      </c>
      <c r="T1811" s="40">
        <v>30000</v>
      </c>
      <c r="U1811" s="40">
        <v>241549.01960784299</v>
      </c>
      <c r="V1811" s="40">
        <v>0</v>
      </c>
      <c r="W1811" s="45">
        <f t="shared" si="96"/>
        <v>2685537.0196078429</v>
      </c>
      <c r="X1811" s="46">
        <f t="shared" si="97"/>
        <v>8.7754506859685275</v>
      </c>
    </row>
    <row r="1812" spans="1:24" s="4" customFormat="1" ht="15" customHeight="1">
      <c r="A1812" s="28" t="s">
        <v>2682</v>
      </c>
      <c r="B1812" s="29">
        <v>3278.81</v>
      </c>
      <c r="C1812" s="30" t="s">
        <v>2735</v>
      </c>
      <c r="D1812" s="2">
        <v>4950874848</v>
      </c>
      <c r="E1812" s="2" t="s">
        <v>14</v>
      </c>
      <c r="F1812" s="2" t="s">
        <v>2736</v>
      </c>
      <c r="G1812" s="28" t="s">
        <v>13</v>
      </c>
      <c r="H1812" s="2" t="s">
        <v>23</v>
      </c>
      <c r="I1812" s="2">
        <v>2</v>
      </c>
      <c r="J1812" s="2"/>
      <c r="K1812" s="2">
        <f>1755.2+113</f>
        <v>1868.2</v>
      </c>
      <c r="L1812" s="35">
        <f t="shared" si="95"/>
        <v>6125472.8420000002</v>
      </c>
      <c r="M1812" s="36">
        <v>40</v>
      </c>
      <c r="N1812" s="40">
        <v>1129870</v>
      </c>
      <c r="O1812" s="40">
        <v>0</v>
      </c>
      <c r="P1812" s="40">
        <v>0</v>
      </c>
      <c r="Q1812" s="40">
        <v>0</v>
      </c>
      <c r="R1812" s="40">
        <v>5966</v>
      </c>
      <c r="S1812" s="40">
        <v>354356</v>
      </c>
      <c r="T1812" s="40">
        <v>30000</v>
      </c>
      <c r="U1812" s="40">
        <v>4830.98039215686</v>
      </c>
      <c r="V1812" s="40">
        <v>0</v>
      </c>
      <c r="W1812" s="45">
        <f t="shared" si="96"/>
        <v>1525022.9803921569</v>
      </c>
      <c r="X1812" s="46">
        <f t="shared" si="97"/>
        <v>24.896412403229736</v>
      </c>
    </row>
    <row r="1813" spans="1:24" s="4" customFormat="1" ht="15" customHeight="1">
      <c r="A1813" s="28" t="s">
        <v>2682</v>
      </c>
      <c r="B1813" s="29">
        <v>3278.81</v>
      </c>
      <c r="C1813" s="30" t="s">
        <v>2737</v>
      </c>
      <c r="D1813" s="2">
        <v>4951179419</v>
      </c>
      <c r="E1813" s="2" t="s">
        <v>14</v>
      </c>
      <c r="F1813" s="2" t="s">
        <v>2738</v>
      </c>
      <c r="G1813" s="28" t="s">
        <v>13</v>
      </c>
      <c r="H1813" s="2" t="s">
        <v>23</v>
      </c>
      <c r="I1813" s="2">
        <v>1</v>
      </c>
      <c r="J1813" s="2"/>
      <c r="K1813" s="2">
        <v>415.84</v>
      </c>
      <c r="L1813" s="35">
        <f t="shared" si="95"/>
        <v>1363460.3503999999</v>
      </c>
      <c r="M1813" s="36">
        <v>0.5</v>
      </c>
      <c r="N1813" s="40">
        <v>312804</v>
      </c>
      <c r="O1813" s="40">
        <v>0</v>
      </c>
      <c r="P1813" s="40">
        <v>0</v>
      </c>
      <c r="Q1813" s="40">
        <v>0</v>
      </c>
      <c r="R1813" s="40">
        <v>1251</v>
      </c>
      <c r="S1813" s="40">
        <v>354356</v>
      </c>
      <c r="T1813" s="40">
        <v>30000</v>
      </c>
      <c r="U1813" s="40">
        <v>4039.01639344262</v>
      </c>
      <c r="V1813" s="40">
        <v>0</v>
      </c>
      <c r="W1813" s="45">
        <f t="shared" si="96"/>
        <v>702450.01639344264</v>
      </c>
      <c r="X1813" s="46">
        <f t="shared" si="97"/>
        <v>51.519651171914468</v>
      </c>
    </row>
    <row r="1814" spans="1:24" s="4" customFormat="1" ht="15" customHeight="1">
      <c r="A1814" s="28" t="s">
        <v>2682</v>
      </c>
      <c r="B1814" s="29">
        <v>3278.81</v>
      </c>
      <c r="C1814" s="30" t="s">
        <v>2739</v>
      </c>
      <c r="D1814" s="2">
        <v>4951079973</v>
      </c>
      <c r="E1814" s="2" t="s">
        <v>14</v>
      </c>
      <c r="F1814" s="78" t="s">
        <v>2740</v>
      </c>
      <c r="G1814" s="28" t="s">
        <v>13</v>
      </c>
      <c r="H1814" s="2" t="s">
        <v>23</v>
      </c>
      <c r="I1814" s="2">
        <v>1</v>
      </c>
      <c r="J1814" s="2"/>
      <c r="K1814" s="2">
        <f>401.75+7015</f>
        <v>7416.75</v>
      </c>
      <c r="L1814" s="35">
        <f t="shared" si="95"/>
        <v>24318114.067499999</v>
      </c>
      <c r="M1814" s="36">
        <v>25</v>
      </c>
      <c r="N1814" s="40">
        <v>1123847</v>
      </c>
      <c r="O1814" s="40">
        <v>0</v>
      </c>
      <c r="P1814" s="40">
        <v>0</v>
      </c>
      <c r="Q1814" s="40">
        <v>0</v>
      </c>
      <c r="R1814" s="40">
        <v>5393</v>
      </c>
      <c r="S1814" s="40">
        <v>354356</v>
      </c>
      <c r="T1814" s="40">
        <v>30000</v>
      </c>
      <c r="U1814" s="40">
        <v>246380</v>
      </c>
      <c r="V1814" s="40">
        <v>0</v>
      </c>
      <c r="W1814" s="45">
        <f t="shared" si="96"/>
        <v>1759976</v>
      </c>
      <c r="X1814" s="46">
        <f t="shared" si="97"/>
        <v>7.2373046491797002</v>
      </c>
    </row>
    <row r="1815" spans="1:24" s="4" customFormat="1" ht="15" customHeight="1">
      <c r="A1815" s="28" t="s">
        <v>2682</v>
      </c>
      <c r="B1815" s="29">
        <v>3278.81</v>
      </c>
      <c r="C1815" s="30" t="s">
        <v>2741</v>
      </c>
      <c r="D1815" s="2">
        <v>4951241156</v>
      </c>
      <c r="E1815" s="2" t="s">
        <v>33</v>
      </c>
      <c r="F1815" s="78" t="s">
        <v>2742</v>
      </c>
      <c r="G1815" s="28" t="s">
        <v>13</v>
      </c>
      <c r="H1815" s="2" t="s">
        <v>23</v>
      </c>
      <c r="I1815" s="2">
        <v>1</v>
      </c>
      <c r="J1815" s="2"/>
      <c r="K1815" s="2">
        <f>1180+3131</f>
        <v>4311</v>
      </c>
      <c r="L1815" s="35">
        <f t="shared" si="95"/>
        <v>14134949.91</v>
      </c>
      <c r="M1815" s="36">
        <v>1000</v>
      </c>
      <c r="N1815" s="40">
        <v>1414902</v>
      </c>
      <c r="O1815" s="40">
        <v>0</v>
      </c>
      <c r="P1815" s="40">
        <v>0</v>
      </c>
      <c r="Q1815" s="40">
        <v>0</v>
      </c>
      <c r="R1815" s="40">
        <v>45747</v>
      </c>
      <c r="S1815" s="40">
        <v>354356</v>
      </c>
      <c r="T1815" s="40"/>
      <c r="U1815" s="40">
        <v>246380</v>
      </c>
      <c r="V1815" s="40">
        <v>0</v>
      </c>
      <c r="W1815" s="45">
        <f t="shared" si="96"/>
        <v>2061385</v>
      </c>
      <c r="X1815" s="46">
        <f t="shared" si="97"/>
        <v>14.583603147695909</v>
      </c>
    </row>
    <row r="1816" spans="1:24" s="4" customFormat="1" ht="15" customHeight="1">
      <c r="A1816" s="28" t="s">
        <v>2682</v>
      </c>
      <c r="B1816" s="29">
        <v>3278.81</v>
      </c>
      <c r="C1816" s="30" t="s">
        <v>2743</v>
      </c>
      <c r="D1816" s="2">
        <v>4950133763</v>
      </c>
      <c r="E1816" s="2" t="s">
        <v>24</v>
      </c>
      <c r="F1816" s="2" t="s">
        <v>2744</v>
      </c>
      <c r="G1816" s="28" t="s">
        <v>9</v>
      </c>
      <c r="H1816" s="2" t="s">
        <v>23</v>
      </c>
      <c r="I1816" s="2">
        <v>4</v>
      </c>
      <c r="J1816" s="2"/>
      <c r="K1816" s="2">
        <v>6208</v>
      </c>
      <c r="L1816" s="35">
        <f t="shared" si="95"/>
        <v>20354852.48</v>
      </c>
      <c r="M1816" s="36">
        <f>1600+1600</f>
        <v>3200</v>
      </c>
      <c r="N1816" s="40">
        <v>730954</v>
      </c>
      <c r="O1816" s="40">
        <v>0</v>
      </c>
      <c r="P1816" s="40">
        <v>60468</v>
      </c>
      <c r="Q1816" s="40">
        <v>50383</v>
      </c>
      <c r="R1816" s="40">
        <v>62232</v>
      </c>
      <c r="S1816" s="40">
        <v>354356</v>
      </c>
      <c r="T1816" s="40"/>
      <c r="U1816" s="40">
        <v>557750</v>
      </c>
      <c r="V1816" s="40">
        <v>0</v>
      </c>
      <c r="W1816" s="45">
        <f t="shared" si="96"/>
        <v>1816143</v>
      </c>
      <c r="X1816" s="46">
        <f t="shared" si="97"/>
        <v>8.9224080684666305</v>
      </c>
    </row>
    <row r="1817" spans="1:24" s="4" customFormat="1" ht="15" customHeight="1">
      <c r="A1817" s="28" t="s">
        <v>2682</v>
      </c>
      <c r="B1817" s="29">
        <v>3278.81</v>
      </c>
      <c r="C1817" s="30" t="s">
        <v>2745</v>
      </c>
      <c r="D1817" s="2">
        <v>4950896342</v>
      </c>
      <c r="E1817" s="2" t="s">
        <v>14</v>
      </c>
      <c r="F1817" s="2" t="s">
        <v>2746</v>
      </c>
      <c r="G1817" s="28" t="s">
        <v>5</v>
      </c>
      <c r="H1817" s="2" t="s">
        <v>20</v>
      </c>
      <c r="I1817" s="2">
        <v>1</v>
      </c>
      <c r="J1817" s="2" t="s">
        <v>2747</v>
      </c>
      <c r="K1817" s="2">
        <v>8040</v>
      </c>
      <c r="L1817" s="35">
        <f t="shared" si="95"/>
        <v>26361632.399999999</v>
      </c>
      <c r="M1817" s="36">
        <v>4000</v>
      </c>
      <c r="N1817" s="40">
        <v>497434</v>
      </c>
      <c r="O1817" s="40">
        <v>332157</v>
      </c>
      <c r="P1817" s="40">
        <v>0</v>
      </c>
      <c r="Q1817" s="40">
        <v>110000</v>
      </c>
      <c r="R1817" s="40">
        <v>554939</v>
      </c>
      <c r="S1817" s="40">
        <v>354356</v>
      </c>
      <c r="T1817" s="40">
        <v>30000</v>
      </c>
      <c r="U1817" s="40">
        <v>2619000</v>
      </c>
      <c r="V1817" s="40">
        <v>0</v>
      </c>
      <c r="W1817" s="45">
        <f t="shared" si="96"/>
        <v>4497886</v>
      </c>
      <c r="X1817" s="46">
        <f t="shared" si="97"/>
        <v>17.062243838890645</v>
      </c>
    </row>
    <row r="1818" spans="1:24" s="4" customFormat="1" ht="15" customHeight="1">
      <c r="A1818" s="28" t="s">
        <v>2682</v>
      </c>
      <c r="B1818" s="29">
        <v>3278.81</v>
      </c>
      <c r="C1818" s="30" t="s">
        <v>2748</v>
      </c>
      <c r="D1818" s="2">
        <v>4950758959</v>
      </c>
      <c r="E1818" s="2" t="s">
        <v>18</v>
      </c>
      <c r="F1818" s="2" t="s">
        <v>2749</v>
      </c>
      <c r="G1818" s="28" t="s">
        <v>5</v>
      </c>
      <c r="H1818" s="2" t="s">
        <v>17</v>
      </c>
      <c r="I1818" s="2">
        <v>1</v>
      </c>
      <c r="J1818" s="2" t="s">
        <v>2750</v>
      </c>
      <c r="K1818" s="2">
        <v>68160</v>
      </c>
      <c r="L1818" s="35">
        <f t="shared" si="95"/>
        <v>223483689.59999999</v>
      </c>
      <c r="M1818" s="36">
        <v>16000</v>
      </c>
      <c r="N1818" s="40">
        <v>335608</v>
      </c>
      <c r="O1818" s="40">
        <v>435751</v>
      </c>
      <c r="P1818" s="40">
        <v>0</v>
      </c>
      <c r="Q1818" s="40">
        <v>110000</v>
      </c>
      <c r="R1818" s="40">
        <v>656912</v>
      </c>
      <c r="S1818" s="40">
        <v>354356</v>
      </c>
      <c r="T1818" s="40">
        <v>30000</v>
      </c>
      <c r="U1818" s="40">
        <v>5446550</v>
      </c>
      <c r="V1818" s="40">
        <v>0</v>
      </c>
      <c r="W1818" s="45">
        <f t="shared" si="96"/>
        <v>7369177</v>
      </c>
      <c r="X1818" s="46">
        <f t="shared" si="97"/>
        <v>3.2974115530263735</v>
      </c>
    </row>
    <row r="1819" spans="1:24" s="4" customFormat="1" ht="15" customHeight="1">
      <c r="A1819" s="28" t="s">
        <v>2682</v>
      </c>
      <c r="B1819" s="29">
        <v>3278.81</v>
      </c>
      <c r="C1819" s="30" t="s">
        <v>2751</v>
      </c>
      <c r="D1819" s="2">
        <v>4950272192</v>
      </c>
      <c r="E1819" s="2" t="s">
        <v>14</v>
      </c>
      <c r="F1819" s="2" t="s">
        <v>2752</v>
      </c>
      <c r="G1819" s="28" t="s">
        <v>5</v>
      </c>
      <c r="H1819" s="2" t="s">
        <v>20</v>
      </c>
      <c r="I1819" s="2">
        <v>1</v>
      </c>
      <c r="J1819" s="2" t="s">
        <v>2753</v>
      </c>
      <c r="K1819" s="2">
        <v>11721.6</v>
      </c>
      <c r="L1819" s="35">
        <f t="shared" si="95"/>
        <v>38432899.296000004</v>
      </c>
      <c r="M1819" s="36">
        <f>360+6840+720</f>
        <v>7920</v>
      </c>
      <c r="N1819" s="40">
        <v>399316</v>
      </c>
      <c r="O1819" s="40">
        <v>332157</v>
      </c>
      <c r="P1819" s="40">
        <v>0</v>
      </c>
      <c r="Q1819" s="40">
        <v>110000</v>
      </c>
      <c r="R1819" s="40">
        <v>625828</v>
      </c>
      <c r="S1819" s="40">
        <v>354356</v>
      </c>
      <c r="T1819" s="40">
        <v>30000</v>
      </c>
      <c r="U1819" s="40">
        <v>2900300</v>
      </c>
      <c r="V1819" s="40">
        <v>0</v>
      </c>
      <c r="W1819" s="45">
        <f t="shared" si="96"/>
        <v>4751957</v>
      </c>
      <c r="X1819" s="46">
        <f t="shared" si="97"/>
        <v>12.364294880283913</v>
      </c>
    </row>
    <row r="1820" spans="1:24" s="4" customFormat="1" ht="15" customHeight="1">
      <c r="A1820" s="28" t="s">
        <v>2682</v>
      </c>
      <c r="B1820" s="29">
        <v>3278.81</v>
      </c>
      <c r="C1820" s="30" t="s">
        <v>2754</v>
      </c>
      <c r="D1820" s="2">
        <v>4950282867</v>
      </c>
      <c r="E1820" s="2" t="s">
        <v>18</v>
      </c>
      <c r="F1820" s="2" t="s">
        <v>2755</v>
      </c>
      <c r="G1820" s="28" t="s">
        <v>5</v>
      </c>
      <c r="H1820" s="2" t="s">
        <v>17</v>
      </c>
      <c r="I1820" s="2">
        <v>1</v>
      </c>
      <c r="J1820" s="2" t="s">
        <v>2756</v>
      </c>
      <c r="K1820" s="2">
        <v>68160</v>
      </c>
      <c r="L1820" s="35">
        <f t="shared" si="95"/>
        <v>223483689.59999999</v>
      </c>
      <c r="M1820" s="36">
        <v>16000</v>
      </c>
      <c r="N1820" s="40">
        <v>399316</v>
      </c>
      <c r="O1820" s="40">
        <v>435751</v>
      </c>
      <c r="P1820" s="40">
        <v>0</v>
      </c>
      <c r="Q1820" s="40">
        <v>110000</v>
      </c>
      <c r="R1820" s="40">
        <v>752448</v>
      </c>
      <c r="S1820" s="40">
        <v>354356</v>
      </c>
      <c r="T1820" s="40">
        <v>30000</v>
      </c>
      <c r="U1820" s="40">
        <v>5446550</v>
      </c>
      <c r="V1820" s="40">
        <v>0</v>
      </c>
      <c r="W1820" s="45">
        <f t="shared" si="96"/>
        <v>7528421</v>
      </c>
      <c r="X1820" s="46">
        <f t="shared" si="97"/>
        <v>3.3686668648950029</v>
      </c>
    </row>
    <row r="1821" spans="1:24" s="4" customFormat="1" ht="15" customHeight="1">
      <c r="A1821" s="28" t="s">
        <v>2682</v>
      </c>
      <c r="B1821" s="29">
        <v>3278.81</v>
      </c>
      <c r="C1821" s="30" t="s">
        <v>2757</v>
      </c>
      <c r="D1821" s="2">
        <v>4950949740</v>
      </c>
      <c r="E1821" s="2" t="s">
        <v>24</v>
      </c>
      <c r="F1821" s="2" t="s">
        <v>2758</v>
      </c>
      <c r="G1821" s="28" t="s">
        <v>5</v>
      </c>
      <c r="H1821" s="2" t="s">
        <v>20</v>
      </c>
      <c r="I1821" s="2">
        <v>1</v>
      </c>
      <c r="J1821" s="2" t="s">
        <v>2759</v>
      </c>
      <c r="K1821" s="2">
        <v>12378.78</v>
      </c>
      <c r="L1821" s="35">
        <f t="shared" si="95"/>
        <v>40587667.651799999</v>
      </c>
      <c r="M1821" s="36">
        <v>3077</v>
      </c>
      <c r="N1821" s="40">
        <v>343614</v>
      </c>
      <c r="O1821" s="40">
        <v>332157</v>
      </c>
      <c r="P1821" s="40">
        <v>0</v>
      </c>
      <c r="Q1821" s="40">
        <v>110000</v>
      </c>
      <c r="R1821" s="40">
        <v>564435</v>
      </c>
      <c r="S1821" s="40">
        <v>354356</v>
      </c>
      <c r="T1821" s="40"/>
      <c r="U1821" s="40">
        <v>2619000</v>
      </c>
      <c r="V1821" s="40">
        <v>0</v>
      </c>
      <c r="W1821" s="45">
        <f t="shared" si="96"/>
        <v>4323562</v>
      </c>
      <c r="X1821" s="46">
        <f t="shared" si="97"/>
        <v>10.652403180916105</v>
      </c>
    </row>
    <row r="1822" spans="1:24" s="4" customFormat="1" ht="15" customHeight="1">
      <c r="A1822" s="28" t="s">
        <v>2682</v>
      </c>
      <c r="B1822" s="29">
        <v>3278.81</v>
      </c>
      <c r="C1822" s="30" t="s">
        <v>2760</v>
      </c>
      <c r="D1822" s="2">
        <v>4949532982</v>
      </c>
      <c r="E1822" s="2" t="s">
        <v>14</v>
      </c>
      <c r="F1822" s="2" t="s">
        <v>2761</v>
      </c>
      <c r="G1822" s="28" t="s">
        <v>5</v>
      </c>
      <c r="H1822" s="2" t="s">
        <v>17</v>
      </c>
      <c r="I1822" s="2">
        <v>1</v>
      </c>
      <c r="J1822" s="2" t="s">
        <v>2762</v>
      </c>
      <c r="K1822" s="2">
        <v>1488</v>
      </c>
      <c r="L1822" s="35">
        <f t="shared" si="95"/>
        <v>4878869.28</v>
      </c>
      <c r="M1822" s="36">
        <v>200</v>
      </c>
      <c r="N1822" s="40">
        <v>4803.8015037593996</v>
      </c>
      <c r="O1822" s="40">
        <v>5242.1172932330801</v>
      </c>
      <c r="P1822" s="40">
        <v>0</v>
      </c>
      <c r="Q1822" s="40">
        <v>1323.30827067669</v>
      </c>
      <c r="R1822" s="40">
        <v>7115.1639097744401</v>
      </c>
      <c r="S1822" s="40">
        <v>4262.9293233082699</v>
      </c>
      <c r="T1822" s="40">
        <v>30000</v>
      </c>
      <c r="U1822" s="40">
        <v>65522.406015037603</v>
      </c>
      <c r="V1822" s="40">
        <v>0</v>
      </c>
      <c r="W1822" s="45">
        <f t="shared" si="96"/>
        <v>118269.72631578948</v>
      </c>
      <c r="X1822" s="46">
        <f t="shared" si="97"/>
        <v>2.4241216463948683</v>
      </c>
    </row>
    <row r="1823" spans="1:24" s="4" customFormat="1" ht="15" customHeight="1">
      <c r="A1823" s="28" t="s">
        <v>2682</v>
      </c>
      <c r="B1823" s="29">
        <v>3278.81</v>
      </c>
      <c r="C1823" s="30" t="s">
        <v>2760</v>
      </c>
      <c r="D1823" s="2">
        <v>4950585741</v>
      </c>
      <c r="E1823" s="2" t="s">
        <v>14</v>
      </c>
      <c r="F1823" s="2" t="s">
        <v>2761</v>
      </c>
      <c r="G1823" s="28" t="s">
        <v>5</v>
      </c>
      <c r="H1823" s="2" t="s">
        <v>17</v>
      </c>
      <c r="I1823" s="2">
        <v>1</v>
      </c>
      <c r="J1823" s="2" t="s">
        <v>2762</v>
      </c>
      <c r="K1823" s="2">
        <v>150</v>
      </c>
      <c r="L1823" s="35">
        <f t="shared" si="95"/>
        <v>491821.5</v>
      </c>
      <c r="M1823" s="36">
        <v>150</v>
      </c>
      <c r="N1823" s="40">
        <v>3602.8511278195501</v>
      </c>
      <c r="O1823" s="40">
        <v>3931.5879699248098</v>
      </c>
      <c r="P1823" s="40">
        <v>0</v>
      </c>
      <c r="Q1823" s="40">
        <v>992.48120300751896</v>
      </c>
      <c r="R1823" s="40">
        <v>5336.3729323308298</v>
      </c>
      <c r="S1823" s="40">
        <v>3197.1969924812001</v>
      </c>
      <c r="T1823" s="40">
        <v>30000</v>
      </c>
      <c r="U1823" s="40">
        <v>49141.804511278198</v>
      </c>
      <c r="V1823" s="40">
        <v>0</v>
      </c>
      <c r="W1823" s="45">
        <f t="shared" si="96"/>
        <v>96202.294736842101</v>
      </c>
      <c r="X1823" s="46">
        <f t="shared" si="97"/>
        <v>19.560408550021116</v>
      </c>
    </row>
    <row r="1824" spans="1:24" s="4" customFormat="1" ht="15" customHeight="1">
      <c r="A1824" s="28" t="s">
        <v>2682</v>
      </c>
      <c r="B1824" s="29">
        <v>3278.81</v>
      </c>
      <c r="C1824" s="30" t="s">
        <v>2760</v>
      </c>
      <c r="D1824" s="2">
        <v>4950585741</v>
      </c>
      <c r="E1824" s="2" t="s">
        <v>14</v>
      </c>
      <c r="F1824" s="2" t="s">
        <v>2761</v>
      </c>
      <c r="G1824" s="28" t="s">
        <v>5</v>
      </c>
      <c r="H1824" s="2" t="s">
        <v>17</v>
      </c>
      <c r="I1824" s="2">
        <v>1</v>
      </c>
      <c r="J1824" s="2" t="s">
        <v>2762</v>
      </c>
      <c r="K1824" s="2">
        <v>7096</v>
      </c>
      <c r="L1824" s="35">
        <f t="shared" si="95"/>
        <v>23266435.759999998</v>
      </c>
      <c r="M1824" s="36">
        <v>800</v>
      </c>
      <c r="N1824" s="40">
        <v>19215.206015037598</v>
      </c>
      <c r="O1824" s="40">
        <v>20968.469172932299</v>
      </c>
      <c r="P1824" s="40">
        <v>0</v>
      </c>
      <c r="Q1824" s="40">
        <v>5293.2330827067699</v>
      </c>
      <c r="R1824" s="40">
        <v>28460.655639097698</v>
      </c>
      <c r="S1824" s="40">
        <v>17051.717293233101</v>
      </c>
      <c r="T1824" s="40">
        <v>30000</v>
      </c>
      <c r="U1824" s="40">
        <v>262089.62406015</v>
      </c>
      <c r="V1824" s="40">
        <v>0</v>
      </c>
      <c r="W1824" s="45">
        <f t="shared" si="96"/>
        <v>383078.90526315745</v>
      </c>
      <c r="X1824" s="46">
        <f t="shared" si="97"/>
        <v>1.6464872798512282</v>
      </c>
    </row>
    <row r="1825" spans="1:24" s="4" customFormat="1" ht="15" customHeight="1">
      <c r="A1825" s="28" t="s">
        <v>2682</v>
      </c>
      <c r="B1825" s="29">
        <v>3278.81</v>
      </c>
      <c r="C1825" s="30" t="s">
        <v>2760</v>
      </c>
      <c r="D1825" s="2">
        <v>4950722780</v>
      </c>
      <c r="E1825" s="2" t="s">
        <v>14</v>
      </c>
      <c r="F1825" s="2" t="s">
        <v>2761</v>
      </c>
      <c r="G1825" s="28" t="s">
        <v>5</v>
      </c>
      <c r="H1825" s="2" t="s">
        <v>17</v>
      </c>
      <c r="I1825" s="2">
        <v>1</v>
      </c>
      <c r="J1825" s="2" t="s">
        <v>2762</v>
      </c>
      <c r="K1825" s="2">
        <v>2158.8000000000002</v>
      </c>
      <c r="L1825" s="35">
        <f t="shared" si="95"/>
        <v>7078295.0280000009</v>
      </c>
      <c r="M1825" s="36">
        <v>420</v>
      </c>
      <c r="N1825" s="40">
        <v>10087.9831578947</v>
      </c>
      <c r="O1825" s="40">
        <v>11008.446315789501</v>
      </c>
      <c r="P1825" s="40">
        <v>0</v>
      </c>
      <c r="Q1825" s="40">
        <v>2778.9473684210502</v>
      </c>
      <c r="R1825" s="40">
        <v>14941.8442105263</v>
      </c>
      <c r="S1825" s="40">
        <v>8952.1515789473706</v>
      </c>
      <c r="T1825" s="40">
        <v>30000</v>
      </c>
      <c r="U1825" s="40">
        <v>137597.05263157899</v>
      </c>
      <c r="V1825" s="40">
        <v>0</v>
      </c>
      <c r="W1825" s="45">
        <f t="shared" si="96"/>
        <v>215366.4252631579</v>
      </c>
      <c r="X1825" s="46">
        <f t="shared" si="97"/>
        <v>3.0426313739568793</v>
      </c>
    </row>
    <row r="1826" spans="1:24" s="4" customFormat="1" ht="15" customHeight="1">
      <c r="A1826" s="28" t="s">
        <v>2682</v>
      </c>
      <c r="B1826" s="29">
        <v>3278.81</v>
      </c>
      <c r="C1826" s="30" t="s">
        <v>2760</v>
      </c>
      <c r="D1826" s="2">
        <v>4950726654</v>
      </c>
      <c r="E1826" s="2" t="s">
        <v>14</v>
      </c>
      <c r="F1826" s="2" t="s">
        <v>2761</v>
      </c>
      <c r="G1826" s="28" t="s">
        <v>5</v>
      </c>
      <c r="H1826" s="2" t="s">
        <v>17</v>
      </c>
      <c r="I1826" s="2">
        <v>1</v>
      </c>
      <c r="J1826" s="2" t="s">
        <v>2762</v>
      </c>
      <c r="K1826" s="2">
        <v>2492.6999999999998</v>
      </c>
      <c r="L1826" s="35">
        <f t="shared" si="95"/>
        <v>8173089.686999999</v>
      </c>
      <c r="M1826" s="36">
        <v>700</v>
      </c>
      <c r="N1826" s="40">
        <v>16813.305263157901</v>
      </c>
      <c r="O1826" s="40">
        <v>18347.410526315802</v>
      </c>
      <c r="P1826" s="40">
        <v>0</v>
      </c>
      <c r="Q1826" s="40">
        <v>4631.5789473684199</v>
      </c>
      <c r="R1826" s="40">
        <v>24903.0736842105</v>
      </c>
      <c r="S1826" s="40">
        <v>14920.2526315789</v>
      </c>
      <c r="T1826" s="40">
        <v>30000</v>
      </c>
      <c r="U1826" s="40">
        <v>229328.42105263201</v>
      </c>
      <c r="V1826" s="40">
        <v>0</v>
      </c>
      <c r="W1826" s="45">
        <f t="shared" si="96"/>
        <v>338944.04210526356</v>
      </c>
      <c r="X1826" s="46">
        <f t="shared" si="97"/>
        <v>4.1470735680826207</v>
      </c>
    </row>
    <row r="1827" spans="1:24" s="4" customFormat="1" ht="15" customHeight="1">
      <c r="A1827" s="28" t="s">
        <v>2682</v>
      </c>
      <c r="B1827" s="29">
        <v>3278.81</v>
      </c>
      <c r="C1827" s="30" t="s">
        <v>2760</v>
      </c>
      <c r="D1827" s="2">
        <v>4950058287</v>
      </c>
      <c r="E1827" s="2" t="s">
        <v>14</v>
      </c>
      <c r="F1827" s="2" t="s">
        <v>2761</v>
      </c>
      <c r="G1827" s="28" t="s">
        <v>5</v>
      </c>
      <c r="H1827" s="2" t="s">
        <v>17</v>
      </c>
      <c r="I1827" s="2">
        <v>1</v>
      </c>
      <c r="J1827" s="2" t="s">
        <v>2762</v>
      </c>
      <c r="K1827" s="2">
        <v>904.8</v>
      </c>
      <c r="L1827" s="35">
        <f t="shared" si="95"/>
        <v>2966667.2879999997</v>
      </c>
      <c r="M1827" s="36">
        <v>30</v>
      </c>
      <c r="N1827" s="40">
        <v>720.57022556390996</v>
      </c>
      <c r="O1827" s="40">
        <v>786.31759398496195</v>
      </c>
      <c r="P1827" s="40">
        <v>0</v>
      </c>
      <c r="Q1827" s="40">
        <v>198.49624060150401</v>
      </c>
      <c r="R1827" s="40">
        <v>1067.2745864661699</v>
      </c>
      <c r="S1827" s="40">
        <v>639.43939849624098</v>
      </c>
      <c r="T1827" s="40">
        <v>30000</v>
      </c>
      <c r="U1827" s="40">
        <v>9828.3609022556393</v>
      </c>
      <c r="V1827" s="40">
        <v>0</v>
      </c>
      <c r="W1827" s="45">
        <f t="shared" si="96"/>
        <v>43240.458947368425</v>
      </c>
      <c r="X1827" s="46">
        <f t="shared" si="97"/>
        <v>1.457543254758416</v>
      </c>
    </row>
    <row r="1828" spans="1:24" s="4" customFormat="1" ht="15" customHeight="1">
      <c r="A1828" s="28" t="s">
        <v>2682</v>
      </c>
      <c r="B1828" s="29">
        <v>3278.81</v>
      </c>
      <c r="C1828" s="30" t="s">
        <v>2760</v>
      </c>
      <c r="D1828" s="2">
        <v>4950058296</v>
      </c>
      <c r="E1828" s="2" t="s">
        <v>14</v>
      </c>
      <c r="F1828" s="2" t="s">
        <v>2761</v>
      </c>
      <c r="G1828" s="28" t="s">
        <v>5</v>
      </c>
      <c r="H1828" s="2" t="s">
        <v>17</v>
      </c>
      <c r="I1828" s="2">
        <v>1</v>
      </c>
      <c r="J1828" s="2" t="s">
        <v>2762</v>
      </c>
      <c r="K1828" s="2">
        <v>2427.1999999999998</v>
      </c>
      <c r="L1828" s="35">
        <f t="shared" si="95"/>
        <v>7958327.6319999993</v>
      </c>
      <c r="M1828" s="36">
        <v>820</v>
      </c>
      <c r="N1828" s="40">
        <v>19695.586165413501</v>
      </c>
      <c r="O1828" s="40">
        <v>21492.680902255601</v>
      </c>
      <c r="P1828" s="40">
        <v>0</v>
      </c>
      <c r="Q1828" s="40">
        <v>5425.5639097744397</v>
      </c>
      <c r="R1828" s="40">
        <v>29172.172030075199</v>
      </c>
      <c r="S1828" s="40">
        <v>17478.010225563899</v>
      </c>
      <c r="T1828" s="40">
        <v>30000</v>
      </c>
      <c r="U1828" s="40">
        <v>268641.86466165399</v>
      </c>
      <c r="V1828" s="40">
        <v>0</v>
      </c>
      <c r="W1828" s="45">
        <f t="shared" si="96"/>
        <v>391905.87789473659</v>
      </c>
      <c r="X1828" s="46">
        <f t="shared" si="97"/>
        <v>4.9244752920061314</v>
      </c>
    </row>
    <row r="1829" spans="1:24" s="4" customFormat="1" ht="15" customHeight="1">
      <c r="A1829" s="28" t="s">
        <v>2682</v>
      </c>
      <c r="B1829" s="29">
        <v>3278.81</v>
      </c>
      <c r="C1829" s="30" t="s">
        <v>2760</v>
      </c>
      <c r="D1829" s="2">
        <v>4950058296</v>
      </c>
      <c r="E1829" s="2" t="s">
        <v>14</v>
      </c>
      <c r="F1829" s="2" t="s">
        <v>2761</v>
      </c>
      <c r="G1829" s="28" t="s">
        <v>5</v>
      </c>
      <c r="H1829" s="2" t="s">
        <v>17</v>
      </c>
      <c r="I1829" s="2">
        <v>1</v>
      </c>
      <c r="J1829" s="2" t="s">
        <v>2762</v>
      </c>
      <c r="K1829" s="2">
        <v>5953.5</v>
      </c>
      <c r="L1829" s="35">
        <f t="shared" si="95"/>
        <v>19520395.335000001</v>
      </c>
      <c r="M1829" s="36">
        <v>1575</v>
      </c>
      <c r="N1829" s="40">
        <v>37829.9368421053</v>
      </c>
      <c r="O1829" s="40">
        <v>41281.673684210502</v>
      </c>
      <c r="P1829" s="40">
        <v>0</v>
      </c>
      <c r="Q1829" s="40">
        <v>10421.052631578899</v>
      </c>
      <c r="R1829" s="40">
        <v>56031.9157894737</v>
      </c>
      <c r="S1829" s="40">
        <v>33570.568421052601</v>
      </c>
      <c r="T1829" s="40">
        <v>30000</v>
      </c>
      <c r="U1829" s="40">
        <v>515988.94736842101</v>
      </c>
      <c r="V1829" s="40">
        <v>0</v>
      </c>
      <c r="W1829" s="45">
        <f t="shared" si="96"/>
        <v>725124.09473684197</v>
      </c>
      <c r="X1829" s="46">
        <f t="shared" si="97"/>
        <v>3.7146998423576854</v>
      </c>
    </row>
    <row r="1830" spans="1:24" s="4" customFormat="1" ht="15" customHeight="1">
      <c r="A1830" s="28" t="s">
        <v>2682</v>
      </c>
      <c r="B1830" s="29">
        <v>3278.81</v>
      </c>
      <c r="C1830" s="30" t="s">
        <v>2760</v>
      </c>
      <c r="D1830" s="2">
        <v>4950058296</v>
      </c>
      <c r="E1830" s="2" t="s">
        <v>14</v>
      </c>
      <c r="F1830" s="2" t="s">
        <v>2761</v>
      </c>
      <c r="G1830" s="28" t="s">
        <v>5</v>
      </c>
      <c r="H1830" s="2" t="s">
        <v>17</v>
      </c>
      <c r="I1830" s="2">
        <v>1</v>
      </c>
      <c r="J1830" s="2" t="s">
        <v>2762</v>
      </c>
      <c r="K1830" s="2">
        <v>8844</v>
      </c>
      <c r="L1830" s="35">
        <f t="shared" si="95"/>
        <v>28997795.640000001</v>
      </c>
      <c r="M1830" s="36">
        <v>2640</v>
      </c>
      <c r="N1830" s="40">
        <v>63410.179849624103</v>
      </c>
      <c r="O1830" s="40">
        <v>69195.948270676701</v>
      </c>
      <c r="P1830" s="40">
        <v>0</v>
      </c>
      <c r="Q1830" s="40">
        <v>17467.669172932299</v>
      </c>
      <c r="R1830" s="40">
        <v>93920.163609022595</v>
      </c>
      <c r="S1830" s="40">
        <v>56270.667067669201</v>
      </c>
      <c r="T1830" s="40">
        <v>30000</v>
      </c>
      <c r="U1830" s="40">
        <v>864895.75939849601</v>
      </c>
      <c r="V1830" s="40">
        <v>0</v>
      </c>
      <c r="W1830" s="45">
        <f t="shared" si="96"/>
        <v>1195160.3873684208</v>
      </c>
      <c r="X1830" s="46">
        <f t="shared" si="97"/>
        <v>4.1215560044840043</v>
      </c>
    </row>
    <row r="1831" spans="1:24" s="4" customFormat="1" ht="15" customHeight="1">
      <c r="A1831" s="28" t="s">
        <v>2682</v>
      </c>
      <c r="B1831" s="29">
        <v>3278.81</v>
      </c>
      <c r="C1831" s="30" t="s">
        <v>2760</v>
      </c>
      <c r="D1831" s="2">
        <v>4950585743</v>
      </c>
      <c r="E1831" s="2" t="s">
        <v>14</v>
      </c>
      <c r="F1831" s="2" t="s">
        <v>2761</v>
      </c>
      <c r="G1831" s="28" t="s">
        <v>5</v>
      </c>
      <c r="H1831" s="2" t="s">
        <v>17</v>
      </c>
      <c r="I1831" s="2">
        <v>1</v>
      </c>
      <c r="J1831" s="2" t="s">
        <v>2762</v>
      </c>
      <c r="K1831" s="2">
        <v>3792</v>
      </c>
      <c r="L1831" s="35">
        <f t="shared" si="95"/>
        <v>12433247.52</v>
      </c>
      <c r="M1831" s="36">
        <v>400</v>
      </c>
      <c r="N1831" s="40">
        <v>9607.6030075187991</v>
      </c>
      <c r="O1831" s="40">
        <v>10484.2345864662</v>
      </c>
      <c r="P1831" s="40">
        <v>0</v>
      </c>
      <c r="Q1831" s="40">
        <v>2646.6165413533799</v>
      </c>
      <c r="R1831" s="40">
        <v>14230.3278195489</v>
      </c>
      <c r="S1831" s="40">
        <v>8525.8586466165398</v>
      </c>
      <c r="T1831" s="40">
        <v>30000</v>
      </c>
      <c r="U1831" s="40">
        <v>131044.812030075</v>
      </c>
      <c r="V1831" s="40">
        <v>0</v>
      </c>
      <c r="W1831" s="45">
        <f t="shared" si="96"/>
        <v>206539.45263157884</v>
      </c>
      <c r="X1831" s="46">
        <f t="shared" si="97"/>
        <v>1.6611866875435521</v>
      </c>
    </row>
    <row r="1832" spans="1:24" s="4" customFormat="1" ht="15" customHeight="1">
      <c r="A1832" s="28" t="s">
        <v>2682</v>
      </c>
      <c r="B1832" s="29">
        <v>3278.81</v>
      </c>
      <c r="C1832" s="30" t="s">
        <v>2760</v>
      </c>
      <c r="D1832" s="2">
        <v>4950722780</v>
      </c>
      <c r="E1832" s="2" t="s">
        <v>14</v>
      </c>
      <c r="F1832" s="2" t="s">
        <v>2761</v>
      </c>
      <c r="G1832" s="28" t="s">
        <v>5</v>
      </c>
      <c r="H1832" s="2" t="s">
        <v>17</v>
      </c>
      <c r="I1832" s="2">
        <v>1</v>
      </c>
      <c r="J1832" s="2" t="s">
        <v>2762</v>
      </c>
      <c r="K1832" s="2">
        <v>6384</v>
      </c>
      <c r="L1832" s="35">
        <f t="shared" si="95"/>
        <v>20931923.039999999</v>
      </c>
      <c r="M1832" s="36">
        <v>2400</v>
      </c>
      <c r="N1832" s="40">
        <v>57645.618045112802</v>
      </c>
      <c r="O1832" s="40">
        <v>62905.407518797001</v>
      </c>
      <c r="P1832" s="40">
        <v>0</v>
      </c>
      <c r="Q1832" s="40">
        <v>15879.6992481203</v>
      </c>
      <c r="R1832" s="40">
        <v>85381.966917293204</v>
      </c>
      <c r="S1832" s="40">
        <v>51155.151879699297</v>
      </c>
      <c r="T1832" s="40">
        <v>30000</v>
      </c>
      <c r="U1832" s="40">
        <v>786268.87218045106</v>
      </c>
      <c r="V1832" s="40">
        <v>0</v>
      </c>
      <c r="W1832" s="45">
        <f t="shared" si="96"/>
        <v>1089236.7157894736</v>
      </c>
      <c r="X1832" s="46">
        <f t="shared" si="97"/>
        <v>5.2037106849093098</v>
      </c>
    </row>
    <row r="1833" spans="1:24" s="4" customFormat="1" ht="15" customHeight="1">
      <c r="A1833" s="28" t="s">
        <v>2682</v>
      </c>
      <c r="B1833" s="29">
        <v>3278.81</v>
      </c>
      <c r="C1833" s="30" t="s">
        <v>2760</v>
      </c>
      <c r="D1833" s="2">
        <v>4950722780</v>
      </c>
      <c r="E1833" s="2" t="s">
        <v>14</v>
      </c>
      <c r="F1833" s="2" t="s">
        <v>2761</v>
      </c>
      <c r="G1833" s="28" t="s">
        <v>5</v>
      </c>
      <c r="H1833" s="2" t="s">
        <v>17</v>
      </c>
      <c r="I1833" s="2">
        <v>1</v>
      </c>
      <c r="J1833" s="2" t="s">
        <v>2762</v>
      </c>
      <c r="K1833" s="2">
        <v>1858.2</v>
      </c>
      <c r="L1833" s="35">
        <f t="shared" si="95"/>
        <v>6092684.7419999996</v>
      </c>
      <c r="M1833" s="36">
        <v>190</v>
      </c>
      <c r="N1833" s="40">
        <v>4563.6114285714302</v>
      </c>
      <c r="O1833" s="40">
        <v>4980.0114285714299</v>
      </c>
      <c r="P1833" s="40">
        <v>0</v>
      </c>
      <c r="Q1833" s="40">
        <v>1257.1428571428601</v>
      </c>
      <c r="R1833" s="40">
        <v>6759.40571428571</v>
      </c>
      <c r="S1833" s="40">
        <v>4049.7828571428599</v>
      </c>
      <c r="T1833" s="40">
        <v>30000</v>
      </c>
      <c r="U1833" s="40">
        <v>62246.285714285703</v>
      </c>
      <c r="V1833" s="40">
        <v>0</v>
      </c>
      <c r="W1833" s="45">
        <f t="shared" si="96"/>
        <v>113856.23999999999</v>
      </c>
      <c r="X1833" s="46">
        <f t="shared" si="97"/>
        <v>1.8687367691147805</v>
      </c>
    </row>
    <row r="1834" spans="1:24" s="4" customFormat="1" ht="15" customHeight="1">
      <c r="A1834" s="28" t="s">
        <v>2682</v>
      </c>
      <c r="B1834" s="29">
        <v>3278.81</v>
      </c>
      <c r="C1834" s="30" t="s">
        <v>2760</v>
      </c>
      <c r="D1834" s="2">
        <v>4950058294</v>
      </c>
      <c r="E1834" s="2" t="s">
        <v>14</v>
      </c>
      <c r="F1834" s="2" t="s">
        <v>2761</v>
      </c>
      <c r="G1834" s="28" t="s">
        <v>5</v>
      </c>
      <c r="H1834" s="2" t="s">
        <v>17</v>
      </c>
      <c r="I1834" s="2">
        <v>1</v>
      </c>
      <c r="J1834" s="2" t="s">
        <v>2762</v>
      </c>
      <c r="K1834" s="2">
        <v>8568</v>
      </c>
      <c r="L1834" s="35">
        <f t="shared" si="95"/>
        <v>28092844.079999998</v>
      </c>
      <c r="M1834" s="36">
        <v>3600</v>
      </c>
      <c r="N1834" s="40">
        <v>86468.427067669196</v>
      </c>
      <c r="O1834" s="40">
        <v>94358.111278195502</v>
      </c>
      <c r="P1834" s="40">
        <v>0</v>
      </c>
      <c r="Q1834" s="40">
        <v>23819.548872180501</v>
      </c>
      <c r="R1834" s="40">
        <v>128072.95037594</v>
      </c>
      <c r="S1834" s="40">
        <v>76732.727819548905</v>
      </c>
      <c r="T1834" s="40">
        <v>30000</v>
      </c>
      <c r="U1834" s="40">
        <v>1179403.30827068</v>
      </c>
      <c r="V1834" s="40">
        <v>0</v>
      </c>
      <c r="W1834" s="45">
        <f t="shared" si="96"/>
        <v>1618855.0736842141</v>
      </c>
      <c r="X1834" s="46">
        <f t="shared" si="97"/>
        <v>5.7625175616758488</v>
      </c>
    </row>
    <row r="1835" spans="1:24" s="4" customFormat="1" ht="15" customHeight="1">
      <c r="A1835" s="28" t="s">
        <v>2682</v>
      </c>
      <c r="B1835" s="29">
        <v>3278.81</v>
      </c>
      <c r="C1835" s="30" t="s">
        <v>2760</v>
      </c>
      <c r="D1835" s="2">
        <v>4950280461</v>
      </c>
      <c r="E1835" s="2" t="s">
        <v>14</v>
      </c>
      <c r="F1835" s="2" t="s">
        <v>2761</v>
      </c>
      <c r="G1835" s="28" t="s">
        <v>5</v>
      </c>
      <c r="H1835" s="2" t="s">
        <v>17</v>
      </c>
      <c r="I1835" s="2">
        <v>1</v>
      </c>
      <c r="J1835" s="2" t="s">
        <v>2762</v>
      </c>
      <c r="K1835" s="2">
        <v>5913</v>
      </c>
      <c r="L1835" s="35">
        <f t="shared" si="95"/>
        <v>19387603.530000001</v>
      </c>
      <c r="M1835" s="36">
        <v>2700</v>
      </c>
      <c r="N1835" s="40">
        <v>64851.320300751897</v>
      </c>
      <c r="O1835" s="40">
        <v>70768.583458646593</v>
      </c>
      <c r="P1835" s="40">
        <v>0</v>
      </c>
      <c r="Q1835" s="40">
        <v>17864.6616541353</v>
      </c>
      <c r="R1835" s="40">
        <v>96054.712781954906</v>
      </c>
      <c r="S1835" s="40">
        <v>57549.545864661697</v>
      </c>
      <c r="T1835" s="40">
        <v>30000</v>
      </c>
      <c r="U1835" s="40">
        <v>884552.48120300798</v>
      </c>
      <c r="V1835" s="40">
        <v>0</v>
      </c>
      <c r="W1835" s="45">
        <f t="shared" si="96"/>
        <v>1221641.3052631584</v>
      </c>
      <c r="X1835" s="46">
        <f t="shared" si="97"/>
        <v>6.3011465206249673</v>
      </c>
    </row>
    <row r="1836" spans="1:24" s="4" customFormat="1" ht="15" customHeight="1">
      <c r="A1836" s="28" t="s">
        <v>2682</v>
      </c>
      <c r="B1836" s="29">
        <v>3278.81</v>
      </c>
      <c r="C1836" s="30" t="s">
        <v>2763</v>
      </c>
      <c r="D1836" s="2">
        <v>4947229916</v>
      </c>
      <c r="E1836" s="2" t="s">
        <v>6</v>
      </c>
      <c r="F1836" s="2" t="s">
        <v>2764</v>
      </c>
      <c r="G1836" s="28" t="s">
        <v>5</v>
      </c>
      <c r="H1836" s="2" t="s">
        <v>2765</v>
      </c>
      <c r="I1836" s="2">
        <v>2</v>
      </c>
      <c r="J1836" s="2" t="s">
        <v>2766</v>
      </c>
      <c r="K1836" s="2">
        <f>45472+22736</f>
        <v>68208</v>
      </c>
      <c r="L1836" s="35">
        <f t="shared" si="95"/>
        <v>223641072.47999999</v>
      </c>
      <c r="M1836" s="36">
        <f>9800+4900</f>
        <v>14700</v>
      </c>
      <c r="N1836" s="40">
        <v>678768</v>
      </c>
      <c r="O1836" s="40">
        <v>979122</v>
      </c>
      <c r="P1836" s="40">
        <v>0</v>
      </c>
      <c r="Q1836" s="40">
        <v>276530</v>
      </c>
      <c r="R1836" s="40">
        <v>1641806</v>
      </c>
      <c r="S1836" s="40">
        <v>354356</v>
      </c>
      <c r="T1836" s="40">
        <v>30000</v>
      </c>
      <c r="U1836" s="40">
        <v>7716350</v>
      </c>
      <c r="V1836" s="40">
        <v>0</v>
      </c>
      <c r="W1836" s="45">
        <f t="shared" si="96"/>
        <v>11676932</v>
      </c>
      <c r="X1836" s="46">
        <f t="shared" si="97"/>
        <v>5.2212824194197411</v>
      </c>
    </row>
    <row r="1837" spans="1:24" s="4" customFormat="1" ht="15" customHeight="1">
      <c r="A1837" s="28" t="s">
        <v>2682</v>
      </c>
      <c r="B1837" s="29">
        <v>3278.81</v>
      </c>
      <c r="C1837" s="30" t="s">
        <v>2767</v>
      </c>
      <c r="D1837" s="2">
        <v>4950282869</v>
      </c>
      <c r="E1837" s="2" t="s">
        <v>18</v>
      </c>
      <c r="F1837" s="2" t="s">
        <v>2768</v>
      </c>
      <c r="G1837" s="28" t="s">
        <v>5</v>
      </c>
      <c r="H1837" s="2" t="s">
        <v>17</v>
      </c>
      <c r="I1837" s="2">
        <v>1</v>
      </c>
      <c r="J1837" s="2" t="s">
        <v>2769</v>
      </c>
      <c r="K1837" s="2">
        <v>11000</v>
      </c>
      <c r="L1837" s="35">
        <f t="shared" si="95"/>
        <v>36066910</v>
      </c>
      <c r="M1837" s="36">
        <v>10000</v>
      </c>
      <c r="N1837" s="40">
        <v>221841.11111111101</v>
      </c>
      <c r="O1837" s="40">
        <v>242083.88888888899</v>
      </c>
      <c r="P1837" s="40">
        <v>0</v>
      </c>
      <c r="Q1837" s="40">
        <v>61111.111111111102</v>
      </c>
      <c r="R1837" s="40">
        <v>419693.22222222202</v>
      </c>
      <c r="S1837" s="40">
        <v>196864.444444444</v>
      </c>
      <c r="T1837" s="40">
        <v>30000</v>
      </c>
      <c r="U1837" s="40">
        <v>3025861.1111111101</v>
      </c>
      <c r="V1837" s="40">
        <v>0</v>
      </c>
      <c r="W1837" s="45">
        <f t="shared" si="96"/>
        <v>4197454.8888888871</v>
      </c>
      <c r="X1837" s="46">
        <f t="shared" si="97"/>
        <v>11.637966459807306</v>
      </c>
    </row>
    <row r="1838" spans="1:24" s="4" customFormat="1" ht="15" customHeight="1">
      <c r="A1838" s="28" t="s">
        <v>2682</v>
      </c>
      <c r="B1838" s="29">
        <v>3278.81</v>
      </c>
      <c r="C1838" s="30" t="s">
        <v>2767</v>
      </c>
      <c r="D1838" s="2">
        <v>4950282868</v>
      </c>
      <c r="E1838" s="2" t="s">
        <v>18</v>
      </c>
      <c r="F1838" s="2" t="s">
        <v>2768</v>
      </c>
      <c r="G1838" s="28" t="s">
        <v>5</v>
      </c>
      <c r="H1838" s="2" t="s">
        <v>17</v>
      </c>
      <c r="I1838" s="2">
        <v>1</v>
      </c>
      <c r="J1838" s="2" t="s">
        <v>2769</v>
      </c>
      <c r="K1838" s="2">
        <v>34880</v>
      </c>
      <c r="L1838" s="35">
        <f t="shared" si="95"/>
        <v>114364892.8</v>
      </c>
      <c r="M1838" s="36">
        <v>8000</v>
      </c>
      <c r="N1838" s="40">
        <v>177472.88888888899</v>
      </c>
      <c r="O1838" s="40">
        <v>193667.11111111101</v>
      </c>
      <c r="P1838" s="40">
        <v>0</v>
      </c>
      <c r="Q1838" s="40">
        <v>48888.888888888898</v>
      </c>
      <c r="R1838" s="40">
        <v>335754.77777777798</v>
      </c>
      <c r="S1838" s="40">
        <v>157491.555555556</v>
      </c>
      <c r="T1838" s="40">
        <v>30000</v>
      </c>
      <c r="U1838" s="40">
        <v>2420688.8888888899</v>
      </c>
      <c r="V1838" s="40">
        <v>0</v>
      </c>
      <c r="W1838" s="45">
        <f t="shared" si="96"/>
        <v>3363964.1111111129</v>
      </c>
      <c r="X1838" s="46">
        <f t="shared" si="97"/>
        <v>2.9414307387092773</v>
      </c>
    </row>
    <row r="1839" spans="1:24" s="4" customFormat="1" ht="15" customHeight="1">
      <c r="A1839" s="28" t="s">
        <v>2682</v>
      </c>
      <c r="B1839" s="29">
        <v>3278.81</v>
      </c>
      <c r="C1839" s="30" t="s">
        <v>2770</v>
      </c>
      <c r="D1839" s="2">
        <v>4950058299</v>
      </c>
      <c r="E1839" s="2" t="s">
        <v>14</v>
      </c>
      <c r="F1839" s="2" t="s">
        <v>2771</v>
      </c>
      <c r="G1839" s="28" t="s">
        <v>5</v>
      </c>
      <c r="H1839" s="2" t="s">
        <v>17</v>
      </c>
      <c r="I1839" s="2">
        <v>1</v>
      </c>
      <c r="J1839" s="2" t="s">
        <v>2772</v>
      </c>
      <c r="K1839" s="2">
        <v>3645.6</v>
      </c>
      <c r="L1839" s="35">
        <f t="shared" si="95"/>
        <v>11953229.736</v>
      </c>
      <c r="M1839" s="36">
        <v>840</v>
      </c>
      <c r="N1839" s="40">
        <v>15324.3918237324</v>
      </c>
      <c r="O1839" s="40">
        <v>19433.546057871001</v>
      </c>
      <c r="P1839" s="40">
        <v>0</v>
      </c>
      <c r="Q1839" s="40">
        <v>4905.7605521635296</v>
      </c>
      <c r="R1839" s="40">
        <v>44995.445181842297</v>
      </c>
      <c r="S1839" s="40">
        <v>15803.506238386</v>
      </c>
      <c r="T1839" s="40">
        <v>30000</v>
      </c>
      <c r="U1839" s="40">
        <v>279891.47863020998</v>
      </c>
      <c r="V1839" s="40">
        <v>0</v>
      </c>
      <c r="W1839" s="45">
        <f t="shared" si="96"/>
        <v>410354.12848420523</v>
      </c>
      <c r="X1839" s="46">
        <f t="shared" si="97"/>
        <v>3.4329979222964817</v>
      </c>
    </row>
    <row r="1840" spans="1:24" s="4" customFormat="1" ht="15" customHeight="1">
      <c r="A1840" s="28" t="s">
        <v>2682</v>
      </c>
      <c r="B1840" s="29">
        <v>3278.81</v>
      </c>
      <c r="C1840" s="30" t="s">
        <v>2770</v>
      </c>
      <c r="D1840" s="2">
        <v>4950058299</v>
      </c>
      <c r="E1840" s="2" t="s">
        <v>14</v>
      </c>
      <c r="F1840" s="2" t="s">
        <v>2771</v>
      </c>
      <c r="G1840" s="28" t="s">
        <v>5</v>
      </c>
      <c r="H1840" s="2" t="s">
        <v>17</v>
      </c>
      <c r="I1840" s="2">
        <v>1</v>
      </c>
      <c r="J1840" s="2" t="s">
        <v>2772</v>
      </c>
      <c r="K1840" s="2">
        <v>2767.5</v>
      </c>
      <c r="L1840" s="35">
        <f t="shared" si="95"/>
        <v>9074106.6750000007</v>
      </c>
      <c r="M1840" s="36">
        <v>675</v>
      </c>
      <c r="N1840" s="40">
        <v>12314.243429785</v>
      </c>
      <c r="O1840" s="40">
        <v>15616.242367932</v>
      </c>
      <c r="P1840" s="40">
        <v>0</v>
      </c>
      <c r="Q1840" s="40">
        <v>3942.1290151314001</v>
      </c>
      <c r="R1840" s="40">
        <v>36156.518449694697</v>
      </c>
      <c r="S1840" s="40">
        <v>12699.2460844173</v>
      </c>
      <c r="T1840" s="40">
        <v>30000</v>
      </c>
      <c r="U1840" s="40">
        <v>224912.79532784701</v>
      </c>
      <c r="V1840" s="40">
        <v>0</v>
      </c>
      <c r="W1840" s="45">
        <f t="shared" si="96"/>
        <v>335641.17467480741</v>
      </c>
      <c r="X1840" s="46">
        <f t="shared" si="97"/>
        <v>3.6988894521102531</v>
      </c>
    </row>
    <row r="1841" spans="1:24" s="4" customFormat="1" ht="15" customHeight="1">
      <c r="A1841" s="28" t="s">
        <v>2682</v>
      </c>
      <c r="B1841" s="29">
        <v>3278.81</v>
      </c>
      <c r="C1841" s="30" t="s">
        <v>2770</v>
      </c>
      <c r="D1841" s="2">
        <v>4950215955</v>
      </c>
      <c r="E1841" s="2" t="s">
        <v>14</v>
      </c>
      <c r="F1841" s="2" t="s">
        <v>2771</v>
      </c>
      <c r="G1841" s="28" t="s">
        <v>5</v>
      </c>
      <c r="H1841" s="2" t="s">
        <v>17</v>
      </c>
      <c r="I1841" s="2">
        <v>1</v>
      </c>
      <c r="J1841" s="2" t="s">
        <v>2772</v>
      </c>
      <c r="K1841" s="2">
        <v>7524</v>
      </c>
      <c r="L1841" s="35">
        <f t="shared" si="95"/>
        <v>24669766.440000001</v>
      </c>
      <c r="M1841" s="36">
        <v>400</v>
      </c>
      <c r="N1841" s="40">
        <v>7297.3294398725802</v>
      </c>
      <c r="O1841" s="40">
        <v>9254.0695513671399</v>
      </c>
      <c r="P1841" s="40">
        <v>0</v>
      </c>
      <c r="Q1841" s="40">
        <v>2336.0764534112</v>
      </c>
      <c r="R1841" s="40">
        <v>21426.6405627821</v>
      </c>
      <c r="S1841" s="40">
        <v>7525.4791611361798</v>
      </c>
      <c r="T1841" s="40">
        <v>30000</v>
      </c>
      <c r="U1841" s="40">
        <v>133281.65649057599</v>
      </c>
      <c r="V1841" s="40">
        <v>0</v>
      </c>
      <c r="W1841" s="45">
        <f t="shared" si="96"/>
        <v>211121.25165914517</v>
      </c>
      <c r="X1841" s="46">
        <f t="shared" si="97"/>
        <v>0.85578942213587139</v>
      </c>
    </row>
    <row r="1842" spans="1:24" s="4" customFormat="1" ht="15" customHeight="1">
      <c r="A1842" s="28" t="s">
        <v>2682</v>
      </c>
      <c r="B1842" s="29">
        <v>3278.81</v>
      </c>
      <c r="C1842" s="30" t="s">
        <v>2770</v>
      </c>
      <c r="D1842" s="2">
        <v>4950215955</v>
      </c>
      <c r="E1842" s="2" t="s">
        <v>14</v>
      </c>
      <c r="F1842" s="2" t="s">
        <v>2771</v>
      </c>
      <c r="G1842" s="28" t="s">
        <v>5</v>
      </c>
      <c r="H1842" s="2" t="s">
        <v>17</v>
      </c>
      <c r="I1842" s="2">
        <v>1</v>
      </c>
      <c r="J1842" s="2" t="s">
        <v>2772</v>
      </c>
      <c r="K1842" s="2">
        <v>1057.8</v>
      </c>
      <c r="L1842" s="35">
        <f t="shared" si="95"/>
        <v>3468325.2179999999</v>
      </c>
      <c r="M1842" s="36">
        <v>205</v>
      </c>
      <c r="N1842" s="40">
        <v>3739.8813379346998</v>
      </c>
      <c r="O1842" s="40">
        <v>4742.7106450756601</v>
      </c>
      <c r="P1842" s="40">
        <v>0</v>
      </c>
      <c r="Q1842" s="40">
        <v>1197.2391823732401</v>
      </c>
      <c r="R1842" s="40">
        <v>10981.090788425799</v>
      </c>
      <c r="S1842" s="40">
        <v>3856.8080700822902</v>
      </c>
      <c r="T1842" s="40">
        <v>30000</v>
      </c>
      <c r="U1842" s="40">
        <v>68306.848951420194</v>
      </c>
      <c r="V1842" s="40">
        <v>0</v>
      </c>
      <c r="W1842" s="45">
        <f t="shared" si="96"/>
        <v>122824.57897531189</v>
      </c>
      <c r="X1842" s="46">
        <f t="shared" si="97"/>
        <v>3.5413224324487755</v>
      </c>
    </row>
    <row r="1843" spans="1:24" s="4" customFormat="1" ht="15" customHeight="1">
      <c r="A1843" s="28" t="s">
        <v>2682</v>
      </c>
      <c r="B1843" s="29">
        <v>3278.81</v>
      </c>
      <c r="C1843" s="30" t="s">
        <v>2770</v>
      </c>
      <c r="D1843" s="2">
        <v>4950215955</v>
      </c>
      <c r="E1843" s="2" t="s">
        <v>14</v>
      </c>
      <c r="F1843" s="2" t="s">
        <v>2771</v>
      </c>
      <c r="G1843" s="28" t="s">
        <v>5</v>
      </c>
      <c r="H1843" s="2" t="s">
        <v>17</v>
      </c>
      <c r="I1843" s="2">
        <v>1</v>
      </c>
      <c r="J1843" s="2" t="s">
        <v>2772</v>
      </c>
      <c r="K1843" s="2">
        <v>17740</v>
      </c>
      <c r="L1843" s="35">
        <f t="shared" si="95"/>
        <v>58166089.399999999</v>
      </c>
      <c r="M1843" s="36">
        <v>2000</v>
      </c>
      <c r="N1843" s="40">
        <v>36486.647199362902</v>
      </c>
      <c r="O1843" s="40">
        <v>46270.347756835698</v>
      </c>
      <c r="P1843" s="40">
        <v>0</v>
      </c>
      <c r="Q1843" s="40">
        <v>11680.382267056</v>
      </c>
      <c r="R1843" s="40">
        <v>107140.20281391</v>
      </c>
      <c r="S1843" s="40">
        <v>37627.395805680899</v>
      </c>
      <c r="T1843" s="40">
        <v>30000</v>
      </c>
      <c r="U1843" s="40">
        <v>666408.28245288006</v>
      </c>
      <c r="V1843" s="40">
        <v>0</v>
      </c>
      <c r="W1843" s="45">
        <f t="shared" si="96"/>
        <v>935613.25829572557</v>
      </c>
      <c r="X1843" s="46">
        <f t="shared" si="97"/>
        <v>1.6085201325150895</v>
      </c>
    </row>
    <row r="1844" spans="1:24" s="4" customFormat="1" ht="15" customHeight="1">
      <c r="A1844" s="28" t="s">
        <v>2682</v>
      </c>
      <c r="B1844" s="29">
        <v>3278.81</v>
      </c>
      <c r="C1844" s="30" t="s">
        <v>2770</v>
      </c>
      <c r="D1844" s="2">
        <v>4950757112</v>
      </c>
      <c r="E1844" s="2" t="s">
        <v>14</v>
      </c>
      <c r="F1844" s="2" t="s">
        <v>2771</v>
      </c>
      <c r="G1844" s="28" t="s">
        <v>5</v>
      </c>
      <c r="H1844" s="2" t="s">
        <v>17</v>
      </c>
      <c r="I1844" s="2">
        <v>1</v>
      </c>
      <c r="J1844" s="2" t="s">
        <v>2772</v>
      </c>
      <c r="K1844" s="2">
        <v>28630</v>
      </c>
      <c r="L1844" s="35">
        <f t="shared" si="95"/>
        <v>93872330.299999997</v>
      </c>
      <c r="M1844" s="36">
        <v>7000</v>
      </c>
      <c r="N1844" s="40">
        <v>127703.26519777</v>
      </c>
      <c r="O1844" s="40">
        <v>161946.217148925</v>
      </c>
      <c r="P1844" s="40">
        <v>0</v>
      </c>
      <c r="Q1844" s="40">
        <v>40881.337934695999</v>
      </c>
      <c r="R1844" s="40">
        <v>374958.709848686</v>
      </c>
      <c r="S1844" s="40">
        <v>131695.885319883</v>
      </c>
      <c r="T1844" s="40">
        <v>30000</v>
      </c>
      <c r="U1844" s="40">
        <v>2332428.98858508</v>
      </c>
      <c r="V1844" s="40">
        <v>0</v>
      </c>
      <c r="W1844" s="45">
        <f t="shared" si="96"/>
        <v>3199614.4040350402</v>
      </c>
      <c r="X1844" s="46">
        <f t="shared" si="97"/>
        <v>3.4084744608018323</v>
      </c>
    </row>
    <row r="1845" spans="1:24" s="4" customFormat="1" ht="15" customHeight="1">
      <c r="A1845" s="28" t="s">
        <v>2682</v>
      </c>
      <c r="B1845" s="29">
        <v>3278.81</v>
      </c>
      <c r="C1845" s="30" t="s">
        <v>2770</v>
      </c>
      <c r="D1845" s="2">
        <v>4950215955</v>
      </c>
      <c r="E1845" s="2" t="s">
        <v>14</v>
      </c>
      <c r="F1845" s="2" t="s">
        <v>2771</v>
      </c>
      <c r="G1845" s="28" t="s">
        <v>5</v>
      </c>
      <c r="H1845" s="2" t="s">
        <v>17</v>
      </c>
      <c r="I1845" s="2">
        <v>1</v>
      </c>
      <c r="J1845" s="2" t="s">
        <v>2772</v>
      </c>
      <c r="K1845" s="2">
        <v>4200</v>
      </c>
      <c r="L1845" s="35">
        <f t="shared" si="95"/>
        <v>13771002</v>
      </c>
      <c r="M1845" s="36">
        <v>400</v>
      </c>
      <c r="N1845" s="40">
        <v>7297.3294398725802</v>
      </c>
      <c r="O1845" s="40">
        <v>9254.0695513671399</v>
      </c>
      <c r="P1845" s="40">
        <v>0</v>
      </c>
      <c r="Q1845" s="40">
        <v>2336.0764534112</v>
      </c>
      <c r="R1845" s="40">
        <v>21426.6405627821</v>
      </c>
      <c r="S1845" s="40">
        <v>7525.4791611361798</v>
      </c>
      <c r="T1845" s="40">
        <v>30000</v>
      </c>
      <c r="U1845" s="40">
        <v>133281.65649057599</v>
      </c>
      <c r="V1845" s="40">
        <v>0</v>
      </c>
      <c r="W1845" s="45">
        <f t="shared" si="96"/>
        <v>211121.25165914517</v>
      </c>
      <c r="X1845" s="46">
        <f t="shared" si="97"/>
        <v>1.5330856219405469</v>
      </c>
    </row>
    <row r="1846" spans="1:24" s="4" customFormat="1" ht="15" customHeight="1">
      <c r="A1846" s="28" t="s">
        <v>2682</v>
      </c>
      <c r="B1846" s="29">
        <v>3278.81</v>
      </c>
      <c r="C1846" s="30" t="s">
        <v>2770</v>
      </c>
      <c r="D1846" s="2">
        <v>4950722781</v>
      </c>
      <c r="E1846" s="2" t="s">
        <v>14</v>
      </c>
      <c r="F1846" s="2" t="s">
        <v>2771</v>
      </c>
      <c r="G1846" s="28" t="s">
        <v>5</v>
      </c>
      <c r="H1846" s="2" t="s">
        <v>17</v>
      </c>
      <c r="I1846" s="2">
        <v>1</v>
      </c>
      <c r="J1846" s="2" t="s">
        <v>2772</v>
      </c>
      <c r="K1846" s="2">
        <v>4392</v>
      </c>
      <c r="L1846" s="35">
        <f t="shared" si="95"/>
        <v>14400533.52</v>
      </c>
      <c r="M1846" s="36">
        <v>900</v>
      </c>
      <c r="N1846" s="40">
        <v>16418.991239713301</v>
      </c>
      <c r="O1846" s="40">
        <v>20821.656490576101</v>
      </c>
      <c r="P1846" s="40">
        <v>0</v>
      </c>
      <c r="Q1846" s="40">
        <v>5256.1720201752096</v>
      </c>
      <c r="R1846" s="40">
        <v>48208.691266259601</v>
      </c>
      <c r="S1846" s="40">
        <v>16932.328112556399</v>
      </c>
      <c r="T1846" s="40">
        <v>30000</v>
      </c>
      <c r="U1846" s="40">
        <v>299883.72710379597</v>
      </c>
      <c r="V1846" s="40">
        <v>0</v>
      </c>
      <c r="W1846" s="45">
        <f t="shared" si="96"/>
        <v>437521.56623307662</v>
      </c>
      <c r="X1846" s="46">
        <f t="shared" si="97"/>
        <v>3.0382316434695302</v>
      </c>
    </row>
    <row r="1847" spans="1:24" s="4" customFormat="1" ht="15" customHeight="1">
      <c r="A1847" s="28" t="s">
        <v>2682</v>
      </c>
      <c r="B1847" s="29">
        <v>3278.81</v>
      </c>
      <c r="C1847" s="30" t="s">
        <v>2770</v>
      </c>
      <c r="D1847" s="2">
        <v>4950722781</v>
      </c>
      <c r="E1847" s="2" t="s">
        <v>14</v>
      </c>
      <c r="F1847" s="2" t="s">
        <v>2771</v>
      </c>
      <c r="G1847" s="28" t="s">
        <v>5</v>
      </c>
      <c r="H1847" s="2" t="s">
        <v>17</v>
      </c>
      <c r="I1847" s="2">
        <v>1</v>
      </c>
      <c r="J1847" s="2" t="s">
        <v>2772</v>
      </c>
      <c r="K1847" s="2">
        <v>8457.75</v>
      </c>
      <c r="L1847" s="35">
        <f t="shared" si="95"/>
        <v>27731355.2775</v>
      </c>
      <c r="M1847" s="36">
        <v>1575</v>
      </c>
      <c r="N1847" s="40">
        <v>28733.234669498299</v>
      </c>
      <c r="O1847" s="40">
        <v>36437.898858508102</v>
      </c>
      <c r="P1847" s="40">
        <v>0</v>
      </c>
      <c r="Q1847" s="40">
        <v>9198.3010353066093</v>
      </c>
      <c r="R1847" s="40">
        <v>84366.209715954305</v>
      </c>
      <c r="S1847" s="40">
        <v>29631.574196973699</v>
      </c>
      <c r="T1847" s="40">
        <v>30000</v>
      </c>
      <c r="U1847" s="40">
        <v>524796.52243164298</v>
      </c>
      <c r="V1847" s="40">
        <v>0</v>
      </c>
      <c r="W1847" s="45">
        <f t="shared" si="96"/>
        <v>743163.74090788397</v>
      </c>
      <c r="X1847" s="46">
        <f t="shared" si="97"/>
        <v>2.6798680896452773</v>
      </c>
    </row>
    <row r="1848" spans="1:24" s="4" customFormat="1" ht="15" customHeight="1">
      <c r="A1848" s="28" t="s">
        <v>2682</v>
      </c>
      <c r="B1848" s="29">
        <v>3278.81</v>
      </c>
      <c r="C1848" s="30" t="s">
        <v>2770</v>
      </c>
      <c r="D1848" s="2">
        <v>4950722781</v>
      </c>
      <c r="E1848" s="2" t="s">
        <v>14</v>
      </c>
      <c r="F1848" s="2" t="s">
        <v>2771</v>
      </c>
      <c r="G1848" s="28" t="s">
        <v>5</v>
      </c>
      <c r="H1848" s="2" t="s">
        <v>17</v>
      </c>
      <c r="I1848" s="2">
        <v>1</v>
      </c>
      <c r="J1848" s="2" t="s">
        <v>2772</v>
      </c>
      <c r="K1848" s="2">
        <v>1751.4</v>
      </c>
      <c r="L1848" s="35">
        <f t="shared" si="95"/>
        <v>5742507.8339999998</v>
      </c>
      <c r="M1848" s="36">
        <v>420</v>
      </c>
      <c r="N1848" s="40">
        <v>7662.1959118662098</v>
      </c>
      <c r="O1848" s="40">
        <v>9716.7730289354895</v>
      </c>
      <c r="P1848" s="40">
        <v>0</v>
      </c>
      <c r="Q1848" s="40">
        <v>2452.8802760817598</v>
      </c>
      <c r="R1848" s="40">
        <v>22497.722590921199</v>
      </c>
      <c r="S1848" s="40">
        <v>7901.7531191929902</v>
      </c>
      <c r="T1848" s="40">
        <v>30000</v>
      </c>
      <c r="U1848" s="40">
        <v>139945.73931510499</v>
      </c>
      <c r="V1848" s="40">
        <v>0</v>
      </c>
      <c r="W1848" s="45">
        <f t="shared" si="96"/>
        <v>220177.06424210264</v>
      </c>
      <c r="X1848" s="46">
        <f t="shared" si="97"/>
        <v>3.8341621919692912</v>
      </c>
    </row>
    <row r="1849" spans="1:24" s="4" customFormat="1" ht="15" customHeight="1">
      <c r="A1849" s="28" t="s">
        <v>2682</v>
      </c>
      <c r="B1849" s="29">
        <v>3278.81</v>
      </c>
      <c r="C1849" s="30" t="s">
        <v>2770</v>
      </c>
      <c r="D1849" s="2">
        <v>4950757111</v>
      </c>
      <c r="E1849" s="2" t="s">
        <v>14</v>
      </c>
      <c r="F1849" s="2" t="s">
        <v>2771</v>
      </c>
      <c r="G1849" s="28" t="s">
        <v>5</v>
      </c>
      <c r="H1849" s="2" t="s">
        <v>17</v>
      </c>
      <c r="I1849" s="2">
        <v>1</v>
      </c>
      <c r="J1849" s="2" t="s">
        <v>2772</v>
      </c>
      <c r="K1849" s="2">
        <v>7812</v>
      </c>
      <c r="L1849" s="35">
        <f t="shared" ref="L1849:L1912" si="98">B1849*K1849</f>
        <v>25614063.719999999</v>
      </c>
      <c r="M1849" s="36">
        <v>3600</v>
      </c>
      <c r="N1849" s="40">
        <v>65675.964958853205</v>
      </c>
      <c r="O1849" s="40">
        <v>83286.625962304199</v>
      </c>
      <c r="P1849" s="40">
        <v>0</v>
      </c>
      <c r="Q1849" s="40">
        <v>21024.688080700798</v>
      </c>
      <c r="R1849" s="40">
        <v>192835.76506503799</v>
      </c>
      <c r="S1849" s="40">
        <v>67729.312450225596</v>
      </c>
      <c r="T1849" s="40">
        <v>30000</v>
      </c>
      <c r="U1849" s="40">
        <v>1199534.9084151799</v>
      </c>
      <c r="V1849" s="40">
        <v>0</v>
      </c>
      <c r="W1849" s="45">
        <f t="shared" ref="W1849:W1912" si="99">+SUM(N1849:V1849)</f>
        <v>1660087.2649323018</v>
      </c>
      <c r="X1849" s="46">
        <f t="shared" ref="X1849:X1912" si="100">(W1849/L1849)*100</f>
        <v>6.4811553648009026</v>
      </c>
    </row>
    <row r="1850" spans="1:24" s="4" customFormat="1" ht="15" customHeight="1">
      <c r="A1850" s="28" t="s">
        <v>2682</v>
      </c>
      <c r="B1850" s="29">
        <v>3278.81</v>
      </c>
      <c r="C1850" s="30" t="s">
        <v>2770</v>
      </c>
      <c r="D1850" s="2">
        <v>4950216841</v>
      </c>
      <c r="E1850" s="2" t="s">
        <v>14</v>
      </c>
      <c r="F1850" s="2" t="s">
        <v>2771</v>
      </c>
      <c r="G1850" s="28" t="s">
        <v>5</v>
      </c>
      <c r="H1850" s="2" t="s">
        <v>17</v>
      </c>
      <c r="I1850" s="2">
        <v>1</v>
      </c>
      <c r="J1850" s="2" t="s">
        <v>2772</v>
      </c>
      <c r="K1850" s="2">
        <v>6584.6</v>
      </c>
      <c r="L1850" s="35">
        <f t="shared" si="98"/>
        <v>21589652.326000001</v>
      </c>
      <c r="M1850" s="36">
        <v>820</v>
      </c>
      <c r="N1850" s="40">
        <v>14959.525351738799</v>
      </c>
      <c r="O1850" s="40">
        <v>18970.8425803026</v>
      </c>
      <c r="P1850" s="40">
        <v>0</v>
      </c>
      <c r="Q1850" s="40">
        <v>4788.9567294929702</v>
      </c>
      <c r="R1850" s="40">
        <v>43923.363153703198</v>
      </c>
      <c r="S1850" s="40">
        <v>15427.232280329201</v>
      </c>
      <c r="T1850" s="40">
        <v>30000</v>
      </c>
      <c r="U1850" s="40">
        <v>273227.39580568101</v>
      </c>
      <c r="V1850" s="40">
        <v>0</v>
      </c>
      <c r="W1850" s="45">
        <f t="shared" si="99"/>
        <v>401297.31590124778</v>
      </c>
      <c r="X1850" s="46">
        <f t="shared" si="100"/>
        <v>1.858748394099766</v>
      </c>
    </row>
    <row r="1851" spans="1:24" s="4" customFormat="1" ht="15" customHeight="1">
      <c r="A1851" s="28" t="s">
        <v>2682</v>
      </c>
      <c r="B1851" s="29">
        <v>3278.81</v>
      </c>
      <c r="C1851" s="30" t="s">
        <v>2773</v>
      </c>
      <c r="D1851" s="2">
        <v>4950058257</v>
      </c>
      <c r="E1851" s="2" t="s">
        <v>14</v>
      </c>
      <c r="F1851" s="2" t="s">
        <v>2774</v>
      </c>
      <c r="G1851" s="28" t="s">
        <v>5</v>
      </c>
      <c r="H1851" s="2" t="s">
        <v>17</v>
      </c>
      <c r="I1851" s="2">
        <v>1</v>
      </c>
      <c r="J1851" s="2" t="s">
        <v>2775</v>
      </c>
      <c r="K1851" s="2">
        <v>3275.6</v>
      </c>
      <c r="L1851" s="35">
        <f t="shared" si="98"/>
        <v>10740070.036</v>
      </c>
      <c r="M1851" s="36">
        <f>380+380</f>
        <v>760</v>
      </c>
      <c r="N1851" s="40">
        <v>13259.501396293501</v>
      </c>
      <c r="O1851" s="40">
        <v>17714.402781492401</v>
      </c>
      <c r="P1851" s="40">
        <v>0</v>
      </c>
      <c r="Q1851" s="40">
        <v>4471.7838994383501</v>
      </c>
      <c r="R1851" s="40">
        <v>38469.551408987099</v>
      </c>
      <c r="S1851" s="40">
        <v>13674.057374968301</v>
      </c>
      <c r="T1851" s="40">
        <v>30000</v>
      </c>
      <c r="U1851" s="40">
        <v>217660.218329525</v>
      </c>
      <c r="V1851" s="40">
        <v>0</v>
      </c>
      <c r="W1851" s="45">
        <f t="shared" si="99"/>
        <v>335249.51519070467</v>
      </c>
      <c r="X1851" s="46">
        <f t="shared" si="100"/>
        <v>3.1214835105075722</v>
      </c>
    </row>
    <row r="1852" spans="1:24" s="4" customFormat="1" ht="15" customHeight="1">
      <c r="A1852" s="28" t="s">
        <v>2682</v>
      </c>
      <c r="B1852" s="29">
        <v>3278.81</v>
      </c>
      <c r="C1852" s="30" t="s">
        <v>2773</v>
      </c>
      <c r="D1852" s="2">
        <v>4950058257</v>
      </c>
      <c r="E1852" s="2" t="s">
        <v>14</v>
      </c>
      <c r="F1852" s="2" t="s">
        <v>2774</v>
      </c>
      <c r="G1852" s="28" t="s">
        <v>5</v>
      </c>
      <c r="H1852" s="2" t="s">
        <v>17</v>
      </c>
      <c r="I1852" s="2">
        <v>1</v>
      </c>
      <c r="J1852" s="2" t="s">
        <v>2775</v>
      </c>
      <c r="K1852" s="2">
        <f>3795+552</f>
        <v>4347</v>
      </c>
      <c r="L1852" s="35">
        <f t="shared" si="98"/>
        <v>14252987.07</v>
      </c>
      <c r="M1852" s="36">
        <f>375+200</f>
        <v>575</v>
      </c>
      <c r="N1852" s="40">
        <v>27478.5719725819</v>
      </c>
      <c r="O1852" s="40">
        <v>13402.3442096817</v>
      </c>
      <c r="P1852" s="40">
        <v>0</v>
      </c>
      <c r="Q1852" s="40">
        <v>3383.2575554961199</v>
      </c>
      <c r="R1852" s="40">
        <v>79721.695354150797</v>
      </c>
      <c r="S1852" s="40">
        <v>28337.684691546099</v>
      </c>
      <c r="T1852" s="40">
        <v>30000</v>
      </c>
      <c r="U1852" s="40">
        <v>451072.16298552899</v>
      </c>
      <c r="V1852" s="40">
        <v>0</v>
      </c>
      <c r="W1852" s="45">
        <f t="shared" si="99"/>
        <v>633395.71676898561</v>
      </c>
      <c r="X1852" s="46">
        <f t="shared" si="100"/>
        <v>4.4439506866751524</v>
      </c>
    </row>
    <row r="1853" spans="1:24" s="4" customFormat="1" ht="15" customHeight="1">
      <c r="A1853" s="28" t="s">
        <v>2682</v>
      </c>
      <c r="B1853" s="29">
        <v>3278.81</v>
      </c>
      <c r="C1853" s="30" t="s">
        <v>2773</v>
      </c>
      <c r="D1853" s="2">
        <v>4950090433</v>
      </c>
      <c r="E1853" s="2" t="s">
        <v>14</v>
      </c>
      <c r="F1853" s="2" t="s">
        <v>2774</v>
      </c>
      <c r="G1853" s="28" t="s">
        <v>5</v>
      </c>
      <c r="H1853" s="2" t="s">
        <v>17</v>
      </c>
      <c r="I1853" s="2">
        <v>1</v>
      </c>
      <c r="J1853" s="2" t="s">
        <v>2775</v>
      </c>
      <c r="K1853" s="2">
        <v>3355.6</v>
      </c>
      <c r="L1853" s="35">
        <f t="shared" si="98"/>
        <v>11002374.835999999</v>
      </c>
      <c r="M1853" s="36">
        <v>1260</v>
      </c>
      <c r="N1853" s="40">
        <v>21982.857578065501</v>
      </c>
      <c r="O1853" s="40">
        <v>29368.615137737401</v>
      </c>
      <c r="P1853" s="40">
        <v>0</v>
      </c>
      <c r="Q1853" s="40">
        <v>7413.74699117411</v>
      </c>
      <c r="R1853" s="40">
        <v>63777.756283320603</v>
      </c>
      <c r="S1853" s="40">
        <v>22670.147753236899</v>
      </c>
      <c r="T1853" s="40">
        <v>30000</v>
      </c>
      <c r="U1853" s="40">
        <v>360857.73038842302</v>
      </c>
      <c r="V1853" s="40">
        <v>0</v>
      </c>
      <c r="W1853" s="45">
        <f t="shared" si="99"/>
        <v>536070.85413195752</v>
      </c>
      <c r="X1853" s="46">
        <f t="shared" si="100"/>
        <v>4.8723194957685187</v>
      </c>
    </row>
    <row r="1854" spans="1:24" s="4" customFormat="1" ht="15" customHeight="1">
      <c r="A1854" s="28" t="s">
        <v>2682</v>
      </c>
      <c r="B1854" s="29">
        <v>3278.81</v>
      </c>
      <c r="C1854" s="30" t="s">
        <v>2773</v>
      </c>
      <c r="D1854" s="2">
        <v>4950585746</v>
      </c>
      <c r="E1854" s="2" t="s">
        <v>14</v>
      </c>
      <c r="F1854" s="2" t="s">
        <v>2774</v>
      </c>
      <c r="G1854" s="28" t="s">
        <v>5</v>
      </c>
      <c r="H1854" s="2" t="s">
        <v>17</v>
      </c>
      <c r="I1854" s="2">
        <v>1</v>
      </c>
      <c r="J1854" s="2" t="s">
        <v>2775</v>
      </c>
      <c r="K1854" s="2">
        <v>9366</v>
      </c>
      <c r="L1854" s="35">
        <f t="shared" si="98"/>
        <v>30709334.460000001</v>
      </c>
      <c r="M1854" s="36">
        <v>2100</v>
      </c>
      <c r="N1854" s="40">
        <v>36638.095963442502</v>
      </c>
      <c r="O1854" s="40">
        <v>48947.691896228898</v>
      </c>
      <c r="P1854" s="40">
        <v>0</v>
      </c>
      <c r="Q1854" s="40">
        <v>12356.244985290199</v>
      </c>
      <c r="R1854" s="40">
        <v>106296.260472201</v>
      </c>
      <c r="S1854" s="40">
        <v>37783.579588728098</v>
      </c>
      <c r="T1854" s="40">
        <v>30000</v>
      </c>
      <c r="U1854" s="40">
        <v>601429.55064737203</v>
      </c>
      <c r="V1854" s="40">
        <v>0</v>
      </c>
      <c r="W1854" s="45">
        <f t="shared" si="99"/>
        <v>873451.42355326272</v>
      </c>
      <c r="X1854" s="46">
        <f t="shared" si="100"/>
        <v>2.844253836536133</v>
      </c>
    </row>
    <row r="1855" spans="1:24" s="4" customFormat="1" ht="15" customHeight="1">
      <c r="A1855" s="28" t="s">
        <v>2682</v>
      </c>
      <c r="B1855" s="29">
        <v>3278.81</v>
      </c>
      <c r="C1855" s="30" t="s">
        <v>2773</v>
      </c>
      <c r="D1855" s="2">
        <v>4949661227</v>
      </c>
      <c r="E1855" s="2" t="s">
        <v>14</v>
      </c>
      <c r="F1855" s="2" t="s">
        <v>2774</v>
      </c>
      <c r="G1855" s="28" t="s">
        <v>5</v>
      </c>
      <c r="H1855" s="2" t="s">
        <v>17</v>
      </c>
      <c r="I1855" s="2">
        <v>1</v>
      </c>
      <c r="J1855" s="2" t="s">
        <v>2775</v>
      </c>
      <c r="K1855" s="2">
        <v>56218.5</v>
      </c>
      <c r="L1855" s="35">
        <f t="shared" si="98"/>
        <v>184329779.98499998</v>
      </c>
      <c r="M1855" s="36">
        <v>13950</v>
      </c>
      <c r="N1855" s="40">
        <v>243381.637471439</v>
      </c>
      <c r="O1855" s="40">
        <v>325152.524739235</v>
      </c>
      <c r="P1855" s="40">
        <v>0</v>
      </c>
      <c r="Q1855" s="40">
        <v>82080.770259427605</v>
      </c>
      <c r="R1855" s="40">
        <v>706111.015993907</v>
      </c>
      <c r="S1855" s="40">
        <v>250990.921553694</v>
      </c>
      <c r="T1855" s="40">
        <v>30000</v>
      </c>
      <c r="U1855" s="40">
        <v>3995210.5864432598</v>
      </c>
      <c r="V1855" s="40">
        <v>0</v>
      </c>
      <c r="W1855" s="45">
        <f t="shared" si="99"/>
        <v>5632927.4564609621</v>
      </c>
      <c r="X1855" s="46">
        <f t="shared" si="100"/>
        <v>3.0558965875830522</v>
      </c>
    </row>
    <row r="1856" spans="1:24" s="4" customFormat="1" ht="15" customHeight="1">
      <c r="A1856" s="28" t="s">
        <v>2682</v>
      </c>
      <c r="B1856" s="29">
        <v>3278.81</v>
      </c>
      <c r="C1856" s="30" t="s">
        <v>2773</v>
      </c>
      <c r="D1856" s="2">
        <v>4950812435</v>
      </c>
      <c r="E1856" s="2" t="s">
        <v>14</v>
      </c>
      <c r="F1856" s="2" t="s">
        <v>2774</v>
      </c>
      <c r="G1856" s="28" t="s">
        <v>5</v>
      </c>
      <c r="H1856" s="2" t="s">
        <v>17</v>
      </c>
      <c r="I1856" s="2">
        <v>1</v>
      </c>
      <c r="J1856" s="2" t="s">
        <v>2775</v>
      </c>
      <c r="K1856" s="2">
        <v>243.5</v>
      </c>
      <c r="L1856" s="35">
        <f t="shared" si="98"/>
        <v>798390.23499999999</v>
      </c>
      <c r="M1856" s="36">
        <v>50</v>
      </c>
      <c r="N1856" s="40">
        <v>872.33561817720204</v>
      </c>
      <c r="O1856" s="40">
        <v>1165.4212356245</v>
      </c>
      <c r="P1856" s="40">
        <v>0</v>
      </c>
      <c r="Q1856" s="40">
        <v>294.19630917357603</v>
      </c>
      <c r="R1856" s="40">
        <v>2530.7204874333602</v>
      </c>
      <c r="S1856" s="40">
        <v>899.60903782686</v>
      </c>
      <c r="T1856" s="40">
        <v>30000</v>
      </c>
      <c r="U1856" s="40">
        <v>14319.751205889799</v>
      </c>
      <c r="V1856" s="40">
        <v>0</v>
      </c>
      <c r="W1856" s="45">
        <f t="shared" si="99"/>
        <v>50082.033894125299</v>
      </c>
      <c r="X1856" s="46">
        <f t="shared" si="100"/>
        <v>6.2728765581815145</v>
      </c>
    </row>
    <row r="1857" spans="1:24" s="4" customFormat="1" ht="15" customHeight="1">
      <c r="A1857" s="28" t="s">
        <v>2682</v>
      </c>
      <c r="B1857" s="29">
        <v>3278.81</v>
      </c>
      <c r="C1857" s="30" t="s">
        <v>2776</v>
      </c>
      <c r="D1857" s="2">
        <v>4949224937</v>
      </c>
      <c r="E1857" s="2" t="s">
        <v>14</v>
      </c>
      <c r="F1857" s="2" t="s">
        <v>2777</v>
      </c>
      <c r="G1857" s="28" t="s">
        <v>5</v>
      </c>
      <c r="H1857" s="2" t="s">
        <v>26</v>
      </c>
      <c r="I1857" s="2">
        <v>1</v>
      </c>
      <c r="J1857" s="2" t="s">
        <v>2778</v>
      </c>
      <c r="K1857" s="2">
        <v>34660.800000000003</v>
      </c>
      <c r="L1857" s="35">
        <f t="shared" si="98"/>
        <v>113646177.648</v>
      </c>
      <c r="M1857" s="36">
        <v>19920</v>
      </c>
      <c r="N1857" s="40">
        <v>320731</v>
      </c>
      <c r="O1857" s="40">
        <v>417079</v>
      </c>
      <c r="P1857" s="40">
        <v>1721255</v>
      </c>
      <c r="Q1857" s="40">
        <v>109246</v>
      </c>
      <c r="R1857" s="40">
        <v>610817</v>
      </c>
      <c r="S1857" s="40">
        <v>354356</v>
      </c>
      <c r="T1857" s="40">
        <v>30000</v>
      </c>
      <c r="U1857" s="40">
        <v>0</v>
      </c>
      <c r="V1857" s="40">
        <v>0</v>
      </c>
      <c r="W1857" s="45">
        <f t="shared" si="99"/>
        <v>3563484</v>
      </c>
      <c r="X1857" s="46">
        <f t="shared" si="100"/>
        <v>3.1355951196504779</v>
      </c>
    </row>
    <row r="1858" spans="1:24" s="4" customFormat="1" ht="15" customHeight="1">
      <c r="A1858" s="28" t="s">
        <v>2682</v>
      </c>
      <c r="B1858" s="29">
        <v>3278.81</v>
      </c>
      <c r="C1858" s="30" t="s">
        <v>2779</v>
      </c>
      <c r="D1858" s="2">
        <v>4948268537</v>
      </c>
      <c r="E1858" s="2" t="s">
        <v>6</v>
      </c>
      <c r="F1858" s="2" t="s">
        <v>2780</v>
      </c>
      <c r="G1858" s="28" t="s">
        <v>5</v>
      </c>
      <c r="H1858" s="2" t="s">
        <v>17</v>
      </c>
      <c r="I1858" s="2">
        <v>1</v>
      </c>
      <c r="J1858" s="2" t="s">
        <v>2781</v>
      </c>
      <c r="K1858" s="2">
        <v>196673</v>
      </c>
      <c r="L1858" s="35">
        <f t="shared" si="98"/>
        <v>644853399.13</v>
      </c>
      <c r="M1858" s="36">
        <f>2550+5270</f>
        <v>7820</v>
      </c>
      <c r="N1858" s="40">
        <v>399316</v>
      </c>
      <c r="O1858" s="40">
        <v>543061</v>
      </c>
      <c r="P1858" s="40">
        <v>0</v>
      </c>
      <c r="Q1858" s="40">
        <v>124137</v>
      </c>
      <c r="R1858" s="40">
        <v>890739</v>
      </c>
      <c r="S1858" s="40">
        <v>354356</v>
      </c>
      <c r="T1858" s="40">
        <v>30000</v>
      </c>
      <c r="U1858" s="40">
        <v>4719050</v>
      </c>
      <c r="V1858" s="40">
        <v>1335000</v>
      </c>
      <c r="W1858" s="45">
        <f t="shared" si="99"/>
        <v>8395659</v>
      </c>
      <c r="X1858" s="46">
        <f t="shared" si="100"/>
        <v>1.3019484756267008</v>
      </c>
    </row>
    <row r="1859" spans="1:24" s="4" customFormat="1" ht="15" customHeight="1">
      <c r="A1859" s="28" t="s">
        <v>2682</v>
      </c>
      <c r="B1859" s="29">
        <v>3278.81</v>
      </c>
      <c r="C1859" s="30" t="s">
        <v>2782</v>
      </c>
      <c r="D1859" s="2">
        <v>4950282866</v>
      </c>
      <c r="E1859" s="2" t="s">
        <v>18</v>
      </c>
      <c r="F1859" s="2" t="s">
        <v>2783</v>
      </c>
      <c r="G1859" s="28" t="s">
        <v>5</v>
      </c>
      <c r="H1859" s="2" t="s">
        <v>17</v>
      </c>
      <c r="I1859" s="2">
        <v>1</v>
      </c>
      <c r="J1859" s="2" t="s">
        <v>2784</v>
      </c>
      <c r="K1859" s="2">
        <v>69760</v>
      </c>
      <c r="L1859" s="35">
        <f t="shared" si="98"/>
        <v>228729785.59999999</v>
      </c>
      <c r="M1859" s="36">
        <v>16000</v>
      </c>
      <c r="N1859" s="40">
        <v>339384</v>
      </c>
      <c r="O1859" s="40">
        <v>435751</v>
      </c>
      <c r="P1859" s="40">
        <v>0</v>
      </c>
      <c r="Q1859" s="40">
        <v>110000</v>
      </c>
      <c r="R1859" s="40">
        <v>752209</v>
      </c>
      <c r="S1859" s="40">
        <v>354356</v>
      </c>
      <c r="T1859" s="40">
        <v>30000</v>
      </c>
      <c r="U1859" s="40">
        <v>5446550</v>
      </c>
      <c r="V1859" s="40">
        <v>0</v>
      </c>
      <c r="W1859" s="45">
        <f t="shared" si="99"/>
        <v>7468250</v>
      </c>
      <c r="X1859" s="46">
        <f t="shared" si="100"/>
        <v>3.2650972764257249</v>
      </c>
    </row>
    <row r="1860" spans="1:24" s="4" customFormat="1" ht="15" customHeight="1">
      <c r="A1860" s="28" t="s">
        <v>2682</v>
      </c>
      <c r="B1860" s="29">
        <v>3278.81</v>
      </c>
      <c r="C1860" s="30" t="s">
        <v>2785</v>
      </c>
      <c r="D1860" s="2">
        <v>4950645757</v>
      </c>
      <c r="E1860" s="2" t="s">
        <v>14</v>
      </c>
      <c r="F1860" s="2" t="s">
        <v>2786</v>
      </c>
      <c r="G1860" s="28" t="s">
        <v>5</v>
      </c>
      <c r="H1860" s="2" t="s">
        <v>17</v>
      </c>
      <c r="I1860" s="2">
        <v>1</v>
      </c>
      <c r="J1860" s="2" t="s">
        <v>2787</v>
      </c>
      <c r="K1860" s="2">
        <v>8160</v>
      </c>
      <c r="L1860" s="35">
        <f t="shared" si="98"/>
        <v>26755089.599999998</v>
      </c>
      <c r="M1860" s="36">
        <v>3000</v>
      </c>
      <c r="N1860" s="40">
        <v>62691.781894077802</v>
      </c>
      <c r="O1860" s="40">
        <v>68210.435690059996</v>
      </c>
      <c r="P1860" s="40">
        <v>0</v>
      </c>
      <c r="Q1860" s="40">
        <v>17218.888599008598</v>
      </c>
      <c r="R1860" s="40">
        <v>119194.398904253</v>
      </c>
      <c r="S1860" s="40">
        <v>55469.240803548098</v>
      </c>
      <c r="T1860" s="40">
        <v>30000</v>
      </c>
      <c r="U1860" s="40">
        <v>2498104.26540284</v>
      </c>
      <c r="V1860" s="40">
        <v>0</v>
      </c>
      <c r="W1860" s="45">
        <f t="shared" si="99"/>
        <v>2850889.0112937875</v>
      </c>
      <c r="X1860" s="46">
        <f t="shared" si="100"/>
        <v>10.655501640681434</v>
      </c>
    </row>
    <row r="1861" spans="1:24" s="4" customFormat="1" ht="15" customHeight="1">
      <c r="A1861" s="28" t="s">
        <v>2682</v>
      </c>
      <c r="B1861" s="29">
        <v>3278.81</v>
      </c>
      <c r="C1861" s="30" t="s">
        <v>2785</v>
      </c>
      <c r="D1861" s="2">
        <v>4950875606</v>
      </c>
      <c r="E1861" s="2" t="s">
        <v>14</v>
      </c>
      <c r="F1861" s="2" t="s">
        <v>2786</v>
      </c>
      <c r="G1861" s="28" t="s">
        <v>5</v>
      </c>
      <c r="H1861" s="2" t="s">
        <v>17</v>
      </c>
      <c r="I1861" s="2">
        <v>1</v>
      </c>
      <c r="J1861" s="2" t="s">
        <v>2787</v>
      </c>
      <c r="K1861" s="2">
        <v>634.95000000000005</v>
      </c>
      <c r="L1861" s="35">
        <f t="shared" si="98"/>
        <v>2081880.4095000001</v>
      </c>
      <c r="M1861" s="36">
        <v>45</v>
      </c>
      <c r="N1861" s="40">
        <v>940.37672841116603</v>
      </c>
      <c r="O1861" s="40">
        <v>1023.1565353509</v>
      </c>
      <c r="P1861" s="40">
        <v>0</v>
      </c>
      <c r="Q1861" s="40">
        <v>258.283328985129</v>
      </c>
      <c r="R1861" s="40">
        <v>1788.3109835637899</v>
      </c>
      <c r="S1861" s="40">
        <v>832.03861205322198</v>
      </c>
      <c r="T1861" s="40">
        <v>30000</v>
      </c>
      <c r="U1861" s="40">
        <v>37471.563981042702</v>
      </c>
      <c r="V1861" s="40">
        <v>0</v>
      </c>
      <c r="W1861" s="45">
        <f t="shared" si="99"/>
        <v>72313.730169406917</v>
      </c>
      <c r="X1861" s="46">
        <f t="shared" si="100"/>
        <v>3.4734814660547348</v>
      </c>
    </row>
    <row r="1862" spans="1:24" s="4" customFormat="1" ht="15" customHeight="1">
      <c r="A1862" s="28" t="s">
        <v>2682</v>
      </c>
      <c r="B1862" s="29">
        <v>3278.81</v>
      </c>
      <c r="C1862" s="30" t="s">
        <v>2785</v>
      </c>
      <c r="D1862" s="2">
        <v>4950875643</v>
      </c>
      <c r="E1862" s="2" t="s">
        <v>14</v>
      </c>
      <c r="F1862" s="2" t="s">
        <v>2786</v>
      </c>
      <c r="G1862" s="28" t="s">
        <v>5</v>
      </c>
      <c r="H1862" s="2" t="s">
        <v>17</v>
      </c>
      <c r="I1862" s="2">
        <v>1</v>
      </c>
      <c r="J1862" s="2" t="s">
        <v>2787</v>
      </c>
      <c r="K1862" s="2">
        <v>662.4</v>
      </c>
      <c r="L1862" s="35">
        <f t="shared" si="98"/>
        <v>2171883.7439999999</v>
      </c>
      <c r="M1862" s="36">
        <v>120</v>
      </c>
      <c r="N1862" s="40">
        <v>2507.6712757631099</v>
      </c>
      <c r="O1862" s="40">
        <v>2728.4174276024</v>
      </c>
      <c r="P1862" s="40">
        <v>0</v>
      </c>
      <c r="Q1862" s="40">
        <v>688.75554396034397</v>
      </c>
      <c r="R1862" s="40">
        <v>4767.4959561700998</v>
      </c>
      <c r="S1862" s="40">
        <v>2218.7696321419298</v>
      </c>
      <c r="T1862" s="40">
        <v>30000</v>
      </c>
      <c r="U1862" s="40">
        <v>99924.170616113799</v>
      </c>
      <c r="V1862" s="40">
        <v>0</v>
      </c>
      <c r="W1862" s="45">
        <f t="shared" si="99"/>
        <v>142835.28045175169</v>
      </c>
      <c r="X1862" s="46">
        <f t="shared" si="100"/>
        <v>6.5765619751216153</v>
      </c>
    </row>
    <row r="1863" spans="1:24" s="4" customFormat="1" ht="15" customHeight="1">
      <c r="A1863" s="28" t="s">
        <v>2682</v>
      </c>
      <c r="B1863" s="29">
        <v>3278.81</v>
      </c>
      <c r="C1863" s="30" t="s">
        <v>2785</v>
      </c>
      <c r="D1863" s="2">
        <v>4950585750</v>
      </c>
      <c r="E1863" s="2" t="s">
        <v>14</v>
      </c>
      <c r="F1863" s="2" t="s">
        <v>2786</v>
      </c>
      <c r="G1863" s="28" t="s">
        <v>5</v>
      </c>
      <c r="H1863" s="2" t="s">
        <v>17</v>
      </c>
      <c r="I1863" s="2">
        <v>1</v>
      </c>
      <c r="J1863" s="2" t="s">
        <v>2787</v>
      </c>
      <c r="K1863" s="2">
        <v>14720</v>
      </c>
      <c r="L1863" s="35">
        <f t="shared" si="98"/>
        <v>48264083.199999996</v>
      </c>
      <c r="M1863" s="36">
        <v>16000</v>
      </c>
      <c r="N1863" s="40">
        <v>334356.17010174802</v>
      </c>
      <c r="O1863" s="40">
        <v>363788.99034698698</v>
      </c>
      <c r="P1863" s="40">
        <v>0</v>
      </c>
      <c r="Q1863" s="40">
        <v>91834.072528045901</v>
      </c>
      <c r="R1863" s="40">
        <v>635703.79415601399</v>
      </c>
      <c r="S1863" s="40">
        <v>295835.95095225697</v>
      </c>
      <c r="T1863" s="40">
        <v>30000</v>
      </c>
      <c r="U1863" s="40">
        <v>0</v>
      </c>
      <c r="V1863" s="40">
        <v>0</v>
      </c>
      <c r="W1863" s="45">
        <f t="shared" si="99"/>
        <v>1751518.9780850518</v>
      </c>
      <c r="X1863" s="46">
        <f t="shared" si="100"/>
        <v>3.6290319052099016</v>
      </c>
    </row>
    <row r="1864" spans="1:24" s="4" customFormat="1" ht="15" customHeight="1">
      <c r="A1864" s="28" t="s">
        <v>2682</v>
      </c>
      <c r="B1864" s="29">
        <v>3278.81</v>
      </c>
      <c r="C1864" s="30" t="s">
        <v>2788</v>
      </c>
      <c r="D1864" s="2">
        <v>4950129090</v>
      </c>
      <c r="E1864" s="2" t="s">
        <v>14</v>
      </c>
      <c r="F1864" s="2" t="s">
        <v>2789</v>
      </c>
      <c r="G1864" s="28" t="s">
        <v>5</v>
      </c>
      <c r="H1864" s="2" t="s">
        <v>20</v>
      </c>
      <c r="I1864" s="2">
        <v>1</v>
      </c>
      <c r="J1864" s="2" t="s">
        <v>2790</v>
      </c>
      <c r="K1864" s="2">
        <v>22200</v>
      </c>
      <c r="L1864" s="35">
        <f t="shared" si="98"/>
        <v>72789582</v>
      </c>
      <c r="M1864" s="36">
        <v>12000</v>
      </c>
      <c r="N1864" s="40">
        <v>524798</v>
      </c>
      <c r="O1864" s="40">
        <v>332157</v>
      </c>
      <c r="P1864" s="40">
        <v>0</v>
      </c>
      <c r="Q1864" s="40">
        <v>110000</v>
      </c>
      <c r="R1864" s="40">
        <v>638452</v>
      </c>
      <c r="S1864" s="40">
        <v>354356</v>
      </c>
      <c r="T1864" s="40">
        <v>30000</v>
      </c>
      <c r="U1864" s="40">
        <v>3288300</v>
      </c>
      <c r="V1864" s="40">
        <v>0</v>
      </c>
      <c r="W1864" s="45">
        <f t="shared" si="99"/>
        <v>5278063</v>
      </c>
      <c r="X1864" s="46">
        <f t="shared" si="100"/>
        <v>7.2511242062085204</v>
      </c>
    </row>
    <row r="1865" spans="1:24" s="4" customFormat="1" ht="15" customHeight="1">
      <c r="A1865" s="28" t="s">
        <v>2682</v>
      </c>
      <c r="B1865" s="29">
        <v>3278.81</v>
      </c>
      <c r="C1865" s="30" t="s">
        <v>2791</v>
      </c>
      <c r="D1865" s="2">
        <v>4950585749</v>
      </c>
      <c r="E1865" s="2" t="s">
        <v>14</v>
      </c>
      <c r="F1865" s="2" t="s">
        <v>2792</v>
      </c>
      <c r="G1865" s="28" t="s">
        <v>9</v>
      </c>
      <c r="H1865" s="2" t="s">
        <v>23</v>
      </c>
      <c r="I1865" s="2">
        <v>2</v>
      </c>
      <c r="J1865" s="2"/>
      <c r="K1865" s="2">
        <v>12090.75</v>
      </c>
      <c r="L1865" s="35">
        <f t="shared" si="98"/>
        <v>39643272.0075</v>
      </c>
      <c r="M1865" s="36">
        <v>525</v>
      </c>
      <c r="N1865" s="40">
        <v>303169.44444444397</v>
      </c>
      <c r="O1865" s="40">
        <v>373.33333333333297</v>
      </c>
      <c r="P1865" s="40">
        <v>0</v>
      </c>
      <c r="Q1865" s="40">
        <v>8766.6666666666697</v>
      </c>
      <c r="R1865" s="40">
        <v>60185.555555555598</v>
      </c>
      <c r="S1865" s="40">
        <v>196864.444444444</v>
      </c>
      <c r="T1865" s="40">
        <v>30000</v>
      </c>
      <c r="U1865" s="40">
        <v>759833.33333333302</v>
      </c>
      <c r="V1865" s="40">
        <v>0</v>
      </c>
      <c r="W1865" s="45">
        <f t="shared" si="99"/>
        <v>1359192.7777777766</v>
      </c>
      <c r="X1865" s="46">
        <f t="shared" si="100"/>
        <v>3.4285585143442114</v>
      </c>
    </row>
    <row r="1866" spans="1:24" s="4" customFormat="1" ht="15" customHeight="1">
      <c r="A1866" s="28" t="s">
        <v>2682</v>
      </c>
      <c r="B1866" s="29">
        <v>3278.81</v>
      </c>
      <c r="C1866" s="30" t="s">
        <v>2791</v>
      </c>
      <c r="D1866" s="2">
        <v>4950726658</v>
      </c>
      <c r="E1866" s="2" t="s">
        <v>14</v>
      </c>
      <c r="F1866" s="2" t="s">
        <v>2792</v>
      </c>
      <c r="G1866" s="28" t="s">
        <v>9</v>
      </c>
      <c r="H1866" s="2" t="s">
        <v>23</v>
      </c>
      <c r="I1866" s="2">
        <v>2</v>
      </c>
      <c r="J1866" s="2"/>
      <c r="K1866" s="2">
        <v>2507.4</v>
      </c>
      <c r="L1866" s="35">
        <f t="shared" si="98"/>
        <v>8221288.1940000001</v>
      </c>
      <c r="M1866" s="36">
        <v>420</v>
      </c>
      <c r="N1866" s="40">
        <v>242535.555555556</v>
      </c>
      <c r="O1866" s="40">
        <v>298.66666666666703</v>
      </c>
      <c r="P1866" s="40">
        <v>0</v>
      </c>
      <c r="Q1866" s="40">
        <v>7013.3333333333303</v>
      </c>
      <c r="R1866" s="40">
        <v>48148.444444444402</v>
      </c>
      <c r="S1866" s="40">
        <v>157491.555555556</v>
      </c>
      <c r="T1866" s="40">
        <v>30000</v>
      </c>
      <c r="U1866" s="40">
        <v>607866.66666666698</v>
      </c>
      <c r="V1866" s="40">
        <v>0</v>
      </c>
      <c r="W1866" s="45">
        <f t="shared" si="99"/>
        <v>1093354.2222222234</v>
      </c>
      <c r="X1866" s="46">
        <f t="shared" si="100"/>
        <v>13.299062098567072</v>
      </c>
    </row>
    <row r="1867" spans="1:24" s="4" customFormat="1" ht="15" customHeight="1">
      <c r="A1867" s="28" t="s">
        <v>2682</v>
      </c>
      <c r="B1867" s="29">
        <v>3278.81</v>
      </c>
      <c r="C1867" s="30" t="s">
        <v>2793</v>
      </c>
      <c r="D1867" s="2">
        <v>4947226232</v>
      </c>
      <c r="E1867" s="2" t="s">
        <v>6</v>
      </c>
      <c r="F1867" s="2" t="s">
        <v>2794</v>
      </c>
      <c r="G1867" s="28" t="s">
        <v>9</v>
      </c>
      <c r="H1867" s="2" t="s">
        <v>23</v>
      </c>
      <c r="I1867" s="2">
        <v>6</v>
      </c>
      <c r="J1867" s="2"/>
      <c r="K1867" s="2">
        <v>24969.599999999999</v>
      </c>
      <c r="L1867" s="35">
        <f t="shared" si="98"/>
        <v>81870574.175999999</v>
      </c>
      <c r="M1867" s="36">
        <v>2880</v>
      </c>
      <c r="N1867" s="40">
        <v>887399</v>
      </c>
      <c r="O1867" s="40">
        <v>2286</v>
      </c>
      <c r="P1867" s="40">
        <v>0</v>
      </c>
      <c r="Q1867" s="40">
        <v>53845</v>
      </c>
      <c r="R1867" s="40">
        <v>146538</v>
      </c>
      <c r="S1867" s="40">
        <v>354356</v>
      </c>
      <c r="T1867" s="40">
        <v>30000</v>
      </c>
      <c r="U1867" s="40">
        <v>2085500</v>
      </c>
      <c r="V1867" s="40">
        <v>0</v>
      </c>
      <c r="W1867" s="45">
        <f t="shared" si="99"/>
        <v>3559924</v>
      </c>
      <c r="X1867" s="46">
        <f t="shared" si="100"/>
        <v>4.348233826169472</v>
      </c>
    </row>
    <row r="1868" spans="1:24" s="4" customFormat="1" ht="15" customHeight="1">
      <c r="A1868" s="28" t="s">
        <v>2682</v>
      </c>
      <c r="B1868" s="29">
        <v>3278.81</v>
      </c>
      <c r="C1868" s="30" t="s">
        <v>2795</v>
      </c>
      <c r="D1868" s="2">
        <v>4951050360</v>
      </c>
      <c r="E1868" s="2" t="s">
        <v>14</v>
      </c>
      <c r="F1868" s="78" t="s">
        <v>2796</v>
      </c>
      <c r="G1868" s="28" t="s">
        <v>13</v>
      </c>
      <c r="H1868" s="2" t="s">
        <v>23</v>
      </c>
      <c r="I1868" s="2">
        <v>1</v>
      </c>
      <c r="J1868" s="2"/>
      <c r="K1868" s="2">
        <v>7848</v>
      </c>
      <c r="L1868" s="35">
        <f t="shared" si="98"/>
        <v>25732100.879999999</v>
      </c>
      <c r="M1868" s="36">
        <v>100</v>
      </c>
      <c r="N1868" s="40">
        <v>393261.88</v>
      </c>
      <c r="O1868" s="40">
        <v>0</v>
      </c>
      <c r="P1868" s="40">
        <v>0</v>
      </c>
      <c r="Q1868" s="40">
        <v>0</v>
      </c>
      <c r="R1868" s="40">
        <v>4573</v>
      </c>
      <c r="S1868" s="40">
        <v>354356</v>
      </c>
      <c r="T1868" s="40">
        <v>30000</v>
      </c>
      <c r="U1868" s="40">
        <v>117323.80952381001</v>
      </c>
      <c r="V1868" s="40">
        <v>0</v>
      </c>
      <c r="W1868" s="45">
        <f t="shared" si="99"/>
        <v>899514.68952381006</v>
      </c>
      <c r="X1868" s="46">
        <f t="shared" si="100"/>
        <v>3.495690824929683</v>
      </c>
    </row>
    <row r="1869" spans="1:24" s="4" customFormat="1" ht="15" customHeight="1">
      <c r="A1869" s="28" t="s">
        <v>2682</v>
      </c>
      <c r="B1869" s="29">
        <v>3278.81</v>
      </c>
      <c r="C1869" s="30" t="s">
        <v>2797</v>
      </c>
      <c r="D1869" s="2">
        <v>4951351010</v>
      </c>
      <c r="E1869" s="2" t="s">
        <v>14</v>
      </c>
      <c r="F1869" s="78" t="s">
        <v>2798</v>
      </c>
      <c r="G1869" s="28" t="s">
        <v>13</v>
      </c>
      <c r="H1869" s="2" t="s">
        <v>23</v>
      </c>
      <c r="I1869" s="2">
        <v>4</v>
      </c>
      <c r="J1869" s="2"/>
      <c r="K1869" s="2">
        <f>2616.2+233.21</f>
        <v>2849.41</v>
      </c>
      <c r="L1869" s="35">
        <f t="shared" si="98"/>
        <v>9342674.0021000002</v>
      </c>
      <c r="M1869" s="36">
        <v>20</v>
      </c>
      <c r="N1869" s="40">
        <v>317130</v>
      </c>
      <c r="O1869" s="40">
        <v>0</v>
      </c>
      <c r="P1869" s="40">
        <v>0</v>
      </c>
      <c r="Q1869" s="40">
        <v>0</v>
      </c>
      <c r="R1869" s="40">
        <v>4254</v>
      </c>
      <c r="S1869" s="40">
        <v>354356</v>
      </c>
      <c r="T1869" s="40">
        <v>30000</v>
      </c>
      <c r="U1869" s="40">
        <v>23464.761904761901</v>
      </c>
      <c r="V1869" s="40">
        <v>0</v>
      </c>
      <c r="W1869" s="45">
        <f t="shared" si="99"/>
        <v>729204.76190476189</v>
      </c>
      <c r="X1869" s="46">
        <f t="shared" si="100"/>
        <v>7.8050969320009971</v>
      </c>
    </row>
    <row r="1870" spans="1:24" s="4" customFormat="1" ht="15" customHeight="1">
      <c r="A1870" s="28" t="s">
        <v>2682</v>
      </c>
      <c r="B1870" s="29">
        <v>3278.81</v>
      </c>
      <c r="C1870" s="30" t="s">
        <v>2799</v>
      </c>
      <c r="D1870" s="2">
        <v>4951050362</v>
      </c>
      <c r="E1870" s="2" t="s">
        <v>14</v>
      </c>
      <c r="F1870" s="78" t="s">
        <v>2800</v>
      </c>
      <c r="G1870" s="28" t="s">
        <v>13</v>
      </c>
      <c r="H1870" s="2" t="s">
        <v>23</v>
      </c>
      <c r="I1870" s="2">
        <v>1</v>
      </c>
      <c r="J1870" s="2"/>
      <c r="K1870" s="2">
        <v>532.6</v>
      </c>
      <c r="L1870" s="35">
        <f t="shared" si="98"/>
        <v>1746294.206</v>
      </c>
      <c r="M1870" s="36">
        <v>10</v>
      </c>
      <c r="N1870" s="40">
        <v>42252.146666666697</v>
      </c>
      <c r="O1870" s="40">
        <v>0</v>
      </c>
      <c r="P1870" s="40">
        <v>0</v>
      </c>
      <c r="Q1870" s="40">
        <v>0</v>
      </c>
      <c r="R1870" s="40">
        <v>835.66666666666697</v>
      </c>
      <c r="S1870" s="40">
        <v>39372.888888888898</v>
      </c>
      <c r="T1870" s="40">
        <v>30000</v>
      </c>
      <c r="U1870" s="40">
        <v>11732.380952381</v>
      </c>
      <c r="V1870" s="40">
        <v>0</v>
      </c>
      <c r="W1870" s="45">
        <f t="shared" si="99"/>
        <v>124193.08317460326</v>
      </c>
      <c r="X1870" s="46">
        <f t="shared" si="100"/>
        <v>7.1118075492603028</v>
      </c>
    </row>
    <row r="1871" spans="1:24" s="4" customFormat="1" ht="15" customHeight="1">
      <c r="A1871" s="28" t="s">
        <v>2682</v>
      </c>
      <c r="B1871" s="29">
        <v>3278.81</v>
      </c>
      <c r="C1871" s="30" t="s">
        <v>2799</v>
      </c>
      <c r="D1871" s="2">
        <v>4951351013</v>
      </c>
      <c r="E1871" s="2" t="s">
        <v>14</v>
      </c>
      <c r="F1871" s="78" t="s">
        <v>2800</v>
      </c>
      <c r="G1871" s="28" t="s">
        <v>13</v>
      </c>
      <c r="H1871" s="2" t="s">
        <v>23</v>
      </c>
      <c r="I1871" s="2">
        <v>1</v>
      </c>
      <c r="J1871" s="2"/>
      <c r="K1871" s="2">
        <v>10849.6</v>
      </c>
      <c r="L1871" s="35">
        <f t="shared" si="98"/>
        <v>35573776.976000004</v>
      </c>
      <c r="M1871" s="36">
        <v>80</v>
      </c>
      <c r="N1871" s="40">
        <v>338017.17333333299</v>
      </c>
      <c r="O1871" s="40">
        <v>0</v>
      </c>
      <c r="P1871" s="40">
        <v>0</v>
      </c>
      <c r="Q1871" s="40">
        <v>0</v>
      </c>
      <c r="R1871" s="40">
        <v>6685.3333333333303</v>
      </c>
      <c r="S1871" s="40">
        <v>314983.11111111101</v>
      </c>
      <c r="T1871" s="40">
        <v>30000</v>
      </c>
      <c r="U1871" s="40">
        <v>93859.047619047604</v>
      </c>
      <c r="V1871" s="40">
        <v>0</v>
      </c>
      <c r="W1871" s="45">
        <f t="shared" si="99"/>
        <v>783544.66539682494</v>
      </c>
      <c r="X1871" s="46">
        <f t="shared" si="100"/>
        <v>2.2025905934178613</v>
      </c>
    </row>
    <row r="1872" spans="1:24" s="4" customFormat="1" ht="15" customHeight="1">
      <c r="A1872" s="28" t="s">
        <v>2682</v>
      </c>
      <c r="B1872" s="29">
        <v>3278.81</v>
      </c>
      <c r="C1872" s="30" t="s">
        <v>2801</v>
      </c>
      <c r="D1872" s="2">
        <v>4947226222</v>
      </c>
      <c r="E1872" s="2" t="s">
        <v>6</v>
      </c>
      <c r="F1872" s="78" t="s">
        <v>2802</v>
      </c>
      <c r="G1872" s="28" t="s">
        <v>9</v>
      </c>
      <c r="H1872" s="2" t="s">
        <v>23</v>
      </c>
      <c r="I1872" s="2">
        <v>4</v>
      </c>
      <c r="J1872" s="2"/>
      <c r="K1872" s="2">
        <v>17092.8</v>
      </c>
      <c r="L1872" s="35">
        <f t="shared" si="98"/>
        <v>56044043.567999996</v>
      </c>
      <c r="M1872" s="36">
        <v>1440</v>
      </c>
      <c r="N1872" s="40">
        <v>560022</v>
      </c>
      <c r="O1872" s="40">
        <v>1232.5</v>
      </c>
      <c r="P1872" s="40">
        <v>47664</v>
      </c>
      <c r="Q1872" s="40">
        <v>36627.5</v>
      </c>
      <c r="R1872" s="40">
        <v>85160</v>
      </c>
      <c r="S1872" s="40">
        <v>177178</v>
      </c>
      <c r="T1872" s="40">
        <v>30000</v>
      </c>
      <c r="U1872" s="40">
        <v>683850</v>
      </c>
      <c r="V1872" s="40">
        <v>0</v>
      </c>
      <c r="W1872" s="45">
        <f t="shared" si="99"/>
        <v>1621734</v>
      </c>
      <c r="X1872" s="46">
        <f t="shared" si="100"/>
        <v>2.8936777162274154</v>
      </c>
    </row>
    <row r="1873" spans="1:24" s="4" customFormat="1" ht="15" customHeight="1">
      <c r="A1873" s="28" t="s">
        <v>2682</v>
      </c>
      <c r="B1873" s="29">
        <v>3278.81</v>
      </c>
      <c r="C1873" s="30" t="s">
        <v>2801</v>
      </c>
      <c r="D1873" s="2">
        <v>4947223072</v>
      </c>
      <c r="E1873" s="2" t="s">
        <v>6</v>
      </c>
      <c r="F1873" s="78" t="s">
        <v>2802</v>
      </c>
      <c r="G1873" s="28" t="s">
        <v>9</v>
      </c>
      <c r="H1873" s="2" t="s">
        <v>23</v>
      </c>
      <c r="I1873" s="2">
        <v>4</v>
      </c>
      <c r="J1873" s="2"/>
      <c r="K1873" s="2">
        <v>17092.8</v>
      </c>
      <c r="L1873" s="35">
        <f t="shared" si="98"/>
        <v>56044043.567999996</v>
      </c>
      <c r="M1873" s="36">
        <v>1440</v>
      </c>
      <c r="N1873" s="40">
        <v>560022</v>
      </c>
      <c r="O1873" s="40">
        <v>1232.5</v>
      </c>
      <c r="P1873" s="40">
        <v>47664</v>
      </c>
      <c r="Q1873" s="40">
        <v>36627.5</v>
      </c>
      <c r="R1873" s="40">
        <v>85160</v>
      </c>
      <c r="S1873" s="40">
        <v>177178</v>
      </c>
      <c r="T1873" s="40">
        <v>30000</v>
      </c>
      <c r="U1873" s="40">
        <v>683850</v>
      </c>
      <c r="V1873" s="40">
        <v>0</v>
      </c>
      <c r="W1873" s="45">
        <f t="shared" si="99"/>
        <v>1621734</v>
      </c>
      <c r="X1873" s="46">
        <f t="shared" si="100"/>
        <v>2.8936777162274154</v>
      </c>
    </row>
    <row r="1874" spans="1:24" s="4" customFormat="1" ht="15" customHeight="1">
      <c r="A1874" s="28" t="s">
        <v>2682</v>
      </c>
      <c r="B1874" s="29">
        <v>3278.81</v>
      </c>
      <c r="C1874" s="30" t="s">
        <v>2803</v>
      </c>
      <c r="D1874" s="2">
        <v>4951047459</v>
      </c>
      <c r="E1874" s="2" t="s">
        <v>14</v>
      </c>
      <c r="F1874" s="2" t="s">
        <v>2804</v>
      </c>
      <c r="G1874" s="28" t="s">
        <v>9</v>
      </c>
      <c r="H1874" s="2" t="s">
        <v>23</v>
      </c>
      <c r="I1874" s="2">
        <v>5</v>
      </c>
      <c r="J1874" s="2"/>
      <c r="K1874" s="2">
        <v>22441.5</v>
      </c>
      <c r="L1874" s="35">
        <f t="shared" si="98"/>
        <v>73581414.614999995</v>
      </c>
      <c r="M1874" s="36">
        <f>450+1050</f>
        <v>1500</v>
      </c>
      <c r="N1874" s="40">
        <v>650242</v>
      </c>
      <c r="O1874" s="40">
        <v>1157</v>
      </c>
      <c r="P1874" s="40">
        <v>18300</v>
      </c>
      <c r="Q1874" s="40">
        <v>27940</v>
      </c>
      <c r="R1874" s="40">
        <v>115520</v>
      </c>
      <c r="S1874" s="40">
        <v>354356</v>
      </c>
      <c r="T1874" s="40">
        <v>30000</v>
      </c>
      <c r="U1874" s="40">
        <v>1314390.7563025199</v>
      </c>
      <c r="V1874" s="40">
        <v>0</v>
      </c>
      <c r="W1874" s="45">
        <f t="shared" si="99"/>
        <v>2511905.7563025197</v>
      </c>
      <c r="X1874" s="46">
        <f t="shared" si="100"/>
        <v>3.4137774728109851</v>
      </c>
    </row>
    <row r="1875" spans="1:24" s="4" customFormat="1" ht="15" customHeight="1">
      <c r="A1875" s="28" t="s">
        <v>2682</v>
      </c>
      <c r="B1875" s="29">
        <v>3278.81</v>
      </c>
      <c r="C1875" s="30" t="s">
        <v>2805</v>
      </c>
      <c r="D1875" s="2">
        <v>4951017748</v>
      </c>
      <c r="E1875" s="2" t="s">
        <v>24</v>
      </c>
      <c r="F1875" s="2" t="s">
        <v>2806</v>
      </c>
      <c r="G1875" s="28" t="s">
        <v>9</v>
      </c>
      <c r="H1875" s="2" t="s">
        <v>23</v>
      </c>
      <c r="I1875" s="2">
        <v>1</v>
      </c>
      <c r="J1875" s="2"/>
      <c r="K1875" s="2">
        <v>12009.6</v>
      </c>
      <c r="L1875" s="35">
        <f t="shared" si="98"/>
        <v>39377196.575999998</v>
      </c>
      <c r="M1875" s="36">
        <v>720</v>
      </c>
      <c r="N1875" s="40">
        <v>503102</v>
      </c>
      <c r="O1875" s="40">
        <v>529</v>
      </c>
      <c r="P1875" s="40">
        <v>0</v>
      </c>
      <c r="Q1875" s="40">
        <v>12861</v>
      </c>
      <c r="R1875" s="40">
        <v>101756</v>
      </c>
      <c r="S1875" s="40">
        <v>354356</v>
      </c>
      <c r="T1875" s="40"/>
      <c r="U1875" s="40">
        <v>481269.23076923098</v>
      </c>
      <c r="V1875" s="40">
        <v>0</v>
      </c>
      <c r="W1875" s="45">
        <f t="shared" si="99"/>
        <v>1453873.230769231</v>
      </c>
      <c r="X1875" s="46">
        <f t="shared" si="100"/>
        <v>3.6921704874626649</v>
      </c>
    </row>
    <row r="1876" spans="1:24" s="4" customFormat="1" ht="15" customHeight="1">
      <c r="A1876" s="28" t="s">
        <v>2682</v>
      </c>
      <c r="B1876" s="29">
        <v>3278.81</v>
      </c>
      <c r="C1876" s="30" t="s">
        <v>2807</v>
      </c>
      <c r="D1876" s="2">
        <v>4950559750</v>
      </c>
      <c r="E1876" s="2" t="s">
        <v>36</v>
      </c>
      <c r="F1876" s="2" t="s">
        <v>2808</v>
      </c>
      <c r="G1876" s="28" t="s">
        <v>5</v>
      </c>
      <c r="H1876" s="2" t="s">
        <v>26</v>
      </c>
      <c r="I1876" s="2">
        <v>1</v>
      </c>
      <c r="J1876" s="2" t="s">
        <v>2809</v>
      </c>
      <c r="K1876" s="2">
        <v>21266</v>
      </c>
      <c r="L1876" s="35">
        <f t="shared" si="98"/>
        <v>69727173.459999993</v>
      </c>
      <c r="M1876" s="36">
        <v>21700</v>
      </c>
      <c r="N1876" s="40">
        <v>339384</v>
      </c>
      <c r="O1876" s="40">
        <v>506063</v>
      </c>
      <c r="P1876" s="40">
        <v>2197693</v>
      </c>
      <c r="Q1876" s="40">
        <v>124137</v>
      </c>
      <c r="R1876" s="40">
        <v>854482</v>
      </c>
      <c r="S1876" s="40">
        <v>354356</v>
      </c>
      <c r="T1876" s="40"/>
      <c r="U1876" s="40">
        <v>0</v>
      </c>
      <c r="V1876" s="40">
        <v>0</v>
      </c>
      <c r="W1876" s="45">
        <f t="shared" si="99"/>
        <v>4376115</v>
      </c>
      <c r="X1876" s="46">
        <f t="shared" si="100"/>
        <v>6.2760539153511248</v>
      </c>
    </row>
    <row r="1877" spans="1:24" s="4" customFormat="1" ht="15" customHeight="1">
      <c r="A1877" s="28" t="s">
        <v>2682</v>
      </c>
      <c r="B1877" s="29">
        <v>3278.81</v>
      </c>
      <c r="C1877" s="30" t="s">
        <v>2810</v>
      </c>
      <c r="D1877" s="2">
        <v>4950978891</v>
      </c>
      <c r="E1877" s="2" t="s">
        <v>14</v>
      </c>
      <c r="F1877" s="2" t="s">
        <v>2811</v>
      </c>
      <c r="G1877" s="28" t="s">
        <v>9</v>
      </c>
      <c r="H1877" s="2" t="s">
        <v>23</v>
      </c>
      <c r="I1877" s="2">
        <v>1</v>
      </c>
      <c r="J1877" s="2"/>
      <c r="K1877" s="2">
        <v>2816</v>
      </c>
      <c r="L1877" s="35">
        <f t="shared" si="98"/>
        <v>9233128.959999999</v>
      </c>
      <c r="M1877" s="36">
        <v>880</v>
      </c>
      <c r="N1877" s="40">
        <v>621700</v>
      </c>
      <c r="O1877" s="40">
        <v>675</v>
      </c>
      <c r="P1877" s="40">
        <v>20381</v>
      </c>
      <c r="Q1877" s="40">
        <v>15571</v>
      </c>
      <c r="R1877" s="40">
        <v>102513</v>
      </c>
      <c r="S1877" s="40">
        <v>354356</v>
      </c>
      <c r="T1877" s="40">
        <v>30000</v>
      </c>
      <c r="U1877" s="40">
        <v>771109.24369747902</v>
      </c>
      <c r="V1877" s="40">
        <v>0</v>
      </c>
      <c r="W1877" s="45">
        <f t="shared" si="99"/>
        <v>1916305.2436974789</v>
      </c>
      <c r="X1877" s="46">
        <f t="shared" si="100"/>
        <v>20.754667805457348</v>
      </c>
    </row>
    <row r="1878" spans="1:24" s="4" customFormat="1" ht="15" customHeight="1">
      <c r="A1878" s="28" t="s">
        <v>2682</v>
      </c>
      <c r="B1878" s="29">
        <v>3278.81</v>
      </c>
      <c r="C1878" s="30" t="s">
        <v>2715</v>
      </c>
      <c r="D1878" s="2">
        <v>4950406822</v>
      </c>
      <c r="E1878" s="2" t="s">
        <v>21</v>
      </c>
      <c r="F1878" s="2" t="s">
        <v>2716</v>
      </c>
      <c r="G1878" s="28" t="s">
        <v>5</v>
      </c>
      <c r="H1878" s="2" t="s">
        <v>17</v>
      </c>
      <c r="I1878" s="2">
        <v>1</v>
      </c>
      <c r="J1878" s="2" t="s">
        <v>2717</v>
      </c>
      <c r="K1878" s="2">
        <v>106686.72</v>
      </c>
      <c r="L1878" s="35">
        <f t="shared" si="98"/>
        <v>349805484.40319997</v>
      </c>
      <c r="M1878" s="36">
        <v>9525.6</v>
      </c>
      <c r="N1878" s="40">
        <v>482518</v>
      </c>
      <c r="O1878" s="40">
        <v>432840</v>
      </c>
      <c r="P1878" s="40">
        <v>0</v>
      </c>
      <c r="Q1878" s="40">
        <v>110000</v>
      </c>
      <c r="R1878" s="40">
        <v>742340</v>
      </c>
      <c r="S1878" s="40">
        <v>354356</v>
      </c>
      <c r="T1878" s="40"/>
      <c r="U1878" s="40">
        <v>4719050</v>
      </c>
      <c r="V1878" s="40">
        <v>0</v>
      </c>
      <c r="W1878" s="45">
        <f t="shared" si="99"/>
        <v>6841104</v>
      </c>
      <c r="X1878" s="46">
        <f t="shared" si="100"/>
        <v>1.9556880337858473</v>
      </c>
    </row>
    <row r="1879" spans="1:24" s="4" customFormat="1" ht="15" customHeight="1">
      <c r="A1879" s="28" t="s">
        <v>2682</v>
      </c>
      <c r="B1879" s="29">
        <v>3278.81</v>
      </c>
      <c r="C1879" s="30" t="s">
        <v>2812</v>
      </c>
      <c r="D1879" s="2">
        <v>4949383322</v>
      </c>
      <c r="E1879" s="2" t="s">
        <v>38</v>
      </c>
      <c r="F1879" s="2" t="s">
        <v>2064</v>
      </c>
      <c r="G1879" s="28" t="s">
        <v>5</v>
      </c>
      <c r="H1879" s="2" t="s">
        <v>20</v>
      </c>
      <c r="I1879" s="2">
        <v>3</v>
      </c>
      <c r="J1879" s="2" t="s">
        <v>2065</v>
      </c>
      <c r="K1879" s="2">
        <f>25728+6432</f>
        <v>32160</v>
      </c>
      <c r="L1879" s="35">
        <f t="shared" si="98"/>
        <v>105446529.59999999</v>
      </c>
      <c r="M1879" s="36">
        <f>19200+4800</f>
        <v>24000</v>
      </c>
      <c r="N1879" s="40">
        <v>933152.08462274203</v>
      </c>
      <c r="O1879" s="40">
        <v>668305.40707815206</v>
      </c>
      <c r="P1879" s="40">
        <v>422869.521183818</v>
      </c>
      <c r="Q1879" s="40">
        <v>201155.46053001701</v>
      </c>
      <c r="R1879" s="40">
        <f>1164120.85748045+405109</f>
        <v>1569229.8574804501</v>
      </c>
      <c r="S1879" s="40">
        <v>239254.59967366201</v>
      </c>
      <c r="T1879" s="40"/>
      <c r="U1879" s="40">
        <v>8887345.9742305707</v>
      </c>
      <c r="V1879" s="40">
        <v>0</v>
      </c>
      <c r="W1879" s="45">
        <f t="shared" si="99"/>
        <v>12921312.904799413</v>
      </c>
      <c r="X1879" s="46">
        <f t="shared" si="100"/>
        <v>12.253900582423164</v>
      </c>
    </row>
    <row r="1880" spans="1:24" s="4" customFormat="1" ht="15" customHeight="1">
      <c r="A1880" s="28" t="s">
        <v>2682</v>
      </c>
      <c r="B1880" s="29">
        <v>3278.81</v>
      </c>
      <c r="C1880" s="30" t="s">
        <v>2812</v>
      </c>
      <c r="D1880" s="2">
        <v>4949573808</v>
      </c>
      <c r="E1880" s="2" t="s">
        <v>38</v>
      </c>
      <c r="F1880" s="2" t="s">
        <v>2064</v>
      </c>
      <c r="G1880" s="28" t="s">
        <v>5</v>
      </c>
      <c r="H1880" s="2" t="s">
        <v>20</v>
      </c>
      <c r="I1880" s="2">
        <v>3</v>
      </c>
      <c r="J1880" s="2" t="s">
        <v>2065</v>
      </c>
      <c r="K1880" s="2">
        <v>2004.77</v>
      </c>
      <c r="L1880" s="35">
        <f t="shared" si="98"/>
        <v>6573259.9237000002</v>
      </c>
      <c r="M1880" s="36">
        <v>1485</v>
      </c>
      <c r="N1880" s="40">
        <v>57738.785236032199</v>
      </c>
      <c r="O1880" s="40">
        <v>41351.397062960699</v>
      </c>
      <c r="P1880" s="40">
        <v>26165.051623248699</v>
      </c>
      <c r="Q1880" s="40">
        <v>12446.494120294799</v>
      </c>
      <c r="R1880" s="40">
        <f>72029+25066</f>
        <v>97095</v>
      </c>
      <c r="S1880" s="40">
        <v>14803.878354807901</v>
      </c>
      <c r="T1880" s="40"/>
      <c r="U1880" s="40">
        <v>549904.53215551702</v>
      </c>
      <c r="V1880" s="40">
        <v>0</v>
      </c>
      <c r="W1880" s="45">
        <f t="shared" si="99"/>
        <v>799505.13855286129</v>
      </c>
      <c r="X1880" s="46">
        <f t="shared" si="100"/>
        <v>12.162992911176872</v>
      </c>
    </row>
    <row r="1881" spans="1:24" s="4" customFormat="1" ht="15" customHeight="1">
      <c r="A1881" s="28" t="s">
        <v>2682</v>
      </c>
      <c r="B1881" s="29">
        <v>3278.81</v>
      </c>
      <c r="C1881" s="30" t="s">
        <v>2812</v>
      </c>
      <c r="D1881" s="2">
        <v>4949383323</v>
      </c>
      <c r="E1881" s="2" t="s">
        <v>38</v>
      </c>
      <c r="F1881" s="2" t="s">
        <v>2064</v>
      </c>
      <c r="G1881" s="28" t="s">
        <v>5</v>
      </c>
      <c r="H1881" s="2" t="s">
        <v>20</v>
      </c>
      <c r="I1881" s="2">
        <v>3</v>
      </c>
      <c r="J1881" s="2" t="s">
        <v>2065</v>
      </c>
      <c r="K1881" s="2">
        <v>10613.4</v>
      </c>
      <c r="L1881" s="35">
        <f t="shared" si="98"/>
        <v>34799322.053999998</v>
      </c>
      <c r="M1881" s="36">
        <v>7980</v>
      </c>
      <c r="N1881" s="40">
        <v>310273.06813706202</v>
      </c>
      <c r="O1881" s="40">
        <v>222211.547853486</v>
      </c>
      <c r="P1881" s="40">
        <v>140604.11579362</v>
      </c>
      <c r="Q1881" s="40">
        <v>66884.190626230804</v>
      </c>
      <c r="R1881" s="40">
        <f>387070+134699</f>
        <v>521769</v>
      </c>
      <c r="S1881" s="40">
        <v>79552.154391492702</v>
      </c>
      <c r="T1881" s="40"/>
      <c r="U1881" s="40">
        <v>2955042.5364316702</v>
      </c>
      <c r="V1881" s="40">
        <v>0</v>
      </c>
      <c r="W1881" s="45">
        <f t="shared" si="99"/>
        <v>4296336.6132335616</v>
      </c>
      <c r="X1881" s="46">
        <f t="shared" si="100"/>
        <v>12.346035381283299</v>
      </c>
    </row>
    <row r="1882" spans="1:24" s="4" customFormat="1" ht="15" customHeight="1">
      <c r="A1882" s="28" t="s">
        <v>2682</v>
      </c>
      <c r="B1882" s="29">
        <v>3278.81</v>
      </c>
      <c r="C1882" s="30" t="s">
        <v>2812</v>
      </c>
      <c r="D1882" s="2">
        <v>4949590758</v>
      </c>
      <c r="E1882" s="2" t="s">
        <v>38</v>
      </c>
      <c r="F1882" s="2" t="s">
        <v>2064</v>
      </c>
      <c r="G1882" s="28" t="s">
        <v>5</v>
      </c>
      <c r="H1882" s="2" t="s">
        <v>20</v>
      </c>
      <c r="I1882" s="2">
        <v>3</v>
      </c>
      <c r="J1882" s="2" t="s">
        <v>2065</v>
      </c>
      <c r="K1882" s="2">
        <v>49.32</v>
      </c>
      <c r="L1882" s="35">
        <f t="shared" si="98"/>
        <v>161710.90919999999</v>
      </c>
      <c r="M1882" s="36">
        <v>36</v>
      </c>
      <c r="N1882" s="40">
        <v>1399.7281269341099</v>
      </c>
      <c r="O1882" s="40">
        <v>1002.45811061723</v>
      </c>
      <c r="P1882" s="40">
        <v>634.30428177572696</v>
      </c>
      <c r="Q1882" s="40">
        <v>301.73319079502602</v>
      </c>
      <c r="R1882" s="40">
        <f>1746+608</f>
        <v>2354</v>
      </c>
      <c r="S1882" s="40">
        <v>358.88189951049299</v>
      </c>
      <c r="T1882" s="40"/>
      <c r="U1882" s="40">
        <v>13331.018961345901</v>
      </c>
      <c r="V1882" s="40">
        <v>0</v>
      </c>
      <c r="W1882" s="45">
        <f t="shared" si="99"/>
        <v>19382.124570978485</v>
      </c>
      <c r="X1882" s="46">
        <f t="shared" si="100"/>
        <v>11.985662975283356</v>
      </c>
    </row>
    <row r="1883" spans="1:24" s="4" customFormat="1" ht="15" customHeight="1">
      <c r="A1883" s="28" t="s">
        <v>2682</v>
      </c>
      <c r="B1883" s="29">
        <v>3278.81</v>
      </c>
      <c r="C1883" s="30" t="s">
        <v>2812</v>
      </c>
      <c r="D1883" s="2">
        <v>4949590751</v>
      </c>
      <c r="E1883" s="2" t="s">
        <v>38</v>
      </c>
      <c r="F1883" s="2" t="s">
        <v>2064</v>
      </c>
      <c r="G1883" s="28" t="s">
        <v>5</v>
      </c>
      <c r="H1883" s="2" t="s">
        <v>20</v>
      </c>
      <c r="I1883" s="2">
        <v>3</v>
      </c>
      <c r="J1883" s="2" t="s">
        <v>2065</v>
      </c>
      <c r="K1883" s="2">
        <v>607.20000000000005</v>
      </c>
      <c r="L1883" s="35">
        <f t="shared" si="98"/>
        <v>1990893.432</v>
      </c>
      <c r="M1883" s="36">
        <v>440</v>
      </c>
      <c r="N1883" s="40">
        <v>17107.788218083599</v>
      </c>
      <c r="O1883" s="40">
        <v>12252.265796432799</v>
      </c>
      <c r="P1883" s="40">
        <v>7752.6078883700002</v>
      </c>
      <c r="Q1883" s="40">
        <v>3687.8501097169901</v>
      </c>
      <c r="R1883" s="40">
        <f>21342+7427</f>
        <v>28769</v>
      </c>
      <c r="S1883" s="40">
        <v>4386.3343273504797</v>
      </c>
      <c r="T1883" s="40"/>
      <c r="U1883" s="40">
        <v>162934.67619422701</v>
      </c>
      <c r="V1883" s="40">
        <v>0</v>
      </c>
      <c r="W1883" s="45">
        <f t="shared" si="99"/>
        <v>236890.52253418087</v>
      </c>
      <c r="X1883" s="46">
        <f t="shared" si="100"/>
        <v>11.898704306649242</v>
      </c>
    </row>
    <row r="1884" spans="1:24" s="4" customFormat="1" ht="15" customHeight="1">
      <c r="A1884" s="28" t="s">
        <v>2682</v>
      </c>
      <c r="B1884" s="29">
        <v>3278.81</v>
      </c>
      <c r="C1884" s="30" t="s">
        <v>2812</v>
      </c>
      <c r="D1884" s="2">
        <v>4949590756</v>
      </c>
      <c r="E1884" s="2" t="s">
        <v>38</v>
      </c>
      <c r="F1884" s="2" t="s">
        <v>2064</v>
      </c>
      <c r="G1884" s="28" t="s">
        <v>5</v>
      </c>
      <c r="H1884" s="2" t="s">
        <v>20</v>
      </c>
      <c r="I1884" s="2">
        <v>3</v>
      </c>
      <c r="J1884" s="2" t="s">
        <v>2065</v>
      </c>
      <c r="K1884" s="2">
        <v>146.30000000000001</v>
      </c>
      <c r="L1884" s="35">
        <f t="shared" si="98"/>
        <v>479689.90300000005</v>
      </c>
      <c r="M1884" s="36">
        <v>110</v>
      </c>
      <c r="N1884" s="40">
        <v>4276.9470545208997</v>
      </c>
      <c r="O1884" s="40">
        <v>3063.0664491081998</v>
      </c>
      <c r="P1884" s="40">
        <v>1938.1519720925</v>
      </c>
      <c r="Q1884" s="40">
        <v>921.96252742924696</v>
      </c>
      <c r="R1884" s="40">
        <f>5335+1857</f>
        <v>7192</v>
      </c>
      <c r="S1884" s="40">
        <v>1096.5835818376199</v>
      </c>
      <c r="T1884" s="40"/>
      <c r="U1884" s="40">
        <v>40733.669048556803</v>
      </c>
      <c r="V1884" s="40">
        <v>0</v>
      </c>
      <c r="W1884" s="45">
        <f t="shared" si="99"/>
        <v>59222.380633545268</v>
      </c>
      <c r="X1884" s="46">
        <f t="shared" si="100"/>
        <v>12.345971900422773</v>
      </c>
    </row>
    <row r="1885" spans="1:24" s="4" customFormat="1" ht="15" customHeight="1">
      <c r="A1885" s="28" t="s">
        <v>2682</v>
      </c>
      <c r="B1885" s="29">
        <v>3278.81</v>
      </c>
      <c r="C1885" s="30" t="s">
        <v>2812</v>
      </c>
      <c r="D1885" s="2">
        <v>4949588791</v>
      </c>
      <c r="E1885" s="2" t="s">
        <v>38</v>
      </c>
      <c r="F1885" s="2" t="s">
        <v>2064</v>
      </c>
      <c r="G1885" s="28" t="s">
        <v>5</v>
      </c>
      <c r="H1885" s="2" t="s">
        <v>20</v>
      </c>
      <c r="I1885" s="2">
        <v>3</v>
      </c>
      <c r="J1885" s="2" t="s">
        <v>2065</v>
      </c>
      <c r="K1885" s="2">
        <v>1101.5999999999999</v>
      </c>
      <c r="L1885" s="35">
        <f t="shared" si="98"/>
        <v>3611937.0959999994</v>
      </c>
      <c r="M1885" s="36">
        <v>816</v>
      </c>
      <c r="N1885" s="40">
        <v>31727.170877173201</v>
      </c>
      <c r="O1885" s="40">
        <v>22722.383840657199</v>
      </c>
      <c r="P1885" s="40">
        <v>14377.5637202498</v>
      </c>
      <c r="Q1885" s="40">
        <v>6839.2856580205898</v>
      </c>
      <c r="R1885" s="40">
        <f>39580+14378</f>
        <v>53958</v>
      </c>
      <c r="S1885" s="40">
        <v>8134.6563889045201</v>
      </c>
      <c r="T1885" s="40"/>
      <c r="U1885" s="40">
        <v>302169.76312383998</v>
      </c>
      <c r="V1885" s="40">
        <v>0</v>
      </c>
      <c r="W1885" s="45">
        <f t="shared" si="99"/>
        <v>439928.82360884524</v>
      </c>
      <c r="X1885" s="46">
        <f t="shared" si="100"/>
        <v>12.179858394988099</v>
      </c>
    </row>
    <row r="1886" spans="1:24" s="4" customFormat="1" ht="15" customHeight="1">
      <c r="A1886" s="28" t="s">
        <v>2682</v>
      </c>
      <c r="B1886" s="29">
        <v>3278.81</v>
      </c>
      <c r="C1886" s="30" t="s">
        <v>2812</v>
      </c>
      <c r="D1886" s="2">
        <v>4949383329</v>
      </c>
      <c r="E1886" s="2" t="s">
        <v>38</v>
      </c>
      <c r="F1886" s="2" t="s">
        <v>2064</v>
      </c>
      <c r="G1886" s="28" t="s">
        <v>5</v>
      </c>
      <c r="H1886" s="2" t="s">
        <v>20</v>
      </c>
      <c r="I1886" s="2">
        <v>3</v>
      </c>
      <c r="J1886" s="2" t="s">
        <v>2065</v>
      </c>
      <c r="K1886" s="2">
        <v>896.28</v>
      </c>
      <c r="L1886" s="35">
        <f t="shared" si="98"/>
        <v>2938731.8267999999</v>
      </c>
      <c r="M1886" s="36">
        <v>679</v>
      </c>
      <c r="N1886" s="40">
        <v>26400.427727451799</v>
      </c>
      <c r="O1886" s="40">
        <v>18907.473808586099</v>
      </c>
      <c r="P1886" s="40">
        <v>11963.6835368255</v>
      </c>
      <c r="Q1886" s="40">
        <v>5691.0232374950801</v>
      </c>
      <c r="R1886" s="40">
        <f>32935+11461</f>
        <v>44396</v>
      </c>
      <c r="S1886" s="40">
        <v>6768.9113824340302</v>
      </c>
      <c r="T1886" s="40"/>
      <c r="U1886" s="40">
        <v>251437.829854273</v>
      </c>
      <c r="V1886" s="40">
        <v>0</v>
      </c>
      <c r="W1886" s="45">
        <f t="shared" si="99"/>
        <v>365565.3495470655</v>
      </c>
      <c r="X1886" s="46">
        <f t="shared" si="100"/>
        <v>12.439561385399751</v>
      </c>
    </row>
    <row r="1887" spans="1:24" s="4" customFormat="1" ht="15" customHeight="1">
      <c r="A1887" s="28" t="s">
        <v>2682</v>
      </c>
      <c r="B1887" s="29">
        <v>3278.81</v>
      </c>
      <c r="C1887" s="30" t="s">
        <v>2813</v>
      </c>
      <c r="D1887" s="2">
        <v>4950372153</v>
      </c>
      <c r="E1887" s="2" t="s">
        <v>27</v>
      </c>
      <c r="F1887" s="2" t="s">
        <v>2814</v>
      </c>
      <c r="G1887" s="28" t="s">
        <v>9</v>
      </c>
      <c r="H1887" s="2" t="s">
        <v>23</v>
      </c>
      <c r="I1887" s="2">
        <v>3</v>
      </c>
      <c r="J1887" s="2"/>
      <c r="K1887" s="2">
        <v>3235.56</v>
      </c>
      <c r="L1887" s="35">
        <f t="shared" si="98"/>
        <v>10608786.4836</v>
      </c>
      <c r="M1887" s="36">
        <f>774+796</f>
        <v>1570</v>
      </c>
      <c r="N1887" s="40">
        <v>326855.76305732498</v>
      </c>
      <c r="O1887" s="40">
        <v>1114</v>
      </c>
      <c r="P1887" s="40">
        <v>10759.5859872611</v>
      </c>
      <c r="Q1887" s="40">
        <v>32937</v>
      </c>
      <c r="R1887" s="40">
        <v>59435.3121019108</v>
      </c>
      <c r="S1887" s="40">
        <v>174695.250955414</v>
      </c>
      <c r="T1887" s="40"/>
      <c r="U1887" s="40">
        <v>674267.38853503205</v>
      </c>
      <c r="V1887" s="40">
        <v>0</v>
      </c>
      <c r="W1887" s="45">
        <f t="shared" si="99"/>
        <v>1280064.300636943</v>
      </c>
      <c r="X1887" s="46">
        <f t="shared" si="100"/>
        <v>12.066076573562674</v>
      </c>
    </row>
    <row r="1888" spans="1:24" s="4" customFormat="1" ht="15" customHeight="1">
      <c r="A1888" s="28" t="s">
        <v>2682</v>
      </c>
      <c r="B1888" s="29">
        <v>3278.81</v>
      </c>
      <c r="C1888" s="30" t="s">
        <v>2815</v>
      </c>
      <c r="D1888" s="2">
        <v>4949976116</v>
      </c>
      <c r="E1888" s="2" t="s">
        <v>33</v>
      </c>
      <c r="F1888" s="2" t="s">
        <v>2816</v>
      </c>
      <c r="G1888" s="28" t="s">
        <v>5</v>
      </c>
      <c r="H1888" s="2" t="s">
        <v>20</v>
      </c>
      <c r="I1888" s="2">
        <v>1</v>
      </c>
      <c r="J1888" s="2" t="s">
        <v>2817</v>
      </c>
      <c r="K1888" s="2">
        <v>16056</v>
      </c>
      <c r="L1888" s="35">
        <f t="shared" si="98"/>
        <v>52644573.359999999</v>
      </c>
      <c r="M1888" s="36">
        <v>24000</v>
      </c>
      <c r="N1888" s="40">
        <v>670038</v>
      </c>
      <c r="O1888" s="40">
        <v>316073</v>
      </c>
      <c r="P1888" s="40">
        <v>428145</v>
      </c>
      <c r="Q1888" s="40">
        <v>184937</v>
      </c>
      <c r="R1888" s="40">
        <v>722608</v>
      </c>
      <c r="S1888" s="40">
        <v>354356</v>
      </c>
      <c r="T1888" s="40"/>
      <c r="U1888" s="40">
        <v>4447100</v>
      </c>
      <c r="V1888" s="40">
        <v>0</v>
      </c>
      <c r="W1888" s="45">
        <f t="shared" si="99"/>
        <v>7123257</v>
      </c>
      <c r="X1888" s="46">
        <f t="shared" si="100"/>
        <v>13.530847617073366</v>
      </c>
    </row>
    <row r="1889" spans="1:24" s="4" customFormat="1" ht="15" customHeight="1">
      <c r="A1889" s="28" t="s">
        <v>2682</v>
      </c>
      <c r="B1889" s="29">
        <v>3278.81</v>
      </c>
      <c r="C1889" s="30" t="s">
        <v>2818</v>
      </c>
      <c r="D1889" s="2">
        <v>4948121747</v>
      </c>
      <c r="E1889" s="2" t="s">
        <v>6</v>
      </c>
      <c r="F1889" s="2" t="s">
        <v>2819</v>
      </c>
      <c r="G1889" s="28" t="s">
        <v>5</v>
      </c>
      <c r="H1889" s="2" t="s">
        <v>20</v>
      </c>
      <c r="I1889" s="2">
        <v>1</v>
      </c>
      <c r="J1889" s="2" t="s">
        <v>2820</v>
      </c>
      <c r="K1889" s="2">
        <v>39672</v>
      </c>
      <c r="L1889" s="35">
        <f t="shared" si="98"/>
        <v>130076950.31999999</v>
      </c>
      <c r="M1889" s="36">
        <v>3600</v>
      </c>
      <c r="N1889" s="40">
        <v>399194</v>
      </c>
      <c r="O1889" s="40">
        <v>410790</v>
      </c>
      <c r="P1889" s="40">
        <v>0</v>
      </c>
      <c r="Q1889" s="40">
        <v>124137</v>
      </c>
      <c r="R1889" s="40">
        <v>753164</v>
      </c>
      <c r="S1889" s="40">
        <v>354356</v>
      </c>
      <c r="T1889" s="40">
        <v>30000</v>
      </c>
      <c r="U1889" s="40">
        <v>2619000</v>
      </c>
      <c r="V1889" s="40">
        <v>0</v>
      </c>
      <c r="W1889" s="45">
        <f t="shared" si="99"/>
        <v>4690641</v>
      </c>
      <c r="X1889" s="46">
        <f t="shared" si="100"/>
        <v>3.6060508710118415</v>
      </c>
    </row>
    <row r="1890" spans="1:24" s="4" customFormat="1" ht="15" customHeight="1">
      <c r="A1890" s="28" t="s">
        <v>2682</v>
      </c>
      <c r="B1890" s="29">
        <v>3278.81</v>
      </c>
      <c r="C1890" s="30" t="s">
        <v>2821</v>
      </c>
      <c r="D1890" s="2">
        <v>4950443836</v>
      </c>
      <c r="E1890" s="2" t="s">
        <v>14</v>
      </c>
      <c r="F1890" s="2" t="s">
        <v>2822</v>
      </c>
      <c r="G1890" s="28" t="s">
        <v>9</v>
      </c>
      <c r="H1890" s="2" t="s">
        <v>23</v>
      </c>
      <c r="I1890" s="2">
        <v>4</v>
      </c>
      <c r="J1890" s="2"/>
      <c r="K1890" s="2">
        <v>7493.6</v>
      </c>
      <c r="L1890" s="35">
        <f t="shared" si="98"/>
        <v>24570090.616</v>
      </c>
      <c r="M1890" s="36">
        <v>1520</v>
      </c>
      <c r="N1890" s="40">
        <v>421377.566666667</v>
      </c>
      <c r="O1890" s="40">
        <v>1133.6666666666699</v>
      </c>
      <c r="P1890" s="40">
        <v>17565.5</v>
      </c>
      <c r="Q1890" s="40">
        <v>26769.1</v>
      </c>
      <c r="R1890" s="40">
        <v>88367.733333333294</v>
      </c>
      <c r="S1890" s="40">
        <v>224425.46666666699</v>
      </c>
      <c r="T1890" s="40">
        <v>30000</v>
      </c>
      <c r="U1890" s="40">
        <v>1016012.82051282</v>
      </c>
      <c r="V1890" s="40">
        <v>0</v>
      </c>
      <c r="W1890" s="45">
        <f t="shared" si="99"/>
        <v>1825651.8538461542</v>
      </c>
      <c r="X1890" s="46">
        <f t="shared" si="100"/>
        <v>7.4303830717551076</v>
      </c>
    </row>
    <row r="1891" spans="1:24" s="4" customFormat="1" ht="15" customHeight="1">
      <c r="A1891" s="28" t="s">
        <v>2682</v>
      </c>
      <c r="B1891" s="29">
        <v>3278.81</v>
      </c>
      <c r="C1891" s="30" t="s">
        <v>2821</v>
      </c>
      <c r="D1891" s="2">
        <v>4951138769</v>
      </c>
      <c r="E1891" s="2" t="s">
        <v>14</v>
      </c>
      <c r="F1891" s="2" t="s">
        <v>2822</v>
      </c>
      <c r="G1891" s="28" t="s">
        <v>9</v>
      </c>
      <c r="H1891" s="2" t="s">
        <v>23</v>
      </c>
      <c r="I1891" s="2">
        <v>4</v>
      </c>
      <c r="J1891" s="2"/>
      <c r="K1891" s="2">
        <v>416.8</v>
      </c>
      <c r="L1891" s="35">
        <f t="shared" si="98"/>
        <v>1366608.0079999999</v>
      </c>
      <c r="M1891" s="36">
        <v>80</v>
      </c>
      <c r="N1891" s="40">
        <v>22177.766666666699</v>
      </c>
      <c r="O1891" s="40">
        <v>59.6666666666667</v>
      </c>
      <c r="P1891" s="40">
        <v>924.5</v>
      </c>
      <c r="Q1891" s="40">
        <v>1408.9</v>
      </c>
      <c r="R1891" s="40">
        <v>4650.9333333333298</v>
      </c>
      <c r="S1891" s="40">
        <v>11811.8666666667</v>
      </c>
      <c r="T1891" s="40">
        <v>30000</v>
      </c>
      <c r="U1891" s="40">
        <v>53474.358974358998</v>
      </c>
      <c r="V1891" s="40">
        <v>0</v>
      </c>
      <c r="W1891" s="45">
        <f t="shared" si="99"/>
        <v>124507.99230769239</v>
      </c>
      <c r="X1891" s="46">
        <f t="shared" si="100"/>
        <v>9.1107319420663302</v>
      </c>
    </row>
    <row r="1892" spans="1:24" s="4" customFormat="1" ht="15" customHeight="1">
      <c r="A1892" s="28" t="s">
        <v>2682</v>
      </c>
      <c r="B1892" s="29">
        <v>3278.81</v>
      </c>
      <c r="C1892" s="30" t="s">
        <v>2821</v>
      </c>
      <c r="D1892" s="2">
        <v>4950722771</v>
      </c>
      <c r="E1892" s="2" t="s">
        <v>14</v>
      </c>
      <c r="F1892" s="2" t="s">
        <v>2822</v>
      </c>
      <c r="G1892" s="28" t="s">
        <v>9</v>
      </c>
      <c r="H1892" s="2" t="s">
        <v>23</v>
      </c>
      <c r="I1892" s="2">
        <v>4</v>
      </c>
      <c r="J1892" s="2"/>
      <c r="K1892" s="2">
        <v>2608</v>
      </c>
      <c r="L1892" s="35">
        <f t="shared" si="98"/>
        <v>8551136.4800000004</v>
      </c>
      <c r="M1892" s="36">
        <v>800</v>
      </c>
      <c r="N1892" s="40">
        <v>221777.66666666701</v>
      </c>
      <c r="O1892" s="40">
        <v>596.66666666666697</v>
      </c>
      <c r="P1892" s="40">
        <v>9245</v>
      </c>
      <c r="Q1892" s="40">
        <v>14089</v>
      </c>
      <c r="R1892" s="40">
        <v>46509.333333333299</v>
      </c>
      <c r="S1892" s="40">
        <v>118118.66666666701</v>
      </c>
      <c r="T1892" s="40">
        <v>30000</v>
      </c>
      <c r="U1892" s="40">
        <v>534743.58974358998</v>
      </c>
      <c r="V1892" s="40">
        <v>0</v>
      </c>
      <c r="W1892" s="45">
        <f t="shared" si="99"/>
        <v>975079.92307692394</v>
      </c>
      <c r="X1892" s="46">
        <f t="shared" si="100"/>
        <v>11.402927848918203</v>
      </c>
    </row>
    <row r="1893" spans="1:24" s="4" customFormat="1" ht="15" customHeight="1">
      <c r="A1893" s="28" t="s">
        <v>2682</v>
      </c>
      <c r="B1893" s="29">
        <v>3278.81</v>
      </c>
      <c r="C1893" s="30" t="s">
        <v>2823</v>
      </c>
      <c r="D1893" s="2">
        <v>4950216820</v>
      </c>
      <c r="E1893" s="2" t="s">
        <v>14</v>
      </c>
      <c r="F1893" s="2" t="s">
        <v>2824</v>
      </c>
      <c r="G1893" s="28" t="s">
        <v>5</v>
      </c>
      <c r="H1893" s="2" t="s">
        <v>17</v>
      </c>
      <c r="I1893" s="2">
        <v>1</v>
      </c>
      <c r="J1893" s="2" t="s">
        <v>2825</v>
      </c>
      <c r="K1893" s="2">
        <v>24200.400000000001</v>
      </c>
      <c r="L1893" s="35">
        <f t="shared" si="98"/>
        <v>79348513.524000004</v>
      </c>
      <c r="M1893" s="36">
        <v>18060</v>
      </c>
      <c r="N1893" s="40">
        <v>399194</v>
      </c>
      <c r="O1893" s="40">
        <v>432840</v>
      </c>
      <c r="P1893" s="40">
        <v>687278</v>
      </c>
      <c r="Q1893" s="40">
        <v>110000</v>
      </c>
      <c r="R1893" s="40">
        <v>753742</v>
      </c>
      <c r="S1893" s="40">
        <v>354356</v>
      </c>
      <c r="T1893" s="40">
        <v>30000</v>
      </c>
      <c r="U1893" s="40">
        <v>6275900</v>
      </c>
      <c r="V1893" s="40">
        <v>0</v>
      </c>
      <c r="W1893" s="45">
        <f t="shared" si="99"/>
        <v>9043310</v>
      </c>
      <c r="X1893" s="46">
        <f t="shared" si="100"/>
        <v>11.39694948067897</v>
      </c>
    </row>
    <row r="1894" spans="1:24" s="4" customFormat="1" ht="15" customHeight="1">
      <c r="A1894" s="28" t="s">
        <v>2682</v>
      </c>
      <c r="B1894" s="29">
        <v>3278.81</v>
      </c>
      <c r="C1894" s="30" t="s">
        <v>2826</v>
      </c>
      <c r="D1894" s="2">
        <v>4950958094</v>
      </c>
      <c r="E1894" s="2" t="s">
        <v>6</v>
      </c>
      <c r="F1894" s="2" t="s">
        <v>2827</v>
      </c>
      <c r="G1894" s="28" t="s">
        <v>5</v>
      </c>
      <c r="H1894" s="2" t="s">
        <v>20</v>
      </c>
      <c r="I1894" s="2">
        <v>1</v>
      </c>
      <c r="J1894" s="2" t="s">
        <v>2828</v>
      </c>
      <c r="K1894" s="2">
        <v>3300</v>
      </c>
      <c r="L1894" s="35">
        <f t="shared" si="98"/>
        <v>10820073</v>
      </c>
      <c r="M1894" s="36">
        <v>6000</v>
      </c>
      <c r="N1894" s="40">
        <v>341920</v>
      </c>
      <c r="O1894" s="40">
        <v>410790</v>
      </c>
      <c r="P1894" s="40">
        <v>241125.862068966</v>
      </c>
      <c r="Q1894" s="40">
        <v>124137</v>
      </c>
      <c r="R1894" s="40">
        <v>650649</v>
      </c>
      <c r="S1894" s="40">
        <v>354356</v>
      </c>
      <c r="T1894" s="40">
        <v>30000</v>
      </c>
      <c r="U1894" s="40">
        <v>2500258.6206896598</v>
      </c>
      <c r="V1894" s="40">
        <v>0</v>
      </c>
      <c r="W1894" s="45">
        <f t="shared" si="99"/>
        <v>4653236.4827586263</v>
      </c>
      <c r="X1894" s="46">
        <f t="shared" si="100"/>
        <v>43.005592316785908</v>
      </c>
    </row>
    <row r="1895" spans="1:24" s="4" customFormat="1" ht="15" customHeight="1">
      <c r="A1895" s="28" t="s">
        <v>2682</v>
      </c>
      <c r="B1895" s="29">
        <v>3278.81</v>
      </c>
      <c r="C1895" s="30" t="s">
        <v>2829</v>
      </c>
      <c r="D1895" s="2">
        <v>4948123296</v>
      </c>
      <c r="E1895" s="2" t="s">
        <v>6</v>
      </c>
      <c r="F1895" s="2" t="s">
        <v>2830</v>
      </c>
      <c r="G1895" s="28" t="s">
        <v>5</v>
      </c>
      <c r="H1895" s="2" t="s">
        <v>20</v>
      </c>
      <c r="I1895" s="2">
        <v>1</v>
      </c>
      <c r="J1895" s="2" t="s">
        <v>2828</v>
      </c>
      <c r="K1895" s="2">
        <v>9436.7999999999993</v>
      </c>
      <c r="L1895" s="35">
        <f t="shared" si="98"/>
        <v>30941474.207999997</v>
      </c>
      <c r="M1895" s="36">
        <v>960</v>
      </c>
      <c r="N1895" s="40">
        <v>57274</v>
      </c>
      <c r="O1895" s="40">
        <v>410790</v>
      </c>
      <c r="P1895" s="40">
        <v>38580.1379310345</v>
      </c>
      <c r="Q1895" s="40">
        <v>124137</v>
      </c>
      <c r="R1895" s="40">
        <v>106634</v>
      </c>
      <c r="S1895" s="40">
        <v>354356</v>
      </c>
      <c r="T1895" s="40">
        <v>30000</v>
      </c>
      <c r="U1895" s="40">
        <v>400041.37931034499</v>
      </c>
      <c r="V1895" s="40">
        <v>0</v>
      </c>
      <c r="W1895" s="45">
        <f t="shared" si="99"/>
        <v>1521812.5172413795</v>
      </c>
      <c r="X1895" s="46">
        <f t="shared" si="100"/>
        <v>4.9183581461283801</v>
      </c>
    </row>
    <row r="1896" spans="1:24" s="4" customFormat="1" ht="15" customHeight="1">
      <c r="A1896" s="28" t="s">
        <v>2682</v>
      </c>
      <c r="B1896" s="29">
        <v>3278.81</v>
      </c>
      <c r="C1896" s="30" t="s">
        <v>2831</v>
      </c>
      <c r="D1896" s="2">
        <v>4950058283</v>
      </c>
      <c r="E1896" s="2" t="s">
        <v>14</v>
      </c>
      <c r="F1896" s="2" t="s">
        <v>2832</v>
      </c>
      <c r="G1896" s="28" t="s">
        <v>5</v>
      </c>
      <c r="H1896" s="2" t="s">
        <v>20</v>
      </c>
      <c r="I1896" s="2">
        <v>2</v>
      </c>
      <c r="J1896" s="2" t="s">
        <v>2833</v>
      </c>
      <c r="K1896" s="2">
        <v>30832</v>
      </c>
      <c r="L1896" s="35">
        <f t="shared" si="98"/>
        <v>101092269.92</v>
      </c>
      <c r="M1896" s="36">
        <v>16400</v>
      </c>
      <c r="N1896" s="40">
        <v>402360.95988538698</v>
      </c>
      <c r="O1896" s="40">
        <v>387606.833810888</v>
      </c>
      <c r="P1896" s="40">
        <v>164297.220630372</v>
      </c>
      <c r="Q1896" s="40">
        <v>116667.320916905</v>
      </c>
      <c r="R1896" s="40">
        <v>894197.38395415503</v>
      </c>
      <c r="S1896" s="40">
        <v>208146.074498567</v>
      </c>
      <c r="T1896" s="40">
        <v>30000</v>
      </c>
      <c r="U1896" s="40">
        <v>4216303.7249283697</v>
      </c>
      <c r="V1896" s="40">
        <v>0</v>
      </c>
      <c r="W1896" s="45">
        <f t="shared" si="99"/>
        <v>6419579.5186246438</v>
      </c>
      <c r="X1896" s="46">
        <f t="shared" si="100"/>
        <v>6.3502179975826216</v>
      </c>
    </row>
    <row r="1897" spans="1:24" s="4" customFormat="1" ht="15" customHeight="1">
      <c r="A1897" s="28" t="s">
        <v>2682</v>
      </c>
      <c r="B1897" s="29">
        <v>3278.81</v>
      </c>
      <c r="C1897" s="30" t="s">
        <v>2831</v>
      </c>
      <c r="D1897" s="2">
        <v>4950585748</v>
      </c>
      <c r="E1897" s="2" t="s">
        <v>14</v>
      </c>
      <c r="F1897" s="2" t="s">
        <v>2832</v>
      </c>
      <c r="G1897" s="28" t="s">
        <v>5</v>
      </c>
      <c r="H1897" s="2" t="s">
        <v>20</v>
      </c>
      <c r="I1897" s="2">
        <v>2</v>
      </c>
      <c r="J1897" s="2" t="s">
        <v>2833</v>
      </c>
      <c r="K1897" s="2">
        <v>13456.8</v>
      </c>
      <c r="L1897" s="35">
        <f t="shared" si="98"/>
        <v>44122290.408</v>
      </c>
      <c r="M1897" s="36">
        <f>2940+2100</f>
        <v>5040</v>
      </c>
      <c r="N1897" s="40">
        <v>123652.39255014301</v>
      </c>
      <c r="O1897" s="40">
        <v>119118.19770773601</v>
      </c>
      <c r="P1897" s="40">
        <v>50491.340974211998</v>
      </c>
      <c r="Q1897" s="40">
        <v>35853.859598853902</v>
      </c>
      <c r="R1897" s="40">
        <v>274804.95702005702</v>
      </c>
      <c r="S1897" s="40">
        <v>63966.8424068768</v>
      </c>
      <c r="T1897" s="40">
        <v>30000</v>
      </c>
      <c r="U1897" s="40">
        <v>1295742.12034384</v>
      </c>
      <c r="V1897" s="40">
        <v>0</v>
      </c>
      <c r="W1897" s="45">
        <f t="shared" si="99"/>
        <v>1993629.7106017186</v>
      </c>
      <c r="X1897" s="46">
        <f t="shared" si="100"/>
        <v>4.5184184505531588</v>
      </c>
    </row>
    <row r="1898" spans="1:24" s="4" customFormat="1" ht="15" customHeight="1">
      <c r="A1898" s="28" t="s">
        <v>2682</v>
      </c>
      <c r="B1898" s="29">
        <v>3278.81</v>
      </c>
      <c r="C1898" s="30" t="s">
        <v>2831</v>
      </c>
      <c r="D1898" s="2">
        <v>4950721195</v>
      </c>
      <c r="E1898" s="2" t="s">
        <v>14</v>
      </c>
      <c r="F1898" s="2" t="s">
        <v>2832</v>
      </c>
      <c r="G1898" s="28" t="s">
        <v>5</v>
      </c>
      <c r="H1898" s="2" t="s">
        <v>20</v>
      </c>
      <c r="I1898" s="2">
        <v>2</v>
      </c>
      <c r="J1898" s="2" t="s">
        <v>2833</v>
      </c>
      <c r="K1898" s="2">
        <v>1522.4</v>
      </c>
      <c r="L1898" s="35">
        <f t="shared" si="98"/>
        <v>4991660.3440000005</v>
      </c>
      <c r="M1898" s="36">
        <v>880</v>
      </c>
      <c r="N1898" s="40">
        <v>21590.100286533001</v>
      </c>
      <c r="O1898" s="40">
        <v>20798.415472779401</v>
      </c>
      <c r="P1898" s="40">
        <v>8815.9484240687707</v>
      </c>
      <c r="Q1898" s="40">
        <v>6260.1977077363899</v>
      </c>
      <c r="R1898" s="40">
        <v>47982.040114613199</v>
      </c>
      <c r="S1898" s="40">
        <v>11168.8137535817</v>
      </c>
      <c r="T1898" s="40">
        <v>30000</v>
      </c>
      <c r="U1898" s="40">
        <v>226240.687679083</v>
      </c>
      <c r="V1898" s="40">
        <v>0</v>
      </c>
      <c r="W1898" s="45">
        <f t="shared" si="99"/>
        <v>372856.20343839546</v>
      </c>
      <c r="X1898" s="46">
        <f t="shared" si="100"/>
        <v>7.4695828190027065</v>
      </c>
    </row>
    <row r="1899" spans="1:24" s="4" customFormat="1" ht="15" customHeight="1">
      <c r="A1899" s="28" t="s">
        <v>2682</v>
      </c>
      <c r="B1899" s="29">
        <v>3278.81</v>
      </c>
      <c r="C1899" s="30" t="s">
        <v>2831</v>
      </c>
      <c r="D1899" s="2">
        <v>4950585747</v>
      </c>
      <c r="E1899" s="2" t="s">
        <v>14</v>
      </c>
      <c r="F1899" s="2" t="s">
        <v>2832</v>
      </c>
      <c r="G1899" s="28" t="s">
        <v>5</v>
      </c>
      <c r="H1899" s="2" t="s">
        <v>20</v>
      </c>
      <c r="I1899" s="2">
        <v>2</v>
      </c>
      <c r="J1899" s="2" t="s">
        <v>2833</v>
      </c>
      <c r="K1899" s="2">
        <v>12320</v>
      </c>
      <c r="L1899" s="35">
        <f t="shared" si="98"/>
        <v>40394939.200000003</v>
      </c>
      <c r="M1899" s="36">
        <v>5600</v>
      </c>
      <c r="N1899" s="40">
        <v>137391.547277937</v>
      </c>
      <c r="O1899" s="40">
        <v>132353.55300859601</v>
      </c>
      <c r="P1899" s="40">
        <v>56101.489971346702</v>
      </c>
      <c r="Q1899" s="40">
        <v>39837.621776504297</v>
      </c>
      <c r="R1899" s="40">
        <v>305339.618911175</v>
      </c>
      <c r="S1899" s="40">
        <v>71074.269340974206</v>
      </c>
      <c r="T1899" s="40">
        <v>30000</v>
      </c>
      <c r="U1899" s="40">
        <v>1439713.46704871</v>
      </c>
      <c r="V1899" s="40">
        <v>0</v>
      </c>
      <c r="W1899" s="45">
        <f t="shared" si="99"/>
        <v>2211811.5673352433</v>
      </c>
      <c r="X1899" s="46">
        <f t="shared" si="100"/>
        <v>5.4754670043797047</v>
      </c>
    </row>
    <row r="1900" spans="1:24" s="4" customFormat="1" ht="15" customHeight="1">
      <c r="A1900" s="28" t="s">
        <v>2682</v>
      </c>
      <c r="B1900" s="29">
        <v>3278.81</v>
      </c>
      <c r="C1900" s="30" t="s">
        <v>2834</v>
      </c>
      <c r="D1900" s="2">
        <v>4950413075</v>
      </c>
      <c r="E1900" s="2" t="s">
        <v>38</v>
      </c>
      <c r="F1900" s="2" t="s">
        <v>2835</v>
      </c>
      <c r="G1900" s="28" t="s">
        <v>5</v>
      </c>
      <c r="H1900" s="2" t="s">
        <v>20</v>
      </c>
      <c r="I1900" s="2">
        <v>1</v>
      </c>
      <c r="J1900" s="2" t="s">
        <v>2836</v>
      </c>
      <c r="K1900" s="2">
        <v>3760</v>
      </c>
      <c r="L1900" s="35">
        <f t="shared" si="98"/>
        <v>12328325.6</v>
      </c>
      <c r="M1900" s="36">
        <v>1000</v>
      </c>
      <c r="N1900" s="40">
        <v>48650.284090909103</v>
      </c>
      <c r="O1900" s="40">
        <v>46866.193181818198</v>
      </c>
      <c r="P1900" s="40">
        <v>0</v>
      </c>
      <c r="Q1900" s="40">
        <v>15625</v>
      </c>
      <c r="R1900" s="40">
        <f>80246.8068181818+16959</f>
        <v>97205.806818181794</v>
      </c>
      <c r="S1900" s="40">
        <v>50334.659090909103</v>
      </c>
      <c r="T1900" s="40"/>
      <c r="U1900" s="40">
        <v>604460.22727272694</v>
      </c>
      <c r="V1900" s="40">
        <v>0</v>
      </c>
      <c r="W1900" s="45">
        <f t="shared" si="99"/>
        <v>863142.17045454518</v>
      </c>
      <c r="X1900" s="46">
        <f t="shared" si="100"/>
        <v>7.0012927826512401</v>
      </c>
    </row>
    <row r="1901" spans="1:24" s="4" customFormat="1" ht="15" customHeight="1">
      <c r="A1901" s="28" t="s">
        <v>2682</v>
      </c>
      <c r="B1901" s="29">
        <v>3278.81</v>
      </c>
      <c r="C1901" s="30" t="s">
        <v>2834</v>
      </c>
      <c r="D1901" s="2">
        <v>4950726666</v>
      </c>
      <c r="E1901" s="2" t="s">
        <v>14</v>
      </c>
      <c r="F1901" s="2" t="s">
        <v>2835</v>
      </c>
      <c r="G1901" s="28" t="s">
        <v>5</v>
      </c>
      <c r="H1901" s="2" t="s">
        <v>20</v>
      </c>
      <c r="I1901" s="2">
        <v>1</v>
      </c>
      <c r="J1901" s="2" t="s">
        <v>2836</v>
      </c>
      <c r="K1901" s="2">
        <v>2196</v>
      </c>
      <c r="L1901" s="35">
        <f t="shared" si="98"/>
        <v>7200266.7599999998</v>
      </c>
      <c r="M1901" s="36">
        <v>1200</v>
      </c>
      <c r="N1901" s="40">
        <v>58380.340909090897</v>
      </c>
      <c r="O1901" s="40">
        <v>56239.431818181802</v>
      </c>
      <c r="P1901" s="40">
        <v>0</v>
      </c>
      <c r="Q1901" s="40">
        <v>18750</v>
      </c>
      <c r="R1901" s="40">
        <f>96296.1681818182+20351</f>
        <v>116647.1681818182</v>
      </c>
      <c r="S1901" s="40">
        <v>60401.590909090897</v>
      </c>
      <c r="T1901" s="40">
        <v>30000</v>
      </c>
      <c r="U1901" s="40">
        <v>725352.27272727306</v>
      </c>
      <c r="V1901" s="40">
        <v>0</v>
      </c>
      <c r="W1901" s="45">
        <f t="shared" si="99"/>
        <v>1065770.8045454549</v>
      </c>
      <c r="X1901" s="46">
        <f t="shared" si="100"/>
        <v>14.801823877778869</v>
      </c>
    </row>
    <row r="1902" spans="1:24" s="4" customFormat="1" ht="15" customHeight="1">
      <c r="A1902" s="28" t="s">
        <v>2682</v>
      </c>
      <c r="B1902" s="29">
        <v>3278.81</v>
      </c>
      <c r="C1902" s="30" t="s">
        <v>2834</v>
      </c>
      <c r="D1902" s="2">
        <v>4950930074</v>
      </c>
      <c r="E1902" s="2" t="s">
        <v>14</v>
      </c>
      <c r="F1902" s="2" t="s">
        <v>2835</v>
      </c>
      <c r="G1902" s="28" t="s">
        <v>5</v>
      </c>
      <c r="H1902" s="2" t="s">
        <v>20</v>
      </c>
      <c r="I1902" s="2">
        <v>1</v>
      </c>
      <c r="J1902" s="2" t="s">
        <v>2836</v>
      </c>
      <c r="K1902" s="2">
        <v>23090.400000000001</v>
      </c>
      <c r="L1902" s="35">
        <f t="shared" si="98"/>
        <v>75709034.42400001</v>
      </c>
      <c r="M1902" s="36">
        <v>540</v>
      </c>
      <c r="N1902" s="40">
        <v>26271.153409090901</v>
      </c>
      <c r="O1902" s="40">
        <v>25307.744318181802</v>
      </c>
      <c r="P1902" s="40">
        <v>0</v>
      </c>
      <c r="Q1902" s="40">
        <v>8437.5</v>
      </c>
      <c r="R1902" s="40">
        <v>52491.275681818202</v>
      </c>
      <c r="S1902" s="40">
        <v>27180.715909090901</v>
      </c>
      <c r="T1902" s="40">
        <v>30000</v>
      </c>
      <c r="U1902" s="40">
        <v>326408.522727273</v>
      </c>
      <c r="V1902" s="40">
        <v>0</v>
      </c>
      <c r="W1902" s="45">
        <f t="shared" si="99"/>
        <v>496096.91204545484</v>
      </c>
      <c r="X1902" s="46">
        <f t="shared" si="100"/>
        <v>0.6552677838514217</v>
      </c>
    </row>
    <row r="1903" spans="1:24" s="4" customFormat="1" ht="15" customHeight="1">
      <c r="A1903" s="28" t="s">
        <v>2682</v>
      </c>
      <c r="B1903" s="29">
        <v>3278.81</v>
      </c>
      <c r="C1903" s="30" t="s">
        <v>2834</v>
      </c>
      <c r="D1903" s="2">
        <v>4951046924</v>
      </c>
      <c r="E1903" s="2" t="s">
        <v>14</v>
      </c>
      <c r="F1903" s="2" t="s">
        <v>2835</v>
      </c>
      <c r="G1903" s="28" t="s">
        <v>5</v>
      </c>
      <c r="H1903" s="2" t="s">
        <v>20</v>
      </c>
      <c r="I1903" s="2">
        <v>1</v>
      </c>
      <c r="J1903" s="2" t="s">
        <v>2836</v>
      </c>
      <c r="K1903" s="2">
        <v>27192</v>
      </c>
      <c r="L1903" s="35">
        <f t="shared" si="98"/>
        <v>89157401.519999996</v>
      </c>
      <c r="M1903" s="36">
        <v>3300</v>
      </c>
      <c r="N1903" s="40">
        <v>160545.9375</v>
      </c>
      <c r="O1903" s="40">
        <v>154658.4375</v>
      </c>
      <c r="P1903" s="40">
        <v>0</v>
      </c>
      <c r="Q1903" s="40">
        <v>51562.5</v>
      </c>
      <c r="R1903" s="40">
        <f>264814.4625+55956</f>
        <v>320770.46250000002</v>
      </c>
      <c r="S1903" s="40">
        <v>166104.375</v>
      </c>
      <c r="T1903" s="40">
        <v>30000</v>
      </c>
      <c r="U1903" s="40">
        <v>1994718.75</v>
      </c>
      <c r="V1903" s="40">
        <v>0</v>
      </c>
      <c r="W1903" s="45">
        <f t="shared" si="99"/>
        <v>2878360.4624999999</v>
      </c>
      <c r="X1903" s="46">
        <f t="shared" si="100"/>
        <v>3.2284032659412119</v>
      </c>
    </row>
    <row r="1904" spans="1:24" s="4" customFormat="1" ht="15" customHeight="1">
      <c r="A1904" s="28" t="s">
        <v>2682</v>
      </c>
      <c r="B1904" s="29">
        <v>3278.81</v>
      </c>
      <c r="C1904" s="30" t="s">
        <v>2834</v>
      </c>
      <c r="D1904" s="2">
        <v>4950898141</v>
      </c>
      <c r="E1904" s="2" t="s">
        <v>14</v>
      </c>
      <c r="F1904" s="2" t="s">
        <v>2835</v>
      </c>
      <c r="G1904" s="28" t="s">
        <v>5</v>
      </c>
      <c r="H1904" s="2" t="s">
        <v>20</v>
      </c>
      <c r="I1904" s="2">
        <v>1</v>
      </c>
      <c r="J1904" s="2" t="s">
        <v>2836</v>
      </c>
      <c r="K1904" s="2">
        <v>6140</v>
      </c>
      <c r="L1904" s="35">
        <f t="shared" si="98"/>
        <v>20131893.399999999</v>
      </c>
      <c r="M1904" s="36">
        <v>1000</v>
      </c>
      <c r="N1904" s="40">
        <v>48650.284090909103</v>
      </c>
      <c r="O1904" s="40">
        <v>46866.193181818198</v>
      </c>
      <c r="P1904" s="40">
        <v>0</v>
      </c>
      <c r="Q1904" s="40">
        <v>15625</v>
      </c>
      <c r="R1904" s="40">
        <f>80246.8068181818+16959</f>
        <v>97205.806818181794</v>
      </c>
      <c r="S1904" s="40">
        <v>50334.659090909103</v>
      </c>
      <c r="T1904" s="40">
        <v>30000</v>
      </c>
      <c r="U1904" s="40">
        <v>604460.22727272694</v>
      </c>
      <c r="V1904" s="40">
        <v>0</v>
      </c>
      <c r="W1904" s="45">
        <f t="shared" si="99"/>
        <v>893142.17045454518</v>
      </c>
      <c r="X1904" s="46">
        <f t="shared" si="100"/>
        <v>4.4364539028134597</v>
      </c>
    </row>
    <row r="1905" spans="1:24" s="4" customFormat="1" ht="15" customHeight="1">
      <c r="A1905" s="28" t="s">
        <v>2682</v>
      </c>
      <c r="B1905" s="29">
        <v>3278.81</v>
      </c>
      <c r="C1905" s="30" t="s">
        <v>2837</v>
      </c>
      <c r="D1905" s="2">
        <v>4950553097</v>
      </c>
      <c r="E1905" s="2" t="s">
        <v>36</v>
      </c>
      <c r="F1905" s="2" t="s">
        <v>2838</v>
      </c>
      <c r="G1905" s="28" t="s">
        <v>5</v>
      </c>
      <c r="H1905" s="2" t="s">
        <v>20</v>
      </c>
      <c r="I1905" s="2">
        <v>1</v>
      </c>
      <c r="J1905" s="2" t="s">
        <v>2839</v>
      </c>
      <c r="K1905" s="2">
        <v>30600</v>
      </c>
      <c r="L1905" s="35">
        <f t="shared" si="98"/>
        <v>100331586</v>
      </c>
      <c r="M1905" s="36">
        <v>20000</v>
      </c>
      <c r="N1905" s="40">
        <v>399194</v>
      </c>
      <c r="O1905" s="40">
        <v>329938</v>
      </c>
      <c r="P1905" s="40">
        <v>0</v>
      </c>
      <c r="Q1905" s="40">
        <v>110000</v>
      </c>
      <c r="R1905" s="40">
        <v>644798</v>
      </c>
      <c r="S1905" s="40">
        <v>354356</v>
      </c>
      <c r="T1905" s="40"/>
      <c r="U1905" s="40">
        <v>519300</v>
      </c>
      <c r="V1905" s="40">
        <v>0</v>
      </c>
      <c r="W1905" s="45">
        <f t="shared" si="99"/>
        <v>2357586</v>
      </c>
      <c r="X1905" s="46">
        <f t="shared" si="100"/>
        <v>2.3497944107053184</v>
      </c>
    </row>
    <row r="1906" spans="1:24" s="4" customFormat="1" ht="15" customHeight="1">
      <c r="A1906" s="28" t="s">
        <v>2682</v>
      </c>
      <c r="B1906" s="29">
        <v>3278.81</v>
      </c>
      <c r="C1906" s="30" t="s">
        <v>2840</v>
      </c>
      <c r="D1906" s="2">
        <v>4951241946</v>
      </c>
      <c r="E1906" s="2" t="s">
        <v>24</v>
      </c>
      <c r="F1906" s="2" t="s">
        <v>2841</v>
      </c>
      <c r="G1906" s="28" t="s">
        <v>5</v>
      </c>
      <c r="H1906" s="2" t="s">
        <v>20</v>
      </c>
      <c r="I1906" s="2">
        <v>1</v>
      </c>
      <c r="J1906" s="2" t="s">
        <v>2842</v>
      </c>
      <c r="K1906" s="2">
        <v>13488.12</v>
      </c>
      <c r="L1906" s="35">
        <f t="shared" si="98"/>
        <v>44224982.737199999</v>
      </c>
      <c r="M1906" s="36">
        <v>3258</v>
      </c>
      <c r="N1906" s="40">
        <v>342497</v>
      </c>
      <c r="O1906" s="40">
        <v>329938</v>
      </c>
      <c r="P1906" s="40">
        <v>0</v>
      </c>
      <c r="Q1906" s="40">
        <v>110000</v>
      </c>
      <c r="R1906" s="40">
        <v>563962</v>
      </c>
      <c r="S1906" s="40">
        <v>354356</v>
      </c>
      <c r="T1906" s="40"/>
      <c r="U1906" s="40">
        <v>2619000</v>
      </c>
      <c r="V1906" s="40">
        <v>0</v>
      </c>
      <c r="W1906" s="45">
        <f t="shared" si="99"/>
        <v>4319753</v>
      </c>
      <c r="X1906" s="46">
        <f t="shared" si="100"/>
        <v>9.7676759438651501</v>
      </c>
    </row>
    <row r="1907" spans="1:24" s="4" customFormat="1" ht="15" customHeight="1">
      <c r="A1907" s="28" t="s">
        <v>2682</v>
      </c>
      <c r="B1907" s="29">
        <v>3278.81</v>
      </c>
      <c r="C1907" s="30" t="s">
        <v>2843</v>
      </c>
      <c r="D1907" s="2">
        <v>4950559726</v>
      </c>
      <c r="E1907" s="2" t="s">
        <v>36</v>
      </c>
      <c r="F1907" s="2" t="s">
        <v>2844</v>
      </c>
      <c r="G1907" s="28" t="s">
        <v>5</v>
      </c>
      <c r="H1907" s="2" t="s">
        <v>26</v>
      </c>
      <c r="I1907" s="2">
        <v>2</v>
      </c>
      <c r="J1907" s="2" t="s">
        <v>2845</v>
      </c>
      <c r="K1907" s="2">
        <v>69749.3</v>
      </c>
      <c r="L1907" s="35">
        <f t="shared" si="98"/>
        <v>228694702.333</v>
      </c>
      <c r="M1907" s="36">
        <v>39925</v>
      </c>
      <c r="N1907" s="40">
        <v>671215</v>
      </c>
      <c r="O1907" s="40">
        <v>806879</v>
      </c>
      <c r="P1907" s="40">
        <v>2662486</v>
      </c>
      <c r="Q1907" s="40">
        <v>198619</v>
      </c>
      <c r="R1907" s="40">
        <v>1146854</v>
      </c>
      <c r="S1907" s="40">
        <v>354356</v>
      </c>
      <c r="T1907" s="40"/>
      <c r="U1907" s="40">
        <v>0</v>
      </c>
      <c r="V1907" s="40">
        <v>0</v>
      </c>
      <c r="W1907" s="45">
        <f t="shared" si="99"/>
        <v>5840409</v>
      </c>
      <c r="X1907" s="46">
        <f t="shared" si="100"/>
        <v>2.5538016143005535</v>
      </c>
    </row>
    <row r="1908" spans="1:24" s="4" customFormat="1" ht="15" customHeight="1">
      <c r="A1908" s="28" t="s">
        <v>2682</v>
      </c>
      <c r="B1908" s="29">
        <v>3278.81</v>
      </c>
      <c r="C1908" s="30" t="s">
        <v>2846</v>
      </c>
      <c r="D1908" s="2">
        <v>4950645034</v>
      </c>
      <c r="E1908" s="2" t="s">
        <v>6</v>
      </c>
      <c r="F1908" s="2" t="s">
        <v>2847</v>
      </c>
      <c r="G1908" s="28" t="s">
        <v>5</v>
      </c>
      <c r="H1908" s="2" t="s">
        <v>17</v>
      </c>
      <c r="I1908" s="2">
        <v>1</v>
      </c>
      <c r="J1908" s="2" t="s">
        <v>2848</v>
      </c>
      <c r="K1908" s="2">
        <v>54720</v>
      </c>
      <c r="L1908" s="35">
        <f t="shared" si="98"/>
        <v>179416483.19999999</v>
      </c>
      <c r="M1908" s="36">
        <v>5760</v>
      </c>
      <c r="N1908" s="40">
        <v>399194</v>
      </c>
      <c r="O1908" s="40">
        <v>539433</v>
      </c>
      <c r="P1908" s="40">
        <v>0</v>
      </c>
      <c r="Q1908" s="40">
        <v>124137</v>
      </c>
      <c r="R1908" s="40">
        <v>885924</v>
      </c>
      <c r="S1908" s="40">
        <v>354356</v>
      </c>
      <c r="T1908" s="40">
        <v>30000</v>
      </c>
      <c r="U1908" s="40">
        <v>4719050</v>
      </c>
      <c r="V1908" s="40">
        <v>0</v>
      </c>
      <c r="W1908" s="45">
        <f t="shared" si="99"/>
        <v>7052094</v>
      </c>
      <c r="X1908" s="46">
        <f t="shared" si="100"/>
        <v>3.9305719709926858</v>
      </c>
    </row>
    <row r="1909" spans="1:24" s="4" customFormat="1" ht="15" customHeight="1">
      <c r="A1909" s="28" t="s">
        <v>2682</v>
      </c>
      <c r="B1909" s="29">
        <v>3278.81</v>
      </c>
      <c r="C1909" s="30" t="s">
        <v>2849</v>
      </c>
      <c r="D1909" s="2">
        <v>4950556377</v>
      </c>
      <c r="E1909" s="2" t="s">
        <v>36</v>
      </c>
      <c r="F1909" s="2" t="s">
        <v>2850</v>
      </c>
      <c r="G1909" s="28" t="s">
        <v>5</v>
      </c>
      <c r="H1909" s="2" t="s">
        <v>26</v>
      </c>
      <c r="I1909" s="2">
        <v>3</v>
      </c>
      <c r="J1909" s="2" t="s">
        <v>2851</v>
      </c>
      <c r="K1909" s="2">
        <v>119629</v>
      </c>
      <c r="L1909" s="35">
        <f t="shared" si="98"/>
        <v>392240761.49000001</v>
      </c>
      <c r="M1909" s="36">
        <v>74924</v>
      </c>
      <c r="N1909" s="40">
        <v>1007848</v>
      </c>
      <c r="O1909" s="40">
        <v>1508015</v>
      </c>
      <c r="P1909" s="40">
        <v>5585156</v>
      </c>
      <c r="Q1909" s="40">
        <v>372411</v>
      </c>
      <c r="R1909" s="40">
        <v>2775660</v>
      </c>
      <c r="S1909" s="40">
        <v>354356</v>
      </c>
      <c r="T1909" s="40"/>
      <c r="U1909" s="40">
        <v>0</v>
      </c>
      <c r="V1909" s="40">
        <v>0</v>
      </c>
      <c r="W1909" s="45">
        <f t="shared" si="99"/>
        <v>11603446</v>
      </c>
      <c r="X1909" s="46">
        <f t="shared" si="100"/>
        <v>2.9582458375621483</v>
      </c>
    </row>
    <row r="1910" spans="1:24" s="4" customFormat="1" ht="15" customHeight="1">
      <c r="A1910" s="28" t="s">
        <v>2682</v>
      </c>
      <c r="B1910" s="29">
        <v>3278.81</v>
      </c>
      <c r="C1910" s="30" t="s">
        <v>2852</v>
      </c>
      <c r="D1910" s="2">
        <v>4950559736</v>
      </c>
      <c r="E1910" s="2" t="s">
        <v>36</v>
      </c>
      <c r="F1910" s="2" t="s">
        <v>2853</v>
      </c>
      <c r="G1910" s="28" t="s">
        <v>5</v>
      </c>
      <c r="H1910" s="2" t="s">
        <v>26</v>
      </c>
      <c r="I1910" s="2">
        <v>1</v>
      </c>
      <c r="J1910" s="2" t="s">
        <v>2854</v>
      </c>
      <c r="K1910" s="2">
        <v>34930.129999999997</v>
      </c>
      <c r="L1910" s="35">
        <f t="shared" si="98"/>
        <v>114529259.54529999</v>
      </c>
      <c r="M1910" s="36">
        <v>19994.351999999999</v>
      </c>
      <c r="N1910" s="40">
        <v>335446</v>
      </c>
      <c r="O1910" s="40">
        <v>403439</v>
      </c>
      <c r="P1910" s="40">
        <v>1330603</v>
      </c>
      <c r="Q1910" s="40">
        <v>110000</v>
      </c>
      <c r="R1910" s="40">
        <v>632252</v>
      </c>
      <c r="S1910" s="40">
        <v>354356</v>
      </c>
      <c r="T1910" s="40"/>
      <c r="U1910" s="40">
        <v>0</v>
      </c>
      <c r="V1910" s="40">
        <v>0</v>
      </c>
      <c r="W1910" s="45">
        <f t="shared" si="99"/>
        <v>3166096</v>
      </c>
      <c r="X1910" s="46">
        <f t="shared" si="100"/>
        <v>2.7644429140377942</v>
      </c>
    </row>
    <row r="1911" spans="1:24" s="4" customFormat="1" ht="15" customHeight="1">
      <c r="A1911" s="28" t="s">
        <v>2682</v>
      </c>
      <c r="B1911" s="29">
        <v>3278.81</v>
      </c>
      <c r="C1911" s="30" t="s">
        <v>2855</v>
      </c>
      <c r="D1911" s="2">
        <v>4950812434</v>
      </c>
      <c r="E1911" s="2" t="s">
        <v>14</v>
      </c>
      <c r="F1911" s="2" t="s">
        <v>2856</v>
      </c>
      <c r="G1911" s="28" t="s">
        <v>5</v>
      </c>
      <c r="H1911" s="2" t="s">
        <v>17</v>
      </c>
      <c r="I1911" s="2">
        <v>1</v>
      </c>
      <c r="J1911" s="2" t="s">
        <v>2857</v>
      </c>
      <c r="K1911" s="2">
        <v>2247</v>
      </c>
      <c r="L1911" s="35">
        <f t="shared" si="98"/>
        <v>7367486.0700000003</v>
      </c>
      <c r="M1911" s="36">
        <v>700</v>
      </c>
      <c r="N1911" s="40">
        <v>12668.3170409511</v>
      </c>
      <c r="O1911" s="40">
        <v>16009.9339498019</v>
      </c>
      <c r="P1911" s="40">
        <v>0</v>
      </c>
      <c r="Q1911" s="40">
        <v>4068.6922060766201</v>
      </c>
      <c r="R1911" s="40">
        <v>30999.2443857332</v>
      </c>
      <c r="S1911" s="40">
        <v>13106.959048877099</v>
      </c>
      <c r="T1911" s="40">
        <v>30000</v>
      </c>
      <c r="U1911" s="40">
        <v>208633.28929986799</v>
      </c>
      <c r="V1911" s="40">
        <v>0</v>
      </c>
      <c r="W1911" s="45">
        <f t="shared" si="99"/>
        <v>315486.4359313079</v>
      </c>
      <c r="X1911" s="46">
        <f t="shared" si="100"/>
        <v>4.2821449940156846</v>
      </c>
    </row>
    <row r="1912" spans="1:24" s="4" customFormat="1" ht="15" customHeight="1">
      <c r="A1912" s="28" t="s">
        <v>2682</v>
      </c>
      <c r="B1912" s="29">
        <v>3278.81</v>
      </c>
      <c r="C1912" s="30" t="s">
        <v>2855</v>
      </c>
      <c r="D1912" s="2">
        <v>4950812439</v>
      </c>
      <c r="E1912" s="2" t="s">
        <v>14</v>
      </c>
      <c r="F1912" s="2" t="s">
        <v>2856</v>
      </c>
      <c r="G1912" s="28" t="s">
        <v>5</v>
      </c>
      <c r="H1912" s="2" t="s">
        <v>17</v>
      </c>
      <c r="I1912" s="2">
        <v>1</v>
      </c>
      <c r="J1912" s="2" t="s">
        <v>2857</v>
      </c>
      <c r="K1912" s="2">
        <v>150</v>
      </c>
      <c r="L1912" s="35">
        <f t="shared" si="98"/>
        <v>491821.5</v>
      </c>
      <c r="M1912" s="36">
        <v>150</v>
      </c>
      <c r="N1912" s="40">
        <v>2714.6393659180999</v>
      </c>
      <c r="O1912" s="40">
        <v>3430.7001321004</v>
      </c>
      <c r="P1912" s="40">
        <v>0</v>
      </c>
      <c r="Q1912" s="40">
        <v>871.86261558784702</v>
      </c>
      <c r="R1912" s="40">
        <f>5696.40951122853+946</f>
        <v>6642.4095112285304</v>
      </c>
      <c r="S1912" s="40">
        <v>2808.6340819022498</v>
      </c>
      <c r="T1912" s="40">
        <v>30000</v>
      </c>
      <c r="U1912" s="40">
        <v>44707.1334214003</v>
      </c>
      <c r="V1912" s="40">
        <v>0</v>
      </c>
      <c r="W1912" s="45">
        <f t="shared" si="99"/>
        <v>91175.379128137429</v>
      </c>
      <c r="X1912" s="46">
        <f t="shared" si="100"/>
        <v>18.538306911783529</v>
      </c>
    </row>
    <row r="1913" spans="1:24" s="4" customFormat="1" ht="15" customHeight="1">
      <c r="A1913" s="28" t="s">
        <v>2682</v>
      </c>
      <c r="B1913" s="29">
        <v>3278.81</v>
      </c>
      <c r="C1913" s="30" t="s">
        <v>2855</v>
      </c>
      <c r="D1913" s="2">
        <v>4950898143</v>
      </c>
      <c r="E1913" s="2" t="s">
        <v>14</v>
      </c>
      <c r="F1913" s="2" t="s">
        <v>2856</v>
      </c>
      <c r="G1913" s="28" t="s">
        <v>5</v>
      </c>
      <c r="H1913" s="2" t="s">
        <v>17</v>
      </c>
      <c r="I1913" s="2">
        <v>1</v>
      </c>
      <c r="J1913" s="2" t="s">
        <v>2857</v>
      </c>
      <c r="K1913" s="2">
        <v>4256</v>
      </c>
      <c r="L1913" s="35">
        <f t="shared" ref="L1913:L1976" si="101">B1913*K1913</f>
        <v>13954615.359999999</v>
      </c>
      <c r="M1913" s="36">
        <v>1600</v>
      </c>
      <c r="N1913" s="40">
        <v>28956.153236459701</v>
      </c>
      <c r="O1913" s="40">
        <v>36594.134742404203</v>
      </c>
      <c r="P1913" s="40">
        <v>0</v>
      </c>
      <c r="Q1913" s="40">
        <v>9299.8678996036997</v>
      </c>
      <c r="R1913" s="40">
        <f>60761.7014531044+10094</f>
        <v>70855.701453104397</v>
      </c>
      <c r="S1913" s="40">
        <v>29958.763540290602</v>
      </c>
      <c r="T1913" s="40">
        <v>30000</v>
      </c>
      <c r="U1913" s="40">
        <v>476876.08982826897</v>
      </c>
      <c r="V1913" s="40">
        <v>0</v>
      </c>
      <c r="W1913" s="45">
        <f t="shared" ref="W1913:W1976" si="102">+SUM(N1913:V1913)</f>
        <v>682540.71070013149</v>
      </c>
      <c r="X1913" s="46">
        <f t="shared" ref="X1913:X1976" si="103">(W1913/L1913)*100</f>
        <v>4.8911467144883849</v>
      </c>
    </row>
    <row r="1914" spans="1:24" s="4" customFormat="1" ht="15" customHeight="1">
      <c r="A1914" s="28" t="s">
        <v>2682</v>
      </c>
      <c r="B1914" s="29">
        <v>3278.81</v>
      </c>
      <c r="C1914" s="30" t="s">
        <v>2855</v>
      </c>
      <c r="D1914" s="2">
        <v>4950059651</v>
      </c>
      <c r="E1914" s="2" t="s">
        <v>14</v>
      </c>
      <c r="F1914" s="2" t="s">
        <v>2856</v>
      </c>
      <c r="G1914" s="28" t="s">
        <v>5</v>
      </c>
      <c r="H1914" s="2" t="s">
        <v>17</v>
      </c>
      <c r="I1914" s="2">
        <v>1</v>
      </c>
      <c r="J1914" s="2" t="s">
        <v>2857</v>
      </c>
      <c r="K1914" s="2">
        <v>2823</v>
      </c>
      <c r="L1914" s="35">
        <f t="shared" si="101"/>
        <v>9256080.629999999</v>
      </c>
      <c r="M1914" s="36">
        <v>75</v>
      </c>
      <c r="N1914" s="40">
        <v>1357.3196829590499</v>
      </c>
      <c r="O1914" s="40">
        <v>1715.3500660502</v>
      </c>
      <c r="P1914" s="40">
        <v>0</v>
      </c>
      <c r="Q1914" s="40">
        <v>435.931307793923</v>
      </c>
      <c r="R1914" s="40">
        <f>2848.20475561427+473</f>
        <v>3321.2047556142702</v>
      </c>
      <c r="S1914" s="40">
        <v>1404.3170409511199</v>
      </c>
      <c r="T1914" s="40">
        <v>30000</v>
      </c>
      <c r="U1914" s="40">
        <v>22353.566710700099</v>
      </c>
      <c r="V1914" s="40">
        <v>0</v>
      </c>
      <c r="W1914" s="45">
        <f t="shared" si="102"/>
        <v>60587.689564068663</v>
      </c>
      <c r="X1914" s="46">
        <f t="shared" si="103"/>
        <v>0.65457175651319577</v>
      </c>
    </row>
    <row r="1915" spans="1:24" s="4" customFormat="1" ht="15" customHeight="1">
      <c r="A1915" s="28" t="s">
        <v>2682</v>
      </c>
      <c r="B1915" s="29">
        <v>3278.81</v>
      </c>
      <c r="C1915" s="30" t="s">
        <v>2855</v>
      </c>
      <c r="D1915" s="2">
        <v>4950059651</v>
      </c>
      <c r="E1915" s="2" t="s">
        <v>14</v>
      </c>
      <c r="F1915" s="2" t="s">
        <v>2856</v>
      </c>
      <c r="G1915" s="28" t="s">
        <v>5</v>
      </c>
      <c r="H1915" s="2" t="s">
        <v>17</v>
      </c>
      <c r="I1915" s="2">
        <v>1</v>
      </c>
      <c r="J1915" s="2" t="s">
        <v>2857</v>
      </c>
      <c r="K1915" s="2">
        <v>3165.2</v>
      </c>
      <c r="L1915" s="35">
        <f t="shared" si="101"/>
        <v>10378089.411999999</v>
      </c>
      <c r="M1915" s="36">
        <v>820</v>
      </c>
      <c r="N1915" s="40">
        <v>14840.0285336856</v>
      </c>
      <c r="O1915" s="40">
        <v>18754.494055482199</v>
      </c>
      <c r="P1915" s="40">
        <v>0</v>
      </c>
      <c r="Q1915" s="40">
        <v>4766.1822985468998</v>
      </c>
      <c r="R1915" s="40">
        <f>31140.371994716+5173</f>
        <v>36313.371994715999</v>
      </c>
      <c r="S1915" s="40">
        <v>15353.8663143989</v>
      </c>
      <c r="T1915" s="40">
        <v>30000</v>
      </c>
      <c r="U1915" s="40">
        <v>244398.99603698801</v>
      </c>
      <c r="V1915" s="40">
        <v>0</v>
      </c>
      <c r="W1915" s="45">
        <f t="shared" si="102"/>
        <v>364426.93923381763</v>
      </c>
      <c r="X1915" s="46">
        <f t="shared" si="103"/>
        <v>3.5115031752611161</v>
      </c>
    </row>
    <row r="1916" spans="1:24" s="4" customFormat="1" ht="15" customHeight="1">
      <c r="A1916" s="28" t="s">
        <v>2682</v>
      </c>
      <c r="B1916" s="29">
        <v>3278.81</v>
      </c>
      <c r="C1916" s="30" t="s">
        <v>2855</v>
      </c>
      <c r="D1916" s="2">
        <v>4950812428</v>
      </c>
      <c r="E1916" s="2" t="s">
        <v>14</v>
      </c>
      <c r="F1916" s="2" t="s">
        <v>2856</v>
      </c>
      <c r="G1916" s="28" t="s">
        <v>5</v>
      </c>
      <c r="H1916" s="2" t="s">
        <v>17</v>
      </c>
      <c r="I1916" s="2">
        <v>1</v>
      </c>
      <c r="J1916" s="2" t="s">
        <v>2857</v>
      </c>
      <c r="K1916" s="2">
        <v>407.7</v>
      </c>
      <c r="L1916" s="35">
        <f t="shared" si="101"/>
        <v>1336770.8369999998</v>
      </c>
      <c r="M1916" s="36">
        <v>30</v>
      </c>
      <c r="N1916" s="40">
        <v>542.92787318362002</v>
      </c>
      <c r="O1916" s="40">
        <v>686.14002642007904</v>
      </c>
      <c r="P1916" s="40">
        <v>0</v>
      </c>
      <c r="Q1916" s="40">
        <v>174.37252311756899</v>
      </c>
      <c r="R1916" s="40">
        <f>1139.28190224571+189</f>
        <v>1328.2819022457099</v>
      </c>
      <c r="S1916" s="40">
        <v>561.72681638044901</v>
      </c>
      <c r="T1916" s="40">
        <v>30000</v>
      </c>
      <c r="U1916" s="40">
        <v>8941.4266842800498</v>
      </c>
      <c r="V1916" s="40">
        <v>0</v>
      </c>
      <c r="W1916" s="45">
        <f t="shared" si="102"/>
        <v>42234.875825627474</v>
      </c>
      <c r="X1916" s="46">
        <f t="shared" si="103"/>
        <v>3.1594701692035403</v>
      </c>
    </row>
    <row r="1917" spans="1:24" s="4" customFormat="1" ht="15" customHeight="1">
      <c r="A1917" s="28" t="s">
        <v>2682</v>
      </c>
      <c r="B1917" s="29">
        <v>3278.81</v>
      </c>
      <c r="C1917" s="30" t="s">
        <v>2855</v>
      </c>
      <c r="D1917" s="2">
        <v>4950978868</v>
      </c>
      <c r="E1917" s="2" t="s">
        <v>14</v>
      </c>
      <c r="F1917" s="2" t="s">
        <v>2856</v>
      </c>
      <c r="G1917" s="28" t="s">
        <v>5</v>
      </c>
      <c r="H1917" s="2" t="s">
        <v>17</v>
      </c>
      <c r="I1917" s="2">
        <v>1</v>
      </c>
      <c r="J1917" s="2" t="s">
        <v>2857</v>
      </c>
      <c r="K1917" s="2">
        <v>1072.75</v>
      </c>
      <c r="L1917" s="35">
        <f t="shared" si="101"/>
        <v>3517343.4274999998</v>
      </c>
      <c r="M1917" s="36">
        <v>175</v>
      </c>
      <c r="N1917" s="40">
        <v>3167.0792602377801</v>
      </c>
      <c r="O1917" s="40">
        <v>4002.48348745046</v>
      </c>
      <c r="P1917" s="40">
        <v>0</v>
      </c>
      <c r="Q1917" s="40">
        <v>1017.17305151915</v>
      </c>
      <c r="R1917" s="40">
        <f>6645.81109643329+1104</f>
        <v>7749.81109643329</v>
      </c>
      <c r="S1917" s="40">
        <v>3276.7397622192898</v>
      </c>
      <c r="T1917" s="40">
        <v>30000</v>
      </c>
      <c r="U1917" s="40">
        <v>52158.322324966997</v>
      </c>
      <c r="V1917" s="40">
        <v>0</v>
      </c>
      <c r="W1917" s="45">
        <f t="shared" si="102"/>
        <v>101371.60898282696</v>
      </c>
      <c r="X1917" s="46">
        <f t="shared" si="103"/>
        <v>2.8820503619368845</v>
      </c>
    </row>
    <row r="1918" spans="1:24" s="4" customFormat="1" ht="15" customHeight="1">
      <c r="A1918" s="28" t="s">
        <v>2682</v>
      </c>
      <c r="B1918" s="29">
        <v>3278.81</v>
      </c>
      <c r="C1918" s="30" t="s">
        <v>2855</v>
      </c>
      <c r="D1918" s="2">
        <v>4950978889</v>
      </c>
      <c r="E1918" s="2" t="s">
        <v>14</v>
      </c>
      <c r="F1918" s="2" t="s">
        <v>2856</v>
      </c>
      <c r="G1918" s="28" t="s">
        <v>5</v>
      </c>
      <c r="H1918" s="2" t="s">
        <v>17</v>
      </c>
      <c r="I1918" s="2">
        <v>1</v>
      </c>
      <c r="J1918" s="2" t="s">
        <v>2857</v>
      </c>
      <c r="K1918" s="2">
        <v>5166</v>
      </c>
      <c r="L1918" s="35">
        <f t="shared" si="101"/>
        <v>16938332.460000001</v>
      </c>
      <c r="M1918" s="36">
        <v>1050</v>
      </c>
      <c r="N1918" s="40">
        <v>19002.475561426701</v>
      </c>
      <c r="O1918" s="40">
        <v>24014.900924702801</v>
      </c>
      <c r="P1918" s="40">
        <v>0</v>
      </c>
      <c r="Q1918" s="40">
        <v>6103.0383091149297</v>
      </c>
      <c r="R1918" s="40">
        <f>39874.8665785997+6624</f>
        <v>46498.8665785997</v>
      </c>
      <c r="S1918" s="40">
        <v>19660.4385733157</v>
      </c>
      <c r="T1918" s="40">
        <v>30000</v>
      </c>
      <c r="U1918" s="40">
        <v>312949.93394980201</v>
      </c>
      <c r="V1918" s="40">
        <v>0</v>
      </c>
      <c r="W1918" s="45">
        <f t="shared" si="102"/>
        <v>458229.65389696183</v>
      </c>
      <c r="X1918" s="46">
        <f t="shared" si="103"/>
        <v>2.7052819690431424</v>
      </c>
    </row>
    <row r="1919" spans="1:24" s="4" customFormat="1" ht="15" customHeight="1">
      <c r="A1919" s="28" t="s">
        <v>2682</v>
      </c>
      <c r="B1919" s="29">
        <v>3278.81</v>
      </c>
      <c r="C1919" s="30" t="s">
        <v>2855</v>
      </c>
      <c r="D1919" s="2">
        <v>4950721185</v>
      </c>
      <c r="E1919" s="2" t="s">
        <v>14</v>
      </c>
      <c r="F1919" s="2" t="s">
        <v>2856</v>
      </c>
      <c r="G1919" s="28" t="s">
        <v>5</v>
      </c>
      <c r="H1919" s="2" t="s">
        <v>17</v>
      </c>
      <c r="I1919" s="2">
        <v>1</v>
      </c>
      <c r="J1919" s="2" t="s">
        <v>2857</v>
      </c>
      <c r="K1919" s="2">
        <v>6350.4</v>
      </c>
      <c r="L1919" s="35">
        <f t="shared" si="101"/>
        <v>20821755.024</v>
      </c>
      <c r="M1919" s="36">
        <v>2520</v>
      </c>
      <c r="N1919" s="40">
        <v>45605.941347423999</v>
      </c>
      <c r="O1919" s="40">
        <v>57635.762219286698</v>
      </c>
      <c r="P1919" s="40">
        <v>0</v>
      </c>
      <c r="Q1919" s="40">
        <v>14647.291941875799</v>
      </c>
      <c r="R1919" s="40">
        <v>111597.679788639</v>
      </c>
      <c r="S1919" s="40">
        <v>47185.052575957699</v>
      </c>
      <c r="T1919" s="40">
        <v>30000</v>
      </c>
      <c r="U1919" s="40">
        <v>751079.84147952404</v>
      </c>
      <c r="V1919" s="40">
        <v>0</v>
      </c>
      <c r="W1919" s="45">
        <f t="shared" si="102"/>
        <v>1057751.5693527074</v>
      </c>
      <c r="X1919" s="46">
        <f t="shared" si="103"/>
        <v>5.0800308049609653</v>
      </c>
    </row>
    <row r="1920" spans="1:24" s="4" customFormat="1" ht="15" customHeight="1">
      <c r="A1920" s="28" t="s">
        <v>2682</v>
      </c>
      <c r="B1920" s="29">
        <v>3278.81</v>
      </c>
      <c r="C1920" s="30" t="s">
        <v>2855</v>
      </c>
      <c r="D1920" s="2">
        <v>4950721190</v>
      </c>
      <c r="E1920" s="2" t="s">
        <v>14</v>
      </c>
      <c r="F1920" s="2" t="s">
        <v>2856</v>
      </c>
      <c r="G1920" s="28" t="s">
        <v>5</v>
      </c>
      <c r="H1920" s="2" t="s">
        <v>17</v>
      </c>
      <c r="I1920" s="2">
        <v>1</v>
      </c>
      <c r="J1920" s="2" t="s">
        <v>2857</v>
      </c>
      <c r="K1920" s="2">
        <v>12700.8</v>
      </c>
      <c r="L1920" s="35">
        <f t="shared" si="101"/>
        <v>41643510.048</v>
      </c>
      <c r="M1920" s="36">
        <v>5040</v>
      </c>
      <c r="N1920" s="40">
        <v>91211.8826948481</v>
      </c>
      <c r="O1920" s="40">
        <v>115271.524438573</v>
      </c>
      <c r="P1920" s="40">
        <v>0</v>
      </c>
      <c r="Q1920" s="40">
        <v>29294.583883751598</v>
      </c>
      <c r="R1920" s="40">
        <f>191399.359577279+31796</f>
        <v>223195.35957727901</v>
      </c>
      <c r="S1920" s="40">
        <v>94370.105151915399</v>
      </c>
      <c r="T1920" s="40">
        <v>30000</v>
      </c>
      <c r="U1920" s="40">
        <v>1502159.6829590499</v>
      </c>
      <c r="V1920" s="40">
        <v>0</v>
      </c>
      <c r="W1920" s="45">
        <f t="shared" si="102"/>
        <v>2085503.138705417</v>
      </c>
      <c r="X1920" s="46">
        <f t="shared" si="103"/>
        <v>5.0079907680730598</v>
      </c>
    </row>
    <row r="1921" spans="1:24" s="4" customFormat="1" ht="15" customHeight="1">
      <c r="A1921" s="28" t="s">
        <v>2682</v>
      </c>
      <c r="B1921" s="29">
        <v>3278.81</v>
      </c>
      <c r="C1921" s="30" t="s">
        <v>2855</v>
      </c>
      <c r="D1921" s="2">
        <v>4950443834</v>
      </c>
      <c r="E1921" s="2" t="s">
        <v>14</v>
      </c>
      <c r="F1921" s="2" t="s">
        <v>2856</v>
      </c>
      <c r="G1921" s="28" t="s">
        <v>5</v>
      </c>
      <c r="H1921" s="2" t="s">
        <v>17</v>
      </c>
      <c r="I1921" s="2">
        <v>1</v>
      </c>
      <c r="J1921" s="2" t="s">
        <v>2857</v>
      </c>
      <c r="K1921" s="2">
        <v>4683</v>
      </c>
      <c r="L1921" s="35">
        <f t="shared" si="101"/>
        <v>15354667.23</v>
      </c>
      <c r="M1921" s="36">
        <v>525</v>
      </c>
      <c r="N1921" s="40">
        <v>9501.2377807133398</v>
      </c>
      <c r="O1921" s="40">
        <v>12007.4504623514</v>
      </c>
      <c r="P1921" s="40">
        <v>0</v>
      </c>
      <c r="Q1921" s="40">
        <v>3051.5191545574598</v>
      </c>
      <c r="R1921" s="40">
        <v>23249.433289299901</v>
      </c>
      <c r="S1921" s="40">
        <v>9830.2192866578607</v>
      </c>
      <c r="T1921" s="40">
        <v>30000</v>
      </c>
      <c r="U1921" s="40">
        <v>156474.96697490101</v>
      </c>
      <c r="V1921" s="40">
        <v>0</v>
      </c>
      <c r="W1921" s="45">
        <f t="shared" si="102"/>
        <v>244114.82694848097</v>
      </c>
      <c r="X1921" s="46">
        <f t="shared" si="103"/>
        <v>1.5898412078350261</v>
      </c>
    </row>
    <row r="1922" spans="1:24" s="4" customFormat="1" ht="15" customHeight="1">
      <c r="A1922" s="28" t="s">
        <v>2682</v>
      </c>
      <c r="B1922" s="29">
        <v>3278.81</v>
      </c>
      <c r="C1922" s="30" t="s">
        <v>2855</v>
      </c>
      <c r="D1922" s="2">
        <v>4951046907</v>
      </c>
      <c r="E1922" s="2" t="s">
        <v>14</v>
      </c>
      <c r="F1922" s="2" t="s">
        <v>2856</v>
      </c>
      <c r="G1922" s="28" t="s">
        <v>5</v>
      </c>
      <c r="H1922" s="2" t="s">
        <v>17</v>
      </c>
      <c r="I1922" s="2">
        <v>1</v>
      </c>
      <c r="J1922" s="2" t="s">
        <v>2857</v>
      </c>
      <c r="K1922" s="2">
        <v>12355.2</v>
      </c>
      <c r="L1922" s="35">
        <f t="shared" si="101"/>
        <v>40510353.311999999</v>
      </c>
      <c r="M1922" s="36">
        <v>6240</v>
      </c>
      <c r="N1922" s="40">
        <v>112928.997622193</v>
      </c>
      <c r="O1922" s="40">
        <v>142717.12549537601</v>
      </c>
      <c r="P1922" s="40">
        <v>0</v>
      </c>
      <c r="Q1922" s="40">
        <v>36269.484808454399</v>
      </c>
      <c r="R1922" s="40">
        <v>276336.63566710701</v>
      </c>
      <c r="S1922" s="40">
        <v>116839.177807133</v>
      </c>
      <c r="T1922" s="40">
        <v>30000</v>
      </c>
      <c r="U1922" s="40">
        <v>1859816.75033025</v>
      </c>
      <c r="V1922" s="40">
        <v>0</v>
      </c>
      <c r="W1922" s="45">
        <f t="shared" si="102"/>
        <v>2574908.1717305137</v>
      </c>
      <c r="X1922" s="46">
        <f t="shared" si="103"/>
        <v>6.3561730797538436</v>
      </c>
    </row>
    <row r="1923" spans="1:24" s="4" customFormat="1" ht="15" customHeight="1">
      <c r="A1923" s="28" t="s">
        <v>2682</v>
      </c>
      <c r="B1923" s="29">
        <v>3278.81</v>
      </c>
      <c r="C1923" s="30" t="s">
        <v>2858</v>
      </c>
      <c r="D1923" s="2">
        <v>4950557544</v>
      </c>
      <c r="E1923" s="2" t="s">
        <v>36</v>
      </c>
      <c r="F1923" s="2" t="s">
        <v>2859</v>
      </c>
      <c r="G1923" s="28" t="s">
        <v>5</v>
      </c>
      <c r="H1923" s="2" t="s">
        <v>26</v>
      </c>
      <c r="I1923" s="2">
        <v>3</v>
      </c>
      <c r="J1923" s="2" t="s">
        <v>2860</v>
      </c>
      <c r="K1923" s="2">
        <v>119302.87</v>
      </c>
      <c r="L1923" s="35">
        <f t="shared" si="101"/>
        <v>391171443.18469995</v>
      </c>
      <c r="M1923" s="36">
        <v>75033.25</v>
      </c>
      <c r="N1923" s="40">
        <v>1006339</v>
      </c>
      <c r="O1923" s="40">
        <v>1508015</v>
      </c>
      <c r="P1923" s="40">
        <v>6163827</v>
      </c>
      <c r="Q1923" s="40">
        <v>372411</v>
      </c>
      <c r="R1923" s="40">
        <v>2771426</v>
      </c>
      <c r="S1923" s="40">
        <v>354356</v>
      </c>
      <c r="T1923" s="40"/>
      <c r="U1923" s="40">
        <v>0</v>
      </c>
      <c r="V1923" s="40">
        <v>0</v>
      </c>
      <c r="W1923" s="45">
        <f t="shared" si="102"/>
        <v>12176374</v>
      </c>
      <c r="X1923" s="46">
        <f t="shared" si="103"/>
        <v>3.1127972688565269</v>
      </c>
    </row>
    <row r="1924" spans="1:24" s="4" customFormat="1" ht="15" customHeight="1">
      <c r="A1924" s="28" t="s">
        <v>2682</v>
      </c>
      <c r="B1924" s="29">
        <v>3278.81</v>
      </c>
      <c r="C1924" s="30" t="s">
        <v>2861</v>
      </c>
      <c r="D1924" s="2">
        <v>4950002690</v>
      </c>
      <c r="E1924" s="2" t="s">
        <v>36</v>
      </c>
      <c r="F1924" s="2" t="s">
        <v>2862</v>
      </c>
      <c r="G1924" s="28" t="s">
        <v>5</v>
      </c>
      <c r="H1924" s="2" t="s">
        <v>20</v>
      </c>
      <c r="I1924" s="2">
        <v>1</v>
      </c>
      <c r="J1924" s="2" t="s">
        <v>2863</v>
      </c>
      <c r="K1924" s="2">
        <v>26594.400000000001</v>
      </c>
      <c r="L1924" s="35">
        <f t="shared" si="101"/>
        <v>87197984.664000005</v>
      </c>
      <c r="M1924" s="36">
        <v>16800</v>
      </c>
      <c r="N1924" s="40">
        <v>342498</v>
      </c>
      <c r="O1924" s="40">
        <v>317453</v>
      </c>
      <c r="P1924" s="40">
        <v>232087</v>
      </c>
      <c r="Q1924" s="40">
        <v>118201</v>
      </c>
      <c r="R1924" s="40">
        <v>640916</v>
      </c>
      <c r="S1924" s="40">
        <v>354356</v>
      </c>
      <c r="T1924" s="40"/>
      <c r="U1924" s="40">
        <v>2541400</v>
      </c>
      <c r="V1924" s="40">
        <v>0</v>
      </c>
      <c r="W1924" s="45">
        <f t="shared" si="102"/>
        <v>4546911</v>
      </c>
      <c r="X1924" s="46">
        <f t="shared" si="103"/>
        <v>5.2144679920305634</v>
      </c>
    </row>
    <row r="1925" spans="1:24" s="4" customFormat="1" ht="15" customHeight="1">
      <c r="A1925" s="28" t="s">
        <v>2682</v>
      </c>
      <c r="B1925" s="29">
        <v>3278.81</v>
      </c>
      <c r="C1925" s="30" t="s">
        <v>2864</v>
      </c>
      <c r="D1925" s="2">
        <v>4950720546</v>
      </c>
      <c r="E1925" s="2" t="s">
        <v>27</v>
      </c>
      <c r="F1925" s="2" t="s">
        <v>2865</v>
      </c>
      <c r="G1925" s="28" t="s">
        <v>5</v>
      </c>
      <c r="H1925" s="2" t="s">
        <v>20</v>
      </c>
      <c r="I1925" s="2">
        <v>1</v>
      </c>
      <c r="J1925" s="2" t="s">
        <v>2866</v>
      </c>
      <c r="K1925" s="2">
        <v>7163.81</v>
      </c>
      <c r="L1925" s="35">
        <f t="shared" si="101"/>
        <v>23488771.866100002</v>
      </c>
      <c r="M1925" s="36">
        <v>5276.7</v>
      </c>
      <c r="N1925" s="40">
        <v>32998.1052631579</v>
      </c>
      <c r="O1925" s="40">
        <v>410790</v>
      </c>
      <c r="P1925" s="40">
        <v>0</v>
      </c>
      <c r="Q1925" s="40">
        <v>124137</v>
      </c>
      <c r="R1925" s="40">
        <v>74180.082706766902</v>
      </c>
      <c r="S1925" s="40">
        <v>34636.300751879702</v>
      </c>
      <c r="T1925" s="40"/>
      <c r="U1925" s="40">
        <v>283487.96992481197</v>
      </c>
      <c r="V1925" s="40">
        <v>0</v>
      </c>
      <c r="W1925" s="45">
        <f t="shared" si="102"/>
        <v>960229.45864661655</v>
      </c>
      <c r="X1925" s="46">
        <f t="shared" si="103"/>
        <v>4.0880360374756783</v>
      </c>
    </row>
    <row r="1926" spans="1:24" s="4" customFormat="1" ht="15" customHeight="1">
      <c r="A1926" s="28" t="s">
        <v>2682</v>
      </c>
      <c r="B1926" s="29">
        <v>3278.81</v>
      </c>
      <c r="C1926" s="30" t="s">
        <v>2867</v>
      </c>
      <c r="D1926" s="2">
        <v>4950898145</v>
      </c>
      <c r="E1926" s="2" t="s">
        <v>14</v>
      </c>
      <c r="F1926" s="2" t="s">
        <v>2868</v>
      </c>
      <c r="G1926" s="28" t="s">
        <v>9</v>
      </c>
      <c r="H1926" s="2" t="s">
        <v>23</v>
      </c>
      <c r="I1926" s="2">
        <v>9</v>
      </c>
      <c r="J1926" s="2"/>
      <c r="K1926" s="2">
        <v>105084</v>
      </c>
      <c r="L1926" s="35">
        <f t="shared" si="101"/>
        <v>344550470.04000002</v>
      </c>
      <c r="M1926" s="36">
        <f>2400+3000</f>
        <v>5400</v>
      </c>
      <c r="N1926" s="40">
        <v>938813</v>
      </c>
      <c r="O1926" s="40">
        <v>3703</v>
      </c>
      <c r="P1926" s="40">
        <v>0</v>
      </c>
      <c r="Q1926" s="40">
        <v>88681</v>
      </c>
      <c r="R1926" s="40">
        <v>183142</v>
      </c>
      <c r="S1926" s="40">
        <v>354356</v>
      </c>
      <c r="T1926" s="40">
        <v>30000</v>
      </c>
      <c r="U1926" s="40">
        <v>2085500</v>
      </c>
      <c r="V1926" s="40">
        <v>0</v>
      </c>
      <c r="W1926" s="45">
        <f t="shared" si="102"/>
        <v>3684195</v>
      </c>
      <c r="X1926" s="46">
        <f t="shared" si="103"/>
        <v>1.0692758595198808</v>
      </c>
    </row>
    <row r="1927" spans="1:24" s="4" customFormat="1" ht="15" customHeight="1">
      <c r="A1927" s="28" t="s">
        <v>2682</v>
      </c>
      <c r="B1927" s="29">
        <v>3278.81</v>
      </c>
      <c r="C1927" s="30" t="s">
        <v>2869</v>
      </c>
      <c r="D1927" s="2">
        <v>4950661380</v>
      </c>
      <c r="E1927" s="2" t="s">
        <v>14</v>
      </c>
      <c r="F1927" s="78" t="s">
        <v>2870</v>
      </c>
      <c r="G1927" s="28" t="s">
        <v>9</v>
      </c>
      <c r="H1927" s="2" t="s">
        <v>23</v>
      </c>
      <c r="I1927" s="2">
        <v>1</v>
      </c>
      <c r="J1927" s="2"/>
      <c r="K1927" s="2">
        <v>1327.5</v>
      </c>
      <c r="L1927" s="35">
        <f t="shared" si="101"/>
        <v>4352620.2750000004</v>
      </c>
      <c r="M1927" s="36">
        <v>450</v>
      </c>
      <c r="N1927" s="40">
        <v>705059</v>
      </c>
      <c r="O1927" s="40">
        <v>326</v>
      </c>
      <c r="P1927" s="40">
        <v>0</v>
      </c>
      <c r="Q1927" s="40">
        <v>9547</v>
      </c>
      <c r="R1927" s="40">
        <v>96366</v>
      </c>
      <c r="S1927" s="40">
        <v>354356</v>
      </c>
      <c r="T1927" s="40">
        <v>30000</v>
      </c>
      <c r="U1927" s="40">
        <v>592656.338028169</v>
      </c>
      <c r="V1927" s="40">
        <v>0</v>
      </c>
      <c r="W1927" s="45">
        <f t="shared" si="102"/>
        <v>1788310.338028169</v>
      </c>
      <c r="X1927" s="46">
        <f t="shared" si="103"/>
        <v>41.085833935471641</v>
      </c>
    </row>
    <row r="1928" spans="1:24" s="4" customFormat="1" ht="15" customHeight="1">
      <c r="A1928" s="28" t="s">
        <v>2682</v>
      </c>
      <c r="B1928" s="29">
        <v>3278.81</v>
      </c>
      <c r="C1928" s="30" t="s">
        <v>2871</v>
      </c>
      <c r="D1928" s="2">
        <v>4950560302</v>
      </c>
      <c r="E1928" s="2" t="s">
        <v>36</v>
      </c>
      <c r="F1928" s="2" t="s">
        <v>2872</v>
      </c>
      <c r="G1928" s="28" t="s">
        <v>5</v>
      </c>
      <c r="H1928" s="2" t="s">
        <v>26</v>
      </c>
      <c r="I1928" s="2">
        <v>4</v>
      </c>
      <c r="J1928" s="2" t="s">
        <v>2873</v>
      </c>
      <c r="K1928" s="2">
        <v>84750</v>
      </c>
      <c r="L1928" s="35">
        <f t="shared" si="101"/>
        <v>277879147.5</v>
      </c>
      <c r="M1928" s="36">
        <v>64780</v>
      </c>
      <c r="N1928" s="40">
        <v>1351974</v>
      </c>
      <c r="O1928" s="40">
        <v>2010666</v>
      </c>
      <c r="P1928" s="40">
        <v>10175206</v>
      </c>
      <c r="Q1928" s="40">
        <v>496548</v>
      </c>
      <c r="R1928" s="40">
        <v>3388819</v>
      </c>
      <c r="S1928" s="40">
        <v>354356</v>
      </c>
      <c r="T1928" s="40"/>
      <c r="U1928" s="40">
        <v>0</v>
      </c>
      <c r="V1928" s="40">
        <v>0</v>
      </c>
      <c r="W1928" s="45">
        <f t="shared" si="102"/>
        <v>17777569</v>
      </c>
      <c r="X1928" s="46">
        <f t="shared" si="103"/>
        <v>6.3975901610249464</v>
      </c>
    </row>
    <row r="1929" spans="1:24" s="4" customFormat="1" ht="15" customHeight="1">
      <c r="A1929" s="28" t="s">
        <v>2682</v>
      </c>
      <c r="B1929" s="29">
        <v>3278.81</v>
      </c>
      <c r="C1929" s="30" t="s">
        <v>2874</v>
      </c>
      <c r="D1929" s="2">
        <v>4950949705</v>
      </c>
      <c r="E1929" s="2" t="s">
        <v>24</v>
      </c>
      <c r="F1929" s="2" t="s">
        <v>2875</v>
      </c>
      <c r="G1929" s="28" t="s">
        <v>9</v>
      </c>
      <c r="H1929" s="2" t="s">
        <v>23</v>
      </c>
      <c r="I1929" s="2">
        <v>2</v>
      </c>
      <c r="J1929" s="2"/>
      <c r="K1929" s="2">
        <v>5608.8</v>
      </c>
      <c r="L1929" s="35">
        <f t="shared" si="101"/>
        <v>18390189.528000001</v>
      </c>
      <c r="M1929" s="36">
        <v>1140</v>
      </c>
      <c r="N1929" s="40">
        <v>810342</v>
      </c>
      <c r="O1929" s="40">
        <v>874</v>
      </c>
      <c r="P1929" s="40">
        <v>16755</v>
      </c>
      <c r="Q1929" s="40">
        <v>25779</v>
      </c>
      <c r="R1929" s="40">
        <v>116634</v>
      </c>
      <c r="S1929" s="40">
        <v>354356</v>
      </c>
      <c r="T1929" s="40"/>
      <c r="U1929" s="40">
        <v>560855.39568345295</v>
      </c>
      <c r="V1929" s="40">
        <v>0</v>
      </c>
      <c r="W1929" s="45">
        <f t="shared" si="102"/>
        <v>1885595.395683453</v>
      </c>
      <c r="X1929" s="46">
        <f t="shared" si="103"/>
        <v>10.253267878574812</v>
      </c>
    </row>
    <row r="1930" spans="1:24" s="4" customFormat="1" ht="15" customHeight="1">
      <c r="A1930" s="28" t="s">
        <v>2682</v>
      </c>
      <c r="B1930" s="29">
        <v>3278.81</v>
      </c>
      <c r="C1930" s="30" t="s">
        <v>2876</v>
      </c>
      <c r="D1930" s="2">
        <v>4950645601</v>
      </c>
      <c r="E1930" s="2" t="s">
        <v>24</v>
      </c>
      <c r="F1930" s="2" t="s">
        <v>2877</v>
      </c>
      <c r="G1930" s="28" t="s">
        <v>9</v>
      </c>
      <c r="H1930" s="2" t="s">
        <v>23</v>
      </c>
      <c r="I1930" s="2">
        <v>2</v>
      </c>
      <c r="J1930" s="2"/>
      <c r="K1930" s="2">
        <v>9938.4</v>
      </c>
      <c r="L1930" s="35">
        <f t="shared" si="101"/>
        <v>32586125.303999998</v>
      </c>
      <c r="M1930" s="36">
        <v>1640</v>
      </c>
      <c r="N1930" s="40">
        <v>712563</v>
      </c>
      <c r="O1930" s="40">
        <v>2486</v>
      </c>
      <c r="P1930" s="40">
        <v>58291</v>
      </c>
      <c r="Q1930" s="40">
        <v>29582</v>
      </c>
      <c r="R1930" s="40">
        <v>401539</v>
      </c>
      <c r="S1930" s="40">
        <v>354356</v>
      </c>
      <c r="T1930" s="40"/>
      <c r="U1930" s="40">
        <v>806844.60431654705</v>
      </c>
      <c r="V1930" s="40">
        <v>0</v>
      </c>
      <c r="W1930" s="45">
        <f t="shared" si="102"/>
        <v>2365661.604316547</v>
      </c>
      <c r="X1930" s="46">
        <f t="shared" si="103"/>
        <v>7.2597204553993366</v>
      </c>
    </row>
    <row r="1931" spans="1:24" s="4" customFormat="1" ht="15" customHeight="1">
      <c r="A1931" s="28" t="s">
        <v>2682</v>
      </c>
      <c r="B1931" s="29">
        <v>3278.81</v>
      </c>
      <c r="C1931" s="30" t="s">
        <v>2878</v>
      </c>
      <c r="D1931" s="2">
        <v>4948828017</v>
      </c>
      <c r="E1931" s="2" t="s">
        <v>14</v>
      </c>
      <c r="F1931" s="2" t="s">
        <v>2879</v>
      </c>
      <c r="G1931" s="28" t="s">
        <v>13</v>
      </c>
      <c r="H1931" s="2" t="s">
        <v>23</v>
      </c>
      <c r="I1931" s="2">
        <v>1</v>
      </c>
      <c r="J1931" s="2"/>
      <c r="K1931" s="2">
        <f>6993+837.16</f>
        <v>7830.16</v>
      </c>
      <c r="L1931" s="35">
        <f t="shared" si="101"/>
        <v>25673606.909600001</v>
      </c>
      <c r="M1931" s="36">
        <v>450</v>
      </c>
      <c r="N1931" s="40">
        <v>1032539</v>
      </c>
      <c r="O1931" s="40">
        <v>0</v>
      </c>
      <c r="P1931" s="40">
        <v>0</v>
      </c>
      <c r="Q1931" s="40">
        <v>0</v>
      </c>
      <c r="R1931" s="40">
        <v>17846</v>
      </c>
      <c r="S1931" s="40">
        <v>354356</v>
      </c>
      <c r="T1931" s="40">
        <v>30000</v>
      </c>
      <c r="U1931" s="40">
        <v>246380</v>
      </c>
      <c r="V1931" s="40">
        <v>0</v>
      </c>
      <c r="W1931" s="45">
        <f t="shared" si="102"/>
        <v>1681121</v>
      </c>
      <c r="X1931" s="46">
        <f t="shared" si="103"/>
        <v>6.5480514908537719</v>
      </c>
    </row>
    <row r="1932" spans="1:24" s="4" customFormat="1" ht="15" customHeight="1">
      <c r="A1932" s="28" t="s">
        <v>2682</v>
      </c>
      <c r="B1932" s="29">
        <v>3278.81</v>
      </c>
      <c r="C1932" s="30" t="s">
        <v>2880</v>
      </c>
      <c r="D1932" s="2">
        <v>4950058261</v>
      </c>
      <c r="E1932" s="2" t="s">
        <v>14</v>
      </c>
      <c r="F1932" s="2" t="s">
        <v>2881</v>
      </c>
      <c r="G1932" s="28" t="s">
        <v>5</v>
      </c>
      <c r="H1932" s="2" t="s">
        <v>17</v>
      </c>
      <c r="I1932" s="2">
        <v>1</v>
      </c>
      <c r="J1932" s="2" t="s">
        <v>2882</v>
      </c>
      <c r="K1932" s="2">
        <v>8430</v>
      </c>
      <c r="L1932" s="35">
        <f t="shared" si="101"/>
        <v>27640368.300000001</v>
      </c>
      <c r="M1932" s="36">
        <v>600</v>
      </c>
      <c r="N1932" s="40">
        <v>10606.3896774194</v>
      </c>
      <c r="O1932" s="40">
        <v>13404.0774193548</v>
      </c>
      <c r="P1932" s="40">
        <v>26604.3251612903</v>
      </c>
      <c r="Q1932" s="40">
        <v>3406.4516129032299</v>
      </c>
      <c r="R1932" s="40">
        <f>53215.3703225806+8931</f>
        <v>62146.370322580602</v>
      </c>
      <c r="S1932" s="40">
        <v>10973.605161290299</v>
      </c>
      <c r="T1932" s="40">
        <v>30000</v>
      </c>
      <c r="U1932" s="40">
        <v>194350.45161290301</v>
      </c>
      <c r="V1932" s="40">
        <v>0</v>
      </c>
      <c r="W1932" s="45">
        <f t="shared" si="102"/>
        <v>351491.67096774164</v>
      </c>
      <c r="X1932" s="46">
        <f t="shared" si="103"/>
        <v>1.2716605913233856</v>
      </c>
    </row>
    <row r="1933" spans="1:24" s="4" customFormat="1" ht="15" customHeight="1">
      <c r="A1933" s="28" t="s">
        <v>2682</v>
      </c>
      <c r="B1933" s="29">
        <v>3278.81</v>
      </c>
      <c r="C1933" s="30" t="s">
        <v>2880</v>
      </c>
      <c r="D1933" s="2">
        <v>4950585745</v>
      </c>
      <c r="E1933" s="2" t="s">
        <v>14</v>
      </c>
      <c r="F1933" s="2" t="s">
        <v>2881</v>
      </c>
      <c r="G1933" s="28" t="s">
        <v>5</v>
      </c>
      <c r="H1933" s="2" t="s">
        <v>17</v>
      </c>
      <c r="I1933" s="2">
        <v>1</v>
      </c>
      <c r="J1933" s="2" t="s">
        <v>2882</v>
      </c>
      <c r="K1933" s="2">
        <v>3310</v>
      </c>
      <c r="L1933" s="35">
        <f t="shared" si="101"/>
        <v>10852861.1</v>
      </c>
      <c r="M1933" s="36">
        <v>100</v>
      </c>
      <c r="N1933" s="40">
        <v>1767.7316129032299</v>
      </c>
      <c r="O1933" s="40">
        <v>2234.0129032258101</v>
      </c>
      <c r="P1933" s="40">
        <v>4434.0541935483898</v>
      </c>
      <c r="Q1933" s="40">
        <v>567.74193548387098</v>
      </c>
      <c r="R1933" s="40">
        <f>8869.22838709677+1488</f>
        <v>10357.228387096769</v>
      </c>
      <c r="S1933" s="40">
        <v>1828.9341935483901</v>
      </c>
      <c r="T1933" s="40">
        <v>30000</v>
      </c>
      <c r="U1933" s="40">
        <v>32391.7419354839</v>
      </c>
      <c r="V1933" s="40">
        <v>0</v>
      </c>
      <c r="W1933" s="45">
        <f t="shared" si="102"/>
        <v>83581.44516129035</v>
      </c>
      <c r="X1933" s="46">
        <f t="shared" si="103"/>
        <v>0.77013281927371535</v>
      </c>
    </row>
    <row r="1934" spans="1:24" s="4" customFormat="1" ht="15" customHeight="1">
      <c r="A1934" s="28" t="s">
        <v>2682</v>
      </c>
      <c r="B1934" s="29">
        <v>3278.81</v>
      </c>
      <c r="C1934" s="30" t="s">
        <v>2880</v>
      </c>
      <c r="D1934" s="2">
        <v>4950443837</v>
      </c>
      <c r="E1934" s="2" t="s">
        <v>14</v>
      </c>
      <c r="F1934" s="2" t="s">
        <v>2881</v>
      </c>
      <c r="G1934" s="28" t="s">
        <v>5</v>
      </c>
      <c r="H1934" s="2" t="s">
        <v>17</v>
      </c>
      <c r="I1934" s="2">
        <v>1</v>
      </c>
      <c r="J1934" s="2" t="s">
        <v>2882</v>
      </c>
      <c r="K1934" s="2">
        <v>14336</v>
      </c>
      <c r="L1934" s="35">
        <f t="shared" si="101"/>
        <v>47005020.159999996</v>
      </c>
      <c r="M1934" s="36">
        <v>1400</v>
      </c>
      <c r="N1934" s="40">
        <v>24748.242580645201</v>
      </c>
      <c r="O1934" s="40">
        <v>31276.180645161301</v>
      </c>
      <c r="P1934" s="40">
        <v>62076.7587096774</v>
      </c>
      <c r="Q1934" s="40">
        <v>7948.3870967741896</v>
      </c>
      <c r="R1934" s="40">
        <f>124169.197419355+20839</f>
        <v>145008.19741935498</v>
      </c>
      <c r="S1934" s="40">
        <v>25605.0787096774</v>
      </c>
      <c r="T1934" s="40">
        <v>30000</v>
      </c>
      <c r="U1934" s="40">
        <v>453484.38709677401</v>
      </c>
      <c r="V1934" s="40">
        <v>0</v>
      </c>
      <c r="W1934" s="45">
        <f t="shared" si="102"/>
        <v>780147.23225806444</v>
      </c>
      <c r="X1934" s="46">
        <f t="shared" si="103"/>
        <v>1.6597104513571694</v>
      </c>
    </row>
    <row r="1935" spans="1:24" s="4" customFormat="1" ht="15" customHeight="1">
      <c r="A1935" s="28" t="s">
        <v>2682</v>
      </c>
      <c r="B1935" s="29">
        <v>3278.81</v>
      </c>
      <c r="C1935" s="30" t="s">
        <v>2880</v>
      </c>
      <c r="D1935" s="2">
        <v>4950365723</v>
      </c>
      <c r="E1935" s="2" t="s">
        <v>14</v>
      </c>
      <c r="F1935" s="2" t="s">
        <v>2881</v>
      </c>
      <c r="G1935" s="28" t="s">
        <v>5</v>
      </c>
      <c r="H1935" s="2" t="s">
        <v>17</v>
      </c>
      <c r="I1935" s="2">
        <v>1</v>
      </c>
      <c r="J1935" s="2" t="s">
        <v>2882</v>
      </c>
      <c r="K1935" s="2">
        <v>12533.75</v>
      </c>
      <c r="L1935" s="35">
        <f t="shared" si="101"/>
        <v>41095784.837499999</v>
      </c>
      <c r="M1935" s="36">
        <v>4625</v>
      </c>
      <c r="N1935" s="40">
        <v>81757.587096774194</v>
      </c>
      <c r="O1935" s="40">
        <v>103323.096774194</v>
      </c>
      <c r="P1935" s="40">
        <v>205075.00645161301</v>
      </c>
      <c r="Q1935" s="40">
        <v>26258.064516129001</v>
      </c>
      <c r="R1935" s="40">
        <f>410201.812903226+68842</f>
        <v>479043.812903226</v>
      </c>
      <c r="S1935" s="40">
        <v>84588.206451612903</v>
      </c>
      <c r="T1935" s="40">
        <v>30000</v>
      </c>
      <c r="U1935" s="40">
        <v>1498118.0645161299</v>
      </c>
      <c r="V1935" s="40">
        <v>0</v>
      </c>
      <c r="W1935" s="45">
        <f t="shared" si="102"/>
        <v>2508163.838709679</v>
      </c>
      <c r="X1935" s="46">
        <f t="shared" si="103"/>
        <v>6.1032143530714951</v>
      </c>
    </row>
    <row r="1936" spans="1:24" s="4" customFormat="1" ht="15" customHeight="1">
      <c r="A1936" s="28" t="s">
        <v>2682</v>
      </c>
      <c r="B1936" s="29">
        <v>3278.81</v>
      </c>
      <c r="C1936" s="30" t="s">
        <v>2880</v>
      </c>
      <c r="D1936" s="2">
        <v>4950443837</v>
      </c>
      <c r="E1936" s="2" t="s">
        <v>14</v>
      </c>
      <c r="F1936" s="2" t="s">
        <v>2881</v>
      </c>
      <c r="G1936" s="28" t="s">
        <v>5</v>
      </c>
      <c r="H1936" s="2" t="s">
        <v>17</v>
      </c>
      <c r="I1936" s="2">
        <v>1</v>
      </c>
      <c r="J1936" s="2" t="s">
        <v>2882</v>
      </c>
      <c r="K1936" s="2">
        <v>1989</v>
      </c>
      <c r="L1936" s="35">
        <f t="shared" si="101"/>
        <v>6521553.0899999999</v>
      </c>
      <c r="M1936" s="36">
        <v>450</v>
      </c>
      <c r="N1936" s="40">
        <v>7954.79225806452</v>
      </c>
      <c r="O1936" s="40">
        <v>10053.058064516101</v>
      </c>
      <c r="P1936" s="40">
        <v>19953.243870967701</v>
      </c>
      <c r="Q1936" s="40">
        <v>2554.83870967742</v>
      </c>
      <c r="R1936" s="40">
        <f>39911.5277419355+6698</f>
        <v>46609.527741935497</v>
      </c>
      <c r="S1936" s="40">
        <v>8230.2038709677399</v>
      </c>
      <c r="T1936" s="40">
        <v>30000</v>
      </c>
      <c r="U1936" s="40">
        <v>145762.83870967699</v>
      </c>
      <c r="V1936" s="40">
        <v>0</v>
      </c>
      <c r="W1936" s="45">
        <f t="shared" si="102"/>
        <v>271118.50322580594</v>
      </c>
      <c r="X1936" s="46">
        <f t="shared" si="103"/>
        <v>4.1572689738818935</v>
      </c>
    </row>
    <row r="1937" spans="1:24" s="4" customFormat="1" ht="15" customHeight="1">
      <c r="A1937" s="28" t="s">
        <v>2682</v>
      </c>
      <c r="B1937" s="29">
        <v>3278.81</v>
      </c>
      <c r="C1937" s="30" t="s">
        <v>2880</v>
      </c>
      <c r="D1937" s="2">
        <v>4950757106</v>
      </c>
      <c r="E1937" s="2" t="s">
        <v>14</v>
      </c>
      <c r="F1937" s="2" t="s">
        <v>2881</v>
      </c>
      <c r="G1937" s="28" t="s">
        <v>5</v>
      </c>
      <c r="H1937" s="2" t="s">
        <v>17</v>
      </c>
      <c r="I1937" s="2">
        <v>1</v>
      </c>
      <c r="J1937" s="2" t="s">
        <v>2882</v>
      </c>
      <c r="K1937" s="2">
        <v>9765</v>
      </c>
      <c r="L1937" s="35">
        <f t="shared" si="101"/>
        <v>32017579.649999999</v>
      </c>
      <c r="M1937" s="36">
        <v>4500</v>
      </c>
      <c r="N1937" s="40">
        <v>79547.922580645201</v>
      </c>
      <c r="O1937" s="40">
        <v>100530.580645161</v>
      </c>
      <c r="P1937" s="40">
        <v>199532.43870967699</v>
      </c>
      <c r="Q1937" s="40">
        <v>25548.3870967742</v>
      </c>
      <c r="R1937" s="40">
        <v>466096.277419355</v>
      </c>
      <c r="S1937" s="40">
        <v>82302.038709677407</v>
      </c>
      <c r="T1937" s="40">
        <v>30000</v>
      </c>
      <c r="U1937" s="40">
        <v>1457628.3870967701</v>
      </c>
      <c r="V1937" s="40">
        <v>0</v>
      </c>
      <c r="W1937" s="45">
        <f t="shared" si="102"/>
        <v>2441186.0322580598</v>
      </c>
      <c r="X1937" s="46">
        <f t="shared" si="103"/>
        <v>7.6245177147800423</v>
      </c>
    </row>
    <row r="1938" spans="1:24" s="4" customFormat="1" ht="15" customHeight="1">
      <c r="A1938" s="28" t="s">
        <v>2682</v>
      </c>
      <c r="B1938" s="29">
        <v>3278.81</v>
      </c>
      <c r="C1938" s="30" t="s">
        <v>2880</v>
      </c>
      <c r="D1938" s="2">
        <v>4950645758</v>
      </c>
      <c r="E1938" s="2" t="s">
        <v>14</v>
      </c>
      <c r="F1938" s="2" t="s">
        <v>2881</v>
      </c>
      <c r="G1938" s="28" t="s">
        <v>5</v>
      </c>
      <c r="H1938" s="2" t="s">
        <v>17</v>
      </c>
      <c r="I1938" s="2">
        <v>1</v>
      </c>
      <c r="J1938" s="2" t="s">
        <v>2882</v>
      </c>
      <c r="K1938" s="2">
        <v>1360.4</v>
      </c>
      <c r="L1938" s="35">
        <f t="shared" si="101"/>
        <v>4460493.1239999998</v>
      </c>
      <c r="M1938" s="36">
        <v>190</v>
      </c>
      <c r="N1938" s="40">
        <v>3358.69006451613</v>
      </c>
      <c r="O1938" s="40">
        <v>4244.6245161290299</v>
      </c>
      <c r="P1938" s="40">
        <v>8424.7029677419396</v>
      </c>
      <c r="Q1938" s="40">
        <v>1078.7096774193501</v>
      </c>
      <c r="R1938" s="40">
        <f>16851.5339354839+2828</f>
        <v>19679.533935483902</v>
      </c>
      <c r="S1938" s="40">
        <v>3474.97496774194</v>
      </c>
      <c r="T1938" s="40">
        <v>30000</v>
      </c>
      <c r="U1938" s="40">
        <v>61544.309677419398</v>
      </c>
      <c r="V1938" s="40">
        <v>0</v>
      </c>
      <c r="W1938" s="45">
        <f t="shared" si="102"/>
        <v>131805.5458064517</v>
      </c>
      <c r="X1938" s="46">
        <f t="shared" si="103"/>
        <v>2.954954578839335</v>
      </c>
    </row>
    <row r="1939" spans="1:24" s="4" customFormat="1" ht="15" customHeight="1">
      <c r="A1939" s="28" t="s">
        <v>2682</v>
      </c>
      <c r="B1939" s="29">
        <v>3278.81</v>
      </c>
      <c r="C1939" s="30" t="s">
        <v>2880</v>
      </c>
      <c r="D1939" s="2">
        <v>4950721199</v>
      </c>
      <c r="E1939" s="2" t="s">
        <v>14</v>
      </c>
      <c r="F1939" s="2" t="s">
        <v>2881</v>
      </c>
      <c r="G1939" s="28" t="s">
        <v>5</v>
      </c>
      <c r="H1939" s="2" t="s">
        <v>17</v>
      </c>
      <c r="I1939" s="2">
        <v>1</v>
      </c>
      <c r="J1939" s="2" t="s">
        <v>2882</v>
      </c>
      <c r="K1939" s="2">
        <v>2492.6999999999998</v>
      </c>
      <c r="L1939" s="35">
        <f t="shared" si="101"/>
        <v>8173089.686999999</v>
      </c>
      <c r="M1939" s="36">
        <v>700</v>
      </c>
      <c r="N1939" s="40">
        <v>12374.121290322601</v>
      </c>
      <c r="O1939" s="40">
        <v>15638.0903225806</v>
      </c>
      <c r="P1939" s="40">
        <v>31038.3793548387</v>
      </c>
      <c r="Q1939" s="40">
        <v>3974.1935483870998</v>
      </c>
      <c r="R1939" s="40">
        <f>62084.5987096774+10419</f>
        <v>72503.598709677404</v>
      </c>
      <c r="S1939" s="40">
        <v>12802.5393548387</v>
      </c>
      <c r="T1939" s="40">
        <v>30000</v>
      </c>
      <c r="U1939" s="40">
        <v>226742.193548387</v>
      </c>
      <c r="V1939" s="40">
        <v>0</v>
      </c>
      <c r="W1939" s="45">
        <f t="shared" si="102"/>
        <v>405073.1161290321</v>
      </c>
      <c r="X1939" s="46">
        <f t="shared" si="103"/>
        <v>4.9561809749051902</v>
      </c>
    </row>
    <row r="1940" spans="1:24" s="4" customFormat="1" ht="15" customHeight="1">
      <c r="A1940" s="28" t="s">
        <v>2682</v>
      </c>
      <c r="B1940" s="29">
        <v>3278.81</v>
      </c>
      <c r="C1940" s="30" t="s">
        <v>2880</v>
      </c>
      <c r="D1940" s="2">
        <v>4950661372</v>
      </c>
      <c r="E1940" s="2" t="s">
        <v>14</v>
      </c>
      <c r="F1940" s="2" t="s">
        <v>2881</v>
      </c>
      <c r="G1940" s="28" t="s">
        <v>5</v>
      </c>
      <c r="H1940" s="2" t="s">
        <v>17</v>
      </c>
      <c r="I1940" s="2">
        <v>1</v>
      </c>
      <c r="J1940" s="2" t="s">
        <v>2882</v>
      </c>
      <c r="K1940" s="2">
        <v>2655</v>
      </c>
      <c r="L1940" s="35">
        <f t="shared" si="101"/>
        <v>8705240.5500000007</v>
      </c>
      <c r="M1940" s="36">
        <v>900</v>
      </c>
      <c r="N1940" s="40">
        <v>15909.584516129</v>
      </c>
      <c r="O1940" s="40">
        <v>20106.1161290323</v>
      </c>
      <c r="P1940" s="40">
        <v>39906.487741935503</v>
      </c>
      <c r="Q1940" s="40">
        <v>5109.6774193548399</v>
      </c>
      <c r="R1940" s="40">
        <f>79823.055483871+13396</f>
        <v>93219.055483870994</v>
      </c>
      <c r="S1940" s="40">
        <v>16460.407741935502</v>
      </c>
      <c r="T1940" s="40">
        <v>30000</v>
      </c>
      <c r="U1940" s="40">
        <v>291525.67741935502</v>
      </c>
      <c r="V1940" s="40">
        <v>0</v>
      </c>
      <c r="W1940" s="45">
        <f t="shared" si="102"/>
        <v>512237.00645161315</v>
      </c>
      <c r="X1940" s="46">
        <f t="shared" si="103"/>
        <v>5.88423724203248</v>
      </c>
    </row>
    <row r="1941" spans="1:24" s="4" customFormat="1" ht="15" customHeight="1">
      <c r="A1941" s="28" t="s">
        <v>2682</v>
      </c>
      <c r="B1941" s="29">
        <v>3278.81</v>
      </c>
      <c r="C1941" s="30" t="s">
        <v>2880</v>
      </c>
      <c r="D1941" s="2">
        <v>4950726652</v>
      </c>
      <c r="E1941" s="2" t="s">
        <v>14</v>
      </c>
      <c r="F1941" s="2" t="s">
        <v>2881</v>
      </c>
      <c r="G1941" s="28" t="s">
        <v>5</v>
      </c>
      <c r="H1941" s="2" t="s">
        <v>17</v>
      </c>
      <c r="I1941" s="2">
        <v>1</v>
      </c>
      <c r="J1941" s="2" t="s">
        <v>2882</v>
      </c>
      <c r="K1941" s="2">
        <v>2047.58</v>
      </c>
      <c r="L1941" s="35">
        <f t="shared" si="101"/>
        <v>6713625.7797999997</v>
      </c>
      <c r="M1941" s="36">
        <f>125+575</f>
        <v>700</v>
      </c>
      <c r="N1941" s="40">
        <v>12374.121290322601</v>
      </c>
      <c r="O1941" s="40">
        <v>15638.0903225806</v>
      </c>
      <c r="P1941" s="40">
        <v>31038.3793548387</v>
      </c>
      <c r="Q1941" s="40">
        <v>3974.1935483870998</v>
      </c>
      <c r="R1941" s="40">
        <f>62084.5987096774+10419</f>
        <v>72503.598709677404</v>
      </c>
      <c r="S1941" s="40">
        <v>12802.5393548387</v>
      </c>
      <c r="T1941" s="40">
        <v>30000</v>
      </c>
      <c r="U1941" s="40">
        <v>226742.193548387</v>
      </c>
      <c r="V1941" s="40">
        <v>0</v>
      </c>
      <c r="W1941" s="45">
        <f t="shared" si="102"/>
        <v>405073.1161290321</v>
      </c>
      <c r="X1941" s="46">
        <f t="shared" si="103"/>
        <v>6.0335968881050643</v>
      </c>
    </row>
    <row r="1942" spans="1:24" s="4" customFormat="1" ht="15" customHeight="1">
      <c r="A1942" s="28" t="s">
        <v>2682</v>
      </c>
      <c r="B1942" s="29">
        <v>3278.81</v>
      </c>
      <c r="C1942" s="30" t="s">
        <v>2880</v>
      </c>
      <c r="D1942" s="2">
        <v>4951019304</v>
      </c>
      <c r="E1942" s="2" t="s">
        <v>14</v>
      </c>
      <c r="F1942" s="2" t="s">
        <v>2881</v>
      </c>
      <c r="G1942" s="28" t="s">
        <v>5</v>
      </c>
      <c r="H1942" s="2" t="s">
        <v>17</v>
      </c>
      <c r="I1942" s="2">
        <v>1</v>
      </c>
      <c r="J1942" s="2" t="s">
        <v>2882</v>
      </c>
      <c r="K1942" s="2">
        <v>2928</v>
      </c>
      <c r="L1942" s="35">
        <f t="shared" si="101"/>
        <v>9600355.6799999997</v>
      </c>
      <c r="M1942" s="36">
        <v>600</v>
      </c>
      <c r="N1942" s="40">
        <v>10606.3896774194</v>
      </c>
      <c r="O1942" s="40">
        <v>13404.0774193548</v>
      </c>
      <c r="P1942" s="40">
        <v>26604.3251612903</v>
      </c>
      <c r="Q1942" s="40">
        <v>3406.4516129032299</v>
      </c>
      <c r="R1942" s="40">
        <f>53215.3703225806+8931</f>
        <v>62146.370322580602</v>
      </c>
      <c r="S1942" s="40">
        <v>10973.605161290299</v>
      </c>
      <c r="T1942" s="40">
        <v>30000</v>
      </c>
      <c r="U1942" s="40">
        <v>194350.45161290301</v>
      </c>
      <c r="V1942" s="40">
        <v>0</v>
      </c>
      <c r="W1942" s="45">
        <f t="shared" si="102"/>
        <v>351491.67096774164</v>
      </c>
      <c r="X1942" s="46">
        <f t="shared" si="103"/>
        <v>3.6612359237896657</v>
      </c>
    </row>
    <row r="1943" spans="1:24" s="4" customFormat="1" ht="15" customHeight="1">
      <c r="A1943" s="28" t="s">
        <v>2682</v>
      </c>
      <c r="B1943" s="29">
        <v>3278.81</v>
      </c>
      <c r="C1943" s="30" t="s">
        <v>2880</v>
      </c>
      <c r="D1943" s="2">
        <v>4951019304</v>
      </c>
      <c r="E1943" s="2" t="s">
        <v>14</v>
      </c>
      <c r="F1943" s="2" t="s">
        <v>2881</v>
      </c>
      <c r="G1943" s="28" t="s">
        <v>5</v>
      </c>
      <c r="H1943" s="2" t="s">
        <v>17</v>
      </c>
      <c r="I1943" s="2">
        <v>1</v>
      </c>
      <c r="J1943" s="2" t="s">
        <v>2882</v>
      </c>
      <c r="K1943" s="2">
        <v>3502.8</v>
      </c>
      <c r="L1943" s="35">
        <f t="shared" si="101"/>
        <v>11485015.668</v>
      </c>
      <c r="M1943" s="36">
        <v>840</v>
      </c>
      <c r="N1943" s="40">
        <v>14848.945548387101</v>
      </c>
      <c r="O1943" s="40">
        <v>18765.708387096802</v>
      </c>
      <c r="P1943" s="40">
        <v>37246.0552258065</v>
      </c>
      <c r="Q1943" s="40">
        <v>4769.0322580645197</v>
      </c>
      <c r="R1943" s="40">
        <f>74501.5184516129+12503</f>
        <v>87004.518451612894</v>
      </c>
      <c r="S1943" s="40">
        <v>15363.0472258065</v>
      </c>
      <c r="T1943" s="40">
        <v>30000</v>
      </c>
      <c r="U1943" s="40">
        <v>272090.63225806499</v>
      </c>
      <c r="V1943" s="40">
        <v>0</v>
      </c>
      <c r="W1943" s="45">
        <f t="shared" si="102"/>
        <v>480087.93935483933</v>
      </c>
      <c r="X1943" s="46">
        <f t="shared" si="103"/>
        <v>4.1801243745141692</v>
      </c>
    </row>
    <row r="1944" spans="1:24" s="4" customFormat="1" ht="15" customHeight="1">
      <c r="A1944" s="28" t="s">
        <v>2682</v>
      </c>
      <c r="B1944" s="29">
        <v>3278.81</v>
      </c>
      <c r="C1944" s="30" t="s">
        <v>2880</v>
      </c>
      <c r="D1944" s="2">
        <v>4951019304</v>
      </c>
      <c r="E1944" s="2" t="s">
        <v>14</v>
      </c>
      <c r="F1944" s="2" t="s">
        <v>2881</v>
      </c>
      <c r="G1944" s="28" t="s">
        <v>5</v>
      </c>
      <c r="H1944" s="2" t="s">
        <v>17</v>
      </c>
      <c r="I1944" s="2">
        <v>1</v>
      </c>
      <c r="J1944" s="2" t="s">
        <v>2882</v>
      </c>
      <c r="K1944" s="2">
        <v>13169.2</v>
      </c>
      <c r="L1944" s="35">
        <f t="shared" si="101"/>
        <v>43179304.652000003</v>
      </c>
      <c r="M1944" s="36">
        <v>1640</v>
      </c>
      <c r="N1944" s="40">
        <v>28990.7984516129</v>
      </c>
      <c r="O1944" s="40">
        <v>36637.811612903199</v>
      </c>
      <c r="P1944" s="40">
        <v>72718.488774193596</v>
      </c>
      <c r="Q1944" s="40">
        <v>9310.9677419354794</v>
      </c>
      <c r="R1944" s="40">
        <f>145455.345548387+24411</f>
        <v>169866.34554838701</v>
      </c>
      <c r="S1944" s="40">
        <v>29994.520774193501</v>
      </c>
      <c r="T1944" s="40">
        <v>30000</v>
      </c>
      <c r="U1944" s="40">
        <v>531224.56774193502</v>
      </c>
      <c r="V1944" s="40">
        <v>0</v>
      </c>
      <c r="W1944" s="45">
        <f t="shared" si="102"/>
        <v>908743.50064516068</v>
      </c>
      <c r="X1944" s="46">
        <f t="shared" si="103"/>
        <v>2.1045811366558658</v>
      </c>
    </row>
    <row r="1945" spans="1:24" s="4" customFormat="1" ht="15" customHeight="1">
      <c r="A1945" s="28" t="s">
        <v>2682</v>
      </c>
      <c r="B1945" s="29">
        <v>3278.81</v>
      </c>
      <c r="C1945" s="30" t="s">
        <v>2880</v>
      </c>
      <c r="D1945" s="2">
        <v>4950365727</v>
      </c>
      <c r="E1945" s="2" t="s">
        <v>14</v>
      </c>
      <c r="F1945" s="2" t="s">
        <v>2881</v>
      </c>
      <c r="G1945" s="28" t="s">
        <v>5</v>
      </c>
      <c r="H1945" s="2" t="s">
        <v>17</v>
      </c>
      <c r="I1945" s="2">
        <v>1</v>
      </c>
      <c r="J1945" s="2" t="s">
        <v>2882</v>
      </c>
      <c r="K1945" s="2">
        <v>1989</v>
      </c>
      <c r="L1945" s="35">
        <f t="shared" si="101"/>
        <v>6521553.0899999999</v>
      </c>
      <c r="M1945" s="36">
        <v>450</v>
      </c>
      <c r="N1945" s="40">
        <v>7954.79225806452</v>
      </c>
      <c r="O1945" s="40">
        <v>10053.058064516101</v>
      </c>
      <c r="P1945" s="40">
        <v>19953.243870967701</v>
      </c>
      <c r="Q1945" s="40">
        <v>2554.83870967742</v>
      </c>
      <c r="R1945" s="40">
        <f>39911.5277419355+6698</f>
        <v>46609.527741935497</v>
      </c>
      <c r="S1945" s="40">
        <v>8230.2038709677399</v>
      </c>
      <c r="T1945" s="40">
        <v>30000</v>
      </c>
      <c r="U1945" s="40">
        <v>145762.83870967699</v>
      </c>
      <c r="V1945" s="40">
        <v>0</v>
      </c>
      <c r="W1945" s="45">
        <f t="shared" si="102"/>
        <v>271118.50322580594</v>
      </c>
      <c r="X1945" s="46">
        <f t="shared" si="103"/>
        <v>4.1572689738818935</v>
      </c>
    </row>
    <row r="1946" spans="1:24" s="4" customFormat="1" ht="15" customHeight="1">
      <c r="A1946" s="28" t="s">
        <v>2682</v>
      </c>
      <c r="B1946" s="29">
        <v>3278.81</v>
      </c>
      <c r="C1946" s="30" t="s">
        <v>2880</v>
      </c>
      <c r="D1946" s="2">
        <v>4950721191</v>
      </c>
      <c r="E1946" s="2" t="s">
        <v>14</v>
      </c>
      <c r="F1946" s="2" t="s">
        <v>2881</v>
      </c>
      <c r="G1946" s="28" t="s">
        <v>5</v>
      </c>
      <c r="H1946" s="2" t="s">
        <v>17</v>
      </c>
      <c r="I1946" s="2">
        <v>1</v>
      </c>
      <c r="J1946" s="2" t="s">
        <v>2882</v>
      </c>
      <c r="K1946" s="2">
        <v>4468.8</v>
      </c>
      <c r="L1946" s="35">
        <f t="shared" si="101"/>
        <v>14652346.128</v>
      </c>
      <c r="M1946" s="36">
        <v>1680</v>
      </c>
      <c r="N1946" s="40">
        <v>29697.891096774201</v>
      </c>
      <c r="O1946" s="40">
        <v>37531.416774193603</v>
      </c>
      <c r="P1946" s="40">
        <v>74492.110451612898</v>
      </c>
      <c r="Q1946" s="40">
        <v>9538.0645161290304</v>
      </c>
      <c r="R1946" s="40">
        <f>149003.036903226+25006</f>
        <v>174009.03690322599</v>
      </c>
      <c r="S1946" s="40">
        <v>30726.094451612898</v>
      </c>
      <c r="T1946" s="40">
        <v>30000</v>
      </c>
      <c r="U1946" s="40">
        <v>544181.26451612904</v>
      </c>
      <c r="V1946" s="40">
        <v>0</v>
      </c>
      <c r="W1946" s="45">
        <f t="shared" si="102"/>
        <v>930175.87870967761</v>
      </c>
      <c r="X1946" s="46">
        <f t="shared" si="103"/>
        <v>6.348306752951677</v>
      </c>
    </row>
    <row r="1947" spans="1:24" s="4" customFormat="1" ht="15" customHeight="1">
      <c r="A1947" s="28" t="s">
        <v>2682</v>
      </c>
      <c r="B1947" s="29">
        <v>3278.81</v>
      </c>
      <c r="C1947" s="30" t="s">
        <v>2883</v>
      </c>
      <c r="D1947" s="2">
        <v>4947229905</v>
      </c>
      <c r="E1947" s="2" t="s">
        <v>10</v>
      </c>
      <c r="F1947" s="2" t="s">
        <v>2884</v>
      </c>
      <c r="G1947" s="28" t="s">
        <v>9</v>
      </c>
      <c r="H1947" s="2" t="s">
        <v>23</v>
      </c>
      <c r="I1947" s="2">
        <v>1</v>
      </c>
      <c r="J1947" s="2"/>
      <c r="K1947" s="2">
        <v>6753.6</v>
      </c>
      <c r="L1947" s="35">
        <f t="shared" si="101"/>
        <v>22143771.216000002</v>
      </c>
      <c r="M1947" s="36">
        <v>720</v>
      </c>
      <c r="N1947" s="40">
        <v>755260</v>
      </c>
      <c r="O1947" s="40">
        <v>592</v>
      </c>
      <c r="P1947" s="40">
        <v>11494</v>
      </c>
      <c r="Q1947" s="40">
        <v>18050</v>
      </c>
      <c r="R1947" s="40">
        <v>113418</v>
      </c>
      <c r="S1947" s="40">
        <v>708712</v>
      </c>
      <c r="T1947" s="40"/>
      <c r="U1947" s="40">
        <v>553500</v>
      </c>
      <c r="V1947" s="40">
        <v>0</v>
      </c>
      <c r="W1947" s="45">
        <f t="shared" si="102"/>
        <v>2161026</v>
      </c>
      <c r="X1947" s="46">
        <f t="shared" si="103"/>
        <v>9.7590693966281084</v>
      </c>
    </row>
    <row r="1948" spans="1:24" s="4" customFormat="1" ht="15" customHeight="1">
      <c r="A1948" s="28" t="s">
        <v>2682</v>
      </c>
      <c r="B1948" s="29">
        <v>3278.81</v>
      </c>
      <c r="C1948" s="30" t="s">
        <v>2885</v>
      </c>
      <c r="D1948" s="2">
        <v>4950898138</v>
      </c>
      <c r="E1948" s="2" t="s">
        <v>14</v>
      </c>
      <c r="F1948" s="2" t="s">
        <v>2886</v>
      </c>
      <c r="G1948" s="28" t="s">
        <v>5</v>
      </c>
      <c r="H1948" s="2" t="s">
        <v>17</v>
      </c>
      <c r="I1948" s="2">
        <v>3</v>
      </c>
      <c r="J1948" s="2" t="s">
        <v>2887</v>
      </c>
      <c r="K1948" s="2">
        <f>68040+68040+52920</f>
        <v>189000</v>
      </c>
      <c r="L1948" s="35">
        <f t="shared" si="101"/>
        <v>619695090</v>
      </c>
      <c r="M1948" s="36">
        <f>18000+18000+14000</f>
        <v>50000</v>
      </c>
      <c r="N1948" s="40">
        <v>342497</v>
      </c>
      <c r="O1948" s="40">
        <v>432840</v>
      </c>
      <c r="P1948" s="40">
        <v>0</v>
      </c>
      <c r="Q1948" s="40">
        <v>110000</v>
      </c>
      <c r="R1948" s="40">
        <v>679023</v>
      </c>
      <c r="S1948" s="40">
        <v>127568.16</v>
      </c>
      <c r="T1948" s="40">
        <v>30000</v>
      </c>
      <c r="U1948" s="40">
        <v>5446550</v>
      </c>
      <c r="V1948" s="40">
        <v>0</v>
      </c>
      <c r="W1948" s="45">
        <f t="shared" si="102"/>
        <v>7168478.1600000001</v>
      </c>
      <c r="X1948" s="46">
        <f t="shared" si="103"/>
        <v>1.1567750456115442</v>
      </c>
    </row>
    <row r="1949" spans="1:24" s="4" customFormat="1" ht="15" customHeight="1">
      <c r="A1949" s="28" t="s">
        <v>2682</v>
      </c>
      <c r="B1949" s="29">
        <v>3278.81</v>
      </c>
      <c r="C1949" s="30" t="s">
        <v>2888</v>
      </c>
      <c r="D1949" s="2">
        <v>4949874182</v>
      </c>
      <c r="E1949" s="2" t="s">
        <v>33</v>
      </c>
      <c r="F1949" s="78" t="s">
        <v>2889</v>
      </c>
      <c r="G1949" s="28" t="s">
        <v>5</v>
      </c>
      <c r="H1949" s="2" t="s">
        <v>17</v>
      </c>
      <c r="I1949" s="2">
        <v>1</v>
      </c>
      <c r="J1949" s="2" t="s">
        <v>2890</v>
      </c>
      <c r="K1949" s="2">
        <v>14145.52</v>
      </c>
      <c r="L1949" s="35">
        <f t="shared" si="101"/>
        <v>46380472.431199998</v>
      </c>
      <c r="M1949" s="36">
        <v>8573.0400000000009</v>
      </c>
      <c r="N1949" s="40">
        <v>184421.461538462</v>
      </c>
      <c r="O1949" s="40">
        <v>233067.69230769199</v>
      </c>
      <c r="P1949" s="40">
        <v>0</v>
      </c>
      <c r="Q1949" s="40">
        <v>59230.769230769198</v>
      </c>
      <c r="R1949" s="40">
        <f>370836.846153846+156126</f>
        <v>526962.84615384601</v>
      </c>
      <c r="S1949" s="40">
        <v>190807.07692307699</v>
      </c>
      <c r="T1949" s="40"/>
      <c r="U1949" s="40">
        <v>284846.15384615399</v>
      </c>
      <c r="V1949" s="40">
        <v>0</v>
      </c>
      <c r="W1949" s="45">
        <f t="shared" si="102"/>
        <v>1479336.0000000002</v>
      </c>
      <c r="X1949" s="46">
        <f t="shared" si="103"/>
        <v>3.1895664758361879</v>
      </c>
    </row>
    <row r="1950" spans="1:24" s="4" customFormat="1" ht="15" customHeight="1">
      <c r="A1950" s="28" t="s">
        <v>2682</v>
      </c>
      <c r="B1950" s="29">
        <v>3278.81</v>
      </c>
      <c r="C1950" s="30" t="s">
        <v>2888</v>
      </c>
      <c r="D1950" s="2">
        <v>4949874182</v>
      </c>
      <c r="E1950" s="2" t="s">
        <v>33</v>
      </c>
      <c r="F1950" s="78" t="s">
        <v>2889</v>
      </c>
      <c r="G1950" s="28" t="s">
        <v>5</v>
      </c>
      <c r="H1950" s="2" t="s">
        <v>17</v>
      </c>
      <c r="I1950" s="2">
        <v>1</v>
      </c>
      <c r="J1950" s="2" t="s">
        <v>2890</v>
      </c>
      <c r="K1950" s="2">
        <v>32846.99</v>
      </c>
      <c r="L1950" s="35">
        <f t="shared" si="101"/>
        <v>107699039.28189999</v>
      </c>
      <c r="M1950" s="36">
        <v>7348.32</v>
      </c>
      <c r="N1950" s="40">
        <v>158075.538461538</v>
      </c>
      <c r="O1950" s="40">
        <v>199772.30769230801</v>
      </c>
      <c r="P1950" s="40">
        <v>0</v>
      </c>
      <c r="Q1950" s="40">
        <v>50769.230769230802</v>
      </c>
      <c r="R1950" s="40">
        <f>317860.153846154+133823</f>
        <v>451683.15384615399</v>
      </c>
      <c r="S1950" s="40">
        <v>163548.92307692301</v>
      </c>
      <c r="T1950" s="40"/>
      <c r="U1950" s="40">
        <v>244153.84615384601</v>
      </c>
      <c r="V1950" s="40">
        <v>0</v>
      </c>
      <c r="W1950" s="45">
        <f t="shared" si="102"/>
        <v>1268002.9999999998</v>
      </c>
      <c r="X1950" s="46">
        <f t="shared" si="103"/>
        <v>1.1773577633139589</v>
      </c>
    </row>
    <row r="1951" spans="1:24" s="4" customFormat="1" ht="15" customHeight="1">
      <c r="A1951" s="28" t="s">
        <v>2682</v>
      </c>
      <c r="B1951" s="29">
        <v>3278.81</v>
      </c>
      <c r="C1951" s="30" t="s">
        <v>2891</v>
      </c>
      <c r="D1951" s="2">
        <v>4950947039</v>
      </c>
      <c r="E1951" s="2" t="s">
        <v>14</v>
      </c>
      <c r="F1951" s="2" t="s">
        <v>2892</v>
      </c>
      <c r="G1951" s="28" t="s">
        <v>9</v>
      </c>
      <c r="H1951" s="2" t="s">
        <v>23</v>
      </c>
      <c r="I1951" s="2">
        <v>4</v>
      </c>
      <c r="J1951" s="2"/>
      <c r="K1951" s="2">
        <v>6432</v>
      </c>
      <c r="L1951" s="35">
        <f t="shared" si="101"/>
        <v>21089305.919999998</v>
      </c>
      <c r="M1951" s="36">
        <v>3200</v>
      </c>
      <c r="N1951" s="40">
        <v>894162</v>
      </c>
      <c r="O1951" s="40">
        <v>2117</v>
      </c>
      <c r="P1951" s="40">
        <v>0</v>
      </c>
      <c r="Q1951" s="40">
        <v>64575</v>
      </c>
      <c r="R1951" s="40">
        <v>157169</v>
      </c>
      <c r="S1951" s="40">
        <v>354356</v>
      </c>
      <c r="T1951" s="40">
        <v>30000</v>
      </c>
      <c r="U1951" s="40">
        <v>1813478.2608695701</v>
      </c>
      <c r="V1951" s="40">
        <v>0</v>
      </c>
      <c r="W1951" s="45">
        <f t="shared" si="102"/>
        <v>3315857.2608695701</v>
      </c>
      <c r="X1951" s="46">
        <f t="shared" si="103"/>
        <v>15.722932150768337</v>
      </c>
    </row>
    <row r="1952" spans="1:24" s="4" customFormat="1" ht="15" customHeight="1">
      <c r="A1952" s="28" t="s">
        <v>2682</v>
      </c>
      <c r="B1952" s="29">
        <v>3278.81</v>
      </c>
      <c r="C1952" s="30" t="s">
        <v>2893</v>
      </c>
      <c r="D1952" s="2">
        <v>4947223071</v>
      </c>
      <c r="E1952" s="2" t="s">
        <v>10</v>
      </c>
      <c r="F1952" s="2" t="s">
        <v>2894</v>
      </c>
      <c r="G1952" s="28" t="s">
        <v>9</v>
      </c>
      <c r="H1952" s="2" t="s">
        <v>23</v>
      </c>
      <c r="I1952" s="2">
        <v>4</v>
      </c>
      <c r="J1952" s="2"/>
      <c r="K1952" s="2">
        <v>13572</v>
      </c>
      <c r="L1952" s="35">
        <f t="shared" si="101"/>
        <v>44500009.32</v>
      </c>
      <c r="M1952" s="36">
        <v>2600</v>
      </c>
      <c r="N1952" s="40">
        <v>850919</v>
      </c>
      <c r="O1952" s="40">
        <v>2074</v>
      </c>
      <c r="P1952" s="40">
        <v>81260</v>
      </c>
      <c r="Q1952" s="40">
        <v>64346</v>
      </c>
      <c r="R1952" s="40">
        <v>162048</v>
      </c>
      <c r="S1952" s="40">
        <v>708712</v>
      </c>
      <c r="T1952" s="40"/>
      <c r="U1952" s="40">
        <v>533500</v>
      </c>
      <c r="V1952" s="40">
        <v>0</v>
      </c>
      <c r="W1952" s="45">
        <f t="shared" si="102"/>
        <v>2402859</v>
      </c>
      <c r="X1952" s="46">
        <f t="shared" si="103"/>
        <v>5.3996820151677216</v>
      </c>
    </row>
    <row r="1953" spans="1:24" s="4" customFormat="1" ht="15" customHeight="1">
      <c r="A1953" s="28" t="s">
        <v>2682</v>
      </c>
      <c r="B1953" s="29">
        <v>3278.81</v>
      </c>
      <c r="C1953" s="30" t="s">
        <v>2895</v>
      </c>
      <c r="D1953" s="2">
        <v>4950726655</v>
      </c>
      <c r="E1953" s="2" t="s">
        <v>14</v>
      </c>
      <c r="F1953" s="2" t="s">
        <v>2896</v>
      </c>
      <c r="G1953" s="28" t="s">
        <v>9</v>
      </c>
      <c r="H1953" s="2" t="s">
        <v>23</v>
      </c>
      <c r="I1953" s="2">
        <v>19</v>
      </c>
      <c r="J1953" s="2"/>
      <c r="K1953" s="2">
        <v>2451</v>
      </c>
      <c r="L1953" s="35">
        <f t="shared" si="101"/>
        <v>8036363.3099999996</v>
      </c>
      <c r="M1953" s="36">
        <v>950</v>
      </c>
      <c r="N1953" s="40">
        <v>247123.44874100701</v>
      </c>
      <c r="O1953" s="40">
        <v>319.25809352518002</v>
      </c>
      <c r="P1953" s="40">
        <v>0</v>
      </c>
      <c r="Q1953" s="40">
        <v>7783.5926258992804</v>
      </c>
      <c r="R1953" s="40">
        <v>23582.383093525201</v>
      </c>
      <c r="S1953" s="40">
        <v>30273.2194244604</v>
      </c>
      <c r="T1953" s="40">
        <v>30000</v>
      </c>
      <c r="U1953" s="40">
        <v>332978.99159663898</v>
      </c>
      <c r="V1953" s="40">
        <v>0</v>
      </c>
      <c r="W1953" s="45">
        <f t="shared" si="102"/>
        <v>672060.89357505599</v>
      </c>
      <c r="X1953" s="46">
        <f t="shared" si="103"/>
        <v>8.3627490153261377</v>
      </c>
    </row>
    <row r="1954" spans="1:24" s="4" customFormat="1" ht="15" customHeight="1">
      <c r="A1954" s="28" t="s">
        <v>2682</v>
      </c>
      <c r="B1954" s="29">
        <v>3278.81</v>
      </c>
      <c r="C1954" s="30" t="s">
        <v>2895</v>
      </c>
      <c r="D1954" s="2">
        <v>4950215964</v>
      </c>
      <c r="E1954" s="2" t="s">
        <v>24</v>
      </c>
      <c r="F1954" s="2" t="s">
        <v>2896</v>
      </c>
      <c r="G1954" s="28" t="s">
        <v>9</v>
      </c>
      <c r="H1954" s="2" t="s">
        <v>23</v>
      </c>
      <c r="I1954" s="2">
        <v>19</v>
      </c>
      <c r="J1954" s="2"/>
      <c r="K1954" s="2">
        <v>6600</v>
      </c>
      <c r="L1954" s="35">
        <f t="shared" si="101"/>
        <v>21640146</v>
      </c>
      <c r="M1954" s="36">
        <v>5000</v>
      </c>
      <c r="N1954" s="40">
        <v>1300649.73021583</v>
      </c>
      <c r="O1954" s="40">
        <v>1680.3057553956801</v>
      </c>
      <c r="P1954" s="40">
        <v>0</v>
      </c>
      <c r="Q1954" s="40">
        <v>40966.2769784173</v>
      </c>
      <c r="R1954" s="40">
        <v>124117.805755396</v>
      </c>
      <c r="S1954" s="40">
        <v>159332.73381295</v>
      </c>
      <c r="T1954" s="40"/>
      <c r="U1954" s="40">
        <v>1752521.0084033599</v>
      </c>
      <c r="V1954" s="40">
        <v>0</v>
      </c>
      <c r="W1954" s="45">
        <f t="shared" si="102"/>
        <v>3379267.8609213489</v>
      </c>
      <c r="X1954" s="46">
        <f t="shared" si="103"/>
        <v>15.615735036729184</v>
      </c>
    </row>
    <row r="1955" spans="1:24" s="4" customFormat="1" ht="15" customHeight="1">
      <c r="A1955" s="28" t="s">
        <v>2682</v>
      </c>
      <c r="B1955" s="29">
        <v>3278.81</v>
      </c>
      <c r="C1955" s="30" t="s">
        <v>2895</v>
      </c>
      <c r="D1955" s="2">
        <v>4950280452</v>
      </c>
      <c r="E1955" s="2" t="s">
        <v>14</v>
      </c>
      <c r="F1955" s="2" t="s">
        <v>2896</v>
      </c>
      <c r="G1955" s="28" t="s">
        <v>9</v>
      </c>
      <c r="H1955" s="2" t="s">
        <v>23</v>
      </c>
      <c r="I1955" s="2">
        <v>19</v>
      </c>
      <c r="J1955" s="2"/>
      <c r="K1955" s="2">
        <v>42600.800000000003</v>
      </c>
      <c r="L1955" s="35">
        <f t="shared" si="101"/>
        <v>139679929.04800001</v>
      </c>
      <c r="M1955" s="36">
        <v>5170</v>
      </c>
      <c r="N1955" s="40">
        <v>1344871.8210431701</v>
      </c>
      <c r="O1955" s="40">
        <v>1737.43615107914</v>
      </c>
      <c r="P1955" s="40">
        <v>0</v>
      </c>
      <c r="Q1955" s="40">
        <v>42359.130395683504</v>
      </c>
      <c r="R1955" s="40">
        <v>128337.811151079</v>
      </c>
      <c r="S1955" s="40">
        <v>164750.04676259001</v>
      </c>
      <c r="T1955" s="40">
        <v>30000</v>
      </c>
      <c r="U1955" s="40">
        <v>2085500</v>
      </c>
      <c r="V1955" s="40">
        <v>0</v>
      </c>
      <c r="W1955" s="45">
        <f t="shared" si="102"/>
        <v>3797556.2455036016</v>
      </c>
      <c r="X1955" s="46">
        <f t="shared" si="103"/>
        <v>2.7187558523161894</v>
      </c>
    </row>
    <row r="1956" spans="1:24" s="4" customFormat="1" ht="15" customHeight="1">
      <c r="A1956" s="28" t="s">
        <v>2682</v>
      </c>
      <c r="B1956" s="29">
        <v>3278.81</v>
      </c>
      <c r="C1956" s="30" t="s">
        <v>2897</v>
      </c>
      <c r="D1956" s="2">
        <v>4951017743</v>
      </c>
      <c r="E1956" s="2" t="s">
        <v>24</v>
      </c>
      <c r="F1956" s="2" t="s">
        <v>2898</v>
      </c>
      <c r="G1956" s="28" t="s">
        <v>9</v>
      </c>
      <c r="H1956" s="2" t="s">
        <v>23</v>
      </c>
      <c r="I1956" s="2">
        <v>1</v>
      </c>
      <c r="J1956" s="2"/>
      <c r="K1956" s="2">
        <v>576</v>
      </c>
      <c r="L1956" s="35">
        <f t="shared" si="101"/>
        <v>1888594.56</v>
      </c>
      <c r="M1956" s="36">
        <v>480</v>
      </c>
      <c r="N1956" s="40">
        <v>674948</v>
      </c>
      <c r="O1956" s="40">
        <v>359</v>
      </c>
      <c r="P1956" s="40">
        <v>10786</v>
      </c>
      <c r="Q1956" s="40">
        <v>8463</v>
      </c>
      <c r="R1956" s="40">
        <v>95232</v>
      </c>
      <c r="S1956" s="40">
        <v>354356</v>
      </c>
      <c r="T1956" s="40"/>
      <c r="U1956" s="40">
        <v>272021.73913043499</v>
      </c>
      <c r="V1956" s="40">
        <v>0</v>
      </c>
      <c r="W1956" s="45">
        <f t="shared" si="102"/>
        <v>1416165.739130435</v>
      </c>
      <c r="X1956" s="46">
        <f t="shared" si="103"/>
        <v>74.985164583468617</v>
      </c>
    </row>
    <row r="1957" spans="1:24" s="4" customFormat="1" ht="15" customHeight="1">
      <c r="A1957" s="28" t="s">
        <v>2682</v>
      </c>
      <c r="B1957" s="29">
        <v>3278.81</v>
      </c>
      <c r="C1957" s="30" t="s">
        <v>2899</v>
      </c>
      <c r="D1957" s="2">
        <v>4949922756</v>
      </c>
      <c r="E1957" s="2" t="s">
        <v>14</v>
      </c>
      <c r="F1957" s="2" t="s">
        <v>2900</v>
      </c>
      <c r="G1957" s="28" t="s">
        <v>5</v>
      </c>
      <c r="H1957" s="2" t="s">
        <v>20</v>
      </c>
      <c r="I1957" s="2">
        <v>3</v>
      </c>
      <c r="J1957" s="2" t="s">
        <v>2901</v>
      </c>
      <c r="K1957" s="2">
        <f>19872+9936</f>
        <v>29808</v>
      </c>
      <c r="L1957" s="35">
        <f t="shared" si="101"/>
        <v>97734768.480000004</v>
      </c>
      <c r="M1957" s="36">
        <f>4800+16800+10800</f>
        <v>32400</v>
      </c>
      <c r="N1957" s="40">
        <v>888630.6</v>
      </c>
      <c r="O1957" s="40">
        <v>559437.6</v>
      </c>
      <c r="P1957" s="40">
        <v>1016656.8</v>
      </c>
      <c r="Q1957" s="40">
        <v>208301.4</v>
      </c>
      <c r="R1957" s="40">
        <v>1321976.2</v>
      </c>
      <c r="S1957" s="40">
        <v>212613.6</v>
      </c>
      <c r="T1957" s="40">
        <v>30000</v>
      </c>
      <c r="U1957" s="40">
        <v>4516320</v>
      </c>
      <c r="V1957" s="40">
        <v>0</v>
      </c>
      <c r="W1957" s="45">
        <f t="shared" si="102"/>
        <v>8753936.1999999993</v>
      </c>
      <c r="X1957" s="46">
        <f t="shared" si="103"/>
        <v>8.9568291163357738</v>
      </c>
    </row>
    <row r="1958" spans="1:24" s="4" customFormat="1" ht="15" customHeight="1">
      <c r="A1958" s="28" t="s">
        <v>2682</v>
      </c>
      <c r="B1958" s="29">
        <v>3278.81</v>
      </c>
      <c r="C1958" s="30" t="s">
        <v>2899</v>
      </c>
      <c r="D1958" s="2">
        <v>4949922759</v>
      </c>
      <c r="E1958" s="2" t="s">
        <v>14</v>
      </c>
      <c r="F1958" s="2" t="s">
        <v>2900</v>
      </c>
      <c r="G1958" s="28" t="s">
        <v>5</v>
      </c>
      <c r="H1958" s="2" t="s">
        <v>20</v>
      </c>
      <c r="I1958" s="2">
        <v>3</v>
      </c>
      <c r="J1958" s="2" t="s">
        <v>2901</v>
      </c>
      <c r="K1958" s="2">
        <v>19872</v>
      </c>
      <c r="L1958" s="35">
        <f t="shared" si="101"/>
        <v>65156512.32</v>
      </c>
      <c r="M1958" s="36">
        <f>9600+12000</f>
        <v>21600</v>
      </c>
      <c r="N1958" s="40">
        <v>592420.4</v>
      </c>
      <c r="O1958" s="40">
        <v>372958.4</v>
      </c>
      <c r="P1958" s="40">
        <v>677771.2</v>
      </c>
      <c r="Q1958" s="40">
        <v>138867.6</v>
      </c>
      <c r="R1958" s="40">
        <f>614650.8+200000</f>
        <v>814650.8</v>
      </c>
      <c r="S1958" s="40">
        <v>141742.39999999999</v>
      </c>
      <c r="T1958" s="40">
        <v>30000</v>
      </c>
      <c r="U1958" s="40">
        <v>3010880</v>
      </c>
      <c r="V1958" s="40">
        <v>0</v>
      </c>
      <c r="W1958" s="45">
        <f t="shared" si="102"/>
        <v>5779290.8000000007</v>
      </c>
      <c r="X1958" s="46">
        <f t="shared" si="103"/>
        <v>8.8698590428174722</v>
      </c>
    </row>
    <row r="1959" spans="1:24" s="4" customFormat="1" ht="15" customHeight="1">
      <c r="A1959" s="28" t="s">
        <v>2682</v>
      </c>
      <c r="B1959" s="29">
        <v>3278.81</v>
      </c>
      <c r="C1959" s="30" t="s">
        <v>2902</v>
      </c>
      <c r="D1959" s="2">
        <v>4950722789</v>
      </c>
      <c r="E1959" s="2" t="s">
        <v>14</v>
      </c>
      <c r="F1959" s="2" t="s">
        <v>2903</v>
      </c>
      <c r="G1959" s="28" t="s">
        <v>13</v>
      </c>
      <c r="H1959" s="2" t="s">
        <v>23</v>
      </c>
      <c r="I1959" s="2">
        <v>2</v>
      </c>
      <c r="J1959" s="2"/>
      <c r="K1959" s="2">
        <f>1308.1+43.04</f>
        <v>1351.1399999999999</v>
      </c>
      <c r="L1959" s="35">
        <f t="shared" si="101"/>
        <v>4430131.3433999997</v>
      </c>
      <c r="M1959" s="36">
        <v>10</v>
      </c>
      <c r="N1959" s="40">
        <v>759626</v>
      </c>
      <c r="O1959" s="40">
        <v>0</v>
      </c>
      <c r="P1959" s="40">
        <v>235620</v>
      </c>
      <c r="Q1959" s="40">
        <v>0</v>
      </c>
      <c r="R1959" s="40">
        <v>4628</v>
      </c>
      <c r="S1959" s="40">
        <v>354356</v>
      </c>
      <c r="T1959" s="40">
        <v>30000</v>
      </c>
      <c r="U1959" s="40">
        <v>246380</v>
      </c>
      <c r="V1959" s="40">
        <v>0</v>
      </c>
      <c r="W1959" s="45">
        <f t="shared" si="102"/>
        <v>1630610</v>
      </c>
      <c r="X1959" s="46">
        <f t="shared" si="103"/>
        <v>36.807260859867718</v>
      </c>
    </row>
    <row r="1960" spans="1:24" s="4" customFormat="1" ht="15" customHeight="1">
      <c r="A1960" s="28" t="s">
        <v>2682</v>
      </c>
      <c r="B1960" s="29">
        <v>3278.81</v>
      </c>
      <c r="C1960" s="30" t="s">
        <v>2904</v>
      </c>
      <c r="D1960" s="2">
        <v>4949660514</v>
      </c>
      <c r="E1960" s="2" t="s">
        <v>14</v>
      </c>
      <c r="F1960" s="2" t="s">
        <v>2905</v>
      </c>
      <c r="G1960" s="28" t="s">
        <v>5</v>
      </c>
      <c r="H1960" s="2" t="s">
        <v>20</v>
      </c>
      <c r="I1960" s="2">
        <v>1</v>
      </c>
      <c r="J1960" s="2" t="s">
        <v>2906</v>
      </c>
      <c r="K1960" s="2">
        <v>36270</v>
      </c>
      <c r="L1960" s="35">
        <f t="shared" si="101"/>
        <v>118922438.7</v>
      </c>
      <c r="M1960" s="36">
        <f>8650+350</f>
        <v>9000</v>
      </c>
      <c r="N1960" s="40">
        <v>339384</v>
      </c>
      <c r="O1960" s="40">
        <v>322920</v>
      </c>
      <c r="P1960" s="40">
        <v>112247</v>
      </c>
      <c r="Q1960" s="40">
        <v>110000</v>
      </c>
      <c r="R1960" s="40">
        <v>649118</v>
      </c>
      <c r="S1960" s="40">
        <v>354356</v>
      </c>
      <c r="T1960" s="40">
        <v>30000</v>
      </c>
      <c r="U1960" s="40">
        <v>3501700</v>
      </c>
      <c r="V1960" s="40">
        <v>0</v>
      </c>
      <c r="W1960" s="45">
        <f t="shared" si="102"/>
        <v>5419725</v>
      </c>
      <c r="X1960" s="46">
        <f t="shared" si="103"/>
        <v>4.5573611332274169</v>
      </c>
    </row>
    <row r="1961" spans="1:24" s="4" customFormat="1" ht="15" customHeight="1">
      <c r="A1961" s="28" t="s">
        <v>2682</v>
      </c>
      <c r="B1961" s="29">
        <v>3278.81</v>
      </c>
      <c r="C1961" s="30" t="s">
        <v>2907</v>
      </c>
      <c r="D1961" s="2">
        <v>4950365733</v>
      </c>
      <c r="E1961" s="2" t="s">
        <v>14</v>
      </c>
      <c r="F1961" s="2" t="s">
        <v>2908</v>
      </c>
      <c r="G1961" s="28" t="s">
        <v>9</v>
      </c>
      <c r="H1961" s="2" t="s">
        <v>23</v>
      </c>
      <c r="I1961" s="2">
        <v>1</v>
      </c>
      <c r="J1961" s="2"/>
      <c r="K1961" s="2">
        <v>566.75</v>
      </c>
      <c r="L1961" s="35">
        <f t="shared" si="101"/>
        <v>1858265.5674999999</v>
      </c>
      <c r="M1961" s="36">
        <v>25</v>
      </c>
      <c r="N1961" s="40">
        <v>1336288</v>
      </c>
      <c r="O1961" s="40">
        <v>33</v>
      </c>
      <c r="P1961" s="40">
        <v>624.85</v>
      </c>
      <c r="Q1961" s="40">
        <v>1039</v>
      </c>
      <c r="R1961" s="40">
        <v>89856.02</v>
      </c>
      <c r="S1961" s="40">
        <v>354356</v>
      </c>
      <c r="T1961" s="40">
        <v>30000</v>
      </c>
      <c r="U1961" s="40">
        <v>32925.352112676097</v>
      </c>
      <c r="V1961" s="40">
        <v>0</v>
      </c>
      <c r="W1961" s="45">
        <f t="shared" si="102"/>
        <v>1845122.2221126761</v>
      </c>
      <c r="X1961" s="46">
        <f t="shared" si="103"/>
        <v>99.292708985346692</v>
      </c>
    </row>
    <row r="1962" spans="1:24" s="4" customFormat="1" ht="15" customHeight="1">
      <c r="A1962" s="28" t="s">
        <v>2682</v>
      </c>
      <c r="B1962" s="29">
        <v>3278.81</v>
      </c>
      <c r="C1962" s="30" t="s">
        <v>2909</v>
      </c>
      <c r="D1962" s="2">
        <v>4950899752</v>
      </c>
      <c r="E1962" s="2" t="s">
        <v>18</v>
      </c>
      <c r="F1962" s="2" t="s">
        <v>2910</v>
      </c>
      <c r="G1962" s="28" t="s">
        <v>9</v>
      </c>
      <c r="H1962" s="2" t="s">
        <v>23</v>
      </c>
      <c r="I1962" s="2">
        <v>1</v>
      </c>
      <c r="J1962" s="2"/>
      <c r="K1962" s="2">
        <v>3787</v>
      </c>
      <c r="L1962" s="35">
        <f t="shared" si="101"/>
        <v>12416853.470000001</v>
      </c>
      <c r="M1962" s="36">
        <v>100</v>
      </c>
      <c r="N1962" s="40">
        <v>60075.6</v>
      </c>
      <c r="O1962" s="40">
        <v>138.1</v>
      </c>
      <c r="P1962" s="40">
        <v>2157.3000000000002</v>
      </c>
      <c r="Q1962" s="40">
        <v>1679.3</v>
      </c>
      <c r="R1962" s="40">
        <v>38280.800000000003</v>
      </c>
      <c r="S1962" s="40">
        <v>35435.599999999999</v>
      </c>
      <c r="T1962" s="40">
        <v>30000</v>
      </c>
      <c r="U1962" s="40">
        <v>131701.40845070401</v>
      </c>
      <c r="V1962" s="40">
        <v>0</v>
      </c>
      <c r="W1962" s="45">
        <f t="shared" si="102"/>
        <v>299468.10845070402</v>
      </c>
      <c r="X1962" s="46">
        <f t="shared" si="103"/>
        <v>2.4117874079310044</v>
      </c>
    </row>
    <row r="1963" spans="1:24" s="4" customFormat="1" ht="15" customHeight="1">
      <c r="A1963" s="28" t="s">
        <v>2682</v>
      </c>
      <c r="B1963" s="29">
        <v>3278.81</v>
      </c>
      <c r="C1963" s="30" t="s">
        <v>2909</v>
      </c>
      <c r="D1963" s="2">
        <v>4950899759</v>
      </c>
      <c r="E1963" s="2" t="s">
        <v>18</v>
      </c>
      <c r="F1963" s="2" t="s">
        <v>2910</v>
      </c>
      <c r="G1963" s="28" t="s">
        <v>9</v>
      </c>
      <c r="H1963" s="2" t="s">
        <v>23</v>
      </c>
      <c r="I1963" s="2">
        <v>1</v>
      </c>
      <c r="J1963" s="2"/>
      <c r="K1963" s="2">
        <v>25587</v>
      </c>
      <c r="L1963" s="35">
        <f t="shared" si="101"/>
        <v>83894911.469999999</v>
      </c>
      <c r="M1963" s="36">
        <f>600+300</f>
        <v>900</v>
      </c>
      <c r="N1963" s="40">
        <v>540680.4</v>
      </c>
      <c r="O1963" s="40">
        <v>1242.9000000000001</v>
      </c>
      <c r="P1963" s="40">
        <v>19415.7</v>
      </c>
      <c r="Q1963" s="40">
        <v>15113.7</v>
      </c>
      <c r="R1963" s="40">
        <v>344527.2</v>
      </c>
      <c r="S1963" s="40">
        <v>318920.40000000002</v>
      </c>
      <c r="T1963" s="40">
        <v>30000</v>
      </c>
      <c r="U1963" s="40">
        <v>1185312.6760563401</v>
      </c>
      <c r="V1963" s="40">
        <v>0</v>
      </c>
      <c r="W1963" s="45">
        <f t="shared" si="102"/>
        <v>2455212.9760563402</v>
      </c>
      <c r="X1963" s="46">
        <f t="shared" si="103"/>
        <v>2.9265338422036482</v>
      </c>
    </row>
    <row r="1964" spans="1:24" s="4" customFormat="1" ht="15" customHeight="1">
      <c r="A1964" s="28" t="s">
        <v>2682</v>
      </c>
      <c r="B1964" s="29">
        <v>3278.81</v>
      </c>
      <c r="C1964" s="30" t="s">
        <v>2911</v>
      </c>
      <c r="D1964" s="2">
        <v>4951146099</v>
      </c>
      <c r="E1964" s="2" t="s">
        <v>24</v>
      </c>
      <c r="F1964" s="2" t="s">
        <v>2912</v>
      </c>
      <c r="G1964" s="28" t="s">
        <v>9</v>
      </c>
      <c r="H1964" s="2" t="s">
        <v>23</v>
      </c>
      <c r="I1964" s="2">
        <v>3</v>
      </c>
      <c r="J1964" s="2"/>
      <c r="K1964" s="2">
        <v>3422</v>
      </c>
      <c r="L1964" s="35">
        <f t="shared" si="101"/>
        <v>11220087.82</v>
      </c>
      <c r="M1964" s="36">
        <v>200</v>
      </c>
      <c r="N1964" s="40">
        <v>100165.812917595</v>
      </c>
      <c r="O1964" s="40">
        <v>252.123552123552</v>
      </c>
      <c r="P1964" s="40">
        <v>0</v>
      </c>
      <c r="Q1964" s="40">
        <v>7788.4169884169896</v>
      </c>
      <c r="R1964" s="40">
        <v>15706.9042316258</v>
      </c>
      <c r="S1964" s="40">
        <v>39460.579064587997</v>
      </c>
      <c r="T1964" s="40"/>
      <c r="U1964" s="40">
        <v>152305.122494432</v>
      </c>
      <c r="V1964" s="40">
        <v>0</v>
      </c>
      <c r="W1964" s="45">
        <f t="shared" si="102"/>
        <v>315678.95924878132</v>
      </c>
      <c r="X1964" s="46">
        <f t="shared" si="103"/>
        <v>2.813515939564021</v>
      </c>
    </row>
    <row r="1965" spans="1:24" s="4" customFormat="1" ht="15" customHeight="1">
      <c r="A1965" s="28" t="s">
        <v>2682</v>
      </c>
      <c r="B1965" s="29">
        <v>3278.81</v>
      </c>
      <c r="C1965" s="30" t="s">
        <v>2911</v>
      </c>
      <c r="D1965" s="2">
        <v>4951241945</v>
      </c>
      <c r="E1965" s="2" t="s">
        <v>24</v>
      </c>
      <c r="F1965" s="2" t="s">
        <v>2912</v>
      </c>
      <c r="G1965" s="28" t="s">
        <v>9</v>
      </c>
      <c r="H1965" s="2" t="s">
        <v>23</v>
      </c>
      <c r="I1965" s="2">
        <v>3</v>
      </c>
      <c r="J1965" s="2"/>
      <c r="K1965" s="2">
        <v>5608.8</v>
      </c>
      <c r="L1965" s="35">
        <f t="shared" si="101"/>
        <v>18390189.528000001</v>
      </c>
      <c r="M1965" s="36">
        <v>380</v>
      </c>
      <c r="N1965" s="40">
        <v>570945.13363029005</v>
      </c>
      <c r="O1965" s="40">
        <v>479.03474903474898</v>
      </c>
      <c r="P1965" s="40">
        <v>0</v>
      </c>
      <c r="Q1965" s="40">
        <v>14797.9922779923</v>
      </c>
      <c r="R1965" s="40">
        <v>89529.354120267293</v>
      </c>
      <c r="S1965" s="40">
        <v>224925.300668151</v>
      </c>
      <c r="T1965" s="40"/>
      <c r="U1965" s="40">
        <v>868139.19821826299</v>
      </c>
      <c r="V1965" s="40">
        <v>0</v>
      </c>
      <c r="W1965" s="45">
        <f t="shared" si="102"/>
        <v>1768816.0136639983</v>
      </c>
      <c r="X1965" s="46">
        <f t="shared" si="103"/>
        <v>9.6182587513352473</v>
      </c>
    </row>
    <row r="1966" spans="1:24" s="4" customFormat="1" ht="15" customHeight="1">
      <c r="A1966" s="28" t="s">
        <v>2682</v>
      </c>
      <c r="B1966" s="29">
        <v>3278.81</v>
      </c>
      <c r="C1966" s="30" t="s">
        <v>2911</v>
      </c>
      <c r="D1966" s="2">
        <v>4951213102</v>
      </c>
      <c r="E1966" s="2" t="s">
        <v>24</v>
      </c>
      <c r="F1966" s="2" t="s">
        <v>2912</v>
      </c>
      <c r="G1966" s="28" t="s">
        <v>9</v>
      </c>
      <c r="H1966" s="2" t="s">
        <v>23</v>
      </c>
      <c r="I1966" s="2">
        <v>3</v>
      </c>
      <c r="J1966" s="2"/>
      <c r="K1966" s="2">
        <v>955.08</v>
      </c>
      <c r="L1966" s="35">
        <f t="shared" si="101"/>
        <v>3131525.8547999999</v>
      </c>
      <c r="M1966" s="36">
        <v>126</v>
      </c>
      <c r="N1966" s="40">
        <v>63104.4621380846</v>
      </c>
      <c r="O1966" s="40">
        <v>158.83783783783801</v>
      </c>
      <c r="P1966" s="40">
        <v>0</v>
      </c>
      <c r="Q1966" s="40">
        <v>4906.7027027026998</v>
      </c>
      <c r="R1966" s="40">
        <v>9895.3496659242792</v>
      </c>
      <c r="S1966" s="40">
        <v>24860.164810690399</v>
      </c>
      <c r="T1966" s="40"/>
      <c r="U1966" s="40">
        <v>95952.227171492195</v>
      </c>
      <c r="V1966" s="40">
        <v>0</v>
      </c>
      <c r="W1966" s="45">
        <f t="shared" si="102"/>
        <v>198877.744326732</v>
      </c>
      <c r="X1966" s="46">
        <f t="shared" si="103"/>
        <v>6.3508255575119206</v>
      </c>
    </row>
    <row r="1967" spans="1:24" s="4" customFormat="1" ht="15" customHeight="1">
      <c r="A1967" s="28" t="s">
        <v>2682</v>
      </c>
      <c r="B1967" s="29">
        <v>3278.81</v>
      </c>
      <c r="C1967" s="30" t="s">
        <v>2911</v>
      </c>
      <c r="D1967" s="2">
        <v>4951241944</v>
      </c>
      <c r="E1967" s="2" t="s">
        <v>24</v>
      </c>
      <c r="F1967" s="2" t="s">
        <v>2912</v>
      </c>
      <c r="G1967" s="28" t="s">
        <v>9</v>
      </c>
      <c r="H1967" s="2" t="s">
        <v>23</v>
      </c>
      <c r="I1967" s="2">
        <v>3</v>
      </c>
      <c r="J1967" s="2"/>
      <c r="K1967" s="2">
        <v>8972.7000000000007</v>
      </c>
      <c r="L1967" s="35">
        <f t="shared" si="101"/>
        <v>29419778.487000003</v>
      </c>
      <c r="M1967" s="36">
        <f>110+220</f>
        <v>330</v>
      </c>
      <c r="N1967" s="40">
        <v>165273.59131403099</v>
      </c>
      <c r="O1967" s="40">
        <v>416.003861003861</v>
      </c>
      <c r="P1967" s="40">
        <v>0</v>
      </c>
      <c r="Q1967" s="40">
        <v>12850.888030888</v>
      </c>
      <c r="R1967" s="40">
        <v>25916.391982182598</v>
      </c>
      <c r="S1967" s="40">
        <v>65109.955456570198</v>
      </c>
      <c r="T1967" s="40"/>
      <c r="U1967" s="40">
        <v>251303.45211581301</v>
      </c>
      <c r="V1967" s="40">
        <v>0</v>
      </c>
      <c r="W1967" s="45">
        <f t="shared" si="102"/>
        <v>520870.28276048868</v>
      </c>
      <c r="X1967" s="46">
        <f t="shared" si="103"/>
        <v>1.7704765621897889</v>
      </c>
    </row>
    <row r="1968" spans="1:24" s="4" customFormat="1" ht="15" customHeight="1">
      <c r="A1968" s="28" t="s">
        <v>2682</v>
      </c>
      <c r="B1968" s="29">
        <v>3278.81</v>
      </c>
      <c r="C1968" s="30" t="s">
        <v>2913</v>
      </c>
      <c r="D1968" s="2">
        <v>4950899240</v>
      </c>
      <c r="E1968" s="2" t="s">
        <v>18</v>
      </c>
      <c r="F1968" s="2" t="s">
        <v>2914</v>
      </c>
      <c r="G1968" s="28" t="s">
        <v>9</v>
      </c>
      <c r="H1968" s="2" t="s">
        <v>23</v>
      </c>
      <c r="I1968" s="2">
        <v>1</v>
      </c>
      <c r="J1968" s="2"/>
      <c r="K1968" s="2">
        <v>14124</v>
      </c>
      <c r="L1968" s="35">
        <f t="shared" si="101"/>
        <v>46309912.439999998</v>
      </c>
      <c r="M1968" s="36">
        <f>75+200</f>
        <v>275</v>
      </c>
      <c r="N1968" s="40">
        <v>470562</v>
      </c>
      <c r="O1968" s="40">
        <v>395</v>
      </c>
      <c r="P1968" s="40">
        <v>5919</v>
      </c>
      <c r="Q1968" s="40">
        <v>5830</v>
      </c>
      <c r="R1968" s="40">
        <v>373723</v>
      </c>
      <c r="S1968" s="40">
        <v>354356</v>
      </c>
      <c r="T1968" s="40">
        <v>30000</v>
      </c>
      <c r="U1968" s="40">
        <v>362178.873239437</v>
      </c>
      <c r="V1968" s="40">
        <v>0</v>
      </c>
      <c r="W1968" s="45">
        <f t="shared" si="102"/>
        <v>1602963.8732394371</v>
      </c>
      <c r="X1968" s="46">
        <f t="shared" si="103"/>
        <v>3.4613839430516471</v>
      </c>
    </row>
    <row r="1969" spans="1:24" s="4" customFormat="1" ht="15" customHeight="1">
      <c r="A1969" s="28" t="s">
        <v>2682</v>
      </c>
      <c r="B1969" s="29">
        <v>3278.81</v>
      </c>
      <c r="C1969" s="30" t="s">
        <v>2915</v>
      </c>
      <c r="D1969" s="2">
        <v>4951551811</v>
      </c>
      <c r="E1969" s="2" t="s">
        <v>21</v>
      </c>
      <c r="F1969" s="2" t="s">
        <v>2916</v>
      </c>
      <c r="G1969" s="28" t="s">
        <v>13</v>
      </c>
      <c r="H1969" s="2" t="s">
        <v>23</v>
      </c>
      <c r="I1969" s="2">
        <v>1</v>
      </c>
      <c r="J1969" s="2"/>
      <c r="K1969" s="2">
        <v>2699.6</v>
      </c>
      <c r="L1969" s="35">
        <f t="shared" si="101"/>
        <v>8851475.4759999998</v>
      </c>
      <c r="M1969" s="36">
        <v>680</v>
      </c>
      <c r="N1969" s="40">
        <v>1067029</v>
      </c>
      <c r="O1969" s="40">
        <v>0</v>
      </c>
      <c r="P1969" s="40">
        <v>0</v>
      </c>
      <c r="Q1969" s="40">
        <v>0</v>
      </c>
      <c r="R1969" s="40">
        <v>4268</v>
      </c>
      <c r="S1969" s="40">
        <v>354356</v>
      </c>
      <c r="T1969" s="40"/>
      <c r="U1969" s="40">
        <v>246380</v>
      </c>
      <c r="V1969" s="40">
        <v>0</v>
      </c>
      <c r="W1969" s="45">
        <f t="shared" si="102"/>
        <v>1672033</v>
      </c>
      <c r="X1969" s="46">
        <f t="shared" si="103"/>
        <v>18.889878919436324</v>
      </c>
    </row>
    <row r="1970" spans="1:24" s="4" customFormat="1" ht="15" customHeight="1">
      <c r="A1970" s="28" t="s">
        <v>2682</v>
      </c>
      <c r="B1970" s="29">
        <v>3278.81</v>
      </c>
      <c r="C1970" s="30" t="s">
        <v>2917</v>
      </c>
      <c r="D1970" s="2">
        <v>4951050358</v>
      </c>
      <c r="E1970" s="2" t="s">
        <v>14</v>
      </c>
      <c r="F1970" s="2">
        <v>1027089672</v>
      </c>
      <c r="G1970" s="28" t="s">
        <v>13</v>
      </c>
      <c r="H1970" s="2" t="s">
        <v>23</v>
      </c>
      <c r="I1970" s="2">
        <v>1</v>
      </c>
      <c r="J1970" s="2"/>
      <c r="K1970" s="2">
        <v>20820.8</v>
      </c>
      <c r="L1970" s="35">
        <f t="shared" si="101"/>
        <v>68267447.247999996</v>
      </c>
      <c r="M1970" s="36">
        <f>150+10</f>
        <v>160</v>
      </c>
      <c r="N1970" s="40">
        <v>492142.07</v>
      </c>
      <c r="O1970" s="40">
        <v>0</v>
      </c>
      <c r="P1970" s="40">
        <v>0</v>
      </c>
      <c r="Q1970" s="40">
        <v>0</v>
      </c>
      <c r="R1970" s="40">
        <v>4968</v>
      </c>
      <c r="S1970" s="40">
        <v>354356</v>
      </c>
      <c r="T1970" s="40">
        <v>30000</v>
      </c>
      <c r="U1970" s="40">
        <v>40390.1639344262</v>
      </c>
      <c r="V1970" s="40">
        <v>0</v>
      </c>
      <c r="W1970" s="45">
        <f t="shared" si="102"/>
        <v>921856.23393442621</v>
      </c>
      <c r="X1970" s="46">
        <f t="shared" si="103"/>
        <v>1.3503599022613717</v>
      </c>
    </row>
    <row r="1971" spans="1:24" s="4" customFormat="1" ht="15" customHeight="1">
      <c r="A1971" s="28" t="s">
        <v>2682</v>
      </c>
      <c r="B1971" s="29">
        <v>3278.81</v>
      </c>
      <c r="C1971" s="30" t="s">
        <v>2918</v>
      </c>
      <c r="D1971" s="2">
        <v>4950812427</v>
      </c>
      <c r="E1971" s="2" t="s">
        <v>14</v>
      </c>
      <c r="F1971" s="2" t="s">
        <v>2919</v>
      </c>
      <c r="G1971" s="28" t="s">
        <v>9</v>
      </c>
      <c r="H1971" s="2" t="s">
        <v>23</v>
      </c>
      <c r="I1971" s="2">
        <v>1</v>
      </c>
      <c r="J1971" s="2"/>
      <c r="K1971" s="2">
        <v>566.75</v>
      </c>
      <c r="L1971" s="35">
        <f t="shared" si="101"/>
        <v>1858265.5674999999</v>
      </c>
      <c r="M1971" s="36">
        <v>25</v>
      </c>
      <c r="N1971" s="40">
        <v>1336288</v>
      </c>
      <c r="O1971" s="40">
        <v>33</v>
      </c>
      <c r="P1971" s="40">
        <v>624.85</v>
      </c>
      <c r="Q1971" s="40">
        <v>1039</v>
      </c>
      <c r="R1971" s="40">
        <v>89856.02</v>
      </c>
      <c r="S1971" s="40">
        <v>354356</v>
      </c>
      <c r="T1971" s="40">
        <v>30000</v>
      </c>
      <c r="U1971" s="40">
        <v>32925.352112676097</v>
      </c>
      <c r="V1971" s="40">
        <v>0</v>
      </c>
      <c r="W1971" s="45">
        <f t="shared" si="102"/>
        <v>1845122.2221126761</v>
      </c>
      <c r="X1971" s="46">
        <f t="shared" si="103"/>
        <v>99.292708985346692</v>
      </c>
    </row>
    <row r="1972" spans="1:24" s="4" customFormat="1" ht="15" customHeight="1">
      <c r="A1972" s="28" t="s">
        <v>2682</v>
      </c>
      <c r="B1972" s="29">
        <v>3278.81</v>
      </c>
      <c r="C1972" s="30" t="s">
        <v>2920</v>
      </c>
      <c r="D1972" s="2">
        <v>4948957707</v>
      </c>
      <c r="E1972" s="2" t="s">
        <v>27</v>
      </c>
      <c r="F1972" s="2" t="s">
        <v>2921</v>
      </c>
      <c r="G1972" s="28" t="s">
        <v>5</v>
      </c>
      <c r="H1972" s="2" t="s">
        <v>20</v>
      </c>
      <c r="I1972" s="2">
        <v>1</v>
      </c>
      <c r="J1972" s="2" t="s">
        <v>2922</v>
      </c>
      <c r="K1972" s="2">
        <v>16636.2</v>
      </c>
      <c r="L1972" s="35">
        <f t="shared" si="101"/>
        <v>54546938.921999998</v>
      </c>
      <c r="M1972" s="36">
        <v>7140</v>
      </c>
      <c r="N1972" s="40">
        <v>390975</v>
      </c>
      <c r="O1972" s="40">
        <v>402051</v>
      </c>
      <c r="P1972" s="40">
        <v>0</v>
      </c>
      <c r="Q1972" s="40">
        <v>124137</v>
      </c>
      <c r="R1972" s="40">
        <v>744403</v>
      </c>
      <c r="S1972" s="40">
        <v>354356</v>
      </c>
      <c r="T1972" s="40"/>
      <c r="U1972" s="40">
        <v>2900300</v>
      </c>
      <c r="V1972" s="40">
        <v>0</v>
      </c>
      <c r="W1972" s="45">
        <f t="shared" si="102"/>
        <v>4916222</v>
      </c>
      <c r="X1972" s="46">
        <f t="shared" si="103"/>
        <v>9.0128283954302297</v>
      </c>
    </row>
    <row r="1973" spans="1:24" s="4" customFormat="1" ht="15" customHeight="1">
      <c r="A1973" s="28" t="s">
        <v>2682</v>
      </c>
      <c r="B1973" s="29">
        <v>3278.81</v>
      </c>
      <c r="C1973" s="30" t="s">
        <v>2923</v>
      </c>
      <c r="D1973" s="2">
        <v>4950058299</v>
      </c>
      <c r="E1973" s="2" t="s">
        <v>14</v>
      </c>
      <c r="F1973" s="2" t="s">
        <v>2924</v>
      </c>
      <c r="G1973" s="28" t="s">
        <v>5</v>
      </c>
      <c r="H1973" s="2" t="s">
        <v>20</v>
      </c>
      <c r="I1973" s="2">
        <v>1</v>
      </c>
      <c r="J1973" s="2" t="s">
        <v>2925</v>
      </c>
      <c r="K1973" s="2">
        <v>30832</v>
      </c>
      <c r="L1973" s="35">
        <f t="shared" si="101"/>
        <v>101092269.92</v>
      </c>
      <c r="M1973" s="36">
        <f>14760+1640</f>
        <v>16400</v>
      </c>
      <c r="N1973" s="40">
        <v>335446</v>
      </c>
      <c r="O1973" s="40">
        <v>322920</v>
      </c>
      <c r="P1973" s="40">
        <v>0</v>
      </c>
      <c r="Q1973" s="40">
        <v>110000</v>
      </c>
      <c r="R1973" s="40">
        <v>563454</v>
      </c>
      <c r="S1973" s="40">
        <v>354356</v>
      </c>
      <c r="T1973" s="40">
        <v>30000</v>
      </c>
      <c r="U1973" s="40">
        <v>3928500</v>
      </c>
      <c r="V1973" s="40">
        <v>0</v>
      </c>
      <c r="W1973" s="45">
        <f t="shared" si="102"/>
        <v>5644676</v>
      </c>
      <c r="X1973" s="46">
        <f t="shared" si="103"/>
        <v>5.58368706575384</v>
      </c>
    </row>
    <row r="1974" spans="1:24" s="4" customFormat="1" ht="15" customHeight="1">
      <c r="A1974" s="28" t="s">
        <v>2682</v>
      </c>
      <c r="B1974" s="29">
        <v>3278.81</v>
      </c>
      <c r="C1974" s="30" t="s">
        <v>2926</v>
      </c>
      <c r="D1974" s="2">
        <v>4950182139</v>
      </c>
      <c r="E1974" s="2" t="s">
        <v>38</v>
      </c>
      <c r="F1974" s="2" t="s">
        <v>2927</v>
      </c>
      <c r="G1974" s="28" t="s">
        <v>9</v>
      </c>
      <c r="H1974" s="2" t="s">
        <v>23</v>
      </c>
      <c r="I1974" s="2">
        <v>2</v>
      </c>
      <c r="J1974" s="2"/>
      <c r="K1974" s="2">
        <v>831.6</v>
      </c>
      <c r="L1974" s="35">
        <f t="shared" si="101"/>
        <v>2726658.3960000002</v>
      </c>
      <c r="M1974" s="36">
        <v>440</v>
      </c>
      <c r="N1974" s="40">
        <v>141263.5</v>
      </c>
      <c r="O1974" s="40">
        <v>664.5</v>
      </c>
      <c r="P1974" s="40">
        <v>34417.5</v>
      </c>
      <c r="Q1974" s="40">
        <v>7866.75</v>
      </c>
      <c r="R1974" s="40">
        <v>29846.25</v>
      </c>
      <c r="S1974" s="40">
        <v>88589</v>
      </c>
      <c r="T1974" s="40"/>
      <c r="U1974" s="40">
        <v>341925</v>
      </c>
      <c r="V1974" s="40">
        <v>0</v>
      </c>
      <c r="W1974" s="45">
        <f t="shared" si="102"/>
        <v>644572.5</v>
      </c>
      <c r="X1974" s="46">
        <f t="shared" si="103"/>
        <v>23.639649944620345</v>
      </c>
    </row>
    <row r="1975" spans="1:24" s="4" customFormat="1" ht="15" customHeight="1">
      <c r="A1975" s="28" t="s">
        <v>2682</v>
      </c>
      <c r="B1975" s="29">
        <v>3278.81</v>
      </c>
      <c r="C1975" s="30" t="s">
        <v>2926</v>
      </c>
      <c r="D1975" s="2">
        <v>4950182134</v>
      </c>
      <c r="E1975" s="2" t="s">
        <v>38</v>
      </c>
      <c r="F1975" s="2" t="s">
        <v>2927</v>
      </c>
      <c r="G1975" s="28" t="s">
        <v>9</v>
      </c>
      <c r="H1975" s="2" t="s">
        <v>23</v>
      </c>
      <c r="I1975" s="2">
        <v>2</v>
      </c>
      <c r="J1975" s="2"/>
      <c r="K1975" s="2">
        <v>2494.8000000000002</v>
      </c>
      <c r="L1975" s="35">
        <f t="shared" si="101"/>
        <v>8179975.1880000001</v>
      </c>
      <c r="M1975" s="36">
        <v>1320</v>
      </c>
      <c r="N1975" s="40">
        <v>423790.5</v>
      </c>
      <c r="O1975" s="40">
        <v>1993.5</v>
      </c>
      <c r="P1975" s="40">
        <v>103252.5</v>
      </c>
      <c r="Q1975" s="40">
        <v>23600.25</v>
      </c>
      <c r="R1975" s="40">
        <v>89538.75</v>
      </c>
      <c r="S1975" s="40">
        <v>265767</v>
      </c>
      <c r="T1975" s="40"/>
      <c r="U1975" s="40">
        <v>1025775</v>
      </c>
      <c r="V1975" s="40">
        <v>0</v>
      </c>
      <c r="W1975" s="45">
        <f t="shared" si="102"/>
        <v>1933717.5</v>
      </c>
      <c r="X1975" s="46">
        <f t="shared" si="103"/>
        <v>23.639649944620345</v>
      </c>
    </row>
    <row r="1976" spans="1:24" s="4" customFormat="1" ht="15" customHeight="1">
      <c r="A1976" s="28" t="s">
        <v>2682</v>
      </c>
      <c r="B1976" s="29">
        <v>3278.81</v>
      </c>
      <c r="C1976" s="30" t="s">
        <v>2928</v>
      </c>
      <c r="D1976" s="2">
        <v>4950559736</v>
      </c>
      <c r="E1976" s="2" t="s">
        <v>36</v>
      </c>
      <c r="F1976" s="2" t="s">
        <v>2929</v>
      </c>
      <c r="G1976" s="28" t="s">
        <v>5</v>
      </c>
      <c r="H1976" s="2" t="s">
        <v>26</v>
      </c>
      <c r="I1976" s="2">
        <v>1</v>
      </c>
      <c r="J1976" s="2" t="s">
        <v>2930</v>
      </c>
      <c r="K1976" s="2">
        <v>34454.68</v>
      </c>
      <c r="L1976" s="35">
        <f t="shared" si="101"/>
        <v>112970349.3308</v>
      </c>
      <c r="M1976" s="36">
        <v>19722.196</v>
      </c>
      <c r="N1976" s="40">
        <v>333205</v>
      </c>
      <c r="O1976" s="40">
        <v>394857</v>
      </c>
      <c r="P1976" s="40">
        <v>1554958</v>
      </c>
      <c r="Q1976" s="40">
        <v>110000</v>
      </c>
      <c r="R1976" s="40">
        <v>634161</v>
      </c>
      <c r="S1976" s="40">
        <v>354356</v>
      </c>
      <c r="T1976" s="40"/>
      <c r="U1976" s="40">
        <v>0</v>
      </c>
      <c r="V1976" s="40">
        <v>0</v>
      </c>
      <c r="W1976" s="45">
        <f t="shared" si="102"/>
        <v>3381537</v>
      </c>
      <c r="X1976" s="46">
        <f t="shared" si="103"/>
        <v>2.9932960462910287</v>
      </c>
    </row>
    <row r="1977" spans="1:24" s="4" customFormat="1" ht="15" customHeight="1">
      <c r="A1977" s="28" t="s">
        <v>2682</v>
      </c>
      <c r="B1977" s="29">
        <v>3278.81</v>
      </c>
      <c r="C1977" s="30" t="s">
        <v>2931</v>
      </c>
      <c r="D1977" s="2">
        <v>4950560303</v>
      </c>
      <c r="E1977" s="2" t="s">
        <v>36</v>
      </c>
      <c r="F1977" s="2" t="s">
        <v>2932</v>
      </c>
      <c r="G1977" s="28" t="s">
        <v>5</v>
      </c>
      <c r="H1977" s="2" t="s">
        <v>26</v>
      </c>
      <c r="I1977" s="2">
        <v>3</v>
      </c>
      <c r="J1977" s="2" t="s">
        <v>2933</v>
      </c>
      <c r="K1977" s="2">
        <v>62527.6</v>
      </c>
      <c r="L1977" s="35">
        <f t="shared" ref="L1977:L2033" si="104">B1977*K1977</f>
        <v>205016120.15599999</v>
      </c>
      <c r="M1977" s="36">
        <v>63620</v>
      </c>
      <c r="N1977" s="40">
        <v>330911.84973278799</v>
      </c>
      <c r="O1977" s="40">
        <v>1184573</v>
      </c>
      <c r="P1977" s="40">
        <v>2509415.1618987699</v>
      </c>
      <c r="Q1977" s="40">
        <v>297928</v>
      </c>
      <c r="R1977" s="40">
        <v>914237.86922351504</v>
      </c>
      <c r="S1977" s="40">
        <v>116521.966677146</v>
      </c>
      <c r="T1977" s="40"/>
      <c r="U1977" s="40">
        <v>0</v>
      </c>
      <c r="V1977" s="40">
        <v>0</v>
      </c>
      <c r="W1977" s="45">
        <f t="shared" ref="W1977:W2033" si="105">+SUM(N1977:V1977)</f>
        <v>5353587.8475322183</v>
      </c>
      <c r="X1977" s="46">
        <f t="shared" ref="X1977:X2033" si="106">(W1977/L1977)*100</f>
        <v>2.6113009276824619</v>
      </c>
    </row>
    <row r="1978" spans="1:24" s="4" customFormat="1" ht="15" customHeight="1">
      <c r="A1978" s="28" t="s">
        <v>2682</v>
      </c>
      <c r="B1978" s="29">
        <v>3278.81</v>
      </c>
      <c r="C1978" s="30" t="s">
        <v>2934</v>
      </c>
      <c r="D1978" s="2">
        <v>4950559747</v>
      </c>
      <c r="E1978" s="2" t="s">
        <v>36</v>
      </c>
      <c r="F1978" s="2" t="s">
        <v>2935</v>
      </c>
      <c r="G1978" s="28" t="s">
        <v>5</v>
      </c>
      <c r="H1978" s="2" t="s">
        <v>26</v>
      </c>
      <c r="I1978" s="2">
        <v>2</v>
      </c>
      <c r="J1978" s="2" t="s">
        <v>2936</v>
      </c>
      <c r="K1978" s="2">
        <v>69622.3</v>
      </c>
      <c r="L1978" s="35">
        <f t="shared" si="104"/>
        <v>228278293.463</v>
      </c>
      <c r="M1978" s="36">
        <v>39852</v>
      </c>
      <c r="N1978" s="40">
        <v>666410</v>
      </c>
      <c r="O1978" s="40">
        <v>789715</v>
      </c>
      <c r="P1978" s="40">
        <v>3109917</v>
      </c>
      <c r="Q1978" s="40">
        <v>198619</v>
      </c>
      <c r="R1978" s="40">
        <v>1256294</v>
      </c>
      <c r="S1978" s="40">
        <v>354356</v>
      </c>
      <c r="T1978" s="40"/>
      <c r="U1978" s="40">
        <v>0</v>
      </c>
      <c r="V1978" s="40">
        <v>0</v>
      </c>
      <c r="W1978" s="45">
        <f t="shared" si="105"/>
        <v>6375311</v>
      </c>
      <c r="X1978" s="46">
        <f t="shared" si="106"/>
        <v>2.7927802084403304</v>
      </c>
    </row>
    <row r="1979" spans="1:24" s="4" customFormat="1" ht="15" customHeight="1">
      <c r="A1979" s="28" t="s">
        <v>2682</v>
      </c>
      <c r="B1979" s="29">
        <v>3278.81</v>
      </c>
      <c r="C1979" s="30" t="s">
        <v>2937</v>
      </c>
      <c r="D1979" s="2">
        <v>4949416087</v>
      </c>
      <c r="E1979" s="2" t="s">
        <v>14</v>
      </c>
      <c r="F1979" s="2" t="s">
        <v>2938</v>
      </c>
      <c r="G1979" s="28" t="s">
        <v>5</v>
      </c>
      <c r="H1979" s="2" t="s">
        <v>20</v>
      </c>
      <c r="I1979" s="2">
        <v>1</v>
      </c>
      <c r="J1979" s="2" t="s">
        <v>2939</v>
      </c>
      <c r="K1979" s="2">
        <f>26978+3854</f>
        <v>30832</v>
      </c>
      <c r="L1979" s="35">
        <f t="shared" si="104"/>
        <v>101092269.92</v>
      </c>
      <c r="M1979" s="36">
        <f>14350+2050</f>
        <v>16400</v>
      </c>
      <c r="N1979" s="40">
        <v>390975</v>
      </c>
      <c r="O1979" s="40">
        <v>322920</v>
      </c>
      <c r="P1979" s="40">
        <v>0</v>
      </c>
      <c r="Q1979" s="40">
        <v>110000</v>
      </c>
      <c r="R1979" s="40">
        <v>440755</v>
      </c>
      <c r="S1979" s="40">
        <v>354356</v>
      </c>
      <c r="T1979" s="40">
        <v>30000</v>
      </c>
      <c r="U1979" s="40">
        <v>3928500</v>
      </c>
      <c r="V1979" s="40">
        <v>0</v>
      </c>
      <c r="W1979" s="45">
        <f t="shared" si="105"/>
        <v>5577506</v>
      </c>
      <c r="X1979" s="46">
        <f t="shared" si="106"/>
        <v>5.5172428163041483</v>
      </c>
    </row>
    <row r="1980" spans="1:24" s="4" customFormat="1" ht="15" customHeight="1">
      <c r="A1980" s="28" t="s">
        <v>2682</v>
      </c>
      <c r="B1980" s="29">
        <v>3278.81</v>
      </c>
      <c r="C1980" s="30" t="s">
        <v>2940</v>
      </c>
      <c r="D1980" s="2">
        <v>4950585738</v>
      </c>
      <c r="E1980" s="2" t="s">
        <v>14</v>
      </c>
      <c r="F1980" s="2" t="s">
        <v>2941</v>
      </c>
      <c r="G1980" s="28" t="s">
        <v>5</v>
      </c>
      <c r="H1980" s="2" t="s">
        <v>17</v>
      </c>
      <c r="I1980" s="2">
        <v>1</v>
      </c>
      <c r="J1980" s="2" t="s">
        <v>2942</v>
      </c>
      <c r="K1980" s="2">
        <v>14448</v>
      </c>
      <c r="L1980" s="35">
        <f t="shared" si="104"/>
        <v>47372246.880000003</v>
      </c>
      <c r="M1980" s="36">
        <v>6880</v>
      </c>
      <c r="N1980" s="40">
        <f>192943.6+80000</f>
        <v>272943.59999999998</v>
      </c>
      <c r="O1980" s="40">
        <v>169452.79999999999</v>
      </c>
      <c r="P1980" s="40">
        <v>0</v>
      </c>
      <c r="Q1980" s="40">
        <v>44000</v>
      </c>
      <c r="R1980" s="40">
        <v>218051.6</v>
      </c>
      <c r="S1980" s="40">
        <v>141742.39999999999</v>
      </c>
      <c r="T1980" s="40">
        <v>30000</v>
      </c>
      <c r="U1980" s="40">
        <v>2432760</v>
      </c>
      <c r="V1980" s="40">
        <v>0</v>
      </c>
      <c r="W1980" s="45">
        <f t="shared" si="105"/>
        <v>3308950.4</v>
      </c>
      <c r="X1980" s="46">
        <f t="shared" si="106"/>
        <v>6.9849977949789821</v>
      </c>
    </row>
    <row r="1981" spans="1:24" s="4" customFormat="1" ht="15" customHeight="1">
      <c r="A1981" s="28" t="s">
        <v>2682</v>
      </c>
      <c r="B1981" s="29">
        <v>3278.81</v>
      </c>
      <c r="C1981" s="30" t="s">
        <v>2940</v>
      </c>
      <c r="D1981" s="2">
        <v>4950585738</v>
      </c>
      <c r="E1981" s="2" t="s">
        <v>14</v>
      </c>
      <c r="F1981" s="2" t="s">
        <v>2941</v>
      </c>
      <c r="G1981" s="28" t="s">
        <v>5</v>
      </c>
      <c r="H1981" s="2" t="s">
        <v>17</v>
      </c>
      <c r="I1981" s="2">
        <v>1</v>
      </c>
      <c r="J1981" s="2" t="s">
        <v>2942</v>
      </c>
      <c r="K1981" s="2">
        <v>25490.400000000001</v>
      </c>
      <c r="L1981" s="35">
        <f t="shared" si="104"/>
        <v>83578178.42400001</v>
      </c>
      <c r="M1981" s="36">
        <v>10320</v>
      </c>
      <c r="N1981" s="40">
        <f>289415.4+120000</f>
        <v>409415.4</v>
      </c>
      <c r="O1981" s="40">
        <v>254179.20000000001</v>
      </c>
      <c r="P1981" s="40">
        <v>0</v>
      </c>
      <c r="Q1981" s="40">
        <v>66000</v>
      </c>
      <c r="R1981" s="40">
        <v>327077.40000000002</v>
      </c>
      <c r="S1981" s="40">
        <v>212613.6</v>
      </c>
      <c r="T1981" s="40">
        <v>30000</v>
      </c>
      <c r="U1981" s="40">
        <v>3649140</v>
      </c>
      <c r="V1981" s="40">
        <v>0</v>
      </c>
      <c r="W1981" s="45">
        <f t="shared" si="105"/>
        <v>4948425.5999999996</v>
      </c>
      <c r="X1981" s="46">
        <f t="shared" si="106"/>
        <v>5.9207148245037935</v>
      </c>
    </row>
    <row r="1982" spans="1:24" s="4" customFormat="1" ht="15" customHeight="1">
      <c r="A1982" s="28" t="s">
        <v>2682</v>
      </c>
      <c r="B1982" s="29">
        <v>3278.81</v>
      </c>
      <c r="C1982" s="30" t="s">
        <v>2943</v>
      </c>
      <c r="D1982" s="2">
        <v>4951046919</v>
      </c>
      <c r="E1982" s="2" t="s">
        <v>14</v>
      </c>
      <c r="F1982" s="2" t="s">
        <v>2944</v>
      </c>
      <c r="G1982" s="28" t="s">
        <v>9</v>
      </c>
      <c r="H1982" s="2" t="s">
        <v>23</v>
      </c>
      <c r="I1982" s="2">
        <v>3</v>
      </c>
      <c r="J1982" s="2"/>
      <c r="K1982" s="2">
        <v>24832</v>
      </c>
      <c r="L1982" s="35">
        <f t="shared" si="104"/>
        <v>81419409.920000002</v>
      </c>
      <c r="M1982" s="36">
        <v>320</v>
      </c>
      <c r="N1982" s="40">
        <v>229170.036363636</v>
      </c>
      <c r="O1982" s="40">
        <v>227.78181818181801</v>
      </c>
      <c r="P1982" s="40">
        <v>0</v>
      </c>
      <c r="Q1982" s="40">
        <v>7088.2909090909097</v>
      </c>
      <c r="R1982" s="40">
        <v>35209.8909090909</v>
      </c>
      <c r="S1982" s="40">
        <v>103085.381818182</v>
      </c>
      <c r="T1982" s="40">
        <v>30000</v>
      </c>
      <c r="U1982" s="40">
        <v>171117.94871794901</v>
      </c>
      <c r="V1982" s="40">
        <v>0</v>
      </c>
      <c r="W1982" s="45">
        <f t="shared" si="105"/>
        <v>575899.3305361307</v>
      </c>
      <c r="X1982" s="46">
        <f t="shared" si="106"/>
        <v>0.7073243727779287</v>
      </c>
    </row>
    <row r="1983" spans="1:24" s="4" customFormat="1" ht="15" customHeight="1">
      <c r="A1983" s="28" t="s">
        <v>2682</v>
      </c>
      <c r="B1983" s="29">
        <v>3278.81</v>
      </c>
      <c r="C1983" s="30" t="s">
        <v>2943</v>
      </c>
      <c r="D1983" s="2">
        <v>4951213121</v>
      </c>
      <c r="E1983" s="2" t="s">
        <v>14</v>
      </c>
      <c r="F1983" s="2" t="s">
        <v>2944</v>
      </c>
      <c r="G1983" s="28" t="s">
        <v>9</v>
      </c>
      <c r="H1983" s="2" t="s">
        <v>23</v>
      </c>
      <c r="I1983" s="2">
        <v>3</v>
      </c>
      <c r="J1983" s="2"/>
      <c r="K1983" s="2">
        <v>34187.4</v>
      </c>
      <c r="L1983" s="35">
        <f t="shared" si="104"/>
        <v>112093988.994</v>
      </c>
      <c r="M1983" s="36">
        <v>540</v>
      </c>
      <c r="N1983" s="40">
        <v>386724.43636363599</v>
      </c>
      <c r="O1983" s="40">
        <v>384.38181818181801</v>
      </c>
      <c r="P1983" s="40">
        <v>0</v>
      </c>
      <c r="Q1983" s="40">
        <v>11961.4909090909</v>
      </c>
      <c r="R1983" s="40">
        <v>59416.690909090903</v>
      </c>
      <c r="S1983" s="40">
        <v>173956.58181818199</v>
      </c>
      <c r="T1983" s="40">
        <v>30000</v>
      </c>
      <c r="U1983" s="40">
        <v>288761.53846153797</v>
      </c>
      <c r="V1983" s="40">
        <v>0</v>
      </c>
      <c r="W1983" s="45">
        <f t="shared" si="105"/>
        <v>951205.12027971959</v>
      </c>
      <c r="X1983" s="46">
        <f t="shared" si="106"/>
        <v>0.84857816981661183</v>
      </c>
    </row>
    <row r="1984" spans="1:24" s="4" customFormat="1" ht="15" customHeight="1">
      <c r="A1984" s="28" t="s">
        <v>2682</v>
      </c>
      <c r="B1984" s="29">
        <v>3278.81</v>
      </c>
      <c r="C1984" s="30" t="s">
        <v>2943</v>
      </c>
      <c r="D1984" s="2">
        <v>4951050407</v>
      </c>
      <c r="E1984" s="2" t="s">
        <v>14</v>
      </c>
      <c r="F1984" s="2" t="s">
        <v>2944</v>
      </c>
      <c r="G1984" s="28" t="s">
        <v>9</v>
      </c>
      <c r="H1984" s="2" t="s">
        <v>23</v>
      </c>
      <c r="I1984" s="2">
        <v>3</v>
      </c>
      <c r="J1984" s="2"/>
      <c r="K1984" s="2">
        <v>12316.8</v>
      </c>
      <c r="L1984" s="35">
        <f t="shared" si="104"/>
        <v>40384447.007999994</v>
      </c>
      <c r="M1984" s="36">
        <v>240</v>
      </c>
      <c r="N1984" s="40">
        <v>171877.52727272699</v>
      </c>
      <c r="O1984" s="40">
        <v>170.83636363636401</v>
      </c>
      <c r="P1984" s="40">
        <v>0</v>
      </c>
      <c r="Q1984" s="40">
        <v>5316.2181818181798</v>
      </c>
      <c r="R1984" s="40">
        <v>26407.418181818201</v>
      </c>
      <c r="S1984" s="40">
        <v>77314.036363636405</v>
      </c>
      <c r="T1984" s="40">
        <v>30000</v>
      </c>
      <c r="U1984" s="40">
        <v>128338.461538462</v>
      </c>
      <c r="V1984" s="40">
        <v>0</v>
      </c>
      <c r="W1984" s="45">
        <f t="shared" si="105"/>
        <v>439424.49790209811</v>
      </c>
      <c r="X1984" s="46">
        <f t="shared" si="106"/>
        <v>1.0881032933669983</v>
      </c>
    </row>
    <row r="1985" spans="1:24" s="4" customFormat="1" ht="15" customHeight="1">
      <c r="A1985" s="28" t="s">
        <v>2682</v>
      </c>
      <c r="B1985" s="29">
        <v>3278.81</v>
      </c>
      <c r="C1985" s="30" t="s">
        <v>2945</v>
      </c>
      <c r="D1985" s="2">
        <v>4949590097</v>
      </c>
      <c r="E1985" s="2" t="s">
        <v>14</v>
      </c>
      <c r="F1985" s="2" t="s">
        <v>2946</v>
      </c>
      <c r="G1985" s="28" t="s">
        <v>5</v>
      </c>
      <c r="H1985" s="2" t="s">
        <v>17</v>
      </c>
      <c r="I1985" s="2">
        <v>1</v>
      </c>
      <c r="J1985" s="2" t="s">
        <v>2947</v>
      </c>
      <c r="K1985" s="2">
        <v>68040</v>
      </c>
      <c r="L1985" s="35">
        <f t="shared" si="104"/>
        <v>223090232.40000001</v>
      </c>
      <c r="M1985" s="36">
        <v>18000</v>
      </c>
      <c r="N1985" s="40">
        <v>387216</v>
      </c>
      <c r="O1985" s="40">
        <v>423632</v>
      </c>
      <c r="P1985" s="40">
        <v>0</v>
      </c>
      <c r="Q1985" s="40">
        <v>110000</v>
      </c>
      <c r="R1985" s="40">
        <v>752483</v>
      </c>
      <c r="S1985" s="40">
        <v>354356</v>
      </c>
      <c r="T1985" s="40">
        <v>30000</v>
      </c>
      <c r="U1985" s="40">
        <v>5446550</v>
      </c>
      <c r="V1985" s="40">
        <v>0</v>
      </c>
      <c r="W1985" s="45">
        <f t="shared" si="105"/>
        <v>7504237</v>
      </c>
      <c r="X1985" s="46">
        <f t="shared" si="106"/>
        <v>3.3637676196172182</v>
      </c>
    </row>
    <row r="1986" spans="1:24" s="4" customFormat="1" ht="15" customHeight="1">
      <c r="A1986" s="28" t="s">
        <v>2682</v>
      </c>
      <c r="B1986" s="29">
        <v>3278.81</v>
      </c>
      <c r="C1986" s="30" t="s">
        <v>2948</v>
      </c>
      <c r="D1986" s="2">
        <v>4950899447</v>
      </c>
      <c r="E1986" s="2" t="s">
        <v>18</v>
      </c>
      <c r="F1986" s="2" t="s">
        <v>2949</v>
      </c>
      <c r="G1986" s="28" t="s">
        <v>9</v>
      </c>
      <c r="H1986" s="2" t="s">
        <v>23</v>
      </c>
      <c r="I1986" s="2">
        <v>3</v>
      </c>
      <c r="J1986" s="2"/>
      <c r="K1986" s="2">
        <v>5490</v>
      </c>
      <c r="L1986" s="35">
        <f t="shared" si="104"/>
        <v>18000666.899999999</v>
      </c>
      <c r="M1986" s="36">
        <v>1800</v>
      </c>
      <c r="N1986" s="40">
        <v>659810</v>
      </c>
      <c r="O1986" s="40">
        <v>1235</v>
      </c>
      <c r="P1986" s="40">
        <v>0</v>
      </c>
      <c r="Q1986" s="40">
        <v>300686</v>
      </c>
      <c r="R1986" s="40">
        <v>259272</v>
      </c>
      <c r="S1986" s="40">
        <v>354356</v>
      </c>
      <c r="T1986" s="40">
        <v>30000</v>
      </c>
      <c r="U1986" s="40">
        <v>962538.46153846197</v>
      </c>
      <c r="V1986" s="40">
        <v>0</v>
      </c>
      <c r="W1986" s="45">
        <f t="shared" si="105"/>
        <v>2567897.461538462</v>
      </c>
      <c r="X1986" s="46">
        <f t="shared" si="106"/>
        <v>14.265568469235227</v>
      </c>
    </row>
    <row r="1987" spans="1:24" s="4" customFormat="1" ht="15" customHeight="1">
      <c r="A1987" s="28" t="s">
        <v>2682</v>
      </c>
      <c r="B1987" s="29">
        <v>3278.81</v>
      </c>
      <c r="C1987" s="30" t="s">
        <v>2950</v>
      </c>
      <c r="D1987" s="2">
        <v>4950372293</v>
      </c>
      <c r="E1987" s="2" t="s">
        <v>18</v>
      </c>
      <c r="F1987" s="2" t="s">
        <v>2951</v>
      </c>
      <c r="G1987" s="28" t="s">
        <v>5</v>
      </c>
      <c r="H1987" s="2" t="s">
        <v>35</v>
      </c>
      <c r="I1987" s="2">
        <v>1</v>
      </c>
      <c r="J1987" s="2" t="s">
        <v>2952</v>
      </c>
      <c r="K1987" s="2">
        <v>25536</v>
      </c>
      <c r="L1987" s="35">
        <f t="shared" si="104"/>
        <v>83727692.159999996</v>
      </c>
      <c r="M1987" s="36">
        <v>2400</v>
      </c>
      <c r="N1987" s="40">
        <v>60990.181818181802</v>
      </c>
      <c r="O1987" s="40">
        <v>77024</v>
      </c>
      <c r="P1987" s="40">
        <v>0</v>
      </c>
      <c r="Q1987" s="40">
        <v>20000</v>
      </c>
      <c r="R1987" s="40">
        <f>583128.909090909+50862</f>
        <v>633990.90909090894</v>
      </c>
      <c r="S1987" s="40">
        <v>64428.363636363603</v>
      </c>
      <c r="T1987" s="40">
        <v>30000</v>
      </c>
      <c r="U1987" s="40">
        <v>1500281.81818182</v>
      </c>
      <c r="V1987" s="40">
        <v>0</v>
      </c>
      <c r="W1987" s="45">
        <f t="shared" si="105"/>
        <v>2386715.2727272743</v>
      </c>
      <c r="X1987" s="46">
        <f t="shared" si="106"/>
        <v>2.8505685647782633</v>
      </c>
    </row>
    <row r="1988" spans="1:24" s="4" customFormat="1" ht="15" customHeight="1">
      <c r="A1988" s="28" t="s">
        <v>2682</v>
      </c>
      <c r="B1988" s="29">
        <v>3278.81</v>
      </c>
      <c r="C1988" s="30" t="s">
        <v>2950</v>
      </c>
      <c r="D1988" s="2">
        <v>4951017915</v>
      </c>
      <c r="E1988" s="2" t="s">
        <v>18</v>
      </c>
      <c r="F1988" s="2" t="s">
        <v>2951</v>
      </c>
      <c r="G1988" s="28" t="s">
        <v>5</v>
      </c>
      <c r="H1988" s="2" t="s">
        <v>35</v>
      </c>
      <c r="I1988" s="2">
        <v>1</v>
      </c>
      <c r="J1988" s="2" t="s">
        <v>2952</v>
      </c>
      <c r="K1988" s="2">
        <v>12312</v>
      </c>
      <c r="L1988" s="35">
        <f t="shared" si="104"/>
        <v>40368708.719999999</v>
      </c>
      <c r="M1988" s="36">
        <v>10800</v>
      </c>
      <c r="N1988" s="40">
        <v>274455.818181818</v>
      </c>
      <c r="O1988" s="40">
        <v>346608</v>
      </c>
      <c r="P1988" s="40">
        <v>0</v>
      </c>
      <c r="Q1988" s="40">
        <v>90000</v>
      </c>
      <c r="R1988" s="40">
        <f>554080.090909091+228878</f>
        <v>782958.09090909106</v>
      </c>
      <c r="S1988" s="40">
        <v>289927.636363636</v>
      </c>
      <c r="T1988" s="40">
        <v>30000</v>
      </c>
      <c r="U1988" s="40">
        <v>6751268.1818181798</v>
      </c>
      <c r="V1988" s="40">
        <v>0</v>
      </c>
      <c r="W1988" s="45">
        <f t="shared" si="105"/>
        <v>8565217.7272727247</v>
      </c>
      <c r="X1988" s="46">
        <f t="shared" si="106"/>
        <v>21.217467684392965</v>
      </c>
    </row>
    <row r="1989" spans="1:24" s="4" customFormat="1" ht="15" customHeight="1">
      <c r="A1989" s="28" t="s">
        <v>2682</v>
      </c>
      <c r="B1989" s="29">
        <v>3278.81</v>
      </c>
      <c r="C1989" s="30" t="s">
        <v>2953</v>
      </c>
      <c r="D1989" s="2">
        <v>4951080648</v>
      </c>
      <c r="E1989" s="2" t="s">
        <v>18</v>
      </c>
      <c r="F1989" s="2" t="s">
        <v>2954</v>
      </c>
      <c r="G1989" s="28" t="s">
        <v>9</v>
      </c>
      <c r="H1989" s="2" t="s">
        <v>23</v>
      </c>
      <c r="I1989" s="2">
        <v>1</v>
      </c>
      <c r="J1989" s="2"/>
      <c r="K1989" s="2">
        <v>5640</v>
      </c>
      <c r="L1989" s="35">
        <f t="shared" si="104"/>
        <v>18492488.399999999</v>
      </c>
      <c r="M1989" s="36">
        <v>1000</v>
      </c>
      <c r="N1989" s="40">
        <v>742750</v>
      </c>
      <c r="O1989" s="40">
        <v>686</v>
      </c>
      <c r="P1989" s="40">
        <v>0</v>
      </c>
      <c r="Q1989" s="40">
        <v>20551</v>
      </c>
      <c r="R1989" s="40">
        <v>110926</v>
      </c>
      <c r="S1989" s="40">
        <v>354356</v>
      </c>
      <c r="T1989" s="40">
        <v>30000</v>
      </c>
      <c r="U1989" s="40">
        <v>534743.58974358998</v>
      </c>
      <c r="V1989" s="40">
        <v>0</v>
      </c>
      <c r="W1989" s="45">
        <f t="shared" si="105"/>
        <v>1794012.58974359</v>
      </c>
      <c r="X1989" s="46">
        <f t="shared" si="106"/>
        <v>9.7013043941862911</v>
      </c>
    </row>
    <row r="1990" spans="1:24" s="4" customFormat="1" ht="15" customHeight="1">
      <c r="A1990" s="28" t="s">
        <v>2682</v>
      </c>
      <c r="B1990" s="29">
        <v>3278.81</v>
      </c>
      <c r="C1990" s="30" t="s">
        <v>2955</v>
      </c>
      <c r="D1990" s="2">
        <v>4951017920</v>
      </c>
      <c r="E1990" s="2" t="s">
        <v>18</v>
      </c>
      <c r="F1990" s="2" t="s">
        <v>2956</v>
      </c>
      <c r="G1990" s="28" t="s">
        <v>5</v>
      </c>
      <c r="H1990" s="2" t="s">
        <v>17</v>
      </c>
      <c r="I1990" s="2">
        <v>1</v>
      </c>
      <c r="J1990" s="2" t="s">
        <v>2957</v>
      </c>
      <c r="K1990" s="2">
        <v>69760</v>
      </c>
      <c r="L1990" s="35">
        <f t="shared" si="104"/>
        <v>228729785.59999999</v>
      </c>
      <c r="M1990" s="36">
        <v>16000</v>
      </c>
      <c r="N1990" s="40">
        <v>341216</v>
      </c>
      <c r="O1990" s="40">
        <v>423632</v>
      </c>
      <c r="P1990" s="40">
        <v>0</v>
      </c>
      <c r="Q1990" s="40">
        <v>110000</v>
      </c>
      <c r="R1990" s="40">
        <v>752298</v>
      </c>
      <c r="S1990" s="40">
        <v>354356</v>
      </c>
      <c r="T1990" s="40">
        <v>30000</v>
      </c>
      <c r="U1990" s="40">
        <v>5446550</v>
      </c>
      <c r="V1990" s="40">
        <v>0</v>
      </c>
      <c r="W1990" s="45">
        <f t="shared" si="105"/>
        <v>7458052</v>
      </c>
      <c r="X1990" s="46">
        <f t="shared" si="106"/>
        <v>3.260638740353019</v>
      </c>
    </row>
    <row r="1991" spans="1:24" s="4" customFormat="1" ht="15" customHeight="1">
      <c r="A1991" s="28" t="s">
        <v>2682</v>
      </c>
      <c r="B1991" s="29">
        <v>3278.81</v>
      </c>
      <c r="C1991" s="30" t="s">
        <v>2958</v>
      </c>
      <c r="D1991" s="2">
        <v>4951088053</v>
      </c>
      <c r="E1991" s="2" t="s">
        <v>21</v>
      </c>
      <c r="F1991" s="2" t="s">
        <v>2959</v>
      </c>
      <c r="G1991" s="28" t="s">
        <v>5</v>
      </c>
      <c r="H1991" s="2" t="s">
        <v>20</v>
      </c>
      <c r="I1991" s="2">
        <v>1</v>
      </c>
      <c r="J1991" s="2" t="s">
        <v>2960</v>
      </c>
      <c r="K1991" s="2">
        <v>26928</v>
      </c>
      <c r="L1991" s="35">
        <f t="shared" si="104"/>
        <v>88291795.679999992</v>
      </c>
      <c r="M1991" s="36">
        <v>8160</v>
      </c>
      <c r="N1991" s="40">
        <v>333187</v>
      </c>
      <c r="O1991" s="40">
        <v>322920</v>
      </c>
      <c r="P1991" s="40">
        <v>0</v>
      </c>
      <c r="Q1991" s="40">
        <v>110000</v>
      </c>
      <c r="R1991" s="40">
        <v>637525</v>
      </c>
      <c r="S1991" s="40">
        <v>354356</v>
      </c>
      <c r="T1991" s="40"/>
      <c r="U1991" s="40">
        <v>2900300</v>
      </c>
      <c r="V1991" s="40">
        <v>0</v>
      </c>
      <c r="W1991" s="45">
        <f t="shared" si="105"/>
        <v>4658288</v>
      </c>
      <c r="X1991" s="46">
        <f t="shared" si="106"/>
        <v>5.276014565252753</v>
      </c>
    </row>
    <row r="1992" spans="1:24" s="4" customFormat="1" ht="15" customHeight="1">
      <c r="A1992" s="28" t="s">
        <v>2682</v>
      </c>
      <c r="B1992" s="29">
        <v>3278.81</v>
      </c>
      <c r="C1992" s="30" t="s">
        <v>2961</v>
      </c>
      <c r="D1992" s="2">
        <v>4950574836</v>
      </c>
      <c r="E1992" s="2" t="s">
        <v>38</v>
      </c>
      <c r="F1992" s="2" t="s">
        <v>2962</v>
      </c>
      <c r="G1992" s="28" t="s">
        <v>5</v>
      </c>
      <c r="H1992" s="2" t="s">
        <v>20</v>
      </c>
      <c r="I1992" s="2">
        <v>6</v>
      </c>
      <c r="J1992" s="2" t="s">
        <v>2963</v>
      </c>
      <c r="K1992" s="2">
        <v>7756.8</v>
      </c>
      <c r="L1992" s="35">
        <f t="shared" si="104"/>
        <v>25433073.408</v>
      </c>
      <c r="M1992" s="36">
        <v>3840</v>
      </c>
      <c r="N1992" s="40">
        <v>132988.93017693801</v>
      </c>
      <c r="O1992" s="40">
        <v>129877.13819378401</v>
      </c>
      <c r="P1992" s="40">
        <v>0</v>
      </c>
      <c r="Q1992" s="40">
        <v>39941.885468399501</v>
      </c>
      <c r="R1992" s="40">
        <f>149921.938126979+68029</f>
        <v>217950.93812697899</v>
      </c>
      <c r="S1992" s="40">
        <v>20088.8314104126</v>
      </c>
      <c r="T1992" s="40"/>
      <c r="U1992" s="40">
        <v>172238.89983834201</v>
      </c>
      <c r="V1992" s="40">
        <v>0</v>
      </c>
      <c r="W1992" s="45">
        <f t="shared" si="105"/>
        <v>713086.62321485509</v>
      </c>
      <c r="X1992" s="46">
        <f t="shared" si="106"/>
        <v>2.8037768451159857</v>
      </c>
    </row>
    <row r="1993" spans="1:24" s="4" customFormat="1" ht="15" customHeight="1">
      <c r="A1993" s="28" t="s">
        <v>2682</v>
      </c>
      <c r="B1993" s="29">
        <v>3278.81</v>
      </c>
      <c r="C1993" s="30" t="s">
        <v>2961</v>
      </c>
      <c r="D1993" s="2">
        <v>4950574847</v>
      </c>
      <c r="E1993" s="2" t="s">
        <v>38</v>
      </c>
      <c r="F1993" s="2" t="s">
        <v>2962</v>
      </c>
      <c r="G1993" s="28" t="s">
        <v>5</v>
      </c>
      <c r="H1993" s="2" t="s">
        <v>20</v>
      </c>
      <c r="I1993" s="2">
        <v>6</v>
      </c>
      <c r="J1993" s="2" t="s">
        <v>2963</v>
      </c>
      <c r="K1993" s="2">
        <v>4085</v>
      </c>
      <c r="L1993" s="35">
        <f t="shared" si="104"/>
        <v>13393938.85</v>
      </c>
      <c r="M1993" s="36">
        <v>1900</v>
      </c>
      <c r="N1993" s="40">
        <v>65801.814410464198</v>
      </c>
      <c r="O1993" s="40">
        <v>64262.125668799301</v>
      </c>
      <c r="P1993" s="40">
        <v>0</v>
      </c>
      <c r="Q1993" s="40">
        <v>19762.912080718499</v>
      </c>
      <c r="R1993" s="40">
        <f>74180.1256357449+33660</f>
        <v>107840.1256357449</v>
      </c>
      <c r="S1993" s="40">
        <v>9939.7863749437092</v>
      </c>
      <c r="T1993" s="40"/>
      <c r="U1993" s="40">
        <v>85222.372315846194</v>
      </c>
      <c r="V1993" s="40">
        <v>0</v>
      </c>
      <c r="W1993" s="45">
        <f t="shared" si="105"/>
        <v>352829.13648651686</v>
      </c>
      <c r="X1993" s="46">
        <f t="shared" si="106"/>
        <v>2.6342447911542979</v>
      </c>
    </row>
    <row r="1994" spans="1:24" s="4" customFormat="1" ht="15" customHeight="1">
      <c r="A1994" s="28" t="s">
        <v>2682</v>
      </c>
      <c r="B1994" s="29">
        <v>3278.81</v>
      </c>
      <c r="C1994" s="30" t="s">
        <v>2961</v>
      </c>
      <c r="D1994" s="2">
        <v>4950576058</v>
      </c>
      <c r="E1994" s="2" t="s">
        <v>38</v>
      </c>
      <c r="F1994" s="2" t="s">
        <v>2962</v>
      </c>
      <c r="G1994" s="28" t="s">
        <v>5</v>
      </c>
      <c r="H1994" s="2" t="s">
        <v>20</v>
      </c>
      <c r="I1994" s="2">
        <v>6</v>
      </c>
      <c r="J1994" s="2" t="s">
        <v>2963</v>
      </c>
      <c r="K1994" s="2">
        <v>5824</v>
      </c>
      <c r="L1994" s="35">
        <f t="shared" si="104"/>
        <v>19095789.440000001</v>
      </c>
      <c r="M1994" s="36">
        <v>2800</v>
      </c>
      <c r="N1994" s="40">
        <v>96971.094920684103</v>
      </c>
      <c r="O1994" s="40">
        <v>94702.079932967303</v>
      </c>
      <c r="P1994" s="40">
        <v>0</v>
      </c>
      <c r="Q1994" s="40">
        <v>29124.291487374601</v>
      </c>
      <c r="R1994" s="40">
        <f>109318.079884256+49605</f>
        <v>158923.079884256</v>
      </c>
      <c r="S1994" s="40">
        <v>14648.1062367592</v>
      </c>
      <c r="T1994" s="40"/>
      <c r="U1994" s="40">
        <v>125590.864465458</v>
      </c>
      <c r="V1994" s="40">
        <v>0</v>
      </c>
      <c r="W1994" s="45">
        <f t="shared" si="105"/>
        <v>519959.51692749921</v>
      </c>
      <c r="X1994" s="46">
        <f t="shared" si="106"/>
        <v>2.7229013943688476</v>
      </c>
    </row>
    <row r="1995" spans="1:24" s="4" customFormat="1" ht="15" customHeight="1">
      <c r="A1995" s="28" t="s">
        <v>2682</v>
      </c>
      <c r="B1995" s="29">
        <v>3278.81</v>
      </c>
      <c r="C1995" s="30" t="s">
        <v>2961</v>
      </c>
      <c r="D1995" s="2">
        <v>4950576067</v>
      </c>
      <c r="E1995" s="2" t="s">
        <v>38</v>
      </c>
      <c r="F1995" s="2" t="s">
        <v>2962</v>
      </c>
      <c r="G1995" s="28" t="s">
        <v>5</v>
      </c>
      <c r="H1995" s="2" t="s">
        <v>20</v>
      </c>
      <c r="I1995" s="2">
        <v>6</v>
      </c>
      <c r="J1995" s="2" t="s">
        <v>2963</v>
      </c>
      <c r="K1995" s="2">
        <v>946</v>
      </c>
      <c r="L1995" s="35">
        <f t="shared" si="104"/>
        <v>3101754.26</v>
      </c>
      <c r="M1995" s="36">
        <v>440</v>
      </c>
      <c r="N1995" s="40">
        <v>15238.3149161075</v>
      </c>
      <c r="O1995" s="40">
        <v>14881.755418037699</v>
      </c>
      <c r="P1995" s="40">
        <v>0</v>
      </c>
      <c r="Q1995" s="40">
        <v>4576.6743765874398</v>
      </c>
      <c r="R1995" s="40">
        <f>17178.555410383+7795</f>
        <v>24973.555410383</v>
      </c>
      <c r="S1995" s="40">
        <v>2301.8452657764401</v>
      </c>
      <c r="T1995" s="40"/>
      <c r="U1995" s="40">
        <v>19735.7072731433</v>
      </c>
      <c r="V1995" s="40">
        <v>0</v>
      </c>
      <c r="W1995" s="45">
        <f t="shared" si="105"/>
        <v>81707.85266003538</v>
      </c>
      <c r="X1995" s="46">
        <f t="shared" si="106"/>
        <v>2.6342464879869425</v>
      </c>
    </row>
    <row r="1996" spans="1:24" s="4" customFormat="1" ht="15" customHeight="1">
      <c r="A1996" s="28" t="s">
        <v>2682</v>
      </c>
      <c r="B1996" s="29">
        <v>3278.81</v>
      </c>
      <c r="C1996" s="30" t="s">
        <v>2961</v>
      </c>
      <c r="D1996" s="2">
        <v>4950576073</v>
      </c>
      <c r="E1996" s="2" t="s">
        <v>38</v>
      </c>
      <c r="F1996" s="2" t="s">
        <v>2962</v>
      </c>
      <c r="G1996" s="28" t="s">
        <v>5</v>
      </c>
      <c r="H1996" s="2" t="s">
        <v>20</v>
      </c>
      <c r="I1996" s="2">
        <v>6</v>
      </c>
      <c r="J1996" s="2" t="s">
        <v>2963</v>
      </c>
      <c r="K1996" s="2">
        <v>1614.6</v>
      </c>
      <c r="L1996" s="35">
        <f t="shared" si="104"/>
        <v>5293966.6259999992</v>
      </c>
      <c r="M1996" s="36">
        <v>780</v>
      </c>
      <c r="N1996" s="40">
        <v>27013.376442190602</v>
      </c>
      <c r="O1996" s="40">
        <v>26381.293695612301</v>
      </c>
      <c r="P1996" s="40">
        <v>0</v>
      </c>
      <c r="Q1996" s="40">
        <v>8113.1954857686496</v>
      </c>
      <c r="R1996" s="40">
        <f>30452.8936820427+13818</f>
        <v>44270.893682042704</v>
      </c>
      <c r="S1996" s="40">
        <v>4080.5438802400499</v>
      </c>
      <c r="T1996" s="40"/>
      <c r="U1996" s="40">
        <v>34986.026529663199</v>
      </c>
      <c r="V1996" s="40">
        <v>0</v>
      </c>
      <c r="W1996" s="45">
        <f t="shared" si="105"/>
        <v>144845.3297155175</v>
      </c>
      <c r="X1996" s="46">
        <f t="shared" si="106"/>
        <v>2.7360453880488347</v>
      </c>
    </row>
    <row r="1997" spans="1:24" s="4" customFormat="1" ht="15" customHeight="1">
      <c r="A1997" s="28" t="s">
        <v>2682</v>
      </c>
      <c r="B1997" s="29">
        <v>3278.81</v>
      </c>
      <c r="C1997" s="30" t="s">
        <v>2961</v>
      </c>
      <c r="D1997" s="2">
        <v>4950576074</v>
      </c>
      <c r="E1997" s="2" t="s">
        <v>38</v>
      </c>
      <c r="F1997" s="2" t="s">
        <v>2962</v>
      </c>
      <c r="G1997" s="28" t="s">
        <v>5</v>
      </c>
      <c r="H1997" s="2" t="s">
        <v>20</v>
      </c>
      <c r="I1997" s="2">
        <v>6</v>
      </c>
      <c r="J1997" s="2" t="s">
        <v>2963</v>
      </c>
      <c r="K1997" s="2">
        <v>328.8</v>
      </c>
      <c r="L1997" s="35">
        <f t="shared" si="104"/>
        <v>1078072.7280000001</v>
      </c>
      <c r="M1997" s="36">
        <v>120</v>
      </c>
      <c r="N1997" s="40">
        <v>4155.9040680293201</v>
      </c>
      <c r="O1997" s="40">
        <v>4058.6605685557402</v>
      </c>
      <c r="P1997" s="40">
        <v>0</v>
      </c>
      <c r="Q1997" s="40">
        <v>1248.1839208874801</v>
      </c>
      <c r="R1997" s="40">
        <f>4685.0605664681+2126</f>
        <v>6811.0605664680998</v>
      </c>
      <c r="S1997" s="40">
        <v>627.77598157539296</v>
      </c>
      <c r="T1997" s="40"/>
      <c r="U1997" s="40">
        <v>5382.4656199481797</v>
      </c>
      <c r="V1997" s="40">
        <v>0</v>
      </c>
      <c r="W1997" s="45">
        <f t="shared" si="105"/>
        <v>22284.050725464214</v>
      </c>
      <c r="X1997" s="46">
        <f t="shared" si="106"/>
        <v>2.0670266621812003</v>
      </c>
    </row>
    <row r="1998" spans="1:24" s="4" customFormat="1" ht="15" customHeight="1">
      <c r="A1998" s="28" t="s">
        <v>2682</v>
      </c>
      <c r="B1998" s="29">
        <v>3278.81</v>
      </c>
      <c r="C1998" s="30" t="s">
        <v>2961</v>
      </c>
      <c r="D1998" s="2">
        <v>4950576078</v>
      </c>
      <c r="E1998" s="2" t="s">
        <v>38</v>
      </c>
      <c r="F1998" s="2" t="s">
        <v>2962</v>
      </c>
      <c r="G1998" s="28" t="s">
        <v>5</v>
      </c>
      <c r="H1998" s="2" t="s">
        <v>20</v>
      </c>
      <c r="I1998" s="2">
        <v>6</v>
      </c>
      <c r="J1998" s="2" t="s">
        <v>2963</v>
      </c>
      <c r="K1998" s="2">
        <v>2701.93</v>
      </c>
      <c r="L1998" s="35">
        <f t="shared" si="104"/>
        <v>8859115.1032999996</v>
      </c>
      <c r="M1998" s="36">
        <v>1460.5</v>
      </c>
      <c r="N1998" s="40">
        <v>50580.815761306803</v>
      </c>
      <c r="O1998" s="40">
        <v>49397.281336463901</v>
      </c>
      <c r="P1998" s="40">
        <v>0</v>
      </c>
      <c r="Q1998" s="40">
        <v>15191.4384704681</v>
      </c>
      <c r="R1998" s="40">
        <f>57021.0913110555+25874</f>
        <v>82895.091311055497</v>
      </c>
      <c r="S1998" s="40">
        <v>7640.55684242384</v>
      </c>
      <c r="T1998" s="40"/>
      <c r="U1998" s="40">
        <v>65509.091982785998</v>
      </c>
      <c r="V1998" s="40">
        <v>0</v>
      </c>
      <c r="W1998" s="45">
        <f t="shared" si="105"/>
        <v>271214.27570450411</v>
      </c>
      <c r="X1998" s="46">
        <f t="shared" si="106"/>
        <v>3.0614149668681629</v>
      </c>
    </row>
    <row r="1999" spans="1:24" s="4" customFormat="1" ht="15" customHeight="1">
      <c r="A1999" s="28" t="s">
        <v>2682</v>
      </c>
      <c r="B1999" s="29">
        <v>3278.81</v>
      </c>
      <c r="C1999" s="30" t="s">
        <v>2961</v>
      </c>
      <c r="D1999" s="2">
        <v>4950576085</v>
      </c>
      <c r="E1999" s="2" t="s">
        <v>38</v>
      </c>
      <c r="F1999" s="2" t="s">
        <v>2962</v>
      </c>
      <c r="G1999" s="28" t="s">
        <v>5</v>
      </c>
      <c r="H1999" s="2" t="s">
        <v>20</v>
      </c>
      <c r="I1999" s="2">
        <v>6</v>
      </c>
      <c r="J1999" s="2" t="s">
        <v>2963</v>
      </c>
      <c r="K1999" s="2">
        <v>1908.9</v>
      </c>
      <c r="L1999" s="35">
        <f t="shared" si="104"/>
        <v>6258920.409</v>
      </c>
      <c r="M1999" s="36">
        <v>945</v>
      </c>
      <c r="N1999" s="40">
        <v>32727.744535730901</v>
      </c>
      <c r="O1999" s="40">
        <v>31961.951977376499</v>
      </c>
      <c r="P1999" s="40">
        <v>0</v>
      </c>
      <c r="Q1999" s="40">
        <v>9829.4483769889393</v>
      </c>
      <c r="R1999" s="40">
        <f>36894.8519609363+16742</f>
        <v>53636.851960936299</v>
      </c>
      <c r="S1999" s="40">
        <v>4943.7358549062201</v>
      </c>
      <c r="T1999" s="40"/>
      <c r="U1999" s="40">
        <v>42386.916757091902</v>
      </c>
      <c r="V1999" s="40">
        <v>0</v>
      </c>
      <c r="W1999" s="45">
        <f t="shared" si="105"/>
        <v>175486.64946303077</v>
      </c>
      <c r="X1999" s="46">
        <f t="shared" si="106"/>
        <v>2.8037846464813669</v>
      </c>
    </row>
    <row r="2000" spans="1:24" s="4" customFormat="1" ht="15" customHeight="1">
      <c r="A2000" s="28" t="s">
        <v>2682</v>
      </c>
      <c r="B2000" s="29">
        <v>3278.81</v>
      </c>
      <c r="C2000" s="30" t="s">
        <v>2961</v>
      </c>
      <c r="D2000" s="2">
        <v>4950576055</v>
      </c>
      <c r="E2000" s="2" t="s">
        <v>38</v>
      </c>
      <c r="F2000" s="2" t="s">
        <v>2962</v>
      </c>
      <c r="G2000" s="28" t="s">
        <v>5</v>
      </c>
      <c r="H2000" s="2" t="s">
        <v>20</v>
      </c>
      <c r="I2000" s="2">
        <v>6</v>
      </c>
      <c r="J2000" s="2" t="s">
        <v>2963</v>
      </c>
      <c r="K2000" s="2">
        <v>23826</v>
      </c>
      <c r="L2000" s="35">
        <f t="shared" si="104"/>
        <v>78120927.060000002</v>
      </c>
      <c r="M2000" s="36">
        <v>11400</v>
      </c>
      <c r="N2000" s="40">
        <v>756720.865720339</v>
      </c>
      <c r="O2000" s="40">
        <v>385572.75401279598</v>
      </c>
      <c r="P2000" s="40">
        <v>0</v>
      </c>
      <c r="Q2000" s="40">
        <v>118577.472484311</v>
      </c>
      <c r="R2000" s="40">
        <v>1240120.4448110701</v>
      </c>
      <c r="S2000" s="40">
        <v>114307.54331185301</v>
      </c>
      <c r="T2000" s="40"/>
      <c r="U2000" s="40">
        <v>980057.28163223097</v>
      </c>
      <c r="V2000" s="40">
        <v>0</v>
      </c>
      <c r="W2000" s="45">
        <f t="shared" si="105"/>
        <v>3595356.3619726002</v>
      </c>
      <c r="X2000" s="46">
        <f t="shared" si="106"/>
        <v>4.6022960777349997</v>
      </c>
    </row>
    <row r="2001" spans="1:24" s="4" customFormat="1" ht="15" customHeight="1">
      <c r="A2001" s="28" t="s">
        <v>2682</v>
      </c>
      <c r="B2001" s="29">
        <v>3278.81</v>
      </c>
      <c r="C2001" s="30" t="s">
        <v>2961</v>
      </c>
      <c r="D2001" s="2">
        <v>4950574829</v>
      </c>
      <c r="E2001" s="2" t="s">
        <v>38</v>
      </c>
      <c r="F2001" s="2" t="s">
        <v>2962</v>
      </c>
      <c r="G2001" s="28" t="s">
        <v>5</v>
      </c>
      <c r="H2001" s="2" t="s">
        <v>20</v>
      </c>
      <c r="I2001" s="2">
        <v>6</v>
      </c>
      <c r="J2001" s="2" t="s">
        <v>2963</v>
      </c>
      <c r="K2001" s="2">
        <f>40512+30384</f>
        <v>70896</v>
      </c>
      <c r="L2001" s="35">
        <f t="shared" si="104"/>
        <v>232454513.75999999</v>
      </c>
      <c r="M2001" s="36">
        <f>19200+14400</f>
        <v>33600</v>
      </c>
      <c r="N2001" s="40">
        <v>1163653.1390482101</v>
      </c>
      <c r="O2001" s="40">
        <v>1136424.9591956099</v>
      </c>
      <c r="P2001" s="40">
        <v>0</v>
      </c>
      <c r="Q2001" s="40">
        <v>349491.49784849602</v>
      </c>
      <c r="R2001" s="40">
        <v>1907073.9586110699</v>
      </c>
      <c r="S2001" s="40">
        <v>175777.27484110999</v>
      </c>
      <c r="T2001" s="40"/>
      <c r="U2001" s="40">
        <v>1507090.37358549</v>
      </c>
      <c r="V2001" s="40">
        <v>0</v>
      </c>
      <c r="W2001" s="45">
        <f t="shared" si="105"/>
        <v>6239511.2031299863</v>
      </c>
      <c r="X2001" s="46">
        <f t="shared" si="106"/>
        <v>2.6841858659591495</v>
      </c>
    </row>
    <row r="2002" spans="1:24" s="4" customFormat="1" ht="15" customHeight="1">
      <c r="A2002" s="28" t="s">
        <v>2682</v>
      </c>
      <c r="B2002" s="29">
        <v>3278.81</v>
      </c>
      <c r="C2002" s="30" t="s">
        <v>2964</v>
      </c>
      <c r="D2002" s="2">
        <v>4950722790</v>
      </c>
      <c r="E2002" s="2" t="s">
        <v>14</v>
      </c>
      <c r="F2002" s="2" t="s">
        <v>2965</v>
      </c>
      <c r="G2002" s="28" t="s">
        <v>13</v>
      </c>
      <c r="H2002" s="2" t="s">
        <v>23</v>
      </c>
      <c r="I2002" s="2">
        <v>1</v>
      </c>
      <c r="J2002" s="2"/>
      <c r="K2002" s="2">
        <f>3696.48+1219</f>
        <v>4915.4799999999996</v>
      </c>
      <c r="L2002" s="35">
        <f t="shared" si="104"/>
        <v>16116924.978799999</v>
      </c>
      <c r="M2002" s="36">
        <v>816</v>
      </c>
      <c r="N2002" s="40">
        <v>1035386</v>
      </c>
      <c r="O2002" s="40">
        <v>0</v>
      </c>
      <c r="P2002" s="40">
        <v>0</v>
      </c>
      <c r="Q2002" s="40">
        <v>0</v>
      </c>
      <c r="R2002" s="40">
        <v>19747</v>
      </c>
      <c r="S2002" s="40">
        <v>354356</v>
      </c>
      <c r="T2002" s="40">
        <v>30000</v>
      </c>
      <c r="U2002" s="40">
        <v>205989.836065574</v>
      </c>
      <c r="V2002" s="40">
        <v>0</v>
      </c>
      <c r="W2002" s="45">
        <f t="shared" si="105"/>
        <v>1645478.8360655741</v>
      </c>
      <c r="X2002" s="46">
        <f t="shared" si="106"/>
        <v>10.209632657780663</v>
      </c>
    </row>
    <row r="2003" spans="1:24" s="4" customFormat="1" ht="15" customHeight="1">
      <c r="A2003" s="28" t="s">
        <v>2682</v>
      </c>
      <c r="B2003" s="29">
        <v>3278.81</v>
      </c>
      <c r="C2003" s="30" t="s">
        <v>2966</v>
      </c>
      <c r="D2003" s="2">
        <v>4950130443</v>
      </c>
      <c r="E2003" s="2" t="s">
        <v>21</v>
      </c>
      <c r="F2003" s="2" t="s">
        <v>2967</v>
      </c>
      <c r="G2003" s="28" t="s">
        <v>9</v>
      </c>
      <c r="H2003" s="2" t="s">
        <v>23</v>
      </c>
      <c r="I2003" s="2">
        <v>1</v>
      </c>
      <c r="J2003" s="2"/>
      <c r="K2003" s="2">
        <v>4088.8</v>
      </c>
      <c r="L2003" s="35">
        <f t="shared" si="104"/>
        <v>13406398.328</v>
      </c>
      <c r="M2003" s="36">
        <v>760</v>
      </c>
      <c r="N2003" s="40">
        <v>259968</v>
      </c>
      <c r="O2003" s="40">
        <v>555</v>
      </c>
      <c r="P2003" s="40">
        <v>8649</v>
      </c>
      <c r="Q2003" s="40">
        <v>13549</v>
      </c>
      <c r="R2003" s="40">
        <v>96724</v>
      </c>
      <c r="S2003" s="40">
        <v>354356</v>
      </c>
      <c r="T2003" s="40"/>
      <c r="U2003" s="40">
        <v>252200</v>
      </c>
      <c r="V2003" s="40">
        <v>0</v>
      </c>
      <c r="W2003" s="45">
        <f t="shared" si="105"/>
        <v>986001</v>
      </c>
      <c r="X2003" s="46">
        <f t="shared" si="106"/>
        <v>7.354704640848114</v>
      </c>
    </row>
    <row r="2004" spans="1:24" s="4" customFormat="1" ht="15" customHeight="1">
      <c r="A2004" s="28" t="s">
        <v>2682</v>
      </c>
      <c r="B2004" s="29">
        <v>3278.81</v>
      </c>
      <c r="C2004" s="30" t="s">
        <v>2968</v>
      </c>
      <c r="D2004" s="2">
        <v>4950443827</v>
      </c>
      <c r="E2004" s="2" t="s">
        <v>14</v>
      </c>
      <c r="F2004" s="2" t="s">
        <v>2969</v>
      </c>
      <c r="G2004" s="28" t="s">
        <v>5</v>
      </c>
      <c r="H2004" s="2" t="s">
        <v>20</v>
      </c>
      <c r="I2004" s="2">
        <v>1</v>
      </c>
      <c r="J2004" s="2" t="s">
        <v>2970</v>
      </c>
      <c r="K2004" s="2">
        <v>21242</v>
      </c>
      <c r="L2004" s="35">
        <f t="shared" si="104"/>
        <v>69648482.019999996</v>
      </c>
      <c r="M2004" s="36">
        <v>8600</v>
      </c>
      <c r="N2004" s="40">
        <v>489339</v>
      </c>
      <c r="O2004" s="40">
        <v>322920</v>
      </c>
      <c r="P2004" s="40">
        <v>0</v>
      </c>
      <c r="Q2004" s="40">
        <v>110000</v>
      </c>
      <c r="R2004" s="40">
        <v>655892</v>
      </c>
      <c r="S2004" s="40">
        <v>354356</v>
      </c>
      <c r="T2004" s="40">
        <v>30000</v>
      </c>
      <c r="U2004" s="40">
        <v>3501700</v>
      </c>
      <c r="V2004" s="40">
        <v>0</v>
      </c>
      <c r="W2004" s="45">
        <f t="shared" si="105"/>
        <v>5464207</v>
      </c>
      <c r="X2004" s="46">
        <f t="shared" si="106"/>
        <v>7.8454071668509862</v>
      </c>
    </row>
    <row r="2005" spans="1:24" s="4" customFormat="1" ht="15" customHeight="1">
      <c r="A2005" s="28" t="s">
        <v>2682</v>
      </c>
      <c r="B2005" s="29">
        <v>3278.81</v>
      </c>
      <c r="C2005" s="30" t="s">
        <v>2971</v>
      </c>
      <c r="D2005" s="2" t="s">
        <v>2972</v>
      </c>
      <c r="E2005" s="2" t="s">
        <v>36</v>
      </c>
      <c r="F2005" s="78" t="s">
        <v>2973</v>
      </c>
      <c r="G2005" s="28" t="s">
        <v>5</v>
      </c>
      <c r="H2005" s="2" t="s">
        <v>20</v>
      </c>
      <c r="I2005" s="2">
        <v>2</v>
      </c>
      <c r="J2005" s="2" t="s">
        <v>2974</v>
      </c>
      <c r="K2005" s="2">
        <v>63180</v>
      </c>
      <c r="L2005" s="35">
        <f t="shared" si="104"/>
        <v>207155215.79999998</v>
      </c>
      <c r="M2005" s="36">
        <v>39000</v>
      </c>
      <c r="N2005" s="40">
        <v>670893</v>
      </c>
      <c r="O2005" s="40">
        <v>645840</v>
      </c>
      <c r="P2005" s="40">
        <v>0</v>
      </c>
      <c r="Q2005" s="40">
        <v>198619</v>
      </c>
      <c r="R2005" s="40">
        <v>1315738</v>
      </c>
      <c r="S2005" s="40">
        <v>354356</v>
      </c>
      <c r="T2005" s="40"/>
      <c r="U2005" s="40">
        <v>1038600</v>
      </c>
      <c r="V2005" s="40">
        <v>0</v>
      </c>
      <c r="W2005" s="45">
        <f t="shared" si="105"/>
        <v>4224046</v>
      </c>
      <c r="X2005" s="46">
        <f t="shared" si="106"/>
        <v>2.0390729645340651</v>
      </c>
    </row>
    <row r="2006" spans="1:24" s="4" customFormat="1" ht="15" customHeight="1">
      <c r="A2006" s="28" t="s">
        <v>2682</v>
      </c>
      <c r="B2006" s="29">
        <v>3278.81</v>
      </c>
      <c r="C2006" s="30" t="s">
        <v>2975</v>
      </c>
      <c r="D2006" s="2">
        <v>4950443837</v>
      </c>
      <c r="E2006" s="2" t="s">
        <v>14</v>
      </c>
      <c r="F2006" s="2" t="s">
        <v>2976</v>
      </c>
      <c r="G2006" s="28" t="s">
        <v>5</v>
      </c>
      <c r="H2006" s="2" t="s">
        <v>17</v>
      </c>
      <c r="I2006" s="2">
        <v>1</v>
      </c>
      <c r="J2006" s="2" t="s">
        <v>2977</v>
      </c>
      <c r="K2006" s="2">
        <v>4248</v>
      </c>
      <c r="L2006" s="35">
        <f t="shared" si="104"/>
        <v>13928384.879999999</v>
      </c>
      <c r="M2006" s="36">
        <v>1200</v>
      </c>
      <c r="N2006" s="40">
        <v>18905.2482269504</v>
      </c>
      <c r="O2006" s="40">
        <v>24035.8581560284</v>
      </c>
      <c r="P2006" s="40">
        <v>0</v>
      </c>
      <c r="Q2006" s="40">
        <v>6241.1347517730501</v>
      </c>
      <c r="R2006" s="40">
        <f>39407.4893617021+15872</f>
        <v>55279.489361702101</v>
      </c>
      <c r="S2006" s="40">
        <v>20105.304964538998</v>
      </c>
      <c r="T2006" s="40">
        <v>30000</v>
      </c>
      <c r="U2006" s="40">
        <v>358831.20567375899</v>
      </c>
      <c r="V2006" s="40">
        <v>0</v>
      </c>
      <c r="W2006" s="45">
        <f t="shared" si="105"/>
        <v>513398.24113475194</v>
      </c>
      <c r="X2006" s="46">
        <f t="shared" si="106"/>
        <v>3.685985457452063</v>
      </c>
    </row>
    <row r="2007" spans="1:24" s="4" customFormat="1" ht="15" customHeight="1">
      <c r="A2007" s="28" t="s">
        <v>2682</v>
      </c>
      <c r="B2007" s="29">
        <v>3278.81</v>
      </c>
      <c r="C2007" s="30" t="s">
        <v>2975</v>
      </c>
      <c r="D2007" s="2">
        <v>4950895378</v>
      </c>
      <c r="E2007" s="2" t="s">
        <v>14</v>
      </c>
      <c r="F2007" s="2" t="s">
        <v>2976</v>
      </c>
      <c r="G2007" s="28" t="s">
        <v>5</v>
      </c>
      <c r="H2007" s="2" t="s">
        <v>17</v>
      </c>
      <c r="I2007" s="2">
        <v>1</v>
      </c>
      <c r="J2007" s="2" t="s">
        <v>2977</v>
      </c>
      <c r="K2007" s="2">
        <v>19530</v>
      </c>
      <c r="L2007" s="35">
        <f t="shared" si="104"/>
        <v>64035159.299999997</v>
      </c>
      <c r="M2007" s="36">
        <f>1350+7650</f>
        <v>9000</v>
      </c>
      <c r="N2007" s="40">
        <v>141789.36170212799</v>
      </c>
      <c r="O2007" s="40">
        <v>180268.93617021301</v>
      </c>
      <c r="P2007" s="40">
        <v>0</v>
      </c>
      <c r="Q2007" s="40">
        <v>46808.510638297899</v>
      </c>
      <c r="R2007" s="40">
        <v>414594.17021276598</v>
      </c>
      <c r="S2007" s="40">
        <v>150789.787234043</v>
      </c>
      <c r="T2007" s="40">
        <v>30000</v>
      </c>
      <c r="U2007" s="40">
        <v>2691234.0425531901</v>
      </c>
      <c r="V2007" s="40">
        <v>0</v>
      </c>
      <c r="W2007" s="45">
        <f t="shared" si="105"/>
        <v>3655484.8085106378</v>
      </c>
      <c r="X2007" s="46">
        <f t="shared" si="106"/>
        <v>5.7085589361696769</v>
      </c>
    </row>
    <row r="2008" spans="1:24" s="4" customFormat="1" ht="15" customHeight="1">
      <c r="A2008" s="28" t="s">
        <v>2682</v>
      </c>
      <c r="B2008" s="29">
        <v>3278.81</v>
      </c>
      <c r="C2008" s="30" t="s">
        <v>2975</v>
      </c>
      <c r="D2008" s="2">
        <v>4950978863</v>
      </c>
      <c r="E2008" s="2" t="s">
        <v>14</v>
      </c>
      <c r="F2008" s="2" t="s">
        <v>2976</v>
      </c>
      <c r="G2008" s="28" t="s">
        <v>5</v>
      </c>
      <c r="H2008" s="2" t="s">
        <v>17</v>
      </c>
      <c r="I2008" s="2">
        <v>1</v>
      </c>
      <c r="J2008" s="2" t="s">
        <v>2977</v>
      </c>
      <c r="K2008" s="2">
        <v>3024</v>
      </c>
      <c r="L2008" s="35">
        <f t="shared" si="104"/>
        <v>9915121.4399999995</v>
      </c>
      <c r="M2008" s="36">
        <v>1260</v>
      </c>
      <c r="N2008" s="40">
        <v>19850.510638297899</v>
      </c>
      <c r="O2008" s="40">
        <v>25237.651063829799</v>
      </c>
      <c r="P2008" s="40">
        <v>0</v>
      </c>
      <c r="Q2008" s="40">
        <v>6553.1914893617004</v>
      </c>
      <c r="R2008" s="40">
        <v>58042.863829787202</v>
      </c>
      <c r="S2008" s="40">
        <v>21110.570212766001</v>
      </c>
      <c r="T2008" s="40">
        <v>30000</v>
      </c>
      <c r="U2008" s="40">
        <v>376772.765957447</v>
      </c>
      <c r="V2008" s="40">
        <v>0</v>
      </c>
      <c r="W2008" s="45">
        <f t="shared" si="105"/>
        <v>537567.55319148954</v>
      </c>
      <c r="X2008" s="46">
        <f t="shared" si="106"/>
        <v>5.4216940906322328</v>
      </c>
    </row>
    <row r="2009" spans="1:24" s="4" customFormat="1" ht="15" customHeight="1">
      <c r="A2009" s="28" t="s">
        <v>2682</v>
      </c>
      <c r="B2009" s="29">
        <v>3278.81</v>
      </c>
      <c r="C2009" s="30" t="s">
        <v>2975</v>
      </c>
      <c r="D2009" s="2">
        <v>4951213101</v>
      </c>
      <c r="E2009" s="2" t="s">
        <v>24</v>
      </c>
      <c r="F2009" s="2" t="s">
        <v>2976</v>
      </c>
      <c r="G2009" s="28" t="s">
        <v>5</v>
      </c>
      <c r="H2009" s="2" t="s">
        <v>17</v>
      </c>
      <c r="I2009" s="2">
        <v>1</v>
      </c>
      <c r="J2009" s="2" t="s">
        <v>2977</v>
      </c>
      <c r="K2009" s="2">
        <v>2596</v>
      </c>
      <c r="L2009" s="35">
        <f t="shared" si="104"/>
        <v>8511790.7599999998</v>
      </c>
      <c r="M2009" s="36">
        <v>880</v>
      </c>
      <c r="N2009" s="40">
        <v>13863.848699763599</v>
      </c>
      <c r="O2009" s="40">
        <v>17626.2959810875</v>
      </c>
      <c r="P2009" s="40">
        <v>0</v>
      </c>
      <c r="Q2009" s="40">
        <v>4576.8321513002402</v>
      </c>
      <c r="R2009" s="40">
        <f>28898.8255319149+11639</f>
        <v>40537.825531914903</v>
      </c>
      <c r="S2009" s="40">
        <v>14743.8903073286</v>
      </c>
      <c r="T2009" s="40"/>
      <c r="U2009" s="40">
        <v>263142.88416075602</v>
      </c>
      <c r="V2009" s="40">
        <v>0</v>
      </c>
      <c r="W2009" s="45">
        <f t="shared" si="105"/>
        <v>354491.57683215087</v>
      </c>
      <c r="X2009" s="46">
        <f t="shared" si="106"/>
        <v>4.1647120662086259</v>
      </c>
    </row>
    <row r="2010" spans="1:24" s="4" customFormat="1" ht="15" customHeight="1">
      <c r="A2010" s="28" t="s">
        <v>2682</v>
      </c>
      <c r="B2010" s="29">
        <v>3278.81</v>
      </c>
      <c r="C2010" s="30" t="s">
        <v>2975</v>
      </c>
      <c r="D2010" s="2">
        <v>4950443830</v>
      </c>
      <c r="E2010" s="2" t="s">
        <v>14</v>
      </c>
      <c r="F2010" s="2" t="s">
        <v>2976</v>
      </c>
      <c r="G2010" s="28" t="s">
        <v>5</v>
      </c>
      <c r="H2010" s="2" t="s">
        <v>17</v>
      </c>
      <c r="I2010" s="2">
        <v>1</v>
      </c>
      <c r="J2010" s="2" t="s">
        <v>2977</v>
      </c>
      <c r="K2010" s="2">
        <v>15456</v>
      </c>
      <c r="L2010" s="35">
        <f t="shared" si="104"/>
        <v>50677287.359999999</v>
      </c>
      <c r="M2010" s="36">
        <v>2800</v>
      </c>
      <c r="N2010" s="40">
        <v>44112.2458628842</v>
      </c>
      <c r="O2010" s="40">
        <v>56083.669030732897</v>
      </c>
      <c r="P2010" s="40">
        <v>0</v>
      </c>
      <c r="Q2010" s="40">
        <v>14562.6477541371</v>
      </c>
      <c r="R2010" s="40">
        <v>128984.808510638</v>
      </c>
      <c r="S2010" s="40">
        <v>46912.378250590999</v>
      </c>
      <c r="T2010" s="40">
        <v>30000</v>
      </c>
      <c r="U2010" s="40">
        <v>837272.81323877105</v>
      </c>
      <c r="V2010" s="40">
        <v>0</v>
      </c>
      <c r="W2010" s="45">
        <f t="shared" si="105"/>
        <v>1157928.5626477543</v>
      </c>
      <c r="X2010" s="46">
        <f t="shared" si="106"/>
        <v>2.284906361349003</v>
      </c>
    </row>
    <row r="2011" spans="1:24" s="4" customFormat="1" ht="15" customHeight="1">
      <c r="A2011" s="28" t="s">
        <v>2682</v>
      </c>
      <c r="B2011" s="29">
        <v>3278.81</v>
      </c>
      <c r="C2011" s="30" t="s">
        <v>2975</v>
      </c>
      <c r="D2011" s="2">
        <v>4950812436</v>
      </c>
      <c r="E2011" s="2" t="s">
        <v>14</v>
      </c>
      <c r="F2011" s="78" t="s">
        <v>2976</v>
      </c>
      <c r="G2011" s="28" t="s">
        <v>5</v>
      </c>
      <c r="H2011" s="2" t="s">
        <v>17</v>
      </c>
      <c r="I2011" s="2">
        <v>1</v>
      </c>
      <c r="J2011" s="2" t="s">
        <v>2977</v>
      </c>
      <c r="K2011" s="2">
        <v>1426</v>
      </c>
      <c r="L2011" s="35">
        <f t="shared" si="104"/>
        <v>4675583.0599999996</v>
      </c>
      <c r="M2011" s="36">
        <v>100</v>
      </c>
      <c r="N2011" s="40">
        <v>1575.43735224586</v>
      </c>
      <c r="O2011" s="40">
        <v>2002.9881796690299</v>
      </c>
      <c r="P2011" s="40">
        <v>0</v>
      </c>
      <c r="Q2011" s="40">
        <v>520.09456264775395</v>
      </c>
      <c r="R2011" s="40">
        <f>3283.95744680851+1323</f>
        <v>4606.9574468085102</v>
      </c>
      <c r="S2011" s="40">
        <v>1675.44208037825</v>
      </c>
      <c r="T2011" s="40">
        <v>30000</v>
      </c>
      <c r="U2011" s="40">
        <v>29902.600472813199</v>
      </c>
      <c r="V2011" s="40">
        <v>0</v>
      </c>
      <c r="W2011" s="45">
        <f t="shared" si="105"/>
        <v>70283.520094562598</v>
      </c>
      <c r="X2011" s="46">
        <f t="shared" si="106"/>
        <v>1.5032033265721219</v>
      </c>
    </row>
    <row r="2012" spans="1:24" s="4" customFormat="1" ht="15" customHeight="1">
      <c r="A2012" s="28" t="s">
        <v>2682</v>
      </c>
      <c r="B2012" s="29">
        <v>3278.81</v>
      </c>
      <c r="C2012" s="30" t="s">
        <v>2975</v>
      </c>
      <c r="D2012" s="2">
        <v>4951046907</v>
      </c>
      <c r="E2012" s="2" t="s">
        <v>14</v>
      </c>
      <c r="F2012" s="78" t="s">
        <v>2976</v>
      </c>
      <c r="G2012" s="28" t="s">
        <v>5</v>
      </c>
      <c r="H2012" s="2" t="s">
        <v>17</v>
      </c>
      <c r="I2012" s="2">
        <v>1</v>
      </c>
      <c r="J2012" s="2" t="s">
        <v>2977</v>
      </c>
      <c r="K2012" s="2">
        <v>17690</v>
      </c>
      <c r="L2012" s="35">
        <f t="shared" si="104"/>
        <v>58002148.899999999</v>
      </c>
      <c r="M2012" s="36">
        <v>5040</v>
      </c>
      <c r="N2012" s="40">
        <v>79402.042553191495</v>
      </c>
      <c r="O2012" s="40">
        <v>100950.60425531901</v>
      </c>
      <c r="P2012" s="40">
        <v>0</v>
      </c>
      <c r="Q2012" s="40">
        <v>26212.765957446802</v>
      </c>
      <c r="R2012" s="40">
        <f>165511.455319149+66661</f>
        <v>232172.45531914901</v>
      </c>
      <c r="S2012" s="40">
        <v>84442.280851063799</v>
      </c>
      <c r="T2012" s="40">
        <v>30000</v>
      </c>
      <c r="U2012" s="40">
        <v>1507091.0638297901</v>
      </c>
      <c r="V2012" s="40">
        <v>0</v>
      </c>
      <c r="W2012" s="45">
        <f t="shared" si="105"/>
        <v>2060271.2127659603</v>
      </c>
      <c r="X2012" s="46">
        <f t="shared" si="106"/>
        <v>3.5520601423199341</v>
      </c>
    </row>
    <row r="2013" spans="1:24" s="4" customFormat="1" ht="15" customHeight="1">
      <c r="A2013" s="28" t="s">
        <v>2682</v>
      </c>
      <c r="B2013" s="29">
        <v>3278.81</v>
      </c>
      <c r="C2013" s="30" t="s">
        <v>2975</v>
      </c>
      <c r="D2013" s="2">
        <v>4951268367</v>
      </c>
      <c r="E2013" s="2" t="s">
        <v>14</v>
      </c>
      <c r="F2013" s="2" t="s">
        <v>2976</v>
      </c>
      <c r="G2013" s="28" t="s">
        <v>5</v>
      </c>
      <c r="H2013" s="2" t="s">
        <v>17</v>
      </c>
      <c r="I2013" s="2">
        <v>1</v>
      </c>
      <c r="J2013" s="2" t="s">
        <v>2977</v>
      </c>
      <c r="K2013" s="2">
        <v>1822.8</v>
      </c>
      <c r="L2013" s="35">
        <f t="shared" si="104"/>
        <v>5976614.8679999998</v>
      </c>
      <c r="M2013" s="36">
        <v>420</v>
      </c>
      <c r="N2013" s="40">
        <v>6616.8368794326198</v>
      </c>
      <c r="O2013" s="40">
        <v>8412.5503546099299</v>
      </c>
      <c r="P2013" s="40">
        <v>0</v>
      </c>
      <c r="Q2013" s="40">
        <v>2184.39716312057</v>
      </c>
      <c r="R2013" s="40">
        <f>13792.6212765957+5555</f>
        <v>19347.621276595703</v>
      </c>
      <c r="S2013" s="40">
        <v>7036.8567375886496</v>
      </c>
      <c r="T2013" s="40">
        <v>30000</v>
      </c>
      <c r="U2013" s="40">
        <v>125590.92198581601</v>
      </c>
      <c r="V2013" s="40">
        <v>0</v>
      </c>
      <c r="W2013" s="45">
        <f t="shared" si="105"/>
        <v>199189.18439716348</v>
      </c>
      <c r="X2013" s="46">
        <f t="shared" si="106"/>
        <v>3.3328094380593689</v>
      </c>
    </row>
    <row r="2014" spans="1:24" s="4" customFormat="1" ht="15" customHeight="1">
      <c r="A2014" s="28" t="s">
        <v>2682</v>
      </c>
      <c r="B2014" s="29">
        <v>3278.81</v>
      </c>
      <c r="C2014" s="30" t="s">
        <v>2975</v>
      </c>
      <c r="D2014" s="2">
        <v>4950661387</v>
      </c>
      <c r="E2014" s="2" t="s">
        <v>14</v>
      </c>
      <c r="F2014" s="78" t="s">
        <v>2976</v>
      </c>
      <c r="G2014" s="28" t="s">
        <v>5</v>
      </c>
      <c r="H2014" s="2" t="s">
        <v>17</v>
      </c>
      <c r="I2014" s="2">
        <v>1</v>
      </c>
      <c r="J2014" s="2" t="s">
        <v>2977</v>
      </c>
      <c r="K2014" s="2">
        <v>1327.5</v>
      </c>
      <c r="L2014" s="35">
        <f t="shared" si="104"/>
        <v>4352620.2750000004</v>
      </c>
      <c r="M2014" s="36">
        <v>450</v>
      </c>
      <c r="N2014" s="40">
        <v>7089.4680851063804</v>
      </c>
      <c r="O2014" s="40">
        <v>9013.44680851064</v>
      </c>
      <c r="P2014" s="40">
        <v>0</v>
      </c>
      <c r="Q2014" s="40">
        <v>2340.4255319148901</v>
      </c>
      <c r="R2014" s="40">
        <f>14777.8085106383+5952</f>
        <v>20729.808510638301</v>
      </c>
      <c r="S2014" s="40">
        <v>7539.4893617021298</v>
      </c>
      <c r="T2014" s="40">
        <v>30000</v>
      </c>
      <c r="U2014" s="40">
        <v>134561.70212766001</v>
      </c>
      <c r="V2014" s="40">
        <v>0</v>
      </c>
      <c r="W2014" s="45">
        <f t="shared" si="105"/>
        <v>211274.34042553237</v>
      </c>
      <c r="X2014" s="46">
        <f t="shared" si="106"/>
        <v>4.853957549180703</v>
      </c>
    </row>
    <row r="2015" spans="1:24" s="4" customFormat="1" ht="15" customHeight="1">
      <c r="A2015" s="28" t="s">
        <v>2682</v>
      </c>
      <c r="B2015" s="29">
        <v>3278.81</v>
      </c>
      <c r="C2015" s="30" t="s">
        <v>2978</v>
      </c>
      <c r="D2015" s="2">
        <v>4950282863</v>
      </c>
      <c r="E2015" s="2" t="s">
        <v>18</v>
      </c>
      <c r="F2015" s="2" t="s">
        <v>2979</v>
      </c>
      <c r="G2015" s="28" t="s">
        <v>5</v>
      </c>
      <c r="H2015" s="2" t="s">
        <v>20</v>
      </c>
      <c r="I2015" s="2">
        <v>2</v>
      </c>
      <c r="J2015" s="2" t="s">
        <v>2980</v>
      </c>
      <c r="K2015" s="2">
        <v>20691</v>
      </c>
      <c r="L2015" s="35">
        <f t="shared" si="104"/>
        <v>67841857.709999993</v>
      </c>
      <c r="M2015" s="36">
        <v>17100</v>
      </c>
      <c r="N2015" s="40">
        <v>335446.5</v>
      </c>
      <c r="O2015" s="40">
        <v>322920</v>
      </c>
      <c r="P2015" s="40">
        <v>0</v>
      </c>
      <c r="Q2015" s="40">
        <v>99309.5</v>
      </c>
      <c r="R2015" s="40">
        <f>544182+279740</f>
        <v>823922</v>
      </c>
      <c r="S2015" s="40">
        <v>177178</v>
      </c>
      <c r="T2015" s="40">
        <v>30000</v>
      </c>
      <c r="U2015" s="40">
        <v>4413500</v>
      </c>
      <c r="V2015" s="40">
        <v>0</v>
      </c>
      <c r="W2015" s="45">
        <f t="shared" si="105"/>
        <v>6202276</v>
      </c>
      <c r="X2015" s="46">
        <f t="shared" si="106"/>
        <v>9.1422555474712102</v>
      </c>
    </row>
    <row r="2016" spans="1:24" s="4" customFormat="1" ht="15" customHeight="1">
      <c r="A2016" s="28" t="s">
        <v>2682</v>
      </c>
      <c r="B2016" s="29">
        <v>3278.81</v>
      </c>
      <c r="C2016" s="30" t="s">
        <v>2978</v>
      </c>
      <c r="D2016" s="2">
        <v>4950282864</v>
      </c>
      <c r="E2016" s="2" t="s">
        <v>18</v>
      </c>
      <c r="F2016" s="2" t="s">
        <v>2979</v>
      </c>
      <c r="G2016" s="28" t="s">
        <v>5</v>
      </c>
      <c r="H2016" s="2" t="s">
        <v>20</v>
      </c>
      <c r="I2016" s="2">
        <v>2</v>
      </c>
      <c r="J2016" s="2" t="s">
        <v>2980</v>
      </c>
      <c r="K2016" s="2">
        <v>20691</v>
      </c>
      <c r="L2016" s="35">
        <f t="shared" si="104"/>
        <v>67841857.709999993</v>
      </c>
      <c r="M2016" s="36">
        <v>17100</v>
      </c>
      <c r="N2016" s="40">
        <v>335446.5</v>
      </c>
      <c r="O2016" s="40">
        <v>322920</v>
      </c>
      <c r="P2016" s="40">
        <v>0</v>
      </c>
      <c r="Q2016" s="40">
        <v>99309.5</v>
      </c>
      <c r="R2016" s="40">
        <f>544182+279740</f>
        <v>823922</v>
      </c>
      <c r="S2016" s="40">
        <v>177178</v>
      </c>
      <c r="T2016" s="40">
        <v>30000</v>
      </c>
      <c r="U2016" s="40">
        <v>4413500</v>
      </c>
      <c r="V2016" s="40">
        <v>0</v>
      </c>
      <c r="W2016" s="45">
        <f t="shared" si="105"/>
        <v>6202276</v>
      </c>
      <c r="X2016" s="46">
        <f t="shared" si="106"/>
        <v>9.1422555474712102</v>
      </c>
    </row>
    <row r="2017" spans="1:24" s="4" customFormat="1" ht="15" customHeight="1">
      <c r="A2017" s="28" t="s">
        <v>2682</v>
      </c>
      <c r="B2017" s="29">
        <v>3278.81</v>
      </c>
      <c r="C2017" s="30" t="s">
        <v>2981</v>
      </c>
      <c r="D2017" s="2">
        <v>4950930071</v>
      </c>
      <c r="E2017" s="2" t="s">
        <v>14</v>
      </c>
      <c r="F2017" s="2" t="s">
        <v>2982</v>
      </c>
      <c r="G2017" s="28" t="s">
        <v>5</v>
      </c>
      <c r="H2017" s="2" t="s">
        <v>20</v>
      </c>
      <c r="I2017" s="2">
        <v>1</v>
      </c>
      <c r="J2017" s="2" t="s">
        <v>2983</v>
      </c>
      <c r="K2017" s="2">
        <v>65000</v>
      </c>
      <c r="L2017" s="35">
        <f t="shared" si="104"/>
        <v>213122650</v>
      </c>
      <c r="M2017" s="36">
        <f>5600+4800</f>
        <v>10400</v>
      </c>
      <c r="N2017" s="40">
        <v>329427.61095373001</v>
      </c>
      <c r="O2017" s="40">
        <v>317126.34560906503</v>
      </c>
      <c r="P2017" s="40">
        <v>457355.467422096</v>
      </c>
      <c r="Q2017" s="40">
        <v>108026.440037771</v>
      </c>
      <c r="R2017" s="40">
        <f>434458.772426818+114208</f>
        <v>548666.77242681803</v>
      </c>
      <c r="S2017" s="40">
        <v>347998.33805476897</v>
      </c>
      <c r="T2017" s="40">
        <v>30000</v>
      </c>
      <c r="U2017" s="40">
        <v>0</v>
      </c>
      <c r="V2017" s="40">
        <v>0</v>
      </c>
      <c r="W2017" s="45">
        <f t="shared" si="105"/>
        <v>2138600.9745042492</v>
      </c>
      <c r="X2017" s="46">
        <f t="shared" si="106"/>
        <v>1.0034602021438122</v>
      </c>
    </row>
    <row r="2018" spans="1:24" s="4" customFormat="1" ht="15" customHeight="1">
      <c r="A2018" s="28" t="s">
        <v>2682</v>
      </c>
      <c r="B2018" s="29">
        <v>3278.81</v>
      </c>
      <c r="C2018" s="30" t="s">
        <v>2981</v>
      </c>
      <c r="D2018" s="2">
        <v>4950898141</v>
      </c>
      <c r="E2018" s="2" t="s">
        <v>14</v>
      </c>
      <c r="F2018" s="2" t="s">
        <v>2982</v>
      </c>
      <c r="G2018" s="28" t="s">
        <v>5</v>
      </c>
      <c r="H2018" s="2" t="s">
        <v>20</v>
      </c>
      <c r="I2018" s="2">
        <v>1</v>
      </c>
      <c r="J2018" s="2" t="s">
        <v>2983</v>
      </c>
      <c r="K2018" s="2">
        <v>872.1</v>
      </c>
      <c r="L2018" s="35">
        <f t="shared" si="104"/>
        <v>2859450.2009999999</v>
      </c>
      <c r="M2018" s="36">
        <v>190</v>
      </c>
      <c r="N2018" s="40">
        <v>6018.3890462700701</v>
      </c>
      <c r="O2018" s="40">
        <v>5793.6543909348402</v>
      </c>
      <c r="P2018" s="40">
        <v>8355.5325779036793</v>
      </c>
      <c r="Q2018" s="40">
        <v>1973.5599622285199</v>
      </c>
      <c r="R2018" s="40">
        <f>7937.22757318225+2086</f>
        <v>10023.22757318225</v>
      </c>
      <c r="S2018" s="40">
        <v>6357.6619452313498</v>
      </c>
      <c r="T2018" s="40">
        <v>30000</v>
      </c>
      <c r="U2018" s="40">
        <v>1367700</v>
      </c>
      <c r="V2018" s="40">
        <v>0</v>
      </c>
      <c r="W2018" s="45">
        <f t="shared" si="105"/>
        <v>1436222.0254957508</v>
      </c>
      <c r="X2018" s="46">
        <f t="shared" si="106"/>
        <v>50.227208887690324</v>
      </c>
    </row>
    <row r="2019" spans="1:24" s="4" customFormat="1" ht="15" customHeight="1">
      <c r="A2019" s="28" t="s">
        <v>2682</v>
      </c>
      <c r="B2019" s="29">
        <v>3278.81</v>
      </c>
      <c r="C2019" s="30" t="s">
        <v>2984</v>
      </c>
      <c r="D2019" s="2">
        <v>4950560301</v>
      </c>
      <c r="E2019" s="2" t="s">
        <v>36</v>
      </c>
      <c r="F2019" s="2" t="s">
        <v>2985</v>
      </c>
      <c r="G2019" s="28" t="s">
        <v>5</v>
      </c>
      <c r="H2019" s="2" t="s">
        <v>26</v>
      </c>
      <c r="I2019" s="2">
        <v>4</v>
      </c>
      <c r="J2019" s="2" t="s">
        <v>2986</v>
      </c>
      <c r="K2019" s="2">
        <v>83554</v>
      </c>
      <c r="L2019" s="35">
        <f t="shared" si="104"/>
        <v>273957690.74000001</v>
      </c>
      <c r="M2019" s="36">
        <v>85260</v>
      </c>
      <c r="N2019" s="40">
        <v>1332748</v>
      </c>
      <c r="O2019" s="40">
        <v>1967895</v>
      </c>
      <c r="P2019" s="40">
        <v>10107231</v>
      </c>
      <c r="Q2019" s="40">
        <v>496548</v>
      </c>
      <c r="R2019" s="40">
        <v>3334573</v>
      </c>
      <c r="S2019" s="40">
        <v>354356</v>
      </c>
      <c r="T2019" s="40"/>
      <c r="U2019" s="40">
        <v>0</v>
      </c>
      <c r="V2019" s="40">
        <v>0</v>
      </c>
      <c r="W2019" s="45">
        <f t="shared" si="105"/>
        <v>17593351</v>
      </c>
      <c r="X2019" s="46">
        <f t="shared" si="106"/>
        <v>6.4219226525372486</v>
      </c>
    </row>
    <row r="2020" spans="1:24" s="4" customFormat="1" ht="15" customHeight="1">
      <c r="A2020" s="28" t="s">
        <v>2682</v>
      </c>
      <c r="B2020" s="29">
        <v>3278.81</v>
      </c>
      <c r="C2020" s="30" t="s">
        <v>2987</v>
      </c>
      <c r="D2020" s="2">
        <v>4950560305</v>
      </c>
      <c r="E2020" s="2" t="s">
        <v>36</v>
      </c>
      <c r="F2020" s="2" t="s">
        <v>2988</v>
      </c>
      <c r="G2020" s="28" t="s">
        <v>5</v>
      </c>
      <c r="H2020" s="2" t="s">
        <v>26</v>
      </c>
      <c r="I2020" s="2">
        <v>4</v>
      </c>
      <c r="J2020" s="2" t="s">
        <v>2989</v>
      </c>
      <c r="K2020" s="2">
        <v>84868</v>
      </c>
      <c r="L2020" s="35">
        <f t="shared" si="104"/>
        <v>278266047.07999998</v>
      </c>
      <c r="M2020" s="36">
        <v>86600</v>
      </c>
      <c r="N2020" s="40">
        <v>1332821</v>
      </c>
      <c r="O2020" s="40">
        <v>1967895</v>
      </c>
      <c r="P2020" s="40">
        <v>10107231</v>
      </c>
      <c r="Q2020" s="40">
        <v>496548</v>
      </c>
      <c r="R2020" s="40">
        <v>3645257</v>
      </c>
      <c r="S2020" s="40">
        <v>354356</v>
      </c>
      <c r="T2020" s="40"/>
      <c r="U2020" s="40">
        <v>0</v>
      </c>
      <c r="V2020" s="40">
        <v>0</v>
      </c>
      <c r="W2020" s="45">
        <f t="shared" si="105"/>
        <v>17904108</v>
      </c>
      <c r="X2020" s="46">
        <f t="shared" si="106"/>
        <v>6.4341690938861342</v>
      </c>
    </row>
    <row r="2021" spans="1:24" s="4" customFormat="1" ht="15" customHeight="1">
      <c r="A2021" s="28" t="s">
        <v>2682</v>
      </c>
      <c r="B2021" s="29">
        <v>3278.81</v>
      </c>
      <c r="C2021" s="30" t="s">
        <v>2990</v>
      </c>
      <c r="D2021" s="2" t="s">
        <v>2991</v>
      </c>
      <c r="E2021" s="2" t="s">
        <v>36</v>
      </c>
      <c r="F2021" s="2" t="s">
        <v>2992</v>
      </c>
      <c r="G2021" s="28" t="s">
        <v>5</v>
      </c>
      <c r="H2021" s="2" t="s">
        <v>26</v>
      </c>
      <c r="I2021" s="2">
        <v>1</v>
      </c>
      <c r="J2021" s="2" t="s">
        <v>2993</v>
      </c>
      <c r="K2021" s="2">
        <v>20442.8</v>
      </c>
      <c r="L2021" s="35">
        <f t="shared" si="104"/>
        <v>67028057.067999996</v>
      </c>
      <c r="M2021" s="36">
        <v>20860</v>
      </c>
      <c r="N2021" s="40">
        <v>333205</v>
      </c>
      <c r="O2021" s="40">
        <v>394857</v>
      </c>
      <c r="P2021" s="40">
        <v>1749328</v>
      </c>
      <c r="Q2021" s="40">
        <v>110000</v>
      </c>
      <c r="R2021" s="40">
        <v>911330</v>
      </c>
      <c r="S2021" s="40">
        <v>354356</v>
      </c>
      <c r="T2021" s="40"/>
      <c r="U2021" s="40">
        <v>0</v>
      </c>
      <c r="V2021" s="40">
        <v>0</v>
      </c>
      <c r="W2021" s="45">
        <f t="shared" si="105"/>
        <v>3853076</v>
      </c>
      <c r="X2021" s="46">
        <f t="shared" si="106"/>
        <v>5.7484524668394501</v>
      </c>
    </row>
    <row r="2022" spans="1:24" s="4" customFormat="1" ht="15" customHeight="1">
      <c r="A2022" s="28" t="s">
        <v>2682</v>
      </c>
      <c r="B2022" s="29">
        <v>3278.81</v>
      </c>
      <c r="C2022" s="30" t="s">
        <v>2994</v>
      </c>
      <c r="D2022" s="2" t="s">
        <v>2995</v>
      </c>
      <c r="E2022" s="2" t="s">
        <v>36</v>
      </c>
      <c r="F2022" s="2" t="s">
        <v>2996</v>
      </c>
      <c r="G2022" s="28" t="s">
        <v>5</v>
      </c>
      <c r="H2022" s="2" t="s">
        <v>26</v>
      </c>
      <c r="I2022" s="2">
        <v>4</v>
      </c>
      <c r="J2022" s="2" t="s">
        <v>2997</v>
      </c>
      <c r="K2022" s="2">
        <v>83476</v>
      </c>
      <c r="L2022" s="35">
        <f t="shared" si="104"/>
        <v>273701943.56</v>
      </c>
      <c r="M2022" s="36">
        <v>85180</v>
      </c>
      <c r="N2022" s="40">
        <v>1355983</v>
      </c>
      <c r="O2022" s="40">
        <v>1967895</v>
      </c>
      <c r="P2022" s="40">
        <v>10107231</v>
      </c>
      <c r="Q2022" s="40">
        <v>496548</v>
      </c>
      <c r="R2022" s="40">
        <v>3334573</v>
      </c>
      <c r="S2022" s="40">
        <v>354356</v>
      </c>
      <c r="T2022" s="40"/>
      <c r="U2022" s="40">
        <v>0</v>
      </c>
      <c r="V2022" s="40">
        <v>0</v>
      </c>
      <c r="W2022" s="45">
        <f t="shared" si="105"/>
        <v>17616586</v>
      </c>
      <c r="X2022" s="46">
        <f t="shared" si="106"/>
        <v>6.4364124605268485</v>
      </c>
    </row>
    <row r="2023" spans="1:24" s="4" customFormat="1" ht="15" customHeight="1">
      <c r="A2023" s="28" t="s">
        <v>2682</v>
      </c>
      <c r="B2023" s="29">
        <v>3278.81</v>
      </c>
      <c r="C2023" s="30" t="s">
        <v>2998</v>
      </c>
      <c r="D2023" s="2">
        <v>4951013383</v>
      </c>
      <c r="E2023" s="2" t="s">
        <v>27</v>
      </c>
      <c r="F2023" s="2" t="s">
        <v>2999</v>
      </c>
      <c r="G2023" s="28" t="s">
        <v>9</v>
      </c>
      <c r="H2023" s="2" t="s">
        <v>23</v>
      </c>
      <c r="I2023" s="2">
        <v>4</v>
      </c>
      <c r="J2023" s="2"/>
      <c r="K2023" s="2">
        <v>14915.58</v>
      </c>
      <c r="L2023" s="35">
        <f t="shared" si="104"/>
        <v>48905352.859799996</v>
      </c>
      <c r="M2023" s="36">
        <v>1484.2080000000001</v>
      </c>
      <c r="N2023" s="40">
        <v>882374</v>
      </c>
      <c r="O2023" s="40">
        <v>1208</v>
      </c>
      <c r="P2023" s="40">
        <v>46224</v>
      </c>
      <c r="Q2023" s="40">
        <v>36549</v>
      </c>
      <c r="R2023" s="40">
        <v>140255</v>
      </c>
      <c r="S2023" s="40">
        <v>354356</v>
      </c>
      <c r="T2023" s="40"/>
      <c r="U2023" s="40">
        <v>1367700</v>
      </c>
      <c r="V2023" s="40">
        <v>0</v>
      </c>
      <c r="W2023" s="45">
        <f t="shared" si="105"/>
        <v>2828666</v>
      </c>
      <c r="X2023" s="46">
        <f t="shared" si="106"/>
        <v>5.7839599033445523</v>
      </c>
    </row>
    <row r="2024" spans="1:24" s="4" customFormat="1" ht="15" customHeight="1">
      <c r="A2024" s="28" t="s">
        <v>2682</v>
      </c>
      <c r="B2024" s="29">
        <v>3278.81</v>
      </c>
      <c r="C2024" s="30" t="s">
        <v>3000</v>
      </c>
      <c r="D2024" s="2">
        <v>4948665443</v>
      </c>
      <c r="E2024" s="2" t="s">
        <v>6</v>
      </c>
      <c r="F2024" s="2" t="s">
        <v>3001</v>
      </c>
      <c r="G2024" s="28" t="s">
        <v>5</v>
      </c>
      <c r="H2024" s="2" t="s">
        <v>17</v>
      </c>
      <c r="I2024" s="2">
        <v>1</v>
      </c>
      <c r="J2024" s="2" t="s">
        <v>3002</v>
      </c>
      <c r="K2024" s="2">
        <v>42768</v>
      </c>
      <c r="L2024" s="35">
        <f t="shared" si="104"/>
        <v>140228146.07999998</v>
      </c>
      <c r="M2024" s="36">
        <f>12240+720</f>
        <v>12960</v>
      </c>
      <c r="N2024" s="40">
        <v>333205</v>
      </c>
      <c r="O2024" s="40">
        <v>527958</v>
      </c>
      <c r="P2024" s="40">
        <v>0</v>
      </c>
      <c r="Q2024" s="40">
        <v>124137</v>
      </c>
      <c r="R2024" s="40">
        <v>948228</v>
      </c>
      <c r="S2024" s="40">
        <v>354356</v>
      </c>
      <c r="T2024" s="40">
        <v>30000</v>
      </c>
      <c r="U2024" s="40">
        <v>5446550</v>
      </c>
      <c r="V2024" s="40">
        <v>0</v>
      </c>
      <c r="W2024" s="45">
        <f t="shared" si="105"/>
        <v>7764434</v>
      </c>
      <c r="X2024" s="46">
        <f t="shared" si="106"/>
        <v>5.5370011064472031</v>
      </c>
    </row>
    <row r="2025" spans="1:24" s="4" customFormat="1" ht="15" customHeight="1">
      <c r="A2025" s="28" t="s">
        <v>2682</v>
      </c>
      <c r="B2025" s="29">
        <v>3278.81</v>
      </c>
      <c r="C2025" s="30" t="s">
        <v>3003</v>
      </c>
      <c r="D2025" s="2">
        <v>4951019254</v>
      </c>
      <c r="E2025" s="2" t="s">
        <v>18</v>
      </c>
      <c r="F2025" s="2" t="s">
        <v>3004</v>
      </c>
      <c r="G2025" s="28" t="s">
        <v>5</v>
      </c>
      <c r="H2025" s="2" t="s">
        <v>17</v>
      </c>
      <c r="I2025" s="2">
        <v>1</v>
      </c>
      <c r="J2025" s="2" t="s">
        <v>3005</v>
      </c>
      <c r="K2025" s="2">
        <v>69760</v>
      </c>
      <c r="L2025" s="35">
        <f t="shared" si="104"/>
        <v>228729785.59999999</v>
      </c>
      <c r="M2025" s="36">
        <v>16000</v>
      </c>
      <c r="N2025" s="40">
        <v>341216</v>
      </c>
      <c r="O2025" s="40">
        <v>423632</v>
      </c>
      <c r="P2025" s="40">
        <v>0</v>
      </c>
      <c r="Q2025" s="40">
        <v>110000</v>
      </c>
      <c r="R2025" s="40">
        <v>752298</v>
      </c>
      <c r="S2025" s="40">
        <v>354356</v>
      </c>
      <c r="T2025" s="40">
        <v>30000</v>
      </c>
      <c r="U2025" s="40">
        <v>5446550</v>
      </c>
      <c r="V2025" s="40">
        <v>0</v>
      </c>
      <c r="W2025" s="45">
        <f t="shared" si="105"/>
        <v>7458052</v>
      </c>
      <c r="X2025" s="46">
        <f t="shared" si="106"/>
        <v>3.260638740353019</v>
      </c>
    </row>
    <row r="2026" spans="1:24" s="4" customFormat="1" ht="15" customHeight="1">
      <c r="A2026" s="28" t="s">
        <v>2682</v>
      </c>
      <c r="B2026" s="29">
        <v>3278.81</v>
      </c>
      <c r="C2026" s="30" t="s">
        <v>3006</v>
      </c>
      <c r="D2026" s="2">
        <v>4951016419</v>
      </c>
      <c r="E2026" s="2" t="s">
        <v>6</v>
      </c>
      <c r="F2026" s="2" t="s">
        <v>3007</v>
      </c>
      <c r="G2026" s="28" t="s">
        <v>5</v>
      </c>
      <c r="H2026" s="2" t="s">
        <v>20</v>
      </c>
      <c r="I2026" s="2">
        <v>1</v>
      </c>
      <c r="J2026" s="2" t="s">
        <v>3008</v>
      </c>
      <c r="K2026" s="2">
        <v>14256</v>
      </c>
      <c r="L2026" s="35">
        <f t="shared" si="104"/>
        <v>46742715.359999999</v>
      </c>
      <c r="M2026" s="36">
        <v>4320</v>
      </c>
      <c r="N2026" s="40">
        <v>333205</v>
      </c>
      <c r="O2026" s="40">
        <v>322920</v>
      </c>
      <c r="P2026" s="40">
        <v>0</v>
      </c>
      <c r="Q2026" s="40">
        <v>110000</v>
      </c>
      <c r="R2026" s="40">
        <v>822299</v>
      </c>
      <c r="S2026" s="40">
        <v>354356</v>
      </c>
      <c r="T2026" s="40">
        <v>30000</v>
      </c>
      <c r="U2026" s="40">
        <v>2619000</v>
      </c>
      <c r="V2026" s="40">
        <v>0</v>
      </c>
      <c r="W2026" s="45">
        <f t="shared" si="105"/>
        <v>4591780</v>
      </c>
      <c r="X2026" s="46">
        <f t="shared" si="106"/>
        <v>9.8235200172590069</v>
      </c>
    </row>
    <row r="2027" spans="1:24" s="4" customFormat="1" ht="15" customHeight="1">
      <c r="A2027" s="28" t="s">
        <v>2682</v>
      </c>
      <c r="B2027" s="29">
        <v>3278.81</v>
      </c>
      <c r="C2027" s="30" t="s">
        <v>3009</v>
      </c>
      <c r="D2027" s="2">
        <v>4951102206</v>
      </c>
      <c r="E2027" s="2" t="s">
        <v>21</v>
      </c>
      <c r="F2027" s="2" t="s">
        <v>3010</v>
      </c>
      <c r="G2027" s="28" t="s">
        <v>5</v>
      </c>
      <c r="H2027" s="2" t="s">
        <v>20</v>
      </c>
      <c r="I2027" s="2">
        <v>1</v>
      </c>
      <c r="J2027" s="2" t="s">
        <v>3011</v>
      </c>
      <c r="K2027" s="2">
        <v>41277.599999999999</v>
      </c>
      <c r="L2027" s="35">
        <f t="shared" si="104"/>
        <v>135341407.65599999</v>
      </c>
      <c r="M2027" s="36">
        <v>6350.4</v>
      </c>
      <c r="N2027" s="40">
        <v>387216</v>
      </c>
      <c r="O2027" s="40">
        <v>322920</v>
      </c>
      <c r="P2027" s="40">
        <v>0</v>
      </c>
      <c r="Q2027" s="40">
        <v>110000</v>
      </c>
      <c r="R2027" s="40">
        <v>648474</v>
      </c>
      <c r="S2027" s="40">
        <v>354356</v>
      </c>
      <c r="T2027" s="40"/>
      <c r="U2027" s="40">
        <v>2900300</v>
      </c>
      <c r="V2027" s="40">
        <v>0</v>
      </c>
      <c r="W2027" s="45">
        <f t="shared" si="105"/>
        <v>4723266</v>
      </c>
      <c r="X2027" s="46">
        <f t="shared" si="106"/>
        <v>3.4898898140657892</v>
      </c>
    </row>
    <row r="2028" spans="1:24" s="4" customFormat="1" ht="15" customHeight="1">
      <c r="A2028" s="28" t="s">
        <v>2682</v>
      </c>
      <c r="B2028" s="29">
        <v>3278.81</v>
      </c>
      <c r="C2028" s="30" t="s">
        <v>3012</v>
      </c>
      <c r="D2028" s="2">
        <v>4950722769</v>
      </c>
      <c r="E2028" s="2" t="s">
        <v>14</v>
      </c>
      <c r="F2028" s="2" t="s">
        <v>3013</v>
      </c>
      <c r="G2028" s="28" t="s">
        <v>9</v>
      </c>
      <c r="H2028" s="2" t="s">
        <v>23</v>
      </c>
      <c r="I2028" s="2">
        <v>8</v>
      </c>
      <c r="J2028" s="2"/>
      <c r="K2028" s="2">
        <v>20060</v>
      </c>
      <c r="L2028" s="35">
        <f t="shared" si="104"/>
        <v>65772928.600000001</v>
      </c>
      <c r="M2028" s="36">
        <v>400</v>
      </c>
      <c r="N2028" s="40">
        <v>87926.317792578498</v>
      </c>
      <c r="O2028" s="40">
        <v>277.83063748810702</v>
      </c>
      <c r="P2028" s="40">
        <v>45697.963843958103</v>
      </c>
      <c r="Q2028" s="40">
        <v>6906.4129400570901</v>
      </c>
      <c r="R2028" s="40">
        <v>14462.4167459562</v>
      </c>
      <c r="S2028" s="40">
        <v>26972.863939105599</v>
      </c>
      <c r="T2028" s="40">
        <v>30000</v>
      </c>
      <c r="U2028" s="40">
        <v>262850.61845861102</v>
      </c>
      <c r="V2028" s="40">
        <v>0</v>
      </c>
      <c r="W2028" s="45">
        <f t="shared" si="105"/>
        <v>475094.42435775459</v>
      </c>
      <c r="X2028" s="46">
        <f t="shared" si="106"/>
        <v>0.72232517917372252</v>
      </c>
    </row>
    <row r="2029" spans="1:24" s="4" customFormat="1" ht="15" customHeight="1">
      <c r="A2029" s="28" t="s">
        <v>2682</v>
      </c>
      <c r="B2029" s="29">
        <v>3278.81</v>
      </c>
      <c r="C2029" s="30" t="s">
        <v>3012</v>
      </c>
      <c r="D2029" s="2">
        <v>4950808376</v>
      </c>
      <c r="E2029" s="2" t="s">
        <v>14</v>
      </c>
      <c r="F2029" s="2" t="s">
        <v>3013</v>
      </c>
      <c r="G2029" s="28" t="s">
        <v>9</v>
      </c>
      <c r="H2029" s="2" t="s">
        <v>23</v>
      </c>
      <c r="I2029" s="2">
        <v>8</v>
      </c>
      <c r="J2029" s="2"/>
      <c r="K2029" s="2">
        <v>18806.25</v>
      </c>
      <c r="L2029" s="35">
        <f t="shared" si="104"/>
        <v>61662120.5625</v>
      </c>
      <c r="M2029" s="36">
        <v>375</v>
      </c>
      <c r="N2029" s="40">
        <v>82430.922930542394</v>
      </c>
      <c r="O2029" s="40">
        <v>260.4662226451</v>
      </c>
      <c r="P2029" s="40">
        <v>42841.841103710802</v>
      </c>
      <c r="Q2029" s="40">
        <v>6474.7621313035197</v>
      </c>
      <c r="R2029" s="40">
        <v>13558.515699334001</v>
      </c>
      <c r="S2029" s="40">
        <v>25287.059942911499</v>
      </c>
      <c r="T2029" s="40">
        <v>30000</v>
      </c>
      <c r="U2029" s="40">
        <v>246422.45480494801</v>
      </c>
      <c r="V2029" s="40">
        <v>0</v>
      </c>
      <c r="W2029" s="45">
        <f t="shared" si="105"/>
        <v>447276.0228353953</v>
      </c>
      <c r="X2029" s="46">
        <f t="shared" si="106"/>
        <v>0.72536594388128706</v>
      </c>
    </row>
    <row r="2030" spans="1:24" s="4" customFormat="1" ht="15" customHeight="1">
      <c r="A2030" s="28" t="s">
        <v>2682</v>
      </c>
      <c r="B2030" s="29">
        <v>3278.81</v>
      </c>
      <c r="C2030" s="30" t="s">
        <v>3012</v>
      </c>
      <c r="D2030" s="2">
        <v>4950930080</v>
      </c>
      <c r="E2030" s="2" t="s">
        <v>14</v>
      </c>
      <c r="F2030" s="2" t="s">
        <v>3013</v>
      </c>
      <c r="G2030" s="28" t="s">
        <v>9</v>
      </c>
      <c r="H2030" s="2" t="s">
        <v>23</v>
      </c>
      <c r="I2030" s="2">
        <v>8</v>
      </c>
      <c r="J2030" s="2"/>
      <c r="K2030" s="2">
        <v>5124</v>
      </c>
      <c r="L2030" s="35">
        <f t="shared" si="104"/>
        <v>16800622.440000001</v>
      </c>
      <c r="M2030" s="36">
        <v>1680</v>
      </c>
      <c r="N2030" s="40">
        <v>369290.53472882998</v>
      </c>
      <c r="O2030" s="40">
        <v>1166.88867745005</v>
      </c>
      <c r="P2030" s="40">
        <v>191931.44814462401</v>
      </c>
      <c r="Q2030" s="40">
        <v>29006.9343482398</v>
      </c>
      <c r="R2030" s="40">
        <v>60742.150333016201</v>
      </c>
      <c r="S2030" s="40">
        <v>113286.02854424401</v>
      </c>
      <c r="T2030" s="40">
        <v>30000</v>
      </c>
      <c r="U2030" s="40">
        <v>1103972.5975261701</v>
      </c>
      <c r="V2030" s="40">
        <v>0</v>
      </c>
      <c r="W2030" s="45">
        <f t="shared" si="105"/>
        <v>1899396.5823025741</v>
      </c>
      <c r="X2030" s="46">
        <f t="shared" si="106"/>
        <v>11.305513168252437</v>
      </c>
    </row>
    <row r="2031" spans="1:24" s="4" customFormat="1" ht="15" customHeight="1">
      <c r="A2031" s="28" t="s">
        <v>2682</v>
      </c>
      <c r="B2031" s="29">
        <v>3278.81</v>
      </c>
      <c r="C2031" s="30" t="s">
        <v>3012</v>
      </c>
      <c r="D2031" s="2">
        <v>4950365718</v>
      </c>
      <c r="E2031" s="2" t="s">
        <v>14</v>
      </c>
      <c r="F2031" s="2" t="s">
        <v>3013</v>
      </c>
      <c r="G2031" s="28" t="s">
        <v>9</v>
      </c>
      <c r="H2031" s="2" t="s">
        <v>23</v>
      </c>
      <c r="I2031" s="2">
        <v>8</v>
      </c>
      <c r="J2031" s="2"/>
      <c r="K2031" s="2">
        <f>9096+12128</f>
        <v>21224</v>
      </c>
      <c r="L2031" s="35">
        <f t="shared" si="104"/>
        <v>69589463.439999998</v>
      </c>
      <c r="M2031" s="36">
        <f>1200+1600</f>
        <v>2800</v>
      </c>
      <c r="N2031" s="40">
        <v>615484</v>
      </c>
      <c r="O2031" s="40">
        <v>1944.8144624167501</v>
      </c>
      <c r="P2031" s="40">
        <v>319886</v>
      </c>
      <c r="Q2031" s="40">
        <v>48344.890580399602</v>
      </c>
      <c r="R2031" s="40">
        <v>101237</v>
      </c>
      <c r="S2031" s="40">
        <v>188810</v>
      </c>
      <c r="T2031" s="40">
        <v>30000</v>
      </c>
      <c r="U2031" s="40">
        <v>1839954</v>
      </c>
      <c r="V2031" s="40">
        <v>0</v>
      </c>
      <c r="W2031" s="45">
        <f t="shared" si="105"/>
        <v>3145660.7050428167</v>
      </c>
      <c r="X2031" s="46">
        <f t="shared" si="106"/>
        <v>4.5203117678224425</v>
      </c>
    </row>
    <row r="2032" spans="1:24" s="4" customFormat="1" ht="15" customHeight="1">
      <c r="A2032" s="28" t="s">
        <v>2682</v>
      </c>
      <c r="B2032" s="29">
        <v>3278.81</v>
      </c>
      <c r="C2032" s="30" t="s">
        <v>3014</v>
      </c>
      <c r="D2032" s="2">
        <v>4950986102</v>
      </c>
      <c r="E2032" s="2" t="s">
        <v>33</v>
      </c>
      <c r="F2032" s="2" t="s">
        <v>3015</v>
      </c>
      <c r="G2032" s="28" t="s">
        <v>9</v>
      </c>
      <c r="H2032" s="2" t="s">
        <v>23</v>
      </c>
      <c r="I2032" s="2">
        <v>4</v>
      </c>
      <c r="J2032" s="2"/>
      <c r="K2032" s="2">
        <v>24100</v>
      </c>
      <c r="L2032" s="35">
        <f t="shared" si="104"/>
        <v>79019321</v>
      </c>
      <c r="M2032" s="36">
        <v>5000</v>
      </c>
      <c r="N2032" s="40">
        <v>1678763</v>
      </c>
      <c r="O2032" s="40">
        <v>3330</v>
      </c>
      <c r="P2032" s="40">
        <v>0</v>
      </c>
      <c r="Q2032" s="40">
        <v>82724</v>
      </c>
      <c r="R2032" s="40">
        <v>281992</v>
      </c>
      <c r="S2032" s="40">
        <v>354356</v>
      </c>
      <c r="T2032" s="40"/>
      <c r="U2032" s="40">
        <v>2163100</v>
      </c>
      <c r="V2032" s="40">
        <v>0</v>
      </c>
      <c r="W2032" s="45">
        <f t="shared" si="105"/>
        <v>4564265</v>
      </c>
      <c r="X2032" s="46">
        <f t="shared" si="106"/>
        <v>5.7761379650427518</v>
      </c>
    </row>
    <row r="2033" spans="1:24" s="4" customFormat="1" ht="15" customHeight="1">
      <c r="A2033" s="28" t="s">
        <v>2682</v>
      </c>
      <c r="B2033" s="29">
        <v>3278.81</v>
      </c>
      <c r="C2033" s="30" t="s">
        <v>3016</v>
      </c>
      <c r="D2033" s="2">
        <v>4950554214</v>
      </c>
      <c r="E2033" s="2" t="s">
        <v>36</v>
      </c>
      <c r="F2033" s="2" t="s">
        <v>3017</v>
      </c>
      <c r="G2033" s="28" t="s">
        <v>5</v>
      </c>
      <c r="H2033" s="2" t="s">
        <v>20</v>
      </c>
      <c r="I2033" s="2">
        <v>3</v>
      </c>
      <c r="J2033" s="2" t="s">
        <v>3018</v>
      </c>
      <c r="K2033" s="2">
        <v>94770</v>
      </c>
      <c r="L2033" s="35">
        <f t="shared" si="104"/>
        <v>310732823.69999999</v>
      </c>
      <c r="M2033" s="36">
        <v>58500</v>
      </c>
      <c r="N2033" s="40">
        <v>1046332</v>
      </c>
      <c r="O2033" s="40">
        <v>968760</v>
      </c>
      <c r="P2033" s="40">
        <v>0</v>
      </c>
      <c r="Q2033" s="40">
        <v>297928</v>
      </c>
      <c r="R2033" s="40">
        <v>2226707</v>
      </c>
      <c r="S2033" s="40">
        <v>354356</v>
      </c>
      <c r="T2033" s="40"/>
      <c r="U2033" s="40">
        <v>1557900</v>
      </c>
      <c r="V2033" s="40">
        <v>0</v>
      </c>
      <c r="W2033" s="45">
        <f t="shared" si="105"/>
        <v>6451983</v>
      </c>
      <c r="X2033" s="46">
        <f t="shared" si="106"/>
        <v>2.0763763940912563</v>
      </c>
    </row>
    <row r="2034" spans="1:24" ht="15" customHeight="1">
      <c r="G2034"/>
      <c r="I2034"/>
      <c r="N2034"/>
      <c r="O2034" s="24"/>
      <c r="P2034"/>
      <c r="Q2034" s="24"/>
      <c r="R2034"/>
      <c r="S2034"/>
      <c r="T2034"/>
      <c r="U2034"/>
      <c r="X2034" s="60"/>
    </row>
    <row r="2035" spans="1:24" ht="15" customHeight="1">
      <c r="A2035" s="31" t="s">
        <v>2682</v>
      </c>
      <c r="B2035" s="31"/>
      <c r="C2035" s="31"/>
      <c r="D2035" s="31"/>
      <c r="E2035" s="31"/>
      <c r="F2035" s="32">
        <v>133</v>
      </c>
      <c r="G2035" s="31"/>
      <c r="H2035" s="31"/>
      <c r="I2035" s="38"/>
      <c r="J2035" s="31"/>
      <c r="K2035" s="39">
        <f>+SUM(K1784:K2033)</f>
        <v>5116805.97</v>
      </c>
      <c r="L2035" s="39">
        <f>+SUM(L1784:L2033)</f>
        <v>16777034582.495689</v>
      </c>
      <c r="M2035" s="31"/>
      <c r="N2035" s="39"/>
      <c r="O2035" s="39"/>
      <c r="P2035" s="39"/>
      <c r="Q2035" s="39"/>
      <c r="R2035" s="39"/>
      <c r="S2035" s="39"/>
      <c r="T2035" s="39"/>
      <c r="U2035" s="39"/>
      <c r="V2035" s="31"/>
      <c r="W2035" s="39">
        <f>+SUM(W1784:W2033)</f>
        <v>699331680.03684509</v>
      </c>
      <c r="X2035" s="47">
        <f>(W2035/L2035)*100</f>
        <v>4.1683867110013137</v>
      </c>
    </row>
    <row r="2036" spans="1:24" ht="15" customHeight="1">
      <c r="G2036"/>
      <c r="I2036"/>
      <c r="N2036"/>
      <c r="O2036" s="24"/>
      <c r="P2036"/>
      <c r="Q2036" s="24"/>
      <c r="R2036"/>
      <c r="S2036"/>
      <c r="T2036"/>
      <c r="U2036"/>
      <c r="X2036" s="60"/>
    </row>
    <row r="2037" spans="1:24" s="4" customFormat="1" ht="15" customHeight="1">
      <c r="A2037" s="28" t="s">
        <v>3019</v>
      </c>
      <c r="B2037" s="29">
        <v>3196.165</v>
      </c>
      <c r="C2037" s="30" t="s">
        <v>3020</v>
      </c>
      <c r="D2037" s="2">
        <v>4951153729</v>
      </c>
      <c r="E2037" s="2" t="s">
        <v>14</v>
      </c>
      <c r="F2037" s="2" t="s">
        <v>3021</v>
      </c>
      <c r="G2037" s="28" t="s">
        <v>13</v>
      </c>
      <c r="H2037" s="2" t="s">
        <v>23</v>
      </c>
      <c r="I2037" s="2">
        <v>4</v>
      </c>
      <c r="J2037" s="2"/>
      <c r="K2037" s="2">
        <v>77980</v>
      </c>
      <c r="L2037" s="35">
        <f>+B2037*K2037</f>
        <v>249236946.69999999</v>
      </c>
      <c r="M2037" s="36">
        <f>1000+1000</f>
        <v>2000</v>
      </c>
      <c r="N2037" s="40">
        <v>2580958.83</v>
      </c>
      <c r="O2037" s="40">
        <v>0</v>
      </c>
      <c r="P2037" s="40">
        <v>0</v>
      </c>
      <c r="Q2037" s="40">
        <v>0</v>
      </c>
      <c r="R2037" s="40">
        <v>13324</v>
      </c>
      <c r="S2037" s="40">
        <v>354356</v>
      </c>
      <c r="T2037" s="40">
        <v>30000</v>
      </c>
      <c r="U2037" s="40">
        <v>246380</v>
      </c>
      <c r="V2037" s="40">
        <v>0</v>
      </c>
      <c r="W2037" s="45">
        <f>+SUM(N2037:V2037)</f>
        <v>3225018.83</v>
      </c>
      <c r="X2037" s="46">
        <f>(W2037/L2037)*100</f>
        <v>1.2939569645273625</v>
      </c>
    </row>
    <row r="2038" spans="1:24" s="4" customFormat="1" ht="15" customHeight="1">
      <c r="A2038" s="28" t="s">
        <v>3019</v>
      </c>
      <c r="B2038" s="29">
        <v>3196.165</v>
      </c>
      <c r="C2038" s="30" t="s">
        <v>3022</v>
      </c>
      <c r="D2038" s="2">
        <v>4950812433</v>
      </c>
      <c r="E2038" s="2" t="s">
        <v>14</v>
      </c>
      <c r="F2038" s="2" t="s">
        <v>3023</v>
      </c>
      <c r="G2038" s="28" t="s">
        <v>5</v>
      </c>
      <c r="H2038" s="2" t="s">
        <v>20</v>
      </c>
      <c r="I2038" s="2">
        <v>1</v>
      </c>
      <c r="J2038" s="2" t="s">
        <v>3024</v>
      </c>
      <c r="K2038" s="2">
        <v>26100</v>
      </c>
      <c r="L2038" s="35">
        <f t="shared" ref="L2038:L2101" si="107">+B2038*K2038</f>
        <v>83419906.5</v>
      </c>
      <c r="M2038" s="36">
        <v>18000</v>
      </c>
      <c r="N2038" s="40">
        <v>399194</v>
      </c>
      <c r="O2038" s="40">
        <v>323898</v>
      </c>
      <c r="P2038" s="40">
        <v>0</v>
      </c>
      <c r="Q2038" s="40">
        <v>110000</v>
      </c>
      <c r="R2038" s="40">
        <v>655532</v>
      </c>
      <c r="S2038" s="40">
        <v>354356</v>
      </c>
      <c r="T2038" s="40">
        <v>30000</v>
      </c>
      <c r="U2038" s="40">
        <v>5014900</v>
      </c>
      <c r="V2038" s="40">
        <v>0</v>
      </c>
      <c r="W2038" s="45">
        <f t="shared" ref="W2038:W2101" si="108">+SUM(N2038:V2038)</f>
        <v>6887880</v>
      </c>
      <c r="X2038" s="46">
        <f t="shared" ref="X2038:X2101" si="109">(W2038/L2038)*100</f>
        <v>8.2568781109818197</v>
      </c>
    </row>
    <row r="2039" spans="1:24" s="4" customFormat="1" ht="15" customHeight="1">
      <c r="A2039" s="28" t="s">
        <v>3019</v>
      </c>
      <c r="B2039" s="29">
        <v>3196.165</v>
      </c>
      <c r="C2039" s="30" t="s">
        <v>3025</v>
      </c>
      <c r="D2039" s="2">
        <v>4950645035</v>
      </c>
      <c r="E2039" s="2" t="s">
        <v>6</v>
      </c>
      <c r="F2039" s="2" t="s">
        <v>3026</v>
      </c>
      <c r="G2039" s="28" t="s">
        <v>5</v>
      </c>
      <c r="H2039" s="2" t="s">
        <v>17</v>
      </c>
      <c r="I2039" s="2">
        <v>1</v>
      </c>
      <c r="J2039" s="2" t="s">
        <v>3027</v>
      </c>
      <c r="K2039" s="2">
        <v>100320</v>
      </c>
      <c r="L2039" s="35">
        <f t="shared" si="107"/>
        <v>320639272.80000001</v>
      </c>
      <c r="M2039" s="36">
        <v>11616</v>
      </c>
      <c r="N2039" s="40">
        <v>325338.64</v>
      </c>
      <c r="O2039" s="40">
        <v>115079.36</v>
      </c>
      <c r="P2039" s="40">
        <v>161580.45283018899</v>
      </c>
      <c r="Q2039" s="40">
        <v>438252.32</v>
      </c>
      <c r="R2039" s="40">
        <v>823115.47169811302</v>
      </c>
      <c r="S2039" s="40">
        <v>311833.28000000003</v>
      </c>
      <c r="T2039" s="40">
        <v>30000</v>
      </c>
      <c r="U2039" s="40">
        <v>4521664.1509434003</v>
      </c>
      <c r="V2039" s="40">
        <v>0</v>
      </c>
      <c r="W2039" s="45">
        <f t="shared" si="108"/>
        <v>6726863.6754717026</v>
      </c>
      <c r="X2039" s="46">
        <f t="shared" si="109"/>
        <v>2.0979537586674883</v>
      </c>
    </row>
    <row r="2040" spans="1:24" s="4" customFormat="1" ht="15" customHeight="1">
      <c r="A2040" s="28" t="s">
        <v>3019</v>
      </c>
      <c r="B2040" s="29">
        <v>3196.165</v>
      </c>
      <c r="C2040" s="30" t="s">
        <v>3025</v>
      </c>
      <c r="D2040" s="2">
        <v>4948861182</v>
      </c>
      <c r="E2040" s="2" t="s">
        <v>6</v>
      </c>
      <c r="F2040" s="2" t="s">
        <v>3026</v>
      </c>
      <c r="G2040" s="28" t="s">
        <v>5</v>
      </c>
      <c r="H2040" s="2" t="s">
        <v>17</v>
      </c>
      <c r="I2040" s="2">
        <v>1</v>
      </c>
      <c r="J2040" s="2" t="s">
        <v>3027</v>
      </c>
      <c r="K2040" s="2">
        <v>26236.799999999999</v>
      </c>
      <c r="L2040" s="35">
        <f t="shared" si="107"/>
        <v>83857141.871999994</v>
      </c>
      <c r="M2040" s="36">
        <v>1584</v>
      </c>
      <c r="N2040" s="40">
        <v>44364.36</v>
      </c>
      <c r="O2040" s="40">
        <v>15692.64</v>
      </c>
      <c r="P2040" s="40">
        <v>22033.698113207502</v>
      </c>
      <c r="Q2040" s="40">
        <v>59761.68</v>
      </c>
      <c r="R2040" s="40">
        <v>112243.018867925</v>
      </c>
      <c r="S2040" s="40">
        <v>42522.720000000001</v>
      </c>
      <c r="T2040" s="40">
        <v>30000</v>
      </c>
      <c r="U2040" s="40">
        <v>616590.56603773602</v>
      </c>
      <c r="V2040" s="40">
        <v>0</v>
      </c>
      <c r="W2040" s="45">
        <f t="shared" si="108"/>
        <v>943208.68301886856</v>
      </c>
      <c r="X2040" s="46">
        <f t="shared" si="109"/>
        <v>1.1247803847865308</v>
      </c>
    </row>
    <row r="2041" spans="1:24" s="4" customFormat="1" ht="15" customHeight="1">
      <c r="A2041" s="28" t="s">
        <v>3019</v>
      </c>
      <c r="B2041" s="29">
        <v>3196.165</v>
      </c>
      <c r="C2041" s="30" t="s">
        <v>3028</v>
      </c>
      <c r="D2041" s="2">
        <v>4948474962</v>
      </c>
      <c r="E2041" s="2" t="s">
        <v>6</v>
      </c>
      <c r="F2041" s="2" t="s">
        <v>3029</v>
      </c>
      <c r="G2041" s="28" t="s">
        <v>5</v>
      </c>
      <c r="H2041" s="2" t="s">
        <v>17</v>
      </c>
      <c r="I2041" s="2">
        <v>1</v>
      </c>
      <c r="J2041" s="2" t="s">
        <v>3027</v>
      </c>
      <c r="K2041" s="2">
        <v>8323.2000000000007</v>
      </c>
      <c r="L2041" s="35">
        <f t="shared" si="107"/>
        <v>26602320.528000001</v>
      </c>
      <c r="M2041" s="36">
        <v>792</v>
      </c>
      <c r="N2041" s="40">
        <v>68030</v>
      </c>
      <c r="O2041" s="40">
        <v>28912</v>
      </c>
      <c r="P2041" s="40">
        <v>11016.8490566038</v>
      </c>
      <c r="Q2041" s="40">
        <v>7846</v>
      </c>
      <c r="R2041" s="40">
        <v>56121.509433962303</v>
      </c>
      <c r="S2041" s="40">
        <v>354356</v>
      </c>
      <c r="T2041" s="40">
        <v>30000</v>
      </c>
      <c r="U2041" s="40">
        <v>308295.28301886801</v>
      </c>
      <c r="V2041" s="40">
        <v>0</v>
      </c>
      <c r="W2041" s="45">
        <f t="shared" si="108"/>
        <v>864577.64150943398</v>
      </c>
      <c r="X2041" s="46">
        <f t="shared" si="109"/>
        <v>3.2500083614864783</v>
      </c>
    </row>
    <row r="2042" spans="1:24" s="4" customFormat="1" ht="15" customHeight="1">
      <c r="A2042" s="28" t="s">
        <v>3019</v>
      </c>
      <c r="B2042" s="29">
        <v>3196.165</v>
      </c>
      <c r="C2042" s="30" t="s">
        <v>3030</v>
      </c>
      <c r="D2042" s="2">
        <v>4950785267</v>
      </c>
      <c r="E2042" s="2" t="s">
        <v>14</v>
      </c>
      <c r="F2042" s="2" t="s">
        <v>3031</v>
      </c>
      <c r="G2042" s="28" t="s">
        <v>5</v>
      </c>
      <c r="H2042" s="2" t="s">
        <v>17</v>
      </c>
      <c r="I2042" s="2">
        <v>1</v>
      </c>
      <c r="J2042" s="2" t="s">
        <v>3032</v>
      </c>
      <c r="K2042" s="2">
        <f>3359.2+21834.6</f>
        <v>25193.8</v>
      </c>
      <c r="L2042" s="35">
        <f t="shared" si="107"/>
        <v>80523541.776999995</v>
      </c>
      <c r="M2042" s="36">
        <f>1520+7220+2660</f>
        <v>11400</v>
      </c>
      <c r="N2042" s="40">
        <v>211174.59854014599</v>
      </c>
      <c r="O2042" s="40">
        <v>288518.55907780997</v>
      </c>
      <c r="P2042" s="40">
        <v>0</v>
      </c>
      <c r="Q2042" s="40">
        <v>75900.345821325594</v>
      </c>
      <c r="R2042" s="40">
        <f>377085.927007299+110949</f>
        <v>488034.92700729897</v>
      </c>
      <c r="S2042" s="40">
        <v>196577.05109489101</v>
      </c>
      <c r="T2042" s="40">
        <v>30000</v>
      </c>
      <c r="U2042" s="40">
        <v>3155969.3430656898</v>
      </c>
      <c r="V2042" s="40">
        <v>0</v>
      </c>
      <c r="W2042" s="45">
        <f t="shared" si="108"/>
        <v>4446174.8246071618</v>
      </c>
      <c r="X2042" s="46">
        <f t="shared" si="109"/>
        <v>5.5215837834360215</v>
      </c>
    </row>
    <row r="2043" spans="1:24" s="4" customFormat="1" ht="15" customHeight="1">
      <c r="A2043" s="28" t="s">
        <v>3019</v>
      </c>
      <c r="B2043" s="29">
        <v>3196.165</v>
      </c>
      <c r="C2043" s="30" t="s">
        <v>3030</v>
      </c>
      <c r="D2043" s="2">
        <v>4950722780</v>
      </c>
      <c r="E2043" s="2" t="s">
        <v>14</v>
      </c>
      <c r="F2043" s="2" t="s">
        <v>3031</v>
      </c>
      <c r="G2043" s="28" t="s">
        <v>5</v>
      </c>
      <c r="H2043" s="2" t="s">
        <v>17</v>
      </c>
      <c r="I2043" s="2">
        <v>1</v>
      </c>
      <c r="J2043" s="2" t="s">
        <v>3032</v>
      </c>
      <c r="K2043" s="2">
        <v>14490</v>
      </c>
      <c r="L2043" s="35">
        <f t="shared" si="107"/>
        <v>46312430.850000001</v>
      </c>
      <c r="M2043" s="36">
        <v>5520</v>
      </c>
      <c r="N2043" s="40">
        <v>97251.459854014596</v>
      </c>
      <c r="O2043" s="40">
        <v>139703.72334293899</v>
      </c>
      <c r="P2043" s="40">
        <v>0</v>
      </c>
      <c r="Q2043" s="40">
        <v>36751.7463976945</v>
      </c>
      <c r="R2043" s="40">
        <f>173657.99270073+51095</f>
        <v>224752.99270073001</v>
      </c>
      <c r="S2043" s="40">
        <v>90528.905109489104</v>
      </c>
      <c r="T2043" s="40">
        <v>30000</v>
      </c>
      <c r="U2043" s="40">
        <v>1453406.9343065701</v>
      </c>
      <c r="V2043" s="40">
        <v>0</v>
      </c>
      <c r="W2043" s="45">
        <f t="shared" si="108"/>
        <v>2072395.7617114373</v>
      </c>
      <c r="X2043" s="46">
        <f t="shared" si="109"/>
        <v>4.4748153436896034</v>
      </c>
    </row>
    <row r="2044" spans="1:24" s="4" customFormat="1" ht="15" customHeight="1">
      <c r="A2044" s="28" t="s">
        <v>3019</v>
      </c>
      <c r="B2044" s="29">
        <v>3196.165</v>
      </c>
      <c r="C2044" s="30" t="s">
        <v>3030</v>
      </c>
      <c r="D2044" s="2">
        <v>4951325259</v>
      </c>
      <c r="E2044" s="2" t="s">
        <v>14</v>
      </c>
      <c r="F2044" s="2" t="s">
        <v>3031</v>
      </c>
      <c r="G2044" s="28" t="s">
        <v>5</v>
      </c>
      <c r="H2044" s="2" t="s">
        <v>17</v>
      </c>
      <c r="I2044" s="2">
        <v>1</v>
      </c>
      <c r="J2044" s="2" t="s">
        <v>3032</v>
      </c>
      <c r="K2044" s="2">
        <v>7722</v>
      </c>
      <c r="L2044" s="35">
        <f t="shared" si="107"/>
        <v>24680786.129999999</v>
      </c>
      <c r="M2044" s="36">
        <v>3900</v>
      </c>
      <c r="N2044" s="40">
        <v>72243.941605839398</v>
      </c>
      <c r="O2044" s="40">
        <v>98703.717579250704</v>
      </c>
      <c r="P2044" s="40">
        <v>0</v>
      </c>
      <c r="Q2044" s="40">
        <v>25965.9077809798</v>
      </c>
      <c r="R2044" s="40">
        <f>129003.080291971+37956</f>
        <v>166959.08029197098</v>
      </c>
      <c r="S2044" s="40">
        <v>67250.043795620397</v>
      </c>
      <c r="T2044" s="40">
        <v>30000</v>
      </c>
      <c r="U2044" s="40">
        <v>1079673.7226277399</v>
      </c>
      <c r="V2044" s="40">
        <v>0</v>
      </c>
      <c r="W2044" s="45">
        <f t="shared" si="108"/>
        <v>1540796.4136814012</v>
      </c>
      <c r="X2044" s="46">
        <f t="shared" si="109"/>
        <v>6.2428984456395886</v>
      </c>
    </row>
    <row r="2045" spans="1:24" s="4" customFormat="1" ht="15" customHeight="1">
      <c r="A2045" s="28" t="s">
        <v>3019</v>
      </c>
      <c r="B2045" s="29">
        <v>3196.165</v>
      </c>
      <c r="C2045" s="30" t="s">
        <v>3033</v>
      </c>
      <c r="D2045" s="2">
        <v>4951566902</v>
      </c>
      <c r="E2045" s="2" t="s">
        <v>24</v>
      </c>
      <c r="F2045" s="2" t="s">
        <v>3034</v>
      </c>
      <c r="G2045" s="28" t="s">
        <v>5</v>
      </c>
      <c r="H2045" s="2" t="s">
        <v>17</v>
      </c>
      <c r="I2045" s="2">
        <v>1</v>
      </c>
      <c r="J2045" s="2" t="s">
        <v>3035</v>
      </c>
      <c r="K2045" s="2">
        <v>15717.24</v>
      </c>
      <c r="L2045" s="35">
        <f t="shared" si="107"/>
        <v>50234892.384599999</v>
      </c>
      <c r="M2045" s="36">
        <v>20412</v>
      </c>
      <c r="N2045" s="40">
        <v>328456</v>
      </c>
      <c r="O2045" s="40">
        <v>422830</v>
      </c>
      <c r="P2045" s="40">
        <v>310991</v>
      </c>
      <c r="Q2045" s="40">
        <v>109618</v>
      </c>
      <c r="R2045" s="40">
        <v>750569</v>
      </c>
      <c r="S2045" s="40">
        <v>354356</v>
      </c>
      <c r="T2045" s="40"/>
      <c r="U2045" s="40">
        <v>5640550</v>
      </c>
      <c r="V2045" s="40">
        <v>0</v>
      </c>
      <c r="W2045" s="45">
        <f t="shared" si="108"/>
        <v>7917370</v>
      </c>
      <c r="X2045" s="46">
        <f t="shared" si="109"/>
        <v>15.760698638277859</v>
      </c>
    </row>
    <row r="2046" spans="1:24" s="4" customFormat="1" ht="15" customHeight="1">
      <c r="A2046" s="28" t="s">
        <v>3019</v>
      </c>
      <c r="B2046" s="29">
        <v>3196.165</v>
      </c>
      <c r="C2046" s="30" t="s">
        <v>3036</v>
      </c>
      <c r="D2046" s="2">
        <v>4951213131</v>
      </c>
      <c r="E2046" s="2" t="s">
        <v>14</v>
      </c>
      <c r="F2046" s="2" t="s">
        <v>3037</v>
      </c>
      <c r="G2046" s="28" t="s">
        <v>9</v>
      </c>
      <c r="H2046" s="2" t="s">
        <v>23</v>
      </c>
      <c r="I2046" s="2">
        <v>4</v>
      </c>
      <c r="J2046" s="2"/>
      <c r="K2046" s="2">
        <v>6816</v>
      </c>
      <c r="L2046" s="35">
        <f t="shared" si="107"/>
        <v>21785060.640000001</v>
      </c>
      <c r="M2046" s="36">
        <v>2400</v>
      </c>
      <c r="N2046" s="40">
        <v>687122</v>
      </c>
      <c r="O2046" s="40">
        <v>1165</v>
      </c>
      <c r="P2046" s="40">
        <v>51520</v>
      </c>
      <c r="Q2046" s="40">
        <v>41283</v>
      </c>
      <c r="R2046" s="40">
        <v>132501</v>
      </c>
      <c r="S2046" s="40">
        <v>354356</v>
      </c>
      <c r="T2046" s="40">
        <v>30000</v>
      </c>
      <c r="U2046" s="40">
        <v>1076387.09677419</v>
      </c>
      <c r="V2046" s="40">
        <v>0</v>
      </c>
      <c r="W2046" s="45">
        <f t="shared" si="108"/>
        <v>2374334.0967741897</v>
      </c>
      <c r="X2046" s="46">
        <f t="shared" si="109"/>
        <v>10.89890974374717</v>
      </c>
    </row>
    <row r="2047" spans="1:24" s="4" customFormat="1" ht="15" customHeight="1">
      <c r="A2047" s="28" t="s">
        <v>3019</v>
      </c>
      <c r="B2047" s="29">
        <v>3196.165</v>
      </c>
      <c r="C2047" s="30" t="s">
        <v>3038</v>
      </c>
      <c r="D2047" s="2">
        <v>4951410240</v>
      </c>
      <c r="E2047" s="2" t="s">
        <v>14</v>
      </c>
      <c r="F2047" s="2" t="s">
        <v>3039</v>
      </c>
      <c r="G2047" s="28" t="s">
        <v>9</v>
      </c>
      <c r="H2047" s="2" t="s">
        <v>23</v>
      </c>
      <c r="I2047" s="2">
        <v>1</v>
      </c>
      <c r="J2047" s="2"/>
      <c r="K2047" s="2">
        <v>13255</v>
      </c>
      <c r="L2047" s="35">
        <f t="shared" si="107"/>
        <v>42365167.075000003</v>
      </c>
      <c r="M2047" s="36">
        <f>100+150</f>
        <v>250</v>
      </c>
      <c r="N2047" s="40">
        <v>462372</v>
      </c>
      <c r="O2047" s="40">
        <v>192</v>
      </c>
      <c r="P2047" s="40">
        <v>5763</v>
      </c>
      <c r="Q2047" s="40">
        <v>4679</v>
      </c>
      <c r="R2047" s="40">
        <v>93373</v>
      </c>
      <c r="S2047" s="40">
        <v>354356</v>
      </c>
      <c r="T2047" s="40">
        <v>30000</v>
      </c>
      <c r="U2047" s="40">
        <v>122187.71970939801</v>
      </c>
      <c r="V2047" s="40">
        <v>0</v>
      </c>
      <c r="W2047" s="45">
        <f t="shared" si="108"/>
        <v>1072922.719709398</v>
      </c>
      <c r="X2047" s="46">
        <f t="shared" si="109"/>
        <v>2.532558688627331</v>
      </c>
    </row>
    <row r="2048" spans="1:24" s="4" customFormat="1" ht="15" customHeight="1">
      <c r="A2048" s="28" t="s">
        <v>3019</v>
      </c>
      <c r="B2048" s="29">
        <v>3196.165</v>
      </c>
      <c r="C2048" s="30" t="s">
        <v>3040</v>
      </c>
      <c r="D2048" s="2">
        <v>4950978862</v>
      </c>
      <c r="E2048" s="2" t="s">
        <v>14</v>
      </c>
      <c r="F2048" s="2" t="s">
        <v>3041</v>
      </c>
      <c r="G2048" s="28" t="s">
        <v>9</v>
      </c>
      <c r="H2048" s="2" t="s">
        <v>23</v>
      </c>
      <c r="I2048" s="2">
        <v>1</v>
      </c>
      <c r="J2048" s="2"/>
      <c r="K2048" s="2">
        <v>8224.92</v>
      </c>
      <c r="L2048" s="35">
        <f t="shared" si="107"/>
        <v>26288201.4318</v>
      </c>
      <c r="M2048" s="36">
        <v>396</v>
      </c>
      <c r="N2048" s="40">
        <v>564652</v>
      </c>
      <c r="O2048" s="40">
        <v>294</v>
      </c>
      <c r="P2048" s="40">
        <v>23054</v>
      </c>
      <c r="Q2048" s="40">
        <v>8788</v>
      </c>
      <c r="R2048" s="40">
        <v>98068</v>
      </c>
      <c r="S2048" s="40">
        <v>354356</v>
      </c>
      <c r="T2048" s="40">
        <v>30000</v>
      </c>
      <c r="U2048" s="40">
        <v>193545.348019686</v>
      </c>
      <c r="V2048" s="40">
        <v>0</v>
      </c>
      <c r="W2048" s="45">
        <f t="shared" si="108"/>
        <v>1272757.3480196861</v>
      </c>
      <c r="X2048" s="46">
        <f t="shared" si="109"/>
        <v>4.8415535437889332</v>
      </c>
    </row>
    <row r="2049" spans="1:24" s="4" customFormat="1" ht="15" customHeight="1">
      <c r="A2049" s="28" t="s">
        <v>3019</v>
      </c>
      <c r="B2049" s="29">
        <v>3196.165</v>
      </c>
      <c r="C2049" s="30" t="s">
        <v>3042</v>
      </c>
      <c r="D2049" s="2">
        <v>4952079104</v>
      </c>
      <c r="E2049" s="2" t="s">
        <v>33</v>
      </c>
      <c r="F2049" s="2" t="s">
        <v>3043</v>
      </c>
      <c r="G2049" s="28" t="s">
        <v>5</v>
      </c>
      <c r="H2049" s="2" t="s">
        <v>17</v>
      </c>
      <c r="I2049" s="2">
        <v>1</v>
      </c>
      <c r="J2049" s="2" t="s">
        <v>3044</v>
      </c>
      <c r="K2049" s="2">
        <v>4883.76</v>
      </c>
      <c r="L2049" s="35">
        <f t="shared" si="107"/>
        <v>15609302.780400001</v>
      </c>
      <c r="M2049" s="36">
        <v>4788</v>
      </c>
      <c r="N2049" s="40">
        <v>732673.59299781197</v>
      </c>
      <c r="O2049" s="40">
        <v>171845.34759358299</v>
      </c>
      <c r="P2049" s="40">
        <v>0</v>
      </c>
      <c r="Q2049" s="40">
        <v>44550.631016042797</v>
      </c>
      <c r="R2049" s="40">
        <f>215777.241429613+78483</f>
        <v>294260.24142961297</v>
      </c>
      <c r="S2049" s="40">
        <v>139054.36032093401</v>
      </c>
      <c r="T2049" s="40"/>
      <c r="U2049" s="40">
        <v>2137304.0846097702</v>
      </c>
      <c r="V2049" s="40">
        <v>0</v>
      </c>
      <c r="W2049" s="45">
        <f t="shared" si="108"/>
        <v>3519688.2579677552</v>
      </c>
      <c r="X2049" s="46">
        <f t="shared" si="109"/>
        <v>22.548657729846152</v>
      </c>
    </row>
    <row r="2050" spans="1:24" s="4" customFormat="1" ht="15" customHeight="1">
      <c r="A2050" s="28" t="s">
        <v>3019</v>
      </c>
      <c r="B2050" s="29">
        <v>3196.165</v>
      </c>
      <c r="C2050" s="30" t="s">
        <v>3042</v>
      </c>
      <c r="D2050" s="2">
        <v>4952079104</v>
      </c>
      <c r="E2050" s="2" t="s">
        <v>33</v>
      </c>
      <c r="F2050" s="2" t="s">
        <v>3043</v>
      </c>
      <c r="G2050" s="28" t="s">
        <v>5</v>
      </c>
      <c r="H2050" s="2" t="s">
        <v>17</v>
      </c>
      <c r="I2050" s="2">
        <v>1</v>
      </c>
      <c r="J2050" s="2" t="s">
        <v>3044</v>
      </c>
      <c r="K2050" s="2">
        <v>4275</v>
      </c>
      <c r="L2050" s="35">
        <f t="shared" si="107"/>
        <v>13663605.375</v>
      </c>
      <c r="M2050" s="36">
        <v>3420</v>
      </c>
      <c r="N2050" s="40">
        <v>528056.107221007</v>
      </c>
      <c r="O2050" s="40">
        <v>122746.676852559</v>
      </c>
      <c r="P2050" s="40">
        <v>0</v>
      </c>
      <c r="Q2050" s="40">
        <v>31821.8792971734</v>
      </c>
      <c r="R2050" s="40">
        <f>155516.032275711+56565</f>
        <v>212081.03227571101</v>
      </c>
      <c r="S2050" s="40">
        <v>100219.94091903701</v>
      </c>
      <c r="T2050" s="40"/>
      <c r="U2050" s="40">
        <v>1540408.2877461701</v>
      </c>
      <c r="V2050" s="40">
        <v>0</v>
      </c>
      <c r="W2050" s="45">
        <f t="shared" si="108"/>
        <v>2535333.9243116574</v>
      </c>
      <c r="X2050" s="46">
        <f t="shared" si="109"/>
        <v>18.555380185016922</v>
      </c>
    </row>
    <row r="2051" spans="1:24" s="4" customFormat="1" ht="15" customHeight="1">
      <c r="A2051" s="28" t="s">
        <v>3019</v>
      </c>
      <c r="B2051" s="29">
        <v>3196.165</v>
      </c>
      <c r="C2051" s="30" t="s">
        <v>3042</v>
      </c>
      <c r="D2051" s="2">
        <v>4952079104</v>
      </c>
      <c r="E2051" s="2" t="s">
        <v>33</v>
      </c>
      <c r="F2051" s="2" t="s">
        <v>3043</v>
      </c>
      <c r="G2051" s="28" t="s">
        <v>5</v>
      </c>
      <c r="H2051" s="2" t="s">
        <v>17</v>
      </c>
      <c r="I2051" s="2">
        <v>1</v>
      </c>
      <c r="J2051" s="2" t="s">
        <v>3044</v>
      </c>
      <c r="K2051" s="2">
        <v>2837.65</v>
      </c>
      <c r="L2051" s="35">
        <f t="shared" si="107"/>
        <v>9069597.6122500002</v>
      </c>
      <c r="M2051" s="36">
        <v>1957</v>
      </c>
      <c r="N2051" s="40">
        <v>306188.56163384399</v>
      </c>
      <c r="O2051" s="40">
        <v>70238.376198964397</v>
      </c>
      <c r="P2051" s="40">
        <v>0</v>
      </c>
      <c r="Q2051" s="40">
        <v>18209.186486715898</v>
      </c>
      <c r="R2051" s="40">
        <f>90174.5658886458+32798</f>
        <v>122972.5658886458</v>
      </c>
      <c r="S2051" s="40">
        <v>58111.6270362266</v>
      </c>
      <c r="T2051" s="40"/>
      <c r="U2051" s="40">
        <v>893191.82470216404</v>
      </c>
      <c r="V2051" s="40">
        <v>0</v>
      </c>
      <c r="W2051" s="45">
        <f t="shared" si="108"/>
        <v>1468912.1419465607</v>
      </c>
      <c r="X2051" s="46">
        <f t="shared" si="109"/>
        <v>16.196001242244204</v>
      </c>
    </row>
    <row r="2052" spans="1:24" s="4" customFormat="1" ht="15" customHeight="1">
      <c r="A2052" s="28" t="s">
        <v>3019</v>
      </c>
      <c r="B2052" s="29">
        <v>3196.165</v>
      </c>
      <c r="C2052" s="30" t="s">
        <v>3042</v>
      </c>
      <c r="D2052" s="2">
        <v>4952079104</v>
      </c>
      <c r="E2052" s="2" t="s">
        <v>33</v>
      </c>
      <c r="F2052" s="2" t="s">
        <v>3043</v>
      </c>
      <c r="G2052" s="28" t="s">
        <v>5</v>
      </c>
      <c r="H2052" s="2" t="s">
        <v>17</v>
      </c>
      <c r="I2052" s="2">
        <v>1</v>
      </c>
      <c r="J2052" s="2" t="s">
        <v>3044</v>
      </c>
      <c r="K2052" s="2">
        <v>1327.2</v>
      </c>
      <c r="L2052" s="35">
        <f t="shared" si="107"/>
        <v>4241950.1880000001</v>
      </c>
      <c r="M2052" s="36">
        <v>909.6</v>
      </c>
      <c r="N2052" s="40">
        <v>114281.646243618</v>
      </c>
      <c r="O2052" s="40">
        <v>32646.309141838599</v>
      </c>
      <c r="P2052" s="40">
        <v>0</v>
      </c>
      <c r="Q2052" s="40">
        <v>8463.50333587981</v>
      </c>
      <c r="R2052" s="40">
        <f>33656.7041697058+12242</f>
        <v>45898.704169705801</v>
      </c>
      <c r="S2052" s="40">
        <v>21689.550936056399</v>
      </c>
      <c r="T2052" s="40"/>
      <c r="U2052" s="40">
        <v>333374.413445174</v>
      </c>
      <c r="V2052" s="40">
        <v>0</v>
      </c>
      <c r="W2052" s="45">
        <f t="shared" si="108"/>
        <v>556354.1272722726</v>
      </c>
      <c r="X2052" s="46">
        <f t="shared" si="109"/>
        <v>13.115527118779843</v>
      </c>
    </row>
    <row r="2053" spans="1:24" s="4" customFormat="1" ht="15" customHeight="1">
      <c r="A2053" s="28" t="s">
        <v>3019</v>
      </c>
      <c r="B2053" s="29">
        <v>3196.165</v>
      </c>
      <c r="C2053" s="30" t="s">
        <v>3042</v>
      </c>
      <c r="D2053" s="2">
        <v>4952079104</v>
      </c>
      <c r="E2053" s="2" t="s">
        <v>33</v>
      </c>
      <c r="F2053" s="2" t="s">
        <v>3043</v>
      </c>
      <c r="G2053" s="28" t="s">
        <v>5</v>
      </c>
      <c r="H2053" s="2" t="s">
        <v>17</v>
      </c>
      <c r="I2053" s="2">
        <v>1</v>
      </c>
      <c r="J2053" s="2" t="s">
        <v>3044</v>
      </c>
      <c r="K2053" s="2">
        <v>806.4</v>
      </c>
      <c r="L2053" s="35">
        <f t="shared" si="107"/>
        <v>2577387.4559999998</v>
      </c>
      <c r="M2053" s="36">
        <v>606.4</v>
      </c>
      <c r="N2053" s="40">
        <v>106451.02698759999</v>
      </c>
      <c r="O2053" s="40">
        <v>21764.206094558998</v>
      </c>
      <c r="P2053" s="40">
        <v>0</v>
      </c>
      <c r="Q2053" s="40">
        <v>5642.3355572532</v>
      </c>
      <c r="R2053" s="40">
        <f>31350.5347678094+11403</f>
        <v>42753.534767809397</v>
      </c>
      <c r="S2053" s="40">
        <v>20203.3751519572</v>
      </c>
      <c r="T2053" s="40"/>
      <c r="U2053" s="40">
        <v>310531.47945538501</v>
      </c>
      <c r="V2053" s="40">
        <v>0</v>
      </c>
      <c r="W2053" s="45">
        <f t="shared" si="108"/>
        <v>507345.95801456377</v>
      </c>
      <c r="X2053" s="46">
        <f t="shared" si="109"/>
        <v>19.684504820316928</v>
      </c>
    </row>
    <row r="2054" spans="1:24" s="4" customFormat="1" ht="15" customHeight="1">
      <c r="A2054" s="28" t="s">
        <v>3019</v>
      </c>
      <c r="B2054" s="29">
        <v>3196.165</v>
      </c>
      <c r="C2054" s="30" t="s">
        <v>3042</v>
      </c>
      <c r="D2054" s="2">
        <v>4952079104</v>
      </c>
      <c r="E2054" s="2" t="s">
        <v>33</v>
      </c>
      <c r="F2054" s="2" t="s">
        <v>3043</v>
      </c>
      <c r="G2054" s="28" t="s">
        <v>5</v>
      </c>
      <c r="H2054" s="2" t="s">
        <v>17</v>
      </c>
      <c r="I2054" s="2">
        <v>1</v>
      </c>
      <c r="J2054" s="2" t="s">
        <v>3044</v>
      </c>
      <c r="K2054" s="2">
        <v>1729</v>
      </c>
      <c r="L2054" s="35">
        <f t="shared" si="107"/>
        <v>5526169.2850000001</v>
      </c>
      <c r="M2054" s="36">
        <v>100</v>
      </c>
      <c r="N2054" s="40">
        <v>79441.064916119605</v>
      </c>
      <c r="O2054" s="40">
        <v>3589.0841184958799</v>
      </c>
      <c r="P2054" s="40">
        <v>0</v>
      </c>
      <c r="Q2054" s="40">
        <v>930.46430693489503</v>
      </c>
      <c r="R2054" s="40">
        <f>23395.9214685145+8510</f>
        <v>31905.921468514502</v>
      </c>
      <c r="S2054" s="40">
        <v>15077.145635789</v>
      </c>
      <c r="T2054" s="40"/>
      <c r="U2054" s="40">
        <v>231739.91004133201</v>
      </c>
      <c r="V2054" s="40">
        <v>0</v>
      </c>
      <c r="W2054" s="45">
        <f t="shared" si="108"/>
        <v>362683.59048718587</v>
      </c>
      <c r="X2054" s="46">
        <f t="shared" si="109"/>
        <v>6.5630199109469709</v>
      </c>
    </row>
    <row r="2055" spans="1:24" s="4" customFormat="1" ht="15" customHeight="1">
      <c r="A2055" s="28" t="s">
        <v>3019</v>
      </c>
      <c r="B2055" s="29">
        <v>3196.165</v>
      </c>
      <c r="C2055" s="30" t="s">
        <v>3045</v>
      </c>
      <c r="D2055" s="2">
        <v>4951412256</v>
      </c>
      <c r="E2055" s="2" t="s">
        <v>14</v>
      </c>
      <c r="F2055" s="78" t="s">
        <v>3046</v>
      </c>
      <c r="G2055" s="28" t="s">
        <v>13</v>
      </c>
      <c r="H2055" s="2" t="s">
        <v>23</v>
      </c>
      <c r="I2055" s="2">
        <v>1</v>
      </c>
      <c r="J2055" s="2"/>
      <c r="K2055" s="2">
        <v>3139.2</v>
      </c>
      <c r="L2055" s="35">
        <f t="shared" si="107"/>
        <v>10033401.168</v>
      </c>
      <c r="M2055" s="36">
        <v>40</v>
      </c>
      <c r="N2055" s="40">
        <v>317286.96999999997</v>
      </c>
      <c r="O2055" s="40">
        <v>0</v>
      </c>
      <c r="P2055" s="40">
        <v>248710</v>
      </c>
      <c r="Q2055" s="40">
        <v>0</v>
      </c>
      <c r="R2055" s="40">
        <v>2529</v>
      </c>
      <c r="S2055" s="40">
        <v>354356</v>
      </c>
      <c r="T2055" s="40">
        <v>30000</v>
      </c>
      <c r="U2055" s="40">
        <v>246380</v>
      </c>
      <c r="V2055" s="40">
        <v>0</v>
      </c>
      <c r="W2055" s="45">
        <f t="shared" si="108"/>
        <v>1199261.97</v>
      </c>
      <c r="X2055" s="46">
        <f t="shared" si="109"/>
        <v>11.952696298288789</v>
      </c>
    </row>
    <row r="2056" spans="1:24" s="4" customFormat="1" ht="15" customHeight="1">
      <c r="A2056" s="28" t="s">
        <v>3019</v>
      </c>
      <c r="B2056" s="29">
        <v>3196.165</v>
      </c>
      <c r="C2056" s="30" t="s">
        <v>3047</v>
      </c>
      <c r="D2056" s="2">
        <v>4951756764</v>
      </c>
      <c r="E2056" s="2" t="s">
        <v>18</v>
      </c>
      <c r="F2056" s="2" t="s">
        <v>3048</v>
      </c>
      <c r="G2056" s="28" t="s">
        <v>13</v>
      </c>
      <c r="H2056" s="2" t="s">
        <v>23</v>
      </c>
      <c r="I2056" s="2">
        <v>2</v>
      </c>
      <c r="J2056" s="2"/>
      <c r="K2056" s="2">
        <v>5640</v>
      </c>
      <c r="L2056" s="35">
        <f t="shared" si="107"/>
        <v>18026370.600000001</v>
      </c>
      <c r="M2056" s="36">
        <v>1500</v>
      </c>
      <c r="N2056" s="40">
        <v>848841</v>
      </c>
      <c r="O2056" s="40">
        <v>0</v>
      </c>
      <c r="P2056" s="40">
        <v>0</v>
      </c>
      <c r="Q2056" s="40">
        <v>0</v>
      </c>
      <c r="R2056" s="40">
        <v>3395</v>
      </c>
      <c r="S2056" s="40">
        <v>354356</v>
      </c>
      <c r="T2056" s="40">
        <v>30000</v>
      </c>
      <c r="U2056" s="40">
        <v>236600.51216389201</v>
      </c>
      <c r="V2056" s="40">
        <v>0</v>
      </c>
      <c r="W2056" s="45">
        <f t="shared" si="108"/>
        <v>1473192.5121638919</v>
      </c>
      <c r="X2056" s="46">
        <f t="shared" si="109"/>
        <v>8.1724299630447614</v>
      </c>
    </row>
    <row r="2057" spans="1:24" s="4" customFormat="1" ht="15" customHeight="1">
      <c r="A2057" s="28" t="s">
        <v>3019</v>
      </c>
      <c r="B2057" s="29">
        <v>3196.165</v>
      </c>
      <c r="C2057" s="30" t="s">
        <v>3049</v>
      </c>
      <c r="D2057" s="2">
        <v>4951771614</v>
      </c>
      <c r="E2057" s="2" t="s">
        <v>14</v>
      </c>
      <c r="F2057" s="2">
        <v>1027210249</v>
      </c>
      <c r="G2057" s="28" t="s">
        <v>13</v>
      </c>
      <c r="H2057" s="2" t="s">
        <v>23</v>
      </c>
      <c r="I2057" s="2">
        <v>1</v>
      </c>
      <c r="J2057" s="2"/>
      <c r="K2057" s="2">
        <v>3178.6</v>
      </c>
      <c r="L2057" s="35">
        <f t="shared" si="107"/>
        <v>10159330.069</v>
      </c>
      <c r="M2057" s="36">
        <v>20</v>
      </c>
      <c r="N2057" s="40">
        <v>297286.34000000003</v>
      </c>
      <c r="O2057" s="40">
        <v>0</v>
      </c>
      <c r="P2057" s="40">
        <v>0</v>
      </c>
      <c r="Q2057" s="40">
        <v>0</v>
      </c>
      <c r="R2057" s="40">
        <v>1189</v>
      </c>
      <c r="S2057" s="40">
        <v>354356</v>
      </c>
      <c r="T2057" s="40">
        <v>30000</v>
      </c>
      <c r="U2057" s="40">
        <v>3154.6734955185698</v>
      </c>
      <c r="V2057" s="40">
        <v>0</v>
      </c>
      <c r="W2057" s="45">
        <f t="shared" si="108"/>
        <v>685986.01349551871</v>
      </c>
      <c r="X2057" s="46">
        <f t="shared" si="109"/>
        <v>6.7522760736824994</v>
      </c>
    </row>
    <row r="2058" spans="1:24" s="4" customFormat="1" ht="15" customHeight="1">
      <c r="A2058" s="28" t="s">
        <v>3019</v>
      </c>
      <c r="B2058" s="29">
        <v>3196.165</v>
      </c>
      <c r="C2058" s="30" t="s">
        <v>3050</v>
      </c>
      <c r="D2058" s="2">
        <v>4951613520</v>
      </c>
      <c r="E2058" s="2" t="s">
        <v>33</v>
      </c>
      <c r="F2058" s="78" t="s">
        <v>3051</v>
      </c>
      <c r="G2058" s="28" t="s">
        <v>13</v>
      </c>
      <c r="H2058" s="2" t="s">
        <v>23</v>
      </c>
      <c r="I2058" s="2">
        <v>3</v>
      </c>
      <c r="J2058" s="2"/>
      <c r="K2058" s="2">
        <f>2897.5+627.54</f>
        <v>3525.04</v>
      </c>
      <c r="L2058" s="35">
        <f t="shared" si="107"/>
        <v>11266609.4716</v>
      </c>
      <c r="M2058" s="36">
        <v>19</v>
      </c>
      <c r="N2058" s="40">
        <v>637399.65437788004</v>
      </c>
      <c r="O2058" s="40">
        <v>0</v>
      </c>
      <c r="P2058" s="40">
        <v>0</v>
      </c>
      <c r="Q2058" s="40">
        <v>0</v>
      </c>
      <c r="R2058" s="40">
        <v>14522.3041474654</v>
      </c>
      <c r="S2058" s="40">
        <v>155132.81105990801</v>
      </c>
      <c r="T2058" s="40"/>
      <c r="U2058" s="40">
        <v>0</v>
      </c>
      <c r="V2058" s="40">
        <v>0</v>
      </c>
      <c r="W2058" s="45">
        <f t="shared" si="108"/>
        <v>807054.76958525344</v>
      </c>
      <c r="X2058" s="46">
        <f t="shared" si="109"/>
        <v>7.1632443781744177</v>
      </c>
    </row>
    <row r="2059" spans="1:24" s="4" customFormat="1" ht="15" customHeight="1">
      <c r="A2059" s="28" t="s">
        <v>3019</v>
      </c>
      <c r="B2059" s="29">
        <v>3196.165</v>
      </c>
      <c r="C2059" s="30" t="s">
        <v>3050</v>
      </c>
      <c r="D2059" s="2">
        <v>4951613520</v>
      </c>
      <c r="E2059" s="2" t="s">
        <v>33</v>
      </c>
      <c r="F2059" s="78" t="s">
        <v>3051</v>
      </c>
      <c r="G2059" s="28" t="s">
        <v>13</v>
      </c>
      <c r="H2059" s="2" t="s">
        <v>23</v>
      </c>
      <c r="I2059" s="2">
        <v>3</v>
      </c>
      <c r="J2059" s="2"/>
      <c r="K2059" s="2">
        <f>3876+753.02</f>
        <v>4629.0200000000004</v>
      </c>
      <c r="L2059" s="35">
        <f t="shared" si="107"/>
        <v>14795111.708300002</v>
      </c>
      <c r="M2059" s="36">
        <v>19</v>
      </c>
      <c r="N2059" s="40">
        <v>764879.58525345603</v>
      </c>
      <c r="O2059" s="40">
        <v>0</v>
      </c>
      <c r="P2059" s="40">
        <v>0</v>
      </c>
      <c r="Q2059" s="40">
        <v>0</v>
      </c>
      <c r="R2059" s="40">
        <v>17426.7649769585</v>
      </c>
      <c r="S2059" s="40">
        <v>186159.373271889</v>
      </c>
      <c r="T2059" s="40"/>
      <c r="U2059" s="40">
        <v>0</v>
      </c>
      <c r="V2059" s="40">
        <v>0</v>
      </c>
      <c r="W2059" s="45">
        <f t="shared" si="108"/>
        <v>968465.72350230347</v>
      </c>
      <c r="X2059" s="46">
        <f t="shared" si="109"/>
        <v>6.5458493494104406</v>
      </c>
    </row>
    <row r="2060" spans="1:24" s="4" customFormat="1" ht="15" customHeight="1">
      <c r="A2060" s="28" t="s">
        <v>3019</v>
      </c>
      <c r="B2060" s="29">
        <v>3196.165</v>
      </c>
      <c r="C2060" s="30" t="s">
        <v>3050</v>
      </c>
      <c r="D2060" s="2">
        <v>4951613520</v>
      </c>
      <c r="E2060" s="2" t="s">
        <v>33</v>
      </c>
      <c r="F2060" s="78" t="s">
        <v>3051</v>
      </c>
      <c r="G2060" s="28" t="s">
        <v>13</v>
      </c>
      <c r="H2060" s="2" t="s">
        <v>23</v>
      </c>
      <c r="I2060" s="2">
        <v>3</v>
      </c>
      <c r="J2060" s="2"/>
      <c r="K2060" s="2">
        <f>743.2+26.42</f>
        <v>769.62</v>
      </c>
      <c r="L2060" s="35">
        <f t="shared" si="107"/>
        <v>2459832.5073000002</v>
      </c>
      <c r="M2060" s="36">
        <v>8</v>
      </c>
      <c r="N2060" s="40">
        <v>26837.8801843318</v>
      </c>
      <c r="O2060" s="40">
        <v>0</v>
      </c>
      <c r="P2060" s="40">
        <v>0</v>
      </c>
      <c r="Q2060" s="40">
        <v>0</v>
      </c>
      <c r="R2060" s="40">
        <v>611.46543778801799</v>
      </c>
      <c r="S2060" s="40">
        <v>6531.9078341013801</v>
      </c>
      <c r="T2060" s="40"/>
      <c r="U2060" s="40">
        <v>0</v>
      </c>
      <c r="V2060" s="40">
        <v>0</v>
      </c>
      <c r="W2060" s="45">
        <f t="shared" si="108"/>
        <v>33981.253456221195</v>
      </c>
      <c r="X2060" s="46">
        <f t="shared" si="109"/>
        <v>1.3814458242736303</v>
      </c>
    </row>
    <row r="2061" spans="1:24" s="4" customFormat="1" ht="15" customHeight="1">
      <c r="A2061" s="28" t="s">
        <v>3019</v>
      </c>
      <c r="B2061" s="29">
        <v>3196.165</v>
      </c>
      <c r="C2061" s="30" t="s">
        <v>3050</v>
      </c>
      <c r="D2061" s="2">
        <v>4951613520</v>
      </c>
      <c r="E2061" s="2" t="s">
        <v>33</v>
      </c>
      <c r="F2061" s="78" t="s">
        <v>3051</v>
      </c>
      <c r="G2061" s="28" t="s">
        <v>13</v>
      </c>
      <c r="H2061" s="2" t="s">
        <v>23</v>
      </c>
      <c r="I2061" s="2">
        <v>3</v>
      </c>
      <c r="J2061" s="2"/>
      <c r="K2061" s="2">
        <f>580+26.42</f>
        <v>606.41999999999996</v>
      </c>
      <c r="L2061" s="35">
        <f t="shared" si="107"/>
        <v>1938218.3792999999</v>
      </c>
      <c r="M2061" s="36">
        <v>4</v>
      </c>
      <c r="N2061" s="40">
        <v>26837.8801843318</v>
      </c>
      <c r="O2061" s="40">
        <v>0</v>
      </c>
      <c r="P2061" s="40">
        <v>0</v>
      </c>
      <c r="Q2061" s="40">
        <v>0</v>
      </c>
      <c r="R2061" s="40">
        <v>611.46543778801799</v>
      </c>
      <c r="S2061" s="40">
        <v>6531.9078341013801</v>
      </c>
      <c r="T2061" s="40"/>
      <c r="U2061" s="40">
        <v>0</v>
      </c>
      <c r="V2061" s="40">
        <v>0</v>
      </c>
      <c r="W2061" s="45">
        <f t="shared" si="108"/>
        <v>33981.253456221195</v>
      </c>
      <c r="X2061" s="46">
        <f t="shared" si="109"/>
        <v>1.7532210930996199</v>
      </c>
    </row>
    <row r="2062" spans="1:24" s="4" customFormat="1" ht="15" customHeight="1">
      <c r="A2062" s="28" t="s">
        <v>3019</v>
      </c>
      <c r="B2062" s="29">
        <v>3196.165</v>
      </c>
      <c r="C2062" s="30" t="s">
        <v>3052</v>
      </c>
      <c r="D2062" s="2">
        <v>4951050361</v>
      </c>
      <c r="E2062" s="2" t="s">
        <v>14</v>
      </c>
      <c r="F2062" s="78" t="s">
        <v>3053</v>
      </c>
      <c r="G2062" s="28" t="s">
        <v>13</v>
      </c>
      <c r="H2062" s="2" t="s">
        <v>23</v>
      </c>
      <c r="I2062" s="2">
        <v>1</v>
      </c>
      <c r="J2062" s="2"/>
      <c r="K2062" s="2">
        <v>854.36</v>
      </c>
      <c r="L2062" s="35">
        <f t="shared" si="107"/>
        <v>2730675.5293999999</v>
      </c>
      <c r="M2062" s="36">
        <v>2</v>
      </c>
      <c r="N2062" s="40">
        <v>297286.34000000003</v>
      </c>
      <c r="O2062" s="40">
        <v>0</v>
      </c>
      <c r="P2062" s="40">
        <v>0</v>
      </c>
      <c r="Q2062" s="40">
        <v>0</v>
      </c>
      <c r="R2062" s="40">
        <v>1189</v>
      </c>
      <c r="S2062" s="40">
        <v>354356</v>
      </c>
      <c r="T2062" s="40">
        <v>30000</v>
      </c>
      <c r="U2062" s="40">
        <v>315.46734955185701</v>
      </c>
      <c r="V2062" s="40">
        <v>0</v>
      </c>
      <c r="W2062" s="45">
        <f t="shared" si="108"/>
        <v>683146.80734955193</v>
      </c>
      <c r="X2062" s="46">
        <f t="shared" si="109"/>
        <v>25.017502079408789</v>
      </c>
    </row>
    <row r="2063" spans="1:24" s="4" customFormat="1" ht="15" customHeight="1">
      <c r="A2063" s="28" t="s">
        <v>3019</v>
      </c>
      <c r="B2063" s="29">
        <v>3196.165</v>
      </c>
      <c r="C2063" s="30" t="s">
        <v>3054</v>
      </c>
      <c r="D2063" s="2">
        <v>4951516180</v>
      </c>
      <c r="E2063" s="2" t="s">
        <v>14</v>
      </c>
      <c r="F2063" s="2" t="s">
        <v>3055</v>
      </c>
      <c r="G2063" s="28" t="s">
        <v>13</v>
      </c>
      <c r="H2063" s="2" t="s">
        <v>23</v>
      </c>
      <c r="I2063" s="2">
        <v>1</v>
      </c>
      <c r="J2063" s="2"/>
      <c r="K2063" s="2">
        <v>4184.3999999999996</v>
      </c>
      <c r="L2063" s="35">
        <f t="shared" si="107"/>
        <v>13374032.825999999</v>
      </c>
      <c r="M2063" s="36">
        <v>40</v>
      </c>
      <c r="N2063" s="40">
        <v>311676.86</v>
      </c>
      <c r="O2063" s="40">
        <v>0</v>
      </c>
      <c r="P2063" s="40">
        <v>0</v>
      </c>
      <c r="Q2063" s="40">
        <v>0</v>
      </c>
      <c r="R2063" s="40">
        <v>1246</v>
      </c>
      <c r="S2063" s="40">
        <v>354356</v>
      </c>
      <c r="T2063" s="40">
        <v>30000</v>
      </c>
      <c r="U2063" s="40">
        <v>6309.3469910371296</v>
      </c>
      <c r="V2063" s="40">
        <v>0</v>
      </c>
      <c r="W2063" s="45">
        <f t="shared" si="108"/>
        <v>703588.20699103712</v>
      </c>
      <c r="X2063" s="46">
        <f t="shared" si="109"/>
        <v>5.2608529988293089</v>
      </c>
    </row>
    <row r="2064" spans="1:24" s="4" customFormat="1" ht="15" customHeight="1">
      <c r="A2064" s="28" t="s">
        <v>3019</v>
      </c>
      <c r="B2064" s="29">
        <v>3196.165</v>
      </c>
      <c r="C2064" s="30" t="s">
        <v>3056</v>
      </c>
      <c r="D2064" s="2">
        <v>4951432296</v>
      </c>
      <c r="E2064" s="2" t="s">
        <v>18</v>
      </c>
      <c r="F2064" s="2" t="s">
        <v>3057</v>
      </c>
      <c r="G2064" s="28" t="s">
        <v>13</v>
      </c>
      <c r="H2064" s="2" t="s">
        <v>23</v>
      </c>
      <c r="I2064" s="2">
        <v>2</v>
      </c>
      <c r="J2064" s="2"/>
      <c r="K2064" s="2">
        <v>988.14</v>
      </c>
      <c r="L2064" s="35">
        <f t="shared" si="107"/>
        <v>3158258.4830999998</v>
      </c>
      <c r="M2064" s="36">
        <v>30</v>
      </c>
      <c r="N2064" s="40">
        <v>122089</v>
      </c>
      <c r="O2064" s="40">
        <v>0</v>
      </c>
      <c r="P2064" s="40">
        <v>0</v>
      </c>
      <c r="Q2064" s="40">
        <v>0</v>
      </c>
      <c r="R2064" s="40">
        <v>488</v>
      </c>
      <c r="S2064" s="40">
        <v>354356</v>
      </c>
      <c r="T2064" s="40">
        <v>30000</v>
      </c>
      <c r="U2064" s="40">
        <v>8905.3012048192795</v>
      </c>
      <c r="V2064" s="40">
        <v>0</v>
      </c>
      <c r="W2064" s="45">
        <f t="shared" si="108"/>
        <v>515838.30120481929</v>
      </c>
      <c r="X2064" s="46">
        <f t="shared" si="109"/>
        <v>16.332998200277022</v>
      </c>
    </row>
    <row r="2065" spans="1:24" s="4" customFormat="1" ht="15" customHeight="1">
      <c r="A2065" s="28" t="s">
        <v>3019</v>
      </c>
      <c r="B2065" s="29">
        <v>3196.165</v>
      </c>
      <c r="C2065" s="30" t="s">
        <v>3058</v>
      </c>
      <c r="D2065" s="2">
        <v>4951647405</v>
      </c>
      <c r="E2065" s="2" t="s">
        <v>14</v>
      </c>
      <c r="F2065" s="78" t="s">
        <v>3059</v>
      </c>
      <c r="G2065" s="28" t="s">
        <v>13</v>
      </c>
      <c r="H2065" s="2" t="s">
        <v>23</v>
      </c>
      <c r="I2065" s="2">
        <v>1</v>
      </c>
      <c r="J2065" s="2"/>
      <c r="K2065" s="2">
        <v>5152.2</v>
      </c>
      <c r="L2065" s="35">
        <f t="shared" si="107"/>
        <v>16467281.312999999</v>
      </c>
      <c r="M2065" s="36">
        <v>60</v>
      </c>
      <c r="N2065" s="40">
        <v>240677.19333333301</v>
      </c>
      <c r="O2065" s="40">
        <v>0</v>
      </c>
      <c r="P2065" s="40">
        <v>0</v>
      </c>
      <c r="Q2065" s="40">
        <v>0</v>
      </c>
      <c r="R2065" s="40">
        <v>4962.6666666666697</v>
      </c>
      <c r="S2065" s="40">
        <v>236237.33333333299</v>
      </c>
      <c r="T2065" s="40">
        <v>30000</v>
      </c>
      <c r="U2065" s="40">
        <v>54589.364844903997</v>
      </c>
      <c r="V2065" s="40">
        <v>0</v>
      </c>
      <c r="W2065" s="45">
        <f t="shared" si="108"/>
        <v>566466.55817823671</v>
      </c>
      <c r="X2065" s="46">
        <f t="shared" si="109"/>
        <v>3.4399519107689196</v>
      </c>
    </row>
    <row r="2066" spans="1:24" s="4" customFormat="1" ht="15" customHeight="1">
      <c r="A2066" s="28" t="s">
        <v>3019</v>
      </c>
      <c r="B2066" s="29">
        <v>3196.165</v>
      </c>
      <c r="C2066" s="30" t="s">
        <v>3058</v>
      </c>
      <c r="D2066" s="2">
        <v>4951647405</v>
      </c>
      <c r="E2066" s="2" t="s">
        <v>14</v>
      </c>
      <c r="F2066" s="78" t="s">
        <v>3059</v>
      </c>
      <c r="G2066" s="28" t="s">
        <v>13</v>
      </c>
      <c r="H2066" s="2" t="s">
        <v>23</v>
      </c>
      <c r="I2066" s="2">
        <v>1</v>
      </c>
      <c r="J2066" s="2"/>
      <c r="K2066" s="2">
        <v>1359.9</v>
      </c>
      <c r="L2066" s="35">
        <f t="shared" si="107"/>
        <v>4346464.7834999999</v>
      </c>
      <c r="M2066" s="36">
        <v>30</v>
      </c>
      <c r="N2066" s="40">
        <v>120338.596666667</v>
      </c>
      <c r="O2066" s="40">
        <v>0</v>
      </c>
      <c r="P2066" s="40">
        <v>0</v>
      </c>
      <c r="Q2066" s="40">
        <v>0</v>
      </c>
      <c r="R2066" s="40">
        <v>2481.3333333333298</v>
      </c>
      <c r="S2066" s="40">
        <v>118118.66666666701</v>
      </c>
      <c r="T2066" s="40">
        <v>30000</v>
      </c>
      <c r="U2066" s="40">
        <v>27294.682422451999</v>
      </c>
      <c r="V2066" s="40">
        <v>0</v>
      </c>
      <c r="W2066" s="45">
        <f t="shared" si="108"/>
        <v>298233.27908911934</v>
      </c>
      <c r="X2066" s="46">
        <f t="shared" si="109"/>
        <v>6.8615137576006386</v>
      </c>
    </row>
    <row r="2067" spans="1:24" s="4" customFormat="1" ht="15" customHeight="1">
      <c r="A2067" s="28" t="s">
        <v>3019</v>
      </c>
      <c r="B2067" s="29">
        <v>3196.165</v>
      </c>
      <c r="C2067" s="30" t="s">
        <v>3060</v>
      </c>
      <c r="D2067" s="2">
        <v>4951870882</v>
      </c>
      <c r="E2067" s="2" t="s">
        <v>14</v>
      </c>
      <c r="F2067" s="78" t="s">
        <v>3061</v>
      </c>
      <c r="G2067" s="28" t="s">
        <v>13</v>
      </c>
      <c r="H2067" s="2" t="s">
        <v>23</v>
      </c>
      <c r="I2067" s="2">
        <v>2</v>
      </c>
      <c r="J2067" s="2"/>
      <c r="K2067" s="2">
        <v>91.66</v>
      </c>
      <c r="L2067" s="35">
        <f t="shared" si="107"/>
        <v>292960.48389999999</v>
      </c>
      <c r="M2067" s="36">
        <v>0.8</v>
      </c>
      <c r="N2067" s="40">
        <v>2180.2865929203499</v>
      </c>
      <c r="O2067" s="40">
        <v>0</v>
      </c>
      <c r="P2067" s="40">
        <v>0</v>
      </c>
      <c r="Q2067" s="40">
        <v>0</v>
      </c>
      <c r="R2067" s="40">
        <v>48.544247787610601</v>
      </c>
      <c r="S2067" s="40">
        <v>1567.94690265487</v>
      </c>
      <c r="T2067" s="40">
        <v>30000</v>
      </c>
      <c r="U2067" s="40">
        <v>727.85819793205303</v>
      </c>
      <c r="V2067" s="40">
        <v>0</v>
      </c>
      <c r="W2067" s="45">
        <f t="shared" si="108"/>
        <v>34524.63594129488</v>
      </c>
      <c r="X2067" s="46">
        <f t="shared" si="109"/>
        <v>11.784741573911251</v>
      </c>
    </row>
    <row r="2068" spans="1:24" s="4" customFormat="1" ht="15" customHeight="1">
      <c r="A2068" s="28" t="s">
        <v>3019</v>
      </c>
      <c r="B2068" s="29">
        <v>3196.165</v>
      </c>
      <c r="C2068" s="30" t="s">
        <v>3060</v>
      </c>
      <c r="D2068" s="2">
        <v>4949591577</v>
      </c>
      <c r="E2068" s="2" t="s">
        <v>14</v>
      </c>
      <c r="F2068" s="78" t="s">
        <v>3061</v>
      </c>
      <c r="G2068" s="28" t="s">
        <v>13</v>
      </c>
      <c r="H2068" s="2" t="s">
        <v>23</v>
      </c>
      <c r="I2068" s="2">
        <v>2</v>
      </c>
      <c r="J2068" s="2"/>
      <c r="K2068" s="2">
        <v>1816</v>
      </c>
      <c r="L2068" s="35">
        <f t="shared" si="107"/>
        <v>5804235.6399999997</v>
      </c>
      <c r="M2068" s="36">
        <v>100</v>
      </c>
      <c r="N2068" s="40">
        <v>272535.82411504397</v>
      </c>
      <c r="O2068" s="40">
        <v>0</v>
      </c>
      <c r="P2068" s="40">
        <v>0</v>
      </c>
      <c r="Q2068" s="40">
        <v>0</v>
      </c>
      <c r="R2068" s="40">
        <v>6068.0309734513303</v>
      </c>
      <c r="S2068" s="40">
        <v>195993.36283185799</v>
      </c>
      <c r="T2068" s="40">
        <v>30000</v>
      </c>
      <c r="U2068" s="40">
        <v>90982.274741506597</v>
      </c>
      <c r="V2068" s="40">
        <v>0</v>
      </c>
      <c r="W2068" s="45">
        <f t="shared" si="108"/>
        <v>595579.49266185984</v>
      </c>
      <c r="X2068" s="46">
        <f t="shared" si="109"/>
        <v>10.261118424576226</v>
      </c>
    </row>
    <row r="2069" spans="1:24" s="4" customFormat="1" ht="15" customHeight="1">
      <c r="A2069" s="28" t="s">
        <v>3019</v>
      </c>
      <c r="B2069" s="29">
        <v>3196.165</v>
      </c>
      <c r="C2069" s="30" t="s">
        <v>3060</v>
      </c>
      <c r="D2069" s="2">
        <v>4951516179</v>
      </c>
      <c r="E2069" s="2" t="s">
        <v>14</v>
      </c>
      <c r="F2069" s="78" t="s">
        <v>3061</v>
      </c>
      <c r="G2069" s="28" t="s">
        <v>13</v>
      </c>
      <c r="H2069" s="2" t="s">
        <v>23</v>
      </c>
      <c r="I2069" s="2">
        <v>2</v>
      </c>
      <c r="J2069" s="2"/>
      <c r="K2069" s="2">
        <v>4492</v>
      </c>
      <c r="L2069" s="35">
        <f t="shared" si="107"/>
        <v>14357173.18</v>
      </c>
      <c r="M2069" s="36">
        <v>80</v>
      </c>
      <c r="N2069" s="40">
        <v>218028.65929203501</v>
      </c>
      <c r="O2069" s="40">
        <v>0</v>
      </c>
      <c r="P2069" s="40">
        <v>0</v>
      </c>
      <c r="Q2069" s="40">
        <v>0</v>
      </c>
      <c r="R2069" s="40">
        <v>4854.4247787610602</v>
      </c>
      <c r="S2069" s="40">
        <v>156794.69026548701</v>
      </c>
      <c r="T2069" s="40">
        <v>30000</v>
      </c>
      <c r="U2069" s="40">
        <v>72785.819793205301</v>
      </c>
      <c r="V2069" s="40">
        <v>0</v>
      </c>
      <c r="W2069" s="45">
        <f t="shared" si="108"/>
        <v>482463.5941294884</v>
      </c>
      <c r="X2069" s="46">
        <f t="shared" si="109"/>
        <v>3.3604358468112343</v>
      </c>
    </row>
    <row r="2070" spans="1:24" s="4" customFormat="1" ht="15" customHeight="1">
      <c r="A2070" s="28" t="s">
        <v>3019</v>
      </c>
      <c r="B2070" s="29">
        <v>3196.165</v>
      </c>
      <c r="C2070" s="30" t="s">
        <v>3062</v>
      </c>
      <c r="D2070" s="2">
        <v>4951729054</v>
      </c>
      <c r="E2070" s="2" t="s">
        <v>27</v>
      </c>
      <c r="F2070" s="2" t="s">
        <v>3063</v>
      </c>
      <c r="G2070" s="28" t="s">
        <v>13</v>
      </c>
      <c r="H2070" s="2" t="s">
        <v>23</v>
      </c>
      <c r="I2070" s="2">
        <v>5</v>
      </c>
      <c r="J2070" s="2"/>
      <c r="K2070" s="2">
        <v>1056.8800000000001</v>
      </c>
      <c r="L2070" s="35">
        <f t="shared" si="107"/>
        <v>3377962.8652000003</v>
      </c>
      <c r="M2070" s="36">
        <v>61.68</v>
      </c>
      <c r="N2070" s="40">
        <v>1061019</v>
      </c>
      <c r="O2070" s="40">
        <v>0</v>
      </c>
      <c r="P2070" s="40">
        <v>0</v>
      </c>
      <c r="Q2070" s="40">
        <v>0</v>
      </c>
      <c r="R2070" s="40">
        <v>4244</v>
      </c>
      <c r="S2070" s="40">
        <v>354356</v>
      </c>
      <c r="T2070" s="40"/>
      <c r="U2070" s="40">
        <v>246380</v>
      </c>
      <c r="V2070" s="40">
        <v>0</v>
      </c>
      <c r="W2070" s="45">
        <f t="shared" si="108"/>
        <v>1665999</v>
      </c>
      <c r="X2070" s="46">
        <f t="shared" si="109"/>
        <v>49.319636315817242</v>
      </c>
    </row>
    <row r="2071" spans="1:24" s="4" customFormat="1" ht="15" customHeight="1">
      <c r="A2071" s="28" t="s">
        <v>3019</v>
      </c>
      <c r="B2071" s="29">
        <v>3196.165</v>
      </c>
      <c r="C2071" s="30" t="s">
        <v>3064</v>
      </c>
      <c r="D2071" s="2">
        <v>4951609223</v>
      </c>
      <c r="E2071" s="2" t="s">
        <v>14</v>
      </c>
      <c r="F2071" s="78" t="s">
        <v>3065</v>
      </c>
      <c r="G2071" s="28" t="s">
        <v>13</v>
      </c>
      <c r="H2071" s="2" t="s">
        <v>23</v>
      </c>
      <c r="I2071" s="2">
        <v>1</v>
      </c>
      <c r="J2071" s="2"/>
      <c r="K2071" s="2">
        <v>571</v>
      </c>
      <c r="L2071" s="35">
        <f t="shared" si="107"/>
        <v>1825010.2150000001</v>
      </c>
      <c r="M2071" s="36">
        <v>5</v>
      </c>
      <c r="N2071" s="40">
        <v>304278.49</v>
      </c>
      <c r="O2071" s="40">
        <v>0</v>
      </c>
      <c r="P2071" s="40">
        <v>0</v>
      </c>
      <c r="Q2071" s="40">
        <v>0</v>
      </c>
      <c r="R2071" s="40">
        <v>1217</v>
      </c>
      <c r="S2071" s="40">
        <v>354356</v>
      </c>
      <c r="T2071" s="40">
        <v>30000</v>
      </c>
      <c r="U2071" s="40">
        <v>246380</v>
      </c>
      <c r="V2071" s="40">
        <v>0</v>
      </c>
      <c r="W2071" s="45">
        <f t="shared" si="108"/>
        <v>936231.49</v>
      </c>
      <c r="X2071" s="46">
        <f t="shared" si="109"/>
        <v>51.300068476603023</v>
      </c>
    </row>
    <row r="2072" spans="1:24" s="4" customFormat="1" ht="15" customHeight="1">
      <c r="A2072" s="28" t="s">
        <v>3019</v>
      </c>
      <c r="B2072" s="29">
        <v>3196.165</v>
      </c>
      <c r="C2072" s="30" t="s">
        <v>3066</v>
      </c>
      <c r="D2072" s="2">
        <v>4950184129</v>
      </c>
      <c r="E2072" s="2" t="s">
        <v>36</v>
      </c>
      <c r="F2072" s="2" t="s">
        <v>3067</v>
      </c>
      <c r="G2072" s="28" t="s">
        <v>5</v>
      </c>
      <c r="H2072" s="2" t="s">
        <v>26</v>
      </c>
      <c r="I2072" s="2">
        <v>1</v>
      </c>
      <c r="J2072" s="2" t="s">
        <v>3068</v>
      </c>
      <c r="K2072" s="2">
        <v>21030.799999999999</v>
      </c>
      <c r="L2072" s="35">
        <f t="shared" si="107"/>
        <v>67217906.881999999</v>
      </c>
      <c r="M2072" s="36">
        <v>21460</v>
      </c>
      <c r="N2072" s="40">
        <v>343613</v>
      </c>
      <c r="O2072" s="40">
        <v>494824</v>
      </c>
      <c r="P2072" s="40">
        <v>2305074</v>
      </c>
      <c r="Q2072" s="40">
        <v>138578</v>
      </c>
      <c r="R2072" s="40">
        <v>945030</v>
      </c>
      <c r="S2072" s="40">
        <v>354356</v>
      </c>
      <c r="T2072" s="40"/>
      <c r="U2072" s="40">
        <v>0</v>
      </c>
      <c r="V2072" s="40">
        <v>0</v>
      </c>
      <c r="W2072" s="45">
        <f t="shared" si="108"/>
        <v>4581475</v>
      </c>
      <c r="X2072" s="46">
        <f t="shared" si="109"/>
        <v>6.8158549001573476</v>
      </c>
    </row>
    <row r="2073" spans="1:24" s="4" customFormat="1" ht="15" customHeight="1">
      <c r="A2073" s="28" t="s">
        <v>3019</v>
      </c>
      <c r="B2073" s="29">
        <v>3196.165</v>
      </c>
      <c r="C2073" s="30" t="s">
        <v>3069</v>
      </c>
      <c r="D2073" s="2">
        <v>4951544287</v>
      </c>
      <c r="E2073" s="2" t="s">
        <v>18</v>
      </c>
      <c r="F2073" s="78" t="s">
        <v>3070</v>
      </c>
      <c r="G2073" s="28" t="s">
        <v>13</v>
      </c>
      <c r="H2073" s="2" t="s">
        <v>23</v>
      </c>
      <c r="I2073" s="2">
        <v>2</v>
      </c>
      <c r="J2073" s="2"/>
      <c r="K2073" s="2">
        <v>20572</v>
      </c>
      <c r="L2073" s="35">
        <f t="shared" si="107"/>
        <v>65751506.380000003</v>
      </c>
      <c r="M2073" s="36">
        <v>800</v>
      </c>
      <c r="N2073" s="40">
        <v>1090275.92</v>
      </c>
      <c r="O2073" s="40">
        <v>0</v>
      </c>
      <c r="P2073" s="40">
        <v>0</v>
      </c>
      <c r="Q2073" s="40">
        <v>0</v>
      </c>
      <c r="R2073" s="40">
        <v>7361</v>
      </c>
      <c r="S2073" s="40">
        <v>354356</v>
      </c>
      <c r="T2073" s="40">
        <v>30000</v>
      </c>
      <c r="U2073" s="40">
        <v>237474.698795181</v>
      </c>
      <c r="V2073" s="40">
        <v>0</v>
      </c>
      <c r="W2073" s="45">
        <f t="shared" si="108"/>
        <v>1719467.6187951809</v>
      </c>
      <c r="X2073" s="46">
        <f t="shared" si="109"/>
        <v>2.6150999626651914</v>
      </c>
    </row>
    <row r="2074" spans="1:24" s="4" customFormat="1" ht="15" customHeight="1">
      <c r="A2074" s="28" t="s">
        <v>3019</v>
      </c>
      <c r="B2074" s="29">
        <v>3196.165</v>
      </c>
      <c r="C2074" s="30" t="s">
        <v>3071</v>
      </c>
      <c r="D2074" s="2">
        <v>4951318746</v>
      </c>
      <c r="E2074" s="2" t="s">
        <v>24</v>
      </c>
      <c r="F2074" s="78" t="s">
        <v>3072</v>
      </c>
      <c r="G2074" s="28" t="s">
        <v>13</v>
      </c>
      <c r="H2074" s="2" t="s">
        <v>23</v>
      </c>
      <c r="I2074" s="2">
        <v>1</v>
      </c>
      <c r="J2074" s="2"/>
      <c r="K2074" s="2">
        <v>557.19000000000005</v>
      </c>
      <c r="L2074" s="35">
        <f t="shared" si="107"/>
        <v>1780871.1763500001</v>
      </c>
      <c r="M2074" s="36">
        <v>204.1</v>
      </c>
      <c r="N2074" s="40">
        <v>251220.12</v>
      </c>
      <c r="O2074" s="40">
        <v>0</v>
      </c>
      <c r="P2074" s="40">
        <v>0</v>
      </c>
      <c r="Q2074" s="40">
        <v>0</v>
      </c>
      <c r="R2074" s="40">
        <v>1004</v>
      </c>
      <c r="S2074" s="40">
        <v>354356</v>
      </c>
      <c r="T2074" s="40"/>
      <c r="U2074" s="40">
        <v>0</v>
      </c>
      <c r="V2074" s="40">
        <v>0</v>
      </c>
      <c r="W2074" s="45">
        <f t="shared" si="108"/>
        <v>606580.12</v>
      </c>
      <c r="X2074" s="46">
        <f t="shared" si="109"/>
        <v>34.060864595676236</v>
      </c>
    </row>
    <row r="2075" spans="1:24" s="4" customFormat="1" ht="15" customHeight="1">
      <c r="A2075" s="28" t="s">
        <v>3019</v>
      </c>
      <c r="B2075" s="29">
        <v>3196.165</v>
      </c>
      <c r="C2075" s="30" t="s">
        <v>3073</v>
      </c>
      <c r="D2075" s="2">
        <v>4951796904</v>
      </c>
      <c r="E2075" s="2" t="s">
        <v>14</v>
      </c>
      <c r="F2075" s="78" t="s">
        <v>3074</v>
      </c>
      <c r="G2075" s="28" t="s">
        <v>13</v>
      </c>
      <c r="H2075" s="2" t="s">
        <v>23</v>
      </c>
      <c r="I2075" s="2">
        <v>1</v>
      </c>
      <c r="J2075" s="2"/>
      <c r="K2075" s="2">
        <v>1458.7</v>
      </c>
      <c r="L2075" s="35">
        <f t="shared" si="107"/>
        <v>4662245.8854999999</v>
      </c>
      <c r="M2075" s="36">
        <v>10</v>
      </c>
      <c r="N2075" s="40">
        <v>62344.1</v>
      </c>
      <c r="O2075" s="40">
        <v>0</v>
      </c>
      <c r="P2075" s="40">
        <v>331517</v>
      </c>
      <c r="Q2075" s="40">
        <v>0</v>
      </c>
      <c r="R2075" s="40">
        <v>249</v>
      </c>
      <c r="S2075" s="40">
        <v>354356</v>
      </c>
      <c r="T2075" s="40">
        <v>30000</v>
      </c>
      <c r="U2075" s="40">
        <v>246380</v>
      </c>
      <c r="V2075" s="40">
        <v>0</v>
      </c>
      <c r="W2075" s="45">
        <f t="shared" si="108"/>
        <v>1024846.1</v>
      </c>
      <c r="X2075" s="46">
        <f t="shared" si="109"/>
        <v>21.981811452445328</v>
      </c>
    </row>
    <row r="2076" spans="1:24" s="4" customFormat="1" ht="15" customHeight="1">
      <c r="A2076" s="28" t="s">
        <v>3019</v>
      </c>
      <c r="B2076" s="29">
        <v>3196.165</v>
      </c>
      <c r="C2076" s="30" t="s">
        <v>3075</v>
      </c>
      <c r="D2076" s="2">
        <v>4950722791</v>
      </c>
      <c r="E2076" s="2" t="s">
        <v>14</v>
      </c>
      <c r="F2076" s="78" t="s">
        <v>3076</v>
      </c>
      <c r="G2076" s="28" t="s">
        <v>13</v>
      </c>
      <c r="H2076" s="2" t="s">
        <v>23</v>
      </c>
      <c r="I2076" s="2">
        <v>1</v>
      </c>
      <c r="J2076" s="2"/>
      <c r="K2076" s="2">
        <f>3696.48+1199</f>
        <v>4895.4799999999996</v>
      </c>
      <c r="L2076" s="35">
        <f t="shared" si="107"/>
        <v>15646761.834199999</v>
      </c>
      <c r="M2076" s="36">
        <v>816</v>
      </c>
      <c r="N2076" s="40">
        <v>1018850</v>
      </c>
      <c r="O2076" s="40">
        <v>0</v>
      </c>
      <c r="P2076" s="40">
        <v>0</v>
      </c>
      <c r="Q2076" s="40">
        <v>0</v>
      </c>
      <c r="R2076" s="40">
        <v>19432</v>
      </c>
      <c r="S2076" s="40">
        <v>354356</v>
      </c>
      <c r="T2076" s="40">
        <v>30000</v>
      </c>
      <c r="U2076" s="40">
        <v>246380</v>
      </c>
      <c r="V2076" s="40">
        <v>0</v>
      </c>
      <c r="W2076" s="45">
        <f t="shared" si="108"/>
        <v>1669018</v>
      </c>
      <c r="X2076" s="46">
        <f t="shared" si="109"/>
        <v>10.66685885351648</v>
      </c>
    </row>
    <row r="2077" spans="1:24" s="4" customFormat="1" ht="15" customHeight="1">
      <c r="A2077" s="28" t="s">
        <v>3019</v>
      </c>
      <c r="B2077" s="29">
        <v>3196.165</v>
      </c>
      <c r="C2077" s="30" t="s">
        <v>3077</v>
      </c>
      <c r="D2077" s="2">
        <v>4951977010</v>
      </c>
      <c r="E2077" s="2" t="s">
        <v>27</v>
      </c>
      <c r="F2077" s="2" t="s">
        <v>3078</v>
      </c>
      <c r="G2077" s="28" t="s">
        <v>13</v>
      </c>
      <c r="H2077" s="2" t="s">
        <v>23</v>
      </c>
      <c r="I2077" s="2">
        <v>1</v>
      </c>
      <c r="J2077" s="2"/>
      <c r="K2077" s="2">
        <v>35.43</v>
      </c>
      <c r="L2077" s="35">
        <f t="shared" si="107"/>
        <v>113240.12595</v>
      </c>
      <c r="M2077" s="36">
        <v>7.1890000000000001</v>
      </c>
      <c r="N2077" s="40">
        <v>11132.87</v>
      </c>
      <c r="O2077" s="40">
        <v>0</v>
      </c>
      <c r="P2077" s="40">
        <v>0</v>
      </c>
      <c r="Q2077" s="40">
        <v>0</v>
      </c>
      <c r="R2077" s="40">
        <v>44.53</v>
      </c>
      <c r="S2077" s="40">
        <v>354356</v>
      </c>
      <c r="T2077" s="40"/>
      <c r="U2077" s="40">
        <v>246380</v>
      </c>
      <c r="V2077" s="40">
        <v>0</v>
      </c>
      <c r="W2077" s="45">
        <f t="shared" si="108"/>
        <v>611913.4</v>
      </c>
      <c r="X2077" s="46">
        <f t="shared" si="109"/>
        <v>540.36799665004253</v>
      </c>
    </row>
    <row r="2078" spans="1:24" s="4" customFormat="1" ht="15" customHeight="1">
      <c r="A2078" s="28" t="s">
        <v>3019</v>
      </c>
      <c r="B2078" s="29">
        <v>3196.165</v>
      </c>
      <c r="C2078" s="30" t="s">
        <v>3079</v>
      </c>
      <c r="D2078" s="2">
        <v>4952026916</v>
      </c>
      <c r="E2078" s="2" t="s">
        <v>14</v>
      </c>
      <c r="F2078" s="78" t="s">
        <v>3080</v>
      </c>
      <c r="G2078" s="28" t="s">
        <v>13</v>
      </c>
      <c r="H2078" s="2" t="s">
        <v>23</v>
      </c>
      <c r="I2078" s="2">
        <v>1</v>
      </c>
      <c r="J2078" s="2"/>
      <c r="K2078" s="2">
        <v>370.05</v>
      </c>
      <c r="L2078" s="35">
        <f t="shared" si="107"/>
        <v>1182740.85825</v>
      </c>
      <c r="M2078" s="36">
        <v>5</v>
      </c>
      <c r="N2078" s="40">
        <v>411753</v>
      </c>
      <c r="O2078" s="40">
        <v>0</v>
      </c>
      <c r="P2078" s="40">
        <v>0</v>
      </c>
      <c r="Q2078" s="40">
        <v>0</v>
      </c>
      <c r="R2078" s="40">
        <v>1647</v>
      </c>
      <c r="S2078" s="40">
        <v>354356</v>
      </c>
      <c r="T2078" s="40">
        <v>30000</v>
      </c>
      <c r="U2078" s="40">
        <v>246380</v>
      </c>
      <c r="V2078" s="40">
        <v>0</v>
      </c>
      <c r="W2078" s="45">
        <f t="shared" si="108"/>
        <v>1044136</v>
      </c>
      <c r="X2078" s="46">
        <f t="shared" si="109"/>
        <v>88.281045904249737</v>
      </c>
    </row>
    <row r="2079" spans="1:24" s="4" customFormat="1" ht="15" customHeight="1">
      <c r="A2079" s="28" t="s">
        <v>3019</v>
      </c>
      <c r="B2079" s="29">
        <v>3196.165</v>
      </c>
      <c r="C2079" s="30" t="s">
        <v>3081</v>
      </c>
      <c r="D2079" s="2">
        <v>4950559748</v>
      </c>
      <c r="E2079" s="2" t="s">
        <v>36</v>
      </c>
      <c r="F2079" s="2" t="s">
        <v>3082</v>
      </c>
      <c r="G2079" s="28" t="s">
        <v>5</v>
      </c>
      <c r="H2079" s="2" t="s">
        <v>20</v>
      </c>
      <c r="I2079" s="2">
        <v>1</v>
      </c>
      <c r="J2079" s="2" t="s">
        <v>3083</v>
      </c>
      <c r="K2079" s="2">
        <v>26594.400000000001</v>
      </c>
      <c r="L2079" s="35">
        <f t="shared" si="107"/>
        <v>85000090.476000011</v>
      </c>
      <c r="M2079" s="36">
        <v>16800</v>
      </c>
      <c r="N2079" s="40">
        <v>326605</v>
      </c>
      <c r="O2079" s="40">
        <v>218619</v>
      </c>
      <c r="P2079" s="40">
        <v>0</v>
      </c>
      <c r="Q2079" s="40">
        <v>112881</v>
      </c>
      <c r="R2079" s="40">
        <v>336758</v>
      </c>
      <c r="S2079" s="40">
        <v>354356</v>
      </c>
      <c r="T2079" s="40"/>
      <c r="U2079" s="40">
        <v>2541400</v>
      </c>
      <c r="V2079" s="40">
        <v>0</v>
      </c>
      <c r="W2079" s="45">
        <f t="shared" si="108"/>
        <v>3890619</v>
      </c>
      <c r="X2079" s="46">
        <f t="shared" si="109"/>
        <v>4.5771939514564703</v>
      </c>
    </row>
    <row r="2080" spans="1:24" s="4" customFormat="1" ht="15" customHeight="1">
      <c r="A2080" s="28" t="s">
        <v>3019</v>
      </c>
      <c r="B2080" s="29">
        <v>3196.165</v>
      </c>
      <c r="C2080" s="30" t="s">
        <v>3084</v>
      </c>
      <c r="D2080" s="2">
        <v>4948474969</v>
      </c>
      <c r="E2080" s="2" t="s">
        <v>6</v>
      </c>
      <c r="F2080" s="2" t="s">
        <v>3085</v>
      </c>
      <c r="G2080" s="28" t="s">
        <v>5</v>
      </c>
      <c r="H2080" s="2" t="s">
        <v>20</v>
      </c>
      <c r="I2080" s="2">
        <v>1</v>
      </c>
      <c r="J2080" s="2" t="s">
        <v>3086</v>
      </c>
      <c r="K2080" s="2">
        <v>95839.2</v>
      </c>
      <c r="L2080" s="35">
        <f t="shared" si="107"/>
        <v>306317896.66799998</v>
      </c>
      <c r="M2080" s="36">
        <v>9720</v>
      </c>
      <c r="N2080" s="40">
        <v>377809</v>
      </c>
      <c r="O2080" s="40">
        <v>324522</v>
      </c>
      <c r="P2080" s="40">
        <v>0</v>
      </c>
      <c r="Q2080" s="40">
        <v>110000</v>
      </c>
      <c r="R2080" s="40">
        <v>733407</v>
      </c>
      <c r="S2080" s="40">
        <v>354356</v>
      </c>
      <c r="T2080" s="40">
        <v>30000</v>
      </c>
      <c r="U2080" s="40">
        <v>3249500</v>
      </c>
      <c r="V2080" s="40">
        <v>0</v>
      </c>
      <c r="W2080" s="45">
        <f t="shared" si="108"/>
        <v>5179594</v>
      </c>
      <c r="X2080" s="46">
        <f t="shared" si="109"/>
        <v>1.6909211170295604</v>
      </c>
    </row>
    <row r="2081" spans="1:24" s="4" customFormat="1" ht="15" customHeight="1">
      <c r="A2081" s="28" t="s">
        <v>3019</v>
      </c>
      <c r="B2081" s="29">
        <v>3196.165</v>
      </c>
      <c r="C2081" s="30" t="s">
        <v>3087</v>
      </c>
      <c r="D2081" s="2">
        <v>4948123297</v>
      </c>
      <c r="E2081" s="2" t="s">
        <v>6</v>
      </c>
      <c r="F2081" s="2" t="s">
        <v>3088</v>
      </c>
      <c r="G2081" s="28" t="s">
        <v>9</v>
      </c>
      <c r="H2081" s="2" t="s">
        <v>23</v>
      </c>
      <c r="I2081" s="2">
        <v>1</v>
      </c>
      <c r="J2081" s="2"/>
      <c r="K2081" s="2">
        <v>4718.3999999999996</v>
      </c>
      <c r="L2081" s="35">
        <f t="shared" si="107"/>
        <v>15080784.935999999</v>
      </c>
      <c r="M2081" s="36">
        <v>480</v>
      </c>
      <c r="N2081" s="40">
        <v>663323</v>
      </c>
      <c r="O2081" s="40">
        <v>383</v>
      </c>
      <c r="P2081" s="40">
        <v>7556</v>
      </c>
      <c r="Q2081" s="40">
        <v>12172</v>
      </c>
      <c r="R2081" s="40">
        <v>98921</v>
      </c>
      <c r="S2081" s="40">
        <v>354356</v>
      </c>
      <c r="T2081" s="40">
        <v>30000</v>
      </c>
      <c r="U2081" s="40">
        <v>1367700</v>
      </c>
      <c r="V2081" s="40">
        <v>0</v>
      </c>
      <c r="W2081" s="45">
        <f t="shared" si="108"/>
        <v>2534411</v>
      </c>
      <c r="X2081" s="46">
        <f t="shared" si="109"/>
        <v>16.805564237906456</v>
      </c>
    </row>
    <row r="2082" spans="1:24" s="4" customFormat="1" ht="15" customHeight="1">
      <c r="A2082" s="28" t="s">
        <v>3019</v>
      </c>
      <c r="B2082" s="29">
        <v>3196.165</v>
      </c>
      <c r="C2082" s="30" t="s">
        <v>3089</v>
      </c>
      <c r="D2082" s="2">
        <v>4951017914</v>
      </c>
      <c r="E2082" s="2" t="s">
        <v>18</v>
      </c>
      <c r="F2082" s="2" t="s">
        <v>3090</v>
      </c>
      <c r="G2082" s="28" t="s">
        <v>9</v>
      </c>
      <c r="H2082" s="2" t="s">
        <v>23</v>
      </c>
      <c r="I2082" s="2">
        <v>15</v>
      </c>
      <c r="J2082" s="2"/>
      <c r="K2082" s="2">
        <v>35620</v>
      </c>
      <c r="L2082" s="35">
        <f t="shared" si="107"/>
        <v>113847397.3</v>
      </c>
      <c r="M2082" s="36">
        <v>2000</v>
      </c>
      <c r="N2082" s="40">
        <v>318637.82178217801</v>
      </c>
      <c r="O2082" s="48">
        <v>1345.7425742574301</v>
      </c>
      <c r="P2082" s="40">
        <v>63768.910891089101</v>
      </c>
      <c r="Q2082" s="48">
        <v>33350.693069306901</v>
      </c>
      <c r="R2082" s="40">
        <v>51284.950495049503</v>
      </c>
      <c r="S2082" s="40">
        <v>70169.504950495102</v>
      </c>
      <c r="T2082" s="40">
        <v>30000</v>
      </c>
      <c r="U2082" s="40">
        <v>1056435.64356436</v>
      </c>
      <c r="V2082" s="40">
        <v>0</v>
      </c>
      <c r="W2082" s="45">
        <f t="shared" si="108"/>
        <v>1624993.2673267359</v>
      </c>
      <c r="X2082" s="46">
        <f t="shared" si="109"/>
        <v>1.4273433612581461</v>
      </c>
    </row>
    <row r="2083" spans="1:24" s="4" customFormat="1" ht="15" customHeight="1">
      <c r="A2083" s="28" t="s">
        <v>3019</v>
      </c>
      <c r="B2083" s="29">
        <v>3196.165</v>
      </c>
      <c r="C2083" s="30" t="s">
        <v>3089</v>
      </c>
      <c r="D2083" s="2">
        <v>4951046398</v>
      </c>
      <c r="E2083" s="2" t="s">
        <v>14</v>
      </c>
      <c r="F2083" s="2" t="s">
        <v>3090</v>
      </c>
      <c r="G2083" s="28" t="s">
        <v>9</v>
      </c>
      <c r="H2083" s="2" t="s">
        <v>23</v>
      </c>
      <c r="I2083" s="2">
        <v>15</v>
      </c>
      <c r="J2083" s="2"/>
      <c r="K2083" s="2">
        <v>19404</v>
      </c>
      <c r="L2083" s="35">
        <f t="shared" si="107"/>
        <v>62018385.659999996</v>
      </c>
      <c r="M2083" s="36">
        <v>900</v>
      </c>
      <c r="N2083" s="40">
        <v>143387.01980198</v>
      </c>
      <c r="O2083" s="48">
        <v>605.58415841584201</v>
      </c>
      <c r="P2083" s="40">
        <v>28696.009900990099</v>
      </c>
      <c r="Q2083" s="48">
        <v>15007.8118811881</v>
      </c>
      <c r="R2083" s="40">
        <v>23078.227722772299</v>
      </c>
      <c r="S2083" s="40">
        <v>31576.2772277228</v>
      </c>
      <c r="T2083" s="40">
        <v>30000</v>
      </c>
      <c r="U2083" s="40">
        <v>475396.03960396</v>
      </c>
      <c r="V2083" s="40">
        <v>0</v>
      </c>
      <c r="W2083" s="45">
        <f t="shared" si="108"/>
        <v>747746.97029702913</v>
      </c>
      <c r="X2083" s="46">
        <f t="shared" si="109"/>
        <v>1.2056859628632732</v>
      </c>
    </row>
    <row r="2084" spans="1:24" s="4" customFormat="1" ht="15" customHeight="1">
      <c r="A2084" s="28" t="s">
        <v>3019</v>
      </c>
      <c r="B2084" s="29">
        <v>3196.165</v>
      </c>
      <c r="C2084" s="30" t="s">
        <v>3089</v>
      </c>
      <c r="D2084" s="2">
        <v>4951325259</v>
      </c>
      <c r="E2084" s="2" t="s">
        <v>14</v>
      </c>
      <c r="F2084" s="2" t="s">
        <v>3090</v>
      </c>
      <c r="G2084" s="28" t="s">
        <v>9</v>
      </c>
      <c r="H2084" s="2" t="s">
        <v>23</v>
      </c>
      <c r="I2084" s="2">
        <v>15</v>
      </c>
      <c r="J2084" s="2"/>
      <c r="K2084" s="2">
        <v>31248</v>
      </c>
      <c r="L2084" s="35">
        <f t="shared" si="107"/>
        <v>99873763.920000002</v>
      </c>
      <c r="M2084" s="36">
        <v>4200</v>
      </c>
      <c r="N2084" s="40">
        <v>669139.42574257404</v>
      </c>
      <c r="O2084" s="48">
        <v>2826.0594059405898</v>
      </c>
      <c r="P2084" s="40">
        <v>133914.71287128699</v>
      </c>
      <c r="Q2084" s="48">
        <v>70036.455445544503</v>
      </c>
      <c r="R2084" s="40">
        <v>107698.39603960401</v>
      </c>
      <c r="S2084" s="40">
        <v>147355.96039604</v>
      </c>
      <c r="T2084" s="40">
        <v>30000</v>
      </c>
      <c r="U2084" s="40">
        <v>2218514.8514851499</v>
      </c>
      <c r="V2084" s="40">
        <v>0</v>
      </c>
      <c r="W2084" s="45">
        <f t="shared" si="108"/>
        <v>3379485.8613861399</v>
      </c>
      <c r="X2084" s="46">
        <f t="shared" si="109"/>
        <v>3.3837573840644932</v>
      </c>
    </row>
    <row r="2085" spans="1:24" s="4" customFormat="1" ht="15" customHeight="1">
      <c r="A2085" s="28" t="s">
        <v>3019</v>
      </c>
      <c r="B2085" s="29">
        <v>3196.165</v>
      </c>
      <c r="C2085" s="30" t="s">
        <v>3089</v>
      </c>
      <c r="D2085" s="2">
        <v>4951019255</v>
      </c>
      <c r="E2085" s="2" t="s">
        <v>18</v>
      </c>
      <c r="F2085" s="2" t="s">
        <v>3090</v>
      </c>
      <c r="G2085" s="28" t="s">
        <v>9</v>
      </c>
      <c r="H2085" s="2" t="s">
        <v>23</v>
      </c>
      <c r="I2085" s="2">
        <v>15</v>
      </c>
      <c r="J2085" s="2"/>
      <c r="K2085" s="2">
        <v>8720</v>
      </c>
      <c r="L2085" s="35">
        <f t="shared" si="107"/>
        <v>27870558.800000001</v>
      </c>
      <c r="M2085" s="36">
        <v>2000</v>
      </c>
      <c r="N2085" s="40">
        <v>318637.82178217801</v>
      </c>
      <c r="O2085" s="48">
        <v>1345.7425742574301</v>
      </c>
      <c r="P2085" s="40">
        <v>63768.910891089101</v>
      </c>
      <c r="Q2085" s="48">
        <v>33350.693069306901</v>
      </c>
      <c r="R2085" s="40">
        <v>51284.950495049503</v>
      </c>
      <c r="S2085" s="40">
        <v>70169.504950495102</v>
      </c>
      <c r="T2085" s="40">
        <v>30000</v>
      </c>
      <c r="U2085" s="40">
        <v>1056435.64356436</v>
      </c>
      <c r="V2085" s="40">
        <v>0</v>
      </c>
      <c r="W2085" s="45">
        <f t="shared" si="108"/>
        <v>1624993.2673267359</v>
      </c>
      <c r="X2085" s="46">
        <f t="shared" si="109"/>
        <v>5.8305012073411886</v>
      </c>
    </row>
    <row r="2086" spans="1:24" s="4" customFormat="1" ht="15" customHeight="1">
      <c r="A2086" s="28" t="s">
        <v>3019</v>
      </c>
      <c r="B2086" s="29">
        <v>3196.165</v>
      </c>
      <c r="C2086" s="30" t="s">
        <v>3089</v>
      </c>
      <c r="D2086" s="2">
        <v>4950930067</v>
      </c>
      <c r="E2086" s="2" t="s">
        <v>14</v>
      </c>
      <c r="F2086" s="2" t="s">
        <v>3090</v>
      </c>
      <c r="G2086" s="28" t="s">
        <v>9</v>
      </c>
      <c r="H2086" s="2" t="s">
        <v>23</v>
      </c>
      <c r="I2086" s="2">
        <v>15</v>
      </c>
      <c r="J2086" s="2"/>
      <c r="K2086" s="2">
        <v>6050</v>
      </c>
      <c r="L2086" s="35">
        <f t="shared" si="107"/>
        <v>19336798.25</v>
      </c>
      <c r="M2086" s="36">
        <v>1000</v>
      </c>
      <c r="N2086" s="40">
        <v>159318.91089108901</v>
      </c>
      <c r="O2086" s="48">
        <v>672.87128712871299</v>
      </c>
      <c r="P2086" s="40">
        <v>31884.455445544601</v>
      </c>
      <c r="Q2086" s="48">
        <v>16675.346534653501</v>
      </c>
      <c r="R2086" s="40">
        <v>25642.475247524799</v>
      </c>
      <c r="S2086" s="40">
        <v>35084.7524752475</v>
      </c>
      <c r="T2086" s="40">
        <v>30000</v>
      </c>
      <c r="U2086" s="40">
        <v>528217.82178217801</v>
      </c>
      <c r="V2086" s="40">
        <v>0</v>
      </c>
      <c r="W2086" s="45">
        <f t="shared" si="108"/>
        <v>827496.63366336608</v>
      </c>
      <c r="X2086" s="46">
        <f t="shared" si="109"/>
        <v>4.2793880505184774</v>
      </c>
    </row>
    <row r="2087" spans="1:24" s="4" customFormat="1" ht="15" customHeight="1">
      <c r="A2087" s="28" t="s">
        <v>3019</v>
      </c>
      <c r="B2087" s="29">
        <v>3196.165</v>
      </c>
      <c r="C2087" s="30" t="s">
        <v>3091</v>
      </c>
      <c r="D2087" s="2">
        <v>4950555359</v>
      </c>
      <c r="E2087" s="2" t="s">
        <v>36</v>
      </c>
      <c r="F2087" s="2" t="s">
        <v>3092</v>
      </c>
      <c r="G2087" s="28" t="s">
        <v>5</v>
      </c>
      <c r="H2087" s="2" t="s">
        <v>20</v>
      </c>
      <c r="I2087" s="2">
        <v>2</v>
      </c>
      <c r="J2087" s="2" t="s">
        <v>3093</v>
      </c>
      <c r="K2087" s="2">
        <v>63180</v>
      </c>
      <c r="L2087" s="35">
        <f t="shared" si="107"/>
        <v>201933704.69999999</v>
      </c>
      <c r="M2087" s="36">
        <v>39000</v>
      </c>
      <c r="N2087" s="40">
        <v>681253</v>
      </c>
      <c r="O2087" s="40">
        <v>649044</v>
      </c>
      <c r="P2087" s="40">
        <v>0</v>
      </c>
      <c r="Q2087" s="40">
        <v>198619</v>
      </c>
      <c r="R2087" s="40">
        <v>1462311</v>
      </c>
      <c r="S2087" s="40">
        <v>354356</v>
      </c>
      <c r="T2087" s="40"/>
      <c r="U2087" s="40">
        <v>1038600</v>
      </c>
      <c r="V2087" s="40">
        <v>0</v>
      </c>
      <c r="W2087" s="45">
        <f t="shared" si="108"/>
        <v>4384183</v>
      </c>
      <c r="X2087" s="46">
        <f t="shared" si="109"/>
        <v>2.1711001670143677</v>
      </c>
    </row>
    <row r="2088" spans="1:24" s="4" customFormat="1" ht="15" customHeight="1">
      <c r="A2088" s="28" t="s">
        <v>3019</v>
      </c>
      <c r="B2088" s="29">
        <v>3196.165</v>
      </c>
      <c r="C2088" s="30" t="s">
        <v>3094</v>
      </c>
      <c r="D2088" s="2">
        <v>4950930069</v>
      </c>
      <c r="E2088" s="2" t="s">
        <v>14</v>
      </c>
      <c r="F2088" s="2" t="s">
        <v>3095</v>
      </c>
      <c r="G2088" s="28" t="s">
        <v>5</v>
      </c>
      <c r="H2088" s="2" t="s">
        <v>17</v>
      </c>
      <c r="I2088" s="2">
        <v>1</v>
      </c>
      <c r="J2088" s="2" t="s">
        <v>3096</v>
      </c>
      <c r="K2088" s="2">
        <v>18400</v>
      </c>
      <c r="L2088" s="35">
        <f t="shared" si="107"/>
        <v>58809436</v>
      </c>
      <c r="M2088" s="36">
        <v>20000</v>
      </c>
      <c r="N2088" s="40">
        <v>380671</v>
      </c>
      <c r="O2088" s="40">
        <v>425734</v>
      </c>
      <c r="P2088" s="40">
        <v>1051668</v>
      </c>
      <c r="Q2088" s="40">
        <v>110000</v>
      </c>
      <c r="R2088" s="40">
        <v>742145</v>
      </c>
      <c r="S2088" s="40">
        <v>354356</v>
      </c>
      <c r="T2088" s="40">
        <v>30000</v>
      </c>
      <c r="U2088" s="40">
        <v>0</v>
      </c>
      <c r="V2088" s="40">
        <v>0</v>
      </c>
      <c r="W2088" s="45">
        <f t="shared" si="108"/>
        <v>3094574</v>
      </c>
      <c r="X2088" s="46">
        <f t="shared" si="109"/>
        <v>5.262036520805947</v>
      </c>
    </row>
    <row r="2089" spans="1:24" s="4" customFormat="1" ht="15" customHeight="1">
      <c r="A2089" s="28" t="s">
        <v>3019</v>
      </c>
      <c r="B2089" s="29">
        <v>3196.165</v>
      </c>
      <c r="C2089" s="30" t="s">
        <v>3097</v>
      </c>
      <c r="D2089" s="2">
        <v>4949339826</v>
      </c>
      <c r="E2089" s="2" t="s">
        <v>6</v>
      </c>
      <c r="F2089" s="2" t="s">
        <v>3098</v>
      </c>
      <c r="G2089" s="28" t="s">
        <v>5</v>
      </c>
      <c r="H2089" s="2" t="s">
        <v>17</v>
      </c>
      <c r="I2089" s="2">
        <v>1</v>
      </c>
      <c r="J2089" s="2" t="s">
        <v>3099</v>
      </c>
      <c r="K2089" s="2">
        <v>74480</v>
      </c>
      <c r="L2089" s="35">
        <f t="shared" si="107"/>
        <v>238050369.19999999</v>
      </c>
      <c r="M2089" s="36">
        <v>11200</v>
      </c>
      <c r="N2089" s="40">
        <v>245647.78378378399</v>
      </c>
      <c r="O2089" s="48">
        <v>401517.72972973</v>
      </c>
      <c r="P2089" s="40">
        <v>0</v>
      </c>
      <c r="Q2089" s="48">
        <v>93941.513513513506</v>
      </c>
      <c r="R2089" s="40">
        <v>652325.48648648697</v>
      </c>
      <c r="S2089" s="40">
        <v>268161.29729729699</v>
      </c>
      <c r="T2089" s="40">
        <v>30000</v>
      </c>
      <c r="U2089" s="40">
        <v>2569567.5675675701</v>
      </c>
      <c r="V2089" s="40">
        <v>0</v>
      </c>
      <c r="W2089" s="45">
        <f t="shared" si="108"/>
        <v>4261161.378378382</v>
      </c>
      <c r="X2089" s="46">
        <f t="shared" si="109"/>
        <v>1.7900251080049081</v>
      </c>
    </row>
    <row r="2090" spans="1:24" s="4" customFormat="1" ht="15" customHeight="1">
      <c r="A2090" s="28" t="s">
        <v>3019</v>
      </c>
      <c r="B2090" s="29">
        <v>3196.165</v>
      </c>
      <c r="C2090" s="30" t="s">
        <v>3097</v>
      </c>
      <c r="D2090" s="2">
        <v>4948093549</v>
      </c>
      <c r="E2090" s="2" t="s">
        <v>6</v>
      </c>
      <c r="F2090" s="2" t="s">
        <v>3098</v>
      </c>
      <c r="G2090" s="28" t="s">
        <v>5</v>
      </c>
      <c r="H2090" s="2" t="s">
        <v>17</v>
      </c>
      <c r="I2090" s="2">
        <v>1</v>
      </c>
      <c r="J2090" s="2" t="s">
        <v>3099</v>
      </c>
      <c r="K2090" s="2">
        <v>27828</v>
      </c>
      <c r="L2090" s="35">
        <f t="shared" si="107"/>
        <v>88942879.620000005</v>
      </c>
      <c r="M2090" s="36">
        <v>3600</v>
      </c>
      <c r="N2090" s="40">
        <v>78958.216216216199</v>
      </c>
      <c r="O2090" s="48">
        <v>129059.27027027</v>
      </c>
      <c r="P2090" s="40">
        <v>0</v>
      </c>
      <c r="Q2090" s="48">
        <v>30195.486486486501</v>
      </c>
      <c r="R2090" s="40">
        <v>209676.51351351399</v>
      </c>
      <c r="S2090" s="40">
        <v>86194.702702702707</v>
      </c>
      <c r="T2090" s="40">
        <v>30000</v>
      </c>
      <c r="U2090" s="40">
        <v>825932.43243243196</v>
      </c>
      <c r="V2090" s="40">
        <v>0</v>
      </c>
      <c r="W2090" s="45">
        <f t="shared" si="108"/>
        <v>1390016.6216216213</v>
      </c>
      <c r="X2090" s="46">
        <f t="shared" si="109"/>
        <v>1.5628194494717678</v>
      </c>
    </row>
    <row r="2091" spans="1:24" s="4" customFormat="1" ht="15" customHeight="1">
      <c r="A2091" s="28" t="s">
        <v>3019</v>
      </c>
      <c r="B2091" s="29">
        <v>3196.165</v>
      </c>
      <c r="C2091" s="30" t="s">
        <v>3100</v>
      </c>
      <c r="D2091" s="2">
        <v>4948416339</v>
      </c>
      <c r="E2091" s="2" t="s">
        <v>6</v>
      </c>
      <c r="F2091" s="2" t="s">
        <v>3101</v>
      </c>
      <c r="G2091" s="28" t="s">
        <v>5</v>
      </c>
      <c r="H2091" s="2" t="s">
        <v>20</v>
      </c>
      <c r="I2091" s="2">
        <v>3</v>
      </c>
      <c r="J2091" s="2" t="s">
        <v>3102</v>
      </c>
      <c r="K2091" s="2">
        <v>97800</v>
      </c>
      <c r="L2091" s="35">
        <f t="shared" si="107"/>
        <v>312584937</v>
      </c>
      <c r="M2091" s="36">
        <f>10000+10000+6475+3525</f>
        <v>30000</v>
      </c>
      <c r="N2091" s="40">
        <v>1142011</v>
      </c>
      <c r="O2091" s="40">
        <v>1212138</v>
      </c>
      <c r="P2091" s="40">
        <v>0</v>
      </c>
      <c r="Q2091" s="40">
        <v>372411</v>
      </c>
      <c r="R2091" s="40">
        <v>2227768</v>
      </c>
      <c r="S2091" s="40">
        <v>354356</v>
      </c>
      <c r="T2091" s="40">
        <v>30000</v>
      </c>
      <c r="U2091" s="40">
        <v>1499700</v>
      </c>
      <c r="V2091" s="40">
        <v>0</v>
      </c>
      <c r="W2091" s="45">
        <f t="shared" si="108"/>
        <v>6838384</v>
      </c>
      <c r="X2091" s="46">
        <f t="shared" si="109"/>
        <v>2.1876882698285618</v>
      </c>
    </row>
    <row r="2092" spans="1:24" s="4" customFormat="1" ht="15" customHeight="1">
      <c r="A2092" s="28" t="s">
        <v>3019</v>
      </c>
      <c r="B2092" s="29">
        <v>3196.165</v>
      </c>
      <c r="C2092" s="30" t="s">
        <v>3103</v>
      </c>
      <c r="D2092" s="2">
        <v>4951082654</v>
      </c>
      <c r="E2092" s="2" t="s">
        <v>18</v>
      </c>
      <c r="F2092" s="2" t="s">
        <v>3104</v>
      </c>
      <c r="G2092" s="28" t="s">
        <v>5</v>
      </c>
      <c r="H2092" s="2" t="s">
        <v>17</v>
      </c>
      <c r="I2092" s="2">
        <v>1</v>
      </c>
      <c r="J2092" s="2" t="s">
        <v>3105</v>
      </c>
      <c r="K2092" s="2">
        <v>80200</v>
      </c>
      <c r="L2092" s="35">
        <f t="shared" si="107"/>
        <v>256332433</v>
      </c>
      <c r="M2092" s="36">
        <v>5000</v>
      </c>
      <c r="N2092" s="40">
        <v>125617.30769230799</v>
      </c>
      <c r="O2092" s="48">
        <v>163743.84615384601</v>
      </c>
      <c r="P2092" s="40">
        <v>0</v>
      </c>
      <c r="Q2092" s="48">
        <v>42307.692307692298</v>
      </c>
      <c r="R2092" s="40">
        <f>204990.384615385+44193</f>
        <v>249183.384615385</v>
      </c>
      <c r="S2092" s="40">
        <v>136290.76923076899</v>
      </c>
      <c r="T2092" s="40">
        <v>30000</v>
      </c>
      <c r="U2092" s="40">
        <v>1852326.92307692</v>
      </c>
      <c r="V2092" s="40">
        <v>0</v>
      </c>
      <c r="W2092" s="45">
        <f t="shared" si="108"/>
        <v>2599469.9230769202</v>
      </c>
      <c r="X2092" s="46">
        <f t="shared" si="109"/>
        <v>1.0141010611313943</v>
      </c>
    </row>
    <row r="2093" spans="1:24" s="4" customFormat="1" ht="15" customHeight="1">
      <c r="A2093" s="28" t="s">
        <v>3019</v>
      </c>
      <c r="B2093" s="29">
        <v>3196.165</v>
      </c>
      <c r="C2093" s="30" t="s">
        <v>3103</v>
      </c>
      <c r="D2093" s="2">
        <v>4951019257</v>
      </c>
      <c r="E2093" s="2" t="s">
        <v>18</v>
      </c>
      <c r="F2093" s="2" t="s">
        <v>3104</v>
      </c>
      <c r="G2093" s="28" t="s">
        <v>5</v>
      </c>
      <c r="H2093" s="2" t="s">
        <v>17</v>
      </c>
      <c r="I2093" s="2">
        <v>1</v>
      </c>
      <c r="J2093" s="2" t="s">
        <v>3105</v>
      </c>
      <c r="K2093" s="2">
        <v>34880</v>
      </c>
      <c r="L2093" s="35">
        <f t="shared" si="107"/>
        <v>111482235.2</v>
      </c>
      <c r="M2093" s="36">
        <v>8000</v>
      </c>
      <c r="N2093" s="40">
        <v>200987.69230769199</v>
      </c>
      <c r="O2093" s="48">
        <v>261990.15384615399</v>
      </c>
      <c r="P2093" s="40">
        <v>0</v>
      </c>
      <c r="Q2093" s="48">
        <v>67692.307692307702</v>
      </c>
      <c r="R2093" s="40">
        <f>327984.615384615+70709</f>
        <v>398693.61538461503</v>
      </c>
      <c r="S2093" s="40">
        <v>218065.23076923101</v>
      </c>
      <c r="T2093" s="40">
        <v>30000</v>
      </c>
      <c r="U2093" s="40">
        <v>2963723.0769230798</v>
      </c>
      <c r="V2093" s="40">
        <v>0</v>
      </c>
      <c r="W2093" s="45">
        <f t="shared" si="108"/>
        <v>4141152.0769230798</v>
      </c>
      <c r="X2093" s="46">
        <f t="shared" si="109"/>
        <v>3.7146295725895881</v>
      </c>
    </row>
    <row r="2094" spans="1:24" s="4" customFormat="1" ht="15" customHeight="1">
      <c r="A2094" s="28" t="s">
        <v>3019</v>
      </c>
      <c r="B2094" s="29">
        <v>3196.165</v>
      </c>
      <c r="C2094" s="30" t="s">
        <v>3106</v>
      </c>
      <c r="D2094" s="2">
        <v>4951409547</v>
      </c>
      <c r="E2094" s="2" t="s">
        <v>27</v>
      </c>
      <c r="F2094" s="2" t="s">
        <v>3107</v>
      </c>
      <c r="G2094" s="28" t="s">
        <v>5</v>
      </c>
      <c r="H2094" s="2" t="s">
        <v>20</v>
      </c>
      <c r="I2094" s="2">
        <v>1</v>
      </c>
      <c r="J2094" s="2" t="s">
        <v>3108</v>
      </c>
      <c r="K2094" s="2">
        <v>7298.38</v>
      </c>
      <c r="L2094" s="35">
        <f t="shared" si="107"/>
        <v>23326826.712700002</v>
      </c>
      <c r="M2094" s="36">
        <v>4044.0720000000001</v>
      </c>
      <c r="N2094" s="40">
        <v>377809</v>
      </c>
      <c r="O2094" s="40">
        <v>324522</v>
      </c>
      <c r="P2094" s="40">
        <v>0</v>
      </c>
      <c r="Q2094" s="40">
        <v>110000</v>
      </c>
      <c r="R2094" s="40">
        <v>745407</v>
      </c>
      <c r="S2094" s="40">
        <v>354356</v>
      </c>
      <c r="T2094" s="40"/>
      <c r="U2094" s="40">
        <v>2619000</v>
      </c>
      <c r="V2094" s="40">
        <v>0</v>
      </c>
      <c r="W2094" s="45">
        <f t="shared" si="108"/>
        <v>4531094</v>
      </c>
      <c r="X2094" s="46">
        <f t="shared" si="109"/>
        <v>19.424390877534588</v>
      </c>
    </row>
    <row r="2095" spans="1:24" s="4" customFormat="1" ht="15" customHeight="1">
      <c r="A2095" s="28" t="s">
        <v>3019</v>
      </c>
      <c r="B2095" s="29">
        <v>3196.165</v>
      </c>
      <c r="C2095" s="30" t="s">
        <v>3109</v>
      </c>
      <c r="D2095" s="2">
        <v>4951148384</v>
      </c>
      <c r="E2095" s="2" t="s">
        <v>14</v>
      </c>
      <c r="F2095" s="2" t="s">
        <v>3110</v>
      </c>
      <c r="G2095" s="28" t="s">
        <v>5</v>
      </c>
      <c r="H2095" s="2" t="s">
        <v>17</v>
      </c>
      <c r="I2095" s="2">
        <v>1</v>
      </c>
      <c r="J2095" s="2" t="s">
        <v>3111</v>
      </c>
      <c r="K2095" s="2">
        <v>1041.5999999999999</v>
      </c>
      <c r="L2095" s="35">
        <f t="shared" si="107"/>
        <v>3329125.4639999997</v>
      </c>
      <c r="M2095" s="36">
        <v>140</v>
      </c>
      <c r="N2095" s="40">
        <v>2908.85264483627</v>
      </c>
      <c r="O2095" s="48">
        <v>3753.3224181360201</v>
      </c>
      <c r="P2095" s="40">
        <v>0</v>
      </c>
      <c r="Q2095" s="48">
        <v>969.77329974811096</v>
      </c>
      <c r="R2095" s="40">
        <f>6107.94080604534+1763</f>
        <v>7870.9408060453397</v>
      </c>
      <c r="S2095" s="40">
        <v>3124.0453400503802</v>
      </c>
      <c r="T2095" s="40">
        <v>30000</v>
      </c>
      <c r="U2095" s="40">
        <v>48017.443324936998</v>
      </c>
      <c r="V2095" s="40">
        <v>0</v>
      </c>
      <c r="W2095" s="45">
        <f t="shared" si="108"/>
        <v>96644.377833753126</v>
      </c>
      <c r="X2095" s="46">
        <f t="shared" si="109"/>
        <v>2.9029959633192464</v>
      </c>
    </row>
    <row r="2096" spans="1:24" s="4" customFormat="1" ht="15" customHeight="1">
      <c r="A2096" s="28" t="s">
        <v>3019</v>
      </c>
      <c r="B2096" s="29">
        <v>3196.165</v>
      </c>
      <c r="C2096" s="30" t="s">
        <v>3109</v>
      </c>
      <c r="D2096" s="2">
        <v>4950059659</v>
      </c>
      <c r="E2096" s="2" t="s">
        <v>14</v>
      </c>
      <c r="F2096" s="2" t="s">
        <v>3110</v>
      </c>
      <c r="G2096" s="28" t="s">
        <v>5</v>
      </c>
      <c r="H2096" s="2" t="s">
        <v>17</v>
      </c>
      <c r="I2096" s="2">
        <v>1</v>
      </c>
      <c r="J2096" s="2" t="s">
        <v>3111</v>
      </c>
      <c r="K2096" s="2">
        <v>4954.5</v>
      </c>
      <c r="L2096" s="35">
        <f t="shared" si="107"/>
        <v>15835399.4925</v>
      </c>
      <c r="M2096" s="36">
        <f>850+500</f>
        <v>1350</v>
      </c>
      <c r="N2096" s="40">
        <v>28049.650503778299</v>
      </c>
      <c r="O2096" s="48">
        <v>36192.751889168801</v>
      </c>
      <c r="P2096" s="40">
        <v>0</v>
      </c>
      <c r="Q2096" s="48">
        <v>9351.3853904282096</v>
      </c>
      <c r="R2096" s="40">
        <f>58898.0006297229+17003</f>
        <v>75901.000629722897</v>
      </c>
      <c r="S2096" s="40">
        <v>30124.722921914399</v>
      </c>
      <c r="T2096" s="40">
        <v>30000</v>
      </c>
      <c r="U2096" s="40">
        <v>463025.34634760697</v>
      </c>
      <c r="V2096" s="40">
        <v>0</v>
      </c>
      <c r="W2096" s="45">
        <f t="shared" si="108"/>
        <v>672644.85768261959</v>
      </c>
      <c r="X2096" s="46">
        <f t="shared" si="109"/>
        <v>4.2477290074127856</v>
      </c>
    </row>
    <row r="2097" spans="1:24" s="4" customFormat="1" ht="15" customHeight="1">
      <c r="A2097" s="28" t="s">
        <v>3019</v>
      </c>
      <c r="B2097" s="29">
        <v>3196.165</v>
      </c>
      <c r="C2097" s="30" t="s">
        <v>3109</v>
      </c>
      <c r="D2097" s="2">
        <v>4950722775</v>
      </c>
      <c r="E2097" s="2" t="s">
        <v>14</v>
      </c>
      <c r="F2097" s="2" t="s">
        <v>3110</v>
      </c>
      <c r="G2097" s="28" t="s">
        <v>5</v>
      </c>
      <c r="H2097" s="2" t="s">
        <v>17</v>
      </c>
      <c r="I2097" s="2">
        <v>1</v>
      </c>
      <c r="J2097" s="2" t="s">
        <v>3111</v>
      </c>
      <c r="K2097" s="2">
        <v>7005.6</v>
      </c>
      <c r="L2097" s="35">
        <f t="shared" si="107"/>
        <v>22391053.524</v>
      </c>
      <c r="M2097" s="36">
        <v>1680</v>
      </c>
      <c r="N2097" s="40">
        <v>34906.231738035298</v>
      </c>
      <c r="O2097" s="48">
        <v>45039.869017632198</v>
      </c>
      <c r="P2097" s="40">
        <v>0</v>
      </c>
      <c r="Q2097" s="48">
        <v>11637.2795969773</v>
      </c>
      <c r="R2097" s="40">
        <f>73295.2896725441+21159</f>
        <v>94454.289672544095</v>
      </c>
      <c r="S2097" s="40">
        <v>37488.544080604501</v>
      </c>
      <c r="T2097" s="40">
        <v>30000</v>
      </c>
      <c r="U2097" s="40">
        <v>576209.319899244</v>
      </c>
      <c r="V2097" s="40">
        <v>0</v>
      </c>
      <c r="W2097" s="45">
        <f t="shared" si="108"/>
        <v>829735.53400503739</v>
      </c>
      <c r="X2097" s="46">
        <f t="shared" si="109"/>
        <v>3.7056565164103592</v>
      </c>
    </row>
    <row r="2098" spans="1:24" s="4" customFormat="1" ht="15" customHeight="1">
      <c r="A2098" s="28" t="s">
        <v>3019</v>
      </c>
      <c r="B2098" s="29">
        <v>3196.165</v>
      </c>
      <c r="C2098" s="30" t="s">
        <v>3109</v>
      </c>
      <c r="D2098" s="2">
        <v>4950978864</v>
      </c>
      <c r="E2098" s="2" t="s">
        <v>14</v>
      </c>
      <c r="F2098" s="2" t="s">
        <v>3110</v>
      </c>
      <c r="G2098" s="28" t="s">
        <v>5</v>
      </c>
      <c r="H2098" s="2" t="s">
        <v>17</v>
      </c>
      <c r="I2098" s="2">
        <v>1</v>
      </c>
      <c r="J2098" s="2" t="s">
        <v>3111</v>
      </c>
      <c r="K2098" s="2">
        <v>5040</v>
      </c>
      <c r="L2098" s="35">
        <f t="shared" si="107"/>
        <v>16108671.6</v>
      </c>
      <c r="M2098" s="36">
        <v>2100</v>
      </c>
      <c r="N2098" s="40">
        <v>43632.789672544102</v>
      </c>
      <c r="O2098" s="48">
        <v>56299.836272040302</v>
      </c>
      <c r="P2098" s="40">
        <v>0</v>
      </c>
      <c r="Q2098" s="48">
        <v>14546.599496221699</v>
      </c>
      <c r="R2098" s="40">
        <f>91619.1120906801+26448</f>
        <v>118067.11209068009</v>
      </c>
      <c r="S2098" s="40">
        <v>46860.680100755701</v>
      </c>
      <c r="T2098" s="40">
        <v>30000</v>
      </c>
      <c r="U2098" s="40">
        <v>720261.64987405494</v>
      </c>
      <c r="V2098" s="40">
        <v>0</v>
      </c>
      <c r="W2098" s="45">
        <f t="shared" si="108"/>
        <v>1029668.6675062969</v>
      </c>
      <c r="X2098" s="46">
        <f t="shared" si="109"/>
        <v>6.3920147674144463</v>
      </c>
    </row>
    <row r="2099" spans="1:24" s="4" customFormat="1" ht="15" customHeight="1">
      <c r="A2099" s="28" t="s">
        <v>3019</v>
      </c>
      <c r="B2099" s="29">
        <v>3196.165</v>
      </c>
      <c r="C2099" s="30" t="s">
        <v>3109</v>
      </c>
      <c r="D2099" s="2">
        <v>4951148384</v>
      </c>
      <c r="E2099" s="2" t="s">
        <v>14</v>
      </c>
      <c r="F2099" s="2" t="s">
        <v>3110</v>
      </c>
      <c r="G2099" s="28" t="s">
        <v>5</v>
      </c>
      <c r="H2099" s="2" t="s">
        <v>17</v>
      </c>
      <c r="I2099" s="2">
        <v>1</v>
      </c>
      <c r="J2099" s="2" t="s">
        <v>3111</v>
      </c>
      <c r="K2099" s="2">
        <v>9930</v>
      </c>
      <c r="L2099" s="35">
        <f t="shared" si="107"/>
        <v>31737918.449999999</v>
      </c>
      <c r="M2099" s="36">
        <v>300</v>
      </c>
      <c r="N2099" s="40">
        <v>6233.2556675062997</v>
      </c>
      <c r="O2099" s="48">
        <v>8042.8337531486104</v>
      </c>
      <c r="P2099" s="40">
        <v>0</v>
      </c>
      <c r="Q2099" s="48">
        <v>2078.08564231738</v>
      </c>
      <c r="R2099" s="40">
        <f>13088.4445843829+3778</f>
        <v>16866.444584382902</v>
      </c>
      <c r="S2099" s="40">
        <v>6694.3828715365198</v>
      </c>
      <c r="T2099" s="40">
        <v>30000</v>
      </c>
      <c r="U2099" s="40">
        <v>102894.52141057899</v>
      </c>
      <c r="V2099" s="40">
        <v>0</v>
      </c>
      <c r="W2099" s="45">
        <f t="shared" si="108"/>
        <v>172809.52392947068</v>
      </c>
      <c r="X2099" s="46">
        <f t="shared" si="109"/>
        <v>0.54448915483135818</v>
      </c>
    </row>
    <row r="2100" spans="1:24" s="4" customFormat="1" ht="15" customHeight="1">
      <c r="A2100" s="28" t="s">
        <v>3019</v>
      </c>
      <c r="B2100" s="29">
        <v>3196.165</v>
      </c>
      <c r="C2100" s="30" t="s">
        <v>3109</v>
      </c>
      <c r="D2100" s="2">
        <v>4951149025</v>
      </c>
      <c r="E2100" s="2" t="s">
        <v>14</v>
      </c>
      <c r="F2100" s="2" t="s">
        <v>3110</v>
      </c>
      <c r="G2100" s="28" t="s">
        <v>5</v>
      </c>
      <c r="H2100" s="2" t="s">
        <v>17</v>
      </c>
      <c r="I2100" s="2">
        <v>1</v>
      </c>
      <c r="J2100" s="2" t="s">
        <v>3111</v>
      </c>
      <c r="K2100" s="2">
        <v>5670</v>
      </c>
      <c r="L2100" s="35">
        <f t="shared" si="107"/>
        <v>18122255.550000001</v>
      </c>
      <c r="M2100" s="36">
        <v>1050</v>
      </c>
      <c r="N2100" s="40">
        <v>21816.394836272</v>
      </c>
      <c r="O2100" s="48">
        <v>28149.918136020198</v>
      </c>
      <c r="P2100" s="40">
        <v>0</v>
      </c>
      <c r="Q2100" s="48">
        <v>7273.2997481108296</v>
      </c>
      <c r="R2100" s="40">
        <f>45809.5560453401+13224</f>
        <v>59033.556045340098</v>
      </c>
      <c r="S2100" s="40">
        <v>23430.340050377799</v>
      </c>
      <c r="T2100" s="40">
        <v>30000</v>
      </c>
      <c r="U2100" s="40">
        <v>360130.824937028</v>
      </c>
      <c r="V2100" s="40">
        <v>0</v>
      </c>
      <c r="W2100" s="45">
        <f t="shared" si="108"/>
        <v>529834.33375314891</v>
      </c>
      <c r="X2100" s="46">
        <f t="shared" si="109"/>
        <v>2.9236666059107024</v>
      </c>
    </row>
    <row r="2101" spans="1:24" s="4" customFormat="1" ht="15" customHeight="1">
      <c r="A2101" s="28" t="s">
        <v>3019</v>
      </c>
      <c r="B2101" s="29">
        <v>3196.165</v>
      </c>
      <c r="C2101" s="30" t="s">
        <v>3109</v>
      </c>
      <c r="D2101" s="2">
        <v>4951294588</v>
      </c>
      <c r="E2101" s="2" t="s">
        <v>14</v>
      </c>
      <c r="F2101" s="2" t="s">
        <v>3110</v>
      </c>
      <c r="G2101" s="28" t="s">
        <v>5</v>
      </c>
      <c r="H2101" s="2" t="s">
        <v>17</v>
      </c>
      <c r="I2101" s="2">
        <v>1</v>
      </c>
      <c r="J2101" s="2" t="s">
        <v>3111</v>
      </c>
      <c r="K2101" s="2">
        <v>11583</v>
      </c>
      <c r="L2101" s="35">
        <f t="shared" si="107"/>
        <v>37021179.195</v>
      </c>
      <c r="M2101" s="36">
        <v>4950</v>
      </c>
      <c r="N2101" s="40">
        <v>102848.71851385399</v>
      </c>
      <c r="O2101" s="48">
        <v>132706.75692695199</v>
      </c>
      <c r="P2101" s="40">
        <v>0</v>
      </c>
      <c r="Q2101" s="48">
        <v>34288.413098236801</v>
      </c>
      <c r="R2101" s="40">
        <f>215959.335642317+62343</f>
        <v>278302.33564231696</v>
      </c>
      <c r="S2101" s="40">
        <v>110457.31738035299</v>
      </c>
      <c r="T2101" s="40">
        <v>30000</v>
      </c>
      <c r="U2101" s="40">
        <v>1697759.6032745601</v>
      </c>
      <c r="V2101" s="40">
        <v>0</v>
      </c>
      <c r="W2101" s="45">
        <f t="shared" si="108"/>
        <v>2386363.144836273</v>
      </c>
      <c r="X2101" s="46">
        <f t="shared" si="109"/>
        <v>6.4459403960816299</v>
      </c>
    </row>
    <row r="2102" spans="1:24" s="4" customFormat="1" ht="15" customHeight="1">
      <c r="A2102" s="28" t="s">
        <v>3019</v>
      </c>
      <c r="B2102" s="29">
        <v>3196.165</v>
      </c>
      <c r="C2102" s="30" t="s">
        <v>3109</v>
      </c>
      <c r="D2102" s="2">
        <v>4951268367</v>
      </c>
      <c r="E2102" s="2" t="s">
        <v>14</v>
      </c>
      <c r="F2102" s="2" t="s">
        <v>3110</v>
      </c>
      <c r="G2102" s="28" t="s">
        <v>5</v>
      </c>
      <c r="H2102" s="2" t="s">
        <v>17</v>
      </c>
      <c r="I2102" s="2">
        <v>1</v>
      </c>
      <c r="J2102" s="2" t="s">
        <v>3111</v>
      </c>
      <c r="K2102" s="2">
        <v>7005.6</v>
      </c>
      <c r="L2102" s="35">
        <f t="shared" ref="L2102:L2165" si="110">+B2102*K2102</f>
        <v>22391053.524</v>
      </c>
      <c r="M2102" s="36">
        <v>1680</v>
      </c>
      <c r="N2102" s="40">
        <v>34906.231738035298</v>
      </c>
      <c r="O2102" s="48">
        <v>45039.869017632198</v>
      </c>
      <c r="P2102" s="40">
        <v>0</v>
      </c>
      <c r="Q2102" s="48">
        <v>11637.2795969773</v>
      </c>
      <c r="R2102" s="40">
        <f>73295.2896725441+21159</f>
        <v>94454.289672544095</v>
      </c>
      <c r="S2102" s="40">
        <v>37488.544080604501</v>
      </c>
      <c r="T2102" s="40">
        <v>30000</v>
      </c>
      <c r="U2102" s="40">
        <v>576209.319899244</v>
      </c>
      <c r="V2102" s="40">
        <v>0</v>
      </c>
      <c r="W2102" s="45">
        <f t="shared" ref="W2102:W2165" si="111">+SUM(N2102:V2102)</f>
        <v>829735.53400503739</v>
      </c>
      <c r="X2102" s="46">
        <f t="shared" ref="X2102:X2165" si="112">(W2102/L2102)*100</f>
        <v>3.7056565164103592</v>
      </c>
    </row>
    <row r="2103" spans="1:24" s="4" customFormat="1" ht="15" customHeight="1">
      <c r="A2103" s="28" t="s">
        <v>3019</v>
      </c>
      <c r="B2103" s="29">
        <v>3196.165</v>
      </c>
      <c r="C2103" s="30" t="s">
        <v>3109</v>
      </c>
      <c r="D2103" s="2">
        <v>4951379745</v>
      </c>
      <c r="E2103" s="2" t="s">
        <v>14</v>
      </c>
      <c r="F2103" s="2" t="s">
        <v>3110</v>
      </c>
      <c r="G2103" s="28" t="s">
        <v>5</v>
      </c>
      <c r="H2103" s="2" t="s">
        <v>17</v>
      </c>
      <c r="I2103" s="2">
        <v>1</v>
      </c>
      <c r="J2103" s="2" t="s">
        <v>3111</v>
      </c>
      <c r="K2103" s="2">
        <v>1882</v>
      </c>
      <c r="L2103" s="35">
        <f t="shared" si="110"/>
        <v>6015182.5300000003</v>
      </c>
      <c r="M2103" s="36">
        <v>50</v>
      </c>
      <c r="N2103" s="40">
        <v>1038.87594458438</v>
      </c>
      <c r="O2103" s="48">
        <v>1340.4722921914399</v>
      </c>
      <c r="P2103" s="40">
        <v>0</v>
      </c>
      <c r="Q2103" s="48">
        <v>346.34760705289699</v>
      </c>
      <c r="R2103" s="40">
        <f>2181.40743073048+630</f>
        <v>2811.40743073048</v>
      </c>
      <c r="S2103" s="40">
        <v>1115.73047858942</v>
      </c>
      <c r="T2103" s="40">
        <v>30000</v>
      </c>
      <c r="U2103" s="40">
        <v>17149.086901763199</v>
      </c>
      <c r="V2103" s="40">
        <v>0</v>
      </c>
      <c r="W2103" s="45">
        <f t="shared" si="111"/>
        <v>53801.920654911817</v>
      </c>
      <c r="X2103" s="46">
        <f t="shared" si="112"/>
        <v>0.89443537891961222</v>
      </c>
    </row>
    <row r="2104" spans="1:24" s="4" customFormat="1" ht="15" customHeight="1">
      <c r="A2104" s="28" t="s">
        <v>3019</v>
      </c>
      <c r="B2104" s="29">
        <v>3196.165</v>
      </c>
      <c r="C2104" s="30" t="s">
        <v>3109</v>
      </c>
      <c r="D2104" s="2">
        <v>4951268367</v>
      </c>
      <c r="E2104" s="2" t="s">
        <v>14</v>
      </c>
      <c r="F2104" s="2" t="s">
        <v>3110</v>
      </c>
      <c r="G2104" s="28" t="s">
        <v>5</v>
      </c>
      <c r="H2104" s="2" t="s">
        <v>17</v>
      </c>
      <c r="I2104" s="2">
        <v>1</v>
      </c>
      <c r="J2104" s="2" t="s">
        <v>3111</v>
      </c>
      <c r="K2104" s="2">
        <v>5510.4</v>
      </c>
      <c r="L2104" s="35">
        <f t="shared" si="110"/>
        <v>17612147.616</v>
      </c>
      <c r="M2104" s="36">
        <v>1680</v>
      </c>
      <c r="N2104" s="40">
        <v>34906.231738035298</v>
      </c>
      <c r="O2104" s="48">
        <v>45039.869017632198</v>
      </c>
      <c r="P2104" s="40">
        <v>0</v>
      </c>
      <c r="Q2104" s="48">
        <v>11637.2795969773</v>
      </c>
      <c r="R2104" s="40">
        <f>73295.2896725441+21159</f>
        <v>94454.289672544095</v>
      </c>
      <c r="S2104" s="40">
        <v>37488.544080604501</v>
      </c>
      <c r="T2104" s="40">
        <v>30000</v>
      </c>
      <c r="U2104" s="40">
        <v>576209.319899244</v>
      </c>
      <c r="V2104" s="40">
        <v>0</v>
      </c>
      <c r="W2104" s="45">
        <f t="shared" si="111"/>
        <v>829735.53400503739</v>
      </c>
      <c r="X2104" s="46">
        <f t="shared" si="112"/>
        <v>4.7111547784851213</v>
      </c>
    </row>
    <row r="2105" spans="1:24" s="4" customFormat="1" ht="15" customHeight="1">
      <c r="A2105" s="28" t="s">
        <v>3019</v>
      </c>
      <c r="B2105" s="29">
        <v>3196.165</v>
      </c>
      <c r="C2105" s="30" t="s">
        <v>3109</v>
      </c>
      <c r="D2105" s="2">
        <v>4951268367</v>
      </c>
      <c r="E2105" s="2" t="s">
        <v>14</v>
      </c>
      <c r="F2105" s="2" t="s">
        <v>3110</v>
      </c>
      <c r="G2105" s="28" t="s">
        <v>5</v>
      </c>
      <c r="H2105" s="2" t="s">
        <v>17</v>
      </c>
      <c r="I2105" s="2">
        <v>1</v>
      </c>
      <c r="J2105" s="2" t="s">
        <v>3111</v>
      </c>
      <c r="K2105" s="2">
        <v>4392</v>
      </c>
      <c r="L2105" s="35">
        <f t="shared" si="110"/>
        <v>14037556.68</v>
      </c>
      <c r="M2105" s="36">
        <v>900</v>
      </c>
      <c r="N2105" s="40">
        <v>18699.7670025189</v>
      </c>
      <c r="O2105" s="48">
        <v>24128.501259445798</v>
      </c>
      <c r="P2105" s="40">
        <v>0</v>
      </c>
      <c r="Q2105" s="48">
        <v>6234.25692695214</v>
      </c>
      <c r="R2105" s="40">
        <f>39265.3337531486+11335</f>
        <v>50600.333753148603</v>
      </c>
      <c r="S2105" s="40">
        <v>20083.148614609599</v>
      </c>
      <c r="T2105" s="40">
        <v>30000</v>
      </c>
      <c r="U2105" s="40">
        <v>308683.56423173798</v>
      </c>
      <c r="V2105" s="40">
        <v>0</v>
      </c>
      <c r="W2105" s="45">
        <f t="shared" si="111"/>
        <v>458429.57178841304</v>
      </c>
      <c r="X2105" s="46">
        <f t="shared" si="112"/>
        <v>3.265736212068588</v>
      </c>
    </row>
    <row r="2106" spans="1:24" s="4" customFormat="1" ht="15" customHeight="1">
      <c r="A2106" s="28" t="s">
        <v>3019</v>
      </c>
      <c r="B2106" s="29">
        <v>3196.165</v>
      </c>
      <c r="C2106" s="30" t="s">
        <v>3112</v>
      </c>
      <c r="D2106" s="2">
        <v>4948561425</v>
      </c>
      <c r="E2106" s="2" t="s">
        <v>24</v>
      </c>
      <c r="F2106" s="2" t="s">
        <v>3113</v>
      </c>
      <c r="G2106" s="28" t="s">
        <v>9</v>
      </c>
      <c r="H2106" s="2" t="s">
        <v>23</v>
      </c>
      <c r="I2106" s="2">
        <v>1</v>
      </c>
      <c r="J2106" s="2"/>
      <c r="K2106" s="2">
        <v>520</v>
      </c>
      <c r="L2106" s="35">
        <f t="shared" si="110"/>
        <v>1662005.8</v>
      </c>
      <c r="M2106" s="36">
        <v>200</v>
      </c>
      <c r="N2106" s="40">
        <v>604605</v>
      </c>
      <c r="O2106" s="40">
        <v>0</v>
      </c>
      <c r="P2106" s="40">
        <v>46201</v>
      </c>
      <c r="Q2106" s="40">
        <v>92592</v>
      </c>
      <c r="R2106" s="40">
        <v>120480</v>
      </c>
      <c r="S2106" s="40">
        <v>354356</v>
      </c>
      <c r="T2106" s="40"/>
      <c r="U2106" s="40">
        <v>557750</v>
      </c>
      <c r="V2106" s="40">
        <v>0</v>
      </c>
      <c r="W2106" s="45">
        <f t="shared" si="111"/>
        <v>1775984</v>
      </c>
      <c r="X2106" s="46">
        <f t="shared" si="112"/>
        <v>106.85787017109085</v>
      </c>
    </row>
    <row r="2107" spans="1:24" s="4" customFormat="1" ht="15" customHeight="1">
      <c r="A2107" s="28" t="s">
        <v>3019</v>
      </c>
      <c r="B2107" s="29">
        <v>3196.165</v>
      </c>
      <c r="C2107" s="30" t="s">
        <v>3114</v>
      </c>
      <c r="D2107" s="2">
        <v>4951150649</v>
      </c>
      <c r="E2107" s="2" t="s">
        <v>14</v>
      </c>
      <c r="F2107" s="2" t="s">
        <v>3115</v>
      </c>
      <c r="G2107" s="28" t="s">
        <v>9</v>
      </c>
      <c r="H2107" s="2" t="s">
        <v>23</v>
      </c>
      <c r="I2107" s="2">
        <v>1</v>
      </c>
      <c r="J2107" s="2"/>
      <c r="K2107" s="2">
        <v>4473</v>
      </c>
      <c r="L2107" s="35">
        <f t="shared" si="110"/>
        <v>14296446.045</v>
      </c>
      <c r="M2107" s="36">
        <v>150</v>
      </c>
      <c r="N2107" s="40">
        <v>454237</v>
      </c>
      <c r="O2107" s="40">
        <v>127</v>
      </c>
      <c r="P2107" s="40">
        <v>0</v>
      </c>
      <c r="Q2107" s="40">
        <v>2967</v>
      </c>
      <c r="R2107" s="40">
        <v>88138</v>
      </c>
      <c r="S2107" s="40">
        <v>354356</v>
      </c>
      <c r="T2107" s="40">
        <v>30000</v>
      </c>
      <c r="U2107" s="40">
        <v>1367700</v>
      </c>
      <c r="V2107" s="40">
        <v>0</v>
      </c>
      <c r="W2107" s="45">
        <f t="shared" si="111"/>
        <v>2297525</v>
      </c>
      <c r="X2107" s="46">
        <f t="shared" si="112"/>
        <v>16.0706023914491</v>
      </c>
    </row>
    <row r="2108" spans="1:24" s="4" customFormat="1" ht="15" customHeight="1">
      <c r="A2108" s="28" t="s">
        <v>3019</v>
      </c>
      <c r="B2108" s="29">
        <v>3196.165</v>
      </c>
      <c r="C2108" s="30" t="s">
        <v>3116</v>
      </c>
      <c r="D2108" s="2">
        <v>4950697623</v>
      </c>
      <c r="E2108" s="2" t="s">
        <v>14</v>
      </c>
      <c r="F2108" s="2" t="s">
        <v>3117</v>
      </c>
      <c r="G2108" s="28" t="s">
        <v>9</v>
      </c>
      <c r="H2108" s="2" t="s">
        <v>23</v>
      </c>
      <c r="I2108" s="2">
        <v>7</v>
      </c>
      <c r="J2108" s="2"/>
      <c r="K2108" s="2">
        <v>3924</v>
      </c>
      <c r="L2108" s="35">
        <f t="shared" si="110"/>
        <v>12541751.459999999</v>
      </c>
      <c r="M2108" s="36">
        <v>3600</v>
      </c>
      <c r="N2108" s="40">
        <v>568714.93238434196</v>
      </c>
      <c r="O2108" s="48">
        <v>2394.19217081851</v>
      </c>
      <c r="P2108" s="40">
        <v>0</v>
      </c>
      <c r="Q2108" s="48">
        <v>75506.220640569401</v>
      </c>
      <c r="R2108" s="40">
        <v>129494.43416370099</v>
      </c>
      <c r="S2108" s="40">
        <v>181591.68683274</v>
      </c>
      <c r="T2108" s="40">
        <v>30000</v>
      </c>
      <c r="U2108" s="40">
        <v>1246107.8838174299</v>
      </c>
      <c r="V2108" s="40">
        <v>0</v>
      </c>
      <c r="W2108" s="45">
        <f t="shared" si="111"/>
        <v>2233809.3500096006</v>
      </c>
      <c r="X2108" s="46">
        <f t="shared" si="112"/>
        <v>17.810984033083376</v>
      </c>
    </row>
    <row r="2109" spans="1:24" s="4" customFormat="1" ht="15" customHeight="1">
      <c r="A2109" s="28" t="s">
        <v>3019</v>
      </c>
      <c r="B2109" s="29">
        <v>3196.165</v>
      </c>
      <c r="C2109" s="30" t="s">
        <v>3116</v>
      </c>
      <c r="D2109" s="2">
        <v>4951215052</v>
      </c>
      <c r="E2109" s="2" t="s">
        <v>14</v>
      </c>
      <c r="F2109" s="2" t="s">
        <v>3117</v>
      </c>
      <c r="G2109" s="28" t="s">
        <v>9</v>
      </c>
      <c r="H2109" s="2" t="s">
        <v>23</v>
      </c>
      <c r="I2109" s="2">
        <v>7</v>
      </c>
      <c r="J2109" s="2"/>
      <c r="K2109" s="2">
        <v>2616</v>
      </c>
      <c r="L2109" s="35">
        <f t="shared" si="110"/>
        <v>8361167.6399999997</v>
      </c>
      <c r="M2109" s="36">
        <v>2400</v>
      </c>
      <c r="N2109" s="40">
        <v>379143.28825622803</v>
      </c>
      <c r="O2109" s="48">
        <v>1596.128113879</v>
      </c>
      <c r="P2109" s="40">
        <v>0</v>
      </c>
      <c r="Q2109" s="48">
        <v>50337.480427046299</v>
      </c>
      <c r="R2109" s="40">
        <v>86329.622775800701</v>
      </c>
      <c r="S2109" s="40">
        <v>121061.12455516</v>
      </c>
      <c r="T2109" s="40">
        <v>30000</v>
      </c>
      <c r="U2109" s="40">
        <v>830738.58921161795</v>
      </c>
      <c r="V2109" s="40">
        <v>0</v>
      </c>
      <c r="W2109" s="45">
        <f t="shared" si="111"/>
        <v>1499206.233339732</v>
      </c>
      <c r="X2109" s="46">
        <f t="shared" si="112"/>
        <v>17.930584553376232</v>
      </c>
    </row>
    <row r="2110" spans="1:24" s="4" customFormat="1" ht="15" customHeight="1">
      <c r="A2110" s="28" t="s">
        <v>3019</v>
      </c>
      <c r="B2110" s="29">
        <v>3196.165</v>
      </c>
      <c r="C2110" s="30" t="s">
        <v>3116</v>
      </c>
      <c r="D2110" s="2">
        <v>4950978890</v>
      </c>
      <c r="E2110" s="2" t="s">
        <v>14</v>
      </c>
      <c r="F2110" s="2" t="s">
        <v>3117</v>
      </c>
      <c r="G2110" s="28" t="s">
        <v>9</v>
      </c>
      <c r="H2110" s="2" t="s">
        <v>23</v>
      </c>
      <c r="I2110" s="2">
        <v>7</v>
      </c>
      <c r="J2110" s="2"/>
      <c r="K2110" s="2">
        <v>168.25</v>
      </c>
      <c r="L2110" s="35">
        <f t="shared" si="110"/>
        <v>537754.76124999998</v>
      </c>
      <c r="M2110" s="36">
        <v>25</v>
      </c>
      <c r="N2110" s="40">
        <v>3949.4092526690401</v>
      </c>
      <c r="O2110" s="48">
        <v>16.626334519573</v>
      </c>
      <c r="P2110" s="40">
        <v>0</v>
      </c>
      <c r="Q2110" s="48">
        <v>524.34875444839804</v>
      </c>
      <c r="R2110" s="40">
        <v>899.26690391459101</v>
      </c>
      <c r="S2110" s="40">
        <v>1261.0533807829199</v>
      </c>
      <c r="T2110" s="40">
        <v>30000</v>
      </c>
      <c r="U2110" s="40">
        <v>8653.5269709543609</v>
      </c>
      <c r="V2110" s="40">
        <v>0</v>
      </c>
      <c r="W2110" s="45">
        <f t="shared" si="111"/>
        <v>45304.23159728889</v>
      </c>
      <c r="X2110" s="46">
        <f t="shared" si="112"/>
        <v>8.4247011578252007</v>
      </c>
    </row>
    <row r="2111" spans="1:24" s="4" customFormat="1" ht="15" customHeight="1">
      <c r="A2111" s="28" t="s">
        <v>3019</v>
      </c>
      <c r="B2111" s="29">
        <v>3196.165</v>
      </c>
      <c r="C2111" s="30" t="s">
        <v>3116</v>
      </c>
      <c r="D2111" s="2">
        <v>4951380720</v>
      </c>
      <c r="E2111" s="2" t="s">
        <v>38</v>
      </c>
      <c r="F2111" s="2" t="s">
        <v>3117</v>
      </c>
      <c r="G2111" s="28" t="s">
        <v>9</v>
      </c>
      <c r="H2111" s="2" t="s">
        <v>23</v>
      </c>
      <c r="I2111" s="2">
        <v>7</v>
      </c>
      <c r="J2111" s="2"/>
      <c r="K2111" s="2">
        <v>3260</v>
      </c>
      <c r="L2111" s="35">
        <f t="shared" si="110"/>
        <v>10419497.9</v>
      </c>
      <c r="M2111" s="36">
        <v>1000</v>
      </c>
      <c r="N2111" s="40">
        <v>157976.37010676201</v>
      </c>
      <c r="O2111" s="48">
        <v>665.053380782918</v>
      </c>
      <c r="P2111" s="40">
        <v>0</v>
      </c>
      <c r="Q2111" s="48">
        <v>20973.950177935902</v>
      </c>
      <c r="R2111" s="40">
        <v>35970.676156583599</v>
      </c>
      <c r="S2111" s="40">
        <v>50442.135231316701</v>
      </c>
      <c r="T2111" s="48"/>
      <c r="U2111" s="40">
        <v>252200</v>
      </c>
      <c r="V2111" s="40">
        <v>0</v>
      </c>
      <c r="W2111" s="45">
        <f t="shared" si="111"/>
        <v>518228.18505338114</v>
      </c>
      <c r="X2111" s="46">
        <f t="shared" si="112"/>
        <v>4.9736387494581775</v>
      </c>
    </row>
    <row r="2112" spans="1:24" s="4" customFormat="1" ht="15" customHeight="1">
      <c r="A2112" s="28" t="s">
        <v>3019</v>
      </c>
      <c r="B2112" s="29">
        <v>3196.165</v>
      </c>
      <c r="C2112" s="30" t="s">
        <v>3118</v>
      </c>
      <c r="D2112" s="2">
        <v>4950216811</v>
      </c>
      <c r="E2112" s="2" t="s">
        <v>21</v>
      </c>
      <c r="F2112" s="2" t="s">
        <v>3119</v>
      </c>
      <c r="G2112" s="28" t="s">
        <v>5</v>
      </c>
      <c r="H2112" s="2" t="s">
        <v>20</v>
      </c>
      <c r="I2112" s="2">
        <v>1</v>
      </c>
      <c r="J2112" s="2" t="s">
        <v>3120</v>
      </c>
      <c r="K2112" s="2">
        <v>15079.68</v>
      </c>
      <c r="L2112" s="35">
        <f t="shared" si="110"/>
        <v>48197145.427199997</v>
      </c>
      <c r="M2112" s="36">
        <v>3264</v>
      </c>
      <c r="N2112" s="40">
        <v>329998</v>
      </c>
      <c r="O2112" s="40">
        <v>324522</v>
      </c>
      <c r="P2112" s="40">
        <v>0</v>
      </c>
      <c r="Q2112" s="40">
        <v>110000</v>
      </c>
      <c r="R2112" s="40">
        <v>639457</v>
      </c>
      <c r="S2112" s="40">
        <v>354356</v>
      </c>
      <c r="T2112" s="40"/>
      <c r="U2112" s="40">
        <v>499900</v>
      </c>
      <c r="V2112" s="40">
        <v>0</v>
      </c>
      <c r="W2112" s="45">
        <f t="shared" si="111"/>
        <v>2258233</v>
      </c>
      <c r="X2112" s="46">
        <f t="shared" si="112"/>
        <v>4.6854081916759514</v>
      </c>
    </row>
    <row r="2113" spans="1:24" s="4" customFormat="1" ht="15" customHeight="1">
      <c r="A2113" s="28" t="s">
        <v>3019</v>
      </c>
      <c r="B2113" s="29">
        <v>3196.165</v>
      </c>
      <c r="C2113" s="30" t="s">
        <v>3121</v>
      </c>
      <c r="D2113" s="2">
        <v>4950962141</v>
      </c>
      <c r="E2113" s="2" t="s">
        <v>21</v>
      </c>
      <c r="F2113" s="2" t="s">
        <v>3122</v>
      </c>
      <c r="G2113" s="28" t="s">
        <v>9</v>
      </c>
      <c r="H2113" s="2" t="s">
        <v>23</v>
      </c>
      <c r="I2113" s="2">
        <v>3</v>
      </c>
      <c r="J2113" s="2"/>
      <c r="K2113" s="2">
        <v>12266.4</v>
      </c>
      <c r="L2113" s="35">
        <f t="shared" si="110"/>
        <v>39205438.355999999</v>
      </c>
      <c r="M2113" s="36">
        <v>2280</v>
      </c>
      <c r="N2113" s="40">
        <v>2332977</v>
      </c>
      <c r="O2113" s="40">
        <v>1621</v>
      </c>
      <c r="P2113" s="40">
        <v>51744</v>
      </c>
      <c r="Q2113" s="40">
        <v>40676</v>
      </c>
      <c r="R2113" s="40">
        <v>129352</v>
      </c>
      <c r="S2113" s="40">
        <v>354356</v>
      </c>
      <c r="T2113" s="40"/>
      <c r="U2113" s="40">
        <v>252200</v>
      </c>
      <c r="V2113" s="40">
        <v>0</v>
      </c>
      <c r="W2113" s="45">
        <f t="shared" si="111"/>
        <v>3162926</v>
      </c>
      <c r="X2113" s="46">
        <f t="shared" si="112"/>
        <v>8.0675695327761741</v>
      </c>
    </row>
    <row r="2114" spans="1:24" s="4" customFormat="1" ht="15" customHeight="1">
      <c r="A2114" s="28" t="s">
        <v>3019</v>
      </c>
      <c r="B2114" s="29">
        <v>3196.165</v>
      </c>
      <c r="C2114" s="30" t="s">
        <v>3123</v>
      </c>
      <c r="D2114" s="2">
        <v>4950898144</v>
      </c>
      <c r="E2114" s="2" t="s">
        <v>14</v>
      </c>
      <c r="F2114" s="2" t="s">
        <v>3124</v>
      </c>
      <c r="G2114" s="28" t="s">
        <v>9</v>
      </c>
      <c r="H2114" s="2" t="s">
        <v>23</v>
      </c>
      <c r="I2114" s="2">
        <v>10</v>
      </c>
      <c r="J2114" s="2"/>
      <c r="K2114" s="2">
        <v>116760</v>
      </c>
      <c r="L2114" s="35">
        <f t="shared" si="110"/>
        <v>373184225.39999998</v>
      </c>
      <c r="M2114" s="36">
        <f>2400+3600</f>
        <v>6000</v>
      </c>
      <c r="N2114" s="40">
        <v>968190</v>
      </c>
      <c r="O2114" s="40">
        <v>4029</v>
      </c>
      <c r="P2114" s="40">
        <v>336531</v>
      </c>
      <c r="Q2114" s="40">
        <v>98604</v>
      </c>
      <c r="R2114" s="40">
        <v>193549</v>
      </c>
      <c r="S2114" s="40">
        <v>354356</v>
      </c>
      <c r="T2114" s="40">
        <v>30000</v>
      </c>
      <c r="U2114" s="40">
        <v>3453200</v>
      </c>
      <c r="V2114" s="40">
        <v>0</v>
      </c>
      <c r="W2114" s="45">
        <f t="shared" si="111"/>
        <v>5438459</v>
      </c>
      <c r="X2114" s="46">
        <f t="shared" si="112"/>
        <v>1.4573121342872282</v>
      </c>
    </row>
    <row r="2115" spans="1:24" s="4" customFormat="1" ht="15" customHeight="1">
      <c r="A2115" s="28" t="s">
        <v>3019</v>
      </c>
      <c r="B2115" s="29">
        <v>3196.165</v>
      </c>
      <c r="C2115" s="30" t="s">
        <v>3125</v>
      </c>
      <c r="D2115" s="2">
        <v>4951104000</v>
      </c>
      <c r="E2115" s="2" t="s">
        <v>21</v>
      </c>
      <c r="F2115" s="2" t="s">
        <v>3126</v>
      </c>
      <c r="G2115" s="28" t="s">
        <v>5</v>
      </c>
      <c r="H2115" s="2" t="s">
        <v>20</v>
      </c>
      <c r="I2115" s="2">
        <v>1</v>
      </c>
      <c r="J2115" s="2" t="s">
        <v>3127</v>
      </c>
      <c r="K2115" s="2">
        <v>31050</v>
      </c>
      <c r="L2115" s="35">
        <f t="shared" si="110"/>
        <v>99240923.25</v>
      </c>
      <c r="M2115" s="36">
        <v>9000</v>
      </c>
      <c r="N2115" s="40">
        <v>324606</v>
      </c>
      <c r="O2115" s="40">
        <v>324522</v>
      </c>
      <c r="P2115" s="40">
        <v>0</v>
      </c>
      <c r="Q2115" s="40">
        <v>110000</v>
      </c>
      <c r="R2115" s="40">
        <v>638950</v>
      </c>
      <c r="S2115" s="40">
        <v>354356</v>
      </c>
      <c r="T2115" s="40"/>
      <c r="U2115" s="40">
        <v>2900300</v>
      </c>
      <c r="V2115" s="40">
        <v>0</v>
      </c>
      <c r="W2115" s="45">
        <f t="shared" si="111"/>
        <v>4652734</v>
      </c>
      <c r="X2115" s="46">
        <f t="shared" si="112"/>
        <v>4.6883219619785228</v>
      </c>
    </row>
    <row r="2116" spans="1:24" s="4" customFormat="1" ht="15" customHeight="1">
      <c r="A2116" s="28" t="s">
        <v>3019</v>
      </c>
      <c r="B2116" s="29">
        <v>3196.165</v>
      </c>
      <c r="C2116" s="30" t="s">
        <v>3128</v>
      </c>
      <c r="D2116" s="2">
        <v>4950895371</v>
      </c>
      <c r="E2116" s="2" t="s">
        <v>14</v>
      </c>
      <c r="F2116" s="2" t="s">
        <v>3129</v>
      </c>
      <c r="G2116" s="28" t="s">
        <v>9</v>
      </c>
      <c r="H2116" s="2" t="s">
        <v>23</v>
      </c>
      <c r="I2116" s="2">
        <v>5</v>
      </c>
      <c r="J2116" s="2"/>
      <c r="K2116" s="2">
        <v>2299.35</v>
      </c>
      <c r="L2116" s="35">
        <f t="shared" si="110"/>
        <v>7349101.9927499993</v>
      </c>
      <c r="M2116" s="36">
        <v>3621</v>
      </c>
      <c r="N2116" s="40">
        <v>991645</v>
      </c>
      <c r="O2116" s="40">
        <v>2645</v>
      </c>
      <c r="P2116" s="40">
        <v>80626</v>
      </c>
      <c r="Q2116" s="40">
        <v>64497</v>
      </c>
      <c r="R2116" s="40">
        <v>158010</v>
      </c>
      <c r="S2116" s="40">
        <v>354356</v>
      </c>
      <c r="T2116" s="40">
        <v>30000</v>
      </c>
      <c r="U2116" s="40">
        <v>1769766.9322709199</v>
      </c>
      <c r="V2116" s="40">
        <v>0</v>
      </c>
      <c r="W2116" s="45">
        <f t="shared" si="111"/>
        <v>3451545.9322709199</v>
      </c>
      <c r="X2116" s="46">
        <f t="shared" si="112"/>
        <v>46.965546752187173</v>
      </c>
    </row>
    <row r="2117" spans="1:24" s="4" customFormat="1" ht="15" customHeight="1">
      <c r="A2117" s="28" t="s">
        <v>3019</v>
      </c>
      <c r="B2117" s="29">
        <v>3196.165</v>
      </c>
      <c r="C2117" s="30" t="s">
        <v>3130</v>
      </c>
      <c r="D2117" s="2">
        <v>4951082678</v>
      </c>
      <c r="E2117" s="2" t="s">
        <v>18</v>
      </c>
      <c r="F2117" s="2" t="s">
        <v>3131</v>
      </c>
      <c r="G2117" s="28" t="s">
        <v>5</v>
      </c>
      <c r="H2117" s="2" t="s">
        <v>20</v>
      </c>
      <c r="I2117" s="2">
        <v>2</v>
      </c>
      <c r="J2117" s="2" t="s">
        <v>3132</v>
      </c>
      <c r="K2117" s="2">
        <v>23562</v>
      </c>
      <c r="L2117" s="35">
        <f t="shared" si="110"/>
        <v>75308039.730000004</v>
      </c>
      <c r="M2117" s="36">
        <v>19800</v>
      </c>
      <c r="N2117" s="40">
        <v>333205.33333333302</v>
      </c>
      <c r="O2117" s="40">
        <v>108174</v>
      </c>
      <c r="P2117" s="40">
        <v>217694</v>
      </c>
      <c r="Q2117" s="40">
        <v>55000</v>
      </c>
      <c r="R2117" s="40">
        <f t="shared" ref="R2117:R2119" si="113">435588+115187</f>
        <v>550775</v>
      </c>
      <c r="S2117" s="40">
        <v>118118.66666666701</v>
      </c>
      <c r="T2117" s="40">
        <v>30000</v>
      </c>
      <c r="U2117" s="40">
        <v>4811200</v>
      </c>
      <c r="V2117" s="40">
        <v>0</v>
      </c>
      <c r="W2117" s="45">
        <f t="shared" si="111"/>
        <v>6224167</v>
      </c>
      <c r="X2117" s="46">
        <f t="shared" si="112"/>
        <v>8.2649435867874761</v>
      </c>
    </row>
    <row r="2118" spans="1:24" s="4" customFormat="1" ht="15" customHeight="1">
      <c r="A2118" s="28" t="s">
        <v>3019</v>
      </c>
      <c r="B2118" s="29">
        <v>3196.165</v>
      </c>
      <c r="C2118" s="30" t="s">
        <v>3130</v>
      </c>
      <c r="D2118" s="2">
        <v>4951082680</v>
      </c>
      <c r="E2118" s="2" t="s">
        <v>18</v>
      </c>
      <c r="F2118" s="2" t="s">
        <v>3131</v>
      </c>
      <c r="G2118" s="28" t="s">
        <v>5</v>
      </c>
      <c r="H2118" s="2" t="s">
        <v>20</v>
      </c>
      <c r="I2118" s="2">
        <v>2</v>
      </c>
      <c r="J2118" s="2" t="s">
        <v>3132</v>
      </c>
      <c r="K2118" s="2">
        <v>23562</v>
      </c>
      <c r="L2118" s="35">
        <f t="shared" si="110"/>
        <v>75308039.730000004</v>
      </c>
      <c r="M2118" s="36">
        <v>19800</v>
      </c>
      <c r="N2118" s="40">
        <v>333205.33333333302</v>
      </c>
      <c r="O2118" s="40">
        <v>108174</v>
      </c>
      <c r="P2118" s="40">
        <v>0</v>
      </c>
      <c r="Q2118" s="40">
        <v>55000</v>
      </c>
      <c r="R2118" s="40">
        <f t="shared" si="113"/>
        <v>550775</v>
      </c>
      <c r="S2118" s="40">
        <v>118118.66666666701</v>
      </c>
      <c r="T2118" s="40">
        <v>30000</v>
      </c>
      <c r="U2118" s="40">
        <v>4811200</v>
      </c>
      <c r="V2118" s="40">
        <v>0</v>
      </c>
      <c r="W2118" s="45">
        <f t="shared" si="111"/>
        <v>6006473</v>
      </c>
      <c r="X2118" s="46">
        <f t="shared" si="112"/>
        <v>7.9758721931082714</v>
      </c>
    </row>
    <row r="2119" spans="1:24" s="4" customFormat="1" ht="15" customHeight="1">
      <c r="A2119" s="28" t="s">
        <v>3019</v>
      </c>
      <c r="B2119" s="29">
        <v>3196.165</v>
      </c>
      <c r="C2119" s="30" t="s">
        <v>3130</v>
      </c>
      <c r="D2119" s="2">
        <v>4951082681</v>
      </c>
      <c r="E2119" s="2" t="s">
        <v>18</v>
      </c>
      <c r="F2119" s="2" t="s">
        <v>3131</v>
      </c>
      <c r="G2119" s="28" t="s">
        <v>5</v>
      </c>
      <c r="H2119" s="2" t="s">
        <v>20</v>
      </c>
      <c r="I2119" s="2">
        <v>2</v>
      </c>
      <c r="J2119" s="2" t="s">
        <v>3132</v>
      </c>
      <c r="K2119" s="2">
        <v>23562</v>
      </c>
      <c r="L2119" s="35">
        <f t="shared" si="110"/>
        <v>75308039.730000004</v>
      </c>
      <c r="M2119" s="36">
        <v>19800</v>
      </c>
      <c r="N2119" s="40">
        <v>333205.33333333302</v>
      </c>
      <c r="O2119" s="40">
        <v>108174</v>
      </c>
      <c r="P2119" s="40">
        <v>0</v>
      </c>
      <c r="Q2119" s="40">
        <v>55000</v>
      </c>
      <c r="R2119" s="40">
        <f t="shared" si="113"/>
        <v>550775</v>
      </c>
      <c r="S2119" s="40">
        <v>118118.66666666701</v>
      </c>
      <c r="T2119" s="40">
        <v>30000</v>
      </c>
      <c r="U2119" s="40">
        <v>4811200</v>
      </c>
      <c r="V2119" s="40">
        <v>0</v>
      </c>
      <c r="W2119" s="45">
        <f t="shared" si="111"/>
        <v>6006473</v>
      </c>
      <c r="X2119" s="46">
        <f t="shared" si="112"/>
        <v>7.9758721931082714</v>
      </c>
    </row>
    <row r="2120" spans="1:24" s="4" customFormat="1" ht="15" customHeight="1">
      <c r="A2120" s="28" t="s">
        <v>3019</v>
      </c>
      <c r="B2120" s="29">
        <v>3196.165</v>
      </c>
      <c r="C2120" s="30" t="s">
        <v>3133</v>
      </c>
      <c r="D2120" s="2">
        <v>4951107963</v>
      </c>
      <c r="E2120" s="2" t="s">
        <v>14</v>
      </c>
      <c r="F2120" s="2" t="s">
        <v>3134</v>
      </c>
      <c r="G2120" s="28" t="s">
        <v>9</v>
      </c>
      <c r="H2120" s="2" t="s">
        <v>23</v>
      </c>
      <c r="I2120" s="2">
        <v>9</v>
      </c>
      <c r="J2120" s="2"/>
      <c r="K2120" s="2">
        <v>2236</v>
      </c>
      <c r="L2120" s="35">
        <f t="shared" si="110"/>
        <v>7146624.9399999995</v>
      </c>
      <c r="M2120" s="36">
        <v>325</v>
      </c>
      <c r="N2120" s="40">
        <v>187830.42750929401</v>
      </c>
      <c r="O2120" s="48">
        <v>227.66914498141301</v>
      </c>
      <c r="P2120" s="40">
        <v>23697.453531598501</v>
      </c>
      <c r="Q2120" s="40">
        <v>6997.7695167286201</v>
      </c>
      <c r="R2120" s="40">
        <v>12047.375464684001</v>
      </c>
      <c r="S2120" s="40">
        <v>17125.011152416399</v>
      </c>
      <c r="T2120" s="40">
        <v>30000</v>
      </c>
      <c r="U2120" s="40">
        <v>166883.271375465</v>
      </c>
      <c r="V2120" s="40">
        <v>0</v>
      </c>
      <c r="W2120" s="45">
        <f t="shared" si="111"/>
        <v>444808.977695168</v>
      </c>
      <c r="X2120" s="46">
        <f t="shared" si="112"/>
        <v>6.2240425575651948</v>
      </c>
    </row>
    <row r="2121" spans="1:24" s="4" customFormat="1" ht="15" customHeight="1">
      <c r="A2121" s="28" t="s">
        <v>3019</v>
      </c>
      <c r="B2121" s="29">
        <v>3196.165</v>
      </c>
      <c r="C2121" s="30" t="s">
        <v>3133</v>
      </c>
      <c r="D2121" s="2">
        <v>4950133765</v>
      </c>
      <c r="E2121" s="2" t="s">
        <v>24</v>
      </c>
      <c r="F2121" s="2" t="s">
        <v>3134</v>
      </c>
      <c r="G2121" s="28" t="s">
        <v>9</v>
      </c>
      <c r="H2121" s="2" t="s">
        <v>23</v>
      </c>
      <c r="I2121" s="2">
        <v>9</v>
      </c>
      <c r="J2121" s="2"/>
      <c r="K2121" s="2">
        <v>8592.7999999999993</v>
      </c>
      <c r="L2121" s="35">
        <f t="shared" si="110"/>
        <v>27464006.611999996</v>
      </c>
      <c r="M2121" s="36">
        <v>1840</v>
      </c>
      <c r="N2121" s="40">
        <v>1063409.18959108</v>
      </c>
      <c r="O2121" s="48">
        <v>1288.9576208178401</v>
      </c>
      <c r="P2121" s="40">
        <v>134164.044609665</v>
      </c>
      <c r="Q2121" s="40">
        <v>39618.141263940503</v>
      </c>
      <c r="R2121" s="40">
        <v>68206.679553903305</v>
      </c>
      <c r="S2121" s="40">
        <v>96953.909293680306</v>
      </c>
      <c r="T2121" s="48"/>
      <c r="U2121" s="40">
        <v>944816.05947955395</v>
      </c>
      <c r="V2121" s="40">
        <v>0</v>
      </c>
      <c r="W2121" s="45">
        <f t="shared" si="111"/>
        <v>2348456.9814126408</v>
      </c>
      <c r="X2121" s="46">
        <f t="shared" si="112"/>
        <v>8.551035595755053</v>
      </c>
    </row>
    <row r="2122" spans="1:24" s="4" customFormat="1" ht="15" customHeight="1">
      <c r="A2122" s="28" t="s">
        <v>3019</v>
      </c>
      <c r="B2122" s="29">
        <v>3196.165</v>
      </c>
      <c r="C2122" s="30" t="s">
        <v>3133</v>
      </c>
      <c r="D2122" s="2">
        <v>4951239046</v>
      </c>
      <c r="E2122" s="2" t="s">
        <v>14</v>
      </c>
      <c r="F2122" s="2" t="s">
        <v>3134</v>
      </c>
      <c r="G2122" s="28" t="s">
        <v>9</v>
      </c>
      <c r="H2122" s="2" t="s">
        <v>23</v>
      </c>
      <c r="I2122" s="2">
        <v>9</v>
      </c>
      <c r="J2122" s="2"/>
      <c r="K2122" s="2">
        <v>4644</v>
      </c>
      <c r="L2122" s="35">
        <f t="shared" si="110"/>
        <v>14842990.26</v>
      </c>
      <c r="M2122" s="36">
        <v>1200</v>
      </c>
      <c r="N2122" s="40">
        <v>693527.73234200699</v>
      </c>
      <c r="O2122" s="48">
        <v>840.62453531598499</v>
      </c>
      <c r="P2122" s="40">
        <v>87498.289962825307</v>
      </c>
      <c r="Q2122" s="40">
        <v>25837.918215613401</v>
      </c>
      <c r="R2122" s="40">
        <v>44482.617100371703</v>
      </c>
      <c r="S2122" s="40">
        <v>63230.810408921898</v>
      </c>
      <c r="T2122" s="40">
        <v>30000</v>
      </c>
      <c r="U2122" s="40">
        <v>616184.38661709998</v>
      </c>
      <c r="V2122" s="40">
        <v>0</v>
      </c>
      <c r="W2122" s="45">
        <f t="shared" si="111"/>
        <v>1561602.3791821552</v>
      </c>
      <c r="X2122" s="46">
        <f t="shared" si="112"/>
        <v>10.520807140798832</v>
      </c>
    </row>
    <row r="2123" spans="1:24" s="4" customFormat="1" ht="15" customHeight="1">
      <c r="A2123" s="28" t="s">
        <v>3019</v>
      </c>
      <c r="B2123" s="29">
        <v>3196.165</v>
      </c>
      <c r="C2123" s="30" t="s">
        <v>3133</v>
      </c>
      <c r="D2123" s="2">
        <v>4950930077</v>
      </c>
      <c r="E2123" s="2" t="s">
        <v>14</v>
      </c>
      <c r="F2123" s="2" t="s">
        <v>3134</v>
      </c>
      <c r="G2123" s="28" t="s">
        <v>9</v>
      </c>
      <c r="H2123" s="2" t="s">
        <v>23</v>
      </c>
      <c r="I2123" s="2">
        <v>9</v>
      </c>
      <c r="J2123" s="2"/>
      <c r="K2123" s="2">
        <v>2562</v>
      </c>
      <c r="L2123" s="35">
        <f t="shared" si="110"/>
        <v>8188574.7299999995</v>
      </c>
      <c r="M2123" s="36">
        <v>840</v>
      </c>
      <c r="N2123" s="40">
        <v>485469.412639405</v>
      </c>
      <c r="O2123" s="48">
        <v>588.43717472118999</v>
      </c>
      <c r="P2123" s="40">
        <v>61248.802973977698</v>
      </c>
      <c r="Q2123" s="40">
        <v>18086.542750929399</v>
      </c>
      <c r="R2123" s="40">
        <v>31137.831970260198</v>
      </c>
      <c r="S2123" s="40">
        <v>44261.567286245401</v>
      </c>
      <c r="T2123" s="40">
        <v>30000</v>
      </c>
      <c r="U2123" s="40">
        <v>431329.07063197001</v>
      </c>
      <c r="V2123" s="40">
        <v>0</v>
      </c>
      <c r="W2123" s="45">
        <f t="shared" si="111"/>
        <v>1102121.665427509</v>
      </c>
      <c r="X2123" s="46">
        <f t="shared" si="112"/>
        <v>13.459261248355354</v>
      </c>
    </row>
    <row r="2124" spans="1:24" s="4" customFormat="1" ht="15" customHeight="1">
      <c r="A2124" s="28" t="s">
        <v>3019</v>
      </c>
      <c r="B2124" s="29">
        <v>3196.165</v>
      </c>
      <c r="C2124" s="30" t="s">
        <v>3133</v>
      </c>
      <c r="D2124" s="2">
        <v>4950059654</v>
      </c>
      <c r="E2124" s="2" t="s">
        <v>14</v>
      </c>
      <c r="F2124" s="2" t="s">
        <v>3134</v>
      </c>
      <c r="G2124" s="28" t="s">
        <v>9</v>
      </c>
      <c r="H2124" s="2" t="s">
        <v>23</v>
      </c>
      <c r="I2124" s="2">
        <v>9</v>
      </c>
      <c r="J2124" s="2"/>
      <c r="K2124" s="2">
        <v>10508.4</v>
      </c>
      <c r="L2124" s="35">
        <f t="shared" si="110"/>
        <v>33586580.285999998</v>
      </c>
      <c r="M2124" s="36">
        <v>2520</v>
      </c>
      <c r="N2124" s="40">
        <v>1456408.23791822</v>
      </c>
      <c r="O2124" s="48">
        <v>1765.3115241635701</v>
      </c>
      <c r="P2124" s="40">
        <v>183746.40892193301</v>
      </c>
      <c r="Q2124" s="40">
        <v>54259.628252788098</v>
      </c>
      <c r="R2124" s="40">
        <v>93413.495910780694</v>
      </c>
      <c r="S2124" s="40">
        <v>132784.70185873599</v>
      </c>
      <c r="T2124" s="40">
        <v>30000</v>
      </c>
      <c r="U2124" s="40">
        <v>1293987.2118959101</v>
      </c>
      <c r="V2124" s="40">
        <v>0</v>
      </c>
      <c r="W2124" s="45">
        <f t="shared" si="111"/>
        <v>3246364.9962825314</v>
      </c>
      <c r="X2124" s="46">
        <f t="shared" si="112"/>
        <v>9.665661012936539</v>
      </c>
    </row>
    <row r="2125" spans="1:24" s="4" customFormat="1" ht="15" customHeight="1">
      <c r="A2125" s="28" t="s">
        <v>3019</v>
      </c>
      <c r="B2125" s="29">
        <v>3196.165</v>
      </c>
      <c r="C2125" s="30" t="s">
        <v>3135</v>
      </c>
      <c r="D2125" s="2">
        <v>4951348216</v>
      </c>
      <c r="E2125" s="2" t="s">
        <v>14</v>
      </c>
      <c r="F2125" s="2" t="s">
        <v>3136</v>
      </c>
      <c r="G2125" s="28" t="s">
        <v>9</v>
      </c>
      <c r="H2125" s="2" t="s">
        <v>23</v>
      </c>
      <c r="I2125" s="2">
        <v>3</v>
      </c>
      <c r="J2125" s="2"/>
      <c r="K2125" s="2">
        <v>8088</v>
      </c>
      <c r="L2125" s="35">
        <f t="shared" si="110"/>
        <v>25850582.52</v>
      </c>
      <c r="M2125" s="36">
        <v>480</v>
      </c>
      <c r="N2125" s="40">
        <v>463750.82926829299</v>
      </c>
      <c r="O2125" s="48">
        <v>334.82926829268303</v>
      </c>
      <c r="P2125" s="40">
        <v>0</v>
      </c>
      <c r="Q2125" s="40">
        <v>10811.7073170732</v>
      </c>
      <c r="R2125" s="40">
        <v>65584.975609756104</v>
      </c>
      <c r="S2125" s="40">
        <v>207427.90243902401</v>
      </c>
      <c r="T2125" s="40">
        <v>30000</v>
      </c>
      <c r="U2125" s="40">
        <v>800604.87804878002</v>
      </c>
      <c r="V2125" s="40">
        <v>0</v>
      </c>
      <c r="W2125" s="45">
        <f t="shared" si="111"/>
        <v>1578515.1219512192</v>
      </c>
      <c r="X2125" s="46">
        <f t="shared" si="112"/>
        <v>6.1063038743129221</v>
      </c>
    </row>
    <row r="2126" spans="1:24" s="4" customFormat="1" ht="15" customHeight="1">
      <c r="A2126" s="28" t="s">
        <v>3019</v>
      </c>
      <c r="B2126" s="29">
        <v>3196.165</v>
      </c>
      <c r="C2126" s="30" t="s">
        <v>3135</v>
      </c>
      <c r="D2126" s="2">
        <v>4951348204</v>
      </c>
      <c r="E2126" s="2" t="s">
        <v>14</v>
      </c>
      <c r="F2126" s="2" t="s">
        <v>3136</v>
      </c>
      <c r="G2126" s="28" t="s">
        <v>9</v>
      </c>
      <c r="H2126" s="2" t="s">
        <v>23</v>
      </c>
      <c r="I2126" s="2">
        <v>3</v>
      </c>
      <c r="J2126" s="2"/>
      <c r="K2126" s="2">
        <v>15396</v>
      </c>
      <c r="L2126" s="35">
        <f t="shared" si="110"/>
        <v>49208156.339999996</v>
      </c>
      <c r="M2126" s="36">
        <v>300</v>
      </c>
      <c r="N2126" s="40">
        <v>289844.268292683</v>
      </c>
      <c r="O2126" s="48">
        <v>209.26829268292701</v>
      </c>
      <c r="P2126" s="40">
        <v>0</v>
      </c>
      <c r="Q2126" s="40">
        <v>6757.3170731707296</v>
      </c>
      <c r="R2126" s="40">
        <v>40990.609756097598</v>
      </c>
      <c r="S2126" s="40">
        <v>129642.43902439</v>
      </c>
      <c r="T2126" s="40">
        <v>30000</v>
      </c>
      <c r="U2126" s="40">
        <v>500378.04878048802</v>
      </c>
      <c r="V2126" s="40">
        <v>0</v>
      </c>
      <c r="W2126" s="45">
        <f t="shared" si="111"/>
        <v>997821.95121951238</v>
      </c>
      <c r="X2126" s="46">
        <f t="shared" si="112"/>
        <v>2.0277572366766554</v>
      </c>
    </row>
    <row r="2127" spans="1:24" s="4" customFormat="1" ht="15" customHeight="1">
      <c r="A2127" s="28" t="s">
        <v>3019</v>
      </c>
      <c r="B2127" s="29">
        <v>3196.165</v>
      </c>
      <c r="C2127" s="30" t="s">
        <v>3135</v>
      </c>
      <c r="D2127" s="2">
        <v>4951521351</v>
      </c>
      <c r="E2127" s="2" t="s">
        <v>14</v>
      </c>
      <c r="F2127" s="2" t="s">
        <v>3136</v>
      </c>
      <c r="G2127" s="28" t="s">
        <v>9</v>
      </c>
      <c r="H2127" s="2" t="s">
        <v>23</v>
      </c>
      <c r="I2127" s="2">
        <v>3</v>
      </c>
      <c r="J2127" s="2"/>
      <c r="K2127" s="2">
        <v>138.80000000000001</v>
      </c>
      <c r="L2127" s="35">
        <f t="shared" si="110"/>
        <v>443627.70200000005</v>
      </c>
      <c r="M2127" s="36">
        <v>40</v>
      </c>
      <c r="N2127" s="40">
        <v>38645.902439024401</v>
      </c>
      <c r="O2127" s="48">
        <v>27.902439024390201</v>
      </c>
      <c r="P2127" s="40">
        <v>0</v>
      </c>
      <c r="Q2127" s="40">
        <v>900.97560975609804</v>
      </c>
      <c r="R2127" s="40">
        <v>5465.4146341463402</v>
      </c>
      <c r="S2127" s="40">
        <v>17285.658536585401</v>
      </c>
      <c r="T2127" s="40">
        <v>30000</v>
      </c>
      <c r="U2127" s="40">
        <v>66717.073170731703</v>
      </c>
      <c r="V2127" s="40">
        <v>0</v>
      </c>
      <c r="W2127" s="45">
        <f t="shared" si="111"/>
        <v>159042.92682926834</v>
      </c>
      <c r="X2127" s="46">
        <f t="shared" si="112"/>
        <v>35.850540016382546</v>
      </c>
    </row>
    <row r="2128" spans="1:24" s="4" customFormat="1" ht="15" customHeight="1">
      <c r="A2128" s="28" t="s">
        <v>3019</v>
      </c>
      <c r="B2128" s="29">
        <v>3196.165</v>
      </c>
      <c r="C2128" s="30" t="s">
        <v>3137</v>
      </c>
      <c r="D2128" s="2">
        <v>4951047322</v>
      </c>
      <c r="E2128" s="2" t="s">
        <v>18</v>
      </c>
      <c r="F2128" s="2" t="s">
        <v>3138</v>
      </c>
      <c r="G2128" s="28" t="s">
        <v>9</v>
      </c>
      <c r="H2128" s="2" t="s">
        <v>23</v>
      </c>
      <c r="I2128" s="2">
        <v>2</v>
      </c>
      <c r="J2128" s="2"/>
      <c r="K2128" s="2">
        <v>83512.5</v>
      </c>
      <c r="L2128" s="35">
        <f t="shared" si="110"/>
        <v>266919729.5625</v>
      </c>
      <c r="M2128" s="36">
        <v>1250</v>
      </c>
      <c r="N2128" s="40">
        <v>617965</v>
      </c>
      <c r="O2128" s="40">
        <v>910</v>
      </c>
      <c r="P2128" s="40">
        <v>27345</v>
      </c>
      <c r="Q2128" s="40">
        <v>21873</v>
      </c>
      <c r="R2128" s="40">
        <v>111979</v>
      </c>
      <c r="S2128" s="40">
        <v>354356</v>
      </c>
      <c r="T2128" s="40">
        <v>30000</v>
      </c>
      <c r="U2128" s="40">
        <v>560618.27956989198</v>
      </c>
      <c r="V2128" s="40">
        <v>0</v>
      </c>
      <c r="W2128" s="45">
        <f t="shared" si="111"/>
        <v>1725046.279569892</v>
      </c>
      <c r="X2128" s="46">
        <f t="shared" si="112"/>
        <v>0.64627904516363888</v>
      </c>
    </row>
    <row r="2129" spans="1:24" s="4" customFormat="1" ht="15" customHeight="1">
      <c r="A2129" s="28" t="s">
        <v>3019</v>
      </c>
      <c r="B2129" s="29">
        <v>3196.165</v>
      </c>
      <c r="C2129" s="30" t="s">
        <v>3139</v>
      </c>
      <c r="D2129" s="2">
        <v>4951149025</v>
      </c>
      <c r="E2129" s="2" t="s">
        <v>14</v>
      </c>
      <c r="F2129" s="2" t="s">
        <v>3140</v>
      </c>
      <c r="G2129" s="28" t="s">
        <v>5</v>
      </c>
      <c r="H2129" s="2" t="s">
        <v>17</v>
      </c>
      <c r="I2129" s="2">
        <v>1</v>
      </c>
      <c r="J2129" s="2" t="s">
        <v>3141</v>
      </c>
      <c r="K2129" s="2">
        <v>8430</v>
      </c>
      <c r="L2129" s="35">
        <f t="shared" si="110"/>
        <v>26943670.949999999</v>
      </c>
      <c r="M2129" s="36">
        <v>600</v>
      </c>
      <c r="N2129" s="40">
        <v>9962.0039551746904</v>
      </c>
      <c r="O2129" s="48">
        <v>11225.6822676335</v>
      </c>
      <c r="P2129" s="40">
        <v>0</v>
      </c>
      <c r="Q2129" s="40">
        <v>2900.4614370467998</v>
      </c>
      <c r="R2129" s="40">
        <f>15211.9709953856+5274</f>
        <v>20485.9709953856</v>
      </c>
      <c r="S2129" s="40">
        <v>9343.5992089650608</v>
      </c>
      <c r="T2129" s="40">
        <v>30000</v>
      </c>
      <c r="U2129" s="40">
        <v>150007.910349374</v>
      </c>
      <c r="V2129" s="40">
        <v>0</v>
      </c>
      <c r="W2129" s="45">
        <f t="shared" si="111"/>
        <v>233925.62821357965</v>
      </c>
      <c r="X2129" s="46">
        <f t="shared" si="112"/>
        <v>0.86820251274475879</v>
      </c>
    </row>
    <row r="2130" spans="1:24" s="4" customFormat="1" ht="15" customHeight="1">
      <c r="A2130" s="28" t="s">
        <v>3019</v>
      </c>
      <c r="B2130" s="29">
        <v>3196.165</v>
      </c>
      <c r="C2130" s="30" t="s">
        <v>3139</v>
      </c>
      <c r="D2130" s="2">
        <v>4951379745</v>
      </c>
      <c r="E2130" s="2" t="s">
        <v>14</v>
      </c>
      <c r="F2130" s="2" t="s">
        <v>3140</v>
      </c>
      <c r="G2130" s="28" t="s">
        <v>5</v>
      </c>
      <c r="H2130" s="2" t="s">
        <v>17</v>
      </c>
      <c r="I2130" s="2">
        <v>1</v>
      </c>
      <c r="J2130" s="2" t="s">
        <v>3141</v>
      </c>
      <c r="K2130" s="2">
        <v>7113.6</v>
      </c>
      <c r="L2130" s="35">
        <f t="shared" si="110"/>
        <v>22736239.344000001</v>
      </c>
      <c r="M2130" s="36">
        <v>1520</v>
      </c>
      <c r="N2130" s="40">
        <v>25237.076686442499</v>
      </c>
      <c r="O2130" s="48">
        <v>28438.3950780048</v>
      </c>
      <c r="P2130" s="40">
        <v>0</v>
      </c>
      <c r="Q2130" s="40">
        <v>7347.8356405185696</v>
      </c>
      <c r="R2130" s="40">
        <f>38536.9931883103+13360</f>
        <v>51896.993188310298</v>
      </c>
      <c r="S2130" s="40">
        <v>23670.4513293782</v>
      </c>
      <c r="T2130" s="40">
        <v>30000</v>
      </c>
      <c r="U2130" s="40">
        <v>380020.03955174697</v>
      </c>
      <c r="V2130" s="40">
        <v>0</v>
      </c>
      <c r="W2130" s="45">
        <f t="shared" si="111"/>
        <v>546610.79147440137</v>
      </c>
      <c r="X2130" s="46">
        <f t="shared" si="112"/>
        <v>2.4041389748065334</v>
      </c>
    </row>
    <row r="2131" spans="1:24" s="4" customFormat="1" ht="15" customHeight="1">
      <c r="A2131" s="28" t="s">
        <v>3019</v>
      </c>
      <c r="B2131" s="29">
        <v>3196.165</v>
      </c>
      <c r="C2131" s="30" t="s">
        <v>3139</v>
      </c>
      <c r="D2131" s="2">
        <v>4950722775</v>
      </c>
      <c r="E2131" s="2" t="s">
        <v>14</v>
      </c>
      <c r="F2131" s="2" t="s">
        <v>3140</v>
      </c>
      <c r="G2131" s="28" t="s">
        <v>5</v>
      </c>
      <c r="H2131" s="2" t="s">
        <v>17</v>
      </c>
      <c r="I2131" s="2">
        <v>1</v>
      </c>
      <c r="J2131" s="2" t="s">
        <v>3141</v>
      </c>
      <c r="K2131" s="2">
        <v>2115.6</v>
      </c>
      <c r="L2131" s="35">
        <f t="shared" si="110"/>
        <v>6761806.6739999996</v>
      </c>
      <c r="M2131" s="36">
        <v>410</v>
      </c>
      <c r="N2131" s="40">
        <v>6807.3693693693704</v>
      </c>
      <c r="O2131" s="48">
        <v>7670.88288288288</v>
      </c>
      <c r="P2131" s="40">
        <v>0</v>
      </c>
      <c r="Q2131" s="40">
        <v>1981.98198198198</v>
      </c>
      <c r="R2131" s="40">
        <f>10394.8468468468+3604</f>
        <v>13998.8468468468</v>
      </c>
      <c r="S2131" s="40">
        <v>6384.7927927927904</v>
      </c>
      <c r="T2131" s="40">
        <v>30000</v>
      </c>
      <c r="U2131" s="40">
        <v>102505.40540540501</v>
      </c>
      <c r="V2131" s="40">
        <v>0</v>
      </c>
      <c r="W2131" s="45">
        <f t="shared" si="111"/>
        <v>169349.27927927882</v>
      </c>
      <c r="X2131" s="46">
        <f t="shared" si="112"/>
        <v>2.5044975025749876</v>
      </c>
    </row>
    <row r="2132" spans="1:24" s="4" customFormat="1" ht="15" customHeight="1">
      <c r="A2132" s="28" t="s">
        <v>3019</v>
      </c>
      <c r="B2132" s="29">
        <v>3196.165</v>
      </c>
      <c r="C2132" s="30" t="s">
        <v>3139</v>
      </c>
      <c r="D2132" s="2">
        <v>4950722778</v>
      </c>
      <c r="E2132" s="2" t="s">
        <v>14</v>
      </c>
      <c r="F2132" s="2" t="s">
        <v>3140</v>
      </c>
      <c r="G2132" s="28" t="s">
        <v>5</v>
      </c>
      <c r="H2132" s="2" t="s">
        <v>17</v>
      </c>
      <c r="I2132" s="2">
        <v>1</v>
      </c>
      <c r="J2132" s="2" t="s">
        <v>3141</v>
      </c>
      <c r="K2132" s="2">
        <v>23584</v>
      </c>
      <c r="L2132" s="35">
        <f t="shared" si="110"/>
        <v>75378355.359999999</v>
      </c>
      <c r="M2132" s="36">
        <v>7040</v>
      </c>
      <c r="N2132" s="40">
        <v>116887.51307405</v>
      </c>
      <c r="O2132" s="48">
        <v>131714.67194023301</v>
      </c>
      <c r="P2132" s="40">
        <v>0</v>
      </c>
      <c r="Q2132" s="40">
        <v>34032.080861349197</v>
      </c>
      <c r="R2132" s="40">
        <f>178487.126345858+61877</f>
        <v>240364.12634585801</v>
      </c>
      <c r="S2132" s="40">
        <v>109631.564051857</v>
      </c>
      <c r="T2132" s="40">
        <v>30000</v>
      </c>
      <c r="U2132" s="40">
        <v>1760092.81476599</v>
      </c>
      <c r="V2132" s="40">
        <v>0</v>
      </c>
      <c r="W2132" s="45">
        <f t="shared" si="111"/>
        <v>2422722.7710393369</v>
      </c>
      <c r="X2132" s="46">
        <f t="shared" si="112"/>
        <v>3.2140828218772337</v>
      </c>
    </row>
    <row r="2133" spans="1:24" s="4" customFormat="1" ht="15" customHeight="1">
      <c r="A2133" s="28" t="s">
        <v>3019</v>
      </c>
      <c r="B2133" s="29">
        <v>3196.165</v>
      </c>
      <c r="C2133" s="30" t="s">
        <v>3139</v>
      </c>
      <c r="D2133" s="2">
        <v>4950722775</v>
      </c>
      <c r="E2133" s="2" t="s">
        <v>14</v>
      </c>
      <c r="F2133" s="2" t="s">
        <v>3140</v>
      </c>
      <c r="G2133" s="28" t="s">
        <v>5</v>
      </c>
      <c r="H2133" s="2" t="s">
        <v>17</v>
      </c>
      <c r="I2133" s="2">
        <v>1</v>
      </c>
      <c r="J2133" s="2" t="s">
        <v>3141</v>
      </c>
      <c r="K2133" s="2">
        <v>9266.4</v>
      </c>
      <c r="L2133" s="35">
        <f t="shared" si="110"/>
        <v>29616943.355999999</v>
      </c>
      <c r="M2133" s="36">
        <v>4680</v>
      </c>
      <c r="N2133" s="40">
        <v>77703.630850362606</v>
      </c>
      <c r="O2133" s="48">
        <v>87560.321687541204</v>
      </c>
      <c r="P2133" s="40">
        <v>0</v>
      </c>
      <c r="Q2133" s="40">
        <v>22623.599208965101</v>
      </c>
      <c r="R2133" s="40">
        <f>118653.373764008+41134</f>
        <v>159787.37376400799</v>
      </c>
      <c r="S2133" s="40">
        <v>72880.073829927496</v>
      </c>
      <c r="T2133" s="40">
        <v>30000</v>
      </c>
      <c r="U2133" s="40">
        <v>1170061.70072512</v>
      </c>
      <c r="V2133" s="40">
        <v>0</v>
      </c>
      <c r="W2133" s="45">
        <f t="shared" si="111"/>
        <v>1620616.7000659243</v>
      </c>
      <c r="X2133" s="46">
        <f t="shared" si="112"/>
        <v>5.471924231295155</v>
      </c>
    </row>
    <row r="2134" spans="1:24" s="4" customFormat="1" ht="15" customHeight="1">
      <c r="A2134" s="28" t="s">
        <v>3019</v>
      </c>
      <c r="B2134" s="29">
        <v>3196.165</v>
      </c>
      <c r="C2134" s="30" t="s">
        <v>3139</v>
      </c>
      <c r="D2134" s="2">
        <v>4951046400</v>
      </c>
      <c r="E2134" s="2" t="s">
        <v>14</v>
      </c>
      <c r="F2134" s="2" t="s">
        <v>3140</v>
      </c>
      <c r="G2134" s="28" t="s">
        <v>5</v>
      </c>
      <c r="H2134" s="2" t="s">
        <v>17</v>
      </c>
      <c r="I2134" s="2">
        <v>1</v>
      </c>
      <c r="J2134" s="2" t="s">
        <v>3141</v>
      </c>
      <c r="K2134" s="2">
        <v>3088.8</v>
      </c>
      <c r="L2134" s="35">
        <f t="shared" si="110"/>
        <v>9872314.4519999996</v>
      </c>
      <c r="M2134" s="36">
        <v>1560</v>
      </c>
      <c r="N2134" s="40">
        <v>25901.210283454198</v>
      </c>
      <c r="O2134" s="48">
        <v>29186.773895847102</v>
      </c>
      <c r="P2134" s="40">
        <v>0</v>
      </c>
      <c r="Q2134" s="40">
        <v>7541.1997363216897</v>
      </c>
      <c r="R2134" s="40">
        <f>39551.1245880026+13711</f>
        <v>53262.124588002604</v>
      </c>
      <c r="S2134" s="40">
        <v>24293.357943309202</v>
      </c>
      <c r="T2134" s="40">
        <v>30000</v>
      </c>
      <c r="U2134" s="40">
        <v>390020.56690837198</v>
      </c>
      <c r="V2134" s="40">
        <v>0</v>
      </c>
      <c r="W2134" s="45">
        <f t="shared" si="111"/>
        <v>560205.23335530679</v>
      </c>
      <c r="X2134" s="46">
        <f t="shared" si="112"/>
        <v>5.6745075947395165</v>
      </c>
    </row>
    <row r="2135" spans="1:24" s="4" customFormat="1" ht="15" customHeight="1">
      <c r="A2135" s="28" t="s">
        <v>3019</v>
      </c>
      <c r="B2135" s="29">
        <v>3196.165</v>
      </c>
      <c r="C2135" s="30" t="s">
        <v>3139</v>
      </c>
      <c r="D2135" s="2">
        <v>4951149025</v>
      </c>
      <c r="E2135" s="2" t="s">
        <v>14</v>
      </c>
      <c r="F2135" s="2" t="s">
        <v>3140</v>
      </c>
      <c r="G2135" s="28" t="s">
        <v>5</v>
      </c>
      <c r="H2135" s="2" t="s">
        <v>17</v>
      </c>
      <c r="I2135" s="2">
        <v>1</v>
      </c>
      <c r="J2135" s="2" t="s">
        <v>3141</v>
      </c>
      <c r="K2135" s="2">
        <v>14336</v>
      </c>
      <c r="L2135" s="35">
        <f t="shared" si="110"/>
        <v>45820221.439999998</v>
      </c>
      <c r="M2135" s="36">
        <v>1400</v>
      </c>
      <c r="N2135" s="40">
        <v>23244.675895407599</v>
      </c>
      <c r="O2135" s="48">
        <v>26193.258624478101</v>
      </c>
      <c r="P2135" s="40">
        <v>0</v>
      </c>
      <c r="Q2135" s="40">
        <v>6767.7433531092101</v>
      </c>
      <c r="R2135" s="40">
        <f>35494.5989892331+12305</f>
        <v>47799.598989233098</v>
      </c>
      <c r="S2135" s="40">
        <v>21801.731487585101</v>
      </c>
      <c r="T2135" s="40">
        <v>30000</v>
      </c>
      <c r="U2135" s="40">
        <v>350018.457481872</v>
      </c>
      <c r="V2135" s="40">
        <v>0</v>
      </c>
      <c r="W2135" s="45">
        <f t="shared" si="111"/>
        <v>505825.46583168511</v>
      </c>
      <c r="X2135" s="46">
        <f t="shared" si="112"/>
        <v>1.1039350093365354</v>
      </c>
    </row>
    <row r="2136" spans="1:24" s="4" customFormat="1" ht="15" customHeight="1">
      <c r="A2136" s="28" t="s">
        <v>3019</v>
      </c>
      <c r="B2136" s="29">
        <v>3196.165</v>
      </c>
      <c r="C2136" s="30" t="s">
        <v>3139</v>
      </c>
      <c r="D2136" s="2">
        <v>4951149025</v>
      </c>
      <c r="E2136" s="2" t="s">
        <v>14</v>
      </c>
      <c r="F2136" s="2" t="s">
        <v>3140</v>
      </c>
      <c r="G2136" s="28" t="s">
        <v>5</v>
      </c>
      <c r="H2136" s="2" t="s">
        <v>17</v>
      </c>
      <c r="I2136" s="2">
        <v>1</v>
      </c>
      <c r="J2136" s="2" t="s">
        <v>3141</v>
      </c>
      <c r="K2136" s="2">
        <v>10644</v>
      </c>
      <c r="L2136" s="35">
        <f t="shared" si="110"/>
        <v>34019980.259999998</v>
      </c>
      <c r="M2136" s="36">
        <v>1200</v>
      </c>
      <c r="N2136" s="40">
        <v>19924.007910349399</v>
      </c>
      <c r="O2136" s="48">
        <v>22451.364535266999</v>
      </c>
      <c r="P2136" s="40">
        <v>0</v>
      </c>
      <c r="Q2136" s="40">
        <v>5800.9228740936096</v>
      </c>
      <c r="R2136" s="40">
        <f>30423.9419907713+10547</f>
        <v>40970.941990771302</v>
      </c>
      <c r="S2136" s="40">
        <v>18687.1984179301</v>
      </c>
      <c r="T2136" s="40">
        <v>30000</v>
      </c>
      <c r="U2136" s="40">
        <v>300015.82069874799</v>
      </c>
      <c r="V2136" s="40">
        <v>0</v>
      </c>
      <c r="W2136" s="45">
        <f t="shared" si="111"/>
        <v>437850.25642715942</v>
      </c>
      <c r="X2136" s="46">
        <f t="shared" si="112"/>
        <v>1.2870385375913191</v>
      </c>
    </row>
    <row r="2137" spans="1:24" s="4" customFormat="1" ht="15" customHeight="1">
      <c r="A2137" s="28" t="s">
        <v>3019</v>
      </c>
      <c r="B2137" s="29">
        <v>3196.165</v>
      </c>
      <c r="C2137" s="30" t="s">
        <v>3139</v>
      </c>
      <c r="D2137" s="2">
        <v>4951268367</v>
      </c>
      <c r="E2137" s="2" t="s">
        <v>14</v>
      </c>
      <c r="F2137" s="2" t="s">
        <v>3140</v>
      </c>
      <c r="G2137" s="28" t="s">
        <v>5</v>
      </c>
      <c r="H2137" s="2" t="s">
        <v>17</v>
      </c>
      <c r="I2137" s="2">
        <v>1</v>
      </c>
      <c r="J2137" s="2" t="s">
        <v>3141</v>
      </c>
      <c r="K2137" s="2">
        <v>1984.5</v>
      </c>
      <c r="L2137" s="35">
        <f t="shared" si="110"/>
        <v>6342789.4424999999</v>
      </c>
      <c r="M2137" s="36">
        <v>525</v>
      </c>
      <c r="N2137" s="40">
        <v>8716.7534607778507</v>
      </c>
      <c r="O2137" s="48">
        <v>9822.4719841792994</v>
      </c>
      <c r="P2137" s="40">
        <v>0</v>
      </c>
      <c r="Q2137" s="40">
        <v>2537.9037574159502</v>
      </c>
      <c r="R2137" s="40">
        <f>13310.4746209624+4614</f>
        <v>17924.474620962399</v>
      </c>
      <c r="S2137" s="40">
        <v>8175.64930784443</v>
      </c>
      <c r="T2137" s="40">
        <v>30000</v>
      </c>
      <c r="U2137" s="40">
        <v>131256.92155570199</v>
      </c>
      <c r="V2137" s="40">
        <v>0</v>
      </c>
      <c r="W2137" s="45">
        <f t="shared" si="111"/>
        <v>208434.17468688192</v>
      </c>
      <c r="X2137" s="46">
        <f t="shared" si="112"/>
        <v>3.2861594504503677</v>
      </c>
    </row>
    <row r="2138" spans="1:24" s="4" customFormat="1" ht="15" customHeight="1">
      <c r="A2138" s="28" t="s">
        <v>3019</v>
      </c>
      <c r="B2138" s="29">
        <v>3196.165</v>
      </c>
      <c r="C2138" s="30" t="s">
        <v>3139</v>
      </c>
      <c r="D2138" s="2">
        <v>4951268367</v>
      </c>
      <c r="E2138" s="2" t="s">
        <v>14</v>
      </c>
      <c r="F2138" s="2" t="s">
        <v>3140</v>
      </c>
      <c r="G2138" s="28" t="s">
        <v>5</v>
      </c>
      <c r="H2138" s="2" t="s">
        <v>17</v>
      </c>
      <c r="I2138" s="2">
        <v>1</v>
      </c>
      <c r="J2138" s="2" t="s">
        <v>3141</v>
      </c>
      <c r="K2138" s="2">
        <v>2427.1999999999998</v>
      </c>
      <c r="L2138" s="35">
        <f t="shared" si="110"/>
        <v>7757731.6879999992</v>
      </c>
      <c r="M2138" s="36">
        <v>820</v>
      </c>
      <c r="N2138" s="40">
        <v>13614.738738738701</v>
      </c>
      <c r="O2138" s="48">
        <v>15341.7657657658</v>
      </c>
      <c r="P2138" s="40">
        <v>0</v>
      </c>
      <c r="Q2138" s="40">
        <v>3963.9639639639599</v>
      </c>
      <c r="R2138" s="40">
        <f>20789.6936936937+7207</f>
        <v>27996.693693693702</v>
      </c>
      <c r="S2138" s="40">
        <v>12769.585585585601</v>
      </c>
      <c r="T2138" s="40">
        <v>30000</v>
      </c>
      <c r="U2138" s="40">
        <v>205010.810810811</v>
      </c>
      <c r="V2138" s="40">
        <v>0</v>
      </c>
      <c r="W2138" s="45">
        <f t="shared" si="111"/>
        <v>308697.55855855875</v>
      </c>
      <c r="X2138" s="46">
        <f t="shared" si="112"/>
        <v>3.9792244817652782</v>
      </c>
    </row>
    <row r="2139" spans="1:24" s="4" customFormat="1" ht="15" customHeight="1">
      <c r="A2139" s="28" t="s">
        <v>3019</v>
      </c>
      <c r="B2139" s="29">
        <v>3196.165</v>
      </c>
      <c r="C2139" s="30" t="s">
        <v>3139</v>
      </c>
      <c r="D2139" s="2">
        <v>4951379745</v>
      </c>
      <c r="E2139" s="2" t="s">
        <v>14</v>
      </c>
      <c r="F2139" s="2" t="s">
        <v>3140</v>
      </c>
      <c r="G2139" s="28" t="s">
        <v>5</v>
      </c>
      <c r="H2139" s="2" t="s">
        <v>17</v>
      </c>
      <c r="I2139" s="2">
        <v>1</v>
      </c>
      <c r="J2139" s="2" t="s">
        <v>3141</v>
      </c>
      <c r="K2139" s="2">
        <v>2205</v>
      </c>
      <c r="L2139" s="35">
        <f t="shared" si="110"/>
        <v>7047543.8250000002</v>
      </c>
      <c r="M2139" s="36">
        <v>900</v>
      </c>
      <c r="N2139" s="40">
        <v>14943.005932762</v>
      </c>
      <c r="O2139" s="48">
        <v>16838.523401450198</v>
      </c>
      <c r="P2139" s="40">
        <v>0</v>
      </c>
      <c r="Q2139" s="40">
        <v>4350.6921555702002</v>
      </c>
      <c r="R2139" s="40">
        <f>22817.9564930784+7910</f>
        <v>30727.9564930784</v>
      </c>
      <c r="S2139" s="40">
        <v>14015.3988134476</v>
      </c>
      <c r="T2139" s="40">
        <v>30000</v>
      </c>
      <c r="U2139" s="40">
        <v>225011.865524061</v>
      </c>
      <c r="V2139" s="40">
        <v>0</v>
      </c>
      <c r="W2139" s="45">
        <f t="shared" si="111"/>
        <v>335887.44232036942</v>
      </c>
      <c r="X2139" s="46">
        <f t="shared" si="112"/>
        <v>4.7660213353887082</v>
      </c>
    </row>
    <row r="2140" spans="1:24" s="4" customFormat="1" ht="15" customHeight="1">
      <c r="A2140" s="28" t="s">
        <v>3019</v>
      </c>
      <c r="B2140" s="29">
        <v>3196.165</v>
      </c>
      <c r="C2140" s="30" t="s">
        <v>3139</v>
      </c>
      <c r="D2140" s="2">
        <v>4951379745</v>
      </c>
      <c r="E2140" s="2" t="s">
        <v>14</v>
      </c>
      <c r="F2140" s="2" t="s">
        <v>3140</v>
      </c>
      <c r="G2140" s="28" t="s">
        <v>5</v>
      </c>
      <c r="H2140" s="2" t="s">
        <v>17</v>
      </c>
      <c r="I2140" s="2">
        <v>1</v>
      </c>
      <c r="J2140" s="2" t="s">
        <v>3141</v>
      </c>
      <c r="K2140" s="2">
        <v>2145.5</v>
      </c>
      <c r="L2140" s="35">
        <f t="shared" si="110"/>
        <v>6857372.0075000003</v>
      </c>
      <c r="M2140" s="36">
        <v>350</v>
      </c>
      <c r="N2140" s="40">
        <v>5811.1689738518999</v>
      </c>
      <c r="O2140" s="48">
        <v>6548.3146561195299</v>
      </c>
      <c r="P2140" s="40">
        <v>0</v>
      </c>
      <c r="Q2140" s="40">
        <v>1691.9358382773</v>
      </c>
      <c r="R2140" s="40">
        <f>8873.64974730828+3076</f>
        <v>11949.64974730828</v>
      </c>
      <c r="S2140" s="40">
        <v>5450.4328718962897</v>
      </c>
      <c r="T2140" s="40">
        <v>30000</v>
      </c>
      <c r="U2140" s="40">
        <v>87504.614370468</v>
      </c>
      <c r="V2140" s="40">
        <v>0</v>
      </c>
      <c r="W2140" s="45">
        <f t="shared" si="111"/>
        <v>148956.11645792131</v>
      </c>
      <c r="X2140" s="46">
        <f t="shared" si="112"/>
        <v>2.1722041081482235</v>
      </c>
    </row>
    <row r="2141" spans="1:24" s="4" customFormat="1" ht="15" customHeight="1">
      <c r="A2141" s="28" t="s">
        <v>3019</v>
      </c>
      <c r="B2141" s="29">
        <v>3196.165</v>
      </c>
      <c r="C2141" s="30" t="s">
        <v>3139</v>
      </c>
      <c r="D2141" s="2">
        <v>4951379745</v>
      </c>
      <c r="E2141" s="2" t="s">
        <v>14</v>
      </c>
      <c r="F2141" s="2" t="s">
        <v>3140</v>
      </c>
      <c r="G2141" s="28" t="s">
        <v>5</v>
      </c>
      <c r="H2141" s="2" t="s">
        <v>17</v>
      </c>
      <c r="I2141" s="2">
        <v>1</v>
      </c>
      <c r="J2141" s="2" t="s">
        <v>3141</v>
      </c>
      <c r="K2141" s="2">
        <v>5617.5</v>
      </c>
      <c r="L2141" s="35">
        <f t="shared" si="110"/>
        <v>17954456.887499999</v>
      </c>
      <c r="M2141" s="36">
        <v>1750</v>
      </c>
      <c r="N2141" s="40">
        <v>29055.844869259501</v>
      </c>
      <c r="O2141" s="48">
        <v>32741.573280597699</v>
      </c>
      <c r="P2141" s="40">
        <v>0</v>
      </c>
      <c r="Q2141" s="40">
        <v>8459.6791913865109</v>
      </c>
      <c r="R2141" s="40">
        <f>44368.2487365414+15381</f>
        <v>59749.248736541398</v>
      </c>
      <c r="S2141" s="40">
        <v>27252.164359481401</v>
      </c>
      <c r="T2141" s="40">
        <v>30000</v>
      </c>
      <c r="U2141" s="40">
        <v>437523.07185234001</v>
      </c>
      <c r="V2141" s="40">
        <v>0</v>
      </c>
      <c r="W2141" s="45">
        <f t="shared" si="111"/>
        <v>624781.58228960657</v>
      </c>
      <c r="X2141" s="46">
        <f t="shared" si="112"/>
        <v>3.479813319914919</v>
      </c>
    </row>
    <row r="2142" spans="1:24" s="4" customFormat="1" ht="15" customHeight="1">
      <c r="A2142" s="28" t="s">
        <v>3019</v>
      </c>
      <c r="B2142" s="29">
        <v>3196.165</v>
      </c>
      <c r="C2142" s="30" t="s">
        <v>3142</v>
      </c>
      <c r="D2142" s="2">
        <v>4951270727</v>
      </c>
      <c r="E2142" s="2" t="s">
        <v>6</v>
      </c>
      <c r="F2142" s="2" t="s">
        <v>3143</v>
      </c>
      <c r="G2142" s="28" t="s">
        <v>5</v>
      </c>
      <c r="H2142" s="2" t="s">
        <v>17</v>
      </c>
      <c r="I2142" s="2">
        <v>9</v>
      </c>
      <c r="J2142" s="2" t="s">
        <v>3144</v>
      </c>
      <c r="K2142" s="2">
        <v>561648</v>
      </c>
      <c r="L2142" s="35">
        <f t="shared" si="110"/>
        <v>1795119679.9200001</v>
      </c>
      <c r="M2142" s="36">
        <v>99519.4</v>
      </c>
      <c r="N2142" s="40">
        <v>7331271.0087980004</v>
      </c>
      <c r="O2142" s="48">
        <v>2345216.7551803398</v>
      </c>
      <c r="P2142" s="40">
        <v>4572776.9978266498</v>
      </c>
      <c r="Q2142" s="40">
        <v>732880.32067001797</v>
      </c>
      <c r="R2142" s="40">
        <f>6919278.12104912+1219337</f>
        <v>8138615.1210491201</v>
      </c>
      <c r="S2142" s="40">
        <v>240044.05165358799</v>
      </c>
      <c r="T2142" s="40">
        <v>30000</v>
      </c>
      <c r="U2142" s="40">
        <v>17268247.0372524</v>
      </c>
      <c r="V2142" s="40">
        <v>914502.561639547</v>
      </c>
      <c r="W2142" s="45">
        <f t="shared" si="111"/>
        <v>41573553.854069665</v>
      </c>
      <c r="X2142" s="46">
        <f t="shared" si="112"/>
        <v>2.3159210117913922</v>
      </c>
    </row>
    <row r="2143" spans="1:24" s="4" customFormat="1" ht="15" customHeight="1">
      <c r="A2143" s="28" t="s">
        <v>3019</v>
      </c>
      <c r="B2143" s="29">
        <v>3196.165</v>
      </c>
      <c r="C2143" s="30" t="s">
        <v>3142</v>
      </c>
      <c r="D2143" s="2">
        <v>4951270744</v>
      </c>
      <c r="E2143" s="2" t="s">
        <v>6</v>
      </c>
      <c r="F2143" s="2" t="s">
        <v>3143</v>
      </c>
      <c r="G2143" s="28" t="s">
        <v>5</v>
      </c>
      <c r="H2143" s="2" t="s">
        <v>17</v>
      </c>
      <c r="I2143" s="2">
        <v>9</v>
      </c>
      <c r="J2143" s="2" t="s">
        <v>3144</v>
      </c>
      <c r="K2143" s="2">
        <v>241164</v>
      </c>
      <c r="L2143" s="35">
        <f t="shared" si="110"/>
        <v>770799936.05999994</v>
      </c>
      <c r="M2143" s="36">
        <v>42422.57</v>
      </c>
      <c r="N2143" s="40">
        <v>3125132.9646250298</v>
      </c>
      <c r="O2143" s="48">
        <v>999705.80572039902</v>
      </c>
      <c r="P2143" s="40">
        <v>1949257.6551375</v>
      </c>
      <c r="Q2143" s="40">
        <v>312408.10038290301</v>
      </c>
      <c r="R2143" s="40">
        <f>2949510.95404187+519772</f>
        <v>3469282.9540418698</v>
      </c>
      <c r="S2143" s="40">
        <v>102324.628005775</v>
      </c>
      <c r="T2143" s="40">
        <v>30000</v>
      </c>
      <c r="U2143" s="40">
        <v>7361011.20701221</v>
      </c>
      <c r="V2143" s="40">
        <v>389829.00757372897</v>
      </c>
      <c r="W2143" s="45">
        <f t="shared" si="111"/>
        <v>17738952.322499413</v>
      </c>
      <c r="X2143" s="46">
        <f t="shared" si="112"/>
        <v>2.30136920005123</v>
      </c>
    </row>
    <row r="2144" spans="1:24" s="4" customFormat="1" ht="15" customHeight="1">
      <c r="A2144" s="28" t="s">
        <v>3019</v>
      </c>
      <c r="B2144" s="29">
        <v>3196.165</v>
      </c>
      <c r="C2144" s="30" t="s">
        <v>3142</v>
      </c>
      <c r="D2144" s="2">
        <v>4951270745</v>
      </c>
      <c r="E2144" s="2" t="s">
        <v>6</v>
      </c>
      <c r="F2144" s="2" t="s">
        <v>3143</v>
      </c>
      <c r="G2144" s="28" t="s">
        <v>5</v>
      </c>
      <c r="H2144" s="2" t="s">
        <v>17</v>
      </c>
      <c r="I2144" s="2">
        <v>9</v>
      </c>
      <c r="J2144" s="2" t="s">
        <v>3144</v>
      </c>
      <c r="K2144" s="2">
        <v>7702.2</v>
      </c>
      <c r="L2144" s="35">
        <f t="shared" si="110"/>
        <v>24617502.062999997</v>
      </c>
      <c r="M2144" s="36">
        <v>4969.8</v>
      </c>
      <c r="N2144" s="40">
        <v>366109.02657697198</v>
      </c>
      <c r="O2144" s="48">
        <v>117115.43909926301</v>
      </c>
      <c r="P2144" s="40">
        <v>228355.34703584301</v>
      </c>
      <c r="Q2144" s="40">
        <v>36598.578947078197</v>
      </c>
      <c r="R2144" s="40">
        <f>345534.924909012+60891</f>
        <v>406425.92490901198</v>
      </c>
      <c r="S2144" s="40">
        <v>11987.320340637099</v>
      </c>
      <c r="T2144" s="40">
        <v>30000</v>
      </c>
      <c r="U2144" s="40">
        <v>862341.75573543203</v>
      </c>
      <c r="V2144" s="40">
        <v>45668.430786723198</v>
      </c>
      <c r="W2144" s="45">
        <f t="shared" si="111"/>
        <v>2104601.8234309605</v>
      </c>
      <c r="X2144" s="46">
        <f t="shared" si="112"/>
        <v>8.5492094934935281</v>
      </c>
    </row>
    <row r="2145" spans="1:24" s="4" customFormat="1" ht="15" customHeight="1">
      <c r="A2145" s="28" t="s">
        <v>3019</v>
      </c>
      <c r="B2145" s="29">
        <v>3196.165</v>
      </c>
      <c r="C2145" s="30" t="s">
        <v>3145</v>
      </c>
      <c r="D2145" s="2">
        <v>4950812430</v>
      </c>
      <c r="E2145" s="2" t="s">
        <v>14</v>
      </c>
      <c r="F2145" s="2" t="s">
        <v>3146</v>
      </c>
      <c r="G2145" s="28" t="s">
        <v>5</v>
      </c>
      <c r="H2145" s="2" t="s">
        <v>17</v>
      </c>
      <c r="I2145" s="2">
        <v>3</v>
      </c>
      <c r="J2145" s="2" t="s">
        <v>3147</v>
      </c>
      <c r="K2145" s="2">
        <v>24200.400000000001</v>
      </c>
      <c r="L2145" s="35">
        <f t="shared" si="110"/>
        <v>77348471.466000006</v>
      </c>
      <c r="M2145" s="36">
        <v>16000</v>
      </c>
      <c r="N2145" s="40">
        <v>388773.77401340299</v>
      </c>
      <c r="O2145" s="48">
        <v>380402.97840655199</v>
      </c>
      <c r="P2145" s="40">
        <v>155495.5</v>
      </c>
      <c r="Q2145" s="40">
        <v>88735.070737155605</v>
      </c>
      <c r="R2145" s="40">
        <f>541713+200000</f>
        <v>741713</v>
      </c>
      <c r="S2145" s="40">
        <v>119130.107222636</v>
      </c>
      <c r="T2145" s="40">
        <v>30000</v>
      </c>
      <c r="U2145" s="40">
        <f>5155900+1120000</f>
        <v>6275900</v>
      </c>
      <c r="V2145" s="40">
        <v>0</v>
      </c>
      <c r="W2145" s="45">
        <f t="shared" si="111"/>
        <v>8180150.4303797465</v>
      </c>
      <c r="X2145" s="46">
        <f t="shared" si="112"/>
        <v>10.575710515463111</v>
      </c>
    </row>
    <row r="2146" spans="1:24" s="4" customFormat="1" ht="15" customHeight="1">
      <c r="A2146" s="28" t="s">
        <v>3019</v>
      </c>
      <c r="B2146" s="29">
        <v>3196.165</v>
      </c>
      <c r="C2146" s="30" t="s">
        <v>3145</v>
      </c>
      <c r="D2146" s="2">
        <v>4950896345</v>
      </c>
      <c r="E2146" s="2" t="s">
        <v>14</v>
      </c>
      <c r="F2146" s="2" t="s">
        <v>3146</v>
      </c>
      <c r="G2146" s="28" t="s">
        <v>5</v>
      </c>
      <c r="H2146" s="2" t="s">
        <v>17</v>
      </c>
      <c r="I2146" s="2">
        <v>3</v>
      </c>
      <c r="J2146" s="2" t="s">
        <v>3147</v>
      </c>
      <c r="K2146" s="2">
        <v>24200.400000000001</v>
      </c>
      <c r="L2146" s="35">
        <f t="shared" si="110"/>
        <v>77348471.466000006</v>
      </c>
      <c r="M2146" s="36">
        <v>18060</v>
      </c>
      <c r="N2146" s="40">
        <v>388773.77401340299</v>
      </c>
      <c r="O2146" s="48">
        <v>429379.861876396</v>
      </c>
      <c r="P2146" s="40">
        <v>155495.5</v>
      </c>
      <c r="Q2146" s="40">
        <v>100159.711094564</v>
      </c>
      <c r="R2146" s="40">
        <f>541713+200000</f>
        <v>741713</v>
      </c>
      <c r="S2146" s="40">
        <v>119130.107222636</v>
      </c>
      <c r="T2146" s="40">
        <v>30000</v>
      </c>
      <c r="U2146" s="40">
        <f>5155900+1120000</f>
        <v>6275900</v>
      </c>
      <c r="V2146" s="40">
        <v>0</v>
      </c>
      <c r="W2146" s="45">
        <f t="shared" si="111"/>
        <v>8240551.9542069994</v>
      </c>
      <c r="X2146" s="46">
        <f t="shared" si="112"/>
        <v>10.653800647927854</v>
      </c>
    </row>
    <row r="2147" spans="1:24" s="4" customFormat="1" ht="15" customHeight="1">
      <c r="A2147" s="28" t="s">
        <v>3019</v>
      </c>
      <c r="B2147" s="29">
        <v>3196.165</v>
      </c>
      <c r="C2147" s="30" t="s">
        <v>3145</v>
      </c>
      <c r="D2147" s="2">
        <v>4951215092</v>
      </c>
      <c r="E2147" s="2" t="s">
        <v>14</v>
      </c>
      <c r="F2147" s="2" t="s">
        <v>3146</v>
      </c>
      <c r="G2147" s="28" t="s">
        <v>5</v>
      </c>
      <c r="H2147" s="2" t="s">
        <v>17</v>
      </c>
      <c r="I2147" s="2">
        <v>3</v>
      </c>
      <c r="J2147" s="2" t="s">
        <v>3147</v>
      </c>
      <c r="K2147" s="2">
        <v>4896</v>
      </c>
      <c r="L2147" s="35">
        <f t="shared" si="110"/>
        <v>15648423.84</v>
      </c>
      <c r="M2147" s="36">
        <v>18060</v>
      </c>
      <c r="N2147" s="40">
        <v>34442.859270290399</v>
      </c>
      <c r="O2147" s="48">
        <v>429379.861876396</v>
      </c>
      <c r="P2147" s="40">
        <v>98951.909090909103</v>
      </c>
      <c r="Q2147" s="40">
        <v>100159.711094564</v>
      </c>
      <c r="R2147" s="40">
        <f>61644.9090909091+18182</f>
        <v>79826.909090909103</v>
      </c>
      <c r="S2147" s="40">
        <v>10554.162323157099</v>
      </c>
      <c r="T2147" s="40">
        <v>30000</v>
      </c>
      <c r="U2147" s="40">
        <v>2085500</v>
      </c>
      <c r="V2147" s="40">
        <v>0</v>
      </c>
      <c r="W2147" s="45">
        <f t="shared" si="111"/>
        <v>2868815.4127462255</v>
      </c>
      <c r="X2147" s="46">
        <f t="shared" si="112"/>
        <v>18.33293526606208</v>
      </c>
    </row>
    <row r="2148" spans="1:24" s="4" customFormat="1" ht="15" customHeight="1">
      <c r="A2148" s="28" t="s">
        <v>3019</v>
      </c>
      <c r="B2148" s="29">
        <v>3196.165</v>
      </c>
      <c r="C2148" s="30" t="s">
        <v>3145</v>
      </c>
      <c r="D2148" s="2">
        <v>4950585750</v>
      </c>
      <c r="E2148" s="2" t="s">
        <v>14</v>
      </c>
      <c r="F2148" s="2" t="s">
        <v>3146</v>
      </c>
      <c r="G2148" s="28" t="s">
        <v>5</v>
      </c>
      <c r="H2148" s="2" t="s">
        <v>17</v>
      </c>
      <c r="I2148" s="2">
        <v>3</v>
      </c>
      <c r="J2148" s="2" t="s">
        <v>3147</v>
      </c>
      <c r="K2148" s="2">
        <v>14720</v>
      </c>
      <c r="L2148" s="35">
        <f t="shared" si="110"/>
        <v>47047548.799999997</v>
      </c>
      <c r="M2148" s="36">
        <v>1600</v>
      </c>
      <c r="N2148" s="40">
        <v>344428.59270290402</v>
      </c>
      <c r="O2148" s="48">
        <v>38040.297840655301</v>
      </c>
      <c r="P2148" s="40">
        <v>989519.09090909106</v>
      </c>
      <c r="Q2148" s="40">
        <v>8873.5070737155602</v>
      </c>
      <c r="R2148" s="40">
        <v>798267.09090909106</v>
      </c>
      <c r="S2148" s="40">
        <v>105541.62323157099</v>
      </c>
      <c r="T2148" s="40">
        <v>30000</v>
      </c>
      <c r="U2148" s="40">
        <v>0</v>
      </c>
      <c r="V2148" s="40">
        <v>0</v>
      </c>
      <c r="W2148" s="45">
        <f t="shared" si="111"/>
        <v>2314670.2026670282</v>
      </c>
      <c r="X2148" s="46">
        <f t="shared" si="112"/>
        <v>4.9198529183884459</v>
      </c>
    </row>
    <row r="2149" spans="1:24" s="4" customFormat="1" ht="15" customHeight="1">
      <c r="A2149" s="28" t="s">
        <v>3019</v>
      </c>
      <c r="B2149" s="29">
        <v>3196.165</v>
      </c>
      <c r="C2149" s="30" t="s">
        <v>3148</v>
      </c>
      <c r="D2149" s="2">
        <v>4952076846</v>
      </c>
      <c r="E2149" s="2" t="s">
        <v>14</v>
      </c>
      <c r="F2149" s="2" t="s">
        <v>3149</v>
      </c>
      <c r="G2149" s="28" t="s">
        <v>5</v>
      </c>
      <c r="H2149" s="2" t="s">
        <v>20</v>
      </c>
      <c r="I2149" s="2">
        <v>1</v>
      </c>
      <c r="J2149" s="2" t="s">
        <v>3150</v>
      </c>
      <c r="K2149" s="2">
        <v>12722.4</v>
      </c>
      <c r="L2149" s="35">
        <f t="shared" si="110"/>
        <v>40662889.596000001</v>
      </c>
      <c r="M2149" s="36">
        <v>2160</v>
      </c>
      <c r="N2149" s="40">
        <v>128644.42175360701</v>
      </c>
      <c r="O2149" s="40">
        <v>77798.836847946703</v>
      </c>
      <c r="P2149" s="40">
        <v>383262.15316315199</v>
      </c>
      <c r="Q2149" s="40">
        <v>26370.699223085499</v>
      </c>
      <c r="R2149" s="40">
        <f>186539.613762486+90937</f>
        <v>277476.61376248603</v>
      </c>
      <c r="S2149" s="40">
        <v>84951.0499445061</v>
      </c>
      <c r="T2149" s="40">
        <v>30000</v>
      </c>
      <c r="U2149" s="40">
        <v>779014.42841287504</v>
      </c>
      <c r="V2149" s="40">
        <v>0</v>
      </c>
      <c r="W2149" s="45">
        <f t="shared" si="111"/>
        <v>1787518.2031076583</v>
      </c>
      <c r="X2149" s="46">
        <f t="shared" si="112"/>
        <v>4.3959448550441831</v>
      </c>
    </row>
    <row r="2150" spans="1:24" s="4" customFormat="1" ht="15" customHeight="1">
      <c r="A2150" s="28" t="s">
        <v>3019</v>
      </c>
      <c r="B2150" s="29">
        <v>3196.165</v>
      </c>
      <c r="C2150" s="30" t="s">
        <v>3148</v>
      </c>
      <c r="D2150" s="2">
        <v>4950722773</v>
      </c>
      <c r="E2150" s="2" t="s">
        <v>14</v>
      </c>
      <c r="F2150" s="2" t="s">
        <v>3149</v>
      </c>
      <c r="G2150" s="28" t="s">
        <v>5</v>
      </c>
      <c r="H2150" s="2" t="s">
        <v>20</v>
      </c>
      <c r="I2150" s="2">
        <v>1</v>
      </c>
      <c r="J2150" s="2" t="s">
        <v>3150</v>
      </c>
      <c r="K2150" s="2">
        <v>9702</v>
      </c>
      <c r="L2150" s="35">
        <f t="shared" si="110"/>
        <v>31009192.829999998</v>
      </c>
      <c r="M2150" s="36">
        <v>450</v>
      </c>
      <c r="N2150" s="40">
        <v>26800.9211986681</v>
      </c>
      <c r="O2150" s="40">
        <v>16208.091009988901</v>
      </c>
      <c r="P2150" s="40">
        <v>79846.28190899</v>
      </c>
      <c r="Q2150" s="40">
        <v>5493.8956714761398</v>
      </c>
      <c r="R2150" s="40">
        <f>38862.4195338513+18945</f>
        <v>57807.419533851302</v>
      </c>
      <c r="S2150" s="40">
        <v>17698.1354051054</v>
      </c>
      <c r="T2150" s="40">
        <v>30000</v>
      </c>
      <c r="U2150" s="40">
        <v>162294.67258601601</v>
      </c>
      <c r="V2150" s="40">
        <v>0</v>
      </c>
      <c r="W2150" s="45">
        <f t="shared" si="111"/>
        <v>396149.41731409589</v>
      </c>
      <c r="X2150" s="46">
        <f t="shared" si="112"/>
        <v>1.2775225059416548</v>
      </c>
    </row>
    <row r="2151" spans="1:24" s="4" customFormat="1" ht="15" customHeight="1">
      <c r="A2151" s="28" t="s">
        <v>3019</v>
      </c>
      <c r="B2151" s="29">
        <v>3196.165</v>
      </c>
      <c r="C2151" s="30" t="s">
        <v>3148</v>
      </c>
      <c r="D2151" s="2">
        <v>4950930054</v>
      </c>
      <c r="E2151" s="2" t="s">
        <v>14</v>
      </c>
      <c r="F2151" s="2" t="s">
        <v>3149</v>
      </c>
      <c r="G2151" s="28" t="s">
        <v>5</v>
      </c>
      <c r="H2151" s="2" t="s">
        <v>20</v>
      </c>
      <c r="I2151" s="2">
        <v>1</v>
      </c>
      <c r="J2151" s="2" t="s">
        <v>3150</v>
      </c>
      <c r="K2151" s="2">
        <v>4392</v>
      </c>
      <c r="L2151" s="35">
        <f t="shared" si="110"/>
        <v>14037556.68</v>
      </c>
      <c r="M2151" s="36">
        <v>3600</v>
      </c>
      <c r="N2151" s="40">
        <v>214407.36958934501</v>
      </c>
      <c r="O2151" s="40">
        <v>129664.728079911</v>
      </c>
      <c r="P2151" s="40">
        <v>638770.25527192</v>
      </c>
      <c r="Q2151" s="48">
        <v>43951.165371809097</v>
      </c>
      <c r="R2151" s="40">
        <f>310899.35627081+151561</f>
        <v>462460.35627081001</v>
      </c>
      <c r="S2151" s="40">
        <v>141585.08324084399</v>
      </c>
      <c r="T2151" s="40">
        <v>30000</v>
      </c>
      <c r="U2151" s="40">
        <v>1298357.3806881199</v>
      </c>
      <c r="V2151" s="40">
        <v>0</v>
      </c>
      <c r="W2151" s="45">
        <f t="shared" si="111"/>
        <v>2959196.3385127592</v>
      </c>
      <c r="X2151" s="46">
        <f t="shared" si="112"/>
        <v>21.080565556888349</v>
      </c>
    </row>
    <row r="2152" spans="1:24" s="4" customFormat="1" ht="15" customHeight="1">
      <c r="A2152" s="28" t="s">
        <v>3019</v>
      </c>
      <c r="B2152" s="29">
        <v>3196.165</v>
      </c>
      <c r="C2152" s="30" t="s">
        <v>3148</v>
      </c>
      <c r="D2152" s="2">
        <v>4950930063</v>
      </c>
      <c r="E2152" s="2" t="s">
        <v>14</v>
      </c>
      <c r="F2152" s="2" t="s">
        <v>3149</v>
      </c>
      <c r="G2152" s="28" t="s">
        <v>5</v>
      </c>
      <c r="H2152" s="2" t="s">
        <v>20</v>
      </c>
      <c r="I2152" s="2">
        <v>1</v>
      </c>
      <c r="J2152" s="2" t="s">
        <v>3150</v>
      </c>
      <c r="K2152" s="2">
        <v>2568</v>
      </c>
      <c r="L2152" s="35">
        <f t="shared" si="110"/>
        <v>8207751.7199999997</v>
      </c>
      <c r="M2152" s="36">
        <v>400</v>
      </c>
      <c r="N2152" s="40">
        <v>23823.041065482801</v>
      </c>
      <c r="O2152" s="40">
        <v>14407.192008878999</v>
      </c>
      <c r="P2152" s="40">
        <v>70974.4728079911</v>
      </c>
      <c r="Q2152" s="48">
        <v>4883.4628190899002</v>
      </c>
      <c r="R2152" s="40">
        <f>34544.3729189789+16840</f>
        <v>51384.372918978901</v>
      </c>
      <c r="S2152" s="40">
        <v>15731.675915649301</v>
      </c>
      <c r="T2152" s="40">
        <v>30000</v>
      </c>
      <c r="U2152" s="40">
        <v>144261.93118756899</v>
      </c>
      <c r="V2152" s="40">
        <v>0</v>
      </c>
      <c r="W2152" s="45">
        <f t="shared" si="111"/>
        <v>355466.14872364001</v>
      </c>
      <c r="X2152" s="46">
        <f t="shared" si="112"/>
        <v>4.3308589349440023</v>
      </c>
    </row>
    <row r="2153" spans="1:24" s="4" customFormat="1" ht="15" customHeight="1">
      <c r="A2153" s="28" t="s">
        <v>3019</v>
      </c>
      <c r="B2153" s="29">
        <v>3196.165</v>
      </c>
      <c r="C2153" s="30" t="s">
        <v>3148</v>
      </c>
      <c r="D2153" s="2">
        <v>4951900902</v>
      </c>
      <c r="E2153" s="2" t="s">
        <v>14</v>
      </c>
      <c r="F2153" s="2" t="s">
        <v>3149</v>
      </c>
      <c r="G2153" s="28" t="s">
        <v>5</v>
      </c>
      <c r="H2153" s="2" t="s">
        <v>20</v>
      </c>
      <c r="I2153" s="2">
        <v>1</v>
      </c>
      <c r="J2153" s="2" t="s">
        <v>3150</v>
      </c>
      <c r="K2153" s="2">
        <v>7801.2</v>
      </c>
      <c r="L2153" s="35">
        <f t="shared" si="110"/>
        <v>24933922.397999998</v>
      </c>
      <c r="M2153" s="36">
        <v>360</v>
      </c>
      <c r="N2153" s="40">
        <v>21440.7369589345</v>
      </c>
      <c r="O2153" s="40">
        <v>12966.4728079911</v>
      </c>
      <c r="P2153" s="40">
        <v>63877.025527192003</v>
      </c>
      <c r="Q2153" s="48">
        <v>4395.1165371809102</v>
      </c>
      <c r="R2153" s="40">
        <f>31089.935627081+15156</f>
        <v>46245.935627080995</v>
      </c>
      <c r="S2153" s="40">
        <v>14158.5083240844</v>
      </c>
      <c r="T2153" s="40">
        <v>30000</v>
      </c>
      <c r="U2153" s="40">
        <v>129835.738068812</v>
      </c>
      <c r="V2153" s="40">
        <v>0</v>
      </c>
      <c r="W2153" s="45">
        <f t="shared" si="111"/>
        <v>322919.53385127592</v>
      </c>
      <c r="X2153" s="46">
        <f t="shared" si="112"/>
        <v>1.2951012227309167</v>
      </c>
    </row>
    <row r="2154" spans="1:24" s="4" customFormat="1" ht="15" customHeight="1">
      <c r="A2154" s="28" t="s">
        <v>3019</v>
      </c>
      <c r="B2154" s="29">
        <v>3196.165</v>
      </c>
      <c r="C2154" s="30" t="s">
        <v>3148</v>
      </c>
      <c r="D2154" s="2">
        <v>4951900902</v>
      </c>
      <c r="E2154" s="2" t="s">
        <v>14</v>
      </c>
      <c r="F2154" s="2" t="s">
        <v>3149</v>
      </c>
      <c r="G2154" s="28" t="s">
        <v>5</v>
      </c>
      <c r="H2154" s="2" t="s">
        <v>20</v>
      </c>
      <c r="I2154" s="2">
        <v>1</v>
      </c>
      <c r="J2154" s="2" t="s">
        <v>3150</v>
      </c>
      <c r="K2154" s="2">
        <v>18645.599999999999</v>
      </c>
      <c r="L2154" s="35">
        <f t="shared" si="110"/>
        <v>59594414.123999998</v>
      </c>
      <c r="M2154" s="36">
        <v>2040</v>
      </c>
      <c r="N2154" s="40">
        <v>121497.509433962</v>
      </c>
      <c r="O2154" s="40">
        <v>73476.679245282998</v>
      </c>
      <c r="P2154" s="40">
        <v>361969.81132075499</v>
      </c>
      <c r="Q2154" s="48">
        <v>24905.660377358501</v>
      </c>
      <c r="R2154" s="40">
        <f>176176.301886792+85885</f>
        <v>262061.301886792</v>
      </c>
      <c r="S2154" s="40">
        <v>80231.547169811296</v>
      </c>
      <c r="T2154" s="40">
        <v>30000</v>
      </c>
      <c r="U2154" s="40">
        <v>735735.84905660397</v>
      </c>
      <c r="V2154" s="40">
        <v>0</v>
      </c>
      <c r="W2154" s="45">
        <f t="shared" si="111"/>
        <v>1689878.3584905658</v>
      </c>
      <c r="X2154" s="46">
        <f t="shared" si="112"/>
        <v>2.8356321365529022</v>
      </c>
    </row>
    <row r="2155" spans="1:24" s="4" customFormat="1" ht="15" customHeight="1">
      <c r="A2155" s="28" t="s">
        <v>3019</v>
      </c>
      <c r="B2155" s="29">
        <v>3196.165</v>
      </c>
      <c r="C2155" s="30" t="s">
        <v>3151</v>
      </c>
      <c r="D2155" s="2">
        <v>4951213131</v>
      </c>
      <c r="E2155" s="2" t="s">
        <v>14</v>
      </c>
      <c r="F2155" s="2" t="s">
        <v>3152</v>
      </c>
      <c r="G2155" s="28" t="s">
        <v>5</v>
      </c>
      <c r="H2155" s="2" t="s">
        <v>17</v>
      </c>
      <c r="I2155" s="2">
        <v>1</v>
      </c>
      <c r="J2155" s="2" t="s">
        <v>3153</v>
      </c>
      <c r="K2155" s="2">
        <v>12780</v>
      </c>
      <c r="L2155" s="35">
        <f t="shared" si="110"/>
        <v>40846988.700000003</v>
      </c>
      <c r="M2155" s="36">
        <v>4500</v>
      </c>
      <c r="N2155" s="40">
        <v>83378.899975663197</v>
      </c>
      <c r="O2155" s="40">
        <v>93249.111706011201</v>
      </c>
      <c r="P2155" s="40">
        <v>0</v>
      </c>
      <c r="Q2155" s="48">
        <v>24093.453394986602</v>
      </c>
      <c r="R2155" s="40">
        <v>151514.31005110699</v>
      </c>
      <c r="S2155" s="40">
        <v>77615.088829398897</v>
      </c>
      <c r="T2155" s="40">
        <v>30000</v>
      </c>
      <c r="U2155" s="40">
        <v>1246080.5548795301</v>
      </c>
      <c r="V2155" s="40">
        <v>0</v>
      </c>
      <c r="W2155" s="45">
        <f t="shared" si="111"/>
        <v>1705931.418836697</v>
      </c>
      <c r="X2155" s="46">
        <f t="shared" si="112"/>
        <v>4.1763945718639883</v>
      </c>
    </row>
    <row r="2156" spans="1:24" s="4" customFormat="1" ht="15" customHeight="1">
      <c r="A2156" s="28" t="s">
        <v>3019</v>
      </c>
      <c r="B2156" s="29">
        <v>3196.165</v>
      </c>
      <c r="C2156" s="30" t="s">
        <v>3151</v>
      </c>
      <c r="D2156" s="2">
        <v>4951046395</v>
      </c>
      <c r="E2156" s="2" t="s">
        <v>14</v>
      </c>
      <c r="F2156" s="2" t="s">
        <v>3152</v>
      </c>
      <c r="G2156" s="28" t="s">
        <v>5</v>
      </c>
      <c r="H2156" s="2" t="s">
        <v>17</v>
      </c>
      <c r="I2156" s="2">
        <v>1</v>
      </c>
      <c r="J2156" s="2" t="s">
        <v>3153</v>
      </c>
      <c r="K2156" s="2">
        <v>11792</v>
      </c>
      <c r="L2156" s="35">
        <f t="shared" si="110"/>
        <v>37689177.68</v>
      </c>
      <c r="M2156" s="36">
        <v>3520</v>
      </c>
      <c r="N2156" s="40">
        <v>65220.828425407599</v>
      </c>
      <c r="O2156" s="40">
        <v>72941.527378924293</v>
      </c>
      <c r="P2156" s="40">
        <v>0</v>
      </c>
      <c r="Q2156" s="48">
        <v>18846.434655633999</v>
      </c>
      <c r="R2156" s="40">
        <v>118517.860306644</v>
      </c>
      <c r="S2156" s="40">
        <v>60712.247262107601</v>
      </c>
      <c r="T2156" s="40">
        <v>30000</v>
      </c>
      <c r="U2156" s="40">
        <v>974711.90070576803</v>
      </c>
      <c r="V2156" s="40">
        <v>0</v>
      </c>
      <c r="W2156" s="45">
        <f t="shared" si="111"/>
        <v>1340950.7987344856</v>
      </c>
      <c r="X2156" s="46">
        <f t="shared" si="112"/>
        <v>3.5579200218158906</v>
      </c>
    </row>
    <row r="2157" spans="1:24" s="4" customFormat="1" ht="15" customHeight="1">
      <c r="A2157" s="28" t="s">
        <v>3019</v>
      </c>
      <c r="B2157" s="29">
        <v>3196.165</v>
      </c>
      <c r="C2157" s="30" t="s">
        <v>3151</v>
      </c>
      <c r="D2157" s="2">
        <v>4951046395</v>
      </c>
      <c r="E2157" s="2" t="s">
        <v>14</v>
      </c>
      <c r="F2157" s="2" t="s">
        <v>3152</v>
      </c>
      <c r="G2157" s="28" t="s">
        <v>5</v>
      </c>
      <c r="H2157" s="2" t="s">
        <v>17</v>
      </c>
      <c r="I2157" s="2">
        <v>1</v>
      </c>
      <c r="J2157" s="2" t="s">
        <v>3153</v>
      </c>
      <c r="K2157" s="2">
        <v>2457</v>
      </c>
      <c r="L2157" s="35">
        <f t="shared" si="110"/>
        <v>7852977.4050000003</v>
      </c>
      <c r="M2157" s="36">
        <v>525</v>
      </c>
      <c r="N2157" s="40">
        <v>9727.5383304940406</v>
      </c>
      <c r="O2157" s="40">
        <v>10879.063032368</v>
      </c>
      <c r="P2157" s="40">
        <v>0</v>
      </c>
      <c r="Q2157" s="48">
        <v>2810.90289608177</v>
      </c>
      <c r="R2157" s="40">
        <v>17676.669505962502</v>
      </c>
      <c r="S2157" s="40">
        <v>9055.0936967632006</v>
      </c>
      <c r="T2157" s="40">
        <v>30000</v>
      </c>
      <c r="U2157" s="40">
        <v>145376.06473594499</v>
      </c>
      <c r="V2157" s="40">
        <v>0</v>
      </c>
      <c r="W2157" s="45">
        <f t="shared" si="111"/>
        <v>225525.33219761451</v>
      </c>
      <c r="X2157" s="46">
        <f t="shared" si="112"/>
        <v>2.8718449139306355</v>
      </c>
    </row>
    <row r="2158" spans="1:24" s="4" customFormat="1" ht="15" customHeight="1">
      <c r="A2158" s="28" t="s">
        <v>3019</v>
      </c>
      <c r="B2158" s="29">
        <v>3196.165</v>
      </c>
      <c r="C2158" s="30" t="s">
        <v>3151</v>
      </c>
      <c r="D2158" s="2">
        <v>4950902083</v>
      </c>
      <c r="E2158" s="2" t="s">
        <v>14</v>
      </c>
      <c r="F2158" s="2" t="s">
        <v>3152</v>
      </c>
      <c r="G2158" s="28" t="s">
        <v>5</v>
      </c>
      <c r="H2158" s="2" t="s">
        <v>17</v>
      </c>
      <c r="I2158" s="2">
        <v>1</v>
      </c>
      <c r="J2158" s="2" t="s">
        <v>3153</v>
      </c>
      <c r="K2158" s="2">
        <v>3555</v>
      </c>
      <c r="L2158" s="35">
        <f t="shared" si="110"/>
        <v>11362366.574999999</v>
      </c>
      <c r="M2158" s="36">
        <v>1125</v>
      </c>
      <c r="N2158" s="40">
        <v>20844.724993915799</v>
      </c>
      <c r="O2158" s="40">
        <v>23312.2779265028</v>
      </c>
      <c r="P2158" s="40">
        <v>0</v>
      </c>
      <c r="Q2158" s="48">
        <v>6023.3633487466504</v>
      </c>
      <c r="R2158" s="40">
        <v>37878.577512776799</v>
      </c>
      <c r="S2158" s="40">
        <v>19403.772207349699</v>
      </c>
      <c r="T2158" s="40">
        <v>30000</v>
      </c>
      <c r="U2158" s="40">
        <v>311520.13871988299</v>
      </c>
      <c r="V2158" s="40">
        <v>0</v>
      </c>
      <c r="W2158" s="45">
        <f t="shared" si="111"/>
        <v>448982.85470917472</v>
      </c>
      <c r="X2158" s="46">
        <f t="shared" si="112"/>
        <v>3.9514906665399039</v>
      </c>
    </row>
    <row r="2159" spans="1:24" s="4" customFormat="1" ht="15" customHeight="1">
      <c r="A2159" s="28" t="s">
        <v>3019</v>
      </c>
      <c r="B2159" s="29">
        <v>3196.165</v>
      </c>
      <c r="C2159" s="30" t="s">
        <v>3151</v>
      </c>
      <c r="D2159" s="2">
        <v>4950215958</v>
      </c>
      <c r="E2159" s="2" t="s">
        <v>14</v>
      </c>
      <c r="F2159" s="2" t="s">
        <v>3152</v>
      </c>
      <c r="G2159" s="28" t="s">
        <v>5</v>
      </c>
      <c r="H2159" s="2" t="s">
        <v>17</v>
      </c>
      <c r="I2159" s="2">
        <v>1</v>
      </c>
      <c r="J2159" s="2" t="s">
        <v>3153</v>
      </c>
      <c r="K2159" s="2">
        <v>9424</v>
      </c>
      <c r="L2159" s="35">
        <f t="shared" si="110"/>
        <v>30120658.960000001</v>
      </c>
      <c r="M2159" s="36">
        <v>6200</v>
      </c>
      <c r="N2159" s="40">
        <v>114877.595522025</v>
      </c>
      <c r="O2159" s="40">
        <v>128476.55390606</v>
      </c>
      <c r="P2159" s="40">
        <v>0</v>
      </c>
      <c r="Q2159" s="48">
        <v>33195.424677537099</v>
      </c>
      <c r="R2159" s="40">
        <v>208753.04940374801</v>
      </c>
      <c r="S2159" s="40">
        <v>106936.344609394</v>
      </c>
      <c r="T2159" s="40">
        <v>30000</v>
      </c>
      <c r="U2159" s="40">
        <v>1716822.0978340199</v>
      </c>
      <c r="V2159" s="40">
        <v>0</v>
      </c>
      <c r="W2159" s="45">
        <f t="shared" si="111"/>
        <v>2339061.0659527839</v>
      </c>
      <c r="X2159" s="46">
        <f t="shared" si="112"/>
        <v>7.7656370966486445</v>
      </c>
    </row>
    <row r="2160" spans="1:24" s="4" customFormat="1" ht="15" customHeight="1">
      <c r="A2160" s="28" t="s">
        <v>3019</v>
      </c>
      <c r="B2160" s="29">
        <v>3196.165</v>
      </c>
      <c r="C2160" s="30" t="s">
        <v>3151</v>
      </c>
      <c r="D2160" s="2">
        <v>4950365725</v>
      </c>
      <c r="E2160" s="2" t="s">
        <v>14</v>
      </c>
      <c r="F2160" s="2" t="s">
        <v>3152</v>
      </c>
      <c r="G2160" s="28" t="s">
        <v>5</v>
      </c>
      <c r="H2160" s="2" t="s">
        <v>17</v>
      </c>
      <c r="I2160" s="2">
        <v>1</v>
      </c>
      <c r="J2160" s="2" t="s">
        <v>3153</v>
      </c>
      <c r="K2160" s="2">
        <v>3555</v>
      </c>
      <c r="L2160" s="35">
        <f t="shared" si="110"/>
        <v>11362366.574999999</v>
      </c>
      <c r="M2160" s="36">
        <v>1125</v>
      </c>
      <c r="N2160" s="40">
        <v>20844.724993915799</v>
      </c>
      <c r="O2160" s="40">
        <v>23312.2779265028</v>
      </c>
      <c r="P2160" s="40">
        <v>0</v>
      </c>
      <c r="Q2160" s="48">
        <v>6023.3633487466504</v>
      </c>
      <c r="R2160" s="40">
        <v>37878.577512776799</v>
      </c>
      <c r="S2160" s="40">
        <v>19403.772207349699</v>
      </c>
      <c r="T2160" s="40">
        <v>30000</v>
      </c>
      <c r="U2160" s="40">
        <v>311520.13871988299</v>
      </c>
      <c r="V2160" s="40">
        <v>0</v>
      </c>
      <c r="W2160" s="45">
        <f t="shared" si="111"/>
        <v>448982.85470917472</v>
      </c>
      <c r="X2160" s="46">
        <f t="shared" si="112"/>
        <v>3.9514906665399039</v>
      </c>
    </row>
    <row r="2161" spans="1:24" s="4" customFormat="1" ht="15" customHeight="1">
      <c r="A2161" s="28" t="s">
        <v>3019</v>
      </c>
      <c r="B2161" s="29">
        <v>3196.165</v>
      </c>
      <c r="C2161" s="30" t="s">
        <v>3151</v>
      </c>
      <c r="D2161" s="2">
        <v>4951157621</v>
      </c>
      <c r="E2161" s="2" t="s">
        <v>14</v>
      </c>
      <c r="F2161" s="2" t="s">
        <v>3152</v>
      </c>
      <c r="G2161" s="28" t="s">
        <v>5</v>
      </c>
      <c r="H2161" s="2" t="s">
        <v>17</v>
      </c>
      <c r="I2161" s="2">
        <v>1</v>
      </c>
      <c r="J2161" s="2" t="s">
        <v>3153</v>
      </c>
      <c r="K2161" s="2">
        <v>3792</v>
      </c>
      <c r="L2161" s="35">
        <f t="shared" si="110"/>
        <v>12119857.68</v>
      </c>
      <c r="M2161" s="36">
        <f>50+350</f>
        <v>400</v>
      </c>
      <c r="N2161" s="40">
        <v>7411.45777561451</v>
      </c>
      <c r="O2161" s="40">
        <v>8288.8099294232197</v>
      </c>
      <c r="P2161" s="40">
        <v>0</v>
      </c>
      <c r="Q2161" s="48">
        <v>2141.6403017765901</v>
      </c>
      <c r="R2161" s="40">
        <v>13467.9386712095</v>
      </c>
      <c r="S2161" s="40">
        <v>6899.1190070576804</v>
      </c>
      <c r="T2161" s="40">
        <v>30000</v>
      </c>
      <c r="U2161" s="40">
        <v>110762.715989292</v>
      </c>
      <c r="V2161" s="40">
        <v>0</v>
      </c>
      <c r="W2161" s="45">
        <f t="shared" si="111"/>
        <v>178971.68167437351</v>
      </c>
      <c r="X2161" s="46">
        <f t="shared" si="112"/>
        <v>1.4766813802583654</v>
      </c>
    </row>
    <row r="2162" spans="1:24" s="4" customFormat="1" ht="15" customHeight="1">
      <c r="A2162" s="28" t="s">
        <v>3019</v>
      </c>
      <c r="B2162" s="29">
        <v>3196.165</v>
      </c>
      <c r="C2162" s="30" t="s">
        <v>3151</v>
      </c>
      <c r="D2162" s="2">
        <v>4951325253</v>
      </c>
      <c r="E2162" s="2" t="s">
        <v>14</v>
      </c>
      <c r="F2162" s="2" t="s">
        <v>3152</v>
      </c>
      <c r="G2162" s="28" t="s">
        <v>5</v>
      </c>
      <c r="H2162" s="2" t="s">
        <v>17</v>
      </c>
      <c r="I2162" s="2">
        <v>1</v>
      </c>
      <c r="J2162" s="2" t="s">
        <v>3153</v>
      </c>
      <c r="K2162" s="2">
        <v>7371</v>
      </c>
      <c r="L2162" s="35">
        <f t="shared" si="110"/>
        <v>23558932.215</v>
      </c>
      <c r="M2162" s="36">
        <f>925+2225</f>
        <v>3150</v>
      </c>
      <c r="N2162" s="40">
        <v>58365.2299829642</v>
      </c>
      <c r="O2162" s="40">
        <v>65274.378194207799</v>
      </c>
      <c r="P2162" s="40">
        <v>0</v>
      </c>
      <c r="Q2162" s="48">
        <v>16865.417376490601</v>
      </c>
      <c r="R2162" s="40">
        <v>106060.017035775</v>
      </c>
      <c r="S2162" s="40">
        <v>54330.562180579203</v>
      </c>
      <c r="T2162" s="40">
        <v>30000</v>
      </c>
      <c r="U2162" s="40">
        <v>872256.38841567305</v>
      </c>
      <c r="V2162" s="40">
        <v>0</v>
      </c>
      <c r="W2162" s="45">
        <f t="shared" si="111"/>
        <v>1203151.9931856899</v>
      </c>
      <c r="X2162" s="46">
        <f t="shared" si="112"/>
        <v>5.1069886453497313</v>
      </c>
    </row>
    <row r="2163" spans="1:24" s="4" customFormat="1" ht="15" customHeight="1">
      <c r="A2163" s="28" t="s">
        <v>3019</v>
      </c>
      <c r="B2163" s="29">
        <v>3196.165</v>
      </c>
      <c r="C2163" s="30" t="s">
        <v>3154</v>
      </c>
      <c r="D2163" s="2">
        <v>4950559718</v>
      </c>
      <c r="E2163" s="2" t="s">
        <v>36</v>
      </c>
      <c r="F2163" s="2" t="s">
        <v>3155</v>
      </c>
      <c r="G2163" s="28" t="s">
        <v>5</v>
      </c>
      <c r="H2163" s="2" t="s">
        <v>20</v>
      </c>
      <c r="I2163" s="2">
        <v>1</v>
      </c>
      <c r="J2163" s="2" t="s">
        <v>3156</v>
      </c>
      <c r="K2163" s="2">
        <v>30263.040000000001</v>
      </c>
      <c r="L2163" s="35">
        <f t="shared" si="110"/>
        <v>96725669.241600007</v>
      </c>
      <c r="M2163" s="36">
        <v>17040</v>
      </c>
      <c r="N2163" s="40">
        <v>487150</v>
      </c>
      <c r="O2163" s="40">
        <v>324522</v>
      </c>
      <c r="P2163" s="40">
        <v>0</v>
      </c>
      <c r="Q2163" s="48">
        <v>110000</v>
      </c>
      <c r="R2163" s="40">
        <v>646646</v>
      </c>
      <c r="S2163" s="40">
        <v>354356</v>
      </c>
      <c r="T2163" s="40"/>
      <c r="U2163" s="40">
        <v>519300</v>
      </c>
      <c r="V2163" s="40">
        <v>0</v>
      </c>
      <c r="W2163" s="45">
        <f t="shared" si="111"/>
        <v>2441974</v>
      </c>
      <c r="X2163" s="46">
        <f t="shared" si="112"/>
        <v>2.5246390323756476</v>
      </c>
    </row>
    <row r="2164" spans="1:24" s="4" customFormat="1" ht="15" customHeight="1">
      <c r="A2164" s="28" t="s">
        <v>3019</v>
      </c>
      <c r="B2164" s="29">
        <v>3196.165</v>
      </c>
      <c r="C2164" s="30" t="s">
        <v>3157</v>
      </c>
      <c r="D2164" s="2">
        <v>4950958444</v>
      </c>
      <c r="E2164" s="2" t="s">
        <v>33</v>
      </c>
      <c r="F2164" s="2" t="s">
        <v>3158</v>
      </c>
      <c r="G2164" s="28" t="s">
        <v>5</v>
      </c>
      <c r="H2164" s="2" t="s">
        <v>20</v>
      </c>
      <c r="I2164" s="2">
        <v>1</v>
      </c>
      <c r="J2164" s="2" t="s">
        <v>3159</v>
      </c>
      <c r="K2164" s="2">
        <v>2364.86</v>
      </c>
      <c r="L2164" s="35">
        <f t="shared" si="110"/>
        <v>7558482.7619000003</v>
      </c>
      <c r="M2164" s="36">
        <v>783</v>
      </c>
      <c r="N2164" s="40">
        <v>47291.8251533742</v>
      </c>
      <c r="O2164" s="40">
        <v>77945.007975460103</v>
      </c>
      <c r="P2164" s="40">
        <v>0</v>
      </c>
      <c r="Q2164" s="48">
        <v>26420.245398773</v>
      </c>
      <c r="R2164" s="40">
        <v>92875.418923207297</v>
      </c>
      <c r="S2164" s="40">
        <v>44022.754601227003</v>
      </c>
      <c r="T2164" s="48"/>
      <c r="U2164" s="40">
        <v>331391.87116564403</v>
      </c>
      <c r="V2164" s="40">
        <v>0</v>
      </c>
      <c r="W2164" s="45">
        <f t="shared" si="111"/>
        <v>619947.12321768561</v>
      </c>
      <c r="X2164" s="46">
        <f t="shared" si="112"/>
        <v>8.202004856618176</v>
      </c>
    </row>
    <row r="2165" spans="1:24" s="4" customFormat="1" ht="15" customHeight="1">
      <c r="A2165" s="28" t="s">
        <v>3019</v>
      </c>
      <c r="B2165" s="29">
        <v>3196.165</v>
      </c>
      <c r="C2165" s="30" t="s">
        <v>3157</v>
      </c>
      <c r="D2165" s="2">
        <v>4950958444</v>
      </c>
      <c r="E2165" s="2" t="s">
        <v>33</v>
      </c>
      <c r="F2165" s="2" t="s">
        <v>3158</v>
      </c>
      <c r="G2165" s="28" t="s">
        <v>5</v>
      </c>
      <c r="H2165" s="2" t="s">
        <v>20</v>
      </c>
      <c r="I2165" s="2">
        <v>1</v>
      </c>
      <c r="J2165" s="2" t="s">
        <v>3159</v>
      </c>
      <c r="K2165" s="2">
        <v>12588.03</v>
      </c>
      <c r="L2165" s="35">
        <f t="shared" si="110"/>
        <v>40233420.90495</v>
      </c>
      <c r="M2165" s="36">
        <v>1827</v>
      </c>
      <c r="N2165" s="40">
        <v>44139.036809816003</v>
      </c>
      <c r="O2165" s="40">
        <v>181871.68527607399</v>
      </c>
      <c r="P2165" s="40">
        <v>0</v>
      </c>
      <c r="Q2165" s="48">
        <v>61647.239263803698</v>
      </c>
      <c r="R2165" s="40">
        <v>86683.724328326804</v>
      </c>
      <c r="S2165" s="40">
        <v>41087.904294478503</v>
      </c>
      <c r="T2165" s="48"/>
      <c r="U2165" s="40">
        <v>309299.079754601</v>
      </c>
      <c r="V2165" s="40">
        <v>0</v>
      </c>
      <c r="W2165" s="45">
        <f t="shared" si="111"/>
        <v>724728.66972710006</v>
      </c>
      <c r="X2165" s="46">
        <f t="shared" si="112"/>
        <v>1.8013100885436644</v>
      </c>
    </row>
    <row r="2166" spans="1:24" s="4" customFormat="1" ht="15" customHeight="1">
      <c r="A2166" s="28" t="s">
        <v>3019</v>
      </c>
      <c r="B2166" s="29">
        <v>3196.165</v>
      </c>
      <c r="C2166" s="30" t="s">
        <v>3157</v>
      </c>
      <c r="D2166" s="2">
        <v>4950958444</v>
      </c>
      <c r="E2166" s="2" t="s">
        <v>33</v>
      </c>
      <c r="F2166" s="2" t="s">
        <v>3158</v>
      </c>
      <c r="G2166" s="28" t="s">
        <v>5</v>
      </c>
      <c r="H2166" s="2" t="s">
        <v>20</v>
      </c>
      <c r="I2166" s="2">
        <v>1</v>
      </c>
      <c r="J2166" s="2" t="s">
        <v>3159</v>
      </c>
      <c r="K2166" s="2">
        <v>1458.3</v>
      </c>
      <c r="L2166" s="35">
        <f t="shared" ref="L2166:L2229" si="114">+B2166*K2166</f>
        <v>4660967.4194999998</v>
      </c>
      <c r="M2166" s="36">
        <v>286</v>
      </c>
      <c r="N2166" s="40">
        <v>110347.59202454</v>
      </c>
      <c r="O2166" s="40">
        <v>28470.334969325198</v>
      </c>
      <c r="P2166" s="40">
        <v>0</v>
      </c>
      <c r="Q2166" s="48">
        <v>9650.3067484662606</v>
      </c>
      <c r="R2166" s="40">
        <v>216709.13840702301</v>
      </c>
      <c r="S2166" s="40">
        <v>102719.760736196</v>
      </c>
      <c r="T2166" s="48"/>
      <c r="U2166" s="40">
        <v>773247.69938650297</v>
      </c>
      <c r="V2166" s="40">
        <v>0</v>
      </c>
      <c r="W2166" s="45">
        <f t="shared" ref="W2166:W2229" si="115">+SUM(N2166:V2166)</f>
        <v>1241144.8322720535</v>
      </c>
      <c r="X2166" s="46">
        <f t="shared" ref="X2166:X2229" si="116">(W2166/L2166)*100</f>
        <v>26.628481183530688</v>
      </c>
    </row>
    <row r="2167" spans="1:24" s="4" customFormat="1" ht="15" customHeight="1">
      <c r="A2167" s="28" t="s">
        <v>3019</v>
      </c>
      <c r="B2167" s="29">
        <v>3196.165</v>
      </c>
      <c r="C2167" s="30" t="s">
        <v>3157</v>
      </c>
      <c r="D2167" s="2">
        <v>4950958444</v>
      </c>
      <c r="E2167" s="2" t="s">
        <v>33</v>
      </c>
      <c r="F2167" s="2" t="s">
        <v>3158</v>
      </c>
      <c r="G2167" s="28" t="s">
        <v>5</v>
      </c>
      <c r="H2167" s="2" t="s">
        <v>20</v>
      </c>
      <c r="I2167" s="2">
        <v>1</v>
      </c>
      <c r="J2167" s="2" t="s">
        <v>3159</v>
      </c>
      <c r="K2167" s="2">
        <v>1856.3</v>
      </c>
      <c r="L2167" s="35">
        <f t="shared" si="114"/>
        <v>5933041.0894999998</v>
      </c>
      <c r="M2167" s="36">
        <v>364</v>
      </c>
      <c r="N2167" s="40">
        <v>102991.085889571</v>
      </c>
      <c r="O2167" s="40">
        <v>36234.971779141102</v>
      </c>
      <c r="P2167" s="40">
        <v>0</v>
      </c>
      <c r="Q2167" s="48">
        <v>12282.208588957101</v>
      </c>
      <c r="R2167" s="40">
        <v>202261.862513222</v>
      </c>
      <c r="S2167" s="40">
        <v>95871.776687116595</v>
      </c>
      <c r="T2167" s="48"/>
      <c r="U2167" s="40">
        <v>721697.85276073602</v>
      </c>
      <c r="V2167" s="40">
        <v>0</v>
      </c>
      <c r="W2167" s="45">
        <f t="shared" si="115"/>
        <v>1171339.7582187438</v>
      </c>
      <c r="X2167" s="46">
        <f t="shared" si="116"/>
        <v>19.742653734384589</v>
      </c>
    </row>
    <row r="2168" spans="1:24" s="4" customFormat="1" ht="15" customHeight="1">
      <c r="A2168" s="28" t="s">
        <v>3019</v>
      </c>
      <c r="B2168" s="29">
        <v>3196.165</v>
      </c>
      <c r="C2168" s="30" t="s">
        <v>3160</v>
      </c>
      <c r="D2168" s="2">
        <v>4951300634</v>
      </c>
      <c r="E2168" s="2" t="s">
        <v>36</v>
      </c>
      <c r="F2168" s="78" t="s">
        <v>3161</v>
      </c>
      <c r="G2168" s="28" t="s">
        <v>5</v>
      </c>
      <c r="H2168" s="2" t="s">
        <v>20</v>
      </c>
      <c r="I2168" s="2">
        <v>2</v>
      </c>
      <c r="J2168" s="2" t="s">
        <v>3162</v>
      </c>
      <c r="K2168" s="2">
        <v>62790</v>
      </c>
      <c r="L2168" s="35">
        <f t="shared" si="114"/>
        <v>200687200.34999999</v>
      </c>
      <c r="M2168" s="36">
        <v>39000</v>
      </c>
      <c r="N2168" s="40">
        <v>326605</v>
      </c>
      <c r="O2168" s="40">
        <v>808092</v>
      </c>
      <c r="P2168" s="40">
        <v>0</v>
      </c>
      <c r="Q2168" s="48">
        <v>248274</v>
      </c>
      <c r="R2168" s="40">
        <v>644584</v>
      </c>
      <c r="S2168" s="40">
        <v>177178</v>
      </c>
      <c r="T2168" s="40"/>
      <c r="U2168" s="40">
        <v>519300</v>
      </c>
      <c r="V2168" s="40">
        <v>0</v>
      </c>
      <c r="W2168" s="45">
        <f t="shared" si="115"/>
        <v>2724033</v>
      </c>
      <c r="X2168" s="46">
        <f t="shared" si="116"/>
        <v>1.3573526339742972</v>
      </c>
    </row>
    <row r="2169" spans="1:24" s="4" customFormat="1" ht="15" customHeight="1">
      <c r="A2169" s="28" t="s">
        <v>3019</v>
      </c>
      <c r="B2169" s="29">
        <v>3196.165</v>
      </c>
      <c r="C2169" s="30" t="s">
        <v>3163</v>
      </c>
      <c r="D2169" s="2">
        <v>4950555373</v>
      </c>
      <c r="E2169" s="2" t="s">
        <v>36</v>
      </c>
      <c r="F2169" s="78" t="s">
        <v>3164</v>
      </c>
      <c r="G2169" s="28" t="s">
        <v>5</v>
      </c>
      <c r="H2169" s="2" t="s">
        <v>20</v>
      </c>
      <c r="I2169" s="2">
        <v>2</v>
      </c>
      <c r="J2169" s="2" t="s">
        <v>3165</v>
      </c>
      <c r="K2169" s="2">
        <v>62790</v>
      </c>
      <c r="L2169" s="35">
        <f t="shared" si="114"/>
        <v>200687200.34999999</v>
      </c>
      <c r="M2169" s="36">
        <v>39000</v>
      </c>
      <c r="N2169" s="40">
        <v>979815</v>
      </c>
      <c r="O2169" s="40">
        <v>808092</v>
      </c>
      <c r="P2169" s="40">
        <v>0</v>
      </c>
      <c r="Q2169" s="48">
        <v>248274</v>
      </c>
      <c r="R2169" s="40">
        <v>2410121</v>
      </c>
      <c r="S2169" s="40">
        <v>354356</v>
      </c>
      <c r="T2169" s="40"/>
      <c r="U2169" s="40">
        <v>1557900</v>
      </c>
      <c r="V2169" s="40">
        <v>0</v>
      </c>
      <c r="W2169" s="45">
        <f t="shared" si="115"/>
        <v>6358558</v>
      </c>
      <c r="X2169" s="46">
        <f t="shared" si="116"/>
        <v>3.1683923981751834</v>
      </c>
    </row>
    <row r="2170" spans="1:24" s="4" customFormat="1" ht="15" customHeight="1">
      <c r="A2170" s="28" t="s">
        <v>3019</v>
      </c>
      <c r="B2170" s="29">
        <v>3196.165</v>
      </c>
      <c r="C2170" s="30" t="s">
        <v>3166</v>
      </c>
      <c r="D2170" s="2">
        <v>4951650233</v>
      </c>
      <c r="E2170" s="2" t="s">
        <v>24</v>
      </c>
      <c r="F2170" s="2" t="s">
        <v>3167</v>
      </c>
      <c r="G2170" s="28" t="s">
        <v>5</v>
      </c>
      <c r="H2170" s="2" t="s">
        <v>17</v>
      </c>
      <c r="I2170" s="2">
        <v>1</v>
      </c>
      <c r="J2170" s="2" t="s">
        <v>3168</v>
      </c>
      <c r="K2170" s="2">
        <v>5486.4</v>
      </c>
      <c r="L2170" s="35">
        <f t="shared" si="114"/>
        <v>17535439.655999999</v>
      </c>
      <c r="M2170" s="36">
        <v>4320</v>
      </c>
      <c r="N2170" s="40">
        <v>177433.93450881599</v>
      </c>
      <c r="O2170" s="40">
        <v>231633.61209067999</v>
      </c>
      <c r="P2170" s="40">
        <v>0</v>
      </c>
      <c r="Q2170" s="48">
        <v>59848.866498740601</v>
      </c>
      <c r="R2170" s="40">
        <v>356358.649874055</v>
      </c>
      <c r="S2170" s="40">
        <v>192798.22670025201</v>
      </c>
      <c r="T2170" s="48"/>
      <c r="U2170" s="40">
        <v>2567543.5768261999</v>
      </c>
      <c r="V2170" s="40">
        <v>0</v>
      </c>
      <c r="W2170" s="45">
        <f t="shared" si="115"/>
        <v>3585616.8664987436</v>
      </c>
      <c r="X2170" s="46">
        <f t="shared" si="116"/>
        <v>20.447829862491496</v>
      </c>
    </row>
    <row r="2171" spans="1:24" s="4" customFormat="1" ht="15" customHeight="1">
      <c r="A2171" s="28" t="s">
        <v>3019</v>
      </c>
      <c r="B2171" s="29">
        <v>3196.165</v>
      </c>
      <c r="C2171" s="30" t="s">
        <v>3166</v>
      </c>
      <c r="D2171" s="2">
        <v>4951650233</v>
      </c>
      <c r="E2171" s="2" t="s">
        <v>24</v>
      </c>
      <c r="F2171" s="2" t="s">
        <v>3167</v>
      </c>
      <c r="G2171" s="28" t="s">
        <v>5</v>
      </c>
      <c r="H2171" s="2" t="s">
        <v>17</v>
      </c>
      <c r="I2171" s="2">
        <v>1</v>
      </c>
      <c r="J2171" s="2" t="s">
        <v>3168</v>
      </c>
      <c r="K2171" s="2">
        <v>14986.8</v>
      </c>
      <c r="L2171" s="35">
        <f t="shared" si="114"/>
        <v>47900285.621999994</v>
      </c>
      <c r="M2171" s="36">
        <v>3620</v>
      </c>
      <c r="N2171" s="40">
        <v>148683.06549118401</v>
      </c>
      <c r="O2171" s="40">
        <v>194100.38790932001</v>
      </c>
      <c r="P2171" s="40">
        <v>0</v>
      </c>
      <c r="Q2171" s="48">
        <v>50151.133501259399</v>
      </c>
      <c r="R2171" s="40">
        <v>298615.350125945</v>
      </c>
      <c r="S2171" s="40">
        <v>161557.77329974799</v>
      </c>
      <c r="T2171" s="48"/>
      <c r="U2171" s="40">
        <v>2151506.4231738001</v>
      </c>
      <c r="V2171" s="40">
        <v>0</v>
      </c>
      <c r="W2171" s="45">
        <f t="shared" si="115"/>
        <v>3004614.1335012564</v>
      </c>
      <c r="X2171" s="46">
        <f t="shared" si="116"/>
        <v>6.2726434602328869</v>
      </c>
    </row>
    <row r="2172" spans="1:24" s="4" customFormat="1" ht="15" customHeight="1">
      <c r="A2172" s="28" t="s">
        <v>3019</v>
      </c>
      <c r="B2172" s="29">
        <v>3196.165</v>
      </c>
      <c r="C2172" s="30" t="s">
        <v>3169</v>
      </c>
      <c r="D2172" s="2">
        <v>4951300631</v>
      </c>
      <c r="E2172" s="2" t="s">
        <v>36</v>
      </c>
      <c r="F2172" s="78" t="s">
        <v>3170</v>
      </c>
      <c r="G2172" s="28" t="s">
        <v>5</v>
      </c>
      <c r="H2172" s="2" t="s">
        <v>20</v>
      </c>
      <c r="I2172" s="2">
        <v>3</v>
      </c>
      <c r="J2172" s="2" t="s">
        <v>3171</v>
      </c>
      <c r="K2172" s="2">
        <v>94185</v>
      </c>
      <c r="L2172" s="35">
        <f t="shared" si="114"/>
        <v>301030800.52499998</v>
      </c>
      <c r="M2172" s="36">
        <v>58500</v>
      </c>
      <c r="N2172" s="40">
        <v>979815</v>
      </c>
      <c r="O2172" s="40">
        <v>1212138</v>
      </c>
      <c r="P2172" s="40">
        <v>0</v>
      </c>
      <c r="Q2172" s="48">
        <v>372411</v>
      </c>
      <c r="R2172" s="40">
        <v>1932252</v>
      </c>
      <c r="S2172" s="40">
        <v>354356</v>
      </c>
      <c r="T2172" s="40"/>
      <c r="U2172" s="40">
        <v>1557900</v>
      </c>
      <c r="V2172" s="40">
        <v>0</v>
      </c>
      <c r="W2172" s="45">
        <f t="shared" si="115"/>
        <v>6408872</v>
      </c>
      <c r="X2172" s="46">
        <f t="shared" si="116"/>
        <v>2.1289755031122661</v>
      </c>
    </row>
    <row r="2173" spans="1:24" s="4" customFormat="1" ht="15" customHeight="1">
      <c r="A2173" s="28" t="s">
        <v>3019</v>
      </c>
      <c r="B2173" s="29">
        <v>3196.165</v>
      </c>
      <c r="C2173" s="30" t="s">
        <v>3172</v>
      </c>
      <c r="D2173" s="2">
        <v>4951080650</v>
      </c>
      <c r="E2173" s="2" t="s">
        <v>18</v>
      </c>
      <c r="F2173" s="2" t="s">
        <v>3173</v>
      </c>
      <c r="G2173" s="28" t="s">
        <v>9</v>
      </c>
      <c r="H2173" s="2" t="s">
        <v>23</v>
      </c>
      <c r="I2173" s="2">
        <v>1</v>
      </c>
      <c r="J2173" s="2"/>
      <c r="K2173" s="2">
        <v>3260</v>
      </c>
      <c r="L2173" s="35">
        <f t="shared" si="114"/>
        <v>10419497.9</v>
      </c>
      <c r="M2173" s="36">
        <v>1000</v>
      </c>
      <c r="N2173" s="40">
        <v>504544</v>
      </c>
      <c r="O2173" s="40">
        <v>672</v>
      </c>
      <c r="P2173" s="40">
        <v>20428</v>
      </c>
      <c r="Q2173" s="48">
        <v>16320</v>
      </c>
      <c r="R2173" s="40">
        <v>102711</v>
      </c>
      <c r="S2173" s="40">
        <v>354356</v>
      </c>
      <c r="T2173" s="40">
        <v>30000</v>
      </c>
      <c r="U2173" s="40">
        <v>448494.62365591398</v>
      </c>
      <c r="V2173" s="40">
        <v>0</v>
      </c>
      <c r="W2173" s="45">
        <f t="shared" si="115"/>
        <v>1477525.6236559139</v>
      </c>
      <c r="X2173" s="46">
        <f t="shared" si="116"/>
        <v>14.180391779299786</v>
      </c>
    </row>
    <row r="2174" spans="1:24" s="4" customFormat="1" ht="15" customHeight="1">
      <c r="A2174" s="28" t="s">
        <v>3019</v>
      </c>
      <c r="B2174" s="29">
        <v>3196.165</v>
      </c>
      <c r="C2174" s="30" t="s">
        <v>3174</v>
      </c>
      <c r="D2174" s="2">
        <v>4951356841</v>
      </c>
      <c r="E2174" s="2" t="s">
        <v>14</v>
      </c>
      <c r="F2174" s="2" t="s">
        <v>3175</v>
      </c>
      <c r="G2174" s="28" t="s">
        <v>5</v>
      </c>
      <c r="H2174" s="2" t="s">
        <v>20</v>
      </c>
      <c r="I2174" s="2">
        <v>1</v>
      </c>
      <c r="J2174" s="2" t="s">
        <v>3176</v>
      </c>
      <c r="K2174" s="2">
        <v>1928</v>
      </c>
      <c r="L2174" s="35">
        <f t="shared" si="114"/>
        <v>6162206.1200000001</v>
      </c>
      <c r="M2174" s="36">
        <v>800</v>
      </c>
      <c r="N2174" s="40">
        <v>19245.721518987299</v>
      </c>
      <c r="O2174" s="40">
        <v>16431.493670886099</v>
      </c>
      <c r="P2174" s="40">
        <v>5394.0253164556998</v>
      </c>
      <c r="Q2174" s="48">
        <v>5569.6202531645604</v>
      </c>
      <c r="R2174" s="40">
        <v>32536.6075949367</v>
      </c>
      <c r="S2174" s="40">
        <v>17942.075949367099</v>
      </c>
      <c r="T2174" s="40">
        <v>30000</v>
      </c>
      <c r="U2174" s="40">
        <v>198911.392405063</v>
      </c>
      <c r="V2174" s="40">
        <v>0</v>
      </c>
      <c r="W2174" s="45">
        <f t="shared" si="115"/>
        <v>326030.93670886045</v>
      </c>
      <c r="X2174" s="46">
        <f t="shared" si="116"/>
        <v>5.2908151781988826</v>
      </c>
    </row>
    <row r="2175" spans="1:24" s="4" customFormat="1" ht="15" customHeight="1">
      <c r="A2175" s="28" t="s">
        <v>3019</v>
      </c>
      <c r="B2175" s="29">
        <v>3196.165</v>
      </c>
      <c r="C2175" s="30" t="s">
        <v>3174</v>
      </c>
      <c r="D2175" s="2">
        <v>4951356836</v>
      </c>
      <c r="E2175" s="2" t="s">
        <v>14</v>
      </c>
      <c r="F2175" s="2" t="s">
        <v>3175</v>
      </c>
      <c r="G2175" s="28" t="s">
        <v>5</v>
      </c>
      <c r="H2175" s="2" t="s">
        <v>20</v>
      </c>
      <c r="I2175" s="2">
        <v>1</v>
      </c>
      <c r="J2175" s="2" t="s">
        <v>3176</v>
      </c>
      <c r="K2175" s="2">
        <v>40800</v>
      </c>
      <c r="L2175" s="35">
        <f t="shared" si="114"/>
        <v>130403532</v>
      </c>
      <c r="M2175" s="36">
        <v>15000</v>
      </c>
      <c r="N2175" s="40">
        <v>360857.27848101303</v>
      </c>
      <c r="O2175" s="40">
        <v>308090.50632911402</v>
      </c>
      <c r="P2175" s="40">
        <v>101137.974683544</v>
      </c>
      <c r="Q2175" s="48">
        <v>104430.37974683499</v>
      </c>
      <c r="R2175" s="40">
        <v>610061.39240506303</v>
      </c>
      <c r="S2175" s="40">
        <v>336413.92405063298</v>
      </c>
      <c r="T2175" s="40">
        <v>30000</v>
      </c>
      <c r="U2175" s="40">
        <v>3729588.6075949399</v>
      </c>
      <c r="V2175" s="40">
        <v>0</v>
      </c>
      <c r="W2175" s="45">
        <f t="shared" si="115"/>
        <v>5580580.0632911418</v>
      </c>
      <c r="X2175" s="46">
        <f t="shared" si="116"/>
        <v>4.2794700248541897</v>
      </c>
    </row>
    <row r="2176" spans="1:24" s="4" customFormat="1" ht="15" customHeight="1">
      <c r="A2176" s="28" t="s">
        <v>3019</v>
      </c>
      <c r="B2176" s="29">
        <v>3196.165</v>
      </c>
      <c r="C2176" s="30" t="s">
        <v>3177</v>
      </c>
      <c r="D2176" s="2">
        <v>4951300633</v>
      </c>
      <c r="E2176" s="2" t="s">
        <v>36</v>
      </c>
      <c r="F2176" s="78" t="s">
        <v>3178</v>
      </c>
      <c r="G2176" s="28" t="s">
        <v>5</v>
      </c>
      <c r="H2176" s="2" t="s">
        <v>20</v>
      </c>
      <c r="I2176" s="2">
        <v>3</v>
      </c>
      <c r="J2176" s="2" t="s">
        <v>3179</v>
      </c>
      <c r="K2176" s="2">
        <v>94185</v>
      </c>
      <c r="L2176" s="35">
        <f t="shared" si="114"/>
        <v>301030800.52499998</v>
      </c>
      <c r="M2176" s="36">
        <v>58500</v>
      </c>
      <c r="N2176" s="40">
        <v>979815</v>
      </c>
      <c r="O2176" s="40">
        <v>1212138</v>
      </c>
      <c r="P2176" s="48">
        <v>0</v>
      </c>
      <c r="Q2176" s="40">
        <v>372411</v>
      </c>
      <c r="R2176" s="40">
        <v>2410121</v>
      </c>
      <c r="S2176" s="40">
        <v>354356</v>
      </c>
      <c r="T2176" s="40"/>
      <c r="U2176" s="40">
        <v>1557900</v>
      </c>
      <c r="V2176" s="40">
        <v>0</v>
      </c>
      <c r="W2176" s="45">
        <f t="shared" si="115"/>
        <v>6886741</v>
      </c>
      <c r="X2176" s="46">
        <f t="shared" si="116"/>
        <v>2.2877197243569336</v>
      </c>
    </row>
    <row r="2177" spans="1:24" s="4" customFormat="1" ht="15" customHeight="1">
      <c r="A2177" s="28" t="s">
        <v>3019</v>
      </c>
      <c r="B2177" s="29">
        <v>3196.165</v>
      </c>
      <c r="C2177" s="30" t="s">
        <v>3180</v>
      </c>
      <c r="D2177" s="2">
        <v>4951215089</v>
      </c>
      <c r="E2177" s="2" t="s">
        <v>14</v>
      </c>
      <c r="F2177" s="2" t="s">
        <v>3181</v>
      </c>
      <c r="G2177" s="28" t="s">
        <v>5</v>
      </c>
      <c r="H2177" s="2" t="s">
        <v>20</v>
      </c>
      <c r="I2177" s="2">
        <v>1</v>
      </c>
      <c r="J2177" s="2" t="s">
        <v>3182</v>
      </c>
      <c r="K2177" s="2">
        <v>32450.400000000001</v>
      </c>
      <c r="L2177" s="35">
        <f t="shared" si="114"/>
        <v>103716832.71600001</v>
      </c>
      <c r="M2177" s="36">
        <v>720</v>
      </c>
      <c r="N2177" s="40">
        <v>32142.948665297699</v>
      </c>
      <c r="O2177" s="40">
        <v>31985.741273100601</v>
      </c>
      <c r="P2177" s="48">
        <v>44625.117043121201</v>
      </c>
      <c r="Q2177" s="40">
        <v>10841.8891170431</v>
      </c>
      <c r="R2177" s="40">
        <f>44625.9055441478+11147</f>
        <v>55772.905544147798</v>
      </c>
      <c r="S2177" s="40">
        <v>34926.258726899403</v>
      </c>
      <c r="T2177" s="40">
        <v>30000</v>
      </c>
      <c r="U2177" s="40">
        <v>285861.19096509198</v>
      </c>
      <c r="V2177" s="40">
        <v>0</v>
      </c>
      <c r="W2177" s="45">
        <f t="shared" si="115"/>
        <v>526156.05133470171</v>
      </c>
      <c r="X2177" s="46">
        <f t="shared" si="116"/>
        <v>0.50730053893511695</v>
      </c>
    </row>
    <row r="2178" spans="1:24" s="4" customFormat="1" ht="15" customHeight="1">
      <c r="A2178" s="28" t="s">
        <v>3019</v>
      </c>
      <c r="B2178" s="29">
        <v>3196.165</v>
      </c>
      <c r="C2178" s="30" t="s">
        <v>3180</v>
      </c>
      <c r="D2178" s="2">
        <v>4951215090</v>
      </c>
      <c r="E2178" s="2" t="s">
        <v>14</v>
      </c>
      <c r="F2178" s="2" t="s">
        <v>3181</v>
      </c>
      <c r="G2178" s="28" t="s">
        <v>5</v>
      </c>
      <c r="H2178" s="2" t="s">
        <v>20</v>
      </c>
      <c r="I2178" s="2">
        <v>1</v>
      </c>
      <c r="J2178" s="2" t="s">
        <v>3182</v>
      </c>
      <c r="K2178" s="2">
        <v>3668.75</v>
      </c>
      <c r="L2178" s="35">
        <f t="shared" si="114"/>
        <v>11725930.34375</v>
      </c>
      <c r="M2178" s="36">
        <v>625</v>
      </c>
      <c r="N2178" s="40">
        <v>27901.865160848702</v>
      </c>
      <c r="O2178" s="40">
        <v>27765.400410677601</v>
      </c>
      <c r="P2178" s="48">
        <v>38737.080766598199</v>
      </c>
      <c r="Q2178" s="40">
        <v>9411.3620807665993</v>
      </c>
      <c r="R2178" s="40">
        <f>38737.765229295+9676</f>
        <v>48413.765229295001</v>
      </c>
      <c r="S2178" s="40">
        <v>30317.932922655698</v>
      </c>
      <c r="T2178" s="40">
        <v>30000</v>
      </c>
      <c r="U2178" s="40">
        <v>248143.39493497601</v>
      </c>
      <c r="V2178" s="40">
        <v>0</v>
      </c>
      <c r="W2178" s="45">
        <f t="shared" si="115"/>
        <v>460690.8015058178</v>
      </c>
      <c r="X2178" s="46">
        <f t="shared" si="116"/>
        <v>3.9288208952338617</v>
      </c>
    </row>
    <row r="2179" spans="1:24" s="4" customFormat="1" ht="15" customHeight="1">
      <c r="A2179" s="28" t="s">
        <v>3019</v>
      </c>
      <c r="B2179" s="29">
        <v>3196.165</v>
      </c>
      <c r="C2179" s="30" t="s">
        <v>3180</v>
      </c>
      <c r="D2179" s="2">
        <v>4951268367</v>
      </c>
      <c r="E2179" s="2" t="s">
        <v>14</v>
      </c>
      <c r="F2179" s="2" t="s">
        <v>3181</v>
      </c>
      <c r="G2179" s="28" t="s">
        <v>5</v>
      </c>
      <c r="H2179" s="2" t="s">
        <v>20</v>
      </c>
      <c r="I2179" s="2">
        <v>1</v>
      </c>
      <c r="J2179" s="2" t="s">
        <v>3182</v>
      </c>
      <c r="K2179" s="2">
        <v>26144</v>
      </c>
      <c r="L2179" s="35">
        <f t="shared" si="114"/>
        <v>83560537.760000005</v>
      </c>
      <c r="M2179" s="36">
        <v>3800</v>
      </c>
      <c r="N2179" s="40">
        <v>169643.34017796</v>
      </c>
      <c r="O2179" s="40">
        <v>168813.63449692001</v>
      </c>
      <c r="P2179" s="48">
        <v>235521.451060917</v>
      </c>
      <c r="Q2179" s="40">
        <v>57221.081451060898</v>
      </c>
      <c r="R2179" s="40">
        <v>294355.61259411398</v>
      </c>
      <c r="S2179" s="40">
        <v>184333.03216974699</v>
      </c>
      <c r="T2179" s="40">
        <v>30000</v>
      </c>
      <c r="U2179" s="40">
        <v>1508711.84120465</v>
      </c>
      <c r="V2179" s="40">
        <v>0</v>
      </c>
      <c r="W2179" s="45">
        <f t="shared" si="115"/>
        <v>2648599.9931553686</v>
      </c>
      <c r="X2179" s="46">
        <f t="shared" si="116"/>
        <v>3.1696780132777458</v>
      </c>
    </row>
    <row r="2180" spans="1:24" s="4" customFormat="1" ht="15" customHeight="1">
      <c r="A2180" s="28" t="s">
        <v>3019</v>
      </c>
      <c r="B2180" s="29">
        <v>3196.165</v>
      </c>
      <c r="C2180" s="30" t="s">
        <v>3180</v>
      </c>
      <c r="D2180" s="2">
        <v>4951215064</v>
      </c>
      <c r="E2180" s="2" t="s">
        <v>14</v>
      </c>
      <c r="F2180" s="2" t="s">
        <v>3181</v>
      </c>
      <c r="G2180" s="28" t="s">
        <v>5</v>
      </c>
      <c r="H2180" s="2" t="s">
        <v>20</v>
      </c>
      <c r="I2180" s="2">
        <v>1</v>
      </c>
      <c r="J2180" s="2" t="s">
        <v>3182</v>
      </c>
      <c r="K2180" s="2">
        <v>20524.8</v>
      </c>
      <c r="L2180" s="35">
        <f t="shared" si="114"/>
        <v>65600647.391999997</v>
      </c>
      <c r="M2180" s="36">
        <v>480</v>
      </c>
      <c r="N2180" s="40">
        <v>21428.632443531798</v>
      </c>
      <c r="O2180" s="40">
        <v>21323.8275154004</v>
      </c>
      <c r="P2180" s="48">
        <v>29750.078028747401</v>
      </c>
      <c r="Q2180" s="40">
        <v>7227.9260780287505</v>
      </c>
      <c r="R2180" s="40">
        <v>37181.603696098602</v>
      </c>
      <c r="S2180" s="40">
        <v>23284.1724845996</v>
      </c>
      <c r="T2180" s="40">
        <v>30000</v>
      </c>
      <c r="U2180" s="40">
        <v>190574.127310062</v>
      </c>
      <c r="V2180" s="40">
        <v>0</v>
      </c>
      <c r="W2180" s="45">
        <f t="shared" si="115"/>
        <v>360770.36755646858</v>
      </c>
      <c r="X2180" s="46">
        <f t="shared" si="116"/>
        <v>0.54994940126225733</v>
      </c>
    </row>
    <row r="2181" spans="1:24" s="4" customFormat="1" ht="15" customHeight="1">
      <c r="A2181" s="28" t="s">
        <v>3019</v>
      </c>
      <c r="B2181" s="29">
        <v>3196.165</v>
      </c>
      <c r="C2181" s="30" t="s">
        <v>3180</v>
      </c>
      <c r="D2181" s="2">
        <v>4950722774</v>
      </c>
      <c r="E2181" s="2" t="s">
        <v>14</v>
      </c>
      <c r="F2181" s="2" t="s">
        <v>3181</v>
      </c>
      <c r="G2181" s="28" t="s">
        <v>5</v>
      </c>
      <c r="H2181" s="2" t="s">
        <v>20</v>
      </c>
      <c r="I2181" s="2">
        <v>1</v>
      </c>
      <c r="J2181" s="2" t="s">
        <v>3182</v>
      </c>
      <c r="K2181" s="2">
        <v>8988</v>
      </c>
      <c r="L2181" s="35">
        <f t="shared" si="114"/>
        <v>28727131.02</v>
      </c>
      <c r="M2181" s="36">
        <v>1680</v>
      </c>
      <c r="N2181" s="40">
        <v>75000.213552361398</v>
      </c>
      <c r="O2181" s="40">
        <v>74633.396303901405</v>
      </c>
      <c r="P2181" s="48">
        <v>104125.273100616</v>
      </c>
      <c r="Q2181" s="40">
        <v>25297.741273100601</v>
      </c>
      <c r="R2181" s="40">
        <v>130136.112936345</v>
      </c>
      <c r="S2181" s="40">
        <v>81494.603696098595</v>
      </c>
      <c r="T2181" s="40">
        <v>30000</v>
      </c>
      <c r="U2181" s="40">
        <v>667009.44558521605</v>
      </c>
      <c r="V2181" s="40">
        <v>0</v>
      </c>
      <c r="W2181" s="45">
        <f t="shared" si="115"/>
        <v>1187696.7864476391</v>
      </c>
      <c r="X2181" s="46">
        <f t="shared" si="116"/>
        <v>4.1344079421671367</v>
      </c>
    </row>
    <row r="2182" spans="1:24" s="4" customFormat="1" ht="15" customHeight="1">
      <c r="A2182" s="28" t="s">
        <v>3019</v>
      </c>
      <c r="B2182" s="29">
        <v>3196.165</v>
      </c>
      <c r="C2182" s="30" t="s">
        <v>3183</v>
      </c>
      <c r="D2182" s="2">
        <v>4951148391</v>
      </c>
      <c r="E2182" s="2" t="s">
        <v>14</v>
      </c>
      <c r="F2182" s="78" t="s">
        <v>3184</v>
      </c>
      <c r="G2182" s="28" t="s">
        <v>9</v>
      </c>
      <c r="H2182" s="2" t="s">
        <v>23</v>
      </c>
      <c r="I2182" s="2">
        <v>1</v>
      </c>
      <c r="J2182" s="2"/>
      <c r="K2182" s="2">
        <v>5066.6000000000004</v>
      </c>
      <c r="L2182" s="35">
        <f t="shared" si="114"/>
        <v>16193689.589000002</v>
      </c>
      <c r="M2182" s="36">
        <v>940</v>
      </c>
      <c r="N2182" s="40">
        <v>483121</v>
      </c>
      <c r="O2182" s="40">
        <v>637</v>
      </c>
      <c r="P2182" s="40">
        <v>0</v>
      </c>
      <c r="Q2182" s="48">
        <v>15720</v>
      </c>
      <c r="R2182" s="40">
        <v>101988</v>
      </c>
      <c r="S2182" s="40">
        <v>354356</v>
      </c>
      <c r="T2182" s="40">
        <v>30000</v>
      </c>
      <c r="U2182" s="40">
        <v>1367700</v>
      </c>
      <c r="V2182" s="40">
        <v>0</v>
      </c>
      <c r="W2182" s="45">
        <f t="shared" si="115"/>
        <v>2353522</v>
      </c>
      <c r="X2182" s="46">
        <f t="shared" si="116"/>
        <v>14.533574866092858</v>
      </c>
    </row>
    <row r="2183" spans="1:24" s="4" customFormat="1" ht="15" customHeight="1">
      <c r="A2183" s="28" t="s">
        <v>3019</v>
      </c>
      <c r="B2183" s="29">
        <v>3196.165</v>
      </c>
      <c r="C2183" s="30" t="s">
        <v>3185</v>
      </c>
      <c r="D2183" s="2">
        <v>4951157623</v>
      </c>
      <c r="E2183" s="2" t="s">
        <v>14</v>
      </c>
      <c r="F2183" s="2" t="s">
        <v>3186</v>
      </c>
      <c r="G2183" s="28" t="s">
        <v>9</v>
      </c>
      <c r="H2183" s="2" t="s">
        <v>23</v>
      </c>
      <c r="I2183" s="2">
        <v>1</v>
      </c>
      <c r="J2183" s="2"/>
      <c r="K2183" s="2">
        <v>566.75</v>
      </c>
      <c r="L2183" s="35">
        <f t="shared" si="114"/>
        <v>1811426.5137499999</v>
      </c>
      <c r="M2183" s="36">
        <v>25</v>
      </c>
      <c r="N2183" s="40">
        <v>1521037</v>
      </c>
      <c r="O2183" s="40">
        <v>32</v>
      </c>
      <c r="P2183" s="40">
        <v>2621</v>
      </c>
      <c r="Q2183" s="48">
        <v>1039</v>
      </c>
      <c r="R2183" s="40">
        <v>90803</v>
      </c>
      <c r="S2183" s="40">
        <v>354356</v>
      </c>
      <c r="T2183" s="40">
        <v>30000</v>
      </c>
      <c r="U2183" s="40">
        <v>51327.629911280099</v>
      </c>
      <c r="V2183" s="40">
        <v>0</v>
      </c>
      <c r="W2183" s="45">
        <f t="shared" si="115"/>
        <v>2051215.62991128</v>
      </c>
      <c r="X2183" s="46">
        <f t="shared" si="116"/>
        <v>113.23758454130555</v>
      </c>
    </row>
    <row r="2184" spans="1:24" s="4" customFormat="1" ht="15" customHeight="1">
      <c r="A2184" s="28" t="s">
        <v>3019</v>
      </c>
      <c r="B2184" s="29">
        <v>3196.165</v>
      </c>
      <c r="C2184" s="30" t="s">
        <v>3187</v>
      </c>
      <c r="D2184" s="2">
        <v>4949590097</v>
      </c>
      <c r="E2184" s="2" t="s">
        <v>14</v>
      </c>
      <c r="F2184" s="2" t="s">
        <v>3188</v>
      </c>
      <c r="G2184" s="28" t="s">
        <v>5</v>
      </c>
      <c r="H2184" s="2" t="s">
        <v>17</v>
      </c>
      <c r="I2184" s="2">
        <v>1</v>
      </c>
      <c r="J2184" s="2" t="s">
        <v>3189</v>
      </c>
      <c r="K2184" s="2">
        <v>68040</v>
      </c>
      <c r="L2184" s="35">
        <f t="shared" si="114"/>
        <v>217467066.59999999</v>
      </c>
      <c r="M2184" s="36">
        <v>18000</v>
      </c>
      <c r="N2184" s="40">
        <v>326117</v>
      </c>
      <c r="O2184" s="40">
        <v>425734</v>
      </c>
      <c r="P2184" s="40">
        <v>0</v>
      </c>
      <c r="Q2184" s="48">
        <v>110000</v>
      </c>
      <c r="R2184" s="40">
        <v>651974</v>
      </c>
      <c r="S2184" s="40">
        <v>354356</v>
      </c>
      <c r="T2184" s="40">
        <v>30000</v>
      </c>
      <c r="U2184" s="40">
        <v>5446550</v>
      </c>
      <c r="V2184" s="40">
        <v>0</v>
      </c>
      <c r="W2184" s="45">
        <f t="shared" si="115"/>
        <v>7344731</v>
      </c>
      <c r="X2184" s="46">
        <f t="shared" si="116"/>
        <v>3.3773992148933507</v>
      </c>
    </row>
    <row r="2185" spans="1:24" s="4" customFormat="1" ht="15" customHeight="1">
      <c r="A2185" s="28" t="s">
        <v>3019</v>
      </c>
      <c r="B2185" s="29">
        <v>3196.165</v>
      </c>
      <c r="C2185" s="30" t="s">
        <v>3190</v>
      </c>
      <c r="D2185" s="2">
        <v>4948304012</v>
      </c>
      <c r="E2185" s="2" t="s">
        <v>6</v>
      </c>
      <c r="F2185" s="2" t="s">
        <v>3191</v>
      </c>
      <c r="G2185" s="28" t="s">
        <v>5</v>
      </c>
      <c r="H2185" s="2" t="s">
        <v>20</v>
      </c>
      <c r="I2185" s="2">
        <v>1</v>
      </c>
      <c r="J2185" s="2" t="s">
        <v>3192</v>
      </c>
      <c r="K2185" s="2">
        <v>88992</v>
      </c>
      <c r="L2185" s="35">
        <f t="shared" si="114"/>
        <v>284433115.68000001</v>
      </c>
      <c r="M2185" s="36">
        <v>4320</v>
      </c>
      <c r="N2185" s="40">
        <v>128312.490566038</v>
      </c>
      <c r="O2185" s="40">
        <v>110215.018867925</v>
      </c>
      <c r="P2185" s="40">
        <v>0</v>
      </c>
      <c r="Q2185" s="48">
        <v>37358.490566037697</v>
      </c>
      <c r="R2185" s="40">
        <f>182175.962264151+67925</f>
        <v>250100.96226415099</v>
      </c>
      <c r="S2185" s="40">
        <v>120347.320754717</v>
      </c>
      <c r="T2185" s="40">
        <v>30000</v>
      </c>
      <c r="U2185" s="40">
        <v>169777.358490566</v>
      </c>
      <c r="V2185" s="40">
        <v>0</v>
      </c>
      <c r="W2185" s="45">
        <f t="shared" si="115"/>
        <v>846111.64150943467</v>
      </c>
      <c r="X2185" s="46">
        <f t="shared" si="116"/>
        <v>0.29747297162871433</v>
      </c>
    </row>
    <row r="2186" spans="1:24" s="4" customFormat="1" ht="15" customHeight="1">
      <c r="A2186" s="28" t="s">
        <v>3019</v>
      </c>
      <c r="B2186" s="29">
        <v>3196.165</v>
      </c>
      <c r="C2186" s="30" t="s">
        <v>3190</v>
      </c>
      <c r="D2186" s="2">
        <v>4948123279</v>
      </c>
      <c r="E2186" s="2" t="s">
        <v>6</v>
      </c>
      <c r="F2186" s="2" t="s">
        <v>3191</v>
      </c>
      <c r="G2186" s="28" t="s">
        <v>5</v>
      </c>
      <c r="H2186" s="2" t="s">
        <v>20</v>
      </c>
      <c r="I2186" s="2">
        <v>1</v>
      </c>
      <c r="J2186" s="2" t="s">
        <v>3192</v>
      </c>
      <c r="K2186" s="2">
        <v>173628</v>
      </c>
      <c r="L2186" s="35">
        <f t="shared" si="114"/>
        <v>554943736.62</v>
      </c>
      <c r="M2186" s="36">
        <v>8400</v>
      </c>
      <c r="N2186" s="40">
        <v>249496.509433962</v>
      </c>
      <c r="O2186" s="40">
        <v>214306.98113207499</v>
      </c>
      <c r="P2186" s="40">
        <v>0</v>
      </c>
      <c r="Q2186" s="48">
        <v>72641.509433962303</v>
      </c>
      <c r="R2186" s="40">
        <f>354231.037735849+132075</f>
        <v>486306.03773584898</v>
      </c>
      <c r="S2186" s="40">
        <v>234008.67924528301</v>
      </c>
      <c r="T2186" s="40">
        <v>30000</v>
      </c>
      <c r="U2186" s="40">
        <v>330122.64150943398</v>
      </c>
      <c r="V2186" s="40">
        <v>0</v>
      </c>
      <c r="W2186" s="45">
        <f t="shared" si="115"/>
        <v>1616882.3584905651</v>
      </c>
      <c r="X2186" s="46">
        <f t="shared" si="116"/>
        <v>0.29135969140556889</v>
      </c>
    </row>
    <row r="2187" spans="1:24" s="4" customFormat="1" ht="15" customHeight="1">
      <c r="A2187" s="28" t="s">
        <v>3019</v>
      </c>
      <c r="B2187" s="29">
        <v>3196.165</v>
      </c>
      <c r="C2187" s="30" t="s">
        <v>3193</v>
      </c>
      <c r="D2187" s="2">
        <v>4950764155</v>
      </c>
      <c r="E2187" s="2" t="s">
        <v>6</v>
      </c>
      <c r="F2187" s="2" t="s">
        <v>3194</v>
      </c>
      <c r="G2187" s="28" t="s">
        <v>9</v>
      </c>
      <c r="H2187" s="2" t="s">
        <v>23</v>
      </c>
      <c r="I2187" s="2">
        <v>4</v>
      </c>
      <c r="J2187" s="2"/>
      <c r="K2187" s="2">
        <v>7420</v>
      </c>
      <c r="L2187" s="35">
        <f t="shared" si="114"/>
        <v>23715544.300000001</v>
      </c>
      <c r="M2187" s="36">
        <f>1500+500</f>
        <v>2000</v>
      </c>
      <c r="N2187" s="40">
        <v>943758</v>
      </c>
      <c r="O2187" s="40">
        <v>1769</v>
      </c>
      <c r="P2187" s="40">
        <v>102758</v>
      </c>
      <c r="Q2187" s="48">
        <v>55309</v>
      </c>
      <c r="R2187" s="40">
        <v>139707</v>
      </c>
      <c r="S2187" s="40">
        <v>354356</v>
      </c>
      <c r="T2187" s="40">
        <v>30000</v>
      </c>
      <c r="U2187" s="40">
        <v>1367700</v>
      </c>
      <c r="V2187" s="40">
        <v>0</v>
      </c>
      <c r="W2187" s="45">
        <f t="shared" si="115"/>
        <v>2995357</v>
      </c>
      <c r="X2187" s="46">
        <f t="shared" si="116"/>
        <v>12.630353164611954</v>
      </c>
    </row>
    <row r="2188" spans="1:24" s="4" customFormat="1" ht="15" customHeight="1">
      <c r="A2188" s="28" t="s">
        <v>3019</v>
      </c>
      <c r="B2188" s="29">
        <v>3196.165</v>
      </c>
      <c r="C2188" s="30" t="s">
        <v>3195</v>
      </c>
      <c r="D2188" s="2">
        <v>4951268365</v>
      </c>
      <c r="E2188" s="2" t="s">
        <v>14</v>
      </c>
      <c r="F2188" s="2" t="s">
        <v>3196</v>
      </c>
      <c r="G2188" s="28" t="s">
        <v>9</v>
      </c>
      <c r="H2188" s="2" t="s">
        <v>23</v>
      </c>
      <c r="I2188" s="2">
        <v>1</v>
      </c>
      <c r="J2188" s="2"/>
      <c r="K2188" s="2">
        <v>2507.4</v>
      </c>
      <c r="L2188" s="35">
        <f t="shared" si="114"/>
        <v>8014064.1210000003</v>
      </c>
      <c r="M2188" s="36">
        <v>420</v>
      </c>
      <c r="N2188" s="40">
        <v>457631</v>
      </c>
      <c r="O2188" s="40">
        <v>286</v>
      </c>
      <c r="P2188" s="40">
        <v>0</v>
      </c>
      <c r="Q2188" s="48">
        <v>7044</v>
      </c>
      <c r="R2188" s="40">
        <v>91683.18</v>
      </c>
      <c r="S2188" s="40">
        <v>354356</v>
      </c>
      <c r="T2188" s="40">
        <v>30000</v>
      </c>
      <c r="U2188" s="40">
        <v>1367700</v>
      </c>
      <c r="V2188" s="40">
        <v>0</v>
      </c>
      <c r="W2188" s="45">
        <f t="shared" si="115"/>
        <v>2308700.1799999997</v>
      </c>
      <c r="X2188" s="46">
        <f t="shared" si="116"/>
        <v>28.808107161886774</v>
      </c>
    </row>
    <row r="2189" spans="1:24" s="4" customFormat="1" ht="15" customHeight="1">
      <c r="A2189" s="28" t="s">
        <v>3019</v>
      </c>
      <c r="B2189" s="29">
        <v>3196.165</v>
      </c>
      <c r="C2189" s="30" t="s">
        <v>3197</v>
      </c>
      <c r="D2189" s="2">
        <v>4950272172</v>
      </c>
      <c r="E2189" s="2" t="s">
        <v>14</v>
      </c>
      <c r="F2189" s="2" t="s">
        <v>3198</v>
      </c>
      <c r="G2189" s="28" t="s">
        <v>9</v>
      </c>
      <c r="H2189" s="2" t="s">
        <v>23</v>
      </c>
      <c r="I2189" s="2">
        <v>1</v>
      </c>
      <c r="J2189" s="2"/>
      <c r="K2189" s="2">
        <v>2485.29</v>
      </c>
      <c r="L2189" s="35">
        <f t="shared" si="114"/>
        <v>7943396.91285</v>
      </c>
      <c r="M2189" s="36">
        <v>764</v>
      </c>
      <c r="N2189" s="40">
        <v>589793</v>
      </c>
      <c r="O2189" s="40">
        <v>547</v>
      </c>
      <c r="P2189" s="40">
        <v>36000</v>
      </c>
      <c r="Q2189" s="48">
        <v>13700</v>
      </c>
      <c r="R2189" s="40">
        <v>98273</v>
      </c>
      <c r="S2189" s="40">
        <v>354356</v>
      </c>
      <c r="T2189" s="40">
        <v>30000</v>
      </c>
      <c r="U2189" s="40">
        <v>1568572.37008872</v>
      </c>
      <c r="V2189" s="40">
        <v>0</v>
      </c>
      <c r="W2189" s="45">
        <f t="shared" si="115"/>
        <v>2691241.3700887198</v>
      </c>
      <c r="X2189" s="46">
        <f t="shared" si="116"/>
        <v>33.88023284767641</v>
      </c>
    </row>
    <row r="2190" spans="1:24" s="4" customFormat="1" ht="15" customHeight="1">
      <c r="A2190" s="28" t="s">
        <v>3019</v>
      </c>
      <c r="B2190" s="29">
        <v>3196.165</v>
      </c>
      <c r="C2190" s="30" t="s">
        <v>3199</v>
      </c>
      <c r="D2190" s="2">
        <v>4951181394</v>
      </c>
      <c r="E2190" s="2" t="s">
        <v>6</v>
      </c>
      <c r="F2190" s="2" t="s">
        <v>3200</v>
      </c>
      <c r="G2190" s="28" t="s">
        <v>9</v>
      </c>
      <c r="H2190" s="2" t="s">
        <v>23</v>
      </c>
      <c r="I2190" s="2">
        <v>5</v>
      </c>
      <c r="J2190" s="2"/>
      <c r="K2190" s="2">
        <f>20030.4+206.52</f>
        <v>20236.920000000002</v>
      </c>
      <c r="L2190" s="35">
        <f t="shared" si="114"/>
        <v>64680535.411800005</v>
      </c>
      <c r="M2190" s="36">
        <v>1440</v>
      </c>
      <c r="N2190" s="40">
        <v>429055.11111111101</v>
      </c>
      <c r="O2190" s="40">
        <v>1012</v>
      </c>
      <c r="P2190" s="40">
        <v>0</v>
      </c>
      <c r="Q2190" s="48">
        <v>24647.333333333299</v>
      </c>
      <c r="R2190" s="40">
        <v>79967.111111111095</v>
      </c>
      <c r="S2190" s="40">
        <v>157491.555555556</v>
      </c>
      <c r="T2190" s="40">
        <v>30000</v>
      </c>
      <c r="U2190" s="40">
        <v>926888.88888888899</v>
      </c>
      <c r="V2190" s="40">
        <v>0</v>
      </c>
      <c r="W2190" s="45">
        <f t="shared" si="115"/>
        <v>1649062.0000000005</v>
      </c>
      <c r="X2190" s="46">
        <f t="shared" si="116"/>
        <v>2.5495490869099293</v>
      </c>
    </row>
    <row r="2191" spans="1:24" s="4" customFormat="1" ht="15" customHeight="1">
      <c r="A2191" s="28" t="s">
        <v>3019</v>
      </c>
      <c r="B2191" s="29">
        <v>3196.165</v>
      </c>
      <c r="C2191" s="30" t="s">
        <v>3199</v>
      </c>
      <c r="D2191" s="2">
        <v>4951186751</v>
      </c>
      <c r="E2191" s="2" t="s">
        <v>6</v>
      </c>
      <c r="F2191" s="2" t="s">
        <v>3200</v>
      </c>
      <c r="G2191" s="28" t="s">
        <v>9</v>
      </c>
      <c r="H2191" s="2" t="s">
        <v>23</v>
      </c>
      <c r="I2191" s="2">
        <v>5</v>
      </c>
      <c r="J2191" s="2"/>
      <c r="K2191" s="2">
        <f>15033.6+103.26</f>
        <v>15136.86</v>
      </c>
      <c r="L2191" s="35">
        <f t="shared" si="114"/>
        <v>48379902.141900003</v>
      </c>
      <c r="M2191" s="36">
        <v>2160</v>
      </c>
      <c r="N2191" s="40">
        <v>214527.555555556</v>
      </c>
      <c r="O2191" s="40">
        <v>1518</v>
      </c>
      <c r="P2191" s="40">
        <v>0</v>
      </c>
      <c r="Q2191" s="48">
        <v>36971</v>
      </c>
      <c r="R2191" s="40">
        <v>39983.555555555598</v>
      </c>
      <c r="S2191" s="40">
        <v>78745.777777777796</v>
      </c>
      <c r="T2191" s="40">
        <v>30000</v>
      </c>
      <c r="U2191" s="40">
        <v>463444.44444444397</v>
      </c>
      <c r="V2191" s="40">
        <v>0</v>
      </c>
      <c r="W2191" s="45">
        <f t="shared" si="115"/>
        <v>865190.33333333337</v>
      </c>
      <c r="X2191" s="46">
        <f t="shared" si="116"/>
        <v>1.7883259267364757</v>
      </c>
    </row>
    <row r="2192" spans="1:24" s="4" customFormat="1" ht="15" customHeight="1">
      <c r="A2192" s="28" t="s">
        <v>3019</v>
      </c>
      <c r="B2192" s="29">
        <v>3196.165</v>
      </c>
      <c r="C2192" s="30" t="s">
        <v>3199</v>
      </c>
      <c r="D2192" s="2">
        <v>4951293639</v>
      </c>
      <c r="E2192" s="2" t="s">
        <v>6</v>
      </c>
      <c r="F2192" s="2" t="s">
        <v>3200</v>
      </c>
      <c r="G2192" s="28" t="s">
        <v>9</v>
      </c>
      <c r="H2192" s="2" t="s">
        <v>23</v>
      </c>
      <c r="I2192" s="2">
        <v>5</v>
      </c>
      <c r="J2192" s="2"/>
      <c r="K2192" s="2">
        <f>10015.2+154.89</f>
        <v>10170.09</v>
      </c>
      <c r="L2192" s="35">
        <f t="shared" si="114"/>
        <v>32505285.704849999</v>
      </c>
      <c r="M2192" s="36">
        <v>720</v>
      </c>
      <c r="N2192" s="40">
        <v>321791.33333333302</v>
      </c>
      <c r="O2192" s="40">
        <v>506</v>
      </c>
      <c r="P2192" s="40">
        <v>0</v>
      </c>
      <c r="Q2192" s="48">
        <v>12323.666666666701</v>
      </c>
      <c r="R2192" s="40">
        <v>59975.333333333299</v>
      </c>
      <c r="S2192" s="40">
        <v>118118.66666666701</v>
      </c>
      <c r="T2192" s="40">
        <v>30000</v>
      </c>
      <c r="U2192" s="40">
        <v>695166.66666666698</v>
      </c>
      <c r="V2192" s="40">
        <v>0</v>
      </c>
      <c r="W2192" s="45">
        <f t="shared" si="115"/>
        <v>1237881.666666667</v>
      </c>
      <c r="X2192" s="46">
        <f t="shared" si="116"/>
        <v>3.8082473044744445</v>
      </c>
    </row>
    <row r="2193" spans="1:24" s="4" customFormat="1" ht="15" customHeight="1">
      <c r="A2193" s="28" t="s">
        <v>3019</v>
      </c>
      <c r="B2193" s="29">
        <v>3196.165</v>
      </c>
      <c r="C2193" s="30" t="s">
        <v>3201</v>
      </c>
      <c r="D2193" s="2">
        <v>4948416340</v>
      </c>
      <c r="E2193" s="2" t="s">
        <v>10</v>
      </c>
      <c r="F2193" s="2" t="s">
        <v>3202</v>
      </c>
      <c r="G2193" s="28" t="s">
        <v>5</v>
      </c>
      <c r="H2193" s="2" t="s">
        <v>17</v>
      </c>
      <c r="I2193" s="2">
        <v>1</v>
      </c>
      <c r="J2193" s="2" t="s">
        <v>3203</v>
      </c>
      <c r="K2193" s="2">
        <v>41068.800000000003</v>
      </c>
      <c r="L2193" s="35">
        <f t="shared" si="114"/>
        <v>131262661.15200001</v>
      </c>
      <c r="M2193" s="36">
        <v>16560</v>
      </c>
      <c r="N2193" s="40">
        <v>333205</v>
      </c>
      <c r="O2193" s="40">
        <v>530577</v>
      </c>
      <c r="P2193" s="40">
        <v>0</v>
      </c>
      <c r="Q2193" s="48">
        <v>124137</v>
      </c>
      <c r="R2193" s="40">
        <v>956457</v>
      </c>
      <c r="S2193" s="40">
        <v>708712</v>
      </c>
      <c r="T2193" s="40"/>
      <c r="U2193" s="40">
        <v>1600500</v>
      </c>
      <c r="V2193" s="40">
        <v>0</v>
      </c>
      <c r="W2193" s="45">
        <f t="shared" si="115"/>
        <v>4253588</v>
      </c>
      <c r="X2193" s="46">
        <f t="shared" si="116"/>
        <v>3.2405163529896854</v>
      </c>
    </row>
    <row r="2194" spans="1:24" s="4" customFormat="1" ht="15" customHeight="1">
      <c r="A2194" s="28" t="s">
        <v>3019</v>
      </c>
      <c r="B2194" s="29">
        <v>3196.165</v>
      </c>
      <c r="C2194" s="30" t="s">
        <v>3204</v>
      </c>
      <c r="D2194" s="2">
        <v>4948417581</v>
      </c>
      <c r="E2194" s="2" t="s">
        <v>10</v>
      </c>
      <c r="F2194" s="2" t="s">
        <v>3205</v>
      </c>
      <c r="G2194" s="28" t="s">
        <v>5</v>
      </c>
      <c r="H2194" s="2" t="s">
        <v>17</v>
      </c>
      <c r="I2194" s="2">
        <v>1</v>
      </c>
      <c r="J2194" s="2" t="s">
        <v>3206</v>
      </c>
      <c r="K2194" s="2">
        <v>41068.800000000003</v>
      </c>
      <c r="L2194" s="35">
        <f t="shared" si="114"/>
        <v>131262661.15200001</v>
      </c>
      <c r="M2194" s="36">
        <f>7360+9200</f>
        <v>16560</v>
      </c>
      <c r="N2194" s="40">
        <v>333205</v>
      </c>
      <c r="O2194" s="40">
        <v>530577</v>
      </c>
      <c r="P2194" s="40">
        <v>0</v>
      </c>
      <c r="Q2194" s="48">
        <v>124137</v>
      </c>
      <c r="R2194" s="40">
        <v>791222</v>
      </c>
      <c r="S2194" s="40">
        <v>708712</v>
      </c>
      <c r="T2194" s="40"/>
      <c r="U2194" s="40">
        <v>1600500</v>
      </c>
      <c r="V2194" s="40">
        <v>0</v>
      </c>
      <c r="W2194" s="45">
        <f t="shared" si="115"/>
        <v>4088353</v>
      </c>
      <c r="X2194" s="46">
        <f t="shared" si="116"/>
        <v>3.1146351629011653</v>
      </c>
    </row>
    <row r="2195" spans="1:24" s="4" customFormat="1" ht="15" customHeight="1">
      <c r="A2195" s="28" t="s">
        <v>3019</v>
      </c>
      <c r="B2195" s="29">
        <v>3196.165</v>
      </c>
      <c r="C2195" s="30" t="s">
        <v>3207</v>
      </c>
      <c r="D2195" s="2">
        <v>4948416340</v>
      </c>
      <c r="E2195" s="2" t="s">
        <v>10</v>
      </c>
      <c r="F2195" s="2" t="s">
        <v>3208</v>
      </c>
      <c r="G2195" s="28" t="s">
        <v>5</v>
      </c>
      <c r="H2195" s="2" t="s">
        <v>17</v>
      </c>
      <c r="I2195" s="2">
        <v>1</v>
      </c>
      <c r="J2195" s="2" t="s">
        <v>3209</v>
      </c>
      <c r="K2195" s="2">
        <v>41068.800000000003</v>
      </c>
      <c r="L2195" s="35">
        <f t="shared" si="114"/>
        <v>131262661.15200001</v>
      </c>
      <c r="M2195" s="36">
        <v>16560</v>
      </c>
      <c r="N2195" s="40">
        <v>333205</v>
      </c>
      <c r="O2195" s="40">
        <v>530577</v>
      </c>
      <c r="P2195" s="40">
        <v>0</v>
      </c>
      <c r="Q2195" s="48">
        <v>124137</v>
      </c>
      <c r="R2195" s="40">
        <v>956457</v>
      </c>
      <c r="S2195" s="40">
        <v>708712</v>
      </c>
      <c r="T2195" s="40"/>
      <c r="U2195" s="40">
        <v>1600500</v>
      </c>
      <c r="V2195" s="40">
        <v>0</v>
      </c>
      <c r="W2195" s="45">
        <f t="shared" si="115"/>
        <v>4253588</v>
      </c>
      <c r="X2195" s="46">
        <f t="shared" si="116"/>
        <v>3.2405163529896854</v>
      </c>
    </row>
    <row r="2196" spans="1:24" s="4" customFormat="1" ht="15" customHeight="1">
      <c r="A2196" s="28" t="s">
        <v>3019</v>
      </c>
      <c r="B2196" s="29">
        <v>3196.165</v>
      </c>
      <c r="C2196" s="30" t="s">
        <v>3210</v>
      </c>
      <c r="D2196" s="2">
        <v>4950526277</v>
      </c>
      <c r="E2196" s="2" t="s">
        <v>10</v>
      </c>
      <c r="F2196" s="2" t="s">
        <v>3211</v>
      </c>
      <c r="G2196" s="28" t="s">
        <v>9</v>
      </c>
      <c r="H2196" s="2" t="s">
        <v>23</v>
      </c>
      <c r="I2196" s="2">
        <v>4</v>
      </c>
      <c r="J2196" s="2"/>
      <c r="K2196" s="2">
        <v>36520</v>
      </c>
      <c r="L2196" s="35">
        <f t="shared" si="114"/>
        <v>116723945.8</v>
      </c>
      <c r="M2196" s="36">
        <v>4000</v>
      </c>
      <c r="N2196" s="40">
        <v>933461</v>
      </c>
      <c r="O2196" s="40">
        <v>2828</v>
      </c>
      <c r="P2196" s="40">
        <v>0</v>
      </c>
      <c r="Q2196" s="48">
        <v>88833</v>
      </c>
      <c r="R2196" s="40">
        <v>173797</v>
      </c>
      <c r="S2196" s="40">
        <v>708712</v>
      </c>
      <c r="T2196" s="40"/>
      <c r="U2196" s="40">
        <v>834200</v>
      </c>
      <c r="V2196" s="40">
        <v>0</v>
      </c>
      <c r="W2196" s="45">
        <f t="shared" si="115"/>
        <v>2741831</v>
      </c>
      <c r="X2196" s="46">
        <f t="shared" si="116"/>
        <v>2.3489875888003096</v>
      </c>
    </row>
    <row r="2197" spans="1:24" s="4" customFormat="1" ht="15" customHeight="1">
      <c r="A2197" s="28" t="s">
        <v>3019</v>
      </c>
      <c r="B2197" s="29">
        <v>3196.165</v>
      </c>
      <c r="C2197" s="30" t="s">
        <v>3212</v>
      </c>
      <c r="D2197" s="2">
        <v>4951148391</v>
      </c>
      <c r="E2197" s="2" t="s">
        <v>14</v>
      </c>
      <c r="F2197" s="2" t="s">
        <v>3213</v>
      </c>
      <c r="G2197" s="28" t="s">
        <v>5</v>
      </c>
      <c r="H2197" s="2" t="s">
        <v>20</v>
      </c>
      <c r="I2197" s="2">
        <v>1</v>
      </c>
      <c r="J2197" s="2" t="s">
        <v>3214</v>
      </c>
      <c r="K2197" s="2">
        <v>2396.6</v>
      </c>
      <c r="L2197" s="35">
        <f t="shared" si="114"/>
        <v>7659929.0389999999</v>
      </c>
      <c r="M2197" s="36">
        <v>460</v>
      </c>
      <c r="N2197" s="40">
        <v>21758.913151364799</v>
      </c>
      <c r="O2197" s="40">
        <v>18521.106699751901</v>
      </c>
      <c r="P2197" s="40">
        <v>0</v>
      </c>
      <c r="Q2197" s="48">
        <v>6277.9156327543396</v>
      </c>
      <c r="R2197" s="40">
        <f>26091.9875930521+11414</f>
        <v>37505.987593052101</v>
      </c>
      <c r="S2197" s="40">
        <v>20223.791563275401</v>
      </c>
      <c r="T2197" s="40">
        <v>30000</v>
      </c>
      <c r="U2197" s="40">
        <v>165525.806451613</v>
      </c>
      <c r="V2197" s="40">
        <v>0</v>
      </c>
      <c r="W2197" s="45">
        <f t="shared" si="115"/>
        <v>299813.52109181153</v>
      </c>
      <c r="X2197" s="46">
        <f t="shared" si="116"/>
        <v>3.914050894797219</v>
      </c>
    </row>
    <row r="2198" spans="1:24" s="4" customFormat="1" ht="15" customHeight="1">
      <c r="A2198" s="28" t="s">
        <v>3019</v>
      </c>
      <c r="B2198" s="29">
        <v>3196.165</v>
      </c>
      <c r="C2198" s="30" t="s">
        <v>3212</v>
      </c>
      <c r="D2198" s="2">
        <v>4951157622</v>
      </c>
      <c r="E2198" s="2" t="s">
        <v>14</v>
      </c>
      <c r="F2198" s="2" t="s">
        <v>3213</v>
      </c>
      <c r="G2198" s="28" t="s">
        <v>5</v>
      </c>
      <c r="H2198" s="2" t="s">
        <v>20</v>
      </c>
      <c r="I2198" s="2">
        <v>1</v>
      </c>
      <c r="J2198" s="2" t="s">
        <v>3214</v>
      </c>
      <c r="K2198" s="2">
        <v>3397.5</v>
      </c>
      <c r="L2198" s="35">
        <f t="shared" si="114"/>
        <v>10858970.5875</v>
      </c>
      <c r="M2198" s="36">
        <v>2250</v>
      </c>
      <c r="N2198" s="40">
        <v>106429.466501241</v>
      </c>
      <c r="O2198" s="40">
        <v>90592.369727047204</v>
      </c>
      <c r="P2198" s="40">
        <v>0</v>
      </c>
      <c r="Q2198" s="48">
        <v>30707.1960297767</v>
      </c>
      <c r="R2198" s="40">
        <f>127623.85235732+55831</f>
        <v>183454.85235731999</v>
      </c>
      <c r="S2198" s="40">
        <v>98920.719602977697</v>
      </c>
      <c r="T2198" s="40">
        <v>30000</v>
      </c>
      <c r="U2198" s="40">
        <v>809637.09677419404</v>
      </c>
      <c r="V2198" s="40">
        <v>0</v>
      </c>
      <c r="W2198" s="45">
        <f t="shared" si="115"/>
        <v>1349741.7009925568</v>
      </c>
      <c r="X2198" s="46">
        <f t="shared" si="116"/>
        <v>12.429738989681711</v>
      </c>
    </row>
    <row r="2199" spans="1:24" s="4" customFormat="1" ht="15" customHeight="1">
      <c r="A2199" s="28" t="s">
        <v>3019</v>
      </c>
      <c r="B2199" s="29">
        <v>3196.165</v>
      </c>
      <c r="C2199" s="30" t="s">
        <v>3212</v>
      </c>
      <c r="D2199" s="2">
        <v>4951275454</v>
      </c>
      <c r="E2199" s="2" t="s">
        <v>14</v>
      </c>
      <c r="F2199" s="2" t="s">
        <v>3213</v>
      </c>
      <c r="G2199" s="28" t="s">
        <v>5</v>
      </c>
      <c r="H2199" s="2" t="s">
        <v>20</v>
      </c>
      <c r="I2199" s="2">
        <v>1</v>
      </c>
      <c r="J2199" s="2" t="s">
        <v>3214</v>
      </c>
      <c r="K2199" s="2">
        <v>5216</v>
      </c>
      <c r="L2199" s="35">
        <f t="shared" si="114"/>
        <v>16671196.640000001</v>
      </c>
      <c r="M2199" s="36">
        <v>1600</v>
      </c>
      <c r="N2199" s="40">
        <v>75683.176178660098</v>
      </c>
      <c r="O2199" s="40">
        <v>64421.2406947891</v>
      </c>
      <c r="P2199" s="40">
        <v>0</v>
      </c>
      <c r="Q2199" s="48">
        <v>21836.228287841201</v>
      </c>
      <c r="R2199" s="40">
        <f>90754.7394540943+39702</f>
        <v>130456.73945409431</v>
      </c>
      <c r="S2199" s="40">
        <v>70343.622828784093</v>
      </c>
      <c r="T2199" s="40">
        <v>30000</v>
      </c>
      <c r="U2199" s="40">
        <v>575741.93548387103</v>
      </c>
      <c r="V2199" s="40">
        <v>0</v>
      </c>
      <c r="W2199" s="45">
        <f t="shared" si="115"/>
        <v>968482.94292803982</v>
      </c>
      <c r="X2199" s="46">
        <f t="shared" si="116"/>
        <v>5.8093186940421075</v>
      </c>
    </row>
    <row r="2200" spans="1:24" s="4" customFormat="1" ht="15" customHeight="1">
      <c r="A2200" s="28" t="s">
        <v>3019</v>
      </c>
      <c r="B2200" s="29">
        <v>3196.165</v>
      </c>
      <c r="C2200" s="30" t="s">
        <v>3212</v>
      </c>
      <c r="D2200" s="2">
        <v>4951348206</v>
      </c>
      <c r="E2200" s="2" t="s">
        <v>14</v>
      </c>
      <c r="F2200" s="2" t="s">
        <v>3213</v>
      </c>
      <c r="G2200" s="28" t="s">
        <v>5</v>
      </c>
      <c r="H2200" s="2" t="s">
        <v>20</v>
      </c>
      <c r="I2200" s="2">
        <v>1</v>
      </c>
      <c r="J2200" s="2" t="s">
        <v>3214</v>
      </c>
      <c r="K2200" s="2">
        <v>3397.5</v>
      </c>
      <c r="L2200" s="35">
        <f t="shared" si="114"/>
        <v>10858970.5875</v>
      </c>
      <c r="M2200" s="36">
        <v>2250</v>
      </c>
      <c r="N2200" s="40">
        <v>106429.466501241</v>
      </c>
      <c r="O2200" s="40">
        <v>90592.369727047204</v>
      </c>
      <c r="P2200" s="40">
        <v>0</v>
      </c>
      <c r="Q2200" s="48">
        <v>30707.1960297767</v>
      </c>
      <c r="R2200" s="40">
        <f>127623.85235732+55831</f>
        <v>183454.85235731999</v>
      </c>
      <c r="S2200" s="40">
        <v>98920.719602977697</v>
      </c>
      <c r="T2200" s="40">
        <v>30000</v>
      </c>
      <c r="U2200" s="40">
        <v>809637.09677419404</v>
      </c>
      <c r="V2200" s="40">
        <v>0</v>
      </c>
      <c r="W2200" s="45">
        <f t="shared" si="115"/>
        <v>1349741.7009925568</v>
      </c>
      <c r="X2200" s="46">
        <f t="shared" si="116"/>
        <v>12.429738989681711</v>
      </c>
    </row>
    <row r="2201" spans="1:24" s="4" customFormat="1" ht="15" customHeight="1">
      <c r="A2201" s="28" t="s">
        <v>3019</v>
      </c>
      <c r="B2201" s="29">
        <v>3196.165</v>
      </c>
      <c r="C2201" s="30" t="s">
        <v>3212</v>
      </c>
      <c r="D2201" s="2">
        <v>4951411351</v>
      </c>
      <c r="E2201" s="2" t="s">
        <v>14</v>
      </c>
      <c r="F2201" s="2" t="s">
        <v>3213</v>
      </c>
      <c r="G2201" s="28" t="s">
        <v>5</v>
      </c>
      <c r="H2201" s="2" t="s">
        <v>20</v>
      </c>
      <c r="I2201" s="2">
        <v>1</v>
      </c>
      <c r="J2201" s="2" t="s">
        <v>3214</v>
      </c>
      <c r="K2201" s="2">
        <v>2699.2</v>
      </c>
      <c r="L2201" s="35">
        <f t="shared" si="114"/>
        <v>8627088.568</v>
      </c>
      <c r="M2201" s="36">
        <v>560</v>
      </c>
      <c r="N2201" s="40">
        <v>26489.111662530999</v>
      </c>
      <c r="O2201" s="40">
        <v>22547.434243176202</v>
      </c>
      <c r="P2201" s="40">
        <v>0</v>
      </c>
      <c r="Q2201" s="48">
        <v>7642.6799007444197</v>
      </c>
      <c r="R2201" s="40">
        <f>31764.158808933+13896</f>
        <v>45660.158808933003</v>
      </c>
      <c r="S2201" s="40">
        <v>24620.267990074401</v>
      </c>
      <c r="T2201" s="40">
        <v>30000</v>
      </c>
      <c r="U2201" s="40">
        <v>201509.67741935499</v>
      </c>
      <c r="V2201" s="40">
        <v>0</v>
      </c>
      <c r="W2201" s="45">
        <f t="shared" si="115"/>
        <v>358469.330024814</v>
      </c>
      <c r="X2201" s="46">
        <f t="shared" si="116"/>
        <v>4.1551599615479224</v>
      </c>
    </row>
    <row r="2202" spans="1:24" s="4" customFormat="1" ht="15" customHeight="1">
      <c r="A2202" s="28" t="s">
        <v>3019</v>
      </c>
      <c r="B2202" s="29">
        <v>3196.165</v>
      </c>
      <c r="C2202" s="30" t="s">
        <v>3212</v>
      </c>
      <c r="D2202" s="2">
        <v>4951325265</v>
      </c>
      <c r="E2202" s="2" t="s">
        <v>14</v>
      </c>
      <c r="F2202" s="2" t="s">
        <v>3213</v>
      </c>
      <c r="G2202" s="28" t="s">
        <v>5</v>
      </c>
      <c r="H2202" s="2" t="s">
        <v>20</v>
      </c>
      <c r="I2202" s="2">
        <v>1</v>
      </c>
      <c r="J2202" s="2" t="s">
        <v>3214</v>
      </c>
      <c r="K2202" s="2">
        <v>2133.6</v>
      </c>
      <c r="L2202" s="35">
        <f t="shared" si="114"/>
        <v>6819337.6439999994</v>
      </c>
      <c r="M2202" s="36">
        <v>840</v>
      </c>
      <c r="N2202" s="40">
        <v>39733.6674937965</v>
      </c>
      <c r="O2202" s="40">
        <v>33821.151364764301</v>
      </c>
      <c r="P2202" s="40">
        <v>0</v>
      </c>
      <c r="Q2202" s="48">
        <v>11464.0198511166</v>
      </c>
      <c r="R2202" s="40">
        <f>47646.2382133995+20844</f>
        <v>68490.238213399498</v>
      </c>
      <c r="S2202" s="40">
        <v>36930.401985111697</v>
      </c>
      <c r="T2202" s="40">
        <v>30000</v>
      </c>
      <c r="U2202" s="40">
        <v>302264.51612903201</v>
      </c>
      <c r="V2202" s="40">
        <v>0</v>
      </c>
      <c r="W2202" s="45">
        <f t="shared" si="115"/>
        <v>522703.99503722059</v>
      </c>
      <c r="X2202" s="46">
        <f t="shared" si="116"/>
        <v>7.6650258767744424</v>
      </c>
    </row>
    <row r="2203" spans="1:24" s="4" customFormat="1" ht="15" customHeight="1">
      <c r="A2203" s="28" t="s">
        <v>3019</v>
      </c>
      <c r="B2203" s="29">
        <v>3196.165</v>
      </c>
      <c r="C2203" s="30" t="s">
        <v>3212</v>
      </c>
      <c r="D2203" s="2">
        <v>4951647402</v>
      </c>
      <c r="E2203" s="2" t="s">
        <v>14</v>
      </c>
      <c r="F2203" s="2" t="s">
        <v>3213</v>
      </c>
      <c r="G2203" s="28" t="s">
        <v>5</v>
      </c>
      <c r="H2203" s="2" t="s">
        <v>20</v>
      </c>
      <c r="I2203" s="2">
        <v>1</v>
      </c>
      <c r="J2203" s="2" t="s">
        <v>3214</v>
      </c>
      <c r="K2203" s="2">
        <v>482</v>
      </c>
      <c r="L2203" s="35">
        <f t="shared" si="114"/>
        <v>1540551.53</v>
      </c>
      <c r="M2203" s="36">
        <v>100</v>
      </c>
      <c r="N2203" s="40">
        <v>4730.1985111662498</v>
      </c>
      <c r="O2203" s="48">
        <v>4026.3275434243201</v>
      </c>
      <c r="P2203" s="40">
        <v>0</v>
      </c>
      <c r="Q2203" s="48">
        <v>1364.76426799007</v>
      </c>
      <c r="R2203" s="40">
        <v>8153.1712158808896</v>
      </c>
      <c r="S2203" s="40">
        <v>4396.4764267990104</v>
      </c>
      <c r="T2203" s="40">
        <v>30000</v>
      </c>
      <c r="U2203" s="40">
        <v>35983.870967741903</v>
      </c>
      <c r="V2203" s="40">
        <v>0</v>
      </c>
      <c r="W2203" s="45">
        <f t="shared" si="115"/>
        <v>88654.808933002438</v>
      </c>
      <c r="X2203" s="46">
        <f t="shared" si="116"/>
        <v>5.7547447914970062</v>
      </c>
    </row>
    <row r="2204" spans="1:24" s="4" customFormat="1" ht="15" customHeight="1">
      <c r="A2204" s="28" t="s">
        <v>3019</v>
      </c>
      <c r="B2204" s="29">
        <v>3196.165</v>
      </c>
      <c r="C2204" s="30" t="s">
        <v>3215</v>
      </c>
      <c r="D2204" s="2">
        <v>4951268367</v>
      </c>
      <c r="E2204" s="2" t="s">
        <v>14</v>
      </c>
      <c r="F2204" s="2" t="s">
        <v>3216</v>
      </c>
      <c r="G2204" s="28" t="s">
        <v>5</v>
      </c>
      <c r="H2204" s="2" t="s">
        <v>17</v>
      </c>
      <c r="I2204" s="2">
        <v>1</v>
      </c>
      <c r="J2204" s="2" t="s">
        <v>3217</v>
      </c>
      <c r="K2204" s="2">
        <v>34770.75</v>
      </c>
      <c r="L2204" s="35">
        <f t="shared" si="114"/>
        <v>111133054.17375</v>
      </c>
      <c r="M2204" s="36">
        <v>6475</v>
      </c>
      <c r="N2204" s="40">
        <v>122346.25031257801</v>
      </c>
      <c r="O2204" s="48">
        <v>137865.848962241</v>
      </c>
      <c r="P2204" s="40">
        <v>0</v>
      </c>
      <c r="Q2204" s="48">
        <v>35621.405351337802</v>
      </c>
      <c r="R2204" s="40">
        <f>155052.205551388+64766</f>
        <v>219818.205551388</v>
      </c>
      <c r="S2204" s="40">
        <v>114751.442860715</v>
      </c>
      <c r="T2204" s="40">
        <v>30000</v>
      </c>
      <c r="U2204" s="40">
        <v>2032330.7076769201</v>
      </c>
      <c r="V2204" s="40">
        <v>0</v>
      </c>
      <c r="W2204" s="45">
        <f t="shared" si="115"/>
        <v>2692733.8607151797</v>
      </c>
      <c r="X2204" s="46">
        <f t="shared" si="116"/>
        <v>2.4229819658382183</v>
      </c>
    </row>
    <row r="2205" spans="1:24" s="4" customFormat="1" ht="15" customHeight="1">
      <c r="A2205" s="28" t="s">
        <v>3019</v>
      </c>
      <c r="B2205" s="29">
        <v>3196.165</v>
      </c>
      <c r="C2205" s="30" t="s">
        <v>3215</v>
      </c>
      <c r="D2205" s="2">
        <v>4951149025</v>
      </c>
      <c r="E2205" s="2" t="s">
        <v>14</v>
      </c>
      <c r="F2205" s="2" t="s">
        <v>3216</v>
      </c>
      <c r="G2205" s="28" t="s">
        <v>5</v>
      </c>
      <c r="H2205" s="2" t="s">
        <v>17</v>
      </c>
      <c r="I2205" s="2">
        <v>1</v>
      </c>
      <c r="J2205" s="2" t="s">
        <v>3217</v>
      </c>
      <c r="K2205" s="2">
        <v>3978</v>
      </c>
      <c r="L2205" s="35">
        <f t="shared" si="114"/>
        <v>12714344.369999999</v>
      </c>
      <c r="M2205" s="36">
        <v>900</v>
      </c>
      <c r="N2205" s="40">
        <v>17005.656414103501</v>
      </c>
      <c r="O2205" s="48">
        <v>19162.820705176298</v>
      </c>
      <c r="P2205" s="40">
        <v>0</v>
      </c>
      <c r="Q2205" s="48">
        <v>4951.2378094523601</v>
      </c>
      <c r="R2205" s="40">
        <f>21551.6579144786+9002</f>
        <v>30553.657914478601</v>
      </c>
      <c r="S2205" s="40">
        <v>15950.0075018755</v>
      </c>
      <c r="T2205" s="40">
        <v>30000</v>
      </c>
      <c r="U2205" s="40">
        <v>282486.12153038301</v>
      </c>
      <c r="V2205" s="40">
        <v>0</v>
      </c>
      <c r="W2205" s="45">
        <f t="shared" si="115"/>
        <v>400109.50187546929</v>
      </c>
      <c r="X2205" s="46">
        <f t="shared" si="116"/>
        <v>3.1469141485544752</v>
      </c>
    </row>
    <row r="2206" spans="1:24" s="4" customFormat="1" ht="15" customHeight="1">
      <c r="A2206" s="28" t="s">
        <v>3019</v>
      </c>
      <c r="B2206" s="29">
        <v>3196.165</v>
      </c>
      <c r="C2206" s="30" t="s">
        <v>3215</v>
      </c>
      <c r="D2206" s="2">
        <v>4951325027</v>
      </c>
      <c r="E2206" s="2" t="s">
        <v>14</v>
      </c>
      <c r="F2206" s="2" t="s">
        <v>3216</v>
      </c>
      <c r="G2206" s="28" t="s">
        <v>5</v>
      </c>
      <c r="H2206" s="2" t="s">
        <v>17</v>
      </c>
      <c r="I2206" s="2">
        <v>1</v>
      </c>
      <c r="J2206" s="2" t="s">
        <v>3217</v>
      </c>
      <c r="K2206" s="2">
        <v>2856.6</v>
      </c>
      <c r="L2206" s="35">
        <f t="shared" si="114"/>
        <v>9130164.9389999993</v>
      </c>
      <c r="M2206" s="36">
        <v>540</v>
      </c>
      <c r="N2206" s="40">
        <v>10203.393848462099</v>
      </c>
      <c r="O2206" s="48">
        <v>11497.6924231058</v>
      </c>
      <c r="P2206" s="40">
        <v>0</v>
      </c>
      <c r="Q2206" s="48">
        <v>2970.7426856714201</v>
      </c>
      <c r="R2206" s="40">
        <f>12930.9947486872+5401</f>
        <v>18331.994748687201</v>
      </c>
      <c r="S2206" s="40">
        <v>9570.0045011252805</v>
      </c>
      <c r="T2206" s="40">
        <v>30000</v>
      </c>
      <c r="U2206" s="40">
        <v>169491.67291823</v>
      </c>
      <c r="V2206" s="40">
        <v>0</v>
      </c>
      <c r="W2206" s="45">
        <f t="shared" si="115"/>
        <v>252065.50112528179</v>
      </c>
      <c r="X2206" s="46">
        <f t="shared" si="116"/>
        <v>2.7607989867583904</v>
      </c>
    </row>
    <row r="2207" spans="1:24" s="4" customFormat="1" ht="15" customHeight="1">
      <c r="A2207" s="28" t="s">
        <v>3019</v>
      </c>
      <c r="B2207" s="29">
        <v>3196.165</v>
      </c>
      <c r="C2207" s="30" t="s">
        <v>3215</v>
      </c>
      <c r="D2207" s="2">
        <v>4951325027</v>
      </c>
      <c r="E2207" s="2" t="s">
        <v>14</v>
      </c>
      <c r="F2207" s="2" t="s">
        <v>3216</v>
      </c>
      <c r="G2207" s="28" t="s">
        <v>5</v>
      </c>
      <c r="H2207" s="2" t="s">
        <v>17</v>
      </c>
      <c r="I2207" s="2">
        <v>1</v>
      </c>
      <c r="J2207" s="2" t="s">
        <v>3217</v>
      </c>
      <c r="K2207" s="2">
        <v>7812</v>
      </c>
      <c r="L2207" s="35">
        <f t="shared" si="114"/>
        <v>24968440.98</v>
      </c>
      <c r="M2207" s="36">
        <v>3600</v>
      </c>
      <c r="N2207" s="40">
        <v>68022.625656414093</v>
      </c>
      <c r="O2207" s="48">
        <v>76651.282820705193</v>
      </c>
      <c r="P2207" s="40">
        <v>0</v>
      </c>
      <c r="Q2207" s="48">
        <v>19804.951237809499</v>
      </c>
      <c r="R2207" s="40">
        <f>86206.6316579145+36009</f>
        <v>122215.63165791451</v>
      </c>
      <c r="S2207" s="40">
        <v>63800.030007501897</v>
      </c>
      <c r="T2207" s="40">
        <v>30000</v>
      </c>
      <c r="U2207" s="40">
        <v>1129944.4861215299</v>
      </c>
      <c r="V2207" s="40">
        <v>0</v>
      </c>
      <c r="W2207" s="45">
        <f t="shared" si="115"/>
        <v>1510439.0075018751</v>
      </c>
      <c r="X2207" s="46">
        <f t="shared" si="116"/>
        <v>6.0493925460214104</v>
      </c>
    </row>
    <row r="2208" spans="1:24" s="4" customFormat="1" ht="15" customHeight="1">
      <c r="A2208" s="28" t="s">
        <v>3019</v>
      </c>
      <c r="B2208" s="29">
        <v>3196.165</v>
      </c>
      <c r="C2208" s="30" t="s">
        <v>3215</v>
      </c>
      <c r="D2208" s="2">
        <v>4951325027</v>
      </c>
      <c r="E2208" s="2" t="s">
        <v>14</v>
      </c>
      <c r="F2208" s="2" t="s">
        <v>3216</v>
      </c>
      <c r="G2208" s="28" t="s">
        <v>5</v>
      </c>
      <c r="H2208" s="2" t="s">
        <v>17</v>
      </c>
      <c r="I2208" s="2">
        <v>1</v>
      </c>
      <c r="J2208" s="2" t="s">
        <v>3217</v>
      </c>
      <c r="K2208" s="2">
        <v>21168</v>
      </c>
      <c r="L2208" s="35">
        <f t="shared" si="114"/>
        <v>67656420.719999999</v>
      </c>
      <c r="M2208" s="36">
        <v>8400</v>
      </c>
      <c r="N2208" s="40">
        <v>158719.45986496599</v>
      </c>
      <c r="O2208" s="48">
        <v>178852.99324831201</v>
      </c>
      <c r="P2208" s="40">
        <v>0</v>
      </c>
      <c r="Q2208" s="48">
        <v>46211.552888222097</v>
      </c>
      <c r="R2208" s="40">
        <f>201148.8072018+84001</f>
        <v>285149.80720179999</v>
      </c>
      <c r="S2208" s="40">
        <v>148866.73668417099</v>
      </c>
      <c r="T2208" s="40">
        <v>30000</v>
      </c>
      <c r="U2208" s="40">
        <v>2636537.1342835701</v>
      </c>
      <c r="V2208" s="40">
        <v>0</v>
      </c>
      <c r="W2208" s="45">
        <f t="shared" si="115"/>
        <v>3484337.6841710415</v>
      </c>
      <c r="X2208" s="46">
        <f t="shared" si="116"/>
        <v>5.1500473230636512</v>
      </c>
    </row>
    <row r="2209" spans="1:24" s="4" customFormat="1" ht="15" customHeight="1">
      <c r="A2209" s="28" t="s">
        <v>3019</v>
      </c>
      <c r="B2209" s="29">
        <v>3196.165</v>
      </c>
      <c r="C2209" s="30" t="s">
        <v>3215</v>
      </c>
      <c r="D2209" s="2">
        <v>4950365723</v>
      </c>
      <c r="E2209" s="2" t="s">
        <v>14</v>
      </c>
      <c r="F2209" s="2" t="s">
        <v>3216</v>
      </c>
      <c r="G2209" s="28" t="s">
        <v>5</v>
      </c>
      <c r="H2209" s="2" t="s">
        <v>17</v>
      </c>
      <c r="I2209" s="2">
        <v>1</v>
      </c>
      <c r="J2209" s="2" t="s">
        <v>3217</v>
      </c>
      <c r="K2209" s="2">
        <v>2412.8000000000002</v>
      </c>
      <c r="L2209" s="35">
        <f t="shared" si="114"/>
        <v>7711706.9120000005</v>
      </c>
      <c r="M2209" s="36">
        <v>80</v>
      </c>
      <c r="N2209" s="40">
        <v>1511.6139034758701</v>
      </c>
      <c r="O2209" s="48">
        <v>1703.36184046012</v>
      </c>
      <c r="P2209" s="40">
        <v>0</v>
      </c>
      <c r="Q2209" s="48">
        <v>440.11002750687697</v>
      </c>
      <c r="R2209" s="40">
        <f>1915.70292573143+800</f>
        <v>2715.7029257314298</v>
      </c>
      <c r="S2209" s="40">
        <v>1417.77844461115</v>
      </c>
      <c r="T2209" s="40">
        <v>30000</v>
      </c>
      <c r="U2209" s="40">
        <v>25109.8774693673</v>
      </c>
      <c r="V2209" s="40">
        <v>0</v>
      </c>
      <c r="W2209" s="45">
        <f t="shared" si="115"/>
        <v>62898.44461115275</v>
      </c>
      <c r="X2209" s="46">
        <f t="shared" si="116"/>
        <v>0.81562286182424815</v>
      </c>
    </row>
    <row r="2210" spans="1:24" s="4" customFormat="1" ht="15" customHeight="1">
      <c r="A2210" s="28" t="s">
        <v>3019</v>
      </c>
      <c r="B2210" s="29">
        <v>3196.165</v>
      </c>
      <c r="C2210" s="30" t="s">
        <v>3218</v>
      </c>
      <c r="D2210" s="2">
        <v>4951408242</v>
      </c>
      <c r="E2210" s="2" t="s">
        <v>18</v>
      </c>
      <c r="F2210" s="2" t="s">
        <v>3219</v>
      </c>
      <c r="G2210" s="28" t="s">
        <v>9</v>
      </c>
      <c r="H2210" s="2" t="s">
        <v>23</v>
      </c>
      <c r="I2210" s="2">
        <v>2</v>
      </c>
      <c r="J2210" s="2"/>
      <c r="K2210" s="2">
        <v>6400</v>
      </c>
      <c r="L2210" s="35">
        <f t="shared" si="114"/>
        <v>20455456</v>
      </c>
      <c r="M2210" s="36">
        <v>2000</v>
      </c>
      <c r="N2210" s="40">
        <v>577546</v>
      </c>
      <c r="O2210" s="40">
        <v>1303</v>
      </c>
      <c r="P2210" s="40">
        <v>0</v>
      </c>
      <c r="Q2210" s="48">
        <v>32649</v>
      </c>
      <c r="R2210" s="40">
        <v>118028</v>
      </c>
      <c r="S2210" s="40">
        <v>354356</v>
      </c>
      <c r="T2210" s="40">
        <v>30000</v>
      </c>
      <c r="U2210" s="40">
        <v>1367700</v>
      </c>
      <c r="V2210" s="40">
        <v>0</v>
      </c>
      <c r="W2210" s="45">
        <f t="shared" si="115"/>
        <v>2481582</v>
      </c>
      <c r="X2210" s="46">
        <f t="shared" si="116"/>
        <v>12.131638620033696</v>
      </c>
    </row>
    <row r="2211" spans="1:24" s="4" customFormat="1" ht="15" customHeight="1">
      <c r="A2211" s="28" t="s">
        <v>3019</v>
      </c>
      <c r="B2211" s="29">
        <v>3196.165</v>
      </c>
      <c r="C2211" s="30" t="s">
        <v>3220</v>
      </c>
      <c r="D2211" s="2">
        <v>4950557508</v>
      </c>
      <c r="E2211" s="2" t="s">
        <v>36</v>
      </c>
      <c r="F2211" s="78" t="s">
        <v>3221</v>
      </c>
      <c r="G2211" s="28" t="s">
        <v>5</v>
      </c>
      <c r="H2211" s="2" t="s">
        <v>26</v>
      </c>
      <c r="I2211" s="2">
        <v>3</v>
      </c>
      <c r="J2211" s="2" t="s">
        <v>3222</v>
      </c>
      <c r="K2211" s="2">
        <v>118174.63</v>
      </c>
      <c r="L2211" s="35">
        <f t="shared" si="114"/>
        <v>377705616.29395002</v>
      </c>
      <c r="M2211" s="36">
        <v>74824</v>
      </c>
      <c r="N2211" s="40">
        <v>979815</v>
      </c>
      <c r="O2211" s="40">
        <v>1483258</v>
      </c>
      <c r="P2211" s="40">
        <v>4858249</v>
      </c>
      <c r="Q2211" s="48">
        <v>372411</v>
      </c>
      <c r="R2211" s="40">
        <v>2700821</v>
      </c>
      <c r="S2211" s="40">
        <v>354356</v>
      </c>
      <c r="T2211" s="40"/>
      <c r="U2211" s="40">
        <v>0</v>
      </c>
      <c r="V2211" s="40">
        <v>0</v>
      </c>
      <c r="W2211" s="45">
        <f t="shared" si="115"/>
        <v>10748910</v>
      </c>
      <c r="X2211" s="46">
        <f t="shared" si="116"/>
        <v>2.8458433066122701</v>
      </c>
    </row>
    <row r="2212" spans="1:24" s="4" customFormat="1" ht="15" customHeight="1">
      <c r="A2212" s="28" t="s">
        <v>3019</v>
      </c>
      <c r="B2212" s="29">
        <v>3196.165</v>
      </c>
      <c r="C2212" s="30" t="s">
        <v>3223</v>
      </c>
      <c r="D2212" s="2">
        <v>4950274558</v>
      </c>
      <c r="E2212" s="2" t="s">
        <v>14</v>
      </c>
      <c r="F2212" s="2" t="s">
        <v>3224</v>
      </c>
      <c r="G2212" s="28" t="s">
        <v>5</v>
      </c>
      <c r="H2212" s="2" t="s">
        <v>26</v>
      </c>
      <c r="I2212" s="2">
        <v>2</v>
      </c>
      <c r="J2212" s="2" t="s">
        <v>3225</v>
      </c>
      <c r="K2212" s="2">
        <f>34939.2+34869.6</f>
        <v>69808.799999999988</v>
      </c>
      <c r="L2212" s="35">
        <f t="shared" si="114"/>
        <v>223120443.25199997</v>
      </c>
      <c r="M2212" s="36">
        <f>20080+20040</f>
        <v>40120</v>
      </c>
      <c r="N2212" s="40">
        <v>665483</v>
      </c>
      <c r="O2212" s="40">
        <v>793633</v>
      </c>
      <c r="P2212" s="40">
        <v>3105585</v>
      </c>
      <c r="Q2212" s="48">
        <v>198619</v>
      </c>
      <c r="R2212" s="40">
        <v>1257827</v>
      </c>
      <c r="S2212" s="40">
        <v>354356</v>
      </c>
      <c r="T2212" s="40">
        <v>30000</v>
      </c>
      <c r="U2212" s="40">
        <v>0</v>
      </c>
      <c r="V2212" s="40">
        <v>0</v>
      </c>
      <c r="W2212" s="45">
        <f t="shared" si="115"/>
        <v>6405503</v>
      </c>
      <c r="X2212" s="46">
        <f t="shared" si="116"/>
        <v>2.8708722995702383</v>
      </c>
    </row>
    <row r="2213" spans="1:24" s="4" customFormat="1" ht="15" customHeight="1">
      <c r="A2213" s="28" t="s">
        <v>3019</v>
      </c>
      <c r="B2213" s="29">
        <v>3196.165</v>
      </c>
      <c r="C2213" s="30" t="s">
        <v>3226</v>
      </c>
      <c r="D2213" s="2">
        <v>4949868821</v>
      </c>
      <c r="E2213" s="2" t="s">
        <v>14</v>
      </c>
      <c r="F2213" s="2" t="s">
        <v>3227</v>
      </c>
      <c r="G2213" s="28" t="s">
        <v>5</v>
      </c>
      <c r="H2213" s="2" t="s">
        <v>26</v>
      </c>
      <c r="I2213" s="2">
        <v>5</v>
      </c>
      <c r="J2213" s="2" t="s">
        <v>3228</v>
      </c>
      <c r="K2213" s="2">
        <v>174974.4</v>
      </c>
      <c r="L2213" s="35">
        <f t="shared" si="114"/>
        <v>559247053.176</v>
      </c>
      <c r="M2213" s="36">
        <f>20060+20100+20160+20100+20140</f>
        <v>100560</v>
      </c>
      <c r="N2213" s="40">
        <v>1627379</v>
      </c>
      <c r="O2213" s="40">
        <f>1977656+494430</f>
        <v>2472086</v>
      </c>
      <c r="P2213" s="40">
        <v>6075548</v>
      </c>
      <c r="Q2213" s="48">
        <f>496548+124137</f>
        <v>620685</v>
      </c>
      <c r="R2213" s="40">
        <v>3081046</v>
      </c>
      <c r="S2213" s="40">
        <v>354356</v>
      </c>
      <c r="T2213" s="40">
        <v>30000</v>
      </c>
      <c r="U2213" s="40">
        <v>0</v>
      </c>
      <c r="V2213" s="40">
        <v>0</v>
      </c>
      <c r="W2213" s="45">
        <f t="shared" si="115"/>
        <v>14261100</v>
      </c>
      <c r="X2213" s="46">
        <f t="shared" si="116"/>
        <v>2.5500536693059526</v>
      </c>
    </row>
    <row r="2214" spans="1:24" s="4" customFormat="1" ht="15" customHeight="1">
      <c r="A2214" s="28" t="s">
        <v>3019</v>
      </c>
      <c r="B2214" s="29">
        <v>3196.165</v>
      </c>
      <c r="C2214" s="30" t="s">
        <v>3229</v>
      </c>
      <c r="D2214" s="2">
        <v>4950285338</v>
      </c>
      <c r="E2214" s="2" t="s">
        <v>18</v>
      </c>
      <c r="F2214" s="2" t="s">
        <v>3230</v>
      </c>
      <c r="G2214" s="28" t="s">
        <v>5</v>
      </c>
      <c r="H2214" s="2" t="s">
        <v>35</v>
      </c>
      <c r="I2214" s="2">
        <v>1</v>
      </c>
      <c r="J2214" s="2" t="s">
        <v>3231</v>
      </c>
      <c r="K2214" s="2">
        <v>15422.4</v>
      </c>
      <c r="L2214" s="35">
        <f t="shared" si="114"/>
        <v>49292535.096000001</v>
      </c>
      <c r="M2214" s="36">
        <v>1440</v>
      </c>
      <c r="N2214" s="40">
        <v>27098.0080784766</v>
      </c>
      <c r="O2214" s="48">
        <v>37087.535390199599</v>
      </c>
      <c r="P2214" s="40">
        <v>0</v>
      </c>
      <c r="Q2214" s="48">
        <v>9582.5771324863908</v>
      </c>
      <c r="R2214" s="40">
        <f>269074.345066359+24309</f>
        <v>293383.34506635898</v>
      </c>
      <c r="S2214" s="40">
        <v>30869.488203266799</v>
      </c>
      <c r="T2214" s="40">
        <v>30000</v>
      </c>
      <c r="U2214" s="40">
        <v>254383.04431599201</v>
      </c>
      <c r="V2214" s="40">
        <v>0</v>
      </c>
      <c r="W2214" s="45">
        <f t="shared" si="115"/>
        <v>682403.99818678037</v>
      </c>
      <c r="X2214" s="46">
        <f t="shared" si="116"/>
        <v>1.3843962313112117</v>
      </c>
    </row>
    <row r="2215" spans="1:24" s="4" customFormat="1" ht="15" customHeight="1">
      <c r="A2215" s="28" t="s">
        <v>3019</v>
      </c>
      <c r="B2215" s="29">
        <v>3196.165</v>
      </c>
      <c r="C2215" s="30" t="s">
        <v>3229</v>
      </c>
      <c r="D2215" s="2">
        <v>4951082664</v>
      </c>
      <c r="E2215" s="2" t="s">
        <v>18</v>
      </c>
      <c r="F2215" s="2" t="s">
        <v>3230</v>
      </c>
      <c r="G2215" s="28" t="s">
        <v>5</v>
      </c>
      <c r="H2215" s="2" t="s">
        <v>35</v>
      </c>
      <c r="I2215" s="2">
        <v>1</v>
      </c>
      <c r="J2215" s="2" t="s">
        <v>3231</v>
      </c>
      <c r="K2215" s="2">
        <v>9259.2000000000007</v>
      </c>
      <c r="L2215" s="35">
        <f t="shared" si="114"/>
        <v>29593930.968000002</v>
      </c>
      <c r="M2215" s="36">
        <v>1440</v>
      </c>
      <c r="N2215" s="40">
        <v>27098.0080784766</v>
      </c>
      <c r="O2215" s="48">
        <v>37087.535390199599</v>
      </c>
      <c r="P2215" s="40">
        <v>0</v>
      </c>
      <c r="Q2215" s="48">
        <v>9582.5771324863908</v>
      </c>
      <c r="R2215" s="40">
        <f>269074.345066359+24309</f>
        <v>293383.34506635898</v>
      </c>
      <c r="S2215" s="40">
        <v>30869.488203266799</v>
      </c>
      <c r="T2215" s="40">
        <v>30000</v>
      </c>
      <c r="U2215" s="40">
        <v>763149.13294797705</v>
      </c>
      <c r="V2215" s="40">
        <v>0</v>
      </c>
      <c r="W2215" s="45">
        <f t="shared" si="115"/>
        <v>1191170.0868187654</v>
      </c>
      <c r="X2215" s="46">
        <f t="shared" si="116"/>
        <v>4.0250485415634065</v>
      </c>
    </row>
    <row r="2216" spans="1:24" s="4" customFormat="1" ht="15" customHeight="1">
      <c r="A2216" s="28" t="s">
        <v>3019</v>
      </c>
      <c r="B2216" s="29">
        <v>3196.165</v>
      </c>
      <c r="C2216" s="30" t="s">
        <v>3229</v>
      </c>
      <c r="D2216" s="2">
        <v>4951082659</v>
      </c>
      <c r="E2216" s="2" t="s">
        <v>18</v>
      </c>
      <c r="F2216" s="2" t="s">
        <v>3230</v>
      </c>
      <c r="G2216" s="28" t="s">
        <v>5</v>
      </c>
      <c r="H2216" s="2" t="s">
        <v>35</v>
      </c>
      <c r="I2216" s="2">
        <v>1</v>
      </c>
      <c r="J2216" s="2" t="s">
        <v>3231</v>
      </c>
      <c r="K2216" s="2">
        <v>8650</v>
      </c>
      <c r="L2216" s="35">
        <f t="shared" si="114"/>
        <v>27646827.25</v>
      </c>
      <c r="M2216" s="36">
        <v>1250</v>
      </c>
      <c r="N2216" s="40">
        <v>23522.576457011</v>
      </c>
      <c r="O2216" s="48">
        <v>32194.041137326101</v>
      </c>
      <c r="P2216" s="40">
        <v>0</v>
      </c>
      <c r="Q2216" s="48">
        <v>8318.2093163944301</v>
      </c>
      <c r="R2216" s="40">
        <f>233571.480092325+21102</f>
        <v>254673.48009232499</v>
      </c>
      <c r="S2216" s="40">
        <v>26796.430732002402</v>
      </c>
      <c r="T2216" s="40">
        <v>30000</v>
      </c>
      <c r="U2216" s="40">
        <v>662455.84457289695</v>
      </c>
      <c r="V2216" s="40">
        <v>0</v>
      </c>
      <c r="W2216" s="45">
        <f t="shared" si="115"/>
        <v>1037960.5823079559</v>
      </c>
      <c r="X2216" s="46">
        <f t="shared" si="116"/>
        <v>3.7543569572090982</v>
      </c>
    </row>
    <row r="2217" spans="1:24" s="4" customFormat="1" ht="15" customHeight="1">
      <c r="A2217" s="28" t="s">
        <v>3019</v>
      </c>
      <c r="B2217" s="29">
        <v>3196.165</v>
      </c>
      <c r="C2217" s="30" t="s">
        <v>3229</v>
      </c>
      <c r="D2217" s="2">
        <v>4951047314</v>
      </c>
      <c r="E2217" s="2" t="s">
        <v>18</v>
      </c>
      <c r="F2217" s="2" t="s">
        <v>3230</v>
      </c>
      <c r="G2217" s="28" t="s">
        <v>5</v>
      </c>
      <c r="H2217" s="2" t="s">
        <v>35</v>
      </c>
      <c r="I2217" s="2">
        <v>1</v>
      </c>
      <c r="J2217" s="2" t="s">
        <v>3231</v>
      </c>
      <c r="K2217" s="2">
        <v>11200</v>
      </c>
      <c r="L2217" s="35">
        <f t="shared" si="114"/>
        <v>35797048</v>
      </c>
      <c r="M2217" s="36">
        <v>10000</v>
      </c>
      <c r="N2217" s="40">
        <v>188180.611656088</v>
      </c>
      <c r="O2217" s="48">
        <v>257552.32909860901</v>
      </c>
      <c r="P2217" s="40">
        <v>0</v>
      </c>
      <c r="Q2217" s="48">
        <v>66545.674531155499</v>
      </c>
      <c r="R2217" s="40">
        <v>2037383.8407385999</v>
      </c>
      <c r="S2217" s="40">
        <v>214371.44585601901</v>
      </c>
      <c r="T2217" s="40">
        <v>30000</v>
      </c>
      <c r="U2217" s="40">
        <v>5299646.75658317</v>
      </c>
      <c r="V2217" s="40">
        <v>0</v>
      </c>
      <c r="W2217" s="45">
        <f t="shared" si="115"/>
        <v>8093680.658463642</v>
      </c>
      <c r="X2217" s="46">
        <f t="shared" si="116"/>
        <v>22.609910902328153</v>
      </c>
    </row>
    <row r="2218" spans="1:24" s="4" customFormat="1" ht="15" customHeight="1">
      <c r="A2218" s="28" t="s">
        <v>3019</v>
      </c>
      <c r="B2218" s="29">
        <v>3196.165</v>
      </c>
      <c r="C2218" s="30" t="s">
        <v>3229</v>
      </c>
      <c r="D2218" s="2">
        <v>4951082675</v>
      </c>
      <c r="E2218" s="2" t="s">
        <v>18</v>
      </c>
      <c r="F2218" s="2" t="s">
        <v>3230</v>
      </c>
      <c r="G2218" s="28" t="s">
        <v>5</v>
      </c>
      <c r="H2218" s="2" t="s">
        <v>35</v>
      </c>
      <c r="I2218" s="2">
        <v>1</v>
      </c>
      <c r="J2218" s="2" t="s">
        <v>3231</v>
      </c>
      <c r="K2218" s="2">
        <v>218088</v>
      </c>
      <c r="L2218" s="35">
        <f t="shared" si="114"/>
        <v>697045232.51999998</v>
      </c>
      <c r="M2218" s="36">
        <v>2400</v>
      </c>
      <c r="N2218" s="40">
        <v>45163.346797461003</v>
      </c>
      <c r="O2218" s="48">
        <v>61812.558983666102</v>
      </c>
      <c r="P2218" s="40">
        <v>0</v>
      </c>
      <c r="Q2218" s="48">
        <v>15970.9618874773</v>
      </c>
      <c r="R2218" s="40">
        <v>488972.24177726498</v>
      </c>
      <c r="S2218" s="40">
        <v>51449.147005444604</v>
      </c>
      <c r="T2218" s="40">
        <v>30000</v>
      </c>
      <c r="U2218" s="40">
        <v>1271915.2215799601</v>
      </c>
      <c r="V2218" s="40">
        <v>0</v>
      </c>
      <c r="W2218" s="45">
        <f t="shared" si="115"/>
        <v>1965283.4780312739</v>
      </c>
      <c r="X2218" s="46">
        <f t="shared" si="116"/>
        <v>0.28194489917480142</v>
      </c>
    </row>
    <row r="2219" spans="1:24" s="4" customFormat="1" ht="15" customHeight="1">
      <c r="A2219" s="28" t="s">
        <v>3019</v>
      </c>
      <c r="B2219" s="29">
        <v>3196.165</v>
      </c>
      <c r="C2219" s="30" t="s">
        <v>3232</v>
      </c>
      <c r="D2219" s="2">
        <v>4951375932</v>
      </c>
      <c r="E2219" s="2" t="s">
        <v>24</v>
      </c>
      <c r="F2219" s="2" t="s">
        <v>3233</v>
      </c>
      <c r="G2219" s="28" t="s">
        <v>5</v>
      </c>
      <c r="H2219" s="2" t="s">
        <v>26</v>
      </c>
      <c r="I2219" s="2">
        <v>1</v>
      </c>
      <c r="J2219" s="2" t="s">
        <v>3234</v>
      </c>
      <c r="K2219" s="2">
        <v>32718</v>
      </c>
      <c r="L2219" s="35">
        <f t="shared" si="114"/>
        <v>104572126.47</v>
      </c>
      <c r="M2219" s="36">
        <v>24600</v>
      </c>
      <c r="N2219" s="40">
        <v>332281</v>
      </c>
      <c r="O2219" s="40">
        <v>392940</v>
      </c>
      <c r="P2219" s="40">
        <v>350000</v>
      </c>
      <c r="Q2219" s="48">
        <v>111691</v>
      </c>
      <c r="R2219" s="40">
        <v>778591</v>
      </c>
      <c r="S2219" s="40">
        <v>354356</v>
      </c>
      <c r="T2219" s="40"/>
      <c r="U2219" s="40">
        <v>0</v>
      </c>
      <c r="V2219" s="40">
        <v>0</v>
      </c>
      <c r="W2219" s="45">
        <f t="shared" si="115"/>
        <v>2319859</v>
      </c>
      <c r="X2219" s="46">
        <f t="shared" si="116"/>
        <v>2.2184295933443878</v>
      </c>
    </row>
    <row r="2220" spans="1:24" s="4" customFormat="1" ht="15" customHeight="1">
      <c r="A2220" s="28" t="s">
        <v>3019</v>
      </c>
      <c r="B2220" s="29">
        <v>3196.165</v>
      </c>
      <c r="C2220" s="30" t="s">
        <v>3235</v>
      </c>
      <c r="D2220" s="2">
        <v>4950216837</v>
      </c>
      <c r="E2220" s="2" t="s">
        <v>24</v>
      </c>
      <c r="F2220" s="2" t="s">
        <v>3236</v>
      </c>
      <c r="G2220" s="28" t="s">
        <v>5</v>
      </c>
      <c r="H2220" s="2" t="s">
        <v>26</v>
      </c>
      <c r="I2220" s="2">
        <v>4</v>
      </c>
      <c r="J2220" s="2" t="s">
        <v>3237</v>
      </c>
      <c r="K2220" s="2">
        <v>111174</v>
      </c>
      <c r="L2220" s="35">
        <f t="shared" si="114"/>
        <v>355330447.70999998</v>
      </c>
      <c r="M2220" s="36">
        <f>24140+23920+23940+23840</f>
        <v>95840</v>
      </c>
      <c r="N2220" s="40">
        <v>1291425</v>
      </c>
      <c r="O2220" s="40">
        <v>1541309</v>
      </c>
      <c r="P2220" s="40">
        <v>1293567</v>
      </c>
      <c r="Q2220" s="48">
        <v>449548</v>
      </c>
      <c r="R2220" s="40">
        <v>3128076</v>
      </c>
      <c r="S2220" s="40">
        <v>354356</v>
      </c>
      <c r="T2220" s="40"/>
      <c r="U2220" s="40">
        <v>9677176</v>
      </c>
      <c r="V2220" s="40">
        <v>0</v>
      </c>
      <c r="W2220" s="45">
        <f t="shared" si="115"/>
        <v>17735457</v>
      </c>
      <c r="X2220" s="46">
        <f t="shared" si="116"/>
        <v>4.9912573252024401</v>
      </c>
    </row>
    <row r="2221" spans="1:24" s="4" customFormat="1" ht="15" customHeight="1">
      <c r="A2221" s="28" t="s">
        <v>3019</v>
      </c>
      <c r="B2221" s="29">
        <v>3196.165</v>
      </c>
      <c r="C2221" s="30" t="s">
        <v>3238</v>
      </c>
      <c r="D2221" s="2">
        <v>4950365716</v>
      </c>
      <c r="E2221" s="2" t="s">
        <v>14</v>
      </c>
      <c r="F2221" s="2" t="s">
        <v>3239</v>
      </c>
      <c r="G2221" s="28" t="s">
        <v>9</v>
      </c>
      <c r="H2221" s="2" t="s">
        <v>23</v>
      </c>
      <c r="I2221" s="2">
        <v>12</v>
      </c>
      <c r="J2221" s="2"/>
      <c r="K2221" s="2">
        <v>29250</v>
      </c>
      <c r="L2221" s="35">
        <f t="shared" si="114"/>
        <v>93487826.25</v>
      </c>
      <c r="M2221" s="36">
        <v>4500</v>
      </c>
      <c r="N2221" s="40">
        <v>1696482</v>
      </c>
      <c r="O2221" s="40">
        <v>3335</v>
      </c>
      <c r="P2221" s="40">
        <v>0</v>
      </c>
      <c r="Q2221" s="48">
        <v>82227</v>
      </c>
      <c r="R2221" s="40">
        <v>179323</v>
      </c>
      <c r="S2221" s="40">
        <v>354356</v>
      </c>
      <c r="T2221" s="40">
        <v>30000</v>
      </c>
      <c r="U2221" s="40">
        <v>4171000</v>
      </c>
      <c r="V2221" s="40">
        <v>0</v>
      </c>
      <c r="W2221" s="45">
        <f t="shared" si="115"/>
        <v>6516723</v>
      </c>
      <c r="X2221" s="46">
        <f t="shared" si="116"/>
        <v>6.9706648035363861</v>
      </c>
    </row>
    <row r="2222" spans="1:24" s="4" customFormat="1" ht="15" customHeight="1">
      <c r="A2222" s="28" t="s">
        <v>3019</v>
      </c>
      <c r="B2222" s="29">
        <v>3196.165</v>
      </c>
      <c r="C2222" s="30" t="s">
        <v>3240</v>
      </c>
      <c r="D2222" s="2">
        <v>4950216850</v>
      </c>
      <c r="E2222" s="2" t="s">
        <v>24</v>
      </c>
      <c r="F2222" s="2" t="s">
        <v>3241</v>
      </c>
      <c r="G2222" s="28" t="s">
        <v>9</v>
      </c>
      <c r="H2222" s="2" t="s">
        <v>23</v>
      </c>
      <c r="I2222" s="2">
        <v>4</v>
      </c>
      <c r="J2222" s="2"/>
      <c r="K2222" s="2">
        <v>6208</v>
      </c>
      <c r="L2222" s="35">
        <f t="shared" si="114"/>
        <v>19841792.32</v>
      </c>
      <c r="M2222" s="36">
        <v>3200</v>
      </c>
      <c r="N2222" s="40">
        <v>694772</v>
      </c>
      <c r="O2222" s="40">
        <v>0</v>
      </c>
      <c r="P2222" s="40">
        <v>57212</v>
      </c>
      <c r="Q2222" s="48">
        <v>47669</v>
      </c>
      <c r="R2222" s="40">
        <v>59054</v>
      </c>
      <c r="S2222" s="40">
        <v>354356</v>
      </c>
      <c r="T2222" s="40"/>
      <c r="U2222" s="40">
        <v>557750</v>
      </c>
      <c r="V2222" s="40">
        <v>0</v>
      </c>
      <c r="W2222" s="45">
        <f t="shared" si="115"/>
        <v>1770813</v>
      </c>
      <c r="X2222" s="46">
        <f t="shared" si="116"/>
        <v>8.9246625075047668</v>
      </c>
    </row>
    <row r="2223" spans="1:24" s="4" customFormat="1" ht="15" customHeight="1">
      <c r="A2223" s="28" t="s">
        <v>3019</v>
      </c>
      <c r="B2223" s="29">
        <v>3196.165</v>
      </c>
      <c r="C2223" s="30" t="s">
        <v>3242</v>
      </c>
      <c r="D2223" s="2">
        <v>4951300634</v>
      </c>
      <c r="E2223" s="2" t="s">
        <v>36</v>
      </c>
      <c r="F2223" s="2" t="s">
        <v>3243</v>
      </c>
      <c r="G2223" s="28" t="s">
        <v>5</v>
      </c>
      <c r="H2223" s="2" t="s">
        <v>20</v>
      </c>
      <c r="I2223" s="2">
        <v>1</v>
      </c>
      <c r="J2223" s="2" t="s">
        <v>3244</v>
      </c>
      <c r="K2223" s="2">
        <v>31395</v>
      </c>
      <c r="L2223" s="35">
        <f t="shared" si="114"/>
        <v>100343600.175</v>
      </c>
      <c r="M2223" s="36">
        <v>19500</v>
      </c>
      <c r="N2223" s="40">
        <v>326117</v>
      </c>
      <c r="O2223" s="40">
        <v>324522</v>
      </c>
      <c r="P2223" s="40">
        <v>0</v>
      </c>
      <c r="Q2223" s="48">
        <v>110000</v>
      </c>
      <c r="R2223" s="40">
        <v>804361</v>
      </c>
      <c r="S2223" s="40">
        <v>354356</v>
      </c>
      <c r="T2223" s="40"/>
      <c r="U2223" s="40">
        <v>519300</v>
      </c>
      <c r="V2223" s="40">
        <v>0</v>
      </c>
      <c r="W2223" s="45">
        <f t="shared" si="115"/>
        <v>2438656</v>
      </c>
      <c r="X2223" s="46">
        <f t="shared" si="116"/>
        <v>2.4303054661652217</v>
      </c>
    </row>
    <row r="2224" spans="1:24" s="4" customFormat="1" ht="15" customHeight="1">
      <c r="A2224" s="28" t="s">
        <v>3019</v>
      </c>
      <c r="B2224" s="29">
        <v>3196.165</v>
      </c>
      <c r="C2224" s="30" t="s">
        <v>3245</v>
      </c>
      <c r="D2224" s="2">
        <v>4951348208</v>
      </c>
      <c r="E2224" s="2" t="s">
        <v>14</v>
      </c>
      <c r="F2224" s="2" t="s">
        <v>3246</v>
      </c>
      <c r="G2224" s="28" t="s">
        <v>5</v>
      </c>
      <c r="H2224" s="2" t="s">
        <v>17</v>
      </c>
      <c r="I2224" s="2">
        <v>1</v>
      </c>
      <c r="J2224" s="2" t="s">
        <v>3247</v>
      </c>
      <c r="K2224" s="2">
        <v>6244</v>
      </c>
      <c r="L2224" s="35">
        <f t="shared" si="114"/>
        <v>19956854.259999998</v>
      </c>
      <c r="M2224" s="36">
        <v>1400</v>
      </c>
      <c r="N2224" s="40">
        <v>19533.565441650499</v>
      </c>
      <c r="O2224" s="48">
        <v>26769.710307657799</v>
      </c>
      <c r="P2224" s="40">
        <v>18371.682785299799</v>
      </c>
      <c r="Q2224" s="48">
        <v>6916.6853806422596</v>
      </c>
      <c r="R2224" s="40">
        <f>34816.4624973136+12035</f>
        <v>46851.462497313601</v>
      </c>
      <c r="S2224" s="40">
        <v>21323.8082957232</v>
      </c>
      <c r="T2224" s="40">
        <v>30000</v>
      </c>
      <c r="U2224" s="40">
        <v>342345.58349451999</v>
      </c>
      <c r="V2224" s="40">
        <v>0</v>
      </c>
      <c r="W2224" s="45">
        <f t="shared" si="115"/>
        <v>512112.49820280715</v>
      </c>
      <c r="X2224" s="46">
        <f t="shared" si="116"/>
        <v>2.5660983015206287</v>
      </c>
    </row>
    <row r="2225" spans="1:24" s="4" customFormat="1" ht="15" customHeight="1">
      <c r="A2225" s="28" t="s">
        <v>3019</v>
      </c>
      <c r="B2225" s="29">
        <v>3196.165</v>
      </c>
      <c r="C2225" s="30" t="s">
        <v>3245</v>
      </c>
      <c r="D2225" s="2">
        <v>4950812431</v>
      </c>
      <c r="E2225" s="2" t="s">
        <v>14</v>
      </c>
      <c r="F2225" s="2" t="s">
        <v>3246</v>
      </c>
      <c r="G2225" s="28" t="s">
        <v>5</v>
      </c>
      <c r="H2225" s="2" t="s">
        <v>17</v>
      </c>
      <c r="I2225" s="2">
        <v>1</v>
      </c>
      <c r="J2225" s="2" t="s">
        <v>3247</v>
      </c>
      <c r="K2225" s="2">
        <v>302.60000000000002</v>
      </c>
      <c r="L2225" s="35">
        <f t="shared" si="114"/>
        <v>967159.5290000001</v>
      </c>
      <c r="M2225" s="36">
        <v>20</v>
      </c>
      <c r="N2225" s="40">
        <v>279.05093488072202</v>
      </c>
      <c r="O2225" s="48">
        <v>382.42443296653897</v>
      </c>
      <c r="P2225" s="40">
        <v>262.45261121856902</v>
      </c>
      <c r="Q2225" s="48">
        <v>98.809791152032304</v>
      </c>
      <c r="R2225" s="40">
        <f>497.378035675908+172</f>
        <v>669.378035675908</v>
      </c>
      <c r="S2225" s="40">
        <v>304.62583279604598</v>
      </c>
      <c r="T2225" s="40">
        <v>30000</v>
      </c>
      <c r="U2225" s="40">
        <v>4890.6511927788497</v>
      </c>
      <c r="V2225" s="40">
        <v>0</v>
      </c>
      <c r="W2225" s="45">
        <f t="shared" si="115"/>
        <v>36887.392831468664</v>
      </c>
      <c r="X2225" s="46">
        <f t="shared" si="116"/>
        <v>3.8139925964032622</v>
      </c>
    </row>
    <row r="2226" spans="1:24" s="4" customFormat="1" ht="15" customHeight="1">
      <c r="A2226" s="28" t="s">
        <v>3019</v>
      </c>
      <c r="B2226" s="29">
        <v>3196.165</v>
      </c>
      <c r="C2226" s="30" t="s">
        <v>3245</v>
      </c>
      <c r="D2226" s="2">
        <v>4950902090</v>
      </c>
      <c r="E2226" s="2" t="s">
        <v>14</v>
      </c>
      <c r="F2226" s="2" t="s">
        <v>3246</v>
      </c>
      <c r="G2226" s="28" t="s">
        <v>5</v>
      </c>
      <c r="H2226" s="2" t="s">
        <v>17</v>
      </c>
      <c r="I2226" s="2">
        <v>1</v>
      </c>
      <c r="J2226" s="2" t="s">
        <v>3247</v>
      </c>
      <c r="K2226" s="2">
        <v>10881</v>
      </c>
      <c r="L2226" s="35">
        <f t="shared" si="114"/>
        <v>34777471.365000002</v>
      </c>
      <c r="M2226" s="36">
        <v>2700</v>
      </c>
      <c r="N2226" s="40">
        <v>37671.876208897498</v>
      </c>
      <c r="O2226" s="48">
        <v>51627.298450482798</v>
      </c>
      <c r="P2226" s="40">
        <v>35431.102514506798</v>
      </c>
      <c r="Q2226" s="48">
        <v>13339.3218055244</v>
      </c>
      <c r="R2226" s="40">
        <f>67146.0348162476+23211</f>
        <v>90357.0348162476</v>
      </c>
      <c r="S2226" s="40">
        <v>41124.487427466098</v>
      </c>
      <c r="T2226" s="40">
        <v>30000</v>
      </c>
      <c r="U2226" s="40">
        <v>660237.91102514497</v>
      </c>
      <c r="V2226" s="40">
        <v>0</v>
      </c>
      <c r="W2226" s="45">
        <f t="shared" si="115"/>
        <v>959789.03224827023</v>
      </c>
      <c r="X2226" s="46">
        <f t="shared" si="116"/>
        <v>2.7598010855217052</v>
      </c>
    </row>
    <row r="2227" spans="1:24" s="4" customFormat="1" ht="15" customHeight="1">
      <c r="A2227" s="28" t="s">
        <v>3019</v>
      </c>
      <c r="B2227" s="29">
        <v>3196.165</v>
      </c>
      <c r="C2227" s="30" t="s">
        <v>3245</v>
      </c>
      <c r="D2227" s="2">
        <v>4950722777</v>
      </c>
      <c r="E2227" s="2" t="s">
        <v>14</v>
      </c>
      <c r="F2227" s="2" t="s">
        <v>3246</v>
      </c>
      <c r="G2227" s="28" t="s">
        <v>5</v>
      </c>
      <c r="H2227" s="2" t="s">
        <v>17</v>
      </c>
      <c r="I2227" s="2">
        <v>1</v>
      </c>
      <c r="J2227" s="2" t="s">
        <v>3247</v>
      </c>
      <c r="K2227" s="2">
        <v>7245</v>
      </c>
      <c r="L2227" s="35">
        <f t="shared" si="114"/>
        <v>23156215.425000001</v>
      </c>
      <c r="M2227" s="36">
        <v>2625</v>
      </c>
      <c r="N2227" s="40">
        <v>36625.435203094799</v>
      </c>
      <c r="O2227" s="48">
        <v>50193.206826858303</v>
      </c>
      <c r="P2227" s="40">
        <v>34446.905222437097</v>
      </c>
      <c r="Q2227" s="48">
        <v>12968.7850887042</v>
      </c>
      <c r="R2227" s="40">
        <f>65280.8671824629+22566</f>
        <v>87846.867182462898</v>
      </c>
      <c r="S2227" s="40">
        <v>39982.140554480997</v>
      </c>
      <c r="T2227" s="40">
        <v>30000</v>
      </c>
      <c r="U2227" s="40">
        <v>641897.96905222395</v>
      </c>
      <c r="V2227" s="40">
        <v>0</v>
      </c>
      <c r="W2227" s="45">
        <f t="shared" si="115"/>
        <v>933961.30913026223</v>
      </c>
      <c r="X2227" s="46">
        <f t="shared" si="116"/>
        <v>4.0333072222239537</v>
      </c>
    </row>
    <row r="2228" spans="1:24" s="4" customFormat="1" ht="15" customHeight="1">
      <c r="A2228" s="28" t="s">
        <v>3019</v>
      </c>
      <c r="B2228" s="29">
        <v>3196.165</v>
      </c>
      <c r="C2228" s="30" t="s">
        <v>3245</v>
      </c>
      <c r="D2228" s="2">
        <v>4951046392</v>
      </c>
      <c r="E2228" s="2" t="s">
        <v>14</v>
      </c>
      <c r="F2228" s="2" t="s">
        <v>3246</v>
      </c>
      <c r="G2228" s="28" t="s">
        <v>5</v>
      </c>
      <c r="H2228" s="2" t="s">
        <v>17</v>
      </c>
      <c r="I2228" s="2">
        <v>1</v>
      </c>
      <c r="J2228" s="2" t="s">
        <v>3247</v>
      </c>
      <c r="K2228" s="2">
        <v>2898</v>
      </c>
      <c r="L2228" s="35">
        <f t="shared" si="114"/>
        <v>9262486.1699999999</v>
      </c>
      <c r="M2228" s="36">
        <v>1050</v>
      </c>
      <c r="N2228" s="40">
        <v>14650.174081237899</v>
      </c>
      <c r="O2228" s="48">
        <v>20077.2827307433</v>
      </c>
      <c r="P2228" s="40">
        <v>13778.7620889749</v>
      </c>
      <c r="Q2228" s="48">
        <v>5187.5140354817004</v>
      </c>
      <c r="R2228" s="40">
        <f>26112.3468729852+9026</f>
        <v>35138.346872985203</v>
      </c>
      <c r="S2228" s="40">
        <v>15992.856221792401</v>
      </c>
      <c r="T2228" s="40">
        <v>30000</v>
      </c>
      <c r="U2228" s="40">
        <v>256759.18762089001</v>
      </c>
      <c r="V2228" s="40">
        <v>0</v>
      </c>
      <c r="W2228" s="45">
        <f t="shared" si="115"/>
        <v>391584.12365210545</v>
      </c>
      <c r="X2228" s="46">
        <f t="shared" si="116"/>
        <v>4.2276351776955527</v>
      </c>
    </row>
    <row r="2229" spans="1:24" s="4" customFormat="1" ht="15" customHeight="1">
      <c r="A2229" s="28" t="s">
        <v>3019</v>
      </c>
      <c r="B2229" s="29">
        <v>3196.165</v>
      </c>
      <c r="C2229" s="30" t="s">
        <v>3245</v>
      </c>
      <c r="D2229" s="2">
        <v>4951294588</v>
      </c>
      <c r="E2229" s="2" t="s">
        <v>14</v>
      </c>
      <c r="F2229" s="2" t="s">
        <v>3246</v>
      </c>
      <c r="G2229" s="28" t="s">
        <v>5</v>
      </c>
      <c r="H2229" s="2" t="s">
        <v>17</v>
      </c>
      <c r="I2229" s="2">
        <v>1</v>
      </c>
      <c r="J2229" s="2" t="s">
        <v>3247</v>
      </c>
      <c r="K2229" s="2">
        <v>4347</v>
      </c>
      <c r="L2229" s="35">
        <f t="shared" si="114"/>
        <v>13893729.254999999</v>
      </c>
      <c r="M2229" s="36">
        <v>575</v>
      </c>
      <c r="N2229" s="40">
        <v>21975.2611218569</v>
      </c>
      <c r="O2229" s="48">
        <v>10994.702447788</v>
      </c>
      <c r="P2229" s="40">
        <v>20668.143133462301</v>
      </c>
      <c r="Q2229" s="48">
        <v>2840.7814956209299</v>
      </c>
      <c r="R2229" s="40">
        <f>39168.5203094778+13540</f>
        <v>52708.520309477797</v>
      </c>
      <c r="S2229" s="40">
        <v>23989.2843326886</v>
      </c>
      <c r="T2229" s="40">
        <v>30000</v>
      </c>
      <c r="U2229" s="40">
        <v>385138.78143133502</v>
      </c>
      <c r="V2229" s="40">
        <v>0</v>
      </c>
      <c r="W2229" s="45">
        <f t="shared" si="115"/>
        <v>548315.47427222959</v>
      </c>
      <c r="X2229" s="46">
        <f t="shared" si="116"/>
        <v>3.9464960357918653</v>
      </c>
    </row>
    <row r="2230" spans="1:24" s="4" customFormat="1" ht="15" customHeight="1">
      <c r="A2230" s="28" t="s">
        <v>3019</v>
      </c>
      <c r="B2230" s="29">
        <v>3196.165</v>
      </c>
      <c r="C2230" s="30" t="s">
        <v>3245</v>
      </c>
      <c r="D2230" s="2">
        <v>4951517146</v>
      </c>
      <c r="E2230" s="2" t="s">
        <v>14</v>
      </c>
      <c r="F2230" s="2" t="s">
        <v>3246</v>
      </c>
      <c r="G2230" s="28" t="s">
        <v>5</v>
      </c>
      <c r="H2230" s="2" t="s">
        <v>17</v>
      </c>
      <c r="I2230" s="2">
        <v>1</v>
      </c>
      <c r="J2230" s="2" t="s">
        <v>3247</v>
      </c>
      <c r="K2230" s="2">
        <v>4410</v>
      </c>
      <c r="L2230" s="35">
        <f t="shared" ref="L2230:L2293" si="117">+B2230*K2230</f>
        <v>14095087.65</v>
      </c>
      <c r="M2230" s="36">
        <v>1800</v>
      </c>
      <c r="N2230" s="40">
        <v>25114.584139265</v>
      </c>
      <c r="O2230" s="48">
        <v>34418.198966988501</v>
      </c>
      <c r="P2230" s="40">
        <v>23620.7350096712</v>
      </c>
      <c r="Q2230" s="48">
        <v>8892.8812036829095</v>
      </c>
      <c r="R2230" s="40">
        <f>44764.0232108317+15474</f>
        <v>60238.0232108317</v>
      </c>
      <c r="S2230" s="40">
        <v>27416.324951644099</v>
      </c>
      <c r="T2230" s="40">
        <v>30000</v>
      </c>
      <c r="U2230" s="40">
        <v>440158.60735009698</v>
      </c>
      <c r="V2230" s="40">
        <v>0</v>
      </c>
      <c r="W2230" s="45">
        <f t="shared" ref="W2230:W2293" si="118">+SUM(N2230:V2230)</f>
        <v>649859.35483218031</v>
      </c>
      <c r="X2230" s="46">
        <f t="shared" ref="X2230:X2293" si="119">(W2230/L2230)*100</f>
        <v>4.6105378765216853</v>
      </c>
    </row>
    <row r="2231" spans="1:24" s="4" customFormat="1" ht="15" customHeight="1">
      <c r="A2231" s="28" t="s">
        <v>3019</v>
      </c>
      <c r="B2231" s="29">
        <v>3196.165</v>
      </c>
      <c r="C2231" s="30" t="s">
        <v>3245</v>
      </c>
      <c r="D2231" s="2">
        <v>4951215084</v>
      </c>
      <c r="E2231" s="2" t="s">
        <v>14</v>
      </c>
      <c r="F2231" s="2" t="s">
        <v>3246</v>
      </c>
      <c r="G2231" s="28" t="s">
        <v>5</v>
      </c>
      <c r="H2231" s="2" t="s">
        <v>17</v>
      </c>
      <c r="I2231" s="2">
        <v>1</v>
      </c>
      <c r="J2231" s="2" t="s">
        <v>3247</v>
      </c>
      <c r="K2231" s="2">
        <v>3088.8</v>
      </c>
      <c r="L2231" s="35">
        <f t="shared" si="117"/>
        <v>9872314.4519999996</v>
      </c>
      <c r="M2231" s="36">
        <v>1560</v>
      </c>
      <c r="N2231" s="40">
        <v>21765.972920696298</v>
      </c>
      <c r="O2231" s="48">
        <v>29829.105771390099</v>
      </c>
      <c r="P2231" s="40">
        <v>20471.303675048399</v>
      </c>
      <c r="Q2231" s="48">
        <v>7707.1637098585197</v>
      </c>
      <c r="R2231" s="40">
        <f>38795.4867827208+13411</f>
        <v>52206.4867827208</v>
      </c>
      <c r="S2231" s="40">
        <v>23760.8149580916</v>
      </c>
      <c r="T2231" s="40">
        <v>30000</v>
      </c>
      <c r="U2231" s="40">
        <v>381470.79303675098</v>
      </c>
      <c r="V2231" s="40">
        <v>0</v>
      </c>
      <c r="W2231" s="45">
        <f t="shared" si="118"/>
        <v>567211.6408545567</v>
      </c>
      <c r="X2231" s="46">
        <f t="shared" si="119"/>
        <v>5.7454778574202239</v>
      </c>
    </row>
    <row r="2232" spans="1:24" s="4" customFormat="1" ht="15" customHeight="1">
      <c r="A2232" s="28" t="s">
        <v>3019</v>
      </c>
      <c r="B2232" s="29">
        <v>3196.165</v>
      </c>
      <c r="C2232" s="30" t="s">
        <v>3245</v>
      </c>
      <c r="D2232" s="2">
        <v>4951325256</v>
      </c>
      <c r="E2232" s="2" t="s">
        <v>14</v>
      </c>
      <c r="F2232" s="2" t="s">
        <v>3246</v>
      </c>
      <c r="G2232" s="28" t="s">
        <v>5</v>
      </c>
      <c r="H2232" s="2" t="s">
        <v>17</v>
      </c>
      <c r="I2232" s="2">
        <v>1</v>
      </c>
      <c r="J2232" s="2" t="s">
        <v>3247</v>
      </c>
      <c r="K2232" s="2">
        <v>8844</v>
      </c>
      <c r="L2232" s="35">
        <f t="shared" si="117"/>
        <v>28266883.259999998</v>
      </c>
      <c r="M2232" s="36">
        <v>2640</v>
      </c>
      <c r="N2232" s="40">
        <v>36834.723404255303</v>
      </c>
      <c r="O2232" s="48">
        <v>50480.025151583199</v>
      </c>
      <c r="P2232" s="40">
        <v>34643.744680851101</v>
      </c>
      <c r="Q2232" s="48">
        <v>13042.8924320683</v>
      </c>
      <c r="R2232" s="40">
        <f>65653.9007092199+22695</f>
        <v>88348.900709219903</v>
      </c>
      <c r="S2232" s="40">
        <v>40210.609929077997</v>
      </c>
      <c r="T2232" s="40">
        <v>30000</v>
      </c>
      <c r="U2232" s="40">
        <v>645565.957446808</v>
      </c>
      <c r="V2232" s="40">
        <v>0</v>
      </c>
      <c r="W2232" s="45">
        <f t="shared" si="118"/>
        <v>939126.85375386383</v>
      </c>
      <c r="X2232" s="46">
        <f t="shared" si="119"/>
        <v>3.3223572797741263</v>
      </c>
    </row>
    <row r="2233" spans="1:24" s="4" customFormat="1" ht="15" customHeight="1">
      <c r="A2233" s="28" t="s">
        <v>3019</v>
      </c>
      <c r="B2233" s="29">
        <v>3196.165</v>
      </c>
      <c r="C2233" s="30" t="s">
        <v>3245</v>
      </c>
      <c r="D2233" s="2">
        <v>4951517148</v>
      </c>
      <c r="E2233" s="2" t="s">
        <v>14</v>
      </c>
      <c r="F2233" s="2" t="s">
        <v>3246</v>
      </c>
      <c r="G2233" s="28" t="s">
        <v>5</v>
      </c>
      <c r="H2233" s="2" t="s">
        <v>17</v>
      </c>
      <c r="I2233" s="2">
        <v>1</v>
      </c>
      <c r="J2233" s="2" t="s">
        <v>3247</v>
      </c>
      <c r="K2233" s="2">
        <v>4369.2</v>
      </c>
      <c r="L2233" s="35">
        <f t="shared" si="117"/>
        <v>13964684.117999999</v>
      </c>
      <c r="M2233" s="36">
        <v>660</v>
      </c>
      <c r="N2233" s="40">
        <v>9208.6808510638293</v>
      </c>
      <c r="O2233" s="48">
        <v>12620.0062878958</v>
      </c>
      <c r="P2233" s="40">
        <v>8660.9361702127699</v>
      </c>
      <c r="Q2233" s="48">
        <v>3260.72310801707</v>
      </c>
      <c r="R2233" s="40">
        <f>16413.475177305+5674</f>
        <v>22087.475177305001</v>
      </c>
      <c r="S2233" s="40">
        <v>10052.652482269499</v>
      </c>
      <c r="T2233" s="40">
        <v>30000</v>
      </c>
      <c r="U2233" s="40">
        <v>161391.489361702</v>
      </c>
      <c r="V2233" s="40">
        <v>0</v>
      </c>
      <c r="W2233" s="45">
        <f t="shared" si="118"/>
        <v>257281.96343846596</v>
      </c>
      <c r="X2233" s="46">
        <f t="shared" si="119"/>
        <v>1.842375819348741</v>
      </c>
    </row>
    <row r="2234" spans="1:24" s="4" customFormat="1" ht="15" customHeight="1">
      <c r="A2234" s="28" t="s">
        <v>3019</v>
      </c>
      <c r="B2234" s="29">
        <v>3196.165</v>
      </c>
      <c r="C2234" s="30" t="s">
        <v>3245</v>
      </c>
      <c r="D2234" s="2">
        <v>4951517149</v>
      </c>
      <c r="E2234" s="2" t="s">
        <v>14</v>
      </c>
      <c r="F2234" s="2" t="s">
        <v>3246</v>
      </c>
      <c r="G2234" s="28" t="s">
        <v>5</v>
      </c>
      <c r="H2234" s="2" t="s">
        <v>17</v>
      </c>
      <c r="I2234" s="2">
        <v>1</v>
      </c>
      <c r="J2234" s="2" t="s">
        <v>3247</v>
      </c>
      <c r="K2234" s="2">
        <v>11897.6</v>
      </c>
      <c r="L2234" s="35">
        <f t="shared" si="117"/>
        <v>38026692.704000004</v>
      </c>
      <c r="M2234" s="36">
        <v>5720</v>
      </c>
      <c r="N2234" s="40">
        <v>79808.567375886501</v>
      </c>
      <c r="O2234" s="48">
        <v>109373.38782843</v>
      </c>
      <c r="P2234" s="40">
        <v>75061.446808510605</v>
      </c>
      <c r="Q2234" s="48">
        <v>28259.600269481201</v>
      </c>
      <c r="R2234" s="40">
        <f>142250.11820331+49173</f>
        <v>191423.11820331</v>
      </c>
      <c r="S2234" s="40">
        <v>87122.988179669002</v>
      </c>
      <c r="T2234" s="40">
        <v>30000</v>
      </c>
      <c r="U2234" s="40">
        <v>1398726.24113475</v>
      </c>
      <c r="V2234" s="40">
        <v>0</v>
      </c>
      <c r="W2234" s="45">
        <f t="shared" si="118"/>
        <v>1999775.3498000372</v>
      </c>
      <c r="X2234" s="46">
        <f t="shared" si="119"/>
        <v>5.2588726696962578</v>
      </c>
    </row>
    <row r="2235" spans="1:24" s="4" customFormat="1" ht="15" customHeight="1">
      <c r="A2235" s="28" t="s">
        <v>3019</v>
      </c>
      <c r="B2235" s="29">
        <v>3196.165</v>
      </c>
      <c r="C2235" s="30" t="s">
        <v>3245</v>
      </c>
      <c r="D2235" s="2">
        <v>4951268367</v>
      </c>
      <c r="E2235" s="2" t="s">
        <v>14</v>
      </c>
      <c r="F2235" s="2" t="s">
        <v>3246</v>
      </c>
      <c r="G2235" s="28" t="s">
        <v>5</v>
      </c>
      <c r="H2235" s="2" t="s">
        <v>17</v>
      </c>
      <c r="I2235" s="2">
        <v>1</v>
      </c>
      <c r="J2235" s="2" t="s">
        <v>3247</v>
      </c>
      <c r="K2235" s="2">
        <v>2767.5</v>
      </c>
      <c r="L2235" s="35">
        <f t="shared" si="117"/>
        <v>8845386.6374999993</v>
      </c>
      <c r="M2235" s="36">
        <v>675</v>
      </c>
      <c r="N2235" s="40">
        <v>9417.9690522243709</v>
      </c>
      <c r="O2235" s="48">
        <v>12906.8246126207</v>
      </c>
      <c r="P2235" s="40">
        <v>8857.7756286266904</v>
      </c>
      <c r="Q2235" s="48">
        <v>3334.8304513810899</v>
      </c>
      <c r="R2235" s="40">
        <f>16786.5087040619+5803</f>
        <v>22589.5087040619</v>
      </c>
      <c r="S2235" s="40">
        <v>10281.121856866501</v>
      </c>
      <c r="T2235" s="40">
        <v>30000</v>
      </c>
      <c r="U2235" s="40">
        <v>165059.47775628601</v>
      </c>
      <c r="V2235" s="40">
        <v>0</v>
      </c>
      <c r="W2235" s="45">
        <f t="shared" si="118"/>
        <v>262447.50806206727</v>
      </c>
      <c r="X2235" s="46">
        <f t="shared" si="119"/>
        <v>2.9670552437970499</v>
      </c>
    </row>
    <row r="2236" spans="1:24" s="4" customFormat="1" ht="15" customHeight="1">
      <c r="A2236" s="28" t="s">
        <v>3019</v>
      </c>
      <c r="B2236" s="29">
        <v>3196.165</v>
      </c>
      <c r="C2236" s="30" t="s">
        <v>3245</v>
      </c>
      <c r="D2236" s="2">
        <v>4951215078</v>
      </c>
      <c r="E2236" s="2" t="s">
        <v>14</v>
      </c>
      <c r="F2236" s="2" t="s">
        <v>3246</v>
      </c>
      <c r="G2236" s="28" t="s">
        <v>5</v>
      </c>
      <c r="H2236" s="2" t="s">
        <v>17</v>
      </c>
      <c r="I2236" s="2">
        <v>1</v>
      </c>
      <c r="J2236" s="2" t="s">
        <v>3247</v>
      </c>
      <c r="K2236" s="2">
        <v>2234.4</v>
      </c>
      <c r="L2236" s="35">
        <f t="shared" si="117"/>
        <v>7141511.0760000004</v>
      </c>
      <c r="M2236" s="36">
        <v>840</v>
      </c>
      <c r="N2236" s="40">
        <v>11720.139264990299</v>
      </c>
      <c r="O2236" s="48">
        <v>16061.8261845947</v>
      </c>
      <c r="P2236" s="40">
        <v>11023.0096711799</v>
      </c>
      <c r="Q2236" s="48">
        <v>4150.0112283853596</v>
      </c>
      <c r="R2236" s="40">
        <f>20889.8774983881+7221</f>
        <v>28110.877498388101</v>
      </c>
      <c r="S2236" s="40">
        <v>12794.284977433899</v>
      </c>
      <c r="T2236" s="40">
        <v>30000</v>
      </c>
      <c r="U2236" s="40">
        <v>205407.35009671201</v>
      </c>
      <c r="V2236" s="40">
        <v>0</v>
      </c>
      <c r="W2236" s="45">
        <f t="shared" si="118"/>
        <v>319267.49892168428</v>
      </c>
      <c r="X2236" s="46">
        <f t="shared" si="119"/>
        <v>4.4705874642500412</v>
      </c>
    </row>
    <row r="2237" spans="1:24" s="4" customFormat="1" ht="15" customHeight="1">
      <c r="A2237" s="28" t="s">
        <v>3019</v>
      </c>
      <c r="B2237" s="29">
        <v>3196.165</v>
      </c>
      <c r="C2237" s="30" t="s">
        <v>3248</v>
      </c>
      <c r="D2237" s="2">
        <v>4951325255</v>
      </c>
      <c r="E2237" s="2" t="s">
        <v>14</v>
      </c>
      <c r="F2237" s="2" t="s">
        <v>3249</v>
      </c>
      <c r="G2237" s="28" t="s">
        <v>5</v>
      </c>
      <c r="H2237" s="2" t="s">
        <v>20</v>
      </c>
      <c r="I2237" s="2">
        <v>2</v>
      </c>
      <c r="J2237" s="2" t="s">
        <v>3250</v>
      </c>
      <c r="K2237" s="2">
        <f>19872+19872</f>
        <v>39744</v>
      </c>
      <c r="L2237" s="35">
        <f t="shared" si="117"/>
        <v>127028381.76000001</v>
      </c>
      <c r="M2237" s="36">
        <f>8400+13200+13200+8400</f>
        <v>43200</v>
      </c>
      <c r="N2237" s="40">
        <v>957211</v>
      </c>
      <c r="O2237" s="40">
        <v>597453</v>
      </c>
      <c r="P2237" s="40">
        <v>491627</v>
      </c>
      <c r="Q2237" s="48">
        <v>491627</v>
      </c>
      <c r="R2237" s="40">
        <v>1388145</v>
      </c>
      <c r="S2237" s="40">
        <v>354356</v>
      </c>
      <c r="T2237" s="40">
        <v>30000</v>
      </c>
      <c r="U2237" s="40">
        <v>5179800</v>
      </c>
      <c r="V2237" s="40">
        <v>0</v>
      </c>
      <c r="W2237" s="45">
        <f t="shared" si="118"/>
        <v>9490219</v>
      </c>
      <c r="X2237" s="46">
        <f t="shared" si="119"/>
        <v>7.4709437910736076</v>
      </c>
    </row>
    <row r="2238" spans="1:24" s="4" customFormat="1" ht="15" customHeight="1">
      <c r="A2238" s="28" t="s">
        <v>3019</v>
      </c>
      <c r="B2238" s="29">
        <v>3196.165</v>
      </c>
      <c r="C2238" s="30" t="s">
        <v>3251</v>
      </c>
      <c r="D2238" s="2">
        <v>4948093541</v>
      </c>
      <c r="E2238" s="2" t="s">
        <v>6</v>
      </c>
      <c r="F2238" s="2" t="s">
        <v>3252</v>
      </c>
      <c r="G2238" s="28" t="s">
        <v>5</v>
      </c>
      <c r="H2238" s="2" t="s">
        <v>20</v>
      </c>
      <c r="I2238" s="2">
        <v>1</v>
      </c>
      <c r="J2238" s="2" t="s">
        <v>3253</v>
      </c>
      <c r="K2238" s="2">
        <v>16632</v>
      </c>
      <c r="L2238" s="35">
        <f t="shared" si="117"/>
        <v>53158616.280000001</v>
      </c>
      <c r="M2238" s="36">
        <f>1620+2160</f>
        <v>3780</v>
      </c>
      <c r="N2238" s="40">
        <v>377809</v>
      </c>
      <c r="O2238" s="40">
        <v>201879</v>
      </c>
      <c r="P2238" s="40">
        <v>0</v>
      </c>
      <c r="Q2238" s="40">
        <v>0</v>
      </c>
      <c r="R2238" s="40">
        <v>407198</v>
      </c>
      <c r="S2238" s="40">
        <v>354356</v>
      </c>
      <c r="T2238" s="40">
        <v>30000</v>
      </c>
      <c r="U2238" s="40">
        <v>2328000</v>
      </c>
      <c r="V2238" s="40">
        <v>0</v>
      </c>
      <c r="W2238" s="45">
        <f t="shared" si="118"/>
        <v>3699242</v>
      </c>
      <c r="X2238" s="46">
        <f t="shared" si="119"/>
        <v>6.9588756421257241</v>
      </c>
    </row>
    <row r="2239" spans="1:24" s="4" customFormat="1" ht="15" customHeight="1">
      <c r="A2239" s="28" t="s">
        <v>3019</v>
      </c>
      <c r="B2239" s="29">
        <v>3196.165</v>
      </c>
      <c r="C2239" s="30" t="s">
        <v>3254</v>
      </c>
      <c r="D2239" s="2">
        <v>4948417581</v>
      </c>
      <c r="E2239" s="2" t="s">
        <v>10</v>
      </c>
      <c r="F2239" s="2" t="s">
        <v>3255</v>
      </c>
      <c r="G2239" s="28" t="s">
        <v>5</v>
      </c>
      <c r="H2239" s="2" t="s">
        <v>17</v>
      </c>
      <c r="I2239" s="2">
        <v>1</v>
      </c>
      <c r="J2239" s="2" t="s">
        <v>3256</v>
      </c>
      <c r="K2239" s="2">
        <v>41068.800000000003</v>
      </c>
      <c r="L2239" s="35">
        <f t="shared" si="117"/>
        <v>131262661.15200001</v>
      </c>
      <c r="M2239" s="36">
        <f>12880+3680</f>
        <v>16560</v>
      </c>
      <c r="N2239" s="40">
        <v>335446</v>
      </c>
      <c r="O2239" s="40">
        <v>425734</v>
      </c>
      <c r="P2239" s="40">
        <v>0</v>
      </c>
      <c r="Q2239" s="40">
        <v>110000</v>
      </c>
      <c r="R2239" s="40">
        <v>960449</v>
      </c>
      <c r="S2239" s="40">
        <v>708712</v>
      </c>
      <c r="T2239" s="40"/>
      <c r="U2239" s="40">
        <v>1600500</v>
      </c>
      <c r="V2239" s="40">
        <v>0</v>
      </c>
      <c r="W2239" s="45">
        <f t="shared" si="118"/>
        <v>4140841</v>
      </c>
      <c r="X2239" s="46">
        <f t="shared" si="119"/>
        <v>3.1546221626613025</v>
      </c>
    </row>
    <row r="2240" spans="1:24" s="4" customFormat="1" ht="15" customHeight="1">
      <c r="A2240" s="28" t="s">
        <v>3019</v>
      </c>
      <c r="B2240" s="29">
        <v>3196.165</v>
      </c>
      <c r="C2240" s="30" t="s">
        <v>3257</v>
      </c>
      <c r="D2240" s="2">
        <v>4951411362</v>
      </c>
      <c r="E2240" s="2" t="s">
        <v>14</v>
      </c>
      <c r="F2240" s="2" t="s">
        <v>3258</v>
      </c>
      <c r="G2240" s="28" t="s">
        <v>9</v>
      </c>
      <c r="H2240" s="2" t="s">
        <v>23</v>
      </c>
      <c r="I2240" s="2">
        <v>5</v>
      </c>
      <c r="J2240" s="2"/>
      <c r="K2240" s="2">
        <v>106740.75</v>
      </c>
      <c r="L2240" s="35">
        <f t="shared" si="117"/>
        <v>341161049.22375</v>
      </c>
      <c r="M2240" s="36">
        <f>2250+75</f>
        <v>2325</v>
      </c>
      <c r="N2240" s="40">
        <v>215345</v>
      </c>
      <c r="O2240" s="40">
        <v>1621</v>
      </c>
      <c r="P2240" s="40">
        <v>230705</v>
      </c>
      <c r="Q2240" s="40">
        <v>40327</v>
      </c>
      <c r="R2240" s="40">
        <v>130533</v>
      </c>
      <c r="S2240" s="40">
        <v>354356</v>
      </c>
      <c r="T2240" s="40">
        <v>30000</v>
      </c>
      <c r="U2240" s="40">
        <v>2085500</v>
      </c>
      <c r="V2240" s="40">
        <v>0</v>
      </c>
      <c r="W2240" s="45">
        <f t="shared" si="118"/>
        <v>3088387</v>
      </c>
      <c r="X2240" s="46">
        <f t="shared" si="119"/>
        <v>0.90525779746165735</v>
      </c>
    </row>
    <row r="2241" spans="1:24" s="4" customFormat="1" ht="15" customHeight="1">
      <c r="A2241" s="28" t="s">
        <v>3019</v>
      </c>
      <c r="B2241" s="29">
        <v>3196.165</v>
      </c>
      <c r="C2241" s="30" t="s">
        <v>3259</v>
      </c>
      <c r="D2241" s="2">
        <v>4951152052</v>
      </c>
      <c r="E2241" s="2" t="s">
        <v>14</v>
      </c>
      <c r="F2241" s="2" t="s">
        <v>3260</v>
      </c>
      <c r="G2241" s="28" t="s">
        <v>5</v>
      </c>
      <c r="H2241" s="2" t="s">
        <v>20</v>
      </c>
      <c r="I2241" s="2">
        <v>2</v>
      </c>
      <c r="J2241" s="2" t="s">
        <v>3261</v>
      </c>
      <c r="K2241" s="2">
        <v>5280</v>
      </c>
      <c r="L2241" s="35">
        <f t="shared" si="117"/>
        <v>16875751.199999999</v>
      </c>
      <c r="M2241" s="36">
        <v>2400</v>
      </c>
      <c r="N2241" s="40">
        <v>69808.186152965907</v>
      </c>
      <c r="O2241" s="48">
        <v>59420.392904825501</v>
      </c>
      <c r="P2241" s="40">
        <v>0</v>
      </c>
      <c r="Q2241" s="48">
        <v>18183.696357047502</v>
      </c>
      <c r="R2241" s="40">
        <v>115343.204272363</v>
      </c>
      <c r="S2241" s="40">
        <v>32441.518214762498</v>
      </c>
      <c r="T2241" s="40">
        <v>30000</v>
      </c>
      <c r="U2241" s="40">
        <v>657150.48636276904</v>
      </c>
      <c r="V2241" s="40">
        <v>0</v>
      </c>
      <c r="W2241" s="45">
        <f t="shared" si="118"/>
        <v>982347.4842647335</v>
      </c>
      <c r="X2241" s="46">
        <f t="shared" si="119"/>
        <v>5.8210592975839415</v>
      </c>
    </row>
    <row r="2242" spans="1:24" s="4" customFormat="1" ht="15" customHeight="1">
      <c r="A2242" s="28" t="s">
        <v>3019</v>
      </c>
      <c r="B2242" s="29">
        <v>3196.165</v>
      </c>
      <c r="C2242" s="30" t="s">
        <v>3259</v>
      </c>
      <c r="D2242" s="2">
        <v>4951152052</v>
      </c>
      <c r="E2242" s="2" t="s">
        <v>14</v>
      </c>
      <c r="F2242" s="2" t="s">
        <v>3260</v>
      </c>
      <c r="G2242" s="28" t="s">
        <v>5</v>
      </c>
      <c r="H2242" s="2" t="s">
        <v>20</v>
      </c>
      <c r="I2242" s="2">
        <v>2</v>
      </c>
      <c r="J2242" s="2" t="s">
        <v>3261</v>
      </c>
      <c r="K2242" s="2">
        <v>26913.599999999999</v>
      </c>
      <c r="L2242" s="35">
        <f t="shared" si="117"/>
        <v>86020306.343999997</v>
      </c>
      <c r="M2242" s="36">
        <v>10080</v>
      </c>
      <c r="N2242" s="40">
        <v>293194.38184245699</v>
      </c>
      <c r="O2242" s="48">
        <v>249565.650200267</v>
      </c>
      <c r="P2242" s="40">
        <v>0</v>
      </c>
      <c r="Q2242" s="48">
        <v>76371.524699599497</v>
      </c>
      <c r="R2242" s="40">
        <f>330637.457943925+153805</f>
        <v>484442.45794392499</v>
      </c>
      <c r="S2242" s="40">
        <v>136254.376502003</v>
      </c>
      <c r="T2242" s="40">
        <v>30000</v>
      </c>
      <c r="U2242" s="40">
        <v>2760032.0427236301</v>
      </c>
      <c r="V2242" s="40">
        <v>0</v>
      </c>
      <c r="W2242" s="45">
        <f t="shared" si="118"/>
        <v>4029860.4339118814</v>
      </c>
      <c r="X2242" s="46">
        <f t="shared" si="119"/>
        <v>4.6847780543773521</v>
      </c>
    </row>
    <row r="2243" spans="1:24" s="4" customFormat="1" ht="15" customHeight="1">
      <c r="A2243" s="28" t="s">
        <v>3019</v>
      </c>
      <c r="B2243" s="29">
        <v>3196.165</v>
      </c>
      <c r="C2243" s="30" t="s">
        <v>3259</v>
      </c>
      <c r="D2243" s="2">
        <v>4950722777</v>
      </c>
      <c r="E2243" s="2" t="s">
        <v>14</v>
      </c>
      <c r="F2243" s="2" t="s">
        <v>3260</v>
      </c>
      <c r="G2243" s="28" t="s">
        <v>5</v>
      </c>
      <c r="H2243" s="2" t="s">
        <v>20</v>
      </c>
      <c r="I2243" s="2">
        <v>2</v>
      </c>
      <c r="J2243" s="2" t="s">
        <v>3261</v>
      </c>
      <c r="K2243" s="2">
        <v>25821.8</v>
      </c>
      <c r="L2243" s="35">
        <f t="shared" si="117"/>
        <v>82530733.397</v>
      </c>
      <c r="M2243" s="36">
        <v>13735</v>
      </c>
      <c r="N2243" s="40">
        <v>399506.43200457701</v>
      </c>
      <c r="O2243" s="48">
        <v>340057.95689490699</v>
      </c>
      <c r="P2243" s="40">
        <v>0</v>
      </c>
      <c r="Q2243" s="48">
        <v>104063.778943353</v>
      </c>
      <c r="R2243" s="40">
        <f>450526.337783712+209575</f>
        <v>660101.33778371196</v>
      </c>
      <c r="S2243" s="40">
        <v>185660.105283235</v>
      </c>
      <c r="T2243" s="40">
        <v>30000</v>
      </c>
      <c r="U2243" s="40">
        <v>3760817.4709136002</v>
      </c>
      <c r="V2243" s="40">
        <v>0</v>
      </c>
      <c r="W2243" s="45">
        <f t="shared" si="118"/>
        <v>5480207.0818233844</v>
      </c>
      <c r="X2243" s="46">
        <f t="shared" si="119"/>
        <v>6.6402016027917554</v>
      </c>
    </row>
    <row r="2244" spans="1:24" s="4" customFormat="1" ht="15" customHeight="1">
      <c r="A2244" s="28" t="s">
        <v>3019</v>
      </c>
      <c r="B2244" s="29">
        <v>3196.165</v>
      </c>
      <c r="C2244" s="30" t="s">
        <v>3262</v>
      </c>
      <c r="D2244" s="2">
        <v>4951379395</v>
      </c>
      <c r="E2244" s="2" t="s">
        <v>33</v>
      </c>
      <c r="F2244" s="2" t="s">
        <v>3263</v>
      </c>
      <c r="G2244" s="28" t="s">
        <v>9</v>
      </c>
      <c r="H2244" s="2" t="s">
        <v>23</v>
      </c>
      <c r="I2244" s="2">
        <v>4</v>
      </c>
      <c r="J2244" s="2"/>
      <c r="K2244" s="2">
        <v>10000</v>
      </c>
      <c r="L2244" s="35">
        <f t="shared" si="117"/>
        <v>31961650</v>
      </c>
      <c r="M2244" s="36">
        <v>2000</v>
      </c>
      <c r="N2244" s="40">
        <v>1627984</v>
      </c>
      <c r="O2244" s="40">
        <v>1418</v>
      </c>
      <c r="P2244" s="40">
        <v>0</v>
      </c>
      <c r="Q2244" s="40">
        <v>35119</v>
      </c>
      <c r="R2244" s="40">
        <v>124351</v>
      </c>
      <c r="S2244" s="40">
        <v>354356</v>
      </c>
      <c r="T2244" s="40"/>
      <c r="U2244" s="40">
        <v>2163100</v>
      </c>
      <c r="V2244" s="40">
        <v>0</v>
      </c>
      <c r="W2244" s="45">
        <f t="shared" si="118"/>
        <v>4306328</v>
      </c>
      <c r="X2244" s="46">
        <f t="shared" si="119"/>
        <v>13.47342205424313</v>
      </c>
    </row>
    <row r="2245" spans="1:24" s="4" customFormat="1" ht="15" customHeight="1">
      <c r="A2245" s="28" t="s">
        <v>3019</v>
      </c>
      <c r="B2245" s="29">
        <v>3196.165</v>
      </c>
      <c r="C2245" s="30" t="s">
        <v>3264</v>
      </c>
      <c r="D2245" s="2">
        <v>4951408240</v>
      </c>
      <c r="E2245" s="2" t="s">
        <v>18</v>
      </c>
      <c r="F2245" s="2" t="s">
        <v>3265</v>
      </c>
      <c r="G2245" s="28" t="s">
        <v>9</v>
      </c>
      <c r="H2245" s="2" t="s">
        <v>23</v>
      </c>
      <c r="I2245" s="2">
        <v>1</v>
      </c>
      <c r="J2245" s="2"/>
      <c r="K2245" s="2">
        <v>6714.4</v>
      </c>
      <c r="L2245" s="35">
        <f t="shared" si="117"/>
        <v>21460330.275999997</v>
      </c>
      <c r="M2245" s="36">
        <v>440</v>
      </c>
      <c r="N2245" s="40">
        <v>442234</v>
      </c>
      <c r="O2245" s="40">
        <f>321+322</f>
        <v>643</v>
      </c>
      <c r="P2245" s="40">
        <v>15200</v>
      </c>
      <c r="Q2245" s="40">
        <v>8088</v>
      </c>
      <c r="R2245" s="40">
        <v>373038</v>
      </c>
      <c r="S2245" s="40">
        <v>354356</v>
      </c>
      <c r="T2245" s="40">
        <v>30000</v>
      </c>
      <c r="U2245" s="40">
        <v>179836.722750549</v>
      </c>
      <c r="V2245" s="40">
        <v>0</v>
      </c>
      <c r="W2245" s="45">
        <f t="shared" si="118"/>
        <v>1403395.722750549</v>
      </c>
      <c r="X2245" s="46">
        <f t="shared" si="119"/>
        <v>6.5394879980949145</v>
      </c>
    </row>
    <row r="2246" spans="1:24" s="4" customFormat="1" ht="15" customHeight="1">
      <c r="A2246" s="28" t="s">
        <v>3019</v>
      </c>
      <c r="B2246" s="29">
        <v>3196.165</v>
      </c>
      <c r="C2246" s="30" t="s">
        <v>3266</v>
      </c>
      <c r="D2246" s="2">
        <v>4950038778</v>
      </c>
      <c r="E2246" s="2" t="s">
        <v>6</v>
      </c>
      <c r="F2246" s="2" t="s">
        <v>3267</v>
      </c>
      <c r="G2246" s="28" t="s">
        <v>9</v>
      </c>
      <c r="H2246" s="2" t="s">
        <v>23</v>
      </c>
      <c r="I2246" s="2">
        <v>6</v>
      </c>
      <c r="J2246" s="2"/>
      <c r="K2246" s="2">
        <v>7128</v>
      </c>
      <c r="L2246" s="35">
        <f t="shared" si="117"/>
        <v>22782264.120000001</v>
      </c>
      <c r="M2246" s="36">
        <v>4752</v>
      </c>
      <c r="N2246" s="40">
        <v>1145164</v>
      </c>
      <c r="O2246" s="40">
        <v>4426</v>
      </c>
      <c r="P2246" s="40">
        <v>0</v>
      </c>
      <c r="Q2246" s="40">
        <v>109266</v>
      </c>
      <c r="R2246" s="40">
        <v>205360</v>
      </c>
      <c r="S2246" s="40">
        <v>354356</v>
      </c>
      <c r="T2246" s="40">
        <v>30000</v>
      </c>
      <c r="U2246" s="40">
        <v>2085500</v>
      </c>
      <c r="V2246" s="40">
        <v>0</v>
      </c>
      <c r="W2246" s="45">
        <f t="shared" si="118"/>
        <v>3934072</v>
      </c>
      <c r="X2246" s="46">
        <f t="shared" si="119"/>
        <v>17.268134454408212</v>
      </c>
    </row>
    <row r="2247" spans="1:24" s="4" customFormat="1" ht="15" customHeight="1">
      <c r="A2247" s="28" t="s">
        <v>3019</v>
      </c>
      <c r="B2247" s="29">
        <v>3196.165</v>
      </c>
      <c r="C2247" s="30" t="s">
        <v>3268</v>
      </c>
      <c r="D2247" s="2">
        <v>4948542304</v>
      </c>
      <c r="E2247" s="2" t="s">
        <v>6</v>
      </c>
      <c r="F2247" s="78" t="s">
        <v>3269</v>
      </c>
      <c r="G2247" s="28" t="s">
        <v>5</v>
      </c>
      <c r="H2247" s="2" t="s">
        <v>3270</v>
      </c>
      <c r="I2247" s="2">
        <v>5</v>
      </c>
      <c r="J2247" s="2" t="s">
        <v>3271</v>
      </c>
      <c r="K2247" s="2">
        <v>254144</v>
      </c>
      <c r="L2247" s="35">
        <f t="shared" si="117"/>
        <v>812286157.75999999</v>
      </c>
      <c r="M2247" s="36">
        <f>8000+8000+8000+8000</f>
        <v>32000</v>
      </c>
      <c r="N2247" s="40">
        <v>1906272</v>
      </c>
      <c r="O2247" s="40">
        <v>2583166</v>
      </c>
      <c r="P2247" s="40">
        <v>0</v>
      </c>
      <c r="Q2247" s="40">
        <v>692802</v>
      </c>
      <c r="R2247" s="40">
        <v>4157669</v>
      </c>
      <c r="S2247" s="40">
        <v>354356</v>
      </c>
      <c r="T2247" s="40">
        <v>30000</v>
      </c>
      <c r="U2247" s="40">
        <v>21495200</v>
      </c>
      <c r="V2247" s="40">
        <v>0</v>
      </c>
      <c r="W2247" s="45">
        <f t="shared" si="118"/>
        <v>31219465</v>
      </c>
      <c r="X2247" s="46">
        <f t="shared" si="119"/>
        <v>3.8434072403858663</v>
      </c>
    </row>
    <row r="2248" spans="1:24" s="4" customFormat="1" ht="15" customHeight="1">
      <c r="A2248" s="28" t="s">
        <v>3019</v>
      </c>
      <c r="B2248" s="29">
        <v>3196.165</v>
      </c>
      <c r="C2248" s="30" t="s">
        <v>3272</v>
      </c>
      <c r="D2248" s="2">
        <v>4950808384</v>
      </c>
      <c r="E2248" s="2" t="s">
        <v>24</v>
      </c>
      <c r="F2248" s="2" t="s">
        <v>3273</v>
      </c>
      <c r="G2248" s="28" t="s">
        <v>9</v>
      </c>
      <c r="H2248" s="2" t="s">
        <v>23</v>
      </c>
      <c r="I2248" s="2">
        <v>3</v>
      </c>
      <c r="J2248" s="2"/>
      <c r="K2248" s="2">
        <v>5200.8</v>
      </c>
      <c r="L2248" s="35">
        <f t="shared" si="117"/>
        <v>16622614.932</v>
      </c>
      <c r="M2248" s="36">
        <v>2640</v>
      </c>
      <c r="N2248" s="40">
        <v>1269030</v>
      </c>
      <c r="O2248" s="40">
        <v>1791</v>
      </c>
      <c r="P2248" s="40">
        <v>83347</v>
      </c>
      <c r="Q2248" s="40">
        <v>44441</v>
      </c>
      <c r="R2248" s="40">
        <v>131387</v>
      </c>
      <c r="S2248" s="40">
        <v>354356</v>
      </c>
      <c r="T2248" s="40"/>
      <c r="U2248" s="40">
        <v>1079020.3365032901</v>
      </c>
      <c r="V2248" s="40">
        <v>0</v>
      </c>
      <c r="W2248" s="45">
        <f t="shared" si="118"/>
        <v>2963372.3365032901</v>
      </c>
      <c r="X2248" s="46">
        <f t="shared" si="119"/>
        <v>17.827353569976147</v>
      </c>
    </row>
    <row r="2249" spans="1:24" s="4" customFormat="1" ht="15" customHeight="1">
      <c r="A2249" s="28" t="s">
        <v>3019</v>
      </c>
      <c r="B2249" s="29">
        <v>3196.165</v>
      </c>
      <c r="C2249" s="30" t="s">
        <v>3274</v>
      </c>
      <c r="D2249" s="2">
        <v>4951180950</v>
      </c>
      <c r="E2249" s="2" t="s">
        <v>14</v>
      </c>
      <c r="F2249" s="2" t="s">
        <v>3275</v>
      </c>
      <c r="G2249" s="28" t="s">
        <v>5</v>
      </c>
      <c r="H2249" s="2" t="s">
        <v>20</v>
      </c>
      <c r="I2249" s="2">
        <v>1</v>
      </c>
      <c r="J2249" s="2" t="s">
        <v>3276</v>
      </c>
      <c r="K2249" s="2">
        <v>14720</v>
      </c>
      <c r="L2249" s="35">
        <f t="shared" si="117"/>
        <v>47047548.799999997</v>
      </c>
      <c r="M2249" s="36">
        <v>16000</v>
      </c>
      <c r="N2249" s="40">
        <v>380103</v>
      </c>
      <c r="O2249" s="40">
        <v>324522</v>
      </c>
      <c r="P2249" s="40">
        <v>585924</v>
      </c>
      <c r="Q2249" s="40">
        <v>110000</v>
      </c>
      <c r="R2249" s="40">
        <v>641516</v>
      </c>
      <c r="S2249" s="40">
        <v>354356</v>
      </c>
      <c r="T2249" s="40">
        <v>30000</v>
      </c>
      <c r="U2249" s="40">
        <v>0</v>
      </c>
      <c r="V2249" s="40">
        <v>0</v>
      </c>
      <c r="W2249" s="45">
        <f t="shared" si="118"/>
        <v>2426421</v>
      </c>
      <c r="X2249" s="46">
        <f t="shared" si="119"/>
        <v>5.1573802714244703</v>
      </c>
    </row>
    <row r="2250" spans="1:24" s="4" customFormat="1" ht="15" customHeight="1">
      <c r="A2250" s="28" t="s">
        <v>3019</v>
      </c>
      <c r="B2250" s="29">
        <v>3196.165</v>
      </c>
      <c r="C2250" s="30" t="s">
        <v>3277</v>
      </c>
      <c r="D2250" s="2">
        <v>4951489699</v>
      </c>
      <c r="E2250" s="2" t="s">
        <v>24</v>
      </c>
      <c r="F2250" s="2" t="s">
        <v>3278</v>
      </c>
      <c r="G2250" s="28" t="s">
        <v>9</v>
      </c>
      <c r="H2250" s="2" t="s">
        <v>23</v>
      </c>
      <c r="I2250" s="2">
        <v>2</v>
      </c>
      <c r="J2250" s="2"/>
      <c r="K2250" s="2">
        <v>5643</v>
      </c>
      <c r="L2250" s="35">
        <f t="shared" si="117"/>
        <v>18035959.094999999</v>
      </c>
      <c r="M2250" s="36">
        <v>1100</v>
      </c>
      <c r="N2250" s="40">
        <v>384821</v>
      </c>
      <c r="O2250" s="40">
        <v>774</v>
      </c>
      <c r="P2250" s="40">
        <v>0</v>
      </c>
      <c r="Q2250" s="40">
        <v>19328</v>
      </c>
      <c r="R2250" s="40">
        <v>594625</v>
      </c>
      <c r="S2250" s="40">
        <v>354356</v>
      </c>
      <c r="T2250" s="40"/>
      <c r="U2250" s="40">
        <v>1367700</v>
      </c>
      <c r="V2250" s="40">
        <v>0</v>
      </c>
      <c r="W2250" s="45">
        <f t="shared" si="118"/>
        <v>2721604</v>
      </c>
      <c r="X2250" s="46">
        <f t="shared" si="119"/>
        <v>15.08987676044627</v>
      </c>
    </row>
    <row r="2251" spans="1:24" s="4" customFormat="1" ht="15" customHeight="1">
      <c r="A2251" s="28" t="s">
        <v>3019</v>
      </c>
      <c r="B2251" s="29">
        <v>3196.165</v>
      </c>
      <c r="C2251" s="30" t="s">
        <v>3279</v>
      </c>
      <c r="D2251" s="2">
        <v>4951726548</v>
      </c>
      <c r="E2251" s="2" t="s">
        <v>14</v>
      </c>
      <c r="F2251" s="2" t="s">
        <v>3280</v>
      </c>
      <c r="G2251" s="28" t="s">
        <v>9</v>
      </c>
      <c r="H2251" s="2" t="s">
        <v>23</v>
      </c>
      <c r="I2251" s="2">
        <v>1</v>
      </c>
      <c r="J2251" s="2"/>
      <c r="K2251" s="2">
        <v>5049.75</v>
      </c>
      <c r="L2251" s="35">
        <f t="shared" si="117"/>
        <v>16139834.20875</v>
      </c>
      <c r="M2251" s="36">
        <v>750</v>
      </c>
      <c r="N2251" s="40">
        <v>495936</v>
      </c>
      <c r="O2251" s="40">
        <v>516</v>
      </c>
      <c r="P2251" s="40">
        <v>0</v>
      </c>
      <c r="Q2251" s="40">
        <v>12732</v>
      </c>
      <c r="R2251" s="40">
        <v>100902</v>
      </c>
      <c r="S2251" s="40">
        <v>354356</v>
      </c>
      <c r="T2251" s="40">
        <v>30000</v>
      </c>
      <c r="U2251" s="40">
        <v>305195.12195121998</v>
      </c>
      <c r="V2251" s="40">
        <v>0</v>
      </c>
      <c r="W2251" s="45">
        <f t="shared" si="118"/>
        <v>1299637.1219512201</v>
      </c>
      <c r="X2251" s="46">
        <f t="shared" si="119"/>
        <v>8.0523573237613491</v>
      </c>
    </row>
    <row r="2252" spans="1:24" s="4" customFormat="1" ht="15" customHeight="1">
      <c r="A2252" s="28" t="s">
        <v>3019</v>
      </c>
      <c r="B2252" s="29">
        <v>3196.165</v>
      </c>
      <c r="C2252" s="30" t="s">
        <v>3281</v>
      </c>
      <c r="D2252" s="2">
        <v>4951726548</v>
      </c>
      <c r="E2252" s="2" t="s">
        <v>14</v>
      </c>
      <c r="F2252" s="2" t="s">
        <v>3280</v>
      </c>
      <c r="G2252" s="28" t="s">
        <v>9</v>
      </c>
      <c r="H2252" s="2" t="s">
        <v>23</v>
      </c>
      <c r="I2252" s="2">
        <v>1</v>
      </c>
      <c r="J2252" s="2"/>
      <c r="K2252" s="2">
        <v>5049.75</v>
      </c>
      <c r="L2252" s="35">
        <f t="shared" si="117"/>
        <v>16139834.20875</v>
      </c>
      <c r="M2252" s="36">
        <v>750</v>
      </c>
      <c r="N2252" s="40">
        <v>23317.128309572301</v>
      </c>
      <c r="O2252" s="40">
        <v>37817</v>
      </c>
      <c r="P2252" s="40">
        <v>0</v>
      </c>
      <c r="Q2252" s="40">
        <v>9878</v>
      </c>
      <c r="R2252" s="40">
        <v>69307.403258655802</v>
      </c>
      <c r="S2252" s="40">
        <v>354356</v>
      </c>
      <c r="T2252" s="40">
        <v>30000</v>
      </c>
      <c r="U2252" s="40">
        <v>343302.953156823</v>
      </c>
      <c r="V2252" s="40">
        <v>0</v>
      </c>
      <c r="W2252" s="45">
        <f t="shared" si="118"/>
        <v>867978.48472505109</v>
      </c>
      <c r="X2252" s="46">
        <f t="shared" si="119"/>
        <v>5.3778649365213917</v>
      </c>
    </row>
    <row r="2253" spans="1:24" s="4" customFormat="1" ht="15" customHeight="1">
      <c r="A2253" s="28" t="s">
        <v>3019</v>
      </c>
      <c r="B2253" s="29">
        <v>3196.165</v>
      </c>
      <c r="C2253" s="30" t="s">
        <v>3282</v>
      </c>
      <c r="D2253" s="2">
        <v>4949079065</v>
      </c>
      <c r="E2253" s="2" t="s">
        <v>6</v>
      </c>
      <c r="F2253" s="2" t="s">
        <v>3283</v>
      </c>
      <c r="G2253" s="28" t="s">
        <v>5</v>
      </c>
      <c r="H2253" s="2" t="s">
        <v>17</v>
      </c>
      <c r="I2253" s="2">
        <v>1</v>
      </c>
      <c r="J2253" s="2" t="s">
        <v>3284</v>
      </c>
      <c r="K2253" s="2">
        <v>16761.599999999999</v>
      </c>
      <c r="L2253" s="35">
        <f t="shared" si="117"/>
        <v>53572839.263999991</v>
      </c>
      <c r="M2253" s="36">
        <v>4320</v>
      </c>
      <c r="N2253" s="40">
        <v>143899.99185336</v>
      </c>
      <c r="O2253" s="48">
        <v>251325.94736842101</v>
      </c>
      <c r="P2253" s="40">
        <v>0</v>
      </c>
      <c r="Q2253" s="48">
        <v>58801.736842105303</v>
      </c>
      <c r="R2253" s="40">
        <v>413478.282666952</v>
      </c>
      <c r="S2253" s="40">
        <v>167852.842105263</v>
      </c>
      <c r="T2253" s="40">
        <v>30000</v>
      </c>
      <c r="U2253" s="40">
        <v>2118669.65376782</v>
      </c>
      <c r="V2253" s="40">
        <v>0</v>
      </c>
      <c r="W2253" s="45">
        <f t="shared" si="118"/>
        <v>3184028.4546039212</v>
      </c>
      <c r="X2253" s="46">
        <f t="shared" si="119"/>
        <v>5.9433632757701016</v>
      </c>
    </row>
    <row r="2254" spans="1:24" s="4" customFormat="1" ht="15" customHeight="1">
      <c r="A2254" s="28" t="s">
        <v>3019</v>
      </c>
      <c r="B2254" s="29">
        <v>3196.165</v>
      </c>
      <c r="C2254" s="30" t="s">
        <v>3282</v>
      </c>
      <c r="D2254" s="2">
        <v>4948303930</v>
      </c>
      <c r="E2254" s="2" t="s">
        <v>6</v>
      </c>
      <c r="F2254" s="2" t="s">
        <v>3283</v>
      </c>
      <c r="G2254" s="28" t="s">
        <v>5</v>
      </c>
      <c r="H2254" s="2" t="s">
        <v>17</v>
      </c>
      <c r="I2254" s="2">
        <v>1</v>
      </c>
      <c r="J2254" s="2" t="s">
        <v>3284</v>
      </c>
      <c r="K2254" s="2">
        <v>6444</v>
      </c>
      <c r="L2254" s="35">
        <f t="shared" si="117"/>
        <v>20596087.259999998</v>
      </c>
      <c r="M2254" s="36">
        <v>1200</v>
      </c>
      <c r="N2254" s="40">
        <v>39972.219959266797</v>
      </c>
      <c r="O2254" s="48">
        <v>69812.763157894704</v>
      </c>
      <c r="P2254" s="40">
        <v>0</v>
      </c>
      <c r="Q2254" s="48">
        <v>16333.8157894737</v>
      </c>
      <c r="R2254" s="40">
        <v>114855.07851859801</v>
      </c>
      <c r="S2254" s="40">
        <v>46625.789473684199</v>
      </c>
      <c r="T2254" s="40">
        <v>30000</v>
      </c>
      <c r="U2254" s="40">
        <v>588519.34826883895</v>
      </c>
      <c r="V2254" s="40">
        <v>0</v>
      </c>
      <c r="W2254" s="45">
        <f t="shared" si="118"/>
        <v>906119.01516775636</v>
      </c>
      <c r="X2254" s="46">
        <f t="shared" si="119"/>
        <v>4.3994716264751172</v>
      </c>
    </row>
    <row r="2255" spans="1:24" s="4" customFormat="1" ht="15" customHeight="1">
      <c r="A2255" s="28" t="s">
        <v>3019</v>
      </c>
      <c r="B2255" s="29">
        <v>3196.165</v>
      </c>
      <c r="C2255" s="30" t="s">
        <v>3282</v>
      </c>
      <c r="D2255" s="2">
        <v>4948303927</v>
      </c>
      <c r="E2255" s="2" t="s">
        <v>6</v>
      </c>
      <c r="F2255" s="2" t="s">
        <v>3283</v>
      </c>
      <c r="G2255" s="28" t="s">
        <v>5</v>
      </c>
      <c r="H2255" s="2" t="s">
        <v>17</v>
      </c>
      <c r="I2255" s="2">
        <v>1</v>
      </c>
      <c r="J2255" s="2" t="s">
        <v>3284</v>
      </c>
      <c r="K2255" s="2">
        <v>13968</v>
      </c>
      <c r="L2255" s="35">
        <f t="shared" si="117"/>
        <v>44644032.719999999</v>
      </c>
      <c r="M2255" s="36">
        <v>3600</v>
      </c>
      <c r="N2255" s="40">
        <v>119916.6598778</v>
      </c>
      <c r="O2255" s="48">
        <v>209438.28947368401</v>
      </c>
      <c r="P2255" s="40">
        <v>0</v>
      </c>
      <c r="Q2255" s="48">
        <v>49001.447368421097</v>
      </c>
      <c r="R2255" s="40">
        <v>344565.23555579397</v>
      </c>
      <c r="S2255" s="40">
        <v>139877.36842105299</v>
      </c>
      <c r="T2255" s="40">
        <v>30000</v>
      </c>
      <c r="U2255" s="40">
        <v>1765558.04480652</v>
      </c>
      <c r="V2255" s="40">
        <v>0</v>
      </c>
      <c r="W2255" s="45">
        <f t="shared" si="118"/>
        <v>2658357.0455032717</v>
      </c>
      <c r="X2255" s="46">
        <f t="shared" si="119"/>
        <v>5.954562980849083</v>
      </c>
    </row>
    <row r="2256" spans="1:24" s="4" customFormat="1" ht="15" customHeight="1">
      <c r="A2256" s="28" t="s">
        <v>3019</v>
      </c>
      <c r="B2256" s="29">
        <v>3196.165</v>
      </c>
      <c r="C2256" s="30" t="s">
        <v>3285</v>
      </c>
      <c r="D2256" s="2">
        <v>4951046399</v>
      </c>
      <c r="E2256" s="2" t="s">
        <v>14</v>
      </c>
      <c r="F2256" s="2" t="s">
        <v>3286</v>
      </c>
      <c r="G2256" s="28" t="s">
        <v>9</v>
      </c>
      <c r="H2256" s="2" t="s">
        <v>23</v>
      </c>
      <c r="I2256" s="2">
        <v>8</v>
      </c>
      <c r="J2256" s="2"/>
      <c r="K2256" s="2">
        <v>7776</v>
      </c>
      <c r="L2256" s="35">
        <f t="shared" si="117"/>
        <v>24853379.039999999</v>
      </c>
      <c r="M2256" s="36">
        <v>2160</v>
      </c>
      <c r="N2256" s="40">
        <v>664368.338028169</v>
      </c>
      <c r="O2256" s="48">
        <v>1517.0704225352099</v>
      </c>
      <c r="P2256" s="40">
        <v>58618.647887323903</v>
      </c>
      <c r="Q2256" s="48">
        <v>47243.154929577497</v>
      </c>
      <c r="R2256" s="40">
        <v>113664.67605633799</v>
      </c>
      <c r="S2256" s="40">
        <v>179673.464788732</v>
      </c>
      <c r="T2256" s="40">
        <v>30000</v>
      </c>
      <c r="U2256" s="40">
        <v>882834.82077542099</v>
      </c>
      <c r="V2256" s="40">
        <v>0</v>
      </c>
      <c r="W2256" s="45">
        <f t="shared" si="118"/>
        <v>1977920.1728880964</v>
      </c>
      <c r="X2256" s="46">
        <f t="shared" si="119"/>
        <v>7.9583551584867172</v>
      </c>
    </row>
    <row r="2257" spans="1:24" s="4" customFormat="1" ht="15" customHeight="1">
      <c r="A2257" s="28" t="s">
        <v>3019</v>
      </c>
      <c r="B2257" s="29">
        <v>3196.165</v>
      </c>
      <c r="C2257" s="30" t="s">
        <v>3285</v>
      </c>
      <c r="D2257" s="2">
        <v>4951619248</v>
      </c>
      <c r="E2257" s="2" t="s">
        <v>14</v>
      </c>
      <c r="F2257" s="2" t="s">
        <v>3286</v>
      </c>
      <c r="G2257" s="28" t="s">
        <v>9</v>
      </c>
      <c r="H2257" s="2" t="s">
        <v>23</v>
      </c>
      <c r="I2257" s="2">
        <v>8</v>
      </c>
      <c r="J2257" s="2"/>
      <c r="K2257" s="2">
        <v>37755</v>
      </c>
      <c r="L2257" s="35">
        <f t="shared" si="117"/>
        <v>120671209.575</v>
      </c>
      <c r="M2257" s="36">
        <v>900</v>
      </c>
      <c r="N2257" s="40">
        <v>276820.14084507001</v>
      </c>
      <c r="O2257" s="48">
        <v>632.11267605633805</v>
      </c>
      <c r="P2257" s="40">
        <v>24424.436619718301</v>
      </c>
      <c r="Q2257" s="48">
        <v>19684.647887323899</v>
      </c>
      <c r="R2257" s="40">
        <v>47360.2816901408</v>
      </c>
      <c r="S2257" s="40">
        <v>74863.943661971804</v>
      </c>
      <c r="T2257" s="40">
        <v>30000</v>
      </c>
      <c r="U2257" s="40">
        <v>367847.84198975901</v>
      </c>
      <c r="V2257" s="40">
        <v>0</v>
      </c>
      <c r="W2257" s="45">
        <f t="shared" si="118"/>
        <v>841633.40537004021</v>
      </c>
      <c r="X2257" s="46">
        <f t="shared" si="119"/>
        <v>0.69745998928347963</v>
      </c>
    </row>
    <row r="2258" spans="1:24" s="4" customFormat="1" ht="15" customHeight="1">
      <c r="A2258" s="28" t="s">
        <v>3019</v>
      </c>
      <c r="B2258" s="29">
        <v>3196.165</v>
      </c>
      <c r="C2258" s="30" t="s">
        <v>3285</v>
      </c>
      <c r="D2258" s="2">
        <v>4951647411</v>
      </c>
      <c r="E2258" s="2" t="s">
        <v>14</v>
      </c>
      <c r="F2258" s="2" t="s">
        <v>3286</v>
      </c>
      <c r="G2258" s="28" t="s">
        <v>9</v>
      </c>
      <c r="H2258" s="2" t="s">
        <v>23</v>
      </c>
      <c r="I2258" s="2">
        <v>8</v>
      </c>
      <c r="J2258" s="2"/>
      <c r="K2258" s="2">
        <v>3312</v>
      </c>
      <c r="L2258" s="35">
        <f t="shared" si="117"/>
        <v>10585698.48</v>
      </c>
      <c r="M2258" s="36">
        <v>600</v>
      </c>
      <c r="N2258" s="40">
        <v>184546.76056338</v>
      </c>
      <c r="O2258" s="48">
        <v>421.408450704225</v>
      </c>
      <c r="P2258" s="40">
        <v>16282.9577464789</v>
      </c>
      <c r="Q2258" s="48">
        <v>13123.0985915493</v>
      </c>
      <c r="R2258" s="40">
        <v>31573.521126760599</v>
      </c>
      <c r="S2258" s="40">
        <v>49909.295774647901</v>
      </c>
      <c r="T2258" s="40">
        <v>30000</v>
      </c>
      <c r="U2258" s="40">
        <v>245231.89465983899</v>
      </c>
      <c r="V2258" s="40">
        <v>0</v>
      </c>
      <c r="W2258" s="45">
        <f t="shared" si="118"/>
        <v>571088.93691335991</v>
      </c>
      <c r="X2258" s="46">
        <f t="shared" si="119"/>
        <v>5.394910293282412</v>
      </c>
    </row>
    <row r="2259" spans="1:24" s="4" customFormat="1" ht="15" customHeight="1">
      <c r="A2259" s="28" t="s">
        <v>3019</v>
      </c>
      <c r="B2259" s="29">
        <v>3196.165</v>
      </c>
      <c r="C2259" s="30" t="s">
        <v>3285</v>
      </c>
      <c r="D2259" s="2">
        <v>4951647411</v>
      </c>
      <c r="E2259" s="2" t="s">
        <v>14</v>
      </c>
      <c r="F2259" s="2" t="s">
        <v>3286</v>
      </c>
      <c r="G2259" s="28" t="s">
        <v>9</v>
      </c>
      <c r="H2259" s="2" t="s">
        <v>23</v>
      </c>
      <c r="I2259" s="2">
        <v>8</v>
      </c>
      <c r="J2259" s="2"/>
      <c r="K2259" s="2">
        <v>3348</v>
      </c>
      <c r="L2259" s="35">
        <f t="shared" si="117"/>
        <v>10700760.42</v>
      </c>
      <c r="M2259" s="36">
        <v>600</v>
      </c>
      <c r="N2259" s="40">
        <v>184546.76056338</v>
      </c>
      <c r="O2259" s="48">
        <v>421.408450704225</v>
      </c>
      <c r="P2259" s="40">
        <v>16282.9577464789</v>
      </c>
      <c r="Q2259" s="48">
        <v>13123.0985915493</v>
      </c>
      <c r="R2259" s="40">
        <v>31573.521126760599</v>
      </c>
      <c r="S2259" s="40">
        <v>49909.295774647901</v>
      </c>
      <c r="T2259" s="40">
        <v>30000</v>
      </c>
      <c r="U2259" s="40">
        <v>245231.89465983899</v>
      </c>
      <c r="V2259" s="40">
        <v>0</v>
      </c>
      <c r="W2259" s="45">
        <f t="shared" si="118"/>
        <v>571088.93691335991</v>
      </c>
      <c r="X2259" s="46">
        <f t="shared" si="119"/>
        <v>5.3369005051826024</v>
      </c>
    </row>
    <row r="2260" spans="1:24" s="4" customFormat="1" ht="15" customHeight="1">
      <c r="A2260" s="28" t="s">
        <v>3019</v>
      </c>
      <c r="B2260" s="29">
        <v>3196.165</v>
      </c>
      <c r="C2260" s="30" t="s">
        <v>3287</v>
      </c>
      <c r="D2260" s="2">
        <v>4951300635</v>
      </c>
      <c r="E2260" s="2" t="s">
        <v>36</v>
      </c>
      <c r="F2260" s="2" t="s">
        <v>3288</v>
      </c>
      <c r="G2260" s="28" t="s">
        <v>5</v>
      </c>
      <c r="H2260" s="2" t="s">
        <v>20</v>
      </c>
      <c r="I2260" s="2">
        <v>3</v>
      </c>
      <c r="J2260" s="2" t="s">
        <v>3289</v>
      </c>
      <c r="K2260" s="2">
        <v>94185</v>
      </c>
      <c r="L2260" s="35">
        <f t="shared" si="117"/>
        <v>301030800.52499998</v>
      </c>
      <c r="M2260" s="36">
        <v>58500</v>
      </c>
      <c r="N2260" s="40">
        <v>1021879</v>
      </c>
      <c r="O2260" s="40">
        <v>973566</v>
      </c>
      <c r="P2260" s="40">
        <v>0</v>
      </c>
      <c r="Q2260" s="40">
        <v>297928</v>
      </c>
      <c r="R2260" s="40">
        <v>2187143</v>
      </c>
      <c r="S2260" s="40">
        <v>354356</v>
      </c>
      <c r="T2260" s="40"/>
      <c r="U2260" s="40">
        <v>1557900</v>
      </c>
      <c r="V2260" s="40">
        <v>0</v>
      </c>
      <c r="W2260" s="45">
        <f t="shared" si="118"/>
        <v>6392772</v>
      </c>
      <c r="X2260" s="46">
        <f t="shared" si="119"/>
        <v>2.1236272131791689</v>
      </c>
    </row>
    <row r="2261" spans="1:24" s="4" customFormat="1" ht="15" customHeight="1">
      <c r="A2261" s="28" t="s">
        <v>3019</v>
      </c>
      <c r="B2261" s="29">
        <v>3196.165</v>
      </c>
      <c r="C2261" s="30" t="s">
        <v>3290</v>
      </c>
      <c r="D2261" s="2">
        <v>4951315461</v>
      </c>
      <c r="E2261" s="2" t="s">
        <v>36</v>
      </c>
      <c r="F2261" s="2" t="s">
        <v>3291</v>
      </c>
      <c r="G2261" s="28" t="s">
        <v>5</v>
      </c>
      <c r="H2261" s="2" t="s">
        <v>20</v>
      </c>
      <c r="I2261" s="2">
        <v>3</v>
      </c>
      <c r="J2261" s="2" t="s">
        <v>3292</v>
      </c>
      <c r="K2261" s="2">
        <v>94185</v>
      </c>
      <c r="L2261" s="35">
        <f t="shared" si="117"/>
        <v>301030800.52499998</v>
      </c>
      <c r="M2261" s="36">
        <v>58500</v>
      </c>
      <c r="N2261" s="40">
        <v>1265086</v>
      </c>
      <c r="O2261" s="40">
        <v>973566</v>
      </c>
      <c r="P2261" s="40">
        <v>0</v>
      </c>
      <c r="Q2261" s="40">
        <v>297928</v>
      </c>
      <c r="R2261" s="40">
        <v>2187143</v>
      </c>
      <c r="S2261" s="40">
        <v>354356</v>
      </c>
      <c r="T2261" s="40"/>
      <c r="U2261" s="40">
        <v>1557900</v>
      </c>
      <c r="V2261" s="40">
        <v>0</v>
      </c>
      <c r="W2261" s="45">
        <f t="shared" si="118"/>
        <v>6635979</v>
      </c>
      <c r="X2261" s="46">
        <f t="shared" si="119"/>
        <v>2.2044186137853012</v>
      </c>
    </row>
    <row r="2262" spans="1:24" s="4" customFormat="1" ht="15" customHeight="1">
      <c r="A2262" s="28" t="s">
        <v>3019</v>
      </c>
      <c r="B2262" s="29">
        <v>3196.165</v>
      </c>
      <c r="C2262" s="30" t="s">
        <v>3293</v>
      </c>
      <c r="D2262" s="2">
        <v>4951490845</v>
      </c>
      <c r="E2262" s="2" t="s">
        <v>18</v>
      </c>
      <c r="F2262" s="2" t="s">
        <v>3294</v>
      </c>
      <c r="G2262" s="28" t="s">
        <v>9</v>
      </c>
      <c r="H2262" s="2" t="s">
        <v>23</v>
      </c>
      <c r="I2262" s="2">
        <v>1</v>
      </c>
      <c r="J2262" s="2"/>
      <c r="K2262" s="2">
        <v>3420</v>
      </c>
      <c r="L2262" s="35">
        <f t="shared" si="117"/>
        <v>10930884.300000001</v>
      </c>
      <c r="M2262" s="36">
        <v>760</v>
      </c>
      <c r="N2262" s="40">
        <v>1408719</v>
      </c>
      <c r="O2262" s="40">
        <v>0</v>
      </c>
      <c r="P2262" s="40">
        <v>110798</v>
      </c>
      <c r="Q2262" s="40">
        <v>48104</v>
      </c>
      <c r="R2262" s="40">
        <v>77456</v>
      </c>
      <c r="S2262" s="40">
        <v>354356</v>
      </c>
      <c r="T2262" s="40">
        <v>30000</v>
      </c>
      <c r="U2262" s="40">
        <v>1299800</v>
      </c>
      <c r="V2262" s="40">
        <v>0</v>
      </c>
      <c r="W2262" s="45">
        <f t="shared" si="118"/>
        <v>3329233</v>
      </c>
      <c r="X2262" s="46">
        <f t="shared" si="119"/>
        <v>30.457124132216823</v>
      </c>
    </row>
    <row r="2263" spans="1:24" s="4" customFormat="1" ht="15" customHeight="1">
      <c r="A2263" s="28" t="s">
        <v>3019</v>
      </c>
      <c r="B2263" s="29">
        <v>3196.165</v>
      </c>
      <c r="C2263" s="30" t="s">
        <v>3295</v>
      </c>
      <c r="D2263" s="2">
        <v>4950979338</v>
      </c>
      <c r="E2263" s="2" t="s">
        <v>33</v>
      </c>
      <c r="F2263" s="2" t="s">
        <v>3296</v>
      </c>
      <c r="G2263" s="28" t="s">
        <v>5</v>
      </c>
      <c r="H2263" s="2" t="s">
        <v>20</v>
      </c>
      <c r="I2263" s="2">
        <v>2</v>
      </c>
      <c r="J2263" s="2" t="s">
        <v>3297</v>
      </c>
      <c r="K2263" s="2">
        <v>52668</v>
      </c>
      <c r="L2263" s="35">
        <f t="shared" si="117"/>
        <v>168335618.22</v>
      </c>
      <c r="M2263" s="36">
        <v>39600</v>
      </c>
      <c r="N2263" s="40">
        <v>2335672</v>
      </c>
      <c r="O2263" s="40">
        <v>602666</v>
      </c>
      <c r="P2263" s="40">
        <v>1068129</v>
      </c>
      <c r="Q2263" s="40">
        <v>237220</v>
      </c>
      <c r="R2263" s="40">
        <v>1401474</v>
      </c>
      <c r="S2263" s="40">
        <v>354356</v>
      </c>
      <c r="T2263" s="40"/>
      <c r="U2263" s="40">
        <v>8594200</v>
      </c>
      <c r="V2263" s="40">
        <v>0</v>
      </c>
      <c r="W2263" s="45">
        <f t="shared" si="118"/>
        <v>14593717</v>
      </c>
      <c r="X2263" s="46">
        <f t="shared" si="119"/>
        <v>8.6694171764214989</v>
      </c>
    </row>
    <row r="2264" spans="1:24" s="4" customFormat="1" ht="15" customHeight="1">
      <c r="A2264" s="28" t="s">
        <v>3019</v>
      </c>
      <c r="B2264" s="29">
        <v>3196.165</v>
      </c>
      <c r="C2264" s="30" t="s">
        <v>3298</v>
      </c>
      <c r="D2264" s="2">
        <v>4950753442</v>
      </c>
      <c r="E2264" s="2" t="s">
        <v>33</v>
      </c>
      <c r="F2264" s="2" t="s">
        <v>3299</v>
      </c>
      <c r="G2264" s="28" t="s">
        <v>5</v>
      </c>
      <c r="H2264" s="2" t="s">
        <v>20</v>
      </c>
      <c r="I2264" s="2">
        <v>1</v>
      </c>
      <c r="J2264" s="2" t="s">
        <v>3300</v>
      </c>
      <c r="K2264" s="2">
        <v>15120</v>
      </c>
      <c r="L2264" s="35">
        <f t="shared" si="117"/>
        <v>48326014.799999997</v>
      </c>
      <c r="M2264" s="36">
        <v>24000</v>
      </c>
      <c r="N2264" s="40">
        <v>663009</v>
      </c>
      <c r="O2264" s="40">
        <v>301333</v>
      </c>
      <c r="P2264" s="40">
        <v>1234262</v>
      </c>
      <c r="Q2264" s="40">
        <v>112198</v>
      </c>
      <c r="R2264" s="40">
        <v>553861</v>
      </c>
      <c r="S2264" s="40">
        <v>354356</v>
      </c>
      <c r="T2264" s="40"/>
      <c r="U2264" s="40">
        <v>5304500</v>
      </c>
      <c r="V2264" s="40">
        <v>0</v>
      </c>
      <c r="W2264" s="45">
        <f t="shared" si="118"/>
        <v>8523519</v>
      </c>
      <c r="X2264" s="46">
        <f t="shared" si="119"/>
        <v>17.637537535993967</v>
      </c>
    </row>
    <row r="2265" spans="1:24" s="4" customFormat="1" ht="15" customHeight="1">
      <c r="A2265" s="28" t="s">
        <v>3019</v>
      </c>
      <c r="B2265" s="29">
        <v>3196.165</v>
      </c>
      <c r="C2265" s="30" t="s">
        <v>3301</v>
      </c>
      <c r="D2265" s="2" t="s">
        <v>3302</v>
      </c>
      <c r="E2265" s="2" t="s">
        <v>33</v>
      </c>
      <c r="F2265" s="2" t="s">
        <v>3303</v>
      </c>
      <c r="G2265" s="28" t="s">
        <v>13</v>
      </c>
      <c r="H2265" s="2" t="s">
        <v>23</v>
      </c>
      <c r="I2265" s="2">
        <v>1</v>
      </c>
      <c r="J2265" s="2"/>
      <c r="K2265" s="2">
        <v>12749</v>
      </c>
      <c r="L2265" s="35">
        <f t="shared" si="117"/>
        <v>40747907.585000001</v>
      </c>
      <c r="M2265" s="36">
        <v>550</v>
      </c>
      <c r="N2265" s="40">
        <v>842273</v>
      </c>
      <c r="O2265" s="40">
        <v>0</v>
      </c>
      <c r="P2265" s="40">
        <v>0</v>
      </c>
      <c r="Q2265" s="40">
        <v>0</v>
      </c>
      <c r="R2265" s="40">
        <v>3369</v>
      </c>
      <c r="S2265" s="40">
        <v>354356</v>
      </c>
      <c r="T2265" s="40"/>
      <c r="U2265" s="40">
        <v>246380</v>
      </c>
      <c r="V2265" s="40">
        <v>0</v>
      </c>
      <c r="W2265" s="45">
        <f t="shared" si="118"/>
        <v>1446378</v>
      </c>
      <c r="X2265" s="46">
        <f t="shared" si="119"/>
        <v>3.5495761272719593</v>
      </c>
    </row>
    <row r="2266" spans="1:24" s="4" customFormat="1" ht="15" customHeight="1">
      <c r="A2266" s="28" t="s">
        <v>3019</v>
      </c>
      <c r="B2266" s="29">
        <v>3196.165</v>
      </c>
      <c r="C2266" s="30" t="s">
        <v>3304</v>
      </c>
      <c r="D2266" s="2">
        <v>4951796905</v>
      </c>
      <c r="E2266" s="2" t="s">
        <v>14</v>
      </c>
      <c r="F2266" s="78" t="s">
        <v>3305</v>
      </c>
      <c r="G2266" s="28" t="s">
        <v>13</v>
      </c>
      <c r="H2266" s="2" t="s">
        <v>23</v>
      </c>
      <c r="I2266" s="2">
        <v>1</v>
      </c>
      <c r="J2266" s="2"/>
      <c r="K2266" s="2">
        <v>996.2</v>
      </c>
      <c r="L2266" s="35">
        <f t="shared" si="117"/>
        <v>3184019.5730000003</v>
      </c>
      <c r="M2266" s="36">
        <v>20</v>
      </c>
      <c r="N2266" s="40">
        <v>297194.59000000003</v>
      </c>
      <c r="O2266" s="40">
        <v>0</v>
      </c>
      <c r="P2266" s="40">
        <v>0</v>
      </c>
      <c r="Q2266" s="40">
        <v>0</v>
      </c>
      <c r="R2266" s="40">
        <v>1189</v>
      </c>
      <c r="S2266" s="40">
        <v>354356</v>
      </c>
      <c r="T2266" s="40">
        <v>30000</v>
      </c>
      <c r="U2266" s="40">
        <v>246380</v>
      </c>
      <c r="V2266" s="40">
        <v>0</v>
      </c>
      <c r="W2266" s="45">
        <f t="shared" si="118"/>
        <v>929119.59000000008</v>
      </c>
      <c r="X2266" s="46">
        <f t="shared" si="119"/>
        <v>29.180712263165475</v>
      </c>
    </row>
    <row r="2267" spans="1:24" s="4" customFormat="1" ht="15" customHeight="1">
      <c r="A2267" s="28" t="s">
        <v>3019</v>
      </c>
      <c r="B2267" s="29">
        <v>3196.165</v>
      </c>
      <c r="C2267" s="30" t="s">
        <v>3306</v>
      </c>
      <c r="D2267" s="2">
        <v>4950783971</v>
      </c>
      <c r="E2267" s="2" t="s">
        <v>33</v>
      </c>
      <c r="F2267" s="2" t="s">
        <v>3307</v>
      </c>
      <c r="G2267" s="28" t="s">
        <v>9</v>
      </c>
      <c r="H2267" s="2" t="s">
        <v>23</v>
      </c>
      <c r="I2267" s="2">
        <v>5</v>
      </c>
      <c r="J2267" s="2"/>
      <c r="K2267" s="2">
        <v>9921.6200000000008</v>
      </c>
      <c r="L2267" s="35">
        <f t="shared" si="117"/>
        <v>31711134.587300003</v>
      </c>
      <c r="M2267" s="36">
        <v>1446.3</v>
      </c>
      <c r="N2267" s="40">
        <v>1068003</v>
      </c>
      <c r="O2267" s="40">
        <v>1311</v>
      </c>
      <c r="P2267" s="40">
        <v>0</v>
      </c>
      <c r="Q2267" s="40">
        <v>41170</v>
      </c>
      <c r="R2267" s="40">
        <v>127252</v>
      </c>
      <c r="S2267" s="40">
        <v>354356</v>
      </c>
      <c r="T2267" s="40"/>
      <c r="U2267" s="40">
        <v>2163100</v>
      </c>
      <c r="V2267" s="40">
        <v>0</v>
      </c>
      <c r="W2267" s="45">
        <f t="shared" si="118"/>
        <v>3755192</v>
      </c>
      <c r="X2267" s="46">
        <f t="shared" si="119"/>
        <v>11.841872102248646</v>
      </c>
    </row>
    <row r="2268" spans="1:24" s="4" customFormat="1" ht="15" customHeight="1">
      <c r="A2268" s="28" t="s">
        <v>3019</v>
      </c>
      <c r="B2268" s="29">
        <v>3196.165</v>
      </c>
      <c r="C2268" s="30" t="s">
        <v>3308</v>
      </c>
      <c r="D2268" s="2">
        <v>4950783971</v>
      </c>
      <c r="E2268" s="2" t="s">
        <v>33</v>
      </c>
      <c r="F2268" s="2" t="s">
        <v>3307</v>
      </c>
      <c r="G2268" s="28" t="s">
        <v>9</v>
      </c>
      <c r="H2268" s="2" t="s">
        <v>23</v>
      </c>
      <c r="I2268" s="2">
        <v>5</v>
      </c>
      <c r="J2268" s="2"/>
      <c r="K2268" s="2">
        <v>9921.6200000000008</v>
      </c>
      <c r="L2268" s="35">
        <f t="shared" si="117"/>
        <v>31711134.587300003</v>
      </c>
      <c r="M2268" s="36">
        <v>1446.3</v>
      </c>
      <c r="N2268" s="40">
        <v>459969</v>
      </c>
      <c r="O2268" s="40">
        <v>225</v>
      </c>
      <c r="P2268" s="40">
        <v>11031</v>
      </c>
      <c r="Q2268" s="40">
        <v>5930</v>
      </c>
      <c r="R2268" s="40">
        <v>94653</v>
      </c>
      <c r="S2268" s="40">
        <v>354356</v>
      </c>
      <c r="T2268" s="40"/>
      <c r="U2268" s="40">
        <v>134877.542062911</v>
      </c>
      <c r="V2268" s="40">
        <v>0</v>
      </c>
      <c r="W2268" s="45">
        <f t="shared" si="118"/>
        <v>1061041.542062911</v>
      </c>
      <c r="X2268" s="46">
        <f t="shared" si="119"/>
        <v>3.3459589379934949</v>
      </c>
    </row>
    <row r="2269" spans="1:24" s="4" customFormat="1" ht="15" customHeight="1">
      <c r="A2269" s="28" t="s">
        <v>3019</v>
      </c>
      <c r="B2269" s="29">
        <v>3196.165</v>
      </c>
      <c r="C2269" s="30" t="s">
        <v>3309</v>
      </c>
      <c r="D2269" s="2">
        <v>4951517142</v>
      </c>
      <c r="E2269" s="2" t="s">
        <v>14</v>
      </c>
      <c r="F2269" s="2" t="s">
        <v>3310</v>
      </c>
      <c r="G2269" s="28" t="s">
        <v>9</v>
      </c>
      <c r="H2269" s="2" t="s">
        <v>23</v>
      </c>
      <c r="I2269" s="2">
        <v>3</v>
      </c>
      <c r="J2269" s="2"/>
      <c r="K2269" s="2">
        <v>5175.75</v>
      </c>
      <c r="L2269" s="35">
        <f t="shared" si="117"/>
        <v>16542550.998749999</v>
      </c>
      <c r="M2269" s="36">
        <v>2575</v>
      </c>
      <c r="N2269" s="40">
        <v>819079</v>
      </c>
      <c r="O2269" s="40">
        <v>1668</v>
      </c>
      <c r="P2269" s="40">
        <v>0</v>
      </c>
      <c r="Q2269" s="40">
        <v>51977</v>
      </c>
      <c r="R2269" s="40">
        <v>140769</v>
      </c>
      <c r="S2269" s="40">
        <v>354356</v>
      </c>
      <c r="T2269" s="40">
        <v>30000</v>
      </c>
      <c r="U2269" s="40">
        <v>1047836.58536585</v>
      </c>
      <c r="V2269" s="40">
        <v>0</v>
      </c>
      <c r="W2269" s="45">
        <f t="shared" si="118"/>
        <v>2445685.58536585</v>
      </c>
      <c r="X2269" s="46">
        <f t="shared" si="119"/>
        <v>14.78421064290902</v>
      </c>
    </row>
    <row r="2270" spans="1:24" s="4" customFormat="1" ht="15" customHeight="1">
      <c r="A2270" s="28" t="s">
        <v>3019</v>
      </c>
      <c r="B2270" s="29">
        <v>3196.165</v>
      </c>
      <c r="C2270" s="30" t="s">
        <v>3311</v>
      </c>
      <c r="D2270" s="2">
        <v>4951241943</v>
      </c>
      <c r="E2270" s="2" t="s">
        <v>24</v>
      </c>
      <c r="F2270" s="2" t="s">
        <v>3312</v>
      </c>
      <c r="G2270" s="28" t="s">
        <v>9</v>
      </c>
      <c r="H2270" s="2" t="s">
        <v>23</v>
      </c>
      <c r="I2270" s="2">
        <v>6</v>
      </c>
      <c r="J2270" s="2"/>
      <c r="K2270" s="2">
        <v>3860</v>
      </c>
      <c r="L2270" s="35">
        <f t="shared" si="117"/>
        <v>12337196.9</v>
      </c>
      <c r="M2270" s="36">
        <f>4000+2000</f>
        <v>6000</v>
      </c>
      <c r="N2270" s="40">
        <v>820138</v>
      </c>
      <c r="O2270" s="40">
        <v>4073</v>
      </c>
      <c r="P2270" s="40">
        <v>189336</v>
      </c>
      <c r="Q2270" s="40">
        <v>100861</v>
      </c>
      <c r="R2270" s="40">
        <v>193025</v>
      </c>
      <c r="S2270" s="40">
        <v>354356</v>
      </c>
      <c r="T2270" s="40"/>
      <c r="U2270" s="40">
        <v>2452318.9465983901</v>
      </c>
      <c r="V2270" s="40">
        <v>0</v>
      </c>
      <c r="W2270" s="45">
        <f t="shared" si="118"/>
        <v>4114107.9465983901</v>
      </c>
      <c r="X2270" s="46">
        <f t="shared" si="119"/>
        <v>33.347185587987092</v>
      </c>
    </row>
    <row r="2271" spans="1:24" s="4" customFormat="1" ht="15" customHeight="1">
      <c r="A2271" s="28" t="s">
        <v>3019</v>
      </c>
      <c r="B2271" s="29">
        <v>3196.165</v>
      </c>
      <c r="C2271" s="30" t="s">
        <v>3313</v>
      </c>
      <c r="D2271" s="2">
        <v>4951218059</v>
      </c>
      <c r="E2271" s="2" t="s">
        <v>33</v>
      </c>
      <c r="F2271" s="2" t="s">
        <v>3314</v>
      </c>
      <c r="G2271" s="28" t="s">
        <v>5</v>
      </c>
      <c r="H2271" s="2" t="s">
        <v>17</v>
      </c>
      <c r="I2271" s="2">
        <v>1</v>
      </c>
      <c r="J2271" s="2" t="s">
        <v>3315</v>
      </c>
      <c r="K2271" s="2">
        <v>1259.5999999999999</v>
      </c>
      <c r="L2271" s="35">
        <f t="shared" si="117"/>
        <v>4025889.4339999999</v>
      </c>
      <c r="M2271" s="36">
        <v>900</v>
      </c>
      <c r="N2271" s="40">
        <v>17079.899888351301</v>
      </c>
      <c r="O2271" s="48">
        <v>182980.229226361</v>
      </c>
      <c r="P2271" s="40">
        <v>25644.534099367302</v>
      </c>
      <c r="Q2271" s="48">
        <v>47277.936962750697</v>
      </c>
      <c r="R2271" s="40">
        <v>39025.033820245597</v>
      </c>
      <c r="S2271" s="40">
        <v>15874.805917379999</v>
      </c>
      <c r="T2271" s="48"/>
      <c r="U2271" s="40">
        <v>211408.87374395199</v>
      </c>
      <c r="V2271" s="40">
        <v>0</v>
      </c>
      <c r="W2271" s="45">
        <f t="shared" si="118"/>
        <v>539291.31365840789</v>
      </c>
      <c r="X2271" s="46">
        <f t="shared" si="119"/>
        <v>13.395581833517584</v>
      </c>
    </row>
    <row r="2272" spans="1:24" s="4" customFormat="1" ht="15" customHeight="1">
      <c r="A2272" s="28" t="s">
        <v>3019</v>
      </c>
      <c r="B2272" s="29">
        <v>3196.165</v>
      </c>
      <c r="C2272" s="30" t="s">
        <v>3313</v>
      </c>
      <c r="D2272" s="2">
        <v>4951218059</v>
      </c>
      <c r="E2272" s="2" t="s">
        <v>33</v>
      </c>
      <c r="F2272" s="2" t="s">
        <v>3314</v>
      </c>
      <c r="G2272" s="28" t="s">
        <v>5</v>
      </c>
      <c r="H2272" s="2" t="s">
        <v>17</v>
      </c>
      <c r="I2272" s="2">
        <v>1</v>
      </c>
      <c r="J2272" s="2" t="s">
        <v>3315</v>
      </c>
      <c r="K2272" s="2">
        <v>3601.37</v>
      </c>
      <c r="L2272" s="35">
        <f t="shared" si="117"/>
        <v>11510572.74605</v>
      </c>
      <c r="M2272" s="36">
        <v>900</v>
      </c>
      <c r="N2272" s="40">
        <v>51310.644212876803</v>
      </c>
      <c r="O2272" s="48">
        <v>182980.229226361</v>
      </c>
      <c r="P2272" s="40">
        <v>77040.121650539601</v>
      </c>
      <c r="Q2272" s="48">
        <v>47277.936962750697</v>
      </c>
      <c r="R2272" s="40">
        <f>90319.9821827317+26917</f>
        <v>117236.98218273171</v>
      </c>
      <c r="S2272" s="40">
        <v>47690.356717528797</v>
      </c>
      <c r="T2272" s="48"/>
      <c r="U2272" s="40">
        <v>635104.74739486398</v>
      </c>
      <c r="V2272" s="40">
        <v>0</v>
      </c>
      <c r="W2272" s="45">
        <f t="shared" si="118"/>
        <v>1158641.0183476526</v>
      </c>
      <c r="X2272" s="46">
        <f t="shared" si="119"/>
        <v>10.065885025097948</v>
      </c>
    </row>
    <row r="2273" spans="1:24" s="4" customFormat="1" ht="15" customHeight="1">
      <c r="A2273" s="28" t="s">
        <v>3019</v>
      </c>
      <c r="B2273" s="29">
        <v>3196.165</v>
      </c>
      <c r="C2273" s="30" t="s">
        <v>3313</v>
      </c>
      <c r="D2273" s="2">
        <v>4951218059</v>
      </c>
      <c r="E2273" s="2" t="s">
        <v>33</v>
      </c>
      <c r="F2273" s="2" t="s">
        <v>3314</v>
      </c>
      <c r="G2273" s="28" t="s">
        <v>5</v>
      </c>
      <c r="H2273" s="2" t="s">
        <v>17</v>
      </c>
      <c r="I2273" s="2">
        <v>1</v>
      </c>
      <c r="J2273" s="2" t="s">
        <v>3315</v>
      </c>
      <c r="K2273" s="2">
        <v>17544</v>
      </c>
      <c r="L2273" s="35">
        <f t="shared" si="117"/>
        <v>56073518.759999998</v>
      </c>
      <c r="M2273" s="36">
        <v>170</v>
      </c>
      <c r="N2273" s="40">
        <v>180908.596948269</v>
      </c>
      <c r="O2273" s="48">
        <v>34562.932187201499</v>
      </c>
      <c r="P2273" s="40">
        <v>271624.34871604003</v>
      </c>
      <c r="Q2273" s="48">
        <v>8930.2769818529105</v>
      </c>
      <c r="R2273" s="40">
        <f>318445.841086714+94901</f>
        <v>413346.841086714</v>
      </c>
      <c r="S2273" s="40">
        <v>168144.36174171901</v>
      </c>
      <c r="T2273" s="48"/>
      <c r="U2273" s="40">
        <v>2239221.7156680301</v>
      </c>
      <c r="V2273" s="40">
        <v>0</v>
      </c>
      <c r="W2273" s="45">
        <f t="shared" si="118"/>
        <v>3316739.0733298268</v>
      </c>
      <c r="X2273" s="46">
        <f t="shared" si="119"/>
        <v>5.9149829485925185</v>
      </c>
    </row>
    <row r="2274" spans="1:24" s="4" customFormat="1" ht="15" customHeight="1">
      <c r="A2274" s="28" t="s">
        <v>3019</v>
      </c>
      <c r="B2274" s="29">
        <v>3196.165</v>
      </c>
      <c r="C2274" s="30" t="s">
        <v>3313</v>
      </c>
      <c r="D2274" s="2">
        <v>4951218059</v>
      </c>
      <c r="E2274" s="2" t="s">
        <v>33</v>
      </c>
      <c r="F2274" s="2" t="s">
        <v>3314</v>
      </c>
      <c r="G2274" s="28" t="s">
        <v>5</v>
      </c>
      <c r="H2274" s="2" t="s">
        <v>17</v>
      </c>
      <c r="I2274" s="2">
        <v>1</v>
      </c>
      <c r="J2274" s="2" t="s">
        <v>3315</v>
      </c>
      <c r="K2274" s="2">
        <v>13630.08</v>
      </c>
      <c r="L2274" s="35">
        <f t="shared" si="117"/>
        <v>43563984.643200003</v>
      </c>
      <c r="M2274" s="36">
        <v>124</v>
      </c>
      <c r="N2274" s="40">
        <v>131956.85895050201</v>
      </c>
      <c r="O2274" s="48">
        <v>25210.6093600764</v>
      </c>
      <c r="P2274" s="40">
        <v>198125.99553405301</v>
      </c>
      <c r="Q2274" s="48">
        <v>6513.8490926456498</v>
      </c>
      <c r="R2274" s="40">
        <f>232278.142910309+69222</f>
        <v>301500.14291030902</v>
      </c>
      <c r="S2274" s="40">
        <v>122646.475623372</v>
      </c>
      <c r="T2274" s="48"/>
      <c r="U2274" s="40">
        <v>1633314.66319315</v>
      </c>
      <c r="V2274" s="40">
        <v>0</v>
      </c>
      <c r="W2274" s="45">
        <f t="shared" si="118"/>
        <v>2419268.594664108</v>
      </c>
      <c r="X2274" s="46">
        <f t="shared" si="119"/>
        <v>5.5533684865572486</v>
      </c>
    </row>
    <row r="2275" spans="1:24" s="4" customFormat="1" ht="15" customHeight="1">
      <c r="A2275" s="28" t="s">
        <v>3019</v>
      </c>
      <c r="B2275" s="29">
        <v>3196.165</v>
      </c>
      <c r="C2275" s="30" t="s">
        <v>3316</v>
      </c>
      <c r="D2275" s="2">
        <v>4951271206</v>
      </c>
      <c r="E2275" s="2" t="s">
        <v>27</v>
      </c>
      <c r="F2275" s="2" t="s">
        <v>3317</v>
      </c>
      <c r="G2275" s="28" t="s">
        <v>9</v>
      </c>
      <c r="H2275" s="2" t="s">
        <v>23</v>
      </c>
      <c r="I2275" s="2">
        <v>4</v>
      </c>
      <c r="J2275" s="2"/>
      <c r="K2275" s="2">
        <v>20000</v>
      </c>
      <c r="L2275" s="35">
        <f t="shared" si="117"/>
        <v>63923300</v>
      </c>
      <c r="M2275" s="36">
        <v>4000</v>
      </c>
      <c r="N2275" s="40">
        <v>3038186</v>
      </c>
      <c r="O2275" s="40">
        <v>0</v>
      </c>
      <c r="P2275" s="40">
        <v>511606</v>
      </c>
      <c r="Q2275" s="40">
        <v>88156</v>
      </c>
      <c r="R2275" s="40">
        <v>142476</v>
      </c>
      <c r="S2275" s="40">
        <v>354356</v>
      </c>
      <c r="T2275" s="40"/>
      <c r="U2275" s="40">
        <v>1920600</v>
      </c>
      <c r="V2275" s="40">
        <v>0</v>
      </c>
      <c r="W2275" s="45">
        <f t="shared" si="118"/>
        <v>6055380</v>
      </c>
      <c r="X2275" s="46">
        <f t="shared" si="119"/>
        <v>9.4728839093100632</v>
      </c>
    </row>
    <row r="2276" spans="1:24" s="4" customFormat="1" ht="15" customHeight="1">
      <c r="A2276" s="28" t="s">
        <v>3019</v>
      </c>
      <c r="B2276" s="29">
        <v>3196.165</v>
      </c>
      <c r="C2276" s="30" t="s">
        <v>3318</v>
      </c>
      <c r="D2276" s="2">
        <v>4951647416</v>
      </c>
      <c r="E2276" s="2" t="s">
        <v>14</v>
      </c>
      <c r="F2276" s="2" t="s">
        <v>3319</v>
      </c>
      <c r="G2276" s="28" t="s">
        <v>13</v>
      </c>
      <c r="H2276" s="2" t="s">
        <v>23</v>
      </c>
      <c r="I2276" s="2">
        <v>1</v>
      </c>
      <c r="J2276" s="2"/>
      <c r="K2276" s="2">
        <v>443.1</v>
      </c>
      <c r="L2276" s="35">
        <f t="shared" si="117"/>
        <v>1416220.7115</v>
      </c>
      <c r="M2276" s="36">
        <v>10</v>
      </c>
      <c r="N2276" s="40">
        <v>323655</v>
      </c>
      <c r="O2276" s="40">
        <v>0</v>
      </c>
      <c r="P2276" s="40">
        <v>0</v>
      </c>
      <c r="Q2276" s="40">
        <v>0</v>
      </c>
      <c r="R2276" s="40">
        <v>1292</v>
      </c>
      <c r="S2276" s="40">
        <v>354356</v>
      </c>
      <c r="T2276" s="40">
        <v>30000</v>
      </c>
      <c r="U2276" s="40">
        <v>17598.571428571398</v>
      </c>
      <c r="V2276" s="40">
        <v>0</v>
      </c>
      <c r="W2276" s="45">
        <f t="shared" si="118"/>
        <v>726901.57142857136</v>
      </c>
      <c r="X2276" s="46">
        <f t="shared" si="119"/>
        <v>51.326856437417057</v>
      </c>
    </row>
    <row r="2277" spans="1:24" s="4" customFormat="1" ht="15" customHeight="1">
      <c r="A2277" s="28" t="s">
        <v>3019</v>
      </c>
      <c r="B2277" s="29">
        <v>3196.165</v>
      </c>
      <c r="C2277" s="30" t="s">
        <v>3320</v>
      </c>
      <c r="D2277" s="2">
        <v>4951796024</v>
      </c>
      <c r="E2277" s="2" t="s">
        <v>14</v>
      </c>
      <c r="F2277" s="2" t="s">
        <v>3321</v>
      </c>
      <c r="G2277" s="28" t="s">
        <v>13</v>
      </c>
      <c r="H2277" s="2" t="s">
        <v>23</v>
      </c>
      <c r="I2277" s="2">
        <v>1</v>
      </c>
      <c r="J2277" s="2"/>
      <c r="K2277" s="2">
        <v>886.2</v>
      </c>
      <c r="L2277" s="35">
        <f t="shared" si="117"/>
        <v>2832441.423</v>
      </c>
      <c r="M2277" s="36">
        <v>20</v>
      </c>
      <c r="N2277" s="40">
        <v>323008</v>
      </c>
      <c r="O2277" s="40">
        <v>0</v>
      </c>
      <c r="P2277" s="40">
        <v>0</v>
      </c>
      <c r="Q2277" s="40">
        <v>0</v>
      </c>
      <c r="R2277" s="40">
        <v>1292</v>
      </c>
      <c r="S2277" s="40">
        <v>354356</v>
      </c>
      <c r="T2277" s="40">
        <v>30000</v>
      </c>
      <c r="U2277" s="40">
        <v>35197.142857142899</v>
      </c>
      <c r="V2277" s="40">
        <v>0</v>
      </c>
      <c r="W2277" s="45">
        <f t="shared" si="118"/>
        <v>743853.14285714296</v>
      </c>
      <c r="X2277" s="46">
        <f t="shared" si="119"/>
        <v>26.261907371390077</v>
      </c>
    </row>
    <row r="2278" spans="1:24" s="4" customFormat="1" ht="15" customHeight="1">
      <c r="A2278" s="28" t="s">
        <v>3019</v>
      </c>
      <c r="B2278" s="29">
        <v>3196.165</v>
      </c>
      <c r="C2278" s="30" t="s">
        <v>3322</v>
      </c>
      <c r="D2278" s="2">
        <v>4951516178</v>
      </c>
      <c r="E2278" s="2" t="s">
        <v>14</v>
      </c>
      <c r="F2278" s="2" t="s">
        <v>3323</v>
      </c>
      <c r="G2278" s="28" t="s">
        <v>13</v>
      </c>
      <c r="H2278" s="2" t="s">
        <v>23</v>
      </c>
      <c r="I2278" s="2">
        <v>1</v>
      </c>
      <c r="J2278" s="2"/>
      <c r="K2278" s="2">
        <v>6138</v>
      </c>
      <c r="L2278" s="35">
        <f t="shared" si="117"/>
        <v>19618060.77</v>
      </c>
      <c r="M2278" s="36">
        <v>110</v>
      </c>
      <c r="N2278" s="40">
        <v>421774</v>
      </c>
      <c r="O2278" s="40">
        <v>0</v>
      </c>
      <c r="P2278" s="40">
        <v>0</v>
      </c>
      <c r="Q2278" s="40">
        <v>0</v>
      </c>
      <c r="R2278" s="40">
        <v>4687</v>
      </c>
      <c r="S2278" s="40">
        <v>354356</v>
      </c>
      <c r="T2278" s="40">
        <v>30000</v>
      </c>
      <c r="U2278" s="40">
        <v>193584.285714286</v>
      </c>
      <c r="V2278" s="40">
        <v>0</v>
      </c>
      <c r="W2278" s="45">
        <f t="shared" si="118"/>
        <v>1004401.285714286</v>
      </c>
      <c r="X2278" s="46">
        <f t="shared" si="119"/>
        <v>5.1197786442287896</v>
      </c>
    </row>
    <row r="2279" spans="1:24" s="4" customFormat="1" ht="15" customHeight="1">
      <c r="A2279" s="28" t="s">
        <v>3019</v>
      </c>
      <c r="B2279" s="29">
        <v>3196.165</v>
      </c>
      <c r="C2279" s="30" t="s">
        <v>3324</v>
      </c>
      <c r="D2279" s="2">
        <v>4949590097</v>
      </c>
      <c r="E2279" s="2" t="s">
        <v>14</v>
      </c>
      <c r="F2279" s="2" t="s">
        <v>3325</v>
      </c>
      <c r="G2279" s="28" t="s">
        <v>5</v>
      </c>
      <c r="H2279" s="2" t="s">
        <v>20</v>
      </c>
      <c r="I2279" s="2">
        <v>1</v>
      </c>
      <c r="J2279" s="2" t="s">
        <v>3326</v>
      </c>
      <c r="K2279" s="2">
        <f>22680+11340</f>
        <v>34020</v>
      </c>
      <c r="L2279" s="35">
        <f t="shared" si="117"/>
        <v>108733533.3</v>
      </c>
      <c r="M2279" s="36">
        <f>6000+3000</f>
        <v>9000</v>
      </c>
      <c r="N2279" s="40">
        <v>327106</v>
      </c>
      <c r="O2279" s="40">
        <v>324522</v>
      </c>
      <c r="P2279" s="40">
        <v>213709</v>
      </c>
      <c r="Q2279" s="40">
        <v>110000</v>
      </c>
      <c r="R2279" s="40">
        <v>556039</v>
      </c>
      <c r="S2279" s="40">
        <v>354356</v>
      </c>
      <c r="T2279" s="40">
        <v>30000</v>
      </c>
      <c r="U2279" s="40">
        <v>2900300</v>
      </c>
      <c r="V2279" s="40">
        <v>0</v>
      </c>
      <c r="W2279" s="45">
        <f t="shared" si="118"/>
        <v>4816032</v>
      </c>
      <c r="X2279" s="46">
        <f t="shared" si="119"/>
        <v>4.4292058335972424</v>
      </c>
    </row>
    <row r="2280" spans="1:24" s="4" customFormat="1" ht="15" customHeight="1">
      <c r="A2280" s="28" t="s">
        <v>3019</v>
      </c>
      <c r="B2280" s="29">
        <v>3196.165</v>
      </c>
      <c r="C2280" s="30" t="s">
        <v>3327</v>
      </c>
      <c r="D2280" s="2">
        <v>4951218059</v>
      </c>
      <c r="E2280" s="2" t="s">
        <v>33</v>
      </c>
      <c r="F2280" s="2" t="s">
        <v>3328</v>
      </c>
      <c r="G2280" s="28" t="s">
        <v>5</v>
      </c>
      <c r="H2280" s="2" t="s">
        <v>17</v>
      </c>
      <c r="I2280" s="2">
        <v>3</v>
      </c>
      <c r="J2280" s="2" t="s">
        <v>3329</v>
      </c>
      <c r="K2280" s="2">
        <v>50419.199999999997</v>
      </c>
      <c r="L2280" s="35">
        <f t="shared" si="117"/>
        <v>161148082.368</v>
      </c>
      <c r="M2280" s="36">
        <v>900</v>
      </c>
      <c r="N2280" s="40">
        <v>415364.86056377902</v>
      </c>
      <c r="O2280" s="48">
        <v>638601.5</v>
      </c>
      <c r="P2280" s="40">
        <v>1164147.61233148</v>
      </c>
      <c r="Q2280" s="48">
        <v>148964</v>
      </c>
      <c r="R2280" s="40">
        <f>722425.949278778+217894</f>
        <v>940319.94927877805</v>
      </c>
      <c r="S2280" s="40">
        <v>128686.65145658499</v>
      </c>
      <c r="T2280" s="48"/>
      <c r="U2280" s="40">
        <v>5176485.88667861</v>
      </c>
      <c r="V2280" s="40">
        <v>0</v>
      </c>
      <c r="W2280" s="45">
        <f t="shared" si="118"/>
        <v>8612570.4603092317</v>
      </c>
      <c r="X2280" s="46">
        <f t="shared" si="119"/>
        <v>5.3445069489821453</v>
      </c>
    </row>
    <row r="2281" spans="1:24" s="4" customFormat="1" ht="15" customHeight="1">
      <c r="A2281" s="28" t="s">
        <v>3019</v>
      </c>
      <c r="B2281" s="29">
        <v>3196.165</v>
      </c>
      <c r="C2281" s="30" t="s">
        <v>3327</v>
      </c>
      <c r="D2281" s="2">
        <v>4951218059</v>
      </c>
      <c r="E2281" s="2" t="s">
        <v>33</v>
      </c>
      <c r="F2281" s="2" t="s">
        <v>3328</v>
      </c>
      <c r="G2281" s="28" t="s">
        <v>5</v>
      </c>
      <c r="H2281" s="2" t="s">
        <v>17</v>
      </c>
      <c r="I2281" s="2">
        <v>3</v>
      </c>
      <c r="J2281" s="2" t="s">
        <v>3329</v>
      </c>
      <c r="K2281" s="2">
        <v>30230.52</v>
      </c>
      <c r="L2281" s="35">
        <f t="shared" si="117"/>
        <v>96621729.955799997</v>
      </c>
      <c r="M2281" s="36">
        <v>900</v>
      </c>
      <c r="N2281" s="40">
        <v>728398.13943622098</v>
      </c>
      <c r="O2281" s="48">
        <v>638601.5</v>
      </c>
      <c r="P2281" s="40">
        <v>2041489.38766852</v>
      </c>
      <c r="Q2281" s="48">
        <v>148964</v>
      </c>
      <c r="R2281" s="40">
        <f>1266871.05072122+382106</f>
        <v>1648977.05072122</v>
      </c>
      <c r="S2281" s="40">
        <v>225669.34854341499</v>
      </c>
      <c r="T2281" s="48"/>
      <c r="U2281" s="40">
        <v>9077664.11332139</v>
      </c>
      <c r="V2281" s="40">
        <v>0</v>
      </c>
      <c r="W2281" s="45">
        <f t="shared" si="118"/>
        <v>14509763.539690766</v>
      </c>
      <c r="X2281" s="46">
        <f t="shared" si="119"/>
        <v>15.017081091725762</v>
      </c>
    </row>
    <row r="2282" spans="1:24" s="4" customFormat="1" ht="15" customHeight="1">
      <c r="A2282" s="28" t="s">
        <v>3019</v>
      </c>
      <c r="B2282" s="29">
        <v>3196.165</v>
      </c>
      <c r="C2282" s="30" t="s">
        <v>3330</v>
      </c>
      <c r="D2282" s="2">
        <v>4951082670</v>
      </c>
      <c r="E2282" s="2" t="s">
        <v>18</v>
      </c>
      <c r="F2282" s="2" t="s">
        <v>3230</v>
      </c>
      <c r="G2282" s="28" t="s">
        <v>9</v>
      </c>
      <c r="H2282" s="2" t="s">
        <v>23</v>
      </c>
      <c r="I2282" s="2">
        <v>1</v>
      </c>
      <c r="J2282" s="2"/>
      <c r="K2282" s="2">
        <v>63432</v>
      </c>
      <c r="L2282" s="35">
        <f t="shared" si="117"/>
        <v>202739138.28</v>
      </c>
      <c r="M2282" s="36">
        <v>800</v>
      </c>
      <c r="N2282" s="40">
        <v>15054</v>
      </c>
      <c r="O2282" s="40">
        <f>544+542</f>
        <v>1086</v>
      </c>
      <c r="P2282" s="40">
        <v>0</v>
      </c>
      <c r="Q2282" s="40">
        <v>16629</v>
      </c>
      <c r="R2282" s="40">
        <v>0</v>
      </c>
      <c r="S2282" s="40">
        <v>354356</v>
      </c>
      <c r="T2282" s="40">
        <v>30000</v>
      </c>
      <c r="U2282" s="40">
        <v>325541.463414634</v>
      </c>
      <c r="V2282" s="40">
        <v>0</v>
      </c>
      <c r="W2282" s="45">
        <f t="shared" si="118"/>
        <v>742666.463414634</v>
      </c>
      <c r="X2282" s="46">
        <f t="shared" si="119"/>
        <v>0.36631627702242103</v>
      </c>
    </row>
    <row r="2283" spans="1:24" s="4" customFormat="1" ht="15" customHeight="1">
      <c r="A2283" s="28" t="s">
        <v>3019</v>
      </c>
      <c r="B2283" s="29">
        <v>3196.165</v>
      </c>
      <c r="C2283" s="30" t="s">
        <v>3331</v>
      </c>
      <c r="D2283" s="2">
        <v>4950695650</v>
      </c>
      <c r="E2283" s="2" t="s">
        <v>10</v>
      </c>
      <c r="F2283" s="2" t="s">
        <v>3332</v>
      </c>
      <c r="G2283" s="28" t="s">
        <v>5</v>
      </c>
      <c r="H2283" s="2" t="s">
        <v>20</v>
      </c>
      <c r="I2283" s="2">
        <v>2</v>
      </c>
      <c r="J2283" s="2" t="s">
        <v>3333</v>
      </c>
      <c r="K2283" s="2">
        <v>44216.33</v>
      </c>
      <c r="L2283" s="35">
        <f t="shared" si="117"/>
        <v>141322686.37445</v>
      </c>
      <c r="M2283" s="36">
        <v>30473</v>
      </c>
      <c r="N2283" s="40">
        <v>0</v>
      </c>
      <c r="O2283" s="40">
        <v>808090</v>
      </c>
      <c r="P2283" s="40">
        <v>467630</v>
      </c>
      <c r="Q2283" s="40">
        <v>248274</v>
      </c>
      <c r="R2283" s="40">
        <v>1359669</v>
      </c>
      <c r="S2283" s="40">
        <v>708712</v>
      </c>
      <c r="T2283" s="40"/>
      <c r="U2283" s="40">
        <v>3162200</v>
      </c>
      <c r="V2283" s="40">
        <v>0</v>
      </c>
      <c r="W2283" s="45">
        <f t="shared" si="118"/>
        <v>6754575</v>
      </c>
      <c r="X2283" s="46">
        <f t="shared" si="119"/>
        <v>4.7795404780963553</v>
      </c>
    </row>
    <row r="2284" spans="1:24" s="4" customFormat="1" ht="15" customHeight="1">
      <c r="A2284" s="28" t="s">
        <v>3019</v>
      </c>
      <c r="B2284" s="29">
        <v>3196.165</v>
      </c>
      <c r="C2284" s="30" t="s">
        <v>3334</v>
      </c>
      <c r="D2284" s="2">
        <v>4950525878</v>
      </c>
      <c r="E2284" s="2" t="s">
        <v>27</v>
      </c>
      <c r="F2284" s="2" t="s">
        <v>3335</v>
      </c>
      <c r="G2284" s="28" t="s">
        <v>5</v>
      </c>
      <c r="H2284" s="2" t="s">
        <v>17</v>
      </c>
      <c r="I2284" s="2">
        <v>1</v>
      </c>
      <c r="J2284" s="2" t="s">
        <v>3336</v>
      </c>
      <c r="K2284" s="2">
        <v>13804</v>
      </c>
      <c r="L2284" s="35">
        <f t="shared" si="117"/>
        <v>44119861.659999996</v>
      </c>
      <c r="M2284" s="36">
        <v>7464.6</v>
      </c>
      <c r="N2284" s="40">
        <v>372638.25787247397</v>
      </c>
      <c r="O2284" s="48">
        <v>361445.952176227</v>
      </c>
      <c r="P2284" s="40">
        <v>0</v>
      </c>
      <c r="Q2284" s="48">
        <v>93389.4279981984</v>
      </c>
      <c r="R2284" s="40">
        <f>519074.886417045+156666</f>
        <v>675740.88641704503</v>
      </c>
      <c r="S2284" s="40">
        <v>277577.941406862</v>
      </c>
      <c r="T2284" s="48"/>
      <c r="U2284" s="40">
        <v>3696576.8447438502</v>
      </c>
      <c r="V2284" s="40">
        <v>0</v>
      </c>
      <c r="W2284" s="45">
        <f t="shared" si="118"/>
        <v>5477369.3106146567</v>
      </c>
      <c r="X2284" s="46">
        <f t="shared" si="119"/>
        <v>12.41474724654578</v>
      </c>
    </row>
    <row r="2285" spans="1:24" s="4" customFormat="1" ht="15" customHeight="1">
      <c r="A2285" s="28" t="s">
        <v>3019</v>
      </c>
      <c r="B2285" s="29">
        <v>3196.165</v>
      </c>
      <c r="C2285" s="30" t="s">
        <v>3334</v>
      </c>
      <c r="D2285" s="2">
        <v>4951133489</v>
      </c>
      <c r="E2285" s="2" t="s">
        <v>27</v>
      </c>
      <c r="F2285" s="2" t="s">
        <v>3335</v>
      </c>
      <c r="G2285" s="28" t="s">
        <v>5</v>
      </c>
      <c r="H2285" s="2" t="s">
        <v>17</v>
      </c>
      <c r="I2285" s="2">
        <v>1</v>
      </c>
      <c r="J2285" s="2" t="s">
        <v>3336</v>
      </c>
      <c r="K2285" s="2">
        <v>5342.4</v>
      </c>
      <c r="L2285" s="35">
        <f t="shared" si="117"/>
        <v>17075191.895999998</v>
      </c>
      <c r="M2285" s="36">
        <v>1327.68</v>
      </c>
      <c r="N2285" s="40">
        <v>103071.742127526</v>
      </c>
      <c r="O2285" s="48">
        <v>64288.0478237727</v>
      </c>
      <c r="P2285" s="40">
        <v>0</v>
      </c>
      <c r="Q2285" s="48">
        <v>16610.5720018016</v>
      </c>
      <c r="R2285" s="40">
        <f>143576.113582955+43334</f>
        <v>186910.113582955</v>
      </c>
      <c r="S2285" s="40">
        <v>76778.058593138005</v>
      </c>
      <c r="T2285" s="48"/>
      <c r="U2285" s="40">
        <v>1022473.1552561501</v>
      </c>
      <c r="V2285" s="40">
        <v>0</v>
      </c>
      <c r="W2285" s="45">
        <f t="shared" si="118"/>
        <v>1470131.6893853433</v>
      </c>
      <c r="X2285" s="46">
        <f t="shared" si="119"/>
        <v>8.6097520797393408</v>
      </c>
    </row>
    <row r="2286" spans="1:24" s="4" customFormat="1" ht="15" customHeight="1">
      <c r="A2286" s="28" t="s">
        <v>3019</v>
      </c>
      <c r="B2286" s="29">
        <v>3196.165</v>
      </c>
      <c r="C2286" s="30" t="s">
        <v>3337</v>
      </c>
      <c r="D2286" s="2">
        <v>4951325262</v>
      </c>
      <c r="E2286" s="2" t="s">
        <v>14</v>
      </c>
      <c r="F2286" s="2" t="s">
        <v>3338</v>
      </c>
      <c r="G2286" s="28" t="s">
        <v>5</v>
      </c>
      <c r="H2286" s="2" t="s">
        <v>32</v>
      </c>
      <c r="I2286" s="2">
        <v>1</v>
      </c>
      <c r="J2286" s="2" t="s">
        <v>3339</v>
      </c>
      <c r="K2286" s="2">
        <v>3969</v>
      </c>
      <c r="L2286" s="35">
        <f t="shared" si="117"/>
        <v>12685578.885</v>
      </c>
      <c r="M2286" s="36">
        <v>1050</v>
      </c>
      <c r="N2286" s="40">
        <v>61814.485559566798</v>
      </c>
      <c r="O2286" s="48">
        <v>61506.877256317697</v>
      </c>
      <c r="P2286" s="40">
        <v>0</v>
      </c>
      <c r="Q2286" s="48">
        <v>20848.375451263499</v>
      </c>
      <c r="R2286" s="40">
        <f>195459.774368231+21211</f>
        <v>216670.77436823101</v>
      </c>
      <c r="S2286" s="40">
        <v>67161.335740072202</v>
      </c>
      <c r="T2286" s="40">
        <v>30000</v>
      </c>
      <c r="U2286" s="40">
        <v>758729.24187725596</v>
      </c>
      <c r="V2286" s="40">
        <v>0</v>
      </c>
      <c r="W2286" s="45">
        <f t="shared" si="118"/>
        <v>1216731.0902527072</v>
      </c>
      <c r="X2286" s="46">
        <f t="shared" si="119"/>
        <v>9.5914510585829458</v>
      </c>
    </row>
    <row r="2287" spans="1:24" s="4" customFormat="1" ht="15" customHeight="1">
      <c r="A2287" s="28" t="s">
        <v>3019</v>
      </c>
      <c r="B2287" s="29">
        <v>3196.165</v>
      </c>
      <c r="C2287" s="30" t="s">
        <v>3337</v>
      </c>
      <c r="D2287" s="2">
        <v>4951650358</v>
      </c>
      <c r="E2287" s="2" t="s">
        <v>14</v>
      </c>
      <c r="F2287" s="2" t="s">
        <v>3338</v>
      </c>
      <c r="G2287" s="28" t="s">
        <v>5</v>
      </c>
      <c r="H2287" s="2" t="s">
        <v>32</v>
      </c>
      <c r="I2287" s="2">
        <v>1</v>
      </c>
      <c r="J2287" s="2" t="s">
        <v>3339</v>
      </c>
      <c r="K2287" s="2">
        <f>3819.2+1649.2</f>
        <v>5468.4</v>
      </c>
      <c r="L2287" s="35">
        <f t="shared" si="117"/>
        <v>17477908.685999997</v>
      </c>
      <c r="M2287" s="36">
        <f>880+380</f>
        <v>1260</v>
      </c>
      <c r="N2287" s="40">
        <v>74177.382671480198</v>
      </c>
      <c r="O2287" s="48">
        <v>73808.252707581196</v>
      </c>
      <c r="P2287" s="40">
        <v>0</v>
      </c>
      <c r="Q2287" s="48">
        <v>25018.050541516201</v>
      </c>
      <c r="R2287" s="40">
        <f>234551.729241877+25453</f>
        <v>260004.72924187701</v>
      </c>
      <c r="S2287" s="40">
        <v>80593.602888086694</v>
      </c>
      <c r="T2287" s="40">
        <v>30000</v>
      </c>
      <c r="U2287" s="40">
        <v>910475.09025270795</v>
      </c>
      <c r="V2287" s="40">
        <v>0</v>
      </c>
      <c r="W2287" s="45">
        <f t="shared" si="118"/>
        <v>1454077.1083032493</v>
      </c>
      <c r="X2287" s="46">
        <f t="shared" si="119"/>
        <v>8.3195142761443854</v>
      </c>
    </row>
    <row r="2288" spans="1:24" s="4" customFormat="1" ht="15" customHeight="1">
      <c r="A2288" s="28" t="s">
        <v>3019</v>
      </c>
      <c r="B2288" s="29">
        <v>3196.165</v>
      </c>
      <c r="C2288" s="30" t="s">
        <v>3337</v>
      </c>
      <c r="D2288" s="2">
        <v>4951726527</v>
      </c>
      <c r="E2288" s="2" t="s">
        <v>14</v>
      </c>
      <c r="F2288" s="2" t="s">
        <v>3338</v>
      </c>
      <c r="G2288" s="28" t="s">
        <v>5</v>
      </c>
      <c r="H2288" s="2" t="s">
        <v>32</v>
      </c>
      <c r="I2288" s="2">
        <v>1</v>
      </c>
      <c r="J2288" s="2" t="s">
        <v>3339</v>
      </c>
      <c r="K2288" s="2">
        <v>652.5</v>
      </c>
      <c r="L2288" s="35">
        <f t="shared" si="117"/>
        <v>2085497.6624999999</v>
      </c>
      <c r="M2288" s="36">
        <v>450</v>
      </c>
      <c r="N2288" s="40">
        <v>11185.4783393502</v>
      </c>
      <c r="O2288" s="48">
        <v>26360.0902527076</v>
      </c>
      <c r="P2288" s="40">
        <v>0</v>
      </c>
      <c r="Q2288" s="48">
        <v>8935.0180505415192</v>
      </c>
      <c r="R2288" s="40">
        <f>35368.9115523466+3838</f>
        <v>39206.911552346603</v>
      </c>
      <c r="S2288" s="40">
        <v>12153.003610108301</v>
      </c>
      <c r="T2288" s="40">
        <v>30000</v>
      </c>
      <c r="U2288" s="40">
        <v>137293.862815884</v>
      </c>
      <c r="V2288" s="40">
        <v>0</v>
      </c>
      <c r="W2288" s="45">
        <f t="shared" si="118"/>
        <v>265134.3646209382</v>
      </c>
      <c r="X2288" s="46">
        <f t="shared" si="119"/>
        <v>12.713241994388389</v>
      </c>
    </row>
    <row r="2289" spans="1:24" s="4" customFormat="1" ht="15" customHeight="1">
      <c r="A2289" s="28" t="s">
        <v>3019</v>
      </c>
      <c r="B2289" s="29">
        <v>3196.165</v>
      </c>
      <c r="C2289" s="30" t="s">
        <v>3337</v>
      </c>
      <c r="D2289" s="2">
        <v>4951798403</v>
      </c>
      <c r="E2289" s="2" t="s">
        <v>14</v>
      </c>
      <c r="F2289" s="2" t="s">
        <v>3338</v>
      </c>
      <c r="G2289" s="28" t="s">
        <v>5</v>
      </c>
      <c r="H2289" s="2" t="s">
        <v>32</v>
      </c>
      <c r="I2289" s="2">
        <v>1</v>
      </c>
      <c r="J2289" s="2" t="s">
        <v>3339</v>
      </c>
      <c r="K2289" s="2">
        <v>1360.4</v>
      </c>
      <c r="L2289" s="35">
        <f t="shared" si="117"/>
        <v>4348062.8660000004</v>
      </c>
      <c r="M2289" s="36">
        <v>190</v>
      </c>
      <c r="N2289" s="40">
        <v>141290.25270758101</v>
      </c>
      <c r="O2289" s="48">
        <v>11129.8158844765</v>
      </c>
      <c r="P2289" s="40">
        <v>0</v>
      </c>
      <c r="Q2289" s="48">
        <v>3772.5631768953099</v>
      </c>
      <c r="R2289" s="40">
        <f>446765.198555957+48482</f>
        <v>495247.198555957</v>
      </c>
      <c r="S2289" s="40">
        <v>153511.624548736</v>
      </c>
      <c r="T2289" s="40">
        <v>30000</v>
      </c>
      <c r="U2289" s="40">
        <v>1734238.26714801</v>
      </c>
      <c r="V2289" s="40">
        <v>0</v>
      </c>
      <c r="W2289" s="45">
        <f t="shared" si="118"/>
        <v>2569189.7220216561</v>
      </c>
      <c r="X2289" s="46">
        <f t="shared" si="119"/>
        <v>59.088145714534754</v>
      </c>
    </row>
    <row r="2290" spans="1:24" s="4" customFormat="1" ht="15" customHeight="1">
      <c r="A2290" s="28" t="s">
        <v>3019</v>
      </c>
      <c r="B2290" s="29">
        <v>3196.165</v>
      </c>
      <c r="C2290" s="30" t="s">
        <v>3337</v>
      </c>
      <c r="D2290" s="2">
        <v>4951798405</v>
      </c>
      <c r="E2290" s="2" t="s">
        <v>14</v>
      </c>
      <c r="F2290" s="2" t="s">
        <v>3338</v>
      </c>
      <c r="G2290" s="28" t="s">
        <v>5</v>
      </c>
      <c r="H2290" s="2" t="s">
        <v>32</v>
      </c>
      <c r="I2290" s="2">
        <v>1</v>
      </c>
      <c r="J2290" s="2" t="s">
        <v>3339</v>
      </c>
      <c r="K2290" s="2">
        <v>6384</v>
      </c>
      <c r="L2290" s="35">
        <f t="shared" si="117"/>
        <v>20404317.359999999</v>
      </c>
      <c r="M2290" s="36">
        <v>2400</v>
      </c>
      <c r="N2290" s="40">
        <v>11185.4783393502</v>
      </c>
      <c r="O2290" s="48">
        <v>140587.14801444</v>
      </c>
      <c r="P2290" s="40">
        <v>0</v>
      </c>
      <c r="Q2290" s="48">
        <v>47653.4296028881</v>
      </c>
      <c r="R2290" s="40">
        <f>35368.9115523466+3838</f>
        <v>39206.911552346603</v>
      </c>
      <c r="S2290" s="40">
        <v>12153.003610108301</v>
      </c>
      <c r="T2290" s="40">
        <v>30000</v>
      </c>
      <c r="U2290" s="40">
        <v>137293.862815884</v>
      </c>
      <c r="V2290" s="40">
        <v>0</v>
      </c>
      <c r="W2290" s="45">
        <f t="shared" si="118"/>
        <v>418079.83393501717</v>
      </c>
      <c r="X2290" s="46">
        <f t="shared" si="119"/>
        <v>2.0489773147452026</v>
      </c>
    </row>
    <row r="2291" spans="1:24" s="4" customFormat="1" ht="15" customHeight="1">
      <c r="A2291" s="28" t="s">
        <v>3019</v>
      </c>
      <c r="B2291" s="29">
        <v>3196.165</v>
      </c>
      <c r="C2291" s="30" t="s">
        <v>3337</v>
      </c>
      <c r="D2291" s="2">
        <v>4951046400</v>
      </c>
      <c r="E2291" s="2" t="s">
        <v>14</v>
      </c>
      <c r="F2291" s="2" t="s">
        <v>3338</v>
      </c>
      <c r="G2291" s="28" t="s">
        <v>5</v>
      </c>
      <c r="H2291" s="2" t="s">
        <v>32</v>
      </c>
      <c r="I2291" s="2">
        <v>1</v>
      </c>
      <c r="J2291" s="2" t="s">
        <v>3339</v>
      </c>
      <c r="K2291" s="2">
        <v>1858.2</v>
      </c>
      <c r="L2291" s="35">
        <f t="shared" si="117"/>
        <v>5939113.8030000003</v>
      </c>
      <c r="M2291" s="36">
        <v>190</v>
      </c>
      <c r="N2291" s="40">
        <v>26491.922382671499</v>
      </c>
      <c r="O2291" s="48">
        <v>11129.8158844765</v>
      </c>
      <c r="P2291" s="40">
        <v>0</v>
      </c>
      <c r="Q2291" s="48">
        <v>3772.5631768953099</v>
      </c>
      <c r="R2291" s="40">
        <f>83768.4747292419+9090</f>
        <v>92858.474729241905</v>
      </c>
      <c r="S2291" s="40">
        <v>28783.4296028881</v>
      </c>
      <c r="T2291" s="40">
        <v>30000</v>
      </c>
      <c r="U2291" s="40">
        <v>325169.675090253</v>
      </c>
      <c r="V2291" s="40">
        <v>0</v>
      </c>
      <c r="W2291" s="45">
        <f t="shared" si="118"/>
        <v>518205.88086642628</v>
      </c>
      <c r="X2291" s="46">
        <f t="shared" si="119"/>
        <v>8.7253064692019731</v>
      </c>
    </row>
    <row r="2292" spans="1:24" s="4" customFormat="1" ht="15" customHeight="1">
      <c r="A2292" s="28" t="s">
        <v>3019</v>
      </c>
      <c r="B2292" s="29">
        <v>3196.165</v>
      </c>
      <c r="C2292" s="30" t="s">
        <v>3340</v>
      </c>
      <c r="D2292" s="2">
        <v>4951086317</v>
      </c>
      <c r="E2292" s="2" t="s">
        <v>27</v>
      </c>
      <c r="F2292" s="2" t="s">
        <v>3341</v>
      </c>
      <c r="G2292" s="28" t="s">
        <v>5</v>
      </c>
      <c r="H2292" s="2" t="s">
        <v>17</v>
      </c>
      <c r="I2292" s="2">
        <v>1</v>
      </c>
      <c r="J2292" s="2" t="s">
        <v>3342</v>
      </c>
      <c r="K2292" s="2">
        <f>348.19+56386.59+18924.24</f>
        <v>75659.02</v>
      </c>
      <c r="L2292" s="35">
        <f t="shared" si="117"/>
        <v>241818711.65830001</v>
      </c>
      <c r="M2292" s="36">
        <f>348.19+56386.59+18924.24</f>
        <v>75659.02</v>
      </c>
      <c r="N2292" s="40">
        <v>324606</v>
      </c>
      <c r="O2292" s="40">
        <v>530577</v>
      </c>
      <c r="P2292" s="40">
        <v>0</v>
      </c>
      <c r="Q2292" s="40">
        <v>124137</v>
      </c>
      <c r="R2292" s="40">
        <v>1316047</v>
      </c>
      <c r="S2292" s="40">
        <v>354356</v>
      </c>
      <c r="T2292" s="40"/>
      <c r="U2292" s="40">
        <v>5446550</v>
      </c>
      <c r="V2292" s="40">
        <v>0</v>
      </c>
      <c r="W2292" s="45">
        <f t="shared" si="118"/>
        <v>8096273</v>
      </c>
      <c r="X2292" s="46">
        <f t="shared" si="119"/>
        <v>3.348075483687289</v>
      </c>
    </row>
    <row r="2293" spans="1:24" s="4" customFormat="1" ht="15" customHeight="1">
      <c r="A2293" s="28" t="s">
        <v>3019</v>
      </c>
      <c r="B2293" s="29">
        <v>3196.165</v>
      </c>
      <c r="C2293" s="30" t="s">
        <v>3343</v>
      </c>
      <c r="D2293" s="2">
        <v>4951082674</v>
      </c>
      <c r="E2293" s="2" t="s">
        <v>18</v>
      </c>
      <c r="F2293" s="2" t="s">
        <v>3344</v>
      </c>
      <c r="G2293" s="28" t="s">
        <v>5</v>
      </c>
      <c r="H2293" s="2" t="s">
        <v>35</v>
      </c>
      <c r="I2293" s="2">
        <v>1</v>
      </c>
      <c r="J2293" s="2" t="s">
        <v>3345</v>
      </c>
      <c r="K2293" s="2">
        <v>40272</v>
      </c>
      <c r="L2293" s="35">
        <f t="shared" si="117"/>
        <v>128715956.88</v>
      </c>
      <c r="M2293" s="36">
        <v>2400</v>
      </c>
      <c r="N2293" s="40">
        <v>39137.4</v>
      </c>
      <c r="O2293" s="48">
        <v>51088.08</v>
      </c>
      <c r="P2293" s="40">
        <v>22830.12</v>
      </c>
      <c r="Q2293" s="48">
        <v>13200</v>
      </c>
      <c r="R2293" s="40">
        <f>190647.96+32615</f>
        <v>223262.96</v>
      </c>
      <c r="S2293" s="40">
        <v>42522.720000000001</v>
      </c>
      <c r="T2293" s="40">
        <v>30000</v>
      </c>
      <c r="U2293" s="40">
        <v>1013466</v>
      </c>
      <c r="V2293" s="40">
        <v>0</v>
      </c>
      <c r="W2293" s="45">
        <f t="shared" si="118"/>
        <v>1435507.28</v>
      </c>
      <c r="X2293" s="46">
        <f t="shared" si="119"/>
        <v>1.1152519973403938</v>
      </c>
    </row>
    <row r="2294" spans="1:24" s="4" customFormat="1" ht="15" customHeight="1">
      <c r="A2294" s="28" t="s">
        <v>3019</v>
      </c>
      <c r="B2294" s="29">
        <v>3196.165</v>
      </c>
      <c r="C2294" s="30" t="s">
        <v>3343</v>
      </c>
      <c r="D2294" s="2">
        <v>4951551802</v>
      </c>
      <c r="E2294" s="2" t="s">
        <v>18</v>
      </c>
      <c r="F2294" s="2" t="s">
        <v>3344</v>
      </c>
      <c r="G2294" s="28" t="s">
        <v>5</v>
      </c>
      <c r="H2294" s="2" t="s">
        <v>35</v>
      </c>
      <c r="I2294" s="2">
        <v>1</v>
      </c>
      <c r="J2294" s="2" t="s">
        <v>3345</v>
      </c>
      <c r="K2294" s="2">
        <v>101520</v>
      </c>
      <c r="L2294" s="35">
        <f t="shared" ref="L2294:L2357" si="120">+B2294*K2294</f>
        <v>324474670.80000001</v>
      </c>
      <c r="M2294" s="36">
        <v>8000</v>
      </c>
      <c r="N2294" s="40">
        <v>130458</v>
      </c>
      <c r="O2294" s="48">
        <v>170293.6</v>
      </c>
      <c r="P2294" s="40">
        <v>76100.399999999994</v>
      </c>
      <c r="Q2294" s="48">
        <v>44000</v>
      </c>
      <c r="R2294" s="40">
        <f>635493.2+108715</f>
        <v>744208.2</v>
      </c>
      <c r="S2294" s="40">
        <v>141742.39999999999</v>
      </c>
      <c r="T2294" s="40">
        <v>30000</v>
      </c>
      <c r="U2294" s="40">
        <v>3378220</v>
      </c>
      <c r="V2294" s="40">
        <v>0</v>
      </c>
      <c r="W2294" s="45">
        <f t="shared" ref="W2294:W2357" si="121">+SUM(N2294:V2294)</f>
        <v>4715022.5999999996</v>
      </c>
      <c r="X2294" s="46">
        <f t="shared" ref="X2294:X2357" si="122">(W2294/L2294)*100</f>
        <v>1.4531250123083566</v>
      </c>
    </row>
    <row r="2295" spans="1:24" s="4" customFormat="1" ht="15" customHeight="1">
      <c r="A2295" s="28" t="s">
        <v>3019</v>
      </c>
      <c r="B2295" s="29">
        <v>3196.165</v>
      </c>
      <c r="C2295" s="30" t="s">
        <v>3343</v>
      </c>
      <c r="D2295" s="2">
        <v>4951551803</v>
      </c>
      <c r="E2295" s="2" t="s">
        <v>18</v>
      </c>
      <c r="F2295" s="2" t="s">
        <v>3344</v>
      </c>
      <c r="G2295" s="28" t="s">
        <v>5</v>
      </c>
      <c r="H2295" s="2" t="s">
        <v>35</v>
      </c>
      <c r="I2295" s="2">
        <v>1</v>
      </c>
      <c r="J2295" s="2" t="s">
        <v>3345</v>
      </c>
      <c r="K2295" s="2">
        <v>7104</v>
      </c>
      <c r="L2295" s="35">
        <f t="shared" si="120"/>
        <v>22705556.16</v>
      </c>
      <c r="M2295" s="36">
        <v>9600</v>
      </c>
      <c r="N2295" s="40">
        <v>156549.6</v>
      </c>
      <c r="O2295" s="48">
        <v>204352.32</v>
      </c>
      <c r="P2295" s="40">
        <v>91320.48</v>
      </c>
      <c r="Q2295" s="48">
        <v>52800</v>
      </c>
      <c r="R2295" s="40">
        <f>762591.84+130458</f>
        <v>893049.84</v>
      </c>
      <c r="S2295" s="40">
        <v>170090.88</v>
      </c>
      <c r="T2295" s="40">
        <v>30000</v>
      </c>
      <c r="U2295" s="40">
        <v>4053864</v>
      </c>
      <c r="V2295" s="40">
        <v>0</v>
      </c>
      <c r="W2295" s="45">
        <f t="shared" si="121"/>
        <v>5652027.1200000001</v>
      </c>
      <c r="X2295" s="46">
        <f t="shared" si="122"/>
        <v>24.892705028547514</v>
      </c>
    </row>
    <row r="2296" spans="1:24" s="4" customFormat="1" ht="15" customHeight="1">
      <c r="A2296" s="28" t="s">
        <v>3019</v>
      </c>
      <c r="B2296" s="29">
        <v>3196.165</v>
      </c>
      <c r="C2296" s="30" t="s">
        <v>3346</v>
      </c>
      <c r="D2296" s="2">
        <v>4950215955</v>
      </c>
      <c r="E2296" s="2" t="s">
        <v>14</v>
      </c>
      <c r="F2296" s="2" t="s">
        <v>3347</v>
      </c>
      <c r="G2296" s="28" t="s">
        <v>5</v>
      </c>
      <c r="H2296" s="2" t="s">
        <v>17</v>
      </c>
      <c r="I2296" s="2">
        <v>1</v>
      </c>
      <c r="J2296" s="2" t="s">
        <v>3348</v>
      </c>
      <c r="K2296" s="2">
        <f>1637.8+4913.4</f>
        <v>6551.2</v>
      </c>
      <c r="L2296" s="35">
        <f t="shared" si="120"/>
        <v>20938716.147999998</v>
      </c>
      <c r="M2296" s="36">
        <f>380+1140</f>
        <v>1520</v>
      </c>
      <c r="N2296" s="40">
        <v>21743</v>
      </c>
      <c r="O2296" s="48">
        <v>28382.266666666699</v>
      </c>
      <c r="P2296" s="40">
        <v>12683.4</v>
      </c>
      <c r="Q2296" s="48">
        <v>7333.3333333333303</v>
      </c>
      <c r="R2296" s="40">
        <f>45787.6666666667+18111</f>
        <v>63898.666666666701</v>
      </c>
      <c r="S2296" s="40">
        <v>23623.733333333301</v>
      </c>
      <c r="T2296" s="40">
        <v>30000</v>
      </c>
      <c r="U2296" s="40">
        <v>379270</v>
      </c>
      <c r="V2296" s="40">
        <v>0</v>
      </c>
      <c r="W2296" s="45">
        <f t="shared" si="121"/>
        <v>566934.4</v>
      </c>
      <c r="X2296" s="46">
        <f t="shared" si="122"/>
        <v>2.7075891186105592</v>
      </c>
    </row>
    <row r="2297" spans="1:24" s="4" customFormat="1" ht="15" customHeight="1">
      <c r="A2297" s="28" t="s">
        <v>3019</v>
      </c>
      <c r="B2297" s="29">
        <v>3196.165</v>
      </c>
      <c r="C2297" s="30" t="s">
        <v>3346</v>
      </c>
      <c r="D2297" s="2">
        <v>4951215078</v>
      </c>
      <c r="E2297" s="2" t="s">
        <v>14</v>
      </c>
      <c r="F2297" s="2" t="s">
        <v>3347</v>
      </c>
      <c r="G2297" s="28" t="s">
        <v>5</v>
      </c>
      <c r="H2297" s="2" t="s">
        <v>17</v>
      </c>
      <c r="I2297" s="2">
        <v>1</v>
      </c>
      <c r="J2297" s="2" t="s">
        <v>3348</v>
      </c>
      <c r="K2297" s="2">
        <f>3351.6+10054.8</f>
        <v>13406.4</v>
      </c>
      <c r="L2297" s="35">
        <f t="shared" si="120"/>
        <v>42849066.456</v>
      </c>
      <c r="M2297" s="36">
        <f>1260+3780</f>
        <v>5040</v>
      </c>
      <c r="N2297" s="40">
        <v>18023.802631578899</v>
      </c>
      <c r="O2297" s="48">
        <v>94109.621052631599</v>
      </c>
      <c r="P2297" s="40">
        <v>10513.871052631601</v>
      </c>
      <c r="Q2297" s="48">
        <v>24315.789473684199</v>
      </c>
      <c r="R2297" s="40">
        <v>52975.315789473803</v>
      </c>
      <c r="S2297" s="40">
        <v>19582.8315789474</v>
      </c>
      <c r="T2297" s="40">
        <v>30000</v>
      </c>
      <c r="U2297" s="40">
        <v>314394.86842105299</v>
      </c>
      <c r="V2297" s="40">
        <v>0</v>
      </c>
      <c r="W2297" s="45">
        <f t="shared" si="121"/>
        <v>563916.10000000056</v>
      </c>
      <c r="X2297" s="46">
        <f t="shared" si="122"/>
        <v>1.3160522425361671</v>
      </c>
    </row>
    <row r="2298" spans="1:24" s="4" customFormat="1" ht="15" customHeight="1">
      <c r="A2298" s="28" t="s">
        <v>3019</v>
      </c>
      <c r="B2298" s="29">
        <v>3196.165</v>
      </c>
      <c r="C2298" s="30" t="s">
        <v>3346</v>
      </c>
      <c r="D2298" s="2">
        <v>4951356838</v>
      </c>
      <c r="E2298" s="2" t="s">
        <v>14</v>
      </c>
      <c r="F2298" s="2" t="s">
        <v>3347</v>
      </c>
      <c r="G2298" s="28" t="s">
        <v>5</v>
      </c>
      <c r="H2298" s="2" t="s">
        <v>17</v>
      </c>
      <c r="I2298" s="2">
        <v>1</v>
      </c>
      <c r="J2298" s="2" t="s">
        <v>3348</v>
      </c>
      <c r="K2298" s="2">
        <v>20041</v>
      </c>
      <c r="L2298" s="35">
        <f t="shared" si="120"/>
        <v>64054342.765000001</v>
      </c>
      <c r="M2298" s="36">
        <v>4900</v>
      </c>
      <c r="N2298" s="40">
        <v>54071.407894736803</v>
      </c>
      <c r="O2298" s="48">
        <v>91495.464912280702</v>
      </c>
      <c r="P2298" s="40">
        <v>31541.613157894699</v>
      </c>
      <c r="Q2298" s="48">
        <v>23640.350877192999</v>
      </c>
      <c r="R2298" s="40">
        <v>158925.94736842101</v>
      </c>
      <c r="S2298" s="40">
        <v>58748.494736842098</v>
      </c>
      <c r="T2298" s="40">
        <v>30000</v>
      </c>
      <c r="U2298" s="40">
        <v>943184.60526315798</v>
      </c>
      <c r="V2298" s="40">
        <v>0</v>
      </c>
      <c r="W2298" s="45">
        <f t="shared" si="121"/>
        <v>1391607.8842105262</v>
      </c>
      <c r="X2298" s="46">
        <f t="shared" si="122"/>
        <v>2.1725426007663544</v>
      </c>
    </row>
    <row r="2299" spans="1:24" s="4" customFormat="1" ht="15" customHeight="1">
      <c r="A2299" s="28" t="s">
        <v>3019</v>
      </c>
      <c r="B2299" s="29">
        <v>3196.165</v>
      </c>
      <c r="C2299" s="30" t="s">
        <v>3346</v>
      </c>
      <c r="D2299" s="2">
        <v>4951348225</v>
      </c>
      <c r="E2299" s="2" t="s">
        <v>14</v>
      </c>
      <c r="F2299" s="2" t="s">
        <v>3347</v>
      </c>
      <c r="G2299" s="28" t="s">
        <v>5</v>
      </c>
      <c r="H2299" s="2" t="s">
        <v>17</v>
      </c>
      <c r="I2299" s="2">
        <v>1</v>
      </c>
      <c r="J2299" s="2" t="s">
        <v>3348</v>
      </c>
      <c r="K2299" s="2">
        <v>7668</v>
      </c>
      <c r="L2299" s="35">
        <f t="shared" si="120"/>
        <v>24508193.219999999</v>
      </c>
      <c r="M2299" s="36">
        <v>2700</v>
      </c>
      <c r="N2299" s="40">
        <v>70092.565789473694</v>
      </c>
      <c r="O2299" s="48">
        <v>50415.868421052597</v>
      </c>
      <c r="P2299" s="40">
        <v>40887.276315789502</v>
      </c>
      <c r="Q2299" s="48">
        <v>13026.3157894737</v>
      </c>
      <c r="R2299" s="40">
        <f>147604.978070175+58411</f>
        <v>206015.97807017501</v>
      </c>
      <c r="S2299" s="40">
        <v>76155.4561403509</v>
      </c>
      <c r="T2299" s="40">
        <v>30000</v>
      </c>
      <c r="U2299" s="40">
        <v>1222646.7105263199</v>
      </c>
      <c r="V2299" s="40">
        <v>0</v>
      </c>
      <c r="W2299" s="45">
        <f t="shared" si="121"/>
        <v>1709240.1710526352</v>
      </c>
      <c r="X2299" s="46">
        <f t="shared" si="122"/>
        <v>6.9741582160279512</v>
      </c>
    </row>
    <row r="2300" spans="1:24" s="4" customFormat="1" ht="15" customHeight="1">
      <c r="A2300" s="28" t="s">
        <v>3019</v>
      </c>
      <c r="B2300" s="29">
        <v>3196.165</v>
      </c>
      <c r="C2300" s="30" t="s">
        <v>3346</v>
      </c>
      <c r="D2300" s="2">
        <v>4951647403</v>
      </c>
      <c r="E2300" s="2" t="s">
        <v>14</v>
      </c>
      <c r="F2300" s="2" t="s">
        <v>3347</v>
      </c>
      <c r="G2300" s="28" t="s">
        <v>5</v>
      </c>
      <c r="H2300" s="2" t="s">
        <v>17</v>
      </c>
      <c r="I2300" s="2">
        <v>1</v>
      </c>
      <c r="J2300" s="2" t="s">
        <v>3348</v>
      </c>
      <c r="K2300" s="2">
        <v>407.7</v>
      </c>
      <c r="L2300" s="35">
        <f t="shared" si="120"/>
        <v>1303076.4705000001</v>
      </c>
      <c r="M2300" s="36">
        <v>30</v>
      </c>
      <c r="N2300" s="40">
        <v>38622.434210526299</v>
      </c>
      <c r="O2300" s="48">
        <v>560.17631578947396</v>
      </c>
      <c r="P2300" s="40">
        <v>22529.723684210501</v>
      </c>
      <c r="Q2300" s="48">
        <v>144.73684210526301</v>
      </c>
      <c r="R2300" s="40">
        <f>81333.3552631579+32185</f>
        <v>113518.35526315789</v>
      </c>
      <c r="S2300" s="40">
        <v>41963.210526315801</v>
      </c>
      <c r="T2300" s="40">
        <v>30000</v>
      </c>
      <c r="U2300" s="40">
        <v>673703.28947368404</v>
      </c>
      <c r="V2300" s="40">
        <v>0</v>
      </c>
      <c r="W2300" s="45">
        <f t="shared" si="121"/>
        <v>921041.92631578934</v>
      </c>
      <c r="X2300" s="46">
        <f t="shared" si="122"/>
        <v>70.682108622710288</v>
      </c>
    </row>
    <row r="2301" spans="1:24" s="4" customFormat="1" ht="15" customHeight="1">
      <c r="A2301" s="28" t="s">
        <v>3019</v>
      </c>
      <c r="B2301" s="29">
        <v>3196.165</v>
      </c>
      <c r="C2301" s="30" t="s">
        <v>3346</v>
      </c>
      <c r="D2301" s="2">
        <v>4950757116</v>
      </c>
      <c r="E2301" s="2" t="s">
        <v>14</v>
      </c>
      <c r="F2301" s="2" t="s">
        <v>3347</v>
      </c>
      <c r="G2301" s="28" t="s">
        <v>5</v>
      </c>
      <c r="H2301" s="2" t="s">
        <v>17</v>
      </c>
      <c r="I2301" s="2">
        <v>1</v>
      </c>
      <c r="J2301" s="2" t="s">
        <v>3348</v>
      </c>
      <c r="K2301" s="2">
        <v>5310</v>
      </c>
      <c r="L2301" s="35">
        <f t="shared" si="120"/>
        <v>16971636.149999999</v>
      </c>
      <c r="M2301" s="36">
        <v>1800</v>
      </c>
      <c r="N2301" s="40">
        <v>429.13815789473699</v>
      </c>
      <c r="O2301" s="48">
        <v>33610.578947368398</v>
      </c>
      <c r="P2301" s="40">
        <v>250.33026315789499</v>
      </c>
      <c r="Q2301" s="48">
        <v>8684.21052631579</v>
      </c>
      <c r="R2301" s="40">
        <f>903.703947368421+358</f>
        <v>1261.703947368421</v>
      </c>
      <c r="S2301" s="40">
        <v>466.25789473684199</v>
      </c>
      <c r="T2301" s="40">
        <v>30000</v>
      </c>
      <c r="U2301" s="40">
        <v>7485.5921052631602</v>
      </c>
      <c r="V2301" s="40">
        <v>0</v>
      </c>
      <c r="W2301" s="45">
        <f t="shared" si="121"/>
        <v>82187.811842105235</v>
      </c>
      <c r="X2301" s="46">
        <f t="shared" si="122"/>
        <v>0.48426569551519194</v>
      </c>
    </row>
    <row r="2302" spans="1:24" s="4" customFormat="1" ht="15" customHeight="1">
      <c r="A2302" s="28" t="s">
        <v>3019</v>
      </c>
      <c r="B2302" s="29">
        <v>3196.165</v>
      </c>
      <c r="C2302" s="30" t="s">
        <v>3346</v>
      </c>
      <c r="D2302" s="2">
        <v>4951050405</v>
      </c>
      <c r="E2302" s="2" t="s">
        <v>14</v>
      </c>
      <c r="F2302" s="2" t="s">
        <v>3347</v>
      </c>
      <c r="G2302" s="28" t="s">
        <v>5</v>
      </c>
      <c r="H2302" s="2" t="s">
        <v>17</v>
      </c>
      <c r="I2302" s="2">
        <v>1</v>
      </c>
      <c r="J2302" s="2" t="s">
        <v>3348</v>
      </c>
      <c r="K2302" s="2">
        <v>2115.6</v>
      </c>
      <c r="L2302" s="35">
        <f t="shared" si="120"/>
        <v>6761806.6739999996</v>
      </c>
      <c r="M2302" s="36">
        <v>410</v>
      </c>
      <c r="N2302" s="40">
        <v>25748.289473684199</v>
      </c>
      <c r="O2302" s="48">
        <v>7655.7429824561405</v>
      </c>
      <c r="P2302" s="40">
        <v>15019.8157894737</v>
      </c>
      <c r="Q2302" s="48">
        <v>1978.0701754386</v>
      </c>
      <c r="R2302" s="40">
        <f>54222.2368421053+21427</f>
        <v>75649.236842105311</v>
      </c>
      <c r="S2302" s="40">
        <v>27975.473684210501</v>
      </c>
      <c r="T2302" s="40">
        <v>30000</v>
      </c>
      <c r="U2302" s="40">
        <v>449135.52631578897</v>
      </c>
      <c r="V2302" s="40">
        <v>0</v>
      </c>
      <c r="W2302" s="45">
        <f t="shared" si="121"/>
        <v>633162.15526315745</v>
      </c>
      <c r="X2302" s="46">
        <f t="shared" si="122"/>
        <v>9.3638015073359888</v>
      </c>
    </row>
    <row r="2303" spans="1:24" s="4" customFormat="1" ht="15" customHeight="1">
      <c r="A2303" s="28" t="s">
        <v>3019</v>
      </c>
      <c r="B2303" s="29">
        <v>3196.165</v>
      </c>
      <c r="C2303" s="30" t="s">
        <v>3346</v>
      </c>
      <c r="D2303" s="2">
        <v>4951438973</v>
      </c>
      <c r="E2303" s="2" t="s">
        <v>14</v>
      </c>
      <c r="F2303" s="2" t="s">
        <v>3347</v>
      </c>
      <c r="G2303" s="28" t="s">
        <v>5</v>
      </c>
      <c r="H2303" s="2" t="s">
        <v>17</v>
      </c>
      <c r="I2303" s="2">
        <v>1</v>
      </c>
      <c r="J2303" s="2" t="s">
        <v>3348</v>
      </c>
      <c r="K2303" s="2">
        <v>18432</v>
      </c>
      <c r="L2303" s="35">
        <f t="shared" si="120"/>
        <v>58911713.280000001</v>
      </c>
      <c r="M2303" s="36">
        <v>6400</v>
      </c>
      <c r="N2303" s="40">
        <v>5864.8881578947403</v>
      </c>
      <c r="O2303" s="48">
        <v>119504.280701754</v>
      </c>
      <c r="P2303" s="40">
        <v>3421.1802631578898</v>
      </c>
      <c r="Q2303" s="48">
        <v>30877.192982456101</v>
      </c>
      <c r="R2303" s="40">
        <v>17237.620614035099</v>
      </c>
      <c r="S2303" s="40">
        <v>6372.1912280701799</v>
      </c>
      <c r="T2303" s="40">
        <v>30000</v>
      </c>
      <c r="U2303" s="40">
        <v>102303.092105263</v>
      </c>
      <c r="V2303" s="40">
        <v>0</v>
      </c>
      <c r="W2303" s="45">
        <f t="shared" si="121"/>
        <v>315580.44605263101</v>
      </c>
      <c r="X2303" s="46">
        <f t="shared" si="122"/>
        <v>0.53568370105401053</v>
      </c>
    </row>
    <row r="2304" spans="1:24" s="4" customFormat="1" ht="15" customHeight="1">
      <c r="A2304" s="28" t="s">
        <v>3019</v>
      </c>
      <c r="B2304" s="29">
        <v>3196.165</v>
      </c>
      <c r="C2304" s="30" t="s">
        <v>3349</v>
      </c>
      <c r="D2304" s="2">
        <v>4951459682</v>
      </c>
      <c r="E2304" s="2" t="s">
        <v>21</v>
      </c>
      <c r="F2304" s="2" t="s">
        <v>3350</v>
      </c>
      <c r="G2304" s="28" t="s">
        <v>5</v>
      </c>
      <c r="H2304" s="2" t="s">
        <v>2765</v>
      </c>
      <c r="I2304" s="2">
        <v>2</v>
      </c>
      <c r="J2304" s="2" t="s">
        <v>3351</v>
      </c>
      <c r="K2304" s="2">
        <v>71124.479999999996</v>
      </c>
      <c r="L2304" s="35">
        <f t="shared" si="120"/>
        <v>227325573.61919999</v>
      </c>
      <c r="M2304" s="36">
        <v>6350.4</v>
      </c>
      <c r="N2304" s="40">
        <v>254644.66666666701</v>
      </c>
      <c r="O2304" s="48">
        <v>375128</v>
      </c>
      <c r="P2304" s="40">
        <v>213081</v>
      </c>
      <c r="Q2304" s="48">
        <v>110000</v>
      </c>
      <c r="R2304" s="40">
        <f>322947+110000+3000+3603+200000</f>
        <v>639550</v>
      </c>
      <c r="S2304" s="40">
        <v>118118.66666666701</v>
      </c>
      <c r="T2304" s="48"/>
      <c r="U2304" s="40">
        <v>2572116.6666666698</v>
      </c>
      <c r="V2304" s="40">
        <v>0</v>
      </c>
      <c r="W2304" s="45">
        <f t="shared" si="121"/>
        <v>4282639.0000000037</v>
      </c>
      <c r="X2304" s="46">
        <f t="shared" si="122"/>
        <v>1.8839231028067185</v>
      </c>
    </row>
    <row r="2305" spans="1:24" s="4" customFormat="1" ht="15" customHeight="1">
      <c r="A2305" s="28" t="s">
        <v>3019</v>
      </c>
      <c r="B2305" s="29">
        <v>3196.165</v>
      </c>
      <c r="C2305" s="30" t="s">
        <v>3349</v>
      </c>
      <c r="D2305" s="2">
        <v>4951459652</v>
      </c>
      <c r="E2305" s="2" t="s">
        <v>21</v>
      </c>
      <c r="F2305" s="2" t="s">
        <v>3350</v>
      </c>
      <c r="G2305" s="28" t="s">
        <v>5</v>
      </c>
      <c r="H2305" s="2" t="s">
        <v>2765</v>
      </c>
      <c r="I2305" s="2">
        <v>2</v>
      </c>
      <c r="J2305" s="2" t="s">
        <v>3351</v>
      </c>
      <c r="K2305" s="2">
        <v>82555.199999999997</v>
      </c>
      <c r="L2305" s="35">
        <f t="shared" si="120"/>
        <v>263860040.808</v>
      </c>
      <c r="M2305" s="36">
        <v>12700.8</v>
      </c>
      <c r="N2305" s="40">
        <v>509289.33333333302</v>
      </c>
      <c r="O2305" s="48">
        <v>375128</v>
      </c>
      <c r="P2305" s="40">
        <v>304402</v>
      </c>
      <c r="Q2305" s="48">
        <v>110000</v>
      </c>
      <c r="R2305" s="40">
        <f>423668+110000+3000+5389+200000</f>
        <v>742057</v>
      </c>
      <c r="S2305" s="40">
        <v>236237.33333333299</v>
      </c>
      <c r="T2305" s="48"/>
      <c r="U2305" s="40">
        <v>5144233.3333333302</v>
      </c>
      <c r="V2305" s="40">
        <v>0</v>
      </c>
      <c r="W2305" s="45">
        <f t="shared" si="121"/>
        <v>7421346.9999999963</v>
      </c>
      <c r="X2305" s="46">
        <f t="shared" si="122"/>
        <v>2.812607387338427</v>
      </c>
    </row>
    <row r="2306" spans="1:24" s="4" customFormat="1" ht="15" customHeight="1">
      <c r="A2306" s="28" t="s">
        <v>3019</v>
      </c>
      <c r="B2306" s="29">
        <v>3196.165</v>
      </c>
      <c r="C2306" s="30" t="s">
        <v>3352</v>
      </c>
      <c r="D2306" s="2">
        <v>4951458571</v>
      </c>
      <c r="E2306" s="2" t="s">
        <v>21</v>
      </c>
      <c r="F2306" s="2" t="s">
        <v>3353</v>
      </c>
      <c r="G2306" s="28" t="s">
        <v>5</v>
      </c>
      <c r="H2306" s="2" t="s">
        <v>20</v>
      </c>
      <c r="I2306" s="2">
        <v>1</v>
      </c>
      <c r="J2306" s="2" t="s">
        <v>3354</v>
      </c>
      <c r="K2306" s="2">
        <v>20140</v>
      </c>
      <c r="L2306" s="35">
        <f t="shared" si="120"/>
        <v>64370763.100000001</v>
      </c>
      <c r="M2306" s="36">
        <v>3800</v>
      </c>
      <c r="N2306" s="40">
        <v>305052</v>
      </c>
      <c r="O2306" s="40">
        <v>324522</v>
      </c>
      <c r="P2306" s="40">
        <v>330295</v>
      </c>
      <c r="Q2306" s="40">
        <v>110000</v>
      </c>
      <c r="R2306" s="40">
        <v>1080912</v>
      </c>
      <c r="S2306" s="40">
        <v>354356</v>
      </c>
      <c r="T2306" s="40"/>
      <c r="U2306" s="40">
        <v>4999000</v>
      </c>
      <c r="V2306" s="40">
        <v>0</v>
      </c>
      <c r="W2306" s="45">
        <f t="shared" si="121"/>
        <v>7504137</v>
      </c>
      <c r="X2306" s="46">
        <f t="shared" si="122"/>
        <v>11.657679105562755</v>
      </c>
    </row>
    <row r="2307" spans="1:24" s="4" customFormat="1" ht="15" customHeight="1">
      <c r="A2307" s="28" t="s">
        <v>3019</v>
      </c>
      <c r="B2307" s="29">
        <v>3196.165</v>
      </c>
      <c r="C2307" s="30" t="s">
        <v>3355</v>
      </c>
      <c r="D2307" s="2">
        <v>4950899543</v>
      </c>
      <c r="E2307" s="2" t="s">
        <v>18</v>
      </c>
      <c r="F2307" s="2" t="s">
        <v>3356</v>
      </c>
      <c r="G2307" s="28" t="s">
        <v>5</v>
      </c>
      <c r="H2307" s="2" t="s">
        <v>20</v>
      </c>
      <c r="I2307" s="2">
        <v>1</v>
      </c>
      <c r="J2307" s="2" t="s">
        <v>3357</v>
      </c>
      <c r="K2307" s="2">
        <v>9090</v>
      </c>
      <c r="L2307" s="35">
        <f t="shared" si="120"/>
        <v>29053139.850000001</v>
      </c>
      <c r="M2307" s="36">
        <v>3000</v>
      </c>
      <c r="N2307" s="40">
        <v>147548.181818182</v>
      </c>
      <c r="O2307" s="40">
        <v>324522</v>
      </c>
      <c r="P2307" s="40">
        <v>0</v>
      </c>
      <c r="Q2307" s="40">
        <v>110000</v>
      </c>
      <c r="R2307" s="40">
        <v>263885</v>
      </c>
      <c r="S2307" s="40">
        <v>161070.909090909</v>
      </c>
      <c r="T2307" s="40">
        <v>30000</v>
      </c>
      <c r="U2307" s="40">
        <f>550000+2085500</f>
        <v>2635500</v>
      </c>
      <c r="V2307" s="40">
        <v>0</v>
      </c>
      <c r="W2307" s="45">
        <f t="shared" si="121"/>
        <v>3672526.0909090908</v>
      </c>
      <c r="X2307" s="46">
        <f t="shared" si="122"/>
        <v>12.640720107603414</v>
      </c>
    </row>
    <row r="2308" spans="1:24" s="4" customFormat="1" ht="15" customHeight="1">
      <c r="A2308" s="28" t="s">
        <v>3019</v>
      </c>
      <c r="B2308" s="29">
        <v>3196.165</v>
      </c>
      <c r="C2308" s="30" t="s">
        <v>3355</v>
      </c>
      <c r="D2308" s="2">
        <v>4951748777</v>
      </c>
      <c r="E2308" s="2" t="s">
        <v>18</v>
      </c>
      <c r="F2308" s="2" t="s">
        <v>3356</v>
      </c>
      <c r="G2308" s="28" t="s">
        <v>5</v>
      </c>
      <c r="H2308" s="2" t="s">
        <v>20</v>
      </c>
      <c r="I2308" s="2">
        <v>1</v>
      </c>
      <c r="J2308" s="2" t="s">
        <v>3357</v>
      </c>
      <c r="K2308" s="2">
        <v>10260</v>
      </c>
      <c r="L2308" s="35">
        <f t="shared" si="120"/>
        <v>32792652.899999999</v>
      </c>
      <c r="M2308" s="36">
        <v>3600</v>
      </c>
      <c r="N2308" s="40">
        <v>177057.818181818</v>
      </c>
      <c r="O2308" s="40">
        <v>324522</v>
      </c>
      <c r="P2308" s="40">
        <v>0</v>
      </c>
      <c r="Q2308" s="40">
        <v>110000</v>
      </c>
      <c r="R2308" s="40">
        <v>316662</v>
      </c>
      <c r="S2308" s="40">
        <v>193285.090909091</v>
      </c>
      <c r="T2308" s="40">
        <v>30000</v>
      </c>
      <c r="U2308" s="40">
        <v>0</v>
      </c>
      <c r="V2308" s="40">
        <v>0</v>
      </c>
      <c r="W2308" s="45">
        <f t="shared" si="121"/>
        <v>1151526.9090909089</v>
      </c>
      <c r="X2308" s="46">
        <f t="shared" si="122"/>
        <v>3.5115393457261548</v>
      </c>
    </row>
    <row r="2309" spans="1:24" s="4" customFormat="1" ht="15" customHeight="1">
      <c r="A2309" s="28" t="s">
        <v>3019</v>
      </c>
      <c r="B2309" s="29">
        <v>3196.165</v>
      </c>
      <c r="C2309" s="30" t="s">
        <v>3358</v>
      </c>
      <c r="D2309" s="2">
        <v>4950962136</v>
      </c>
      <c r="E2309" s="2" t="s">
        <v>21</v>
      </c>
      <c r="F2309" s="2" t="s">
        <v>3359</v>
      </c>
      <c r="G2309" s="28" t="s">
        <v>9</v>
      </c>
      <c r="H2309" s="2" t="s">
        <v>23</v>
      </c>
      <c r="I2309" s="2">
        <v>4</v>
      </c>
      <c r="J2309" s="2"/>
      <c r="K2309" s="2">
        <v>16112</v>
      </c>
      <c r="L2309" s="35">
        <f t="shared" si="120"/>
        <v>51496610.479999997</v>
      </c>
      <c r="M2309" s="36">
        <v>3040</v>
      </c>
      <c r="N2309" s="40">
        <v>857410</v>
      </c>
      <c r="O2309" s="40">
        <v>2164</v>
      </c>
      <c r="P2309" s="40">
        <v>0</v>
      </c>
      <c r="Q2309" s="40">
        <v>54094</v>
      </c>
      <c r="R2309" s="40">
        <v>138210</v>
      </c>
      <c r="S2309" s="40">
        <v>354356</v>
      </c>
      <c r="T2309" s="40"/>
      <c r="U2309" s="40">
        <v>252200</v>
      </c>
      <c r="V2309" s="40">
        <v>0</v>
      </c>
      <c r="W2309" s="45">
        <f t="shared" si="121"/>
        <v>1658434</v>
      </c>
      <c r="X2309" s="46">
        <f t="shared" si="122"/>
        <v>3.2204721525198141</v>
      </c>
    </row>
    <row r="2310" spans="1:24" s="4" customFormat="1" ht="15" customHeight="1">
      <c r="A2310" s="28" t="s">
        <v>3019</v>
      </c>
      <c r="B2310" s="29">
        <v>3196.165</v>
      </c>
      <c r="C2310" s="30" t="s">
        <v>3360</v>
      </c>
      <c r="D2310" s="2">
        <v>4951817781</v>
      </c>
      <c r="E2310" s="2" t="s">
        <v>18</v>
      </c>
      <c r="F2310" s="2" t="s">
        <v>3361</v>
      </c>
      <c r="G2310" s="28" t="s">
        <v>9</v>
      </c>
      <c r="H2310" s="2" t="s">
        <v>23</v>
      </c>
      <c r="I2310" s="2">
        <v>2</v>
      </c>
      <c r="J2310" s="2"/>
      <c r="K2310" s="2">
        <v>7329</v>
      </c>
      <c r="L2310" s="35">
        <f t="shared" si="120"/>
        <v>23424693.285</v>
      </c>
      <c r="M2310" s="36">
        <v>700</v>
      </c>
      <c r="N2310" s="40">
        <v>527715</v>
      </c>
      <c r="O2310" s="40">
        <f>512+510</f>
        <v>1022</v>
      </c>
      <c r="P2310" s="40">
        <v>7737</v>
      </c>
      <c r="Q2310" s="40">
        <v>12403</v>
      </c>
      <c r="R2310" s="40">
        <v>240314</v>
      </c>
      <c r="S2310" s="40">
        <v>354356</v>
      </c>
      <c r="T2310" s="40">
        <v>30000</v>
      </c>
      <c r="U2310" s="40">
        <v>0</v>
      </c>
      <c r="V2310" s="40">
        <v>0</v>
      </c>
      <c r="W2310" s="45">
        <f t="shared" si="121"/>
        <v>1173547</v>
      </c>
      <c r="X2310" s="46">
        <f t="shared" si="122"/>
        <v>5.009871359773495</v>
      </c>
    </row>
    <row r="2311" spans="1:24" s="4" customFormat="1" ht="15" customHeight="1">
      <c r="A2311" s="28" t="s">
        <v>3019</v>
      </c>
      <c r="B2311" s="29">
        <v>3196.165</v>
      </c>
      <c r="C2311" s="30" t="s">
        <v>3362</v>
      </c>
      <c r="D2311" s="2">
        <v>4951460381</v>
      </c>
      <c r="E2311" s="2" t="s">
        <v>14</v>
      </c>
      <c r="F2311" s="2" t="s">
        <v>3363</v>
      </c>
      <c r="G2311" s="28" t="s">
        <v>9</v>
      </c>
      <c r="H2311" s="2" t="s">
        <v>23</v>
      </c>
      <c r="I2311" s="2">
        <v>2</v>
      </c>
      <c r="J2311" s="2"/>
      <c r="K2311" s="2">
        <v>5290.9</v>
      </c>
      <c r="L2311" s="35">
        <f t="shared" si="120"/>
        <v>16910589.398499999</v>
      </c>
      <c r="M2311" s="36">
        <v>1632</v>
      </c>
      <c r="N2311" s="40">
        <v>685096</v>
      </c>
      <c r="O2311" s="40">
        <v>1181</v>
      </c>
      <c r="P2311" s="40">
        <v>0</v>
      </c>
      <c r="Q2311" s="40">
        <v>29043</v>
      </c>
      <c r="R2311" s="40">
        <v>119718</v>
      </c>
      <c r="S2311" s="40">
        <v>354356</v>
      </c>
      <c r="T2311" s="40">
        <v>30000</v>
      </c>
      <c r="U2311" s="40">
        <v>252200</v>
      </c>
      <c r="V2311" s="40">
        <v>0</v>
      </c>
      <c r="W2311" s="45">
        <f t="shared" si="121"/>
        <v>1471594</v>
      </c>
      <c r="X2311" s="46">
        <f t="shared" si="122"/>
        <v>8.7022040765210296</v>
      </c>
    </row>
    <row r="2312" spans="1:24" s="4" customFormat="1" ht="15" customHeight="1">
      <c r="A2312" s="28" t="s">
        <v>3019</v>
      </c>
      <c r="B2312" s="29">
        <v>3196.165</v>
      </c>
      <c r="C2312" s="30" t="s">
        <v>3364</v>
      </c>
      <c r="D2312" s="2">
        <v>4951650235</v>
      </c>
      <c r="E2312" s="2" t="s">
        <v>24</v>
      </c>
      <c r="F2312" s="2" t="s">
        <v>3365</v>
      </c>
      <c r="G2312" s="28" t="s">
        <v>9</v>
      </c>
      <c r="H2312" s="2" t="s">
        <v>23</v>
      </c>
      <c r="I2312" s="2">
        <v>1</v>
      </c>
      <c r="J2312" s="2"/>
      <c r="K2312" s="2">
        <v>5340</v>
      </c>
      <c r="L2312" s="35">
        <f t="shared" si="120"/>
        <v>17067521.100000001</v>
      </c>
      <c r="M2312" s="36">
        <v>1000</v>
      </c>
      <c r="N2312" s="40">
        <v>481262</v>
      </c>
      <c r="O2312" s="40">
        <v>670</v>
      </c>
      <c r="P2312" s="40">
        <v>0</v>
      </c>
      <c r="Q2312" s="40">
        <v>16798</v>
      </c>
      <c r="R2312" s="40">
        <v>103522</v>
      </c>
      <c r="S2312" s="40">
        <v>354356</v>
      </c>
      <c r="T2312" s="40"/>
      <c r="U2312" s="40">
        <v>406926.82926829299</v>
      </c>
      <c r="V2312" s="40">
        <v>0</v>
      </c>
      <c r="W2312" s="45">
        <f t="shared" si="121"/>
        <v>1363534.829268293</v>
      </c>
      <c r="X2312" s="46">
        <f t="shared" si="122"/>
        <v>7.9890619222277861</v>
      </c>
    </row>
    <row r="2313" spans="1:24" s="4" customFormat="1" ht="15" customHeight="1">
      <c r="A2313" s="28" t="s">
        <v>3019</v>
      </c>
      <c r="B2313" s="29">
        <v>3196.165</v>
      </c>
      <c r="C2313" s="30" t="s">
        <v>3366</v>
      </c>
      <c r="D2313" s="2">
        <v>4951595834</v>
      </c>
      <c r="E2313" s="2" t="s">
        <v>14</v>
      </c>
      <c r="F2313" s="2" t="s">
        <v>3367</v>
      </c>
      <c r="G2313" s="28" t="s">
        <v>5</v>
      </c>
      <c r="H2313" s="2" t="s">
        <v>20</v>
      </c>
      <c r="I2313" s="2">
        <v>1</v>
      </c>
      <c r="J2313" s="2" t="s">
        <v>3368</v>
      </c>
      <c r="K2313" s="2">
        <v>49060.800000000003</v>
      </c>
      <c r="L2313" s="35">
        <f t="shared" si="120"/>
        <v>156806411.83200002</v>
      </c>
      <c r="M2313" s="36">
        <v>480</v>
      </c>
      <c r="N2313" s="40">
        <v>381967</v>
      </c>
      <c r="O2313" s="40">
        <v>324522</v>
      </c>
      <c r="P2313" s="40">
        <v>213081</v>
      </c>
      <c r="Q2313" s="40">
        <v>110000</v>
      </c>
      <c r="R2313" s="40">
        <v>629325</v>
      </c>
      <c r="S2313" s="40">
        <v>354356</v>
      </c>
      <c r="T2313" s="40">
        <v>30000</v>
      </c>
      <c r="U2313" s="40">
        <v>2619000</v>
      </c>
      <c r="V2313" s="40">
        <v>0</v>
      </c>
      <c r="W2313" s="45">
        <f t="shared" si="121"/>
        <v>4662251</v>
      </c>
      <c r="X2313" s="46">
        <f t="shared" si="122"/>
        <v>2.9732527806293176</v>
      </c>
    </row>
    <row r="2314" spans="1:24" s="4" customFormat="1" ht="15" customHeight="1">
      <c r="A2314" s="28" t="s">
        <v>3019</v>
      </c>
      <c r="B2314" s="29">
        <v>3196.165</v>
      </c>
      <c r="C2314" s="30" t="s">
        <v>3369</v>
      </c>
      <c r="D2314" s="2">
        <v>4950979629</v>
      </c>
      <c r="E2314" s="2" t="s">
        <v>33</v>
      </c>
      <c r="F2314" s="2" t="s">
        <v>3370</v>
      </c>
      <c r="G2314" s="28" t="s">
        <v>5</v>
      </c>
      <c r="H2314" s="2" t="s">
        <v>20</v>
      </c>
      <c r="I2314" s="2">
        <v>2</v>
      </c>
      <c r="J2314" s="2" t="s">
        <v>3371</v>
      </c>
      <c r="K2314" s="2">
        <v>49500</v>
      </c>
      <c r="L2314" s="35">
        <f t="shared" si="120"/>
        <v>158210167.5</v>
      </c>
      <c r="M2314" s="36">
        <f>4400+15400+19800</f>
        <v>39600</v>
      </c>
      <c r="N2314" s="40">
        <v>762509</v>
      </c>
      <c r="O2314" s="40">
        <v>649044</v>
      </c>
      <c r="P2314" s="40">
        <v>0</v>
      </c>
      <c r="Q2314" s="40">
        <v>198619</v>
      </c>
      <c r="R2314" s="40">
        <v>1253887</v>
      </c>
      <c r="S2314" s="40">
        <v>354356</v>
      </c>
      <c r="T2314" s="40"/>
      <c r="U2314" s="40">
        <v>9622400</v>
      </c>
      <c r="V2314" s="40">
        <v>0</v>
      </c>
      <c r="W2314" s="45">
        <f t="shared" si="121"/>
        <v>12840815</v>
      </c>
      <c r="X2314" s="46">
        <f t="shared" si="122"/>
        <v>8.1163020069490788</v>
      </c>
    </row>
    <row r="2315" spans="1:24" s="4" customFormat="1" ht="15" customHeight="1">
      <c r="A2315" s="28" t="s">
        <v>3019</v>
      </c>
      <c r="B2315" s="29">
        <v>3196.165</v>
      </c>
      <c r="C2315" s="30" t="s">
        <v>3372</v>
      </c>
      <c r="D2315" s="2">
        <v>4951726527</v>
      </c>
      <c r="E2315" s="2" t="s">
        <v>14</v>
      </c>
      <c r="F2315" s="2" t="s">
        <v>3373</v>
      </c>
      <c r="G2315" s="28" t="s">
        <v>5</v>
      </c>
      <c r="H2315" s="2" t="s">
        <v>20</v>
      </c>
      <c r="I2315" s="2">
        <v>1</v>
      </c>
      <c r="J2315" s="2" t="s">
        <v>3374</v>
      </c>
      <c r="K2315" s="2">
        <v>25447.5</v>
      </c>
      <c r="L2315" s="35">
        <f t="shared" si="120"/>
        <v>81334408.837500006</v>
      </c>
      <c r="M2315" s="36">
        <v>17750</v>
      </c>
      <c r="N2315" s="40">
        <v>326145</v>
      </c>
      <c r="O2315" s="40">
        <v>324522</v>
      </c>
      <c r="P2315" s="40">
        <v>213081</v>
      </c>
      <c r="Q2315" s="40">
        <v>110000</v>
      </c>
      <c r="R2315" s="40">
        <v>551747</v>
      </c>
      <c r="S2315" s="40">
        <v>354356</v>
      </c>
      <c r="T2315" s="40">
        <v>30000</v>
      </c>
      <c r="U2315" s="40">
        <v>6404400</v>
      </c>
      <c r="V2315" s="40">
        <v>0</v>
      </c>
      <c r="W2315" s="45">
        <f t="shared" si="121"/>
        <v>8314251</v>
      </c>
      <c r="X2315" s="46">
        <f t="shared" si="122"/>
        <v>10.222304580354477</v>
      </c>
    </row>
    <row r="2316" spans="1:24" s="4" customFormat="1" ht="15" customHeight="1">
      <c r="A2316" s="28" t="s">
        <v>3019</v>
      </c>
      <c r="B2316" s="29">
        <v>3196.165</v>
      </c>
      <c r="C2316" s="30" t="s">
        <v>3375</v>
      </c>
      <c r="D2316" s="2">
        <v>4947224857</v>
      </c>
      <c r="E2316" s="2" t="s">
        <v>6</v>
      </c>
      <c r="F2316" s="2" t="s">
        <v>3376</v>
      </c>
      <c r="G2316" s="28" t="s">
        <v>9</v>
      </c>
      <c r="H2316" s="2" t="s">
        <v>23</v>
      </c>
      <c r="I2316" s="2">
        <v>4</v>
      </c>
      <c r="J2316" s="2"/>
      <c r="K2316" s="2">
        <v>5775</v>
      </c>
      <c r="L2316" s="35">
        <f t="shared" si="120"/>
        <v>18457852.875</v>
      </c>
      <c r="M2316" s="36">
        <v>3500</v>
      </c>
      <c r="N2316" s="40">
        <v>606949</v>
      </c>
      <c r="O2316" s="40">
        <v>2302</v>
      </c>
      <c r="P2316" s="40">
        <v>71240</v>
      </c>
      <c r="Q2316" s="40">
        <v>57145</v>
      </c>
      <c r="R2316" s="40">
        <v>149031</v>
      </c>
      <c r="S2316" s="40">
        <v>354356</v>
      </c>
      <c r="T2316" s="40">
        <v>30000</v>
      </c>
      <c r="U2316" s="40">
        <v>1367700</v>
      </c>
      <c r="V2316" s="40">
        <v>0</v>
      </c>
      <c r="W2316" s="45">
        <f t="shared" si="121"/>
        <v>2638723</v>
      </c>
      <c r="X2316" s="46">
        <f t="shared" si="122"/>
        <v>14.295936899432027</v>
      </c>
    </row>
    <row r="2317" spans="1:24" s="4" customFormat="1" ht="15" customHeight="1">
      <c r="A2317" s="28" t="s">
        <v>3019</v>
      </c>
      <c r="B2317" s="29">
        <v>3196.165</v>
      </c>
      <c r="C2317" s="30" t="s">
        <v>3377</v>
      </c>
      <c r="D2317" s="2">
        <v>4951411190</v>
      </c>
      <c r="E2317" s="2" t="s">
        <v>33</v>
      </c>
      <c r="F2317" s="78" t="s">
        <v>3378</v>
      </c>
      <c r="G2317" s="28" t="s">
        <v>13</v>
      </c>
      <c r="H2317" s="2" t="s">
        <v>23</v>
      </c>
      <c r="I2317" s="2">
        <v>5</v>
      </c>
      <c r="J2317" s="2"/>
      <c r="K2317" s="2">
        <f>2490+475</f>
        <v>2965</v>
      </c>
      <c r="L2317" s="35">
        <f t="shared" si="120"/>
        <v>9476629.2249999996</v>
      </c>
      <c r="M2317" s="36">
        <v>1000</v>
      </c>
      <c r="N2317" s="40">
        <v>1339014</v>
      </c>
      <c r="O2317" s="40">
        <v>0</v>
      </c>
      <c r="P2317" s="40">
        <v>0</v>
      </c>
      <c r="Q2317" s="40">
        <v>0</v>
      </c>
      <c r="R2317" s="40">
        <v>11443</v>
      </c>
      <c r="S2317" s="40">
        <v>354356</v>
      </c>
      <c r="T2317" s="40"/>
      <c r="U2317" s="40">
        <v>246380</v>
      </c>
      <c r="V2317" s="40">
        <v>0</v>
      </c>
      <c r="W2317" s="45">
        <f t="shared" si="121"/>
        <v>1951193</v>
      </c>
      <c r="X2317" s="46">
        <f t="shared" si="122"/>
        <v>20.589525596850606</v>
      </c>
    </row>
    <row r="2318" spans="1:24" s="4" customFormat="1" ht="15" customHeight="1">
      <c r="A2318" s="28" t="s">
        <v>3019</v>
      </c>
      <c r="B2318" s="29">
        <v>3196.165</v>
      </c>
      <c r="C2318" s="30" t="s">
        <v>3379</v>
      </c>
      <c r="D2318" s="2">
        <v>4952024019</v>
      </c>
      <c r="E2318" s="2" t="s">
        <v>14</v>
      </c>
      <c r="F2318" s="78" t="s">
        <v>3380</v>
      </c>
      <c r="G2318" s="28" t="s">
        <v>13</v>
      </c>
      <c r="H2318" s="2" t="s">
        <v>23</v>
      </c>
      <c r="I2318" s="2">
        <v>1</v>
      </c>
      <c r="J2318" s="2"/>
      <c r="K2318" s="2">
        <v>773.4</v>
      </c>
      <c r="L2318" s="35">
        <f t="shared" si="120"/>
        <v>2471914.0109999999</v>
      </c>
      <c r="M2318" s="36">
        <v>20</v>
      </c>
      <c r="N2318" s="40">
        <v>127974</v>
      </c>
      <c r="O2318" s="40">
        <v>0</v>
      </c>
      <c r="P2318" s="40">
        <v>0</v>
      </c>
      <c r="Q2318" s="40">
        <v>0</v>
      </c>
      <c r="R2318" s="40">
        <v>512</v>
      </c>
      <c r="S2318" s="40">
        <v>354356</v>
      </c>
      <c r="T2318" s="40">
        <v>30000</v>
      </c>
      <c r="U2318" s="40">
        <v>6194.3431803896901</v>
      </c>
      <c r="V2318" s="40">
        <v>0</v>
      </c>
      <c r="W2318" s="45">
        <f t="shared" si="121"/>
        <v>519036.34318038967</v>
      </c>
      <c r="X2318" s="46">
        <f t="shared" si="122"/>
        <v>20.99734622121488</v>
      </c>
    </row>
    <row r="2319" spans="1:24" s="4" customFormat="1" ht="15" customHeight="1">
      <c r="A2319" s="28" t="s">
        <v>3019</v>
      </c>
      <c r="B2319" s="29">
        <v>3196.165</v>
      </c>
      <c r="C2319" s="30" t="s">
        <v>3381</v>
      </c>
      <c r="D2319" s="2">
        <v>4951650351</v>
      </c>
      <c r="E2319" s="2" t="s">
        <v>14</v>
      </c>
      <c r="F2319" s="78" t="s">
        <v>3382</v>
      </c>
      <c r="G2319" s="28" t="s">
        <v>13</v>
      </c>
      <c r="H2319" s="2" t="s">
        <v>23</v>
      </c>
      <c r="I2319" s="2">
        <v>1</v>
      </c>
      <c r="J2319" s="2"/>
      <c r="K2319" s="2">
        <v>458.3</v>
      </c>
      <c r="L2319" s="35">
        <f t="shared" si="120"/>
        <v>1464802.4195000001</v>
      </c>
      <c r="M2319" s="36">
        <v>10</v>
      </c>
      <c r="N2319" s="40">
        <v>295281</v>
      </c>
      <c r="O2319" s="40">
        <v>0</v>
      </c>
      <c r="P2319" s="40">
        <v>0</v>
      </c>
      <c r="Q2319" s="40">
        <v>0</v>
      </c>
      <c r="R2319" s="40">
        <v>1181</v>
      </c>
      <c r="S2319" s="40">
        <v>354356</v>
      </c>
      <c r="T2319" s="40">
        <v>30000</v>
      </c>
      <c r="U2319" s="40">
        <v>246380</v>
      </c>
      <c r="V2319" s="40">
        <v>0</v>
      </c>
      <c r="W2319" s="45">
        <f t="shared" si="121"/>
        <v>927198</v>
      </c>
      <c r="X2319" s="46">
        <f t="shared" si="122"/>
        <v>63.298502764385965</v>
      </c>
    </row>
    <row r="2320" spans="1:24" s="4" customFormat="1" ht="15" customHeight="1">
      <c r="A2320" s="28" t="s">
        <v>3019</v>
      </c>
      <c r="B2320" s="29">
        <v>3196.165</v>
      </c>
      <c r="C2320" s="30" t="s">
        <v>3383</v>
      </c>
      <c r="D2320" s="2">
        <v>4952026917</v>
      </c>
      <c r="E2320" s="2" t="s">
        <v>14</v>
      </c>
      <c r="F2320" s="78" t="s">
        <v>3384</v>
      </c>
      <c r="G2320" s="28" t="s">
        <v>13</v>
      </c>
      <c r="H2320" s="2" t="s">
        <v>23</v>
      </c>
      <c r="I2320" s="2">
        <v>4</v>
      </c>
      <c r="J2320" s="2"/>
      <c r="K2320" s="2">
        <v>14846.4</v>
      </c>
      <c r="L2320" s="35">
        <f t="shared" si="120"/>
        <v>47451544.056000002</v>
      </c>
      <c r="M2320" s="36">
        <v>120</v>
      </c>
      <c r="N2320" s="40">
        <v>477990.933333333</v>
      </c>
      <c r="O2320" s="40">
        <v>0</v>
      </c>
      <c r="P2320" s="40">
        <v>0</v>
      </c>
      <c r="Q2320" s="40">
        <v>0</v>
      </c>
      <c r="R2320" s="40">
        <v>15021.2511671335</v>
      </c>
      <c r="S2320" s="40">
        <v>172049.59850606901</v>
      </c>
      <c r="T2320" s="40">
        <v>30000</v>
      </c>
      <c r="U2320" s="40">
        <v>80526.461345065996</v>
      </c>
      <c r="V2320" s="40">
        <v>0</v>
      </c>
      <c r="W2320" s="45">
        <f t="shared" si="121"/>
        <v>775588.24435160146</v>
      </c>
      <c r="X2320" s="46">
        <f t="shared" si="122"/>
        <v>1.6344847354941496</v>
      </c>
    </row>
    <row r="2321" spans="1:24" s="4" customFormat="1" ht="15" customHeight="1">
      <c r="A2321" s="28" t="s">
        <v>3019</v>
      </c>
      <c r="B2321" s="29">
        <v>3196.165</v>
      </c>
      <c r="C2321" s="30" t="s">
        <v>3383</v>
      </c>
      <c r="D2321" s="2">
        <v>4952026918</v>
      </c>
      <c r="E2321" s="2" t="s">
        <v>14</v>
      </c>
      <c r="F2321" s="78" t="s">
        <v>3384</v>
      </c>
      <c r="G2321" s="28" t="s">
        <v>13</v>
      </c>
      <c r="H2321" s="2" t="s">
        <v>23</v>
      </c>
      <c r="I2321" s="2">
        <v>4</v>
      </c>
      <c r="J2321" s="2"/>
      <c r="K2321" s="2">
        <v>318.13</v>
      </c>
      <c r="L2321" s="35">
        <f t="shared" si="120"/>
        <v>1016795.97145</v>
      </c>
      <c r="M2321" s="36">
        <v>0.5</v>
      </c>
      <c r="N2321" s="40">
        <v>919.21333333333303</v>
      </c>
      <c r="O2321" s="40">
        <v>0</v>
      </c>
      <c r="P2321" s="40">
        <v>0</v>
      </c>
      <c r="Q2321" s="40">
        <v>0</v>
      </c>
      <c r="R2321" s="40">
        <v>28.887021475256802</v>
      </c>
      <c r="S2321" s="40">
        <v>330.864612511671</v>
      </c>
      <c r="T2321" s="40">
        <v>30000</v>
      </c>
      <c r="U2321" s="40">
        <v>154.85857950974199</v>
      </c>
      <c r="V2321" s="40">
        <v>0</v>
      </c>
      <c r="W2321" s="45">
        <f t="shared" si="121"/>
        <v>31433.823546830004</v>
      </c>
      <c r="X2321" s="46">
        <f t="shared" si="122"/>
        <v>3.0914583091830963</v>
      </c>
    </row>
    <row r="2322" spans="1:24" s="4" customFormat="1" ht="15" customHeight="1">
      <c r="A2322" s="28" t="s">
        <v>3019</v>
      </c>
      <c r="B2322" s="29">
        <v>3196.165</v>
      </c>
      <c r="C2322" s="30" t="s">
        <v>3383</v>
      </c>
      <c r="D2322" s="2">
        <v>4952026919</v>
      </c>
      <c r="E2322" s="2" t="s">
        <v>14</v>
      </c>
      <c r="F2322" s="78" t="s">
        <v>3384</v>
      </c>
      <c r="G2322" s="28" t="s">
        <v>13</v>
      </c>
      <c r="H2322" s="2" t="s">
        <v>23</v>
      </c>
      <c r="I2322" s="2">
        <v>4</v>
      </c>
      <c r="J2322" s="2"/>
      <c r="K2322" s="2">
        <v>1510.4</v>
      </c>
      <c r="L2322" s="35">
        <f t="shared" si="120"/>
        <v>4827487.6160000004</v>
      </c>
      <c r="M2322" s="36">
        <v>20</v>
      </c>
      <c r="N2322" s="40">
        <v>36768.533333333296</v>
      </c>
      <c r="O2322" s="40">
        <v>0</v>
      </c>
      <c r="P2322" s="40">
        <v>0</v>
      </c>
      <c r="Q2322" s="40">
        <v>0</v>
      </c>
      <c r="R2322" s="40">
        <v>1155.48085901027</v>
      </c>
      <c r="S2322" s="40">
        <v>13234.584500466901</v>
      </c>
      <c r="T2322" s="40">
        <v>30000</v>
      </c>
      <c r="U2322" s="40">
        <v>6194.3431803896901</v>
      </c>
      <c r="V2322" s="40">
        <v>0</v>
      </c>
      <c r="W2322" s="45">
        <f t="shared" si="121"/>
        <v>87352.941873200165</v>
      </c>
      <c r="X2322" s="46">
        <f t="shared" si="122"/>
        <v>1.8094907500887552</v>
      </c>
    </row>
    <row r="2323" spans="1:24" s="4" customFormat="1" ht="15" customHeight="1">
      <c r="A2323" s="28" t="s">
        <v>3019</v>
      </c>
      <c r="B2323" s="29">
        <v>3196.165</v>
      </c>
      <c r="C2323" s="30" t="s">
        <v>3383</v>
      </c>
      <c r="D2323" s="2">
        <v>4952026920</v>
      </c>
      <c r="E2323" s="2" t="s">
        <v>14</v>
      </c>
      <c r="F2323" s="78" t="s">
        <v>3384</v>
      </c>
      <c r="G2323" s="28" t="s">
        <v>13</v>
      </c>
      <c r="H2323" s="2" t="s">
        <v>23</v>
      </c>
      <c r="I2323" s="2">
        <v>4</v>
      </c>
      <c r="J2323" s="2"/>
      <c r="K2323" s="2">
        <v>6940.8</v>
      </c>
      <c r="L2323" s="35">
        <f t="shared" si="120"/>
        <v>22183942.032000002</v>
      </c>
      <c r="M2323" s="36">
        <v>90</v>
      </c>
      <c r="N2323" s="40">
        <v>165458.4</v>
      </c>
      <c r="O2323" s="40">
        <v>0</v>
      </c>
      <c r="P2323" s="40">
        <v>0</v>
      </c>
      <c r="Q2323" s="40">
        <v>0</v>
      </c>
      <c r="R2323" s="40">
        <v>5199.6638655462202</v>
      </c>
      <c r="S2323" s="40">
        <v>59555.630252100796</v>
      </c>
      <c r="T2323" s="40">
        <v>30000</v>
      </c>
      <c r="U2323" s="40">
        <v>27874.544311753602</v>
      </c>
      <c r="V2323" s="40">
        <v>0</v>
      </c>
      <c r="W2323" s="45">
        <f t="shared" si="121"/>
        <v>288088.2384294006</v>
      </c>
      <c r="X2323" s="46">
        <f t="shared" si="122"/>
        <v>1.2986341111685096</v>
      </c>
    </row>
    <row r="2324" spans="1:24" s="4" customFormat="1" ht="15" customHeight="1">
      <c r="A2324" s="28" t="s">
        <v>3019</v>
      </c>
      <c r="B2324" s="29">
        <v>3196.165</v>
      </c>
      <c r="C2324" s="30" t="s">
        <v>3383</v>
      </c>
      <c r="D2324" s="2">
        <v>4952026921</v>
      </c>
      <c r="E2324" s="2" t="s">
        <v>14</v>
      </c>
      <c r="F2324" s="78" t="s">
        <v>3384</v>
      </c>
      <c r="G2324" s="28" t="s">
        <v>13</v>
      </c>
      <c r="H2324" s="2" t="s">
        <v>23</v>
      </c>
      <c r="I2324" s="2">
        <v>4</v>
      </c>
      <c r="J2324" s="2"/>
      <c r="K2324" s="2">
        <v>1939.05</v>
      </c>
      <c r="L2324" s="35">
        <f t="shared" si="120"/>
        <v>6197523.7432499994</v>
      </c>
      <c r="M2324" s="36">
        <v>15</v>
      </c>
      <c r="N2324" s="40">
        <v>27576.400000000001</v>
      </c>
      <c r="O2324" s="40">
        <v>0</v>
      </c>
      <c r="P2324" s="40">
        <v>0</v>
      </c>
      <c r="Q2324" s="40">
        <v>0</v>
      </c>
      <c r="R2324" s="40">
        <v>866.61064425770303</v>
      </c>
      <c r="S2324" s="40">
        <v>9925.9383753501406</v>
      </c>
      <c r="T2324" s="40">
        <v>30000</v>
      </c>
      <c r="U2324" s="40">
        <v>4645.7573852922696</v>
      </c>
      <c r="V2324" s="40">
        <v>0</v>
      </c>
      <c r="W2324" s="45">
        <f t="shared" si="121"/>
        <v>73014.70640490012</v>
      </c>
      <c r="X2324" s="46">
        <f t="shared" si="122"/>
        <v>1.1781270944612952</v>
      </c>
    </row>
    <row r="2325" spans="1:24" s="4" customFormat="1" ht="15" customHeight="1">
      <c r="A2325" s="28" t="s">
        <v>3019</v>
      </c>
      <c r="B2325" s="29">
        <v>3196.165</v>
      </c>
      <c r="C2325" s="30" t="s">
        <v>3383</v>
      </c>
      <c r="D2325" s="2">
        <v>4952026922</v>
      </c>
      <c r="E2325" s="2" t="s">
        <v>14</v>
      </c>
      <c r="F2325" s="78" t="s">
        <v>3384</v>
      </c>
      <c r="G2325" s="28" t="s">
        <v>13</v>
      </c>
      <c r="H2325" s="2" t="s">
        <v>23</v>
      </c>
      <c r="I2325" s="2">
        <v>4</v>
      </c>
      <c r="J2325" s="2"/>
      <c r="K2325" s="2">
        <v>7609.2</v>
      </c>
      <c r="L2325" s="35">
        <f t="shared" si="120"/>
        <v>24320258.717999998</v>
      </c>
      <c r="M2325" s="36">
        <v>60</v>
      </c>
      <c r="N2325" s="40">
        <v>110305.60000000001</v>
      </c>
      <c r="O2325" s="40">
        <v>0</v>
      </c>
      <c r="P2325" s="40">
        <v>0</v>
      </c>
      <c r="Q2325" s="40">
        <v>0</v>
      </c>
      <c r="R2325" s="40">
        <v>3466.4425770308098</v>
      </c>
      <c r="S2325" s="40">
        <v>39703.753501400599</v>
      </c>
      <c r="T2325" s="40">
        <v>30000</v>
      </c>
      <c r="U2325" s="40">
        <v>18583.0295411691</v>
      </c>
      <c r="V2325" s="40">
        <v>0</v>
      </c>
      <c r="W2325" s="45">
        <f t="shared" si="121"/>
        <v>202058.82561960051</v>
      </c>
      <c r="X2325" s="46">
        <f t="shared" si="122"/>
        <v>0.83082514854191081</v>
      </c>
    </row>
    <row r="2326" spans="1:24" s="4" customFormat="1" ht="15" customHeight="1">
      <c r="A2326" s="28" t="s">
        <v>3019</v>
      </c>
      <c r="B2326" s="29">
        <v>3196.165</v>
      </c>
      <c r="C2326" s="30" t="s">
        <v>3383</v>
      </c>
      <c r="D2326" s="2">
        <v>4952026924</v>
      </c>
      <c r="E2326" s="2" t="s">
        <v>14</v>
      </c>
      <c r="F2326" s="78" t="s">
        <v>3384</v>
      </c>
      <c r="G2326" s="28" t="s">
        <v>13</v>
      </c>
      <c r="H2326" s="2" t="s">
        <v>23</v>
      </c>
      <c r="I2326" s="2">
        <v>4</v>
      </c>
      <c r="J2326" s="2"/>
      <c r="K2326" s="2">
        <v>411.4</v>
      </c>
      <c r="L2326" s="35">
        <f t="shared" si="120"/>
        <v>1314902.281</v>
      </c>
      <c r="M2326" s="36">
        <v>10</v>
      </c>
      <c r="N2326" s="40">
        <v>18384.266666666699</v>
      </c>
      <c r="O2326" s="40">
        <v>0</v>
      </c>
      <c r="P2326" s="40">
        <v>0</v>
      </c>
      <c r="Q2326" s="40">
        <v>0</v>
      </c>
      <c r="R2326" s="40">
        <v>577.74042950513501</v>
      </c>
      <c r="S2326" s="40">
        <v>6617.2922502334304</v>
      </c>
      <c r="T2326" s="40">
        <v>30000</v>
      </c>
      <c r="U2326" s="40">
        <v>3097.1715901948501</v>
      </c>
      <c r="V2326" s="40">
        <v>0</v>
      </c>
      <c r="W2326" s="45">
        <f t="shared" si="121"/>
        <v>58676.470936600112</v>
      </c>
      <c r="X2326" s="46">
        <f t="shared" si="122"/>
        <v>4.4624206516681912</v>
      </c>
    </row>
    <row r="2327" spans="1:24" s="4" customFormat="1" ht="15" customHeight="1">
      <c r="A2327" s="28" t="s">
        <v>3019</v>
      </c>
      <c r="B2327" s="29">
        <v>3196.165</v>
      </c>
      <c r="C2327" s="30" t="s">
        <v>3383</v>
      </c>
      <c r="D2327" s="2">
        <v>4952026929</v>
      </c>
      <c r="E2327" s="2" t="s">
        <v>14</v>
      </c>
      <c r="F2327" s="78" t="s">
        <v>3384</v>
      </c>
      <c r="G2327" s="28" t="s">
        <v>13</v>
      </c>
      <c r="H2327" s="2" t="s">
        <v>23</v>
      </c>
      <c r="I2327" s="2">
        <v>4</v>
      </c>
      <c r="J2327" s="2"/>
      <c r="K2327" s="2">
        <v>1551.3</v>
      </c>
      <c r="L2327" s="35">
        <f t="shared" si="120"/>
        <v>4958210.7644999996</v>
      </c>
      <c r="M2327" s="36">
        <v>30</v>
      </c>
      <c r="N2327" s="40">
        <v>55152.800000000003</v>
      </c>
      <c r="O2327" s="40">
        <v>0</v>
      </c>
      <c r="P2327" s="40">
        <v>0</v>
      </c>
      <c r="Q2327" s="40">
        <v>0</v>
      </c>
      <c r="R2327" s="40">
        <v>1733.2212885154099</v>
      </c>
      <c r="S2327" s="40">
        <v>19851.876750700299</v>
      </c>
      <c r="T2327" s="40">
        <v>30000</v>
      </c>
      <c r="U2327" s="40">
        <v>9291.5147705845393</v>
      </c>
      <c r="V2327" s="40">
        <v>0</v>
      </c>
      <c r="W2327" s="45">
        <f t="shared" si="121"/>
        <v>116029.41280980025</v>
      </c>
      <c r="X2327" s="46">
        <f t="shared" si="122"/>
        <v>2.3401468457241146</v>
      </c>
    </row>
    <row r="2328" spans="1:24" s="4" customFormat="1" ht="15" customHeight="1">
      <c r="A2328" s="28" t="s">
        <v>3019</v>
      </c>
      <c r="B2328" s="29">
        <v>3196.165</v>
      </c>
      <c r="C2328" s="30" t="s">
        <v>3383</v>
      </c>
      <c r="D2328" s="2">
        <v>4952026930</v>
      </c>
      <c r="E2328" s="2" t="s">
        <v>14</v>
      </c>
      <c r="F2328" s="78" t="s">
        <v>3384</v>
      </c>
      <c r="G2328" s="28" t="s">
        <v>13</v>
      </c>
      <c r="H2328" s="2" t="s">
        <v>23</v>
      </c>
      <c r="I2328" s="2">
        <v>4</v>
      </c>
      <c r="J2328" s="2"/>
      <c r="K2328" s="2">
        <v>1786</v>
      </c>
      <c r="L2328" s="35">
        <f t="shared" si="120"/>
        <v>5708350.6899999995</v>
      </c>
      <c r="M2328" s="36">
        <v>50</v>
      </c>
      <c r="N2328" s="40">
        <v>91921.333333333299</v>
      </c>
      <c r="O2328" s="40">
        <v>0</v>
      </c>
      <c r="P2328" s="40">
        <v>0</v>
      </c>
      <c r="Q2328" s="40">
        <v>0</v>
      </c>
      <c r="R2328" s="40">
        <v>2888.7021475256802</v>
      </c>
      <c r="S2328" s="40">
        <v>33086.4612511671</v>
      </c>
      <c r="T2328" s="40">
        <v>30000</v>
      </c>
      <c r="U2328" s="40">
        <v>15485.857950974199</v>
      </c>
      <c r="V2328" s="40">
        <v>0</v>
      </c>
      <c r="W2328" s="45">
        <f t="shared" si="121"/>
        <v>173382.35468300027</v>
      </c>
      <c r="X2328" s="46">
        <f t="shared" si="122"/>
        <v>3.037345883229194</v>
      </c>
    </row>
    <row r="2329" spans="1:24" s="4" customFormat="1" ht="15" customHeight="1">
      <c r="A2329" s="28" t="s">
        <v>3019</v>
      </c>
      <c r="B2329" s="29">
        <v>3196.165</v>
      </c>
      <c r="C2329" s="30" t="s">
        <v>3385</v>
      </c>
      <c r="D2329" s="2">
        <v>4951772230</v>
      </c>
      <c r="E2329" s="2" t="s">
        <v>27</v>
      </c>
      <c r="F2329" s="78" t="s">
        <v>3386</v>
      </c>
      <c r="G2329" s="28" t="s">
        <v>13</v>
      </c>
      <c r="H2329" s="2" t="s">
        <v>23</v>
      </c>
      <c r="I2329" s="2">
        <v>1</v>
      </c>
      <c r="J2329" s="2"/>
      <c r="K2329" s="2">
        <v>736.96</v>
      </c>
      <c r="L2329" s="35">
        <f t="shared" si="120"/>
        <v>2355445.7584000002</v>
      </c>
      <c r="M2329" s="36">
        <v>51.2</v>
      </c>
      <c r="N2329" s="40">
        <v>1061834.6200000001</v>
      </c>
      <c r="O2329" s="40">
        <v>0</v>
      </c>
      <c r="P2329" s="40">
        <v>0</v>
      </c>
      <c r="Q2329" s="40">
        <v>0</v>
      </c>
      <c r="R2329" s="40">
        <v>4247</v>
      </c>
      <c r="S2329" s="40">
        <v>354356</v>
      </c>
      <c r="T2329" s="40"/>
      <c r="U2329" s="40">
        <v>246380</v>
      </c>
      <c r="V2329" s="40">
        <v>0</v>
      </c>
      <c r="W2329" s="45">
        <f t="shared" si="121"/>
        <v>1666817.62</v>
      </c>
      <c r="X2329" s="46">
        <f t="shared" si="122"/>
        <v>70.764423848682924</v>
      </c>
    </row>
    <row r="2330" spans="1:24" s="4" customFormat="1" ht="15" customHeight="1">
      <c r="A2330" s="28" t="s">
        <v>3019</v>
      </c>
      <c r="B2330" s="29">
        <v>3196.165</v>
      </c>
      <c r="C2330" s="30" t="s">
        <v>3387</v>
      </c>
      <c r="D2330" s="2">
        <v>4951516178</v>
      </c>
      <c r="E2330" s="2" t="s">
        <v>14</v>
      </c>
      <c r="F2330" s="78" t="s">
        <v>3388</v>
      </c>
      <c r="G2330" s="28" t="s">
        <v>13</v>
      </c>
      <c r="H2330" s="2" t="s">
        <v>23</v>
      </c>
      <c r="I2330" s="2">
        <v>1</v>
      </c>
      <c r="J2330" s="2"/>
      <c r="K2330" s="2">
        <v>3396</v>
      </c>
      <c r="L2330" s="35">
        <f t="shared" si="120"/>
        <v>10854176.34</v>
      </c>
      <c r="M2330" s="36">
        <v>200</v>
      </c>
      <c r="N2330" s="40">
        <v>480056.82</v>
      </c>
      <c r="O2330" s="40">
        <v>0</v>
      </c>
      <c r="P2330" s="40">
        <v>0</v>
      </c>
      <c r="Q2330" s="40">
        <v>0</v>
      </c>
      <c r="R2330" s="40">
        <v>1920</v>
      </c>
      <c r="S2330" s="40">
        <v>354356</v>
      </c>
      <c r="T2330" s="40">
        <v>30000</v>
      </c>
      <c r="U2330" s="40">
        <v>61943.4318038969</v>
      </c>
      <c r="V2330" s="40">
        <v>0</v>
      </c>
      <c r="W2330" s="45">
        <f t="shared" si="121"/>
        <v>928276.25180389697</v>
      </c>
      <c r="X2330" s="46">
        <f t="shared" si="122"/>
        <v>8.5522495924725028</v>
      </c>
    </row>
    <row r="2331" spans="1:24" s="4" customFormat="1" ht="15" customHeight="1">
      <c r="A2331" s="28" t="s">
        <v>3019</v>
      </c>
      <c r="B2331" s="29">
        <v>3196.165</v>
      </c>
      <c r="C2331" s="30" t="s">
        <v>3389</v>
      </c>
      <c r="D2331" s="2">
        <v>4952026923</v>
      </c>
      <c r="E2331" s="2" t="s">
        <v>14</v>
      </c>
      <c r="F2331" s="78" t="s">
        <v>3390</v>
      </c>
      <c r="G2331" s="28" t="s">
        <v>13</v>
      </c>
      <c r="H2331" s="2" t="s">
        <v>23</v>
      </c>
      <c r="I2331" s="2">
        <v>1</v>
      </c>
      <c r="J2331" s="2"/>
      <c r="K2331" s="2">
        <v>1178.8</v>
      </c>
      <c r="L2331" s="35">
        <f t="shared" si="120"/>
        <v>3767639.3019999997</v>
      </c>
      <c r="M2331" s="36">
        <v>40</v>
      </c>
      <c r="N2331" s="40">
        <v>309414.57</v>
      </c>
      <c r="O2331" s="40">
        <v>0</v>
      </c>
      <c r="P2331" s="40">
        <v>0</v>
      </c>
      <c r="Q2331" s="40">
        <v>0</v>
      </c>
      <c r="R2331" s="40">
        <v>1238</v>
      </c>
      <c r="S2331" s="40">
        <v>354356</v>
      </c>
      <c r="T2331" s="40">
        <v>30000</v>
      </c>
      <c r="U2331" s="40">
        <v>12388.6863607794</v>
      </c>
      <c r="V2331" s="40">
        <v>0</v>
      </c>
      <c r="W2331" s="45">
        <f t="shared" si="121"/>
        <v>707397.25636077952</v>
      </c>
      <c r="X2331" s="46">
        <f t="shared" si="122"/>
        <v>18.775609862262225</v>
      </c>
    </row>
    <row r="2332" spans="1:24" s="4" customFormat="1" ht="15" customHeight="1">
      <c r="A2332" s="28" t="s">
        <v>3019</v>
      </c>
      <c r="B2332" s="29">
        <v>3196.165</v>
      </c>
      <c r="C2332" s="30" t="s">
        <v>3391</v>
      </c>
      <c r="D2332" s="2">
        <v>4950898139</v>
      </c>
      <c r="E2332" s="2" t="s">
        <v>14</v>
      </c>
      <c r="F2332" s="2" t="s">
        <v>3392</v>
      </c>
      <c r="G2332" s="28" t="s">
        <v>5</v>
      </c>
      <c r="H2332" s="2" t="s">
        <v>17</v>
      </c>
      <c r="I2332" s="2">
        <v>2</v>
      </c>
      <c r="J2332" s="2" t="s">
        <v>3393</v>
      </c>
      <c r="K2332" s="2">
        <v>136080</v>
      </c>
      <c r="L2332" s="35">
        <f t="shared" si="120"/>
        <v>434934133.19999999</v>
      </c>
      <c r="M2332" s="36">
        <v>36000</v>
      </c>
      <c r="N2332" s="40">
        <v>652290</v>
      </c>
      <c r="O2332" s="40">
        <v>851469</v>
      </c>
      <c r="P2332" s="40">
        <v>0</v>
      </c>
      <c r="Q2332" s="40">
        <v>198619</v>
      </c>
      <c r="R2332" s="40">
        <v>1282574</v>
      </c>
      <c r="S2332" s="40">
        <v>354356</v>
      </c>
      <c r="T2332" s="40">
        <v>30000</v>
      </c>
      <c r="U2332" s="40">
        <v>10893100</v>
      </c>
      <c r="V2332" s="40">
        <v>0</v>
      </c>
      <c r="W2332" s="45">
        <f t="shared" si="121"/>
        <v>14262408</v>
      </c>
      <c r="X2332" s="46">
        <f t="shared" si="122"/>
        <v>3.279211014105802</v>
      </c>
    </row>
    <row r="2333" spans="1:24" s="4" customFormat="1" ht="15" customHeight="1">
      <c r="A2333" s="28" t="s">
        <v>3019</v>
      </c>
      <c r="B2333" s="29">
        <v>3196.165</v>
      </c>
      <c r="C2333" s="30" t="s">
        <v>3394</v>
      </c>
      <c r="D2333" s="2">
        <v>4950899242</v>
      </c>
      <c r="E2333" s="2" t="s">
        <v>18</v>
      </c>
      <c r="F2333" s="2" t="s">
        <v>3395</v>
      </c>
      <c r="G2333" s="28" t="s">
        <v>9</v>
      </c>
      <c r="H2333" s="2" t="s">
        <v>23</v>
      </c>
      <c r="I2333" s="2">
        <v>1</v>
      </c>
      <c r="J2333" s="2"/>
      <c r="K2333" s="2">
        <v>5010</v>
      </c>
      <c r="L2333" s="35">
        <f t="shared" si="120"/>
        <v>16012786.65</v>
      </c>
      <c r="M2333" s="36">
        <v>200</v>
      </c>
      <c r="N2333" s="40">
        <v>359499.76</v>
      </c>
      <c r="O2333" s="40">
        <f>128+127</f>
        <v>255</v>
      </c>
      <c r="P2333" s="40">
        <v>11299</v>
      </c>
      <c r="Q2333" s="40">
        <v>3364</v>
      </c>
      <c r="R2333" s="40">
        <v>364241</v>
      </c>
      <c r="S2333" s="40">
        <v>354356</v>
      </c>
      <c r="T2333" s="40">
        <v>30000</v>
      </c>
      <c r="U2333" s="40">
        <v>252200</v>
      </c>
      <c r="V2333" s="40">
        <v>0</v>
      </c>
      <c r="W2333" s="45">
        <f t="shared" si="121"/>
        <v>1375214.76</v>
      </c>
      <c r="X2333" s="46">
        <f t="shared" si="122"/>
        <v>8.5882288327372418</v>
      </c>
    </row>
    <row r="2334" spans="1:24" s="4" customFormat="1" ht="15" customHeight="1">
      <c r="A2334" s="28" t="s">
        <v>3019</v>
      </c>
      <c r="B2334" s="29">
        <v>3196.165</v>
      </c>
      <c r="C2334" s="30" t="s">
        <v>3396</v>
      </c>
      <c r="D2334" s="2">
        <v>4951798410</v>
      </c>
      <c r="E2334" s="2" t="s">
        <v>14</v>
      </c>
      <c r="F2334" s="2" t="s">
        <v>3397</v>
      </c>
      <c r="G2334" s="28" t="s">
        <v>5</v>
      </c>
      <c r="H2334" s="2" t="s">
        <v>35</v>
      </c>
      <c r="I2334" s="2">
        <v>1</v>
      </c>
      <c r="J2334" s="2" t="s">
        <v>3398</v>
      </c>
      <c r="K2334" s="2">
        <v>7113.6</v>
      </c>
      <c r="L2334" s="35">
        <f t="shared" si="120"/>
        <v>22736239.344000001</v>
      </c>
      <c r="M2334" s="36">
        <v>1520</v>
      </c>
      <c r="N2334" s="40">
        <v>32191.378995433799</v>
      </c>
      <c r="O2334" s="48">
        <v>42212.373124592297</v>
      </c>
      <c r="P2334" s="40">
        <v>0</v>
      </c>
      <c r="Q2334" s="48">
        <v>10906.718851924301</v>
      </c>
      <c r="R2334" s="40">
        <f>127107.298108284+26826</f>
        <v>153933.29810828401</v>
      </c>
      <c r="S2334" s="40">
        <v>35135.102413568202</v>
      </c>
      <c r="T2334" s="40">
        <v>30000</v>
      </c>
      <c r="U2334" s="40">
        <v>854729.81082844106</v>
      </c>
      <c r="V2334" s="40">
        <v>0</v>
      </c>
      <c r="W2334" s="45">
        <f t="shared" si="121"/>
        <v>1159108.6823222437</v>
      </c>
      <c r="X2334" s="46">
        <f t="shared" si="122"/>
        <v>5.0980668561097273</v>
      </c>
    </row>
    <row r="2335" spans="1:24" s="4" customFormat="1" ht="15" customHeight="1">
      <c r="A2335" s="28" t="s">
        <v>3019</v>
      </c>
      <c r="B2335" s="29">
        <v>3196.165</v>
      </c>
      <c r="C2335" s="30" t="s">
        <v>3396</v>
      </c>
      <c r="D2335" s="2">
        <v>4951798410</v>
      </c>
      <c r="E2335" s="2" t="s">
        <v>14</v>
      </c>
      <c r="F2335" s="2" t="s">
        <v>3397</v>
      </c>
      <c r="G2335" s="28" t="s">
        <v>5</v>
      </c>
      <c r="H2335" s="2" t="s">
        <v>35</v>
      </c>
      <c r="I2335" s="2">
        <v>1</v>
      </c>
      <c r="J2335" s="2" t="s">
        <v>3398</v>
      </c>
      <c r="K2335" s="2">
        <v>5871</v>
      </c>
      <c r="L2335" s="35">
        <f t="shared" si="120"/>
        <v>18764684.715</v>
      </c>
      <c r="M2335" s="36">
        <v>300</v>
      </c>
      <c r="N2335" s="40">
        <v>6353.5616438356201</v>
      </c>
      <c r="O2335" s="48">
        <v>8331.3894324853209</v>
      </c>
      <c r="P2335" s="40">
        <v>0</v>
      </c>
      <c r="Q2335" s="48">
        <v>2152.6418786692798</v>
      </c>
      <c r="R2335" s="40">
        <f>25086.9667318982+5295</f>
        <v>30381.966731898199</v>
      </c>
      <c r="S2335" s="40">
        <v>6934.5596868884504</v>
      </c>
      <c r="T2335" s="40">
        <v>30000</v>
      </c>
      <c r="U2335" s="40">
        <v>168696.67318982401</v>
      </c>
      <c r="V2335" s="40">
        <v>0</v>
      </c>
      <c r="W2335" s="45">
        <f t="shared" si="121"/>
        <v>252850.79256360087</v>
      </c>
      <c r="X2335" s="46">
        <f t="shared" si="122"/>
        <v>1.3474822327362557</v>
      </c>
    </row>
    <row r="2336" spans="1:24" s="4" customFormat="1" ht="15" customHeight="1">
      <c r="A2336" s="28" t="s">
        <v>3019</v>
      </c>
      <c r="B2336" s="29">
        <v>3196.165</v>
      </c>
      <c r="C2336" s="30" t="s">
        <v>3396</v>
      </c>
      <c r="D2336" s="2">
        <v>4951798410</v>
      </c>
      <c r="E2336" s="2" t="s">
        <v>14</v>
      </c>
      <c r="F2336" s="2" t="s">
        <v>3397</v>
      </c>
      <c r="G2336" s="28" t="s">
        <v>5</v>
      </c>
      <c r="H2336" s="2" t="s">
        <v>35</v>
      </c>
      <c r="I2336" s="2">
        <v>1</v>
      </c>
      <c r="J2336" s="2" t="s">
        <v>3398</v>
      </c>
      <c r="K2336" s="2">
        <v>9930</v>
      </c>
      <c r="L2336" s="35">
        <f t="shared" si="120"/>
        <v>31737918.449999999</v>
      </c>
      <c r="M2336" s="36">
        <v>300</v>
      </c>
      <c r="N2336" s="40">
        <v>6353.5616438356201</v>
      </c>
      <c r="O2336" s="48">
        <v>8331.3894324853209</v>
      </c>
      <c r="P2336" s="40">
        <v>0</v>
      </c>
      <c r="Q2336" s="48">
        <v>2152.6418786692798</v>
      </c>
      <c r="R2336" s="40">
        <f>25086.9667318982+5295</f>
        <v>30381.966731898199</v>
      </c>
      <c r="S2336" s="40">
        <v>6934.5596868884504</v>
      </c>
      <c r="T2336" s="40">
        <v>30000</v>
      </c>
      <c r="U2336" s="40">
        <v>168696.67318982401</v>
      </c>
      <c r="V2336" s="40">
        <v>0</v>
      </c>
      <c r="W2336" s="45">
        <f t="shared" si="121"/>
        <v>252850.79256360087</v>
      </c>
      <c r="X2336" s="46">
        <f t="shared" si="122"/>
        <v>0.79668360406793126</v>
      </c>
    </row>
    <row r="2337" spans="1:24" s="4" customFormat="1" ht="15" customHeight="1">
      <c r="A2337" s="28" t="s">
        <v>3019</v>
      </c>
      <c r="B2337" s="29">
        <v>3196.165</v>
      </c>
      <c r="C2337" s="30" t="s">
        <v>3396</v>
      </c>
      <c r="D2337" s="2">
        <v>4951874475</v>
      </c>
      <c r="E2337" s="2" t="s">
        <v>14</v>
      </c>
      <c r="F2337" s="2" t="s">
        <v>3397</v>
      </c>
      <c r="G2337" s="28" t="s">
        <v>5</v>
      </c>
      <c r="H2337" s="2" t="s">
        <v>35</v>
      </c>
      <c r="I2337" s="2">
        <v>1</v>
      </c>
      <c r="J2337" s="2" t="s">
        <v>3398</v>
      </c>
      <c r="K2337" s="2">
        <v>2755.2</v>
      </c>
      <c r="L2337" s="35">
        <f t="shared" si="120"/>
        <v>8806073.8080000002</v>
      </c>
      <c r="M2337" s="36">
        <v>840</v>
      </c>
      <c r="N2337" s="40">
        <v>17789.972602739701</v>
      </c>
      <c r="O2337" s="48">
        <v>23327.890410958898</v>
      </c>
      <c r="P2337" s="40">
        <v>0</v>
      </c>
      <c r="Q2337" s="48">
        <v>6027.3972602739696</v>
      </c>
      <c r="R2337" s="40">
        <f>70243.5068493151+14825</f>
        <v>85068.506849315105</v>
      </c>
      <c r="S2337" s="40">
        <v>19416.7671232877</v>
      </c>
      <c r="T2337" s="40">
        <v>30000</v>
      </c>
      <c r="U2337" s="40">
        <v>472350.68493150698</v>
      </c>
      <c r="V2337" s="40">
        <v>0</v>
      </c>
      <c r="W2337" s="45">
        <f t="shared" si="121"/>
        <v>653981.21917808231</v>
      </c>
      <c r="X2337" s="46">
        <f t="shared" si="122"/>
        <v>7.4264789670961422</v>
      </c>
    </row>
    <row r="2338" spans="1:24" s="4" customFormat="1" ht="15" customHeight="1">
      <c r="A2338" s="28" t="s">
        <v>3019</v>
      </c>
      <c r="B2338" s="29">
        <v>3196.165</v>
      </c>
      <c r="C2338" s="30" t="s">
        <v>3396</v>
      </c>
      <c r="D2338" s="2">
        <v>4951874475</v>
      </c>
      <c r="E2338" s="2" t="s">
        <v>14</v>
      </c>
      <c r="F2338" s="2" t="s">
        <v>3397</v>
      </c>
      <c r="G2338" s="28" t="s">
        <v>5</v>
      </c>
      <c r="H2338" s="2" t="s">
        <v>35</v>
      </c>
      <c r="I2338" s="2">
        <v>1</v>
      </c>
      <c r="J2338" s="2" t="s">
        <v>3398</v>
      </c>
      <c r="K2338" s="2">
        <v>21504</v>
      </c>
      <c r="L2338" s="35">
        <f t="shared" si="120"/>
        <v>68730332.159999996</v>
      </c>
      <c r="M2338" s="36">
        <v>2100</v>
      </c>
      <c r="N2338" s="40">
        <v>44474.931506849302</v>
      </c>
      <c r="O2338" s="48">
        <v>58319.726027397301</v>
      </c>
      <c r="P2338" s="40">
        <v>0</v>
      </c>
      <c r="Q2338" s="48">
        <v>15068.493150684901</v>
      </c>
      <c r="R2338" s="40">
        <f>175608.767123288+37062</f>
        <v>212670.76712328801</v>
      </c>
      <c r="S2338" s="40">
        <v>48541.917808219201</v>
      </c>
      <c r="T2338" s="40">
        <v>30000</v>
      </c>
      <c r="U2338" s="40">
        <v>1180876.71232877</v>
      </c>
      <c r="V2338" s="40">
        <v>0</v>
      </c>
      <c r="W2338" s="45">
        <f t="shared" si="121"/>
        <v>1589952.5479452086</v>
      </c>
      <c r="X2338" s="46">
        <f t="shared" si="122"/>
        <v>2.3133200407702041</v>
      </c>
    </row>
    <row r="2339" spans="1:24" s="4" customFormat="1" ht="15" customHeight="1">
      <c r="A2339" s="28" t="s">
        <v>3019</v>
      </c>
      <c r="B2339" s="29">
        <v>3196.165</v>
      </c>
      <c r="C2339" s="30" t="s">
        <v>3396</v>
      </c>
      <c r="D2339" s="2">
        <v>4951798442</v>
      </c>
      <c r="E2339" s="2" t="s">
        <v>14</v>
      </c>
      <c r="F2339" s="2" t="s">
        <v>3397</v>
      </c>
      <c r="G2339" s="28" t="s">
        <v>5</v>
      </c>
      <c r="H2339" s="2" t="s">
        <v>35</v>
      </c>
      <c r="I2339" s="2">
        <v>1</v>
      </c>
      <c r="J2339" s="2" t="s">
        <v>3398</v>
      </c>
      <c r="K2339" s="2">
        <v>693</v>
      </c>
      <c r="L2339" s="35">
        <f t="shared" si="120"/>
        <v>2214942.3450000002</v>
      </c>
      <c r="M2339" s="36">
        <v>75</v>
      </c>
      <c r="N2339" s="40">
        <v>1588.3904109589</v>
      </c>
      <c r="O2339" s="48">
        <v>2082.8473581213302</v>
      </c>
      <c r="P2339" s="40">
        <v>0</v>
      </c>
      <c r="Q2339" s="48">
        <v>538.16046966731903</v>
      </c>
      <c r="R2339" s="40">
        <f>6271.74168297456+1324</f>
        <v>7595.7416829745598</v>
      </c>
      <c r="S2339" s="40">
        <v>1733.6399217221101</v>
      </c>
      <c r="T2339" s="40">
        <v>30000</v>
      </c>
      <c r="U2339" s="40">
        <v>42174.168297456003</v>
      </c>
      <c r="V2339" s="40">
        <v>0</v>
      </c>
      <c r="W2339" s="45">
        <f t="shared" si="121"/>
        <v>85712.948140900233</v>
      </c>
      <c r="X2339" s="46">
        <f t="shared" si="122"/>
        <v>3.8697597855938874</v>
      </c>
    </row>
    <row r="2340" spans="1:24" s="4" customFormat="1" ht="15" customHeight="1">
      <c r="A2340" s="28" t="s">
        <v>3019</v>
      </c>
      <c r="B2340" s="29">
        <v>3196.165</v>
      </c>
      <c r="C2340" s="30" t="s">
        <v>3396</v>
      </c>
      <c r="D2340" s="2">
        <v>4951517148</v>
      </c>
      <c r="E2340" s="2" t="s">
        <v>14</v>
      </c>
      <c r="F2340" s="2" t="s">
        <v>3397</v>
      </c>
      <c r="G2340" s="28" t="s">
        <v>5</v>
      </c>
      <c r="H2340" s="2" t="s">
        <v>35</v>
      </c>
      <c r="I2340" s="2">
        <v>1</v>
      </c>
      <c r="J2340" s="2" t="s">
        <v>3398</v>
      </c>
      <c r="K2340" s="2">
        <v>1782.5</v>
      </c>
      <c r="L2340" s="35">
        <f t="shared" si="120"/>
        <v>5697164.1124999998</v>
      </c>
      <c r="M2340" s="36">
        <v>125</v>
      </c>
      <c r="N2340" s="40">
        <v>2647.3173515981698</v>
      </c>
      <c r="O2340" s="48">
        <v>3471.4122635355502</v>
      </c>
      <c r="P2340" s="40">
        <v>0</v>
      </c>
      <c r="Q2340" s="48">
        <v>896.93411611219801</v>
      </c>
      <c r="R2340" s="40">
        <f>10452.9028049576+2206</f>
        <v>12658.902804957601</v>
      </c>
      <c r="S2340" s="40">
        <v>2889.39986953686</v>
      </c>
      <c r="T2340" s="40">
        <v>30000</v>
      </c>
      <c r="U2340" s="40">
        <v>70290.2804957599</v>
      </c>
      <c r="V2340" s="40">
        <v>0</v>
      </c>
      <c r="W2340" s="45">
        <f t="shared" si="121"/>
        <v>122854.24690150027</v>
      </c>
      <c r="X2340" s="46">
        <f t="shared" si="122"/>
        <v>2.1564105311965469</v>
      </c>
    </row>
    <row r="2341" spans="1:24" s="4" customFormat="1" ht="15" customHeight="1">
      <c r="A2341" s="28" t="s">
        <v>3019</v>
      </c>
      <c r="B2341" s="29">
        <v>3196.165</v>
      </c>
      <c r="C2341" s="30" t="s">
        <v>3396</v>
      </c>
      <c r="D2341" s="2">
        <v>4951798410</v>
      </c>
      <c r="E2341" s="2" t="s">
        <v>14</v>
      </c>
      <c r="F2341" s="2" t="s">
        <v>3397</v>
      </c>
      <c r="G2341" s="28" t="s">
        <v>5</v>
      </c>
      <c r="H2341" s="2" t="s">
        <v>35</v>
      </c>
      <c r="I2341" s="2">
        <v>1</v>
      </c>
      <c r="J2341" s="2" t="s">
        <v>3398</v>
      </c>
      <c r="K2341" s="2">
        <v>3840</v>
      </c>
      <c r="L2341" s="35">
        <f t="shared" si="120"/>
        <v>12273273.6</v>
      </c>
      <c r="M2341" s="36">
        <v>400</v>
      </c>
      <c r="N2341" s="40">
        <v>8471.4155251141492</v>
      </c>
      <c r="O2341" s="48">
        <v>11108.5192433138</v>
      </c>
      <c r="P2341" s="40">
        <v>0</v>
      </c>
      <c r="Q2341" s="48">
        <v>2870.18917155903</v>
      </c>
      <c r="R2341" s="40">
        <f>33449.2889758643+7059</f>
        <v>40508.2889758643</v>
      </c>
      <c r="S2341" s="40">
        <v>9246.0795825179393</v>
      </c>
      <c r="T2341" s="40">
        <v>30000</v>
      </c>
      <c r="U2341" s="40">
        <v>224928.89758643199</v>
      </c>
      <c r="V2341" s="40">
        <v>0</v>
      </c>
      <c r="W2341" s="45">
        <f t="shared" si="121"/>
        <v>327133.39008480124</v>
      </c>
      <c r="X2341" s="46">
        <f t="shared" si="122"/>
        <v>2.6654126742909181</v>
      </c>
    </row>
    <row r="2342" spans="1:24" s="4" customFormat="1" ht="15" customHeight="1">
      <c r="A2342" s="28" t="s">
        <v>3019</v>
      </c>
      <c r="B2342" s="29">
        <v>3196.165</v>
      </c>
      <c r="C2342" s="30" t="s">
        <v>3396</v>
      </c>
      <c r="D2342" s="2">
        <v>4951925599</v>
      </c>
      <c r="E2342" s="2" t="s">
        <v>14</v>
      </c>
      <c r="F2342" s="2" t="s">
        <v>3397</v>
      </c>
      <c r="G2342" s="28" t="s">
        <v>5</v>
      </c>
      <c r="H2342" s="2" t="s">
        <v>35</v>
      </c>
      <c r="I2342" s="2">
        <v>1</v>
      </c>
      <c r="J2342" s="2" t="s">
        <v>3398</v>
      </c>
      <c r="K2342" s="2">
        <v>238.8</v>
      </c>
      <c r="L2342" s="35">
        <f t="shared" si="120"/>
        <v>763244.20200000005</v>
      </c>
      <c r="M2342" s="36">
        <v>20</v>
      </c>
      <c r="N2342" s="40">
        <v>423.57077625570798</v>
      </c>
      <c r="O2342" s="48">
        <v>555.42596216568802</v>
      </c>
      <c r="P2342" s="40">
        <v>0</v>
      </c>
      <c r="Q2342" s="48">
        <v>143.50945857795199</v>
      </c>
      <c r="R2342" s="40">
        <f>1672.46444879322+353</f>
        <v>2025.4644487932201</v>
      </c>
      <c r="S2342" s="40">
        <v>462.303979125897</v>
      </c>
      <c r="T2342" s="40">
        <v>30000</v>
      </c>
      <c r="U2342" s="40">
        <v>11246.4448793216</v>
      </c>
      <c r="V2342" s="40">
        <v>0</v>
      </c>
      <c r="W2342" s="45">
        <f t="shared" si="121"/>
        <v>44856.719504240064</v>
      </c>
      <c r="X2342" s="46">
        <f t="shared" si="122"/>
        <v>5.8771123824717977</v>
      </c>
    </row>
    <row r="2343" spans="1:24" s="4" customFormat="1" ht="15" customHeight="1">
      <c r="A2343" s="28" t="s">
        <v>3019</v>
      </c>
      <c r="B2343" s="29">
        <v>3196.165</v>
      </c>
      <c r="C2343" s="30" t="s">
        <v>3396</v>
      </c>
      <c r="D2343" s="2">
        <v>4951928351</v>
      </c>
      <c r="E2343" s="2" t="s">
        <v>14</v>
      </c>
      <c r="F2343" s="2" t="s">
        <v>3397</v>
      </c>
      <c r="G2343" s="28" t="s">
        <v>5</v>
      </c>
      <c r="H2343" s="2" t="s">
        <v>35</v>
      </c>
      <c r="I2343" s="2">
        <v>1</v>
      </c>
      <c r="J2343" s="2" t="s">
        <v>3398</v>
      </c>
      <c r="K2343" s="2">
        <v>13174</v>
      </c>
      <c r="L2343" s="35">
        <f t="shared" si="120"/>
        <v>42106277.710000001</v>
      </c>
      <c r="M2343" s="36">
        <v>350</v>
      </c>
      <c r="N2343" s="40">
        <v>7412.4885844748896</v>
      </c>
      <c r="O2343" s="48">
        <v>9719.9543378995404</v>
      </c>
      <c r="P2343" s="40">
        <v>0</v>
      </c>
      <c r="Q2343" s="48">
        <v>2511.4155251141601</v>
      </c>
      <c r="R2343" s="40">
        <f>29268.1278538813+177</f>
        <v>29445.127853881299</v>
      </c>
      <c r="S2343" s="40">
        <v>8090.3196347031999</v>
      </c>
      <c r="T2343" s="40">
        <v>30000</v>
      </c>
      <c r="U2343" s="40">
        <v>196812.78538812799</v>
      </c>
      <c r="V2343" s="40">
        <v>0</v>
      </c>
      <c r="W2343" s="45">
        <f t="shared" si="121"/>
        <v>283992.09132420109</v>
      </c>
      <c r="X2343" s="46">
        <f t="shared" si="122"/>
        <v>0.67446496524853017</v>
      </c>
    </row>
    <row r="2344" spans="1:24" s="4" customFormat="1" ht="15" customHeight="1">
      <c r="A2344" s="28" t="s">
        <v>3019</v>
      </c>
      <c r="B2344" s="29">
        <v>3196.165</v>
      </c>
      <c r="C2344" s="30" t="s">
        <v>3396</v>
      </c>
      <c r="D2344" s="2">
        <v>4951928351</v>
      </c>
      <c r="E2344" s="2" t="s">
        <v>14</v>
      </c>
      <c r="F2344" s="2" t="s">
        <v>3397</v>
      </c>
      <c r="G2344" s="28" t="s">
        <v>5</v>
      </c>
      <c r="H2344" s="2" t="s">
        <v>35</v>
      </c>
      <c r="I2344" s="2">
        <v>1</v>
      </c>
      <c r="J2344" s="2" t="s">
        <v>3398</v>
      </c>
      <c r="K2344" s="2">
        <v>1087.2</v>
      </c>
      <c r="L2344" s="35">
        <f t="shared" si="120"/>
        <v>3474870.588</v>
      </c>
      <c r="M2344" s="36">
        <v>80</v>
      </c>
      <c r="N2344" s="40">
        <v>1694.2831050228299</v>
      </c>
      <c r="O2344" s="48">
        <v>2221.7038486627498</v>
      </c>
      <c r="P2344" s="40">
        <v>0</v>
      </c>
      <c r="Q2344" s="48">
        <v>574.03783431180705</v>
      </c>
      <c r="R2344" s="40">
        <f>6689.85779517286+1412</f>
        <v>8101.8577951728603</v>
      </c>
      <c r="S2344" s="40">
        <v>1849.2159165035901</v>
      </c>
      <c r="T2344" s="40">
        <v>30000</v>
      </c>
      <c r="U2344" s="40">
        <v>44985.779517286399</v>
      </c>
      <c r="V2344" s="40">
        <v>0</v>
      </c>
      <c r="W2344" s="45">
        <f t="shared" si="121"/>
        <v>89426.87801696024</v>
      </c>
      <c r="X2344" s="46">
        <f t="shared" si="122"/>
        <v>2.5735311791404256</v>
      </c>
    </row>
    <row r="2345" spans="1:24" s="4" customFormat="1" ht="15" customHeight="1">
      <c r="A2345" s="28" t="s">
        <v>3019</v>
      </c>
      <c r="B2345" s="29">
        <v>3196.165</v>
      </c>
      <c r="C2345" s="30" t="s">
        <v>3396</v>
      </c>
      <c r="D2345" s="2">
        <v>4951928351</v>
      </c>
      <c r="E2345" s="2" t="s">
        <v>14</v>
      </c>
      <c r="F2345" s="2" t="s">
        <v>3397</v>
      </c>
      <c r="G2345" s="28" t="s">
        <v>5</v>
      </c>
      <c r="H2345" s="2" t="s">
        <v>35</v>
      </c>
      <c r="I2345" s="2">
        <v>1</v>
      </c>
      <c r="J2345" s="2" t="s">
        <v>3398</v>
      </c>
      <c r="K2345" s="2">
        <v>618</v>
      </c>
      <c r="L2345" s="35">
        <f t="shared" si="120"/>
        <v>1975229.97</v>
      </c>
      <c r="M2345" s="36">
        <v>100</v>
      </c>
      <c r="N2345" s="40">
        <v>2117.85388127854</v>
      </c>
      <c r="O2345" s="48">
        <v>2777.12981082844</v>
      </c>
      <c r="P2345" s="40">
        <v>0</v>
      </c>
      <c r="Q2345" s="48">
        <v>717.54729288975898</v>
      </c>
      <c r="R2345" s="40">
        <f>8362.32224396608+1465</f>
        <v>9827.3222439660804</v>
      </c>
      <c r="S2345" s="40">
        <v>2311.5198956294798</v>
      </c>
      <c r="T2345" s="40">
        <v>30000</v>
      </c>
      <c r="U2345" s="40">
        <v>56232.224396607999</v>
      </c>
      <c r="V2345" s="40">
        <v>0</v>
      </c>
      <c r="W2345" s="45">
        <f t="shared" si="121"/>
        <v>103983.5975212003</v>
      </c>
      <c r="X2345" s="46">
        <f t="shared" si="122"/>
        <v>5.2643792925641106</v>
      </c>
    </row>
    <row r="2346" spans="1:24" s="4" customFormat="1" ht="15" customHeight="1">
      <c r="A2346" s="28" t="s">
        <v>3019</v>
      </c>
      <c r="B2346" s="29">
        <v>3196.165</v>
      </c>
      <c r="C2346" s="30" t="s">
        <v>3396</v>
      </c>
      <c r="D2346" s="2">
        <v>4951726543</v>
      </c>
      <c r="E2346" s="2" t="s">
        <v>14</v>
      </c>
      <c r="F2346" s="2" t="s">
        <v>3397</v>
      </c>
      <c r="G2346" s="28" t="s">
        <v>5</v>
      </c>
      <c r="H2346" s="2" t="s">
        <v>35</v>
      </c>
      <c r="I2346" s="2">
        <v>1</v>
      </c>
      <c r="J2346" s="2" t="s">
        <v>3398</v>
      </c>
      <c r="K2346" s="2">
        <v>3432</v>
      </c>
      <c r="L2346" s="35">
        <f t="shared" si="120"/>
        <v>10969238.279999999</v>
      </c>
      <c r="M2346" s="36">
        <v>880</v>
      </c>
      <c r="N2346" s="40">
        <v>18637.1141552511</v>
      </c>
      <c r="O2346" s="48">
        <v>24438.742335290299</v>
      </c>
      <c r="P2346" s="40">
        <v>0</v>
      </c>
      <c r="Q2346" s="48">
        <v>6314.41617742988</v>
      </c>
      <c r="R2346" s="40">
        <f>73588.4357469015+15531</f>
        <v>89119.435746901494</v>
      </c>
      <c r="S2346" s="40">
        <v>20341.3750815395</v>
      </c>
      <c r="T2346" s="40">
        <v>30000</v>
      </c>
      <c r="U2346" s="40">
        <v>494843.57469014998</v>
      </c>
      <c r="V2346" s="40">
        <v>0</v>
      </c>
      <c r="W2346" s="45">
        <f t="shared" si="121"/>
        <v>683694.65818656224</v>
      </c>
      <c r="X2346" s="46">
        <f t="shared" si="122"/>
        <v>6.2328362347012698</v>
      </c>
    </row>
    <row r="2347" spans="1:24" s="4" customFormat="1" ht="15" customHeight="1">
      <c r="A2347" s="28" t="s">
        <v>3019</v>
      </c>
      <c r="B2347" s="29">
        <v>3196.165</v>
      </c>
      <c r="C2347" s="30" t="s">
        <v>3396</v>
      </c>
      <c r="D2347" s="2">
        <v>4951325262</v>
      </c>
      <c r="E2347" s="2" t="s">
        <v>14</v>
      </c>
      <c r="F2347" s="2" t="s">
        <v>3397</v>
      </c>
      <c r="G2347" s="28" t="s">
        <v>5</v>
      </c>
      <c r="H2347" s="2" t="s">
        <v>35</v>
      </c>
      <c r="I2347" s="2">
        <v>1</v>
      </c>
      <c r="J2347" s="2" t="s">
        <v>3398</v>
      </c>
      <c r="K2347" s="2">
        <v>3165.2</v>
      </c>
      <c r="L2347" s="35">
        <f t="shared" si="120"/>
        <v>10116501.457999999</v>
      </c>
      <c r="M2347" s="36">
        <v>820</v>
      </c>
      <c r="N2347" s="40">
        <v>17366.401826484002</v>
      </c>
      <c r="O2347" s="48">
        <v>22772.464448793198</v>
      </c>
      <c r="P2347" s="40">
        <v>0</v>
      </c>
      <c r="Q2347" s="48">
        <v>5883.8878016960198</v>
      </c>
      <c r="R2347" s="40">
        <f>68571.0424005219+14472</f>
        <v>83043.042400521896</v>
      </c>
      <c r="S2347" s="40">
        <v>18954.4631441618</v>
      </c>
      <c r="T2347" s="40">
        <v>30000</v>
      </c>
      <c r="U2347" s="40">
        <v>461104.24005218502</v>
      </c>
      <c r="V2347" s="40">
        <v>0</v>
      </c>
      <c r="W2347" s="45">
        <f t="shared" si="121"/>
        <v>639124.49967384199</v>
      </c>
      <c r="X2347" s="46">
        <f t="shared" si="122"/>
        <v>6.31764352851875</v>
      </c>
    </row>
    <row r="2348" spans="1:24" s="4" customFormat="1" ht="15" customHeight="1">
      <c r="A2348" s="28" t="s">
        <v>3019</v>
      </c>
      <c r="B2348" s="29">
        <v>3196.165</v>
      </c>
      <c r="C2348" s="30" t="s">
        <v>3396</v>
      </c>
      <c r="D2348" s="2">
        <v>4951356840</v>
      </c>
      <c r="E2348" s="2" t="s">
        <v>14</v>
      </c>
      <c r="F2348" s="2" t="s">
        <v>3397</v>
      </c>
      <c r="G2348" s="28" t="s">
        <v>5</v>
      </c>
      <c r="H2348" s="2" t="s">
        <v>35</v>
      </c>
      <c r="I2348" s="2">
        <v>1</v>
      </c>
      <c r="J2348" s="2" t="s">
        <v>3398</v>
      </c>
      <c r="K2348" s="2">
        <v>3024</v>
      </c>
      <c r="L2348" s="35">
        <f t="shared" si="120"/>
        <v>9665202.959999999</v>
      </c>
      <c r="M2348" s="36">
        <v>1260</v>
      </c>
      <c r="N2348" s="40">
        <v>26684.958904109601</v>
      </c>
      <c r="O2348" s="48">
        <v>34991.835616438402</v>
      </c>
      <c r="P2348" s="40">
        <v>0</v>
      </c>
      <c r="Q2348" s="48">
        <v>9041.0958904109593</v>
      </c>
      <c r="R2348" s="40">
        <f>105365.260273973+22237</f>
        <v>127602.26027397301</v>
      </c>
      <c r="S2348" s="40">
        <v>29125.150684931501</v>
      </c>
      <c r="T2348" s="40">
        <v>30000</v>
      </c>
      <c r="U2348" s="40">
        <v>708526.02739725995</v>
      </c>
      <c r="V2348" s="40">
        <v>0</v>
      </c>
      <c r="W2348" s="45">
        <f t="shared" si="121"/>
        <v>965971.3287671234</v>
      </c>
      <c r="X2348" s="46">
        <f t="shared" si="122"/>
        <v>9.9943201685970955</v>
      </c>
    </row>
    <row r="2349" spans="1:24" s="4" customFormat="1" ht="15" customHeight="1">
      <c r="A2349" s="28" t="s">
        <v>3019</v>
      </c>
      <c r="B2349" s="29">
        <v>3196.165</v>
      </c>
      <c r="C2349" s="30" t="s">
        <v>3396</v>
      </c>
      <c r="D2349" s="2">
        <v>4951542148</v>
      </c>
      <c r="E2349" s="2" t="s">
        <v>14</v>
      </c>
      <c r="F2349" s="2" t="s">
        <v>3397</v>
      </c>
      <c r="G2349" s="28" t="s">
        <v>5</v>
      </c>
      <c r="H2349" s="2" t="s">
        <v>35</v>
      </c>
      <c r="I2349" s="2">
        <v>1</v>
      </c>
      <c r="J2349" s="2" t="s">
        <v>3398</v>
      </c>
      <c r="K2349" s="2">
        <v>5896</v>
      </c>
      <c r="L2349" s="35">
        <f t="shared" si="120"/>
        <v>18844588.84</v>
      </c>
      <c r="M2349" s="36">
        <v>1760</v>
      </c>
      <c r="N2349" s="40">
        <v>37274.228310502302</v>
      </c>
      <c r="O2349" s="48">
        <v>48877.484670580598</v>
      </c>
      <c r="P2349" s="40">
        <v>0</v>
      </c>
      <c r="Q2349" s="48">
        <v>12628.8323548598</v>
      </c>
      <c r="R2349" s="40">
        <f>147176.871493803+31602</f>
        <v>178778.87149380299</v>
      </c>
      <c r="S2349" s="40">
        <v>40682.750163078897</v>
      </c>
      <c r="T2349" s="40">
        <v>30000</v>
      </c>
      <c r="U2349" s="40">
        <v>989687.14938029996</v>
      </c>
      <c r="V2349" s="40">
        <v>0</v>
      </c>
      <c r="W2349" s="45">
        <f t="shared" si="121"/>
        <v>1337929.3163731245</v>
      </c>
      <c r="X2349" s="46">
        <f t="shared" si="122"/>
        <v>7.0998063567892871</v>
      </c>
    </row>
    <row r="2350" spans="1:24" s="4" customFormat="1" ht="15" customHeight="1">
      <c r="A2350" s="28" t="s">
        <v>3019</v>
      </c>
      <c r="B2350" s="29">
        <v>3196.165</v>
      </c>
      <c r="C2350" s="30" t="s">
        <v>3396</v>
      </c>
      <c r="D2350" s="2">
        <v>4951726531</v>
      </c>
      <c r="E2350" s="2" t="s">
        <v>14</v>
      </c>
      <c r="F2350" s="2" t="s">
        <v>3397</v>
      </c>
      <c r="G2350" s="28" t="s">
        <v>5</v>
      </c>
      <c r="H2350" s="2" t="s">
        <v>35</v>
      </c>
      <c r="I2350" s="2">
        <v>1</v>
      </c>
      <c r="J2350" s="2" t="s">
        <v>3398</v>
      </c>
      <c r="K2350" s="2">
        <v>14740</v>
      </c>
      <c r="L2350" s="35">
        <f t="shared" si="120"/>
        <v>47111472.100000001</v>
      </c>
      <c r="M2350" s="36">
        <v>4400</v>
      </c>
      <c r="N2350" s="40">
        <v>93185.570776255699</v>
      </c>
      <c r="O2350" s="48">
        <v>122193.711676451</v>
      </c>
      <c r="P2350" s="40">
        <v>0</v>
      </c>
      <c r="Q2350" s="48">
        <v>31572.080887149401</v>
      </c>
      <c r="R2350" s="40">
        <f>367942.178734507+77654</f>
        <v>445596.178734507</v>
      </c>
      <c r="S2350" s="40">
        <v>101706.87540769701</v>
      </c>
      <c r="T2350" s="40">
        <v>30000</v>
      </c>
      <c r="U2350" s="40">
        <v>2474217.87345075</v>
      </c>
      <c r="V2350" s="40">
        <v>0</v>
      </c>
      <c r="W2350" s="45">
        <f t="shared" si="121"/>
        <v>3298472.2909328099</v>
      </c>
      <c r="X2350" s="46">
        <f t="shared" si="122"/>
        <v>7.0014205540667227</v>
      </c>
    </row>
    <row r="2351" spans="1:24" s="4" customFormat="1" ht="15" customHeight="1">
      <c r="A2351" s="28" t="s">
        <v>3019</v>
      </c>
      <c r="B2351" s="29">
        <v>3196.165</v>
      </c>
      <c r="C2351" s="30" t="s">
        <v>3399</v>
      </c>
      <c r="D2351" s="2">
        <v>4951356843</v>
      </c>
      <c r="E2351" s="2" t="s">
        <v>14</v>
      </c>
      <c r="F2351" s="2" t="s">
        <v>3400</v>
      </c>
      <c r="G2351" s="28" t="s">
        <v>5</v>
      </c>
      <c r="H2351" s="2" t="s">
        <v>17</v>
      </c>
      <c r="I2351" s="2">
        <v>1</v>
      </c>
      <c r="J2351" s="2" t="s">
        <v>3401</v>
      </c>
      <c r="K2351" s="2">
        <v>17073</v>
      </c>
      <c r="L2351" s="35">
        <f t="shared" si="120"/>
        <v>54568125.045000002</v>
      </c>
      <c r="M2351" s="36">
        <f>3550+2750</f>
        <v>6300</v>
      </c>
      <c r="N2351" s="40">
        <v>164790.52776819601</v>
      </c>
      <c r="O2351" s="48">
        <v>185037.888927216</v>
      </c>
      <c r="P2351" s="40">
        <v>0</v>
      </c>
      <c r="Q2351" s="48">
        <v>47809.589513625397</v>
      </c>
      <c r="R2351" s="40">
        <f>240055.860641601+86927</f>
        <v>326982.86064160103</v>
      </c>
      <c r="S2351" s="40">
        <v>154014.680924457</v>
      </c>
      <c r="T2351" s="40">
        <v>30000</v>
      </c>
      <c r="U2351" s="40">
        <v>2367248.3615039699</v>
      </c>
      <c r="V2351" s="40">
        <v>0</v>
      </c>
      <c r="W2351" s="45">
        <f t="shared" si="121"/>
        <v>3275883.9092790652</v>
      </c>
      <c r="X2351" s="46">
        <f t="shared" si="122"/>
        <v>6.0032920438031976</v>
      </c>
    </row>
    <row r="2352" spans="1:24" s="4" customFormat="1" ht="15" customHeight="1">
      <c r="A2352" s="28" t="s">
        <v>3019</v>
      </c>
      <c r="B2352" s="29">
        <v>3196.165</v>
      </c>
      <c r="C2352" s="30" t="s">
        <v>3399</v>
      </c>
      <c r="D2352" s="2">
        <v>4951438975</v>
      </c>
      <c r="E2352" s="2" t="s">
        <v>14</v>
      </c>
      <c r="F2352" s="2" t="s">
        <v>3400</v>
      </c>
      <c r="G2352" s="28" t="s">
        <v>5</v>
      </c>
      <c r="H2352" s="2" t="s">
        <v>17</v>
      </c>
      <c r="I2352" s="2">
        <v>1</v>
      </c>
      <c r="J2352" s="2" t="s">
        <v>3401</v>
      </c>
      <c r="K2352" s="2">
        <v>9728</v>
      </c>
      <c r="L2352" s="35">
        <f t="shared" si="120"/>
        <v>31092293.120000001</v>
      </c>
      <c r="M2352" s="36">
        <v>6400</v>
      </c>
      <c r="N2352" s="40">
        <v>167406.250431183</v>
      </c>
      <c r="O2352" s="48">
        <v>187974.99827526699</v>
      </c>
      <c r="P2352" s="40">
        <v>0</v>
      </c>
      <c r="Q2352" s="48">
        <v>48568.4718868575</v>
      </c>
      <c r="R2352" s="40">
        <f>243866.271127975+88306</f>
        <v>332172.27112797496</v>
      </c>
      <c r="S2352" s="40">
        <v>156459.35839944801</v>
      </c>
      <c r="T2352" s="40">
        <v>30000</v>
      </c>
      <c r="U2352" s="40">
        <v>2404823.7323214901</v>
      </c>
      <c r="V2352" s="40">
        <v>0</v>
      </c>
      <c r="W2352" s="45">
        <f t="shared" si="121"/>
        <v>3327405.0824422203</v>
      </c>
      <c r="X2352" s="46">
        <f t="shared" si="122"/>
        <v>10.701703697440957</v>
      </c>
    </row>
    <row r="2353" spans="1:24" s="4" customFormat="1" ht="15" customHeight="1">
      <c r="A2353" s="28" t="s">
        <v>3019</v>
      </c>
      <c r="B2353" s="29">
        <v>3196.165</v>
      </c>
      <c r="C2353" s="30" t="s">
        <v>3399</v>
      </c>
      <c r="D2353" s="2">
        <v>4951438975</v>
      </c>
      <c r="E2353" s="2" t="s">
        <v>14</v>
      </c>
      <c r="F2353" s="2" t="s">
        <v>3400</v>
      </c>
      <c r="G2353" s="28" t="s">
        <v>5</v>
      </c>
      <c r="H2353" s="2" t="s">
        <v>17</v>
      </c>
      <c r="I2353" s="2">
        <v>1</v>
      </c>
      <c r="J2353" s="2" t="s">
        <v>3401</v>
      </c>
      <c r="K2353" s="2">
        <v>6584.6</v>
      </c>
      <c r="L2353" s="35">
        <f t="shared" si="120"/>
        <v>21045468.059</v>
      </c>
      <c r="M2353" s="36">
        <v>820</v>
      </c>
      <c r="N2353" s="40">
        <v>21448.925836495298</v>
      </c>
      <c r="O2353" s="48">
        <v>24084.296654018599</v>
      </c>
      <c r="P2353" s="40">
        <v>0</v>
      </c>
      <c r="Q2353" s="48">
        <v>6222.8354605036202</v>
      </c>
      <c r="R2353" s="40">
        <f>31245.3659882718+11314</f>
        <v>42559.365988271798</v>
      </c>
      <c r="S2353" s="40">
        <v>20046.355294929301</v>
      </c>
      <c r="T2353" s="40">
        <v>30000</v>
      </c>
      <c r="U2353" s="40">
        <v>308118.04070369102</v>
      </c>
      <c r="V2353" s="40">
        <v>0</v>
      </c>
      <c r="W2353" s="45">
        <f t="shared" si="121"/>
        <v>452479.8199379096</v>
      </c>
      <c r="X2353" s="46">
        <f t="shared" si="122"/>
        <v>2.1500107228283225</v>
      </c>
    </row>
    <row r="2354" spans="1:24" s="4" customFormat="1" ht="15" customHeight="1">
      <c r="A2354" s="28" t="s">
        <v>3019</v>
      </c>
      <c r="B2354" s="29">
        <v>3196.165</v>
      </c>
      <c r="C2354" s="30" t="s">
        <v>3399</v>
      </c>
      <c r="D2354" s="2">
        <v>4951438975</v>
      </c>
      <c r="E2354" s="2" t="s">
        <v>14</v>
      </c>
      <c r="F2354" s="2" t="s">
        <v>3400</v>
      </c>
      <c r="G2354" s="28" t="s">
        <v>5</v>
      </c>
      <c r="H2354" s="2" t="s">
        <v>17</v>
      </c>
      <c r="I2354" s="2">
        <v>1</v>
      </c>
      <c r="J2354" s="2" t="s">
        <v>3401</v>
      </c>
      <c r="K2354" s="2">
        <v>2457</v>
      </c>
      <c r="L2354" s="35">
        <f t="shared" si="120"/>
        <v>7852977.4050000003</v>
      </c>
      <c r="M2354" s="36">
        <v>525</v>
      </c>
      <c r="N2354" s="40">
        <v>13732.543980683</v>
      </c>
      <c r="O2354" s="48">
        <v>15419.824077268</v>
      </c>
      <c r="P2354" s="40">
        <v>0</v>
      </c>
      <c r="Q2354" s="48">
        <v>3984.1324594687799</v>
      </c>
      <c r="R2354" s="40">
        <f>20004.6550534667+7244</f>
        <v>27248.6550534667</v>
      </c>
      <c r="S2354" s="40">
        <v>12834.556743704699</v>
      </c>
      <c r="T2354" s="40">
        <v>30000</v>
      </c>
      <c r="U2354" s="40">
        <v>197270.696791997</v>
      </c>
      <c r="V2354" s="40">
        <v>0</v>
      </c>
      <c r="W2354" s="45">
        <f t="shared" si="121"/>
        <v>300490.40910658817</v>
      </c>
      <c r="X2354" s="46">
        <f t="shared" si="122"/>
        <v>3.8264519762308948</v>
      </c>
    </row>
    <row r="2355" spans="1:24" s="4" customFormat="1" ht="15" customHeight="1">
      <c r="A2355" s="28" t="s">
        <v>3019</v>
      </c>
      <c r="B2355" s="29">
        <v>3196.165</v>
      </c>
      <c r="C2355" s="30" t="s">
        <v>3399</v>
      </c>
      <c r="D2355" s="2">
        <v>4951241942</v>
      </c>
      <c r="E2355" s="2" t="s">
        <v>14</v>
      </c>
      <c r="F2355" s="2" t="s">
        <v>3400</v>
      </c>
      <c r="G2355" s="28" t="s">
        <v>5</v>
      </c>
      <c r="H2355" s="2" t="s">
        <v>17</v>
      </c>
      <c r="I2355" s="2">
        <v>1</v>
      </c>
      <c r="J2355" s="2" t="s">
        <v>3401</v>
      </c>
      <c r="K2355" s="2">
        <v>2043</v>
      </c>
      <c r="L2355" s="35">
        <f t="shared" si="120"/>
        <v>6529765.0949999997</v>
      </c>
      <c r="M2355" s="36">
        <v>450</v>
      </c>
      <c r="N2355" s="40">
        <v>11770.7519834426</v>
      </c>
      <c r="O2355" s="48">
        <v>13216.992066229701</v>
      </c>
      <c r="P2355" s="40">
        <v>0</v>
      </c>
      <c r="Q2355" s="48">
        <v>3414.97067954467</v>
      </c>
      <c r="R2355" s="40">
        <f>17146.8471886858+6209</f>
        <v>23355.847188685799</v>
      </c>
      <c r="S2355" s="40">
        <v>11001.048637461199</v>
      </c>
      <c r="T2355" s="40">
        <v>30000</v>
      </c>
      <c r="U2355" s="40">
        <v>169089.168678855</v>
      </c>
      <c r="V2355" s="40">
        <v>0</v>
      </c>
      <c r="W2355" s="45">
        <f t="shared" si="121"/>
        <v>261848.77923421896</v>
      </c>
      <c r="X2355" s="46">
        <f t="shared" si="122"/>
        <v>4.0100796188629042</v>
      </c>
    </row>
    <row r="2356" spans="1:24" s="4" customFormat="1" ht="15" customHeight="1">
      <c r="A2356" s="28" t="s">
        <v>3019</v>
      </c>
      <c r="B2356" s="29">
        <v>3196.165</v>
      </c>
      <c r="C2356" s="30" t="s">
        <v>3402</v>
      </c>
      <c r="D2356" s="2">
        <v>4951609998</v>
      </c>
      <c r="E2356" s="2" t="s">
        <v>18</v>
      </c>
      <c r="F2356" s="2" t="s">
        <v>3403</v>
      </c>
      <c r="G2356" s="28" t="s">
        <v>5</v>
      </c>
      <c r="H2356" s="2" t="s">
        <v>35</v>
      </c>
      <c r="I2356" s="2">
        <v>1</v>
      </c>
      <c r="J2356" s="2" t="s">
        <v>3404</v>
      </c>
      <c r="K2356" s="2">
        <v>114320</v>
      </c>
      <c r="L2356" s="35">
        <f t="shared" si="120"/>
        <v>365385582.80000001</v>
      </c>
      <c r="M2356" s="36">
        <v>1600</v>
      </c>
      <c r="N2356" s="40">
        <v>81536.25</v>
      </c>
      <c r="O2356" s="48">
        <v>106433.5</v>
      </c>
      <c r="P2356" s="40">
        <v>0</v>
      </c>
      <c r="Q2356" s="48">
        <v>27500</v>
      </c>
      <c r="R2356" s="40">
        <f>165513.25+67947</f>
        <v>233460.25</v>
      </c>
      <c r="S2356" s="40">
        <v>88589</v>
      </c>
      <c r="T2356" s="40">
        <v>30000</v>
      </c>
      <c r="U2356" s="40">
        <v>658875</v>
      </c>
      <c r="V2356" s="40">
        <v>333750</v>
      </c>
      <c r="W2356" s="45">
        <f t="shared" si="121"/>
        <v>1560144</v>
      </c>
      <c r="X2356" s="46">
        <f t="shared" si="122"/>
        <v>0.42698564843319808</v>
      </c>
    </row>
    <row r="2357" spans="1:24" s="4" customFormat="1" ht="15" customHeight="1">
      <c r="A2357" s="28" t="s">
        <v>3019</v>
      </c>
      <c r="B2357" s="29">
        <v>3196.165</v>
      </c>
      <c r="C2357" s="30" t="s">
        <v>3402</v>
      </c>
      <c r="D2357" s="2">
        <v>4951574732</v>
      </c>
      <c r="E2357" s="2" t="s">
        <v>18</v>
      </c>
      <c r="F2357" s="2" t="s">
        <v>3403</v>
      </c>
      <c r="G2357" s="28" t="s">
        <v>5</v>
      </c>
      <c r="H2357" s="2" t="s">
        <v>35</v>
      </c>
      <c r="I2357" s="2">
        <v>1</v>
      </c>
      <c r="J2357" s="2" t="s">
        <v>3404</v>
      </c>
      <c r="K2357" s="2">
        <v>407280</v>
      </c>
      <c r="L2357" s="35">
        <f t="shared" si="120"/>
        <v>1301734081.2</v>
      </c>
      <c r="M2357" s="36">
        <v>4800</v>
      </c>
      <c r="N2357" s="40">
        <v>244608.75</v>
      </c>
      <c r="O2357" s="48">
        <v>319300.5</v>
      </c>
      <c r="P2357" s="40">
        <v>0</v>
      </c>
      <c r="Q2357" s="48">
        <v>82500</v>
      </c>
      <c r="R2357" s="40">
        <f>496539.75+203840</f>
        <v>700379.75</v>
      </c>
      <c r="S2357" s="40">
        <v>265767</v>
      </c>
      <c r="T2357" s="40">
        <v>30000</v>
      </c>
      <c r="U2357" s="40">
        <v>1976625</v>
      </c>
      <c r="V2357" s="40">
        <v>1001250</v>
      </c>
      <c r="W2357" s="45">
        <f t="shared" si="121"/>
        <v>4620431</v>
      </c>
      <c r="X2357" s="46">
        <f t="shared" si="122"/>
        <v>0.35494430596306337</v>
      </c>
    </row>
    <row r="2358" spans="1:24" s="4" customFormat="1" ht="15" customHeight="1">
      <c r="A2358" s="28" t="s">
        <v>3019</v>
      </c>
      <c r="B2358" s="29">
        <v>3196.165</v>
      </c>
      <c r="C2358" s="30" t="s">
        <v>3405</v>
      </c>
      <c r="D2358" s="2">
        <v>4951726527</v>
      </c>
      <c r="E2358" s="2" t="s">
        <v>14</v>
      </c>
      <c r="F2358" s="2" t="s">
        <v>3406</v>
      </c>
      <c r="G2358" s="28" t="s">
        <v>5</v>
      </c>
      <c r="H2358" s="2" t="s">
        <v>20</v>
      </c>
      <c r="I2358" s="2">
        <v>1</v>
      </c>
      <c r="J2358" s="2" t="s">
        <v>3407</v>
      </c>
      <c r="K2358" s="2">
        <v>26100</v>
      </c>
      <c r="L2358" s="35">
        <f t="shared" ref="L2358:L2388" si="123">+B2358*K2358</f>
        <v>83419906.5</v>
      </c>
      <c r="M2358" s="36">
        <v>18000</v>
      </c>
      <c r="N2358" s="40">
        <v>326145</v>
      </c>
      <c r="O2358" s="40">
        <v>324522</v>
      </c>
      <c r="P2358" s="40">
        <v>213081</v>
      </c>
      <c r="Q2358" s="40">
        <v>110000</v>
      </c>
      <c r="R2358" s="40">
        <v>551747</v>
      </c>
      <c r="S2358" s="40">
        <v>354356</v>
      </c>
      <c r="T2358" s="40">
        <v>30000</v>
      </c>
      <c r="U2358" s="40">
        <v>6404400</v>
      </c>
      <c r="V2358" s="40">
        <v>0</v>
      </c>
      <c r="W2358" s="45">
        <f t="shared" ref="W2358:W2388" si="124">+SUM(N2358:V2358)</f>
        <v>8314251</v>
      </c>
      <c r="X2358" s="46">
        <f t="shared" ref="X2358:X2384" si="125">(W2358/L2358)*100</f>
        <v>9.9667469658456156</v>
      </c>
    </row>
    <row r="2359" spans="1:24" s="4" customFormat="1" ht="15" customHeight="1">
      <c r="A2359" s="28" t="s">
        <v>3019</v>
      </c>
      <c r="B2359" s="29">
        <v>3196.165</v>
      </c>
      <c r="C2359" s="30" t="s">
        <v>3408</v>
      </c>
      <c r="D2359" s="2">
        <v>4951754680</v>
      </c>
      <c r="E2359" s="2" t="s">
        <v>14</v>
      </c>
      <c r="F2359" s="2" t="s">
        <v>3409</v>
      </c>
      <c r="G2359" s="28" t="s">
        <v>5</v>
      </c>
      <c r="H2359" s="2" t="s">
        <v>20</v>
      </c>
      <c r="I2359" s="2">
        <v>1</v>
      </c>
      <c r="J2359" s="2" t="s">
        <v>3410</v>
      </c>
      <c r="K2359" s="2">
        <v>26100</v>
      </c>
      <c r="L2359" s="35">
        <f t="shared" si="123"/>
        <v>83419906.5</v>
      </c>
      <c r="M2359" s="36">
        <f>12150+5850</f>
        <v>18000</v>
      </c>
      <c r="N2359" s="40">
        <v>326145</v>
      </c>
      <c r="O2359" s="40">
        <v>324522</v>
      </c>
      <c r="P2359" s="40">
        <v>213081</v>
      </c>
      <c r="Q2359" s="40">
        <v>110000</v>
      </c>
      <c r="R2359" s="40">
        <v>551747</v>
      </c>
      <c r="S2359" s="40">
        <v>354356</v>
      </c>
      <c r="T2359" s="40">
        <v>30000</v>
      </c>
      <c r="U2359" s="40">
        <v>6404400</v>
      </c>
      <c r="V2359" s="40">
        <v>0</v>
      </c>
      <c r="W2359" s="45">
        <f t="shared" si="124"/>
        <v>8314251</v>
      </c>
      <c r="X2359" s="46">
        <f t="shared" si="125"/>
        <v>9.9667469658456156</v>
      </c>
    </row>
    <row r="2360" spans="1:24" s="4" customFormat="1" ht="15" customHeight="1">
      <c r="A2360" s="28" t="s">
        <v>3019</v>
      </c>
      <c r="B2360" s="29">
        <v>3196.165</v>
      </c>
      <c r="C2360" s="30" t="s">
        <v>3411</v>
      </c>
      <c r="D2360" s="2">
        <v>4951574713</v>
      </c>
      <c r="E2360" s="2" t="s">
        <v>18</v>
      </c>
      <c r="F2360" s="2" t="s">
        <v>3412</v>
      </c>
      <c r="G2360" s="28" t="s">
        <v>9</v>
      </c>
      <c r="H2360" s="2" t="s">
        <v>23</v>
      </c>
      <c r="I2360" s="2">
        <v>4</v>
      </c>
      <c r="J2360" s="2"/>
      <c r="K2360" s="2">
        <v>14560</v>
      </c>
      <c r="L2360" s="35">
        <f t="shared" si="123"/>
        <v>46536162.399999999</v>
      </c>
      <c r="M2360" s="36">
        <v>4000</v>
      </c>
      <c r="N2360" s="40">
        <v>966425</v>
      </c>
      <c r="O2360" s="40">
        <v>2615</v>
      </c>
      <c r="P2360" s="40">
        <v>0</v>
      </c>
      <c r="Q2360" s="40">
        <v>82267</v>
      </c>
      <c r="R2360" s="40">
        <v>218182</v>
      </c>
      <c r="S2360" s="40">
        <v>354356</v>
      </c>
      <c r="T2360" s="40">
        <v>30000</v>
      </c>
      <c r="U2360" s="40">
        <v>1797844.8275862101</v>
      </c>
      <c r="V2360" s="40">
        <v>0</v>
      </c>
      <c r="W2360" s="45">
        <f t="shared" si="124"/>
        <v>3451689.8275862103</v>
      </c>
      <c r="X2360" s="46">
        <f t="shared" si="125"/>
        <v>7.4172206077444205</v>
      </c>
    </row>
    <row r="2361" spans="1:24" s="4" customFormat="1" ht="15" customHeight="1">
      <c r="A2361" s="28" t="s">
        <v>3019</v>
      </c>
      <c r="B2361" s="29">
        <v>3196.165</v>
      </c>
      <c r="C2361" s="30" t="s">
        <v>3413</v>
      </c>
      <c r="D2361" s="2">
        <v>4950898139</v>
      </c>
      <c r="E2361" s="2" t="s">
        <v>14</v>
      </c>
      <c r="F2361" s="2" t="s">
        <v>3414</v>
      </c>
      <c r="G2361" s="28" t="s">
        <v>5</v>
      </c>
      <c r="H2361" s="2" t="s">
        <v>17</v>
      </c>
      <c r="I2361" s="2">
        <v>1</v>
      </c>
      <c r="J2361" s="2" t="s">
        <v>3415</v>
      </c>
      <c r="K2361" s="2">
        <v>68040</v>
      </c>
      <c r="L2361" s="35">
        <f t="shared" si="123"/>
        <v>217467066.59999999</v>
      </c>
      <c r="M2361" s="36">
        <v>18000</v>
      </c>
      <c r="N2361" s="40">
        <v>326145</v>
      </c>
      <c r="O2361" s="40">
        <v>425734</v>
      </c>
      <c r="P2361" s="40">
        <v>0</v>
      </c>
      <c r="Q2361" s="40">
        <v>110000</v>
      </c>
      <c r="R2361" s="40">
        <v>641285</v>
      </c>
      <c r="S2361" s="40">
        <v>354356</v>
      </c>
      <c r="T2361" s="40">
        <v>30000</v>
      </c>
      <c r="U2361" s="40">
        <v>5446550</v>
      </c>
      <c r="V2361" s="40">
        <v>0</v>
      </c>
      <c r="W2361" s="45">
        <f t="shared" si="124"/>
        <v>7334070</v>
      </c>
      <c r="X2361" s="46">
        <f t="shared" si="125"/>
        <v>3.3724968633940269</v>
      </c>
    </row>
    <row r="2362" spans="1:24" s="4" customFormat="1" ht="15" customHeight="1">
      <c r="A2362" s="28" t="s">
        <v>3019</v>
      </c>
      <c r="B2362" s="29">
        <v>3196.165</v>
      </c>
      <c r="C2362" s="30" t="s">
        <v>3416</v>
      </c>
      <c r="D2362" s="2">
        <v>4951275459</v>
      </c>
      <c r="E2362" s="2" t="s">
        <v>14</v>
      </c>
      <c r="F2362" s="2" t="s">
        <v>3417</v>
      </c>
      <c r="G2362" s="28" t="s">
        <v>9</v>
      </c>
      <c r="H2362" s="2" t="s">
        <v>23</v>
      </c>
      <c r="I2362" s="2">
        <v>2</v>
      </c>
      <c r="J2362" s="2"/>
      <c r="K2362" s="2">
        <v>49664</v>
      </c>
      <c r="L2362" s="35">
        <f t="shared" si="123"/>
        <v>158734338.56</v>
      </c>
      <c r="M2362" s="36">
        <v>640</v>
      </c>
      <c r="N2362" s="40">
        <v>520963</v>
      </c>
      <c r="O2362" s="40">
        <v>446</v>
      </c>
      <c r="P2362" s="40">
        <v>0</v>
      </c>
      <c r="Q2362" s="40">
        <v>11357</v>
      </c>
      <c r="R2362" s="40">
        <v>100567</v>
      </c>
      <c r="S2362" s="40">
        <v>354356</v>
      </c>
      <c r="T2362" s="40">
        <v>30000</v>
      </c>
      <c r="U2362" s="40">
        <v>287655.17241379299</v>
      </c>
      <c r="V2362" s="40">
        <v>0</v>
      </c>
      <c r="W2362" s="45">
        <f t="shared" si="124"/>
        <v>1305344.1724137929</v>
      </c>
      <c r="X2362" s="46">
        <f t="shared" si="125"/>
        <v>0.82234517386443506</v>
      </c>
    </row>
    <row r="2363" spans="1:24" s="4" customFormat="1" ht="15" customHeight="1">
      <c r="A2363" s="28" t="s">
        <v>3019</v>
      </c>
      <c r="B2363" s="29">
        <v>3196.165</v>
      </c>
      <c r="C2363" s="30" t="s">
        <v>3418</v>
      </c>
      <c r="D2363" s="2">
        <v>4950059662</v>
      </c>
      <c r="E2363" s="2" t="s">
        <v>14</v>
      </c>
      <c r="F2363" s="2" t="s">
        <v>3419</v>
      </c>
      <c r="G2363" s="28" t="s">
        <v>5</v>
      </c>
      <c r="H2363" s="2" t="s">
        <v>20</v>
      </c>
      <c r="I2363" s="2">
        <v>1</v>
      </c>
      <c r="J2363" s="2" t="s">
        <v>3420</v>
      </c>
      <c r="K2363" s="2">
        <v>32508</v>
      </c>
      <c r="L2363" s="35">
        <f t="shared" si="123"/>
        <v>103900931.81999999</v>
      </c>
      <c r="M2363" s="36">
        <v>15480</v>
      </c>
      <c r="N2363" s="40">
        <v>324266</v>
      </c>
      <c r="O2363" s="40">
        <v>324522</v>
      </c>
      <c r="P2363" s="40">
        <v>0</v>
      </c>
      <c r="Q2363" s="40">
        <v>110000</v>
      </c>
      <c r="R2363" s="40">
        <v>638976</v>
      </c>
      <c r="S2363" s="40">
        <v>354356</v>
      </c>
      <c r="T2363" s="40">
        <v>30000</v>
      </c>
      <c r="U2363" s="40">
        <v>6404400</v>
      </c>
      <c r="V2363" s="40">
        <v>0</v>
      </c>
      <c r="W2363" s="45">
        <f t="shared" si="124"/>
        <v>8186520</v>
      </c>
      <c r="X2363" s="46">
        <f t="shared" si="125"/>
        <v>7.8791593651753642</v>
      </c>
    </row>
    <row r="2364" spans="1:24" s="4" customFormat="1" ht="15" customHeight="1">
      <c r="A2364" s="28" t="s">
        <v>3019</v>
      </c>
      <c r="B2364" s="29">
        <v>3196.165</v>
      </c>
      <c r="C2364" s="30" t="s">
        <v>3421</v>
      </c>
      <c r="D2364" s="2">
        <v>4951267374</v>
      </c>
      <c r="E2364" s="2" t="s">
        <v>36</v>
      </c>
      <c r="F2364" s="2" t="s">
        <v>3422</v>
      </c>
      <c r="G2364" s="28" t="s">
        <v>5</v>
      </c>
      <c r="H2364" s="2" t="s">
        <v>26</v>
      </c>
      <c r="I2364" s="2">
        <v>4</v>
      </c>
      <c r="J2364" s="2" t="s">
        <v>3423</v>
      </c>
      <c r="K2364" s="2">
        <v>82927.600000000006</v>
      </c>
      <c r="L2364" s="35">
        <f t="shared" si="123"/>
        <v>265050292.65400001</v>
      </c>
      <c r="M2364" s="36">
        <v>84620</v>
      </c>
      <c r="N2364" s="40">
        <v>1525019</v>
      </c>
      <c r="O2364" s="40">
        <v>1977656</v>
      </c>
      <c r="P2364" s="40">
        <v>10303833</v>
      </c>
      <c r="Q2364" s="40">
        <v>496548</v>
      </c>
      <c r="R2364" s="40">
        <v>3339604</v>
      </c>
      <c r="S2364" s="40">
        <v>354356</v>
      </c>
      <c r="T2364" s="40"/>
      <c r="U2364" s="40">
        <v>0</v>
      </c>
      <c r="V2364" s="40">
        <v>0</v>
      </c>
      <c r="W2364" s="45">
        <f t="shared" si="124"/>
        <v>17997016</v>
      </c>
      <c r="X2364" s="46">
        <f t="shared" si="125"/>
        <v>6.7900381545677178</v>
      </c>
    </row>
    <row r="2365" spans="1:24" s="4" customFormat="1" ht="15" customHeight="1">
      <c r="A2365" s="28" t="s">
        <v>3019</v>
      </c>
      <c r="B2365" s="29">
        <v>3196.165</v>
      </c>
      <c r="C2365" s="30" t="s">
        <v>3424</v>
      </c>
      <c r="D2365" s="2">
        <v>4951267382</v>
      </c>
      <c r="E2365" s="2" t="s">
        <v>36</v>
      </c>
      <c r="F2365" s="2" t="s">
        <v>3425</v>
      </c>
      <c r="G2365" s="28" t="s">
        <v>5</v>
      </c>
      <c r="H2365" s="2" t="s">
        <v>26</v>
      </c>
      <c r="I2365" s="2">
        <v>4</v>
      </c>
      <c r="J2365" s="2" t="s">
        <v>3426</v>
      </c>
      <c r="K2365" s="2">
        <v>81673</v>
      </c>
      <c r="L2365" s="35">
        <f t="shared" si="123"/>
        <v>261040384.04499999</v>
      </c>
      <c r="M2365" s="36">
        <v>83340</v>
      </c>
      <c r="N2365" s="40">
        <v>1327250</v>
      </c>
      <c r="O2365" s="40">
        <v>1977656</v>
      </c>
      <c r="P2365" s="40">
        <v>9893065</v>
      </c>
      <c r="Q2365" s="40">
        <v>496548</v>
      </c>
      <c r="R2365" s="40">
        <v>3331348</v>
      </c>
      <c r="S2365" s="40">
        <v>354356</v>
      </c>
      <c r="T2365" s="40"/>
      <c r="U2365" s="40">
        <v>0</v>
      </c>
      <c r="V2365" s="40">
        <v>0</v>
      </c>
      <c r="W2365" s="45">
        <f t="shared" si="124"/>
        <v>17380223</v>
      </c>
      <c r="X2365" s="46">
        <f t="shared" si="125"/>
        <v>6.6580590829210067</v>
      </c>
    </row>
    <row r="2366" spans="1:24" s="4" customFormat="1" ht="15" customHeight="1">
      <c r="A2366" s="28" t="s">
        <v>3019</v>
      </c>
      <c r="B2366" s="29">
        <v>3196.165</v>
      </c>
      <c r="C2366" s="30" t="s">
        <v>3427</v>
      </c>
      <c r="D2366" s="2">
        <v>4951315485</v>
      </c>
      <c r="E2366" s="2" t="s">
        <v>36</v>
      </c>
      <c r="F2366" s="2" t="s">
        <v>3428</v>
      </c>
      <c r="G2366" s="28" t="s">
        <v>5</v>
      </c>
      <c r="H2366" s="2" t="s">
        <v>26</v>
      </c>
      <c r="I2366" s="2">
        <v>3</v>
      </c>
      <c r="J2366" s="2" t="s">
        <v>3429</v>
      </c>
      <c r="K2366" s="2">
        <v>104620</v>
      </c>
      <c r="L2366" s="35">
        <f t="shared" si="123"/>
        <v>334382782.30000001</v>
      </c>
      <c r="M2366" s="36">
        <v>59443</v>
      </c>
      <c r="N2366" s="40">
        <v>326349.06923175399</v>
      </c>
      <c r="O2366" s="40">
        <v>1483258</v>
      </c>
      <c r="P2366" s="40">
        <v>1370666.0907733699</v>
      </c>
      <c r="Q2366" s="40">
        <v>372411</v>
      </c>
      <c r="R2366" s="40">
        <v>610775.92409709701</v>
      </c>
      <c r="S2366" s="40">
        <v>118192.573626953</v>
      </c>
      <c r="T2366" s="40"/>
      <c r="U2366" s="40">
        <v>0</v>
      </c>
      <c r="V2366" s="40">
        <v>0</v>
      </c>
      <c r="W2366" s="45">
        <f t="shared" si="124"/>
        <v>4281652.657729174</v>
      </c>
      <c r="X2366" s="46">
        <f t="shared" si="125"/>
        <v>1.2804644510337797</v>
      </c>
    </row>
    <row r="2367" spans="1:24" s="4" customFormat="1" ht="15" customHeight="1">
      <c r="A2367" s="28" t="s">
        <v>3019</v>
      </c>
      <c r="B2367" s="29">
        <v>3196.165</v>
      </c>
      <c r="C2367" s="30" t="s">
        <v>3430</v>
      </c>
      <c r="D2367" s="2">
        <v>4951267920</v>
      </c>
      <c r="E2367" s="2" t="s">
        <v>36</v>
      </c>
      <c r="F2367" s="2" t="s">
        <v>3431</v>
      </c>
      <c r="G2367" s="28" t="s">
        <v>5</v>
      </c>
      <c r="H2367" s="2" t="s">
        <v>26</v>
      </c>
      <c r="I2367" s="2">
        <v>4</v>
      </c>
      <c r="J2367" s="2" t="s">
        <v>3432</v>
      </c>
      <c r="K2367" s="2">
        <v>83633</v>
      </c>
      <c r="L2367" s="35">
        <f t="shared" si="123"/>
        <v>267304867.44499999</v>
      </c>
      <c r="M2367" s="36">
        <v>85340</v>
      </c>
      <c r="N2367" s="40">
        <v>1293888</v>
      </c>
      <c r="O2367" s="40">
        <v>1977656</v>
      </c>
      <c r="P2367" s="40">
        <v>10227011</v>
      </c>
      <c r="Q2367" s="40">
        <v>496548</v>
      </c>
      <c r="R2367" s="40">
        <v>3323608</v>
      </c>
      <c r="S2367" s="40">
        <v>354356</v>
      </c>
      <c r="T2367" s="40"/>
      <c r="U2367" s="40">
        <v>0</v>
      </c>
      <c r="V2367" s="40">
        <v>0</v>
      </c>
      <c r="W2367" s="45">
        <f t="shared" si="124"/>
        <v>17673067</v>
      </c>
      <c r="X2367" s="46">
        <f t="shared" si="125"/>
        <v>6.6115769491688612</v>
      </c>
    </row>
    <row r="2368" spans="1:24" s="4" customFormat="1" ht="15" customHeight="1">
      <c r="A2368" s="28" t="s">
        <v>3019</v>
      </c>
      <c r="B2368" s="29">
        <v>3196.165</v>
      </c>
      <c r="C2368" s="30" t="s">
        <v>3433</v>
      </c>
      <c r="D2368" s="2">
        <v>4951315485</v>
      </c>
      <c r="E2368" s="2" t="s">
        <v>36</v>
      </c>
      <c r="F2368" s="2" t="s">
        <v>3434</v>
      </c>
      <c r="G2368" s="28" t="s">
        <v>5</v>
      </c>
      <c r="H2368" s="2" t="s">
        <v>26</v>
      </c>
      <c r="I2368" s="2">
        <v>1</v>
      </c>
      <c r="J2368" s="2" t="s">
        <v>3435</v>
      </c>
      <c r="K2368" s="2">
        <v>34854.76</v>
      </c>
      <c r="L2368" s="35">
        <f t="shared" si="123"/>
        <v>111401563.99540001</v>
      </c>
      <c r="M2368" s="36">
        <v>19803.873</v>
      </c>
      <c r="N2368" s="40">
        <v>324667</v>
      </c>
      <c r="O2368" s="40">
        <v>396816</v>
      </c>
      <c r="P2368" s="40">
        <v>1363601</v>
      </c>
      <c r="Q2368" s="40">
        <v>110000</v>
      </c>
      <c r="R2368" s="40">
        <v>624697</v>
      </c>
      <c r="S2368" s="40">
        <v>354356</v>
      </c>
      <c r="T2368" s="40"/>
      <c r="U2368" s="40">
        <v>0</v>
      </c>
      <c r="V2368" s="40">
        <v>0</v>
      </c>
      <c r="W2368" s="45">
        <f t="shared" si="124"/>
        <v>3174137</v>
      </c>
      <c r="X2368" s="46">
        <f t="shared" si="125"/>
        <v>2.8492750785178083</v>
      </c>
    </row>
    <row r="2369" spans="1:24" s="4" customFormat="1" ht="15" customHeight="1">
      <c r="A2369" s="28" t="s">
        <v>3019</v>
      </c>
      <c r="B2369" s="29">
        <v>3196.165</v>
      </c>
      <c r="C2369" s="30" t="s">
        <v>3436</v>
      </c>
      <c r="D2369" s="2">
        <v>4950898139</v>
      </c>
      <c r="E2369" s="2" t="s">
        <v>14</v>
      </c>
      <c r="F2369" s="2" t="s">
        <v>3437</v>
      </c>
      <c r="G2369" s="28" t="s">
        <v>5</v>
      </c>
      <c r="H2369" s="2" t="s">
        <v>17</v>
      </c>
      <c r="I2369" s="2">
        <v>1</v>
      </c>
      <c r="J2369" s="2" t="s">
        <v>3438</v>
      </c>
      <c r="K2369" s="2">
        <f>30240+22680+15120</f>
        <v>68040</v>
      </c>
      <c r="L2369" s="35">
        <f t="shared" si="123"/>
        <v>217467066.59999999</v>
      </c>
      <c r="M2369" s="36">
        <f>8000+6000+4000</f>
        <v>18000</v>
      </c>
      <c r="N2369" s="40">
        <v>326145</v>
      </c>
      <c r="O2369" s="40">
        <v>425734</v>
      </c>
      <c r="P2369" s="40">
        <v>0</v>
      </c>
      <c r="Q2369" s="40">
        <v>110000</v>
      </c>
      <c r="R2369" s="40">
        <v>641285</v>
      </c>
      <c r="S2369" s="40">
        <v>354356</v>
      </c>
      <c r="T2369" s="40">
        <v>30000</v>
      </c>
      <c r="U2369" s="40">
        <v>5446550</v>
      </c>
      <c r="V2369" s="40">
        <v>0</v>
      </c>
      <c r="W2369" s="45">
        <f t="shared" si="124"/>
        <v>7334070</v>
      </c>
      <c r="X2369" s="46">
        <f t="shared" si="125"/>
        <v>3.3724968633940269</v>
      </c>
    </row>
    <row r="2370" spans="1:24" s="4" customFormat="1" ht="15" customHeight="1">
      <c r="A2370" s="28" t="s">
        <v>3019</v>
      </c>
      <c r="B2370" s="29">
        <v>3196.165</v>
      </c>
      <c r="C2370" s="30" t="s">
        <v>3439</v>
      </c>
      <c r="D2370" s="2">
        <v>4951574746</v>
      </c>
      <c r="E2370" s="2" t="s">
        <v>14</v>
      </c>
      <c r="F2370" s="2" t="s">
        <v>3440</v>
      </c>
      <c r="G2370" s="28" t="s">
        <v>9</v>
      </c>
      <c r="H2370" s="2" t="s">
        <v>23</v>
      </c>
      <c r="I2370" s="2">
        <v>4</v>
      </c>
      <c r="J2370" s="2"/>
      <c r="K2370" s="2">
        <v>8928</v>
      </c>
      <c r="L2370" s="35">
        <f t="shared" si="123"/>
        <v>28535361.120000001</v>
      </c>
      <c r="M2370" s="36">
        <v>1200</v>
      </c>
      <c r="N2370" s="40">
        <v>346554.6</v>
      </c>
      <c r="O2370" s="48">
        <v>825.6</v>
      </c>
      <c r="P2370" s="40">
        <v>85807.2</v>
      </c>
      <c r="Q2370" s="48">
        <v>20602.2</v>
      </c>
      <c r="R2370" s="40">
        <v>76716.600000000006</v>
      </c>
      <c r="S2370" s="40">
        <v>212613.6</v>
      </c>
      <c r="T2370" s="40">
        <v>30000</v>
      </c>
      <c r="U2370" s="40">
        <v>820620</v>
      </c>
      <c r="V2370" s="40">
        <v>0</v>
      </c>
      <c r="W2370" s="45">
        <f t="shared" si="124"/>
        <v>1593739.7999999998</v>
      </c>
      <c r="X2370" s="46">
        <f t="shared" si="125"/>
        <v>5.5851397614974347</v>
      </c>
    </row>
    <row r="2371" spans="1:24" s="4" customFormat="1" ht="15" customHeight="1">
      <c r="A2371" s="28" t="s">
        <v>3019</v>
      </c>
      <c r="B2371" s="29">
        <v>3196.165</v>
      </c>
      <c r="C2371" s="30" t="s">
        <v>3439</v>
      </c>
      <c r="D2371" s="2">
        <v>4951698056</v>
      </c>
      <c r="E2371" s="2" t="s">
        <v>14</v>
      </c>
      <c r="F2371" s="2" t="s">
        <v>3440</v>
      </c>
      <c r="G2371" s="28" t="s">
        <v>9</v>
      </c>
      <c r="H2371" s="2" t="s">
        <v>23</v>
      </c>
      <c r="I2371" s="2">
        <v>4</v>
      </c>
      <c r="J2371" s="2"/>
      <c r="K2371" s="2">
        <v>5136</v>
      </c>
      <c r="L2371" s="35">
        <f t="shared" si="123"/>
        <v>16415503.439999999</v>
      </c>
      <c r="M2371" s="36">
        <v>800</v>
      </c>
      <c r="N2371" s="40">
        <v>231036.4</v>
      </c>
      <c r="O2371" s="48">
        <v>550.4</v>
      </c>
      <c r="P2371" s="40">
        <v>57204.800000000003</v>
      </c>
      <c r="Q2371" s="48">
        <v>13734.8</v>
      </c>
      <c r="R2371" s="40">
        <v>51144.4</v>
      </c>
      <c r="S2371" s="40">
        <v>141742.39999999999</v>
      </c>
      <c r="T2371" s="40">
        <v>30000</v>
      </c>
      <c r="U2371" s="40">
        <v>547080</v>
      </c>
      <c r="V2371" s="40">
        <v>0</v>
      </c>
      <c r="W2371" s="45">
        <f t="shared" si="124"/>
        <v>1072493.2</v>
      </c>
      <c r="X2371" s="46">
        <f t="shared" si="125"/>
        <v>6.5334164372116268</v>
      </c>
    </row>
    <row r="2372" spans="1:24" s="4" customFormat="1" ht="15" customHeight="1">
      <c r="A2372" s="28" t="s">
        <v>3019</v>
      </c>
      <c r="B2372" s="29">
        <v>3196.165</v>
      </c>
      <c r="C2372" s="30" t="s">
        <v>3441</v>
      </c>
      <c r="D2372" s="2">
        <v>4951138773</v>
      </c>
      <c r="E2372" s="2" t="s">
        <v>14</v>
      </c>
      <c r="F2372" s="2" t="s">
        <v>3442</v>
      </c>
      <c r="G2372" s="28" t="s">
        <v>5</v>
      </c>
      <c r="H2372" s="2" t="s">
        <v>20</v>
      </c>
      <c r="I2372" s="2">
        <v>2</v>
      </c>
      <c r="J2372" s="2" t="s">
        <v>3443</v>
      </c>
      <c r="K2372" s="2">
        <f>32508+32508</f>
        <v>65016</v>
      </c>
      <c r="L2372" s="35">
        <f t="shared" si="123"/>
        <v>207801863.63999999</v>
      </c>
      <c r="M2372" s="36">
        <f>15480+15480</f>
        <v>30960</v>
      </c>
      <c r="N2372" s="40">
        <v>648532</v>
      </c>
      <c r="O2372" s="40">
        <v>649044</v>
      </c>
      <c r="P2372" s="40">
        <v>0</v>
      </c>
      <c r="Q2372" s="40">
        <v>198619</v>
      </c>
      <c r="R2372" s="40">
        <v>1256486</v>
      </c>
      <c r="S2372" s="40">
        <v>354356</v>
      </c>
      <c r="T2372" s="40">
        <v>30000</v>
      </c>
      <c r="U2372" s="40">
        <v>12808800</v>
      </c>
      <c r="V2372" s="40">
        <v>0</v>
      </c>
      <c r="W2372" s="45">
        <f t="shared" si="124"/>
        <v>15945837</v>
      </c>
      <c r="X2372" s="46">
        <f t="shared" si="125"/>
        <v>7.6735774745624417</v>
      </c>
    </row>
    <row r="2373" spans="1:24" s="4" customFormat="1" ht="15" customHeight="1">
      <c r="A2373" s="28" t="s">
        <v>3019</v>
      </c>
      <c r="B2373" s="29">
        <v>3196.165</v>
      </c>
      <c r="C2373" s="30" t="s">
        <v>3444</v>
      </c>
      <c r="D2373" s="2">
        <v>4951086317</v>
      </c>
      <c r="E2373" s="2" t="s">
        <v>27</v>
      </c>
      <c r="F2373" s="2" t="s">
        <v>3445</v>
      </c>
      <c r="G2373" s="28" t="s">
        <v>5</v>
      </c>
      <c r="H2373" s="2" t="s">
        <v>17</v>
      </c>
      <c r="I2373" s="2">
        <v>1</v>
      </c>
      <c r="J2373" s="2" t="s">
        <v>3446</v>
      </c>
      <c r="K2373" s="2">
        <f>4685.56+58113.31</f>
        <v>62798.869999999995</v>
      </c>
      <c r="L2373" s="35">
        <f t="shared" si="123"/>
        <v>200715550.33354998</v>
      </c>
      <c r="M2373" s="36">
        <f>817.566+16149.522</f>
        <v>16967.088</v>
      </c>
      <c r="N2373" s="40">
        <v>324606</v>
      </c>
      <c r="O2373" s="40">
        <v>425734</v>
      </c>
      <c r="P2373" s="40">
        <v>818080</v>
      </c>
      <c r="Q2373" s="40">
        <v>110000</v>
      </c>
      <c r="R2373" s="40">
        <v>1316047</v>
      </c>
      <c r="S2373" s="40">
        <v>354356</v>
      </c>
      <c r="T2373" s="40"/>
      <c r="U2373" s="40">
        <v>5640550</v>
      </c>
      <c r="V2373" s="40">
        <v>0</v>
      </c>
      <c r="W2373" s="45">
        <f t="shared" si="124"/>
        <v>8989373</v>
      </c>
      <c r="X2373" s="46">
        <f t="shared" si="125"/>
        <v>4.4786629561393827</v>
      </c>
    </row>
    <row r="2374" spans="1:24" s="4" customFormat="1" ht="15" customHeight="1">
      <c r="A2374" s="28" t="s">
        <v>3019</v>
      </c>
      <c r="B2374" s="29">
        <v>3196.165</v>
      </c>
      <c r="C2374" s="30" t="s">
        <v>3447</v>
      </c>
      <c r="D2374" s="2">
        <v>4951772229</v>
      </c>
      <c r="E2374" s="2" t="s">
        <v>27</v>
      </c>
      <c r="F2374" s="2" t="s">
        <v>3448</v>
      </c>
      <c r="G2374" s="28" t="s">
        <v>5</v>
      </c>
      <c r="H2374" s="2" t="s">
        <v>17</v>
      </c>
      <c r="I2374" s="2">
        <v>1</v>
      </c>
      <c r="J2374" s="2" t="s">
        <v>3449</v>
      </c>
      <c r="K2374" s="2">
        <f>64250.23+29808.15</f>
        <v>94058.38</v>
      </c>
      <c r="L2374" s="35">
        <f t="shared" si="123"/>
        <v>300626102.11269999</v>
      </c>
      <c r="M2374" s="36">
        <f>15351.529+1778.13</f>
        <v>17129.659</v>
      </c>
      <c r="N2374" s="40">
        <v>379149</v>
      </c>
      <c r="O2374" s="40">
        <v>425734</v>
      </c>
      <c r="P2374" s="40">
        <v>189389</v>
      </c>
      <c r="Q2374" s="40">
        <v>110000</v>
      </c>
      <c r="R2374" s="40">
        <v>917620</v>
      </c>
      <c r="S2374" s="40">
        <v>354356</v>
      </c>
      <c r="T2374" s="40"/>
      <c r="U2374" s="40">
        <v>5640550</v>
      </c>
      <c r="V2374" s="40">
        <v>0</v>
      </c>
      <c r="W2374" s="45">
        <f t="shared" si="124"/>
        <v>8016798</v>
      </c>
      <c r="X2374" s="46">
        <f t="shared" si="125"/>
        <v>2.666700577115765</v>
      </c>
    </row>
    <row r="2375" spans="1:24" s="4" customFormat="1" ht="15" customHeight="1">
      <c r="A2375" s="28" t="s">
        <v>3019</v>
      </c>
      <c r="B2375" s="29">
        <v>3196.165</v>
      </c>
      <c r="C2375" s="30" t="s">
        <v>3450</v>
      </c>
      <c r="D2375" s="2">
        <v>4950722779</v>
      </c>
      <c r="E2375" s="2" t="s">
        <v>14</v>
      </c>
      <c r="F2375" s="2" t="s">
        <v>3451</v>
      </c>
      <c r="G2375" s="28" t="s">
        <v>5</v>
      </c>
      <c r="H2375" s="2" t="s">
        <v>20</v>
      </c>
      <c r="I2375" s="2">
        <v>2</v>
      </c>
      <c r="J2375" s="2" t="s">
        <v>3452</v>
      </c>
      <c r="K2375" s="2">
        <f>1927+28905</f>
        <v>30832</v>
      </c>
      <c r="L2375" s="35">
        <f t="shared" si="123"/>
        <v>98544159.280000001</v>
      </c>
      <c r="M2375" s="36">
        <f>1025+15375</f>
        <v>16400</v>
      </c>
      <c r="N2375" s="40">
        <v>355695.96009975101</v>
      </c>
      <c r="O2375" s="40">
        <v>353925.905236908</v>
      </c>
      <c r="P2375" s="40">
        <v>0</v>
      </c>
      <c r="Q2375" s="40">
        <v>353925.905236908</v>
      </c>
      <c r="R2375" s="40">
        <v>795031.27514547005</v>
      </c>
      <c r="S2375" s="40">
        <v>193231.53449709099</v>
      </c>
      <c r="T2375" s="40">
        <v>30000</v>
      </c>
      <c r="U2375" s="40">
        <v>4284448.87780549</v>
      </c>
      <c r="V2375" s="40">
        <v>0</v>
      </c>
      <c r="W2375" s="45">
        <f t="shared" si="124"/>
        <v>6366259.4580216184</v>
      </c>
      <c r="X2375" s="46">
        <f t="shared" si="125"/>
        <v>6.4603113005741379</v>
      </c>
    </row>
    <row r="2376" spans="1:24" s="4" customFormat="1" ht="15" customHeight="1">
      <c r="A2376" s="28" t="s">
        <v>3019</v>
      </c>
      <c r="B2376" s="29">
        <v>3196.165</v>
      </c>
      <c r="C2376" s="30" t="s">
        <v>3450</v>
      </c>
      <c r="D2376" s="2">
        <v>4950722775</v>
      </c>
      <c r="E2376" s="2" t="s">
        <v>14</v>
      </c>
      <c r="F2376" s="2" t="s">
        <v>3451</v>
      </c>
      <c r="G2376" s="28" t="s">
        <v>5</v>
      </c>
      <c r="H2376" s="2" t="s">
        <v>20</v>
      </c>
      <c r="I2376" s="2">
        <v>2</v>
      </c>
      <c r="J2376" s="2" t="s">
        <v>3452</v>
      </c>
      <c r="K2376" s="2">
        <v>18499.2</v>
      </c>
      <c r="L2376" s="35">
        <f t="shared" si="123"/>
        <v>59126495.568000004</v>
      </c>
      <c r="M2376" s="36">
        <f>9840+1435</f>
        <v>11275</v>
      </c>
      <c r="N2376" s="40">
        <v>244540.97256857899</v>
      </c>
      <c r="O2376" s="48">
        <v>243324.059850374</v>
      </c>
      <c r="P2376" s="40">
        <v>0</v>
      </c>
      <c r="Q2376" s="48">
        <v>243324.059850374</v>
      </c>
      <c r="R2376" s="40">
        <v>546582.00166250998</v>
      </c>
      <c r="S2376" s="40">
        <v>132846.67996675</v>
      </c>
      <c r="T2376" s="40">
        <v>30000</v>
      </c>
      <c r="U2376" s="40">
        <v>2945558.60349127</v>
      </c>
      <c r="V2376" s="40">
        <v>0</v>
      </c>
      <c r="W2376" s="45">
        <f t="shared" si="124"/>
        <v>4386176.3773898575</v>
      </c>
      <c r="X2376" s="46">
        <f t="shared" si="125"/>
        <v>7.4182924850423753</v>
      </c>
    </row>
    <row r="2377" spans="1:24" s="4" customFormat="1" ht="15" customHeight="1">
      <c r="A2377" s="28" t="s">
        <v>3019</v>
      </c>
      <c r="B2377" s="29">
        <v>3196.165</v>
      </c>
      <c r="C2377" s="30" t="s">
        <v>3450</v>
      </c>
      <c r="D2377" s="2">
        <v>4951438972</v>
      </c>
      <c r="E2377" s="2" t="s">
        <v>14</v>
      </c>
      <c r="F2377" s="2" t="s">
        <v>3451</v>
      </c>
      <c r="G2377" s="28" t="s">
        <v>5</v>
      </c>
      <c r="H2377" s="2" t="s">
        <v>20</v>
      </c>
      <c r="I2377" s="2">
        <v>2</v>
      </c>
      <c r="J2377" s="2" t="s">
        <v>3452</v>
      </c>
      <c r="K2377" s="2">
        <v>5280</v>
      </c>
      <c r="L2377" s="35">
        <f t="shared" si="123"/>
        <v>16875751.199999999</v>
      </c>
      <c r="M2377" s="36">
        <v>2400</v>
      </c>
      <c r="N2377" s="40">
        <v>52053.067331670798</v>
      </c>
      <c r="O2377" s="48">
        <v>51794.034912718198</v>
      </c>
      <c r="P2377" s="40">
        <v>0</v>
      </c>
      <c r="Q2377" s="48">
        <v>51794.034912718198</v>
      </c>
      <c r="R2377" s="40">
        <v>116345.72319202</v>
      </c>
      <c r="S2377" s="40">
        <v>28277.785536159601</v>
      </c>
      <c r="T2377" s="40">
        <v>30000</v>
      </c>
      <c r="U2377" s="40">
        <v>626992.51870324195</v>
      </c>
      <c r="V2377" s="40">
        <v>0</v>
      </c>
      <c r="W2377" s="45">
        <f t="shared" si="124"/>
        <v>957257.16458852869</v>
      </c>
      <c r="X2377" s="46">
        <f t="shared" si="125"/>
        <v>5.6723825401534045</v>
      </c>
    </row>
    <row r="2378" spans="1:24" s="4" customFormat="1" ht="15" customHeight="1">
      <c r="A2378" s="28" t="s">
        <v>3019</v>
      </c>
      <c r="B2378" s="29">
        <v>3196.165</v>
      </c>
      <c r="C2378" s="30" t="s">
        <v>3453</v>
      </c>
      <c r="D2378" s="2">
        <v>4951267381</v>
      </c>
      <c r="E2378" s="2" t="s">
        <v>36</v>
      </c>
      <c r="F2378" s="2" t="s">
        <v>3454</v>
      </c>
      <c r="G2378" s="28" t="s">
        <v>5</v>
      </c>
      <c r="H2378" s="2" t="s">
        <v>26</v>
      </c>
      <c r="I2378" s="2">
        <v>4</v>
      </c>
      <c r="J2378" s="2" t="s">
        <v>3455</v>
      </c>
      <c r="K2378" s="2">
        <v>84299</v>
      </c>
      <c r="L2378" s="35">
        <f t="shared" si="123"/>
        <v>269433513.33499998</v>
      </c>
      <c r="M2378" s="36">
        <v>86020</v>
      </c>
      <c r="N2378" s="40">
        <v>1327250</v>
      </c>
      <c r="O2378" s="40">
        <v>1977656</v>
      </c>
      <c r="P2378" s="40">
        <v>9893065</v>
      </c>
      <c r="Q2378" s="40">
        <v>496548</v>
      </c>
      <c r="R2378" s="40">
        <v>3331348</v>
      </c>
      <c r="S2378" s="40">
        <v>354356</v>
      </c>
      <c r="T2378" s="40"/>
      <c r="U2378" s="40">
        <v>0</v>
      </c>
      <c r="V2378" s="40">
        <v>0</v>
      </c>
      <c r="W2378" s="45">
        <f t="shared" si="124"/>
        <v>17380223</v>
      </c>
      <c r="X2378" s="46">
        <f t="shared" si="125"/>
        <v>6.4506537382342302</v>
      </c>
    </row>
    <row r="2379" spans="1:24" s="4" customFormat="1" ht="15" customHeight="1">
      <c r="A2379" s="28" t="s">
        <v>3019</v>
      </c>
      <c r="B2379" s="29">
        <v>3196.165</v>
      </c>
      <c r="C2379" s="30" t="s">
        <v>3456</v>
      </c>
      <c r="D2379" s="2">
        <v>4951267898</v>
      </c>
      <c r="E2379" s="2" t="s">
        <v>36</v>
      </c>
      <c r="F2379" s="2" t="s">
        <v>3457</v>
      </c>
      <c r="G2379" s="28" t="s">
        <v>5</v>
      </c>
      <c r="H2379" s="2" t="s">
        <v>26</v>
      </c>
      <c r="I2379" s="2">
        <v>4</v>
      </c>
      <c r="J2379" s="2" t="s">
        <v>3458</v>
      </c>
      <c r="K2379" s="2">
        <v>83966.399999999994</v>
      </c>
      <c r="L2379" s="35">
        <f t="shared" si="123"/>
        <v>268370468.85599998</v>
      </c>
      <c r="M2379" s="36">
        <v>85680</v>
      </c>
      <c r="N2379" s="40">
        <v>1293888</v>
      </c>
      <c r="O2379" s="40">
        <v>1977656</v>
      </c>
      <c r="P2379" s="40">
        <v>10227011</v>
      </c>
      <c r="Q2379" s="40">
        <v>496548</v>
      </c>
      <c r="R2379" s="40">
        <v>3323608</v>
      </c>
      <c r="S2379" s="40">
        <v>354356</v>
      </c>
      <c r="T2379" s="40"/>
      <c r="U2379" s="40">
        <v>0</v>
      </c>
      <c r="V2379" s="40">
        <v>0</v>
      </c>
      <c r="W2379" s="45">
        <f t="shared" si="124"/>
        <v>17673067</v>
      </c>
      <c r="X2379" s="46">
        <f t="shared" si="125"/>
        <v>6.5853247845547678</v>
      </c>
    </row>
    <row r="2380" spans="1:24" s="4" customFormat="1" ht="15" customHeight="1">
      <c r="A2380" s="28" t="s">
        <v>3019</v>
      </c>
      <c r="B2380" s="29">
        <v>3196.165</v>
      </c>
      <c r="C2380" s="30" t="s">
        <v>3459</v>
      </c>
      <c r="D2380" s="2">
        <v>4951574750</v>
      </c>
      <c r="E2380" s="2" t="s">
        <v>24</v>
      </c>
      <c r="F2380" s="2" t="s">
        <v>3460</v>
      </c>
      <c r="G2380" s="28" t="s">
        <v>5</v>
      </c>
      <c r="H2380" s="2" t="s">
        <v>20</v>
      </c>
      <c r="I2380" s="2">
        <v>1</v>
      </c>
      <c r="J2380" s="2" t="s">
        <v>3461</v>
      </c>
      <c r="K2380" s="2">
        <v>18300</v>
      </c>
      <c r="L2380" s="35">
        <f t="shared" si="123"/>
        <v>58489819.5</v>
      </c>
      <c r="M2380" s="36">
        <v>10000</v>
      </c>
      <c r="N2380" s="40">
        <v>421288</v>
      </c>
      <c r="O2380" s="40">
        <v>211829</v>
      </c>
      <c r="P2380" s="40">
        <v>0</v>
      </c>
      <c r="Q2380" s="40">
        <v>0</v>
      </c>
      <c r="R2380" s="40">
        <v>417361</v>
      </c>
      <c r="S2380" s="40">
        <v>354356</v>
      </c>
      <c r="T2380" s="40"/>
      <c r="U2380" s="40">
        <v>2347400</v>
      </c>
      <c r="V2380" s="40">
        <v>0</v>
      </c>
      <c r="W2380" s="45">
        <f t="shared" si="124"/>
        <v>3752234</v>
      </c>
      <c r="X2380" s="46">
        <f t="shared" si="125"/>
        <v>6.4151916215094484</v>
      </c>
    </row>
    <row r="2381" spans="1:24" s="4" customFormat="1" ht="15" customHeight="1">
      <c r="A2381" s="28" t="s">
        <v>3019</v>
      </c>
      <c r="B2381" s="29">
        <v>3196.165</v>
      </c>
      <c r="C2381" s="30" t="s">
        <v>3462</v>
      </c>
      <c r="D2381" s="2">
        <v>4951352473</v>
      </c>
      <c r="E2381" s="2" t="s">
        <v>33</v>
      </c>
      <c r="F2381" s="2" t="s">
        <v>3463</v>
      </c>
      <c r="G2381" s="28" t="s">
        <v>5</v>
      </c>
      <c r="H2381" s="2" t="s">
        <v>20</v>
      </c>
      <c r="I2381" s="2">
        <v>1</v>
      </c>
      <c r="J2381" s="2" t="s">
        <v>3464</v>
      </c>
      <c r="K2381" s="2">
        <f>12810+415.67</f>
        <v>13225.67</v>
      </c>
      <c r="L2381" s="35">
        <f t="shared" si="123"/>
        <v>42271423.555550002</v>
      </c>
      <c r="M2381" s="36">
        <v>420</v>
      </c>
      <c r="N2381" s="40">
        <v>377305</v>
      </c>
      <c r="O2381" s="40">
        <v>300774</v>
      </c>
      <c r="P2381" s="40">
        <v>546591</v>
      </c>
      <c r="Q2381" s="40">
        <v>111990</v>
      </c>
      <c r="R2381" s="40">
        <v>695381</v>
      </c>
      <c r="S2381" s="40">
        <v>354356</v>
      </c>
      <c r="T2381" s="40"/>
      <c r="U2381" s="40">
        <v>2958500</v>
      </c>
      <c r="V2381" s="40">
        <v>0</v>
      </c>
      <c r="W2381" s="45">
        <f t="shared" si="124"/>
        <v>5344897</v>
      </c>
      <c r="X2381" s="46">
        <f t="shared" si="125"/>
        <v>12.644232321573293</v>
      </c>
    </row>
    <row r="2382" spans="1:24" s="4" customFormat="1" ht="15" customHeight="1">
      <c r="A2382" s="28" t="s">
        <v>3019</v>
      </c>
      <c r="B2382" s="29">
        <v>3196.165</v>
      </c>
      <c r="C2382" s="30" t="s">
        <v>3465</v>
      </c>
      <c r="D2382" s="2">
        <v>4950223954</v>
      </c>
      <c r="E2382" s="2" t="s">
        <v>24</v>
      </c>
      <c r="F2382" s="2" t="s">
        <v>3466</v>
      </c>
      <c r="G2382" s="28" t="s">
        <v>9</v>
      </c>
      <c r="H2382" s="2" t="s">
        <v>23</v>
      </c>
      <c r="I2382" s="2">
        <v>2</v>
      </c>
      <c r="J2382" s="2"/>
      <c r="K2382" s="2">
        <v>3849.36</v>
      </c>
      <c r="L2382" s="35">
        <f t="shared" si="123"/>
        <v>12303189.704400001</v>
      </c>
      <c r="M2382" s="36">
        <v>1741.7919999999999</v>
      </c>
      <c r="N2382" s="40">
        <v>707479</v>
      </c>
      <c r="O2382" s="40">
        <v>0</v>
      </c>
      <c r="P2382" s="40">
        <v>66143</v>
      </c>
      <c r="Q2382" s="40">
        <v>91564</v>
      </c>
      <c r="R2382" s="40">
        <v>113909</v>
      </c>
      <c r="S2382" s="40">
        <v>354356</v>
      </c>
      <c r="T2382" s="40"/>
      <c r="U2382" s="40">
        <v>557750</v>
      </c>
      <c r="V2382" s="40">
        <v>0</v>
      </c>
      <c r="W2382" s="45">
        <f t="shared" si="124"/>
        <v>1891201</v>
      </c>
      <c r="X2382" s="46">
        <f t="shared" si="125"/>
        <v>15.371631629183513</v>
      </c>
    </row>
    <row r="2383" spans="1:24" s="4" customFormat="1" ht="15" customHeight="1">
      <c r="A2383" s="28" t="s">
        <v>3019</v>
      </c>
      <c r="B2383" s="29">
        <v>3196.165</v>
      </c>
      <c r="C2383" s="30" t="s">
        <v>3467</v>
      </c>
      <c r="D2383" s="2">
        <v>4951104383</v>
      </c>
      <c r="E2383" s="2" t="s">
        <v>33</v>
      </c>
      <c r="F2383" s="2" t="s">
        <v>3468</v>
      </c>
      <c r="G2383" s="28" t="s">
        <v>5</v>
      </c>
      <c r="H2383" s="2" t="s">
        <v>20</v>
      </c>
      <c r="I2383" s="2">
        <v>1</v>
      </c>
      <c r="J2383" s="2" t="s">
        <v>3469</v>
      </c>
      <c r="K2383" s="2">
        <v>21780</v>
      </c>
      <c r="L2383" s="35">
        <f t="shared" si="123"/>
        <v>69612473.700000003</v>
      </c>
      <c r="M2383" s="36">
        <v>19800</v>
      </c>
      <c r="N2383" s="40">
        <v>1529980</v>
      </c>
      <c r="O2383" s="40">
        <v>302415</v>
      </c>
      <c r="P2383" s="40">
        <v>631693</v>
      </c>
      <c r="Q2383" s="40">
        <v>119036</v>
      </c>
      <c r="R2383" s="40">
        <v>505844</v>
      </c>
      <c r="S2383" s="40">
        <v>354356</v>
      </c>
      <c r="T2383" s="40"/>
      <c r="U2383" s="40">
        <v>4297100</v>
      </c>
      <c r="V2383" s="40">
        <v>0</v>
      </c>
      <c r="W2383" s="45">
        <f t="shared" si="124"/>
        <v>7740424</v>
      </c>
      <c r="X2383" s="46">
        <f t="shared" si="125"/>
        <v>11.119306050461471</v>
      </c>
    </row>
    <row r="2384" spans="1:24" s="4" customFormat="1" ht="15" customHeight="1">
      <c r="A2384" s="28" t="s">
        <v>3019</v>
      </c>
      <c r="B2384" s="29">
        <v>3196.165</v>
      </c>
      <c r="C2384" s="30" t="s">
        <v>3470</v>
      </c>
      <c r="D2384" s="2">
        <v>4950250828</v>
      </c>
      <c r="E2384" s="2" t="s">
        <v>24</v>
      </c>
      <c r="F2384" s="2" t="s">
        <v>3471</v>
      </c>
      <c r="G2384" s="28" t="s">
        <v>9</v>
      </c>
      <c r="H2384" s="2" t="s">
        <v>23</v>
      </c>
      <c r="I2384" s="2">
        <v>1</v>
      </c>
      <c r="J2384" s="2"/>
      <c r="K2384" s="2">
        <v>2547.6</v>
      </c>
      <c r="L2384" s="35">
        <f t="shared" si="123"/>
        <v>8142549.9539999999</v>
      </c>
      <c r="M2384" s="36">
        <v>120</v>
      </c>
      <c r="N2384" s="40">
        <v>701161</v>
      </c>
      <c r="O2384" s="40">
        <v>0</v>
      </c>
      <c r="P2384" s="40">
        <v>2557</v>
      </c>
      <c r="Q2384" s="40">
        <v>48194</v>
      </c>
      <c r="R2384" s="40">
        <v>56454</v>
      </c>
      <c r="S2384" s="40">
        <v>354356</v>
      </c>
      <c r="T2384" s="40"/>
      <c r="U2384" s="40">
        <v>557750</v>
      </c>
      <c r="V2384" s="40">
        <v>0</v>
      </c>
      <c r="W2384" s="45">
        <f t="shared" si="124"/>
        <v>1720472</v>
      </c>
      <c r="X2384" s="46">
        <f t="shared" si="125"/>
        <v>21.129400614298032</v>
      </c>
    </row>
    <row r="2385" spans="1:24" s="4" customFormat="1" ht="15" customHeight="1">
      <c r="A2385" s="28" t="s">
        <v>3019</v>
      </c>
      <c r="B2385" s="29">
        <v>3196.165</v>
      </c>
      <c r="C2385" s="30" t="s">
        <v>3472</v>
      </c>
      <c r="D2385" s="2">
        <v>4951458585</v>
      </c>
      <c r="E2385" s="2" t="s">
        <v>21</v>
      </c>
      <c r="F2385" s="2" t="s">
        <v>3473</v>
      </c>
      <c r="G2385" s="28" t="s">
        <v>9</v>
      </c>
      <c r="H2385" s="2" t="s">
        <v>23</v>
      </c>
      <c r="I2385" s="2">
        <v>3</v>
      </c>
      <c r="J2385" s="2"/>
      <c r="K2385" s="2">
        <v>12266.4</v>
      </c>
      <c r="L2385" s="35">
        <f t="shared" si="123"/>
        <v>39205438.355999999</v>
      </c>
      <c r="M2385" s="36">
        <v>2280</v>
      </c>
      <c r="N2385" s="40">
        <v>446864</v>
      </c>
      <c r="O2385" s="40">
        <v>1627</v>
      </c>
      <c r="P2385" s="40">
        <v>0</v>
      </c>
      <c r="Q2385" s="40">
        <v>40670</v>
      </c>
      <c r="R2385" s="40">
        <v>124565</v>
      </c>
      <c r="S2385" s="40">
        <v>354356</v>
      </c>
      <c r="T2385" s="40"/>
      <c r="U2385" s="40">
        <v>252200</v>
      </c>
      <c r="V2385" s="40">
        <v>0</v>
      </c>
      <c r="W2385" s="45">
        <f t="shared" si="124"/>
        <v>1220282</v>
      </c>
      <c r="X2385" s="46">
        <f t="shared" ref="X2385:X2390" si="126">(W2385/L2385)*100</f>
        <v>3.1125324729681236</v>
      </c>
    </row>
    <row r="2386" spans="1:24" s="4" customFormat="1" ht="15" customHeight="1">
      <c r="A2386" s="28" t="s">
        <v>3019</v>
      </c>
      <c r="B2386" s="29">
        <v>3196.165</v>
      </c>
      <c r="C2386" s="30" t="s">
        <v>3474</v>
      </c>
      <c r="D2386" s="2">
        <v>4948269704</v>
      </c>
      <c r="E2386" s="2" t="s">
        <v>10</v>
      </c>
      <c r="F2386" s="2" t="s">
        <v>3475</v>
      </c>
      <c r="G2386" s="28" t="s">
        <v>5</v>
      </c>
      <c r="H2386" s="2" t="s">
        <v>20</v>
      </c>
      <c r="I2386" s="2">
        <v>1</v>
      </c>
      <c r="J2386" s="2" t="s">
        <v>3476</v>
      </c>
      <c r="K2386" s="2">
        <v>12005</v>
      </c>
      <c r="L2386" s="35">
        <f t="shared" si="123"/>
        <v>38369960.825000003</v>
      </c>
      <c r="M2386" s="36">
        <v>12250</v>
      </c>
      <c r="N2386" s="40">
        <v>326145</v>
      </c>
      <c r="O2386" s="40">
        <v>404046</v>
      </c>
      <c r="P2386" s="40">
        <v>106540</v>
      </c>
      <c r="Q2386" s="40">
        <v>124137</v>
      </c>
      <c r="R2386" s="40">
        <v>556323</v>
      </c>
      <c r="S2386" s="40">
        <v>708712</v>
      </c>
      <c r="T2386" s="40"/>
      <c r="U2386" s="40">
        <v>1552000</v>
      </c>
      <c r="V2386" s="40">
        <v>0</v>
      </c>
      <c r="W2386" s="45">
        <f t="shared" si="124"/>
        <v>3777903</v>
      </c>
      <c r="X2386" s="46">
        <f t="shared" si="126"/>
        <v>9.8459912878996256</v>
      </c>
    </row>
    <row r="2387" spans="1:24" s="4" customFormat="1" ht="15" customHeight="1">
      <c r="A2387" s="28" t="s">
        <v>3019</v>
      </c>
      <c r="B2387" s="29">
        <v>3196.165</v>
      </c>
      <c r="C2387" s="30" t="s">
        <v>3477</v>
      </c>
      <c r="D2387" s="2">
        <v>4948537318</v>
      </c>
      <c r="E2387" s="2" t="s">
        <v>10</v>
      </c>
      <c r="F2387" s="2" t="s">
        <v>3478</v>
      </c>
      <c r="G2387" s="28" t="s">
        <v>5</v>
      </c>
      <c r="H2387" s="2" t="s">
        <v>17</v>
      </c>
      <c r="I2387" s="2">
        <v>1</v>
      </c>
      <c r="J2387" s="2" t="s">
        <v>3479</v>
      </c>
      <c r="K2387" s="2">
        <v>61272</v>
      </c>
      <c r="L2387" s="35">
        <f t="shared" si="123"/>
        <v>195835421.88</v>
      </c>
      <c r="M2387" s="36">
        <v>16560</v>
      </c>
      <c r="N2387" s="40">
        <v>326145</v>
      </c>
      <c r="O2387" s="40">
        <v>425734</v>
      </c>
      <c r="P2387" s="40">
        <v>0</v>
      </c>
      <c r="Q2387" s="40">
        <v>110000</v>
      </c>
      <c r="R2387" s="40">
        <v>935840</v>
      </c>
      <c r="S2387" s="40">
        <v>708712</v>
      </c>
      <c r="T2387" s="40"/>
      <c r="U2387" s="40">
        <v>1600500</v>
      </c>
      <c r="V2387" s="40">
        <v>0</v>
      </c>
      <c r="W2387" s="45">
        <f t="shared" si="124"/>
        <v>4106931</v>
      </c>
      <c r="X2387" s="46">
        <f t="shared" si="126"/>
        <v>2.0971338895557725</v>
      </c>
    </row>
    <row r="2388" spans="1:24" s="4" customFormat="1" ht="15" customHeight="1">
      <c r="A2388" s="28" t="s">
        <v>3019</v>
      </c>
      <c r="B2388" s="29">
        <v>3196.165</v>
      </c>
      <c r="C2388" s="30" t="s">
        <v>3480</v>
      </c>
      <c r="D2388" s="2">
        <v>4948417580</v>
      </c>
      <c r="E2388" s="2" t="s">
        <v>10</v>
      </c>
      <c r="F2388" s="2" t="s">
        <v>3481</v>
      </c>
      <c r="G2388" s="28" t="s">
        <v>5</v>
      </c>
      <c r="H2388" s="2" t="s">
        <v>17</v>
      </c>
      <c r="I2388" s="2">
        <v>1</v>
      </c>
      <c r="J2388" s="2" t="s">
        <v>3482</v>
      </c>
      <c r="K2388" s="2">
        <v>61272</v>
      </c>
      <c r="L2388" s="35">
        <f t="shared" si="123"/>
        <v>195835421.88</v>
      </c>
      <c r="M2388" s="36">
        <v>16560</v>
      </c>
      <c r="N2388" s="40">
        <v>326145</v>
      </c>
      <c r="O2388" s="40">
        <v>425734</v>
      </c>
      <c r="P2388" s="40">
        <v>0</v>
      </c>
      <c r="Q2388" s="40">
        <v>110000</v>
      </c>
      <c r="R2388" s="40">
        <v>935840</v>
      </c>
      <c r="S2388" s="40">
        <v>708712</v>
      </c>
      <c r="T2388" s="40"/>
      <c r="U2388" s="40">
        <v>1600500</v>
      </c>
      <c r="V2388" s="40">
        <v>0</v>
      </c>
      <c r="W2388" s="45">
        <f t="shared" si="124"/>
        <v>4106931</v>
      </c>
      <c r="X2388" s="46">
        <f t="shared" si="126"/>
        <v>2.0971338895557725</v>
      </c>
    </row>
    <row r="2389" spans="1:24" ht="15" customHeight="1">
      <c r="G2389"/>
      <c r="I2389"/>
      <c r="N2389"/>
      <c r="O2389" s="24"/>
      <c r="P2389"/>
      <c r="Q2389" s="24"/>
      <c r="R2389"/>
      <c r="S2389"/>
      <c r="T2389"/>
      <c r="U2389"/>
      <c r="X2389" s="60"/>
    </row>
    <row r="2390" spans="1:24" ht="15" customHeight="1">
      <c r="A2390" s="31" t="s">
        <v>3019</v>
      </c>
      <c r="B2390" s="31"/>
      <c r="C2390" s="31"/>
      <c r="D2390" s="31"/>
      <c r="E2390" s="31"/>
      <c r="F2390" s="32">
        <v>183</v>
      </c>
      <c r="G2390" s="31"/>
      <c r="H2390" s="31"/>
      <c r="I2390" s="38"/>
      <c r="J2390" s="31"/>
      <c r="K2390" s="39">
        <f>+SUM(K2037:K2388)</f>
        <v>8825482.7099999972</v>
      </c>
      <c r="L2390" s="39">
        <f>+SUM(L2037:L2388)</f>
        <v>28207698945.807121</v>
      </c>
      <c r="M2390" s="31"/>
      <c r="N2390" s="39"/>
      <c r="O2390" s="39"/>
      <c r="P2390" s="39"/>
      <c r="Q2390" s="39"/>
      <c r="R2390" s="39"/>
      <c r="S2390" s="39"/>
      <c r="T2390" s="39"/>
      <c r="U2390" s="39"/>
      <c r="V2390" s="31"/>
      <c r="W2390" s="39">
        <f>+SUM(W2037:W2388)</f>
        <v>1049497033.6897101</v>
      </c>
      <c r="X2390" s="47">
        <f t="shared" si="126"/>
        <v>3.7206049160763275</v>
      </c>
    </row>
    <row r="2391" spans="1:24" ht="15" customHeight="1">
      <c r="G2391"/>
      <c r="I2391"/>
      <c r="N2391"/>
      <c r="O2391" s="24"/>
      <c r="P2391"/>
      <c r="Q2391" s="24"/>
      <c r="R2391"/>
      <c r="S2391"/>
      <c r="T2391"/>
      <c r="U2391"/>
      <c r="X2391" s="60"/>
    </row>
    <row r="2392" spans="1:24" s="4" customFormat="1" ht="15" customHeight="1">
      <c r="A2392" s="28" t="s">
        <v>3483</v>
      </c>
      <c r="B2392" s="29">
        <v>3387.15</v>
      </c>
      <c r="C2392" s="30" t="s">
        <v>3484</v>
      </c>
      <c r="D2392" s="2">
        <v>4952399706</v>
      </c>
      <c r="E2392" s="2" t="s">
        <v>14</v>
      </c>
      <c r="F2392" s="2">
        <v>1027987184</v>
      </c>
      <c r="G2392" s="28" t="s">
        <v>13</v>
      </c>
      <c r="H2392" s="2" t="s">
        <v>23</v>
      </c>
      <c r="I2392" s="2">
        <v>1</v>
      </c>
      <c r="J2392" s="2"/>
      <c r="K2392" s="2">
        <v>904.9</v>
      </c>
      <c r="L2392" s="35">
        <f>B2392*K2392</f>
        <v>3065032.0350000001</v>
      </c>
      <c r="M2392" s="36">
        <v>10</v>
      </c>
      <c r="N2392" s="40">
        <v>214871.066666667</v>
      </c>
      <c r="O2392" s="40">
        <v>0</v>
      </c>
      <c r="P2392" s="40">
        <v>153333.33333333299</v>
      </c>
      <c r="Q2392" s="40">
        <v>0</v>
      </c>
      <c r="R2392" s="40">
        <v>1472.6666666666699</v>
      </c>
      <c r="S2392" s="40">
        <v>236237.33333333299</v>
      </c>
      <c r="T2392" s="40">
        <v>30000</v>
      </c>
      <c r="U2392" s="40">
        <v>54751.111111111102</v>
      </c>
      <c r="V2392" s="40">
        <v>0</v>
      </c>
      <c r="W2392" s="45">
        <f>+SUM(N2392:V2392)</f>
        <v>690665.5111111108</v>
      </c>
      <c r="X2392" s="46">
        <f>(W2392/L2392)*100</f>
        <v>22.533712640661218</v>
      </c>
    </row>
    <row r="2393" spans="1:24" s="4" customFormat="1" ht="15" customHeight="1">
      <c r="A2393" s="28" t="s">
        <v>3483</v>
      </c>
      <c r="B2393" s="29">
        <v>3387.15</v>
      </c>
      <c r="C2393" s="30" t="s">
        <v>3484</v>
      </c>
      <c r="D2393" s="2">
        <v>4952026931</v>
      </c>
      <c r="E2393" s="2" t="s">
        <v>14</v>
      </c>
      <c r="F2393" s="2">
        <v>1027987184</v>
      </c>
      <c r="G2393" s="28" t="s">
        <v>13</v>
      </c>
      <c r="H2393" s="2" t="s">
        <v>23</v>
      </c>
      <c r="I2393" s="2">
        <v>1</v>
      </c>
      <c r="J2393" s="2"/>
      <c r="K2393" s="2">
        <v>902.75</v>
      </c>
      <c r="L2393" s="35">
        <f t="shared" ref="L2393:L2456" si="127">B2393*K2393</f>
        <v>3057749.6625000001</v>
      </c>
      <c r="M2393" s="36">
        <v>5</v>
      </c>
      <c r="N2393" s="40">
        <v>107435.53333333301</v>
      </c>
      <c r="O2393" s="40">
        <v>0</v>
      </c>
      <c r="P2393" s="40">
        <v>76666.666666666701</v>
      </c>
      <c r="Q2393" s="40">
        <v>0</v>
      </c>
      <c r="R2393" s="40">
        <v>736.33333333333303</v>
      </c>
      <c r="S2393" s="40">
        <v>118118.66666666701</v>
      </c>
      <c r="T2393" s="40">
        <v>30000</v>
      </c>
      <c r="U2393" s="40">
        <v>27375.555555555598</v>
      </c>
      <c r="V2393" s="40">
        <v>0</v>
      </c>
      <c r="W2393" s="45">
        <f t="shared" ref="W2393:W2456" si="128">+SUM(N2393:V2393)</f>
        <v>360332.75555555569</v>
      </c>
      <c r="X2393" s="46">
        <f t="shared" ref="X2393:X2456" si="129">(W2393/L2393)*100</f>
        <v>11.784246433730273</v>
      </c>
    </row>
    <row r="2394" spans="1:24" s="4" customFormat="1" ht="15" customHeight="1">
      <c r="A2394" s="28" t="s">
        <v>3483</v>
      </c>
      <c r="B2394" s="29">
        <v>3387.15</v>
      </c>
      <c r="C2394" s="30" t="s">
        <v>3485</v>
      </c>
      <c r="D2394" s="2">
        <v>4952431688</v>
      </c>
      <c r="E2394" s="2" t="s">
        <v>33</v>
      </c>
      <c r="F2394" s="2" t="s">
        <v>3486</v>
      </c>
      <c r="G2394" s="28" t="s">
        <v>13</v>
      </c>
      <c r="H2394" s="2" t="s">
        <v>23</v>
      </c>
      <c r="I2394" s="2">
        <v>1</v>
      </c>
      <c r="J2394" s="2"/>
      <c r="K2394" s="2">
        <v>175</v>
      </c>
      <c r="L2394" s="35">
        <f t="shared" si="127"/>
        <v>592751.25</v>
      </c>
      <c r="M2394" s="36">
        <v>50</v>
      </c>
      <c r="N2394" s="40">
        <v>263530.681818182</v>
      </c>
      <c r="O2394" s="40">
        <v>0</v>
      </c>
      <c r="P2394" s="40">
        <v>0</v>
      </c>
      <c r="Q2394" s="40">
        <v>0</v>
      </c>
      <c r="R2394" s="40">
        <v>2962.95454545455</v>
      </c>
      <c r="S2394" s="40">
        <v>80535.4545454545</v>
      </c>
      <c r="T2394" s="40"/>
      <c r="U2394" s="40">
        <v>55995.4545454545</v>
      </c>
      <c r="V2394" s="40">
        <v>0</v>
      </c>
      <c r="W2394" s="45">
        <f t="shared" si="128"/>
        <v>403024.54545454553</v>
      </c>
      <c r="X2394" s="46">
        <f t="shared" si="129"/>
        <v>67.992188199442097</v>
      </c>
    </row>
    <row r="2395" spans="1:24" s="4" customFormat="1" ht="15" customHeight="1">
      <c r="A2395" s="28" t="s">
        <v>3483</v>
      </c>
      <c r="B2395" s="29">
        <v>3387.15</v>
      </c>
      <c r="C2395" s="30" t="s">
        <v>3485</v>
      </c>
      <c r="D2395" s="2">
        <v>4952431688</v>
      </c>
      <c r="E2395" s="2" t="s">
        <v>33</v>
      </c>
      <c r="F2395" s="2" t="s">
        <v>3486</v>
      </c>
      <c r="G2395" s="28" t="s">
        <v>13</v>
      </c>
      <c r="H2395" s="2" t="s">
        <v>23</v>
      </c>
      <c r="I2395" s="2">
        <v>1</v>
      </c>
      <c r="J2395" s="2"/>
      <c r="K2395" s="2">
        <v>175</v>
      </c>
      <c r="L2395" s="35">
        <f t="shared" si="127"/>
        <v>592751.25</v>
      </c>
      <c r="M2395" s="36">
        <v>2</v>
      </c>
      <c r="N2395" s="40">
        <v>263530.681818182</v>
      </c>
      <c r="O2395" s="40">
        <v>0</v>
      </c>
      <c r="P2395" s="40">
        <v>0</v>
      </c>
      <c r="Q2395" s="40">
        <v>0</v>
      </c>
      <c r="R2395" s="40">
        <v>2962.95454545455</v>
      </c>
      <c r="S2395" s="40">
        <v>80535.4545454545</v>
      </c>
      <c r="T2395" s="40"/>
      <c r="U2395" s="40">
        <v>55995.4545454545</v>
      </c>
      <c r="V2395" s="40">
        <v>0</v>
      </c>
      <c r="W2395" s="45">
        <f t="shared" si="128"/>
        <v>403024.54545454553</v>
      </c>
      <c r="X2395" s="46">
        <f t="shared" si="129"/>
        <v>67.992188199442097</v>
      </c>
    </row>
    <row r="2396" spans="1:24" s="4" customFormat="1" ht="15" customHeight="1">
      <c r="A2396" s="28" t="s">
        <v>3483</v>
      </c>
      <c r="B2396" s="29">
        <v>3387.15</v>
      </c>
      <c r="C2396" s="30" t="s">
        <v>3485</v>
      </c>
      <c r="D2396" s="2">
        <v>4952431688</v>
      </c>
      <c r="E2396" s="2" t="s">
        <v>33</v>
      </c>
      <c r="F2396" s="2" t="s">
        <v>3486</v>
      </c>
      <c r="G2396" s="28" t="s">
        <v>13</v>
      </c>
      <c r="H2396" s="2" t="s">
        <v>23</v>
      </c>
      <c r="I2396" s="2">
        <v>1</v>
      </c>
      <c r="J2396" s="2"/>
      <c r="K2396" s="2">
        <v>420</v>
      </c>
      <c r="L2396" s="35">
        <f t="shared" si="127"/>
        <v>1422603</v>
      </c>
      <c r="M2396" s="36">
        <v>120</v>
      </c>
      <c r="N2396" s="40">
        <v>632473.636363636</v>
      </c>
      <c r="O2396" s="40">
        <v>0</v>
      </c>
      <c r="P2396" s="40">
        <v>0</v>
      </c>
      <c r="Q2396" s="40">
        <v>0</v>
      </c>
      <c r="R2396" s="40">
        <v>7111.0909090909099</v>
      </c>
      <c r="S2396" s="40">
        <v>193285.090909091</v>
      </c>
      <c r="T2396" s="40"/>
      <c r="U2396" s="40">
        <v>134389.090909091</v>
      </c>
      <c r="V2396" s="40">
        <v>0</v>
      </c>
      <c r="W2396" s="45">
        <f t="shared" si="128"/>
        <v>967258.90909090894</v>
      </c>
      <c r="X2396" s="46">
        <f t="shared" si="129"/>
        <v>67.992188199442069</v>
      </c>
    </row>
    <row r="2397" spans="1:24" s="4" customFormat="1" ht="15" customHeight="1">
      <c r="A2397" s="28" t="s">
        <v>3483</v>
      </c>
      <c r="B2397" s="29">
        <v>3387.15</v>
      </c>
      <c r="C2397" s="30" t="s">
        <v>3487</v>
      </c>
      <c r="D2397" s="2">
        <v>4952533775</v>
      </c>
      <c r="E2397" s="2" t="s">
        <v>27</v>
      </c>
      <c r="F2397" s="2" t="s">
        <v>3488</v>
      </c>
      <c r="G2397" s="28" t="s">
        <v>13</v>
      </c>
      <c r="H2397" s="2" t="s">
        <v>23</v>
      </c>
      <c r="I2397" s="2">
        <v>1</v>
      </c>
      <c r="J2397" s="2"/>
      <c r="K2397" s="2">
        <v>3834.15</v>
      </c>
      <c r="L2397" s="35">
        <f t="shared" si="127"/>
        <v>12986841.172500001</v>
      </c>
      <c r="M2397" s="36">
        <v>3.6</v>
      </c>
      <c r="N2397" s="40">
        <v>1093620.42</v>
      </c>
      <c r="O2397" s="40">
        <v>0</v>
      </c>
      <c r="P2397" s="40">
        <v>0</v>
      </c>
      <c r="Q2397" s="40">
        <v>0</v>
      </c>
      <c r="R2397" s="40">
        <v>4374</v>
      </c>
      <c r="S2397" s="40">
        <v>354356</v>
      </c>
      <c r="T2397" s="40"/>
      <c r="U2397" s="40">
        <v>246380</v>
      </c>
      <c r="V2397" s="40">
        <v>0</v>
      </c>
      <c r="W2397" s="45">
        <f t="shared" si="128"/>
        <v>1698730.42</v>
      </c>
      <c r="X2397" s="46">
        <f t="shared" si="129"/>
        <v>13.080397283960854</v>
      </c>
    </row>
    <row r="2398" spans="1:24" s="4" customFormat="1" ht="15" customHeight="1">
      <c r="A2398" s="28" t="s">
        <v>3483</v>
      </c>
      <c r="B2398" s="29">
        <v>3387.15</v>
      </c>
      <c r="C2398" s="30" t="s">
        <v>3489</v>
      </c>
      <c r="D2398" s="2">
        <v>4951516178</v>
      </c>
      <c r="E2398" s="2" t="s">
        <v>14</v>
      </c>
      <c r="F2398" s="2" t="s">
        <v>3490</v>
      </c>
      <c r="G2398" s="28" t="s">
        <v>13</v>
      </c>
      <c r="H2398" s="2" t="s">
        <v>23</v>
      </c>
      <c r="I2398" s="2">
        <v>5</v>
      </c>
      <c r="J2398" s="2"/>
      <c r="K2398" s="2">
        <v>5094</v>
      </c>
      <c r="L2398" s="35">
        <f t="shared" si="127"/>
        <v>17254142.100000001</v>
      </c>
      <c r="M2398" s="36">
        <v>300</v>
      </c>
      <c r="N2398" s="40">
        <v>462637.2</v>
      </c>
      <c r="O2398" s="40">
        <v>0</v>
      </c>
      <c r="P2398" s="40">
        <v>0</v>
      </c>
      <c r="Q2398" s="40">
        <v>0</v>
      </c>
      <c r="R2398" s="40">
        <v>8909.1176470588198</v>
      </c>
      <c r="S2398" s="40">
        <v>104222.352941176</v>
      </c>
      <c r="T2398" s="40">
        <v>30000</v>
      </c>
      <c r="U2398" s="40">
        <v>70394.285714285696</v>
      </c>
      <c r="V2398" s="40">
        <v>0</v>
      </c>
      <c r="W2398" s="45">
        <f t="shared" si="128"/>
        <v>676162.95630252047</v>
      </c>
      <c r="X2398" s="46">
        <f t="shared" si="129"/>
        <v>3.9188442542299473</v>
      </c>
    </row>
    <row r="2399" spans="1:24" s="4" customFormat="1" ht="15" customHeight="1">
      <c r="A2399" s="28" t="s">
        <v>3483</v>
      </c>
      <c r="B2399" s="29">
        <v>3387.15</v>
      </c>
      <c r="C2399" s="30" t="s">
        <v>3489</v>
      </c>
      <c r="D2399" s="2">
        <v>4951796911</v>
      </c>
      <c r="E2399" s="2" t="s">
        <v>14</v>
      </c>
      <c r="F2399" s="2" t="s">
        <v>3490</v>
      </c>
      <c r="G2399" s="28" t="s">
        <v>13</v>
      </c>
      <c r="H2399" s="2" t="s">
        <v>23</v>
      </c>
      <c r="I2399" s="2">
        <v>5</v>
      </c>
      <c r="J2399" s="2"/>
      <c r="K2399" s="2">
        <v>6792</v>
      </c>
      <c r="L2399" s="35">
        <f t="shared" si="127"/>
        <v>23005522.800000001</v>
      </c>
      <c r="M2399" s="36">
        <v>400</v>
      </c>
      <c r="N2399" s="40">
        <v>616849.6</v>
      </c>
      <c r="O2399" s="40">
        <v>0</v>
      </c>
      <c r="P2399" s="40">
        <v>0</v>
      </c>
      <c r="Q2399" s="40">
        <v>0</v>
      </c>
      <c r="R2399" s="40">
        <v>11878.8235294118</v>
      </c>
      <c r="S2399" s="40">
        <v>138963.13725490199</v>
      </c>
      <c r="T2399" s="40">
        <v>30000</v>
      </c>
      <c r="U2399" s="40">
        <v>93859.047619047604</v>
      </c>
      <c r="V2399" s="40">
        <v>0</v>
      </c>
      <c r="W2399" s="45">
        <f t="shared" si="128"/>
        <v>891550.6084033614</v>
      </c>
      <c r="X2399" s="46">
        <f t="shared" si="129"/>
        <v>3.8753764309297134</v>
      </c>
    </row>
    <row r="2400" spans="1:24" s="4" customFormat="1" ht="15" customHeight="1">
      <c r="A2400" s="28" t="s">
        <v>3483</v>
      </c>
      <c r="B2400" s="29">
        <v>3387.15</v>
      </c>
      <c r="C2400" s="30" t="s">
        <v>3489</v>
      </c>
      <c r="D2400" s="2">
        <v>4952287261</v>
      </c>
      <c r="E2400" s="2" t="s">
        <v>14</v>
      </c>
      <c r="F2400" s="2" t="s">
        <v>3490</v>
      </c>
      <c r="G2400" s="28" t="s">
        <v>13</v>
      </c>
      <c r="H2400" s="2" t="s">
        <v>23</v>
      </c>
      <c r="I2400" s="2">
        <v>5</v>
      </c>
      <c r="J2400" s="2"/>
      <c r="K2400" s="2">
        <v>7423.2</v>
      </c>
      <c r="L2400" s="35">
        <f t="shared" si="127"/>
        <v>25143491.879999999</v>
      </c>
      <c r="M2400" s="36">
        <v>60</v>
      </c>
      <c r="N2400" s="40">
        <v>92527.44</v>
      </c>
      <c r="O2400" s="40">
        <v>0</v>
      </c>
      <c r="P2400" s="40">
        <v>0</v>
      </c>
      <c r="Q2400" s="40">
        <v>0</v>
      </c>
      <c r="R2400" s="40">
        <v>1781.8235294117601</v>
      </c>
      <c r="S2400" s="40">
        <v>20844.470588235301</v>
      </c>
      <c r="T2400" s="40">
        <v>30000</v>
      </c>
      <c r="U2400" s="40">
        <v>14078.857142857099</v>
      </c>
      <c r="V2400" s="40">
        <v>0</v>
      </c>
      <c r="W2400" s="45">
        <f t="shared" si="128"/>
        <v>159232.59126050415</v>
      </c>
      <c r="X2400" s="46">
        <f t="shared" si="129"/>
        <v>0.63329545482568095</v>
      </c>
    </row>
    <row r="2401" spans="1:24" s="4" customFormat="1" ht="15" customHeight="1">
      <c r="A2401" s="28" t="s">
        <v>3483</v>
      </c>
      <c r="B2401" s="29">
        <v>3387.15</v>
      </c>
      <c r="C2401" s="30" t="s">
        <v>3489</v>
      </c>
      <c r="D2401" s="2">
        <v>4952287262</v>
      </c>
      <c r="E2401" s="2" t="s">
        <v>14</v>
      </c>
      <c r="F2401" s="2" t="s">
        <v>3490</v>
      </c>
      <c r="G2401" s="28" t="s">
        <v>13</v>
      </c>
      <c r="H2401" s="2" t="s">
        <v>23</v>
      </c>
      <c r="I2401" s="2">
        <v>5</v>
      </c>
      <c r="J2401" s="2"/>
      <c r="K2401" s="2">
        <v>2585.5</v>
      </c>
      <c r="L2401" s="35">
        <f t="shared" si="127"/>
        <v>8757476.3250000011</v>
      </c>
      <c r="M2401" s="36">
        <v>50</v>
      </c>
      <c r="N2401" s="40">
        <v>77106.2</v>
      </c>
      <c r="O2401" s="40">
        <v>0</v>
      </c>
      <c r="P2401" s="40">
        <v>0</v>
      </c>
      <c r="Q2401" s="40">
        <v>0</v>
      </c>
      <c r="R2401" s="40">
        <v>1484.85294117647</v>
      </c>
      <c r="S2401" s="40">
        <v>17370.392156862701</v>
      </c>
      <c r="T2401" s="40">
        <v>30000</v>
      </c>
      <c r="U2401" s="40">
        <v>11732.380952381</v>
      </c>
      <c r="V2401" s="40">
        <v>0</v>
      </c>
      <c r="W2401" s="45">
        <f t="shared" si="128"/>
        <v>137693.82605042018</v>
      </c>
      <c r="X2401" s="46">
        <f t="shared" si="129"/>
        <v>1.5723002945191535</v>
      </c>
    </row>
    <row r="2402" spans="1:24" s="4" customFormat="1" ht="15" customHeight="1">
      <c r="A2402" s="28" t="s">
        <v>3483</v>
      </c>
      <c r="B2402" s="29">
        <v>3387.15</v>
      </c>
      <c r="C2402" s="30" t="s">
        <v>3489</v>
      </c>
      <c r="D2402" s="2">
        <v>4952287290</v>
      </c>
      <c r="E2402" s="2" t="s">
        <v>14</v>
      </c>
      <c r="F2402" s="2" t="s">
        <v>3490</v>
      </c>
      <c r="G2402" s="28" t="s">
        <v>13</v>
      </c>
      <c r="H2402" s="2" t="s">
        <v>23</v>
      </c>
      <c r="I2402" s="2">
        <v>5</v>
      </c>
      <c r="J2402" s="2"/>
      <c r="K2402" s="2">
        <v>6216</v>
      </c>
      <c r="L2402" s="35">
        <f t="shared" si="127"/>
        <v>21054524.400000002</v>
      </c>
      <c r="M2402" s="36">
        <v>100</v>
      </c>
      <c r="N2402" s="40">
        <v>154212.4</v>
      </c>
      <c r="O2402" s="40">
        <v>0</v>
      </c>
      <c r="P2402" s="40">
        <v>0</v>
      </c>
      <c r="Q2402" s="40">
        <v>0</v>
      </c>
      <c r="R2402" s="40">
        <v>2969.7058823529401</v>
      </c>
      <c r="S2402" s="40">
        <v>34740.784313725497</v>
      </c>
      <c r="T2402" s="40">
        <v>30000</v>
      </c>
      <c r="U2402" s="40">
        <v>23464.761904761901</v>
      </c>
      <c r="V2402" s="40">
        <v>0</v>
      </c>
      <c r="W2402" s="45">
        <f t="shared" si="128"/>
        <v>245387.65210084035</v>
      </c>
      <c r="X2402" s="46">
        <f t="shared" si="129"/>
        <v>1.1654865597478912</v>
      </c>
    </row>
    <row r="2403" spans="1:24" s="4" customFormat="1" ht="15" customHeight="1">
      <c r="A2403" s="28" t="s">
        <v>3483</v>
      </c>
      <c r="B2403" s="29">
        <v>3387.15</v>
      </c>
      <c r="C2403" s="30" t="s">
        <v>3489</v>
      </c>
      <c r="D2403" s="2">
        <v>4952287294</v>
      </c>
      <c r="E2403" s="2" t="s">
        <v>14</v>
      </c>
      <c r="F2403" s="2" t="s">
        <v>3490</v>
      </c>
      <c r="G2403" s="28" t="s">
        <v>13</v>
      </c>
      <c r="H2403" s="2" t="s">
        <v>23</v>
      </c>
      <c r="I2403" s="2">
        <v>5</v>
      </c>
      <c r="J2403" s="2"/>
      <c r="K2403" s="2">
        <v>2490.5</v>
      </c>
      <c r="L2403" s="35">
        <f t="shared" si="127"/>
        <v>8435697.0750000011</v>
      </c>
      <c r="M2403" s="36">
        <v>50</v>
      </c>
      <c r="N2403" s="40">
        <v>77106.2</v>
      </c>
      <c r="O2403" s="40">
        <v>0</v>
      </c>
      <c r="P2403" s="40">
        <v>0</v>
      </c>
      <c r="Q2403" s="40">
        <v>0</v>
      </c>
      <c r="R2403" s="40">
        <v>1484.85294117647</v>
      </c>
      <c r="S2403" s="40">
        <v>17370.392156862701</v>
      </c>
      <c r="T2403" s="40">
        <v>30000</v>
      </c>
      <c r="U2403" s="40">
        <v>11732.380952381</v>
      </c>
      <c r="V2403" s="40">
        <v>0</v>
      </c>
      <c r="W2403" s="45">
        <f t="shared" si="128"/>
        <v>137693.82605042018</v>
      </c>
      <c r="X2403" s="46">
        <f t="shared" si="129"/>
        <v>1.6322756119169932</v>
      </c>
    </row>
    <row r="2404" spans="1:24" s="4" customFormat="1" ht="15" customHeight="1">
      <c r="A2404" s="28" t="s">
        <v>3483</v>
      </c>
      <c r="B2404" s="29">
        <v>3387.15</v>
      </c>
      <c r="C2404" s="30" t="s">
        <v>3489</v>
      </c>
      <c r="D2404" s="2">
        <v>4952461105</v>
      </c>
      <c r="E2404" s="2" t="s">
        <v>14</v>
      </c>
      <c r="F2404" s="2" t="s">
        <v>3490</v>
      </c>
      <c r="G2404" s="28" t="s">
        <v>13</v>
      </c>
      <c r="H2404" s="2" t="s">
        <v>23</v>
      </c>
      <c r="I2404" s="2">
        <v>5</v>
      </c>
      <c r="J2404" s="2"/>
      <c r="K2404" s="2">
        <v>2856.4</v>
      </c>
      <c r="L2404" s="35">
        <f t="shared" si="127"/>
        <v>9675055.2599999998</v>
      </c>
      <c r="M2404" s="36">
        <v>20</v>
      </c>
      <c r="N2404" s="40">
        <v>30842.48</v>
      </c>
      <c r="O2404" s="40">
        <v>0</v>
      </c>
      <c r="P2404" s="40">
        <v>0</v>
      </c>
      <c r="Q2404" s="40">
        <v>0</v>
      </c>
      <c r="R2404" s="40">
        <v>593.94117647058795</v>
      </c>
      <c r="S2404" s="40">
        <v>6948.1568627450997</v>
      </c>
      <c r="T2404" s="40">
        <v>30000</v>
      </c>
      <c r="U2404" s="40">
        <v>4692.9523809523798</v>
      </c>
      <c r="V2404" s="40">
        <v>0</v>
      </c>
      <c r="W2404" s="45">
        <f t="shared" si="128"/>
        <v>73077.53042016807</v>
      </c>
      <c r="X2404" s="46">
        <f t="shared" si="129"/>
        <v>0.75531899773529632</v>
      </c>
    </row>
    <row r="2405" spans="1:24" s="4" customFormat="1" ht="15" customHeight="1">
      <c r="A2405" s="28" t="s">
        <v>3483</v>
      </c>
      <c r="B2405" s="29">
        <v>3387.15</v>
      </c>
      <c r="C2405" s="30" t="s">
        <v>3489</v>
      </c>
      <c r="D2405" s="2">
        <v>4952287297</v>
      </c>
      <c r="E2405" s="2" t="s">
        <v>14</v>
      </c>
      <c r="F2405" s="2" t="s">
        <v>3490</v>
      </c>
      <c r="G2405" s="28" t="s">
        <v>13</v>
      </c>
      <c r="H2405" s="2" t="s">
        <v>23</v>
      </c>
      <c r="I2405" s="2">
        <v>5</v>
      </c>
      <c r="J2405" s="2"/>
      <c r="K2405" s="2">
        <v>1167.2</v>
      </c>
      <c r="L2405" s="35">
        <f t="shared" si="127"/>
        <v>3953481.4800000004</v>
      </c>
      <c r="M2405" s="36">
        <v>40</v>
      </c>
      <c r="N2405" s="40">
        <v>61684.959999999999</v>
      </c>
      <c r="O2405" s="40">
        <v>0</v>
      </c>
      <c r="P2405" s="40">
        <v>0</v>
      </c>
      <c r="Q2405" s="40">
        <v>0</v>
      </c>
      <c r="R2405" s="40">
        <v>1187.88235294118</v>
      </c>
      <c r="S2405" s="40">
        <v>13896.313725490199</v>
      </c>
      <c r="T2405" s="40">
        <v>30000</v>
      </c>
      <c r="U2405" s="40">
        <v>9385.9047619047597</v>
      </c>
      <c r="V2405" s="40">
        <v>0</v>
      </c>
      <c r="W2405" s="45">
        <f t="shared" si="128"/>
        <v>116155.06084033614</v>
      </c>
      <c r="X2405" s="46">
        <f t="shared" si="129"/>
        <v>2.938044896073122</v>
      </c>
    </row>
    <row r="2406" spans="1:24" s="4" customFormat="1" ht="15" customHeight="1">
      <c r="A2406" s="28" t="s">
        <v>3483</v>
      </c>
      <c r="B2406" s="29">
        <v>3387.15</v>
      </c>
      <c r="C2406" s="30" t="s">
        <v>3491</v>
      </c>
      <c r="D2406" s="2">
        <v>4951516177</v>
      </c>
      <c r="E2406" s="2" t="s">
        <v>14</v>
      </c>
      <c r="F2406" s="2" t="s">
        <v>3492</v>
      </c>
      <c r="G2406" s="28" t="s">
        <v>13</v>
      </c>
      <c r="H2406" s="2" t="s">
        <v>23</v>
      </c>
      <c r="I2406" s="2">
        <v>6</v>
      </c>
      <c r="J2406" s="2"/>
      <c r="K2406" s="2">
        <v>3433.2</v>
      </c>
      <c r="L2406" s="35">
        <f t="shared" si="127"/>
        <v>11628763.379999999</v>
      </c>
      <c r="M2406" s="36">
        <v>30</v>
      </c>
      <c r="N2406" s="40">
        <v>751368</v>
      </c>
      <c r="O2406" s="40">
        <v>0</v>
      </c>
      <c r="P2406" s="40">
        <v>230000</v>
      </c>
      <c r="Q2406" s="40">
        <v>0</v>
      </c>
      <c r="R2406" s="40">
        <v>5620</v>
      </c>
      <c r="S2406" s="40">
        <v>354356</v>
      </c>
      <c r="T2406" s="40">
        <v>30000</v>
      </c>
      <c r="U2406" s="40">
        <v>164253.33333333299</v>
      </c>
      <c r="V2406" s="40">
        <v>0</v>
      </c>
      <c r="W2406" s="45">
        <f t="shared" si="128"/>
        <v>1535597.333333333</v>
      </c>
      <c r="X2406" s="46">
        <f t="shared" si="129"/>
        <v>13.205164497321926</v>
      </c>
    </row>
    <row r="2407" spans="1:24" s="4" customFormat="1" ht="15" customHeight="1">
      <c r="A2407" s="28" t="s">
        <v>3483</v>
      </c>
      <c r="B2407" s="29">
        <v>3387.15</v>
      </c>
      <c r="C2407" s="30" t="s">
        <v>3493</v>
      </c>
      <c r="D2407" s="2">
        <v>4952577853</v>
      </c>
      <c r="E2407" s="2" t="s">
        <v>14</v>
      </c>
      <c r="F2407" s="2" t="s">
        <v>3494</v>
      </c>
      <c r="G2407" s="28" t="s">
        <v>13</v>
      </c>
      <c r="H2407" s="2" t="s">
        <v>23</v>
      </c>
      <c r="I2407" s="2">
        <v>1</v>
      </c>
      <c r="J2407" s="2"/>
      <c r="K2407" s="2">
        <v>587.79999999999995</v>
      </c>
      <c r="L2407" s="35">
        <f t="shared" si="127"/>
        <v>1990966.7699999998</v>
      </c>
      <c r="M2407" s="36">
        <v>10</v>
      </c>
      <c r="N2407" s="40">
        <v>68962</v>
      </c>
      <c r="O2407" s="40">
        <v>0</v>
      </c>
      <c r="P2407" s="40">
        <v>0</v>
      </c>
      <c r="Q2407" s="40">
        <v>0</v>
      </c>
      <c r="R2407" s="40">
        <v>275.8</v>
      </c>
      <c r="S2407" s="40">
        <v>70871.199999999997</v>
      </c>
      <c r="T2407" s="40">
        <v>30000</v>
      </c>
      <c r="U2407" s="40">
        <v>49276</v>
      </c>
      <c r="V2407" s="40">
        <v>0</v>
      </c>
      <c r="W2407" s="45">
        <f t="shared" si="128"/>
        <v>219385</v>
      </c>
      <c r="X2407" s="46">
        <f t="shared" si="129"/>
        <v>11.019018664987563</v>
      </c>
    </row>
    <row r="2408" spans="1:24" s="4" customFormat="1" ht="15" customHeight="1">
      <c r="A2408" s="28" t="s">
        <v>3483</v>
      </c>
      <c r="B2408" s="29">
        <v>3387.15</v>
      </c>
      <c r="C2408" s="30" t="s">
        <v>3493</v>
      </c>
      <c r="D2408" s="2">
        <v>4952287292</v>
      </c>
      <c r="E2408" s="2" t="s">
        <v>14</v>
      </c>
      <c r="F2408" s="2" t="s">
        <v>3494</v>
      </c>
      <c r="G2408" s="28" t="s">
        <v>13</v>
      </c>
      <c r="H2408" s="2" t="s">
        <v>23</v>
      </c>
      <c r="I2408" s="2">
        <v>1</v>
      </c>
      <c r="J2408" s="2"/>
      <c r="K2408" s="2">
        <v>2351.1999999999998</v>
      </c>
      <c r="L2408" s="35">
        <f t="shared" si="127"/>
        <v>7963867.0799999991</v>
      </c>
      <c r="M2408" s="36">
        <v>40</v>
      </c>
      <c r="N2408" s="40">
        <v>275848</v>
      </c>
      <c r="O2408" s="40">
        <v>0</v>
      </c>
      <c r="P2408" s="40">
        <v>0</v>
      </c>
      <c r="Q2408" s="40">
        <v>0</v>
      </c>
      <c r="R2408" s="40">
        <v>1103.2</v>
      </c>
      <c r="S2408" s="40">
        <v>283484.79999999999</v>
      </c>
      <c r="T2408" s="40">
        <v>30000</v>
      </c>
      <c r="U2408" s="40">
        <v>197104</v>
      </c>
      <c r="V2408" s="40">
        <v>0</v>
      </c>
      <c r="W2408" s="45">
        <f t="shared" si="128"/>
        <v>787540</v>
      </c>
      <c r="X2408" s="46">
        <f t="shared" si="129"/>
        <v>9.8889144191994731</v>
      </c>
    </row>
    <row r="2409" spans="1:24" s="4" customFormat="1" ht="15" customHeight="1">
      <c r="A2409" s="28" t="s">
        <v>3483</v>
      </c>
      <c r="B2409" s="29">
        <v>3387.15</v>
      </c>
      <c r="C2409" s="30" t="s">
        <v>3495</v>
      </c>
      <c r="D2409" s="2">
        <v>4952698988</v>
      </c>
      <c r="E2409" s="2" t="s">
        <v>14</v>
      </c>
      <c r="F2409" s="2" t="s">
        <v>3496</v>
      </c>
      <c r="G2409" s="28" t="s">
        <v>13</v>
      </c>
      <c r="H2409" s="2" t="s">
        <v>23</v>
      </c>
      <c r="I2409" s="2">
        <v>1</v>
      </c>
      <c r="J2409" s="2"/>
      <c r="K2409" s="2">
        <v>148.24</v>
      </c>
      <c r="L2409" s="35">
        <f t="shared" si="127"/>
        <v>502111.11600000004</v>
      </c>
      <c r="M2409" s="36">
        <v>10</v>
      </c>
      <c r="N2409" s="40">
        <v>1120106</v>
      </c>
      <c r="O2409" s="40">
        <v>0</v>
      </c>
      <c r="P2409" s="40">
        <v>0</v>
      </c>
      <c r="Q2409" s="40">
        <v>0</v>
      </c>
      <c r="R2409" s="40">
        <v>4834</v>
      </c>
      <c r="S2409" s="40">
        <v>354356</v>
      </c>
      <c r="T2409" s="40">
        <v>30000</v>
      </c>
      <c r="U2409" s="40">
        <v>2346.4761904761899</v>
      </c>
      <c r="V2409" s="40">
        <v>0</v>
      </c>
      <c r="W2409" s="45">
        <f t="shared" si="128"/>
        <v>1511642.4761904762</v>
      </c>
      <c r="X2409" s="46">
        <f t="shared" si="129"/>
        <v>301.05736121374298</v>
      </c>
    </row>
    <row r="2410" spans="1:24" s="4" customFormat="1" ht="15" customHeight="1">
      <c r="A2410" s="28" t="s">
        <v>3483</v>
      </c>
      <c r="B2410" s="29">
        <v>3387.15</v>
      </c>
      <c r="C2410" s="30" t="s">
        <v>3497</v>
      </c>
      <c r="D2410" s="2">
        <v>4952572453</v>
      </c>
      <c r="E2410" s="2" t="s">
        <v>18</v>
      </c>
      <c r="F2410" s="2" t="s">
        <v>3498</v>
      </c>
      <c r="G2410" s="28" t="s">
        <v>13</v>
      </c>
      <c r="H2410" s="2" t="s">
        <v>23</v>
      </c>
      <c r="I2410" s="2">
        <v>1</v>
      </c>
      <c r="J2410" s="2"/>
      <c r="K2410" s="2">
        <v>3610</v>
      </c>
      <c r="L2410" s="35">
        <f t="shared" si="127"/>
        <v>12227611.5</v>
      </c>
      <c r="M2410" s="36">
        <v>1000</v>
      </c>
      <c r="N2410" s="40">
        <v>722327</v>
      </c>
      <c r="O2410" s="40">
        <v>0</v>
      </c>
      <c r="P2410" s="40">
        <v>0</v>
      </c>
      <c r="Q2410" s="40">
        <v>0</v>
      </c>
      <c r="R2410" s="40">
        <v>2889</v>
      </c>
      <c r="S2410" s="40">
        <v>354356</v>
      </c>
      <c r="T2410" s="40">
        <v>30000</v>
      </c>
      <c r="U2410" s="40">
        <v>246380</v>
      </c>
      <c r="V2410" s="40">
        <v>0</v>
      </c>
      <c r="W2410" s="45">
        <f t="shared" si="128"/>
        <v>1355952</v>
      </c>
      <c r="X2410" s="46">
        <f t="shared" si="129"/>
        <v>11.089263017556618</v>
      </c>
    </row>
    <row r="2411" spans="1:24" s="4" customFormat="1" ht="15" customHeight="1">
      <c r="A2411" s="28" t="s">
        <v>3483</v>
      </c>
      <c r="B2411" s="29">
        <v>3387.15</v>
      </c>
      <c r="C2411" s="30" t="s">
        <v>3499</v>
      </c>
      <c r="D2411" s="2">
        <v>4952293066</v>
      </c>
      <c r="E2411" s="2" t="s">
        <v>27</v>
      </c>
      <c r="F2411" s="2" t="s">
        <v>3500</v>
      </c>
      <c r="G2411" s="28" t="s">
        <v>13</v>
      </c>
      <c r="H2411" s="2" t="s">
        <v>23</v>
      </c>
      <c r="I2411" s="2">
        <v>5</v>
      </c>
      <c r="J2411" s="2"/>
      <c r="K2411" s="2">
        <v>7071</v>
      </c>
      <c r="L2411" s="35">
        <f t="shared" si="127"/>
        <v>23950537.650000002</v>
      </c>
      <c r="M2411" s="36">
        <v>396.89</v>
      </c>
      <c r="N2411" s="40">
        <v>492801</v>
      </c>
      <c r="O2411" s="40">
        <v>0</v>
      </c>
      <c r="P2411" s="40">
        <v>0</v>
      </c>
      <c r="Q2411" s="40">
        <v>0</v>
      </c>
      <c r="R2411" s="40">
        <v>4971</v>
      </c>
      <c r="S2411" s="40">
        <v>354356</v>
      </c>
      <c r="T2411" s="40"/>
      <c r="U2411" s="40">
        <v>246380</v>
      </c>
      <c r="V2411" s="40">
        <v>0</v>
      </c>
      <c r="W2411" s="45">
        <f t="shared" si="128"/>
        <v>1098508</v>
      </c>
      <c r="X2411" s="46">
        <f t="shared" si="129"/>
        <v>4.5865692706067493</v>
      </c>
    </row>
    <row r="2412" spans="1:24" s="4" customFormat="1" ht="15" customHeight="1">
      <c r="A2412" s="28" t="s">
        <v>3483</v>
      </c>
      <c r="B2412" s="29">
        <v>3387.15</v>
      </c>
      <c r="C2412" s="30" t="s">
        <v>3501</v>
      </c>
      <c r="D2412" s="2">
        <v>4952577854</v>
      </c>
      <c r="E2412" s="2" t="s">
        <v>14</v>
      </c>
      <c r="F2412" s="2" t="s">
        <v>3502</v>
      </c>
      <c r="G2412" s="28" t="s">
        <v>13</v>
      </c>
      <c r="H2412" s="2" t="s">
        <v>23</v>
      </c>
      <c r="I2412" s="2">
        <v>8</v>
      </c>
      <c r="J2412" s="2"/>
      <c r="K2412" s="2">
        <v>4577.6000000000004</v>
      </c>
      <c r="L2412" s="35">
        <f t="shared" si="127"/>
        <v>15505017.840000002</v>
      </c>
      <c r="M2412" s="36">
        <v>40</v>
      </c>
      <c r="N2412" s="40">
        <v>774944</v>
      </c>
      <c r="O2412" s="40">
        <v>0</v>
      </c>
      <c r="P2412" s="40">
        <v>300000</v>
      </c>
      <c r="Q2412" s="40">
        <v>0</v>
      </c>
      <c r="R2412" s="40">
        <v>9571</v>
      </c>
      <c r="S2412" s="40">
        <v>354356</v>
      </c>
      <c r="T2412" s="40">
        <v>30000</v>
      </c>
      <c r="U2412" s="40">
        <v>98552</v>
      </c>
      <c r="V2412" s="40">
        <v>0</v>
      </c>
      <c r="W2412" s="45">
        <f t="shared" si="128"/>
        <v>1567423</v>
      </c>
      <c r="X2412" s="46">
        <f t="shared" si="129"/>
        <v>10.109133805421019</v>
      </c>
    </row>
    <row r="2413" spans="1:24" s="4" customFormat="1" ht="15" customHeight="1">
      <c r="A2413" s="28" t="s">
        <v>3483</v>
      </c>
      <c r="B2413" s="29">
        <v>3387.15</v>
      </c>
      <c r="C2413" s="30" t="s">
        <v>3503</v>
      </c>
      <c r="D2413" s="2">
        <v>4952899034</v>
      </c>
      <c r="E2413" s="2" t="s">
        <v>14</v>
      </c>
      <c r="F2413" s="2" t="s">
        <v>3504</v>
      </c>
      <c r="G2413" s="28" t="s">
        <v>13</v>
      </c>
      <c r="H2413" s="2" t="s">
        <v>23</v>
      </c>
      <c r="I2413" s="2">
        <v>4</v>
      </c>
      <c r="J2413" s="2"/>
      <c r="K2413" s="2">
        <v>5036.6000000000004</v>
      </c>
      <c r="L2413" s="35">
        <f t="shared" si="127"/>
        <v>17059719.690000001</v>
      </c>
      <c r="M2413" s="36">
        <v>20</v>
      </c>
      <c r="N2413" s="40">
        <v>447465</v>
      </c>
      <c r="O2413" s="40">
        <v>0</v>
      </c>
      <c r="P2413" s="40">
        <v>0</v>
      </c>
      <c r="Q2413" s="40">
        <v>0</v>
      </c>
      <c r="R2413" s="40">
        <v>1790</v>
      </c>
      <c r="S2413" s="40">
        <v>354356</v>
      </c>
      <c r="T2413" s="40">
        <v>30000</v>
      </c>
      <c r="U2413" s="40">
        <v>246380</v>
      </c>
      <c r="V2413" s="40">
        <v>0</v>
      </c>
      <c r="W2413" s="45">
        <f t="shared" si="128"/>
        <v>1079991</v>
      </c>
      <c r="X2413" s="46">
        <f t="shared" si="129"/>
        <v>6.3306491526532227</v>
      </c>
    </row>
    <row r="2414" spans="1:24" s="4" customFormat="1" ht="15" customHeight="1">
      <c r="A2414" s="28" t="s">
        <v>3483</v>
      </c>
      <c r="B2414" s="29">
        <v>3387.15</v>
      </c>
      <c r="C2414" s="30" t="s">
        <v>3505</v>
      </c>
      <c r="D2414" s="2">
        <v>4951796947</v>
      </c>
      <c r="E2414" s="2" t="s">
        <v>14</v>
      </c>
      <c r="F2414" s="2" t="s">
        <v>3506</v>
      </c>
      <c r="G2414" s="28" t="s">
        <v>13</v>
      </c>
      <c r="H2414" s="2" t="s">
        <v>23</v>
      </c>
      <c r="I2414" s="2">
        <v>2</v>
      </c>
      <c r="J2414" s="2"/>
      <c r="K2414" s="2">
        <v>1641.6</v>
      </c>
      <c r="L2414" s="35">
        <f t="shared" si="127"/>
        <v>5560345.4399999995</v>
      </c>
      <c r="M2414" s="36">
        <v>40</v>
      </c>
      <c r="N2414" s="40">
        <v>1081806</v>
      </c>
      <c r="O2414" s="40">
        <v>0</v>
      </c>
      <c r="P2414" s="40">
        <v>0</v>
      </c>
      <c r="Q2414" s="40">
        <v>0</v>
      </c>
      <c r="R2414" s="40">
        <v>5740</v>
      </c>
      <c r="S2414" s="40">
        <v>354356</v>
      </c>
      <c r="T2414" s="40">
        <v>30000</v>
      </c>
      <c r="U2414" s="40">
        <v>246380</v>
      </c>
      <c r="V2414" s="40">
        <v>0</v>
      </c>
      <c r="W2414" s="45">
        <f t="shared" si="128"/>
        <v>1718282</v>
      </c>
      <c r="X2414" s="46">
        <f t="shared" si="129"/>
        <v>30.902432565412703</v>
      </c>
    </row>
    <row r="2415" spans="1:24" s="4" customFormat="1" ht="15" customHeight="1">
      <c r="A2415" s="28" t="s">
        <v>3483</v>
      </c>
      <c r="B2415" s="29">
        <v>3387.15</v>
      </c>
      <c r="C2415" s="30" t="s">
        <v>3507</v>
      </c>
      <c r="D2415" s="2">
        <v>4952701157</v>
      </c>
      <c r="E2415" s="2" t="s">
        <v>14</v>
      </c>
      <c r="F2415" s="2" t="s">
        <v>3508</v>
      </c>
      <c r="G2415" s="28" t="s">
        <v>13</v>
      </c>
      <c r="H2415" s="2" t="s">
        <v>23</v>
      </c>
      <c r="I2415" s="2">
        <v>1</v>
      </c>
      <c r="J2415" s="2"/>
      <c r="K2415" s="2">
        <v>1964.6</v>
      </c>
      <c r="L2415" s="35">
        <f t="shared" si="127"/>
        <v>6654394.8899999997</v>
      </c>
      <c r="M2415" s="36">
        <v>20</v>
      </c>
      <c r="N2415" s="40">
        <v>316131</v>
      </c>
      <c r="O2415" s="40">
        <v>0</v>
      </c>
      <c r="P2415" s="40">
        <v>0</v>
      </c>
      <c r="Q2415" s="40">
        <v>0</v>
      </c>
      <c r="R2415" s="40">
        <v>1265</v>
      </c>
      <c r="S2415" s="40">
        <v>354356</v>
      </c>
      <c r="T2415" s="40">
        <v>30000</v>
      </c>
      <c r="U2415" s="40">
        <v>32850.666666666701</v>
      </c>
      <c r="V2415" s="40">
        <v>0</v>
      </c>
      <c r="W2415" s="45">
        <f t="shared" si="128"/>
        <v>734602.66666666674</v>
      </c>
      <c r="X2415" s="46">
        <f t="shared" si="129"/>
        <v>11.039360885699809</v>
      </c>
    </row>
    <row r="2416" spans="1:24" s="4" customFormat="1" ht="15" customHeight="1">
      <c r="A2416" s="28" t="s">
        <v>3483</v>
      </c>
      <c r="B2416" s="29">
        <v>3387.15</v>
      </c>
      <c r="C2416" s="30" t="s">
        <v>3509</v>
      </c>
      <c r="D2416" s="2">
        <v>4952571599</v>
      </c>
      <c r="E2416" s="2" t="s">
        <v>14</v>
      </c>
      <c r="F2416" s="2" t="s">
        <v>3510</v>
      </c>
      <c r="G2416" s="28" t="s">
        <v>13</v>
      </c>
      <c r="H2416" s="2" t="s">
        <v>23</v>
      </c>
      <c r="I2416" s="2">
        <v>1</v>
      </c>
      <c r="J2416" s="2"/>
      <c r="K2416" s="2">
        <v>583.6</v>
      </c>
      <c r="L2416" s="35">
        <f t="shared" si="127"/>
        <v>1976740.7400000002</v>
      </c>
      <c r="M2416" s="36">
        <v>20</v>
      </c>
      <c r="N2416" s="40">
        <v>318640.37</v>
      </c>
      <c r="O2416" s="40">
        <v>0</v>
      </c>
      <c r="P2416" s="40">
        <v>0</v>
      </c>
      <c r="Q2416" s="40">
        <v>0</v>
      </c>
      <c r="R2416" s="40">
        <v>1275</v>
      </c>
      <c r="S2416" s="40">
        <v>354356</v>
      </c>
      <c r="T2416" s="40">
        <v>30000</v>
      </c>
      <c r="U2416" s="40">
        <v>4692.9523809523798</v>
      </c>
      <c r="V2416" s="40">
        <v>0</v>
      </c>
      <c r="W2416" s="45">
        <f t="shared" si="128"/>
        <v>708964.32238095242</v>
      </c>
      <c r="X2416" s="46">
        <f t="shared" si="129"/>
        <v>35.86531647953754</v>
      </c>
    </row>
    <row r="2417" spans="1:24" s="4" customFormat="1" ht="15" customHeight="1">
      <c r="A2417" s="28" t="s">
        <v>3483</v>
      </c>
      <c r="B2417" s="29">
        <v>3387.15</v>
      </c>
      <c r="C2417" s="30" t="s">
        <v>3511</v>
      </c>
      <c r="D2417" s="2">
        <v>4952243401</v>
      </c>
      <c r="E2417" s="2" t="s">
        <v>14</v>
      </c>
      <c r="F2417" s="2" t="s">
        <v>3512</v>
      </c>
      <c r="G2417" s="28" t="s">
        <v>13</v>
      </c>
      <c r="H2417" s="2" t="s">
        <v>23</v>
      </c>
      <c r="I2417" s="2">
        <v>12</v>
      </c>
      <c r="J2417" s="2"/>
      <c r="K2417" s="2">
        <v>6866.4</v>
      </c>
      <c r="L2417" s="35">
        <f t="shared" si="127"/>
        <v>23257526.759999998</v>
      </c>
      <c r="M2417" s="36">
        <v>60</v>
      </c>
      <c r="N2417" s="40">
        <v>841573</v>
      </c>
      <c r="O2417" s="40">
        <v>0</v>
      </c>
      <c r="P2417" s="40">
        <v>300000</v>
      </c>
      <c r="Q2417" s="40">
        <v>0</v>
      </c>
      <c r="R2417" s="40">
        <v>10961</v>
      </c>
      <c r="S2417" s="40">
        <v>354356</v>
      </c>
      <c r="T2417" s="40">
        <v>30000</v>
      </c>
      <c r="U2417" s="40">
        <v>147828</v>
      </c>
      <c r="V2417" s="40">
        <v>0</v>
      </c>
      <c r="W2417" s="45">
        <f t="shared" si="128"/>
        <v>1684718</v>
      </c>
      <c r="X2417" s="46">
        <f t="shared" si="129"/>
        <v>7.2437538926000578</v>
      </c>
    </row>
    <row r="2418" spans="1:24" s="4" customFormat="1" ht="15" customHeight="1">
      <c r="A2418" s="28" t="s">
        <v>3483</v>
      </c>
      <c r="B2418" s="29">
        <v>3387.15</v>
      </c>
      <c r="C2418" s="30" t="s">
        <v>3513</v>
      </c>
      <c r="D2418" s="2">
        <v>4950195011</v>
      </c>
      <c r="E2418" s="2" t="s">
        <v>24</v>
      </c>
      <c r="F2418" s="2" t="s">
        <v>3514</v>
      </c>
      <c r="G2418" s="28" t="s">
        <v>13</v>
      </c>
      <c r="H2418" s="2" t="s">
        <v>23</v>
      </c>
      <c r="I2418" s="2">
        <v>12</v>
      </c>
      <c r="J2418" s="2"/>
      <c r="K2418" s="2">
        <v>2320</v>
      </c>
      <c r="L2418" s="35">
        <f t="shared" si="127"/>
        <v>7858188</v>
      </c>
      <c r="M2418" s="36">
        <v>6.5</v>
      </c>
      <c r="N2418" s="40">
        <v>102585</v>
      </c>
      <c r="O2418" s="40">
        <v>0</v>
      </c>
      <c r="P2418" s="40">
        <v>187318</v>
      </c>
      <c r="Q2418" s="40">
        <v>0</v>
      </c>
      <c r="R2418" s="40">
        <v>2701</v>
      </c>
      <c r="S2418" s="40">
        <v>354356</v>
      </c>
      <c r="T2418" s="40"/>
      <c r="U2418" s="40">
        <v>246380</v>
      </c>
      <c r="V2418" s="40">
        <v>0</v>
      </c>
      <c r="W2418" s="45">
        <f t="shared" si="128"/>
        <v>893340</v>
      </c>
      <c r="X2418" s="46">
        <f t="shared" si="129"/>
        <v>11.368269631625001</v>
      </c>
    </row>
    <row r="2419" spans="1:24" s="4" customFormat="1" ht="15" customHeight="1">
      <c r="A2419" s="28" t="s">
        <v>3483</v>
      </c>
      <c r="B2419" s="29">
        <v>3387.15</v>
      </c>
      <c r="C2419" s="30" t="s">
        <v>3515</v>
      </c>
      <c r="D2419" s="2">
        <v>4952571599</v>
      </c>
      <c r="E2419" s="2" t="s">
        <v>14</v>
      </c>
      <c r="F2419" s="2" t="s">
        <v>3516</v>
      </c>
      <c r="G2419" s="28" t="s">
        <v>13</v>
      </c>
      <c r="H2419" s="2" t="s">
        <v>23</v>
      </c>
      <c r="I2419" s="2">
        <v>3</v>
      </c>
      <c r="J2419" s="2"/>
      <c r="K2419" s="2">
        <v>1920.9</v>
      </c>
      <c r="L2419" s="35">
        <f t="shared" si="127"/>
        <v>6506376.4350000005</v>
      </c>
      <c r="M2419" s="36">
        <v>30</v>
      </c>
      <c r="N2419" s="40">
        <v>108261.461538462</v>
      </c>
      <c r="O2419" s="40">
        <v>0</v>
      </c>
      <c r="P2419" s="40">
        <v>0</v>
      </c>
      <c r="Q2419" s="40">
        <v>0</v>
      </c>
      <c r="R2419" s="40">
        <v>3202.1538461538498</v>
      </c>
      <c r="S2419" s="40">
        <v>81774.461538461503</v>
      </c>
      <c r="T2419" s="40">
        <v>30000</v>
      </c>
      <c r="U2419" s="40">
        <v>49276</v>
      </c>
      <c r="V2419" s="40">
        <v>0</v>
      </c>
      <c r="W2419" s="45">
        <f t="shared" si="128"/>
        <v>272514.07692307734</v>
      </c>
      <c r="X2419" s="46">
        <f t="shared" si="129"/>
        <v>4.1884154666663909</v>
      </c>
    </row>
    <row r="2420" spans="1:24" s="4" customFormat="1" ht="15" customHeight="1">
      <c r="A2420" s="28" t="s">
        <v>3483</v>
      </c>
      <c r="B2420" s="29">
        <v>3387.15</v>
      </c>
      <c r="C2420" s="30" t="s">
        <v>3515</v>
      </c>
      <c r="D2420" s="2">
        <v>4952571599</v>
      </c>
      <c r="E2420" s="2" t="s">
        <v>14</v>
      </c>
      <c r="F2420" s="2" t="s">
        <v>3516</v>
      </c>
      <c r="G2420" s="28" t="s">
        <v>13</v>
      </c>
      <c r="H2420" s="2" t="s">
        <v>23</v>
      </c>
      <c r="I2420" s="2">
        <v>3</v>
      </c>
      <c r="J2420" s="2"/>
      <c r="K2420" s="2">
        <v>1768.2</v>
      </c>
      <c r="L2420" s="35">
        <f t="shared" si="127"/>
        <v>5989158.6299999999</v>
      </c>
      <c r="M2420" s="36">
        <v>60</v>
      </c>
      <c r="N2420" s="40">
        <v>216522.92307692301</v>
      </c>
      <c r="O2420" s="40">
        <v>0</v>
      </c>
      <c r="P2420" s="40">
        <v>0</v>
      </c>
      <c r="Q2420" s="40">
        <v>0</v>
      </c>
      <c r="R2420" s="40">
        <v>6404.3076923076896</v>
      </c>
      <c r="S2420" s="40">
        <v>163548.92307692301</v>
      </c>
      <c r="T2420" s="40">
        <v>30000</v>
      </c>
      <c r="U2420" s="40">
        <v>98552</v>
      </c>
      <c r="V2420" s="40">
        <v>0</v>
      </c>
      <c r="W2420" s="45">
        <f t="shared" si="128"/>
        <v>515028.1538461537</v>
      </c>
      <c r="X2420" s="46">
        <f t="shared" si="129"/>
        <v>8.5993406697620518</v>
      </c>
    </row>
    <row r="2421" spans="1:24" s="4" customFormat="1" ht="15" customHeight="1">
      <c r="A2421" s="28" t="s">
        <v>3483</v>
      </c>
      <c r="B2421" s="29">
        <v>3387.15</v>
      </c>
      <c r="C2421" s="30" t="s">
        <v>3515</v>
      </c>
      <c r="D2421" s="2">
        <v>4952287295</v>
      </c>
      <c r="E2421" s="2" t="s">
        <v>14</v>
      </c>
      <c r="F2421" s="2" t="s">
        <v>3516</v>
      </c>
      <c r="G2421" s="28" t="s">
        <v>13</v>
      </c>
      <c r="H2421" s="2" t="s">
        <v>23</v>
      </c>
      <c r="I2421" s="2">
        <v>3</v>
      </c>
      <c r="J2421" s="2"/>
      <c r="K2421" s="2">
        <v>1964.6</v>
      </c>
      <c r="L2421" s="35">
        <f t="shared" si="127"/>
        <v>6654394.8899999997</v>
      </c>
      <c r="M2421" s="36">
        <v>20</v>
      </c>
      <c r="N2421" s="40">
        <v>72174.307692307702</v>
      </c>
      <c r="O2421" s="40">
        <v>0</v>
      </c>
      <c r="P2421" s="40">
        <v>0</v>
      </c>
      <c r="Q2421" s="40">
        <v>0</v>
      </c>
      <c r="R2421" s="40">
        <v>2134.76923076923</v>
      </c>
      <c r="S2421" s="40">
        <v>54516.307692307702</v>
      </c>
      <c r="T2421" s="40">
        <v>30000</v>
      </c>
      <c r="U2421" s="40">
        <v>32850.666666666701</v>
      </c>
      <c r="V2421" s="40">
        <v>0</v>
      </c>
      <c r="W2421" s="45">
        <f t="shared" si="128"/>
        <v>191676.05128205131</v>
      </c>
      <c r="X2421" s="46">
        <f t="shared" si="129"/>
        <v>2.880442992195964</v>
      </c>
    </row>
    <row r="2422" spans="1:24" s="4" customFormat="1" ht="15" customHeight="1">
      <c r="A2422" s="28" t="s">
        <v>3483</v>
      </c>
      <c r="B2422" s="29">
        <v>3387.15</v>
      </c>
      <c r="C2422" s="30" t="s">
        <v>3515</v>
      </c>
      <c r="D2422" s="2">
        <v>4951796910</v>
      </c>
      <c r="E2422" s="2" t="s">
        <v>14</v>
      </c>
      <c r="F2422" s="2" t="s">
        <v>3516</v>
      </c>
      <c r="G2422" s="28" t="s">
        <v>13</v>
      </c>
      <c r="H2422" s="2" t="s">
        <v>23</v>
      </c>
      <c r="I2422" s="2">
        <v>3</v>
      </c>
      <c r="J2422" s="2"/>
      <c r="K2422" s="2">
        <v>1964.6</v>
      </c>
      <c r="L2422" s="35">
        <f t="shared" si="127"/>
        <v>6654394.8899999997</v>
      </c>
      <c r="M2422" s="36">
        <v>20</v>
      </c>
      <c r="N2422" s="40">
        <v>72174.307692307702</v>
      </c>
      <c r="O2422" s="40">
        <v>0</v>
      </c>
      <c r="P2422" s="40">
        <v>0</v>
      </c>
      <c r="Q2422" s="40">
        <v>0</v>
      </c>
      <c r="R2422" s="40">
        <v>2134.76923076923</v>
      </c>
      <c r="S2422" s="40">
        <v>54516.307692307702</v>
      </c>
      <c r="T2422" s="40">
        <v>30000</v>
      </c>
      <c r="U2422" s="40">
        <v>32850.666666666701</v>
      </c>
      <c r="V2422" s="40">
        <v>0</v>
      </c>
      <c r="W2422" s="45">
        <f t="shared" si="128"/>
        <v>191676.05128205131</v>
      </c>
      <c r="X2422" s="46">
        <f t="shared" si="129"/>
        <v>2.880442992195964</v>
      </c>
    </row>
    <row r="2423" spans="1:24" s="4" customFormat="1" ht="15" customHeight="1">
      <c r="A2423" s="28" t="s">
        <v>3483</v>
      </c>
      <c r="B2423" s="29">
        <v>3387.15</v>
      </c>
      <c r="C2423" s="30" t="s">
        <v>3517</v>
      </c>
      <c r="D2423" s="2">
        <v>4952162026</v>
      </c>
      <c r="E2423" s="2" t="s">
        <v>14</v>
      </c>
      <c r="F2423" s="2" t="s">
        <v>3518</v>
      </c>
      <c r="G2423" s="28" t="s">
        <v>13</v>
      </c>
      <c r="H2423" s="2" t="s">
        <v>23</v>
      </c>
      <c r="I2423" s="2">
        <v>1</v>
      </c>
      <c r="J2423" s="2"/>
      <c r="K2423" s="2">
        <v>773.4</v>
      </c>
      <c r="L2423" s="35">
        <f t="shared" si="127"/>
        <v>2619621.81</v>
      </c>
      <c r="M2423" s="36">
        <v>20</v>
      </c>
      <c r="N2423" s="40">
        <v>118567.43</v>
      </c>
      <c r="O2423" s="40">
        <v>0</v>
      </c>
      <c r="P2423" s="40">
        <v>320000</v>
      </c>
      <c r="Q2423" s="40">
        <v>0</v>
      </c>
      <c r="R2423" s="40">
        <v>1754</v>
      </c>
      <c r="S2423" s="40">
        <v>354356</v>
      </c>
      <c r="T2423" s="40">
        <v>30000</v>
      </c>
      <c r="U2423" s="40">
        <v>246380</v>
      </c>
      <c r="V2423" s="40">
        <v>0</v>
      </c>
      <c r="W2423" s="45">
        <f t="shared" si="128"/>
        <v>1071057.43</v>
      </c>
      <c r="X2423" s="46">
        <f t="shared" si="129"/>
        <v>40.885956358715767</v>
      </c>
    </row>
    <row r="2424" spans="1:24" s="4" customFormat="1" ht="15" customHeight="1">
      <c r="A2424" s="28" t="s">
        <v>3483</v>
      </c>
      <c r="B2424" s="29">
        <v>3387.15</v>
      </c>
      <c r="C2424" s="30" t="s">
        <v>3519</v>
      </c>
      <c r="D2424" s="2">
        <v>4951796943</v>
      </c>
      <c r="E2424" s="2" t="s">
        <v>14</v>
      </c>
      <c r="F2424" s="2" t="s">
        <v>3520</v>
      </c>
      <c r="G2424" s="28" t="s">
        <v>13</v>
      </c>
      <c r="H2424" s="2" t="s">
        <v>23</v>
      </c>
      <c r="I2424" s="2">
        <v>4</v>
      </c>
      <c r="J2424" s="2"/>
      <c r="K2424" s="2">
        <v>2288.8000000000002</v>
      </c>
      <c r="L2424" s="35">
        <f t="shared" si="127"/>
        <v>7752508.9200000009</v>
      </c>
      <c r="M2424" s="36">
        <v>20</v>
      </c>
      <c r="N2424" s="40">
        <v>597215</v>
      </c>
      <c r="O2424" s="40">
        <v>0</v>
      </c>
      <c r="P2424" s="40">
        <v>300000</v>
      </c>
      <c r="Q2424" s="40">
        <v>0</v>
      </c>
      <c r="R2424" s="40">
        <v>4000</v>
      </c>
      <c r="S2424" s="40">
        <v>354356</v>
      </c>
      <c r="T2424" s="40">
        <v>30000</v>
      </c>
      <c r="U2424" s="40">
        <v>75809.230769230795</v>
      </c>
      <c r="V2424" s="40">
        <v>0</v>
      </c>
      <c r="W2424" s="45">
        <f t="shared" si="128"/>
        <v>1361380.2307692308</v>
      </c>
      <c r="X2424" s="46">
        <f t="shared" si="129"/>
        <v>17.560511633300134</v>
      </c>
    </row>
    <row r="2425" spans="1:24" s="4" customFormat="1" ht="15" customHeight="1">
      <c r="A2425" s="28" t="s">
        <v>3483</v>
      </c>
      <c r="B2425" s="29">
        <v>3387.15</v>
      </c>
      <c r="C2425" s="30" t="s">
        <v>3521</v>
      </c>
      <c r="D2425" s="2">
        <v>4952701157</v>
      </c>
      <c r="E2425" s="2" t="s">
        <v>14</v>
      </c>
      <c r="F2425" s="2">
        <v>1028229024</v>
      </c>
      <c r="G2425" s="28" t="s">
        <v>13</v>
      </c>
      <c r="H2425" s="2" t="s">
        <v>23</v>
      </c>
      <c r="I2425" s="2">
        <v>1</v>
      </c>
      <c r="J2425" s="2"/>
      <c r="K2425" s="2">
        <v>997.68</v>
      </c>
      <c r="L2425" s="35">
        <f t="shared" si="127"/>
        <v>3379291.8119999999</v>
      </c>
      <c r="M2425" s="36">
        <v>2500</v>
      </c>
      <c r="N2425" s="40">
        <v>153541</v>
      </c>
      <c r="O2425" s="40">
        <v>0</v>
      </c>
      <c r="P2425" s="40">
        <v>0</v>
      </c>
      <c r="Q2425" s="40">
        <v>0</v>
      </c>
      <c r="R2425" s="40">
        <v>514</v>
      </c>
      <c r="S2425" s="40">
        <v>354356</v>
      </c>
      <c r="T2425" s="40">
        <v>30000</v>
      </c>
      <c r="U2425" s="40">
        <v>3677.3134328358201</v>
      </c>
      <c r="V2425" s="40">
        <v>0</v>
      </c>
      <c r="W2425" s="45">
        <f t="shared" si="128"/>
        <v>542088.31343283586</v>
      </c>
      <c r="X2425" s="46">
        <f t="shared" si="129"/>
        <v>16.041476841622814</v>
      </c>
    </row>
    <row r="2426" spans="1:24" s="4" customFormat="1" ht="15" customHeight="1">
      <c r="A2426" s="28" t="s">
        <v>3483</v>
      </c>
      <c r="B2426" s="29">
        <v>3387.15</v>
      </c>
      <c r="C2426" s="30" t="s">
        <v>3522</v>
      </c>
      <c r="D2426" s="2">
        <v>4952287266</v>
      </c>
      <c r="E2426" s="2" t="s">
        <v>14</v>
      </c>
      <c r="F2426" s="2">
        <v>1028228906</v>
      </c>
      <c r="G2426" s="28" t="s">
        <v>13</v>
      </c>
      <c r="H2426" s="2" t="s">
        <v>23</v>
      </c>
      <c r="I2426" s="2">
        <v>1</v>
      </c>
      <c r="J2426" s="2"/>
      <c r="K2426" s="2">
        <v>3856</v>
      </c>
      <c r="L2426" s="35">
        <f t="shared" si="127"/>
        <v>13060850.4</v>
      </c>
      <c r="M2426" s="36">
        <v>50</v>
      </c>
      <c r="N2426" s="40">
        <v>123605.72500000001</v>
      </c>
      <c r="O2426" s="40">
        <v>0</v>
      </c>
      <c r="P2426" s="40">
        <v>0</v>
      </c>
      <c r="Q2426" s="40">
        <v>0</v>
      </c>
      <c r="R2426" s="40">
        <v>3494</v>
      </c>
      <c r="S2426" s="40">
        <v>177178</v>
      </c>
      <c r="T2426" s="40">
        <v>30000</v>
      </c>
      <c r="U2426" s="40">
        <v>73546.268656716406</v>
      </c>
      <c r="V2426" s="40">
        <v>0</v>
      </c>
      <c r="W2426" s="45">
        <f t="shared" si="128"/>
        <v>407823.99365671637</v>
      </c>
      <c r="X2426" s="46">
        <f t="shared" si="129"/>
        <v>3.1224918835048929</v>
      </c>
    </row>
    <row r="2427" spans="1:24" s="4" customFormat="1" ht="15" customHeight="1">
      <c r="A2427" s="28" t="s">
        <v>3483</v>
      </c>
      <c r="B2427" s="29">
        <v>3387.15</v>
      </c>
      <c r="C2427" s="30" t="s">
        <v>3522</v>
      </c>
      <c r="D2427" s="2">
        <v>4952287268</v>
      </c>
      <c r="E2427" s="2" t="s">
        <v>14</v>
      </c>
      <c r="F2427" s="2">
        <v>1028228906</v>
      </c>
      <c r="G2427" s="28" t="s">
        <v>13</v>
      </c>
      <c r="H2427" s="2" t="s">
        <v>23</v>
      </c>
      <c r="I2427" s="2">
        <v>1</v>
      </c>
      <c r="J2427" s="2"/>
      <c r="K2427" s="2">
        <v>3856</v>
      </c>
      <c r="L2427" s="35">
        <f t="shared" si="127"/>
        <v>13060850.4</v>
      </c>
      <c r="M2427" s="36">
        <v>50</v>
      </c>
      <c r="N2427" s="40">
        <v>123605.72500000001</v>
      </c>
      <c r="O2427" s="40">
        <v>0</v>
      </c>
      <c r="P2427" s="40">
        <v>0</v>
      </c>
      <c r="Q2427" s="40">
        <v>0</v>
      </c>
      <c r="R2427" s="40">
        <v>3494</v>
      </c>
      <c r="S2427" s="40">
        <v>177178</v>
      </c>
      <c r="T2427" s="40">
        <v>30000</v>
      </c>
      <c r="U2427" s="40">
        <v>73546.268656716406</v>
      </c>
      <c r="V2427" s="40">
        <v>0</v>
      </c>
      <c r="W2427" s="45">
        <f t="shared" si="128"/>
        <v>407823.99365671637</v>
      </c>
      <c r="X2427" s="46">
        <f t="shared" si="129"/>
        <v>3.1224918835048929</v>
      </c>
    </row>
    <row r="2428" spans="1:24" s="4" customFormat="1" ht="15" customHeight="1">
      <c r="A2428" s="28" t="s">
        <v>3483</v>
      </c>
      <c r="B2428" s="29">
        <v>3387.15</v>
      </c>
      <c r="C2428" s="30" t="s">
        <v>3523</v>
      </c>
      <c r="D2428" s="2">
        <v>4952509780</v>
      </c>
      <c r="E2428" s="2" t="s">
        <v>27</v>
      </c>
      <c r="F2428" s="2" t="s">
        <v>3524</v>
      </c>
      <c r="G2428" s="28" t="s">
        <v>13</v>
      </c>
      <c r="H2428" s="2" t="s">
        <v>23</v>
      </c>
      <c r="I2428" s="2">
        <v>4</v>
      </c>
      <c r="J2428" s="2"/>
      <c r="K2428" s="2">
        <v>191.74</v>
      </c>
      <c r="L2428" s="35">
        <f t="shared" si="127"/>
        <v>649452.14100000006</v>
      </c>
      <c r="M2428" s="36">
        <v>22.4</v>
      </c>
      <c r="N2428" s="40">
        <v>1143005.71</v>
      </c>
      <c r="O2428" s="40">
        <v>0</v>
      </c>
      <c r="P2428" s="40">
        <v>0</v>
      </c>
      <c r="Q2428" s="40">
        <v>0</v>
      </c>
      <c r="R2428" s="40">
        <v>4572</v>
      </c>
      <c r="S2428" s="40">
        <v>354356</v>
      </c>
      <c r="T2428" s="40"/>
      <c r="U2428" s="40">
        <v>246380</v>
      </c>
      <c r="V2428" s="40">
        <v>0</v>
      </c>
      <c r="W2428" s="45">
        <f t="shared" si="128"/>
        <v>1748313.71</v>
      </c>
      <c r="X2428" s="46">
        <f t="shared" si="129"/>
        <v>269.1982364255536</v>
      </c>
    </row>
    <row r="2429" spans="1:24" s="4" customFormat="1" ht="15" customHeight="1">
      <c r="A2429" s="28" t="s">
        <v>3483</v>
      </c>
      <c r="B2429" s="29">
        <v>3387.15</v>
      </c>
      <c r="C2429" s="30" t="s">
        <v>3525</v>
      </c>
      <c r="D2429" s="2">
        <v>4952701157</v>
      </c>
      <c r="E2429" s="2" t="s">
        <v>14</v>
      </c>
      <c r="F2429" s="2">
        <v>1028229076</v>
      </c>
      <c r="G2429" s="28" t="s">
        <v>13</v>
      </c>
      <c r="H2429" s="2" t="s">
        <v>23</v>
      </c>
      <c r="I2429" s="2">
        <v>1</v>
      </c>
      <c r="J2429" s="2"/>
      <c r="K2429" s="2">
        <v>5712.8</v>
      </c>
      <c r="L2429" s="35">
        <f t="shared" si="127"/>
        <v>19350110.52</v>
      </c>
      <c r="M2429" s="36">
        <v>40</v>
      </c>
      <c r="N2429" s="40">
        <v>153541.35999999999</v>
      </c>
      <c r="O2429" s="40">
        <v>0</v>
      </c>
      <c r="P2429" s="40">
        <v>0</v>
      </c>
      <c r="Q2429" s="40">
        <v>0</v>
      </c>
      <c r="R2429" s="40">
        <v>3614</v>
      </c>
      <c r="S2429" s="40">
        <v>354356</v>
      </c>
      <c r="T2429" s="40">
        <v>30000</v>
      </c>
      <c r="U2429" s="40">
        <v>58837.0149253731</v>
      </c>
      <c r="V2429" s="40">
        <v>0</v>
      </c>
      <c r="W2429" s="45">
        <f t="shared" si="128"/>
        <v>600348.37492537312</v>
      </c>
      <c r="X2429" s="46">
        <f t="shared" si="129"/>
        <v>3.1025578603536221</v>
      </c>
    </row>
    <row r="2430" spans="1:24" s="4" customFormat="1" ht="15" customHeight="1">
      <c r="A2430" s="28" t="s">
        <v>3483</v>
      </c>
      <c r="B2430" s="29">
        <v>3387.15</v>
      </c>
      <c r="C2430" s="30" t="s">
        <v>3526</v>
      </c>
      <c r="D2430" s="2">
        <v>4952860092</v>
      </c>
      <c r="E2430" s="2" t="s">
        <v>14</v>
      </c>
      <c r="F2430" s="2" t="s">
        <v>3527</v>
      </c>
      <c r="G2430" s="28" t="s">
        <v>13</v>
      </c>
      <c r="H2430" s="2" t="s">
        <v>23</v>
      </c>
      <c r="I2430" s="2">
        <v>1</v>
      </c>
      <c r="J2430" s="2"/>
      <c r="K2430" s="2">
        <v>556.5</v>
      </c>
      <c r="L2430" s="35">
        <f t="shared" si="127"/>
        <v>1884948.9750000001</v>
      </c>
      <c r="M2430" s="36">
        <v>25</v>
      </c>
      <c r="N2430" s="40">
        <v>1151121</v>
      </c>
      <c r="O2430" s="40">
        <v>0</v>
      </c>
      <c r="P2430" s="40">
        <v>0</v>
      </c>
      <c r="Q2430" s="40">
        <v>0</v>
      </c>
      <c r="R2430" s="40">
        <v>5529</v>
      </c>
      <c r="S2430" s="40">
        <v>354356</v>
      </c>
      <c r="T2430" s="40">
        <v>30000</v>
      </c>
      <c r="U2430" s="40">
        <v>36773.134328358203</v>
      </c>
      <c r="V2430" s="40">
        <v>0</v>
      </c>
      <c r="W2430" s="45">
        <f t="shared" si="128"/>
        <v>1577779.1343283581</v>
      </c>
      <c r="X2430" s="46">
        <f t="shared" si="129"/>
        <v>83.704076622464441</v>
      </c>
    </row>
    <row r="2431" spans="1:24" s="4" customFormat="1" ht="15" customHeight="1">
      <c r="A2431" s="28" t="s">
        <v>3483</v>
      </c>
      <c r="B2431" s="29">
        <v>3387.15</v>
      </c>
      <c r="C2431" s="30" t="s">
        <v>3528</v>
      </c>
      <c r="D2431" s="2">
        <v>4952292350</v>
      </c>
      <c r="E2431" s="2" t="s">
        <v>14</v>
      </c>
      <c r="F2431" s="2" t="s">
        <v>3529</v>
      </c>
      <c r="G2431" s="28" t="s">
        <v>13</v>
      </c>
      <c r="H2431" s="2" t="s">
        <v>23</v>
      </c>
      <c r="I2431" s="2">
        <v>1</v>
      </c>
      <c r="J2431" s="2"/>
      <c r="K2431" s="2">
        <v>5753.7</v>
      </c>
      <c r="L2431" s="35">
        <f t="shared" si="127"/>
        <v>19488644.954999998</v>
      </c>
      <c r="M2431" s="36">
        <v>45</v>
      </c>
      <c r="N2431" s="40">
        <v>456476</v>
      </c>
      <c r="O2431" s="40">
        <v>0</v>
      </c>
      <c r="P2431" s="40">
        <v>0</v>
      </c>
      <c r="Q2431" s="40">
        <v>0</v>
      </c>
      <c r="R2431" s="40">
        <v>6350</v>
      </c>
      <c r="S2431" s="40">
        <v>354356</v>
      </c>
      <c r="T2431" s="40">
        <v>30000</v>
      </c>
      <c r="U2431" s="40">
        <v>170570.76923076899</v>
      </c>
      <c r="V2431" s="40">
        <v>0</v>
      </c>
      <c r="W2431" s="45">
        <f t="shared" si="128"/>
        <v>1017752.769230769</v>
      </c>
      <c r="X2431" s="46">
        <f t="shared" si="129"/>
        <v>5.2222859597514235</v>
      </c>
    </row>
    <row r="2432" spans="1:24" s="4" customFormat="1" ht="15" customHeight="1">
      <c r="A2432" s="28" t="s">
        <v>3483</v>
      </c>
      <c r="B2432" s="29">
        <v>3387.15</v>
      </c>
      <c r="C2432" s="30" t="s">
        <v>3530</v>
      </c>
      <c r="D2432" s="2">
        <v>4949424055</v>
      </c>
      <c r="E2432" s="2" t="s">
        <v>27</v>
      </c>
      <c r="F2432" s="2" t="s">
        <v>3531</v>
      </c>
      <c r="G2432" s="28" t="s">
        <v>5</v>
      </c>
      <c r="H2432" s="2" t="s">
        <v>20</v>
      </c>
      <c r="I2432" s="2">
        <v>1</v>
      </c>
      <c r="J2432" s="2" t="s">
        <v>3532</v>
      </c>
      <c r="K2432" s="2">
        <v>16942.830000000002</v>
      </c>
      <c r="L2432" s="35">
        <f t="shared" si="127"/>
        <v>57387906.634500004</v>
      </c>
      <c r="M2432" s="36">
        <v>7271.6</v>
      </c>
      <c r="N2432" s="40">
        <v>379007</v>
      </c>
      <c r="O2432" s="40">
        <v>435616</v>
      </c>
      <c r="P2432" s="40">
        <v>265144</v>
      </c>
      <c r="Q2432" s="40">
        <v>124137</v>
      </c>
      <c r="R2432" s="40">
        <v>732074</v>
      </c>
      <c r="S2432" s="40">
        <v>354356</v>
      </c>
      <c r="T2432" s="40"/>
      <c r="U2432" s="40">
        <v>2900300</v>
      </c>
      <c r="V2432" s="40">
        <v>0</v>
      </c>
      <c r="W2432" s="45">
        <f t="shared" si="128"/>
        <v>5190634</v>
      </c>
      <c r="X2432" s="46">
        <f t="shared" si="129"/>
        <v>9.0448219919552457</v>
      </c>
    </row>
    <row r="2433" spans="1:24" s="4" customFormat="1" ht="15" customHeight="1">
      <c r="A2433" s="28" t="s">
        <v>3483</v>
      </c>
      <c r="B2433" s="29">
        <v>3387.15</v>
      </c>
      <c r="C2433" s="30" t="s">
        <v>3533</v>
      </c>
      <c r="D2433" s="2">
        <v>4951377854</v>
      </c>
      <c r="E2433" s="2" t="s">
        <v>24</v>
      </c>
      <c r="F2433" s="2" t="s">
        <v>3534</v>
      </c>
      <c r="G2433" s="28" t="s">
        <v>5</v>
      </c>
      <c r="H2433" s="2" t="s">
        <v>26</v>
      </c>
      <c r="I2433" s="2">
        <v>1</v>
      </c>
      <c r="J2433" s="2" t="s">
        <v>3535</v>
      </c>
      <c r="K2433" s="2">
        <v>32804.449999999997</v>
      </c>
      <c r="L2433" s="35">
        <f t="shared" si="127"/>
        <v>111113592.8175</v>
      </c>
      <c r="M2433" s="36">
        <v>24665</v>
      </c>
      <c r="N2433" s="40">
        <v>380134</v>
      </c>
      <c r="O2433" s="40">
        <v>382879</v>
      </c>
      <c r="P2433" s="40">
        <v>545043</v>
      </c>
      <c r="Q2433" s="40">
        <v>111673</v>
      </c>
      <c r="R2433" s="40">
        <v>779472</v>
      </c>
      <c r="S2433" s="40">
        <v>354356</v>
      </c>
      <c r="T2433" s="40"/>
      <c r="U2433" s="40">
        <v>0</v>
      </c>
      <c r="V2433" s="40">
        <v>0</v>
      </c>
      <c r="W2433" s="45">
        <f t="shared" si="128"/>
        <v>2553557</v>
      </c>
      <c r="X2433" s="46">
        <f t="shared" si="129"/>
        <v>2.2981499699988315</v>
      </c>
    </row>
    <row r="2434" spans="1:24" s="4" customFormat="1" ht="15" customHeight="1">
      <c r="A2434" s="28" t="s">
        <v>3483</v>
      </c>
      <c r="B2434" s="29">
        <v>3387.15</v>
      </c>
      <c r="C2434" s="30" t="s">
        <v>3536</v>
      </c>
      <c r="D2434" s="2">
        <v>4951017917</v>
      </c>
      <c r="E2434" s="2" t="s">
        <v>18</v>
      </c>
      <c r="F2434" s="2" t="s">
        <v>3537</v>
      </c>
      <c r="G2434" s="28" t="s">
        <v>5</v>
      </c>
      <c r="H2434" s="2" t="s">
        <v>20</v>
      </c>
      <c r="I2434" s="2">
        <v>1</v>
      </c>
      <c r="J2434" s="2" t="s">
        <v>3538</v>
      </c>
      <c r="K2434" s="2">
        <v>21375</v>
      </c>
      <c r="L2434" s="35">
        <f t="shared" si="127"/>
        <v>72400331.25</v>
      </c>
      <c r="M2434" s="36">
        <v>17100</v>
      </c>
      <c r="N2434" s="40">
        <v>324606</v>
      </c>
      <c r="O2434" s="40">
        <v>435616</v>
      </c>
      <c r="P2434" s="40">
        <v>715890</v>
      </c>
      <c r="Q2434" s="40">
        <v>124137</v>
      </c>
      <c r="R2434" s="40">
        <v>637508</v>
      </c>
      <c r="S2434" s="40">
        <v>354356</v>
      </c>
      <c r="T2434" s="40">
        <v>30000</v>
      </c>
      <c r="U2434" s="40">
        <v>4413500</v>
      </c>
      <c r="V2434" s="40">
        <v>0</v>
      </c>
      <c r="W2434" s="45">
        <f t="shared" si="128"/>
        <v>7035613</v>
      </c>
      <c r="X2434" s="46">
        <f t="shared" si="129"/>
        <v>9.7176530528650034</v>
      </c>
    </row>
    <row r="2435" spans="1:24" s="4" customFormat="1" ht="15" customHeight="1">
      <c r="A2435" s="28" t="s">
        <v>3483</v>
      </c>
      <c r="B2435" s="29">
        <v>3387.15</v>
      </c>
      <c r="C2435" s="30" t="s">
        <v>3539</v>
      </c>
      <c r="D2435" s="2">
        <v>4951408235</v>
      </c>
      <c r="E2435" s="2" t="s">
        <v>18</v>
      </c>
      <c r="F2435" s="2" t="s">
        <v>3540</v>
      </c>
      <c r="G2435" s="28" t="s">
        <v>9</v>
      </c>
      <c r="H2435" s="2" t="s">
        <v>23</v>
      </c>
      <c r="I2435" s="2">
        <v>3</v>
      </c>
      <c r="J2435" s="2"/>
      <c r="K2435" s="2">
        <v>53844</v>
      </c>
      <c r="L2435" s="35">
        <f t="shared" si="127"/>
        <v>182377704.59999999</v>
      </c>
      <c r="M2435" s="36">
        <v>1050</v>
      </c>
      <c r="N2435" s="40">
        <v>498623</v>
      </c>
      <c r="O2435" s="40">
        <v>707</v>
      </c>
      <c r="P2435" s="40">
        <v>32816</v>
      </c>
      <c r="Q2435" s="40">
        <v>22240</v>
      </c>
      <c r="R2435" s="40">
        <v>242992</v>
      </c>
      <c r="S2435" s="40">
        <v>354356</v>
      </c>
      <c r="T2435" s="40">
        <v>30000</v>
      </c>
      <c r="U2435" s="40">
        <v>995352.27272727306</v>
      </c>
      <c r="V2435" s="40">
        <v>0</v>
      </c>
      <c r="W2435" s="45">
        <f t="shared" si="128"/>
        <v>2177086.2727272729</v>
      </c>
      <c r="X2435" s="46">
        <f t="shared" si="129"/>
        <v>1.1937239135135342</v>
      </c>
    </row>
    <row r="2436" spans="1:24" s="4" customFormat="1" ht="15" customHeight="1">
      <c r="A2436" s="28" t="s">
        <v>3483</v>
      </c>
      <c r="B2436" s="29">
        <v>3387.15</v>
      </c>
      <c r="C2436" s="30" t="s">
        <v>3541</v>
      </c>
      <c r="D2436" s="2">
        <v>4951152073</v>
      </c>
      <c r="E2436" s="2" t="s">
        <v>14</v>
      </c>
      <c r="F2436" s="2" t="s">
        <v>3542</v>
      </c>
      <c r="G2436" s="28" t="s">
        <v>5</v>
      </c>
      <c r="H2436" s="2" t="s">
        <v>20</v>
      </c>
      <c r="I2436" s="2">
        <v>2</v>
      </c>
      <c r="J2436" s="2" t="s">
        <v>3543</v>
      </c>
      <c r="K2436" s="2">
        <v>65016</v>
      </c>
      <c r="L2436" s="35">
        <f t="shared" si="127"/>
        <v>220218944.40000001</v>
      </c>
      <c r="M2436" s="36">
        <v>31680</v>
      </c>
      <c r="N2436" s="40">
        <v>644842</v>
      </c>
      <c r="O2436" s="40">
        <v>699758</v>
      </c>
      <c r="P2436" s="40">
        <v>910011</v>
      </c>
      <c r="Q2436" s="40">
        <v>198619</v>
      </c>
      <c r="R2436" s="40">
        <v>1263273</v>
      </c>
      <c r="S2436" s="40">
        <v>354356</v>
      </c>
      <c r="T2436" s="40">
        <v>30000</v>
      </c>
      <c r="U2436" s="40">
        <v>12208800</v>
      </c>
      <c r="V2436" s="40">
        <v>0</v>
      </c>
      <c r="W2436" s="45">
        <f t="shared" si="128"/>
        <v>16309659</v>
      </c>
      <c r="X2436" s="46">
        <f t="shared" si="129"/>
        <v>7.4061107887137796</v>
      </c>
    </row>
    <row r="2437" spans="1:24" s="4" customFormat="1" ht="15" customHeight="1">
      <c r="A2437" s="28" t="s">
        <v>3483</v>
      </c>
      <c r="B2437" s="29">
        <v>3387.15</v>
      </c>
      <c r="C2437" s="30" t="s">
        <v>3544</v>
      </c>
      <c r="D2437" s="2">
        <v>4951574742</v>
      </c>
      <c r="E2437" s="2" t="s">
        <v>18</v>
      </c>
      <c r="F2437" s="2" t="s">
        <v>3545</v>
      </c>
      <c r="G2437" s="28" t="s">
        <v>5</v>
      </c>
      <c r="H2437" s="2" t="s">
        <v>17</v>
      </c>
      <c r="I2437" s="2">
        <v>1</v>
      </c>
      <c r="J2437" s="2" t="s">
        <v>3546</v>
      </c>
      <c r="K2437" s="2">
        <v>80750</v>
      </c>
      <c r="L2437" s="35">
        <f t="shared" si="127"/>
        <v>273512362.5</v>
      </c>
      <c r="M2437" s="36">
        <v>5000</v>
      </c>
      <c r="N2437" s="40">
        <v>192785.29411764699</v>
      </c>
      <c r="O2437" s="40">
        <v>152999.66666666701</v>
      </c>
      <c r="P2437" s="40">
        <v>236161.764705882</v>
      </c>
      <c r="Q2437" s="40">
        <v>36666.666666666701</v>
      </c>
      <c r="R2437" s="40">
        <v>484754.70588235301</v>
      </c>
      <c r="S2437" s="40">
        <v>208444.70588235301</v>
      </c>
      <c r="T2437" s="40">
        <v>30000</v>
      </c>
      <c r="U2437" s="40">
        <v>2775911.7647058801</v>
      </c>
      <c r="V2437" s="40">
        <v>0</v>
      </c>
      <c r="W2437" s="45">
        <f t="shared" si="128"/>
        <v>4117724.5686274488</v>
      </c>
      <c r="X2437" s="46">
        <f t="shared" si="129"/>
        <v>1.5054985196976056</v>
      </c>
    </row>
    <row r="2438" spans="1:24" s="4" customFormat="1" ht="15" customHeight="1">
      <c r="A2438" s="28" t="s">
        <v>3483</v>
      </c>
      <c r="B2438" s="29">
        <v>3387.15</v>
      </c>
      <c r="C2438" s="30" t="s">
        <v>3544</v>
      </c>
      <c r="D2438" s="2">
        <v>4951574706</v>
      </c>
      <c r="E2438" s="2" t="s">
        <v>18</v>
      </c>
      <c r="F2438" s="2" t="s">
        <v>3545</v>
      </c>
      <c r="G2438" s="28" t="s">
        <v>5</v>
      </c>
      <c r="H2438" s="2" t="s">
        <v>17</v>
      </c>
      <c r="I2438" s="2">
        <v>1</v>
      </c>
      <c r="J2438" s="2" t="s">
        <v>3546</v>
      </c>
      <c r="K2438" s="2">
        <v>69990</v>
      </c>
      <c r="L2438" s="35">
        <f t="shared" si="127"/>
        <v>237066628.5</v>
      </c>
      <c r="M2438" s="36">
        <v>3000</v>
      </c>
      <c r="N2438" s="40">
        <v>115671.17647058801</v>
      </c>
      <c r="O2438" s="40">
        <v>152999.66666666701</v>
      </c>
      <c r="P2438" s="40">
        <v>141697.05882352899</v>
      </c>
      <c r="Q2438" s="40">
        <v>36666.666666666701</v>
      </c>
      <c r="R2438" s="40">
        <v>290852.82352941198</v>
      </c>
      <c r="S2438" s="40">
        <v>125066.82352941199</v>
      </c>
      <c r="T2438" s="40">
        <v>30000</v>
      </c>
      <c r="U2438" s="40">
        <v>1665547.0588235301</v>
      </c>
      <c r="V2438" s="40">
        <v>0</v>
      </c>
      <c r="W2438" s="45">
        <f t="shared" si="128"/>
        <v>2558501.2745098048</v>
      </c>
      <c r="X2438" s="46">
        <f t="shared" si="129"/>
        <v>1.079232994832845</v>
      </c>
    </row>
    <row r="2439" spans="1:24" s="4" customFormat="1" ht="15" customHeight="1">
      <c r="A2439" s="28" t="s">
        <v>3483</v>
      </c>
      <c r="B2439" s="29">
        <v>3387.15</v>
      </c>
      <c r="C2439" s="30" t="s">
        <v>3544</v>
      </c>
      <c r="D2439" s="2">
        <v>4951574715</v>
      </c>
      <c r="E2439" s="2" t="s">
        <v>18</v>
      </c>
      <c r="F2439" s="2" t="s">
        <v>3545</v>
      </c>
      <c r="G2439" s="28" t="s">
        <v>5</v>
      </c>
      <c r="H2439" s="2" t="s">
        <v>17</v>
      </c>
      <c r="I2439" s="2">
        <v>1</v>
      </c>
      <c r="J2439" s="2" t="s">
        <v>3546</v>
      </c>
      <c r="K2439" s="2">
        <v>2685</v>
      </c>
      <c r="L2439" s="35">
        <f t="shared" si="127"/>
        <v>9094497.75</v>
      </c>
      <c r="M2439" s="36">
        <v>500</v>
      </c>
      <c r="N2439" s="40">
        <v>19278.529411764699</v>
      </c>
      <c r="O2439" s="40">
        <v>152999.66666666701</v>
      </c>
      <c r="P2439" s="40">
        <v>23616.176470588201</v>
      </c>
      <c r="Q2439" s="40">
        <v>36666.666666666701</v>
      </c>
      <c r="R2439" s="40">
        <v>48475.470588235301</v>
      </c>
      <c r="S2439" s="40">
        <v>20844.470588235301</v>
      </c>
      <c r="T2439" s="40">
        <v>30000</v>
      </c>
      <c r="U2439" s="40">
        <v>277591.17647058802</v>
      </c>
      <c r="V2439" s="40">
        <v>0</v>
      </c>
      <c r="W2439" s="45">
        <f t="shared" si="128"/>
        <v>609472.15686274529</v>
      </c>
      <c r="X2439" s="46">
        <f t="shared" si="129"/>
        <v>6.7015482725557369</v>
      </c>
    </row>
    <row r="2440" spans="1:24" s="4" customFormat="1" ht="15" customHeight="1">
      <c r="A2440" s="28" t="s">
        <v>3483</v>
      </c>
      <c r="B2440" s="29">
        <v>3387.15</v>
      </c>
      <c r="C2440" s="30" t="s">
        <v>3547</v>
      </c>
      <c r="D2440" s="2">
        <v>4951574734</v>
      </c>
      <c r="E2440" s="2" t="s">
        <v>18</v>
      </c>
      <c r="F2440" s="2" t="s">
        <v>3548</v>
      </c>
      <c r="G2440" s="28" t="s">
        <v>5</v>
      </c>
      <c r="H2440" s="2" t="s">
        <v>20</v>
      </c>
      <c r="I2440" s="2">
        <v>1</v>
      </c>
      <c r="J2440" s="2" t="s">
        <v>3549</v>
      </c>
      <c r="K2440" s="2">
        <v>22572</v>
      </c>
      <c r="L2440" s="35">
        <f t="shared" si="127"/>
        <v>76454749.799999997</v>
      </c>
      <c r="M2440" s="36">
        <v>19800</v>
      </c>
      <c r="N2440" s="40">
        <v>379007</v>
      </c>
      <c r="O2440" s="40">
        <v>435616</v>
      </c>
      <c r="P2440" s="40">
        <v>455005</v>
      </c>
      <c r="Q2440" s="40">
        <v>124137</v>
      </c>
      <c r="R2440" s="40">
        <v>642596</v>
      </c>
      <c r="S2440" s="40">
        <v>354356</v>
      </c>
      <c r="T2440" s="40">
        <v>30000</v>
      </c>
      <c r="U2440" s="40">
        <v>4811200</v>
      </c>
      <c r="V2440" s="40">
        <v>0</v>
      </c>
      <c r="W2440" s="45">
        <f t="shared" si="128"/>
        <v>7231917</v>
      </c>
      <c r="X2440" s="46">
        <f t="shared" si="129"/>
        <v>9.4590813767858286</v>
      </c>
    </row>
    <row r="2441" spans="1:24" s="4" customFormat="1" ht="15" customHeight="1">
      <c r="A2441" s="28" t="s">
        <v>3483</v>
      </c>
      <c r="B2441" s="29">
        <v>3387.15</v>
      </c>
      <c r="C2441" s="30" t="s">
        <v>3550</v>
      </c>
      <c r="D2441" s="2">
        <v>4951772229</v>
      </c>
      <c r="E2441" s="2" t="s">
        <v>27</v>
      </c>
      <c r="F2441" s="2" t="s">
        <v>3551</v>
      </c>
      <c r="G2441" s="28" t="s">
        <v>5</v>
      </c>
      <c r="H2441" s="2" t="s">
        <v>20</v>
      </c>
      <c r="I2441" s="2">
        <v>1</v>
      </c>
      <c r="J2441" s="2" t="s">
        <v>3552</v>
      </c>
      <c r="K2441" s="2">
        <f>36453.6+9975.5+7557.43+58.8</f>
        <v>54045.33</v>
      </c>
      <c r="L2441" s="35">
        <f t="shared" si="127"/>
        <v>183059639.5095</v>
      </c>
      <c r="M2441" s="36">
        <v>5365.3</v>
      </c>
      <c r="N2441" s="40">
        <v>379149</v>
      </c>
      <c r="O2441" s="40">
        <v>435616</v>
      </c>
      <c r="P2441" s="40">
        <v>563424</v>
      </c>
      <c r="Q2441" s="40">
        <v>124137</v>
      </c>
      <c r="R2441" s="40">
        <v>799267</v>
      </c>
      <c r="S2441" s="40">
        <v>354356</v>
      </c>
      <c r="T2441" s="40"/>
      <c r="U2441" s="40">
        <v>2900300</v>
      </c>
      <c r="V2441" s="40">
        <v>0</v>
      </c>
      <c r="W2441" s="45">
        <f t="shared" si="128"/>
        <v>5556249</v>
      </c>
      <c r="X2441" s="46">
        <f t="shared" si="129"/>
        <v>3.0352124667609512</v>
      </c>
    </row>
    <row r="2442" spans="1:24" s="4" customFormat="1" ht="15" customHeight="1">
      <c r="A2442" s="28" t="s">
        <v>3483</v>
      </c>
      <c r="B2442" s="29">
        <v>3387.15</v>
      </c>
      <c r="C2442" s="30" t="s">
        <v>3553</v>
      </c>
      <c r="D2442" s="2">
        <v>4951748538</v>
      </c>
      <c r="E2442" s="2" t="s">
        <v>14</v>
      </c>
      <c r="F2442" s="2" t="s">
        <v>3554</v>
      </c>
      <c r="G2442" s="28" t="s">
        <v>9</v>
      </c>
      <c r="H2442" s="2" t="s">
        <v>23</v>
      </c>
      <c r="I2442" s="2">
        <v>1</v>
      </c>
      <c r="J2442" s="2"/>
      <c r="K2442" s="2">
        <v>1388.4</v>
      </c>
      <c r="L2442" s="35">
        <f t="shared" si="127"/>
        <v>4702719.0600000005</v>
      </c>
      <c r="M2442" s="36">
        <v>1068</v>
      </c>
      <c r="N2442" s="40">
        <v>587224</v>
      </c>
      <c r="O2442" s="40">
        <v>750</v>
      </c>
      <c r="P2442" s="40">
        <v>0</v>
      </c>
      <c r="Q2442" s="40">
        <v>22609</v>
      </c>
      <c r="R2442" s="40">
        <v>105927</v>
      </c>
      <c r="S2442" s="40">
        <v>354356</v>
      </c>
      <c r="T2442" s="40">
        <v>30000</v>
      </c>
      <c r="U2442" s="40">
        <v>1367700</v>
      </c>
      <c r="V2442" s="40">
        <v>0</v>
      </c>
      <c r="W2442" s="45">
        <f t="shared" si="128"/>
        <v>2468566</v>
      </c>
      <c r="X2442" s="46">
        <f t="shared" si="129"/>
        <v>52.492312819554222</v>
      </c>
    </row>
    <row r="2443" spans="1:24" s="4" customFormat="1" ht="15" customHeight="1">
      <c r="A2443" s="28" t="s">
        <v>3483</v>
      </c>
      <c r="B2443" s="29">
        <v>3387.15</v>
      </c>
      <c r="C2443" s="30" t="s">
        <v>3555</v>
      </c>
      <c r="D2443" s="2">
        <v>4949475894</v>
      </c>
      <c r="E2443" s="2" t="s">
        <v>6</v>
      </c>
      <c r="F2443" s="2" t="s">
        <v>3556</v>
      </c>
      <c r="G2443" s="28" t="s">
        <v>9</v>
      </c>
      <c r="H2443" s="2" t="s">
        <v>23</v>
      </c>
      <c r="I2443" s="2">
        <v>7</v>
      </c>
      <c r="J2443" s="2"/>
      <c r="K2443" s="2">
        <v>93139.199999999997</v>
      </c>
      <c r="L2443" s="35">
        <f t="shared" si="127"/>
        <v>315476441.27999997</v>
      </c>
      <c r="M2443" s="36">
        <v>2880</v>
      </c>
      <c r="N2443" s="40">
        <v>1339732</v>
      </c>
      <c r="O2443" s="40">
        <v>2397</v>
      </c>
      <c r="P2443" s="40">
        <v>0</v>
      </c>
      <c r="Q2443" s="40">
        <v>56987</v>
      </c>
      <c r="R2443" s="40">
        <v>142840</v>
      </c>
      <c r="S2443" s="40">
        <v>354356</v>
      </c>
      <c r="T2443" s="40">
        <v>30000</v>
      </c>
      <c r="U2443" s="40">
        <v>2085500</v>
      </c>
      <c r="V2443" s="40">
        <v>0</v>
      </c>
      <c r="W2443" s="45">
        <f t="shared" si="128"/>
        <v>4011812</v>
      </c>
      <c r="X2443" s="46">
        <f t="shared" si="129"/>
        <v>1.2716676984571822</v>
      </c>
    </row>
    <row r="2444" spans="1:24" s="4" customFormat="1" ht="15" customHeight="1">
      <c r="A2444" s="28" t="s">
        <v>3483</v>
      </c>
      <c r="B2444" s="29">
        <v>3387.15</v>
      </c>
      <c r="C2444" s="30" t="s">
        <v>3557</v>
      </c>
      <c r="D2444" s="2">
        <v>4952085016</v>
      </c>
      <c r="E2444" s="2" t="s">
        <v>24</v>
      </c>
      <c r="F2444" s="2" t="s">
        <v>3558</v>
      </c>
      <c r="G2444" s="28" t="s">
        <v>9</v>
      </c>
      <c r="H2444" s="2" t="s">
        <v>23</v>
      </c>
      <c r="I2444" s="2">
        <v>4</v>
      </c>
      <c r="J2444" s="2"/>
      <c r="K2444" s="2">
        <v>3072</v>
      </c>
      <c r="L2444" s="35">
        <f t="shared" si="127"/>
        <v>10405324.800000001</v>
      </c>
      <c r="M2444" s="36">
        <v>2560</v>
      </c>
      <c r="N2444" s="40">
        <v>865585</v>
      </c>
      <c r="O2444" s="40">
        <v>1898</v>
      </c>
      <c r="P2444" s="40">
        <v>25479</v>
      </c>
      <c r="Q2444" s="40">
        <v>45191</v>
      </c>
      <c r="R2444" s="40">
        <v>123247</v>
      </c>
      <c r="S2444" s="40">
        <v>354356</v>
      </c>
      <c r="T2444" s="40"/>
      <c r="U2444" s="40">
        <v>1367700</v>
      </c>
      <c r="V2444" s="40">
        <v>0</v>
      </c>
      <c r="W2444" s="45">
        <f t="shared" si="128"/>
        <v>2783456</v>
      </c>
      <c r="X2444" s="46">
        <f t="shared" si="129"/>
        <v>26.750303844431649</v>
      </c>
    </row>
    <row r="2445" spans="1:24" s="4" customFormat="1" ht="15" customHeight="1">
      <c r="A2445" s="28" t="s">
        <v>3483</v>
      </c>
      <c r="B2445" s="29">
        <v>3387.15</v>
      </c>
      <c r="C2445" s="30" t="s">
        <v>3559</v>
      </c>
      <c r="D2445" s="2">
        <v>4950691636</v>
      </c>
      <c r="E2445" s="2" t="s">
        <v>6</v>
      </c>
      <c r="F2445" s="2" t="s">
        <v>3560</v>
      </c>
      <c r="G2445" s="28" t="s">
        <v>9</v>
      </c>
      <c r="H2445" s="2" t="s">
        <v>23</v>
      </c>
      <c r="I2445" s="2">
        <v>9</v>
      </c>
      <c r="J2445" s="2"/>
      <c r="K2445" s="2">
        <v>113368.92</v>
      </c>
      <c r="L2445" s="35">
        <f t="shared" si="127"/>
        <v>383997537.37800002</v>
      </c>
      <c r="M2445" s="36">
        <v>1911</v>
      </c>
      <c r="N2445" s="40">
        <v>1388661</v>
      </c>
      <c r="O2445" s="40">
        <v>1964</v>
      </c>
      <c r="P2445" s="40">
        <v>0</v>
      </c>
      <c r="Q2445" s="40">
        <v>58620</v>
      </c>
      <c r="R2445" s="40">
        <v>133720</v>
      </c>
      <c r="S2445" s="40">
        <v>354356</v>
      </c>
      <c r="T2445" s="40">
        <v>30000</v>
      </c>
      <c r="U2445" s="40">
        <v>2085500</v>
      </c>
      <c r="V2445" s="40">
        <v>0</v>
      </c>
      <c r="W2445" s="45">
        <f t="shared" si="128"/>
        <v>4052821</v>
      </c>
      <c r="X2445" s="46">
        <f t="shared" si="129"/>
        <v>1.0554289039646831</v>
      </c>
    </row>
    <row r="2446" spans="1:24" s="4" customFormat="1" ht="15" customHeight="1">
      <c r="A2446" s="28" t="s">
        <v>3483</v>
      </c>
      <c r="B2446" s="29">
        <v>3387.15</v>
      </c>
      <c r="C2446" s="30" t="s">
        <v>3561</v>
      </c>
      <c r="D2446" s="2">
        <v>4950750282</v>
      </c>
      <c r="E2446" s="2" t="s">
        <v>6</v>
      </c>
      <c r="F2446" s="2" t="s">
        <v>3562</v>
      </c>
      <c r="G2446" s="28" t="s">
        <v>5</v>
      </c>
      <c r="H2446" s="2" t="s">
        <v>20</v>
      </c>
      <c r="I2446" s="2">
        <v>1</v>
      </c>
      <c r="J2446" s="2" t="s">
        <v>3563</v>
      </c>
      <c r="K2446" s="2">
        <v>41064</v>
      </c>
      <c r="L2446" s="35">
        <f t="shared" si="127"/>
        <v>139089927.59999999</v>
      </c>
      <c r="M2446" s="36">
        <v>4640</v>
      </c>
      <c r="N2446" s="40">
        <v>384386</v>
      </c>
      <c r="O2446" s="40">
        <v>435616</v>
      </c>
      <c r="P2446" s="40">
        <v>133825</v>
      </c>
      <c r="Q2446" s="40">
        <v>124137</v>
      </c>
      <c r="R2446" s="40">
        <v>735369</v>
      </c>
      <c r="S2446" s="40">
        <v>354356</v>
      </c>
      <c r="T2446" s="40">
        <v>30000</v>
      </c>
      <c r="U2446" s="40">
        <v>2400500</v>
      </c>
      <c r="V2446" s="40">
        <v>0</v>
      </c>
      <c r="W2446" s="45">
        <f t="shared" si="128"/>
        <v>4598189</v>
      </c>
      <c r="X2446" s="46">
        <f t="shared" si="129"/>
        <v>3.3059108444025105</v>
      </c>
    </row>
    <row r="2447" spans="1:24" s="4" customFormat="1" ht="15" customHeight="1">
      <c r="A2447" s="28" t="s">
        <v>3483</v>
      </c>
      <c r="B2447" s="29">
        <v>3387.15</v>
      </c>
      <c r="C2447" s="30" t="s">
        <v>3564</v>
      </c>
      <c r="D2447" s="2">
        <v>4951815963</v>
      </c>
      <c r="E2447" s="2" t="s">
        <v>14</v>
      </c>
      <c r="F2447" s="2" t="s">
        <v>3565</v>
      </c>
      <c r="G2447" s="28" t="s">
        <v>5</v>
      </c>
      <c r="H2447" s="2" t="s">
        <v>17</v>
      </c>
      <c r="I2447" s="2">
        <v>1</v>
      </c>
      <c r="J2447" s="2" t="s">
        <v>3566</v>
      </c>
      <c r="K2447" s="2">
        <v>23200</v>
      </c>
      <c r="L2447" s="35">
        <f t="shared" si="127"/>
        <v>78581880</v>
      </c>
      <c r="M2447" s="36">
        <v>8000</v>
      </c>
      <c r="N2447" s="40">
        <v>420000</v>
      </c>
      <c r="O2447" s="40">
        <v>458999</v>
      </c>
      <c r="P2447" s="40">
        <v>382357</v>
      </c>
      <c r="Q2447" s="40">
        <v>110000</v>
      </c>
      <c r="R2447" s="40">
        <v>863542</v>
      </c>
      <c r="S2447" s="40">
        <v>354356</v>
      </c>
      <c r="T2447" s="40">
        <v>30000</v>
      </c>
      <c r="U2447" s="40">
        <v>4719050</v>
      </c>
      <c r="V2447" s="40">
        <v>0</v>
      </c>
      <c r="W2447" s="45">
        <f t="shared" si="128"/>
        <v>7338304</v>
      </c>
      <c r="X2447" s="46">
        <f t="shared" si="129"/>
        <v>9.3384174570524401</v>
      </c>
    </row>
    <row r="2448" spans="1:24" s="4" customFormat="1" ht="15" customHeight="1">
      <c r="A2448" s="28" t="s">
        <v>3483</v>
      </c>
      <c r="B2448" s="29">
        <v>3387.15</v>
      </c>
      <c r="C2448" s="30" t="s">
        <v>3567</v>
      </c>
      <c r="D2448" s="2">
        <v>4951218063</v>
      </c>
      <c r="E2448" s="2" t="s">
        <v>33</v>
      </c>
      <c r="F2448" s="2" t="s">
        <v>3568</v>
      </c>
      <c r="G2448" s="28" t="s">
        <v>9</v>
      </c>
      <c r="H2448" s="2" t="s">
        <v>23</v>
      </c>
      <c r="I2448" s="2">
        <v>6</v>
      </c>
      <c r="J2448" s="2"/>
      <c r="K2448" s="2">
        <v>9742.43</v>
      </c>
      <c r="L2448" s="35">
        <f t="shared" si="127"/>
        <v>32999071.774500001</v>
      </c>
      <c r="M2448" s="36">
        <v>5600</v>
      </c>
      <c r="N2448" s="40">
        <v>775965.739663093</v>
      </c>
      <c r="O2448" s="40">
        <v>2172.5</v>
      </c>
      <c r="P2448" s="40">
        <v>188164.78713629401</v>
      </c>
      <c r="Q2448" s="40">
        <v>53999</v>
      </c>
      <c r="R2448" s="40">
        <v>134872.869831547</v>
      </c>
      <c r="S2448" s="40">
        <v>232800.49617151599</v>
      </c>
      <c r="T2448" s="40"/>
      <c r="U2448" s="40">
        <v>1421087.1362940299</v>
      </c>
      <c r="V2448" s="40">
        <v>0</v>
      </c>
      <c r="W2448" s="45">
        <f t="shared" si="128"/>
        <v>2809062.5290964795</v>
      </c>
      <c r="X2448" s="46">
        <f t="shared" si="129"/>
        <v>8.5125501356289046</v>
      </c>
    </row>
    <row r="2449" spans="1:24" s="4" customFormat="1" ht="15" customHeight="1">
      <c r="A2449" s="28" t="s">
        <v>3483</v>
      </c>
      <c r="B2449" s="29">
        <v>3387.15</v>
      </c>
      <c r="C2449" s="30" t="s">
        <v>3567</v>
      </c>
      <c r="D2449" s="2">
        <v>4951218063</v>
      </c>
      <c r="E2449" s="2" t="s">
        <v>33</v>
      </c>
      <c r="F2449" s="2" t="s">
        <v>3568</v>
      </c>
      <c r="G2449" s="28" t="s">
        <v>9</v>
      </c>
      <c r="H2449" s="2" t="s">
        <v>23</v>
      </c>
      <c r="I2449" s="2">
        <v>6</v>
      </c>
      <c r="J2449" s="2"/>
      <c r="K2449" s="2">
        <v>18658.496999999999</v>
      </c>
      <c r="L2449" s="35">
        <f t="shared" si="127"/>
        <v>63199128.11355</v>
      </c>
      <c r="M2449" s="36">
        <v>10725</v>
      </c>
      <c r="N2449" s="40">
        <v>405166.260336907</v>
      </c>
      <c r="O2449" s="40">
        <v>2172.5</v>
      </c>
      <c r="P2449" s="40">
        <v>98249.212863705994</v>
      </c>
      <c r="Q2449" s="40">
        <v>53999</v>
      </c>
      <c r="R2449" s="40">
        <v>70423.130168453295</v>
      </c>
      <c r="S2449" s="40">
        <v>121555.503828484</v>
      </c>
      <c r="T2449" s="40"/>
      <c r="U2449" s="40">
        <v>742012.86370597198</v>
      </c>
      <c r="V2449" s="40">
        <v>0</v>
      </c>
      <c r="W2449" s="45">
        <f t="shared" si="128"/>
        <v>1493578.4709035223</v>
      </c>
      <c r="X2449" s="46">
        <f t="shared" si="129"/>
        <v>2.3632896773829017</v>
      </c>
    </row>
    <row r="2450" spans="1:24" s="4" customFormat="1" ht="15" customHeight="1">
      <c r="A2450" s="28" t="s">
        <v>3483</v>
      </c>
      <c r="B2450" s="29">
        <v>3387.15</v>
      </c>
      <c r="C2450" s="30" t="s">
        <v>3569</v>
      </c>
      <c r="D2450" s="2">
        <v>4951268367</v>
      </c>
      <c r="E2450" s="2" t="s">
        <v>14</v>
      </c>
      <c r="F2450" s="2" t="s">
        <v>3570</v>
      </c>
      <c r="G2450" s="28" t="s">
        <v>5</v>
      </c>
      <c r="H2450" s="2" t="s">
        <v>17</v>
      </c>
      <c r="I2450" s="2">
        <v>1</v>
      </c>
      <c r="J2450" s="2" t="s">
        <v>3571</v>
      </c>
      <c r="K2450" s="2">
        <v>11520</v>
      </c>
      <c r="L2450" s="35">
        <f t="shared" si="127"/>
        <v>39019968</v>
      </c>
      <c r="M2450" s="36">
        <v>4000</v>
      </c>
      <c r="N2450" s="40">
        <v>54725.109580463402</v>
      </c>
      <c r="O2450" s="40">
        <v>41727.181818181802</v>
      </c>
      <c r="P2450" s="40">
        <v>63845.877687330401</v>
      </c>
      <c r="Q2450" s="40">
        <v>10000</v>
      </c>
      <c r="R2450" s="40">
        <v>162478.647463995</v>
      </c>
      <c r="S2450" s="40">
        <v>59170.277603840499</v>
      </c>
      <c r="T2450" s="40">
        <v>30000</v>
      </c>
      <c r="U2450" s="40">
        <v>949956.16781465197</v>
      </c>
      <c r="V2450" s="40">
        <v>0</v>
      </c>
      <c r="W2450" s="45">
        <f t="shared" si="128"/>
        <v>1371903.2619684632</v>
      </c>
      <c r="X2450" s="46">
        <f t="shared" si="129"/>
        <v>3.5159005306423192</v>
      </c>
    </row>
    <row r="2451" spans="1:24" s="4" customFormat="1" ht="15" customHeight="1">
      <c r="A2451" s="28" t="s">
        <v>3483</v>
      </c>
      <c r="B2451" s="29">
        <v>3387.15</v>
      </c>
      <c r="C2451" s="30" t="s">
        <v>3569</v>
      </c>
      <c r="D2451" s="2">
        <v>4951215085</v>
      </c>
      <c r="E2451" s="2" t="s">
        <v>14</v>
      </c>
      <c r="F2451" s="2" t="s">
        <v>3570</v>
      </c>
      <c r="G2451" s="28" t="s">
        <v>5</v>
      </c>
      <c r="H2451" s="2" t="s">
        <v>17</v>
      </c>
      <c r="I2451" s="2">
        <v>1</v>
      </c>
      <c r="J2451" s="2" t="s">
        <v>3571</v>
      </c>
      <c r="K2451" s="2">
        <v>1845</v>
      </c>
      <c r="L2451" s="35">
        <f t="shared" si="127"/>
        <v>6249291.75</v>
      </c>
      <c r="M2451" s="36">
        <v>900</v>
      </c>
      <c r="N2451" s="40">
        <v>12313.1496556043</v>
      </c>
      <c r="O2451" s="40">
        <v>41727.181818181802</v>
      </c>
      <c r="P2451" s="40">
        <v>14365.3224796493</v>
      </c>
      <c r="Q2451" s="40">
        <v>10000</v>
      </c>
      <c r="R2451" s="40">
        <v>36557.695679398901</v>
      </c>
      <c r="S2451" s="40">
        <v>13313.312460864099</v>
      </c>
      <c r="T2451" s="40">
        <v>30000</v>
      </c>
      <c r="U2451" s="40">
        <v>213740.137758297</v>
      </c>
      <c r="V2451" s="40">
        <v>0</v>
      </c>
      <c r="W2451" s="45">
        <f t="shared" si="128"/>
        <v>372016.79985199543</v>
      </c>
      <c r="X2451" s="46">
        <f t="shared" si="129"/>
        <v>5.9529433851763347</v>
      </c>
    </row>
    <row r="2452" spans="1:24" s="4" customFormat="1" ht="15" customHeight="1">
      <c r="A2452" s="28" t="s">
        <v>3483</v>
      </c>
      <c r="B2452" s="29">
        <v>3387.15</v>
      </c>
      <c r="C2452" s="30" t="s">
        <v>3569</v>
      </c>
      <c r="D2452" s="2">
        <v>4951726543</v>
      </c>
      <c r="E2452" s="2" t="s">
        <v>14</v>
      </c>
      <c r="F2452" s="2" t="s">
        <v>3570</v>
      </c>
      <c r="G2452" s="28" t="s">
        <v>5</v>
      </c>
      <c r="H2452" s="2" t="s">
        <v>17</v>
      </c>
      <c r="I2452" s="2">
        <v>1</v>
      </c>
      <c r="J2452" s="2" t="s">
        <v>3571</v>
      </c>
      <c r="K2452" s="2">
        <v>3690</v>
      </c>
      <c r="L2452" s="35">
        <f t="shared" si="127"/>
        <v>12498583.5</v>
      </c>
      <c r="M2452" s="36">
        <v>1800</v>
      </c>
      <c r="N2452" s="40">
        <v>24626.299311208499</v>
      </c>
      <c r="O2452" s="40">
        <v>41727.181818181802</v>
      </c>
      <c r="P2452" s="40">
        <v>28730.644959298701</v>
      </c>
      <c r="Q2452" s="40">
        <v>10000</v>
      </c>
      <c r="R2452" s="40">
        <v>73115.3913587977</v>
      </c>
      <c r="S2452" s="40">
        <v>26626.624921728198</v>
      </c>
      <c r="T2452" s="40">
        <v>30000</v>
      </c>
      <c r="U2452" s="40">
        <v>427480.275516594</v>
      </c>
      <c r="V2452" s="40">
        <v>0</v>
      </c>
      <c r="W2452" s="45">
        <f t="shared" si="128"/>
        <v>662306.41788580886</v>
      </c>
      <c r="X2452" s="46">
        <f t="shared" si="129"/>
        <v>5.2990518316400319</v>
      </c>
    </row>
    <row r="2453" spans="1:24" s="4" customFormat="1" ht="15" customHeight="1">
      <c r="A2453" s="28" t="s">
        <v>3483</v>
      </c>
      <c r="B2453" s="29">
        <v>3387.15</v>
      </c>
      <c r="C2453" s="30" t="s">
        <v>3569</v>
      </c>
      <c r="D2453" s="2">
        <v>4951726543</v>
      </c>
      <c r="E2453" s="2" t="s">
        <v>14</v>
      </c>
      <c r="F2453" s="2" t="s">
        <v>3570</v>
      </c>
      <c r="G2453" s="28" t="s">
        <v>5</v>
      </c>
      <c r="H2453" s="2" t="s">
        <v>17</v>
      </c>
      <c r="I2453" s="2">
        <v>1</v>
      </c>
      <c r="J2453" s="2" t="s">
        <v>3571</v>
      </c>
      <c r="K2453" s="2">
        <v>10224</v>
      </c>
      <c r="L2453" s="35">
        <f t="shared" si="127"/>
        <v>34630221.600000001</v>
      </c>
      <c r="M2453" s="36">
        <v>3600</v>
      </c>
      <c r="N2453" s="40">
        <v>49252.598622416997</v>
      </c>
      <c r="O2453" s="40">
        <v>41727.181818181802</v>
      </c>
      <c r="P2453" s="40">
        <v>57461.289918597402</v>
      </c>
      <c r="Q2453" s="40">
        <v>10000</v>
      </c>
      <c r="R2453" s="40">
        <v>146230.78271759499</v>
      </c>
      <c r="S2453" s="40">
        <v>53253.249843456499</v>
      </c>
      <c r="T2453" s="40">
        <v>30000</v>
      </c>
      <c r="U2453" s="40">
        <v>854960.55103318696</v>
      </c>
      <c r="V2453" s="40">
        <v>0</v>
      </c>
      <c r="W2453" s="45">
        <f t="shared" si="128"/>
        <v>1242885.6539534347</v>
      </c>
      <c r="X2453" s="46">
        <f t="shared" si="129"/>
        <v>3.5890202156645588</v>
      </c>
    </row>
    <row r="2454" spans="1:24" s="4" customFormat="1" ht="15" customHeight="1">
      <c r="A2454" s="28" t="s">
        <v>3483</v>
      </c>
      <c r="B2454" s="29">
        <v>3387.15</v>
      </c>
      <c r="C2454" s="30" t="s">
        <v>3569</v>
      </c>
      <c r="D2454" s="2">
        <v>4951215087</v>
      </c>
      <c r="E2454" s="2" t="s">
        <v>14</v>
      </c>
      <c r="F2454" s="2" t="s">
        <v>3570</v>
      </c>
      <c r="G2454" s="28" t="s">
        <v>5</v>
      </c>
      <c r="H2454" s="2" t="s">
        <v>17</v>
      </c>
      <c r="I2454" s="2">
        <v>1</v>
      </c>
      <c r="J2454" s="2" t="s">
        <v>3571</v>
      </c>
      <c r="K2454" s="2">
        <v>10810.8</v>
      </c>
      <c r="L2454" s="35">
        <f t="shared" si="127"/>
        <v>36617801.219999999</v>
      </c>
      <c r="M2454" s="36">
        <v>5460</v>
      </c>
      <c r="N2454" s="40">
        <v>74699.7745773325</v>
      </c>
      <c r="O2454" s="40">
        <v>41727.181818181802</v>
      </c>
      <c r="P2454" s="40">
        <v>87149.623043205997</v>
      </c>
      <c r="Q2454" s="40">
        <v>10000</v>
      </c>
      <c r="R2454" s="40">
        <v>221783.35378835301</v>
      </c>
      <c r="S2454" s="40">
        <v>80767.428929242305</v>
      </c>
      <c r="T2454" s="40">
        <v>30000</v>
      </c>
      <c r="U2454" s="40">
        <v>1296690.169067</v>
      </c>
      <c r="V2454" s="40">
        <v>0</v>
      </c>
      <c r="W2454" s="45">
        <f t="shared" si="128"/>
        <v>1842817.5312233157</v>
      </c>
      <c r="X2454" s="46">
        <f t="shared" si="129"/>
        <v>5.0325728739190421</v>
      </c>
    </row>
    <row r="2455" spans="1:24" s="4" customFormat="1" ht="15" customHeight="1">
      <c r="A2455" s="28" t="s">
        <v>3483</v>
      </c>
      <c r="B2455" s="29">
        <v>3387.15</v>
      </c>
      <c r="C2455" s="30" t="s">
        <v>3569</v>
      </c>
      <c r="D2455" s="2" t="s">
        <v>3572</v>
      </c>
      <c r="E2455" s="2" t="s">
        <v>14</v>
      </c>
      <c r="F2455" s="2" t="s">
        <v>3570</v>
      </c>
      <c r="G2455" s="28" t="s">
        <v>5</v>
      </c>
      <c r="H2455" s="2" t="s">
        <v>17</v>
      </c>
      <c r="I2455" s="2">
        <v>1</v>
      </c>
      <c r="J2455" s="2" t="s">
        <v>3571</v>
      </c>
      <c r="K2455" s="2">
        <v>16378</v>
      </c>
      <c r="L2455" s="35">
        <f t="shared" si="127"/>
        <v>55474742.700000003</v>
      </c>
      <c r="M2455" s="36">
        <v>3800</v>
      </c>
      <c r="N2455" s="40">
        <v>51988.8541014402</v>
      </c>
      <c r="O2455" s="40">
        <v>41727.181818181802</v>
      </c>
      <c r="P2455" s="40">
        <v>60653.583802963898</v>
      </c>
      <c r="Q2455" s="40">
        <v>10000</v>
      </c>
      <c r="R2455" s="40">
        <v>154354.71509079501</v>
      </c>
      <c r="S2455" s="40">
        <v>56211.763723648502</v>
      </c>
      <c r="T2455" s="40">
        <v>30000</v>
      </c>
      <c r="U2455" s="40">
        <v>902458.35942392005</v>
      </c>
      <c r="V2455" s="40">
        <v>0</v>
      </c>
      <c r="W2455" s="45">
        <f t="shared" si="128"/>
        <v>1307394.4579609495</v>
      </c>
      <c r="X2455" s="46">
        <f t="shared" si="129"/>
        <v>2.3567382097311635</v>
      </c>
    </row>
    <row r="2456" spans="1:24" s="4" customFormat="1" ht="15" customHeight="1">
      <c r="A2456" s="28" t="s">
        <v>3483</v>
      </c>
      <c r="B2456" s="29">
        <v>3387.15</v>
      </c>
      <c r="C2456" s="30" t="s">
        <v>3569</v>
      </c>
      <c r="D2456" s="2">
        <v>4951275456</v>
      </c>
      <c r="E2456" s="2" t="s">
        <v>14</v>
      </c>
      <c r="F2456" s="2" t="s">
        <v>3570</v>
      </c>
      <c r="G2456" s="28" t="s">
        <v>5</v>
      </c>
      <c r="H2456" s="2" t="s">
        <v>17</v>
      </c>
      <c r="I2456" s="2">
        <v>1</v>
      </c>
      <c r="J2456" s="2" t="s">
        <v>3571</v>
      </c>
      <c r="K2456" s="2">
        <v>2115.6</v>
      </c>
      <c r="L2456" s="35">
        <f t="shared" si="127"/>
        <v>7165854.54</v>
      </c>
      <c r="M2456" s="36">
        <v>410</v>
      </c>
      <c r="N2456" s="40">
        <v>5609.3237319974996</v>
      </c>
      <c r="O2456" s="40">
        <v>41727.181818181802</v>
      </c>
      <c r="P2456" s="40">
        <v>6544.2024629513699</v>
      </c>
      <c r="Q2456" s="40">
        <v>10000</v>
      </c>
      <c r="R2456" s="40">
        <v>16654.061365059501</v>
      </c>
      <c r="S2456" s="40">
        <v>6064.9534543936497</v>
      </c>
      <c r="T2456" s="40">
        <v>30000</v>
      </c>
      <c r="U2456" s="40">
        <v>97370.507201001907</v>
      </c>
      <c r="V2456" s="40">
        <v>0</v>
      </c>
      <c r="W2456" s="45">
        <f t="shared" si="128"/>
        <v>213970.23003358574</v>
      </c>
      <c r="X2456" s="46">
        <f t="shared" si="129"/>
        <v>2.9859694868099531</v>
      </c>
    </row>
    <row r="2457" spans="1:24" s="4" customFormat="1" ht="15" customHeight="1">
      <c r="A2457" s="28" t="s">
        <v>3483</v>
      </c>
      <c r="B2457" s="29">
        <v>3387.15</v>
      </c>
      <c r="C2457" s="30" t="s">
        <v>3569</v>
      </c>
      <c r="D2457" s="2">
        <v>4951294589</v>
      </c>
      <c r="E2457" s="2" t="s">
        <v>14</v>
      </c>
      <c r="F2457" s="2" t="s">
        <v>3570</v>
      </c>
      <c r="G2457" s="28" t="s">
        <v>5</v>
      </c>
      <c r="H2457" s="2" t="s">
        <v>17</v>
      </c>
      <c r="I2457" s="2">
        <v>1</v>
      </c>
      <c r="J2457" s="2" t="s">
        <v>3571</v>
      </c>
      <c r="K2457" s="2">
        <v>3275.6</v>
      </c>
      <c r="L2457" s="35">
        <f t="shared" ref="L2457:L2520" si="130">B2457*K2457</f>
        <v>11094948.539999999</v>
      </c>
      <c r="M2457" s="36">
        <v>760</v>
      </c>
      <c r="N2457" s="40">
        <v>10397.770820288</v>
      </c>
      <c r="O2457" s="40">
        <v>41727.181818181802</v>
      </c>
      <c r="P2457" s="40">
        <v>12130.716760592801</v>
      </c>
      <c r="Q2457" s="40">
        <v>10000</v>
      </c>
      <c r="R2457" s="40">
        <v>30870.943018159</v>
      </c>
      <c r="S2457" s="40">
        <v>11242.3527447297</v>
      </c>
      <c r="T2457" s="40">
        <v>30000</v>
      </c>
      <c r="U2457" s="40">
        <v>180491.67188478401</v>
      </c>
      <c r="V2457" s="40">
        <v>0</v>
      </c>
      <c r="W2457" s="45">
        <f t="shared" ref="W2457:W2520" si="131">+SUM(N2457:V2457)</f>
        <v>326860.63704673533</v>
      </c>
      <c r="X2457" s="46">
        <f t="shared" ref="X2457:X2520" si="132">(W2457/L2457)*100</f>
        <v>2.946031122797216</v>
      </c>
    </row>
    <row r="2458" spans="1:24" s="4" customFormat="1" ht="15" customHeight="1">
      <c r="A2458" s="28" t="s">
        <v>3483</v>
      </c>
      <c r="B2458" s="29">
        <v>3387.15</v>
      </c>
      <c r="C2458" s="30" t="s">
        <v>3569</v>
      </c>
      <c r="D2458" s="2">
        <v>4951411353</v>
      </c>
      <c r="E2458" s="2" t="s">
        <v>14</v>
      </c>
      <c r="F2458" s="2" t="s">
        <v>3570</v>
      </c>
      <c r="G2458" s="28" t="s">
        <v>5</v>
      </c>
      <c r="H2458" s="2" t="s">
        <v>17</v>
      </c>
      <c r="I2458" s="2">
        <v>1</v>
      </c>
      <c r="J2458" s="2" t="s">
        <v>3571</v>
      </c>
      <c r="K2458" s="2">
        <v>2928</v>
      </c>
      <c r="L2458" s="35">
        <f t="shared" si="130"/>
        <v>9917575.2000000011</v>
      </c>
      <c r="M2458" s="36">
        <v>600</v>
      </c>
      <c r="N2458" s="40">
        <v>8208.7664370695093</v>
      </c>
      <c r="O2458" s="40">
        <v>41727.181818181802</v>
      </c>
      <c r="P2458" s="40">
        <v>9576.8816530995591</v>
      </c>
      <c r="Q2458" s="40">
        <v>10000</v>
      </c>
      <c r="R2458" s="40">
        <v>24371.7971195992</v>
      </c>
      <c r="S2458" s="40">
        <v>8875.5416405760807</v>
      </c>
      <c r="T2458" s="40">
        <v>30000</v>
      </c>
      <c r="U2458" s="40">
        <v>142493.42517219801</v>
      </c>
      <c r="V2458" s="40">
        <v>0</v>
      </c>
      <c r="W2458" s="45">
        <f t="shared" si="131"/>
        <v>275253.59384072415</v>
      </c>
      <c r="X2458" s="46">
        <f t="shared" si="132"/>
        <v>2.7754122181067418</v>
      </c>
    </row>
    <row r="2459" spans="1:24" s="4" customFormat="1" ht="15" customHeight="1">
      <c r="A2459" s="28" t="s">
        <v>3483</v>
      </c>
      <c r="B2459" s="29">
        <v>3387.15</v>
      </c>
      <c r="C2459" s="30" t="s">
        <v>3569</v>
      </c>
      <c r="D2459" s="2">
        <v>4951275457</v>
      </c>
      <c r="E2459" s="2" t="s">
        <v>14</v>
      </c>
      <c r="F2459" s="2" t="s">
        <v>3570</v>
      </c>
      <c r="G2459" s="28" t="s">
        <v>5</v>
      </c>
      <c r="H2459" s="2" t="s">
        <v>17</v>
      </c>
      <c r="I2459" s="2">
        <v>1</v>
      </c>
      <c r="J2459" s="2" t="s">
        <v>3571</v>
      </c>
      <c r="K2459" s="2">
        <v>4347</v>
      </c>
      <c r="L2459" s="35">
        <f t="shared" si="130"/>
        <v>14723941.050000001</v>
      </c>
      <c r="M2459" s="36">
        <v>1575</v>
      </c>
      <c r="N2459" s="40">
        <v>21548.0118973075</v>
      </c>
      <c r="O2459" s="40">
        <v>41727.181818181802</v>
      </c>
      <c r="P2459" s="40">
        <v>25139.314339386401</v>
      </c>
      <c r="Q2459" s="40">
        <v>10000</v>
      </c>
      <c r="R2459" s="40">
        <v>63975.967438947999</v>
      </c>
      <c r="S2459" s="40">
        <v>23298.2968065122</v>
      </c>
      <c r="T2459" s="40">
        <v>30000</v>
      </c>
      <c r="U2459" s="40">
        <v>374045.24107701902</v>
      </c>
      <c r="V2459" s="40">
        <v>0</v>
      </c>
      <c r="W2459" s="45">
        <f t="shared" si="131"/>
        <v>589734.01337735495</v>
      </c>
      <c r="X2459" s="46">
        <f t="shared" si="132"/>
        <v>4.0052728503511288</v>
      </c>
    </row>
    <row r="2460" spans="1:24" s="4" customFormat="1" ht="15" customHeight="1">
      <c r="A2460" s="28" t="s">
        <v>3483</v>
      </c>
      <c r="B2460" s="29">
        <v>3387.15</v>
      </c>
      <c r="C2460" s="30" t="s">
        <v>3569</v>
      </c>
      <c r="D2460" s="2">
        <v>4952024021</v>
      </c>
      <c r="E2460" s="2" t="s">
        <v>14</v>
      </c>
      <c r="F2460" s="2" t="s">
        <v>3570</v>
      </c>
      <c r="G2460" s="28" t="s">
        <v>5</v>
      </c>
      <c r="H2460" s="2" t="s">
        <v>17</v>
      </c>
      <c r="I2460" s="2">
        <v>1</v>
      </c>
      <c r="J2460" s="2" t="s">
        <v>3571</v>
      </c>
      <c r="K2460" s="2">
        <v>3853.5</v>
      </c>
      <c r="L2460" s="35">
        <f t="shared" si="130"/>
        <v>13052382.525</v>
      </c>
      <c r="M2460" s="36">
        <v>1050</v>
      </c>
      <c r="N2460" s="40">
        <v>14365.3412648716</v>
      </c>
      <c r="O2460" s="40">
        <v>41727.181818181802</v>
      </c>
      <c r="P2460" s="40">
        <v>16759.542892924201</v>
      </c>
      <c r="Q2460" s="40">
        <v>10000</v>
      </c>
      <c r="R2460" s="40">
        <v>42650.644959298697</v>
      </c>
      <c r="S2460" s="40">
        <v>15532.1978710081</v>
      </c>
      <c r="T2460" s="40">
        <v>30000</v>
      </c>
      <c r="U2460" s="40">
        <v>249363.494051346</v>
      </c>
      <c r="V2460" s="40">
        <v>0</v>
      </c>
      <c r="W2460" s="45">
        <f t="shared" si="131"/>
        <v>420398.4028576304</v>
      </c>
      <c r="X2460" s="46">
        <f t="shared" si="132"/>
        <v>3.2208556717703951</v>
      </c>
    </row>
    <row r="2461" spans="1:24" s="4" customFormat="1" ht="15" customHeight="1">
      <c r="A2461" s="28" t="s">
        <v>3483</v>
      </c>
      <c r="B2461" s="29">
        <v>3387.15</v>
      </c>
      <c r="C2461" s="30" t="s">
        <v>3573</v>
      </c>
      <c r="D2461" s="2">
        <v>4951726544</v>
      </c>
      <c r="E2461" s="2" t="s">
        <v>14</v>
      </c>
      <c r="F2461" s="2" t="s">
        <v>3574</v>
      </c>
      <c r="G2461" s="28" t="s">
        <v>9</v>
      </c>
      <c r="H2461" s="2" t="s">
        <v>23</v>
      </c>
      <c r="I2461" s="2">
        <v>1</v>
      </c>
      <c r="J2461" s="2"/>
      <c r="K2461" s="2">
        <v>1091.2</v>
      </c>
      <c r="L2461" s="35">
        <f t="shared" si="130"/>
        <v>3696058.08</v>
      </c>
      <c r="M2461" s="36">
        <v>880</v>
      </c>
      <c r="N2461" s="40">
        <v>517789</v>
      </c>
      <c r="O2461" s="40">
        <v>606</v>
      </c>
      <c r="P2461" s="40">
        <v>51056</v>
      </c>
      <c r="Q2461" s="40">
        <v>14879</v>
      </c>
      <c r="R2461" s="40">
        <v>401743</v>
      </c>
      <c r="S2461" s="40">
        <v>354356</v>
      </c>
      <c r="T2461" s="40">
        <v>30000</v>
      </c>
      <c r="U2461" s="40">
        <v>444368.03874092002</v>
      </c>
      <c r="V2461" s="40">
        <v>0</v>
      </c>
      <c r="W2461" s="45">
        <f t="shared" si="131"/>
        <v>1814797.0387409199</v>
      </c>
      <c r="X2461" s="46">
        <f t="shared" si="132"/>
        <v>49.100879895829991</v>
      </c>
    </row>
    <row r="2462" spans="1:24" s="4" customFormat="1" ht="15" customHeight="1">
      <c r="A2462" s="28" t="s">
        <v>3483</v>
      </c>
      <c r="B2462" s="29">
        <v>3387.15</v>
      </c>
      <c r="C2462" s="30" t="s">
        <v>3575</v>
      </c>
      <c r="D2462" s="2">
        <v>4951756763</v>
      </c>
      <c r="E2462" s="2" t="s">
        <v>18</v>
      </c>
      <c r="F2462" s="2" t="s">
        <v>3576</v>
      </c>
      <c r="G2462" s="28" t="s">
        <v>5</v>
      </c>
      <c r="H2462" s="2" t="s">
        <v>32</v>
      </c>
      <c r="I2462" s="2">
        <v>1</v>
      </c>
      <c r="J2462" s="2" t="s">
        <v>3577</v>
      </c>
      <c r="K2462" s="2">
        <v>668.5</v>
      </c>
      <c r="L2462" s="35">
        <f t="shared" si="130"/>
        <v>2264309.7749999999</v>
      </c>
      <c r="M2462" s="36">
        <v>350</v>
      </c>
      <c r="N2462" s="40">
        <v>327735</v>
      </c>
      <c r="O2462" s="40">
        <v>349879</v>
      </c>
      <c r="P2462" s="40">
        <v>455005</v>
      </c>
      <c r="Q2462" s="40">
        <v>110000</v>
      </c>
      <c r="R2462" s="40">
        <v>1821909</v>
      </c>
      <c r="S2462" s="40">
        <v>354356</v>
      </c>
      <c r="T2462" s="40">
        <v>30000</v>
      </c>
      <c r="U2462" s="40">
        <v>1917700</v>
      </c>
      <c r="V2462" s="40">
        <v>0</v>
      </c>
      <c r="W2462" s="45">
        <f t="shared" si="131"/>
        <v>5366584</v>
      </c>
      <c r="X2462" s="46">
        <f t="shared" si="132"/>
        <v>237.00750044238097</v>
      </c>
    </row>
    <row r="2463" spans="1:24" s="4" customFormat="1" ht="15" customHeight="1">
      <c r="A2463" s="28" t="s">
        <v>3483</v>
      </c>
      <c r="B2463" s="29">
        <v>3387.15</v>
      </c>
      <c r="C2463" s="30" t="s">
        <v>3578</v>
      </c>
      <c r="D2463" s="2">
        <v>4951408238</v>
      </c>
      <c r="E2463" s="2" t="s">
        <v>18</v>
      </c>
      <c r="F2463" s="2" t="s">
        <v>3579</v>
      </c>
      <c r="G2463" s="28" t="s">
        <v>9</v>
      </c>
      <c r="H2463" s="2" t="s">
        <v>23</v>
      </c>
      <c r="I2463" s="2">
        <v>3</v>
      </c>
      <c r="J2463" s="2"/>
      <c r="K2463" s="2">
        <v>14189</v>
      </c>
      <c r="L2463" s="35">
        <f t="shared" si="130"/>
        <v>48060271.350000001</v>
      </c>
      <c r="M2463" s="36">
        <v>350</v>
      </c>
      <c r="N2463" s="40">
        <v>154164.04347826101</v>
      </c>
      <c r="O2463" s="40">
        <v>380.5</v>
      </c>
      <c r="P2463" s="40">
        <v>10975.695652173899</v>
      </c>
      <c r="Q2463" s="40">
        <v>9665</v>
      </c>
      <c r="R2463" s="40">
        <v>75352.260869565202</v>
      </c>
      <c r="S2463" s="40">
        <v>107847.47826087</v>
      </c>
      <c r="T2463" s="40">
        <v>30000</v>
      </c>
      <c r="U2463" s="40">
        <v>331784.090909091</v>
      </c>
      <c r="V2463" s="40">
        <v>0</v>
      </c>
      <c r="W2463" s="45">
        <f t="shared" si="131"/>
        <v>720169.06916996115</v>
      </c>
      <c r="X2463" s="46">
        <f t="shared" si="132"/>
        <v>1.4984706680603481</v>
      </c>
    </row>
    <row r="2464" spans="1:24" s="4" customFormat="1" ht="15" customHeight="1">
      <c r="A2464" s="28" t="s">
        <v>3483</v>
      </c>
      <c r="B2464" s="29">
        <v>3387.15</v>
      </c>
      <c r="C2464" s="30" t="s">
        <v>3578</v>
      </c>
      <c r="D2464" s="2">
        <v>4951432912</v>
      </c>
      <c r="E2464" s="2" t="s">
        <v>18</v>
      </c>
      <c r="F2464" s="2" t="s">
        <v>3579</v>
      </c>
      <c r="G2464" s="28" t="s">
        <v>9</v>
      </c>
      <c r="H2464" s="2" t="s">
        <v>23</v>
      </c>
      <c r="I2464" s="2">
        <v>3</v>
      </c>
      <c r="J2464" s="2"/>
      <c r="K2464" s="2">
        <v>20572</v>
      </c>
      <c r="L2464" s="35">
        <f t="shared" si="130"/>
        <v>69680449.799999997</v>
      </c>
      <c r="M2464" s="36">
        <v>800</v>
      </c>
      <c r="N2464" s="40">
        <v>352374.95652173902</v>
      </c>
      <c r="O2464" s="40">
        <v>380.5</v>
      </c>
      <c r="P2464" s="40">
        <v>25087.304347826099</v>
      </c>
      <c r="Q2464" s="40">
        <v>9665</v>
      </c>
      <c r="R2464" s="40">
        <v>172233.73913043499</v>
      </c>
      <c r="S2464" s="40">
        <v>246508.52173913</v>
      </c>
      <c r="T2464" s="40">
        <v>30000</v>
      </c>
      <c r="U2464" s="40">
        <v>758363.636363636</v>
      </c>
      <c r="V2464" s="40">
        <v>0</v>
      </c>
      <c r="W2464" s="45">
        <f t="shared" si="131"/>
        <v>1594613.6581027661</v>
      </c>
      <c r="X2464" s="46">
        <f t="shared" si="132"/>
        <v>2.288466367079574</v>
      </c>
    </row>
    <row r="2465" spans="1:24" s="4" customFormat="1" ht="15" customHeight="1">
      <c r="A2465" s="28" t="s">
        <v>3483</v>
      </c>
      <c r="B2465" s="29">
        <v>3387.15</v>
      </c>
      <c r="C2465" s="30" t="s">
        <v>3580</v>
      </c>
      <c r="D2465" s="2">
        <v>4951574707</v>
      </c>
      <c r="E2465" s="2" t="s">
        <v>18</v>
      </c>
      <c r="F2465" s="2" t="s">
        <v>3581</v>
      </c>
      <c r="G2465" s="28" t="s">
        <v>5</v>
      </c>
      <c r="H2465" s="2" t="s">
        <v>20</v>
      </c>
      <c r="I2465" s="2">
        <v>1</v>
      </c>
      <c r="J2465" s="2" t="s">
        <v>3582</v>
      </c>
      <c r="K2465" s="2">
        <v>21375</v>
      </c>
      <c r="L2465" s="35">
        <f t="shared" si="130"/>
        <v>72400331.25</v>
      </c>
      <c r="M2465" s="36">
        <v>17100</v>
      </c>
      <c r="N2465" s="40">
        <v>324667</v>
      </c>
      <c r="O2465" s="40">
        <v>349879</v>
      </c>
      <c r="P2465" s="40">
        <v>132572</v>
      </c>
      <c r="Q2465" s="40">
        <v>110000</v>
      </c>
      <c r="R2465" s="40">
        <v>804773</v>
      </c>
      <c r="S2465" s="40">
        <v>354356</v>
      </c>
      <c r="T2465" s="40">
        <v>30000</v>
      </c>
      <c r="U2465" s="40">
        <v>4413500</v>
      </c>
      <c r="V2465" s="40">
        <v>0</v>
      </c>
      <c r="W2465" s="45">
        <f t="shared" si="131"/>
        <v>6519747</v>
      </c>
      <c r="X2465" s="46">
        <f t="shared" si="132"/>
        <v>9.0051342133880077</v>
      </c>
    </row>
    <row r="2466" spans="1:24" s="4" customFormat="1" ht="15" customHeight="1">
      <c r="A2466" s="28" t="s">
        <v>3483</v>
      </c>
      <c r="B2466" s="29">
        <v>3387.15</v>
      </c>
      <c r="C2466" s="30" t="s">
        <v>3583</v>
      </c>
      <c r="D2466" s="2">
        <v>4951574710</v>
      </c>
      <c r="E2466" s="2" t="s">
        <v>18</v>
      </c>
      <c r="F2466" s="2" t="s">
        <v>3584</v>
      </c>
      <c r="G2466" s="28" t="s">
        <v>5</v>
      </c>
      <c r="H2466" s="2" t="s">
        <v>17</v>
      </c>
      <c r="I2466" s="2">
        <v>2</v>
      </c>
      <c r="J2466" s="2" t="s">
        <v>3585</v>
      </c>
      <c r="K2466" s="2">
        <v>43700</v>
      </c>
      <c r="L2466" s="35">
        <f t="shared" si="130"/>
        <v>148018455</v>
      </c>
      <c r="M2466" s="36">
        <v>10000</v>
      </c>
      <c r="N2466" s="40">
        <v>291543.46153846203</v>
      </c>
      <c r="O2466" s="40">
        <v>458999.5</v>
      </c>
      <c r="P2466" s="40">
        <v>0</v>
      </c>
      <c r="Q2466" s="40">
        <v>99309.5</v>
      </c>
      <c r="R2466" s="40">
        <f>208810.384615385+76923</f>
        <v>285733.38461538497</v>
      </c>
      <c r="S2466" s="40">
        <v>136290.76923076899</v>
      </c>
      <c r="T2466" s="40">
        <v>30000</v>
      </c>
      <c r="U2466" s="40">
        <v>3909846.1538461498</v>
      </c>
      <c r="V2466" s="40">
        <v>0</v>
      </c>
      <c r="W2466" s="45">
        <f t="shared" si="131"/>
        <v>5211722.7692307662</v>
      </c>
      <c r="X2466" s="46">
        <f t="shared" si="132"/>
        <v>3.5209952497009684</v>
      </c>
    </row>
    <row r="2467" spans="1:24" s="4" customFormat="1" ht="15" customHeight="1">
      <c r="A2467" s="28" t="s">
        <v>3483</v>
      </c>
      <c r="B2467" s="29">
        <v>3387.15</v>
      </c>
      <c r="C2467" s="30" t="s">
        <v>3583</v>
      </c>
      <c r="D2467" s="2">
        <v>4951574708</v>
      </c>
      <c r="E2467" s="2" t="s">
        <v>18</v>
      </c>
      <c r="F2467" s="2" t="s">
        <v>3584</v>
      </c>
      <c r="G2467" s="28" t="s">
        <v>5</v>
      </c>
      <c r="H2467" s="2" t="s">
        <v>17</v>
      </c>
      <c r="I2467" s="2">
        <v>2</v>
      </c>
      <c r="J2467" s="2" t="s">
        <v>3585</v>
      </c>
      <c r="K2467" s="2">
        <v>69920</v>
      </c>
      <c r="L2467" s="35">
        <f t="shared" si="130"/>
        <v>236829528</v>
      </c>
      <c r="M2467" s="36">
        <v>16000</v>
      </c>
      <c r="N2467" s="40">
        <v>466469.53846153797</v>
      </c>
      <c r="O2467" s="40">
        <v>458999.5</v>
      </c>
      <c r="P2467" s="40">
        <v>0</v>
      </c>
      <c r="Q2467" s="40">
        <v>99309.5</v>
      </c>
      <c r="R2467" s="40">
        <f>334096.615384615+123077</f>
        <v>457173.61538461503</v>
      </c>
      <c r="S2467" s="40">
        <v>218065.23076923101</v>
      </c>
      <c r="T2467" s="40">
        <v>30000</v>
      </c>
      <c r="U2467" s="40">
        <v>6255753.8461538497</v>
      </c>
      <c r="V2467" s="40">
        <v>0</v>
      </c>
      <c r="W2467" s="45">
        <f t="shared" si="131"/>
        <v>7985771.2307692338</v>
      </c>
      <c r="X2467" s="46">
        <f t="shared" si="132"/>
        <v>3.3719491392007646</v>
      </c>
    </row>
    <row r="2468" spans="1:24" s="4" customFormat="1" ht="15" customHeight="1">
      <c r="A2468" s="28" t="s">
        <v>3483</v>
      </c>
      <c r="B2468" s="29">
        <v>3387.15</v>
      </c>
      <c r="C2468" s="30" t="s">
        <v>3586</v>
      </c>
      <c r="D2468" s="2">
        <v>4951841981</v>
      </c>
      <c r="E2468" s="2" t="s">
        <v>24</v>
      </c>
      <c r="F2468" s="2" t="s">
        <v>3587</v>
      </c>
      <c r="G2468" s="28" t="s">
        <v>9</v>
      </c>
      <c r="H2468" s="2" t="s">
        <v>23</v>
      </c>
      <c r="I2468" s="2">
        <v>1</v>
      </c>
      <c r="J2468" s="2"/>
      <c r="K2468" s="2">
        <v>5074</v>
      </c>
      <c r="L2468" s="35">
        <f t="shared" si="130"/>
        <v>17186399.100000001</v>
      </c>
      <c r="M2468" s="36">
        <f>175+25</f>
        <v>200</v>
      </c>
      <c r="N2468" s="40">
        <v>443234</v>
      </c>
      <c r="O2468" s="40">
        <v>0</v>
      </c>
      <c r="P2468" s="40">
        <v>11848</v>
      </c>
      <c r="Q2468" s="40">
        <v>48196</v>
      </c>
      <c r="R2468" s="40">
        <v>63903</v>
      </c>
      <c r="S2468" s="40">
        <v>354356</v>
      </c>
      <c r="T2468" s="40"/>
      <c r="U2468" s="40">
        <v>557750</v>
      </c>
      <c r="V2468" s="40">
        <v>0</v>
      </c>
      <c r="W2468" s="45">
        <f t="shared" si="131"/>
        <v>1479287</v>
      </c>
      <c r="X2468" s="46">
        <f t="shared" si="132"/>
        <v>8.6073120459538259</v>
      </c>
    </row>
    <row r="2469" spans="1:24" s="4" customFormat="1" ht="15" customHeight="1">
      <c r="A2469" s="28" t="s">
        <v>3483</v>
      </c>
      <c r="B2469" s="29">
        <v>3387.15</v>
      </c>
      <c r="C2469" s="30" t="s">
        <v>3588</v>
      </c>
      <c r="D2469" s="2">
        <v>4950058251</v>
      </c>
      <c r="E2469" s="2" t="s">
        <v>14</v>
      </c>
      <c r="F2469" s="2" t="s">
        <v>3589</v>
      </c>
      <c r="G2469" s="28" t="s">
        <v>5</v>
      </c>
      <c r="H2469" s="2" t="s">
        <v>20</v>
      </c>
      <c r="I2469" s="2">
        <v>3</v>
      </c>
      <c r="J2469" s="2" t="s">
        <v>3590</v>
      </c>
      <c r="K2469" s="2">
        <v>28665.15</v>
      </c>
      <c r="L2469" s="35">
        <f t="shared" si="130"/>
        <v>97093162.822500005</v>
      </c>
      <c r="M2469" s="36">
        <f>2870+13325</f>
        <v>16195</v>
      </c>
      <c r="N2469" s="40">
        <v>483005.01009349799</v>
      </c>
      <c r="O2469" s="40">
        <v>174939.5</v>
      </c>
      <c r="P2469" s="40">
        <v>0</v>
      </c>
      <c r="Q2469" s="40">
        <v>49821.333333333299</v>
      </c>
      <c r="R2469" s="40">
        <v>802990.00754356105</v>
      </c>
      <c r="S2469" s="40">
        <v>149355.105397365</v>
      </c>
      <c r="T2469" s="40">
        <v>30000</v>
      </c>
      <c r="U2469" s="40">
        <v>4681203.3042923901</v>
      </c>
      <c r="V2469" s="40">
        <v>0</v>
      </c>
      <c r="W2469" s="45">
        <f t="shared" si="131"/>
        <v>6371314.2606601473</v>
      </c>
      <c r="X2469" s="46">
        <f t="shared" si="132"/>
        <v>6.5620627399972626</v>
      </c>
    </row>
    <row r="2470" spans="1:24" s="4" customFormat="1" ht="15" customHeight="1">
      <c r="A2470" s="28" t="s">
        <v>3483</v>
      </c>
      <c r="B2470" s="29">
        <v>3387.15</v>
      </c>
      <c r="C2470" s="30" t="s">
        <v>3588</v>
      </c>
      <c r="D2470" s="2">
        <v>4950722775</v>
      </c>
      <c r="E2470" s="2" t="s">
        <v>14</v>
      </c>
      <c r="F2470" s="2" t="s">
        <v>3589</v>
      </c>
      <c r="G2470" s="28" t="s">
        <v>5</v>
      </c>
      <c r="H2470" s="2" t="s">
        <v>20</v>
      </c>
      <c r="I2470" s="2">
        <v>3</v>
      </c>
      <c r="J2470" s="2" t="s">
        <v>3590</v>
      </c>
      <c r="K2470" s="2">
        <v>9071.25</v>
      </c>
      <c r="L2470" s="35">
        <f t="shared" si="130"/>
        <v>30725684.4375</v>
      </c>
      <c r="M2470" s="36">
        <v>5125</v>
      </c>
      <c r="N2470" s="40">
        <v>124799.63079048001</v>
      </c>
      <c r="O2470" s="40">
        <v>174939.5</v>
      </c>
      <c r="P2470" s="40">
        <v>0</v>
      </c>
      <c r="Q2470" s="40">
        <v>49821.333333333299</v>
      </c>
      <c r="R2470" s="40">
        <v>207477.88195920101</v>
      </c>
      <c r="S2470" s="40">
        <v>38590.618359540997</v>
      </c>
      <c r="T2470" s="40">
        <v>30000</v>
      </c>
      <c r="U2470" s="40">
        <v>1209537.02719932</v>
      </c>
      <c r="V2470" s="40">
        <v>0</v>
      </c>
      <c r="W2470" s="45">
        <f t="shared" si="131"/>
        <v>1835165.9916418754</v>
      </c>
      <c r="X2470" s="46">
        <f t="shared" si="132"/>
        <v>5.9727424310916151</v>
      </c>
    </row>
    <row r="2471" spans="1:24" s="4" customFormat="1" ht="15" customHeight="1">
      <c r="A2471" s="28" t="s">
        <v>3483</v>
      </c>
      <c r="B2471" s="29">
        <v>3387.15</v>
      </c>
      <c r="C2471" s="30" t="s">
        <v>3588</v>
      </c>
      <c r="D2471" s="2">
        <v>4950722777</v>
      </c>
      <c r="E2471" s="2" t="s">
        <v>14</v>
      </c>
      <c r="F2471" s="2" t="s">
        <v>3589</v>
      </c>
      <c r="G2471" s="28" t="s">
        <v>5</v>
      </c>
      <c r="H2471" s="2" t="s">
        <v>20</v>
      </c>
      <c r="I2471" s="2">
        <v>3</v>
      </c>
      <c r="J2471" s="2" t="s">
        <v>3590</v>
      </c>
      <c r="K2471" s="2">
        <v>4717.05</v>
      </c>
      <c r="L2471" s="35">
        <f t="shared" si="130"/>
        <v>15977355.907500001</v>
      </c>
      <c r="M2471" s="36">
        <v>2665</v>
      </c>
      <c r="N2471" s="40">
        <v>64895.808011049703</v>
      </c>
      <c r="O2471" s="40">
        <v>174939.5</v>
      </c>
      <c r="P2471" s="40">
        <v>0</v>
      </c>
      <c r="Q2471" s="40">
        <v>49821.333333333299</v>
      </c>
      <c r="R2471" s="40">
        <v>107888.498618785</v>
      </c>
      <c r="S2471" s="40">
        <v>20067.121546961302</v>
      </c>
      <c r="T2471" s="40">
        <v>30000</v>
      </c>
      <c r="U2471" s="40">
        <v>628959.25414364599</v>
      </c>
      <c r="V2471" s="40">
        <v>0</v>
      </c>
      <c r="W2471" s="45">
        <f t="shared" si="131"/>
        <v>1076571.5156537753</v>
      </c>
      <c r="X2471" s="46">
        <f t="shared" si="132"/>
        <v>6.7381081193066326</v>
      </c>
    </row>
    <row r="2472" spans="1:24" s="4" customFormat="1" ht="15" customHeight="1">
      <c r="A2472" s="28" t="s">
        <v>3483</v>
      </c>
      <c r="B2472" s="29">
        <v>3387.15</v>
      </c>
      <c r="C2472" s="30" t="s">
        <v>3588</v>
      </c>
      <c r="D2472" s="2">
        <v>4951411353</v>
      </c>
      <c r="E2472" s="2" t="s">
        <v>14</v>
      </c>
      <c r="F2472" s="2" t="s">
        <v>3589</v>
      </c>
      <c r="G2472" s="28" t="s">
        <v>5</v>
      </c>
      <c r="H2472" s="2" t="s">
        <v>20</v>
      </c>
      <c r="I2472" s="2">
        <v>3</v>
      </c>
      <c r="J2472" s="2" t="s">
        <v>3590</v>
      </c>
      <c r="K2472" s="2">
        <v>15602.55</v>
      </c>
      <c r="L2472" s="35">
        <f t="shared" si="130"/>
        <v>52848177.232500002</v>
      </c>
      <c r="M2472" s="36">
        <v>8815</v>
      </c>
      <c r="N2472" s="40">
        <v>214655.36495962599</v>
      </c>
      <c r="O2472" s="40">
        <v>174939.5</v>
      </c>
      <c r="P2472" s="40">
        <v>0</v>
      </c>
      <c r="Q2472" s="40">
        <v>49821.333333333299</v>
      </c>
      <c r="R2472" s="40">
        <v>356861.95696982602</v>
      </c>
      <c r="S2472" s="40">
        <v>66375.863578410499</v>
      </c>
      <c r="T2472" s="40">
        <v>30000</v>
      </c>
      <c r="U2472" s="40">
        <v>2080403.6867828299</v>
      </c>
      <c r="V2472" s="40">
        <v>0</v>
      </c>
      <c r="W2472" s="45">
        <f t="shared" si="131"/>
        <v>2973057.7056240258</v>
      </c>
      <c r="X2472" s="46">
        <f t="shared" si="132"/>
        <v>5.62565799108713</v>
      </c>
    </row>
    <row r="2473" spans="1:24" s="4" customFormat="1" ht="15" customHeight="1">
      <c r="A2473" s="28" t="s">
        <v>3483</v>
      </c>
      <c r="B2473" s="29">
        <v>3387.15</v>
      </c>
      <c r="C2473" s="30" t="s">
        <v>3588</v>
      </c>
      <c r="D2473" s="2">
        <v>4951356842</v>
      </c>
      <c r="E2473" s="2" t="s">
        <v>14</v>
      </c>
      <c r="F2473" s="2" t="s">
        <v>3589</v>
      </c>
      <c r="G2473" s="28" t="s">
        <v>5</v>
      </c>
      <c r="H2473" s="2" t="s">
        <v>20</v>
      </c>
      <c r="I2473" s="2">
        <v>3</v>
      </c>
      <c r="J2473" s="2" t="s">
        <v>3590</v>
      </c>
      <c r="K2473" s="2">
        <v>3036</v>
      </c>
      <c r="L2473" s="35">
        <f t="shared" si="130"/>
        <v>10283387.4</v>
      </c>
      <c r="M2473" s="36">
        <v>2640</v>
      </c>
      <c r="N2473" s="40">
        <v>64287.029324266899</v>
      </c>
      <c r="O2473" s="40">
        <v>174939.5</v>
      </c>
      <c r="P2473" s="40">
        <v>0</v>
      </c>
      <c r="Q2473" s="40">
        <v>49821.333333333299</v>
      </c>
      <c r="R2473" s="40">
        <v>106876.41138971499</v>
      </c>
      <c r="S2473" s="40">
        <v>19878.874628134301</v>
      </c>
      <c r="T2473" s="40">
        <v>30000</v>
      </c>
      <c r="U2473" s="40">
        <v>623059.07352316205</v>
      </c>
      <c r="V2473" s="40">
        <v>0</v>
      </c>
      <c r="W2473" s="45">
        <f t="shared" si="131"/>
        <v>1068862.2221986116</v>
      </c>
      <c r="X2473" s="46">
        <f t="shared" si="132"/>
        <v>10.39406744706138</v>
      </c>
    </row>
    <row r="2474" spans="1:24" s="4" customFormat="1" ht="15" customHeight="1">
      <c r="A2474" s="28" t="s">
        <v>3483</v>
      </c>
      <c r="B2474" s="29">
        <v>3387.15</v>
      </c>
      <c r="C2474" s="30" t="s">
        <v>3588</v>
      </c>
      <c r="D2474" s="2">
        <v>4951798443</v>
      </c>
      <c r="E2474" s="2" t="s">
        <v>14</v>
      </c>
      <c r="F2474" s="2" t="s">
        <v>3589</v>
      </c>
      <c r="G2474" s="28" t="s">
        <v>5</v>
      </c>
      <c r="H2474" s="2" t="s">
        <v>20</v>
      </c>
      <c r="I2474" s="2">
        <v>3</v>
      </c>
      <c r="J2474" s="2" t="s">
        <v>3590</v>
      </c>
      <c r="K2474" s="2">
        <v>19710.599999999999</v>
      </c>
      <c r="L2474" s="35">
        <f t="shared" si="130"/>
        <v>66762758.789999999</v>
      </c>
      <c r="M2474" s="36">
        <f>1680+6300</f>
        <v>7980</v>
      </c>
      <c r="N2474" s="40">
        <v>194322.156821079</v>
      </c>
      <c r="O2474" s="40">
        <v>174939.5</v>
      </c>
      <c r="P2474" s="40">
        <v>0</v>
      </c>
      <c r="Q2474" s="40">
        <v>49821.333333333299</v>
      </c>
      <c r="R2474" s="40">
        <v>323058.243518912</v>
      </c>
      <c r="S2474" s="40">
        <v>60088.416489587798</v>
      </c>
      <c r="T2474" s="40">
        <v>30000</v>
      </c>
      <c r="U2474" s="40">
        <v>1883337.6540586499</v>
      </c>
      <c r="V2474" s="40">
        <v>0</v>
      </c>
      <c r="W2474" s="45">
        <f t="shared" si="131"/>
        <v>2715567.3042215621</v>
      </c>
      <c r="X2474" s="46">
        <f t="shared" si="132"/>
        <v>4.067488152733902</v>
      </c>
    </row>
    <row r="2475" spans="1:24" s="4" customFormat="1" ht="15" customHeight="1">
      <c r="A2475" s="28" t="s">
        <v>3483</v>
      </c>
      <c r="B2475" s="29">
        <v>3387.15</v>
      </c>
      <c r="C2475" s="30" t="s">
        <v>3591</v>
      </c>
      <c r="D2475" s="2">
        <v>4952165856</v>
      </c>
      <c r="E2475" s="2" t="s">
        <v>14</v>
      </c>
      <c r="F2475" s="2" t="s">
        <v>3592</v>
      </c>
      <c r="G2475" s="28" t="s">
        <v>9</v>
      </c>
      <c r="H2475" s="2" t="s">
        <v>23</v>
      </c>
      <c r="I2475" s="2">
        <v>1</v>
      </c>
      <c r="J2475" s="2"/>
      <c r="K2475" s="2">
        <v>22534.400000000001</v>
      </c>
      <c r="L2475" s="35">
        <f t="shared" si="130"/>
        <v>76327392.960000008</v>
      </c>
      <c r="M2475" s="36">
        <v>320</v>
      </c>
      <c r="N2475" s="40">
        <v>486400</v>
      </c>
      <c r="O2475" s="40">
        <v>233</v>
      </c>
      <c r="P2475" s="40">
        <v>7424</v>
      </c>
      <c r="Q2475" s="40">
        <v>5669</v>
      </c>
      <c r="R2475" s="40">
        <v>100885</v>
      </c>
      <c r="S2475" s="40">
        <v>354356</v>
      </c>
      <c r="T2475" s="40">
        <v>30000</v>
      </c>
      <c r="U2475" s="40">
        <v>234985.91549295801</v>
      </c>
      <c r="V2475" s="40">
        <v>0</v>
      </c>
      <c r="W2475" s="45">
        <f t="shared" si="131"/>
        <v>1219952.9154929579</v>
      </c>
      <c r="X2475" s="46">
        <f t="shared" si="132"/>
        <v>1.5983159756711254</v>
      </c>
    </row>
    <row r="2476" spans="1:24" s="4" customFormat="1" ht="15" customHeight="1">
      <c r="A2476" s="28" t="s">
        <v>3483</v>
      </c>
      <c r="B2476" s="29">
        <v>3387.15</v>
      </c>
      <c r="C2476" s="30" t="s">
        <v>3593</v>
      </c>
      <c r="D2476" s="2">
        <v>4951574717</v>
      </c>
      <c r="E2476" s="2" t="s">
        <v>18</v>
      </c>
      <c r="F2476" s="2" t="s">
        <v>3594</v>
      </c>
      <c r="G2476" s="28" t="s">
        <v>9</v>
      </c>
      <c r="H2476" s="2" t="s">
        <v>23</v>
      </c>
      <c r="I2476" s="2">
        <v>2</v>
      </c>
      <c r="J2476" s="2"/>
      <c r="K2476" s="2">
        <v>6400</v>
      </c>
      <c r="L2476" s="35">
        <f t="shared" si="130"/>
        <v>21677760</v>
      </c>
      <c r="M2476" s="36">
        <v>2000</v>
      </c>
      <c r="N2476" s="40">
        <v>579545</v>
      </c>
      <c r="O2476" s="40">
        <v>1310</v>
      </c>
      <c r="P2476" s="40">
        <v>0</v>
      </c>
      <c r="Q2476" s="40">
        <v>32642</v>
      </c>
      <c r="R2476" s="40">
        <v>123039</v>
      </c>
      <c r="S2476" s="40">
        <v>354356</v>
      </c>
      <c r="T2476" s="40">
        <v>30000</v>
      </c>
      <c r="U2476" s="40">
        <v>1009927.36077482</v>
      </c>
      <c r="V2476" s="40">
        <v>0</v>
      </c>
      <c r="W2476" s="45">
        <f t="shared" si="131"/>
        <v>2130819.3607748197</v>
      </c>
      <c r="X2476" s="46">
        <f t="shared" si="132"/>
        <v>9.8295181825743061</v>
      </c>
    </row>
    <row r="2477" spans="1:24" s="4" customFormat="1" ht="15" customHeight="1">
      <c r="A2477" s="28" t="s">
        <v>3483</v>
      </c>
      <c r="B2477" s="29">
        <v>3387.15</v>
      </c>
      <c r="C2477" s="30" t="s">
        <v>3595</v>
      </c>
      <c r="D2477" s="2" t="s">
        <v>3596</v>
      </c>
      <c r="E2477" s="2" t="s">
        <v>18</v>
      </c>
      <c r="F2477" s="2" t="s">
        <v>3597</v>
      </c>
      <c r="G2477" s="28" t="s">
        <v>5</v>
      </c>
      <c r="H2477" s="2" t="s">
        <v>17</v>
      </c>
      <c r="I2477" s="2">
        <v>1</v>
      </c>
      <c r="J2477" s="2" t="s">
        <v>3598</v>
      </c>
      <c r="K2477" s="2">
        <v>11400</v>
      </c>
      <c r="L2477" s="35">
        <f t="shared" si="130"/>
        <v>38613510</v>
      </c>
      <c r="M2477" s="36">
        <v>20000</v>
      </c>
      <c r="N2477" s="40">
        <v>447153</v>
      </c>
      <c r="O2477" s="40">
        <v>458999</v>
      </c>
      <c r="P2477" s="40">
        <v>0</v>
      </c>
      <c r="Q2477" s="40">
        <v>110000</v>
      </c>
      <c r="R2477" s="40">
        <v>742666</v>
      </c>
      <c r="S2477" s="40">
        <v>354356</v>
      </c>
      <c r="T2477" s="40">
        <v>30000</v>
      </c>
      <c r="U2477" s="40">
        <v>5640550</v>
      </c>
      <c r="V2477" s="40">
        <v>0</v>
      </c>
      <c r="W2477" s="45">
        <f t="shared" si="131"/>
        <v>7783724</v>
      </c>
      <c r="X2477" s="46">
        <f t="shared" si="132"/>
        <v>20.158032771431554</v>
      </c>
    </row>
    <row r="2478" spans="1:24" s="4" customFormat="1" ht="15" customHeight="1">
      <c r="A2478" s="28" t="s">
        <v>3483</v>
      </c>
      <c r="B2478" s="29">
        <v>3387.15</v>
      </c>
      <c r="C2478" s="30" t="s">
        <v>3599</v>
      </c>
      <c r="D2478" s="2">
        <v>4951798440</v>
      </c>
      <c r="E2478" s="2" t="s">
        <v>14</v>
      </c>
      <c r="F2478" s="2" t="s">
        <v>3600</v>
      </c>
      <c r="G2478" s="28" t="s">
        <v>9</v>
      </c>
      <c r="H2478" s="2" t="s">
        <v>23</v>
      </c>
      <c r="I2478" s="2">
        <v>3</v>
      </c>
      <c r="J2478" s="2"/>
      <c r="K2478" s="2">
        <v>24181.5</v>
      </c>
      <c r="L2478" s="35">
        <f t="shared" si="130"/>
        <v>81906367.725000009</v>
      </c>
      <c r="M2478" s="36">
        <v>1050</v>
      </c>
      <c r="N2478" s="40">
        <v>518500.04347826098</v>
      </c>
      <c r="O2478" s="40">
        <v>399.5</v>
      </c>
      <c r="P2478" s="40">
        <v>0</v>
      </c>
      <c r="Q2478" s="40">
        <v>9826</v>
      </c>
      <c r="R2478" s="40">
        <v>26299.304347826099</v>
      </c>
      <c r="S2478" s="40">
        <v>323542.43478260899</v>
      </c>
      <c r="T2478" s="40">
        <v>30000</v>
      </c>
      <c r="U2478" s="40">
        <v>530211.86440677999</v>
      </c>
      <c r="V2478" s="40">
        <v>0</v>
      </c>
      <c r="W2478" s="45">
        <f t="shared" si="131"/>
        <v>1438779.1470154761</v>
      </c>
      <c r="X2478" s="46">
        <f t="shared" si="132"/>
        <v>1.7566145184781796</v>
      </c>
    </row>
    <row r="2479" spans="1:24" s="4" customFormat="1" ht="15" customHeight="1">
      <c r="A2479" s="28" t="s">
        <v>3483</v>
      </c>
      <c r="B2479" s="29">
        <v>3387.15</v>
      </c>
      <c r="C2479" s="30" t="s">
        <v>3599</v>
      </c>
      <c r="D2479" s="2">
        <v>4951798440</v>
      </c>
      <c r="E2479" s="2" t="s">
        <v>14</v>
      </c>
      <c r="F2479" s="2" t="s">
        <v>3600</v>
      </c>
      <c r="G2479" s="28" t="s">
        <v>9</v>
      </c>
      <c r="H2479" s="2" t="s">
        <v>23</v>
      </c>
      <c r="I2479" s="2">
        <v>3</v>
      </c>
      <c r="J2479" s="2"/>
      <c r="K2479" s="2">
        <v>2982</v>
      </c>
      <c r="L2479" s="35">
        <f t="shared" si="130"/>
        <v>10100481.300000001</v>
      </c>
      <c r="M2479" s="36">
        <v>100</v>
      </c>
      <c r="N2479" s="40">
        <v>49380.956521739099</v>
      </c>
      <c r="O2479" s="40">
        <v>399.5</v>
      </c>
      <c r="P2479" s="40">
        <v>0</v>
      </c>
      <c r="Q2479" s="40">
        <v>9826</v>
      </c>
      <c r="R2479" s="40">
        <v>2504.6956521739098</v>
      </c>
      <c r="S2479" s="40">
        <v>30813.5652173913</v>
      </c>
      <c r="T2479" s="40">
        <v>30000</v>
      </c>
      <c r="U2479" s="40">
        <v>50496.368038740897</v>
      </c>
      <c r="V2479" s="40">
        <v>0</v>
      </c>
      <c r="W2479" s="45">
        <f t="shared" si="131"/>
        <v>173421.0854300452</v>
      </c>
      <c r="X2479" s="46">
        <f t="shared" si="132"/>
        <v>1.7169586307738145</v>
      </c>
    </row>
    <row r="2480" spans="1:24" s="4" customFormat="1" ht="15" customHeight="1">
      <c r="A2480" s="28" t="s">
        <v>3483</v>
      </c>
      <c r="B2480" s="29">
        <v>3387.15</v>
      </c>
      <c r="C2480" s="30" t="s">
        <v>3601</v>
      </c>
      <c r="D2480" s="2">
        <v>4951874483</v>
      </c>
      <c r="E2480" s="2" t="s">
        <v>14</v>
      </c>
      <c r="F2480" s="2" t="s">
        <v>3602</v>
      </c>
      <c r="G2480" s="28" t="s">
        <v>9</v>
      </c>
      <c r="H2480" s="2" t="s">
        <v>23</v>
      </c>
      <c r="I2480" s="2">
        <v>4</v>
      </c>
      <c r="J2480" s="2"/>
      <c r="K2480" s="2">
        <v>443</v>
      </c>
      <c r="L2480" s="35">
        <f t="shared" si="130"/>
        <v>1500507.45</v>
      </c>
      <c r="M2480" s="36">
        <v>100</v>
      </c>
      <c r="N2480" s="40">
        <v>26919</v>
      </c>
      <c r="O2480" s="40">
        <v>571.33333333333303</v>
      </c>
      <c r="P2480" s="40">
        <v>0</v>
      </c>
      <c r="Q2480" s="40">
        <v>13644</v>
      </c>
      <c r="R2480" s="40">
        <v>5751.4166666666697</v>
      </c>
      <c r="S2480" s="40">
        <v>14764.833333333299</v>
      </c>
      <c r="T2480" s="40">
        <v>30000</v>
      </c>
      <c r="U2480" s="40">
        <v>47183.257918552001</v>
      </c>
      <c r="V2480" s="40">
        <v>0</v>
      </c>
      <c r="W2480" s="45">
        <f t="shared" si="131"/>
        <v>138833.84125188529</v>
      </c>
      <c r="X2480" s="46">
        <f t="shared" si="132"/>
        <v>9.2524593098078451</v>
      </c>
    </row>
    <row r="2481" spans="1:24" s="4" customFormat="1" ht="15" customHeight="1">
      <c r="A2481" s="28" t="s">
        <v>3483</v>
      </c>
      <c r="B2481" s="29">
        <v>3387.15</v>
      </c>
      <c r="C2481" s="30" t="s">
        <v>3601</v>
      </c>
      <c r="D2481" s="2">
        <v>4951798437</v>
      </c>
      <c r="E2481" s="2" t="s">
        <v>14</v>
      </c>
      <c r="F2481" s="2" t="s">
        <v>3602</v>
      </c>
      <c r="G2481" s="28" t="s">
        <v>9</v>
      </c>
      <c r="H2481" s="2" t="s">
        <v>23</v>
      </c>
      <c r="I2481" s="2">
        <v>4</v>
      </c>
      <c r="J2481" s="2"/>
      <c r="K2481" s="2">
        <v>2130</v>
      </c>
      <c r="L2481" s="35">
        <f t="shared" si="130"/>
        <v>7214629.5</v>
      </c>
      <c r="M2481" s="36">
        <v>3000</v>
      </c>
      <c r="N2481" s="40">
        <v>403785</v>
      </c>
      <c r="O2481" s="40">
        <v>571.33333333333303</v>
      </c>
      <c r="P2481" s="40">
        <v>0</v>
      </c>
      <c r="Q2481" s="40">
        <v>13644</v>
      </c>
      <c r="R2481" s="40">
        <v>86271.25</v>
      </c>
      <c r="S2481" s="40">
        <v>221472.5</v>
      </c>
      <c r="T2481" s="40">
        <v>30000</v>
      </c>
      <c r="U2481" s="40">
        <v>707748.86877828103</v>
      </c>
      <c r="V2481" s="40">
        <v>0</v>
      </c>
      <c r="W2481" s="45">
        <f t="shared" si="131"/>
        <v>1463492.9521116144</v>
      </c>
      <c r="X2481" s="46">
        <f t="shared" si="132"/>
        <v>20.285074266275412</v>
      </c>
    </row>
    <row r="2482" spans="1:24" s="4" customFormat="1" ht="15" customHeight="1">
      <c r="A2482" s="28" t="s">
        <v>3483</v>
      </c>
      <c r="B2482" s="29">
        <v>3387.15</v>
      </c>
      <c r="C2482" s="30" t="s">
        <v>3601</v>
      </c>
      <c r="D2482" s="2">
        <v>4951874483</v>
      </c>
      <c r="E2482" s="2" t="s">
        <v>14</v>
      </c>
      <c r="F2482" s="2" t="s">
        <v>3602</v>
      </c>
      <c r="G2482" s="28" t="s">
        <v>9</v>
      </c>
      <c r="H2482" s="2" t="s">
        <v>23</v>
      </c>
      <c r="I2482" s="2">
        <v>4</v>
      </c>
      <c r="J2482" s="2"/>
      <c r="K2482" s="2">
        <v>2400</v>
      </c>
      <c r="L2482" s="35">
        <f t="shared" si="130"/>
        <v>8129160</v>
      </c>
      <c r="M2482" s="36">
        <v>800</v>
      </c>
      <c r="N2482" s="40">
        <v>215352</v>
      </c>
      <c r="O2482" s="40">
        <v>571.33333333333303</v>
      </c>
      <c r="P2482" s="40">
        <v>0</v>
      </c>
      <c r="Q2482" s="40">
        <v>13644</v>
      </c>
      <c r="R2482" s="40">
        <v>46011.333333333299</v>
      </c>
      <c r="S2482" s="40">
        <v>118118.66666666701</v>
      </c>
      <c r="T2482" s="40">
        <v>30000</v>
      </c>
      <c r="U2482" s="40">
        <v>377466.06334841601</v>
      </c>
      <c r="V2482" s="40">
        <v>0</v>
      </c>
      <c r="W2482" s="45">
        <f t="shared" si="131"/>
        <v>801163.39668174961</v>
      </c>
      <c r="X2482" s="46">
        <f t="shared" si="132"/>
        <v>9.8554265961273941</v>
      </c>
    </row>
    <row r="2483" spans="1:24" s="4" customFormat="1" ht="15" customHeight="1">
      <c r="A2483" s="28" t="s">
        <v>3483</v>
      </c>
      <c r="B2483" s="29">
        <v>3387.15</v>
      </c>
      <c r="C2483" s="30" t="s">
        <v>3603</v>
      </c>
      <c r="D2483" s="2">
        <v>4948474968</v>
      </c>
      <c r="E2483" s="2" t="s">
        <v>6</v>
      </c>
      <c r="F2483" s="2" t="s">
        <v>3604</v>
      </c>
      <c r="G2483" s="28" t="s">
        <v>5</v>
      </c>
      <c r="H2483" s="2" t="s">
        <v>20</v>
      </c>
      <c r="I2483" s="2">
        <v>2</v>
      </c>
      <c r="J2483" s="2" t="s">
        <v>3605</v>
      </c>
      <c r="K2483" s="2">
        <v>284298</v>
      </c>
      <c r="L2483" s="35">
        <f t="shared" si="130"/>
        <v>962959970.70000005</v>
      </c>
      <c r="M2483" s="36">
        <f>630+16800+11970</f>
        <v>29400</v>
      </c>
      <c r="N2483" s="40">
        <v>665358</v>
      </c>
      <c r="O2483" s="40">
        <v>699758</v>
      </c>
      <c r="P2483" s="40">
        <v>0</v>
      </c>
      <c r="Q2483" s="40">
        <v>198619</v>
      </c>
      <c r="R2483" s="40">
        <v>1472253</v>
      </c>
      <c r="S2483" s="40">
        <v>354356</v>
      </c>
      <c r="T2483" s="40">
        <v>30000</v>
      </c>
      <c r="U2483" s="40">
        <v>999800</v>
      </c>
      <c r="V2483" s="40">
        <v>0</v>
      </c>
      <c r="W2483" s="45">
        <f t="shared" si="131"/>
        <v>4420144</v>
      </c>
      <c r="X2483" s="46">
        <f t="shared" si="132"/>
        <v>0.45901638017070273</v>
      </c>
    </row>
    <row r="2484" spans="1:24" s="4" customFormat="1" ht="15" customHeight="1">
      <c r="A2484" s="28" t="s">
        <v>3483</v>
      </c>
      <c r="B2484" s="29">
        <v>3387.15</v>
      </c>
      <c r="C2484" s="30" t="s">
        <v>3606</v>
      </c>
      <c r="D2484" s="2">
        <v>4950875632</v>
      </c>
      <c r="E2484" s="2" t="s">
        <v>14</v>
      </c>
      <c r="F2484" s="2" t="s">
        <v>3607</v>
      </c>
      <c r="G2484" s="28" t="s">
        <v>9</v>
      </c>
      <c r="H2484" s="2" t="s">
        <v>23</v>
      </c>
      <c r="I2484" s="2">
        <v>9</v>
      </c>
      <c r="J2484" s="2"/>
      <c r="K2484" s="2">
        <v>20568.599999999999</v>
      </c>
      <c r="L2484" s="35">
        <f t="shared" si="130"/>
        <v>69668933.489999995</v>
      </c>
      <c r="M2484" s="36">
        <v>3510</v>
      </c>
      <c r="N2484" s="40">
        <v>1664605</v>
      </c>
      <c r="O2484" s="40">
        <v>2643</v>
      </c>
      <c r="P2484" s="40">
        <v>0</v>
      </c>
      <c r="Q2484" s="40">
        <v>64040</v>
      </c>
      <c r="R2484" s="40">
        <v>150362</v>
      </c>
      <c r="S2484" s="40">
        <v>354356</v>
      </c>
      <c r="T2484" s="40">
        <v>30000</v>
      </c>
      <c r="U2484" s="40">
        <v>2085500</v>
      </c>
      <c r="V2484" s="40">
        <v>0</v>
      </c>
      <c r="W2484" s="45">
        <f t="shared" si="131"/>
        <v>4351506</v>
      </c>
      <c r="X2484" s="46">
        <f t="shared" si="132"/>
        <v>6.2459776287871529</v>
      </c>
    </row>
    <row r="2485" spans="1:24" s="4" customFormat="1" ht="15" customHeight="1">
      <c r="A2485" s="28" t="s">
        <v>3483</v>
      </c>
      <c r="B2485" s="29">
        <v>3387.15</v>
      </c>
      <c r="C2485" s="30" t="s">
        <v>3608</v>
      </c>
      <c r="D2485" s="2">
        <v>4951874485</v>
      </c>
      <c r="E2485" s="2" t="s">
        <v>14</v>
      </c>
      <c r="F2485" s="2" t="s">
        <v>3609</v>
      </c>
      <c r="G2485" s="28" t="s">
        <v>9</v>
      </c>
      <c r="H2485" s="2" t="s">
        <v>23</v>
      </c>
      <c r="I2485" s="2">
        <v>2</v>
      </c>
      <c r="J2485" s="2"/>
      <c r="K2485" s="2">
        <v>5695.2</v>
      </c>
      <c r="L2485" s="35">
        <f t="shared" si="130"/>
        <v>19290496.68</v>
      </c>
      <c r="M2485" s="36">
        <v>360</v>
      </c>
      <c r="N2485" s="40">
        <v>529032.46153846197</v>
      </c>
      <c r="O2485" s="40">
        <v>200</v>
      </c>
      <c r="P2485" s="40">
        <v>10509.9230769231</v>
      </c>
      <c r="Q2485" s="40">
        <v>5848</v>
      </c>
      <c r="R2485" s="40">
        <v>69321.724615384606</v>
      </c>
      <c r="S2485" s="40">
        <v>245323.384615385</v>
      </c>
      <c r="T2485" s="40">
        <v>30000</v>
      </c>
      <c r="U2485" s="40">
        <v>264359.15492957702</v>
      </c>
      <c r="V2485" s="40">
        <v>0</v>
      </c>
      <c r="W2485" s="45">
        <f t="shared" si="131"/>
        <v>1154594.6487757317</v>
      </c>
      <c r="X2485" s="46">
        <f t="shared" si="132"/>
        <v>5.9853028562649309</v>
      </c>
    </row>
    <row r="2486" spans="1:24" s="4" customFormat="1" ht="15" customHeight="1">
      <c r="A2486" s="28" t="s">
        <v>3483</v>
      </c>
      <c r="B2486" s="29">
        <v>3387.15</v>
      </c>
      <c r="C2486" s="30" t="s">
        <v>3608</v>
      </c>
      <c r="D2486" s="2">
        <v>4951542655</v>
      </c>
      <c r="E2486" s="2" t="s">
        <v>14</v>
      </c>
      <c r="F2486" s="2" t="s">
        <v>3609</v>
      </c>
      <c r="G2486" s="28" t="s">
        <v>9</v>
      </c>
      <c r="H2486" s="2" t="s">
        <v>23</v>
      </c>
      <c r="I2486" s="2">
        <v>2</v>
      </c>
      <c r="J2486" s="2"/>
      <c r="K2486" s="2">
        <v>7912</v>
      </c>
      <c r="L2486" s="35">
        <f t="shared" si="130"/>
        <v>26799130.800000001</v>
      </c>
      <c r="M2486" s="36">
        <v>160</v>
      </c>
      <c r="N2486" s="40">
        <v>235125.538461538</v>
      </c>
      <c r="O2486" s="40">
        <v>200</v>
      </c>
      <c r="P2486" s="40">
        <v>4671.0769230769201</v>
      </c>
      <c r="Q2486" s="40">
        <v>5848</v>
      </c>
      <c r="R2486" s="40">
        <v>30809.655384615398</v>
      </c>
      <c r="S2486" s="40">
        <v>109032.615384615</v>
      </c>
      <c r="T2486" s="40">
        <v>30000</v>
      </c>
      <c r="U2486" s="40">
        <v>117492.95774647901</v>
      </c>
      <c r="V2486" s="40">
        <v>0</v>
      </c>
      <c r="W2486" s="45">
        <f t="shared" si="131"/>
        <v>533179.84390032431</v>
      </c>
      <c r="X2486" s="46">
        <f t="shared" si="132"/>
        <v>1.989541555953465</v>
      </c>
    </row>
    <row r="2487" spans="1:24" s="4" customFormat="1" ht="15" customHeight="1">
      <c r="A2487" s="28" t="s">
        <v>3483</v>
      </c>
      <c r="B2487" s="29">
        <v>3387.15</v>
      </c>
      <c r="C2487" s="30" t="s">
        <v>3610</v>
      </c>
      <c r="D2487" s="2">
        <v>4947226238</v>
      </c>
      <c r="E2487" s="2" t="s">
        <v>6</v>
      </c>
      <c r="F2487" s="2" t="s">
        <v>3611</v>
      </c>
      <c r="G2487" s="28" t="s">
        <v>5</v>
      </c>
      <c r="H2487" s="2" t="s">
        <v>20</v>
      </c>
      <c r="I2487" s="2">
        <v>1</v>
      </c>
      <c r="J2487" s="2" t="s">
        <v>3612</v>
      </c>
      <c r="K2487" s="2">
        <v>11130</v>
      </c>
      <c r="L2487" s="35">
        <f t="shared" si="130"/>
        <v>37698979.5</v>
      </c>
      <c r="M2487" s="36">
        <v>3000</v>
      </c>
      <c r="N2487" s="40">
        <v>324667</v>
      </c>
      <c r="O2487" s="40">
        <v>435616</v>
      </c>
      <c r="P2487" s="40">
        <v>0</v>
      </c>
      <c r="Q2487" s="40">
        <v>124137</v>
      </c>
      <c r="R2487" s="40">
        <v>801712</v>
      </c>
      <c r="S2487" s="40">
        <v>354356</v>
      </c>
      <c r="T2487" s="40">
        <v>30000</v>
      </c>
      <c r="U2487" s="40">
        <v>2619000</v>
      </c>
      <c r="V2487" s="40">
        <v>0</v>
      </c>
      <c r="W2487" s="45">
        <f t="shared" si="131"/>
        <v>4689488</v>
      </c>
      <c r="X2487" s="46">
        <f t="shared" si="132"/>
        <v>12.439296931101278</v>
      </c>
    </row>
    <row r="2488" spans="1:24" s="4" customFormat="1" ht="15" customHeight="1">
      <c r="A2488" s="28" t="s">
        <v>3483</v>
      </c>
      <c r="B2488" s="29">
        <v>3387.15</v>
      </c>
      <c r="C2488" s="30" t="s">
        <v>3613</v>
      </c>
      <c r="D2488" s="2">
        <v>4947229910</v>
      </c>
      <c r="E2488" s="2" t="s">
        <v>6</v>
      </c>
      <c r="F2488" s="2" t="s">
        <v>3614</v>
      </c>
      <c r="G2488" s="28" t="s">
        <v>9</v>
      </c>
      <c r="H2488" s="2" t="s">
        <v>23</v>
      </c>
      <c r="I2488" s="2">
        <v>1</v>
      </c>
      <c r="J2488" s="2"/>
      <c r="K2488" s="2">
        <v>12801.6</v>
      </c>
      <c r="L2488" s="35">
        <f t="shared" si="130"/>
        <v>43360939.440000005</v>
      </c>
      <c r="M2488" s="36">
        <v>720</v>
      </c>
      <c r="N2488" s="40">
        <v>741115</v>
      </c>
      <c r="O2488" s="40">
        <v>574</v>
      </c>
      <c r="P2488" s="40">
        <v>0</v>
      </c>
      <c r="Q2488" s="40">
        <v>18209</v>
      </c>
      <c r="R2488" s="40">
        <v>108455</v>
      </c>
      <c r="S2488" s="40">
        <v>354356</v>
      </c>
      <c r="T2488" s="40">
        <v>30000</v>
      </c>
      <c r="U2488" s="40">
        <v>1367700</v>
      </c>
      <c r="V2488" s="40">
        <v>0</v>
      </c>
      <c r="W2488" s="45">
        <f t="shared" si="131"/>
        <v>2620409</v>
      </c>
      <c r="X2488" s="46">
        <f t="shared" si="132"/>
        <v>6.043247756718805</v>
      </c>
    </row>
    <row r="2489" spans="1:24" s="4" customFormat="1" ht="15" customHeight="1">
      <c r="A2489" s="28" t="s">
        <v>3483</v>
      </c>
      <c r="B2489" s="29">
        <v>3387.15</v>
      </c>
      <c r="C2489" s="30" t="s">
        <v>3615</v>
      </c>
      <c r="D2489" s="2">
        <v>4946611858</v>
      </c>
      <c r="E2489" s="2" t="s">
        <v>6</v>
      </c>
      <c r="F2489" s="2" t="s">
        <v>3616</v>
      </c>
      <c r="G2489" s="28" t="s">
        <v>9</v>
      </c>
      <c r="H2489" s="2" t="s">
        <v>23</v>
      </c>
      <c r="I2489" s="2">
        <v>4</v>
      </c>
      <c r="J2489" s="2"/>
      <c r="K2489" s="2">
        <v>16646.400000000001</v>
      </c>
      <c r="L2489" s="35">
        <f t="shared" si="130"/>
        <v>56383853.760000005</v>
      </c>
      <c r="M2489" s="36">
        <v>1920</v>
      </c>
      <c r="N2489" s="40">
        <v>695329</v>
      </c>
      <c r="O2489" s="40">
        <v>1435</v>
      </c>
      <c r="P2489" s="40">
        <v>892516</v>
      </c>
      <c r="Q2489" s="40">
        <v>35975</v>
      </c>
      <c r="R2489" s="40">
        <v>127544</v>
      </c>
      <c r="S2489" s="40">
        <v>354356</v>
      </c>
      <c r="T2489" s="40">
        <v>30000</v>
      </c>
      <c r="U2489" s="40">
        <v>1367700</v>
      </c>
      <c r="V2489" s="40">
        <v>0</v>
      </c>
      <c r="W2489" s="45">
        <f t="shared" si="131"/>
        <v>3504855</v>
      </c>
      <c r="X2489" s="46">
        <f t="shared" si="132"/>
        <v>6.2160614542570061</v>
      </c>
    </row>
    <row r="2490" spans="1:24" s="4" customFormat="1" ht="15" customHeight="1">
      <c r="A2490" s="28" t="s">
        <v>3483</v>
      </c>
      <c r="B2490" s="29">
        <v>3387.15</v>
      </c>
      <c r="C2490" s="30" t="s">
        <v>3617</v>
      </c>
      <c r="D2490" s="2">
        <v>4949386334</v>
      </c>
      <c r="E2490" s="2" t="s">
        <v>6</v>
      </c>
      <c r="F2490" s="2" t="s">
        <v>3618</v>
      </c>
      <c r="G2490" s="28" t="s">
        <v>9</v>
      </c>
      <c r="H2490" s="2" t="s">
        <v>23</v>
      </c>
      <c r="I2490" s="2">
        <v>1</v>
      </c>
      <c r="J2490" s="2"/>
      <c r="K2490" s="2">
        <v>5594.4</v>
      </c>
      <c r="L2490" s="35">
        <f t="shared" si="130"/>
        <v>18949071.960000001</v>
      </c>
      <c r="M2490" s="36">
        <v>720</v>
      </c>
      <c r="N2490" s="40">
        <v>755929</v>
      </c>
      <c r="O2490" s="40">
        <v>593</v>
      </c>
      <c r="P2490" s="40">
        <v>0</v>
      </c>
      <c r="Q2490" s="40">
        <v>17490</v>
      </c>
      <c r="R2490" s="40">
        <v>107812</v>
      </c>
      <c r="S2490" s="40">
        <v>354356</v>
      </c>
      <c r="T2490" s="40">
        <v>30000</v>
      </c>
      <c r="U2490" s="40">
        <v>683850</v>
      </c>
      <c r="V2490" s="40">
        <v>0</v>
      </c>
      <c r="W2490" s="45">
        <f t="shared" si="131"/>
        <v>1950030</v>
      </c>
      <c r="X2490" s="46">
        <f t="shared" si="132"/>
        <v>10.290899755493884</v>
      </c>
    </row>
    <row r="2491" spans="1:24" s="4" customFormat="1" ht="15" customHeight="1">
      <c r="A2491" s="28" t="s">
        <v>3483</v>
      </c>
      <c r="B2491" s="29">
        <v>3387.15</v>
      </c>
      <c r="C2491" s="30" t="s">
        <v>3619</v>
      </c>
      <c r="D2491" s="2">
        <v>4952135968</v>
      </c>
      <c r="E2491" s="2" t="s">
        <v>21</v>
      </c>
      <c r="F2491" s="2" t="s">
        <v>3620</v>
      </c>
      <c r="G2491" s="28" t="s">
        <v>9</v>
      </c>
      <c r="H2491" s="2" t="s">
        <v>23</v>
      </c>
      <c r="I2491" s="2">
        <v>1</v>
      </c>
      <c r="J2491" s="2"/>
      <c r="K2491" s="2">
        <v>1431</v>
      </c>
      <c r="L2491" s="35">
        <f t="shared" si="130"/>
        <v>4847011.6500000004</v>
      </c>
      <c r="M2491" s="36">
        <v>675</v>
      </c>
      <c r="N2491" s="40">
        <v>593811</v>
      </c>
      <c r="O2491" s="40">
        <v>489</v>
      </c>
      <c r="P2491" s="40">
        <v>0</v>
      </c>
      <c r="Q2491" s="40">
        <v>11901</v>
      </c>
      <c r="R2491" s="40">
        <v>96267</v>
      </c>
      <c r="S2491" s="40">
        <v>354356</v>
      </c>
      <c r="T2491" s="40"/>
      <c r="U2491" s="40">
        <v>1367700</v>
      </c>
      <c r="V2491" s="40">
        <v>0</v>
      </c>
      <c r="W2491" s="45">
        <f t="shared" si="131"/>
        <v>2424524</v>
      </c>
      <c r="X2491" s="46">
        <f t="shared" si="132"/>
        <v>50.021006242062569</v>
      </c>
    </row>
    <row r="2492" spans="1:24" s="4" customFormat="1" ht="15" customHeight="1">
      <c r="A2492" s="28" t="s">
        <v>3483</v>
      </c>
      <c r="B2492" s="29">
        <v>3387.15</v>
      </c>
      <c r="C2492" s="30" t="s">
        <v>3621</v>
      </c>
      <c r="D2492" s="2">
        <v>4951348228</v>
      </c>
      <c r="E2492" s="2" t="s">
        <v>14</v>
      </c>
      <c r="F2492" s="2" t="s">
        <v>3622</v>
      </c>
      <c r="G2492" s="28" t="s">
        <v>5</v>
      </c>
      <c r="H2492" s="2" t="s">
        <v>20</v>
      </c>
      <c r="I2492" s="2">
        <v>1</v>
      </c>
      <c r="J2492" s="2" t="s">
        <v>3623</v>
      </c>
      <c r="K2492" s="2">
        <v>26100</v>
      </c>
      <c r="L2492" s="35">
        <f t="shared" si="130"/>
        <v>88404615</v>
      </c>
      <c r="M2492" s="36">
        <v>18000</v>
      </c>
      <c r="N2492" s="40">
        <v>324606</v>
      </c>
      <c r="O2492" s="40">
        <v>349879</v>
      </c>
      <c r="P2492" s="40">
        <v>0</v>
      </c>
      <c r="Q2492" s="40">
        <v>110000</v>
      </c>
      <c r="R2492" s="40">
        <v>638977</v>
      </c>
      <c r="S2492" s="40">
        <v>354356</v>
      </c>
      <c r="T2492" s="40">
        <v>30000</v>
      </c>
      <c r="U2492" s="40">
        <v>6404400</v>
      </c>
      <c r="V2492" s="40">
        <v>0</v>
      </c>
      <c r="W2492" s="45">
        <f t="shared" si="131"/>
        <v>8212218</v>
      </c>
      <c r="X2492" s="46">
        <f t="shared" si="132"/>
        <v>9.2893544075724996</v>
      </c>
    </row>
    <row r="2493" spans="1:24" s="4" customFormat="1" ht="15" customHeight="1">
      <c r="A2493" s="28" t="s">
        <v>3483</v>
      </c>
      <c r="B2493" s="29">
        <v>3387.15</v>
      </c>
      <c r="C2493" s="30" t="s">
        <v>3624</v>
      </c>
      <c r="D2493" s="2">
        <v>4951380718</v>
      </c>
      <c r="E2493" s="2" t="s">
        <v>38</v>
      </c>
      <c r="F2493" s="2" t="s">
        <v>3625</v>
      </c>
      <c r="G2493" s="28" t="s">
        <v>9</v>
      </c>
      <c r="H2493" s="2" t="s">
        <v>23</v>
      </c>
      <c r="I2493" s="2">
        <v>2</v>
      </c>
      <c r="J2493" s="2"/>
      <c r="K2493" s="2">
        <v>946</v>
      </c>
      <c r="L2493" s="35">
        <f t="shared" si="130"/>
        <v>3204243.9</v>
      </c>
      <c r="M2493" s="36">
        <v>440</v>
      </c>
      <c r="N2493" s="40">
        <v>460889</v>
      </c>
      <c r="O2493" s="40">
        <v>225</v>
      </c>
      <c r="P2493" s="40">
        <v>15171.9333333333</v>
      </c>
      <c r="Q2493" s="40">
        <v>5526.5</v>
      </c>
      <c r="R2493" s="40">
        <v>70421.266666666706</v>
      </c>
      <c r="S2493" s="40">
        <v>259861.066666667</v>
      </c>
      <c r="T2493" s="40"/>
      <c r="U2493" s="40">
        <v>184946.66666666701</v>
      </c>
      <c r="V2493" s="40">
        <v>0</v>
      </c>
      <c r="W2493" s="45">
        <f t="shared" si="131"/>
        <v>997041.43333333393</v>
      </c>
      <c r="X2493" s="46">
        <f t="shared" si="132"/>
        <v>31.116277800617297</v>
      </c>
    </row>
    <row r="2494" spans="1:24" s="4" customFormat="1" ht="15" customHeight="1">
      <c r="A2494" s="28" t="s">
        <v>3483</v>
      </c>
      <c r="B2494" s="29">
        <v>3387.15</v>
      </c>
      <c r="C2494" s="30" t="s">
        <v>3624</v>
      </c>
      <c r="D2494" s="2">
        <v>4951380719</v>
      </c>
      <c r="E2494" s="2" t="s">
        <v>38</v>
      </c>
      <c r="F2494" s="2" t="s">
        <v>3625</v>
      </c>
      <c r="G2494" s="28" t="s">
        <v>9</v>
      </c>
      <c r="H2494" s="2" t="s">
        <v>23</v>
      </c>
      <c r="I2494" s="2">
        <v>2</v>
      </c>
      <c r="J2494" s="2"/>
      <c r="K2494" s="2">
        <v>396.8</v>
      </c>
      <c r="L2494" s="35">
        <f t="shared" si="130"/>
        <v>1344021.12</v>
      </c>
      <c r="M2494" s="36">
        <v>160</v>
      </c>
      <c r="N2494" s="40">
        <v>167596</v>
      </c>
      <c r="O2494" s="40">
        <v>225</v>
      </c>
      <c r="P2494" s="40">
        <v>5517.0666666666702</v>
      </c>
      <c r="Q2494" s="40">
        <v>5526.5</v>
      </c>
      <c r="R2494" s="40">
        <v>25607.733333333301</v>
      </c>
      <c r="S2494" s="40">
        <v>94494.933333333305</v>
      </c>
      <c r="T2494" s="40"/>
      <c r="U2494" s="40">
        <v>67253.333333333299</v>
      </c>
      <c r="V2494" s="40">
        <v>0</v>
      </c>
      <c r="W2494" s="45">
        <f t="shared" si="131"/>
        <v>366220.56666666659</v>
      </c>
      <c r="X2494" s="46">
        <f t="shared" si="132"/>
        <v>27.248125882625011</v>
      </c>
    </row>
    <row r="2495" spans="1:24" s="4" customFormat="1" ht="15" customHeight="1">
      <c r="A2495" s="28" t="s">
        <v>3483</v>
      </c>
      <c r="B2495" s="29">
        <v>3387.15</v>
      </c>
      <c r="C2495" s="30" t="s">
        <v>3626</v>
      </c>
      <c r="D2495" s="2">
        <v>4951574745</v>
      </c>
      <c r="E2495" s="2" t="s">
        <v>14</v>
      </c>
      <c r="F2495" s="2" t="s">
        <v>3627</v>
      </c>
      <c r="G2495" s="28" t="s">
        <v>9</v>
      </c>
      <c r="H2495" s="2" t="s">
        <v>23</v>
      </c>
      <c r="I2495" s="2">
        <v>4</v>
      </c>
      <c r="J2495" s="2"/>
      <c r="K2495" s="2">
        <v>25075</v>
      </c>
      <c r="L2495" s="35">
        <f t="shared" si="130"/>
        <v>84932786.25</v>
      </c>
      <c r="M2495" s="36">
        <v>500</v>
      </c>
      <c r="N2495" s="40">
        <v>249680.555555556</v>
      </c>
      <c r="O2495" s="40">
        <v>446.33333333333297</v>
      </c>
      <c r="P2495" s="40">
        <v>24075.833333333299</v>
      </c>
      <c r="Q2495" s="40">
        <v>13831</v>
      </c>
      <c r="R2495" s="40">
        <v>38771.666666666701</v>
      </c>
      <c r="S2495" s="40">
        <v>98432.222222222204</v>
      </c>
      <c r="T2495" s="40">
        <v>30000</v>
      </c>
      <c r="U2495" s="40">
        <v>959222.22222222202</v>
      </c>
      <c r="V2495" s="40">
        <v>0</v>
      </c>
      <c r="W2495" s="45">
        <f t="shared" si="131"/>
        <v>1414459.8333333335</v>
      </c>
      <c r="X2495" s="46">
        <f t="shared" si="132"/>
        <v>1.665387297162094</v>
      </c>
    </row>
    <row r="2496" spans="1:24" s="4" customFormat="1" ht="15" customHeight="1">
      <c r="A2496" s="28" t="s">
        <v>3483</v>
      </c>
      <c r="B2496" s="29">
        <v>3387.15</v>
      </c>
      <c r="C2496" s="30" t="s">
        <v>3626</v>
      </c>
      <c r="D2496" s="2">
        <v>4951271214</v>
      </c>
      <c r="E2496" s="2" t="s">
        <v>14</v>
      </c>
      <c r="F2496" s="2" t="s">
        <v>3627</v>
      </c>
      <c r="G2496" s="28" t="s">
        <v>9</v>
      </c>
      <c r="H2496" s="2" t="s">
        <v>23</v>
      </c>
      <c r="I2496" s="2">
        <v>4</v>
      </c>
      <c r="J2496" s="2"/>
      <c r="K2496" s="2">
        <v>12585</v>
      </c>
      <c r="L2496" s="35">
        <f t="shared" si="130"/>
        <v>42627282.75</v>
      </c>
      <c r="M2496" s="36">
        <v>300</v>
      </c>
      <c r="N2496" s="40">
        <v>149808.33333333299</v>
      </c>
      <c r="O2496" s="40">
        <v>446.33333333333297</v>
      </c>
      <c r="P2496" s="40">
        <v>14445.5</v>
      </c>
      <c r="Q2496" s="40">
        <v>13831</v>
      </c>
      <c r="R2496" s="40">
        <v>23263</v>
      </c>
      <c r="S2496" s="40">
        <v>59059.333333333299</v>
      </c>
      <c r="T2496" s="40">
        <v>30000</v>
      </c>
      <c r="U2496" s="40">
        <v>575533.33333333302</v>
      </c>
      <c r="V2496" s="40">
        <v>0</v>
      </c>
      <c r="W2496" s="45">
        <f t="shared" si="131"/>
        <v>866386.83333333267</v>
      </c>
      <c r="X2496" s="46">
        <f t="shared" si="132"/>
        <v>2.0324702337104346</v>
      </c>
    </row>
    <row r="2497" spans="1:24" s="4" customFormat="1" ht="15" customHeight="1">
      <c r="A2497" s="28" t="s">
        <v>3483</v>
      </c>
      <c r="B2497" s="29">
        <v>3387.15</v>
      </c>
      <c r="C2497" s="30" t="s">
        <v>3626</v>
      </c>
      <c r="D2497" s="2">
        <v>4951411356</v>
      </c>
      <c r="E2497" s="2" t="s">
        <v>14</v>
      </c>
      <c r="F2497" s="2" t="s">
        <v>3627</v>
      </c>
      <c r="G2497" s="28" t="s">
        <v>9</v>
      </c>
      <c r="H2497" s="2" t="s">
        <v>23</v>
      </c>
      <c r="I2497" s="2">
        <v>4</v>
      </c>
      <c r="J2497" s="2"/>
      <c r="K2497" s="2">
        <v>6140</v>
      </c>
      <c r="L2497" s="35">
        <f t="shared" si="130"/>
        <v>20797101</v>
      </c>
      <c r="M2497" s="36">
        <v>1000</v>
      </c>
      <c r="N2497" s="40">
        <v>499361.11111111101</v>
      </c>
      <c r="O2497" s="40">
        <v>446.33333333333297</v>
      </c>
      <c r="P2497" s="40">
        <v>48151.666666666701</v>
      </c>
      <c r="Q2497" s="40">
        <v>13831</v>
      </c>
      <c r="R2497" s="40">
        <v>77543.333333333299</v>
      </c>
      <c r="S2497" s="40">
        <v>196864.444444444</v>
      </c>
      <c r="T2497" s="40">
        <v>30000</v>
      </c>
      <c r="U2497" s="40">
        <v>1918444.4444444401</v>
      </c>
      <c r="V2497" s="40">
        <v>0</v>
      </c>
      <c r="W2497" s="45">
        <f t="shared" si="131"/>
        <v>2784642.3333333284</v>
      </c>
      <c r="X2497" s="46">
        <f t="shared" si="132"/>
        <v>13.38956969691751</v>
      </c>
    </row>
    <row r="2498" spans="1:24" s="4" customFormat="1" ht="15" customHeight="1">
      <c r="A2498" s="28" t="s">
        <v>3483</v>
      </c>
      <c r="B2498" s="29">
        <v>3387.15</v>
      </c>
      <c r="C2498" s="30" t="s">
        <v>3628</v>
      </c>
      <c r="D2498" s="2">
        <v>4951846703</v>
      </c>
      <c r="E2498" s="2" t="s">
        <v>21</v>
      </c>
      <c r="F2498" s="2" t="s">
        <v>3629</v>
      </c>
      <c r="G2498" s="28" t="s">
        <v>9</v>
      </c>
      <c r="H2498" s="2" t="s">
        <v>23</v>
      </c>
      <c r="I2498" s="2">
        <v>6</v>
      </c>
      <c r="J2498" s="2"/>
      <c r="K2498" s="2">
        <v>6888</v>
      </c>
      <c r="L2498" s="35">
        <f t="shared" si="130"/>
        <v>23330689.199999999</v>
      </c>
      <c r="M2498" s="36">
        <v>4200</v>
      </c>
      <c r="N2498" s="40">
        <v>685463.52</v>
      </c>
      <c r="O2498" s="40">
        <v>1770</v>
      </c>
      <c r="P2498" s="40">
        <v>91494.48</v>
      </c>
      <c r="Q2498" s="40">
        <v>43843</v>
      </c>
      <c r="R2498" s="40">
        <v>589876.56000000006</v>
      </c>
      <c r="S2498" s="40">
        <v>297659.03999999998</v>
      </c>
      <c r="T2498" s="40"/>
      <c r="U2498" s="40">
        <v>1751820</v>
      </c>
      <c r="V2498" s="40">
        <v>0</v>
      </c>
      <c r="W2498" s="45">
        <f t="shared" si="131"/>
        <v>3461926.6</v>
      </c>
      <c r="X2498" s="46">
        <f t="shared" si="132"/>
        <v>14.838509785643195</v>
      </c>
    </row>
    <row r="2499" spans="1:24" s="4" customFormat="1" ht="15" customHeight="1">
      <c r="A2499" s="28" t="s">
        <v>3483</v>
      </c>
      <c r="B2499" s="29">
        <v>3387.15</v>
      </c>
      <c r="C2499" s="30" t="s">
        <v>3628</v>
      </c>
      <c r="D2499" s="2">
        <v>4951726526</v>
      </c>
      <c r="E2499" s="2" t="s">
        <v>21</v>
      </c>
      <c r="F2499" s="2" t="s">
        <v>3629</v>
      </c>
      <c r="G2499" s="28" t="s">
        <v>9</v>
      </c>
      <c r="H2499" s="2" t="s">
        <v>23</v>
      </c>
      <c r="I2499" s="2">
        <v>6</v>
      </c>
      <c r="J2499" s="2"/>
      <c r="K2499" s="2">
        <v>2856</v>
      </c>
      <c r="L2499" s="35">
        <f t="shared" si="130"/>
        <v>9673700.4000000004</v>
      </c>
      <c r="M2499" s="36">
        <v>800</v>
      </c>
      <c r="N2499" s="40">
        <v>130564.48</v>
      </c>
      <c r="O2499" s="40">
        <v>1770</v>
      </c>
      <c r="P2499" s="40">
        <v>17427.52</v>
      </c>
      <c r="Q2499" s="40">
        <v>43843</v>
      </c>
      <c r="R2499" s="40">
        <v>112357.44</v>
      </c>
      <c r="S2499" s="40">
        <v>56696.959999999999</v>
      </c>
      <c r="T2499" s="40"/>
      <c r="U2499" s="40">
        <v>333680</v>
      </c>
      <c r="V2499" s="40">
        <v>0</v>
      </c>
      <c r="W2499" s="45">
        <f t="shared" si="131"/>
        <v>696339.39999999991</v>
      </c>
      <c r="X2499" s="46">
        <f t="shared" si="132"/>
        <v>7.1982733722040839</v>
      </c>
    </row>
    <row r="2500" spans="1:24" s="4" customFormat="1" ht="15" customHeight="1">
      <c r="A2500" s="28" t="s">
        <v>3483</v>
      </c>
      <c r="B2500" s="29">
        <v>3387.15</v>
      </c>
      <c r="C2500" s="30" t="s">
        <v>3630</v>
      </c>
      <c r="D2500" s="2">
        <v>4951647412</v>
      </c>
      <c r="E2500" s="2" t="s">
        <v>14</v>
      </c>
      <c r="F2500" s="2" t="s">
        <v>3631</v>
      </c>
      <c r="G2500" s="28" t="s">
        <v>9</v>
      </c>
      <c r="H2500" s="2" t="s">
        <v>23</v>
      </c>
      <c r="I2500" s="2">
        <v>12</v>
      </c>
      <c r="J2500" s="2"/>
      <c r="K2500" s="2">
        <v>1160.9000000000001</v>
      </c>
      <c r="L2500" s="35">
        <f t="shared" si="130"/>
        <v>3932142.4350000005</v>
      </c>
      <c r="M2500" s="36">
        <v>235</v>
      </c>
      <c r="N2500" s="40">
        <v>500883</v>
      </c>
      <c r="O2500" s="40">
        <v>165</v>
      </c>
      <c r="P2500" s="40">
        <v>0</v>
      </c>
      <c r="Q2500" s="40">
        <v>4229</v>
      </c>
      <c r="R2500" s="40">
        <v>90048</v>
      </c>
      <c r="S2500" s="40">
        <v>354356</v>
      </c>
      <c r="T2500" s="40">
        <v>30000</v>
      </c>
      <c r="U2500" s="40">
        <v>1367700</v>
      </c>
      <c r="V2500" s="40">
        <v>0</v>
      </c>
      <c r="W2500" s="45">
        <f t="shared" si="131"/>
        <v>2347381</v>
      </c>
      <c r="X2500" s="46">
        <f t="shared" si="132"/>
        <v>59.697252548787681</v>
      </c>
    </row>
    <row r="2501" spans="1:24" s="4" customFormat="1" ht="15" customHeight="1">
      <c r="A2501" s="28" t="s">
        <v>3483</v>
      </c>
      <c r="B2501" s="29">
        <v>3387.15</v>
      </c>
      <c r="C2501" s="30" t="s">
        <v>3632</v>
      </c>
      <c r="D2501" s="2">
        <v>4951846955</v>
      </c>
      <c r="E2501" s="2" t="s">
        <v>24</v>
      </c>
      <c r="F2501" s="2" t="s">
        <v>3633</v>
      </c>
      <c r="G2501" s="28" t="s">
        <v>9</v>
      </c>
      <c r="H2501" s="2" t="s">
        <v>23</v>
      </c>
      <c r="I2501" s="2">
        <v>2</v>
      </c>
      <c r="J2501" s="2"/>
      <c r="K2501" s="2">
        <v>5443.2</v>
      </c>
      <c r="L2501" s="35">
        <f t="shared" si="130"/>
        <v>18436934.879999999</v>
      </c>
      <c r="M2501" s="36">
        <v>1080</v>
      </c>
      <c r="N2501" s="40">
        <v>656844</v>
      </c>
      <c r="O2501" s="40">
        <v>808</v>
      </c>
      <c r="P2501" s="40">
        <v>30302</v>
      </c>
      <c r="Q2501" s="40">
        <v>24593</v>
      </c>
      <c r="R2501" s="40">
        <v>111096.73</v>
      </c>
      <c r="S2501" s="40">
        <v>354356</v>
      </c>
      <c r="T2501" s="40"/>
      <c r="U2501" s="40">
        <v>1367700</v>
      </c>
      <c r="V2501" s="40">
        <v>0</v>
      </c>
      <c r="W2501" s="45">
        <f t="shared" si="131"/>
        <v>2545699.73</v>
      </c>
      <c r="X2501" s="46">
        <f t="shared" si="132"/>
        <v>13.807608187419056</v>
      </c>
    </row>
    <row r="2502" spans="1:24" s="4" customFormat="1" ht="15" customHeight="1">
      <c r="A2502" s="28" t="s">
        <v>3483</v>
      </c>
      <c r="B2502" s="29">
        <v>3387.15</v>
      </c>
      <c r="C2502" s="30" t="s">
        <v>3634</v>
      </c>
      <c r="D2502" s="2">
        <v>4951647419</v>
      </c>
      <c r="E2502" s="2" t="s">
        <v>14</v>
      </c>
      <c r="F2502" s="2" t="s">
        <v>3635</v>
      </c>
      <c r="G2502" s="28" t="s">
        <v>9</v>
      </c>
      <c r="H2502" s="2" t="s">
        <v>23</v>
      </c>
      <c r="I2502" s="2">
        <v>1</v>
      </c>
      <c r="J2502" s="2"/>
      <c r="K2502" s="2">
        <v>2693</v>
      </c>
      <c r="L2502" s="35">
        <f t="shared" si="130"/>
        <v>9121594.9500000011</v>
      </c>
      <c r="M2502" s="36">
        <v>100</v>
      </c>
      <c r="N2502" s="40">
        <v>458492</v>
      </c>
      <c r="O2502" s="40">
        <v>96</v>
      </c>
      <c r="P2502" s="40">
        <v>0</v>
      </c>
      <c r="Q2502" s="40">
        <v>2062</v>
      </c>
      <c r="R2502" s="40">
        <v>87633</v>
      </c>
      <c r="S2502" s="40">
        <v>354356</v>
      </c>
      <c r="T2502" s="40">
        <v>30000</v>
      </c>
      <c r="U2502" s="40">
        <v>50496.368038740897</v>
      </c>
      <c r="V2502" s="40">
        <v>0</v>
      </c>
      <c r="W2502" s="45">
        <f t="shared" si="131"/>
        <v>983135.36803874094</v>
      </c>
      <c r="X2502" s="46">
        <f t="shared" si="132"/>
        <v>10.778108142575887</v>
      </c>
    </row>
    <row r="2503" spans="1:24" s="4" customFormat="1" ht="15" customHeight="1">
      <c r="A2503" s="28" t="s">
        <v>3483</v>
      </c>
      <c r="B2503" s="29">
        <v>3387.15</v>
      </c>
      <c r="C2503" s="30" t="s">
        <v>3636</v>
      </c>
      <c r="D2503" s="2">
        <v>4949745371</v>
      </c>
      <c r="E2503" s="2" t="s">
        <v>6</v>
      </c>
      <c r="F2503" s="2" t="s">
        <v>3637</v>
      </c>
      <c r="G2503" s="28" t="s">
        <v>5</v>
      </c>
      <c r="H2503" s="2" t="s">
        <v>17</v>
      </c>
      <c r="I2503" s="2">
        <v>1</v>
      </c>
      <c r="J2503" s="2" t="s">
        <v>3638</v>
      </c>
      <c r="K2503" s="2">
        <v>151992</v>
      </c>
      <c r="L2503" s="35">
        <f t="shared" si="130"/>
        <v>514819702.80000001</v>
      </c>
      <c r="M2503" s="36">
        <v>7200</v>
      </c>
      <c r="N2503" s="40">
        <v>216575.42857142899</v>
      </c>
      <c r="O2503" s="40">
        <v>286017.5</v>
      </c>
      <c r="P2503" s="40">
        <v>216444.57142857101</v>
      </c>
      <c r="Q2503" s="40">
        <v>62068.5</v>
      </c>
      <c r="R2503" s="40">
        <f>377929.714285714+114286</f>
        <v>492215.71428571403</v>
      </c>
      <c r="S2503" s="40">
        <v>202489.14285714299</v>
      </c>
      <c r="T2503" s="40">
        <v>30000</v>
      </c>
      <c r="U2503" s="40">
        <v>3112314.2857142901</v>
      </c>
      <c r="V2503" s="40">
        <v>762857.14285714296</v>
      </c>
      <c r="W2503" s="45">
        <f t="shared" si="131"/>
        <v>5380982.2857142901</v>
      </c>
      <c r="X2503" s="46">
        <f t="shared" si="132"/>
        <v>1.0452168509573776</v>
      </c>
    </row>
    <row r="2504" spans="1:24" s="4" customFormat="1" ht="15" customHeight="1">
      <c r="A2504" s="28" t="s">
        <v>3483</v>
      </c>
      <c r="B2504" s="29">
        <v>3387.15</v>
      </c>
      <c r="C2504" s="30" t="s">
        <v>3636</v>
      </c>
      <c r="D2504" s="2">
        <v>4948095914</v>
      </c>
      <c r="E2504" s="2" t="s">
        <v>6</v>
      </c>
      <c r="F2504" s="2" t="s">
        <v>3637</v>
      </c>
      <c r="G2504" s="28" t="s">
        <v>5</v>
      </c>
      <c r="H2504" s="2" t="s">
        <v>17</v>
      </c>
      <c r="I2504" s="2">
        <v>1</v>
      </c>
      <c r="J2504" s="2" t="s">
        <v>3638</v>
      </c>
      <c r="K2504" s="2">
        <v>62802</v>
      </c>
      <c r="L2504" s="35">
        <f t="shared" si="130"/>
        <v>212719794.30000001</v>
      </c>
      <c r="M2504" s="36">
        <f>2860+2400+140</f>
        <v>5400</v>
      </c>
      <c r="N2504" s="40">
        <v>162431.57142857101</v>
      </c>
      <c r="O2504" s="40">
        <v>286017.5</v>
      </c>
      <c r="P2504" s="40">
        <v>162333.42857142899</v>
      </c>
      <c r="Q2504" s="40">
        <v>62068.5</v>
      </c>
      <c r="R2504" s="40">
        <v>369161.28571428597</v>
      </c>
      <c r="S2504" s="40">
        <v>151866.85714285701</v>
      </c>
      <c r="T2504" s="40">
        <v>30000</v>
      </c>
      <c r="U2504" s="40">
        <v>2334235.7142857099</v>
      </c>
      <c r="V2504" s="40">
        <v>572142.85714285704</v>
      </c>
      <c r="W2504" s="45">
        <f t="shared" si="131"/>
        <v>4130257.7142857099</v>
      </c>
      <c r="X2504" s="46">
        <f t="shared" si="132"/>
        <v>1.9416423976326258</v>
      </c>
    </row>
    <row r="2505" spans="1:24" s="4" customFormat="1" ht="15" customHeight="1">
      <c r="A2505" s="28" t="s">
        <v>3483</v>
      </c>
      <c r="B2505" s="29">
        <v>3387.15</v>
      </c>
      <c r="C2505" s="30" t="s">
        <v>3639</v>
      </c>
      <c r="D2505" s="2">
        <v>4951104760</v>
      </c>
      <c r="E2505" s="2" t="s">
        <v>6</v>
      </c>
      <c r="F2505" s="2" t="s">
        <v>3640</v>
      </c>
      <c r="G2505" s="28" t="s">
        <v>5</v>
      </c>
      <c r="H2505" s="2" t="s">
        <v>20</v>
      </c>
      <c r="I2505" s="2">
        <v>1</v>
      </c>
      <c r="J2505" s="2" t="s">
        <v>3641</v>
      </c>
      <c r="K2505" s="2">
        <v>16300</v>
      </c>
      <c r="L2505" s="35">
        <f t="shared" si="130"/>
        <v>55210545</v>
      </c>
      <c r="M2505" s="36">
        <v>5000</v>
      </c>
      <c r="N2505" s="40">
        <v>379149</v>
      </c>
      <c r="O2505" s="40">
        <v>435616</v>
      </c>
      <c r="P2505" s="40">
        <v>0</v>
      </c>
      <c r="Q2505" s="40">
        <v>124137</v>
      </c>
      <c r="R2505" s="40">
        <v>732843</v>
      </c>
      <c r="S2505" s="40">
        <v>354356</v>
      </c>
      <c r="T2505" s="40">
        <v>30000</v>
      </c>
      <c r="U2505" s="40">
        <v>499900</v>
      </c>
      <c r="V2505" s="40">
        <v>0</v>
      </c>
      <c r="W2505" s="45">
        <f t="shared" si="131"/>
        <v>2556001</v>
      </c>
      <c r="X2505" s="46">
        <f t="shared" si="132"/>
        <v>4.6295521987692743</v>
      </c>
    </row>
    <row r="2506" spans="1:24" s="4" customFormat="1" ht="15" customHeight="1">
      <c r="A2506" s="28" t="s">
        <v>3483</v>
      </c>
      <c r="B2506" s="29">
        <v>3387.15</v>
      </c>
      <c r="C2506" s="30" t="s">
        <v>3642</v>
      </c>
      <c r="D2506" s="2">
        <v>4951574739</v>
      </c>
      <c r="E2506" s="2" t="s">
        <v>18</v>
      </c>
      <c r="F2506" s="2" t="s">
        <v>3643</v>
      </c>
      <c r="G2506" s="28" t="s">
        <v>5</v>
      </c>
      <c r="H2506" s="2" t="s">
        <v>20</v>
      </c>
      <c r="I2506" s="2">
        <v>1</v>
      </c>
      <c r="J2506" s="2" t="s">
        <v>3644</v>
      </c>
      <c r="K2506" s="2">
        <v>23562</v>
      </c>
      <c r="L2506" s="35">
        <f t="shared" si="130"/>
        <v>79808028.299999997</v>
      </c>
      <c r="M2506" s="36">
        <v>19800</v>
      </c>
      <c r="N2506" s="40">
        <v>327735</v>
      </c>
      <c r="O2506" s="40">
        <v>349879</v>
      </c>
      <c r="P2506" s="40">
        <v>1124131</v>
      </c>
      <c r="Q2506" s="40">
        <v>110000</v>
      </c>
      <c r="R2506" s="40">
        <v>557525</v>
      </c>
      <c r="S2506" s="40">
        <v>354356</v>
      </c>
      <c r="T2506" s="40">
        <v>30000</v>
      </c>
      <c r="U2506" s="40">
        <v>4811200</v>
      </c>
      <c r="V2506" s="40">
        <v>0</v>
      </c>
      <c r="W2506" s="45">
        <f t="shared" si="131"/>
        <v>7664826</v>
      </c>
      <c r="X2506" s="46">
        <f t="shared" si="132"/>
        <v>9.6040788918976467</v>
      </c>
    </row>
    <row r="2507" spans="1:24" s="4" customFormat="1" ht="15" customHeight="1">
      <c r="A2507" s="28" t="s">
        <v>3483</v>
      </c>
      <c r="B2507" s="29">
        <v>3387.15</v>
      </c>
      <c r="C2507" s="30" t="s">
        <v>3645</v>
      </c>
      <c r="D2507" s="2">
        <v>4948415202</v>
      </c>
      <c r="E2507" s="2" t="s">
        <v>6</v>
      </c>
      <c r="F2507" s="2" t="s">
        <v>3646</v>
      </c>
      <c r="G2507" s="28" t="s">
        <v>5</v>
      </c>
      <c r="H2507" s="2" t="s">
        <v>17</v>
      </c>
      <c r="I2507" s="2">
        <v>1</v>
      </c>
      <c r="J2507" s="2" t="s">
        <v>3647</v>
      </c>
      <c r="K2507" s="2">
        <v>79380</v>
      </c>
      <c r="L2507" s="35">
        <f t="shared" si="130"/>
        <v>268871967</v>
      </c>
      <c r="M2507" s="36">
        <v>11340</v>
      </c>
      <c r="N2507" s="40">
        <v>357225.98507462698</v>
      </c>
      <c r="O2507" s="40">
        <v>286017.5</v>
      </c>
      <c r="P2507" s="40">
        <v>539295.04477611894</v>
      </c>
      <c r="Q2507" s="40">
        <v>62068.5</v>
      </c>
      <c r="R2507" s="40">
        <f>627317.328358209+188060</f>
        <v>815377.32835820899</v>
      </c>
      <c r="S2507" s="40">
        <v>333200.41791044798</v>
      </c>
      <c r="T2507" s="40">
        <v>30000</v>
      </c>
      <c r="U2507" s="40">
        <v>529000</v>
      </c>
      <c r="V2507" s="40">
        <v>0</v>
      </c>
      <c r="W2507" s="45">
        <f t="shared" si="131"/>
        <v>2952184.7761194031</v>
      </c>
      <c r="X2507" s="46">
        <f t="shared" si="132"/>
        <v>1.0979890574160909</v>
      </c>
    </row>
    <row r="2508" spans="1:24" s="4" customFormat="1" ht="15" customHeight="1">
      <c r="A2508" s="28" t="s">
        <v>3483</v>
      </c>
      <c r="B2508" s="29">
        <v>3387.15</v>
      </c>
      <c r="C2508" s="30" t="s">
        <v>3645</v>
      </c>
      <c r="D2508" s="2">
        <v>4949476592</v>
      </c>
      <c r="E2508" s="2" t="s">
        <v>6</v>
      </c>
      <c r="F2508" s="2" t="s">
        <v>3646</v>
      </c>
      <c r="G2508" s="28" t="s">
        <v>5</v>
      </c>
      <c r="H2508" s="2" t="s">
        <v>17</v>
      </c>
      <c r="I2508" s="2">
        <v>1</v>
      </c>
      <c r="J2508" s="2" t="s">
        <v>3647</v>
      </c>
      <c r="K2508" s="2">
        <v>35193.599999999999</v>
      </c>
      <c r="L2508" s="35">
        <f t="shared" si="130"/>
        <v>119206002.23999999</v>
      </c>
      <c r="M2508" s="36">
        <v>720</v>
      </c>
      <c r="N2508" s="40">
        <v>22681.0149253731</v>
      </c>
      <c r="O2508" s="40">
        <v>286017.5</v>
      </c>
      <c r="P2508" s="40">
        <v>34240.955223880599</v>
      </c>
      <c r="Q2508" s="40">
        <v>62068.5</v>
      </c>
      <c r="R2508" s="40">
        <f>39829.671641791+11940</f>
        <v>51769.671641790999</v>
      </c>
      <c r="S2508" s="40">
        <v>21155.582089552201</v>
      </c>
      <c r="T2508" s="40">
        <v>30000</v>
      </c>
      <c r="U2508" s="40">
        <v>1367700</v>
      </c>
      <c r="V2508" s="40">
        <v>0</v>
      </c>
      <c r="W2508" s="45">
        <f t="shared" si="131"/>
        <v>1875633.2238805969</v>
      </c>
      <c r="X2508" s="46">
        <f t="shared" si="132"/>
        <v>1.5734385757726732</v>
      </c>
    </row>
    <row r="2509" spans="1:24" s="4" customFormat="1" ht="15" customHeight="1">
      <c r="A2509" s="28" t="s">
        <v>3483</v>
      </c>
      <c r="B2509" s="29">
        <v>3387.15</v>
      </c>
      <c r="C2509" s="30" t="s">
        <v>3648</v>
      </c>
      <c r="D2509" s="2">
        <v>4948123391</v>
      </c>
      <c r="E2509" s="2" t="s">
        <v>6</v>
      </c>
      <c r="F2509" s="2" t="s">
        <v>3649</v>
      </c>
      <c r="G2509" s="28" t="s">
        <v>9</v>
      </c>
      <c r="H2509" s="2" t="s">
        <v>23</v>
      </c>
      <c r="I2509" s="2">
        <v>4</v>
      </c>
      <c r="J2509" s="2"/>
      <c r="K2509" s="2">
        <v>31944</v>
      </c>
      <c r="L2509" s="35">
        <f t="shared" si="130"/>
        <v>108199119.60000001</v>
      </c>
      <c r="M2509" s="36">
        <v>2400</v>
      </c>
      <c r="N2509" s="40">
        <v>869112</v>
      </c>
      <c r="O2509" s="40">
        <v>1856</v>
      </c>
      <c r="P2509" s="40">
        <v>72231</v>
      </c>
      <c r="Q2509" s="40">
        <v>58376</v>
      </c>
      <c r="R2509" s="40">
        <v>150871</v>
      </c>
      <c r="S2509" s="40">
        <v>354356</v>
      </c>
      <c r="T2509" s="40">
        <v>30000</v>
      </c>
      <c r="U2509" s="40">
        <v>1367700</v>
      </c>
      <c r="V2509" s="40">
        <v>0</v>
      </c>
      <c r="W2509" s="45">
        <f t="shared" si="131"/>
        <v>2904502</v>
      </c>
      <c r="X2509" s="46">
        <f t="shared" si="132"/>
        <v>2.6844044671875498</v>
      </c>
    </row>
    <row r="2510" spans="1:24" s="4" customFormat="1" ht="15" customHeight="1">
      <c r="A2510" s="28" t="s">
        <v>3483</v>
      </c>
      <c r="B2510" s="29">
        <v>3387.15</v>
      </c>
      <c r="C2510" s="30" t="s">
        <v>3650</v>
      </c>
      <c r="D2510" s="2">
        <v>4951267386</v>
      </c>
      <c r="E2510" s="2" t="s">
        <v>36</v>
      </c>
      <c r="F2510" s="2" t="s">
        <v>3651</v>
      </c>
      <c r="G2510" s="28" t="s">
        <v>5</v>
      </c>
      <c r="H2510" s="2" t="s">
        <v>26</v>
      </c>
      <c r="I2510" s="2">
        <v>4</v>
      </c>
      <c r="J2510" s="2" t="s">
        <v>3652</v>
      </c>
      <c r="K2510" s="2">
        <v>82744</v>
      </c>
      <c r="L2510" s="35">
        <f t="shared" si="130"/>
        <v>280266339.60000002</v>
      </c>
      <c r="M2510" s="36">
        <v>83580</v>
      </c>
      <c r="N2510" s="40">
        <v>1323311</v>
      </c>
      <c r="O2510" s="40">
        <v>2132184</v>
      </c>
      <c r="P2510" s="40">
        <v>10227011</v>
      </c>
      <c r="Q2510" s="40">
        <v>496548</v>
      </c>
      <c r="R2510" s="40">
        <v>3323714</v>
      </c>
      <c r="S2510" s="40">
        <v>354356</v>
      </c>
      <c r="T2510" s="40"/>
      <c r="U2510" s="40">
        <v>0</v>
      </c>
      <c r="V2510" s="40">
        <v>0</v>
      </c>
      <c r="W2510" s="45">
        <f t="shared" si="131"/>
        <v>17857124</v>
      </c>
      <c r="X2510" s="46">
        <f t="shared" si="132"/>
        <v>6.3714836485487103</v>
      </c>
    </row>
    <row r="2511" spans="1:24" s="4" customFormat="1" ht="15" customHeight="1">
      <c r="A2511" s="28" t="s">
        <v>3483</v>
      </c>
      <c r="B2511" s="29">
        <v>3387.15</v>
      </c>
      <c r="C2511" s="30" t="s">
        <v>3653</v>
      </c>
      <c r="D2511" s="2">
        <v>4951315466</v>
      </c>
      <c r="E2511" s="2" t="s">
        <v>36</v>
      </c>
      <c r="F2511" s="2" t="s">
        <v>3654</v>
      </c>
      <c r="G2511" s="28" t="s">
        <v>5</v>
      </c>
      <c r="H2511" s="2" t="s">
        <v>26</v>
      </c>
      <c r="I2511" s="2">
        <v>2</v>
      </c>
      <c r="J2511" s="2" t="s">
        <v>3655</v>
      </c>
      <c r="K2511" s="2">
        <v>74965.509999999995</v>
      </c>
      <c r="L2511" s="35">
        <f t="shared" si="130"/>
        <v>253919427.1965</v>
      </c>
      <c r="M2511" s="36">
        <v>49976</v>
      </c>
      <c r="N2511" s="40">
        <v>327913.46894510498</v>
      </c>
      <c r="O2511" s="40">
        <v>855645</v>
      </c>
      <c r="P2511" s="40">
        <v>1530263.3553494301</v>
      </c>
      <c r="Q2511" s="40">
        <v>198619</v>
      </c>
      <c r="R2511" s="40">
        <v>903558.26720708702</v>
      </c>
      <c r="S2511" s="40">
        <v>177274.482739884</v>
      </c>
      <c r="T2511" s="40"/>
      <c r="U2511" s="40">
        <v>0</v>
      </c>
      <c r="V2511" s="40">
        <v>0</v>
      </c>
      <c r="W2511" s="45">
        <f t="shared" si="131"/>
        <v>3993273.5742415064</v>
      </c>
      <c r="X2511" s="46">
        <f t="shared" si="132"/>
        <v>1.5726538210686973</v>
      </c>
    </row>
    <row r="2512" spans="1:24" s="4" customFormat="1" ht="15" customHeight="1">
      <c r="A2512" s="28" t="s">
        <v>3483</v>
      </c>
      <c r="B2512" s="29">
        <v>3387.15</v>
      </c>
      <c r="C2512" s="30" t="s">
        <v>3656</v>
      </c>
      <c r="D2512" s="2">
        <v>4951722693</v>
      </c>
      <c r="E2512" s="2" t="s">
        <v>10</v>
      </c>
      <c r="F2512" s="2" t="s">
        <v>3657</v>
      </c>
      <c r="G2512" s="28" t="s">
        <v>9</v>
      </c>
      <c r="H2512" s="2" t="s">
        <v>23</v>
      </c>
      <c r="I2512" s="2">
        <v>1</v>
      </c>
      <c r="J2512" s="2"/>
      <c r="K2512" s="2">
        <v>14420</v>
      </c>
      <c r="L2512" s="35">
        <f t="shared" si="130"/>
        <v>48842703</v>
      </c>
      <c r="M2512" s="36">
        <v>1000</v>
      </c>
      <c r="N2512" s="40">
        <v>651247</v>
      </c>
      <c r="O2512" s="40">
        <v>803</v>
      </c>
      <c r="P2512" s="40">
        <v>30525</v>
      </c>
      <c r="Q2512" s="40">
        <v>24758</v>
      </c>
      <c r="R2512" s="40">
        <v>116243</v>
      </c>
      <c r="S2512" s="40">
        <v>708712</v>
      </c>
      <c r="T2512" s="40"/>
      <c r="U2512" s="40">
        <v>533500</v>
      </c>
      <c r="V2512" s="40">
        <v>0</v>
      </c>
      <c r="W2512" s="45">
        <f t="shared" si="131"/>
        <v>2065788</v>
      </c>
      <c r="X2512" s="46">
        <f t="shared" si="132"/>
        <v>4.2294710839406244</v>
      </c>
    </row>
    <row r="2513" spans="1:24" s="4" customFormat="1" ht="15" customHeight="1">
      <c r="A2513" s="28" t="s">
        <v>3483</v>
      </c>
      <c r="B2513" s="29">
        <v>3387.15</v>
      </c>
      <c r="C2513" s="30" t="s">
        <v>3658</v>
      </c>
      <c r="D2513" s="2">
        <v>4951379397</v>
      </c>
      <c r="E2513" s="2" t="s">
        <v>10</v>
      </c>
      <c r="F2513" s="2" t="s">
        <v>3659</v>
      </c>
      <c r="G2513" s="28" t="s">
        <v>9</v>
      </c>
      <c r="H2513" s="2" t="s">
        <v>23</v>
      </c>
      <c r="I2513" s="2">
        <v>1</v>
      </c>
      <c r="J2513" s="2"/>
      <c r="K2513" s="2">
        <v>14420</v>
      </c>
      <c r="L2513" s="35">
        <f t="shared" si="130"/>
        <v>48842703</v>
      </c>
      <c r="M2513" s="36">
        <v>1000</v>
      </c>
      <c r="N2513" s="40">
        <v>651247</v>
      </c>
      <c r="O2513" s="40">
        <v>803</v>
      </c>
      <c r="P2513" s="40">
        <v>30525</v>
      </c>
      <c r="Q2513" s="40">
        <v>24758</v>
      </c>
      <c r="R2513" s="40">
        <v>116243</v>
      </c>
      <c r="S2513" s="40">
        <v>708712</v>
      </c>
      <c r="T2513" s="40"/>
      <c r="U2513" s="40">
        <v>533500</v>
      </c>
      <c r="V2513" s="40">
        <v>0</v>
      </c>
      <c r="W2513" s="45">
        <f t="shared" si="131"/>
        <v>2065788</v>
      </c>
      <c r="X2513" s="46">
        <f t="shared" si="132"/>
        <v>4.2294710839406244</v>
      </c>
    </row>
    <row r="2514" spans="1:24" s="4" customFormat="1" ht="15" customHeight="1">
      <c r="A2514" s="28" t="s">
        <v>3483</v>
      </c>
      <c r="B2514" s="29">
        <v>3387.15</v>
      </c>
      <c r="C2514" s="30" t="s">
        <v>3660</v>
      </c>
      <c r="D2514" s="2" t="s">
        <v>3661</v>
      </c>
      <c r="E2514" s="2" t="s">
        <v>14</v>
      </c>
      <c r="F2514" s="2" t="s">
        <v>3662</v>
      </c>
      <c r="G2514" s="28" t="s">
        <v>9</v>
      </c>
      <c r="H2514" s="2" t="s">
        <v>23</v>
      </c>
      <c r="I2514" s="2">
        <v>7</v>
      </c>
      <c r="J2514" s="2"/>
      <c r="K2514" s="2">
        <v>15337</v>
      </c>
      <c r="L2514" s="35">
        <f t="shared" si="130"/>
        <v>51948719.550000004</v>
      </c>
      <c r="M2514" s="36">
        <v>4900</v>
      </c>
      <c r="N2514" s="40">
        <v>2492882.8641975299</v>
      </c>
      <c r="O2514" s="40">
        <v>3157</v>
      </c>
      <c r="P2514" s="40">
        <v>57216.876543209903</v>
      </c>
      <c r="Q2514" s="40">
        <v>72585</v>
      </c>
      <c r="R2514" s="40">
        <v>143000.148148148</v>
      </c>
      <c r="S2514" s="40">
        <v>214363.50617283999</v>
      </c>
      <c r="T2514" s="40">
        <v>30000</v>
      </c>
      <c r="U2514" s="40">
        <v>2088972.83950617</v>
      </c>
      <c r="V2514" s="40">
        <v>0</v>
      </c>
      <c r="W2514" s="45">
        <f t="shared" si="131"/>
        <v>5102178.2345678974</v>
      </c>
      <c r="X2514" s="46">
        <f t="shared" si="132"/>
        <v>9.8215668812724317</v>
      </c>
    </row>
    <row r="2515" spans="1:24" s="4" customFormat="1" ht="15" customHeight="1">
      <c r="A2515" s="28" t="s">
        <v>3483</v>
      </c>
      <c r="B2515" s="29">
        <v>3387.15</v>
      </c>
      <c r="C2515" s="30" t="s">
        <v>3660</v>
      </c>
      <c r="D2515" s="2">
        <v>4951798407</v>
      </c>
      <c r="E2515" s="2" t="s">
        <v>14</v>
      </c>
      <c r="F2515" s="2" t="s">
        <v>3662</v>
      </c>
      <c r="G2515" s="28" t="s">
        <v>9</v>
      </c>
      <c r="H2515" s="2" t="s">
        <v>23</v>
      </c>
      <c r="I2515" s="2">
        <v>7</v>
      </c>
      <c r="J2515" s="2"/>
      <c r="K2515" s="2">
        <v>7904</v>
      </c>
      <c r="L2515" s="35">
        <f t="shared" si="130"/>
        <v>26772033.600000001</v>
      </c>
      <c r="M2515" s="36">
        <v>3200</v>
      </c>
      <c r="N2515" s="40">
        <v>1628005.1358024699</v>
      </c>
      <c r="O2515" s="40">
        <v>3157</v>
      </c>
      <c r="P2515" s="40">
        <v>37366.123456790097</v>
      </c>
      <c r="Q2515" s="40">
        <v>72585</v>
      </c>
      <c r="R2515" s="40">
        <v>93387.851851851796</v>
      </c>
      <c r="S2515" s="40">
        <v>139992.49382716001</v>
      </c>
      <c r="T2515" s="40">
        <v>30000</v>
      </c>
      <c r="U2515" s="40">
        <v>1364227.16049383</v>
      </c>
      <c r="V2515" s="40">
        <v>0</v>
      </c>
      <c r="W2515" s="45">
        <f t="shared" si="131"/>
        <v>3368720.7654321017</v>
      </c>
      <c r="X2515" s="46">
        <f t="shared" si="132"/>
        <v>12.582984228109224</v>
      </c>
    </row>
    <row r="2516" spans="1:24" s="4" customFormat="1" ht="15" customHeight="1">
      <c r="A2516" s="28" t="s">
        <v>3483</v>
      </c>
      <c r="B2516" s="29">
        <v>3387.15</v>
      </c>
      <c r="C2516" s="30" t="s">
        <v>3663</v>
      </c>
      <c r="D2516" s="2">
        <v>4950902085</v>
      </c>
      <c r="E2516" s="2" t="s">
        <v>14</v>
      </c>
      <c r="F2516" s="2" t="s">
        <v>3664</v>
      </c>
      <c r="G2516" s="28" t="s">
        <v>5</v>
      </c>
      <c r="H2516" s="2" t="s">
        <v>17</v>
      </c>
      <c r="I2516" s="2">
        <v>1</v>
      </c>
      <c r="J2516" s="2" t="s">
        <v>3665</v>
      </c>
      <c r="K2516" s="2">
        <v>30090</v>
      </c>
      <c r="L2516" s="35">
        <f t="shared" si="130"/>
        <v>101919343.5</v>
      </c>
      <c r="M2516" s="36">
        <v>600</v>
      </c>
      <c r="N2516" s="40">
        <v>12710.6619309009</v>
      </c>
      <c r="O2516" s="40">
        <v>76499.833333333299</v>
      </c>
      <c r="P2516" s="40">
        <v>17778.327413626099</v>
      </c>
      <c r="Q2516" s="40">
        <v>18333.333333333299</v>
      </c>
      <c r="R2516" s="40">
        <v>26018.069099128199</v>
      </c>
      <c r="S2516" s="40">
        <v>13730.293832741399</v>
      </c>
      <c r="T2516" s="40">
        <v>30000</v>
      </c>
      <c r="U2516" s="40">
        <v>211038.424281563</v>
      </c>
      <c r="V2516" s="40">
        <v>0</v>
      </c>
      <c r="W2516" s="45">
        <f t="shared" si="131"/>
        <v>406108.94322462619</v>
      </c>
      <c r="X2516" s="46">
        <f t="shared" si="132"/>
        <v>0.39846110588872286</v>
      </c>
    </row>
    <row r="2517" spans="1:24" s="4" customFormat="1" ht="15" customHeight="1">
      <c r="A2517" s="28" t="s">
        <v>3483</v>
      </c>
      <c r="B2517" s="29">
        <v>3387.15</v>
      </c>
      <c r="C2517" s="30" t="s">
        <v>3663</v>
      </c>
      <c r="D2517" s="2">
        <v>4951275458</v>
      </c>
      <c r="E2517" s="2" t="s">
        <v>14</v>
      </c>
      <c r="F2517" s="2" t="s">
        <v>3664</v>
      </c>
      <c r="G2517" s="28" t="s">
        <v>5</v>
      </c>
      <c r="H2517" s="2" t="s">
        <v>17</v>
      </c>
      <c r="I2517" s="2">
        <v>1</v>
      </c>
      <c r="J2517" s="2" t="s">
        <v>3665</v>
      </c>
      <c r="K2517" s="2">
        <v>1944</v>
      </c>
      <c r="L2517" s="35">
        <f t="shared" si="130"/>
        <v>6584619.6000000006</v>
      </c>
      <c r="M2517" s="36">
        <v>540</v>
      </c>
      <c r="N2517" s="40">
        <v>11439.5957378108</v>
      </c>
      <c r="O2517" s="40">
        <v>76499.833333333299</v>
      </c>
      <c r="P2517" s="40">
        <v>16000.4946722635</v>
      </c>
      <c r="Q2517" s="40">
        <v>18333.333333333299</v>
      </c>
      <c r="R2517" s="40">
        <v>23416.262189215398</v>
      </c>
      <c r="S2517" s="40">
        <v>12357.2644494672</v>
      </c>
      <c r="T2517" s="40">
        <v>30000</v>
      </c>
      <c r="U2517" s="40">
        <v>189934.581853407</v>
      </c>
      <c r="V2517" s="40">
        <v>0</v>
      </c>
      <c r="W2517" s="45">
        <f t="shared" si="131"/>
        <v>377981.36556883052</v>
      </c>
      <c r="X2517" s="46">
        <f t="shared" si="132"/>
        <v>5.7403675311605014</v>
      </c>
    </row>
    <row r="2518" spans="1:24" s="4" customFormat="1" ht="15" customHeight="1">
      <c r="A2518" s="28" t="s">
        <v>3483</v>
      </c>
      <c r="B2518" s="29">
        <v>3387.15</v>
      </c>
      <c r="C2518" s="30" t="s">
        <v>3663</v>
      </c>
      <c r="D2518" s="2">
        <v>4951325264</v>
      </c>
      <c r="E2518" s="2" t="s">
        <v>14</v>
      </c>
      <c r="F2518" s="2" t="s">
        <v>3664</v>
      </c>
      <c r="G2518" s="28" t="s">
        <v>5</v>
      </c>
      <c r="H2518" s="2" t="s">
        <v>17</v>
      </c>
      <c r="I2518" s="2">
        <v>1</v>
      </c>
      <c r="J2518" s="2" t="s">
        <v>3665</v>
      </c>
      <c r="K2518" s="2">
        <v>46116</v>
      </c>
      <c r="L2518" s="35">
        <f t="shared" si="130"/>
        <v>156201809.40000001</v>
      </c>
      <c r="M2518" s="36">
        <v>12200</v>
      </c>
      <c r="N2518" s="40">
        <v>258450.12592831801</v>
      </c>
      <c r="O2518" s="40">
        <v>76499.833333333299</v>
      </c>
      <c r="P2518" s="40">
        <v>361492.65741039702</v>
      </c>
      <c r="Q2518" s="40">
        <v>18333.333333333299</v>
      </c>
      <c r="R2518" s="40">
        <v>529034.07168227294</v>
      </c>
      <c r="S2518" s="40">
        <v>279182.64126574103</v>
      </c>
      <c r="T2518" s="40">
        <v>30000</v>
      </c>
      <c r="U2518" s="40">
        <v>4291114.6270584399</v>
      </c>
      <c r="V2518" s="40">
        <v>0</v>
      </c>
      <c r="W2518" s="45">
        <f t="shared" si="131"/>
        <v>5844107.2900118353</v>
      </c>
      <c r="X2518" s="46">
        <f t="shared" si="132"/>
        <v>3.7413825822249627</v>
      </c>
    </row>
    <row r="2519" spans="1:24" s="4" customFormat="1" ht="15" customHeight="1">
      <c r="A2519" s="28" t="s">
        <v>3483</v>
      </c>
      <c r="B2519" s="29">
        <v>3387.15</v>
      </c>
      <c r="C2519" s="30" t="s">
        <v>3663</v>
      </c>
      <c r="D2519" s="2">
        <v>4951798427</v>
      </c>
      <c r="E2519" s="2" t="s">
        <v>14</v>
      </c>
      <c r="F2519" s="2" t="s">
        <v>3664</v>
      </c>
      <c r="G2519" s="28" t="s">
        <v>5</v>
      </c>
      <c r="H2519" s="2" t="s">
        <v>17</v>
      </c>
      <c r="I2519" s="2">
        <v>1</v>
      </c>
      <c r="J2519" s="2" t="s">
        <v>3665</v>
      </c>
      <c r="K2519" s="2">
        <v>5136</v>
      </c>
      <c r="L2519" s="35">
        <f t="shared" si="130"/>
        <v>17396402.400000002</v>
      </c>
      <c r="M2519" s="36">
        <v>800</v>
      </c>
      <c r="N2519" s="40">
        <v>142333.43317109699</v>
      </c>
      <c r="O2519" s="40">
        <v>76499.833333333299</v>
      </c>
      <c r="P2519" s="40">
        <v>0</v>
      </c>
      <c r="Q2519" s="40">
        <v>18333.333333333299</v>
      </c>
      <c r="R2519" s="40">
        <v>585521.61737177102</v>
      </c>
      <c r="S2519" s="40">
        <v>153894.78098090601</v>
      </c>
      <c r="T2519" s="40">
        <v>30000</v>
      </c>
      <c r="U2519" s="40">
        <v>2555821.7895919099</v>
      </c>
      <c r="V2519" s="40">
        <v>0</v>
      </c>
      <c r="W2519" s="45">
        <f t="shared" si="131"/>
        <v>3562404.7877823506</v>
      </c>
      <c r="X2519" s="46">
        <f t="shared" si="132"/>
        <v>20.477824701171262</v>
      </c>
    </row>
    <row r="2520" spans="1:24" s="4" customFormat="1" ht="15" customHeight="1">
      <c r="A2520" s="28" t="s">
        <v>3483</v>
      </c>
      <c r="B2520" s="29">
        <v>3387.15</v>
      </c>
      <c r="C2520" s="30" t="s">
        <v>3663</v>
      </c>
      <c r="D2520" s="2">
        <v>4951890230</v>
      </c>
      <c r="E2520" s="2" t="s">
        <v>14</v>
      </c>
      <c r="F2520" s="2" t="s">
        <v>3664</v>
      </c>
      <c r="G2520" s="28" t="s">
        <v>5</v>
      </c>
      <c r="H2520" s="2" t="s">
        <v>17</v>
      </c>
      <c r="I2520" s="2">
        <v>1</v>
      </c>
      <c r="J2520" s="2" t="s">
        <v>3665</v>
      </c>
      <c r="K2520" s="2">
        <v>32450.400000000001</v>
      </c>
      <c r="L2520" s="35">
        <f t="shared" si="130"/>
        <v>109914372.36000001</v>
      </c>
      <c r="M2520" s="36">
        <v>720</v>
      </c>
      <c r="N2520" s="40">
        <v>16947.549241201199</v>
      </c>
      <c r="O2520" s="40">
        <v>76499.833333333299</v>
      </c>
      <c r="P2520" s="40">
        <v>23704.436551501502</v>
      </c>
      <c r="Q2520" s="40">
        <v>18333.333333333299</v>
      </c>
      <c r="R2520" s="40">
        <v>34690.758798837604</v>
      </c>
      <c r="S2520" s="40">
        <v>18307.058443655202</v>
      </c>
      <c r="T2520" s="40">
        <v>30000</v>
      </c>
      <c r="U2520" s="40">
        <v>281384.56570874999</v>
      </c>
      <c r="V2520" s="40">
        <v>0</v>
      </c>
      <c r="W2520" s="45">
        <f t="shared" si="131"/>
        <v>499867.53541061206</v>
      </c>
      <c r="X2520" s="46">
        <f t="shared" si="132"/>
        <v>0.45477904725089768</v>
      </c>
    </row>
    <row r="2521" spans="1:24" s="4" customFormat="1" ht="15" customHeight="1">
      <c r="A2521" s="28" t="s">
        <v>3483</v>
      </c>
      <c r="B2521" s="29">
        <v>3387.15</v>
      </c>
      <c r="C2521" s="30" t="s">
        <v>3663</v>
      </c>
      <c r="D2521" s="2">
        <v>4952024013</v>
      </c>
      <c r="E2521" s="2" t="s">
        <v>14</v>
      </c>
      <c r="F2521" s="2" t="s">
        <v>3664</v>
      </c>
      <c r="G2521" s="28" t="s">
        <v>5</v>
      </c>
      <c r="H2521" s="2" t="s">
        <v>17</v>
      </c>
      <c r="I2521" s="2">
        <v>1</v>
      </c>
      <c r="J2521" s="2" t="s">
        <v>3665</v>
      </c>
      <c r="K2521" s="2">
        <v>3931.25</v>
      </c>
      <c r="L2521" s="35">
        <f t="shared" ref="L2521:L2584" si="133">B2521*K2521</f>
        <v>13315733.4375</v>
      </c>
      <c r="M2521" s="36">
        <v>626</v>
      </c>
      <c r="N2521" s="40">
        <v>15252.794317080999</v>
      </c>
      <c r="O2521" s="40">
        <v>76499.833333333299</v>
      </c>
      <c r="P2521" s="40">
        <v>21333.992896351301</v>
      </c>
      <c r="Q2521" s="40">
        <v>18333.333333333299</v>
      </c>
      <c r="R2521" s="40">
        <v>31221.6829189538</v>
      </c>
      <c r="S2521" s="40">
        <v>16476.352599289599</v>
      </c>
      <c r="T2521" s="40">
        <v>30000</v>
      </c>
      <c r="U2521" s="40">
        <v>253246.109137875</v>
      </c>
      <c r="V2521" s="40">
        <v>0</v>
      </c>
      <c r="W2521" s="45">
        <f t="shared" ref="W2521:W2584" si="134">+SUM(N2521:V2521)</f>
        <v>462364.09853621724</v>
      </c>
      <c r="X2521" s="46">
        <f t="shared" ref="X2521:X2584" si="135">(W2521/L2521)*100</f>
        <v>3.4723141665940789</v>
      </c>
    </row>
    <row r="2522" spans="1:24" s="4" customFormat="1" ht="15" customHeight="1">
      <c r="A2522" s="28" t="s">
        <v>3483</v>
      </c>
      <c r="B2522" s="29">
        <v>3387.15</v>
      </c>
      <c r="C2522" s="30" t="s">
        <v>3666</v>
      </c>
      <c r="D2522" s="2">
        <v>4951152067</v>
      </c>
      <c r="E2522" s="2" t="s">
        <v>14</v>
      </c>
      <c r="F2522" s="2" t="s">
        <v>3667</v>
      </c>
      <c r="G2522" s="28" t="s">
        <v>5</v>
      </c>
      <c r="H2522" s="2" t="s">
        <v>17</v>
      </c>
      <c r="I2522" s="2">
        <v>1</v>
      </c>
      <c r="J2522" s="2" t="s">
        <v>3668</v>
      </c>
      <c r="K2522" s="2">
        <v>63735</v>
      </c>
      <c r="L2522" s="35">
        <f t="shared" si="133"/>
        <v>215880005.25</v>
      </c>
      <c r="M2522" s="36">
        <v>10500</v>
      </c>
      <c r="N2522" s="40">
        <v>189598.76033057799</v>
      </c>
      <c r="O2522" s="40">
        <v>114749.75</v>
      </c>
      <c r="P2522" s="40">
        <v>331797.685950413</v>
      </c>
      <c r="Q2522" s="40">
        <v>27500</v>
      </c>
      <c r="R2522" s="40">
        <v>549475.70247933897</v>
      </c>
      <c r="S2522" s="40">
        <v>204999.338842975</v>
      </c>
      <c r="T2522" s="40">
        <v>30000</v>
      </c>
      <c r="U2522" s="40">
        <v>3263128.09917355</v>
      </c>
      <c r="V2522" s="40">
        <v>0</v>
      </c>
      <c r="W2522" s="45">
        <f t="shared" si="134"/>
        <v>4711249.3367768545</v>
      </c>
      <c r="X2522" s="46">
        <f t="shared" si="135"/>
        <v>2.1823463137871379</v>
      </c>
    </row>
    <row r="2523" spans="1:24" s="4" customFormat="1" ht="15" customHeight="1">
      <c r="A2523" s="28" t="s">
        <v>3483</v>
      </c>
      <c r="B2523" s="29">
        <v>3387.15</v>
      </c>
      <c r="C2523" s="30" t="s">
        <v>3666</v>
      </c>
      <c r="D2523" s="2">
        <v>4951874476</v>
      </c>
      <c r="E2523" s="2" t="s">
        <v>14</v>
      </c>
      <c r="F2523" s="2" t="s">
        <v>3667</v>
      </c>
      <c r="G2523" s="28" t="s">
        <v>5</v>
      </c>
      <c r="H2523" s="2" t="s">
        <v>17</v>
      </c>
      <c r="I2523" s="2">
        <v>1</v>
      </c>
      <c r="J2523" s="2" t="s">
        <v>3668</v>
      </c>
      <c r="K2523" s="2">
        <v>5355</v>
      </c>
      <c r="L2523" s="35">
        <f t="shared" si="133"/>
        <v>18138188.25</v>
      </c>
      <c r="M2523" s="36">
        <v>1260</v>
      </c>
      <c r="N2523" s="40">
        <v>22751.851239669399</v>
      </c>
      <c r="O2523" s="40">
        <v>114749.75</v>
      </c>
      <c r="P2523" s="40">
        <v>39815.722314049599</v>
      </c>
      <c r="Q2523" s="40">
        <v>27500</v>
      </c>
      <c r="R2523" s="40">
        <v>65937.084297520705</v>
      </c>
      <c r="S2523" s="40">
        <v>24599.920661157001</v>
      </c>
      <c r="T2523" s="40">
        <v>30000</v>
      </c>
      <c r="U2523" s="40">
        <v>391575.37190082599</v>
      </c>
      <c r="V2523" s="40">
        <v>0</v>
      </c>
      <c r="W2523" s="45">
        <f t="shared" si="134"/>
        <v>716929.70041322266</v>
      </c>
      <c r="X2523" s="46">
        <f t="shared" si="135"/>
        <v>3.9525981896963867</v>
      </c>
    </row>
    <row r="2524" spans="1:24" s="4" customFormat="1" ht="15" customHeight="1">
      <c r="A2524" s="28" t="s">
        <v>3483</v>
      </c>
      <c r="B2524" s="29">
        <v>3387.15</v>
      </c>
      <c r="C2524" s="30" t="s">
        <v>3666</v>
      </c>
      <c r="D2524" s="2">
        <v>4951874490</v>
      </c>
      <c r="E2524" s="2" t="s">
        <v>14</v>
      </c>
      <c r="F2524" s="2" t="s">
        <v>3667</v>
      </c>
      <c r="G2524" s="28" t="s">
        <v>5</v>
      </c>
      <c r="H2524" s="2" t="s">
        <v>17</v>
      </c>
      <c r="I2524" s="2">
        <v>1</v>
      </c>
      <c r="J2524" s="2" t="s">
        <v>3668</v>
      </c>
      <c r="K2524" s="2">
        <v>13204.8</v>
      </c>
      <c r="L2524" s="35">
        <f t="shared" si="133"/>
        <v>44726638.32</v>
      </c>
      <c r="M2524" s="36">
        <v>5040</v>
      </c>
      <c r="N2524" s="40">
        <v>91007.404958677696</v>
      </c>
      <c r="O2524" s="40">
        <v>114749.75</v>
      </c>
      <c r="P2524" s="40">
        <v>159262.88925619799</v>
      </c>
      <c r="Q2524" s="40">
        <v>27500</v>
      </c>
      <c r="R2524" s="40">
        <v>263748.337190083</v>
      </c>
      <c r="S2524" s="40">
        <v>98399.682644628105</v>
      </c>
      <c r="T2524" s="40">
        <v>30000</v>
      </c>
      <c r="U2524" s="40">
        <v>1566301.48760331</v>
      </c>
      <c r="V2524" s="40">
        <v>0</v>
      </c>
      <c r="W2524" s="45">
        <f t="shared" si="134"/>
        <v>2350969.5516528967</v>
      </c>
      <c r="X2524" s="46">
        <f t="shared" si="135"/>
        <v>5.2563072923851628</v>
      </c>
    </row>
    <row r="2525" spans="1:24" s="4" customFormat="1" ht="15" customHeight="1">
      <c r="A2525" s="28" t="s">
        <v>3483</v>
      </c>
      <c r="B2525" s="29">
        <v>3387.15</v>
      </c>
      <c r="C2525" s="30" t="s">
        <v>3666</v>
      </c>
      <c r="D2525" s="2">
        <v>4951726539</v>
      </c>
      <c r="E2525" s="2" t="s">
        <v>14</v>
      </c>
      <c r="F2525" s="2" t="s">
        <v>3667</v>
      </c>
      <c r="G2525" s="28" t="s">
        <v>5</v>
      </c>
      <c r="H2525" s="2" t="s">
        <v>17</v>
      </c>
      <c r="I2525" s="2">
        <v>1</v>
      </c>
      <c r="J2525" s="2" t="s">
        <v>3668</v>
      </c>
      <c r="K2525" s="2">
        <v>3874.5</v>
      </c>
      <c r="L2525" s="35">
        <f t="shared" si="133"/>
        <v>13123512.675000001</v>
      </c>
      <c r="M2525" s="36">
        <v>1350</v>
      </c>
      <c r="N2525" s="40">
        <v>24376.9834710744</v>
      </c>
      <c r="O2525" s="40">
        <v>114749.75</v>
      </c>
      <c r="P2525" s="40">
        <v>42659.702479338797</v>
      </c>
      <c r="Q2525" s="40">
        <v>27500</v>
      </c>
      <c r="R2525" s="40">
        <v>70646.876033057895</v>
      </c>
      <c r="S2525" s="40">
        <v>26357.057851239701</v>
      </c>
      <c r="T2525" s="40">
        <v>30000</v>
      </c>
      <c r="U2525" s="40">
        <v>419545.04132231401</v>
      </c>
      <c r="V2525" s="40">
        <v>0</v>
      </c>
      <c r="W2525" s="45">
        <f t="shared" si="134"/>
        <v>755835.41115702479</v>
      </c>
      <c r="X2525" s="46">
        <f t="shared" si="135"/>
        <v>5.7593986448222392</v>
      </c>
    </row>
    <row r="2526" spans="1:24" s="4" customFormat="1" ht="15" customHeight="1">
      <c r="A2526" s="28" t="s">
        <v>3483</v>
      </c>
      <c r="B2526" s="29">
        <v>3387.15</v>
      </c>
      <c r="C2526" s="30" t="s">
        <v>3669</v>
      </c>
      <c r="D2526" s="2">
        <v>4951380920</v>
      </c>
      <c r="E2526" s="2" t="s">
        <v>27</v>
      </c>
      <c r="F2526" s="2" t="s">
        <v>3670</v>
      </c>
      <c r="G2526" s="28" t="s">
        <v>5</v>
      </c>
      <c r="H2526" s="2" t="s">
        <v>20</v>
      </c>
      <c r="I2526" s="2">
        <v>1</v>
      </c>
      <c r="J2526" s="2" t="s">
        <v>3671</v>
      </c>
      <c r="K2526" s="2">
        <v>10489.61</v>
      </c>
      <c r="L2526" s="35">
        <f t="shared" si="133"/>
        <v>35529882.511500001</v>
      </c>
      <c r="M2526" s="36">
        <v>4793</v>
      </c>
      <c r="N2526" s="40">
        <v>384386</v>
      </c>
      <c r="O2526" s="40">
        <v>435616</v>
      </c>
      <c r="P2526" s="40">
        <v>133825</v>
      </c>
      <c r="Q2526" s="40">
        <v>124137</v>
      </c>
      <c r="R2526" s="40">
        <f>538369+200000</f>
        <v>738369</v>
      </c>
      <c r="S2526" s="40">
        <v>354356</v>
      </c>
      <c r="T2526" s="40"/>
      <c r="U2526" s="40">
        <f>2119000+500000</f>
        <v>2619000</v>
      </c>
      <c r="V2526" s="40">
        <v>0</v>
      </c>
      <c r="W2526" s="45">
        <f t="shared" si="134"/>
        <v>4789689</v>
      </c>
      <c r="X2526" s="46">
        <f t="shared" si="135"/>
        <v>13.480734135413242</v>
      </c>
    </row>
    <row r="2527" spans="1:24" s="4" customFormat="1" ht="15" customHeight="1">
      <c r="A2527" s="28" t="s">
        <v>3483</v>
      </c>
      <c r="B2527" s="29">
        <v>3387.15</v>
      </c>
      <c r="C2527" s="30" t="s">
        <v>3672</v>
      </c>
      <c r="D2527" s="2">
        <v>4951846958</v>
      </c>
      <c r="E2527" s="2" t="s">
        <v>24</v>
      </c>
      <c r="F2527" s="2" t="s">
        <v>3673</v>
      </c>
      <c r="G2527" s="28" t="s">
        <v>9</v>
      </c>
      <c r="H2527" s="2" t="s">
        <v>23</v>
      </c>
      <c r="I2527" s="2">
        <v>3</v>
      </c>
      <c r="J2527" s="2"/>
      <c r="K2527" s="2">
        <v>2990.9</v>
      </c>
      <c r="L2527" s="35">
        <f t="shared" si="133"/>
        <v>10130626.935000001</v>
      </c>
      <c r="M2527" s="36">
        <v>110</v>
      </c>
      <c r="N2527" s="40">
        <v>74862.090909090897</v>
      </c>
      <c r="O2527" s="40">
        <v>298.33333333333297</v>
      </c>
      <c r="P2527" s="40">
        <v>6642.2727272727298</v>
      </c>
      <c r="Q2527" s="40">
        <v>9280.3333333333303</v>
      </c>
      <c r="R2527" s="40">
        <v>11370</v>
      </c>
      <c r="S2527" s="40">
        <v>32214.181818181802</v>
      </c>
      <c r="T2527" s="40"/>
      <c r="U2527" s="40">
        <v>124336.363636364</v>
      </c>
      <c r="V2527" s="40">
        <v>0</v>
      </c>
      <c r="W2527" s="45">
        <f t="shared" si="134"/>
        <v>259003.57575757609</v>
      </c>
      <c r="X2527" s="46">
        <f t="shared" si="135"/>
        <v>2.5566391637890877</v>
      </c>
    </row>
    <row r="2528" spans="1:24" s="4" customFormat="1" ht="15" customHeight="1">
      <c r="A2528" s="28" t="s">
        <v>3483</v>
      </c>
      <c r="B2528" s="29">
        <v>3387.15</v>
      </c>
      <c r="C2528" s="30" t="s">
        <v>3672</v>
      </c>
      <c r="D2528" s="2">
        <v>4951899600</v>
      </c>
      <c r="E2528" s="2" t="s">
        <v>24</v>
      </c>
      <c r="F2528" s="2" t="s">
        <v>3673</v>
      </c>
      <c r="G2528" s="28" t="s">
        <v>9</v>
      </c>
      <c r="H2528" s="2" t="s">
        <v>23</v>
      </c>
      <c r="I2528" s="2">
        <v>3</v>
      </c>
      <c r="J2528" s="2"/>
      <c r="K2528" s="2">
        <v>4263.6000000000004</v>
      </c>
      <c r="L2528" s="35">
        <f t="shared" si="133"/>
        <v>14441452.740000002</v>
      </c>
      <c r="M2528" s="36">
        <v>760</v>
      </c>
      <c r="N2528" s="40">
        <v>517228.99173553701</v>
      </c>
      <c r="O2528" s="40">
        <v>298.33333333333297</v>
      </c>
      <c r="P2528" s="40">
        <v>45892.066115702502</v>
      </c>
      <c r="Q2528" s="40">
        <v>9280.3333333333303</v>
      </c>
      <c r="R2528" s="40">
        <v>78556.363636363603</v>
      </c>
      <c r="S2528" s="40">
        <v>222570.71074380199</v>
      </c>
      <c r="T2528" s="40"/>
      <c r="U2528" s="40">
        <v>859051.23966942099</v>
      </c>
      <c r="V2528" s="40">
        <v>0</v>
      </c>
      <c r="W2528" s="45">
        <f t="shared" si="134"/>
        <v>1732878.0385674927</v>
      </c>
      <c r="X2528" s="46">
        <f t="shared" si="135"/>
        <v>11.999333237214834</v>
      </c>
    </row>
    <row r="2529" spans="1:24" s="4" customFormat="1" ht="15" customHeight="1">
      <c r="A2529" s="28" t="s">
        <v>3483</v>
      </c>
      <c r="B2529" s="29">
        <v>3387.15</v>
      </c>
      <c r="C2529" s="30" t="s">
        <v>3672</v>
      </c>
      <c r="D2529" s="2">
        <v>4951576351</v>
      </c>
      <c r="E2529" s="2" t="s">
        <v>24</v>
      </c>
      <c r="F2529" s="2" t="s">
        <v>3673</v>
      </c>
      <c r="G2529" s="28" t="s">
        <v>9</v>
      </c>
      <c r="H2529" s="2" t="s">
        <v>23</v>
      </c>
      <c r="I2529" s="2">
        <v>3</v>
      </c>
      <c r="J2529" s="2"/>
      <c r="K2529" s="2">
        <v>3519</v>
      </c>
      <c r="L2529" s="35">
        <f t="shared" si="133"/>
        <v>11919380.85</v>
      </c>
      <c r="M2529" s="36">
        <v>340</v>
      </c>
      <c r="N2529" s="40">
        <v>231391.91735537199</v>
      </c>
      <c r="O2529" s="40">
        <v>298.33333333333297</v>
      </c>
      <c r="P2529" s="40">
        <v>20530.661157024799</v>
      </c>
      <c r="Q2529" s="40">
        <v>9280.3333333333303</v>
      </c>
      <c r="R2529" s="40">
        <v>35143.636363636397</v>
      </c>
      <c r="S2529" s="40">
        <v>99571.107438016494</v>
      </c>
      <c r="T2529" s="40"/>
      <c r="U2529" s="40">
        <v>384312.39669421501</v>
      </c>
      <c r="V2529" s="40">
        <v>0</v>
      </c>
      <c r="W2529" s="45">
        <f t="shared" si="134"/>
        <v>780528.38567493134</v>
      </c>
      <c r="X2529" s="46">
        <f t="shared" si="135"/>
        <v>6.5483970643905671</v>
      </c>
    </row>
    <row r="2530" spans="1:24" s="4" customFormat="1" ht="15" customHeight="1">
      <c r="A2530" s="28" t="s">
        <v>3483</v>
      </c>
      <c r="B2530" s="29">
        <v>3387.15</v>
      </c>
      <c r="C2530" s="30" t="s">
        <v>3674</v>
      </c>
      <c r="D2530" s="2">
        <v>4952022664</v>
      </c>
      <c r="E2530" s="2" t="s">
        <v>27</v>
      </c>
      <c r="F2530" s="2" t="s">
        <v>3675</v>
      </c>
      <c r="G2530" s="28" t="s">
        <v>9</v>
      </c>
      <c r="H2530" s="2" t="s">
        <v>23</v>
      </c>
      <c r="I2530" s="2">
        <v>3</v>
      </c>
      <c r="J2530" s="2"/>
      <c r="K2530" s="2">
        <v>1544.81</v>
      </c>
      <c r="L2530" s="35">
        <f t="shared" si="133"/>
        <v>5232503.1914999997</v>
      </c>
      <c r="M2530" s="36">
        <v>1298.1600000000001</v>
      </c>
      <c r="N2530" s="40">
        <v>1189163.50959547</v>
      </c>
      <c r="O2530" s="40">
        <v>485</v>
      </c>
      <c r="P2530" s="40">
        <v>0</v>
      </c>
      <c r="Q2530" s="40">
        <v>15033.5</v>
      </c>
      <c r="R2530" s="40">
        <v>123035.146762391</v>
      </c>
      <c r="S2530" s="40">
        <v>352839.35827695701</v>
      </c>
      <c r="T2530" s="40"/>
      <c r="U2530" s="40">
        <v>1361846.25155322</v>
      </c>
      <c r="V2530" s="40">
        <v>0</v>
      </c>
      <c r="W2530" s="45">
        <f t="shared" si="134"/>
        <v>3042402.766188038</v>
      </c>
      <c r="X2530" s="46">
        <f t="shared" si="135"/>
        <v>58.144307893214567</v>
      </c>
    </row>
    <row r="2531" spans="1:24" s="4" customFormat="1" ht="15" customHeight="1">
      <c r="A2531" s="28" t="s">
        <v>3483</v>
      </c>
      <c r="B2531" s="29">
        <v>3387.15</v>
      </c>
      <c r="C2531" s="30" t="s">
        <v>3674</v>
      </c>
      <c r="D2531" s="2">
        <v>4951772229</v>
      </c>
      <c r="E2531" s="2" t="s">
        <v>27</v>
      </c>
      <c r="F2531" s="2" t="s">
        <v>3675</v>
      </c>
      <c r="G2531" s="28" t="s">
        <v>9</v>
      </c>
      <c r="H2531" s="2" t="s">
        <v>23</v>
      </c>
      <c r="I2531" s="2">
        <v>3</v>
      </c>
      <c r="J2531" s="2"/>
      <c r="K2531" s="2">
        <v>269.18</v>
      </c>
      <c r="L2531" s="35">
        <f t="shared" si="133"/>
        <v>911753.03700000001</v>
      </c>
      <c r="M2531" s="36">
        <v>5.58</v>
      </c>
      <c r="N2531" s="40">
        <v>5111.4904045285102</v>
      </c>
      <c r="O2531" s="40">
        <v>485</v>
      </c>
      <c r="P2531" s="40">
        <v>0</v>
      </c>
      <c r="Q2531" s="40">
        <v>15033.5</v>
      </c>
      <c r="R2531" s="40">
        <v>528.85323760872598</v>
      </c>
      <c r="S2531" s="40">
        <v>1516.6417230429399</v>
      </c>
      <c r="T2531" s="40"/>
      <c r="U2531" s="40">
        <v>5853.7484467761997</v>
      </c>
      <c r="V2531" s="40">
        <v>0</v>
      </c>
      <c r="W2531" s="45">
        <f t="shared" si="134"/>
        <v>28529.233811956379</v>
      </c>
      <c r="X2531" s="46">
        <f t="shared" si="135"/>
        <v>3.1290527866874958</v>
      </c>
    </row>
    <row r="2532" spans="1:24" s="4" customFormat="1" ht="15" customHeight="1">
      <c r="A2532" s="28" t="s">
        <v>3483</v>
      </c>
      <c r="B2532" s="29">
        <v>3387.15</v>
      </c>
      <c r="C2532" s="30" t="s">
        <v>3676</v>
      </c>
      <c r="D2532" s="2">
        <v>4951900509</v>
      </c>
      <c r="E2532" s="2" t="s">
        <v>36</v>
      </c>
      <c r="F2532" s="2" t="s">
        <v>3677</v>
      </c>
      <c r="G2532" s="28" t="s">
        <v>5</v>
      </c>
      <c r="H2532" s="2" t="s">
        <v>20</v>
      </c>
      <c r="I2532" s="2">
        <v>1</v>
      </c>
      <c r="J2532" s="2" t="s">
        <v>3678</v>
      </c>
      <c r="K2532" s="2">
        <v>29400</v>
      </c>
      <c r="L2532" s="35">
        <f t="shared" si="133"/>
        <v>99582210</v>
      </c>
      <c r="M2532" s="36">
        <v>20000</v>
      </c>
      <c r="N2532" s="40">
        <v>391344</v>
      </c>
      <c r="O2532" s="40">
        <v>349879</v>
      </c>
      <c r="P2532" s="40">
        <v>588830</v>
      </c>
      <c r="Q2532" s="40">
        <v>110000</v>
      </c>
      <c r="R2532" s="40">
        <v>640825</v>
      </c>
      <c r="S2532" s="40">
        <v>354356</v>
      </c>
      <c r="T2532" s="40"/>
      <c r="U2532" s="40">
        <v>519300</v>
      </c>
      <c r="V2532" s="40">
        <v>0</v>
      </c>
      <c r="W2532" s="45">
        <f t="shared" si="134"/>
        <v>2954534</v>
      </c>
      <c r="X2532" s="46">
        <f t="shared" si="135"/>
        <v>2.9669295349038749</v>
      </c>
    </row>
    <row r="2533" spans="1:24" s="4" customFormat="1" ht="15" customHeight="1">
      <c r="A2533" s="28" t="s">
        <v>3483</v>
      </c>
      <c r="B2533" s="29">
        <v>3387.15</v>
      </c>
      <c r="C2533" s="30" t="s">
        <v>3679</v>
      </c>
      <c r="D2533" s="2">
        <v>4951840954</v>
      </c>
      <c r="E2533" s="2" t="s">
        <v>14</v>
      </c>
      <c r="F2533" s="2" t="s">
        <v>3680</v>
      </c>
      <c r="G2533" s="28" t="s">
        <v>5</v>
      </c>
      <c r="H2533" s="2" t="s">
        <v>20</v>
      </c>
      <c r="I2533" s="2">
        <v>1</v>
      </c>
      <c r="J2533" s="2" t="s">
        <v>3681</v>
      </c>
      <c r="K2533" s="2">
        <v>10248</v>
      </c>
      <c r="L2533" s="35">
        <f t="shared" si="133"/>
        <v>34711513.200000003</v>
      </c>
      <c r="M2533" s="36">
        <v>2400</v>
      </c>
      <c r="N2533" s="40">
        <v>163873.235294118</v>
      </c>
      <c r="O2533" s="40">
        <v>69975.8</v>
      </c>
      <c r="P2533" s="40">
        <v>0</v>
      </c>
      <c r="Q2533" s="40">
        <v>22000</v>
      </c>
      <c r="R2533" s="40">
        <v>219860</v>
      </c>
      <c r="S2533" s="40">
        <v>104222.352941176</v>
      </c>
      <c r="T2533" s="40">
        <v>30000</v>
      </c>
      <c r="U2533" s="40">
        <v>853029.41176470602</v>
      </c>
      <c r="V2533" s="40">
        <v>0</v>
      </c>
      <c r="W2533" s="45">
        <f t="shared" si="134"/>
        <v>1462960.8</v>
      </c>
      <c r="X2533" s="46">
        <f t="shared" si="135"/>
        <v>4.2146269785783925</v>
      </c>
    </row>
    <row r="2534" spans="1:24" s="4" customFormat="1" ht="15" customHeight="1">
      <c r="A2534" s="28" t="s">
        <v>3483</v>
      </c>
      <c r="B2534" s="29">
        <v>3387.15</v>
      </c>
      <c r="C2534" s="30" t="s">
        <v>3679</v>
      </c>
      <c r="D2534" s="2">
        <v>4951874476</v>
      </c>
      <c r="E2534" s="2" t="s">
        <v>14</v>
      </c>
      <c r="F2534" s="2" t="s">
        <v>3680</v>
      </c>
      <c r="G2534" s="28" t="s">
        <v>5</v>
      </c>
      <c r="H2534" s="2" t="s">
        <v>20</v>
      </c>
      <c r="I2534" s="2">
        <v>1</v>
      </c>
      <c r="J2534" s="2" t="s">
        <v>3681</v>
      </c>
      <c r="K2534" s="2">
        <v>7584</v>
      </c>
      <c r="L2534" s="35">
        <f t="shared" si="133"/>
        <v>25688145.600000001</v>
      </c>
      <c r="M2534" s="36">
        <v>1200</v>
      </c>
      <c r="N2534" s="40">
        <v>81936.617647058796</v>
      </c>
      <c r="O2534" s="40">
        <v>69975.8</v>
      </c>
      <c r="P2534" s="40">
        <v>0</v>
      </c>
      <c r="Q2534" s="40">
        <v>22000</v>
      </c>
      <c r="R2534" s="40">
        <v>109930</v>
      </c>
      <c r="S2534" s="40">
        <v>52111.176470588201</v>
      </c>
      <c r="T2534" s="40">
        <v>30000</v>
      </c>
      <c r="U2534" s="40">
        <v>426514.70588235301</v>
      </c>
      <c r="V2534" s="40">
        <v>0</v>
      </c>
      <c r="W2534" s="45">
        <f t="shared" si="134"/>
        <v>792468.3</v>
      </c>
      <c r="X2534" s="46">
        <f t="shared" si="135"/>
        <v>3.0849572107688457</v>
      </c>
    </row>
    <row r="2535" spans="1:24" s="4" customFormat="1" ht="15" customHeight="1">
      <c r="A2535" s="28" t="s">
        <v>3483</v>
      </c>
      <c r="B2535" s="29">
        <v>3387.15</v>
      </c>
      <c r="C2535" s="30" t="s">
        <v>3679</v>
      </c>
      <c r="D2535" s="2">
        <v>4951874476</v>
      </c>
      <c r="E2535" s="2" t="s">
        <v>14</v>
      </c>
      <c r="F2535" s="2" t="s">
        <v>3680</v>
      </c>
      <c r="G2535" s="28" t="s">
        <v>5</v>
      </c>
      <c r="H2535" s="2" t="s">
        <v>20</v>
      </c>
      <c r="I2535" s="2">
        <v>1</v>
      </c>
      <c r="J2535" s="2" t="s">
        <v>3681</v>
      </c>
      <c r="K2535" s="2">
        <v>10008</v>
      </c>
      <c r="L2535" s="35">
        <f t="shared" si="133"/>
        <v>33898597.200000003</v>
      </c>
      <c r="M2535" s="36">
        <v>1200</v>
      </c>
      <c r="N2535" s="40">
        <v>81936.617647058796</v>
      </c>
      <c r="O2535" s="40">
        <v>69975.8</v>
      </c>
      <c r="P2535" s="40">
        <v>0</v>
      </c>
      <c r="Q2535" s="40">
        <v>22000</v>
      </c>
      <c r="R2535" s="40">
        <v>109930</v>
      </c>
      <c r="S2535" s="40">
        <v>52111.176470588201</v>
      </c>
      <c r="T2535" s="40">
        <v>30000</v>
      </c>
      <c r="U2535" s="40">
        <v>426514.70588235301</v>
      </c>
      <c r="V2535" s="40">
        <v>0</v>
      </c>
      <c r="W2535" s="45">
        <f t="shared" si="134"/>
        <v>792468.3</v>
      </c>
      <c r="X2535" s="46">
        <f t="shared" si="135"/>
        <v>2.3377613395754322</v>
      </c>
    </row>
    <row r="2536" spans="1:24" s="4" customFormat="1" ht="15" customHeight="1">
      <c r="A2536" s="28" t="s">
        <v>3483</v>
      </c>
      <c r="B2536" s="29">
        <v>3387.15</v>
      </c>
      <c r="C2536" s="30" t="s">
        <v>3679</v>
      </c>
      <c r="D2536" s="2">
        <v>4951517150</v>
      </c>
      <c r="E2536" s="2" t="s">
        <v>14</v>
      </c>
      <c r="F2536" s="2" t="s">
        <v>3680</v>
      </c>
      <c r="G2536" s="28" t="s">
        <v>5</v>
      </c>
      <c r="H2536" s="2" t="s">
        <v>20</v>
      </c>
      <c r="I2536" s="2">
        <v>1</v>
      </c>
      <c r="J2536" s="2" t="s">
        <v>3681</v>
      </c>
      <c r="K2536" s="2">
        <v>2486.4</v>
      </c>
      <c r="L2536" s="35">
        <f t="shared" si="133"/>
        <v>8421809.7599999998</v>
      </c>
      <c r="M2536" s="36">
        <v>840</v>
      </c>
      <c r="N2536" s="40">
        <v>57355.632352941197</v>
      </c>
      <c r="O2536" s="40">
        <v>69975.8</v>
      </c>
      <c r="P2536" s="40">
        <v>0</v>
      </c>
      <c r="Q2536" s="40">
        <v>22000</v>
      </c>
      <c r="R2536" s="40">
        <v>76951</v>
      </c>
      <c r="S2536" s="40">
        <v>36477.823529411799</v>
      </c>
      <c r="T2536" s="40">
        <v>30000</v>
      </c>
      <c r="U2536" s="40">
        <v>298560.29411764699</v>
      </c>
      <c r="V2536" s="40">
        <v>0</v>
      </c>
      <c r="W2536" s="45">
        <f t="shared" si="134"/>
        <v>591320.55000000005</v>
      </c>
      <c r="X2536" s="46">
        <f t="shared" si="135"/>
        <v>7.0213002531655384</v>
      </c>
    </row>
    <row r="2537" spans="1:24" s="4" customFormat="1" ht="15" customHeight="1">
      <c r="A2537" s="28" t="s">
        <v>3483</v>
      </c>
      <c r="B2537" s="29">
        <v>3387.15</v>
      </c>
      <c r="C2537" s="30" t="s">
        <v>3679</v>
      </c>
      <c r="D2537" s="2">
        <v>4951325261</v>
      </c>
      <c r="E2537" s="2" t="s">
        <v>14</v>
      </c>
      <c r="F2537" s="2" t="s">
        <v>3680</v>
      </c>
      <c r="G2537" s="28" t="s">
        <v>5</v>
      </c>
      <c r="H2537" s="2" t="s">
        <v>20</v>
      </c>
      <c r="I2537" s="2">
        <v>1</v>
      </c>
      <c r="J2537" s="2" t="s">
        <v>3681</v>
      </c>
      <c r="K2537" s="2">
        <v>10508.4</v>
      </c>
      <c r="L2537" s="35">
        <f t="shared" si="133"/>
        <v>35593527.060000002</v>
      </c>
      <c r="M2537" s="36">
        <v>2520</v>
      </c>
      <c r="N2537" s="40">
        <v>172066.89705882399</v>
      </c>
      <c r="O2537" s="40">
        <v>69975.8</v>
      </c>
      <c r="P2537" s="40">
        <v>0</v>
      </c>
      <c r="Q2537" s="40">
        <v>22000</v>
      </c>
      <c r="R2537" s="40">
        <v>230853</v>
      </c>
      <c r="S2537" s="40">
        <v>109433.470588235</v>
      </c>
      <c r="T2537" s="40">
        <v>30000</v>
      </c>
      <c r="U2537" s="40">
        <v>895680.88235294097</v>
      </c>
      <c r="V2537" s="40">
        <v>0</v>
      </c>
      <c r="W2537" s="45">
        <f t="shared" si="134"/>
        <v>1530010.0499999998</v>
      </c>
      <c r="X2537" s="46">
        <f t="shared" si="135"/>
        <v>4.2985626218521764</v>
      </c>
    </row>
    <row r="2538" spans="1:24" s="4" customFormat="1" ht="15" customHeight="1">
      <c r="A2538" s="28" t="s">
        <v>3483</v>
      </c>
      <c r="B2538" s="29">
        <v>3387.15</v>
      </c>
      <c r="C2538" s="30" t="s">
        <v>3682</v>
      </c>
      <c r="D2538" s="2">
        <v>4951846959</v>
      </c>
      <c r="E2538" s="2" t="s">
        <v>24</v>
      </c>
      <c r="F2538" s="2" t="s">
        <v>3683</v>
      </c>
      <c r="G2538" s="28" t="s">
        <v>5</v>
      </c>
      <c r="H2538" s="2" t="s">
        <v>17</v>
      </c>
      <c r="I2538" s="2">
        <v>1</v>
      </c>
      <c r="J2538" s="2" t="s">
        <v>3684</v>
      </c>
      <c r="K2538" s="2">
        <v>11180</v>
      </c>
      <c r="L2538" s="35">
        <f t="shared" si="133"/>
        <v>37868337</v>
      </c>
      <c r="M2538" s="36">
        <v>13000</v>
      </c>
      <c r="N2538" s="40">
        <v>327735</v>
      </c>
      <c r="O2538" s="40">
        <v>458999</v>
      </c>
      <c r="P2538" s="40">
        <v>0</v>
      </c>
      <c r="Q2538" s="40">
        <v>110000</v>
      </c>
      <c r="R2538" s="40">
        <v>654645</v>
      </c>
      <c r="S2538" s="40">
        <v>354356</v>
      </c>
      <c r="T2538" s="40"/>
      <c r="U2538" s="40">
        <v>5446550</v>
      </c>
      <c r="V2538" s="40">
        <v>0</v>
      </c>
      <c r="W2538" s="45">
        <f t="shared" si="134"/>
        <v>7352285</v>
      </c>
      <c r="X2538" s="46">
        <f t="shared" si="135"/>
        <v>19.415389168000697</v>
      </c>
    </row>
    <row r="2539" spans="1:24" s="4" customFormat="1" ht="15" customHeight="1">
      <c r="A2539" s="28" t="s">
        <v>3483</v>
      </c>
      <c r="B2539" s="29">
        <v>3387.15</v>
      </c>
      <c r="C2539" s="30" t="s">
        <v>3685</v>
      </c>
      <c r="D2539" s="2">
        <v>4951946707</v>
      </c>
      <c r="E2539" s="2" t="s">
        <v>24</v>
      </c>
      <c r="F2539" s="2" t="s">
        <v>3686</v>
      </c>
      <c r="G2539" s="28" t="s">
        <v>5</v>
      </c>
      <c r="H2539" s="2" t="s">
        <v>26</v>
      </c>
      <c r="I2539" s="2">
        <v>1</v>
      </c>
      <c r="J2539" s="2" t="s">
        <v>3687</v>
      </c>
      <c r="K2539" s="2">
        <v>29016</v>
      </c>
      <c r="L2539" s="35">
        <f t="shared" si="133"/>
        <v>98281544.400000006</v>
      </c>
      <c r="M2539" s="36">
        <v>24180</v>
      </c>
      <c r="N2539" s="40">
        <v>381988</v>
      </c>
      <c r="O2539" s="40">
        <v>387991</v>
      </c>
      <c r="P2539" s="40">
        <v>469789</v>
      </c>
      <c r="Q2539" s="40">
        <v>113164</v>
      </c>
      <c r="R2539" s="40">
        <v>783418</v>
      </c>
      <c r="S2539" s="40">
        <v>354356</v>
      </c>
      <c r="T2539" s="40"/>
      <c r="U2539" s="40">
        <v>0</v>
      </c>
      <c r="V2539" s="40">
        <v>0</v>
      </c>
      <c r="W2539" s="45">
        <f t="shared" si="134"/>
        <v>2490706</v>
      </c>
      <c r="X2539" s="46">
        <f t="shared" si="135"/>
        <v>2.5342560652720061</v>
      </c>
    </row>
    <row r="2540" spans="1:24" s="4" customFormat="1" ht="15" customHeight="1">
      <c r="A2540" s="28" t="s">
        <v>3483</v>
      </c>
      <c r="B2540" s="29">
        <v>3387.15</v>
      </c>
      <c r="C2540" s="30" t="s">
        <v>3688</v>
      </c>
      <c r="D2540" s="2">
        <v>4951315491</v>
      </c>
      <c r="E2540" s="2" t="s">
        <v>36</v>
      </c>
      <c r="F2540" s="2" t="s">
        <v>3689</v>
      </c>
      <c r="G2540" s="28" t="s">
        <v>5</v>
      </c>
      <c r="H2540" s="2" t="s">
        <v>20</v>
      </c>
      <c r="I2540" s="2">
        <v>1</v>
      </c>
      <c r="J2540" s="2" t="s">
        <v>3690</v>
      </c>
      <c r="K2540" s="2">
        <v>26594.400000000001</v>
      </c>
      <c r="L2540" s="35">
        <f t="shared" si="133"/>
        <v>90079221.960000008</v>
      </c>
      <c r="M2540" s="36">
        <v>16800</v>
      </c>
      <c r="N2540" s="40">
        <v>649334</v>
      </c>
      <c r="O2540" s="40">
        <v>600598</v>
      </c>
      <c r="P2540" s="40">
        <v>5197246</v>
      </c>
      <c r="Q2540" s="40">
        <v>223627</v>
      </c>
      <c r="R2540" s="40">
        <v>1878409</v>
      </c>
      <c r="S2540" s="40">
        <v>354356</v>
      </c>
      <c r="T2540" s="40"/>
      <c r="U2540" s="40">
        <v>4582800</v>
      </c>
      <c r="V2540" s="40">
        <v>0</v>
      </c>
      <c r="W2540" s="45">
        <f t="shared" si="134"/>
        <v>13486370</v>
      </c>
      <c r="X2540" s="46">
        <f t="shared" si="135"/>
        <v>14.971676826858774</v>
      </c>
    </row>
    <row r="2541" spans="1:24" s="4" customFormat="1" ht="15" customHeight="1">
      <c r="A2541" s="28" t="s">
        <v>3483</v>
      </c>
      <c r="B2541" s="29">
        <v>3387.15</v>
      </c>
      <c r="C2541" s="30" t="s">
        <v>3691</v>
      </c>
      <c r="D2541" s="2">
        <v>4952131126</v>
      </c>
      <c r="E2541" s="2" t="s">
        <v>14</v>
      </c>
      <c r="F2541" s="2" t="s">
        <v>3692</v>
      </c>
      <c r="G2541" s="28" t="s">
        <v>9</v>
      </c>
      <c r="H2541" s="2" t="s">
        <v>23</v>
      </c>
      <c r="I2541" s="2">
        <v>1</v>
      </c>
      <c r="J2541" s="2"/>
      <c r="K2541" s="2">
        <v>1856.4</v>
      </c>
      <c r="L2541" s="35">
        <f t="shared" si="133"/>
        <v>6287905.2600000007</v>
      </c>
      <c r="M2541" s="36">
        <v>420</v>
      </c>
      <c r="N2541" s="40">
        <v>500174</v>
      </c>
      <c r="O2541" s="40">
        <v>309</v>
      </c>
      <c r="P2541" s="40">
        <v>0</v>
      </c>
      <c r="Q2541" s="40">
        <v>7069</v>
      </c>
      <c r="R2541" s="40">
        <v>93041</v>
      </c>
      <c r="S2541" s="40">
        <v>354356</v>
      </c>
      <c r="T2541" s="40">
        <v>30000</v>
      </c>
      <c r="U2541" s="40">
        <v>1367700</v>
      </c>
      <c r="V2541" s="40">
        <v>0</v>
      </c>
      <c r="W2541" s="45">
        <f t="shared" si="134"/>
        <v>2352649</v>
      </c>
      <c r="X2541" s="46">
        <f t="shared" si="135"/>
        <v>37.415465130592629</v>
      </c>
    </row>
    <row r="2542" spans="1:24" s="4" customFormat="1" ht="15" customHeight="1">
      <c r="A2542" s="28" t="s">
        <v>3483</v>
      </c>
      <c r="B2542" s="29">
        <v>3387.15</v>
      </c>
      <c r="C2542" s="30" t="s">
        <v>3693</v>
      </c>
      <c r="D2542" s="2">
        <v>4951946711</v>
      </c>
      <c r="E2542" s="2" t="s">
        <v>24</v>
      </c>
      <c r="F2542" s="2" t="s">
        <v>3694</v>
      </c>
      <c r="G2542" s="28" t="s">
        <v>5</v>
      </c>
      <c r="H2542" s="2" t="s">
        <v>26</v>
      </c>
      <c r="I2542" s="2">
        <v>1</v>
      </c>
      <c r="J2542" s="2" t="s">
        <v>3695</v>
      </c>
      <c r="K2542" s="2">
        <v>29286</v>
      </c>
      <c r="L2542" s="35">
        <f t="shared" si="133"/>
        <v>99196074.900000006</v>
      </c>
      <c r="M2542" s="36">
        <v>24405</v>
      </c>
      <c r="N2542" s="40">
        <v>330309</v>
      </c>
      <c r="O2542" s="40">
        <v>381331</v>
      </c>
      <c r="P2542" s="40">
        <v>461726</v>
      </c>
      <c r="Q2542" s="40">
        <v>111222</v>
      </c>
      <c r="R2542" s="40">
        <v>768183</v>
      </c>
      <c r="S2542" s="40">
        <v>354356</v>
      </c>
      <c r="T2542" s="40"/>
      <c r="U2542" s="40">
        <v>0</v>
      </c>
      <c r="V2542" s="40">
        <v>0</v>
      </c>
      <c r="W2542" s="45">
        <f t="shared" si="134"/>
        <v>2407127</v>
      </c>
      <c r="X2542" s="46">
        <f t="shared" si="135"/>
        <v>2.4266353305074166</v>
      </c>
    </row>
    <row r="2543" spans="1:24" s="4" customFormat="1" ht="15" customHeight="1">
      <c r="A2543" s="28" t="s">
        <v>3483</v>
      </c>
      <c r="B2543" s="29">
        <v>3387.15</v>
      </c>
      <c r="C2543" s="30" t="s">
        <v>3696</v>
      </c>
      <c r="D2543" s="2">
        <v>4951438809</v>
      </c>
      <c r="E2543" s="2" t="s">
        <v>27</v>
      </c>
      <c r="F2543" s="2" t="s">
        <v>3697</v>
      </c>
      <c r="G2543" s="28" t="s">
        <v>5</v>
      </c>
      <c r="H2543" s="2" t="s">
        <v>17</v>
      </c>
      <c r="I2543" s="2">
        <v>1</v>
      </c>
      <c r="J2543" s="2" t="s">
        <v>3698</v>
      </c>
      <c r="K2543" s="2">
        <v>65249.919999999998</v>
      </c>
      <c r="L2543" s="35">
        <f t="shared" si="133"/>
        <v>221011266.528</v>
      </c>
      <c r="M2543" s="36">
        <v>38</v>
      </c>
      <c r="N2543" s="40">
        <v>347013</v>
      </c>
      <c r="O2543" s="40">
        <v>458999</v>
      </c>
      <c r="P2543" s="40">
        <v>0</v>
      </c>
      <c r="Q2543" s="40">
        <v>110000</v>
      </c>
      <c r="R2543" s="40">
        <v>766298</v>
      </c>
      <c r="S2543" s="40">
        <v>354356</v>
      </c>
      <c r="T2543" s="40"/>
      <c r="U2543" s="40">
        <v>4719050</v>
      </c>
      <c r="V2543" s="40">
        <v>0</v>
      </c>
      <c r="W2543" s="45">
        <f t="shared" si="134"/>
        <v>6755716</v>
      </c>
      <c r="X2543" s="46">
        <f t="shared" si="135"/>
        <v>3.056729236536055</v>
      </c>
    </row>
    <row r="2544" spans="1:24" s="4" customFormat="1" ht="15" customHeight="1">
      <c r="A2544" s="28" t="s">
        <v>3483</v>
      </c>
      <c r="B2544" s="29">
        <v>3387.15</v>
      </c>
      <c r="C2544" s="30" t="s">
        <v>3699</v>
      </c>
      <c r="D2544" s="2">
        <v>4951211698</v>
      </c>
      <c r="E2544" s="2" t="s">
        <v>24</v>
      </c>
      <c r="F2544" s="2" t="s">
        <v>3700</v>
      </c>
      <c r="G2544" s="28" t="s">
        <v>5</v>
      </c>
      <c r="H2544" s="2" t="s">
        <v>20</v>
      </c>
      <c r="I2544" s="2">
        <v>1</v>
      </c>
      <c r="J2544" s="2" t="s">
        <v>3701</v>
      </c>
      <c r="K2544" s="2">
        <v>27982.5</v>
      </c>
      <c r="L2544" s="35">
        <f t="shared" si="133"/>
        <v>94780924.875</v>
      </c>
      <c r="M2544" s="36">
        <v>13650</v>
      </c>
      <c r="N2544" s="40">
        <v>424932</v>
      </c>
      <c r="O2544" s="40">
        <v>309428</v>
      </c>
      <c r="P2544" s="40">
        <v>394270</v>
      </c>
      <c r="Q2544" s="40">
        <v>115213</v>
      </c>
      <c r="R2544" s="40">
        <v>709697</v>
      </c>
      <c r="S2544" s="40">
        <v>354356</v>
      </c>
      <c r="T2544" s="40"/>
      <c r="U2544" s="40">
        <v>2541400</v>
      </c>
      <c r="V2544" s="40">
        <v>0</v>
      </c>
      <c r="W2544" s="45">
        <f t="shared" si="134"/>
        <v>4849296</v>
      </c>
      <c r="X2544" s="46">
        <f t="shared" si="135"/>
        <v>5.1163206166171102</v>
      </c>
    </row>
    <row r="2545" spans="1:24" s="4" customFormat="1" ht="15" customHeight="1">
      <c r="A2545" s="28" t="s">
        <v>3483</v>
      </c>
      <c r="B2545" s="29">
        <v>3387.15</v>
      </c>
      <c r="C2545" s="30" t="s">
        <v>3702</v>
      </c>
      <c r="D2545" s="2">
        <v>4951017745</v>
      </c>
      <c r="E2545" s="2" t="s">
        <v>24</v>
      </c>
      <c r="F2545" s="2" t="s">
        <v>3703</v>
      </c>
      <c r="G2545" s="28" t="s">
        <v>5</v>
      </c>
      <c r="H2545" s="2" t="s">
        <v>17</v>
      </c>
      <c r="I2545" s="2">
        <v>3</v>
      </c>
      <c r="J2545" s="2" t="s">
        <v>3704</v>
      </c>
      <c r="K2545" s="2">
        <v>21120</v>
      </c>
      <c r="L2545" s="35">
        <f t="shared" si="133"/>
        <v>71536608</v>
      </c>
      <c r="M2545" s="36">
        <v>24000</v>
      </c>
      <c r="N2545" s="40">
        <v>274526.33333333302</v>
      </c>
      <c r="O2545" s="40">
        <v>365442.33333333302</v>
      </c>
      <c r="P2545" s="40">
        <v>517692</v>
      </c>
      <c r="Q2545" s="40">
        <v>111121.66666666701</v>
      </c>
      <c r="R2545" s="40">
        <f t="shared" ref="R2545:R2547" si="136">557294+200000</f>
        <v>757294</v>
      </c>
      <c r="S2545" s="40">
        <v>118118.66666666701</v>
      </c>
      <c r="T2545" s="40"/>
      <c r="U2545" s="40">
        <v>0</v>
      </c>
      <c r="V2545" s="40">
        <v>0</v>
      </c>
      <c r="W2545" s="45">
        <f t="shared" si="134"/>
        <v>2144195</v>
      </c>
      <c r="X2545" s="46">
        <f t="shared" si="135"/>
        <v>2.997339488056241</v>
      </c>
    </row>
    <row r="2546" spans="1:24" s="4" customFormat="1" ht="15" customHeight="1">
      <c r="A2546" s="28" t="s">
        <v>3483</v>
      </c>
      <c r="B2546" s="29">
        <v>3387.15</v>
      </c>
      <c r="C2546" s="30" t="s">
        <v>3702</v>
      </c>
      <c r="D2546" s="2">
        <v>4951864849</v>
      </c>
      <c r="E2546" s="2" t="s">
        <v>24</v>
      </c>
      <c r="F2546" s="2" t="s">
        <v>3703</v>
      </c>
      <c r="G2546" s="28" t="s">
        <v>5</v>
      </c>
      <c r="H2546" s="2" t="s">
        <v>17</v>
      </c>
      <c r="I2546" s="2">
        <v>3</v>
      </c>
      <c r="J2546" s="2" t="s">
        <v>3704</v>
      </c>
      <c r="K2546" s="2">
        <v>33600</v>
      </c>
      <c r="L2546" s="35">
        <f t="shared" si="133"/>
        <v>113808240</v>
      </c>
      <c r="M2546" s="36">
        <v>24000</v>
      </c>
      <c r="N2546" s="40">
        <v>274526.33333333302</v>
      </c>
      <c r="O2546" s="40">
        <v>365442.33333333302</v>
      </c>
      <c r="P2546" s="40">
        <v>517692</v>
      </c>
      <c r="Q2546" s="40">
        <v>111121.66666666701</v>
      </c>
      <c r="R2546" s="40">
        <f t="shared" si="136"/>
        <v>757294</v>
      </c>
      <c r="S2546" s="40">
        <v>118118.66666666701</v>
      </c>
      <c r="T2546" s="40"/>
      <c r="U2546" s="40">
        <v>0</v>
      </c>
      <c r="V2546" s="40">
        <v>0</v>
      </c>
      <c r="W2546" s="45">
        <f t="shared" si="134"/>
        <v>2144195</v>
      </c>
      <c r="X2546" s="46">
        <f t="shared" si="135"/>
        <v>1.8840419639210657</v>
      </c>
    </row>
    <row r="2547" spans="1:24" s="4" customFormat="1" ht="15" customHeight="1">
      <c r="A2547" s="28" t="s">
        <v>3483</v>
      </c>
      <c r="B2547" s="29">
        <v>3387.15</v>
      </c>
      <c r="C2547" s="30" t="s">
        <v>3702</v>
      </c>
      <c r="D2547" s="2">
        <v>4951864844</v>
      </c>
      <c r="E2547" s="2" t="s">
        <v>24</v>
      </c>
      <c r="F2547" s="2" t="s">
        <v>3703</v>
      </c>
      <c r="G2547" s="28" t="s">
        <v>5</v>
      </c>
      <c r="H2547" s="2" t="s">
        <v>17</v>
      </c>
      <c r="I2547" s="2">
        <v>3</v>
      </c>
      <c r="J2547" s="2" t="s">
        <v>3704</v>
      </c>
      <c r="K2547" s="2">
        <v>33600</v>
      </c>
      <c r="L2547" s="35">
        <f t="shared" si="133"/>
        <v>113808240</v>
      </c>
      <c r="M2547" s="36">
        <v>24000</v>
      </c>
      <c r="N2547" s="40">
        <v>274526.33333333302</v>
      </c>
      <c r="O2547" s="40">
        <v>365442.33333333302</v>
      </c>
      <c r="P2547" s="40">
        <v>517692</v>
      </c>
      <c r="Q2547" s="40">
        <v>111121.66666666701</v>
      </c>
      <c r="R2547" s="40">
        <f t="shared" si="136"/>
        <v>757294</v>
      </c>
      <c r="S2547" s="40">
        <v>118118.66666666701</v>
      </c>
      <c r="T2547" s="40"/>
      <c r="U2547" s="40">
        <v>2880900</v>
      </c>
      <c r="V2547" s="40">
        <v>0</v>
      </c>
      <c r="W2547" s="45">
        <f t="shared" si="134"/>
        <v>5025095</v>
      </c>
      <c r="X2547" s="46">
        <f t="shared" si="135"/>
        <v>4.4154052465796854</v>
      </c>
    </row>
    <row r="2548" spans="1:24" s="4" customFormat="1" ht="15" customHeight="1">
      <c r="A2548" s="28" t="s">
        <v>3483</v>
      </c>
      <c r="B2548" s="29">
        <v>3387.15</v>
      </c>
      <c r="C2548" s="30" t="s">
        <v>3705</v>
      </c>
      <c r="D2548" s="2">
        <v>4952077932</v>
      </c>
      <c r="E2548" s="2" t="s">
        <v>18</v>
      </c>
      <c r="F2548" s="2" t="s">
        <v>3706</v>
      </c>
      <c r="G2548" s="28" t="s">
        <v>5</v>
      </c>
      <c r="H2548" s="2" t="s">
        <v>35</v>
      </c>
      <c r="I2548" s="2">
        <v>1</v>
      </c>
      <c r="J2548" s="2" t="s">
        <v>3707</v>
      </c>
      <c r="K2548" s="2">
        <v>67456</v>
      </c>
      <c r="L2548" s="35">
        <f t="shared" si="133"/>
        <v>228483590.40000001</v>
      </c>
      <c r="M2548" s="36">
        <v>6800</v>
      </c>
      <c r="N2548" s="40">
        <v>339581</v>
      </c>
      <c r="O2548" s="40">
        <v>458999</v>
      </c>
      <c r="P2548" s="40">
        <v>0</v>
      </c>
      <c r="Q2548" s="40">
        <v>110000</v>
      </c>
      <c r="R2548" s="40">
        <v>1020588</v>
      </c>
      <c r="S2548" s="40">
        <v>354356</v>
      </c>
      <c r="T2548" s="40">
        <v>30000</v>
      </c>
      <c r="U2548" s="40">
        <v>7149050</v>
      </c>
      <c r="V2548" s="40">
        <v>0</v>
      </c>
      <c r="W2548" s="45">
        <f t="shared" si="134"/>
        <v>9462574</v>
      </c>
      <c r="X2548" s="46">
        <f t="shared" si="135"/>
        <v>4.1414676578891854</v>
      </c>
    </row>
    <row r="2549" spans="1:24" s="4" customFormat="1" ht="15" customHeight="1">
      <c r="A2549" s="28" t="s">
        <v>3483</v>
      </c>
      <c r="B2549" s="29">
        <v>3387.15</v>
      </c>
      <c r="C2549" s="30" t="s">
        <v>3708</v>
      </c>
      <c r="D2549" s="2" t="s">
        <v>3709</v>
      </c>
      <c r="E2549" s="2" t="s">
        <v>33</v>
      </c>
      <c r="F2549" s="2" t="s">
        <v>3710</v>
      </c>
      <c r="G2549" s="28" t="s">
        <v>5</v>
      </c>
      <c r="H2549" s="2" t="s">
        <v>20</v>
      </c>
      <c r="I2549" s="2">
        <v>2</v>
      </c>
      <c r="J2549" s="2" t="s">
        <v>3711</v>
      </c>
      <c r="K2549" s="2">
        <v>47916</v>
      </c>
      <c r="L2549" s="35">
        <f t="shared" si="133"/>
        <v>162298679.40000001</v>
      </c>
      <c r="M2549" s="36">
        <f>19800+19800</f>
        <v>39600</v>
      </c>
      <c r="N2549" s="40">
        <v>815854</v>
      </c>
      <c r="O2549" s="40">
        <v>699758</v>
      </c>
      <c r="P2549" s="40">
        <v>0</v>
      </c>
      <c r="Q2549" s="40">
        <v>198619</v>
      </c>
      <c r="R2549" s="40">
        <v>1294130</v>
      </c>
      <c r="S2549" s="40">
        <v>354356</v>
      </c>
      <c r="T2549" s="40"/>
      <c r="U2549" s="40">
        <v>9700000</v>
      </c>
      <c r="V2549" s="40">
        <v>0</v>
      </c>
      <c r="W2549" s="45">
        <f t="shared" si="134"/>
        <v>13062717</v>
      </c>
      <c r="X2549" s="46">
        <f t="shared" si="135"/>
        <v>8.0485664136586923</v>
      </c>
    </row>
    <row r="2550" spans="1:24" s="4" customFormat="1" ht="15" customHeight="1">
      <c r="A2550" s="28" t="s">
        <v>3483</v>
      </c>
      <c r="B2550" s="29">
        <v>3387.15</v>
      </c>
      <c r="C2550" s="30" t="s">
        <v>3712</v>
      </c>
      <c r="D2550" s="2">
        <v>4951411353</v>
      </c>
      <c r="E2550" s="2" t="s">
        <v>14</v>
      </c>
      <c r="F2550" s="2" t="s">
        <v>3713</v>
      </c>
      <c r="G2550" s="28" t="s">
        <v>5</v>
      </c>
      <c r="H2550" s="2" t="s">
        <v>20</v>
      </c>
      <c r="I2550" s="2">
        <v>1</v>
      </c>
      <c r="J2550" s="2" t="s">
        <v>3714</v>
      </c>
      <c r="K2550" s="2">
        <v>13425.45</v>
      </c>
      <c r="L2550" s="35">
        <f t="shared" si="133"/>
        <v>45474012.967500001</v>
      </c>
      <c r="M2550" s="36">
        <v>7585</v>
      </c>
      <c r="N2550" s="40">
        <v>379144</v>
      </c>
      <c r="O2550" s="40">
        <v>349879</v>
      </c>
      <c r="P2550" s="40">
        <v>0</v>
      </c>
      <c r="Q2550" s="40">
        <v>110000</v>
      </c>
      <c r="R2550" s="40">
        <v>641776</v>
      </c>
      <c r="S2550" s="40">
        <v>354356</v>
      </c>
      <c r="T2550" s="40">
        <v>30000</v>
      </c>
      <c r="U2550" s="40">
        <v>2900300</v>
      </c>
      <c r="V2550" s="40">
        <v>0</v>
      </c>
      <c r="W2550" s="45">
        <f t="shared" si="134"/>
        <v>4765455</v>
      </c>
      <c r="X2550" s="46">
        <f t="shared" si="135"/>
        <v>10.479512778882835</v>
      </c>
    </row>
    <row r="2551" spans="1:24" s="4" customFormat="1" ht="15" customHeight="1">
      <c r="A2551" s="28" t="s">
        <v>3483</v>
      </c>
      <c r="B2551" s="29">
        <v>3387.15</v>
      </c>
      <c r="C2551" s="30" t="s">
        <v>3715</v>
      </c>
      <c r="D2551" s="2">
        <v>4950896900</v>
      </c>
      <c r="E2551" s="2" t="s">
        <v>10</v>
      </c>
      <c r="F2551" s="2" t="s">
        <v>3716</v>
      </c>
      <c r="G2551" s="28" t="s">
        <v>9</v>
      </c>
      <c r="H2551" s="2" t="s">
        <v>23</v>
      </c>
      <c r="I2551" s="2">
        <v>9</v>
      </c>
      <c r="J2551" s="2"/>
      <c r="K2551" s="2">
        <v>23430</v>
      </c>
      <c r="L2551" s="35">
        <f t="shared" si="133"/>
        <v>79360924.5</v>
      </c>
      <c r="M2551" s="36">
        <v>6600</v>
      </c>
      <c r="N2551" s="40">
        <v>1267371</v>
      </c>
      <c r="O2551" s="40">
        <v>5460</v>
      </c>
      <c r="P2551" s="40">
        <v>0</v>
      </c>
      <c r="Q2551" s="40">
        <v>163326</v>
      </c>
      <c r="R2551" s="40">
        <v>203150</v>
      </c>
      <c r="S2551" s="40">
        <v>708712</v>
      </c>
      <c r="T2551" s="40"/>
      <c r="U2551" s="40">
        <v>1503500</v>
      </c>
      <c r="V2551" s="40">
        <v>0</v>
      </c>
      <c r="W2551" s="45">
        <f t="shared" si="134"/>
        <v>3851519</v>
      </c>
      <c r="X2551" s="46">
        <f t="shared" si="135"/>
        <v>4.8531680096544241</v>
      </c>
    </row>
    <row r="2552" spans="1:24" s="4" customFormat="1" ht="15" customHeight="1">
      <c r="A2552" s="28" t="s">
        <v>3483</v>
      </c>
      <c r="B2552" s="29">
        <v>3387.15</v>
      </c>
      <c r="C2552" s="30" t="s">
        <v>3717</v>
      </c>
      <c r="D2552" s="2">
        <v>4949505226</v>
      </c>
      <c r="E2552" s="2" t="s">
        <v>6</v>
      </c>
      <c r="F2552" s="2" t="s">
        <v>3718</v>
      </c>
      <c r="G2552" s="28" t="s">
        <v>5</v>
      </c>
      <c r="H2552" s="2" t="s">
        <v>17</v>
      </c>
      <c r="I2552" s="2">
        <v>1</v>
      </c>
      <c r="J2552" s="2" t="s">
        <v>3719</v>
      </c>
      <c r="K2552" s="2">
        <v>10535</v>
      </c>
      <c r="L2552" s="35">
        <f t="shared" si="133"/>
        <v>35683625.25</v>
      </c>
      <c r="M2552" s="36">
        <v>6125</v>
      </c>
      <c r="N2552" s="40">
        <v>462480.86534011998</v>
      </c>
      <c r="O2552" s="40">
        <v>286017.5</v>
      </c>
      <c r="P2552" s="40">
        <v>0</v>
      </c>
      <c r="Q2552" s="40">
        <v>62067</v>
      </c>
      <c r="R2552" s="40">
        <v>437217.29523368803</v>
      </c>
      <c r="S2552" s="40">
        <v>200872.790374826</v>
      </c>
      <c r="T2552" s="40">
        <v>30000</v>
      </c>
      <c r="U2552" s="40">
        <v>2730060.7357704798</v>
      </c>
      <c r="V2552" s="40">
        <v>0</v>
      </c>
      <c r="W2552" s="45">
        <f t="shared" si="134"/>
        <v>4208716.186719114</v>
      </c>
      <c r="X2552" s="46">
        <f t="shared" si="135"/>
        <v>11.794530844982221</v>
      </c>
    </row>
    <row r="2553" spans="1:24" s="4" customFormat="1" ht="15" customHeight="1">
      <c r="A2553" s="28" t="s">
        <v>3483</v>
      </c>
      <c r="B2553" s="29">
        <v>3387.15</v>
      </c>
      <c r="C2553" s="30" t="s">
        <v>3717</v>
      </c>
      <c r="D2553" s="2">
        <v>4950442192</v>
      </c>
      <c r="E2553" s="2" t="s">
        <v>6</v>
      </c>
      <c r="F2553" s="2" t="s">
        <v>3718</v>
      </c>
      <c r="G2553" s="28" t="s">
        <v>5</v>
      </c>
      <c r="H2553" s="2" t="s">
        <v>17</v>
      </c>
      <c r="I2553" s="2">
        <v>1</v>
      </c>
      <c r="J2553" s="2" t="s">
        <v>3719</v>
      </c>
      <c r="K2553" s="2">
        <v>38984.400000000001</v>
      </c>
      <c r="L2553" s="35">
        <f t="shared" si="133"/>
        <v>132046010.46000001</v>
      </c>
      <c r="M2553" s="36">
        <v>4680</v>
      </c>
      <c r="N2553" s="40">
        <v>353373.13465988002</v>
      </c>
      <c r="O2553" s="40">
        <v>286017.5</v>
      </c>
      <c r="P2553" s="40">
        <v>0</v>
      </c>
      <c r="Q2553" s="40">
        <v>62067</v>
      </c>
      <c r="R2553" s="40">
        <v>334069.70476631197</v>
      </c>
      <c r="S2553" s="40">
        <v>153483.209625174</v>
      </c>
      <c r="T2553" s="40">
        <v>30000</v>
      </c>
      <c r="U2553" s="40">
        <v>2085989.26422952</v>
      </c>
      <c r="V2553" s="40">
        <v>0</v>
      </c>
      <c r="W2553" s="45">
        <f t="shared" si="134"/>
        <v>3304999.813280886</v>
      </c>
      <c r="X2553" s="46">
        <f t="shared" si="135"/>
        <v>2.5029153109340263</v>
      </c>
    </row>
    <row r="2554" spans="1:24" s="4" customFormat="1" ht="15" customHeight="1">
      <c r="A2554" s="28" t="s">
        <v>3483</v>
      </c>
      <c r="B2554" s="29">
        <v>3387.15</v>
      </c>
      <c r="C2554" s="30" t="s">
        <v>3720</v>
      </c>
      <c r="D2554" s="2">
        <v>4951574718</v>
      </c>
      <c r="E2554" s="2" t="s">
        <v>18</v>
      </c>
      <c r="F2554" s="2" t="s">
        <v>3721</v>
      </c>
      <c r="G2554" s="28" t="s">
        <v>5</v>
      </c>
      <c r="H2554" s="2" t="s">
        <v>20</v>
      </c>
      <c r="I2554" s="2">
        <v>1</v>
      </c>
      <c r="J2554" s="2" t="s">
        <v>3722</v>
      </c>
      <c r="K2554" s="2">
        <v>26320</v>
      </c>
      <c r="L2554" s="35">
        <f t="shared" si="133"/>
        <v>89149788</v>
      </c>
      <c r="M2554" s="36">
        <v>7000</v>
      </c>
      <c r="N2554" s="40">
        <v>580778</v>
      </c>
      <c r="O2554" s="40">
        <v>349879</v>
      </c>
      <c r="P2554" s="40">
        <v>0</v>
      </c>
      <c r="Q2554" s="40">
        <v>110000</v>
      </c>
      <c r="R2554" s="40">
        <v>758536</v>
      </c>
      <c r="S2554" s="40">
        <v>354356</v>
      </c>
      <c r="T2554" s="40">
        <v>30000</v>
      </c>
      <c r="U2554" s="40">
        <v>2900300</v>
      </c>
      <c r="V2554" s="40">
        <v>0</v>
      </c>
      <c r="W2554" s="45">
        <f t="shared" si="134"/>
        <v>5083849</v>
      </c>
      <c r="X2554" s="46">
        <f t="shared" si="135"/>
        <v>5.7025923606234485</v>
      </c>
    </row>
    <row r="2555" spans="1:24" s="4" customFormat="1" ht="15" customHeight="1">
      <c r="A2555" s="28" t="s">
        <v>3483</v>
      </c>
      <c r="B2555" s="29">
        <v>3387.15</v>
      </c>
      <c r="C2555" s="30" t="s">
        <v>3723</v>
      </c>
      <c r="D2555" s="2">
        <v>4948303921</v>
      </c>
      <c r="E2555" s="2" t="s">
        <v>6</v>
      </c>
      <c r="F2555" s="2" t="s">
        <v>3724</v>
      </c>
      <c r="G2555" s="28" t="s">
        <v>5</v>
      </c>
      <c r="H2555" s="2" t="s">
        <v>20</v>
      </c>
      <c r="I2555" s="2">
        <v>1</v>
      </c>
      <c r="J2555" s="2" t="s">
        <v>3725</v>
      </c>
      <c r="K2555" s="2">
        <v>58464</v>
      </c>
      <c r="L2555" s="35">
        <f t="shared" si="133"/>
        <v>198026337.59999999</v>
      </c>
      <c r="M2555" s="36">
        <v>5760</v>
      </c>
      <c r="N2555" s="40">
        <v>407927</v>
      </c>
      <c r="O2555" s="40">
        <v>435616</v>
      </c>
      <c r="P2555" s="40">
        <v>0</v>
      </c>
      <c r="Q2555" s="40">
        <v>124137</v>
      </c>
      <c r="R2555" s="40">
        <v>659298</v>
      </c>
      <c r="S2555" s="40">
        <v>354356</v>
      </c>
      <c r="T2555" s="40">
        <v>30000</v>
      </c>
      <c r="U2555" s="40">
        <v>2900300</v>
      </c>
      <c r="V2555" s="40">
        <v>0</v>
      </c>
      <c r="W2555" s="45">
        <f t="shared" si="134"/>
        <v>4911634</v>
      </c>
      <c r="X2555" s="46">
        <f t="shared" si="135"/>
        <v>2.4802933082169973</v>
      </c>
    </row>
    <row r="2556" spans="1:24" s="4" customFormat="1" ht="15" customHeight="1">
      <c r="A2556" s="28" t="s">
        <v>3483</v>
      </c>
      <c r="B2556" s="29">
        <v>3387.15</v>
      </c>
      <c r="C2556" s="30" t="s">
        <v>3726</v>
      </c>
      <c r="D2556" s="2">
        <v>4949078457</v>
      </c>
      <c r="E2556" s="2" t="s">
        <v>6</v>
      </c>
      <c r="F2556" s="2" t="s">
        <v>3727</v>
      </c>
      <c r="G2556" s="28" t="s">
        <v>5</v>
      </c>
      <c r="H2556" s="2" t="s">
        <v>20</v>
      </c>
      <c r="I2556" s="2">
        <v>1</v>
      </c>
      <c r="J2556" s="2" t="s">
        <v>3728</v>
      </c>
      <c r="K2556" s="2">
        <v>34560</v>
      </c>
      <c r="L2556" s="35">
        <f t="shared" si="133"/>
        <v>117059904</v>
      </c>
      <c r="M2556" s="36">
        <v>5400</v>
      </c>
      <c r="N2556" s="40">
        <v>570294</v>
      </c>
      <c r="O2556" s="40">
        <v>435616</v>
      </c>
      <c r="P2556" s="40">
        <v>0</v>
      </c>
      <c r="Q2556" s="40">
        <v>124137</v>
      </c>
      <c r="R2556" s="40">
        <v>758494</v>
      </c>
      <c r="S2556" s="40">
        <v>354356</v>
      </c>
      <c r="T2556" s="40">
        <v>30000</v>
      </c>
      <c r="U2556" s="40">
        <v>2900300</v>
      </c>
      <c r="V2556" s="40">
        <v>0</v>
      </c>
      <c r="W2556" s="45">
        <f t="shared" si="134"/>
        <v>5173197</v>
      </c>
      <c r="X2556" s="46">
        <f t="shared" si="135"/>
        <v>4.4192732295423722</v>
      </c>
    </row>
    <row r="2557" spans="1:24" s="4" customFormat="1" ht="15" customHeight="1">
      <c r="A2557" s="28" t="s">
        <v>3483</v>
      </c>
      <c r="B2557" s="29">
        <v>3387.15</v>
      </c>
      <c r="C2557" s="30" t="s">
        <v>3729</v>
      </c>
      <c r="D2557" s="2">
        <v>4951697095</v>
      </c>
      <c r="E2557" s="2" t="s">
        <v>33</v>
      </c>
      <c r="F2557" s="2" t="s">
        <v>3730</v>
      </c>
      <c r="G2557" s="28" t="s">
        <v>5</v>
      </c>
      <c r="H2557" s="2" t="s">
        <v>17</v>
      </c>
      <c r="I2557" s="2">
        <v>1</v>
      </c>
      <c r="J2557" s="2" t="s">
        <v>3731</v>
      </c>
      <c r="K2557" s="2">
        <v>8400</v>
      </c>
      <c r="L2557" s="35">
        <f t="shared" si="133"/>
        <v>28452060</v>
      </c>
      <c r="M2557" s="36">
        <v>24000</v>
      </c>
      <c r="N2557" s="40">
        <v>693456</v>
      </c>
      <c r="O2557" s="40">
        <v>458999</v>
      </c>
      <c r="P2557" s="40">
        <v>0</v>
      </c>
      <c r="Q2557" s="40">
        <v>110000</v>
      </c>
      <c r="R2557" s="40">
        <v>799133</v>
      </c>
      <c r="S2557" s="40">
        <v>354356</v>
      </c>
      <c r="T2557" s="40"/>
      <c r="U2557" s="40">
        <v>5689050</v>
      </c>
      <c r="V2557" s="40">
        <v>0</v>
      </c>
      <c r="W2557" s="45">
        <f t="shared" si="134"/>
        <v>8104994</v>
      </c>
      <c r="X2557" s="46">
        <f t="shared" si="135"/>
        <v>28.486492717926225</v>
      </c>
    </row>
    <row r="2558" spans="1:24" s="4" customFormat="1" ht="15" customHeight="1">
      <c r="A2558" s="28" t="s">
        <v>3483</v>
      </c>
      <c r="B2558" s="29">
        <v>3387.15</v>
      </c>
      <c r="C2558" s="30" t="s">
        <v>3732</v>
      </c>
      <c r="D2558" s="2">
        <v>4950750282</v>
      </c>
      <c r="E2558" s="2" t="s">
        <v>6</v>
      </c>
      <c r="F2558" s="2" t="s">
        <v>3733</v>
      </c>
      <c r="G2558" s="28" t="s">
        <v>5</v>
      </c>
      <c r="H2558" s="2" t="s">
        <v>17</v>
      </c>
      <c r="I2558" s="2">
        <v>1</v>
      </c>
      <c r="J2558" s="2" t="s">
        <v>3734</v>
      </c>
      <c r="K2558" s="2">
        <v>135936</v>
      </c>
      <c r="L2558" s="35">
        <f t="shared" si="133"/>
        <v>460435622.40000004</v>
      </c>
      <c r="M2558" s="36">
        <v>15360</v>
      </c>
      <c r="N2558" s="40">
        <v>379007</v>
      </c>
      <c r="O2558" s="40">
        <v>572035</v>
      </c>
      <c r="P2558" s="40">
        <v>378778</v>
      </c>
      <c r="Q2558" s="40">
        <v>124137</v>
      </c>
      <c r="R2558" s="40">
        <v>858377</v>
      </c>
      <c r="S2558" s="40">
        <v>354356</v>
      </c>
      <c r="T2558" s="40">
        <v>30000</v>
      </c>
      <c r="U2558" s="40">
        <v>5640550</v>
      </c>
      <c r="V2558" s="40">
        <v>0</v>
      </c>
      <c r="W2558" s="45">
        <f t="shared" si="134"/>
        <v>8337240</v>
      </c>
      <c r="X2558" s="46">
        <f t="shared" si="135"/>
        <v>1.8107287087264252</v>
      </c>
    </row>
    <row r="2559" spans="1:24" s="4" customFormat="1" ht="15" customHeight="1">
      <c r="A2559" s="28" t="s">
        <v>3483</v>
      </c>
      <c r="B2559" s="29">
        <v>3387.15</v>
      </c>
      <c r="C2559" s="30" t="s">
        <v>3735</v>
      </c>
      <c r="D2559" s="2">
        <v>4951726543</v>
      </c>
      <c r="E2559" s="2" t="s">
        <v>14</v>
      </c>
      <c r="F2559" s="2" t="s">
        <v>3736</v>
      </c>
      <c r="G2559" s="28" t="s">
        <v>5</v>
      </c>
      <c r="H2559" s="2" t="s">
        <v>20</v>
      </c>
      <c r="I2559" s="2">
        <v>1</v>
      </c>
      <c r="J2559" s="2" t="s">
        <v>3737</v>
      </c>
      <c r="K2559" s="2">
        <v>16449.599999999999</v>
      </c>
      <c r="L2559" s="35">
        <f t="shared" si="133"/>
        <v>55717262.639999993</v>
      </c>
      <c r="M2559" s="36">
        <v>5520</v>
      </c>
      <c r="N2559" s="40">
        <v>187465.827956989</v>
      </c>
      <c r="O2559" s="40">
        <v>116626.33333333299</v>
      </c>
      <c r="P2559" s="40">
        <v>0</v>
      </c>
      <c r="Q2559" s="40">
        <v>36666.666666666701</v>
      </c>
      <c r="R2559" s="40">
        <f>219477.870967742+98925</f>
        <v>318402.870967742</v>
      </c>
      <c r="S2559" s="40">
        <v>175272.86021505401</v>
      </c>
      <c r="T2559" s="40">
        <v>30000</v>
      </c>
      <c r="U2559" s="40">
        <v>1384698.9247311801</v>
      </c>
      <c r="V2559" s="40">
        <v>0</v>
      </c>
      <c r="W2559" s="45">
        <f t="shared" si="134"/>
        <v>2249133.4838709645</v>
      </c>
      <c r="X2559" s="46">
        <f t="shared" si="135"/>
        <v>4.0366905646514812</v>
      </c>
    </row>
    <row r="2560" spans="1:24" s="4" customFormat="1" ht="15" customHeight="1">
      <c r="A2560" s="28" t="s">
        <v>3483</v>
      </c>
      <c r="B2560" s="29">
        <v>3387.15</v>
      </c>
      <c r="C2560" s="30" t="s">
        <v>3735</v>
      </c>
      <c r="D2560" s="2">
        <v>4951726543</v>
      </c>
      <c r="E2560" s="2" t="s">
        <v>14</v>
      </c>
      <c r="F2560" s="2" t="s">
        <v>3736</v>
      </c>
      <c r="G2560" s="28" t="s">
        <v>5</v>
      </c>
      <c r="H2560" s="2" t="s">
        <v>20</v>
      </c>
      <c r="I2560" s="2">
        <v>1</v>
      </c>
      <c r="J2560" s="2" t="s">
        <v>3737</v>
      </c>
      <c r="K2560" s="2">
        <v>13632</v>
      </c>
      <c r="L2560" s="35">
        <f t="shared" si="133"/>
        <v>46173628.800000004</v>
      </c>
      <c r="M2560" s="36">
        <v>4800</v>
      </c>
      <c r="N2560" s="40">
        <v>163013.76344086</v>
      </c>
      <c r="O2560" s="40">
        <v>116626.33333333299</v>
      </c>
      <c r="P2560" s="40">
        <v>0</v>
      </c>
      <c r="Q2560" s="40">
        <v>36666.666666666701</v>
      </c>
      <c r="R2560" s="40">
        <f>190850.322580645+86022</f>
        <v>276872.32258064498</v>
      </c>
      <c r="S2560" s="40">
        <v>152411.18279569899</v>
      </c>
      <c r="T2560" s="40">
        <v>30000</v>
      </c>
      <c r="U2560" s="40">
        <v>1204086.02150538</v>
      </c>
      <c r="V2560" s="40">
        <v>0</v>
      </c>
      <c r="W2560" s="45">
        <f t="shared" si="134"/>
        <v>1979676.2903225836</v>
      </c>
      <c r="X2560" s="46">
        <f t="shared" si="135"/>
        <v>4.2874609203827259</v>
      </c>
    </row>
    <row r="2561" spans="1:24" s="4" customFormat="1" ht="15" customHeight="1">
      <c r="A2561" s="28" t="s">
        <v>3483</v>
      </c>
      <c r="B2561" s="29">
        <v>3387.15</v>
      </c>
      <c r="C2561" s="30" t="s">
        <v>3735</v>
      </c>
      <c r="D2561" s="2">
        <v>4951517150</v>
      </c>
      <c r="E2561" s="2" t="s">
        <v>14</v>
      </c>
      <c r="F2561" s="2" t="s">
        <v>3736</v>
      </c>
      <c r="G2561" s="28" t="s">
        <v>5</v>
      </c>
      <c r="H2561" s="2" t="s">
        <v>20</v>
      </c>
      <c r="I2561" s="2">
        <v>1</v>
      </c>
      <c r="J2561" s="2" t="s">
        <v>3737</v>
      </c>
      <c r="K2561" s="2">
        <v>2562</v>
      </c>
      <c r="L2561" s="35">
        <f t="shared" si="133"/>
        <v>8677878.3000000007</v>
      </c>
      <c r="M2561" s="36">
        <v>840</v>
      </c>
      <c r="N2561" s="40">
        <v>28527.408602150499</v>
      </c>
      <c r="O2561" s="40">
        <v>116626.33333333299</v>
      </c>
      <c r="P2561" s="40">
        <v>0</v>
      </c>
      <c r="Q2561" s="40">
        <v>36666.666666666701</v>
      </c>
      <c r="R2561" s="40">
        <f>33398.8064516129+15054</f>
        <v>48452.806451612902</v>
      </c>
      <c r="S2561" s="40">
        <v>26671.956989247301</v>
      </c>
      <c r="T2561" s="40">
        <v>30000</v>
      </c>
      <c r="U2561" s="40">
        <v>210715.05376344101</v>
      </c>
      <c r="V2561" s="40">
        <v>0</v>
      </c>
      <c r="W2561" s="45">
        <f t="shared" si="134"/>
        <v>497660.2258064514</v>
      </c>
      <c r="X2561" s="46">
        <f t="shared" si="135"/>
        <v>5.7348145318706685</v>
      </c>
    </row>
    <row r="2562" spans="1:24" s="4" customFormat="1" ht="15" customHeight="1">
      <c r="A2562" s="28" t="s">
        <v>3483</v>
      </c>
      <c r="B2562" s="29">
        <v>3387.15</v>
      </c>
      <c r="C2562" s="30" t="s">
        <v>3738</v>
      </c>
      <c r="D2562" s="2" t="s">
        <v>3739</v>
      </c>
      <c r="E2562" s="2" t="s">
        <v>14</v>
      </c>
      <c r="F2562" s="2" t="s">
        <v>3740</v>
      </c>
      <c r="G2562" s="28" t="s">
        <v>5</v>
      </c>
      <c r="H2562" s="2" t="s">
        <v>17</v>
      </c>
      <c r="I2562" s="2">
        <v>1</v>
      </c>
      <c r="J2562" s="2" t="s">
        <v>3741</v>
      </c>
      <c r="K2562" s="2">
        <v>14742</v>
      </c>
      <c r="L2562" s="35">
        <f t="shared" si="133"/>
        <v>49933365.300000004</v>
      </c>
      <c r="M2562" s="36">
        <v>6300</v>
      </c>
      <c r="N2562" s="40">
        <v>100718.56097561</v>
      </c>
      <c r="O2562" s="40">
        <v>76499.833333333299</v>
      </c>
      <c r="P2562" s="40">
        <v>141005.98536585399</v>
      </c>
      <c r="Q2562" s="40">
        <v>18333.333333333299</v>
      </c>
      <c r="R2562" s="40">
        <v>207279.526829268</v>
      </c>
      <c r="S2562" s="40">
        <v>108899.648780488</v>
      </c>
      <c r="T2562" s="40">
        <v>30000</v>
      </c>
      <c r="U2562" s="40">
        <v>1943596.0975609799</v>
      </c>
      <c r="V2562" s="40">
        <v>0</v>
      </c>
      <c r="W2562" s="45">
        <f t="shared" si="134"/>
        <v>2626332.9861788666</v>
      </c>
      <c r="X2562" s="46">
        <f t="shared" si="135"/>
        <v>5.2596755103523263</v>
      </c>
    </row>
    <row r="2563" spans="1:24" s="4" customFormat="1" ht="15" customHeight="1">
      <c r="A2563" s="28" t="s">
        <v>3483</v>
      </c>
      <c r="B2563" s="29">
        <v>3387.15</v>
      </c>
      <c r="C2563" s="30" t="s">
        <v>3738</v>
      </c>
      <c r="D2563" s="2">
        <v>4951798404</v>
      </c>
      <c r="E2563" s="2" t="s">
        <v>14</v>
      </c>
      <c r="F2563" s="2" t="s">
        <v>3740</v>
      </c>
      <c r="G2563" s="28" t="s">
        <v>5</v>
      </c>
      <c r="H2563" s="2" t="s">
        <v>17</v>
      </c>
      <c r="I2563" s="2">
        <v>1</v>
      </c>
      <c r="J2563" s="2" t="s">
        <v>3741</v>
      </c>
      <c r="K2563" s="2">
        <v>15624</v>
      </c>
      <c r="L2563" s="35">
        <f t="shared" si="133"/>
        <v>52920831.600000001</v>
      </c>
      <c r="M2563" s="36">
        <v>3825</v>
      </c>
      <c r="N2563" s="40">
        <v>115106.92682926801</v>
      </c>
      <c r="O2563" s="40">
        <v>76499.833333333299</v>
      </c>
      <c r="P2563" s="40">
        <v>161149.697560976</v>
      </c>
      <c r="Q2563" s="40">
        <v>18333.333333333299</v>
      </c>
      <c r="R2563" s="40">
        <v>236890.887804878</v>
      </c>
      <c r="S2563" s="40">
        <v>124456.741463415</v>
      </c>
      <c r="T2563" s="40">
        <v>30000</v>
      </c>
      <c r="U2563" s="40">
        <v>2221252.6829268299</v>
      </c>
      <c r="V2563" s="40">
        <v>0</v>
      </c>
      <c r="W2563" s="45">
        <f t="shared" si="134"/>
        <v>2983690.1032520337</v>
      </c>
      <c r="X2563" s="46">
        <f t="shared" si="135"/>
        <v>5.6380257321051497</v>
      </c>
    </row>
    <row r="2564" spans="1:24" s="4" customFormat="1" ht="15" customHeight="1">
      <c r="A2564" s="28" t="s">
        <v>3483</v>
      </c>
      <c r="B2564" s="29">
        <v>3387.15</v>
      </c>
      <c r="C2564" s="30" t="s">
        <v>3738</v>
      </c>
      <c r="D2564" s="2">
        <v>4951152059</v>
      </c>
      <c r="E2564" s="2" t="s">
        <v>14</v>
      </c>
      <c r="F2564" s="2" t="s">
        <v>3740</v>
      </c>
      <c r="G2564" s="28" t="s">
        <v>5</v>
      </c>
      <c r="H2564" s="2" t="s">
        <v>17</v>
      </c>
      <c r="I2564" s="2">
        <v>1</v>
      </c>
      <c r="J2564" s="2" t="s">
        <v>3741</v>
      </c>
      <c r="K2564" s="2">
        <v>1989</v>
      </c>
      <c r="L2564" s="35">
        <f t="shared" si="133"/>
        <v>6737041.3500000006</v>
      </c>
      <c r="M2564" s="36">
        <v>450</v>
      </c>
      <c r="N2564" s="40">
        <v>7194.1829268292704</v>
      </c>
      <c r="O2564" s="40">
        <v>76499.833333333299</v>
      </c>
      <c r="P2564" s="40">
        <v>10071.856097561</v>
      </c>
      <c r="Q2564" s="40">
        <v>18333.333333333299</v>
      </c>
      <c r="R2564" s="40">
        <v>14805.680487804901</v>
      </c>
      <c r="S2564" s="40">
        <v>7778.5463414634096</v>
      </c>
      <c r="T2564" s="40">
        <v>30000</v>
      </c>
      <c r="U2564" s="40">
        <v>138828.29268292701</v>
      </c>
      <c r="V2564" s="40">
        <v>0</v>
      </c>
      <c r="W2564" s="45">
        <f t="shared" si="134"/>
        <v>303511.72520325216</v>
      </c>
      <c r="X2564" s="46">
        <f t="shared" si="135"/>
        <v>4.5051189303335972</v>
      </c>
    </row>
    <row r="2565" spans="1:24" s="4" customFormat="1" ht="15" customHeight="1">
      <c r="A2565" s="28" t="s">
        <v>3483</v>
      </c>
      <c r="B2565" s="29">
        <v>3387.15</v>
      </c>
      <c r="C2565" s="30" t="s">
        <v>3738</v>
      </c>
      <c r="D2565" s="2">
        <v>4951411354</v>
      </c>
      <c r="E2565" s="2" t="s">
        <v>14</v>
      </c>
      <c r="F2565" s="2" t="s">
        <v>3740</v>
      </c>
      <c r="G2565" s="28" t="s">
        <v>5</v>
      </c>
      <c r="H2565" s="2" t="s">
        <v>17</v>
      </c>
      <c r="I2565" s="2">
        <v>1</v>
      </c>
      <c r="J2565" s="2" t="s">
        <v>3741</v>
      </c>
      <c r="K2565" s="2">
        <v>28672</v>
      </c>
      <c r="L2565" s="35">
        <f t="shared" si="133"/>
        <v>97116364.799999997</v>
      </c>
      <c r="M2565" s="36">
        <v>2800</v>
      </c>
      <c r="N2565" s="40">
        <v>44763.804878048802</v>
      </c>
      <c r="O2565" s="40">
        <v>76499.833333333299</v>
      </c>
      <c r="P2565" s="40">
        <v>62669.326829268299</v>
      </c>
      <c r="Q2565" s="40">
        <v>18333.333333333299</v>
      </c>
      <c r="R2565" s="40">
        <v>92124.234146341507</v>
      </c>
      <c r="S2565" s="40">
        <v>48399.843902439003</v>
      </c>
      <c r="T2565" s="40">
        <v>30000</v>
      </c>
      <c r="U2565" s="40">
        <v>863820.48780487804</v>
      </c>
      <c r="V2565" s="40">
        <v>0</v>
      </c>
      <c r="W2565" s="45">
        <f t="shared" si="134"/>
        <v>1236610.8642276423</v>
      </c>
      <c r="X2565" s="46">
        <f t="shared" si="135"/>
        <v>1.2733290282995049</v>
      </c>
    </row>
    <row r="2566" spans="1:24" s="4" customFormat="1" ht="15" customHeight="1">
      <c r="A2566" s="28" t="s">
        <v>3483</v>
      </c>
      <c r="B2566" s="29">
        <v>3387.15</v>
      </c>
      <c r="C2566" s="30" t="s">
        <v>3738</v>
      </c>
      <c r="D2566" s="2">
        <v>4951348211</v>
      </c>
      <c r="E2566" s="2" t="s">
        <v>14</v>
      </c>
      <c r="F2566" s="2" t="s">
        <v>3740</v>
      </c>
      <c r="G2566" s="28" t="s">
        <v>5</v>
      </c>
      <c r="H2566" s="2" t="s">
        <v>17</v>
      </c>
      <c r="I2566" s="2">
        <v>1</v>
      </c>
      <c r="J2566" s="2" t="s">
        <v>3741</v>
      </c>
      <c r="K2566" s="2">
        <v>6244</v>
      </c>
      <c r="L2566" s="35">
        <f t="shared" si="133"/>
        <v>21149364.600000001</v>
      </c>
      <c r="M2566" s="36">
        <v>1400</v>
      </c>
      <c r="N2566" s="40">
        <v>22381.902439024401</v>
      </c>
      <c r="O2566" s="40">
        <v>76499.833333333299</v>
      </c>
      <c r="P2566" s="40">
        <v>31334.663414634098</v>
      </c>
      <c r="Q2566" s="40">
        <v>18333.333333333299</v>
      </c>
      <c r="R2566" s="40">
        <v>46062.117073170702</v>
      </c>
      <c r="S2566" s="40">
        <v>24199.921951219501</v>
      </c>
      <c r="T2566" s="40">
        <v>30000</v>
      </c>
      <c r="U2566" s="40">
        <v>431910.24390243902</v>
      </c>
      <c r="V2566" s="40">
        <v>0</v>
      </c>
      <c r="W2566" s="45">
        <f t="shared" si="134"/>
        <v>680722.01544715429</v>
      </c>
      <c r="X2566" s="46">
        <f t="shared" si="135"/>
        <v>3.2186405044393354</v>
      </c>
    </row>
    <row r="2567" spans="1:24" s="4" customFormat="1" ht="15" customHeight="1">
      <c r="A2567" s="28" t="s">
        <v>3483</v>
      </c>
      <c r="B2567" s="29">
        <v>3387.15</v>
      </c>
      <c r="C2567" s="30" t="s">
        <v>3738</v>
      </c>
      <c r="D2567" s="2">
        <v>4951152059</v>
      </c>
      <c r="E2567" s="2" t="s">
        <v>14</v>
      </c>
      <c r="F2567" s="2" t="s">
        <v>3740</v>
      </c>
      <c r="G2567" s="28" t="s">
        <v>5</v>
      </c>
      <c r="H2567" s="2" t="s">
        <v>17</v>
      </c>
      <c r="I2567" s="2">
        <v>1</v>
      </c>
      <c r="J2567" s="2" t="s">
        <v>3741</v>
      </c>
      <c r="K2567" s="2">
        <v>9470.5</v>
      </c>
      <c r="L2567" s="35">
        <f t="shared" si="133"/>
        <v>32078004.074999999</v>
      </c>
      <c r="M2567" s="36">
        <v>2350</v>
      </c>
      <c r="N2567" s="40">
        <v>37569.621951219502</v>
      </c>
      <c r="O2567" s="40">
        <v>76499.833333333299</v>
      </c>
      <c r="P2567" s="40">
        <v>52597.470731707297</v>
      </c>
      <c r="Q2567" s="40">
        <v>18333.333333333299</v>
      </c>
      <c r="R2567" s="40">
        <v>77318.553658536606</v>
      </c>
      <c r="S2567" s="40">
        <v>40621.297560975603</v>
      </c>
      <c r="T2567" s="40">
        <v>30000</v>
      </c>
      <c r="U2567" s="40">
        <v>724992.19512195105</v>
      </c>
      <c r="V2567" s="40">
        <v>0</v>
      </c>
      <c r="W2567" s="45">
        <f t="shared" si="134"/>
        <v>1057932.3056910567</v>
      </c>
      <c r="X2567" s="46">
        <f t="shared" si="135"/>
        <v>3.2979991623467515</v>
      </c>
    </row>
    <row r="2568" spans="1:24" s="4" customFormat="1" ht="15" customHeight="1">
      <c r="A2568" s="28" t="s">
        <v>3483</v>
      </c>
      <c r="B2568" s="29">
        <v>3387.15</v>
      </c>
      <c r="C2568" s="30" t="s">
        <v>3742</v>
      </c>
      <c r="D2568" s="2">
        <v>4951817783</v>
      </c>
      <c r="E2568" s="2" t="s">
        <v>21</v>
      </c>
      <c r="F2568" s="2" t="s">
        <v>3743</v>
      </c>
      <c r="G2568" s="28" t="s">
        <v>9</v>
      </c>
      <c r="H2568" s="2" t="s">
        <v>23</v>
      </c>
      <c r="I2568" s="2">
        <v>6</v>
      </c>
      <c r="J2568" s="2"/>
      <c r="K2568" s="2">
        <v>1637.6</v>
      </c>
      <c r="L2568" s="35">
        <f t="shared" si="133"/>
        <v>5546796.8399999999</v>
      </c>
      <c r="M2568" s="36">
        <v>920</v>
      </c>
      <c r="N2568" s="40">
        <v>148177.3203125</v>
      </c>
      <c r="O2568" s="40">
        <v>1805</v>
      </c>
      <c r="P2568" s="40">
        <v>0</v>
      </c>
      <c r="Q2568" s="40">
        <v>44712.5</v>
      </c>
      <c r="R2568" s="40">
        <v>65955.9140625</v>
      </c>
      <c r="S2568" s="40">
        <v>63673.34375</v>
      </c>
      <c r="T2568" s="40"/>
      <c r="U2568" s="40">
        <v>374738.28125</v>
      </c>
      <c r="V2568" s="40">
        <v>0</v>
      </c>
      <c r="W2568" s="45">
        <f t="shared" si="134"/>
        <v>699062.359375</v>
      </c>
      <c r="X2568" s="46">
        <f t="shared" si="135"/>
        <v>12.602991952649198</v>
      </c>
    </row>
    <row r="2569" spans="1:24" s="4" customFormat="1" ht="15" customHeight="1">
      <c r="A2569" s="28" t="s">
        <v>3483</v>
      </c>
      <c r="B2569" s="29">
        <v>3387.15</v>
      </c>
      <c r="C2569" s="30" t="s">
        <v>3742</v>
      </c>
      <c r="D2569" s="2">
        <v>4951846704</v>
      </c>
      <c r="E2569" s="2" t="s">
        <v>21</v>
      </c>
      <c r="F2569" s="2" t="s">
        <v>3743</v>
      </c>
      <c r="G2569" s="28" t="s">
        <v>9</v>
      </c>
      <c r="H2569" s="2" t="s">
        <v>23</v>
      </c>
      <c r="I2569" s="2">
        <v>6</v>
      </c>
      <c r="J2569" s="2"/>
      <c r="K2569" s="2">
        <v>6888</v>
      </c>
      <c r="L2569" s="35">
        <f t="shared" si="133"/>
        <v>23330689.199999999</v>
      </c>
      <c r="M2569" s="36">
        <v>4200</v>
      </c>
      <c r="N2569" s="40">
        <v>676461.6796875</v>
      </c>
      <c r="O2569" s="40">
        <v>1805</v>
      </c>
      <c r="P2569" s="40">
        <v>0</v>
      </c>
      <c r="Q2569" s="40">
        <v>44712.5</v>
      </c>
      <c r="R2569" s="40">
        <v>301103.0859375</v>
      </c>
      <c r="S2569" s="40">
        <v>290682.65625</v>
      </c>
      <c r="T2569" s="40"/>
      <c r="U2569" s="40">
        <v>1710761.71875</v>
      </c>
      <c r="V2569" s="40">
        <v>0</v>
      </c>
      <c r="W2569" s="45">
        <f t="shared" si="134"/>
        <v>3025526.640625</v>
      </c>
      <c r="X2569" s="46">
        <f t="shared" si="135"/>
        <v>12.968012280687363</v>
      </c>
    </row>
    <row r="2570" spans="1:24" s="4" customFormat="1" ht="15" customHeight="1">
      <c r="A2570" s="28" t="s">
        <v>3483</v>
      </c>
      <c r="B2570" s="29">
        <v>3387.15</v>
      </c>
      <c r="C2570" s="30" t="s">
        <v>3744</v>
      </c>
      <c r="D2570" s="2">
        <v>4951895936</v>
      </c>
      <c r="E2570" s="2" t="s">
        <v>14</v>
      </c>
      <c r="F2570" s="2" t="s">
        <v>3745</v>
      </c>
      <c r="G2570" s="28" t="s">
        <v>5</v>
      </c>
      <c r="H2570" s="2" t="s">
        <v>35</v>
      </c>
      <c r="I2570" s="2">
        <v>1</v>
      </c>
      <c r="J2570" s="2" t="s">
        <v>3746</v>
      </c>
      <c r="K2570" s="2">
        <v>554.78</v>
      </c>
      <c r="L2570" s="35">
        <f t="shared" si="133"/>
        <v>1879123.077</v>
      </c>
      <c r="M2570" s="36">
        <v>75</v>
      </c>
      <c r="N2570" s="40">
        <v>1863.5424564063701</v>
      </c>
      <c r="O2570" s="40">
        <v>30599.933333333302</v>
      </c>
      <c r="P2570" s="40">
        <v>2174.1300227444999</v>
      </c>
      <c r="Q2570" s="40">
        <v>7333.3333333333303</v>
      </c>
      <c r="R2570" s="40">
        <f>9662.50758150114+1553</f>
        <v>11215.507581501141</v>
      </c>
      <c r="S2570" s="40">
        <v>2014.9128127369199</v>
      </c>
      <c r="T2570" s="40">
        <v>30000</v>
      </c>
      <c r="U2570" s="40">
        <v>45321.266110689903</v>
      </c>
      <c r="V2570" s="40">
        <v>0</v>
      </c>
      <c r="W2570" s="45">
        <f t="shared" si="134"/>
        <v>130522.62565074547</v>
      </c>
      <c r="X2570" s="46">
        <f t="shared" si="135"/>
        <v>6.9459327730210978</v>
      </c>
    </row>
    <row r="2571" spans="1:24" s="4" customFormat="1" ht="15" customHeight="1">
      <c r="A2571" s="28" t="s">
        <v>3483</v>
      </c>
      <c r="B2571" s="29">
        <v>3387.15</v>
      </c>
      <c r="C2571" s="30" t="s">
        <v>3744</v>
      </c>
      <c r="D2571" s="2">
        <v>4951152059</v>
      </c>
      <c r="E2571" s="2" t="s">
        <v>14</v>
      </c>
      <c r="F2571" s="2" t="s">
        <v>3745</v>
      </c>
      <c r="G2571" s="28" t="s">
        <v>5</v>
      </c>
      <c r="H2571" s="2" t="s">
        <v>35</v>
      </c>
      <c r="I2571" s="2">
        <v>1</v>
      </c>
      <c r="J2571" s="2" t="s">
        <v>3746</v>
      </c>
      <c r="K2571" s="2">
        <v>4382</v>
      </c>
      <c r="L2571" s="35">
        <f t="shared" si="133"/>
        <v>14842491.300000001</v>
      </c>
      <c r="M2571" s="36">
        <v>1400</v>
      </c>
      <c r="N2571" s="40">
        <v>34786.1258529189</v>
      </c>
      <c r="O2571" s="40">
        <v>30599.933333333302</v>
      </c>
      <c r="P2571" s="40">
        <v>40583.760424564098</v>
      </c>
      <c r="Q2571" s="40">
        <v>7333.3333333333303</v>
      </c>
      <c r="R2571" s="40">
        <f>180366.808188021+28998</f>
        <v>209364.80818802101</v>
      </c>
      <c r="S2571" s="40">
        <v>37611.705837755901</v>
      </c>
      <c r="T2571" s="40">
        <v>30000</v>
      </c>
      <c r="U2571" s="40">
        <v>845996.96739954501</v>
      </c>
      <c r="V2571" s="40">
        <v>0</v>
      </c>
      <c r="W2571" s="45">
        <f t="shared" si="134"/>
        <v>1236276.6343694716</v>
      </c>
      <c r="X2571" s="46">
        <f t="shared" si="135"/>
        <v>8.3293067813317254</v>
      </c>
    </row>
    <row r="2572" spans="1:24" s="4" customFormat="1" ht="15" customHeight="1">
      <c r="A2572" s="28" t="s">
        <v>3483</v>
      </c>
      <c r="B2572" s="29">
        <v>3387.15</v>
      </c>
      <c r="C2572" s="30" t="s">
        <v>3744</v>
      </c>
      <c r="D2572" s="2">
        <v>4951152067</v>
      </c>
      <c r="E2572" s="2" t="s">
        <v>14</v>
      </c>
      <c r="F2572" s="2" t="s">
        <v>3745</v>
      </c>
      <c r="G2572" s="28" t="s">
        <v>5</v>
      </c>
      <c r="H2572" s="2" t="s">
        <v>35</v>
      </c>
      <c r="I2572" s="2">
        <v>1</v>
      </c>
      <c r="J2572" s="2" t="s">
        <v>3746</v>
      </c>
      <c r="K2572" s="2">
        <v>7700</v>
      </c>
      <c r="L2572" s="35">
        <f t="shared" si="133"/>
        <v>26081055</v>
      </c>
      <c r="M2572" s="36">
        <v>1400</v>
      </c>
      <c r="N2572" s="40">
        <v>34786.1258529189</v>
      </c>
      <c r="O2572" s="40">
        <v>30599.933333333302</v>
      </c>
      <c r="P2572" s="40">
        <v>40583.760424564098</v>
      </c>
      <c r="Q2572" s="40">
        <v>7333.3333333333303</v>
      </c>
      <c r="R2572" s="40">
        <f>180366.808188021+28998</f>
        <v>209364.80818802101</v>
      </c>
      <c r="S2572" s="40">
        <v>37611.705837755901</v>
      </c>
      <c r="T2572" s="40">
        <v>30000</v>
      </c>
      <c r="U2572" s="40">
        <v>845996.96739954501</v>
      </c>
      <c r="V2572" s="40">
        <v>0</v>
      </c>
      <c r="W2572" s="45">
        <f t="shared" si="134"/>
        <v>1236276.6343694716</v>
      </c>
      <c r="X2572" s="46">
        <f t="shared" si="135"/>
        <v>4.7401327682851466</v>
      </c>
    </row>
    <row r="2573" spans="1:24" s="4" customFormat="1" ht="15" customHeight="1">
      <c r="A2573" s="28" t="s">
        <v>3483</v>
      </c>
      <c r="B2573" s="29">
        <v>3387.15</v>
      </c>
      <c r="C2573" s="30" t="s">
        <v>3744</v>
      </c>
      <c r="D2573" s="2">
        <v>4951798427</v>
      </c>
      <c r="E2573" s="2" t="s">
        <v>14</v>
      </c>
      <c r="F2573" s="2" t="s">
        <v>3745</v>
      </c>
      <c r="G2573" s="28" t="s">
        <v>5</v>
      </c>
      <c r="H2573" s="2" t="s">
        <v>35</v>
      </c>
      <c r="I2573" s="2">
        <v>1</v>
      </c>
      <c r="J2573" s="2" t="s">
        <v>3746</v>
      </c>
      <c r="K2573" s="2">
        <v>5912.2</v>
      </c>
      <c r="L2573" s="35">
        <f t="shared" si="133"/>
        <v>20025508.23</v>
      </c>
      <c r="M2573" s="36">
        <v>820</v>
      </c>
      <c r="N2573" s="40">
        <v>20374.730856709601</v>
      </c>
      <c r="O2573" s="40">
        <v>30599.933333333302</v>
      </c>
      <c r="P2573" s="40">
        <v>23770.488248673199</v>
      </c>
      <c r="Q2573" s="40">
        <v>7333.3333333333303</v>
      </c>
      <c r="R2573" s="40">
        <f>105643.416224412+16979</f>
        <v>122622.41622441199</v>
      </c>
      <c r="S2573" s="40">
        <v>22029.713419257001</v>
      </c>
      <c r="T2573" s="40">
        <v>30000</v>
      </c>
      <c r="U2573" s="40">
        <v>495512.509476876</v>
      </c>
      <c r="V2573" s="40">
        <v>0</v>
      </c>
      <c r="W2573" s="45">
        <f t="shared" si="134"/>
        <v>752243.12489259441</v>
      </c>
      <c r="X2573" s="46">
        <f t="shared" si="135"/>
        <v>3.7564246372816994</v>
      </c>
    </row>
    <row r="2574" spans="1:24" s="4" customFormat="1" ht="15" customHeight="1">
      <c r="A2574" s="28" t="s">
        <v>3483</v>
      </c>
      <c r="B2574" s="29">
        <v>3387.15</v>
      </c>
      <c r="C2574" s="30" t="s">
        <v>3744</v>
      </c>
      <c r="D2574" s="2">
        <v>4951874476</v>
      </c>
      <c r="E2574" s="2" t="s">
        <v>14</v>
      </c>
      <c r="F2574" s="2" t="s">
        <v>3745</v>
      </c>
      <c r="G2574" s="28" t="s">
        <v>5</v>
      </c>
      <c r="H2574" s="2" t="s">
        <v>35</v>
      </c>
      <c r="I2574" s="2">
        <v>1</v>
      </c>
      <c r="J2574" s="2" t="s">
        <v>3746</v>
      </c>
      <c r="K2574" s="2">
        <v>2415</v>
      </c>
      <c r="L2574" s="35">
        <f t="shared" si="133"/>
        <v>8179967.25</v>
      </c>
      <c r="M2574" s="36">
        <v>525</v>
      </c>
      <c r="N2574" s="40">
        <v>13044.797194844599</v>
      </c>
      <c r="O2574" s="40">
        <v>30599.933333333302</v>
      </c>
      <c r="P2574" s="40">
        <v>15218.9101592115</v>
      </c>
      <c r="Q2574" s="40">
        <v>7333.3333333333303</v>
      </c>
      <c r="R2574" s="40">
        <f>67637.553070508+10871</f>
        <v>78508.553070508002</v>
      </c>
      <c r="S2574" s="40">
        <v>14104.389689158499</v>
      </c>
      <c r="T2574" s="40">
        <v>30000</v>
      </c>
      <c r="U2574" s="40">
        <v>317248.86277482897</v>
      </c>
      <c r="V2574" s="40">
        <v>0</v>
      </c>
      <c r="W2574" s="45">
        <f t="shared" si="134"/>
        <v>506058.77955521818</v>
      </c>
      <c r="X2574" s="46">
        <f t="shared" si="135"/>
        <v>6.186562416313075</v>
      </c>
    </row>
    <row r="2575" spans="1:24" s="4" customFormat="1" ht="15" customHeight="1">
      <c r="A2575" s="28" t="s">
        <v>3483</v>
      </c>
      <c r="B2575" s="29">
        <v>3387.15</v>
      </c>
      <c r="C2575" s="30" t="s">
        <v>3744</v>
      </c>
      <c r="D2575" s="2">
        <v>4951874476</v>
      </c>
      <c r="E2575" s="2" t="s">
        <v>14</v>
      </c>
      <c r="F2575" s="2" t="s">
        <v>3745</v>
      </c>
      <c r="G2575" s="28" t="s">
        <v>5</v>
      </c>
      <c r="H2575" s="2" t="s">
        <v>35</v>
      </c>
      <c r="I2575" s="2">
        <v>1</v>
      </c>
      <c r="J2575" s="2" t="s">
        <v>3746</v>
      </c>
      <c r="K2575" s="2">
        <v>2057.6999999999998</v>
      </c>
      <c r="L2575" s="35">
        <f t="shared" si="133"/>
        <v>6969738.5549999997</v>
      </c>
      <c r="M2575" s="36">
        <v>190</v>
      </c>
      <c r="N2575" s="40">
        <v>4720.9742228961304</v>
      </c>
      <c r="O2575" s="40">
        <v>30599.933333333302</v>
      </c>
      <c r="P2575" s="40">
        <v>5507.79605761941</v>
      </c>
      <c r="Q2575" s="40">
        <v>7333.3333333333303</v>
      </c>
      <c r="R2575" s="40">
        <f>24478.3525398029+3934</f>
        <v>28412.352539802901</v>
      </c>
      <c r="S2575" s="40">
        <v>5104.4457922668698</v>
      </c>
      <c r="T2575" s="40">
        <v>30000</v>
      </c>
      <c r="U2575" s="40">
        <v>114813.87414708101</v>
      </c>
      <c r="V2575" s="40">
        <v>0</v>
      </c>
      <c r="W2575" s="45">
        <f t="shared" si="134"/>
        <v>226492.70942633296</v>
      </c>
      <c r="X2575" s="46">
        <f t="shared" si="135"/>
        <v>3.2496586154418958</v>
      </c>
    </row>
    <row r="2576" spans="1:24" s="4" customFormat="1" ht="15" customHeight="1">
      <c r="A2576" s="28" t="s">
        <v>3483</v>
      </c>
      <c r="B2576" s="29">
        <v>3387.15</v>
      </c>
      <c r="C2576" s="30" t="s">
        <v>3744</v>
      </c>
      <c r="D2576" s="2">
        <v>4951798412</v>
      </c>
      <c r="E2576" s="2" t="s">
        <v>14</v>
      </c>
      <c r="F2576" s="2" t="s">
        <v>3745</v>
      </c>
      <c r="G2576" s="28" t="s">
        <v>5</v>
      </c>
      <c r="H2576" s="2" t="s">
        <v>35</v>
      </c>
      <c r="I2576" s="2">
        <v>1</v>
      </c>
      <c r="J2576" s="2" t="s">
        <v>3746</v>
      </c>
      <c r="K2576" s="2">
        <v>7411.5</v>
      </c>
      <c r="L2576" s="35">
        <f t="shared" si="133"/>
        <v>25103862.225000001</v>
      </c>
      <c r="M2576" s="36">
        <v>2025</v>
      </c>
      <c r="N2576" s="40">
        <v>50315.646322972003</v>
      </c>
      <c r="O2576" s="40">
        <v>30599.933333333302</v>
      </c>
      <c r="P2576" s="40">
        <v>58701.5106141016</v>
      </c>
      <c r="Q2576" s="40">
        <v>7333.3333333333303</v>
      </c>
      <c r="R2576" s="40">
        <f>260887.704700531+41930</f>
        <v>302817.70470053097</v>
      </c>
      <c r="S2576" s="40">
        <v>54402.645943896903</v>
      </c>
      <c r="T2576" s="40">
        <v>30000</v>
      </c>
      <c r="U2576" s="40">
        <v>1223674.18498863</v>
      </c>
      <c r="V2576" s="40">
        <v>0</v>
      </c>
      <c r="W2576" s="45">
        <f t="shared" si="134"/>
        <v>1757844.9592367981</v>
      </c>
      <c r="X2576" s="46">
        <f t="shared" si="135"/>
        <v>7.0022889047177195</v>
      </c>
    </row>
    <row r="2577" spans="1:24" s="4" customFormat="1" ht="15" customHeight="1">
      <c r="A2577" s="28" t="s">
        <v>3483</v>
      </c>
      <c r="B2577" s="29">
        <v>3387.15</v>
      </c>
      <c r="C2577" s="30" t="s">
        <v>3744</v>
      </c>
      <c r="D2577" s="2">
        <v>4951798412</v>
      </c>
      <c r="E2577" s="2" t="s">
        <v>14</v>
      </c>
      <c r="F2577" s="2" t="s">
        <v>3745</v>
      </c>
      <c r="G2577" s="28" t="s">
        <v>5</v>
      </c>
      <c r="H2577" s="2" t="s">
        <v>35</v>
      </c>
      <c r="I2577" s="2">
        <v>1</v>
      </c>
      <c r="J2577" s="2" t="s">
        <v>3746</v>
      </c>
      <c r="K2577" s="2">
        <v>2107.4</v>
      </c>
      <c r="L2577" s="35">
        <f t="shared" si="133"/>
        <v>7138079.9100000001</v>
      </c>
      <c r="M2577" s="36">
        <v>820</v>
      </c>
      <c r="N2577" s="40">
        <v>20374.730856709601</v>
      </c>
      <c r="O2577" s="40">
        <v>30599.933333333302</v>
      </c>
      <c r="P2577" s="40">
        <v>23770.488248673199</v>
      </c>
      <c r="Q2577" s="40">
        <v>7333.3333333333303</v>
      </c>
      <c r="R2577" s="40">
        <f>105643.416224412+16979</f>
        <v>122622.41622441199</v>
      </c>
      <c r="S2577" s="40">
        <v>22029.713419257001</v>
      </c>
      <c r="T2577" s="40">
        <v>30000</v>
      </c>
      <c r="U2577" s="40">
        <v>495512.509476876</v>
      </c>
      <c r="V2577" s="40">
        <v>0</v>
      </c>
      <c r="W2577" s="45">
        <f t="shared" si="134"/>
        <v>752243.12489259441</v>
      </c>
      <c r="X2577" s="46">
        <f t="shared" si="135"/>
        <v>10.538451997977063</v>
      </c>
    </row>
    <row r="2578" spans="1:24" s="4" customFormat="1" ht="15" customHeight="1">
      <c r="A2578" s="28" t="s">
        <v>3483</v>
      </c>
      <c r="B2578" s="29">
        <v>3387.15</v>
      </c>
      <c r="C2578" s="30" t="s">
        <v>3744</v>
      </c>
      <c r="D2578" s="2">
        <v>4951798412</v>
      </c>
      <c r="E2578" s="2" t="s">
        <v>14</v>
      </c>
      <c r="F2578" s="2" t="s">
        <v>3745</v>
      </c>
      <c r="G2578" s="28" t="s">
        <v>5</v>
      </c>
      <c r="H2578" s="2" t="s">
        <v>35</v>
      </c>
      <c r="I2578" s="2">
        <v>1</v>
      </c>
      <c r="J2578" s="2" t="s">
        <v>3746</v>
      </c>
      <c r="K2578" s="2">
        <v>9226.7999999999993</v>
      </c>
      <c r="L2578" s="35">
        <f t="shared" si="133"/>
        <v>31252555.619999997</v>
      </c>
      <c r="M2578" s="36">
        <v>1320</v>
      </c>
      <c r="N2578" s="40">
        <v>32798.347232752101</v>
      </c>
      <c r="O2578" s="40">
        <v>30599.933333333302</v>
      </c>
      <c r="P2578" s="40">
        <v>38264.688400303297</v>
      </c>
      <c r="Q2578" s="40">
        <v>7333.3333333333303</v>
      </c>
      <c r="R2578" s="40">
        <f>170060.13343442+27332</f>
        <v>197392.13343441999</v>
      </c>
      <c r="S2578" s="40">
        <v>35462.465504169799</v>
      </c>
      <c r="T2578" s="40">
        <v>30000</v>
      </c>
      <c r="U2578" s="40">
        <v>797654.28354814299</v>
      </c>
      <c r="V2578" s="40">
        <v>0</v>
      </c>
      <c r="W2578" s="45">
        <f t="shared" si="134"/>
        <v>1169505.1847864548</v>
      </c>
      <c r="X2578" s="46">
        <f t="shared" si="135"/>
        <v>3.7421105621136235</v>
      </c>
    </row>
    <row r="2579" spans="1:24" s="4" customFormat="1" ht="15" customHeight="1">
      <c r="A2579" s="28" t="s">
        <v>3483</v>
      </c>
      <c r="B2579" s="29">
        <v>3387.15</v>
      </c>
      <c r="C2579" s="30" t="s">
        <v>3744</v>
      </c>
      <c r="D2579" s="2">
        <v>4951574747</v>
      </c>
      <c r="E2579" s="2" t="s">
        <v>14</v>
      </c>
      <c r="F2579" s="2" t="s">
        <v>3745</v>
      </c>
      <c r="G2579" s="28" t="s">
        <v>5</v>
      </c>
      <c r="H2579" s="2" t="s">
        <v>35</v>
      </c>
      <c r="I2579" s="2">
        <v>1</v>
      </c>
      <c r="J2579" s="2" t="s">
        <v>3746</v>
      </c>
      <c r="K2579" s="2">
        <v>2462.25</v>
      </c>
      <c r="L2579" s="35">
        <f t="shared" si="133"/>
        <v>8340010.0875000004</v>
      </c>
      <c r="M2579" s="36">
        <v>525</v>
      </c>
      <c r="N2579" s="40">
        <v>13044.797194844599</v>
      </c>
      <c r="O2579" s="40">
        <v>30599.933333333302</v>
      </c>
      <c r="P2579" s="40">
        <v>15218.9101592115</v>
      </c>
      <c r="Q2579" s="40">
        <v>7333.3333333333303</v>
      </c>
      <c r="R2579" s="40">
        <f>67637.553070508+10871</f>
        <v>78508.553070508002</v>
      </c>
      <c r="S2579" s="40">
        <v>14104.389689158499</v>
      </c>
      <c r="T2579" s="40">
        <v>30000</v>
      </c>
      <c r="U2579" s="40">
        <v>317248.86277482897</v>
      </c>
      <c r="V2579" s="40">
        <v>0</v>
      </c>
      <c r="W2579" s="45">
        <f t="shared" si="134"/>
        <v>506058.77955521818</v>
      </c>
      <c r="X2579" s="46">
        <f t="shared" si="135"/>
        <v>6.067843734550137</v>
      </c>
    </row>
    <row r="2580" spans="1:24" s="4" customFormat="1" ht="15" customHeight="1">
      <c r="A2580" s="28" t="s">
        <v>3483</v>
      </c>
      <c r="B2580" s="29">
        <v>3387.15</v>
      </c>
      <c r="C2580" s="30" t="s">
        <v>3744</v>
      </c>
      <c r="D2580" s="2">
        <v>4951798412</v>
      </c>
      <c r="E2580" s="2" t="s">
        <v>14</v>
      </c>
      <c r="F2580" s="2" t="s">
        <v>3745</v>
      </c>
      <c r="G2580" s="28" t="s">
        <v>5</v>
      </c>
      <c r="H2580" s="2" t="s">
        <v>35</v>
      </c>
      <c r="I2580" s="2">
        <v>1</v>
      </c>
      <c r="J2580" s="2" t="s">
        <v>3746</v>
      </c>
      <c r="K2580" s="2">
        <v>3465</v>
      </c>
      <c r="L2580" s="35">
        <f t="shared" si="133"/>
        <v>11736474.75</v>
      </c>
      <c r="M2580" s="36">
        <v>700</v>
      </c>
      <c r="N2580" s="40">
        <v>17393.062926459399</v>
      </c>
      <c r="O2580" s="40">
        <v>30599.933333333302</v>
      </c>
      <c r="P2580" s="40">
        <v>20291.880212282002</v>
      </c>
      <c r="Q2580" s="40">
        <v>7333.3333333333303</v>
      </c>
      <c r="R2580" s="40">
        <f>90183.4040940106+14494</f>
        <v>104677.40409401061</v>
      </c>
      <c r="S2580" s="40">
        <v>18805.852918877899</v>
      </c>
      <c r="T2580" s="40">
        <v>30000</v>
      </c>
      <c r="U2580" s="40">
        <v>422998.48369977297</v>
      </c>
      <c r="V2580" s="40">
        <v>0</v>
      </c>
      <c r="W2580" s="45">
        <f t="shared" si="134"/>
        <v>652099.95051806956</v>
      </c>
      <c r="X2580" s="46">
        <f t="shared" si="135"/>
        <v>5.5561824517883416</v>
      </c>
    </row>
    <row r="2581" spans="1:24" s="4" customFormat="1" ht="15" customHeight="1">
      <c r="A2581" s="28" t="s">
        <v>3483</v>
      </c>
      <c r="B2581" s="29">
        <v>3387.15</v>
      </c>
      <c r="C2581" s="30" t="s">
        <v>3744</v>
      </c>
      <c r="D2581" s="2" t="s">
        <v>3747</v>
      </c>
      <c r="E2581" s="2" t="s">
        <v>14</v>
      </c>
      <c r="F2581" s="2" t="s">
        <v>3745</v>
      </c>
      <c r="G2581" s="28" t="s">
        <v>5</v>
      </c>
      <c r="H2581" s="2" t="s">
        <v>35</v>
      </c>
      <c r="I2581" s="2">
        <v>1</v>
      </c>
      <c r="J2581" s="2" t="s">
        <v>3746</v>
      </c>
      <c r="K2581" s="2">
        <v>5724</v>
      </c>
      <c r="L2581" s="35">
        <f t="shared" si="133"/>
        <v>19388046.600000001</v>
      </c>
      <c r="M2581" s="36">
        <v>1080</v>
      </c>
      <c r="N2581" s="40">
        <v>26835.011372251702</v>
      </c>
      <c r="O2581" s="40">
        <v>30599.933333333302</v>
      </c>
      <c r="P2581" s="40">
        <v>31307.472327520802</v>
      </c>
      <c r="Q2581" s="40">
        <v>7333.3333333333303</v>
      </c>
      <c r="R2581" s="40">
        <f>139140.109173616+22363</f>
        <v>161503.10917361599</v>
      </c>
      <c r="S2581" s="40">
        <v>29014.744503411701</v>
      </c>
      <c r="T2581" s="40">
        <v>30000</v>
      </c>
      <c r="U2581" s="40">
        <v>652626.23199393495</v>
      </c>
      <c r="V2581" s="40">
        <v>0</v>
      </c>
      <c r="W2581" s="45">
        <f t="shared" si="134"/>
        <v>969219.83603740181</v>
      </c>
      <c r="X2581" s="46">
        <f t="shared" si="135"/>
        <v>4.9990587295029592</v>
      </c>
    </row>
    <row r="2582" spans="1:24" s="4" customFormat="1" ht="15" customHeight="1">
      <c r="A2582" s="28" t="s">
        <v>3483</v>
      </c>
      <c r="B2582" s="29">
        <v>3387.15</v>
      </c>
      <c r="C2582" s="30" t="s">
        <v>3744</v>
      </c>
      <c r="D2582" s="2">
        <v>4951348240</v>
      </c>
      <c r="E2582" s="2" t="s">
        <v>14</v>
      </c>
      <c r="F2582" s="2" t="s">
        <v>3745</v>
      </c>
      <c r="G2582" s="28" t="s">
        <v>5</v>
      </c>
      <c r="H2582" s="2" t="s">
        <v>35</v>
      </c>
      <c r="I2582" s="2">
        <v>1</v>
      </c>
      <c r="J2582" s="2" t="s">
        <v>3746</v>
      </c>
      <c r="K2582" s="2">
        <v>5166</v>
      </c>
      <c r="L2582" s="35">
        <f t="shared" si="133"/>
        <v>17498016.900000002</v>
      </c>
      <c r="M2582" s="36">
        <v>2100</v>
      </c>
      <c r="N2582" s="40">
        <v>52179.188779378303</v>
      </c>
      <c r="O2582" s="40">
        <v>30599.933333333302</v>
      </c>
      <c r="P2582" s="40">
        <v>60875.640636846103</v>
      </c>
      <c r="Q2582" s="40">
        <v>7333.3333333333303</v>
      </c>
      <c r="R2582" s="40">
        <f>270550.212282032+43483</f>
        <v>314033.21228203201</v>
      </c>
      <c r="S2582" s="40">
        <v>56417.5587566338</v>
      </c>
      <c r="T2582" s="40">
        <v>30000</v>
      </c>
      <c r="U2582" s="40">
        <v>1268995.4510993201</v>
      </c>
      <c r="V2582" s="40">
        <v>0</v>
      </c>
      <c r="W2582" s="45">
        <f t="shared" si="134"/>
        <v>1820434.3182208769</v>
      </c>
      <c r="X2582" s="46">
        <f t="shared" si="135"/>
        <v>10.403660761242474</v>
      </c>
    </row>
    <row r="2583" spans="1:24" s="4" customFormat="1" ht="15" customHeight="1">
      <c r="A2583" s="28" t="s">
        <v>3483</v>
      </c>
      <c r="B2583" s="29">
        <v>3387.15</v>
      </c>
      <c r="C2583" s="30" t="s">
        <v>3744</v>
      </c>
      <c r="D2583" s="2">
        <v>4951798410</v>
      </c>
      <c r="E2583" s="2" t="s">
        <v>14</v>
      </c>
      <c r="F2583" s="2" t="s">
        <v>3745</v>
      </c>
      <c r="G2583" s="28" t="s">
        <v>5</v>
      </c>
      <c r="H2583" s="2" t="s">
        <v>35</v>
      </c>
      <c r="I2583" s="2">
        <v>1</v>
      </c>
      <c r="J2583" s="2" t="s">
        <v>3746</v>
      </c>
      <c r="K2583" s="2">
        <v>1658</v>
      </c>
      <c r="L2583" s="35">
        <f t="shared" si="133"/>
        <v>5615894.7000000002</v>
      </c>
      <c r="M2583" s="36">
        <v>200</v>
      </c>
      <c r="N2583" s="40">
        <v>4969.4465504169802</v>
      </c>
      <c r="O2583" s="40">
        <v>30599.933333333302</v>
      </c>
      <c r="P2583" s="40">
        <v>5797.6800606520101</v>
      </c>
      <c r="Q2583" s="40">
        <v>7333.3333333333303</v>
      </c>
      <c r="R2583" s="40">
        <f>25766.686884003+4141</f>
        <v>29907.686884003</v>
      </c>
      <c r="S2583" s="40">
        <v>5373.1008339651298</v>
      </c>
      <c r="T2583" s="40">
        <v>30000</v>
      </c>
      <c r="U2583" s="40">
        <v>120856.709628506</v>
      </c>
      <c r="V2583" s="40">
        <v>0</v>
      </c>
      <c r="W2583" s="45">
        <f t="shared" si="134"/>
        <v>234837.89062420974</v>
      </c>
      <c r="X2583" s="46">
        <f t="shared" si="135"/>
        <v>4.1816647777282885</v>
      </c>
    </row>
    <row r="2584" spans="1:24" s="4" customFormat="1" ht="15" customHeight="1">
      <c r="A2584" s="28" t="s">
        <v>3483</v>
      </c>
      <c r="B2584" s="29">
        <v>3387.15</v>
      </c>
      <c r="C2584" s="30" t="s">
        <v>3744</v>
      </c>
      <c r="D2584" s="2">
        <v>4952083915</v>
      </c>
      <c r="E2584" s="2" t="s">
        <v>14</v>
      </c>
      <c r="F2584" s="2" t="s">
        <v>3745</v>
      </c>
      <c r="G2584" s="28" t="s">
        <v>5</v>
      </c>
      <c r="H2584" s="2" t="s">
        <v>35</v>
      </c>
      <c r="I2584" s="2">
        <v>1</v>
      </c>
      <c r="J2584" s="2" t="s">
        <v>3746</v>
      </c>
      <c r="K2584" s="2">
        <v>148.24</v>
      </c>
      <c r="L2584" s="35">
        <f t="shared" si="133"/>
        <v>502111.11600000004</v>
      </c>
      <c r="M2584" s="36">
        <v>10</v>
      </c>
      <c r="N2584" s="40">
        <v>248.47232752084901</v>
      </c>
      <c r="O2584" s="40">
        <v>30599.933333333302</v>
      </c>
      <c r="P2584" s="40">
        <v>289.88400303259999</v>
      </c>
      <c r="Q2584" s="40">
        <v>7333.3333333333303</v>
      </c>
      <c r="R2584" s="40">
        <f>1288.33434420015+207</f>
        <v>1495.3343442001501</v>
      </c>
      <c r="S2584" s="40">
        <v>268.65504169825601</v>
      </c>
      <c r="T2584" s="40">
        <v>30000</v>
      </c>
      <c r="U2584" s="40">
        <v>6042.8354814253198</v>
      </c>
      <c r="V2584" s="40">
        <v>0</v>
      </c>
      <c r="W2584" s="45">
        <f t="shared" si="134"/>
        <v>76278.447864543807</v>
      </c>
      <c r="X2584" s="46">
        <f t="shared" si="135"/>
        <v>15.191547335618797</v>
      </c>
    </row>
    <row r="2585" spans="1:24" s="4" customFormat="1" ht="15" customHeight="1">
      <c r="A2585" s="28" t="s">
        <v>3483</v>
      </c>
      <c r="B2585" s="29">
        <v>3387.15</v>
      </c>
      <c r="C2585" s="30" t="s">
        <v>3748</v>
      </c>
      <c r="D2585" s="2">
        <v>4950958066</v>
      </c>
      <c r="E2585" s="2" t="s">
        <v>6</v>
      </c>
      <c r="F2585" s="2" t="s">
        <v>3749</v>
      </c>
      <c r="G2585" s="28" t="s">
        <v>5</v>
      </c>
      <c r="H2585" s="2" t="s">
        <v>17</v>
      </c>
      <c r="I2585" s="2">
        <v>1</v>
      </c>
      <c r="J2585" s="2" t="s">
        <v>3750</v>
      </c>
      <c r="K2585" s="2">
        <v>23918.400000000001</v>
      </c>
      <c r="L2585" s="35">
        <f t="shared" ref="L2585:L2648" si="137">B2585*K2585</f>
        <v>81015208.560000002</v>
      </c>
      <c r="M2585" s="36">
        <v>7920</v>
      </c>
      <c r="N2585" s="40">
        <v>339581</v>
      </c>
      <c r="O2585" s="40">
        <v>458999</v>
      </c>
      <c r="P2585" s="40">
        <v>0</v>
      </c>
      <c r="Q2585" s="40">
        <v>110000</v>
      </c>
      <c r="R2585" s="40">
        <v>963931</v>
      </c>
      <c r="S2585" s="40">
        <v>354356</v>
      </c>
      <c r="T2585" s="40">
        <v>30000</v>
      </c>
      <c r="U2585" s="40">
        <v>4719050</v>
      </c>
      <c r="V2585" s="40">
        <v>0</v>
      </c>
      <c r="W2585" s="45">
        <f t="shared" ref="W2585:W2648" si="138">+SUM(N2585:V2585)</f>
        <v>6975917</v>
      </c>
      <c r="X2585" s="46">
        <f t="shared" ref="X2585:X2648" si="139">(W2585/L2585)*100</f>
        <v>8.6106264786489106</v>
      </c>
    </row>
    <row r="2586" spans="1:24" s="4" customFormat="1" ht="15" customHeight="1">
      <c r="A2586" s="28" t="s">
        <v>3483</v>
      </c>
      <c r="B2586" s="29">
        <v>3387.15</v>
      </c>
      <c r="C2586" s="30" t="s">
        <v>3751</v>
      </c>
      <c r="D2586" s="2">
        <v>4952077935</v>
      </c>
      <c r="E2586" s="2" t="s">
        <v>18</v>
      </c>
      <c r="F2586" s="2" t="s">
        <v>3752</v>
      </c>
      <c r="G2586" s="28" t="s">
        <v>9</v>
      </c>
      <c r="H2586" s="2" t="s">
        <v>23</v>
      </c>
      <c r="I2586" s="2">
        <v>2</v>
      </c>
      <c r="J2586" s="2"/>
      <c r="K2586" s="2">
        <v>6100</v>
      </c>
      <c r="L2586" s="35">
        <f t="shared" si="137"/>
        <v>20661615</v>
      </c>
      <c r="M2586" s="36">
        <v>2000</v>
      </c>
      <c r="N2586" s="40">
        <v>612285</v>
      </c>
      <c r="O2586" s="40">
        <v>1407</v>
      </c>
      <c r="P2586" s="40">
        <v>0</v>
      </c>
      <c r="Q2586" s="40">
        <v>32545</v>
      </c>
      <c r="R2586" s="40">
        <v>123170</v>
      </c>
      <c r="S2586" s="40">
        <v>354356</v>
      </c>
      <c r="T2586" s="40">
        <v>30000</v>
      </c>
      <c r="U2586" s="40">
        <v>931026.78571428603</v>
      </c>
      <c r="V2586" s="40">
        <v>0</v>
      </c>
      <c r="W2586" s="45">
        <f t="shared" si="138"/>
        <v>2084789.7857142859</v>
      </c>
      <c r="X2586" s="46">
        <f t="shared" si="139"/>
        <v>10.090158904394869</v>
      </c>
    </row>
    <row r="2587" spans="1:24" s="4" customFormat="1" ht="15" customHeight="1">
      <c r="A2587" s="28" t="s">
        <v>3483</v>
      </c>
      <c r="B2587" s="29">
        <v>3387.15</v>
      </c>
      <c r="C2587" s="30" t="s">
        <v>3753</v>
      </c>
      <c r="D2587" s="2">
        <v>4948417580</v>
      </c>
      <c r="E2587" s="2" t="s">
        <v>10</v>
      </c>
      <c r="F2587" s="2" t="s">
        <v>3754</v>
      </c>
      <c r="G2587" s="28" t="s">
        <v>5</v>
      </c>
      <c r="H2587" s="2" t="s">
        <v>17</v>
      </c>
      <c r="I2587" s="2">
        <v>1</v>
      </c>
      <c r="J2587" s="2" t="s">
        <v>3755</v>
      </c>
      <c r="K2587" s="2">
        <v>61272</v>
      </c>
      <c r="L2587" s="35">
        <f t="shared" si="137"/>
        <v>207537454.80000001</v>
      </c>
      <c r="M2587" s="36">
        <v>16560</v>
      </c>
      <c r="N2587" s="40">
        <v>326145</v>
      </c>
      <c r="O2587" s="40">
        <v>458999</v>
      </c>
      <c r="P2587" s="40">
        <v>0</v>
      </c>
      <c r="Q2587" s="40">
        <v>110000</v>
      </c>
      <c r="R2587" s="40">
        <v>935840</v>
      </c>
      <c r="S2587" s="40">
        <v>708712</v>
      </c>
      <c r="T2587" s="40"/>
      <c r="U2587" s="40">
        <v>1600500</v>
      </c>
      <c r="V2587" s="40">
        <v>0</v>
      </c>
      <c r="W2587" s="45">
        <f t="shared" si="138"/>
        <v>4140196</v>
      </c>
      <c r="X2587" s="46">
        <f t="shared" si="139"/>
        <v>1.9949150884546745</v>
      </c>
    </row>
    <row r="2588" spans="1:24" s="4" customFormat="1" ht="15" customHeight="1">
      <c r="A2588" s="28" t="s">
        <v>3483</v>
      </c>
      <c r="B2588" s="29">
        <v>3387.15</v>
      </c>
      <c r="C2588" s="30" t="s">
        <v>3756</v>
      </c>
      <c r="D2588" s="2">
        <v>4951890230</v>
      </c>
      <c r="E2588" s="2" t="s">
        <v>14</v>
      </c>
      <c r="F2588" s="2" t="s">
        <v>3757</v>
      </c>
      <c r="G2588" s="28" t="s">
        <v>9</v>
      </c>
      <c r="H2588" s="2" t="s">
        <v>23</v>
      </c>
      <c r="I2588" s="2">
        <v>6</v>
      </c>
      <c r="J2588" s="2"/>
      <c r="K2588" s="2">
        <v>33280.199999999997</v>
      </c>
      <c r="L2588" s="35">
        <f t="shared" si="137"/>
        <v>112725029.42999999</v>
      </c>
      <c r="M2588" s="36">
        <v>540</v>
      </c>
      <c r="N2588" s="40">
        <v>135502.98675496699</v>
      </c>
      <c r="O2588" s="40">
        <v>732</v>
      </c>
      <c r="P2588" s="40">
        <v>0</v>
      </c>
      <c r="Q2588" s="40">
        <v>16815.333333333299</v>
      </c>
      <c r="R2588" s="40">
        <v>26556.019867549701</v>
      </c>
      <c r="S2588" s="40">
        <v>63361.668874172203</v>
      </c>
      <c r="T2588" s="40">
        <v>30000</v>
      </c>
      <c r="U2588" s="40">
        <v>372903.97350993397</v>
      </c>
      <c r="V2588" s="40">
        <v>0</v>
      </c>
      <c r="W2588" s="45">
        <f t="shared" si="138"/>
        <v>645871.9823399561</v>
      </c>
      <c r="X2588" s="46">
        <f t="shared" si="139"/>
        <v>0.57296235415137309</v>
      </c>
    </row>
    <row r="2589" spans="1:24" s="4" customFormat="1" ht="15" customHeight="1">
      <c r="A2589" s="28" t="s">
        <v>3483</v>
      </c>
      <c r="B2589" s="29">
        <v>3387.15</v>
      </c>
      <c r="C2589" s="30" t="s">
        <v>3756</v>
      </c>
      <c r="D2589" s="2">
        <v>4951798444</v>
      </c>
      <c r="E2589" s="2" t="s">
        <v>14</v>
      </c>
      <c r="F2589" s="2" t="s">
        <v>3757</v>
      </c>
      <c r="G2589" s="28" t="s">
        <v>9</v>
      </c>
      <c r="H2589" s="2" t="s">
        <v>23</v>
      </c>
      <c r="I2589" s="2">
        <v>6</v>
      </c>
      <c r="J2589" s="2"/>
      <c r="K2589" s="2">
        <v>277.60000000000002</v>
      </c>
      <c r="L2589" s="35">
        <f t="shared" si="137"/>
        <v>940272.84000000008</v>
      </c>
      <c r="M2589" s="36">
        <v>80</v>
      </c>
      <c r="N2589" s="40">
        <v>20074.516556291401</v>
      </c>
      <c r="O2589" s="40">
        <v>732</v>
      </c>
      <c r="P2589" s="40">
        <v>0</v>
      </c>
      <c r="Q2589" s="40">
        <v>16815.333333333299</v>
      </c>
      <c r="R2589" s="40">
        <v>3934.2251655629102</v>
      </c>
      <c r="S2589" s="40">
        <v>9386.9139072847702</v>
      </c>
      <c r="T2589" s="40">
        <v>30000</v>
      </c>
      <c r="U2589" s="40">
        <v>55245.033112582802</v>
      </c>
      <c r="V2589" s="40">
        <v>0</v>
      </c>
      <c r="W2589" s="45">
        <f t="shared" si="138"/>
        <v>136188.0220750552</v>
      </c>
      <c r="X2589" s="46">
        <f t="shared" si="139"/>
        <v>14.483883430585445</v>
      </c>
    </row>
    <row r="2590" spans="1:24" s="4" customFormat="1" ht="15" customHeight="1">
      <c r="A2590" s="28" t="s">
        <v>3483</v>
      </c>
      <c r="B2590" s="29">
        <v>3387.15</v>
      </c>
      <c r="C2590" s="30" t="s">
        <v>3756</v>
      </c>
      <c r="D2590" s="2">
        <v>4952024017</v>
      </c>
      <c r="E2590" s="2" t="s">
        <v>14</v>
      </c>
      <c r="F2590" s="2" t="s">
        <v>3757</v>
      </c>
      <c r="G2590" s="28" t="s">
        <v>9</v>
      </c>
      <c r="H2590" s="2" t="s">
        <v>23</v>
      </c>
      <c r="I2590" s="2">
        <v>6</v>
      </c>
      <c r="J2590" s="2"/>
      <c r="K2590" s="2">
        <v>52992</v>
      </c>
      <c r="L2590" s="35">
        <f t="shared" si="137"/>
        <v>179491852.80000001</v>
      </c>
      <c r="M2590" s="36">
        <v>2400</v>
      </c>
      <c r="N2590" s="40">
        <v>602235.49668874196</v>
      </c>
      <c r="O2590" s="40">
        <v>732</v>
      </c>
      <c r="P2590" s="40">
        <v>0</v>
      </c>
      <c r="Q2590" s="40">
        <v>16815.333333333299</v>
      </c>
      <c r="R2590" s="40">
        <v>118026.75496688701</v>
      </c>
      <c r="S2590" s="40">
        <v>281607.41721854301</v>
      </c>
      <c r="T2590" s="40">
        <v>30000</v>
      </c>
      <c r="U2590" s="40">
        <v>1657350.99337748</v>
      </c>
      <c r="V2590" s="40">
        <v>0</v>
      </c>
      <c r="W2590" s="45">
        <f t="shared" si="138"/>
        <v>2706767.9955849852</v>
      </c>
      <c r="X2590" s="46">
        <f t="shared" si="139"/>
        <v>1.5080171903963906</v>
      </c>
    </row>
    <row r="2591" spans="1:24" s="4" customFormat="1" ht="15" customHeight="1">
      <c r="A2591" s="28" t="s">
        <v>3483</v>
      </c>
      <c r="B2591" s="29">
        <v>3387.15</v>
      </c>
      <c r="C2591" s="30" t="s">
        <v>3758</v>
      </c>
      <c r="D2591" s="2">
        <v>4951846957</v>
      </c>
      <c r="E2591" s="2" t="s">
        <v>24</v>
      </c>
      <c r="F2591" s="2" t="s">
        <v>3759</v>
      </c>
      <c r="G2591" s="28" t="s">
        <v>5</v>
      </c>
      <c r="H2591" s="2" t="s">
        <v>20</v>
      </c>
      <c r="I2591" s="2">
        <v>1</v>
      </c>
      <c r="J2591" s="2" t="s">
        <v>3760</v>
      </c>
      <c r="K2591" s="2">
        <v>14045.6</v>
      </c>
      <c r="L2591" s="35">
        <f t="shared" si="137"/>
        <v>47574554.039999999</v>
      </c>
      <c r="M2591" s="36">
        <v>3620</v>
      </c>
      <c r="N2591" s="40">
        <v>339581</v>
      </c>
      <c r="O2591" s="40">
        <v>349879</v>
      </c>
      <c r="P2591" s="40">
        <v>332789</v>
      </c>
      <c r="Q2591" s="40">
        <v>110000</v>
      </c>
      <c r="R2591" s="40">
        <v>453726</v>
      </c>
      <c r="S2591" s="40">
        <v>354356</v>
      </c>
      <c r="T2591" s="40"/>
      <c r="U2591" s="40">
        <v>2619000</v>
      </c>
      <c r="V2591" s="40">
        <v>0</v>
      </c>
      <c r="W2591" s="45">
        <f t="shared" si="138"/>
        <v>4559331</v>
      </c>
      <c r="X2591" s="46">
        <f t="shared" si="139"/>
        <v>9.5835496348879712</v>
      </c>
    </row>
    <row r="2592" spans="1:24" s="4" customFormat="1" ht="15" customHeight="1">
      <c r="A2592" s="28" t="s">
        <v>3483</v>
      </c>
      <c r="B2592" s="29">
        <v>3387.15</v>
      </c>
      <c r="C2592" s="30" t="s">
        <v>3761</v>
      </c>
      <c r="D2592" s="2">
        <v>4951017918</v>
      </c>
      <c r="E2592" s="2" t="s">
        <v>18</v>
      </c>
      <c r="F2592" s="2" t="s">
        <v>3762</v>
      </c>
      <c r="G2592" s="28" t="s">
        <v>5</v>
      </c>
      <c r="H2592" s="2" t="s">
        <v>17</v>
      </c>
      <c r="I2592" s="2">
        <v>1</v>
      </c>
      <c r="J2592" s="2" t="s">
        <v>3763</v>
      </c>
      <c r="K2592" s="2">
        <v>69920</v>
      </c>
      <c r="L2592" s="35">
        <f t="shared" si="137"/>
        <v>236829528</v>
      </c>
      <c r="M2592" s="36">
        <v>16000</v>
      </c>
      <c r="N2592" s="40">
        <v>391345</v>
      </c>
      <c r="O2592" s="40">
        <v>458999</v>
      </c>
      <c r="P2592" s="40">
        <v>0</v>
      </c>
      <c r="Q2592" s="40">
        <v>110000</v>
      </c>
      <c r="R2592" s="40">
        <v>742442</v>
      </c>
      <c r="S2592" s="40">
        <v>354356</v>
      </c>
      <c r="T2592" s="40">
        <v>30000</v>
      </c>
      <c r="U2592" s="40">
        <v>5446550</v>
      </c>
      <c r="V2592" s="40">
        <v>0</v>
      </c>
      <c r="W2592" s="45">
        <f t="shared" si="138"/>
        <v>7533692</v>
      </c>
      <c r="X2592" s="46">
        <f t="shared" si="139"/>
        <v>3.1810611048466892</v>
      </c>
    </row>
    <row r="2593" spans="1:24" s="4" customFormat="1" ht="15" customHeight="1">
      <c r="A2593" s="28" t="s">
        <v>3483</v>
      </c>
      <c r="B2593" s="29">
        <v>3387.15</v>
      </c>
      <c r="C2593" s="30" t="s">
        <v>3764</v>
      </c>
      <c r="D2593" s="2">
        <v>4952110335</v>
      </c>
      <c r="E2593" s="2" t="s">
        <v>14</v>
      </c>
      <c r="F2593" s="2" t="s">
        <v>3765</v>
      </c>
      <c r="G2593" s="28" t="s">
        <v>9</v>
      </c>
      <c r="H2593" s="2" t="s">
        <v>23</v>
      </c>
      <c r="I2593" s="2">
        <v>3</v>
      </c>
      <c r="J2593" s="2"/>
      <c r="K2593" s="2">
        <v>3840</v>
      </c>
      <c r="L2593" s="35">
        <f t="shared" si="137"/>
        <v>13006656</v>
      </c>
      <c r="M2593" s="36">
        <v>1600</v>
      </c>
      <c r="N2593" s="40">
        <v>282821.29032258102</v>
      </c>
      <c r="O2593" s="40">
        <v>909.5</v>
      </c>
      <c r="P2593" s="40">
        <v>22447.7419354839</v>
      </c>
      <c r="Q2593" s="40">
        <v>26419</v>
      </c>
      <c r="R2593" s="40">
        <v>89004.516129032301</v>
      </c>
      <c r="S2593" s="40">
        <v>228616.77419354799</v>
      </c>
      <c r="T2593" s="40">
        <v>30000</v>
      </c>
      <c r="U2593" s="40">
        <v>744821.42857142899</v>
      </c>
      <c r="V2593" s="40">
        <v>0</v>
      </c>
      <c r="W2593" s="45">
        <f t="shared" si="138"/>
        <v>1425040.2511520742</v>
      </c>
      <c r="X2593" s="46">
        <f t="shared" si="139"/>
        <v>10.956238491677448</v>
      </c>
    </row>
    <row r="2594" spans="1:24" s="4" customFormat="1" ht="15" customHeight="1">
      <c r="A2594" s="28" t="s">
        <v>3483</v>
      </c>
      <c r="B2594" s="29">
        <v>3387.15</v>
      </c>
      <c r="C2594" s="30" t="s">
        <v>3764</v>
      </c>
      <c r="D2594" s="2">
        <v>4951890236</v>
      </c>
      <c r="E2594" s="2" t="s">
        <v>14</v>
      </c>
      <c r="F2594" s="2" t="s">
        <v>3765</v>
      </c>
      <c r="G2594" s="28" t="s">
        <v>9</v>
      </c>
      <c r="H2594" s="2" t="s">
        <v>23</v>
      </c>
      <c r="I2594" s="2">
        <v>3</v>
      </c>
      <c r="J2594" s="2"/>
      <c r="K2594" s="2">
        <v>1012</v>
      </c>
      <c r="L2594" s="35">
        <f t="shared" si="137"/>
        <v>3427795.8000000003</v>
      </c>
      <c r="M2594" s="36">
        <v>880</v>
      </c>
      <c r="N2594" s="40">
        <v>155551.70967741901</v>
      </c>
      <c r="O2594" s="40">
        <v>909.5</v>
      </c>
      <c r="P2594" s="40">
        <v>12346.2580645161</v>
      </c>
      <c r="Q2594" s="40">
        <v>26419</v>
      </c>
      <c r="R2594" s="40">
        <v>48952.483870967699</v>
      </c>
      <c r="S2594" s="40">
        <v>125739.225806452</v>
      </c>
      <c r="T2594" s="40">
        <v>30000</v>
      </c>
      <c r="U2594" s="40">
        <v>409651.78571428597</v>
      </c>
      <c r="V2594" s="40">
        <v>0</v>
      </c>
      <c r="W2594" s="45">
        <f t="shared" si="138"/>
        <v>809569.96313364082</v>
      </c>
      <c r="X2594" s="46">
        <f t="shared" si="139"/>
        <v>23.617800194913617</v>
      </c>
    </row>
    <row r="2595" spans="1:24" s="4" customFormat="1" ht="15" customHeight="1">
      <c r="A2595" s="28" t="s">
        <v>3483</v>
      </c>
      <c r="B2595" s="29">
        <v>3387.15</v>
      </c>
      <c r="C2595" s="30" t="s">
        <v>3766</v>
      </c>
      <c r="D2595" s="2">
        <v>4951842940</v>
      </c>
      <c r="E2595" s="2" t="s">
        <v>24</v>
      </c>
      <c r="F2595" s="2" t="s">
        <v>3767</v>
      </c>
      <c r="G2595" s="28" t="s">
        <v>5</v>
      </c>
      <c r="H2595" s="2" t="s">
        <v>20</v>
      </c>
      <c r="I2595" s="2">
        <v>1</v>
      </c>
      <c r="J2595" s="2" t="s">
        <v>3768</v>
      </c>
      <c r="K2595" s="2">
        <v>12460</v>
      </c>
      <c r="L2595" s="35">
        <f t="shared" si="137"/>
        <v>42203889</v>
      </c>
      <c r="M2595" s="36">
        <v>14000</v>
      </c>
      <c r="N2595" s="40">
        <v>286953.156565657</v>
      </c>
      <c r="O2595" s="40">
        <v>174939.5</v>
      </c>
      <c r="P2595" s="40">
        <v>118279.67171717199</v>
      </c>
      <c r="Q2595" s="40">
        <v>55000</v>
      </c>
      <c r="R2595" s="40">
        <f>475619.065656566+241387</f>
        <v>717006.06565656606</v>
      </c>
      <c r="S2595" s="40">
        <v>313193.434343434</v>
      </c>
      <c r="T2595" s="40"/>
      <c r="U2595" s="40">
        <v>3472159.0909090899</v>
      </c>
      <c r="V2595" s="40">
        <v>0</v>
      </c>
      <c r="W2595" s="45">
        <f t="shared" si="138"/>
        <v>5137530.9191919193</v>
      </c>
      <c r="X2595" s="46">
        <f t="shared" si="139"/>
        <v>12.173122053258929</v>
      </c>
    </row>
    <row r="2596" spans="1:24" s="4" customFormat="1" ht="15" customHeight="1">
      <c r="A2596" s="28" t="s">
        <v>3483</v>
      </c>
      <c r="B2596" s="29">
        <v>3387.15</v>
      </c>
      <c r="C2596" s="30" t="s">
        <v>3766</v>
      </c>
      <c r="D2596" s="2">
        <v>4950133766</v>
      </c>
      <c r="E2596" s="2" t="s">
        <v>24</v>
      </c>
      <c r="F2596" s="2" t="s">
        <v>3767</v>
      </c>
      <c r="G2596" s="28" t="s">
        <v>5</v>
      </c>
      <c r="H2596" s="2" t="s">
        <v>20</v>
      </c>
      <c r="I2596" s="2">
        <v>1</v>
      </c>
      <c r="J2596" s="2" t="s">
        <v>3768</v>
      </c>
      <c r="K2596" s="2">
        <v>8592.7999999999993</v>
      </c>
      <c r="L2596" s="35">
        <f t="shared" si="137"/>
        <v>29105102.52</v>
      </c>
      <c r="M2596" s="36">
        <v>1840</v>
      </c>
      <c r="N2596" s="40">
        <v>37713.843434343398</v>
      </c>
      <c r="O2596" s="40">
        <v>174939.5</v>
      </c>
      <c r="P2596" s="40">
        <v>15545.328282828301</v>
      </c>
      <c r="Q2596" s="40">
        <v>55000</v>
      </c>
      <c r="R2596" s="40">
        <f>62509.9343434343+31725</f>
        <v>94234.934343434303</v>
      </c>
      <c r="S2596" s="40">
        <v>41162.565656565697</v>
      </c>
      <c r="T2596" s="40"/>
      <c r="U2596" s="40">
        <v>456340.909090909</v>
      </c>
      <c r="V2596" s="40">
        <v>0</v>
      </c>
      <c r="W2596" s="45">
        <f t="shared" si="138"/>
        <v>874937.08080808073</v>
      </c>
      <c r="X2596" s="46">
        <f t="shared" si="139"/>
        <v>3.0061295273117654</v>
      </c>
    </row>
    <row r="2597" spans="1:24" s="4" customFormat="1" ht="15" customHeight="1">
      <c r="A2597" s="28" t="s">
        <v>3483</v>
      </c>
      <c r="B2597" s="29">
        <v>3387.15</v>
      </c>
      <c r="C2597" s="30" t="s">
        <v>3769</v>
      </c>
      <c r="D2597" s="2" t="s">
        <v>3770</v>
      </c>
      <c r="E2597" s="2" t="s">
        <v>33</v>
      </c>
      <c r="F2597" s="2" t="s">
        <v>3771</v>
      </c>
      <c r="G2597" s="28" t="s">
        <v>9</v>
      </c>
      <c r="H2597" s="2" t="s">
        <v>23</v>
      </c>
      <c r="I2597" s="2">
        <v>5</v>
      </c>
      <c r="J2597" s="2"/>
      <c r="K2597" s="2">
        <v>9921.6200000000008</v>
      </c>
      <c r="L2597" s="35">
        <f t="shared" si="137"/>
        <v>33606015.183000006</v>
      </c>
      <c r="M2597" s="36">
        <v>1446.3</v>
      </c>
      <c r="N2597" s="40">
        <v>1128097</v>
      </c>
      <c r="O2597" s="40">
        <v>1397</v>
      </c>
      <c r="P2597" s="40">
        <v>27055</v>
      </c>
      <c r="Q2597" s="40">
        <v>41084</v>
      </c>
      <c r="R2597" s="40">
        <v>127701</v>
      </c>
      <c r="S2597" s="40">
        <v>354356</v>
      </c>
      <c r="T2597" s="40"/>
      <c r="U2597" s="40">
        <v>2163100</v>
      </c>
      <c r="V2597" s="40">
        <v>0</v>
      </c>
      <c r="W2597" s="45">
        <f t="shared" si="138"/>
        <v>3842790</v>
      </c>
      <c r="X2597" s="46">
        <f t="shared" si="139"/>
        <v>11.434827899333689</v>
      </c>
    </row>
    <row r="2598" spans="1:24" s="4" customFormat="1" ht="15" customHeight="1">
      <c r="A2598" s="28" t="s">
        <v>3483</v>
      </c>
      <c r="B2598" s="29">
        <v>3387.15</v>
      </c>
      <c r="C2598" s="30" t="s">
        <v>3772</v>
      </c>
      <c r="D2598" s="2">
        <v>4951542139</v>
      </c>
      <c r="E2598" s="2" t="s">
        <v>14</v>
      </c>
      <c r="F2598" s="2" t="s">
        <v>3773</v>
      </c>
      <c r="G2598" s="28" t="s">
        <v>9</v>
      </c>
      <c r="H2598" s="2" t="s">
        <v>23</v>
      </c>
      <c r="I2598" s="2">
        <v>3</v>
      </c>
      <c r="J2598" s="2"/>
      <c r="K2598" s="2">
        <v>3520</v>
      </c>
      <c r="L2598" s="35">
        <f t="shared" si="137"/>
        <v>11922768</v>
      </c>
      <c r="M2598" s="36">
        <v>1600</v>
      </c>
      <c r="N2598" s="40">
        <v>511727.52475247497</v>
      </c>
      <c r="O2598" s="40">
        <v>725.5</v>
      </c>
      <c r="P2598" s="40">
        <v>0</v>
      </c>
      <c r="Q2598" s="40">
        <v>21722.5</v>
      </c>
      <c r="R2598" s="40">
        <v>102205.148514851</v>
      </c>
      <c r="S2598" s="40">
        <v>280678.01980198</v>
      </c>
      <c r="T2598" s="40">
        <v>30000</v>
      </c>
      <c r="U2598" s="40">
        <v>754932.12669683294</v>
      </c>
      <c r="V2598" s="40">
        <v>0</v>
      </c>
      <c r="W2598" s="45">
        <f t="shared" si="138"/>
        <v>1701990.8197661389</v>
      </c>
      <c r="X2598" s="46">
        <f t="shared" si="139"/>
        <v>14.275131578221927</v>
      </c>
    </row>
    <row r="2599" spans="1:24" s="4" customFormat="1" ht="15" customHeight="1">
      <c r="A2599" s="28" t="s">
        <v>3483</v>
      </c>
      <c r="B2599" s="29">
        <v>3387.15</v>
      </c>
      <c r="C2599" s="30" t="s">
        <v>3772</v>
      </c>
      <c r="D2599" s="2">
        <v>4951798443</v>
      </c>
      <c r="E2599" s="2" t="s">
        <v>14</v>
      </c>
      <c r="F2599" s="2" t="s">
        <v>3773</v>
      </c>
      <c r="G2599" s="28" t="s">
        <v>9</v>
      </c>
      <c r="H2599" s="2" t="s">
        <v>23</v>
      </c>
      <c r="I2599" s="2">
        <v>3</v>
      </c>
      <c r="J2599" s="2"/>
      <c r="K2599" s="2">
        <v>1121.4000000000001</v>
      </c>
      <c r="L2599" s="35">
        <f t="shared" si="137"/>
        <v>3798350.0100000002</v>
      </c>
      <c r="M2599" s="36">
        <v>420</v>
      </c>
      <c r="N2599" s="40">
        <v>134328.475247525</v>
      </c>
      <c r="O2599" s="40">
        <v>725.5</v>
      </c>
      <c r="P2599" s="40">
        <v>0</v>
      </c>
      <c r="Q2599" s="40">
        <v>21722.5</v>
      </c>
      <c r="R2599" s="40">
        <v>26828.851485148502</v>
      </c>
      <c r="S2599" s="40">
        <v>73677.980198019795</v>
      </c>
      <c r="T2599" s="40">
        <v>30000</v>
      </c>
      <c r="U2599" s="40">
        <v>198169.68325791901</v>
      </c>
      <c r="V2599" s="40">
        <v>0</v>
      </c>
      <c r="W2599" s="45">
        <f t="shared" si="138"/>
        <v>485452.99018861237</v>
      </c>
      <c r="X2599" s="46">
        <f t="shared" si="139"/>
        <v>12.780628138811576</v>
      </c>
    </row>
    <row r="2600" spans="1:24" s="4" customFormat="1" ht="15" customHeight="1">
      <c r="A2600" s="28" t="s">
        <v>3483</v>
      </c>
      <c r="B2600" s="29">
        <v>3387.15</v>
      </c>
      <c r="C2600" s="30" t="s">
        <v>3774</v>
      </c>
      <c r="D2600" s="2">
        <v>4951874485</v>
      </c>
      <c r="E2600" s="2" t="s">
        <v>14</v>
      </c>
      <c r="F2600" s="2" t="s">
        <v>3775</v>
      </c>
      <c r="G2600" s="28" t="s">
        <v>5</v>
      </c>
      <c r="H2600" s="2" t="s">
        <v>20</v>
      </c>
      <c r="I2600" s="2">
        <v>1</v>
      </c>
      <c r="J2600" s="2" t="s">
        <v>3776</v>
      </c>
      <c r="K2600" s="2">
        <v>145695</v>
      </c>
      <c r="L2600" s="35">
        <f t="shared" si="137"/>
        <v>493490819.25</v>
      </c>
      <c r="M2600" s="36">
        <v>3300</v>
      </c>
      <c r="N2600" s="40">
        <v>391345</v>
      </c>
      <c r="O2600" s="40">
        <v>349879</v>
      </c>
      <c r="P2600" s="40">
        <v>0</v>
      </c>
      <c r="Q2600" s="40">
        <v>110000</v>
      </c>
      <c r="R2600" s="40">
        <v>734861</v>
      </c>
      <c r="S2600" s="40">
        <v>354356</v>
      </c>
      <c r="T2600" s="40">
        <v>30000</v>
      </c>
      <c r="U2600" s="40">
        <v>2619000</v>
      </c>
      <c r="V2600" s="40">
        <v>0</v>
      </c>
      <c r="W2600" s="45">
        <f t="shared" si="138"/>
        <v>4589441</v>
      </c>
      <c r="X2600" s="46">
        <f t="shared" si="139"/>
        <v>0.92999521388765949</v>
      </c>
    </row>
    <row r="2601" spans="1:24" s="4" customFormat="1" ht="15" customHeight="1">
      <c r="A2601" s="28" t="s">
        <v>3483</v>
      </c>
      <c r="B2601" s="29">
        <v>3387.15</v>
      </c>
      <c r="C2601" s="30" t="s">
        <v>3777</v>
      </c>
      <c r="D2601" s="2">
        <v>4951650368</v>
      </c>
      <c r="E2601" s="2" t="s">
        <v>14</v>
      </c>
      <c r="F2601" s="2" t="s">
        <v>3778</v>
      </c>
      <c r="G2601" s="28" t="s">
        <v>5</v>
      </c>
      <c r="H2601" s="2" t="s">
        <v>20</v>
      </c>
      <c r="I2601" s="2">
        <v>1</v>
      </c>
      <c r="J2601" s="2" t="s">
        <v>3779</v>
      </c>
      <c r="K2601" s="2">
        <v>62504</v>
      </c>
      <c r="L2601" s="35">
        <f t="shared" si="137"/>
        <v>211710423.59999999</v>
      </c>
      <c r="M2601" s="36">
        <v>10400</v>
      </c>
      <c r="N2601" s="40">
        <v>339581</v>
      </c>
      <c r="O2601" s="40">
        <v>349879</v>
      </c>
      <c r="P2601" s="40">
        <v>110929</v>
      </c>
      <c r="Q2601" s="40">
        <v>110000</v>
      </c>
      <c r="R2601" s="40">
        <v>568918</v>
      </c>
      <c r="S2601" s="40">
        <v>354356</v>
      </c>
      <c r="T2601" s="40">
        <v>30000</v>
      </c>
      <c r="U2601" s="40">
        <v>0</v>
      </c>
      <c r="V2601" s="40">
        <v>0</v>
      </c>
      <c r="W2601" s="45">
        <f t="shared" si="138"/>
        <v>1863663</v>
      </c>
      <c r="X2601" s="46">
        <f t="shared" si="139"/>
        <v>0.88028873038445909</v>
      </c>
    </row>
    <row r="2602" spans="1:24" s="4" customFormat="1" ht="15" customHeight="1">
      <c r="A2602" s="28" t="s">
        <v>3483</v>
      </c>
      <c r="B2602" s="29">
        <v>3387.15</v>
      </c>
      <c r="C2602" s="30" t="s">
        <v>3780</v>
      </c>
      <c r="D2602" s="2">
        <v>4951864847</v>
      </c>
      <c r="E2602" s="2" t="s">
        <v>24</v>
      </c>
      <c r="F2602" s="2" t="s">
        <v>3781</v>
      </c>
      <c r="G2602" s="28" t="s">
        <v>5</v>
      </c>
      <c r="H2602" s="2" t="s">
        <v>17</v>
      </c>
      <c r="I2602" s="2">
        <v>2</v>
      </c>
      <c r="J2602" s="2" t="s">
        <v>3782</v>
      </c>
      <c r="K2602" s="2">
        <v>33600</v>
      </c>
      <c r="L2602" s="35">
        <f t="shared" si="137"/>
        <v>113808240</v>
      </c>
      <c r="M2602" s="36">
        <v>24000</v>
      </c>
      <c r="N2602" s="40">
        <v>282352</v>
      </c>
      <c r="O2602" s="40">
        <v>390597</v>
      </c>
      <c r="P2602" s="40">
        <v>460792</v>
      </c>
      <c r="Q2602" s="40">
        <v>120095</v>
      </c>
      <c r="R2602" s="40">
        <v>1193980.5</v>
      </c>
      <c r="S2602" s="40">
        <v>177178</v>
      </c>
      <c r="T2602" s="40"/>
      <c r="U2602" s="40">
        <f>2500900+380000</f>
        <v>2880900</v>
      </c>
      <c r="V2602" s="40">
        <v>0</v>
      </c>
      <c r="W2602" s="45">
        <f t="shared" si="138"/>
        <v>5505894.5</v>
      </c>
      <c r="X2602" s="46">
        <f t="shared" si="139"/>
        <v>4.8378698238370088</v>
      </c>
    </row>
    <row r="2603" spans="1:24" s="4" customFormat="1" ht="15" customHeight="1">
      <c r="A2603" s="28" t="s">
        <v>3483</v>
      </c>
      <c r="B2603" s="29">
        <v>3387.15</v>
      </c>
      <c r="C2603" s="30" t="s">
        <v>3780</v>
      </c>
      <c r="D2603" s="2">
        <v>4951864848</v>
      </c>
      <c r="E2603" s="2" t="s">
        <v>24</v>
      </c>
      <c r="F2603" s="2" t="s">
        <v>3781</v>
      </c>
      <c r="G2603" s="28" t="s">
        <v>5</v>
      </c>
      <c r="H2603" s="2" t="s">
        <v>17</v>
      </c>
      <c r="I2603" s="2">
        <v>2</v>
      </c>
      <c r="J2603" s="2" t="s">
        <v>3782</v>
      </c>
      <c r="K2603" s="2">
        <v>33600</v>
      </c>
      <c r="L2603" s="35">
        <f t="shared" si="137"/>
        <v>113808240</v>
      </c>
      <c r="M2603" s="36">
        <v>24000</v>
      </c>
      <c r="N2603" s="40">
        <v>282352</v>
      </c>
      <c r="O2603" s="40">
        <v>390597</v>
      </c>
      <c r="P2603" s="40">
        <v>460792</v>
      </c>
      <c r="Q2603" s="40">
        <v>120095</v>
      </c>
      <c r="R2603" s="40">
        <v>1193980.5</v>
      </c>
      <c r="S2603" s="40">
        <v>177178</v>
      </c>
      <c r="T2603" s="40"/>
      <c r="U2603" s="40">
        <f>2500900+380000</f>
        <v>2880900</v>
      </c>
      <c r="V2603" s="40">
        <v>0</v>
      </c>
      <c r="W2603" s="45">
        <f t="shared" si="138"/>
        <v>5505894.5</v>
      </c>
      <c r="X2603" s="46">
        <f t="shared" si="139"/>
        <v>4.8378698238370088</v>
      </c>
    </row>
    <row r="2604" spans="1:24" s="4" customFormat="1" ht="15" customHeight="1">
      <c r="A2604" s="28" t="s">
        <v>3483</v>
      </c>
      <c r="B2604" s="29">
        <v>3387.15</v>
      </c>
      <c r="C2604" s="30" t="s">
        <v>3783</v>
      </c>
      <c r="D2604" s="2">
        <v>4952024021</v>
      </c>
      <c r="E2604" s="2" t="s">
        <v>14</v>
      </c>
      <c r="F2604" s="2" t="s">
        <v>3784</v>
      </c>
      <c r="G2604" s="28" t="s">
        <v>5</v>
      </c>
      <c r="H2604" s="2" t="s">
        <v>17</v>
      </c>
      <c r="I2604" s="2">
        <v>1</v>
      </c>
      <c r="J2604" s="2" t="s">
        <v>3785</v>
      </c>
      <c r="K2604" s="2">
        <f>13832+6552</f>
        <v>20384</v>
      </c>
      <c r="L2604" s="35">
        <f t="shared" si="137"/>
        <v>69043665.600000009</v>
      </c>
      <c r="M2604" s="36">
        <f>3325+1575</f>
        <v>4900</v>
      </c>
      <c r="N2604" s="40">
        <v>99254.166666666701</v>
      </c>
      <c r="O2604" s="40">
        <v>65571.285714285696</v>
      </c>
      <c r="P2604" s="40">
        <v>120576.014492754</v>
      </c>
      <c r="Q2604" s="40">
        <v>15714.285714285699</v>
      </c>
      <c r="R2604" s="40">
        <v>198027.46376811599</v>
      </c>
      <c r="S2604" s="40">
        <v>89872.898550724596</v>
      </c>
      <c r="T2604" s="40">
        <v>30000</v>
      </c>
      <c r="U2604" s="40">
        <v>1430574.27536232</v>
      </c>
      <c r="V2604" s="40">
        <v>0</v>
      </c>
      <c r="W2604" s="45">
        <f t="shared" si="138"/>
        <v>2049590.3902691528</v>
      </c>
      <c r="X2604" s="46">
        <f t="shared" si="139"/>
        <v>2.9685422586676111</v>
      </c>
    </row>
    <row r="2605" spans="1:24" s="4" customFormat="1" ht="15" customHeight="1">
      <c r="A2605" s="28" t="s">
        <v>3483</v>
      </c>
      <c r="B2605" s="29">
        <v>3387.15</v>
      </c>
      <c r="C2605" s="30" t="s">
        <v>3783</v>
      </c>
      <c r="D2605" s="2">
        <v>4951798412</v>
      </c>
      <c r="E2605" s="2" t="s">
        <v>14</v>
      </c>
      <c r="F2605" s="2" t="s">
        <v>3784</v>
      </c>
      <c r="G2605" s="28" t="s">
        <v>5</v>
      </c>
      <c r="H2605" s="2" t="s">
        <v>17</v>
      </c>
      <c r="I2605" s="2">
        <v>1</v>
      </c>
      <c r="J2605" s="2" t="s">
        <v>3785</v>
      </c>
      <c r="K2605" s="2">
        <v>6825</v>
      </c>
      <c r="L2605" s="35">
        <f t="shared" si="137"/>
        <v>23117298.75</v>
      </c>
      <c r="M2605" s="36">
        <v>2100</v>
      </c>
      <c r="N2605" s="40">
        <v>42537.5</v>
      </c>
      <c r="O2605" s="40">
        <v>65571.285714285696</v>
      </c>
      <c r="P2605" s="40">
        <v>51675.434782608703</v>
      </c>
      <c r="Q2605" s="40">
        <v>15714.285714285699</v>
      </c>
      <c r="R2605" s="40">
        <v>84868.9130434783</v>
      </c>
      <c r="S2605" s="40">
        <v>38516.956521739099</v>
      </c>
      <c r="T2605" s="40">
        <v>30000</v>
      </c>
      <c r="U2605" s="40">
        <v>613103.26086956495</v>
      </c>
      <c r="V2605" s="40">
        <v>0</v>
      </c>
      <c r="W2605" s="45">
        <f t="shared" si="138"/>
        <v>941987.63664596248</v>
      </c>
      <c r="X2605" s="46">
        <f t="shared" si="139"/>
        <v>4.0748170745769441</v>
      </c>
    </row>
    <row r="2606" spans="1:24" s="4" customFormat="1" ht="15" customHeight="1">
      <c r="A2606" s="28" t="s">
        <v>3483</v>
      </c>
      <c r="B2606" s="29">
        <v>3387.15</v>
      </c>
      <c r="C2606" s="30" t="s">
        <v>3783</v>
      </c>
      <c r="D2606" s="2">
        <v>4951798412</v>
      </c>
      <c r="E2606" s="2" t="s">
        <v>14</v>
      </c>
      <c r="F2606" s="2" t="s">
        <v>3784</v>
      </c>
      <c r="G2606" s="28" t="s">
        <v>5</v>
      </c>
      <c r="H2606" s="2" t="s">
        <v>17</v>
      </c>
      <c r="I2606" s="2">
        <v>1</v>
      </c>
      <c r="J2606" s="2" t="s">
        <v>3785</v>
      </c>
      <c r="K2606" s="2">
        <v>10080</v>
      </c>
      <c r="L2606" s="35">
        <f t="shared" si="137"/>
        <v>34142472</v>
      </c>
      <c r="M2606" s="36">
        <v>4500</v>
      </c>
      <c r="N2606" s="40">
        <v>91151.785714285696</v>
      </c>
      <c r="O2606" s="40">
        <v>65571.285714285696</v>
      </c>
      <c r="P2606" s="40">
        <v>110733.074534161</v>
      </c>
      <c r="Q2606" s="40">
        <v>15714.285714285699</v>
      </c>
      <c r="R2606" s="40">
        <v>181861.95652173899</v>
      </c>
      <c r="S2606" s="40">
        <v>82536.335403726698</v>
      </c>
      <c r="T2606" s="40">
        <v>30000</v>
      </c>
      <c r="U2606" s="40">
        <v>1313792.7018633501</v>
      </c>
      <c r="V2606" s="40">
        <v>0</v>
      </c>
      <c r="W2606" s="45">
        <f t="shared" si="138"/>
        <v>1891361.4254658339</v>
      </c>
      <c r="X2606" s="46">
        <f t="shared" si="139"/>
        <v>5.5396147808683383</v>
      </c>
    </row>
    <row r="2607" spans="1:24" s="4" customFormat="1" ht="15" customHeight="1">
      <c r="A2607" s="28" t="s">
        <v>3483</v>
      </c>
      <c r="B2607" s="29">
        <v>3387.15</v>
      </c>
      <c r="C2607" s="30" t="s">
        <v>3783</v>
      </c>
      <c r="D2607" s="2">
        <v>4951798412</v>
      </c>
      <c r="E2607" s="2" t="s">
        <v>14</v>
      </c>
      <c r="F2607" s="2" t="s">
        <v>3784</v>
      </c>
      <c r="G2607" s="28" t="s">
        <v>5</v>
      </c>
      <c r="H2607" s="2" t="s">
        <v>17</v>
      </c>
      <c r="I2607" s="2">
        <v>1</v>
      </c>
      <c r="J2607" s="2" t="s">
        <v>3785</v>
      </c>
      <c r="K2607" s="2">
        <v>4026.2</v>
      </c>
      <c r="L2607" s="35">
        <f t="shared" si="137"/>
        <v>13637343.33</v>
      </c>
      <c r="M2607" s="36">
        <v>820</v>
      </c>
      <c r="N2607" s="40">
        <v>16609.880952381001</v>
      </c>
      <c r="O2607" s="40">
        <v>65571.285714285696</v>
      </c>
      <c r="P2607" s="40">
        <v>20178.0269151139</v>
      </c>
      <c r="Q2607" s="40">
        <v>15714.285714285699</v>
      </c>
      <c r="R2607" s="40">
        <v>33139.2898550725</v>
      </c>
      <c r="S2607" s="40">
        <v>15039.9544513458</v>
      </c>
      <c r="T2607" s="40">
        <v>30000</v>
      </c>
      <c r="U2607" s="40">
        <v>239402.225672878</v>
      </c>
      <c r="V2607" s="40">
        <v>0</v>
      </c>
      <c r="W2607" s="45">
        <f t="shared" si="138"/>
        <v>435654.9492753626</v>
      </c>
      <c r="X2607" s="46">
        <f t="shared" si="139"/>
        <v>3.1945734497788183</v>
      </c>
    </row>
    <row r="2608" spans="1:24" s="4" customFormat="1" ht="15" customHeight="1">
      <c r="A2608" s="28" t="s">
        <v>3483</v>
      </c>
      <c r="B2608" s="29">
        <v>3387.15</v>
      </c>
      <c r="C2608" s="30" t="s">
        <v>3783</v>
      </c>
      <c r="D2608" s="2">
        <v>4951798412</v>
      </c>
      <c r="E2608" s="2" t="s">
        <v>14</v>
      </c>
      <c r="F2608" s="2" t="s">
        <v>3784</v>
      </c>
      <c r="G2608" s="28" t="s">
        <v>5</v>
      </c>
      <c r="H2608" s="2" t="s">
        <v>17</v>
      </c>
      <c r="I2608" s="2">
        <v>1</v>
      </c>
      <c r="J2608" s="2" t="s">
        <v>3785</v>
      </c>
      <c r="K2608" s="2">
        <v>2061</v>
      </c>
      <c r="L2608" s="35">
        <f t="shared" si="137"/>
        <v>6980916.1500000004</v>
      </c>
      <c r="M2608" s="36">
        <v>900</v>
      </c>
      <c r="N2608" s="40">
        <v>18230.357142857101</v>
      </c>
      <c r="O2608" s="40">
        <v>65571.285714285696</v>
      </c>
      <c r="P2608" s="40">
        <v>22146.614906832299</v>
      </c>
      <c r="Q2608" s="40">
        <v>15714.285714285699</v>
      </c>
      <c r="R2608" s="40">
        <v>36372.391304347802</v>
      </c>
      <c r="S2608" s="40">
        <v>16507.2670807453</v>
      </c>
      <c r="T2608" s="40">
        <v>30000</v>
      </c>
      <c r="U2608" s="40">
        <v>262758.54037267098</v>
      </c>
      <c r="V2608" s="40">
        <v>0</v>
      </c>
      <c r="W2608" s="45">
        <f t="shared" si="138"/>
        <v>467300.74223602487</v>
      </c>
      <c r="X2608" s="46">
        <f t="shared" si="139"/>
        <v>6.6939744325109087</v>
      </c>
    </row>
    <row r="2609" spans="1:24" s="4" customFormat="1" ht="15" customHeight="1">
      <c r="A2609" s="28" t="s">
        <v>3483</v>
      </c>
      <c r="B2609" s="29">
        <v>3387.15</v>
      </c>
      <c r="C2609" s="30" t="s">
        <v>3783</v>
      </c>
      <c r="D2609" s="2">
        <v>4951798412</v>
      </c>
      <c r="E2609" s="2" t="s">
        <v>14</v>
      </c>
      <c r="F2609" s="2" t="s">
        <v>3784</v>
      </c>
      <c r="G2609" s="28" t="s">
        <v>5</v>
      </c>
      <c r="H2609" s="2" t="s">
        <v>17</v>
      </c>
      <c r="I2609" s="2">
        <v>1</v>
      </c>
      <c r="J2609" s="2" t="s">
        <v>3785</v>
      </c>
      <c r="K2609" s="2">
        <v>9768</v>
      </c>
      <c r="L2609" s="35">
        <f t="shared" si="137"/>
        <v>33085681.199999999</v>
      </c>
      <c r="M2609" s="36">
        <v>1200</v>
      </c>
      <c r="N2609" s="40">
        <v>24307.142857142899</v>
      </c>
      <c r="O2609" s="40">
        <v>65571.285714285696</v>
      </c>
      <c r="P2609" s="40">
        <v>29528.8198757764</v>
      </c>
      <c r="Q2609" s="40">
        <v>15714.285714285699</v>
      </c>
      <c r="R2609" s="40">
        <v>48496.521739130403</v>
      </c>
      <c r="S2609" s="40">
        <v>22009.6894409938</v>
      </c>
      <c r="T2609" s="40">
        <v>30000</v>
      </c>
      <c r="U2609" s="40">
        <v>350344.72049689398</v>
      </c>
      <c r="V2609" s="40">
        <v>0</v>
      </c>
      <c r="W2609" s="45">
        <f t="shared" si="138"/>
        <v>585972.46583850891</v>
      </c>
      <c r="X2609" s="46">
        <f t="shared" si="139"/>
        <v>1.7710757179105894</v>
      </c>
    </row>
    <row r="2610" spans="1:24" s="4" customFormat="1" ht="15" customHeight="1">
      <c r="A2610" s="28" t="s">
        <v>3483</v>
      </c>
      <c r="B2610" s="29">
        <v>3387.15</v>
      </c>
      <c r="C2610" s="30" t="s">
        <v>3783</v>
      </c>
      <c r="D2610" s="2">
        <v>4951348235</v>
      </c>
      <c r="E2610" s="2" t="s">
        <v>14</v>
      </c>
      <c r="F2610" s="2" t="s">
        <v>3784</v>
      </c>
      <c r="G2610" s="28" t="s">
        <v>5</v>
      </c>
      <c r="H2610" s="2" t="s">
        <v>17</v>
      </c>
      <c r="I2610" s="2">
        <v>1</v>
      </c>
      <c r="J2610" s="2" t="s">
        <v>3785</v>
      </c>
      <c r="K2610" s="2">
        <v>16660</v>
      </c>
      <c r="L2610" s="35">
        <f t="shared" si="137"/>
        <v>56429919</v>
      </c>
      <c r="M2610" s="36">
        <v>4900</v>
      </c>
      <c r="N2610" s="40">
        <v>99254.166666666701</v>
      </c>
      <c r="O2610" s="40">
        <v>65571.285714285696</v>
      </c>
      <c r="P2610" s="40">
        <v>120576.014492754</v>
      </c>
      <c r="Q2610" s="40">
        <v>15714.285714285699</v>
      </c>
      <c r="R2610" s="40">
        <v>198027.46376811599</v>
      </c>
      <c r="S2610" s="40">
        <v>89872.898550724596</v>
      </c>
      <c r="T2610" s="40">
        <v>30000</v>
      </c>
      <c r="U2610" s="40">
        <v>1430574.27536232</v>
      </c>
      <c r="V2610" s="40">
        <v>0</v>
      </c>
      <c r="W2610" s="45">
        <f t="shared" si="138"/>
        <v>2049590.3902691528</v>
      </c>
      <c r="X2610" s="46">
        <f t="shared" si="139"/>
        <v>3.6320987635462543</v>
      </c>
    </row>
    <row r="2611" spans="1:24" s="4" customFormat="1" ht="15" customHeight="1">
      <c r="A2611" s="28" t="s">
        <v>3483</v>
      </c>
      <c r="B2611" s="29">
        <v>3387.15</v>
      </c>
      <c r="C2611" s="30" t="s">
        <v>3786</v>
      </c>
      <c r="D2611" s="2">
        <v>4952080515</v>
      </c>
      <c r="E2611" s="2" t="s">
        <v>18</v>
      </c>
      <c r="F2611" s="2" t="s">
        <v>3787</v>
      </c>
      <c r="G2611" s="28" t="s">
        <v>9</v>
      </c>
      <c r="H2611" s="2" t="s">
        <v>23</v>
      </c>
      <c r="I2611" s="2">
        <v>2</v>
      </c>
      <c r="J2611" s="2"/>
      <c r="K2611" s="2">
        <v>6100</v>
      </c>
      <c r="L2611" s="35">
        <f t="shared" si="137"/>
        <v>20661615</v>
      </c>
      <c r="M2611" s="36">
        <v>2000</v>
      </c>
      <c r="N2611" s="40">
        <v>600493</v>
      </c>
      <c r="O2611" s="40">
        <v>1365</v>
      </c>
      <c r="P2611" s="40">
        <v>42414</v>
      </c>
      <c r="Q2611" s="40">
        <v>32587</v>
      </c>
      <c r="R2611" s="40">
        <v>149252</v>
      </c>
      <c r="S2611" s="40">
        <v>354356</v>
      </c>
      <c r="T2611" s="40">
        <v>30000</v>
      </c>
      <c r="U2611" s="40">
        <v>1468661.9718309899</v>
      </c>
      <c r="V2611" s="40">
        <v>0</v>
      </c>
      <c r="W2611" s="45">
        <f t="shared" si="138"/>
        <v>2679128.9718309902</v>
      </c>
      <c r="X2611" s="46">
        <f t="shared" si="139"/>
        <v>12.966696803860639</v>
      </c>
    </row>
    <row r="2612" spans="1:24" s="4" customFormat="1" ht="15" customHeight="1">
      <c r="A2612" s="28" t="s">
        <v>3483</v>
      </c>
      <c r="B2612" s="29">
        <v>3387.15</v>
      </c>
      <c r="C2612" s="30" t="s">
        <v>3788</v>
      </c>
      <c r="D2612" s="2">
        <v>4951315493</v>
      </c>
      <c r="E2612" s="2" t="s">
        <v>36</v>
      </c>
      <c r="F2612" s="2" t="s">
        <v>3789</v>
      </c>
      <c r="G2612" s="28" t="s">
        <v>5</v>
      </c>
      <c r="H2612" s="2" t="s">
        <v>26</v>
      </c>
      <c r="I2612" s="2">
        <v>1</v>
      </c>
      <c r="J2612" s="2" t="s">
        <v>3790</v>
      </c>
      <c r="K2612" s="2">
        <v>31764.23</v>
      </c>
      <c r="L2612" s="35">
        <f t="shared" si="137"/>
        <v>107590211.6445</v>
      </c>
      <c r="M2612" s="36">
        <v>22416.535</v>
      </c>
      <c r="N2612" s="40">
        <v>327735</v>
      </c>
      <c r="O2612" s="40">
        <v>427822</v>
      </c>
      <c r="P2612" s="40">
        <v>1147073</v>
      </c>
      <c r="Q2612" s="40">
        <v>99309</v>
      </c>
      <c r="R2612" s="40">
        <v>2603898</v>
      </c>
      <c r="S2612" s="40">
        <v>354356</v>
      </c>
      <c r="T2612" s="40"/>
      <c r="U2612" s="40">
        <v>0</v>
      </c>
      <c r="V2612" s="40">
        <v>0</v>
      </c>
      <c r="W2612" s="45">
        <f t="shared" si="138"/>
        <v>4960193</v>
      </c>
      <c r="X2612" s="46">
        <f t="shared" si="139"/>
        <v>4.6102641905654851</v>
      </c>
    </row>
    <row r="2613" spans="1:24" s="4" customFormat="1" ht="15" customHeight="1">
      <c r="A2613" s="28" t="s">
        <v>3483</v>
      </c>
      <c r="B2613" s="29">
        <v>3387.15</v>
      </c>
      <c r="C2613" s="30" t="s">
        <v>3791</v>
      </c>
      <c r="D2613" s="2">
        <v>4951900501</v>
      </c>
      <c r="E2613" s="2" t="s">
        <v>36</v>
      </c>
      <c r="F2613" s="2" t="s">
        <v>3792</v>
      </c>
      <c r="G2613" s="28" t="s">
        <v>5</v>
      </c>
      <c r="H2613" s="2" t="s">
        <v>26</v>
      </c>
      <c r="I2613" s="2">
        <v>4</v>
      </c>
      <c r="J2613" s="2" t="s">
        <v>3793</v>
      </c>
      <c r="K2613" s="2">
        <v>84201</v>
      </c>
      <c r="L2613" s="35">
        <f t="shared" si="137"/>
        <v>285201417.15000004</v>
      </c>
      <c r="M2613" s="36">
        <v>86280</v>
      </c>
      <c r="N2613" s="40">
        <v>1388504</v>
      </c>
      <c r="O2613" s="40">
        <v>2132184</v>
      </c>
      <c r="P2613" s="40">
        <v>10906881</v>
      </c>
      <c r="Q2613" s="40">
        <v>496548</v>
      </c>
      <c r="R2613" s="40">
        <v>3457455</v>
      </c>
      <c r="S2613" s="40">
        <v>354356</v>
      </c>
      <c r="T2613" s="40"/>
      <c r="U2613" s="40">
        <v>0</v>
      </c>
      <c r="V2613" s="40">
        <v>0</v>
      </c>
      <c r="W2613" s="45">
        <f t="shared" si="138"/>
        <v>18735928</v>
      </c>
      <c r="X2613" s="46">
        <f t="shared" si="139"/>
        <v>6.5693670765127887</v>
      </c>
    </row>
    <row r="2614" spans="1:24" s="4" customFormat="1" ht="15" customHeight="1">
      <c r="A2614" s="28" t="s">
        <v>3483</v>
      </c>
      <c r="B2614" s="29">
        <v>3387.15</v>
      </c>
      <c r="C2614" s="30" t="s">
        <v>3794</v>
      </c>
      <c r="D2614" s="2">
        <v>4951897093</v>
      </c>
      <c r="E2614" s="2" t="s">
        <v>36</v>
      </c>
      <c r="F2614" s="2" t="s">
        <v>3795</v>
      </c>
      <c r="G2614" s="28" t="s">
        <v>5</v>
      </c>
      <c r="H2614" s="2" t="s">
        <v>26</v>
      </c>
      <c r="I2614" s="2">
        <v>4</v>
      </c>
      <c r="J2614" s="2" t="s">
        <v>3796</v>
      </c>
      <c r="K2614" s="2">
        <v>85162</v>
      </c>
      <c r="L2614" s="35">
        <f t="shared" si="137"/>
        <v>288456468.30000001</v>
      </c>
      <c r="M2614" s="36">
        <v>86900</v>
      </c>
      <c r="N2614" s="40">
        <v>1424288</v>
      </c>
      <c r="O2614" s="40">
        <v>2132184</v>
      </c>
      <c r="P2614" s="40">
        <v>10696815</v>
      </c>
      <c r="Q2614" s="40">
        <v>496548</v>
      </c>
      <c r="R2614" s="40">
        <v>3416356</v>
      </c>
      <c r="S2614" s="40">
        <v>354356</v>
      </c>
      <c r="T2614" s="40"/>
      <c r="U2614" s="40">
        <v>0</v>
      </c>
      <c r="V2614" s="40">
        <v>0</v>
      </c>
      <c r="W2614" s="45">
        <f t="shared" si="138"/>
        <v>18520547</v>
      </c>
      <c r="X2614" s="46">
        <f t="shared" si="139"/>
        <v>6.4205691448521423</v>
      </c>
    </row>
    <row r="2615" spans="1:24" s="4" customFormat="1" ht="15" customHeight="1">
      <c r="A2615" s="28" t="s">
        <v>3483</v>
      </c>
      <c r="B2615" s="29">
        <v>3387.15</v>
      </c>
      <c r="C2615" s="30" t="s">
        <v>3797</v>
      </c>
      <c r="D2615" s="2">
        <v>4951900519</v>
      </c>
      <c r="E2615" s="2" t="s">
        <v>36</v>
      </c>
      <c r="F2615" s="2" t="s">
        <v>3798</v>
      </c>
      <c r="G2615" s="28" t="s">
        <v>5</v>
      </c>
      <c r="H2615" s="2" t="s">
        <v>26</v>
      </c>
      <c r="I2615" s="2">
        <v>3</v>
      </c>
      <c r="J2615" s="2" t="s">
        <v>3799</v>
      </c>
      <c r="K2615" s="2">
        <v>96640</v>
      </c>
      <c r="L2615" s="35">
        <f t="shared" si="137"/>
        <v>327334176</v>
      </c>
      <c r="M2615" s="36">
        <v>60137</v>
      </c>
      <c r="N2615" s="40">
        <v>1028363</v>
      </c>
      <c r="O2615" s="40">
        <v>1283467</v>
      </c>
      <c r="P2615" s="40">
        <v>4362752</v>
      </c>
      <c r="Q2615" s="40">
        <v>297928</v>
      </c>
      <c r="R2615" s="40">
        <v>2174967</v>
      </c>
      <c r="S2615" s="40">
        <v>354356</v>
      </c>
      <c r="T2615" s="40"/>
      <c r="U2615" s="40">
        <v>0</v>
      </c>
      <c r="V2615" s="40">
        <v>0</v>
      </c>
      <c r="W2615" s="45">
        <f t="shared" si="138"/>
        <v>9501833</v>
      </c>
      <c r="X2615" s="46">
        <f t="shared" si="139"/>
        <v>2.9027928327288377</v>
      </c>
    </row>
    <row r="2616" spans="1:24" s="4" customFormat="1" ht="15" customHeight="1">
      <c r="A2616" s="28" t="s">
        <v>3483</v>
      </c>
      <c r="B2616" s="29">
        <v>3387.15</v>
      </c>
      <c r="C2616" s="30" t="s">
        <v>3800</v>
      </c>
      <c r="D2616" s="2">
        <v>4952360229</v>
      </c>
      <c r="E2616" s="2" t="s">
        <v>14</v>
      </c>
      <c r="F2616" s="2" t="s">
        <v>3801</v>
      </c>
      <c r="G2616" s="28" t="s">
        <v>9</v>
      </c>
      <c r="H2616" s="2" t="s">
        <v>23</v>
      </c>
      <c r="I2616" s="2">
        <v>1</v>
      </c>
      <c r="J2616" s="2"/>
      <c r="K2616" s="2">
        <v>5049.75</v>
      </c>
      <c r="L2616" s="35">
        <f t="shared" si="137"/>
        <v>17104260.712500002</v>
      </c>
      <c r="M2616" s="36">
        <v>750</v>
      </c>
      <c r="N2616" s="40">
        <v>529499</v>
      </c>
      <c r="O2616" s="40">
        <v>545</v>
      </c>
      <c r="P2616" s="40">
        <v>0</v>
      </c>
      <c r="Q2616" s="40">
        <v>12702</v>
      </c>
      <c r="R2616" s="40">
        <v>99051</v>
      </c>
      <c r="S2616" s="40">
        <v>354356</v>
      </c>
      <c r="T2616" s="40">
        <v>30000</v>
      </c>
      <c r="U2616" s="40">
        <v>586157.14285714296</v>
      </c>
      <c r="V2616" s="40">
        <v>0</v>
      </c>
      <c r="W2616" s="45">
        <f t="shared" si="138"/>
        <v>1612310.142857143</v>
      </c>
      <c r="X2616" s="46">
        <f t="shared" si="139"/>
        <v>9.4263655702982057</v>
      </c>
    </row>
    <row r="2617" spans="1:24" s="4" customFormat="1" ht="15" customHeight="1">
      <c r="A2617" s="28" t="s">
        <v>3483</v>
      </c>
      <c r="B2617" s="29">
        <v>3387.15</v>
      </c>
      <c r="C2617" s="30" t="s">
        <v>3802</v>
      </c>
      <c r="D2617" s="2">
        <v>4951874477</v>
      </c>
      <c r="E2617" s="2" t="s">
        <v>14</v>
      </c>
      <c r="F2617" s="2" t="s">
        <v>3803</v>
      </c>
      <c r="G2617" s="28" t="s">
        <v>5</v>
      </c>
      <c r="H2617" s="2" t="s">
        <v>35</v>
      </c>
      <c r="I2617" s="2">
        <v>1</v>
      </c>
      <c r="J2617" s="2" t="s">
        <v>3804</v>
      </c>
      <c r="K2617" s="2">
        <v>5755.2</v>
      </c>
      <c r="L2617" s="35">
        <f t="shared" si="137"/>
        <v>19493725.68</v>
      </c>
      <c r="M2617" s="36">
        <v>1760</v>
      </c>
      <c r="N2617" s="40">
        <v>38182.957393483703</v>
      </c>
      <c r="O2617" s="40">
        <v>76499.833333333299</v>
      </c>
      <c r="P2617" s="40">
        <v>0</v>
      </c>
      <c r="Q2617" s="40">
        <v>18333.333333333299</v>
      </c>
      <c r="R2617" s="40">
        <v>222803.20802004999</v>
      </c>
      <c r="S2617" s="40">
        <v>39076.852130325802</v>
      </c>
      <c r="T2617" s="40">
        <v>30000</v>
      </c>
      <c r="U2617" s="40">
        <v>750591.47869674198</v>
      </c>
      <c r="V2617" s="40">
        <v>0</v>
      </c>
      <c r="W2617" s="45">
        <f t="shared" si="138"/>
        <v>1175487.6629072682</v>
      </c>
      <c r="X2617" s="46">
        <f t="shared" si="139"/>
        <v>6.0300821002794995</v>
      </c>
    </row>
    <row r="2618" spans="1:24" s="4" customFormat="1" ht="15" customHeight="1">
      <c r="A2618" s="28" t="s">
        <v>3483</v>
      </c>
      <c r="B2618" s="29">
        <v>3387.15</v>
      </c>
      <c r="C2618" s="30" t="s">
        <v>3802</v>
      </c>
      <c r="D2618" s="2">
        <v>4952165854</v>
      </c>
      <c r="E2618" s="2" t="s">
        <v>14</v>
      </c>
      <c r="F2618" s="2" t="s">
        <v>3803</v>
      </c>
      <c r="G2618" s="28" t="s">
        <v>5</v>
      </c>
      <c r="H2618" s="2" t="s">
        <v>35</v>
      </c>
      <c r="I2618" s="2">
        <v>1</v>
      </c>
      <c r="J2618" s="2" t="s">
        <v>3804</v>
      </c>
      <c r="K2618" s="2">
        <v>4032</v>
      </c>
      <c r="L2618" s="35">
        <f t="shared" si="137"/>
        <v>13656988.800000001</v>
      </c>
      <c r="M2618" s="36">
        <v>1800</v>
      </c>
      <c r="N2618" s="40">
        <v>165965.69548872201</v>
      </c>
      <c r="O2618" s="40">
        <v>76499.833333333299</v>
      </c>
      <c r="P2618" s="40">
        <v>0</v>
      </c>
      <c r="Q2618" s="40">
        <v>18333.333333333299</v>
      </c>
      <c r="R2618" s="40">
        <v>968434.39849624096</v>
      </c>
      <c r="S2618" s="40">
        <v>169851.090225564</v>
      </c>
      <c r="T2618" s="40">
        <v>30000</v>
      </c>
      <c r="U2618" s="40">
        <v>3262514.0977443601</v>
      </c>
      <c r="V2618" s="40">
        <v>0</v>
      </c>
      <c r="W2618" s="45">
        <f t="shared" si="138"/>
        <v>4691598.4486215543</v>
      </c>
      <c r="X2618" s="46">
        <f t="shared" si="139"/>
        <v>34.353095820226152</v>
      </c>
    </row>
    <row r="2619" spans="1:24" s="4" customFormat="1" ht="15" customHeight="1">
      <c r="A2619" s="28" t="s">
        <v>3483</v>
      </c>
      <c r="B2619" s="29">
        <v>3387.15</v>
      </c>
      <c r="C2619" s="30" t="s">
        <v>3802</v>
      </c>
      <c r="D2619" s="2">
        <v>4951647403</v>
      </c>
      <c r="E2619" s="2" t="s">
        <v>14</v>
      </c>
      <c r="F2619" s="2" t="s">
        <v>3803</v>
      </c>
      <c r="G2619" s="28" t="s">
        <v>5</v>
      </c>
      <c r="H2619" s="2" t="s">
        <v>35</v>
      </c>
      <c r="I2619" s="2">
        <v>1</v>
      </c>
      <c r="J2619" s="2" t="s">
        <v>3804</v>
      </c>
      <c r="K2619" s="2">
        <v>7203</v>
      </c>
      <c r="L2619" s="35">
        <f t="shared" si="137"/>
        <v>24397641.449999999</v>
      </c>
      <c r="M2619" s="36">
        <v>700</v>
      </c>
      <c r="N2619" s="40">
        <v>15186.4035087719</v>
      </c>
      <c r="O2619" s="40">
        <v>76499.833333333299</v>
      </c>
      <c r="P2619" s="40">
        <v>0</v>
      </c>
      <c r="Q2619" s="40">
        <v>18333.333333333299</v>
      </c>
      <c r="R2619" s="40">
        <v>88614.912280701799</v>
      </c>
      <c r="S2619" s="40">
        <v>15541.929824561401</v>
      </c>
      <c r="T2619" s="40">
        <v>30000</v>
      </c>
      <c r="U2619" s="40">
        <v>298530.70175438601</v>
      </c>
      <c r="V2619" s="40">
        <v>0</v>
      </c>
      <c r="W2619" s="45">
        <f t="shared" si="138"/>
        <v>542707.11403508764</v>
      </c>
      <c r="X2619" s="46">
        <f t="shared" si="139"/>
        <v>2.2244245008161951</v>
      </c>
    </row>
    <row r="2620" spans="1:24" s="4" customFormat="1" ht="15" customHeight="1">
      <c r="A2620" s="28" t="s">
        <v>3483</v>
      </c>
      <c r="B2620" s="29">
        <v>3387.15</v>
      </c>
      <c r="C2620" s="30" t="s">
        <v>3802</v>
      </c>
      <c r="D2620" s="2">
        <v>4951798430</v>
      </c>
      <c r="E2620" s="2" t="s">
        <v>14</v>
      </c>
      <c r="F2620" s="2" t="s">
        <v>3803</v>
      </c>
      <c r="G2620" s="28" t="s">
        <v>5</v>
      </c>
      <c r="H2620" s="2" t="s">
        <v>35</v>
      </c>
      <c r="I2620" s="2">
        <v>1</v>
      </c>
      <c r="J2620" s="2" t="s">
        <v>3804</v>
      </c>
      <c r="K2620" s="2">
        <v>12240</v>
      </c>
      <c r="L2620" s="35">
        <f t="shared" si="137"/>
        <v>41458716</v>
      </c>
      <c r="M2620" s="36">
        <v>4800</v>
      </c>
      <c r="N2620" s="40">
        <v>104135.33834586501</v>
      </c>
      <c r="O2620" s="40">
        <v>76499.833333333299</v>
      </c>
      <c r="P2620" s="40">
        <v>0</v>
      </c>
      <c r="Q2620" s="40">
        <v>18333.333333333299</v>
      </c>
      <c r="R2620" s="40">
        <v>607645.11278195505</v>
      </c>
      <c r="S2620" s="40">
        <v>106573.233082707</v>
      </c>
      <c r="T2620" s="40">
        <v>30000</v>
      </c>
      <c r="U2620" s="40">
        <v>2047067.6691729301</v>
      </c>
      <c r="V2620" s="40">
        <v>0</v>
      </c>
      <c r="W2620" s="45">
        <f t="shared" si="138"/>
        <v>2990254.5200501238</v>
      </c>
      <c r="X2620" s="46">
        <f t="shared" si="139"/>
        <v>7.2126076457604809</v>
      </c>
    </row>
    <row r="2621" spans="1:24" s="4" customFormat="1" ht="15" customHeight="1">
      <c r="A2621" s="28" t="s">
        <v>3483</v>
      </c>
      <c r="B2621" s="29">
        <v>3387.15</v>
      </c>
      <c r="C2621" s="30" t="s">
        <v>3802</v>
      </c>
      <c r="D2621" s="2">
        <v>4952270615</v>
      </c>
      <c r="E2621" s="2" t="s">
        <v>14</v>
      </c>
      <c r="F2621" s="2" t="s">
        <v>3803</v>
      </c>
      <c r="G2621" s="28" t="s">
        <v>5</v>
      </c>
      <c r="H2621" s="2" t="s">
        <v>35</v>
      </c>
      <c r="I2621" s="2">
        <v>1</v>
      </c>
      <c r="J2621" s="2" t="s">
        <v>3804</v>
      </c>
      <c r="K2621" s="2">
        <v>2858.4</v>
      </c>
      <c r="L2621" s="35">
        <f t="shared" si="137"/>
        <v>9681829.5600000005</v>
      </c>
      <c r="M2621" s="36">
        <v>450</v>
      </c>
      <c r="N2621" s="40">
        <v>9762.6879699248093</v>
      </c>
      <c r="O2621" s="40">
        <v>76499.833333333299</v>
      </c>
      <c r="P2621" s="40">
        <v>0</v>
      </c>
      <c r="Q2621" s="40">
        <v>18333.333333333299</v>
      </c>
      <c r="R2621" s="40">
        <v>56966.729323308296</v>
      </c>
      <c r="S2621" s="40">
        <v>9991.2406015037595</v>
      </c>
      <c r="T2621" s="40">
        <v>30000</v>
      </c>
      <c r="U2621" s="40">
        <v>191912.593984962</v>
      </c>
      <c r="V2621" s="40">
        <v>0</v>
      </c>
      <c r="W2621" s="45">
        <f t="shared" si="138"/>
        <v>393466.41854636546</v>
      </c>
      <c r="X2621" s="46">
        <f t="shared" si="139"/>
        <v>4.0639676221109333</v>
      </c>
    </row>
    <row r="2622" spans="1:24" s="4" customFormat="1" ht="15" customHeight="1">
      <c r="A2622" s="28" t="s">
        <v>3483</v>
      </c>
      <c r="B2622" s="29">
        <v>3387.15</v>
      </c>
      <c r="C2622" s="30" t="s">
        <v>3802</v>
      </c>
      <c r="D2622" s="2">
        <v>4951798430</v>
      </c>
      <c r="E2622" s="2" t="s">
        <v>14</v>
      </c>
      <c r="F2622" s="2" t="s">
        <v>3803</v>
      </c>
      <c r="G2622" s="28" t="s">
        <v>5</v>
      </c>
      <c r="H2622" s="2" t="s">
        <v>35</v>
      </c>
      <c r="I2622" s="2">
        <v>1</v>
      </c>
      <c r="J2622" s="2" t="s">
        <v>3804</v>
      </c>
      <c r="K2622" s="2">
        <v>2850</v>
      </c>
      <c r="L2622" s="35">
        <f t="shared" si="137"/>
        <v>9653377.5</v>
      </c>
      <c r="M2622" s="36">
        <v>600</v>
      </c>
      <c r="N2622" s="40">
        <v>13016.9172932331</v>
      </c>
      <c r="O2622" s="40">
        <v>76499.833333333299</v>
      </c>
      <c r="P2622" s="40">
        <v>0</v>
      </c>
      <c r="Q2622" s="40">
        <v>18333.333333333299</v>
      </c>
      <c r="R2622" s="40">
        <v>75955.639097744395</v>
      </c>
      <c r="S2622" s="40">
        <v>13321.6541353383</v>
      </c>
      <c r="T2622" s="40">
        <v>30000</v>
      </c>
      <c r="U2622" s="40">
        <v>255883.45864661699</v>
      </c>
      <c r="V2622" s="40">
        <v>0</v>
      </c>
      <c r="W2622" s="45">
        <f t="shared" si="138"/>
        <v>483010.83583959937</v>
      </c>
      <c r="X2622" s="46">
        <f t="shared" si="139"/>
        <v>5.0035423958049847</v>
      </c>
    </row>
    <row r="2623" spans="1:24" s="4" customFormat="1" ht="15" customHeight="1">
      <c r="A2623" s="28" t="s">
        <v>3483</v>
      </c>
      <c r="B2623" s="29">
        <v>3387.15</v>
      </c>
      <c r="C2623" s="30" t="s">
        <v>3805</v>
      </c>
      <c r="D2623" s="2">
        <v>4951874494</v>
      </c>
      <c r="E2623" s="2" t="s">
        <v>14</v>
      </c>
      <c r="F2623" s="2" t="s">
        <v>3806</v>
      </c>
      <c r="G2623" s="28" t="s">
        <v>5</v>
      </c>
      <c r="H2623" s="2" t="s">
        <v>35</v>
      </c>
      <c r="I2623" s="2">
        <v>1</v>
      </c>
      <c r="J2623" s="2" t="s">
        <v>3807</v>
      </c>
      <c r="K2623" s="2">
        <v>10980</v>
      </c>
      <c r="L2623" s="35">
        <f t="shared" si="137"/>
        <v>37190907</v>
      </c>
      <c r="M2623" s="36">
        <v>6000</v>
      </c>
      <c r="N2623" s="40">
        <v>152563.53425683299</v>
      </c>
      <c r="O2623" s="40">
        <v>91799.8</v>
      </c>
      <c r="P2623" s="40">
        <v>0</v>
      </c>
      <c r="Q2623" s="40">
        <v>22000</v>
      </c>
      <c r="R2623" s="40">
        <v>693981.87944589998</v>
      </c>
      <c r="S2623" s="40">
        <v>159201.497566454</v>
      </c>
      <c r="T2623" s="40">
        <v>30000</v>
      </c>
      <c r="U2623" s="40">
        <v>2643953.5754399099</v>
      </c>
      <c r="V2623" s="40">
        <v>0</v>
      </c>
      <c r="W2623" s="45">
        <f t="shared" si="138"/>
        <v>3793500.2867090967</v>
      </c>
      <c r="X2623" s="46">
        <f t="shared" si="139"/>
        <v>10.200074676073635</v>
      </c>
    </row>
    <row r="2624" spans="1:24" s="4" customFormat="1" ht="15" customHeight="1">
      <c r="A2624" s="28" t="s">
        <v>3483</v>
      </c>
      <c r="B2624" s="29">
        <v>3387.15</v>
      </c>
      <c r="C2624" s="30" t="s">
        <v>3805</v>
      </c>
      <c r="D2624" s="2">
        <v>4951874461</v>
      </c>
      <c r="E2624" s="2" t="s">
        <v>14</v>
      </c>
      <c r="F2624" s="2" t="s">
        <v>3806</v>
      </c>
      <c r="G2624" s="28" t="s">
        <v>5</v>
      </c>
      <c r="H2624" s="2" t="s">
        <v>35</v>
      </c>
      <c r="I2624" s="2">
        <v>1</v>
      </c>
      <c r="J2624" s="2" t="s">
        <v>3807</v>
      </c>
      <c r="K2624" s="2">
        <v>4958.75</v>
      </c>
      <c r="L2624" s="35">
        <f t="shared" si="137"/>
        <v>16796030.0625</v>
      </c>
      <c r="M2624" s="36">
        <v>125</v>
      </c>
      <c r="N2624" s="40">
        <v>3178.40696368401</v>
      </c>
      <c r="O2624" s="40">
        <v>91799.8</v>
      </c>
      <c r="P2624" s="40">
        <v>0</v>
      </c>
      <c r="Q2624" s="40">
        <v>22000</v>
      </c>
      <c r="R2624" s="40">
        <v>14457.955821789599</v>
      </c>
      <c r="S2624" s="40">
        <v>3316.6978659678002</v>
      </c>
      <c r="T2624" s="40">
        <v>30000</v>
      </c>
      <c r="U2624" s="40">
        <v>55082.366154998097</v>
      </c>
      <c r="V2624" s="40">
        <v>0</v>
      </c>
      <c r="W2624" s="45">
        <f t="shared" si="138"/>
        <v>219835.22680643955</v>
      </c>
      <c r="X2624" s="46">
        <f t="shared" si="139"/>
        <v>1.3088523061009467</v>
      </c>
    </row>
    <row r="2625" spans="1:24" s="4" customFormat="1" ht="15" customHeight="1">
      <c r="A2625" s="28" t="s">
        <v>3483</v>
      </c>
      <c r="B2625" s="29">
        <v>3387.15</v>
      </c>
      <c r="C2625" s="30" t="s">
        <v>3805</v>
      </c>
      <c r="D2625" s="2">
        <v>4951874467</v>
      </c>
      <c r="E2625" s="2" t="s">
        <v>14</v>
      </c>
      <c r="F2625" s="2" t="s">
        <v>3806</v>
      </c>
      <c r="G2625" s="28" t="s">
        <v>5</v>
      </c>
      <c r="H2625" s="2" t="s">
        <v>35</v>
      </c>
      <c r="I2625" s="2">
        <v>1</v>
      </c>
      <c r="J2625" s="2" t="s">
        <v>3807</v>
      </c>
      <c r="K2625" s="2">
        <v>1839.2</v>
      </c>
      <c r="L2625" s="35">
        <f t="shared" si="137"/>
        <v>6229646.2800000003</v>
      </c>
      <c r="M2625" s="36">
        <v>880</v>
      </c>
      <c r="N2625" s="40">
        <v>22375.985024335499</v>
      </c>
      <c r="O2625" s="40">
        <v>91799.8</v>
      </c>
      <c r="P2625" s="40">
        <v>0</v>
      </c>
      <c r="Q2625" s="40">
        <v>22000</v>
      </c>
      <c r="R2625" s="40">
        <v>101784.00898539901</v>
      </c>
      <c r="S2625" s="40">
        <v>23349.552976413299</v>
      </c>
      <c r="T2625" s="40">
        <v>30000</v>
      </c>
      <c r="U2625" s="40">
        <v>387779.85773118702</v>
      </c>
      <c r="V2625" s="40">
        <v>0</v>
      </c>
      <c r="W2625" s="45">
        <f t="shared" si="138"/>
        <v>679089.20471733483</v>
      </c>
      <c r="X2625" s="46">
        <f t="shared" si="139"/>
        <v>10.900927182615813</v>
      </c>
    </row>
    <row r="2626" spans="1:24" s="4" customFormat="1" ht="15" customHeight="1">
      <c r="A2626" s="28" t="s">
        <v>3483</v>
      </c>
      <c r="B2626" s="29">
        <v>3387.15</v>
      </c>
      <c r="C2626" s="30" t="s">
        <v>3805</v>
      </c>
      <c r="D2626" s="2">
        <v>4951574748</v>
      </c>
      <c r="E2626" s="2" t="s">
        <v>14</v>
      </c>
      <c r="F2626" s="2" t="s">
        <v>3806</v>
      </c>
      <c r="G2626" s="28" t="s">
        <v>5</v>
      </c>
      <c r="H2626" s="2" t="s">
        <v>35</v>
      </c>
      <c r="I2626" s="2">
        <v>1</v>
      </c>
      <c r="J2626" s="2" t="s">
        <v>3807</v>
      </c>
      <c r="K2626" s="2">
        <v>1925</v>
      </c>
      <c r="L2626" s="35">
        <f t="shared" si="137"/>
        <v>6520263.75</v>
      </c>
      <c r="M2626" s="36">
        <v>550</v>
      </c>
      <c r="N2626" s="40">
        <v>13984.9906402097</v>
      </c>
      <c r="O2626" s="40">
        <v>91799.8</v>
      </c>
      <c r="P2626" s="40">
        <v>0</v>
      </c>
      <c r="Q2626" s="40">
        <v>22000</v>
      </c>
      <c r="R2626" s="40">
        <v>63615.005615874201</v>
      </c>
      <c r="S2626" s="40">
        <v>14593.4706102583</v>
      </c>
      <c r="T2626" s="40">
        <v>30000</v>
      </c>
      <c r="U2626" s="40">
        <v>242362.411081992</v>
      </c>
      <c r="V2626" s="40">
        <v>0</v>
      </c>
      <c r="W2626" s="45">
        <f t="shared" si="138"/>
        <v>478355.67794833425</v>
      </c>
      <c r="X2626" s="46">
        <f t="shared" si="139"/>
        <v>7.3364467495403733</v>
      </c>
    </row>
    <row r="2627" spans="1:24" s="4" customFormat="1" ht="15" customHeight="1">
      <c r="A2627" s="28" t="s">
        <v>3483</v>
      </c>
      <c r="B2627" s="29">
        <v>3387.15</v>
      </c>
      <c r="C2627" s="30" t="s">
        <v>3805</v>
      </c>
      <c r="D2627" s="2">
        <v>4951325264</v>
      </c>
      <c r="E2627" s="2" t="s">
        <v>14</v>
      </c>
      <c r="F2627" s="2" t="s">
        <v>3806</v>
      </c>
      <c r="G2627" s="28" t="s">
        <v>5</v>
      </c>
      <c r="H2627" s="2" t="s">
        <v>35</v>
      </c>
      <c r="I2627" s="2">
        <v>1</v>
      </c>
      <c r="J2627" s="2" t="s">
        <v>3807</v>
      </c>
      <c r="K2627" s="2">
        <f>3660+3568.5+6679.5+7320</f>
        <v>21228</v>
      </c>
      <c r="L2627" s="35">
        <f t="shared" si="137"/>
        <v>71902420.200000003</v>
      </c>
      <c r="M2627" s="36">
        <f>1000+975+1825+2000</f>
        <v>5800</v>
      </c>
      <c r="N2627" s="40">
        <v>147478.083114938</v>
      </c>
      <c r="O2627" s="40">
        <v>91799.8</v>
      </c>
      <c r="P2627" s="40">
        <v>0</v>
      </c>
      <c r="Q2627" s="40">
        <v>22000</v>
      </c>
      <c r="R2627" s="40">
        <v>670849.15013103699</v>
      </c>
      <c r="S2627" s="40">
        <v>153894.78098090601</v>
      </c>
      <c r="T2627" s="40">
        <v>30000</v>
      </c>
      <c r="U2627" s="40">
        <v>2555821.7895919099</v>
      </c>
      <c r="V2627" s="40">
        <v>0</v>
      </c>
      <c r="W2627" s="45">
        <f t="shared" si="138"/>
        <v>3671843.603818791</v>
      </c>
      <c r="X2627" s="46">
        <f t="shared" si="139"/>
        <v>5.1067037710349439</v>
      </c>
    </row>
    <row r="2628" spans="1:24" s="4" customFormat="1" ht="15" customHeight="1">
      <c r="A2628" s="28" t="s">
        <v>3483</v>
      </c>
      <c r="B2628" s="29">
        <v>3387.15</v>
      </c>
      <c r="C2628" s="30" t="s">
        <v>3808</v>
      </c>
      <c r="D2628" s="2">
        <v>4952423578</v>
      </c>
      <c r="E2628" s="2" t="s">
        <v>21</v>
      </c>
      <c r="F2628" s="2" t="s">
        <v>3809</v>
      </c>
      <c r="G2628" s="28" t="s">
        <v>9</v>
      </c>
      <c r="H2628" s="2" t="s">
        <v>23</v>
      </c>
      <c r="I2628" s="2">
        <v>1</v>
      </c>
      <c r="J2628" s="2"/>
      <c r="K2628" s="2">
        <v>1637.6</v>
      </c>
      <c r="L2628" s="35">
        <f t="shared" si="137"/>
        <v>5546796.8399999999</v>
      </c>
      <c r="M2628" s="36">
        <v>920</v>
      </c>
      <c r="N2628" s="40">
        <v>147478.083114938</v>
      </c>
      <c r="O2628" s="40">
        <v>690</v>
      </c>
      <c r="P2628" s="40">
        <v>0</v>
      </c>
      <c r="Q2628" s="40">
        <v>15921</v>
      </c>
      <c r="R2628" s="40">
        <v>670849.15013103699</v>
      </c>
      <c r="S2628" s="40">
        <v>153894.78098090601</v>
      </c>
      <c r="T2628" s="40"/>
      <c r="U2628" s="40">
        <v>2555821.7895919099</v>
      </c>
      <c r="V2628" s="40">
        <v>0</v>
      </c>
      <c r="W2628" s="45">
        <f t="shared" si="138"/>
        <v>3544654.8038187907</v>
      </c>
      <c r="X2628" s="46">
        <f t="shared" si="139"/>
        <v>63.904536366952833</v>
      </c>
    </row>
    <row r="2629" spans="1:24" s="4" customFormat="1" ht="15" customHeight="1">
      <c r="A2629" s="28" t="s">
        <v>3483</v>
      </c>
      <c r="B2629" s="29">
        <v>3387.15</v>
      </c>
      <c r="C2629" s="30" t="s">
        <v>3810</v>
      </c>
      <c r="D2629" s="2">
        <v>4952461126</v>
      </c>
      <c r="E2629" s="2" t="s">
        <v>14</v>
      </c>
      <c r="F2629" s="2" t="s">
        <v>3811</v>
      </c>
      <c r="G2629" s="28" t="s">
        <v>9</v>
      </c>
      <c r="H2629" s="2" t="s">
        <v>23</v>
      </c>
      <c r="I2629" s="2">
        <v>3</v>
      </c>
      <c r="J2629" s="2"/>
      <c r="K2629" s="2">
        <v>12676.8</v>
      </c>
      <c r="L2629" s="35">
        <f t="shared" si="137"/>
        <v>42938223.119999997</v>
      </c>
      <c r="M2629" s="36">
        <v>2280</v>
      </c>
      <c r="N2629" s="40">
        <v>653717</v>
      </c>
      <c r="O2629" s="40">
        <v>869</v>
      </c>
      <c r="P2629" s="40">
        <v>0</v>
      </c>
      <c r="Q2629" s="40">
        <v>20287</v>
      </c>
      <c r="R2629" s="40">
        <v>904941</v>
      </c>
      <c r="S2629" s="40">
        <v>354356</v>
      </c>
      <c r="T2629" s="40">
        <v>30000</v>
      </c>
      <c r="U2629" s="40">
        <v>1283274.07407407</v>
      </c>
      <c r="V2629" s="40">
        <v>0</v>
      </c>
      <c r="W2629" s="45">
        <f t="shared" si="138"/>
        <v>3247444.07407407</v>
      </c>
      <c r="X2629" s="46">
        <f t="shared" si="139"/>
        <v>7.5630611564861381</v>
      </c>
    </row>
    <row r="2630" spans="1:24" s="4" customFormat="1" ht="15" customHeight="1">
      <c r="A2630" s="28" t="s">
        <v>3483</v>
      </c>
      <c r="B2630" s="29">
        <v>3387.15</v>
      </c>
      <c r="C2630" s="30" t="s">
        <v>3812</v>
      </c>
      <c r="D2630" s="2" t="s">
        <v>3813</v>
      </c>
      <c r="E2630" s="2" t="s">
        <v>14</v>
      </c>
      <c r="F2630" s="2" t="s">
        <v>3814</v>
      </c>
      <c r="G2630" s="28" t="s">
        <v>9</v>
      </c>
      <c r="H2630" s="2" t="s">
        <v>23</v>
      </c>
      <c r="I2630" s="2">
        <v>3</v>
      </c>
      <c r="J2630" s="2"/>
      <c r="K2630" s="2">
        <v>3195</v>
      </c>
      <c r="L2630" s="35">
        <f t="shared" si="137"/>
        <v>10821944.25</v>
      </c>
      <c r="M2630" s="36">
        <v>2250</v>
      </c>
      <c r="N2630" s="40">
        <v>669028</v>
      </c>
      <c r="O2630" s="40">
        <v>869</v>
      </c>
      <c r="P2630" s="40">
        <v>0</v>
      </c>
      <c r="Q2630" s="40">
        <v>20287</v>
      </c>
      <c r="R2630" s="40">
        <v>126195</v>
      </c>
      <c r="S2630" s="40">
        <v>354356</v>
      </c>
      <c r="T2630" s="40">
        <v>30000</v>
      </c>
      <c r="U2630" s="40">
        <v>1206266.06683805</v>
      </c>
      <c r="V2630" s="40">
        <v>0</v>
      </c>
      <c r="W2630" s="45">
        <f t="shared" si="138"/>
        <v>2407001.0668380503</v>
      </c>
      <c r="X2630" s="46">
        <f t="shared" si="139"/>
        <v>22.241854247567854</v>
      </c>
    </row>
    <row r="2631" spans="1:24" s="4" customFormat="1" ht="15" customHeight="1">
      <c r="A2631" s="28" t="s">
        <v>3483</v>
      </c>
      <c r="B2631" s="29">
        <v>3387.15</v>
      </c>
      <c r="C2631" s="30" t="s">
        <v>3815</v>
      </c>
      <c r="D2631" s="2">
        <v>4952547959</v>
      </c>
      <c r="E2631" s="2" t="s">
        <v>14</v>
      </c>
      <c r="F2631" s="2" t="s">
        <v>3816</v>
      </c>
      <c r="G2631" s="28" t="s">
        <v>9</v>
      </c>
      <c r="H2631" s="2" t="s">
        <v>23</v>
      </c>
      <c r="I2631" s="2">
        <v>1</v>
      </c>
      <c r="J2631" s="2"/>
      <c r="K2631" s="2">
        <v>4946.3999999999996</v>
      </c>
      <c r="L2631" s="35">
        <f t="shared" si="137"/>
        <v>16754198.76</v>
      </c>
      <c r="M2631" s="36">
        <v>720</v>
      </c>
      <c r="N2631" s="40">
        <v>762472</v>
      </c>
      <c r="O2631" s="40">
        <v>552</v>
      </c>
      <c r="P2631" s="40">
        <v>0</v>
      </c>
      <c r="Q2631" s="40">
        <v>16287</v>
      </c>
      <c r="R2631" s="40">
        <v>103589</v>
      </c>
      <c r="S2631" s="40">
        <v>354356</v>
      </c>
      <c r="T2631" s="40">
        <v>30000</v>
      </c>
      <c r="U2631" s="40">
        <v>386005.14138817502</v>
      </c>
      <c r="V2631" s="40">
        <v>0</v>
      </c>
      <c r="W2631" s="45">
        <f t="shared" si="138"/>
        <v>1653261.1413881751</v>
      </c>
      <c r="X2631" s="46">
        <f t="shared" si="139"/>
        <v>9.8677422004522946</v>
      </c>
    </row>
    <row r="2632" spans="1:24" s="4" customFormat="1" ht="15" customHeight="1">
      <c r="A2632" s="28" t="s">
        <v>3483</v>
      </c>
      <c r="B2632" s="29">
        <v>3387.15</v>
      </c>
      <c r="C2632" s="30" t="s">
        <v>3817</v>
      </c>
      <c r="D2632" s="2">
        <v>4947229915</v>
      </c>
      <c r="E2632" s="2" t="s">
        <v>6</v>
      </c>
      <c r="F2632" s="2" t="s">
        <v>3818</v>
      </c>
      <c r="G2632" s="28" t="s">
        <v>9</v>
      </c>
      <c r="H2632" s="2" t="s">
        <v>23</v>
      </c>
      <c r="I2632" s="2">
        <v>5</v>
      </c>
      <c r="J2632" s="2"/>
      <c r="K2632" s="2">
        <v>7525</v>
      </c>
      <c r="L2632" s="35">
        <f t="shared" si="137"/>
        <v>25488303.75</v>
      </c>
      <c r="M2632" s="36">
        <v>4375</v>
      </c>
      <c r="N2632" s="40">
        <v>696336</v>
      </c>
      <c r="O2632" s="40">
        <v>3088</v>
      </c>
      <c r="P2632" s="40">
        <v>47252</v>
      </c>
      <c r="Q2632" s="40">
        <v>71225</v>
      </c>
      <c r="R2632" s="40">
        <v>164218</v>
      </c>
      <c r="S2632" s="40">
        <v>354356</v>
      </c>
      <c r="T2632" s="40">
        <v>30000</v>
      </c>
      <c r="U2632" s="40">
        <v>2085500</v>
      </c>
      <c r="V2632" s="40">
        <v>0</v>
      </c>
      <c r="W2632" s="45">
        <f t="shared" si="138"/>
        <v>3451975</v>
      </c>
      <c r="X2632" s="46">
        <f t="shared" si="139"/>
        <v>13.54336888738624</v>
      </c>
    </row>
    <row r="2633" spans="1:24" s="4" customFormat="1" ht="15" customHeight="1">
      <c r="A2633" s="28" t="s">
        <v>3483</v>
      </c>
      <c r="B2633" s="29">
        <v>3387.15</v>
      </c>
      <c r="C2633" s="30" t="s">
        <v>3819</v>
      </c>
      <c r="D2633" s="2">
        <v>4951574729</v>
      </c>
      <c r="E2633" s="2" t="s">
        <v>18</v>
      </c>
      <c r="F2633" s="2" t="s">
        <v>3820</v>
      </c>
      <c r="G2633" s="28" t="s">
        <v>5</v>
      </c>
      <c r="H2633" s="2" t="s">
        <v>32</v>
      </c>
      <c r="I2633" s="2">
        <v>1</v>
      </c>
      <c r="J2633" s="2" t="s">
        <v>3821</v>
      </c>
      <c r="K2633" s="2">
        <v>40272</v>
      </c>
      <c r="L2633" s="35">
        <f t="shared" si="137"/>
        <v>136407304.80000001</v>
      </c>
      <c r="M2633" s="36">
        <v>2400</v>
      </c>
      <c r="N2633" s="40">
        <v>127342.875</v>
      </c>
      <c r="O2633" s="40">
        <v>174939.5</v>
      </c>
      <c r="P2633" s="40">
        <v>0</v>
      </c>
      <c r="Q2633" s="40">
        <v>55000</v>
      </c>
      <c r="R2633" s="40">
        <v>485181.75</v>
      </c>
      <c r="S2633" s="40">
        <v>132883.5</v>
      </c>
      <c r="T2633" s="40">
        <v>30000</v>
      </c>
      <c r="U2633" s="40">
        <v>1966868.625</v>
      </c>
      <c r="V2633" s="40">
        <v>0</v>
      </c>
      <c r="W2633" s="45">
        <f t="shared" si="138"/>
        <v>2972216.25</v>
      </c>
      <c r="X2633" s="46">
        <f t="shared" si="139"/>
        <v>2.1789274807224248</v>
      </c>
    </row>
    <row r="2634" spans="1:24" s="4" customFormat="1" ht="15" customHeight="1">
      <c r="A2634" s="28" t="s">
        <v>3483</v>
      </c>
      <c r="B2634" s="29">
        <v>3387.15</v>
      </c>
      <c r="C2634" s="30" t="s">
        <v>3819</v>
      </c>
      <c r="D2634" s="2">
        <v>4951574726</v>
      </c>
      <c r="E2634" s="2" t="s">
        <v>18</v>
      </c>
      <c r="F2634" s="2" t="s">
        <v>3820</v>
      </c>
      <c r="G2634" s="28" t="s">
        <v>5</v>
      </c>
      <c r="H2634" s="2" t="s">
        <v>32</v>
      </c>
      <c r="I2634" s="2">
        <v>1</v>
      </c>
      <c r="J2634" s="2" t="s">
        <v>3821</v>
      </c>
      <c r="K2634" s="2">
        <v>50760</v>
      </c>
      <c r="L2634" s="35">
        <f t="shared" si="137"/>
        <v>171931734</v>
      </c>
      <c r="M2634" s="36">
        <v>4000</v>
      </c>
      <c r="N2634" s="40">
        <v>212238.125</v>
      </c>
      <c r="O2634" s="40">
        <v>174939.5</v>
      </c>
      <c r="P2634" s="40">
        <v>0</v>
      </c>
      <c r="Q2634" s="40">
        <v>55000</v>
      </c>
      <c r="R2634" s="40">
        <v>808636.25</v>
      </c>
      <c r="S2634" s="40">
        <v>221472.5</v>
      </c>
      <c r="T2634" s="40">
        <v>30000</v>
      </c>
      <c r="U2634" s="40">
        <v>3278114.375</v>
      </c>
      <c r="V2634" s="40">
        <v>0</v>
      </c>
      <c r="W2634" s="45">
        <f t="shared" si="138"/>
        <v>4780400.75</v>
      </c>
      <c r="X2634" s="46">
        <f t="shared" si="139"/>
        <v>2.780406291953061</v>
      </c>
    </row>
    <row r="2635" spans="1:24" s="4" customFormat="1" ht="15" customHeight="1">
      <c r="A2635" s="28" t="s">
        <v>3483</v>
      </c>
      <c r="B2635" s="29">
        <v>3387.15</v>
      </c>
      <c r="C2635" s="30" t="s">
        <v>3822</v>
      </c>
      <c r="D2635" s="2" t="s">
        <v>3823</v>
      </c>
      <c r="E2635" s="2" t="s">
        <v>14</v>
      </c>
      <c r="F2635" s="2" t="s">
        <v>3824</v>
      </c>
      <c r="G2635" s="28" t="s">
        <v>5</v>
      </c>
      <c r="H2635" s="2" t="s">
        <v>20</v>
      </c>
      <c r="I2635" s="2">
        <v>1</v>
      </c>
      <c r="J2635" s="2" t="s">
        <v>3825</v>
      </c>
      <c r="K2635" s="2">
        <v>32640</v>
      </c>
      <c r="L2635" s="35">
        <f t="shared" si="137"/>
        <v>110556576</v>
      </c>
      <c r="M2635" s="36">
        <v>6000</v>
      </c>
      <c r="N2635" s="40">
        <v>349447</v>
      </c>
      <c r="O2635" s="40">
        <v>349879</v>
      </c>
      <c r="P2635" s="40">
        <v>763481</v>
      </c>
      <c r="Q2635" s="40">
        <v>110000</v>
      </c>
      <c r="R2635" s="40">
        <v>662118</v>
      </c>
      <c r="S2635" s="40">
        <v>354356</v>
      </c>
      <c r="T2635" s="40">
        <v>30000</v>
      </c>
      <c r="U2635" s="40">
        <v>3501700</v>
      </c>
      <c r="V2635" s="40">
        <v>0</v>
      </c>
      <c r="W2635" s="45">
        <f t="shared" si="138"/>
        <v>6120981</v>
      </c>
      <c r="X2635" s="46">
        <f t="shared" si="139"/>
        <v>5.5365146257785698</v>
      </c>
    </row>
    <row r="2636" spans="1:24" s="4" customFormat="1" ht="15" customHeight="1">
      <c r="A2636" s="28" t="s">
        <v>3483</v>
      </c>
      <c r="B2636" s="29">
        <v>3387.15</v>
      </c>
      <c r="C2636" s="30" t="s">
        <v>3826</v>
      </c>
      <c r="D2636" s="2">
        <v>4952577875</v>
      </c>
      <c r="E2636" s="2" t="s">
        <v>14</v>
      </c>
      <c r="F2636" s="2" t="s">
        <v>3827</v>
      </c>
      <c r="G2636" s="28" t="s">
        <v>9</v>
      </c>
      <c r="H2636" s="2" t="s">
        <v>23</v>
      </c>
      <c r="I2636" s="2">
        <v>1</v>
      </c>
      <c r="J2636" s="2"/>
      <c r="K2636" s="2">
        <v>3967.5</v>
      </c>
      <c r="L2636" s="35">
        <f t="shared" si="137"/>
        <v>13438517.625</v>
      </c>
      <c r="M2636" s="36">
        <v>150</v>
      </c>
      <c r="N2636" s="40">
        <v>496838</v>
      </c>
      <c r="O2636" s="40">
        <v>136</v>
      </c>
      <c r="P2636" s="40">
        <v>0</v>
      </c>
      <c r="Q2636" s="40">
        <v>2895</v>
      </c>
      <c r="R2636" s="40">
        <v>88663</v>
      </c>
      <c r="S2636" s="40">
        <v>354356</v>
      </c>
      <c r="T2636" s="40">
        <v>30000</v>
      </c>
      <c r="U2636" s="40">
        <v>84425.925925925898</v>
      </c>
      <c r="V2636" s="40">
        <v>0</v>
      </c>
      <c r="W2636" s="45">
        <f t="shared" si="138"/>
        <v>1057313.9259259258</v>
      </c>
      <c r="X2636" s="46">
        <f t="shared" si="139"/>
        <v>7.8677868752352502</v>
      </c>
    </row>
    <row r="2637" spans="1:24" s="4" customFormat="1" ht="15" customHeight="1">
      <c r="A2637" s="28" t="s">
        <v>3483</v>
      </c>
      <c r="B2637" s="29">
        <v>3387.15</v>
      </c>
      <c r="C2637" s="30" t="s">
        <v>3828</v>
      </c>
      <c r="D2637" s="2">
        <v>4952024018</v>
      </c>
      <c r="E2637" s="2" t="s">
        <v>14</v>
      </c>
      <c r="F2637" s="2" t="s">
        <v>3829</v>
      </c>
      <c r="G2637" s="28" t="s">
        <v>9</v>
      </c>
      <c r="H2637" s="2" t="s">
        <v>23</v>
      </c>
      <c r="I2637" s="2">
        <v>1</v>
      </c>
      <c r="J2637" s="2"/>
      <c r="K2637" s="2">
        <v>2870</v>
      </c>
      <c r="L2637" s="35">
        <f t="shared" si="137"/>
        <v>9721120.5</v>
      </c>
      <c r="M2637" s="36">
        <v>1000</v>
      </c>
      <c r="N2637" s="40">
        <v>649559</v>
      </c>
      <c r="O2637" s="40">
        <v>722</v>
      </c>
      <c r="P2637" s="40">
        <v>0</v>
      </c>
      <c r="Q2637" s="40">
        <v>16366</v>
      </c>
      <c r="R2637" s="40">
        <v>103333</v>
      </c>
      <c r="S2637" s="40">
        <v>354356</v>
      </c>
      <c r="T2637" s="40">
        <v>30000</v>
      </c>
      <c r="U2637" s="40">
        <v>781542.85714285704</v>
      </c>
      <c r="V2637" s="40">
        <v>0</v>
      </c>
      <c r="W2637" s="45">
        <f t="shared" si="138"/>
        <v>1935878.857142857</v>
      </c>
      <c r="X2637" s="46">
        <f t="shared" si="139"/>
        <v>19.914153488199812</v>
      </c>
    </row>
    <row r="2638" spans="1:24" s="4" customFormat="1" ht="15" customHeight="1">
      <c r="A2638" s="28" t="s">
        <v>3483</v>
      </c>
      <c r="B2638" s="29">
        <v>3387.15</v>
      </c>
      <c r="C2638" s="30" t="s">
        <v>3830</v>
      </c>
      <c r="D2638" s="2">
        <v>4951874487</v>
      </c>
      <c r="E2638" s="2" t="s">
        <v>14</v>
      </c>
      <c r="F2638" s="2" t="s">
        <v>3831</v>
      </c>
      <c r="G2638" s="28" t="s">
        <v>5</v>
      </c>
      <c r="H2638" s="2" t="s">
        <v>20</v>
      </c>
      <c r="I2638" s="2">
        <v>7</v>
      </c>
      <c r="J2638" s="2" t="s">
        <v>3832</v>
      </c>
      <c r="K2638" s="2">
        <v>1792</v>
      </c>
      <c r="L2638" s="35">
        <f t="shared" si="137"/>
        <v>6069772.7999999998</v>
      </c>
      <c r="M2638" s="36">
        <v>800</v>
      </c>
      <c r="N2638" s="40">
        <v>410359.676000926</v>
      </c>
      <c r="O2638" s="40">
        <v>816384.33333333302</v>
      </c>
      <c r="P2638" s="40">
        <v>471452</v>
      </c>
      <c r="Q2638" s="40">
        <v>53474.307692307702</v>
      </c>
      <c r="R2638" s="40">
        <v>642189.5</v>
      </c>
      <c r="S2638" s="40">
        <v>52485.035871326101</v>
      </c>
      <c r="T2638" s="40">
        <v>30000</v>
      </c>
      <c r="U2638" s="40">
        <v>0</v>
      </c>
      <c r="V2638" s="40">
        <v>0</v>
      </c>
      <c r="W2638" s="45">
        <f t="shared" si="138"/>
        <v>2476344.8528978927</v>
      </c>
      <c r="X2638" s="46">
        <f t="shared" si="139"/>
        <v>40.797982634504756</v>
      </c>
    </row>
    <row r="2639" spans="1:24" s="4" customFormat="1" ht="15" customHeight="1">
      <c r="A2639" s="28" t="s">
        <v>3483</v>
      </c>
      <c r="B2639" s="29">
        <v>3387.15</v>
      </c>
      <c r="C2639" s="30" t="s">
        <v>3830</v>
      </c>
      <c r="D2639" s="2">
        <v>4951325268</v>
      </c>
      <c r="E2639" s="2" t="s">
        <v>14</v>
      </c>
      <c r="F2639" s="2" t="s">
        <v>3831</v>
      </c>
      <c r="G2639" s="28" t="s">
        <v>5</v>
      </c>
      <c r="H2639" s="2" t="s">
        <v>20</v>
      </c>
      <c r="I2639" s="2">
        <v>7</v>
      </c>
      <c r="J2639" s="2" t="s">
        <v>3832</v>
      </c>
      <c r="K2639" s="2">
        <v>3360</v>
      </c>
      <c r="L2639" s="35">
        <f t="shared" si="137"/>
        <v>11380824</v>
      </c>
      <c r="M2639" s="36">
        <v>4000</v>
      </c>
      <c r="N2639" s="40">
        <v>410359.676000926</v>
      </c>
      <c r="O2639" s="40">
        <v>816384.33333333302</v>
      </c>
      <c r="P2639" s="40">
        <v>471452</v>
      </c>
      <c r="Q2639" s="40">
        <v>53474.307692307702</v>
      </c>
      <c r="R2639" s="40">
        <v>642189.5</v>
      </c>
      <c r="S2639" s="40">
        <v>52485.035871326101</v>
      </c>
      <c r="T2639" s="40">
        <v>30000</v>
      </c>
      <c r="U2639" s="40">
        <v>0</v>
      </c>
      <c r="V2639" s="40">
        <v>0</v>
      </c>
      <c r="W2639" s="45">
        <f t="shared" si="138"/>
        <v>2476344.8528978927</v>
      </c>
      <c r="X2639" s="46">
        <f t="shared" si="139"/>
        <v>21.758924071735866</v>
      </c>
    </row>
    <row r="2640" spans="1:24" s="4" customFormat="1" ht="15" customHeight="1">
      <c r="A2640" s="28" t="s">
        <v>3483</v>
      </c>
      <c r="B2640" s="29">
        <v>3387.15</v>
      </c>
      <c r="C2640" s="30" t="s">
        <v>3830</v>
      </c>
      <c r="D2640" s="2">
        <v>4951726518</v>
      </c>
      <c r="E2640" s="2" t="s">
        <v>14</v>
      </c>
      <c r="F2640" s="2" t="s">
        <v>3831</v>
      </c>
      <c r="G2640" s="28" t="s">
        <v>5</v>
      </c>
      <c r="H2640" s="2" t="s">
        <v>20</v>
      </c>
      <c r="I2640" s="2">
        <v>7</v>
      </c>
      <c r="J2640" s="2" t="s">
        <v>3832</v>
      </c>
      <c r="K2640" s="2">
        <v>13440</v>
      </c>
      <c r="L2640" s="35">
        <f t="shared" si="137"/>
        <v>45523296</v>
      </c>
      <c r="M2640" s="36">
        <v>16000</v>
      </c>
      <c r="N2640" s="40">
        <v>1292632.97940292</v>
      </c>
      <c r="O2640" s="40">
        <v>816384.33333333302</v>
      </c>
      <c r="P2640" s="40">
        <v>919247.60539296304</v>
      </c>
      <c r="Q2640" s="40">
        <v>53474.307692307702</v>
      </c>
      <c r="R2640" s="40">
        <v>2482004.9299572501</v>
      </c>
      <c r="S2640" s="40">
        <v>165327.86299467701</v>
      </c>
      <c r="T2640" s="40">
        <v>30000</v>
      </c>
      <c r="U2640" s="40">
        <f>519300*3</f>
        <v>1557900</v>
      </c>
      <c r="V2640" s="40">
        <v>0</v>
      </c>
      <c r="W2640" s="45">
        <f t="shared" si="138"/>
        <v>7316972.0187734514</v>
      </c>
      <c r="X2640" s="46">
        <f t="shared" si="139"/>
        <v>16.073027793887004</v>
      </c>
    </row>
    <row r="2641" spans="1:24" s="4" customFormat="1" ht="15" customHeight="1">
      <c r="A2641" s="28" t="s">
        <v>3483</v>
      </c>
      <c r="B2641" s="29">
        <v>3387.15</v>
      </c>
      <c r="C2641" s="30" t="s">
        <v>3830</v>
      </c>
      <c r="D2641" s="2">
        <v>4951411359</v>
      </c>
      <c r="E2641" s="2" t="s">
        <v>14</v>
      </c>
      <c r="F2641" s="2" t="s">
        <v>3831</v>
      </c>
      <c r="G2641" s="28" t="s">
        <v>5</v>
      </c>
      <c r="H2641" s="2" t="s">
        <v>20</v>
      </c>
      <c r="I2641" s="2">
        <v>7</v>
      </c>
      <c r="J2641" s="2" t="s">
        <v>3832</v>
      </c>
      <c r="K2641" s="2">
        <v>3360</v>
      </c>
      <c r="L2641" s="35">
        <f t="shared" si="137"/>
        <v>11380824</v>
      </c>
      <c r="M2641" s="36">
        <v>4000</v>
      </c>
      <c r="N2641" s="40">
        <v>20517.983800046299</v>
      </c>
      <c r="O2641" s="40">
        <v>816384.33333333302</v>
      </c>
      <c r="P2641" s="40">
        <v>14591.231831634301</v>
      </c>
      <c r="Q2641" s="40">
        <v>53474.307692307702</v>
      </c>
      <c r="R2641" s="40">
        <v>39396.903650115099</v>
      </c>
      <c r="S2641" s="40">
        <v>2624.2517935663</v>
      </c>
      <c r="T2641" s="40">
        <v>30000</v>
      </c>
      <c r="U2641" s="40">
        <v>224093.65853658499</v>
      </c>
      <c r="V2641" s="40">
        <v>0</v>
      </c>
      <c r="W2641" s="45">
        <f t="shared" si="138"/>
        <v>1201082.6706375878</v>
      </c>
      <c r="X2641" s="46">
        <f t="shared" si="139"/>
        <v>10.55356510774253</v>
      </c>
    </row>
    <row r="2642" spans="1:24" s="4" customFormat="1" ht="15" customHeight="1">
      <c r="A2642" s="28" t="s">
        <v>3483</v>
      </c>
      <c r="B2642" s="29">
        <v>3387.15</v>
      </c>
      <c r="C2642" s="30" t="s">
        <v>3830</v>
      </c>
      <c r="D2642" s="2">
        <v>4951874488</v>
      </c>
      <c r="E2642" s="2" t="s">
        <v>14</v>
      </c>
      <c r="F2642" s="2" t="s">
        <v>3831</v>
      </c>
      <c r="G2642" s="28" t="s">
        <v>5</v>
      </c>
      <c r="H2642" s="2" t="s">
        <v>20</v>
      </c>
      <c r="I2642" s="2">
        <v>7</v>
      </c>
      <c r="J2642" s="2" t="s">
        <v>3832</v>
      </c>
      <c r="K2642" s="2">
        <v>13440</v>
      </c>
      <c r="L2642" s="35">
        <f t="shared" si="137"/>
        <v>45523296</v>
      </c>
      <c r="M2642" s="36">
        <v>16000</v>
      </c>
      <c r="N2642" s="40">
        <v>46165.463550104098</v>
      </c>
      <c r="O2642" s="40">
        <v>816384.33333333302</v>
      </c>
      <c r="P2642" s="40">
        <v>32830.271621177199</v>
      </c>
      <c r="Q2642" s="40">
        <v>53474.307692307702</v>
      </c>
      <c r="R2642" s="40">
        <v>88643.033212758906</v>
      </c>
      <c r="S2642" s="40">
        <v>5904.5665355241799</v>
      </c>
      <c r="T2642" s="40">
        <v>30000</v>
      </c>
      <c r="U2642" s="40">
        <v>504210.731707317</v>
      </c>
      <c r="V2642" s="40">
        <v>0</v>
      </c>
      <c r="W2642" s="45">
        <f t="shared" si="138"/>
        <v>1577612.7076525223</v>
      </c>
      <c r="X2642" s="46">
        <f t="shared" si="139"/>
        <v>3.4655063369148893</v>
      </c>
    </row>
    <row r="2643" spans="1:24" s="4" customFormat="1" ht="15" customHeight="1">
      <c r="A2643" s="28" t="s">
        <v>3483</v>
      </c>
      <c r="B2643" s="29">
        <v>3387.15</v>
      </c>
      <c r="C2643" s="30" t="s">
        <v>3830</v>
      </c>
      <c r="D2643" s="2">
        <v>4951874487</v>
      </c>
      <c r="E2643" s="2" t="s">
        <v>14</v>
      </c>
      <c r="F2643" s="2" t="s">
        <v>3831</v>
      </c>
      <c r="G2643" s="28" t="s">
        <v>5</v>
      </c>
      <c r="H2643" s="2" t="s">
        <v>20</v>
      </c>
      <c r="I2643" s="2">
        <v>7</v>
      </c>
      <c r="J2643" s="2" t="s">
        <v>3832</v>
      </c>
      <c r="K2643" s="2">
        <v>1792</v>
      </c>
      <c r="L2643" s="35">
        <f t="shared" si="137"/>
        <v>6069772.7999999998</v>
      </c>
      <c r="M2643" s="36">
        <v>800</v>
      </c>
      <c r="N2643" s="40">
        <v>256474.79750057901</v>
      </c>
      <c r="O2643" s="40">
        <v>816384.33333333302</v>
      </c>
      <c r="P2643" s="40">
        <v>182390.39789542899</v>
      </c>
      <c r="Q2643" s="40">
        <v>53474.307692307702</v>
      </c>
      <c r="R2643" s="40">
        <v>492461.29562643898</v>
      </c>
      <c r="S2643" s="40">
        <v>32803.147419578803</v>
      </c>
      <c r="T2643" s="40">
        <v>30000</v>
      </c>
      <c r="U2643" s="40">
        <v>2801170.7317073201</v>
      </c>
      <c r="V2643" s="40">
        <v>0</v>
      </c>
      <c r="W2643" s="45">
        <f t="shared" si="138"/>
        <v>4665159.0111749861</v>
      </c>
      <c r="X2643" s="46">
        <f t="shared" si="139"/>
        <v>76.858873715585958</v>
      </c>
    </row>
    <row r="2644" spans="1:24" s="4" customFormat="1" ht="15" customHeight="1">
      <c r="A2644" s="28" t="s">
        <v>3483</v>
      </c>
      <c r="B2644" s="29">
        <v>3387.15</v>
      </c>
      <c r="C2644" s="30" t="s">
        <v>3830</v>
      </c>
      <c r="D2644" s="2">
        <v>4951814728</v>
      </c>
      <c r="E2644" s="2" t="s">
        <v>14</v>
      </c>
      <c r="F2644" s="2" t="s">
        <v>3831</v>
      </c>
      <c r="G2644" s="28" t="s">
        <v>5</v>
      </c>
      <c r="H2644" s="2" t="s">
        <v>20</v>
      </c>
      <c r="I2644" s="2">
        <v>7</v>
      </c>
      <c r="J2644" s="2" t="s">
        <v>3832</v>
      </c>
      <c r="K2644" s="2">
        <f>35616+35616</f>
        <v>71232</v>
      </c>
      <c r="L2644" s="35">
        <f t="shared" si="137"/>
        <v>241273468.80000001</v>
      </c>
      <c r="M2644" s="36">
        <f>16800+16800</f>
        <v>33600</v>
      </c>
      <c r="N2644" s="40">
        <v>102589.91900023101</v>
      </c>
      <c r="O2644" s="40">
        <v>816384.33333333302</v>
      </c>
      <c r="P2644" s="40">
        <v>72956.159158171606</v>
      </c>
      <c r="Q2644" s="40">
        <v>53474.307692307702</v>
      </c>
      <c r="R2644" s="40">
        <v>196984.518250575</v>
      </c>
      <c r="S2644" s="40">
        <v>13121.2589678315</v>
      </c>
      <c r="T2644" s="40">
        <v>30000</v>
      </c>
      <c r="U2644" s="40">
        <v>1120468.2926829299</v>
      </c>
      <c r="V2644" s="40">
        <v>0</v>
      </c>
      <c r="W2644" s="45">
        <f t="shared" si="138"/>
        <v>2405978.7890853798</v>
      </c>
      <c r="X2644" s="46">
        <f t="shared" si="139"/>
        <v>0.99719989978665236</v>
      </c>
    </row>
    <row r="2645" spans="1:24" s="4" customFormat="1" ht="15" customHeight="1">
      <c r="A2645" s="28" t="s">
        <v>3483</v>
      </c>
      <c r="B2645" s="29">
        <v>3387.15</v>
      </c>
      <c r="C2645" s="30" t="s">
        <v>3830</v>
      </c>
      <c r="D2645" s="2">
        <v>4951873560</v>
      </c>
      <c r="E2645" s="2" t="s">
        <v>14</v>
      </c>
      <c r="F2645" s="2" t="s">
        <v>3831</v>
      </c>
      <c r="G2645" s="28" t="s">
        <v>5</v>
      </c>
      <c r="H2645" s="2" t="s">
        <v>20</v>
      </c>
      <c r="I2645" s="2">
        <v>7</v>
      </c>
      <c r="J2645" s="2" t="s">
        <v>3832</v>
      </c>
      <c r="K2645" s="2">
        <v>17647.7</v>
      </c>
      <c r="L2645" s="35">
        <f t="shared" si="137"/>
        <v>59775407.055000007</v>
      </c>
      <c r="M2645" s="36">
        <v>1200</v>
      </c>
      <c r="N2645" s="40">
        <v>102589.91900023101</v>
      </c>
      <c r="O2645" s="40">
        <v>816384.33333333302</v>
      </c>
      <c r="P2645" s="40">
        <v>72956.159158171606</v>
      </c>
      <c r="Q2645" s="40">
        <v>53474.307692307702</v>
      </c>
      <c r="R2645" s="40">
        <v>196984.518250575</v>
      </c>
      <c r="S2645" s="40">
        <v>13121.2589678315</v>
      </c>
      <c r="T2645" s="40">
        <v>30000</v>
      </c>
      <c r="U2645" s="40">
        <v>1120468.2926829299</v>
      </c>
      <c r="V2645" s="40">
        <v>0</v>
      </c>
      <c r="W2645" s="45">
        <f t="shared" si="138"/>
        <v>2405978.7890853798</v>
      </c>
      <c r="X2645" s="46">
        <f t="shared" si="139"/>
        <v>4.0250312086902431</v>
      </c>
    </row>
    <row r="2646" spans="1:24" s="4" customFormat="1" ht="15" customHeight="1">
      <c r="A2646" s="28" t="s">
        <v>3483</v>
      </c>
      <c r="B2646" s="29">
        <v>3387.15</v>
      </c>
      <c r="C2646" s="30" t="s">
        <v>3830</v>
      </c>
      <c r="D2646" s="2">
        <v>4951873560</v>
      </c>
      <c r="E2646" s="2" t="s">
        <v>14</v>
      </c>
      <c r="F2646" s="2" t="s">
        <v>3831</v>
      </c>
      <c r="G2646" s="28" t="s">
        <v>5</v>
      </c>
      <c r="H2646" s="2" t="s">
        <v>20</v>
      </c>
      <c r="I2646" s="2">
        <v>7</v>
      </c>
      <c r="J2646" s="2" t="s">
        <v>3832</v>
      </c>
      <c r="K2646" s="2">
        <v>6662.7</v>
      </c>
      <c r="L2646" s="35">
        <f t="shared" si="137"/>
        <v>22567564.305</v>
      </c>
      <c r="M2646" s="36">
        <v>825</v>
      </c>
      <c r="N2646" s="40">
        <v>30776.975700069401</v>
      </c>
      <c r="O2646" s="40">
        <v>816384.33333333302</v>
      </c>
      <c r="P2646" s="40">
        <v>21886.847747451498</v>
      </c>
      <c r="Q2646" s="40">
        <v>53474.307692307702</v>
      </c>
      <c r="R2646" s="40">
        <v>59095.355475172597</v>
      </c>
      <c r="S2646" s="40">
        <v>3936.37769034946</v>
      </c>
      <c r="T2646" s="40">
        <v>30000</v>
      </c>
      <c r="U2646" s="40">
        <v>336140.48780487798</v>
      </c>
      <c r="V2646" s="40">
        <v>0</v>
      </c>
      <c r="W2646" s="45">
        <f t="shared" si="138"/>
        <v>1351694.6854435618</v>
      </c>
      <c r="X2646" s="46">
        <f t="shared" si="139"/>
        <v>5.9895461786458029</v>
      </c>
    </row>
    <row r="2647" spans="1:24" s="4" customFormat="1" ht="15" customHeight="1">
      <c r="A2647" s="28" t="s">
        <v>3483</v>
      </c>
      <c r="B2647" s="29">
        <v>3387.15</v>
      </c>
      <c r="C2647" s="30" t="s">
        <v>3830</v>
      </c>
      <c r="D2647" s="2">
        <v>4951873560</v>
      </c>
      <c r="E2647" s="2" t="s">
        <v>14</v>
      </c>
      <c r="F2647" s="2" t="s">
        <v>3831</v>
      </c>
      <c r="G2647" s="28" t="s">
        <v>5</v>
      </c>
      <c r="H2647" s="2" t="s">
        <v>20</v>
      </c>
      <c r="I2647" s="2">
        <v>7</v>
      </c>
      <c r="J2647" s="2" t="s">
        <v>3832</v>
      </c>
      <c r="K2647" s="2">
        <v>4292</v>
      </c>
      <c r="L2647" s="35">
        <f t="shared" si="137"/>
        <v>14537647.800000001</v>
      </c>
      <c r="M2647" s="36">
        <v>1000</v>
      </c>
      <c r="N2647" s="40">
        <v>21159.170793797701</v>
      </c>
      <c r="O2647" s="40">
        <v>816384.33333333302</v>
      </c>
      <c r="P2647" s="40">
        <v>15047.2078263729</v>
      </c>
      <c r="Q2647" s="40">
        <v>53474.307692307702</v>
      </c>
      <c r="R2647" s="40">
        <v>40628.0568891812</v>
      </c>
      <c r="S2647" s="40">
        <v>2706.2596621152502</v>
      </c>
      <c r="T2647" s="40">
        <v>30000</v>
      </c>
      <c r="U2647" s="40">
        <v>231096.585365854</v>
      </c>
      <c r="V2647" s="40">
        <v>0</v>
      </c>
      <c r="W2647" s="45">
        <f t="shared" si="138"/>
        <v>1210495.9215629618</v>
      </c>
      <c r="X2647" s="46">
        <f t="shared" si="139"/>
        <v>8.3266284767399696</v>
      </c>
    </row>
    <row r="2648" spans="1:24" s="4" customFormat="1" ht="15" customHeight="1">
      <c r="A2648" s="28" t="s">
        <v>3483</v>
      </c>
      <c r="B2648" s="29">
        <v>3387.15</v>
      </c>
      <c r="C2648" s="30" t="s">
        <v>3830</v>
      </c>
      <c r="D2648" s="2">
        <v>4951873560</v>
      </c>
      <c r="E2648" s="2" t="s">
        <v>14</v>
      </c>
      <c r="F2648" s="2" t="s">
        <v>3831</v>
      </c>
      <c r="G2648" s="28" t="s">
        <v>5</v>
      </c>
      <c r="H2648" s="2" t="s">
        <v>20</v>
      </c>
      <c r="I2648" s="2">
        <v>7</v>
      </c>
      <c r="J2648" s="2" t="s">
        <v>3832</v>
      </c>
      <c r="K2648" s="2">
        <v>2838</v>
      </c>
      <c r="L2648" s="35">
        <f t="shared" si="137"/>
        <v>9612731.7000000011</v>
      </c>
      <c r="M2648" s="36">
        <v>1000</v>
      </c>
      <c r="N2648" s="40">
        <v>25647.479750057901</v>
      </c>
      <c r="O2648" s="40">
        <v>816384.33333333302</v>
      </c>
      <c r="P2648" s="40">
        <v>18239.039789542901</v>
      </c>
      <c r="Q2648" s="40">
        <v>53474.307692307702</v>
      </c>
      <c r="R2648" s="40">
        <v>49246.129562643902</v>
      </c>
      <c r="S2648" s="40">
        <v>3280.31474195788</v>
      </c>
      <c r="T2648" s="40">
        <v>30000</v>
      </c>
      <c r="U2648" s="40">
        <v>280117.07317073201</v>
      </c>
      <c r="V2648" s="40">
        <v>0</v>
      </c>
      <c r="W2648" s="45">
        <f t="shared" si="138"/>
        <v>1276388.6780405755</v>
      </c>
      <c r="X2648" s="46">
        <f t="shared" si="139"/>
        <v>13.27810572348103</v>
      </c>
    </row>
    <row r="2649" spans="1:24" s="4" customFormat="1" ht="15" customHeight="1">
      <c r="A2649" s="28" t="s">
        <v>3483</v>
      </c>
      <c r="B2649" s="29">
        <v>3387.15</v>
      </c>
      <c r="C2649" s="30" t="s">
        <v>3830</v>
      </c>
      <c r="D2649" s="2">
        <v>4951873560</v>
      </c>
      <c r="E2649" s="2" t="s">
        <v>14</v>
      </c>
      <c r="F2649" s="2" t="s">
        <v>3831</v>
      </c>
      <c r="G2649" s="28" t="s">
        <v>5</v>
      </c>
      <c r="H2649" s="2" t="s">
        <v>20</v>
      </c>
      <c r="I2649" s="2">
        <v>7</v>
      </c>
      <c r="J2649" s="2" t="s">
        <v>3832</v>
      </c>
      <c r="K2649" s="2">
        <v>3855</v>
      </c>
      <c r="L2649" s="35">
        <f t="shared" ref="L2649:L2712" si="140">B2649*K2649</f>
        <v>13057463.25</v>
      </c>
      <c r="M2649" s="36">
        <v>1000</v>
      </c>
      <c r="N2649" s="40">
        <v>25647.479750057901</v>
      </c>
      <c r="O2649" s="40">
        <v>816384.33333333302</v>
      </c>
      <c r="P2649" s="40">
        <v>18239.039789542901</v>
      </c>
      <c r="Q2649" s="40">
        <v>53474.307692307702</v>
      </c>
      <c r="R2649" s="40">
        <v>49246.129562643902</v>
      </c>
      <c r="S2649" s="40">
        <v>3280.31474195788</v>
      </c>
      <c r="T2649" s="40">
        <v>30000</v>
      </c>
      <c r="U2649" s="40">
        <v>280117.07317073201</v>
      </c>
      <c r="V2649" s="40">
        <v>0</v>
      </c>
      <c r="W2649" s="45">
        <f t="shared" ref="W2649:W2712" si="141">+SUM(N2649:V2649)</f>
        <v>1276388.6780405755</v>
      </c>
      <c r="X2649" s="46">
        <f t="shared" ref="X2649:X2712" si="142">(W2649/L2649)*100</f>
        <v>9.7751657699712506</v>
      </c>
    </row>
    <row r="2650" spans="1:24" s="4" customFormat="1" ht="15" customHeight="1">
      <c r="A2650" s="28" t="s">
        <v>3483</v>
      </c>
      <c r="B2650" s="29">
        <v>3387.15</v>
      </c>
      <c r="C2650" s="30" t="s">
        <v>3830</v>
      </c>
      <c r="D2650" s="2">
        <v>4951874489</v>
      </c>
      <c r="E2650" s="2" t="s">
        <v>14</v>
      </c>
      <c r="F2650" s="2" t="s">
        <v>3831</v>
      </c>
      <c r="G2650" s="28" t="s">
        <v>5</v>
      </c>
      <c r="H2650" s="2" t="s">
        <v>20</v>
      </c>
      <c r="I2650" s="2">
        <v>7</v>
      </c>
      <c r="J2650" s="2" t="s">
        <v>3832</v>
      </c>
      <c r="K2650" s="2">
        <v>5877</v>
      </c>
      <c r="L2650" s="35">
        <f t="shared" si="140"/>
        <v>19906280.550000001</v>
      </c>
      <c r="M2650" s="36">
        <v>1800</v>
      </c>
      <c r="N2650" s="40">
        <v>25647.479750057901</v>
      </c>
      <c r="O2650" s="40">
        <v>816384.33333333302</v>
      </c>
      <c r="P2650" s="40">
        <v>18239.039789542901</v>
      </c>
      <c r="Q2650" s="40">
        <v>53474.307692307702</v>
      </c>
      <c r="R2650" s="40">
        <v>49246.129562643902</v>
      </c>
      <c r="S2650" s="40">
        <v>3280.31474195788</v>
      </c>
      <c r="T2650" s="40">
        <v>30000</v>
      </c>
      <c r="U2650" s="40">
        <v>280117.07317073201</v>
      </c>
      <c r="V2650" s="40">
        <v>0</v>
      </c>
      <c r="W2650" s="45">
        <f t="shared" si="141"/>
        <v>1276388.6780405755</v>
      </c>
      <c r="X2650" s="46">
        <f t="shared" si="142"/>
        <v>6.4119897980668989</v>
      </c>
    </row>
    <row r="2651" spans="1:24" s="4" customFormat="1" ht="15" customHeight="1">
      <c r="A2651" s="28" t="s">
        <v>3483</v>
      </c>
      <c r="B2651" s="29">
        <v>3387.15</v>
      </c>
      <c r="C2651" s="30" t="s">
        <v>3833</v>
      </c>
      <c r="D2651" s="2">
        <v>4952083921</v>
      </c>
      <c r="E2651" s="2" t="s">
        <v>14</v>
      </c>
      <c r="F2651" s="2" t="s">
        <v>3831</v>
      </c>
      <c r="G2651" s="28" t="s">
        <v>5</v>
      </c>
      <c r="H2651" s="2" t="s">
        <v>20</v>
      </c>
      <c r="I2651" s="2">
        <v>1</v>
      </c>
      <c r="J2651" s="2" t="s">
        <v>3832</v>
      </c>
      <c r="K2651" s="2">
        <v>25400</v>
      </c>
      <c r="L2651" s="35">
        <f t="shared" si="140"/>
        <v>86033610</v>
      </c>
      <c r="M2651" s="36">
        <v>10000</v>
      </c>
      <c r="N2651" s="40">
        <v>200221.169677117</v>
      </c>
      <c r="O2651" s="40">
        <v>349879</v>
      </c>
      <c r="P2651" s="40">
        <v>0</v>
      </c>
      <c r="Q2651" s="40">
        <v>110000</v>
      </c>
      <c r="R2651" s="40">
        <v>573732.18530650402</v>
      </c>
      <c r="S2651" s="40">
        <v>208932.40992044899</v>
      </c>
      <c r="T2651" s="40">
        <v>30000</v>
      </c>
      <c r="U2651" s="40">
        <v>2839598.9705194202</v>
      </c>
      <c r="V2651" s="40">
        <v>0</v>
      </c>
      <c r="W2651" s="45">
        <f t="shared" si="141"/>
        <v>4312363.7354234904</v>
      </c>
      <c r="X2651" s="46">
        <f t="shared" si="142"/>
        <v>5.0124175138338263</v>
      </c>
    </row>
    <row r="2652" spans="1:24" s="4" customFormat="1" ht="15" customHeight="1">
      <c r="A2652" s="28" t="s">
        <v>3483</v>
      </c>
      <c r="B2652" s="29">
        <v>3387.15</v>
      </c>
      <c r="C2652" s="30" t="s">
        <v>3834</v>
      </c>
      <c r="D2652" s="2">
        <v>4952110327</v>
      </c>
      <c r="E2652" s="2" t="s">
        <v>14</v>
      </c>
      <c r="F2652" s="2" t="s">
        <v>3835</v>
      </c>
      <c r="G2652" s="28" t="s">
        <v>9</v>
      </c>
      <c r="H2652" s="2" t="s">
        <v>23</v>
      </c>
      <c r="I2652" s="2">
        <v>2</v>
      </c>
      <c r="J2652" s="2"/>
      <c r="K2652" s="2">
        <v>3511.2</v>
      </c>
      <c r="L2652" s="35">
        <f t="shared" si="140"/>
        <v>11892961.08</v>
      </c>
      <c r="M2652" s="36">
        <v>1520</v>
      </c>
      <c r="N2652" s="40">
        <v>580444</v>
      </c>
      <c r="O2652" s="40">
        <v>1167</v>
      </c>
      <c r="P2652" s="40">
        <v>35914</v>
      </c>
      <c r="Q2652" s="40">
        <v>27105</v>
      </c>
      <c r="R2652" s="40">
        <v>114483</v>
      </c>
      <c r="S2652" s="40">
        <v>354356</v>
      </c>
      <c r="T2652" s="40">
        <v>30000</v>
      </c>
      <c r="U2652" s="40">
        <v>1267624.3902439</v>
      </c>
      <c r="V2652" s="40">
        <v>0</v>
      </c>
      <c r="W2652" s="45">
        <f t="shared" si="141"/>
        <v>2411093.3902439</v>
      </c>
      <c r="X2652" s="46">
        <f t="shared" si="142"/>
        <v>20.273280758469443</v>
      </c>
    </row>
    <row r="2653" spans="1:24" s="4" customFormat="1" ht="15" customHeight="1">
      <c r="A2653" s="28" t="s">
        <v>3483</v>
      </c>
      <c r="B2653" s="29">
        <v>3387.15</v>
      </c>
      <c r="C2653" s="30" t="s">
        <v>3836</v>
      </c>
      <c r="D2653" s="2">
        <v>4951771840</v>
      </c>
      <c r="E2653" s="2" t="s">
        <v>33</v>
      </c>
      <c r="F2653" s="2" t="s">
        <v>3837</v>
      </c>
      <c r="G2653" s="28" t="s">
        <v>5</v>
      </c>
      <c r="H2653" s="2" t="s">
        <v>20</v>
      </c>
      <c r="I2653" s="2">
        <v>2</v>
      </c>
      <c r="J2653" s="2" t="s">
        <v>3838</v>
      </c>
      <c r="K2653" s="2">
        <v>50292</v>
      </c>
      <c r="L2653" s="35">
        <f t="shared" si="140"/>
        <v>170346547.80000001</v>
      </c>
      <c r="M2653" s="36">
        <v>39600</v>
      </c>
      <c r="N2653" s="40">
        <v>2373155</v>
      </c>
      <c r="O2653" s="40">
        <v>632767</v>
      </c>
      <c r="P2653" s="40">
        <v>520686</v>
      </c>
      <c r="Q2653" s="40">
        <v>249068</v>
      </c>
      <c r="R2653" s="40">
        <v>1448624</v>
      </c>
      <c r="S2653" s="40">
        <v>354356</v>
      </c>
      <c r="T2653" s="40"/>
      <c r="U2653" s="40">
        <v>8594200</v>
      </c>
      <c r="V2653" s="40">
        <v>0</v>
      </c>
      <c r="W2653" s="45">
        <f t="shared" si="141"/>
        <v>14172856</v>
      </c>
      <c r="X2653" s="46">
        <f t="shared" si="142"/>
        <v>8.3200136328210341</v>
      </c>
    </row>
    <row r="2654" spans="1:24" s="4" customFormat="1" ht="15" customHeight="1">
      <c r="A2654" s="28" t="s">
        <v>3483</v>
      </c>
      <c r="B2654" s="29">
        <v>3387.15</v>
      </c>
      <c r="C2654" s="30" t="s">
        <v>3839</v>
      </c>
      <c r="D2654" s="2">
        <v>4952250001</v>
      </c>
      <c r="E2654" s="2" t="s">
        <v>14</v>
      </c>
      <c r="F2654" s="2" t="s">
        <v>3840</v>
      </c>
      <c r="G2654" s="28" t="s">
        <v>9</v>
      </c>
      <c r="H2654" s="2" t="s">
        <v>23</v>
      </c>
      <c r="I2654" s="2">
        <v>1</v>
      </c>
      <c r="J2654" s="2"/>
      <c r="K2654" s="2">
        <v>5394</v>
      </c>
      <c r="L2654" s="35">
        <f t="shared" si="140"/>
        <v>18270287.100000001</v>
      </c>
      <c r="M2654" s="36">
        <v>120</v>
      </c>
      <c r="N2654" s="40">
        <v>460479</v>
      </c>
      <c r="O2654" s="40">
        <v>103</v>
      </c>
      <c r="P2654" s="40">
        <v>2953</v>
      </c>
      <c r="Q2654" s="40">
        <v>2246</v>
      </c>
      <c r="R2654" s="40">
        <v>90845</v>
      </c>
      <c r="S2654" s="40">
        <v>354356</v>
      </c>
      <c r="T2654" s="40">
        <v>30000</v>
      </c>
      <c r="U2654" s="40">
        <v>100075.609756098</v>
      </c>
      <c r="V2654" s="40">
        <v>0</v>
      </c>
      <c r="W2654" s="45">
        <f t="shared" si="141"/>
        <v>1041057.609756098</v>
      </c>
      <c r="X2654" s="46">
        <f t="shared" si="142"/>
        <v>5.6980911359411417</v>
      </c>
    </row>
    <row r="2655" spans="1:24" s="4" customFormat="1" ht="15" customHeight="1">
      <c r="A2655" s="28" t="s">
        <v>3483</v>
      </c>
      <c r="B2655" s="29">
        <v>3387.15</v>
      </c>
      <c r="C2655" s="30" t="s">
        <v>3841</v>
      </c>
      <c r="D2655" s="2" t="s">
        <v>3842</v>
      </c>
      <c r="E2655" s="2" t="s">
        <v>6</v>
      </c>
      <c r="F2655" s="2" t="s">
        <v>3843</v>
      </c>
      <c r="G2655" s="28" t="s">
        <v>5</v>
      </c>
      <c r="H2655" s="2" t="s">
        <v>17</v>
      </c>
      <c r="I2655" s="2">
        <v>1</v>
      </c>
      <c r="J2655" s="2" t="s">
        <v>3844</v>
      </c>
      <c r="K2655" s="2">
        <v>33453</v>
      </c>
      <c r="L2655" s="35">
        <f t="shared" si="140"/>
        <v>113310328.95</v>
      </c>
      <c r="M2655" s="36">
        <f>540+1840+1940+1620+540+1080+540</f>
        <v>8100</v>
      </c>
      <c r="N2655" s="40">
        <v>448442</v>
      </c>
      <c r="O2655" s="40">
        <v>394597</v>
      </c>
      <c r="P2655" s="40">
        <v>460792</v>
      </c>
      <c r="Q2655" s="40">
        <v>120095</v>
      </c>
      <c r="R2655" s="40">
        <v>1254831</v>
      </c>
      <c r="S2655" s="40">
        <v>354356</v>
      </c>
      <c r="T2655" s="40">
        <v>30000</v>
      </c>
      <c r="U2655" s="40">
        <v>3734500</v>
      </c>
      <c r="V2655" s="40">
        <v>0</v>
      </c>
      <c r="W2655" s="45">
        <f t="shared" si="141"/>
        <v>6797613</v>
      </c>
      <c r="X2655" s="46">
        <f t="shared" si="142"/>
        <v>5.9991115223039868</v>
      </c>
    </row>
    <row r="2656" spans="1:24" s="4" customFormat="1" ht="15" customHeight="1">
      <c r="A2656" s="28" t="s">
        <v>3483</v>
      </c>
      <c r="B2656" s="29">
        <v>3387.15</v>
      </c>
      <c r="C2656" s="30" t="s">
        <v>3845</v>
      </c>
      <c r="D2656" s="2">
        <v>4948268548</v>
      </c>
      <c r="E2656" s="2" t="s">
        <v>6</v>
      </c>
      <c r="F2656" s="2" t="s">
        <v>3846</v>
      </c>
      <c r="G2656" s="28" t="s">
        <v>5</v>
      </c>
      <c r="H2656" s="2" t="s">
        <v>17</v>
      </c>
      <c r="I2656" s="2">
        <v>2</v>
      </c>
      <c r="J2656" s="2" t="s">
        <v>3847</v>
      </c>
      <c r="K2656" s="2">
        <v>107956.8</v>
      </c>
      <c r="L2656" s="35">
        <f t="shared" si="140"/>
        <v>365665875.12</v>
      </c>
      <c r="M2656" s="36">
        <f>1485+4275+7200</f>
        <v>12960</v>
      </c>
      <c r="N2656" s="40">
        <v>1161555</v>
      </c>
      <c r="O2656" s="40">
        <v>917999</v>
      </c>
      <c r="P2656" s="40">
        <v>1211875</v>
      </c>
      <c r="Q2656" s="40">
        <v>198619</v>
      </c>
      <c r="R2656" s="40">
        <v>1788467</v>
      </c>
      <c r="S2656" s="40">
        <v>354356</v>
      </c>
      <c r="T2656" s="40">
        <v>30000</v>
      </c>
      <c r="U2656" s="40">
        <v>9438100</v>
      </c>
      <c r="V2656" s="40">
        <v>0</v>
      </c>
      <c r="W2656" s="45">
        <f t="shared" si="141"/>
        <v>15100971</v>
      </c>
      <c r="X2656" s="46">
        <f t="shared" si="142"/>
        <v>4.1297184198674097</v>
      </c>
    </row>
    <row r="2657" spans="1:24" s="4" customFormat="1" ht="15" customHeight="1">
      <c r="A2657" s="28" t="s">
        <v>3483</v>
      </c>
      <c r="B2657" s="29">
        <v>3387.15</v>
      </c>
      <c r="C2657" s="30" t="s">
        <v>3848</v>
      </c>
      <c r="D2657" s="2">
        <v>4947010966</v>
      </c>
      <c r="E2657" s="2" t="s">
        <v>6</v>
      </c>
      <c r="F2657" s="2" t="s">
        <v>3849</v>
      </c>
      <c r="G2657" s="28" t="s">
        <v>9</v>
      </c>
      <c r="H2657" s="2" t="s">
        <v>23</v>
      </c>
      <c r="I2657" s="2">
        <v>1</v>
      </c>
      <c r="J2657" s="2"/>
      <c r="K2657" s="2">
        <v>4483.2</v>
      </c>
      <c r="L2657" s="35">
        <f t="shared" si="140"/>
        <v>15185270.879999999</v>
      </c>
      <c r="M2657" s="36">
        <v>480</v>
      </c>
      <c r="N2657" s="40">
        <v>701219</v>
      </c>
      <c r="O2657" s="40">
        <v>414</v>
      </c>
      <c r="P2657" s="40">
        <v>0</v>
      </c>
      <c r="Q2657" s="40">
        <v>12141</v>
      </c>
      <c r="R2657" s="40">
        <v>97227.19</v>
      </c>
      <c r="S2657" s="40">
        <v>354356</v>
      </c>
      <c r="T2657" s="40">
        <v>30000</v>
      </c>
      <c r="U2657" s="40">
        <v>1367700</v>
      </c>
      <c r="V2657" s="40">
        <v>0</v>
      </c>
      <c r="W2657" s="45">
        <f t="shared" si="141"/>
        <v>2563057.19</v>
      </c>
      <c r="X2657" s="46">
        <f t="shared" si="142"/>
        <v>16.878574048854901</v>
      </c>
    </row>
    <row r="2658" spans="1:24" s="4" customFormat="1" ht="15" customHeight="1">
      <c r="A2658" s="28" t="s">
        <v>3483</v>
      </c>
      <c r="B2658" s="29">
        <v>3387.15</v>
      </c>
      <c r="C2658" s="30" t="s">
        <v>3850</v>
      </c>
      <c r="D2658" s="2">
        <v>4951574724</v>
      </c>
      <c r="E2658" s="2" t="s">
        <v>18</v>
      </c>
      <c r="F2658" s="2" t="s">
        <v>3851</v>
      </c>
      <c r="G2658" s="28" t="s">
        <v>5</v>
      </c>
      <c r="H2658" s="2" t="s">
        <v>35</v>
      </c>
      <c r="I2658" s="2">
        <v>1</v>
      </c>
      <c r="J2658" s="2" t="s">
        <v>3852</v>
      </c>
      <c r="K2658" s="2">
        <v>3177.6</v>
      </c>
      <c r="L2658" s="35">
        <f t="shared" si="140"/>
        <v>10763007.84</v>
      </c>
      <c r="M2658" s="36">
        <v>480</v>
      </c>
      <c r="N2658" s="40">
        <v>8037.4201183431996</v>
      </c>
      <c r="O2658" s="40">
        <v>229499.5</v>
      </c>
      <c r="P2658" s="40">
        <v>0</v>
      </c>
      <c r="Q2658" s="40">
        <v>55000</v>
      </c>
      <c r="R2658" s="40">
        <v>33944.733727810599</v>
      </c>
      <c r="S2658" s="40">
        <v>8387.1242603550309</v>
      </c>
      <c r="T2658" s="40">
        <v>30000</v>
      </c>
      <c r="U2658" s="40">
        <v>201042.60355029599</v>
      </c>
      <c r="V2658" s="40">
        <v>0</v>
      </c>
      <c r="W2658" s="45">
        <f t="shared" si="141"/>
        <v>565911.38165680482</v>
      </c>
      <c r="X2658" s="46">
        <f t="shared" si="142"/>
        <v>5.2579296612015183</v>
      </c>
    </row>
    <row r="2659" spans="1:24" s="4" customFormat="1" ht="15" customHeight="1">
      <c r="A2659" s="28" t="s">
        <v>3483</v>
      </c>
      <c r="B2659" s="29">
        <v>3387.15</v>
      </c>
      <c r="C2659" s="30" t="s">
        <v>3850</v>
      </c>
      <c r="D2659" s="2">
        <v>4951574740</v>
      </c>
      <c r="E2659" s="2" t="s">
        <v>18</v>
      </c>
      <c r="F2659" s="2" t="s">
        <v>3851</v>
      </c>
      <c r="G2659" s="28" t="s">
        <v>5</v>
      </c>
      <c r="H2659" s="2" t="s">
        <v>35</v>
      </c>
      <c r="I2659" s="2">
        <v>1</v>
      </c>
      <c r="J2659" s="2" t="s">
        <v>3852</v>
      </c>
      <c r="K2659" s="2">
        <v>23562</v>
      </c>
      <c r="L2659" s="35">
        <f t="shared" si="140"/>
        <v>79808028.299999997</v>
      </c>
      <c r="M2659" s="36">
        <v>19800</v>
      </c>
      <c r="N2659" s="40">
        <v>331543.57988165697</v>
      </c>
      <c r="O2659" s="40">
        <v>229499.5</v>
      </c>
      <c r="P2659" s="40">
        <v>0</v>
      </c>
      <c r="Q2659" s="40">
        <v>55000</v>
      </c>
      <c r="R2659" s="40">
        <v>1400220.26627219</v>
      </c>
      <c r="S2659" s="40">
        <v>345968.87573964498</v>
      </c>
      <c r="T2659" s="40">
        <v>30000</v>
      </c>
      <c r="U2659" s="40">
        <v>8293007.3964497</v>
      </c>
      <c r="V2659" s="40">
        <v>0</v>
      </c>
      <c r="W2659" s="45">
        <f t="shared" si="141"/>
        <v>10685239.618343193</v>
      </c>
      <c r="X2659" s="46">
        <f t="shared" si="142"/>
        <v>13.38867761295538</v>
      </c>
    </row>
    <row r="2660" spans="1:24" s="4" customFormat="1" ht="15" customHeight="1">
      <c r="A2660" s="28" t="s">
        <v>3483</v>
      </c>
      <c r="B2660" s="29">
        <v>3387.15</v>
      </c>
      <c r="C2660" s="30" t="s">
        <v>3853</v>
      </c>
      <c r="D2660" s="2" t="s">
        <v>3854</v>
      </c>
      <c r="E2660" s="2" t="s">
        <v>18</v>
      </c>
      <c r="F2660" s="2" t="s">
        <v>3855</v>
      </c>
      <c r="G2660" s="28" t="s">
        <v>9</v>
      </c>
      <c r="H2660" s="2" t="s">
        <v>23</v>
      </c>
      <c r="I2660" s="2">
        <v>6</v>
      </c>
      <c r="J2660" s="2"/>
      <c r="K2660" s="2">
        <v>12375</v>
      </c>
      <c r="L2660" s="35">
        <f t="shared" si="140"/>
        <v>41915981.25</v>
      </c>
      <c r="M2660" s="36">
        <v>2000</v>
      </c>
      <c r="N2660" s="40">
        <v>596420.80000000005</v>
      </c>
      <c r="O2660" s="40">
        <v>903</v>
      </c>
      <c r="P2660" s="40">
        <v>123512</v>
      </c>
      <c r="Q2660" s="40">
        <v>20950.5</v>
      </c>
      <c r="R2660" s="40">
        <v>297891.20000000001</v>
      </c>
      <c r="S2660" s="40">
        <v>283484.79999999999</v>
      </c>
      <c r="T2660" s="40">
        <v>30000</v>
      </c>
      <c r="U2660" s="40">
        <v>1668400</v>
      </c>
      <c r="V2660" s="40">
        <v>0</v>
      </c>
      <c r="W2660" s="45">
        <f t="shared" si="141"/>
        <v>3021562.3</v>
      </c>
      <c r="X2660" s="46">
        <f t="shared" si="142"/>
        <v>7.2086164033199145</v>
      </c>
    </row>
    <row r="2661" spans="1:24" s="4" customFormat="1" ht="15" customHeight="1">
      <c r="A2661" s="28" t="s">
        <v>3483</v>
      </c>
      <c r="B2661" s="29">
        <v>3387.15</v>
      </c>
      <c r="C2661" s="30" t="s">
        <v>3853</v>
      </c>
      <c r="D2661" s="2">
        <v>4952170441</v>
      </c>
      <c r="E2661" s="2" t="s">
        <v>18</v>
      </c>
      <c r="F2661" s="2" t="s">
        <v>3855</v>
      </c>
      <c r="G2661" s="28" t="s">
        <v>9</v>
      </c>
      <c r="H2661" s="2" t="s">
        <v>23</v>
      </c>
      <c r="I2661" s="2">
        <v>6</v>
      </c>
      <c r="J2661" s="2"/>
      <c r="K2661" s="2">
        <v>12375</v>
      </c>
      <c r="L2661" s="35">
        <f t="shared" si="140"/>
        <v>41915981.25</v>
      </c>
      <c r="M2661" s="36">
        <f>100+400</f>
        <v>500</v>
      </c>
      <c r="N2661" s="40">
        <v>149105.20000000001</v>
      </c>
      <c r="O2661" s="40">
        <v>903</v>
      </c>
      <c r="P2661" s="40">
        <v>30878</v>
      </c>
      <c r="Q2661" s="40">
        <v>20950.5</v>
      </c>
      <c r="R2661" s="40">
        <v>74472.800000000003</v>
      </c>
      <c r="S2661" s="40">
        <v>70871.199999999997</v>
      </c>
      <c r="T2661" s="40">
        <v>30000</v>
      </c>
      <c r="U2661" s="40">
        <v>417100</v>
      </c>
      <c r="V2661" s="40">
        <v>0</v>
      </c>
      <c r="W2661" s="45">
        <f t="shared" si="141"/>
        <v>794280.7</v>
      </c>
      <c r="X2661" s="46">
        <f t="shared" si="142"/>
        <v>1.8949352402432424</v>
      </c>
    </row>
    <row r="2662" spans="1:24" s="4" customFormat="1" ht="15" customHeight="1">
      <c r="A2662" s="28" t="s">
        <v>3483</v>
      </c>
      <c r="B2662" s="29">
        <v>3387.15</v>
      </c>
      <c r="C2662" s="30" t="s">
        <v>3856</v>
      </c>
      <c r="D2662" s="2">
        <v>4952005002</v>
      </c>
      <c r="E2662" s="2" t="s">
        <v>38</v>
      </c>
      <c r="F2662" s="2" t="s">
        <v>3857</v>
      </c>
      <c r="G2662" s="28" t="s">
        <v>9</v>
      </c>
      <c r="H2662" s="2" t="s">
        <v>23</v>
      </c>
      <c r="I2662" s="2">
        <v>1</v>
      </c>
      <c r="J2662" s="2"/>
      <c r="K2662" s="2">
        <v>686.4</v>
      </c>
      <c r="L2662" s="35">
        <f t="shared" si="140"/>
        <v>2324939.7599999998</v>
      </c>
      <c r="M2662" s="36">
        <v>220</v>
      </c>
      <c r="N2662" s="40">
        <v>1707562</v>
      </c>
      <c r="O2662" s="40">
        <v>0</v>
      </c>
      <c r="P2662" s="40">
        <v>34051</v>
      </c>
      <c r="Q2662" s="40">
        <v>51469</v>
      </c>
      <c r="R2662" s="40">
        <v>79026</v>
      </c>
      <c r="S2662" s="40">
        <v>354356</v>
      </c>
      <c r="T2662" s="40"/>
      <c r="U2662" s="40">
        <v>557750</v>
      </c>
      <c r="V2662" s="40">
        <v>0</v>
      </c>
      <c r="W2662" s="45">
        <f t="shared" si="141"/>
        <v>2784214</v>
      </c>
      <c r="X2662" s="46">
        <f t="shared" si="142"/>
        <v>119.75424257874106</v>
      </c>
    </row>
    <row r="2663" spans="1:24" s="4" customFormat="1" ht="15" customHeight="1">
      <c r="A2663" s="28" t="s">
        <v>3483</v>
      </c>
      <c r="B2663" s="29">
        <v>3387.15</v>
      </c>
      <c r="C2663" s="30" t="s">
        <v>3858</v>
      </c>
      <c r="D2663" s="2">
        <v>4951647186</v>
      </c>
      <c r="E2663" s="2" t="s">
        <v>33</v>
      </c>
      <c r="F2663" s="2" t="s">
        <v>3859</v>
      </c>
      <c r="G2663" s="28" t="s">
        <v>5</v>
      </c>
      <c r="H2663" s="2" t="s">
        <v>20</v>
      </c>
      <c r="I2663" s="2">
        <v>1</v>
      </c>
      <c r="J2663" s="2" t="s">
        <v>3860</v>
      </c>
      <c r="K2663" s="2">
        <v>15120</v>
      </c>
      <c r="L2663" s="35">
        <f t="shared" si="140"/>
        <v>51213708</v>
      </c>
      <c r="M2663" s="36">
        <v>24000</v>
      </c>
      <c r="N2663" s="40">
        <v>766316</v>
      </c>
      <c r="O2663" s="40">
        <v>322540</v>
      </c>
      <c r="P2663" s="40">
        <v>498561</v>
      </c>
      <c r="Q2663" s="40">
        <v>120095</v>
      </c>
      <c r="R2663" s="40">
        <v>840536</v>
      </c>
      <c r="S2663" s="40">
        <v>354356</v>
      </c>
      <c r="T2663" s="40"/>
      <c r="U2663" s="40">
        <v>4297100</v>
      </c>
      <c r="V2663" s="40">
        <v>0</v>
      </c>
      <c r="W2663" s="45">
        <f t="shared" si="141"/>
        <v>7199504</v>
      </c>
      <c r="X2663" s="46">
        <f t="shared" si="142"/>
        <v>14.057767502403848</v>
      </c>
    </row>
    <row r="2664" spans="1:24" s="4" customFormat="1" ht="15" customHeight="1">
      <c r="A2664" s="28" t="s">
        <v>3483</v>
      </c>
      <c r="B2664" s="29">
        <v>3387.15</v>
      </c>
      <c r="C2664" s="30" t="s">
        <v>3861</v>
      </c>
      <c r="D2664" s="2">
        <v>4952346178</v>
      </c>
      <c r="E2664" s="2" t="s">
        <v>14</v>
      </c>
      <c r="F2664" s="2" t="s">
        <v>3862</v>
      </c>
      <c r="G2664" s="28" t="s">
        <v>5</v>
      </c>
      <c r="H2664" s="2" t="s">
        <v>20</v>
      </c>
      <c r="I2664" s="2">
        <v>1</v>
      </c>
      <c r="J2664" s="2" t="s">
        <v>3863</v>
      </c>
      <c r="K2664" s="2">
        <v>27000</v>
      </c>
      <c r="L2664" s="35">
        <f t="shared" si="140"/>
        <v>91453050</v>
      </c>
      <c r="M2664" s="36">
        <v>18000</v>
      </c>
      <c r="N2664" s="40">
        <v>403568</v>
      </c>
      <c r="O2664" s="40">
        <v>349879</v>
      </c>
      <c r="P2664" s="40">
        <v>226216</v>
      </c>
      <c r="Q2664" s="40">
        <v>110000</v>
      </c>
      <c r="R2664" s="40">
        <v>659281</v>
      </c>
      <c r="S2664" s="40">
        <v>354356</v>
      </c>
      <c r="T2664" s="40">
        <v>30000</v>
      </c>
      <c r="U2664" s="40">
        <v>0</v>
      </c>
      <c r="V2664" s="40">
        <v>0</v>
      </c>
      <c r="W2664" s="45">
        <f t="shared" si="141"/>
        <v>2133300</v>
      </c>
      <c r="X2664" s="46">
        <f t="shared" si="142"/>
        <v>2.3326723384293908</v>
      </c>
    </row>
    <row r="2665" spans="1:24" s="4" customFormat="1" ht="15" customHeight="1">
      <c r="A2665" s="28" t="s">
        <v>3483</v>
      </c>
      <c r="B2665" s="29">
        <v>3387.15</v>
      </c>
      <c r="C2665" s="30" t="s">
        <v>3864</v>
      </c>
      <c r="D2665" s="2">
        <v>4952244844</v>
      </c>
      <c r="E2665" s="2" t="s">
        <v>14</v>
      </c>
      <c r="F2665" s="2" t="s">
        <v>3865</v>
      </c>
      <c r="G2665" s="28" t="s">
        <v>5</v>
      </c>
      <c r="H2665" s="2" t="s">
        <v>20</v>
      </c>
      <c r="I2665" s="2">
        <v>1</v>
      </c>
      <c r="J2665" s="2" t="s">
        <v>3866</v>
      </c>
      <c r="K2665" s="2">
        <v>1926.25</v>
      </c>
      <c r="L2665" s="35">
        <f t="shared" si="140"/>
        <v>6524497.6875</v>
      </c>
      <c r="M2665" s="36">
        <v>125</v>
      </c>
      <c r="N2665" s="40">
        <v>11007.210446631299</v>
      </c>
      <c r="O2665" s="40">
        <v>49982.714285714297</v>
      </c>
      <c r="P2665" s="40">
        <v>0</v>
      </c>
      <c r="Q2665" s="40">
        <v>15714.285714285699</v>
      </c>
      <c r="R2665" s="40">
        <v>14696.0635881908</v>
      </c>
      <c r="S2665" s="40">
        <v>6706.2074186222599</v>
      </c>
      <c r="T2665" s="40">
        <v>30000</v>
      </c>
      <c r="U2665" s="40">
        <v>54888.342165026501</v>
      </c>
      <c r="V2665" s="40">
        <v>0</v>
      </c>
      <c r="W2665" s="45">
        <f t="shared" si="141"/>
        <v>182994.82361847084</v>
      </c>
      <c r="X2665" s="46">
        <f t="shared" si="142"/>
        <v>2.804734285814257</v>
      </c>
    </row>
    <row r="2666" spans="1:24" s="4" customFormat="1" ht="15" customHeight="1">
      <c r="A2666" s="28" t="s">
        <v>3483</v>
      </c>
      <c r="B2666" s="29">
        <v>3387.15</v>
      </c>
      <c r="C2666" s="30" t="s">
        <v>3864</v>
      </c>
      <c r="D2666" s="2">
        <v>4952270617</v>
      </c>
      <c r="E2666" s="2" t="s">
        <v>14</v>
      </c>
      <c r="F2666" s="2" t="s">
        <v>3865</v>
      </c>
      <c r="G2666" s="28" t="s">
        <v>5</v>
      </c>
      <c r="H2666" s="2" t="s">
        <v>20</v>
      </c>
      <c r="I2666" s="2">
        <v>1</v>
      </c>
      <c r="J2666" s="2" t="s">
        <v>3866</v>
      </c>
      <c r="K2666" s="2">
        <v>4560</v>
      </c>
      <c r="L2666" s="35">
        <f t="shared" si="140"/>
        <v>15445404</v>
      </c>
      <c r="M2666" s="36">
        <v>1500</v>
      </c>
      <c r="N2666" s="40">
        <v>132086.52535957599</v>
      </c>
      <c r="O2666" s="40">
        <v>49982.714285714297</v>
      </c>
      <c r="P2666" s="40">
        <v>0</v>
      </c>
      <c r="Q2666" s="40">
        <v>15714.285714285699</v>
      </c>
      <c r="R2666" s="40">
        <v>176352.76305828901</v>
      </c>
      <c r="S2666" s="40">
        <v>80474.489023467104</v>
      </c>
      <c r="T2666" s="40">
        <v>30000</v>
      </c>
      <c r="U2666" s="40">
        <v>658660.10598031804</v>
      </c>
      <c r="V2666" s="40">
        <v>0</v>
      </c>
      <c r="W2666" s="45">
        <f t="shared" si="141"/>
        <v>1143270.8834216502</v>
      </c>
      <c r="X2666" s="46">
        <f t="shared" si="142"/>
        <v>7.4020134625267824</v>
      </c>
    </row>
    <row r="2667" spans="1:24" s="4" customFormat="1" ht="15" customHeight="1">
      <c r="A2667" s="28" t="s">
        <v>3483</v>
      </c>
      <c r="B2667" s="29">
        <v>3387.15</v>
      </c>
      <c r="C2667" s="30" t="s">
        <v>3864</v>
      </c>
      <c r="D2667" s="2">
        <v>4952461126</v>
      </c>
      <c r="E2667" s="2" t="s">
        <v>14</v>
      </c>
      <c r="F2667" s="2" t="s">
        <v>3865</v>
      </c>
      <c r="G2667" s="28" t="s">
        <v>5</v>
      </c>
      <c r="H2667" s="2" t="s">
        <v>20</v>
      </c>
      <c r="I2667" s="2">
        <v>1</v>
      </c>
      <c r="J2667" s="2" t="s">
        <v>3866</v>
      </c>
      <c r="K2667" s="2">
        <v>4382</v>
      </c>
      <c r="L2667" s="35">
        <f t="shared" si="140"/>
        <v>14842491.300000001</v>
      </c>
      <c r="M2667" s="36">
        <v>1400</v>
      </c>
      <c r="N2667" s="40">
        <v>123280.757002271</v>
      </c>
      <c r="O2667" s="40">
        <v>49982.714285714297</v>
      </c>
      <c r="P2667" s="40">
        <v>0</v>
      </c>
      <c r="Q2667" s="40">
        <v>15714.285714285699</v>
      </c>
      <c r="R2667" s="40">
        <v>164595.91218773701</v>
      </c>
      <c r="S2667" s="40">
        <v>75109.523088569302</v>
      </c>
      <c r="T2667" s="40">
        <v>30000</v>
      </c>
      <c r="U2667" s="40">
        <v>614749.43224829703</v>
      </c>
      <c r="V2667" s="40">
        <v>0</v>
      </c>
      <c r="W2667" s="45">
        <f t="shared" si="141"/>
        <v>1073432.6245268744</v>
      </c>
      <c r="X2667" s="46">
        <f t="shared" si="142"/>
        <v>7.2321593648289646</v>
      </c>
    </row>
    <row r="2668" spans="1:24" s="4" customFormat="1" ht="15" customHeight="1">
      <c r="A2668" s="28" t="s">
        <v>3483</v>
      </c>
      <c r="B2668" s="29">
        <v>3387.15</v>
      </c>
      <c r="C2668" s="30" t="s">
        <v>3864</v>
      </c>
      <c r="D2668" s="2">
        <v>4952461126</v>
      </c>
      <c r="E2668" s="2" t="s">
        <v>14</v>
      </c>
      <c r="F2668" s="2" t="s">
        <v>3865</v>
      </c>
      <c r="G2668" s="28" t="s">
        <v>5</v>
      </c>
      <c r="H2668" s="2" t="s">
        <v>20</v>
      </c>
      <c r="I2668" s="2">
        <v>1</v>
      </c>
      <c r="J2668" s="2" t="s">
        <v>3866</v>
      </c>
      <c r="K2668" s="2">
        <v>13840.2</v>
      </c>
      <c r="L2668" s="35">
        <f t="shared" si="140"/>
        <v>46878833.430000007</v>
      </c>
      <c r="M2668" s="36">
        <v>1980</v>
      </c>
      <c r="N2668" s="40">
        <v>174354.21347464001</v>
      </c>
      <c r="O2668" s="40">
        <v>49982.714285714297</v>
      </c>
      <c r="P2668" s="40">
        <v>0</v>
      </c>
      <c r="Q2668" s="40">
        <v>15714.285714285699</v>
      </c>
      <c r="R2668" s="40">
        <v>232785.64723694199</v>
      </c>
      <c r="S2668" s="40">
        <v>106226.325510977</v>
      </c>
      <c r="T2668" s="40">
        <v>30000</v>
      </c>
      <c r="U2668" s="40">
        <v>869431.33989402</v>
      </c>
      <c r="V2668" s="40">
        <v>0</v>
      </c>
      <c r="W2668" s="45">
        <f t="shared" si="141"/>
        <v>1478494.5261165788</v>
      </c>
      <c r="X2668" s="46">
        <f t="shared" si="142"/>
        <v>3.1538637332438815</v>
      </c>
    </row>
    <row r="2669" spans="1:24" s="4" customFormat="1" ht="15" customHeight="1">
      <c r="A2669" s="28" t="s">
        <v>3483</v>
      </c>
      <c r="B2669" s="29">
        <v>3387.15</v>
      </c>
      <c r="C2669" s="30" t="s">
        <v>3864</v>
      </c>
      <c r="D2669" s="2">
        <v>4952461126</v>
      </c>
      <c r="E2669" s="2" t="s">
        <v>14</v>
      </c>
      <c r="F2669" s="2" t="s">
        <v>3865</v>
      </c>
      <c r="G2669" s="28" t="s">
        <v>5</v>
      </c>
      <c r="H2669" s="2" t="s">
        <v>20</v>
      </c>
      <c r="I2669" s="2">
        <v>1</v>
      </c>
      <c r="J2669" s="2" t="s">
        <v>3866</v>
      </c>
      <c r="K2669" s="2">
        <v>1925</v>
      </c>
      <c r="L2669" s="35">
        <f t="shared" si="140"/>
        <v>6520263.75</v>
      </c>
      <c r="M2669" s="36">
        <v>350</v>
      </c>
      <c r="N2669" s="40">
        <v>30820.189250567699</v>
      </c>
      <c r="O2669" s="40">
        <v>49982.714285714297</v>
      </c>
      <c r="P2669" s="40">
        <v>0</v>
      </c>
      <c r="Q2669" s="40">
        <v>15714.285714285699</v>
      </c>
      <c r="R2669" s="40">
        <v>41148.978046934099</v>
      </c>
      <c r="S2669" s="40">
        <v>18777.3807721423</v>
      </c>
      <c r="T2669" s="40">
        <v>30000</v>
      </c>
      <c r="U2669" s="40">
        <v>153687.358062074</v>
      </c>
      <c r="V2669" s="40">
        <v>0</v>
      </c>
      <c r="W2669" s="45">
        <f t="shared" si="141"/>
        <v>340130.90613171807</v>
      </c>
      <c r="X2669" s="46">
        <f t="shared" si="142"/>
        <v>5.2165206680744793</v>
      </c>
    </row>
    <row r="2670" spans="1:24" s="4" customFormat="1" ht="15" customHeight="1">
      <c r="A2670" s="28" t="s">
        <v>3483</v>
      </c>
      <c r="B2670" s="29">
        <v>3387.15</v>
      </c>
      <c r="C2670" s="30" t="s">
        <v>3864</v>
      </c>
      <c r="D2670" s="2">
        <v>4952461126</v>
      </c>
      <c r="E2670" s="2" t="s">
        <v>14</v>
      </c>
      <c r="F2670" s="2" t="s">
        <v>3865</v>
      </c>
      <c r="G2670" s="28" t="s">
        <v>5</v>
      </c>
      <c r="H2670" s="2" t="s">
        <v>20</v>
      </c>
      <c r="I2670" s="2">
        <v>1</v>
      </c>
      <c r="J2670" s="2" t="s">
        <v>3866</v>
      </c>
      <c r="K2670" s="2">
        <v>2919</v>
      </c>
      <c r="L2670" s="35">
        <f t="shared" si="140"/>
        <v>9887090.8499999996</v>
      </c>
      <c r="M2670" s="36">
        <v>350</v>
      </c>
      <c r="N2670" s="40">
        <v>30820.189250567699</v>
      </c>
      <c r="O2670" s="40">
        <v>49982.714285714297</v>
      </c>
      <c r="P2670" s="40">
        <v>0</v>
      </c>
      <c r="Q2670" s="40">
        <v>15714.285714285699</v>
      </c>
      <c r="R2670" s="40">
        <v>41148.978046934099</v>
      </c>
      <c r="S2670" s="40">
        <v>18777.3807721423</v>
      </c>
      <c r="T2670" s="40">
        <v>30000</v>
      </c>
      <c r="U2670" s="40">
        <v>153687.358062074</v>
      </c>
      <c r="V2670" s="40">
        <v>0</v>
      </c>
      <c r="W2670" s="45">
        <f t="shared" si="141"/>
        <v>340130.90613171807</v>
      </c>
      <c r="X2670" s="46">
        <f t="shared" si="142"/>
        <v>3.4401515197133858</v>
      </c>
    </row>
    <row r="2671" spans="1:24" s="4" customFormat="1" ht="15" customHeight="1">
      <c r="A2671" s="28" t="s">
        <v>3483</v>
      </c>
      <c r="B2671" s="29">
        <v>3387.15</v>
      </c>
      <c r="C2671" s="30" t="s">
        <v>3864</v>
      </c>
      <c r="D2671" s="2">
        <v>4951798434</v>
      </c>
      <c r="E2671" s="2" t="s">
        <v>14</v>
      </c>
      <c r="F2671" s="2" t="s">
        <v>3865</v>
      </c>
      <c r="G2671" s="28" t="s">
        <v>5</v>
      </c>
      <c r="H2671" s="2" t="s">
        <v>20</v>
      </c>
      <c r="I2671" s="2">
        <v>1</v>
      </c>
      <c r="J2671" s="2" t="s">
        <v>3866</v>
      </c>
      <c r="K2671" s="2">
        <v>3681</v>
      </c>
      <c r="L2671" s="35">
        <f t="shared" si="140"/>
        <v>12468099.15</v>
      </c>
      <c r="M2671" s="36">
        <v>900</v>
      </c>
      <c r="N2671" s="40">
        <v>79251.915215745597</v>
      </c>
      <c r="O2671" s="40">
        <v>49982.714285714297</v>
      </c>
      <c r="P2671" s="40">
        <v>0</v>
      </c>
      <c r="Q2671" s="40">
        <v>15714.285714285699</v>
      </c>
      <c r="R2671" s="40">
        <v>105811.657834973</v>
      </c>
      <c r="S2671" s="40">
        <v>48284.693414080197</v>
      </c>
      <c r="T2671" s="40">
        <v>30000</v>
      </c>
      <c r="U2671" s="40">
        <v>395196.063588191</v>
      </c>
      <c r="V2671" s="40">
        <v>0</v>
      </c>
      <c r="W2671" s="45">
        <f t="shared" si="141"/>
        <v>724241.33005298977</v>
      </c>
      <c r="X2671" s="46">
        <f t="shared" si="142"/>
        <v>5.8087549781234271</v>
      </c>
    </row>
    <row r="2672" spans="1:24" s="4" customFormat="1" ht="15" customHeight="1">
      <c r="A2672" s="28" t="s">
        <v>3483</v>
      </c>
      <c r="B2672" s="29">
        <v>3387.15</v>
      </c>
      <c r="C2672" s="30" t="s">
        <v>3867</v>
      </c>
      <c r="D2672" s="2">
        <v>4952102835</v>
      </c>
      <c r="E2672" s="2" t="s">
        <v>14</v>
      </c>
      <c r="F2672" s="2" t="s">
        <v>3868</v>
      </c>
      <c r="G2672" s="28" t="s">
        <v>5</v>
      </c>
      <c r="H2672" s="2" t="s">
        <v>26</v>
      </c>
      <c r="I2672" s="2">
        <v>1</v>
      </c>
      <c r="J2672" s="2" t="s">
        <v>3869</v>
      </c>
      <c r="K2672" s="2">
        <v>31858</v>
      </c>
      <c r="L2672" s="35">
        <f t="shared" si="140"/>
        <v>107907824.7</v>
      </c>
      <c r="M2672" s="36">
        <v>18740</v>
      </c>
      <c r="N2672" s="40">
        <v>341597</v>
      </c>
      <c r="O2672" s="40">
        <v>387991</v>
      </c>
      <c r="P2672" s="40">
        <v>1822420</v>
      </c>
      <c r="Q2672" s="40">
        <v>113164</v>
      </c>
      <c r="R2672" s="40">
        <v>734899</v>
      </c>
      <c r="S2672" s="40">
        <v>354356</v>
      </c>
      <c r="T2672" s="40">
        <v>30000</v>
      </c>
      <c r="U2672" s="40">
        <v>0</v>
      </c>
      <c r="V2672" s="40">
        <v>0</v>
      </c>
      <c r="W2672" s="45">
        <f t="shared" si="141"/>
        <v>3784427</v>
      </c>
      <c r="X2672" s="46">
        <f t="shared" si="142"/>
        <v>3.5070922896659966</v>
      </c>
    </row>
    <row r="2673" spans="1:24" s="4" customFormat="1" ht="15" customHeight="1">
      <c r="A2673" s="28" t="s">
        <v>3483</v>
      </c>
      <c r="B2673" s="29">
        <v>3387.15</v>
      </c>
      <c r="C2673" s="30" t="s">
        <v>3870</v>
      </c>
      <c r="D2673" s="2">
        <v>4951798410</v>
      </c>
      <c r="E2673" s="2" t="s">
        <v>14</v>
      </c>
      <c r="F2673" s="2" t="s">
        <v>3871</v>
      </c>
      <c r="G2673" s="28" t="s">
        <v>5</v>
      </c>
      <c r="H2673" s="2" t="s">
        <v>20</v>
      </c>
      <c r="I2673" s="2">
        <v>1</v>
      </c>
      <c r="J2673" s="2" t="s">
        <v>3872</v>
      </c>
      <c r="K2673" s="2">
        <v>21128</v>
      </c>
      <c r="L2673" s="35">
        <f t="shared" si="140"/>
        <v>71563705.200000003</v>
      </c>
      <c r="M2673" s="36">
        <v>3800</v>
      </c>
      <c r="N2673" s="40">
        <v>247321.42857142899</v>
      </c>
      <c r="O2673" s="40">
        <v>116626.33333333299</v>
      </c>
      <c r="P2673" s="40">
        <v>80791.428571428594</v>
      </c>
      <c r="Q2673" s="40">
        <v>36666.666666666701</v>
      </c>
      <c r="R2673" s="40">
        <v>339427.85714285698</v>
      </c>
      <c r="S2673" s="40">
        <v>253111.42857142899</v>
      </c>
      <c r="T2673" s="40">
        <v>30000</v>
      </c>
      <c r="U2673" s="40">
        <v>2071642.8571428601</v>
      </c>
      <c r="V2673" s="40">
        <v>0</v>
      </c>
      <c r="W2673" s="45">
        <f t="shared" si="141"/>
        <v>3175588.0000000033</v>
      </c>
      <c r="X2673" s="46">
        <f t="shared" si="142"/>
        <v>4.4374281503803452</v>
      </c>
    </row>
    <row r="2674" spans="1:24" s="4" customFormat="1" ht="15" customHeight="1">
      <c r="A2674" s="28" t="s">
        <v>3483</v>
      </c>
      <c r="B2674" s="29">
        <v>3387.15</v>
      </c>
      <c r="C2674" s="30" t="s">
        <v>3870</v>
      </c>
      <c r="D2674" s="2">
        <v>4951798439</v>
      </c>
      <c r="E2674" s="2" t="s">
        <v>14</v>
      </c>
      <c r="F2674" s="2" t="s">
        <v>3871</v>
      </c>
      <c r="G2674" s="28" t="s">
        <v>5</v>
      </c>
      <c r="H2674" s="2" t="s">
        <v>20</v>
      </c>
      <c r="I2674" s="2">
        <v>1</v>
      </c>
      <c r="J2674" s="2" t="s">
        <v>3872</v>
      </c>
      <c r="K2674" s="2">
        <v>3376.8</v>
      </c>
      <c r="L2674" s="35">
        <f t="shared" si="140"/>
        <v>11437728.120000001</v>
      </c>
      <c r="M2674" s="36">
        <v>720</v>
      </c>
      <c r="N2674" s="40">
        <v>46860.902255639099</v>
      </c>
      <c r="O2674" s="40">
        <v>116626.33333333299</v>
      </c>
      <c r="P2674" s="40">
        <v>15307.8496240601</v>
      </c>
      <c r="Q2674" s="40">
        <v>36666.666666666701</v>
      </c>
      <c r="R2674" s="40">
        <v>64312.646616541402</v>
      </c>
      <c r="S2674" s="40">
        <v>47957.954887218002</v>
      </c>
      <c r="T2674" s="40">
        <v>30000</v>
      </c>
      <c r="U2674" s="40">
        <v>392521.80451127799</v>
      </c>
      <c r="V2674" s="40">
        <v>0</v>
      </c>
      <c r="W2674" s="45">
        <f t="shared" si="141"/>
        <v>750254.15789473627</v>
      </c>
      <c r="X2674" s="46">
        <f t="shared" si="142"/>
        <v>6.5594683666491642</v>
      </c>
    </row>
    <row r="2675" spans="1:24" s="4" customFormat="1" ht="15" customHeight="1">
      <c r="A2675" s="28" t="s">
        <v>3483</v>
      </c>
      <c r="B2675" s="29">
        <v>3387.15</v>
      </c>
      <c r="C2675" s="30" t="s">
        <v>3870</v>
      </c>
      <c r="D2675" s="2">
        <v>4951925575</v>
      </c>
      <c r="E2675" s="2" t="s">
        <v>14</v>
      </c>
      <c r="F2675" s="2" t="s">
        <v>3871</v>
      </c>
      <c r="G2675" s="28" t="s">
        <v>5</v>
      </c>
      <c r="H2675" s="2" t="s">
        <v>20</v>
      </c>
      <c r="I2675" s="2">
        <v>1</v>
      </c>
      <c r="J2675" s="2" t="s">
        <v>3872</v>
      </c>
      <c r="K2675" s="2">
        <v>3544</v>
      </c>
      <c r="L2675" s="35">
        <f t="shared" si="140"/>
        <v>12004059.6</v>
      </c>
      <c r="M2675" s="36">
        <v>800</v>
      </c>
      <c r="N2675" s="40">
        <v>52067.669172932299</v>
      </c>
      <c r="O2675" s="40">
        <v>116626.33333333299</v>
      </c>
      <c r="P2675" s="40">
        <v>17008.7218045113</v>
      </c>
      <c r="Q2675" s="40">
        <v>36666.666666666701</v>
      </c>
      <c r="R2675" s="40">
        <v>71458.496240601497</v>
      </c>
      <c r="S2675" s="40">
        <v>53286.616541353404</v>
      </c>
      <c r="T2675" s="40">
        <v>30000</v>
      </c>
      <c r="U2675" s="40">
        <v>436135.33834586502</v>
      </c>
      <c r="V2675" s="40">
        <v>0</v>
      </c>
      <c r="W2675" s="45">
        <f t="shared" si="141"/>
        <v>813249.84210526326</v>
      </c>
      <c r="X2675" s="46">
        <f t="shared" si="142"/>
        <v>6.7747901060509834</v>
      </c>
    </row>
    <row r="2676" spans="1:24" s="4" customFormat="1" ht="15" customHeight="1">
      <c r="A2676" s="28" t="s">
        <v>3483</v>
      </c>
      <c r="B2676" s="29">
        <v>3387.15</v>
      </c>
      <c r="C2676" s="30" t="s">
        <v>3873</v>
      </c>
      <c r="D2676" s="2">
        <v>4951874477</v>
      </c>
      <c r="E2676" s="2" t="s">
        <v>14</v>
      </c>
      <c r="F2676" s="2" t="s">
        <v>3874</v>
      </c>
      <c r="G2676" s="28" t="s">
        <v>5</v>
      </c>
      <c r="H2676" s="2" t="s">
        <v>20</v>
      </c>
      <c r="I2676" s="2">
        <v>1</v>
      </c>
      <c r="J2676" s="2" t="s">
        <v>3875</v>
      </c>
      <c r="K2676" s="2">
        <v>3009.6</v>
      </c>
      <c r="L2676" s="35">
        <f t="shared" si="140"/>
        <v>10193966.640000001</v>
      </c>
      <c r="M2676" s="36">
        <v>760</v>
      </c>
      <c r="N2676" s="40">
        <v>24605.1206349206</v>
      </c>
      <c r="O2676" s="40">
        <v>116626.33333333299</v>
      </c>
      <c r="P2676" s="40">
        <v>37523.250793650797</v>
      </c>
      <c r="Q2676" s="40">
        <v>36666.666666666701</v>
      </c>
      <c r="R2676" s="40">
        <v>57681.466666666704</v>
      </c>
      <c r="S2676" s="40">
        <v>21373.853968253999</v>
      </c>
      <c r="T2676" s="40">
        <v>30000</v>
      </c>
      <c r="U2676" s="40">
        <v>196001.58730158699</v>
      </c>
      <c r="V2676" s="40">
        <v>0</v>
      </c>
      <c r="W2676" s="45">
        <f t="shared" si="141"/>
        <v>520478.27936507884</v>
      </c>
      <c r="X2676" s="46">
        <f t="shared" si="142"/>
        <v>5.1057483092281215</v>
      </c>
    </row>
    <row r="2677" spans="1:24" s="4" customFormat="1" ht="15" customHeight="1">
      <c r="A2677" s="28" t="s">
        <v>3483</v>
      </c>
      <c r="B2677" s="29">
        <v>3387.15</v>
      </c>
      <c r="C2677" s="30" t="s">
        <v>3873</v>
      </c>
      <c r="D2677" s="2">
        <v>4951874491</v>
      </c>
      <c r="E2677" s="2" t="s">
        <v>14</v>
      </c>
      <c r="F2677" s="2" t="s">
        <v>3874</v>
      </c>
      <c r="G2677" s="28" t="s">
        <v>5</v>
      </c>
      <c r="H2677" s="2" t="s">
        <v>20</v>
      </c>
      <c r="I2677" s="2">
        <v>1</v>
      </c>
      <c r="J2677" s="2" t="s">
        <v>3875</v>
      </c>
      <c r="K2677" s="2">
        <f>8500+10040</f>
        <v>18540</v>
      </c>
      <c r="L2677" s="35">
        <f t="shared" si="140"/>
        <v>62797761</v>
      </c>
      <c r="M2677" s="36">
        <f>2500+3100</f>
        <v>5600</v>
      </c>
      <c r="N2677" s="40">
        <v>181300.88888888899</v>
      </c>
      <c r="O2677" s="40">
        <v>116626.33333333299</v>
      </c>
      <c r="P2677" s="40">
        <v>276487.11111111101</v>
      </c>
      <c r="Q2677" s="40">
        <v>36666.666666666701</v>
      </c>
      <c r="R2677" s="40">
        <v>425021.33333333302</v>
      </c>
      <c r="S2677" s="40">
        <v>157491.555555556</v>
      </c>
      <c r="T2677" s="40">
        <v>30000</v>
      </c>
      <c r="U2677" s="40">
        <v>1444222.2222222199</v>
      </c>
      <c r="V2677" s="40">
        <v>0</v>
      </c>
      <c r="W2677" s="45">
        <f t="shared" si="141"/>
        <v>2667816.1111111087</v>
      </c>
      <c r="X2677" s="46">
        <f t="shared" si="142"/>
        <v>4.2482662894798251</v>
      </c>
    </row>
    <row r="2678" spans="1:24" s="4" customFormat="1" ht="15" customHeight="1">
      <c r="A2678" s="28" t="s">
        <v>3483</v>
      </c>
      <c r="B2678" s="29">
        <v>3387.15</v>
      </c>
      <c r="C2678" s="30" t="s">
        <v>3873</v>
      </c>
      <c r="D2678" s="2">
        <v>4951874477</v>
      </c>
      <c r="E2678" s="2" t="s">
        <v>14</v>
      </c>
      <c r="F2678" s="2" t="s">
        <v>3874</v>
      </c>
      <c r="G2678" s="28" t="s">
        <v>5</v>
      </c>
      <c r="H2678" s="2" t="s">
        <v>20</v>
      </c>
      <c r="I2678" s="2">
        <v>1</v>
      </c>
      <c r="J2678" s="2" t="s">
        <v>3875</v>
      </c>
      <c r="K2678" s="2">
        <v>11356.8</v>
      </c>
      <c r="L2678" s="35">
        <f t="shared" si="140"/>
        <v>38467185.119999997</v>
      </c>
      <c r="M2678" s="36">
        <v>6240</v>
      </c>
      <c r="N2678" s="40">
        <v>202020.99047619</v>
      </c>
      <c r="O2678" s="40">
        <v>116626.33333333299</v>
      </c>
      <c r="P2678" s="40">
        <v>308085.63809523801</v>
      </c>
      <c r="Q2678" s="40">
        <v>36666.666666666701</v>
      </c>
      <c r="R2678" s="40">
        <v>473595.2</v>
      </c>
      <c r="S2678" s="40">
        <v>175490.59047619</v>
      </c>
      <c r="T2678" s="40">
        <v>30000</v>
      </c>
      <c r="U2678" s="40">
        <v>1609276.1904761901</v>
      </c>
      <c r="V2678" s="40">
        <v>0</v>
      </c>
      <c r="W2678" s="45">
        <f t="shared" si="141"/>
        <v>2951761.6095238077</v>
      </c>
      <c r="X2678" s="46">
        <f t="shared" si="142"/>
        <v>7.6734536210946125</v>
      </c>
    </row>
    <row r="2679" spans="1:24" s="4" customFormat="1" ht="15" customHeight="1">
      <c r="A2679" s="28" t="s">
        <v>3483</v>
      </c>
      <c r="B2679" s="29">
        <v>3387.15</v>
      </c>
      <c r="C2679" s="30" t="s">
        <v>3876</v>
      </c>
      <c r="D2679" s="2" t="s">
        <v>3877</v>
      </c>
      <c r="E2679" s="2" t="s">
        <v>24</v>
      </c>
      <c r="F2679" s="2" t="s">
        <v>3878</v>
      </c>
      <c r="G2679" s="28" t="s">
        <v>5</v>
      </c>
      <c r="H2679" s="2" t="s">
        <v>17</v>
      </c>
      <c r="I2679" s="2">
        <v>1</v>
      </c>
      <c r="J2679" s="2" t="s">
        <v>3879</v>
      </c>
      <c r="K2679" s="2">
        <v>15717.24</v>
      </c>
      <c r="L2679" s="35">
        <f t="shared" si="140"/>
        <v>53236649.465999998</v>
      </c>
      <c r="M2679" s="36">
        <v>20412</v>
      </c>
      <c r="N2679" s="40">
        <v>448683</v>
      </c>
      <c r="O2679" s="40">
        <v>458999</v>
      </c>
      <c r="P2679" s="40">
        <v>0</v>
      </c>
      <c r="Q2679" s="40">
        <v>110000</v>
      </c>
      <c r="R2679" s="40">
        <v>766819</v>
      </c>
      <c r="S2679" s="40">
        <v>354356</v>
      </c>
      <c r="T2679" s="40"/>
      <c r="U2679" s="40">
        <v>5640550</v>
      </c>
      <c r="V2679" s="40">
        <v>0</v>
      </c>
      <c r="W2679" s="45">
        <f t="shared" si="141"/>
        <v>7779407</v>
      </c>
      <c r="X2679" s="46">
        <f t="shared" si="142"/>
        <v>14.612878680444341</v>
      </c>
    </row>
    <row r="2680" spans="1:24" s="4" customFormat="1" ht="15" customHeight="1">
      <c r="A2680" s="28" t="s">
        <v>3483</v>
      </c>
      <c r="B2680" s="29">
        <v>3387.15</v>
      </c>
      <c r="C2680" s="30" t="s">
        <v>3880</v>
      </c>
      <c r="D2680" s="2">
        <v>4950664905</v>
      </c>
      <c r="E2680" s="2" t="s">
        <v>27</v>
      </c>
      <c r="F2680" s="2" t="s">
        <v>3881</v>
      </c>
      <c r="G2680" s="28" t="s">
        <v>5</v>
      </c>
      <c r="H2680" s="2" t="s">
        <v>20</v>
      </c>
      <c r="I2680" s="2">
        <v>1</v>
      </c>
      <c r="J2680" s="2" t="s">
        <v>3882</v>
      </c>
      <c r="K2680" s="2">
        <v>13465.31</v>
      </c>
      <c r="L2680" s="35">
        <f t="shared" si="140"/>
        <v>45609024.766499996</v>
      </c>
      <c r="M2680" s="36">
        <v>7162.4</v>
      </c>
      <c r="N2680" s="40">
        <v>574572</v>
      </c>
      <c r="O2680" s="40">
        <v>435616</v>
      </c>
      <c r="P2680" s="40">
        <v>0</v>
      </c>
      <c r="Q2680" s="40">
        <v>124137</v>
      </c>
      <c r="R2680" s="40">
        <v>758511</v>
      </c>
      <c r="S2680" s="40">
        <v>354356</v>
      </c>
      <c r="T2680" s="40"/>
      <c r="U2680" s="40">
        <v>2900300</v>
      </c>
      <c r="V2680" s="40">
        <v>0</v>
      </c>
      <c r="W2680" s="45">
        <f t="shared" si="141"/>
        <v>5147492</v>
      </c>
      <c r="X2680" s="46">
        <f t="shared" si="142"/>
        <v>11.286125994478297</v>
      </c>
    </row>
    <row r="2681" spans="1:24" s="4" customFormat="1" ht="15" customHeight="1">
      <c r="A2681" s="28" t="s">
        <v>3483</v>
      </c>
      <c r="B2681" s="29">
        <v>3387.15</v>
      </c>
      <c r="C2681" s="30" t="s">
        <v>3883</v>
      </c>
      <c r="D2681" s="2">
        <v>4952164748</v>
      </c>
      <c r="E2681" s="2" t="s">
        <v>27</v>
      </c>
      <c r="F2681" s="2" t="s">
        <v>3884</v>
      </c>
      <c r="G2681" s="28" t="s">
        <v>5</v>
      </c>
      <c r="H2681" s="2" t="s">
        <v>17</v>
      </c>
      <c r="I2681" s="2">
        <v>1</v>
      </c>
      <c r="J2681" s="2" t="s">
        <v>3885</v>
      </c>
      <c r="K2681" s="2">
        <v>44193.88</v>
      </c>
      <c r="L2681" s="35">
        <f t="shared" si="140"/>
        <v>149691300.64199999</v>
      </c>
      <c r="M2681" s="36">
        <v>7137.41</v>
      </c>
      <c r="N2681" s="40">
        <v>581621</v>
      </c>
      <c r="O2681" s="40">
        <v>458999</v>
      </c>
      <c r="P2681" s="40">
        <v>0</v>
      </c>
      <c r="Q2681" s="40">
        <v>110000</v>
      </c>
      <c r="R2681" s="40">
        <v>910753</v>
      </c>
      <c r="S2681" s="40">
        <v>354356</v>
      </c>
      <c r="T2681" s="40"/>
      <c r="U2681" s="40">
        <v>4719050</v>
      </c>
      <c r="V2681" s="40">
        <v>0</v>
      </c>
      <c r="W2681" s="45">
        <f t="shared" si="141"/>
        <v>7134779</v>
      </c>
      <c r="X2681" s="46">
        <f t="shared" si="142"/>
        <v>4.766328416815254</v>
      </c>
    </row>
    <row r="2682" spans="1:24" s="4" customFormat="1" ht="15" customHeight="1">
      <c r="A2682" s="28" t="s">
        <v>3483</v>
      </c>
      <c r="B2682" s="29">
        <v>3387.15</v>
      </c>
      <c r="C2682" s="30" t="s">
        <v>3886</v>
      </c>
      <c r="D2682" s="2">
        <v>4951798432</v>
      </c>
      <c r="E2682" s="2" t="s">
        <v>14</v>
      </c>
      <c r="F2682" s="2" t="s">
        <v>3887</v>
      </c>
      <c r="G2682" s="28" t="s">
        <v>5</v>
      </c>
      <c r="H2682" s="2" t="s">
        <v>17</v>
      </c>
      <c r="I2682" s="2">
        <v>1</v>
      </c>
      <c r="J2682" s="2" t="s">
        <v>3888</v>
      </c>
      <c r="K2682" s="2">
        <v>13650</v>
      </c>
      <c r="L2682" s="35">
        <f t="shared" si="140"/>
        <v>46234597.5</v>
      </c>
      <c r="M2682" s="36">
        <v>4200</v>
      </c>
      <c r="N2682" s="40">
        <v>112601.62601625999</v>
      </c>
      <c r="O2682" s="40">
        <v>65571.285714285696</v>
      </c>
      <c r="P2682" s="40">
        <v>131368.455284553</v>
      </c>
      <c r="Q2682" s="40">
        <v>15714.285714285699</v>
      </c>
      <c r="R2682" s="40">
        <v>321293.33333333302</v>
      </c>
      <c r="S2682" s="40">
        <v>115237.723577236</v>
      </c>
      <c r="T2682" s="40">
        <v>30000</v>
      </c>
      <c r="U2682" s="40">
        <v>1771235.77235772</v>
      </c>
      <c r="V2682" s="40">
        <v>0</v>
      </c>
      <c r="W2682" s="45">
        <f t="shared" si="141"/>
        <v>2563022.4819976734</v>
      </c>
      <c r="X2682" s="46">
        <f t="shared" si="142"/>
        <v>5.5435163721230047</v>
      </c>
    </row>
    <row r="2683" spans="1:24" s="4" customFormat="1" ht="15" customHeight="1">
      <c r="A2683" s="28" t="s">
        <v>3483</v>
      </c>
      <c r="B2683" s="29">
        <v>3387.15</v>
      </c>
      <c r="C2683" s="30" t="s">
        <v>3886</v>
      </c>
      <c r="D2683" s="2">
        <v>4952110333</v>
      </c>
      <c r="E2683" s="2" t="s">
        <v>14</v>
      </c>
      <c r="F2683" s="2" t="s">
        <v>3887</v>
      </c>
      <c r="G2683" s="28" t="s">
        <v>5</v>
      </c>
      <c r="H2683" s="2" t="s">
        <v>17</v>
      </c>
      <c r="I2683" s="2">
        <v>1</v>
      </c>
      <c r="J2683" s="2" t="s">
        <v>3888</v>
      </c>
      <c r="K2683" s="2">
        <v>19425</v>
      </c>
      <c r="L2683" s="35">
        <f t="shared" si="140"/>
        <v>65795388.75</v>
      </c>
      <c r="M2683" s="36">
        <v>2100</v>
      </c>
      <c r="N2683" s="40">
        <v>56300.813008130099</v>
      </c>
      <c r="O2683" s="40">
        <v>65571.285714285696</v>
      </c>
      <c r="P2683" s="40">
        <v>65684.227642276397</v>
      </c>
      <c r="Q2683" s="40">
        <v>15714.285714285699</v>
      </c>
      <c r="R2683" s="40">
        <v>160646.66666666701</v>
      </c>
      <c r="S2683" s="40">
        <v>57618.861788617898</v>
      </c>
      <c r="T2683" s="40">
        <v>30000</v>
      </c>
      <c r="U2683" s="40">
        <v>885617.88617886195</v>
      </c>
      <c r="V2683" s="40">
        <v>0</v>
      </c>
      <c r="W2683" s="45">
        <f t="shared" si="141"/>
        <v>1337154.0267131247</v>
      </c>
      <c r="X2683" s="46">
        <f t="shared" si="142"/>
        <v>2.0322913993165286</v>
      </c>
    </row>
    <row r="2684" spans="1:24" s="4" customFormat="1" ht="15" customHeight="1">
      <c r="A2684" s="28" t="s">
        <v>3483</v>
      </c>
      <c r="B2684" s="29">
        <v>3387.15</v>
      </c>
      <c r="C2684" s="30" t="s">
        <v>3886</v>
      </c>
      <c r="D2684" s="2">
        <v>4952162030</v>
      </c>
      <c r="E2684" s="2" t="s">
        <v>14</v>
      </c>
      <c r="F2684" s="2" t="s">
        <v>3887</v>
      </c>
      <c r="G2684" s="28" t="s">
        <v>5</v>
      </c>
      <c r="H2684" s="2" t="s">
        <v>17</v>
      </c>
      <c r="I2684" s="2">
        <v>1</v>
      </c>
      <c r="J2684" s="2" t="s">
        <v>3888</v>
      </c>
      <c r="K2684" s="2">
        <v>6019.2</v>
      </c>
      <c r="L2684" s="35">
        <f t="shared" si="140"/>
        <v>20387933.280000001</v>
      </c>
      <c r="M2684" s="36">
        <v>1520</v>
      </c>
      <c r="N2684" s="40">
        <v>40751.064653503701</v>
      </c>
      <c r="O2684" s="40">
        <v>65571.285714285696</v>
      </c>
      <c r="P2684" s="40">
        <v>47542.869531552496</v>
      </c>
      <c r="Q2684" s="40">
        <v>15714.285714285699</v>
      </c>
      <c r="R2684" s="40">
        <v>116277.587301587</v>
      </c>
      <c r="S2684" s="40">
        <v>41705.080913666301</v>
      </c>
      <c r="T2684" s="40">
        <v>30000</v>
      </c>
      <c r="U2684" s="40">
        <v>641018.660472319</v>
      </c>
      <c r="V2684" s="40">
        <v>0</v>
      </c>
      <c r="W2684" s="45">
        <f t="shared" si="141"/>
        <v>998580.83430119988</v>
      </c>
      <c r="X2684" s="46">
        <f t="shared" si="142"/>
        <v>4.8979012270987763</v>
      </c>
    </row>
    <row r="2685" spans="1:24" s="4" customFormat="1" ht="15" customHeight="1">
      <c r="A2685" s="28" t="s">
        <v>3483</v>
      </c>
      <c r="B2685" s="29">
        <v>3387.15</v>
      </c>
      <c r="C2685" s="30" t="s">
        <v>3886</v>
      </c>
      <c r="D2685" s="2">
        <v>4952360224</v>
      </c>
      <c r="E2685" s="2" t="s">
        <v>14</v>
      </c>
      <c r="F2685" s="2" t="s">
        <v>3887</v>
      </c>
      <c r="G2685" s="28" t="s">
        <v>5</v>
      </c>
      <c r="H2685" s="2" t="s">
        <v>17</v>
      </c>
      <c r="I2685" s="2">
        <v>1</v>
      </c>
      <c r="J2685" s="2" t="s">
        <v>3888</v>
      </c>
      <c r="K2685" s="2">
        <v>6683.25</v>
      </c>
      <c r="L2685" s="35">
        <f t="shared" si="140"/>
        <v>22637170.237500001</v>
      </c>
      <c r="M2685" s="36">
        <v>1425</v>
      </c>
      <c r="N2685" s="40">
        <v>38204.123112659698</v>
      </c>
      <c r="O2685" s="40">
        <v>65571.285714285696</v>
      </c>
      <c r="P2685" s="40">
        <v>44571.440185830397</v>
      </c>
      <c r="Q2685" s="40">
        <v>15714.285714285699</v>
      </c>
      <c r="R2685" s="40">
        <v>109010.238095238</v>
      </c>
      <c r="S2685" s="40">
        <v>39098.5133565621</v>
      </c>
      <c r="T2685" s="40">
        <v>30000</v>
      </c>
      <c r="U2685" s="40">
        <v>600954.99419279897</v>
      </c>
      <c r="V2685" s="40">
        <v>0</v>
      </c>
      <c r="W2685" s="45">
        <f t="shared" si="141"/>
        <v>943124.88037166058</v>
      </c>
      <c r="X2685" s="46">
        <f t="shared" si="142"/>
        <v>4.1662666776667638</v>
      </c>
    </row>
    <row r="2686" spans="1:24" s="4" customFormat="1" ht="15" customHeight="1">
      <c r="A2686" s="28" t="s">
        <v>3483</v>
      </c>
      <c r="B2686" s="29">
        <v>3387.15</v>
      </c>
      <c r="C2686" s="30" t="s">
        <v>3886</v>
      </c>
      <c r="D2686" s="2">
        <v>4952162044</v>
      </c>
      <c r="E2686" s="2" t="s">
        <v>14</v>
      </c>
      <c r="F2686" s="2" t="s">
        <v>3887</v>
      </c>
      <c r="G2686" s="28" t="s">
        <v>5</v>
      </c>
      <c r="H2686" s="2" t="s">
        <v>17</v>
      </c>
      <c r="I2686" s="2">
        <v>1</v>
      </c>
      <c r="J2686" s="2" t="s">
        <v>3888</v>
      </c>
      <c r="K2686" s="2">
        <v>5912.2</v>
      </c>
      <c r="L2686" s="35">
        <f t="shared" si="140"/>
        <v>20025508.23</v>
      </c>
      <c r="M2686" s="36">
        <v>820</v>
      </c>
      <c r="N2686" s="40">
        <v>21984.126984127</v>
      </c>
      <c r="O2686" s="40">
        <v>65571.285714285696</v>
      </c>
      <c r="P2686" s="40">
        <v>25648.126984127</v>
      </c>
      <c r="Q2686" s="40">
        <v>15714.285714285699</v>
      </c>
      <c r="R2686" s="40">
        <v>62728.698412698403</v>
      </c>
      <c r="S2686" s="40">
        <v>22498.793650793701</v>
      </c>
      <c r="T2686" s="40">
        <v>30000</v>
      </c>
      <c r="U2686" s="40">
        <v>345812.698412698</v>
      </c>
      <c r="V2686" s="40">
        <v>0</v>
      </c>
      <c r="W2686" s="45">
        <f t="shared" si="141"/>
        <v>589958.01587301551</v>
      </c>
      <c r="X2686" s="46">
        <f t="shared" si="142"/>
        <v>2.9460326754114816</v>
      </c>
    </row>
    <row r="2687" spans="1:24" s="4" customFormat="1" ht="15" customHeight="1">
      <c r="A2687" s="28" t="s">
        <v>3483</v>
      </c>
      <c r="B2687" s="29">
        <v>3387.15</v>
      </c>
      <c r="C2687" s="30" t="s">
        <v>3886</v>
      </c>
      <c r="D2687" s="2">
        <v>4951874492</v>
      </c>
      <c r="E2687" s="2" t="s">
        <v>14</v>
      </c>
      <c r="F2687" s="2" t="s">
        <v>3887</v>
      </c>
      <c r="G2687" s="28" t="s">
        <v>5</v>
      </c>
      <c r="H2687" s="2" t="s">
        <v>17</v>
      </c>
      <c r="I2687" s="2">
        <v>1</v>
      </c>
      <c r="J2687" s="2" t="s">
        <v>3888</v>
      </c>
      <c r="K2687" s="2">
        <v>7155</v>
      </c>
      <c r="L2687" s="35">
        <f t="shared" si="140"/>
        <v>24235058.25</v>
      </c>
      <c r="M2687" s="36">
        <v>1350</v>
      </c>
      <c r="N2687" s="40">
        <v>36193.379790940802</v>
      </c>
      <c r="O2687" s="40">
        <v>65571.285714285696</v>
      </c>
      <c r="P2687" s="40">
        <v>42225.574912892</v>
      </c>
      <c r="Q2687" s="40">
        <v>15714.285714285699</v>
      </c>
      <c r="R2687" s="40">
        <v>103272.857142857</v>
      </c>
      <c r="S2687" s="40">
        <v>37040.696864111502</v>
      </c>
      <c r="T2687" s="40">
        <v>30000</v>
      </c>
      <c r="U2687" s="40">
        <v>569325.78397212503</v>
      </c>
      <c r="V2687" s="40">
        <v>0</v>
      </c>
      <c r="W2687" s="45">
        <f t="shared" si="141"/>
        <v>899343.86411149777</v>
      </c>
      <c r="X2687" s="46">
        <f t="shared" si="142"/>
        <v>3.7109209923664932</v>
      </c>
    </row>
    <row r="2688" spans="1:24" s="4" customFormat="1" ht="15" customHeight="1">
      <c r="A2688" s="28" t="s">
        <v>3483</v>
      </c>
      <c r="B2688" s="29">
        <v>3387.15</v>
      </c>
      <c r="C2688" s="30" t="s">
        <v>3886</v>
      </c>
      <c r="D2688" s="2">
        <v>4952839961</v>
      </c>
      <c r="E2688" s="2" t="s">
        <v>14</v>
      </c>
      <c r="F2688" s="2" t="s">
        <v>3887</v>
      </c>
      <c r="G2688" s="28" t="s">
        <v>5</v>
      </c>
      <c r="H2688" s="2" t="s">
        <v>17</v>
      </c>
      <c r="I2688" s="2">
        <v>1</v>
      </c>
      <c r="J2688" s="2" t="s">
        <v>3888</v>
      </c>
      <c r="K2688" s="2">
        <v>4560</v>
      </c>
      <c r="L2688" s="35">
        <f t="shared" si="140"/>
        <v>15445404</v>
      </c>
      <c r="M2688" s="36">
        <v>1500</v>
      </c>
      <c r="N2688" s="40">
        <v>40214.8664343786</v>
      </c>
      <c r="O2688" s="40">
        <v>65571.285714285696</v>
      </c>
      <c r="P2688" s="40">
        <v>46917.305458768897</v>
      </c>
      <c r="Q2688" s="40">
        <v>15714.285714285699</v>
      </c>
      <c r="R2688" s="40">
        <v>114747.61904761899</v>
      </c>
      <c r="S2688" s="40">
        <v>41156.3298490128</v>
      </c>
      <c r="T2688" s="40">
        <v>30000</v>
      </c>
      <c r="U2688" s="40">
        <v>632584.20441347302</v>
      </c>
      <c r="V2688" s="40">
        <v>0</v>
      </c>
      <c r="W2688" s="45">
        <f t="shared" si="141"/>
        <v>986905.89663182374</v>
      </c>
      <c r="X2688" s="46">
        <f t="shared" si="142"/>
        <v>6.3896411944409079</v>
      </c>
    </row>
    <row r="2689" spans="1:24" s="4" customFormat="1" ht="15" customHeight="1">
      <c r="A2689" s="28" t="s">
        <v>3483</v>
      </c>
      <c r="B2689" s="29">
        <v>3387.15</v>
      </c>
      <c r="C2689" s="30" t="s">
        <v>3889</v>
      </c>
      <c r="D2689" s="2">
        <v>4948538664</v>
      </c>
      <c r="E2689" s="2" t="s">
        <v>10</v>
      </c>
      <c r="F2689" s="2" t="s">
        <v>3890</v>
      </c>
      <c r="G2689" s="28" t="s">
        <v>9</v>
      </c>
      <c r="H2689" s="2" t="s">
        <v>23</v>
      </c>
      <c r="I2689" s="2">
        <v>10</v>
      </c>
      <c r="J2689" s="2"/>
      <c r="K2689" s="2">
        <v>58188</v>
      </c>
      <c r="L2689" s="35">
        <f t="shared" si="140"/>
        <v>197091484.20000002</v>
      </c>
      <c r="M2689" s="36">
        <f>6200+1600</f>
        <v>7800</v>
      </c>
      <c r="N2689" s="40">
        <v>1421588</v>
      </c>
      <c r="O2689" s="40">
        <v>6036</v>
      </c>
      <c r="P2689" s="40">
        <v>114873</v>
      </c>
      <c r="Q2689" s="40">
        <v>174512</v>
      </c>
      <c r="R2689" s="40">
        <v>252217</v>
      </c>
      <c r="S2689" s="40">
        <v>708712</v>
      </c>
      <c r="T2689" s="40"/>
      <c r="U2689" s="40">
        <v>1503500</v>
      </c>
      <c r="V2689" s="40">
        <v>0</v>
      </c>
      <c r="W2689" s="45">
        <f t="shared" si="141"/>
        <v>4181438</v>
      </c>
      <c r="X2689" s="46">
        <f t="shared" si="142"/>
        <v>2.1215721303092199</v>
      </c>
    </row>
    <row r="2690" spans="1:24" s="4" customFormat="1" ht="15" customHeight="1">
      <c r="A2690" s="28" t="s">
        <v>3483</v>
      </c>
      <c r="B2690" s="29">
        <v>3387.15</v>
      </c>
      <c r="C2690" s="30" t="s">
        <v>3891</v>
      </c>
      <c r="D2690" s="2">
        <v>4950899801</v>
      </c>
      <c r="E2690" s="2" t="s">
        <v>10</v>
      </c>
      <c r="F2690" s="2" t="s">
        <v>3892</v>
      </c>
      <c r="G2690" s="28" t="s">
        <v>5</v>
      </c>
      <c r="H2690" s="2" t="s">
        <v>20</v>
      </c>
      <c r="I2690" s="2">
        <v>1</v>
      </c>
      <c r="J2690" s="2" t="s">
        <v>3893</v>
      </c>
      <c r="K2690" s="2">
        <v>83700</v>
      </c>
      <c r="L2690" s="35">
        <f t="shared" si="140"/>
        <v>283504455</v>
      </c>
      <c r="M2690" s="36">
        <v>6000</v>
      </c>
      <c r="N2690" s="40">
        <v>546746</v>
      </c>
      <c r="O2690" s="40">
        <v>435616</v>
      </c>
      <c r="P2690" s="40">
        <v>0</v>
      </c>
      <c r="Q2690" s="40">
        <v>124137</v>
      </c>
      <c r="R2690" s="40">
        <v>763400</v>
      </c>
      <c r="S2690" s="40">
        <v>708712</v>
      </c>
      <c r="T2690" s="40"/>
      <c r="U2690" s="40">
        <v>1552000</v>
      </c>
      <c r="V2690" s="40">
        <v>0</v>
      </c>
      <c r="W2690" s="45">
        <f t="shared" si="141"/>
        <v>4130611</v>
      </c>
      <c r="X2690" s="46">
        <f t="shared" si="142"/>
        <v>1.4569827482957896</v>
      </c>
    </row>
    <row r="2691" spans="1:24" s="4" customFormat="1" ht="15" customHeight="1">
      <c r="A2691" s="28" t="s">
        <v>3483</v>
      </c>
      <c r="B2691" s="29">
        <v>3387.15</v>
      </c>
      <c r="C2691" s="30" t="s">
        <v>3894</v>
      </c>
      <c r="D2691" s="2">
        <v>4952219103</v>
      </c>
      <c r="E2691" s="2" t="s">
        <v>27</v>
      </c>
      <c r="F2691" s="2" t="s">
        <v>3895</v>
      </c>
      <c r="G2691" s="28" t="s">
        <v>5</v>
      </c>
      <c r="H2691" s="2" t="s">
        <v>17</v>
      </c>
      <c r="I2691" s="2">
        <v>1</v>
      </c>
      <c r="J2691" s="2" t="s">
        <v>3896</v>
      </c>
      <c r="K2691" s="2">
        <v>12738</v>
      </c>
      <c r="L2691" s="35">
        <f t="shared" si="140"/>
        <v>43145516.700000003</v>
      </c>
      <c r="M2691" s="36">
        <v>8494.2000000000007</v>
      </c>
      <c r="N2691" s="40">
        <v>333862.31343283597</v>
      </c>
      <c r="O2691" s="40">
        <v>286017.5</v>
      </c>
      <c r="P2691" s="40">
        <v>0</v>
      </c>
      <c r="Q2691" s="40">
        <v>62068.5</v>
      </c>
      <c r="R2691" s="40">
        <v>577799.62686567195</v>
      </c>
      <c r="S2691" s="40">
        <v>290889.25373134302</v>
      </c>
      <c r="T2691" s="40"/>
      <c r="U2691" s="40">
        <v>3873847.01492537</v>
      </c>
      <c r="V2691" s="40">
        <v>0</v>
      </c>
      <c r="W2691" s="45">
        <f t="shared" si="141"/>
        <v>5424484.2089552209</v>
      </c>
      <c r="X2691" s="46">
        <f t="shared" si="142"/>
        <v>12.572532730741919</v>
      </c>
    </row>
    <row r="2692" spans="1:24" s="4" customFormat="1" ht="15" customHeight="1">
      <c r="A2692" s="28" t="s">
        <v>3483</v>
      </c>
      <c r="B2692" s="29">
        <v>3387.15</v>
      </c>
      <c r="C2692" s="30" t="s">
        <v>3894</v>
      </c>
      <c r="D2692" s="2">
        <v>4952394194</v>
      </c>
      <c r="E2692" s="2" t="s">
        <v>27</v>
      </c>
      <c r="F2692" s="2" t="s">
        <v>3895</v>
      </c>
      <c r="G2692" s="28" t="s">
        <v>5</v>
      </c>
      <c r="H2692" s="2" t="s">
        <v>17</v>
      </c>
      <c r="I2692" s="2">
        <v>1</v>
      </c>
      <c r="J2692" s="2" t="s">
        <v>3896</v>
      </c>
      <c r="K2692" s="2">
        <v>5342.4</v>
      </c>
      <c r="L2692" s="35">
        <f t="shared" si="140"/>
        <v>18095510.16</v>
      </c>
      <c r="M2692" s="36">
        <v>1327.68</v>
      </c>
      <c r="N2692" s="40">
        <v>72842.686567164201</v>
      </c>
      <c r="O2692" s="40">
        <v>286017.5</v>
      </c>
      <c r="P2692" s="40">
        <v>0</v>
      </c>
      <c r="Q2692" s="40">
        <v>62068.5</v>
      </c>
      <c r="R2692" s="40">
        <v>126065.37313432799</v>
      </c>
      <c r="S2692" s="40">
        <v>63466.746268656701</v>
      </c>
      <c r="T2692" s="40"/>
      <c r="U2692" s="40">
        <v>845202.98507462698</v>
      </c>
      <c r="V2692" s="40">
        <v>0</v>
      </c>
      <c r="W2692" s="45">
        <f t="shared" si="141"/>
        <v>1455663.7910447759</v>
      </c>
      <c r="X2692" s="46">
        <f t="shared" si="142"/>
        <v>8.0443368447412471</v>
      </c>
    </row>
    <row r="2693" spans="1:24" s="4" customFormat="1" ht="15" customHeight="1">
      <c r="A2693" s="28" t="s">
        <v>3483</v>
      </c>
      <c r="B2693" s="29">
        <v>3387.15</v>
      </c>
      <c r="C2693" s="30" t="s">
        <v>3897</v>
      </c>
      <c r="D2693" s="2">
        <v>4951102212</v>
      </c>
      <c r="E2693" s="2" t="s">
        <v>21</v>
      </c>
      <c r="F2693" s="2" t="s">
        <v>3898</v>
      </c>
      <c r="G2693" s="28" t="s">
        <v>5</v>
      </c>
      <c r="H2693" s="2" t="s">
        <v>17</v>
      </c>
      <c r="I2693" s="2">
        <v>1</v>
      </c>
      <c r="J2693" s="2" t="s">
        <v>3899</v>
      </c>
      <c r="K2693" s="2">
        <v>32705.279999999999</v>
      </c>
      <c r="L2693" s="35">
        <f t="shared" si="140"/>
        <v>110777689.152</v>
      </c>
      <c r="M2693" s="36">
        <v>6528</v>
      </c>
      <c r="N2693" s="40">
        <v>345599</v>
      </c>
      <c r="O2693" s="40">
        <v>458999</v>
      </c>
      <c r="P2693" s="40">
        <v>0</v>
      </c>
      <c r="Q2693" s="40">
        <v>110000</v>
      </c>
      <c r="R2693" s="40">
        <v>773477</v>
      </c>
      <c r="S2693" s="40">
        <v>354356</v>
      </c>
      <c r="T2693" s="40"/>
      <c r="U2693" s="40">
        <v>529000</v>
      </c>
      <c r="V2693" s="40">
        <v>0</v>
      </c>
      <c r="W2693" s="45">
        <f t="shared" si="141"/>
        <v>2571431</v>
      </c>
      <c r="X2693" s="46">
        <f t="shared" si="142"/>
        <v>2.3212535120422082</v>
      </c>
    </row>
    <row r="2694" spans="1:24" s="4" customFormat="1" ht="15" customHeight="1">
      <c r="A2694" s="28" t="s">
        <v>3483</v>
      </c>
      <c r="B2694" s="29">
        <v>3387.15</v>
      </c>
      <c r="C2694" s="30" t="s">
        <v>3900</v>
      </c>
      <c r="D2694" s="2">
        <v>4952431663</v>
      </c>
      <c r="E2694" s="2" t="s">
        <v>24</v>
      </c>
      <c r="F2694" s="2" t="s">
        <v>3901</v>
      </c>
      <c r="G2694" s="28" t="s">
        <v>9</v>
      </c>
      <c r="H2694" s="2" t="s">
        <v>23</v>
      </c>
      <c r="I2694" s="2">
        <v>3</v>
      </c>
      <c r="J2694" s="2"/>
      <c r="K2694" s="2">
        <v>13910.4</v>
      </c>
      <c r="L2694" s="35">
        <f t="shared" si="140"/>
        <v>47116611.359999999</v>
      </c>
      <c r="M2694" s="36">
        <v>2760</v>
      </c>
      <c r="N2694" s="40">
        <v>909691</v>
      </c>
      <c r="O2694" s="40">
        <v>2026</v>
      </c>
      <c r="P2694" s="40">
        <v>0</v>
      </c>
      <c r="Q2694" s="40">
        <v>60268</v>
      </c>
      <c r="R2694" s="40">
        <v>49381</v>
      </c>
      <c r="S2694" s="40">
        <v>354356</v>
      </c>
      <c r="T2694" s="40"/>
      <c r="U2694" s="40">
        <v>1367700</v>
      </c>
      <c r="V2694" s="40">
        <v>0</v>
      </c>
      <c r="W2694" s="45">
        <f t="shared" si="141"/>
        <v>2743422</v>
      </c>
      <c r="X2694" s="46">
        <f t="shared" si="142"/>
        <v>5.8226216207242967</v>
      </c>
    </row>
    <row r="2695" spans="1:24" s="4" customFormat="1" ht="15" customHeight="1">
      <c r="A2695" s="28" t="s">
        <v>3483</v>
      </c>
      <c r="B2695" s="29">
        <v>3387.15</v>
      </c>
      <c r="C2695" s="30" t="s">
        <v>3902</v>
      </c>
      <c r="D2695" s="2">
        <v>4951900503</v>
      </c>
      <c r="E2695" s="2" t="s">
        <v>36</v>
      </c>
      <c r="F2695" s="2" t="s">
        <v>3903</v>
      </c>
      <c r="G2695" s="28" t="s">
        <v>5</v>
      </c>
      <c r="H2695" s="2" t="s">
        <v>26</v>
      </c>
      <c r="I2695" s="2">
        <v>4</v>
      </c>
      <c r="J2695" s="2" t="s">
        <v>3904</v>
      </c>
      <c r="K2695" s="2">
        <v>84534</v>
      </c>
      <c r="L2695" s="35">
        <f t="shared" si="140"/>
        <v>286329338.10000002</v>
      </c>
      <c r="M2695" s="36">
        <v>86260</v>
      </c>
      <c r="N2695" s="40">
        <v>1393708</v>
      </c>
      <c r="O2695" s="40">
        <v>2132184</v>
      </c>
      <c r="P2695" s="40">
        <v>11077652</v>
      </c>
      <c r="Q2695" s="40">
        <v>496548</v>
      </c>
      <c r="R2695" s="40">
        <v>2691004</v>
      </c>
      <c r="S2695" s="40">
        <v>354356</v>
      </c>
      <c r="T2695" s="40"/>
      <c r="U2695" s="40">
        <v>0</v>
      </c>
      <c r="V2695" s="40">
        <v>0</v>
      </c>
      <c r="W2695" s="45">
        <f t="shared" si="141"/>
        <v>18145452</v>
      </c>
      <c r="X2695" s="46">
        <f t="shared" si="142"/>
        <v>6.3372660728404764</v>
      </c>
    </row>
    <row r="2696" spans="1:24" s="4" customFormat="1" ht="15" customHeight="1">
      <c r="A2696" s="28" t="s">
        <v>3483</v>
      </c>
      <c r="B2696" s="29">
        <v>3387.15</v>
      </c>
      <c r="C2696" s="30" t="s">
        <v>3905</v>
      </c>
      <c r="D2696" s="2">
        <v>4951897094</v>
      </c>
      <c r="E2696" s="2" t="s">
        <v>36</v>
      </c>
      <c r="F2696" s="2" t="s">
        <v>3906</v>
      </c>
      <c r="G2696" s="28" t="s">
        <v>5</v>
      </c>
      <c r="H2696" s="2" t="s">
        <v>26</v>
      </c>
      <c r="I2696" s="2">
        <v>4</v>
      </c>
      <c r="J2696" s="2" t="s">
        <v>3907</v>
      </c>
      <c r="K2696" s="2">
        <v>84593</v>
      </c>
      <c r="L2696" s="35">
        <f t="shared" si="140"/>
        <v>286529179.94999999</v>
      </c>
      <c r="M2696" s="36">
        <v>86320</v>
      </c>
      <c r="N2696" s="40">
        <v>1330716</v>
      </c>
      <c r="O2696" s="40">
        <v>2132184</v>
      </c>
      <c r="P2696" s="40">
        <v>10696815</v>
      </c>
      <c r="Q2696" s="40">
        <v>496548</v>
      </c>
      <c r="R2696" s="40">
        <v>3415982</v>
      </c>
      <c r="S2696" s="40">
        <v>354356</v>
      </c>
      <c r="T2696" s="40"/>
      <c r="U2696" s="40">
        <v>0</v>
      </c>
      <c r="V2696" s="40">
        <v>0</v>
      </c>
      <c r="W2696" s="45">
        <f t="shared" si="141"/>
        <v>18426601</v>
      </c>
      <c r="X2696" s="46">
        <f t="shared" si="142"/>
        <v>6.4309683932420025</v>
      </c>
    </row>
    <row r="2697" spans="1:24" s="4" customFormat="1" ht="15" customHeight="1">
      <c r="A2697" s="28" t="s">
        <v>3483</v>
      </c>
      <c r="B2697" s="29">
        <v>3387.15</v>
      </c>
      <c r="C2697" s="30" t="s">
        <v>3908</v>
      </c>
      <c r="D2697" s="2">
        <v>4951315466</v>
      </c>
      <c r="E2697" s="2" t="s">
        <v>36</v>
      </c>
      <c r="F2697" s="2" t="s">
        <v>3909</v>
      </c>
      <c r="G2697" s="28" t="s">
        <v>5</v>
      </c>
      <c r="H2697" s="2" t="s">
        <v>26</v>
      </c>
      <c r="I2697" s="2">
        <v>2</v>
      </c>
      <c r="J2697" s="2" t="s">
        <v>3910</v>
      </c>
      <c r="K2697" s="2">
        <v>74924</v>
      </c>
      <c r="L2697" s="35">
        <f t="shared" si="140"/>
        <v>253778826.59999999</v>
      </c>
      <c r="M2697" s="36">
        <v>49949</v>
      </c>
      <c r="N2697" s="40">
        <v>339581</v>
      </c>
      <c r="O2697" s="40">
        <v>855645</v>
      </c>
      <c r="P2697" s="40">
        <v>2079936</v>
      </c>
      <c r="Q2697" s="40">
        <v>198619</v>
      </c>
      <c r="R2697" s="40">
        <v>766684</v>
      </c>
      <c r="S2697" s="40">
        <v>176984.92937539599</v>
      </c>
      <c r="T2697" s="40"/>
      <c r="U2697" s="40">
        <v>0</v>
      </c>
      <c r="V2697" s="40">
        <v>0</v>
      </c>
      <c r="W2697" s="45">
        <f t="shared" si="141"/>
        <v>4417449.9293753961</v>
      </c>
      <c r="X2697" s="46">
        <f t="shared" si="142"/>
        <v>1.740669223101923</v>
      </c>
    </row>
    <row r="2698" spans="1:24" s="4" customFormat="1" ht="15" customHeight="1">
      <c r="A2698" s="28" t="s">
        <v>3483</v>
      </c>
      <c r="B2698" s="29">
        <v>3387.15</v>
      </c>
      <c r="C2698" s="30" t="s">
        <v>3911</v>
      </c>
      <c r="D2698" s="2">
        <v>4951897099</v>
      </c>
      <c r="E2698" s="2" t="s">
        <v>36</v>
      </c>
      <c r="F2698" s="2" t="s">
        <v>3912</v>
      </c>
      <c r="G2698" s="28" t="s">
        <v>5</v>
      </c>
      <c r="H2698" s="2" t="s">
        <v>26</v>
      </c>
      <c r="I2698" s="2">
        <v>4</v>
      </c>
      <c r="J2698" s="2" t="s">
        <v>3913</v>
      </c>
      <c r="K2698" s="2">
        <v>83437</v>
      </c>
      <c r="L2698" s="35">
        <f t="shared" si="140"/>
        <v>282613634.55000001</v>
      </c>
      <c r="M2698" s="36">
        <v>85140</v>
      </c>
      <c r="N2698" s="40">
        <v>1409069</v>
      </c>
      <c r="O2698" s="40">
        <v>2132184</v>
      </c>
      <c r="P2698" s="40">
        <v>10906881</v>
      </c>
      <c r="Q2698" s="40">
        <v>496548</v>
      </c>
      <c r="R2698" s="40">
        <v>3457537</v>
      </c>
      <c r="S2698" s="40">
        <v>354356</v>
      </c>
      <c r="T2698" s="40"/>
      <c r="U2698" s="40">
        <v>0</v>
      </c>
      <c r="V2698" s="40">
        <v>0</v>
      </c>
      <c r="W2698" s="45">
        <f t="shared" si="141"/>
        <v>18756575</v>
      </c>
      <c r="X2698" s="46">
        <f t="shared" si="142"/>
        <v>6.6368259372431613</v>
      </c>
    </row>
    <row r="2699" spans="1:24" s="4" customFormat="1" ht="15" customHeight="1">
      <c r="A2699" s="28" t="s">
        <v>3483</v>
      </c>
      <c r="B2699" s="29">
        <v>3387.15</v>
      </c>
      <c r="C2699" s="30" t="s">
        <v>3914</v>
      </c>
      <c r="D2699" s="2">
        <v>4951210375</v>
      </c>
      <c r="E2699" s="2" t="s">
        <v>10</v>
      </c>
      <c r="F2699" s="2" t="s">
        <v>3915</v>
      </c>
      <c r="G2699" s="28" t="s">
        <v>5</v>
      </c>
      <c r="H2699" s="2" t="s">
        <v>17</v>
      </c>
      <c r="I2699" s="2">
        <v>1</v>
      </c>
      <c r="J2699" s="2" t="s">
        <v>3916</v>
      </c>
      <c r="K2699" s="2">
        <v>61272</v>
      </c>
      <c r="L2699" s="35">
        <f t="shared" si="140"/>
        <v>207537454.80000001</v>
      </c>
      <c r="M2699" s="36">
        <v>16560</v>
      </c>
      <c r="N2699" s="40">
        <v>351671</v>
      </c>
      <c r="O2699" s="40">
        <v>572035</v>
      </c>
      <c r="P2699" s="40">
        <v>0</v>
      </c>
      <c r="Q2699" s="40">
        <v>124137</v>
      </c>
      <c r="R2699" s="40">
        <v>705645</v>
      </c>
      <c r="S2699" s="40">
        <v>708712</v>
      </c>
      <c r="T2699" s="40"/>
      <c r="U2699" s="40">
        <v>1600500</v>
      </c>
      <c r="V2699" s="40">
        <v>0</v>
      </c>
      <c r="W2699" s="45">
        <f t="shared" si="141"/>
        <v>4062700</v>
      </c>
      <c r="X2699" s="46">
        <f t="shared" si="142"/>
        <v>1.9575743587658183</v>
      </c>
    </row>
    <row r="2700" spans="1:24" s="4" customFormat="1" ht="15" customHeight="1">
      <c r="A2700" s="28" t="s">
        <v>3483</v>
      </c>
      <c r="B2700" s="29">
        <v>3387.15</v>
      </c>
      <c r="C2700" s="30" t="s">
        <v>3917</v>
      </c>
      <c r="D2700" s="2">
        <v>4952421301</v>
      </c>
      <c r="E2700" s="2" t="s">
        <v>36</v>
      </c>
      <c r="F2700" s="2" t="s">
        <v>3918</v>
      </c>
      <c r="G2700" s="28" t="s">
        <v>5</v>
      </c>
      <c r="H2700" s="2" t="s">
        <v>26</v>
      </c>
      <c r="I2700" s="2">
        <v>1</v>
      </c>
      <c r="J2700" s="2" t="s">
        <v>3919</v>
      </c>
      <c r="K2700" s="2">
        <v>33819.120000000003</v>
      </c>
      <c r="L2700" s="35">
        <f t="shared" si="140"/>
        <v>114550432.30800001</v>
      </c>
      <c r="M2700" s="36">
        <v>23006.205000000002</v>
      </c>
      <c r="N2700" s="40">
        <v>351671</v>
      </c>
      <c r="O2700" s="40">
        <v>387991</v>
      </c>
      <c r="P2700" s="40">
        <v>1394963</v>
      </c>
      <c r="Q2700" s="40">
        <v>113164</v>
      </c>
      <c r="R2700" s="40">
        <v>537193</v>
      </c>
      <c r="S2700" s="40">
        <v>354356</v>
      </c>
      <c r="T2700" s="40"/>
      <c r="U2700" s="40">
        <v>0</v>
      </c>
      <c r="V2700" s="40">
        <v>0</v>
      </c>
      <c r="W2700" s="45">
        <f t="shared" si="141"/>
        <v>3139338</v>
      </c>
      <c r="X2700" s="46">
        <f t="shared" si="142"/>
        <v>2.7405728086289849</v>
      </c>
    </row>
    <row r="2701" spans="1:24" s="4" customFormat="1" ht="15" customHeight="1">
      <c r="A2701" s="28" t="s">
        <v>3483</v>
      </c>
      <c r="B2701" s="29">
        <v>3387.15</v>
      </c>
      <c r="C2701" s="30" t="s">
        <v>3920</v>
      </c>
      <c r="D2701" s="2">
        <v>4951900515</v>
      </c>
      <c r="E2701" s="2" t="s">
        <v>36</v>
      </c>
      <c r="F2701" s="2" t="s">
        <v>3921</v>
      </c>
      <c r="G2701" s="28" t="s">
        <v>5</v>
      </c>
      <c r="H2701" s="2" t="s">
        <v>26</v>
      </c>
      <c r="I2701" s="2">
        <v>2</v>
      </c>
      <c r="J2701" s="2" t="s">
        <v>3922</v>
      </c>
      <c r="K2701" s="2">
        <v>75369</v>
      </c>
      <c r="L2701" s="35">
        <f t="shared" si="140"/>
        <v>255286108.34999999</v>
      </c>
      <c r="M2701" s="36">
        <v>49913</v>
      </c>
      <c r="N2701" s="40">
        <v>703343</v>
      </c>
      <c r="O2701" s="40">
        <v>855645</v>
      </c>
      <c r="P2701" s="40">
        <v>3487409</v>
      </c>
      <c r="Q2701" s="40">
        <v>198619</v>
      </c>
      <c r="R2701" s="40">
        <v>1334322</v>
      </c>
      <c r="S2701" s="40">
        <v>354356</v>
      </c>
      <c r="T2701" s="40"/>
      <c r="U2701" s="40">
        <v>0</v>
      </c>
      <c r="V2701" s="40">
        <v>0</v>
      </c>
      <c r="W2701" s="45">
        <f t="shared" si="141"/>
        <v>6933694</v>
      </c>
      <c r="X2701" s="46">
        <f t="shared" si="142"/>
        <v>2.7160482976589666</v>
      </c>
    </row>
    <row r="2702" spans="1:24" s="4" customFormat="1" ht="15" customHeight="1">
      <c r="A2702" s="28" t="s">
        <v>3483</v>
      </c>
      <c r="B2702" s="29">
        <v>3387.15</v>
      </c>
      <c r="C2702" s="30" t="s">
        <v>3923</v>
      </c>
      <c r="D2702" s="2">
        <v>4951900514</v>
      </c>
      <c r="E2702" s="2" t="s">
        <v>36</v>
      </c>
      <c r="F2702" s="2" t="s">
        <v>3924</v>
      </c>
      <c r="G2702" s="28" t="s">
        <v>5</v>
      </c>
      <c r="H2702" s="2" t="s">
        <v>26</v>
      </c>
      <c r="I2702" s="2">
        <v>2</v>
      </c>
      <c r="J2702" s="2" t="s">
        <v>3925</v>
      </c>
      <c r="K2702" s="2">
        <v>75574</v>
      </c>
      <c r="L2702" s="35">
        <f t="shared" si="140"/>
        <v>255980474.09999999</v>
      </c>
      <c r="M2702" s="36">
        <v>50049</v>
      </c>
      <c r="N2702" s="40">
        <v>703343</v>
      </c>
      <c r="O2702" s="40">
        <v>855645</v>
      </c>
      <c r="P2702" s="40">
        <v>3487409</v>
      </c>
      <c r="Q2702" s="40">
        <v>198619</v>
      </c>
      <c r="R2702" s="40">
        <v>1334322</v>
      </c>
      <c r="S2702" s="40">
        <v>354356</v>
      </c>
      <c r="T2702" s="40"/>
      <c r="U2702" s="40">
        <v>0</v>
      </c>
      <c r="V2702" s="40">
        <v>0</v>
      </c>
      <c r="W2702" s="45">
        <f t="shared" si="141"/>
        <v>6933694</v>
      </c>
      <c r="X2702" s="46">
        <f t="shared" si="142"/>
        <v>2.7086808180890074</v>
      </c>
    </row>
    <row r="2703" spans="1:24" s="4" customFormat="1" ht="15" customHeight="1">
      <c r="A2703" s="28" t="s">
        <v>3483</v>
      </c>
      <c r="B2703" s="29">
        <v>3387.15</v>
      </c>
      <c r="C2703" s="30" t="s">
        <v>3926</v>
      </c>
      <c r="D2703" s="2">
        <v>4952162047</v>
      </c>
      <c r="E2703" s="2" t="s">
        <v>14</v>
      </c>
      <c r="F2703" s="2" t="s">
        <v>3927</v>
      </c>
      <c r="G2703" s="28" t="s">
        <v>5</v>
      </c>
      <c r="H2703" s="2" t="s">
        <v>20</v>
      </c>
      <c r="I2703" s="2">
        <v>1</v>
      </c>
      <c r="J2703" s="2" t="s">
        <v>3928</v>
      </c>
      <c r="K2703" s="2">
        <v>3952</v>
      </c>
      <c r="L2703" s="35">
        <f t="shared" si="140"/>
        <v>13386016.800000001</v>
      </c>
      <c r="M2703" s="36">
        <v>1600</v>
      </c>
      <c r="N2703" s="40">
        <v>95692.789115646301</v>
      </c>
      <c r="O2703" s="40">
        <v>87469.75</v>
      </c>
      <c r="P2703" s="40">
        <v>367301.22448979598</v>
      </c>
      <c r="Q2703" s="40">
        <v>27500</v>
      </c>
      <c r="R2703" s="40">
        <v>309694.69387755101</v>
      </c>
      <c r="S2703" s="40">
        <v>96423.401360544201</v>
      </c>
      <c r="T2703" s="40">
        <v>30000</v>
      </c>
      <c r="U2703" s="55">
        <v>789197.27891156496</v>
      </c>
      <c r="V2703" s="55">
        <v>0</v>
      </c>
      <c r="W2703" s="45">
        <f t="shared" si="141"/>
        <v>1803279.1377551025</v>
      </c>
      <c r="X2703" s="46">
        <f t="shared" si="142"/>
        <v>13.471364668802016</v>
      </c>
    </row>
    <row r="2704" spans="1:24" s="4" customFormat="1" ht="15" customHeight="1">
      <c r="A2704" s="28" t="s">
        <v>3483</v>
      </c>
      <c r="B2704" s="29">
        <v>3387.15</v>
      </c>
      <c r="C2704" s="30" t="s">
        <v>3926</v>
      </c>
      <c r="D2704" s="2">
        <v>4952244148</v>
      </c>
      <c r="E2704" s="2" t="s">
        <v>14</v>
      </c>
      <c r="F2704" s="2" t="s">
        <v>3927</v>
      </c>
      <c r="G2704" s="28" t="s">
        <v>5</v>
      </c>
      <c r="H2704" s="2" t="s">
        <v>20</v>
      </c>
      <c r="I2704" s="2">
        <v>1</v>
      </c>
      <c r="J2704" s="2" t="s">
        <v>3928</v>
      </c>
      <c r="K2704" s="2">
        <v>14464</v>
      </c>
      <c r="L2704" s="35">
        <f t="shared" si="140"/>
        <v>48991737.600000001</v>
      </c>
      <c r="M2704" s="36">
        <f>1575+1625</f>
        <v>3200</v>
      </c>
      <c r="N2704" s="40">
        <v>191385.57823129301</v>
      </c>
      <c r="O2704" s="40">
        <v>87469.75</v>
      </c>
      <c r="P2704" s="40">
        <v>734602.44897959195</v>
      </c>
      <c r="Q2704" s="40">
        <v>27500</v>
      </c>
      <c r="R2704" s="40">
        <v>619389.38775510201</v>
      </c>
      <c r="S2704" s="40">
        <v>192846.802721088</v>
      </c>
      <c r="T2704" s="40">
        <v>30000</v>
      </c>
      <c r="U2704" s="55">
        <v>1578394.5578231299</v>
      </c>
      <c r="V2704" s="55">
        <v>0</v>
      </c>
      <c r="W2704" s="45">
        <f t="shared" si="141"/>
        <v>3461588.525510205</v>
      </c>
      <c r="X2704" s="46">
        <f t="shared" si="142"/>
        <v>7.0656577926931998</v>
      </c>
    </row>
    <row r="2705" spans="1:24" s="4" customFormat="1" ht="15" customHeight="1">
      <c r="A2705" s="28" t="s">
        <v>3483</v>
      </c>
      <c r="B2705" s="29">
        <v>3387.15</v>
      </c>
      <c r="C2705" s="30" t="s">
        <v>3926</v>
      </c>
      <c r="D2705" s="2">
        <v>4952292307</v>
      </c>
      <c r="E2705" s="2" t="s">
        <v>14</v>
      </c>
      <c r="F2705" s="2" t="s">
        <v>3927</v>
      </c>
      <c r="G2705" s="28" t="s">
        <v>5</v>
      </c>
      <c r="H2705" s="2" t="s">
        <v>20</v>
      </c>
      <c r="I2705" s="2">
        <v>1</v>
      </c>
      <c r="J2705" s="2" t="s">
        <v>3928</v>
      </c>
      <c r="K2705" s="2">
        <v>3112.2</v>
      </c>
      <c r="L2705" s="35">
        <f t="shared" si="140"/>
        <v>10541488.23</v>
      </c>
      <c r="M2705" s="36">
        <v>380</v>
      </c>
      <c r="N2705" s="40">
        <v>22727.037414965998</v>
      </c>
      <c r="O2705" s="40">
        <v>87469.75</v>
      </c>
      <c r="P2705" s="40">
        <v>87234.040816326495</v>
      </c>
      <c r="Q2705" s="40">
        <v>27500</v>
      </c>
      <c r="R2705" s="40">
        <v>73552.489795918402</v>
      </c>
      <c r="S2705" s="40">
        <v>22900.5578231293</v>
      </c>
      <c r="T2705" s="40">
        <v>30000</v>
      </c>
      <c r="U2705" s="55">
        <v>187434.35374149701</v>
      </c>
      <c r="V2705" s="55">
        <v>0</v>
      </c>
      <c r="W2705" s="45">
        <f t="shared" si="141"/>
        <v>538818.22959183715</v>
      </c>
      <c r="X2705" s="46">
        <f t="shared" si="142"/>
        <v>5.1114056937275265</v>
      </c>
    </row>
    <row r="2706" spans="1:24" s="4" customFormat="1" ht="15" customHeight="1">
      <c r="A2706" s="28" t="s">
        <v>3483</v>
      </c>
      <c r="B2706" s="29">
        <v>3387.15</v>
      </c>
      <c r="C2706" s="30" t="s">
        <v>3926</v>
      </c>
      <c r="D2706" s="2">
        <v>4952294389</v>
      </c>
      <c r="E2706" s="2" t="s">
        <v>14</v>
      </c>
      <c r="F2706" s="2" t="s">
        <v>3927</v>
      </c>
      <c r="G2706" s="28" t="s">
        <v>5</v>
      </c>
      <c r="H2706" s="2" t="s">
        <v>20</v>
      </c>
      <c r="I2706" s="2">
        <v>1</v>
      </c>
      <c r="J2706" s="2" t="s">
        <v>3928</v>
      </c>
      <c r="K2706" s="2">
        <v>3220</v>
      </c>
      <c r="L2706" s="35">
        <f t="shared" si="140"/>
        <v>10906623</v>
      </c>
      <c r="M2706" s="36">
        <v>700</v>
      </c>
      <c r="N2706" s="40">
        <v>41865.5952380952</v>
      </c>
      <c r="O2706" s="40">
        <v>87469.75</v>
      </c>
      <c r="P2706" s="40">
        <v>160694.285714286</v>
      </c>
      <c r="Q2706" s="40">
        <v>27500</v>
      </c>
      <c r="R2706" s="40">
        <v>135491.42857142899</v>
      </c>
      <c r="S2706" s="40">
        <v>42185.238095238099</v>
      </c>
      <c r="T2706" s="40">
        <v>30000</v>
      </c>
      <c r="U2706" s="55">
        <v>345273.80952380999</v>
      </c>
      <c r="V2706" s="55">
        <v>0</v>
      </c>
      <c r="W2706" s="45">
        <f t="shared" si="141"/>
        <v>870480.10714285821</v>
      </c>
      <c r="X2706" s="46">
        <f t="shared" si="142"/>
        <v>7.9812065305902502</v>
      </c>
    </row>
    <row r="2707" spans="1:24" s="4" customFormat="1" ht="15" customHeight="1">
      <c r="A2707" s="28" t="s">
        <v>3483</v>
      </c>
      <c r="B2707" s="29">
        <v>3387.15</v>
      </c>
      <c r="C2707" s="30" t="s">
        <v>3929</v>
      </c>
      <c r="D2707" s="2">
        <v>4952397439</v>
      </c>
      <c r="E2707" s="2" t="s">
        <v>24</v>
      </c>
      <c r="F2707" s="2" t="s">
        <v>3930</v>
      </c>
      <c r="G2707" s="28" t="s">
        <v>9</v>
      </c>
      <c r="H2707" s="2" t="s">
        <v>23</v>
      </c>
      <c r="I2707" s="2">
        <v>3</v>
      </c>
      <c r="J2707" s="2"/>
      <c r="K2707" s="2">
        <v>4536</v>
      </c>
      <c r="L2707" s="35">
        <f t="shared" si="140"/>
        <v>15364112.4</v>
      </c>
      <c r="M2707" s="36">
        <v>1200</v>
      </c>
      <c r="N2707" s="40">
        <v>808068</v>
      </c>
      <c r="O2707" s="40">
        <v>884</v>
      </c>
      <c r="P2707" s="40">
        <v>27513</v>
      </c>
      <c r="Q2707" s="40">
        <v>20471</v>
      </c>
      <c r="R2707" s="40">
        <v>105263</v>
      </c>
      <c r="S2707" s="40">
        <v>354356</v>
      </c>
      <c r="T2707" s="40"/>
      <c r="U2707" s="40">
        <v>1367700</v>
      </c>
      <c r="V2707" s="40">
        <v>0</v>
      </c>
      <c r="W2707" s="45">
        <f t="shared" si="141"/>
        <v>2684255</v>
      </c>
      <c r="X2707" s="46">
        <f t="shared" si="142"/>
        <v>17.470940918135955</v>
      </c>
    </row>
    <row r="2708" spans="1:24" s="4" customFormat="1" ht="15" customHeight="1">
      <c r="A2708" s="28" t="s">
        <v>3483</v>
      </c>
      <c r="B2708" s="29">
        <v>3387.15</v>
      </c>
      <c r="C2708" s="30" t="s">
        <v>3931</v>
      </c>
      <c r="D2708" s="2">
        <v>4952172252</v>
      </c>
      <c r="E2708" s="2" t="s">
        <v>18</v>
      </c>
      <c r="F2708" s="2" t="s">
        <v>3932</v>
      </c>
      <c r="G2708" s="28" t="s">
        <v>5</v>
      </c>
      <c r="H2708" s="2" t="s">
        <v>17</v>
      </c>
      <c r="I2708" s="2">
        <v>1</v>
      </c>
      <c r="J2708" s="2" t="s">
        <v>3933</v>
      </c>
      <c r="K2708" s="2">
        <v>21996</v>
      </c>
      <c r="L2708" s="35">
        <f t="shared" si="140"/>
        <v>74503751.400000006</v>
      </c>
      <c r="M2708" s="36">
        <v>7800</v>
      </c>
      <c r="N2708" s="40">
        <v>406705</v>
      </c>
      <c r="O2708" s="40">
        <v>458999</v>
      </c>
      <c r="P2708" s="40">
        <v>0</v>
      </c>
      <c r="Q2708" s="40">
        <v>110000</v>
      </c>
      <c r="R2708" s="40">
        <v>701560</v>
      </c>
      <c r="S2708" s="40">
        <v>354356</v>
      </c>
      <c r="T2708" s="40">
        <v>30000</v>
      </c>
      <c r="U2708" s="40">
        <v>4719050</v>
      </c>
      <c r="V2708" s="40">
        <v>0</v>
      </c>
      <c r="W2708" s="45">
        <f t="shared" si="141"/>
        <v>6780670</v>
      </c>
      <c r="X2708" s="46">
        <f t="shared" si="142"/>
        <v>9.1011121890970976</v>
      </c>
    </row>
    <row r="2709" spans="1:24" s="4" customFormat="1" ht="15" customHeight="1">
      <c r="A2709" s="28" t="s">
        <v>3483</v>
      </c>
      <c r="B2709" s="29">
        <v>3387.15</v>
      </c>
      <c r="C2709" s="30" t="s">
        <v>3934</v>
      </c>
      <c r="D2709" s="2">
        <v>4949922761</v>
      </c>
      <c r="E2709" s="2" t="s">
        <v>14</v>
      </c>
      <c r="F2709" s="2" t="s">
        <v>3935</v>
      </c>
      <c r="G2709" s="28" t="s">
        <v>5</v>
      </c>
      <c r="H2709" s="2" t="s">
        <v>17</v>
      </c>
      <c r="I2709" s="2">
        <v>1</v>
      </c>
      <c r="J2709" s="2" t="s">
        <v>3936</v>
      </c>
      <c r="K2709" s="2">
        <v>56028</v>
      </c>
      <c r="L2709" s="35">
        <f t="shared" si="140"/>
        <v>189775240.20000002</v>
      </c>
      <c r="M2709" s="36">
        <v>9200</v>
      </c>
      <c r="N2709" s="40">
        <v>345599</v>
      </c>
      <c r="O2709" s="40">
        <v>458999</v>
      </c>
      <c r="P2709" s="40">
        <v>0</v>
      </c>
      <c r="Q2709" s="40">
        <v>110000</v>
      </c>
      <c r="R2709" s="40">
        <v>562743</v>
      </c>
      <c r="S2709" s="40">
        <v>354356</v>
      </c>
      <c r="T2709" s="40">
        <v>30000</v>
      </c>
      <c r="U2709" s="40">
        <v>5354400</v>
      </c>
      <c r="V2709" s="40">
        <v>0</v>
      </c>
      <c r="W2709" s="45">
        <f t="shared" si="141"/>
        <v>7216097</v>
      </c>
      <c r="X2709" s="46">
        <f t="shared" si="142"/>
        <v>3.8024438764483248</v>
      </c>
    </row>
    <row r="2710" spans="1:24" s="4" customFormat="1" ht="15" customHeight="1">
      <c r="A2710" s="28" t="s">
        <v>3483</v>
      </c>
      <c r="B2710" s="29">
        <v>3387.15</v>
      </c>
      <c r="C2710" s="30" t="s">
        <v>3937</v>
      </c>
      <c r="D2710" s="2">
        <v>4951325264</v>
      </c>
      <c r="E2710" s="2" t="s">
        <v>14</v>
      </c>
      <c r="F2710" s="2" t="s">
        <v>3938</v>
      </c>
      <c r="G2710" s="28" t="s">
        <v>5</v>
      </c>
      <c r="H2710" s="2" t="s">
        <v>17</v>
      </c>
      <c r="I2710" s="2">
        <v>3</v>
      </c>
      <c r="J2710" s="2" t="s">
        <v>3939</v>
      </c>
      <c r="K2710" s="2">
        <f>68040+65880+65880</f>
        <v>199800</v>
      </c>
      <c r="L2710" s="35">
        <f t="shared" si="140"/>
        <v>676752570</v>
      </c>
      <c r="M2710" s="36">
        <f>18000+14200+3800+18000</f>
        <v>54000</v>
      </c>
      <c r="N2710" s="40">
        <v>1041378</v>
      </c>
      <c r="O2710" s="40">
        <v>1376999</v>
      </c>
      <c r="P2710" s="40">
        <v>0</v>
      </c>
      <c r="Q2710" s="40">
        <v>297928</v>
      </c>
      <c r="R2710" s="40">
        <v>2267039</v>
      </c>
      <c r="S2710" s="40">
        <v>354356</v>
      </c>
      <c r="T2710" s="40">
        <v>30000</v>
      </c>
      <c r="U2710" s="40">
        <v>16339650</v>
      </c>
      <c r="V2710" s="40">
        <v>0</v>
      </c>
      <c r="W2710" s="45">
        <f t="shared" si="141"/>
        <v>21707350</v>
      </c>
      <c r="X2710" s="46">
        <f t="shared" si="142"/>
        <v>3.207575554533912</v>
      </c>
    </row>
    <row r="2711" spans="1:24" s="4" customFormat="1" ht="15" customHeight="1">
      <c r="A2711" s="28" t="s">
        <v>3483</v>
      </c>
      <c r="B2711" s="29">
        <v>3387.15</v>
      </c>
      <c r="C2711" s="30" t="s">
        <v>3940</v>
      </c>
      <c r="D2711" s="2">
        <v>4951901101</v>
      </c>
      <c r="E2711" s="2" t="s">
        <v>24</v>
      </c>
      <c r="F2711" s="2" t="s">
        <v>3941</v>
      </c>
      <c r="G2711" s="28" t="s">
        <v>9</v>
      </c>
      <c r="H2711" s="2" t="s">
        <v>23</v>
      </c>
      <c r="I2711" s="2">
        <v>2</v>
      </c>
      <c r="J2711" s="2"/>
      <c r="K2711" s="2">
        <v>1550.4</v>
      </c>
      <c r="L2711" s="35">
        <f t="shared" si="140"/>
        <v>5251437.3600000003</v>
      </c>
      <c r="M2711" s="36">
        <v>1140</v>
      </c>
      <c r="N2711" s="40">
        <v>709903</v>
      </c>
      <c r="O2711" s="40">
        <v>850</v>
      </c>
      <c r="P2711" s="40">
        <v>26478</v>
      </c>
      <c r="Q2711" s="40">
        <v>19680</v>
      </c>
      <c r="R2711" s="40">
        <v>104157</v>
      </c>
      <c r="S2711" s="40">
        <v>354356</v>
      </c>
      <c r="T2711" s="40"/>
      <c r="U2711" s="40">
        <v>1172314.2857142901</v>
      </c>
      <c r="V2711" s="40">
        <v>0</v>
      </c>
      <c r="W2711" s="45">
        <f t="shared" si="141"/>
        <v>2387738.2857142901</v>
      </c>
      <c r="X2711" s="46">
        <f t="shared" si="142"/>
        <v>45.468280815869619</v>
      </c>
    </row>
    <row r="2712" spans="1:24" s="4" customFormat="1" ht="15" customHeight="1">
      <c r="A2712" s="28" t="s">
        <v>3483</v>
      </c>
      <c r="B2712" s="29">
        <v>3387.15</v>
      </c>
      <c r="C2712" s="30" t="s">
        <v>3942</v>
      </c>
      <c r="D2712" s="2">
        <v>4951726546</v>
      </c>
      <c r="E2712" s="2" t="s">
        <v>14</v>
      </c>
      <c r="F2712" s="2" t="s">
        <v>3943</v>
      </c>
      <c r="G2712" s="28" t="s">
        <v>5</v>
      </c>
      <c r="H2712" s="2" t="s">
        <v>20</v>
      </c>
      <c r="I2712" s="2">
        <v>1</v>
      </c>
      <c r="J2712" s="2" t="s">
        <v>3944</v>
      </c>
      <c r="K2712" s="2">
        <v>38080</v>
      </c>
      <c r="L2712" s="35">
        <f t="shared" si="140"/>
        <v>128982672</v>
      </c>
      <c r="M2712" s="36">
        <v>7000</v>
      </c>
      <c r="N2712" s="40">
        <v>345599</v>
      </c>
      <c r="O2712" s="40">
        <v>349879</v>
      </c>
      <c r="P2712" s="40">
        <v>0</v>
      </c>
      <c r="Q2712" s="40">
        <v>110000</v>
      </c>
      <c r="R2712" s="40">
        <v>453704</v>
      </c>
      <c r="S2712" s="40">
        <v>354356</v>
      </c>
      <c r="T2712" s="40">
        <v>30000</v>
      </c>
      <c r="U2712" s="40">
        <v>3501700</v>
      </c>
      <c r="V2712" s="40">
        <v>0</v>
      </c>
      <c r="W2712" s="45">
        <f t="shared" si="141"/>
        <v>5145238</v>
      </c>
      <c r="X2712" s="46">
        <f t="shared" si="142"/>
        <v>3.9890924263066903</v>
      </c>
    </row>
    <row r="2713" spans="1:24" s="4" customFormat="1" ht="15" customHeight="1">
      <c r="A2713" s="28" t="s">
        <v>3483</v>
      </c>
      <c r="B2713" s="29">
        <v>3387.15</v>
      </c>
      <c r="C2713" s="30" t="s">
        <v>3945</v>
      </c>
      <c r="D2713" s="2" t="s">
        <v>3946</v>
      </c>
      <c r="E2713" s="2" t="s">
        <v>14</v>
      </c>
      <c r="F2713" s="2" t="s">
        <v>3947</v>
      </c>
      <c r="G2713" s="28" t="s">
        <v>5</v>
      </c>
      <c r="H2713" s="2" t="s">
        <v>20</v>
      </c>
      <c r="I2713" s="2">
        <v>1</v>
      </c>
      <c r="J2713" s="2" t="s">
        <v>3948</v>
      </c>
      <c r="K2713" s="2">
        <v>33753.599999999999</v>
      </c>
      <c r="L2713" s="35">
        <f t="shared" ref="L2713:L2718" si="143">B2713*K2713</f>
        <v>114328506.23999999</v>
      </c>
      <c r="M2713" s="36">
        <v>5760</v>
      </c>
      <c r="N2713" s="40">
        <v>344776</v>
      </c>
      <c r="O2713" s="40">
        <v>349879</v>
      </c>
      <c r="P2713" s="40">
        <v>488237</v>
      </c>
      <c r="Q2713" s="40">
        <v>110000</v>
      </c>
      <c r="R2713" s="40">
        <v>561973</v>
      </c>
      <c r="S2713" s="40">
        <v>354356</v>
      </c>
      <c r="T2713" s="40">
        <v>30000</v>
      </c>
      <c r="U2713" s="40">
        <v>3501700</v>
      </c>
      <c r="V2713" s="40">
        <v>0</v>
      </c>
      <c r="W2713" s="45">
        <f t="shared" ref="W2713:W2718" si="144">+SUM(N2713:V2713)</f>
        <v>5740921</v>
      </c>
      <c r="X2713" s="46">
        <f>(W2713/L2713)*100</f>
        <v>5.0214257045820041</v>
      </c>
    </row>
    <row r="2714" spans="1:24" s="4" customFormat="1" ht="15" customHeight="1">
      <c r="A2714" s="28" t="s">
        <v>3483</v>
      </c>
      <c r="B2714" s="29">
        <v>3387.15</v>
      </c>
      <c r="C2714" s="30" t="s">
        <v>3949</v>
      </c>
      <c r="D2714" s="2">
        <v>4952077913</v>
      </c>
      <c r="E2714" s="2" t="s">
        <v>18</v>
      </c>
      <c r="F2714" s="2" t="s">
        <v>3950</v>
      </c>
      <c r="G2714" s="28" t="s">
        <v>5</v>
      </c>
      <c r="H2714" s="2" t="s">
        <v>35</v>
      </c>
      <c r="I2714" s="2">
        <v>1</v>
      </c>
      <c r="J2714" s="2" t="s">
        <v>3951</v>
      </c>
      <c r="K2714" s="2">
        <v>18230.400000000001</v>
      </c>
      <c r="L2714" s="35">
        <f t="shared" si="143"/>
        <v>61749099.360000007</v>
      </c>
      <c r="M2714" s="36">
        <v>480</v>
      </c>
      <c r="N2714" s="40">
        <v>11759.0386740331</v>
      </c>
      <c r="O2714" s="40">
        <v>152999.66666666701</v>
      </c>
      <c r="P2714" s="40">
        <v>5440.2099447513801</v>
      </c>
      <c r="Q2714" s="40">
        <v>36666.666666666701</v>
      </c>
      <c r="R2714" s="40">
        <v>57461.436464088401</v>
      </c>
      <c r="S2714" s="40">
        <v>11746.607734806599</v>
      </c>
      <c r="T2714" s="40">
        <v>30000</v>
      </c>
      <c r="U2714" s="40">
        <v>273532.04419889499</v>
      </c>
      <c r="V2714" s="40">
        <v>0</v>
      </c>
      <c r="W2714" s="45">
        <f t="shared" si="144"/>
        <v>579605.67034990818</v>
      </c>
      <c r="X2714" s="46">
        <f>(W2714/L2714)*100</f>
        <v>0.93864635493836313</v>
      </c>
    </row>
    <row r="2715" spans="1:24" s="4" customFormat="1" ht="15" customHeight="1">
      <c r="A2715" s="28" t="s">
        <v>3483</v>
      </c>
      <c r="B2715" s="29">
        <v>3387.15</v>
      </c>
      <c r="C2715" s="30" t="s">
        <v>3949</v>
      </c>
      <c r="D2715" s="2">
        <v>4952077928</v>
      </c>
      <c r="E2715" s="2" t="s">
        <v>18</v>
      </c>
      <c r="F2715" s="2" t="s">
        <v>3950</v>
      </c>
      <c r="G2715" s="28" t="s">
        <v>5</v>
      </c>
      <c r="H2715" s="2" t="s">
        <v>35</v>
      </c>
      <c r="I2715" s="2">
        <v>1</v>
      </c>
      <c r="J2715" s="2" t="s">
        <v>3951</v>
      </c>
      <c r="K2715" s="2">
        <v>10700</v>
      </c>
      <c r="L2715" s="35">
        <f t="shared" si="143"/>
        <v>36242505</v>
      </c>
      <c r="M2715" s="36">
        <v>10000</v>
      </c>
      <c r="N2715" s="40">
        <v>244979.972375691</v>
      </c>
      <c r="O2715" s="40">
        <v>152999.66666666701</v>
      </c>
      <c r="P2715" s="40">
        <v>113337.70718231999</v>
      </c>
      <c r="Q2715" s="40">
        <v>36666.666666666701</v>
      </c>
      <c r="R2715" s="40">
        <v>1197113.2596685099</v>
      </c>
      <c r="S2715" s="40">
        <v>244720.994475138</v>
      </c>
      <c r="T2715" s="40">
        <v>30000</v>
      </c>
      <c r="U2715" s="40">
        <v>5698584.2541436497</v>
      </c>
      <c r="V2715" s="40">
        <v>0</v>
      </c>
      <c r="W2715" s="45">
        <f t="shared" si="144"/>
        <v>7718402.5211786423</v>
      </c>
      <c r="X2715" s="46">
        <f t="shared" ref="X2715:X2720" si="145">(W2715/L2715)*100</f>
        <v>21.296548130927047</v>
      </c>
    </row>
    <row r="2716" spans="1:24" s="4" customFormat="1" ht="15" customHeight="1">
      <c r="A2716" s="28" t="s">
        <v>3483</v>
      </c>
      <c r="B2716" s="29">
        <v>3387.15</v>
      </c>
      <c r="C2716" s="30" t="s">
        <v>3949</v>
      </c>
      <c r="D2716" s="2">
        <v>4952077906</v>
      </c>
      <c r="E2716" s="2" t="s">
        <v>18</v>
      </c>
      <c r="F2716" s="2" t="s">
        <v>3950</v>
      </c>
      <c r="G2716" s="28" t="s">
        <v>5</v>
      </c>
      <c r="H2716" s="2" t="s">
        <v>35</v>
      </c>
      <c r="I2716" s="2">
        <v>1</v>
      </c>
      <c r="J2716" s="2" t="s">
        <v>3951</v>
      </c>
      <c r="K2716" s="2">
        <v>93320</v>
      </c>
      <c r="L2716" s="35">
        <f t="shared" si="143"/>
        <v>316088838</v>
      </c>
      <c r="M2716" s="36">
        <v>4000</v>
      </c>
      <c r="N2716" s="40">
        <v>97991.988950276296</v>
      </c>
      <c r="O2716" s="40">
        <v>152999.66666666701</v>
      </c>
      <c r="P2716" s="40">
        <v>45335.0828729282</v>
      </c>
      <c r="Q2716" s="40">
        <v>36666.666666666701</v>
      </c>
      <c r="R2716" s="40">
        <v>478845.30386740301</v>
      </c>
      <c r="S2716" s="40">
        <v>97888.3977900553</v>
      </c>
      <c r="T2716" s="40">
        <v>30000</v>
      </c>
      <c r="U2716" s="40">
        <v>2279433.7016574601</v>
      </c>
      <c r="V2716" s="40">
        <v>0</v>
      </c>
      <c r="W2716" s="45">
        <f t="shared" si="144"/>
        <v>3219160.8084714566</v>
      </c>
      <c r="X2716" s="46">
        <f t="shared" si="145"/>
        <v>1.0184354591070555</v>
      </c>
    </row>
    <row r="2717" spans="1:24" s="4" customFormat="1" ht="15" customHeight="1">
      <c r="A2717" s="28" t="s">
        <v>3483</v>
      </c>
      <c r="B2717" s="29">
        <v>3387.15</v>
      </c>
      <c r="C2717" s="30" t="s">
        <v>3952</v>
      </c>
      <c r="D2717" s="2">
        <v>4952077920</v>
      </c>
      <c r="E2717" s="2" t="s">
        <v>18</v>
      </c>
      <c r="F2717" s="2" t="s">
        <v>3953</v>
      </c>
      <c r="G2717" s="28" t="s">
        <v>5</v>
      </c>
      <c r="H2717" s="2" t="s">
        <v>17</v>
      </c>
      <c r="I2717" s="2">
        <v>2</v>
      </c>
      <c r="J2717" s="2" t="s">
        <v>3954</v>
      </c>
      <c r="K2717" s="2">
        <v>73120</v>
      </c>
      <c r="L2717" s="35">
        <f t="shared" si="143"/>
        <v>247668408</v>
      </c>
      <c r="M2717" s="36">
        <v>16000</v>
      </c>
      <c r="N2717" s="40">
        <v>351671.5</v>
      </c>
      <c r="O2717" s="40">
        <v>458999.5</v>
      </c>
      <c r="P2717" s="40">
        <v>164113</v>
      </c>
      <c r="Q2717" s="40">
        <v>99309.5</v>
      </c>
      <c r="R2717" s="40">
        <v>563274.5</v>
      </c>
      <c r="S2717" s="40">
        <v>177178</v>
      </c>
      <c r="T2717" s="40">
        <v>30000</v>
      </c>
      <c r="U2717" s="40">
        <v>5446550</v>
      </c>
      <c r="V2717" s="40">
        <v>0</v>
      </c>
      <c r="W2717" s="45">
        <f t="shared" si="144"/>
        <v>7291096</v>
      </c>
      <c r="X2717" s="46">
        <f t="shared" si="145"/>
        <v>2.9438942410450668</v>
      </c>
    </row>
    <row r="2718" spans="1:24" s="4" customFormat="1" ht="15" customHeight="1">
      <c r="A2718" s="28" t="s">
        <v>3483</v>
      </c>
      <c r="B2718" s="29">
        <v>3387.15</v>
      </c>
      <c r="C2718" s="30" t="s">
        <v>3952</v>
      </c>
      <c r="D2718" s="2">
        <v>4952077922</v>
      </c>
      <c r="E2718" s="2" t="s">
        <v>18</v>
      </c>
      <c r="F2718" s="2" t="s">
        <v>3953</v>
      </c>
      <c r="G2718" s="28" t="s">
        <v>5</v>
      </c>
      <c r="H2718" s="2" t="s">
        <v>17</v>
      </c>
      <c r="I2718" s="2">
        <v>2</v>
      </c>
      <c r="J2718" s="2" t="s">
        <v>3954</v>
      </c>
      <c r="K2718" s="2">
        <v>73120</v>
      </c>
      <c r="L2718" s="35">
        <f t="shared" si="143"/>
        <v>247668408</v>
      </c>
      <c r="M2718" s="36">
        <v>16000</v>
      </c>
      <c r="N2718" s="40">
        <v>351671.5</v>
      </c>
      <c r="O2718" s="40">
        <v>458999.5</v>
      </c>
      <c r="P2718" s="40">
        <v>164113</v>
      </c>
      <c r="Q2718" s="40">
        <v>99309.5</v>
      </c>
      <c r="R2718" s="40">
        <v>563274.5</v>
      </c>
      <c r="S2718" s="40">
        <v>177178</v>
      </c>
      <c r="T2718" s="40">
        <v>30000</v>
      </c>
      <c r="U2718" s="40">
        <v>5446550</v>
      </c>
      <c r="V2718" s="40">
        <v>0</v>
      </c>
      <c r="W2718" s="45">
        <f t="shared" si="144"/>
        <v>7291096</v>
      </c>
      <c r="X2718" s="46">
        <f t="shared" si="145"/>
        <v>2.9438942410450668</v>
      </c>
    </row>
    <row r="2719" spans="1:24" ht="15" customHeight="1">
      <c r="G2719"/>
      <c r="I2719"/>
      <c r="N2719"/>
      <c r="O2719" s="24"/>
      <c r="P2719"/>
      <c r="Q2719" s="24"/>
      <c r="R2719"/>
      <c r="S2719"/>
      <c r="T2719"/>
      <c r="U2719"/>
      <c r="X2719" s="60"/>
    </row>
    <row r="2720" spans="1:24" ht="15" customHeight="1">
      <c r="A2720" s="31" t="s">
        <v>3483</v>
      </c>
      <c r="B2720" s="31"/>
      <c r="C2720" s="31"/>
      <c r="D2720" s="31"/>
      <c r="E2720" s="31"/>
      <c r="F2720" s="32">
        <v>181</v>
      </c>
      <c r="G2720" s="31"/>
      <c r="H2720" s="31"/>
      <c r="I2720" s="38"/>
      <c r="J2720" s="31"/>
      <c r="K2720" s="39">
        <f>+SUM(K2392:K2718)</f>
        <v>6886074.5970000019</v>
      </c>
      <c r="L2720" s="39">
        <f>+SUM(L2392:L2718)</f>
        <v>23324167571.228535</v>
      </c>
      <c r="M2720" s="31"/>
      <c r="N2720" s="39"/>
      <c r="O2720" s="39"/>
      <c r="P2720" s="39"/>
      <c r="Q2720" s="39"/>
      <c r="R2720" s="39"/>
      <c r="S2720" s="39"/>
      <c r="T2720" s="39"/>
      <c r="U2720" s="39"/>
      <c r="V2720" s="31"/>
      <c r="W2720" s="39">
        <f>+SUM(W2392:W2718)</f>
        <v>998324069.01066792</v>
      </c>
      <c r="X2720" s="47">
        <f t="shared" si="145"/>
        <v>4.2802130706784496</v>
      </c>
    </row>
    <row r="2721" spans="1:24" ht="15" customHeight="1">
      <c r="G2721"/>
      <c r="I2721"/>
      <c r="N2721"/>
      <c r="O2721" s="24"/>
      <c r="P2721"/>
      <c r="Q2721" s="24"/>
      <c r="R2721" s="86"/>
      <c r="S2721"/>
      <c r="T2721"/>
      <c r="U2721"/>
      <c r="X2721" s="60"/>
    </row>
    <row r="2722" spans="1:24" s="4" customFormat="1" ht="15" customHeight="1">
      <c r="A2722" s="79" t="s">
        <v>3955</v>
      </c>
      <c r="B2722" s="80">
        <v>3394.61</v>
      </c>
      <c r="C2722" s="81" t="s">
        <v>3956</v>
      </c>
      <c r="D2722" s="82">
        <v>4952702851</v>
      </c>
      <c r="E2722" s="82" t="s">
        <v>18</v>
      </c>
      <c r="F2722" s="82" t="s">
        <v>3957</v>
      </c>
      <c r="G2722" s="79" t="s">
        <v>13</v>
      </c>
      <c r="H2722" s="2" t="s">
        <v>23</v>
      </c>
      <c r="I2722" s="2">
        <v>1</v>
      </c>
      <c r="J2722" s="2"/>
      <c r="K2722" s="2">
        <v>6756.75</v>
      </c>
      <c r="L2722" s="35">
        <f>B2722*K2722</f>
        <v>22936531.1175</v>
      </c>
      <c r="M2722" s="36">
        <v>25</v>
      </c>
      <c r="N2722" s="40">
        <v>942620</v>
      </c>
      <c r="O2722" s="40">
        <v>0</v>
      </c>
      <c r="P2722" s="40">
        <v>230000</v>
      </c>
      <c r="Q2722" s="40">
        <v>0</v>
      </c>
      <c r="R2722" s="40">
        <v>7690</v>
      </c>
      <c r="S2722" s="40">
        <v>354356</v>
      </c>
      <c r="T2722" s="40">
        <v>30000</v>
      </c>
      <c r="U2722" s="40">
        <v>246380</v>
      </c>
      <c r="V2722" s="40">
        <v>0</v>
      </c>
      <c r="W2722" s="45">
        <f>+SUM(N2722:V2722)</f>
        <v>1811046</v>
      </c>
      <c r="X2722" s="46">
        <f>(W2722/L2722)*100</f>
        <v>7.8959019161280981</v>
      </c>
    </row>
    <row r="2723" spans="1:24" s="4" customFormat="1" ht="15" customHeight="1">
      <c r="A2723" s="79" t="s">
        <v>3955</v>
      </c>
      <c r="B2723" s="80">
        <v>3394.61</v>
      </c>
      <c r="C2723" s="81" t="s">
        <v>3958</v>
      </c>
      <c r="D2723" s="82">
        <v>4952287298</v>
      </c>
      <c r="E2723" s="82" t="s">
        <v>14</v>
      </c>
      <c r="F2723" s="83" t="s">
        <v>3959</v>
      </c>
      <c r="G2723" s="79" t="s">
        <v>13</v>
      </c>
      <c r="H2723" s="2" t="s">
        <v>23</v>
      </c>
      <c r="I2723" s="2">
        <v>1</v>
      </c>
      <c r="J2723" s="2"/>
      <c r="K2723" s="2">
        <v>2490.5</v>
      </c>
      <c r="L2723" s="35">
        <f t="shared" ref="L2723:L2786" si="146">B2723*K2723</f>
        <v>8454276.2050000001</v>
      </c>
      <c r="M2723" s="36">
        <v>50</v>
      </c>
      <c r="N2723" s="40">
        <v>106891.688461538</v>
      </c>
      <c r="O2723" s="40">
        <v>0</v>
      </c>
      <c r="P2723" s="40">
        <v>0</v>
      </c>
      <c r="Q2723" s="40">
        <v>0</v>
      </c>
      <c r="R2723" s="40">
        <v>2735</v>
      </c>
      <c r="S2723" s="40">
        <v>136290.76923076899</v>
      </c>
      <c r="T2723" s="40">
        <v>30000</v>
      </c>
      <c r="U2723" s="55">
        <v>21424.347826087</v>
      </c>
      <c r="V2723" s="55">
        <v>0</v>
      </c>
      <c r="W2723" s="45">
        <f t="shared" ref="W2723:W2786" si="147">+SUM(N2723:V2723)</f>
        <v>297341.80551839393</v>
      </c>
      <c r="X2723" s="46">
        <f t="shared" ref="X2723:X2786" si="148">(W2723/L2723)*100</f>
        <v>3.517058093542544</v>
      </c>
    </row>
    <row r="2724" spans="1:24" s="4" customFormat="1" ht="15" customHeight="1">
      <c r="A2724" s="79" t="s">
        <v>3955</v>
      </c>
      <c r="B2724" s="80">
        <v>3394.61</v>
      </c>
      <c r="C2724" s="81" t="s">
        <v>3958</v>
      </c>
      <c r="D2724" s="82">
        <v>4952287288</v>
      </c>
      <c r="E2724" s="82" t="s">
        <v>14</v>
      </c>
      <c r="F2724" s="83" t="s">
        <v>3959</v>
      </c>
      <c r="G2724" s="79" t="s">
        <v>13</v>
      </c>
      <c r="H2724" s="2" t="s">
        <v>23</v>
      </c>
      <c r="I2724" s="2">
        <v>1</v>
      </c>
      <c r="J2724" s="2"/>
      <c r="K2724" s="2">
        <v>3437.6</v>
      </c>
      <c r="L2724" s="35">
        <f t="shared" si="146"/>
        <v>11669311.336000001</v>
      </c>
      <c r="M2724" s="36">
        <v>80</v>
      </c>
      <c r="N2724" s="40">
        <v>171026.70153846199</v>
      </c>
      <c r="O2724" s="40">
        <v>0</v>
      </c>
      <c r="P2724" s="40">
        <v>0</v>
      </c>
      <c r="Q2724" s="40">
        <v>0</v>
      </c>
      <c r="R2724" s="40">
        <v>4376</v>
      </c>
      <c r="S2724" s="40">
        <v>218065.23076923101</v>
      </c>
      <c r="T2724" s="40">
        <v>30000</v>
      </c>
      <c r="U2724" s="55">
        <v>34278.956521739099</v>
      </c>
      <c r="V2724" s="55">
        <v>0</v>
      </c>
      <c r="W2724" s="45">
        <f t="shared" si="147"/>
        <v>457746.88882943208</v>
      </c>
      <c r="X2724" s="46">
        <f t="shared" si="148"/>
        <v>3.9226555505231575</v>
      </c>
    </row>
    <row r="2725" spans="1:24" s="4" customFormat="1" ht="15" customHeight="1">
      <c r="A2725" s="79" t="s">
        <v>3955</v>
      </c>
      <c r="B2725" s="80">
        <v>3394.61</v>
      </c>
      <c r="C2725" s="81" t="s">
        <v>3960</v>
      </c>
      <c r="D2725" s="82">
        <v>4953003882</v>
      </c>
      <c r="E2725" s="82" t="s">
        <v>14</v>
      </c>
      <c r="F2725" s="82">
        <v>1028352092</v>
      </c>
      <c r="G2725" s="79" t="s">
        <v>13</v>
      </c>
      <c r="H2725" s="2" t="s">
        <v>23</v>
      </c>
      <c r="I2725" s="2">
        <v>3</v>
      </c>
      <c r="J2725" s="2"/>
      <c r="K2725" s="2">
        <v>49488</v>
      </c>
      <c r="L2725" s="35">
        <f t="shared" si="146"/>
        <v>167992459.68000001</v>
      </c>
      <c r="M2725" s="36">
        <f>250+150</f>
        <v>400</v>
      </c>
      <c r="N2725" s="40">
        <v>692122</v>
      </c>
      <c r="O2725" s="40">
        <v>0</v>
      </c>
      <c r="P2725" s="40">
        <v>0</v>
      </c>
      <c r="Q2725" s="40">
        <v>0</v>
      </c>
      <c r="R2725" s="40">
        <v>5768</v>
      </c>
      <c r="S2725" s="40">
        <v>354356</v>
      </c>
      <c r="T2725" s="40">
        <v>30000</v>
      </c>
      <c r="U2725" s="40">
        <v>171394.782608696</v>
      </c>
      <c r="V2725" s="40">
        <v>0</v>
      </c>
      <c r="W2725" s="45">
        <f t="shared" si="147"/>
        <v>1253640.782608696</v>
      </c>
      <c r="X2725" s="46">
        <f t="shared" si="148"/>
        <v>0.7462482453061825</v>
      </c>
    </row>
    <row r="2726" spans="1:24" s="4" customFormat="1" ht="15" customHeight="1">
      <c r="A2726" s="79" t="s">
        <v>3955</v>
      </c>
      <c r="B2726" s="80">
        <v>3394.61</v>
      </c>
      <c r="C2726" s="81" t="s">
        <v>3961</v>
      </c>
      <c r="D2726" s="82" t="s">
        <v>3962</v>
      </c>
      <c r="E2726" s="82" t="s">
        <v>14</v>
      </c>
      <c r="F2726" s="82" t="s">
        <v>3963</v>
      </c>
      <c r="G2726" s="79" t="s">
        <v>13</v>
      </c>
      <c r="H2726" s="2" t="s">
        <v>23</v>
      </c>
      <c r="I2726" s="2">
        <v>1</v>
      </c>
      <c r="J2726" s="2"/>
      <c r="K2726" s="2">
        <v>983.3</v>
      </c>
      <c r="L2726" s="35">
        <f t="shared" si="146"/>
        <v>3337920.0129999998</v>
      </c>
      <c r="M2726" s="36">
        <v>5</v>
      </c>
      <c r="N2726" s="40">
        <v>88760.5</v>
      </c>
      <c r="O2726" s="40">
        <v>0</v>
      </c>
      <c r="P2726" s="40">
        <v>0</v>
      </c>
      <c r="Q2726" s="40">
        <v>0</v>
      </c>
      <c r="R2726" s="40">
        <v>355</v>
      </c>
      <c r="S2726" s="40">
        <v>354356</v>
      </c>
      <c r="T2726" s="40">
        <v>30000</v>
      </c>
      <c r="U2726" s="40">
        <v>2142.4347826087001</v>
      </c>
      <c r="V2726" s="40">
        <v>0</v>
      </c>
      <c r="W2726" s="45">
        <f t="shared" si="147"/>
        <v>475613.9347826087</v>
      </c>
      <c r="X2726" s="46">
        <f t="shared" si="148"/>
        <v>14.248811623114491</v>
      </c>
    </row>
    <row r="2727" spans="1:24" s="4" customFormat="1" ht="15" customHeight="1">
      <c r="A2727" s="79" t="s">
        <v>3955</v>
      </c>
      <c r="B2727" s="80">
        <v>3394.61</v>
      </c>
      <c r="C2727" s="81" t="s">
        <v>3964</v>
      </c>
      <c r="D2727" s="82">
        <v>4949720213</v>
      </c>
      <c r="E2727" s="82" t="s">
        <v>27</v>
      </c>
      <c r="F2727" s="82" t="s">
        <v>3965</v>
      </c>
      <c r="G2727" s="79" t="s">
        <v>9</v>
      </c>
      <c r="H2727" s="2" t="s">
        <v>23</v>
      </c>
      <c r="I2727" s="2">
        <v>13</v>
      </c>
      <c r="J2727" s="2"/>
      <c r="K2727" s="2">
        <v>9212.11</v>
      </c>
      <c r="L2727" s="35">
        <f t="shared" si="146"/>
        <v>31271520.727100004</v>
      </c>
      <c r="M2727" s="36">
        <v>4112.55</v>
      </c>
      <c r="N2727" s="40">
        <v>1561798</v>
      </c>
      <c r="O2727" s="40">
        <v>3456</v>
      </c>
      <c r="P2727" s="40">
        <v>70815</v>
      </c>
      <c r="Q2727" s="40">
        <v>107928</v>
      </c>
      <c r="R2727" s="40">
        <v>205324</v>
      </c>
      <c r="S2727" s="40">
        <v>354356</v>
      </c>
      <c r="T2727" s="40"/>
      <c r="U2727" s="40">
        <v>4171000</v>
      </c>
      <c r="V2727" s="40">
        <v>0</v>
      </c>
      <c r="W2727" s="45">
        <f t="shared" si="147"/>
        <v>6474677</v>
      </c>
      <c r="X2727" s="46">
        <f t="shared" si="148"/>
        <v>20.704707828260567</v>
      </c>
    </row>
    <row r="2728" spans="1:24" s="4" customFormat="1" ht="15" customHeight="1">
      <c r="A2728" s="79" t="s">
        <v>3955</v>
      </c>
      <c r="B2728" s="80">
        <v>3394.61</v>
      </c>
      <c r="C2728" s="81" t="s">
        <v>3966</v>
      </c>
      <c r="D2728" s="82">
        <v>4951772321</v>
      </c>
      <c r="E2728" s="82" t="s">
        <v>33</v>
      </c>
      <c r="F2728" s="82" t="s">
        <v>3967</v>
      </c>
      <c r="G2728" s="79" t="s">
        <v>5</v>
      </c>
      <c r="H2728" s="2" t="s">
        <v>20</v>
      </c>
      <c r="I2728" s="2">
        <v>1</v>
      </c>
      <c r="J2728" s="2" t="s">
        <v>3968</v>
      </c>
      <c r="K2728" s="2">
        <v>32846.99</v>
      </c>
      <c r="L2728" s="35">
        <f t="shared" si="146"/>
        <v>111502720.72389999</v>
      </c>
      <c r="M2728" s="36">
        <v>7348.32</v>
      </c>
      <c r="N2728" s="40">
        <v>351671</v>
      </c>
      <c r="O2728" s="40">
        <v>346986</v>
      </c>
      <c r="P2728" s="40">
        <v>0</v>
      </c>
      <c r="Q2728" s="40">
        <v>99309</v>
      </c>
      <c r="R2728" s="40">
        <v>859738</v>
      </c>
      <c r="S2728" s="40">
        <v>354356</v>
      </c>
      <c r="T2728" s="40"/>
      <c r="U2728" s="40">
        <v>2910000</v>
      </c>
      <c r="V2728" s="40">
        <v>0</v>
      </c>
      <c r="W2728" s="45">
        <f t="shared" si="147"/>
        <v>4922060</v>
      </c>
      <c r="X2728" s="46">
        <f t="shared" si="148"/>
        <v>4.4142958737194151</v>
      </c>
    </row>
    <row r="2729" spans="1:24" s="4" customFormat="1" ht="15" customHeight="1">
      <c r="A2729" s="79" t="s">
        <v>3955</v>
      </c>
      <c r="B2729" s="80">
        <v>3394.61</v>
      </c>
      <c r="C2729" s="81" t="s">
        <v>3969</v>
      </c>
      <c r="D2729" s="82">
        <v>4952602532</v>
      </c>
      <c r="E2729" s="82" t="s">
        <v>24</v>
      </c>
      <c r="F2729" s="82" t="s">
        <v>3970</v>
      </c>
      <c r="G2729" s="79" t="s">
        <v>5</v>
      </c>
      <c r="H2729" s="2" t="s">
        <v>17</v>
      </c>
      <c r="I2729" s="2">
        <v>1</v>
      </c>
      <c r="J2729" s="2" t="s">
        <v>3971</v>
      </c>
      <c r="K2729" s="2">
        <v>24420</v>
      </c>
      <c r="L2729" s="35">
        <f t="shared" si="146"/>
        <v>82896376.200000003</v>
      </c>
      <c r="M2729" s="36">
        <v>22000</v>
      </c>
      <c r="N2729" s="40">
        <v>267859.16666666698</v>
      </c>
      <c r="O2729" s="48">
        <v>227602.5</v>
      </c>
      <c r="P2729" s="40">
        <v>0</v>
      </c>
      <c r="Q2729" s="48">
        <v>49654.5</v>
      </c>
      <c r="R2729" s="40">
        <v>66607.75</v>
      </c>
      <c r="S2729" s="40">
        <v>324826.33333333302</v>
      </c>
      <c r="T2729" s="48"/>
      <c r="U2729" s="40">
        <v>2640825</v>
      </c>
      <c r="V2729" s="40">
        <v>0</v>
      </c>
      <c r="W2729" s="45">
        <f t="shared" si="147"/>
        <v>3577375.25</v>
      </c>
      <c r="X2729" s="46">
        <f t="shared" si="148"/>
        <v>4.315478449104992</v>
      </c>
    </row>
    <row r="2730" spans="1:24" s="4" customFormat="1" ht="15" customHeight="1">
      <c r="A2730" s="79" t="s">
        <v>3955</v>
      </c>
      <c r="B2730" s="80">
        <v>3394.61</v>
      </c>
      <c r="C2730" s="81" t="s">
        <v>3969</v>
      </c>
      <c r="D2730" s="82">
        <v>4952809782</v>
      </c>
      <c r="E2730" s="82" t="s">
        <v>24</v>
      </c>
      <c r="F2730" s="82" t="s">
        <v>3970</v>
      </c>
      <c r="G2730" s="79" t="s">
        <v>5</v>
      </c>
      <c r="H2730" s="2" t="s">
        <v>17</v>
      </c>
      <c r="I2730" s="2">
        <v>1</v>
      </c>
      <c r="J2730" s="2" t="s">
        <v>3971</v>
      </c>
      <c r="K2730" s="2">
        <v>3180</v>
      </c>
      <c r="L2730" s="35">
        <f t="shared" si="146"/>
        <v>10794859.800000001</v>
      </c>
      <c r="M2730" s="36">
        <v>2000</v>
      </c>
      <c r="N2730" s="40">
        <v>24350.833333333299</v>
      </c>
      <c r="O2730" s="48">
        <v>227602.5</v>
      </c>
      <c r="P2730" s="40">
        <v>0</v>
      </c>
      <c r="Q2730" s="48">
        <v>49654.5</v>
      </c>
      <c r="R2730" s="40">
        <v>6055.25</v>
      </c>
      <c r="S2730" s="40">
        <v>29529.666666666701</v>
      </c>
      <c r="T2730" s="48"/>
      <c r="U2730" s="40">
        <v>240075</v>
      </c>
      <c r="V2730" s="40">
        <v>0</v>
      </c>
      <c r="W2730" s="45">
        <f t="shared" si="147"/>
        <v>577267.75</v>
      </c>
      <c r="X2730" s="46">
        <f t="shared" si="148"/>
        <v>5.3476169278270751</v>
      </c>
    </row>
    <row r="2731" spans="1:24" s="4" customFormat="1" ht="15" customHeight="1">
      <c r="A2731" s="79" t="s">
        <v>3955</v>
      </c>
      <c r="B2731" s="80">
        <v>3394.61</v>
      </c>
      <c r="C2731" s="81" t="s">
        <v>3972</v>
      </c>
      <c r="D2731" s="82">
        <v>4952077933</v>
      </c>
      <c r="E2731" s="82" t="s">
        <v>18</v>
      </c>
      <c r="F2731" s="82" t="s">
        <v>3973</v>
      </c>
      <c r="G2731" s="79" t="s">
        <v>9</v>
      </c>
      <c r="H2731" s="2" t="s">
        <v>23</v>
      </c>
      <c r="I2731" s="2">
        <v>1</v>
      </c>
      <c r="J2731" s="2"/>
      <c r="K2731" s="2">
        <v>5370</v>
      </c>
      <c r="L2731" s="35">
        <f t="shared" si="146"/>
        <v>18229055.699999999</v>
      </c>
      <c r="M2731" s="36">
        <v>1000</v>
      </c>
      <c r="N2731" s="40">
        <v>778676</v>
      </c>
      <c r="O2731" s="40">
        <v>709</v>
      </c>
      <c r="P2731" s="40">
        <v>26914</v>
      </c>
      <c r="Q2731" s="40">
        <v>20528</v>
      </c>
      <c r="R2731" s="40">
        <v>111177</v>
      </c>
      <c r="S2731" s="40">
        <v>354356</v>
      </c>
      <c r="T2731" s="40">
        <v>30000</v>
      </c>
      <c r="U2731" s="40">
        <v>477231.12128146499</v>
      </c>
      <c r="V2731" s="40">
        <v>0</v>
      </c>
      <c r="W2731" s="45">
        <f t="shared" si="147"/>
        <v>1799591.121281465</v>
      </c>
      <c r="X2731" s="46">
        <f t="shared" si="148"/>
        <v>9.8721028170508323</v>
      </c>
    </row>
    <row r="2732" spans="1:24" s="4" customFormat="1" ht="15" customHeight="1">
      <c r="A2732" s="79" t="s">
        <v>3955</v>
      </c>
      <c r="B2732" s="80">
        <v>3394.61</v>
      </c>
      <c r="C2732" s="81" t="s">
        <v>3974</v>
      </c>
      <c r="D2732" s="82">
        <v>4952221321</v>
      </c>
      <c r="E2732" s="82" t="s">
        <v>24</v>
      </c>
      <c r="F2732" s="82" t="s">
        <v>3975</v>
      </c>
      <c r="G2732" s="79" t="s">
        <v>9</v>
      </c>
      <c r="H2732" s="2" t="s">
        <v>23</v>
      </c>
      <c r="I2732" s="2">
        <v>1</v>
      </c>
      <c r="J2732" s="2"/>
      <c r="K2732" s="2">
        <v>5980.8</v>
      </c>
      <c r="L2732" s="35">
        <f t="shared" si="146"/>
        <v>20302483.488000002</v>
      </c>
      <c r="M2732" s="36">
        <v>480</v>
      </c>
      <c r="N2732" s="40">
        <v>510229</v>
      </c>
      <c r="O2732" s="40">
        <v>371</v>
      </c>
      <c r="P2732" s="40">
        <v>0</v>
      </c>
      <c r="Q2732" s="40">
        <v>8308</v>
      </c>
      <c r="R2732" s="40">
        <v>97387</v>
      </c>
      <c r="S2732" s="40">
        <v>354356</v>
      </c>
      <c r="T2732" s="40"/>
      <c r="U2732" s="40">
        <v>229070.938215103</v>
      </c>
      <c r="V2732" s="40">
        <v>0</v>
      </c>
      <c r="W2732" s="45">
        <f t="shared" si="147"/>
        <v>1199721.938215103</v>
      </c>
      <c r="X2732" s="46">
        <f t="shared" si="148"/>
        <v>5.9092373547512613</v>
      </c>
    </row>
    <row r="2733" spans="1:24" s="4" customFormat="1" ht="15" customHeight="1">
      <c r="A2733" s="79" t="s">
        <v>3955</v>
      </c>
      <c r="B2733" s="80">
        <v>3394.61</v>
      </c>
      <c r="C2733" s="81" t="s">
        <v>3976</v>
      </c>
      <c r="D2733" s="82" t="s">
        <v>3977</v>
      </c>
      <c r="E2733" s="82" t="s">
        <v>36</v>
      </c>
      <c r="F2733" s="83" t="s">
        <v>3978</v>
      </c>
      <c r="G2733" s="79" t="s">
        <v>5</v>
      </c>
      <c r="H2733" s="2" t="s">
        <v>20</v>
      </c>
      <c r="I2733" s="2">
        <v>3</v>
      </c>
      <c r="J2733" s="2" t="s">
        <v>3979</v>
      </c>
      <c r="K2733" s="2">
        <v>90675</v>
      </c>
      <c r="L2733" s="35">
        <f t="shared" si="146"/>
        <v>307806261.75</v>
      </c>
      <c r="M2733" s="36">
        <v>58500</v>
      </c>
      <c r="N2733" s="40">
        <v>1094436</v>
      </c>
      <c r="O2733" s="40">
        <v>1040959</v>
      </c>
      <c r="P2733" s="40">
        <v>0</v>
      </c>
      <c r="Q2733" s="40">
        <v>297928</v>
      </c>
      <c r="R2733" s="40">
        <v>1663343</v>
      </c>
      <c r="S2733" s="40">
        <v>354356</v>
      </c>
      <c r="T2733" s="40"/>
      <c r="U2733" s="40">
        <v>1557900</v>
      </c>
      <c r="V2733" s="40">
        <v>0</v>
      </c>
      <c r="W2733" s="45">
        <f t="shared" si="147"/>
        <v>6008922</v>
      </c>
      <c r="X2733" s="46">
        <f t="shared" si="148"/>
        <v>1.9521766600318358</v>
      </c>
    </row>
    <row r="2734" spans="1:24" s="4" customFormat="1" ht="15" customHeight="1">
      <c r="A2734" s="79" t="s">
        <v>3955</v>
      </c>
      <c r="B2734" s="80">
        <v>3394.61</v>
      </c>
      <c r="C2734" s="81" t="s">
        <v>3980</v>
      </c>
      <c r="D2734" s="82">
        <v>4951814799</v>
      </c>
      <c r="E2734" s="82" t="s">
        <v>14</v>
      </c>
      <c r="F2734" s="82" t="s">
        <v>3981</v>
      </c>
      <c r="G2734" s="79" t="s">
        <v>5</v>
      </c>
      <c r="H2734" s="2" t="s">
        <v>20</v>
      </c>
      <c r="I2734" s="2">
        <v>1</v>
      </c>
      <c r="J2734" s="2" t="s">
        <v>3982</v>
      </c>
      <c r="K2734" s="2">
        <v>30822.400000000001</v>
      </c>
      <c r="L2734" s="35">
        <f t="shared" si="146"/>
        <v>104630027.26400001</v>
      </c>
      <c r="M2734" s="36">
        <v>13760</v>
      </c>
      <c r="N2734" s="40">
        <v>446205</v>
      </c>
      <c r="O2734" s="40">
        <v>346986</v>
      </c>
      <c r="P2734" s="40">
        <v>0</v>
      </c>
      <c r="Q2734" s="40">
        <v>99309</v>
      </c>
      <c r="R2734" s="40">
        <v>446930</v>
      </c>
      <c r="S2734" s="40">
        <v>354356</v>
      </c>
      <c r="T2734" s="40">
        <v>30000</v>
      </c>
      <c r="U2734" s="40">
        <v>4529900</v>
      </c>
      <c r="V2734" s="40">
        <v>0</v>
      </c>
      <c r="W2734" s="45">
        <f t="shared" si="147"/>
        <v>6253686</v>
      </c>
      <c r="X2734" s="46">
        <f t="shared" si="148"/>
        <v>5.9769515152861876</v>
      </c>
    </row>
    <row r="2735" spans="1:24" s="4" customFormat="1" ht="15" customHeight="1">
      <c r="A2735" s="79" t="s">
        <v>3955</v>
      </c>
      <c r="B2735" s="80">
        <v>3394.61</v>
      </c>
      <c r="C2735" s="81" t="s">
        <v>3983</v>
      </c>
      <c r="D2735" s="82" t="s">
        <v>3984</v>
      </c>
      <c r="E2735" s="82" t="s">
        <v>14</v>
      </c>
      <c r="F2735" s="82" t="s">
        <v>3985</v>
      </c>
      <c r="G2735" s="79" t="s">
        <v>9</v>
      </c>
      <c r="H2735" s="2" t="s">
        <v>23</v>
      </c>
      <c r="I2735" s="2">
        <v>3</v>
      </c>
      <c r="J2735" s="2"/>
      <c r="K2735" s="2">
        <v>10013.280000000001</v>
      </c>
      <c r="L2735" s="35">
        <f t="shared" si="146"/>
        <v>33991180.4208</v>
      </c>
      <c r="M2735" s="36">
        <v>2721</v>
      </c>
      <c r="N2735" s="40">
        <v>828341</v>
      </c>
      <c r="O2735" s="40">
        <v>1947</v>
      </c>
      <c r="P2735" s="40">
        <v>0</v>
      </c>
      <c r="Q2735" s="40">
        <v>44189</v>
      </c>
      <c r="R2735" s="40">
        <v>129436</v>
      </c>
      <c r="S2735" s="40">
        <v>354356</v>
      </c>
      <c r="T2735" s="40">
        <v>30000</v>
      </c>
      <c r="U2735" s="40">
        <v>252200</v>
      </c>
      <c r="V2735" s="40">
        <v>0</v>
      </c>
      <c r="W2735" s="45">
        <f t="shared" si="147"/>
        <v>1640469</v>
      </c>
      <c r="X2735" s="46">
        <f t="shared" si="148"/>
        <v>4.8261607266694355</v>
      </c>
    </row>
    <row r="2736" spans="1:24" s="4" customFormat="1" ht="15" customHeight="1">
      <c r="A2736" s="79" t="s">
        <v>3955</v>
      </c>
      <c r="B2736" s="80">
        <v>3394.61</v>
      </c>
      <c r="C2736" s="81" t="s">
        <v>3986</v>
      </c>
      <c r="D2736" s="82">
        <v>4946611858</v>
      </c>
      <c r="E2736" s="82" t="s">
        <v>6</v>
      </c>
      <c r="F2736" s="82" t="s">
        <v>3987</v>
      </c>
      <c r="G2736" s="79" t="s">
        <v>9</v>
      </c>
      <c r="H2736" s="2" t="s">
        <v>23</v>
      </c>
      <c r="I2736" s="2">
        <v>4</v>
      </c>
      <c r="J2736" s="2"/>
      <c r="K2736" s="2">
        <v>15052.8</v>
      </c>
      <c r="L2736" s="35">
        <f t="shared" si="146"/>
        <v>51098385.408</v>
      </c>
      <c r="M2736" s="36">
        <v>1920</v>
      </c>
      <c r="N2736" s="40">
        <v>737703</v>
      </c>
      <c r="O2736" s="40">
        <v>1520</v>
      </c>
      <c r="P2736" s="40">
        <v>0</v>
      </c>
      <c r="Q2736" s="40">
        <v>35890</v>
      </c>
      <c r="R2736" s="40">
        <v>127143</v>
      </c>
      <c r="S2736" s="40">
        <v>354356</v>
      </c>
      <c r="T2736" s="40">
        <v>30000</v>
      </c>
      <c r="U2736" s="40">
        <v>771012.34795429395</v>
      </c>
      <c r="V2736" s="40">
        <v>0</v>
      </c>
      <c r="W2736" s="45">
        <f t="shared" si="147"/>
        <v>2057624.3479542939</v>
      </c>
      <c r="X2736" s="46">
        <f t="shared" si="148"/>
        <v>4.02678936237416</v>
      </c>
    </row>
    <row r="2737" spans="1:24" s="4" customFormat="1" ht="15" customHeight="1">
      <c r="A2737" s="79" t="s">
        <v>3955</v>
      </c>
      <c r="B2737" s="80">
        <v>3394.61</v>
      </c>
      <c r="C2737" s="81" t="s">
        <v>3988</v>
      </c>
      <c r="D2737" s="82">
        <v>4952398921</v>
      </c>
      <c r="E2737" s="82" t="s">
        <v>27</v>
      </c>
      <c r="F2737" s="82" t="s">
        <v>3989</v>
      </c>
      <c r="G2737" s="79" t="s">
        <v>5</v>
      </c>
      <c r="H2737" s="2" t="s">
        <v>20</v>
      </c>
      <c r="I2737" s="2">
        <v>1</v>
      </c>
      <c r="J2737" s="2" t="s">
        <v>3990</v>
      </c>
      <c r="K2737" s="2">
        <v>28854</v>
      </c>
      <c r="L2737" s="35">
        <f t="shared" si="146"/>
        <v>97948076.939999998</v>
      </c>
      <c r="M2737" s="36">
        <v>7205</v>
      </c>
      <c r="N2737" s="40">
        <v>577113.68513233901</v>
      </c>
      <c r="O2737" s="40">
        <v>173493</v>
      </c>
      <c r="P2737" s="40">
        <v>280369.115165175</v>
      </c>
      <c r="Q2737" s="40">
        <v>49654.5</v>
      </c>
      <c r="R2737" s="40">
        <v>597438.98335370002</v>
      </c>
      <c r="S2737" s="40">
        <v>353179.58988518</v>
      </c>
      <c r="T2737" s="48"/>
      <c r="U2737" s="40">
        <v>2890671.4280102202</v>
      </c>
      <c r="V2737" s="40">
        <v>0</v>
      </c>
      <c r="W2737" s="45">
        <f t="shared" si="147"/>
        <v>4921920.3015466146</v>
      </c>
      <c r="X2737" s="46">
        <f t="shared" si="148"/>
        <v>5.0250300519546016</v>
      </c>
    </row>
    <row r="2738" spans="1:24" s="4" customFormat="1" ht="15" customHeight="1">
      <c r="A2738" s="79" t="s">
        <v>3955</v>
      </c>
      <c r="B2738" s="80">
        <v>3394.61</v>
      </c>
      <c r="C2738" s="81" t="s">
        <v>3988</v>
      </c>
      <c r="D2738" s="82">
        <v>4951772229</v>
      </c>
      <c r="E2738" s="82" t="s">
        <v>27</v>
      </c>
      <c r="F2738" s="82" t="s">
        <v>3989</v>
      </c>
      <c r="G2738" s="79" t="s">
        <v>5</v>
      </c>
      <c r="H2738" s="2" t="s">
        <v>20</v>
      </c>
      <c r="I2738" s="2">
        <v>1</v>
      </c>
      <c r="J2738" s="2" t="s">
        <v>3990</v>
      </c>
      <c r="K2738" s="2">
        <v>141.80000000000001</v>
      </c>
      <c r="L2738" s="35">
        <f t="shared" si="146"/>
        <v>481355.69800000003</v>
      </c>
      <c r="M2738" s="36">
        <v>24</v>
      </c>
      <c r="N2738" s="40">
        <v>1922.3148676609401</v>
      </c>
      <c r="O2738" s="40">
        <v>173493</v>
      </c>
      <c r="P2738" s="40">
        <v>933.884834824824</v>
      </c>
      <c r="Q2738" s="40">
        <v>49654.5</v>
      </c>
      <c r="R2738" s="40">
        <v>1990.0166463002899</v>
      </c>
      <c r="S2738" s="40">
        <v>1176.4101148199099</v>
      </c>
      <c r="T2738" s="48"/>
      <c r="U2738" s="40">
        <v>9628.5719897848103</v>
      </c>
      <c r="V2738" s="40">
        <v>0</v>
      </c>
      <c r="W2738" s="45">
        <f t="shared" si="147"/>
        <v>238798.69845339077</v>
      </c>
      <c r="X2738" s="46">
        <f t="shared" si="148"/>
        <v>49.609612900726638</v>
      </c>
    </row>
    <row r="2739" spans="1:24" s="4" customFormat="1" ht="15" customHeight="1">
      <c r="A2739" s="79" t="s">
        <v>3955</v>
      </c>
      <c r="B2739" s="80">
        <v>3394.61</v>
      </c>
      <c r="C2739" s="81" t="s">
        <v>3991</v>
      </c>
      <c r="D2739" s="82">
        <v>4952511320</v>
      </c>
      <c r="E2739" s="82" t="s">
        <v>27</v>
      </c>
      <c r="F2739" s="82" t="s">
        <v>3992</v>
      </c>
      <c r="G2739" s="79" t="s">
        <v>5</v>
      </c>
      <c r="H2739" s="2" t="s">
        <v>17</v>
      </c>
      <c r="I2739" s="2">
        <v>1</v>
      </c>
      <c r="J2739" s="2" t="s">
        <v>3993</v>
      </c>
      <c r="K2739" s="2">
        <v>4093.82</v>
      </c>
      <c r="L2739" s="35">
        <f t="shared" si="146"/>
        <v>13896922.3102</v>
      </c>
      <c r="M2739" s="36">
        <v>3377.61</v>
      </c>
      <c r="N2739" s="40">
        <v>124838.97964033599</v>
      </c>
      <c r="O2739" s="40">
        <v>227602.5</v>
      </c>
      <c r="P2739" s="40">
        <v>86640.261671093394</v>
      </c>
      <c r="Q2739" s="40">
        <v>49654.5</v>
      </c>
      <c r="R2739" s="40">
        <v>158125.52220088101</v>
      </c>
      <c r="S2739" s="40">
        <v>76398.298328830002</v>
      </c>
      <c r="T2739" s="48"/>
      <c r="U2739" s="40">
        <v>1174263.0342449101</v>
      </c>
      <c r="V2739" s="40">
        <v>0</v>
      </c>
      <c r="W2739" s="45">
        <f t="shared" si="147"/>
        <v>1897523.0960860506</v>
      </c>
      <c r="X2739" s="46">
        <f t="shared" si="148"/>
        <v>13.654268576383386</v>
      </c>
    </row>
    <row r="2740" spans="1:24" s="4" customFormat="1" ht="15" customHeight="1">
      <c r="A2740" s="79" t="s">
        <v>3955</v>
      </c>
      <c r="B2740" s="80">
        <v>3394.61</v>
      </c>
      <c r="C2740" s="81" t="s">
        <v>3991</v>
      </c>
      <c r="D2740" s="82">
        <v>4952398921</v>
      </c>
      <c r="E2740" s="82" t="s">
        <v>27</v>
      </c>
      <c r="F2740" s="82" t="s">
        <v>3992</v>
      </c>
      <c r="G2740" s="79" t="s">
        <v>5</v>
      </c>
      <c r="H2740" s="2" t="s">
        <v>17</v>
      </c>
      <c r="I2740" s="2">
        <v>1</v>
      </c>
      <c r="J2740" s="2" t="s">
        <v>3993</v>
      </c>
      <c r="K2740" s="2">
        <v>42000</v>
      </c>
      <c r="L2740" s="35">
        <f t="shared" si="146"/>
        <v>142573620</v>
      </c>
      <c r="M2740" s="36">
        <v>12288</v>
      </c>
      <c r="N2740" s="40">
        <v>454198.02035966399</v>
      </c>
      <c r="O2740" s="40">
        <v>227602.5</v>
      </c>
      <c r="P2740" s="40">
        <v>315220.738328907</v>
      </c>
      <c r="Q2740" s="40">
        <v>49654.5</v>
      </c>
      <c r="R2740" s="40">
        <v>575303.47779911896</v>
      </c>
      <c r="S2740" s="40">
        <v>277957.70167117001</v>
      </c>
      <c r="T2740" s="48"/>
      <c r="U2740" s="40">
        <v>4272286.9657550901</v>
      </c>
      <c r="V2740" s="40">
        <v>0</v>
      </c>
      <c r="W2740" s="45">
        <f t="shared" si="147"/>
        <v>6172223.9039139505</v>
      </c>
      <c r="X2740" s="46">
        <f t="shared" si="148"/>
        <v>4.3291486208416048</v>
      </c>
    </row>
    <row r="2741" spans="1:24" s="4" customFormat="1" ht="15" customHeight="1">
      <c r="A2741" s="79" t="s">
        <v>3955</v>
      </c>
      <c r="B2741" s="80">
        <v>3394.61</v>
      </c>
      <c r="C2741" s="81" t="s">
        <v>3994</v>
      </c>
      <c r="D2741" s="82">
        <v>4952579158</v>
      </c>
      <c r="E2741" s="82" t="s">
        <v>14</v>
      </c>
      <c r="F2741" s="82" t="s">
        <v>3995</v>
      </c>
      <c r="G2741" s="79" t="s">
        <v>5</v>
      </c>
      <c r="H2741" s="2" t="s">
        <v>20</v>
      </c>
      <c r="I2741" s="2">
        <v>1</v>
      </c>
      <c r="J2741" s="2" t="s">
        <v>3996</v>
      </c>
      <c r="K2741" s="2">
        <v>85.5</v>
      </c>
      <c r="L2741" s="35">
        <f t="shared" si="146"/>
        <v>290239.15500000003</v>
      </c>
      <c r="M2741" s="36">
        <v>50</v>
      </c>
      <c r="N2741" s="40">
        <v>1907.0747663551399</v>
      </c>
      <c r="O2741" s="40">
        <v>49569.428571428602</v>
      </c>
      <c r="P2741" s="40">
        <v>0</v>
      </c>
      <c r="Q2741" s="40">
        <v>14187</v>
      </c>
      <c r="R2741" s="40">
        <v>2073.7242990654199</v>
      </c>
      <c r="S2741" s="40">
        <v>1655.8691588785</v>
      </c>
      <c r="T2741" s="40">
        <v>30000</v>
      </c>
      <c r="U2741" s="62">
        <v>15184.5794392523</v>
      </c>
      <c r="V2741" s="62">
        <v>0</v>
      </c>
      <c r="W2741" s="45">
        <f t="shared" si="147"/>
        <v>114577.67623497995</v>
      </c>
      <c r="X2741" s="46">
        <f t="shared" si="148"/>
        <v>39.476987946364417</v>
      </c>
    </row>
    <row r="2742" spans="1:24" s="4" customFormat="1" ht="15" customHeight="1">
      <c r="A2742" s="79" t="s">
        <v>3955</v>
      </c>
      <c r="B2742" s="80">
        <v>3394.61</v>
      </c>
      <c r="C2742" s="81" t="s">
        <v>3994</v>
      </c>
      <c r="D2742" s="82">
        <v>4952579158</v>
      </c>
      <c r="E2742" s="82" t="s">
        <v>14</v>
      </c>
      <c r="F2742" s="82" t="s">
        <v>3995</v>
      </c>
      <c r="G2742" s="79" t="s">
        <v>5</v>
      </c>
      <c r="H2742" s="2" t="s">
        <v>20</v>
      </c>
      <c r="I2742" s="2">
        <v>1</v>
      </c>
      <c r="J2742" s="2" t="s">
        <v>3996</v>
      </c>
      <c r="K2742" s="2">
        <v>288</v>
      </c>
      <c r="L2742" s="35">
        <f t="shared" si="146"/>
        <v>977647.68</v>
      </c>
      <c r="M2742" s="36">
        <v>150</v>
      </c>
      <c r="N2742" s="40">
        <v>5721.2242990654204</v>
      </c>
      <c r="O2742" s="40">
        <v>49569.428571428602</v>
      </c>
      <c r="P2742" s="40">
        <v>0</v>
      </c>
      <c r="Q2742" s="40">
        <v>14187</v>
      </c>
      <c r="R2742" s="40">
        <v>6221.1728971962602</v>
      </c>
      <c r="S2742" s="40">
        <v>4967.6074766355096</v>
      </c>
      <c r="T2742" s="40">
        <v>30000</v>
      </c>
      <c r="U2742" s="62">
        <v>45553.738317757001</v>
      </c>
      <c r="V2742" s="62">
        <v>0</v>
      </c>
      <c r="W2742" s="45">
        <f t="shared" si="147"/>
        <v>156220.1715620828</v>
      </c>
      <c r="X2742" s="46">
        <f t="shared" si="148"/>
        <v>15.97918910441058</v>
      </c>
    </row>
    <row r="2743" spans="1:24" s="4" customFormat="1" ht="15" customHeight="1">
      <c r="A2743" s="79" t="s">
        <v>3955</v>
      </c>
      <c r="B2743" s="80">
        <v>3394.61</v>
      </c>
      <c r="C2743" s="81" t="s">
        <v>3994</v>
      </c>
      <c r="D2743" s="82">
        <v>4952579158</v>
      </c>
      <c r="E2743" s="82" t="s">
        <v>14</v>
      </c>
      <c r="F2743" s="82" t="s">
        <v>3995</v>
      </c>
      <c r="G2743" s="79" t="s">
        <v>5</v>
      </c>
      <c r="H2743" s="2" t="s">
        <v>20</v>
      </c>
      <c r="I2743" s="2">
        <v>1</v>
      </c>
      <c r="J2743" s="2" t="s">
        <v>3996</v>
      </c>
      <c r="K2743" s="2">
        <v>94</v>
      </c>
      <c r="L2743" s="35">
        <f t="shared" si="146"/>
        <v>319093.34000000003</v>
      </c>
      <c r="M2743" s="36">
        <v>50</v>
      </c>
      <c r="N2743" s="40">
        <v>1907.0747663551399</v>
      </c>
      <c r="O2743" s="40">
        <v>49569.428571428602</v>
      </c>
      <c r="P2743" s="40">
        <v>0</v>
      </c>
      <c r="Q2743" s="40">
        <v>14187</v>
      </c>
      <c r="R2743" s="40">
        <v>2073.7242990654199</v>
      </c>
      <c r="S2743" s="40">
        <v>1655.8691588785</v>
      </c>
      <c r="T2743" s="40">
        <v>30000</v>
      </c>
      <c r="U2743" s="62">
        <v>15184.5794392523</v>
      </c>
      <c r="V2743" s="62">
        <v>0</v>
      </c>
      <c r="W2743" s="45">
        <f t="shared" si="147"/>
        <v>114577.67623497995</v>
      </c>
      <c r="X2743" s="46">
        <f t="shared" si="148"/>
        <v>35.90726031291657</v>
      </c>
    </row>
    <row r="2744" spans="1:24" s="4" customFormat="1" ht="15" customHeight="1">
      <c r="A2744" s="79" t="s">
        <v>3955</v>
      </c>
      <c r="B2744" s="80">
        <v>3394.61</v>
      </c>
      <c r="C2744" s="81" t="s">
        <v>3994</v>
      </c>
      <c r="D2744" s="82">
        <v>4952579158</v>
      </c>
      <c r="E2744" s="82" t="s">
        <v>14</v>
      </c>
      <c r="F2744" s="82" t="s">
        <v>3995</v>
      </c>
      <c r="G2744" s="79" t="s">
        <v>5</v>
      </c>
      <c r="H2744" s="2" t="s">
        <v>20</v>
      </c>
      <c r="I2744" s="2">
        <v>1</v>
      </c>
      <c r="J2744" s="2" t="s">
        <v>3996</v>
      </c>
      <c r="K2744" s="2">
        <v>397.5</v>
      </c>
      <c r="L2744" s="35">
        <f t="shared" si="146"/>
        <v>1349357.4750000001</v>
      </c>
      <c r="M2744" s="36">
        <v>150</v>
      </c>
      <c r="N2744" s="40">
        <v>5721.2242990654204</v>
      </c>
      <c r="O2744" s="40">
        <v>49569.428571428602</v>
      </c>
      <c r="P2744" s="40">
        <v>0</v>
      </c>
      <c r="Q2744" s="40">
        <v>14187</v>
      </c>
      <c r="R2744" s="40">
        <v>6221.1728971962602</v>
      </c>
      <c r="S2744" s="40">
        <v>4967.6074766355096</v>
      </c>
      <c r="T2744" s="40">
        <v>30000</v>
      </c>
      <c r="U2744" s="62">
        <v>45553.738317757001</v>
      </c>
      <c r="V2744" s="62">
        <v>0</v>
      </c>
      <c r="W2744" s="45">
        <f t="shared" si="147"/>
        <v>156220.1715620828</v>
      </c>
      <c r="X2744" s="46">
        <f t="shared" si="148"/>
        <v>11.577374747346532</v>
      </c>
    </row>
    <row r="2745" spans="1:24" s="4" customFormat="1" ht="15" customHeight="1">
      <c r="A2745" s="79" t="s">
        <v>3955</v>
      </c>
      <c r="B2745" s="80">
        <v>3394.61</v>
      </c>
      <c r="C2745" s="81" t="s">
        <v>3994</v>
      </c>
      <c r="D2745" s="82">
        <v>4952579158</v>
      </c>
      <c r="E2745" s="82" t="s">
        <v>14</v>
      </c>
      <c r="F2745" s="82" t="s">
        <v>3995</v>
      </c>
      <c r="G2745" s="79" t="s">
        <v>5</v>
      </c>
      <c r="H2745" s="2" t="s">
        <v>20</v>
      </c>
      <c r="I2745" s="2">
        <v>1</v>
      </c>
      <c r="J2745" s="2" t="s">
        <v>3996</v>
      </c>
      <c r="K2745" s="2">
        <v>372</v>
      </c>
      <c r="L2745" s="35">
        <f t="shared" si="146"/>
        <v>1262794.9200000002</v>
      </c>
      <c r="M2745" s="36">
        <v>150</v>
      </c>
      <c r="N2745" s="40">
        <v>5721.2242990654204</v>
      </c>
      <c r="O2745" s="40">
        <v>49569.428571428602</v>
      </c>
      <c r="P2745" s="40">
        <v>0</v>
      </c>
      <c r="Q2745" s="40">
        <v>14187</v>
      </c>
      <c r="R2745" s="40">
        <v>6221.1728971962602</v>
      </c>
      <c r="S2745" s="40">
        <v>4967.6074766355096</v>
      </c>
      <c r="T2745" s="40">
        <v>30000</v>
      </c>
      <c r="U2745" s="62">
        <v>45553.738317757001</v>
      </c>
      <c r="V2745" s="62">
        <v>0</v>
      </c>
      <c r="W2745" s="45">
        <f t="shared" si="147"/>
        <v>156220.1715620828</v>
      </c>
      <c r="X2745" s="46">
        <f t="shared" si="148"/>
        <v>12.370985113092059</v>
      </c>
    </row>
    <row r="2746" spans="1:24" s="4" customFormat="1" ht="15" customHeight="1">
      <c r="A2746" s="79" t="s">
        <v>3955</v>
      </c>
      <c r="B2746" s="80">
        <v>3394.61</v>
      </c>
      <c r="C2746" s="81" t="s">
        <v>3994</v>
      </c>
      <c r="D2746" s="82">
        <v>4952579158</v>
      </c>
      <c r="E2746" s="82" t="s">
        <v>14</v>
      </c>
      <c r="F2746" s="82" t="s">
        <v>3995</v>
      </c>
      <c r="G2746" s="79" t="s">
        <v>5</v>
      </c>
      <c r="H2746" s="2" t="s">
        <v>20</v>
      </c>
      <c r="I2746" s="2">
        <v>1</v>
      </c>
      <c r="J2746" s="2" t="s">
        <v>3996</v>
      </c>
      <c r="K2746" s="2">
        <v>499.5</v>
      </c>
      <c r="L2746" s="35">
        <f t="shared" si="146"/>
        <v>1695607.6950000001</v>
      </c>
      <c r="M2746" s="36">
        <v>150</v>
      </c>
      <c r="N2746" s="40">
        <v>5721.2242990654204</v>
      </c>
      <c r="O2746" s="40">
        <v>49569.428571428602</v>
      </c>
      <c r="P2746" s="40">
        <v>0</v>
      </c>
      <c r="Q2746" s="40">
        <v>14187</v>
      </c>
      <c r="R2746" s="40">
        <v>6221.1728971962602</v>
      </c>
      <c r="S2746" s="40">
        <v>4967.6074766355096</v>
      </c>
      <c r="T2746" s="40">
        <v>30000</v>
      </c>
      <c r="U2746" s="62">
        <v>45553.738317757001</v>
      </c>
      <c r="V2746" s="62">
        <v>0</v>
      </c>
      <c r="W2746" s="45">
        <f t="shared" si="147"/>
        <v>156220.1715620828</v>
      </c>
      <c r="X2746" s="46">
        <f t="shared" si="148"/>
        <v>9.2132261502907831</v>
      </c>
    </row>
    <row r="2747" spans="1:24" s="4" customFormat="1" ht="15" customHeight="1">
      <c r="A2747" s="79" t="s">
        <v>3955</v>
      </c>
      <c r="B2747" s="80">
        <v>3394.61</v>
      </c>
      <c r="C2747" s="81" t="s">
        <v>3994</v>
      </c>
      <c r="D2747" s="82">
        <v>4952083922</v>
      </c>
      <c r="E2747" s="82" t="s">
        <v>14</v>
      </c>
      <c r="F2747" s="82" t="s">
        <v>3995</v>
      </c>
      <c r="G2747" s="79" t="s">
        <v>5</v>
      </c>
      <c r="H2747" s="2" t="s">
        <v>20</v>
      </c>
      <c r="I2747" s="2">
        <v>1</v>
      </c>
      <c r="J2747" s="2" t="s">
        <v>3996</v>
      </c>
      <c r="K2747" s="2">
        <v>25400</v>
      </c>
      <c r="L2747" s="35">
        <f t="shared" si="146"/>
        <v>86223094</v>
      </c>
      <c r="M2747" s="36">
        <f>7000+2000+1000</f>
        <v>10000</v>
      </c>
      <c r="N2747" s="40">
        <v>381414.953271028</v>
      </c>
      <c r="O2747" s="40">
        <v>49569.428571428602</v>
      </c>
      <c r="P2747" s="40">
        <v>0</v>
      </c>
      <c r="Q2747" s="40">
        <v>14187</v>
      </c>
      <c r="R2747" s="40">
        <v>414744.85981308401</v>
      </c>
      <c r="S2747" s="40">
        <v>331173.83177570102</v>
      </c>
      <c r="T2747" s="40">
        <v>30000</v>
      </c>
      <c r="U2747" s="62">
        <v>3036915.8878504699</v>
      </c>
      <c r="V2747" s="62">
        <v>0</v>
      </c>
      <c r="W2747" s="45">
        <f t="shared" si="147"/>
        <v>4258005.9612817112</v>
      </c>
      <c r="X2747" s="46">
        <f t="shared" si="148"/>
        <v>4.9383590448305084</v>
      </c>
    </row>
    <row r="2748" spans="1:24" s="4" customFormat="1" ht="15" customHeight="1">
      <c r="A2748" s="79" t="s">
        <v>3955</v>
      </c>
      <c r="B2748" s="80">
        <v>3394.61</v>
      </c>
      <c r="C2748" s="81" t="s">
        <v>3997</v>
      </c>
      <c r="D2748" s="82">
        <v>4952425883</v>
      </c>
      <c r="E2748" s="82" t="s">
        <v>33</v>
      </c>
      <c r="F2748" s="82" t="s">
        <v>3998</v>
      </c>
      <c r="G2748" s="79" t="s">
        <v>5</v>
      </c>
      <c r="H2748" s="2" t="s">
        <v>20</v>
      </c>
      <c r="I2748" s="2">
        <v>1</v>
      </c>
      <c r="J2748" s="2" t="s">
        <v>3999</v>
      </c>
      <c r="K2748" s="2">
        <v>2500</v>
      </c>
      <c r="L2748" s="35">
        <f t="shared" si="146"/>
        <v>8486525</v>
      </c>
      <c r="M2748" s="36">
        <v>1650</v>
      </c>
      <c r="N2748" s="40">
        <v>99467.229037960104</v>
      </c>
      <c r="O2748" s="40">
        <v>43373.25</v>
      </c>
      <c r="P2748" s="40">
        <v>40615.717810952199</v>
      </c>
      <c r="Q2748" s="40">
        <v>12413.625</v>
      </c>
      <c r="R2748" s="40">
        <v>164000.28001890099</v>
      </c>
      <c r="S2748" s="40">
        <v>102327.202086141</v>
      </c>
      <c r="T2748" s="48"/>
      <c r="U2748" s="55">
        <v>840319.22154745401</v>
      </c>
      <c r="V2748" s="55">
        <v>0</v>
      </c>
      <c r="W2748" s="45">
        <f t="shared" si="147"/>
        <v>1302516.5255014081</v>
      </c>
      <c r="X2748" s="46">
        <f t="shared" si="148"/>
        <v>15.348055010754202</v>
      </c>
    </row>
    <row r="2749" spans="1:24" s="4" customFormat="1" ht="15" customHeight="1">
      <c r="A2749" s="79" t="s">
        <v>3955</v>
      </c>
      <c r="B2749" s="80">
        <v>3394.61</v>
      </c>
      <c r="C2749" s="81" t="s">
        <v>3997</v>
      </c>
      <c r="D2749" s="82">
        <v>4952425883</v>
      </c>
      <c r="E2749" s="82" t="s">
        <v>33</v>
      </c>
      <c r="F2749" s="82" t="s">
        <v>3998</v>
      </c>
      <c r="G2749" s="79" t="s">
        <v>5</v>
      </c>
      <c r="H2749" s="2" t="s">
        <v>20</v>
      </c>
      <c r="I2749" s="2">
        <v>1</v>
      </c>
      <c r="J2749" s="2" t="s">
        <v>3999</v>
      </c>
      <c r="K2749" s="2">
        <v>6296.4</v>
      </c>
      <c r="L2749" s="35">
        <f t="shared" si="146"/>
        <v>21373822.403999999</v>
      </c>
      <c r="M2749" s="36">
        <v>1980</v>
      </c>
      <c r="N2749" s="40">
        <v>119360.674845552</v>
      </c>
      <c r="O2749" s="40">
        <v>43373.25</v>
      </c>
      <c r="P2749" s="40">
        <v>48738.861373142703</v>
      </c>
      <c r="Q2749" s="40">
        <v>12413.625</v>
      </c>
      <c r="R2749" s="40">
        <v>196800.33602268199</v>
      </c>
      <c r="S2749" s="40">
        <v>122792.642503369</v>
      </c>
      <c r="T2749" s="48"/>
      <c r="U2749" s="55">
        <v>1008383.06585695</v>
      </c>
      <c r="V2749" s="55">
        <v>0</v>
      </c>
      <c r="W2749" s="45">
        <f t="shared" si="147"/>
        <v>1551862.4556016957</v>
      </c>
      <c r="X2749" s="46">
        <f t="shared" si="148"/>
        <v>7.2605752320243511</v>
      </c>
    </row>
    <row r="2750" spans="1:24" s="4" customFormat="1" ht="15" customHeight="1">
      <c r="A2750" s="79" t="s">
        <v>3955</v>
      </c>
      <c r="B2750" s="80">
        <v>3394.61</v>
      </c>
      <c r="C2750" s="81" t="s">
        <v>3997</v>
      </c>
      <c r="D2750" s="82">
        <v>4952425883</v>
      </c>
      <c r="E2750" s="82" t="s">
        <v>33</v>
      </c>
      <c r="F2750" s="82" t="s">
        <v>3998</v>
      </c>
      <c r="G2750" s="79" t="s">
        <v>5</v>
      </c>
      <c r="H2750" s="2" t="s">
        <v>20</v>
      </c>
      <c r="I2750" s="2">
        <v>1</v>
      </c>
      <c r="J2750" s="2" t="s">
        <v>3999</v>
      </c>
      <c r="K2750" s="2">
        <v>3200</v>
      </c>
      <c r="L2750" s="35">
        <f t="shared" si="146"/>
        <v>10862752</v>
      </c>
      <c r="M2750" s="36">
        <v>200</v>
      </c>
      <c r="N2750" s="40">
        <v>12056.633822783</v>
      </c>
      <c r="O2750" s="40">
        <v>43373.25</v>
      </c>
      <c r="P2750" s="40">
        <v>4923.11731041845</v>
      </c>
      <c r="Q2750" s="40">
        <v>12413.625</v>
      </c>
      <c r="R2750" s="40">
        <v>19878.821820472898</v>
      </c>
      <c r="S2750" s="40">
        <v>12403.2972225625</v>
      </c>
      <c r="T2750" s="48"/>
      <c r="U2750" s="55">
        <v>101856.875339085</v>
      </c>
      <c r="V2750" s="55">
        <v>0</v>
      </c>
      <c r="W2750" s="45">
        <f t="shared" si="147"/>
        <v>206905.62051532185</v>
      </c>
      <c r="X2750" s="46">
        <f t="shared" si="148"/>
        <v>1.9047256212359618</v>
      </c>
    </row>
    <row r="2751" spans="1:24" s="4" customFormat="1" ht="15" customHeight="1">
      <c r="A2751" s="79" t="s">
        <v>3955</v>
      </c>
      <c r="B2751" s="80">
        <v>3394.61</v>
      </c>
      <c r="C2751" s="81" t="s">
        <v>3997</v>
      </c>
      <c r="D2751" s="82">
        <v>4952425883</v>
      </c>
      <c r="E2751" s="82" t="s">
        <v>33</v>
      </c>
      <c r="F2751" s="82" t="s">
        <v>3998</v>
      </c>
      <c r="G2751" s="79" t="s">
        <v>5</v>
      </c>
      <c r="H2751" s="2" t="s">
        <v>20</v>
      </c>
      <c r="I2751" s="2">
        <v>1</v>
      </c>
      <c r="J2751" s="2" t="s">
        <v>3999</v>
      </c>
      <c r="K2751" s="2">
        <v>1248</v>
      </c>
      <c r="L2751" s="35">
        <f t="shared" si="146"/>
        <v>4236473.28</v>
      </c>
      <c r="M2751" s="36">
        <v>65</v>
      </c>
      <c r="N2751" s="40">
        <v>3918.40599240449</v>
      </c>
      <c r="O2751" s="40">
        <v>43373.25</v>
      </c>
      <c r="P2751" s="40">
        <v>1600.0131258859999</v>
      </c>
      <c r="Q2751" s="40">
        <v>12413.625</v>
      </c>
      <c r="R2751" s="40">
        <v>6460.6170916536903</v>
      </c>
      <c r="S2751" s="40">
        <v>4031.0715973328201</v>
      </c>
      <c r="T2751" s="48"/>
      <c r="U2751" s="55">
        <v>33103.484485202804</v>
      </c>
      <c r="V2751" s="55">
        <v>0</v>
      </c>
      <c r="W2751" s="45">
        <f t="shared" si="147"/>
        <v>104900.46729247981</v>
      </c>
      <c r="X2751" s="46">
        <f t="shared" si="148"/>
        <v>2.4761272020221452</v>
      </c>
    </row>
    <row r="2752" spans="1:24" s="4" customFormat="1" ht="15" customHeight="1">
      <c r="A2752" s="79" t="s">
        <v>3955</v>
      </c>
      <c r="B2752" s="80">
        <v>3394.61</v>
      </c>
      <c r="C2752" s="81" t="s">
        <v>3997</v>
      </c>
      <c r="D2752" s="82">
        <v>4952425883</v>
      </c>
      <c r="E2752" s="82" t="s">
        <v>33</v>
      </c>
      <c r="F2752" s="82" t="s">
        <v>3998</v>
      </c>
      <c r="G2752" s="79" t="s">
        <v>5</v>
      </c>
      <c r="H2752" s="2" t="s">
        <v>20</v>
      </c>
      <c r="I2752" s="2">
        <v>1</v>
      </c>
      <c r="J2752" s="2" t="s">
        <v>3999</v>
      </c>
      <c r="K2752" s="2">
        <v>4717</v>
      </c>
      <c r="L2752" s="35">
        <f t="shared" si="146"/>
        <v>16012375.370000001</v>
      </c>
      <c r="M2752" s="36">
        <v>53</v>
      </c>
      <c r="N2752" s="40">
        <v>79875.199075937606</v>
      </c>
      <c r="O2752" s="40">
        <v>43373.25</v>
      </c>
      <c r="P2752" s="40">
        <v>32615.652181522299</v>
      </c>
      <c r="Q2752" s="40">
        <v>12413.625</v>
      </c>
      <c r="R2752" s="40">
        <v>131697.19456063301</v>
      </c>
      <c r="S2752" s="40">
        <v>82171.844099476701</v>
      </c>
      <c r="T2752" s="48"/>
      <c r="U2752" s="55">
        <v>674801.79912144097</v>
      </c>
      <c r="V2752" s="55">
        <v>0</v>
      </c>
      <c r="W2752" s="45">
        <f t="shared" si="147"/>
        <v>1056948.5640390106</v>
      </c>
      <c r="X2752" s="46">
        <f t="shared" si="148"/>
        <v>6.60082304852319</v>
      </c>
    </row>
    <row r="2753" spans="1:24" s="4" customFormat="1" ht="15" customHeight="1">
      <c r="A2753" s="79" t="s">
        <v>3955</v>
      </c>
      <c r="B2753" s="80">
        <v>3394.61</v>
      </c>
      <c r="C2753" s="81" t="s">
        <v>3997</v>
      </c>
      <c r="D2753" s="82">
        <v>4952425883</v>
      </c>
      <c r="E2753" s="82" t="s">
        <v>33</v>
      </c>
      <c r="F2753" s="82" t="s">
        <v>3998</v>
      </c>
      <c r="G2753" s="79" t="s">
        <v>5</v>
      </c>
      <c r="H2753" s="2" t="s">
        <v>20</v>
      </c>
      <c r="I2753" s="2">
        <v>1</v>
      </c>
      <c r="J2753" s="2" t="s">
        <v>3999</v>
      </c>
      <c r="K2753" s="2">
        <v>1225.6300000000001</v>
      </c>
      <c r="L2753" s="35">
        <f t="shared" si="146"/>
        <v>4160535.8543000007</v>
      </c>
      <c r="M2753" s="36">
        <v>53</v>
      </c>
      <c r="N2753" s="40">
        <v>7987.5199075937599</v>
      </c>
      <c r="O2753" s="40">
        <v>43373.25</v>
      </c>
      <c r="P2753" s="40">
        <v>3261.56521815223</v>
      </c>
      <c r="Q2753" s="40">
        <v>12413.625</v>
      </c>
      <c r="R2753" s="40">
        <v>13169.7194560633</v>
      </c>
      <c r="S2753" s="40">
        <v>8217.1844099476693</v>
      </c>
      <c r="T2753" s="48"/>
      <c r="U2753" s="55">
        <v>67480.1799121441</v>
      </c>
      <c r="V2753" s="55">
        <v>0</v>
      </c>
      <c r="W2753" s="45">
        <f t="shared" si="147"/>
        <v>155903.04390390107</v>
      </c>
      <c r="X2753" s="46">
        <f t="shared" si="148"/>
        <v>3.7471866452676283</v>
      </c>
    </row>
    <row r="2754" spans="1:24" s="4" customFormat="1" ht="15" customHeight="1">
      <c r="A2754" s="79" t="s">
        <v>3955</v>
      </c>
      <c r="B2754" s="80">
        <v>3394.61</v>
      </c>
      <c r="C2754" s="81" t="s">
        <v>3997</v>
      </c>
      <c r="D2754" s="82">
        <v>4952425883</v>
      </c>
      <c r="E2754" s="82" t="s">
        <v>33</v>
      </c>
      <c r="F2754" s="82" t="s">
        <v>3998</v>
      </c>
      <c r="G2754" s="79" t="s">
        <v>5</v>
      </c>
      <c r="H2754" s="2" t="s">
        <v>20</v>
      </c>
      <c r="I2754" s="2">
        <v>1</v>
      </c>
      <c r="J2754" s="2" t="s">
        <v>3999</v>
      </c>
      <c r="K2754" s="2">
        <v>1170.8800000000001</v>
      </c>
      <c r="L2754" s="35">
        <f t="shared" si="146"/>
        <v>3974680.9568000007</v>
      </c>
      <c r="M2754" s="36">
        <v>328.9</v>
      </c>
      <c r="N2754" s="40">
        <v>19827.1343215667</v>
      </c>
      <c r="O2754" s="40">
        <v>43373.25</v>
      </c>
      <c r="P2754" s="40">
        <v>8096.0664169831498</v>
      </c>
      <c r="Q2754" s="40">
        <v>12413.625</v>
      </c>
      <c r="R2754" s="40">
        <v>32690.722483767699</v>
      </c>
      <c r="S2754" s="40">
        <v>20397.222282504099</v>
      </c>
      <c r="T2754" s="48"/>
      <c r="U2754" s="55">
        <v>167503.631495126</v>
      </c>
      <c r="V2754" s="55">
        <v>0</v>
      </c>
      <c r="W2754" s="45">
        <f t="shared" si="147"/>
        <v>304301.65199994761</v>
      </c>
      <c r="X2754" s="46">
        <f t="shared" si="148"/>
        <v>7.656001961096762</v>
      </c>
    </row>
    <row r="2755" spans="1:24" s="4" customFormat="1" ht="15" customHeight="1">
      <c r="A2755" s="79" t="s">
        <v>3955</v>
      </c>
      <c r="B2755" s="80">
        <v>3394.61</v>
      </c>
      <c r="C2755" s="81" t="s">
        <v>3997</v>
      </c>
      <c r="D2755" s="82">
        <v>4952425883</v>
      </c>
      <c r="E2755" s="82" t="s">
        <v>33</v>
      </c>
      <c r="F2755" s="82" t="s">
        <v>3998</v>
      </c>
      <c r="G2755" s="79" t="s">
        <v>5</v>
      </c>
      <c r="H2755" s="2" t="s">
        <v>20</v>
      </c>
      <c r="I2755" s="2">
        <v>1</v>
      </c>
      <c r="J2755" s="2" t="s">
        <v>3999</v>
      </c>
      <c r="K2755" s="2">
        <v>435.83</v>
      </c>
      <c r="L2755" s="35">
        <f t="shared" si="146"/>
        <v>1479472.8762999999</v>
      </c>
      <c r="M2755" s="36">
        <v>32.5</v>
      </c>
      <c r="N2755" s="40">
        <v>1959.20299620224</v>
      </c>
      <c r="O2755" s="40">
        <v>43373.25</v>
      </c>
      <c r="P2755" s="40">
        <v>800.00656294299904</v>
      </c>
      <c r="Q2755" s="40">
        <v>12413.625</v>
      </c>
      <c r="R2755" s="40">
        <v>3230.3085458268401</v>
      </c>
      <c r="S2755" s="40">
        <v>2015.5357986664101</v>
      </c>
      <c r="T2755" s="48"/>
      <c r="U2755" s="55">
        <v>16551.742242601402</v>
      </c>
      <c r="V2755" s="55">
        <v>0</v>
      </c>
      <c r="W2755" s="45">
        <f t="shared" si="147"/>
        <v>80343.671146239882</v>
      </c>
      <c r="X2755" s="46">
        <f t="shared" si="148"/>
        <v>5.4305606025823616</v>
      </c>
    </row>
    <row r="2756" spans="1:24" s="4" customFormat="1" ht="15" customHeight="1">
      <c r="A2756" s="79" t="s">
        <v>3955</v>
      </c>
      <c r="B2756" s="80">
        <v>3394.61</v>
      </c>
      <c r="C2756" s="81" t="s">
        <v>4000</v>
      </c>
      <c r="D2756" s="82">
        <v>4952102839</v>
      </c>
      <c r="E2756" s="82" t="s">
        <v>14</v>
      </c>
      <c r="F2756" s="82" t="s">
        <v>4001</v>
      </c>
      <c r="G2756" s="79" t="s">
        <v>5</v>
      </c>
      <c r="H2756" s="2" t="s">
        <v>26</v>
      </c>
      <c r="I2756" s="2">
        <v>1</v>
      </c>
      <c r="J2756" s="2" t="s">
        <v>4002</v>
      </c>
      <c r="K2756" s="2">
        <v>31824</v>
      </c>
      <c r="L2756" s="35">
        <f t="shared" si="146"/>
        <v>108030068.64</v>
      </c>
      <c r="M2756" s="36">
        <v>18720</v>
      </c>
      <c r="N2756" s="40">
        <v>356072</v>
      </c>
      <c r="O2756" s="40">
        <v>424285</v>
      </c>
      <c r="P2756" s="40">
        <v>807917</v>
      </c>
      <c r="Q2756" s="40">
        <v>99309</v>
      </c>
      <c r="R2756" s="40">
        <v>739007</v>
      </c>
      <c r="S2756" s="40">
        <v>354356</v>
      </c>
      <c r="T2756" s="40">
        <v>30000</v>
      </c>
      <c r="U2756" s="40">
        <v>0</v>
      </c>
      <c r="V2756" s="40">
        <v>0</v>
      </c>
      <c r="W2756" s="45">
        <f t="shared" si="147"/>
        <v>2810946</v>
      </c>
      <c r="X2756" s="46">
        <f t="shared" si="148"/>
        <v>2.6020033453530536</v>
      </c>
    </row>
    <row r="2757" spans="1:24" s="4" customFormat="1" ht="15" customHeight="1">
      <c r="A2757" s="79" t="s">
        <v>3955</v>
      </c>
      <c r="B2757" s="80">
        <v>3394.61</v>
      </c>
      <c r="C2757" s="81" t="s">
        <v>4003</v>
      </c>
      <c r="D2757" s="82">
        <v>4952292335</v>
      </c>
      <c r="E2757" s="82" t="s">
        <v>14</v>
      </c>
      <c r="F2757" s="82" t="s">
        <v>4004</v>
      </c>
      <c r="G2757" s="79" t="s">
        <v>5</v>
      </c>
      <c r="H2757" s="2" t="s">
        <v>17</v>
      </c>
      <c r="I2757" s="2">
        <v>1</v>
      </c>
      <c r="J2757" s="2" t="s">
        <v>4005</v>
      </c>
      <c r="K2757" s="2">
        <v>15420</v>
      </c>
      <c r="L2757" s="35">
        <f t="shared" si="146"/>
        <v>52344886.200000003</v>
      </c>
      <c r="M2757" s="36">
        <v>1200</v>
      </c>
      <c r="N2757" s="40">
        <v>25564.330392943099</v>
      </c>
      <c r="O2757" s="40">
        <v>41382.272727272699</v>
      </c>
      <c r="P2757" s="40">
        <v>0</v>
      </c>
      <c r="Q2757" s="40">
        <v>9028.0909090909099</v>
      </c>
      <c r="R2757" s="40">
        <v>46710.505212509997</v>
      </c>
      <c r="S2757" s="40">
        <v>22733.344025661601</v>
      </c>
      <c r="T2757" s="40">
        <v>30000</v>
      </c>
      <c r="U2757" s="40">
        <v>361863.672814755</v>
      </c>
      <c r="V2757" s="40">
        <v>0</v>
      </c>
      <c r="W2757" s="45">
        <f t="shared" si="147"/>
        <v>537282.21608223324</v>
      </c>
      <c r="X2757" s="46">
        <f t="shared" si="148"/>
        <v>1.0264273266912427</v>
      </c>
    </row>
    <row r="2758" spans="1:24" s="4" customFormat="1" ht="15" customHeight="1">
      <c r="A2758" s="79" t="s">
        <v>3955</v>
      </c>
      <c r="B2758" s="80">
        <v>3394.61</v>
      </c>
      <c r="C2758" s="81" t="s">
        <v>4003</v>
      </c>
      <c r="D2758" s="82">
        <v>4951874493</v>
      </c>
      <c r="E2758" s="82" t="s">
        <v>14</v>
      </c>
      <c r="F2758" s="82" t="s">
        <v>4004</v>
      </c>
      <c r="G2758" s="79" t="s">
        <v>5</v>
      </c>
      <c r="H2758" s="2" t="s">
        <v>17</v>
      </c>
      <c r="I2758" s="2">
        <v>1</v>
      </c>
      <c r="J2758" s="2" t="s">
        <v>4005</v>
      </c>
      <c r="K2758" s="2">
        <v>6602.4</v>
      </c>
      <c r="L2758" s="35">
        <f t="shared" si="146"/>
        <v>22412573.063999999</v>
      </c>
      <c r="M2758" s="36">
        <v>2520</v>
      </c>
      <c r="N2758" s="40">
        <v>53685.093825180396</v>
      </c>
      <c r="O2758" s="40">
        <v>41382.272727272699</v>
      </c>
      <c r="P2758" s="40">
        <v>0</v>
      </c>
      <c r="Q2758" s="40">
        <v>9028.0909090909099</v>
      </c>
      <c r="R2758" s="40">
        <v>98092.0609462711</v>
      </c>
      <c r="S2758" s="40">
        <v>47740.022453889302</v>
      </c>
      <c r="T2758" s="40">
        <v>30000</v>
      </c>
      <c r="U2758" s="40">
        <v>759913.71291098604</v>
      </c>
      <c r="V2758" s="40">
        <v>0</v>
      </c>
      <c r="W2758" s="45">
        <f t="shared" si="147"/>
        <v>1039841.2537726904</v>
      </c>
      <c r="X2758" s="46">
        <f t="shared" si="148"/>
        <v>4.6395442897314023</v>
      </c>
    </row>
    <row r="2759" spans="1:24" s="4" customFormat="1" ht="15" customHeight="1">
      <c r="A2759" s="79" t="s">
        <v>3955</v>
      </c>
      <c r="B2759" s="80">
        <v>3394.61</v>
      </c>
      <c r="C2759" s="81" t="s">
        <v>4003</v>
      </c>
      <c r="D2759" s="82">
        <v>4951726540</v>
      </c>
      <c r="E2759" s="82" t="s">
        <v>14</v>
      </c>
      <c r="F2759" s="82" t="s">
        <v>4004</v>
      </c>
      <c r="G2759" s="79" t="s">
        <v>5</v>
      </c>
      <c r="H2759" s="2" t="s">
        <v>17</v>
      </c>
      <c r="I2759" s="2">
        <v>1</v>
      </c>
      <c r="J2759" s="2" t="s">
        <v>4005</v>
      </c>
      <c r="K2759" s="2">
        <f>2583+2583</f>
        <v>5166</v>
      </c>
      <c r="L2759" s="35">
        <f t="shared" si="146"/>
        <v>17536555.260000002</v>
      </c>
      <c r="M2759" s="36">
        <f>900+900</f>
        <v>1800</v>
      </c>
      <c r="N2759" s="40">
        <v>38346.495589414597</v>
      </c>
      <c r="O2759" s="40">
        <v>41382.272727272699</v>
      </c>
      <c r="P2759" s="40">
        <v>0</v>
      </c>
      <c r="Q2759" s="40">
        <v>9028.0909090909099</v>
      </c>
      <c r="R2759" s="40">
        <v>70065.757818765007</v>
      </c>
      <c r="S2759" s="40">
        <v>34100.016038492402</v>
      </c>
      <c r="T2759" s="40">
        <v>30000</v>
      </c>
      <c r="U2759" s="40">
        <v>542795.50922213297</v>
      </c>
      <c r="V2759" s="40">
        <v>0</v>
      </c>
      <c r="W2759" s="45">
        <f t="shared" si="147"/>
        <v>765718.14230516856</v>
      </c>
      <c r="X2759" s="46">
        <f t="shared" si="148"/>
        <v>4.3664113672981886</v>
      </c>
    </row>
    <row r="2760" spans="1:24" s="4" customFormat="1" ht="15" customHeight="1">
      <c r="A2760" s="79" t="s">
        <v>3955</v>
      </c>
      <c r="B2760" s="80">
        <v>3394.61</v>
      </c>
      <c r="C2760" s="81" t="s">
        <v>4003</v>
      </c>
      <c r="D2760" s="82">
        <v>4952461137</v>
      </c>
      <c r="E2760" s="82" t="s">
        <v>14</v>
      </c>
      <c r="F2760" s="82" t="s">
        <v>4004</v>
      </c>
      <c r="G2760" s="79" t="s">
        <v>5</v>
      </c>
      <c r="H2760" s="2" t="s">
        <v>17</v>
      </c>
      <c r="I2760" s="2">
        <v>1</v>
      </c>
      <c r="J2760" s="2" t="s">
        <v>4005</v>
      </c>
      <c r="K2760" s="2">
        <v>329.7</v>
      </c>
      <c r="L2760" s="35">
        <f t="shared" si="146"/>
        <v>1119202.9169999999</v>
      </c>
      <c r="M2760" s="36">
        <v>30</v>
      </c>
      <c r="N2760" s="40">
        <v>639.10825982357699</v>
      </c>
      <c r="O2760" s="40">
        <v>41382.272727272699</v>
      </c>
      <c r="P2760" s="40">
        <v>0</v>
      </c>
      <c r="Q2760" s="40">
        <v>9028.0909090909099</v>
      </c>
      <c r="R2760" s="40">
        <v>1167.7626303127499</v>
      </c>
      <c r="S2760" s="40">
        <v>568.33360064153999</v>
      </c>
      <c r="T2760" s="40">
        <v>30000</v>
      </c>
      <c r="U2760" s="40">
        <v>9046.5918203688907</v>
      </c>
      <c r="V2760" s="40">
        <v>0</v>
      </c>
      <c r="W2760" s="45">
        <f t="shared" si="147"/>
        <v>91832.159947510372</v>
      </c>
      <c r="X2760" s="46">
        <f t="shared" si="148"/>
        <v>8.2051394392059454</v>
      </c>
    </row>
    <row r="2761" spans="1:24" s="4" customFormat="1" ht="15" customHeight="1">
      <c r="A2761" s="79" t="s">
        <v>3955</v>
      </c>
      <c r="B2761" s="80">
        <v>3394.61</v>
      </c>
      <c r="C2761" s="81" t="s">
        <v>4003</v>
      </c>
      <c r="D2761" s="82">
        <v>4952461137</v>
      </c>
      <c r="E2761" s="82" t="s">
        <v>14</v>
      </c>
      <c r="F2761" s="82" t="s">
        <v>4004</v>
      </c>
      <c r="G2761" s="79" t="s">
        <v>5</v>
      </c>
      <c r="H2761" s="2" t="s">
        <v>17</v>
      </c>
      <c r="I2761" s="2">
        <v>1</v>
      </c>
      <c r="J2761" s="2" t="s">
        <v>4005</v>
      </c>
      <c r="K2761" s="2">
        <v>3500</v>
      </c>
      <c r="L2761" s="35">
        <f t="shared" si="146"/>
        <v>11881135</v>
      </c>
      <c r="M2761" s="36">
        <f>575+1025</f>
        <v>1600</v>
      </c>
      <c r="N2761" s="40">
        <v>34085.773857257402</v>
      </c>
      <c r="O2761" s="40">
        <v>41382.272727272699</v>
      </c>
      <c r="P2761" s="40">
        <v>0</v>
      </c>
      <c r="Q2761" s="40">
        <v>9028.0909090909099</v>
      </c>
      <c r="R2761" s="40">
        <v>62280.673616679996</v>
      </c>
      <c r="S2761" s="40">
        <v>30311.125367548801</v>
      </c>
      <c r="T2761" s="40">
        <v>30000</v>
      </c>
      <c r="U2761" s="40">
        <v>482484.89708634099</v>
      </c>
      <c r="V2761" s="40">
        <v>0</v>
      </c>
      <c r="W2761" s="45">
        <f t="shared" si="147"/>
        <v>689572.83356419078</v>
      </c>
      <c r="X2761" s="46">
        <f t="shared" si="148"/>
        <v>5.8039306309051346</v>
      </c>
    </row>
    <row r="2762" spans="1:24" s="4" customFormat="1" ht="15" customHeight="1">
      <c r="A2762" s="79" t="s">
        <v>3955</v>
      </c>
      <c r="B2762" s="80">
        <v>3394.61</v>
      </c>
      <c r="C2762" s="81" t="s">
        <v>4003</v>
      </c>
      <c r="D2762" s="82">
        <v>4952628210</v>
      </c>
      <c r="E2762" s="82" t="s">
        <v>14</v>
      </c>
      <c r="F2762" s="82" t="s">
        <v>4004</v>
      </c>
      <c r="G2762" s="79" t="s">
        <v>5</v>
      </c>
      <c r="H2762" s="2" t="s">
        <v>17</v>
      </c>
      <c r="I2762" s="2">
        <v>1</v>
      </c>
      <c r="J2762" s="2" t="s">
        <v>4005</v>
      </c>
      <c r="K2762" s="2">
        <v>3952</v>
      </c>
      <c r="L2762" s="35">
        <f t="shared" si="146"/>
        <v>13415498.720000001</v>
      </c>
      <c r="M2762" s="36">
        <v>1600</v>
      </c>
      <c r="N2762" s="40">
        <v>34085.773857257402</v>
      </c>
      <c r="O2762" s="40">
        <v>41382.272727272699</v>
      </c>
      <c r="P2762" s="40">
        <v>0</v>
      </c>
      <c r="Q2762" s="40">
        <v>9028.0909090909099</v>
      </c>
      <c r="R2762" s="40">
        <v>62280.673616679996</v>
      </c>
      <c r="S2762" s="40">
        <v>30311.125367548801</v>
      </c>
      <c r="T2762" s="40">
        <v>30000</v>
      </c>
      <c r="U2762" s="40">
        <v>482484.89708634099</v>
      </c>
      <c r="V2762" s="40">
        <v>0</v>
      </c>
      <c r="W2762" s="45">
        <f t="shared" si="147"/>
        <v>689572.83356419078</v>
      </c>
      <c r="X2762" s="46">
        <f t="shared" si="148"/>
        <v>5.1401207510546483</v>
      </c>
    </row>
    <row r="2763" spans="1:24" s="4" customFormat="1" ht="15" customHeight="1">
      <c r="A2763" s="79" t="s">
        <v>3955</v>
      </c>
      <c r="B2763" s="80">
        <v>3394.61</v>
      </c>
      <c r="C2763" s="81" t="s">
        <v>4003</v>
      </c>
      <c r="D2763" s="82">
        <v>4952701160</v>
      </c>
      <c r="E2763" s="82" t="s">
        <v>14</v>
      </c>
      <c r="F2763" s="82" t="s">
        <v>4004</v>
      </c>
      <c r="G2763" s="79" t="s">
        <v>5</v>
      </c>
      <c r="H2763" s="2" t="s">
        <v>17</v>
      </c>
      <c r="I2763" s="2">
        <v>1</v>
      </c>
      <c r="J2763" s="2" t="s">
        <v>4005</v>
      </c>
      <c r="K2763" s="2">
        <v>4242</v>
      </c>
      <c r="L2763" s="35">
        <f t="shared" si="146"/>
        <v>14399935.620000001</v>
      </c>
      <c r="M2763" s="36">
        <v>1400</v>
      </c>
      <c r="N2763" s="40">
        <v>29825.052125100199</v>
      </c>
      <c r="O2763" s="40">
        <v>41382.272727272699</v>
      </c>
      <c r="P2763" s="40">
        <v>0</v>
      </c>
      <c r="Q2763" s="40">
        <v>9028.0909090909099</v>
      </c>
      <c r="R2763" s="40">
        <v>54495.589414595001</v>
      </c>
      <c r="S2763" s="40">
        <v>26522.234696605199</v>
      </c>
      <c r="T2763" s="40">
        <v>30000</v>
      </c>
      <c r="U2763" s="40">
        <v>422174.28495054803</v>
      </c>
      <c r="V2763" s="40">
        <v>0</v>
      </c>
      <c r="W2763" s="45">
        <f t="shared" si="147"/>
        <v>613427.52482321206</v>
      </c>
      <c r="X2763" s="46">
        <f t="shared" si="148"/>
        <v>4.2599324122756874</v>
      </c>
    </row>
    <row r="2764" spans="1:24" s="4" customFormat="1" ht="15" customHeight="1">
      <c r="A2764" s="79" t="s">
        <v>3955</v>
      </c>
      <c r="B2764" s="80">
        <v>3394.61</v>
      </c>
      <c r="C2764" s="81" t="s">
        <v>4003</v>
      </c>
      <c r="D2764" s="82">
        <v>4952701160</v>
      </c>
      <c r="E2764" s="82" t="s">
        <v>14</v>
      </c>
      <c r="F2764" s="82" t="s">
        <v>4004</v>
      </c>
      <c r="G2764" s="79" t="s">
        <v>5</v>
      </c>
      <c r="H2764" s="2" t="s">
        <v>17</v>
      </c>
      <c r="I2764" s="2">
        <v>1</v>
      </c>
      <c r="J2764" s="2" t="s">
        <v>4005</v>
      </c>
      <c r="K2764" s="2">
        <v>2736</v>
      </c>
      <c r="L2764" s="35">
        <f t="shared" si="146"/>
        <v>9287652.9600000009</v>
      </c>
      <c r="M2764" s="36">
        <v>800</v>
      </c>
      <c r="N2764" s="40">
        <v>17042.886928628701</v>
      </c>
      <c r="O2764" s="40">
        <v>41382.272727272699</v>
      </c>
      <c r="P2764" s="40">
        <v>0</v>
      </c>
      <c r="Q2764" s="40">
        <v>9028.0909090909099</v>
      </c>
      <c r="R2764" s="40">
        <v>31140.336808339998</v>
      </c>
      <c r="S2764" s="40">
        <v>15155.5626837744</v>
      </c>
      <c r="T2764" s="40">
        <v>30000</v>
      </c>
      <c r="U2764" s="40">
        <v>241242.44854317</v>
      </c>
      <c r="V2764" s="40">
        <v>0</v>
      </c>
      <c r="W2764" s="45">
        <f t="shared" si="147"/>
        <v>384991.59860027675</v>
      </c>
      <c r="X2764" s="46">
        <f t="shared" si="148"/>
        <v>4.1451979338413683</v>
      </c>
    </row>
    <row r="2765" spans="1:24" s="4" customFormat="1" ht="15" customHeight="1">
      <c r="A2765" s="79" t="s">
        <v>3955</v>
      </c>
      <c r="B2765" s="80">
        <v>3394.61</v>
      </c>
      <c r="C2765" s="81" t="s">
        <v>4003</v>
      </c>
      <c r="D2765" s="82">
        <v>4952701160</v>
      </c>
      <c r="E2765" s="82" t="s">
        <v>14</v>
      </c>
      <c r="F2765" s="82" t="s">
        <v>4004</v>
      </c>
      <c r="G2765" s="79" t="s">
        <v>5</v>
      </c>
      <c r="H2765" s="2" t="s">
        <v>17</v>
      </c>
      <c r="I2765" s="2">
        <v>1</v>
      </c>
      <c r="J2765" s="2" t="s">
        <v>4005</v>
      </c>
      <c r="K2765" s="2">
        <v>7119</v>
      </c>
      <c r="L2765" s="35">
        <f t="shared" si="146"/>
        <v>24166228.59</v>
      </c>
      <c r="M2765" s="36">
        <v>1575</v>
      </c>
      <c r="N2765" s="40">
        <v>33553.1836407378</v>
      </c>
      <c r="O2765" s="40">
        <v>41382.272727272699</v>
      </c>
      <c r="P2765" s="40">
        <v>0</v>
      </c>
      <c r="Q2765" s="40">
        <v>9028.0909090909099</v>
      </c>
      <c r="R2765" s="40">
        <v>61307.538091419403</v>
      </c>
      <c r="S2765" s="40">
        <v>29837.5140336808</v>
      </c>
      <c r="T2765" s="40">
        <v>30000</v>
      </c>
      <c r="U2765" s="40">
        <v>474946.07056936598</v>
      </c>
      <c r="V2765" s="40">
        <v>0</v>
      </c>
      <c r="W2765" s="45">
        <f t="shared" si="147"/>
        <v>680054.66997156758</v>
      </c>
      <c r="X2765" s="46">
        <f t="shared" si="148"/>
        <v>2.8140703355465844</v>
      </c>
    </row>
    <row r="2766" spans="1:24" s="4" customFormat="1" ht="15" customHeight="1">
      <c r="A2766" s="79" t="s">
        <v>3955</v>
      </c>
      <c r="B2766" s="80">
        <v>3394.61</v>
      </c>
      <c r="C2766" s="81" t="s">
        <v>4003</v>
      </c>
      <c r="D2766" s="82">
        <v>4951874493</v>
      </c>
      <c r="E2766" s="82" t="s">
        <v>14</v>
      </c>
      <c r="F2766" s="82" t="s">
        <v>4004</v>
      </c>
      <c r="G2766" s="79" t="s">
        <v>5</v>
      </c>
      <c r="H2766" s="2" t="s">
        <v>17</v>
      </c>
      <c r="I2766" s="2">
        <v>1</v>
      </c>
      <c r="J2766" s="2" t="s">
        <v>4005</v>
      </c>
      <c r="K2766" s="2">
        <v>2500</v>
      </c>
      <c r="L2766" s="35">
        <f t="shared" si="146"/>
        <v>8486525</v>
      </c>
      <c r="M2766" s="36">
        <f>840+840</f>
        <v>1680</v>
      </c>
      <c r="N2766" s="40">
        <v>17895.031275060101</v>
      </c>
      <c r="O2766" s="40">
        <v>41382.272727272699</v>
      </c>
      <c r="P2766" s="40">
        <v>0</v>
      </c>
      <c r="Q2766" s="40">
        <v>9028.0909090909099</v>
      </c>
      <c r="R2766" s="40">
        <v>32697.353648757002</v>
      </c>
      <c r="S2766" s="40">
        <v>15913.340817963101</v>
      </c>
      <c r="T2766" s="40">
        <v>30000</v>
      </c>
      <c r="U2766" s="40">
        <v>253304.57097032899</v>
      </c>
      <c r="V2766" s="40">
        <v>0</v>
      </c>
      <c r="W2766" s="45">
        <f t="shared" si="147"/>
        <v>400220.66034847277</v>
      </c>
      <c r="X2766" s="46">
        <f t="shared" si="148"/>
        <v>4.7159545320195573</v>
      </c>
    </row>
    <row r="2767" spans="1:24" s="4" customFormat="1" ht="15" customHeight="1">
      <c r="A2767" s="79" t="s">
        <v>3955</v>
      </c>
      <c r="B2767" s="80">
        <v>3394.61</v>
      </c>
      <c r="C2767" s="81" t="s">
        <v>4003</v>
      </c>
      <c r="D2767" s="82">
        <v>4952351996</v>
      </c>
      <c r="E2767" s="82" t="s">
        <v>14</v>
      </c>
      <c r="F2767" s="82" t="s">
        <v>4004</v>
      </c>
      <c r="G2767" s="79" t="s">
        <v>5</v>
      </c>
      <c r="H2767" s="2" t="s">
        <v>17</v>
      </c>
      <c r="I2767" s="2">
        <v>1</v>
      </c>
      <c r="J2767" s="2" t="s">
        <v>4005</v>
      </c>
      <c r="K2767" s="2">
        <v>12195</v>
      </c>
      <c r="L2767" s="35">
        <f t="shared" si="146"/>
        <v>41397268.950000003</v>
      </c>
      <c r="M2767" s="36">
        <v>4500</v>
      </c>
      <c r="N2767" s="40">
        <v>17895.031275060101</v>
      </c>
      <c r="O2767" s="40">
        <v>41382.272727272699</v>
      </c>
      <c r="P2767" s="40">
        <v>0</v>
      </c>
      <c r="Q2767" s="40">
        <v>9028.0909090909099</v>
      </c>
      <c r="R2767" s="40">
        <v>32697.353648757002</v>
      </c>
      <c r="S2767" s="40">
        <v>15913.340817963101</v>
      </c>
      <c r="T2767" s="40">
        <v>30000</v>
      </c>
      <c r="U2767" s="40">
        <v>253304.57097032899</v>
      </c>
      <c r="V2767" s="40">
        <v>0</v>
      </c>
      <c r="W2767" s="45">
        <f t="shared" si="147"/>
        <v>400220.66034847277</v>
      </c>
      <c r="X2767" s="46">
        <f t="shared" si="148"/>
        <v>0.96678034686747782</v>
      </c>
    </row>
    <row r="2768" spans="1:24" s="4" customFormat="1" ht="15" customHeight="1">
      <c r="A2768" s="79" t="s">
        <v>3955</v>
      </c>
      <c r="B2768" s="80">
        <v>3394.61</v>
      </c>
      <c r="C2768" s="81" t="s">
        <v>4006</v>
      </c>
      <c r="D2768" s="82">
        <v>4952809792</v>
      </c>
      <c r="E2768" s="82" t="s">
        <v>18</v>
      </c>
      <c r="F2768" s="82" t="s">
        <v>4007</v>
      </c>
      <c r="G2768" s="79" t="s">
        <v>5</v>
      </c>
      <c r="H2768" s="2" t="s">
        <v>17</v>
      </c>
      <c r="I2768" s="2">
        <v>1</v>
      </c>
      <c r="J2768" s="2" t="s">
        <v>4008</v>
      </c>
      <c r="K2768" s="2">
        <v>9390</v>
      </c>
      <c r="L2768" s="35">
        <f t="shared" si="146"/>
        <v>31875387.900000002</v>
      </c>
      <c r="M2768" s="36">
        <v>3000</v>
      </c>
      <c r="N2768" s="40">
        <v>86113</v>
      </c>
      <c r="O2768" s="40">
        <v>151735</v>
      </c>
      <c r="P2768" s="40">
        <v>0</v>
      </c>
      <c r="Q2768" s="40">
        <v>33103</v>
      </c>
      <c r="R2768" s="40">
        <v>172797.25</v>
      </c>
      <c r="S2768" s="40">
        <v>88589</v>
      </c>
      <c r="T2768" s="40">
        <v>30000</v>
      </c>
      <c r="U2768" s="40">
        <v>1204012.5</v>
      </c>
      <c r="V2768" s="40">
        <v>0</v>
      </c>
      <c r="W2768" s="45">
        <f t="shared" si="147"/>
        <v>1766349.75</v>
      </c>
      <c r="X2768" s="46">
        <f t="shared" si="148"/>
        <v>5.5414219759189187</v>
      </c>
    </row>
    <row r="2769" spans="1:24" s="4" customFormat="1" ht="15" customHeight="1">
      <c r="A2769" s="79" t="s">
        <v>3955</v>
      </c>
      <c r="B2769" s="80">
        <v>3394.61</v>
      </c>
      <c r="C2769" s="81" t="s">
        <v>4006</v>
      </c>
      <c r="D2769" s="82">
        <v>4952809799</v>
      </c>
      <c r="E2769" s="82" t="s">
        <v>18</v>
      </c>
      <c r="F2769" s="82" t="s">
        <v>4007</v>
      </c>
      <c r="G2769" s="79" t="s">
        <v>5</v>
      </c>
      <c r="H2769" s="2" t="s">
        <v>17</v>
      </c>
      <c r="I2769" s="2">
        <v>1</v>
      </c>
      <c r="J2769" s="2" t="s">
        <v>4008</v>
      </c>
      <c r="K2769" s="2">
        <v>7400</v>
      </c>
      <c r="L2769" s="35">
        <f t="shared" si="146"/>
        <v>25120114</v>
      </c>
      <c r="M2769" s="36">
        <v>2000</v>
      </c>
      <c r="N2769" s="40">
        <v>57408.666666666701</v>
      </c>
      <c r="O2769" s="40">
        <v>151735</v>
      </c>
      <c r="P2769" s="40">
        <v>0</v>
      </c>
      <c r="Q2769" s="40">
        <v>33103</v>
      </c>
      <c r="R2769" s="40">
        <v>115198.16666666701</v>
      </c>
      <c r="S2769" s="40">
        <v>59059.333333333299</v>
      </c>
      <c r="T2769" s="40">
        <v>30000</v>
      </c>
      <c r="U2769" s="40">
        <v>802675</v>
      </c>
      <c r="V2769" s="40">
        <v>0</v>
      </c>
      <c r="W2769" s="45">
        <f t="shared" si="147"/>
        <v>1249179.166666667</v>
      </c>
      <c r="X2769" s="46">
        <f t="shared" si="148"/>
        <v>4.9728244333073768</v>
      </c>
    </row>
    <row r="2770" spans="1:24" s="4" customFormat="1" ht="15" customHeight="1">
      <c r="A2770" s="79" t="s">
        <v>3955</v>
      </c>
      <c r="B2770" s="80">
        <v>3394.61</v>
      </c>
      <c r="C2770" s="81" t="s">
        <v>4006</v>
      </c>
      <c r="D2770" s="82">
        <v>4952809791</v>
      </c>
      <c r="E2770" s="82" t="s">
        <v>18</v>
      </c>
      <c r="F2770" s="82" t="s">
        <v>4007</v>
      </c>
      <c r="G2770" s="79" t="s">
        <v>5</v>
      </c>
      <c r="H2770" s="2" t="s">
        <v>17</v>
      </c>
      <c r="I2770" s="2">
        <v>1</v>
      </c>
      <c r="J2770" s="2" t="s">
        <v>4008</v>
      </c>
      <c r="K2770" s="2">
        <v>24710</v>
      </c>
      <c r="L2770" s="35">
        <f t="shared" si="146"/>
        <v>83880813.100000009</v>
      </c>
      <c r="M2770" s="36">
        <v>7000</v>
      </c>
      <c r="N2770" s="40">
        <v>200930.33333333299</v>
      </c>
      <c r="O2770" s="40">
        <v>151735</v>
      </c>
      <c r="P2770" s="40">
        <v>0</v>
      </c>
      <c r="Q2770" s="40">
        <v>33103</v>
      </c>
      <c r="R2770" s="40">
        <v>403193.58333333302</v>
      </c>
      <c r="S2770" s="40">
        <v>206707.66666666701</v>
      </c>
      <c r="T2770" s="40">
        <v>30000</v>
      </c>
      <c r="U2770" s="40">
        <v>2809362.5</v>
      </c>
      <c r="V2770" s="40">
        <v>0</v>
      </c>
      <c r="W2770" s="45">
        <f t="shared" si="147"/>
        <v>3835032.083333333</v>
      </c>
      <c r="X2770" s="46">
        <f t="shared" si="148"/>
        <v>4.5720015598338692</v>
      </c>
    </row>
    <row r="2771" spans="1:24" s="4" customFormat="1" ht="15" customHeight="1">
      <c r="A2771" s="79" t="s">
        <v>3955</v>
      </c>
      <c r="B2771" s="80">
        <v>3394.61</v>
      </c>
      <c r="C2771" s="81" t="s">
        <v>4009</v>
      </c>
      <c r="D2771" s="82">
        <v>4952419589</v>
      </c>
      <c r="E2771" s="82" t="s">
        <v>36</v>
      </c>
      <c r="F2771" s="82" t="s">
        <v>4010</v>
      </c>
      <c r="G2771" s="79" t="s">
        <v>5</v>
      </c>
      <c r="H2771" s="2" t="s">
        <v>26</v>
      </c>
      <c r="I2771" s="2">
        <v>4</v>
      </c>
      <c r="J2771" s="2" t="s">
        <v>4011</v>
      </c>
      <c r="K2771" s="2">
        <v>150957</v>
      </c>
      <c r="L2771" s="35">
        <f t="shared" si="146"/>
        <v>512440141.77000004</v>
      </c>
      <c r="M2771" s="36">
        <v>99971</v>
      </c>
      <c r="N2771" s="40">
        <v>1377811</v>
      </c>
      <c r="O2771" s="40">
        <v>1240000</v>
      </c>
      <c r="P2771" s="40">
        <v>6429788</v>
      </c>
      <c r="Q2771" s="40">
        <v>248000</v>
      </c>
      <c r="R2771" s="40">
        <f>2078537+496548+3000+41530</f>
        <v>2619615</v>
      </c>
      <c r="S2771" s="40">
        <v>354356</v>
      </c>
      <c r="T2771" s="48"/>
      <c r="U2771" s="55">
        <v>0</v>
      </c>
      <c r="V2771" s="55">
        <v>0</v>
      </c>
      <c r="W2771" s="45">
        <f t="shared" si="147"/>
        <v>12269570</v>
      </c>
      <c r="X2771" s="46">
        <f t="shared" si="148"/>
        <v>2.3943420899112517</v>
      </c>
    </row>
    <row r="2772" spans="1:24" s="4" customFormat="1" ht="15" customHeight="1">
      <c r="A2772" s="79" t="s">
        <v>3955</v>
      </c>
      <c r="B2772" s="80">
        <v>3394.61</v>
      </c>
      <c r="C2772" s="81" t="s">
        <v>4012</v>
      </c>
      <c r="D2772" s="82">
        <v>4952462835</v>
      </c>
      <c r="E2772" s="82" t="s">
        <v>14</v>
      </c>
      <c r="F2772" s="82" t="s">
        <v>4013</v>
      </c>
      <c r="G2772" s="79" t="s">
        <v>9</v>
      </c>
      <c r="H2772" s="2" t="s">
        <v>23</v>
      </c>
      <c r="I2772" s="2">
        <v>1</v>
      </c>
      <c r="J2772" s="2"/>
      <c r="K2772" s="2">
        <v>24181.5</v>
      </c>
      <c r="L2772" s="35">
        <f t="shared" si="146"/>
        <v>82086761.715000004</v>
      </c>
      <c r="M2772" s="36">
        <v>1050</v>
      </c>
      <c r="N2772" s="40">
        <v>551800</v>
      </c>
      <c r="O2772" s="40">
        <v>759</v>
      </c>
      <c r="P2772" s="40">
        <v>120423</v>
      </c>
      <c r="Q2772" s="40">
        <v>17486</v>
      </c>
      <c r="R2772" s="40">
        <v>107640</v>
      </c>
      <c r="S2772" s="40">
        <v>354356</v>
      </c>
      <c r="T2772" s="40">
        <v>30000</v>
      </c>
      <c r="U2772" s="40">
        <v>501092.67734553799</v>
      </c>
      <c r="V2772" s="40">
        <v>0</v>
      </c>
      <c r="W2772" s="45">
        <f t="shared" si="147"/>
        <v>1683556.677345538</v>
      </c>
      <c r="X2772" s="46">
        <f t="shared" si="148"/>
        <v>2.0509478534318841</v>
      </c>
    </row>
    <row r="2773" spans="1:24" s="4" customFormat="1" ht="15" customHeight="1">
      <c r="A2773" s="79" t="s">
        <v>3955</v>
      </c>
      <c r="B2773" s="80">
        <v>3394.61</v>
      </c>
      <c r="C2773" s="81" t="s">
        <v>4014</v>
      </c>
      <c r="D2773" s="82">
        <v>4952701189</v>
      </c>
      <c r="E2773" s="82" t="s">
        <v>14</v>
      </c>
      <c r="F2773" s="82" t="s">
        <v>4015</v>
      </c>
      <c r="G2773" s="79" t="s">
        <v>9</v>
      </c>
      <c r="H2773" s="2" t="s">
        <v>23</v>
      </c>
      <c r="I2773" s="2">
        <v>1</v>
      </c>
      <c r="J2773" s="2"/>
      <c r="K2773" s="2">
        <v>2967</v>
      </c>
      <c r="L2773" s="35">
        <f t="shared" si="146"/>
        <v>10071807.870000001</v>
      </c>
      <c r="M2773" s="36">
        <v>60</v>
      </c>
      <c r="N2773" s="40">
        <v>457919</v>
      </c>
      <c r="O2773" s="40">
        <v>69</v>
      </c>
      <c r="P2773" s="40">
        <v>0</v>
      </c>
      <c r="Q2773" s="40">
        <v>1249</v>
      </c>
      <c r="R2773" s="40">
        <v>89788</v>
      </c>
      <c r="S2773" s="40">
        <v>354356</v>
      </c>
      <c r="T2773" s="40">
        <v>30000</v>
      </c>
      <c r="U2773" s="40">
        <v>48688.715953307401</v>
      </c>
      <c r="V2773" s="40">
        <v>0</v>
      </c>
      <c r="W2773" s="45">
        <f t="shared" si="147"/>
        <v>982069.71595330746</v>
      </c>
      <c r="X2773" s="46">
        <f t="shared" si="148"/>
        <v>9.7506796061758809</v>
      </c>
    </row>
    <row r="2774" spans="1:24" s="4" customFormat="1" ht="15" customHeight="1">
      <c r="A2774" s="79" t="s">
        <v>3955</v>
      </c>
      <c r="B2774" s="80">
        <v>3394.61</v>
      </c>
      <c r="C2774" s="81" t="s">
        <v>4016</v>
      </c>
      <c r="D2774" s="82" t="s">
        <v>4017</v>
      </c>
      <c r="E2774" s="82" t="s">
        <v>14</v>
      </c>
      <c r="F2774" s="82" t="s">
        <v>4018</v>
      </c>
      <c r="G2774" s="79" t="s">
        <v>9</v>
      </c>
      <c r="H2774" s="2" t="s">
        <v>23</v>
      </c>
      <c r="I2774" s="2">
        <v>1</v>
      </c>
      <c r="J2774" s="2"/>
      <c r="K2774" s="2">
        <v>1792</v>
      </c>
      <c r="L2774" s="35">
        <f t="shared" si="146"/>
        <v>6083141.1200000001</v>
      </c>
      <c r="M2774" s="36">
        <v>800</v>
      </c>
      <c r="N2774" s="40">
        <v>700535</v>
      </c>
      <c r="O2774" s="40">
        <v>591</v>
      </c>
      <c r="P2774" s="40">
        <v>0</v>
      </c>
      <c r="Q2774" s="40">
        <v>13544</v>
      </c>
      <c r="R2774" s="40">
        <v>98603</v>
      </c>
      <c r="S2774" s="40">
        <v>354356</v>
      </c>
      <c r="T2774" s="40">
        <v>30000</v>
      </c>
      <c r="U2774" s="40">
        <v>542075.36231884104</v>
      </c>
      <c r="V2774" s="40">
        <v>0</v>
      </c>
      <c r="W2774" s="45">
        <f t="shared" si="147"/>
        <v>1739704.362318841</v>
      </c>
      <c r="X2774" s="46">
        <f t="shared" si="148"/>
        <v>28.598783556065865</v>
      </c>
    </row>
    <row r="2775" spans="1:24" s="4" customFormat="1" ht="15" customHeight="1">
      <c r="A2775" s="79" t="s">
        <v>3955</v>
      </c>
      <c r="B2775" s="80">
        <v>3394.61</v>
      </c>
      <c r="C2775" s="81" t="s">
        <v>4019</v>
      </c>
      <c r="D2775" s="82">
        <v>4952628212</v>
      </c>
      <c r="E2775" s="82" t="s">
        <v>14</v>
      </c>
      <c r="F2775" s="82" t="s">
        <v>4020</v>
      </c>
      <c r="G2775" s="79" t="s">
        <v>9</v>
      </c>
      <c r="H2775" s="2" t="s">
        <v>23</v>
      </c>
      <c r="I2775" s="2">
        <v>1</v>
      </c>
      <c r="J2775" s="2"/>
      <c r="K2775" s="2">
        <v>22534.400000000001</v>
      </c>
      <c r="L2775" s="35">
        <f t="shared" si="146"/>
        <v>76495499.584000006</v>
      </c>
      <c r="M2775" s="36">
        <v>320</v>
      </c>
      <c r="N2775" s="40">
        <v>493378</v>
      </c>
      <c r="O2775" s="40">
        <v>242</v>
      </c>
      <c r="P2775" s="40">
        <v>0</v>
      </c>
      <c r="Q2775" s="40">
        <v>0</v>
      </c>
      <c r="R2775" s="40">
        <v>94531</v>
      </c>
      <c r="S2775" s="40">
        <v>354356</v>
      </c>
      <c r="T2775" s="40">
        <v>30000</v>
      </c>
      <c r="U2775" s="40">
        <v>259673.15175097299</v>
      </c>
      <c r="V2775" s="40">
        <v>0</v>
      </c>
      <c r="W2775" s="45">
        <f t="shared" si="147"/>
        <v>1232180.151750973</v>
      </c>
      <c r="X2775" s="46">
        <f t="shared" si="148"/>
        <v>1.6107877698058708</v>
      </c>
    </row>
    <row r="2776" spans="1:24" s="4" customFormat="1" ht="15" customHeight="1">
      <c r="A2776" s="79" t="s">
        <v>3955</v>
      </c>
      <c r="B2776" s="80">
        <v>3394.61</v>
      </c>
      <c r="C2776" s="81" t="s">
        <v>4021</v>
      </c>
      <c r="D2776" s="82">
        <v>4952973675</v>
      </c>
      <c r="E2776" s="82" t="s">
        <v>14</v>
      </c>
      <c r="F2776" s="82">
        <v>1028606076</v>
      </c>
      <c r="G2776" s="79" t="s">
        <v>13</v>
      </c>
      <c r="H2776" s="2" t="s">
        <v>23</v>
      </c>
      <c r="I2776" s="2">
        <v>1</v>
      </c>
      <c r="J2776" s="2"/>
      <c r="K2776" s="2">
        <v>318.13</v>
      </c>
      <c r="L2776" s="35">
        <f t="shared" si="146"/>
        <v>1079927.2793000001</v>
      </c>
      <c r="M2776" s="36">
        <v>0.5</v>
      </c>
      <c r="N2776" s="40">
        <v>148293</v>
      </c>
      <c r="O2776" s="40">
        <v>0</v>
      </c>
      <c r="P2776" s="40">
        <v>0</v>
      </c>
      <c r="Q2776" s="40">
        <v>0</v>
      </c>
      <c r="R2776" s="40">
        <v>593</v>
      </c>
      <c r="S2776" s="40">
        <v>354356</v>
      </c>
      <c r="T2776" s="40">
        <v>30000</v>
      </c>
      <c r="U2776" s="40">
        <v>1530.31055900621</v>
      </c>
      <c r="V2776" s="40">
        <v>0</v>
      </c>
      <c r="W2776" s="45">
        <f t="shared" si="147"/>
        <v>534772.31055900618</v>
      </c>
      <c r="X2776" s="46">
        <f t="shared" si="148"/>
        <v>49.51928901227879</v>
      </c>
    </row>
    <row r="2777" spans="1:24" s="4" customFormat="1" ht="15" customHeight="1">
      <c r="A2777" s="79" t="s">
        <v>3955</v>
      </c>
      <c r="B2777" s="80">
        <v>3394.61</v>
      </c>
      <c r="C2777" s="81" t="s">
        <v>4022</v>
      </c>
      <c r="D2777" s="82">
        <v>4953236326</v>
      </c>
      <c r="E2777" s="82" t="s">
        <v>14</v>
      </c>
      <c r="F2777" s="82">
        <v>1028606146</v>
      </c>
      <c r="G2777" s="79" t="s">
        <v>13</v>
      </c>
      <c r="H2777" s="2" t="s">
        <v>23</v>
      </c>
      <c r="I2777" s="2">
        <v>1</v>
      </c>
      <c r="J2777" s="2"/>
      <c r="K2777" s="2">
        <v>657.3</v>
      </c>
      <c r="L2777" s="35">
        <f t="shared" si="146"/>
        <v>2231277.1529999999</v>
      </c>
      <c r="M2777" s="36">
        <v>10</v>
      </c>
      <c r="N2777" s="40">
        <v>148293</v>
      </c>
      <c r="O2777" s="40">
        <v>0</v>
      </c>
      <c r="P2777" s="40">
        <v>0</v>
      </c>
      <c r="Q2777" s="40">
        <v>0</v>
      </c>
      <c r="R2777" s="40">
        <v>593</v>
      </c>
      <c r="S2777" s="40">
        <v>354356</v>
      </c>
      <c r="T2777" s="40">
        <v>30000</v>
      </c>
      <c r="U2777" s="40">
        <v>30606.211180124199</v>
      </c>
      <c r="V2777" s="40">
        <v>0</v>
      </c>
      <c r="W2777" s="45">
        <f t="shared" si="147"/>
        <v>563848.2111801242</v>
      </c>
      <c r="X2777" s="46">
        <f t="shared" si="148"/>
        <v>25.270200540619449</v>
      </c>
    </row>
    <row r="2778" spans="1:24" s="4" customFormat="1" ht="15" customHeight="1">
      <c r="A2778" s="79" t="s">
        <v>3955</v>
      </c>
      <c r="B2778" s="80">
        <v>3394.61</v>
      </c>
      <c r="C2778" s="81" t="s">
        <v>4023</v>
      </c>
      <c r="D2778" s="82">
        <v>4953293410</v>
      </c>
      <c r="E2778" s="82" t="s">
        <v>14</v>
      </c>
      <c r="F2778" s="82">
        <v>1028629613</v>
      </c>
      <c r="G2778" s="79" t="s">
        <v>13</v>
      </c>
      <c r="H2778" s="2" t="s">
        <v>23</v>
      </c>
      <c r="I2778" s="2">
        <v>1</v>
      </c>
      <c r="J2778" s="2"/>
      <c r="K2778" s="2">
        <v>402.2</v>
      </c>
      <c r="L2778" s="35">
        <f t="shared" si="146"/>
        <v>1365312.142</v>
      </c>
      <c r="M2778" s="36">
        <v>10</v>
      </c>
      <c r="N2778" s="40">
        <v>148293</v>
      </c>
      <c r="O2778" s="40">
        <v>0</v>
      </c>
      <c r="P2778" s="40">
        <v>0</v>
      </c>
      <c r="Q2778" s="40">
        <v>0</v>
      </c>
      <c r="R2778" s="40">
        <v>593</v>
      </c>
      <c r="S2778" s="40">
        <v>354356</v>
      </c>
      <c r="T2778" s="40">
        <v>30000</v>
      </c>
      <c r="U2778" s="40">
        <v>30606.211180124199</v>
      </c>
      <c r="V2778" s="40">
        <v>0</v>
      </c>
      <c r="W2778" s="45">
        <f t="shared" si="147"/>
        <v>563848.2111801242</v>
      </c>
      <c r="X2778" s="46">
        <f t="shared" si="148"/>
        <v>41.298117392712982</v>
      </c>
    </row>
    <row r="2779" spans="1:24" s="4" customFormat="1" ht="15" customHeight="1">
      <c r="A2779" s="79" t="s">
        <v>3955</v>
      </c>
      <c r="B2779" s="80">
        <v>3394.61</v>
      </c>
      <c r="C2779" s="81" t="s">
        <v>4024</v>
      </c>
      <c r="D2779" s="82">
        <v>4952465115</v>
      </c>
      <c r="E2779" s="82" t="s">
        <v>14</v>
      </c>
      <c r="F2779" s="82" t="s">
        <v>4025</v>
      </c>
      <c r="G2779" s="79" t="s">
        <v>13</v>
      </c>
      <c r="H2779" s="2" t="s">
        <v>23</v>
      </c>
      <c r="I2779" s="2">
        <v>3</v>
      </c>
      <c r="J2779" s="2"/>
      <c r="K2779" s="2">
        <v>2462.4</v>
      </c>
      <c r="L2779" s="35">
        <f t="shared" si="146"/>
        <v>8358887.6640000008</v>
      </c>
      <c r="M2779" s="36">
        <v>60</v>
      </c>
      <c r="N2779" s="40">
        <v>1177731</v>
      </c>
      <c r="O2779" s="40">
        <v>0</v>
      </c>
      <c r="P2779" s="40">
        <v>0</v>
      </c>
      <c r="Q2779" s="40">
        <v>0</v>
      </c>
      <c r="R2779" s="40">
        <v>6966</v>
      </c>
      <c r="S2779" s="40">
        <v>354356</v>
      </c>
      <c r="T2779" s="40">
        <v>30000</v>
      </c>
      <c r="U2779" s="40">
        <v>183637.26708074499</v>
      </c>
      <c r="V2779" s="40">
        <v>0</v>
      </c>
      <c r="W2779" s="45">
        <f t="shared" si="147"/>
        <v>1752690.267080745</v>
      </c>
      <c r="X2779" s="46">
        <f t="shared" si="148"/>
        <v>20.967984467948039</v>
      </c>
    </row>
    <row r="2780" spans="1:24" s="4" customFormat="1" ht="15" customHeight="1">
      <c r="A2780" s="79" t="s">
        <v>3955</v>
      </c>
      <c r="B2780" s="80">
        <v>3394.61</v>
      </c>
      <c r="C2780" s="81" t="s">
        <v>4026</v>
      </c>
      <c r="D2780" s="82">
        <v>4953184150</v>
      </c>
      <c r="E2780" s="82" t="s">
        <v>14</v>
      </c>
      <c r="F2780" s="82" t="s">
        <v>4027</v>
      </c>
      <c r="G2780" s="79" t="s">
        <v>13</v>
      </c>
      <c r="H2780" s="2" t="s">
        <v>23</v>
      </c>
      <c r="I2780" s="2">
        <v>2</v>
      </c>
      <c r="J2780" s="2"/>
      <c r="K2780" s="2">
        <v>5124</v>
      </c>
      <c r="L2780" s="35">
        <f t="shared" si="146"/>
        <v>17393981.640000001</v>
      </c>
      <c r="M2780" s="36">
        <v>1200</v>
      </c>
      <c r="N2780" s="40">
        <v>835618</v>
      </c>
      <c r="O2780" s="40">
        <v>0</v>
      </c>
      <c r="P2780" s="40">
        <v>0</v>
      </c>
      <c r="Q2780" s="40">
        <v>0</v>
      </c>
      <c r="R2780" s="40">
        <v>37323</v>
      </c>
      <c r="S2780" s="40">
        <v>354356</v>
      </c>
      <c r="T2780" s="40">
        <v>30000</v>
      </c>
      <c r="U2780" s="40">
        <v>243338.271604938</v>
      </c>
      <c r="V2780" s="40">
        <v>0</v>
      </c>
      <c r="W2780" s="45">
        <f t="shared" si="147"/>
        <v>1500635.271604938</v>
      </c>
      <c r="X2780" s="46">
        <f t="shared" si="148"/>
        <v>8.6273246842690003</v>
      </c>
    </row>
    <row r="2781" spans="1:24" s="4" customFormat="1" ht="15" customHeight="1">
      <c r="A2781" s="79" t="s">
        <v>3955</v>
      </c>
      <c r="B2781" s="80">
        <v>3394.61</v>
      </c>
      <c r="C2781" s="81" t="s">
        <v>4028</v>
      </c>
      <c r="D2781" s="82">
        <v>4952973689</v>
      </c>
      <c r="E2781" s="82" t="s">
        <v>14</v>
      </c>
      <c r="F2781" s="82" t="s">
        <v>4029</v>
      </c>
      <c r="G2781" s="79" t="s">
        <v>13</v>
      </c>
      <c r="H2781" s="2" t="s">
        <v>23</v>
      </c>
      <c r="I2781" s="2">
        <v>1</v>
      </c>
      <c r="J2781" s="2"/>
      <c r="K2781" s="2">
        <v>1546.8</v>
      </c>
      <c r="L2781" s="35">
        <f t="shared" si="146"/>
        <v>5250782.7479999997</v>
      </c>
      <c r="M2781" s="36">
        <v>40</v>
      </c>
      <c r="N2781" s="40">
        <v>87373.61</v>
      </c>
      <c r="O2781" s="40">
        <v>0</v>
      </c>
      <c r="P2781" s="40">
        <v>0</v>
      </c>
      <c r="Q2781" s="40">
        <v>0</v>
      </c>
      <c r="R2781" s="40">
        <v>349.49</v>
      </c>
      <c r="S2781" s="40">
        <v>354356</v>
      </c>
      <c r="T2781" s="40">
        <v>30000</v>
      </c>
      <c r="U2781" s="40">
        <v>17139.4782608696</v>
      </c>
      <c r="V2781" s="40">
        <v>0</v>
      </c>
      <c r="W2781" s="45">
        <f t="shared" si="147"/>
        <v>489218.5782608696</v>
      </c>
      <c r="X2781" s="46">
        <f t="shared" si="148"/>
        <v>9.317059984003544</v>
      </c>
    </row>
    <row r="2782" spans="1:24" s="4" customFormat="1" ht="15" customHeight="1">
      <c r="A2782" s="79" t="s">
        <v>3955</v>
      </c>
      <c r="B2782" s="80">
        <v>3394.61</v>
      </c>
      <c r="C2782" s="81" t="s">
        <v>4030</v>
      </c>
      <c r="D2782" s="82">
        <v>4952973684</v>
      </c>
      <c r="E2782" s="82" t="s">
        <v>14</v>
      </c>
      <c r="F2782" s="82" t="s">
        <v>4031</v>
      </c>
      <c r="G2782" s="79" t="s">
        <v>13</v>
      </c>
      <c r="H2782" s="2" t="s">
        <v>23</v>
      </c>
      <c r="I2782" s="2">
        <v>1</v>
      </c>
      <c r="J2782" s="2"/>
      <c r="K2782" s="2">
        <v>869.85</v>
      </c>
      <c r="L2782" s="35">
        <f t="shared" si="146"/>
        <v>2952801.5085</v>
      </c>
      <c r="M2782" s="36">
        <v>15</v>
      </c>
      <c r="N2782" s="40">
        <v>76165</v>
      </c>
      <c r="O2782" s="40">
        <v>0</v>
      </c>
      <c r="P2782" s="40">
        <v>0</v>
      </c>
      <c r="Q2782" s="40">
        <v>0</v>
      </c>
      <c r="R2782" s="40">
        <v>304</v>
      </c>
      <c r="S2782" s="40">
        <v>354356</v>
      </c>
      <c r="T2782" s="40">
        <v>30000</v>
      </c>
      <c r="U2782" s="40">
        <v>3041.7283950617302</v>
      </c>
      <c r="V2782" s="40">
        <v>0</v>
      </c>
      <c r="W2782" s="45">
        <f t="shared" si="147"/>
        <v>463866.72839506174</v>
      </c>
      <c r="X2782" s="46">
        <f t="shared" si="148"/>
        <v>15.709377249360132</v>
      </c>
    </row>
    <row r="2783" spans="1:24" s="4" customFormat="1" ht="15" customHeight="1">
      <c r="A2783" s="79" t="s">
        <v>3955</v>
      </c>
      <c r="B2783" s="80">
        <v>3394.61</v>
      </c>
      <c r="C2783" s="81" t="s">
        <v>4032</v>
      </c>
      <c r="D2783" s="82">
        <v>4952292321</v>
      </c>
      <c r="E2783" s="82" t="s">
        <v>14</v>
      </c>
      <c r="F2783" s="83" t="s">
        <v>4033</v>
      </c>
      <c r="G2783" s="79" t="s">
        <v>13</v>
      </c>
      <c r="H2783" s="2" t="s">
        <v>23</v>
      </c>
      <c r="I2783" s="2">
        <v>2</v>
      </c>
      <c r="J2783" s="2"/>
      <c r="K2783" s="2">
        <v>1096.8</v>
      </c>
      <c r="L2783" s="35">
        <f t="shared" si="146"/>
        <v>3723208.2480000001</v>
      </c>
      <c r="M2783" s="36">
        <v>20</v>
      </c>
      <c r="N2783" s="40">
        <v>35570.818181818198</v>
      </c>
      <c r="O2783" s="40">
        <v>0</v>
      </c>
      <c r="P2783" s="40">
        <v>0</v>
      </c>
      <c r="Q2783" s="40">
        <v>0</v>
      </c>
      <c r="R2783" s="40">
        <v>2051.3636363636401</v>
      </c>
      <c r="S2783" s="63">
        <v>32214.181818181802</v>
      </c>
      <c r="T2783" s="40">
        <v>30000</v>
      </c>
      <c r="U2783" s="55">
        <v>22398.181818181802</v>
      </c>
      <c r="V2783" s="40">
        <v>0</v>
      </c>
      <c r="W2783" s="45">
        <f t="shared" si="147"/>
        <v>122234.54545454544</v>
      </c>
      <c r="X2783" s="46">
        <f t="shared" si="148"/>
        <v>3.2830434752127093</v>
      </c>
    </row>
    <row r="2784" spans="1:24" s="4" customFormat="1" ht="15" customHeight="1">
      <c r="A2784" s="79" t="s">
        <v>3955</v>
      </c>
      <c r="B2784" s="80">
        <v>3394.61</v>
      </c>
      <c r="C2784" s="81" t="s">
        <v>4032</v>
      </c>
      <c r="D2784" s="82">
        <v>4953101413</v>
      </c>
      <c r="E2784" s="82" t="s">
        <v>14</v>
      </c>
      <c r="F2784" s="83" t="s">
        <v>4033</v>
      </c>
      <c r="G2784" s="79" t="s">
        <v>13</v>
      </c>
      <c r="H2784" s="2" t="s">
        <v>23</v>
      </c>
      <c r="I2784" s="2">
        <v>2</v>
      </c>
      <c r="J2784" s="2"/>
      <c r="K2784" s="2">
        <v>2232</v>
      </c>
      <c r="L2784" s="35">
        <f t="shared" si="146"/>
        <v>7576769.5200000005</v>
      </c>
      <c r="M2784" s="36">
        <v>40</v>
      </c>
      <c r="N2784" s="40">
        <v>71141.636363636397</v>
      </c>
      <c r="O2784" s="40">
        <v>0</v>
      </c>
      <c r="P2784" s="40">
        <v>0</v>
      </c>
      <c r="Q2784" s="40">
        <v>0</v>
      </c>
      <c r="R2784" s="40">
        <v>4102.7272727272702</v>
      </c>
      <c r="S2784" s="40">
        <v>64428.363636363603</v>
      </c>
      <c r="T2784" s="40">
        <v>30000</v>
      </c>
      <c r="U2784" s="55">
        <v>44796.363636363603</v>
      </c>
      <c r="V2784" s="40">
        <v>0</v>
      </c>
      <c r="W2784" s="45">
        <f t="shared" si="147"/>
        <v>214469.09090909088</v>
      </c>
      <c r="X2784" s="46">
        <f t="shared" si="148"/>
        <v>2.8306138961066205</v>
      </c>
    </row>
    <row r="2785" spans="1:24" s="4" customFormat="1" ht="15" customHeight="1">
      <c r="A2785" s="79" t="s">
        <v>3955</v>
      </c>
      <c r="B2785" s="80">
        <v>3394.61</v>
      </c>
      <c r="C2785" s="81" t="s">
        <v>4032</v>
      </c>
      <c r="D2785" s="82">
        <v>4953066105</v>
      </c>
      <c r="E2785" s="82" t="s">
        <v>14</v>
      </c>
      <c r="F2785" s="83" t="s">
        <v>4033</v>
      </c>
      <c r="G2785" s="79" t="s">
        <v>13</v>
      </c>
      <c r="H2785" s="2" t="s">
        <v>23</v>
      </c>
      <c r="I2785" s="2">
        <v>2</v>
      </c>
      <c r="J2785" s="2"/>
      <c r="K2785" s="2">
        <v>402.2</v>
      </c>
      <c r="L2785" s="35">
        <f t="shared" si="146"/>
        <v>1365312.142</v>
      </c>
      <c r="M2785" s="36">
        <v>10</v>
      </c>
      <c r="N2785" s="40">
        <v>17785.409090909099</v>
      </c>
      <c r="O2785" s="40">
        <v>0</v>
      </c>
      <c r="P2785" s="40">
        <v>0</v>
      </c>
      <c r="Q2785" s="40">
        <v>0</v>
      </c>
      <c r="R2785" s="40">
        <v>1025.6818181818201</v>
      </c>
      <c r="S2785" s="40">
        <v>16107.090909090901</v>
      </c>
      <c r="T2785" s="40">
        <v>30000</v>
      </c>
      <c r="U2785" s="55">
        <v>11199.090909090901</v>
      </c>
      <c r="V2785" s="40">
        <v>0</v>
      </c>
      <c r="W2785" s="45">
        <f t="shared" si="147"/>
        <v>76117.272727272721</v>
      </c>
      <c r="X2785" s="46">
        <f t="shared" si="148"/>
        <v>5.5750820919069159</v>
      </c>
    </row>
    <row r="2786" spans="1:24" s="4" customFormat="1" ht="15" customHeight="1">
      <c r="A2786" s="79" t="s">
        <v>3955</v>
      </c>
      <c r="B2786" s="80">
        <v>3394.61</v>
      </c>
      <c r="C2786" s="81" t="s">
        <v>4032</v>
      </c>
      <c r="D2786" s="82">
        <v>4952888194</v>
      </c>
      <c r="E2786" s="82" t="s">
        <v>14</v>
      </c>
      <c r="F2786" s="83" t="s">
        <v>4033</v>
      </c>
      <c r="G2786" s="79" t="s">
        <v>13</v>
      </c>
      <c r="H2786" s="2" t="s">
        <v>23</v>
      </c>
      <c r="I2786" s="2">
        <v>2</v>
      </c>
      <c r="J2786" s="2"/>
      <c r="K2786" s="2">
        <v>7609.2</v>
      </c>
      <c r="L2786" s="35">
        <f t="shared" si="146"/>
        <v>25830266.412</v>
      </c>
      <c r="M2786" s="36">
        <v>60</v>
      </c>
      <c r="N2786" s="40">
        <v>106712.454545455</v>
      </c>
      <c r="O2786" s="40">
        <v>0</v>
      </c>
      <c r="P2786" s="40">
        <v>0</v>
      </c>
      <c r="Q2786" s="40">
        <v>0</v>
      </c>
      <c r="R2786" s="40">
        <v>6154.0909090909099</v>
      </c>
      <c r="S2786" s="40">
        <v>96642.5454545455</v>
      </c>
      <c r="T2786" s="40">
        <v>30000</v>
      </c>
      <c r="U2786" s="55">
        <v>67194.5454545455</v>
      </c>
      <c r="V2786" s="40">
        <v>0</v>
      </c>
      <c r="W2786" s="45">
        <f t="shared" si="147"/>
        <v>306703.63636363694</v>
      </c>
      <c r="X2786" s="46">
        <f t="shared" si="148"/>
        <v>1.1873808480006665</v>
      </c>
    </row>
    <row r="2787" spans="1:24" s="4" customFormat="1" ht="15" customHeight="1">
      <c r="A2787" s="79" t="s">
        <v>3955</v>
      </c>
      <c r="B2787" s="80">
        <v>3394.61</v>
      </c>
      <c r="C2787" s="81" t="s">
        <v>4032</v>
      </c>
      <c r="D2787" s="82">
        <v>4952888194</v>
      </c>
      <c r="E2787" s="82" t="s">
        <v>14</v>
      </c>
      <c r="F2787" s="83" t="s">
        <v>4033</v>
      </c>
      <c r="G2787" s="79" t="s">
        <v>13</v>
      </c>
      <c r="H2787" s="2" t="s">
        <v>23</v>
      </c>
      <c r="I2787" s="2">
        <v>2</v>
      </c>
      <c r="J2787" s="2"/>
      <c r="K2787" s="2">
        <v>548.4</v>
      </c>
      <c r="L2787" s="35">
        <f t="shared" ref="L2787:L2850" si="149">B2787*K2787</f>
        <v>1861604.1240000001</v>
      </c>
      <c r="M2787" s="36">
        <v>10</v>
      </c>
      <c r="N2787" s="40">
        <v>35570.818181818198</v>
      </c>
      <c r="O2787" s="40">
        <v>0</v>
      </c>
      <c r="P2787" s="40">
        <v>0</v>
      </c>
      <c r="Q2787" s="40">
        <v>0</v>
      </c>
      <c r="R2787" s="40">
        <v>2051.3636363636401</v>
      </c>
      <c r="S2787" s="40">
        <v>32214.181818181802</v>
      </c>
      <c r="T2787" s="40">
        <v>30000</v>
      </c>
      <c r="U2787" s="55">
        <v>22398.181818181802</v>
      </c>
      <c r="V2787" s="40">
        <v>0</v>
      </c>
      <c r="W2787" s="45">
        <f t="shared" ref="W2787:W2850" si="150">+SUM(N2787:V2787)</f>
        <v>122234.54545454544</v>
      </c>
      <c r="X2787" s="46">
        <f t="shared" ref="X2787:X2850" si="151">(W2787/L2787)*100</f>
        <v>6.5660869504254187</v>
      </c>
    </row>
    <row r="2788" spans="1:24" s="4" customFormat="1" ht="15" customHeight="1">
      <c r="A2788" s="79" t="s">
        <v>3955</v>
      </c>
      <c r="B2788" s="80">
        <v>3394.61</v>
      </c>
      <c r="C2788" s="81" t="s">
        <v>4032</v>
      </c>
      <c r="D2788" s="82">
        <v>4952888194</v>
      </c>
      <c r="E2788" s="82" t="s">
        <v>14</v>
      </c>
      <c r="F2788" s="83" t="s">
        <v>4033</v>
      </c>
      <c r="G2788" s="79" t="s">
        <v>13</v>
      </c>
      <c r="H2788" s="2" t="s">
        <v>23</v>
      </c>
      <c r="I2788" s="2">
        <v>2</v>
      </c>
      <c r="J2788" s="2"/>
      <c r="K2788" s="2">
        <v>2536.4</v>
      </c>
      <c r="L2788" s="35">
        <f t="shared" si="149"/>
        <v>8610088.8040000014</v>
      </c>
      <c r="M2788" s="36">
        <v>20</v>
      </c>
      <c r="N2788" s="40">
        <v>17785.409090909099</v>
      </c>
      <c r="O2788" s="40">
        <v>0</v>
      </c>
      <c r="P2788" s="40">
        <v>0</v>
      </c>
      <c r="Q2788" s="40">
        <v>0</v>
      </c>
      <c r="R2788" s="40">
        <v>1025.6818181818201</v>
      </c>
      <c r="S2788" s="40">
        <v>16107.090909090901</v>
      </c>
      <c r="T2788" s="40">
        <v>30000</v>
      </c>
      <c r="U2788" s="55">
        <v>11199.090909090901</v>
      </c>
      <c r="V2788" s="40">
        <v>0</v>
      </c>
      <c r="W2788" s="45">
        <f t="shared" si="150"/>
        <v>76117.272727272721</v>
      </c>
      <c r="X2788" s="46">
        <f t="shared" si="151"/>
        <v>0.88404747569979547</v>
      </c>
    </row>
    <row r="2789" spans="1:24" s="4" customFormat="1" ht="15" customHeight="1">
      <c r="A2789" s="79" t="s">
        <v>3955</v>
      </c>
      <c r="B2789" s="80">
        <v>3394.61</v>
      </c>
      <c r="C2789" s="81" t="s">
        <v>4032</v>
      </c>
      <c r="D2789" s="82">
        <v>4952888194</v>
      </c>
      <c r="E2789" s="82" t="s">
        <v>14</v>
      </c>
      <c r="F2789" s="83" t="s">
        <v>4033</v>
      </c>
      <c r="G2789" s="79" t="s">
        <v>13</v>
      </c>
      <c r="H2789" s="2" t="s">
        <v>23</v>
      </c>
      <c r="I2789" s="2">
        <v>2</v>
      </c>
      <c r="J2789" s="2"/>
      <c r="K2789" s="2">
        <v>1234.2</v>
      </c>
      <c r="L2789" s="35">
        <f t="shared" si="149"/>
        <v>4189627.6620000005</v>
      </c>
      <c r="M2789" s="36">
        <v>30</v>
      </c>
      <c r="N2789" s="40">
        <v>53356.227272727301</v>
      </c>
      <c r="O2789" s="40">
        <v>0</v>
      </c>
      <c r="P2789" s="40">
        <v>0</v>
      </c>
      <c r="Q2789" s="40">
        <v>0</v>
      </c>
      <c r="R2789" s="40">
        <v>3077.04545454545</v>
      </c>
      <c r="S2789" s="40">
        <v>48321.272727272699</v>
      </c>
      <c r="T2789" s="40">
        <v>30000</v>
      </c>
      <c r="U2789" s="55">
        <v>33597.272727272699</v>
      </c>
      <c r="V2789" s="40">
        <v>0</v>
      </c>
      <c r="W2789" s="45">
        <f t="shared" si="150"/>
        <v>168351.81818181815</v>
      </c>
      <c r="X2789" s="46">
        <f t="shared" si="151"/>
        <v>4.0183002348579144</v>
      </c>
    </row>
    <row r="2790" spans="1:24" s="4" customFormat="1" ht="15" customHeight="1">
      <c r="A2790" s="79" t="s">
        <v>3955</v>
      </c>
      <c r="B2790" s="80">
        <v>3394.61</v>
      </c>
      <c r="C2790" s="81" t="s">
        <v>4032</v>
      </c>
      <c r="D2790" s="82">
        <v>4952888194</v>
      </c>
      <c r="E2790" s="82" t="s">
        <v>14</v>
      </c>
      <c r="F2790" s="83" t="s">
        <v>4033</v>
      </c>
      <c r="G2790" s="79" t="s">
        <v>13</v>
      </c>
      <c r="H2790" s="2" t="s">
        <v>23</v>
      </c>
      <c r="I2790" s="2">
        <v>2</v>
      </c>
      <c r="J2790" s="2"/>
      <c r="K2790" s="2">
        <v>657.3</v>
      </c>
      <c r="L2790" s="35">
        <f t="shared" si="149"/>
        <v>2231277.1529999999</v>
      </c>
      <c r="M2790" s="36">
        <v>10</v>
      </c>
      <c r="N2790" s="40">
        <v>17785.409090909099</v>
      </c>
      <c r="O2790" s="40">
        <v>0</v>
      </c>
      <c r="P2790" s="40">
        <v>0</v>
      </c>
      <c r="Q2790" s="40">
        <v>0</v>
      </c>
      <c r="R2790" s="40">
        <v>1025.6818181818201</v>
      </c>
      <c r="S2790" s="40">
        <v>16107.090909090901</v>
      </c>
      <c r="T2790" s="40">
        <v>30000</v>
      </c>
      <c r="U2790" s="55">
        <v>11199.090909090901</v>
      </c>
      <c r="V2790" s="40">
        <v>0</v>
      </c>
      <c r="W2790" s="45">
        <f t="shared" si="150"/>
        <v>76117.272727272721</v>
      </c>
      <c r="X2790" s="46">
        <f t="shared" si="151"/>
        <v>3.4113768710862038</v>
      </c>
    </row>
    <row r="2791" spans="1:24" s="4" customFormat="1" ht="15" customHeight="1">
      <c r="A2791" s="79" t="s">
        <v>3955</v>
      </c>
      <c r="B2791" s="80">
        <v>3394.61</v>
      </c>
      <c r="C2791" s="81" t="s">
        <v>4034</v>
      </c>
      <c r="D2791" s="82">
        <v>4953142735</v>
      </c>
      <c r="E2791" s="82" t="s">
        <v>14</v>
      </c>
      <c r="F2791" s="82">
        <v>1028502187</v>
      </c>
      <c r="G2791" s="79" t="s">
        <v>13</v>
      </c>
      <c r="H2791" s="2" t="s">
        <v>23</v>
      </c>
      <c r="I2791" s="2">
        <v>1</v>
      </c>
      <c r="J2791" s="2"/>
      <c r="K2791" s="2">
        <v>1512.2</v>
      </c>
      <c r="L2791" s="35">
        <f t="shared" si="149"/>
        <v>5133329.2420000006</v>
      </c>
      <c r="M2791" s="36">
        <v>20</v>
      </c>
      <c r="N2791" s="40">
        <v>470743</v>
      </c>
      <c r="O2791" s="40">
        <v>0</v>
      </c>
      <c r="P2791" s="40">
        <v>0</v>
      </c>
      <c r="Q2791" s="40">
        <v>0</v>
      </c>
      <c r="R2791" s="40">
        <v>1882</v>
      </c>
      <c r="S2791" s="40">
        <v>354356</v>
      </c>
      <c r="T2791" s="40">
        <v>30000</v>
      </c>
      <c r="U2791" s="40">
        <v>22398.181818181802</v>
      </c>
      <c r="V2791" s="40">
        <v>0</v>
      </c>
      <c r="W2791" s="45">
        <f t="shared" si="150"/>
        <v>879379.18181818177</v>
      </c>
      <c r="X2791" s="46">
        <f t="shared" si="151"/>
        <v>17.130776935624066</v>
      </c>
    </row>
    <row r="2792" spans="1:24" s="4" customFormat="1" ht="15" customHeight="1">
      <c r="A2792" s="79" t="s">
        <v>3955</v>
      </c>
      <c r="B2792" s="80">
        <v>3394.61</v>
      </c>
      <c r="C2792" s="81" t="s">
        <v>4035</v>
      </c>
      <c r="D2792" s="82">
        <v>4952973697</v>
      </c>
      <c r="E2792" s="82" t="s">
        <v>14</v>
      </c>
      <c r="F2792" s="82" t="s">
        <v>4036</v>
      </c>
      <c r="G2792" s="79" t="s">
        <v>13</v>
      </c>
      <c r="H2792" s="2" t="s">
        <v>23</v>
      </c>
      <c r="I2792" s="2">
        <v>1</v>
      </c>
      <c r="J2792" s="2"/>
      <c r="K2792" s="2">
        <v>5753.7</v>
      </c>
      <c r="L2792" s="35">
        <f t="shared" si="149"/>
        <v>19531567.557</v>
      </c>
      <c r="M2792" s="36">
        <v>45</v>
      </c>
      <c r="N2792" s="40">
        <v>414104</v>
      </c>
      <c r="O2792" s="40">
        <v>0</v>
      </c>
      <c r="P2792" s="40">
        <v>0</v>
      </c>
      <c r="Q2792" s="40">
        <v>0</v>
      </c>
      <c r="R2792" s="40">
        <v>6091</v>
      </c>
      <c r="S2792" s="40">
        <v>354356</v>
      </c>
      <c r="T2792" s="40">
        <v>30000</v>
      </c>
      <c r="U2792" s="40">
        <v>246380</v>
      </c>
      <c r="V2792" s="40">
        <v>0</v>
      </c>
      <c r="W2792" s="45">
        <f t="shared" si="150"/>
        <v>1050931</v>
      </c>
      <c r="X2792" s="46">
        <f t="shared" si="151"/>
        <v>5.3806792359753652</v>
      </c>
    </row>
    <row r="2793" spans="1:24" s="4" customFormat="1" ht="15" customHeight="1">
      <c r="A2793" s="79" t="s">
        <v>3955</v>
      </c>
      <c r="B2793" s="80">
        <v>3394.61</v>
      </c>
      <c r="C2793" s="81" t="s">
        <v>4037</v>
      </c>
      <c r="D2793" s="82">
        <v>4952077929</v>
      </c>
      <c r="E2793" s="82" t="s">
        <v>18</v>
      </c>
      <c r="F2793" s="82" t="s">
        <v>4038</v>
      </c>
      <c r="G2793" s="79" t="s">
        <v>9</v>
      </c>
      <c r="H2793" s="2" t="s">
        <v>23</v>
      </c>
      <c r="I2793" s="2">
        <v>5</v>
      </c>
      <c r="J2793" s="2"/>
      <c r="K2793" s="2">
        <v>120654.5</v>
      </c>
      <c r="L2793" s="35">
        <f t="shared" si="149"/>
        <v>409574972.245</v>
      </c>
      <c r="M2793" s="36">
        <f>300+2350</f>
        <v>2650</v>
      </c>
      <c r="N2793" s="40">
        <v>775054</v>
      </c>
      <c r="O2793" s="40">
        <v>1992</v>
      </c>
      <c r="P2793" s="40">
        <v>92158</v>
      </c>
      <c r="Q2793" s="40">
        <v>46461</v>
      </c>
      <c r="R2793" s="40">
        <v>138748</v>
      </c>
      <c r="S2793" s="40">
        <v>354356</v>
      </c>
      <c r="T2793" s="40">
        <v>30000</v>
      </c>
      <c r="U2793" s="40">
        <v>1795624.6376811599</v>
      </c>
      <c r="V2793" s="40">
        <v>0</v>
      </c>
      <c r="W2793" s="45">
        <f t="shared" si="150"/>
        <v>3234393.6376811601</v>
      </c>
      <c r="X2793" s="46">
        <f t="shared" si="151"/>
        <v>0.78969513687628523</v>
      </c>
    </row>
    <row r="2794" spans="1:24" s="4" customFormat="1" ht="15" customHeight="1">
      <c r="A2794" s="79" t="s">
        <v>3955</v>
      </c>
      <c r="B2794" s="80">
        <v>3394.61</v>
      </c>
      <c r="C2794" s="81" t="s">
        <v>4039</v>
      </c>
      <c r="D2794" s="82">
        <v>4952004749</v>
      </c>
      <c r="E2794" s="82" t="s">
        <v>38</v>
      </c>
      <c r="F2794" s="82" t="s">
        <v>4040</v>
      </c>
      <c r="G2794" s="79" t="s">
        <v>9</v>
      </c>
      <c r="H2794" s="2" t="s">
        <v>23</v>
      </c>
      <c r="I2794" s="2">
        <v>2</v>
      </c>
      <c r="J2794" s="2"/>
      <c r="K2794" s="2">
        <v>198.4</v>
      </c>
      <c r="L2794" s="35">
        <f t="shared" si="149"/>
        <v>673490.62400000007</v>
      </c>
      <c r="M2794" s="36">
        <v>80</v>
      </c>
      <c r="N2794" s="40">
        <v>157866.81690140799</v>
      </c>
      <c r="O2794" s="40">
        <v>155.5</v>
      </c>
      <c r="P2794" s="40">
        <v>0</v>
      </c>
      <c r="Q2794" s="40">
        <v>3414.5</v>
      </c>
      <c r="R2794" s="40">
        <v>20852.9577464789</v>
      </c>
      <c r="S2794" s="40">
        <v>79854.873239436594</v>
      </c>
      <c r="T2794" s="40"/>
      <c r="U2794" s="40">
        <v>56833.8028169014</v>
      </c>
      <c r="V2794" s="40">
        <v>0</v>
      </c>
      <c r="W2794" s="45">
        <f t="shared" si="150"/>
        <v>318978.45070422493</v>
      </c>
      <c r="X2794" s="46">
        <f t="shared" si="151"/>
        <v>47.361973476296662</v>
      </c>
    </row>
    <row r="2795" spans="1:24" s="4" customFormat="1" ht="15" customHeight="1">
      <c r="A2795" s="79" t="s">
        <v>3955</v>
      </c>
      <c r="B2795" s="80">
        <v>3394.61</v>
      </c>
      <c r="C2795" s="81" t="s">
        <v>4039</v>
      </c>
      <c r="D2795" s="82">
        <v>4952222172</v>
      </c>
      <c r="E2795" s="82" t="s">
        <v>38</v>
      </c>
      <c r="F2795" s="82" t="s">
        <v>4040</v>
      </c>
      <c r="G2795" s="79" t="s">
        <v>9</v>
      </c>
      <c r="H2795" s="2" t="s">
        <v>23</v>
      </c>
      <c r="I2795" s="2">
        <v>2</v>
      </c>
      <c r="J2795" s="2"/>
      <c r="K2795" s="2">
        <v>591.25</v>
      </c>
      <c r="L2795" s="35">
        <f t="shared" si="149"/>
        <v>2007063.1625000001</v>
      </c>
      <c r="M2795" s="36">
        <v>275</v>
      </c>
      <c r="N2795" s="40">
        <v>157866.81690140799</v>
      </c>
      <c r="O2795" s="40">
        <v>155.5</v>
      </c>
      <c r="P2795" s="40">
        <v>0</v>
      </c>
      <c r="Q2795" s="40">
        <v>3414.5</v>
      </c>
      <c r="R2795" s="40">
        <v>20852.9577464789</v>
      </c>
      <c r="S2795" s="40">
        <v>79854.873239436594</v>
      </c>
      <c r="T2795" s="48"/>
      <c r="U2795" s="40">
        <v>56833.8028169014</v>
      </c>
      <c r="V2795" s="40">
        <v>0</v>
      </c>
      <c r="W2795" s="45">
        <f t="shared" si="150"/>
        <v>318978.45070422493</v>
      </c>
      <c r="X2795" s="46">
        <f t="shared" si="151"/>
        <v>15.892795835428766</v>
      </c>
    </row>
    <row r="2796" spans="1:24" s="4" customFormat="1" ht="15" customHeight="1">
      <c r="A2796" s="79" t="s">
        <v>3955</v>
      </c>
      <c r="B2796" s="80">
        <v>3394.61</v>
      </c>
      <c r="C2796" s="81" t="s">
        <v>4041</v>
      </c>
      <c r="D2796" s="82">
        <v>4951815953</v>
      </c>
      <c r="E2796" s="82" t="s">
        <v>14</v>
      </c>
      <c r="F2796" s="82" t="s">
        <v>4042</v>
      </c>
      <c r="G2796" s="79" t="s">
        <v>5</v>
      </c>
      <c r="H2796" s="2" t="s">
        <v>20</v>
      </c>
      <c r="I2796" s="2">
        <v>1</v>
      </c>
      <c r="J2796" s="2" t="s">
        <v>4043</v>
      </c>
      <c r="K2796" s="2">
        <v>31235.200000000001</v>
      </c>
      <c r="L2796" s="35">
        <f t="shared" si="149"/>
        <v>106031322.272</v>
      </c>
      <c r="M2796" s="36">
        <v>13760</v>
      </c>
      <c r="N2796" s="40">
        <v>542667.18309859198</v>
      </c>
      <c r="O2796" s="40">
        <v>346986</v>
      </c>
      <c r="P2796" s="40">
        <v>0</v>
      </c>
      <c r="Q2796" s="40">
        <v>99309</v>
      </c>
      <c r="R2796" s="40">
        <v>71682.042253521096</v>
      </c>
      <c r="S2796" s="40">
        <v>274501.126760563</v>
      </c>
      <c r="T2796" s="40">
        <v>30000</v>
      </c>
      <c r="U2796" s="40">
        <v>195366.19718309899</v>
      </c>
      <c r="V2796" s="40">
        <v>0</v>
      </c>
      <c r="W2796" s="45">
        <f t="shared" si="150"/>
        <v>1560511.5492957751</v>
      </c>
      <c r="X2796" s="46">
        <f t="shared" si="151"/>
        <v>1.4717458161019876</v>
      </c>
    </row>
    <row r="2797" spans="1:24" s="4" customFormat="1" ht="15" customHeight="1">
      <c r="A2797" s="79" t="s">
        <v>3955</v>
      </c>
      <c r="B2797" s="80">
        <v>3394.61</v>
      </c>
      <c r="C2797" s="81" t="s">
        <v>4044</v>
      </c>
      <c r="D2797" s="82">
        <v>4952085014</v>
      </c>
      <c r="E2797" s="82" t="s">
        <v>24</v>
      </c>
      <c r="F2797" s="82" t="s">
        <v>4045</v>
      </c>
      <c r="G2797" s="79" t="s">
        <v>9</v>
      </c>
      <c r="H2797" s="2" t="s">
        <v>23</v>
      </c>
      <c r="I2797" s="2">
        <v>3</v>
      </c>
      <c r="J2797" s="2"/>
      <c r="K2797" s="2">
        <v>7037.6</v>
      </c>
      <c r="L2797" s="35">
        <f t="shared" si="149"/>
        <v>23889907.336000003</v>
      </c>
      <c r="M2797" s="36">
        <v>1520</v>
      </c>
      <c r="N2797" s="40">
        <v>734869.881081081</v>
      </c>
      <c r="O2797" s="40">
        <v>727.5</v>
      </c>
      <c r="P2797" s="40">
        <v>0</v>
      </c>
      <c r="Q2797" s="40">
        <v>20779.5</v>
      </c>
      <c r="R2797" s="40">
        <v>112065.902702703</v>
      </c>
      <c r="S2797" s="40">
        <v>291146.55135135102</v>
      </c>
      <c r="T2797" s="48"/>
      <c r="U2797" s="55">
        <v>1233447.47081712</v>
      </c>
      <c r="V2797" s="55">
        <v>0</v>
      </c>
      <c r="W2797" s="45">
        <f t="shared" si="150"/>
        <v>2393036.8059522551</v>
      </c>
      <c r="X2797" s="46">
        <f t="shared" si="151"/>
        <v>10.0169363250152</v>
      </c>
    </row>
    <row r="2798" spans="1:24" s="4" customFormat="1" ht="15" customHeight="1">
      <c r="A2798" s="79" t="s">
        <v>3955</v>
      </c>
      <c r="B2798" s="80">
        <v>3394.61</v>
      </c>
      <c r="C2798" s="81" t="s">
        <v>4044</v>
      </c>
      <c r="D2798" s="82">
        <v>4952085015</v>
      </c>
      <c r="E2798" s="82" t="s">
        <v>24</v>
      </c>
      <c r="F2798" s="82" t="s">
        <v>4045</v>
      </c>
      <c r="G2798" s="79" t="s">
        <v>9</v>
      </c>
      <c r="H2798" s="2" t="s">
        <v>23</v>
      </c>
      <c r="I2798" s="2">
        <v>3</v>
      </c>
      <c r="J2798" s="2"/>
      <c r="K2798" s="2">
        <v>8972.7000000000007</v>
      </c>
      <c r="L2798" s="35">
        <f t="shared" si="149"/>
        <v>30458817.147000004</v>
      </c>
      <c r="M2798" s="36">
        <v>330</v>
      </c>
      <c r="N2798" s="40">
        <v>159544.118918919</v>
      </c>
      <c r="O2798" s="40">
        <v>727.5</v>
      </c>
      <c r="P2798" s="40">
        <v>0</v>
      </c>
      <c r="Q2798" s="40">
        <v>20779.5</v>
      </c>
      <c r="R2798" s="40">
        <v>24330.0972972973</v>
      </c>
      <c r="S2798" s="40">
        <v>63209.448648648598</v>
      </c>
      <c r="T2798" s="48"/>
      <c r="U2798" s="55">
        <v>267787.93774319103</v>
      </c>
      <c r="V2798" s="55">
        <v>0</v>
      </c>
      <c r="W2798" s="45">
        <f t="shared" si="150"/>
        <v>536378.60260805592</v>
      </c>
      <c r="X2798" s="46">
        <f t="shared" si="151"/>
        <v>1.7609961674460026</v>
      </c>
    </row>
    <row r="2799" spans="1:24" s="4" customFormat="1" ht="15" customHeight="1">
      <c r="A2799" s="79" t="s">
        <v>3955</v>
      </c>
      <c r="B2799" s="80">
        <v>3394.61</v>
      </c>
      <c r="C2799" s="84" t="s">
        <v>4046</v>
      </c>
      <c r="D2799" s="82">
        <v>4951900520</v>
      </c>
      <c r="E2799" s="82" t="s">
        <v>36</v>
      </c>
      <c r="F2799" s="82" t="s">
        <v>4047</v>
      </c>
      <c r="G2799" s="79" t="s">
        <v>5</v>
      </c>
      <c r="H2799" s="2" t="s">
        <v>26</v>
      </c>
      <c r="I2799" s="2">
        <v>1</v>
      </c>
      <c r="J2799" s="2" t="s">
        <v>4048</v>
      </c>
      <c r="K2799" s="2">
        <v>32484.1</v>
      </c>
      <c r="L2799" s="35">
        <f t="shared" si="149"/>
        <v>110270850.70100001</v>
      </c>
      <c r="M2799" s="36">
        <v>22924.558000000001</v>
      </c>
      <c r="N2799" s="40">
        <v>327735</v>
      </c>
      <c r="O2799" s="40">
        <v>125000</v>
      </c>
      <c r="P2799" s="40">
        <v>994130</v>
      </c>
      <c r="Q2799" s="40">
        <v>99309</v>
      </c>
      <c r="R2799" s="40">
        <v>629130</v>
      </c>
      <c r="S2799" s="40">
        <v>354356</v>
      </c>
      <c r="T2799" s="40"/>
      <c r="U2799" s="40">
        <v>0</v>
      </c>
      <c r="V2799" s="40">
        <v>0</v>
      </c>
      <c r="W2799" s="45">
        <f t="shared" si="150"/>
        <v>2529660</v>
      </c>
      <c r="X2799" s="46">
        <f t="shared" si="151"/>
        <v>2.2940423365910059</v>
      </c>
    </row>
    <row r="2800" spans="1:24" s="4" customFormat="1" ht="15" customHeight="1">
      <c r="A2800" s="79" t="s">
        <v>3955</v>
      </c>
      <c r="B2800" s="80">
        <v>3394.61</v>
      </c>
      <c r="C2800" s="81" t="s">
        <v>4049</v>
      </c>
      <c r="D2800" s="82">
        <v>4952705666</v>
      </c>
      <c r="E2800" s="82" t="s">
        <v>18</v>
      </c>
      <c r="F2800" s="82" t="s">
        <v>4050</v>
      </c>
      <c r="G2800" s="79" t="s">
        <v>9</v>
      </c>
      <c r="H2800" s="2" t="s">
        <v>23</v>
      </c>
      <c r="I2800" s="2">
        <v>3</v>
      </c>
      <c r="J2800" s="2"/>
      <c r="K2800" s="2">
        <v>84437.5</v>
      </c>
      <c r="L2800" s="35">
        <f t="shared" si="149"/>
        <v>286632381.875</v>
      </c>
      <c r="M2800" s="36">
        <v>1250</v>
      </c>
      <c r="N2800" s="40">
        <v>498004</v>
      </c>
      <c r="O2800" s="40">
        <v>970</v>
      </c>
      <c r="P2800" s="40">
        <v>0</v>
      </c>
      <c r="Q2800" s="40">
        <v>22083</v>
      </c>
      <c r="R2800" s="40">
        <v>111770</v>
      </c>
      <c r="S2800" s="40">
        <v>354356</v>
      </c>
      <c r="T2800" s="40">
        <v>30000</v>
      </c>
      <c r="U2800" s="40">
        <v>1117401.96078431</v>
      </c>
      <c r="V2800" s="40">
        <v>0</v>
      </c>
      <c r="W2800" s="45">
        <f t="shared" si="150"/>
        <v>2134584.96078431</v>
      </c>
      <c r="X2800" s="46">
        <f t="shared" si="151"/>
        <v>0.74471172685408571</v>
      </c>
    </row>
    <row r="2801" spans="1:24" s="4" customFormat="1" ht="15" customHeight="1">
      <c r="A2801" s="79" t="s">
        <v>3955</v>
      </c>
      <c r="B2801" s="80">
        <v>3394.61</v>
      </c>
      <c r="C2801" s="81" t="s">
        <v>4051</v>
      </c>
      <c r="D2801" s="82">
        <v>4950756155</v>
      </c>
      <c r="E2801" s="82" t="s">
        <v>6</v>
      </c>
      <c r="F2801" s="82" t="s">
        <v>4052</v>
      </c>
      <c r="G2801" s="79" t="s">
        <v>9</v>
      </c>
      <c r="H2801" s="2" t="s">
        <v>23</v>
      </c>
      <c r="I2801" s="2">
        <v>4</v>
      </c>
      <c r="J2801" s="2"/>
      <c r="K2801" s="2">
        <v>29232</v>
      </c>
      <c r="L2801" s="35">
        <f t="shared" si="149"/>
        <v>99231239.520000011</v>
      </c>
      <c r="M2801" s="36">
        <v>2880</v>
      </c>
      <c r="N2801" s="40">
        <v>785951</v>
      </c>
      <c r="O2801" s="40">
        <v>2593</v>
      </c>
      <c r="P2801" s="40">
        <v>39308</v>
      </c>
      <c r="Q2801" s="40">
        <v>59408</v>
      </c>
      <c r="R2801" s="40">
        <v>166045</v>
      </c>
      <c r="S2801" s="40">
        <v>354356</v>
      </c>
      <c r="T2801" s="40">
        <v>30000</v>
      </c>
      <c r="U2801" s="40">
        <v>1314487.65204571</v>
      </c>
      <c r="V2801" s="40">
        <v>0</v>
      </c>
      <c r="W2801" s="45">
        <f t="shared" si="150"/>
        <v>2752148.65204571</v>
      </c>
      <c r="X2801" s="46">
        <f t="shared" si="151"/>
        <v>2.7734699932786948</v>
      </c>
    </row>
    <row r="2802" spans="1:24" s="4" customFormat="1" ht="15" customHeight="1">
      <c r="A2802" s="79" t="s">
        <v>3955</v>
      </c>
      <c r="B2802" s="80">
        <v>3394.61</v>
      </c>
      <c r="C2802" s="81" t="s">
        <v>4053</v>
      </c>
      <c r="D2802" s="82">
        <v>4951841984</v>
      </c>
      <c r="E2802" s="82" t="s">
        <v>24</v>
      </c>
      <c r="F2802" s="82" t="s">
        <v>4054</v>
      </c>
      <c r="G2802" s="79" t="s">
        <v>9</v>
      </c>
      <c r="H2802" s="2" t="s">
        <v>23</v>
      </c>
      <c r="I2802" s="2">
        <v>1</v>
      </c>
      <c r="J2802" s="2"/>
      <c r="K2802" s="2">
        <v>3335.4</v>
      </c>
      <c r="L2802" s="35">
        <f t="shared" si="149"/>
        <v>11322382.194</v>
      </c>
      <c r="M2802" s="36">
        <v>340</v>
      </c>
      <c r="N2802" s="40">
        <v>502327</v>
      </c>
      <c r="O2802" s="40">
        <v>277</v>
      </c>
      <c r="P2802" s="40">
        <v>0</v>
      </c>
      <c r="Q2802" s="40">
        <v>6323</v>
      </c>
      <c r="R2802" s="40">
        <v>95268</v>
      </c>
      <c r="S2802" s="40">
        <v>354356</v>
      </c>
      <c r="T2802" s="40"/>
      <c r="U2802" s="40">
        <v>275902.72373540897</v>
      </c>
      <c r="V2802" s="40">
        <v>0</v>
      </c>
      <c r="W2802" s="45">
        <f t="shared" si="150"/>
        <v>1234453.7237354089</v>
      </c>
      <c r="X2802" s="46">
        <f t="shared" si="151"/>
        <v>10.902773838438128</v>
      </c>
    </row>
    <row r="2803" spans="1:24" s="4" customFormat="1" ht="15" customHeight="1">
      <c r="A2803" s="79" t="s">
        <v>3955</v>
      </c>
      <c r="B2803" s="80">
        <v>3394.61</v>
      </c>
      <c r="C2803" s="81" t="s">
        <v>4055</v>
      </c>
      <c r="D2803" s="82">
        <v>4952244146</v>
      </c>
      <c r="E2803" s="82" t="s">
        <v>14</v>
      </c>
      <c r="F2803" s="82" t="s">
        <v>4056</v>
      </c>
      <c r="G2803" s="79" t="s">
        <v>9</v>
      </c>
      <c r="H2803" s="2" t="s">
        <v>23</v>
      </c>
      <c r="I2803" s="2">
        <v>4</v>
      </c>
      <c r="J2803" s="2"/>
      <c r="K2803" s="2">
        <v>138.80000000000001</v>
      </c>
      <c r="L2803" s="35">
        <f t="shared" si="149"/>
        <v>471171.86800000007</v>
      </c>
      <c r="M2803" s="36">
        <v>40</v>
      </c>
      <c r="N2803" s="40">
        <v>14353.9130434783</v>
      </c>
      <c r="O2803" s="40">
        <v>658.5</v>
      </c>
      <c r="P2803" s="40">
        <v>877.28260869565202</v>
      </c>
      <c r="Q2803" s="40">
        <v>15286.5</v>
      </c>
      <c r="R2803" s="40">
        <v>2705.5</v>
      </c>
      <c r="S2803" s="40">
        <v>7703.3913043478296</v>
      </c>
      <c r="T2803" s="40">
        <v>30000</v>
      </c>
      <c r="U2803" s="40">
        <v>19089.244851258602</v>
      </c>
      <c r="V2803" s="40">
        <v>0</v>
      </c>
      <c r="W2803" s="45">
        <f t="shared" si="150"/>
        <v>90674.331807780385</v>
      </c>
      <c r="X2803" s="46">
        <f t="shared" si="151"/>
        <v>19.244428194040729</v>
      </c>
    </row>
    <row r="2804" spans="1:24" s="4" customFormat="1" ht="15" customHeight="1">
      <c r="A2804" s="79" t="s">
        <v>3955</v>
      </c>
      <c r="B2804" s="80">
        <v>3394.61</v>
      </c>
      <c r="C2804" s="81" t="s">
        <v>4055</v>
      </c>
      <c r="D2804" s="82">
        <v>4952352303</v>
      </c>
      <c r="E2804" s="82" t="s">
        <v>14</v>
      </c>
      <c r="F2804" s="82" t="s">
        <v>4056</v>
      </c>
      <c r="G2804" s="79" t="s">
        <v>9</v>
      </c>
      <c r="H2804" s="2" t="s">
        <v>23</v>
      </c>
      <c r="I2804" s="2">
        <v>4</v>
      </c>
      <c r="J2804" s="2"/>
      <c r="K2804" s="2">
        <v>39744</v>
      </c>
      <c r="L2804" s="35">
        <f t="shared" si="149"/>
        <v>134915379.84</v>
      </c>
      <c r="M2804" s="36">
        <v>1800</v>
      </c>
      <c r="N2804" s="40">
        <v>645926.08695652196</v>
      </c>
      <c r="O2804" s="40">
        <v>658.5</v>
      </c>
      <c r="P2804" s="40">
        <v>39477.717391304403</v>
      </c>
      <c r="Q2804" s="40">
        <v>15286.5</v>
      </c>
      <c r="R2804" s="40">
        <v>121747.5</v>
      </c>
      <c r="S2804" s="40">
        <v>346652.60869565199</v>
      </c>
      <c r="T2804" s="40">
        <v>30000</v>
      </c>
      <c r="U2804" s="40">
        <v>859016.01830663602</v>
      </c>
      <c r="V2804" s="40">
        <v>0</v>
      </c>
      <c r="W2804" s="45">
        <f t="shared" si="150"/>
        <v>2058764.9313501145</v>
      </c>
      <c r="X2804" s="46">
        <f t="shared" si="151"/>
        <v>1.5259675611421488</v>
      </c>
    </row>
    <row r="2805" spans="1:24" s="4" customFormat="1" ht="15" customHeight="1">
      <c r="A2805" s="79" t="s">
        <v>3955</v>
      </c>
      <c r="B2805" s="80">
        <v>3394.61</v>
      </c>
      <c r="C2805" s="81" t="s">
        <v>4057</v>
      </c>
      <c r="D2805" s="82">
        <v>4952077931</v>
      </c>
      <c r="E2805" s="82" t="s">
        <v>18</v>
      </c>
      <c r="F2805" s="82" t="s">
        <v>4058</v>
      </c>
      <c r="G2805" s="79" t="s">
        <v>5</v>
      </c>
      <c r="H2805" s="2" t="s">
        <v>17</v>
      </c>
      <c r="I2805" s="2">
        <v>1</v>
      </c>
      <c r="J2805" s="2" t="s">
        <v>4059</v>
      </c>
      <c r="K2805" s="2">
        <v>111031.25</v>
      </c>
      <c r="L2805" s="35">
        <f t="shared" si="149"/>
        <v>376907791.5625</v>
      </c>
      <c r="M2805" s="36">
        <v>6875</v>
      </c>
      <c r="N2805" s="40">
        <v>319553.92857142899</v>
      </c>
      <c r="O2805" s="40">
        <v>227602.5</v>
      </c>
      <c r="P2805" s="40">
        <v>0</v>
      </c>
      <c r="Q2805" s="40">
        <v>49654.5</v>
      </c>
      <c r="R2805" s="40">
        <v>444704.85714285698</v>
      </c>
      <c r="S2805" s="40">
        <v>278422.57142857101</v>
      </c>
      <c r="T2805" s="40">
        <v>30000</v>
      </c>
      <c r="U2805" s="40">
        <v>3707825</v>
      </c>
      <c r="V2805" s="40">
        <v>1048928.57142857</v>
      </c>
      <c r="W2805" s="45">
        <f t="shared" si="150"/>
        <v>6106691.9285714263</v>
      </c>
      <c r="X2805" s="46">
        <f t="shared" si="151"/>
        <v>1.6202084608693466</v>
      </c>
    </row>
    <row r="2806" spans="1:24" s="4" customFormat="1" ht="15" customHeight="1">
      <c r="A2806" s="79" t="s">
        <v>3955</v>
      </c>
      <c r="B2806" s="80">
        <v>3394.61</v>
      </c>
      <c r="C2806" s="81" t="s">
        <v>4057</v>
      </c>
      <c r="D2806" s="82">
        <v>4952077915</v>
      </c>
      <c r="E2806" s="82" t="s">
        <v>18</v>
      </c>
      <c r="F2806" s="82" t="s">
        <v>4058</v>
      </c>
      <c r="G2806" s="79" t="s">
        <v>5</v>
      </c>
      <c r="H2806" s="2" t="s">
        <v>17</v>
      </c>
      <c r="I2806" s="2">
        <v>1</v>
      </c>
      <c r="J2806" s="2" t="s">
        <v>4059</v>
      </c>
      <c r="K2806" s="2">
        <f>2710+98915</f>
        <v>101625</v>
      </c>
      <c r="L2806" s="35">
        <f t="shared" si="149"/>
        <v>344977241.25</v>
      </c>
      <c r="M2806" s="36">
        <f>50+1825</f>
        <v>1875</v>
      </c>
      <c r="N2806" s="40">
        <v>319553.92857142899</v>
      </c>
      <c r="O2806" s="40">
        <v>227602.5</v>
      </c>
      <c r="P2806" s="40">
        <v>0</v>
      </c>
      <c r="Q2806" s="40">
        <v>49654.5</v>
      </c>
      <c r="R2806" s="40">
        <v>444704.85714285698</v>
      </c>
      <c r="S2806" s="40">
        <v>278422.57142857101</v>
      </c>
      <c r="T2806" s="40">
        <v>30000</v>
      </c>
      <c r="U2806" s="40">
        <v>3707825</v>
      </c>
      <c r="V2806" s="40">
        <v>1048928.57142857</v>
      </c>
      <c r="W2806" s="45">
        <f t="shared" si="150"/>
        <v>6106691.9285714263</v>
      </c>
      <c r="X2806" s="46">
        <f t="shared" si="151"/>
        <v>1.770172405125704</v>
      </c>
    </row>
    <row r="2807" spans="1:24" s="4" customFormat="1" ht="15" customHeight="1">
      <c r="A2807" s="79" t="s">
        <v>3955</v>
      </c>
      <c r="B2807" s="80">
        <v>3394.61</v>
      </c>
      <c r="C2807" s="81" t="s">
        <v>4060</v>
      </c>
      <c r="D2807" s="82">
        <v>4952461137</v>
      </c>
      <c r="E2807" s="82" t="s">
        <v>14</v>
      </c>
      <c r="F2807" s="82" t="s">
        <v>4061</v>
      </c>
      <c r="G2807" s="79" t="s">
        <v>9</v>
      </c>
      <c r="H2807" s="2" t="s">
        <v>23</v>
      </c>
      <c r="I2807" s="2">
        <v>1</v>
      </c>
      <c r="J2807" s="2"/>
      <c r="K2807" s="2">
        <v>3418.8</v>
      </c>
      <c r="L2807" s="35">
        <f t="shared" si="149"/>
        <v>11605492.668000001</v>
      </c>
      <c r="M2807" s="36">
        <v>280</v>
      </c>
      <c r="N2807" s="40">
        <v>513322</v>
      </c>
      <c r="O2807" s="40">
        <v>242</v>
      </c>
      <c r="P2807" s="40">
        <v>0</v>
      </c>
      <c r="Q2807" s="40">
        <v>5359</v>
      </c>
      <c r="R2807" s="40">
        <v>88901</v>
      </c>
      <c r="S2807" s="40">
        <v>354356</v>
      </c>
      <c r="T2807" s="40">
        <v>30000</v>
      </c>
      <c r="U2807" s="40">
        <v>250298.039215686</v>
      </c>
      <c r="V2807" s="40">
        <v>0</v>
      </c>
      <c r="W2807" s="45">
        <f t="shared" si="150"/>
        <v>1242478.039215686</v>
      </c>
      <c r="X2807" s="46">
        <f t="shared" si="151"/>
        <v>10.705948250190096</v>
      </c>
    </row>
    <row r="2808" spans="1:24" s="4" customFormat="1" ht="15" customHeight="1">
      <c r="A2808" s="79" t="s">
        <v>3955</v>
      </c>
      <c r="B2808" s="80">
        <v>3394.61</v>
      </c>
      <c r="C2808" s="81" t="s">
        <v>4062</v>
      </c>
      <c r="D2808" s="82">
        <v>4952771713</v>
      </c>
      <c r="E2808" s="82" t="s">
        <v>14</v>
      </c>
      <c r="F2808" s="82" t="s">
        <v>4063</v>
      </c>
      <c r="G2808" s="79" t="s">
        <v>5</v>
      </c>
      <c r="H2808" s="2" t="s">
        <v>17</v>
      </c>
      <c r="I2808" s="2">
        <v>1</v>
      </c>
      <c r="J2808" s="2" t="s">
        <v>4064</v>
      </c>
      <c r="K2808" s="2">
        <v>4560</v>
      </c>
      <c r="L2808" s="35">
        <f t="shared" si="149"/>
        <v>15479421.600000001</v>
      </c>
      <c r="M2808" s="36">
        <v>1500</v>
      </c>
      <c r="N2808" s="40">
        <v>36942.274412855397</v>
      </c>
      <c r="O2808" s="40">
        <v>56900.625</v>
      </c>
      <c r="P2808" s="40">
        <v>0</v>
      </c>
      <c r="Q2808" s="40">
        <v>12413.625</v>
      </c>
      <c r="R2808" s="40">
        <v>65831.273176761402</v>
      </c>
      <c r="S2808" s="40">
        <v>32851.297898640303</v>
      </c>
      <c r="T2808" s="40">
        <v>30000</v>
      </c>
      <c r="U2808" s="40">
        <v>504933.55995055602</v>
      </c>
      <c r="V2808" s="40">
        <v>0</v>
      </c>
      <c r="W2808" s="45">
        <f t="shared" si="150"/>
        <v>739872.65543881315</v>
      </c>
      <c r="X2808" s="46">
        <f t="shared" si="151"/>
        <v>4.7797177088245535</v>
      </c>
    </row>
    <row r="2809" spans="1:24" s="4" customFormat="1" ht="15" customHeight="1">
      <c r="A2809" s="79" t="s">
        <v>3955</v>
      </c>
      <c r="B2809" s="80">
        <v>3394.61</v>
      </c>
      <c r="C2809" s="81" t="s">
        <v>4062</v>
      </c>
      <c r="D2809" s="82">
        <v>4952270619</v>
      </c>
      <c r="E2809" s="82" t="s">
        <v>14</v>
      </c>
      <c r="F2809" s="82" t="s">
        <v>4063</v>
      </c>
      <c r="G2809" s="79" t="s">
        <v>5</v>
      </c>
      <c r="H2809" s="2" t="s">
        <v>17</v>
      </c>
      <c r="I2809" s="2">
        <v>1</v>
      </c>
      <c r="J2809" s="2" t="s">
        <v>4064</v>
      </c>
      <c r="K2809" s="2">
        <v>3420</v>
      </c>
      <c r="L2809" s="35">
        <f t="shared" si="149"/>
        <v>11609566.200000001</v>
      </c>
      <c r="M2809" s="36">
        <v>1125</v>
      </c>
      <c r="N2809" s="40">
        <v>27706.705809641498</v>
      </c>
      <c r="O2809" s="40">
        <v>56900.625</v>
      </c>
      <c r="P2809" s="40">
        <v>0</v>
      </c>
      <c r="Q2809" s="40">
        <v>12413.625</v>
      </c>
      <c r="R2809" s="40">
        <v>49373.454882571103</v>
      </c>
      <c r="S2809" s="40">
        <v>24638.473423980198</v>
      </c>
      <c r="T2809" s="40">
        <v>30000</v>
      </c>
      <c r="U2809" s="40">
        <v>378700.16996291699</v>
      </c>
      <c r="V2809" s="40">
        <v>0</v>
      </c>
      <c r="W2809" s="45">
        <f t="shared" si="150"/>
        <v>579733.0540791098</v>
      </c>
      <c r="X2809" s="46">
        <f t="shared" si="151"/>
        <v>4.99358067383353</v>
      </c>
    </row>
    <row r="2810" spans="1:24" s="4" customFormat="1" ht="15" customHeight="1">
      <c r="A2810" s="79" t="s">
        <v>3955</v>
      </c>
      <c r="B2810" s="80">
        <v>3394.61</v>
      </c>
      <c r="C2810" s="81" t="s">
        <v>4062</v>
      </c>
      <c r="D2810" s="82">
        <v>4952577855</v>
      </c>
      <c r="E2810" s="82" t="s">
        <v>14</v>
      </c>
      <c r="F2810" s="82" t="s">
        <v>4063</v>
      </c>
      <c r="G2810" s="79" t="s">
        <v>5</v>
      </c>
      <c r="H2810" s="2" t="s">
        <v>17</v>
      </c>
      <c r="I2810" s="2">
        <v>1</v>
      </c>
      <c r="J2810" s="2" t="s">
        <v>4064</v>
      </c>
      <c r="K2810" s="2">
        <v>1140</v>
      </c>
      <c r="L2810" s="35">
        <f t="shared" si="149"/>
        <v>3869855.4000000004</v>
      </c>
      <c r="M2810" s="36">
        <v>375</v>
      </c>
      <c r="N2810" s="40">
        <v>9235.5686032138401</v>
      </c>
      <c r="O2810" s="40">
        <v>56900.625</v>
      </c>
      <c r="P2810" s="40">
        <v>0</v>
      </c>
      <c r="Q2810" s="40">
        <v>12413.625</v>
      </c>
      <c r="R2810" s="40">
        <v>16457.818294190402</v>
      </c>
      <c r="S2810" s="40">
        <v>8212.8244746600703</v>
      </c>
      <c r="T2810" s="40">
        <v>30000</v>
      </c>
      <c r="U2810" s="40">
        <v>126233.38998763901</v>
      </c>
      <c r="V2810" s="40">
        <v>0</v>
      </c>
      <c r="W2810" s="45">
        <f t="shared" si="150"/>
        <v>259453.85135970332</v>
      </c>
      <c r="X2810" s="46">
        <f t="shared" si="151"/>
        <v>6.7044843939053456</v>
      </c>
    </row>
    <row r="2811" spans="1:24" s="4" customFormat="1" ht="15" customHeight="1">
      <c r="A2811" s="79" t="s">
        <v>3955</v>
      </c>
      <c r="B2811" s="80">
        <v>3394.61</v>
      </c>
      <c r="C2811" s="81" t="s">
        <v>4062</v>
      </c>
      <c r="D2811" s="82">
        <v>4952628211</v>
      </c>
      <c r="E2811" s="82" t="s">
        <v>14</v>
      </c>
      <c r="F2811" s="82" t="s">
        <v>4063</v>
      </c>
      <c r="G2811" s="79" t="s">
        <v>5</v>
      </c>
      <c r="H2811" s="2" t="s">
        <v>17</v>
      </c>
      <c r="I2811" s="2">
        <v>1</v>
      </c>
      <c r="J2811" s="2" t="s">
        <v>4064</v>
      </c>
      <c r="K2811" s="2">
        <v>38850</v>
      </c>
      <c r="L2811" s="35">
        <f t="shared" si="149"/>
        <v>131880598.5</v>
      </c>
      <c r="M2811" s="36">
        <v>4200</v>
      </c>
      <c r="N2811" s="40">
        <v>103438.368355995</v>
      </c>
      <c r="O2811" s="40">
        <v>56900.625</v>
      </c>
      <c r="P2811" s="40">
        <v>0</v>
      </c>
      <c r="Q2811" s="40">
        <v>12413.625</v>
      </c>
      <c r="R2811" s="40">
        <v>184327.564894932</v>
      </c>
      <c r="S2811" s="40">
        <v>91983.634116192799</v>
      </c>
      <c r="T2811" s="40">
        <v>30000</v>
      </c>
      <c r="U2811" s="40">
        <v>1413813.9678615599</v>
      </c>
      <c r="V2811" s="40">
        <v>0</v>
      </c>
      <c r="W2811" s="45">
        <f t="shared" si="150"/>
        <v>1892877.7852286799</v>
      </c>
      <c r="X2811" s="46">
        <f t="shared" si="151"/>
        <v>1.4352966294952627</v>
      </c>
    </row>
    <row r="2812" spans="1:24" s="4" customFormat="1" ht="15" customHeight="1">
      <c r="A2812" s="79" t="s">
        <v>3955</v>
      </c>
      <c r="B2812" s="80">
        <v>3394.61</v>
      </c>
      <c r="C2812" s="81" t="s">
        <v>4062</v>
      </c>
      <c r="D2812" s="82">
        <v>4952628211</v>
      </c>
      <c r="E2812" s="82" t="s">
        <v>14</v>
      </c>
      <c r="F2812" s="82" t="s">
        <v>4063</v>
      </c>
      <c r="G2812" s="79" t="s">
        <v>5</v>
      </c>
      <c r="H2812" s="2" t="s">
        <v>17</v>
      </c>
      <c r="I2812" s="2">
        <v>1</v>
      </c>
      <c r="J2812" s="2" t="s">
        <v>4064</v>
      </c>
      <c r="K2812" s="2">
        <v>13146</v>
      </c>
      <c r="L2812" s="35">
        <f t="shared" si="149"/>
        <v>44625543.060000002</v>
      </c>
      <c r="M2812" s="36">
        <v>4200</v>
      </c>
      <c r="N2812" s="40">
        <v>103438.368355995</v>
      </c>
      <c r="O2812" s="40">
        <v>56900.625</v>
      </c>
      <c r="P2812" s="40">
        <v>0</v>
      </c>
      <c r="Q2812" s="40">
        <v>12413.625</v>
      </c>
      <c r="R2812" s="40">
        <v>184327.564894932</v>
      </c>
      <c r="S2812" s="40">
        <v>91983.634116192799</v>
      </c>
      <c r="T2812" s="40">
        <v>30000</v>
      </c>
      <c r="U2812" s="40">
        <v>1413813.9678615599</v>
      </c>
      <c r="V2812" s="40">
        <v>0</v>
      </c>
      <c r="W2812" s="45">
        <f t="shared" si="150"/>
        <v>1892877.7852286799</v>
      </c>
      <c r="X2812" s="46">
        <f t="shared" si="151"/>
        <v>4.2416913171984589</v>
      </c>
    </row>
    <row r="2813" spans="1:24" s="4" customFormat="1" ht="15" customHeight="1">
      <c r="A2813" s="79" t="s">
        <v>3955</v>
      </c>
      <c r="B2813" s="80">
        <v>3394.61</v>
      </c>
      <c r="C2813" s="81" t="s">
        <v>4062</v>
      </c>
      <c r="D2813" s="82">
        <v>4952701172</v>
      </c>
      <c r="E2813" s="82" t="s">
        <v>14</v>
      </c>
      <c r="F2813" s="82" t="s">
        <v>4063</v>
      </c>
      <c r="G2813" s="79" t="s">
        <v>5</v>
      </c>
      <c r="H2813" s="2" t="s">
        <v>17</v>
      </c>
      <c r="I2813" s="2">
        <v>1</v>
      </c>
      <c r="J2813" s="2" t="s">
        <v>4064</v>
      </c>
      <c r="K2813" s="2">
        <v>439.6</v>
      </c>
      <c r="L2813" s="35">
        <f t="shared" si="149"/>
        <v>1492270.5560000001</v>
      </c>
      <c r="M2813" s="36">
        <v>40</v>
      </c>
      <c r="N2813" s="40">
        <v>985.12731767614298</v>
      </c>
      <c r="O2813" s="40">
        <v>56900.625</v>
      </c>
      <c r="P2813" s="40">
        <v>0</v>
      </c>
      <c r="Q2813" s="40">
        <v>12413.625</v>
      </c>
      <c r="R2813" s="40">
        <v>1755.50061804697</v>
      </c>
      <c r="S2813" s="40">
        <v>876.034610630408</v>
      </c>
      <c r="T2813" s="40">
        <v>30000</v>
      </c>
      <c r="U2813" s="40">
        <v>13464.8949320148</v>
      </c>
      <c r="V2813" s="40">
        <v>0</v>
      </c>
      <c r="W2813" s="45">
        <f t="shared" si="150"/>
        <v>116395.80747836831</v>
      </c>
      <c r="X2813" s="46">
        <f t="shared" si="151"/>
        <v>7.7999131598739595</v>
      </c>
    </row>
    <row r="2814" spans="1:24" s="4" customFormat="1" ht="15" customHeight="1">
      <c r="A2814" s="79" t="s">
        <v>3955</v>
      </c>
      <c r="B2814" s="80">
        <v>3394.61</v>
      </c>
      <c r="C2814" s="81" t="s">
        <v>4062</v>
      </c>
      <c r="D2814" s="82">
        <v>4952701172</v>
      </c>
      <c r="E2814" s="82" t="s">
        <v>14</v>
      </c>
      <c r="F2814" s="82" t="s">
        <v>4063</v>
      </c>
      <c r="G2814" s="79" t="s">
        <v>5</v>
      </c>
      <c r="H2814" s="2" t="s">
        <v>17</v>
      </c>
      <c r="I2814" s="2">
        <v>1</v>
      </c>
      <c r="J2814" s="2" t="s">
        <v>4064</v>
      </c>
      <c r="K2814" s="2">
        <v>7098</v>
      </c>
      <c r="L2814" s="35">
        <f t="shared" si="149"/>
        <v>24094941.780000001</v>
      </c>
      <c r="M2814" s="36">
        <v>3900</v>
      </c>
      <c r="N2814" s="40">
        <v>96049.913473424007</v>
      </c>
      <c r="O2814" s="40">
        <v>56900.625</v>
      </c>
      <c r="P2814" s="40">
        <v>0</v>
      </c>
      <c r="Q2814" s="40">
        <v>12413.625</v>
      </c>
      <c r="R2814" s="40">
        <v>171161.31025958</v>
      </c>
      <c r="S2814" s="40">
        <v>85413.374536464806</v>
      </c>
      <c r="T2814" s="40">
        <v>30000</v>
      </c>
      <c r="U2814" s="40">
        <v>1312827.2558714501</v>
      </c>
      <c r="V2814" s="40">
        <v>0</v>
      </c>
      <c r="W2814" s="45">
        <f t="shared" si="150"/>
        <v>1764766.1041409189</v>
      </c>
      <c r="X2814" s="46">
        <f t="shared" si="151"/>
        <v>7.3242181709928955</v>
      </c>
    </row>
    <row r="2815" spans="1:24" s="4" customFormat="1" ht="15" customHeight="1">
      <c r="A2815" s="79" t="s">
        <v>3955</v>
      </c>
      <c r="B2815" s="80">
        <v>3394.61</v>
      </c>
      <c r="C2815" s="81" t="s">
        <v>4062</v>
      </c>
      <c r="D2815" s="82">
        <v>4952701172</v>
      </c>
      <c r="E2815" s="82" t="s">
        <v>14</v>
      </c>
      <c r="F2815" s="82" t="s">
        <v>4063</v>
      </c>
      <c r="G2815" s="79" t="s">
        <v>5</v>
      </c>
      <c r="H2815" s="2" t="s">
        <v>17</v>
      </c>
      <c r="I2815" s="2">
        <v>1</v>
      </c>
      <c r="J2815" s="2" t="s">
        <v>4064</v>
      </c>
      <c r="K2815" s="2">
        <v>3570</v>
      </c>
      <c r="L2815" s="35">
        <f t="shared" si="149"/>
        <v>12118757.700000001</v>
      </c>
      <c r="M2815" s="36">
        <v>840</v>
      </c>
      <c r="N2815" s="40">
        <v>20687.673671199002</v>
      </c>
      <c r="O2815" s="40">
        <v>56900.625</v>
      </c>
      <c r="P2815" s="40">
        <v>0</v>
      </c>
      <c r="Q2815" s="40">
        <v>12413.625</v>
      </c>
      <c r="R2815" s="40">
        <v>36865.5129789864</v>
      </c>
      <c r="S2815" s="40">
        <v>18396.726823238601</v>
      </c>
      <c r="T2815" s="40">
        <v>30000</v>
      </c>
      <c r="U2815" s="40">
        <v>282762.793572311</v>
      </c>
      <c r="V2815" s="40">
        <v>0</v>
      </c>
      <c r="W2815" s="45">
        <f t="shared" si="150"/>
        <v>458026.95704573498</v>
      </c>
      <c r="X2815" s="46">
        <f t="shared" si="151"/>
        <v>3.7794877031474514</v>
      </c>
    </row>
    <row r="2816" spans="1:24" s="4" customFormat="1" ht="15" customHeight="1">
      <c r="A2816" s="79" t="s">
        <v>3955</v>
      </c>
      <c r="B2816" s="80">
        <v>3394.61</v>
      </c>
      <c r="C2816" s="81" t="s">
        <v>4065</v>
      </c>
      <c r="D2816" s="82">
        <v>4952461109</v>
      </c>
      <c r="E2816" s="82" t="s">
        <v>14</v>
      </c>
      <c r="F2816" s="83" t="s">
        <v>4066</v>
      </c>
      <c r="G2816" s="79" t="s">
        <v>9</v>
      </c>
      <c r="H2816" s="2" t="s">
        <v>23</v>
      </c>
      <c r="I2816" s="2">
        <v>1</v>
      </c>
      <c r="J2816" s="2"/>
      <c r="K2816" s="2">
        <v>813.2</v>
      </c>
      <c r="L2816" s="35">
        <f t="shared" si="149"/>
        <v>2760496.8520000004</v>
      </c>
      <c r="M2816" s="36">
        <v>190</v>
      </c>
      <c r="N2816" s="40">
        <v>514468</v>
      </c>
      <c r="O2816" s="40">
        <v>169</v>
      </c>
      <c r="P2816" s="40">
        <v>0</v>
      </c>
      <c r="Q2816" s="40">
        <v>3687</v>
      </c>
      <c r="R2816" s="40">
        <v>89562</v>
      </c>
      <c r="S2816" s="40">
        <v>354356</v>
      </c>
      <c r="T2816" s="40">
        <v>30000</v>
      </c>
      <c r="U2816" s="40">
        <v>195385.714285714</v>
      </c>
      <c r="V2816" s="40">
        <v>0</v>
      </c>
      <c r="W2816" s="45">
        <f t="shared" si="150"/>
        <v>1187627.7142857141</v>
      </c>
      <c r="X2816" s="46">
        <f t="shared" si="151"/>
        <v>43.022244833399071</v>
      </c>
    </row>
    <row r="2817" spans="1:24" s="4" customFormat="1" ht="15" customHeight="1">
      <c r="A2817" s="79" t="s">
        <v>3955</v>
      </c>
      <c r="B2817" s="80">
        <v>3394.61</v>
      </c>
      <c r="C2817" s="81" t="s">
        <v>4067</v>
      </c>
      <c r="D2817" s="82">
        <v>4952367451</v>
      </c>
      <c r="E2817" s="82" t="s">
        <v>14</v>
      </c>
      <c r="F2817" s="82" t="s">
        <v>4068</v>
      </c>
      <c r="G2817" s="79" t="s">
        <v>5</v>
      </c>
      <c r="H2817" s="2" t="s">
        <v>17</v>
      </c>
      <c r="I2817" s="2">
        <v>1</v>
      </c>
      <c r="J2817" s="2" t="s">
        <v>4069</v>
      </c>
      <c r="K2817" s="2">
        <v>6780</v>
      </c>
      <c r="L2817" s="35">
        <f t="shared" si="149"/>
        <v>23015455.800000001</v>
      </c>
      <c r="M2817" s="36">
        <v>1500</v>
      </c>
      <c r="N2817" s="40">
        <v>28649.432432432401</v>
      </c>
      <c r="O2817" s="40">
        <v>113801.25</v>
      </c>
      <c r="P2817" s="40">
        <v>0</v>
      </c>
      <c r="Q2817" s="40">
        <v>24827.25</v>
      </c>
      <c r="R2817" s="40">
        <v>47407.054054054097</v>
      </c>
      <c r="S2817" s="40">
        <v>28731.567567567599</v>
      </c>
      <c r="T2817" s="40">
        <v>30000</v>
      </c>
      <c r="U2817" s="40">
        <v>457341.89189189201</v>
      </c>
      <c r="V2817" s="40">
        <v>0</v>
      </c>
      <c r="W2817" s="45">
        <f t="shared" si="150"/>
        <v>730758.44594594603</v>
      </c>
      <c r="X2817" s="46">
        <f t="shared" si="151"/>
        <v>3.175077010405964</v>
      </c>
    </row>
    <row r="2818" spans="1:24" s="4" customFormat="1" ht="15" customHeight="1">
      <c r="A2818" s="79" t="s">
        <v>3955</v>
      </c>
      <c r="B2818" s="80">
        <v>3394.61</v>
      </c>
      <c r="C2818" s="81" t="s">
        <v>4067</v>
      </c>
      <c r="D2818" s="82">
        <v>4952367451</v>
      </c>
      <c r="E2818" s="82" t="s">
        <v>14</v>
      </c>
      <c r="F2818" s="82" t="s">
        <v>4068</v>
      </c>
      <c r="G2818" s="79" t="s">
        <v>5</v>
      </c>
      <c r="H2818" s="2" t="s">
        <v>17</v>
      </c>
      <c r="I2818" s="2">
        <v>1</v>
      </c>
      <c r="J2818" s="2" t="s">
        <v>4069</v>
      </c>
      <c r="K2818" s="2">
        <v>3952</v>
      </c>
      <c r="L2818" s="35">
        <f t="shared" si="149"/>
        <v>13415498.720000001</v>
      </c>
      <c r="M2818" s="36">
        <v>1600</v>
      </c>
      <c r="N2818" s="40">
        <v>30559.3945945946</v>
      </c>
      <c r="O2818" s="40">
        <v>113801.25</v>
      </c>
      <c r="P2818" s="40">
        <v>0</v>
      </c>
      <c r="Q2818" s="40">
        <v>24827.25</v>
      </c>
      <c r="R2818" s="40">
        <v>50567.524324324302</v>
      </c>
      <c r="S2818" s="40">
        <v>30647.005405405402</v>
      </c>
      <c r="T2818" s="40">
        <v>30000</v>
      </c>
      <c r="U2818" s="40">
        <v>487831.35135135101</v>
      </c>
      <c r="V2818" s="40">
        <v>0</v>
      </c>
      <c r="W2818" s="45">
        <f t="shared" si="150"/>
        <v>768233.77567567537</v>
      </c>
      <c r="X2818" s="46">
        <f t="shared" si="151"/>
        <v>5.7264645296442271</v>
      </c>
    </row>
    <row r="2819" spans="1:24" s="4" customFormat="1" ht="15" customHeight="1">
      <c r="A2819" s="79" t="s">
        <v>3955</v>
      </c>
      <c r="B2819" s="80">
        <v>3394.61</v>
      </c>
      <c r="C2819" s="81" t="s">
        <v>4067</v>
      </c>
      <c r="D2819" s="82">
        <v>4952461137</v>
      </c>
      <c r="E2819" s="82" t="s">
        <v>14</v>
      </c>
      <c r="F2819" s="82" t="s">
        <v>4068</v>
      </c>
      <c r="G2819" s="79" t="s">
        <v>5</v>
      </c>
      <c r="H2819" s="2" t="s">
        <v>17</v>
      </c>
      <c r="I2819" s="2">
        <v>1</v>
      </c>
      <c r="J2819" s="2" t="s">
        <v>4069</v>
      </c>
      <c r="K2819" s="2">
        <v>25900</v>
      </c>
      <c r="L2819" s="35">
        <f t="shared" si="149"/>
        <v>87920399</v>
      </c>
      <c r="M2819" s="36">
        <v>2800</v>
      </c>
      <c r="N2819" s="40">
        <v>53478.940540540498</v>
      </c>
      <c r="O2819" s="40">
        <v>113801.25</v>
      </c>
      <c r="P2819" s="40">
        <v>0</v>
      </c>
      <c r="Q2819" s="40">
        <v>24827.25</v>
      </c>
      <c r="R2819" s="40">
        <v>88493.167567567594</v>
      </c>
      <c r="S2819" s="40">
        <v>53632.259459459499</v>
      </c>
      <c r="T2819" s="40">
        <v>30000</v>
      </c>
      <c r="U2819" s="40">
        <v>853704.86486486497</v>
      </c>
      <c r="V2819" s="40">
        <v>0</v>
      </c>
      <c r="W2819" s="45">
        <f t="shared" si="150"/>
        <v>1217937.7324324325</v>
      </c>
      <c r="X2819" s="46">
        <f t="shared" si="151"/>
        <v>1.3852732088174811</v>
      </c>
    </row>
    <row r="2820" spans="1:24" s="4" customFormat="1" ht="15" customHeight="1">
      <c r="A2820" s="79" t="s">
        <v>3955</v>
      </c>
      <c r="B2820" s="80">
        <v>3394.61</v>
      </c>
      <c r="C2820" s="81" t="s">
        <v>4067</v>
      </c>
      <c r="D2820" s="82">
        <v>4951798435</v>
      </c>
      <c r="E2820" s="82" t="s">
        <v>14</v>
      </c>
      <c r="F2820" s="82" t="s">
        <v>4068</v>
      </c>
      <c r="G2820" s="79" t="s">
        <v>5</v>
      </c>
      <c r="H2820" s="2" t="s">
        <v>17</v>
      </c>
      <c r="I2820" s="2">
        <v>1</v>
      </c>
      <c r="J2820" s="2" t="s">
        <v>4069</v>
      </c>
      <c r="K2820" s="2">
        <v>45217</v>
      </c>
      <c r="L2820" s="35">
        <f t="shared" si="149"/>
        <v>153494080.37</v>
      </c>
      <c r="M2820" s="36">
        <v>10975</v>
      </c>
      <c r="N2820" s="40">
        <v>240655.23243243201</v>
      </c>
      <c r="O2820" s="40">
        <v>113801.25</v>
      </c>
      <c r="P2820" s="40">
        <v>0</v>
      </c>
      <c r="Q2820" s="40">
        <v>24827.25</v>
      </c>
      <c r="R2820" s="40">
        <v>398219.25405405398</v>
      </c>
      <c r="S2820" s="40">
        <v>241345.16756756799</v>
      </c>
      <c r="T2820" s="40">
        <v>30000</v>
      </c>
      <c r="U2820" s="40">
        <v>3841671.8918918902</v>
      </c>
      <c r="V2820" s="40">
        <v>0</v>
      </c>
      <c r="W2820" s="45">
        <f t="shared" si="150"/>
        <v>4890520.0459459443</v>
      </c>
      <c r="X2820" s="46">
        <f t="shared" si="151"/>
        <v>3.186129415647343</v>
      </c>
    </row>
    <row r="2821" spans="1:24" s="4" customFormat="1" ht="15" customHeight="1">
      <c r="A2821" s="79" t="s">
        <v>3955</v>
      </c>
      <c r="B2821" s="80">
        <v>3394.61</v>
      </c>
      <c r="C2821" s="81" t="s">
        <v>4070</v>
      </c>
      <c r="D2821" s="82">
        <v>4952577856</v>
      </c>
      <c r="E2821" s="82" t="s">
        <v>14</v>
      </c>
      <c r="F2821" s="82" t="s">
        <v>4071</v>
      </c>
      <c r="G2821" s="79" t="s">
        <v>5</v>
      </c>
      <c r="H2821" s="2" t="s">
        <v>20</v>
      </c>
      <c r="I2821" s="2">
        <v>1</v>
      </c>
      <c r="J2821" s="2" t="s">
        <v>4072</v>
      </c>
      <c r="K2821" s="2">
        <v>37686.5</v>
      </c>
      <c r="L2821" s="35">
        <f t="shared" si="149"/>
        <v>127930969.765</v>
      </c>
      <c r="M2821" s="36">
        <v>950</v>
      </c>
      <c r="N2821" s="40">
        <v>113788.423728814</v>
      </c>
      <c r="O2821" s="40">
        <v>86746.5</v>
      </c>
      <c r="P2821" s="40">
        <v>0</v>
      </c>
      <c r="Q2821" s="40">
        <v>24827.25</v>
      </c>
      <c r="R2821" s="40">
        <v>153008.288135593</v>
      </c>
      <c r="S2821" s="40">
        <v>114114.64406779699</v>
      </c>
      <c r="T2821" s="40">
        <v>30000</v>
      </c>
      <c r="U2821" s="40">
        <v>843406.779661017</v>
      </c>
      <c r="V2821" s="40">
        <v>0</v>
      </c>
      <c r="W2821" s="45">
        <f t="shared" si="150"/>
        <v>1365891.8855932211</v>
      </c>
      <c r="X2821" s="46">
        <f t="shared" si="151"/>
        <v>1.0676788334382725</v>
      </c>
    </row>
    <row r="2822" spans="1:24" s="4" customFormat="1" ht="15" customHeight="1">
      <c r="A2822" s="79" t="s">
        <v>3955</v>
      </c>
      <c r="B2822" s="80">
        <v>3394.61</v>
      </c>
      <c r="C2822" s="81" t="s">
        <v>4070</v>
      </c>
      <c r="D2822" s="82">
        <v>4952864218</v>
      </c>
      <c r="E2822" s="82" t="s">
        <v>14</v>
      </c>
      <c r="F2822" s="82" t="s">
        <v>4071</v>
      </c>
      <c r="G2822" s="79" t="s">
        <v>5</v>
      </c>
      <c r="H2822" s="2" t="s">
        <v>20</v>
      </c>
      <c r="I2822" s="2">
        <v>1</v>
      </c>
      <c r="J2822" s="2" t="s">
        <v>4072</v>
      </c>
      <c r="K2822" s="2">
        <v>2384.5</v>
      </c>
      <c r="L2822" s="35">
        <f t="shared" si="149"/>
        <v>8094447.5449999999</v>
      </c>
      <c r="M2822" s="36">
        <v>950</v>
      </c>
      <c r="N2822" s="40">
        <v>113788.423728814</v>
      </c>
      <c r="O2822" s="40">
        <v>86746.5</v>
      </c>
      <c r="P2822" s="40">
        <v>0</v>
      </c>
      <c r="Q2822" s="40">
        <v>24827.25</v>
      </c>
      <c r="R2822" s="40">
        <v>153008.288135593</v>
      </c>
      <c r="S2822" s="40">
        <v>114114.64406779699</v>
      </c>
      <c r="T2822" s="40">
        <v>30000</v>
      </c>
      <c r="U2822" s="40">
        <v>843406.779661017</v>
      </c>
      <c r="V2822" s="40">
        <v>0</v>
      </c>
      <c r="W2822" s="45">
        <f t="shared" si="150"/>
        <v>1365891.8855932211</v>
      </c>
      <c r="X2822" s="46">
        <f t="shared" si="151"/>
        <v>16.874430008962658</v>
      </c>
    </row>
    <row r="2823" spans="1:24" s="4" customFormat="1" ht="15" customHeight="1">
      <c r="A2823" s="79" t="s">
        <v>3955</v>
      </c>
      <c r="B2823" s="80">
        <v>3394.61</v>
      </c>
      <c r="C2823" s="81" t="s">
        <v>4070</v>
      </c>
      <c r="D2823" s="82">
        <v>4952701172</v>
      </c>
      <c r="E2823" s="82" t="s">
        <v>14</v>
      </c>
      <c r="F2823" s="82" t="s">
        <v>4071</v>
      </c>
      <c r="G2823" s="79" t="s">
        <v>5</v>
      </c>
      <c r="H2823" s="2" t="s">
        <v>20</v>
      </c>
      <c r="I2823" s="2">
        <v>1</v>
      </c>
      <c r="J2823" s="2" t="s">
        <v>4072</v>
      </c>
      <c r="K2823" s="2">
        <v>3792</v>
      </c>
      <c r="L2823" s="35">
        <f t="shared" si="149"/>
        <v>12872361.120000001</v>
      </c>
      <c r="M2823" s="36">
        <v>600</v>
      </c>
      <c r="N2823" s="40">
        <v>71866.372881355899</v>
      </c>
      <c r="O2823" s="40">
        <v>86746.5</v>
      </c>
      <c r="P2823" s="40">
        <v>0</v>
      </c>
      <c r="Q2823" s="40">
        <v>24827.25</v>
      </c>
      <c r="R2823" s="40">
        <v>96636.813559322007</v>
      </c>
      <c r="S2823" s="40">
        <v>72072.406779661003</v>
      </c>
      <c r="T2823" s="40">
        <v>30000</v>
      </c>
      <c r="U2823" s="40">
        <v>532677.96610169497</v>
      </c>
      <c r="V2823" s="40">
        <v>0</v>
      </c>
      <c r="W2823" s="45">
        <f t="shared" si="150"/>
        <v>914827.30932203389</v>
      </c>
      <c r="X2823" s="46">
        <f t="shared" si="151"/>
        <v>7.1069114733011292</v>
      </c>
    </row>
    <row r="2824" spans="1:24" s="4" customFormat="1" ht="15" customHeight="1">
      <c r="A2824" s="79" t="s">
        <v>3955</v>
      </c>
      <c r="B2824" s="80">
        <v>3394.61</v>
      </c>
      <c r="C2824" s="81" t="s">
        <v>4070</v>
      </c>
      <c r="D2824" s="82">
        <v>4952701172</v>
      </c>
      <c r="E2824" s="82" t="s">
        <v>14</v>
      </c>
      <c r="F2824" s="82" t="s">
        <v>4071</v>
      </c>
      <c r="G2824" s="79" t="s">
        <v>5</v>
      </c>
      <c r="H2824" s="2" t="s">
        <v>20</v>
      </c>
      <c r="I2824" s="2">
        <v>1</v>
      </c>
      <c r="J2824" s="2" t="s">
        <v>4072</v>
      </c>
      <c r="K2824" s="2">
        <v>9927</v>
      </c>
      <c r="L2824" s="35">
        <f t="shared" si="149"/>
        <v>33698293.469999999</v>
      </c>
      <c r="M2824" s="36">
        <v>450</v>
      </c>
      <c r="N2824" s="40">
        <v>53899.779661016997</v>
      </c>
      <c r="O2824" s="40">
        <v>86746.5</v>
      </c>
      <c r="P2824" s="40">
        <v>0</v>
      </c>
      <c r="Q2824" s="40">
        <v>24827.25</v>
      </c>
      <c r="R2824" s="40">
        <v>72477.610169491498</v>
      </c>
      <c r="S2824" s="40">
        <v>54054.3050847458</v>
      </c>
      <c r="T2824" s="40">
        <v>30000</v>
      </c>
      <c r="U2824" s="40">
        <v>399508.47457627102</v>
      </c>
      <c r="V2824" s="40">
        <v>0</v>
      </c>
      <c r="W2824" s="45">
        <f t="shared" si="150"/>
        <v>721513.91949152527</v>
      </c>
      <c r="X2824" s="46">
        <f t="shared" si="151"/>
        <v>2.1410992818786361</v>
      </c>
    </row>
    <row r="2825" spans="1:24" s="4" customFormat="1" ht="15" customHeight="1">
      <c r="A2825" s="79" t="s">
        <v>3955</v>
      </c>
      <c r="B2825" s="80">
        <v>3394.61</v>
      </c>
      <c r="C2825" s="81" t="s">
        <v>4073</v>
      </c>
      <c r="D2825" s="82">
        <v>4950689588</v>
      </c>
      <c r="E2825" s="82" t="s">
        <v>6</v>
      </c>
      <c r="F2825" s="82" t="s">
        <v>4074</v>
      </c>
      <c r="G2825" s="79" t="s">
        <v>5</v>
      </c>
      <c r="H2825" s="2" t="s">
        <v>17</v>
      </c>
      <c r="I2825" s="2">
        <v>1</v>
      </c>
      <c r="J2825" s="2" t="s">
        <v>4075</v>
      </c>
      <c r="K2825" s="2">
        <v>16744</v>
      </c>
      <c r="L2825" s="35">
        <f t="shared" si="149"/>
        <v>56839349.840000004</v>
      </c>
      <c r="M2825" s="36">
        <v>10400</v>
      </c>
      <c r="N2825" s="40">
        <v>353343</v>
      </c>
      <c r="O2825" s="40">
        <v>567305</v>
      </c>
      <c r="P2825" s="40">
        <v>0</v>
      </c>
      <c r="Q2825" s="40">
        <v>124137</v>
      </c>
      <c r="R2825" s="40">
        <v>564954</v>
      </c>
      <c r="S2825" s="40">
        <v>354356</v>
      </c>
      <c r="T2825" s="40">
        <v>30000</v>
      </c>
      <c r="U2825" s="40">
        <v>4816050</v>
      </c>
      <c r="V2825" s="40">
        <v>0</v>
      </c>
      <c r="W2825" s="45">
        <f t="shared" si="150"/>
        <v>6810145</v>
      </c>
      <c r="X2825" s="46">
        <f t="shared" si="151"/>
        <v>11.981391446542274</v>
      </c>
    </row>
    <row r="2826" spans="1:24" s="4" customFormat="1" ht="15" customHeight="1">
      <c r="A2826" s="79" t="s">
        <v>3955</v>
      </c>
      <c r="B2826" s="80">
        <v>3394.61</v>
      </c>
      <c r="C2826" s="81" t="s">
        <v>4076</v>
      </c>
      <c r="D2826" s="82">
        <v>4951900513</v>
      </c>
      <c r="E2826" s="82" t="s">
        <v>36</v>
      </c>
      <c r="F2826" s="82" t="s">
        <v>4077</v>
      </c>
      <c r="G2826" s="79" t="s">
        <v>5</v>
      </c>
      <c r="H2826" s="2" t="s">
        <v>20</v>
      </c>
      <c r="I2826" s="2">
        <v>2</v>
      </c>
      <c r="J2826" s="2" t="s">
        <v>4078</v>
      </c>
      <c r="K2826" s="2">
        <v>60450</v>
      </c>
      <c r="L2826" s="35">
        <f t="shared" si="149"/>
        <v>205204174.5</v>
      </c>
      <c r="M2826" s="36">
        <v>39000</v>
      </c>
      <c r="N2826" s="40">
        <v>734402</v>
      </c>
      <c r="O2826" s="40">
        <v>693973</v>
      </c>
      <c r="P2826" s="40">
        <v>0</v>
      </c>
      <c r="Q2826" s="40">
        <v>198619</v>
      </c>
      <c r="R2826" s="40">
        <v>1107913</v>
      </c>
      <c r="S2826" s="40">
        <v>354356</v>
      </c>
      <c r="T2826" s="40"/>
      <c r="U2826" s="40">
        <v>1038600</v>
      </c>
      <c r="V2826" s="40">
        <v>0</v>
      </c>
      <c r="W2826" s="45">
        <f t="shared" si="150"/>
        <v>4127863</v>
      </c>
      <c r="X2826" s="46">
        <f t="shared" si="151"/>
        <v>2.0115882194199708</v>
      </c>
    </row>
    <row r="2827" spans="1:24" s="4" customFormat="1" ht="15" customHeight="1">
      <c r="A2827" s="79" t="s">
        <v>3955</v>
      </c>
      <c r="B2827" s="80">
        <v>3394.61</v>
      </c>
      <c r="C2827" s="81" t="s">
        <v>4079</v>
      </c>
      <c r="D2827" s="82">
        <v>4952221341</v>
      </c>
      <c r="E2827" s="82" t="s">
        <v>24</v>
      </c>
      <c r="F2827" s="82" t="s">
        <v>4080</v>
      </c>
      <c r="G2827" s="79" t="s">
        <v>5</v>
      </c>
      <c r="H2827" s="2" t="s">
        <v>26</v>
      </c>
      <c r="I2827" s="2">
        <v>1</v>
      </c>
      <c r="J2827" s="2" t="s">
        <v>4081</v>
      </c>
      <c r="K2827" s="2">
        <v>19006</v>
      </c>
      <c r="L2827" s="35">
        <f t="shared" si="149"/>
        <v>64517957.660000004</v>
      </c>
      <c r="M2827" s="36">
        <v>22360</v>
      </c>
      <c r="N2827" s="40">
        <v>337699</v>
      </c>
      <c r="O2827" s="40">
        <v>125000</v>
      </c>
      <c r="P2827" s="40">
        <v>364135</v>
      </c>
      <c r="Q2827" s="40">
        <v>99309</v>
      </c>
      <c r="R2827" s="40">
        <v>528080</v>
      </c>
      <c r="S2827" s="40">
        <v>354356</v>
      </c>
      <c r="T2827" s="40"/>
      <c r="U2827" s="40">
        <v>0</v>
      </c>
      <c r="V2827" s="40">
        <v>0</v>
      </c>
      <c r="W2827" s="45">
        <f t="shared" si="150"/>
        <v>1808579</v>
      </c>
      <c r="X2827" s="46">
        <f t="shared" si="151"/>
        <v>2.80321799634598</v>
      </c>
    </row>
    <row r="2828" spans="1:24" s="4" customFormat="1" ht="15" customHeight="1">
      <c r="A2828" s="79" t="s">
        <v>3955</v>
      </c>
      <c r="B2828" s="80">
        <v>3394.61</v>
      </c>
      <c r="C2828" s="81" t="s">
        <v>4082</v>
      </c>
      <c r="D2828" s="82" t="s">
        <v>4083</v>
      </c>
      <c r="E2828" s="82" t="s">
        <v>33</v>
      </c>
      <c r="F2828" s="82" t="s">
        <v>4084</v>
      </c>
      <c r="G2828" s="79" t="s">
        <v>5</v>
      </c>
      <c r="H2828" s="2" t="s">
        <v>17</v>
      </c>
      <c r="I2828" s="2">
        <v>1</v>
      </c>
      <c r="J2828" s="2" t="s">
        <v>4085</v>
      </c>
      <c r="K2828" s="2">
        <v>16950</v>
      </c>
      <c r="L2828" s="35">
        <f t="shared" si="149"/>
        <v>57538639.5</v>
      </c>
      <c r="M2828" s="36">
        <v>25000</v>
      </c>
      <c r="N2828" s="40">
        <v>888545</v>
      </c>
      <c r="O2828" s="40">
        <v>455205</v>
      </c>
      <c r="P2828" s="40">
        <v>1892827</v>
      </c>
      <c r="Q2828" s="40">
        <v>99309</v>
      </c>
      <c r="R2828" s="40">
        <v>927470</v>
      </c>
      <c r="S2828" s="40">
        <v>354356</v>
      </c>
      <c r="T2828" s="40"/>
      <c r="U2828" s="40">
        <v>5111900</v>
      </c>
      <c r="V2828" s="40">
        <v>0</v>
      </c>
      <c r="W2828" s="45">
        <f t="shared" si="150"/>
        <v>9729612</v>
      </c>
      <c r="X2828" s="46">
        <f t="shared" si="151"/>
        <v>16.909701175676911</v>
      </c>
    </row>
    <row r="2829" spans="1:24" s="4" customFormat="1" ht="15" customHeight="1">
      <c r="A2829" s="79" t="s">
        <v>3955</v>
      </c>
      <c r="B2829" s="80">
        <v>3394.61</v>
      </c>
      <c r="C2829" s="81" t="s">
        <v>4086</v>
      </c>
      <c r="D2829" s="82">
        <v>4952218200</v>
      </c>
      <c r="E2829" s="82" t="s">
        <v>24</v>
      </c>
      <c r="F2829" s="82" t="s">
        <v>4087</v>
      </c>
      <c r="G2829" s="79" t="s">
        <v>9</v>
      </c>
      <c r="H2829" s="2" t="s">
        <v>23</v>
      </c>
      <c r="I2829" s="2">
        <v>4</v>
      </c>
      <c r="J2829" s="2"/>
      <c r="K2829" s="2">
        <v>6272</v>
      </c>
      <c r="L2829" s="35">
        <f t="shared" si="149"/>
        <v>21290993.920000002</v>
      </c>
      <c r="M2829" s="36">
        <v>3200</v>
      </c>
      <c r="N2829" s="40">
        <v>732739</v>
      </c>
      <c r="O2829" s="40">
        <v>0</v>
      </c>
      <c r="P2829" s="40">
        <v>83166</v>
      </c>
      <c r="Q2829" s="40">
        <v>50655</v>
      </c>
      <c r="R2829" s="40">
        <v>62632</v>
      </c>
      <c r="S2829" s="40">
        <v>354356</v>
      </c>
      <c r="T2829" s="40"/>
      <c r="U2829" s="40">
        <v>557750</v>
      </c>
      <c r="V2829" s="40">
        <v>0</v>
      </c>
      <c r="W2829" s="45">
        <f t="shared" si="150"/>
        <v>1841298</v>
      </c>
      <c r="X2829" s="46">
        <f t="shared" si="151"/>
        <v>8.6482482072870734</v>
      </c>
    </row>
    <row r="2830" spans="1:24" s="4" customFormat="1" ht="15" customHeight="1">
      <c r="A2830" s="79" t="s">
        <v>3955</v>
      </c>
      <c r="B2830" s="80">
        <v>3394.61</v>
      </c>
      <c r="C2830" s="81" t="s">
        <v>4088</v>
      </c>
      <c r="D2830" s="82">
        <v>4950216812</v>
      </c>
      <c r="E2830" s="82" t="s">
        <v>24</v>
      </c>
      <c r="F2830" s="82" t="s">
        <v>4089</v>
      </c>
      <c r="G2830" s="79" t="s">
        <v>9</v>
      </c>
      <c r="H2830" s="2" t="s">
        <v>23</v>
      </c>
      <c r="I2830" s="2">
        <v>4</v>
      </c>
      <c r="J2830" s="2"/>
      <c r="K2830" s="2">
        <v>6272</v>
      </c>
      <c r="L2830" s="35">
        <f t="shared" si="149"/>
        <v>21290993.920000002</v>
      </c>
      <c r="M2830" s="36">
        <v>3200</v>
      </c>
      <c r="N2830" s="40">
        <v>732739</v>
      </c>
      <c r="O2830" s="40">
        <v>0</v>
      </c>
      <c r="P2830" s="40">
        <v>83166</v>
      </c>
      <c r="Q2830" s="40">
        <v>50655</v>
      </c>
      <c r="R2830" s="40">
        <v>62632</v>
      </c>
      <c r="S2830" s="40">
        <v>354356</v>
      </c>
      <c r="T2830" s="40"/>
      <c r="U2830" s="40">
        <v>557750</v>
      </c>
      <c r="V2830" s="40">
        <v>0</v>
      </c>
      <c r="W2830" s="45">
        <f t="shared" si="150"/>
        <v>1841298</v>
      </c>
      <c r="X2830" s="46">
        <f t="shared" si="151"/>
        <v>8.6482482072870734</v>
      </c>
    </row>
    <row r="2831" spans="1:24" s="4" customFormat="1" ht="15" customHeight="1">
      <c r="A2831" s="79" t="s">
        <v>3955</v>
      </c>
      <c r="B2831" s="80">
        <v>3394.61</v>
      </c>
      <c r="C2831" s="81" t="s">
        <v>4090</v>
      </c>
      <c r="D2831" s="82">
        <v>4952461137</v>
      </c>
      <c r="E2831" s="82" t="s">
        <v>14</v>
      </c>
      <c r="F2831" s="82" t="s">
        <v>4091</v>
      </c>
      <c r="G2831" s="79" t="s">
        <v>5</v>
      </c>
      <c r="H2831" s="2" t="s">
        <v>17</v>
      </c>
      <c r="I2831" s="2">
        <v>1</v>
      </c>
      <c r="J2831" s="2" t="s">
        <v>4092</v>
      </c>
      <c r="K2831" s="2">
        <v>6372</v>
      </c>
      <c r="L2831" s="35">
        <f t="shared" si="149"/>
        <v>21630454.920000002</v>
      </c>
      <c r="M2831" s="36">
        <v>1800</v>
      </c>
      <c r="N2831" s="40">
        <v>34974.836403629401</v>
      </c>
      <c r="O2831" s="40">
        <v>26776.7647058824</v>
      </c>
      <c r="P2831" s="40">
        <v>0</v>
      </c>
      <c r="Q2831" s="40">
        <v>5841.7058823529396</v>
      </c>
      <c r="R2831" s="40">
        <v>74372.614792411303</v>
      </c>
      <c r="S2831" s="40">
        <v>35075.1058564751</v>
      </c>
      <c r="T2831" s="40">
        <v>30000</v>
      </c>
      <c r="U2831" s="40">
        <v>540499.86252405797</v>
      </c>
      <c r="V2831" s="40">
        <v>0</v>
      </c>
      <c r="W2831" s="45">
        <f t="shared" si="150"/>
        <v>747540.89016480907</v>
      </c>
      <c r="X2831" s="46">
        <f t="shared" si="151"/>
        <v>3.4559647170139547</v>
      </c>
    </row>
    <row r="2832" spans="1:24" s="4" customFormat="1" ht="15" customHeight="1">
      <c r="A2832" s="79" t="s">
        <v>3955</v>
      </c>
      <c r="B2832" s="80">
        <v>3394.61</v>
      </c>
      <c r="C2832" s="81" t="s">
        <v>4090</v>
      </c>
      <c r="D2832" s="82">
        <v>4951798435</v>
      </c>
      <c r="E2832" s="82" t="s">
        <v>14</v>
      </c>
      <c r="F2832" s="82" t="s">
        <v>4091</v>
      </c>
      <c r="G2832" s="79" t="s">
        <v>5</v>
      </c>
      <c r="H2832" s="2" t="s">
        <v>17</v>
      </c>
      <c r="I2832" s="2">
        <v>1</v>
      </c>
      <c r="J2832" s="2" t="s">
        <v>4092</v>
      </c>
      <c r="K2832" s="2">
        <v>5824</v>
      </c>
      <c r="L2832" s="35">
        <f t="shared" si="149"/>
        <v>19770208.640000001</v>
      </c>
      <c r="M2832" s="36">
        <v>1400</v>
      </c>
      <c r="N2832" s="40">
        <v>27202.650536156201</v>
      </c>
      <c r="O2832" s="40">
        <v>26776.7647058824</v>
      </c>
      <c r="P2832" s="40">
        <v>0</v>
      </c>
      <c r="Q2832" s="40">
        <v>5841.7058823529396</v>
      </c>
      <c r="R2832" s="40">
        <v>57845.367060764402</v>
      </c>
      <c r="S2832" s="40">
        <v>27280.6378883695</v>
      </c>
      <c r="T2832" s="40">
        <v>30000</v>
      </c>
      <c r="U2832" s="40">
        <v>420388.78196315601</v>
      </c>
      <c r="V2832" s="40">
        <v>0</v>
      </c>
      <c r="W2832" s="45">
        <f t="shared" si="150"/>
        <v>595335.90803668147</v>
      </c>
      <c r="X2832" s="46">
        <f t="shared" si="151"/>
        <v>3.0112778214801956</v>
      </c>
    </row>
    <row r="2833" spans="1:24" s="4" customFormat="1" ht="15" customHeight="1">
      <c r="A2833" s="79" t="s">
        <v>3955</v>
      </c>
      <c r="B2833" s="80">
        <v>3394.61</v>
      </c>
      <c r="C2833" s="81" t="s">
        <v>4090</v>
      </c>
      <c r="D2833" s="82">
        <v>4951929798</v>
      </c>
      <c r="E2833" s="82" t="s">
        <v>14</v>
      </c>
      <c r="F2833" s="82" t="s">
        <v>4091</v>
      </c>
      <c r="G2833" s="79" t="s">
        <v>5</v>
      </c>
      <c r="H2833" s="2" t="s">
        <v>17</v>
      </c>
      <c r="I2833" s="2">
        <v>1</v>
      </c>
      <c r="J2833" s="2" t="s">
        <v>4092</v>
      </c>
      <c r="K2833" s="2">
        <v>7203</v>
      </c>
      <c r="L2833" s="35">
        <f t="shared" si="149"/>
        <v>24451375.830000002</v>
      </c>
      <c r="M2833" s="36">
        <v>700</v>
      </c>
      <c r="N2833" s="40">
        <v>13601.325268078101</v>
      </c>
      <c r="O2833" s="40">
        <v>26776.7647058824</v>
      </c>
      <c r="P2833" s="40">
        <v>0</v>
      </c>
      <c r="Q2833" s="40">
        <v>5841.7058823529396</v>
      </c>
      <c r="R2833" s="40">
        <v>28922.683530382201</v>
      </c>
      <c r="S2833" s="40">
        <v>13640.318944184801</v>
      </c>
      <c r="T2833" s="40">
        <v>30000</v>
      </c>
      <c r="U2833" s="40">
        <v>210194.39098157801</v>
      </c>
      <c r="V2833" s="40">
        <v>0</v>
      </c>
      <c r="W2833" s="45">
        <f t="shared" si="150"/>
        <v>328977.18931245845</v>
      </c>
      <c r="X2833" s="46">
        <f t="shared" si="151"/>
        <v>1.3454342675835367</v>
      </c>
    </row>
    <row r="2834" spans="1:24" s="4" customFormat="1" ht="15" customHeight="1">
      <c r="A2834" s="79" t="s">
        <v>3955</v>
      </c>
      <c r="B2834" s="80">
        <v>3394.61</v>
      </c>
      <c r="C2834" s="81" t="s">
        <v>4090</v>
      </c>
      <c r="D2834" s="82">
        <v>4952165892</v>
      </c>
      <c r="E2834" s="82" t="s">
        <v>14</v>
      </c>
      <c r="F2834" s="82" t="s">
        <v>4091</v>
      </c>
      <c r="G2834" s="79" t="s">
        <v>5</v>
      </c>
      <c r="H2834" s="2" t="s">
        <v>17</v>
      </c>
      <c r="I2834" s="2">
        <v>1</v>
      </c>
      <c r="J2834" s="2" t="s">
        <v>4092</v>
      </c>
      <c r="K2834" s="2">
        <v>1219.75</v>
      </c>
      <c r="L2834" s="35">
        <f t="shared" si="149"/>
        <v>4140575.5475000003</v>
      </c>
      <c r="M2834" s="36">
        <v>175</v>
      </c>
      <c r="N2834" s="40">
        <v>3400.3313170195202</v>
      </c>
      <c r="O2834" s="40">
        <v>26776.7647058824</v>
      </c>
      <c r="P2834" s="40">
        <v>0</v>
      </c>
      <c r="Q2834" s="40">
        <v>5841.7058823529396</v>
      </c>
      <c r="R2834" s="40">
        <v>7230.6708825955502</v>
      </c>
      <c r="S2834" s="40">
        <v>3410.0797360461902</v>
      </c>
      <c r="T2834" s="40">
        <v>30000</v>
      </c>
      <c r="U2834" s="40">
        <v>52548.597745394603</v>
      </c>
      <c r="V2834" s="40">
        <v>0</v>
      </c>
      <c r="W2834" s="45">
        <f t="shared" si="150"/>
        <v>129208.15026929119</v>
      </c>
      <c r="X2834" s="46">
        <f t="shared" si="151"/>
        <v>3.1205359928115448</v>
      </c>
    </row>
    <row r="2835" spans="1:24" s="4" customFormat="1" ht="15" customHeight="1">
      <c r="A2835" s="79" t="s">
        <v>3955</v>
      </c>
      <c r="B2835" s="80">
        <v>3394.61</v>
      </c>
      <c r="C2835" s="81" t="s">
        <v>4090</v>
      </c>
      <c r="D2835" s="82">
        <v>4952165892</v>
      </c>
      <c r="E2835" s="82" t="s">
        <v>14</v>
      </c>
      <c r="F2835" s="82" t="s">
        <v>4091</v>
      </c>
      <c r="G2835" s="79" t="s">
        <v>5</v>
      </c>
      <c r="H2835" s="2" t="s">
        <v>17</v>
      </c>
      <c r="I2835" s="2">
        <v>1</v>
      </c>
      <c r="J2835" s="2" t="s">
        <v>4092</v>
      </c>
      <c r="K2835" s="2">
        <v>1102.5</v>
      </c>
      <c r="L2835" s="35">
        <f t="shared" si="149"/>
        <v>3742557.5250000004</v>
      </c>
      <c r="M2835" s="36">
        <v>175</v>
      </c>
      <c r="N2835" s="40">
        <v>3400.3313170195202</v>
      </c>
      <c r="O2835" s="40">
        <v>26776.7647058824</v>
      </c>
      <c r="P2835" s="40">
        <v>0</v>
      </c>
      <c r="Q2835" s="40">
        <v>5841.7058823529396</v>
      </c>
      <c r="R2835" s="40">
        <v>7230.6708825955502</v>
      </c>
      <c r="S2835" s="40">
        <v>3410.0797360461902</v>
      </c>
      <c r="T2835" s="40">
        <v>30000</v>
      </c>
      <c r="U2835" s="40">
        <v>52548.597745394603</v>
      </c>
      <c r="V2835" s="40">
        <v>0</v>
      </c>
      <c r="W2835" s="45">
        <f t="shared" si="150"/>
        <v>129208.15026929119</v>
      </c>
      <c r="X2835" s="46">
        <f t="shared" si="151"/>
        <v>3.4524025190311849</v>
      </c>
    </row>
    <row r="2836" spans="1:24" s="4" customFormat="1" ht="15" customHeight="1">
      <c r="A2836" s="79" t="s">
        <v>3955</v>
      </c>
      <c r="B2836" s="80">
        <v>3394.61</v>
      </c>
      <c r="C2836" s="81" t="s">
        <v>4090</v>
      </c>
      <c r="D2836" s="82">
        <v>4952351981</v>
      </c>
      <c r="E2836" s="82" t="s">
        <v>14</v>
      </c>
      <c r="F2836" s="82" t="s">
        <v>4091</v>
      </c>
      <c r="G2836" s="79" t="s">
        <v>5</v>
      </c>
      <c r="H2836" s="2" t="s">
        <v>17</v>
      </c>
      <c r="I2836" s="2">
        <v>1</v>
      </c>
      <c r="J2836" s="2" t="s">
        <v>4092</v>
      </c>
      <c r="K2836" s="2">
        <v>10348.799999999999</v>
      </c>
      <c r="L2836" s="35">
        <f t="shared" si="149"/>
        <v>35130139.968000002</v>
      </c>
      <c r="M2836" s="36">
        <v>5280</v>
      </c>
      <c r="N2836" s="40">
        <v>102592.853450646</v>
      </c>
      <c r="O2836" s="40">
        <v>26776.7647058824</v>
      </c>
      <c r="P2836" s="40">
        <v>0</v>
      </c>
      <c r="Q2836" s="40">
        <v>5841.7058823529396</v>
      </c>
      <c r="R2836" s="40">
        <v>218159.67005774</v>
      </c>
      <c r="S2836" s="40">
        <v>102886.977178994</v>
      </c>
      <c r="T2836" s="40">
        <v>30000</v>
      </c>
      <c r="U2836" s="40">
        <v>1585466.2634039</v>
      </c>
      <c r="V2836" s="40">
        <v>0</v>
      </c>
      <c r="W2836" s="45">
        <f t="shared" si="150"/>
        <v>2071724.2346795152</v>
      </c>
      <c r="X2836" s="46">
        <f t="shared" si="151"/>
        <v>5.8972843164491975</v>
      </c>
    </row>
    <row r="2837" spans="1:24" s="4" customFormat="1" ht="15" customHeight="1">
      <c r="A2837" s="79" t="s">
        <v>3955</v>
      </c>
      <c r="B2837" s="80">
        <v>3394.61</v>
      </c>
      <c r="C2837" s="81" t="s">
        <v>4090</v>
      </c>
      <c r="D2837" s="82">
        <v>4952461137</v>
      </c>
      <c r="E2837" s="82" t="s">
        <v>14</v>
      </c>
      <c r="F2837" s="82" t="s">
        <v>4091</v>
      </c>
      <c r="G2837" s="79" t="s">
        <v>5</v>
      </c>
      <c r="H2837" s="2" t="s">
        <v>17</v>
      </c>
      <c r="I2837" s="2">
        <v>1</v>
      </c>
      <c r="J2837" s="2" t="s">
        <v>4092</v>
      </c>
      <c r="K2837" s="2">
        <v>1840.5</v>
      </c>
      <c r="L2837" s="35">
        <f t="shared" si="149"/>
        <v>6247779.7050000001</v>
      </c>
      <c r="M2837" s="36">
        <v>450</v>
      </c>
      <c r="N2837" s="40">
        <v>8743.7091009073392</v>
      </c>
      <c r="O2837" s="40">
        <v>26776.7647058824</v>
      </c>
      <c r="P2837" s="40">
        <v>0</v>
      </c>
      <c r="Q2837" s="40">
        <v>5841.7058823529396</v>
      </c>
      <c r="R2837" s="40">
        <v>18593.1536981028</v>
      </c>
      <c r="S2837" s="40">
        <v>8768.7764641187805</v>
      </c>
      <c r="T2837" s="40">
        <v>30000</v>
      </c>
      <c r="U2837" s="40">
        <v>135124.96563101499</v>
      </c>
      <c r="V2837" s="40">
        <v>0</v>
      </c>
      <c r="W2837" s="45">
        <f t="shared" si="150"/>
        <v>233849.07548237924</v>
      </c>
      <c r="X2837" s="46">
        <f t="shared" si="151"/>
        <v>3.7429148677446724</v>
      </c>
    </row>
    <row r="2838" spans="1:24" s="4" customFormat="1" ht="15" customHeight="1">
      <c r="A2838" s="79" t="s">
        <v>3955</v>
      </c>
      <c r="B2838" s="80">
        <v>3394.61</v>
      </c>
      <c r="C2838" s="81" t="s">
        <v>4090</v>
      </c>
      <c r="D2838" s="82">
        <v>4952367451</v>
      </c>
      <c r="E2838" s="82" t="s">
        <v>14</v>
      </c>
      <c r="F2838" s="82" t="s">
        <v>4091</v>
      </c>
      <c r="G2838" s="79" t="s">
        <v>5</v>
      </c>
      <c r="H2838" s="2" t="s">
        <v>17</v>
      </c>
      <c r="I2838" s="2">
        <v>1</v>
      </c>
      <c r="J2838" s="2" t="s">
        <v>4092</v>
      </c>
      <c r="K2838" s="2">
        <v>1785</v>
      </c>
      <c r="L2838" s="35">
        <f t="shared" si="149"/>
        <v>6059378.8500000006</v>
      </c>
      <c r="M2838" s="36">
        <v>420</v>
      </c>
      <c r="N2838" s="40">
        <v>8160.7951608468502</v>
      </c>
      <c r="O2838" s="40">
        <v>26776.7647058824</v>
      </c>
      <c r="P2838" s="40">
        <v>0</v>
      </c>
      <c r="Q2838" s="40">
        <v>5841.7058823529396</v>
      </c>
      <c r="R2838" s="40">
        <v>17353.610118229299</v>
      </c>
      <c r="S2838" s="40">
        <v>8184.1913665108596</v>
      </c>
      <c r="T2838" s="40">
        <v>30000</v>
      </c>
      <c r="U2838" s="40">
        <v>126116.634588947</v>
      </c>
      <c r="V2838" s="40">
        <v>0</v>
      </c>
      <c r="W2838" s="45">
        <f t="shared" si="150"/>
        <v>222433.70182276936</v>
      </c>
      <c r="X2838" s="46">
        <f t="shared" si="151"/>
        <v>3.6708993995773898</v>
      </c>
    </row>
    <row r="2839" spans="1:24" s="4" customFormat="1" ht="15" customHeight="1">
      <c r="A2839" s="79" t="s">
        <v>3955</v>
      </c>
      <c r="B2839" s="80">
        <v>3394.61</v>
      </c>
      <c r="C2839" s="81" t="s">
        <v>4090</v>
      </c>
      <c r="D2839" s="82">
        <v>4952461137</v>
      </c>
      <c r="E2839" s="82" t="s">
        <v>14</v>
      </c>
      <c r="F2839" s="82" t="s">
        <v>4091</v>
      </c>
      <c r="G2839" s="79" t="s">
        <v>5</v>
      </c>
      <c r="H2839" s="2" t="s">
        <v>17</v>
      </c>
      <c r="I2839" s="2">
        <v>1</v>
      </c>
      <c r="J2839" s="2" t="s">
        <v>4092</v>
      </c>
      <c r="K2839" s="2">
        <v>11124</v>
      </c>
      <c r="L2839" s="35">
        <f t="shared" si="149"/>
        <v>37761641.640000001</v>
      </c>
      <c r="M2839" s="36">
        <v>2700</v>
      </c>
      <c r="N2839" s="40">
        <v>52462.254605444003</v>
      </c>
      <c r="O2839" s="40">
        <v>26776.7647058824</v>
      </c>
      <c r="P2839" s="40">
        <v>0</v>
      </c>
      <c r="Q2839" s="40">
        <v>5841.7058823529396</v>
      </c>
      <c r="R2839" s="40">
        <v>111558.922188617</v>
      </c>
      <c r="S2839" s="40">
        <v>52612.658784712701</v>
      </c>
      <c r="T2839" s="40">
        <v>30000</v>
      </c>
      <c r="U2839" s="40">
        <v>810749.79378608696</v>
      </c>
      <c r="V2839" s="40">
        <v>0</v>
      </c>
      <c r="W2839" s="45">
        <f t="shared" si="150"/>
        <v>1090002.0999530959</v>
      </c>
      <c r="X2839" s="46">
        <f t="shared" si="151"/>
        <v>2.886532609849469</v>
      </c>
    </row>
    <row r="2840" spans="1:24" s="4" customFormat="1" ht="15" customHeight="1">
      <c r="A2840" s="79" t="s">
        <v>3955</v>
      </c>
      <c r="B2840" s="80">
        <v>3394.61</v>
      </c>
      <c r="C2840" s="81" t="s">
        <v>4090</v>
      </c>
      <c r="D2840" s="82">
        <v>4952367451</v>
      </c>
      <c r="E2840" s="82" t="s">
        <v>14</v>
      </c>
      <c r="F2840" s="82" t="s">
        <v>4091</v>
      </c>
      <c r="G2840" s="79" t="s">
        <v>5</v>
      </c>
      <c r="H2840" s="2" t="s">
        <v>17</v>
      </c>
      <c r="I2840" s="2">
        <v>1</v>
      </c>
      <c r="J2840" s="2" t="s">
        <v>4092</v>
      </c>
      <c r="K2840" s="2">
        <v>1285.2</v>
      </c>
      <c r="L2840" s="35">
        <f t="shared" si="149"/>
        <v>4362752.7719999999</v>
      </c>
      <c r="M2840" s="36">
        <v>420</v>
      </c>
      <c r="N2840" s="40">
        <v>8160.7951608468502</v>
      </c>
      <c r="O2840" s="40">
        <v>26776.7647058824</v>
      </c>
      <c r="P2840" s="40">
        <v>0</v>
      </c>
      <c r="Q2840" s="40">
        <v>5841.7058823529396</v>
      </c>
      <c r="R2840" s="40">
        <v>17353.610118229299</v>
      </c>
      <c r="S2840" s="40">
        <v>8184.1913665108596</v>
      </c>
      <c r="T2840" s="40">
        <v>30000</v>
      </c>
      <c r="U2840" s="40">
        <v>126116.634588947</v>
      </c>
      <c r="V2840" s="40">
        <v>0</v>
      </c>
      <c r="W2840" s="45">
        <f t="shared" si="150"/>
        <v>222433.70182276936</v>
      </c>
      <c r="X2840" s="46">
        <f t="shared" si="151"/>
        <v>5.0984713883019301</v>
      </c>
    </row>
    <row r="2841" spans="1:24" s="4" customFormat="1" ht="15" customHeight="1">
      <c r="A2841" s="79" t="s">
        <v>3955</v>
      </c>
      <c r="B2841" s="80">
        <v>3394.61</v>
      </c>
      <c r="C2841" s="81" t="s">
        <v>4090</v>
      </c>
      <c r="D2841" s="82">
        <v>4952367451</v>
      </c>
      <c r="E2841" s="82" t="s">
        <v>14</v>
      </c>
      <c r="F2841" s="82" t="s">
        <v>4091</v>
      </c>
      <c r="G2841" s="79" t="s">
        <v>5</v>
      </c>
      <c r="H2841" s="2" t="s">
        <v>17</v>
      </c>
      <c r="I2841" s="2">
        <v>1</v>
      </c>
      <c r="J2841" s="2" t="s">
        <v>4092</v>
      </c>
      <c r="K2841" s="2">
        <v>3099.6</v>
      </c>
      <c r="L2841" s="35">
        <f t="shared" si="149"/>
        <v>10521933.155999999</v>
      </c>
      <c r="M2841" s="36">
        <v>820</v>
      </c>
      <c r="N2841" s="40">
        <v>15932.98102832</v>
      </c>
      <c r="O2841" s="40">
        <v>26776.7647058824</v>
      </c>
      <c r="P2841" s="40">
        <v>0</v>
      </c>
      <c r="Q2841" s="40">
        <v>5841.7058823529396</v>
      </c>
      <c r="R2841" s="40">
        <v>33880.857849876302</v>
      </c>
      <c r="S2841" s="40">
        <v>15978.659334616401</v>
      </c>
      <c r="T2841" s="40">
        <v>30000</v>
      </c>
      <c r="U2841" s="40">
        <v>246227.71514984901</v>
      </c>
      <c r="V2841" s="40">
        <v>0</v>
      </c>
      <c r="W2841" s="45">
        <f t="shared" si="150"/>
        <v>374638.68395089707</v>
      </c>
      <c r="X2841" s="46">
        <f t="shared" si="151"/>
        <v>3.5605499331390837</v>
      </c>
    </row>
    <row r="2842" spans="1:24" s="4" customFormat="1" ht="15" customHeight="1">
      <c r="A2842" s="79" t="s">
        <v>3955</v>
      </c>
      <c r="B2842" s="80">
        <v>3394.61</v>
      </c>
      <c r="C2842" s="81" t="s">
        <v>4090</v>
      </c>
      <c r="D2842" s="82">
        <v>4952461137</v>
      </c>
      <c r="E2842" s="82" t="s">
        <v>14</v>
      </c>
      <c r="F2842" s="82" t="s">
        <v>4091</v>
      </c>
      <c r="G2842" s="79" t="s">
        <v>5</v>
      </c>
      <c r="H2842" s="2" t="s">
        <v>17</v>
      </c>
      <c r="I2842" s="2">
        <v>1</v>
      </c>
      <c r="J2842" s="2" t="s">
        <v>4092</v>
      </c>
      <c r="K2842" s="2">
        <v>3792</v>
      </c>
      <c r="L2842" s="35">
        <f t="shared" si="149"/>
        <v>12872361.120000001</v>
      </c>
      <c r="M2842" s="36">
        <v>400</v>
      </c>
      <c r="N2842" s="40">
        <v>7772.1858674731902</v>
      </c>
      <c r="O2842" s="40">
        <v>26776.7647058824</v>
      </c>
      <c r="P2842" s="40">
        <v>0</v>
      </c>
      <c r="Q2842" s="40">
        <v>5841.7058823529396</v>
      </c>
      <c r="R2842" s="40">
        <v>16527.247731646999</v>
      </c>
      <c r="S2842" s="40">
        <v>7794.4679681055804</v>
      </c>
      <c r="T2842" s="40">
        <v>30000</v>
      </c>
      <c r="U2842" s="40">
        <v>120111.080560902</v>
      </c>
      <c r="V2842" s="40">
        <v>0</v>
      </c>
      <c r="W2842" s="45">
        <f t="shared" si="150"/>
        <v>214823.45271636313</v>
      </c>
      <c r="X2842" s="46">
        <f t="shared" si="151"/>
        <v>1.6688737265348186</v>
      </c>
    </row>
    <row r="2843" spans="1:24" s="4" customFormat="1" ht="15" customHeight="1">
      <c r="A2843" s="79" t="s">
        <v>3955</v>
      </c>
      <c r="B2843" s="80">
        <v>3394.61</v>
      </c>
      <c r="C2843" s="81" t="s">
        <v>4090</v>
      </c>
      <c r="D2843" s="82">
        <v>4952698981</v>
      </c>
      <c r="E2843" s="82" t="s">
        <v>14</v>
      </c>
      <c r="F2843" s="82" t="s">
        <v>4091</v>
      </c>
      <c r="G2843" s="79" t="s">
        <v>5</v>
      </c>
      <c r="H2843" s="2" t="s">
        <v>17</v>
      </c>
      <c r="I2843" s="2">
        <v>1</v>
      </c>
      <c r="J2843" s="2" t="s">
        <v>4092</v>
      </c>
      <c r="K2843" s="2">
        <v>6019.2</v>
      </c>
      <c r="L2843" s="35">
        <f t="shared" si="149"/>
        <v>20432836.512000002</v>
      </c>
      <c r="M2843" s="36">
        <v>1520</v>
      </c>
      <c r="N2843" s="40">
        <v>29534.306296398099</v>
      </c>
      <c r="O2843" s="40">
        <v>26776.7647058824</v>
      </c>
      <c r="P2843" s="40">
        <v>0</v>
      </c>
      <c r="Q2843" s="40">
        <v>5841.7058823529396</v>
      </c>
      <c r="R2843" s="40">
        <v>62803.541380258503</v>
      </c>
      <c r="S2843" s="40">
        <v>29618.978278801202</v>
      </c>
      <c r="T2843" s="40">
        <v>30000</v>
      </c>
      <c r="U2843" s="40">
        <v>456422.10613142699</v>
      </c>
      <c r="V2843" s="40">
        <v>0</v>
      </c>
      <c r="W2843" s="45">
        <f t="shared" si="150"/>
        <v>640997.40267512016</v>
      </c>
      <c r="X2843" s="46">
        <f t="shared" si="151"/>
        <v>3.1370945600170037</v>
      </c>
    </row>
    <row r="2844" spans="1:24" s="4" customFormat="1" ht="15" customHeight="1">
      <c r="A2844" s="79" t="s">
        <v>3955</v>
      </c>
      <c r="B2844" s="80">
        <v>3394.61</v>
      </c>
      <c r="C2844" s="81" t="s">
        <v>4090</v>
      </c>
      <c r="D2844" s="82">
        <v>4952270618</v>
      </c>
      <c r="E2844" s="82" t="s">
        <v>14</v>
      </c>
      <c r="F2844" s="82" t="s">
        <v>4091</v>
      </c>
      <c r="G2844" s="79" t="s">
        <v>5</v>
      </c>
      <c r="H2844" s="2" t="s">
        <v>17</v>
      </c>
      <c r="I2844" s="2">
        <v>1</v>
      </c>
      <c r="J2844" s="2" t="s">
        <v>4092</v>
      </c>
      <c r="K2844" s="2">
        <v>3420</v>
      </c>
      <c r="L2844" s="35">
        <f t="shared" si="149"/>
        <v>11609566.200000001</v>
      </c>
      <c r="M2844" s="36">
        <v>1125</v>
      </c>
      <c r="N2844" s="40">
        <v>21859.2727522684</v>
      </c>
      <c r="O2844" s="40">
        <v>26776.7647058824</v>
      </c>
      <c r="P2844" s="40">
        <v>0</v>
      </c>
      <c r="Q2844" s="40">
        <v>5841.7058823529396</v>
      </c>
      <c r="R2844" s="40">
        <v>46482.884245257097</v>
      </c>
      <c r="S2844" s="40">
        <v>21921.941160296901</v>
      </c>
      <c r="T2844" s="40">
        <v>30000</v>
      </c>
      <c r="U2844" s="40">
        <v>337812.41407753603</v>
      </c>
      <c r="V2844" s="40">
        <v>0</v>
      </c>
      <c r="W2844" s="45">
        <f t="shared" si="150"/>
        <v>490694.98282359377</v>
      </c>
      <c r="X2844" s="46">
        <f t="shared" si="151"/>
        <v>4.2266435659206092</v>
      </c>
    </row>
    <row r="2845" spans="1:24" s="4" customFormat="1" ht="15" customHeight="1">
      <c r="A2845" s="79" t="s">
        <v>3955</v>
      </c>
      <c r="B2845" s="80">
        <v>3394.61</v>
      </c>
      <c r="C2845" s="81" t="s">
        <v>4090</v>
      </c>
      <c r="D2845" s="82">
        <v>4952461137</v>
      </c>
      <c r="E2845" s="82" t="s">
        <v>14</v>
      </c>
      <c r="F2845" s="82" t="s">
        <v>4091</v>
      </c>
      <c r="G2845" s="79" t="s">
        <v>5</v>
      </c>
      <c r="H2845" s="2" t="s">
        <v>17</v>
      </c>
      <c r="I2845" s="2">
        <v>1</v>
      </c>
      <c r="J2845" s="2" t="s">
        <v>4092</v>
      </c>
      <c r="K2845" s="2">
        <v>4896</v>
      </c>
      <c r="L2845" s="35">
        <f t="shared" si="149"/>
        <v>16620010.560000001</v>
      </c>
      <c r="M2845" s="36">
        <v>300</v>
      </c>
      <c r="N2845" s="40">
        <v>5829.1394006048904</v>
      </c>
      <c r="O2845" s="40">
        <v>26776.7647058824</v>
      </c>
      <c r="P2845" s="40">
        <v>0</v>
      </c>
      <c r="Q2845" s="40">
        <v>5841.7058823529396</v>
      </c>
      <c r="R2845" s="40">
        <v>12395.4357987352</v>
      </c>
      <c r="S2845" s="40">
        <v>5845.8509760791903</v>
      </c>
      <c r="T2845" s="40">
        <v>30000</v>
      </c>
      <c r="U2845" s="40">
        <v>90083.310420676396</v>
      </c>
      <c r="V2845" s="40">
        <v>0</v>
      </c>
      <c r="W2845" s="45">
        <f t="shared" si="150"/>
        <v>176772.20718433103</v>
      </c>
      <c r="X2845" s="46">
        <f t="shared" si="151"/>
        <v>1.0636106791037503</v>
      </c>
    </row>
    <row r="2846" spans="1:24" s="4" customFormat="1" ht="15" customHeight="1">
      <c r="A2846" s="79" t="s">
        <v>3955</v>
      </c>
      <c r="B2846" s="80">
        <v>3394.61</v>
      </c>
      <c r="C2846" s="81" t="s">
        <v>4090</v>
      </c>
      <c r="D2846" s="82">
        <v>4952461137</v>
      </c>
      <c r="E2846" s="82" t="s">
        <v>14</v>
      </c>
      <c r="F2846" s="82" t="s">
        <v>4091</v>
      </c>
      <c r="G2846" s="79" t="s">
        <v>5</v>
      </c>
      <c r="H2846" s="2" t="s">
        <v>17</v>
      </c>
      <c r="I2846" s="2">
        <v>1</v>
      </c>
      <c r="J2846" s="2" t="s">
        <v>4092</v>
      </c>
      <c r="K2846" s="2">
        <v>3736</v>
      </c>
      <c r="L2846" s="35">
        <f t="shared" si="149"/>
        <v>12682262.960000001</v>
      </c>
      <c r="M2846" s="36">
        <v>400</v>
      </c>
      <c r="N2846" s="40">
        <v>7772.1858674731902</v>
      </c>
      <c r="O2846" s="40">
        <v>26776.7647058824</v>
      </c>
      <c r="P2846" s="40">
        <v>0</v>
      </c>
      <c r="Q2846" s="40">
        <v>5841.7058823529396</v>
      </c>
      <c r="R2846" s="40">
        <v>16527.247731646999</v>
      </c>
      <c r="S2846" s="40">
        <v>7794.4679681055804</v>
      </c>
      <c r="T2846" s="40">
        <v>30000</v>
      </c>
      <c r="U2846" s="40">
        <v>120111.080560902</v>
      </c>
      <c r="V2846" s="40">
        <v>0</v>
      </c>
      <c r="W2846" s="45">
        <f t="shared" si="150"/>
        <v>214823.45271636313</v>
      </c>
      <c r="X2846" s="46">
        <f t="shared" si="151"/>
        <v>1.6938889644057902</v>
      </c>
    </row>
    <row r="2847" spans="1:24" s="4" customFormat="1" ht="15" customHeight="1">
      <c r="A2847" s="79" t="s">
        <v>3955</v>
      </c>
      <c r="B2847" s="80">
        <v>3394.61</v>
      </c>
      <c r="C2847" s="81" t="s">
        <v>4090</v>
      </c>
      <c r="D2847" s="82">
        <v>4952701160</v>
      </c>
      <c r="E2847" s="82" t="s">
        <v>14</v>
      </c>
      <c r="F2847" s="82" t="s">
        <v>4091</v>
      </c>
      <c r="G2847" s="79" t="s">
        <v>5</v>
      </c>
      <c r="H2847" s="2" t="s">
        <v>17</v>
      </c>
      <c r="I2847" s="2">
        <v>1</v>
      </c>
      <c r="J2847" s="2" t="s">
        <v>4092</v>
      </c>
      <c r="K2847" s="2">
        <v>395</v>
      </c>
      <c r="L2847" s="35">
        <f t="shared" si="149"/>
        <v>1340870.95</v>
      </c>
      <c r="M2847" s="36">
        <v>100</v>
      </c>
      <c r="N2847" s="40">
        <v>1943.0464668683001</v>
      </c>
      <c r="O2847" s="40">
        <v>26776.7647058824</v>
      </c>
      <c r="P2847" s="40">
        <v>0</v>
      </c>
      <c r="Q2847" s="40">
        <v>5841.7058823529396</v>
      </c>
      <c r="R2847" s="40">
        <v>4131.8119329117399</v>
      </c>
      <c r="S2847" s="40">
        <v>1948.6169920264001</v>
      </c>
      <c r="T2847" s="40">
        <v>30000</v>
      </c>
      <c r="U2847" s="40">
        <v>30027.770140225501</v>
      </c>
      <c r="V2847" s="40">
        <v>0</v>
      </c>
      <c r="W2847" s="45">
        <f t="shared" si="150"/>
        <v>100669.71612026729</v>
      </c>
      <c r="X2847" s="46">
        <f t="shared" si="151"/>
        <v>7.5077856016097062</v>
      </c>
    </row>
    <row r="2848" spans="1:24" s="4" customFormat="1" ht="15" customHeight="1">
      <c r="A2848" s="79" t="s">
        <v>3955</v>
      </c>
      <c r="B2848" s="80">
        <v>3394.61</v>
      </c>
      <c r="C2848" s="81" t="s">
        <v>4093</v>
      </c>
      <c r="D2848" s="82">
        <v>4950898136</v>
      </c>
      <c r="E2848" s="82" t="s">
        <v>14</v>
      </c>
      <c r="F2848" s="82" t="s">
        <v>4094</v>
      </c>
      <c r="G2848" s="79" t="s">
        <v>5</v>
      </c>
      <c r="H2848" s="2" t="s">
        <v>17</v>
      </c>
      <c r="I2848" s="2">
        <v>1</v>
      </c>
      <c r="J2848" s="2" t="s">
        <v>4095</v>
      </c>
      <c r="K2848" s="2">
        <f>65880+3660+62220</f>
        <v>131760</v>
      </c>
      <c r="L2848" s="35">
        <f t="shared" si="149"/>
        <v>447273813.60000002</v>
      </c>
      <c r="M2848" s="36">
        <f>18000+1000+17000</f>
        <v>36000</v>
      </c>
      <c r="N2848" s="40">
        <v>706686</v>
      </c>
      <c r="O2848" s="40">
        <v>455205</v>
      </c>
      <c r="P2848" s="40">
        <v>0</v>
      </c>
      <c r="Q2848" s="40">
        <v>99309</v>
      </c>
      <c r="R2848" s="40">
        <v>1130391</v>
      </c>
      <c r="S2848" s="40">
        <v>354356</v>
      </c>
      <c r="T2848" s="40">
        <v>30000</v>
      </c>
      <c r="U2848" s="40">
        <v>10893100</v>
      </c>
      <c r="V2848" s="40">
        <v>0</v>
      </c>
      <c r="W2848" s="45">
        <f t="shared" si="150"/>
        <v>13669047</v>
      </c>
      <c r="X2848" s="46">
        <f t="shared" si="151"/>
        <v>3.0560803213541852</v>
      </c>
    </row>
    <row r="2849" spans="1:24" s="4" customFormat="1" ht="15" customHeight="1">
      <c r="A2849" s="79" t="s">
        <v>3955</v>
      </c>
      <c r="B2849" s="80">
        <v>3394.61</v>
      </c>
      <c r="C2849" s="81" t="s">
        <v>4096</v>
      </c>
      <c r="D2849" s="82">
        <v>4952462809</v>
      </c>
      <c r="E2849" s="82" t="s">
        <v>14</v>
      </c>
      <c r="F2849" s="82" t="s">
        <v>4097</v>
      </c>
      <c r="G2849" s="79" t="s">
        <v>5</v>
      </c>
      <c r="H2849" s="2" t="s">
        <v>20</v>
      </c>
      <c r="I2849" s="2">
        <v>1</v>
      </c>
      <c r="J2849" s="2" t="s">
        <v>4098</v>
      </c>
      <c r="K2849" s="2">
        <v>34675.199999999997</v>
      </c>
      <c r="L2849" s="35">
        <f t="shared" si="149"/>
        <v>117708780.67199999</v>
      </c>
      <c r="M2849" s="36">
        <v>15480</v>
      </c>
      <c r="N2849" s="40">
        <v>449072</v>
      </c>
      <c r="O2849" s="40">
        <v>346986</v>
      </c>
      <c r="P2849" s="40">
        <v>0</v>
      </c>
      <c r="Q2849" s="40">
        <v>99309</v>
      </c>
      <c r="R2849" s="40">
        <v>446941</v>
      </c>
      <c r="S2849" s="40">
        <v>354356</v>
      </c>
      <c r="T2849" s="40">
        <v>30000</v>
      </c>
      <c r="U2849" s="40">
        <v>6404400</v>
      </c>
      <c r="V2849" s="40">
        <v>0</v>
      </c>
      <c r="W2849" s="45">
        <f t="shared" si="150"/>
        <v>8131064</v>
      </c>
      <c r="X2849" s="46">
        <f t="shared" si="151"/>
        <v>6.9077803317473148</v>
      </c>
    </row>
    <row r="2850" spans="1:24" s="4" customFormat="1" ht="15" customHeight="1">
      <c r="A2850" s="79" t="s">
        <v>3955</v>
      </c>
      <c r="B2850" s="80">
        <v>3394.61</v>
      </c>
      <c r="C2850" s="81" t="s">
        <v>4099</v>
      </c>
      <c r="D2850" s="82">
        <v>4950898114</v>
      </c>
      <c r="E2850" s="82" t="s">
        <v>14</v>
      </c>
      <c r="F2850" s="82" t="s">
        <v>4100</v>
      </c>
      <c r="G2850" s="79" t="s">
        <v>5</v>
      </c>
      <c r="H2850" s="2" t="s">
        <v>17</v>
      </c>
      <c r="I2850" s="2">
        <v>1</v>
      </c>
      <c r="J2850" s="2" t="s">
        <v>4101</v>
      </c>
      <c r="K2850" s="2">
        <f>65880+65880</f>
        <v>131760</v>
      </c>
      <c r="L2850" s="35">
        <f t="shared" si="149"/>
        <v>447273813.60000002</v>
      </c>
      <c r="M2850" s="36">
        <f>18000+18000</f>
        <v>36000</v>
      </c>
      <c r="N2850" s="40">
        <v>706688</v>
      </c>
      <c r="O2850" s="40">
        <v>455205</v>
      </c>
      <c r="P2850" s="40">
        <v>0</v>
      </c>
      <c r="Q2850" s="40">
        <v>99309</v>
      </c>
      <c r="R2850" s="40">
        <v>1129911</v>
      </c>
      <c r="S2850" s="40">
        <v>354356</v>
      </c>
      <c r="T2850" s="40">
        <v>30000</v>
      </c>
      <c r="U2850" s="40">
        <v>10893100</v>
      </c>
      <c r="V2850" s="40">
        <v>0</v>
      </c>
      <c r="W2850" s="45">
        <f t="shared" si="150"/>
        <v>13668569</v>
      </c>
      <c r="X2850" s="46">
        <f t="shared" si="151"/>
        <v>3.0559734516950492</v>
      </c>
    </row>
    <row r="2851" spans="1:24" s="4" customFormat="1" ht="15" customHeight="1">
      <c r="A2851" s="79" t="s">
        <v>3955</v>
      </c>
      <c r="B2851" s="80">
        <v>3394.61</v>
      </c>
      <c r="C2851" s="81" t="s">
        <v>4102</v>
      </c>
      <c r="D2851" s="82">
        <v>4952077924</v>
      </c>
      <c r="E2851" s="82" t="s">
        <v>18</v>
      </c>
      <c r="F2851" s="82" t="s">
        <v>4103</v>
      </c>
      <c r="G2851" s="79" t="s">
        <v>5</v>
      </c>
      <c r="H2851" s="2" t="s">
        <v>20</v>
      </c>
      <c r="I2851" s="2">
        <v>1</v>
      </c>
      <c r="J2851" s="2" t="s">
        <v>4104</v>
      </c>
      <c r="K2851" s="2">
        <v>36800</v>
      </c>
      <c r="L2851" s="35">
        <f t="shared" ref="L2851:L2914" si="152">B2851*K2851</f>
        <v>124921648</v>
      </c>
      <c r="M2851" s="36">
        <v>8000</v>
      </c>
      <c r="N2851" s="40">
        <v>411835</v>
      </c>
      <c r="O2851" s="40">
        <v>346986</v>
      </c>
      <c r="P2851" s="40">
        <v>0</v>
      </c>
      <c r="Q2851" s="40">
        <v>99309</v>
      </c>
      <c r="R2851" s="40">
        <v>446792</v>
      </c>
      <c r="S2851" s="40">
        <v>354356</v>
      </c>
      <c r="T2851" s="40">
        <v>30000</v>
      </c>
      <c r="U2851" s="40">
        <v>3249500</v>
      </c>
      <c r="V2851" s="40">
        <v>0</v>
      </c>
      <c r="W2851" s="45">
        <f t="shared" ref="W2851:W2914" si="153">+SUM(N2851:V2851)</f>
        <v>4938778</v>
      </c>
      <c r="X2851" s="46">
        <f t="shared" ref="X2851:X2914" si="154">(W2851/L2851)*100</f>
        <v>3.9535005173803026</v>
      </c>
    </row>
    <row r="2852" spans="1:24" s="4" customFormat="1" ht="15" customHeight="1">
      <c r="A2852" s="79" t="s">
        <v>3955</v>
      </c>
      <c r="B2852" s="80">
        <v>3394.61</v>
      </c>
      <c r="C2852" s="81" t="s">
        <v>4105</v>
      </c>
      <c r="D2852" s="82">
        <v>4951930705</v>
      </c>
      <c r="E2852" s="82" t="s">
        <v>33</v>
      </c>
      <c r="F2852" s="82" t="s">
        <v>4106</v>
      </c>
      <c r="G2852" s="79" t="s">
        <v>5</v>
      </c>
      <c r="H2852" s="2" t="s">
        <v>17</v>
      </c>
      <c r="I2852" s="2">
        <v>3</v>
      </c>
      <c r="J2852" s="2" t="s">
        <v>4107</v>
      </c>
      <c r="K2852" s="2">
        <v>14665.2</v>
      </c>
      <c r="L2852" s="35">
        <f t="shared" si="152"/>
        <v>49782634.572000004</v>
      </c>
      <c r="M2852" s="36">
        <v>170</v>
      </c>
      <c r="N2852" s="40">
        <v>190599.934349355</v>
      </c>
      <c r="O2852" s="40">
        <v>273123</v>
      </c>
      <c r="P2852" s="40">
        <v>0</v>
      </c>
      <c r="Q2852" s="40">
        <v>59585.599999999999</v>
      </c>
      <c r="R2852" s="40">
        <v>331512.67526377499</v>
      </c>
      <c r="S2852" s="40">
        <v>56497.556858147698</v>
      </c>
      <c r="T2852" s="48"/>
      <c r="U2852" s="40">
        <v>2272642.9073856999</v>
      </c>
      <c r="V2852" s="40">
        <v>0</v>
      </c>
      <c r="W2852" s="45">
        <f t="shared" si="153"/>
        <v>3183961.6738569774</v>
      </c>
      <c r="X2852" s="46">
        <f t="shared" si="154"/>
        <v>6.3957275488344303</v>
      </c>
    </row>
    <row r="2853" spans="1:24" s="4" customFormat="1" ht="15" customHeight="1">
      <c r="A2853" s="79" t="s">
        <v>3955</v>
      </c>
      <c r="B2853" s="80">
        <v>3394.61</v>
      </c>
      <c r="C2853" s="81" t="s">
        <v>4105</v>
      </c>
      <c r="D2853" s="82">
        <v>4951930705</v>
      </c>
      <c r="E2853" s="82" t="s">
        <v>33</v>
      </c>
      <c r="F2853" s="82" t="s">
        <v>4106</v>
      </c>
      <c r="G2853" s="79" t="s">
        <v>5</v>
      </c>
      <c r="H2853" s="2" t="s">
        <v>17</v>
      </c>
      <c r="I2853" s="2">
        <v>3</v>
      </c>
      <c r="J2853" s="2" t="s">
        <v>4107</v>
      </c>
      <c r="K2853" s="2">
        <v>16500</v>
      </c>
      <c r="L2853" s="35">
        <f t="shared" si="152"/>
        <v>56011065</v>
      </c>
      <c r="M2853" s="36">
        <v>125</v>
      </c>
      <c r="N2853" s="40">
        <v>140147.010550996</v>
      </c>
      <c r="O2853" s="40">
        <v>273123</v>
      </c>
      <c r="P2853" s="40">
        <v>0</v>
      </c>
      <c r="Q2853" s="40">
        <v>59585.599999999999</v>
      </c>
      <c r="R2853" s="40">
        <v>243759.320046893</v>
      </c>
      <c r="S2853" s="40">
        <v>41542.321219226302</v>
      </c>
      <c r="T2853" s="48"/>
      <c r="U2853" s="40">
        <v>1671060.96131301</v>
      </c>
      <c r="V2853" s="40">
        <v>0</v>
      </c>
      <c r="W2853" s="45">
        <f t="shared" si="153"/>
        <v>2429218.2131301253</v>
      </c>
      <c r="X2853" s="46">
        <f t="shared" si="154"/>
        <v>4.3370327151074983</v>
      </c>
    </row>
    <row r="2854" spans="1:24" s="4" customFormat="1" ht="15" customHeight="1">
      <c r="A2854" s="79" t="s">
        <v>3955</v>
      </c>
      <c r="B2854" s="80">
        <v>3394.61</v>
      </c>
      <c r="C2854" s="81" t="s">
        <v>4105</v>
      </c>
      <c r="D2854" s="82">
        <v>4951930705</v>
      </c>
      <c r="E2854" s="82" t="s">
        <v>33</v>
      </c>
      <c r="F2854" s="82" t="s">
        <v>4106</v>
      </c>
      <c r="G2854" s="79" t="s">
        <v>5</v>
      </c>
      <c r="H2854" s="2" t="s">
        <v>17</v>
      </c>
      <c r="I2854" s="2">
        <v>3</v>
      </c>
      <c r="J2854" s="2" t="s">
        <v>4107</v>
      </c>
      <c r="K2854" s="2">
        <v>10078.5</v>
      </c>
      <c r="L2854" s="35">
        <f t="shared" si="152"/>
        <v>34212576.884999998</v>
      </c>
      <c r="M2854" s="36">
        <v>300</v>
      </c>
      <c r="N2854" s="40">
        <v>556294.87211410701</v>
      </c>
      <c r="O2854" s="40">
        <v>273123</v>
      </c>
      <c r="P2854" s="40">
        <v>0</v>
      </c>
      <c r="Q2854" s="40">
        <v>59585.599999999999</v>
      </c>
      <c r="R2854" s="40">
        <v>967570.11968346999</v>
      </c>
      <c r="S2854" s="40">
        <v>164896.70510355601</v>
      </c>
      <c r="T2854" s="48"/>
      <c r="U2854" s="40">
        <v>6633053.6778038302</v>
      </c>
      <c r="V2854" s="40">
        <v>0</v>
      </c>
      <c r="W2854" s="45">
        <f t="shared" si="153"/>
        <v>8654523.9747049622</v>
      </c>
      <c r="X2854" s="46">
        <f t="shared" si="154"/>
        <v>25.296323056271774</v>
      </c>
    </row>
    <row r="2855" spans="1:24" s="4" customFormat="1" ht="15" customHeight="1">
      <c r="A2855" s="79" t="s">
        <v>3955</v>
      </c>
      <c r="B2855" s="80">
        <v>3394.61</v>
      </c>
      <c r="C2855" s="81" t="s">
        <v>4105</v>
      </c>
      <c r="D2855" s="82">
        <v>4951930705</v>
      </c>
      <c r="E2855" s="82" t="s">
        <v>33</v>
      </c>
      <c r="F2855" s="82" t="s">
        <v>4106</v>
      </c>
      <c r="G2855" s="79" t="s">
        <v>5</v>
      </c>
      <c r="H2855" s="2" t="s">
        <v>17</v>
      </c>
      <c r="I2855" s="2">
        <v>3</v>
      </c>
      <c r="J2855" s="2" t="s">
        <v>4107</v>
      </c>
      <c r="K2855" s="2">
        <v>28058.080000000002</v>
      </c>
      <c r="L2855" s="35">
        <f t="shared" si="152"/>
        <v>95246238.948800012</v>
      </c>
      <c r="M2855" s="36">
        <v>900</v>
      </c>
      <c r="N2855" s="40">
        <v>308412.182985541</v>
      </c>
      <c r="O2855" s="40">
        <v>273123</v>
      </c>
      <c r="P2855" s="40">
        <v>0</v>
      </c>
      <c r="Q2855" s="40">
        <v>59585.599999999999</v>
      </c>
      <c r="R2855" s="40">
        <v>536424.88500586199</v>
      </c>
      <c r="S2855" s="40">
        <v>91419.41681907</v>
      </c>
      <c r="T2855" s="48"/>
      <c r="U2855" s="40">
        <v>3677392.4534974601</v>
      </c>
      <c r="V2855" s="40">
        <v>0</v>
      </c>
      <c r="W2855" s="45">
        <f t="shared" si="153"/>
        <v>4946357.5383079331</v>
      </c>
      <c r="X2855" s="46">
        <f t="shared" si="154"/>
        <v>5.1932313473993093</v>
      </c>
    </row>
    <row r="2856" spans="1:24" s="4" customFormat="1" ht="15" customHeight="1">
      <c r="A2856" s="79" t="s">
        <v>3955</v>
      </c>
      <c r="B2856" s="80">
        <v>3394.61</v>
      </c>
      <c r="C2856" s="81" t="s">
        <v>4105</v>
      </c>
      <c r="D2856" s="82">
        <v>4951930705</v>
      </c>
      <c r="E2856" s="82" t="s">
        <v>33</v>
      </c>
      <c r="F2856" s="82" t="s">
        <v>4106</v>
      </c>
      <c r="G2856" s="79" t="s">
        <v>5</v>
      </c>
      <c r="H2856" s="2" t="s">
        <v>17</v>
      </c>
      <c r="I2856" s="2">
        <v>3</v>
      </c>
      <c r="J2856" s="2" t="s">
        <v>4107</v>
      </c>
      <c r="K2856" s="2">
        <v>5938.8</v>
      </c>
      <c r="L2856" s="35">
        <f t="shared" si="152"/>
        <v>20159909.868000001</v>
      </c>
      <c r="M2856" s="36">
        <v>170</v>
      </c>
      <c r="N2856" s="40">
        <v>190599.934349355</v>
      </c>
      <c r="O2856" s="40">
        <v>273123</v>
      </c>
      <c r="P2856" s="40">
        <v>0</v>
      </c>
      <c r="Q2856" s="40">
        <v>59585.599999999999</v>
      </c>
      <c r="R2856" s="40">
        <v>331512.67526377499</v>
      </c>
      <c r="S2856" s="40">
        <v>56497.556858147698</v>
      </c>
      <c r="T2856" s="40"/>
      <c r="U2856" s="40">
        <v>2272642.9073856999</v>
      </c>
      <c r="V2856" s="40">
        <v>0</v>
      </c>
      <c r="W2856" s="45">
        <f t="shared" si="153"/>
        <v>3183961.6738569774</v>
      </c>
      <c r="X2856" s="46">
        <f t="shared" si="154"/>
        <v>15.79353129406053</v>
      </c>
    </row>
    <row r="2857" spans="1:24" s="4" customFormat="1" ht="15" customHeight="1">
      <c r="A2857" s="79" t="s">
        <v>3955</v>
      </c>
      <c r="B2857" s="80">
        <v>3394.61</v>
      </c>
      <c r="C2857" s="81" t="s">
        <v>4108</v>
      </c>
      <c r="D2857" s="82">
        <v>4952462834</v>
      </c>
      <c r="E2857" s="82" t="s">
        <v>14</v>
      </c>
      <c r="F2857" s="82" t="s">
        <v>4109</v>
      </c>
      <c r="G2857" s="79" t="s">
        <v>9</v>
      </c>
      <c r="H2857" s="2" t="s">
        <v>23</v>
      </c>
      <c r="I2857" s="2">
        <v>1</v>
      </c>
      <c r="J2857" s="2"/>
      <c r="K2857" s="2">
        <v>1920</v>
      </c>
      <c r="L2857" s="35">
        <f t="shared" si="152"/>
        <v>6517651.2000000002</v>
      </c>
      <c r="M2857" s="36">
        <v>800</v>
      </c>
      <c r="N2857" s="40">
        <v>291058</v>
      </c>
      <c r="O2857" s="40">
        <v>591</v>
      </c>
      <c r="P2857" s="40">
        <v>0</v>
      </c>
      <c r="Q2857" s="40">
        <v>17080</v>
      </c>
      <c r="R2857" s="40">
        <v>100380</v>
      </c>
      <c r="S2857" s="40">
        <v>354356</v>
      </c>
      <c r="T2857" s="40">
        <v>30000</v>
      </c>
      <c r="U2857" s="40">
        <v>1367700</v>
      </c>
      <c r="V2857" s="40">
        <v>0</v>
      </c>
      <c r="W2857" s="45">
        <f t="shared" si="153"/>
        <v>2161165</v>
      </c>
      <c r="X2857" s="46">
        <f t="shared" si="154"/>
        <v>33.158647704252722</v>
      </c>
    </row>
    <row r="2858" spans="1:24" s="4" customFormat="1" ht="15" customHeight="1">
      <c r="A2858" s="79" t="s">
        <v>3955</v>
      </c>
      <c r="B2858" s="80">
        <v>3394.61</v>
      </c>
      <c r="C2858" s="81" t="s">
        <v>4110</v>
      </c>
      <c r="D2858" s="82">
        <v>4951101241</v>
      </c>
      <c r="E2858" s="82" t="s">
        <v>6</v>
      </c>
      <c r="F2858" s="82" t="s">
        <v>4111</v>
      </c>
      <c r="G2858" s="79" t="s">
        <v>9</v>
      </c>
      <c r="H2858" s="2" t="s">
        <v>23</v>
      </c>
      <c r="I2858" s="2">
        <v>2</v>
      </c>
      <c r="J2858" s="2"/>
      <c r="K2858" s="2">
        <v>97986</v>
      </c>
      <c r="L2858" s="35">
        <f t="shared" si="152"/>
        <v>332624255.46000004</v>
      </c>
      <c r="M2858" s="36">
        <v>1400</v>
      </c>
      <c r="N2858" s="40">
        <v>898920</v>
      </c>
      <c r="O2858" s="40">
        <v>1371</v>
      </c>
      <c r="P2858" s="40">
        <v>0</v>
      </c>
      <c r="Q2858" s="40">
        <v>39680</v>
      </c>
      <c r="R2858" s="40">
        <v>41821</v>
      </c>
      <c r="S2858" s="40">
        <v>354356</v>
      </c>
      <c r="T2858" s="40">
        <v>30000</v>
      </c>
      <c r="U2858" s="40">
        <v>1367700</v>
      </c>
      <c r="V2858" s="40">
        <v>0</v>
      </c>
      <c r="W2858" s="45">
        <f t="shared" si="153"/>
        <v>2733848</v>
      </c>
      <c r="X2858" s="46">
        <f t="shared" si="154"/>
        <v>0.82190277922433741</v>
      </c>
    </row>
    <row r="2859" spans="1:24" s="4" customFormat="1" ht="15" customHeight="1">
      <c r="A2859" s="79" t="s">
        <v>3955</v>
      </c>
      <c r="B2859" s="80">
        <v>3394.61</v>
      </c>
      <c r="C2859" s="81" t="s">
        <v>4112</v>
      </c>
      <c r="D2859" s="82">
        <v>4952165895</v>
      </c>
      <c r="E2859" s="82" t="s">
        <v>14</v>
      </c>
      <c r="F2859" s="82" t="s">
        <v>4113</v>
      </c>
      <c r="G2859" s="79" t="s">
        <v>9</v>
      </c>
      <c r="H2859" s="2" t="s">
        <v>23</v>
      </c>
      <c r="I2859" s="2">
        <v>2</v>
      </c>
      <c r="J2859" s="2"/>
      <c r="K2859" s="2">
        <v>1644</v>
      </c>
      <c r="L2859" s="35">
        <f t="shared" si="152"/>
        <v>5580738.8399999999</v>
      </c>
      <c r="M2859" s="36">
        <v>75</v>
      </c>
      <c r="N2859" s="37">
        <v>300000</v>
      </c>
      <c r="O2859" s="40">
        <v>69</v>
      </c>
      <c r="P2859" s="40">
        <v>0</v>
      </c>
      <c r="Q2859" s="40">
        <v>1794.5</v>
      </c>
      <c r="R2859" s="37">
        <v>53280</v>
      </c>
      <c r="S2859" s="37">
        <v>212613.6</v>
      </c>
      <c r="T2859" s="40">
        <v>30000</v>
      </c>
      <c r="U2859" s="64">
        <v>820620</v>
      </c>
      <c r="V2859" s="64">
        <v>0</v>
      </c>
      <c r="W2859" s="45">
        <f t="shared" si="153"/>
        <v>1418377.1</v>
      </c>
      <c r="X2859" s="46">
        <f t="shared" si="154"/>
        <v>25.415579203129312</v>
      </c>
    </row>
    <row r="2860" spans="1:24" s="4" customFormat="1" ht="15" customHeight="1">
      <c r="A2860" s="79" t="s">
        <v>3955</v>
      </c>
      <c r="B2860" s="80">
        <v>3394.61</v>
      </c>
      <c r="C2860" s="81" t="s">
        <v>4112</v>
      </c>
      <c r="D2860" s="82">
        <v>4952465111</v>
      </c>
      <c r="E2860" s="82" t="s">
        <v>14</v>
      </c>
      <c r="F2860" s="82" t="s">
        <v>4113</v>
      </c>
      <c r="G2860" s="79" t="s">
        <v>9</v>
      </c>
      <c r="H2860" s="2" t="s">
        <v>23</v>
      </c>
      <c r="I2860" s="2">
        <v>2</v>
      </c>
      <c r="J2860" s="2"/>
      <c r="K2860" s="2">
        <v>1096</v>
      </c>
      <c r="L2860" s="35">
        <f t="shared" si="152"/>
        <v>3720492.56</v>
      </c>
      <c r="M2860" s="36">
        <v>50</v>
      </c>
      <c r="N2860" s="37">
        <v>200000</v>
      </c>
      <c r="O2860" s="40">
        <v>69</v>
      </c>
      <c r="P2860" s="40">
        <v>0</v>
      </c>
      <c r="Q2860" s="40">
        <v>1794.5</v>
      </c>
      <c r="R2860" s="37">
        <v>35520</v>
      </c>
      <c r="S2860" s="37">
        <v>141742.39999999999</v>
      </c>
      <c r="T2860" s="40">
        <v>30000</v>
      </c>
      <c r="U2860" s="64">
        <v>547080</v>
      </c>
      <c r="V2860" s="64">
        <v>0</v>
      </c>
      <c r="W2860" s="45">
        <f t="shared" si="153"/>
        <v>956205.9</v>
      </c>
      <c r="X2860" s="46">
        <f t="shared" si="154"/>
        <v>25.701056636436331</v>
      </c>
    </row>
    <row r="2861" spans="1:24" s="4" customFormat="1" ht="15" customHeight="1">
      <c r="A2861" s="79" t="s">
        <v>3955</v>
      </c>
      <c r="B2861" s="80">
        <v>3394.61</v>
      </c>
      <c r="C2861" s="81" t="s">
        <v>4114</v>
      </c>
      <c r="D2861" s="82">
        <v>4950691641</v>
      </c>
      <c r="E2861" s="82" t="s">
        <v>6</v>
      </c>
      <c r="F2861" s="82" t="s">
        <v>4115</v>
      </c>
      <c r="G2861" s="79" t="s">
        <v>9</v>
      </c>
      <c r="H2861" s="2" t="s">
        <v>23</v>
      </c>
      <c r="I2861" s="2">
        <v>1</v>
      </c>
      <c r="J2861" s="2"/>
      <c r="K2861" s="2">
        <v>4322.88</v>
      </c>
      <c r="L2861" s="35">
        <f t="shared" si="152"/>
        <v>14674491.676800001</v>
      </c>
      <c r="M2861" s="36">
        <v>288</v>
      </c>
      <c r="N2861" s="40">
        <v>765473</v>
      </c>
      <c r="O2861" s="40">
        <v>346</v>
      </c>
      <c r="P2861" s="40">
        <v>6443</v>
      </c>
      <c r="Q2861" s="40">
        <v>9508</v>
      </c>
      <c r="R2861" s="40">
        <v>96614</v>
      </c>
      <c r="S2861" s="40">
        <v>354356</v>
      </c>
      <c r="T2861" s="40">
        <v>30000</v>
      </c>
      <c r="U2861" s="40">
        <v>1367700</v>
      </c>
      <c r="V2861" s="40">
        <v>0</v>
      </c>
      <c r="W2861" s="45">
        <f t="shared" si="153"/>
        <v>2630440</v>
      </c>
      <c r="X2861" s="46">
        <f t="shared" si="154"/>
        <v>17.925254638691566</v>
      </c>
    </row>
    <row r="2862" spans="1:24" s="4" customFormat="1" ht="15" customHeight="1">
      <c r="A2862" s="79" t="s">
        <v>3955</v>
      </c>
      <c r="B2862" s="80">
        <v>3394.61</v>
      </c>
      <c r="C2862" s="81" t="s">
        <v>4116</v>
      </c>
      <c r="D2862" s="82">
        <v>4951814799</v>
      </c>
      <c r="E2862" s="82" t="s">
        <v>14</v>
      </c>
      <c r="F2862" s="82" t="s">
        <v>4117</v>
      </c>
      <c r="G2862" s="79" t="s">
        <v>5</v>
      </c>
      <c r="H2862" s="2" t="s">
        <v>20</v>
      </c>
      <c r="I2862" s="2">
        <v>1</v>
      </c>
      <c r="J2862" s="2" t="s">
        <v>4118</v>
      </c>
      <c r="K2862" s="2">
        <v>34675.199999999997</v>
      </c>
      <c r="L2862" s="35">
        <f t="shared" si="152"/>
        <v>117708780.67199999</v>
      </c>
      <c r="M2862" s="36">
        <v>15480</v>
      </c>
      <c r="N2862" s="40">
        <v>449072</v>
      </c>
      <c r="O2862" s="40">
        <v>346986</v>
      </c>
      <c r="P2862" s="40">
        <v>0</v>
      </c>
      <c r="Q2862" s="40">
        <v>99309</v>
      </c>
      <c r="R2862" s="40">
        <v>446941</v>
      </c>
      <c r="S2862" s="40">
        <v>354356</v>
      </c>
      <c r="T2862" s="40">
        <v>30000</v>
      </c>
      <c r="U2862" s="40">
        <v>6404400</v>
      </c>
      <c r="V2862" s="40">
        <v>0</v>
      </c>
      <c r="W2862" s="45">
        <f t="shared" si="153"/>
        <v>8131064</v>
      </c>
      <c r="X2862" s="46">
        <f t="shared" si="154"/>
        <v>6.9077803317473148</v>
      </c>
    </row>
    <row r="2863" spans="1:24" s="4" customFormat="1" ht="15" customHeight="1">
      <c r="A2863" s="79" t="s">
        <v>3955</v>
      </c>
      <c r="B2863" s="80">
        <v>3394.61</v>
      </c>
      <c r="C2863" s="81" t="s">
        <v>4119</v>
      </c>
      <c r="D2863" s="82">
        <v>4952352310</v>
      </c>
      <c r="E2863" s="82" t="s">
        <v>14</v>
      </c>
      <c r="F2863" s="82" t="s">
        <v>4120</v>
      </c>
      <c r="G2863" s="79" t="s">
        <v>9</v>
      </c>
      <c r="H2863" s="2" t="s">
        <v>23</v>
      </c>
      <c r="I2863" s="2">
        <v>1</v>
      </c>
      <c r="J2863" s="2"/>
      <c r="K2863" s="2">
        <v>1755.6</v>
      </c>
      <c r="L2863" s="35">
        <f t="shared" si="152"/>
        <v>5959577.3159999996</v>
      </c>
      <c r="M2863" s="36">
        <v>760</v>
      </c>
      <c r="N2863" s="40">
        <v>746821</v>
      </c>
      <c r="O2863" s="40">
        <v>346</v>
      </c>
      <c r="P2863" s="40">
        <v>0</v>
      </c>
      <c r="Q2863" s="40">
        <v>9508</v>
      </c>
      <c r="R2863" s="40">
        <v>103813</v>
      </c>
      <c r="S2863" s="40">
        <v>354356</v>
      </c>
      <c r="T2863" s="40">
        <v>30000</v>
      </c>
      <c r="U2863" s="40">
        <v>1367700</v>
      </c>
      <c r="V2863" s="40">
        <v>0</v>
      </c>
      <c r="W2863" s="45">
        <f t="shared" si="153"/>
        <v>2612544</v>
      </c>
      <c r="X2863" s="46">
        <f t="shared" si="154"/>
        <v>43.837739850877711</v>
      </c>
    </row>
    <row r="2864" spans="1:24" s="4" customFormat="1" ht="15" customHeight="1">
      <c r="A2864" s="79" t="s">
        <v>3955</v>
      </c>
      <c r="B2864" s="80">
        <v>3394.61</v>
      </c>
      <c r="C2864" s="81" t="s">
        <v>4121</v>
      </c>
      <c r="D2864" s="82">
        <v>4952602540</v>
      </c>
      <c r="E2864" s="82" t="s">
        <v>18</v>
      </c>
      <c r="F2864" s="82" t="s">
        <v>4122</v>
      </c>
      <c r="G2864" s="79" t="s">
        <v>9</v>
      </c>
      <c r="H2864" s="2" t="s">
        <v>23</v>
      </c>
      <c r="I2864" s="2">
        <v>1</v>
      </c>
      <c r="J2864" s="2"/>
      <c r="K2864" s="2">
        <v>2408</v>
      </c>
      <c r="L2864" s="35">
        <f t="shared" si="152"/>
        <v>8174220.8799999999</v>
      </c>
      <c r="M2864" s="36">
        <v>160</v>
      </c>
      <c r="N2864" s="40">
        <v>1125398</v>
      </c>
      <c r="O2864" s="40">
        <v>1371</v>
      </c>
      <c r="P2864" s="40">
        <v>2147</v>
      </c>
      <c r="Q2864" s="40">
        <v>9508</v>
      </c>
      <c r="R2864" s="40">
        <v>370541</v>
      </c>
      <c r="S2864" s="40">
        <v>354356</v>
      </c>
      <c r="T2864" s="40">
        <v>30000</v>
      </c>
      <c r="U2864" s="40">
        <v>1367700</v>
      </c>
      <c r="V2864" s="40">
        <v>0</v>
      </c>
      <c r="W2864" s="45">
        <f t="shared" si="153"/>
        <v>3261021</v>
      </c>
      <c r="X2864" s="46">
        <f t="shared" si="154"/>
        <v>39.893967240092486</v>
      </c>
    </row>
    <row r="2865" spans="1:24" s="4" customFormat="1" ht="15" customHeight="1">
      <c r="A2865" s="79" t="s">
        <v>3955</v>
      </c>
      <c r="B2865" s="80">
        <v>3394.61</v>
      </c>
      <c r="C2865" s="81" t="s">
        <v>4123</v>
      </c>
      <c r="D2865" s="82">
        <v>4951411361</v>
      </c>
      <c r="E2865" s="82" t="s">
        <v>14</v>
      </c>
      <c r="F2865" s="82" t="s">
        <v>4124</v>
      </c>
      <c r="G2865" s="79" t="s">
        <v>5</v>
      </c>
      <c r="H2865" s="2" t="s">
        <v>20</v>
      </c>
      <c r="I2865" s="2">
        <v>1</v>
      </c>
      <c r="J2865" s="2" t="s">
        <v>4125</v>
      </c>
      <c r="K2865" s="2">
        <v>145017.60000000001</v>
      </c>
      <c r="L2865" s="35">
        <f t="shared" si="152"/>
        <v>492278195.13600004</v>
      </c>
      <c r="M2865" s="36">
        <v>1280</v>
      </c>
      <c r="N2865" s="40">
        <v>170778.85714285701</v>
      </c>
      <c r="O2865" s="40">
        <v>173493</v>
      </c>
      <c r="P2865" s="40">
        <v>0</v>
      </c>
      <c r="Q2865" s="40">
        <v>49654.5</v>
      </c>
      <c r="R2865" s="40">
        <v>192745.285714286</v>
      </c>
      <c r="S2865" s="40">
        <v>151866.85714285701</v>
      </c>
      <c r="T2865" s="40">
        <v>30000</v>
      </c>
      <c r="U2865" s="40">
        <v>1122428.57142857</v>
      </c>
      <c r="V2865" s="40">
        <v>572142.85714285704</v>
      </c>
      <c r="W2865" s="45">
        <f t="shared" si="153"/>
        <v>2463109.9285714272</v>
      </c>
      <c r="X2865" s="46">
        <f t="shared" si="154"/>
        <v>0.50034918322777877</v>
      </c>
    </row>
    <row r="2866" spans="1:24" s="4" customFormat="1" ht="15" customHeight="1">
      <c r="A2866" s="79" t="s">
        <v>3955</v>
      </c>
      <c r="B2866" s="80">
        <v>3394.61</v>
      </c>
      <c r="C2866" s="81" t="s">
        <v>4123</v>
      </c>
      <c r="D2866" s="82">
        <v>4951574749</v>
      </c>
      <c r="E2866" s="82" t="s">
        <v>14</v>
      </c>
      <c r="F2866" s="82" t="s">
        <v>4124</v>
      </c>
      <c r="G2866" s="79" t="s">
        <v>5</v>
      </c>
      <c r="H2866" s="2" t="s">
        <v>20</v>
      </c>
      <c r="I2866" s="2">
        <v>1</v>
      </c>
      <c r="J2866" s="2" t="s">
        <v>4125</v>
      </c>
      <c r="K2866" s="2">
        <v>108763.2</v>
      </c>
      <c r="L2866" s="35">
        <f t="shared" si="152"/>
        <v>369208646.352</v>
      </c>
      <c r="M2866" s="36">
        <v>960</v>
      </c>
      <c r="N2866" s="40">
        <v>227705.14285714299</v>
      </c>
      <c r="O2866" s="40">
        <v>173493</v>
      </c>
      <c r="P2866" s="40">
        <v>0</v>
      </c>
      <c r="Q2866" s="40">
        <v>49654.5</v>
      </c>
      <c r="R2866" s="40">
        <v>256993.714285714</v>
      </c>
      <c r="S2866" s="40">
        <v>202489.14285714299</v>
      </c>
      <c r="T2866" s="40">
        <v>30000</v>
      </c>
      <c r="U2866" s="40">
        <v>1496571.42857143</v>
      </c>
      <c r="V2866" s="40">
        <v>762857.14285714296</v>
      </c>
      <c r="W2866" s="45">
        <f t="shared" si="153"/>
        <v>3199764.0714285728</v>
      </c>
      <c r="X2866" s="46">
        <f t="shared" si="154"/>
        <v>0.86665469594066558</v>
      </c>
    </row>
    <row r="2867" spans="1:24" s="4" customFormat="1" ht="15" customHeight="1">
      <c r="A2867" s="79" t="s">
        <v>3955</v>
      </c>
      <c r="B2867" s="80">
        <v>3394.61</v>
      </c>
      <c r="C2867" s="81" t="s">
        <v>4126</v>
      </c>
      <c r="D2867" s="82">
        <v>4952462700</v>
      </c>
      <c r="E2867" s="82" t="s">
        <v>18</v>
      </c>
      <c r="F2867" s="82" t="s">
        <v>4127</v>
      </c>
      <c r="G2867" s="79" t="s">
        <v>5</v>
      </c>
      <c r="H2867" s="2" t="s">
        <v>35</v>
      </c>
      <c r="I2867" s="2">
        <v>1</v>
      </c>
      <c r="J2867" s="2" t="s">
        <v>4128</v>
      </c>
      <c r="K2867" s="2">
        <v>53840</v>
      </c>
      <c r="L2867" s="35">
        <f t="shared" si="152"/>
        <v>182765802.40000001</v>
      </c>
      <c r="M2867" s="36">
        <v>800</v>
      </c>
      <c r="N2867" s="40">
        <v>19405.7464788732</v>
      </c>
      <c r="O2867" s="40">
        <v>151735</v>
      </c>
      <c r="P2867" s="40">
        <v>0</v>
      </c>
      <c r="Q2867" s="40">
        <v>33103</v>
      </c>
      <c r="R2867" s="40">
        <v>31626.1971830986</v>
      </c>
      <c r="S2867" s="40">
        <v>19963.7183098592</v>
      </c>
      <c r="T2867" s="40">
        <v>30000</v>
      </c>
      <c r="U2867" s="40">
        <v>331549.29577464802</v>
      </c>
      <c r="V2867" s="40">
        <v>75211.267605633795</v>
      </c>
      <c r="W2867" s="45">
        <f t="shared" si="153"/>
        <v>692594.22535211279</v>
      </c>
      <c r="X2867" s="46">
        <f t="shared" si="154"/>
        <v>0.3789517602621883</v>
      </c>
    </row>
    <row r="2868" spans="1:24" s="4" customFormat="1" ht="15" customHeight="1">
      <c r="A2868" s="79" t="s">
        <v>3955</v>
      </c>
      <c r="B2868" s="80">
        <v>3394.61</v>
      </c>
      <c r="C2868" s="81" t="s">
        <v>4126</v>
      </c>
      <c r="D2868" s="82">
        <v>4952077940</v>
      </c>
      <c r="E2868" s="82" t="s">
        <v>18</v>
      </c>
      <c r="F2868" s="82" t="s">
        <v>4127</v>
      </c>
      <c r="G2868" s="79" t="s">
        <v>5</v>
      </c>
      <c r="H2868" s="2" t="s">
        <v>35</v>
      </c>
      <c r="I2868" s="2">
        <v>1</v>
      </c>
      <c r="J2868" s="2" t="s">
        <v>4128</v>
      </c>
      <c r="K2868" s="2">
        <v>12540</v>
      </c>
      <c r="L2868" s="35">
        <f t="shared" si="152"/>
        <v>42568409.399999999</v>
      </c>
      <c r="M2868" s="36">
        <v>11000</v>
      </c>
      <c r="N2868" s="40">
        <v>58217.239436619697</v>
      </c>
      <c r="O2868" s="40">
        <v>151735</v>
      </c>
      <c r="P2868" s="40">
        <v>0</v>
      </c>
      <c r="Q2868" s="40">
        <v>33103</v>
      </c>
      <c r="R2868" s="40">
        <v>94878.591549295801</v>
      </c>
      <c r="S2868" s="40">
        <v>59891.154929577497</v>
      </c>
      <c r="T2868" s="40">
        <v>30000</v>
      </c>
      <c r="U2868" s="40">
        <v>994647.88732394401</v>
      </c>
      <c r="V2868" s="40">
        <v>225633.80281690101</v>
      </c>
      <c r="W2868" s="45">
        <f t="shared" si="153"/>
        <v>1648106.676056338</v>
      </c>
      <c r="X2868" s="46">
        <f t="shared" si="154"/>
        <v>3.8716661000172072</v>
      </c>
    </row>
    <row r="2869" spans="1:24" s="4" customFormat="1" ht="15" customHeight="1">
      <c r="A2869" s="79" t="s">
        <v>3955</v>
      </c>
      <c r="B2869" s="80">
        <v>3394.61</v>
      </c>
      <c r="C2869" s="81" t="s">
        <v>4126</v>
      </c>
      <c r="D2869" s="82">
        <v>4952467952</v>
      </c>
      <c r="E2869" s="82" t="s">
        <v>18</v>
      </c>
      <c r="F2869" s="82" t="s">
        <v>4127</v>
      </c>
      <c r="G2869" s="79" t="s">
        <v>5</v>
      </c>
      <c r="H2869" s="2" t="s">
        <v>35</v>
      </c>
      <c r="I2869" s="2">
        <v>1</v>
      </c>
      <c r="J2869" s="2" t="s">
        <v>4128</v>
      </c>
      <c r="K2869" s="2">
        <v>200280</v>
      </c>
      <c r="L2869" s="35">
        <f t="shared" si="152"/>
        <v>679872490.80000007</v>
      </c>
      <c r="M2869" s="36">
        <v>2400</v>
      </c>
      <c r="N2869" s="40">
        <v>266829.01408450701</v>
      </c>
      <c r="O2869" s="40">
        <v>151735</v>
      </c>
      <c r="P2869" s="40">
        <v>0</v>
      </c>
      <c r="Q2869" s="40">
        <v>33103</v>
      </c>
      <c r="R2869" s="40">
        <v>434860.21126760601</v>
      </c>
      <c r="S2869" s="40">
        <v>274501.126760563</v>
      </c>
      <c r="T2869" s="40">
        <v>30000</v>
      </c>
      <c r="U2869" s="40">
        <v>4558802.81690141</v>
      </c>
      <c r="V2869" s="40">
        <v>1034154.92957746</v>
      </c>
      <c r="W2869" s="45">
        <f t="shared" si="153"/>
        <v>6783986.0985915456</v>
      </c>
      <c r="X2869" s="46">
        <f t="shared" si="154"/>
        <v>0.99783212152162359</v>
      </c>
    </row>
    <row r="2870" spans="1:24" s="4" customFormat="1" ht="15" customHeight="1">
      <c r="A2870" s="79" t="s">
        <v>3955</v>
      </c>
      <c r="B2870" s="80">
        <v>3394.61</v>
      </c>
      <c r="C2870" s="81" t="s">
        <v>4129</v>
      </c>
      <c r="D2870" s="82" t="s">
        <v>4130</v>
      </c>
      <c r="E2870" s="82" t="s">
        <v>14</v>
      </c>
      <c r="F2870" s="82" t="s">
        <v>4131</v>
      </c>
      <c r="G2870" s="79" t="s">
        <v>9</v>
      </c>
      <c r="H2870" s="2" t="s">
        <v>23</v>
      </c>
      <c r="I2870" s="2">
        <v>6</v>
      </c>
      <c r="J2870" s="2"/>
      <c r="K2870" s="2">
        <v>12448.8</v>
      </c>
      <c r="L2870" s="35">
        <f t="shared" si="152"/>
        <v>42258820.968000002</v>
      </c>
      <c r="M2870" s="36">
        <v>5040</v>
      </c>
      <c r="N2870" s="40">
        <v>0</v>
      </c>
      <c r="O2870" s="40">
        <v>24500</v>
      </c>
      <c r="P2870" s="40">
        <v>173969</v>
      </c>
      <c r="Q2870" s="40">
        <v>250</v>
      </c>
      <c r="R2870" s="40">
        <v>176944</v>
      </c>
      <c r="S2870" s="40">
        <v>354356</v>
      </c>
      <c r="T2870" s="40">
        <v>30000</v>
      </c>
      <c r="U2870" s="40">
        <v>2085500</v>
      </c>
      <c r="V2870" s="40">
        <v>0</v>
      </c>
      <c r="W2870" s="45">
        <f t="shared" si="153"/>
        <v>2845519</v>
      </c>
      <c r="X2870" s="46">
        <f t="shared" si="154"/>
        <v>6.7335503802974914</v>
      </c>
    </row>
    <row r="2871" spans="1:24" s="4" customFormat="1" ht="15" customHeight="1">
      <c r="A2871" s="79" t="s">
        <v>3955</v>
      </c>
      <c r="B2871" s="80">
        <v>3394.61</v>
      </c>
      <c r="C2871" s="81" t="s">
        <v>4132</v>
      </c>
      <c r="D2871" s="82">
        <v>4952735062</v>
      </c>
      <c r="E2871" s="82" t="s">
        <v>6</v>
      </c>
      <c r="F2871" s="82" t="s">
        <v>4133</v>
      </c>
      <c r="G2871" s="79" t="s">
        <v>5</v>
      </c>
      <c r="H2871" s="2" t="s">
        <v>17</v>
      </c>
      <c r="I2871" s="2">
        <v>2</v>
      </c>
      <c r="J2871" s="2" t="s">
        <v>4134</v>
      </c>
      <c r="K2871" s="2">
        <v>117900</v>
      </c>
      <c r="L2871" s="35">
        <f t="shared" si="152"/>
        <v>400224519</v>
      </c>
      <c r="M2871" s="36">
        <v>15000</v>
      </c>
      <c r="N2871" s="40">
        <v>416686.54434250802</v>
      </c>
      <c r="O2871" s="40">
        <v>567288.5</v>
      </c>
      <c r="P2871" s="40">
        <v>0</v>
      </c>
      <c r="Q2871" s="40">
        <v>124137</v>
      </c>
      <c r="R2871" s="40">
        <v>576123.34352701297</v>
      </c>
      <c r="S2871" s="40">
        <v>180609.582059123</v>
      </c>
      <c r="T2871" s="40">
        <v>30000</v>
      </c>
      <c r="U2871" s="55">
        <v>539245.66768603504</v>
      </c>
      <c r="V2871" s="55">
        <v>0</v>
      </c>
      <c r="W2871" s="45">
        <f t="shared" si="153"/>
        <v>2434090.6376146791</v>
      </c>
      <c r="X2871" s="46">
        <f t="shared" si="154"/>
        <v>0.60818128876673816</v>
      </c>
    </row>
    <row r="2872" spans="1:24" s="4" customFormat="1" ht="15" customHeight="1">
      <c r="A2872" s="79" t="s">
        <v>3955</v>
      </c>
      <c r="B2872" s="80">
        <v>3394.61</v>
      </c>
      <c r="C2872" s="81" t="s">
        <v>4132</v>
      </c>
      <c r="D2872" s="82">
        <v>4952735162</v>
      </c>
      <c r="E2872" s="82" t="s">
        <v>6</v>
      </c>
      <c r="F2872" s="82" t="s">
        <v>4133</v>
      </c>
      <c r="G2872" s="79" t="s">
        <v>5</v>
      </c>
      <c r="H2872" s="2" t="s">
        <v>17</v>
      </c>
      <c r="I2872" s="2">
        <v>2</v>
      </c>
      <c r="J2872" s="2" t="s">
        <v>4134</v>
      </c>
      <c r="K2872" s="2">
        <v>121933.5</v>
      </c>
      <c r="L2872" s="35">
        <f t="shared" si="152"/>
        <v>413916678.435</v>
      </c>
      <c r="M2872" s="36">
        <v>14430</v>
      </c>
      <c r="N2872" s="40">
        <v>400852.45565749198</v>
      </c>
      <c r="O2872" s="40">
        <v>567288.5</v>
      </c>
      <c r="P2872" s="40">
        <v>0</v>
      </c>
      <c r="Q2872" s="40">
        <v>124137</v>
      </c>
      <c r="R2872" s="40">
        <v>554230.65647298703</v>
      </c>
      <c r="S2872" s="40">
        <v>173746.417940877</v>
      </c>
      <c r="T2872" s="40">
        <v>30000</v>
      </c>
      <c r="U2872" s="55">
        <v>518754.33231396502</v>
      </c>
      <c r="V2872" s="55">
        <v>0</v>
      </c>
      <c r="W2872" s="45">
        <f t="shared" si="153"/>
        <v>2369009.3623853209</v>
      </c>
      <c r="X2872" s="46">
        <f t="shared" si="154"/>
        <v>0.57233967264678409</v>
      </c>
    </row>
    <row r="2873" spans="1:24" s="4" customFormat="1" ht="15" customHeight="1">
      <c r="A2873" s="79" t="s">
        <v>3955</v>
      </c>
      <c r="B2873" s="80">
        <v>3394.61</v>
      </c>
      <c r="C2873" s="81" t="s">
        <v>4135</v>
      </c>
      <c r="D2873" s="82">
        <v>4952461126</v>
      </c>
      <c r="E2873" s="82" t="s">
        <v>14</v>
      </c>
      <c r="F2873" s="82" t="s">
        <v>4136</v>
      </c>
      <c r="G2873" s="79" t="s">
        <v>5</v>
      </c>
      <c r="H2873" s="2" t="s">
        <v>35</v>
      </c>
      <c r="I2873" s="2">
        <v>1</v>
      </c>
      <c r="J2873" s="2" t="s">
        <v>4137</v>
      </c>
      <c r="K2873" s="2">
        <v>5344.5</v>
      </c>
      <c r="L2873" s="35">
        <f t="shared" si="152"/>
        <v>18142493.145</v>
      </c>
      <c r="M2873" s="36">
        <v>1050</v>
      </c>
      <c r="N2873" s="40">
        <v>18276.3620689655</v>
      </c>
      <c r="O2873" s="40">
        <v>227602.5</v>
      </c>
      <c r="P2873" s="40">
        <v>0</v>
      </c>
      <c r="Q2873" s="40">
        <v>49654.5</v>
      </c>
      <c r="R2873" s="40">
        <v>104755.706896552</v>
      </c>
      <c r="S2873" s="40">
        <v>18328.758620689699</v>
      </c>
      <c r="T2873" s="40">
        <v>30000</v>
      </c>
      <c r="U2873" s="40">
        <v>412267.24137931003</v>
      </c>
      <c r="V2873" s="40">
        <v>0</v>
      </c>
      <c r="W2873" s="45">
        <f t="shared" si="153"/>
        <v>860885.06896551722</v>
      </c>
      <c r="X2873" s="46">
        <f t="shared" si="154"/>
        <v>4.7451310141614895</v>
      </c>
    </row>
    <row r="2874" spans="1:24" s="4" customFormat="1" ht="15" customHeight="1">
      <c r="A2874" s="79" t="s">
        <v>3955</v>
      </c>
      <c r="B2874" s="80">
        <v>3394.61</v>
      </c>
      <c r="C2874" s="81" t="s">
        <v>4135</v>
      </c>
      <c r="D2874" s="82">
        <v>4951929645</v>
      </c>
      <c r="E2874" s="82" t="s">
        <v>14</v>
      </c>
      <c r="F2874" s="82" t="s">
        <v>4136</v>
      </c>
      <c r="G2874" s="79" t="s">
        <v>5</v>
      </c>
      <c r="H2874" s="2" t="s">
        <v>35</v>
      </c>
      <c r="I2874" s="2">
        <v>1</v>
      </c>
      <c r="J2874" s="2" t="s">
        <v>4137</v>
      </c>
      <c r="K2874" s="2">
        <v>10489.5</v>
      </c>
      <c r="L2874" s="35">
        <f t="shared" si="152"/>
        <v>35607761.594999999</v>
      </c>
      <c r="M2874" s="36">
        <v>4050</v>
      </c>
      <c r="N2874" s="40">
        <v>70494.539408867</v>
      </c>
      <c r="O2874" s="40">
        <v>227602.5</v>
      </c>
      <c r="P2874" s="40">
        <v>0</v>
      </c>
      <c r="Q2874" s="40">
        <v>49654.5</v>
      </c>
      <c r="R2874" s="40">
        <v>404057.72660098498</v>
      </c>
      <c r="S2874" s="40">
        <v>70696.640394088696</v>
      </c>
      <c r="T2874" s="40">
        <v>30000</v>
      </c>
      <c r="U2874" s="40">
        <v>1590173.6453201999</v>
      </c>
      <c r="V2874" s="40">
        <v>0</v>
      </c>
      <c r="W2874" s="45">
        <f t="shared" si="153"/>
        <v>2442679.5517241405</v>
      </c>
      <c r="X2874" s="46">
        <f t="shared" si="154"/>
        <v>6.8599637896562937</v>
      </c>
    </row>
    <row r="2875" spans="1:24" s="4" customFormat="1" ht="15" customHeight="1">
      <c r="A2875" s="79" t="s">
        <v>3955</v>
      </c>
      <c r="B2875" s="80">
        <v>3394.61</v>
      </c>
      <c r="C2875" s="81" t="s">
        <v>4138</v>
      </c>
      <c r="D2875" s="82">
        <v>4952351998</v>
      </c>
      <c r="E2875" s="82" t="s">
        <v>14</v>
      </c>
      <c r="F2875" s="82" t="s">
        <v>4139</v>
      </c>
      <c r="G2875" s="79" t="s">
        <v>5</v>
      </c>
      <c r="H2875" s="2" t="s">
        <v>35</v>
      </c>
      <c r="I2875" s="2">
        <v>1</v>
      </c>
      <c r="J2875" s="2" t="s">
        <v>4140</v>
      </c>
      <c r="K2875" s="2">
        <v>6660</v>
      </c>
      <c r="L2875" s="35">
        <f t="shared" si="152"/>
        <v>22608102.600000001</v>
      </c>
      <c r="M2875" s="36">
        <v>3600</v>
      </c>
      <c r="N2875" s="40">
        <v>107799.55932203399</v>
      </c>
      <c r="O2875" s="40">
        <v>91041</v>
      </c>
      <c r="P2875" s="40">
        <v>0</v>
      </c>
      <c r="Q2875" s="40">
        <v>19861.8</v>
      </c>
      <c r="R2875" s="40">
        <v>484379.38983050903</v>
      </c>
      <c r="S2875" s="40">
        <v>108108.61016949201</v>
      </c>
      <c r="T2875" s="40">
        <v>30000</v>
      </c>
      <c r="U2875" s="40">
        <v>1552759.3220339001</v>
      </c>
      <c r="V2875" s="40">
        <v>0</v>
      </c>
      <c r="W2875" s="45">
        <f t="shared" si="153"/>
        <v>2393949.6813559351</v>
      </c>
      <c r="X2875" s="46">
        <f t="shared" si="154"/>
        <v>10.588901349713154</v>
      </c>
    </row>
    <row r="2876" spans="1:24" s="4" customFormat="1" ht="15" customHeight="1">
      <c r="A2876" s="79" t="s">
        <v>3955</v>
      </c>
      <c r="B2876" s="80">
        <v>3394.61</v>
      </c>
      <c r="C2876" s="81" t="s">
        <v>4138</v>
      </c>
      <c r="D2876" s="82">
        <v>4952459852</v>
      </c>
      <c r="E2876" s="82" t="s">
        <v>24</v>
      </c>
      <c r="F2876" s="82" t="s">
        <v>4139</v>
      </c>
      <c r="G2876" s="79" t="s">
        <v>5</v>
      </c>
      <c r="H2876" s="2" t="s">
        <v>35</v>
      </c>
      <c r="I2876" s="2">
        <v>1</v>
      </c>
      <c r="J2876" s="2" t="s">
        <v>4140</v>
      </c>
      <c r="K2876" s="2">
        <v>4200</v>
      </c>
      <c r="L2876" s="35">
        <f t="shared" si="152"/>
        <v>14257362</v>
      </c>
      <c r="M2876" s="36">
        <v>4000</v>
      </c>
      <c r="N2876" s="40">
        <v>119777.288135593</v>
      </c>
      <c r="O2876" s="40">
        <v>91041</v>
      </c>
      <c r="P2876" s="40">
        <v>0</v>
      </c>
      <c r="Q2876" s="40">
        <v>19861.8</v>
      </c>
      <c r="R2876" s="40">
        <v>538199.32203389797</v>
      </c>
      <c r="S2876" s="40">
        <v>120120.677966102</v>
      </c>
      <c r="T2876" s="48"/>
      <c r="U2876" s="40">
        <v>1725288.1355932199</v>
      </c>
      <c r="V2876" s="40">
        <v>0</v>
      </c>
      <c r="W2876" s="45">
        <f t="shared" si="153"/>
        <v>2614288.2237288128</v>
      </c>
      <c r="X2876" s="46">
        <f t="shared" si="154"/>
        <v>18.336409103793624</v>
      </c>
    </row>
    <row r="2877" spans="1:24" s="4" customFormat="1" ht="15" customHeight="1">
      <c r="A2877" s="79" t="s">
        <v>3955</v>
      </c>
      <c r="B2877" s="80">
        <v>3394.61</v>
      </c>
      <c r="C2877" s="81" t="s">
        <v>4138</v>
      </c>
      <c r="D2877" s="82">
        <v>4952403057</v>
      </c>
      <c r="E2877" s="82" t="s">
        <v>24</v>
      </c>
      <c r="F2877" s="82" t="s">
        <v>4139</v>
      </c>
      <c r="G2877" s="79" t="s">
        <v>5</v>
      </c>
      <c r="H2877" s="2" t="s">
        <v>35</v>
      </c>
      <c r="I2877" s="2">
        <v>1</v>
      </c>
      <c r="J2877" s="2" t="s">
        <v>4140</v>
      </c>
      <c r="K2877" s="2">
        <v>2796</v>
      </c>
      <c r="L2877" s="35">
        <f t="shared" si="152"/>
        <v>9491329.5600000005</v>
      </c>
      <c r="M2877" s="36">
        <v>600</v>
      </c>
      <c r="N2877" s="40">
        <v>17966.593220339</v>
      </c>
      <c r="O2877" s="40">
        <v>91041</v>
      </c>
      <c r="P2877" s="40">
        <v>0</v>
      </c>
      <c r="Q2877" s="40">
        <v>19861.8</v>
      </c>
      <c r="R2877" s="40">
        <v>80729.898305084702</v>
      </c>
      <c r="S2877" s="40">
        <v>18018.101694915302</v>
      </c>
      <c r="T2877" s="48"/>
      <c r="U2877" s="40">
        <v>258793.220338983</v>
      </c>
      <c r="V2877" s="40">
        <v>0</v>
      </c>
      <c r="W2877" s="45">
        <f t="shared" si="153"/>
        <v>486410.61355932197</v>
      </c>
      <c r="X2877" s="46">
        <f t="shared" si="154"/>
        <v>5.1247890033155903</v>
      </c>
    </row>
    <row r="2878" spans="1:24" s="4" customFormat="1" ht="15" customHeight="1">
      <c r="A2878" s="79" t="s">
        <v>3955</v>
      </c>
      <c r="B2878" s="80">
        <v>3394.61</v>
      </c>
      <c r="C2878" s="81" t="s">
        <v>4138</v>
      </c>
      <c r="D2878" s="82">
        <v>4950978879</v>
      </c>
      <c r="E2878" s="82" t="s">
        <v>14</v>
      </c>
      <c r="F2878" s="82" t="s">
        <v>4139</v>
      </c>
      <c r="G2878" s="79" t="s">
        <v>5</v>
      </c>
      <c r="H2878" s="2" t="s">
        <v>35</v>
      </c>
      <c r="I2878" s="2">
        <v>1</v>
      </c>
      <c r="J2878" s="2" t="s">
        <v>4140</v>
      </c>
      <c r="K2878" s="2">
        <v>7428</v>
      </c>
      <c r="L2878" s="35">
        <f t="shared" si="152"/>
        <v>25215163.080000002</v>
      </c>
      <c r="M2878" s="36">
        <v>1200</v>
      </c>
      <c r="N2878" s="40">
        <v>35933.186440678001</v>
      </c>
      <c r="O2878" s="40">
        <v>91041</v>
      </c>
      <c r="P2878" s="40">
        <v>0</v>
      </c>
      <c r="Q2878" s="40">
        <v>19861.8</v>
      </c>
      <c r="R2878" s="40">
        <v>161459.796610169</v>
      </c>
      <c r="S2878" s="40">
        <v>36036.203389830502</v>
      </c>
      <c r="T2878" s="40">
        <v>30000</v>
      </c>
      <c r="U2878" s="40">
        <v>517586.44067796599</v>
      </c>
      <c r="V2878" s="40">
        <v>0</v>
      </c>
      <c r="W2878" s="45">
        <f t="shared" si="153"/>
        <v>891918.42711864342</v>
      </c>
      <c r="X2878" s="46">
        <f t="shared" si="154"/>
        <v>3.5372304525212033</v>
      </c>
    </row>
    <row r="2879" spans="1:24" s="4" customFormat="1" ht="15" customHeight="1">
      <c r="A2879" s="79" t="s">
        <v>3955</v>
      </c>
      <c r="B2879" s="80">
        <v>3394.61</v>
      </c>
      <c r="C2879" s="81" t="s">
        <v>4138</v>
      </c>
      <c r="D2879" s="82">
        <v>4952351996</v>
      </c>
      <c r="E2879" s="82" t="s">
        <v>14</v>
      </c>
      <c r="F2879" s="82" t="s">
        <v>4139</v>
      </c>
      <c r="G2879" s="79" t="s">
        <v>5</v>
      </c>
      <c r="H2879" s="2" t="s">
        <v>35</v>
      </c>
      <c r="I2879" s="2">
        <v>1</v>
      </c>
      <c r="J2879" s="2" t="s">
        <v>4140</v>
      </c>
      <c r="K2879" s="2">
        <v>6552</v>
      </c>
      <c r="L2879" s="35">
        <f t="shared" si="152"/>
        <v>22241484.720000003</v>
      </c>
      <c r="M2879" s="36">
        <v>2400</v>
      </c>
      <c r="N2879" s="40">
        <v>71866.372881355899</v>
      </c>
      <c r="O2879" s="40">
        <v>91041</v>
      </c>
      <c r="P2879" s="40">
        <v>0</v>
      </c>
      <c r="Q2879" s="40">
        <v>19861.8</v>
      </c>
      <c r="R2879" s="40">
        <v>322919.59322033898</v>
      </c>
      <c r="S2879" s="40">
        <v>72072.406779661003</v>
      </c>
      <c r="T2879" s="40">
        <v>30000</v>
      </c>
      <c r="U2879" s="40">
        <v>1035172.88135593</v>
      </c>
      <c r="V2879" s="40">
        <v>0</v>
      </c>
      <c r="W2879" s="45">
        <f t="shared" si="153"/>
        <v>1642934.0542372859</v>
      </c>
      <c r="X2879" s="46">
        <f t="shared" si="154"/>
        <v>7.3868002739939636</v>
      </c>
    </row>
    <row r="2880" spans="1:24" s="4" customFormat="1" ht="15" customHeight="1">
      <c r="A2880" s="79" t="s">
        <v>3955</v>
      </c>
      <c r="B2880" s="80">
        <v>3394.61</v>
      </c>
      <c r="C2880" s="81" t="s">
        <v>4141</v>
      </c>
      <c r="D2880" s="82" t="s">
        <v>4142</v>
      </c>
      <c r="E2880" s="82" t="s">
        <v>14</v>
      </c>
      <c r="F2880" s="82" t="s">
        <v>4143</v>
      </c>
      <c r="G2880" s="79" t="s">
        <v>5</v>
      </c>
      <c r="H2880" s="2" t="s">
        <v>17</v>
      </c>
      <c r="I2880" s="2">
        <v>1</v>
      </c>
      <c r="J2880" s="2" t="s">
        <v>4144</v>
      </c>
      <c r="K2880" s="2">
        <v>18720</v>
      </c>
      <c r="L2880" s="35">
        <f t="shared" si="152"/>
        <v>63547099.200000003</v>
      </c>
      <c r="M2880" s="36">
        <v>9000</v>
      </c>
      <c r="N2880" s="40">
        <v>353343</v>
      </c>
      <c r="O2880" s="40">
        <v>455205</v>
      </c>
      <c r="P2880" s="40">
        <v>164893</v>
      </c>
      <c r="Q2880" s="40">
        <v>99309</v>
      </c>
      <c r="R2880" s="40">
        <v>576347</v>
      </c>
      <c r="S2880" s="40">
        <v>354356</v>
      </c>
      <c r="T2880" s="40">
        <v>30000</v>
      </c>
      <c r="U2880" s="40">
        <v>5354400</v>
      </c>
      <c r="V2880" s="40">
        <v>0</v>
      </c>
      <c r="W2880" s="45">
        <f t="shared" si="153"/>
        <v>7387853</v>
      </c>
      <c r="X2880" s="46">
        <f t="shared" si="154"/>
        <v>11.625791095118942</v>
      </c>
    </row>
    <row r="2881" spans="1:24" s="4" customFormat="1" ht="15" customHeight="1">
      <c r="A2881" s="79" t="s">
        <v>3955</v>
      </c>
      <c r="B2881" s="80">
        <v>3394.61</v>
      </c>
      <c r="C2881" s="81" t="s">
        <v>4145</v>
      </c>
      <c r="D2881" s="82">
        <v>4952283444</v>
      </c>
      <c r="E2881" s="82" t="s">
        <v>14</v>
      </c>
      <c r="F2881" s="82" t="s">
        <v>4146</v>
      </c>
      <c r="G2881" s="79" t="s">
        <v>5</v>
      </c>
      <c r="H2881" s="2" t="s">
        <v>17</v>
      </c>
      <c r="I2881" s="2">
        <v>1</v>
      </c>
      <c r="J2881" s="2" t="s">
        <v>4147</v>
      </c>
      <c r="K2881" s="2">
        <v>13440</v>
      </c>
      <c r="L2881" s="35">
        <f t="shared" si="152"/>
        <v>45623558.399999999</v>
      </c>
      <c r="M2881" s="36">
        <v>16000</v>
      </c>
      <c r="N2881" s="40">
        <v>395902.17917675502</v>
      </c>
      <c r="O2881" s="40">
        <v>227602.5</v>
      </c>
      <c r="P2881" s="40">
        <v>319406.29539951601</v>
      </c>
      <c r="Q2881" s="40">
        <v>49654.5</v>
      </c>
      <c r="R2881" s="40">
        <v>550291.52542372898</v>
      </c>
      <c r="S2881" s="40">
        <v>343201.93704600498</v>
      </c>
      <c r="T2881" s="40">
        <v>30000</v>
      </c>
      <c r="U2881" s="55">
        <v>0</v>
      </c>
      <c r="V2881" s="55">
        <v>0</v>
      </c>
      <c r="W2881" s="45">
        <f t="shared" si="153"/>
        <v>1916058.9370460049</v>
      </c>
      <c r="X2881" s="46">
        <f t="shared" si="154"/>
        <v>4.1997139290345338</v>
      </c>
    </row>
    <row r="2882" spans="1:24" s="4" customFormat="1" ht="15" customHeight="1">
      <c r="A2882" s="79" t="s">
        <v>3955</v>
      </c>
      <c r="B2882" s="80">
        <v>3394.61</v>
      </c>
      <c r="C2882" s="81" t="s">
        <v>4145</v>
      </c>
      <c r="D2882" s="82">
        <v>4952864216</v>
      </c>
      <c r="E2882" s="82" t="s">
        <v>14</v>
      </c>
      <c r="F2882" s="82" t="s">
        <v>4146</v>
      </c>
      <c r="G2882" s="79" t="s">
        <v>5</v>
      </c>
      <c r="H2882" s="2" t="s">
        <v>17</v>
      </c>
      <c r="I2882" s="2">
        <v>1</v>
      </c>
      <c r="J2882" s="2" t="s">
        <v>4147</v>
      </c>
      <c r="K2882" s="2">
        <v>613.6</v>
      </c>
      <c r="L2882" s="35">
        <f t="shared" si="152"/>
        <v>2082932.6960000002</v>
      </c>
      <c r="M2882" s="36">
        <v>564</v>
      </c>
      <c r="N2882" s="40">
        <v>12866.8208232446</v>
      </c>
      <c r="O2882" s="40">
        <v>227602.5</v>
      </c>
      <c r="P2882" s="40">
        <v>10380.7046004843</v>
      </c>
      <c r="Q2882" s="40">
        <v>49654.5</v>
      </c>
      <c r="R2882" s="40">
        <v>17884.474576271201</v>
      </c>
      <c r="S2882" s="40">
        <v>11154.062953995201</v>
      </c>
      <c r="T2882" s="40">
        <v>30000</v>
      </c>
      <c r="U2882" s="55">
        <f>1367700+550000</f>
        <v>1917700</v>
      </c>
      <c r="V2882" s="55">
        <v>0</v>
      </c>
      <c r="W2882" s="45">
        <f t="shared" si="153"/>
        <v>2277243.0629539955</v>
      </c>
      <c r="X2882" s="46">
        <f t="shared" si="154"/>
        <v>109.32869157640776</v>
      </c>
    </row>
    <row r="2883" spans="1:24" s="4" customFormat="1" ht="15" customHeight="1">
      <c r="A2883" s="79" t="s">
        <v>3955</v>
      </c>
      <c r="B2883" s="80">
        <v>3394.61</v>
      </c>
      <c r="C2883" s="81" t="s">
        <v>4148</v>
      </c>
      <c r="D2883" s="82" t="s">
        <v>4142</v>
      </c>
      <c r="E2883" s="82" t="s">
        <v>14</v>
      </c>
      <c r="F2883" s="82" t="s">
        <v>4149</v>
      </c>
      <c r="G2883" s="79" t="s">
        <v>5</v>
      </c>
      <c r="H2883" s="2" t="s">
        <v>20</v>
      </c>
      <c r="I2883" s="2">
        <v>2</v>
      </c>
      <c r="J2883" s="2" t="s">
        <v>4150</v>
      </c>
      <c r="K2883" s="2">
        <f>22106.25+23580</f>
        <v>45686.25</v>
      </c>
      <c r="L2883" s="35">
        <f t="shared" si="152"/>
        <v>155087001.11250001</v>
      </c>
      <c r="M2883" s="36">
        <f>16875+18000</f>
        <v>34875</v>
      </c>
      <c r="N2883" s="40">
        <v>341945.32258064498</v>
      </c>
      <c r="O2883" s="40">
        <v>693973</v>
      </c>
      <c r="P2883" s="40">
        <v>0</v>
      </c>
      <c r="Q2883" s="40">
        <v>198619</v>
      </c>
      <c r="R2883" s="40">
        <v>440708.22580645198</v>
      </c>
      <c r="S2883" s="40">
        <v>171462.58064516101</v>
      </c>
      <c r="T2883" s="40">
        <v>30000</v>
      </c>
      <c r="U2883" s="40">
        <v>6197806.4516129</v>
      </c>
      <c r="V2883" s="40">
        <v>0</v>
      </c>
      <c r="W2883" s="45">
        <f t="shared" si="153"/>
        <v>8074514.580645158</v>
      </c>
      <c r="X2883" s="46">
        <f t="shared" si="154"/>
        <v>5.20644188276483</v>
      </c>
    </row>
    <row r="2884" spans="1:24" s="4" customFormat="1" ht="15" customHeight="1">
      <c r="A2884" s="79" t="s">
        <v>3955</v>
      </c>
      <c r="B2884" s="80">
        <v>3394.61</v>
      </c>
      <c r="C2884" s="81" t="s">
        <v>4151</v>
      </c>
      <c r="D2884" s="82" t="s">
        <v>4152</v>
      </c>
      <c r="E2884" s="82" t="s">
        <v>18</v>
      </c>
      <c r="F2884" s="82" t="s">
        <v>4153</v>
      </c>
      <c r="G2884" s="79" t="s">
        <v>9</v>
      </c>
      <c r="H2884" s="2" t="s">
        <v>23</v>
      </c>
      <c r="I2884" s="2">
        <v>4</v>
      </c>
      <c r="J2884" s="2"/>
      <c r="K2884" s="2">
        <v>31110</v>
      </c>
      <c r="L2884" s="35">
        <f t="shared" si="152"/>
        <v>105606317.10000001</v>
      </c>
      <c r="M2884" s="36">
        <v>1500</v>
      </c>
      <c r="N2884" s="40">
        <v>700191</v>
      </c>
      <c r="O2884" s="40">
        <v>1371</v>
      </c>
      <c r="P2884" s="40">
        <v>88994</v>
      </c>
      <c r="Q2884" s="40">
        <v>39680</v>
      </c>
      <c r="R2884" s="40">
        <v>256171</v>
      </c>
      <c r="S2884" s="40">
        <v>354356</v>
      </c>
      <c r="T2884" s="40">
        <v>30000</v>
      </c>
      <c r="U2884" s="40">
        <v>1367700</v>
      </c>
      <c r="V2884" s="40">
        <v>0</v>
      </c>
      <c r="W2884" s="45">
        <f t="shared" si="153"/>
        <v>2838463</v>
      </c>
      <c r="X2884" s="46">
        <f t="shared" si="154"/>
        <v>2.6877776613611308</v>
      </c>
    </row>
    <row r="2885" spans="1:24" s="4" customFormat="1" ht="15" customHeight="1">
      <c r="A2885" s="79" t="s">
        <v>3955</v>
      </c>
      <c r="B2885" s="80">
        <v>3394.61</v>
      </c>
      <c r="C2885" s="81" t="s">
        <v>4154</v>
      </c>
      <c r="D2885" s="82">
        <v>4951874476</v>
      </c>
      <c r="E2885" s="82" t="s">
        <v>14</v>
      </c>
      <c r="F2885" s="82" t="s">
        <v>4155</v>
      </c>
      <c r="G2885" s="79" t="s">
        <v>5</v>
      </c>
      <c r="H2885" s="2" t="s">
        <v>35</v>
      </c>
      <c r="I2885" s="2">
        <v>1</v>
      </c>
      <c r="J2885" s="2" t="s">
        <v>4156</v>
      </c>
      <c r="K2885" s="2">
        <v>679.8</v>
      </c>
      <c r="L2885" s="35">
        <f t="shared" si="152"/>
        <v>2307655.878</v>
      </c>
      <c r="M2885" s="36">
        <v>110</v>
      </c>
      <c r="N2885" s="40">
        <v>5288.1265306122496</v>
      </c>
      <c r="O2885" s="40">
        <v>113801.25</v>
      </c>
      <c r="P2885" s="40">
        <v>0</v>
      </c>
      <c r="Q2885" s="40">
        <v>24827.25</v>
      </c>
      <c r="R2885" s="40">
        <v>24046.568707482998</v>
      </c>
      <c r="S2885" s="40">
        <v>5303.2870748299301</v>
      </c>
      <c r="T2885" s="40">
        <v>30000</v>
      </c>
      <c r="U2885" s="40">
        <v>101865.986394558</v>
      </c>
      <c r="V2885" s="40">
        <v>0</v>
      </c>
      <c r="W2885" s="45">
        <f t="shared" si="153"/>
        <v>305132.46870748315</v>
      </c>
      <c r="X2885" s="46">
        <f t="shared" si="154"/>
        <v>13.222615712180424</v>
      </c>
    </row>
    <row r="2886" spans="1:24" s="4" customFormat="1" ht="15" customHeight="1">
      <c r="A2886" s="79" t="s">
        <v>3955</v>
      </c>
      <c r="B2886" s="80">
        <v>3394.61</v>
      </c>
      <c r="C2886" s="81" t="s">
        <v>4154</v>
      </c>
      <c r="D2886" s="82">
        <v>4951215086</v>
      </c>
      <c r="E2886" s="82" t="s">
        <v>14</v>
      </c>
      <c r="F2886" s="82" t="s">
        <v>4155</v>
      </c>
      <c r="G2886" s="79" t="s">
        <v>5</v>
      </c>
      <c r="H2886" s="2" t="s">
        <v>35</v>
      </c>
      <c r="I2886" s="2">
        <v>1</v>
      </c>
      <c r="J2886" s="2" t="s">
        <v>4156</v>
      </c>
      <c r="K2886" s="2">
        <v>6274</v>
      </c>
      <c r="L2886" s="35">
        <f t="shared" si="152"/>
        <v>21297783.140000001</v>
      </c>
      <c r="M2886" s="36">
        <f>2550+840</f>
        <v>3390</v>
      </c>
      <c r="N2886" s="40">
        <v>161528.228571429</v>
      </c>
      <c r="O2886" s="40">
        <v>113801.25</v>
      </c>
      <c r="P2886" s="40">
        <v>0</v>
      </c>
      <c r="Q2886" s="40">
        <v>24827.25</v>
      </c>
      <c r="R2886" s="40">
        <v>734513.37142857094</v>
      </c>
      <c r="S2886" s="40">
        <v>161991.314285714</v>
      </c>
      <c r="T2886" s="40">
        <v>30000</v>
      </c>
      <c r="U2886" s="40">
        <v>3111542.8571428601</v>
      </c>
      <c r="V2886" s="40">
        <v>0</v>
      </c>
      <c r="W2886" s="45">
        <f t="shared" si="153"/>
        <v>4338204.2714285739</v>
      </c>
      <c r="X2886" s="46">
        <f t="shared" si="154"/>
        <v>20.369276196079127</v>
      </c>
    </row>
    <row r="2887" spans="1:24" s="4" customFormat="1" ht="15" customHeight="1">
      <c r="A2887" s="79" t="s">
        <v>3955</v>
      </c>
      <c r="B2887" s="80">
        <v>3394.61</v>
      </c>
      <c r="C2887" s="81" t="s">
        <v>4154</v>
      </c>
      <c r="D2887" s="82">
        <v>4952367463</v>
      </c>
      <c r="E2887" s="82" t="s">
        <v>14</v>
      </c>
      <c r="F2887" s="82" t="s">
        <v>4155</v>
      </c>
      <c r="G2887" s="79" t="s">
        <v>5</v>
      </c>
      <c r="H2887" s="2" t="s">
        <v>35</v>
      </c>
      <c r="I2887" s="2">
        <v>1</v>
      </c>
      <c r="J2887" s="2" t="s">
        <v>4156</v>
      </c>
      <c r="K2887" s="2">
        <v>4760</v>
      </c>
      <c r="L2887" s="35">
        <f t="shared" si="152"/>
        <v>16158343.600000001</v>
      </c>
      <c r="M2887" s="36">
        <v>1400</v>
      </c>
      <c r="N2887" s="40">
        <v>67303.428571428594</v>
      </c>
      <c r="O2887" s="40">
        <v>113801.25</v>
      </c>
      <c r="P2887" s="40">
        <v>0</v>
      </c>
      <c r="Q2887" s="40">
        <v>24827.25</v>
      </c>
      <c r="R2887" s="40">
        <v>306047.23809523799</v>
      </c>
      <c r="S2887" s="40">
        <v>67496.380952380903</v>
      </c>
      <c r="T2887" s="40">
        <v>30000</v>
      </c>
      <c r="U2887" s="40">
        <v>1296476.1904761901</v>
      </c>
      <c r="V2887" s="40">
        <v>0</v>
      </c>
      <c r="W2887" s="45">
        <f t="shared" si="153"/>
        <v>1905951.7380952374</v>
      </c>
      <c r="X2887" s="46">
        <f t="shared" si="154"/>
        <v>11.795464840190904</v>
      </c>
    </row>
    <row r="2888" spans="1:24" s="4" customFormat="1" ht="15" customHeight="1">
      <c r="A2888" s="79" t="s">
        <v>3955</v>
      </c>
      <c r="B2888" s="80">
        <v>3394.61</v>
      </c>
      <c r="C2888" s="81" t="s">
        <v>4154</v>
      </c>
      <c r="D2888" s="82">
        <v>4952367463</v>
      </c>
      <c r="E2888" s="82" t="s">
        <v>14</v>
      </c>
      <c r="F2888" s="82" t="s">
        <v>4155</v>
      </c>
      <c r="G2888" s="79" t="s">
        <v>5</v>
      </c>
      <c r="H2888" s="2" t="s">
        <v>35</v>
      </c>
      <c r="I2888" s="2">
        <v>1</v>
      </c>
      <c r="J2888" s="2" t="s">
        <v>4156</v>
      </c>
      <c r="K2888" s="2">
        <v>6100.8</v>
      </c>
      <c r="L2888" s="35">
        <f t="shared" si="152"/>
        <v>20709836.688000001</v>
      </c>
      <c r="M2888" s="36">
        <v>2480</v>
      </c>
      <c r="N2888" s="40">
        <v>119223.21632653099</v>
      </c>
      <c r="O2888" s="40">
        <v>113801.25</v>
      </c>
      <c r="P2888" s="40">
        <v>0</v>
      </c>
      <c r="Q2888" s="40">
        <v>24827.25</v>
      </c>
      <c r="R2888" s="40">
        <v>542140.82176870701</v>
      </c>
      <c r="S2888" s="40">
        <v>119565.017687075</v>
      </c>
      <c r="T2888" s="40">
        <v>30000</v>
      </c>
      <c r="U2888" s="40">
        <v>2296614.9659863901</v>
      </c>
      <c r="V2888" s="40">
        <v>0</v>
      </c>
      <c r="W2888" s="45">
        <f t="shared" si="153"/>
        <v>3246172.5217687031</v>
      </c>
      <c r="X2888" s="46">
        <f t="shared" si="154"/>
        <v>15.674544278997857</v>
      </c>
    </row>
    <row r="2889" spans="1:24" s="4" customFormat="1" ht="15" customHeight="1">
      <c r="A2889" s="79" t="s">
        <v>3955</v>
      </c>
      <c r="B2889" s="80">
        <v>3394.61</v>
      </c>
      <c r="C2889" s="81" t="s">
        <v>4157</v>
      </c>
      <c r="D2889" s="82">
        <v>4952705656</v>
      </c>
      <c r="E2889" s="82" t="s">
        <v>24</v>
      </c>
      <c r="F2889" s="82" t="s">
        <v>4158</v>
      </c>
      <c r="G2889" s="79" t="s">
        <v>9</v>
      </c>
      <c r="H2889" s="2" t="s">
        <v>23</v>
      </c>
      <c r="I2889" s="2">
        <v>4</v>
      </c>
      <c r="J2889" s="2"/>
      <c r="K2889" s="2">
        <v>4224</v>
      </c>
      <c r="L2889" s="35">
        <f t="shared" si="152"/>
        <v>14338832.640000001</v>
      </c>
      <c r="M2889" s="36">
        <v>2400</v>
      </c>
      <c r="N2889" s="40">
        <v>918591</v>
      </c>
      <c r="O2889" s="40">
        <v>2600</v>
      </c>
      <c r="P2889" s="40">
        <v>121522</v>
      </c>
      <c r="Q2889" s="40">
        <v>5000</v>
      </c>
      <c r="R2889" s="40">
        <v>125796</v>
      </c>
      <c r="S2889" s="40">
        <v>354356</v>
      </c>
      <c r="T2889" s="40"/>
      <c r="U2889" s="40">
        <v>2085500</v>
      </c>
      <c r="V2889" s="40">
        <v>0</v>
      </c>
      <c r="W2889" s="45">
        <f t="shared" si="153"/>
        <v>3613365</v>
      </c>
      <c r="X2889" s="46">
        <f t="shared" si="154"/>
        <v>25.19985476307226</v>
      </c>
    </row>
    <row r="2890" spans="1:24" s="4" customFormat="1" ht="15" customHeight="1">
      <c r="A2890" s="79" t="s">
        <v>3955</v>
      </c>
      <c r="B2890" s="80">
        <v>3394.61</v>
      </c>
      <c r="C2890" s="81" t="s">
        <v>4159</v>
      </c>
      <c r="D2890" s="82">
        <v>4952703262</v>
      </c>
      <c r="E2890" s="82" t="s">
        <v>14</v>
      </c>
      <c r="F2890" s="82" t="s">
        <v>4160</v>
      </c>
      <c r="G2890" s="79" t="s">
        <v>5</v>
      </c>
      <c r="H2890" s="2" t="s">
        <v>20</v>
      </c>
      <c r="I2890" s="2">
        <v>1</v>
      </c>
      <c r="J2890" s="2" t="s">
        <v>4161</v>
      </c>
      <c r="K2890" s="2">
        <v>23580</v>
      </c>
      <c r="L2890" s="35">
        <f t="shared" si="152"/>
        <v>80044903.799999997</v>
      </c>
      <c r="M2890" s="36">
        <f>7650+10350</f>
        <v>18000</v>
      </c>
      <c r="N2890" s="40">
        <v>404333</v>
      </c>
      <c r="O2890" s="40">
        <v>346986</v>
      </c>
      <c r="P2890" s="40">
        <v>0</v>
      </c>
      <c r="Q2890" s="40">
        <v>99309</v>
      </c>
      <c r="R2890" s="40">
        <v>455602</v>
      </c>
      <c r="S2890" s="40">
        <v>354356</v>
      </c>
      <c r="T2890" s="40">
        <v>30000</v>
      </c>
      <c r="U2890" s="40">
        <v>6404400</v>
      </c>
      <c r="V2890" s="40">
        <v>0</v>
      </c>
      <c r="W2890" s="45">
        <f t="shared" si="153"/>
        <v>8094986</v>
      </c>
      <c r="X2890" s="46">
        <f t="shared" si="154"/>
        <v>10.113056066912282</v>
      </c>
    </row>
    <row r="2891" spans="1:24" s="4" customFormat="1" ht="15" customHeight="1">
      <c r="A2891" s="79" t="s">
        <v>3955</v>
      </c>
      <c r="B2891" s="80">
        <v>3394.61</v>
      </c>
      <c r="C2891" s="81" t="s">
        <v>4162</v>
      </c>
      <c r="D2891" s="82">
        <v>4952462829</v>
      </c>
      <c r="E2891" s="82" t="s">
        <v>14</v>
      </c>
      <c r="F2891" s="83" t="s">
        <v>4163</v>
      </c>
      <c r="G2891" s="79" t="s">
        <v>9</v>
      </c>
      <c r="H2891" s="2" t="s">
        <v>23</v>
      </c>
      <c r="I2891" s="2">
        <v>3</v>
      </c>
      <c r="J2891" s="2"/>
      <c r="K2891" s="2">
        <v>3100</v>
      </c>
      <c r="L2891" s="35">
        <f t="shared" si="152"/>
        <v>10523291</v>
      </c>
      <c r="M2891" s="36">
        <f>260+440</f>
        <v>700</v>
      </c>
      <c r="N2891" s="40">
        <v>363412.5</v>
      </c>
      <c r="O2891" s="40">
        <v>346</v>
      </c>
      <c r="P2891" s="40">
        <v>19778.75</v>
      </c>
      <c r="Q2891" s="40">
        <v>9508</v>
      </c>
      <c r="R2891" s="40">
        <v>66287.5</v>
      </c>
      <c r="S2891" s="40">
        <v>221472.5</v>
      </c>
      <c r="T2891" s="40">
        <v>30000</v>
      </c>
      <c r="U2891" s="55">
        <v>347583.33333333302</v>
      </c>
      <c r="V2891" s="55">
        <v>0</v>
      </c>
      <c r="W2891" s="45">
        <f t="shared" si="153"/>
        <v>1058388.583333333</v>
      </c>
      <c r="X2891" s="46">
        <f t="shared" si="154"/>
        <v>10.057581638038263</v>
      </c>
    </row>
    <row r="2892" spans="1:24" s="4" customFormat="1" ht="15" customHeight="1">
      <c r="A2892" s="79" t="s">
        <v>3955</v>
      </c>
      <c r="B2892" s="80">
        <v>3394.61</v>
      </c>
      <c r="C2892" s="81" t="s">
        <v>4162</v>
      </c>
      <c r="D2892" s="82">
        <v>4952462829</v>
      </c>
      <c r="E2892" s="82" t="s">
        <v>14</v>
      </c>
      <c r="F2892" s="83" t="s">
        <v>4163</v>
      </c>
      <c r="G2892" s="79" t="s">
        <v>9</v>
      </c>
      <c r="H2892" s="2" t="s">
        <v>23</v>
      </c>
      <c r="I2892" s="2">
        <v>3</v>
      </c>
      <c r="J2892" s="2"/>
      <c r="K2892" s="2">
        <v>1969.8</v>
      </c>
      <c r="L2892" s="35">
        <f t="shared" si="152"/>
        <v>6686702.7779999999</v>
      </c>
      <c r="M2892" s="36">
        <v>420</v>
      </c>
      <c r="N2892" s="40">
        <v>218047.5</v>
      </c>
      <c r="O2892" s="40">
        <v>1371</v>
      </c>
      <c r="P2892" s="40">
        <v>11867.25</v>
      </c>
      <c r="Q2892" s="40">
        <v>908</v>
      </c>
      <c r="R2892" s="40">
        <v>39772.5</v>
      </c>
      <c r="S2892" s="40">
        <v>132883.5</v>
      </c>
      <c r="T2892" s="40">
        <v>30000</v>
      </c>
      <c r="U2892" s="55">
        <v>208550</v>
      </c>
      <c r="V2892" s="55">
        <v>0</v>
      </c>
      <c r="W2892" s="45">
        <f t="shared" si="153"/>
        <v>643399.75</v>
      </c>
      <c r="X2892" s="46">
        <f t="shared" si="154"/>
        <v>9.6220778964014535</v>
      </c>
    </row>
    <row r="2893" spans="1:24" s="4" customFormat="1" ht="15" customHeight="1">
      <c r="A2893" s="79" t="s">
        <v>3955</v>
      </c>
      <c r="B2893" s="80">
        <v>3394.61</v>
      </c>
      <c r="C2893" s="81" t="s">
        <v>4164</v>
      </c>
      <c r="D2893" s="82">
        <v>4952003524</v>
      </c>
      <c r="E2893" s="82" t="s">
        <v>38</v>
      </c>
      <c r="F2893" s="82" t="s">
        <v>4165</v>
      </c>
      <c r="G2893" s="79" t="s">
        <v>5</v>
      </c>
      <c r="H2893" s="2" t="s">
        <v>17</v>
      </c>
      <c r="I2893" s="2">
        <v>3</v>
      </c>
      <c r="J2893" s="2" t="s">
        <v>4166</v>
      </c>
      <c r="K2893" s="2">
        <v>43044</v>
      </c>
      <c r="L2893" s="35">
        <f t="shared" si="152"/>
        <v>146117592.84</v>
      </c>
      <c r="M2893" s="36">
        <v>20400</v>
      </c>
      <c r="N2893" s="40">
        <v>499720.23154164199</v>
      </c>
      <c r="O2893" s="40">
        <v>227602.5</v>
      </c>
      <c r="P2893" s="40">
        <v>403667.44004725298</v>
      </c>
      <c r="Q2893" s="40">
        <v>49654.666666666701</v>
      </c>
      <c r="R2893" s="40">
        <v>880995.62906083895</v>
      </c>
      <c r="S2893" s="40">
        <v>170794.15002953299</v>
      </c>
      <c r="T2893" s="48"/>
      <c r="U2893" s="55">
        <v>4048767.3951565302</v>
      </c>
      <c r="V2893" s="55">
        <v>0</v>
      </c>
      <c r="W2893" s="45">
        <f t="shared" si="153"/>
        <v>6281202.0125024635</v>
      </c>
      <c r="X2893" s="46">
        <f t="shared" si="154"/>
        <v>4.2987308307086831</v>
      </c>
    </row>
    <row r="2894" spans="1:24" s="4" customFormat="1" ht="15" customHeight="1">
      <c r="A2894" s="79" t="s">
        <v>3955</v>
      </c>
      <c r="B2894" s="80">
        <v>3394.61</v>
      </c>
      <c r="C2894" s="81" t="s">
        <v>4164</v>
      </c>
      <c r="D2894" s="82">
        <v>4952003528</v>
      </c>
      <c r="E2894" s="82" t="s">
        <v>38</v>
      </c>
      <c r="F2894" s="82" t="s">
        <v>4165</v>
      </c>
      <c r="G2894" s="79" t="s">
        <v>5</v>
      </c>
      <c r="H2894" s="2" t="s">
        <v>17</v>
      </c>
      <c r="I2894" s="2">
        <v>3</v>
      </c>
      <c r="J2894" s="2" t="s">
        <v>4166</v>
      </c>
      <c r="K2894" s="2">
        <v>1454.4</v>
      </c>
      <c r="L2894" s="35">
        <f t="shared" si="152"/>
        <v>4937120.7840000009</v>
      </c>
      <c r="M2894" s="36">
        <v>720</v>
      </c>
      <c r="N2894" s="40">
        <v>17637.1846426462</v>
      </c>
      <c r="O2894" s="40">
        <v>227602.5</v>
      </c>
      <c r="P2894" s="40">
        <v>14247.086119314799</v>
      </c>
      <c r="Q2894" s="40">
        <v>49654.666666666701</v>
      </c>
      <c r="R2894" s="40">
        <v>31093.963378617798</v>
      </c>
      <c r="S2894" s="40">
        <v>6028.0288245717702</v>
      </c>
      <c r="T2894" s="48"/>
      <c r="U2894" s="55">
        <v>142897.67277023001</v>
      </c>
      <c r="V2894" s="55">
        <v>0</v>
      </c>
      <c r="W2894" s="45">
        <f t="shared" si="153"/>
        <v>489161.10240204725</v>
      </c>
      <c r="X2894" s="46">
        <f t="shared" si="154"/>
        <v>9.9078212545923243</v>
      </c>
    </row>
    <row r="2895" spans="1:24" s="4" customFormat="1" ht="15" customHeight="1">
      <c r="A2895" s="79" t="s">
        <v>3955</v>
      </c>
      <c r="B2895" s="80">
        <v>3394.61</v>
      </c>
      <c r="C2895" s="81" t="s">
        <v>4164</v>
      </c>
      <c r="D2895" s="82">
        <v>4952003541</v>
      </c>
      <c r="E2895" s="82" t="s">
        <v>38</v>
      </c>
      <c r="F2895" s="82" t="s">
        <v>4165</v>
      </c>
      <c r="G2895" s="79" t="s">
        <v>5</v>
      </c>
      <c r="H2895" s="2" t="s">
        <v>17</v>
      </c>
      <c r="I2895" s="2">
        <v>3</v>
      </c>
      <c r="J2895" s="2" t="s">
        <v>4166</v>
      </c>
      <c r="K2895" s="2">
        <v>1248</v>
      </c>
      <c r="L2895" s="35">
        <f t="shared" si="152"/>
        <v>4236473.28</v>
      </c>
      <c r="M2895" s="36">
        <v>600</v>
      </c>
      <c r="N2895" s="40">
        <v>14697.653868871799</v>
      </c>
      <c r="O2895" s="40">
        <v>227602.5</v>
      </c>
      <c r="P2895" s="40">
        <v>11872.5717660957</v>
      </c>
      <c r="Q2895" s="40">
        <v>49654.666666666701</v>
      </c>
      <c r="R2895" s="40">
        <v>25911.6361488482</v>
      </c>
      <c r="S2895" s="40">
        <v>5023.3573538098099</v>
      </c>
      <c r="T2895" s="48"/>
      <c r="U2895" s="55">
        <v>119081.393975192</v>
      </c>
      <c r="V2895" s="55">
        <v>0</v>
      </c>
      <c r="W2895" s="45">
        <f t="shared" si="153"/>
        <v>453843.7797794842</v>
      </c>
      <c r="X2895" s="46">
        <f t="shared" si="154"/>
        <v>10.71277333252729</v>
      </c>
    </row>
    <row r="2896" spans="1:24" s="4" customFormat="1" ht="15" customHeight="1">
      <c r="A2896" s="79" t="s">
        <v>3955</v>
      </c>
      <c r="B2896" s="80">
        <v>3394.61</v>
      </c>
      <c r="C2896" s="81" t="s">
        <v>4164</v>
      </c>
      <c r="D2896" s="82">
        <v>4952004715</v>
      </c>
      <c r="E2896" s="82" t="s">
        <v>38</v>
      </c>
      <c r="F2896" s="82" t="s">
        <v>4165</v>
      </c>
      <c r="G2896" s="79" t="s">
        <v>5</v>
      </c>
      <c r="H2896" s="2" t="s">
        <v>17</v>
      </c>
      <c r="I2896" s="2">
        <v>3</v>
      </c>
      <c r="J2896" s="2" t="s">
        <v>4166</v>
      </c>
      <c r="K2896" s="2">
        <v>2765.78</v>
      </c>
      <c r="L2896" s="35">
        <f t="shared" si="152"/>
        <v>9388744.4458000008</v>
      </c>
      <c r="M2896" s="36">
        <v>1495</v>
      </c>
      <c r="N2896" s="40">
        <v>36621.6542232723</v>
      </c>
      <c r="O2896" s="40">
        <v>227602.5</v>
      </c>
      <c r="P2896" s="40">
        <v>29582.4913171884</v>
      </c>
      <c r="Q2896" s="40">
        <v>49654.666666666701</v>
      </c>
      <c r="R2896" s="40">
        <v>64563.160070880098</v>
      </c>
      <c r="S2896" s="40">
        <v>12516.532073242801</v>
      </c>
      <c r="T2896" s="48"/>
      <c r="U2896" s="55">
        <v>296711.139988187</v>
      </c>
      <c r="V2896" s="55">
        <v>0</v>
      </c>
      <c r="W2896" s="45">
        <f t="shared" si="153"/>
        <v>717252.14433943736</v>
      </c>
      <c r="X2896" s="46">
        <f t="shared" si="154"/>
        <v>7.6394894810487237</v>
      </c>
    </row>
    <row r="2897" spans="1:24" s="4" customFormat="1" ht="15" customHeight="1">
      <c r="A2897" s="79" t="s">
        <v>3955</v>
      </c>
      <c r="B2897" s="80">
        <v>3394.61</v>
      </c>
      <c r="C2897" s="81" t="s">
        <v>4164</v>
      </c>
      <c r="D2897" s="82">
        <v>4952004748</v>
      </c>
      <c r="E2897" s="82" t="s">
        <v>38</v>
      </c>
      <c r="F2897" s="82" t="s">
        <v>4165</v>
      </c>
      <c r="G2897" s="79" t="s">
        <v>5</v>
      </c>
      <c r="H2897" s="2" t="s">
        <v>17</v>
      </c>
      <c r="I2897" s="2">
        <v>3</v>
      </c>
      <c r="J2897" s="2" t="s">
        <v>4166</v>
      </c>
      <c r="K2897" s="2">
        <v>226.6</v>
      </c>
      <c r="L2897" s="35">
        <f t="shared" si="152"/>
        <v>769218.62600000005</v>
      </c>
      <c r="M2897" s="36">
        <v>110</v>
      </c>
      <c r="N2897" s="40">
        <v>2694.5698759598299</v>
      </c>
      <c r="O2897" s="40">
        <v>227602.5</v>
      </c>
      <c r="P2897" s="40">
        <v>2176.6381571175398</v>
      </c>
      <c r="Q2897" s="40">
        <v>49654.666666666701</v>
      </c>
      <c r="R2897" s="40">
        <v>4750.4666272888398</v>
      </c>
      <c r="S2897" s="40">
        <v>920.94884819846402</v>
      </c>
      <c r="T2897" s="48"/>
      <c r="U2897" s="55">
        <v>21831.5888954519</v>
      </c>
      <c r="V2897" s="55">
        <v>0</v>
      </c>
      <c r="W2897" s="45">
        <f t="shared" si="153"/>
        <v>309631.37907068327</v>
      </c>
      <c r="X2897" s="46">
        <f t="shared" si="154"/>
        <v>40.252714716593879</v>
      </c>
    </row>
    <row r="2898" spans="1:24" s="4" customFormat="1" ht="15" customHeight="1">
      <c r="A2898" s="79" t="s">
        <v>3955</v>
      </c>
      <c r="B2898" s="80">
        <v>3394.61</v>
      </c>
      <c r="C2898" s="81" t="s">
        <v>4164</v>
      </c>
      <c r="D2898" s="82">
        <v>4952003527</v>
      </c>
      <c r="E2898" s="82" t="s">
        <v>38</v>
      </c>
      <c r="F2898" s="82" t="s">
        <v>4165</v>
      </c>
      <c r="G2898" s="79" t="s">
        <v>5</v>
      </c>
      <c r="H2898" s="2" t="s">
        <v>17</v>
      </c>
      <c r="I2898" s="2">
        <v>3</v>
      </c>
      <c r="J2898" s="2" t="s">
        <v>4166</v>
      </c>
      <c r="K2898" s="2">
        <v>39710</v>
      </c>
      <c r="L2898" s="35">
        <f t="shared" si="152"/>
        <v>134799963.09999999</v>
      </c>
      <c r="M2898" s="36">
        <v>19000</v>
      </c>
      <c r="N2898" s="40">
        <v>465425.70584760798</v>
      </c>
      <c r="O2898" s="40">
        <v>227602.5</v>
      </c>
      <c r="P2898" s="40">
        <v>375964.77259303001</v>
      </c>
      <c r="Q2898" s="40">
        <v>49654.666666666701</v>
      </c>
      <c r="R2898" s="40">
        <v>820535.14471352601</v>
      </c>
      <c r="S2898" s="40">
        <v>159072.98287064399</v>
      </c>
      <c r="T2898" s="48"/>
      <c r="U2898" s="55">
        <v>3770910.8092144099</v>
      </c>
      <c r="V2898" s="55">
        <v>0</v>
      </c>
      <c r="W2898" s="45">
        <f t="shared" si="153"/>
        <v>5869166.5819058847</v>
      </c>
      <c r="X2898" s="46">
        <f t="shared" si="154"/>
        <v>4.3539823357013105</v>
      </c>
    </row>
    <row r="2899" spans="1:24" s="4" customFormat="1" ht="15" customHeight="1">
      <c r="A2899" s="79" t="s">
        <v>3955</v>
      </c>
      <c r="B2899" s="80">
        <v>3394.61</v>
      </c>
      <c r="C2899" s="81" t="s">
        <v>4167</v>
      </c>
      <c r="D2899" s="82">
        <v>4952221336</v>
      </c>
      <c r="E2899" s="82" t="s">
        <v>24</v>
      </c>
      <c r="F2899" s="82" t="s">
        <v>4168</v>
      </c>
      <c r="G2899" s="79" t="s">
        <v>5</v>
      </c>
      <c r="H2899" s="2" t="s">
        <v>26</v>
      </c>
      <c r="I2899" s="2">
        <v>1</v>
      </c>
      <c r="J2899" s="2" t="s">
        <v>4169</v>
      </c>
      <c r="K2899" s="2">
        <v>13448.24</v>
      </c>
      <c r="L2899" s="35">
        <f t="shared" si="152"/>
        <v>45651529.986400001</v>
      </c>
      <c r="M2899" s="36">
        <v>19776.830000000002</v>
      </c>
      <c r="N2899" s="40">
        <v>356236</v>
      </c>
      <c r="O2899" s="40">
        <v>125000</v>
      </c>
      <c r="P2899" s="40">
        <v>320440</v>
      </c>
      <c r="Q2899" s="40">
        <v>99309</v>
      </c>
      <c r="R2899" s="40">
        <v>616047</v>
      </c>
      <c r="S2899" s="40">
        <v>354356</v>
      </c>
      <c r="T2899" s="40"/>
      <c r="U2899" s="40">
        <v>2419294</v>
      </c>
      <c r="V2899" s="40">
        <v>0</v>
      </c>
      <c r="W2899" s="45">
        <f t="shared" si="153"/>
        <v>4290682</v>
      </c>
      <c r="X2899" s="46">
        <f t="shared" si="154"/>
        <v>9.3987693321083263</v>
      </c>
    </row>
    <row r="2900" spans="1:24" s="4" customFormat="1" ht="15" customHeight="1">
      <c r="A2900" s="79" t="s">
        <v>3955</v>
      </c>
      <c r="B2900" s="80">
        <v>3394.61</v>
      </c>
      <c r="C2900" s="81" t="s">
        <v>4170</v>
      </c>
      <c r="D2900" s="82">
        <v>4952534309</v>
      </c>
      <c r="E2900" s="82" t="s">
        <v>24</v>
      </c>
      <c r="F2900" s="82" t="s">
        <v>4171</v>
      </c>
      <c r="G2900" s="79" t="s">
        <v>9</v>
      </c>
      <c r="H2900" s="2" t="s">
        <v>23</v>
      </c>
      <c r="I2900" s="2">
        <v>4</v>
      </c>
      <c r="J2900" s="2"/>
      <c r="K2900" s="2">
        <v>7434</v>
      </c>
      <c r="L2900" s="35">
        <f t="shared" si="152"/>
        <v>25235530.740000002</v>
      </c>
      <c r="M2900" s="36">
        <v>4200</v>
      </c>
      <c r="N2900" s="40">
        <v>739873</v>
      </c>
      <c r="O2900" s="40">
        <v>3600</v>
      </c>
      <c r="P2900" s="40">
        <v>80220</v>
      </c>
      <c r="Q2900" s="40">
        <v>1000</v>
      </c>
      <c r="R2900" s="40">
        <v>65167</v>
      </c>
      <c r="S2900" s="40">
        <v>354356</v>
      </c>
      <c r="T2900" s="40"/>
      <c r="U2900" s="40">
        <v>897250</v>
      </c>
      <c r="V2900" s="40">
        <v>0</v>
      </c>
      <c r="W2900" s="45">
        <f t="shared" si="153"/>
        <v>2141466</v>
      </c>
      <c r="X2900" s="46">
        <f t="shared" si="154"/>
        <v>8.4859162347857158</v>
      </c>
    </row>
    <row r="2901" spans="1:24" s="4" customFormat="1" ht="15" customHeight="1">
      <c r="A2901" s="79" t="s">
        <v>3955</v>
      </c>
      <c r="B2901" s="80">
        <v>3394.61</v>
      </c>
      <c r="C2901" s="81" t="s">
        <v>4172</v>
      </c>
      <c r="D2901" s="82">
        <v>4952221334</v>
      </c>
      <c r="E2901" s="82" t="s">
        <v>24</v>
      </c>
      <c r="F2901" s="82" t="s">
        <v>4173</v>
      </c>
      <c r="G2901" s="79" t="s">
        <v>5</v>
      </c>
      <c r="H2901" s="2" t="s">
        <v>26</v>
      </c>
      <c r="I2901" s="2">
        <v>1</v>
      </c>
      <c r="J2901" s="2" t="s">
        <v>4174</v>
      </c>
      <c r="K2901" s="2">
        <v>14083.48</v>
      </c>
      <c r="L2901" s="35">
        <f t="shared" si="152"/>
        <v>47807922.042800002</v>
      </c>
      <c r="M2901" s="36">
        <v>20711</v>
      </c>
      <c r="N2901" s="40">
        <v>356236</v>
      </c>
      <c r="O2901" s="40">
        <v>125000</v>
      </c>
      <c r="P2901" s="40">
        <v>320440</v>
      </c>
      <c r="Q2901" s="40">
        <v>99309</v>
      </c>
      <c r="R2901" s="40">
        <v>616047</v>
      </c>
      <c r="S2901" s="40">
        <v>354356</v>
      </c>
      <c r="T2901" s="40"/>
      <c r="U2901" s="40">
        <v>2419294</v>
      </c>
      <c r="V2901" s="40">
        <v>0</v>
      </c>
      <c r="W2901" s="45">
        <f t="shared" si="153"/>
        <v>4290682</v>
      </c>
      <c r="X2901" s="46">
        <f t="shared" si="154"/>
        <v>8.974834748430963</v>
      </c>
    </row>
    <row r="2902" spans="1:24" s="4" customFormat="1" ht="15" customHeight="1">
      <c r="A2902" s="79" t="s">
        <v>3955</v>
      </c>
      <c r="B2902" s="80">
        <v>3394.61</v>
      </c>
      <c r="C2902" s="81" t="s">
        <v>4175</v>
      </c>
      <c r="D2902" s="82">
        <v>4952925652</v>
      </c>
      <c r="E2902" s="82" t="s">
        <v>14</v>
      </c>
      <c r="F2902" s="83" t="s">
        <v>4176</v>
      </c>
      <c r="G2902" s="79" t="s">
        <v>9</v>
      </c>
      <c r="H2902" s="2" t="s">
        <v>23</v>
      </c>
      <c r="I2902" s="2">
        <v>1</v>
      </c>
      <c r="J2902" s="2"/>
      <c r="K2902" s="2">
        <v>1610.4</v>
      </c>
      <c r="L2902" s="35">
        <f t="shared" si="152"/>
        <v>5466679.9440000001</v>
      </c>
      <c r="M2902" s="36">
        <v>880</v>
      </c>
      <c r="N2902" s="40">
        <v>517720</v>
      </c>
      <c r="O2902" s="40">
        <v>346</v>
      </c>
      <c r="P2902" s="40">
        <v>0</v>
      </c>
      <c r="Q2902" s="40">
        <v>9089</v>
      </c>
      <c r="R2902" s="40">
        <v>101187</v>
      </c>
      <c r="S2902" s="40">
        <v>354356</v>
      </c>
      <c r="T2902" s="40">
        <v>30000</v>
      </c>
      <c r="U2902" s="40">
        <v>310006.75675675698</v>
      </c>
      <c r="V2902" s="40">
        <v>0</v>
      </c>
      <c r="W2902" s="45">
        <f t="shared" si="153"/>
        <v>1322704.7567567569</v>
      </c>
      <c r="X2902" s="46">
        <f t="shared" si="154"/>
        <v>24.195759954970519</v>
      </c>
    </row>
    <row r="2903" spans="1:24" s="4" customFormat="1" ht="15" customHeight="1">
      <c r="A2903" s="79" t="s">
        <v>3955</v>
      </c>
      <c r="B2903" s="80">
        <v>3394.61</v>
      </c>
      <c r="C2903" s="84" t="s">
        <v>4177</v>
      </c>
      <c r="D2903" s="82">
        <v>4951900506</v>
      </c>
      <c r="E2903" s="82" t="s">
        <v>36</v>
      </c>
      <c r="F2903" s="82" t="s">
        <v>4178</v>
      </c>
      <c r="G2903" s="79" t="s">
        <v>5</v>
      </c>
      <c r="H2903" s="2" t="s">
        <v>26</v>
      </c>
      <c r="I2903" s="2">
        <v>4</v>
      </c>
      <c r="J2903" s="2" t="s">
        <v>4179</v>
      </c>
      <c r="K2903" s="2">
        <v>82633</v>
      </c>
      <c r="L2903" s="35">
        <f t="shared" si="152"/>
        <v>280506808.13</v>
      </c>
      <c r="M2903" s="36">
        <v>84320</v>
      </c>
      <c r="N2903" s="40">
        <v>1420020</v>
      </c>
      <c r="O2903" s="40">
        <v>1240000</v>
      </c>
      <c r="P2903" s="40">
        <v>11077652</v>
      </c>
      <c r="Q2903" s="40">
        <v>248000</v>
      </c>
      <c r="R2903" s="40">
        <v>2691109</v>
      </c>
      <c r="S2903" s="40">
        <v>354356</v>
      </c>
      <c r="T2903" s="40"/>
      <c r="U2903" s="40">
        <v>0</v>
      </c>
      <c r="V2903" s="40">
        <v>0</v>
      </c>
      <c r="W2903" s="45">
        <f t="shared" si="153"/>
        <v>17031137</v>
      </c>
      <c r="X2903" s="46">
        <f t="shared" si="154"/>
        <v>6.0715592300729382</v>
      </c>
    </row>
    <row r="2904" spans="1:24" s="4" customFormat="1" ht="15" customHeight="1">
      <c r="A2904" s="79" t="s">
        <v>3955</v>
      </c>
      <c r="B2904" s="80">
        <v>3394.61</v>
      </c>
      <c r="C2904" s="81" t="s">
        <v>4180</v>
      </c>
      <c r="D2904" s="82">
        <v>4952946228</v>
      </c>
      <c r="E2904" s="82" t="s">
        <v>24</v>
      </c>
      <c r="F2904" s="82" t="s">
        <v>4181</v>
      </c>
      <c r="G2904" s="79" t="s">
        <v>9</v>
      </c>
      <c r="H2904" s="2" t="s">
        <v>23</v>
      </c>
      <c r="I2904" s="2">
        <v>3</v>
      </c>
      <c r="J2904" s="2"/>
      <c r="K2904" s="2">
        <v>3912</v>
      </c>
      <c r="L2904" s="35">
        <f t="shared" si="152"/>
        <v>13279714.32</v>
      </c>
      <c r="M2904" s="36">
        <v>1200</v>
      </c>
      <c r="N2904" s="40">
        <v>357720.545454545</v>
      </c>
      <c r="O2904" s="40">
        <v>73</v>
      </c>
      <c r="P2904" s="40">
        <v>13226.727272727299</v>
      </c>
      <c r="Q2904" s="40">
        <v>177.5</v>
      </c>
      <c r="R2904" s="40">
        <v>71365.090909090897</v>
      </c>
      <c r="S2904" s="40">
        <v>193285.090909091</v>
      </c>
      <c r="T2904" s="48"/>
      <c r="U2904" s="55">
        <v>595857.14285714296</v>
      </c>
      <c r="V2904" s="55">
        <v>0</v>
      </c>
      <c r="W2904" s="45">
        <f t="shared" si="153"/>
        <v>1231705.0974025971</v>
      </c>
      <c r="X2904" s="46">
        <f t="shared" si="154"/>
        <v>9.2750873077712193</v>
      </c>
    </row>
    <row r="2905" spans="1:24" s="4" customFormat="1" ht="15" customHeight="1">
      <c r="A2905" s="79" t="s">
        <v>3955</v>
      </c>
      <c r="B2905" s="80">
        <v>3394.61</v>
      </c>
      <c r="C2905" s="81" t="s">
        <v>4180</v>
      </c>
      <c r="D2905" s="82">
        <v>4952946229</v>
      </c>
      <c r="E2905" s="82" t="s">
        <v>24</v>
      </c>
      <c r="F2905" s="82" t="s">
        <v>4181</v>
      </c>
      <c r="G2905" s="79" t="s">
        <v>9</v>
      </c>
      <c r="H2905" s="2" t="s">
        <v>23</v>
      </c>
      <c r="I2905" s="2">
        <v>3</v>
      </c>
      <c r="J2905" s="2"/>
      <c r="K2905" s="2">
        <v>4660</v>
      </c>
      <c r="L2905" s="35">
        <f t="shared" si="152"/>
        <v>15818882.600000001</v>
      </c>
      <c r="M2905" s="36">
        <v>1000</v>
      </c>
      <c r="N2905" s="40">
        <v>298100.454545455</v>
      </c>
      <c r="O2905" s="40">
        <v>73</v>
      </c>
      <c r="P2905" s="40">
        <v>11022.272727272701</v>
      </c>
      <c r="Q2905" s="40">
        <v>177.5</v>
      </c>
      <c r="R2905" s="40">
        <v>59470.909090909103</v>
      </c>
      <c r="S2905" s="40">
        <v>161070.909090909</v>
      </c>
      <c r="T2905" s="48"/>
      <c r="U2905" s="55">
        <v>496547.61904761899</v>
      </c>
      <c r="V2905" s="55">
        <v>0</v>
      </c>
      <c r="W2905" s="45">
        <f t="shared" si="153"/>
        <v>1026462.6645021648</v>
      </c>
      <c r="X2905" s="46">
        <f t="shared" si="154"/>
        <v>6.4888443163625524</v>
      </c>
    </row>
    <row r="2906" spans="1:24" s="4" customFormat="1" ht="15" customHeight="1">
      <c r="A2906" s="79" t="s">
        <v>3955</v>
      </c>
      <c r="B2906" s="80">
        <v>3394.61</v>
      </c>
      <c r="C2906" s="81" t="s">
        <v>4182</v>
      </c>
      <c r="D2906" s="82" t="s">
        <v>4183</v>
      </c>
      <c r="E2906" s="82" t="s">
        <v>14</v>
      </c>
      <c r="F2906" s="82" t="s">
        <v>4184</v>
      </c>
      <c r="G2906" s="79" t="s">
        <v>9</v>
      </c>
      <c r="H2906" s="2" t="s">
        <v>23</v>
      </c>
      <c r="I2906" s="2">
        <v>4</v>
      </c>
      <c r="J2906" s="2"/>
      <c r="K2906" s="2">
        <v>72920</v>
      </c>
      <c r="L2906" s="35">
        <f t="shared" si="152"/>
        <v>247534961.20000002</v>
      </c>
      <c r="M2906" s="36">
        <f>1000+1000</f>
        <v>2000</v>
      </c>
      <c r="N2906" s="40">
        <v>631530</v>
      </c>
      <c r="O2906" s="40">
        <v>1374</v>
      </c>
      <c r="P2906" s="40">
        <v>0</v>
      </c>
      <c r="Q2906" s="40">
        <v>26852</v>
      </c>
      <c r="R2906" s="40">
        <v>125667</v>
      </c>
      <c r="S2906" s="40">
        <v>354356</v>
      </c>
      <c r="T2906" s="40">
        <v>30000</v>
      </c>
      <c r="U2906" s="40">
        <v>2085500</v>
      </c>
      <c r="V2906" s="40">
        <v>0</v>
      </c>
      <c r="W2906" s="45">
        <f t="shared" si="153"/>
        <v>3255279</v>
      </c>
      <c r="X2906" s="46">
        <f t="shared" si="154"/>
        <v>1.3150784778921967</v>
      </c>
    </row>
    <row r="2907" spans="1:24" s="4" customFormat="1" ht="15" customHeight="1">
      <c r="A2907" s="79" t="s">
        <v>3955</v>
      </c>
      <c r="B2907" s="80">
        <v>3394.61</v>
      </c>
      <c r="C2907" s="81" t="s">
        <v>4185</v>
      </c>
      <c r="D2907" s="82" t="s">
        <v>4186</v>
      </c>
      <c r="E2907" s="82" t="s">
        <v>14</v>
      </c>
      <c r="F2907" s="82" t="s">
        <v>4187</v>
      </c>
      <c r="G2907" s="79" t="s">
        <v>9</v>
      </c>
      <c r="H2907" s="2" t="s">
        <v>23</v>
      </c>
      <c r="I2907" s="2">
        <v>1</v>
      </c>
      <c r="J2907" s="2"/>
      <c r="K2907" s="2">
        <v>2631.2</v>
      </c>
      <c r="L2907" s="35">
        <f t="shared" si="152"/>
        <v>8931897.8320000004</v>
      </c>
      <c r="M2907" s="36">
        <v>880</v>
      </c>
      <c r="N2907" s="40">
        <v>625323</v>
      </c>
      <c r="O2907" s="40">
        <v>618</v>
      </c>
      <c r="P2907" s="40">
        <v>0</v>
      </c>
      <c r="Q2907" s="40">
        <v>11814</v>
      </c>
      <c r="R2907" s="40">
        <v>102446</v>
      </c>
      <c r="S2907" s="40">
        <v>354356</v>
      </c>
      <c r="T2907" s="40">
        <v>30000</v>
      </c>
      <c r="U2907" s="40">
        <v>436961.90476190503</v>
      </c>
      <c r="V2907" s="40">
        <v>0</v>
      </c>
      <c r="W2907" s="45">
        <f t="shared" si="153"/>
        <v>1561518.9047619051</v>
      </c>
      <c r="X2907" s="46">
        <f t="shared" si="154"/>
        <v>17.482498502921803</v>
      </c>
    </row>
    <row r="2908" spans="1:24" s="4" customFormat="1" ht="15" customHeight="1">
      <c r="A2908" s="79" t="s">
        <v>3955</v>
      </c>
      <c r="B2908" s="80">
        <v>3394.61</v>
      </c>
      <c r="C2908" s="81" t="s">
        <v>4188</v>
      </c>
      <c r="D2908" s="82">
        <v>4951955540</v>
      </c>
      <c r="E2908" s="82" t="s">
        <v>21</v>
      </c>
      <c r="F2908" s="82" t="s">
        <v>4189</v>
      </c>
      <c r="G2908" s="79" t="s">
        <v>9</v>
      </c>
      <c r="H2908" s="2" t="s">
        <v>23</v>
      </c>
      <c r="I2908" s="2">
        <v>5</v>
      </c>
      <c r="J2908" s="2"/>
      <c r="K2908" s="2">
        <v>9114</v>
      </c>
      <c r="L2908" s="35">
        <f t="shared" si="152"/>
        <v>30938475.540000003</v>
      </c>
      <c r="M2908" s="36">
        <v>4200</v>
      </c>
      <c r="N2908" s="40">
        <v>794699</v>
      </c>
      <c r="O2908" s="40">
        <v>2885</v>
      </c>
      <c r="P2908" s="40">
        <v>0</v>
      </c>
      <c r="Q2908" s="40">
        <v>56389</v>
      </c>
      <c r="R2908" s="40">
        <v>454111</v>
      </c>
      <c r="S2908" s="40">
        <v>354356</v>
      </c>
      <c r="T2908" s="40"/>
      <c r="U2908" s="40">
        <v>1479577.7027026999</v>
      </c>
      <c r="V2908" s="40">
        <v>0</v>
      </c>
      <c r="W2908" s="45">
        <f t="shared" si="153"/>
        <v>3142017.7027027002</v>
      </c>
      <c r="X2908" s="46">
        <f t="shared" si="154"/>
        <v>10.15569658123724</v>
      </c>
    </row>
    <row r="2909" spans="1:24" s="4" customFormat="1" ht="15" customHeight="1">
      <c r="A2909" s="79" t="s">
        <v>3955</v>
      </c>
      <c r="B2909" s="80">
        <v>3394.61</v>
      </c>
      <c r="C2909" s="81" t="s">
        <v>4190</v>
      </c>
      <c r="D2909" s="82">
        <v>4951930704</v>
      </c>
      <c r="E2909" s="82" t="s">
        <v>33</v>
      </c>
      <c r="F2909" s="82" t="s">
        <v>4191</v>
      </c>
      <c r="G2909" s="79" t="s">
        <v>9</v>
      </c>
      <c r="H2909" s="2" t="s">
        <v>23</v>
      </c>
      <c r="I2909" s="2">
        <v>4</v>
      </c>
      <c r="J2909" s="2"/>
      <c r="K2909" s="2">
        <v>4667.2299999999996</v>
      </c>
      <c r="L2909" s="35">
        <f t="shared" si="152"/>
        <v>15843425.630299998</v>
      </c>
      <c r="M2909" s="36">
        <v>315</v>
      </c>
      <c r="N2909" s="40">
        <v>783365.10499615897</v>
      </c>
      <c r="O2909" s="40">
        <v>223</v>
      </c>
      <c r="P2909" s="40">
        <v>16226.234010997799</v>
      </c>
      <c r="Q2909" s="40">
        <v>4229</v>
      </c>
      <c r="R2909" s="40">
        <v>125783.988089534</v>
      </c>
      <c r="S2909" s="40">
        <v>273451.43763737701</v>
      </c>
      <c r="T2909" s="48"/>
      <c r="U2909" s="40">
        <v>1669233.2139244501</v>
      </c>
      <c r="V2909" s="40">
        <v>0</v>
      </c>
      <c r="W2909" s="45">
        <f t="shared" si="153"/>
        <v>2872511.9786585178</v>
      </c>
      <c r="X2909" s="46">
        <f t="shared" si="154"/>
        <v>18.130624308703407</v>
      </c>
    </row>
    <row r="2910" spans="1:24" s="4" customFormat="1" ht="15" customHeight="1">
      <c r="A2910" s="79" t="s">
        <v>3955</v>
      </c>
      <c r="B2910" s="80">
        <v>3394.61</v>
      </c>
      <c r="C2910" s="81" t="s">
        <v>4190</v>
      </c>
      <c r="D2910" s="82">
        <v>4951930704</v>
      </c>
      <c r="E2910" s="82" t="s">
        <v>33</v>
      </c>
      <c r="F2910" s="82" t="s">
        <v>4191</v>
      </c>
      <c r="G2910" s="79" t="s">
        <v>9</v>
      </c>
      <c r="H2910" s="2" t="s">
        <v>23</v>
      </c>
      <c r="I2910" s="2">
        <v>4</v>
      </c>
      <c r="J2910" s="2"/>
      <c r="K2910" s="2">
        <v>2716.76</v>
      </c>
      <c r="L2910" s="35">
        <f t="shared" si="152"/>
        <v>9222340.6636000015</v>
      </c>
      <c r="M2910" s="36">
        <v>315</v>
      </c>
      <c r="N2910" s="40">
        <v>231769.895003841</v>
      </c>
      <c r="O2910" s="40">
        <v>223</v>
      </c>
      <c r="P2910" s="40">
        <v>4800.7659890022096</v>
      </c>
      <c r="Q2910" s="40">
        <v>4229</v>
      </c>
      <c r="R2910" s="40">
        <v>37215.011910466201</v>
      </c>
      <c r="S2910" s="40">
        <v>80904.562362622702</v>
      </c>
      <c r="T2910" s="48"/>
      <c r="U2910" s="40">
        <v>493866.78607555502</v>
      </c>
      <c r="V2910" s="40">
        <v>0</v>
      </c>
      <c r="W2910" s="45">
        <f t="shared" si="153"/>
        <v>853009.02134148707</v>
      </c>
      <c r="X2910" s="46">
        <f t="shared" si="154"/>
        <v>9.2493766220137577</v>
      </c>
    </row>
    <row r="2911" spans="1:24" s="4" customFormat="1" ht="15" customHeight="1">
      <c r="A2911" s="79" t="s">
        <v>3955</v>
      </c>
      <c r="B2911" s="80">
        <v>3394.61</v>
      </c>
      <c r="C2911" s="81" t="s">
        <v>4192</v>
      </c>
      <c r="D2911" s="82">
        <v>4952162021</v>
      </c>
      <c r="E2911" s="82" t="s">
        <v>14</v>
      </c>
      <c r="F2911" s="82" t="s">
        <v>4193</v>
      </c>
      <c r="G2911" s="79" t="s">
        <v>5</v>
      </c>
      <c r="H2911" s="2" t="s">
        <v>35</v>
      </c>
      <c r="I2911" s="2">
        <v>1</v>
      </c>
      <c r="J2911" s="2" t="s">
        <v>4194</v>
      </c>
      <c r="K2911" s="2">
        <v>6660</v>
      </c>
      <c r="L2911" s="35">
        <f t="shared" si="152"/>
        <v>22608102.600000001</v>
      </c>
      <c r="M2911" s="36">
        <v>3600</v>
      </c>
      <c r="N2911" s="40">
        <v>133197.361256545</v>
      </c>
      <c r="O2911" s="40">
        <v>65029.285714285703</v>
      </c>
      <c r="P2911" s="40">
        <v>0</v>
      </c>
      <c r="Q2911" s="40">
        <v>14187</v>
      </c>
      <c r="R2911" s="40">
        <v>600030.659685864</v>
      </c>
      <c r="S2911" s="40">
        <v>133579.22513089</v>
      </c>
      <c r="T2911" s="40">
        <v>30000</v>
      </c>
      <c r="U2911" s="40">
        <v>1779643.97905759</v>
      </c>
      <c r="V2911" s="40">
        <v>0</v>
      </c>
      <c r="W2911" s="45">
        <f t="shared" si="153"/>
        <v>2755667.510845175</v>
      </c>
      <c r="X2911" s="46">
        <f t="shared" si="154"/>
        <v>12.188849102468135</v>
      </c>
    </row>
    <row r="2912" spans="1:24" s="4" customFormat="1" ht="15" customHeight="1">
      <c r="A2912" s="79" t="s">
        <v>3955</v>
      </c>
      <c r="B2912" s="80">
        <v>3394.61</v>
      </c>
      <c r="C2912" s="81" t="s">
        <v>4192</v>
      </c>
      <c r="D2912" s="82">
        <v>4952083924</v>
      </c>
      <c r="E2912" s="82" t="s">
        <v>14</v>
      </c>
      <c r="F2912" s="82" t="s">
        <v>4193</v>
      </c>
      <c r="G2912" s="79" t="s">
        <v>5</v>
      </c>
      <c r="H2912" s="2" t="s">
        <v>35</v>
      </c>
      <c r="I2912" s="2">
        <v>1</v>
      </c>
      <c r="J2912" s="2" t="s">
        <v>4194</v>
      </c>
      <c r="K2912" s="2">
        <v>23272</v>
      </c>
      <c r="L2912" s="35">
        <f t="shared" si="152"/>
        <v>78999363.920000002</v>
      </c>
      <c r="M2912" s="36">
        <v>800</v>
      </c>
      <c r="N2912" s="40">
        <v>29599.4136125654</v>
      </c>
      <c r="O2912" s="40">
        <v>65029.285714285703</v>
      </c>
      <c r="P2912" s="40">
        <v>0</v>
      </c>
      <c r="Q2912" s="40">
        <v>14187</v>
      </c>
      <c r="R2912" s="40">
        <v>133340.14659685901</v>
      </c>
      <c r="S2912" s="40">
        <v>29684.272251308899</v>
      </c>
      <c r="T2912" s="40">
        <v>30000</v>
      </c>
      <c r="U2912" s="40">
        <v>395476.439790576</v>
      </c>
      <c r="V2912" s="40">
        <v>0</v>
      </c>
      <c r="W2912" s="45">
        <f t="shared" si="153"/>
        <v>697316.55796559504</v>
      </c>
      <c r="X2912" s="46">
        <f t="shared" si="154"/>
        <v>0.88268629437541302</v>
      </c>
    </row>
    <row r="2913" spans="1:24" s="4" customFormat="1" ht="15" customHeight="1">
      <c r="A2913" s="79" t="s">
        <v>3955</v>
      </c>
      <c r="B2913" s="80">
        <v>3394.61</v>
      </c>
      <c r="C2913" s="81" t="s">
        <v>4192</v>
      </c>
      <c r="D2913" s="82">
        <v>4952182482</v>
      </c>
      <c r="E2913" s="82" t="s">
        <v>14</v>
      </c>
      <c r="F2913" s="82" t="s">
        <v>4193</v>
      </c>
      <c r="G2913" s="79" t="s">
        <v>5</v>
      </c>
      <c r="H2913" s="2" t="s">
        <v>35</v>
      </c>
      <c r="I2913" s="2">
        <v>1</v>
      </c>
      <c r="J2913" s="2" t="s">
        <v>4194</v>
      </c>
      <c r="K2913" s="2">
        <v>8967</v>
      </c>
      <c r="L2913" s="35">
        <f t="shared" si="152"/>
        <v>30439467.870000001</v>
      </c>
      <c r="M2913" s="36">
        <v>2100</v>
      </c>
      <c r="N2913" s="40">
        <v>77698.460732984298</v>
      </c>
      <c r="O2913" s="40">
        <v>65029.285714285703</v>
      </c>
      <c r="P2913" s="40">
        <v>0</v>
      </c>
      <c r="Q2913" s="40">
        <v>14187</v>
      </c>
      <c r="R2913" s="40">
        <v>350017.88481675403</v>
      </c>
      <c r="S2913" s="40">
        <v>77921.214659685895</v>
      </c>
      <c r="T2913" s="40">
        <v>30000</v>
      </c>
      <c r="U2913" s="40">
        <v>1038125.65445026</v>
      </c>
      <c r="V2913" s="40">
        <v>0</v>
      </c>
      <c r="W2913" s="45">
        <f t="shared" si="153"/>
        <v>1652979.5003739698</v>
      </c>
      <c r="X2913" s="46">
        <f t="shared" si="154"/>
        <v>5.4303823819570916</v>
      </c>
    </row>
    <row r="2914" spans="1:24" s="4" customFormat="1" ht="15" customHeight="1">
      <c r="A2914" s="79" t="s">
        <v>3955</v>
      </c>
      <c r="B2914" s="80">
        <v>3394.61</v>
      </c>
      <c r="C2914" s="81" t="s">
        <v>4192</v>
      </c>
      <c r="D2914" s="82">
        <v>4952360224</v>
      </c>
      <c r="E2914" s="82" t="s">
        <v>14</v>
      </c>
      <c r="F2914" s="82" t="s">
        <v>4193</v>
      </c>
      <c r="G2914" s="79" t="s">
        <v>5</v>
      </c>
      <c r="H2914" s="2" t="s">
        <v>35</v>
      </c>
      <c r="I2914" s="2">
        <v>1</v>
      </c>
      <c r="J2914" s="2" t="s">
        <v>4194</v>
      </c>
      <c r="K2914" s="2">
        <v>10008</v>
      </c>
      <c r="L2914" s="35">
        <f t="shared" si="152"/>
        <v>33973256.880000003</v>
      </c>
      <c r="M2914" s="36">
        <v>1200</v>
      </c>
      <c r="N2914" s="40">
        <v>44399.120418848201</v>
      </c>
      <c r="O2914" s="40">
        <v>65029.285714285703</v>
      </c>
      <c r="P2914" s="40">
        <v>0</v>
      </c>
      <c r="Q2914" s="40">
        <v>14187</v>
      </c>
      <c r="R2914" s="40">
        <v>200010.219895288</v>
      </c>
      <c r="S2914" s="40">
        <v>44526.408376963402</v>
      </c>
      <c r="T2914" s="40">
        <v>30000</v>
      </c>
      <c r="U2914" s="40">
        <v>593214.659685864</v>
      </c>
      <c r="V2914" s="40">
        <v>0</v>
      </c>
      <c r="W2914" s="45">
        <f t="shared" si="153"/>
        <v>991366.69409124926</v>
      </c>
      <c r="X2914" s="46">
        <f t="shared" si="154"/>
        <v>2.9180796459784375</v>
      </c>
    </row>
    <row r="2915" spans="1:24" s="4" customFormat="1" ht="15" customHeight="1">
      <c r="A2915" s="79" t="s">
        <v>3955</v>
      </c>
      <c r="B2915" s="80">
        <v>3394.61</v>
      </c>
      <c r="C2915" s="81" t="s">
        <v>4192</v>
      </c>
      <c r="D2915" s="82">
        <v>4952131121</v>
      </c>
      <c r="E2915" s="82" t="s">
        <v>14</v>
      </c>
      <c r="F2915" s="82" t="s">
        <v>4193</v>
      </c>
      <c r="G2915" s="79" t="s">
        <v>5</v>
      </c>
      <c r="H2915" s="2" t="s">
        <v>35</v>
      </c>
      <c r="I2915" s="2">
        <v>1</v>
      </c>
      <c r="J2915" s="2" t="s">
        <v>4194</v>
      </c>
      <c r="K2915" s="2">
        <v>5004</v>
      </c>
      <c r="L2915" s="35">
        <f t="shared" ref="L2915:L2978" si="155">B2915*K2915</f>
        <v>16986628.440000001</v>
      </c>
      <c r="M2915" s="36">
        <v>600</v>
      </c>
      <c r="N2915" s="40">
        <v>22199.5602094241</v>
      </c>
      <c r="O2915" s="40">
        <v>65029.285714285703</v>
      </c>
      <c r="P2915" s="40">
        <v>0</v>
      </c>
      <c r="Q2915" s="40">
        <v>14187</v>
      </c>
      <c r="R2915" s="40">
        <v>100005.109947644</v>
      </c>
      <c r="S2915" s="40">
        <v>22263.204188481701</v>
      </c>
      <c r="T2915" s="40">
        <v>30000</v>
      </c>
      <c r="U2915" s="40">
        <v>296607.329842932</v>
      </c>
      <c r="V2915" s="40">
        <v>0</v>
      </c>
      <c r="W2915" s="45">
        <f t="shared" ref="W2915:W2978" si="156">+SUM(N2915:V2915)</f>
        <v>550291.48990276747</v>
      </c>
      <c r="X2915" s="46">
        <f t="shared" ref="X2915:X2978" si="157">(W2915/L2915)*100</f>
        <v>3.2395568776140684</v>
      </c>
    </row>
    <row r="2916" spans="1:24" s="4" customFormat="1" ht="15" customHeight="1">
      <c r="A2916" s="79" t="s">
        <v>3955</v>
      </c>
      <c r="B2916" s="80">
        <v>3394.61</v>
      </c>
      <c r="C2916" s="81" t="s">
        <v>4192</v>
      </c>
      <c r="D2916" s="82">
        <v>4951215064</v>
      </c>
      <c r="E2916" s="82" t="s">
        <v>14</v>
      </c>
      <c r="F2916" s="82" t="s">
        <v>4193</v>
      </c>
      <c r="G2916" s="79" t="s">
        <v>5</v>
      </c>
      <c r="H2916" s="2" t="s">
        <v>35</v>
      </c>
      <c r="I2916" s="2">
        <v>1</v>
      </c>
      <c r="J2916" s="2" t="s">
        <v>4194</v>
      </c>
      <c r="K2916" s="2">
        <v>41384</v>
      </c>
      <c r="L2916" s="35">
        <f t="shared" si="155"/>
        <v>140482540.24000001</v>
      </c>
      <c r="M2916" s="36">
        <v>800</v>
      </c>
      <c r="N2916" s="40">
        <v>29599.4136125654</v>
      </c>
      <c r="O2916" s="40">
        <v>65029.285714285703</v>
      </c>
      <c r="P2916" s="40">
        <v>0</v>
      </c>
      <c r="Q2916" s="40">
        <v>14187</v>
      </c>
      <c r="R2916" s="40">
        <v>133340.14659685901</v>
      </c>
      <c r="S2916" s="40">
        <v>29684.272251308899</v>
      </c>
      <c r="T2916" s="40">
        <v>30000</v>
      </c>
      <c r="U2916" s="40">
        <v>395476.439790576</v>
      </c>
      <c r="V2916" s="40">
        <v>0</v>
      </c>
      <c r="W2916" s="45">
        <f t="shared" si="156"/>
        <v>697316.55796559504</v>
      </c>
      <c r="X2916" s="46">
        <f t="shared" si="157"/>
        <v>0.49637240099324892</v>
      </c>
    </row>
    <row r="2917" spans="1:24" s="4" customFormat="1" ht="15" customHeight="1">
      <c r="A2917" s="79" t="s">
        <v>3955</v>
      </c>
      <c r="B2917" s="80">
        <v>3394.61</v>
      </c>
      <c r="C2917" s="81" t="s">
        <v>4192</v>
      </c>
      <c r="D2917" s="82">
        <v>4952162041</v>
      </c>
      <c r="E2917" s="82" t="s">
        <v>14</v>
      </c>
      <c r="F2917" s="82" t="s">
        <v>4193</v>
      </c>
      <c r="G2917" s="79" t="s">
        <v>5</v>
      </c>
      <c r="H2917" s="2" t="s">
        <v>35</v>
      </c>
      <c r="I2917" s="2">
        <v>1</v>
      </c>
      <c r="J2917" s="2" t="s">
        <v>4194</v>
      </c>
      <c r="K2917" s="2">
        <v>9927</v>
      </c>
      <c r="L2917" s="35">
        <f t="shared" si="155"/>
        <v>33698293.469999999</v>
      </c>
      <c r="M2917" s="36">
        <v>450</v>
      </c>
      <c r="N2917" s="40">
        <v>16649.6701570681</v>
      </c>
      <c r="O2917" s="40">
        <v>65029.285714285703</v>
      </c>
      <c r="P2917" s="40">
        <v>0</v>
      </c>
      <c r="Q2917" s="40">
        <v>14187</v>
      </c>
      <c r="R2917" s="40">
        <v>75003.832460733</v>
      </c>
      <c r="S2917" s="40">
        <v>16697.403141361301</v>
      </c>
      <c r="T2917" s="40">
        <v>30000</v>
      </c>
      <c r="U2917" s="40">
        <v>222455.49738219901</v>
      </c>
      <c r="V2917" s="40">
        <v>0</v>
      </c>
      <c r="W2917" s="45">
        <f t="shared" si="156"/>
        <v>440022.68885564711</v>
      </c>
      <c r="X2917" s="46">
        <f t="shared" si="157"/>
        <v>1.3057714309698756</v>
      </c>
    </row>
    <row r="2918" spans="1:24" s="4" customFormat="1" ht="15" customHeight="1">
      <c r="A2918" s="79" t="s">
        <v>3955</v>
      </c>
      <c r="B2918" s="80">
        <v>3394.61</v>
      </c>
      <c r="C2918" s="81" t="s">
        <v>4195</v>
      </c>
      <c r="D2918" s="82">
        <v>4952701160</v>
      </c>
      <c r="E2918" s="82" t="s">
        <v>14</v>
      </c>
      <c r="F2918" s="82" t="s">
        <v>4196</v>
      </c>
      <c r="G2918" s="79" t="s">
        <v>5</v>
      </c>
      <c r="H2918" s="2" t="s">
        <v>20</v>
      </c>
      <c r="I2918" s="2">
        <v>1</v>
      </c>
      <c r="J2918" s="2" t="s">
        <v>4197</v>
      </c>
      <c r="K2918" s="2">
        <v>3499.2</v>
      </c>
      <c r="L2918" s="35">
        <f t="shared" si="155"/>
        <v>11878419.311999999</v>
      </c>
      <c r="M2918" s="36">
        <v>1080</v>
      </c>
      <c r="N2918" s="40">
        <v>38546.509090909101</v>
      </c>
      <c r="O2918" s="40">
        <v>115662</v>
      </c>
      <c r="P2918" s="40">
        <v>0</v>
      </c>
      <c r="Q2918" s="40">
        <v>33103</v>
      </c>
      <c r="R2918" s="40">
        <v>51505.309090909097</v>
      </c>
      <c r="S2918" s="40">
        <v>38657.018181818203</v>
      </c>
      <c r="T2918" s="40">
        <v>30000</v>
      </c>
      <c r="U2918" s="40">
        <v>1358716.36363636</v>
      </c>
      <c r="V2918" s="40">
        <v>0</v>
      </c>
      <c r="W2918" s="45">
        <f t="shared" si="156"/>
        <v>1666190.1999999965</v>
      </c>
      <c r="X2918" s="46">
        <f t="shared" si="157"/>
        <v>14.027036394621566</v>
      </c>
    </row>
    <row r="2919" spans="1:24" s="4" customFormat="1" ht="15" customHeight="1">
      <c r="A2919" s="79" t="s">
        <v>3955</v>
      </c>
      <c r="B2919" s="80">
        <v>3394.61</v>
      </c>
      <c r="C2919" s="81" t="s">
        <v>4195</v>
      </c>
      <c r="D2919" s="82">
        <v>4951874474</v>
      </c>
      <c r="E2919" s="82" t="s">
        <v>14</v>
      </c>
      <c r="F2919" s="82" t="s">
        <v>4196</v>
      </c>
      <c r="G2919" s="79" t="s">
        <v>5</v>
      </c>
      <c r="H2919" s="2" t="s">
        <v>20</v>
      </c>
      <c r="I2919" s="2">
        <v>1</v>
      </c>
      <c r="J2919" s="2" t="s">
        <v>4197</v>
      </c>
      <c r="K2919" s="2">
        <v>52855</v>
      </c>
      <c r="L2919" s="35">
        <f t="shared" si="155"/>
        <v>179422111.55000001</v>
      </c>
      <c r="M2919" s="36">
        <v>6820</v>
      </c>
      <c r="N2919" s="40">
        <v>243414.066666667</v>
      </c>
      <c r="O2919" s="40">
        <v>115662</v>
      </c>
      <c r="P2919" s="40">
        <v>0</v>
      </c>
      <c r="Q2919" s="40">
        <v>33103</v>
      </c>
      <c r="R2919" s="40">
        <v>325246.48888888903</v>
      </c>
      <c r="S2919" s="40">
        <v>244111.911111111</v>
      </c>
      <c r="T2919" s="40">
        <v>30000</v>
      </c>
      <c r="U2919" s="40">
        <v>8580042.2222222202</v>
      </c>
      <c r="V2919" s="40">
        <v>0</v>
      </c>
      <c r="W2919" s="45">
        <f t="shared" si="156"/>
        <v>9571579.6888888869</v>
      </c>
      <c r="X2919" s="46">
        <f t="shared" si="157"/>
        <v>5.3346711875150072</v>
      </c>
    </row>
    <row r="2920" spans="1:24" s="4" customFormat="1" ht="15" customHeight="1">
      <c r="A2920" s="79" t="s">
        <v>3955</v>
      </c>
      <c r="B2920" s="80">
        <v>3394.61</v>
      </c>
      <c r="C2920" s="81" t="s">
        <v>4195</v>
      </c>
      <c r="D2920" s="82">
        <v>4952577882</v>
      </c>
      <c r="E2920" s="82" t="s">
        <v>14</v>
      </c>
      <c r="F2920" s="82" t="s">
        <v>4196</v>
      </c>
      <c r="G2920" s="79" t="s">
        <v>5</v>
      </c>
      <c r="H2920" s="2" t="s">
        <v>20</v>
      </c>
      <c r="I2920" s="2">
        <v>1</v>
      </c>
      <c r="J2920" s="2" t="s">
        <v>4197</v>
      </c>
      <c r="K2920" s="2">
        <v>3980</v>
      </c>
      <c r="L2920" s="35">
        <f t="shared" si="155"/>
        <v>13510547.800000001</v>
      </c>
      <c r="M2920" s="36">
        <v>2000</v>
      </c>
      <c r="N2920" s="40">
        <v>71382.424242424197</v>
      </c>
      <c r="O2920" s="40">
        <v>115662</v>
      </c>
      <c r="P2920" s="40">
        <v>0</v>
      </c>
      <c r="Q2920" s="40">
        <v>33103</v>
      </c>
      <c r="R2920" s="40">
        <v>95380.202020202007</v>
      </c>
      <c r="S2920" s="40">
        <v>71587.070707070699</v>
      </c>
      <c r="T2920" s="40">
        <v>30000</v>
      </c>
      <c r="U2920" s="40">
        <v>2516141.41414141</v>
      </c>
      <c r="V2920" s="40">
        <v>0</v>
      </c>
      <c r="W2920" s="45">
        <f t="shared" si="156"/>
        <v>2933256.1111111068</v>
      </c>
      <c r="X2920" s="46">
        <f t="shared" si="157"/>
        <v>21.710859948336857</v>
      </c>
    </row>
    <row r="2921" spans="1:24" s="4" customFormat="1" ht="15" customHeight="1">
      <c r="A2921" s="79" t="s">
        <v>3955</v>
      </c>
      <c r="B2921" s="80">
        <v>3394.61</v>
      </c>
      <c r="C2921" s="81" t="s">
        <v>4198</v>
      </c>
      <c r="D2921" s="82">
        <v>4947229902</v>
      </c>
      <c r="E2921" s="82" t="s">
        <v>6</v>
      </c>
      <c r="F2921" s="83" t="s">
        <v>4199</v>
      </c>
      <c r="G2921" s="79" t="s">
        <v>9</v>
      </c>
      <c r="H2921" s="2" t="s">
        <v>23</v>
      </c>
      <c r="I2921" s="2">
        <v>2</v>
      </c>
      <c r="J2921" s="2"/>
      <c r="K2921" s="2">
        <v>22334.400000000001</v>
      </c>
      <c r="L2921" s="35">
        <f t="shared" si="155"/>
        <v>75816577.584000006</v>
      </c>
      <c r="M2921" s="36">
        <v>1440</v>
      </c>
      <c r="N2921" s="40">
        <v>915875</v>
      </c>
      <c r="O2921" s="40">
        <v>996</v>
      </c>
      <c r="P2921" s="40">
        <v>24664</v>
      </c>
      <c r="Q2921" s="40">
        <v>19333</v>
      </c>
      <c r="R2921" s="40">
        <v>128423</v>
      </c>
      <c r="S2921" s="40">
        <v>354356</v>
      </c>
      <c r="T2921" s="40">
        <v>30000</v>
      </c>
      <c r="U2921" s="40">
        <v>1367700</v>
      </c>
      <c r="V2921" s="40">
        <v>0</v>
      </c>
      <c r="W2921" s="45">
        <f t="shared" si="156"/>
        <v>2841347</v>
      </c>
      <c r="X2921" s="46">
        <f t="shared" si="157"/>
        <v>3.7476592726069256</v>
      </c>
    </row>
    <row r="2922" spans="1:24" s="4" customFormat="1" ht="15" customHeight="1">
      <c r="A2922" s="79" t="s">
        <v>3955</v>
      </c>
      <c r="B2922" s="80">
        <v>3394.61</v>
      </c>
      <c r="C2922" s="81" t="s">
        <v>4200</v>
      </c>
      <c r="D2922" s="82">
        <v>4952221315</v>
      </c>
      <c r="E2922" s="82" t="s">
        <v>24</v>
      </c>
      <c r="F2922" s="82" t="s">
        <v>4201</v>
      </c>
      <c r="G2922" s="79" t="s">
        <v>5</v>
      </c>
      <c r="H2922" s="2" t="s">
        <v>26</v>
      </c>
      <c r="I2922" s="2">
        <v>1</v>
      </c>
      <c r="J2922" s="2" t="s">
        <v>4202</v>
      </c>
      <c r="K2922" s="2">
        <v>20196</v>
      </c>
      <c r="L2922" s="35">
        <f t="shared" si="155"/>
        <v>68557543.560000002</v>
      </c>
      <c r="M2922" s="36">
        <v>23760</v>
      </c>
      <c r="N2922" s="40">
        <v>337699</v>
      </c>
      <c r="O2922" s="40">
        <v>125000</v>
      </c>
      <c r="P2922" s="40">
        <v>364135</v>
      </c>
      <c r="Q2922" s="40">
        <v>99309</v>
      </c>
      <c r="R2922" s="40">
        <v>528080</v>
      </c>
      <c r="S2922" s="40">
        <v>354356</v>
      </c>
      <c r="T2922" s="40"/>
      <c r="U2922" s="40">
        <v>0</v>
      </c>
      <c r="V2922" s="40">
        <v>0</v>
      </c>
      <c r="W2922" s="45">
        <f t="shared" si="156"/>
        <v>1808579</v>
      </c>
      <c r="X2922" s="46">
        <f t="shared" si="157"/>
        <v>2.6380452187835068</v>
      </c>
    </row>
    <row r="2923" spans="1:24" s="4" customFormat="1" ht="15" customHeight="1">
      <c r="A2923" s="79" t="s">
        <v>3955</v>
      </c>
      <c r="B2923" s="80">
        <v>3394.61</v>
      </c>
      <c r="C2923" s="81" t="s">
        <v>4203</v>
      </c>
      <c r="D2923" s="82">
        <v>4952003524</v>
      </c>
      <c r="E2923" s="82" t="s">
        <v>38</v>
      </c>
      <c r="F2923" s="82" t="s">
        <v>4204</v>
      </c>
      <c r="G2923" s="79" t="s">
        <v>5</v>
      </c>
      <c r="H2923" s="2" t="s">
        <v>20</v>
      </c>
      <c r="I2923" s="2">
        <v>2</v>
      </c>
      <c r="J2923" s="2" t="s">
        <v>4205</v>
      </c>
      <c r="K2923" s="2">
        <v>40512</v>
      </c>
      <c r="L2923" s="35">
        <f t="shared" si="155"/>
        <v>137522440.31999999</v>
      </c>
      <c r="M2923" s="36">
        <v>19200</v>
      </c>
      <c r="N2923" s="40">
        <v>384505.67441860499</v>
      </c>
      <c r="O2923" s="40">
        <v>346936.5</v>
      </c>
      <c r="P2923" s="40">
        <v>334883.72093023302</v>
      </c>
      <c r="Q2923" s="40">
        <v>99309.5</v>
      </c>
      <c r="R2923" s="40">
        <v>893023.255813953</v>
      </c>
      <c r="S2923" s="40">
        <v>197780.09302325599</v>
      </c>
      <c r="T2923" s="48"/>
      <c r="U2923" s="55">
        <v>2836911.62790698</v>
      </c>
      <c r="V2923" s="55">
        <v>0</v>
      </c>
      <c r="W2923" s="45">
        <f t="shared" si="156"/>
        <v>5093350.3720930275</v>
      </c>
      <c r="X2923" s="46">
        <f t="shared" si="157"/>
        <v>3.7036503717075888</v>
      </c>
    </row>
    <row r="2924" spans="1:24" s="4" customFormat="1" ht="15" customHeight="1">
      <c r="A2924" s="79" t="s">
        <v>3955</v>
      </c>
      <c r="B2924" s="80">
        <v>3394.61</v>
      </c>
      <c r="C2924" s="81" t="s">
        <v>4203</v>
      </c>
      <c r="D2924" s="82">
        <v>4952003527</v>
      </c>
      <c r="E2924" s="82" t="s">
        <v>38</v>
      </c>
      <c r="F2924" s="82" t="s">
        <v>4204</v>
      </c>
      <c r="G2924" s="79" t="s">
        <v>5</v>
      </c>
      <c r="H2924" s="2" t="s">
        <v>20</v>
      </c>
      <c r="I2924" s="2">
        <v>2</v>
      </c>
      <c r="J2924" s="2" t="s">
        <v>4205</v>
      </c>
      <c r="K2924" s="2">
        <v>31768</v>
      </c>
      <c r="L2924" s="35">
        <f t="shared" si="155"/>
        <v>107839970.48</v>
      </c>
      <c r="M2924" s="36">
        <v>15200</v>
      </c>
      <c r="N2924" s="40">
        <v>304400.32558139501</v>
      </c>
      <c r="O2924" s="40">
        <v>346936.5</v>
      </c>
      <c r="P2924" s="40">
        <v>265116.27906976698</v>
      </c>
      <c r="Q2924" s="40">
        <v>99309.5</v>
      </c>
      <c r="R2924" s="40">
        <v>706976.744186047</v>
      </c>
      <c r="S2924" s="40">
        <v>156575.90697674401</v>
      </c>
      <c r="T2924" s="48"/>
      <c r="U2924" s="55">
        <v>2245888.37209302</v>
      </c>
      <c r="V2924" s="55">
        <v>0</v>
      </c>
      <c r="W2924" s="45">
        <f t="shared" si="156"/>
        <v>4125203.627906973</v>
      </c>
      <c r="X2924" s="46">
        <f t="shared" si="157"/>
        <v>3.8253011471957268</v>
      </c>
    </row>
    <row r="2925" spans="1:24" s="4" customFormat="1" ht="15" customHeight="1">
      <c r="A2925" s="79" t="s">
        <v>3955</v>
      </c>
      <c r="B2925" s="80">
        <v>3394.61</v>
      </c>
      <c r="C2925" s="81" t="s">
        <v>4206</v>
      </c>
      <c r="D2925" s="82">
        <v>4952601863</v>
      </c>
      <c r="E2925" s="82" t="s">
        <v>14</v>
      </c>
      <c r="F2925" s="83" t="s">
        <v>4207</v>
      </c>
      <c r="G2925" s="79" t="s">
        <v>5</v>
      </c>
      <c r="H2925" s="2" t="s">
        <v>20</v>
      </c>
      <c r="I2925" s="2">
        <v>1</v>
      </c>
      <c r="J2925" s="2" t="s">
        <v>4208</v>
      </c>
      <c r="K2925" s="2">
        <v>1041</v>
      </c>
      <c r="L2925" s="35">
        <f t="shared" si="155"/>
        <v>3533789.0100000002</v>
      </c>
      <c r="M2925" s="36">
        <f>630+210</f>
        <v>840</v>
      </c>
      <c r="N2925" s="40">
        <v>21134.272727272699</v>
      </c>
      <c r="O2925" s="40">
        <v>173493</v>
      </c>
      <c r="P2925" s="40">
        <v>0</v>
      </c>
      <c r="Q2925" s="40">
        <v>49654.5</v>
      </c>
      <c r="R2925" s="40">
        <v>23529.333333333299</v>
      </c>
      <c r="S2925" s="40">
        <v>18791.6060606061</v>
      </c>
      <c r="T2925" s="40">
        <v>30000</v>
      </c>
      <c r="U2925" s="55">
        <v>339627.272727273</v>
      </c>
      <c r="V2925" s="55">
        <v>0</v>
      </c>
      <c r="W2925" s="45">
        <f t="shared" si="156"/>
        <v>656229.9848484851</v>
      </c>
      <c r="X2925" s="46">
        <f t="shared" si="157"/>
        <v>18.570151839610961</v>
      </c>
    </row>
    <row r="2926" spans="1:24" s="4" customFormat="1" ht="15" customHeight="1">
      <c r="A2926" s="79" t="s">
        <v>3955</v>
      </c>
      <c r="B2926" s="80">
        <v>3394.61</v>
      </c>
      <c r="C2926" s="81" t="s">
        <v>4206</v>
      </c>
      <c r="D2926" s="82">
        <v>4952601863</v>
      </c>
      <c r="E2926" s="82" t="s">
        <v>14</v>
      </c>
      <c r="F2926" s="83" t="s">
        <v>4207</v>
      </c>
      <c r="G2926" s="79" t="s">
        <v>5</v>
      </c>
      <c r="H2926" s="2" t="s">
        <v>20</v>
      </c>
      <c r="I2926" s="2">
        <v>1</v>
      </c>
      <c r="J2926" s="2" t="s">
        <v>4208</v>
      </c>
      <c r="K2926" s="2">
        <f>9408+2184+1008</f>
        <v>12600</v>
      </c>
      <c r="L2926" s="35">
        <f t="shared" si="155"/>
        <v>42772086</v>
      </c>
      <c r="M2926" s="36">
        <f>11200+2600+1200</f>
        <v>15000</v>
      </c>
      <c r="N2926" s="40">
        <v>377397.727272727</v>
      </c>
      <c r="O2926" s="40">
        <v>173493</v>
      </c>
      <c r="P2926" s="40">
        <v>0</v>
      </c>
      <c r="Q2926" s="40">
        <v>49654.5</v>
      </c>
      <c r="R2926" s="40">
        <v>423167</v>
      </c>
      <c r="S2926" s="40">
        <v>335564.39393939398</v>
      </c>
      <c r="T2926" s="40">
        <v>30000</v>
      </c>
      <c r="U2926" s="55">
        <v>6064772.7272727303</v>
      </c>
      <c r="V2926" s="55">
        <v>0</v>
      </c>
      <c r="W2926" s="45">
        <f t="shared" si="156"/>
        <v>7454049.3484848514</v>
      </c>
      <c r="X2926" s="46">
        <f t="shared" si="157"/>
        <v>17.427369215718986</v>
      </c>
    </row>
    <row r="2927" spans="1:24" s="4" customFormat="1" ht="15" customHeight="1">
      <c r="A2927" s="79" t="s">
        <v>3955</v>
      </c>
      <c r="B2927" s="80">
        <v>3394.61</v>
      </c>
      <c r="C2927" s="81" t="s">
        <v>4209</v>
      </c>
      <c r="D2927" s="82">
        <v>4952946227</v>
      </c>
      <c r="E2927" s="82" t="s">
        <v>24</v>
      </c>
      <c r="F2927" s="83" t="s">
        <v>4210</v>
      </c>
      <c r="G2927" s="79" t="s">
        <v>5</v>
      </c>
      <c r="H2927" s="2" t="s">
        <v>20</v>
      </c>
      <c r="I2927" s="2">
        <v>1</v>
      </c>
      <c r="J2927" s="2" t="s">
        <v>4211</v>
      </c>
      <c r="K2927" s="2">
        <v>3888</v>
      </c>
      <c r="L2927" s="35">
        <f t="shared" si="155"/>
        <v>13198243.68</v>
      </c>
      <c r="M2927" s="36">
        <v>4320</v>
      </c>
      <c r="N2927" s="40">
        <v>344493</v>
      </c>
      <c r="O2927" s="40">
        <v>346986</v>
      </c>
      <c r="P2927" s="40">
        <v>0</v>
      </c>
      <c r="Q2927" s="40">
        <v>99309</v>
      </c>
      <c r="R2927" s="40">
        <v>443564</v>
      </c>
      <c r="S2927" s="40">
        <v>354356</v>
      </c>
      <c r="T2927" s="40"/>
      <c r="U2927" s="40">
        <v>2619000</v>
      </c>
      <c r="V2927" s="40">
        <v>0</v>
      </c>
      <c r="W2927" s="45">
        <f t="shared" si="156"/>
        <v>4207708</v>
      </c>
      <c r="X2927" s="46">
        <f t="shared" si="157"/>
        <v>31.88081764527627</v>
      </c>
    </row>
    <row r="2928" spans="1:24" s="4" customFormat="1" ht="15" customHeight="1">
      <c r="A2928" s="79" t="s">
        <v>3955</v>
      </c>
      <c r="B2928" s="80">
        <v>3394.61</v>
      </c>
      <c r="C2928" s="81" t="s">
        <v>4212</v>
      </c>
      <c r="D2928" s="82">
        <v>4952862315</v>
      </c>
      <c r="E2928" s="82" t="s">
        <v>14</v>
      </c>
      <c r="F2928" s="82" t="s">
        <v>4213</v>
      </c>
      <c r="G2928" s="79" t="s">
        <v>9</v>
      </c>
      <c r="H2928" s="2" t="s">
        <v>23</v>
      </c>
      <c r="I2928" s="2">
        <v>3</v>
      </c>
      <c r="J2928" s="2"/>
      <c r="K2928" s="2">
        <v>4668.3</v>
      </c>
      <c r="L2928" s="35">
        <f t="shared" si="155"/>
        <v>15847057.863000002</v>
      </c>
      <c r="M2928" s="36">
        <v>1890</v>
      </c>
      <c r="N2928" s="40">
        <v>469108</v>
      </c>
      <c r="O2928" s="40">
        <v>1374</v>
      </c>
      <c r="P2928" s="40">
        <v>0</v>
      </c>
      <c r="Q2928" s="40">
        <v>26583</v>
      </c>
      <c r="R2928" s="40">
        <v>117077</v>
      </c>
      <c r="S2928" s="40">
        <v>354356</v>
      </c>
      <c r="T2928" s="40">
        <v>30000</v>
      </c>
      <c r="U2928" s="40">
        <v>1367700</v>
      </c>
      <c r="V2928" s="40">
        <v>0</v>
      </c>
      <c r="W2928" s="45">
        <f t="shared" si="156"/>
        <v>2366198</v>
      </c>
      <c r="X2928" s="46">
        <f t="shared" si="157"/>
        <v>14.931465641484417</v>
      </c>
    </row>
    <row r="2929" spans="1:24" s="4" customFormat="1" ht="15" customHeight="1">
      <c r="A2929" s="79" t="s">
        <v>3955</v>
      </c>
      <c r="B2929" s="80">
        <v>3394.61</v>
      </c>
      <c r="C2929" s="81" t="s">
        <v>4214</v>
      </c>
      <c r="D2929" s="82">
        <v>4952601278</v>
      </c>
      <c r="E2929" s="82" t="s">
        <v>24</v>
      </c>
      <c r="F2929" s="82" t="s">
        <v>4215</v>
      </c>
      <c r="G2929" s="79" t="s">
        <v>5</v>
      </c>
      <c r="H2929" s="2" t="s">
        <v>20</v>
      </c>
      <c r="I2929" s="2">
        <v>1</v>
      </c>
      <c r="J2929" s="2" t="s">
        <v>4216</v>
      </c>
      <c r="K2929" s="2">
        <v>5360</v>
      </c>
      <c r="L2929" s="35">
        <f t="shared" si="155"/>
        <v>18195109.600000001</v>
      </c>
      <c r="M2929" s="36">
        <v>8000</v>
      </c>
      <c r="N2929" s="40">
        <v>353343</v>
      </c>
      <c r="O2929" s="40">
        <v>346986</v>
      </c>
      <c r="P2929" s="40">
        <v>164893</v>
      </c>
      <c r="Q2929" s="40">
        <v>99309</v>
      </c>
      <c r="R2929" s="40">
        <v>562614</v>
      </c>
      <c r="S2929" s="40">
        <v>354356</v>
      </c>
      <c r="T2929" s="40"/>
      <c r="U2929" s="40">
        <v>2900300</v>
      </c>
      <c r="V2929" s="40">
        <v>0</v>
      </c>
      <c r="W2929" s="45">
        <f t="shared" si="156"/>
        <v>4781801</v>
      </c>
      <c r="X2929" s="46">
        <f t="shared" si="157"/>
        <v>26.280693577135693</v>
      </c>
    </row>
    <row r="2930" spans="1:24" s="4" customFormat="1" ht="15" customHeight="1">
      <c r="A2930" s="79" t="s">
        <v>3955</v>
      </c>
      <c r="B2930" s="80">
        <v>3394.61</v>
      </c>
      <c r="C2930" s="81" t="s">
        <v>4217</v>
      </c>
      <c r="D2930" s="82">
        <v>4952283445</v>
      </c>
      <c r="E2930" s="82" t="s">
        <v>14</v>
      </c>
      <c r="F2930" s="83" t="s">
        <v>4218</v>
      </c>
      <c r="G2930" s="79" t="s">
        <v>9</v>
      </c>
      <c r="H2930" s="2" t="s">
        <v>23</v>
      </c>
      <c r="I2930" s="2">
        <v>1</v>
      </c>
      <c r="J2930" s="2"/>
      <c r="K2930" s="2">
        <v>1596</v>
      </c>
      <c r="L2930" s="35">
        <f t="shared" si="155"/>
        <v>5417797.5600000005</v>
      </c>
      <c r="M2930" s="36">
        <v>840</v>
      </c>
      <c r="N2930" s="40">
        <v>517720</v>
      </c>
      <c r="O2930" s="40">
        <v>584</v>
      </c>
      <c r="P2930" s="40">
        <v>0</v>
      </c>
      <c r="Q2930" s="40">
        <v>11277</v>
      </c>
      <c r="R2930" s="40">
        <v>100518</v>
      </c>
      <c r="S2930" s="40">
        <v>354356</v>
      </c>
      <c r="T2930" s="40">
        <v>30000</v>
      </c>
      <c r="U2930" s="40">
        <v>295915.540540541</v>
      </c>
      <c r="V2930" s="40">
        <v>0</v>
      </c>
      <c r="W2930" s="45">
        <f t="shared" si="156"/>
        <v>1310370.5405405411</v>
      </c>
      <c r="X2930" s="46">
        <f t="shared" si="157"/>
        <v>24.186406487667675</v>
      </c>
    </row>
    <row r="2931" spans="1:24" s="4" customFormat="1" ht="15" customHeight="1">
      <c r="A2931" s="79" t="s">
        <v>3955</v>
      </c>
      <c r="B2931" s="80">
        <v>3394.61</v>
      </c>
      <c r="C2931" s="84" t="s">
        <v>4219</v>
      </c>
      <c r="D2931" s="82">
        <v>4952419561</v>
      </c>
      <c r="E2931" s="82" t="s">
        <v>36</v>
      </c>
      <c r="F2931" s="82" t="s">
        <v>4220</v>
      </c>
      <c r="G2931" s="79" t="s">
        <v>5</v>
      </c>
      <c r="H2931" s="2" t="s">
        <v>26</v>
      </c>
      <c r="I2931" s="2">
        <v>4</v>
      </c>
      <c r="J2931" s="2" t="s">
        <v>4221</v>
      </c>
      <c r="K2931" s="2">
        <v>88740</v>
      </c>
      <c r="L2931" s="35">
        <f t="shared" si="155"/>
        <v>301237691.40000004</v>
      </c>
      <c r="M2931" s="36">
        <v>87000</v>
      </c>
      <c r="N2931" s="40">
        <v>1427229</v>
      </c>
      <c r="O2931" s="40">
        <v>1240000</v>
      </c>
      <c r="P2931" s="40">
        <v>10718080</v>
      </c>
      <c r="Q2931" s="40">
        <v>248000</v>
      </c>
      <c r="R2931" s="40">
        <v>2699828</v>
      </c>
      <c r="S2931" s="40">
        <v>354356</v>
      </c>
      <c r="T2931" s="40"/>
      <c r="U2931" s="40">
        <v>0</v>
      </c>
      <c r="V2931" s="40">
        <v>0</v>
      </c>
      <c r="W2931" s="45">
        <f t="shared" si="156"/>
        <v>16687493</v>
      </c>
      <c r="X2931" s="46">
        <f t="shared" si="157"/>
        <v>5.5396431045680217</v>
      </c>
    </row>
    <row r="2932" spans="1:24" s="4" customFormat="1" ht="15" customHeight="1">
      <c r="A2932" s="79" t="s">
        <v>3955</v>
      </c>
      <c r="B2932" s="80">
        <v>3394.61</v>
      </c>
      <c r="C2932" s="81" t="s">
        <v>4222</v>
      </c>
      <c r="D2932" s="82">
        <v>4952602529</v>
      </c>
      <c r="E2932" s="82" t="s">
        <v>24</v>
      </c>
      <c r="F2932" s="82" t="s">
        <v>4223</v>
      </c>
      <c r="G2932" s="79" t="s">
        <v>5</v>
      </c>
      <c r="H2932" s="2" t="s">
        <v>20</v>
      </c>
      <c r="I2932" s="2">
        <v>1</v>
      </c>
      <c r="J2932" s="2" t="s">
        <v>4224</v>
      </c>
      <c r="K2932" s="2">
        <v>29611.599999999999</v>
      </c>
      <c r="L2932" s="35">
        <f t="shared" si="155"/>
        <v>100519833.476</v>
      </c>
      <c r="M2932" s="36">
        <v>7240</v>
      </c>
      <c r="N2932" s="40">
        <v>276861.83116883098</v>
      </c>
      <c r="O2932" s="40">
        <v>173493</v>
      </c>
      <c r="P2932" s="40">
        <v>129201.87445887399</v>
      </c>
      <c r="Q2932" s="40">
        <v>49654.5</v>
      </c>
      <c r="R2932" s="40">
        <v>445537.37662337697</v>
      </c>
      <c r="S2932" s="40">
        <v>277655.56709956698</v>
      </c>
      <c r="T2932" s="48"/>
      <c r="U2932" s="55">
        <v>2546145.0216450202</v>
      </c>
      <c r="V2932" s="55">
        <v>0</v>
      </c>
      <c r="W2932" s="45">
        <f t="shared" si="156"/>
        <v>3898549.1709956694</v>
      </c>
      <c r="X2932" s="46">
        <f t="shared" si="157"/>
        <v>3.8783880117812601</v>
      </c>
    </row>
    <row r="2933" spans="1:24" s="4" customFormat="1" ht="15" customHeight="1">
      <c r="A2933" s="79" t="s">
        <v>3955</v>
      </c>
      <c r="B2933" s="80">
        <v>3394.61</v>
      </c>
      <c r="C2933" s="81" t="s">
        <v>4222</v>
      </c>
      <c r="D2933" s="82">
        <v>4952601278</v>
      </c>
      <c r="E2933" s="82" t="s">
        <v>24</v>
      </c>
      <c r="F2933" s="82" t="s">
        <v>4223</v>
      </c>
      <c r="G2933" s="79" t="s">
        <v>5</v>
      </c>
      <c r="H2933" s="2" t="s">
        <v>20</v>
      </c>
      <c r="I2933" s="2">
        <v>1</v>
      </c>
      <c r="J2933" s="2" t="s">
        <v>4224</v>
      </c>
      <c r="K2933" s="2">
        <v>1340</v>
      </c>
      <c r="L2933" s="35">
        <f t="shared" si="155"/>
        <v>4548777.4000000004</v>
      </c>
      <c r="M2933" s="36">
        <v>2000</v>
      </c>
      <c r="N2933" s="40">
        <v>76481.168831168805</v>
      </c>
      <c r="O2933" s="40">
        <v>173493</v>
      </c>
      <c r="P2933" s="40">
        <v>35691.125541125497</v>
      </c>
      <c r="Q2933" s="40">
        <v>49654.5</v>
      </c>
      <c r="R2933" s="40">
        <v>123076.623376623</v>
      </c>
      <c r="S2933" s="40">
        <v>76700.432900432905</v>
      </c>
      <c r="T2933" s="48"/>
      <c r="U2933" s="55">
        <v>703354.97835497803</v>
      </c>
      <c r="V2933" s="55">
        <v>0</v>
      </c>
      <c r="W2933" s="45">
        <f t="shared" si="156"/>
        <v>1238451.8290043282</v>
      </c>
      <c r="X2933" s="46">
        <f t="shared" si="157"/>
        <v>27.226037242541878</v>
      </c>
    </row>
    <row r="2934" spans="1:24" s="4" customFormat="1" ht="15" customHeight="1">
      <c r="A2934" s="79" t="s">
        <v>3955</v>
      </c>
      <c r="B2934" s="80">
        <v>3394.61</v>
      </c>
      <c r="C2934" s="81" t="s">
        <v>4225</v>
      </c>
      <c r="D2934" s="82">
        <v>4951816774</v>
      </c>
      <c r="E2934" s="82" t="s">
        <v>6</v>
      </c>
      <c r="F2934" s="83" t="s">
        <v>4226</v>
      </c>
      <c r="G2934" s="79" t="s">
        <v>5</v>
      </c>
      <c r="H2934" s="2" t="s">
        <v>17</v>
      </c>
      <c r="I2934" s="2">
        <v>1</v>
      </c>
      <c r="J2934" s="2" t="s">
        <v>4227</v>
      </c>
      <c r="K2934" s="2">
        <f>34775+21945+6300</f>
        <v>63020</v>
      </c>
      <c r="L2934" s="35">
        <f t="shared" si="155"/>
        <v>213928322.20000002</v>
      </c>
      <c r="M2934" s="36">
        <f>8275+5225+1500</f>
        <v>15000</v>
      </c>
      <c r="N2934" s="40">
        <v>346229</v>
      </c>
      <c r="O2934" s="40">
        <v>567305</v>
      </c>
      <c r="P2934" s="40">
        <v>0</v>
      </c>
      <c r="Q2934" s="40">
        <v>124137</v>
      </c>
      <c r="R2934" s="40">
        <v>694957</v>
      </c>
      <c r="S2934" s="40">
        <v>354356</v>
      </c>
      <c r="T2934" s="40">
        <v>30000</v>
      </c>
      <c r="U2934" s="40">
        <v>529000</v>
      </c>
      <c r="V2934" s="40">
        <v>0</v>
      </c>
      <c r="W2934" s="45">
        <f t="shared" si="156"/>
        <v>2645984</v>
      </c>
      <c r="X2934" s="46">
        <f t="shared" si="157"/>
        <v>1.2368553975411862</v>
      </c>
    </row>
    <row r="2935" spans="1:24" s="4" customFormat="1" ht="15" customHeight="1">
      <c r="A2935" s="79" t="s">
        <v>3955</v>
      </c>
      <c r="B2935" s="80">
        <v>3394.61</v>
      </c>
      <c r="C2935" s="81" t="s">
        <v>4228</v>
      </c>
      <c r="D2935" s="82">
        <v>4952465124</v>
      </c>
      <c r="E2935" s="82" t="s">
        <v>14</v>
      </c>
      <c r="F2935" s="83" t="s">
        <v>4229</v>
      </c>
      <c r="G2935" s="79" t="s">
        <v>9</v>
      </c>
      <c r="H2935" s="2" t="s">
        <v>23</v>
      </c>
      <c r="I2935" s="2">
        <v>6</v>
      </c>
      <c r="J2935" s="2"/>
      <c r="K2935" s="2">
        <v>12448.8</v>
      </c>
      <c r="L2935" s="35">
        <f t="shared" si="155"/>
        <v>42258820.968000002</v>
      </c>
      <c r="M2935" s="36">
        <v>5040</v>
      </c>
      <c r="N2935" s="40">
        <v>364492</v>
      </c>
      <c r="O2935" s="40">
        <v>3469</v>
      </c>
      <c r="P2935" s="40">
        <v>0</v>
      </c>
      <c r="Q2935" s="40">
        <v>67667</v>
      </c>
      <c r="R2935" s="40">
        <v>177706</v>
      </c>
      <c r="S2935" s="40">
        <v>354356</v>
      </c>
      <c r="T2935" s="40">
        <v>30000</v>
      </c>
      <c r="U2935" s="40">
        <v>2085500</v>
      </c>
      <c r="V2935" s="40">
        <v>0</v>
      </c>
      <c r="W2935" s="45">
        <f t="shared" si="156"/>
        <v>3083190</v>
      </c>
      <c r="X2935" s="46">
        <f t="shared" si="157"/>
        <v>7.295967869843575</v>
      </c>
    </row>
    <row r="2936" spans="1:24" s="4" customFormat="1" ht="15" customHeight="1">
      <c r="A2936" s="79" t="s">
        <v>3955</v>
      </c>
      <c r="B2936" s="80">
        <v>3394.61</v>
      </c>
      <c r="C2936" s="81" t="s">
        <v>4230</v>
      </c>
      <c r="D2936" s="82">
        <v>4952077939</v>
      </c>
      <c r="E2936" s="82" t="s">
        <v>18</v>
      </c>
      <c r="F2936" s="82" t="s">
        <v>4231</v>
      </c>
      <c r="G2936" s="79" t="s">
        <v>5</v>
      </c>
      <c r="H2936" s="2" t="s">
        <v>20</v>
      </c>
      <c r="I2936" s="2">
        <v>1</v>
      </c>
      <c r="J2936" s="2" t="s">
        <v>4232</v>
      </c>
      <c r="K2936" s="2">
        <v>23166</v>
      </c>
      <c r="L2936" s="35">
        <f t="shared" si="155"/>
        <v>78639535.260000005</v>
      </c>
      <c r="M2936" s="36">
        <v>19800</v>
      </c>
      <c r="N2936" s="40">
        <v>408769</v>
      </c>
      <c r="O2936" s="40">
        <v>346986</v>
      </c>
      <c r="P2936" s="40">
        <v>923403</v>
      </c>
      <c r="Q2936" s="40">
        <v>99309</v>
      </c>
      <c r="R2936" s="40">
        <v>459313</v>
      </c>
      <c r="S2936" s="40">
        <v>354356</v>
      </c>
      <c r="T2936" s="40">
        <v>30000</v>
      </c>
      <c r="U2936" s="40">
        <v>4811200</v>
      </c>
      <c r="V2936" s="40">
        <v>0</v>
      </c>
      <c r="W2936" s="45">
        <f t="shared" si="156"/>
        <v>7433336</v>
      </c>
      <c r="X2936" s="46">
        <f t="shared" si="157"/>
        <v>9.4524159831612913</v>
      </c>
    </row>
    <row r="2937" spans="1:24" s="4" customFormat="1" ht="15" customHeight="1">
      <c r="A2937" s="79" t="s">
        <v>3955</v>
      </c>
      <c r="B2937" s="80">
        <v>3394.61</v>
      </c>
      <c r="C2937" s="81" t="s">
        <v>4233</v>
      </c>
      <c r="D2937" s="82">
        <v>4952864213</v>
      </c>
      <c r="E2937" s="82" t="s">
        <v>14</v>
      </c>
      <c r="F2937" s="82" t="s">
        <v>4234</v>
      </c>
      <c r="G2937" s="79" t="s">
        <v>5</v>
      </c>
      <c r="H2937" s="2" t="s">
        <v>20</v>
      </c>
      <c r="I2937" s="2">
        <v>1</v>
      </c>
      <c r="J2937" s="2" t="s">
        <v>4235</v>
      </c>
      <c r="K2937" s="2">
        <v>11713</v>
      </c>
      <c r="L2937" s="35">
        <f t="shared" si="155"/>
        <v>39761066.93</v>
      </c>
      <c r="M2937" s="36">
        <v>5160</v>
      </c>
      <c r="N2937" s="40">
        <v>346415</v>
      </c>
      <c r="O2937" s="40">
        <v>346986</v>
      </c>
      <c r="P2937" s="40">
        <v>0</v>
      </c>
      <c r="Q2937" s="40">
        <v>99309</v>
      </c>
      <c r="R2937" s="40">
        <v>455370</v>
      </c>
      <c r="S2937" s="40">
        <v>354356</v>
      </c>
      <c r="T2937" s="40">
        <v>30000</v>
      </c>
      <c r="U2937" s="40">
        <v>3501700</v>
      </c>
      <c r="V2937" s="40">
        <v>0</v>
      </c>
      <c r="W2937" s="45">
        <f t="shared" si="156"/>
        <v>5134136</v>
      </c>
      <c r="X2937" s="46">
        <f t="shared" si="157"/>
        <v>12.912470404878039</v>
      </c>
    </row>
    <row r="2938" spans="1:24" s="4" customFormat="1" ht="15" customHeight="1">
      <c r="A2938" s="79" t="s">
        <v>3955</v>
      </c>
      <c r="B2938" s="80">
        <v>3394.61</v>
      </c>
      <c r="C2938" s="84" t="s">
        <v>4236</v>
      </c>
      <c r="D2938" s="82">
        <v>4952419573</v>
      </c>
      <c r="E2938" s="82" t="s">
        <v>36</v>
      </c>
      <c r="F2938" s="83" t="s">
        <v>4237</v>
      </c>
      <c r="G2938" s="79" t="s">
        <v>5</v>
      </c>
      <c r="H2938" s="2" t="s">
        <v>26</v>
      </c>
      <c r="I2938" s="2">
        <v>4</v>
      </c>
      <c r="J2938" s="2" t="s">
        <v>4238</v>
      </c>
      <c r="K2938" s="2">
        <v>84313</v>
      </c>
      <c r="L2938" s="35">
        <f t="shared" si="155"/>
        <v>286209752.93000001</v>
      </c>
      <c r="M2938" s="36">
        <v>82660</v>
      </c>
      <c r="N2938" s="40">
        <v>1377975</v>
      </c>
      <c r="O2938" s="40">
        <v>1240000</v>
      </c>
      <c r="P2938" s="40">
        <v>10449644</v>
      </c>
      <c r="Q2938" s="40">
        <v>248000</v>
      </c>
      <c r="R2938" s="40">
        <v>2644942</v>
      </c>
      <c r="S2938" s="40">
        <v>354356</v>
      </c>
      <c r="T2938" s="40"/>
      <c r="U2938" s="40">
        <v>0</v>
      </c>
      <c r="V2938" s="40">
        <v>0</v>
      </c>
      <c r="W2938" s="45">
        <f t="shared" si="156"/>
        <v>16314917</v>
      </c>
      <c r="X2938" s="46">
        <f t="shared" si="157"/>
        <v>5.7003357967295525</v>
      </c>
    </row>
    <row r="2939" spans="1:24" s="4" customFormat="1" ht="15" customHeight="1">
      <c r="A2939" s="79" t="s">
        <v>3955</v>
      </c>
      <c r="B2939" s="80">
        <v>3394.61</v>
      </c>
      <c r="C2939" s="84" t="s">
        <v>4239</v>
      </c>
      <c r="D2939" s="82">
        <v>4952421302</v>
      </c>
      <c r="E2939" s="82" t="s">
        <v>36</v>
      </c>
      <c r="F2939" s="83" t="s">
        <v>4240</v>
      </c>
      <c r="G2939" s="79" t="s">
        <v>5</v>
      </c>
      <c r="H2939" s="2" t="s">
        <v>26</v>
      </c>
      <c r="I2939" s="2">
        <v>1</v>
      </c>
      <c r="J2939" s="2" t="s">
        <v>4241</v>
      </c>
      <c r="K2939" s="2">
        <v>33659.089999999997</v>
      </c>
      <c r="L2939" s="35">
        <f t="shared" si="155"/>
        <v>114259483.50489999</v>
      </c>
      <c r="M2939" s="36">
        <v>22897.343000000001</v>
      </c>
      <c r="N2939" s="40">
        <v>344493</v>
      </c>
      <c r="O2939" s="40">
        <v>125000</v>
      </c>
      <c r="P2939" s="40">
        <v>2089928</v>
      </c>
      <c r="Q2939" s="40">
        <v>99309</v>
      </c>
      <c r="R2939" s="40">
        <v>531219</v>
      </c>
      <c r="S2939" s="40">
        <v>354356</v>
      </c>
      <c r="T2939" s="40"/>
      <c r="U2939" s="40">
        <v>0</v>
      </c>
      <c r="V2939" s="40">
        <v>0</v>
      </c>
      <c r="W2939" s="45">
        <f t="shared" si="156"/>
        <v>3544305</v>
      </c>
      <c r="X2939" s="46">
        <f t="shared" si="157"/>
        <v>3.1019788391114189</v>
      </c>
    </row>
    <row r="2940" spans="1:24" s="4" customFormat="1" ht="15" customHeight="1">
      <c r="A2940" s="79" t="s">
        <v>3955</v>
      </c>
      <c r="B2940" s="80">
        <v>3394.61</v>
      </c>
      <c r="C2940" s="81" t="s">
        <v>4242</v>
      </c>
      <c r="D2940" s="82" t="s">
        <v>4243</v>
      </c>
      <c r="E2940" s="82" t="s">
        <v>24</v>
      </c>
      <c r="F2940" s="82" t="s">
        <v>4244</v>
      </c>
      <c r="G2940" s="79" t="s">
        <v>9</v>
      </c>
      <c r="H2940" s="2" t="s">
        <v>23</v>
      </c>
      <c r="I2940" s="2">
        <v>4</v>
      </c>
      <c r="J2940" s="2"/>
      <c r="K2940" s="2">
        <v>9649.5300000000007</v>
      </c>
      <c r="L2940" s="35">
        <f t="shared" si="155"/>
        <v>32756391.033300005</v>
      </c>
      <c r="M2940" s="36">
        <v>3483.5839999999998</v>
      </c>
      <c r="N2940" s="40">
        <v>939269</v>
      </c>
      <c r="O2940" s="40">
        <v>2404</v>
      </c>
      <c r="P2940" s="40">
        <v>140027</v>
      </c>
      <c r="Q2940" s="40">
        <v>46722</v>
      </c>
      <c r="R2940" s="40">
        <v>104627</v>
      </c>
      <c r="S2940" s="40">
        <v>354356</v>
      </c>
      <c r="T2940" s="40"/>
      <c r="U2940" s="40">
        <v>557750</v>
      </c>
      <c r="V2940" s="40">
        <v>0</v>
      </c>
      <c r="W2940" s="45">
        <f t="shared" si="156"/>
        <v>2145155</v>
      </c>
      <c r="X2940" s="46">
        <f t="shared" si="157"/>
        <v>6.5488136279092668</v>
      </c>
    </row>
    <row r="2941" spans="1:24" s="4" customFormat="1" ht="15" customHeight="1">
      <c r="A2941" s="79" t="s">
        <v>3955</v>
      </c>
      <c r="B2941" s="80">
        <v>3394.61</v>
      </c>
      <c r="C2941" s="81" t="s">
        <v>4245</v>
      </c>
      <c r="D2941" s="82">
        <v>4950752285</v>
      </c>
      <c r="E2941" s="82" t="s">
        <v>6</v>
      </c>
      <c r="F2941" s="82" t="s">
        <v>4246</v>
      </c>
      <c r="G2941" s="79" t="s">
        <v>5</v>
      </c>
      <c r="H2941" s="2" t="s">
        <v>20</v>
      </c>
      <c r="I2941" s="2">
        <v>1</v>
      </c>
      <c r="J2941" s="2" t="s">
        <v>4247</v>
      </c>
      <c r="K2941" s="2">
        <v>14212.8</v>
      </c>
      <c r="L2941" s="35">
        <f t="shared" si="155"/>
        <v>48246913.008000001</v>
      </c>
      <c r="M2941" s="36">
        <v>4320</v>
      </c>
      <c r="N2941" s="40">
        <v>353343</v>
      </c>
      <c r="O2941" s="40">
        <v>346986</v>
      </c>
      <c r="P2941" s="40">
        <v>0</v>
      </c>
      <c r="Q2941" s="40">
        <v>99309</v>
      </c>
      <c r="R2941" s="40">
        <v>566405</v>
      </c>
      <c r="S2941" s="40">
        <v>354356</v>
      </c>
      <c r="T2941" s="40">
        <v>30000</v>
      </c>
      <c r="U2941" s="40">
        <v>2619000</v>
      </c>
      <c r="V2941" s="40">
        <v>0</v>
      </c>
      <c r="W2941" s="45">
        <f t="shared" si="156"/>
        <v>4369399</v>
      </c>
      <c r="X2941" s="46">
        <f t="shared" si="157"/>
        <v>9.0563286386333015</v>
      </c>
    </row>
    <row r="2942" spans="1:24" s="4" customFormat="1" ht="15" customHeight="1">
      <c r="A2942" s="79" t="s">
        <v>3955</v>
      </c>
      <c r="B2942" s="80">
        <v>3394.61</v>
      </c>
      <c r="C2942" s="81" t="s">
        <v>4248</v>
      </c>
      <c r="D2942" s="82">
        <v>4950530967</v>
      </c>
      <c r="E2942" s="82" t="s">
        <v>6</v>
      </c>
      <c r="F2942" s="83" t="s">
        <v>4249</v>
      </c>
      <c r="G2942" s="79" t="s">
        <v>5</v>
      </c>
      <c r="H2942" s="2" t="s">
        <v>17</v>
      </c>
      <c r="I2942" s="2">
        <v>6</v>
      </c>
      <c r="J2942" s="2" t="s">
        <v>4250</v>
      </c>
      <c r="K2942" s="2">
        <v>320568</v>
      </c>
      <c r="L2942" s="35">
        <f t="shared" si="155"/>
        <v>1088203338.48</v>
      </c>
      <c r="M2942" s="36">
        <f>8000+8000+8000+8000+8000+4400</f>
        <v>44400</v>
      </c>
      <c r="N2942" s="40">
        <v>2120060</v>
      </c>
      <c r="O2942" s="40">
        <f>2269154+1134577</f>
        <v>3403731</v>
      </c>
      <c r="P2942" s="40">
        <v>0</v>
      </c>
      <c r="Q2942" s="40">
        <f>496548+248278</f>
        <v>744826</v>
      </c>
      <c r="R2942" s="40">
        <v>4179962</v>
      </c>
      <c r="S2942" s="40">
        <v>354356</v>
      </c>
      <c r="T2942" s="40">
        <v>30000</v>
      </c>
      <c r="U2942" s="40">
        <v>28217300</v>
      </c>
      <c r="V2942" s="40">
        <v>0</v>
      </c>
      <c r="W2942" s="45">
        <f t="shared" si="156"/>
        <v>39050235</v>
      </c>
      <c r="X2942" s="46">
        <f t="shared" si="157"/>
        <v>3.588505348140659</v>
      </c>
    </row>
    <row r="2943" spans="1:24" s="4" customFormat="1" ht="15" customHeight="1">
      <c r="A2943" s="79" t="s">
        <v>3955</v>
      </c>
      <c r="B2943" s="80">
        <v>3394.61</v>
      </c>
      <c r="C2943" s="81" t="s">
        <v>4251</v>
      </c>
      <c r="D2943" s="82">
        <v>4952889958</v>
      </c>
      <c r="E2943" s="82" t="s">
        <v>14</v>
      </c>
      <c r="F2943" s="82">
        <v>1028721247</v>
      </c>
      <c r="G2943" s="79" t="s">
        <v>13</v>
      </c>
      <c r="H2943" s="2" t="s">
        <v>23</v>
      </c>
      <c r="I2943" s="2">
        <v>3</v>
      </c>
      <c r="J2943" s="2"/>
      <c r="K2943" s="2">
        <v>2561.1999999999998</v>
      </c>
      <c r="L2943" s="35">
        <f t="shared" si="155"/>
        <v>8694275.1319999993</v>
      </c>
      <c r="M2943" s="36">
        <v>40</v>
      </c>
      <c r="N2943" s="40">
        <v>167142.285714286</v>
      </c>
      <c r="O2943" s="40">
        <v>0</v>
      </c>
      <c r="P2943" s="40">
        <v>0</v>
      </c>
      <c r="Q2943" s="40">
        <v>0</v>
      </c>
      <c r="R2943" s="40">
        <v>668</v>
      </c>
      <c r="S2943" s="40">
        <v>202489.14285714299</v>
      </c>
      <c r="T2943" s="40">
        <v>30000</v>
      </c>
      <c r="U2943" s="55">
        <v>140788.57142857101</v>
      </c>
      <c r="V2943" s="55">
        <v>0</v>
      </c>
      <c r="W2943" s="45">
        <f t="shared" si="156"/>
        <v>541088</v>
      </c>
      <c r="X2943" s="46">
        <f t="shared" si="157"/>
        <v>6.2234975519520983</v>
      </c>
    </row>
    <row r="2944" spans="1:24" s="4" customFormat="1" ht="15" customHeight="1">
      <c r="A2944" s="79" t="s">
        <v>3955</v>
      </c>
      <c r="B2944" s="80">
        <v>3394.61</v>
      </c>
      <c r="C2944" s="81" t="s">
        <v>4251</v>
      </c>
      <c r="D2944" s="82">
        <v>4953089718</v>
      </c>
      <c r="E2944" s="82" t="s">
        <v>14</v>
      </c>
      <c r="F2944" s="82">
        <v>1028721247</v>
      </c>
      <c r="G2944" s="79" t="s">
        <v>13</v>
      </c>
      <c r="H2944" s="2" t="s">
        <v>23</v>
      </c>
      <c r="I2944" s="2">
        <v>3</v>
      </c>
      <c r="J2944" s="2"/>
      <c r="K2944" s="2">
        <v>1280.5999999999999</v>
      </c>
      <c r="L2944" s="35">
        <f t="shared" si="155"/>
        <v>4347137.5659999996</v>
      </c>
      <c r="M2944" s="36">
        <v>20</v>
      </c>
      <c r="N2944" s="40">
        <v>83571.142857142899</v>
      </c>
      <c r="O2944" s="40">
        <v>0</v>
      </c>
      <c r="P2944" s="40">
        <v>0</v>
      </c>
      <c r="Q2944" s="40">
        <v>0</v>
      </c>
      <c r="R2944" s="40">
        <v>334</v>
      </c>
      <c r="S2944" s="40">
        <v>101244.571428571</v>
      </c>
      <c r="T2944" s="40">
        <v>30000</v>
      </c>
      <c r="U2944" s="55">
        <v>70394.285714285696</v>
      </c>
      <c r="V2944" s="55">
        <v>0</v>
      </c>
      <c r="W2944" s="45">
        <f t="shared" si="156"/>
        <v>285543.99999999959</v>
      </c>
      <c r="X2944" s="46">
        <f t="shared" si="157"/>
        <v>6.5685521947432113</v>
      </c>
    </row>
    <row r="2945" spans="1:24" s="4" customFormat="1" ht="15" customHeight="1">
      <c r="A2945" s="79" t="s">
        <v>3955</v>
      </c>
      <c r="B2945" s="80">
        <v>3394.61</v>
      </c>
      <c r="C2945" s="81" t="s">
        <v>4251</v>
      </c>
      <c r="D2945" s="82">
        <v>4952973688</v>
      </c>
      <c r="E2945" s="82" t="s">
        <v>14</v>
      </c>
      <c r="F2945" s="82">
        <v>1028721247</v>
      </c>
      <c r="G2945" s="79" t="s">
        <v>13</v>
      </c>
      <c r="H2945" s="2" t="s">
        <v>23</v>
      </c>
      <c r="I2945" s="2">
        <v>3</v>
      </c>
      <c r="J2945" s="2"/>
      <c r="K2945" s="2">
        <v>825.1</v>
      </c>
      <c r="L2945" s="35">
        <f t="shared" si="155"/>
        <v>2800892.7110000001</v>
      </c>
      <c r="M2945" s="36">
        <v>10</v>
      </c>
      <c r="N2945" s="40">
        <v>41785.571428571398</v>
      </c>
      <c r="O2945" s="40">
        <v>0</v>
      </c>
      <c r="P2945" s="40">
        <v>0</v>
      </c>
      <c r="Q2945" s="40">
        <v>0</v>
      </c>
      <c r="R2945" s="40">
        <v>167</v>
      </c>
      <c r="S2945" s="40">
        <v>50622.285714285703</v>
      </c>
      <c r="T2945" s="40">
        <v>30000</v>
      </c>
      <c r="U2945" s="55">
        <v>35197.142857142899</v>
      </c>
      <c r="V2945" s="55">
        <v>0</v>
      </c>
      <c r="W2945" s="45">
        <f t="shared" si="156"/>
        <v>157772</v>
      </c>
      <c r="X2945" s="46">
        <f t="shared" si="157"/>
        <v>5.6329183685036908</v>
      </c>
    </row>
    <row r="2946" spans="1:24" s="4" customFormat="1" ht="15" customHeight="1">
      <c r="A2946" s="79" t="s">
        <v>3955</v>
      </c>
      <c r="B2946" s="80">
        <v>3394.61</v>
      </c>
      <c r="C2946" s="81" t="s">
        <v>4252</v>
      </c>
      <c r="D2946" s="82">
        <v>4952077940</v>
      </c>
      <c r="E2946" s="82" t="s">
        <v>18</v>
      </c>
      <c r="F2946" s="82" t="s">
        <v>4253</v>
      </c>
      <c r="G2946" s="79" t="s">
        <v>5</v>
      </c>
      <c r="H2946" s="2" t="s">
        <v>20</v>
      </c>
      <c r="I2946" s="2">
        <v>1</v>
      </c>
      <c r="J2946" s="2" t="s">
        <v>4254</v>
      </c>
      <c r="K2946" s="2">
        <v>10296</v>
      </c>
      <c r="L2946" s="35">
        <f t="shared" si="155"/>
        <v>34950904.560000002</v>
      </c>
      <c r="M2946" s="36">
        <v>8800</v>
      </c>
      <c r="N2946" s="40">
        <v>353343</v>
      </c>
      <c r="O2946" s="40">
        <v>346986</v>
      </c>
      <c r="P2946" s="40">
        <v>0</v>
      </c>
      <c r="Q2946" s="40">
        <v>99309</v>
      </c>
      <c r="R2946" s="40">
        <v>466131</v>
      </c>
      <c r="S2946" s="40">
        <v>354356</v>
      </c>
      <c r="T2946" s="40">
        <v>30000</v>
      </c>
      <c r="U2946" s="40">
        <v>2900300</v>
      </c>
      <c r="V2946" s="40">
        <v>0</v>
      </c>
      <c r="W2946" s="45">
        <f t="shared" si="156"/>
        <v>4550425</v>
      </c>
      <c r="X2946" s="46">
        <f t="shared" si="157"/>
        <v>13.019477055846476</v>
      </c>
    </row>
    <row r="2947" spans="1:24" s="4" customFormat="1" ht="15" customHeight="1">
      <c r="A2947" s="79" t="s">
        <v>3955</v>
      </c>
      <c r="B2947" s="80">
        <v>3394.61</v>
      </c>
      <c r="C2947" s="81" t="s">
        <v>4255</v>
      </c>
      <c r="D2947" s="82" t="s">
        <v>4256</v>
      </c>
      <c r="E2947" s="82" t="s">
        <v>18</v>
      </c>
      <c r="F2947" s="82" t="s">
        <v>4257</v>
      </c>
      <c r="G2947" s="79" t="s">
        <v>5</v>
      </c>
      <c r="H2947" s="2" t="s">
        <v>35</v>
      </c>
      <c r="I2947" s="2">
        <v>1</v>
      </c>
      <c r="J2947" s="2" t="s">
        <v>4258</v>
      </c>
      <c r="K2947" s="2">
        <v>103008</v>
      </c>
      <c r="L2947" s="35">
        <f t="shared" si="155"/>
        <v>349671986.88</v>
      </c>
      <c r="M2947" s="36">
        <v>9600</v>
      </c>
      <c r="N2947" s="62">
        <v>285097.65517241397</v>
      </c>
      <c r="O2947" s="40">
        <v>227602.5</v>
      </c>
      <c r="P2947" s="40">
        <v>0</v>
      </c>
      <c r="Q2947" s="40">
        <v>49654.5</v>
      </c>
      <c r="R2947" s="62">
        <v>460450.75862068997</v>
      </c>
      <c r="S2947" s="62">
        <v>293260.13793103403</v>
      </c>
      <c r="T2947" s="40">
        <v>30000</v>
      </c>
      <c r="U2947" s="55">
        <v>6307075.8620689698</v>
      </c>
      <c r="V2947" s="55">
        <v>0</v>
      </c>
      <c r="W2947" s="45">
        <f t="shared" si="156"/>
        <v>7653141.4137931075</v>
      </c>
      <c r="X2947" s="46">
        <f t="shared" si="157"/>
        <v>2.1886630044572324</v>
      </c>
    </row>
    <row r="2948" spans="1:24" s="4" customFormat="1" ht="15" customHeight="1">
      <c r="A2948" s="79" t="s">
        <v>3955</v>
      </c>
      <c r="B2948" s="80">
        <v>3394.61</v>
      </c>
      <c r="C2948" s="81" t="s">
        <v>4255</v>
      </c>
      <c r="D2948" s="82" t="s">
        <v>4259</v>
      </c>
      <c r="E2948" s="82" t="s">
        <v>18</v>
      </c>
      <c r="F2948" s="82" t="s">
        <v>4257</v>
      </c>
      <c r="G2948" s="79" t="s">
        <v>5</v>
      </c>
      <c r="H2948" s="2" t="s">
        <v>35</v>
      </c>
      <c r="I2948" s="2">
        <v>1</v>
      </c>
      <c r="J2948" s="2" t="s">
        <v>4258</v>
      </c>
      <c r="K2948" s="2">
        <v>25200</v>
      </c>
      <c r="L2948" s="35">
        <f t="shared" si="155"/>
        <v>85544172</v>
      </c>
      <c r="M2948" s="36">
        <v>2000</v>
      </c>
      <c r="N2948" s="62">
        <v>59395.344827586203</v>
      </c>
      <c r="O2948" s="40">
        <v>227602.5</v>
      </c>
      <c r="P2948" s="40">
        <v>0</v>
      </c>
      <c r="Q2948" s="40">
        <v>49654.5</v>
      </c>
      <c r="R2948" s="62">
        <v>95927.241379310304</v>
      </c>
      <c r="S2948" s="62">
        <v>61095.8620689655</v>
      </c>
      <c r="T2948" s="40">
        <v>30000</v>
      </c>
      <c r="U2948" s="55">
        <v>1313974.13793103</v>
      </c>
      <c r="V2948" s="55">
        <v>0</v>
      </c>
      <c r="W2948" s="45">
        <f t="shared" si="156"/>
        <v>1837649.586206892</v>
      </c>
      <c r="X2948" s="46">
        <f t="shared" si="157"/>
        <v>2.1481879399182122</v>
      </c>
    </row>
    <row r="2949" spans="1:24" s="4" customFormat="1" ht="15" customHeight="1">
      <c r="A2949" s="79" t="s">
        <v>3955</v>
      </c>
      <c r="B2949" s="80">
        <v>3394.61</v>
      </c>
      <c r="C2949" s="81" t="s">
        <v>4260</v>
      </c>
      <c r="D2949" s="82">
        <v>4952419586</v>
      </c>
      <c r="E2949" s="82" t="s">
        <v>36</v>
      </c>
      <c r="F2949" s="82" t="s">
        <v>4261</v>
      </c>
      <c r="G2949" s="79" t="s">
        <v>5</v>
      </c>
      <c r="H2949" s="2" t="s">
        <v>20</v>
      </c>
      <c r="I2949" s="2">
        <v>3</v>
      </c>
      <c r="J2949" s="2" t="s">
        <v>4262</v>
      </c>
      <c r="K2949" s="2">
        <v>90675</v>
      </c>
      <c r="L2949" s="35">
        <f t="shared" si="155"/>
        <v>307806261.75</v>
      </c>
      <c r="M2949" s="36">
        <v>58500</v>
      </c>
      <c r="N2949" s="40">
        <v>1074273</v>
      </c>
      <c r="O2949" s="40">
        <v>1040959</v>
      </c>
      <c r="P2949" s="40">
        <v>0</v>
      </c>
      <c r="Q2949" s="40">
        <v>297928</v>
      </c>
      <c r="R2949" s="40">
        <v>1660414</v>
      </c>
      <c r="S2949" s="40">
        <v>354356</v>
      </c>
      <c r="T2949" s="40"/>
      <c r="U2949" s="40">
        <v>1557900</v>
      </c>
      <c r="V2949" s="40">
        <v>0</v>
      </c>
      <c r="W2949" s="45">
        <f t="shared" si="156"/>
        <v>5985830</v>
      </c>
      <c r="X2949" s="46">
        <f t="shared" si="157"/>
        <v>1.9446745384477222</v>
      </c>
    </row>
    <row r="2950" spans="1:24" s="4" customFormat="1" ht="15" customHeight="1">
      <c r="A2950" s="79" t="s">
        <v>3955</v>
      </c>
      <c r="B2950" s="80">
        <v>3394.61</v>
      </c>
      <c r="C2950" s="81" t="s">
        <v>4263</v>
      </c>
      <c r="D2950" s="82">
        <v>4952833591</v>
      </c>
      <c r="E2950" s="82" t="s">
        <v>14</v>
      </c>
      <c r="F2950" s="82" t="s">
        <v>4264</v>
      </c>
      <c r="G2950" s="79" t="s">
        <v>5</v>
      </c>
      <c r="H2950" s="2" t="s">
        <v>20</v>
      </c>
      <c r="I2950" s="2">
        <v>1</v>
      </c>
      <c r="J2950" s="2" t="s">
        <v>4265</v>
      </c>
      <c r="K2950" s="2">
        <v>652.5</v>
      </c>
      <c r="L2950" s="35">
        <f t="shared" si="155"/>
        <v>2214983.0249999999</v>
      </c>
      <c r="M2950" s="36">
        <v>750</v>
      </c>
      <c r="N2950" s="62">
        <v>31624.204406364701</v>
      </c>
      <c r="O2950" s="40">
        <v>69397.2</v>
      </c>
      <c r="P2950" s="40">
        <v>0</v>
      </c>
      <c r="Q2950" s="40">
        <v>19861.8</v>
      </c>
      <c r="R2950" s="62">
        <v>42095.838433292498</v>
      </c>
      <c r="S2950" s="62">
        <v>32529.6205630355</v>
      </c>
      <c r="T2950" s="40">
        <v>30000</v>
      </c>
      <c r="U2950" s="55">
        <v>266245.41003671999</v>
      </c>
      <c r="V2950" s="55">
        <v>0</v>
      </c>
      <c r="W2950" s="45">
        <f t="shared" si="156"/>
        <v>491754.07343941269</v>
      </c>
      <c r="X2950" s="46">
        <f t="shared" si="157"/>
        <v>22.20125697980971</v>
      </c>
    </row>
    <row r="2951" spans="1:24" s="4" customFormat="1" ht="15" customHeight="1">
      <c r="A2951" s="79" t="s">
        <v>3955</v>
      </c>
      <c r="B2951" s="80">
        <v>3394.61</v>
      </c>
      <c r="C2951" s="81" t="s">
        <v>4263</v>
      </c>
      <c r="D2951" s="82">
        <v>4952889984</v>
      </c>
      <c r="E2951" s="82" t="s">
        <v>14</v>
      </c>
      <c r="F2951" s="82" t="s">
        <v>4264</v>
      </c>
      <c r="G2951" s="79" t="s">
        <v>5</v>
      </c>
      <c r="H2951" s="2" t="s">
        <v>20</v>
      </c>
      <c r="I2951" s="2">
        <v>1</v>
      </c>
      <c r="J2951" s="2" t="s">
        <v>4265</v>
      </c>
      <c r="K2951" s="2">
        <v>2201.7199999999998</v>
      </c>
      <c r="L2951" s="35">
        <f t="shared" si="155"/>
        <v>7473980.7291999999</v>
      </c>
      <c r="M2951" s="36">
        <v>760</v>
      </c>
      <c r="N2951" s="62">
        <v>32045.8604651163</v>
      </c>
      <c r="O2951" s="40">
        <v>69397.2</v>
      </c>
      <c r="P2951" s="40">
        <v>0</v>
      </c>
      <c r="Q2951" s="40">
        <v>19861.8</v>
      </c>
      <c r="R2951" s="62">
        <v>42657.1162790698</v>
      </c>
      <c r="S2951" s="62">
        <v>32963.348837209298</v>
      </c>
      <c r="T2951" s="40">
        <v>30000</v>
      </c>
      <c r="U2951" s="55">
        <v>269795.34883720899</v>
      </c>
      <c r="V2951" s="55">
        <v>0</v>
      </c>
      <c r="W2951" s="45">
        <f t="shared" si="156"/>
        <v>496720.67441860441</v>
      </c>
      <c r="X2951" s="46">
        <f t="shared" si="157"/>
        <v>6.6459988648080506</v>
      </c>
    </row>
    <row r="2952" spans="1:24" s="4" customFormat="1" ht="15" customHeight="1">
      <c r="A2952" s="79" t="s">
        <v>3955</v>
      </c>
      <c r="B2952" s="80">
        <v>3394.61</v>
      </c>
      <c r="C2952" s="81" t="s">
        <v>4263</v>
      </c>
      <c r="D2952" s="82">
        <v>4952862303</v>
      </c>
      <c r="E2952" s="82" t="s">
        <v>14</v>
      </c>
      <c r="F2952" s="82" t="s">
        <v>4264</v>
      </c>
      <c r="G2952" s="79" t="s">
        <v>5</v>
      </c>
      <c r="H2952" s="2" t="s">
        <v>20</v>
      </c>
      <c r="I2952" s="2">
        <v>1</v>
      </c>
      <c r="J2952" s="2" t="s">
        <v>4265</v>
      </c>
      <c r="K2952" s="2">
        <v>6550</v>
      </c>
      <c r="L2952" s="35">
        <f t="shared" si="155"/>
        <v>22234695.5</v>
      </c>
      <c r="M2952" s="36">
        <v>5000</v>
      </c>
      <c r="N2952" s="62">
        <v>210828.02937576501</v>
      </c>
      <c r="O2952" s="40">
        <v>69397.2</v>
      </c>
      <c r="P2952" s="40">
        <v>0</v>
      </c>
      <c r="Q2952" s="40">
        <v>19861.8</v>
      </c>
      <c r="R2952" s="62">
        <v>280638.92288861697</v>
      </c>
      <c r="S2952" s="62">
        <v>216864.13708690301</v>
      </c>
      <c r="T2952" s="40">
        <v>30000</v>
      </c>
      <c r="U2952" s="55">
        <v>1774969.4002447999</v>
      </c>
      <c r="V2952" s="55">
        <v>0</v>
      </c>
      <c r="W2952" s="45">
        <f t="shared" si="156"/>
        <v>2602559.4895960847</v>
      </c>
      <c r="X2952" s="46">
        <f t="shared" si="157"/>
        <v>11.704947745275328</v>
      </c>
    </row>
    <row r="2953" spans="1:24" s="4" customFormat="1" ht="15" customHeight="1">
      <c r="A2953" s="79" t="s">
        <v>3955</v>
      </c>
      <c r="B2953" s="80">
        <v>3394.61</v>
      </c>
      <c r="C2953" s="81" t="s">
        <v>4263</v>
      </c>
      <c r="D2953" s="82">
        <v>4952703264</v>
      </c>
      <c r="E2953" s="82" t="s">
        <v>14</v>
      </c>
      <c r="F2953" s="82" t="s">
        <v>4264</v>
      </c>
      <c r="G2953" s="79" t="s">
        <v>5</v>
      </c>
      <c r="H2953" s="2" t="s">
        <v>20</v>
      </c>
      <c r="I2953" s="2">
        <v>1</v>
      </c>
      <c r="J2953" s="2" t="s">
        <v>4265</v>
      </c>
      <c r="K2953" s="2">
        <v>2125.1999999999998</v>
      </c>
      <c r="L2953" s="35">
        <f t="shared" si="155"/>
        <v>7214225.1719999993</v>
      </c>
      <c r="M2953" s="36">
        <v>920</v>
      </c>
      <c r="N2953" s="62">
        <v>38792.3574051408</v>
      </c>
      <c r="O2953" s="40">
        <v>69397.2</v>
      </c>
      <c r="P2953" s="40">
        <v>0</v>
      </c>
      <c r="Q2953" s="40">
        <v>19861.8</v>
      </c>
      <c r="R2953" s="62">
        <v>51637.561811505497</v>
      </c>
      <c r="S2953" s="62">
        <v>39903.001223990199</v>
      </c>
      <c r="T2953" s="40">
        <v>30000</v>
      </c>
      <c r="U2953" s="55">
        <v>326594.36964504299</v>
      </c>
      <c r="V2953" s="55">
        <v>0</v>
      </c>
      <c r="W2953" s="45">
        <f t="shared" si="156"/>
        <v>576186.2900856795</v>
      </c>
      <c r="X2953" s="46">
        <f t="shared" si="157"/>
        <v>7.9868076799430341</v>
      </c>
    </row>
    <row r="2954" spans="1:24" s="4" customFormat="1" ht="15" customHeight="1">
      <c r="A2954" s="79" t="s">
        <v>3955</v>
      </c>
      <c r="B2954" s="80">
        <v>3394.61</v>
      </c>
      <c r="C2954" s="81" t="s">
        <v>4263</v>
      </c>
      <c r="D2954" s="82">
        <v>4952703265</v>
      </c>
      <c r="E2954" s="82" t="s">
        <v>14</v>
      </c>
      <c r="F2954" s="82" t="s">
        <v>4264</v>
      </c>
      <c r="G2954" s="79" t="s">
        <v>5</v>
      </c>
      <c r="H2954" s="2" t="s">
        <v>20</v>
      </c>
      <c r="I2954" s="2">
        <v>1</v>
      </c>
      <c r="J2954" s="2" t="s">
        <v>4265</v>
      </c>
      <c r="K2954" s="2">
        <v>3819.14</v>
      </c>
      <c r="L2954" s="35">
        <f t="shared" si="155"/>
        <v>12964490.8354</v>
      </c>
      <c r="M2954" s="36">
        <v>740</v>
      </c>
      <c r="N2954" s="62">
        <v>31202.548347613199</v>
      </c>
      <c r="O2954" s="40">
        <v>69397.2</v>
      </c>
      <c r="P2954" s="40">
        <v>0</v>
      </c>
      <c r="Q2954" s="40">
        <v>19861.8</v>
      </c>
      <c r="R2954" s="62">
        <v>41534.560587515298</v>
      </c>
      <c r="S2954" s="62">
        <v>32095.892288861702</v>
      </c>
      <c r="T2954" s="40">
        <v>30000</v>
      </c>
      <c r="U2954" s="55">
        <v>262695.47123622999</v>
      </c>
      <c r="V2954" s="55">
        <v>0</v>
      </c>
      <c r="W2954" s="45">
        <f t="shared" si="156"/>
        <v>486787.47246022022</v>
      </c>
      <c r="X2954" s="46">
        <f t="shared" si="157"/>
        <v>3.7547750902104835</v>
      </c>
    </row>
    <row r="2955" spans="1:24" s="4" customFormat="1" ht="15" customHeight="1">
      <c r="A2955" s="79" t="s">
        <v>3955</v>
      </c>
      <c r="B2955" s="80">
        <v>3394.61</v>
      </c>
      <c r="C2955" s="81" t="s">
        <v>4266</v>
      </c>
      <c r="D2955" s="82">
        <v>4952864205</v>
      </c>
      <c r="E2955" s="82" t="s">
        <v>14</v>
      </c>
      <c r="F2955" s="83" t="s">
        <v>4267</v>
      </c>
      <c r="G2955" s="79" t="s">
        <v>5</v>
      </c>
      <c r="H2955" s="2" t="s">
        <v>32</v>
      </c>
      <c r="I2955" s="2">
        <v>1</v>
      </c>
      <c r="J2955" s="2" t="s">
        <v>4268</v>
      </c>
      <c r="K2955" s="2">
        <v>1537.2</v>
      </c>
      <c r="L2955" s="35">
        <f t="shared" si="155"/>
        <v>5218194.4920000006</v>
      </c>
      <c r="M2955" s="36">
        <v>420</v>
      </c>
      <c r="N2955" s="62">
        <v>17973.547826087</v>
      </c>
      <c r="O2955" s="40">
        <v>86746.5</v>
      </c>
      <c r="P2955" s="40">
        <v>0</v>
      </c>
      <c r="Q2955" s="40">
        <v>24827.25</v>
      </c>
      <c r="R2955" s="62">
        <v>29341.460869565199</v>
      </c>
      <c r="S2955" s="62">
        <v>18488.1391304348</v>
      </c>
      <c r="T2955" s="40">
        <v>30000</v>
      </c>
      <c r="U2955" s="55">
        <v>307043.47826086998</v>
      </c>
      <c r="V2955" s="55">
        <v>0</v>
      </c>
      <c r="W2955" s="45">
        <f t="shared" si="156"/>
        <v>514420.37608695694</v>
      </c>
      <c r="X2955" s="46">
        <f t="shared" si="157"/>
        <v>9.8582062603380045</v>
      </c>
    </row>
    <row r="2956" spans="1:24" s="4" customFormat="1" ht="15" customHeight="1">
      <c r="A2956" s="79" t="s">
        <v>3955</v>
      </c>
      <c r="B2956" s="80">
        <v>3394.61</v>
      </c>
      <c r="C2956" s="81" t="s">
        <v>4266</v>
      </c>
      <c r="D2956" s="82">
        <v>4952973677</v>
      </c>
      <c r="E2956" s="82" t="s">
        <v>14</v>
      </c>
      <c r="F2956" s="83" t="s">
        <v>4267</v>
      </c>
      <c r="G2956" s="79" t="s">
        <v>5</v>
      </c>
      <c r="H2956" s="2" t="s">
        <v>32</v>
      </c>
      <c r="I2956" s="2">
        <v>1</v>
      </c>
      <c r="J2956" s="2" t="s">
        <v>4268</v>
      </c>
      <c r="K2956" s="2">
        <v>10080</v>
      </c>
      <c r="L2956" s="35">
        <f t="shared" si="155"/>
        <v>34217668.800000004</v>
      </c>
      <c r="M2956" s="36">
        <f>1675+2825</f>
        <v>4500</v>
      </c>
      <c r="N2956" s="62">
        <v>192573.726708075</v>
      </c>
      <c r="O2956" s="40">
        <v>86746.5</v>
      </c>
      <c r="P2956" s="40">
        <v>0</v>
      </c>
      <c r="Q2956" s="40">
        <v>24827.25</v>
      </c>
      <c r="R2956" s="62">
        <v>314372.79503105598</v>
      </c>
      <c r="S2956" s="62">
        <v>198087.20496894399</v>
      </c>
      <c r="T2956" s="40">
        <v>30000</v>
      </c>
      <c r="U2956" s="55">
        <v>3289751.5527950302</v>
      </c>
      <c r="V2956" s="55">
        <v>0</v>
      </c>
      <c r="W2956" s="45">
        <f t="shared" si="156"/>
        <v>4136359.0295031052</v>
      </c>
      <c r="X2956" s="46">
        <f t="shared" si="157"/>
        <v>12.088371810715243</v>
      </c>
    </row>
    <row r="2957" spans="1:24" s="4" customFormat="1" ht="15" customHeight="1">
      <c r="A2957" s="79" t="s">
        <v>3955</v>
      </c>
      <c r="B2957" s="80">
        <v>3394.61</v>
      </c>
      <c r="C2957" s="81" t="s">
        <v>4266</v>
      </c>
      <c r="D2957" s="82">
        <v>4953003801</v>
      </c>
      <c r="E2957" s="82" t="s">
        <v>14</v>
      </c>
      <c r="F2957" s="83" t="s">
        <v>4267</v>
      </c>
      <c r="G2957" s="79" t="s">
        <v>5</v>
      </c>
      <c r="H2957" s="2" t="s">
        <v>32</v>
      </c>
      <c r="I2957" s="2">
        <v>1</v>
      </c>
      <c r="J2957" s="2" t="s">
        <v>4268</v>
      </c>
      <c r="K2957" s="2">
        <v>9555</v>
      </c>
      <c r="L2957" s="35">
        <f t="shared" si="155"/>
        <v>32435498.550000001</v>
      </c>
      <c r="M2957" s="36">
        <v>2940</v>
      </c>
      <c r="N2957" s="62">
        <v>125814.834782609</v>
      </c>
      <c r="O2957" s="40">
        <v>86746.5</v>
      </c>
      <c r="P2957" s="40">
        <v>0</v>
      </c>
      <c r="Q2957" s="40">
        <v>24827.25</v>
      </c>
      <c r="R2957" s="62">
        <v>205390.226086957</v>
      </c>
      <c r="S2957" s="62">
        <v>129416.973913043</v>
      </c>
      <c r="T2957" s="40">
        <v>30000</v>
      </c>
      <c r="U2957" s="55">
        <v>2149304.3478260902</v>
      </c>
      <c r="V2957" s="55">
        <v>0</v>
      </c>
      <c r="W2957" s="45">
        <f t="shared" si="156"/>
        <v>2751500.1326086991</v>
      </c>
      <c r="X2957" s="46">
        <f t="shared" si="157"/>
        <v>8.4829901053230437</v>
      </c>
    </row>
    <row r="2958" spans="1:24" s="4" customFormat="1" ht="15" customHeight="1">
      <c r="A2958" s="79" t="s">
        <v>3955</v>
      </c>
      <c r="B2958" s="80">
        <v>3394.61</v>
      </c>
      <c r="C2958" s="81" t="s">
        <v>4266</v>
      </c>
      <c r="D2958" s="82">
        <v>4953101428</v>
      </c>
      <c r="E2958" s="82" t="s">
        <v>14</v>
      </c>
      <c r="F2958" s="83" t="s">
        <v>4267</v>
      </c>
      <c r="G2958" s="79" t="s">
        <v>5</v>
      </c>
      <c r="H2958" s="2" t="s">
        <v>32</v>
      </c>
      <c r="I2958" s="2">
        <v>1</v>
      </c>
      <c r="J2958" s="2" t="s">
        <v>4268</v>
      </c>
      <c r="K2958" s="2">
        <v>2057.6999999999998</v>
      </c>
      <c r="L2958" s="35">
        <f t="shared" si="155"/>
        <v>6985088.9969999995</v>
      </c>
      <c r="M2958" s="36">
        <v>190</v>
      </c>
      <c r="N2958" s="62">
        <v>8130.8906832298098</v>
      </c>
      <c r="O2958" s="40">
        <v>86746.5</v>
      </c>
      <c r="P2958" s="40">
        <v>0</v>
      </c>
      <c r="Q2958" s="40">
        <v>24827.25</v>
      </c>
      <c r="R2958" s="62">
        <v>13273.518012422401</v>
      </c>
      <c r="S2958" s="62">
        <v>8363.68198757764</v>
      </c>
      <c r="T2958" s="40">
        <v>30000</v>
      </c>
      <c r="U2958" s="55">
        <v>138900.621118012</v>
      </c>
      <c r="V2958" s="55">
        <v>0</v>
      </c>
      <c r="W2958" s="45">
        <f t="shared" si="156"/>
        <v>310242.46180124185</v>
      </c>
      <c r="X2958" s="46">
        <f t="shared" si="157"/>
        <v>4.4414961918808302</v>
      </c>
    </row>
    <row r="2959" spans="1:24" s="4" customFormat="1" ht="15" customHeight="1">
      <c r="A2959" s="79" t="s">
        <v>3955</v>
      </c>
      <c r="B2959" s="80">
        <v>3394.61</v>
      </c>
      <c r="C2959" s="81" t="s">
        <v>4269</v>
      </c>
      <c r="D2959" s="82">
        <v>4952577878</v>
      </c>
      <c r="E2959" s="82" t="s">
        <v>14</v>
      </c>
      <c r="F2959" s="83" t="s">
        <v>4270</v>
      </c>
      <c r="G2959" s="79" t="s">
        <v>9</v>
      </c>
      <c r="H2959" s="2" t="s">
        <v>23</v>
      </c>
      <c r="I2959" s="2">
        <v>1</v>
      </c>
      <c r="J2959" s="2"/>
      <c r="K2959" s="2">
        <v>7593.6</v>
      </c>
      <c r="L2959" s="35">
        <f t="shared" si="155"/>
        <v>25777310.496000003</v>
      </c>
      <c r="M2959" s="36">
        <v>480</v>
      </c>
      <c r="N2959" s="40">
        <v>510154</v>
      </c>
      <c r="O2959" s="40">
        <v>343</v>
      </c>
      <c r="P2959" s="40">
        <v>0</v>
      </c>
      <c r="Q2959" s="40">
        <v>6444</v>
      </c>
      <c r="R2959" s="40">
        <v>97387</v>
      </c>
      <c r="S2959" s="40">
        <v>354356</v>
      </c>
      <c r="T2959" s="40">
        <v>30000</v>
      </c>
      <c r="U2959" s="40">
        <v>218832</v>
      </c>
      <c r="V2959" s="40">
        <v>0</v>
      </c>
      <c r="W2959" s="45">
        <f t="shared" si="156"/>
        <v>1217516</v>
      </c>
      <c r="X2959" s="46">
        <f t="shared" si="157"/>
        <v>4.7232080328509376</v>
      </c>
    </row>
    <row r="2960" spans="1:24" s="4" customFormat="1" ht="15" customHeight="1">
      <c r="A2960" s="79" t="s">
        <v>3955</v>
      </c>
      <c r="B2960" s="80">
        <v>3394.61</v>
      </c>
      <c r="C2960" s="81" t="s">
        <v>4271</v>
      </c>
      <c r="D2960" s="82">
        <v>4952240546</v>
      </c>
      <c r="E2960" s="82" t="s">
        <v>14</v>
      </c>
      <c r="F2960" s="83" t="s">
        <v>4272</v>
      </c>
      <c r="G2960" s="79" t="s">
        <v>9</v>
      </c>
      <c r="H2960" s="2" t="s">
        <v>23</v>
      </c>
      <c r="I2960" s="2">
        <v>3</v>
      </c>
      <c r="J2960" s="2"/>
      <c r="K2960" s="2">
        <v>10130.4</v>
      </c>
      <c r="L2960" s="35">
        <f t="shared" si="155"/>
        <v>34388757.144000001</v>
      </c>
      <c r="M2960" s="36">
        <v>2520</v>
      </c>
      <c r="N2960" s="40">
        <v>890347</v>
      </c>
      <c r="O2960" s="40">
        <v>1717</v>
      </c>
      <c r="P2960" s="40">
        <v>0</v>
      </c>
      <c r="Q2960" s="40">
        <v>33833</v>
      </c>
      <c r="R2960" s="40">
        <v>145723</v>
      </c>
      <c r="S2960" s="40">
        <v>354356</v>
      </c>
      <c r="T2960" s="40">
        <v>30000</v>
      </c>
      <c r="U2960" s="40">
        <v>1148868</v>
      </c>
      <c r="V2960" s="40">
        <v>0</v>
      </c>
      <c r="W2960" s="45">
        <f t="shared" si="156"/>
        <v>2604844</v>
      </c>
      <c r="X2960" s="46">
        <f t="shared" si="157"/>
        <v>7.5746965471663801</v>
      </c>
    </row>
    <row r="2961" spans="1:24" s="4" customFormat="1" ht="15" customHeight="1">
      <c r="A2961" s="79" t="s">
        <v>3955</v>
      </c>
      <c r="B2961" s="80">
        <v>3394.61</v>
      </c>
      <c r="C2961" s="81" t="s">
        <v>4273</v>
      </c>
      <c r="D2961" s="82">
        <v>4952771722</v>
      </c>
      <c r="E2961" s="82" t="s">
        <v>14</v>
      </c>
      <c r="F2961" s="83" t="s">
        <v>4274</v>
      </c>
      <c r="G2961" s="79" t="s">
        <v>5</v>
      </c>
      <c r="H2961" s="2" t="s">
        <v>20</v>
      </c>
      <c r="I2961" s="2">
        <v>1</v>
      </c>
      <c r="J2961" s="2" t="s">
        <v>4275</v>
      </c>
      <c r="K2961" s="2">
        <v>6630</v>
      </c>
      <c r="L2961" s="35">
        <f t="shared" si="155"/>
        <v>22506264.300000001</v>
      </c>
      <c r="M2961" s="36">
        <v>2600</v>
      </c>
      <c r="N2961" s="62">
        <v>99884.892086330903</v>
      </c>
      <c r="O2961" s="40">
        <v>86746.5</v>
      </c>
      <c r="P2961" s="40">
        <v>0</v>
      </c>
      <c r="Q2961" s="40">
        <v>24827.25</v>
      </c>
      <c r="R2961" s="62">
        <v>113673.745803357</v>
      </c>
      <c r="S2961" s="62">
        <v>88376.556354916102</v>
      </c>
      <c r="T2961" s="40">
        <v>30000</v>
      </c>
      <c r="U2961" s="55">
        <v>810426.85851318901</v>
      </c>
      <c r="V2961" s="55">
        <v>0</v>
      </c>
      <c r="W2961" s="45">
        <f t="shared" si="156"/>
        <v>1253935.8027577931</v>
      </c>
      <c r="X2961" s="46">
        <f t="shared" si="157"/>
        <v>5.5714968332518566</v>
      </c>
    </row>
    <row r="2962" spans="1:24" s="4" customFormat="1" ht="15" customHeight="1">
      <c r="A2962" s="79" t="s">
        <v>3955</v>
      </c>
      <c r="B2962" s="80">
        <v>3394.61</v>
      </c>
      <c r="C2962" s="81" t="s">
        <v>4273</v>
      </c>
      <c r="D2962" s="82">
        <v>4952862330</v>
      </c>
      <c r="E2962" s="82" t="s">
        <v>14</v>
      </c>
      <c r="F2962" s="83" t="s">
        <v>4274</v>
      </c>
      <c r="G2962" s="79" t="s">
        <v>5</v>
      </c>
      <c r="H2962" s="2" t="s">
        <v>20</v>
      </c>
      <c r="I2962" s="2">
        <v>1</v>
      </c>
      <c r="J2962" s="2" t="s">
        <v>4275</v>
      </c>
      <c r="K2962" s="2">
        <v>38241</v>
      </c>
      <c r="L2962" s="35">
        <f t="shared" si="155"/>
        <v>129813281.01000001</v>
      </c>
      <c r="M2962" s="36">
        <v>6300</v>
      </c>
      <c r="N2962" s="62">
        <v>242028.77697841701</v>
      </c>
      <c r="O2962" s="40">
        <v>86746.5</v>
      </c>
      <c r="P2962" s="40">
        <v>0</v>
      </c>
      <c r="Q2962" s="40">
        <v>24827.25</v>
      </c>
      <c r="R2962" s="62">
        <v>275440.230215827</v>
      </c>
      <c r="S2962" s="62">
        <v>214143.194244604</v>
      </c>
      <c r="T2962" s="40">
        <v>30000</v>
      </c>
      <c r="U2962" s="55">
        <v>1963726.6187050401</v>
      </c>
      <c r="V2962" s="55">
        <v>0</v>
      </c>
      <c r="W2962" s="45">
        <f t="shared" si="156"/>
        <v>2836912.5701438882</v>
      </c>
      <c r="X2962" s="46">
        <f t="shared" si="157"/>
        <v>2.1853792986908251</v>
      </c>
    </row>
    <row r="2963" spans="1:24" s="4" customFormat="1" ht="15" customHeight="1">
      <c r="A2963" s="79" t="s">
        <v>3955</v>
      </c>
      <c r="B2963" s="80">
        <v>3394.61</v>
      </c>
      <c r="C2963" s="81" t="s">
        <v>4273</v>
      </c>
      <c r="D2963" s="82">
        <v>4952889984</v>
      </c>
      <c r="E2963" s="82" t="s">
        <v>14</v>
      </c>
      <c r="F2963" s="83" t="s">
        <v>4274</v>
      </c>
      <c r="G2963" s="79" t="s">
        <v>5</v>
      </c>
      <c r="H2963" s="2" t="s">
        <v>20</v>
      </c>
      <c r="I2963" s="2">
        <v>1</v>
      </c>
      <c r="J2963" s="2" t="s">
        <v>4275</v>
      </c>
      <c r="K2963" s="2">
        <v>1102.5</v>
      </c>
      <c r="L2963" s="35">
        <f t="shared" si="155"/>
        <v>3742557.5250000004</v>
      </c>
      <c r="M2963" s="36">
        <v>175</v>
      </c>
      <c r="N2963" s="62">
        <v>6723.0215827338097</v>
      </c>
      <c r="O2963" s="40">
        <v>86746.5</v>
      </c>
      <c r="P2963" s="40">
        <v>0</v>
      </c>
      <c r="Q2963" s="40">
        <v>24827.25</v>
      </c>
      <c r="R2963" s="62">
        <v>7651.1175059952002</v>
      </c>
      <c r="S2963" s="62">
        <v>5948.4220623501196</v>
      </c>
      <c r="T2963" s="40">
        <v>30000</v>
      </c>
      <c r="U2963" s="55">
        <v>54547.961630695398</v>
      </c>
      <c r="V2963" s="55">
        <v>0</v>
      </c>
      <c r="W2963" s="45">
        <f t="shared" si="156"/>
        <v>216444.27278177452</v>
      </c>
      <c r="X2963" s="46">
        <f t="shared" si="157"/>
        <v>5.7833252083887343</v>
      </c>
    </row>
    <row r="2964" spans="1:24" s="4" customFormat="1" ht="15" customHeight="1">
      <c r="A2964" s="79" t="s">
        <v>3955</v>
      </c>
      <c r="B2964" s="80">
        <v>3394.61</v>
      </c>
      <c r="C2964" s="81" t="s">
        <v>4273</v>
      </c>
      <c r="D2964" s="82">
        <v>4953089734</v>
      </c>
      <c r="E2964" s="82" t="s">
        <v>14</v>
      </c>
      <c r="F2964" s="83" t="s">
        <v>4274</v>
      </c>
      <c r="G2964" s="79" t="s">
        <v>5</v>
      </c>
      <c r="H2964" s="2" t="s">
        <v>20</v>
      </c>
      <c r="I2964" s="2">
        <v>1</v>
      </c>
      <c r="J2964" s="2" t="s">
        <v>4275</v>
      </c>
      <c r="K2964" s="2">
        <v>4941</v>
      </c>
      <c r="L2964" s="35">
        <f t="shared" si="155"/>
        <v>16772768.01</v>
      </c>
      <c r="M2964" s="36">
        <f>800+550</f>
        <v>1350</v>
      </c>
      <c r="N2964" s="62">
        <v>51863.309352518001</v>
      </c>
      <c r="O2964" s="40">
        <v>86746.5</v>
      </c>
      <c r="P2964" s="40">
        <v>0</v>
      </c>
      <c r="Q2964" s="40">
        <v>24827.25</v>
      </c>
      <c r="R2964" s="62">
        <v>59022.906474820098</v>
      </c>
      <c r="S2964" s="62">
        <v>45887.8273381295</v>
      </c>
      <c r="T2964" s="40">
        <v>30000</v>
      </c>
      <c r="U2964" s="55">
        <v>420798.56115107902</v>
      </c>
      <c r="V2964" s="55">
        <v>0</v>
      </c>
      <c r="W2964" s="45">
        <f t="shared" si="156"/>
        <v>719146.35431654658</v>
      </c>
      <c r="X2964" s="46">
        <f t="shared" si="157"/>
        <v>4.2875830267716593</v>
      </c>
    </row>
    <row r="2965" spans="1:24" s="4" customFormat="1" ht="15" customHeight="1">
      <c r="A2965" s="79" t="s">
        <v>3955</v>
      </c>
      <c r="B2965" s="80">
        <v>3394.61</v>
      </c>
      <c r="C2965" s="84" t="s">
        <v>4276</v>
      </c>
      <c r="D2965" s="82">
        <v>4952419580</v>
      </c>
      <c r="E2965" s="82" t="s">
        <v>36</v>
      </c>
      <c r="F2965" s="83" t="s">
        <v>4277</v>
      </c>
      <c r="G2965" s="79" t="s">
        <v>5</v>
      </c>
      <c r="H2965" s="2" t="s">
        <v>26</v>
      </c>
      <c r="I2965" s="2">
        <v>4</v>
      </c>
      <c r="J2965" s="2" t="s">
        <v>4278</v>
      </c>
      <c r="K2965" s="2">
        <v>86000</v>
      </c>
      <c r="L2965" s="35">
        <f t="shared" si="155"/>
        <v>291936460</v>
      </c>
      <c r="M2965" s="36">
        <v>85560</v>
      </c>
      <c r="N2965" s="40">
        <v>343951.04441327701</v>
      </c>
      <c r="O2965" s="40">
        <v>1240000</v>
      </c>
      <c r="P2965" s="40">
        <v>2719722.1837307098</v>
      </c>
      <c r="Q2965" s="40">
        <v>248000</v>
      </c>
      <c r="R2965" s="40">
        <v>663991.30294530198</v>
      </c>
      <c r="S2965" s="40">
        <v>89293.073398784501</v>
      </c>
      <c r="T2965" s="40"/>
      <c r="U2965" s="40">
        <v>0</v>
      </c>
      <c r="V2965" s="40">
        <v>0</v>
      </c>
      <c r="W2965" s="45">
        <f t="shared" si="156"/>
        <v>5304957.6044880729</v>
      </c>
      <c r="X2965" s="46">
        <f t="shared" si="157"/>
        <v>1.8171617222761667</v>
      </c>
    </row>
    <row r="2966" spans="1:24" s="4" customFormat="1" ht="15" customHeight="1">
      <c r="A2966" s="79" t="s">
        <v>3955</v>
      </c>
      <c r="B2966" s="80">
        <v>3394.61</v>
      </c>
      <c r="C2966" s="81" t="s">
        <v>4279</v>
      </c>
      <c r="D2966" s="82">
        <v>4952535404</v>
      </c>
      <c r="E2966" s="82" t="s">
        <v>21</v>
      </c>
      <c r="F2966" s="82" t="s">
        <v>4280</v>
      </c>
      <c r="G2966" s="79" t="s">
        <v>9</v>
      </c>
      <c r="H2966" s="2" t="s">
        <v>23</v>
      </c>
      <c r="I2966" s="2">
        <v>4</v>
      </c>
      <c r="J2966" s="2"/>
      <c r="K2966" s="2">
        <v>16112</v>
      </c>
      <c r="L2966" s="35">
        <f t="shared" si="155"/>
        <v>54693956.32</v>
      </c>
      <c r="M2966" s="36">
        <v>315</v>
      </c>
      <c r="N2966" s="40">
        <v>905647</v>
      </c>
      <c r="O2966" s="40">
        <v>206</v>
      </c>
      <c r="P2966" s="40">
        <v>0</v>
      </c>
      <c r="Q2966" s="40">
        <v>4296</v>
      </c>
      <c r="R2966" s="40">
        <v>138391</v>
      </c>
      <c r="S2966" s="40">
        <v>354356</v>
      </c>
      <c r="T2966" s="40"/>
      <c r="U2966" s="40">
        <v>252200</v>
      </c>
      <c r="V2966" s="40">
        <v>0</v>
      </c>
      <c r="W2966" s="45">
        <f t="shared" si="156"/>
        <v>1655096</v>
      </c>
      <c r="X2966" s="46">
        <f t="shared" si="157"/>
        <v>3.0261040000772064</v>
      </c>
    </row>
    <row r="2967" spans="1:24" s="4" customFormat="1" ht="15" customHeight="1">
      <c r="A2967" s="79" t="s">
        <v>3955</v>
      </c>
      <c r="B2967" s="80">
        <v>3394.61</v>
      </c>
      <c r="C2967" s="81" t="s">
        <v>4281</v>
      </c>
      <c r="D2967" s="82">
        <v>4953287973</v>
      </c>
      <c r="E2967" s="82" t="s">
        <v>18</v>
      </c>
      <c r="F2967" s="83" t="s">
        <v>4282</v>
      </c>
      <c r="G2967" s="79" t="s">
        <v>13</v>
      </c>
      <c r="H2967" s="2" t="s">
        <v>23</v>
      </c>
      <c r="I2967" s="2">
        <v>3</v>
      </c>
      <c r="J2967" s="2"/>
      <c r="K2967" s="2">
        <v>52250</v>
      </c>
      <c r="L2967" s="35">
        <f t="shared" si="155"/>
        <v>177368372.5</v>
      </c>
      <c r="M2967" s="36">
        <v>500</v>
      </c>
      <c r="N2967" s="40">
        <v>570643</v>
      </c>
      <c r="O2967" s="40">
        <v>0</v>
      </c>
      <c r="P2967" s="40">
        <v>0</v>
      </c>
      <c r="Q2967" s="40">
        <v>0</v>
      </c>
      <c r="R2967" s="40">
        <v>5285</v>
      </c>
      <c r="S2967" s="40">
        <v>354356</v>
      </c>
      <c r="T2967" s="40">
        <v>30000</v>
      </c>
      <c r="U2967" s="40">
        <v>246380</v>
      </c>
      <c r="V2967" s="40">
        <v>0</v>
      </c>
      <c r="W2967" s="45">
        <f t="shared" si="156"/>
        <v>1206664</v>
      </c>
      <c r="X2967" s="46">
        <f t="shared" si="157"/>
        <v>0.68031520106551124</v>
      </c>
    </row>
    <row r="2968" spans="1:24" s="4" customFormat="1" ht="15" customHeight="1">
      <c r="A2968" s="79" t="s">
        <v>3955</v>
      </c>
      <c r="B2968" s="80">
        <v>3394.61</v>
      </c>
      <c r="C2968" s="81" t="s">
        <v>4283</v>
      </c>
      <c r="D2968" s="82">
        <v>4953341790</v>
      </c>
      <c r="E2968" s="82" t="s">
        <v>14</v>
      </c>
      <c r="F2968" s="82">
        <v>1028749122</v>
      </c>
      <c r="G2968" s="79" t="s">
        <v>13</v>
      </c>
      <c r="H2968" s="2" t="s">
        <v>23</v>
      </c>
      <c r="I2968" s="2">
        <v>1</v>
      </c>
      <c r="J2968" s="2"/>
      <c r="K2968" s="2">
        <v>3329.6</v>
      </c>
      <c r="L2968" s="35">
        <f t="shared" si="155"/>
        <v>11302693.456</v>
      </c>
      <c r="M2968" s="36">
        <v>80</v>
      </c>
      <c r="N2968" s="40">
        <v>200642</v>
      </c>
      <c r="O2968" s="40">
        <v>0</v>
      </c>
      <c r="P2968" s="40">
        <v>0</v>
      </c>
      <c r="Q2968" s="40">
        <v>0</v>
      </c>
      <c r="R2968" s="40">
        <v>802</v>
      </c>
      <c r="S2968" s="40">
        <v>354356</v>
      </c>
      <c r="T2968" s="40">
        <v>30000</v>
      </c>
      <c r="U2968" s="40">
        <v>246380</v>
      </c>
      <c r="V2968" s="40">
        <v>0</v>
      </c>
      <c r="W2968" s="45">
        <f t="shared" si="156"/>
        <v>832180</v>
      </c>
      <c r="X2968" s="46">
        <f t="shared" si="157"/>
        <v>7.3626698206013881</v>
      </c>
    </row>
    <row r="2969" spans="1:24" s="4" customFormat="1" ht="15" customHeight="1">
      <c r="A2969" s="79" t="s">
        <v>3955</v>
      </c>
      <c r="B2969" s="80">
        <v>3394.61</v>
      </c>
      <c r="C2969" s="81" t="s">
        <v>4284</v>
      </c>
      <c r="D2969" s="82">
        <v>4953420338</v>
      </c>
      <c r="E2969" s="82" t="s">
        <v>33</v>
      </c>
      <c r="F2969" s="82" t="s">
        <v>4285</v>
      </c>
      <c r="G2969" s="79" t="s">
        <v>13</v>
      </c>
      <c r="H2969" s="2" t="s">
        <v>23</v>
      </c>
      <c r="I2969" s="2">
        <v>1</v>
      </c>
      <c r="J2969" s="2"/>
      <c r="K2969" s="2">
        <v>11590</v>
      </c>
      <c r="L2969" s="35">
        <f t="shared" si="155"/>
        <v>39343529.899999999</v>
      </c>
      <c r="M2969" s="36">
        <v>20</v>
      </c>
      <c r="N2969" s="40">
        <v>877463</v>
      </c>
      <c r="O2969" s="40">
        <v>0</v>
      </c>
      <c r="P2969" s="40">
        <v>0</v>
      </c>
      <c r="Q2969" s="40">
        <v>0</v>
      </c>
      <c r="R2969" s="40">
        <v>6509</v>
      </c>
      <c r="S2969" s="40">
        <v>354356</v>
      </c>
      <c r="T2969" s="40"/>
      <c r="U2969" s="40">
        <v>246380</v>
      </c>
      <c r="V2969" s="40">
        <v>0</v>
      </c>
      <c r="W2969" s="45">
        <f t="shared" si="156"/>
        <v>1484708</v>
      </c>
      <c r="X2969" s="46">
        <f t="shared" si="157"/>
        <v>3.7737030809734238</v>
      </c>
    </row>
    <row r="2970" spans="1:24" s="4" customFormat="1" ht="15" customHeight="1">
      <c r="A2970" s="79" t="s">
        <v>3955</v>
      </c>
      <c r="B2970" s="80">
        <v>3394.61</v>
      </c>
      <c r="C2970" s="81" t="s">
        <v>4286</v>
      </c>
      <c r="D2970" s="82">
        <v>4953157201</v>
      </c>
      <c r="E2970" s="82" t="s">
        <v>24</v>
      </c>
      <c r="F2970" s="83" t="s">
        <v>4287</v>
      </c>
      <c r="G2970" s="79" t="s">
        <v>9</v>
      </c>
      <c r="H2970" s="2" t="s">
        <v>23</v>
      </c>
      <c r="I2970" s="2">
        <v>8</v>
      </c>
      <c r="J2970" s="2"/>
      <c r="K2970" s="2">
        <v>2288</v>
      </c>
      <c r="L2970" s="35">
        <f t="shared" si="155"/>
        <v>7766867.6800000006</v>
      </c>
      <c r="M2970" s="36">
        <v>100</v>
      </c>
      <c r="N2970" s="62">
        <v>117806.060606061</v>
      </c>
      <c r="O2970" s="40">
        <v>223</v>
      </c>
      <c r="P2970" s="40">
        <v>0</v>
      </c>
      <c r="Q2970" s="40">
        <v>2953.6666666666702</v>
      </c>
      <c r="R2970" s="62">
        <v>14943.7878787879</v>
      </c>
      <c r="S2970" s="62">
        <v>53690.303030303003</v>
      </c>
      <c r="T2970" s="65"/>
      <c r="U2970" s="55">
        <v>315984.84848484898</v>
      </c>
      <c r="V2970" s="55">
        <v>0</v>
      </c>
      <c r="W2970" s="45">
        <f t="shared" si="156"/>
        <v>505601.66666666756</v>
      </c>
      <c r="X2970" s="46">
        <f t="shared" si="157"/>
        <v>6.5097242221418607</v>
      </c>
    </row>
    <row r="2971" spans="1:24" s="4" customFormat="1" ht="15" customHeight="1">
      <c r="A2971" s="79" t="s">
        <v>3955</v>
      </c>
      <c r="B2971" s="80">
        <v>3394.61</v>
      </c>
      <c r="C2971" s="81" t="s">
        <v>4286</v>
      </c>
      <c r="D2971" s="82">
        <v>4953157201</v>
      </c>
      <c r="E2971" s="82" t="s">
        <v>24</v>
      </c>
      <c r="F2971" s="83" t="s">
        <v>4287</v>
      </c>
      <c r="G2971" s="79" t="s">
        <v>9</v>
      </c>
      <c r="H2971" s="2" t="s">
        <v>23</v>
      </c>
      <c r="I2971" s="2">
        <v>8</v>
      </c>
      <c r="J2971" s="2"/>
      <c r="K2971" s="2">
        <v>2527.1999999999998</v>
      </c>
      <c r="L2971" s="35">
        <f t="shared" si="155"/>
        <v>8578858.3919999991</v>
      </c>
      <c r="M2971" s="36">
        <v>360</v>
      </c>
      <c r="N2971" s="62">
        <v>424101.818181818</v>
      </c>
      <c r="O2971" s="40">
        <v>223</v>
      </c>
      <c r="P2971" s="40">
        <v>0</v>
      </c>
      <c r="Q2971" s="40">
        <v>2953.6666666666702</v>
      </c>
      <c r="R2971" s="62">
        <v>53797.636363636397</v>
      </c>
      <c r="S2971" s="62">
        <v>193285.090909091</v>
      </c>
      <c r="T2971" s="65"/>
      <c r="U2971" s="55">
        <v>1137545.4545454499</v>
      </c>
      <c r="V2971" s="55">
        <v>0</v>
      </c>
      <c r="W2971" s="45">
        <f t="shared" si="156"/>
        <v>1811906.6666666621</v>
      </c>
      <c r="X2971" s="46">
        <f t="shared" si="157"/>
        <v>21.120603510093027</v>
      </c>
    </row>
    <row r="2972" spans="1:24" s="4" customFormat="1" ht="15" customHeight="1">
      <c r="A2972" s="79" t="s">
        <v>3955</v>
      </c>
      <c r="B2972" s="80">
        <v>3394.61</v>
      </c>
      <c r="C2972" s="81" t="s">
        <v>4286</v>
      </c>
      <c r="D2972" s="82">
        <v>4953157201</v>
      </c>
      <c r="E2972" s="82" t="s">
        <v>24</v>
      </c>
      <c r="F2972" s="83" t="s">
        <v>4287</v>
      </c>
      <c r="G2972" s="79" t="s">
        <v>9</v>
      </c>
      <c r="H2972" s="2" t="s">
        <v>23</v>
      </c>
      <c r="I2972" s="2">
        <v>8</v>
      </c>
      <c r="J2972" s="2"/>
      <c r="K2972" s="2">
        <v>3582</v>
      </c>
      <c r="L2972" s="35">
        <f t="shared" si="155"/>
        <v>12159493.02</v>
      </c>
      <c r="M2972" s="36">
        <v>200</v>
      </c>
      <c r="N2972" s="62">
        <v>235612.12121212101</v>
      </c>
      <c r="O2972" s="40">
        <v>223</v>
      </c>
      <c r="P2972" s="40">
        <v>0</v>
      </c>
      <c r="Q2972" s="40">
        <v>2953.6666666666702</v>
      </c>
      <c r="R2972" s="62">
        <v>29887.5757575758</v>
      </c>
      <c r="S2972" s="62">
        <v>107380.60606060601</v>
      </c>
      <c r="T2972" s="65"/>
      <c r="U2972" s="55">
        <v>631969.69696969702</v>
      </c>
      <c r="V2972" s="55">
        <v>0</v>
      </c>
      <c r="W2972" s="45">
        <f t="shared" si="156"/>
        <v>1008026.6666666665</v>
      </c>
      <c r="X2972" s="46">
        <f t="shared" si="157"/>
        <v>8.2900386143456704</v>
      </c>
    </row>
    <row r="2973" spans="1:24" s="4" customFormat="1" ht="15" customHeight="1">
      <c r="A2973" s="79" t="s">
        <v>3955</v>
      </c>
      <c r="B2973" s="80">
        <v>3394.61</v>
      </c>
      <c r="C2973" s="81" t="s">
        <v>4288</v>
      </c>
      <c r="D2973" s="82">
        <v>4952862315</v>
      </c>
      <c r="E2973" s="82" t="s">
        <v>14</v>
      </c>
      <c r="F2973" s="82" t="s">
        <v>4289</v>
      </c>
      <c r="G2973" s="79" t="s">
        <v>5</v>
      </c>
      <c r="H2973" s="2" t="s">
        <v>20</v>
      </c>
      <c r="I2973" s="2">
        <v>1</v>
      </c>
      <c r="J2973" s="2" t="s">
        <v>4290</v>
      </c>
      <c r="K2973" s="2">
        <v>18154.5</v>
      </c>
      <c r="L2973" s="35">
        <f t="shared" si="155"/>
        <v>61627447.245000005</v>
      </c>
      <c r="M2973" s="36">
        <v>7350</v>
      </c>
      <c r="N2973" s="40">
        <v>400500</v>
      </c>
      <c r="O2973" s="40">
        <v>346986</v>
      </c>
      <c r="P2973" s="40">
        <v>0</v>
      </c>
      <c r="Q2973" s="40">
        <v>99309</v>
      </c>
      <c r="R2973" s="40">
        <v>446788</v>
      </c>
      <c r="S2973" s="40">
        <v>354356</v>
      </c>
      <c r="T2973" s="40">
        <v>30000</v>
      </c>
      <c r="U2973" s="40">
        <v>2900300</v>
      </c>
      <c r="V2973" s="40">
        <v>0</v>
      </c>
      <c r="W2973" s="45">
        <f t="shared" si="156"/>
        <v>4578239</v>
      </c>
      <c r="X2973" s="46">
        <f t="shared" si="157"/>
        <v>7.4288960595742415</v>
      </c>
    </row>
    <row r="2974" spans="1:24" s="4" customFormat="1" ht="15" customHeight="1">
      <c r="A2974" s="79" t="s">
        <v>3955</v>
      </c>
      <c r="B2974" s="80">
        <v>3394.61</v>
      </c>
      <c r="C2974" s="81" t="s">
        <v>4291</v>
      </c>
      <c r="D2974" s="82">
        <v>4952771728</v>
      </c>
      <c r="E2974" s="82" t="s">
        <v>14</v>
      </c>
      <c r="F2974" s="82" t="s">
        <v>4292</v>
      </c>
      <c r="G2974" s="79" t="s">
        <v>9</v>
      </c>
      <c r="H2974" s="2" t="s">
        <v>23</v>
      </c>
      <c r="I2974" s="2">
        <v>6</v>
      </c>
      <c r="J2974" s="2"/>
      <c r="K2974" s="2">
        <v>5325</v>
      </c>
      <c r="L2974" s="35">
        <f t="shared" si="155"/>
        <v>18076298.25</v>
      </c>
      <c r="M2974" s="36">
        <v>3750</v>
      </c>
      <c r="N2974" s="62">
        <v>152443.77049180301</v>
      </c>
      <c r="O2974" s="40">
        <v>1408.5</v>
      </c>
      <c r="P2974" s="40">
        <v>0</v>
      </c>
      <c r="Q2974" s="40">
        <v>27590</v>
      </c>
      <c r="R2974" s="62">
        <v>29925.9508196721</v>
      </c>
      <c r="S2974" s="62">
        <v>63900.262295082</v>
      </c>
      <c r="T2974" s="40">
        <v>30000</v>
      </c>
      <c r="U2974" s="55">
        <v>376073.77049180301</v>
      </c>
      <c r="V2974" s="55">
        <v>0</v>
      </c>
      <c r="W2974" s="45">
        <f t="shared" si="156"/>
        <v>681342.25409836008</v>
      </c>
      <c r="X2974" s="46">
        <f t="shared" si="157"/>
        <v>3.7692576470868975</v>
      </c>
    </row>
    <row r="2975" spans="1:24" s="4" customFormat="1" ht="15" customHeight="1">
      <c r="A2975" s="79" t="s">
        <v>3955</v>
      </c>
      <c r="B2975" s="80">
        <v>3394.61</v>
      </c>
      <c r="C2975" s="81" t="s">
        <v>4291</v>
      </c>
      <c r="D2975" s="82">
        <v>4952862307</v>
      </c>
      <c r="E2975" s="82" t="s">
        <v>14</v>
      </c>
      <c r="F2975" s="82" t="s">
        <v>4292</v>
      </c>
      <c r="G2975" s="79" t="s">
        <v>9</v>
      </c>
      <c r="H2975" s="2" t="s">
        <v>23</v>
      </c>
      <c r="I2975" s="2">
        <v>6</v>
      </c>
      <c r="J2975" s="2"/>
      <c r="K2975" s="2">
        <v>1688.4</v>
      </c>
      <c r="L2975" s="35">
        <f t="shared" si="155"/>
        <v>5731459.5240000002</v>
      </c>
      <c r="M2975" s="36">
        <v>360</v>
      </c>
      <c r="N2975" s="62">
        <v>692926.22950819705</v>
      </c>
      <c r="O2975" s="40">
        <v>1408.5</v>
      </c>
      <c r="P2975" s="40">
        <v>0</v>
      </c>
      <c r="Q2975" s="40">
        <v>27590</v>
      </c>
      <c r="R2975" s="62">
        <v>136027.049180328</v>
      </c>
      <c r="S2975" s="62">
        <v>290455.73770491802</v>
      </c>
      <c r="T2975" s="40">
        <v>30000</v>
      </c>
      <c r="U2975" s="55">
        <v>1709426.2295082</v>
      </c>
      <c r="V2975" s="55">
        <v>0</v>
      </c>
      <c r="W2975" s="45">
        <f t="shared" si="156"/>
        <v>2887833.7459016433</v>
      </c>
      <c r="X2975" s="46">
        <f t="shared" si="157"/>
        <v>50.385660647328748</v>
      </c>
    </row>
    <row r="2976" spans="1:24" s="4" customFormat="1" ht="15" customHeight="1">
      <c r="A2976" s="79" t="s">
        <v>3955</v>
      </c>
      <c r="B2976" s="80">
        <v>3394.61</v>
      </c>
      <c r="C2976" s="81" t="s">
        <v>4293</v>
      </c>
      <c r="D2976" s="82">
        <v>4952104504</v>
      </c>
      <c r="E2976" s="82" t="s">
        <v>14</v>
      </c>
      <c r="F2976" s="82" t="s">
        <v>4294</v>
      </c>
      <c r="G2976" s="79" t="s">
        <v>5</v>
      </c>
      <c r="H2976" s="2" t="s">
        <v>26</v>
      </c>
      <c r="I2976" s="2">
        <v>1</v>
      </c>
      <c r="J2976" s="2" t="s">
        <v>4295</v>
      </c>
      <c r="K2976" s="2">
        <v>31960</v>
      </c>
      <c r="L2976" s="35">
        <f t="shared" si="155"/>
        <v>108491735.60000001</v>
      </c>
      <c r="M2976" s="36">
        <v>18800</v>
      </c>
      <c r="N2976" s="40">
        <v>356589</v>
      </c>
      <c r="O2976" s="40">
        <v>125000</v>
      </c>
      <c r="P2976" s="40">
        <v>1848564</v>
      </c>
      <c r="Q2976" s="40">
        <v>99309</v>
      </c>
      <c r="R2976" s="40">
        <v>530253</v>
      </c>
      <c r="S2976" s="40">
        <v>354356</v>
      </c>
      <c r="T2976" s="40">
        <v>30000</v>
      </c>
      <c r="U2976" s="40">
        <v>0</v>
      </c>
      <c r="V2976" s="40">
        <v>0</v>
      </c>
      <c r="W2976" s="45">
        <f t="shared" si="156"/>
        <v>3344071</v>
      </c>
      <c r="X2976" s="46">
        <f t="shared" si="157"/>
        <v>3.0823278671928627</v>
      </c>
    </row>
    <row r="2977" spans="1:24" s="4" customFormat="1" ht="15" customHeight="1">
      <c r="A2977" s="79" t="s">
        <v>3955</v>
      </c>
      <c r="B2977" s="80">
        <v>3394.61</v>
      </c>
      <c r="C2977" s="81" t="s">
        <v>4296</v>
      </c>
      <c r="D2977" s="82">
        <v>4951930705</v>
      </c>
      <c r="E2977" s="82" t="s">
        <v>33</v>
      </c>
      <c r="F2977" s="82" t="s">
        <v>4297</v>
      </c>
      <c r="G2977" s="79" t="s">
        <v>5</v>
      </c>
      <c r="H2977" s="2" t="s">
        <v>17</v>
      </c>
      <c r="I2977" s="2">
        <v>1</v>
      </c>
      <c r="J2977" s="2" t="s">
        <v>4298</v>
      </c>
      <c r="K2977" s="2">
        <v>33242.1</v>
      </c>
      <c r="L2977" s="35">
        <f t="shared" si="155"/>
        <v>112843965.081</v>
      </c>
      <c r="M2977" s="85">
        <v>5461.9</v>
      </c>
      <c r="N2977" s="40">
        <v>253825.52311435499</v>
      </c>
      <c r="O2977" s="40">
        <v>227602.5</v>
      </c>
      <c r="P2977" s="40">
        <v>0</v>
      </c>
      <c r="Q2977" s="40">
        <v>49654.5</v>
      </c>
      <c r="R2977" s="40">
        <v>459832.17817518202</v>
      </c>
      <c r="S2977" s="40">
        <v>235457.060389294</v>
      </c>
      <c r="T2977" s="48"/>
      <c r="U2977" s="40">
        <v>3135642.23783455</v>
      </c>
      <c r="V2977" s="40">
        <v>0</v>
      </c>
      <c r="W2977" s="45">
        <f t="shared" si="156"/>
        <v>4362013.9995133812</v>
      </c>
      <c r="X2977" s="46">
        <f t="shared" si="157"/>
        <v>3.8655270544439873</v>
      </c>
    </row>
    <row r="2978" spans="1:24" s="4" customFormat="1" ht="15" customHeight="1">
      <c r="A2978" s="79" t="s">
        <v>3955</v>
      </c>
      <c r="B2978" s="80">
        <v>3394.61</v>
      </c>
      <c r="C2978" s="81" t="s">
        <v>4296</v>
      </c>
      <c r="D2978" s="82">
        <v>4951930705</v>
      </c>
      <c r="E2978" s="82" t="s">
        <v>33</v>
      </c>
      <c r="F2978" s="82" t="s">
        <v>4297</v>
      </c>
      <c r="G2978" s="79" t="s">
        <v>5</v>
      </c>
      <c r="H2978" s="2" t="s">
        <v>17</v>
      </c>
      <c r="I2978" s="2">
        <v>1</v>
      </c>
      <c r="J2978" s="2" t="s">
        <v>4298</v>
      </c>
      <c r="K2978" s="2">
        <v>12869</v>
      </c>
      <c r="L2978" s="35">
        <f t="shared" si="155"/>
        <v>43685236.090000004</v>
      </c>
      <c r="M2978" s="85">
        <v>2758.1</v>
      </c>
      <c r="N2978" s="40">
        <v>128174.476885645</v>
      </c>
      <c r="O2978" s="40">
        <v>227602.5</v>
      </c>
      <c r="P2978" s="40">
        <v>0</v>
      </c>
      <c r="Q2978" s="40">
        <v>49654.5</v>
      </c>
      <c r="R2978" s="40">
        <v>232201.82182481801</v>
      </c>
      <c r="S2978" s="40">
        <v>118898.939610706</v>
      </c>
      <c r="T2978" s="48"/>
      <c r="U2978" s="40">
        <v>1583407.76216545</v>
      </c>
      <c r="V2978" s="40">
        <v>0</v>
      </c>
      <c r="W2978" s="45">
        <f t="shared" si="156"/>
        <v>2339940.0004866188</v>
      </c>
      <c r="X2978" s="46">
        <f t="shared" si="157"/>
        <v>5.3563634076874198</v>
      </c>
    </row>
    <row r="2979" spans="1:24" s="4" customFormat="1" ht="15" customHeight="1">
      <c r="A2979" s="79" t="s">
        <v>3955</v>
      </c>
      <c r="B2979" s="80">
        <v>3394.61</v>
      </c>
      <c r="C2979" s="81" t="s">
        <v>4299</v>
      </c>
      <c r="D2979" s="82">
        <v>4952351984</v>
      </c>
      <c r="E2979" s="82" t="s">
        <v>14</v>
      </c>
      <c r="F2979" s="82" t="s">
        <v>4300</v>
      </c>
      <c r="G2979" s="79" t="s">
        <v>5</v>
      </c>
      <c r="H2979" s="2" t="s">
        <v>20</v>
      </c>
      <c r="I2979" s="2">
        <v>1</v>
      </c>
      <c r="J2979" s="2" t="s">
        <v>4301</v>
      </c>
      <c r="K2979" s="2">
        <v>3082</v>
      </c>
      <c r="L2979" s="35">
        <f t="shared" ref="L2979:L3042" si="158">B2979*K2979</f>
        <v>10462188.02</v>
      </c>
      <c r="M2979" s="36">
        <v>200</v>
      </c>
      <c r="N2979" s="40">
        <v>57402.292418772602</v>
      </c>
      <c r="O2979" s="40">
        <v>115662</v>
      </c>
      <c r="P2979" s="40">
        <v>0</v>
      </c>
      <c r="Q2979" s="40">
        <v>33103</v>
      </c>
      <c r="R2979" s="40">
        <v>76699.981949458495</v>
      </c>
      <c r="S2979" s="40">
        <v>57566.8592057762</v>
      </c>
      <c r="T2979" s="40">
        <v>30000</v>
      </c>
      <c r="U2979" s="40">
        <v>638203.97111913399</v>
      </c>
      <c r="V2979" s="40">
        <v>0</v>
      </c>
      <c r="W2979" s="45">
        <f t="shared" ref="W2979:W3042" si="159">+SUM(N2979:V2979)</f>
        <v>1008638.1046931413</v>
      </c>
      <c r="X2979" s="46">
        <f t="shared" ref="X2979:X3042" si="160">(W2979/L2979)*100</f>
        <v>9.6407950494197046</v>
      </c>
    </row>
    <row r="2980" spans="1:24" s="4" customFormat="1" ht="15" customHeight="1">
      <c r="A2980" s="79" t="s">
        <v>3955</v>
      </c>
      <c r="B2980" s="80">
        <v>3394.61</v>
      </c>
      <c r="C2980" s="81" t="s">
        <v>4299</v>
      </c>
      <c r="D2980" s="82">
        <v>4951929645</v>
      </c>
      <c r="E2980" s="82" t="s">
        <v>14</v>
      </c>
      <c r="F2980" s="82" t="s">
        <v>4300</v>
      </c>
      <c r="G2980" s="79" t="s">
        <v>5</v>
      </c>
      <c r="H2980" s="2" t="s">
        <v>20</v>
      </c>
      <c r="I2980" s="2">
        <v>1</v>
      </c>
      <c r="J2980" s="2" t="s">
        <v>4301</v>
      </c>
      <c r="K2980" s="2">
        <v>5827.5</v>
      </c>
      <c r="L2980" s="35">
        <f t="shared" si="158"/>
        <v>19782089.775000002</v>
      </c>
      <c r="M2980" s="36">
        <v>2250</v>
      </c>
      <c r="N2980" s="40">
        <v>103071.28158844799</v>
      </c>
      <c r="O2980" s="40">
        <v>115662</v>
      </c>
      <c r="P2980" s="40">
        <v>22852.202166064999</v>
      </c>
      <c r="Q2980" s="40">
        <v>33103</v>
      </c>
      <c r="R2980" s="40">
        <v>197502.563176895</v>
      </c>
      <c r="S2980" s="40">
        <v>57566.8592057762</v>
      </c>
      <c r="T2980" s="40">
        <v>30000</v>
      </c>
      <c r="U2980" s="55">
        <v>1040425.9927797799</v>
      </c>
      <c r="V2980" s="55">
        <v>0</v>
      </c>
      <c r="W2980" s="45">
        <f t="shared" si="159"/>
        <v>1600183.8989169642</v>
      </c>
      <c r="X2980" s="46">
        <f t="shared" si="160"/>
        <v>8.0890538720495933</v>
      </c>
    </row>
    <row r="2981" spans="1:24" s="4" customFormat="1" ht="15" customHeight="1">
      <c r="A2981" s="79" t="s">
        <v>3955</v>
      </c>
      <c r="B2981" s="80">
        <v>3394.61</v>
      </c>
      <c r="C2981" s="81" t="s">
        <v>4299</v>
      </c>
      <c r="D2981" s="82">
        <v>4952367497</v>
      </c>
      <c r="E2981" s="82" t="s">
        <v>14</v>
      </c>
      <c r="F2981" s="82" t="s">
        <v>4300</v>
      </c>
      <c r="G2981" s="79" t="s">
        <v>5</v>
      </c>
      <c r="H2981" s="2" t="s">
        <v>20</v>
      </c>
      <c r="I2981" s="2">
        <v>1</v>
      </c>
      <c r="J2981" s="2" t="s">
        <v>4301</v>
      </c>
      <c r="K2981" s="2">
        <v>23256</v>
      </c>
      <c r="L2981" s="35">
        <f t="shared" si="158"/>
        <v>78945050.159999996</v>
      </c>
      <c r="M2981" s="36">
        <f>380+11020</f>
        <v>11400</v>
      </c>
      <c r="N2981" s="40">
        <v>9161.8916967508994</v>
      </c>
      <c r="O2981" s="40">
        <v>115662</v>
      </c>
      <c r="P2981" s="40">
        <v>2031.30685920578</v>
      </c>
      <c r="Q2981" s="40">
        <v>33103</v>
      </c>
      <c r="R2981" s="40">
        <v>17555.783393501799</v>
      </c>
      <c r="S2981" s="40">
        <v>5117.0541516245503</v>
      </c>
      <c r="T2981" s="40">
        <v>30000</v>
      </c>
      <c r="U2981" s="55">
        <v>92482.310469314107</v>
      </c>
      <c r="V2981" s="55">
        <v>0</v>
      </c>
      <c r="W2981" s="45">
        <f t="shared" si="159"/>
        <v>305113.34657039715</v>
      </c>
      <c r="X2981" s="46">
        <f t="shared" si="160"/>
        <v>0.38648825474430121</v>
      </c>
    </row>
    <row r="2982" spans="1:24" s="4" customFormat="1" ht="15" customHeight="1">
      <c r="A2982" s="79" t="s">
        <v>3955</v>
      </c>
      <c r="B2982" s="80">
        <v>3394.61</v>
      </c>
      <c r="C2982" s="81" t="s">
        <v>4302</v>
      </c>
      <c r="D2982" s="82">
        <v>4952104505</v>
      </c>
      <c r="E2982" s="82" t="s">
        <v>14</v>
      </c>
      <c r="F2982" s="82" t="s">
        <v>4303</v>
      </c>
      <c r="G2982" s="79" t="s">
        <v>5</v>
      </c>
      <c r="H2982" s="2" t="s">
        <v>26</v>
      </c>
      <c r="I2982" s="2">
        <v>1</v>
      </c>
      <c r="J2982" s="2" t="s">
        <v>4304</v>
      </c>
      <c r="K2982" s="2">
        <v>32198</v>
      </c>
      <c r="L2982" s="35">
        <f t="shared" si="158"/>
        <v>109299652.78</v>
      </c>
      <c r="M2982" s="36">
        <v>18940</v>
      </c>
      <c r="N2982" s="40">
        <v>344452</v>
      </c>
      <c r="O2982" s="40">
        <v>125000</v>
      </c>
      <c r="P2982" s="40">
        <v>2089681</v>
      </c>
      <c r="Q2982" s="40">
        <v>99309</v>
      </c>
      <c r="R2982" s="40">
        <v>531169</v>
      </c>
      <c r="S2982" s="40">
        <v>354356</v>
      </c>
      <c r="T2982" s="40">
        <v>30000</v>
      </c>
      <c r="U2982" s="40">
        <v>0</v>
      </c>
      <c r="V2982" s="40">
        <v>0</v>
      </c>
      <c r="W2982" s="45">
        <f t="shared" si="159"/>
        <v>3573967</v>
      </c>
      <c r="X2982" s="46">
        <f t="shared" si="160"/>
        <v>3.2698795550556188</v>
      </c>
    </row>
    <row r="2983" spans="1:24" s="4" customFormat="1" ht="15" customHeight="1">
      <c r="A2983" s="79" t="s">
        <v>3955</v>
      </c>
      <c r="B2983" s="80">
        <v>3394.61</v>
      </c>
      <c r="C2983" s="81" t="s">
        <v>4305</v>
      </c>
      <c r="D2983" s="82" t="s">
        <v>4306</v>
      </c>
      <c r="E2983" s="82" t="s">
        <v>14</v>
      </c>
      <c r="F2983" s="82" t="s">
        <v>4307</v>
      </c>
      <c r="G2983" s="79" t="s">
        <v>5</v>
      </c>
      <c r="H2983" s="2" t="s">
        <v>20</v>
      </c>
      <c r="I2983" s="2">
        <v>1</v>
      </c>
      <c r="J2983" s="2" t="s">
        <v>4308</v>
      </c>
      <c r="K2983" s="2">
        <v>23580</v>
      </c>
      <c r="L2983" s="35">
        <f t="shared" si="158"/>
        <v>80044903.799999997</v>
      </c>
      <c r="M2983" s="36">
        <f>450+17550</f>
        <v>18000</v>
      </c>
      <c r="N2983" s="40">
        <v>398532</v>
      </c>
      <c r="O2983" s="40">
        <v>346986</v>
      </c>
      <c r="P2983" s="40">
        <v>0</v>
      </c>
      <c r="Q2983" s="40">
        <v>99309</v>
      </c>
      <c r="R2983" s="40">
        <v>440425</v>
      </c>
      <c r="S2983" s="40">
        <v>354356</v>
      </c>
      <c r="T2983" s="40">
        <v>30000</v>
      </c>
      <c r="U2983" s="40">
        <v>6404400</v>
      </c>
      <c r="V2983" s="40">
        <v>0</v>
      </c>
      <c r="W2983" s="45">
        <f t="shared" si="159"/>
        <v>8074008</v>
      </c>
      <c r="X2983" s="46">
        <f t="shared" si="160"/>
        <v>10.086848277279085</v>
      </c>
    </row>
    <row r="2984" spans="1:24" s="4" customFormat="1" ht="15" customHeight="1">
      <c r="A2984" s="79" t="s">
        <v>3955</v>
      </c>
      <c r="B2984" s="80">
        <v>3394.61</v>
      </c>
      <c r="C2984" s="81" t="s">
        <v>4309</v>
      </c>
      <c r="D2984" s="82">
        <v>4952973700</v>
      </c>
      <c r="E2984" s="82" t="s">
        <v>14</v>
      </c>
      <c r="F2984" s="82" t="s">
        <v>4310</v>
      </c>
      <c r="G2984" s="79" t="s">
        <v>9</v>
      </c>
      <c r="H2984" s="2" t="s">
        <v>23</v>
      </c>
      <c r="I2984" s="2">
        <v>2</v>
      </c>
      <c r="J2984" s="2"/>
      <c r="K2984" s="2">
        <v>3712.8</v>
      </c>
      <c r="L2984" s="35">
        <f t="shared" si="158"/>
        <v>12603508.008000001</v>
      </c>
      <c r="M2984" s="36">
        <v>840</v>
      </c>
      <c r="N2984" s="40">
        <v>533093</v>
      </c>
      <c r="O2984" s="40">
        <v>584</v>
      </c>
      <c r="P2984" s="40">
        <v>0</v>
      </c>
      <c r="Q2984" s="40">
        <v>11277</v>
      </c>
      <c r="R2984" s="40">
        <v>100579</v>
      </c>
      <c r="S2984" s="40">
        <v>354356</v>
      </c>
      <c r="T2984" s="40">
        <v>30000</v>
      </c>
      <c r="U2984" s="40">
        <v>700529.26829268294</v>
      </c>
      <c r="V2984" s="40">
        <v>0</v>
      </c>
      <c r="W2984" s="45">
        <f t="shared" si="159"/>
        <v>1730418.2682926829</v>
      </c>
      <c r="X2984" s="46">
        <f t="shared" si="160"/>
        <v>13.729655800546247</v>
      </c>
    </row>
    <row r="2985" spans="1:24" s="4" customFormat="1" ht="15" customHeight="1">
      <c r="A2985" s="79" t="s">
        <v>3955</v>
      </c>
      <c r="B2985" s="80">
        <v>3394.61</v>
      </c>
      <c r="C2985" s="81" t="s">
        <v>4311</v>
      </c>
      <c r="D2985" s="82">
        <v>4952602534</v>
      </c>
      <c r="E2985" s="82" t="s">
        <v>18</v>
      </c>
      <c r="F2985" s="83" t="s">
        <v>4312</v>
      </c>
      <c r="G2985" s="79" t="s">
        <v>5</v>
      </c>
      <c r="H2985" s="2" t="s">
        <v>32</v>
      </c>
      <c r="I2985" s="2">
        <v>1</v>
      </c>
      <c r="J2985" s="2" t="s">
        <v>4313</v>
      </c>
      <c r="K2985" s="2">
        <v>1960</v>
      </c>
      <c r="L2985" s="35">
        <f t="shared" si="158"/>
        <v>6653435.6000000006</v>
      </c>
      <c r="M2985" s="36">
        <v>1000</v>
      </c>
      <c r="N2985" s="62">
        <v>83774.5721271394</v>
      </c>
      <c r="O2985" s="40">
        <v>69397.2</v>
      </c>
      <c r="P2985" s="40">
        <v>0</v>
      </c>
      <c r="Q2985" s="40">
        <v>19861.8</v>
      </c>
      <c r="R2985" s="62">
        <v>179427.139364303</v>
      </c>
      <c r="S2985" s="62">
        <v>86639.608801955997</v>
      </c>
      <c r="T2985" s="40">
        <v>30000</v>
      </c>
      <c r="U2985" s="55">
        <v>644376.52811735903</v>
      </c>
      <c r="V2985" s="55">
        <v>0</v>
      </c>
      <c r="W2985" s="45">
        <f t="shared" si="159"/>
        <v>1113476.8484107575</v>
      </c>
      <c r="X2985" s="46">
        <f t="shared" si="160"/>
        <v>16.735366739113811</v>
      </c>
    </row>
    <row r="2986" spans="1:24" s="4" customFormat="1" ht="15" customHeight="1">
      <c r="A2986" s="79" t="s">
        <v>3955</v>
      </c>
      <c r="B2986" s="80">
        <v>3394.61</v>
      </c>
      <c r="C2986" s="81" t="s">
        <v>4311</v>
      </c>
      <c r="D2986" s="82">
        <v>4952839958</v>
      </c>
      <c r="E2986" s="82" t="s">
        <v>18</v>
      </c>
      <c r="F2986" s="83" t="s">
        <v>4312</v>
      </c>
      <c r="G2986" s="79" t="s">
        <v>5</v>
      </c>
      <c r="H2986" s="2" t="s">
        <v>32</v>
      </c>
      <c r="I2986" s="2">
        <v>1</v>
      </c>
      <c r="J2986" s="2" t="s">
        <v>4313</v>
      </c>
      <c r="K2986" s="2">
        <v>586</v>
      </c>
      <c r="L2986" s="35">
        <f t="shared" si="158"/>
        <v>1989241.46</v>
      </c>
      <c r="M2986" s="36">
        <v>200</v>
      </c>
      <c r="N2986" s="62">
        <v>16754.914425427902</v>
      </c>
      <c r="O2986" s="40">
        <v>69397.2</v>
      </c>
      <c r="P2986" s="40">
        <v>0</v>
      </c>
      <c r="Q2986" s="40">
        <v>19861.8</v>
      </c>
      <c r="R2986" s="62">
        <v>35885.4278728606</v>
      </c>
      <c r="S2986" s="62">
        <v>17327.9217603912</v>
      </c>
      <c r="T2986" s="40">
        <v>30000</v>
      </c>
      <c r="U2986" s="55">
        <v>128875.305623472</v>
      </c>
      <c r="V2986" s="55">
        <v>0</v>
      </c>
      <c r="W2986" s="45">
        <f t="shared" si="159"/>
        <v>318102.56968215166</v>
      </c>
      <c r="X2986" s="46">
        <f t="shared" si="160"/>
        <v>15.991149193228241</v>
      </c>
    </row>
    <row r="2987" spans="1:24" s="4" customFormat="1" ht="15" customHeight="1">
      <c r="A2987" s="79" t="s">
        <v>3955</v>
      </c>
      <c r="B2987" s="80">
        <v>3394.61</v>
      </c>
      <c r="C2987" s="81" t="s">
        <v>4311</v>
      </c>
      <c r="D2987" s="82">
        <v>4952839959</v>
      </c>
      <c r="E2987" s="82" t="s">
        <v>18</v>
      </c>
      <c r="F2987" s="83" t="s">
        <v>4312</v>
      </c>
      <c r="G2987" s="79" t="s">
        <v>5</v>
      </c>
      <c r="H2987" s="2" t="s">
        <v>32</v>
      </c>
      <c r="I2987" s="2">
        <v>1</v>
      </c>
      <c r="J2987" s="2" t="s">
        <v>4313</v>
      </c>
      <c r="K2987" s="2">
        <v>564</v>
      </c>
      <c r="L2987" s="35">
        <f t="shared" si="158"/>
        <v>1914560.04</v>
      </c>
      <c r="M2987" s="36">
        <v>200</v>
      </c>
      <c r="N2987" s="62">
        <v>16754.914425427902</v>
      </c>
      <c r="O2987" s="40">
        <v>69397.2</v>
      </c>
      <c r="P2987" s="40">
        <v>0</v>
      </c>
      <c r="Q2987" s="40">
        <v>19861.8</v>
      </c>
      <c r="R2987" s="62">
        <v>35885.4278728606</v>
      </c>
      <c r="S2987" s="62">
        <v>17327.9217603912</v>
      </c>
      <c r="T2987" s="40">
        <v>30000</v>
      </c>
      <c r="U2987" s="55">
        <v>128875.305623472</v>
      </c>
      <c r="V2987" s="55">
        <v>0</v>
      </c>
      <c r="W2987" s="45">
        <f t="shared" si="159"/>
        <v>318102.56968215166</v>
      </c>
      <c r="X2987" s="46">
        <f t="shared" si="160"/>
        <v>16.614917424169768</v>
      </c>
    </row>
    <row r="2988" spans="1:24" s="4" customFormat="1" ht="15" customHeight="1">
      <c r="A2988" s="79" t="s">
        <v>3955</v>
      </c>
      <c r="B2988" s="80">
        <v>3394.61</v>
      </c>
      <c r="C2988" s="81" t="s">
        <v>4311</v>
      </c>
      <c r="D2988" s="82">
        <v>4952839965</v>
      </c>
      <c r="E2988" s="82" t="s">
        <v>18</v>
      </c>
      <c r="F2988" s="83" t="s">
        <v>4312</v>
      </c>
      <c r="G2988" s="79" t="s">
        <v>5</v>
      </c>
      <c r="H2988" s="2" t="s">
        <v>32</v>
      </c>
      <c r="I2988" s="2">
        <v>1</v>
      </c>
      <c r="J2988" s="2" t="s">
        <v>4313</v>
      </c>
      <c r="K2988" s="2">
        <v>3077.1</v>
      </c>
      <c r="L2988" s="35">
        <f t="shared" si="158"/>
        <v>10445554.431</v>
      </c>
      <c r="M2988" s="36">
        <v>90</v>
      </c>
      <c r="N2988" s="62">
        <v>7539.7114914425401</v>
      </c>
      <c r="O2988" s="40">
        <v>69397.2</v>
      </c>
      <c r="P2988" s="40">
        <v>0</v>
      </c>
      <c r="Q2988" s="40">
        <v>19861.8</v>
      </c>
      <c r="R2988" s="62">
        <v>16148.442542787299</v>
      </c>
      <c r="S2988" s="62">
        <v>7797.5647921760401</v>
      </c>
      <c r="T2988" s="40">
        <v>30000</v>
      </c>
      <c r="U2988" s="55">
        <v>57993.887530562402</v>
      </c>
      <c r="V2988" s="55">
        <v>0</v>
      </c>
      <c r="W2988" s="45">
        <f t="shared" si="159"/>
        <v>208738.60635696829</v>
      </c>
      <c r="X2988" s="46">
        <f t="shared" si="160"/>
        <v>1.9983487495645054</v>
      </c>
    </row>
    <row r="2989" spans="1:24" s="4" customFormat="1" ht="15" customHeight="1">
      <c r="A2989" s="79" t="s">
        <v>3955</v>
      </c>
      <c r="B2989" s="80">
        <v>3394.61</v>
      </c>
      <c r="C2989" s="81" t="s">
        <v>4311</v>
      </c>
      <c r="D2989" s="82" t="s">
        <v>4314</v>
      </c>
      <c r="E2989" s="82" t="s">
        <v>18</v>
      </c>
      <c r="F2989" s="83" t="s">
        <v>4312</v>
      </c>
      <c r="G2989" s="79" t="s">
        <v>5</v>
      </c>
      <c r="H2989" s="2" t="s">
        <v>32</v>
      </c>
      <c r="I2989" s="2">
        <v>1</v>
      </c>
      <c r="J2989" s="2" t="s">
        <v>4313</v>
      </c>
      <c r="K2989" s="2">
        <v>8580</v>
      </c>
      <c r="L2989" s="35">
        <f t="shared" si="158"/>
        <v>29125753.800000001</v>
      </c>
      <c r="M2989" s="36">
        <v>2600</v>
      </c>
      <c r="N2989" s="62">
        <v>217813.887530562</v>
      </c>
      <c r="O2989" s="40">
        <v>69397.2</v>
      </c>
      <c r="P2989" s="40">
        <v>0</v>
      </c>
      <c r="Q2989" s="40">
        <v>19861.8</v>
      </c>
      <c r="R2989" s="62">
        <v>466510.56234718801</v>
      </c>
      <c r="S2989" s="62">
        <v>225262.98288508601</v>
      </c>
      <c r="T2989" s="40">
        <v>30000</v>
      </c>
      <c r="U2989" s="55">
        <v>1675378.97310513</v>
      </c>
      <c r="V2989" s="55">
        <v>0</v>
      </c>
      <c r="W2989" s="45">
        <f t="shared" si="159"/>
        <v>2704225.4058679659</v>
      </c>
      <c r="X2989" s="46">
        <f t="shared" si="160"/>
        <v>9.2846537962151068</v>
      </c>
    </row>
    <row r="2990" spans="1:24" s="4" customFormat="1" ht="15" customHeight="1">
      <c r="A2990" s="79" t="s">
        <v>3955</v>
      </c>
      <c r="B2990" s="80">
        <v>3394.61</v>
      </c>
      <c r="C2990" s="81" t="s">
        <v>4315</v>
      </c>
      <c r="D2990" s="82">
        <v>4950804997</v>
      </c>
      <c r="E2990" s="82" t="s">
        <v>6</v>
      </c>
      <c r="F2990" s="83" t="s">
        <v>4316</v>
      </c>
      <c r="G2990" s="79" t="s">
        <v>9</v>
      </c>
      <c r="H2990" s="2" t="s">
        <v>23</v>
      </c>
      <c r="I2990" s="2">
        <v>4</v>
      </c>
      <c r="J2990" s="2"/>
      <c r="K2990" s="2">
        <v>7392</v>
      </c>
      <c r="L2990" s="35">
        <f t="shared" si="158"/>
        <v>25092957.120000001</v>
      </c>
      <c r="M2990" s="36">
        <v>3200</v>
      </c>
      <c r="N2990" s="40">
        <v>917599</v>
      </c>
      <c r="O2990" s="40">
        <v>2198</v>
      </c>
      <c r="P2990" s="40">
        <v>0</v>
      </c>
      <c r="Q2990" s="40">
        <v>42963</v>
      </c>
      <c r="R2990" s="40">
        <v>150880</v>
      </c>
      <c r="S2990" s="40">
        <v>354356</v>
      </c>
      <c r="T2990" s="40">
        <v>30000</v>
      </c>
      <c r="U2990" s="40">
        <v>1367700</v>
      </c>
      <c r="V2990" s="40">
        <v>0</v>
      </c>
      <c r="W2990" s="45">
        <f t="shared" si="159"/>
        <v>2865696</v>
      </c>
      <c r="X2990" s="46">
        <f t="shared" si="160"/>
        <v>11.420319997741263</v>
      </c>
    </row>
    <row r="2991" spans="1:24" s="4" customFormat="1" ht="15" customHeight="1">
      <c r="A2991" s="79" t="s">
        <v>3955</v>
      </c>
      <c r="B2991" s="80">
        <v>3394.61</v>
      </c>
      <c r="C2991" s="81" t="s">
        <v>4317</v>
      </c>
      <c r="D2991" s="82">
        <v>4952655846</v>
      </c>
      <c r="E2991" s="82" t="s">
        <v>38</v>
      </c>
      <c r="F2991" s="82" t="s">
        <v>4318</v>
      </c>
      <c r="G2991" s="79" t="s">
        <v>9</v>
      </c>
      <c r="H2991" s="2" t="s">
        <v>23</v>
      </c>
      <c r="I2991" s="2">
        <v>3</v>
      </c>
      <c r="J2991" s="2"/>
      <c r="K2991" s="2">
        <v>40.200000000000003</v>
      </c>
      <c r="L2991" s="35">
        <f t="shared" si="158"/>
        <v>136463.32200000001</v>
      </c>
      <c r="M2991" s="36">
        <v>30</v>
      </c>
      <c r="N2991" s="62">
        <v>113191.153846154</v>
      </c>
      <c r="O2991" s="40">
        <v>45.6666666666667</v>
      </c>
      <c r="P2991" s="40">
        <v>0</v>
      </c>
      <c r="Q2991" s="40">
        <v>805.33333333333303</v>
      </c>
      <c r="R2991" s="62">
        <v>14843.5714285714</v>
      </c>
      <c r="S2991" s="62">
        <v>58410.329670329702</v>
      </c>
      <c r="T2991" s="65"/>
      <c r="U2991" s="55">
        <v>41571.428571428602</v>
      </c>
      <c r="V2991" s="55">
        <v>0</v>
      </c>
      <c r="W2991" s="45">
        <f t="shared" si="159"/>
        <v>228867.48351648371</v>
      </c>
      <c r="X2991" s="46">
        <f t="shared" si="160"/>
        <v>167.71355127679192</v>
      </c>
    </row>
    <row r="2992" spans="1:24" s="4" customFormat="1" ht="15" customHeight="1">
      <c r="A2992" s="79" t="s">
        <v>3955</v>
      </c>
      <c r="B2992" s="80">
        <v>3394.61</v>
      </c>
      <c r="C2992" s="81" t="s">
        <v>4317</v>
      </c>
      <c r="D2992" s="82">
        <v>4952655848</v>
      </c>
      <c r="E2992" s="82" t="s">
        <v>38</v>
      </c>
      <c r="F2992" s="82" t="s">
        <v>4318</v>
      </c>
      <c r="G2992" s="79" t="s">
        <v>9</v>
      </c>
      <c r="H2992" s="2" t="s">
        <v>23</v>
      </c>
      <c r="I2992" s="2">
        <v>3</v>
      </c>
      <c r="J2992" s="2"/>
      <c r="K2992" s="2">
        <v>109.6</v>
      </c>
      <c r="L2992" s="35">
        <f t="shared" si="158"/>
        <v>372049.25599999999</v>
      </c>
      <c r="M2992" s="36">
        <v>40</v>
      </c>
      <c r="N2992" s="62">
        <v>150921.538461538</v>
      </c>
      <c r="O2992" s="40">
        <v>45.6666666666667</v>
      </c>
      <c r="P2992" s="40">
        <v>0</v>
      </c>
      <c r="Q2992" s="40">
        <v>805.33333333333303</v>
      </c>
      <c r="R2992" s="62">
        <v>19791.428571428602</v>
      </c>
      <c r="S2992" s="62">
        <v>77880.439560439598</v>
      </c>
      <c r="T2992" s="65"/>
      <c r="U2992" s="55">
        <v>55428.571428571398</v>
      </c>
      <c r="V2992" s="55">
        <v>0</v>
      </c>
      <c r="W2992" s="45">
        <f t="shared" si="159"/>
        <v>304872.97802197764</v>
      </c>
      <c r="X2992" s="46">
        <f t="shared" si="160"/>
        <v>81.944251495016474</v>
      </c>
    </row>
    <row r="2993" spans="1:24" s="4" customFormat="1" ht="15" customHeight="1">
      <c r="A2993" s="79" t="s">
        <v>3955</v>
      </c>
      <c r="B2993" s="80">
        <v>3394.61</v>
      </c>
      <c r="C2993" s="81" t="s">
        <v>4317</v>
      </c>
      <c r="D2993" s="82">
        <v>4952760903</v>
      </c>
      <c r="E2993" s="82" t="s">
        <v>38</v>
      </c>
      <c r="F2993" s="82" t="s">
        <v>4318</v>
      </c>
      <c r="G2993" s="79" t="s">
        <v>9</v>
      </c>
      <c r="H2993" s="2" t="s">
        <v>23</v>
      </c>
      <c r="I2993" s="2">
        <v>3</v>
      </c>
      <c r="J2993" s="2"/>
      <c r="K2993" s="2">
        <v>252.33</v>
      </c>
      <c r="L2993" s="35">
        <f t="shared" si="158"/>
        <v>856561.94130000006</v>
      </c>
      <c r="M2993" s="36">
        <f>56*2</f>
        <v>112</v>
      </c>
      <c r="N2993" s="62">
        <v>422580.30769230798</v>
      </c>
      <c r="O2993" s="40">
        <v>45.6666666666667</v>
      </c>
      <c r="P2993" s="40">
        <v>0</v>
      </c>
      <c r="Q2993" s="40">
        <v>805.33333333333303</v>
      </c>
      <c r="R2993" s="62">
        <v>55416</v>
      </c>
      <c r="S2993" s="62">
        <v>218065.23076923101</v>
      </c>
      <c r="T2993" s="65"/>
      <c r="U2993" s="55">
        <v>155200</v>
      </c>
      <c r="V2993" s="55">
        <v>0</v>
      </c>
      <c r="W2993" s="45">
        <f t="shared" si="159"/>
        <v>852112.53846153896</v>
      </c>
      <c r="X2993" s="46">
        <f t="shared" si="160"/>
        <v>99.480550953301957</v>
      </c>
    </row>
    <row r="2994" spans="1:24" s="4" customFormat="1" ht="15" customHeight="1">
      <c r="A2994" s="79" t="s">
        <v>3955</v>
      </c>
      <c r="B2994" s="80">
        <v>3394.61</v>
      </c>
      <c r="C2994" s="81" t="s">
        <v>4319</v>
      </c>
      <c r="D2994" s="82">
        <v>4951348212</v>
      </c>
      <c r="E2994" s="82" t="s">
        <v>14</v>
      </c>
      <c r="F2994" s="82" t="s">
        <v>4320</v>
      </c>
      <c r="G2994" s="79" t="s">
        <v>5</v>
      </c>
      <c r="H2994" s="2" t="s">
        <v>17</v>
      </c>
      <c r="I2994" s="2">
        <v>1</v>
      </c>
      <c r="J2994" s="2" t="s">
        <v>4321</v>
      </c>
      <c r="K2994" s="2">
        <v>6296.4</v>
      </c>
      <c r="L2994" s="35">
        <f t="shared" si="158"/>
        <v>21373822.403999999</v>
      </c>
      <c r="M2994" s="36">
        <v>220</v>
      </c>
      <c r="N2994" s="40">
        <v>6113.6814785686202</v>
      </c>
      <c r="O2994" s="40">
        <v>45520.5</v>
      </c>
      <c r="P2994" s="40">
        <v>8487.8301219032601</v>
      </c>
      <c r="Q2994" s="40">
        <v>9930.9</v>
      </c>
      <c r="R2994" s="40">
        <v>8432.4970507274902</v>
      </c>
      <c r="S2994" s="40">
        <v>6131.2088084939096</v>
      </c>
      <c r="T2994" s="40">
        <v>30000</v>
      </c>
      <c r="U2994" s="40">
        <v>103841.211167912</v>
      </c>
      <c r="V2994" s="40">
        <v>0</v>
      </c>
      <c r="W2994" s="45">
        <f t="shared" si="159"/>
        <v>218457.82862760528</v>
      </c>
      <c r="X2994" s="46">
        <f t="shared" si="160"/>
        <v>1.0220812379666917</v>
      </c>
    </row>
    <row r="2995" spans="1:24" s="4" customFormat="1" ht="15" customHeight="1">
      <c r="A2995" s="79" t="s">
        <v>3955</v>
      </c>
      <c r="B2995" s="80">
        <v>3394.61</v>
      </c>
      <c r="C2995" s="81" t="s">
        <v>4319</v>
      </c>
      <c r="D2995" s="82">
        <v>4952547961</v>
      </c>
      <c r="E2995" s="82" t="s">
        <v>14</v>
      </c>
      <c r="F2995" s="82" t="s">
        <v>4320</v>
      </c>
      <c r="G2995" s="79" t="s">
        <v>5</v>
      </c>
      <c r="H2995" s="2" t="s">
        <v>17</v>
      </c>
      <c r="I2995" s="2">
        <v>1</v>
      </c>
      <c r="J2995" s="2" t="s">
        <v>4321</v>
      </c>
      <c r="K2995" s="2">
        <v>800</v>
      </c>
      <c r="L2995" s="35">
        <f t="shared" si="158"/>
        <v>2715688</v>
      </c>
      <c r="M2995" s="36">
        <v>1000</v>
      </c>
      <c r="N2995" s="40">
        <v>27789.461266220998</v>
      </c>
      <c r="O2995" s="40">
        <v>45520.5</v>
      </c>
      <c r="P2995" s="40">
        <v>38581.046008651203</v>
      </c>
      <c r="Q2995" s="40">
        <v>9930.9</v>
      </c>
      <c r="R2995" s="40">
        <v>38329.532048761299</v>
      </c>
      <c r="S2995" s="40">
        <v>27869.130947699599</v>
      </c>
      <c r="T2995" s="40">
        <v>30000</v>
      </c>
      <c r="U2995" s="55">
        <v>472005.505308691</v>
      </c>
      <c r="V2995" s="55">
        <v>0</v>
      </c>
      <c r="W2995" s="45">
        <f t="shared" si="159"/>
        <v>690026.07558002416</v>
      </c>
      <c r="X2995" s="46">
        <f t="shared" si="160"/>
        <v>25.408886277805998</v>
      </c>
    </row>
    <row r="2996" spans="1:24" s="4" customFormat="1" ht="15" customHeight="1">
      <c r="A2996" s="79" t="s">
        <v>3955</v>
      </c>
      <c r="B2996" s="80">
        <v>3394.61</v>
      </c>
      <c r="C2996" s="81" t="s">
        <v>4319</v>
      </c>
      <c r="D2996" s="82">
        <v>4952698978</v>
      </c>
      <c r="E2996" s="82" t="s">
        <v>14</v>
      </c>
      <c r="F2996" s="82" t="s">
        <v>4320</v>
      </c>
      <c r="G2996" s="79" t="s">
        <v>5</v>
      </c>
      <c r="H2996" s="2" t="s">
        <v>17</v>
      </c>
      <c r="I2996" s="2">
        <v>1</v>
      </c>
      <c r="J2996" s="2" t="s">
        <v>4321</v>
      </c>
      <c r="K2996" s="2">
        <v>1719</v>
      </c>
      <c r="L2996" s="35">
        <f t="shared" si="158"/>
        <v>5835334.5899999999</v>
      </c>
      <c r="M2996" s="36">
        <v>900</v>
      </c>
      <c r="N2996" s="40">
        <v>25010.515139598901</v>
      </c>
      <c r="O2996" s="40">
        <v>45520.5</v>
      </c>
      <c r="P2996" s="40">
        <v>34722.9414077861</v>
      </c>
      <c r="Q2996" s="40">
        <v>9930.9</v>
      </c>
      <c r="R2996" s="40">
        <v>34496.578843885203</v>
      </c>
      <c r="S2996" s="40">
        <v>25082.2178529296</v>
      </c>
      <c r="T2996" s="40">
        <v>30000</v>
      </c>
      <c r="U2996" s="55">
        <v>424804.95477782103</v>
      </c>
      <c r="V2996" s="55">
        <v>0</v>
      </c>
      <c r="W2996" s="45">
        <f t="shared" si="159"/>
        <v>629568.6080220209</v>
      </c>
      <c r="X2996" s="46">
        <f t="shared" si="160"/>
        <v>10.788903332139878</v>
      </c>
    </row>
    <row r="2997" spans="1:24" s="4" customFormat="1" ht="15" customHeight="1">
      <c r="A2997" s="79" t="s">
        <v>3955</v>
      </c>
      <c r="B2997" s="80">
        <v>3394.61</v>
      </c>
      <c r="C2997" s="81" t="s">
        <v>4319</v>
      </c>
      <c r="D2997" s="82">
        <v>4951102534</v>
      </c>
      <c r="E2997" s="82" t="s">
        <v>14</v>
      </c>
      <c r="F2997" s="82" t="s">
        <v>4320</v>
      </c>
      <c r="G2997" s="79" t="s">
        <v>5</v>
      </c>
      <c r="H2997" s="2" t="s">
        <v>17</v>
      </c>
      <c r="I2997" s="2">
        <v>1</v>
      </c>
      <c r="J2997" s="2" t="s">
        <v>4321</v>
      </c>
      <c r="K2997" s="2">
        <v>6520</v>
      </c>
      <c r="L2997" s="35">
        <f t="shared" si="158"/>
        <v>22132857.199999999</v>
      </c>
      <c r="M2997" s="36">
        <v>3200</v>
      </c>
      <c r="N2997" s="40">
        <v>111157.84506488399</v>
      </c>
      <c r="O2997" s="40">
        <v>45520.5</v>
      </c>
      <c r="P2997" s="40">
        <v>154324.18403460499</v>
      </c>
      <c r="Q2997" s="40">
        <v>9930.9</v>
      </c>
      <c r="R2997" s="40">
        <v>153318.12819504499</v>
      </c>
      <c r="S2997" s="40">
        <v>111476.523790798</v>
      </c>
      <c r="T2997" s="40">
        <v>30000</v>
      </c>
      <c r="U2997" s="55">
        <v>1888022.0212347601</v>
      </c>
      <c r="V2997" s="55">
        <v>0</v>
      </c>
      <c r="W2997" s="45">
        <f t="shared" si="159"/>
        <v>2503750.1023200918</v>
      </c>
      <c r="X2997" s="46">
        <f t="shared" si="160"/>
        <v>11.312367308456189</v>
      </c>
    </row>
    <row r="2998" spans="1:24" s="4" customFormat="1" ht="15" customHeight="1">
      <c r="A2998" s="79" t="s">
        <v>3955</v>
      </c>
      <c r="B2998" s="80">
        <v>3394.61</v>
      </c>
      <c r="C2998" s="81" t="s">
        <v>4319</v>
      </c>
      <c r="D2998" s="82">
        <v>4952244149</v>
      </c>
      <c r="E2998" s="82" t="s">
        <v>14</v>
      </c>
      <c r="F2998" s="82" t="s">
        <v>4320</v>
      </c>
      <c r="G2998" s="79" t="s">
        <v>5</v>
      </c>
      <c r="H2998" s="2" t="s">
        <v>17</v>
      </c>
      <c r="I2998" s="2">
        <v>1</v>
      </c>
      <c r="J2998" s="2" t="s">
        <v>4321</v>
      </c>
      <c r="K2998" s="2">
        <f>510+5610</f>
        <v>6120</v>
      </c>
      <c r="L2998" s="35">
        <f t="shared" si="158"/>
        <v>20775013.199999999</v>
      </c>
      <c r="M2998" s="36">
        <f>200+2200</f>
        <v>2400</v>
      </c>
      <c r="N2998" s="40">
        <v>66694.707038930399</v>
      </c>
      <c r="O2998" s="40">
        <v>45520.5</v>
      </c>
      <c r="P2998" s="40">
        <v>92594.510420762905</v>
      </c>
      <c r="Q2998" s="40">
        <v>9930.9</v>
      </c>
      <c r="R2998" s="40">
        <v>91990.876917027097</v>
      </c>
      <c r="S2998" s="40">
        <v>66885.914274479001</v>
      </c>
      <c r="T2998" s="40">
        <v>30000</v>
      </c>
      <c r="U2998" s="55">
        <v>1132813.2127408599</v>
      </c>
      <c r="V2998" s="55">
        <v>0</v>
      </c>
      <c r="W2998" s="45">
        <f t="shared" si="159"/>
        <v>1536430.6213920594</v>
      </c>
      <c r="X2998" s="46">
        <f t="shared" si="160"/>
        <v>7.3955698925479361</v>
      </c>
    </row>
    <row r="2999" spans="1:24" s="4" customFormat="1" ht="15" customHeight="1">
      <c r="A2999" s="79" t="s">
        <v>3955</v>
      </c>
      <c r="B2999" s="80">
        <v>3394.61</v>
      </c>
      <c r="C2999" s="81" t="s">
        <v>4319</v>
      </c>
      <c r="D2999" s="82">
        <v>4952351998</v>
      </c>
      <c r="E2999" s="82" t="s">
        <v>14</v>
      </c>
      <c r="F2999" s="82" t="s">
        <v>4320</v>
      </c>
      <c r="G2999" s="79" t="s">
        <v>5</v>
      </c>
      <c r="H2999" s="2" t="s">
        <v>17</v>
      </c>
      <c r="I2999" s="2">
        <v>1</v>
      </c>
      <c r="J2999" s="2" t="s">
        <v>4321</v>
      </c>
      <c r="K2999" s="2">
        <v>3582</v>
      </c>
      <c r="L2999" s="35">
        <f t="shared" si="158"/>
        <v>12159493.02</v>
      </c>
      <c r="M2999" s="36">
        <v>1800</v>
      </c>
      <c r="N2999" s="40">
        <v>50021.030279197803</v>
      </c>
      <c r="O2999" s="40">
        <v>45520.5</v>
      </c>
      <c r="P2999" s="40">
        <v>69445.8828155722</v>
      </c>
      <c r="Q2999" s="40">
        <v>9930.9</v>
      </c>
      <c r="R2999" s="40">
        <v>68993.157687770305</v>
      </c>
      <c r="S2999" s="40">
        <v>50164.4357058592</v>
      </c>
      <c r="T2999" s="40">
        <v>30000</v>
      </c>
      <c r="U2999" s="55">
        <v>849609.90955564298</v>
      </c>
      <c r="V2999" s="55">
        <v>0</v>
      </c>
      <c r="W2999" s="45">
        <f t="shared" si="159"/>
        <v>1173685.8160440424</v>
      </c>
      <c r="X2999" s="46">
        <f t="shared" si="160"/>
        <v>9.6524239465704493</v>
      </c>
    </row>
    <row r="3000" spans="1:24" s="4" customFormat="1" ht="15" customHeight="1">
      <c r="A3000" s="79" t="s">
        <v>3955</v>
      </c>
      <c r="B3000" s="80">
        <v>3394.61</v>
      </c>
      <c r="C3000" s="81" t="s">
        <v>4319</v>
      </c>
      <c r="D3000" s="82">
        <v>4952701172</v>
      </c>
      <c r="E3000" s="82" t="s">
        <v>14</v>
      </c>
      <c r="F3000" s="82" t="s">
        <v>4320</v>
      </c>
      <c r="G3000" s="79" t="s">
        <v>5</v>
      </c>
      <c r="H3000" s="2" t="s">
        <v>17</v>
      </c>
      <c r="I3000" s="2">
        <v>1</v>
      </c>
      <c r="J3000" s="2" t="s">
        <v>4321</v>
      </c>
      <c r="K3000" s="2">
        <v>531.20000000000005</v>
      </c>
      <c r="L3000" s="35">
        <f t="shared" si="158"/>
        <v>1803216.8320000002</v>
      </c>
      <c r="M3000" s="36">
        <v>40</v>
      </c>
      <c r="N3000" s="40">
        <v>1111.5784506488401</v>
      </c>
      <c r="O3000" s="40">
        <v>45520.5</v>
      </c>
      <c r="P3000" s="40">
        <v>1543.2418403460499</v>
      </c>
      <c r="Q3000" s="40">
        <v>9930.9</v>
      </c>
      <c r="R3000" s="40">
        <v>1533.1812819504501</v>
      </c>
      <c r="S3000" s="40">
        <v>1114.76523790798</v>
      </c>
      <c r="T3000" s="40">
        <v>30000</v>
      </c>
      <c r="U3000" s="55">
        <v>18880.220212347602</v>
      </c>
      <c r="V3000" s="55">
        <v>0</v>
      </c>
      <c r="W3000" s="45">
        <f t="shared" si="159"/>
        <v>109634.38702320092</v>
      </c>
      <c r="X3000" s="46">
        <f t="shared" si="160"/>
        <v>6.0799336539911417</v>
      </c>
    </row>
    <row r="3001" spans="1:24" s="4" customFormat="1" ht="15" customHeight="1">
      <c r="A3001" s="79" t="s">
        <v>3955</v>
      </c>
      <c r="B3001" s="80">
        <v>3394.61</v>
      </c>
      <c r="C3001" s="81" t="s">
        <v>4319</v>
      </c>
      <c r="D3001" s="82">
        <v>4952701172</v>
      </c>
      <c r="E3001" s="82" t="s">
        <v>14</v>
      </c>
      <c r="F3001" s="82" t="s">
        <v>4320</v>
      </c>
      <c r="G3001" s="79" t="s">
        <v>5</v>
      </c>
      <c r="H3001" s="2" t="s">
        <v>17</v>
      </c>
      <c r="I3001" s="2">
        <v>1</v>
      </c>
      <c r="J3001" s="2" t="s">
        <v>4321</v>
      </c>
      <c r="K3001" s="2">
        <v>12747</v>
      </c>
      <c r="L3001" s="35">
        <f t="shared" si="158"/>
        <v>43271093.670000002</v>
      </c>
      <c r="M3001" s="36">
        <v>2100</v>
      </c>
      <c r="N3001" s="40">
        <v>58357.868659064101</v>
      </c>
      <c r="O3001" s="40">
        <v>45520.5</v>
      </c>
      <c r="P3001" s="40">
        <v>81020.196618167494</v>
      </c>
      <c r="Q3001" s="40">
        <v>9930.9</v>
      </c>
      <c r="R3001" s="40">
        <v>80492.017302398701</v>
      </c>
      <c r="S3001" s="40">
        <v>58525.1749901691</v>
      </c>
      <c r="T3001" s="40">
        <v>30000</v>
      </c>
      <c r="U3001" s="55">
        <v>991211.56114825001</v>
      </c>
      <c r="V3001" s="55">
        <v>0</v>
      </c>
      <c r="W3001" s="45">
        <f t="shared" si="159"/>
        <v>1355058.2187180493</v>
      </c>
      <c r="X3001" s="46">
        <f t="shared" si="160"/>
        <v>3.1315552804192603</v>
      </c>
    </row>
    <row r="3002" spans="1:24" s="4" customFormat="1" ht="15" customHeight="1">
      <c r="A3002" s="79" t="s">
        <v>3955</v>
      </c>
      <c r="B3002" s="80">
        <v>3394.61</v>
      </c>
      <c r="C3002" s="81" t="s">
        <v>4319</v>
      </c>
      <c r="D3002" s="82">
        <v>4952701172</v>
      </c>
      <c r="E3002" s="82" t="s">
        <v>14</v>
      </c>
      <c r="F3002" s="82" t="s">
        <v>4320</v>
      </c>
      <c r="G3002" s="79" t="s">
        <v>5</v>
      </c>
      <c r="H3002" s="2" t="s">
        <v>17</v>
      </c>
      <c r="I3002" s="2">
        <v>1</v>
      </c>
      <c r="J3002" s="2" t="s">
        <v>4321</v>
      </c>
      <c r="K3002" s="2">
        <v>724</v>
      </c>
      <c r="L3002" s="35">
        <f t="shared" si="158"/>
        <v>2457697.64</v>
      </c>
      <c r="M3002" s="36">
        <v>80</v>
      </c>
      <c r="N3002" s="40">
        <v>2223.1569012976802</v>
      </c>
      <c r="O3002" s="40">
        <v>45520.5</v>
      </c>
      <c r="P3002" s="40">
        <v>3086.4836806920998</v>
      </c>
      <c r="Q3002" s="40">
        <v>9930.9</v>
      </c>
      <c r="R3002" s="40">
        <v>3066.3625639009001</v>
      </c>
      <c r="S3002" s="40">
        <v>2229.53047581597</v>
      </c>
      <c r="T3002" s="40">
        <v>30000</v>
      </c>
      <c r="U3002" s="55">
        <v>37760.440424695204</v>
      </c>
      <c r="V3002" s="55">
        <v>0</v>
      </c>
      <c r="W3002" s="45">
        <f t="shared" si="159"/>
        <v>133817.37404640188</v>
      </c>
      <c r="X3002" s="46">
        <f t="shared" si="160"/>
        <v>5.4448265672909173</v>
      </c>
    </row>
    <row r="3003" spans="1:24" s="4" customFormat="1" ht="15" customHeight="1">
      <c r="A3003" s="79" t="s">
        <v>3955</v>
      </c>
      <c r="B3003" s="80">
        <v>3394.61</v>
      </c>
      <c r="C3003" s="81" t="s">
        <v>4319</v>
      </c>
      <c r="D3003" s="82">
        <v>4952244845</v>
      </c>
      <c r="E3003" s="82" t="s">
        <v>14</v>
      </c>
      <c r="F3003" s="82" t="s">
        <v>4320</v>
      </c>
      <c r="G3003" s="79" t="s">
        <v>5</v>
      </c>
      <c r="H3003" s="2" t="s">
        <v>17</v>
      </c>
      <c r="I3003" s="2">
        <v>1</v>
      </c>
      <c r="J3003" s="2" t="s">
        <v>4321</v>
      </c>
      <c r="K3003" s="2">
        <v>2696.75</v>
      </c>
      <c r="L3003" s="35">
        <f t="shared" si="158"/>
        <v>9154414.5175000001</v>
      </c>
      <c r="M3003" s="36">
        <v>175</v>
      </c>
      <c r="N3003" s="40">
        <v>4863.1557215886796</v>
      </c>
      <c r="O3003" s="40">
        <v>45520.5</v>
      </c>
      <c r="P3003" s="40">
        <v>6751.68305151396</v>
      </c>
      <c r="Q3003" s="40">
        <v>9930.9</v>
      </c>
      <c r="R3003" s="40">
        <v>6707.6681085332302</v>
      </c>
      <c r="S3003" s="40">
        <v>4877.0979158474202</v>
      </c>
      <c r="T3003" s="40">
        <v>30000</v>
      </c>
      <c r="U3003" s="55">
        <v>82600.963429020805</v>
      </c>
      <c r="V3003" s="55">
        <v>0</v>
      </c>
      <c r="W3003" s="45">
        <f t="shared" si="159"/>
        <v>191251.9682265041</v>
      </c>
      <c r="X3003" s="46">
        <f t="shared" si="160"/>
        <v>2.089177498581674</v>
      </c>
    </row>
    <row r="3004" spans="1:24" s="4" customFormat="1" ht="15" customHeight="1">
      <c r="A3004" s="79" t="s">
        <v>3955</v>
      </c>
      <c r="B3004" s="80">
        <v>3394.61</v>
      </c>
      <c r="C3004" s="81" t="s">
        <v>4322</v>
      </c>
      <c r="D3004" s="82">
        <v>4952534326</v>
      </c>
      <c r="E3004" s="82" t="s">
        <v>21</v>
      </c>
      <c r="F3004" s="83" t="s">
        <v>4323</v>
      </c>
      <c r="G3004" s="79" t="s">
        <v>9</v>
      </c>
      <c r="H3004" s="2" t="s">
        <v>23</v>
      </c>
      <c r="I3004" s="2">
        <v>3</v>
      </c>
      <c r="J3004" s="2"/>
      <c r="K3004" s="2">
        <v>12266.4</v>
      </c>
      <c r="L3004" s="35">
        <f t="shared" si="158"/>
        <v>41639644.104000002</v>
      </c>
      <c r="M3004" s="36">
        <v>2280</v>
      </c>
      <c r="N3004" s="40">
        <v>845428</v>
      </c>
      <c r="O3004" s="40">
        <v>1580</v>
      </c>
      <c r="P3004" s="40">
        <v>0</v>
      </c>
      <c r="Q3004" s="40">
        <v>30611</v>
      </c>
      <c r="R3004" s="40">
        <v>36092</v>
      </c>
      <c r="S3004" s="40">
        <v>354356</v>
      </c>
      <c r="T3004" s="40"/>
      <c r="U3004" s="40">
        <v>252200</v>
      </c>
      <c r="V3004" s="40">
        <v>0</v>
      </c>
      <c r="W3004" s="45">
        <f t="shared" si="159"/>
        <v>1520267</v>
      </c>
      <c r="X3004" s="46">
        <f t="shared" si="160"/>
        <v>3.6510086306284246</v>
      </c>
    </row>
    <row r="3005" spans="1:24" s="4" customFormat="1" ht="15" customHeight="1">
      <c r="A3005" s="79" t="s">
        <v>3955</v>
      </c>
      <c r="B3005" s="80">
        <v>3394.61</v>
      </c>
      <c r="C3005" s="81" t="s">
        <v>4324</v>
      </c>
      <c r="D3005" s="82">
        <v>4953089723</v>
      </c>
      <c r="E3005" s="82" t="s">
        <v>14</v>
      </c>
      <c r="F3005" s="83" t="s">
        <v>4325</v>
      </c>
      <c r="G3005" s="79" t="s">
        <v>9</v>
      </c>
      <c r="H3005" s="2" t="s">
        <v>23</v>
      </c>
      <c r="I3005" s="2">
        <v>1</v>
      </c>
      <c r="J3005" s="2"/>
      <c r="K3005" s="2">
        <v>2400</v>
      </c>
      <c r="L3005" s="35">
        <f t="shared" si="158"/>
        <v>8147064</v>
      </c>
      <c r="M3005" s="36">
        <v>800</v>
      </c>
      <c r="N3005" s="40">
        <v>507269</v>
      </c>
      <c r="O3005" s="40">
        <v>549</v>
      </c>
      <c r="P3005" s="40">
        <v>0</v>
      </c>
      <c r="Q3005" s="40">
        <v>10740</v>
      </c>
      <c r="R3005" s="40">
        <v>99807</v>
      </c>
      <c r="S3005" s="40">
        <v>354356</v>
      </c>
      <c r="T3005" s="40">
        <v>30000</v>
      </c>
      <c r="U3005" s="40">
        <v>667170.73170731706</v>
      </c>
      <c r="V3005" s="40">
        <v>0</v>
      </c>
      <c r="W3005" s="45">
        <f t="shared" si="159"/>
        <v>1669891.7317073171</v>
      </c>
      <c r="X3005" s="46">
        <f t="shared" si="160"/>
        <v>20.496852997685018</v>
      </c>
    </row>
    <row r="3006" spans="1:24" s="4" customFormat="1" ht="15" customHeight="1">
      <c r="A3006" s="79" t="s">
        <v>3955</v>
      </c>
      <c r="B3006" s="80">
        <v>3394.61</v>
      </c>
      <c r="C3006" s="81" t="s">
        <v>4326</v>
      </c>
      <c r="D3006" s="82">
        <v>4952701172</v>
      </c>
      <c r="E3006" s="82" t="s">
        <v>14</v>
      </c>
      <c r="F3006" s="82" t="s">
        <v>4327</v>
      </c>
      <c r="G3006" s="79" t="s">
        <v>5</v>
      </c>
      <c r="H3006" s="2" t="s">
        <v>35</v>
      </c>
      <c r="I3006" s="2">
        <v>1</v>
      </c>
      <c r="J3006" s="2" t="s">
        <v>4328</v>
      </c>
      <c r="K3006" s="2">
        <v>5755.2</v>
      </c>
      <c r="L3006" s="35">
        <f t="shared" si="158"/>
        <v>19536659.471999999</v>
      </c>
      <c r="M3006" s="36">
        <v>1760</v>
      </c>
      <c r="N3006" s="40">
        <v>79731.614730878195</v>
      </c>
      <c r="O3006" s="40">
        <v>75867.5</v>
      </c>
      <c r="P3006" s="40">
        <v>0</v>
      </c>
      <c r="Q3006" s="40">
        <v>16551.5</v>
      </c>
      <c r="R3006" s="40">
        <v>90019.138810198303</v>
      </c>
      <c r="S3006" s="40">
        <v>44169.019830028301</v>
      </c>
      <c r="T3006" s="40">
        <v>30000</v>
      </c>
      <c r="U3006" s="55">
        <v>733541.07648725202</v>
      </c>
      <c r="V3006" s="55">
        <v>0</v>
      </c>
      <c r="W3006" s="45">
        <f t="shared" si="159"/>
        <v>1069879.8498583569</v>
      </c>
      <c r="X3006" s="46">
        <f t="shared" si="160"/>
        <v>5.4762680968653417</v>
      </c>
    </row>
    <row r="3007" spans="1:24" s="4" customFormat="1" ht="15" customHeight="1">
      <c r="A3007" s="79" t="s">
        <v>3955</v>
      </c>
      <c r="B3007" s="80">
        <v>3394.61</v>
      </c>
      <c r="C3007" s="81" t="s">
        <v>4326</v>
      </c>
      <c r="D3007" s="82">
        <v>4952701172</v>
      </c>
      <c r="E3007" s="82" t="s">
        <v>14</v>
      </c>
      <c r="F3007" s="82" t="s">
        <v>4327</v>
      </c>
      <c r="G3007" s="79" t="s">
        <v>5</v>
      </c>
      <c r="H3007" s="2" t="s">
        <v>35</v>
      </c>
      <c r="I3007" s="2">
        <v>1</v>
      </c>
      <c r="J3007" s="2" t="s">
        <v>4328</v>
      </c>
      <c r="K3007" s="2">
        <v>2107.4</v>
      </c>
      <c r="L3007" s="35">
        <f t="shared" si="158"/>
        <v>7153801.114000001</v>
      </c>
      <c r="M3007" s="36">
        <v>820</v>
      </c>
      <c r="N3007" s="40">
        <v>37147.684135977303</v>
      </c>
      <c r="O3007" s="40">
        <v>75867.5</v>
      </c>
      <c r="P3007" s="40">
        <v>0</v>
      </c>
      <c r="Q3007" s="40">
        <v>16551.5</v>
      </c>
      <c r="R3007" s="40">
        <v>41940.735127478802</v>
      </c>
      <c r="S3007" s="40">
        <v>20578.7478753541</v>
      </c>
      <c r="T3007" s="40">
        <v>30000</v>
      </c>
      <c r="U3007" s="55">
        <v>341763.45609065198</v>
      </c>
      <c r="V3007" s="55">
        <v>0</v>
      </c>
      <c r="W3007" s="45">
        <f t="shared" si="159"/>
        <v>563849.62322946219</v>
      </c>
      <c r="X3007" s="46">
        <f t="shared" si="160"/>
        <v>7.8818185499455327</v>
      </c>
    </row>
    <row r="3008" spans="1:24" s="4" customFormat="1" ht="15" customHeight="1">
      <c r="A3008" s="79" t="s">
        <v>3955</v>
      </c>
      <c r="B3008" s="80">
        <v>3394.61</v>
      </c>
      <c r="C3008" s="81" t="s">
        <v>4326</v>
      </c>
      <c r="D3008" s="82">
        <v>4952577862</v>
      </c>
      <c r="E3008" s="82" t="s">
        <v>14</v>
      </c>
      <c r="F3008" s="82" t="s">
        <v>4327</v>
      </c>
      <c r="G3008" s="79" t="s">
        <v>5</v>
      </c>
      <c r="H3008" s="2" t="s">
        <v>35</v>
      </c>
      <c r="I3008" s="2">
        <v>1</v>
      </c>
      <c r="J3008" s="2" t="s">
        <v>4328</v>
      </c>
      <c r="K3008" s="2">
        <v>7155</v>
      </c>
      <c r="L3008" s="35">
        <f t="shared" si="158"/>
        <v>24288434.550000001</v>
      </c>
      <c r="M3008" s="36">
        <v>250</v>
      </c>
      <c r="N3008" s="40">
        <v>11325.513456090701</v>
      </c>
      <c r="O3008" s="40">
        <v>75867.5</v>
      </c>
      <c r="P3008" s="40">
        <v>0</v>
      </c>
      <c r="Q3008" s="40">
        <v>16551.5</v>
      </c>
      <c r="R3008" s="40">
        <v>12786.809490084999</v>
      </c>
      <c r="S3008" s="40">
        <v>6274.0084985835701</v>
      </c>
      <c r="T3008" s="40">
        <v>30000</v>
      </c>
      <c r="U3008" s="55">
        <v>104196.175637394</v>
      </c>
      <c r="V3008" s="55">
        <v>0</v>
      </c>
      <c r="W3008" s="45">
        <f t="shared" si="159"/>
        <v>257001.50708215329</v>
      </c>
      <c r="X3008" s="46">
        <f t="shared" si="160"/>
        <v>1.0581229784615875</v>
      </c>
    </row>
    <row r="3009" spans="1:24" s="4" customFormat="1" ht="15" customHeight="1">
      <c r="A3009" s="79" t="s">
        <v>3955</v>
      </c>
      <c r="B3009" s="80">
        <v>3394.61</v>
      </c>
      <c r="C3009" s="81" t="s">
        <v>4326</v>
      </c>
      <c r="D3009" s="82">
        <v>4952889968</v>
      </c>
      <c r="E3009" s="82" t="s">
        <v>14</v>
      </c>
      <c r="F3009" s="82" t="s">
        <v>4327</v>
      </c>
      <c r="G3009" s="79" t="s">
        <v>5</v>
      </c>
      <c r="H3009" s="2" t="s">
        <v>35</v>
      </c>
      <c r="I3009" s="2">
        <v>1</v>
      </c>
      <c r="J3009" s="2" t="s">
        <v>4328</v>
      </c>
      <c r="K3009" s="2">
        <v>1195.0999999999999</v>
      </c>
      <c r="L3009" s="35">
        <f t="shared" si="158"/>
        <v>4056898.4109999998</v>
      </c>
      <c r="M3009" s="36">
        <v>170</v>
      </c>
      <c r="N3009" s="40">
        <v>7701.3491501416402</v>
      </c>
      <c r="O3009" s="40">
        <v>75867.5</v>
      </c>
      <c r="P3009" s="40">
        <v>0</v>
      </c>
      <c r="Q3009" s="40">
        <v>16551.5</v>
      </c>
      <c r="R3009" s="40">
        <v>8695.0304532577902</v>
      </c>
      <c r="S3009" s="40">
        <v>4266.3257790368298</v>
      </c>
      <c r="T3009" s="40">
        <v>30000</v>
      </c>
      <c r="U3009" s="55">
        <v>70853.399433427796</v>
      </c>
      <c r="V3009" s="55">
        <v>0</v>
      </c>
      <c r="W3009" s="45">
        <f t="shared" si="159"/>
        <v>213935.10481586406</v>
      </c>
      <c r="X3009" s="46">
        <f t="shared" si="160"/>
        <v>5.273366082714662</v>
      </c>
    </row>
    <row r="3010" spans="1:24" s="4" customFormat="1" ht="15" customHeight="1">
      <c r="A3010" s="79" t="s">
        <v>3955</v>
      </c>
      <c r="B3010" s="80">
        <v>3394.61</v>
      </c>
      <c r="C3010" s="81" t="s">
        <v>4326</v>
      </c>
      <c r="D3010" s="82">
        <v>4952351981</v>
      </c>
      <c r="E3010" s="82" t="s">
        <v>14</v>
      </c>
      <c r="F3010" s="82" t="s">
        <v>4327</v>
      </c>
      <c r="G3010" s="79" t="s">
        <v>5</v>
      </c>
      <c r="H3010" s="2" t="s">
        <v>35</v>
      </c>
      <c r="I3010" s="2">
        <v>1</v>
      </c>
      <c r="J3010" s="2" t="s">
        <v>4328</v>
      </c>
      <c r="K3010" s="2">
        <v>18972.8</v>
      </c>
      <c r="L3010" s="35">
        <f t="shared" si="158"/>
        <v>64405256.608000003</v>
      </c>
      <c r="M3010" s="36">
        <v>9680</v>
      </c>
      <c r="N3010" s="40">
        <v>438523.88101983001</v>
      </c>
      <c r="O3010" s="40">
        <v>75867.5</v>
      </c>
      <c r="P3010" s="40">
        <v>0</v>
      </c>
      <c r="Q3010" s="40">
        <v>16551.5</v>
      </c>
      <c r="R3010" s="40">
        <v>495105.26345609099</v>
      </c>
      <c r="S3010" s="40">
        <v>242929.60906515599</v>
      </c>
      <c r="T3010" s="40">
        <v>30000</v>
      </c>
      <c r="U3010" s="55">
        <v>4034475.9206798901</v>
      </c>
      <c r="V3010" s="55">
        <v>0</v>
      </c>
      <c r="W3010" s="45">
        <f t="shared" si="159"/>
        <v>5333453.6742209671</v>
      </c>
      <c r="X3010" s="46">
        <f t="shared" si="160"/>
        <v>8.2810844255816232</v>
      </c>
    </row>
    <row r="3011" spans="1:24" s="4" customFormat="1" ht="15" customHeight="1">
      <c r="A3011" s="79" t="s">
        <v>3955</v>
      </c>
      <c r="B3011" s="80">
        <v>3394.61</v>
      </c>
      <c r="C3011" s="81" t="s">
        <v>4326</v>
      </c>
      <c r="D3011" s="82">
        <v>4952577855</v>
      </c>
      <c r="E3011" s="82" t="s">
        <v>14</v>
      </c>
      <c r="F3011" s="82" t="s">
        <v>4327</v>
      </c>
      <c r="G3011" s="79" t="s">
        <v>5</v>
      </c>
      <c r="H3011" s="2" t="s">
        <v>35</v>
      </c>
      <c r="I3011" s="2">
        <v>1</v>
      </c>
      <c r="J3011" s="2" t="s">
        <v>4328</v>
      </c>
      <c r="K3011" s="2">
        <v>6494.4</v>
      </c>
      <c r="L3011" s="35">
        <f t="shared" si="158"/>
        <v>22045955.184</v>
      </c>
      <c r="M3011" s="36">
        <v>1440</v>
      </c>
      <c r="N3011" s="40">
        <v>65234.957507082203</v>
      </c>
      <c r="O3011" s="40">
        <v>75867.5</v>
      </c>
      <c r="P3011" s="40">
        <v>0</v>
      </c>
      <c r="Q3011" s="40">
        <v>16551.5</v>
      </c>
      <c r="R3011" s="40">
        <v>73652.022662889503</v>
      </c>
      <c r="S3011" s="40">
        <v>36138.288951841401</v>
      </c>
      <c r="T3011" s="40">
        <v>30000</v>
      </c>
      <c r="U3011" s="55">
        <v>600169.97167138802</v>
      </c>
      <c r="V3011" s="55">
        <v>0</v>
      </c>
      <c r="W3011" s="45">
        <f t="shared" si="159"/>
        <v>897614.24079320114</v>
      </c>
      <c r="X3011" s="46">
        <f t="shared" si="160"/>
        <v>4.0715597636914858</v>
      </c>
    </row>
    <row r="3012" spans="1:24" s="4" customFormat="1" ht="15" customHeight="1">
      <c r="A3012" s="79" t="s">
        <v>3955</v>
      </c>
      <c r="B3012" s="80">
        <v>3394.61</v>
      </c>
      <c r="C3012" s="81" t="s">
        <v>4329</v>
      </c>
      <c r="D3012" s="82">
        <v>4950218295</v>
      </c>
      <c r="E3012" s="82" t="s">
        <v>6</v>
      </c>
      <c r="F3012" s="82" t="s">
        <v>4330</v>
      </c>
      <c r="G3012" s="79" t="s">
        <v>5</v>
      </c>
      <c r="H3012" s="2" t="s">
        <v>17</v>
      </c>
      <c r="I3012" s="2">
        <v>1</v>
      </c>
      <c r="J3012" s="2" t="s">
        <v>4331</v>
      </c>
      <c r="K3012" s="2">
        <v>85320</v>
      </c>
      <c r="L3012" s="35">
        <f t="shared" si="158"/>
        <v>289628125.19999999</v>
      </c>
      <c r="M3012" s="36">
        <v>7200</v>
      </c>
      <c r="N3012" s="40">
        <v>343604</v>
      </c>
      <c r="O3012" s="40">
        <v>567305</v>
      </c>
      <c r="P3012" s="40">
        <v>0</v>
      </c>
      <c r="Q3012" s="40">
        <v>124137</v>
      </c>
      <c r="R3012" s="40">
        <v>685930</v>
      </c>
      <c r="S3012" s="40">
        <v>354356</v>
      </c>
      <c r="T3012" s="40">
        <v>30000</v>
      </c>
      <c r="U3012" s="40">
        <v>4719050</v>
      </c>
      <c r="V3012" s="40">
        <v>0</v>
      </c>
      <c r="W3012" s="45">
        <f t="shared" si="159"/>
        <v>6824382</v>
      </c>
      <c r="X3012" s="46">
        <f t="shared" si="160"/>
        <v>2.3562566637088462</v>
      </c>
    </row>
    <row r="3013" spans="1:24" s="4" customFormat="1" ht="15" customHeight="1">
      <c r="A3013" s="79" t="s">
        <v>3955</v>
      </c>
      <c r="B3013" s="80">
        <v>3394.61</v>
      </c>
      <c r="C3013" s="81" t="s">
        <v>4332</v>
      </c>
      <c r="D3013" s="82">
        <v>4952809800</v>
      </c>
      <c r="E3013" s="82" t="s">
        <v>18</v>
      </c>
      <c r="F3013" s="82" t="s">
        <v>4333</v>
      </c>
      <c r="G3013" s="79" t="s">
        <v>5</v>
      </c>
      <c r="H3013" s="2" t="s">
        <v>32</v>
      </c>
      <c r="I3013" s="2">
        <v>1</v>
      </c>
      <c r="J3013" s="2" t="s">
        <v>4334</v>
      </c>
      <c r="K3013" s="2">
        <v>3139.2</v>
      </c>
      <c r="L3013" s="35">
        <f t="shared" si="158"/>
        <v>10656359.711999999</v>
      </c>
      <c r="M3013" s="36">
        <v>480</v>
      </c>
      <c r="N3013" s="62">
        <v>44092.825737265397</v>
      </c>
      <c r="O3013" s="40">
        <v>115662</v>
      </c>
      <c r="P3013" s="40">
        <v>14403.603217158199</v>
      </c>
      <c r="Q3013" s="40">
        <v>33103</v>
      </c>
      <c r="R3013" s="62">
        <v>57881.823056300302</v>
      </c>
      <c r="S3013" s="62">
        <v>45600.7721179625</v>
      </c>
      <c r="T3013" s="40">
        <v>30000</v>
      </c>
      <c r="U3013" s="55">
        <v>339152.81501340499</v>
      </c>
      <c r="V3013" s="55">
        <v>0</v>
      </c>
      <c r="W3013" s="45">
        <f t="shared" si="159"/>
        <v>679896.83914209134</v>
      </c>
      <c r="X3013" s="46">
        <f t="shared" si="160"/>
        <v>6.3801979054485898</v>
      </c>
    </row>
    <row r="3014" spans="1:24" s="4" customFormat="1" ht="15" customHeight="1">
      <c r="A3014" s="79" t="s">
        <v>3955</v>
      </c>
      <c r="B3014" s="80">
        <v>3394.61</v>
      </c>
      <c r="C3014" s="81" t="s">
        <v>4332</v>
      </c>
      <c r="D3014" s="82">
        <v>4952814106</v>
      </c>
      <c r="E3014" s="82" t="s">
        <v>18</v>
      </c>
      <c r="F3014" s="83" t="s">
        <v>4333</v>
      </c>
      <c r="G3014" s="79" t="s">
        <v>5</v>
      </c>
      <c r="H3014" s="2" t="s">
        <v>32</v>
      </c>
      <c r="I3014" s="2">
        <v>1</v>
      </c>
      <c r="J3014" s="2" t="s">
        <v>4334</v>
      </c>
      <c r="K3014" s="2">
        <v>7387.5</v>
      </c>
      <c r="L3014" s="35">
        <f t="shared" si="158"/>
        <v>25077681.375</v>
      </c>
      <c r="M3014" s="36">
        <v>1250</v>
      </c>
      <c r="N3014" s="62">
        <v>114825.06702412901</v>
      </c>
      <c r="O3014" s="40">
        <v>115662</v>
      </c>
      <c r="P3014" s="40">
        <v>37509.3833780161</v>
      </c>
      <c r="Q3014" s="40">
        <v>33103</v>
      </c>
      <c r="R3014" s="62">
        <v>150733.914209115</v>
      </c>
      <c r="S3014" s="62">
        <v>118752.01072386101</v>
      </c>
      <c r="T3014" s="40">
        <v>30000</v>
      </c>
      <c r="U3014" s="55">
        <v>883210.45576407504</v>
      </c>
      <c r="V3014" s="55">
        <v>0</v>
      </c>
      <c r="W3014" s="45">
        <f t="shared" si="159"/>
        <v>1483795.8310991963</v>
      </c>
      <c r="X3014" s="46">
        <f t="shared" si="160"/>
        <v>5.9167983232229586</v>
      </c>
    </row>
    <row r="3015" spans="1:24" s="4" customFormat="1" ht="15" customHeight="1">
      <c r="A3015" s="79" t="s">
        <v>3955</v>
      </c>
      <c r="B3015" s="80">
        <v>3394.61</v>
      </c>
      <c r="C3015" s="81" t="s">
        <v>4332</v>
      </c>
      <c r="D3015" s="82">
        <v>4952809790</v>
      </c>
      <c r="E3015" s="82" t="s">
        <v>18</v>
      </c>
      <c r="F3015" s="83" t="s">
        <v>4333</v>
      </c>
      <c r="G3015" s="79" t="s">
        <v>5</v>
      </c>
      <c r="H3015" s="2" t="s">
        <v>32</v>
      </c>
      <c r="I3015" s="2">
        <v>1</v>
      </c>
      <c r="J3015" s="2" t="s">
        <v>4334</v>
      </c>
      <c r="K3015" s="2">
        <v>13462</v>
      </c>
      <c r="L3015" s="35">
        <f t="shared" si="158"/>
        <v>45698239.82</v>
      </c>
      <c r="M3015" s="36">
        <v>2000</v>
      </c>
      <c r="N3015" s="62">
        <v>183720.107238606</v>
      </c>
      <c r="O3015" s="40">
        <v>115662</v>
      </c>
      <c r="P3015" s="40">
        <v>60015.013404825702</v>
      </c>
      <c r="Q3015" s="40">
        <v>33103</v>
      </c>
      <c r="R3015" s="62">
        <v>241174.26273458399</v>
      </c>
      <c r="S3015" s="62">
        <v>190003.21715817699</v>
      </c>
      <c r="T3015" s="40">
        <v>30000</v>
      </c>
      <c r="U3015" s="55">
        <v>1413136.72922252</v>
      </c>
      <c r="V3015" s="55">
        <v>0</v>
      </c>
      <c r="W3015" s="45">
        <f t="shared" si="159"/>
        <v>2266814.3297587126</v>
      </c>
      <c r="X3015" s="46">
        <f t="shared" si="160"/>
        <v>4.960397465389101</v>
      </c>
    </row>
    <row r="3016" spans="1:24" s="4" customFormat="1" ht="15" customHeight="1">
      <c r="A3016" s="79" t="s">
        <v>3955</v>
      </c>
      <c r="B3016" s="80">
        <v>3394.61</v>
      </c>
      <c r="C3016" s="81" t="s">
        <v>4335</v>
      </c>
      <c r="D3016" s="82">
        <v>4950041000</v>
      </c>
      <c r="E3016" s="82" t="s">
        <v>6</v>
      </c>
      <c r="F3016" s="83" t="s">
        <v>4336</v>
      </c>
      <c r="G3016" s="79" t="s">
        <v>9</v>
      </c>
      <c r="H3016" s="2" t="s">
        <v>23</v>
      </c>
      <c r="I3016" s="2">
        <v>3</v>
      </c>
      <c r="J3016" s="2"/>
      <c r="K3016" s="2">
        <v>67914</v>
      </c>
      <c r="L3016" s="35">
        <f t="shared" si="158"/>
        <v>230541543.54000002</v>
      </c>
      <c r="M3016" s="36">
        <v>2520</v>
      </c>
      <c r="N3016" s="40">
        <v>315841</v>
      </c>
      <c r="O3016" s="40">
        <v>1717</v>
      </c>
      <c r="P3016" s="40">
        <v>42747</v>
      </c>
      <c r="Q3016" s="40">
        <v>33833</v>
      </c>
      <c r="R3016" s="40">
        <v>315841</v>
      </c>
      <c r="S3016" s="40">
        <v>354356</v>
      </c>
      <c r="T3016" s="40">
        <v>30000</v>
      </c>
      <c r="U3016" s="40">
        <v>252200</v>
      </c>
      <c r="V3016" s="40">
        <v>0</v>
      </c>
      <c r="W3016" s="45">
        <f t="shared" si="159"/>
        <v>1346535</v>
      </c>
      <c r="X3016" s="46">
        <f t="shared" si="160"/>
        <v>0.58407477425706134</v>
      </c>
    </row>
    <row r="3017" spans="1:24" s="4" customFormat="1" ht="15" customHeight="1">
      <c r="A3017" s="79" t="s">
        <v>3955</v>
      </c>
      <c r="B3017" s="80">
        <v>3394.61</v>
      </c>
      <c r="C3017" s="81" t="s">
        <v>4337</v>
      </c>
      <c r="D3017" s="82">
        <v>4952352313</v>
      </c>
      <c r="E3017" s="82" t="s">
        <v>14</v>
      </c>
      <c r="F3017" s="83" t="s">
        <v>4338</v>
      </c>
      <c r="G3017" s="79" t="s">
        <v>5</v>
      </c>
      <c r="H3017" s="2" t="s">
        <v>17</v>
      </c>
      <c r="I3017" s="2">
        <v>1</v>
      </c>
      <c r="J3017" s="2" t="s">
        <v>4339</v>
      </c>
      <c r="K3017" s="2">
        <v>39690</v>
      </c>
      <c r="L3017" s="35">
        <f t="shared" si="158"/>
        <v>134732070.90000001</v>
      </c>
      <c r="M3017" s="36">
        <v>7000</v>
      </c>
      <c r="N3017" s="40">
        <v>346229</v>
      </c>
      <c r="O3017" s="40">
        <v>455205</v>
      </c>
      <c r="P3017" s="40">
        <v>0</v>
      </c>
      <c r="Q3017" s="40">
        <v>99309</v>
      </c>
      <c r="R3017" s="40">
        <v>553385</v>
      </c>
      <c r="S3017" s="40">
        <v>354356</v>
      </c>
      <c r="T3017" s="40">
        <v>30000</v>
      </c>
      <c r="U3017" s="40">
        <v>5354400</v>
      </c>
      <c r="V3017" s="40">
        <v>0</v>
      </c>
      <c r="W3017" s="45">
        <f t="shared" si="159"/>
        <v>7192884</v>
      </c>
      <c r="X3017" s="46">
        <f t="shared" si="160"/>
        <v>5.3386576424989842</v>
      </c>
    </row>
    <row r="3018" spans="1:24" s="4" customFormat="1" ht="15" customHeight="1">
      <c r="A3018" s="79" t="s">
        <v>3955</v>
      </c>
      <c r="B3018" s="80">
        <v>3394.61</v>
      </c>
      <c r="C3018" s="81" t="s">
        <v>4340</v>
      </c>
      <c r="D3018" s="82">
        <v>4953101420</v>
      </c>
      <c r="E3018" s="82" t="s">
        <v>14</v>
      </c>
      <c r="F3018" s="82">
        <v>1028805186</v>
      </c>
      <c r="G3018" s="79" t="s">
        <v>13</v>
      </c>
      <c r="H3018" s="2" t="s">
        <v>23</v>
      </c>
      <c r="I3018" s="2">
        <v>1</v>
      </c>
      <c r="J3018" s="2"/>
      <c r="K3018" s="2">
        <v>2939</v>
      </c>
      <c r="L3018" s="35">
        <f t="shared" si="158"/>
        <v>9976758.790000001</v>
      </c>
      <c r="M3018" s="36">
        <v>50</v>
      </c>
      <c r="N3018" s="40">
        <v>165086</v>
      </c>
      <c r="O3018" s="40">
        <v>0</v>
      </c>
      <c r="P3018" s="40">
        <v>0</v>
      </c>
      <c r="Q3018" s="40">
        <v>0</v>
      </c>
      <c r="R3018" s="40">
        <v>660</v>
      </c>
      <c r="S3018" s="40">
        <v>354356</v>
      </c>
      <c r="T3018" s="40">
        <v>30000</v>
      </c>
      <c r="U3018" s="40">
        <v>47380.769230769198</v>
      </c>
      <c r="V3018" s="40">
        <v>0</v>
      </c>
      <c r="W3018" s="45">
        <f t="shared" si="159"/>
        <v>597482.76923076925</v>
      </c>
      <c r="X3018" s="46">
        <f t="shared" si="160"/>
        <v>5.9887462632618096</v>
      </c>
    </row>
    <row r="3019" spans="1:24" s="4" customFormat="1" ht="15" customHeight="1">
      <c r="A3019" s="79" t="s">
        <v>3955</v>
      </c>
      <c r="B3019" s="80">
        <v>3394.61</v>
      </c>
      <c r="C3019" s="81" t="s">
        <v>4341</v>
      </c>
      <c r="D3019" s="82">
        <v>4953101417</v>
      </c>
      <c r="E3019" s="82" t="s">
        <v>14</v>
      </c>
      <c r="F3019" s="83" t="s">
        <v>4342</v>
      </c>
      <c r="G3019" s="79" t="s">
        <v>13</v>
      </c>
      <c r="H3019" s="2" t="s">
        <v>23</v>
      </c>
      <c r="I3019" s="2">
        <v>1</v>
      </c>
      <c r="J3019" s="2"/>
      <c r="K3019" s="2">
        <v>3929.2</v>
      </c>
      <c r="L3019" s="35">
        <f t="shared" si="158"/>
        <v>13338101.612</v>
      </c>
      <c r="M3019" s="36">
        <v>40</v>
      </c>
      <c r="N3019" s="40">
        <v>159232</v>
      </c>
      <c r="O3019" s="40">
        <v>0</v>
      </c>
      <c r="P3019" s="40">
        <v>0</v>
      </c>
      <c r="Q3019" s="40">
        <v>0</v>
      </c>
      <c r="R3019" s="40">
        <v>636</v>
      </c>
      <c r="S3019" s="40">
        <v>354356</v>
      </c>
      <c r="T3019" s="40">
        <v>30000</v>
      </c>
      <c r="U3019" s="40">
        <v>37904.615384615397</v>
      </c>
      <c r="V3019" s="40">
        <v>0</v>
      </c>
      <c r="W3019" s="45">
        <f t="shared" si="159"/>
        <v>582128.61538461538</v>
      </c>
      <c r="X3019" s="46">
        <f t="shared" si="160"/>
        <v>4.3644038133649161</v>
      </c>
    </row>
    <row r="3020" spans="1:24" s="4" customFormat="1" ht="15" customHeight="1">
      <c r="A3020" s="79" t="s">
        <v>3955</v>
      </c>
      <c r="B3020" s="80">
        <v>3394.61</v>
      </c>
      <c r="C3020" s="81" t="s">
        <v>4343</v>
      </c>
      <c r="D3020" s="82">
        <v>4952973691</v>
      </c>
      <c r="E3020" s="82" t="s">
        <v>14</v>
      </c>
      <c r="F3020" s="82">
        <v>1028729946</v>
      </c>
      <c r="G3020" s="79" t="s">
        <v>13</v>
      </c>
      <c r="H3020" s="2" t="s">
        <v>23</v>
      </c>
      <c r="I3020" s="2">
        <v>1</v>
      </c>
      <c r="J3020" s="2"/>
      <c r="K3020" s="2">
        <v>2351.1999999999998</v>
      </c>
      <c r="L3020" s="35">
        <f t="shared" si="158"/>
        <v>7981407.0319999997</v>
      </c>
      <c r="M3020" s="36">
        <v>40</v>
      </c>
      <c r="N3020" s="62">
        <v>118574.66666666701</v>
      </c>
      <c r="O3020" s="40">
        <v>0</v>
      </c>
      <c r="P3020" s="40">
        <v>0</v>
      </c>
      <c r="Q3020" s="40">
        <v>0</v>
      </c>
      <c r="R3020" s="62">
        <v>474</v>
      </c>
      <c r="S3020" s="62">
        <v>236237.33333333299</v>
      </c>
      <c r="T3020" s="40">
        <v>30000</v>
      </c>
      <c r="U3020" s="55">
        <v>37904.615384615397</v>
      </c>
      <c r="V3020" s="55">
        <v>0</v>
      </c>
      <c r="W3020" s="45">
        <f t="shared" si="159"/>
        <v>423190.61538461538</v>
      </c>
      <c r="X3020" s="46">
        <f t="shared" si="160"/>
        <v>5.3022056598280169</v>
      </c>
    </row>
    <row r="3021" spans="1:24" s="4" customFormat="1" ht="15" customHeight="1">
      <c r="A3021" s="79" t="s">
        <v>3955</v>
      </c>
      <c r="B3021" s="80">
        <v>3394.61</v>
      </c>
      <c r="C3021" s="81" t="s">
        <v>4343</v>
      </c>
      <c r="D3021" s="82">
        <v>4953142742</v>
      </c>
      <c r="E3021" s="82" t="s">
        <v>14</v>
      </c>
      <c r="F3021" s="82">
        <v>1028729946</v>
      </c>
      <c r="G3021" s="79" t="s">
        <v>13</v>
      </c>
      <c r="H3021" s="2" t="s">
        <v>23</v>
      </c>
      <c r="I3021" s="2">
        <v>1</v>
      </c>
      <c r="J3021" s="2"/>
      <c r="K3021" s="2">
        <v>2018.8</v>
      </c>
      <c r="L3021" s="35">
        <f t="shared" si="158"/>
        <v>6853038.6680000005</v>
      </c>
      <c r="M3021" s="36">
        <v>20</v>
      </c>
      <c r="N3021" s="62">
        <v>59287.333333333299</v>
      </c>
      <c r="O3021" s="40">
        <v>0</v>
      </c>
      <c r="P3021" s="40">
        <v>0</v>
      </c>
      <c r="Q3021" s="40">
        <v>0</v>
      </c>
      <c r="R3021" s="62">
        <v>237</v>
      </c>
      <c r="S3021" s="62">
        <v>118118.66666666701</v>
      </c>
      <c r="T3021" s="40">
        <v>30000</v>
      </c>
      <c r="U3021" s="55">
        <v>18952.307692307699</v>
      </c>
      <c r="V3021" s="55">
        <v>0</v>
      </c>
      <c r="W3021" s="45">
        <f t="shared" si="159"/>
        <v>226595.30769230798</v>
      </c>
      <c r="X3021" s="46">
        <f t="shared" si="160"/>
        <v>3.3064939316683852</v>
      </c>
    </row>
    <row r="3022" spans="1:24" s="4" customFormat="1" ht="15" customHeight="1">
      <c r="A3022" s="79" t="s">
        <v>3955</v>
      </c>
      <c r="B3022" s="80">
        <v>3394.61</v>
      </c>
      <c r="C3022" s="81" t="s">
        <v>4344</v>
      </c>
      <c r="D3022" s="82">
        <v>4952287288</v>
      </c>
      <c r="E3022" s="82" t="s">
        <v>14</v>
      </c>
      <c r="F3022" s="82">
        <v>1028805265</v>
      </c>
      <c r="G3022" s="79" t="s">
        <v>13</v>
      </c>
      <c r="H3022" s="2" t="s">
        <v>23</v>
      </c>
      <c r="I3022" s="2">
        <v>1</v>
      </c>
      <c r="J3022" s="2"/>
      <c r="K3022" s="2">
        <v>859.4</v>
      </c>
      <c r="L3022" s="35">
        <f t="shared" si="158"/>
        <v>2917327.8340000003</v>
      </c>
      <c r="M3022" s="36">
        <v>20</v>
      </c>
      <c r="N3022" s="40">
        <v>153137</v>
      </c>
      <c r="O3022" s="40">
        <v>0</v>
      </c>
      <c r="P3022" s="40">
        <v>0</v>
      </c>
      <c r="Q3022" s="40">
        <v>0</v>
      </c>
      <c r="R3022" s="40">
        <v>612</v>
      </c>
      <c r="S3022" s="40">
        <v>354356</v>
      </c>
      <c r="T3022" s="40">
        <v>30000</v>
      </c>
      <c r="U3022" s="40">
        <v>18952.307692307699</v>
      </c>
      <c r="V3022" s="40">
        <v>0</v>
      </c>
      <c r="W3022" s="45">
        <f t="shared" si="159"/>
        <v>557057.30769230775</v>
      </c>
      <c r="X3022" s="46">
        <f t="shared" si="160"/>
        <v>19.09477917428692</v>
      </c>
    </row>
    <row r="3023" spans="1:24" s="4" customFormat="1" ht="15" customHeight="1">
      <c r="A3023" s="79" t="s">
        <v>3955</v>
      </c>
      <c r="B3023" s="80">
        <v>3394.61</v>
      </c>
      <c r="C3023" s="81" t="s">
        <v>4345</v>
      </c>
      <c r="D3023" s="82">
        <v>4953236330</v>
      </c>
      <c r="E3023" s="82" t="s">
        <v>14</v>
      </c>
      <c r="F3023" s="82">
        <v>1028832673</v>
      </c>
      <c r="G3023" s="79" t="s">
        <v>13</v>
      </c>
      <c r="H3023" s="2" t="s">
        <v>23</v>
      </c>
      <c r="I3023" s="2">
        <v>1</v>
      </c>
      <c r="J3023" s="2"/>
      <c r="K3023" s="2">
        <v>1231.8</v>
      </c>
      <c r="L3023" s="35">
        <f t="shared" si="158"/>
        <v>4181480.5980000002</v>
      </c>
      <c r="M3023" s="36">
        <v>20</v>
      </c>
      <c r="N3023" s="62">
        <v>59798.153846153902</v>
      </c>
      <c r="O3023" s="40">
        <v>0</v>
      </c>
      <c r="P3023" s="40">
        <v>0</v>
      </c>
      <c r="Q3023" s="40">
        <v>0</v>
      </c>
      <c r="R3023" s="62">
        <v>239.07692307692301</v>
      </c>
      <c r="S3023" s="62">
        <v>109032.615384615</v>
      </c>
      <c r="T3023" s="40">
        <v>30000</v>
      </c>
      <c r="U3023" s="55">
        <v>18952.307692307699</v>
      </c>
      <c r="V3023" s="55">
        <v>0</v>
      </c>
      <c r="W3023" s="45">
        <f t="shared" si="159"/>
        <v>218022.15384615352</v>
      </c>
      <c r="X3023" s="46">
        <f t="shared" si="160"/>
        <v>5.2139941519861024</v>
      </c>
    </row>
    <row r="3024" spans="1:24" s="4" customFormat="1" ht="15" customHeight="1">
      <c r="A3024" s="79" t="s">
        <v>3955</v>
      </c>
      <c r="B3024" s="80">
        <v>3394.61</v>
      </c>
      <c r="C3024" s="81" t="s">
        <v>4345</v>
      </c>
      <c r="D3024" s="82">
        <v>4953236330</v>
      </c>
      <c r="E3024" s="82" t="s">
        <v>14</v>
      </c>
      <c r="F3024" s="82">
        <v>1028832673</v>
      </c>
      <c r="G3024" s="79" t="s">
        <v>13</v>
      </c>
      <c r="H3024" s="2" t="s">
        <v>23</v>
      </c>
      <c r="I3024" s="2">
        <v>1</v>
      </c>
      <c r="J3024" s="2"/>
      <c r="K3024" s="2">
        <v>902.75</v>
      </c>
      <c r="L3024" s="35">
        <f t="shared" si="158"/>
        <v>3064484.1775000002</v>
      </c>
      <c r="M3024" s="36">
        <v>5</v>
      </c>
      <c r="N3024" s="62">
        <v>14949.538461538499</v>
      </c>
      <c r="O3024" s="40">
        <v>0</v>
      </c>
      <c r="P3024" s="40">
        <v>0</v>
      </c>
      <c r="Q3024" s="40">
        <v>0</v>
      </c>
      <c r="R3024" s="62">
        <v>59.769230769230802</v>
      </c>
      <c r="S3024" s="62">
        <v>27258.1538461538</v>
      </c>
      <c r="T3024" s="40">
        <v>30000</v>
      </c>
      <c r="U3024" s="55">
        <v>4738.0769230769201</v>
      </c>
      <c r="V3024" s="55">
        <v>0</v>
      </c>
      <c r="W3024" s="45">
        <f t="shared" si="159"/>
        <v>77005.538461538454</v>
      </c>
      <c r="X3024" s="46">
        <f t="shared" si="160"/>
        <v>2.5128385072739849</v>
      </c>
    </row>
    <row r="3025" spans="1:24" s="4" customFormat="1" ht="15" customHeight="1">
      <c r="A3025" s="79" t="s">
        <v>3955</v>
      </c>
      <c r="B3025" s="80">
        <v>3394.61</v>
      </c>
      <c r="C3025" s="81" t="s">
        <v>4345</v>
      </c>
      <c r="D3025" s="82">
        <v>4953395776</v>
      </c>
      <c r="E3025" s="82" t="s">
        <v>14</v>
      </c>
      <c r="F3025" s="82">
        <v>1028832673</v>
      </c>
      <c r="G3025" s="79" t="s">
        <v>13</v>
      </c>
      <c r="H3025" s="2" t="s">
        <v>23</v>
      </c>
      <c r="I3025" s="2">
        <v>1</v>
      </c>
      <c r="J3025" s="2"/>
      <c r="K3025" s="2">
        <v>2068.4</v>
      </c>
      <c r="L3025" s="35">
        <f t="shared" si="158"/>
        <v>7021411.324000001</v>
      </c>
      <c r="M3025" s="36">
        <v>40</v>
      </c>
      <c r="N3025" s="62">
        <v>119596.30769230799</v>
      </c>
      <c r="O3025" s="40">
        <v>0</v>
      </c>
      <c r="P3025" s="40">
        <v>0</v>
      </c>
      <c r="Q3025" s="40">
        <v>0</v>
      </c>
      <c r="R3025" s="62">
        <v>478.15384615384602</v>
      </c>
      <c r="S3025" s="62">
        <v>218065.23076923101</v>
      </c>
      <c r="T3025" s="40">
        <v>30000</v>
      </c>
      <c r="U3025" s="55">
        <v>37904.615384615397</v>
      </c>
      <c r="V3025" s="55">
        <v>0</v>
      </c>
      <c r="W3025" s="45">
        <f t="shared" si="159"/>
        <v>406044.30769230821</v>
      </c>
      <c r="X3025" s="46">
        <f t="shared" si="160"/>
        <v>5.7829443249450652</v>
      </c>
    </row>
    <row r="3026" spans="1:24" s="4" customFormat="1" ht="15" customHeight="1">
      <c r="A3026" s="79" t="s">
        <v>3955</v>
      </c>
      <c r="B3026" s="80">
        <v>3394.61</v>
      </c>
      <c r="C3026" s="81" t="s">
        <v>4346</v>
      </c>
      <c r="D3026" s="82">
        <v>4953619601</v>
      </c>
      <c r="E3026" s="82" t="s">
        <v>14</v>
      </c>
      <c r="F3026" s="82" t="s">
        <v>4347</v>
      </c>
      <c r="G3026" s="79" t="s">
        <v>13</v>
      </c>
      <c r="H3026" s="2" t="s">
        <v>23</v>
      </c>
      <c r="I3026" s="2">
        <v>4</v>
      </c>
      <c r="J3026" s="2"/>
      <c r="K3026" s="2">
        <v>2486.4</v>
      </c>
      <c r="L3026" s="35">
        <f t="shared" si="158"/>
        <v>8440358.3040000014</v>
      </c>
      <c r="M3026" s="36">
        <v>840</v>
      </c>
      <c r="N3026" s="40">
        <v>707082</v>
      </c>
      <c r="O3026" s="40">
        <v>0</v>
      </c>
      <c r="P3026" s="40">
        <v>0</v>
      </c>
      <c r="Q3026" s="40">
        <v>0</v>
      </c>
      <c r="R3026" s="40">
        <v>2828</v>
      </c>
      <c r="S3026" s="40">
        <v>354356</v>
      </c>
      <c r="T3026" s="40">
        <v>30000</v>
      </c>
      <c r="U3026" s="40">
        <v>246680</v>
      </c>
      <c r="V3026" s="40">
        <v>0</v>
      </c>
      <c r="W3026" s="45">
        <f t="shared" si="159"/>
        <v>1340946</v>
      </c>
      <c r="X3026" s="46">
        <f t="shared" si="160"/>
        <v>15.887311316683173</v>
      </c>
    </row>
    <row r="3027" spans="1:24" s="4" customFormat="1" ht="15" customHeight="1">
      <c r="A3027" s="79" t="s">
        <v>3955</v>
      </c>
      <c r="B3027" s="80">
        <v>3394.61</v>
      </c>
      <c r="C3027" s="81" t="s">
        <v>4348</v>
      </c>
      <c r="D3027" s="82">
        <v>4953663236</v>
      </c>
      <c r="E3027" s="82" t="s">
        <v>14</v>
      </c>
      <c r="F3027" s="82" t="s">
        <v>4349</v>
      </c>
      <c r="G3027" s="79" t="s">
        <v>13</v>
      </c>
      <c r="H3027" s="2" t="s">
        <v>23</v>
      </c>
      <c r="I3027" s="2">
        <v>1</v>
      </c>
      <c r="J3027" s="2"/>
      <c r="K3027" s="2">
        <v>1966.6</v>
      </c>
      <c r="L3027" s="35">
        <f t="shared" si="158"/>
        <v>6675840.0259999996</v>
      </c>
      <c r="M3027" s="36">
        <v>10</v>
      </c>
      <c r="N3027" s="40">
        <v>55935</v>
      </c>
      <c r="O3027" s="40">
        <v>0</v>
      </c>
      <c r="P3027" s="40">
        <v>0</v>
      </c>
      <c r="Q3027" s="40">
        <v>0</v>
      </c>
      <c r="R3027" s="40">
        <v>223</v>
      </c>
      <c r="S3027" s="40">
        <v>354356</v>
      </c>
      <c r="T3027" s="40">
        <v>30000</v>
      </c>
      <c r="U3027" s="40">
        <v>35197.142857142899</v>
      </c>
      <c r="V3027" s="40">
        <v>0</v>
      </c>
      <c r="W3027" s="45">
        <f t="shared" si="159"/>
        <v>475711.1428571429</v>
      </c>
      <c r="X3027" s="46">
        <f t="shared" si="160"/>
        <v>7.1258619290519079</v>
      </c>
    </row>
    <row r="3028" spans="1:24" s="4" customFormat="1" ht="15" customHeight="1">
      <c r="A3028" s="79" t="s">
        <v>3955</v>
      </c>
      <c r="B3028" s="80">
        <v>3394.61</v>
      </c>
      <c r="C3028" s="81" t="s">
        <v>4350</v>
      </c>
      <c r="D3028" s="82">
        <v>4952889964</v>
      </c>
      <c r="E3028" s="82" t="s">
        <v>14</v>
      </c>
      <c r="F3028" s="82">
        <v>1028449929</v>
      </c>
      <c r="G3028" s="79" t="s">
        <v>13</v>
      </c>
      <c r="H3028" s="2" t="s">
        <v>23</v>
      </c>
      <c r="I3028" s="2">
        <v>5</v>
      </c>
      <c r="J3028" s="2"/>
      <c r="K3028" s="2">
        <v>2861</v>
      </c>
      <c r="L3028" s="35">
        <f t="shared" si="158"/>
        <v>9711979.2100000009</v>
      </c>
      <c r="M3028" s="36">
        <v>25</v>
      </c>
      <c r="N3028" s="40">
        <v>548177</v>
      </c>
      <c r="O3028" s="40">
        <v>0</v>
      </c>
      <c r="P3028" s="40">
        <v>250000</v>
      </c>
      <c r="Q3028" s="40">
        <v>0</v>
      </c>
      <c r="R3028" s="40">
        <v>5173</v>
      </c>
      <c r="S3028" s="40">
        <v>354356</v>
      </c>
      <c r="T3028" s="40">
        <v>30000</v>
      </c>
      <c r="U3028" s="40">
        <v>246380</v>
      </c>
      <c r="V3028" s="40">
        <v>0</v>
      </c>
      <c r="W3028" s="45">
        <f t="shared" si="159"/>
        <v>1434086</v>
      </c>
      <c r="X3028" s="46">
        <f t="shared" si="160"/>
        <v>14.766155991390347</v>
      </c>
    </row>
    <row r="3029" spans="1:24" s="4" customFormat="1" ht="15" customHeight="1">
      <c r="A3029" s="79" t="s">
        <v>3955</v>
      </c>
      <c r="B3029" s="80">
        <v>3394.61</v>
      </c>
      <c r="C3029" s="81" t="s">
        <v>4351</v>
      </c>
      <c r="D3029" s="82">
        <v>4952845420</v>
      </c>
      <c r="E3029" s="82" t="s">
        <v>18</v>
      </c>
      <c r="F3029" s="82" t="s">
        <v>4352</v>
      </c>
      <c r="G3029" s="79" t="s">
        <v>5</v>
      </c>
      <c r="H3029" s="2" t="s">
        <v>17</v>
      </c>
      <c r="I3029" s="2">
        <v>1</v>
      </c>
      <c r="J3029" s="2" t="s">
        <v>4353</v>
      </c>
      <c r="K3029" s="2">
        <v>73600</v>
      </c>
      <c r="L3029" s="35">
        <f t="shared" si="158"/>
        <v>249843296</v>
      </c>
      <c r="M3029" s="36">
        <v>16000</v>
      </c>
      <c r="N3029" s="40">
        <v>401941</v>
      </c>
      <c r="O3029" s="40">
        <v>455205</v>
      </c>
      <c r="P3029" s="40">
        <v>0</v>
      </c>
      <c r="Q3029" s="40">
        <v>99309</v>
      </c>
      <c r="R3029" s="40">
        <v>551188</v>
      </c>
      <c r="S3029" s="40">
        <v>354356</v>
      </c>
      <c r="T3029" s="40">
        <v>30000</v>
      </c>
      <c r="U3029" s="40">
        <v>5446550</v>
      </c>
      <c r="V3029" s="40">
        <v>0</v>
      </c>
      <c r="W3029" s="45">
        <f t="shared" si="159"/>
        <v>7338549</v>
      </c>
      <c r="X3029" s="46">
        <f t="shared" si="160"/>
        <v>2.9372607220167315</v>
      </c>
    </row>
    <row r="3030" spans="1:24" s="4" customFormat="1" ht="15" customHeight="1">
      <c r="A3030" s="79" t="s">
        <v>3955</v>
      </c>
      <c r="B3030" s="80">
        <v>3394.61</v>
      </c>
      <c r="C3030" s="81" t="s">
        <v>4354</v>
      </c>
      <c r="D3030" s="82" t="s">
        <v>4355</v>
      </c>
      <c r="E3030" s="82" t="s">
        <v>6</v>
      </c>
      <c r="F3030" s="82" t="s">
        <v>4356</v>
      </c>
      <c r="G3030" s="79" t="s">
        <v>5</v>
      </c>
      <c r="H3030" s="2" t="s">
        <v>17</v>
      </c>
      <c r="I3030" s="2">
        <v>1</v>
      </c>
      <c r="J3030" s="2" t="s">
        <v>4357</v>
      </c>
      <c r="K3030" s="2">
        <v>85320</v>
      </c>
      <c r="L3030" s="35">
        <f t="shared" si="158"/>
        <v>289628125.19999999</v>
      </c>
      <c r="M3030" s="36">
        <v>7200</v>
      </c>
      <c r="N3030" s="40">
        <v>399980</v>
      </c>
      <c r="O3030" s="40">
        <v>567305</v>
      </c>
      <c r="P3030" s="40">
        <v>0</v>
      </c>
      <c r="Q3030" s="40">
        <v>124137</v>
      </c>
      <c r="R3030" s="40">
        <v>686156</v>
      </c>
      <c r="S3030" s="40">
        <v>354356</v>
      </c>
      <c r="T3030" s="40">
        <v>30000</v>
      </c>
      <c r="U3030" s="40">
        <v>4719050</v>
      </c>
      <c r="V3030" s="40">
        <v>0</v>
      </c>
      <c r="W3030" s="45">
        <f t="shared" si="159"/>
        <v>6880984</v>
      </c>
      <c r="X3030" s="46">
        <f t="shared" si="160"/>
        <v>2.3757996552470173</v>
      </c>
    </row>
    <row r="3031" spans="1:24" s="4" customFormat="1" ht="15" customHeight="1">
      <c r="A3031" s="79" t="s">
        <v>3955</v>
      </c>
      <c r="B3031" s="80">
        <v>3394.61</v>
      </c>
      <c r="C3031" s="81" t="s">
        <v>4358</v>
      </c>
      <c r="D3031" s="82">
        <v>4952899038</v>
      </c>
      <c r="E3031" s="82" t="s">
        <v>14</v>
      </c>
      <c r="F3031" s="82" t="s">
        <v>4359</v>
      </c>
      <c r="G3031" s="79" t="s">
        <v>5</v>
      </c>
      <c r="H3031" s="2" t="s">
        <v>20</v>
      </c>
      <c r="I3031" s="2">
        <v>1</v>
      </c>
      <c r="J3031" s="2" t="s">
        <v>4360</v>
      </c>
      <c r="K3031" s="2">
        <v>7917.75</v>
      </c>
      <c r="L3031" s="35">
        <f t="shared" si="158"/>
        <v>26877673.327500001</v>
      </c>
      <c r="M3031" s="36">
        <v>150</v>
      </c>
      <c r="N3031" s="62">
        <v>21051.578947368402</v>
      </c>
      <c r="O3031" s="40">
        <v>173493</v>
      </c>
      <c r="P3031" s="40">
        <v>0</v>
      </c>
      <c r="Q3031" s="40">
        <v>49654.5</v>
      </c>
      <c r="R3031" s="62">
        <v>23733.789473684199</v>
      </c>
      <c r="S3031" s="62">
        <v>18650.315789473701</v>
      </c>
      <c r="T3031" s="40">
        <v>30000</v>
      </c>
      <c r="U3031" s="55">
        <v>7254.8476454293605</v>
      </c>
      <c r="V3031" s="55">
        <v>70263.157894736796</v>
      </c>
      <c r="W3031" s="45">
        <f t="shared" si="159"/>
        <v>394101.18975069246</v>
      </c>
      <c r="X3031" s="46">
        <f t="shared" si="160"/>
        <v>1.4662771771523329</v>
      </c>
    </row>
    <row r="3032" spans="1:24" s="4" customFormat="1" ht="15" customHeight="1">
      <c r="A3032" s="79" t="s">
        <v>3955</v>
      </c>
      <c r="B3032" s="80">
        <v>3394.61</v>
      </c>
      <c r="C3032" s="81" t="s">
        <v>4358</v>
      </c>
      <c r="D3032" s="82">
        <v>4952899040</v>
      </c>
      <c r="E3032" s="82" t="s">
        <v>14</v>
      </c>
      <c r="F3032" s="82" t="s">
        <v>4359</v>
      </c>
      <c r="G3032" s="79" t="s">
        <v>5</v>
      </c>
      <c r="H3032" s="2" t="s">
        <v>20</v>
      </c>
      <c r="I3032" s="2">
        <v>1</v>
      </c>
      <c r="J3032" s="2" t="s">
        <v>4360</v>
      </c>
      <c r="K3032" s="2">
        <v>119205</v>
      </c>
      <c r="L3032" s="35">
        <f t="shared" si="158"/>
        <v>404654485.05000001</v>
      </c>
      <c r="M3032" s="36">
        <f>175+1100+975+450</f>
        <v>2700</v>
      </c>
      <c r="N3032" s="62">
        <v>378928.42105263198</v>
      </c>
      <c r="O3032" s="40">
        <v>173493</v>
      </c>
      <c r="P3032" s="40">
        <v>0</v>
      </c>
      <c r="Q3032" s="40">
        <v>49654.5</v>
      </c>
      <c r="R3032" s="62">
        <v>427208.21052631602</v>
      </c>
      <c r="S3032" s="62">
        <v>335705.684210526</v>
      </c>
      <c r="T3032" s="40">
        <v>30000</v>
      </c>
      <c r="U3032" s="55">
        <v>130587.257617729</v>
      </c>
      <c r="V3032" s="55">
        <v>1264736.8421052599</v>
      </c>
      <c r="W3032" s="45">
        <f t="shared" si="159"/>
        <v>2790313.9155124631</v>
      </c>
      <c r="X3032" s="46">
        <f t="shared" si="160"/>
        <v>0.68955467407402782</v>
      </c>
    </row>
    <row r="3033" spans="1:24" s="4" customFormat="1" ht="15" customHeight="1">
      <c r="A3033" s="79" t="s">
        <v>3955</v>
      </c>
      <c r="B3033" s="80">
        <v>3394.61</v>
      </c>
      <c r="C3033" s="81" t="s">
        <v>4361</v>
      </c>
      <c r="D3033" s="82">
        <v>4952703267</v>
      </c>
      <c r="E3033" s="82" t="s">
        <v>14</v>
      </c>
      <c r="F3033" s="82" t="s">
        <v>4362</v>
      </c>
      <c r="G3033" s="79" t="s">
        <v>5</v>
      </c>
      <c r="H3033" s="2" t="s">
        <v>35</v>
      </c>
      <c r="I3033" s="2">
        <v>1</v>
      </c>
      <c r="J3033" s="2" t="s">
        <v>4363</v>
      </c>
      <c r="K3033" s="2">
        <v>9044</v>
      </c>
      <c r="L3033" s="35">
        <f t="shared" si="158"/>
        <v>30700852.84</v>
      </c>
      <c r="M3033" s="36">
        <v>1400</v>
      </c>
      <c r="N3033" s="62">
        <v>23252.2152205526</v>
      </c>
      <c r="O3033" s="40">
        <v>50578.333333333299</v>
      </c>
      <c r="P3033" s="40">
        <v>0</v>
      </c>
      <c r="Q3033" s="40">
        <v>11034.333333333299</v>
      </c>
      <c r="R3033" s="62">
        <v>31604.3044110519</v>
      </c>
      <c r="S3033" s="62">
        <v>24047.426078526401</v>
      </c>
      <c r="T3033" s="40">
        <v>30000</v>
      </c>
      <c r="U3033" s="55">
        <v>682423.65487154596</v>
      </c>
      <c r="V3033" s="55">
        <v>0</v>
      </c>
      <c r="W3033" s="45">
        <f t="shared" si="159"/>
        <v>852940.26724834344</v>
      </c>
      <c r="X3033" s="46">
        <f t="shared" si="160"/>
        <v>2.7782298807577472</v>
      </c>
    </row>
    <row r="3034" spans="1:24" s="4" customFormat="1" ht="15" customHeight="1">
      <c r="A3034" s="79" t="s">
        <v>3955</v>
      </c>
      <c r="B3034" s="80">
        <v>3394.61</v>
      </c>
      <c r="C3034" s="81" t="s">
        <v>4361</v>
      </c>
      <c r="D3034" s="82">
        <v>4952899041</v>
      </c>
      <c r="E3034" s="82" t="s">
        <v>14</v>
      </c>
      <c r="F3034" s="82" t="s">
        <v>4362</v>
      </c>
      <c r="G3034" s="79" t="s">
        <v>5</v>
      </c>
      <c r="H3034" s="2" t="s">
        <v>35</v>
      </c>
      <c r="I3034" s="2">
        <v>1</v>
      </c>
      <c r="J3034" s="2" t="s">
        <v>4363</v>
      </c>
      <c r="K3034" s="2">
        <v>2696.75</v>
      </c>
      <c r="L3034" s="35">
        <f t="shared" si="158"/>
        <v>9154414.5175000001</v>
      </c>
      <c r="M3034" s="36">
        <v>575</v>
      </c>
      <c r="N3034" s="62">
        <v>9550.0169655841</v>
      </c>
      <c r="O3034" s="40">
        <v>50578.333333333299</v>
      </c>
      <c r="P3034" s="40">
        <v>0</v>
      </c>
      <c r="Q3034" s="40">
        <v>11034.333333333299</v>
      </c>
      <c r="R3034" s="62">
        <v>12980.339311682001</v>
      </c>
      <c r="S3034" s="62">
        <v>9876.6214251090605</v>
      </c>
      <c r="T3034" s="40">
        <v>30000</v>
      </c>
      <c r="U3034" s="55">
        <v>280281.14396509901</v>
      </c>
      <c r="V3034" s="55">
        <v>0</v>
      </c>
      <c r="W3034" s="45">
        <f t="shared" si="159"/>
        <v>404300.78833414079</v>
      </c>
      <c r="X3034" s="46">
        <f t="shared" si="160"/>
        <v>4.4164570826595275</v>
      </c>
    </row>
    <row r="3035" spans="1:24" s="4" customFormat="1" ht="15" customHeight="1">
      <c r="A3035" s="79" t="s">
        <v>3955</v>
      </c>
      <c r="B3035" s="80">
        <v>3394.61</v>
      </c>
      <c r="C3035" s="81" t="s">
        <v>4361</v>
      </c>
      <c r="D3035" s="82">
        <v>4952973670</v>
      </c>
      <c r="E3035" s="82" t="s">
        <v>14</v>
      </c>
      <c r="F3035" s="82" t="s">
        <v>4362</v>
      </c>
      <c r="G3035" s="79" t="s">
        <v>5</v>
      </c>
      <c r="H3035" s="2" t="s">
        <v>35</v>
      </c>
      <c r="I3035" s="2">
        <v>1</v>
      </c>
      <c r="J3035" s="2" t="s">
        <v>4363</v>
      </c>
      <c r="K3035" s="2">
        <v>2135.37</v>
      </c>
      <c r="L3035" s="35">
        <f t="shared" si="158"/>
        <v>7248748.3557000002</v>
      </c>
      <c r="M3035" s="36">
        <v>4725</v>
      </c>
      <c r="N3035" s="62">
        <v>78476.226369365002</v>
      </c>
      <c r="O3035" s="40">
        <v>50578.333333333299</v>
      </c>
      <c r="P3035" s="40">
        <v>0</v>
      </c>
      <c r="Q3035" s="40">
        <v>11034.333333333299</v>
      </c>
      <c r="R3035" s="62">
        <v>106664.5273873</v>
      </c>
      <c r="S3035" s="62">
        <v>81160.063015026695</v>
      </c>
      <c r="T3035" s="40">
        <v>30000</v>
      </c>
      <c r="U3035" s="55">
        <v>2303179.8351914701</v>
      </c>
      <c r="V3035" s="55">
        <v>0</v>
      </c>
      <c r="W3035" s="45">
        <f t="shared" si="159"/>
        <v>2661093.3186298283</v>
      </c>
      <c r="X3035" s="46">
        <f t="shared" si="160"/>
        <v>36.711073250836428</v>
      </c>
    </row>
    <row r="3036" spans="1:24" s="4" customFormat="1" ht="15" customHeight="1">
      <c r="A3036" s="79" t="s">
        <v>3955</v>
      </c>
      <c r="B3036" s="80">
        <v>3394.61</v>
      </c>
      <c r="C3036" s="81" t="s">
        <v>4361</v>
      </c>
      <c r="D3036" s="82">
        <v>4952978702</v>
      </c>
      <c r="E3036" s="82" t="s">
        <v>14</v>
      </c>
      <c r="F3036" s="82" t="s">
        <v>4362</v>
      </c>
      <c r="G3036" s="79" t="s">
        <v>5</v>
      </c>
      <c r="H3036" s="2" t="s">
        <v>35</v>
      </c>
      <c r="I3036" s="2">
        <v>1</v>
      </c>
      <c r="J3036" s="2" t="s">
        <v>4363</v>
      </c>
      <c r="K3036" s="2">
        <v>1915.8</v>
      </c>
      <c r="L3036" s="35">
        <f t="shared" si="158"/>
        <v>6503393.8380000005</v>
      </c>
      <c r="M3036" s="36">
        <v>310</v>
      </c>
      <c r="N3036" s="62">
        <v>5148.7047988366503</v>
      </c>
      <c r="O3036" s="40">
        <v>50578.333333333299</v>
      </c>
      <c r="P3036" s="40">
        <v>0</v>
      </c>
      <c r="Q3036" s="40">
        <v>11034.333333333299</v>
      </c>
      <c r="R3036" s="62">
        <v>6998.0959767329095</v>
      </c>
      <c r="S3036" s="62">
        <v>5324.7872031022798</v>
      </c>
      <c r="T3036" s="40">
        <v>30000</v>
      </c>
      <c r="U3036" s="55">
        <v>151108.09500727101</v>
      </c>
      <c r="V3036" s="55">
        <v>0</v>
      </c>
      <c r="W3036" s="45">
        <f t="shared" si="159"/>
        <v>260192.34965260944</v>
      </c>
      <c r="X3036" s="46">
        <f t="shared" si="160"/>
        <v>4.0008702553469648</v>
      </c>
    </row>
    <row r="3037" spans="1:24" s="4" customFormat="1" ht="15" customHeight="1">
      <c r="A3037" s="79" t="s">
        <v>3955</v>
      </c>
      <c r="B3037" s="80">
        <v>3394.61</v>
      </c>
      <c r="C3037" s="81" t="s">
        <v>4361</v>
      </c>
      <c r="D3037" s="82">
        <v>4953003879</v>
      </c>
      <c r="E3037" s="82" t="s">
        <v>14</v>
      </c>
      <c r="F3037" s="82" t="s">
        <v>4362</v>
      </c>
      <c r="G3037" s="79" t="s">
        <v>5</v>
      </c>
      <c r="H3037" s="2" t="s">
        <v>35</v>
      </c>
      <c r="I3037" s="2">
        <v>1</v>
      </c>
      <c r="J3037" s="2" t="s">
        <v>4363</v>
      </c>
      <c r="K3037" s="2">
        <v>8190</v>
      </c>
      <c r="L3037" s="35">
        <f t="shared" si="158"/>
        <v>27801855.900000002</v>
      </c>
      <c r="M3037" s="36">
        <v>2520</v>
      </c>
      <c r="N3037" s="62">
        <v>41853.9873969947</v>
      </c>
      <c r="O3037" s="40">
        <v>50578.333333333299</v>
      </c>
      <c r="P3037" s="40">
        <v>0</v>
      </c>
      <c r="Q3037" s="40">
        <v>11034.333333333299</v>
      </c>
      <c r="R3037" s="62">
        <v>56887.747939893401</v>
      </c>
      <c r="S3037" s="62">
        <v>43285.366941347602</v>
      </c>
      <c r="T3037" s="40">
        <v>30000</v>
      </c>
      <c r="U3037" s="55">
        <v>1228362.57876878</v>
      </c>
      <c r="V3037" s="55">
        <v>0</v>
      </c>
      <c r="W3037" s="45">
        <f t="shared" si="159"/>
        <v>1462002.3477136823</v>
      </c>
      <c r="X3037" s="46">
        <f t="shared" si="160"/>
        <v>5.2586501885785335</v>
      </c>
    </row>
    <row r="3038" spans="1:24" s="4" customFormat="1" ht="15" customHeight="1">
      <c r="A3038" s="79" t="s">
        <v>3955</v>
      </c>
      <c r="B3038" s="80">
        <v>3394.61</v>
      </c>
      <c r="C3038" s="81" t="s">
        <v>4361</v>
      </c>
      <c r="D3038" s="82">
        <v>4953096187</v>
      </c>
      <c r="E3038" s="82" t="s">
        <v>14</v>
      </c>
      <c r="F3038" s="82" t="s">
        <v>4362</v>
      </c>
      <c r="G3038" s="79" t="s">
        <v>5</v>
      </c>
      <c r="H3038" s="2" t="s">
        <v>35</v>
      </c>
      <c r="I3038" s="2">
        <v>1</v>
      </c>
      <c r="J3038" s="2" t="s">
        <v>4363</v>
      </c>
      <c r="K3038" s="2">
        <v>17265.599999999999</v>
      </c>
      <c r="L3038" s="35">
        <f t="shared" si="158"/>
        <v>58609978.415999994</v>
      </c>
      <c r="M3038" s="36">
        <v>5280</v>
      </c>
      <c r="N3038" s="62">
        <v>87694.068831798402</v>
      </c>
      <c r="O3038" s="40">
        <v>50578.333333333299</v>
      </c>
      <c r="P3038" s="40">
        <v>0</v>
      </c>
      <c r="Q3038" s="40">
        <v>11034.333333333299</v>
      </c>
      <c r="R3038" s="62">
        <v>119193.376635967</v>
      </c>
      <c r="S3038" s="62">
        <v>90693.149781871107</v>
      </c>
      <c r="T3038" s="40">
        <v>30000</v>
      </c>
      <c r="U3038" s="55">
        <v>2573712.0698012598</v>
      </c>
      <c r="V3038" s="55">
        <v>0</v>
      </c>
      <c r="W3038" s="45">
        <f t="shared" si="159"/>
        <v>2962905.3317175629</v>
      </c>
      <c r="X3038" s="46">
        <f t="shared" si="160"/>
        <v>5.055291627455567</v>
      </c>
    </row>
    <row r="3039" spans="1:24" s="4" customFormat="1" ht="15" customHeight="1">
      <c r="A3039" s="79" t="s">
        <v>3955</v>
      </c>
      <c r="B3039" s="80">
        <v>3394.61</v>
      </c>
      <c r="C3039" s="81" t="s">
        <v>4361</v>
      </c>
      <c r="D3039" s="82">
        <v>4953091267</v>
      </c>
      <c r="E3039" s="82" t="s">
        <v>14</v>
      </c>
      <c r="F3039" s="82" t="s">
        <v>4362</v>
      </c>
      <c r="G3039" s="79" t="s">
        <v>5</v>
      </c>
      <c r="H3039" s="2" t="s">
        <v>35</v>
      </c>
      <c r="I3039" s="2">
        <v>1</v>
      </c>
      <c r="J3039" s="2" t="s">
        <v>4363</v>
      </c>
      <c r="K3039" s="2">
        <v>14388</v>
      </c>
      <c r="L3039" s="35">
        <f t="shared" si="158"/>
        <v>48841648.68</v>
      </c>
      <c r="M3039" s="36">
        <v>4400</v>
      </c>
      <c r="N3039" s="62">
        <v>73078.390693165304</v>
      </c>
      <c r="O3039" s="40">
        <v>50578.333333333299</v>
      </c>
      <c r="P3039" s="40">
        <v>0</v>
      </c>
      <c r="Q3039" s="40">
        <v>11034.333333333299</v>
      </c>
      <c r="R3039" s="62">
        <v>99327.813863305899</v>
      </c>
      <c r="S3039" s="62">
        <v>75577.624818225901</v>
      </c>
      <c r="T3039" s="40">
        <v>30000</v>
      </c>
      <c r="U3039" s="55">
        <v>2144760.0581677202</v>
      </c>
      <c r="V3039" s="55">
        <v>0</v>
      </c>
      <c r="W3039" s="45">
        <f t="shared" si="159"/>
        <v>2484356.5542090838</v>
      </c>
      <c r="X3039" s="46">
        <f t="shared" si="160"/>
        <v>5.0865534259215011</v>
      </c>
    </row>
    <row r="3040" spans="1:24" s="4" customFormat="1" ht="15" customHeight="1">
      <c r="A3040" s="79" t="s">
        <v>3955</v>
      </c>
      <c r="B3040" s="80">
        <v>3394.61</v>
      </c>
      <c r="C3040" s="81" t="s">
        <v>4361</v>
      </c>
      <c r="D3040" s="82">
        <v>4953091267</v>
      </c>
      <c r="E3040" s="82" t="s">
        <v>14</v>
      </c>
      <c r="F3040" s="82" t="s">
        <v>4362</v>
      </c>
      <c r="G3040" s="79" t="s">
        <v>5</v>
      </c>
      <c r="H3040" s="2" t="s">
        <v>35</v>
      </c>
      <c r="I3040" s="2">
        <v>1</v>
      </c>
      <c r="J3040" s="2" t="s">
        <v>4363</v>
      </c>
      <c r="K3040" s="2">
        <v>3161.1</v>
      </c>
      <c r="L3040" s="35">
        <f t="shared" si="158"/>
        <v>10730701.671</v>
      </c>
      <c r="M3040" s="36">
        <v>1230</v>
      </c>
      <c r="N3040" s="62">
        <v>20428.731943771199</v>
      </c>
      <c r="O3040" s="40">
        <v>50578.333333333299</v>
      </c>
      <c r="P3040" s="40">
        <v>0</v>
      </c>
      <c r="Q3040" s="40">
        <v>11034.333333333299</v>
      </c>
      <c r="R3040" s="62">
        <v>27766.638875424102</v>
      </c>
      <c r="S3040" s="62">
        <v>21127.3814832768</v>
      </c>
      <c r="T3040" s="40">
        <v>30000</v>
      </c>
      <c r="U3040" s="55">
        <v>599557.92535142996</v>
      </c>
      <c r="V3040" s="55">
        <v>0</v>
      </c>
      <c r="W3040" s="45">
        <f t="shared" si="159"/>
        <v>760493.34432056872</v>
      </c>
      <c r="X3040" s="46">
        <f t="shared" si="160"/>
        <v>7.0870793694304419</v>
      </c>
    </row>
    <row r="3041" spans="1:24" s="4" customFormat="1" ht="15" customHeight="1">
      <c r="A3041" s="79" t="s">
        <v>3955</v>
      </c>
      <c r="B3041" s="80">
        <v>3394.61</v>
      </c>
      <c r="C3041" s="81" t="s">
        <v>4361</v>
      </c>
      <c r="D3041" s="82">
        <v>4953003887</v>
      </c>
      <c r="E3041" s="82" t="s">
        <v>14</v>
      </c>
      <c r="F3041" s="82" t="s">
        <v>4362</v>
      </c>
      <c r="G3041" s="79" t="s">
        <v>5</v>
      </c>
      <c r="H3041" s="2" t="s">
        <v>35</v>
      </c>
      <c r="I3041" s="2">
        <v>1</v>
      </c>
      <c r="J3041" s="2" t="s">
        <v>4363</v>
      </c>
      <c r="K3041" s="2">
        <v>2057.6999999999998</v>
      </c>
      <c r="L3041" s="35">
        <f t="shared" si="158"/>
        <v>6985088.9969999995</v>
      </c>
      <c r="M3041" s="36">
        <v>190</v>
      </c>
      <c r="N3041" s="62">
        <v>3155.6577799321399</v>
      </c>
      <c r="O3041" s="40">
        <v>50578.333333333299</v>
      </c>
      <c r="P3041" s="40">
        <v>0</v>
      </c>
      <c r="Q3041" s="40">
        <v>11034.333333333299</v>
      </c>
      <c r="R3041" s="62">
        <v>4289.1555986427502</v>
      </c>
      <c r="S3041" s="62">
        <v>3263.5792535143</v>
      </c>
      <c r="T3041" s="40">
        <v>30000</v>
      </c>
      <c r="U3041" s="55">
        <v>92614.638875424105</v>
      </c>
      <c r="V3041" s="55">
        <v>0</v>
      </c>
      <c r="W3041" s="45">
        <f t="shared" si="159"/>
        <v>194935.69817417988</v>
      </c>
      <c r="X3041" s="46">
        <f t="shared" si="160"/>
        <v>2.7907403650533604</v>
      </c>
    </row>
    <row r="3042" spans="1:24" s="4" customFormat="1" ht="15" customHeight="1">
      <c r="A3042" s="79" t="s">
        <v>3955</v>
      </c>
      <c r="B3042" s="80">
        <v>3394.61</v>
      </c>
      <c r="C3042" s="81" t="s">
        <v>4364</v>
      </c>
      <c r="D3042" s="82" t="s">
        <v>4365</v>
      </c>
      <c r="E3042" s="82" t="s">
        <v>14</v>
      </c>
      <c r="F3042" s="82" t="s">
        <v>4366</v>
      </c>
      <c r="G3042" s="79" t="s">
        <v>5</v>
      </c>
      <c r="H3042" s="2" t="s">
        <v>20</v>
      </c>
      <c r="I3042" s="2">
        <v>1</v>
      </c>
      <c r="J3042" s="2" t="s">
        <v>4367</v>
      </c>
      <c r="K3042" s="2">
        <v>25036.65</v>
      </c>
      <c r="L3042" s="35">
        <f t="shared" si="158"/>
        <v>84989662.456500009</v>
      </c>
      <c r="M3042" s="36">
        <v>14145</v>
      </c>
      <c r="N3042" s="40">
        <v>342638</v>
      </c>
      <c r="O3042" s="40">
        <v>346986</v>
      </c>
      <c r="P3042" s="40">
        <v>223857</v>
      </c>
      <c r="Q3042" s="40">
        <v>99309</v>
      </c>
      <c r="R3042" s="40">
        <v>445608</v>
      </c>
      <c r="S3042" s="40">
        <v>354356</v>
      </c>
      <c r="T3042" s="40">
        <v>30000</v>
      </c>
      <c r="U3042" s="40">
        <v>3928500</v>
      </c>
      <c r="V3042" s="40">
        <v>0</v>
      </c>
      <c r="W3042" s="45">
        <f t="shared" si="159"/>
        <v>5771254</v>
      </c>
      <c r="X3042" s="46">
        <f t="shared" si="160"/>
        <v>6.7905364407746447</v>
      </c>
    </row>
    <row r="3043" spans="1:24" s="4" customFormat="1" ht="15" customHeight="1">
      <c r="A3043" s="79" t="s">
        <v>3955</v>
      </c>
      <c r="B3043" s="80">
        <v>3394.61</v>
      </c>
      <c r="C3043" s="81" t="s">
        <v>4368</v>
      </c>
      <c r="D3043" s="82">
        <v>4952788649</v>
      </c>
      <c r="E3043" s="82" t="s">
        <v>18</v>
      </c>
      <c r="F3043" s="82" t="s">
        <v>4369</v>
      </c>
      <c r="G3043" s="79" t="s">
        <v>9</v>
      </c>
      <c r="H3043" s="2" t="s">
        <v>23</v>
      </c>
      <c r="I3043" s="2">
        <v>4</v>
      </c>
      <c r="J3043" s="2"/>
      <c r="K3043" s="2">
        <v>2715.75</v>
      </c>
      <c r="L3043" s="35">
        <f t="shared" ref="L3043:L3072" si="161">B3043*K3043</f>
        <v>9218912.1074999999</v>
      </c>
      <c r="M3043" s="36">
        <v>225</v>
      </c>
      <c r="N3043" s="62">
        <v>87262.043478260894</v>
      </c>
      <c r="O3043" s="40">
        <v>601</v>
      </c>
      <c r="P3043" s="40">
        <v>5235.9130434782601</v>
      </c>
      <c r="Q3043" s="40">
        <v>11613</v>
      </c>
      <c r="R3043" s="62">
        <v>37732.173913043502</v>
      </c>
      <c r="S3043" s="62">
        <v>46220.347826087003</v>
      </c>
      <c r="T3043" s="40">
        <v>30000</v>
      </c>
      <c r="U3043" s="55">
        <v>178395.652173913</v>
      </c>
      <c r="V3043" s="55">
        <v>0</v>
      </c>
      <c r="W3043" s="45">
        <f t="shared" ref="W3043:W3072" si="162">+SUM(N3043:V3043)</f>
        <v>397060.13043478265</v>
      </c>
      <c r="X3043" s="46">
        <f t="shared" ref="X3043:X3072" si="163">(W3043/L3043)*100</f>
        <v>4.3070172033829932</v>
      </c>
    </row>
    <row r="3044" spans="1:24" s="4" customFormat="1" ht="15" customHeight="1">
      <c r="A3044" s="79" t="s">
        <v>3955</v>
      </c>
      <c r="B3044" s="80">
        <v>3394.61</v>
      </c>
      <c r="C3044" s="81" t="s">
        <v>4368</v>
      </c>
      <c r="D3044" s="82">
        <v>4952860290</v>
      </c>
      <c r="E3044" s="82" t="s">
        <v>18</v>
      </c>
      <c r="F3044" s="82" t="s">
        <v>4369</v>
      </c>
      <c r="G3044" s="79" t="s">
        <v>9</v>
      </c>
      <c r="H3044" s="2" t="s">
        <v>23</v>
      </c>
      <c r="I3044" s="2">
        <v>4</v>
      </c>
      <c r="J3044" s="2"/>
      <c r="K3044" s="2">
        <v>68205</v>
      </c>
      <c r="L3044" s="35">
        <f t="shared" si="161"/>
        <v>231529375.05000001</v>
      </c>
      <c r="M3044" s="36">
        <v>1500</v>
      </c>
      <c r="N3044" s="62">
        <v>581746.95652173902</v>
      </c>
      <c r="O3044" s="40">
        <v>601</v>
      </c>
      <c r="P3044" s="40">
        <v>34906.0869565217</v>
      </c>
      <c r="Q3044" s="40">
        <v>11613</v>
      </c>
      <c r="R3044" s="62">
        <v>251547.82608695701</v>
      </c>
      <c r="S3044" s="62">
        <v>308135.65217391303</v>
      </c>
      <c r="T3044" s="40">
        <v>30000</v>
      </c>
      <c r="U3044" s="55">
        <v>1189304.3478260899</v>
      </c>
      <c r="V3044" s="55">
        <v>0</v>
      </c>
      <c r="W3044" s="45">
        <f t="shared" si="162"/>
        <v>2407854.8695652205</v>
      </c>
      <c r="X3044" s="46">
        <f t="shared" si="163"/>
        <v>1.0399781319520391</v>
      </c>
    </row>
    <row r="3045" spans="1:24" s="4" customFormat="1" ht="15" customHeight="1">
      <c r="A3045" s="79" t="s">
        <v>3955</v>
      </c>
      <c r="B3045" s="80">
        <v>3394.61</v>
      </c>
      <c r="C3045" s="81" t="s">
        <v>4370</v>
      </c>
      <c r="D3045" s="82">
        <v>4952972139</v>
      </c>
      <c r="E3045" s="82" t="s">
        <v>24</v>
      </c>
      <c r="F3045" s="82" t="s">
        <v>4371</v>
      </c>
      <c r="G3045" s="79" t="s">
        <v>5</v>
      </c>
      <c r="H3045" s="2" t="s">
        <v>17</v>
      </c>
      <c r="I3045" s="2">
        <v>1</v>
      </c>
      <c r="J3045" s="2" t="s">
        <v>4372</v>
      </c>
      <c r="K3045" s="2">
        <v>26640</v>
      </c>
      <c r="L3045" s="35">
        <f t="shared" si="161"/>
        <v>90432410.400000006</v>
      </c>
      <c r="M3045" s="36">
        <v>24000</v>
      </c>
      <c r="N3045" s="66">
        <v>382480</v>
      </c>
      <c r="O3045" s="40">
        <v>227602.5</v>
      </c>
      <c r="P3045" s="40">
        <v>355526</v>
      </c>
      <c r="Q3045" s="40">
        <v>62068.5</v>
      </c>
      <c r="R3045" s="62">
        <v>593028.5</v>
      </c>
      <c r="S3045" s="62">
        <v>177178</v>
      </c>
      <c r="T3045" s="65"/>
      <c r="U3045" s="55">
        <v>380000</v>
      </c>
      <c r="V3045" s="55">
        <v>2500900</v>
      </c>
      <c r="W3045" s="45">
        <f t="shared" si="162"/>
        <v>4678783.5</v>
      </c>
      <c r="X3045" s="46">
        <f t="shared" si="163"/>
        <v>5.173790546226555</v>
      </c>
    </row>
    <row r="3046" spans="1:24" s="4" customFormat="1" ht="15" customHeight="1">
      <c r="A3046" s="79" t="s">
        <v>3955</v>
      </c>
      <c r="B3046" s="80">
        <v>3394.61</v>
      </c>
      <c r="C3046" s="81" t="s">
        <v>4370</v>
      </c>
      <c r="D3046" s="82">
        <v>4952972138</v>
      </c>
      <c r="E3046" s="82" t="s">
        <v>24</v>
      </c>
      <c r="F3046" s="82" t="s">
        <v>4371</v>
      </c>
      <c r="G3046" s="79" t="s">
        <v>5</v>
      </c>
      <c r="H3046" s="2" t="s">
        <v>17</v>
      </c>
      <c r="I3046" s="2">
        <v>1</v>
      </c>
      <c r="J3046" s="2" t="s">
        <v>4373</v>
      </c>
      <c r="K3046" s="2">
        <v>26640</v>
      </c>
      <c r="L3046" s="35">
        <f t="shared" si="161"/>
        <v>90432410.400000006</v>
      </c>
      <c r="M3046" s="36">
        <v>24000</v>
      </c>
      <c r="N3046" s="62">
        <v>382480</v>
      </c>
      <c r="O3046" s="40">
        <v>227602.5</v>
      </c>
      <c r="P3046" s="40">
        <v>355526</v>
      </c>
      <c r="Q3046" s="40">
        <v>62068.5</v>
      </c>
      <c r="R3046" s="62">
        <v>593028.5</v>
      </c>
      <c r="S3046" s="62">
        <v>177178</v>
      </c>
      <c r="T3046" s="65"/>
      <c r="U3046" s="55">
        <v>380000</v>
      </c>
      <c r="V3046" s="55">
        <v>2500900</v>
      </c>
      <c r="W3046" s="45">
        <f t="shared" si="162"/>
        <v>4678783.5</v>
      </c>
      <c r="X3046" s="46">
        <f t="shared" si="163"/>
        <v>5.173790546226555</v>
      </c>
    </row>
    <row r="3047" spans="1:24" s="4" customFormat="1" ht="15" customHeight="1">
      <c r="A3047" s="79" t="s">
        <v>3955</v>
      </c>
      <c r="B3047" s="80">
        <v>3394.61</v>
      </c>
      <c r="C3047" s="81" t="s">
        <v>4374</v>
      </c>
      <c r="D3047" s="82">
        <v>4952570123</v>
      </c>
      <c r="E3047" s="82" t="s">
        <v>33</v>
      </c>
      <c r="F3047" s="82" t="s">
        <v>4375</v>
      </c>
      <c r="G3047" s="79" t="s">
        <v>5</v>
      </c>
      <c r="H3047" s="2" t="s">
        <v>17</v>
      </c>
      <c r="I3047" s="2">
        <v>1</v>
      </c>
      <c r="J3047" s="2" t="s">
        <v>4376</v>
      </c>
      <c r="K3047" s="2">
        <v>1111</v>
      </c>
      <c r="L3047" s="35">
        <f t="shared" si="161"/>
        <v>3771411.71</v>
      </c>
      <c r="M3047" s="36">
        <v>807</v>
      </c>
      <c r="N3047" s="62">
        <v>198701.823602652</v>
      </c>
      <c r="O3047" s="40">
        <v>113801.25</v>
      </c>
      <c r="P3047" s="40">
        <v>0</v>
      </c>
      <c r="Q3047" s="40">
        <v>24827.25</v>
      </c>
      <c r="R3047" s="62">
        <v>405231.05801393097</v>
      </c>
      <c r="S3047" s="62">
        <v>206637.114244372</v>
      </c>
      <c r="T3047" s="65"/>
      <c r="U3047" s="55">
        <v>2695275.58131709</v>
      </c>
      <c r="V3047" s="55">
        <v>0</v>
      </c>
      <c r="W3047" s="45">
        <f t="shared" si="162"/>
        <v>3644474.0771780452</v>
      </c>
      <c r="X3047" s="46">
        <f t="shared" si="163"/>
        <v>96.634214384884672</v>
      </c>
    </row>
    <row r="3048" spans="1:24" s="4" customFormat="1" ht="15" customHeight="1">
      <c r="A3048" s="79" t="s">
        <v>3955</v>
      </c>
      <c r="B3048" s="80">
        <v>3394.61</v>
      </c>
      <c r="C3048" s="81" t="s">
        <v>4374</v>
      </c>
      <c r="D3048" s="82">
        <v>4952570123</v>
      </c>
      <c r="E3048" s="82" t="s">
        <v>33</v>
      </c>
      <c r="F3048" s="82" t="s">
        <v>4375</v>
      </c>
      <c r="G3048" s="79" t="s">
        <v>5</v>
      </c>
      <c r="H3048" s="2" t="s">
        <v>17</v>
      </c>
      <c r="I3048" s="2">
        <v>1</v>
      </c>
      <c r="J3048" s="2" t="s">
        <v>4376</v>
      </c>
      <c r="K3048" s="2">
        <v>6960.09</v>
      </c>
      <c r="L3048" s="35">
        <f t="shared" si="161"/>
        <v>23626791.1149</v>
      </c>
      <c r="M3048" s="36">
        <v>807</v>
      </c>
      <c r="N3048" s="62">
        <v>58789.932667048102</v>
      </c>
      <c r="O3048" s="40">
        <v>113801.25</v>
      </c>
      <c r="P3048" s="40">
        <v>0</v>
      </c>
      <c r="Q3048" s="40">
        <v>24827.25</v>
      </c>
      <c r="R3048" s="62">
        <v>119895.762320109</v>
      </c>
      <c r="S3048" s="62">
        <v>61137.7480723716</v>
      </c>
      <c r="T3048" s="65"/>
      <c r="U3048" s="55">
        <v>797451.51338739903</v>
      </c>
      <c r="V3048" s="55">
        <v>0</v>
      </c>
      <c r="W3048" s="45">
        <f t="shared" si="162"/>
        <v>1175903.4564469277</v>
      </c>
      <c r="X3048" s="46">
        <f t="shared" si="163"/>
        <v>4.9769918002337441</v>
      </c>
    </row>
    <row r="3049" spans="1:24" s="4" customFormat="1" ht="15" customHeight="1">
      <c r="A3049" s="79" t="s">
        <v>3955</v>
      </c>
      <c r="B3049" s="80">
        <v>3394.61</v>
      </c>
      <c r="C3049" s="81" t="s">
        <v>4374</v>
      </c>
      <c r="D3049" s="82">
        <v>4952570123</v>
      </c>
      <c r="E3049" s="82" t="s">
        <v>33</v>
      </c>
      <c r="F3049" s="82" t="s">
        <v>4375</v>
      </c>
      <c r="G3049" s="79" t="s">
        <v>5</v>
      </c>
      <c r="H3049" s="2" t="s">
        <v>17</v>
      </c>
      <c r="I3049" s="2">
        <v>1</v>
      </c>
      <c r="J3049" s="2" t="s">
        <v>4376</v>
      </c>
      <c r="K3049" s="2">
        <v>4383.9799999999996</v>
      </c>
      <c r="L3049" s="35">
        <f t="shared" si="161"/>
        <v>14881902.3478</v>
      </c>
      <c r="M3049" s="36">
        <v>70</v>
      </c>
      <c r="N3049" s="62">
        <v>63350.515426635699</v>
      </c>
      <c r="O3049" s="40">
        <v>113801.25</v>
      </c>
      <c r="P3049" s="40">
        <v>0</v>
      </c>
      <c r="Q3049" s="40">
        <v>24827.25</v>
      </c>
      <c r="R3049" s="62">
        <v>129196.581725387</v>
      </c>
      <c r="S3049" s="62">
        <v>65880.460764321193</v>
      </c>
      <c r="T3049" s="65"/>
      <c r="U3049" s="55">
        <v>859313.18695247394</v>
      </c>
      <c r="V3049" s="55">
        <v>0</v>
      </c>
      <c r="W3049" s="45">
        <f t="shared" si="162"/>
        <v>1256369.2448688177</v>
      </c>
      <c r="X3049" s="46">
        <f t="shared" si="163"/>
        <v>8.4422623902954683</v>
      </c>
    </row>
    <row r="3050" spans="1:24" s="4" customFormat="1" ht="15" customHeight="1">
      <c r="A3050" s="79" t="s">
        <v>3955</v>
      </c>
      <c r="B3050" s="80">
        <v>3394.61</v>
      </c>
      <c r="C3050" s="81" t="s">
        <v>4374</v>
      </c>
      <c r="D3050" s="82">
        <v>4952570123</v>
      </c>
      <c r="E3050" s="82" t="s">
        <v>33</v>
      </c>
      <c r="F3050" s="82" t="s">
        <v>4375</v>
      </c>
      <c r="G3050" s="79" t="s">
        <v>5</v>
      </c>
      <c r="H3050" s="2" t="s">
        <v>17</v>
      </c>
      <c r="I3050" s="2">
        <v>1</v>
      </c>
      <c r="J3050" s="2" t="s">
        <v>4376</v>
      </c>
      <c r="K3050" s="2">
        <v>2502.44</v>
      </c>
      <c r="L3050" s="35">
        <f t="shared" si="161"/>
        <v>8494807.8484000005</v>
      </c>
      <c r="M3050" s="36">
        <v>280</v>
      </c>
      <c r="N3050" s="62">
        <v>19905.7283036646</v>
      </c>
      <c r="O3050" s="40">
        <v>113801.25</v>
      </c>
      <c r="P3050" s="40">
        <v>0</v>
      </c>
      <c r="Q3050" s="40">
        <v>24827.25</v>
      </c>
      <c r="R3050" s="62">
        <v>40595.597940572698</v>
      </c>
      <c r="S3050" s="62">
        <v>20700.6769189353</v>
      </c>
      <c r="T3050" s="65"/>
      <c r="U3050" s="55">
        <v>270009.71834303602</v>
      </c>
      <c r="V3050" s="55">
        <v>0</v>
      </c>
      <c r="W3050" s="45">
        <f t="shared" si="162"/>
        <v>489840.22150620865</v>
      </c>
      <c r="X3050" s="46">
        <f t="shared" si="163"/>
        <v>5.7663484595295484</v>
      </c>
    </row>
    <row r="3051" spans="1:24" s="4" customFormat="1" ht="15" customHeight="1">
      <c r="A3051" s="79" t="s">
        <v>3955</v>
      </c>
      <c r="B3051" s="80">
        <v>3394.61</v>
      </c>
      <c r="C3051" s="81" t="s">
        <v>4377</v>
      </c>
      <c r="D3051" s="82">
        <v>4952790675</v>
      </c>
      <c r="E3051" s="82" t="s">
        <v>21</v>
      </c>
      <c r="F3051" s="82" t="s">
        <v>4378</v>
      </c>
      <c r="G3051" s="79" t="s">
        <v>9</v>
      </c>
      <c r="H3051" s="2" t="s">
        <v>23</v>
      </c>
      <c r="I3051" s="2">
        <v>3</v>
      </c>
      <c r="J3051" s="2"/>
      <c r="K3051" s="2">
        <v>3930.24</v>
      </c>
      <c r="L3051" s="35">
        <f t="shared" si="161"/>
        <v>13341632.0064</v>
      </c>
      <c r="M3051" s="36">
        <v>1840</v>
      </c>
      <c r="N3051" s="62">
        <v>431186.66666666698</v>
      </c>
      <c r="O3051" s="40">
        <v>944.5</v>
      </c>
      <c r="P3051" s="40">
        <v>0</v>
      </c>
      <c r="Q3051" s="40">
        <v>18527.5</v>
      </c>
      <c r="R3051" s="62">
        <v>94920.666666666701</v>
      </c>
      <c r="S3051" s="62">
        <v>236237.33333333299</v>
      </c>
      <c r="T3051" s="65"/>
      <c r="U3051" s="55">
        <v>911800</v>
      </c>
      <c r="V3051" s="55">
        <v>0</v>
      </c>
      <c r="W3051" s="45">
        <f t="shared" si="162"/>
        <v>1693616.6666666667</v>
      </c>
      <c r="X3051" s="46">
        <f t="shared" si="163"/>
        <v>12.694224108821443</v>
      </c>
    </row>
    <row r="3052" spans="1:24" s="4" customFormat="1" ht="15" customHeight="1">
      <c r="A3052" s="79" t="s">
        <v>3955</v>
      </c>
      <c r="B3052" s="80">
        <v>3394.61</v>
      </c>
      <c r="C3052" s="81" t="s">
        <v>4377</v>
      </c>
      <c r="D3052" s="82">
        <v>4953155997</v>
      </c>
      <c r="E3052" s="82" t="s">
        <v>21</v>
      </c>
      <c r="F3052" s="82" t="s">
        <v>4378</v>
      </c>
      <c r="G3052" s="79" t="s">
        <v>9</v>
      </c>
      <c r="H3052" s="2" t="s">
        <v>23</v>
      </c>
      <c r="I3052" s="2">
        <v>3</v>
      </c>
      <c r="J3052" s="2"/>
      <c r="K3052" s="2">
        <v>2097.6</v>
      </c>
      <c r="L3052" s="35">
        <f t="shared" si="161"/>
        <v>7120533.9359999998</v>
      </c>
      <c r="M3052" s="36">
        <v>920</v>
      </c>
      <c r="N3052" s="62">
        <v>215593.33333333299</v>
      </c>
      <c r="O3052" s="40">
        <v>944.5</v>
      </c>
      <c r="P3052" s="40">
        <v>0</v>
      </c>
      <c r="Q3052" s="40">
        <v>18527.5</v>
      </c>
      <c r="R3052" s="62">
        <v>47460.333333333299</v>
      </c>
      <c r="S3052" s="62">
        <v>118118.66666666701</v>
      </c>
      <c r="T3052" s="65"/>
      <c r="U3052" s="55">
        <v>455900</v>
      </c>
      <c r="V3052" s="55">
        <v>0</v>
      </c>
      <c r="W3052" s="45">
        <f t="shared" si="162"/>
        <v>856544.33333333326</v>
      </c>
      <c r="X3052" s="46">
        <f t="shared" si="163"/>
        <v>12.029214958204411</v>
      </c>
    </row>
    <row r="3053" spans="1:24" s="4" customFormat="1" ht="15" customHeight="1">
      <c r="A3053" s="79" t="s">
        <v>3955</v>
      </c>
      <c r="B3053" s="80">
        <v>3394.61</v>
      </c>
      <c r="C3053" s="81" t="s">
        <v>4379</v>
      </c>
      <c r="D3053" s="82">
        <v>4952461126</v>
      </c>
      <c r="E3053" s="82" t="s">
        <v>14</v>
      </c>
      <c r="F3053" s="82" t="s">
        <v>4380</v>
      </c>
      <c r="G3053" s="79" t="s">
        <v>5</v>
      </c>
      <c r="H3053" s="2" t="s">
        <v>20</v>
      </c>
      <c r="I3053" s="2">
        <v>1</v>
      </c>
      <c r="J3053" s="2" t="s">
        <v>4381</v>
      </c>
      <c r="K3053" s="2">
        <v>13860</v>
      </c>
      <c r="L3053" s="35">
        <f t="shared" si="161"/>
        <v>47049294.600000001</v>
      </c>
      <c r="M3053" s="36">
        <v>2800</v>
      </c>
      <c r="N3053" s="62">
        <v>176357.79411764699</v>
      </c>
      <c r="O3053" s="40">
        <v>115662</v>
      </c>
      <c r="P3053" s="40">
        <v>144025.514705882</v>
      </c>
      <c r="Q3053" s="40">
        <v>33103</v>
      </c>
      <c r="R3053" s="62">
        <v>288354.70588235301</v>
      </c>
      <c r="S3053" s="62">
        <v>182389.117647059</v>
      </c>
      <c r="T3053" s="40">
        <v>30000</v>
      </c>
      <c r="U3053" s="55">
        <v>1597647.0588235301</v>
      </c>
      <c r="V3053" s="55">
        <v>0</v>
      </c>
      <c r="W3053" s="45">
        <f t="shared" si="162"/>
        <v>2567539.1911764713</v>
      </c>
      <c r="X3053" s="46">
        <f t="shared" si="163"/>
        <v>5.4571257932876023</v>
      </c>
    </row>
    <row r="3054" spans="1:24" s="4" customFormat="1" ht="15" customHeight="1">
      <c r="A3054" s="79" t="s">
        <v>3955</v>
      </c>
      <c r="B3054" s="80">
        <v>3394.61</v>
      </c>
      <c r="C3054" s="81" t="s">
        <v>4379</v>
      </c>
      <c r="D3054" s="82">
        <v>4951726541</v>
      </c>
      <c r="E3054" s="82" t="s">
        <v>14</v>
      </c>
      <c r="F3054" s="82" t="s">
        <v>4380</v>
      </c>
      <c r="G3054" s="79" t="s">
        <v>5</v>
      </c>
      <c r="H3054" s="2" t="s">
        <v>20</v>
      </c>
      <c r="I3054" s="2">
        <v>1</v>
      </c>
      <c r="J3054" s="2" t="s">
        <v>4381</v>
      </c>
      <c r="K3054" s="2">
        <v>2091.6</v>
      </c>
      <c r="L3054" s="35">
        <f t="shared" si="161"/>
        <v>7100166.2759999996</v>
      </c>
      <c r="M3054" s="36">
        <v>840</v>
      </c>
      <c r="N3054" s="62">
        <v>52907.338235294097</v>
      </c>
      <c r="O3054" s="40">
        <v>115662</v>
      </c>
      <c r="P3054" s="40">
        <v>43207.654411764699</v>
      </c>
      <c r="Q3054" s="40">
        <v>33103</v>
      </c>
      <c r="R3054" s="62">
        <v>86506.411764705903</v>
      </c>
      <c r="S3054" s="62">
        <v>54716.735294117701</v>
      </c>
      <c r="T3054" s="40">
        <v>30000</v>
      </c>
      <c r="U3054" s="55">
        <v>479294.11764705903</v>
      </c>
      <c r="V3054" s="55">
        <v>0</v>
      </c>
      <c r="W3054" s="45">
        <f t="shared" si="162"/>
        <v>895397.25735294144</v>
      </c>
      <c r="X3054" s="46">
        <f t="shared" si="163"/>
        <v>12.610933639393284</v>
      </c>
    </row>
    <row r="3055" spans="1:24" s="4" customFormat="1" ht="15" customHeight="1">
      <c r="A3055" s="79" t="s">
        <v>3955</v>
      </c>
      <c r="B3055" s="80">
        <v>3394.61</v>
      </c>
      <c r="C3055" s="81" t="s">
        <v>4379</v>
      </c>
      <c r="D3055" s="82">
        <v>4952461126</v>
      </c>
      <c r="E3055" s="82" t="s">
        <v>14</v>
      </c>
      <c r="F3055" s="82" t="s">
        <v>4380</v>
      </c>
      <c r="G3055" s="79" t="s">
        <v>5</v>
      </c>
      <c r="H3055" s="2" t="s">
        <v>20</v>
      </c>
      <c r="I3055" s="2">
        <v>1</v>
      </c>
      <c r="J3055" s="2" t="s">
        <v>4381</v>
      </c>
      <c r="K3055" s="2">
        <v>4122</v>
      </c>
      <c r="L3055" s="35">
        <f t="shared" si="161"/>
        <v>13992582.42</v>
      </c>
      <c r="M3055" s="36">
        <v>1800</v>
      </c>
      <c r="N3055" s="62">
        <v>113372.867647059</v>
      </c>
      <c r="O3055" s="40">
        <v>115662</v>
      </c>
      <c r="P3055" s="40">
        <v>92587.830882352893</v>
      </c>
      <c r="Q3055" s="40">
        <v>33103</v>
      </c>
      <c r="R3055" s="62">
        <v>185370.882352941</v>
      </c>
      <c r="S3055" s="62">
        <v>117250.147058824</v>
      </c>
      <c r="T3055" s="40">
        <v>30000</v>
      </c>
      <c r="U3055" s="55">
        <v>1027058.8235294099</v>
      </c>
      <c r="V3055" s="55">
        <v>0</v>
      </c>
      <c r="W3055" s="45">
        <f t="shared" si="162"/>
        <v>1714405.5514705868</v>
      </c>
      <c r="X3055" s="46">
        <f t="shared" si="163"/>
        <v>12.252245511308461</v>
      </c>
    </row>
    <row r="3056" spans="1:24" s="4" customFormat="1" ht="15" customHeight="1">
      <c r="A3056" s="79" t="s">
        <v>3955</v>
      </c>
      <c r="B3056" s="80">
        <v>3394.61</v>
      </c>
      <c r="C3056" s="81" t="s">
        <v>4382</v>
      </c>
      <c r="D3056" s="82">
        <v>4952628213</v>
      </c>
      <c r="E3056" s="82" t="s">
        <v>14</v>
      </c>
      <c r="F3056" s="82" t="s">
        <v>4383</v>
      </c>
      <c r="G3056" s="79" t="s">
        <v>5</v>
      </c>
      <c r="H3056" s="2" t="s">
        <v>17</v>
      </c>
      <c r="I3056" s="2">
        <v>1</v>
      </c>
      <c r="J3056" s="2" t="s">
        <v>4384</v>
      </c>
      <c r="K3056" s="2">
        <v>7980</v>
      </c>
      <c r="L3056" s="35">
        <f t="shared" si="161"/>
        <v>27088987.800000001</v>
      </c>
      <c r="M3056" s="36">
        <v>2625</v>
      </c>
      <c r="N3056" s="62">
        <v>41358.066544706198</v>
      </c>
      <c r="O3056" s="40">
        <v>113801.25</v>
      </c>
      <c r="P3056" s="40">
        <v>0</v>
      </c>
      <c r="Q3056" s="40">
        <v>24827.25</v>
      </c>
      <c r="R3056" s="62">
        <v>83792.305053738906</v>
      </c>
      <c r="S3056" s="62">
        <v>42542.167848159203</v>
      </c>
      <c r="T3056" s="40">
        <v>30000</v>
      </c>
      <c r="U3056" s="55">
        <v>759275.09718728601</v>
      </c>
      <c r="V3056" s="55">
        <v>0</v>
      </c>
      <c r="W3056" s="45">
        <f t="shared" si="162"/>
        <v>1095596.1366338902</v>
      </c>
      <c r="X3056" s="46">
        <f t="shared" si="163"/>
        <v>4.0444336448550882</v>
      </c>
    </row>
    <row r="3057" spans="1:24" s="4" customFormat="1" ht="15" customHeight="1">
      <c r="A3057" s="79" t="s">
        <v>3955</v>
      </c>
      <c r="B3057" s="80">
        <v>3394.61</v>
      </c>
      <c r="C3057" s="81" t="s">
        <v>4382</v>
      </c>
      <c r="D3057" s="82">
        <v>4952862312</v>
      </c>
      <c r="E3057" s="82" t="s">
        <v>14</v>
      </c>
      <c r="F3057" s="82" t="s">
        <v>4383</v>
      </c>
      <c r="G3057" s="79" t="s">
        <v>5</v>
      </c>
      <c r="H3057" s="2" t="s">
        <v>17</v>
      </c>
      <c r="I3057" s="2">
        <v>1</v>
      </c>
      <c r="J3057" s="2" t="s">
        <v>4384</v>
      </c>
      <c r="K3057" s="2">
        <v>3736</v>
      </c>
      <c r="L3057" s="35">
        <f t="shared" si="161"/>
        <v>12682262.960000001</v>
      </c>
      <c r="M3057" s="36">
        <v>400</v>
      </c>
      <c r="N3057" s="62">
        <v>6302.1815687171302</v>
      </c>
      <c r="O3057" s="40">
        <v>113801.25</v>
      </c>
      <c r="P3057" s="40">
        <v>0</v>
      </c>
      <c r="Q3057" s="40">
        <v>24827.25</v>
      </c>
      <c r="R3057" s="62">
        <v>12768.351246284001</v>
      </c>
      <c r="S3057" s="62">
        <v>6482.6160530528196</v>
      </c>
      <c r="T3057" s="40">
        <v>30000</v>
      </c>
      <c r="U3057" s="55">
        <v>115699.06242853899</v>
      </c>
      <c r="V3057" s="55">
        <v>0</v>
      </c>
      <c r="W3057" s="45">
        <f t="shared" si="162"/>
        <v>309880.71129659296</v>
      </c>
      <c r="X3057" s="46">
        <f t="shared" si="163"/>
        <v>2.4434181208350605</v>
      </c>
    </row>
    <row r="3058" spans="1:24" s="4" customFormat="1" ht="15" customHeight="1">
      <c r="A3058" s="79" t="s">
        <v>3955</v>
      </c>
      <c r="B3058" s="80">
        <v>3394.61</v>
      </c>
      <c r="C3058" s="81" t="s">
        <v>4382</v>
      </c>
      <c r="D3058" s="82">
        <v>4952771714</v>
      </c>
      <c r="E3058" s="82" t="s">
        <v>14</v>
      </c>
      <c r="F3058" s="82" t="s">
        <v>4383</v>
      </c>
      <c r="G3058" s="79" t="s">
        <v>5</v>
      </c>
      <c r="H3058" s="2" t="s">
        <v>17</v>
      </c>
      <c r="I3058" s="2">
        <v>1</v>
      </c>
      <c r="J3058" s="2" t="s">
        <v>4384</v>
      </c>
      <c r="K3058" s="2">
        <v>2066.4</v>
      </c>
      <c r="L3058" s="35">
        <f t="shared" si="161"/>
        <v>7014622.1040000003</v>
      </c>
      <c r="M3058" s="36">
        <v>840</v>
      </c>
      <c r="N3058" s="62">
        <v>13234.581294305999</v>
      </c>
      <c r="O3058" s="40">
        <v>113801.25</v>
      </c>
      <c r="P3058" s="40">
        <v>0</v>
      </c>
      <c r="Q3058" s="40">
        <v>24827.25</v>
      </c>
      <c r="R3058" s="62">
        <v>26813.537617196402</v>
      </c>
      <c r="S3058" s="62">
        <v>13613.4937114109</v>
      </c>
      <c r="T3058" s="40">
        <v>30000</v>
      </c>
      <c r="U3058" s="55">
        <v>242968.03109993099</v>
      </c>
      <c r="V3058" s="55">
        <v>0</v>
      </c>
      <c r="W3058" s="45">
        <f t="shared" si="162"/>
        <v>465258.14372284431</v>
      </c>
      <c r="X3058" s="46">
        <f t="shared" si="163"/>
        <v>6.6326900697549585</v>
      </c>
    </row>
    <row r="3059" spans="1:24" s="4" customFormat="1" ht="15" customHeight="1">
      <c r="A3059" s="79" t="s">
        <v>3955</v>
      </c>
      <c r="B3059" s="80">
        <v>3394.61</v>
      </c>
      <c r="C3059" s="81" t="s">
        <v>4382</v>
      </c>
      <c r="D3059" s="82">
        <v>4952771715</v>
      </c>
      <c r="E3059" s="82" t="s">
        <v>14</v>
      </c>
      <c r="F3059" s="82" t="s">
        <v>4383</v>
      </c>
      <c r="G3059" s="79" t="s">
        <v>5</v>
      </c>
      <c r="H3059" s="2" t="s">
        <v>17</v>
      </c>
      <c r="I3059" s="2">
        <v>1</v>
      </c>
      <c r="J3059" s="2" t="s">
        <v>4384</v>
      </c>
      <c r="K3059" s="2">
        <v>23580</v>
      </c>
      <c r="L3059" s="35">
        <f t="shared" si="161"/>
        <v>80044903.799999997</v>
      </c>
      <c r="M3059" s="36">
        <v>18000</v>
      </c>
      <c r="N3059" s="62">
        <v>283598.17059227102</v>
      </c>
      <c r="O3059" s="40">
        <v>113801.25</v>
      </c>
      <c r="P3059" s="40">
        <v>0</v>
      </c>
      <c r="Q3059" s="40">
        <v>24827.25</v>
      </c>
      <c r="R3059" s="62">
        <v>574575.80608278106</v>
      </c>
      <c r="S3059" s="62">
        <v>291717.722387377</v>
      </c>
      <c r="T3059" s="40">
        <v>30000</v>
      </c>
      <c r="U3059" s="55">
        <v>5206457.80928424</v>
      </c>
      <c r="V3059" s="55">
        <v>0</v>
      </c>
      <c r="W3059" s="45">
        <f t="shared" si="162"/>
        <v>6524978.0083466694</v>
      </c>
      <c r="X3059" s="46">
        <f t="shared" si="163"/>
        <v>8.1516470113449877</v>
      </c>
    </row>
    <row r="3060" spans="1:24" s="4" customFormat="1" ht="15" customHeight="1">
      <c r="A3060" s="79" t="s">
        <v>3955</v>
      </c>
      <c r="B3060" s="80">
        <v>3394.61</v>
      </c>
      <c r="C3060" s="81" t="s">
        <v>4385</v>
      </c>
      <c r="D3060" s="82">
        <v>4952534324</v>
      </c>
      <c r="E3060" s="82" t="s">
        <v>24</v>
      </c>
      <c r="F3060" s="82" t="s">
        <v>4386</v>
      </c>
      <c r="G3060" s="79" t="s">
        <v>5</v>
      </c>
      <c r="H3060" s="2" t="s">
        <v>20</v>
      </c>
      <c r="I3060" s="2">
        <v>1</v>
      </c>
      <c r="J3060" s="2" t="s">
        <v>4387</v>
      </c>
      <c r="K3060" s="2">
        <v>72966.100000000006</v>
      </c>
      <c r="L3060" s="35">
        <f t="shared" si="161"/>
        <v>247691452.72100002</v>
      </c>
      <c r="M3060" s="36">
        <v>6350.4</v>
      </c>
      <c r="N3060" s="40">
        <v>400500</v>
      </c>
      <c r="O3060" s="40">
        <v>346986</v>
      </c>
      <c r="P3060" s="40">
        <v>0</v>
      </c>
      <c r="Q3060" s="40">
        <v>99309</v>
      </c>
      <c r="R3060" s="40">
        <v>446788</v>
      </c>
      <c r="S3060" s="40">
        <v>354356</v>
      </c>
      <c r="T3060" s="40"/>
      <c r="U3060" s="40">
        <v>2900300</v>
      </c>
      <c r="V3060" s="40">
        <v>0</v>
      </c>
      <c r="W3060" s="45">
        <f t="shared" si="162"/>
        <v>4548239</v>
      </c>
      <c r="X3060" s="46">
        <f t="shared" si="163"/>
        <v>1.8362518972841353</v>
      </c>
    </row>
    <row r="3061" spans="1:24" s="4" customFormat="1" ht="15" customHeight="1">
      <c r="A3061" s="79" t="s">
        <v>3955</v>
      </c>
      <c r="B3061" s="80">
        <v>3394.61</v>
      </c>
      <c r="C3061" s="81" t="s">
        <v>4388</v>
      </c>
      <c r="D3061" s="82">
        <v>4952431657</v>
      </c>
      <c r="E3061" s="82" t="s">
        <v>24</v>
      </c>
      <c r="F3061" s="82" t="s">
        <v>4389</v>
      </c>
      <c r="G3061" s="79" t="s">
        <v>5</v>
      </c>
      <c r="H3061" s="2" t="s">
        <v>26</v>
      </c>
      <c r="I3061" s="2">
        <v>2</v>
      </c>
      <c r="J3061" s="2" t="s">
        <v>4390</v>
      </c>
      <c r="K3061" s="2">
        <v>23078.400000000001</v>
      </c>
      <c r="L3061" s="35">
        <f t="shared" si="161"/>
        <v>78342167.42400001</v>
      </c>
      <c r="M3061" s="36">
        <v>24040</v>
      </c>
      <c r="N3061" s="40">
        <v>354576.68729945098</v>
      </c>
      <c r="O3061" s="40">
        <v>160000</v>
      </c>
      <c r="P3061" s="40">
        <v>270074.13394058601</v>
      </c>
      <c r="Q3061" s="40">
        <v>99309</v>
      </c>
      <c r="R3061" s="40">
        <v>612984.41652002896</v>
      </c>
      <c r="S3061" s="40">
        <v>176352.72207846001</v>
      </c>
      <c r="T3061" s="48"/>
      <c r="U3061" s="40">
        <v>0</v>
      </c>
      <c r="V3061" s="40">
        <v>0</v>
      </c>
      <c r="W3061" s="45">
        <f t="shared" si="162"/>
        <v>1673296.9598385261</v>
      </c>
      <c r="X3061" s="46">
        <f t="shared" si="163"/>
        <v>2.1358829029868196</v>
      </c>
    </row>
    <row r="3062" spans="1:24" s="4" customFormat="1" ht="15" customHeight="1">
      <c r="A3062" s="79" t="s">
        <v>3955</v>
      </c>
      <c r="B3062" s="80">
        <v>3394.61</v>
      </c>
      <c r="C3062" s="81" t="s">
        <v>4388</v>
      </c>
      <c r="D3062" s="82">
        <v>4952430937</v>
      </c>
      <c r="E3062" s="82" t="s">
        <v>24</v>
      </c>
      <c r="F3062" s="82" t="s">
        <v>4389</v>
      </c>
      <c r="G3062" s="79" t="s">
        <v>5</v>
      </c>
      <c r="H3062" s="2" t="s">
        <v>26</v>
      </c>
      <c r="I3062" s="2">
        <v>2</v>
      </c>
      <c r="J3062" s="2" t="s">
        <v>4390</v>
      </c>
      <c r="K3062" s="2">
        <v>23294.400000000001</v>
      </c>
      <c r="L3062" s="35">
        <f t="shared" si="161"/>
        <v>79075403.184000015</v>
      </c>
      <c r="M3062" s="36">
        <v>24265</v>
      </c>
      <c r="N3062" s="40">
        <v>357895.31270054902</v>
      </c>
      <c r="O3062" s="40">
        <v>160000</v>
      </c>
      <c r="P3062" s="40">
        <v>272601.86605941399</v>
      </c>
      <c r="Q3062" s="40">
        <v>99309</v>
      </c>
      <c r="R3062" s="40">
        <v>618721.58347997104</v>
      </c>
      <c r="S3062" s="40">
        <v>178003.27792153999</v>
      </c>
      <c r="T3062" s="48"/>
      <c r="U3062" s="40">
        <v>0</v>
      </c>
      <c r="V3062" s="40">
        <v>0</v>
      </c>
      <c r="W3062" s="45">
        <f t="shared" si="162"/>
        <v>1686531.0401614739</v>
      </c>
      <c r="X3062" s="46">
        <f t="shared" si="163"/>
        <v>2.1328137097664825</v>
      </c>
    </row>
    <row r="3063" spans="1:24" s="4" customFormat="1" ht="15" customHeight="1">
      <c r="A3063" s="79" t="s">
        <v>3955</v>
      </c>
      <c r="B3063" s="80">
        <v>3394.61</v>
      </c>
      <c r="C3063" s="81" t="s">
        <v>4391</v>
      </c>
      <c r="D3063" s="82" t="s">
        <v>4355</v>
      </c>
      <c r="E3063" s="82" t="s">
        <v>6</v>
      </c>
      <c r="F3063" s="82" t="s">
        <v>4392</v>
      </c>
      <c r="G3063" s="79" t="s">
        <v>5</v>
      </c>
      <c r="H3063" s="2" t="s">
        <v>17</v>
      </c>
      <c r="I3063" s="2">
        <v>1</v>
      </c>
      <c r="J3063" s="2" t="s">
        <v>4393</v>
      </c>
      <c r="K3063" s="2">
        <v>85320</v>
      </c>
      <c r="L3063" s="35">
        <f t="shared" si="161"/>
        <v>289628125.19999999</v>
      </c>
      <c r="M3063" s="36">
        <v>7200</v>
      </c>
      <c r="N3063" s="40">
        <v>399980</v>
      </c>
      <c r="O3063" s="40">
        <v>567305</v>
      </c>
      <c r="P3063" s="40">
        <v>0</v>
      </c>
      <c r="Q3063" s="40">
        <v>124137</v>
      </c>
      <c r="R3063" s="40">
        <v>686156</v>
      </c>
      <c r="S3063" s="40">
        <v>354356</v>
      </c>
      <c r="T3063" s="40">
        <v>30000</v>
      </c>
      <c r="U3063" s="40">
        <v>4719050</v>
      </c>
      <c r="V3063" s="40">
        <v>0</v>
      </c>
      <c r="W3063" s="45">
        <f t="shared" si="162"/>
        <v>6880984</v>
      </c>
      <c r="X3063" s="46">
        <f t="shared" si="163"/>
        <v>2.3757996552470173</v>
      </c>
    </row>
    <row r="3064" spans="1:24" s="4" customFormat="1" ht="15" customHeight="1">
      <c r="A3064" s="79" t="s">
        <v>3955</v>
      </c>
      <c r="B3064" s="80">
        <v>3394.61</v>
      </c>
      <c r="C3064" s="81" t="s">
        <v>4394</v>
      </c>
      <c r="D3064" s="82">
        <v>4952221337</v>
      </c>
      <c r="E3064" s="82" t="s">
        <v>24</v>
      </c>
      <c r="F3064" s="82" t="s">
        <v>4395</v>
      </c>
      <c r="G3064" s="79" t="s">
        <v>5</v>
      </c>
      <c r="H3064" s="2" t="s">
        <v>26</v>
      </c>
      <c r="I3064" s="2">
        <v>1</v>
      </c>
      <c r="J3064" s="2" t="s">
        <v>4396</v>
      </c>
      <c r="K3064" s="2">
        <v>15348.27</v>
      </c>
      <c r="L3064" s="35">
        <f t="shared" si="161"/>
        <v>52101390.824700005</v>
      </c>
      <c r="M3064" s="36">
        <v>22570.987000000001</v>
      </c>
      <c r="N3064" s="40">
        <v>349134</v>
      </c>
      <c r="O3064" s="40">
        <v>0</v>
      </c>
      <c r="P3064" s="40">
        <v>231212</v>
      </c>
      <c r="Q3064" s="40">
        <v>99309</v>
      </c>
      <c r="R3064" s="40">
        <v>601561</v>
      </c>
      <c r="S3064" s="40">
        <v>354356</v>
      </c>
      <c r="T3064" s="40"/>
      <c r="U3064" s="40">
        <v>0</v>
      </c>
      <c r="V3064" s="40">
        <v>0</v>
      </c>
      <c r="W3064" s="45">
        <f t="shared" si="162"/>
        <v>1635572</v>
      </c>
      <c r="X3064" s="46">
        <f t="shared" si="163"/>
        <v>3.1392098639037003</v>
      </c>
    </row>
    <row r="3065" spans="1:24" s="4" customFormat="1" ht="15" customHeight="1">
      <c r="A3065" s="79" t="s">
        <v>3955</v>
      </c>
      <c r="B3065" s="80">
        <v>3394.61</v>
      </c>
      <c r="C3065" s="81" t="s">
        <v>4397</v>
      </c>
      <c r="D3065" s="82">
        <v>4951380714</v>
      </c>
      <c r="E3065" s="82" t="s">
        <v>38</v>
      </c>
      <c r="F3065" s="82" t="s">
        <v>4398</v>
      </c>
      <c r="G3065" s="79" t="s">
        <v>9</v>
      </c>
      <c r="H3065" s="2" t="s">
        <v>23</v>
      </c>
      <c r="I3065" s="2">
        <v>9</v>
      </c>
      <c r="J3065" s="2"/>
      <c r="K3065" s="2">
        <v>6787.2</v>
      </c>
      <c r="L3065" s="35">
        <f t="shared" si="161"/>
        <v>23039896.991999999</v>
      </c>
      <c r="M3065" s="36">
        <v>3360</v>
      </c>
      <c r="N3065" s="62">
        <v>701105.26197544695</v>
      </c>
      <c r="O3065" s="65">
        <v>1431.3333333333301</v>
      </c>
      <c r="P3065" s="62">
        <v>0</v>
      </c>
      <c r="Q3065" s="65">
        <v>27881</v>
      </c>
      <c r="R3065" s="62">
        <v>827200.02567600098</v>
      </c>
      <c r="S3065" s="62">
        <v>191067.34494102499</v>
      </c>
      <c r="T3065" s="65"/>
      <c r="U3065" s="55">
        <v>483793.62914226099</v>
      </c>
      <c r="V3065" s="55">
        <v>0</v>
      </c>
      <c r="W3065" s="45">
        <f t="shared" si="162"/>
        <v>2232478.5950680673</v>
      </c>
      <c r="X3065" s="46">
        <f t="shared" si="163"/>
        <v>9.6896205562170579</v>
      </c>
    </row>
    <row r="3066" spans="1:24" s="4" customFormat="1" ht="15" customHeight="1">
      <c r="A3066" s="79" t="s">
        <v>3955</v>
      </c>
      <c r="B3066" s="80">
        <v>3394.61</v>
      </c>
      <c r="C3066" s="81" t="s">
        <v>4397</v>
      </c>
      <c r="D3066" s="82">
        <v>4951380716</v>
      </c>
      <c r="E3066" s="82" t="s">
        <v>38</v>
      </c>
      <c r="F3066" s="82" t="s">
        <v>4398</v>
      </c>
      <c r="G3066" s="79" t="s">
        <v>9</v>
      </c>
      <c r="H3066" s="2" t="s">
        <v>23</v>
      </c>
      <c r="I3066" s="2">
        <v>9</v>
      </c>
      <c r="J3066" s="2"/>
      <c r="K3066" s="2">
        <v>4992</v>
      </c>
      <c r="L3066" s="35">
        <f t="shared" si="161"/>
        <v>16945893.120000001</v>
      </c>
      <c r="M3066" s="36">
        <v>2400</v>
      </c>
      <c r="N3066" s="62">
        <v>500789.472839605</v>
      </c>
      <c r="O3066" s="65">
        <v>1431.3333333333301</v>
      </c>
      <c r="P3066" s="62">
        <v>0</v>
      </c>
      <c r="Q3066" s="65">
        <v>27881</v>
      </c>
      <c r="R3066" s="62">
        <v>590857.16119714302</v>
      </c>
      <c r="S3066" s="62">
        <v>136476.67495787499</v>
      </c>
      <c r="T3066" s="65"/>
      <c r="U3066" s="55">
        <v>345566.87795875798</v>
      </c>
      <c r="V3066" s="55">
        <v>0</v>
      </c>
      <c r="W3066" s="45">
        <f t="shared" si="162"/>
        <v>1603002.5202867142</v>
      </c>
      <c r="X3066" s="46">
        <f t="shared" si="163"/>
        <v>9.4595339940791145</v>
      </c>
    </row>
    <row r="3067" spans="1:24" s="4" customFormat="1" ht="15" customHeight="1">
      <c r="A3067" s="79" t="s">
        <v>3955</v>
      </c>
      <c r="B3067" s="80">
        <v>3394.61</v>
      </c>
      <c r="C3067" s="81" t="s">
        <v>4397</v>
      </c>
      <c r="D3067" s="82">
        <v>4951380717</v>
      </c>
      <c r="E3067" s="82" t="s">
        <v>38</v>
      </c>
      <c r="F3067" s="82" t="s">
        <v>4398</v>
      </c>
      <c r="G3067" s="79" t="s">
        <v>9</v>
      </c>
      <c r="H3067" s="2" t="s">
        <v>23</v>
      </c>
      <c r="I3067" s="2">
        <v>9</v>
      </c>
      <c r="J3067" s="2"/>
      <c r="K3067" s="2">
        <v>872.28</v>
      </c>
      <c r="L3067" s="35">
        <f t="shared" si="161"/>
        <v>2961050.4108000002</v>
      </c>
      <c r="M3067" s="36">
        <v>471.5</v>
      </c>
      <c r="N3067" s="62">
        <v>98384.265184947406</v>
      </c>
      <c r="O3067" s="65">
        <v>1431.3333333333301</v>
      </c>
      <c r="P3067" s="62">
        <v>0</v>
      </c>
      <c r="Q3067" s="65">
        <v>27881</v>
      </c>
      <c r="R3067" s="62">
        <v>116078.813126856</v>
      </c>
      <c r="S3067" s="62">
        <v>26811.9801010993</v>
      </c>
      <c r="T3067" s="65"/>
      <c r="U3067" s="55">
        <v>67889.492898981</v>
      </c>
      <c r="V3067" s="55">
        <v>0</v>
      </c>
      <c r="W3067" s="45">
        <f t="shared" si="162"/>
        <v>338476.88464521698</v>
      </c>
      <c r="X3067" s="46">
        <f t="shared" si="163"/>
        <v>11.430973394126349</v>
      </c>
    </row>
    <row r="3068" spans="1:24" s="4" customFormat="1" ht="15" customHeight="1">
      <c r="A3068" s="79" t="s">
        <v>3955</v>
      </c>
      <c r="B3068" s="80">
        <v>3394.61</v>
      </c>
      <c r="C3068" s="81" t="s">
        <v>4399</v>
      </c>
      <c r="D3068" s="82">
        <v>4952809784</v>
      </c>
      <c r="E3068" s="82" t="s">
        <v>18</v>
      </c>
      <c r="F3068" s="83" t="s">
        <v>4400</v>
      </c>
      <c r="G3068" s="79" t="s">
        <v>9</v>
      </c>
      <c r="H3068" s="2" t="s">
        <v>23</v>
      </c>
      <c r="I3068" s="2">
        <v>9</v>
      </c>
      <c r="J3068" s="2"/>
      <c r="K3068" s="2">
        <v>31110</v>
      </c>
      <c r="L3068" s="35">
        <f t="shared" si="161"/>
        <v>105606317.10000001</v>
      </c>
      <c r="M3068" s="36">
        <v>1500</v>
      </c>
      <c r="N3068" s="62">
        <v>467680.98591549299</v>
      </c>
      <c r="O3068" s="65">
        <v>487.8</v>
      </c>
      <c r="P3068" s="62">
        <v>151583.23943662</v>
      </c>
      <c r="Q3068" s="65">
        <v>9532.4</v>
      </c>
      <c r="R3068" s="62">
        <v>469035.21126760601</v>
      </c>
      <c r="S3068" s="62">
        <v>149727.88732394401</v>
      </c>
      <c r="T3068" s="40">
        <v>30000</v>
      </c>
      <c r="U3068" s="55">
        <v>881197.18309859198</v>
      </c>
      <c r="V3068" s="55">
        <v>0</v>
      </c>
      <c r="W3068" s="45">
        <f t="shared" si="162"/>
        <v>2159244.707042255</v>
      </c>
      <c r="X3068" s="46">
        <f t="shared" si="163"/>
        <v>2.0446169948315096</v>
      </c>
    </row>
    <row r="3069" spans="1:24" s="4" customFormat="1" ht="15" customHeight="1">
      <c r="A3069" s="79" t="s">
        <v>3955</v>
      </c>
      <c r="B3069" s="80">
        <v>3394.61</v>
      </c>
      <c r="C3069" s="81" t="s">
        <v>4399</v>
      </c>
      <c r="D3069" s="82">
        <v>4952838316</v>
      </c>
      <c r="E3069" s="82" t="s">
        <v>18</v>
      </c>
      <c r="F3069" s="82" t="s">
        <v>4400</v>
      </c>
      <c r="G3069" s="79" t="s">
        <v>9</v>
      </c>
      <c r="H3069" s="2" t="s">
        <v>23</v>
      </c>
      <c r="I3069" s="2">
        <v>9</v>
      </c>
      <c r="J3069" s="2"/>
      <c r="K3069" s="2">
        <v>3728</v>
      </c>
      <c r="L3069" s="35">
        <f t="shared" si="161"/>
        <v>12655106.08</v>
      </c>
      <c r="M3069" s="36">
        <v>100</v>
      </c>
      <c r="N3069" s="62">
        <v>31178.732394366201</v>
      </c>
      <c r="O3069" s="65">
        <v>487.8</v>
      </c>
      <c r="P3069" s="62">
        <v>10105.549295774599</v>
      </c>
      <c r="Q3069" s="65">
        <v>9532.4</v>
      </c>
      <c r="R3069" s="62">
        <v>31269.014084506998</v>
      </c>
      <c r="S3069" s="62">
        <v>9981.8591549295797</v>
      </c>
      <c r="T3069" s="40">
        <v>30000</v>
      </c>
      <c r="U3069" s="55">
        <v>58746.478873239401</v>
      </c>
      <c r="V3069" s="55">
        <v>0</v>
      </c>
      <c r="W3069" s="45">
        <f t="shared" si="162"/>
        <v>181301.83380281678</v>
      </c>
      <c r="X3069" s="46">
        <f t="shared" si="163"/>
        <v>1.4326378037189618</v>
      </c>
    </row>
    <row r="3070" spans="1:24" s="4" customFormat="1" ht="15" customHeight="1">
      <c r="A3070" s="79" t="s">
        <v>3955</v>
      </c>
      <c r="B3070" s="80">
        <v>3394.61</v>
      </c>
      <c r="C3070" s="81" t="s">
        <v>4399</v>
      </c>
      <c r="D3070" s="82">
        <v>4952364616</v>
      </c>
      <c r="E3070" s="82" t="s">
        <v>18</v>
      </c>
      <c r="F3070" s="82" t="s">
        <v>4400</v>
      </c>
      <c r="G3070" s="79" t="s">
        <v>9</v>
      </c>
      <c r="H3070" s="2" t="s">
        <v>23</v>
      </c>
      <c r="I3070" s="2">
        <v>9</v>
      </c>
      <c r="J3070" s="2"/>
      <c r="K3070" s="2">
        <v>26690</v>
      </c>
      <c r="L3070" s="35">
        <f t="shared" si="161"/>
        <v>90602140.900000006</v>
      </c>
      <c r="M3070" s="36">
        <f>175+825</f>
        <v>1000</v>
      </c>
      <c r="N3070" s="62">
        <v>311787.32394366199</v>
      </c>
      <c r="O3070" s="65">
        <v>487.8</v>
      </c>
      <c r="P3070" s="62">
        <v>101055.492957746</v>
      </c>
      <c r="Q3070" s="65">
        <v>9532.4</v>
      </c>
      <c r="R3070" s="62">
        <v>312690.14084507001</v>
      </c>
      <c r="S3070" s="62">
        <v>99818.591549295801</v>
      </c>
      <c r="T3070" s="40">
        <v>30000</v>
      </c>
      <c r="U3070" s="55">
        <v>587464.78873239399</v>
      </c>
      <c r="V3070" s="55">
        <v>0</v>
      </c>
      <c r="W3070" s="45">
        <f t="shared" si="162"/>
        <v>1452836.5380281678</v>
      </c>
      <c r="X3070" s="46">
        <f t="shared" si="163"/>
        <v>1.6035344458710994</v>
      </c>
    </row>
    <row r="3071" spans="1:24" s="4" customFormat="1" ht="15" customHeight="1">
      <c r="A3071" s="79" t="s">
        <v>3955</v>
      </c>
      <c r="B3071" s="80">
        <v>3394.61</v>
      </c>
      <c r="C3071" s="81" t="s">
        <v>4399</v>
      </c>
      <c r="D3071" s="82">
        <v>4952172253</v>
      </c>
      <c r="E3071" s="82" t="s">
        <v>18</v>
      </c>
      <c r="F3071" s="82" t="s">
        <v>4400</v>
      </c>
      <c r="G3071" s="79" t="s">
        <v>9</v>
      </c>
      <c r="H3071" s="2" t="s">
        <v>23</v>
      </c>
      <c r="I3071" s="2">
        <v>9</v>
      </c>
      <c r="J3071" s="2"/>
      <c r="K3071" s="2">
        <v>9443</v>
      </c>
      <c r="L3071" s="35">
        <f t="shared" si="161"/>
        <v>32055302.23</v>
      </c>
      <c r="M3071" s="36">
        <v>350</v>
      </c>
      <c r="N3071" s="62">
        <v>109125.56338028199</v>
      </c>
      <c r="O3071" s="65">
        <v>487.8</v>
      </c>
      <c r="P3071" s="62">
        <v>35369.422535211299</v>
      </c>
      <c r="Q3071" s="65">
        <v>9532.4</v>
      </c>
      <c r="R3071" s="62">
        <v>109441.549295775</v>
      </c>
      <c r="S3071" s="62">
        <v>34936.507042253499</v>
      </c>
      <c r="T3071" s="40">
        <v>30000</v>
      </c>
      <c r="U3071" s="55">
        <v>205612.67605633801</v>
      </c>
      <c r="V3071" s="55">
        <v>0</v>
      </c>
      <c r="W3071" s="45">
        <f t="shared" si="162"/>
        <v>534505.91830985982</v>
      </c>
      <c r="X3071" s="46">
        <f t="shared" si="163"/>
        <v>1.6674493176658465</v>
      </c>
    </row>
    <row r="3072" spans="1:24" s="4" customFormat="1" ht="15" customHeight="1">
      <c r="A3072" s="79" t="s">
        <v>3955</v>
      </c>
      <c r="B3072" s="80">
        <v>3394.61</v>
      </c>
      <c r="C3072" s="81" t="s">
        <v>4399</v>
      </c>
      <c r="D3072" s="82">
        <v>4952165900</v>
      </c>
      <c r="E3072" s="82" t="s">
        <v>18</v>
      </c>
      <c r="F3072" s="82" t="s">
        <v>4400</v>
      </c>
      <c r="G3072" s="79" t="s">
        <v>9</v>
      </c>
      <c r="H3072" s="2" t="s">
        <v>23</v>
      </c>
      <c r="I3072" s="2">
        <v>9</v>
      </c>
      <c r="J3072" s="2"/>
      <c r="K3072" s="2">
        <v>24024</v>
      </c>
      <c r="L3072" s="35">
        <f t="shared" si="161"/>
        <v>81552110.640000001</v>
      </c>
      <c r="M3072" s="36">
        <v>600</v>
      </c>
      <c r="N3072" s="62">
        <v>187072.394366197</v>
      </c>
      <c r="O3072" s="65">
        <v>487.8</v>
      </c>
      <c r="P3072" s="62">
        <v>60633.295774647901</v>
      </c>
      <c r="Q3072" s="65">
        <v>9532.4</v>
      </c>
      <c r="R3072" s="62">
        <v>187614.08450704199</v>
      </c>
      <c r="S3072" s="62">
        <v>59891.154929577497</v>
      </c>
      <c r="T3072" s="40">
        <v>30000</v>
      </c>
      <c r="U3072" s="55">
        <v>352478.873239437</v>
      </c>
      <c r="V3072" s="55">
        <v>0</v>
      </c>
      <c r="W3072" s="45">
        <f t="shared" si="162"/>
        <v>887710.00281690143</v>
      </c>
      <c r="X3072" s="46">
        <f t="shared" si="163"/>
        <v>1.0885187346475542</v>
      </c>
    </row>
    <row r="3073" spans="1:24" ht="15" customHeight="1">
      <c r="G3073"/>
      <c r="I3073"/>
      <c r="N3073"/>
      <c r="O3073" s="24"/>
      <c r="P3073"/>
      <c r="Q3073" s="24"/>
      <c r="R3073"/>
      <c r="S3073"/>
      <c r="T3073"/>
      <c r="U3073"/>
      <c r="X3073" s="60"/>
    </row>
    <row r="3074" spans="1:24" ht="15" customHeight="1">
      <c r="A3074" s="87" t="s">
        <v>3955</v>
      </c>
      <c r="B3074" s="31"/>
      <c r="C3074" s="31"/>
      <c r="D3074" s="31"/>
      <c r="E3074" s="31"/>
      <c r="F3074" s="32">
        <v>175</v>
      </c>
      <c r="G3074" s="31"/>
      <c r="H3074" s="31"/>
      <c r="I3074" s="38"/>
      <c r="J3074" s="31"/>
      <c r="K3074" s="39">
        <f>+SUM(K2722:K3072)</f>
        <v>6589952.5000000009</v>
      </c>
      <c r="L3074" s="39">
        <f>+SUM(L2722:L3072)</f>
        <v>22370318656.025013</v>
      </c>
      <c r="M3074" s="31"/>
      <c r="N3074" s="39"/>
      <c r="O3074" s="39"/>
      <c r="P3074" s="39"/>
      <c r="Q3074" s="39"/>
      <c r="R3074" s="39"/>
      <c r="S3074" s="39"/>
      <c r="T3074" s="39"/>
      <c r="U3074" s="39"/>
      <c r="V3074" s="31"/>
      <c r="W3074" s="39">
        <f>+SUM(W2722:W3072)</f>
        <v>819349846.62852263</v>
      </c>
      <c r="X3074" s="47">
        <f>(W3074/L3074)*100</f>
        <v>3.6626650662745326</v>
      </c>
    </row>
    <row r="3075" spans="1:24" ht="15" customHeight="1">
      <c r="G3075"/>
      <c r="I3075"/>
      <c r="N3075"/>
      <c r="O3075" s="24"/>
      <c r="P3075"/>
      <c r="Q3075" s="24"/>
      <c r="R3075"/>
      <c r="S3075"/>
      <c r="T3075"/>
      <c r="U3075"/>
      <c r="X3075" s="60"/>
    </row>
    <row r="3076" spans="1:24" ht="15" customHeight="1">
      <c r="G3076"/>
      <c r="I3076"/>
      <c r="N3076"/>
      <c r="O3076" s="24"/>
      <c r="P3076"/>
      <c r="Q3076" s="24"/>
      <c r="R3076"/>
      <c r="S3076"/>
      <c r="T3076"/>
      <c r="U3076"/>
      <c r="X3076" s="60"/>
    </row>
    <row r="3077" spans="1:24" ht="15" customHeight="1">
      <c r="G3077"/>
      <c r="I3077"/>
      <c r="N3077"/>
      <c r="O3077" s="24"/>
      <c r="P3077"/>
      <c r="Q3077" s="24"/>
      <c r="R3077"/>
      <c r="S3077"/>
      <c r="T3077"/>
      <c r="U3077"/>
      <c r="X3077" s="60"/>
    </row>
    <row r="3078" spans="1:24" ht="15" customHeight="1">
      <c r="G3078"/>
      <c r="I3078"/>
      <c r="N3078"/>
      <c r="O3078" s="24"/>
      <c r="P3078"/>
      <c r="Q3078" s="24"/>
      <c r="R3078"/>
      <c r="S3078"/>
      <c r="T3078"/>
      <c r="U3078"/>
      <c r="X3078" s="60"/>
    </row>
    <row r="3079" spans="1:24" ht="15" customHeight="1">
      <c r="G3079"/>
      <c r="I3079"/>
      <c r="N3079"/>
      <c r="O3079" s="24"/>
      <c r="P3079"/>
      <c r="Q3079" s="24"/>
      <c r="R3079"/>
      <c r="S3079"/>
      <c r="T3079"/>
      <c r="U3079"/>
      <c r="X3079" s="60"/>
    </row>
    <row r="3080" spans="1:24" ht="15" customHeight="1">
      <c r="G3080"/>
      <c r="I3080"/>
      <c r="N3080"/>
      <c r="O3080" s="24"/>
      <c r="P3080"/>
      <c r="Q3080" s="24"/>
      <c r="R3080"/>
      <c r="S3080"/>
      <c r="T3080"/>
      <c r="U3080"/>
      <c r="X3080" s="60"/>
    </row>
    <row r="3081" spans="1:24" ht="15" customHeight="1">
      <c r="G3081"/>
      <c r="I3081"/>
      <c r="N3081"/>
      <c r="O3081" s="24"/>
      <c r="P3081"/>
      <c r="Q3081" s="24"/>
      <c r="R3081"/>
      <c r="S3081"/>
      <c r="T3081"/>
      <c r="U3081"/>
      <c r="X3081" s="60"/>
    </row>
    <row r="3082" spans="1:24" ht="15" customHeight="1">
      <c r="G3082"/>
      <c r="I3082"/>
      <c r="N3082"/>
      <c r="O3082" s="24"/>
      <c r="P3082"/>
      <c r="Q3082" s="24"/>
      <c r="R3082"/>
      <c r="S3082"/>
      <c r="T3082"/>
      <c r="U3082"/>
      <c r="X3082" s="60"/>
    </row>
    <row r="3083" spans="1:24" ht="15" customHeight="1">
      <c r="G3083"/>
      <c r="I3083"/>
      <c r="N3083"/>
      <c r="O3083" s="24"/>
      <c r="P3083"/>
      <c r="Q3083" s="24"/>
      <c r="R3083"/>
      <c r="S3083"/>
      <c r="T3083"/>
      <c r="U3083"/>
      <c r="X3083" s="60"/>
    </row>
    <row r="3084" spans="1:24" ht="15" customHeight="1">
      <c r="G3084"/>
      <c r="I3084"/>
      <c r="N3084"/>
      <c r="O3084" s="24"/>
      <c r="P3084"/>
      <c r="Q3084" s="24"/>
      <c r="R3084"/>
      <c r="S3084"/>
      <c r="T3084"/>
      <c r="U3084"/>
      <c r="X3084" s="60"/>
    </row>
    <row r="3085" spans="1:24" ht="15" customHeight="1">
      <c r="G3085"/>
      <c r="I3085"/>
      <c r="N3085"/>
      <c r="O3085" s="24"/>
      <c r="P3085"/>
      <c r="Q3085" s="24"/>
      <c r="R3085"/>
      <c r="S3085"/>
      <c r="T3085"/>
      <c r="U3085"/>
      <c r="X3085" s="60"/>
    </row>
    <row r="3086" spans="1:24" ht="15" customHeight="1">
      <c r="G3086"/>
      <c r="I3086"/>
      <c r="N3086"/>
      <c r="O3086" s="24"/>
      <c r="P3086"/>
      <c r="Q3086" s="24"/>
      <c r="R3086"/>
      <c r="S3086"/>
      <c r="T3086"/>
      <c r="U3086"/>
      <c r="X3086" s="60"/>
    </row>
    <row r="3087" spans="1:24" ht="15" customHeight="1">
      <c r="G3087"/>
      <c r="I3087"/>
      <c r="N3087"/>
      <c r="O3087" s="24"/>
      <c r="P3087"/>
      <c r="Q3087" s="24"/>
      <c r="R3087"/>
      <c r="S3087"/>
      <c r="T3087"/>
      <c r="U3087"/>
      <c r="X3087" s="60"/>
    </row>
    <row r="3088" spans="1:24" ht="15" customHeight="1">
      <c r="G3088"/>
      <c r="I3088"/>
      <c r="N3088"/>
      <c r="O3088" s="24"/>
      <c r="P3088"/>
      <c r="Q3088" s="24"/>
      <c r="R3088"/>
      <c r="S3088"/>
      <c r="T3088"/>
      <c r="U3088"/>
      <c r="X3088" s="60"/>
    </row>
    <row r="3089" spans="7:24" ht="15" customHeight="1">
      <c r="G3089"/>
      <c r="I3089"/>
      <c r="N3089"/>
      <c r="O3089" s="24"/>
      <c r="P3089"/>
      <c r="Q3089" s="24"/>
      <c r="R3089"/>
      <c r="S3089"/>
      <c r="T3089"/>
      <c r="U3089"/>
      <c r="X3089" s="60"/>
    </row>
    <row r="3090" spans="7:24" ht="15" customHeight="1">
      <c r="G3090"/>
      <c r="I3090"/>
      <c r="N3090"/>
      <c r="O3090" s="24"/>
      <c r="P3090"/>
      <c r="Q3090" s="24"/>
      <c r="R3090"/>
      <c r="S3090"/>
      <c r="T3090"/>
      <c r="U3090"/>
      <c r="X3090" s="60"/>
    </row>
    <row r="3091" spans="7:24" ht="15" customHeight="1">
      <c r="G3091"/>
      <c r="I3091"/>
      <c r="N3091"/>
      <c r="O3091" s="24"/>
      <c r="P3091"/>
      <c r="Q3091" s="24"/>
      <c r="R3091"/>
      <c r="S3091"/>
      <c r="T3091"/>
      <c r="U3091"/>
      <c r="X3091" s="60"/>
    </row>
    <row r="3092" spans="7:24" ht="15" customHeight="1">
      <c r="G3092"/>
      <c r="I3092"/>
      <c r="N3092"/>
      <c r="O3092" s="24"/>
      <c r="P3092"/>
      <c r="Q3092" s="24"/>
      <c r="R3092"/>
      <c r="S3092"/>
      <c r="T3092"/>
      <c r="U3092"/>
      <c r="X3092" s="60"/>
    </row>
    <row r="3093" spans="7:24" ht="15" customHeight="1">
      <c r="G3093"/>
      <c r="I3093"/>
      <c r="N3093"/>
      <c r="O3093" s="24"/>
      <c r="P3093"/>
      <c r="Q3093" s="24"/>
      <c r="R3093"/>
      <c r="S3093"/>
      <c r="T3093"/>
      <c r="U3093"/>
      <c r="X3093" s="60"/>
    </row>
    <row r="3094" spans="7:24" ht="15" customHeight="1">
      <c r="G3094"/>
      <c r="I3094"/>
      <c r="N3094"/>
      <c r="O3094" s="24"/>
      <c r="P3094"/>
      <c r="Q3094" s="24"/>
      <c r="R3094"/>
      <c r="S3094"/>
      <c r="T3094"/>
      <c r="U3094"/>
      <c r="X3094" s="60"/>
    </row>
    <row r="3095" spans="7:24" ht="15" customHeight="1">
      <c r="G3095"/>
      <c r="I3095"/>
      <c r="N3095"/>
      <c r="O3095" s="24"/>
      <c r="P3095"/>
      <c r="Q3095" s="24"/>
      <c r="R3095"/>
      <c r="S3095"/>
      <c r="T3095"/>
      <c r="U3095"/>
      <c r="X3095" s="60"/>
    </row>
    <row r="3096" spans="7:24" ht="15" customHeight="1">
      <c r="G3096"/>
      <c r="I3096"/>
      <c r="N3096"/>
      <c r="O3096" s="24"/>
      <c r="P3096"/>
      <c r="Q3096" s="24"/>
      <c r="R3096"/>
      <c r="S3096"/>
      <c r="T3096"/>
      <c r="U3096"/>
      <c r="X3096" s="60"/>
    </row>
    <row r="3097" spans="7:24" ht="15" customHeight="1">
      <c r="G3097"/>
      <c r="I3097"/>
      <c r="N3097"/>
      <c r="O3097" s="24"/>
      <c r="P3097"/>
      <c r="Q3097" s="24"/>
      <c r="R3097"/>
      <c r="S3097"/>
      <c r="T3097"/>
      <c r="U3097"/>
      <c r="X3097" s="60"/>
    </row>
    <row r="3098" spans="7:24" ht="15" customHeight="1">
      <c r="G3098"/>
      <c r="I3098"/>
      <c r="N3098"/>
      <c r="O3098" s="24"/>
      <c r="P3098"/>
      <c r="Q3098" s="24"/>
      <c r="R3098"/>
      <c r="S3098"/>
      <c r="T3098"/>
      <c r="U3098"/>
      <c r="X3098" s="60"/>
    </row>
    <row r="3099" spans="7:24" ht="15" customHeight="1">
      <c r="G3099"/>
      <c r="I3099"/>
      <c r="N3099"/>
      <c r="O3099" s="24"/>
      <c r="P3099"/>
      <c r="Q3099" s="24"/>
      <c r="R3099"/>
      <c r="S3099"/>
      <c r="T3099"/>
      <c r="U3099"/>
      <c r="X3099" s="60"/>
    </row>
    <row r="3100" spans="7:24" ht="15" customHeight="1">
      <c r="G3100"/>
      <c r="I3100"/>
      <c r="N3100"/>
      <c r="O3100" s="24"/>
      <c r="P3100"/>
      <c r="Q3100" s="24"/>
      <c r="R3100"/>
      <c r="S3100"/>
      <c r="T3100"/>
      <c r="U3100"/>
      <c r="X3100" s="60"/>
    </row>
    <row r="3101" spans="7:24" ht="15" customHeight="1">
      <c r="G3101"/>
      <c r="I3101"/>
      <c r="N3101"/>
      <c r="O3101" s="24"/>
      <c r="P3101"/>
      <c r="Q3101" s="24"/>
      <c r="R3101"/>
      <c r="S3101"/>
      <c r="T3101"/>
      <c r="U3101"/>
      <c r="X3101" s="60"/>
    </row>
    <row r="3102" spans="7:24" ht="15" customHeight="1">
      <c r="G3102"/>
      <c r="I3102"/>
      <c r="N3102"/>
      <c r="O3102" s="24"/>
      <c r="P3102"/>
      <c r="Q3102" s="24"/>
      <c r="R3102"/>
      <c r="S3102"/>
      <c r="T3102"/>
      <c r="U3102"/>
      <c r="X3102" s="60"/>
    </row>
    <row r="3103" spans="7:24" ht="15" customHeight="1">
      <c r="G3103"/>
      <c r="I3103"/>
      <c r="N3103"/>
      <c r="O3103" s="24"/>
      <c r="P3103"/>
      <c r="Q3103" s="24"/>
      <c r="R3103"/>
      <c r="S3103"/>
      <c r="T3103"/>
      <c r="U3103"/>
      <c r="X3103" s="60"/>
    </row>
    <row r="3104" spans="7:24" ht="15" customHeight="1">
      <c r="G3104"/>
      <c r="I3104"/>
      <c r="N3104"/>
      <c r="O3104" s="24"/>
      <c r="P3104"/>
      <c r="Q3104" s="24"/>
      <c r="R3104"/>
      <c r="S3104"/>
      <c r="T3104"/>
      <c r="U3104"/>
      <c r="X3104" s="60"/>
    </row>
    <row r="3105" spans="7:24" ht="15" customHeight="1">
      <c r="G3105"/>
      <c r="I3105"/>
      <c r="N3105"/>
      <c r="O3105" s="24"/>
      <c r="P3105"/>
      <c r="Q3105" s="24"/>
      <c r="R3105"/>
      <c r="S3105"/>
      <c r="T3105"/>
      <c r="U3105"/>
      <c r="X3105" s="60"/>
    </row>
    <row r="3106" spans="7:24" ht="15" customHeight="1">
      <c r="G3106"/>
      <c r="I3106"/>
      <c r="N3106"/>
      <c r="O3106" s="24"/>
      <c r="P3106"/>
      <c r="Q3106" s="24"/>
      <c r="R3106"/>
      <c r="S3106"/>
      <c r="T3106"/>
      <c r="U3106"/>
      <c r="X3106" s="60"/>
    </row>
    <row r="3107" spans="7:24" ht="15" customHeight="1">
      <c r="G3107"/>
      <c r="I3107"/>
      <c r="N3107"/>
      <c r="O3107" s="24"/>
      <c r="P3107"/>
      <c r="Q3107" s="24"/>
      <c r="R3107"/>
      <c r="S3107"/>
      <c r="T3107"/>
      <c r="U3107"/>
      <c r="X3107" s="60"/>
    </row>
    <row r="3108" spans="7:24" ht="15" customHeight="1">
      <c r="G3108"/>
      <c r="I3108"/>
      <c r="N3108"/>
      <c r="O3108" s="24"/>
      <c r="P3108"/>
      <c r="Q3108" s="24"/>
      <c r="R3108"/>
      <c r="S3108"/>
      <c r="T3108"/>
      <c r="U3108"/>
      <c r="X3108" s="60"/>
    </row>
    <row r="3109" spans="7:24" ht="15" customHeight="1">
      <c r="G3109"/>
      <c r="I3109"/>
      <c r="N3109"/>
      <c r="O3109" s="24"/>
      <c r="P3109"/>
      <c r="Q3109" s="24"/>
      <c r="R3109"/>
      <c r="S3109"/>
      <c r="T3109"/>
      <c r="U3109"/>
      <c r="X3109" s="60"/>
    </row>
    <row r="3110" spans="7:24" ht="15" customHeight="1">
      <c r="G3110"/>
      <c r="I3110"/>
      <c r="N3110"/>
      <c r="O3110" s="24"/>
      <c r="P3110"/>
      <c r="Q3110" s="24"/>
      <c r="R3110"/>
      <c r="S3110"/>
      <c r="T3110"/>
      <c r="U3110"/>
      <c r="X3110" s="60"/>
    </row>
    <row r="3111" spans="7:24" ht="15" customHeight="1">
      <c r="G3111"/>
      <c r="I3111"/>
      <c r="N3111"/>
      <c r="O3111" s="24"/>
      <c r="P3111"/>
      <c r="Q3111" s="24"/>
      <c r="R3111"/>
      <c r="S3111"/>
      <c r="T3111"/>
      <c r="U3111"/>
      <c r="X3111" s="60"/>
    </row>
    <row r="3112" spans="7:24" ht="15" customHeight="1">
      <c r="G3112"/>
      <c r="I3112"/>
      <c r="N3112"/>
      <c r="O3112" s="24"/>
      <c r="P3112"/>
      <c r="Q3112" s="24"/>
      <c r="R3112"/>
      <c r="S3112"/>
      <c r="T3112"/>
      <c r="U3112"/>
      <c r="X3112" s="60"/>
    </row>
    <row r="3113" spans="7:24" ht="15" customHeight="1">
      <c r="G3113"/>
      <c r="I3113"/>
      <c r="N3113"/>
      <c r="O3113" s="24"/>
      <c r="P3113"/>
      <c r="Q3113" s="24"/>
      <c r="R3113"/>
      <c r="S3113"/>
      <c r="T3113"/>
      <c r="U3113"/>
      <c r="X3113" s="60"/>
    </row>
    <row r="3114" spans="7:24" ht="15" customHeight="1">
      <c r="G3114"/>
      <c r="I3114"/>
      <c r="N3114"/>
      <c r="O3114" s="24"/>
      <c r="P3114"/>
      <c r="Q3114" s="24"/>
      <c r="R3114"/>
      <c r="S3114"/>
      <c r="T3114"/>
      <c r="U3114"/>
      <c r="X3114" s="60"/>
    </row>
    <row r="3115" spans="7:24" ht="15" customHeight="1">
      <c r="G3115"/>
      <c r="I3115"/>
      <c r="N3115"/>
      <c r="O3115" s="24"/>
      <c r="P3115"/>
      <c r="Q3115" s="24"/>
      <c r="R3115"/>
      <c r="S3115"/>
      <c r="T3115"/>
      <c r="U3115"/>
      <c r="X3115" s="60"/>
    </row>
    <row r="3116" spans="7:24" ht="15" customHeight="1">
      <c r="G3116"/>
      <c r="I3116"/>
      <c r="N3116"/>
      <c r="O3116" s="24"/>
      <c r="P3116"/>
      <c r="Q3116" s="24"/>
      <c r="R3116"/>
      <c r="S3116"/>
      <c r="T3116"/>
      <c r="U3116"/>
      <c r="X3116" s="60"/>
    </row>
    <row r="3117" spans="7:24" ht="15" customHeight="1">
      <c r="G3117"/>
      <c r="I3117"/>
      <c r="N3117"/>
      <c r="O3117" s="24"/>
      <c r="P3117"/>
      <c r="Q3117" s="24"/>
      <c r="R3117"/>
      <c r="S3117"/>
      <c r="T3117"/>
      <c r="U3117"/>
      <c r="X3117" s="60"/>
    </row>
    <row r="3118" spans="7:24" ht="15" customHeight="1">
      <c r="G3118"/>
      <c r="I3118"/>
      <c r="N3118"/>
      <c r="O3118" s="24"/>
      <c r="P3118"/>
      <c r="Q3118" s="24"/>
      <c r="R3118"/>
      <c r="S3118"/>
      <c r="T3118"/>
      <c r="U3118"/>
      <c r="X3118" s="60"/>
    </row>
    <row r="3119" spans="7:24" ht="15" customHeight="1">
      <c r="G3119"/>
      <c r="I3119"/>
      <c r="N3119"/>
      <c r="O3119" s="24"/>
      <c r="P3119"/>
      <c r="Q3119" s="24"/>
      <c r="R3119"/>
      <c r="S3119"/>
      <c r="T3119"/>
      <c r="U3119"/>
      <c r="X3119" s="60"/>
    </row>
    <row r="3120" spans="7:24" ht="15" customHeight="1">
      <c r="G3120"/>
      <c r="I3120"/>
      <c r="N3120"/>
      <c r="O3120" s="24"/>
      <c r="P3120"/>
      <c r="Q3120" s="24"/>
      <c r="R3120"/>
      <c r="S3120"/>
      <c r="T3120"/>
      <c r="U3120"/>
      <c r="X3120" s="60"/>
    </row>
    <row r="3121" spans="7:24" ht="15" customHeight="1">
      <c r="G3121"/>
      <c r="I3121"/>
      <c r="N3121"/>
      <c r="O3121" s="24"/>
      <c r="P3121"/>
      <c r="Q3121" s="24"/>
      <c r="R3121"/>
      <c r="S3121"/>
      <c r="T3121"/>
      <c r="U3121"/>
      <c r="X3121" s="60"/>
    </row>
    <row r="3122" spans="7:24" ht="15" customHeight="1">
      <c r="G3122"/>
      <c r="I3122"/>
      <c r="N3122"/>
      <c r="O3122" s="24"/>
      <c r="P3122"/>
      <c r="Q3122" s="24"/>
      <c r="R3122"/>
      <c r="S3122"/>
      <c r="T3122"/>
      <c r="U3122"/>
      <c r="X3122" s="60"/>
    </row>
    <row r="3123" spans="7:24" ht="15" customHeight="1">
      <c r="G3123"/>
      <c r="I3123"/>
      <c r="N3123"/>
      <c r="O3123" s="24"/>
      <c r="P3123"/>
      <c r="Q3123" s="24"/>
      <c r="R3123"/>
      <c r="S3123"/>
      <c r="T3123"/>
      <c r="U3123"/>
      <c r="X3123" s="60"/>
    </row>
    <row r="3124" spans="7:24" ht="15" customHeight="1">
      <c r="G3124"/>
      <c r="I3124"/>
      <c r="N3124"/>
      <c r="O3124" s="24"/>
      <c r="P3124"/>
      <c r="Q3124" s="24"/>
      <c r="R3124"/>
      <c r="S3124"/>
      <c r="T3124"/>
      <c r="U3124"/>
      <c r="X3124" s="60"/>
    </row>
    <row r="3125" spans="7:24" ht="15" customHeight="1">
      <c r="G3125"/>
      <c r="I3125"/>
      <c r="N3125"/>
      <c r="O3125" s="24"/>
      <c r="P3125"/>
      <c r="Q3125" s="24"/>
      <c r="R3125"/>
      <c r="S3125"/>
      <c r="T3125"/>
      <c r="U3125"/>
      <c r="X3125" s="60"/>
    </row>
    <row r="3126" spans="7:24" ht="15" customHeight="1">
      <c r="G3126"/>
      <c r="I3126"/>
      <c r="N3126"/>
      <c r="O3126" s="24"/>
      <c r="P3126"/>
      <c r="Q3126" s="24"/>
      <c r="R3126"/>
      <c r="S3126"/>
      <c r="T3126"/>
      <c r="U3126"/>
      <c r="X3126" s="60"/>
    </row>
    <row r="3127" spans="7:24" ht="15" customHeight="1">
      <c r="G3127"/>
      <c r="I3127"/>
      <c r="N3127"/>
      <c r="O3127" s="24"/>
      <c r="P3127"/>
      <c r="Q3127" s="24"/>
      <c r="R3127"/>
      <c r="S3127"/>
      <c r="T3127"/>
      <c r="U3127"/>
      <c r="X3127" s="60"/>
    </row>
    <row r="3128" spans="7:24" ht="15" customHeight="1">
      <c r="G3128"/>
      <c r="I3128"/>
      <c r="N3128"/>
      <c r="O3128" s="24"/>
      <c r="P3128"/>
      <c r="Q3128" s="24"/>
      <c r="R3128"/>
      <c r="S3128"/>
      <c r="T3128"/>
      <c r="U3128"/>
      <c r="X3128" s="60"/>
    </row>
    <row r="3129" spans="7:24" ht="15" customHeight="1">
      <c r="G3129"/>
      <c r="I3129"/>
      <c r="N3129"/>
      <c r="O3129" s="24"/>
      <c r="P3129"/>
      <c r="Q3129" s="24"/>
      <c r="R3129"/>
      <c r="S3129"/>
      <c r="T3129"/>
      <c r="U3129"/>
      <c r="X3129" s="60"/>
    </row>
    <row r="3130" spans="7:24" ht="15" customHeight="1">
      <c r="G3130"/>
      <c r="I3130"/>
      <c r="N3130"/>
      <c r="O3130" s="24"/>
      <c r="P3130"/>
      <c r="Q3130" s="24"/>
      <c r="R3130"/>
      <c r="S3130"/>
      <c r="T3130"/>
      <c r="U3130"/>
      <c r="X3130" s="60"/>
    </row>
    <row r="3131" spans="7:24" ht="15" customHeight="1">
      <c r="G3131"/>
      <c r="I3131"/>
      <c r="N3131"/>
      <c r="O3131" s="24"/>
      <c r="P3131"/>
      <c r="Q3131" s="24"/>
      <c r="R3131"/>
      <c r="S3131"/>
      <c r="T3131"/>
      <c r="U3131"/>
      <c r="X3131" s="60"/>
    </row>
    <row r="3132" spans="7:24" ht="15" customHeight="1">
      <c r="G3132"/>
      <c r="I3132"/>
      <c r="N3132"/>
      <c r="O3132" s="24"/>
      <c r="P3132"/>
      <c r="Q3132" s="24"/>
      <c r="R3132"/>
      <c r="S3132"/>
      <c r="T3132"/>
      <c r="U3132"/>
      <c r="X3132" s="60"/>
    </row>
    <row r="3133" spans="7:24" ht="15" customHeight="1">
      <c r="G3133"/>
      <c r="I3133"/>
      <c r="N3133"/>
      <c r="O3133" s="24"/>
      <c r="P3133"/>
      <c r="Q3133" s="24"/>
      <c r="R3133"/>
      <c r="S3133"/>
      <c r="T3133"/>
      <c r="U3133"/>
      <c r="X3133" s="60"/>
    </row>
    <row r="3134" spans="7:24" ht="15" customHeight="1">
      <c r="G3134"/>
      <c r="I3134"/>
      <c r="N3134"/>
      <c r="O3134" s="24"/>
      <c r="P3134"/>
      <c r="Q3134" s="24"/>
      <c r="R3134"/>
      <c r="S3134"/>
      <c r="T3134"/>
      <c r="U3134"/>
      <c r="X3134" s="60"/>
    </row>
    <row r="3135" spans="7:24" ht="15" customHeight="1">
      <c r="G3135"/>
      <c r="I3135"/>
      <c r="N3135"/>
      <c r="O3135" s="24"/>
      <c r="P3135"/>
      <c r="Q3135" s="24"/>
      <c r="R3135"/>
      <c r="S3135"/>
      <c r="T3135"/>
      <c r="U3135"/>
      <c r="X3135" s="60"/>
    </row>
    <row r="3136" spans="7:24" ht="15" customHeight="1">
      <c r="G3136"/>
      <c r="I3136"/>
      <c r="N3136"/>
      <c r="O3136" s="24"/>
      <c r="P3136"/>
      <c r="Q3136" s="24"/>
      <c r="R3136"/>
      <c r="S3136"/>
      <c r="T3136"/>
      <c r="U3136"/>
      <c r="X3136" s="60"/>
    </row>
    <row r="3137" spans="7:24" ht="15" customHeight="1">
      <c r="G3137"/>
      <c r="I3137"/>
      <c r="N3137"/>
      <c r="O3137" s="24"/>
      <c r="P3137"/>
      <c r="Q3137" s="24"/>
      <c r="R3137"/>
      <c r="S3137"/>
      <c r="T3137"/>
      <c r="U3137"/>
      <c r="X3137" s="60"/>
    </row>
    <row r="3138" spans="7:24" ht="15" customHeight="1">
      <c r="G3138"/>
      <c r="I3138"/>
      <c r="N3138"/>
      <c r="O3138" s="24"/>
      <c r="P3138"/>
      <c r="Q3138" s="24"/>
      <c r="R3138"/>
      <c r="S3138"/>
      <c r="T3138"/>
      <c r="U3138"/>
      <c r="X3138" s="60"/>
    </row>
    <row r="3139" spans="7:24" ht="15" customHeight="1">
      <c r="G3139"/>
      <c r="I3139"/>
      <c r="N3139"/>
      <c r="O3139" s="24"/>
      <c r="P3139"/>
      <c r="Q3139" s="24"/>
      <c r="R3139"/>
      <c r="S3139"/>
      <c r="T3139"/>
      <c r="U3139"/>
      <c r="X3139" s="60"/>
    </row>
    <row r="3140" spans="7:24" ht="15" customHeight="1">
      <c r="G3140"/>
      <c r="I3140"/>
      <c r="N3140"/>
      <c r="O3140" s="24"/>
      <c r="P3140"/>
      <c r="Q3140" s="24"/>
      <c r="R3140"/>
      <c r="S3140"/>
      <c r="T3140"/>
      <c r="U3140"/>
      <c r="X3140" s="60"/>
    </row>
    <row r="3141" spans="7:24" ht="15" customHeight="1">
      <c r="G3141"/>
      <c r="I3141"/>
      <c r="N3141"/>
      <c r="O3141" s="24"/>
      <c r="P3141"/>
      <c r="Q3141" s="24"/>
      <c r="R3141"/>
      <c r="S3141"/>
      <c r="T3141"/>
      <c r="U3141"/>
      <c r="X3141" s="60"/>
    </row>
    <row r="3142" spans="7:24" ht="15" customHeight="1">
      <c r="G3142"/>
      <c r="I3142"/>
      <c r="N3142"/>
      <c r="O3142" s="24"/>
      <c r="P3142"/>
      <c r="Q3142" s="24"/>
      <c r="R3142"/>
      <c r="S3142"/>
      <c r="T3142"/>
      <c r="U3142"/>
      <c r="X3142" s="60"/>
    </row>
    <row r="3143" spans="7:24" ht="15" customHeight="1">
      <c r="G3143"/>
      <c r="I3143"/>
      <c r="N3143"/>
      <c r="O3143" s="24"/>
      <c r="P3143"/>
      <c r="Q3143" s="24"/>
      <c r="R3143"/>
      <c r="S3143"/>
      <c r="T3143"/>
      <c r="U3143"/>
      <c r="X3143" s="60"/>
    </row>
    <row r="3144" spans="7:24" ht="15" customHeight="1">
      <c r="G3144"/>
      <c r="I3144"/>
      <c r="N3144"/>
      <c r="O3144" s="24"/>
      <c r="P3144"/>
      <c r="Q3144" s="24"/>
      <c r="R3144"/>
      <c r="S3144"/>
      <c r="T3144"/>
      <c r="U3144"/>
      <c r="X3144" s="60"/>
    </row>
    <row r="3145" spans="7:24" ht="15" customHeight="1">
      <c r="G3145"/>
      <c r="I3145"/>
      <c r="N3145"/>
      <c r="O3145" s="24"/>
      <c r="P3145"/>
      <c r="Q3145" s="24"/>
      <c r="R3145"/>
      <c r="S3145"/>
      <c r="T3145"/>
      <c r="U3145"/>
      <c r="X3145" s="60"/>
    </row>
    <row r="3146" spans="7:24" ht="15" customHeight="1">
      <c r="G3146"/>
      <c r="I3146"/>
      <c r="N3146"/>
      <c r="O3146" s="24"/>
      <c r="P3146"/>
      <c r="Q3146" s="24"/>
      <c r="R3146"/>
      <c r="S3146"/>
      <c r="T3146"/>
      <c r="U3146"/>
      <c r="X3146" s="60"/>
    </row>
    <row r="3147" spans="7:24" ht="15" customHeight="1">
      <c r="G3147"/>
      <c r="I3147"/>
      <c r="N3147"/>
      <c r="O3147" s="24"/>
      <c r="P3147"/>
      <c r="Q3147" s="24"/>
      <c r="R3147"/>
      <c r="S3147"/>
      <c r="T3147"/>
      <c r="U3147"/>
      <c r="X3147" s="60"/>
    </row>
    <row r="3148" spans="7:24" ht="15" customHeight="1">
      <c r="G3148"/>
      <c r="I3148"/>
      <c r="N3148"/>
      <c r="O3148" s="24"/>
      <c r="P3148"/>
      <c r="Q3148" s="24"/>
      <c r="R3148"/>
      <c r="S3148"/>
      <c r="T3148"/>
      <c r="U3148"/>
      <c r="X3148" s="60"/>
    </row>
    <row r="3149" spans="7:24" ht="15" customHeight="1">
      <c r="G3149"/>
      <c r="I3149"/>
      <c r="N3149"/>
      <c r="O3149" s="24"/>
      <c r="P3149"/>
      <c r="Q3149" s="24"/>
      <c r="R3149"/>
      <c r="S3149"/>
      <c r="T3149"/>
      <c r="U3149"/>
      <c r="X3149" s="60"/>
    </row>
    <row r="3150" spans="7:24" ht="15" customHeight="1">
      <c r="G3150"/>
      <c r="I3150"/>
      <c r="N3150"/>
      <c r="O3150" s="24"/>
      <c r="P3150"/>
      <c r="Q3150" s="24"/>
      <c r="R3150"/>
      <c r="S3150"/>
      <c r="T3150"/>
      <c r="U3150"/>
      <c r="X3150" s="60"/>
    </row>
    <row r="3151" spans="7:24" ht="15" customHeight="1">
      <c r="G3151"/>
      <c r="I3151"/>
      <c r="N3151"/>
      <c r="O3151" s="24"/>
      <c r="P3151"/>
      <c r="Q3151" s="24"/>
      <c r="R3151"/>
      <c r="S3151"/>
      <c r="T3151"/>
      <c r="U3151"/>
      <c r="X3151" s="60"/>
    </row>
    <row r="3152" spans="7:24" ht="15" customHeight="1">
      <c r="G3152"/>
      <c r="I3152"/>
      <c r="N3152"/>
      <c r="O3152" s="24"/>
      <c r="P3152"/>
      <c r="Q3152" s="24"/>
      <c r="R3152"/>
      <c r="S3152"/>
      <c r="T3152"/>
      <c r="U3152"/>
      <c r="X3152" s="60"/>
    </row>
    <row r="3153" spans="7:24" ht="15" customHeight="1">
      <c r="G3153"/>
      <c r="I3153"/>
      <c r="N3153"/>
      <c r="O3153" s="24"/>
      <c r="P3153"/>
      <c r="Q3153" s="24"/>
      <c r="R3153"/>
      <c r="S3153"/>
      <c r="T3153"/>
      <c r="U3153"/>
      <c r="X3153" s="60"/>
    </row>
    <row r="3154" spans="7:24" ht="15" customHeight="1">
      <c r="G3154"/>
      <c r="I3154"/>
      <c r="N3154"/>
      <c r="O3154" s="24"/>
      <c r="P3154"/>
      <c r="Q3154" s="24"/>
      <c r="R3154"/>
      <c r="S3154"/>
      <c r="T3154"/>
      <c r="U3154"/>
      <c r="X3154" s="60"/>
    </row>
    <row r="3155" spans="7:24" ht="15" customHeight="1">
      <c r="G3155"/>
      <c r="I3155"/>
      <c r="N3155"/>
      <c r="O3155" s="24"/>
      <c r="P3155"/>
      <c r="Q3155" s="24"/>
      <c r="R3155"/>
      <c r="S3155"/>
      <c r="T3155"/>
      <c r="U3155"/>
      <c r="X3155" s="60"/>
    </row>
    <row r="3156" spans="7:24" ht="15" customHeight="1">
      <c r="G3156"/>
      <c r="I3156"/>
      <c r="N3156"/>
      <c r="O3156" s="24"/>
      <c r="P3156"/>
      <c r="Q3156" s="24"/>
      <c r="R3156"/>
      <c r="S3156"/>
      <c r="T3156"/>
      <c r="U3156"/>
      <c r="X3156" s="60"/>
    </row>
    <row r="3157" spans="7:24" ht="15" customHeight="1">
      <c r="G3157"/>
      <c r="I3157"/>
      <c r="N3157"/>
      <c r="O3157" s="24"/>
      <c r="P3157"/>
      <c r="Q3157" s="24"/>
      <c r="R3157"/>
      <c r="S3157"/>
      <c r="T3157"/>
      <c r="U3157"/>
      <c r="X3157" s="60"/>
    </row>
    <row r="3158" spans="7:24" ht="15" customHeight="1">
      <c r="G3158"/>
      <c r="I3158"/>
      <c r="N3158"/>
      <c r="O3158" s="24"/>
      <c r="P3158"/>
      <c r="Q3158" s="24"/>
      <c r="R3158"/>
      <c r="S3158"/>
      <c r="T3158"/>
      <c r="U3158"/>
      <c r="X3158" s="60"/>
    </row>
    <row r="3159" spans="7:24" ht="15" customHeight="1">
      <c r="G3159"/>
      <c r="I3159"/>
      <c r="N3159"/>
      <c r="O3159" s="24"/>
      <c r="P3159"/>
      <c r="Q3159" s="24"/>
      <c r="R3159"/>
      <c r="S3159"/>
      <c r="T3159"/>
      <c r="U3159"/>
      <c r="X3159" s="60"/>
    </row>
    <row r="3160" spans="7:24" ht="15" customHeight="1">
      <c r="G3160"/>
      <c r="I3160"/>
      <c r="N3160"/>
      <c r="O3160" s="24"/>
      <c r="P3160"/>
      <c r="Q3160" s="24"/>
      <c r="R3160"/>
      <c r="S3160"/>
      <c r="T3160"/>
      <c r="U3160"/>
      <c r="X3160" s="60"/>
    </row>
    <row r="3161" spans="7:24" ht="15" customHeight="1">
      <c r="G3161"/>
      <c r="I3161"/>
      <c r="N3161"/>
      <c r="O3161" s="24"/>
      <c r="P3161"/>
      <c r="Q3161" s="24"/>
      <c r="R3161"/>
      <c r="S3161"/>
      <c r="T3161"/>
      <c r="U3161"/>
      <c r="X3161" s="60"/>
    </row>
    <row r="3162" spans="7:24" ht="15" customHeight="1">
      <c r="G3162"/>
      <c r="I3162"/>
      <c r="N3162"/>
      <c r="O3162" s="24"/>
      <c r="P3162"/>
      <c r="Q3162" s="24"/>
      <c r="R3162"/>
      <c r="S3162"/>
      <c r="T3162"/>
      <c r="U3162"/>
      <c r="X3162" s="60"/>
    </row>
    <row r="3163" spans="7:24" ht="15" customHeight="1">
      <c r="G3163"/>
      <c r="I3163"/>
      <c r="N3163"/>
      <c r="O3163" s="24"/>
      <c r="P3163"/>
      <c r="Q3163" s="24"/>
      <c r="R3163"/>
      <c r="S3163"/>
      <c r="T3163"/>
      <c r="U3163"/>
      <c r="X3163" s="60"/>
    </row>
    <row r="3164" spans="7:24" ht="15" customHeight="1">
      <c r="G3164"/>
      <c r="I3164"/>
      <c r="N3164"/>
      <c r="O3164" s="24"/>
      <c r="P3164"/>
      <c r="Q3164" s="24"/>
      <c r="R3164"/>
      <c r="S3164"/>
      <c r="T3164"/>
      <c r="U3164"/>
      <c r="X3164" s="60"/>
    </row>
    <row r="3165" spans="7:24" ht="15" customHeight="1">
      <c r="G3165"/>
      <c r="I3165"/>
      <c r="N3165"/>
      <c r="O3165" s="24"/>
      <c r="P3165"/>
      <c r="Q3165" s="24"/>
      <c r="R3165"/>
      <c r="S3165"/>
      <c r="T3165"/>
      <c r="U3165"/>
      <c r="X3165" s="60"/>
    </row>
    <row r="3166" spans="7:24" ht="15" customHeight="1">
      <c r="G3166"/>
      <c r="I3166"/>
      <c r="N3166"/>
      <c r="O3166" s="24"/>
      <c r="P3166"/>
      <c r="Q3166" s="24"/>
      <c r="R3166"/>
      <c r="S3166"/>
      <c r="T3166"/>
      <c r="U3166"/>
      <c r="X3166" s="60"/>
    </row>
    <row r="3167" spans="7:24" ht="15" customHeight="1">
      <c r="G3167"/>
      <c r="I3167"/>
      <c r="N3167"/>
      <c r="O3167" s="24"/>
      <c r="P3167"/>
      <c r="Q3167" s="24"/>
      <c r="R3167"/>
      <c r="S3167"/>
      <c r="T3167"/>
      <c r="U3167"/>
      <c r="X3167" s="60"/>
    </row>
    <row r="3168" spans="7:24" ht="15" customHeight="1">
      <c r="G3168"/>
      <c r="I3168"/>
      <c r="N3168"/>
      <c r="O3168" s="24"/>
      <c r="P3168"/>
      <c r="Q3168" s="24"/>
      <c r="R3168"/>
      <c r="S3168"/>
      <c r="T3168"/>
      <c r="U3168"/>
      <c r="X3168" s="60"/>
    </row>
    <row r="3169" spans="7:24" ht="15" customHeight="1">
      <c r="G3169"/>
      <c r="I3169"/>
      <c r="N3169"/>
      <c r="O3169" s="24"/>
      <c r="P3169"/>
      <c r="Q3169" s="24"/>
      <c r="R3169"/>
      <c r="S3169"/>
      <c r="T3169"/>
      <c r="U3169"/>
      <c r="X3169" s="60"/>
    </row>
    <row r="3170" spans="7:24" ht="15" customHeight="1">
      <c r="G3170"/>
      <c r="I3170"/>
      <c r="N3170"/>
      <c r="O3170" s="24"/>
      <c r="P3170"/>
      <c r="Q3170" s="24"/>
      <c r="R3170"/>
      <c r="S3170"/>
      <c r="T3170"/>
      <c r="U3170"/>
      <c r="X3170" s="60"/>
    </row>
    <row r="3171" spans="7:24" ht="15" customHeight="1">
      <c r="G3171"/>
      <c r="I3171"/>
      <c r="N3171"/>
      <c r="O3171" s="24"/>
      <c r="P3171"/>
      <c r="Q3171" s="24"/>
      <c r="R3171"/>
      <c r="S3171"/>
      <c r="T3171"/>
      <c r="U3171"/>
      <c r="X3171" s="60"/>
    </row>
    <row r="3172" spans="7:24" ht="15" customHeight="1">
      <c r="G3172"/>
      <c r="I3172"/>
      <c r="N3172"/>
      <c r="O3172" s="24"/>
      <c r="P3172"/>
      <c r="Q3172" s="24"/>
      <c r="R3172"/>
      <c r="S3172"/>
      <c r="T3172"/>
      <c r="U3172"/>
      <c r="X3172" s="60"/>
    </row>
    <row r="3173" spans="7:24" ht="15" customHeight="1">
      <c r="G3173"/>
      <c r="I3173"/>
      <c r="N3173"/>
      <c r="O3173" s="24"/>
      <c r="P3173"/>
      <c r="Q3173" s="24"/>
      <c r="R3173"/>
      <c r="S3173"/>
      <c r="T3173"/>
      <c r="U3173"/>
      <c r="X3173" s="60"/>
    </row>
    <row r="3174" spans="7:24" ht="15" customHeight="1">
      <c r="G3174"/>
      <c r="I3174"/>
      <c r="N3174"/>
      <c r="O3174" s="24"/>
      <c r="P3174"/>
      <c r="Q3174" s="24"/>
      <c r="R3174"/>
      <c r="S3174"/>
      <c r="T3174"/>
      <c r="U3174"/>
      <c r="X3174" s="60"/>
    </row>
    <row r="3175" spans="7:24" ht="15" customHeight="1">
      <c r="G3175"/>
      <c r="I3175"/>
      <c r="N3175"/>
      <c r="O3175" s="24"/>
      <c r="P3175"/>
      <c r="Q3175" s="24"/>
      <c r="R3175"/>
      <c r="S3175"/>
      <c r="T3175"/>
      <c r="U3175"/>
      <c r="X3175" s="60"/>
    </row>
    <row r="3176" spans="7:24" ht="15" customHeight="1">
      <c r="G3176"/>
      <c r="I3176"/>
      <c r="N3176"/>
      <c r="O3176" s="24"/>
      <c r="P3176"/>
      <c r="Q3176" s="24"/>
      <c r="R3176"/>
      <c r="S3176"/>
      <c r="T3176"/>
      <c r="U3176"/>
      <c r="X3176" s="60"/>
    </row>
    <row r="3177" spans="7:24" ht="15" customHeight="1">
      <c r="G3177"/>
      <c r="I3177"/>
      <c r="N3177"/>
      <c r="O3177" s="24"/>
      <c r="P3177"/>
      <c r="Q3177" s="24"/>
      <c r="R3177"/>
      <c r="S3177"/>
      <c r="T3177"/>
      <c r="U3177"/>
      <c r="X3177" s="60"/>
    </row>
    <row r="3178" spans="7:24" ht="15" customHeight="1">
      <c r="G3178"/>
      <c r="I3178"/>
      <c r="N3178"/>
      <c r="O3178" s="24"/>
      <c r="P3178"/>
      <c r="Q3178" s="24"/>
      <c r="R3178"/>
      <c r="S3178"/>
      <c r="T3178"/>
      <c r="U3178"/>
      <c r="X3178" s="60"/>
    </row>
    <row r="3179" spans="7:24" ht="15" customHeight="1">
      <c r="G3179"/>
      <c r="I3179"/>
      <c r="N3179"/>
      <c r="O3179" s="24"/>
      <c r="P3179"/>
      <c r="Q3179" s="24"/>
      <c r="R3179"/>
      <c r="S3179"/>
      <c r="T3179"/>
      <c r="U3179"/>
      <c r="X3179" s="60"/>
    </row>
    <row r="3180" spans="7:24" ht="15" customHeight="1">
      <c r="G3180"/>
      <c r="I3180"/>
      <c r="N3180"/>
      <c r="O3180" s="24"/>
      <c r="P3180"/>
      <c r="Q3180" s="24"/>
      <c r="R3180"/>
      <c r="S3180"/>
      <c r="T3180"/>
      <c r="U3180"/>
      <c r="X3180" s="60"/>
    </row>
    <row r="3181" spans="7:24" ht="15" customHeight="1">
      <c r="G3181"/>
      <c r="I3181"/>
      <c r="N3181"/>
      <c r="O3181" s="24"/>
      <c r="P3181"/>
      <c r="Q3181" s="24"/>
      <c r="R3181"/>
      <c r="S3181"/>
      <c r="T3181"/>
      <c r="U3181"/>
      <c r="X3181" s="60"/>
    </row>
    <row r="3182" spans="7:24" ht="15" customHeight="1">
      <c r="G3182"/>
      <c r="I3182"/>
      <c r="N3182"/>
      <c r="O3182" s="24"/>
      <c r="P3182"/>
      <c r="Q3182" s="24"/>
      <c r="R3182"/>
      <c r="S3182"/>
      <c r="T3182"/>
      <c r="U3182"/>
      <c r="X3182" s="60"/>
    </row>
    <row r="3183" spans="7:24" ht="15" customHeight="1">
      <c r="G3183"/>
      <c r="I3183"/>
      <c r="N3183"/>
      <c r="O3183" s="24"/>
      <c r="P3183"/>
      <c r="Q3183" s="24"/>
      <c r="R3183"/>
      <c r="S3183"/>
      <c r="T3183"/>
      <c r="U3183"/>
      <c r="X3183" s="60"/>
    </row>
    <row r="3184" spans="7:24" ht="15" customHeight="1">
      <c r="G3184"/>
      <c r="I3184"/>
      <c r="N3184"/>
      <c r="O3184" s="24"/>
      <c r="P3184"/>
      <c r="Q3184" s="24"/>
      <c r="R3184"/>
      <c r="S3184"/>
      <c r="T3184"/>
      <c r="U3184"/>
      <c r="X3184" s="60"/>
    </row>
    <row r="3185" spans="7:24" ht="15" customHeight="1">
      <c r="G3185"/>
      <c r="I3185"/>
      <c r="N3185"/>
      <c r="O3185" s="24"/>
      <c r="P3185"/>
      <c r="Q3185" s="24"/>
      <c r="R3185"/>
      <c r="S3185"/>
      <c r="T3185"/>
      <c r="U3185"/>
      <c r="X3185" s="60"/>
    </row>
    <row r="3186" spans="7:24" ht="15" customHeight="1">
      <c r="G3186"/>
      <c r="I3186"/>
      <c r="N3186"/>
      <c r="O3186" s="24"/>
      <c r="P3186"/>
      <c r="Q3186" s="24"/>
      <c r="R3186"/>
      <c r="S3186"/>
      <c r="T3186"/>
      <c r="U3186"/>
      <c r="X3186" s="60"/>
    </row>
    <row r="3187" spans="7:24" ht="15" customHeight="1">
      <c r="G3187"/>
      <c r="I3187"/>
      <c r="N3187"/>
      <c r="O3187" s="24"/>
      <c r="P3187"/>
      <c r="Q3187" s="24"/>
      <c r="R3187"/>
      <c r="S3187"/>
      <c r="T3187"/>
      <c r="U3187"/>
      <c r="X3187" s="60"/>
    </row>
    <row r="3188" spans="7:24" ht="15" customHeight="1">
      <c r="G3188"/>
      <c r="I3188"/>
      <c r="N3188"/>
      <c r="O3188" s="24"/>
      <c r="P3188"/>
      <c r="Q3188" s="24"/>
      <c r="R3188"/>
      <c r="S3188"/>
      <c r="T3188"/>
      <c r="U3188"/>
      <c r="X3188" s="60"/>
    </row>
    <row r="3189" spans="7:24" ht="15" customHeight="1">
      <c r="G3189"/>
      <c r="I3189"/>
      <c r="N3189"/>
      <c r="O3189" s="24"/>
      <c r="P3189"/>
      <c r="Q3189" s="24"/>
      <c r="R3189"/>
      <c r="S3189"/>
      <c r="T3189"/>
      <c r="U3189"/>
      <c r="X3189" s="60"/>
    </row>
    <row r="3190" spans="7:24" ht="15" customHeight="1">
      <c r="G3190"/>
      <c r="I3190"/>
      <c r="N3190"/>
      <c r="O3190" s="24"/>
      <c r="P3190"/>
      <c r="Q3190" s="24"/>
      <c r="R3190"/>
      <c r="S3190"/>
      <c r="T3190"/>
      <c r="U3190"/>
      <c r="X3190" s="60"/>
    </row>
    <row r="3191" spans="7:24" ht="15" customHeight="1">
      <c r="G3191"/>
      <c r="I3191"/>
      <c r="N3191"/>
      <c r="O3191" s="24"/>
      <c r="P3191"/>
      <c r="Q3191" s="24"/>
      <c r="R3191"/>
      <c r="S3191"/>
      <c r="T3191"/>
      <c r="U3191"/>
      <c r="X3191" s="60"/>
    </row>
    <row r="3192" spans="7:24" ht="15" customHeight="1">
      <c r="G3192"/>
      <c r="I3192"/>
      <c r="N3192"/>
      <c r="O3192" s="24"/>
      <c r="P3192"/>
      <c r="Q3192" s="24"/>
      <c r="R3192"/>
      <c r="S3192"/>
      <c r="T3192"/>
      <c r="U3192"/>
      <c r="X3192" s="60"/>
    </row>
    <row r="3193" spans="7:24" ht="15" customHeight="1">
      <c r="G3193"/>
      <c r="I3193"/>
      <c r="N3193"/>
      <c r="O3193" s="24"/>
      <c r="P3193"/>
      <c r="Q3193" s="24"/>
      <c r="R3193"/>
      <c r="S3193"/>
      <c r="T3193"/>
      <c r="U3193"/>
      <c r="X3193" s="60"/>
    </row>
    <row r="3194" spans="7:24" ht="15" customHeight="1">
      <c r="G3194"/>
      <c r="I3194"/>
      <c r="N3194"/>
      <c r="O3194" s="24"/>
      <c r="P3194"/>
      <c r="Q3194" s="24"/>
      <c r="R3194"/>
      <c r="S3194"/>
      <c r="T3194"/>
      <c r="U3194"/>
      <c r="X3194" s="60"/>
    </row>
    <row r="3195" spans="7:24" ht="15" customHeight="1">
      <c r="G3195"/>
      <c r="I3195"/>
      <c r="N3195"/>
      <c r="O3195" s="24"/>
      <c r="P3195"/>
      <c r="Q3195" s="24"/>
      <c r="R3195"/>
      <c r="S3195"/>
      <c r="T3195"/>
      <c r="U3195"/>
      <c r="X3195" s="60"/>
    </row>
    <row r="3196" spans="7:24" ht="15" customHeight="1">
      <c r="G3196"/>
      <c r="I3196"/>
      <c r="N3196"/>
      <c r="O3196" s="24"/>
      <c r="P3196"/>
      <c r="Q3196" s="24"/>
      <c r="R3196"/>
      <c r="S3196"/>
      <c r="T3196"/>
      <c r="U3196"/>
      <c r="X3196" s="60"/>
    </row>
    <row r="3197" spans="7:24" ht="15" customHeight="1">
      <c r="G3197"/>
      <c r="I3197"/>
      <c r="N3197"/>
      <c r="O3197" s="24"/>
      <c r="P3197"/>
      <c r="Q3197" s="24"/>
      <c r="R3197"/>
      <c r="S3197"/>
      <c r="T3197"/>
      <c r="U3197"/>
      <c r="X3197" s="60"/>
    </row>
    <row r="3198" spans="7:24" ht="15" customHeight="1">
      <c r="G3198"/>
      <c r="I3198"/>
      <c r="N3198"/>
      <c r="O3198" s="24"/>
      <c r="P3198"/>
      <c r="Q3198" s="24"/>
      <c r="R3198"/>
      <c r="S3198"/>
      <c r="T3198"/>
      <c r="U3198"/>
      <c r="X3198" s="60"/>
    </row>
    <row r="3199" spans="7:24" ht="15" customHeight="1">
      <c r="G3199"/>
      <c r="I3199"/>
      <c r="N3199"/>
      <c r="O3199" s="24"/>
      <c r="P3199"/>
      <c r="Q3199" s="24"/>
      <c r="R3199"/>
      <c r="S3199"/>
      <c r="T3199"/>
      <c r="U3199"/>
      <c r="X3199" s="60"/>
    </row>
    <row r="3200" spans="7:24" ht="15" customHeight="1">
      <c r="G3200"/>
      <c r="I3200"/>
      <c r="N3200"/>
      <c r="O3200" s="24"/>
      <c r="P3200"/>
      <c r="Q3200" s="24"/>
      <c r="R3200"/>
      <c r="S3200"/>
      <c r="T3200"/>
      <c r="U3200"/>
      <c r="X3200" s="60"/>
    </row>
    <row r="3201" spans="7:24" ht="15" customHeight="1">
      <c r="G3201"/>
      <c r="I3201"/>
      <c r="N3201"/>
      <c r="O3201" s="24"/>
      <c r="P3201"/>
      <c r="Q3201" s="24"/>
      <c r="R3201"/>
      <c r="S3201"/>
      <c r="T3201"/>
      <c r="U3201"/>
      <c r="X3201" s="60"/>
    </row>
    <row r="3202" spans="7:24" ht="15" customHeight="1">
      <c r="G3202"/>
      <c r="I3202"/>
      <c r="N3202"/>
      <c r="O3202" s="24"/>
      <c r="P3202"/>
      <c r="Q3202" s="24"/>
      <c r="R3202"/>
      <c r="S3202"/>
      <c r="T3202"/>
      <c r="U3202"/>
      <c r="X3202" s="60"/>
    </row>
    <row r="3203" spans="7:24" ht="15" customHeight="1">
      <c r="G3203"/>
      <c r="I3203"/>
      <c r="N3203"/>
      <c r="O3203" s="24"/>
      <c r="P3203"/>
      <c r="Q3203" s="24"/>
      <c r="R3203"/>
      <c r="S3203"/>
      <c r="T3203"/>
      <c r="U3203"/>
      <c r="X3203" s="60"/>
    </row>
    <row r="3204" spans="7:24" ht="15" customHeight="1">
      <c r="G3204"/>
      <c r="I3204"/>
      <c r="N3204"/>
      <c r="O3204" s="24"/>
      <c r="P3204"/>
      <c r="Q3204" s="24"/>
      <c r="R3204"/>
      <c r="S3204"/>
      <c r="T3204"/>
      <c r="U3204"/>
      <c r="X3204" s="60"/>
    </row>
    <row r="3205" spans="7:24" ht="15" customHeight="1">
      <c r="G3205"/>
      <c r="I3205"/>
      <c r="N3205"/>
      <c r="O3205" s="24"/>
      <c r="P3205"/>
      <c r="Q3205" s="24"/>
      <c r="R3205"/>
      <c r="S3205"/>
      <c r="T3205"/>
      <c r="U3205"/>
      <c r="X3205" s="60"/>
    </row>
    <row r="3206" spans="7:24" ht="15" customHeight="1">
      <c r="G3206"/>
      <c r="I3206"/>
      <c r="N3206"/>
      <c r="O3206" s="24"/>
      <c r="P3206"/>
      <c r="Q3206" s="24"/>
      <c r="R3206"/>
      <c r="S3206"/>
      <c r="T3206"/>
      <c r="U3206"/>
      <c r="X3206" s="60"/>
    </row>
    <row r="3207" spans="7:24" ht="15" customHeight="1">
      <c r="G3207"/>
      <c r="I3207"/>
      <c r="N3207"/>
      <c r="O3207" s="24"/>
      <c r="P3207"/>
      <c r="Q3207" s="24"/>
      <c r="R3207"/>
      <c r="S3207"/>
      <c r="T3207"/>
      <c r="U3207"/>
      <c r="X3207" s="60"/>
    </row>
    <row r="3208" spans="7:24" ht="15" customHeight="1">
      <c r="G3208"/>
      <c r="I3208"/>
      <c r="N3208"/>
      <c r="O3208" s="24"/>
      <c r="P3208"/>
      <c r="Q3208" s="24"/>
      <c r="R3208"/>
      <c r="S3208"/>
      <c r="T3208"/>
      <c r="U3208"/>
      <c r="X3208" s="60"/>
    </row>
    <row r="3209" spans="7:24" ht="15" customHeight="1">
      <c r="G3209"/>
      <c r="I3209"/>
      <c r="N3209"/>
      <c r="O3209" s="24"/>
      <c r="P3209"/>
      <c r="Q3209" s="24"/>
      <c r="R3209"/>
      <c r="S3209"/>
      <c r="T3209"/>
      <c r="U3209"/>
      <c r="X3209" s="60"/>
    </row>
    <row r="3210" spans="7:24" ht="15" customHeight="1">
      <c r="G3210"/>
      <c r="I3210"/>
      <c r="N3210"/>
      <c r="O3210" s="24"/>
      <c r="P3210"/>
      <c r="Q3210" s="24"/>
      <c r="R3210"/>
      <c r="S3210"/>
      <c r="T3210"/>
      <c r="U3210"/>
      <c r="X3210" s="60"/>
    </row>
    <row r="3211" spans="7:24" ht="15" customHeight="1">
      <c r="G3211"/>
      <c r="I3211"/>
      <c r="N3211"/>
      <c r="O3211" s="24"/>
      <c r="P3211"/>
      <c r="Q3211" s="24"/>
      <c r="R3211"/>
      <c r="S3211"/>
      <c r="T3211"/>
      <c r="U3211"/>
      <c r="X3211" s="60"/>
    </row>
    <row r="3212" spans="7:24" ht="15" customHeight="1">
      <c r="G3212"/>
      <c r="I3212"/>
      <c r="N3212"/>
      <c r="O3212" s="24"/>
      <c r="P3212"/>
      <c r="Q3212" s="24"/>
      <c r="R3212"/>
      <c r="S3212"/>
      <c r="T3212"/>
      <c r="U3212"/>
      <c r="X3212" s="60"/>
    </row>
    <row r="3213" spans="7:24" ht="15" customHeight="1">
      <c r="G3213"/>
      <c r="I3213"/>
      <c r="N3213"/>
      <c r="O3213" s="24"/>
      <c r="P3213"/>
      <c r="Q3213" s="24"/>
      <c r="R3213"/>
      <c r="S3213"/>
      <c r="T3213"/>
      <c r="U3213"/>
      <c r="X3213" s="60"/>
    </row>
    <row r="3214" spans="7:24" ht="15" customHeight="1">
      <c r="G3214"/>
      <c r="I3214"/>
      <c r="N3214"/>
      <c r="O3214" s="24"/>
      <c r="P3214"/>
      <c r="Q3214" s="24"/>
      <c r="R3214"/>
      <c r="S3214"/>
      <c r="T3214"/>
      <c r="U3214"/>
      <c r="X3214" s="60"/>
    </row>
    <row r="3215" spans="7:24" ht="15" customHeight="1">
      <c r="G3215"/>
      <c r="I3215"/>
      <c r="N3215"/>
      <c r="O3215" s="24"/>
      <c r="P3215"/>
      <c r="Q3215" s="24"/>
      <c r="R3215"/>
      <c r="S3215"/>
      <c r="T3215"/>
      <c r="U3215"/>
      <c r="X3215" s="60"/>
    </row>
    <row r="3216" spans="7:24" ht="15" customHeight="1">
      <c r="G3216"/>
      <c r="I3216"/>
      <c r="N3216"/>
      <c r="O3216" s="24"/>
      <c r="P3216"/>
      <c r="Q3216" s="24"/>
      <c r="R3216"/>
      <c r="S3216"/>
      <c r="T3216"/>
      <c r="U3216"/>
      <c r="X3216" s="60"/>
    </row>
    <row r="3217" spans="7:24" ht="15" customHeight="1">
      <c r="G3217"/>
      <c r="I3217"/>
      <c r="N3217"/>
      <c r="O3217" s="24"/>
      <c r="P3217"/>
      <c r="Q3217" s="24"/>
      <c r="R3217"/>
      <c r="S3217"/>
      <c r="T3217"/>
      <c r="U3217"/>
      <c r="X3217" s="60"/>
    </row>
    <row r="3218" spans="7:24" ht="15" customHeight="1">
      <c r="G3218"/>
      <c r="I3218"/>
      <c r="N3218"/>
      <c r="O3218" s="24"/>
      <c r="P3218"/>
      <c r="Q3218" s="24"/>
      <c r="R3218"/>
      <c r="S3218"/>
      <c r="T3218"/>
      <c r="U3218"/>
      <c r="X3218" s="60"/>
    </row>
    <row r="3219" spans="7:24" ht="15" customHeight="1">
      <c r="G3219"/>
      <c r="I3219"/>
      <c r="N3219"/>
      <c r="O3219" s="24"/>
      <c r="P3219"/>
      <c r="Q3219" s="24"/>
      <c r="R3219"/>
      <c r="S3219"/>
      <c r="T3219"/>
      <c r="U3219"/>
      <c r="X3219" s="60"/>
    </row>
    <row r="3220" spans="7:24" ht="15" customHeight="1">
      <c r="G3220"/>
      <c r="I3220"/>
      <c r="N3220"/>
      <c r="O3220" s="24"/>
      <c r="P3220"/>
      <c r="Q3220" s="24"/>
      <c r="R3220"/>
      <c r="S3220"/>
      <c r="T3220"/>
      <c r="U3220"/>
      <c r="X3220" s="60"/>
    </row>
    <row r="3221" spans="7:24" ht="15" customHeight="1">
      <c r="G3221"/>
      <c r="I3221"/>
      <c r="N3221"/>
      <c r="O3221" s="24"/>
      <c r="P3221"/>
      <c r="Q3221" s="24"/>
      <c r="R3221"/>
      <c r="S3221"/>
      <c r="T3221"/>
      <c r="U3221"/>
      <c r="X3221" s="60"/>
    </row>
    <row r="3222" spans="7:24" ht="15" customHeight="1">
      <c r="G3222"/>
      <c r="I3222"/>
      <c r="N3222"/>
      <c r="O3222" s="24"/>
      <c r="P3222"/>
      <c r="Q3222" s="24"/>
      <c r="R3222"/>
      <c r="S3222"/>
      <c r="T3222"/>
      <c r="U3222"/>
      <c r="X3222" s="60"/>
    </row>
    <row r="3223" spans="7:24" ht="15" customHeight="1">
      <c r="G3223"/>
      <c r="I3223"/>
      <c r="N3223"/>
      <c r="O3223" s="24"/>
      <c r="P3223"/>
      <c r="Q3223" s="24"/>
      <c r="R3223"/>
      <c r="S3223"/>
      <c r="T3223"/>
      <c r="U3223"/>
      <c r="X3223" s="60"/>
    </row>
    <row r="3224" spans="7:24" ht="15" customHeight="1">
      <c r="G3224"/>
      <c r="I3224"/>
      <c r="N3224"/>
      <c r="O3224" s="24"/>
      <c r="P3224"/>
      <c r="Q3224" s="24"/>
      <c r="R3224"/>
      <c r="S3224"/>
      <c r="T3224"/>
      <c r="U3224"/>
      <c r="X3224" s="60"/>
    </row>
    <row r="3225" spans="7:24" ht="15" customHeight="1">
      <c r="G3225"/>
      <c r="I3225"/>
      <c r="N3225"/>
      <c r="O3225" s="24"/>
      <c r="P3225"/>
      <c r="Q3225" s="24"/>
      <c r="R3225"/>
      <c r="S3225"/>
      <c r="T3225"/>
      <c r="U3225"/>
      <c r="X3225" s="60"/>
    </row>
    <row r="3226" spans="7:24" ht="15" customHeight="1">
      <c r="G3226"/>
      <c r="I3226"/>
      <c r="N3226"/>
      <c r="O3226" s="24"/>
      <c r="P3226"/>
      <c r="Q3226" s="24"/>
      <c r="R3226"/>
      <c r="S3226"/>
      <c r="T3226"/>
      <c r="U3226"/>
      <c r="X3226" s="60"/>
    </row>
    <row r="3227" spans="7:24" ht="15" customHeight="1">
      <c r="G3227"/>
      <c r="I3227"/>
      <c r="N3227"/>
      <c r="O3227" s="24"/>
      <c r="P3227"/>
      <c r="Q3227" s="24"/>
      <c r="R3227"/>
      <c r="S3227"/>
      <c r="T3227"/>
      <c r="U3227"/>
      <c r="X3227" s="60"/>
    </row>
    <row r="3228" spans="7:24" ht="15" customHeight="1">
      <c r="G3228"/>
      <c r="I3228"/>
      <c r="N3228"/>
      <c r="O3228" s="24"/>
      <c r="P3228"/>
      <c r="Q3228" s="24"/>
      <c r="R3228"/>
      <c r="S3228"/>
      <c r="T3228"/>
      <c r="U3228"/>
      <c r="X3228" s="60"/>
    </row>
    <row r="3229" spans="7:24" ht="15" customHeight="1">
      <c r="G3229"/>
      <c r="I3229"/>
      <c r="N3229"/>
      <c r="O3229" s="24"/>
      <c r="P3229"/>
      <c r="Q3229" s="24"/>
      <c r="R3229"/>
      <c r="S3229"/>
      <c r="T3229"/>
      <c r="U3229"/>
      <c r="X3229" s="60"/>
    </row>
    <row r="3230" spans="7:24" ht="15" customHeight="1">
      <c r="G3230"/>
      <c r="I3230"/>
      <c r="N3230"/>
      <c r="O3230" s="24"/>
      <c r="P3230"/>
      <c r="Q3230" s="24"/>
      <c r="R3230"/>
      <c r="S3230"/>
      <c r="T3230"/>
      <c r="U3230"/>
      <c r="X3230" s="60"/>
    </row>
    <row r="3231" spans="7:24" ht="15" customHeight="1">
      <c r="G3231"/>
      <c r="I3231"/>
      <c r="N3231"/>
      <c r="O3231" s="24"/>
      <c r="P3231"/>
      <c r="Q3231" s="24"/>
      <c r="R3231"/>
      <c r="S3231"/>
      <c r="T3231"/>
      <c r="U3231"/>
      <c r="X3231" s="60"/>
    </row>
    <row r="3232" spans="7:24" ht="15" customHeight="1">
      <c r="G3232"/>
      <c r="I3232"/>
      <c r="N3232"/>
      <c r="O3232" s="24"/>
      <c r="P3232"/>
      <c r="Q3232" s="24"/>
      <c r="R3232"/>
      <c r="S3232"/>
      <c r="T3232"/>
      <c r="U3232"/>
      <c r="X3232" s="60"/>
    </row>
    <row r="3233" spans="7:24" ht="15" customHeight="1">
      <c r="G3233"/>
      <c r="I3233"/>
      <c r="N3233"/>
      <c r="O3233" s="24"/>
      <c r="P3233"/>
      <c r="Q3233" s="24"/>
      <c r="R3233"/>
      <c r="S3233"/>
      <c r="T3233"/>
      <c r="U3233"/>
      <c r="X3233" s="60"/>
    </row>
    <row r="3234" spans="7:24" ht="15" customHeight="1">
      <c r="G3234"/>
      <c r="I3234"/>
      <c r="N3234"/>
      <c r="O3234" s="24"/>
      <c r="P3234"/>
      <c r="Q3234" s="24"/>
      <c r="R3234"/>
      <c r="S3234"/>
      <c r="T3234"/>
      <c r="U3234"/>
      <c r="X3234" s="60"/>
    </row>
    <row r="3235" spans="7:24" ht="15" customHeight="1">
      <c r="G3235"/>
      <c r="I3235"/>
      <c r="N3235"/>
      <c r="O3235" s="24"/>
      <c r="P3235"/>
      <c r="Q3235" s="24"/>
      <c r="R3235"/>
      <c r="S3235"/>
      <c r="T3235"/>
      <c r="U3235"/>
      <c r="X3235" s="60"/>
    </row>
    <row r="3236" spans="7:24" ht="15" customHeight="1">
      <c r="G3236"/>
      <c r="I3236"/>
      <c r="N3236"/>
      <c r="O3236" s="24"/>
      <c r="P3236"/>
      <c r="Q3236" s="24"/>
      <c r="R3236"/>
      <c r="S3236"/>
      <c r="T3236"/>
      <c r="U3236"/>
      <c r="X3236" s="60"/>
    </row>
    <row r="3237" spans="7:24" ht="15" customHeight="1">
      <c r="G3237"/>
      <c r="I3237"/>
      <c r="N3237"/>
      <c r="O3237" s="24"/>
      <c r="P3237"/>
      <c r="Q3237" s="24"/>
      <c r="R3237"/>
      <c r="S3237"/>
      <c r="T3237"/>
      <c r="U3237"/>
      <c r="X3237" s="60"/>
    </row>
    <row r="3238" spans="7:24" ht="15" customHeight="1">
      <c r="G3238"/>
      <c r="I3238"/>
      <c r="N3238"/>
      <c r="O3238" s="24"/>
      <c r="P3238"/>
      <c r="Q3238" s="24"/>
      <c r="R3238"/>
      <c r="S3238"/>
      <c r="T3238"/>
      <c r="U3238"/>
      <c r="X3238" s="60"/>
    </row>
    <row r="3239" spans="7:24" ht="15" customHeight="1">
      <c r="G3239"/>
      <c r="I3239"/>
      <c r="N3239"/>
      <c r="O3239" s="24"/>
      <c r="P3239"/>
      <c r="Q3239" s="24"/>
      <c r="R3239"/>
      <c r="S3239"/>
      <c r="T3239"/>
      <c r="U3239"/>
      <c r="X3239" s="60"/>
    </row>
    <row r="3240" spans="7:24" ht="15" customHeight="1">
      <c r="G3240"/>
      <c r="I3240"/>
      <c r="N3240"/>
      <c r="O3240" s="24"/>
      <c r="P3240"/>
      <c r="Q3240" s="24"/>
      <c r="R3240"/>
      <c r="S3240"/>
      <c r="T3240"/>
      <c r="U3240"/>
      <c r="X3240" s="60"/>
    </row>
    <row r="3241" spans="7:24" ht="15" customHeight="1">
      <c r="G3241"/>
      <c r="I3241"/>
      <c r="N3241"/>
      <c r="O3241" s="24"/>
      <c r="P3241"/>
      <c r="Q3241" s="24"/>
      <c r="R3241"/>
      <c r="S3241"/>
      <c r="T3241"/>
      <c r="U3241"/>
      <c r="X3241" s="60"/>
    </row>
    <row r="3242" spans="7:24" ht="15" customHeight="1">
      <c r="G3242"/>
      <c r="I3242"/>
      <c r="N3242"/>
      <c r="O3242" s="24"/>
      <c r="P3242"/>
      <c r="Q3242" s="24"/>
      <c r="R3242"/>
      <c r="S3242"/>
      <c r="T3242"/>
      <c r="U3242"/>
      <c r="X3242" s="60"/>
    </row>
    <row r="3243" spans="7:24" ht="15" customHeight="1">
      <c r="G3243"/>
      <c r="I3243"/>
      <c r="N3243"/>
      <c r="O3243" s="24"/>
      <c r="P3243"/>
      <c r="Q3243" s="24"/>
      <c r="R3243"/>
      <c r="S3243"/>
      <c r="T3243"/>
      <c r="U3243"/>
      <c r="X3243" s="60"/>
    </row>
    <row r="3244" spans="7:24" ht="15" customHeight="1">
      <c r="G3244"/>
      <c r="I3244"/>
      <c r="N3244"/>
      <c r="O3244" s="24"/>
      <c r="P3244"/>
      <c r="Q3244" s="24"/>
      <c r="R3244"/>
      <c r="S3244"/>
      <c r="T3244"/>
      <c r="U3244"/>
      <c r="X3244" s="60"/>
    </row>
    <row r="3245" spans="7:24" ht="15" customHeight="1">
      <c r="G3245"/>
      <c r="I3245"/>
      <c r="N3245"/>
      <c r="O3245" s="24"/>
      <c r="P3245"/>
      <c r="Q3245" s="24"/>
      <c r="R3245"/>
      <c r="S3245"/>
      <c r="T3245"/>
      <c r="U3245"/>
      <c r="X3245" s="60"/>
    </row>
    <row r="3246" spans="7:24" ht="15" customHeight="1">
      <c r="G3246"/>
      <c r="I3246"/>
      <c r="N3246"/>
      <c r="O3246" s="24"/>
      <c r="P3246"/>
      <c r="Q3246" s="24"/>
      <c r="R3246"/>
      <c r="S3246"/>
      <c r="T3246"/>
      <c r="U3246"/>
      <c r="X3246" s="60"/>
    </row>
    <row r="3247" spans="7:24" ht="15" customHeight="1">
      <c r="G3247"/>
      <c r="I3247"/>
      <c r="N3247"/>
      <c r="O3247" s="24"/>
      <c r="P3247"/>
      <c r="Q3247" s="24"/>
      <c r="R3247"/>
      <c r="S3247"/>
      <c r="T3247"/>
      <c r="U3247"/>
      <c r="X3247" s="60"/>
    </row>
    <row r="3248" spans="7:24" ht="15" customHeight="1">
      <c r="G3248"/>
      <c r="I3248"/>
      <c r="N3248"/>
      <c r="O3248" s="24"/>
      <c r="P3248"/>
      <c r="Q3248" s="24"/>
      <c r="R3248"/>
      <c r="S3248"/>
      <c r="T3248"/>
      <c r="U3248"/>
      <c r="X3248" s="60"/>
    </row>
    <row r="3249" spans="7:24" ht="15" customHeight="1">
      <c r="G3249"/>
      <c r="I3249"/>
      <c r="N3249"/>
      <c r="O3249" s="24"/>
      <c r="P3249"/>
      <c r="Q3249" s="24"/>
      <c r="R3249"/>
      <c r="S3249"/>
      <c r="T3249"/>
      <c r="U3249"/>
      <c r="X3249" s="60"/>
    </row>
    <row r="3250" spans="7:24" ht="15" customHeight="1">
      <c r="G3250"/>
      <c r="I3250"/>
      <c r="N3250"/>
      <c r="O3250" s="24"/>
      <c r="P3250"/>
      <c r="Q3250" s="24"/>
      <c r="R3250"/>
      <c r="S3250"/>
      <c r="T3250"/>
      <c r="U3250"/>
      <c r="X3250" s="60"/>
    </row>
    <row r="3251" spans="7:24" ht="15" customHeight="1">
      <c r="G3251"/>
      <c r="I3251"/>
      <c r="N3251"/>
      <c r="O3251" s="24"/>
      <c r="P3251"/>
      <c r="Q3251" s="24"/>
      <c r="R3251"/>
      <c r="S3251"/>
      <c r="T3251"/>
      <c r="U3251"/>
      <c r="X3251" s="60"/>
    </row>
    <row r="3252" spans="7:24" ht="15" customHeight="1">
      <c r="G3252"/>
      <c r="I3252"/>
      <c r="N3252"/>
      <c r="O3252" s="24"/>
      <c r="P3252"/>
      <c r="Q3252" s="24"/>
      <c r="R3252"/>
      <c r="S3252"/>
      <c r="T3252"/>
      <c r="U3252"/>
      <c r="X3252" s="60"/>
    </row>
    <row r="3253" spans="7:24" ht="15" customHeight="1">
      <c r="G3253"/>
      <c r="I3253"/>
      <c r="N3253"/>
      <c r="O3253" s="24"/>
      <c r="P3253"/>
      <c r="Q3253" s="24"/>
      <c r="R3253"/>
      <c r="S3253"/>
      <c r="T3253"/>
      <c r="U3253"/>
      <c r="X3253" s="60"/>
    </row>
    <row r="3254" spans="7:24" ht="15" customHeight="1">
      <c r="G3254"/>
      <c r="I3254"/>
      <c r="N3254"/>
      <c r="O3254" s="24"/>
      <c r="P3254"/>
      <c r="Q3254" s="24"/>
      <c r="R3254"/>
      <c r="S3254"/>
      <c r="T3254"/>
      <c r="U3254"/>
      <c r="X3254" s="60"/>
    </row>
    <row r="3255" spans="7:24" ht="15" customHeight="1">
      <c r="G3255"/>
      <c r="I3255"/>
      <c r="N3255"/>
      <c r="O3255" s="24"/>
      <c r="P3255"/>
      <c r="Q3255" s="24"/>
      <c r="R3255"/>
      <c r="S3255"/>
      <c r="T3255"/>
      <c r="U3255"/>
      <c r="X3255" s="60"/>
    </row>
    <row r="3256" spans="7:24" ht="15" customHeight="1">
      <c r="G3256"/>
      <c r="I3256"/>
      <c r="N3256"/>
      <c r="O3256" s="24"/>
      <c r="P3256"/>
      <c r="Q3256" s="24"/>
      <c r="R3256"/>
      <c r="S3256"/>
      <c r="T3256"/>
      <c r="U3256"/>
      <c r="X3256" s="60"/>
    </row>
    <row r="3257" spans="7:24" ht="15" customHeight="1">
      <c r="G3257"/>
      <c r="I3257"/>
      <c r="N3257"/>
      <c r="O3257" s="24"/>
      <c r="P3257"/>
      <c r="Q3257" s="24"/>
      <c r="R3257"/>
      <c r="S3257"/>
      <c r="T3257"/>
      <c r="U3257"/>
      <c r="X3257" s="60"/>
    </row>
    <row r="3258" spans="7:24" ht="15" customHeight="1">
      <c r="G3258"/>
      <c r="I3258"/>
      <c r="N3258"/>
      <c r="O3258" s="24"/>
      <c r="P3258"/>
      <c r="Q3258" s="24"/>
      <c r="R3258"/>
      <c r="S3258"/>
      <c r="T3258"/>
      <c r="U3258"/>
      <c r="X3258" s="60"/>
    </row>
    <row r="3259" spans="7:24" ht="15" customHeight="1">
      <c r="G3259"/>
      <c r="I3259"/>
      <c r="N3259"/>
      <c r="O3259" s="24"/>
      <c r="P3259"/>
      <c r="Q3259" s="24"/>
      <c r="R3259"/>
      <c r="S3259"/>
      <c r="T3259"/>
      <c r="U3259"/>
      <c r="X3259" s="60"/>
    </row>
    <row r="3260" spans="7:24" ht="15" customHeight="1">
      <c r="G3260"/>
      <c r="I3260"/>
      <c r="N3260"/>
      <c r="O3260" s="24"/>
      <c r="P3260"/>
      <c r="Q3260" s="24"/>
      <c r="R3260"/>
      <c r="S3260"/>
      <c r="T3260"/>
      <c r="U3260"/>
      <c r="X3260" s="60"/>
    </row>
    <row r="3261" spans="7:24" ht="15" customHeight="1">
      <c r="G3261"/>
      <c r="I3261"/>
      <c r="N3261"/>
      <c r="O3261" s="24"/>
      <c r="P3261"/>
      <c r="Q3261" s="24"/>
      <c r="R3261"/>
      <c r="S3261"/>
      <c r="T3261"/>
      <c r="U3261"/>
      <c r="X3261" s="60"/>
    </row>
    <row r="3262" spans="7:24" ht="15" customHeight="1">
      <c r="G3262"/>
      <c r="I3262"/>
      <c r="N3262"/>
      <c r="O3262" s="24"/>
      <c r="P3262"/>
      <c r="Q3262" s="24"/>
      <c r="R3262"/>
      <c r="S3262"/>
      <c r="T3262"/>
      <c r="U3262"/>
      <c r="X3262" s="60"/>
    </row>
    <row r="3263" spans="7:24" ht="15" customHeight="1">
      <c r="G3263"/>
      <c r="I3263"/>
      <c r="N3263"/>
      <c r="O3263" s="24"/>
      <c r="P3263"/>
      <c r="Q3263" s="24"/>
      <c r="R3263"/>
      <c r="S3263"/>
      <c r="T3263"/>
      <c r="U3263"/>
      <c r="X3263" s="60"/>
    </row>
    <row r="3264" spans="7:24" ht="15" customHeight="1">
      <c r="G3264"/>
      <c r="I3264"/>
      <c r="N3264"/>
      <c r="O3264" s="24"/>
      <c r="P3264"/>
      <c r="Q3264" s="24"/>
      <c r="R3264"/>
      <c r="S3264"/>
      <c r="T3264"/>
      <c r="U3264"/>
      <c r="X3264" s="60"/>
    </row>
    <row r="3265" spans="7:24" ht="15" customHeight="1">
      <c r="G3265"/>
      <c r="I3265"/>
      <c r="N3265"/>
      <c r="O3265" s="24"/>
      <c r="P3265"/>
      <c r="Q3265" s="24"/>
      <c r="R3265"/>
      <c r="S3265"/>
      <c r="T3265"/>
      <c r="U3265"/>
      <c r="X3265" s="60"/>
    </row>
    <row r="3266" spans="7:24" ht="15" customHeight="1">
      <c r="G3266"/>
      <c r="I3266"/>
      <c r="N3266"/>
      <c r="O3266" s="24"/>
      <c r="P3266"/>
      <c r="Q3266" s="24"/>
      <c r="R3266"/>
      <c r="S3266"/>
      <c r="T3266"/>
      <c r="U3266"/>
      <c r="X3266" s="60"/>
    </row>
    <row r="3267" spans="7:24" ht="15" customHeight="1">
      <c r="G3267"/>
      <c r="I3267"/>
      <c r="N3267"/>
      <c r="O3267" s="24"/>
      <c r="P3267"/>
      <c r="Q3267" s="24"/>
      <c r="R3267"/>
      <c r="S3267"/>
      <c r="T3267"/>
      <c r="U3267"/>
      <c r="X3267" s="60"/>
    </row>
    <row r="3268" spans="7:24" ht="15" customHeight="1">
      <c r="G3268"/>
      <c r="I3268"/>
      <c r="N3268"/>
      <c r="O3268" s="24"/>
      <c r="P3268"/>
      <c r="Q3268" s="24"/>
      <c r="R3268"/>
      <c r="S3268"/>
      <c r="T3268"/>
      <c r="U3268"/>
      <c r="X3268" s="60"/>
    </row>
    <row r="3269" spans="7:24" ht="15" customHeight="1">
      <c r="G3269"/>
      <c r="I3269"/>
      <c r="N3269"/>
      <c r="O3269" s="24"/>
      <c r="P3269"/>
      <c r="Q3269" s="24"/>
      <c r="R3269"/>
      <c r="S3269"/>
      <c r="T3269"/>
      <c r="U3269"/>
      <c r="X3269" s="60"/>
    </row>
    <row r="3270" spans="7:24" ht="15" customHeight="1">
      <c r="G3270"/>
      <c r="I3270"/>
      <c r="N3270"/>
      <c r="O3270" s="24"/>
      <c r="P3270"/>
      <c r="Q3270" s="24"/>
      <c r="R3270"/>
      <c r="S3270"/>
      <c r="T3270"/>
      <c r="U3270"/>
      <c r="X3270" s="60"/>
    </row>
    <row r="3271" spans="7:24" ht="15" customHeight="1">
      <c r="G3271"/>
      <c r="I3271"/>
      <c r="N3271"/>
      <c r="O3271" s="24"/>
      <c r="P3271"/>
      <c r="Q3271" s="24"/>
      <c r="R3271"/>
      <c r="S3271"/>
      <c r="T3271"/>
      <c r="U3271"/>
      <c r="X3271" s="60"/>
    </row>
    <row r="3272" spans="7:24" ht="15" customHeight="1">
      <c r="G3272"/>
      <c r="I3272"/>
      <c r="N3272"/>
      <c r="O3272" s="24"/>
      <c r="P3272"/>
      <c r="Q3272" s="24"/>
      <c r="R3272"/>
      <c r="S3272"/>
      <c r="T3272"/>
      <c r="U3272"/>
      <c r="X3272" s="60"/>
    </row>
    <row r="3273" spans="7:24" ht="15" customHeight="1">
      <c r="G3273"/>
      <c r="I3273"/>
      <c r="N3273"/>
      <c r="O3273" s="24"/>
      <c r="P3273"/>
      <c r="Q3273" s="24"/>
      <c r="R3273"/>
      <c r="S3273"/>
      <c r="T3273"/>
      <c r="U3273"/>
      <c r="X3273" s="60"/>
    </row>
    <row r="3274" spans="7:24" ht="15" customHeight="1">
      <c r="G3274"/>
      <c r="I3274"/>
      <c r="N3274"/>
      <c r="O3274" s="24"/>
      <c r="P3274"/>
      <c r="Q3274" s="24"/>
      <c r="R3274"/>
      <c r="S3274"/>
      <c r="T3274"/>
      <c r="U3274"/>
      <c r="X3274" s="60"/>
    </row>
    <row r="3275" spans="7:24" ht="15" customHeight="1">
      <c r="G3275"/>
      <c r="I3275"/>
      <c r="N3275"/>
      <c r="O3275" s="24"/>
      <c r="P3275"/>
      <c r="Q3275" s="24"/>
      <c r="R3275"/>
      <c r="S3275"/>
      <c r="T3275"/>
      <c r="U3275"/>
      <c r="X3275" s="60"/>
    </row>
    <row r="3276" spans="7:24" ht="15" customHeight="1">
      <c r="G3276"/>
      <c r="I3276"/>
      <c r="N3276"/>
      <c r="O3276" s="24"/>
      <c r="P3276"/>
      <c r="Q3276" s="24"/>
      <c r="R3276"/>
      <c r="S3276"/>
      <c r="T3276"/>
      <c r="U3276"/>
      <c r="X3276" s="60"/>
    </row>
    <row r="3277" spans="7:24" ht="15" customHeight="1">
      <c r="G3277"/>
      <c r="I3277"/>
      <c r="N3277"/>
      <c r="O3277" s="24"/>
      <c r="P3277"/>
      <c r="Q3277" s="24"/>
      <c r="R3277"/>
      <c r="S3277"/>
      <c r="T3277"/>
      <c r="U3277"/>
      <c r="X3277" s="60"/>
    </row>
    <row r="3278" spans="7:24" ht="15" customHeight="1">
      <c r="G3278"/>
      <c r="I3278"/>
      <c r="N3278"/>
      <c r="O3278" s="24"/>
      <c r="P3278"/>
      <c r="Q3278" s="24"/>
      <c r="R3278"/>
      <c r="S3278"/>
      <c r="T3278"/>
      <c r="U3278"/>
      <c r="X3278" s="60"/>
    </row>
    <row r="3279" spans="7:24" ht="15" customHeight="1">
      <c r="G3279"/>
      <c r="I3279"/>
      <c r="N3279"/>
      <c r="O3279" s="24"/>
      <c r="P3279"/>
      <c r="Q3279" s="24"/>
      <c r="R3279"/>
      <c r="S3279"/>
      <c r="T3279"/>
      <c r="U3279"/>
      <c r="X3279" s="60"/>
    </row>
    <row r="3280" spans="7:24" ht="15" customHeight="1">
      <c r="G3280"/>
      <c r="I3280"/>
      <c r="N3280"/>
      <c r="O3280" s="24"/>
      <c r="P3280"/>
      <c r="Q3280" s="24"/>
      <c r="R3280"/>
      <c r="S3280"/>
      <c r="T3280"/>
      <c r="U3280"/>
      <c r="X3280" s="60"/>
    </row>
    <row r="3281" spans="7:24" ht="15" customHeight="1">
      <c r="G3281"/>
      <c r="I3281"/>
      <c r="N3281"/>
      <c r="O3281" s="24"/>
      <c r="P3281"/>
      <c r="Q3281" s="24"/>
      <c r="R3281"/>
      <c r="S3281"/>
      <c r="T3281"/>
      <c r="U3281"/>
      <c r="X3281" s="60"/>
    </row>
    <row r="3282" spans="7:24" ht="15" customHeight="1">
      <c r="G3282"/>
      <c r="I3282"/>
      <c r="N3282"/>
      <c r="O3282" s="24"/>
      <c r="P3282"/>
      <c r="Q3282" s="24"/>
      <c r="R3282"/>
      <c r="S3282"/>
      <c r="T3282"/>
      <c r="U3282"/>
      <c r="X3282" s="60"/>
    </row>
    <row r="3283" spans="7:24" ht="15" customHeight="1">
      <c r="G3283"/>
      <c r="I3283"/>
      <c r="N3283"/>
      <c r="O3283" s="24"/>
      <c r="P3283"/>
      <c r="Q3283" s="24"/>
      <c r="R3283"/>
      <c r="S3283"/>
      <c r="T3283"/>
      <c r="U3283"/>
      <c r="X3283" s="60"/>
    </row>
    <row r="3284" spans="7:24" ht="15" customHeight="1">
      <c r="G3284"/>
      <c r="I3284"/>
      <c r="N3284"/>
      <c r="O3284" s="24"/>
      <c r="P3284"/>
      <c r="Q3284" s="24"/>
      <c r="R3284"/>
      <c r="S3284"/>
      <c r="T3284"/>
      <c r="U3284"/>
      <c r="X3284" s="60"/>
    </row>
    <row r="3285" spans="7:24" ht="15" customHeight="1">
      <c r="G3285"/>
      <c r="I3285"/>
      <c r="N3285"/>
      <c r="O3285" s="24"/>
      <c r="P3285"/>
      <c r="Q3285" s="24"/>
      <c r="R3285"/>
      <c r="S3285"/>
      <c r="T3285"/>
      <c r="U3285"/>
      <c r="X3285" s="60"/>
    </row>
    <row r="3286" spans="7:24" ht="15" customHeight="1">
      <c r="G3286"/>
      <c r="I3286"/>
      <c r="N3286"/>
      <c r="O3286" s="24"/>
      <c r="P3286"/>
      <c r="Q3286" s="24"/>
      <c r="R3286"/>
      <c r="S3286"/>
      <c r="T3286"/>
      <c r="U3286"/>
      <c r="X3286" s="60"/>
    </row>
    <row r="3287" spans="7:24" ht="15" customHeight="1">
      <c r="G3287"/>
      <c r="I3287"/>
      <c r="N3287"/>
      <c r="O3287" s="24"/>
      <c r="P3287"/>
      <c r="Q3287" s="24"/>
      <c r="R3287"/>
      <c r="S3287"/>
      <c r="T3287"/>
      <c r="U3287"/>
      <c r="X3287" s="60"/>
    </row>
    <row r="3288" spans="7:24" ht="15" customHeight="1">
      <c r="G3288"/>
      <c r="I3288"/>
      <c r="N3288"/>
      <c r="O3288" s="24"/>
      <c r="P3288"/>
      <c r="Q3288" s="24"/>
      <c r="R3288"/>
      <c r="S3288"/>
      <c r="T3288"/>
      <c r="U3288"/>
      <c r="X3288" s="60"/>
    </row>
    <row r="3289" spans="7:24" ht="15" customHeight="1">
      <c r="G3289"/>
      <c r="I3289"/>
      <c r="N3289"/>
      <c r="O3289" s="24"/>
      <c r="P3289"/>
      <c r="Q3289" s="24"/>
      <c r="R3289"/>
      <c r="S3289"/>
      <c r="T3289"/>
      <c r="U3289"/>
      <c r="X3289" s="60"/>
    </row>
    <row r="3290" spans="7:24" ht="15" customHeight="1">
      <c r="G3290"/>
      <c r="I3290"/>
      <c r="N3290"/>
      <c r="O3290" s="24"/>
      <c r="P3290"/>
      <c r="Q3290" s="24"/>
      <c r="R3290"/>
      <c r="S3290"/>
      <c r="T3290"/>
      <c r="U3290"/>
      <c r="X3290" s="60"/>
    </row>
    <row r="3291" spans="7:24" ht="15" customHeight="1">
      <c r="G3291"/>
      <c r="I3291"/>
      <c r="N3291"/>
      <c r="O3291" s="24"/>
      <c r="P3291"/>
      <c r="Q3291" s="24"/>
      <c r="R3291"/>
      <c r="S3291"/>
      <c r="T3291"/>
      <c r="U3291"/>
      <c r="X3291" s="60"/>
    </row>
    <row r="3292" spans="7:24" ht="15" customHeight="1">
      <c r="G3292"/>
      <c r="I3292"/>
      <c r="N3292"/>
      <c r="O3292" s="24"/>
      <c r="P3292"/>
      <c r="Q3292" s="24"/>
      <c r="R3292"/>
      <c r="S3292"/>
      <c r="T3292"/>
      <c r="U3292"/>
      <c r="X3292" s="60"/>
    </row>
    <row r="3293" spans="7:24" ht="15" customHeight="1">
      <c r="G3293"/>
      <c r="I3293"/>
      <c r="N3293"/>
      <c r="O3293" s="24"/>
      <c r="P3293"/>
      <c r="Q3293" s="24"/>
      <c r="R3293"/>
      <c r="S3293"/>
      <c r="T3293"/>
      <c r="U3293"/>
      <c r="X3293" s="60"/>
    </row>
    <row r="3294" spans="7:24" ht="15" customHeight="1">
      <c r="G3294"/>
      <c r="I3294"/>
      <c r="N3294"/>
      <c r="O3294" s="24"/>
      <c r="P3294"/>
      <c r="Q3294" s="24"/>
      <c r="R3294"/>
      <c r="S3294"/>
      <c r="T3294"/>
      <c r="U3294"/>
      <c r="X3294" s="60"/>
    </row>
    <row r="3295" spans="7:24" ht="15" customHeight="1">
      <c r="G3295"/>
      <c r="I3295"/>
      <c r="N3295"/>
      <c r="O3295" s="24"/>
      <c r="P3295"/>
      <c r="Q3295" s="24"/>
      <c r="R3295"/>
      <c r="S3295"/>
      <c r="T3295"/>
      <c r="U3295"/>
      <c r="X3295" s="60"/>
    </row>
    <row r="3296" spans="7:24" ht="15" customHeight="1">
      <c r="G3296"/>
      <c r="I3296"/>
      <c r="N3296"/>
      <c r="O3296" s="24"/>
      <c r="P3296"/>
      <c r="Q3296" s="24"/>
      <c r="R3296"/>
      <c r="S3296"/>
      <c r="T3296"/>
      <c r="U3296"/>
      <c r="X3296" s="60"/>
    </row>
    <row r="3297" spans="7:24" ht="15" customHeight="1">
      <c r="G3297"/>
      <c r="I3297"/>
      <c r="N3297"/>
      <c r="O3297" s="24"/>
      <c r="P3297"/>
      <c r="Q3297" s="24"/>
      <c r="R3297"/>
      <c r="S3297"/>
      <c r="T3297"/>
      <c r="U3297"/>
      <c r="X3297" s="60"/>
    </row>
    <row r="3298" spans="7:24" ht="15" customHeight="1">
      <c r="G3298"/>
      <c r="I3298"/>
      <c r="N3298"/>
      <c r="O3298" s="24"/>
      <c r="P3298"/>
      <c r="Q3298" s="24"/>
      <c r="R3298"/>
      <c r="S3298"/>
      <c r="T3298"/>
      <c r="U3298"/>
      <c r="X3298" s="60"/>
    </row>
    <row r="3299" spans="7:24" ht="15" customHeight="1">
      <c r="G3299"/>
      <c r="I3299"/>
      <c r="N3299"/>
      <c r="O3299" s="24"/>
      <c r="P3299"/>
      <c r="Q3299" s="24"/>
      <c r="R3299"/>
      <c r="S3299"/>
      <c r="T3299"/>
      <c r="U3299"/>
      <c r="X3299" s="60"/>
    </row>
    <row r="3300" spans="7:24" ht="15" customHeight="1">
      <c r="G3300"/>
      <c r="I3300"/>
      <c r="N3300"/>
      <c r="O3300" s="24"/>
      <c r="P3300"/>
      <c r="Q3300" s="24"/>
      <c r="R3300"/>
      <c r="S3300"/>
      <c r="T3300"/>
      <c r="U3300"/>
      <c r="X3300" s="60"/>
    </row>
    <row r="3301" spans="7:24" ht="15" customHeight="1">
      <c r="G3301"/>
      <c r="I3301"/>
      <c r="N3301"/>
      <c r="O3301" s="24"/>
      <c r="P3301"/>
      <c r="Q3301" s="24"/>
      <c r="R3301"/>
      <c r="S3301"/>
      <c r="T3301"/>
      <c r="U3301"/>
      <c r="X3301" s="60"/>
    </row>
    <row r="3302" spans="7:24" ht="15" customHeight="1">
      <c r="G3302"/>
      <c r="I3302"/>
      <c r="N3302"/>
      <c r="O3302" s="24"/>
      <c r="P3302"/>
      <c r="Q3302" s="24"/>
      <c r="R3302"/>
      <c r="S3302"/>
      <c r="T3302"/>
      <c r="U3302"/>
      <c r="X3302" s="60"/>
    </row>
    <row r="3303" spans="7:24" ht="15" customHeight="1">
      <c r="G3303"/>
      <c r="I3303"/>
      <c r="N3303"/>
      <c r="O3303" s="24"/>
      <c r="P3303"/>
      <c r="Q3303" s="24"/>
      <c r="R3303"/>
      <c r="S3303"/>
      <c r="T3303"/>
      <c r="U3303"/>
      <c r="X3303" s="60"/>
    </row>
    <row r="3304" spans="7:24" ht="15" customHeight="1">
      <c r="G3304"/>
      <c r="I3304"/>
      <c r="N3304"/>
      <c r="O3304" s="24"/>
      <c r="P3304"/>
      <c r="Q3304" s="24"/>
      <c r="R3304"/>
      <c r="S3304"/>
      <c r="T3304"/>
      <c r="U3304"/>
      <c r="X3304" s="60"/>
    </row>
    <row r="3305" spans="7:24" ht="15" customHeight="1">
      <c r="G3305"/>
      <c r="I3305"/>
      <c r="N3305"/>
      <c r="O3305" s="24"/>
      <c r="P3305"/>
      <c r="Q3305" s="24"/>
      <c r="R3305"/>
      <c r="S3305"/>
      <c r="T3305"/>
      <c r="U3305"/>
      <c r="X3305" s="60"/>
    </row>
    <row r="3306" spans="7:24" ht="15" customHeight="1">
      <c r="G3306"/>
      <c r="I3306"/>
      <c r="N3306"/>
      <c r="O3306" s="24"/>
      <c r="P3306"/>
      <c r="Q3306" s="24"/>
      <c r="R3306"/>
      <c r="S3306"/>
      <c r="T3306"/>
      <c r="U3306"/>
      <c r="X3306" s="60"/>
    </row>
    <row r="3307" spans="7:24" ht="15" customHeight="1">
      <c r="G3307"/>
      <c r="I3307"/>
      <c r="N3307"/>
      <c r="O3307" s="24"/>
      <c r="P3307"/>
      <c r="Q3307" s="24"/>
      <c r="R3307"/>
      <c r="S3307"/>
      <c r="T3307"/>
      <c r="U3307"/>
      <c r="X3307" s="60"/>
    </row>
    <row r="3308" spans="7:24" ht="15" customHeight="1">
      <c r="G3308"/>
      <c r="I3308"/>
      <c r="N3308"/>
      <c r="O3308" s="24"/>
      <c r="P3308"/>
      <c r="Q3308" s="24"/>
      <c r="R3308"/>
      <c r="S3308"/>
      <c r="T3308"/>
      <c r="U3308"/>
      <c r="X3308" s="60"/>
    </row>
    <row r="3309" spans="7:24" ht="15" customHeight="1">
      <c r="G3309"/>
      <c r="I3309"/>
      <c r="N3309"/>
      <c r="O3309" s="24"/>
      <c r="P3309"/>
      <c r="Q3309" s="24"/>
      <c r="R3309"/>
      <c r="S3309"/>
      <c r="T3309"/>
      <c r="U3309"/>
      <c r="X3309" s="60"/>
    </row>
    <row r="3310" spans="7:24" ht="15" customHeight="1">
      <c r="G3310"/>
      <c r="I3310"/>
      <c r="N3310"/>
      <c r="O3310" s="24"/>
      <c r="P3310"/>
      <c r="Q3310" s="24"/>
      <c r="R3310"/>
      <c r="S3310"/>
      <c r="T3310"/>
      <c r="U3310"/>
      <c r="X3310" s="60"/>
    </row>
    <row r="3311" spans="7:24" ht="15" customHeight="1">
      <c r="G3311"/>
      <c r="I3311"/>
      <c r="N3311"/>
      <c r="O3311" s="24"/>
      <c r="P3311"/>
      <c r="Q3311" s="24"/>
      <c r="R3311"/>
      <c r="S3311"/>
      <c r="T3311"/>
      <c r="U3311"/>
      <c r="X3311" s="60"/>
    </row>
    <row r="3312" spans="7:24" ht="15" customHeight="1">
      <c r="G3312"/>
      <c r="I3312"/>
      <c r="N3312"/>
      <c r="O3312" s="24"/>
      <c r="P3312"/>
      <c r="Q3312" s="24"/>
      <c r="R3312"/>
      <c r="S3312"/>
      <c r="T3312"/>
      <c r="U3312"/>
      <c r="X3312" s="60"/>
    </row>
    <row r="3313" spans="7:24" ht="15" customHeight="1">
      <c r="G3313"/>
      <c r="I3313"/>
      <c r="N3313"/>
      <c r="O3313" s="24"/>
      <c r="P3313"/>
      <c r="Q3313" s="24"/>
      <c r="R3313"/>
      <c r="S3313"/>
      <c r="T3313"/>
      <c r="U3313"/>
      <c r="X3313" s="60"/>
    </row>
    <row r="3314" spans="7:24" ht="15" customHeight="1">
      <c r="G3314"/>
      <c r="I3314"/>
      <c r="N3314"/>
      <c r="O3314" s="24"/>
      <c r="P3314"/>
      <c r="Q3314" s="24"/>
      <c r="R3314"/>
      <c r="S3314"/>
      <c r="T3314"/>
      <c r="U3314"/>
      <c r="X3314" s="60"/>
    </row>
    <row r="3315" spans="7:24" ht="15" customHeight="1">
      <c r="G3315"/>
      <c r="I3315"/>
      <c r="N3315"/>
      <c r="O3315" s="24"/>
      <c r="P3315"/>
      <c r="Q3315" s="24"/>
      <c r="R3315"/>
      <c r="S3315"/>
      <c r="T3315"/>
      <c r="U3315"/>
      <c r="X3315" s="60"/>
    </row>
    <row r="3316" spans="7:24" ht="15" customHeight="1">
      <c r="G3316"/>
      <c r="I3316"/>
      <c r="N3316"/>
      <c r="O3316" s="24"/>
      <c r="P3316"/>
      <c r="Q3316" s="24"/>
      <c r="R3316"/>
      <c r="S3316"/>
      <c r="T3316"/>
      <c r="U3316"/>
      <c r="X3316" s="60"/>
    </row>
    <row r="3317" spans="7:24" ht="15" customHeight="1">
      <c r="G3317"/>
      <c r="I3317"/>
      <c r="N3317"/>
      <c r="O3317" s="24"/>
      <c r="P3317"/>
      <c r="Q3317" s="24"/>
      <c r="R3317"/>
      <c r="S3317"/>
      <c r="T3317"/>
      <c r="U3317"/>
      <c r="X3317" s="60"/>
    </row>
    <row r="3318" spans="7:24" ht="15" customHeight="1">
      <c r="G3318"/>
      <c r="I3318"/>
      <c r="N3318"/>
      <c r="O3318" s="24"/>
      <c r="P3318"/>
      <c r="Q3318" s="24"/>
      <c r="R3318"/>
      <c r="S3318"/>
      <c r="T3318"/>
      <c r="U3318"/>
      <c r="X3318" s="60"/>
    </row>
    <row r="3319" spans="7:24" ht="15" customHeight="1">
      <c r="G3319"/>
      <c r="I3319"/>
      <c r="N3319"/>
      <c r="O3319" s="24"/>
      <c r="P3319"/>
      <c r="Q3319" s="24"/>
      <c r="R3319"/>
      <c r="S3319"/>
      <c r="T3319"/>
      <c r="U3319"/>
      <c r="X3319" s="60"/>
    </row>
    <row r="3320" spans="7:24" ht="15" customHeight="1">
      <c r="G3320"/>
      <c r="I3320"/>
      <c r="N3320"/>
      <c r="O3320" s="24"/>
      <c r="P3320"/>
      <c r="Q3320" s="24"/>
      <c r="R3320"/>
      <c r="S3320"/>
      <c r="T3320"/>
      <c r="U3320"/>
      <c r="X3320" s="60"/>
    </row>
    <row r="3321" spans="7:24" ht="15" customHeight="1">
      <c r="G3321"/>
      <c r="I3321"/>
      <c r="N3321"/>
      <c r="O3321" s="24"/>
      <c r="P3321"/>
      <c r="Q3321" s="24"/>
      <c r="R3321"/>
      <c r="S3321"/>
      <c r="T3321"/>
      <c r="U3321"/>
      <c r="X3321" s="60"/>
    </row>
    <row r="3322" spans="7:24" ht="15" customHeight="1">
      <c r="G3322"/>
      <c r="I3322"/>
      <c r="N3322"/>
      <c r="O3322" s="24"/>
      <c r="P3322"/>
      <c r="Q3322" s="24"/>
      <c r="R3322"/>
      <c r="S3322"/>
      <c r="T3322"/>
      <c r="U3322"/>
      <c r="X3322" s="60"/>
    </row>
    <row r="3323" spans="7:24" ht="15" customHeight="1">
      <c r="G3323"/>
      <c r="I3323"/>
      <c r="N3323"/>
      <c r="O3323" s="24"/>
      <c r="P3323"/>
      <c r="Q3323" s="24"/>
      <c r="R3323"/>
      <c r="S3323"/>
      <c r="T3323"/>
      <c r="U3323"/>
      <c r="X3323" s="60"/>
    </row>
    <row r="3324" spans="7:24" ht="15" customHeight="1">
      <c r="G3324"/>
      <c r="I3324"/>
      <c r="N3324"/>
      <c r="O3324" s="24"/>
      <c r="P3324"/>
      <c r="Q3324" s="24"/>
      <c r="R3324"/>
      <c r="S3324"/>
      <c r="T3324"/>
      <c r="U3324"/>
      <c r="X3324" s="60"/>
    </row>
    <row r="3325" spans="7:24" ht="15" customHeight="1">
      <c r="G3325"/>
      <c r="I3325"/>
      <c r="N3325"/>
      <c r="O3325" s="24"/>
      <c r="P3325"/>
      <c r="Q3325" s="24"/>
      <c r="R3325"/>
      <c r="S3325"/>
      <c r="T3325"/>
      <c r="U3325"/>
      <c r="X3325" s="60"/>
    </row>
    <row r="3326" spans="7:24" ht="15" customHeight="1">
      <c r="G3326"/>
      <c r="I3326"/>
      <c r="N3326"/>
      <c r="O3326" s="24"/>
      <c r="P3326"/>
      <c r="Q3326" s="24"/>
      <c r="R3326"/>
      <c r="S3326"/>
      <c r="T3326"/>
      <c r="U3326"/>
      <c r="X3326" s="60"/>
    </row>
    <row r="3327" spans="7:24" ht="15" customHeight="1">
      <c r="G3327"/>
      <c r="I3327"/>
      <c r="N3327"/>
      <c r="O3327" s="24"/>
      <c r="P3327"/>
      <c r="Q3327" s="24"/>
      <c r="R3327"/>
      <c r="S3327"/>
      <c r="T3327"/>
      <c r="U3327"/>
      <c r="X3327" s="60"/>
    </row>
    <row r="3328" spans="7:24" ht="15" customHeight="1">
      <c r="G3328"/>
      <c r="I3328"/>
      <c r="N3328"/>
      <c r="O3328" s="24"/>
      <c r="P3328"/>
      <c r="Q3328" s="24"/>
      <c r="R3328"/>
      <c r="S3328"/>
      <c r="T3328"/>
      <c r="U3328"/>
      <c r="X3328" s="60"/>
    </row>
    <row r="3329" spans="7:24" ht="15" customHeight="1">
      <c r="G3329"/>
      <c r="I3329"/>
      <c r="N3329"/>
      <c r="O3329" s="24"/>
      <c r="P3329"/>
      <c r="Q3329" s="24"/>
      <c r="R3329"/>
      <c r="S3329"/>
      <c r="T3329"/>
      <c r="U3329"/>
      <c r="X3329" s="60"/>
    </row>
    <row r="3330" spans="7:24" ht="15" customHeight="1">
      <c r="G3330"/>
      <c r="I3330"/>
      <c r="N3330"/>
      <c r="O3330" s="24"/>
      <c r="P3330"/>
      <c r="Q3330" s="24"/>
      <c r="R3330"/>
      <c r="S3330"/>
      <c r="T3330"/>
      <c r="U3330"/>
      <c r="X3330" s="60"/>
    </row>
    <row r="3331" spans="7:24" ht="15" customHeight="1">
      <c r="G3331"/>
      <c r="I3331"/>
      <c r="N3331"/>
      <c r="O3331" s="24"/>
      <c r="P3331"/>
      <c r="Q3331" s="24"/>
      <c r="R3331"/>
      <c r="S3331"/>
      <c r="T3331"/>
      <c r="U3331"/>
      <c r="X3331" s="60"/>
    </row>
    <row r="3332" spans="7:24" ht="15" customHeight="1">
      <c r="G3332"/>
      <c r="I3332"/>
      <c r="N3332"/>
      <c r="O3332" s="24"/>
      <c r="P3332"/>
      <c r="Q3332" s="24"/>
      <c r="R3332"/>
      <c r="S3332"/>
      <c r="T3332"/>
      <c r="U3332"/>
      <c r="X3332" s="60"/>
    </row>
    <row r="3333" spans="7:24" ht="15" customHeight="1">
      <c r="G3333"/>
      <c r="I3333"/>
      <c r="N3333"/>
      <c r="O3333" s="24"/>
      <c r="P3333"/>
      <c r="Q3333" s="24"/>
      <c r="R3333"/>
      <c r="S3333"/>
      <c r="T3333"/>
      <c r="U3333"/>
      <c r="X3333" s="60"/>
    </row>
    <row r="3334" spans="7:24" ht="15" customHeight="1">
      <c r="G3334"/>
      <c r="I3334"/>
      <c r="N3334"/>
      <c r="O3334" s="24"/>
      <c r="P3334"/>
      <c r="Q3334" s="24"/>
      <c r="R3334"/>
      <c r="S3334"/>
      <c r="T3334"/>
      <c r="U3334"/>
      <c r="X3334" s="60"/>
    </row>
    <row r="3335" spans="7:24" ht="15" customHeight="1">
      <c r="G3335"/>
      <c r="I3335"/>
      <c r="N3335"/>
      <c r="O3335" s="24"/>
      <c r="P3335"/>
      <c r="Q3335" s="24"/>
      <c r="R3335"/>
      <c r="S3335"/>
      <c r="T3335"/>
      <c r="U3335"/>
      <c r="X3335" s="60"/>
    </row>
    <row r="3336" spans="7:24" ht="15" customHeight="1">
      <c r="G3336"/>
      <c r="I3336"/>
      <c r="N3336"/>
      <c r="O3336" s="24"/>
      <c r="P3336"/>
      <c r="Q3336" s="24"/>
      <c r="R3336"/>
      <c r="S3336"/>
      <c r="T3336"/>
      <c r="U3336"/>
      <c r="X3336" s="60"/>
    </row>
    <row r="3337" spans="7:24" ht="15" customHeight="1">
      <c r="G3337"/>
      <c r="I3337"/>
      <c r="N3337"/>
      <c r="O3337" s="24"/>
      <c r="P3337"/>
      <c r="Q3337" s="24"/>
      <c r="R3337"/>
      <c r="S3337"/>
      <c r="T3337"/>
      <c r="U3337"/>
      <c r="X3337" s="60"/>
    </row>
    <row r="3338" spans="7:24" ht="15" customHeight="1">
      <c r="G3338"/>
      <c r="I3338"/>
      <c r="N3338"/>
      <c r="O3338" s="24"/>
      <c r="P3338"/>
      <c r="Q3338" s="24"/>
      <c r="R3338"/>
      <c r="S3338"/>
      <c r="T3338"/>
      <c r="U3338"/>
      <c r="X3338" s="60"/>
    </row>
    <row r="3339" spans="7:24" ht="15" customHeight="1">
      <c r="G3339"/>
      <c r="I3339"/>
      <c r="N3339"/>
      <c r="O3339" s="24"/>
      <c r="P3339"/>
      <c r="Q3339" s="24"/>
      <c r="R3339"/>
      <c r="S3339"/>
      <c r="T3339"/>
      <c r="U3339"/>
      <c r="X3339" s="60"/>
    </row>
    <row r="3340" spans="7:24" ht="15" customHeight="1">
      <c r="G3340"/>
      <c r="I3340"/>
      <c r="N3340"/>
      <c r="O3340" s="24"/>
      <c r="P3340"/>
      <c r="Q3340" s="24"/>
      <c r="R3340"/>
      <c r="S3340"/>
      <c r="T3340"/>
      <c r="U3340"/>
      <c r="X3340" s="60"/>
    </row>
    <row r="3341" spans="7:24" ht="15" customHeight="1">
      <c r="G3341"/>
      <c r="I3341"/>
      <c r="N3341"/>
      <c r="O3341" s="24"/>
      <c r="P3341"/>
      <c r="Q3341" s="24"/>
      <c r="R3341"/>
      <c r="S3341"/>
      <c r="T3341"/>
      <c r="U3341"/>
      <c r="X3341" s="60"/>
    </row>
    <row r="3342" spans="7:24" ht="15" customHeight="1">
      <c r="G3342"/>
      <c r="I3342"/>
      <c r="N3342"/>
      <c r="O3342" s="24"/>
      <c r="P3342"/>
      <c r="Q3342" s="24"/>
      <c r="R3342"/>
      <c r="S3342"/>
      <c r="T3342"/>
      <c r="U3342"/>
      <c r="X3342" s="60"/>
    </row>
    <row r="3343" spans="7:24" ht="15" customHeight="1">
      <c r="G3343"/>
      <c r="I3343"/>
      <c r="N3343"/>
      <c r="O3343" s="24"/>
      <c r="P3343"/>
      <c r="Q3343" s="24"/>
      <c r="R3343"/>
      <c r="S3343"/>
      <c r="T3343"/>
      <c r="U3343"/>
      <c r="X3343" s="60"/>
    </row>
    <row r="3344" spans="7:24" ht="15" customHeight="1">
      <c r="G3344"/>
      <c r="I3344"/>
      <c r="N3344"/>
      <c r="O3344" s="24"/>
      <c r="P3344"/>
      <c r="Q3344" s="24"/>
      <c r="R3344"/>
      <c r="S3344"/>
      <c r="T3344"/>
      <c r="U3344"/>
      <c r="X3344" s="60"/>
    </row>
    <row r="3345" spans="7:24" ht="15" customHeight="1">
      <c r="G3345"/>
      <c r="I3345"/>
      <c r="N3345"/>
      <c r="O3345" s="24"/>
      <c r="P3345"/>
      <c r="Q3345" s="24"/>
      <c r="R3345"/>
      <c r="S3345"/>
      <c r="T3345"/>
      <c r="U3345"/>
      <c r="X3345" s="60"/>
    </row>
    <row r="3346" spans="7:24" ht="15" customHeight="1">
      <c r="G3346"/>
      <c r="I3346"/>
      <c r="N3346"/>
      <c r="O3346" s="24"/>
      <c r="P3346"/>
      <c r="Q3346" s="24"/>
      <c r="R3346"/>
      <c r="S3346"/>
      <c r="T3346"/>
      <c r="U3346"/>
      <c r="X3346" s="60"/>
    </row>
    <row r="3347" spans="7:24" ht="15" customHeight="1">
      <c r="G3347"/>
      <c r="I3347"/>
      <c r="N3347"/>
      <c r="O3347" s="24"/>
      <c r="P3347"/>
      <c r="Q3347" s="24"/>
      <c r="R3347"/>
      <c r="S3347"/>
      <c r="T3347"/>
      <c r="U3347"/>
      <c r="X3347" s="60"/>
    </row>
    <row r="3348" spans="7:24" ht="15" customHeight="1">
      <c r="G3348"/>
      <c r="I3348"/>
      <c r="N3348"/>
      <c r="O3348" s="24"/>
      <c r="P3348"/>
      <c r="Q3348" s="24"/>
      <c r="R3348"/>
      <c r="S3348"/>
      <c r="T3348"/>
      <c r="U3348"/>
      <c r="X3348" s="60"/>
    </row>
    <row r="3349" spans="7:24" ht="15" customHeight="1">
      <c r="G3349"/>
      <c r="I3349"/>
      <c r="N3349"/>
      <c r="O3349" s="24"/>
      <c r="P3349"/>
      <c r="Q3349" s="24"/>
      <c r="R3349"/>
      <c r="S3349"/>
      <c r="T3349"/>
      <c r="U3349"/>
      <c r="X3349" s="60"/>
    </row>
    <row r="3350" spans="7:24" ht="15" customHeight="1">
      <c r="G3350"/>
      <c r="I3350"/>
      <c r="N3350"/>
      <c r="O3350" s="24"/>
      <c r="P3350"/>
      <c r="Q3350" s="24"/>
      <c r="R3350"/>
      <c r="S3350"/>
      <c r="T3350"/>
      <c r="U3350"/>
      <c r="X3350" s="60"/>
    </row>
    <row r="3351" spans="7:24" ht="15" customHeight="1">
      <c r="G3351"/>
      <c r="I3351"/>
      <c r="N3351"/>
      <c r="O3351" s="24"/>
      <c r="P3351"/>
      <c r="Q3351" s="24"/>
      <c r="R3351"/>
      <c r="S3351"/>
      <c r="T3351"/>
      <c r="U3351"/>
      <c r="X3351" s="60"/>
    </row>
    <row r="3352" spans="7:24" ht="15" customHeight="1">
      <c r="G3352"/>
      <c r="I3352"/>
      <c r="N3352"/>
      <c r="O3352" s="24"/>
      <c r="P3352"/>
      <c r="Q3352" s="24"/>
      <c r="R3352"/>
      <c r="S3352"/>
      <c r="T3352"/>
      <c r="U3352"/>
      <c r="X3352" s="60"/>
    </row>
    <row r="3353" spans="7:24" ht="15" customHeight="1">
      <c r="G3353"/>
      <c r="I3353"/>
      <c r="N3353"/>
      <c r="O3353" s="24"/>
      <c r="P3353"/>
      <c r="Q3353" s="24"/>
      <c r="R3353"/>
      <c r="S3353"/>
      <c r="T3353"/>
      <c r="U3353"/>
      <c r="X3353" s="60"/>
    </row>
    <row r="3354" spans="7:24" ht="15" customHeight="1">
      <c r="G3354"/>
      <c r="I3354"/>
      <c r="N3354"/>
      <c r="O3354" s="24"/>
      <c r="P3354"/>
      <c r="Q3354" s="24"/>
      <c r="R3354"/>
      <c r="S3354"/>
      <c r="T3354"/>
      <c r="U3354"/>
      <c r="X3354" s="60"/>
    </row>
    <row r="3355" spans="7:24" ht="15" customHeight="1">
      <c r="G3355"/>
      <c r="I3355"/>
      <c r="N3355"/>
      <c r="O3355" s="24"/>
      <c r="P3355"/>
      <c r="Q3355" s="24"/>
      <c r="R3355"/>
      <c r="S3355"/>
      <c r="T3355"/>
      <c r="U3355"/>
      <c r="X3355" s="60"/>
    </row>
    <row r="3356" spans="7:24" ht="15" customHeight="1">
      <c r="G3356"/>
      <c r="I3356"/>
      <c r="N3356"/>
      <c r="O3356" s="24"/>
      <c r="P3356"/>
      <c r="Q3356" s="24"/>
      <c r="R3356"/>
      <c r="S3356"/>
      <c r="T3356"/>
      <c r="U3356"/>
      <c r="X3356" s="60"/>
    </row>
    <row r="3357" spans="7:24" ht="15" customHeight="1">
      <c r="G3357"/>
      <c r="I3357"/>
      <c r="N3357"/>
      <c r="O3357" s="24"/>
      <c r="P3357"/>
      <c r="Q3357" s="24"/>
      <c r="R3357"/>
      <c r="S3357"/>
      <c r="T3357"/>
      <c r="U3357"/>
      <c r="X3357" s="60"/>
    </row>
    <row r="3358" spans="7:24" ht="15" customHeight="1">
      <c r="G3358"/>
      <c r="I3358"/>
      <c r="N3358"/>
      <c r="O3358" s="24"/>
      <c r="P3358"/>
      <c r="Q3358" s="24"/>
      <c r="R3358"/>
      <c r="S3358"/>
      <c r="T3358"/>
      <c r="U3358"/>
      <c r="X3358" s="60"/>
    </row>
    <row r="3359" spans="7:24" ht="15" customHeight="1">
      <c r="G3359"/>
      <c r="I3359"/>
      <c r="N3359"/>
      <c r="O3359" s="24"/>
      <c r="P3359"/>
      <c r="Q3359" s="24"/>
      <c r="R3359"/>
      <c r="S3359"/>
      <c r="T3359"/>
      <c r="U3359"/>
      <c r="X3359" s="60"/>
    </row>
    <row r="3360" spans="7:24" ht="15" customHeight="1">
      <c r="G3360"/>
      <c r="I3360"/>
      <c r="N3360"/>
      <c r="O3360" s="24"/>
      <c r="P3360"/>
      <c r="Q3360" s="24"/>
      <c r="R3360"/>
      <c r="S3360"/>
      <c r="T3360"/>
      <c r="U3360"/>
      <c r="X3360" s="60"/>
    </row>
    <row r="3361" spans="7:24" ht="15" customHeight="1">
      <c r="G3361"/>
      <c r="I3361"/>
      <c r="N3361"/>
      <c r="O3361" s="24"/>
      <c r="P3361"/>
      <c r="Q3361" s="24"/>
      <c r="R3361"/>
      <c r="S3361"/>
      <c r="T3361"/>
      <c r="U3361"/>
      <c r="X3361" s="60"/>
    </row>
    <row r="3362" spans="7:24" ht="15" customHeight="1">
      <c r="G3362"/>
      <c r="I3362"/>
      <c r="N3362"/>
      <c r="O3362" s="24"/>
      <c r="P3362"/>
      <c r="Q3362" s="24"/>
      <c r="R3362"/>
      <c r="S3362"/>
      <c r="T3362"/>
      <c r="U3362"/>
      <c r="X3362" s="60"/>
    </row>
    <row r="3363" spans="7:24" ht="15" customHeight="1">
      <c r="G3363"/>
      <c r="I3363"/>
      <c r="N3363"/>
      <c r="O3363" s="24"/>
      <c r="P3363"/>
      <c r="Q3363" s="24"/>
      <c r="R3363"/>
      <c r="S3363"/>
      <c r="T3363"/>
      <c r="U3363"/>
      <c r="X3363" s="60"/>
    </row>
    <row r="3364" spans="7:24" ht="15" customHeight="1">
      <c r="G3364"/>
      <c r="I3364"/>
      <c r="N3364"/>
      <c r="O3364" s="24"/>
      <c r="P3364"/>
      <c r="Q3364" s="24"/>
      <c r="R3364"/>
      <c r="S3364"/>
      <c r="T3364"/>
      <c r="U3364"/>
      <c r="X3364" s="60"/>
    </row>
    <row r="3365" spans="7:24" ht="15" customHeight="1">
      <c r="G3365"/>
      <c r="I3365"/>
      <c r="N3365"/>
      <c r="O3365" s="24"/>
      <c r="P3365"/>
      <c r="Q3365" s="24"/>
      <c r="R3365"/>
      <c r="S3365"/>
      <c r="T3365"/>
      <c r="U3365"/>
      <c r="X3365" s="60"/>
    </row>
    <row r="3366" spans="7:24" ht="15" customHeight="1">
      <c r="G3366"/>
      <c r="I3366"/>
      <c r="N3366"/>
      <c r="O3366" s="24"/>
      <c r="P3366"/>
      <c r="Q3366" s="24"/>
      <c r="R3366"/>
      <c r="S3366"/>
      <c r="T3366"/>
      <c r="U3366"/>
      <c r="X3366" s="60"/>
    </row>
    <row r="3367" spans="7:24" ht="15" customHeight="1">
      <c r="G3367"/>
      <c r="I3367"/>
      <c r="N3367"/>
      <c r="O3367" s="24"/>
      <c r="P3367"/>
      <c r="Q3367" s="24"/>
      <c r="R3367"/>
      <c r="S3367"/>
      <c r="T3367"/>
      <c r="U3367"/>
      <c r="X3367" s="60"/>
    </row>
    <row r="3368" spans="7:24" ht="15" customHeight="1">
      <c r="G3368"/>
      <c r="I3368"/>
      <c r="N3368"/>
      <c r="O3368" s="24"/>
      <c r="P3368"/>
      <c r="Q3368" s="24"/>
      <c r="R3368"/>
      <c r="S3368"/>
      <c r="T3368"/>
      <c r="U3368"/>
      <c r="X3368" s="60"/>
    </row>
    <row r="3369" spans="7:24" ht="15" customHeight="1">
      <c r="G3369"/>
      <c r="I3369"/>
      <c r="N3369"/>
      <c r="O3369" s="24"/>
      <c r="P3369"/>
      <c r="Q3369" s="24"/>
      <c r="R3369"/>
      <c r="S3369"/>
      <c r="T3369"/>
      <c r="U3369"/>
      <c r="X3369" s="60"/>
    </row>
    <row r="3370" spans="7:24" ht="15" customHeight="1">
      <c r="G3370"/>
      <c r="I3370"/>
      <c r="N3370"/>
      <c r="O3370" s="24"/>
      <c r="P3370"/>
      <c r="Q3370" s="24"/>
      <c r="R3370"/>
      <c r="S3370"/>
      <c r="T3370"/>
      <c r="U3370"/>
      <c r="X3370" s="60"/>
    </row>
    <row r="3371" spans="7:24" ht="15" customHeight="1">
      <c r="G3371"/>
      <c r="I3371"/>
      <c r="N3371"/>
      <c r="O3371" s="24"/>
      <c r="P3371"/>
      <c r="Q3371" s="24"/>
      <c r="R3371"/>
      <c r="S3371"/>
      <c r="T3371"/>
      <c r="U3371"/>
      <c r="X3371" s="60"/>
    </row>
    <row r="3372" spans="7:24" ht="15" customHeight="1">
      <c r="G3372"/>
      <c r="I3372"/>
      <c r="N3372"/>
      <c r="O3372" s="24"/>
      <c r="P3372"/>
      <c r="Q3372" s="24"/>
      <c r="R3372"/>
      <c r="S3372"/>
      <c r="T3372"/>
      <c r="U3372"/>
      <c r="X3372" s="60"/>
    </row>
    <row r="3373" spans="7:24" ht="15" customHeight="1">
      <c r="G3373"/>
      <c r="I3373"/>
      <c r="N3373"/>
      <c r="O3373" s="24"/>
      <c r="P3373"/>
      <c r="Q3373" s="24"/>
      <c r="R3373"/>
      <c r="S3373"/>
      <c r="T3373"/>
      <c r="U3373"/>
      <c r="X3373" s="60"/>
    </row>
    <row r="3374" spans="7:24" ht="15" customHeight="1">
      <c r="G3374"/>
      <c r="I3374"/>
      <c r="N3374"/>
      <c r="O3374" s="24"/>
      <c r="P3374"/>
      <c r="Q3374" s="24"/>
      <c r="R3374"/>
      <c r="S3374"/>
      <c r="T3374"/>
      <c r="U3374"/>
      <c r="X3374" s="60"/>
    </row>
    <row r="3375" spans="7:24" ht="15" customHeight="1">
      <c r="G3375"/>
      <c r="I3375"/>
      <c r="N3375"/>
      <c r="O3375" s="24"/>
      <c r="P3375"/>
      <c r="Q3375" s="24"/>
      <c r="R3375"/>
      <c r="S3375"/>
      <c r="T3375"/>
      <c r="U3375"/>
      <c r="X3375" s="60"/>
    </row>
    <row r="3376" spans="7:24" ht="15" customHeight="1">
      <c r="G3376"/>
      <c r="I3376"/>
      <c r="N3376"/>
      <c r="O3376" s="24"/>
      <c r="P3376"/>
      <c r="Q3376" s="24"/>
      <c r="R3376"/>
      <c r="S3376"/>
      <c r="T3376"/>
      <c r="U3376"/>
      <c r="X3376" s="60"/>
    </row>
    <row r="3377" spans="7:24" ht="15" customHeight="1">
      <c r="G3377"/>
      <c r="I3377"/>
      <c r="N3377"/>
      <c r="O3377" s="24"/>
      <c r="P3377"/>
      <c r="Q3377" s="24"/>
      <c r="R3377"/>
      <c r="S3377"/>
      <c r="T3377"/>
      <c r="U3377"/>
      <c r="X3377" s="60"/>
    </row>
    <row r="3378" spans="7:24" ht="15" customHeight="1">
      <c r="G3378"/>
      <c r="I3378"/>
      <c r="N3378"/>
      <c r="O3378" s="24"/>
      <c r="P3378"/>
      <c r="Q3378" s="24"/>
      <c r="R3378"/>
      <c r="S3378"/>
      <c r="T3378"/>
      <c r="U3378"/>
      <c r="X3378" s="60"/>
    </row>
    <row r="3379" spans="7:24" ht="15" customHeight="1">
      <c r="G3379"/>
      <c r="I3379"/>
      <c r="N3379"/>
      <c r="O3379" s="24"/>
      <c r="P3379"/>
      <c r="Q3379" s="24"/>
      <c r="R3379"/>
      <c r="S3379"/>
      <c r="T3379"/>
      <c r="U3379"/>
      <c r="X3379" s="60"/>
    </row>
    <row r="3380" spans="7:24" ht="15" customHeight="1">
      <c r="G3380"/>
      <c r="I3380"/>
      <c r="N3380"/>
      <c r="O3380" s="24"/>
      <c r="P3380"/>
      <c r="Q3380" s="24"/>
      <c r="R3380"/>
      <c r="S3380"/>
      <c r="T3380"/>
      <c r="U3380"/>
      <c r="X3380" s="60"/>
    </row>
    <row r="3381" spans="7:24" ht="15" customHeight="1">
      <c r="G3381"/>
      <c r="I3381"/>
      <c r="N3381"/>
      <c r="O3381" s="24"/>
      <c r="P3381"/>
      <c r="Q3381" s="24"/>
      <c r="R3381"/>
      <c r="S3381"/>
      <c r="T3381"/>
      <c r="U3381"/>
      <c r="X3381" s="60"/>
    </row>
    <row r="3382" spans="7:24" ht="15" customHeight="1">
      <c r="G3382"/>
      <c r="I3382"/>
      <c r="N3382"/>
      <c r="O3382" s="24"/>
      <c r="P3382"/>
      <c r="Q3382" s="24"/>
      <c r="R3382"/>
      <c r="S3382"/>
      <c r="T3382"/>
      <c r="U3382"/>
      <c r="X3382" s="60"/>
    </row>
    <row r="3383" spans="7:24" ht="15" customHeight="1">
      <c r="G3383"/>
      <c r="I3383"/>
      <c r="N3383"/>
      <c r="O3383" s="24"/>
      <c r="P3383"/>
      <c r="Q3383" s="24"/>
      <c r="R3383"/>
      <c r="S3383"/>
      <c r="T3383"/>
      <c r="U3383"/>
      <c r="X3383" s="60"/>
    </row>
    <row r="3384" spans="7:24" ht="15" customHeight="1">
      <c r="G3384"/>
      <c r="I3384"/>
      <c r="N3384"/>
      <c r="O3384" s="24"/>
      <c r="P3384"/>
      <c r="Q3384" s="24"/>
      <c r="R3384"/>
      <c r="S3384"/>
      <c r="T3384"/>
      <c r="U3384"/>
      <c r="X3384" s="60"/>
    </row>
    <row r="3385" spans="7:24" ht="15" customHeight="1">
      <c r="G3385"/>
      <c r="I3385"/>
      <c r="N3385"/>
      <c r="O3385" s="24"/>
      <c r="P3385"/>
      <c r="Q3385" s="24"/>
      <c r="R3385"/>
      <c r="S3385"/>
      <c r="T3385"/>
      <c r="U3385"/>
      <c r="X3385" s="60"/>
    </row>
    <row r="3386" spans="7:24" ht="15" customHeight="1">
      <c r="G3386"/>
      <c r="I3386"/>
      <c r="N3386"/>
      <c r="O3386" s="24"/>
      <c r="P3386"/>
      <c r="Q3386" s="24"/>
      <c r="R3386"/>
      <c r="S3386"/>
      <c r="T3386"/>
      <c r="U3386"/>
      <c r="X3386" s="60"/>
    </row>
    <row r="3387" spans="7:24" ht="15" customHeight="1">
      <c r="G3387"/>
      <c r="I3387"/>
      <c r="N3387"/>
      <c r="O3387" s="24"/>
      <c r="P3387"/>
      <c r="Q3387" s="24"/>
      <c r="R3387"/>
      <c r="S3387"/>
      <c r="T3387"/>
      <c r="U3387"/>
      <c r="X3387" s="60"/>
    </row>
    <row r="3388" spans="7:24" ht="15" customHeight="1">
      <c r="G3388"/>
      <c r="I3388"/>
      <c r="N3388"/>
      <c r="O3388" s="24"/>
      <c r="P3388"/>
      <c r="Q3388" s="24"/>
      <c r="R3388"/>
      <c r="S3388"/>
      <c r="T3388"/>
      <c r="U3388"/>
      <c r="X3388" s="60"/>
    </row>
    <row r="3389" spans="7:24" ht="15" customHeight="1">
      <c r="G3389"/>
      <c r="I3389"/>
      <c r="N3389"/>
      <c r="O3389" s="24"/>
      <c r="P3389"/>
      <c r="Q3389" s="24"/>
      <c r="R3389"/>
      <c r="S3389"/>
      <c r="T3389"/>
      <c r="U3389"/>
      <c r="X3389" s="60"/>
    </row>
    <row r="3390" spans="7:24" ht="15" customHeight="1">
      <c r="G3390"/>
      <c r="I3390"/>
      <c r="N3390"/>
      <c r="O3390" s="24"/>
      <c r="P3390"/>
      <c r="Q3390" s="24"/>
      <c r="R3390"/>
      <c r="S3390"/>
      <c r="T3390"/>
      <c r="U3390"/>
      <c r="X3390" s="60"/>
    </row>
    <row r="3391" spans="7:24" ht="15" customHeight="1">
      <c r="G3391"/>
      <c r="I3391"/>
      <c r="N3391"/>
      <c r="O3391" s="24"/>
      <c r="P3391"/>
      <c r="Q3391" s="24"/>
      <c r="R3391"/>
      <c r="S3391"/>
      <c r="T3391"/>
      <c r="U3391"/>
      <c r="X3391" s="60"/>
    </row>
    <row r="3392" spans="7:24" ht="15" customHeight="1">
      <c r="G3392"/>
      <c r="I3392"/>
      <c r="N3392"/>
      <c r="O3392" s="24"/>
      <c r="P3392"/>
      <c r="Q3392" s="24"/>
      <c r="R3392"/>
      <c r="S3392"/>
      <c r="T3392"/>
      <c r="U3392"/>
      <c r="X3392" s="60"/>
    </row>
    <row r="3393" spans="7:24" ht="15" customHeight="1">
      <c r="G3393"/>
      <c r="I3393"/>
      <c r="N3393"/>
      <c r="O3393" s="24"/>
      <c r="P3393"/>
      <c r="Q3393" s="24"/>
      <c r="R3393"/>
      <c r="S3393"/>
      <c r="T3393"/>
      <c r="U3393"/>
      <c r="X3393" s="60"/>
    </row>
    <row r="3394" spans="7:24" ht="15" customHeight="1">
      <c r="G3394"/>
      <c r="I3394"/>
      <c r="N3394"/>
      <c r="O3394" s="24"/>
      <c r="P3394"/>
      <c r="Q3394" s="24"/>
      <c r="R3394"/>
      <c r="S3394"/>
      <c r="T3394"/>
      <c r="U3394"/>
      <c r="X3394" s="60"/>
    </row>
    <row r="3395" spans="7:24" ht="15" customHeight="1">
      <c r="G3395"/>
      <c r="I3395"/>
      <c r="N3395"/>
      <c r="O3395" s="24"/>
      <c r="P3395"/>
      <c r="Q3395" s="24"/>
      <c r="R3395"/>
      <c r="S3395"/>
      <c r="T3395"/>
      <c r="U3395"/>
      <c r="X3395" s="60"/>
    </row>
    <row r="3396" spans="7:24" ht="15" customHeight="1">
      <c r="G3396"/>
      <c r="I3396"/>
      <c r="N3396"/>
      <c r="O3396" s="24"/>
      <c r="P3396"/>
      <c r="Q3396" s="24"/>
      <c r="R3396"/>
      <c r="S3396"/>
      <c r="T3396"/>
      <c r="U3396"/>
      <c r="X3396" s="60"/>
    </row>
    <row r="3397" spans="7:24" ht="15" customHeight="1">
      <c r="G3397"/>
      <c r="I3397"/>
      <c r="N3397"/>
      <c r="O3397" s="24"/>
      <c r="P3397"/>
      <c r="Q3397" s="24"/>
      <c r="R3397"/>
      <c r="S3397"/>
      <c r="T3397"/>
      <c r="U3397"/>
      <c r="X3397" s="60"/>
    </row>
    <row r="3398" spans="7:24" ht="15" customHeight="1">
      <c r="G3398"/>
      <c r="I3398"/>
      <c r="N3398"/>
      <c r="O3398" s="24"/>
      <c r="P3398"/>
      <c r="Q3398" s="24"/>
      <c r="R3398"/>
      <c r="S3398"/>
      <c r="T3398"/>
      <c r="U3398"/>
      <c r="X3398" s="60"/>
    </row>
    <row r="3399" spans="7:24" ht="15" customHeight="1">
      <c r="G3399"/>
      <c r="I3399"/>
      <c r="N3399"/>
      <c r="O3399" s="24"/>
      <c r="P3399"/>
      <c r="Q3399" s="24"/>
      <c r="R3399"/>
      <c r="S3399"/>
      <c r="T3399"/>
      <c r="U3399"/>
      <c r="X3399" s="60"/>
    </row>
    <row r="3400" spans="7:24" ht="15" customHeight="1">
      <c r="G3400"/>
      <c r="I3400"/>
      <c r="N3400"/>
      <c r="O3400" s="24"/>
      <c r="P3400"/>
      <c r="Q3400" s="24"/>
      <c r="R3400"/>
      <c r="S3400"/>
      <c r="T3400"/>
      <c r="U3400"/>
      <c r="X3400" s="60"/>
    </row>
    <row r="3401" spans="7:24" ht="15" customHeight="1">
      <c r="G3401"/>
      <c r="I3401"/>
      <c r="N3401"/>
      <c r="O3401" s="24"/>
      <c r="P3401"/>
      <c r="Q3401" s="24"/>
      <c r="R3401"/>
      <c r="S3401"/>
      <c r="T3401"/>
      <c r="U3401"/>
      <c r="X3401" s="60"/>
    </row>
    <row r="3402" spans="7:24" ht="15" customHeight="1">
      <c r="G3402"/>
      <c r="I3402"/>
      <c r="N3402"/>
      <c r="O3402" s="24"/>
      <c r="P3402"/>
      <c r="Q3402" s="24"/>
      <c r="R3402"/>
      <c r="S3402"/>
      <c r="T3402"/>
      <c r="U3402"/>
      <c r="X3402" s="60"/>
    </row>
    <row r="3403" spans="7:24" ht="15" customHeight="1">
      <c r="G3403"/>
      <c r="I3403"/>
      <c r="N3403"/>
      <c r="O3403" s="24"/>
      <c r="P3403"/>
      <c r="Q3403" s="24"/>
      <c r="R3403"/>
      <c r="S3403"/>
      <c r="T3403"/>
      <c r="U3403"/>
      <c r="X3403" s="60"/>
    </row>
    <row r="3404" spans="7:24" ht="15" customHeight="1">
      <c r="G3404"/>
      <c r="I3404"/>
      <c r="N3404"/>
      <c r="O3404" s="24"/>
      <c r="P3404"/>
      <c r="Q3404" s="24"/>
      <c r="R3404"/>
      <c r="S3404"/>
      <c r="T3404"/>
      <c r="U3404"/>
      <c r="X3404" s="60"/>
    </row>
    <row r="3405" spans="7:24" ht="15" customHeight="1">
      <c r="G3405"/>
      <c r="I3405"/>
      <c r="N3405"/>
      <c r="O3405" s="24"/>
      <c r="P3405"/>
      <c r="Q3405" s="24"/>
      <c r="R3405"/>
      <c r="S3405"/>
      <c r="T3405"/>
      <c r="U3405"/>
      <c r="X3405" s="60"/>
    </row>
    <row r="3406" spans="7:24" ht="15" customHeight="1">
      <c r="G3406"/>
      <c r="I3406"/>
      <c r="N3406"/>
      <c r="O3406" s="24"/>
      <c r="P3406"/>
      <c r="Q3406" s="24"/>
      <c r="R3406"/>
      <c r="S3406"/>
      <c r="T3406"/>
      <c r="U3406"/>
      <c r="X3406" s="60"/>
    </row>
    <row r="3407" spans="7:24" ht="15" customHeight="1">
      <c r="G3407"/>
      <c r="I3407"/>
      <c r="N3407"/>
      <c r="O3407" s="24"/>
      <c r="P3407"/>
      <c r="Q3407" s="24"/>
      <c r="R3407"/>
      <c r="S3407"/>
      <c r="T3407"/>
      <c r="U3407"/>
      <c r="X3407" s="60"/>
    </row>
    <row r="3408" spans="7:24" ht="15" customHeight="1">
      <c r="G3408"/>
      <c r="I3408"/>
      <c r="N3408"/>
      <c r="O3408" s="24"/>
      <c r="P3408"/>
      <c r="Q3408" s="24"/>
      <c r="R3408"/>
      <c r="S3408"/>
      <c r="T3408"/>
      <c r="U3408"/>
      <c r="X3408" s="60"/>
    </row>
    <row r="3409" spans="7:24" ht="15" customHeight="1">
      <c r="G3409"/>
      <c r="I3409"/>
      <c r="N3409"/>
      <c r="O3409" s="24"/>
      <c r="P3409"/>
      <c r="Q3409" s="24"/>
      <c r="R3409"/>
      <c r="S3409"/>
      <c r="T3409"/>
      <c r="U3409"/>
      <c r="X3409" s="60"/>
    </row>
    <row r="3410" spans="7:24" ht="15" customHeight="1">
      <c r="G3410"/>
      <c r="I3410"/>
      <c r="N3410"/>
      <c r="O3410" s="24"/>
      <c r="P3410"/>
      <c r="Q3410" s="24"/>
      <c r="R3410"/>
      <c r="S3410"/>
      <c r="T3410"/>
      <c r="U3410"/>
      <c r="X3410" s="60"/>
    </row>
    <row r="3411" spans="7:24" ht="15" customHeight="1">
      <c r="G3411"/>
      <c r="I3411"/>
      <c r="N3411"/>
      <c r="O3411" s="24"/>
      <c r="P3411"/>
      <c r="Q3411" s="24"/>
      <c r="R3411"/>
      <c r="S3411"/>
      <c r="T3411"/>
      <c r="U3411"/>
      <c r="X3411" s="60"/>
    </row>
    <row r="3412" spans="7:24" ht="15" customHeight="1">
      <c r="G3412"/>
      <c r="I3412"/>
      <c r="N3412"/>
      <c r="O3412" s="24"/>
      <c r="P3412"/>
      <c r="Q3412" s="24"/>
      <c r="R3412"/>
      <c r="S3412"/>
      <c r="T3412"/>
      <c r="U3412"/>
      <c r="X3412" s="60"/>
    </row>
    <row r="3413" spans="7:24" ht="15" customHeight="1">
      <c r="G3413"/>
      <c r="I3413"/>
      <c r="N3413"/>
      <c r="O3413" s="24"/>
      <c r="P3413"/>
      <c r="Q3413" s="24"/>
      <c r="R3413"/>
      <c r="S3413"/>
      <c r="T3413"/>
      <c r="U3413"/>
      <c r="X3413" s="60"/>
    </row>
    <row r="3414" spans="7:24" ht="15" customHeight="1">
      <c r="G3414"/>
      <c r="I3414"/>
      <c r="N3414"/>
      <c r="O3414" s="24"/>
      <c r="P3414"/>
      <c r="Q3414" s="24"/>
      <c r="R3414"/>
      <c r="S3414"/>
      <c r="T3414"/>
      <c r="U3414"/>
      <c r="X3414" s="60"/>
    </row>
    <row r="3415" spans="7:24" ht="15" customHeight="1">
      <c r="G3415"/>
      <c r="I3415"/>
      <c r="N3415"/>
      <c r="O3415" s="24"/>
      <c r="P3415"/>
      <c r="Q3415" s="24"/>
      <c r="R3415"/>
      <c r="S3415"/>
      <c r="T3415"/>
      <c r="U3415"/>
      <c r="X3415" s="60"/>
    </row>
    <row r="3416" spans="7:24" ht="15" customHeight="1">
      <c r="G3416"/>
      <c r="I3416"/>
      <c r="N3416"/>
      <c r="O3416" s="24"/>
      <c r="P3416"/>
      <c r="Q3416" s="24"/>
      <c r="R3416"/>
      <c r="S3416"/>
      <c r="T3416"/>
      <c r="U3416"/>
      <c r="X3416" s="60"/>
    </row>
    <row r="3417" spans="7:24" ht="15" customHeight="1">
      <c r="G3417"/>
      <c r="I3417"/>
      <c r="N3417"/>
      <c r="O3417" s="24"/>
      <c r="P3417"/>
      <c r="Q3417" s="24"/>
      <c r="R3417"/>
      <c r="S3417"/>
      <c r="T3417"/>
      <c r="U3417"/>
      <c r="X3417" s="60"/>
    </row>
    <row r="3418" spans="7:24" ht="15" customHeight="1">
      <c r="G3418"/>
      <c r="I3418"/>
      <c r="N3418"/>
      <c r="O3418" s="24"/>
      <c r="P3418"/>
      <c r="Q3418" s="24"/>
      <c r="R3418"/>
      <c r="S3418"/>
      <c r="T3418"/>
      <c r="U3418"/>
      <c r="X3418" s="60"/>
    </row>
    <row r="3419" spans="7:24" ht="15" customHeight="1">
      <c r="G3419"/>
      <c r="I3419"/>
      <c r="N3419"/>
      <c r="O3419" s="24"/>
      <c r="P3419"/>
      <c r="Q3419" s="24"/>
      <c r="R3419"/>
      <c r="S3419"/>
      <c r="T3419"/>
      <c r="U3419"/>
      <c r="X3419" s="60"/>
    </row>
    <row r="3420" spans="7:24" ht="15" customHeight="1">
      <c r="G3420"/>
      <c r="I3420"/>
      <c r="N3420"/>
      <c r="O3420" s="24"/>
      <c r="P3420"/>
      <c r="Q3420" s="24"/>
      <c r="R3420"/>
      <c r="S3420"/>
      <c r="T3420"/>
      <c r="U3420"/>
      <c r="X3420" s="60"/>
    </row>
    <row r="3421" spans="7:24" ht="15" customHeight="1">
      <c r="G3421"/>
      <c r="I3421"/>
      <c r="N3421"/>
      <c r="O3421" s="24"/>
      <c r="P3421"/>
      <c r="Q3421" s="24"/>
      <c r="R3421"/>
      <c r="S3421"/>
      <c r="T3421"/>
      <c r="U3421"/>
      <c r="X3421" s="60"/>
    </row>
    <row r="3422" spans="7:24" ht="15" customHeight="1">
      <c r="G3422"/>
      <c r="I3422"/>
      <c r="N3422"/>
      <c r="O3422" s="24"/>
      <c r="P3422"/>
      <c r="Q3422" s="24"/>
      <c r="R3422"/>
      <c r="S3422"/>
      <c r="T3422"/>
      <c r="U3422"/>
      <c r="X3422" s="60"/>
    </row>
    <row r="3423" spans="7:24" ht="15" customHeight="1">
      <c r="G3423"/>
      <c r="I3423"/>
      <c r="N3423"/>
      <c r="O3423" s="24"/>
      <c r="P3423"/>
      <c r="Q3423" s="24"/>
      <c r="R3423"/>
      <c r="S3423"/>
      <c r="T3423"/>
      <c r="U3423"/>
      <c r="X3423" s="60"/>
    </row>
    <row r="3424" spans="7:24" ht="15" customHeight="1">
      <c r="G3424"/>
      <c r="I3424"/>
      <c r="N3424"/>
      <c r="O3424" s="24"/>
      <c r="P3424"/>
      <c r="Q3424" s="24"/>
      <c r="R3424"/>
      <c r="S3424"/>
      <c r="T3424"/>
      <c r="U3424"/>
      <c r="X3424" s="60"/>
    </row>
    <row r="3425" spans="7:24" ht="15" customHeight="1">
      <c r="G3425"/>
      <c r="I3425"/>
      <c r="N3425"/>
      <c r="O3425" s="24"/>
      <c r="P3425"/>
      <c r="Q3425" s="24"/>
      <c r="R3425"/>
      <c r="S3425"/>
      <c r="T3425"/>
      <c r="U3425"/>
      <c r="X3425" s="60"/>
    </row>
    <row r="3426" spans="7:24" ht="15" customHeight="1">
      <c r="G3426"/>
      <c r="I3426"/>
      <c r="N3426"/>
      <c r="O3426" s="24"/>
      <c r="P3426"/>
      <c r="Q3426" s="24"/>
      <c r="R3426"/>
      <c r="S3426"/>
      <c r="T3426"/>
      <c r="U3426"/>
      <c r="X3426" s="60"/>
    </row>
    <row r="3427" spans="7:24" ht="15" customHeight="1">
      <c r="G3427"/>
      <c r="I3427"/>
      <c r="N3427"/>
      <c r="O3427" s="24"/>
      <c r="P3427"/>
      <c r="Q3427" s="24"/>
      <c r="R3427"/>
      <c r="S3427"/>
      <c r="T3427"/>
      <c r="U3427"/>
      <c r="X3427" s="60"/>
    </row>
    <row r="3428" spans="7:24" ht="15" customHeight="1">
      <c r="G3428"/>
      <c r="I3428"/>
      <c r="N3428"/>
      <c r="O3428" s="24"/>
      <c r="P3428"/>
      <c r="Q3428" s="24"/>
      <c r="R3428"/>
      <c r="S3428"/>
      <c r="T3428"/>
      <c r="U3428"/>
      <c r="X3428" s="60"/>
    </row>
    <row r="3429" spans="7:24" ht="15" customHeight="1">
      <c r="G3429"/>
      <c r="I3429"/>
      <c r="N3429"/>
      <c r="O3429" s="24"/>
      <c r="P3429"/>
      <c r="Q3429" s="24"/>
      <c r="R3429"/>
      <c r="S3429"/>
      <c r="T3429"/>
      <c r="U3429"/>
      <c r="X3429" s="60"/>
    </row>
    <row r="3430" spans="7:24" ht="15" customHeight="1">
      <c r="G3430"/>
      <c r="I3430"/>
      <c r="N3430"/>
      <c r="O3430" s="24"/>
      <c r="P3430"/>
      <c r="Q3430" s="24"/>
      <c r="R3430"/>
      <c r="S3430"/>
      <c r="T3430"/>
      <c r="U3430"/>
      <c r="X3430" s="60"/>
    </row>
    <row r="3431" spans="7:24" ht="15" customHeight="1">
      <c r="G3431"/>
      <c r="I3431"/>
      <c r="N3431"/>
      <c r="O3431" s="24"/>
      <c r="P3431"/>
      <c r="Q3431" s="24"/>
      <c r="R3431"/>
      <c r="S3431"/>
      <c r="T3431"/>
      <c r="U3431"/>
      <c r="X3431" s="60"/>
    </row>
    <row r="3432" spans="7:24" ht="15" customHeight="1">
      <c r="G3432"/>
      <c r="I3432"/>
      <c r="N3432"/>
      <c r="O3432" s="24"/>
      <c r="P3432"/>
      <c r="Q3432" s="24"/>
      <c r="R3432"/>
      <c r="S3432"/>
      <c r="T3432"/>
      <c r="U3432"/>
      <c r="X3432" s="60"/>
    </row>
    <row r="3433" spans="7:24" ht="15" customHeight="1">
      <c r="G3433"/>
      <c r="I3433"/>
      <c r="N3433"/>
      <c r="O3433" s="24"/>
      <c r="P3433"/>
      <c r="Q3433" s="24"/>
      <c r="R3433"/>
      <c r="S3433"/>
      <c r="T3433"/>
      <c r="U3433"/>
      <c r="X3433" s="60"/>
    </row>
    <row r="3434" spans="7:24" ht="15" customHeight="1">
      <c r="G3434"/>
      <c r="I3434"/>
      <c r="N3434"/>
      <c r="O3434" s="24"/>
      <c r="P3434"/>
      <c r="Q3434" s="24"/>
      <c r="R3434"/>
      <c r="S3434"/>
      <c r="T3434"/>
      <c r="U3434"/>
      <c r="X3434" s="60"/>
    </row>
    <row r="3435" spans="7:24" ht="15" customHeight="1">
      <c r="G3435"/>
      <c r="I3435"/>
      <c r="N3435"/>
      <c r="O3435" s="24"/>
      <c r="P3435"/>
      <c r="Q3435" s="24"/>
      <c r="R3435"/>
      <c r="S3435"/>
      <c r="T3435"/>
      <c r="U3435"/>
      <c r="X3435" s="60"/>
    </row>
    <row r="3436" spans="7:24" ht="15" customHeight="1">
      <c r="G3436"/>
      <c r="I3436"/>
      <c r="N3436"/>
      <c r="O3436" s="24"/>
      <c r="P3436"/>
      <c r="Q3436" s="24"/>
      <c r="R3436"/>
      <c r="S3436"/>
      <c r="T3436"/>
      <c r="U3436"/>
      <c r="X3436" s="60"/>
    </row>
    <row r="3437" spans="7:24" ht="15" customHeight="1">
      <c r="G3437"/>
      <c r="I3437"/>
      <c r="N3437"/>
      <c r="O3437" s="24"/>
      <c r="P3437"/>
      <c r="Q3437" s="24"/>
      <c r="R3437"/>
      <c r="S3437"/>
      <c r="T3437"/>
      <c r="U3437"/>
      <c r="X3437" s="60"/>
    </row>
    <row r="3438" spans="7:24" ht="15" customHeight="1">
      <c r="G3438"/>
      <c r="I3438"/>
      <c r="N3438"/>
      <c r="O3438" s="24"/>
      <c r="P3438"/>
      <c r="Q3438" s="24"/>
      <c r="R3438"/>
      <c r="S3438"/>
      <c r="T3438"/>
      <c r="U3438"/>
      <c r="X3438" s="60"/>
    </row>
    <row r="3439" spans="7:24" ht="15" customHeight="1">
      <c r="G3439"/>
      <c r="I3439"/>
      <c r="N3439"/>
      <c r="O3439" s="24"/>
      <c r="P3439"/>
      <c r="Q3439" s="24"/>
      <c r="R3439"/>
      <c r="S3439"/>
      <c r="T3439"/>
      <c r="U3439"/>
      <c r="X3439" s="60"/>
    </row>
    <row r="3440" spans="7:24" ht="15" customHeight="1">
      <c r="G3440"/>
      <c r="I3440"/>
      <c r="N3440"/>
      <c r="O3440" s="24"/>
      <c r="P3440"/>
      <c r="Q3440" s="24"/>
      <c r="R3440"/>
      <c r="S3440"/>
      <c r="T3440"/>
      <c r="U3440"/>
      <c r="X3440" s="60"/>
    </row>
    <row r="3441" spans="7:24" ht="15" customHeight="1">
      <c r="G3441"/>
      <c r="I3441"/>
      <c r="N3441"/>
      <c r="O3441" s="24"/>
      <c r="P3441"/>
      <c r="Q3441" s="24"/>
      <c r="R3441"/>
      <c r="S3441"/>
      <c r="T3441"/>
      <c r="U3441"/>
      <c r="X3441" s="60"/>
    </row>
    <row r="3442" spans="7:24" ht="15" customHeight="1">
      <c r="G3442"/>
      <c r="I3442"/>
      <c r="N3442"/>
      <c r="O3442" s="24"/>
      <c r="P3442"/>
      <c r="Q3442" s="24"/>
      <c r="R3442"/>
      <c r="S3442"/>
      <c r="T3442"/>
      <c r="U3442"/>
      <c r="X3442" s="60"/>
    </row>
    <row r="3443" spans="7:24" ht="15" customHeight="1">
      <c r="G3443"/>
      <c r="I3443"/>
      <c r="N3443"/>
      <c r="O3443" s="24"/>
      <c r="P3443"/>
      <c r="Q3443" s="24"/>
      <c r="R3443"/>
      <c r="S3443"/>
      <c r="T3443"/>
      <c r="U3443"/>
      <c r="X3443" s="60"/>
    </row>
    <row r="3444" spans="7:24" ht="15" customHeight="1">
      <c r="G3444"/>
      <c r="I3444"/>
      <c r="N3444"/>
      <c r="O3444" s="24"/>
      <c r="P3444"/>
      <c r="Q3444" s="24"/>
      <c r="R3444"/>
      <c r="S3444"/>
      <c r="T3444"/>
      <c r="U3444"/>
      <c r="X3444" s="60"/>
    </row>
    <row r="3445" spans="7:24" ht="15" customHeight="1">
      <c r="G3445"/>
      <c r="I3445"/>
      <c r="N3445"/>
      <c r="O3445" s="24"/>
      <c r="P3445"/>
      <c r="Q3445" s="24"/>
      <c r="R3445"/>
      <c r="S3445"/>
      <c r="T3445"/>
      <c r="U3445"/>
      <c r="X3445" s="60"/>
    </row>
    <row r="3446" spans="7:24" ht="15" customHeight="1">
      <c r="G3446"/>
      <c r="I3446"/>
      <c r="N3446"/>
      <c r="O3446" s="24"/>
      <c r="P3446"/>
      <c r="Q3446" s="24"/>
      <c r="R3446"/>
      <c r="S3446"/>
      <c r="T3446"/>
      <c r="U3446"/>
      <c r="X3446" s="60"/>
    </row>
    <row r="3447" spans="7:24" ht="15" customHeight="1">
      <c r="G3447"/>
      <c r="I3447"/>
      <c r="N3447"/>
      <c r="O3447" s="24"/>
      <c r="P3447"/>
      <c r="Q3447" s="24"/>
      <c r="R3447"/>
      <c r="S3447"/>
      <c r="T3447"/>
      <c r="U3447"/>
      <c r="X3447" s="60"/>
    </row>
    <row r="3448" spans="7:24" ht="15" customHeight="1">
      <c r="G3448"/>
      <c r="I3448"/>
      <c r="N3448"/>
      <c r="O3448" s="24"/>
      <c r="P3448"/>
      <c r="Q3448" s="24"/>
      <c r="R3448"/>
      <c r="S3448"/>
      <c r="T3448"/>
      <c r="U3448"/>
      <c r="X3448" s="60"/>
    </row>
    <row r="3449" spans="7:24" ht="15" customHeight="1">
      <c r="G3449"/>
      <c r="I3449"/>
      <c r="N3449"/>
      <c r="O3449" s="24"/>
      <c r="P3449"/>
      <c r="Q3449" s="24"/>
      <c r="R3449"/>
      <c r="S3449"/>
      <c r="T3449"/>
      <c r="U3449"/>
      <c r="X3449" s="60"/>
    </row>
    <row r="3450" spans="7:24" ht="15" customHeight="1">
      <c r="G3450"/>
      <c r="I3450"/>
      <c r="N3450"/>
      <c r="O3450" s="24"/>
      <c r="P3450"/>
      <c r="Q3450" s="24"/>
      <c r="R3450"/>
      <c r="S3450"/>
      <c r="T3450"/>
      <c r="U3450"/>
      <c r="X3450" s="60"/>
    </row>
    <row r="3451" spans="7:24" ht="15" customHeight="1">
      <c r="G3451"/>
      <c r="I3451"/>
      <c r="N3451"/>
      <c r="O3451" s="24"/>
      <c r="P3451"/>
      <c r="Q3451" s="24"/>
      <c r="R3451"/>
      <c r="S3451"/>
      <c r="T3451"/>
      <c r="U3451"/>
      <c r="X3451" s="60"/>
    </row>
    <row r="3452" spans="7:24" ht="15" customHeight="1">
      <c r="G3452"/>
      <c r="I3452"/>
      <c r="N3452"/>
      <c r="O3452" s="24"/>
      <c r="P3452"/>
      <c r="Q3452" s="24"/>
      <c r="R3452"/>
      <c r="S3452"/>
      <c r="T3452"/>
      <c r="U3452"/>
      <c r="X3452" s="60"/>
    </row>
    <row r="3453" spans="7:24" ht="15" customHeight="1">
      <c r="G3453"/>
      <c r="I3453"/>
      <c r="N3453"/>
      <c r="O3453" s="24"/>
      <c r="P3453"/>
      <c r="Q3453" s="24"/>
      <c r="R3453"/>
      <c r="S3453"/>
      <c r="T3453"/>
      <c r="U3453"/>
      <c r="X3453" s="60"/>
    </row>
    <row r="3454" spans="7:24" ht="15" customHeight="1">
      <c r="G3454"/>
      <c r="I3454"/>
      <c r="N3454"/>
      <c r="O3454" s="24"/>
      <c r="P3454"/>
      <c r="Q3454" s="24"/>
      <c r="R3454"/>
      <c r="S3454"/>
      <c r="T3454"/>
      <c r="U3454"/>
      <c r="X3454" s="60"/>
    </row>
    <row r="3455" spans="7:24" ht="15" customHeight="1">
      <c r="G3455"/>
      <c r="I3455"/>
      <c r="N3455"/>
      <c r="O3455" s="24"/>
      <c r="P3455"/>
      <c r="Q3455" s="24"/>
      <c r="R3455"/>
      <c r="S3455"/>
      <c r="T3455"/>
      <c r="U3455"/>
      <c r="X3455" s="60"/>
    </row>
    <row r="3456" spans="7:24" ht="15" customHeight="1">
      <c r="G3456"/>
      <c r="I3456"/>
      <c r="N3456"/>
      <c r="O3456" s="24"/>
      <c r="P3456"/>
      <c r="Q3456" s="24"/>
      <c r="R3456"/>
      <c r="S3456"/>
      <c r="T3456"/>
      <c r="U3456"/>
      <c r="X3456" s="60"/>
    </row>
    <row r="3457" spans="7:24" ht="15" customHeight="1">
      <c r="G3457"/>
      <c r="I3457"/>
      <c r="N3457"/>
      <c r="O3457" s="24"/>
      <c r="P3457"/>
      <c r="Q3457" s="24"/>
      <c r="R3457"/>
      <c r="S3457"/>
      <c r="T3457"/>
      <c r="U3457"/>
      <c r="X3457" s="60"/>
    </row>
    <row r="3458" spans="7:24" ht="15" customHeight="1">
      <c r="G3458"/>
      <c r="I3458"/>
      <c r="N3458"/>
      <c r="O3458" s="24"/>
      <c r="P3458"/>
      <c r="Q3458" s="24"/>
      <c r="R3458"/>
      <c r="S3458"/>
      <c r="T3458"/>
      <c r="U3458"/>
      <c r="X3458" s="60"/>
    </row>
    <row r="3459" spans="7:24" ht="15" customHeight="1">
      <c r="G3459"/>
      <c r="I3459"/>
      <c r="N3459"/>
      <c r="O3459" s="24"/>
      <c r="P3459"/>
      <c r="Q3459" s="24"/>
      <c r="R3459"/>
      <c r="S3459"/>
      <c r="T3459"/>
      <c r="U3459"/>
      <c r="X3459" s="60"/>
    </row>
    <row r="3460" spans="7:24" ht="15" customHeight="1">
      <c r="G3460"/>
      <c r="I3460"/>
      <c r="N3460"/>
      <c r="O3460" s="24"/>
      <c r="P3460"/>
      <c r="Q3460" s="24"/>
      <c r="R3460"/>
      <c r="S3460"/>
      <c r="T3460"/>
      <c r="U3460"/>
      <c r="X3460" s="60"/>
    </row>
    <row r="3461" spans="7:24" ht="15" customHeight="1">
      <c r="G3461"/>
      <c r="I3461"/>
      <c r="N3461"/>
      <c r="O3461" s="24"/>
      <c r="P3461"/>
      <c r="Q3461" s="24"/>
      <c r="R3461"/>
      <c r="S3461"/>
      <c r="T3461"/>
      <c r="U3461"/>
      <c r="X3461" s="60"/>
    </row>
    <row r="3462" spans="7:24" ht="15" customHeight="1">
      <c r="G3462"/>
      <c r="I3462"/>
      <c r="N3462"/>
      <c r="O3462" s="24"/>
      <c r="P3462"/>
      <c r="Q3462" s="24"/>
      <c r="R3462"/>
      <c r="S3462"/>
      <c r="T3462"/>
      <c r="U3462"/>
      <c r="X3462" s="60"/>
    </row>
    <row r="3463" spans="7:24" ht="15" customHeight="1">
      <c r="G3463"/>
      <c r="I3463"/>
      <c r="N3463"/>
      <c r="O3463" s="24"/>
      <c r="P3463"/>
      <c r="Q3463" s="24"/>
      <c r="R3463"/>
      <c r="S3463"/>
      <c r="T3463"/>
      <c r="U3463"/>
      <c r="X3463" s="60"/>
    </row>
    <row r="3464" spans="7:24" ht="15" customHeight="1">
      <c r="G3464"/>
      <c r="I3464"/>
      <c r="N3464"/>
      <c r="O3464" s="24"/>
      <c r="P3464"/>
      <c r="Q3464" s="24"/>
      <c r="R3464"/>
      <c r="S3464"/>
      <c r="T3464"/>
      <c r="U3464"/>
      <c r="X3464" s="60"/>
    </row>
    <row r="3465" spans="7:24" ht="15" customHeight="1">
      <c r="G3465"/>
      <c r="I3465"/>
      <c r="N3465"/>
      <c r="O3465" s="24"/>
      <c r="P3465"/>
      <c r="Q3465" s="24"/>
      <c r="R3465"/>
      <c r="S3465"/>
      <c r="T3465"/>
      <c r="U3465"/>
      <c r="X3465" s="60"/>
    </row>
    <row r="3466" spans="7:24" ht="15" customHeight="1">
      <c r="G3466"/>
      <c r="I3466"/>
      <c r="N3466"/>
      <c r="O3466" s="24"/>
      <c r="P3466"/>
      <c r="Q3466" s="24"/>
      <c r="R3466"/>
      <c r="S3466"/>
      <c r="T3466"/>
      <c r="U3466"/>
      <c r="X3466" s="60"/>
    </row>
    <row r="3467" spans="7:24" ht="15" customHeight="1">
      <c r="G3467"/>
      <c r="I3467"/>
      <c r="N3467"/>
      <c r="O3467" s="24"/>
      <c r="P3467"/>
      <c r="Q3467" s="24"/>
      <c r="R3467"/>
      <c r="S3467"/>
      <c r="T3467"/>
      <c r="U3467"/>
      <c r="X3467" s="60"/>
    </row>
    <row r="3468" spans="7:24" ht="15" customHeight="1">
      <c r="G3468"/>
      <c r="I3468"/>
      <c r="N3468"/>
      <c r="O3468" s="24"/>
      <c r="P3468"/>
      <c r="Q3468" s="24"/>
      <c r="R3468"/>
      <c r="S3468"/>
      <c r="T3468"/>
      <c r="U3468"/>
      <c r="X3468" s="60"/>
    </row>
    <row r="3469" spans="7:24" ht="15" customHeight="1">
      <c r="G3469"/>
      <c r="I3469"/>
      <c r="N3469"/>
      <c r="O3469" s="24"/>
      <c r="P3469"/>
      <c r="Q3469" s="24"/>
      <c r="R3469"/>
      <c r="S3469"/>
      <c r="T3469"/>
      <c r="U3469"/>
      <c r="X3469" s="60"/>
    </row>
    <row r="3470" spans="7:24" ht="15" customHeight="1">
      <c r="G3470"/>
      <c r="I3470"/>
      <c r="N3470"/>
      <c r="O3470" s="24"/>
      <c r="P3470"/>
      <c r="Q3470" s="24"/>
      <c r="R3470"/>
      <c r="S3470"/>
      <c r="T3470"/>
      <c r="U3470"/>
      <c r="X3470" s="60"/>
    </row>
    <row r="3471" spans="7:24" ht="15" customHeight="1">
      <c r="G3471"/>
      <c r="I3471"/>
      <c r="N3471"/>
      <c r="O3471" s="24"/>
      <c r="P3471"/>
      <c r="Q3471" s="24"/>
      <c r="R3471"/>
      <c r="S3471"/>
      <c r="T3471"/>
      <c r="U3471"/>
      <c r="X3471" s="60"/>
    </row>
    <row r="3472" spans="7:24" ht="15" customHeight="1">
      <c r="G3472"/>
      <c r="I3472"/>
      <c r="N3472"/>
      <c r="O3472" s="24"/>
      <c r="P3472"/>
      <c r="Q3472" s="24"/>
      <c r="R3472"/>
      <c r="S3472"/>
      <c r="T3472"/>
      <c r="U3472"/>
      <c r="X3472" s="60"/>
    </row>
    <row r="3473" spans="7:24" ht="15" customHeight="1">
      <c r="G3473"/>
      <c r="I3473"/>
      <c r="N3473"/>
      <c r="O3473" s="24"/>
      <c r="P3473"/>
      <c r="Q3473" s="24"/>
      <c r="R3473"/>
      <c r="S3473"/>
      <c r="T3473"/>
      <c r="U3473"/>
      <c r="X3473" s="60"/>
    </row>
    <row r="3474" spans="7:24" ht="15" customHeight="1">
      <c r="G3474"/>
      <c r="I3474"/>
      <c r="N3474"/>
      <c r="O3474" s="24"/>
      <c r="P3474"/>
      <c r="Q3474" s="24"/>
      <c r="R3474"/>
      <c r="S3474"/>
      <c r="T3474"/>
      <c r="U3474"/>
      <c r="X3474" s="60"/>
    </row>
    <row r="3475" spans="7:24" ht="15" customHeight="1">
      <c r="G3475"/>
      <c r="I3475"/>
      <c r="N3475"/>
      <c r="O3475" s="24"/>
      <c r="P3475"/>
      <c r="Q3475" s="24"/>
      <c r="R3475"/>
      <c r="S3475"/>
      <c r="T3475"/>
      <c r="U3475"/>
      <c r="X3475" s="60"/>
    </row>
    <row r="3476" spans="7:24" ht="15" customHeight="1">
      <c r="G3476"/>
      <c r="I3476"/>
      <c r="N3476"/>
      <c r="O3476" s="24"/>
      <c r="P3476"/>
      <c r="Q3476" s="24"/>
      <c r="R3476"/>
      <c r="S3476"/>
      <c r="T3476"/>
      <c r="U3476"/>
      <c r="X3476" s="60"/>
    </row>
    <row r="3477" spans="7:24" ht="15" customHeight="1">
      <c r="G3477"/>
      <c r="I3477"/>
      <c r="N3477"/>
      <c r="O3477" s="24"/>
      <c r="P3477"/>
      <c r="Q3477" s="24"/>
      <c r="R3477"/>
      <c r="S3477"/>
      <c r="T3477"/>
      <c r="U3477"/>
      <c r="X3477" s="60"/>
    </row>
    <row r="3478" spans="7:24" ht="15" customHeight="1">
      <c r="G3478"/>
      <c r="I3478"/>
      <c r="N3478"/>
      <c r="O3478" s="24"/>
      <c r="P3478"/>
      <c r="Q3478" s="24"/>
      <c r="R3478"/>
      <c r="S3478"/>
      <c r="T3478"/>
      <c r="U3478"/>
      <c r="X3478" s="60"/>
    </row>
    <row r="3479" spans="7:24" ht="15" customHeight="1">
      <c r="G3479"/>
      <c r="I3479"/>
      <c r="N3479"/>
      <c r="O3479" s="24"/>
      <c r="P3479"/>
      <c r="Q3479" s="24"/>
      <c r="R3479"/>
      <c r="S3479"/>
      <c r="T3479"/>
      <c r="U3479"/>
      <c r="X3479" s="60"/>
    </row>
    <row r="3480" spans="7:24" ht="15" customHeight="1">
      <c r="G3480"/>
      <c r="I3480"/>
      <c r="N3480"/>
      <c r="O3480" s="24"/>
      <c r="P3480"/>
      <c r="Q3480" s="24"/>
      <c r="R3480"/>
      <c r="S3480"/>
      <c r="T3480"/>
      <c r="U3480"/>
      <c r="X3480" s="60"/>
    </row>
    <row r="3481" spans="7:24" ht="15" customHeight="1">
      <c r="G3481"/>
      <c r="I3481"/>
      <c r="N3481"/>
      <c r="O3481" s="24"/>
      <c r="P3481"/>
      <c r="Q3481" s="24"/>
      <c r="R3481"/>
      <c r="S3481"/>
      <c r="T3481"/>
      <c r="U3481"/>
      <c r="X3481" s="60"/>
    </row>
    <row r="3482" spans="7:24" ht="15" customHeight="1">
      <c r="G3482"/>
      <c r="I3482"/>
      <c r="N3482"/>
      <c r="O3482" s="24"/>
      <c r="P3482"/>
      <c r="Q3482" s="24"/>
      <c r="R3482"/>
      <c r="S3482"/>
      <c r="T3482"/>
      <c r="U3482"/>
      <c r="X3482" s="60"/>
    </row>
    <row r="3483" spans="7:24" ht="15" customHeight="1">
      <c r="G3483"/>
      <c r="I3483"/>
      <c r="N3483"/>
      <c r="O3483" s="24"/>
      <c r="P3483"/>
      <c r="Q3483" s="24"/>
      <c r="R3483"/>
      <c r="S3483"/>
      <c r="T3483"/>
      <c r="U3483"/>
      <c r="X3483" s="60"/>
    </row>
    <row r="3484" spans="7:24" ht="15" customHeight="1">
      <c r="G3484"/>
      <c r="I3484"/>
      <c r="N3484"/>
      <c r="O3484" s="24"/>
      <c r="P3484"/>
      <c r="Q3484" s="24"/>
      <c r="R3484"/>
      <c r="S3484"/>
      <c r="T3484"/>
      <c r="U3484"/>
      <c r="X3484" s="60"/>
    </row>
    <row r="3485" spans="7:24" ht="15" customHeight="1">
      <c r="G3485"/>
      <c r="I3485"/>
      <c r="N3485"/>
      <c r="O3485" s="24"/>
      <c r="P3485"/>
      <c r="Q3485" s="24"/>
      <c r="R3485"/>
      <c r="S3485"/>
      <c r="T3485"/>
      <c r="U3485"/>
      <c r="X3485" s="60"/>
    </row>
    <row r="3486" spans="7:24" ht="15" customHeight="1">
      <c r="G3486"/>
      <c r="I3486"/>
      <c r="N3486"/>
      <c r="O3486" s="24"/>
      <c r="P3486"/>
      <c r="Q3486" s="24"/>
      <c r="R3486"/>
      <c r="S3486"/>
      <c r="T3486"/>
      <c r="U3486"/>
      <c r="X3486" s="60"/>
    </row>
    <row r="3487" spans="7:24" ht="15" customHeight="1">
      <c r="G3487"/>
      <c r="I3487"/>
      <c r="N3487"/>
      <c r="O3487" s="24"/>
      <c r="P3487"/>
      <c r="Q3487" s="24"/>
      <c r="R3487"/>
      <c r="S3487"/>
      <c r="T3487"/>
      <c r="U3487"/>
      <c r="X3487" s="60"/>
    </row>
    <row r="3488" spans="7:24" ht="15" customHeight="1">
      <c r="G3488"/>
      <c r="I3488"/>
      <c r="N3488"/>
      <c r="O3488" s="24"/>
      <c r="P3488"/>
      <c r="Q3488" s="24"/>
      <c r="R3488"/>
      <c r="S3488"/>
      <c r="T3488"/>
      <c r="U3488"/>
      <c r="X3488" s="60"/>
    </row>
    <row r="3489" spans="7:24" ht="15" customHeight="1">
      <c r="G3489"/>
      <c r="I3489"/>
      <c r="N3489"/>
      <c r="O3489" s="24"/>
      <c r="P3489"/>
      <c r="Q3489" s="24"/>
      <c r="R3489"/>
      <c r="S3489"/>
      <c r="T3489"/>
      <c r="U3489"/>
      <c r="X3489" s="60"/>
    </row>
    <row r="3490" spans="7:24" ht="15" customHeight="1">
      <c r="G3490"/>
      <c r="I3490"/>
      <c r="N3490"/>
      <c r="O3490" s="24"/>
      <c r="P3490"/>
      <c r="Q3490" s="24"/>
      <c r="R3490"/>
      <c r="S3490"/>
      <c r="T3490"/>
      <c r="U3490"/>
      <c r="X3490" s="60"/>
    </row>
    <row r="3491" spans="7:24" ht="15" customHeight="1">
      <c r="G3491"/>
      <c r="I3491"/>
      <c r="N3491"/>
      <c r="O3491" s="24"/>
      <c r="P3491"/>
      <c r="Q3491" s="24"/>
      <c r="R3491"/>
      <c r="S3491"/>
      <c r="T3491"/>
      <c r="U3491"/>
      <c r="X3491" s="60"/>
    </row>
    <row r="3492" spans="7:24" ht="15" customHeight="1">
      <c r="G3492"/>
      <c r="I3492"/>
      <c r="N3492"/>
      <c r="O3492" s="24"/>
      <c r="P3492"/>
      <c r="Q3492" s="24"/>
      <c r="R3492"/>
      <c r="S3492"/>
      <c r="T3492"/>
      <c r="U3492"/>
      <c r="X3492" s="60"/>
    </row>
    <row r="3493" spans="7:24" ht="15" customHeight="1">
      <c r="G3493"/>
      <c r="I3493"/>
      <c r="N3493"/>
      <c r="O3493" s="24"/>
      <c r="P3493"/>
      <c r="Q3493" s="24"/>
      <c r="R3493"/>
      <c r="S3493"/>
      <c r="T3493"/>
      <c r="U3493"/>
      <c r="X3493" s="60"/>
    </row>
    <row r="3494" spans="7:24" ht="15" customHeight="1">
      <c r="G3494"/>
      <c r="I3494"/>
      <c r="N3494"/>
      <c r="O3494" s="24"/>
      <c r="P3494"/>
      <c r="Q3494" s="24"/>
      <c r="R3494"/>
      <c r="S3494"/>
      <c r="T3494"/>
      <c r="U3494"/>
      <c r="X3494" s="60"/>
    </row>
    <row r="3495" spans="7:24" ht="15" customHeight="1">
      <c r="G3495"/>
      <c r="I3495"/>
      <c r="N3495"/>
      <c r="O3495" s="24"/>
      <c r="P3495"/>
      <c r="Q3495" s="24"/>
      <c r="R3495"/>
      <c r="S3495"/>
      <c r="T3495"/>
      <c r="U3495"/>
      <c r="X3495" s="60"/>
    </row>
    <row r="3496" spans="7:24" ht="15" customHeight="1">
      <c r="G3496"/>
      <c r="I3496"/>
      <c r="N3496"/>
      <c r="O3496" s="24"/>
      <c r="P3496"/>
      <c r="Q3496" s="24"/>
      <c r="R3496"/>
      <c r="S3496"/>
      <c r="T3496"/>
      <c r="U3496"/>
      <c r="X3496" s="60"/>
    </row>
    <row r="3497" spans="7:24" ht="15" customHeight="1">
      <c r="G3497"/>
      <c r="I3497"/>
      <c r="N3497"/>
      <c r="O3497" s="24"/>
      <c r="P3497"/>
      <c r="Q3497" s="24"/>
      <c r="R3497"/>
      <c r="S3497"/>
      <c r="T3497"/>
      <c r="U3497"/>
      <c r="X3497" s="60"/>
    </row>
    <row r="3498" spans="7:24" ht="15" customHeight="1">
      <c r="G3498"/>
      <c r="I3498"/>
      <c r="N3498"/>
      <c r="O3498" s="24"/>
      <c r="P3498"/>
      <c r="Q3498" s="24"/>
      <c r="R3498"/>
      <c r="S3498"/>
      <c r="T3498"/>
      <c r="U3498"/>
      <c r="X3498" s="60"/>
    </row>
    <row r="3499" spans="7:24" ht="15" customHeight="1">
      <c r="G3499"/>
      <c r="I3499"/>
      <c r="N3499"/>
      <c r="O3499" s="24"/>
      <c r="P3499"/>
      <c r="Q3499" s="24"/>
      <c r="R3499"/>
      <c r="S3499"/>
      <c r="T3499"/>
      <c r="U3499"/>
      <c r="X3499" s="60"/>
    </row>
    <row r="3500" spans="7:24" ht="15" customHeight="1">
      <c r="G3500"/>
      <c r="I3500"/>
      <c r="N3500"/>
      <c r="O3500" s="24"/>
      <c r="P3500"/>
      <c r="Q3500" s="24"/>
      <c r="R3500"/>
      <c r="S3500"/>
      <c r="T3500"/>
      <c r="U3500"/>
      <c r="X3500" s="60"/>
    </row>
    <row r="3501" spans="7:24" ht="15" customHeight="1">
      <c r="G3501"/>
      <c r="I3501"/>
      <c r="N3501"/>
      <c r="O3501" s="24"/>
      <c r="P3501"/>
      <c r="Q3501" s="24"/>
      <c r="R3501"/>
      <c r="S3501"/>
      <c r="T3501"/>
      <c r="U3501"/>
      <c r="X3501" s="60"/>
    </row>
    <row r="3502" spans="7:24" ht="15" customHeight="1">
      <c r="G3502"/>
      <c r="I3502"/>
      <c r="N3502"/>
      <c r="O3502" s="24"/>
      <c r="P3502"/>
      <c r="Q3502" s="24"/>
      <c r="R3502"/>
      <c r="S3502"/>
      <c r="T3502"/>
      <c r="U3502"/>
      <c r="X3502" s="60"/>
    </row>
    <row r="3503" spans="7:24" ht="15" customHeight="1">
      <c r="G3503"/>
      <c r="I3503"/>
      <c r="N3503"/>
      <c r="O3503" s="24"/>
      <c r="P3503"/>
      <c r="Q3503" s="24"/>
      <c r="R3503"/>
      <c r="S3503"/>
      <c r="T3503"/>
      <c r="U3503"/>
      <c r="X3503" s="60"/>
    </row>
    <row r="3504" spans="7:24" ht="15" customHeight="1">
      <c r="G3504"/>
      <c r="I3504"/>
      <c r="N3504"/>
      <c r="O3504" s="24"/>
      <c r="P3504"/>
      <c r="Q3504" s="24"/>
      <c r="R3504"/>
      <c r="S3504"/>
      <c r="T3504"/>
      <c r="U3504"/>
      <c r="X3504" s="60"/>
    </row>
    <row r="3505" spans="7:24" ht="15" customHeight="1">
      <c r="G3505"/>
      <c r="I3505"/>
      <c r="N3505"/>
      <c r="O3505" s="24"/>
      <c r="P3505"/>
      <c r="Q3505" s="24"/>
      <c r="R3505"/>
      <c r="S3505"/>
      <c r="T3505"/>
      <c r="U3505"/>
      <c r="X3505" s="60"/>
    </row>
    <row r="3506" spans="7:24" ht="15" customHeight="1">
      <c r="G3506"/>
      <c r="I3506"/>
      <c r="N3506"/>
      <c r="O3506" s="24"/>
      <c r="P3506"/>
      <c r="Q3506" s="24"/>
      <c r="R3506"/>
      <c r="S3506"/>
      <c r="T3506"/>
      <c r="U3506"/>
      <c r="X3506" s="60"/>
    </row>
    <row r="3507" spans="7:24" ht="15" customHeight="1">
      <c r="G3507"/>
      <c r="I3507"/>
      <c r="N3507"/>
      <c r="O3507" s="24"/>
      <c r="P3507"/>
      <c r="Q3507" s="24"/>
      <c r="R3507"/>
      <c r="S3507"/>
      <c r="T3507"/>
      <c r="U3507"/>
      <c r="X3507" s="60"/>
    </row>
    <row r="3508" spans="7:24" ht="15" customHeight="1">
      <c r="G3508"/>
      <c r="I3508"/>
      <c r="N3508"/>
      <c r="O3508" s="24"/>
      <c r="P3508"/>
      <c r="Q3508" s="24"/>
      <c r="R3508"/>
      <c r="S3508"/>
      <c r="T3508"/>
      <c r="U3508"/>
      <c r="X3508" s="60"/>
    </row>
    <row r="3509" spans="7:24" ht="15" customHeight="1">
      <c r="G3509"/>
      <c r="I3509"/>
      <c r="N3509"/>
      <c r="O3509" s="24"/>
      <c r="P3509"/>
      <c r="Q3509" s="24"/>
      <c r="R3509"/>
      <c r="S3509"/>
      <c r="T3509"/>
      <c r="U3509"/>
      <c r="X3509" s="60"/>
    </row>
    <row r="3510" spans="7:24" ht="15" customHeight="1">
      <c r="G3510"/>
      <c r="I3510"/>
      <c r="N3510"/>
      <c r="O3510" s="24"/>
      <c r="P3510"/>
      <c r="Q3510" s="24"/>
      <c r="R3510"/>
      <c r="S3510"/>
      <c r="T3510"/>
      <c r="U3510"/>
      <c r="X3510" s="60"/>
    </row>
    <row r="3511" spans="7:24" ht="15" customHeight="1">
      <c r="G3511"/>
      <c r="I3511"/>
      <c r="N3511"/>
      <c r="O3511" s="24"/>
      <c r="P3511"/>
      <c r="Q3511" s="24"/>
      <c r="R3511"/>
      <c r="S3511"/>
      <c r="T3511"/>
      <c r="U3511"/>
      <c r="X3511" s="60"/>
    </row>
    <row r="3512" spans="7:24" ht="15" customHeight="1">
      <c r="G3512"/>
      <c r="I3512"/>
      <c r="N3512"/>
      <c r="O3512" s="24"/>
      <c r="P3512"/>
      <c r="Q3512" s="24"/>
      <c r="R3512"/>
      <c r="S3512"/>
      <c r="T3512"/>
      <c r="U3512"/>
      <c r="X3512" s="60"/>
    </row>
    <row r="3513" spans="7:24" ht="15" customHeight="1">
      <c r="G3513"/>
      <c r="I3513"/>
      <c r="N3513"/>
      <c r="O3513" s="24"/>
      <c r="P3513"/>
      <c r="Q3513" s="24"/>
      <c r="R3513"/>
      <c r="S3513"/>
      <c r="T3513"/>
      <c r="U3513"/>
      <c r="X3513" s="60"/>
    </row>
    <row r="3514" spans="7:24" ht="15" customHeight="1">
      <c r="G3514"/>
      <c r="I3514"/>
      <c r="N3514"/>
      <c r="O3514" s="24"/>
      <c r="P3514"/>
      <c r="Q3514" s="24"/>
      <c r="R3514"/>
      <c r="S3514"/>
      <c r="T3514"/>
      <c r="U3514"/>
      <c r="X3514" s="60"/>
    </row>
    <row r="3515" spans="7:24" ht="15" customHeight="1">
      <c r="G3515"/>
      <c r="I3515"/>
      <c r="N3515"/>
      <c r="O3515" s="24"/>
      <c r="P3515"/>
      <c r="Q3515" s="24"/>
      <c r="R3515"/>
      <c r="S3515"/>
      <c r="T3515"/>
      <c r="U3515"/>
      <c r="X3515" s="60"/>
    </row>
    <row r="3516" spans="7:24" ht="15" customHeight="1">
      <c r="G3516"/>
      <c r="I3516"/>
      <c r="N3516"/>
      <c r="O3516" s="24"/>
      <c r="P3516"/>
      <c r="Q3516" s="24"/>
      <c r="R3516"/>
      <c r="S3516"/>
      <c r="T3516"/>
      <c r="U3516"/>
      <c r="X3516" s="60"/>
    </row>
    <row r="3517" spans="7:24" ht="15" customHeight="1">
      <c r="G3517"/>
      <c r="I3517"/>
      <c r="N3517"/>
      <c r="O3517" s="24"/>
      <c r="P3517"/>
      <c r="Q3517" s="24"/>
      <c r="R3517"/>
      <c r="S3517"/>
      <c r="T3517"/>
      <c r="U3517"/>
      <c r="X3517" s="60"/>
    </row>
    <row r="3518" spans="7:24" ht="15" customHeight="1">
      <c r="G3518"/>
      <c r="I3518"/>
      <c r="N3518"/>
      <c r="O3518" s="24"/>
      <c r="P3518"/>
      <c r="Q3518" s="24"/>
      <c r="R3518"/>
      <c r="S3518"/>
      <c r="T3518"/>
      <c r="U3518"/>
      <c r="X3518" s="60"/>
    </row>
    <row r="3519" spans="7:24" ht="15" customHeight="1">
      <c r="G3519"/>
      <c r="I3519"/>
      <c r="N3519"/>
      <c r="O3519" s="24"/>
      <c r="P3519"/>
      <c r="Q3519" s="24"/>
      <c r="R3519"/>
      <c r="S3519"/>
      <c r="T3519"/>
      <c r="U3519"/>
      <c r="X3519" s="60"/>
    </row>
    <row r="3520" spans="7:24" ht="15" customHeight="1">
      <c r="G3520"/>
      <c r="I3520"/>
      <c r="N3520"/>
      <c r="O3520" s="24"/>
      <c r="P3520"/>
      <c r="Q3520" s="24"/>
      <c r="R3520"/>
      <c r="S3520"/>
      <c r="T3520"/>
      <c r="U3520"/>
      <c r="X3520" s="60"/>
    </row>
    <row r="3521" spans="7:24" ht="15" customHeight="1">
      <c r="G3521"/>
      <c r="I3521"/>
      <c r="N3521"/>
      <c r="O3521" s="24"/>
      <c r="P3521"/>
      <c r="Q3521" s="24"/>
      <c r="R3521"/>
      <c r="S3521"/>
      <c r="T3521"/>
      <c r="U3521"/>
      <c r="X3521" s="60"/>
    </row>
    <row r="3522" spans="7:24" ht="15" customHeight="1">
      <c r="G3522"/>
      <c r="I3522"/>
      <c r="N3522"/>
      <c r="O3522" s="24"/>
      <c r="P3522"/>
      <c r="Q3522" s="24"/>
      <c r="R3522"/>
      <c r="S3522"/>
      <c r="T3522"/>
      <c r="U3522"/>
      <c r="X3522" s="60"/>
    </row>
    <row r="3523" spans="7:24" ht="15" customHeight="1">
      <c r="G3523"/>
      <c r="I3523"/>
      <c r="N3523"/>
      <c r="O3523" s="24"/>
      <c r="P3523"/>
      <c r="Q3523" s="24"/>
      <c r="R3523"/>
      <c r="S3523"/>
      <c r="T3523"/>
      <c r="U3523"/>
      <c r="X3523" s="60"/>
    </row>
    <row r="3524" spans="7:24" ht="15" customHeight="1">
      <c r="G3524"/>
      <c r="I3524"/>
      <c r="N3524"/>
      <c r="O3524" s="24"/>
      <c r="P3524"/>
      <c r="Q3524" s="24"/>
      <c r="R3524"/>
      <c r="S3524"/>
      <c r="T3524"/>
      <c r="U3524"/>
      <c r="X3524" s="60"/>
    </row>
    <row r="3525" spans="7:24" ht="15" customHeight="1">
      <c r="G3525"/>
      <c r="I3525"/>
      <c r="N3525"/>
      <c r="O3525" s="24"/>
      <c r="P3525"/>
      <c r="Q3525" s="24"/>
      <c r="R3525"/>
      <c r="S3525"/>
      <c r="T3525"/>
      <c r="U3525"/>
      <c r="X3525" s="60"/>
    </row>
    <row r="3526" spans="7:24" ht="15" customHeight="1">
      <c r="G3526"/>
      <c r="I3526"/>
      <c r="N3526"/>
      <c r="O3526" s="24"/>
      <c r="P3526"/>
      <c r="Q3526" s="24"/>
      <c r="R3526"/>
      <c r="S3526"/>
      <c r="T3526"/>
      <c r="U3526"/>
      <c r="X3526" s="60"/>
    </row>
    <row r="3527" spans="7:24" ht="15" customHeight="1">
      <c r="G3527"/>
      <c r="I3527"/>
      <c r="N3527"/>
      <c r="O3527" s="24"/>
      <c r="P3527"/>
      <c r="Q3527" s="24"/>
      <c r="R3527"/>
      <c r="S3527"/>
      <c r="T3527"/>
      <c r="U3527"/>
      <c r="X3527" s="60"/>
    </row>
    <row r="3528" spans="7:24" ht="15" customHeight="1">
      <c r="G3528"/>
      <c r="I3528"/>
      <c r="N3528"/>
      <c r="O3528" s="24"/>
      <c r="P3528"/>
      <c r="Q3528" s="24"/>
      <c r="R3528"/>
      <c r="S3528"/>
      <c r="T3528"/>
      <c r="U3528"/>
      <c r="X3528" s="60"/>
    </row>
    <row r="3529" spans="7:24" ht="15" customHeight="1">
      <c r="G3529"/>
      <c r="I3529"/>
      <c r="N3529"/>
      <c r="O3529" s="24"/>
      <c r="P3529"/>
      <c r="Q3529" s="24"/>
      <c r="R3529"/>
      <c r="S3529"/>
      <c r="T3529"/>
      <c r="U3529"/>
      <c r="X3529" s="60"/>
    </row>
    <row r="3530" spans="7:24" ht="15" customHeight="1">
      <c r="G3530"/>
      <c r="I3530"/>
      <c r="N3530"/>
      <c r="O3530" s="24"/>
      <c r="P3530"/>
      <c r="Q3530" s="24"/>
      <c r="R3530"/>
      <c r="S3530"/>
      <c r="T3530"/>
      <c r="U3530"/>
      <c r="X3530" s="60"/>
    </row>
    <row r="3531" spans="7:24" ht="15" customHeight="1">
      <c r="G3531"/>
      <c r="I3531"/>
      <c r="N3531"/>
      <c r="O3531" s="24"/>
      <c r="P3531"/>
      <c r="Q3531" s="24"/>
      <c r="R3531"/>
      <c r="S3531"/>
      <c r="T3531"/>
      <c r="U3531"/>
      <c r="X3531" s="60"/>
    </row>
    <row r="3532" spans="7:24" ht="15" customHeight="1">
      <c r="G3532"/>
      <c r="I3532"/>
      <c r="N3532"/>
      <c r="O3532" s="24"/>
      <c r="P3532"/>
      <c r="Q3532" s="24"/>
      <c r="R3532"/>
      <c r="S3532"/>
      <c r="T3532"/>
      <c r="U3532"/>
      <c r="X3532" s="60"/>
    </row>
    <row r="3533" spans="7:24" ht="15" customHeight="1">
      <c r="G3533"/>
      <c r="I3533"/>
      <c r="N3533"/>
      <c r="O3533" s="24"/>
      <c r="P3533"/>
      <c r="Q3533" s="24"/>
      <c r="R3533"/>
      <c r="S3533"/>
      <c r="T3533"/>
      <c r="U3533"/>
      <c r="X3533" s="60"/>
    </row>
    <row r="3534" spans="7:24" ht="15" customHeight="1">
      <c r="G3534"/>
      <c r="I3534"/>
      <c r="N3534"/>
      <c r="O3534" s="24"/>
      <c r="P3534"/>
      <c r="Q3534" s="24"/>
      <c r="R3534"/>
      <c r="S3534"/>
      <c r="T3534"/>
      <c r="U3534"/>
      <c r="X3534" s="60"/>
    </row>
    <row r="3535" spans="7:24" ht="15" customHeight="1">
      <c r="G3535"/>
      <c r="I3535"/>
      <c r="N3535"/>
      <c r="O3535" s="24"/>
      <c r="P3535"/>
      <c r="Q3535" s="24"/>
      <c r="R3535"/>
      <c r="S3535"/>
      <c r="T3535"/>
      <c r="U3535"/>
      <c r="X3535" s="60"/>
    </row>
    <row r="3536" spans="7:24" ht="15" customHeight="1">
      <c r="G3536"/>
      <c r="I3536"/>
      <c r="N3536"/>
      <c r="O3536" s="24"/>
      <c r="P3536"/>
      <c r="Q3536" s="24"/>
      <c r="R3536"/>
      <c r="S3536"/>
      <c r="T3536"/>
      <c r="U3536"/>
      <c r="X3536" s="60"/>
    </row>
    <row r="3537" spans="7:24" ht="15" customHeight="1">
      <c r="G3537"/>
      <c r="I3537"/>
      <c r="N3537"/>
      <c r="O3537" s="24"/>
      <c r="P3537"/>
      <c r="Q3537" s="24"/>
      <c r="R3537"/>
      <c r="S3537"/>
      <c r="T3537"/>
      <c r="U3537"/>
      <c r="X3537" s="60"/>
    </row>
    <row r="3538" spans="7:24" ht="15" customHeight="1">
      <c r="G3538"/>
      <c r="I3538"/>
      <c r="N3538"/>
      <c r="O3538" s="24"/>
      <c r="P3538"/>
      <c r="Q3538" s="24"/>
      <c r="R3538"/>
      <c r="S3538"/>
      <c r="T3538"/>
      <c r="U3538"/>
      <c r="X3538" s="60"/>
    </row>
    <row r="3539" spans="7:24" ht="15" customHeight="1">
      <c r="G3539"/>
      <c r="I3539"/>
      <c r="N3539"/>
      <c r="O3539" s="24"/>
      <c r="P3539"/>
      <c r="Q3539" s="24"/>
      <c r="R3539"/>
      <c r="S3539"/>
      <c r="T3539"/>
      <c r="U3539"/>
      <c r="X3539" s="60"/>
    </row>
    <row r="3540" spans="7:24" ht="15" customHeight="1">
      <c r="G3540"/>
      <c r="I3540"/>
      <c r="N3540"/>
      <c r="O3540" s="24"/>
      <c r="P3540"/>
      <c r="Q3540" s="24"/>
      <c r="R3540"/>
      <c r="S3540"/>
      <c r="T3540"/>
      <c r="U3540"/>
      <c r="X3540" s="60"/>
    </row>
    <row r="3541" spans="7:24" ht="15" customHeight="1">
      <c r="G3541"/>
      <c r="I3541"/>
      <c r="N3541"/>
      <c r="O3541" s="24"/>
      <c r="P3541"/>
      <c r="Q3541" s="24"/>
      <c r="R3541"/>
      <c r="S3541"/>
      <c r="T3541"/>
      <c r="U3541"/>
      <c r="X3541" s="60"/>
    </row>
    <row r="3542" spans="7:24" ht="15" customHeight="1">
      <c r="G3542"/>
      <c r="I3542"/>
      <c r="N3542"/>
      <c r="O3542" s="24"/>
      <c r="P3542"/>
      <c r="Q3542" s="24"/>
      <c r="R3542"/>
      <c r="S3542"/>
      <c r="T3542"/>
      <c r="U3542"/>
      <c r="X3542" s="60"/>
    </row>
    <row r="3543" spans="7:24" ht="15" customHeight="1">
      <c r="G3543"/>
      <c r="I3543"/>
      <c r="N3543"/>
      <c r="O3543" s="24"/>
      <c r="P3543"/>
      <c r="Q3543" s="24"/>
      <c r="R3543"/>
      <c r="S3543"/>
      <c r="T3543"/>
      <c r="U3543"/>
      <c r="X3543" s="60"/>
    </row>
    <row r="3544" spans="7:24" ht="15" customHeight="1">
      <c r="G3544"/>
      <c r="I3544"/>
      <c r="N3544"/>
      <c r="O3544" s="24"/>
      <c r="P3544"/>
      <c r="Q3544" s="24"/>
      <c r="R3544"/>
      <c r="S3544"/>
      <c r="T3544"/>
      <c r="U3544"/>
      <c r="X3544" s="60"/>
    </row>
    <row r="3545" spans="7:24" ht="15" customHeight="1">
      <c r="G3545"/>
      <c r="I3545"/>
      <c r="N3545"/>
      <c r="O3545" s="24"/>
      <c r="P3545"/>
      <c r="Q3545" s="24"/>
      <c r="R3545"/>
      <c r="S3545"/>
      <c r="T3545"/>
      <c r="U3545"/>
      <c r="X3545" s="60"/>
    </row>
    <row r="3546" spans="7:24" ht="15" customHeight="1">
      <c r="G3546"/>
      <c r="I3546"/>
      <c r="N3546"/>
      <c r="O3546" s="24"/>
      <c r="P3546"/>
      <c r="Q3546" s="24"/>
      <c r="R3546"/>
      <c r="S3546"/>
      <c r="T3546"/>
      <c r="U3546"/>
      <c r="X3546" s="60"/>
    </row>
    <row r="3547" spans="7:24" ht="15" customHeight="1">
      <c r="G3547"/>
      <c r="I3547"/>
      <c r="N3547"/>
      <c r="O3547" s="24"/>
      <c r="P3547"/>
      <c r="Q3547" s="24"/>
      <c r="R3547"/>
      <c r="S3547"/>
      <c r="T3547"/>
      <c r="U3547"/>
      <c r="X3547" s="60"/>
    </row>
    <row r="3548" spans="7:24" ht="15" customHeight="1">
      <c r="G3548"/>
      <c r="I3548"/>
      <c r="N3548"/>
      <c r="O3548" s="24"/>
      <c r="P3548"/>
      <c r="Q3548" s="24"/>
      <c r="R3548"/>
      <c r="S3548"/>
      <c r="T3548"/>
      <c r="U3548"/>
      <c r="X3548" s="60"/>
    </row>
    <row r="3549" spans="7:24" ht="15" customHeight="1">
      <c r="G3549"/>
      <c r="I3549"/>
      <c r="N3549"/>
      <c r="O3549" s="24"/>
      <c r="P3549"/>
      <c r="Q3549" s="24"/>
      <c r="R3549"/>
      <c r="S3549"/>
      <c r="T3549"/>
      <c r="U3549"/>
      <c r="X3549" s="60"/>
    </row>
    <row r="3550" spans="7:24" ht="15" customHeight="1">
      <c r="G3550"/>
      <c r="I3550"/>
      <c r="N3550"/>
      <c r="O3550" s="24"/>
      <c r="P3550"/>
      <c r="Q3550" s="24"/>
      <c r="R3550"/>
      <c r="S3550"/>
      <c r="T3550"/>
      <c r="U3550"/>
      <c r="X3550" s="60"/>
    </row>
    <row r="3551" spans="7:24" ht="15" customHeight="1">
      <c r="G3551"/>
      <c r="I3551"/>
      <c r="N3551"/>
      <c r="O3551" s="24"/>
      <c r="P3551"/>
      <c r="Q3551" s="24"/>
      <c r="R3551"/>
      <c r="S3551"/>
      <c r="T3551"/>
      <c r="U3551"/>
      <c r="X3551" s="60"/>
    </row>
    <row r="3552" spans="7:24" ht="15" customHeight="1">
      <c r="G3552"/>
      <c r="I3552"/>
      <c r="N3552"/>
      <c r="O3552" s="24"/>
      <c r="P3552"/>
      <c r="Q3552" s="24"/>
      <c r="R3552"/>
      <c r="S3552"/>
      <c r="T3552"/>
      <c r="U3552"/>
      <c r="X3552" s="60"/>
    </row>
    <row r="3553" spans="7:24" ht="15" customHeight="1">
      <c r="G3553"/>
      <c r="I3553"/>
      <c r="N3553"/>
      <c r="O3553" s="24"/>
      <c r="P3553"/>
      <c r="Q3553" s="24"/>
      <c r="R3553"/>
      <c r="S3553"/>
      <c r="T3553"/>
      <c r="U3553"/>
      <c r="X3553" s="60"/>
    </row>
    <row r="3554" spans="7:24" ht="15" customHeight="1">
      <c r="G3554"/>
      <c r="I3554"/>
      <c r="N3554"/>
      <c r="O3554" s="24"/>
      <c r="P3554"/>
      <c r="Q3554" s="24"/>
      <c r="R3554"/>
      <c r="S3554"/>
      <c r="T3554"/>
      <c r="U3554"/>
      <c r="X3554" s="60"/>
    </row>
    <row r="3555" spans="7:24" ht="15" customHeight="1">
      <c r="G3555"/>
      <c r="I3555"/>
      <c r="N3555"/>
      <c r="O3555" s="24"/>
      <c r="P3555"/>
      <c r="Q3555" s="24"/>
      <c r="R3555"/>
      <c r="S3555"/>
      <c r="T3555"/>
      <c r="U3555"/>
      <c r="X3555" s="60"/>
    </row>
    <row r="3556" spans="7:24" ht="15" customHeight="1">
      <c r="G3556"/>
      <c r="I3556"/>
      <c r="N3556"/>
      <c r="O3556" s="24"/>
      <c r="P3556"/>
      <c r="Q3556" s="24"/>
      <c r="R3556"/>
      <c r="S3556"/>
      <c r="T3556"/>
      <c r="U3556"/>
      <c r="X3556" s="60"/>
    </row>
    <row r="3557" spans="7:24" ht="15" customHeight="1">
      <c r="G3557"/>
      <c r="I3557"/>
      <c r="N3557"/>
      <c r="O3557" s="24"/>
      <c r="P3557"/>
      <c r="Q3557" s="24"/>
      <c r="R3557"/>
      <c r="S3557"/>
      <c r="T3557"/>
      <c r="U3557"/>
      <c r="X3557" s="60"/>
    </row>
    <row r="3558" spans="7:24" ht="15" customHeight="1">
      <c r="G3558"/>
      <c r="I3558"/>
      <c r="N3558"/>
      <c r="O3558" s="24"/>
      <c r="P3558"/>
      <c r="Q3558" s="24"/>
      <c r="R3558"/>
      <c r="S3558"/>
      <c r="T3558"/>
      <c r="U3558"/>
      <c r="X3558" s="60"/>
    </row>
    <row r="3559" spans="7:24" ht="15" customHeight="1">
      <c r="G3559"/>
      <c r="I3559"/>
      <c r="N3559"/>
      <c r="O3559" s="24"/>
      <c r="P3559"/>
      <c r="Q3559" s="24"/>
      <c r="R3559"/>
      <c r="S3559"/>
      <c r="T3559"/>
      <c r="U3559"/>
      <c r="X3559" s="60"/>
    </row>
    <row r="3560" spans="7:24" ht="15" customHeight="1">
      <c r="G3560"/>
      <c r="I3560"/>
      <c r="N3560"/>
      <c r="O3560" s="24"/>
      <c r="P3560"/>
      <c r="Q3560" s="24"/>
      <c r="R3560"/>
      <c r="S3560"/>
      <c r="T3560"/>
      <c r="U3560"/>
      <c r="X3560" s="60"/>
    </row>
    <row r="3561" spans="7:24" ht="15" customHeight="1">
      <c r="G3561"/>
      <c r="I3561"/>
      <c r="N3561"/>
      <c r="O3561" s="24"/>
      <c r="P3561"/>
      <c r="Q3561" s="24"/>
      <c r="R3561"/>
      <c r="S3561"/>
      <c r="T3561"/>
      <c r="U3561"/>
      <c r="X3561" s="60"/>
    </row>
    <row r="3562" spans="7:24" ht="15" customHeight="1">
      <c r="G3562"/>
      <c r="I3562"/>
      <c r="N3562"/>
      <c r="O3562" s="24"/>
      <c r="P3562"/>
      <c r="Q3562" s="24"/>
      <c r="R3562"/>
      <c r="S3562"/>
      <c r="T3562"/>
      <c r="U3562"/>
      <c r="X3562" s="60"/>
    </row>
    <row r="3563" spans="7:24" ht="15" customHeight="1">
      <c r="G3563"/>
      <c r="I3563"/>
      <c r="N3563"/>
      <c r="O3563" s="24"/>
      <c r="P3563"/>
      <c r="Q3563" s="24"/>
      <c r="R3563"/>
      <c r="S3563"/>
      <c r="T3563"/>
      <c r="U3563"/>
      <c r="X3563" s="60"/>
    </row>
    <row r="3564" spans="7:24" ht="15" customHeight="1">
      <c r="G3564"/>
      <c r="I3564"/>
      <c r="N3564"/>
      <c r="O3564" s="24"/>
      <c r="P3564"/>
      <c r="Q3564" s="24"/>
      <c r="R3564"/>
      <c r="S3564"/>
      <c r="T3564"/>
      <c r="U3564"/>
      <c r="X3564" s="60"/>
    </row>
    <row r="3565" spans="7:24" ht="15" customHeight="1">
      <c r="G3565"/>
      <c r="I3565"/>
      <c r="N3565"/>
      <c r="O3565" s="24"/>
      <c r="P3565"/>
      <c r="Q3565" s="24"/>
      <c r="R3565"/>
      <c r="S3565"/>
      <c r="T3565"/>
      <c r="U3565"/>
      <c r="X3565" s="60"/>
    </row>
    <row r="3566" spans="7:24" ht="15" customHeight="1">
      <c r="G3566"/>
      <c r="I3566"/>
      <c r="N3566"/>
      <c r="O3566" s="24"/>
      <c r="P3566"/>
      <c r="Q3566" s="24"/>
      <c r="R3566"/>
      <c r="S3566"/>
      <c r="T3566"/>
      <c r="U3566"/>
      <c r="X3566" s="60"/>
    </row>
    <row r="3567" spans="7:24" ht="15" customHeight="1">
      <c r="G3567"/>
      <c r="I3567"/>
      <c r="N3567"/>
      <c r="O3567" s="24"/>
      <c r="P3567"/>
      <c r="Q3567" s="24"/>
      <c r="R3567"/>
      <c r="S3567"/>
      <c r="T3567"/>
      <c r="U3567"/>
      <c r="X3567" s="60"/>
    </row>
    <row r="3568" spans="7:24" ht="15" customHeight="1">
      <c r="G3568"/>
      <c r="I3568"/>
      <c r="N3568"/>
      <c r="O3568" s="24"/>
      <c r="P3568"/>
      <c r="Q3568" s="24"/>
      <c r="R3568"/>
      <c r="S3568"/>
      <c r="T3568"/>
      <c r="U3568"/>
      <c r="X3568" s="60"/>
    </row>
    <row r="3569" spans="7:24" ht="15" customHeight="1">
      <c r="G3569"/>
      <c r="I3569"/>
      <c r="N3569"/>
      <c r="O3569" s="24"/>
      <c r="P3569"/>
      <c r="Q3569" s="24"/>
      <c r="R3569"/>
      <c r="S3569"/>
      <c r="T3569"/>
      <c r="U3569"/>
      <c r="X3569" s="60"/>
    </row>
    <row r="3570" spans="7:24" ht="15" customHeight="1">
      <c r="G3570"/>
      <c r="I3570"/>
      <c r="N3570"/>
      <c r="O3570" s="24"/>
      <c r="P3570"/>
      <c r="Q3570" s="24"/>
      <c r="R3570"/>
      <c r="S3570"/>
      <c r="T3570"/>
      <c r="U3570"/>
      <c r="X3570" s="60"/>
    </row>
    <row r="3571" spans="7:24" ht="15" customHeight="1">
      <c r="G3571"/>
      <c r="I3571"/>
      <c r="N3571"/>
      <c r="O3571" s="24"/>
      <c r="P3571"/>
      <c r="Q3571" s="24"/>
      <c r="R3571"/>
      <c r="S3571"/>
      <c r="T3571"/>
      <c r="U3571"/>
      <c r="X3571" s="60"/>
    </row>
    <row r="3572" spans="7:24" ht="15" customHeight="1">
      <c r="G3572"/>
      <c r="I3572"/>
      <c r="N3572"/>
      <c r="O3572" s="24"/>
      <c r="P3572"/>
      <c r="Q3572" s="24"/>
      <c r="R3572"/>
      <c r="S3572"/>
      <c r="T3572"/>
      <c r="U3572"/>
      <c r="X3572" s="60"/>
    </row>
    <row r="3573" spans="7:24" ht="15" customHeight="1">
      <c r="G3573"/>
      <c r="I3573"/>
      <c r="N3573"/>
      <c r="O3573" s="24"/>
      <c r="P3573"/>
      <c r="Q3573" s="24"/>
      <c r="R3573"/>
      <c r="S3573"/>
      <c r="T3573"/>
      <c r="U3573"/>
      <c r="X3573" s="60"/>
    </row>
    <row r="3574" spans="7:24" ht="15" customHeight="1">
      <c r="G3574"/>
      <c r="I3574"/>
      <c r="N3574"/>
      <c r="O3574" s="24"/>
      <c r="P3574"/>
      <c r="Q3574" s="24"/>
      <c r="R3574"/>
      <c r="S3574"/>
      <c r="T3574"/>
      <c r="U3574"/>
      <c r="X3574" s="60"/>
    </row>
    <row r="3575" spans="7:24" ht="15" customHeight="1">
      <c r="G3575"/>
      <c r="I3575"/>
      <c r="N3575"/>
      <c r="O3575" s="24"/>
      <c r="P3575"/>
      <c r="Q3575" s="24"/>
      <c r="R3575"/>
      <c r="S3575"/>
      <c r="T3575"/>
      <c r="U3575"/>
      <c r="X3575" s="60"/>
    </row>
    <row r="3576" spans="7:24" ht="15" customHeight="1">
      <c r="G3576"/>
      <c r="I3576"/>
      <c r="N3576"/>
      <c r="O3576" s="24"/>
      <c r="P3576"/>
      <c r="Q3576" s="24"/>
      <c r="R3576"/>
      <c r="S3576"/>
      <c r="T3576"/>
      <c r="U3576"/>
      <c r="X3576" s="60"/>
    </row>
    <row r="3577" spans="7:24" ht="15" customHeight="1">
      <c r="G3577"/>
      <c r="I3577"/>
      <c r="N3577"/>
      <c r="O3577" s="24"/>
      <c r="P3577"/>
      <c r="Q3577" s="24"/>
      <c r="R3577"/>
      <c r="S3577"/>
      <c r="T3577"/>
      <c r="U3577"/>
      <c r="X3577" s="60"/>
    </row>
    <row r="3578" spans="7:24" ht="15" customHeight="1">
      <c r="G3578"/>
      <c r="I3578"/>
      <c r="N3578"/>
      <c r="O3578" s="24"/>
      <c r="P3578"/>
      <c r="Q3578" s="24"/>
      <c r="R3578"/>
      <c r="S3578"/>
      <c r="T3578"/>
      <c r="U3578"/>
      <c r="X3578" s="60"/>
    </row>
    <row r="3579" spans="7:24" ht="15" customHeight="1">
      <c r="G3579"/>
      <c r="I3579"/>
      <c r="N3579"/>
      <c r="O3579" s="24"/>
      <c r="P3579"/>
      <c r="Q3579" s="24"/>
      <c r="R3579"/>
      <c r="S3579"/>
      <c r="T3579"/>
      <c r="U3579"/>
      <c r="X3579" s="60"/>
    </row>
    <row r="3580" spans="7:24" ht="15" customHeight="1">
      <c r="G3580"/>
      <c r="I3580"/>
      <c r="N3580"/>
      <c r="O3580" s="24"/>
      <c r="P3580"/>
      <c r="Q3580" s="24"/>
      <c r="R3580"/>
      <c r="S3580"/>
      <c r="T3580"/>
      <c r="U3580"/>
      <c r="X3580" s="60"/>
    </row>
    <row r="3581" spans="7:24" ht="15" customHeight="1">
      <c r="G3581"/>
      <c r="I3581"/>
      <c r="N3581"/>
      <c r="O3581" s="24"/>
      <c r="P3581"/>
      <c r="Q3581" s="24"/>
      <c r="R3581"/>
      <c r="S3581"/>
      <c r="T3581"/>
      <c r="U3581"/>
      <c r="X3581" s="60"/>
    </row>
    <row r="3582" spans="7:24" ht="15" customHeight="1">
      <c r="G3582"/>
      <c r="I3582"/>
      <c r="N3582"/>
      <c r="O3582" s="24"/>
      <c r="P3582"/>
      <c r="Q3582" s="24"/>
      <c r="R3582"/>
      <c r="S3582"/>
      <c r="T3582"/>
      <c r="U3582"/>
      <c r="X3582" s="60"/>
    </row>
    <row r="3583" spans="7:24" ht="15" customHeight="1">
      <c r="G3583"/>
      <c r="I3583"/>
      <c r="N3583"/>
      <c r="O3583" s="24"/>
      <c r="P3583"/>
      <c r="Q3583" s="24"/>
      <c r="R3583"/>
      <c r="S3583"/>
      <c r="T3583"/>
      <c r="U3583"/>
      <c r="X3583" s="60"/>
    </row>
    <row r="3584" spans="7:24" ht="15" customHeight="1">
      <c r="G3584"/>
      <c r="I3584"/>
      <c r="N3584"/>
      <c r="O3584" s="24"/>
      <c r="P3584"/>
      <c r="Q3584" s="24"/>
      <c r="R3584"/>
      <c r="S3584"/>
      <c r="T3584"/>
      <c r="U3584"/>
      <c r="X3584" s="60"/>
    </row>
    <row r="3585" spans="7:24" ht="15" customHeight="1">
      <c r="G3585"/>
      <c r="I3585"/>
      <c r="N3585"/>
      <c r="O3585" s="24"/>
      <c r="P3585"/>
      <c r="Q3585" s="24"/>
      <c r="R3585"/>
      <c r="S3585"/>
      <c r="T3585"/>
      <c r="U3585"/>
      <c r="X3585" s="60"/>
    </row>
    <row r="3586" spans="7:24" ht="15" customHeight="1">
      <c r="G3586"/>
      <c r="I3586"/>
      <c r="N3586"/>
      <c r="O3586" s="24"/>
      <c r="P3586"/>
      <c r="Q3586" s="24"/>
      <c r="R3586"/>
      <c r="S3586"/>
      <c r="T3586"/>
      <c r="U3586"/>
      <c r="X3586" s="60"/>
    </row>
    <row r="3587" spans="7:24" ht="15" customHeight="1">
      <c r="G3587"/>
      <c r="I3587"/>
      <c r="N3587"/>
      <c r="O3587" s="24"/>
      <c r="P3587"/>
      <c r="Q3587" s="24"/>
      <c r="R3587"/>
      <c r="S3587"/>
      <c r="T3587"/>
      <c r="U3587"/>
      <c r="X3587" s="60"/>
    </row>
    <row r="3588" spans="7:24" ht="15" customHeight="1">
      <c r="G3588"/>
      <c r="I3588"/>
      <c r="N3588"/>
      <c r="O3588" s="24"/>
      <c r="P3588"/>
      <c r="Q3588" s="24"/>
      <c r="R3588"/>
      <c r="S3588"/>
      <c r="T3588"/>
      <c r="U3588"/>
      <c r="X3588" s="60"/>
    </row>
    <row r="3589" spans="7:24" ht="15" customHeight="1">
      <c r="G3589"/>
      <c r="I3589"/>
      <c r="N3589"/>
      <c r="O3589" s="24"/>
      <c r="P3589"/>
      <c r="Q3589" s="24"/>
      <c r="R3589"/>
      <c r="S3589"/>
      <c r="T3589"/>
      <c r="U3589"/>
      <c r="X3589" s="60"/>
    </row>
    <row r="3590" spans="7:24" ht="15" customHeight="1">
      <c r="G3590"/>
      <c r="I3590"/>
      <c r="N3590"/>
      <c r="O3590" s="24"/>
      <c r="P3590"/>
      <c r="Q3590" s="24"/>
      <c r="R3590"/>
      <c r="S3590"/>
      <c r="T3590"/>
      <c r="U3590"/>
      <c r="X3590" s="60"/>
    </row>
    <row r="3591" spans="7:24" ht="15" customHeight="1">
      <c r="G3591"/>
      <c r="I3591"/>
      <c r="N3591"/>
      <c r="O3591" s="24"/>
      <c r="P3591"/>
      <c r="Q3591" s="24"/>
      <c r="R3591"/>
      <c r="S3591"/>
      <c r="T3591"/>
      <c r="U3591"/>
      <c r="X3591" s="60"/>
    </row>
    <row r="3592" spans="7:24" ht="15" customHeight="1">
      <c r="G3592"/>
      <c r="I3592"/>
      <c r="N3592"/>
      <c r="O3592" s="24"/>
      <c r="P3592"/>
      <c r="Q3592" s="24"/>
      <c r="R3592"/>
      <c r="S3592"/>
      <c r="T3592"/>
      <c r="U3592"/>
      <c r="X3592" s="60"/>
    </row>
    <row r="3593" spans="7:24" ht="15" customHeight="1">
      <c r="G3593"/>
      <c r="I3593"/>
      <c r="N3593"/>
      <c r="O3593" s="24"/>
      <c r="P3593"/>
      <c r="Q3593" s="24"/>
      <c r="R3593"/>
      <c r="S3593"/>
      <c r="T3593"/>
      <c r="U3593"/>
      <c r="X3593" s="60"/>
    </row>
    <row r="3594" spans="7:24" ht="15" customHeight="1">
      <c r="G3594"/>
      <c r="I3594"/>
      <c r="N3594"/>
      <c r="O3594" s="24"/>
      <c r="P3594"/>
      <c r="Q3594" s="24"/>
      <c r="R3594"/>
      <c r="S3594"/>
      <c r="T3594"/>
      <c r="U3594"/>
      <c r="X3594" s="60"/>
    </row>
    <row r="3595" spans="7:24" ht="15" customHeight="1">
      <c r="G3595"/>
      <c r="I3595"/>
      <c r="N3595"/>
      <c r="O3595" s="24"/>
      <c r="P3595"/>
      <c r="Q3595" s="24"/>
      <c r="R3595"/>
      <c r="S3595"/>
      <c r="T3595"/>
      <c r="U3595"/>
      <c r="X3595" s="60"/>
    </row>
    <row r="3596" spans="7:24" ht="15" customHeight="1">
      <c r="G3596"/>
      <c r="I3596"/>
      <c r="N3596"/>
      <c r="O3596" s="24"/>
      <c r="P3596"/>
      <c r="Q3596" s="24"/>
      <c r="R3596"/>
      <c r="S3596"/>
      <c r="T3596"/>
      <c r="U3596"/>
      <c r="X3596" s="60"/>
    </row>
    <row r="3597" spans="7:24" ht="15" customHeight="1">
      <c r="G3597"/>
      <c r="I3597"/>
      <c r="N3597"/>
      <c r="O3597" s="24"/>
      <c r="P3597"/>
      <c r="Q3597" s="24"/>
      <c r="R3597"/>
      <c r="S3597"/>
      <c r="T3597"/>
      <c r="U3597"/>
      <c r="X3597" s="60"/>
    </row>
    <row r="3598" spans="7:24" ht="15" customHeight="1">
      <c r="G3598"/>
      <c r="I3598"/>
      <c r="N3598"/>
      <c r="O3598" s="24"/>
      <c r="P3598"/>
      <c r="Q3598" s="24"/>
      <c r="R3598"/>
      <c r="S3598"/>
      <c r="T3598"/>
      <c r="U3598"/>
      <c r="X3598" s="60"/>
    </row>
    <row r="3599" spans="7:24" ht="15" customHeight="1">
      <c r="G3599"/>
      <c r="I3599"/>
      <c r="N3599"/>
      <c r="O3599" s="24"/>
      <c r="P3599"/>
      <c r="Q3599" s="24"/>
      <c r="R3599"/>
      <c r="S3599"/>
      <c r="T3599"/>
      <c r="U3599"/>
      <c r="X3599" s="60"/>
    </row>
    <row r="3600" spans="7:24" ht="15" customHeight="1">
      <c r="G3600"/>
      <c r="I3600"/>
      <c r="N3600"/>
      <c r="O3600" s="24"/>
      <c r="P3600"/>
      <c r="Q3600" s="24"/>
      <c r="R3600"/>
      <c r="S3600"/>
      <c r="T3600"/>
      <c r="U3600"/>
      <c r="X3600" s="60"/>
    </row>
    <row r="3601" spans="7:24" ht="15" customHeight="1">
      <c r="G3601"/>
      <c r="I3601"/>
      <c r="N3601"/>
      <c r="O3601" s="24"/>
      <c r="P3601"/>
      <c r="Q3601" s="24"/>
      <c r="R3601"/>
      <c r="S3601"/>
      <c r="T3601"/>
      <c r="U3601"/>
      <c r="X3601" s="60"/>
    </row>
    <row r="3602" spans="7:24" ht="15" customHeight="1">
      <c r="G3602"/>
      <c r="I3602"/>
      <c r="N3602"/>
      <c r="O3602" s="24"/>
      <c r="P3602"/>
      <c r="Q3602" s="24"/>
      <c r="R3602"/>
      <c r="S3602"/>
      <c r="T3602"/>
      <c r="U3602"/>
      <c r="X3602" s="60"/>
    </row>
    <row r="3603" spans="7:24" ht="15" customHeight="1">
      <c r="G3603"/>
      <c r="I3603"/>
      <c r="N3603"/>
      <c r="O3603" s="24"/>
      <c r="P3603"/>
      <c r="Q3603" s="24"/>
      <c r="R3603"/>
      <c r="S3603"/>
      <c r="T3603"/>
      <c r="U3603"/>
      <c r="X3603" s="60"/>
    </row>
    <row r="3604" spans="7:24" ht="15" customHeight="1">
      <c r="G3604"/>
      <c r="I3604"/>
      <c r="N3604"/>
      <c r="O3604" s="24"/>
      <c r="P3604"/>
      <c r="Q3604" s="24"/>
      <c r="R3604"/>
      <c r="S3604"/>
      <c r="T3604"/>
      <c r="U3604"/>
      <c r="X3604" s="60"/>
    </row>
    <row r="3605" spans="7:24" ht="15" customHeight="1">
      <c r="G3605"/>
      <c r="I3605"/>
      <c r="N3605"/>
      <c r="O3605" s="24"/>
      <c r="P3605"/>
      <c r="Q3605" s="24"/>
      <c r="R3605"/>
      <c r="S3605"/>
      <c r="T3605"/>
      <c r="U3605"/>
      <c r="X3605" s="60"/>
    </row>
    <row r="3606" spans="7:24" ht="15" customHeight="1">
      <c r="G3606"/>
      <c r="I3606"/>
      <c r="N3606"/>
      <c r="O3606" s="24"/>
      <c r="P3606"/>
      <c r="Q3606" s="24"/>
      <c r="R3606"/>
      <c r="S3606"/>
      <c r="T3606"/>
      <c r="U3606"/>
      <c r="X3606" s="60"/>
    </row>
    <row r="3607" spans="7:24" ht="15" customHeight="1">
      <c r="G3607"/>
      <c r="I3607"/>
      <c r="N3607"/>
      <c r="O3607" s="24"/>
      <c r="P3607"/>
      <c r="Q3607" s="24"/>
      <c r="R3607"/>
      <c r="S3607"/>
      <c r="T3607"/>
      <c r="U3607"/>
      <c r="X3607" s="60"/>
    </row>
    <row r="3608" spans="7:24" ht="15" customHeight="1">
      <c r="G3608"/>
      <c r="I3608"/>
      <c r="N3608"/>
      <c r="O3608" s="24"/>
      <c r="P3608"/>
      <c r="Q3608" s="24"/>
      <c r="R3608"/>
      <c r="S3608"/>
      <c r="T3608"/>
      <c r="U3608"/>
      <c r="X3608" s="60"/>
    </row>
    <row r="3609" spans="7:24" ht="15" customHeight="1">
      <c r="G3609"/>
      <c r="I3609"/>
      <c r="N3609"/>
      <c r="O3609" s="24"/>
      <c r="P3609"/>
      <c r="Q3609" s="24"/>
      <c r="R3609"/>
      <c r="S3609"/>
      <c r="T3609"/>
      <c r="U3609"/>
      <c r="X3609" s="60"/>
    </row>
    <row r="3610" spans="7:24" ht="15" customHeight="1">
      <c r="G3610"/>
      <c r="I3610"/>
      <c r="N3610"/>
      <c r="O3610" s="24"/>
      <c r="P3610"/>
      <c r="Q3610" s="24"/>
      <c r="R3610"/>
      <c r="S3610"/>
      <c r="T3610"/>
      <c r="U3610"/>
      <c r="X3610" s="60"/>
    </row>
    <row r="3611" spans="7:24" ht="15" customHeight="1">
      <c r="G3611"/>
      <c r="I3611"/>
      <c r="N3611"/>
      <c r="O3611" s="24"/>
      <c r="P3611"/>
      <c r="Q3611" s="24"/>
      <c r="R3611"/>
      <c r="S3611"/>
      <c r="T3611"/>
      <c r="U3611"/>
      <c r="X3611" s="60"/>
    </row>
    <row r="3612" spans="7:24" ht="15" customHeight="1">
      <c r="G3612"/>
      <c r="I3612"/>
      <c r="N3612"/>
      <c r="O3612" s="24"/>
      <c r="P3612"/>
      <c r="Q3612" s="24"/>
      <c r="R3612"/>
      <c r="S3612"/>
      <c r="T3612"/>
      <c r="U3612"/>
      <c r="X3612" s="60"/>
    </row>
    <row r="3613" spans="7:24" ht="15" customHeight="1">
      <c r="G3613"/>
      <c r="I3613"/>
      <c r="N3613"/>
      <c r="O3613" s="24"/>
      <c r="P3613"/>
      <c r="Q3613" s="24"/>
      <c r="R3613"/>
      <c r="S3613"/>
      <c r="T3613"/>
      <c r="U3613"/>
      <c r="X3613" s="60"/>
    </row>
    <row r="3614" spans="7:24" ht="15" customHeight="1">
      <c r="G3614"/>
      <c r="I3614"/>
      <c r="N3614"/>
      <c r="O3614" s="24"/>
      <c r="P3614"/>
      <c r="Q3614" s="24"/>
      <c r="R3614"/>
      <c r="S3614"/>
      <c r="T3614"/>
      <c r="U3614"/>
      <c r="X3614" s="60"/>
    </row>
    <row r="3615" spans="7:24" ht="15" customHeight="1">
      <c r="G3615"/>
      <c r="I3615"/>
      <c r="N3615"/>
      <c r="O3615" s="24"/>
      <c r="P3615"/>
      <c r="Q3615" s="24"/>
      <c r="R3615"/>
      <c r="S3615"/>
      <c r="T3615"/>
      <c r="U3615"/>
      <c r="X3615" s="60"/>
    </row>
    <row r="3616" spans="7:24" ht="15" customHeight="1">
      <c r="G3616"/>
      <c r="I3616"/>
      <c r="N3616"/>
      <c r="O3616" s="24"/>
      <c r="P3616"/>
      <c r="Q3616" s="24"/>
      <c r="R3616"/>
      <c r="S3616"/>
      <c r="T3616"/>
      <c r="U3616"/>
      <c r="X3616" s="60"/>
    </row>
    <row r="3617" spans="7:24" ht="15" customHeight="1">
      <c r="G3617"/>
      <c r="I3617"/>
      <c r="N3617"/>
      <c r="O3617" s="24"/>
      <c r="P3617"/>
      <c r="Q3617" s="24"/>
      <c r="R3617"/>
      <c r="S3617"/>
      <c r="T3617"/>
      <c r="U3617"/>
      <c r="X3617" s="60"/>
    </row>
    <row r="3618" spans="7:24" ht="15" customHeight="1">
      <c r="G3618"/>
      <c r="I3618"/>
      <c r="N3618"/>
      <c r="O3618" s="24"/>
      <c r="P3618"/>
      <c r="Q3618" s="24"/>
      <c r="R3618"/>
      <c r="S3618"/>
      <c r="T3618"/>
      <c r="U3618"/>
      <c r="X3618" s="60"/>
    </row>
    <row r="3619" spans="7:24" ht="15" customHeight="1">
      <c r="G3619"/>
      <c r="I3619"/>
      <c r="N3619"/>
      <c r="O3619" s="24"/>
      <c r="P3619"/>
      <c r="Q3619" s="24"/>
      <c r="R3619"/>
      <c r="S3619"/>
      <c r="T3619"/>
      <c r="U3619"/>
      <c r="X3619" s="60"/>
    </row>
    <row r="3620" spans="7:24" ht="15" customHeight="1">
      <c r="G3620"/>
      <c r="I3620"/>
      <c r="N3620"/>
      <c r="O3620" s="24"/>
      <c r="P3620"/>
      <c r="Q3620" s="24"/>
      <c r="R3620"/>
      <c r="S3620"/>
      <c r="T3620"/>
      <c r="U3620"/>
      <c r="X3620" s="60"/>
    </row>
    <row r="3621" spans="7:24" ht="15" customHeight="1">
      <c r="G3621"/>
      <c r="I3621"/>
      <c r="N3621"/>
      <c r="O3621" s="24"/>
      <c r="P3621"/>
      <c r="Q3621" s="24"/>
      <c r="R3621"/>
      <c r="S3621"/>
      <c r="T3621"/>
      <c r="U3621"/>
      <c r="X3621" s="60"/>
    </row>
    <row r="3622" spans="7:24" ht="15" customHeight="1">
      <c r="G3622"/>
      <c r="I3622"/>
      <c r="N3622"/>
      <c r="O3622" s="24"/>
      <c r="P3622"/>
      <c r="Q3622" s="24"/>
      <c r="R3622"/>
      <c r="S3622"/>
      <c r="T3622"/>
      <c r="U3622"/>
      <c r="X3622" s="60"/>
    </row>
    <row r="3623" spans="7:24" ht="15" customHeight="1">
      <c r="G3623"/>
      <c r="I3623"/>
      <c r="N3623"/>
      <c r="O3623" s="24"/>
      <c r="P3623"/>
      <c r="Q3623" s="24"/>
      <c r="R3623"/>
      <c r="S3623"/>
      <c r="T3623"/>
      <c r="U3623"/>
      <c r="X3623" s="60"/>
    </row>
    <row r="3624" spans="7:24" ht="15" customHeight="1">
      <c r="G3624"/>
      <c r="I3624"/>
      <c r="N3624"/>
      <c r="O3624" s="24"/>
      <c r="P3624"/>
      <c r="Q3624" s="24"/>
      <c r="R3624"/>
      <c r="S3624"/>
      <c r="T3624"/>
      <c r="U3624"/>
      <c r="X3624" s="60"/>
    </row>
    <row r="3625" spans="7:24" ht="15" customHeight="1">
      <c r="G3625"/>
      <c r="I3625"/>
      <c r="N3625"/>
      <c r="O3625" s="24"/>
      <c r="P3625"/>
      <c r="Q3625" s="24"/>
      <c r="R3625"/>
      <c r="S3625"/>
      <c r="T3625"/>
      <c r="U3625"/>
      <c r="X3625" s="60"/>
    </row>
    <row r="3626" spans="7:24" ht="15" customHeight="1">
      <c r="G3626"/>
      <c r="I3626"/>
      <c r="N3626"/>
      <c r="O3626" s="24"/>
      <c r="P3626"/>
      <c r="Q3626" s="24"/>
      <c r="R3626"/>
      <c r="S3626"/>
      <c r="T3626"/>
      <c r="U3626"/>
      <c r="X3626" s="60"/>
    </row>
    <row r="3627" spans="7:24" ht="15" customHeight="1">
      <c r="G3627"/>
      <c r="I3627"/>
      <c r="N3627"/>
      <c r="O3627" s="24"/>
      <c r="P3627"/>
      <c r="Q3627" s="24"/>
      <c r="R3627"/>
      <c r="S3627"/>
      <c r="T3627"/>
      <c r="U3627"/>
      <c r="X3627" s="60"/>
    </row>
    <row r="3628" spans="7:24" ht="15" customHeight="1">
      <c r="G3628"/>
      <c r="I3628"/>
      <c r="N3628"/>
      <c r="O3628" s="24"/>
      <c r="P3628"/>
      <c r="Q3628" s="24"/>
      <c r="R3628"/>
      <c r="S3628"/>
      <c r="T3628"/>
      <c r="U3628"/>
      <c r="X3628" s="60"/>
    </row>
    <row r="3629" spans="7:24" ht="15" customHeight="1">
      <c r="G3629"/>
      <c r="I3629"/>
      <c r="N3629"/>
      <c r="O3629" s="24"/>
      <c r="P3629"/>
      <c r="Q3629" s="24"/>
      <c r="R3629"/>
      <c r="S3629"/>
      <c r="T3629"/>
      <c r="U3629"/>
      <c r="X3629" s="60"/>
    </row>
    <row r="3630" spans="7:24" ht="15" customHeight="1">
      <c r="G3630"/>
      <c r="I3630"/>
      <c r="N3630"/>
      <c r="O3630" s="24"/>
      <c r="P3630"/>
      <c r="Q3630" s="24"/>
      <c r="R3630"/>
      <c r="S3630"/>
      <c r="T3630"/>
      <c r="U3630"/>
      <c r="X3630" s="60"/>
    </row>
    <row r="3631" spans="7:24" ht="15" customHeight="1">
      <c r="G3631"/>
      <c r="I3631"/>
      <c r="N3631"/>
      <c r="O3631" s="24"/>
      <c r="P3631"/>
      <c r="Q3631" s="24"/>
      <c r="R3631"/>
      <c r="S3631"/>
      <c r="T3631"/>
      <c r="U3631"/>
      <c r="X3631" s="60"/>
    </row>
    <row r="3632" spans="7:24" ht="15" customHeight="1">
      <c r="G3632"/>
      <c r="I3632"/>
      <c r="N3632"/>
      <c r="O3632" s="24"/>
      <c r="P3632"/>
      <c r="Q3632" s="24"/>
      <c r="R3632"/>
      <c r="S3632"/>
      <c r="T3632"/>
      <c r="U3632"/>
      <c r="X3632" s="60"/>
    </row>
    <row r="3633" spans="7:24" ht="15" customHeight="1">
      <c r="G3633"/>
      <c r="I3633"/>
      <c r="N3633"/>
      <c r="O3633" s="24"/>
      <c r="P3633"/>
      <c r="Q3633" s="24"/>
      <c r="R3633"/>
      <c r="S3633"/>
      <c r="T3633"/>
      <c r="U3633"/>
      <c r="X3633" s="60"/>
    </row>
    <row r="3634" spans="7:24" ht="15" customHeight="1">
      <c r="G3634"/>
      <c r="I3634"/>
      <c r="N3634"/>
      <c r="O3634" s="24"/>
      <c r="P3634"/>
      <c r="Q3634" s="24"/>
      <c r="R3634"/>
      <c r="S3634"/>
      <c r="T3634"/>
      <c r="U3634"/>
      <c r="X3634" s="60"/>
    </row>
    <row r="3635" spans="7:24" ht="15" customHeight="1">
      <c r="G3635"/>
      <c r="I3635"/>
      <c r="N3635"/>
      <c r="O3635" s="24"/>
      <c r="P3635"/>
      <c r="Q3635" s="24"/>
      <c r="R3635"/>
      <c r="S3635"/>
      <c r="T3635"/>
      <c r="U3635"/>
      <c r="X3635" s="60"/>
    </row>
    <row r="3636" spans="7:24" ht="15" customHeight="1">
      <c r="G3636"/>
      <c r="I3636"/>
      <c r="N3636"/>
      <c r="O3636" s="24"/>
      <c r="P3636"/>
      <c r="Q3636" s="24"/>
      <c r="R3636"/>
      <c r="S3636"/>
      <c r="T3636"/>
      <c r="U3636"/>
      <c r="X3636" s="60"/>
    </row>
    <row r="3637" spans="7:24" ht="15" customHeight="1">
      <c r="G3637"/>
      <c r="I3637"/>
      <c r="N3637"/>
      <c r="O3637" s="24"/>
      <c r="P3637"/>
      <c r="Q3637" s="24"/>
      <c r="R3637"/>
      <c r="S3637"/>
      <c r="T3637"/>
      <c r="U3637"/>
      <c r="X3637" s="60"/>
    </row>
    <row r="3638" spans="7:24" ht="15" customHeight="1">
      <c r="G3638"/>
      <c r="I3638"/>
      <c r="N3638"/>
      <c r="O3638" s="24"/>
      <c r="P3638"/>
      <c r="Q3638" s="24"/>
      <c r="R3638"/>
      <c r="S3638"/>
      <c r="T3638"/>
      <c r="U3638"/>
      <c r="X3638" s="60"/>
    </row>
    <row r="3639" spans="7:24" ht="15" customHeight="1">
      <c r="G3639"/>
      <c r="I3639"/>
      <c r="N3639"/>
      <c r="O3639" s="24"/>
      <c r="P3639"/>
      <c r="Q3639" s="24"/>
      <c r="R3639"/>
      <c r="S3639"/>
      <c r="T3639"/>
      <c r="U3639"/>
      <c r="X3639" s="60"/>
    </row>
    <row r="3640" spans="7:24" ht="15" customHeight="1">
      <c r="G3640"/>
      <c r="I3640"/>
      <c r="N3640"/>
      <c r="O3640" s="24"/>
      <c r="P3640"/>
      <c r="Q3640" s="24"/>
      <c r="R3640"/>
      <c r="S3640"/>
      <c r="T3640"/>
      <c r="U3640"/>
      <c r="X3640" s="60"/>
    </row>
    <row r="3641" spans="7:24" ht="15" customHeight="1">
      <c r="G3641"/>
      <c r="I3641"/>
      <c r="N3641"/>
      <c r="O3641" s="24"/>
      <c r="P3641"/>
      <c r="Q3641" s="24"/>
      <c r="R3641"/>
      <c r="S3641"/>
      <c r="T3641"/>
      <c r="U3641"/>
      <c r="X3641" s="60"/>
    </row>
    <row r="3642" spans="7:24" ht="15" customHeight="1">
      <c r="G3642"/>
      <c r="I3642"/>
      <c r="N3642"/>
      <c r="O3642" s="24"/>
      <c r="P3642"/>
      <c r="Q3642" s="24"/>
      <c r="R3642"/>
      <c r="S3642"/>
      <c r="T3642"/>
      <c r="U3642"/>
      <c r="X3642" s="60"/>
    </row>
    <row r="3643" spans="7:24" ht="15" customHeight="1">
      <c r="G3643"/>
      <c r="I3643"/>
      <c r="N3643"/>
      <c r="O3643" s="24"/>
      <c r="P3643"/>
      <c r="Q3643" s="24"/>
      <c r="R3643"/>
      <c r="S3643"/>
      <c r="T3643"/>
      <c r="U3643"/>
      <c r="X3643" s="60"/>
    </row>
    <row r="3644" spans="7:24" ht="15" customHeight="1">
      <c r="G3644"/>
      <c r="I3644"/>
      <c r="N3644"/>
      <c r="O3644" s="24"/>
      <c r="P3644"/>
      <c r="Q3644" s="24"/>
      <c r="R3644"/>
      <c r="S3644"/>
      <c r="T3644"/>
      <c r="U3644"/>
      <c r="X3644" s="60"/>
    </row>
    <row r="3645" spans="7:24" ht="15" customHeight="1">
      <c r="G3645"/>
      <c r="I3645"/>
      <c r="N3645"/>
      <c r="O3645" s="24"/>
      <c r="P3645"/>
      <c r="Q3645" s="24"/>
      <c r="R3645"/>
      <c r="S3645"/>
      <c r="T3645"/>
      <c r="U3645"/>
      <c r="X3645" s="60"/>
    </row>
    <row r="3646" spans="7:24" ht="15" customHeight="1">
      <c r="G3646"/>
      <c r="I3646"/>
      <c r="N3646"/>
      <c r="O3646" s="24"/>
      <c r="P3646"/>
      <c r="Q3646" s="24"/>
      <c r="R3646"/>
      <c r="S3646"/>
      <c r="T3646"/>
      <c r="U3646"/>
      <c r="X3646" s="60"/>
    </row>
    <row r="3647" spans="7:24" ht="15" customHeight="1">
      <c r="G3647"/>
      <c r="I3647"/>
      <c r="N3647"/>
      <c r="O3647" s="24"/>
      <c r="P3647"/>
      <c r="Q3647" s="24"/>
      <c r="R3647"/>
      <c r="S3647"/>
      <c r="T3647"/>
      <c r="U3647"/>
      <c r="X3647" s="60"/>
    </row>
    <row r="3648" spans="7:24" ht="15" customHeight="1">
      <c r="G3648"/>
      <c r="I3648"/>
      <c r="N3648"/>
      <c r="O3648" s="24"/>
      <c r="P3648"/>
      <c r="Q3648" s="24"/>
      <c r="R3648"/>
      <c r="S3648"/>
      <c r="T3648"/>
      <c r="U3648"/>
      <c r="X3648" s="60"/>
    </row>
    <row r="3649" spans="7:24" ht="15" customHeight="1">
      <c r="G3649"/>
      <c r="I3649"/>
      <c r="N3649"/>
      <c r="O3649" s="24"/>
      <c r="P3649"/>
      <c r="Q3649" s="24"/>
      <c r="R3649"/>
      <c r="S3649"/>
      <c r="T3649"/>
      <c r="U3649"/>
      <c r="X3649" s="60"/>
    </row>
    <row r="3650" spans="7:24" ht="15" customHeight="1">
      <c r="G3650"/>
      <c r="I3650"/>
      <c r="N3650"/>
      <c r="O3650" s="24"/>
      <c r="P3650"/>
      <c r="Q3650" s="24"/>
      <c r="R3650"/>
      <c r="S3650"/>
      <c r="T3650"/>
      <c r="U3650"/>
      <c r="X3650" s="60"/>
    </row>
    <row r="3651" spans="7:24" ht="15" customHeight="1">
      <c r="G3651"/>
      <c r="I3651"/>
      <c r="N3651"/>
      <c r="O3651" s="24"/>
      <c r="P3651"/>
      <c r="Q3651" s="24"/>
      <c r="R3651"/>
      <c r="S3651"/>
      <c r="T3651"/>
      <c r="U3651"/>
      <c r="X3651" s="60"/>
    </row>
    <row r="3652" spans="7:24" ht="15" customHeight="1">
      <c r="G3652"/>
      <c r="I3652"/>
      <c r="N3652"/>
      <c r="O3652" s="24"/>
      <c r="P3652"/>
      <c r="Q3652" s="24"/>
      <c r="R3652"/>
      <c r="S3652"/>
      <c r="T3652"/>
      <c r="U3652"/>
      <c r="X3652" s="60"/>
    </row>
    <row r="3653" spans="7:24" ht="15" customHeight="1">
      <c r="G3653"/>
      <c r="I3653"/>
      <c r="N3653"/>
      <c r="O3653" s="24"/>
      <c r="P3653"/>
      <c r="Q3653" s="24"/>
      <c r="R3653"/>
      <c r="S3653"/>
      <c r="T3653"/>
      <c r="U3653"/>
      <c r="X3653" s="60"/>
    </row>
    <row r="3654" spans="7:24" ht="15" customHeight="1">
      <c r="G3654"/>
      <c r="I3654"/>
      <c r="N3654"/>
      <c r="O3654" s="24"/>
      <c r="P3654"/>
      <c r="Q3654" s="24"/>
      <c r="R3654"/>
      <c r="S3654"/>
      <c r="T3654"/>
      <c r="U3654"/>
      <c r="X3654" s="60"/>
    </row>
    <row r="3655" spans="7:24" ht="15" customHeight="1">
      <c r="G3655"/>
      <c r="I3655"/>
      <c r="N3655"/>
      <c r="O3655" s="24"/>
      <c r="P3655"/>
      <c r="Q3655" s="24"/>
      <c r="R3655"/>
      <c r="S3655"/>
      <c r="T3655"/>
      <c r="U3655"/>
      <c r="X3655" s="60"/>
    </row>
    <row r="3656" spans="7:24" ht="15" customHeight="1">
      <c r="G3656"/>
      <c r="I3656"/>
      <c r="N3656"/>
      <c r="O3656" s="24"/>
      <c r="P3656"/>
      <c r="Q3656" s="24"/>
      <c r="R3656"/>
      <c r="S3656"/>
      <c r="T3656"/>
      <c r="U3656"/>
      <c r="X3656" s="60"/>
    </row>
    <row r="3657" spans="7:24" ht="15" customHeight="1">
      <c r="G3657"/>
      <c r="I3657"/>
      <c r="N3657"/>
      <c r="O3657" s="24"/>
      <c r="P3657"/>
      <c r="Q3657" s="24"/>
      <c r="R3657"/>
      <c r="S3657"/>
      <c r="T3657"/>
      <c r="U3657"/>
      <c r="X3657" s="60"/>
    </row>
    <row r="3658" spans="7:24" ht="15" customHeight="1">
      <c r="G3658"/>
      <c r="I3658"/>
      <c r="N3658"/>
      <c r="O3658" s="24"/>
      <c r="P3658"/>
      <c r="Q3658" s="24"/>
      <c r="R3658"/>
      <c r="S3658"/>
      <c r="T3658"/>
      <c r="U3658"/>
      <c r="X3658" s="60"/>
    </row>
    <row r="3659" spans="7:24" ht="15" customHeight="1">
      <c r="G3659"/>
      <c r="I3659"/>
      <c r="N3659"/>
      <c r="O3659" s="24"/>
      <c r="P3659"/>
      <c r="Q3659" s="24"/>
      <c r="R3659"/>
      <c r="S3659"/>
      <c r="T3659"/>
      <c r="U3659"/>
      <c r="X3659" s="60"/>
    </row>
    <row r="3660" spans="7:24" ht="15" customHeight="1">
      <c r="G3660"/>
      <c r="I3660"/>
      <c r="N3660"/>
      <c r="O3660" s="24"/>
      <c r="P3660"/>
      <c r="Q3660" s="24"/>
      <c r="R3660"/>
      <c r="S3660"/>
      <c r="T3660"/>
      <c r="U3660"/>
      <c r="X3660" s="60"/>
    </row>
    <row r="3661" spans="7:24" ht="15" customHeight="1">
      <c r="G3661"/>
      <c r="I3661"/>
      <c r="N3661"/>
      <c r="O3661" s="24"/>
      <c r="P3661"/>
      <c r="Q3661" s="24"/>
      <c r="R3661"/>
      <c r="S3661"/>
      <c r="T3661"/>
      <c r="U3661"/>
      <c r="X3661" s="60"/>
    </row>
    <row r="3662" spans="7:24" ht="15" customHeight="1">
      <c r="G3662"/>
      <c r="I3662"/>
      <c r="N3662"/>
      <c r="O3662" s="24"/>
      <c r="P3662"/>
      <c r="Q3662" s="24"/>
      <c r="R3662"/>
      <c r="S3662"/>
      <c r="T3662"/>
      <c r="U3662"/>
      <c r="X3662" s="60"/>
    </row>
    <row r="3663" spans="7:24" ht="15" customHeight="1">
      <c r="G3663"/>
      <c r="I3663"/>
      <c r="N3663"/>
      <c r="O3663" s="24"/>
      <c r="P3663"/>
      <c r="Q3663" s="24"/>
      <c r="R3663"/>
      <c r="S3663"/>
      <c r="T3663"/>
      <c r="U3663"/>
      <c r="X3663" s="60"/>
    </row>
    <row r="3664" spans="7:24" ht="15" customHeight="1">
      <c r="G3664"/>
      <c r="I3664"/>
      <c r="N3664"/>
      <c r="O3664" s="24"/>
      <c r="P3664"/>
      <c r="Q3664" s="24"/>
      <c r="R3664"/>
      <c r="S3664"/>
      <c r="T3664"/>
      <c r="U3664"/>
      <c r="X3664" s="60"/>
    </row>
    <row r="3665" spans="7:24" ht="15" customHeight="1">
      <c r="G3665"/>
      <c r="I3665"/>
      <c r="N3665"/>
      <c r="O3665" s="24"/>
      <c r="P3665"/>
      <c r="Q3665" s="24"/>
      <c r="R3665"/>
      <c r="S3665"/>
      <c r="T3665"/>
      <c r="U3665"/>
      <c r="X3665" s="60"/>
    </row>
    <row r="3666" spans="7:24" ht="15" customHeight="1">
      <c r="G3666"/>
      <c r="I3666"/>
      <c r="N3666"/>
      <c r="O3666" s="24"/>
      <c r="P3666"/>
      <c r="Q3666" s="24"/>
      <c r="R3666"/>
      <c r="S3666"/>
      <c r="T3666"/>
      <c r="U3666"/>
      <c r="X3666" s="60"/>
    </row>
    <row r="3667" spans="7:24" ht="15" customHeight="1">
      <c r="G3667"/>
      <c r="I3667"/>
      <c r="N3667"/>
      <c r="O3667" s="24"/>
      <c r="P3667"/>
      <c r="Q3667" s="24"/>
      <c r="R3667"/>
      <c r="S3667"/>
      <c r="T3667"/>
      <c r="U3667"/>
      <c r="X3667" s="60"/>
    </row>
    <row r="3668" spans="7:24" ht="15" customHeight="1">
      <c r="G3668"/>
      <c r="I3668"/>
      <c r="N3668"/>
      <c r="O3668" s="24"/>
      <c r="P3668"/>
      <c r="Q3668" s="24"/>
      <c r="R3668"/>
      <c r="S3668"/>
      <c r="T3668"/>
      <c r="U3668"/>
      <c r="X3668" s="60"/>
    </row>
    <row r="3669" spans="7:24" ht="15" customHeight="1">
      <c r="G3669"/>
      <c r="I3669"/>
      <c r="N3669"/>
      <c r="O3669" s="24"/>
      <c r="P3669"/>
      <c r="Q3669" s="24"/>
      <c r="R3669"/>
      <c r="S3669"/>
      <c r="T3669"/>
      <c r="U3669"/>
      <c r="X3669" s="60"/>
    </row>
    <row r="3670" spans="7:24" ht="15" customHeight="1">
      <c r="G3670"/>
      <c r="I3670"/>
      <c r="N3670"/>
      <c r="O3670" s="24"/>
      <c r="P3670"/>
      <c r="Q3670" s="24"/>
      <c r="R3670"/>
      <c r="S3670"/>
      <c r="T3670"/>
      <c r="U3670"/>
      <c r="X3670" s="60"/>
    </row>
    <row r="3671" spans="7:24" ht="15" customHeight="1">
      <c r="G3671"/>
      <c r="I3671"/>
      <c r="N3671"/>
      <c r="O3671" s="24"/>
      <c r="P3671"/>
      <c r="Q3671" s="24"/>
      <c r="R3671"/>
      <c r="S3671"/>
      <c r="T3671"/>
      <c r="U3671"/>
      <c r="X3671" s="60"/>
    </row>
    <row r="3672" spans="7:24" ht="15" customHeight="1">
      <c r="G3672"/>
      <c r="I3672"/>
      <c r="N3672"/>
      <c r="O3672" s="24"/>
      <c r="P3672"/>
      <c r="Q3672" s="24"/>
      <c r="R3672"/>
      <c r="S3672"/>
      <c r="T3672"/>
      <c r="U3672"/>
      <c r="X3672" s="60"/>
    </row>
    <row r="3673" spans="7:24" ht="15" customHeight="1">
      <c r="G3673"/>
      <c r="I3673"/>
      <c r="N3673"/>
      <c r="O3673" s="24"/>
      <c r="P3673"/>
      <c r="Q3673" s="24"/>
      <c r="R3673"/>
      <c r="S3673"/>
      <c r="T3673"/>
      <c r="U3673"/>
      <c r="X3673" s="60"/>
    </row>
    <row r="3674" spans="7:24" ht="15" customHeight="1">
      <c r="G3674"/>
      <c r="I3674"/>
      <c r="N3674"/>
      <c r="O3674" s="24"/>
      <c r="P3674"/>
      <c r="Q3674" s="24"/>
      <c r="R3674"/>
      <c r="S3674"/>
      <c r="T3674"/>
      <c r="U3674"/>
      <c r="X3674" s="60"/>
    </row>
    <row r="3675" spans="7:24" ht="15" customHeight="1">
      <c r="G3675"/>
      <c r="I3675"/>
      <c r="N3675"/>
      <c r="O3675" s="24"/>
      <c r="P3675"/>
      <c r="Q3675" s="24"/>
      <c r="R3675"/>
      <c r="S3675"/>
      <c r="T3675"/>
      <c r="U3675"/>
      <c r="X3675" s="60"/>
    </row>
    <row r="3676" spans="7:24" ht="15" customHeight="1">
      <c r="G3676"/>
      <c r="I3676"/>
      <c r="N3676"/>
      <c r="O3676" s="24"/>
      <c r="P3676"/>
      <c r="Q3676" s="24"/>
      <c r="R3676"/>
      <c r="S3676"/>
      <c r="T3676"/>
      <c r="U3676"/>
      <c r="X3676" s="60"/>
    </row>
    <row r="3677" spans="7:24" ht="15" customHeight="1">
      <c r="G3677"/>
      <c r="I3677"/>
      <c r="N3677"/>
      <c r="O3677" s="24"/>
      <c r="P3677"/>
      <c r="Q3677" s="24"/>
      <c r="R3677"/>
      <c r="S3677"/>
      <c r="T3677"/>
      <c r="U3677"/>
      <c r="X3677" s="60"/>
    </row>
    <row r="3678" spans="7:24" ht="15" customHeight="1">
      <c r="G3678"/>
      <c r="I3678"/>
      <c r="N3678"/>
      <c r="O3678" s="24"/>
      <c r="P3678"/>
      <c r="Q3678" s="24"/>
      <c r="R3678"/>
      <c r="S3678"/>
      <c r="T3678"/>
      <c r="U3678"/>
      <c r="X3678" s="60"/>
    </row>
    <row r="3679" spans="7:24" ht="15" customHeight="1">
      <c r="G3679"/>
      <c r="I3679"/>
      <c r="N3679"/>
      <c r="O3679" s="24"/>
      <c r="P3679"/>
      <c r="Q3679" s="24"/>
      <c r="R3679"/>
      <c r="S3679"/>
      <c r="T3679"/>
      <c r="U3679"/>
      <c r="X3679" s="60"/>
    </row>
    <row r="3680" spans="7:24" ht="15" customHeight="1">
      <c r="G3680"/>
      <c r="I3680"/>
      <c r="N3680"/>
      <c r="O3680" s="24"/>
      <c r="P3680"/>
      <c r="Q3680" s="24"/>
      <c r="R3680"/>
      <c r="S3680"/>
      <c r="T3680"/>
      <c r="U3680"/>
      <c r="X3680" s="60"/>
    </row>
    <row r="3681" spans="7:24" ht="15" customHeight="1">
      <c r="G3681"/>
      <c r="I3681"/>
      <c r="N3681"/>
      <c r="O3681" s="24"/>
      <c r="P3681"/>
      <c r="Q3681" s="24"/>
      <c r="R3681"/>
      <c r="S3681"/>
      <c r="T3681"/>
      <c r="U3681"/>
      <c r="X3681" s="60"/>
    </row>
    <row r="3682" spans="7:24" ht="15" customHeight="1">
      <c r="G3682"/>
      <c r="I3682"/>
      <c r="N3682"/>
      <c r="O3682" s="24"/>
      <c r="P3682"/>
      <c r="Q3682" s="24"/>
      <c r="R3682"/>
      <c r="S3682"/>
      <c r="T3682"/>
      <c r="U3682"/>
      <c r="X3682" s="60"/>
    </row>
    <row r="3683" spans="7:24" ht="15" customHeight="1">
      <c r="G3683"/>
      <c r="I3683"/>
      <c r="N3683"/>
      <c r="O3683" s="24"/>
      <c r="P3683"/>
      <c r="Q3683" s="24"/>
      <c r="R3683"/>
      <c r="S3683"/>
      <c r="T3683"/>
      <c r="U3683"/>
      <c r="X3683" s="60"/>
    </row>
    <row r="3684" spans="7:24" ht="15" customHeight="1">
      <c r="G3684"/>
      <c r="I3684"/>
      <c r="N3684"/>
      <c r="O3684" s="24"/>
      <c r="P3684"/>
      <c r="Q3684" s="24"/>
      <c r="R3684"/>
      <c r="S3684"/>
      <c r="T3684"/>
      <c r="U3684"/>
      <c r="X3684" s="60"/>
    </row>
    <row r="3685" spans="7:24" ht="15" customHeight="1">
      <c r="G3685"/>
      <c r="I3685"/>
      <c r="N3685"/>
      <c r="O3685" s="24"/>
      <c r="P3685"/>
      <c r="Q3685" s="24"/>
      <c r="R3685"/>
      <c r="S3685"/>
      <c r="T3685"/>
      <c r="U3685"/>
      <c r="X3685" s="60"/>
    </row>
    <row r="3686" spans="7:24" ht="15" customHeight="1">
      <c r="G3686"/>
      <c r="I3686"/>
      <c r="N3686"/>
      <c r="O3686" s="24"/>
      <c r="P3686"/>
      <c r="Q3686" s="24"/>
      <c r="R3686"/>
      <c r="S3686"/>
      <c r="T3686"/>
      <c r="U3686"/>
      <c r="X3686" s="60"/>
    </row>
    <row r="3687" spans="7:24" ht="15" customHeight="1">
      <c r="G3687"/>
      <c r="I3687"/>
      <c r="N3687"/>
      <c r="O3687" s="24"/>
      <c r="P3687"/>
      <c r="Q3687" s="24"/>
      <c r="R3687"/>
      <c r="S3687"/>
      <c r="T3687"/>
      <c r="U3687"/>
      <c r="X3687" s="60"/>
    </row>
    <row r="3688" spans="7:24" ht="15" customHeight="1">
      <c r="G3688"/>
      <c r="I3688"/>
      <c r="N3688"/>
      <c r="O3688" s="24"/>
      <c r="P3688"/>
      <c r="Q3688" s="24"/>
      <c r="R3688"/>
      <c r="S3688"/>
      <c r="T3688"/>
      <c r="U3688"/>
      <c r="X3688" s="60"/>
    </row>
    <row r="3689" spans="7:24" ht="15" customHeight="1">
      <c r="G3689"/>
      <c r="I3689"/>
      <c r="N3689"/>
      <c r="O3689" s="24"/>
      <c r="P3689"/>
      <c r="Q3689" s="24"/>
      <c r="R3689"/>
      <c r="S3689"/>
      <c r="T3689"/>
      <c r="U3689"/>
      <c r="X3689" s="60"/>
    </row>
    <row r="3690" spans="7:24" ht="15" customHeight="1">
      <c r="G3690"/>
      <c r="I3690"/>
      <c r="N3690"/>
      <c r="O3690" s="24"/>
      <c r="P3690"/>
      <c r="Q3690" s="24"/>
      <c r="R3690"/>
      <c r="S3690"/>
      <c r="T3690"/>
      <c r="U3690"/>
      <c r="X3690" s="60"/>
    </row>
    <row r="3691" spans="7:24" ht="15" customHeight="1">
      <c r="G3691"/>
      <c r="I3691"/>
      <c r="N3691"/>
      <c r="O3691" s="24"/>
      <c r="P3691"/>
      <c r="Q3691" s="24"/>
      <c r="R3691"/>
      <c r="S3691"/>
      <c r="T3691"/>
      <c r="U3691"/>
      <c r="X3691" s="60"/>
    </row>
    <row r="3692" spans="7:24" ht="15" customHeight="1">
      <c r="G3692"/>
      <c r="I3692"/>
      <c r="N3692"/>
      <c r="O3692" s="24"/>
      <c r="P3692"/>
      <c r="Q3692" s="24"/>
      <c r="R3692"/>
      <c r="S3692"/>
      <c r="T3692"/>
      <c r="U3692"/>
      <c r="X3692" s="60"/>
    </row>
    <row r="3693" spans="7:24" ht="15" customHeight="1">
      <c r="G3693"/>
      <c r="I3693"/>
      <c r="N3693"/>
      <c r="O3693" s="24"/>
      <c r="P3693"/>
      <c r="Q3693" s="24"/>
      <c r="R3693"/>
      <c r="S3693"/>
      <c r="T3693"/>
      <c r="U3693"/>
      <c r="X3693" s="60"/>
    </row>
    <row r="3694" spans="7:24" ht="15" customHeight="1">
      <c r="G3694"/>
      <c r="I3694"/>
      <c r="N3694"/>
      <c r="O3694" s="24"/>
      <c r="P3694"/>
      <c r="Q3694" s="24"/>
      <c r="R3694"/>
      <c r="S3694"/>
      <c r="T3694"/>
      <c r="U3694"/>
      <c r="X3694" s="60"/>
    </row>
    <row r="3695" spans="7:24" ht="15" customHeight="1">
      <c r="G3695"/>
      <c r="I3695"/>
      <c r="N3695"/>
      <c r="O3695" s="24"/>
      <c r="P3695"/>
      <c r="Q3695" s="24"/>
      <c r="R3695"/>
      <c r="S3695"/>
      <c r="T3695"/>
      <c r="U3695"/>
      <c r="X3695" s="60"/>
    </row>
    <row r="3696" spans="7:24" ht="15" customHeight="1">
      <c r="G3696"/>
      <c r="I3696"/>
      <c r="N3696"/>
      <c r="O3696" s="24"/>
      <c r="P3696"/>
      <c r="Q3696" s="24"/>
      <c r="R3696"/>
      <c r="S3696"/>
      <c r="T3696"/>
      <c r="U3696"/>
      <c r="X3696" s="60"/>
    </row>
    <row r="3697" spans="7:24" ht="15" customHeight="1">
      <c r="G3697"/>
      <c r="I3697"/>
      <c r="N3697"/>
      <c r="O3697" s="24"/>
      <c r="P3697"/>
      <c r="Q3697" s="24"/>
      <c r="R3697"/>
      <c r="S3697"/>
      <c r="T3697"/>
      <c r="U3697"/>
      <c r="X3697" s="60"/>
    </row>
    <row r="3698" spans="7:24" ht="15" customHeight="1">
      <c r="G3698"/>
      <c r="I3698"/>
      <c r="N3698"/>
      <c r="O3698" s="24"/>
      <c r="P3698"/>
      <c r="Q3698" s="24"/>
      <c r="R3698"/>
      <c r="S3698"/>
      <c r="T3698"/>
      <c r="U3698"/>
      <c r="X3698" s="60"/>
    </row>
    <row r="3699" spans="7:24" ht="15" customHeight="1">
      <c r="G3699"/>
      <c r="I3699"/>
      <c r="N3699"/>
      <c r="O3699" s="24"/>
      <c r="P3699"/>
      <c r="Q3699" s="24"/>
      <c r="R3699"/>
      <c r="S3699"/>
      <c r="T3699"/>
      <c r="U3699"/>
      <c r="X3699" s="60"/>
    </row>
    <row r="3700" spans="7:24" ht="15" customHeight="1">
      <c r="G3700"/>
      <c r="I3700"/>
      <c r="N3700"/>
      <c r="O3700" s="24"/>
      <c r="P3700"/>
      <c r="Q3700" s="24"/>
      <c r="R3700"/>
      <c r="S3700"/>
      <c r="T3700"/>
      <c r="U3700"/>
      <c r="X3700" s="60"/>
    </row>
    <row r="3701" spans="7:24" ht="15" customHeight="1">
      <c r="G3701"/>
      <c r="I3701"/>
      <c r="N3701"/>
      <c r="O3701" s="24"/>
      <c r="P3701"/>
      <c r="Q3701" s="24"/>
      <c r="R3701"/>
      <c r="S3701"/>
      <c r="T3701"/>
      <c r="U3701"/>
      <c r="X3701" s="60"/>
    </row>
    <row r="3702" spans="7:24" ht="15" customHeight="1">
      <c r="G3702"/>
      <c r="I3702"/>
      <c r="N3702"/>
      <c r="O3702" s="24"/>
      <c r="P3702"/>
      <c r="Q3702" s="24"/>
      <c r="R3702"/>
      <c r="S3702"/>
      <c r="T3702"/>
      <c r="U3702"/>
      <c r="X3702" s="60"/>
    </row>
    <row r="3703" spans="7:24" ht="15" customHeight="1">
      <c r="G3703"/>
      <c r="I3703"/>
      <c r="N3703"/>
      <c r="O3703" s="24"/>
      <c r="P3703"/>
      <c r="Q3703" s="24"/>
      <c r="R3703"/>
      <c r="S3703"/>
      <c r="T3703"/>
      <c r="U3703"/>
      <c r="X3703" s="60"/>
    </row>
    <row r="3704" spans="7:24" ht="15" customHeight="1">
      <c r="G3704"/>
      <c r="I3704"/>
      <c r="N3704"/>
      <c r="O3704" s="24"/>
      <c r="P3704"/>
      <c r="Q3704" s="24"/>
      <c r="R3704"/>
      <c r="S3704"/>
      <c r="T3704"/>
      <c r="U3704"/>
      <c r="X3704" s="60"/>
    </row>
    <row r="3705" spans="7:24" ht="15" customHeight="1">
      <c r="G3705"/>
      <c r="I3705"/>
      <c r="N3705"/>
      <c r="O3705" s="24"/>
      <c r="P3705"/>
      <c r="Q3705" s="24"/>
      <c r="R3705"/>
      <c r="S3705"/>
      <c r="T3705"/>
      <c r="U3705"/>
      <c r="X3705" s="60"/>
    </row>
    <row r="3706" spans="7:24" ht="15" customHeight="1">
      <c r="G3706"/>
      <c r="I3706"/>
      <c r="N3706"/>
      <c r="O3706" s="24"/>
      <c r="P3706"/>
      <c r="Q3706" s="24"/>
      <c r="R3706"/>
      <c r="S3706"/>
      <c r="T3706"/>
      <c r="U3706"/>
      <c r="X3706" s="60"/>
    </row>
    <row r="3707" spans="7:24" ht="15" customHeight="1">
      <c r="G3707"/>
      <c r="I3707"/>
      <c r="N3707"/>
      <c r="O3707" s="24"/>
      <c r="P3707"/>
      <c r="Q3707" s="24"/>
      <c r="R3707"/>
      <c r="S3707"/>
      <c r="T3707"/>
      <c r="U3707"/>
      <c r="X3707" s="60"/>
    </row>
    <row r="3708" spans="7:24" ht="15" customHeight="1">
      <c r="G3708"/>
      <c r="I3708"/>
      <c r="N3708"/>
      <c r="O3708" s="24"/>
      <c r="P3708"/>
      <c r="Q3708" s="24"/>
      <c r="R3708"/>
      <c r="S3708"/>
      <c r="T3708"/>
      <c r="U3708"/>
      <c r="X3708" s="60"/>
    </row>
    <row r="3709" spans="7:24" ht="15" customHeight="1">
      <c r="G3709"/>
      <c r="I3709"/>
      <c r="N3709"/>
      <c r="O3709" s="24"/>
      <c r="P3709"/>
      <c r="Q3709" s="24"/>
      <c r="R3709"/>
      <c r="S3709"/>
      <c r="T3709"/>
      <c r="U3709"/>
      <c r="X3709" s="60"/>
    </row>
    <row r="3710" spans="7:24" ht="15" customHeight="1">
      <c r="G3710"/>
      <c r="I3710"/>
      <c r="N3710"/>
      <c r="O3710" s="24"/>
      <c r="P3710"/>
      <c r="Q3710" s="24"/>
      <c r="R3710"/>
      <c r="S3710"/>
      <c r="T3710"/>
      <c r="U3710"/>
      <c r="X3710" s="60"/>
    </row>
    <row r="3711" spans="7:24" ht="15" customHeight="1">
      <c r="G3711"/>
      <c r="I3711"/>
      <c r="N3711"/>
      <c r="O3711" s="24"/>
      <c r="P3711"/>
      <c r="Q3711" s="24"/>
      <c r="R3711"/>
      <c r="S3711"/>
      <c r="T3711"/>
      <c r="U3711"/>
      <c r="X3711" s="60"/>
    </row>
    <row r="3712" spans="7:24" ht="15" customHeight="1">
      <c r="G3712"/>
      <c r="I3712"/>
      <c r="N3712"/>
      <c r="O3712" s="24"/>
      <c r="P3712"/>
      <c r="Q3712" s="24"/>
      <c r="R3712"/>
      <c r="S3712"/>
      <c r="T3712"/>
      <c r="U3712"/>
      <c r="X3712" s="60"/>
    </row>
    <row r="3713" spans="7:24" ht="15" customHeight="1">
      <c r="G3713"/>
      <c r="I3713"/>
      <c r="N3713"/>
      <c r="O3713" s="24"/>
      <c r="P3713"/>
      <c r="Q3713" s="24"/>
      <c r="R3713"/>
      <c r="S3713"/>
      <c r="T3713"/>
      <c r="U3713"/>
      <c r="X3713" s="60"/>
    </row>
    <row r="3714" spans="7:24" ht="15" customHeight="1">
      <c r="G3714"/>
      <c r="I3714"/>
      <c r="N3714"/>
      <c r="O3714" s="24"/>
      <c r="P3714"/>
      <c r="Q3714" s="24"/>
      <c r="R3714"/>
      <c r="S3714"/>
      <c r="T3714"/>
      <c r="U3714"/>
      <c r="X3714" s="60"/>
    </row>
    <row r="3715" spans="7:24" ht="15" customHeight="1">
      <c r="G3715"/>
      <c r="I3715"/>
      <c r="N3715"/>
      <c r="O3715" s="24"/>
      <c r="P3715"/>
      <c r="Q3715" s="24"/>
      <c r="R3715"/>
      <c r="S3715"/>
      <c r="T3715"/>
      <c r="U3715"/>
      <c r="X3715" s="60"/>
    </row>
    <row r="3716" spans="7:24" ht="15" customHeight="1">
      <c r="G3716"/>
      <c r="I3716"/>
      <c r="N3716"/>
      <c r="O3716" s="24"/>
      <c r="P3716"/>
      <c r="Q3716" s="24"/>
      <c r="R3716"/>
      <c r="S3716"/>
      <c r="T3716"/>
      <c r="U3716"/>
      <c r="X3716" s="60"/>
    </row>
    <row r="3717" spans="7:24" ht="15" customHeight="1">
      <c r="G3717"/>
      <c r="I3717"/>
      <c r="N3717"/>
      <c r="O3717" s="24"/>
      <c r="P3717"/>
      <c r="Q3717" s="24"/>
      <c r="R3717"/>
      <c r="S3717"/>
      <c r="T3717"/>
      <c r="U3717"/>
      <c r="X3717" s="60"/>
    </row>
    <row r="3718" spans="7:24" ht="15" customHeight="1">
      <c r="G3718"/>
      <c r="I3718"/>
      <c r="N3718"/>
      <c r="O3718" s="24"/>
      <c r="P3718"/>
      <c r="Q3718" s="24"/>
      <c r="R3718"/>
      <c r="S3718"/>
      <c r="T3718"/>
      <c r="U3718"/>
      <c r="X3718" s="60"/>
    </row>
    <row r="3719" spans="7:24" ht="15" customHeight="1">
      <c r="G3719"/>
      <c r="I3719"/>
      <c r="N3719"/>
      <c r="O3719" s="24"/>
      <c r="P3719"/>
      <c r="Q3719" s="24"/>
      <c r="R3719"/>
      <c r="S3719"/>
      <c r="T3719"/>
      <c r="U3719"/>
      <c r="X3719" s="60"/>
    </row>
    <row r="3720" spans="7:24" ht="15" customHeight="1">
      <c r="G3720"/>
      <c r="I3720"/>
      <c r="N3720"/>
      <c r="O3720" s="24"/>
      <c r="P3720"/>
      <c r="Q3720" s="24"/>
      <c r="R3720"/>
      <c r="S3720"/>
      <c r="T3720"/>
      <c r="U3720"/>
      <c r="X3720" s="60"/>
    </row>
    <row r="3721" spans="7:24" ht="15" customHeight="1">
      <c r="G3721"/>
      <c r="I3721"/>
      <c r="N3721"/>
      <c r="O3721" s="24"/>
      <c r="P3721"/>
      <c r="Q3721" s="24"/>
      <c r="R3721"/>
      <c r="S3721"/>
      <c r="T3721"/>
      <c r="U3721"/>
      <c r="X3721" s="60"/>
    </row>
    <row r="3722" spans="7:24" ht="15" customHeight="1">
      <c r="G3722"/>
      <c r="I3722"/>
      <c r="N3722"/>
      <c r="O3722" s="24"/>
      <c r="P3722"/>
      <c r="Q3722" s="24"/>
      <c r="R3722"/>
      <c r="S3722"/>
      <c r="T3722"/>
      <c r="U3722"/>
      <c r="X3722" s="60"/>
    </row>
    <row r="3723" spans="7:24" ht="15" customHeight="1">
      <c r="G3723"/>
      <c r="I3723"/>
      <c r="N3723"/>
      <c r="O3723" s="24"/>
      <c r="P3723"/>
      <c r="Q3723" s="24"/>
      <c r="R3723"/>
      <c r="S3723"/>
      <c r="T3723"/>
      <c r="U3723"/>
      <c r="X3723" s="60"/>
    </row>
    <row r="3724" spans="7:24" ht="15" customHeight="1">
      <c r="G3724"/>
      <c r="I3724"/>
      <c r="N3724"/>
      <c r="O3724" s="24"/>
      <c r="P3724"/>
      <c r="Q3724" s="24"/>
      <c r="R3724"/>
      <c r="S3724"/>
      <c r="T3724"/>
      <c r="U3724"/>
      <c r="X3724" s="60"/>
    </row>
    <row r="3725" spans="7:24" ht="15" customHeight="1">
      <c r="G3725"/>
      <c r="I3725"/>
      <c r="N3725"/>
      <c r="O3725" s="24"/>
      <c r="P3725"/>
      <c r="Q3725" s="24"/>
      <c r="R3725"/>
      <c r="S3725"/>
      <c r="T3725"/>
      <c r="U3725"/>
      <c r="X3725" s="60"/>
    </row>
    <row r="3726" spans="7:24" ht="15" customHeight="1">
      <c r="G3726"/>
      <c r="I3726"/>
      <c r="N3726"/>
      <c r="O3726" s="24"/>
      <c r="P3726"/>
      <c r="Q3726" s="24"/>
      <c r="R3726"/>
      <c r="S3726"/>
      <c r="T3726"/>
      <c r="U3726"/>
      <c r="X3726" s="60"/>
    </row>
    <row r="3727" spans="7:24" ht="15" customHeight="1">
      <c r="G3727"/>
      <c r="I3727"/>
      <c r="N3727"/>
      <c r="O3727" s="24"/>
      <c r="P3727"/>
      <c r="Q3727" s="24"/>
      <c r="R3727"/>
      <c r="S3727"/>
      <c r="T3727"/>
      <c r="U3727"/>
      <c r="X3727" s="60"/>
    </row>
    <row r="3728" spans="7:24" ht="15" customHeight="1">
      <c r="G3728"/>
      <c r="I3728"/>
      <c r="N3728"/>
      <c r="O3728" s="24"/>
      <c r="P3728"/>
      <c r="Q3728" s="24"/>
      <c r="R3728"/>
      <c r="S3728"/>
      <c r="T3728"/>
      <c r="U3728"/>
      <c r="X3728" s="60"/>
    </row>
    <row r="3729" spans="7:24" ht="15" customHeight="1">
      <c r="G3729"/>
      <c r="I3729"/>
      <c r="N3729"/>
      <c r="O3729" s="24"/>
      <c r="P3729"/>
      <c r="Q3729" s="24"/>
      <c r="R3729"/>
      <c r="S3729"/>
      <c r="T3729"/>
      <c r="U3729"/>
      <c r="X3729" s="60"/>
    </row>
    <row r="3730" spans="7:24" ht="15" customHeight="1">
      <c r="G3730"/>
      <c r="I3730"/>
      <c r="N3730"/>
      <c r="O3730" s="24"/>
      <c r="P3730"/>
      <c r="Q3730" s="24"/>
      <c r="R3730"/>
      <c r="S3730"/>
      <c r="T3730"/>
      <c r="U3730"/>
      <c r="X3730" s="60"/>
    </row>
    <row r="3731" spans="7:24" ht="15" customHeight="1">
      <c r="G3731"/>
      <c r="I3731"/>
      <c r="N3731"/>
      <c r="O3731" s="24"/>
      <c r="P3731"/>
      <c r="Q3731" s="24"/>
      <c r="R3731"/>
      <c r="S3731"/>
      <c r="T3731"/>
      <c r="U3731"/>
      <c r="X3731" s="60"/>
    </row>
    <row r="3732" spans="7:24" ht="15" customHeight="1">
      <c r="G3732"/>
      <c r="I3732"/>
      <c r="N3732"/>
      <c r="O3732" s="24"/>
      <c r="P3732"/>
      <c r="Q3732" s="24"/>
      <c r="R3732"/>
      <c r="S3732"/>
      <c r="T3732"/>
      <c r="U3732"/>
      <c r="X3732" s="60"/>
    </row>
    <row r="3733" spans="7:24" ht="15" customHeight="1">
      <c r="G3733"/>
      <c r="I3733"/>
      <c r="N3733"/>
      <c r="O3733" s="24"/>
      <c r="P3733"/>
      <c r="Q3733" s="24"/>
      <c r="R3733"/>
      <c r="S3733"/>
      <c r="T3733"/>
      <c r="U3733"/>
      <c r="X3733" s="60"/>
    </row>
    <row r="3734" spans="7:24" ht="15" customHeight="1">
      <c r="G3734"/>
      <c r="I3734"/>
      <c r="N3734"/>
      <c r="O3734" s="24"/>
      <c r="P3734"/>
      <c r="Q3734" s="24"/>
      <c r="R3734"/>
      <c r="S3734"/>
      <c r="T3734"/>
      <c r="U3734"/>
      <c r="X3734" s="60"/>
    </row>
    <row r="3735" spans="7:24" ht="15" customHeight="1">
      <c r="G3735"/>
      <c r="I3735"/>
      <c r="N3735"/>
      <c r="O3735" s="24"/>
      <c r="P3735"/>
      <c r="Q3735" s="24"/>
      <c r="R3735"/>
      <c r="S3735"/>
      <c r="T3735"/>
      <c r="U3735"/>
      <c r="X3735" s="60"/>
    </row>
    <row r="3736" spans="7:24" ht="15" customHeight="1">
      <c r="G3736"/>
      <c r="I3736"/>
      <c r="N3736"/>
      <c r="O3736" s="24"/>
      <c r="P3736"/>
      <c r="Q3736" s="24"/>
      <c r="R3736"/>
      <c r="S3736"/>
      <c r="T3736"/>
      <c r="U3736"/>
      <c r="X3736" s="60"/>
    </row>
    <row r="3737" spans="7:24" ht="15" customHeight="1">
      <c r="G3737"/>
      <c r="I3737"/>
      <c r="N3737"/>
      <c r="O3737" s="24"/>
      <c r="P3737"/>
      <c r="Q3737" s="24"/>
      <c r="R3737"/>
      <c r="S3737"/>
      <c r="T3737"/>
      <c r="U3737"/>
      <c r="X3737" s="60"/>
    </row>
    <row r="3738" spans="7:24" ht="15" customHeight="1">
      <c r="G3738"/>
      <c r="I3738"/>
      <c r="N3738"/>
      <c r="O3738" s="24"/>
      <c r="P3738"/>
      <c r="Q3738" s="24"/>
      <c r="R3738"/>
      <c r="S3738"/>
      <c r="T3738"/>
      <c r="U3738"/>
      <c r="X3738" s="60"/>
    </row>
    <row r="3739" spans="7:24" ht="15" customHeight="1">
      <c r="G3739"/>
      <c r="I3739"/>
      <c r="N3739"/>
      <c r="O3739" s="24"/>
      <c r="P3739"/>
      <c r="Q3739" s="24"/>
      <c r="R3739"/>
      <c r="S3739"/>
      <c r="T3739"/>
      <c r="U3739"/>
      <c r="X3739" s="60"/>
    </row>
    <row r="3740" spans="7:24" ht="15" customHeight="1">
      <c r="G3740"/>
      <c r="I3740"/>
      <c r="N3740"/>
      <c r="O3740" s="24"/>
      <c r="P3740"/>
      <c r="Q3740" s="24"/>
      <c r="R3740"/>
      <c r="S3740"/>
      <c r="T3740"/>
      <c r="U3740"/>
      <c r="X3740" s="60"/>
    </row>
    <row r="3741" spans="7:24" ht="15" customHeight="1">
      <c r="G3741"/>
      <c r="I3741"/>
      <c r="N3741"/>
      <c r="O3741" s="24"/>
      <c r="P3741"/>
      <c r="Q3741" s="24"/>
      <c r="R3741"/>
      <c r="S3741"/>
      <c r="T3741"/>
      <c r="U3741"/>
      <c r="X3741" s="60"/>
    </row>
    <row r="3742" spans="7:24" ht="15" customHeight="1">
      <c r="G3742"/>
      <c r="I3742"/>
      <c r="N3742"/>
      <c r="O3742" s="24"/>
      <c r="P3742"/>
      <c r="Q3742" s="24"/>
      <c r="R3742"/>
      <c r="S3742"/>
      <c r="T3742"/>
      <c r="U3742"/>
      <c r="X3742" s="60"/>
    </row>
    <row r="3743" spans="7:24" ht="15" customHeight="1">
      <c r="G3743"/>
      <c r="I3743"/>
      <c r="N3743"/>
      <c r="O3743" s="24"/>
      <c r="P3743"/>
      <c r="Q3743" s="24"/>
      <c r="R3743"/>
      <c r="S3743"/>
      <c r="T3743"/>
      <c r="U3743"/>
      <c r="X3743" s="60"/>
    </row>
    <row r="3744" spans="7:24" ht="15" customHeight="1">
      <c r="G3744"/>
      <c r="I3744"/>
      <c r="N3744"/>
      <c r="O3744" s="24"/>
      <c r="P3744"/>
      <c r="Q3744" s="24"/>
      <c r="R3744"/>
      <c r="S3744"/>
      <c r="T3744"/>
      <c r="U3744"/>
      <c r="X3744" s="60"/>
    </row>
    <row r="3745" spans="7:24" ht="15" customHeight="1">
      <c r="G3745"/>
      <c r="I3745"/>
      <c r="N3745"/>
      <c r="O3745" s="24"/>
      <c r="P3745"/>
      <c r="Q3745" s="24"/>
      <c r="R3745"/>
      <c r="S3745"/>
      <c r="T3745"/>
      <c r="U3745"/>
      <c r="X3745" s="60"/>
    </row>
    <row r="3746" spans="7:24" ht="15" customHeight="1">
      <c r="G3746"/>
      <c r="I3746"/>
      <c r="N3746"/>
      <c r="O3746" s="24"/>
      <c r="P3746"/>
      <c r="Q3746" s="24"/>
      <c r="R3746"/>
      <c r="S3746"/>
      <c r="T3746"/>
      <c r="U3746"/>
      <c r="X3746" s="60"/>
    </row>
    <row r="3747" spans="7:24" ht="15" customHeight="1">
      <c r="G3747"/>
      <c r="I3747"/>
      <c r="N3747"/>
      <c r="O3747" s="24"/>
      <c r="P3747"/>
      <c r="Q3747" s="24"/>
      <c r="R3747"/>
      <c r="S3747"/>
      <c r="T3747"/>
      <c r="U3747"/>
      <c r="X3747" s="60"/>
    </row>
    <row r="3748" spans="7:24" ht="15" customHeight="1">
      <c r="G3748"/>
      <c r="I3748"/>
      <c r="N3748"/>
      <c r="O3748" s="24"/>
      <c r="P3748"/>
      <c r="Q3748" s="24"/>
      <c r="R3748"/>
      <c r="S3748"/>
      <c r="T3748"/>
      <c r="U3748"/>
      <c r="X3748" s="60"/>
    </row>
    <row r="3749" spans="7:24" ht="15" customHeight="1">
      <c r="G3749"/>
      <c r="I3749"/>
      <c r="N3749"/>
      <c r="O3749" s="24"/>
      <c r="P3749"/>
      <c r="Q3749" s="24"/>
      <c r="R3749"/>
      <c r="S3749"/>
      <c r="T3749"/>
      <c r="U3749"/>
      <c r="X3749" s="60"/>
    </row>
    <row r="3750" spans="7:24" ht="15" customHeight="1">
      <c r="G3750"/>
      <c r="I3750"/>
      <c r="N3750"/>
      <c r="O3750" s="24"/>
      <c r="P3750"/>
      <c r="Q3750" s="24"/>
      <c r="R3750"/>
      <c r="S3750"/>
      <c r="T3750"/>
      <c r="U3750"/>
      <c r="X3750" s="60"/>
    </row>
    <row r="3751" spans="7:24" ht="15" customHeight="1">
      <c r="G3751"/>
      <c r="I3751"/>
      <c r="N3751"/>
      <c r="O3751" s="24"/>
      <c r="P3751"/>
      <c r="Q3751" s="24"/>
      <c r="R3751"/>
      <c r="S3751"/>
      <c r="T3751"/>
      <c r="U3751"/>
      <c r="X3751" s="60"/>
    </row>
    <row r="3752" spans="7:24" ht="15" customHeight="1">
      <c r="G3752"/>
      <c r="I3752"/>
      <c r="N3752"/>
      <c r="O3752" s="24"/>
      <c r="P3752"/>
      <c r="Q3752" s="24"/>
      <c r="R3752"/>
      <c r="S3752"/>
      <c r="T3752"/>
      <c r="U3752"/>
      <c r="X3752" s="60"/>
    </row>
    <row r="3753" spans="7:24" ht="15" customHeight="1">
      <c r="G3753"/>
      <c r="I3753"/>
      <c r="N3753"/>
      <c r="O3753" s="24"/>
      <c r="P3753"/>
      <c r="Q3753" s="24"/>
      <c r="R3753"/>
      <c r="S3753"/>
      <c r="T3753"/>
      <c r="U3753"/>
      <c r="X3753" s="60"/>
    </row>
    <row r="3754" spans="7:24" ht="15" customHeight="1">
      <c r="G3754"/>
      <c r="I3754"/>
      <c r="N3754"/>
      <c r="O3754" s="24"/>
      <c r="P3754"/>
      <c r="Q3754" s="24"/>
      <c r="R3754"/>
      <c r="S3754"/>
      <c r="T3754"/>
      <c r="U3754"/>
      <c r="X3754" s="60"/>
    </row>
    <row r="3755" spans="7:24" ht="15" customHeight="1">
      <c r="G3755"/>
      <c r="I3755"/>
      <c r="N3755"/>
      <c r="O3755" s="24"/>
      <c r="P3755"/>
      <c r="Q3755" s="24"/>
      <c r="R3755"/>
      <c r="S3755"/>
      <c r="T3755"/>
      <c r="U3755"/>
      <c r="X3755" s="60"/>
    </row>
    <row r="3756" spans="7:24" ht="15" customHeight="1">
      <c r="G3756"/>
      <c r="I3756"/>
      <c r="N3756"/>
      <c r="O3756" s="24"/>
      <c r="P3756"/>
      <c r="Q3756" s="24"/>
      <c r="R3756"/>
      <c r="S3756"/>
      <c r="T3756"/>
      <c r="U3756"/>
      <c r="X3756" s="60"/>
    </row>
    <row r="3757" spans="7:24" ht="15" customHeight="1">
      <c r="G3757"/>
      <c r="I3757"/>
      <c r="N3757"/>
      <c r="O3757" s="24"/>
      <c r="P3757"/>
      <c r="Q3757" s="24"/>
      <c r="R3757"/>
      <c r="S3757"/>
      <c r="T3757"/>
      <c r="U3757"/>
      <c r="X3757" s="60"/>
    </row>
    <row r="3758" spans="7:24" ht="15" customHeight="1">
      <c r="G3758"/>
      <c r="I3758"/>
      <c r="N3758"/>
      <c r="O3758" s="24"/>
      <c r="P3758"/>
      <c r="Q3758" s="24"/>
      <c r="R3758"/>
      <c r="S3758"/>
      <c r="T3758"/>
      <c r="U3758"/>
      <c r="X3758" s="60"/>
    </row>
    <row r="3759" spans="7:24" ht="15" customHeight="1">
      <c r="G3759"/>
      <c r="I3759"/>
      <c r="N3759"/>
      <c r="O3759" s="24"/>
      <c r="P3759"/>
      <c r="Q3759" s="24"/>
      <c r="R3759"/>
      <c r="S3759"/>
      <c r="T3759"/>
      <c r="U3759"/>
      <c r="X3759" s="60"/>
    </row>
    <row r="3760" spans="7:24" ht="15" customHeight="1">
      <c r="G3760"/>
      <c r="I3760"/>
      <c r="N3760"/>
      <c r="O3760" s="24"/>
      <c r="P3760"/>
      <c r="Q3760" s="24"/>
      <c r="R3760"/>
      <c r="S3760"/>
      <c r="T3760"/>
      <c r="U3760"/>
      <c r="X3760" s="60"/>
    </row>
    <row r="3761" spans="7:24" ht="15" customHeight="1">
      <c r="G3761"/>
      <c r="I3761"/>
      <c r="N3761"/>
      <c r="O3761" s="24"/>
      <c r="P3761"/>
      <c r="Q3761" s="24"/>
      <c r="R3761"/>
      <c r="S3761"/>
      <c r="T3761"/>
      <c r="U3761"/>
      <c r="X3761" s="60"/>
    </row>
    <row r="3762" spans="7:24" ht="15" customHeight="1">
      <c r="G3762"/>
      <c r="I3762"/>
      <c r="N3762"/>
      <c r="O3762" s="24"/>
      <c r="P3762"/>
      <c r="Q3762" s="24"/>
      <c r="R3762"/>
      <c r="S3762"/>
      <c r="T3762"/>
      <c r="U3762"/>
      <c r="X3762" s="60"/>
    </row>
    <row r="3763" spans="7:24" ht="15" customHeight="1">
      <c r="G3763"/>
      <c r="I3763"/>
      <c r="N3763"/>
      <c r="O3763" s="24"/>
      <c r="P3763"/>
      <c r="Q3763" s="24"/>
      <c r="R3763"/>
      <c r="S3763"/>
      <c r="T3763"/>
      <c r="U3763"/>
      <c r="X3763" s="60"/>
    </row>
    <row r="3764" spans="7:24" ht="15" customHeight="1">
      <c r="G3764"/>
      <c r="I3764"/>
      <c r="N3764"/>
      <c r="O3764" s="24"/>
      <c r="P3764"/>
      <c r="Q3764" s="24"/>
      <c r="R3764"/>
      <c r="S3764"/>
      <c r="T3764"/>
      <c r="U3764"/>
      <c r="X3764" s="60"/>
    </row>
    <row r="3765" spans="7:24" ht="15" customHeight="1">
      <c r="G3765"/>
      <c r="I3765"/>
      <c r="N3765"/>
      <c r="O3765" s="24"/>
      <c r="P3765"/>
      <c r="Q3765" s="24"/>
      <c r="R3765"/>
      <c r="S3765"/>
      <c r="T3765"/>
      <c r="U3765"/>
      <c r="X3765" s="60"/>
    </row>
    <row r="3766" spans="7:24" ht="15" customHeight="1">
      <c r="G3766"/>
      <c r="I3766"/>
      <c r="N3766"/>
      <c r="O3766" s="24"/>
      <c r="P3766"/>
      <c r="Q3766" s="24"/>
      <c r="R3766"/>
      <c r="S3766"/>
      <c r="T3766"/>
      <c r="U3766"/>
      <c r="X3766" s="60"/>
    </row>
    <row r="3767" spans="7:24" ht="15" customHeight="1">
      <c r="G3767"/>
      <c r="I3767"/>
      <c r="N3767"/>
      <c r="O3767" s="24"/>
      <c r="P3767"/>
      <c r="Q3767" s="24"/>
      <c r="R3767"/>
      <c r="S3767"/>
      <c r="T3767"/>
      <c r="U3767"/>
      <c r="X3767" s="60"/>
    </row>
    <row r="3768" spans="7:24" ht="15" customHeight="1">
      <c r="G3768"/>
      <c r="I3768"/>
      <c r="N3768"/>
      <c r="O3768" s="24"/>
      <c r="P3768"/>
      <c r="Q3768" s="24"/>
      <c r="R3768"/>
      <c r="S3768"/>
      <c r="T3768"/>
      <c r="U3768"/>
      <c r="X3768" s="60"/>
    </row>
    <row r="3769" spans="7:24" ht="15" customHeight="1">
      <c r="G3769"/>
      <c r="I3769"/>
      <c r="N3769"/>
      <c r="O3769" s="24"/>
      <c r="P3769"/>
      <c r="Q3769" s="24"/>
      <c r="R3769"/>
      <c r="S3769"/>
      <c r="T3769"/>
      <c r="U3769"/>
      <c r="X3769" s="60"/>
    </row>
    <row r="3770" spans="7:24" ht="15" customHeight="1">
      <c r="G3770"/>
      <c r="I3770"/>
      <c r="N3770"/>
      <c r="O3770" s="24"/>
      <c r="P3770"/>
      <c r="Q3770" s="24"/>
      <c r="R3770"/>
      <c r="S3770"/>
      <c r="T3770"/>
      <c r="U3770"/>
      <c r="X3770" s="60"/>
    </row>
    <row r="3771" spans="7:24" ht="15" customHeight="1">
      <c r="G3771"/>
      <c r="I3771"/>
      <c r="N3771"/>
      <c r="O3771" s="24"/>
      <c r="P3771"/>
      <c r="Q3771" s="24"/>
      <c r="R3771"/>
      <c r="S3771"/>
      <c r="T3771"/>
      <c r="U3771"/>
      <c r="X3771" s="60"/>
    </row>
    <row r="3772" spans="7:24" ht="15" customHeight="1">
      <c r="G3772"/>
      <c r="I3772"/>
      <c r="N3772"/>
      <c r="O3772" s="24"/>
      <c r="P3772"/>
      <c r="Q3772" s="24"/>
      <c r="R3772"/>
      <c r="S3772"/>
      <c r="T3772"/>
      <c r="U3772"/>
      <c r="X3772" s="60"/>
    </row>
    <row r="3773" spans="7:24" ht="15" customHeight="1">
      <c r="G3773"/>
      <c r="I3773"/>
      <c r="N3773"/>
      <c r="O3773" s="24"/>
      <c r="P3773"/>
      <c r="Q3773" s="24"/>
      <c r="R3773"/>
      <c r="S3773"/>
      <c r="T3773"/>
      <c r="U3773"/>
      <c r="X3773" s="60"/>
    </row>
    <row r="3774" spans="7:24" ht="15" customHeight="1">
      <c r="G3774"/>
      <c r="I3774"/>
      <c r="N3774"/>
      <c r="O3774" s="24"/>
      <c r="P3774"/>
      <c r="Q3774" s="24"/>
      <c r="R3774"/>
      <c r="S3774"/>
      <c r="T3774"/>
      <c r="U3774"/>
      <c r="X3774" s="60"/>
    </row>
    <row r="3775" spans="7:24" ht="15" customHeight="1">
      <c r="G3775"/>
      <c r="I3775"/>
      <c r="N3775"/>
      <c r="O3775" s="24"/>
      <c r="P3775"/>
      <c r="Q3775" s="24"/>
      <c r="R3775"/>
      <c r="S3775"/>
      <c r="T3775"/>
      <c r="U3775"/>
      <c r="X3775" s="60"/>
    </row>
    <row r="3776" spans="7:24" ht="15" customHeight="1">
      <c r="G3776"/>
      <c r="I3776"/>
      <c r="N3776"/>
      <c r="O3776" s="24"/>
      <c r="P3776"/>
      <c r="Q3776" s="24"/>
      <c r="R3776"/>
      <c r="S3776"/>
      <c r="T3776"/>
      <c r="U3776"/>
      <c r="X3776" s="60"/>
    </row>
    <row r="3777" spans="7:24" ht="15" customHeight="1">
      <c r="G3777"/>
      <c r="I3777"/>
      <c r="N3777"/>
      <c r="O3777" s="24"/>
      <c r="P3777"/>
      <c r="Q3777" s="24"/>
      <c r="R3777"/>
      <c r="S3777"/>
      <c r="T3777"/>
      <c r="U3777"/>
      <c r="X3777" s="60"/>
    </row>
    <row r="3778" spans="7:24" ht="15" customHeight="1">
      <c r="G3778"/>
      <c r="I3778"/>
      <c r="N3778"/>
      <c r="O3778" s="24"/>
      <c r="P3778"/>
      <c r="Q3778" s="24"/>
      <c r="R3778"/>
      <c r="S3778"/>
      <c r="T3778"/>
      <c r="U3778"/>
      <c r="X3778" s="60"/>
    </row>
    <row r="3779" spans="7:24" ht="15" customHeight="1">
      <c r="G3779"/>
      <c r="I3779"/>
      <c r="N3779"/>
      <c r="O3779" s="24"/>
      <c r="P3779"/>
      <c r="Q3779" s="24"/>
      <c r="R3779"/>
      <c r="S3779"/>
      <c r="T3779"/>
      <c r="U3779"/>
      <c r="X3779" s="60"/>
    </row>
    <row r="3780" spans="7:24" ht="15" customHeight="1">
      <c r="G3780"/>
      <c r="I3780"/>
      <c r="N3780"/>
      <c r="O3780" s="24"/>
      <c r="P3780"/>
      <c r="Q3780" s="24"/>
      <c r="R3780"/>
      <c r="S3780"/>
      <c r="T3780"/>
      <c r="U3780"/>
      <c r="X3780" s="60"/>
    </row>
    <row r="3781" spans="7:24" ht="15" customHeight="1">
      <c r="G3781"/>
      <c r="I3781"/>
      <c r="N3781"/>
      <c r="O3781" s="24"/>
      <c r="P3781"/>
      <c r="Q3781" s="24"/>
      <c r="R3781"/>
      <c r="S3781"/>
      <c r="T3781"/>
      <c r="U3781"/>
      <c r="X3781" s="60"/>
    </row>
    <row r="3782" spans="7:24" ht="15" customHeight="1">
      <c r="G3782"/>
      <c r="I3782"/>
      <c r="N3782"/>
      <c r="O3782" s="24"/>
      <c r="P3782"/>
      <c r="Q3782" s="24"/>
      <c r="R3782"/>
      <c r="S3782"/>
      <c r="T3782"/>
      <c r="U3782"/>
      <c r="X3782" s="60"/>
    </row>
    <row r="3783" spans="7:24" ht="15" customHeight="1">
      <c r="G3783"/>
      <c r="I3783"/>
      <c r="N3783"/>
      <c r="O3783" s="24"/>
      <c r="P3783"/>
      <c r="Q3783" s="24"/>
      <c r="R3783"/>
      <c r="S3783"/>
      <c r="T3783"/>
      <c r="U3783"/>
      <c r="X3783" s="60"/>
    </row>
    <row r="3784" spans="7:24" ht="15" customHeight="1">
      <c r="G3784"/>
      <c r="I3784"/>
      <c r="N3784"/>
      <c r="O3784" s="24"/>
      <c r="P3784"/>
      <c r="Q3784" s="24"/>
      <c r="R3784"/>
      <c r="S3784"/>
      <c r="T3784"/>
      <c r="U3784"/>
      <c r="X3784" s="60"/>
    </row>
    <row r="3785" spans="7:24" ht="15" customHeight="1">
      <c r="G3785"/>
      <c r="I3785"/>
      <c r="N3785"/>
      <c r="O3785" s="24"/>
      <c r="P3785"/>
      <c r="Q3785" s="24"/>
      <c r="R3785"/>
      <c r="S3785"/>
      <c r="T3785"/>
      <c r="U3785"/>
      <c r="X3785" s="60"/>
    </row>
    <row r="3786" spans="7:24" ht="15" customHeight="1">
      <c r="G3786"/>
      <c r="I3786"/>
      <c r="N3786"/>
      <c r="O3786" s="24"/>
      <c r="P3786"/>
      <c r="Q3786" s="24"/>
      <c r="R3786"/>
      <c r="S3786"/>
      <c r="T3786"/>
      <c r="U3786"/>
      <c r="X3786" s="60"/>
    </row>
    <row r="3787" spans="7:24" ht="15" customHeight="1">
      <c r="G3787"/>
      <c r="I3787"/>
      <c r="N3787"/>
      <c r="O3787" s="24"/>
      <c r="P3787"/>
      <c r="Q3787" s="24"/>
      <c r="R3787"/>
      <c r="S3787"/>
      <c r="T3787"/>
      <c r="U3787"/>
      <c r="X3787" s="60"/>
    </row>
    <row r="3788" spans="7:24" ht="15" customHeight="1">
      <c r="G3788"/>
      <c r="I3788"/>
      <c r="N3788"/>
      <c r="O3788" s="24"/>
      <c r="P3788"/>
      <c r="Q3788" s="24"/>
      <c r="R3788"/>
      <c r="S3788"/>
      <c r="T3788"/>
      <c r="U3788"/>
      <c r="X3788" s="60"/>
    </row>
    <row r="3789" spans="7:24" ht="15" customHeight="1">
      <c r="G3789"/>
      <c r="I3789"/>
      <c r="N3789"/>
      <c r="O3789" s="24"/>
      <c r="P3789"/>
      <c r="Q3789" s="24"/>
      <c r="R3789"/>
      <c r="S3789"/>
      <c r="T3789"/>
      <c r="U3789"/>
      <c r="X3789" s="60"/>
    </row>
    <row r="3790" spans="7:24" ht="15" customHeight="1">
      <c r="G3790"/>
      <c r="I3790"/>
      <c r="N3790"/>
      <c r="O3790" s="24"/>
      <c r="P3790"/>
      <c r="Q3790" s="24"/>
      <c r="R3790"/>
      <c r="S3790"/>
      <c r="T3790"/>
      <c r="U3790"/>
      <c r="X3790" s="60"/>
    </row>
    <row r="3791" spans="7:24" ht="15" customHeight="1">
      <c r="G3791"/>
      <c r="I3791"/>
      <c r="N3791"/>
      <c r="O3791" s="24"/>
      <c r="P3791"/>
      <c r="Q3791" s="24"/>
      <c r="R3791"/>
      <c r="S3791"/>
      <c r="T3791"/>
      <c r="U3791"/>
      <c r="X3791" s="60"/>
    </row>
    <row r="3792" spans="7:24" ht="15" customHeight="1">
      <c r="G3792"/>
      <c r="I3792"/>
      <c r="N3792"/>
      <c r="O3792" s="24"/>
      <c r="P3792"/>
      <c r="Q3792" s="24"/>
      <c r="R3792"/>
      <c r="S3792"/>
      <c r="T3792"/>
      <c r="U3792"/>
      <c r="X3792" s="60"/>
    </row>
    <row r="3793" spans="7:24" ht="15" customHeight="1">
      <c r="G3793"/>
      <c r="I3793"/>
      <c r="N3793"/>
      <c r="O3793" s="24"/>
      <c r="P3793"/>
      <c r="Q3793" s="24"/>
      <c r="R3793"/>
      <c r="S3793"/>
      <c r="T3793"/>
      <c r="U3793"/>
      <c r="X3793" s="60"/>
    </row>
    <row r="3794" spans="7:24" ht="15" customHeight="1">
      <c r="G3794"/>
      <c r="I3794"/>
      <c r="N3794"/>
      <c r="O3794" s="24"/>
      <c r="P3794"/>
      <c r="Q3794" s="24"/>
      <c r="R3794"/>
      <c r="S3794"/>
      <c r="T3794"/>
      <c r="U3794"/>
      <c r="X3794" s="60"/>
    </row>
    <row r="3795" spans="7:24" ht="15" customHeight="1">
      <c r="G3795"/>
      <c r="I3795"/>
      <c r="N3795"/>
      <c r="O3795" s="24"/>
      <c r="P3795"/>
      <c r="Q3795" s="24"/>
      <c r="R3795"/>
      <c r="S3795"/>
      <c r="T3795"/>
      <c r="U3795"/>
      <c r="X3795" s="60"/>
    </row>
    <row r="3796" spans="7:24" ht="15" customHeight="1">
      <c r="G3796"/>
      <c r="I3796"/>
      <c r="N3796"/>
      <c r="O3796" s="24"/>
      <c r="P3796"/>
      <c r="Q3796" s="24"/>
      <c r="R3796"/>
      <c r="S3796"/>
      <c r="T3796"/>
      <c r="U3796"/>
      <c r="X3796" s="60"/>
    </row>
    <row r="3797" spans="7:24" ht="15" customHeight="1">
      <c r="G3797"/>
      <c r="I3797"/>
      <c r="N3797"/>
      <c r="O3797" s="24"/>
      <c r="P3797"/>
      <c r="Q3797" s="24"/>
      <c r="R3797"/>
      <c r="S3797"/>
      <c r="T3797"/>
      <c r="U3797"/>
      <c r="X3797" s="60"/>
    </row>
    <row r="3798" spans="7:24" ht="15" customHeight="1">
      <c r="G3798"/>
      <c r="I3798"/>
      <c r="N3798"/>
      <c r="O3798" s="24"/>
      <c r="P3798"/>
      <c r="Q3798" s="24"/>
      <c r="R3798"/>
      <c r="S3798"/>
      <c r="T3798"/>
      <c r="U3798"/>
      <c r="X3798" s="60"/>
    </row>
    <row r="3799" spans="7:24" ht="15" customHeight="1">
      <c r="G3799"/>
      <c r="I3799"/>
      <c r="N3799"/>
      <c r="O3799" s="24"/>
      <c r="P3799"/>
      <c r="Q3799" s="24"/>
      <c r="R3799"/>
      <c r="S3799"/>
      <c r="T3799"/>
      <c r="U3799"/>
      <c r="X3799" s="60"/>
    </row>
    <row r="3800" spans="7:24" ht="15" customHeight="1">
      <c r="G3800"/>
      <c r="I3800"/>
      <c r="N3800"/>
      <c r="O3800" s="24"/>
      <c r="P3800"/>
      <c r="Q3800" s="24"/>
      <c r="R3800"/>
      <c r="S3800"/>
      <c r="T3800"/>
      <c r="U3800"/>
      <c r="X3800" s="60"/>
    </row>
    <row r="3801" spans="7:24" ht="15" customHeight="1">
      <c r="G3801"/>
      <c r="I3801"/>
      <c r="N3801"/>
      <c r="O3801" s="24"/>
      <c r="P3801"/>
      <c r="Q3801" s="24"/>
      <c r="R3801"/>
      <c r="S3801"/>
      <c r="T3801"/>
      <c r="U3801"/>
      <c r="X3801" s="60"/>
    </row>
    <row r="3802" spans="7:24" ht="15" customHeight="1">
      <c r="G3802"/>
      <c r="I3802"/>
      <c r="N3802"/>
      <c r="O3802" s="24"/>
      <c r="P3802"/>
      <c r="Q3802" s="24"/>
      <c r="R3802"/>
      <c r="S3802"/>
      <c r="T3802"/>
      <c r="U3802"/>
      <c r="X3802" s="60"/>
    </row>
    <row r="3803" spans="7:24" ht="15" customHeight="1">
      <c r="G3803"/>
      <c r="I3803"/>
      <c r="N3803"/>
      <c r="O3803" s="24"/>
      <c r="P3803"/>
      <c r="Q3803" s="24"/>
      <c r="R3803"/>
      <c r="S3803"/>
      <c r="T3803"/>
      <c r="U3803"/>
      <c r="X3803" s="60"/>
    </row>
    <row r="3804" spans="7:24" ht="15" customHeight="1">
      <c r="G3804"/>
      <c r="I3804"/>
      <c r="N3804"/>
      <c r="O3804" s="24"/>
      <c r="P3804"/>
      <c r="Q3804" s="24"/>
      <c r="R3804"/>
      <c r="S3804"/>
      <c r="T3804"/>
      <c r="U3804"/>
      <c r="X3804" s="60"/>
    </row>
    <row r="3805" spans="7:24" ht="15" customHeight="1">
      <c r="G3805"/>
      <c r="I3805"/>
      <c r="N3805"/>
      <c r="O3805" s="24"/>
      <c r="P3805"/>
      <c r="Q3805" s="24"/>
      <c r="R3805"/>
      <c r="S3805"/>
      <c r="T3805"/>
      <c r="U3805"/>
      <c r="X3805" s="60"/>
    </row>
    <row r="3806" spans="7:24" ht="15" customHeight="1">
      <c r="G3806"/>
      <c r="I3806"/>
      <c r="N3806"/>
      <c r="O3806" s="24"/>
      <c r="P3806"/>
      <c r="Q3806" s="24"/>
      <c r="R3806"/>
      <c r="S3806"/>
      <c r="T3806"/>
      <c r="U3806"/>
      <c r="X3806" s="60"/>
    </row>
    <row r="3807" spans="7:24" ht="15" customHeight="1">
      <c r="G3807"/>
      <c r="I3807"/>
      <c r="N3807"/>
      <c r="O3807" s="24"/>
      <c r="P3807"/>
      <c r="Q3807" s="24"/>
      <c r="R3807"/>
      <c r="S3807"/>
      <c r="T3807"/>
      <c r="U3807"/>
      <c r="X3807" s="60"/>
    </row>
    <row r="3808" spans="7:24" ht="15" customHeight="1">
      <c r="G3808"/>
      <c r="I3808"/>
      <c r="N3808"/>
      <c r="O3808" s="24"/>
      <c r="P3808"/>
      <c r="Q3808" s="24"/>
      <c r="R3808"/>
      <c r="S3808"/>
      <c r="T3808"/>
      <c r="U3808"/>
      <c r="X3808" s="60"/>
    </row>
    <row r="3809" spans="7:24" ht="15" customHeight="1">
      <c r="G3809"/>
      <c r="I3809"/>
      <c r="N3809"/>
      <c r="O3809" s="24"/>
      <c r="P3809"/>
      <c r="Q3809" s="24"/>
      <c r="R3809"/>
      <c r="S3809"/>
      <c r="T3809"/>
      <c r="U3809"/>
      <c r="X3809" s="60"/>
    </row>
    <row r="3810" spans="7:24" ht="15" customHeight="1">
      <c r="G3810"/>
      <c r="I3810"/>
      <c r="N3810"/>
      <c r="O3810" s="24"/>
      <c r="P3810"/>
      <c r="Q3810" s="24"/>
      <c r="R3810"/>
      <c r="S3810"/>
      <c r="T3810"/>
      <c r="U3810"/>
      <c r="X3810" s="60"/>
    </row>
    <row r="3811" spans="7:24" ht="15" customHeight="1">
      <c r="G3811"/>
      <c r="I3811"/>
      <c r="N3811"/>
      <c r="O3811" s="24"/>
      <c r="P3811"/>
      <c r="Q3811" s="24"/>
      <c r="R3811"/>
      <c r="S3811"/>
      <c r="T3811"/>
      <c r="U3811"/>
      <c r="X3811" s="60"/>
    </row>
    <row r="3812" spans="7:24" ht="15" customHeight="1">
      <c r="G3812"/>
      <c r="I3812"/>
      <c r="N3812"/>
      <c r="O3812" s="24"/>
      <c r="P3812"/>
      <c r="Q3812" s="24"/>
      <c r="R3812"/>
      <c r="S3812"/>
      <c r="T3812"/>
      <c r="U3812"/>
      <c r="X3812" s="60"/>
    </row>
    <row r="3813" spans="7:24" ht="15" customHeight="1">
      <c r="G3813"/>
      <c r="I3813"/>
      <c r="N3813"/>
      <c r="O3813" s="24"/>
      <c r="P3813"/>
      <c r="Q3813" s="24"/>
      <c r="R3813"/>
      <c r="S3813"/>
      <c r="T3813"/>
      <c r="U3813"/>
      <c r="X3813" s="60"/>
    </row>
    <row r="3814" spans="7:24" ht="15" customHeight="1">
      <c r="G3814"/>
      <c r="I3814"/>
      <c r="N3814"/>
      <c r="O3814" s="24"/>
      <c r="P3814"/>
      <c r="Q3814" s="24"/>
      <c r="R3814"/>
      <c r="S3814"/>
      <c r="T3814"/>
      <c r="U3814"/>
      <c r="X3814" s="60"/>
    </row>
    <row r="3815" spans="7:24" ht="15" customHeight="1">
      <c r="G3815"/>
      <c r="I3815"/>
      <c r="N3815"/>
      <c r="O3815" s="24"/>
      <c r="P3815"/>
      <c r="Q3815" s="24"/>
      <c r="R3815"/>
      <c r="S3815"/>
      <c r="T3815"/>
      <c r="U3815"/>
      <c r="X3815" s="60"/>
    </row>
    <row r="3816" spans="7:24" ht="15" customHeight="1">
      <c r="G3816"/>
      <c r="I3816"/>
      <c r="N3816"/>
      <c r="O3816" s="24"/>
      <c r="P3816"/>
      <c r="Q3816" s="24"/>
      <c r="R3816"/>
      <c r="S3816"/>
      <c r="T3816"/>
      <c r="U3816"/>
      <c r="X3816" s="60"/>
    </row>
    <row r="3817" spans="7:24" ht="15" customHeight="1">
      <c r="G3817"/>
      <c r="I3817"/>
      <c r="N3817"/>
      <c r="O3817" s="24"/>
      <c r="P3817"/>
      <c r="Q3817" s="24"/>
      <c r="R3817"/>
      <c r="S3817"/>
      <c r="T3817"/>
      <c r="U3817"/>
      <c r="X3817" s="60"/>
    </row>
    <row r="3818" spans="7:24" ht="15" customHeight="1">
      <c r="G3818"/>
      <c r="I3818"/>
      <c r="N3818"/>
      <c r="O3818" s="24"/>
      <c r="P3818"/>
      <c r="Q3818" s="24"/>
      <c r="R3818"/>
      <c r="S3818"/>
      <c r="T3818"/>
      <c r="U3818"/>
      <c r="X3818" s="60"/>
    </row>
    <row r="3819" spans="7:24" ht="15" customHeight="1">
      <c r="G3819"/>
      <c r="I3819"/>
      <c r="N3819"/>
      <c r="O3819" s="24"/>
      <c r="P3819"/>
      <c r="Q3819" s="24"/>
      <c r="R3819"/>
      <c r="S3819"/>
      <c r="T3819"/>
      <c r="U3819"/>
      <c r="X3819" s="60"/>
    </row>
    <row r="3820" spans="7:24" ht="15" customHeight="1">
      <c r="G3820"/>
      <c r="I3820"/>
      <c r="N3820"/>
      <c r="O3820" s="24"/>
      <c r="P3820"/>
      <c r="Q3820" s="24"/>
      <c r="R3820"/>
      <c r="S3820"/>
      <c r="T3820"/>
      <c r="U3820"/>
      <c r="X3820" s="60"/>
    </row>
    <row r="3821" spans="7:24" ht="15" customHeight="1">
      <c r="G3821"/>
      <c r="I3821"/>
      <c r="N3821"/>
      <c r="O3821" s="24"/>
      <c r="P3821"/>
      <c r="Q3821" s="24"/>
      <c r="R3821"/>
      <c r="S3821"/>
      <c r="T3821"/>
      <c r="U3821"/>
      <c r="X3821" s="60"/>
    </row>
    <row r="3822" spans="7:24" ht="15" customHeight="1">
      <c r="G3822"/>
      <c r="I3822"/>
      <c r="N3822"/>
      <c r="O3822" s="24"/>
      <c r="P3822"/>
      <c r="Q3822" s="24"/>
      <c r="R3822"/>
      <c r="S3822"/>
      <c r="T3822"/>
      <c r="U3822"/>
      <c r="X3822" s="60"/>
    </row>
    <row r="3823" spans="7:24" ht="15" customHeight="1">
      <c r="G3823"/>
      <c r="I3823"/>
      <c r="N3823"/>
      <c r="O3823" s="24"/>
      <c r="P3823"/>
      <c r="Q3823" s="24"/>
      <c r="R3823"/>
      <c r="S3823"/>
      <c r="T3823"/>
      <c r="U3823"/>
      <c r="X3823" s="60"/>
    </row>
    <row r="3824" spans="7:24" ht="15" customHeight="1">
      <c r="G3824"/>
      <c r="I3824"/>
      <c r="N3824"/>
      <c r="O3824" s="24"/>
      <c r="P3824"/>
      <c r="Q3824" s="24"/>
      <c r="R3824"/>
      <c r="S3824"/>
      <c r="T3824"/>
      <c r="U3824"/>
      <c r="X3824" s="60"/>
    </row>
    <row r="3825" spans="7:24" ht="15" customHeight="1">
      <c r="G3825"/>
      <c r="I3825"/>
      <c r="N3825"/>
      <c r="O3825" s="24"/>
      <c r="P3825"/>
      <c r="Q3825" s="24"/>
      <c r="R3825"/>
      <c r="S3825"/>
      <c r="T3825"/>
      <c r="U3825"/>
      <c r="X3825" s="60"/>
    </row>
    <row r="3826" spans="7:24" ht="15" customHeight="1">
      <c r="G3826"/>
      <c r="I3826"/>
      <c r="N3826"/>
      <c r="O3826" s="24"/>
      <c r="P3826"/>
      <c r="Q3826" s="24"/>
      <c r="R3826"/>
      <c r="S3826"/>
      <c r="T3826"/>
      <c r="U3826"/>
      <c r="X3826" s="60"/>
    </row>
    <row r="3827" spans="7:24" ht="15" customHeight="1">
      <c r="G3827"/>
      <c r="I3827"/>
      <c r="N3827"/>
      <c r="O3827" s="24"/>
      <c r="P3827"/>
      <c r="Q3827" s="24"/>
      <c r="R3827"/>
      <c r="S3827"/>
      <c r="T3827"/>
      <c r="U3827"/>
      <c r="X3827" s="60"/>
    </row>
    <row r="3828" spans="7:24" ht="15" customHeight="1">
      <c r="G3828"/>
      <c r="I3828"/>
      <c r="N3828"/>
      <c r="O3828" s="24"/>
      <c r="P3828"/>
      <c r="Q3828" s="24"/>
      <c r="R3828"/>
      <c r="S3828"/>
      <c r="T3828"/>
      <c r="U3828"/>
      <c r="X3828" s="60"/>
    </row>
    <row r="3829" spans="7:24" ht="15" customHeight="1">
      <c r="G3829"/>
      <c r="I3829"/>
      <c r="N3829"/>
      <c r="O3829" s="24"/>
      <c r="P3829"/>
      <c r="Q3829" s="24"/>
      <c r="R3829"/>
      <c r="S3829"/>
      <c r="T3829"/>
      <c r="U3829"/>
      <c r="X3829" s="60"/>
    </row>
    <row r="3830" spans="7:24" ht="15" customHeight="1">
      <c r="G3830"/>
      <c r="I3830"/>
      <c r="N3830"/>
      <c r="O3830" s="24"/>
      <c r="P3830"/>
      <c r="Q3830" s="24"/>
      <c r="R3830"/>
      <c r="S3830"/>
      <c r="T3830"/>
      <c r="U3830"/>
      <c r="X3830" s="60"/>
    </row>
    <row r="3831" spans="7:24" ht="15" customHeight="1">
      <c r="G3831"/>
      <c r="I3831"/>
      <c r="N3831"/>
      <c r="O3831" s="24"/>
      <c r="P3831"/>
      <c r="Q3831" s="24"/>
      <c r="R3831"/>
      <c r="S3831"/>
      <c r="T3831"/>
      <c r="U3831"/>
      <c r="X3831" s="60"/>
    </row>
    <row r="3832" spans="7:24" ht="15" customHeight="1">
      <c r="G3832"/>
      <c r="I3832"/>
      <c r="N3832"/>
      <c r="O3832" s="24"/>
      <c r="P3832"/>
      <c r="Q3832" s="24"/>
      <c r="R3832"/>
      <c r="S3832"/>
      <c r="T3832"/>
      <c r="U3832"/>
      <c r="X3832" s="60"/>
    </row>
    <row r="3833" spans="7:24" ht="15" customHeight="1">
      <c r="G3833"/>
      <c r="I3833"/>
      <c r="N3833"/>
      <c r="O3833" s="24"/>
      <c r="P3833"/>
      <c r="Q3833" s="24"/>
      <c r="R3833"/>
      <c r="S3833"/>
      <c r="T3833"/>
      <c r="U3833"/>
      <c r="X3833" s="60"/>
    </row>
    <row r="3834" spans="7:24" ht="15" customHeight="1">
      <c r="G3834"/>
      <c r="I3834"/>
      <c r="N3834"/>
      <c r="O3834" s="24"/>
      <c r="P3834"/>
      <c r="Q3834" s="24"/>
      <c r="R3834"/>
      <c r="S3834"/>
      <c r="T3834"/>
      <c r="U3834"/>
      <c r="X3834" s="60"/>
    </row>
    <row r="3835" spans="7:24" ht="15" customHeight="1">
      <c r="G3835"/>
      <c r="I3835"/>
      <c r="N3835"/>
      <c r="O3835" s="24"/>
      <c r="P3835"/>
      <c r="Q3835" s="24"/>
      <c r="R3835"/>
      <c r="S3835"/>
      <c r="T3835"/>
      <c r="U3835"/>
      <c r="X3835" s="60"/>
    </row>
    <row r="3836" spans="7:24" ht="15" customHeight="1">
      <c r="G3836"/>
      <c r="I3836"/>
      <c r="N3836"/>
      <c r="O3836" s="24"/>
      <c r="P3836"/>
      <c r="Q3836" s="24"/>
      <c r="R3836"/>
      <c r="S3836"/>
      <c r="T3836"/>
      <c r="U3836"/>
      <c r="X3836" s="60"/>
    </row>
    <row r="3837" spans="7:24" ht="15" customHeight="1">
      <c r="G3837"/>
      <c r="I3837"/>
      <c r="N3837"/>
      <c r="O3837" s="24"/>
      <c r="P3837"/>
      <c r="Q3837" s="24"/>
      <c r="R3837"/>
      <c r="S3837"/>
      <c r="T3837"/>
      <c r="U3837"/>
      <c r="X3837" s="60"/>
    </row>
    <row r="3838" spans="7:24" ht="15" customHeight="1">
      <c r="G3838"/>
      <c r="I3838"/>
      <c r="N3838"/>
      <c r="O3838" s="24"/>
      <c r="P3838"/>
      <c r="Q3838" s="24"/>
      <c r="R3838"/>
      <c r="S3838"/>
      <c r="T3838"/>
      <c r="U3838"/>
      <c r="X3838" s="60"/>
    </row>
    <row r="3839" spans="7:24" ht="15" customHeight="1">
      <c r="G3839"/>
      <c r="I3839"/>
      <c r="N3839"/>
      <c r="O3839" s="24"/>
      <c r="P3839"/>
      <c r="Q3839" s="24"/>
      <c r="R3839"/>
      <c r="S3839"/>
      <c r="T3839"/>
      <c r="U3839"/>
      <c r="X3839" s="60"/>
    </row>
    <row r="3840" spans="7:24" ht="15" customHeight="1">
      <c r="G3840"/>
      <c r="I3840"/>
      <c r="N3840"/>
      <c r="O3840" s="24"/>
      <c r="P3840"/>
      <c r="Q3840" s="24"/>
      <c r="R3840"/>
      <c r="S3840"/>
      <c r="T3840"/>
      <c r="U3840"/>
      <c r="X3840" s="60"/>
    </row>
    <row r="3841" spans="7:24" ht="15" customHeight="1">
      <c r="G3841"/>
      <c r="I3841"/>
      <c r="N3841"/>
      <c r="O3841" s="24"/>
      <c r="P3841"/>
      <c r="Q3841" s="24"/>
      <c r="R3841"/>
      <c r="S3841"/>
      <c r="T3841"/>
      <c r="U3841"/>
      <c r="X3841" s="60"/>
    </row>
    <row r="3842" spans="7:24" ht="15" customHeight="1">
      <c r="G3842"/>
      <c r="I3842"/>
      <c r="N3842"/>
      <c r="O3842" s="24"/>
      <c r="P3842"/>
      <c r="Q3842" s="24"/>
      <c r="R3842"/>
      <c r="S3842"/>
      <c r="T3842"/>
      <c r="U3842"/>
      <c r="X3842" s="60"/>
    </row>
    <row r="3843" spans="7:24" ht="15" customHeight="1">
      <c r="G3843"/>
      <c r="I3843"/>
      <c r="N3843"/>
      <c r="O3843" s="24"/>
      <c r="P3843"/>
      <c r="Q3843" s="24"/>
      <c r="R3843"/>
      <c r="S3843"/>
      <c r="T3843"/>
      <c r="U3843"/>
      <c r="X3843" s="60"/>
    </row>
    <row r="3844" spans="7:24" ht="15" customHeight="1">
      <c r="G3844"/>
      <c r="I3844"/>
      <c r="N3844"/>
      <c r="O3844" s="24"/>
      <c r="P3844"/>
      <c r="Q3844" s="24"/>
      <c r="R3844"/>
      <c r="S3844"/>
      <c r="T3844"/>
      <c r="U3844"/>
      <c r="X3844" s="60"/>
    </row>
    <row r="3845" spans="7:24" ht="15" customHeight="1">
      <c r="G3845"/>
      <c r="I3845"/>
      <c r="N3845"/>
      <c r="O3845" s="24"/>
      <c r="P3845"/>
      <c r="Q3845" s="24"/>
      <c r="R3845"/>
      <c r="S3845"/>
      <c r="T3845"/>
      <c r="U3845"/>
      <c r="X3845" s="60"/>
    </row>
    <row r="3846" spans="7:24" ht="15" customHeight="1">
      <c r="G3846"/>
      <c r="I3846"/>
      <c r="N3846"/>
      <c r="O3846" s="24"/>
      <c r="P3846"/>
      <c r="Q3846" s="24"/>
      <c r="R3846"/>
      <c r="S3846"/>
      <c r="T3846"/>
      <c r="U3846"/>
      <c r="X3846" s="60"/>
    </row>
    <row r="3847" spans="7:24" ht="15" customHeight="1">
      <c r="G3847"/>
      <c r="I3847"/>
      <c r="N3847"/>
      <c r="O3847" s="24"/>
      <c r="P3847"/>
      <c r="Q3847" s="24"/>
      <c r="R3847"/>
      <c r="S3847"/>
      <c r="T3847"/>
      <c r="U3847"/>
      <c r="X3847" s="60"/>
    </row>
    <row r="3848" spans="7:24" ht="15" customHeight="1">
      <c r="G3848"/>
      <c r="I3848"/>
      <c r="N3848"/>
      <c r="O3848" s="24"/>
      <c r="P3848"/>
      <c r="Q3848" s="24"/>
      <c r="R3848"/>
      <c r="S3848"/>
      <c r="T3848"/>
      <c r="U3848"/>
      <c r="X3848" s="60"/>
    </row>
    <row r="3849" spans="7:24" ht="15" customHeight="1">
      <c r="G3849"/>
      <c r="I3849"/>
      <c r="N3849"/>
      <c r="O3849" s="24"/>
      <c r="P3849"/>
      <c r="Q3849" s="24"/>
      <c r="R3849"/>
      <c r="S3849"/>
      <c r="T3849"/>
      <c r="U3849"/>
      <c r="X3849" s="60"/>
    </row>
    <row r="3850" spans="7:24" ht="15" customHeight="1">
      <c r="G3850"/>
      <c r="I3850"/>
      <c r="N3850"/>
      <c r="O3850" s="24"/>
      <c r="P3850"/>
      <c r="Q3850" s="24"/>
      <c r="R3850"/>
      <c r="S3850"/>
      <c r="T3850"/>
      <c r="U3850"/>
      <c r="X3850" s="60"/>
    </row>
    <row r="3851" spans="7:24" ht="15" customHeight="1">
      <c r="G3851"/>
      <c r="I3851"/>
      <c r="N3851"/>
      <c r="O3851" s="24"/>
      <c r="P3851"/>
      <c r="Q3851" s="24"/>
      <c r="R3851"/>
      <c r="S3851"/>
      <c r="T3851"/>
      <c r="U3851"/>
      <c r="X3851" s="60"/>
    </row>
    <row r="3852" spans="7:24" ht="15" customHeight="1">
      <c r="G3852"/>
      <c r="I3852"/>
      <c r="N3852"/>
      <c r="O3852" s="24"/>
      <c r="P3852"/>
      <c r="Q3852" s="24"/>
      <c r="R3852"/>
      <c r="S3852"/>
      <c r="T3852"/>
      <c r="U3852"/>
      <c r="X3852" s="60"/>
    </row>
    <row r="3853" spans="7:24" ht="15" customHeight="1">
      <c r="G3853"/>
      <c r="I3853"/>
      <c r="N3853"/>
      <c r="O3853" s="24"/>
      <c r="P3853"/>
      <c r="Q3853" s="24"/>
      <c r="R3853"/>
      <c r="S3853"/>
      <c r="T3853"/>
      <c r="U3853"/>
      <c r="X3853" s="60"/>
    </row>
    <row r="3854" spans="7:24" ht="15" customHeight="1">
      <c r="G3854"/>
      <c r="I3854"/>
      <c r="N3854"/>
      <c r="O3854" s="24"/>
      <c r="P3854"/>
      <c r="Q3854" s="24"/>
      <c r="R3854"/>
      <c r="S3854"/>
      <c r="T3854"/>
      <c r="U3854"/>
      <c r="X3854" s="60"/>
    </row>
    <row r="3855" spans="7:24" ht="15" customHeight="1">
      <c r="G3855"/>
      <c r="I3855"/>
      <c r="N3855"/>
      <c r="O3855" s="24"/>
      <c r="P3855"/>
      <c r="Q3855" s="24"/>
      <c r="R3855"/>
      <c r="S3855"/>
      <c r="T3855"/>
      <c r="U3855"/>
      <c r="X3855" s="60"/>
    </row>
    <row r="3856" spans="7:24" ht="15" customHeight="1">
      <c r="G3856"/>
      <c r="I3856"/>
      <c r="N3856"/>
      <c r="O3856" s="24"/>
      <c r="P3856"/>
      <c r="Q3856" s="24"/>
      <c r="R3856"/>
      <c r="S3856"/>
      <c r="T3856"/>
      <c r="U3856"/>
      <c r="X3856" s="60"/>
    </row>
    <row r="3857" spans="7:24" ht="15" customHeight="1">
      <c r="G3857"/>
      <c r="I3857"/>
      <c r="N3857"/>
      <c r="O3857" s="24"/>
      <c r="P3857"/>
      <c r="Q3857" s="24"/>
      <c r="R3857"/>
      <c r="S3857"/>
      <c r="T3857"/>
      <c r="U3857"/>
      <c r="X3857" s="60"/>
    </row>
    <row r="3858" spans="7:24" ht="15" customHeight="1">
      <c r="G3858"/>
      <c r="I3858"/>
      <c r="N3858"/>
      <c r="O3858" s="24"/>
      <c r="P3858"/>
      <c r="Q3858" s="24"/>
      <c r="R3858"/>
      <c r="S3858"/>
      <c r="T3858"/>
      <c r="U3858"/>
      <c r="X3858" s="60"/>
    </row>
    <row r="3859" spans="7:24" ht="15" customHeight="1">
      <c r="G3859"/>
      <c r="I3859"/>
      <c r="N3859"/>
      <c r="O3859" s="24"/>
      <c r="P3859"/>
      <c r="Q3859" s="24"/>
      <c r="R3859"/>
      <c r="S3859"/>
      <c r="T3859"/>
      <c r="U3859"/>
      <c r="X3859" s="60"/>
    </row>
    <row r="3860" spans="7:24" ht="15" customHeight="1">
      <c r="G3860"/>
      <c r="I3860"/>
      <c r="N3860"/>
      <c r="O3860" s="24"/>
      <c r="P3860"/>
      <c r="Q3860" s="24"/>
      <c r="R3860"/>
      <c r="S3860"/>
      <c r="T3860"/>
      <c r="U3860"/>
      <c r="X3860" s="60"/>
    </row>
    <row r="3861" spans="7:24" ht="15" customHeight="1">
      <c r="G3861"/>
      <c r="I3861"/>
      <c r="N3861"/>
      <c r="O3861" s="24"/>
      <c r="P3861"/>
      <c r="Q3861" s="24"/>
      <c r="R3861"/>
      <c r="S3861"/>
      <c r="T3861"/>
      <c r="U3861"/>
      <c r="X3861" s="60"/>
    </row>
    <row r="3862" spans="7:24" ht="15" customHeight="1">
      <c r="G3862"/>
      <c r="I3862"/>
      <c r="N3862"/>
      <c r="O3862" s="24"/>
      <c r="P3862"/>
      <c r="Q3862" s="24"/>
      <c r="R3862"/>
      <c r="S3862"/>
      <c r="T3862"/>
      <c r="U3862"/>
      <c r="X3862" s="60"/>
    </row>
    <row r="3863" spans="7:24" ht="15" customHeight="1">
      <c r="G3863"/>
      <c r="I3863"/>
      <c r="N3863"/>
      <c r="O3863" s="24"/>
      <c r="P3863"/>
      <c r="Q3863" s="24"/>
      <c r="R3863"/>
      <c r="S3863"/>
      <c r="T3863"/>
      <c r="U3863"/>
      <c r="X3863" s="60"/>
    </row>
    <row r="3864" spans="7:24" ht="15" customHeight="1">
      <c r="G3864"/>
      <c r="I3864"/>
      <c r="N3864"/>
      <c r="O3864" s="24"/>
      <c r="P3864"/>
      <c r="Q3864" s="24"/>
      <c r="R3864"/>
      <c r="S3864"/>
      <c r="T3864"/>
      <c r="U3864"/>
      <c r="X3864" s="60"/>
    </row>
    <row r="3865" spans="7:24" ht="15" customHeight="1">
      <c r="G3865"/>
      <c r="I3865"/>
      <c r="N3865"/>
      <c r="O3865" s="24"/>
      <c r="P3865"/>
      <c r="Q3865" s="24"/>
      <c r="R3865"/>
      <c r="S3865"/>
      <c r="T3865"/>
      <c r="U3865"/>
      <c r="X3865" s="60"/>
    </row>
    <row r="3866" spans="7:24" ht="15" customHeight="1">
      <c r="G3866"/>
      <c r="I3866"/>
      <c r="N3866"/>
      <c r="O3866" s="24"/>
      <c r="P3866"/>
      <c r="Q3866" s="24"/>
      <c r="R3866"/>
      <c r="S3866"/>
      <c r="T3866"/>
      <c r="U3866"/>
      <c r="X3866" s="60"/>
    </row>
    <row r="3867" spans="7:24" ht="15" customHeight="1">
      <c r="G3867"/>
      <c r="I3867"/>
      <c r="N3867"/>
      <c r="O3867" s="24"/>
      <c r="P3867"/>
      <c r="Q3867" s="24"/>
      <c r="R3867"/>
      <c r="S3867"/>
      <c r="T3867"/>
      <c r="U3867"/>
      <c r="X3867" s="60"/>
    </row>
    <row r="3868" spans="7:24" ht="15" customHeight="1">
      <c r="G3868"/>
      <c r="I3868"/>
      <c r="N3868"/>
      <c r="O3868" s="24"/>
      <c r="P3868"/>
      <c r="Q3868" s="24"/>
      <c r="R3868"/>
      <c r="S3868"/>
      <c r="T3868"/>
      <c r="U3868"/>
      <c r="X3868" s="60"/>
    </row>
    <row r="3869" spans="7:24" ht="15" customHeight="1">
      <c r="G3869"/>
      <c r="I3869"/>
      <c r="N3869"/>
      <c r="O3869" s="24"/>
      <c r="P3869"/>
      <c r="Q3869" s="24"/>
      <c r="R3869"/>
      <c r="S3869"/>
      <c r="T3869"/>
      <c r="U3869"/>
      <c r="X3869" s="60"/>
    </row>
    <row r="3870" spans="7:24" ht="15" customHeight="1">
      <c r="G3870"/>
      <c r="I3870"/>
      <c r="N3870"/>
      <c r="O3870" s="24"/>
      <c r="P3870"/>
      <c r="Q3870" s="24"/>
      <c r="R3870"/>
      <c r="S3870"/>
      <c r="T3870"/>
      <c r="U3870"/>
      <c r="X3870" s="60"/>
    </row>
    <row r="3871" spans="7:24" ht="15" customHeight="1">
      <c r="G3871"/>
      <c r="I3871"/>
      <c r="N3871"/>
      <c r="O3871" s="24"/>
      <c r="P3871"/>
      <c r="Q3871" s="24"/>
      <c r="R3871"/>
      <c r="S3871"/>
      <c r="T3871"/>
      <c r="U3871"/>
      <c r="X3871" s="60"/>
    </row>
    <row r="3872" spans="7:24" ht="15" customHeight="1">
      <c r="G3872"/>
      <c r="I3872"/>
      <c r="N3872"/>
      <c r="O3872" s="24"/>
      <c r="P3872"/>
      <c r="Q3872" s="24"/>
      <c r="R3872"/>
      <c r="S3872"/>
      <c r="T3872"/>
      <c r="U3872"/>
      <c r="X3872" s="60"/>
    </row>
    <row r="3873" spans="7:24" ht="15" customHeight="1">
      <c r="G3873"/>
      <c r="I3873"/>
      <c r="N3873"/>
      <c r="O3873" s="24"/>
      <c r="P3873"/>
      <c r="Q3873" s="24"/>
      <c r="R3873"/>
      <c r="S3873"/>
      <c r="T3873"/>
      <c r="U3873"/>
      <c r="X3873" s="60"/>
    </row>
    <row r="3874" spans="7:24" ht="15" customHeight="1">
      <c r="G3874"/>
      <c r="I3874"/>
      <c r="N3874"/>
      <c r="O3874" s="24"/>
      <c r="P3874"/>
      <c r="Q3874" s="24"/>
      <c r="R3874"/>
      <c r="S3874"/>
      <c r="T3874"/>
      <c r="U3874"/>
      <c r="X3874" s="60"/>
    </row>
    <row r="3875" spans="7:24" ht="15" customHeight="1">
      <c r="G3875"/>
      <c r="I3875"/>
      <c r="N3875"/>
      <c r="O3875" s="24"/>
      <c r="P3875"/>
      <c r="Q3875" s="24"/>
      <c r="R3875"/>
      <c r="S3875"/>
      <c r="T3875"/>
      <c r="U3875"/>
      <c r="X3875" s="60"/>
    </row>
    <row r="3876" spans="7:24" ht="15" customHeight="1">
      <c r="G3876"/>
      <c r="I3876"/>
      <c r="N3876"/>
      <c r="O3876" s="24"/>
      <c r="P3876"/>
      <c r="Q3876" s="24"/>
      <c r="R3876"/>
      <c r="S3876"/>
      <c r="T3876"/>
      <c r="U3876"/>
      <c r="X3876" s="60"/>
    </row>
    <row r="3877" spans="7:24" ht="15" customHeight="1">
      <c r="G3877"/>
      <c r="I3877"/>
      <c r="N3877"/>
      <c r="O3877" s="24"/>
      <c r="P3877"/>
      <c r="Q3877" s="24"/>
      <c r="R3877"/>
      <c r="S3877"/>
      <c r="T3877"/>
      <c r="U3877"/>
      <c r="X3877" s="60"/>
    </row>
    <row r="3878" spans="7:24" ht="15" customHeight="1">
      <c r="G3878"/>
      <c r="I3878"/>
      <c r="N3878"/>
      <c r="O3878" s="24"/>
      <c r="P3878"/>
      <c r="Q3878" s="24"/>
      <c r="R3878"/>
      <c r="S3878"/>
      <c r="T3878"/>
      <c r="U3878"/>
      <c r="X3878" s="60"/>
    </row>
    <row r="3879" spans="7:24" ht="15" customHeight="1">
      <c r="G3879"/>
      <c r="I3879"/>
      <c r="N3879"/>
      <c r="O3879" s="24"/>
      <c r="P3879"/>
      <c r="Q3879" s="24"/>
      <c r="R3879"/>
      <c r="S3879"/>
      <c r="T3879"/>
      <c r="U3879"/>
      <c r="X3879" s="60"/>
    </row>
    <row r="3880" spans="7:24" ht="15" customHeight="1">
      <c r="G3880"/>
      <c r="I3880"/>
      <c r="N3880"/>
      <c r="O3880" s="24"/>
      <c r="P3880"/>
      <c r="Q3880" s="24"/>
      <c r="R3880"/>
      <c r="S3880"/>
      <c r="T3880"/>
      <c r="U3880"/>
      <c r="X3880" s="60"/>
    </row>
    <row r="3881" spans="7:24" ht="15" customHeight="1">
      <c r="G3881"/>
      <c r="I3881"/>
      <c r="N3881"/>
      <c r="O3881" s="24"/>
      <c r="P3881"/>
      <c r="Q3881" s="24"/>
      <c r="R3881"/>
      <c r="S3881"/>
      <c r="T3881"/>
      <c r="U3881"/>
      <c r="X3881" s="60"/>
    </row>
    <row r="3882" spans="7:24" ht="15" customHeight="1">
      <c r="G3882"/>
      <c r="I3882"/>
      <c r="N3882"/>
      <c r="O3882" s="24"/>
      <c r="P3882"/>
      <c r="Q3882" s="24"/>
      <c r="R3882"/>
      <c r="S3882"/>
      <c r="T3882"/>
      <c r="U3882"/>
      <c r="X3882" s="60"/>
    </row>
    <row r="3883" spans="7:24" ht="15" customHeight="1">
      <c r="G3883"/>
      <c r="I3883"/>
      <c r="N3883"/>
      <c r="O3883" s="24"/>
      <c r="P3883"/>
      <c r="Q3883" s="24"/>
      <c r="R3883"/>
      <c r="S3883"/>
      <c r="T3883"/>
      <c r="U3883"/>
      <c r="X3883" s="60"/>
    </row>
    <row r="3884" spans="7:24" ht="15" customHeight="1">
      <c r="G3884"/>
      <c r="I3884"/>
      <c r="N3884"/>
      <c r="O3884" s="24"/>
      <c r="P3884"/>
      <c r="Q3884" s="24"/>
      <c r="R3884"/>
      <c r="S3884"/>
      <c r="T3884"/>
      <c r="U3884"/>
      <c r="X3884" s="60"/>
    </row>
    <row r="3885" spans="7:24" ht="15" customHeight="1">
      <c r="G3885"/>
      <c r="I3885"/>
      <c r="N3885"/>
      <c r="O3885" s="24"/>
      <c r="P3885"/>
      <c r="Q3885" s="24"/>
      <c r="R3885"/>
      <c r="S3885"/>
      <c r="T3885"/>
      <c r="U3885"/>
      <c r="X3885" s="60"/>
    </row>
    <row r="3886" spans="7:24" ht="15" customHeight="1">
      <c r="G3886"/>
      <c r="I3886"/>
      <c r="N3886"/>
      <c r="O3886" s="24"/>
      <c r="P3886"/>
      <c r="Q3886" s="24"/>
      <c r="R3886"/>
      <c r="S3886"/>
      <c r="T3886"/>
      <c r="U3886"/>
      <c r="X3886" s="60"/>
    </row>
    <row r="3887" spans="7:24" ht="15" customHeight="1">
      <c r="G3887"/>
      <c r="I3887"/>
      <c r="N3887"/>
      <c r="O3887" s="24"/>
      <c r="P3887"/>
      <c r="Q3887" s="24"/>
      <c r="R3887"/>
      <c r="S3887"/>
      <c r="T3887"/>
      <c r="U3887"/>
      <c r="X3887" s="60"/>
    </row>
    <row r="3888" spans="7:24" ht="15" customHeight="1">
      <c r="G3888"/>
      <c r="I3888"/>
      <c r="N3888"/>
      <c r="O3888" s="24"/>
      <c r="P3888"/>
      <c r="Q3888" s="24"/>
      <c r="R3888"/>
      <c r="S3888"/>
      <c r="T3888"/>
      <c r="U3888"/>
      <c r="X3888" s="60"/>
    </row>
    <row r="3889" spans="7:24" ht="15" customHeight="1">
      <c r="G3889"/>
      <c r="I3889"/>
      <c r="N3889"/>
      <c r="O3889" s="24"/>
      <c r="P3889"/>
      <c r="Q3889" s="24"/>
      <c r="R3889"/>
      <c r="S3889"/>
      <c r="T3889"/>
      <c r="U3889"/>
      <c r="X3889" s="60"/>
    </row>
    <row r="3890" spans="7:24" ht="15" customHeight="1">
      <c r="G3890"/>
      <c r="I3890"/>
      <c r="N3890"/>
      <c r="O3890" s="24"/>
      <c r="P3890"/>
      <c r="Q3890" s="24"/>
      <c r="R3890"/>
      <c r="S3890"/>
      <c r="T3890"/>
      <c r="U3890"/>
      <c r="X3890" s="60"/>
    </row>
    <row r="3891" spans="7:24" ht="15" customHeight="1">
      <c r="G3891"/>
      <c r="I3891"/>
      <c r="N3891"/>
      <c r="O3891" s="24"/>
      <c r="P3891"/>
      <c r="Q3891" s="24"/>
      <c r="R3891"/>
      <c r="S3891"/>
      <c r="T3891"/>
      <c r="U3891"/>
      <c r="X3891" s="60"/>
    </row>
    <row r="3892" spans="7:24" ht="15" customHeight="1">
      <c r="G3892"/>
      <c r="I3892"/>
      <c r="N3892"/>
      <c r="O3892" s="24"/>
      <c r="P3892"/>
      <c r="Q3892" s="24"/>
      <c r="R3892"/>
      <c r="S3892"/>
      <c r="T3892"/>
      <c r="U3892"/>
      <c r="X3892" s="60"/>
    </row>
    <row r="3893" spans="7:24" ht="15" customHeight="1">
      <c r="G3893"/>
      <c r="I3893"/>
      <c r="N3893"/>
      <c r="O3893" s="24"/>
      <c r="P3893"/>
      <c r="Q3893" s="24"/>
      <c r="R3893"/>
      <c r="S3893"/>
      <c r="T3893"/>
      <c r="U3893"/>
      <c r="X3893" s="60"/>
    </row>
    <row r="3894" spans="7:24" ht="15" customHeight="1">
      <c r="G3894"/>
      <c r="I3894"/>
      <c r="N3894"/>
      <c r="O3894" s="24"/>
      <c r="P3894"/>
      <c r="Q3894" s="24"/>
      <c r="R3894"/>
      <c r="S3894"/>
      <c r="T3894"/>
      <c r="U3894"/>
      <c r="X3894" s="60"/>
    </row>
    <row r="3895" spans="7:24" ht="15" customHeight="1">
      <c r="G3895"/>
      <c r="I3895"/>
      <c r="N3895"/>
      <c r="O3895" s="24"/>
      <c r="P3895"/>
      <c r="Q3895" s="24"/>
      <c r="R3895"/>
      <c r="S3895"/>
      <c r="T3895"/>
      <c r="U3895"/>
      <c r="X3895" s="60"/>
    </row>
    <row r="3896" spans="7:24" ht="15" customHeight="1">
      <c r="G3896"/>
      <c r="I3896"/>
      <c r="N3896"/>
      <c r="O3896" s="24"/>
      <c r="P3896"/>
      <c r="Q3896" s="24"/>
      <c r="R3896"/>
      <c r="S3896"/>
      <c r="T3896"/>
      <c r="U3896"/>
      <c r="X3896" s="60"/>
    </row>
    <row r="3897" spans="7:24" ht="15" customHeight="1">
      <c r="G3897"/>
      <c r="I3897"/>
      <c r="N3897"/>
      <c r="O3897" s="24"/>
      <c r="P3897"/>
      <c r="Q3897" s="24"/>
      <c r="R3897"/>
      <c r="S3897"/>
      <c r="T3897"/>
      <c r="U3897"/>
      <c r="X3897" s="60"/>
    </row>
    <row r="3898" spans="7:24" ht="15" customHeight="1">
      <c r="G3898"/>
      <c r="I3898"/>
      <c r="N3898"/>
      <c r="O3898" s="24"/>
      <c r="P3898"/>
      <c r="Q3898" s="24"/>
      <c r="R3898"/>
      <c r="S3898"/>
      <c r="T3898"/>
      <c r="U3898"/>
      <c r="X3898" s="60"/>
    </row>
    <row r="3899" spans="7:24" ht="15" customHeight="1">
      <c r="G3899"/>
      <c r="I3899"/>
      <c r="N3899"/>
      <c r="O3899" s="24"/>
      <c r="P3899"/>
      <c r="Q3899" s="24"/>
      <c r="R3899"/>
      <c r="S3899"/>
      <c r="T3899"/>
      <c r="U3899"/>
      <c r="X3899" s="60"/>
    </row>
    <row r="3900" spans="7:24" ht="15" customHeight="1">
      <c r="G3900"/>
      <c r="I3900"/>
      <c r="N3900"/>
      <c r="O3900" s="24"/>
      <c r="P3900"/>
      <c r="Q3900" s="24"/>
      <c r="R3900"/>
      <c r="S3900"/>
      <c r="T3900"/>
      <c r="U3900"/>
      <c r="X3900" s="60"/>
    </row>
    <row r="3901" spans="7:24" ht="15" customHeight="1">
      <c r="G3901"/>
      <c r="I3901"/>
      <c r="N3901"/>
      <c r="O3901" s="24"/>
      <c r="P3901"/>
      <c r="Q3901" s="24"/>
      <c r="R3901"/>
      <c r="S3901"/>
      <c r="T3901"/>
      <c r="U3901"/>
      <c r="X3901" s="60"/>
    </row>
    <row r="3902" spans="7:24" ht="15" customHeight="1">
      <c r="G3902"/>
      <c r="I3902"/>
      <c r="N3902"/>
      <c r="O3902" s="24"/>
      <c r="P3902"/>
      <c r="Q3902" s="24"/>
      <c r="R3902"/>
      <c r="S3902"/>
      <c r="T3902"/>
      <c r="U3902"/>
      <c r="X3902" s="60"/>
    </row>
    <row r="3903" spans="7:24" ht="15" customHeight="1">
      <c r="G3903"/>
      <c r="I3903"/>
      <c r="N3903"/>
      <c r="O3903" s="24"/>
      <c r="P3903"/>
      <c r="Q3903" s="24"/>
      <c r="R3903"/>
      <c r="S3903"/>
      <c r="T3903"/>
      <c r="U3903"/>
      <c r="X3903" s="60"/>
    </row>
    <row r="3904" spans="7:24" ht="15" customHeight="1">
      <c r="G3904"/>
      <c r="I3904"/>
      <c r="N3904"/>
      <c r="O3904" s="24"/>
      <c r="P3904"/>
      <c r="Q3904" s="24"/>
      <c r="R3904"/>
      <c r="S3904"/>
      <c r="T3904"/>
      <c r="U3904"/>
      <c r="X3904" s="60"/>
    </row>
    <row r="3905" spans="7:24" ht="15" customHeight="1">
      <c r="G3905"/>
      <c r="I3905"/>
      <c r="N3905"/>
      <c r="O3905" s="24"/>
      <c r="P3905"/>
      <c r="Q3905" s="24"/>
      <c r="R3905"/>
      <c r="S3905"/>
      <c r="T3905"/>
      <c r="U3905"/>
      <c r="X3905" s="60"/>
    </row>
    <row r="3906" spans="7:24" ht="15" customHeight="1">
      <c r="G3906"/>
      <c r="I3906"/>
      <c r="N3906"/>
      <c r="O3906" s="24"/>
      <c r="P3906"/>
      <c r="Q3906" s="24"/>
      <c r="R3906"/>
      <c r="S3906"/>
      <c r="T3906"/>
      <c r="U3906"/>
      <c r="X3906" s="60"/>
    </row>
    <row r="3907" spans="7:24" ht="15" customHeight="1">
      <c r="G3907"/>
      <c r="I3907"/>
      <c r="N3907"/>
      <c r="O3907" s="24"/>
      <c r="P3907"/>
      <c r="Q3907" s="24"/>
      <c r="R3907"/>
      <c r="S3907"/>
      <c r="T3907"/>
      <c r="U3907"/>
      <c r="X3907" s="60"/>
    </row>
    <row r="3908" spans="7:24" ht="15" customHeight="1">
      <c r="G3908"/>
      <c r="I3908"/>
      <c r="N3908"/>
      <c r="O3908" s="24"/>
      <c r="P3908"/>
      <c r="Q3908" s="24"/>
      <c r="R3908"/>
      <c r="S3908"/>
      <c r="T3908"/>
      <c r="U3908"/>
      <c r="X3908" s="60"/>
    </row>
    <row r="3909" spans="7:24" ht="15" customHeight="1">
      <c r="G3909"/>
      <c r="I3909"/>
      <c r="N3909"/>
      <c r="O3909" s="24"/>
      <c r="P3909"/>
      <c r="Q3909" s="24"/>
      <c r="R3909"/>
      <c r="S3909"/>
      <c r="T3909"/>
      <c r="U3909"/>
      <c r="X3909" s="60"/>
    </row>
    <row r="3910" spans="7:24" ht="15" customHeight="1">
      <c r="G3910"/>
      <c r="I3910"/>
      <c r="N3910"/>
      <c r="O3910" s="24"/>
      <c r="P3910"/>
      <c r="Q3910" s="24"/>
      <c r="R3910"/>
      <c r="S3910"/>
      <c r="T3910"/>
      <c r="U3910"/>
      <c r="X3910" s="60"/>
    </row>
    <row r="3911" spans="7:24" ht="15" customHeight="1">
      <c r="G3911"/>
      <c r="I3911"/>
      <c r="N3911"/>
      <c r="O3911" s="24"/>
      <c r="P3911"/>
      <c r="Q3911" s="24"/>
      <c r="R3911"/>
      <c r="S3911"/>
      <c r="T3911"/>
      <c r="U3911"/>
      <c r="X3911" s="60"/>
    </row>
    <row r="3912" spans="7:24" ht="15" customHeight="1">
      <c r="G3912"/>
      <c r="I3912"/>
      <c r="N3912"/>
      <c r="O3912" s="24"/>
      <c r="P3912"/>
      <c r="Q3912" s="24"/>
      <c r="R3912"/>
      <c r="S3912"/>
      <c r="T3912"/>
      <c r="U3912"/>
      <c r="X3912" s="60"/>
    </row>
    <row r="3913" spans="7:24" ht="15" customHeight="1">
      <c r="G3913"/>
      <c r="I3913"/>
      <c r="N3913"/>
      <c r="O3913" s="24"/>
      <c r="P3913"/>
      <c r="Q3913" s="24"/>
      <c r="R3913"/>
      <c r="S3913"/>
      <c r="T3913"/>
      <c r="U3913"/>
      <c r="X3913" s="60"/>
    </row>
    <row r="3914" spans="7:24" ht="15" customHeight="1">
      <c r="G3914"/>
      <c r="I3914"/>
      <c r="N3914"/>
      <c r="O3914" s="24"/>
      <c r="P3914"/>
      <c r="Q3914" s="24"/>
      <c r="R3914"/>
      <c r="S3914"/>
      <c r="T3914"/>
      <c r="U3914"/>
      <c r="X3914" s="60"/>
    </row>
    <row r="3915" spans="7:24" ht="15" customHeight="1">
      <c r="G3915"/>
      <c r="I3915"/>
      <c r="N3915"/>
      <c r="O3915" s="24"/>
      <c r="P3915"/>
      <c r="Q3915" s="24"/>
      <c r="R3915"/>
      <c r="S3915"/>
      <c r="T3915"/>
      <c r="U3915"/>
      <c r="X3915" s="60"/>
    </row>
    <row r="3916" spans="7:24" ht="15" customHeight="1">
      <c r="G3916"/>
      <c r="I3916"/>
      <c r="N3916"/>
      <c r="O3916" s="24"/>
      <c r="P3916"/>
      <c r="Q3916" s="24"/>
      <c r="R3916"/>
      <c r="S3916"/>
      <c r="T3916"/>
      <c r="U3916"/>
      <c r="X3916" s="60"/>
    </row>
    <row r="3917" spans="7:24" ht="15" customHeight="1">
      <c r="G3917"/>
      <c r="I3917"/>
      <c r="N3917"/>
      <c r="O3917" s="24"/>
      <c r="P3917"/>
      <c r="Q3917" s="24"/>
      <c r="R3917"/>
      <c r="S3917"/>
      <c r="T3917"/>
      <c r="U3917"/>
      <c r="X3917" s="60"/>
    </row>
    <row r="3918" spans="7:24" ht="15" customHeight="1">
      <c r="G3918"/>
      <c r="I3918"/>
      <c r="N3918"/>
      <c r="O3918" s="24"/>
      <c r="P3918"/>
      <c r="Q3918" s="24"/>
      <c r="R3918"/>
      <c r="S3918"/>
      <c r="T3918"/>
      <c r="U3918"/>
      <c r="X3918" s="60"/>
    </row>
    <row r="3919" spans="7:24" ht="15" customHeight="1">
      <c r="G3919"/>
      <c r="I3919"/>
      <c r="N3919"/>
      <c r="O3919" s="24"/>
      <c r="P3919"/>
      <c r="Q3919" s="24"/>
      <c r="R3919"/>
      <c r="S3919"/>
      <c r="T3919"/>
      <c r="U3919"/>
      <c r="X3919" s="60"/>
    </row>
    <row r="3920" spans="7:24" ht="15" customHeight="1">
      <c r="G3920"/>
      <c r="I3920"/>
      <c r="N3920"/>
      <c r="O3920" s="24"/>
      <c r="P3920"/>
      <c r="Q3920" s="24"/>
      <c r="R3920"/>
      <c r="S3920"/>
      <c r="T3920"/>
      <c r="U3920"/>
      <c r="X3920" s="60"/>
    </row>
    <row r="3921" spans="7:24" ht="15" customHeight="1">
      <c r="G3921"/>
      <c r="I3921"/>
      <c r="N3921"/>
      <c r="O3921" s="24"/>
      <c r="P3921"/>
      <c r="Q3921" s="24"/>
      <c r="R3921"/>
      <c r="S3921"/>
      <c r="T3921"/>
      <c r="U3921"/>
      <c r="X3921" s="60"/>
    </row>
    <row r="3922" spans="7:24" ht="15" customHeight="1">
      <c r="G3922"/>
      <c r="I3922"/>
      <c r="N3922"/>
      <c r="O3922" s="24"/>
      <c r="P3922"/>
      <c r="Q3922" s="24"/>
      <c r="R3922"/>
      <c r="S3922"/>
      <c r="T3922"/>
      <c r="U3922"/>
      <c r="X3922" s="60"/>
    </row>
    <row r="3923" spans="7:24" ht="15" customHeight="1">
      <c r="G3923"/>
      <c r="I3923"/>
      <c r="N3923"/>
      <c r="O3923" s="24"/>
      <c r="P3923"/>
      <c r="Q3923" s="24"/>
      <c r="R3923"/>
      <c r="S3923"/>
      <c r="T3923"/>
      <c r="U3923"/>
      <c r="X3923" s="60"/>
    </row>
    <row r="3924" spans="7:24" ht="15" customHeight="1">
      <c r="G3924"/>
      <c r="I3924"/>
      <c r="N3924"/>
      <c r="O3924" s="24"/>
      <c r="P3924"/>
      <c r="Q3924" s="24"/>
      <c r="R3924"/>
      <c r="S3924"/>
      <c r="T3924"/>
      <c r="U3924"/>
      <c r="X3924" s="60"/>
    </row>
    <row r="3925" spans="7:24" ht="15" customHeight="1">
      <c r="G3925"/>
      <c r="I3925"/>
      <c r="N3925"/>
      <c r="O3925" s="24"/>
      <c r="P3925"/>
      <c r="Q3925" s="24"/>
      <c r="R3925"/>
      <c r="S3925"/>
      <c r="T3925"/>
      <c r="U3925"/>
      <c r="X3925" s="60"/>
    </row>
    <row r="3926" spans="7:24" ht="15" customHeight="1">
      <c r="G3926"/>
      <c r="I3926"/>
      <c r="N3926"/>
      <c r="O3926" s="24"/>
      <c r="P3926"/>
      <c r="Q3926" s="24"/>
      <c r="R3926"/>
      <c r="S3926"/>
      <c r="T3926"/>
      <c r="U3926"/>
      <c r="X3926" s="60"/>
    </row>
    <row r="3927" spans="7:24" ht="15" customHeight="1">
      <c r="G3927"/>
      <c r="I3927"/>
      <c r="N3927"/>
      <c r="O3927" s="24"/>
      <c r="P3927"/>
      <c r="Q3927" s="24"/>
      <c r="R3927"/>
      <c r="S3927"/>
      <c r="T3927"/>
      <c r="U3927"/>
      <c r="X3927" s="60"/>
    </row>
    <row r="3928" spans="7:24" ht="15" customHeight="1">
      <c r="G3928"/>
      <c r="I3928"/>
      <c r="N3928"/>
      <c r="O3928" s="24"/>
      <c r="P3928"/>
      <c r="Q3928" s="24"/>
      <c r="R3928"/>
      <c r="S3928"/>
      <c r="T3928"/>
      <c r="U3928"/>
      <c r="X3928" s="60"/>
    </row>
    <row r="3929" spans="7:24" ht="15" customHeight="1">
      <c r="G3929"/>
      <c r="I3929"/>
      <c r="N3929"/>
      <c r="O3929" s="24"/>
      <c r="P3929"/>
      <c r="Q3929" s="24"/>
      <c r="R3929"/>
      <c r="S3929"/>
      <c r="T3929"/>
      <c r="U3929"/>
      <c r="X3929" s="60"/>
    </row>
    <row r="3930" spans="7:24" ht="15" customHeight="1">
      <c r="G3930"/>
      <c r="I3930"/>
      <c r="N3930"/>
      <c r="O3930" s="24"/>
      <c r="P3930"/>
      <c r="Q3930" s="24"/>
      <c r="R3930"/>
      <c r="S3930"/>
      <c r="T3930"/>
      <c r="U3930"/>
      <c r="X3930" s="60"/>
    </row>
    <row r="3931" spans="7:24" ht="15" customHeight="1">
      <c r="G3931"/>
      <c r="I3931"/>
      <c r="N3931"/>
      <c r="O3931" s="24"/>
      <c r="P3931"/>
      <c r="Q3931" s="24"/>
      <c r="R3931"/>
      <c r="S3931"/>
      <c r="T3931"/>
      <c r="U3931"/>
      <c r="X3931" s="60"/>
    </row>
    <row r="3932" spans="7:24" ht="15" customHeight="1">
      <c r="G3932"/>
      <c r="I3932"/>
      <c r="N3932"/>
      <c r="O3932" s="24"/>
      <c r="P3932"/>
      <c r="Q3932" s="24"/>
      <c r="R3932"/>
      <c r="S3932"/>
      <c r="T3932"/>
      <c r="U3932"/>
      <c r="X3932" s="60"/>
    </row>
    <row r="3933" spans="7:24" ht="15" customHeight="1">
      <c r="G3933"/>
      <c r="I3933"/>
      <c r="N3933"/>
      <c r="O3933" s="24"/>
      <c r="P3933"/>
      <c r="Q3933" s="24"/>
      <c r="R3933"/>
      <c r="S3933"/>
      <c r="T3933"/>
      <c r="U3933"/>
      <c r="X3933" s="60"/>
    </row>
    <row r="3934" spans="7:24" ht="15" customHeight="1">
      <c r="G3934"/>
      <c r="I3934"/>
      <c r="N3934"/>
      <c r="O3934" s="24"/>
      <c r="P3934"/>
      <c r="Q3934" s="24"/>
      <c r="R3934"/>
      <c r="S3934"/>
      <c r="T3934"/>
      <c r="U3934"/>
      <c r="X3934" s="60"/>
    </row>
    <row r="3935" spans="7:24" ht="15" customHeight="1">
      <c r="G3935"/>
      <c r="I3935"/>
      <c r="N3935"/>
      <c r="O3935" s="24"/>
      <c r="P3935"/>
      <c r="Q3935" s="24"/>
      <c r="R3935"/>
      <c r="S3935"/>
      <c r="T3935"/>
      <c r="U3935"/>
      <c r="X3935" s="60"/>
    </row>
    <row r="3936" spans="7:24" ht="15" customHeight="1">
      <c r="G3936"/>
      <c r="I3936"/>
      <c r="N3936"/>
      <c r="O3936" s="24"/>
      <c r="P3936"/>
      <c r="Q3936" s="24"/>
      <c r="R3936"/>
      <c r="S3936"/>
      <c r="T3936"/>
      <c r="U3936"/>
      <c r="X3936" s="60"/>
    </row>
    <row r="3937" spans="7:24" ht="15" customHeight="1">
      <c r="G3937"/>
      <c r="I3937"/>
      <c r="N3937"/>
      <c r="O3937" s="24"/>
      <c r="P3937"/>
      <c r="Q3937" s="24"/>
      <c r="R3937"/>
      <c r="S3937"/>
      <c r="T3937"/>
      <c r="U3937"/>
      <c r="X3937" s="60"/>
    </row>
    <row r="3938" spans="7:24" ht="15" customHeight="1">
      <c r="G3938"/>
      <c r="I3938"/>
      <c r="N3938"/>
      <c r="O3938" s="24"/>
      <c r="P3938"/>
      <c r="Q3938" s="24"/>
      <c r="R3938"/>
      <c r="S3938"/>
      <c r="T3938"/>
      <c r="U3938"/>
      <c r="X3938" s="60"/>
    </row>
    <row r="3939" spans="7:24" ht="15" customHeight="1">
      <c r="G3939"/>
      <c r="I3939"/>
      <c r="N3939"/>
      <c r="O3939" s="24"/>
      <c r="P3939"/>
      <c r="Q3939" s="24"/>
      <c r="R3939"/>
      <c r="S3939"/>
      <c r="T3939"/>
      <c r="U3939"/>
      <c r="X3939" s="60"/>
    </row>
    <row r="3940" spans="7:24" ht="15" customHeight="1">
      <c r="G3940"/>
      <c r="I3940"/>
      <c r="N3940"/>
      <c r="O3940" s="24"/>
      <c r="P3940"/>
      <c r="Q3940" s="24"/>
      <c r="R3940"/>
      <c r="S3940"/>
      <c r="T3940"/>
      <c r="U3940"/>
      <c r="X3940" s="60"/>
    </row>
    <row r="3941" spans="7:24" ht="15" customHeight="1">
      <c r="G3941"/>
      <c r="I3941"/>
      <c r="N3941"/>
      <c r="O3941" s="24"/>
      <c r="P3941"/>
      <c r="Q3941" s="24"/>
      <c r="R3941"/>
      <c r="S3941"/>
      <c r="T3941"/>
      <c r="U3941"/>
      <c r="X3941" s="60"/>
    </row>
    <row r="3942" spans="7:24" ht="15" customHeight="1">
      <c r="G3942"/>
      <c r="I3942"/>
      <c r="N3942"/>
      <c r="O3942" s="24"/>
      <c r="P3942"/>
      <c r="Q3942" s="24"/>
      <c r="R3942"/>
      <c r="S3942"/>
      <c r="T3942"/>
      <c r="U3942"/>
      <c r="X3942" s="60"/>
    </row>
    <row r="3943" spans="7:24" ht="15" customHeight="1">
      <c r="G3943"/>
      <c r="I3943"/>
      <c r="N3943"/>
      <c r="O3943" s="24"/>
      <c r="P3943"/>
      <c r="Q3943" s="24"/>
      <c r="R3943"/>
      <c r="S3943"/>
      <c r="T3943"/>
      <c r="U3943"/>
      <c r="X3943" s="60"/>
    </row>
    <row r="3944" spans="7:24" ht="15" customHeight="1">
      <c r="G3944"/>
      <c r="I3944"/>
      <c r="N3944"/>
      <c r="O3944" s="24"/>
      <c r="P3944"/>
      <c r="Q3944" s="24"/>
      <c r="R3944"/>
      <c r="S3944"/>
      <c r="T3944"/>
      <c r="U3944"/>
      <c r="X3944" s="60"/>
    </row>
    <row r="3945" spans="7:24" ht="15" customHeight="1">
      <c r="G3945"/>
      <c r="I3945"/>
      <c r="N3945"/>
      <c r="O3945" s="24"/>
      <c r="P3945"/>
      <c r="Q3945" s="24"/>
      <c r="R3945"/>
      <c r="S3945"/>
      <c r="T3945"/>
      <c r="U3945"/>
      <c r="X3945" s="60"/>
    </row>
    <row r="3946" spans="7:24" ht="15" customHeight="1">
      <c r="G3946"/>
      <c r="I3946"/>
      <c r="N3946"/>
      <c r="O3946" s="24"/>
      <c r="P3946"/>
      <c r="Q3946" s="24"/>
      <c r="R3946"/>
      <c r="S3946"/>
      <c r="T3946"/>
      <c r="U3946"/>
      <c r="X3946" s="60"/>
    </row>
    <row r="3947" spans="7:24" ht="15" customHeight="1">
      <c r="G3947"/>
      <c r="I3947"/>
      <c r="N3947"/>
      <c r="O3947" s="24"/>
      <c r="P3947"/>
      <c r="Q3947" s="24"/>
      <c r="R3947"/>
      <c r="S3947"/>
      <c r="T3947"/>
      <c r="U3947"/>
      <c r="X3947" s="60"/>
    </row>
    <row r="3948" spans="7:24" ht="15" customHeight="1">
      <c r="G3948"/>
      <c r="I3948"/>
      <c r="N3948"/>
      <c r="O3948" s="24"/>
      <c r="P3948"/>
      <c r="Q3948" s="24"/>
      <c r="R3948"/>
      <c r="S3948"/>
      <c r="T3948"/>
      <c r="U3948"/>
      <c r="X3948" s="60"/>
    </row>
    <row r="3949" spans="7:24" ht="15" customHeight="1">
      <c r="G3949"/>
      <c r="I3949"/>
      <c r="N3949"/>
      <c r="O3949" s="24"/>
      <c r="P3949"/>
      <c r="Q3949" s="24"/>
      <c r="R3949"/>
      <c r="S3949"/>
      <c r="T3949"/>
      <c r="U3949"/>
      <c r="X3949" s="60"/>
    </row>
    <row r="3950" spans="7:24" ht="15" customHeight="1">
      <c r="G3950"/>
      <c r="I3950"/>
      <c r="N3950"/>
      <c r="O3950" s="24"/>
      <c r="P3950"/>
      <c r="Q3950" s="24"/>
      <c r="R3950"/>
      <c r="S3950"/>
      <c r="T3950"/>
      <c r="U3950"/>
      <c r="X3950" s="60"/>
    </row>
    <row r="3951" spans="7:24" ht="15" customHeight="1">
      <c r="G3951"/>
      <c r="I3951"/>
      <c r="N3951"/>
      <c r="O3951" s="24"/>
      <c r="P3951"/>
      <c r="Q3951" s="24"/>
      <c r="R3951"/>
      <c r="S3951"/>
      <c r="T3951"/>
      <c r="U3951"/>
      <c r="X3951" s="60"/>
    </row>
    <row r="3952" spans="7:24" ht="15" customHeight="1">
      <c r="G3952"/>
      <c r="I3952"/>
      <c r="N3952"/>
      <c r="O3952" s="24"/>
      <c r="P3952"/>
      <c r="Q3952" s="24"/>
      <c r="R3952"/>
      <c r="S3952"/>
      <c r="T3952"/>
      <c r="U3952"/>
      <c r="X3952" s="60"/>
    </row>
    <row r="3953" spans="7:24" ht="15" customHeight="1">
      <c r="G3953"/>
      <c r="I3953"/>
      <c r="N3953"/>
      <c r="O3953" s="24"/>
      <c r="P3953"/>
      <c r="Q3953" s="24"/>
      <c r="R3953"/>
      <c r="S3953"/>
      <c r="T3953"/>
      <c r="U3953"/>
      <c r="X3953" s="60"/>
    </row>
    <row r="3954" spans="7:24" ht="15" customHeight="1">
      <c r="G3954"/>
      <c r="I3954"/>
      <c r="N3954"/>
      <c r="O3954" s="24"/>
      <c r="P3954"/>
      <c r="Q3954" s="24"/>
      <c r="R3954"/>
      <c r="S3954"/>
      <c r="T3954"/>
      <c r="U3954"/>
      <c r="X3954" s="60"/>
    </row>
    <row r="3955" spans="7:24" ht="15" customHeight="1">
      <c r="G3955"/>
      <c r="I3955"/>
      <c r="N3955"/>
      <c r="O3955" s="24"/>
      <c r="P3955"/>
      <c r="Q3955" s="24"/>
      <c r="R3955"/>
      <c r="S3955"/>
      <c r="T3955"/>
      <c r="U3955"/>
      <c r="X3955" s="60"/>
    </row>
    <row r="3956" spans="7:24" ht="15" customHeight="1">
      <c r="G3956"/>
      <c r="I3956"/>
      <c r="N3956"/>
      <c r="O3956" s="24"/>
      <c r="P3956"/>
      <c r="Q3956" s="24"/>
      <c r="R3956"/>
      <c r="S3956"/>
      <c r="T3956"/>
      <c r="U3956"/>
      <c r="X3956" s="60"/>
    </row>
    <row r="3957" spans="7:24" ht="15" customHeight="1">
      <c r="G3957"/>
      <c r="I3957"/>
      <c r="N3957"/>
      <c r="O3957" s="24"/>
      <c r="P3957"/>
      <c r="Q3957" s="24"/>
      <c r="R3957"/>
      <c r="S3957"/>
      <c r="T3957"/>
      <c r="U3957"/>
      <c r="X3957" s="60"/>
    </row>
    <row r="3958" spans="7:24" ht="15" customHeight="1">
      <c r="G3958"/>
      <c r="I3958"/>
      <c r="N3958"/>
      <c r="O3958" s="24"/>
      <c r="P3958"/>
      <c r="Q3958" s="24"/>
      <c r="R3958"/>
      <c r="S3958"/>
      <c r="T3958"/>
      <c r="U3958"/>
      <c r="X3958" s="60"/>
    </row>
    <row r="3959" spans="7:24" ht="15" customHeight="1">
      <c r="G3959"/>
      <c r="I3959"/>
      <c r="N3959"/>
      <c r="O3959" s="24"/>
      <c r="P3959"/>
      <c r="Q3959" s="24"/>
      <c r="R3959"/>
      <c r="S3959"/>
      <c r="T3959"/>
      <c r="U3959"/>
      <c r="X3959" s="60"/>
    </row>
    <row r="3960" spans="7:24" ht="15" customHeight="1">
      <c r="G3960"/>
      <c r="I3960"/>
      <c r="N3960"/>
      <c r="O3960" s="24"/>
      <c r="P3960"/>
      <c r="Q3960" s="24"/>
      <c r="R3960"/>
      <c r="S3960"/>
      <c r="T3960"/>
      <c r="U3960"/>
      <c r="X3960" s="60"/>
    </row>
    <row r="3961" spans="7:24" ht="15" customHeight="1">
      <c r="G3961"/>
      <c r="I3961"/>
      <c r="N3961"/>
      <c r="O3961" s="24"/>
      <c r="P3961"/>
      <c r="Q3961" s="24"/>
      <c r="R3961"/>
      <c r="S3961"/>
      <c r="T3961"/>
      <c r="U3961"/>
      <c r="X3961" s="60"/>
    </row>
    <row r="3962" spans="7:24" ht="15" customHeight="1">
      <c r="G3962"/>
      <c r="I3962"/>
      <c r="N3962"/>
      <c r="O3962" s="24"/>
      <c r="P3962"/>
      <c r="Q3962" s="24"/>
      <c r="R3962"/>
      <c r="S3962"/>
      <c r="T3962"/>
      <c r="U3962"/>
      <c r="X3962" s="60"/>
    </row>
    <row r="3963" spans="7:24" ht="15" customHeight="1">
      <c r="G3963"/>
      <c r="I3963"/>
      <c r="N3963"/>
      <c r="O3963" s="24"/>
      <c r="P3963"/>
      <c r="Q3963" s="24"/>
      <c r="R3963"/>
      <c r="S3963"/>
      <c r="T3963"/>
      <c r="U3963"/>
      <c r="X3963" s="60"/>
    </row>
    <row r="3964" spans="7:24" ht="15" customHeight="1">
      <c r="G3964"/>
      <c r="I3964"/>
      <c r="N3964"/>
      <c r="O3964" s="24"/>
      <c r="P3964"/>
      <c r="Q3964" s="24"/>
      <c r="R3964"/>
      <c r="S3964"/>
      <c r="T3964"/>
      <c r="U3964"/>
      <c r="X3964" s="60"/>
    </row>
    <row r="3965" spans="7:24" ht="15" customHeight="1">
      <c r="G3965"/>
      <c r="I3965"/>
      <c r="N3965"/>
      <c r="O3965" s="24"/>
      <c r="P3965"/>
      <c r="Q3965" s="24"/>
      <c r="R3965"/>
      <c r="S3965"/>
      <c r="T3965"/>
      <c r="U3965"/>
      <c r="X3965" s="60"/>
    </row>
    <row r="3966" spans="7:24" ht="15" customHeight="1">
      <c r="G3966"/>
      <c r="I3966"/>
      <c r="N3966"/>
      <c r="O3966" s="24"/>
      <c r="P3966"/>
      <c r="Q3966" s="24"/>
      <c r="R3966"/>
      <c r="S3966"/>
      <c r="T3966"/>
      <c r="U3966"/>
      <c r="X3966" s="60"/>
    </row>
    <row r="3967" spans="7:24" ht="15" customHeight="1">
      <c r="G3967"/>
      <c r="I3967"/>
      <c r="N3967"/>
      <c r="O3967" s="24"/>
      <c r="P3967"/>
      <c r="Q3967" s="24"/>
      <c r="R3967"/>
      <c r="S3967"/>
      <c r="T3967"/>
      <c r="U3967"/>
      <c r="X3967" s="60"/>
    </row>
    <row r="3968" spans="7:24" ht="15" customHeight="1">
      <c r="G3968"/>
      <c r="I3968"/>
      <c r="N3968"/>
      <c r="O3968" s="24"/>
      <c r="P3968"/>
      <c r="Q3968" s="24"/>
      <c r="R3968"/>
      <c r="S3968"/>
      <c r="T3968"/>
      <c r="U3968"/>
      <c r="X3968" s="60"/>
    </row>
    <row r="3969" spans="7:24" ht="15" customHeight="1">
      <c r="G3969"/>
      <c r="I3969"/>
      <c r="N3969"/>
      <c r="O3969" s="24"/>
      <c r="P3969"/>
      <c r="Q3969" s="24"/>
      <c r="R3969"/>
      <c r="S3969"/>
      <c r="T3969"/>
      <c r="U3969"/>
      <c r="X3969" s="60"/>
    </row>
    <row r="3970" spans="7:24" ht="15" customHeight="1">
      <c r="G3970"/>
      <c r="I3970"/>
      <c r="N3970"/>
      <c r="O3970" s="24"/>
      <c r="P3970"/>
      <c r="Q3970" s="24"/>
      <c r="R3970"/>
      <c r="S3970"/>
      <c r="T3970"/>
      <c r="U3970"/>
      <c r="X3970" s="60"/>
    </row>
    <row r="3971" spans="7:24" ht="15" customHeight="1">
      <c r="G3971"/>
      <c r="I3971"/>
      <c r="N3971"/>
      <c r="O3971" s="24"/>
      <c r="P3971"/>
      <c r="Q3971" s="24"/>
      <c r="R3971"/>
      <c r="S3971"/>
      <c r="T3971"/>
      <c r="U3971"/>
      <c r="X3971" s="60"/>
    </row>
    <row r="3972" spans="7:24" ht="15" customHeight="1">
      <c r="G3972"/>
      <c r="I3972"/>
      <c r="N3972"/>
      <c r="O3972" s="24"/>
      <c r="P3972"/>
      <c r="Q3972" s="24"/>
      <c r="R3972"/>
      <c r="S3972"/>
      <c r="T3972"/>
      <c r="U3972"/>
      <c r="X3972" s="60"/>
    </row>
    <row r="3973" spans="7:24" ht="15" customHeight="1">
      <c r="G3973"/>
      <c r="I3973"/>
      <c r="N3973"/>
      <c r="O3973" s="24"/>
      <c r="P3973"/>
      <c r="Q3973" s="24"/>
      <c r="R3973"/>
      <c r="S3973"/>
      <c r="T3973"/>
      <c r="U3973"/>
      <c r="X3973" s="60"/>
    </row>
    <row r="3974" spans="7:24" ht="15" customHeight="1">
      <c r="G3974"/>
      <c r="I3974"/>
      <c r="N3974"/>
      <c r="O3974" s="24"/>
      <c r="P3974"/>
      <c r="Q3974" s="24"/>
      <c r="R3974"/>
      <c r="S3974"/>
      <c r="T3974"/>
      <c r="U3974"/>
      <c r="X3974" s="60"/>
    </row>
    <row r="3975" spans="7:24" ht="15" customHeight="1">
      <c r="G3975"/>
      <c r="I3975"/>
      <c r="N3975"/>
      <c r="O3975" s="24"/>
      <c r="P3975"/>
      <c r="Q3975" s="24"/>
      <c r="R3975"/>
      <c r="S3975"/>
      <c r="T3975"/>
      <c r="U3975"/>
      <c r="X3975" s="60"/>
    </row>
    <row r="3976" spans="7:24" ht="15" customHeight="1">
      <c r="G3976"/>
      <c r="I3976"/>
      <c r="N3976"/>
      <c r="O3976" s="24"/>
      <c r="P3976"/>
      <c r="Q3976" s="24"/>
      <c r="R3976"/>
      <c r="S3976"/>
      <c r="T3976"/>
      <c r="U3976"/>
      <c r="X3976" s="60"/>
    </row>
    <row r="3977" spans="7:24" ht="15" customHeight="1">
      <c r="G3977"/>
      <c r="I3977"/>
      <c r="N3977"/>
      <c r="O3977" s="24"/>
      <c r="P3977"/>
      <c r="Q3977" s="24"/>
      <c r="R3977"/>
      <c r="S3977"/>
      <c r="T3977"/>
      <c r="U3977"/>
      <c r="X3977" s="60"/>
    </row>
    <row r="3978" spans="7:24" ht="15" customHeight="1">
      <c r="G3978"/>
      <c r="I3978"/>
      <c r="N3978"/>
      <c r="O3978" s="24"/>
      <c r="P3978"/>
      <c r="Q3978" s="24"/>
      <c r="R3978"/>
      <c r="S3978"/>
      <c r="T3978"/>
      <c r="U3978"/>
      <c r="X3978" s="60"/>
    </row>
    <row r="3979" spans="7:24" ht="15" customHeight="1">
      <c r="G3979"/>
      <c r="I3979"/>
      <c r="N3979"/>
      <c r="O3979" s="24"/>
      <c r="P3979"/>
      <c r="Q3979" s="24"/>
      <c r="R3979"/>
      <c r="S3979"/>
      <c r="T3979"/>
      <c r="U3979"/>
      <c r="X3979" s="60"/>
    </row>
    <row r="3980" spans="7:24" ht="15" customHeight="1">
      <c r="G3980"/>
      <c r="I3980"/>
      <c r="N3980"/>
      <c r="O3980" s="24"/>
      <c r="P3980"/>
      <c r="Q3980" s="24"/>
      <c r="R3980"/>
      <c r="S3980"/>
      <c r="T3980"/>
      <c r="U3980"/>
      <c r="X3980" s="60"/>
    </row>
    <row r="3981" spans="7:24" ht="15" customHeight="1">
      <c r="G3981"/>
      <c r="I3981"/>
      <c r="N3981"/>
      <c r="O3981" s="24"/>
      <c r="P3981"/>
      <c r="Q3981" s="24"/>
      <c r="R3981"/>
      <c r="S3981"/>
      <c r="T3981"/>
      <c r="U3981"/>
      <c r="X3981" s="60"/>
    </row>
    <row r="3982" spans="7:24" ht="15" customHeight="1">
      <c r="G3982"/>
      <c r="I3982"/>
      <c r="N3982"/>
      <c r="O3982" s="24"/>
      <c r="P3982"/>
      <c r="Q3982" s="24"/>
      <c r="R3982"/>
      <c r="S3982"/>
      <c r="T3982"/>
      <c r="U3982"/>
      <c r="X3982" s="60"/>
    </row>
    <row r="3983" spans="7:24" ht="15" customHeight="1">
      <c r="G3983"/>
      <c r="I3983"/>
      <c r="N3983"/>
      <c r="O3983" s="24"/>
      <c r="P3983"/>
      <c r="Q3983" s="24"/>
      <c r="R3983"/>
      <c r="S3983"/>
      <c r="T3983"/>
      <c r="U3983"/>
      <c r="X3983" s="60"/>
    </row>
    <row r="3984" spans="7:24" ht="15" customHeight="1">
      <c r="G3984"/>
      <c r="I3984"/>
      <c r="N3984"/>
      <c r="O3984" s="24"/>
      <c r="P3984"/>
      <c r="Q3984" s="24"/>
      <c r="R3984"/>
      <c r="S3984"/>
      <c r="T3984"/>
      <c r="U3984"/>
      <c r="X3984" s="60"/>
    </row>
    <row r="3985" spans="7:24" ht="15" customHeight="1">
      <c r="G3985"/>
      <c r="I3985"/>
      <c r="N3985"/>
      <c r="O3985" s="24"/>
      <c r="P3985"/>
      <c r="Q3985" s="24"/>
      <c r="R3985"/>
      <c r="S3985"/>
      <c r="T3985"/>
      <c r="U3985"/>
      <c r="X3985" s="60"/>
    </row>
    <row r="3986" spans="7:24" ht="15" customHeight="1">
      <c r="G3986"/>
      <c r="I3986"/>
      <c r="N3986"/>
      <c r="O3986" s="24"/>
      <c r="P3986"/>
      <c r="Q3986" s="24"/>
      <c r="R3986"/>
      <c r="S3986"/>
      <c r="T3986"/>
      <c r="U3986"/>
      <c r="X3986" s="60"/>
    </row>
    <row r="3987" spans="7:24" ht="15" customHeight="1">
      <c r="G3987"/>
      <c r="I3987"/>
      <c r="N3987"/>
      <c r="O3987" s="24"/>
      <c r="P3987"/>
      <c r="Q3987" s="24"/>
      <c r="R3987"/>
      <c r="S3987"/>
      <c r="T3987"/>
      <c r="U3987"/>
      <c r="X3987" s="60"/>
    </row>
    <row r="3988" spans="7:24" ht="15" customHeight="1">
      <c r="G3988"/>
      <c r="I3988"/>
      <c r="N3988"/>
      <c r="O3988" s="24"/>
      <c r="P3988"/>
      <c r="Q3988" s="24"/>
      <c r="R3988"/>
      <c r="S3988"/>
      <c r="T3988"/>
      <c r="U3988"/>
      <c r="X3988" s="60"/>
    </row>
    <row r="3989" spans="7:24" ht="15" customHeight="1">
      <c r="G3989"/>
      <c r="I3989"/>
      <c r="N3989"/>
      <c r="O3989" s="24"/>
      <c r="P3989"/>
      <c r="Q3989" s="24"/>
      <c r="R3989"/>
      <c r="S3989"/>
      <c r="T3989"/>
      <c r="U3989"/>
      <c r="X3989" s="60"/>
    </row>
    <row r="3990" spans="7:24" ht="15" customHeight="1">
      <c r="G3990"/>
      <c r="I3990"/>
      <c r="N3990"/>
      <c r="O3990" s="24"/>
      <c r="P3990"/>
      <c r="Q3990" s="24"/>
      <c r="R3990"/>
      <c r="S3990"/>
      <c r="T3990"/>
      <c r="U3990"/>
      <c r="X3990" s="60"/>
    </row>
    <row r="3991" spans="7:24" ht="15" customHeight="1">
      <c r="G3991"/>
      <c r="I3991"/>
      <c r="N3991"/>
      <c r="O3991" s="24"/>
      <c r="P3991"/>
      <c r="Q3991" s="24"/>
      <c r="R3991"/>
      <c r="S3991"/>
      <c r="T3991"/>
      <c r="U3991"/>
      <c r="X3991" s="60"/>
    </row>
    <row r="3992" spans="7:24" ht="15" customHeight="1">
      <c r="G3992"/>
      <c r="I3992"/>
      <c r="N3992"/>
      <c r="O3992" s="24"/>
      <c r="P3992"/>
      <c r="Q3992" s="24"/>
      <c r="R3992"/>
      <c r="S3992"/>
      <c r="T3992"/>
      <c r="U3992"/>
      <c r="X3992" s="60"/>
    </row>
    <row r="3993" spans="7:24" ht="15" customHeight="1">
      <c r="G3993"/>
      <c r="I3993"/>
      <c r="N3993"/>
      <c r="O3993" s="24"/>
      <c r="P3993"/>
      <c r="Q3993" s="24"/>
      <c r="R3993"/>
      <c r="S3993"/>
      <c r="T3993"/>
      <c r="U3993"/>
      <c r="X3993" s="60"/>
    </row>
    <row r="3994" spans="7:24" ht="15" customHeight="1">
      <c r="G3994"/>
      <c r="I3994"/>
      <c r="N3994"/>
      <c r="O3994" s="24"/>
      <c r="P3994"/>
      <c r="Q3994" s="24"/>
      <c r="R3994"/>
      <c r="S3994"/>
      <c r="T3994"/>
      <c r="U3994"/>
      <c r="X3994" s="60"/>
    </row>
    <row r="3995" spans="7:24" ht="15" customHeight="1">
      <c r="G3995"/>
      <c r="I3995"/>
      <c r="N3995"/>
      <c r="O3995" s="24"/>
      <c r="P3995"/>
      <c r="Q3995" s="24"/>
      <c r="R3995"/>
      <c r="S3995"/>
      <c r="T3995"/>
      <c r="U3995"/>
      <c r="X3995" s="60"/>
    </row>
    <row r="3996" spans="7:24" ht="15" customHeight="1">
      <c r="G3996"/>
      <c r="I3996"/>
      <c r="N3996"/>
      <c r="O3996" s="24"/>
      <c r="P3996"/>
      <c r="Q3996" s="24"/>
      <c r="R3996"/>
      <c r="S3996"/>
      <c r="T3996"/>
      <c r="U3996"/>
      <c r="X3996" s="60"/>
    </row>
    <row r="3997" spans="7:24" ht="15" customHeight="1">
      <c r="G3997"/>
      <c r="I3997"/>
      <c r="N3997"/>
      <c r="O3997" s="24"/>
      <c r="P3997"/>
      <c r="Q3997" s="24"/>
      <c r="R3997"/>
      <c r="S3997"/>
      <c r="T3997"/>
      <c r="U3997"/>
      <c r="X3997" s="60"/>
    </row>
    <row r="3998" spans="7:24" ht="15" customHeight="1">
      <c r="G3998"/>
      <c r="I3998"/>
      <c r="N3998"/>
      <c r="O3998" s="24"/>
      <c r="P3998"/>
      <c r="Q3998" s="24"/>
      <c r="R3998"/>
      <c r="S3998"/>
      <c r="T3998"/>
      <c r="U3998"/>
      <c r="X3998" s="60"/>
    </row>
    <row r="3999" spans="7:24" ht="15" customHeight="1">
      <c r="G3999"/>
      <c r="I3999"/>
      <c r="N3999"/>
      <c r="O3999" s="24"/>
      <c r="P3999"/>
      <c r="Q3999" s="24"/>
      <c r="R3999"/>
      <c r="S3999"/>
      <c r="T3999"/>
      <c r="U3999"/>
      <c r="X3999" s="60"/>
    </row>
    <row r="4000" spans="7:24" ht="15" customHeight="1">
      <c r="G4000"/>
      <c r="I4000"/>
      <c r="N4000"/>
      <c r="O4000" s="24"/>
      <c r="P4000"/>
      <c r="Q4000" s="24"/>
      <c r="R4000"/>
      <c r="S4000"/>
      <c r="T4000"/>
      <c r="U4000"/>
      <c r="X4000" s="60"/>
    </row>
    <row r="4001" spans="7:24" ht="15" customHeight="1">
      <c r="G4001"/>
      <c r="I4001"/>
      <c r="N4001"/>
      <c r="O4001" s="24"/>
      <c r="P4001"/>
      <c r="Q4001" s="24"/>
      <c r="R4001"/>
      <c r="S4001"/>
      <c r="T4001"/>
      <c r="U4001"/>
      <c r="X4001" s="60"/>
    </row>
    <row r="4002" spans="7:24" ht="15" customHeight="1">
      <c r="G4002"/>
      <c r="I4002"/>
      <c r="N4002"/>
      <c r="O4002" s="24"/>
      <c r="P4002"/>
      <c r="Q4002" s="24"/>
      <c r="R4002"/>
      <c r="S4002"/>
      <c r="T4002"/>
      <c r="U4002"/>
      <c r="X4002" s="60"/>
    </row>
    <row r="4003" spans="7:24" ht="15" customHeight="1">
      <c r="G4003"/>
      <c r="I4003"/>
      <c r="N4003"/>
      <c r="O4003" s="24"/>
      <c r="P4003"/>
      <c r="Q4003" s="24"/>
      <c r="R4003"/>
      <c r="S4003"/>
      <c r="T4003"/>
      <c r="U4003"/>
      <c r="X4003" s="60"/>
    </row>
    <row r="4004" spans="7:24" ht="15" customHeight="1">
      <c r="G4004"/>
      <c r="I4004"/>
      <c r="N4004"/>
      <c r="O4004" s="24"/>
      <c r="P4004"/>
      <c r="Q4004" s="24"/>
      <c r="R4004"/>
      <c r="S4004"/>
      <c r="T4004"/>
      <c r="U4004"/>
      <c r="X4004" s="60"/>
    </row>
    <row r="4005" spans="7:24" ht="15" customHeight="1">
      <c r="G4005"/>
      <c r="I4005"/>
      <c r="N4005"/>
      <c r="O4005" s="24"/>
      <c r="P4005"/>
      <c r="Q4005" s="24"/>
      <c r="R4005"/>
      <c r="S4005"/>
      <c r="T4005"/>
      <c r="U4005"/>
      <c r="X4005" s="60"/>
    </row>
    <row r="4006" spans="7:24" ht="15" customHeight="1">
      <c r="G4006"/>
      <c r="I4006"/>
      <c r="N4006"/>
      <c r="O4006" s="24"/>
      <c r="P4006"/>
      <c r="Q4006" s="24"/>
      <c r="R4006"/>
      <c r="S4006"/>
      <c r="T4006"/>
      <c r="U4006"/>
      <c r="X4006" s="60"/>
    </row>
    <row r="4007" spans="7:24" ht="15" customHeight="1">
      <c r="G4007"/>
      <c r="I4007"/>
      <c r="N4007"/>
      <c r="O4007" s="24"/>
      <c r="P4007"/>
      <c r="Q4007" s="24"/>
      <c r="R4007"/>
      <c r="S4007"/>
      <c r="T4007"/>
      <c r="U4007"/>
      <c r="X4007" s="60"/>
    </row>
    <row r="4008" spans="7:24" ht="15" customHeight="1">
      <c r="G4008"/>
      <c r="I4008"/>
      <c r="N4008"/>
      <c r="O4008" s="24"/>
      <c r="P4008"/>
      <c r="Q4008" s="24"/>
      <c r="R4008"/>
      <c r="S4008"/>
      <c r="T4008"/>
      <c r="U4008"/>
      <c r="X4008" s="60"/>
    </row>
    <row r="4009" spans="7:24" ht="15" customHeight="1">
      <c r="G4009"/>
      <c r="I4009"/>
      <c r="N4009"/>
      <c r="O4009" s="24"/>
      <c r="P4009"/>
      <c r="Q4009" s="24"/>
      <c r="R4009"/>
      <c r="S4009"/>
      <c r="T4009"/>
      <c r="U4009"/>
      <c r="X4009" s="60"/>
    </row>
    <row r="4010" spans="7:24" ht="15" customHeight="1">
      <c r="G4010"/>
      <c r="I4010"/>
      <c r="N4010"/>
      <c r="O4010" s="24"/>
      <c r="P4010"/>
      <c r="Q4010" s="24"/>
      <c r="R4010"/>
      <c r="S4010"/>
      <c r="T4010"/>
      <c r="U4010"/>
      <c r="X4010" s="60"/>
    </row>
    <row r="4011" spans="7:24" ht="15" customHeight="1">
      <c r="G4011"/>
      <c r="I4011"/>
      <c r="N4011"/>
      <c r="O4011" s="24"/>
      <c r="P4011"/>
      <c r="Q4011" s="24"/>
      <c r="R4011"/>
      <c r="S4011"/>
      <c r="T4011"/>
      <c r="U4011"/>
      <c r="X4011" s="60"/>
    </row>
    <row r="4012" spans="7:24" ht="15" customHeight="1">
      <c r="G4012"/>
      <c r="I4012"/>
      <c r="N4012"/>
      <c r="O4012" s="24"/>
      <c r="P4012"/>
      <c r="Q4012" s="24"/>
      <c r="R4012"/>
      <c r="S4012"/>
      <c r="T4012"/>
      <c r="U4012"/>
      <c r="X4012" s="60"/>
    </row>
    <row r="4013" spans="7:24" ht="15" customHeight="1">
      <c r="G4013"/>
      <c r="I4013"/>
      <c r="N4013"/>
      <c r="O4013" s="24"/>
      <c r="P4013"/>
      <c r="Q4013" s="24"/>
      <c r="R4013"/>
      <c r="S4013"/>
      <c r="T4013"/>
      <c r="U4013"/>
      <c r="X4013" s="60"/>
    </row>
    <row r="4014" spans="7:24" ht="15" customHeight="1">
      <c r="G4014"/>
      <c r="I4014"/>
      <c r="N4014"/>
      <c r="O4014" s="24"/>
      <c r="P4014"/>
      <c r="Q4014" s="24"/>
      <c r="R4014"/>
      <c r="S4014"/>
      <c r="T4014"/>
      <c r="U4014"/>
      <c r="X4014" s="60"/>
    </row>
    <row r="4015" spans="7:24" ht="15" customHeight="1">
      <c r="G4015"/>
      <c r="I4015"/>
      <c r="N4015"/>
      <c r="O4015" s="24"/>
      <c r="P4015"/>
      <c r="Q4015" s="24"/>
      <c r="R4015"/>
      <c r="S4015"/>
      <c r="T4015"/>
      <c r="U4015"/>
      <c r="X4015" s="60"/>
    </row>
    <row r="4016" spans="7:24" ht="15" customHeight="1">
      <c r="G4016"/>
      <c r="I4016"/>
      <c r="N4016"/>
      <c r="O4016" s="24"/>
      <c r="P4016"/>
      <c r="Q4016" s="24"/>
      <c r="R4016"/>
      <c r="S4016"/>
      <c r="T4016"/>
      <c r="U4016"/>
      <c r="X4016" s="60"/>
    </row>
    <row r="4017" spans="7:24" ht="15" customHeight="1">
      <c r="G4017"/>
      <c r="I4017"/>
      <c r="N4017"/>
      <c r="O4017" s="24"/>
      <c r="P4017"/>
      <c r="Q4017" s="24"/>
      <c r="R4017"/>
      <c r="S4017"/>
      <c r="T4017"/>
      <c r="U4017"/>
      <c r="X4017" s="60"/>
    </row>
    <row r="4018" spans="7:24" ht="15" customHeight="1">
      <c r="G4018"/>
      <c r="I4018"/>
      <c r="N4018"/>
      <c r="O4018" s="24"/>
      <c r="P4018"/>
      <c r="Q4018" s="24"/>
      <c r="R4018"/>
      <c r="S4018"/>
      <c r="T4018"/>
      <c r="U4018"/>
      <c r="X4018" s="60"/>
    </row>
    <row r="4019" spans="7:24" ht="15" customHeight="1">
      <c r="G4019"/>
      <c r="I4019"/>
      <c r="N4019"/>
      <c r="O4019" s="24"/>
      <c r="P4019"/>
      <c r="Q4019" s="24"/>
      <c r="R4019"/>
      <c r="S4019"/>
      <c r="T4019"/>
      <c r="U4019"/>
      <c r="X4019" s="60"/>
    </row>
    <row r="4020" spans="7:24" ht="15" customHeight="1">
      <c r="G4020"/>
      <c r="I4020"/>
      <c r="N4020"/>
      <c r="O4020" s="24"/>
      <c r="P4020"/>
      <c r="Q4020" s="24"/>
      <c r="R4020"/>
      <c r="S4020"/>
      <c r="T4020"/>
      <c r="U4020"/>
      <c r="X4020" s="60"/>
    </row>
    <row r="4021" spans="7:24" ht="15" customHeight="1">
      <c r="G4021"/>
      <c r="I4021"/>
      <c r="N4021"/>
      <c r="O4021" s="24"/>
      <c r="P4021"/>
      <c r="Q4021" s="24"/>
      <c r="R4021"/>
      <c r="S4021"/>
      <c r="T4021"/>
      <c r="U4021"/>
      <c r="X4021" s="60"/>
    </row>
    <row r="4022" spans="7:24" ht="15" customHeight="1">
      <c r="G4022"/>
      <c r="I4022"/>
      <c r="N4022"/>
      <c r="O4022" s="24"/>
      <c r="P4022"/>
      <c r="Q4022" s="24"/>
      <c r="R4022"/>
      <c r="S4022"/>
      <c r="T4022"/>
      <c r="U4022"/>
      <c r="X4022" s="60"/>
    </row>
    <row r="4023" spans="7:24" ht="15" customHeight="1">
      <c r="G4023"/>
      <c r="I4023"/>
      <c r="N4023"/>
      <c r="O4023" s="24"/>
      <c r="P4023"/>
      <c r="Q4023" s="24"/>
      <c r="R4023"/>
      <c r="S4023"/>
      <c r="T4023"/>
      <c r="U4023"/>
      <c r="X4023" s="60"/>
    </row>
    <row r="4024" spans="7:24" ht="15" customHeight="1">
      <c r="G4024"/>
      <c r="I4024"/>
      <c r="N4024"/>
      <c r="O4024" s="24"/>
      <c r="P4024"/>
      <c r="Q4024" s="24"/>
      <c r="R4024"/>
      <c r="S4024"/>
      <c r="T4024"/>
      <c r="U4024"/>
      <c r="X4024" s="60"/>
    </row>
    <row r="4025" spans="7:24" ht="15" customHeight="1">
      <c r="G4025"/>
      <c r="I4025"/>
      <c r="N4025"/>
      <c r="O4025" s="24"/>
      <c r="P4025"/>
      <c r="Q4025" s="24"/>
      <c r="R4025"/>
      <c r="S4025"/>
      <c r="T4025"/>
      <c r="U4025"/>
      <c r="X4025" s="60"/>
    </row>
    <row r="4026" spans="7:24" ht="15" customHeight="1">
      <c r="G4026"/>
      <c r="I4026"/>
      <c r="N4026"/>
      <c r="O4026" s="24"/>
      <c r="P4026"/>
      <c r="Q4026" s="24"/>
      <c r="R4026"/>
      <c r="S4026"/>
      <c r="T4026"/>
      <c r="U4026"/>
      <c r="X4026" s="60"/>
    </row>
    <row r="4027" spans="7:24" ht="15" customHeight="1">
      <c r="G4027"/>
      <c r="I4027"/>
      <c r="N4027"/>
      <c r="O4027" s="24"/>
      <c r="P4027"/>
      <c r="Q4027" s="24"/>
      <c r="R4027"/>
      <c r="S4027"/>
      <c r="T4027"/>
      <c r="U4027"/>
      <c r="X4027" s="60"/>
    </row>
    <row r="4028" spans="7:24" ht="15" customHeight="1">
      <c r="G4028"/>
      <c r="I4028"/>
      <c r="N4028"/>
      <c r="O4028" s="24"/>
      <c r="P4028"/>
      <c r="Q4028" s="24"/>
      <c r="R4028"/>
      <c r="S4028"/>
      <c r="T4028"/>
      <c r="U4028"/>
      <c r="X4028" s="60"/>
    </row>
    <row r="4029" spans="7:24" ht="15" customHeight="1">
      <c r="G4029"/>
      <c r="I4029"/>
      <c r="N4029"/>
      <c r="O4029" s="24"/>
      <c r="P4029"/>
      <c r="Q4029" s="24"/>
      <c r="R4029"/>
      <c r="S4029"/>
      <c r="T4029"/>
      <c r="U4029"/>
      <c r="X4029" s="60"/>
    </row>
    <row r="4030" spans="7:24" ht="15" customHeight="1">
      <c r="G4030"/>
      <c r="I4030"/>
      <c r="N4030"/>
      <c r="O4030" s="24"/>
      <c r="P4030"/>
      <c r="Q4030" s="24"/>
      <c r="R4030"/>
      <c r="S4030"/>
      <c r="T4030"/>
      <c r="U4030"/>
      <c r="X4030" s="60"/>
    </row>
    <row r="4031" spans="7:24" ht="15" customHeight="1">
      <c r="G4031"/>
      <c r="I4031"/>
      <c r="N4031"/>
      <c r="O4031" s="24"/>
      <c r="P4031"/>
      <c r="Q4031" s="24"/>
      <c r="R4031"/>
      <c r="S4031"/>
      <c r="T4031"/>
      <c r="U4031"/>
      <c r="X4031" s="60"/>
    </row>
    <row r="4032" spans="7:24" ht="15" customHeight="1">
      <c r="G4032"/>
      <c r="I4032"/>
      <c r="N4032"/>
      <c r="O4032" s="24"/>
      <c r="P4032"/>
      <c r="Q4032" s="24"/>
      <c r="R4032"/>
      <c r="S4032"/>
      <c r="T4032"/>
      <c r="U4032"/>
      <c r="X4032" s="60"/>
    </row>
    <row r="4033" spans="7:24" ht="15" customHeight="1">
      <c r="G4033"/>
      <c r="I4033"/>
      <c r="N4033"/>
      <c r="O4033" s="24"/>
      <c r="P4033"/>
      <c r="Q4033" s="24"/>
      <c r="R4033"/>
      <c r="S4033"/>
      <c r="T4033"/>
      <c r="U4033"/>
      <c r="X4033" s="60"/>
    </row>
    <row r="4034" spans="7:24" ht="15" customHeight="1">
      <c r="G4034"/>
      <c r="I4034"/>
      <c r="N4034"/>
      <c r="O4034" s="24"/>
      <c r="P4034"/>
      <c r="Q4034" s="24"/>
      <c r="R4034"/>
      <c r="S4034"/>
      <c r="T4034"/>
      <c r="U4034"/>
      <c r="X4034" s="60"/>
    </row>
    <row r="4035" spans="7:24" ht="15" customHeight="1">
      <c r="G4035"/>
      <c r="I4035"/>
      <c r="N4035"/>
      <c r="O4035" s="24"/>
      <c r="P4035"/>
      <c r="Q4035" s="24"/>
      <c r="R4035"/>
      <c r="S4035"/>
      <c r="T4035"/>
      <c r="U4035"/>
      <c r="X4035" s="60"/>
    </row>
    <row r="4036" spans="7:24" ht="15" customHeight="1">
      <c r="G4036"/>
      <c r="I4036"/>
      <c r="N4036"/>
      <c r="O4036" s="24"/>
      <c r="P4036"/>
      <c r="Q4036" s="24"/>
      <c r="R4036"/>
      <c r="S4036"/>
      <c r="T4036"/>
      <c r="U4036"/>
      <c r="X4036" s="60"/>
    </row>
    <row r="4037" spans="7:24" ht="15" customHeight="1">
      <c r="G4037"/>
      <c r="I4037"/>
      <c r="N4037"/>
      <c r="O4037" s="24"/>
      <c r="P4037"/>
      <c r="Q4037" s="24"/>
      <c r="R4037"/>
      <c r="S4037"/>
      <c r="T4037"/>
      <c r="U4037"/>
      <c r="X4037" s="60"/>
    </row>
    <row r="4038" spans="7:24" ht="15" customHeight="1">
      <c r="G4038"/>
      <c r="I4038"/>
      <c r="N4038"/>
      <c r="O4038" s="24"/>
      <c r="P4038"/>
      <c r="Q4038" s="24"/>
      <c r="R4038"/>
      <c r="S4038"/>
      <c r="T4038"/>
      <c r="U4038"/>
      <c r="X4038" s="60"/>
    </row>
    <row r="4039" spans="7:24" ht="15" customHeight="1">
      <c r="G4039"/>
      <c r="I4039"/>
      <c r="N4039"/>
      <c r="O4039" s="24"/>
      <c r="P4039"/>
      <c r="Q4039" s="24"/>
      <c r="R4039"/>
      <c r="S4039"/>
      <c r="T4039"/>
      <c r="U4039"/>
      <c r="X4039" s="60"/>
    </row>
    <row r="4040" spans="7:24" ht="15" customHeight="1">
      <c r="G4040"/>
      <c r="I4040"/>
      <c r="N4040"/>
      <c r="O4040" s="24"/>
      <c r="P4040"/>
      <c r="Q4040" s="24"/>
      <c r="R4040"/>
      <c r="S4040"/>
      <c r="T4040"/>
      <c r="U4040"/>
      <c r="X4040" s="60"/>
    </row>
    <row r="4041" spans="7:24" ht="15" customHeight="1">
      <c r="G4041"/>
      <c r="I4041"/>
      <c r="N4041"/>
      <c r="O4041" s="24"/>
      <c r="P4041"/>
      <c r="Q4041" s="24"/>
      <c r="R4041"/>
      <c r="S4041"/>
      <c r="T4041"/>
      <c r="U4041"/>
      <c r="X4041" s="60"/>
    </row>
    <row r="4042" spans="7:24" ht="15" customHeight="1">
      <c r="G4042"/>
      <c r="I4042"/>
      <c r="N4042"/>
      <c r="O4042" s="24"/>
      <c r="P4042"/>
      <c r="Q4042" s="24"/>
      <c r="R4042"/>
      <c r="S4042"/>
      <c r="T4042"/>
      <c r="U4042"/>
      <c r="X4042" s="60"/>
    </row>
    <row r="4043" spans="7:24" ht="15" customHeight="1">
      <c r="G4043"/>
      <c r="I4043"/>
      <c r="N4043"/>
      <c r="O4043" s="24"/>
      <c r="P4043"/>
      <c r="Q4043" s="24"/>
      <c r="R4043"/>
      <c r="S4043"/>
      <c r="T4043"/>
      <c r="U4043"/>
      <c r="X4043" s="60"/>
    </row>
    <row r="4044" spans="7:24" ht="15" customHeight="1">
      <c r="G4044"/>
      <c r="I4044"/>
      <c r="N4044"/>
      <c r="O4044" s="24"/>
      <c r="P4044"/>
      <c r="Q4044" s="24"/>
      <c r="R4044"/>
      <c r="S4044"/>
      <c r="T4044"/>
      <c r="U4044"/>
      <c r="X4044" s="60"/>
    </row>
    <row r="4045" spans="7:24" ht="15" customHeight="1">
      <c r="G4045"/>
      <c r="I4045"/>
      <c r="N4045"/>
      <c r="O4045" s="24"/>
      <c r="P4045"/>
      <c r="Q4045" s="24"/>
      <c r="R4045"/>
      <c r="S4045"/>
      <c r="T4045"/>
      <c r="U4045"/>
      <c r="X4045" s="60"/>
    </row>
    <row r="4046" spans="7:24" ht="15" customHeight="1">
      <c r="G4046"/>
      <c r="I4046"/>
      <c r="N4046"/>
      <c r="O4046" s="24"/>
      <c r="P4046"/>
      <c r="Q4046" s="24"/>
      <c r="R4046"/>
      <c r="S4046"/>
      <c r="T4046"/>
      <c r="U4046"/>
      <c r="X4046" s="60"/>
    </row>
    <row r="4047" spans="7:24" ht="15" customHeight="1">
      <c r="G4047"/>
      <c r="I4047"/>
      <c r="N4047"/>
      <c r="O4047" s="24"/>
      <c r="P4047"/>
      <c r="Q4047" s="24"/>
      <c r="R4047"/>
      <c r="S4047"/>
      <c r="T4047"/>
      <c r="U4047"/>
      <c r="X4047" s="60"/>
    </row>
    <row r="4048" spans="7:24" ht="15" customHeight="1">
      <c r="G4048"/>
      <c r="I4048"/>
      <c r="N4048"/>
      <c r="O4048" s="24"/>
      <c r="P4048"/>
      <c r="Q4048" s="24"/>
      <c r="R4048"/>
      <c r="S4048"/>
      <c r="T4048"/>
      <c r="U4048"/>
      <c r="X4048" s="60"/>
    </row>
    <row r="4049" spans="7:24" ht="15" customHeight="1">
      <c r="G4049"/>
      <c r="I4049"/>
      <c r="N4049"/>
      <c r="O4049" s="24"/>
      <c r="P4049"/>
      <c r="Q4049" s="24"/>
      <c r="R4049"/>
      <c r="S4049"/>
      <c r="T4049"/>
      <c r="U4049"/>
      <c r="X4049" s="60"/>
    </row>
    <row r="4050" spans="7:24" ht="15" customHeight="1">
      <c r="G4050"/>
      <c r="I4050"/>
      <c r="N4050"/>
      <c r="O4050" s="24"/>
      <c r="P4050"/>
      <c r="Q4050" s="24"/>
      <c r="R4050"/>
      <c r="S4050"/>
      <c r="T4050"/>
      <c r="U4050"/>
      <c r="X4050" s="60"/>
    </row>
    <row r="4051" spans="7:24" ht="15" customHeight="1">
      <c r="G4051"/>
      <c r="I4051"/>
      <c r="N4051"/>
      <c r="O4051" s="24"/>
      <c r="P4051"/>
      <c r="Q4051" s="24"/>
      <c r="R4051"/>
      <c r="S4051"/>
      <c r="T4051"/>
      <c r="U4051"/>
      <c r="X4051" s="60"/>
    </row>
    <row r="4052" spans="7:24" ht="15" customHeight="1">
      <c r="G4052"/>
      <c r="I4052"/>
      <c r="N4052"/>
      <c r="O4052" s="24"/>
      <c r="P4052"/>
      <c r="Q4052" s="24"/>
      <c r="R4052"/>
      <c r="S4052"/>
      <c r="T4052"/>
      <c r="U4052"/>
      <c r="X4052" s="60"/>
    </row>
    <row r="4053" spans="7:24" ht="15" customHeight="1">
      <c r="G4053"/>
      <c r="I4053"/>
      <c r="N4053"/>
      <c r="O4053" s="24"/>
      <c r="P4053"/>
      <c r="Q4053" s="24"/>
      <c r="R4053"/>
      <c r="S4053"/>
      <c r="T4053"/>
      <c r="U4053"/>
      <c r="X4053" s="60"/>
    </row>
    <row r="4054" spans="7:24" ht="15" customHeight="1">
      <c r="G4054"/>
      <c r="I4054"/>
      <c r="N4054"/>
      <c r="O4054" s="24"/>
      <c r="P4054"/>
      <c r="Q4054" s="24"/>
      <c r="R4054"/>
      <c r="S4054"/>
      <c r="T4054"/>
      <c r="U4054"/>
      <c r="X4054" s="60"/>
    </row>
    <row r="4055" spans="7:24" ht="15" customHeight="1">
      <c r="G4055"/>
      <c r="I4055"/>
      <c r="N4055"/>
      <c r="O4055" s="24"/>
      <c r="P4055"/>
      <c r="Q4055" s="24"/>
      <c r="R4055"/>
      <c r="S4055"/>
      <c r="T4055"/>
      <c r="U4055"/>
      <c r="X4055" s="60"/>
    </row>
    <row r="4056" spans="7:24" ht="15" customHeight="1">
      <c r="G4056"/>
      <c r="I4056"/>
      <c r="N4056"/>
      <c r="O4056" s="24"/>
      <c r="P4056"/>
      <c r="Q4056" s="24"/>
      <c r="R4056"/>
      <c r="S4056"/>
      <c r="T4056"/>
      <c r="U4056"/>
      <c r="X4056" s="60"/>
    </row>
    <row r="4057" spans="7:24" ht="15" customHeight="1">
      <c r="G4057"/>
      <c r="I4057"/>
      <c r="N4057"/>
      <c r="O4057" s="24"/>
      <c r="P4057"/>
      <c r="Q4057" s="24"/>
      <c r="R4057"/>
      <c r="S4057"/>
      <c r="T4057"/>
      <c r="U4057"/>
      <c r="X4057" s="60"/>
    </row>
    <row r="4058" spans="7:24" ht="15" customHeight="1">
      <c r="G4058"/>
      <c r="I4058"/>
      <c r="N4058"/>
      <c r="O4058" s="24"/>
      <c r="P4058"/>
      <c r="Q4058" s="24"/>
      <c r="R4058"/>
      <c r="S4058"/>
      <c r="T4058"/>
      <c r="U4058"/>
      <c r="X4058" s="60"/>
    </row>
    <row r="4059" spans="7:24" ht="15" customHeight="1">
      <c r="G4059"/>
      <c r="I4059"/>
      <c r="N4059"/>
      <c r="O4059" s="24"/>
      <c r="P4059"/>
      <c r="Q4059" s="24"/>
      <c r="R4059"/>
      <c r="S4059"/>
      <c r="T4059"/>
      <c r="U4059"/>
      <c r="X4059" s="60"/>
    </row>
    <row r="4060" spans="7:24" ht="15" customHeight="1">
      <c r="G4060"/>
      <c r="I4060"/>
      <c r="N4060"/>
      <c r="O4060" s="24"/>
      <c r="P4060"/>
      <c r="Q4060" s="24"/>
      <c r="R4060"/>
      <c r="S4060"/>
      <c r="T4060"/>
      <c r="U4060"/>
      <c r="X4060" s="60"/>
    </row>
    <row r="4061" spans="7:24" ht="15" customHeight="1">
      <c r="G4061"/>
      <c r="I4061"/>
      <c r="N4061"/>
      <c r="O4061" s="24"/>
      <c r="P4061"/>
      <c r="Q4061" s="24"/>
      <c r="R4061"/>
      <c r="S4061"/>
      <c r="T4061"/>
      <c r="U4061"/>
      <c r="X4061" s="60"/>
    </row>
    <row r="4062" spans="7:24" ht="15" customHeight="1">
      <c r="G4062"/>
      <c r="I4062"/>
      <c r="N4062"/>
      <c r="O4062" s="24"/>
      <c r="P4062"/>
      <c r="Q4062" s="24"/>
      <c r="R4062"/>
      <c r="S4062"/>
      <c r="T4062"/>
      <c r="U4062"/>
      <c r="X4062" s="60"/>
    </row>
    <row r="4063" spans="7:24" ht="15" customHeight="1">
      <c r="G4063"/>
      <c r="I4063"/>
      <c r="N4063"/>
      <c r="O4063" s="24"/>
      <c r="P4063"/>
      <c r="Q4063" s="24"/>
      <c r="R4063"/>
      <c r="S4063"/>
      <c r="T4063"/>
      <c r="U4063"/>
      <c r="X4063" s="60"/>
    </row>
    <row r="4064" spans="7:24" ht="15" customHeight="1">
      <c r="G4064"/>
      <c r="I4064"/>
      <c r="N4064"/>
      <c r="O4064" s="24"/>
      <c r="P4064"/>
      <c r="Q4064" s="24"/>
      <c r="R4064"/>
      <c r="S4064"/>
      <c r="T4064"/>
      <c r="U4064"/>
      <c r="X4064" s="60"/>
    </row>
    <row r="4065" spans="7:24" ht="15" customHeight="1">
      <c r="G4065"/>
      <c r="I4065"/>
      <c r="N4065"/>
      <c r="O4065" s="24"/>
      <c r="P4065"/>
      <c r="Q4065" s="24"/>
      <c r="R4065"/>
      <c r="S4065"/>
      <c r="T4065"/>
      <c r="U4065"/>
      <c r="X4065" s="60"/>
    </row>
    <row r="4066" spans="7:24" ht="15" customHeight="1">
      <c r="G4066"/>
      <c r="I4066"/>
      <c r="N4066"/>
      <c r="O4066" s="24"/>
      <c r="P4066"/>
      <c r="Q4066" s="24"/>
      <c r="R4066"/>
      <c r="S4066"/>
      <c r="T4066"/>
      <c r="U4066"/>
      <c r="X4066" s="60"/>
    </row>
    <row r="4067" spans="7:24" ht="15" customHeight="1">
      <c r="G4067"/>
      <c r="I4067"/>
      <c r="N4067"/>
      <c r="O4067" s="24"/>
      <c r="P4067"/>
      <c r="Q4067" s="24"/>
      <c r="R4067"/>
      <c r="S4067"/>
      <c r="T4067"/>
      <c r="U4067"/>
      <c r="X4067" s="60"/>
    </row>
    <row r="4068" spans="7:24" ht="15" customHeight="1">
      <c r="G4068"/>
      <c r="I4068"/>
      <c r="N4068"/>
      <c r="O4068" s="24"/>
      <c r="P4068"/>
      <c r="Q4068" s="24"/>
      <c r="R4068"/>
      <c r="S4068"/>
      <c r="T4068"/>
      <c r="U4068"/>
      <c r="X4068" s="60"/>
    </row>
    <row r="4069" spans="7:24" ht="15" customHeight="1">
      <c r="G4069"/>
      <c r="I4069"/>
      <c r="N4069"/>
      <c r="O4069" s="24"/>
      <c r="P4069"/>
      <c r="Q4069" s="24"/>
      <c r="R4069"/>
      <c r="S4069"/>
      <c r="T4069"/>
      <c r="U4069"/>
      <c r="X4069" s="60"/>
    </row>
    <row r="4070" spans="7:24" ht="15" customHeight="1">
      <c r="G4070"/>
      <c r="I4070"/>
      <c r="N4070"/>
      <c r="O4070" s="24"/>
      <c r="P4070"/>
      <c r="Q4070" s="24"/>
      <c r="R4070"/>
      <c r="S4070"/>
      <c r="T4070"/>
      <c r="U4070"/>
      <c r="X4070" s="60"/>
    </row>
    <row r="4071" spans="7:24" ht="15" customHeight="1">
      <c r="G4071"/>
      <c r="I4071"/>
      <c r="N4071"/>
      <c r="O4071" s="24"/>
      <c r="P4071"/>
      <c r="Q4071" s="24"/>
      <c r="R4071"/>
      <c r="S4071"/>
      <c r="T4071"/>
      <c r="U4071"/>
      <c r="X4071" s="60"/>
    </row>
    <row r="4072" spans="7:24" ht="15" customHeight="1">
      <c r="G4072"/>
      <c r="I4072"/>
      <c r="N4072"/>
      <c r="O4072" s="24"/>
      <c r="P4072"/>
      <c r="Q4072" s="24"/>
      <c r="R4072"/>
      <c r="S4072"/>
      <c r="T4072"/>
      <c r="U4072"/>
      <c r="X4072" s="60"/>
    </row>
    <row r="4073" spans="7:24" ht="15" customHeight="1">
      <c r="G4073"/>
      <c r="I4073"/>
      <c r="N4073"/>
      <c r="O4073" s="24"/>
      <c r="P4073"/>
      <c r="Q4073" s="24"/>
      <c r="R4073"/>
      <c r="S4073"/>
      <c r="T4073"/>
      <c r="U4073"/>
      <c r="X4073" s="60"/>
    </row>
    <row r="4074" spans="7:24" ht="15" customHeight="1">
      <c r="G4074"/>
      <c r="I4074"/>
      <c r="N4074"/>
      <c r="O4074" s="24"/>
      <c r="P4074"/>
      <c r="Q4074" s="24"/>
      <c r="R4074"/>
      <c r="S4074"/>
      <c r="T4074"/>
      <c r="U4074"/>
      <c r="X4074" s="60"/>
    </row>
    <row r="4075" spans="7:24" ht="15" customHeight="1">
      <c r="G4075"/>
      <c r="I4075"/>
      <c r="N4075"/>
      <c r="O4075" s="24"/>
      <c r="P4075"/>
      <c r="Q4075" s="24"/>
      <c r="R4075"/>
      <c r="S4075"/>
      <c r="T4075"/>
      <c r="U4075"/>
      <c r="X4075" s="60"/>
    </row>
    <row r="4076" spans="7:24" ht="15" customHeight="1">
      <c r="G4076"/>
      <c r="I4076"/>
      <c r="N4076"/>
      <c r="O4076" s="24"/>
      <c r="P4076"/>
      <c r="Q4076" s="24"/>
      <c r="R4076"/>
      <c r="S4076"/>
      <c r="T4076"/>
      <c r="U4076"/>
      <c r="X4076" s="60"/>
    </row>
    <row r="4077" spans="7:24" ht="15" customHeight="1">
      <c r="G4077"/>
      <c r="I4077"/>
      <c r="N4077"/>
      <c r="O4077" s="24"/>
      <c r="P4077"/>
      <c r="Q4077" s="24"/>
      <c r="R4077"/>
      <c r="S4077"/>
      <c r="T4077"/>
      <c r="U4077"/>
      <c r="X4077" s="60"/>
    </row>
    <row r="4078" spans="7:24" ht="15" customHeight="1">
      <c r="G4078"/>
      <c r="I4078"/>
      <c r="N4078"/>
      <c r="O4078" s="24"/>
      <c r="P4078"/>
      <c r="Q4078" s="24"/>
      <c r="R4078"/>
      <c r="S4078"/>
      <c r="T4078"/>
      <c r="U4078"/>
      <c r="X4078" s="60"/>
    </row>
    <row r="4079" spans="7:24" ht="15" customHeight="1">
      <c r="G4079"/>
      <c r="I4079"/>
      <c r="N4079"/>
      <c r="O4079" s="24"/>
      <c r="P4079"/>
      <c r="Q4079" s="24"/>
      <c r="R4079"/>
      <c r="S4079"/>
      <c r="T4079"/>
      <c r="U4079"/>
      <c r="X4079" s="60"/>
    </row>
    <row r="4080" spans="7:24" ht="15" customHeight="1">
      <c r="G4080"/>
      <c r="I4080"/>
      <c r="N4080"/>
      <c r="O4080" s="24"/>
      <c r="P4080"/>
      <c r="Q4080" s="24"/>
      <c r="R4080"/>
      <c r="S4080"/>
      <c r="T4080"/>
      <c r="U4080"/>
      <c r="X4080" s="60"/>
    </row>
    <row r="4081" spans="7:24" ht="15" customHeight="1">
      <c r="G4081"/>
      <c r="I4081"/>
      <c r="N4081"/>
      <c r="O4081" s="24"/>
      <c r="P4081"/>
      <c r="Q4081" s="24"/>
      <c r="R4081"/>
      <c r="S4081"/>
      <c r="T4081"/>
      <c r="U4081"/>
      <c r="X4081" s="60"/>
    </row>
    <row r="4082" spans="7:24" ht="15" customHeight="1">
      <c r="G4082"/>
      <c r="I4082"/>
      <c r="N4082"/>
      <c r="O4082" s="24"/>
      <c r="P4082"/>
      <c r="Q4082" s="24"/>
      <c r="R4082"/>
      <c r="S4082"/>
      <c r="T4082"/>
      <c r="U4082"/>
      <c r="X4082" s="60"/>
    </row>
    <row r="4083" spans="7:24" ht="15" customHeight="1">
      <c r="G4083"/>
      <c r="I4083"/>
      <c r="N4083"/>
      <c r="O4083" s="24"/>
      <c r="P4083"/>
      <c r="Q4083" s="24"/>
      <c r="R4083"/>
      <c r="S4083"/>
      <c r="T4083"/>
      <c r="U4083"/>
      <c r="X4083" s="60"/>
    </row>
    <row r="4084" spans="7:24" ht="15" customHeight="1">
      <c r="G4084"/>
      <c r="I4084"/>
      <c r="N4084"/>
      <c r="O4084" s="24"/>
      <c r="P4084"/>
      <c r="Q4084" s="24"/>
      <c r="R4084"/>
      <c r="S4084"/>
      <c r="T4084"/>
      <c r="U4084"/>
      <c r="X4084" s="60"/>
    </row>
    <row r="4085" spans="7:24" ht="15" customHeight="1">
      <c r="G4085"/>
      <c r="I4085"/>
      <c r="N4085"/>
      <c r="O4085" s="24"/>
      <c r="P4085"/>
      <c r="Q4085" s="24"/>
      <c r="R4085"/>
      <c r="S4085"/>
      <c r="T4085"/>
      <c r="U4085"/>
      <c r="X4085" s="60"/>
    </row>
    <row r="4086" spans="7:24" ht="15" customHeight="1">
      <c r="G4086"/>
      <c r="I4086"/>
      <c r="N4086"/>
      <c r="O4086" s="24"/>
      <c r="P4086"/>
      <c r="Q4086" s="24"/>
      <c r="R4086"/>
      <c r="S4086"/>
      <c r="T4086"/>
      <c r="U4086"/>
      <c r="X4086" s="60"/>
    </row>
    <row r="4087" spans="7:24" ht="15" customHeight="1">
      <c r="G4087"/>
      <c r="I4087"/>
      <c r="N4087"/>
      <c r="O4087" s="24"/>
      <c r="P4087"/>
      <c r="Q4087" s="24"/>
      <c r="R4087"/>
      <c r="S4087"/>
      <c r="T4087"/>
      <c r="U4087"/>
      <c r="X4087" s="60"/>
    </row>
    <row r="4088" spans="7:24" ht="15" customHeight="1">
      <c r="G4088"/>
      <c r="I4088"/>
      <c r="N4088"/>
      <c r="O4088" s="24"/>
      <c r="P4088"/>
      <c r="Q4088" s="24"/>
      <c r="R4088"/>
      <c r="S4088"/>
      <c r="T4088"/>
      <c r="U4088"/>
      <c r="X4088" s="60"/>
    </row>
    <row r="4089" spans="7:24" ht="15" customHeight="1">
      <c r="G4089"/>
      <c r="I4089"/>
      <c r="N4089"/>
      <c r="O4089" s="24"/>
      <c r="P4089"/>
      <c r="Q4089" s="24"/>
      <c r="R4089"/>
      <c r="S4089"/>
      <c r="T4089"/>
      <c r="U4089"/>
      <c r="X4089" s="60"/>
    </row>
    <row r="4090" spans="7:24" ht="15" customHeight="1">
      <c r="G4090"/>
      <c r="I4090"/>
      <c r="N4090"/>
      <c r="O4090" s="24"/>
      <c r="P4090"/>
      <c r="Q4090" s="24"/>
      <c r="R4090"/>
      <c r="S4090"/>
      <c r="T4090"/>
      <c r="U4090"/>
      <c r="X4090" s="60"/>
    </row>
    <row r="4091" spans="7:24" ht="15" customHeight="1">
      <c r="G4091"/>
      <c r="I4091"/>
      <c r="N4091"/>
      <c r="O4091" s="24"/>
      <c r="P4091"/>
      <c r="Q4091" s="24"/>
      <c r="R4091"/>
      <c r="S4091"/>
      <c r="T4091"/>
      <c r="U4091"/>
      <c r="X4091" s="60"/>
    </row>
    <row r="4092" spans="7:24" ht="15" customHeight="1">
      <c r="G4092"/>
      <c r="I4092"/>
      <c r="N4092"/>
      <c r="O4092" s="24"/>
      <c r="P4092"/>
      <c r="Q4092" s="24"/>
      <c r="R4092"/>
      <c r="S4092"/>
      <c r="T4092"/>
      <c r="U4092"/>
      <c r="X4092" s="60"/>
    </row>
    <row r="4093" spans="7:24" ht="15" customHeight="1">
      <c r="G4093"/>
      <c r="I4093"/>
      <c r="N4093"/>
      <c r="O4093" s="24"/>
      <c r="P4093"/>
      <c r="Q4093" s="24"/>
      <c r="R4093"/>
      <c r="S4093"/>
      <c r="T4093"/>
      <c r="U4093"/>
      <c r="X4093" s="60"/>
    </row>
    <row r="4094" spans="7:24" ht="15" customHeight="1">
      <c r="G4094"/>
      <c r="I4094"/>
      <c r="N4094"/>
      <c r="O4094" s="24"/>
      <c r="P4094"/>
      <c r="Q4094" s="24"/>
      <c r="R4094"/>
      <c r="S4094"/>
      <c r="T4094"/>
      <c r="U4094"/>
      <c r="X4094" s="60"/>
    </row>
    <row r="4095" spans="7:24" ht="15" customHeight="1">
      <c r="G4095"/>
      <c r="I4095"/>
      <c r="N4095"/>
      <c r="O4095" s="24"/>
      <c r="P4095"/>
      <c r="Q4095" s="24"/>
      <c r="R4095"/>
      <c r="S4095"/>
      <c r="T4095"/>
      <c r="U4095"/>
      <c r="X4095" s="60"/>
    </row>
    <row r="4096" spans="7:24" ht="15" customHeight="1">
      <c r="G4096"/>
      <c r="I4096"/>
      <c r="N4096"/>
      <c r="O4096" s="24"/>
      <c r="P4096"/>
      <c r="Q4096" s="24"/>
      <c r="R4096"/>
      <c r="S4096"/>
      <c r="T4096"/>
      <c r="U4096"/>
      <c r="X4096" s="60"/>
    </row>
    <row r="4097" spans="7:24" ht="15" customHeight="1">
      <c r="G4097"/>
      <c r="I4097"/>
      <c r="N4097"/>
      <c r="O4097" s="24"/>
      <c r="P4097"/>
      <c r="Q4097" s="24"/>
      <c r="R4097"/>
      <c r="S4097"/>
      <c r="T4097"/>
      <c r="U4097"/>
      <c r="X4097" s="60"/>
    </row>
    <row r="4098" spans="7:24" ht="15" customHeight="1">
      <c r="G4098"/>
      <c r="I4098"/>
      <c r="N4098"/>
      <c r="O4098" s="24"/>
      <c r="P4098"/>
      <c r="Q4098" s="24"/>
      <c r="R4098"/>
      <c r="S4098"/>
      <c r="T4098"/>
      <c r="U4098"/>
      <c r="X4098" s="60"/>
    </row>
    <row r="4099" spans="7:24" ht="15" customHeight="1">
      <c r="G4099"/>
      <c r="I4099"/>
      <c r="N4099"/>
      <c r="O4099" s="24"/>
      <c r="P4099"/>
      <c r="Q4099" s="24"/>
      <c r="R4099"/>
      <c r="S4099"/>
      <c r="T4099"/>
      <c r="U4099"/>
      <c r="X4099" s="60"/>
    </row>
    <row r="4100" spans="7:24" ht="15" customHeight="1">
      <c r="G4100"/>
      <c r="I4100"/>
      <c r="N4100"/>
      <c r="O4100" s="24"/>
      <c r="P4100"/>
      <c r="Q4100" s="24"/>
      <c r="R4100"/>
      <c r="S4100"/>
      <c r="T4100"/>
      <c r="U4100"/>
      <c r="X4100" s="60"/>
    </row>
    <row r="4101" spans="7:24" ht="15" customHeight="1">
      <c r="G4101"/>
      <c r="I4101"/>
      <c r="N4101"/>
      <c r="O4101" s="24"/>
      <c r="P4101"/>
      <c r="Q4101" s="24"/>
      <c r="R4101"/>
      <c r="S4101"/>
      <c r="T4101"/>
      <c r="U4101"/>
      <c r="X4101" s="60"/>
    </row>
    <row r="4102" spans="7:24" ht="15" customHeight="1">
      <c r="G4102"/>
      <c r="I4102"/>
      <c r="N4102"/>
      <c r="O4102" s="24"/>
      <c r="P4102"/>
      <c r="Q4102" s="24"/>
      <c r="R4102"/>
      <c r="S4102"/>
      <c r="T4102"/>
      <c r="U4102"/>
      <c r="X4102" s="60"/>
    </row>
    <row r="4103" spans="7:24" ht="15" customHeight="1">
      <c r="G4103"/>
      <c r="I4103"/>
      <c r="N4103"/>
      <c r="O4103" s="24"/>
      <c r="P4103"/>
      <c r="Q4103" s="24"/>
      <c r="R4103"/>
      <c r="S4103"/>
      <c r="T4103"/>
      <c r="U4103"/>
      <c r="X4103" s="60"/>
    </row>
    <row r="4104" spans="7:24" ht="15" customHeight="1">
      <c r="G4104"/>
      <c r="I4104"/>
      <c r="N4104"/>
      <c r="O4104" s="24"/>
      <c r="P4104"/>
      <c r="Q4104" s="24"/>
      <c r="R4104"/>
      <c r="S4104"/>
      <c r="T4104"/>
      <c r="U4104"/>
      <c r="X4104" s="60"/>
    </row>
    <row r="4105" spans="7:24" ht="15" customHeight="1">
      <c r="G4105"/>
      <c r="I4105"/>
      <c r="N4105"/>
      <c r="O4105" s="24"/>
      <c r="P4105"/>
      <c r="Q4105" s="24"/>
      <c r="R4105"/>
      <c r="S4105"/>
      <c r="T4105"/>
      <c r="U4105"/>
      <c r="X4105" s="60"/>
    </row>
    <row r="4106" spans="7:24" ht="15" customHeight="1">
      <c r="G4106"/>
      <c r="I4106"/>
      <c r="N4106"/>
      <c r="O4106" s="24"/>
      <c r="P4106"/>
      <c r="Q4106" s="24"/>
      <c r="R4106"/>
      <c r="S4106"/>
      <c r="T4106"/>
      <c r="U4106"/>
      <c r="X4106" s="60"/>
    </row>
    <row r="4107" spans="7:24" ht="15" customHeight="1">
      <c r="G4107"/>
      <c r="I4107"/>
      <c r="N4107"/>
      <c r="O4107" s="24"/>
      <c r="P4107"/>
      <c r="Q4107" s="24"/>
      <c r="R4107"/>
      <c r="S4107"/>
      <c r="T4107"/>
      <c r="U4107"/>
      <c r="X4107" s="60"/>
    </row>
    <row r="4108" spans="7:24" ht="15" customHeight="1">
      <c r="G4108"/>
      <c r="I4108"/>
      <c r="N4108"/>
      <c r="O4108" s="24"/>
      <c r="P4108"/>
      <c r="Q4108" s="24"/>
      <c r="R4108"/>
      <c r="S4108"/>
      <c r="T4108"/>
      <c r="U4108"/>
      <c r="X4108" s="60"/>
    </row>
    <row r="4109" spans="7:24" ht="15" customHeight="1">
      <c r="G4109"/>
      <c r="I4109"/>
      <c r="N4109"/>
      <c r="O4109" s="24"/>
      <c r="P4109"/>
      <c r="Q4109" s="24"/>
      <c r="R4109"/>
      <c r="S4109"/>
      <c r="T4109"/>
      <c r="U4109"/>
      <c r="X4109" s="60"/>
    </row>
    <row r="4110" spans="7:24" ht="15" customHeight="1">
      <c r="G4110"/>
      <c r="I4110"/>
      <c r="N4110"/>
      <c r="O4110" s="24"/>
      <c r="P4110"/>
      <c r="Q4110" s="24"/>
      <c r="R4110"/>
      <c r="S4110"/>
      <c r="T4110"/>
      <c r="U4110"/>
      <c r="X4110" s="60"/>
    </row>
    <row r="4111" spans="7:24" ht="15" customHeight="1">
      <c r="G4111"/>
      <c r="I4111"/>
      <c r="N4111"/>
      <c r="O4111" s="24"/>
      <c r="P4111"/>
      <c r="Q4111" s="24"/>
      <c r="R4111"/>
      <c r="S4111"/>
      <c r="T4111"/>
      <c r="U4111"/>
      <c r="X4111" s="60"/>
    </row>
    <row r="4112" spans="7:24" ht="15" customHeight="1">
      <c r="G4112"/>
      <c r="I4112"/>
      <c r="N4112"/>
      <c r="O4112" s="24"/>
      <c r="P4112"/>
      <c r="Q4112" s="24"/>
      <c r="R4112"/>
      <c r="S4112"/>
      <c r="T4112"/>
      <c r="U4112"/>
      <c r="X4112" s="60"/>
    </row>
    <row r="4113" spans="7:24" ht="15" customHeight="1">
      <c r="G4113"/>
      <c r="I4113"/>
      <c r="N4113"/>
      <c r="O4113" s="24"/>
      <c r="P4113"/>
      <c r="Q4113" s="24"/>
      <c r="R4113"/>
      <c r="S4113"/>
      <c r="T4113"/>
      <c r="U4113"/>
      <c r="X4113" s="60"/>
    </row>
    <row r="4114" spans="7:24" ht="15" customHeight="1">
      <c r="G4114"/>
      <c r="I4114"/>
      <c r="N4114"/>
      <c r="O4114" s="24"/>
      <c r="P4114"/>
      <c r="Q4114" s="24"/>
      <c r="R4114"/>
      <c r="S4114"/>
      <c r="T4114"/>
      <c r="U4114"/>
      <c r="X4114" s="60"/>
    </row>
    <row r="4115" spans="7:24" ht="15" customHeight="1">
      <c r="G4115"/>
      <c r="I4115"/>
      <c r="N4115"/>
      <c r="O4115" s="24"/>
      <c r="P4115"/>
      <c r="Q4115" s="24"/>
      <c r="R4115"/>
      <c r="S4115"/>
      <c r="T4115"/>
      <c r="U4115"/>
      <c r="X4115" s="60"/>
    </row>
    <row r="4116" spans="7:24" ht="15" customHeight="1">
      <c r="G4116"/>
      <c r="I4116"/>
      <c r="N4116"/>
      <c r="O4116" s="24"/>
      <c r="P4116"/>
      <c r="Q4116" s="24"/>
      <c r="R4116"/>
      <c r="S4116"/>
      <c r="T4116"/>
      <c r="U4116"/>
      <c r="X4116" s="60"/>
    </row>
    <row r="4117" spans="7:24" ht="15" customHeight="1">
      <c r="G4117"/>
      <c r="I4117"/>
      <c r="N4117"/>
      <c r="O4117" s="24"/>
      <c r="P4117"/>
      <c r="Q4117" s="24"/>
      <c r="R4117"/>
      <c r="S4117"/>
      <c r="T4117"/>
      <c r="U4117"/>
      <c r="X4117" s="60"/>
    </row>
    <row r="4118" spans="7:24" ht="15" customHeight="1">
      <c r="G4118"/>
      <c r="I4118"/>
      <c r="N4118"/>
      <c r="O4118" s="24"/>
      <c r="P4118"/>
      <c r="Q4118" s="24"/>
      <c r="R4118"/>
      <c r="S4118"/>
      <c r="T4118"/>
      <c r="U4118"/>
      <c r="X4118" s="60"/>
    </row>
    <row r="4119" spans="7:24" ht="15" customHeight="1">
      <c r="G4119"/>
      <c r="I4119"/>
      <c r="N4119"/>
      <c r="O4119" s="24"/>
      <c r="P4119"/>
      <c r="Q4119" s="24"/>
      <c r="R4119"/>
      <c r="S4119"/>
      <c r="T4119"/>
      <c r="U4119"/>
      <c r="X4119" s="60"/>
    </row>
    <row r="4120" spans="7:24" ht="15" customHeight="1">
      <c r="G4120"/>
      <c r="I4120"/>
      <c r="N4120"/>
      <c r="O4120" s="24"/>
      <c r="P4120"/>
      <c r="Q4120" s="24"/>
      <c r="R4120"/>
      <c r="S4120"/>
      <c r="T4120"/>
      <c r="U4120"/>
      <c r="X4120" s="60"/>
    </row>
    <row r="4121" spans="7:24" ht="15" customHeight="1">
      <c r="G4121"/>
      <c r="I4121"/>
      <c r="N4121"/>
      <c r="O4121" s="24"/>
      <c r="P4121"/>
      <c r="Q4121" s="24"/>
      <c r="R4121"/>
      <c r="S4121"/>
      <c r="T4121"/>
      <c r="U4121"/>
      <c r="X4121" s="60"/>
    </row>
    <row r="4122" spans="7:24" ht="15" customHeight="1">
      <c r="G4122"/>
      <c r="I4122"/>
      <c r="N4122"/>
      <c r="O4122" s="24"/>
      <c r="P4122"/>
      <c r="Q4122" s="24"/>
      <c r="R4122"/>
      <c r="S4122"/>
      <c r="T4122"/>
      <c r="U4122"/>
      <c r="X4122" s="60"/>
    </row>
    <row r="4123" spans="7:24" ht="15" customHeight="1">
      <c r="G4123"/>
      <c r="I4123"/>
      <c r="N4123"/>
      <c r="O4123" s="24"/>
      <c r="P4123"/>
      <c r="Q4123" s="24"/>
      <c r="R4123"/>
      <c r="S4123"/>
      <c r="T4123"/>
      <c r="U4123"/>
      <c r="X4123" s="60"/>
    </row>
    <row r="4124" spans="7:24" ht="15" customHeight="1">
      <c r="G4124"/>
      <c r="I4124"/>
      <c r="N4124"/>
      <c r="O4124" s="24"/>
      <c r="P4124"/>
      <c r="Q4124" s="24"/>
      <c r="R4124"/>
      <c r="S4124"/>
      <c r="T4124"/>
      <c r="U4124"/>
      <c r="X4124" s="60"/>
    </row>
    <row r="4125" spans="7:24" ht="15" customHeight="1">
      <c r="G4125"/>
      <c r="I4125"/>
      <c r="N4125"/>
      <c r="O4125" s="24"/>
      <c r="P4125"/>
      <c r="Q4125" s="24"/>
      <c r="R4125"/>
      <c r="S4125"/>
      <c r="T4125"/>
      <c r="U4125"/>
      <c r="X4125" s="60"/>
    </row>
    <row r="4126" spans="7:24" ht="15" customHeight="1">
      <c r="G4126"/>
      <c r="I4126"/>
      <c r="N4126"/>
      <c r="O4126" s="24"/>
      <c r="P4126"/>
      <c r="Q4126" s="24"/>
      <c r="R4126"/>
      <c r="S4126"/>
      <c r="T4126"/>
      <c r="U4126"/>
      <c r="X4126" s="60"/>
    </row>
    <row r="4127" spans="7:24" ht="15" customHeight="1">
      <c r="G4127"/>
      <c r="I4127"/>
      <c r="N4127"/>
      <c r="O4127" s="24"/>
      <c r="P4127"/>
      <c r="Q4127" s="24"/>
      <c r="R4127"/>
      <c r="S4127"/>
      <c r="T4127"/>
      <c r="U4127"/>
      <c r="X4127" s="60"/>
    </row>
    <row r="4128" spans="7:24" ht="15" customHeight="1">
      <c r="G4128"/>
      <c r="I4128"/>
      <c r="N4128"/>
      <c r="O4128" s="24"/>
      <c r="P4128"/>
      <c r="Q4128" s="24"/>
      <c r="R4128"/>
      <c r="S4128"/>
      <c r="T4128"/>
      <c r="U4128"/>
      <c r="X4128" s="60"/>
    </row>
    <row r="4129" spans="7:24" ht="15" customHeight="1">
      <c r="G4129"/>
      <c r="I4129"/>
      <c r="N4129"/>
      <c r="O4129" s="24"/>
      <c r="P4129"/>
      <c r="Q4129" s="24"/>
      <c r="R4129"/>
      <c r="S4129"/>
      <c r="T4129"/>
      <c r="U4129"/>
      <c r="X4129" s="60"/>
    </row>
    <row r="4130" spans="7:24" ht="15" customHeight="1">
      <c r="G4130"/>
      <c r="I4130"/>
      <c r="N4130"/>
      <c r="O4130" s="24"/>
      <c r="P4130"/>
      <c r="Q4130" s="24"/>
      <c r="R4130"/>
      <c r="S4130"/>
      <c r="T4130"/>
      <c r="U4130"/>
      <c r="X4130" s="60"/>
    </row>
    <row r="4131" spans="7:24" ht="15" customHeight="1">
      <c r="G4131"/>
      <c r="I4131"/>
      <c r="N4131"/>
      <c r="O4131" s="24"/>
      <c r="P4131"/>
      <c r="Q4131" s="24"/>
      <c r="R4131"/>
      <c r="S4131"/>
      <c r="T4131"/>
      <c r="U4131"/>
      <c r="X4131" s="60"/>
    </row>
    <row r="4132" spans="7:24" ht="15" customHeight="1">
      <c r="G4132"/>
      <c r="I4132"/>
      <c r="N4132"/>
      <c r="O4132" s="24"/>
      <c r="P4132"/>
      <c r="Q4132" s="24"/>
      <c r="R4132"/>
      <c r="S4132"/>
      <c r="T4132"/>
      <c r="U4132"/>
      <c r="X4132" s="60"/>
    </row>
    <row r="4133" spans="7:24" ht="15" customHeight="1">
      <c r="G4133"/>
      <c r="I4133"/>
      <c r="N4133"/>
      <c r="O4133" s="24"/>
      <c r="P4133"/>
      <c r="Q4133" s="24"/>
      <c r="R4133"/>
      <c r="S4133"/>
      <c r="T4133"/>
      <c r="U4133"/>
      <c r="X4133" s="60"/>
    </row>
    <row r="4134" spans="7:24" ht="15" customHeight="1">
      <c r="G4134"/>
      <c r="I4134"/>
      <c r="N4134"/>
      <c r="O4134" s="24"/>
      <c r="P4134"/>
      <c r="Q4134" s="24"/>
      <c r="R4134"/>
      <c r="S4134"/>
      <c r="T4134"/>
      <c r="U4134"/>
      <c r="X4134" s="60"/>
    </row>
    <row r="4135" spans="7:24" ht="15" customHeight="1">
      <c r="G4135"/>
      <c r="I4135"/>
      <c r="N4135"/>
      <c r="O4135" s="24"/>
      <c r="P4135"/>
      <c r="Q4135" s="24"/>
      <c r="R4135"/>
      <c r="S4135"/>
      <c r="T4135"/>
      <c r="U4135"/>
      <c r="X4135" s="60"/>
    </row>
    <row r="4136" spans="7:24" ht="15" customHeight="1">
      <c r="G4136"/>
      <c r="I4136"/>
      <c r="N4136"/>
      <c r="O4136" s="24"/>
      <c r="P4136"/>
      <c r="Q4136" s="24"/>
      <c r="R4136"/>
      <c r="S4136"/>
      <c r="T4136"/>
      <c r="U4136"/>
      <c r="X4136" s="60"/>
    </row>
    <row r="4137" spans="7:24" ht="15" customHeight="1">
      <c r="G4137"/>
      <c r="I4137"/>
      <c r="N4137"/>
      <c r="O4137" s="24"/>
      <c r="P4137"/>
      <c r="Q4137" s="24"/>
      <c r="R4137"/>
      <c r="S4137"/>
      <c r="T4137"/>
      <c r="U4137"/>
      <c r="X4137" s="60"/>
    </row>
    <row r="4138" spans="7:24" ht="15" customHeight="1">
      <c r="G4138"/>
      <c r="I4138"/>
      <c r="N4138"/>
      <c r="O4138" s="24"/>
      <c r="P4138"/>
      <c r="Q4138" s="24"/>
      <c r="R4138"/>
      <c r="S4138"/>
      <c r="T4138"/>
      <c r="U4138"/>
      <c r="X4138" s="60"/>
    </row>
    <row r="4139" spans="7:24" ht="15" customHeight="1">
      <c r="G4139"/>
      <c r="I4139"/>
      <c r="N4139"/>
      <c r="O4139" s="24"/>
      <c r="P4139"/>
      <c r="Q4139" s="24"/>
      <c r="R4139"/>
      <c r="S4139"/>
      <c r="T4139"/>
      <c r="U4139"/>
      <c r="X4139" s="60"/>
    </row>
    <row r="4140" spans="7:24" ht="15" customHeight="1">
      <c r="G4140"/>
      <c r="I4140"/>
      <c r="N4140"/>
      <c r="O4140" s="24"/>
      <c r="P4140"/>
      <c r="Q4140" s="24"/>
      <c r="R4140"/>
      <c r="S4140"/>
      <c r="T4140"/>
      <c r="U4140"/>
      <c r="X4140" s="60"/>
    </row>
    <row r="4141" spans="7:24" ht="15" customHeight="1">
      <c r="G4141"/>
      <c r="I4141"/>
      <c r="N4141"/>
      <c r="O4141" s="24"/>
      <c r="P4141"/>
      <c r="Q4141" s="24"/>
      <c r="R4141"/>
      <c r="S4141"/>
      <c r="T4141"/>
      <c r="U4141"/>
      <c r="X4141" s="60"/>
    </row>
    <row r="4142" spans="7:24" ht="15" customHeight="1">
      <c r="G4142"/>
      <c r="I4142"/>
      <c r="N4142"/>
      <c r="O4142" s="24"/>
      <c r="P4142"/>
      <c r="Q4142" s="24"/>
      <c r="R4142"/>
      <c r="S4142"/>
      <c r="T4142"/>
      <c r="U4142"/>
      <c r="X4142" s="60"/>
    </row>
    <row r="4143" spans="7:24" ht="15" customHeight="1">
      <c r="G4143"/>
      <c r="I4143"/>
      <c r="N4143"/>
      <c r="O4143" s="24"/>
      <c r="P4143"/>
      <c r="Q4143" s="24"/>
      <c r="R4143"/>
      <c r="S4143"/>
      <c r="T4143"/>
      <c r="U4143"/>
      <c r="X4143" s="60"/>
    </row>
    <row r="4144" spans="7:24" ht="15" customHeight="1">
      <c r="G4144"/>
      <c r="I4144"/>
      <c r="N4144"/>
      <c r="O4144" s="24"/>
      <c r="P4144"/>
      <c r="Q4144" s="24"/>
      <c r="R4144"/>
      <c r="S4144"/>
      <c r="T4144"/>
      <c r="U4144"/>
      <c r="X4144" s="60"/>
    </row>
    <row r="4145" spans="7:24" ht="15" customHeight="1">
      <c r="G4145"/>
      <c r="I4145"/>
      <c r="N4145"/>
      <c r="O4145" s="24"/>
      <c r="P4145"/>
      <c r="Q4145" s="24"/>
      <c r="R4145"/>
      <c r="S4145"/>
      <c r="T4145"/>
      <c r="U4145"/>
      <c r="X4145" s="60"/>
    </row>
    <row r="4146" spans="7:24" ht="15" customHeight="1">
      <c r="G4146"/>
      <c r="I4146"/>
      <c r="N4146"/>
      <c r="O4146" s="24"/>
      <c r="P4146"/>
      <c r="Q4146" s="24"/>
      <c r="R4146"/>
      <c r="S4146"/>
      <c r="T4146"/>
      <c r="U4146"/>
      <c r="X4146" s="60"/>
    </row>
    <row r="4147" spans="7:24" ht="15" customHeight="1">
      <c r="G4147"/>
      <c r="I4147"/>
      <c r="N4147"/>
      <c r="O4147" s="24"/>
      <c r="P4147"/>
      <c r="Q4147" s="24"/>
      <c r="R4147"/>
      <c r="S4147"/>
      <c r="T4147"/>
      <c r="U4147"/>
      <c r="X4147" s="60"/>
    </row>
    <row r="4148" spans="7:24" ht="15" customHeight="1">
      <c r="G4148"/>
      <c r="I4148"/>
      <c r="N4148"/>
      <c r="O4148" s="24"/>
      <c r="P4148"/>
      <c r="Q4148" s="24"/>
      <c r="R4148"/>
      <c r="S4148"/>
      <c r="T4148"/>
      <c r="U4148"/>
      <c r="X4148" s="60"/>
    </row>
    <row r="4149" spans="7:24" ht="15" customHeight="1">
      <c r="G4149"/>
      <c r="I4149"/>
      <c r="N4149"/>
      <c r="O4149" s="24"/>
      <c r="P4149"/>
      <c r="Q4149" s="24"/>
      <c r="R4149"/>
      <c r="S4149"/>
      <c r="T4149"/>
      <c r="U4149"/>
      <c r="X4149" s="60"/>
    </row>
    <row r="4150" spans="7:24" ht="15" customHeight="1">
      <c r="G4150"/>
      <c r="I4150"/>
      <c r="N4150"/>
      <c r="O4150" s="24"/>
      <c r="P4150"/>
      <c r="Q4150" s="24"/>
      <c r="R4150"/>
      <c r="S4150"/>
      <c r="T4150"/>
      <c r="U4150"/>
      <c r="X4150" s="60"/>
    </row>
    <row r="4151" spans="7:24" ht="15" customHeight="1">
      <c r="G4151"/>
      <c r="I4151"/>
      <c r="N4151"/>
      <c r="O4151" s="24"/>
      <c r="P4151"/>
      <c r="Q4151" s="24"/>
      <c r="R4151"/>
      <c r="S4151"/>
      <c r="T4151"/>
      <c r="U4151"/>
      <c r="X4151" s="60"/>
    </row>
    <row r="4152" spans="7:24" ht="15" customHeight="1">
      <c r="G4152"/>
      <c r="I4152"/>
      <c r="N4152"/>
      <c r="O4152" s="24"/>
      <c r="P4152"/>
      <c r="Q4152" s="24"/>
      <c r="R4152"/>
      <c r="S4152"/>
      <c r="T4152"/>
      <c r="U4152"/>
      <c r="X4152" s="60"/>
    </row>
    <row r="4153" spans="7:24" ht="15" customHeight="1">
      <c r="G4153"/>
      <c r="I4153"/>
      <c r="N4153"/>
      <c r="O4153" s="24"/>
      <c r="P4153"/>
      <c r="Q4153" s="24"/>
      <c r="R4153"/>
      <c r="S4153"/>
      <c r="T4153"/>
      <c r="U4153"/>
      <c r="X4153" s="60"/>
    </row>
    <row r="4154" spans="7:24" ht="15" customHeight="1">
      <c r="G4154"/>
      <c r="I4154"/>
      <c r="N4154"/>
      <c r="O4154" s="24"/>
      <c r="P4154"/>
      <c r="Q4154" s="24"/>
      <c r="R4154"/>
      <c r="S4154"/>
      <c r="T4154"/>
      <c r="U4154"/>
      <c r="X4154" s="60"/>
    </row>
    <row r="4155" spans="7:24" ht="15" customHeight="1">
      <c r="G4155"/>
      <c r="I4155"/>
      <c r="N4155"/>
      <c r="O4155" s="24"/>
      <c r="P4155"/>
      <c r="Q4155" s="24"/>
      <c r="R4155"/>
      <c r="S4155"/>
      <c r="T4155"/>
      <c r="U4155"/>
      <c r="X4155" s="60"/>
    </row>
    <row r="4156" spans="7:24" ht="15" customHeight="1">
      <c r="G4156"/>
      <c r="I4156"/>
      <c r="N4156"/>
      <c r="O4156" s="24"/>
      <c r="P4156"/>
      <c r="Q4156" s="24"/>
      <c r="R4156"/>
      <c r="S4156"/>
      <c r="T4156"/>
      <c r="U4156"/>
      <c r="X4156" s="60"/>
    </row>
    <row r="4157" spans="7:24" ht="15" customHeight="1">
      <c r="G4157"/>
      <c r="I4157"/>
      <c r="N4157"/>
      <c r="O4157" s="24"/>
      <c r="P4157"/>
      <c r="Q4157" s="24"/>
      <c r="R4157"/>
      <c r="S4157"/>
      <c r="T4157"/>
      <c r="U4157"/>
      <c r="X4157" s="60"/>
    </row>
    <row r="4158" spans="7:24" ht="15" customHeight="1">
      <c r="G4158"/>
      <c r="I4158"/>
      <c r="N4158"/>
      <c r="O4158" s="24"/>
      <c r="P4158"/>
      <c r="Q4158" s="24"/>
      <c r="R4158"/>
      <c r="S4158"/>
      <c r="T4158"/>
      <c r="U4158"/>
      <c r="X4158" s="60"/>
    </row>
    <row r="4159" spans="7:24" ht="15" customHeight="1">
      <c r="G4159"/>
      <c r="I4159"/>
      <c r="N4159"/>
      <c r="O4159" s="24"/>
      <c r="P4159"/>
      <c r="Q4159" s="24"/>
      <c r="R4159"/>
      <c r="S4159"/>
      <c r="T4159"/>
      <c r="U4159"/>
      <c r="X4159" s="60"/>
    </row>
    <row r="4160" spans="7:24" ht="15" customHeight="1">
      <c r="G4160"/>
      <c r="I4160"/>
      <c r="N4160"/>
      <c r="O4160" s="24"/>
      <c r="P4160"/>
      <c r="Q4160" s="24"/>
      <c r="R4160"/>
      <c r="S4160"/>
      <c r="T4160"/>
      <c r="U4160"/>
      <c r="X4160" s="60"/>
    </row>
    <row r="4161" spans="7:24" ht="15" customHeight="1">
      <c r="G4161"/>
      <c r="I4161"/>
      <c r="N4161"/>
      <c r="O4161" s="24"/>
      <c r="P4161"/>
      <c r="Q4161" s="24"/>
      <c r="R4161"/>
      <c r="S4161"/>
      <c r="T4161"/>
      <c r="U4161"/>
      <c r="X4161" s="60"/>
    </row>
    <row r="4162" spans="7:24" ht="15" customHeight="1">
      <c r="G4162"/>
      <c r="I4162"/>
      <c r="N4162"/>
      <c r="O4162" s="24"/>
      <c r="P4162"/>
      <c r="Q4162" s="24"/>
      <c r="R4162"/>
      <c r="S4162"/>
      <c r="T4162"/>
      <c r="U4162"/>
      <c r="X4162" s="60"/>
    </row>
    <row r="4163" spans="7:24" ht="15" customHeight="1">
      <c r="G4163"/>
      <c r="I4163"/>
      <c r="N4163"/>
      <c r="O4163" s="24"/>
      <c r="P4163"/>
      <c r="Q4163" s="24"/>
      <c r="R4163"/>
      <c r="S4163"/>
      <c r="T4163"/>
      <c r="U4163"/>
      <c r="X4163" s="60"/>
    </row>
    <row r="4164" spans="7:24" ht="15" customHeight="1">
      <c r="G4164"/>
      <c r="I4164"/>
      <c r="N4164"/>
      <c r="O4164" s="24"/>
      <c r="P4164"/>
      <c r="Q4164" s="24"/>
      <c r="R4164"/>
      <c r="S4164"/>
      <c r="T4164"/>
      <c r="U4164"/>
      <c r="X4164" s="60"/>
    </row>
    <row r="4165" spans="7:24" ht="15" customHeight="1">
      <c r="G4165"/>
      <c r="I4165"/>
      <c r="N4165"/>
      <c r="O4165" s="24"/>
      <c r="P4165"/>
      <c r="Q4165" s="24"/>
      <c r="R4165"/>
      <c r="S4165"/>
      <c r="T4165"/>
      <c r="U4165"/>
      <c r="X4165" s="60"/>
    </row>
    <row r="4166" spans="7:24" ht="15" customHeight="1">
      <c r="G4166"/>
      <c r="I4166"/>
      <c r="N4166"/>
      <c r="O4166" s="24"/>
      <c r="P4166"/>
      <c r="Q4166" s="24"/>
      <c r="R4166"/>
      <c r="S4166"/>
      <c r="T4166"/>
      <c r="U4166"/>
      <c r="X4166" s="60"/>
    </row>
    <row r="4167" spans="7:24" ht="15" customHeight="1">
      <c r="G4167"/>
      <c r="I4167"/>
      <c r="N4167"/>
      <c r="O4167" s="24"/>
      <c r="P4167"/>
      <c r="Q4167" s="24"/>
      <c r="R4167"/>
      <c r="S4167"/>
      <c r="T4167"/>
      <c r="U4167"/>
      <c r="X4167" s="60"/>
    </row>
    <row r="4168" spans="7:24" ht="15" customHeight="1">
      <c r="G4168"/>
      <c r="I4168"/>
      <c r="N4168"/>
      <c r="O4168" s="24"/>
      <c r="P4168"/>
      <c r="Q4168" s="24"/>
      <c r="R4168"/>
      <c r="S4168"/>
      <c r="T4168"/>
      <c r="U4168"/>
      <c r="X4168" s="60"/>
    </row>
    <row r="4169" spans="7:24" ht="15" customHeight="1">
      <c r="G4169"/>
      <c r="I4169"/>
      <c r="N4169"/>
      <c r="O4169" s="24"/>
      <c r="P4169"/>
      <c r="Q4169" s="24"/>
      <c r="R4169"/>
      <c r="S4169"/>
      <c r="T4169"/>
      <c r="U4169"/>
      <c r="X4169" s="60"/>
    </row>
    <row r="4170" spans="7:24" ht="15" customHeight="1">
      <c r="G4170"/>
      <c r="I4170"/>
      <c r="N4170"/>
      <c r="O4170" s="24"/>
      <c r="P4170"/>
      <c r="Q4170" s="24"/>
      <c r="R4170"/>
      <c r="S4170"/>
      <c r="T4170"/>
      <c r="U4170"/>
      <c r="X4170" s="60"/>
    </row>
    <row r="4171" spans="7:24" ht="15" customHeight="1">
      <c r="G4171"/>
      <c r="I4171"/>
      <c r="N4171"/>
      <c r="O4171" s="24"/>
      <c r="P4171"/>
      <c r="Q4171" s="24"/>
      <c r="R4171"/>
      <c r="S4171"/>
      <c r="T4171"/>
      <c r="U4171"/>
      <c r="X4171" s="60"/>
    </row>
    <row r="4172" spans="7:24" ht="15" customHeight="1">
      <c r="G4172"/>
      <c r="I4172"/>
      <c r="N4172"/>
      <c r="O4172" s="24"/>
      <c r="P4172"/>
      <c r="Q4172" s="24"/>
      <c r="R4172"/>
      <c r="S4172"/>
      <c r="T4172"/>
      <c r="U4172"/>
      <c r="X4172" s="60"/>
    </row>
    <row r="4173" spans="7:24" ht="15" customHeight="1">
      <c r="G4173"/>
      <c r="I4173"/>
      <c r="N4173"/>
      <c r="O4173" s="24"/>
      <c r="P4173"/>
      <c r="Q4173" s="24"/>
      <c r="R4173"/>
      <c r="S4173"/>
      <c r="T4173"/>
      <c r="U4173"/>
      <c r="X4173" s="60"/>
    </row>
    <row r="4174" spans="7:24" ht="15" customHeight="1">
      <c r="G4174"/>
      <c r="I4174"/>
      <c r="N4174"/>
      <c r="O4174" s="24"/>
      <c r="P4174"/>
      <c r="Q4174" s="24"/>
      <c r="R4174"/>
      <c r="S4174"/>
      <c r="T4174"/>
      <c r="U4174"/>
      <c r="X4174" s="60"/>
    </row>
    <row r="4175" spans="7:24" ht="15" customHeight="1">
      <c r="G4175"/>
      <c r="I4175"/>
      <c r="N4175"/>
      <c r="O4175" s="24"/>
      <c r="P4175"/>
      <c r="Q4175" s="24"/>
      <c r="R4175"/>
      <c r="S4175"/>
      <c r="T4175"/>
      <c r="U4175"/>
      <c r="X4175" s="60"/>
    </row>
    <row r="4176" spans="7:24" ht="15" customHeight="1">
      <c r="G4176"/>
      <c r="I4176"/>
      <c r="N4176"/>
      <c r="O4176" s="24"/>
      <c r="P4176"/>
      <c r="Q4176" s="24"/>
      <c r="R4176"/>
      <c r="S4176"/>
      <c r="T4176"/>
      <c r="U4176"/>
      <c r="X4176" s="60"/>
    </row>
    <row r="4177" spans="7:24" ht="15" customHeight="1">
      <c r="G4177"/>
      <c r="I4177"/>
      <c r="N4177"/>
      <c r="O4177" s="24"/>
      <c r="P4177"/>
      <c r="Q4177" s="24"/>
      <c r="R4177"/>
      <c r="S4177"/>
      <c r="T4177"/>
      <c r="U4177"/>
      <c r="X4177" s="60"/>
    </row>
    <row r="4178" spans="7:24" ht="15" customHeight="1">
      <c r="G4178"/>
      <c r="I4178"/>
      <c r="N4178"/>
      <c r="O4178" s="24"/>
      <c r="P4178"/>
      <c r="Q4178" s="24"/>
      <c r="R4178"/>
      <c r="S4178"/>
      <c r="T4178"/>
      <c r="U4178"/>
      <c r="X4178" s="60"/>
    </row>
    <row r="4179" spans="7:24" ht="15" customHeight="1">
      <c r="G4179"/>
      <c r="I4179"/>
      <c r="N4179"/>
      <c r="O4179" s="24"/>
      <c r="P4179"/>
      <c r="Q4179" s="24"/>
      <c r="R4179"/>
      <c r="S4179"/>
      <c r="T4179"/>
      <c r="U4179"/>
      <c r="X4179" s="60"/>
    </row>
    <row r="4180" spans="7:24" ht="15" customHeight="1">
      <c r="G4180"/>
      <c r="I4180"/>
      <c r="N4180"/>
      <c r="O4180" s="24"/>
      <c r="P4180"/>
      <c r="Q4180" s="24"/>
      <c r="R4180"/>
      <c r="S4180"/>
      <c r="T4180"/>
      <c r="U4180"/>
      <c r="X4180" s="60"/>
    </row>
    <row r="4181" spans="7:24" ht="15" customHeight="1">
      <c r="G4181"/>
      <c r="I4181"/>
      <c r="N4181"/>
      <c r="O4181" s="24"/>
      <c r="P4181"/>
      <c r="Q4181" s="24"/>
      <c r="R4181"/>
      <c r="S4181"/>
      <c r="T4181"/>
      <c r="U4181"/>
      <c r="X4181" s="60"/>
    </row>
    <row r="4182" spans="7:24" ht="15" customHeight="1">
      <c r="G4182"/>
      <c r="I4182"/>
      <c r="N4182"/>
      <c r="O4182" s="24"/>
      <c r="P4182"/>
      <c r="Q4182" s="24"/>
      <c r="R4182"/>
      <c r="S4182"/>
      <c r="T4182"/>
      <c r="U4182"/>
      <c r="X4182" s="60"/>
    </row>
    <row r="4183" spans="7:24" ht="15" customHeight="1">
      <c r="G4183"/>
      <c r="I4183"/>
      <c r="N4183"/>
      <c r="O4183" s="24"/>
      <c r="P4183"/>
      <c r="Q4183" s="24"/>
      <c r="R4183"/>
      <c r="S4183"/>
      <c r="T4183"/>
      <c r="U4183"/>
      <c r="X4183" s="60"/>
    </row>
    <row r="4184" spans="7:24" ht="15" customHeight="1">
      <c r="G4184"/>
      <c r="I4184"/>
      <c r="N4184"/>
      <c r="O4184" s="24"/>
      <c r="P4184"/>
      <c r="Q4184" s="24"/>
      <c r="R4184"/>
      <c r="S4184"/>
      <c r="T4184"/>
      <c r="U4184"/>
      <c r="X4184" s="60"/>
    </row>
    <row r="4185" spans="7:24" ht="15" customHeight="1">
      <c r="G4185"/>
      <c r="I4185"/>
      <c r="N4185"/>
      <c r="O4185" s="24"/>
      <c r="P4185"/>
      <c r="Q4185" s="24"/>
      <c r="R4185"/>
      <c r="S4185"/>
      <c r="T4185"/>
      <c r="U4185"/>
      <c r="X4185" s="60"/>
    </row>
    <row r="4186" spans="7:24" ht="15" customHeight="1">
      <c r="G4186"/>
      <c r="I4186"/>
      <c r="N4186"/>
      <c r="O4186" s="24"/>
      <c r="P4186"/>
      <c r="Q4186" s="24"/>
      <c r="R4186"/>
      <c r="S4186"/>
      <c r="T4186"/>
      <c r="U4186"/>
      <c r="X4186" s="60"/>
    </row>
    <row r="4187" spans="7:24" ht="15" customHeight="1">
      <c r="G4187"/>
      <c r="I4187"/>
      <c r="N4187"/>
      <c r="O4187" s="24"/>
      <c r="P4187"/>
      <c r="Q4187" s="24"/>
      <c r="R4187"/>
      <c r="S4187"/>
      <c r="T4187"/>
      <c r="U4187"/>
      <c r="X4187" s="60"/>
    </row>
    <row r="4188" spans="7:24" ht="15" customHeight="1">
      <c r="G4188"/>
      <c r="I4188"/>
      <c r="N4188"/>
      <c r="O4188" s="24"/>
      <c r="P4188"/>
      <c r="Q4188" s="24"/>
      <c r="R4188"/>
      <c r="S4188"/>
      <c r="T4188"/>
      <c r="U4188"/>
      <c r="X4188" s="60"/>
    </row>
    <row r="4189" spans="7:24" ht="15" customHeight="1">
      <c r="G4189"/>
      <c r="I4189"/>
      <c r="N4189"/>
      <c r="O4189" s="24"/>
      <c r="P4189"/>
      <c r="Q4189" s="24"/>
      <c r="R4189"/>
      <c r="S4189"/>
      <c r="T4189"/>
      <c r="U4189"/>
      <c r="X4189" s="60"/>
    </row>
    <row r="4190" spans="7:24" ht="15" customHeight="1">
      <c r="G4190"/>
      <c r="I4190"/>
      <c r="N4190"/>
      <c r="O4190" s="24"/>
      <c r="P4190"/>
      <c r="Q4190" s="24"/>
      <c r="R4190"/>
      <c r="S4190"/>
      <c r="T4190"/>
      <c r="U4190"/>
      <c r="X4190" s="60"/>
    </row>
    <row r="4191" spans="7:24" ht="15" customHeight="1">
      <c r="G4191"/>
      <c r="I4191"/>
      <c r="N4191"/>
      <c r="O4191" s="24"/>
      <c r="P4191"/>
      <c r="Q4191" s="24"/>
      <c r="R4191"/>
      <c r="S4191"/>
      <c r="T4191"/>
      <c r="U4191"/>
      <c r="X4191" s="60"/>
    </row>
    <row r="4192" spans="7:24" ht="15" customHeight="1">
      <c r="G4192"/>
      <c r="I4192"/>
      <c r="N4192"/>
      <c r="O4192" s="24"/>
      <c r="P4192"/>
      <c r="Q4192" s="24"/>
      <c r="R4192"/>
      <c r="S4192"/>
      <c r="T4192"/>
      <c r="U4192"/>
      <c r="X4192" s="60"/>
    </row>
    <row r="4193" spans="7:24" ht="15" customHeight="1">
      <c r="G4193"/>
      <c r="I4193"/>
      <c r="N4193"/>
      <c r="O4193" s="24"/>
      <c r="P4193"/>
      <c r="Q4193" s="24"/>
      <c r="R4193"/>
      <c r="S4193"/>
      <c r="T4193"/>
      <c r="U4193"/>
      <c r="X4193" s="60"/>
    </row>
    <row r="4194" spans="7:24" ht="15" customHeight="1">
      <c r="G4194"/>
      <c r="I4194"/>
      <c r="N4194"/>
      <c r="O4194" s="24"/>
      <c r="P4194"/>
      <c r="Q4194" s="24"/>
      <c r="R4194"/>
      <c r="S4194"/>
      <c r="T4194"/>
      <c r="U4194"/>
      <c r="X4194" s="60"/>
    </row>
    <row r="4195" spans="7:24" ht="15" customHeight="1">
      <c r="G4195"/>
      <c r="I4195"/>
      <c r="N4195"/>
      <c r="O4195" s="24"/>
      <c r="P4195"/>
      <c r="Q4195" s="24"/>
      <c r="R4195"/>
      <c r="S4195"/>
      <c r="T4195"/>
      <c r="U4195"/>
      <c r="X4195" s="60"/>
    </row>
    <row r="4196" spans="7:24" ht="15" customHeight="1">
      <c r="G4196"/>
      <c r="I4196"/>
      <c r="N4196"/>
      <c r="O4196" s="24"/>
      <c r="P4196"/>
      <c r="Q4196" s="24"/>
      <c r="R4196"/>
      <c r="S4196"/>
      <c r="T4196"/>
      <c r="U4196"/>
      <c r="X4196" s="60"/>
    </row>
    <row r="4197" spans="7:24" ht="15" customHeight="1">
      <c r="G4197"/>
      <c r="I4197"/>
      <c r="N4197"/>
      <c r="O4197" s="24"/>
      <c r="P4197"/>
      <c r="Q4197" s="24"/>
      <c r="R4197"/>
      <c r="S4197"/>
      <c r="T4197"/>
      <c r="U4197"/>
      <c r="X4197" s="60"/>
    </row>
    <row r="4198" spans="7:24" ht="15" customHeight="1">
      <c r="G4198"/>
      <c r="I4198"/>
      <c r="N4198"/>
      <c r="O4198" s="24"/>
      <c r="P4198"/>
      <c r="Q4198" s="24"/>
      <c r="R4198"/>
      <c r="S4198"/>
      <c r="T4198"/>
      <c r="U4198"/>
      <c r="X4198" s="60"/>
    </row>
    <row r="4199" spans="7:24" ht="15" customHeight="1">
      <c r="G4199"/>
      <c r="I4199"/>
      <c r="N4199"/>
      <c r="O4199" s="24"/>
      <c r="P4199"/>
      <c r="Q4199" s="24"/>
      <c r="R4199"/>
      <c r="S4199"/>
      <c r="T4199"/>
      <c r="U4199"/>
      <c r="X4199" s="60"/>
    </row>
    <row r="4200" spans="7:24" ht="15" customHeight="1">
      <c r="G4200"/>
      <c r="I4200"/>
      <c r="N4200"/>
      <c r="O4200" s="24"/>
      <c r="P4200"/>
      <c r="Q4200" s="24"/>
      <c r="R4200"/>
      <c r="S4200"/>
      <c r="T4200"/>
      <c r="U4200"/>
      <c r="X4200" s="60"/>
    </row>
    <row r="4201" spans="7:24" ht="15" customHeight="1">
      <c r="G4201"/>
      <c r="I4201"/>
      <c r="N4201"/>
      <c r="O4201" s="24"/>
      <c r="P4201"/>
      <c r="Q4201" s="24"/>
      <c r="R4201"/>
      <c r="S4201"/>
      <c r="T4201"/>
      <c r="U4201"/>
      <c r="X4201" s="60"/>
    </row>
    <row r="4202" spans="7:24" ht="15" customHeight="1">
      <c r="G4202"/>
      <c r="I4202"/>
      <c r="N4202"/>
      <c r="O4202" s="24"/>
      <c r="P4202"/>
      <c r="Q4202" s="24"/>
      <c r="R4202"/>
      <c r="S4202"/>
      <c r="T4202"/>
      <c r="U4202"/>
      <c r="X4202" s="60"/>
    </row>
    <row r="4203" spans="7:24" ht="15" customHeight="1">
      <c r="G4203"/>
      <c r="I4203"/>
      <c r="N4203"/>
      <c r="O4203" s="24"/>
      <c r="P4203"/>
      <c r="Q4203" s="24"/>
      <c r="R4203"/>
      <c r="S4203"/>
      <c r="T4203"/>
      <c r="U4203"/>
      <c r="X4203" s="60"/>
    </row>
    <row r="4204" spans="7:24" ht="15" customHeight="1">
      <c r="G4204"/>
      <c r="I4204"/>
      <c r="N4204"/>
      <c r="O4204" s="24"/>
      <c r="P4204"/>
      <c r="Q4204" s="24"/>
      <c r="R4204"/>
      <c r="S4204"/>
      <c r="T4204"/>
      <c r="U4204"/>
      <c r="X4204" s="60"/>
    </row>
    <row r="4205" spans="7:24" ht="15" customHeight="1">
      <c r="G4205"/>
      <c r="I4205"/>
      <c r="N4205"/>
      <c r="O4205" s="24"/>
      <c r="P4205"/>
      <c r="Q4205" s="24"/>
      <c r="R4205"/>
      <c r="S4205"/>
      <c r="T4205"/>
      <c r="U4205"/>
      <c r="X4205" s="60"/>
    </row>
    <row r="4206" spans="7:24" ht="15" customHeight="1">
      <c r="G4206"/>
      <c r="I4206"/>
      <c r="N4206"/>
      <c r="O4206" s="24"/>
      <c r="P4206"/>
      <c r="Q4206" s="24"/>
      <c r="R4206"/>
      <c r="S4206"/>
      <c r="T4206"/>
      <c r="U4206"/>
      <c r="X4206" s="60"/>
    </row>
    <row r="4207" spans="7:24" ht="15" customHeight="1">
      <c r="G4207"/>
      <c r="I4207"/>
      <c r="N4207"/>
      <c r="O4207" s="24"/>
      <c r="P4207"/>
      <c r="Q4207" s="24"/>
      <c r="R4207"/>
      <c r="S4207"/>
      <c r="T4207"/>
      <c r="U4207"/>
      <c r="X4207" s="60"/>
    </row>
    <row r="4208" spans="7:24" ht="15" customHeight="1">
      <c r="G4208"/>
      <c r="I4208"/>
      <c r="N4208"/>
      <c r="O4208" s="24"/>
      <c r="P4208"/>
      <c r="Q4208" s="24"/>
      <c r="R4208"/>
      <c r="S4208"/>
      <c r="T4208"/>
      <c r="U4208"/>
      <c r="X4208" s="60"/>
    </row>
    <row r="4209" spans="7:24" ht="15" customHeight="1">
      <c r="G4209"/>
      <c r="I4209"/>
      <c r="N4209"/>
      <c r="O4209" s="24"/>
      <c r="P4209"/>
      <c r="Q4209" s="24"/>
      <c r="R4209"/>
      <c r="S4209"/>
      <c r="T4209"/>
      <c r="U4209"/>
      <c r="X4209" s="60"/>
    </row>
    <row r="4210" spans="7:24" ht="15" customHeight="1">
      <c r="G4210"/>
      <c r="I4210"/>
      <c r="N4210"/>
      <c r="O4210" s="24"/>
      <c r="P4210"/>
      <c r="Q4210" s="24"/>
      <c r="R4210"/>
      <c r="S4210"/>
      <c r="T4210"/>
      <c r="U4210"/>
      <c r="X4210" s="60"/>
    </row>
    <row r="4211" spans="7:24" ht="15" customHeight="1">
      <c r="G4211"/>
      <c r="I4211"/>
      <c r="N4211"/>
      <c r="O4211" s="24"/>
      <c r="P4211"/>
      <c r="Q4211" s="24"/>
      <c r="R4211"/>
      <c r="S4211"/>
      <c r="T4211"/>
      <c r="U4211"/>
      <c r="X4211" s="60"/>
    </row>
    <row r="4212" spans="7:24" ht="15" customHeight="1">
      <c r="G4212"/>
      <c r="I4212"/>
      <c r="N4212"/>
      <c r="O4212" s="24"/>
      <c r="P4212"/>
      <c r="Q4212" s="24"/>
      <c r="R4212"/>
      <c r="S4212"/>
      <c r="T4212"/>
      <c r="U4212"/>
      <c r="X4212" s="60"/>
    </row>
    <row r="4213" spans="7:24" ht="15" customHeight="1">
      <c r="G4213"/>
      <c r="I4213"/>
      <c r="N4213"/>
      <c r="O4213" s="24"/>
      <c r="P4213"/>
      <c r="Q4213" s="24"/>
      <c r="R4213"/>
      <c r="S4213"/>
      <c r="T4213"/>
      <c r="U4213"/>
      <c r="X4213" s="60"/>
    </row>
    <row r="4214" spans="7:24" ht="15" customHeight="1">
      <c r="G4214"/>
      <c r="I4214"/>
      <c r="N4214"/>
      <c r="O4214" s="24"/>
      <c r="P4214"/>
      <c r="Q4214" s="24"/>
      <c r="R4214"/>
      <c r="S4214"/>
      <c r="T4214"/>
      <c r="U4214"/>
      <c r="X4214" s="60"/>
    </row>
    <row r="4215" spans="7:24" ht="15" customHeight="1">
      <c r="G4215"/>
      <c r="I4215"/>
      <c r="N4215"/>
      <c r="O4215" s="24"/>
      <c r="P4215"/>
      <c r="Q4215" s="24"/>
      <c r="R4215"/>
      <c r="S4215"/>
      <c r="T4215"/>
      <c r="U4215"/>
      <c r="X4215" s="60"/>
    </row>
    <row r="4216" spans="7:24" ht="15" customHeight="1">
      <c r="G4216"/>
      <c r="I4216"/>
      <c r="N4216"/>
      <c r="O4216" s="24"/>
      <c r="P4216"/>
      <c r="Q4216" s="24"/>
      <c r="R4216"/>
      <c r="S4216"/>
      <c r="T4216"/>
      <c r="U4216"/>
      <c r="X4216" s="60"/>
    </row>
    <row r="4217" spans="7:24" ht="15" customHeight="1">
      <c r="G4217"/>
      <c r="I4217"/>
      <c r="N4217"/>
      <c r="O4217" s="24"/>
      <c r="P4217"/>
      <c r="Q4217" s="24"/>
      <c r="R4217"/>
      <c r="S4217"/>
      <c r="T4217"/>
      <c r="U4217"/>
      <c r="X4217" s="60"/>
    </row>
    <row r="4218" spans="7:24" ht="15" customHeight="1">
      <c r="G4218"/>
      <c r="I4218"/>
      <c r="N4218"/>
      <c r="O4218" s="24"/>
      <c r="P4218"/>
      <c r="Q4218" s="24"/>
      <c r="R4218"/>
      <c r="S4218"/>
      <c r="T4218"/>
      <c r="U4218"/>
      <c r="X4218" s="60"/>
    </row>
    <row r="4219" spans="7:24" ht="15" customHeight="1">
      <c r="G4219"/>
      <c r="I4219"/>
      <c r="N4219"/>
      <c r="O4219" s="24"/>
      <c r="P4219"/>
      <c r="Q4219" s="24"/>
      <c r="R4219"/>
      <c r="S4219"/>
      <c r="T4219"/>
      <c r="U4219"/>
      <c r="X4219" s="60"/>
    </row>
    <row r="4220" spans="7:24" ht="15" customHeight="1">
      <c r="G4220"/>
      <c r="I4220"/>
      <c r="N4220"/>
      <c r="O4220" s="24"/>
      <c r="P4220"/>
      <c r="Q4220" s="24"/>
      <c r="R4220"/>
      <c r="S4220"/>
      <c r="T4220"/>
      <c r="U4220"/>
      <c r="X4220" s="60"/>
    </row>
    <row r="4221" spans="7:24" ht="15" customHeight="1">
      <c r="G4221"/>
      <c r="I4221"/>
      <c r="N4221"/>
      <c r="O4221" s="24"/>
      <c r="P4221"/>
      <c r="Q4221" s="24"/>
      <c r="R4221"/>
      <c r="S4221"/>
      <c r="T4221"/>
      <c r="U4221"/>
      <c r="X4221" s="60"/>
    </row>
    <row r="4222" spans="7:24" ht="15" customHeight="1">
      <c r="G4222"/>
      <c r="I4222"/>
      <c r="N4222"/>
      <c r="O4222" s="24"/>
      <c r="P4222"/>
      <c r="Q4222" s="24"/>
      <c r="R4222"/>
      <c r="S4222"/>
      <c r="T4222"/>
      <c r="U4222"/>
      <c r="X4222" s="60"/>
    </row>
    <row r="4223" spans="7:24" ht="15" customHeight="1">
      <c r="G4223"/>
      <c r="I4223"/>
      <c r="N4223"/>
      <c r="O4223" s="24"/>
      <c r="P4223"/>
      <c r="Q4223" s="24"/>
      <c r="R4223"/>
      <c r="S4223"/>
      <c r="T4223"/>
      <c r="U4223"/>
      <c r="X4223" s="60"/>
    </row>
    <row r="4224" spans="7:24" ht="15" customHeight="1">
      <c r="G4224"/>
      <c r="I4224"/>
      <c r="N4224"/>
      <c r="O4224" s="24"/>
      <c r="P4224"/>
      <c r="Q4224" s="24"/>
      <c r="R4224"/>
      <c r="S4224"/>
      <c r="T4224"/>
      <c r="U4224"/>
      <c r="X4224" s="60"/>
    </row>
    <row r="4225" spans="7:24" ht="15" customHeight="1">
      <c r="G4225"/>
      <c r="I4225"/>
      <c r="N4225"/>
      <c r="O4225" s="24"/>
      <c r="P4225"/>
      <c r="Q4225" s="24"/>
      <c r="R4225"/>
      <c r="S4225"/>
      <c r="T4225"/>
      <c r="U4225"/>
      <c r="X4225" s="60"/>
    </row>
    <row r="4226" spans="7:24" ht="15" customHeight="1">
      <c r="G4226"/>
      <c r="I4226"/>
      <c r="N4226"/>
      <c r="O4226" s="24"/>
      <c r="P4226"/>
      <c r="Q4226" s="24"/>
      <c r="R4226"/>
      <c r="S4226"/>
      <c r="T4226"/>
      <c r="U4226"/>
      <c r="X4226" s="60"/>
    </row>
    <row r="4227" spans="7:24" ht="15" customHeight="1">
      <c r="G4227"/>
      <c r="I4227"/>
      <c r="N4227"/>
      <c r="O4227" s="24"/>
      <c r="P4227"/>
      <c r="Q4227" s="24"/>
      <c r="R4227"/>
      <c r="S4227"/>
      <c r="T4227"/>
      <c r="U4227"/>
      <c r="X4227" s="60"/>
    </row>
    <row r="4228" spans="7:24" ht="15" customHeight="1">
      <c r="G4228"/>
      <c r="I4228"/>
      <c r="N4228"/>
      <c r="O4228" s="24"/>
      <c r="P4228"/>
      <c r="Q4228" s="24"/>
      <c r="R4228"/>
      <c r="S4228"/>
      <c r="T4228"/>
      <c r="U4228"/>
      <c r="X4228" s="60"/>
    </row>
    <row r="4229" spans="7:24" ht="15" customHeight="1">
      <c r="G4229"/>
      <c r="I4229"/>
      <c r="N4229"/>
      <c r="O4229" s="24"/>
      <c r="P4229"/>
      <c r="Q4229" s="24"/>
      <c r="R4229"/>
      <c r="S4229"/>
      <c r="T4229"/>
      <c r="U4229"/>
      <c r="X4229" s="60"/>
    </row>
    <row r="4230" spans="7:24" ht="15" customHeight="1">
      <c r="G4230"/>
      <c r="I4230"/>
      <c r="N4230"/>
      <c r="O4230" s="24"/>
      <c r="P4230"/>
      <c r="Q4230" s="24"/>
      <c r="R4230"/>
      <c r="S4230"/>
      <c r="T4230"/>
      <c r="U4230"/>
      <c r="X4230" s="60"/>
    </row>
    <row r="4231" spans="7:24" ht="15" customHeight="1">
      <c r="G4231"/>
      <c r="I4231"/>
      <c r="N4231"/>
      <c r="O4231" s="24"/>
      <c r="P4231"/>
      <c r="Q4231" s="24"/>
      <c r="R4231"/>
      <c r="S4231"/>
      <c r="T4231"/>
      <c r="U4231"/>
      <c r="X4231" s="60"/>
    </row>
    <row r="4232" spans="7:24" ht="15" customHeight="1">
      <c r="G4232"/>
      <c r="I4232"/>
      <c r="N4232"/>
      <c r="O4232" s="24"/>
      <c r="P4232"/>
      <c r="Q4232" s="24"/>
      <c r="R4232"/>
      <c r="S4232"/>
      <c r="T4232"/>
      <c r="U4232"/>
      <c r="X4232" s="60"/>
    </row>
    <row r="4233" spans="7:24" ht="15" customHeight="1">
      <c r="G4233"/>
      <c r="I4233"/>
      <c r="N4233"/>
      <c r="O4233" s="24"/>
      <c r="P4233"/>
      <c r="Q4233" s="24"/>
      <c r="R4233"/>
      <c r="S4233"/>
      <c r="T4233"/>
      <c r="U4233"/>
      <c r="X4233" s="60"/>
    </row>
    <row r="4234" spans="7:24" ht="15" customHeight="1">
      <c r="G4234"/>
      <c r="I4234"/>
      <c r="N4234"/>
      <c r="O4234" s="24"/>
      <c r="P4234"/>
      <c r="Q4234" s="24"/>
      <c r="R4234"/>
      <c r="S4234"/>
      <c r="T4234"/>
      <c r="U4234"/>
      <c r="X4234" s="60"/>
    </row>
    <row r="4235" spans="7:24" ht="15" customHeight="1">
      <c r="G4235"/>
      <c r="I4235"/>
      <c r="N4235"/>
      <c r="O4235" s="24"/>
      <c r="P4235"/>
      <c r="Q4235" s="24"/>
      <c r="R4235"/>
      <c r="S4235"/>
      <c r="T4235"/>
      <c r="U4235"/>
      <c r="X4235" s="60"/>
    </row>
    <row r="4236" spans="7:24" ht="15" customHeight="1">
      <c r="G4236"/>
      <c r="I4236"/>
      <c r="N4236"/>
      <c r="O4236" s="24"/>
      <c r="P4236"/>
      <c r="Q4236" s="24"/>
      <c r="R4236"/>
      <c r="S4236"/>
      <c r="T4236"/>
      <c r="U4236"/>
      <c r="X4236" s="60"/>
    </row>
    <row r="4237" spans="7:24" ht="15" customHeight="1">
      <c r="G4237"/>
      <c r="I4237"/>
      <c r="N4237"/>
      <c r="O4237" s="24"/>
      <c r="P4237"/>
      <c r="Q4237" s="24"/>
      <c r="R4237"/>
      <c r="S4237"/>
      <c r="T4237"/>
      <c r="U4237"/>
      <c r="X4237" s="60"/>
    </row>
    <row r="4238" spans="7:24" ht="15" customHeight="1">
      <c r="G4238"/>
      <c r="I4238"/>
      <c r="N4238"/>
      <c r="O4238" s="24"/>
      <c r="P4238"/>
      <c r="Q4238" s="24"/>
      <c r="R4238"/>
      <c r="S4238"/>
      <c r="T4238"/>
      <c r="U4238"/>
      <c r="X4238" s="60"/>
    </row>
    <row r="4239" spans="7:24" ht="15" customHeight="1">
      <c r="G4239"/>
      <c r="I4239"/>
      <c r="N4239"/>
      <c r="O4239" s="24"/>
      <c r="P4239"/>
      <c r="Q4239" s="24"/>
      <c r="R4239"/>
      <c r="S4239"/>
      <c r="T4239"/>
      <c r="U4239"/>
      <c r="X4239" s="60"/>
    </row>
    <row r="4240" spans="7:24" ht="15" customHeight="1">
      <c r="G4240"/>
      <c r="I4240"/>
      <c r="N4240"/>
      <c r="O4240" s="24"/>
      <c r="P4240"/>
      <c r="Q4240" s="24"/>
      <c r="R4240"/>
      <c r="S4240"/>
      <c r="T4240"/>
      <c r="U4240"/>
      <c r="X4240" s="60"/>
    </row>
    <row r="4241" spans="7:24" ht="15" customHeight="1">
      <c r="G4241"/>
      <c r="I4241"/>
      <c r="N4241"/>
      <c r="O4241" s="24"/>
      <c r="P4241"/>
      <c r="Q4241" s="24"/>
      <c r="R4241"/>
      <c r="S4241"/>
      <c r="T4241"/>
      <c r="U4241"/>
      <c r="X4241" s="60"/>
    </row>
    <row r="4242" spans="7:24" ht="15" customHeight="1">
      <c r="G4242"/>
      <c r="I4242"/>
      <c r="N4242"/>
      <c r="O4242" s="24"/>
      <c r="P4242"/>
      <c r="Q4242" s="24"/>
      <c r="R4242"/>
      <c r="S4242"/>
      <c r="T4242"/>
      <c r="U4242"/>
      <c r="X4242" s="60"/>
    </row>
    <row r="4243" spans="7:24" ht="15" customHeight="1">
      <c r="G4243"/>
      <c r="I4243"/>
      <c r="N4243"/>
      <c r="O4243" s="24"/>
      <c r="P4243"/>
      <c r="Q4243" s="24"/>
      <c r="R4243"/>
      <c r="S4243"/>
      <c r="T4243"/>
      <c r="U4243"/>
      <c r="X4243" s="60"/>
    </row>
    <row r="4244" spans="7:24" ht="15" customHeight="1">
      <c r="G4244"/>
      <c r="I4244"/>
      <c r="N4244"/>
      <c r="O4244" s="24"/>
      <c r="P4244"/>
      <c r="Q4244" s="24"/>
      <c r="R4244"/>
      <c r="S4244"/>
      <c r="T4244"/>
      <c r="U4244"/>
      <c r="X4244" s="60"/>
    </row>
    <row r="4245" spans="7:24" ht="15" customHeight="1">
      <c r="G4245"/>
      <c r="I4245"/>
      <c r="N4245"/>
      <c r="O4245" s="24"/>
      <c r="P4245"/>
      <c r="Q4245" s="24"/>
      <c r="R4245"/>
      <c r="S4245"/>
      <c r="T4245"/>
      <c r="U4245"/>
      <c r="X4245" s="60"/>
    </row>
    <row r="4246" spans="7:24" ht="15" customHeight="1">
      <c r="G4246"/>
      <c r="I4246"/>
      <c r="N4246"/>
      <c r="O4246" s="24"/>
      <c r="P4246"/>
      <c r="Q4246" s="24"/>
      <c r="R4246"/>
      <c r="S4246"/>
      <c r="T4246"/>
      <c r="U4246"/>
      <c r="X4246" s="60"/>
    </row>
    <row r="4247" spans="7:24" ht="15" customHeight="1">
      <c r="G4247"/>
      <c r="I4247"/>
      <c r="N4247"/>
      <c r="O4247" s="24"/>
      <c r="P4247"/>
      <c r="Q4247" s="24"/>
      <c r="R4247"/>
      <c r="S4247"/>
      <c r="T4247"/>
      <c r="U4247"/>
      <c r="X4247" s="60"/>
    </row>
    <row r="4248" spans="7:24" ht="15" customHeight="1">
      <c r="G4248"/>
      <c r="I4248"/>
      <c r="N4248"/>
      <c r="O4248" s="24"/>
      <c r="P4248"/>
      <c r="Q4248" s="24"/>
      <c r="R4248"/>
      <c r="S4248"/>
      <c r="T4248"/>
      <c r="U4248"/>
      <c r="X4248" s="60"/>
    </row>
    <row r="4249" spans="7:24" ht="15" customHeight="1">
      <c r="G4249"/>
      <c r="I4249"/>
      <c r="N4249"/>
      <c r="O4249" s="24"/>
      <c r="P4249"/>
      <c r="Q4249" s="24"/>
      <c r="R4249"/>
      <c r="S4249"/>
      <c r="T4249"/>
      <c r="U4249"/>
      <c r="X4249" s="60"/>
    </row>
    <row r="4250" spans="7:24" ht="15" customHeight="1">
      <c r="G4250"/>
      <c r="I4250"/>
      <c r="N4250"/>
      <c r="O4250" s="24"/>
      <c r="P4250"/>
      <c r="Q4250" s="24"/>
      <c r="R4250"/>
      <c r="S4250"/>
      <c r="T4250"/>
      <c r="U4250"/>
      <c r="X4250" s="60"/>
    </row>
    <row r="4251" spans="7:24" ht="15" customHeight="1">
      <c r="G4251"/>
      <c r="I4251"/>
      <c r="N4251"/>
      <c r="O4251" s="24"/>
      <c r="P4251"/>
      <c r="Q4251" s="24"/>
      <c r="R4251"/>
      <c r="S4251"/>
      <c r="T4251"/>
      <c r="U4251"/>
      <c r="X4251" s="60"/>
    </row>
    <row r="4252" spans="7:24" ht="15" customHeight="1">
      <c r="G4252"/>
      <c r="I4252"/>
      <c r="N4252"/>
      <c r="O4252" s="24"/>
      <c r="P4252"/>
      <c r="Q4252" s="24"/>
      <c r="R4252"/>
      <c r="S4252"/>
      <c r="T4252"/>
      <c r="U4252"/>
      <c r="X4252" s="60"/>
    </row>
    <row r="4253" spans="7:24" ht="15" customHeight="1">
      <c r="G4253"/>
      <c r="I4253"/>
      <c r="N4253"/>
      <c r="O4253" s="24"/>
      <c r="P4253"/>
      <c r="Q4253" s="24"/>
      <c r="R4253"/>
      <c r="S4253"/>
      <c r="T4253"/>
      <c r="U4253"/>
      <c r="X4253" s="60"/>
    </row>
    <row r="4254" spans="7:24" ht="15" customHeight="1">
      <c r="G4254"/>
      <c r="I4254"/>
      <c r="N4254"/>
      <c r="O4254" s="24"/>
      <c r="P4254"/>
      <c r="Q4254" s="24"/>
      <c r="R4254"/>
      <c r="S4254"/>
      <c r="T4254"/>
      <c r="U4254"/>
      <c r="X4254" s="60"/>
    </row>
    <row r="4255" spans="7:24" ht="15" customHeight="1">
      <c r="G4255"/>
      <c r="I4255"/>
      <c r="N4255"/>
      <c r="O4255" s="24"/>
      <c r="P4255"/>
      <c r="Q4255" s="24"/>
      <c r="R4255"/>
      <c r="S4255"/>
      <c r="T4255"/>
      <c r="U4255"/>
      <c r="X4255" s="60"/>
    </row>
    <row r="4256" spans="7:24" ht="15" customHeight="1">
      <c r="G4256"/>
      <c r="I4256"/>
      <c r="N4256"/>
      <c r="O4256" s="24"/>
      <c r="P4256"/>
      <c r="Q4256" s="24"/>
      <c r="R4256"/>
      <c r="S4256"/>
      <c r="T4256"/>
      <c r="U4256"/>
      <c r="X4256" s="60"/>
    </row>
    <row r="4257" spans="7:24" ht="15" customHeight="1">
      <c r="G4257"/>
      <c r="I4257"/>
      <c r="N4257"/>
      <c r="O4257" s="24"/>
      <c r="P4257"/>
      <c r="Q4257" s="24"/>
      <c r="R4257"/>
      <c r="S4257"/>
      <c r="T4257"/>
      <c r="U4257"/>
      <c r="X4257" s="60"/>
    </row>
    <row r="4258" spans="7:24" ht="15" customHeight="1">
      <c r="G4258"/>
      <c r="I4258"/>
      <c r="N4258"/>
      <c r="O4258" s="24"/>
      <c r="P4258"/>
      <c r="Q4258" s="24"/>
      <c r="R4258"/>
      <c r="S4258"/>
      <c r="T4258"/>
      <c r="U4258"/>
      <c r="X4258" s="60"/>
    </row>
    <row r="4259" spans="7:24" ht="15" customHeight="1">
      <c r="G4259"/>
      <c r="I4259"/>
      <c r="N4259"/>
      <c r="O4259" s="24"/>
      <c r="P4259"/>
      <c r="Q4259" s="24"/>
      <c r="R4259"/>
      <c r="S4259"/>
      <c r="T4259"/>
      <c r="U4259"/>
      <c r="X4259" s="60"/>
    </row>
    <row r="4260" spans="7:24" ht="15" customHeight="1">
      <c r="G4260"/>
      <c r="I4260"/>
      <c r="N4260"/>
      <c r="O4260" s="24"/>
      <c r="P4260"/>
      <c r="Q4260" s="24"/>
      <c r="R4260"/>
      <c r="S4260"/>
      <c r="T4260"/>
      <c r="U4260"/>
      <c r="X4260" s="60"/>
    </row>
    <row r="4261" spans="7:24" ht="15" customHeight="1">
      <c r="G4261"/>
      <c r="I4261"/>
      <c r="N4261"/>
      <c r="O4261" s="24"/>
      <c r="P4261"/>
      <c r="Q4261" s="24"/>
      <c r="R4261"/>
      <c r="S4261"/>
      <c r="T4261"/>
      <c r="U4261"/>
      <c r="X4261" s="60"/>
    </row>
    <row r="4262" spans="7:24" ht="15" customHeight="1">
      <c r="G4262"/>
      <c r="I4262"/>
      <c r="N4262"/>
      <c r="O4262" s="24"/>
      <c r="P4262"/>
      <c r="Q4262" s="24"/>
      <c r="R4262"/>
      <c r="S4262"/>
      <c r="T4262"/>
      <c r="U4262"/>
      <c r="X4262" s="60"/>
    </row>
    <row r="4263" spans="7:24" ht="15" customHeight="1">
      <c r="G4263"/>
      <c r="I4263"/>
      <c r="N4263"/>
      <c r="O4263" s="24"/>
      <c r="P4263"/>
      <c r="Q4263" s="24"/>
      <c r="R4263"/>
      <c r="S4263"/>
      <c r="T4263"/>
      <c r="U4263"/>
      <c r="X4263" s="60"/>
    </row>
    <row r="4264" spans="7:24" ht="15" customHeight="1">
      <c r="G4264"/>
      <c r="I4264"/>
      <c r="N4264"/>
      <c r="O4264" s="24"/>
      <c r="P4264"/>
      <c r="Q4264" s="24"/>
      <c r="R4264"/>
      <c r="S4264"/>
      <c r="T4264"/>
      <c r="U4264"/>
      <c r="X4264" s="60"/>
    </row>
    <row r="4265" spans="7:24" ht="15" customHeight="1">
      <c r="G4265"/>
      <c r="I4265"/>
      <c r="N4265"/>
      <c r="O4265" s="24"/>
      <c r="P4265"/>
      <c r="Q4265" s="24"/>
      <c r="R4265"/>
      <c r="S4265"/>
      <c r="T4265"/>
      <c r="U4265"/>
      <c r="X4265" s="60"/>
    </row>
    <row r="4266" spans="7:24" ht="15" customHeight="1">
      <c r="G4266"/>
      <c r="I4266"/>
      <c r="N4266"/>
      <c r="O4266" s="24"/>
      <c r="P4266"/>
      <c r="Q4266" s="24"/>
      <c r="R4266"/>
      <c r="S4266"/>
      <c r="T4266"/>
      <c r="U4266"/>
      <c r="X4266" s="60"/>
    </row>
    <row r="4267" spans="7:24" ht="15" customHeight="1">
      <c r="G4267"/>
      <c r="I4267"/>
      <c r="N4267"/>
      <c r="O4267" s="24"/>
      <c r="P4267"/>
      <c r="Q4267" s="24"/>
      <c r="R4267"/>
      <c r="S4267"/>
      <c r="T4267"/>
      <c r="U4267"/>
      <c r="X4267" s="60"/>
    </row>
    <row r="4268" spans="7:24" ht="15" customHeight="1">
      <c r="G4268"/>
      <c r="I4268"/>
      <c r="N4268"/>
      <c r="O4268" s="24"/>
      <c r="P4268"/>
      <c r="Q4268" s="24"/>
      <c r="R4268"/>
      <c r="S4268"/>
      <c r="T4268"/>
      <c r="U4268"/>
      <c r="X4268" s="60"/>
    </row>
    <row r="4269" spans="7:24" ht="15" customHeight="1">
      <c r="G4269"/>
      <c r="I4269"/>
      <c r="N4269"/>
      <c r="O4269" s="24"/>
      <c r="P4269"/>
      <c r="Q4269" s="24"/>
      <c r="R4269"/>
      <c r="S4269"/>
      <c r="T4269"/>
      <c r="U4269"/>
      <c r="X4269" s="60"/>
    </row>
    <row r="4270" spans="7:24" ht="15" customHeight="1">
      <c r="G4270"/>
      <c r="I4270"/>
      <c r="N4270"/>
      <c r="O4270" s="24"/>
      <c r="P4270"/>
      <c r="Q4270" s="24"/>
      <c r="R4270"/>
      <c r="S4270"/>
      <c r="T4270"/>
      <c r="U4270"/>
      <c r="X4270" s="60"/>
    </row>
    <row r="4271" spans="7:24" ht="15" customHeight="1">
      <c r="G4271"/>
      <c r="I4271"/>
      <c r="N4271"/>
      <c r="O4271" s="24"/>
      <c r="P4271"/>
      <c r="Q4271" s="24"/>
      <c r="R4271"/>
      <c r="S4271"/>
      <c r="T4271"/>
      <c r="U4271"/>
      <c r="X4271" s="60"/>
    </row>
    <row r="4272" spans="7:24" ht="15" customHeight="1">
      <c r="G4272"/>
      <c r="I4272"/>
      <c r="N4272"/>
      <c r="O4272" s="24"/>
      <c r="P4272"/>
      <c r="Q4272" s="24"/>
      <c r="R4272"/>
      <c r="S4272"/>
      <c r="T4272"/>
      <c r="U4272"/>
      <c r="X4272" s="60"/>
    </row>
    <row r="4273" spans="7:24" ht="15" customHeight="1">
      <c r="G4273"/>
      <c r="I4273"/>
      <c r="N4273"/>
      <c r="O4273" s="24"/>
      <c r="P4273"/>
      <c r="Q4273" s="24"/>
      <c r="R4273"/>
      <c r="S4273"/>
      <c r="T4273"/>
      <c r="U4273"/>
      <c r="X4273" s="60"/>
    </row>
    <row r="4274" spans="7:24" ht="15" customHeight="1">
      <c r="G4274"/>
      <c r="I4274"/>
      <c r="N4274"/>
      <c r="O4274" s="24"/>
      <c r="P4274"/>
      <c r="Q4274" s="24"/>
      <c r="R4274"/>
      <c r="S4274"/>
      <c r="T4274"/>
      <c r="U4274"/>
      <c r="X4274" s="60"/>
    </row>
    <row r="4275" spans="7:24" ht="15" customHeight="1">
      <c r="G4275"/>
      <c r="I4275"/>
      <c r="N4275"/>
      <c r="O4275" s="24"/>
      <c r="P4275"/>
      <c r="Q4275" s="24"/>
      <c r="R4275"/>
      <c r="S4275"/>
      <c r="T4275"/>
      <c r="U4275"/>
      <c r="X4275" s="60"/>
    </row>
    <row r="4276" spans="7:24" ht="15" customHeight="1">
      <c r="G4276"/>
      <c r="I4276"/>
      <c r="N4276"/>
      <c r="O4276" s="24"/>
      <c r="P4276"/>
      <c r="Q4276" s="24"/>
      <c r="R4276"/>
      <c r="S4276"/>
      <c r="T4276"/>
      <c r="U4276"/>
      <c r="X4276" s="60"/>
    </row>
    <row r="4277" spans="7:24" ht="15" customHeight="1">
      <c r="G4277"/>
      <c r="I4277"/>
      <c r="N4277"/>
      <c r="O4277" s="24"/>
      <c r="P4277"/>
      <c r="Q4277" s="24"/>
      <c r="R4277"/>
      <c r="S4277"/>
      <c r="T4277"/>
      <c r="U4277"/>
      <c r="X4277" s="60"/>
    </row>
    <row r="4278" spans="7:24" ht="15" customHeight="1">
      <c r="G4278"/>
      <c r="I4278"/>
      <c r="N4278"/>
      <c r="O4278" s="24"/>
      <c r="P4278"/>
      <c r="Q4278" s="24"/>
      <c r="R4278"/>
      <c r="S4278"/>
      <c r="T4278"/>
      <c r="U4278"/>
      <c r="X4278" s="60"/>
    </row>
    <row r="4279" spans="7:24" ht="15" customHeight="1">
      <c r="G4279"/>
      <c r="I4279"/>
      <c r="N4279"/>
      <c r="O4279" s="24"/>
      <c r="P4279"/>
      <c r="Q4279" s="24"/>
      <c r="R4279"/>
      <c r="S4279"/>
      <c r="T4279"/>
      <c r="U4279"/>
      <c r="X4279" s="60"/>
    </row>
    <row r="4280" spans="7:24" ht="15" customHeight="1">
      <c r="G4280"/>
      <c r="I4280"/>
      <c r="N4280"/>
      <c r="O4280" s="24"/>
      <c r="P4280"/>
      <c r="Q4280" s="24"/>
      <c r="R4280"/>
      <c r="S4280"/>
      <c r="T4280"/>
      <c r="U4280"/>
      <c r="X4280" s="60"/>
    </row>
    <row r="4281" spans="7:24" ht="15" customHeight="1">
      <c r="G4281"/>
      <c r="I4281"/>
      <c r="N4281"/>
      <c r="O4281" s="24"/>
      <c r="P4281"/>
      <c r="Q4281" s="24"/>
      <c r="R4281"/>
      <c r="S4281"/>
      <c r="T4281"/>
      <c r="U4281"/>
      <c r="X4281" s="60"/>
    </row>
    <row r="4282" spans="7:24" ht="15" customHeight="1">
      <c r="G4282"/>
      <c r="I4282"/>
      <c r="N4282"/>
      <c r="O4282" s="24"/>
      <c r="P4282"/>
      <c r="Q4282" s="24"/>
      <c r="R4282"/>
      <c r="S4282"/>
      <c r="T4282"/>
      <c r="U4282"/>
      <c r="X4282" s="60"/>
    </row>
    <row r="4283" spans="7:24" ht="15" customHeight="1">
      <c r="G4283"/>
      <c r="I4283"/>
      <c r="N4283"/>
      <c r="O4283" s="24"/>
      <c r="P4283"/>
      <c r="Q4283" s="24"/>
      <c r="R4283"/>
      <c r="S4283"/>
      <c r="T4283"/>
      <c r="U4283"/>
      <c r="X4283" s="60"/>
    </row>
    <row r="4284" spans="7:24" ht="15" customHeight="1">
      <c r="G4284"/>
      <c r="I4284"/>
      <c r="N4284"/>
      <c r="O4284" s="24"/>
      <c r="P4284"/>
      <c r="Q4284" s="24"/>
      <c r="R4284"/>
      <c r="S4284"/>
      <c r="T4284"/>
      <c r="U4284"/>
      <c r="X4284" s="60"/>
    </row>
    <row r="4285" spans="7:24" ht="15" customHeight="1">
      <c r="G4285"/>
      <c r="I4285"/>
      <c r="N4285"/>
      <c r="O4285" s="24"/>
      <c r="P4285"/>
      <c r="Q4285" s="24"/>
      <c r="R4285"/>
      <c r="S4285"/>
      <c r="T4285"/>
      <c r="U4285"/>
      <c r="X4285" s="60"/>
    </row>
    <row r="4286" spans="7:24" ht="15" customHeight="1">
      <c r="G4286"/>
      <c r="I4286"/>
      <c r="N4286"/>
      <c r="O4286" s="24"/>
      <c r="P4286"/>
      <c r="Q4286" s="24"/>
      <c r="R4286"/>
      <c r="S4286"/>
      <c r="T4286"/>
      <c r="U4286"/>
      <c r="X4286" s="60"/>
    </row>
    <row r="4287" spans="7:24" ht="15" customHeight="1">
      <c r="G4287"/>
      <c r="I4287"/>
      <c r="N4287"/>
      <c r="O4287" s="24"/>
      <c r="P4287"/>
      <c r="Q4287" s="24"/>
      <c r="R4287"/>
      <c r="S4287"/>
      <c r="T4287"/>
      <c r="U4287"/>
      <c r="X4287" s="60"/>
    </row>
    <row r="4288" spans="7:24" ht="15" customHeight="1">
      <c r="G4288"/>
      <c r="I4288"/>
      <c r="N4288"/>
      <c r="O4288" s="24"/>
      <c r="P4288"/>
      <c r="Q4288" s="24"/>
      <c r="R4288"/>
      <c r="S4288"/>
      <c r="T4288"/>
      <c r="U4288"/>
      <c r="X4288" s="60"/>
    </row>
    <row r="4289" spans="7:24" ht="15" customHeight="1">
      <c r="G4289"/>
      <c r="I4289"/>
      <c r="N4289"/>
      <c r="O4289" s="24"/>
      <c r="P4289"/>
      <c r="Q4289" s="24"/>
      <c r="R4289"/>
      <c r="S4289"/>
      <c r="T4289"/>
      <c r="U4289"/>
      <c r="X4289" s="60"/>
    </row>
    <row r="4290" spans="7:24" ht="15" customHeight="1">
      <c r="G4290"/>
      <c r="I4290"/>
      <c r="N4290"/>
      <c r="O4290" s="24"/>
      <c r="P4290"/>
      <c r="Q4290" s="24"/>
      <c r="R4290"/>
      <c r="S4290"/>
      <c r="T4290"/>
      <c r="U4290"/>
      <c r="X4290" s="60"/>
    </row>
    <row r="4291" spans="7:24" ht="15" customHeight="1">
      <c r="G4291"/>
      <c r="I4291"/>
      <c r="N4291"/>
      <c r="O4291" s="24"/>
      <c r="P4291"/>
      <c r="Q4291" s="24"/>
      <c r="R4291"/>
      <c r="S4291"/>
      <c r="T4291"/>
      <c r="U4291"/>
      <c r="X4291" s="60"/>
    </row>
    <row r="4292" spans="7:24" ht="15" customHeight="1">
      <c r="G4292"/>
      <c r="I4292"/>
      <c r="N4292"/>
      <c r="O4292" s="24"/>
      <c r="P4292"/>
      <c r="Q4292" s="24"/>
      <c r="R4292"/>
      <c r="S4292"/>
      <c r="T4292"/>
      <c r="U4292"/>
      <c r="X4292" s="60"/>
    </row>
    <row r="4293" spans="7:24" ht="15" customHeight="1">
      <c r="G4293"/>
      <c r="I4293"/>
      <c r="N4293"/>
      <c r="O4293" s="24"/>
      <c r="P4293"/>
      <c r="Q4293" s="24"/>
      <c r="R4293"/>
      <c r="S4293"/>
      <c r="T4293"/>
      <c r="U4293"/>
      <c r="X4293" s="60"/>
    </row>
    <row r="4294" spans="7:24" ht="15" customHeight="1">
      <c r="G4294"/>
      <c r="I4294"/>
      <c r="N4294"/>
      <c r="O4294" s="24"/>
      <c r="P4294"/>
      <c r="Q4294" s="24"/>
      <c r="R4294"/>
      <c r="S4294"/>
      <c r="T4294"/>
      <c r="U4294"/>
      <c r="X4294" s="60"/>
    </row>
    <row r="4295" spans="7:24" ht="15" customHeight="1">
      <c r="G4295"/>
      <c r="I4295"/>
      <c r="N4295"/>
      <c r="O4295" s="24"/>
      <c r="P4295"/>
      <c r="Q4295" s="24"/>
      <c r="R4295"/>
      <c r="S4295"/>
      <c r="T4295"/>
      <c r="U4295"/>
      <c r="X4295" s="60"/>
    </row>
    <row r="4296" spans="7:24" ht="15" customHeight="1">
      <c r="G4296"/>
      <c r="I4296"/>
      <c r="N4296"/>
      <c r="O4296" s="24"/>
      <c r="P4296"/>
      <c r="Q4296" s="24"/>
      <c r="R4296"/>
      <c r="S4296"/>
      <c r="T4296"/>
      <c r="U4296"/>
      <c r="X4296" s="60"/>
    </row>
    <row r="4297" spans="7:24" ht="15" customHeight="1">
      <c r="G4297"/>
      <c r="I4297"/>
      <c r="N4297"/>
      <c r="O4297" s="24"/>
      <c r="P4297"/>
      <c r="Q4297" s="24"/>
      <c r="R4297"/>
      <c r="S4297"/>
      <c r="T4297"/>
      <c r="U4297"/>
      <c r="X4297" s="60"/>
    </row>
    <row r="4298" spans="7:24" ht="15" customHeight="1">
      <c r="G4298"/>
      <c r="I4298"/>
      <c r="N4298"/>
      <c r="O4298" s="24"/>
      <c r="P4298"/>
      <c r="Q4298" s="24"/>
      <c r="R4298"/>
      <c r="S4298"/>
      <c r="T4298"/>
      <c r="U4298"/>
      <c r="X4298" s="60"/>
    </row>
    <row r="4299" spans="7:24" ht="15" customHeight="1">
      <c r="G4299"/>
      <c r="I4299"/>
      <c r="N4299"/>
      <c r="O4299" s="24"/>
      <c r="P4299"/>
      <c r="Q4299" s="24"/>
      <c r="R4299"/>
      <c r="S4299"/>
      <c r="T4299"/>
      <c r="U4299"/>
      <c r="X4299" s="60"/>
    </row>
    <row r="4300" spans="7:24" ht="15" customHeight="1">
      <c r="G4300"/>
      <c r="I4300"/>
      <c r="N4300"/>
      <c r="O4300" s="24"/>
      <c r="P4300"/>
      <c r="Q4300" s="24"/>
      <c r="R4300"/>
      <c r="S4300"/>
      <c r="T4300"/>
      <c r="U4300"/>
      <c r="X4300" s="60"/>
    </row>
    <row r="4301" spans="7:24" ht="15" customHeight="1">
      <c r="G4301"/>
      <c r="I4301"/>
      <c r="N4301"/>
      <c r="O4301" s="24"/>
      <c r="P4301"/>
      <c r="Q4301" s="24"/>
      <c r="R4301"/>
      <c r="S4301"/>
      <c r="T4301"/>
      <c r="U4301"/>
      <c r="X4301" s="60"/>
    </row>
    <row r="4302" spans="7:24" ht="15" customHeight="1">
      <c r="G4302"/>
      <c r="I4302"/>
      <c r="N4302"/>
      <c r="O4302" s="24"/>
      <c r="P4302"/>
      <c r="Q4302" s="24"/>
      <c r="R4302"/>
      <c r="S4302"/>
      <c r="T4302"/>
      <c r="U4302"/>
      <c r="X4302" s="60"/>
    </row>
    <row r="4303" spans="7:24" ht="15" customHeight="1">
      <c r="G4303"/>
      <c r="I4303"/>
      <c r="N4303"/>
      <c r="O4303" s="24"/>
      <c r="P4303"/>
      <c r="Q4303" s="24"/>
      <c r="R4303"/>
      <c r="S4303"/>
      <c r="T4303"/>
      <c r="U4303"/>
      <c r="X4303" s="60"/>
    </row>
    <row r="4304" spans="7:24" ht="15" customHeight="1">
      <c r="G4304"/>
      <c r="I4304"/>
      <c r="N4304"/>
      <c r="O4304" s="24"/>
      <c r="P4304"/>
      <c r="Q4304" s="24"/>
      <c r="R4304"/>
      <c r="S4304"/>
      <c r="T4304"/>
      <c r="U4304"/>
      <c r="X4304" s="60"/>
    </row>
    <row r="4305" spans="7:24" ht="15" customHeight="1">
      <c r="G4305"/>
      <c r="I4305"/>
      <c r="N4305"/>
      <c r="O4305" s="24"/>
      <c r="P4305"/>
      <c r="Q4305" s="24"/>
      <c r="R4305"/>
      <c r="S4305"/>
      <c r="T4305"/>
      <c r="U4305"/>
      <c r="X4305" s="60"/>
    </row>
    <row r="4306" spans="7:24" ht="15" customHeight="1">
      <c r="G4306"/>
      <c r="I4306"/>
      <c r="N4306"/>
      <c r="O4306" s="24"/>
      <c r="P4306"/>
      <c r="Q4306" s="24"/>
      <c r="R4306"/>
      <c r="S4306"/>
      <c r="T4306"/>
      <c r="U4306"/>
      <c r="X4306" s="60"/>
    </row>
    <row r="4307" spans="7:24" ht="15" customHeight="1">
      <c r="G4307"/>
      <c r="I4307"/>
      <c r="N4307"/>
      <c r="O4307" s="24"/>
      <c r="P4307"/>
      <c r="Q4307" s="24"/>
      <c r="R4307"/>
      <c r="S4307"/>
      <c r="T4307"/>
      <c r="U4307"/>
      <c r="X4307" s="60"/>
    </row>
    <row r="4308" spans="7:24" ht="15" customHeight="1">
      <c r="G4308"/>
      <c r="I4308"/>
      <c r="N4308"/>
      <c r="O4308" s="24"/>
      <c r="P4308"/>
      <c r="Q4308" s="24"/>
      <c r="R4308"/>
      <c r="S4308"/>
      <c r="T4308"/>
      <c r="U4308"/>
      <c r="X4308" s="60"/>
    </row>
    <row r="4309" spans="7:24" ht="15" customHeight="1">
      <c r="G4309"/>
      <c r="I4309"/>
      <c r="N4309"/>
      <c r="O4309" s="24"/>
      <c r="P4309"/>
      <c r="Q4309" s="24"/>
      <c r="R4309"/>
      <c r="S4309"/>
      <c r="T4309"/>
      <c r="U4309"/>
      <c r="X4309" s="60"/>
    </row>
    <row r="4310" spans="7:24" ht="15" customHeight="1">
      <c r="G4310"/>
      <c r="I4310"/>
      <c r="N4310"/>
      <c r="O4310" s="24"/>
      <c r="P4310"/>
      <c r="Q4310" s="24"/>
      <c r="R4310"/>
      <c r="S4310"/>
      <c r="T4310"/>
      <c r="U4310"/>
      <c r="X4310" s="60"/>
    </row>
    <row r="4311" spans="7:24" ht="15" customHeight="1">
      <c r="G4311"/>
      <c r="I4311"/>
      <c r="N4311"/>
      <c r="O4311" s="24"/>
      <c r="P4311"/>
      <c r="Q4311" s="24"/>
      <c r="R4311"/>
      <c r="S4311"/>
      <c r="T4311"/>
      <c r="U4311"/>
      <c r="X4311" s="60"/>
    </row>
    <row r="4312" spans="7:24" ht="15" customHeight="1">
      <c r="G4312"/>
      <c r="I4312"/>
      <c r="N4312"/>
      <c r="O4312" s="24"/>
      <c r="P4312"/>
      <c r="Q4312" s="24"/>
      <c r="R4312"/>
      <c r="S4312"/>
      <c r="T4312"/>
      <c r="U4312"/>
      <c r="X4312" s="60"/>
    </row>
    <row r="4313" spans="7:24" ht="15" customHeight="1">
      <c r="G4313"/>
      <c r="I4313"/>
      <c r="N4313"/>
      <c r="O4313" s="24"/>
      <c r="P4313"/>
      <c r="Q4313" s="24"/>
      <c r="R4313"/>
      <c r="S4313"/>
      <c r="T4313"/>
      <c r="U4313"/>
      <c r="X4313" s="60"/>
    </row>
    <row r="4314" spans="7:24" ht="15" customHeight="1">
      <c r="G4314"/>
      <c r="I4314"/>
      <c r="N4314"/>
      <c r="O4314" s="24"/>
      <c r="P4314"/>
      <c r="Q4314" s="24"/>
      <c r="R4314"/>
      <c r="S4314"/>
      <c r="T4314"/>
      <c r="U4314"/>
      <c r="X4314" s="60"/>
    </row>
    <row r="4315" spans="7:24" ht="15" customHeight="1">
      <c r="G4315"/>
      <c r="I4315"/>
      <c r="N4315"/>
      <c r="O4315" s="24"/>
      <c r="P4315"/>
      <c r="Q4315" s="24"/>
      <c r="R4315"/>
      <c r="S4315"/>
      <c r="T4315"/>
      <c r="U4315"/>
      <c r="X4315" s="60"/>
    </row>
    <row r="4316" spans="7:24" ht="15" customHeight="1">
      <c r="G4316"/>
      <c r="I4316"/>
      <c r="N4316"/>
      <c r="O4316" s="24"/>
      <c r="P4316"/>
      <c r="Q4316" s="24"/>
      <c r="R4316"/>
      <c r="S4316"/>
      <c r="T4316"/>
      <c r="U4316"/>
      <c r="X4316" s="60"/>
    </row>
    <row r="4317" spans="7:24" ht="15" customHeight="1">
      <c r="G4317"/>
      <c r="I4317"/>
      <c r="N4317"/>
      <c r="O4317" s="24"/>
      <c r="P4317"/>
      <c r="Q4317" s="24"/>
      <c r="R4317"/>
      <c r="S4317"/>
      <c r="T4317"/>
      <c r="U4317"/>
      <c r="X4317" s="60"/>
    </row>
    <row r="4318" spans="7:24" ht="15" customHeight="1">
      <c r="G4318"/>
      <c r="I4318"/>
      <c r="N4318"/>
      <c r="O4318" s="24"/>
      <c r="P4318"/>
      <c r="Q4318" s="24"/>
      <c r="R4318"/>
      <c r="S4318"/>
      <c r="T4318"/>
      <c r="U4318"/>
      <c r="X4318" s="60"/>
    </row>
    <row r="4319" spans="7:24" ht="15" customHeight="1">
      <c r="G4319"/>
      <c r="I4319"/>
      <c r="N4319"/>
      <c r="O4319" s="24"/>
      <c r="P4319"/>
      <c r="Q4319" s="24"/>
      <c r="R4319"/>
      <c r="S4319"/>
      <c r="T4319"/>
      <c r="U4319"/>
      <c r="X4319" s="60"/>
    </row>
    <row r="4320" spans="7:24" ht="15" customHeight="1">
      <c r="G4320"/>
      <c r="I4320"/>
      <c r="N4320"/>
      <c r="O4320" s="24"/>
      <c r="P4320"/>
      <c r="Q4320" s="24"/>
      <c r="R4320"/>
      <c r="S4320"/>
      <c r="T4320"/>
      <c r="U4320"/>
      <c r="X4320" s="60"/>
    </row>
    <row r="4321" spans="7:24" ht="15" customHeight="1">
      <c r="G4321"/>
      <c r="I4321"/>
      <c r="N4321"/>
      <c r="O4321" s="24"/>
      <c r="P4321"/>
      <c r="Q4321" s="24"/>
      <c r="R4321"/>
      <c r="S4321"/>
      <c r="T4321"/>
      <c r="U4321"/>
      <c r="X4321" s="60"/>
    </row>
    <row r="4322" spans="7:24" ht="15" customHeight="1">
      <c r="G4322"/>
      <c r="I4322"/>
      <c r="N4322"/>
      <c r="O4322" s="24"/>
      <c r="P4322"/>
      <c r="Q4322" s="24"/>
      <c r="R4322"/>
      <c r="S4322"/>
      <c r="T4322"/>
      <c r="U4322"/>
      <c r="X4322" s="60"/>
    </row>
    <row r="4323" spans="7:24" ht="15" customHeight="1">
      <c r="G4323"/>
      <c r="I4323"/>
      <c r="N4323"/>
      <c r="O4323" s="24"/>
      <c r="P4323"/>
      <c r="Q4323" s="24"/>
      <c r="R4323"/>
      <c r="S4323"/>
      <c r="T4323"/>
      <c r="U4323"/>
      <c r="X4323" s="60"/>
    </row>
    <row r="4324" spans="7:24" ht="15" customHeight="1">
      <c r="G4324"/>
      <c r="I4324"/>
      <c r="N4324"/>
      <c r="O4324" s="24"/>
      <c r="P4324"/>
      <c r="Q4324" s="24"/>
      <c r="R4324"/>
      <c r="S4324"/>
      <c r="T4324"/>
      <c r="U4324"/>
      <c r="X4324" s="60"/>
    </row>
    <row r="4325" spans="7:24" ht="15" customHeight="1">
      <c r="G4325"/>
      <c r="I4325"/>
      <c r="N4325"/>
      <c r="O4325" s="24"/>
      <c r="P4325"/>
      <c r="Q4325" s="24"/>
      <c r="R4325"/>
      <c r="S4325"/>
      <c r="T4325"/>
      <c r="U4325"/>
      <c r="X4325" s="60"/>
    </row>
    <row r="4326" spans="7:24" ht="15" customHeight="1">
      <c r="G4326"/>
      <c r="I4326"/>
      <c r="N4326"/>
      <c r="O4326" s="24"/>
      <c r="P4326"/>
      <c r="Q4326" s="24"/>
      <c r="R4326"/>
      <c r="S4326"/>
      <c r="T4326"/>
      <c r="U4326"/>
      <c r="X4326" s="60"/>
    </row>
    <row r="4327" spans="7:24" ht="15" customHeight="1">
      <c r="G4327"/>
      <c r="I4327"/>
      <c r="N4327"/>
      <c r="O4327" s="24"/>
      <c r="P4327"/>
      <c r="Q4327" s="24"/>
      <c r="R4327"/>
      <c r="S4327"/>
      <c r="T4327"/>
      <c r="U4327"/>
      <c r="X4327" s="60"/>
    </row>
    <row r="4328" spans="7:24" ht="15" customHeight="1">
      <c r="G4328"/>
      <c r="I4328"/>
      <c r="N4328"/>
      <c r="O4328" s="24"/>
      <c r="P4328"/>
      <c r="Q4328" s="24"/>
      <c r="R4328"/>
      <c r="S4328"/>
      <c r="T4328"/>
      <c r="U4328"/>
      <c r="X4328" s="60"/>
    </row>
    <row r="4329" spans="7:24" ht="15" customHeight="1">
      <c r="G4329"/>
      <c r="I4329"/>
      <c r="N4329"/>
      <c r="O4329" s="24"/>
      <c r="P4329"/>
      <c r="Q4329" s="24"/>
      <c r="R4329"/>
      <c r="S4329"/>
      <c r="T4329"/>
      <c r="U4329"/>
      <c r="X4329" s="60"/>
    </row>
    <row r="4330" spans="7:24" ht="15" customHeight="1">
      <c r="G4330"/>
      <c r="I4330"/>
      <c r="N4330"/>
      <c r="O4330" s="24"/>
      <c r="P4330"/>
      <c r="Q4330" s="24"/>
      <c r="R4330"/>
      <c r="S4330"/>
      <c r="T4330"/>
      <c r="U4330"/>
      <c r="X4330" s="60"/>
    </row>
    <row r="4331" spans="7:24" ht="15" customHeight="1">
      <c r="G4331"/>
      <c r="I4331"/>
      <c r="N4331"/>
      <c r="O4331" s="24"/>
      <c r="P4331"/>
      <c r="Q4331" s="24"/>
      <c r="R4331"/>
      <c r="S4331"/>
      <c r="T4331"/>
      <c r="U4331"/>
      <c r="X4331" s="60"/>
    </row>
    <row r="4332" spans="7:24" ht="15" customHeight="1">
      <c r="G4332"/>
      <c r="I4332"/>
      <c r="N4332"/>
      <c r="O4332" s="24"/>
      <c r="P4332"/>
      <c r="Q4332" s="24"/>
      <c r="R4332"/>
      <c r="S4332"/>
      <c r="T4332"/>
      <c r="U4332"/>
      <c r="X4332" s="60"/>
    </row>
    <row r="4333" spans="7:24" ht="15" customHeight="1">
      <c r="G4333"/>
      <c r="I4333"/>
      <c r="N4333"/>
      <c r="O4333" s="24"/>
      <c r="P4333"/>
      <c r="Q4333" s="24"/>
      <c r="R4333"/>
      <c r="S4333"/>
      <c r="T4333"/>
      <c r="U4333"/>
      <c r="X4333" s="60"/>
    </row>
    <row r="4334" spans="7:24" ht="15" customHeight="1">
      <c r="G4334"/>
      <c r="I4334"/>
      <c r="N4334"/>
      <c r="O4334" s="24"/>
      <c r="P4334"/>
      <c r="Q4334" s="24"/>
      <c r="R4334"/>
      <c r="S4334"/>
      <c r="T4334"/>
      <c r="U4334"/>
      <c r="X4334" s="60"/>
    </row>
    <row r="4335" spans="7:24" ht="15" customHeight="1">
      <c r="G4335"/>
      <c r="I4335"/>
      <c r="N4335"/>
      <c r="O4335" s="24"/>
      <c r="P4335"/>
      <c r="Q4335" s="24"/>
      <c r="R4335"/>
      <c r="S4335"/>
      <c r="T4335"/>
      <c r="U4335"/>
      <c r="X4335" s="60"/>
    </row>
    <row r="4336" spans="7:24" ht="15" customHeight="1">
      <c r="G4336"/>
      <c r="I4336"/>
      <c r="N4336"/>
      <c r="O4336" s="24"/>
      <c r="P4336"/>
      <c r="Q4336" s="24"/>
      <c r="R4336"/>
      <c r="S4336"/>
      <c r="T4336"/>
      <c r="U4336"/>
      <c r="X4336" s="60"/>
    </row>
    <row r="4337" spans="7:24" ht="15" customHeight="1">
      <c r="G4337"/>
      <c r="I4337"/>
      <c r="N4337"/>
      <c r="O4337" s="24"/>
      <c r="P4337"/>
      <c r="Q4337" s="24"/>
      <c r="R4337"/>
      <c r="S4337"/>
      <c r="T4337"/>
      <c r="U4337"/>
      <c r="X4337" s="60"/>
    </row>
    <row r="4338" spans="7:24" ht="15" customHeight="1">
      <c r="G4338"/>
      <c r="I4338"/>
      <c r="N4338"/>
      <c r="O4338" s="24"/>
      <c r="P4338"/>
      <c r="Q4338" s="24"/>
      <c r="R4338"/>
      <c r="S4338"/>
      <c r="T4338"/>
      <c r="U4338"/>
      <c r="X4338" s="60"/>
    </row>
    <row r="4339" spans="7:24" ht="15" customHeight="1">
      <c r="G4339"/>
      <c r="I4339"/>
      <c r="N4339"/>
      <c r="O4339" s="24"/>
      <c r="P4339"/>
      <c r="Q4339" s="24"/>
      <c r="R4339"/>
      <c r="S4339"/>
      <c r="T4339"/>
      <c r="U4339"/>
      <c r="X4339" s="60"/>
    </row>
    <row r="4340" spans="7:24" ht="15" customHeight="1">
      <c r="G4340"/>
      <c r="I4340"/>
      <c r="N4340"/>
      <c r="O4340" s="24"/>
      <c r="P4340"/>
      <c r="Q4340" s="24"/>
      <c r="R4340"/>
      <c r="S4340"/>
      <c r="T4340"/>
      <c r="U4340"/>
      <c r="X4340" s="60"/>
    </row>
    <row r="4341" spans="7:24" ht="15" customHeight="1">
      <c r="G4341"/>
      <c r="I4341"/>
      <c r="N4341"/>
      <c r="O4341" s="24"/>
      <c r="P4341"/>
      <c r="Q4341" s="24"/>
      <c r="R4341"/>
      <c r="S4341"/>
      <c r="T4341"/>
      <c r="U4341"/>
      <c r="X4341" s="60"/>
    </row>
    <row r="4342" spans="7:24" ht="15" customHeight="1">
      <c r="G4342"/>
      <c r="I4342"/>
      <c r="N4342"/>
      <c r="O4342" s="24"/>
      <c r="P4342"/>
      <c r="Q4342" s="24"/>
      <c r="R4342"/>
      <c r="S4342"/>
      <c r="T4342"/>
      <c r="U4342"/>
      <c r="X4342" s="60"/>
    </row>
    <row r="4343" spans="7:24" ht="15" customHeight="1">
      <c r="G4343"/>
      <c r="I4343"/>
      <c r="N4343"/>
      <c r="O4343" s="24"/>
      <c r="P4343"/>
      <c r="Q4343" s="24"/>
      <c r="R4343"/>
      <c r="S4343"/>
      <c r="T4343"/>
      <c r="U4343"/>
      <c r="X4343" s="60"/>
    </row>
    <row r="4344" spans="7:24" ht="15" customHeight="1">
      <c r="G4344"/>
      <c r="I4344"/>
      <c r="N4344"/>
      <c r="O4344" s="24"/>
      <c r="P4344"/>
      <c r="Q4344" s="24"/>
      <c r="R4344"/>
      <c r="S4344"/>
      <c r="T4344"/>
      <c r="U4344"/>
      <c r="X4344" s="60"/>
    </row>
    <row r="4345" spans="7:24" ht="15" customHeight="1">
      <c r="G4345"/>
      <c r="I4345"/>
      <c r="N4345"/>
      <c r="O4345" s="24"/>
      <c r="P4345"/>
      <c r="Q4345" s="24"/>
      <c r="R4345"/>
      <c r="S4345"/>
      <c r="T4345"/>
      <c r="U4345"/>
      <c r="X4345" s="60"/>
    </row>
    <row r="4346" spans="7:24" ht="15" customHeight="1">
      <c r="G4346"/>
      <c r="I4346"/>
      <c r="N4346"/>
      <c r="O4346" s="24"/>
      <c r="P4346"/>
      <c r="Q4346" s="24"/>
      <c r="R4346"/>
      <c r="S4346"/>
      <c r="T4346"/>
      <c r="U4346"/>
      <c r="X4346" s="60"/>
    </row>
    <row r="4347" spans="7:24" ht="15" customHeight="1">
      <c r="G4347"/>
      <c r="I4347"/>
      <c r="N4347"/>
      <c r="O4347" s="24"/>
      <c r="P4347"/>
      <c r="Q4347" s="24"/>
      <c r="R4347"/>
      <c r="S4347"/>
      <c r="T4347"/>
      <c r="U4347"/>
      <c r="X4347" s="60"/>
    </row>
    <row r="4348" spans="7:24" ht="15" customHeight="1">
      <c r="G4348"/>
      <c r="I4348"/>
      <c r="N4348"/>
      <c r="O4348" s="24"/>
      <c r="P4348"/>
      <c r="Q4348" s="24"/>
      <c r="R4348"/>
      <c r="S4348"/>
      <c r="T4348"/>
      <c r="U4348"/>
      <c r="X4348" s="60"/>
    </row>
    <row r="4349" spans="7:24" ht="15" customHeight="1">
      <c r="G4349"/>
      <c r="I4349"/>
      <c r="N4349"/>
      <c r="O4349" s="24"/>
      <c r="P4349"/>
      <c r="Q4349" s="24"/>
      <c r="R4349"/>
      <c r="S4349"/>
      <c r="T4349"/>
      <c r="U4349"/>
      <c r="X4349" s="60"/>
    </row>
    <row r="4350" spans="7:24" ht="15" customHeight="1">
      <c r="G4350"/>
      <c r="I4350"/>
      <c r="N4350"/>
      <c r="O4350" s="24"/>
      <c r="P4350"/>
      <c r="Q4350" s="24"/>
      <c r="R4350"/>
      <c r="S4350"/>
      <c r="T4350"/>
      <c r="U4350"/>
      <c r="X4350" s="60"/>
    </row>
    <row r="4351" spans="7:24" ht="15" customHeight="1">
      <c r="G4351"/>
      <c r="I4351"/>
      <c r="N4351"/>
      <c r="O4351" s="24"/>
      <c r="P4351"/>
      <c r="Q4351" s="24"/>
      <c r="R4351"/>
      <c r="S4351"/>
      <c r="T4351"/>
      <c r="U4351"/>
      <c r="X4351" s="60"/>
    </row>
    <row r="4352" spans="7:24" ht="15" customHeight="1">
      <c r="G4352"/>
      <c r="I4352"/>
      <c r="N4352"/>
      <c r="O4352" s="24"/>
      <c r="P4352"/>
      <c r="Q4352" s="24"/>
      <c r="R4352"/>
      <c r="S4352"/>
      <c r="T4352"/>
      <c r="U4352"/>
      <c r="X4352" s="60"/>
    </row>
    <row r="4353" spans="7:24" ht="15" customHeight="1">
      <c r="G4353"/>
      <c r="I4353"/>
      <c r="N4353"/>
      <c r="O4353" s="24"/>
      <c r="P4353"/>
      <c r="Q4353" s="24"/>
      <c r="R4353"/>
      <c r="S4353"/>
      <c r="T4353"/>
      <c r="U4353"/>
      <c r="X4353" s="60"/>
    </row>
    <row r="4354" spans="7:24" ht="15" customHeight="1">
      <c r="G4354"/>
      <c r="I4354"/>
      <c r="N4354"/>
      <c r="O4354" s="24"/>
      <c r="P4354"/>
      <c r="Q4354" s="24"/>
      <c r="R4354"/>
      <c r="S4354"/>
      <c r="T4354"/>
      <c r="U4354"/>
      <c r="X4354" s="60"/>
    </row>
    <row r="4355" spans="7:24" ht="15" customHeight="1">
      <c r="G4355"/>
      <c r="I4355"/>
      <c r="N4355"/>
      <c r="O4355" s="24"/>
      <c r="P4355"/>
      <c r="Q4355" s="24"/>
      <c r="R4355"/>
      <c r="S4355"/>
      <c r="T4355"/>
      <c r="U4355"/>
      <c r="X4355" s="60"/>
    </row>
    <row r="4356" spans="7:24" ht="15" customHeight="1">
      <c r="G4356"/>
      <c r="I4356"/>
      <c r="N4356"/>
      <c r="O4356" s="24"/>
      <c r="P4356"/>
      <c r="Q4356" s="24"/>
      <c r="R4356"/>
      <c r="S4356"/>
      <c r="T4356"/>
      <c r="U4356"/>
      <c r="X4356" s="60"/>
    </row>
    <row r="4357" spans="7:24" ht="15" customHeight="1">
      <c r="G4357"/>
      <c r="I4357"/>
      <c r="N4357"/>
      <c r="O4357" s="24"/>
      <c r="P4357"/>
      <c r="Q4357" s="24"/>
      <c r="R4357"/>
      <c r="S4357"/>
      <c r="T4357"/>
      <c r="U4357"/>
      <c r="X4357" s="60"/>
    </row>
    <row r="4358" spans="7:24" ht="15" customHeight="1">
      <c r="G4358"/>
      <c r="I4358"/>
      <c r="N4358"/>
      <c r="O4358" s="24"/>
      <c r="P4358"/>
      <c r="Q4358" s="24"/>
      <c r="R4358"/>
      <c r="S4358"/>
      <c r="T4358"/>
      <c r="U4358"/>
      <c r="X4358" s="60"/>
    </row>
    <row r="4359" spans="7:24" ht="15" customHeight="1">
      <c r="G4359"/>
      <c r="I4359"/>
      <c r="N4359"/>
      <c r="O4359" s="24"/>
      <c r="P4359"/>
      <c r="Q4359" s="24"/>
      <c r="R4359"/>
      <c r="S4359"/>
      <c r="T4359"/>
      <c r="U4359"/>
      <c r="X4359" s="60"/>
    </row>
    <row r="4360" spans="7:24" ht="15" customHeight="1">
      <c r="G4360"/>
      <c r="I4360"/>
      <c r="N4360"/>
      <c r="O4360" s="24"/>
      <c r="P4360"/>
      <c r="Q4360" s="24"/>
      <c r="R4360"/>
      <c r="S4360"/>
      <c r="T4360"/>
      <c r="U4360"/>
      <c r="X4360" s="60"/>
    </row>
    <row r="4361" spans="7:24" ht="15" customHeight="1">
      <c r="G4361"/>
      <c r="I4361"/>
      <c r="N4361"/>
      <c r="O4361" s="24"/>
      <c r="P4361"/>
      <c r="Q4361" s="24"/>
      <c r="R4361"/>
      <c r="S4361"/>
      <c r="T4361"/>
      <c r="U4361"/>
      <c r="X4361" s="60"/>
    </row>
    <row r="4362" spans="7:24" ht="15" customHeight="1">
      <c r="G4362"/>
      <c r="I4362"/>
      <c r="N4362"/>
      <c r="O4362" s="24"/>
      <c r="P4362"/>
      <c r="Q4362" s="24"/>
      <c r="R4362"/>
      <c r="S4362"/>
      <c r="T4362"/>
      <c r="U4362"/>
      <c r="X4362" s="60"/>
    </row>
    <row r="4363" spans="7:24" ht="15" customHeight="1">
      <c r="G4363"/>
      <c r="I4363"/>
      <c r="N4363"/>
      <c r="O4363" s="24"/>
      <c r="P4363"/>
      <c r="Q4363" s="24"/>
      <c r="R4363"/>
      <c r="S4363"/>
      <c r="T4363"/>
      <c r="U4363"/>
      <c r="X4363" s="60"/>
    </row>
    <row r="4364" spans="7:24" ht="15" customHeight="1">
      <c r="G4364"/>
      <c r="I4364"/>
      <c r="N4364"/>
      <c r="O4364" s="24"/>
      <c r="P4364"/>
      <c r="Q4364" s="24"/>
      <c r="R4364"/>
      <c r="S4364"/>
      <c r="T4364"/>
      <c r="U4364"/>
      <c r="X4364" s="60"/>
    </row>
    <row r="4365" spans="7:24" ht="15" customHeight="1">
      <c r="G4365"/>
      <c r="I4365"/>
      <c r="N4365"/>
      <c r="O4365" s="24"/>
      <c r="P4365"/>
      <c r="Q4365" s="24"/>
      <c r="R4365"/>
      <c r="S4365"/>
      <c r="T4365"/>
      <c r="U4365"/>
      <c r="X4365" s="60"/>
    </row>
    <row r="4366" spans="7:24" ht="15" customHeight="1">
      <c r="G4366"/>
      <c r="I4366"/>
      <c r="N4366"/>
      <c r="O4366" s="24"/>
      <c r="P4366"/>
      <c r="Q4366" s="24"/>
      <c r="R4366"/>
      <c r="S4366"/>
      <c r="T4366"/>
      <c r="U4366"/>
      <c r="X4366" s="60"/>
    </row>
    <row r="4367" spans="7:24" ht="15" customHeight="1">
      <c r="G4367"/>
      <c r="I4367"/>
      <c r="N4367"/>
      <c r="O4367" s="24"/>
      <c r="P4367"/>
      <c r="Q4367" s="24"/>
      <c r="R4367"/>
      <c r="S4367"/>
      <c r="T4367"/>
      <c r="U4367"/>
      <c r="X4367" s="60"/>
    </row>
    <row r="4368" spans="7:24" ht="15" customHeight="1">
      <c r="G4368"/>
      <c r="I4368"/>
      <c r="N4368"/>
      <c r="O4368" s="24"/>
      <c r="P4368"/>
      <c r="Q4368" s="24"/>
      <c r="R4368"/>
      <c r="S4368"/>
      <c r="T4368"/>
      <c r="U4368"/>
      <c r="X4368" s="60"/>
    </row>
    <row r="4369" spans="7:24" ht="15" customHeight="1">
      <c r="G4369"/>
      <c r="I4369"/>
      <c r="N4369"/>
      <c r="O4369" s="24"/>
      <c r="P4369"/>
      <c r="Q4369" s="24"/>
      <c r="R4369"/>
      <c r="S4369"/>
      <c r="T4369"/>
      <c r="U4369"/>
      <c r="X4369" s="60"/>
    </row>
    <row r="4370" spans="7:24" ht="15" customHeight="1">
      <c r="G4370"/>
      <c r="I4370"/>
      <c r="N4370"/>
      <c r="O4370" s="24"/>
      <c r="P4370"/>
      <c r="Q4370" s="24"/>
      <c r="R4370"/>
      <c r="S4370"/>
      <c r="T4370"/>
      <c r="U4370"/>
      <c r="X4370" s="60"/>
    </row>
    <row r="4371" spans="7:24" ht="15" customHeight="1">
      <c r="G4371"/>
      <c r="I4371"/>
      <c r="N4371"/>
      <c r="O4371" s="24"/>
      <c r="P4371"/>
      <c r="Q4371" s="24"/>
      <c r="R4371"/>
      <c r="S4371"/>
      <c r="T4371"/>
      <c r="U4371"/>
      <c r="X4371" s="60"/>
    </row>
    <row r="4372" spans="7:24" ht="15" customHeight="1">
      <c r="G4372"/>
      <c r="I4372"/>
      <c r="N4372"/>
      <c r="O4372" s="24"/>
      <c r="P4372"/>
      <c r="Q4372" s="24"/>
      <c r="R4372"/>
      <c r="S4372"/>
      <c r="T4372"/>
      <c r="U4372"/>
      <c r="X4372" s="60"/>
    </row>
    <row r="4373" spans="7:24" ht="15" customHeight="1">
      <c r="G4373"/>
      <c r="I4373"/>
      <c r="N4373"/>
      <c r="O4373" s="24"/>
      <c r="P4373"/>
      <c r="Q4373" s="24"/>
      <c r="R4373"/>
      <c r="S4373"/>
      <c r="T4373"/>
      <c r="U4373"/>
      <c r="X4373" s="60"/>
    </row>
    <row r="4374" spans="7:24" ht="15" customHeight="1">
      <c r="G4374"/>
      <c r="I4374"/>
      <c r="N4374"/>
      <c r="O4374" s="24"/>
      <c r="P4374"/>
      <c r="Q4374" s="24"/>
      <c r="R4374"/>
      <c r="S4374"/>
      <c r="T4374"/>
      <c r="U4374"/>
      <c r="X4374" s="60"/>
    </row>
    <row r="4375" spans="7:24" ht="15" customHeight="1">
      <c r="G4375"/>
      <c r="I4375"/>
      <c r="N4375"/>
      <c r="O4375" s="24"/>
      <c r="P4375"/>
      <c r="Q4375" s="24"/>
      <c r="R4375"/>
      <c r="S4375"/>
      <c r="T4375"/>
      <c r="U4375"/>
      <c r="X4375" s="60"/>
    </row>
    <row r="4376" spans="7:24" ht="15" customHeight="1">
      <c r="G4376"/>
      <c r="I4376"/>
      <c r="N4376"/>
      <c r="O4376" s="24"/>
      <c r="P4376"/>
      <c r="Q4376" s="24"/>
      <c r="R4376"/>
      <c r="S4376"/>
      <c r="T4376"/>
      <c r="U4376"/>
      <c r="X4376" s="60"/>
    </row>
    <row r="4377" spans="7:24" ht="15" customHeight="1">
      <c r="G4377"/>
      <c r="I4377"/>
      <c r="N4377"/>
      <c r="O4377" s="24"/>
      <c r="P4377"/>
      <c r="Q4377" s="24"/>
      <c r="R4377"/>
      <c r="S4377"/>
      <c r="T4377"/>
      <c r="U4377"/>
      <c r="X4377" s="60"/>
    </row>
    <row r="4378" spans="7:24" ht="15" customHeight="1">
      <c r="G4378"/>
      <c r="I4378"/>
      <c r="N4378"/>
      <c r="O4378" s="24"/>
      <c r="P4378"/>
      <c r="Q4378" s="24"/>
      <c r="R4378"/>
      <c r="S4378"/>
      <c r="T4378"/>
      <c r="U4378"/>
      <c r="X4378" s="60"/>
    </row>
    <row r="4379" spans="7:24" ht="15" customHeight="1">
      <c r="G4379"/>
      <c r="I4379"/>
      <c r="N4379"/>
      <c r="O4379" s="24"/>
      <c r="P4379"/>
      <c r="Q4379" s="24"/>
      <c r="R4379"/>
      <c r="S4379"/>
      <c r="T4379"/>
      <c r="U4379"/>
      <c r="X4379" s="60"/>
    </row>
    <row r="4380" spans="7:24" ht="15" customHeight="1">
      <c r="G4380"/>
      <c r="I4380"/>
      <c r="N4380"/>
      <c r="O4380" s="24"/>
      <c r="P4380"/>
      <c r="Q4380" s="24"/>
      <c r="R4380"/>
      <c r="S4380"/>
      <c r="T4380"/>
      <c r="U4380"/>
      <c r="X4380" s="60"/>
    </row>
    <row r="4381" spans="7:24" ht="15" customHeight="1">
      <c r="G4381"/>
      <c r="I4381"/>
      <c r="N4381"/>
      <c r="O4381" s="24"/>
      <c r="P4381"/>
      <c r="Q4381" s="24"/>
      <c r="R4381"/>
      <c r="S4381"/>
      <c r="T4381"/>
      <c r="U4381"/>
      <c r="X4381" s="60"/>
    </row>
    <row r="4382" spans="7:24" ht="15" customHeight="1">
      <c r="G4382"/>
      <c r="I4382"/>
      <c r="N4382"/>
      <c r="O4382" s="24"/>
      <c r="P4382"/>
      <c r="Q4382" s="24"/>
      <c r="R4382"/>
      <c r="S4382"/>
      <c r="T4382"/>
      <c r="U4382"/>
      <c r="X4382" s="60"/>
    </row>
    <row r="4383" spans="7:24" ht="15" customHeight="1">
      <c r="G4383"/>
      <c r="I4383"/>
      <c r="N4383"/>
      <c r="O4383" s="24"/>
      <c r="P4383"/>
      <c r="Q4383" s="24"/>
      <c r="R4383"/>
      <c r="S4383"/>
      <c r="T4383"/>
      <c r="U4383"/>
      <c r="X4383" s="60"/>
    </row>
    <row r="4384" spans="7:24" ht="15" customHeight="1">
      <c r="G4384"/>
      <c r="I4384"/>
      <c r="N4384"/>
      <c r="O4384" s="24"/>
      <c r="P4384"/>
      <c r="Q4384" s="24"/>
      <c r="R4384"/>
      <c r="S4384"/>
      <c r="T4384"/>
      <c r="U4384"/>
      <c r="X4384" s="60"/>
    </row>
    <row r="4385" spans="7:24" ht="15" customHeight="1">
      <c r="G4385"/>
      <c r="I4385"/>
      <c r="N4385"/>
      <c r="O4385" s="24"/>
      <c r="P4385"/>
      <c r="Q4385" s="24"/>
      <c r="R4385"/>
      <c r="S4385"/>
      <c r="T4385"/>
      <c r="U4385"/>
      <c r="X4385" s="60"/>
    </row>
    <row r="4386" spans="7:24" ht="15" customHeight="1">
      <c r="G4386"/>
      <c r="I4386"/>
      <c r="N4386"/>
      <c r="O4386" s="24"/>
      <c r="P4386"/>
      <c r="Q4386" s="24"/>
      <c r="R4386"/>
      <c r="S4386"/>
      <c r="T4386"/>
      <c r="U4386"/>
      <c r="X4386" s="60"/>
    </row>
    <row r="4387" spans="7:24" ht="15" customHeight="1">
      <c r="G4387"/>
      <c r="I4387"/>
      <c r="N4387"/>
      <c r="O4387" s="24"/>
      <c r="P4387"/>
      <c r="Q4387" s="24"/>
      <c r="R4387"/>
      <c r="S4387"/>
      <c r="T4387"/>
      <c r="U4387"/>
      <c r="X4387" s="60"/>
    </row>
    <row r="4388" spans="7:24" ht="15" customHeight="1">
      <c r="G4388"/>
      <c r="I4388"/>
      <c r="N4388"/>
      <c r="O4388" s="24"/>
      <c r="P4388"/>
      <c r="Q4388" s="24"/>
      <c r="R4388"/>
      <c r="S4388"/>
      <c r="T4388"/>
      <c r="U4388"/>
      <c r="X4388" s="60"/>
    </row>
    <row r="4389" spans="7:24" ht="15" customHeight="1">
      <c r="G4389"/>
      <c r="I4389"/>
      <c r="N4389"/>
      <c r="O4389" s="24"/>
      <c r="P4389"/>
      <c r="Q4389" s="24"/>
      <c r="R4389"/>
      <c r="S4389"/>
      <c r="T4389"/>
      <c r="U4389"/>
      <c r="X4389" s="60"/>
    </row>
    <row r="4390" spans="7:24" ht="15" customHeight="1">
      <c r="G4390"/>
      <c r="I4390"/>
      <c r="N4390"/>
      <c r="O4390" s="24"/>
      <c r="P4390"/>
      <c r="Q4390" s="24"/>
      <c r="R4390"/>
      <c r="S4390"/>
      <c r="T4390"/>
      <c r="U4390"/>
      <c r="X4390" s="60"/>
    </row>
    <row r="4391" spans="7:24" ht="15" customHeight="1">
      <c r="G4391"/>
      <c r="I4391"/>
      <c r="N4391"/>
      <c r="O4391" s="24"/>
      <c r="P4391"/>
      <c r="Q4391" s="24"/>
      <c r="R4391"/>
      <c r="S4391"/>
      <c r="T4391"/>
      <c r="U4391"/>
      <c r="X4391" s="60"/>
    </row>
    <row r="4392" spans="7:24" ht="15" customHeight="1">
      <c r="G4392"/>
      <c r="I4392"/>
      <c r="N4392"/>
      <c r="O4392" s="24"/>
      <c r="P4392"/>
      <c r="Q4392" s="24"/>
      <c r="R4392"/>
      <c r="S4392"/>
      <c r="T4392"/>
      <c r="U4392"/>
      <c r="X4392" s="60"/>
    </row>
    <row r="4393" spans="7:24" ht="15" customHeight="1">
      <c r="G4393"/>
      <c r="I4393"/>
      <c r="N4393"/>
      <c r="O4393" s="24"/>
      <c r="P4393"/>
      <c r="Q4393" s="24"/>
      <c r="R4393"/>
      <c r="S4393"/>
      <c r="T4393"/>
      <c r="U4393"/>
      <c r="X4393" s="60"/>
    </row>
    <row r="4394" spans="7:24" ht="15" customHeight="1">
      <c r="G4394"/>
      <c r="I4394"/>
      <c r="N4394"/>
      <c r="O4394" s="24"/>
      <c r="P4394"/>
      <c r="Q4394" s="24"/>
      <c r="R4394"/>
      <c r="S4394"/>
      <c r="T4394"/>
      <c r="U4394"/>
      <c r="X4394" s="60"/>
    </row>
    <row r="4395" spans="7:24" ht="15" customHeight="1">
      <c r="G4395"/>
      <c r="I4395"/>
      <c r="N4395"/>
      <c r="O4395" s="24"/>
      <c r="P4395"/>
      <c r="Q4395" s="24"/>
      <c r="R4395"/>
      <c r="S4395"/>
      <c r="T4395"/>
      <c r="U4395"/>
      <c r="X4395" s="60"/>
    </row>
    <row r="4396" spans="7:24" ht="15" customHeight="1">
      <c r="G4396"/>
      <c r="I4396"/>
      <c r="N4396"/>
      <c r="O4396" s="24"/>
      <c r="P4396"/>
      <c r="Q4396" s="24"/>
      <c r="R4396"/>
      <c r="S4396"/>
      <c r="T4396"/>
      <c r="U4396"/>
      <c r="X4396" s="60"/>
    </row>
    <row r="4397" spans="7:24" ht="15" customHeight="1">
      <c r="G4397"/>
      <c r="I4397"/>
      <c r="N4397"/>
      <c r="O4397" s="24"/>
      <c r="P4397"/>
      <c r="Q4397" s="24"/>
      <c r="R4397"/>
      <c r="S4397"/>
      <c r="T4397"/>
      <c r="U4397"/>
      <c r="X4397" s="60"/>
    </row>
    <row r="4398" spans="7:24" ht="15" customHeight="1">
      <c r="G4398"/>
      <c r="I4398"/>
      <c r="N4398"/>
      <c r="O4398" s="24"/>
      <c r="P4398"/>
      <c r="Q4398" s="24"/>
      <c r="R4398"/>
      <c r="S4398"/>
      <c r="T4398"/>
      <c r="U4398"/>
      <c r="X4398" s="60"/>
    </row>
    <row r="4399" spans="7:24" ht="15" customHeight="1">
      <c r="G4399"/>
      <c r="I4399"/>
      <c r="N4399"/>
      <c r="O4399" s="24"/>
      <c r="P4399"/>
      <c r="Q4399" s="24"/>
      <c r="R4399"/>
      <c r="S4399"/>
      <c r="T4399"/>
      <c r="U4399"/>
      <c r="X4399" s="60"/>
    </row>
    <row r="4400" spans="7:24" ht="15" customHeight="1">
      <c r="G4400"/>
      <c r="I4400"/>
      <c r="N4400"/>
      <c r="O4400" s="24"/>
      <c r="P4400"/>
      <c r="Q4400" s="24"/>
      <c r="R4400"/>
      <c r="S4400"/>
      <c r="T4400"/>
      <c r="U4400"/>
      <c r="X4400" s="60"/>
    </row>
    <row r="4401" spans="7:24" ht="15" customHeight="1">
      <c r="G4401"/>
      <c r="I4401"/>
      <c r="N4401"/>
      <c r="O4401" s="24"/>
      <c r="P4401"/>
      <c r="Q4401" s="24"/>
      <c r="R4401"/>
      <c r="S4401"/>
      <c r="T4401"/>
      <c r="U4401"/>
      <c r="X4401" s="60"/>
    </row>
    <row r="4402" spans="7:24" ht="15" customHeight="1">
      <c r="G4402"/>
      <c r="I4402"/>
      <c r="N4402"/>
      <c r="O4402" s="24"/>
      <c r="P4402"/>
      <c r="Q4402" s="24"/>
      <c r="R4402"/>
      <c r="S4402"/>
      <c r="T4402"/>
      <c r="U4402"/>
      <c r="X4402" s="60"/>
    </row>
    <row r="4403" spans="7:24" ht="15" customHeight="1">
      <c r="G4403"/>
      <c r="I4403"/>
      <c r="N4403"/>
      <c r="O4403" s="24"/>
      <c r="P4403"/>
      <c r="Q4403" s="24"/>
      <c r="R4403"/>
      <c r="S4403"/>
      <c r="T4403"/>
      <c r="U4403"/>
      <c r="X4403" s="60"/>
    </row>
    <row r="4404" spans="7:24" ht="15" customHeight="1">
      <c r="G4404"/>
      <c r="I4404"/>
      <c r="N4404"/>
      <c r="O4404" s="24"/>
      <c r="P4404"/>
      <c r="Q4404" s="24"/>
      <c r="R4404"/>
      <c r="S4404"/>
      <c r="T4404"/>
      <c r="U4404"/>
      <c r="X4404" s="60"/>
    </row>
    <row r="4405" spans="7:24" ht="15" customHeight="1">
      <c r="G4405"/>
      <c r="I4405"/>
      <c r="N4405"/>
      <c r="O4405" s="24"/>
      <c r="P4405"/>
      <c r="Q4405" s="24"/>
      <c r="R4405"/>
      <c r="S4405"/>
      <c r="T4405"/>
      <c r="U4405"/>
      <c r="X4405" s="60"/>
    </row>
    <row r="4406" spans="7:24" ht="15" customHeight="1">
      <c r="G4406"/>
      <c r="I4406"/>
      <c r="N4406"/>
      <c r="O4406" s="24"/>
      <c r="P4406"/>
      <c r="Q4406" s="24"/>
      <c r="R4406"/>
      <c r="S4406"/>
      <c r="T4406"/>
      <c r="U4406"/>
      <c r="X4406" s="60"/>
    </row>
    <row r="4407" spans="7:24" ht="15" customHeight="1">
      <c r="G4407"/>
      <c r="I4407"/>
      <c r="N4407"/>
      <c r="O4407" s="24"/>
      <c r="P4407"/>
      <c r="Q4407" s="24"/>
      <c r="R4407"/>
      <c r="S4407"/>
      <c r="T4407"/>
      <c r="U4407"/>
      <c r="X4407" s="60"/>
    </row>
    <row r="4408" spans="7:24" ht="15" customHeight="1">
      <c r="G4408"/>
      <c r="I4408"/>
      <c r="N4408"/>
      <c r="O4408" s="24"/>
      <c r="P4408"/>
      <c r="Q4408" s="24"/>
      <c r="R4408"/>
      <c r="S4408"/>
      <c r="T4408"/>
      <c r="U4408"/>
      <c r="X4408" s="60"/>
    </row>
    <row r="4409" spans="7:24" ht="15" customHeight="1">
      <c r="G4409"/>
      <c r="I4409"/>
      <c r="N4409"/>
      <c r="O4409" s="24"/>
      <c r="P4409"/>
      <c r="Q4409" s="24"/>
      <c r="R4409"/>
      <c r="S4409"/>
      <c r="T4409"/>
      <c r="U4409"/>
      <c r="X4409" s="60"/>
    </row>
    <row r="4410" spans="7:24" ht="15" customHeight="1">
      <c r="G4410"/>
      <c r="I4410"/>
      <c r="N4410"/>
      <c r="O4410" s="24"/>
      <c r="P4410"/>
      <c r="Q4410" s="24"/>
      <c r="R4410"/>
      <c r="S4410"/>
      <c r="T4410"/>
      <c r="U4410"/>
      <c r="X4410" s="60"/>
    </row>
    <row r="4411" spans="7:24" ht="15" customHeight="1">
      <c r="G4411"/>
      <c r="I4411"/>
      <c r="N4411"/>
      <c r="O4411" s="24"/>
      <c r="P4411"/>
      <c r="Q4411" s="24"/>
      <c r="R4411"/>
      <c r="S4411"/>
      <c r="T4411"/>
      <c r="U4411"/>
      <c r="X4411" s="60"/>
    </row>
    <row r="4412" spans="7:24" ht="15" customHeight="1">
      <c r="G4412"/>
      <c r="I4412"/>
      <c r="N4412"/>
      <c r="O4412" s="24"/>
      <c r="P4412"/>
      <c r="Q4412" s="24"/>
      <c r="R4412"/>
      <c r="S4412"/>
      <c r="T4412"/>
      <c r="U4412"/>
      <c r="X4412" s="60"/>
    </row>
    <row r="4413" spans="7:24" ht="15" customHeight="1">
      <c r="G4413"/>
      <c r="I4413"/>
      <c r="N4413"/>
      <c r="O4413" s="24"/>
      <c r="P4413"/>
      <c r="Q4413" s="24"/>
      <c r="R4413"/>
      <c r="S4413"/>
      <c r="T4413"/>
      <c r="U4413"/>
      <c r="X4413" s="60"/>
    </row>
    <row r="4414" spans="7:24" ht="15" customHeight="1">
      <c r="G4414"/>
      <c r="I4414"/>
      <c r="N4414"/>
      <c r="O4414" s="24"/>
      <c r="P4414"/>
      <c r="Q4414" s="24"/>
      <c r="R4414"/>
      <c r="S4414"/>
      <c r="T4414"/>
      <c r="U4414"/>
      <c r="X4414" s="60"/>
    </row>
    <row r="4415" spans="7:24" ht="15" customHeight="1">
      <c r="G4415"/>
      <c r="I4415"/>
      <c r="N4415"/>
      <c r="O4415" s="24"/>
      <c r="P4415"/>
      <c r="Q4415" s="24"/>
      <c r="R4415"/>
      <c r="S4415"/>
      <c r="T4415"/>
      <c r="U4415"/>
      <c r="X4415" s="60"/>
    </row>
    <row r="4416" spans="7:24" ht="15" customHeight="1">
      <c r="G4416"/>
      <c r="I4416"/>
      <c r="N4416"/>
      <c r="O4416" s="24"/>
      <c r="P4416"/>
      <c r="Q4416" s="24"/>
      <c r="R4416"/>
      <c r="S4416"/>
      <c r="T4416"/>
      <c r="U4416"/>
      <c r="X4416" s="60"/>
    </row>
    <row r="4417" spans="7:24" ht="15" customHeight="1">
      <c r="G4417"/>
      <c r="I4417"/>
      <c r="N4417"/>
      <c r="O4417" s="24"/>
      <c r="P4417"/>
      <c r="Q4417" s="24"/>
      <c r="R4417"/>
      <c r="S4417"/>
      <c r="T4417"/>
      <c r="U4417"/>
      <c r="X4417" s="60"/>
    </row>
    <row r="4418" spans="7:24" ht="15" customHeight="1">
      <c r="G4418"/>
      <c r="I4418"/>
      <c r="N4418"/>
      <c r="O4418" s="24"/>
      <c r="P4418"/>
      <c r="Q4418" s="24"/>
      <c r="R4418"/>
      <c r="S4418"/>
      <c r="T4418"/>
      <c r="U4418"/>
      <c r="X4418" s="60"/>
    </row>
    <row r="4419" spans="7:24" ht="15" customHeight="1">
      <c r="G4419"/>
      <c r="I4419"/>
      <c r="N4419"/>
      <c r="O4419" s="24"/>
      <c r="P4419"/>
      <c r="Q4419" s="24"/>
      <c r="R4419"/>
      <c r="S4419"/>
      <c r="T4419"/>
      <c r="U4419"/>
      <c r="X4419" s="60"/>
    </row>
    <row r="4420" spans="7:24" ht="15" customHeight="1">
      <c r="G4420"/>
      <c r="I4420"/>
      <c r="N4420"/>
      <c r="O4420" s="24"/>
      <c r="P4420"/>
      <c r="Q4420" s="24"/>
      <c r="R4420"/>
      <c r="S4420"/>
      <c r="T4420"/>
      <c r="U4420"/>
      <c r="X4420" s="60"/>
    </row>
    <row r="4421" spans="7:24" ht="15" customHeight="1">
      <c r="G4421"/>
      <c r="I4421"/>
      <c r="N4421"/>
      <c r="O4421" s="24"/>
      <c r="P4421"/>
      <c r="Q4421" s="24"/>
      <c r="R4421"/>
      <c r="S4421"/>
      <c r="T4421"/>
      <c r="U4421"/>
      <c r="X4421" s="60"/>
    </row>
    <row r="4422" spans="7:24" ht="15" customHeight="1">
      <c r="G4422"/>
      <c r="I4422"/>
      <c r="N4422"/>
      <c r="O4422" s="24"/>
      <c r="P4422"/>
      <c r="Q4422" s="24"/>
      <c r="R4422"/>
      <c r="S4422"/>
      <c r="T4422"/>
      <c r="U4422"/>
      <c r="X4422" s="60"/>
    </row>
    <row r="4423" spans="7:24" ht="15" customHeight="1">
      <c r="G4423"/>
      <c r="I4423"/>
      <c r="N4423"/>
      <c r="O4423" s="24"/>
      <c r="P4423"/>
      <c r="Q4423" s="24"/>
      <c r="R4423"/>
      <c r="S4423"/>
      <c r="T4423"/>
      <c r="U4423"/>
      <c r="X4423" s="60"/>
    </row>
    <row r="4424" spans="7:24" ht="15" customHeight="1">
      <c r="G4424"/>
      <c r="I4424"/>
      <c r="N4424"/>
      <c r="O4424" s="24"/>
      <c r="P4424"/>
      <c r="Q4424" s="24"/>
      <c r="R4424"/>
      <c r="S4424"/>
      <c r="T4424"/>
      <c r="U4424"/>
      <c r="X4424" s="60"/>
    </row>
    <row r="4425" spans="7:24" ht="15" customHeight="1">
      <c r="G4425"/>
      <c r="I4425"/>
      <c r="N4425"/>
      <c r="O4425" s="24"/>
      <c r="P4425"/>
      <c r="Q4425" s="24"/>
      <c r="R4425"/>
      <c r="S4425"/>
      <c r="T4425"/>
      <c r="U4425"/>
      <c r="X4425" s="60"/>
    </row>
    <row r="4426" spans="7:24" ht="15" customHeight="1">
      <c r="G4426"/>
      <c r="I4426"/>
      <c r="N4426"/>
      <c r="O4426" s="24"/>
      <c r="P4426"/>
      <c r="Q4426" s="24"/>
      <c r="R4426"/>
      <c r="S4426"/>
      <c r="T4426"/>
      <c r="U4426"/>
      <c r="X4426" s="60"/>
    </row>
    <row r="4427" spans="7:24" ht="15" customHeight="1">
      <c r="G4427"/>
      <c r="I4427"/>
      <c r="N4427"/>
      <c r="O4427" s="24"/>
      <c r="P4427"/>
      <c r="Q4427" s="24"/>
      <c r="R4427"/>
      <c r="S4427"/>
      <c r="T4427"/>
      <c r="U4427"/>
      <c r="X4427" s="60"/>
    </row>
    <row r="4428" spans="7:24" ht="15" customHeight="1">
      <c r="G4428"/>
      <c r="I4428"/>
      <c r="N4428"/>
      <c r="O4428" s="24"/>
      <c r="P4428"/>
      <c r="Q4428" s="24"/>
      <c r="R4428"/>
      <c r="S4428"/>
      <c r="T4428"/>
      <c r="U4428"/>
      <c r="X4428" s="60"/>
    </row>
    <row r="4429" spans="7:24" ht="15" customHeight="1">
      <c r="G4429"/>
      <c r="I4429"/>
      <c r="N4429"/>
      <c r="O4429" s="24"/>
      <c r="P4429"/>
      <c r="Q4429" s="24"/>
      <c r="R4429"/>
      <c r="S4429"/>
      <c r="T4429"/>
      <c r="U4429"/>
      <c r="X4429" s="60"/>
    </row>
    <row r="4430" spans="7:24" ht="15" customHeight="1">
      <c r="G4430"/>
      <c r="I4430"/>
      <c r="N4430"/>
      <c r="O4430" s="24"/>
      <c r="P4430"/>
      <c r="Q4430" s="24"/>
      <c r="R4430"/>
      <c r="S4430"/>
      <c r="T4430"/>
      <c r="U4430"/>
      <c r="X4430" s="60"/>
    </row>
    <row r="4431" spans="7:24" ht="15" customHeight="1">
      <c r="G4431"/>
      <c r="I4431"/>
      <c r="N4431"/>
      <c r="O4431" s="24"/>
      <c r="P4431"/>
      <c r="Q4431" s="24"/>
      <c r="R4431"/>
      <c r="S4431"/>
      <c r="T4431"/>
      <c r="U4431"/>
      <c r="X4431" s="60"/>
    </row>
    <row r="4432" spans="7:24" ht="15" customHeight="1">
      <c r="G4432"/>
      <c r="I4432"/>
      <c r="N4432"/>
      <c r="O4432" s="24"/>
      <c r="P4432"/>
      <c r="Q4432" s="24"/>
      <c r="R4432"/>
      <c r="S4432"/>
      <c r="T4432"/>
      <c r="U4432"/>
      <c r="X4432" s="60"/>
    </row>
    <row r="4433" spans="7:24" ht="15" customHeight="1">
      <c r="G4433"/>
      <c r="I4433"/>
      <c r="N4433"/>
      <c r="O4433" s="24"/>
      <c r="P4433"/>
      <c r="Q4433" s="24"/>
      <c r="R4433"/>
      <c r="S4433"/>
      <c r="T4433"/>
      <c r="U4433"/>
      <c r="X4433" s="60"/>
    </row>
    <row r="4434" spans="7:24" ht="15" customHeight="1">
      <c r="G4434"/>
      <c r="I4434"/>
      <c r="N4434"/>
      <c r="O4434" s="24"/>
      <c r="P4434"/>
      <c r="Q4434" s="24"/>
      <c r="R4434"/>
      <c r="S4434"/>
      <c r="T4434"/>
      <c r="U4434"/>
      <c r="X4434" s="60"/>
    </row>
    <row r="4435" spans="7:24" ht="15" customHeight="1">
      <c r="G4435"/>
      <c r="I4435"/>
      <c r="N4435"/>
      <c r="O4435" s="24"/>
      <c r="P4435"/>
      <c r="Q4435" s="24"/>
      <c r="R4435"/>
      <c r="S4435"/>
      <c r="T4435"/>
      <c r="U4435"/>
      <c r="X4435" s="60"/>
    </row>
    <row r="4436" spans="7:24" ht="15" customHeight="1">
      <c r="G4436"/>
      <c r="I4436"/>
      <c r="N4436"/>
      <c r="O4436" s="24"/>
      <c r="P4436"/>
      <c r="Q4436" s="24"/>
      <c r="R4436"/>
      <c r="S4436"/>
      <c r="T4436"/>
      <c r="U4436"/>
      <c r="X4436" s="60"/>
    </row>
    <row r="4437" spans="7:24" ht="15" customHeight="1">
      <c r="G4437"/>
      <c r="I4437"/>
      <c r="N4437"/>
      <c r="O4437" s="24"/>
      <c r="P4437"/>
      <c r="Q4437" s="24"/>
      <c r="R4437"/>
      <c r="S4437"/>
      <c r="T4437"/>
      <c r="U4437"/>
      <c r="X4437" s="60"/>
    </row>
    <row r="4438" spans="7:24" ht="15" customHeight="1">
      <c r="G4438"/>
      <c r="I4438"/>
      <c r="N4438"/>
      <c r="O4438" s="24"/>
      <c r="P4438"/>
      <c r="Q4438" s="24"/>
      <c r="R4438"/>
      <c r="S4438"/>
      <c r="T4438"/>
      <c r="U4438"/>
      <c r="X4438" s="60"/>
    </row>
    <row r="4439" spans="7:24" ht="15" customHeight="1">
      <c r="G4439"/>
      <c r="I4439"/>
      <c r="N4439"/>
      <c r="O4439" s="24"/>
      <c r="P4439"/>
      <c r="Q4439" s="24"/>
      <c r="R4439"/>
      <c r="S4439"/>
      <c r="T4439"/>
      <c r="U4439"/>
      <c r="X4439" s="60"/>
    </row>
    <row r="4440" spans="7:24" ht="15" customHeight="1">
      <c r="G4440"/>
      <c r="I4440"/>
      <c r="N4440"/>
      <c r="O4440" s="24"/>
      <c r="P4440"/>
      <c r="Q4440" s="24"/>
      <c r="R4440"/>
      <c r="S4440"/>
      <c r="T4440"/>
      <c r="U4440"/>
      <c r="X4440" s="60"/>
    </row>
    <row r="4441" spans="7:24" ht="15" customHeight="1">
      <c r="G4441"/>
      <c r="I4441"/>
      <c r="N4441"/>
      <c r="O4441" s="24"/>
      <c r="P4441"/>
      <c r="Q4441" s="24"/>
      <c r="R4441"/>
      <c r="S4441"/>
      <c r="T4441"/>
      <c r="U4441"/>
      <c r="X4441" s="60"/>
    </row>
    <row r="4442" spans="7:24" ht="15" customHeight="1">
      <c r="G4442"/>
      <c r="I4442"/>
      <c r="N4442"/>
      <c r="O4442" s="24"/>
      <c r="P4442"/>
      <c r="Q4442" s="24"/>
      <c r="R4442"/>
      <c r="S4442"/>
      <c r="T4442"/>
      <c r="U4442"/>
      <c r="X4442" s="60"/>
    </row>
    <row r="4443" spans="7:24" ht="15" customHeight="1">
      <c r="G4443"/>
      <c r="I4443"/>
      <c r="N4443"/>
      <c r="O4443" s="24"/>
      <c r="P4443"/>
      <c r="Q4443" s="24"/>
      <c r="R4443"/>
      <c r="S4443"/>
      <c r="T4443"/>
      <c r="U4443"/>
      <c r="X4443" s="60"/>
    </row>
    <row r="4444" spans="7:24" ht="15" customHeight="1">
      <c r="G4444"/>
      <c r="I4444"/>
      <c r="N4444"/>
      <c r="O4444" s="24"/>
      <c r="P4444"/>
      <c r="Q4444" s="24"/>
      <c r="R4444"/>
      <c r="S4444"/>
      <c r="T4444"/>
      <c r="U4444"/>
      <c r="X4444" s="60"/>
    </row>
    <row r="4445" spans="7:24" ht="15" customHeight="1">
      <c r="G4445"/>
      <c r="I4445"/>
      <c r="N4445"/>
      <c r="O4445" s="24"/>
      <c r="P4445"/>
      <c r="Q4445" s="24"/>
      <c r="R4445"/>
      <c r="S4445"/>
      <c r="T4445"/>
      <c r="U4445"/>
      <c r="X4445" s="60"/>
    </row>
    <row r="4446" spans="7:24" ht="15" customHeight="1">
      <c r="G4446"/>
      <c r="I4446"/>
      <c r="N4446"/>
      <c r="O4446" s="24"/>
      <c r="P4446"/>
      <c r="Q4446" s="24"/>
      <c r="R4446"/>
      <c r="S4446"/>
      <c r="T4446"/>
      <c r="U4446"/>
      <c r="X4446" s="60"/>
    </row>
    <row r="4447" spans="7:24" ht="15" customHeight="1">
      <c r="G4447"/>
      <c r="I4447"/>
      <c r="N4447"/>
      <c r="O4447" s="24"/>
      <c r="P4447"/>
      <c r="Q4447" s="24"/>
      <c r="R4447"/>
      <c r="S4447"/>
      <c r="T4447"/>
      <c r="U4447"/>
      <c r="X4447" s="60"/>
    </row>
    <row r="4448" spans="7:24" ht="15" customHeight="1">
      <c r="G4448"/>
      <c r="I4448"/>
      <c r="N4448"/>
      <c r="O4448" s="24"/>
      <c r="P4448"/>
      <c r="Q4448" s="24"/>
      <c r="R4448"/>
      <c r="S4448"/>
      <c r="T4448"/>
      <c r="U4448"/>
      <c r="X4448" s="60"/>
    </row>
    <row r="4449" spans="7:24" ht="15" customHeight="1">
      <c r="G4449"/>
      <c r="I4449"/>
      <c r="N4449"/>
      <c r="O4449" s="24"/>
      <c r="P4449"/>
      <c r="Q4449" s="24"/>
      <c r="R4449"/>
      <c r="S4449"/>
      <c r="T4449"/>
      <c r="U4449"/>
      <c r="X4449" s="60"/>
    </row>
    <row r="4450" spans="7:24" ht="15" customHeight="1">
      <c r="G4450"/>
      <c r="I4450"/>
      <c r="N4450"/>
      <c r="O4450" s="24"/>
      <c r="P4450"/>
      <c r="Q4450" s="24"/>
      <c r="R4450"/>
      <c r="S4450"/>
      <c r="T4450"/>
      <c r="U4450"/>
      <c r="X4450" s="60"/>
    </row>
    <row r="4451" spans="7:24" ht="15" customHeight="1">
      <c r="G4451"/>
      <c r="I4451"/>
      <c r="N4451"/>
      <c r="O4451" s="24"/>
      <c r="P4451"/>
      <c r="Q4451" s="24"/>
      <c r="R4451"/>
      <c r="S4451"/>
      <c r="T4451"/>
      <c r="U4451"/>
      <c r="X4451" s="60"/>
    </row>
    <row r="4452" spans="7:24" ht="15" customHeight="1">
      <c r="G4452"/>
      <c r="I4452"/>
      <c r="N4452"/>
      <c r="O4452" s="24"/>
      <c r="P4452"/>
      <c r="Q4452" s="24"/>
      <c r="R4452"/>
      <c r="S4452"/>
      <c r="T4452"/>
      <c r="U4452"/>
      <c r="X4452" s="60"/>
    </row>
    <row r="4453" spans="7:24" ht="15" customHeight="1">
      <c r="G4453"/>
      <c r="I4453"/>
      <c r="N4453"/>
      <c r="O4453" s="24"/>
      <c r="P4453"/>
      <c r="Q4453" s="24"/>
      <c r="R4453"/>
      <c r="S4453"/>
      <c r="T4453"/>
      <c r="U4453"/>
      <c r="X4453" s="60"/>
    </row>
    <row r="4454" spans="7:24" ht="15" customHeight="1">
      <c r="G4454"/>
      <c r="I4454"/>
      <c r="N4454"/>
      <c r="O4454" s="24"/>
      <c r="P4454"/>
      <c r="Q4454" s="24"/>
      <c r="R4454"/>
      <c r="S4454"/>
      <c r="T4454"/>
      <c r="U4454"/>
      <c r="X4454" s="60"/>
    </row>
    <row r="4455" spans="7:24" ht="15" customHeight="1">
      <c r="G4455"/>
      <c r="I4455"/>
      <c r="N4455"/>
      <c r="O4455" s="24"/>
      <c r="P4455"/>
      <c r="Q4455" s="24"/>
      <c r="R4455"/>
      <c r="S4455"/>
      <c r="T4455"/>
      <c r="U4455"/>
      <c r="X4455" s="60"/>
    </row>
    <row r="4456" spans="7:24" ht="15" customHeight="1">
      <c r="G4456"/>
      <c r="I4456"/>
      <c r="N4456"/>
      <c r="O4456" s="24"/>
      <c r="P4456"/>
      <c r="Q4456" s="24"/>
      <c r="R4456"/>
      <c r="S4456"/>
      <c r="T4456"/>
      <c r="U4456"/>
      <c r="X4456" s="60"/>
    </row>
    <row r="4457" spans="7:24" ht="15" customHeight="1">
      <c r="G4457"/>
      <c r="I4457"/>
      <c r="N4457"/>
      <c r="O4457" s="24"/>
      <c r="P4457"/>
      <c r="Q4457" s="24"/>
      <c r="R4457"/>
      <c r="S4457"/>
      <c r="T4457"/>
      <c r="U4457"/>
      <c r="X4457" s="60"/>
    </row>
    <row r="4458" spans="7:24" ht="15" customHeight="1">
      <c r="G4458"/>
      <c r="I4458"/>
      <c r="N4458"/>
      <c r="O4458" s="24"/>
      <c r="P4458"/>
      <c r="Q4458" s="24"/>
      <c r="R4458"/>
      <c r="S4458"/>
      <c r="T4458"/>
      <c r="U4458"/>
      <c r="X4458" s="60"/>
    </row>
    <row r="4459" spans="7:24" ht="15" customHeight="1">
      <c r="G4459"/>
      <c r="I4459"/>
      <c r="N4459"/>
      <c r="O4459" s="24"/>
      <c r="P4459"/>
      <c r="Q4459" s="24"/>
      <c r="R4459"/>
      <c r="S4459"/>
      <c r="T4459"/>
      <c r="U4459"/>
      <c r="X4459" s="60"/>
    </row>
    <row r="4460" spans="7:24" ht="15" customHeight="1">
      <c r="G4460"/>
      <c r="I4460"/>
      <c r="N4460"/>
      <c r="O4460" s="24"/>
      <c r="P4460"/>
      <c r="Q4460" s="24"/>
      <c r="R4460"/>
      <c r="S4460"/>
      <c r="T4460"/>
      <c r="U4460"/>
      <c r="X4460" s="60"/>
    </row>
    <row r="4461" spans="7:24" ht="15" customHeight="1">
      <c r="G4461"/>
      <c r="I4461"/>
      <c r="N4461"/>
      <c r="O4461" s="24"/>
      <c r="P4461"/>
      <c r="Q4461" s="24"/>
      <c r="R4461"/>
      <c r="S4461"/>
      <c r="T4461"/>
      <c r="U4461"/>
      <c r="X4461" s="60"/>
    </row>
    <row r="4462" spans="7:24" ht="15" customHeight="1">
      <c r="G4462"/>
      <c r="I4462"/>
      <c r="N4462"/>
      <c r="O4462" s="24"/>
      <c r="P4462"/>
      <c r="Q4462" s="24"/>
      <c r="R4462"/>
      <c r="S4462"/>
      <c r="T4462"/>
      <c r="U4462"/>
      <c r="X4462" s="60"/>
    </row>
    <row r="4463" spans="7:24" ht="15" customHeight="1">
      <c r="G4463"/>
      <c r="I4463"/>
      <c r="N4463"/>
      <c r="O4463" s="24"/>
      <c r="P4463"/>
      <c r="Q4463" s="24"/>
      <c r="R4463"/>
      <c r="S4463"/>
      <c r="T4463"/>
      <c r="U4463"/>
      <c r="X4463" s="60"/>
    </row>
    <row r="4464" spans="7:24" ht="15" customHeight="1">
      <c r="G4464"/>
      <c r="I4464"/>
      <c r="N4464"/>
      <c r="O4464" s="24"/>
      <c r="P4464"/>
      <c r="Q4464" s="24"/>
      <c r="R4464"/>
      <c r="S4464"/>
      <c r="T4464"/>
      <c r="U4464"/>
      <c r="X4464" s="60"/>
    </row>
    <row r="4465" spans="7:24" ht="15" customHeight="1">
      <c r="G4465"/>
      <c r="I4465"/>
      <c r="N4465"/>
      <c r="O4465" s="24"/>
      <c r="P4465"/>
      <c r="Q4465" s="24"/>
      <c r="R4465"/>
      <c r="S4465"/>
      <c r="T4465"/>
      <c r="U4465"/>
      <c r="X4465" s="60"/>
    </row>
    <row r="4466" spans="7:24" ht="15" customHeight="1">
      <c r="G4466"/>
      <c r="I4466"/>
      <c r="N4466"/>
      <c r="O4466" s="24"/>
      <c r="P4466"/>
      <c r="Q4466" s="24"/>
      <c r="R4466"/>
      <c r="S4466"/>
      <c r="T4466"/>
      <c r="U4466"/>
      <c r="X4466" s="60"/>
    </row>
    <row r="4467" spans="7:24" ht="15" customHeight="1">
      <c r="G4467"/>
      <c r="I4467"/>
      <c r="N4467"/>
      <c r="O4467" s="24"/>
      <c r="P4467"/>
      <c r="Q4467" s="24"/>
      <c r="R4467"/>
      <c r="S4467"/>
      <c r="T4467"/>
      <c r="U4467"/>
      <c r="X4467" s="60"/>
    </row>
    <row r="4468" spans="7:24" ht="15" customHeight="1">
      <c r="G4468"/>
      <c r="I4468"/>
      <c r="N4468"/>
      <c r="O4468" s="24"/>
      <c r="P4468"/>
      <c r="Q4468" s="24"/>
      <c r="R4468"/>
      <c r="S4468"/>
      <c r="T4468"/>
      <c r="U4468"/>
      <c r="X4468" s="60"/>
    </row>
    <row r="4469" spans="7:24" ht="15" customHeight="1">
      <c r="G4469"/>
      <c r="I4469"/>
      <c r="N4469"/>
      <c r="O4469" s="24"/>
      <c r="P4469"/>
      <c r="Q4469" s="24"/>
      <c r="R4469"/>
      <c r="S4469"/>
      <c r="T4469"/>
      <c r="U4469"/>
      <c r="X4469" s="60"/>
    </row>
    <row r="4470" spans="7:24" ht="15" customHeight="1">
      <c r="G4470"/>
      <c r="I4470"/>
      <c r="N4470"/>
      <c r="O4470" s="24"/>
      <c r="P4470"/>
      <c r="Q4470" s="24"/>
      <c r="R4470"/>
      <c r="S4470"/>
      <c r="T4470"/>
      <c r="U4470"/>
      <c r="X4470" s="60"/>
    </row>
    <row r="4471" spans="7:24" ht="15" customHeight="1">
      <c r="G4471"/>
      <c r="I4471"/>
      <c r="N4471"/>
      <c r="O4471" s="24"/>
      <c r="P4471"/>
      <c r="Q4471" s="24"/>
      <c r="R4471"/>
      <c r="S4471"/>
      <c r="T4471"/>
      <c r="U4471"/>
      <c r="X4471" s="60"/>
    </row>
    <row r="4472" spans="7:24" ht="15" customHeight="1">
      <c r="G4472"/>
      <c r="I4472"/>
      <c r="N4472"/>
      <c r="O4472" s="24"/>
      <c r="P4472"/>
      <c r="Q4472" s="24"/>
      <c r="R4472"/>
      <c r="S4472"/>
      <c r="T4472"/>
      <c r="U4472"/>
      <c r="X4472" s="60"/>
    </row>
    <row r="4473" spans="7:24" ht="15" customHeight="1">
      <c r="G4473"/>
      <c r="I4473"/>
      <c r="N4473"/>
      <c r="O4473" s="24"/>
      <c r="P4473"/>
      <c r="Q4473" s="24"/>
      <c r="R4473"/>
      <c r="S4473"/>
      <c r="T4473"/>
      <c r="U4473"/>
      <c r="X4473" s="60"/>
    </row>
    <row r="4474" spans="7:24" ht="15" customHeight="1">
      <c r="G4474"/>
      <c r="I4474"/>
      <c r="N4474"/>
      <c r="O4474" s="24"/>
      <c r="P4474"/>
      <c r="Q4474" s="24"/>
      <c r="R4474"/>
      <c r="S4474"/>
      <c r="T4474"/>
      <c r="U4474"/>
      <c r="X4474" s="60"/>
    </row>
    <row r="4475" spans="7:24" ht="15" customHeight="1">
      <c r="G4475"/>
      <c r="I4475"/>
      <c r="N4475"/>
      <c r="O4475" s="24"/>
      <c r="P4475"/>
      <c r="Q4475" s="24"/>
      <c r="R4475"/>
      <c r="S4475"/>
      <c r="T4475"/>
      <c r="U4475"/>
      <c r="X4475" s="60"/>
    </row>
    <row r="4476" spans="7:24" ht="15" customHeight="1">
      <c r="G4476"/>
      <c r="I4476"/>
      <c r="N4476"/>
      <c r="O4476" s="24"/>
      <c r="P4476"/>
      <c r="Q4476" s="24"/>
      <c r="R4476"/>
      <c r="S4476"/>
      <c r="T4476"/>
      <c r="U4476"/>
      <c r="X4476" s="60"/>
    </row>
    <row r="4477" spans="7:24" ht="15" customHeight="1">
      <c r="G4477"/>
      <c r="I4477"/>
      <c r="N4477"/>
      <c r="O4477" s="24"/>
      <c r="P4477"/>
      <c r="Q4477" s="24"/>
      <c r="R4477"/>
      <c r="S4477"/>
      <c r="T4477"/>
      <c r="U4477"/>
      <c r="X4477" s="60"/>
    </row>
    <row r="4478" spans="7:24" ht="15" customHeight="1">
      <c r="G4478"/>
      <c r="I4478"/>
      <c r="N4478"/>
      <c r="O4478" s="24"/>
      <c r="P4478"/>
      <c r="Q4478" s="24"/>
      <c r="R4478"/>
      <c r="S4478"/>
      <c r="T4478"/>
      <c r="U4478"/>
      <c r="X4478" s="60"/>
    </row>
    <row r="4479" spans="7:24" ht="15" customHeight="1">
      <c r="G4479"/>
      <c r="I4479"/>
      <c r="N4479"/>
      <c r="O4479" s="24"/>
      <c r="P4479"/>
      <c r="Q4479" s="24"/>
      <c r="R4479"/>
      <c r="S4479"/>
      <c r="T4479"/>
      <c r="U4479"/>
      <c r="X4479" s="60"/>
    </row>
    <row r="4480" spans="7:24" ht="15" customHeight="1">
      <c r="G4480"/>
      <c r="I4480"/>
      <c r="N4480"/>
      <c r="O4480" s="24"/>
      <c r="P4480"/>
      <c r="Q4480" s="24"/>
      <c r="R4480"/>
      <c r="S4480"/>
      <c r="T4480"/>
      <c r="U4480"/>
      <c r="X4480" s="60"/>
    </row>
    <row r="4481" spans="7:24" ht="15" customHeight="1">
      <c r="G4481"/>
      <c r="I4481"/>
      <c r="N4481"/>
      <c r="O4481" s="24"/>
      <c r="P4481"/>
      <c r="Q4481" s="24"/>
      <c r="R4481"/>
      <c r="S4481"/>
      <c r="T4481"/>
      <c r="U4481"/>
      <c r="X4481" s="60"/>
    </row>
    <row r="4482" spans="7:24" ht="15" customHeight="1">
      <c r="G4482"/>
      <c r="I4482"/>
      <c r="N4482"/>
      <c r="O4482" s="24"/>
      <c r="P4482"/>
      <c r="Q4482" s="24"/>
      <c r="R4482"/>
      <c r="S4482"/>
      <c r="T4482"/>
      <c r="U4482"/>
      <c r="X4482" s="60"/>
    </row>
    <row r="4483" spans="7:24" ht="15" customHeight="1">
      <c r="G4483"/>
      <c r="I4483"/>
      <c r="N4483"/>
      <c r="O4483" s="24"/>
      <c r="P4483"/>
      <c r="Q4483" s="24"/>
      <c r="R4483"/>
      <c r="S4483"/>
      <c r="T4483"/>
      <c r="U4483"/>
      <c r="X4483" s="60"/>
    </row>
    <row r="4484" spans="7:24" ht="15" customHeight="1">
      <c r="G4484"/>
      <c r="I4484"/>
      <c r="N4484"/>
      <c r="O4484" s="24"/>
      <c r="P4484"/>
      <c r="Q4484" s="24"/>
      <c r="R4484"/>
      <c r="S4484"/>
      <c r="T4484"/>
      <c r="U4484"/>
      <c r="X4484" s="60"/>
    </row>
    <row r="4485" spans="7:24" ht="15" customHeight="1">
      <c r="G4485"/>
      <c r="I4485"/>
      <c r="N4485"/>
      <c r="O4485" s="24"/>
      <c r="P4485"/>
      <c r="Q4485" s="24"/>
      <c r="R4485"/>
      <c r="S4485"/>
      <c r="T4485"/>
      <c r="U4485"/>
      <c r="X4485" s="60"/>
    </row>
    <row r="4486" spans="7:24" ht="15" customHeight="1">
      <c r="G4486"/>
      <c r="I4486"/>
      <c r="N4486"/>
      <c r="O4486" s="24"/>
      <c r="P4486"/>
      <c r="Q4486" s="24"/>
      <c r="R4486"/>
      <c r="S4486"/>
      <c r="T4486"/>
      <c r="U4486"/>
      <c r="X4486" s="60"/>
    </row>
    <row r="4487" spans="7:24" ht="15" customHeight="1">
      <c r="G4487"/>
      <c r="I4487"/>
      <c r="N4487"/>
      <c r="O4487" s="24"/>
      <c r="P4487"/>
      <c r="Q4487" s="24"/>
      <c r="R4487"/>
      <c r="S4487"/>
      <c r="T4487"/>
      <c r="U4487"/>
      <c r="X4487" s="60"/>
    </row>
    <row r="4488" spans="7:24" ht="15" customHeight="1">
      <c r="G4488"/>
      <c r="I4488"/>
      <c r="N4488"/>
      <c r="O4488" s="24"/>
      <c r="P4488"/>
      <c r="Q4488" s="24"/>
      <c r="R4488"/>
      <c r="S4488"/>
      <c r="T4488"/>
      <c r="U4488"/>
      <c r="X4488" s="60"/>
    </row>
    <row r="4489" spans="7:24" ht="15" customHeight="1">
      <c r="G4489"/>
      <c r="I4489"/>
      <c r="N4489"/>
      <c r="O4489" s="24"/>
      <c r="P4489"/>
      <c r="Q4489" s="24"/>
      <c r="R4489"/>
      <c r="S4489"/>
      <c r="T4489"/>
      <c r="U4489"/>
      <c r="X4489" s="60"/>
    </row>
    <row r="4490" spans="7:24" ht="15" customHeight="1">
      <c r="G4490"/>
      <c r="I4490"/>
      <c r="N4490"/>
      <c r="O4490" s="24"/>
      <c r="P4490"/>
      <c r="Q4490" s="24"/>
      <c r="R4490"/>
      <c r="S4490"/>
      <c r="T4490"/>
      <c r="U4490"/>
      <c r="X4490" s="60"/>
    </row>
    <row r="4491" spans="7:24" ht="15" customHeight="1">
      <c r="G4491"/>
      <c r="I4491"/>
      <c r="N4491"/>
      <c r="O4491" s="24"/>
      <c r="P4491"/>
      <c r="Q4491" s="24"/>
      <c r="R4491"/>
      <c r="S4491"/>
      <c r="T4491"/>
      <c r="U4491"/>
      <c r="X4491" s="60"/>
    </row>
    <row r="4492" spans="7:24" ht="15" customHeight="1">
      <c r="G4492"/>
      <c r="I4492"/>
      <c r="N4492"/>
      <c r="O4492" s="24"/>
      <c r="P4492"/>
      <c r="Q4492" s="24"/>
      <c r="R4492"/>
      <c r="S4492"/>
      <c r="T4492"/>
      <c r="U4492"/>
      <c r="X4492" s="60"/>
    </row>
    <row r="4493" spans="7:24" ht="15" customHeight="1">
      <c r="G4493"/>
      <c r="I4493"/>
      <c r="N4493"/>
      <c r="O4493" s="24"/>
      <c r="P4493"/>
      <c r="Q4493" s="24"/>
      <c r="R4493"/>
      <c r="S4493"/>
      <c r="T4493"/>
      <c r="U4493"/>
      <c r="X4493" s="60"/>
    </row>
    <row r="4494" spans="7:24" ht="15" customHeight="1">
      <c r="G4494"/>
      <c r="I4494"/>
      <c r="N4494"/>
      <c r="O4494" s="24"/>
      <c r="P4494"/>
      <c r="Q4494" s="24"/>
      <c r="R4494"/>
      <c r="S4494"/>
      <c r="T4494"/>
      <c r="U4494"/>
      <c r="X4494" s="60"/>
    </row>
    <row r="4495" spans="7:24" ht="15" customHeight="1">
      <c r="G4495"/>
      <c r="I4495"/>
      <c r="N4495"/>
      <c r="O4495" s="24"/>
      <c r="P4495"/>
      <c r="Q4495" s="24"/>
      <c r="R4495"/>
      <c r="S4495"/>
      <c r="T4495"/>
      <c r="U4495"/>
      <c r="X4495" s="60"/>
    </row>
    <row r="4496" spans="7:24" ht="15" customHeight="1">
      <c r="G4496"/>
      <c r="I4496"/>
      <c r="N4496"/>
      <c r="O4496" s="24"/>
      <c r="P4496"/>
      <c r="Q4496" s="24"/>
      <c r="R4496"/>
      <c r="S4496"/>
      <c r="T4496"/>
      <c r="U4496"/>
      <c r="X4496" s="60"/>
    </row>
    <row r="4497" spans="7:24" ht="15" customHeight="1">
      <c r="G4497"/>
      <c r="I4497"/>
      <c r="N4497"/>
      <c r="O4497" s="24"/>
      <c r="P4497"/>
      <c r="Q4497" s="24"/>
      <c r="R4497"/>
      <c r="S4497"/>
      <c r="T4497"/>
      <c r="U4497"/>
      <c r="X4497" s="60"/>
    </row>
    <row r="4498" spans="7:24" ht="15" customHeight="1">
      <c r="G4498"/>
      <c r="I4498"/>
      <c r="N4498"/>
      <c r="O4498" s="24"/>
      <c r="P4498"/>
      <c r="Q4498" s="24"/>
      <c r="R4498"/>
      <c r="S4498"/>
      <c r="T4498"/>
      <c r="U4498"/>
      <c r="X4498" s="60"/>
    </row>
    <row r="4499" spans="7:24" ht="15" customHeight="1">
      <c r="G4499"/>
      <c r="I4499"/>
      <c r="N4499"/>
      <c r="O4499" s="24"/>
      <c r="P4499"/>
      <c r="Q4499" s="24"/>
      <c r="R4499"/>
      <c r="S4499"/>
      <c r="T4499"/>
      <c r="U4499"/>
      <c r="X4499" s="60"/>
    </row>
    <row r="4500" spans="7:24" ht="15" customHeight="1">
      <c r="G4500"/>
      <c r="I4500"/>
      <c r="N4500"/>
      <c r="O4500" s="24"/>
      <c r="P4500"/>
      <c r="Q4500" s="24"/>
      <c r="R4500"/>
      <c r="S4500"/>
      <c r="T4500"/>
      <c r="U4500"/>
      <c r="X4500" s="60"/>
    </row>
    <row r="4501" spans="7:24" ht="15" customHeight="1">
      <c r="G4501"/>
      <c r="I4501"/>
      <c r="N4501"/>
      <c r="O4501" s="24"/>
      <c r="P4501"/>
      <c r="Q4501" s="24"/>
      <c r="R4501"/>
      <c r="S4501"/>
      <c r="T4501"/>
      <c r="U4501"/>
      <c r="X4501" s="60"/>
    </row>
    <row r="4502" spans="7:24" ht="15" customHeight="1">
      <c r="G4502"/>
      <c r="I4502"/>
      <c r="N4502"/>
      <c r="O4502" s="24"/>
      <c r="P4502"/>
      <c r="Q4502" s="24"/>
      <c r="R4502"/>
      <c r="S4502"/>
      <c r="T4502"/>
      <c r="U4502"/>
      <c r="X4502" s="60"/>
    </row>
    <row r="4503" spans="7:24" ht="15" customHeight="1">
      <c r="G4503"/>
      <c r="I4503"/>
      <c r="N4503"/>
      <c r="O4503" s="24"/>
      <c r="P4503"/>
      <c r="Q4503" s="24"/>
      <c r="R4503"/>
      <c r="S4503"/>
      <c r="T4503"/>
      <c r="U4503"/>
      <c r="X4503" s="60"/>
    </row>
    <row r="4504" spans="7:24" ht="15" customHeight="1">
      <c r="G4504"/>
      <c r="I4504"/>
      <c r="N4504"/>
      <c r="O4504" s="24"/>
      <c r="P4504"/>
      <c r="Q4504" s="24"/>
      <c r="R4504"/>
      <c r="S4504"/>
      <c r="T4504"/>
      <c r="U4504"/>
      <c r="X4504" s="60"/>
    </row>
    <row r="4505" spans="7:24" ht="15" customHeight="1">
      <c r="G4505"/>
      <c r="I4505"/>
      <c r="N4505"/>
      <c r="O4505" s="24"/>
      <c r="P4505"/>
      <c r="Q4505" s="24"/>
      <c r="R4505"/>
      <c r="S4505"/>
      <c r="T4505"/>
      <c r="U4505"/>
      <c r="X4505" s="60"/>
    </row>
    <row r="4506" spans="7:24" ht="15" customHeight="1">
      <c r="G4506"/>
      <c r="I4506"/>
      <c r="N4506"/>
      <c r="O4506" s="24"/>
      <c r="P4506"/>
      <c r="Q4506" s="24"/>
      <c r="R4506"/>
      <c r="S4506"/>
      <c r="T4506"/>
      <c r="U4506"/>
      <c r="X4506" s="60"/>
    </row>
    <row r="4507" spans="7:24" ht="15" customHeight="1">
      <c r="G4507"/>
      <c r="I4507"/>
      <c r="N4507"/>
      <c r="O4507" s="24"/>
      <c r="P4507"/>
      <c r="Q4507" s="24"/>
      <c r="R4507"/>
      <c r="S4507"/>
      <c r="T4507"/>
      <c r="U4507"/>
      <c r="X4507" s="60"/>
    </row>
    <row r="4508" spans="7:24" ht="15" customHeight="1">
      <c r="G4508"/>
      <c r="I4508"/>
      <c r="N4508"/>
      <c r="O4508" s="24"/>
      <c r="P4508"/>
      <c r="Q4508" s="24"/>
      <c r="R4508"/>
      <c r="S4508"/>
      <c r="T4508"/>
      <c r="U4508"/>
      <c r="X4508" s="60"/>
    </row>
    <row r="4509" spans="7:24" ht="15" customHeight="1">
      <c r="G4509"/>
      <c r="I4509"/>
      <c r="N4509"/>
      <c r="O4509" s="24"/>
      <c r="P4509"/>
      <c r="Q4509" s="24"/>
      <c r="R4509"/>
      <c r="S4509"/>
      <c r="T4509"/>
      <c r="U4509"/>
      <c r="X4509" s="60"/>
    </row>
    <row r="4510" spans="7:24" ht="15" customHeight="1">
      <c r="G4510"/>
      <c r="I4510"/>
      <c r="N4510"/>
      <c r="O4510" s="24"/>
      <c r="P4510"/>
      <c r="Q4510" s="24"/>
      <c r="R4510"/>
      <c r="S4510"/>
      <c r="T4510"/>
      <c r="U4510"/>
      <c r="X4510" s="60"/>
    </row>
    <row r="4511" spans="7:24" ht="15" customHeight="1">
      <c r="G4511"/>
      <c r="I4511"/>
      <c r="N4511"/>
      <c r="O4511" s="24"/>
      <c r="P4511"/>
      <c r="Q4511" s="24"/>
      <c r="R4511"/>
      <c r="S4511"/>
      <c r="T4511"/>
      <c r="U4511"/>
      <c r="X4511" s="60"/>
    </row>
    <row r="4512" spans="7:24" ht="15" customHeight="1">
      <c r="G4512"/>
      <c r="I4512"/>
      <c r="N4512"/>
      <c r="O4512" s="24"/>
      <c r="P4512"/>
      <c r="Q4512" s="24"/>
      <c r="R4512"/>
      <c r="S4512"/>
      <c r="T4512"/>
      <c r="U4512"/>
      <c r="X4512" s="60"/>
    </row>
    <row r="4513" spans="7:24" ht="15" customHeight="1">
      <c r="G4513"/>
      <c r="I4513"/>
      <c r="N4513"/>
      <c r="O4513" s="24"/>
      <c r="P4513"/>
      <c r="Q4513" s="24"/>
      <c r="R4513"/>
      <c r="S4513"/>
      <c r="T4513"/>
      <c r="U4513"/>
      <c r="X4513" s="60"/>
    </row>
    <row r="4514" spans="7:24" ht="15" customHeight="1">
      <c r="G4514"/>
      <c r="I4514"/>
      <c r="N4514"/>
      <c r="O4514" s="24"/>
      <c r="P4514"/>
      <c r="Q4514" s="24"/>
      <c r="R4514"/>
      <c r="S4514"/>
      <c r="T4514"/>
      <c r="U4514"/>
      <c r="X4514" s="60"/>
    </row>
    <row r="4515" spans="7:24" ht="15" customHeight="1">
      <c r="G4515"/>
      <c r="I4515"/>
      <c r="N4515"/>
      <c r="O4515" s="24"/>
      <c r="P4515"/>
      <c r="Q4515" s="24"/>
      <c r="R4515"/>
      <c r="S4515"/>
      <c r="T4515"/>
      <c r="U4515"/>
      <c r="X4515" s="60"/>
    </row>
    <row r="4516" spans="7:24" ht="15" customHeight="1">
      <c r="G4516"/>
      <c r="I4516"/>
      <c r="N4516"/>
      <c r="O4516" s="24"/>
      <c r="P4516"/>
      <c r="Q4516" s="24"/>
      <c r="R4516"/>
      <c r="S4516"/>
      <c r="T4516"/>
      <c r="U4516"/>
      <c r="X4516" s="60"/>
    </row>
    <row r="4517" spans="7:24" ht="15" customHeight="1">
      <c r="G4517"/>
      <c r="I4517"/>
      <c r="N4517"/>
      <c r="O4517" s="24"/>
      <c r="P4517"/>
      <c r="Q4517" s="24"/>
      <c r="R4517"/>
      <c r="S4517"/>
      <c r="T4517"/>
      <c r="U4517"/>
      <c r="X4517" s="60"/>
    </row>
    <row r="4518" spans="7:24" ht="15" customHeight="1">
      <c r="G4518"/>
      <c r="I4518"/>
      <c r="N4518"/>
      <c r="O4518" s="24"/>
      <c r="P4518"/>
      <c r="Q4518" s="24"/>
      <c r="R4518"/>
      <c r="S4518"/>
      <c r="T4518"/>
      <c r="U4518"/>
      <c r="X4518" s="60"/>
    </row>
    <row r="4519" spans="7:24" ht="15" customHeight="1">
      <c r="G4519"/>
      <c r="I4519"/>
      <c r="N4519"/>
      <c r="O4519" s="24"/>
      <c r="P4519"/>
      <c r="Q4519" s="24"/>
      <c r="R4519"/>
      <c r="S4519"/>
      <c r="T4519"/>
      <c r="U4519"/>
      <c r="X4519" s="60"/>
    </row>
    <row r="4520" spans="7:24" ht="15" customHeight="1">
      <c r="G4520"/>
      <c r="I4520"/>
      <c r="N4520"/>
      <c r="O4520" s="24"/>
      <c r="P4520"/>
      <c r="Q4520" s="24"/>
      <c r="R4520"/>
      <c r="S4520"/>
      <c r="T4520"/>
      <c r="U4520"/>
      <c r="X4520" s="60"/>
    </row>
    <row r="4521" spans="7:24" ht="15" customHeight="1">
      <c r="G4521"/>
      <c r="I4521"/>
      <c r="N4521"/>
      <c r="O4521" s="24"/>
      <c r="P4521"/>
      <c r="Q4521" s="24"/>
      <c r="R4521"/>
      <c r="S4521"/>
      <c r="T4521"/>
      <c r="U4521"/>
      <c r="X4521" s="60"/>
    </row>
    <row r="4522" spans="7:24" ht="15" customHeight="1">
      <c r="G4522"/>
      <c r="I4522"/>
      <c r="N4522"/>
      <c r="O4522" s="24"/>
      <c r="P4522"/>
      <c r="Q4522" s="24"/>
      <c r="R4522"/>
      <c r="S4522"/>
      <c r="T4522"/>
      <c r="U4522"/>
      <c r="X4522" s="60"/>
    </row>
    <row r="4523" spans="7:24" ht="15" customHeight="1">
      <c r="G4523"/>
      <c r="I4523"/>
      <c r="N4523"/>
      <c r="O4523" s="24"/>
      <c r="P4523"/>
      <c r="Q4523" s="24"/>
      <c r="R4523"/>
      <c r="S4523"/>
      <c r="T4523"/>
      <c r="U4523"/>
      <c r="X4523" s="60"/>
    </row>
    <row r="4524" spans="7:24" ht="15" customHeight="1">
      <c r="G4524"/>
      <c r="I4524"/>
      <c r="N4524"/>
      <c r="O4524" s="24"/>
      <c r="P4524"/>
      <c r="Q4524" s="24"/>
      <c r="R4524"/>
      <c r="S4524"/>
      <c r="T4524"/>
      <c r="U4524"/>
      <c r="X4524" s="60"/>
    </row>
    <row r="4525" spans="7:24" ht="15" customHeight="1">
      <c r="G4525"/>
      <c r="I4525"/>
      <c r="N4525"/>
      <c r="O4525" s="24"/>
      <c r="P4525"/>
      <c r="Q4525" s="24"/>
      <c r="R4525"/>
      <c r="S4525"/>
      <c r="T4525"/>
      <c r="U4525"/>
      <c r="X4525" s="60"/>
    </row>
    <row r="4526" spans="7:24" ht="15" customHeight="1">
      <c r="G4526"/>
      <c r="I4526"/>
      <c r="N4526"/>
      <c r="O4526" s="24"/>
      <c r="P4526"/>
      <c r="Q4526" s="24"/>
      <c r="R4526"/>
      <c r="S4526"/>
      <c r="T4526"/>
      <c r="U4526"/>
      <c r="X4526" s="60"/>
    </row>
    <row r="4527" spans="7:24" ht="15" customHeight="1">
      <c r="G4527"/>
      <c r="I4527"/>
      <c r="N4527"/>
      <c r="O4527" s="24"/>
      <c r="P4527"/>
      <c r="Q4527" s="24"/>
      <c r="R4527"/>
      <c r="S4527"/>
      <c r="T4527"/>
      <c r="U4527"/>
      <c r="X4527" s="60"/>
    </row>
    <row r="4528" spans="7:24" ht="15" customHeight="1">
      <c r="G4528"/>
      <c r="I4528"/>
      <c r="N4528"/>
      <c r="O4528" s="24"/>
      <c r="P4528"/>
      <c r="Q4528" s="24"/>
      <c r="R4528"/>
      <c r="S4528"/>
      <c r="T4528"/>
      <c r="U4528"/>
      <c r="X4528" s="60"/>
    </row>
    <row r="4529" spans="7:24" ht="15" customHeight="1">
      <c r="G4529"/>
      <c r="I4529"/>
      <c r="N4529"/>
      <c r="O4529" s="24"/>
      <c r="P4529"/>
      <c r="Q4529" s="24"/>
      <c r="R4529"/>
      <c r="S4529"/>
      <c r="T4529"/>
      <c r="U4529"/>
      <c r="X4529" s="60"/>
    </row>
    <row r="4530" spans="7:24" ht="15" customHeight="1">
      <c r="G4530"/>
      <c r="I4530"/>
      <c r="N4530"/>
      <c r="O4530" s="24"/>
      <c r="P4530"/>
      <c r="Q4530" s="24"/>
      <c r="R4530"/>
      <c r="S4530"/>
      <c r="T4530"/>
      <c r="U4530"/>
      <c r="X4530" s="60"/>
    </row>
    <row r="4531" spans="7:24" ht="15" customHeight="1">
      <c r="G4531"/>
      <c r="I4531"/>
      <c r="N4531"/>
      <c r="O4531" s="24"/>
      <c r="P4531"/>
      <c r="Q4531" s="24"/>
      <c r="R4531"/>
      <c r="S4531"/>
      <c r="T4531"/>
      <c r="U4531"/>
      <c r="X4531" s="60"/>
    </row>
    <row r="4532" spans="7:24" ht="15" customHeight="1">
      <c r="G4532"/>
      <c r="I4532"/>
      <c r="N4532"/>
      <c r="O4532" s="24"/>
      <c r="P4532"/>
      <c r="Q4532" s="24"/>
      <c r="R4532"/>
      <c r="S4532"/>
      <c r="T4532"/>
      <c r="U4532"/>
      <c r="X4532" s="60"/>
    </row>
    <row r="4533" spans="7:24" ht="15" customHeight="1">
      <c r="G4533"/>
      <c r="I4533"/>
      <c r="N4533"/>
      <c r="O4533" s="24"/>
      <c r="P4533"/>
      <c r="Q4533" s="24"/>
      <c r="R4533"/>
      <c r="S4533"/>
      <c r="T4533"/>
      <c r="U4533"/>
      <c r="X4533" s="60"/>
    </row>
    <row r="4534" spans="7:24" ht="15" customHeight="1">
      <c r="G4534"/>
      <c r="I4534"/>
      <c r="N4534"/>
      <c r="O4534" s="24"/>
      <c r="P4534"/>
      <c r="Q4534" s="24"/>
      <c r="R4534"/>
      <c r="S4534"/>
      <c r="T4534"/>
      <c r="U4534"/>
      <c r="X4534" s="60"/>
    </row>
    <row r="4535" spans="7:24" ht="15" customHeight="1">
      <c r="G4535"/>
      <c r="I4535"/>
      <c r="N4535"/>
      <c r="O4535" s="24"/>
      <c r="P4535"/>
      <c r="Q4535" s="24"/>
      <c r="R4535"/>
      <c r="S4535"/>
      <c r="T4535"/>
      <c r="U4535"/>
      <c r="X4535" s="60"/>
    </row>
    <row r="4536" spans="7:24" ht="15" customHeight="1">
      <c r="G4536"/>
      <c r="I4536"/>
      <c r="N4536"/>
      <c r="O4536" s="24"/>
      <c r="P4536"/>
      <c r="Q4536" s="24"/>
      <c r="R4536"/>
      <c r="S4536"/>
      <c r="T4536"/>
      <c r="U4536"/>
      <c r="X4536" s="60"/>
    </row>
    <row r="4537" spans="7:24" ht="15" customHeight="1">
      <c r="G4537"/>
      <c r="I4537"/>
      <c r="N4537"/>
      <c r="O4537" s="24"/>
      <c r="P4537"/>
      <c r="Q4537" s="24"/>
      <c r="R4537"/>
      <c r="S4537"/>
      <c r="T4537"/>
      <c r="U4537"/>
      <c r="X4537" s="60"/>
    </row>
    <row r="4538" spans="7:24" ht="15" customHeight="1">
      <c r="G4538"/>
      <c r="I4538"/>
      <c r="N4538"/>
      <c r="O4538" s="24"/>
      <c r="P4538"/>
      <c r="Q4538" s="24"/>
      <c r="R4538"/>
      <c r="S4538"/>
      <c r="T4538"/>
      <c r="U4538"/>
      <c r="X4538" s="60"/>
    </row>
    <row r="4539" spans="7:24" ht="15" customHeight="1">
      <c r="G4539"/>
      <c r="I4539"/>
      <c r="N4539"/>
      <c r="O4539" s="24"/>
      <c r="P4539"/>
      <c r="Q4539" s="24"/>
      <c r="R4539"/>
      <c r="S4539"/>
      <c r="T4539"/>
      <c r="U4539"/>
      <c r="X4539" s="60"/>
    </row>
    <row r="4540" spans="7:24" ht="15" customHeight="1">
      <c r="G4540"/>
      <c r="I4540"/>
      <c r="N4540"/>
      <c r="O4540" s="24"/>
      <c r="P4540"/>
      <c r="Q4540" s="24"/>
      <c r="R4540"/>
      <c r="S4540"/>
      <c r="T4540"/>
      <c r="U4540"/>
      <c r="X4540" s="60"/>
    </row>
    <row r="4541" spans="7:24" ht="15" customHeight="1">
      <c r="G4541"/>
      <c r="I4541"/>
      <c r="N4541"/>
      <c r="O4541" s="24"/>
      <c r="P4541"/>
      <c r="Q4541" s="24"/>
      <c r="R4541"/>
      <c r="S4541"/>
      <c r="T4541"/>
      <c r="U4541"/>
      <c r="X4541" s="60"/>
    </row>
    <row r="4542" spans="7:24" ht="15" customHeight="1">
      <c r="G4542"/>
      <c r="I4542"/>
      <c r="N4542"/>
      <c r="O4542" s="24"/>
      <c r="P4542"/>
      <c r="Q4542" s="24"/>
      <c r="R4542"/>
      <c r="S4542"/>
      <c r="T4542"/>
      <c r="U4542"/>
      <c r="X4542" s="60"/>
    </row>
    <row r="4543" spans="7:24" ht="15" customHeight="1">
      <c r="G4543"/>
      <c r="I4543"/>
      <c r="N4543"/>
      <c r="O4543" s="24"/>
      <c r="P4543"/>
      <c r="Q4543" s="24"/>
      <c r="R4543"/>
      <c r="S4543"/>
      <c r="T4543"/>
      <c r="U4543"/>
      <c r="X4543" s="60"/>
    </row>
    <row r="4544" spans="7:24" ht="15" customHeight="1">
      <c r="G4544"/>
      <c r="I4544"/>
      <c r="N4544"/>
      <c r="O4544" s="24"/>
      <c r="P4544"/>
      <c r="Q4544" s="24"/>
      <c r="R4544"/>
      <c r="S4544"/>
      <c r="T4544"/>
      <c r="U4544"/>
      <c r="X4544" s="60"/>
    </row>
    <row r="4545" spans="7:24" ht="15" customHeight="1">
      <c r="G4545"/>
      <c r="I4545"/>
      <c r="N4545"/>
      <c r="O4545" s="24"/>
      <c r="P4545"/>
      <c r="Q4545" s="24"/>
      <c r="R4545"/>
      <c r="S4545"/>
      <c r="T4545"/>
      <c r="U4545"/>
      <c r="X4545" s="60"/>
    </row>
    <row r="4546" spans="7:24" ht="15" customHeight="1">
      <c r="G4546"/>
      <c r="I4546"/>
      <c r="N4546"/>
      <c r="O4546" s="24"/>
      <c r="P4546"/>
      <c r="Q4546" s="24"/>
      <c r="R4546"/>
      <c r="S4546"/>
      <c r="T4546"/>
      <c r="U4546"/>
      <c r="X4546" s="60"/>
    </row>
    <row r="4547" spans="7:24" ht="15" customHeight="1">
      <c r="G4547"/>
      <c r="I4547"/>
      <c r="N4547"/>
      <c r="O4547" s="24"/>
      <c r="P4547"/>
      <c r="Q4547" s="24"/>
      <c r="R4547"/>
      <c r="S4547"/>
      <c r="T4547"/>
      <c r="U4547"/>
      <c r="X4547" s="60"/>
    </row>
    <row r="4548" spans="7:24" ht="15" customHeight="1">
      <c r="G4548"/>
      <c r="I4548"/>
      <c r="N4548"/>
      <c r="O4548" s="24"/>
      <c r="P4548"/>
      <c r="Q4548" s="24"/>
      <c r="R4548"/>
      <c r="S4548"/>
      <c r="T4548"/>
      <c r="U4548"/>
      <c r="X4548" s="60"/>
    </row>
    <row r="4549" spans="7:24" ht="15" customHeight="1">
      <c r="G4549"/>
      <c r="I4549"/>
      <c r="N4549"/>
      <c r="O4549" s="24"/>
      <c r="P4549"/>
      <c r="Q4549" s="24"/>
      <c r="R4549"/>
      <c r="S4549"/>
      <c r="T4549"/>
      <c r="U4549"/>
      <c r="X4549" s="60"/>
    </row>
    <row r="4550" spans="7:24" ht="15" customHeight="1">
      <c r="G4550"/>
      <c r="I4550"/>
      <c r="N4550"/>
      <c r="O4550" s="24"/>
      <c r="P4550"/>
      <c r="Q4550" s="24"/>
      <c r="R4550"/>
      <c r="S4550"/>
      <c r="T4550"/>
      <c r="U4550"/>
      <c r="X4550" s="60"/>
    </row>
    <row r="4551" spans="7:24" ht="15" customHeight="1">
      <c r="G4551"/>
      <c r="I4551"/>
      <c r="N4551"/>
      <c r="O4551" s="24"/>
      <c r="P4551"/>
      <c r="Q4551" s="24"/>
      <c r="R4551"/>
      <c r="S4551"/>
      <c r="T4551"/>
      <c r="U4551"/>
      <c r="X4551" s="60"/>
    </row>
    <row r="4552" spans="7:24" ht="15" customHeight="1">
      <c r="G4552"/>
      <c r="I4552"/>
      <c r="N4552"/>
      <c r="O4552" s="24"/>
      <c r="P4552"/>
      <c r="Q4552" s="24"/>
      <c r="R4552"/>
      <c r="S4552"/>
      <c r="T4552"/>
      <c r="U4552"/>
      <c r="X4552" s="60"/>
    </row>
    <row r="4553" spans="7:24" ht="15" customHeight="1">
      <c r="G4553"/>
      <c r="I4553"/>
      <c r="N4553"/>
      <c r="O4553" s="24"/>
      <c r="P4553"/>
      <c r="Q4553" s="24"/>
      <c r="R4553"/>
      <c r="S4553"/>
      <c r="T4553"/>
      <c r="U4553"/>
      <c r="X4553" s="60"/>
    </row>
    <row r="4554" spans="7:24" ht="15" customHeight="1">
      <c r="G4554"/>
      <c r="I4554"/>
      <c r="N4554"/>
      <c r="O4554" s="24"/>
      <c r="P4554"/>
      <c r="Q4554" s="24"/>
      <c r="R4554"/>
      <c r="S4554"/>
      <c r="T4554"/>
      <c r="U4554"/>
      <c r="X4554" s="60"/>
    </row>
    <row r="4555" spans="7:24" ht="15" customHeight="1">
      <c r="G4555"/>
      <c r="I4555"/>
      <c r="N4555"/>
      <c r="O4555" s="24"/>
      <c r="P4555"/>
      <c r="Q4555" s="24"/>
      <c r="R4555"/>
      <c r="S4555"/>
      <c r="T4555"/>
      <c r="U4555"/>
      <c r="X4555" s="60"/>
    </row>
    <row r="4556" spans="7:24" ht="15" customHeight="1">
      <c r="G4556"/>
      <c r="I4556"/>
      <c r="N4556"/>
      <c r="O4556" s="24"/>
      <c r="P4556"/>
      <c r="Q4556" s="24"/>
      <c r="R4556"/>
      <c r="S4556"/>
      <c r="T4556"/>
      <c r="U4556"/>
      <c r="X4556" s="60"/>
    </row>
    <row r="4557" spans="7:24" ht="15" customHeight="1">
      <c r="G4557"/>
      <c r="I4557"/>
      <c r="N4557"/>
      <c r="O4557" s="24"/>
      <c r="P4557"/>
      <c r="Q4557" s="24"/>
      <c r="R4557"/>
      <c r="S4557"/>
      <c r="T4557"/>
      <c r="U4557"/>
      <c r="X4557" s="60"/>
    </row>
    <row r="4558" spans="7:24" ht="15" customHeight="1">
      <c r="G4558"/>
      <c r="I4558"/>
      <c r="N4558"/>
      <c r="O4558" s="24"/>
      <c r="P4558"/>
      <c r="Q4558" s="24"/>
      <c r="R4558"/>
      <c r="S4558"/>
      <c r="T4558"/>
      <c r="U4558"/>
      <c r="X4558" s="60"/>
    </row>
    <row r="4559" spans="7:24" ht="15" customHeight="1">
      <c r="G4559"/>
      <c r="I4559"/>
      <c r="N4559"/>
      <c r="O4559" s="24"/>
      <c r="P4559"/>
      <c r="Q4559" s="24"/>
      <c r="R4559"/>
      <c r="S4559"/>
      <c r="T4559"/>
      <c r="U4559"/>
      <c r="X4559" s="60"/>
    </row>
    <row r="4560" spans="7:24" ht="15" customHeight="1">
      <c r="G4560"/>
      <c r="I4560"/>
      <c r="N4560"/>
      <c r="O4560" s="24"/>
      <c r="P4560"/>
      <c r="Q4560" s="24"/>
      <c r="R4560"/>
      <c r="S4560"/>
      <c r="T4560"/>
      <c r="U4560"/>
      <c r="X4560" s="60"/>
    </row>
    <row r="4561" spans="7:24" ht="15" customHeight="1">
      <c r="G4561"/>
      <c r="I4561"/>
      <c r="N4561"/>
      <c r="O4561" s="24"/>
      <c r="P4561"/>
      <c r="Q4561" s="24"/>
      <c r="R4561"/>
      <c r="S4561"/>
      <c r="T4561"/>
      <c r="U4561"/>
      <c r="X4561" s="60"/>
    </row>
    <row r="4562" spans="7:24" ht="15" customHeight="1">
      <c r="G4562"/>
      <c r="I4562"/>
      <c r="N4562"/>
      <c r="O4562" s="24"/>
      <c r="P4562"/>
      <c r="Q4562" s="24"/>
      <c r="R4562"/>
      <c r="S4562"/>
      <c r="T4562"/>
      <c r="U4562"/>
      <c r="X4562" s="60"/>
    </row>
    <row r="4563" spans="7:24" ht="15" customHeight="1">
      <c r="G4563"/>
      <c r="I4563"/>
      <c r="N4563"/>
      <c r="O4563" s="24"/>
      <c r="P4563"/>
      <c r="Q4563" s="24"/>
      <c r="R4563"/>
      <c r="S4563"/>
      <c r="T4563"/>
      <c r="U4563"/>
      <c r="X4563" s="60"/>
    </row>
    <row r="4564" spans="7:24" ht="15" customHeight="1">
      <c r="G4564"/>
      <c r="I4564"/>
      <c r="N4564"/>
      <c r="O4564" s="24"/>
      <c r="P4564"/>
      <c r="Q4564" s="24"/>
      <c r="R4564"/>
      <c r="S4564"/>
      <c r="T4564"/>
      <c r="U4564"/>
      <c r="X4564" s="60"/>
    </row>
    <row r="4565" spans="7:24" ht="15" customHeight="1">
      <c r="G4565"/>
      <c r="I4565"/>
      <c r="N4565"/>
      <c r="O4565" s="24"/>
      <c r="P4565"/>
      <c r="Q4565" s="24"/>
      <c r="R4565"/>
      <c r="S4565"/>
      <c r="T4565"/>
      <c r="U4565"/>
      <c r="X4565" s="60"/>
    </row>
    <row r="4566" spans="7:24" ht="15" customHeight="1">
      <c r="G4566"/>
      <c r="I4566"/>
      <c r="N4566"/>
      <c r="O4566" s="24"/>
      <c r="P4566"/>
      <c r="Q4566" s="24"/>
      <c r="R4566"/>
      <c r="S4566"/>
      <c r="T4566"/>
      <c r="U4566"/>
      <c r="X4566" s="60"/>
    </row>
    <row r="4567" spans="7:24" ht="15" customHeight="1">
      <c r="G4567"/>
      <c r="I4567"/>
      <c r="N4567"/>
      <c r="O4567" s="24"/>
      <c r="P4567"/>
      <c r="Q4567" s="24"/>
      <c r="R4567"/>
      <c r="S4567"/>
      <c r="T4567"/>
      <c r="U4567"/>
      <c r="X4567" s="60"/>
    </row>
    <row r="4568" spans="7:24" ht="15" customHeight="1">
      <c r="G4568"/>
      <c r="I4568"/>
      <c r="N4568"/>
      <c r="O4568" s="24"/>
      <c r="P4568"/>
      <c r="Q4568" s="24"/>
      <c r="R4568"/>
      <c r="S4568"/>
      <c r="T4568"/>
      <c r="U4568"/>
      <c r="X4568" s="60"/>
    </row>
    <row r="4569" spans="7:24" ht="15" customHeight="1">
      <c r="G4569"/>
      <c r="I4569"/>
      <c r="N4569"/>
      <c r="O4569" s="24"/>
      <c r="P4569"/>
      <c r="Q4569" s="24"/>
      <c r="R4569"/>
      <c r="S4569"/>
      <c r="T4569"/>
      <c r="U4569"/>
      <c r="X4569" s="60"/>
    </row>
    <row r="4570" spans="7:24" ht="15" customHeight="1">
      <c r="G4570"/>
      <c r="I4570"/>
      <c r="N4570"/>
      <c r="O4570" s="24"/>
      <c r="P4570"/>
      <c r="Q4570" s="24"/>
      <c r="R4570"/>
      <c r="S4570"/>
      <c r="T4570"/>
      <c r="U4570"/>
      <c r="X4570" s="60"/>
    </row>
    <row r="4571" spans="7:24" ht="15" customHeight="1">
      <c r="G4571"/>
      <c r="I4571"/>
      <c r="N4571"/>
      <c r="O4571" s="24"/>
      <c r="P4571"/>
      <c r="Q4571" s="24"/>
      <c r="R4571"/>
      <c r="S4571"/>
      <c r="T4571"/>
      <c r="U4571"/>
      <c r="X4571" s="60"/>
    </row>
    <row r="4572" spans="7:24" ht="15" customHeight="1">
      <c r="G4572"/>
      <c r="I4572"/>
      <c r="N4572"/>
      <c r="O4572" s="24"/>
      <c r="P4572"/>
      <c r="Q4572" s="24"/>
      <c r="R4572"/>
      <c r="S4572"/>
      <c r="T4572"/>
      <c r="U4572"/>
      <c r="X4572" s="60"/>
    </row>
    <row r="4573" spans="7:24" ht="15" customHeight="1">
      <c r="G4573"/>
      <c r="I4573"/>
      <c r="N4573"/>
      <c r="O4573" s="24"/>
      <c r="P4573"/>
      <c r="Q4573" s="24"/>
      <c r="R4573"/>
      <c r="S4573"/>
      <c r="T4573"/>
      <c r="U4573"/>
      <c r="X4573" s="60"/>
    </row>
    <row r="4574" spans="7:24" ht="15" customHeight="1">
      <c r="G4574"/>
      <c r="I4574"/>
      <c r="N4574"/>
      <c r="O4574" s="24"/>
      <c r="P4574"/>
      <c r="Q4574" s="24"/>
      <c r="R4574"/>
      <c r="S4574"/>
      <c r="T4574"/>
      <c r="U4574"/>
      <c r="X4574" s="60"/>
    </row>
    <row r="4575" spans="7:24" ht="15" customHeight="1">
      <c r="G4575"/>
      <c r="I4575"/>
      <c r="N4575"/>
      <c r="O4575" s="24"/>
      <c r="P4575"/>
      <c r="Q4575" s="24"/>
      <c r="R4575"/>
      <c r="S4575"/>
      <c r="T4575"/>
      <c r="U4575"/>
      <c r="X4575" s="60"/>
    </row>
    <row r="4576" spans="7:24" ht="15" customHeight="1">
      <c r="G4576"/>
      <c r="I4576"/>
      <c r="N4576"/>
      <c r="O4576" s="24"/>
      <c r="P4576"/>
      <c r="Q4576" s="24"/>
      <c r="R4576"/>
      <c r="S4576"/>
      <c r="T4576"/>
      <c r="U4576"/>
      <c r="X4576" s="60"/>
    </row>
    <row r="4577" spans="7:24" ht="15" customHeight="1">
      <c r="G4577"/>
      <c r="I4577"/>
      <c r="N4577"/>
      <c r="O4577" s="24"/>
      <c r="P4577"/>
      <c r="Q4577" s="24"/>
      <c r="R4577"/>
      <c r="S4577"/>
      <c r="T4577"/>
      <c r="U4577"/>
      <c r="X4577" s="60"/>
    </row>
    <row r="4578" spans="7:24" ht="15" customHeight="1">
      <c r="G4578"/>
      <c r="I4578"/>
      <c r="N4578"/>
      <c r="O4578" s="24"/>
      <c r="P4578"/>
      <c r="Q4578" s="24"/>
      <c r="R4578"/>
      <c r="S4578"/>
      <c r="T4578"/>
      <c r="U4578"/>
      <c r="X4578" s="60"/>
    </row>
    <row r="4579" spans="7:24" ht="15" customHeight="1">
      <c r="G4579"/>
      <c r="I4579"/>
      <c r="N4579"/>
      <c r="O4579" s="24"/>
      <c r="P4579"/>
      <c r="Q4579" s="24"/>
      <c r="R4579"/>
      <c r="S4579"/>
      <c r="T4579"/>
      <c r="U4579"/>
      <c r="X4579" s="60"/>
    </row>
    <row r="4580" spans="7:24" ht="15" customHeight="1">
      <c r="G4580"/>
      <c r="I4580"/>
      <c r="N4580"/>
      <c r="O4580" s="24"/>
      <c r="P4580"/>
      <c r="Q4580" s="24"/>
      <c r="R4580"/>
      <c r="S4580"/>
      <c r="T4580"/>
      <c r="U4580"/>
      <c r="X4580" s="60"/>
    </row>
    <row r="4581" spans="7:24" ht="15" customHeight="1">
      <c r="G4581"/>
      <c r="I4581"/>
      <c r="N4581"/>
      <c r="O4581" s="24"/>
      <c r="P4581"/>
      <c r="Q4581" s="24"/>
      <c r="R4581"/>
      <c r="S4581"/>
      <c r="T4581"/>
      <c r="U4581"/>
      <c r="X4581" s="60"/>
    </row>
    <row r="4582" spans="7:24" ht="15" customHeight="1">
      <c r="G4582"/>
      <c r="I4582"/>
      <c r="N4582"/>
      <c r="O4582" s="24"/>
      <c r="P4582"/>
      <c r="Q4582" s="24"/>
      <c r="R4582"/>
      <c r="S4582"/>
      <c r="T4582"/>
      <c r="U4582"/>
      <c r="X4582" s="60"/>
    </row>
    <row r="4583" spans="7:24" ht="15" customHeight="1">
      <c r="G4583"/>
      <c r="I4583"/>
      <c r="N4583"/>
      <c r="O4583" s="24"/>
      <c r="P4583"/>
      <c r="Q4583" s="24"/>
      <c r="R4583"/>
      <c r="S4583"/>
      <c r="T4583"/>
      <c r="U4583"/>
      <c r="X4583" s="60"/>
    </row>
    <row r="4584" spans="7:24" ht="15" customHeight="1">
      <c r="G4584"/>
      <c r="I4584"/>
      <c r="N4584"/>
      <c r="O4584" s="24"/>
      <c r="P4584"/>
      <c r="Q4584" s="24"/>
      <c r="R4584"/>
      <c r="S4584"/>
      <c r="T4584"/>
      <c r="U4584"/>
      <c r="X4584" s="60"/>
    </row>
    <row r="4585" spans="7:24" ht="15" customHeight="1">
      <c r="G4585"/>
      <c r="I4585"/>
      <c r="N4585"/>
      <c r="O4585" s="24"/>
      <c r="P4585"/>
      <c r="Q4585" s="24"/>
      <c r="R4585"/>
      <c r="S4585"/>
      <c r="T4585"/>
      <c r="U4585"/>
      <c r="X4585" s="60"/>
    </row>
    <row r="4586" spans="7:24" ht="15" customHeight="1">
      <c r="G4586"/>
      <c r="I4586"/>
      <c r="N4586"/>
      <c r="O4586" s="24"/>
      <c r="P4586"/>
      <c r="Q4586" s="24"/>
      <c r="R4586"/>
      <c r="S4586"/>
      <c r="T4586"/>
      <c r="U4586"/>
      <c r="X4586" s="60"/>
    </row>
    <row r="4587" spans="7:24" ht="15" customHeight="1">
      <c r="G4587"/>
      <c r="I4587"/>
      <c r="N4587"/>
      <c r="O4587" s="24"/>
      <c r="P4587"/>
      <c r="Q4587" s="24"/>
      <c r="R4587"/>
      <c r="S4587"/>
      <c r="T4587"/>
      <c r="U4587"/>
      <c r="X4587" s="60"/>
    </row>
    <row r="4588" spans="7:24" ht="15" customHeight="1">
      <c r="G4588"/>
      <c r="I4588"/>
      <c r="N4588"/>
      <c r="O4588" s="24"/>
      <c r="P4588"/>
      <c r="Q4588" s="24"/>
      <c r="R4588"/>
      <c r="S4588"/>
      <c r="T4588"/>
      <c r="U4588"/>
      <c r="X4588" s="60"/>
    </row>
    <row r="4589" spans="7:24" ht="15" customHeight="1">
      <c r="G4589"/>
      <c r="I4589"/>
      <c r="N4589"/>
      <c r="O4589" s="24"/>
      <c r="P4589"/>
      <c r="Q4589" s="24"/>
      <c r="R4589"/>
      <c r="S4589"/>
      <c r="T4589"/>
      <c r="U4589"/>
      <c r="X4589" s="60"/>
    </row>
    <row r="4590" spans="7:24" ht="15" customHeight="1">
      <c r="G4590"/>
      <c r="I4590"/>
      <c r="N4590"/>
      <c r="O4590" s="24"/>
      <c r="P4590"/>
      <c r="Q4590" s="24"/>
      <c r="R4590"/>
      <c r="S4590"/>
      <c r="T4590"/>
      <c r="U4590"/>
      <c r="X4590" s="60"/>
    </row>
    <row r="4591" spans="7:24" ht="15" customHeight="1">
      <c r="G4591"/>
      <c r="I4591"/>
      <c r="N4591"/>
      <c r="O4591" s="24"/>
      <c r="P4591"/>
      <c r="Q4591" s="24"/>
      <c r="R4591"/>
      <c r="S4591"/>
      <c r="T4591"/>
      <c r="U4591"/>
      <c r="X4591" s="60"/>
    </row>
    <row r="4592" spans="7:24" ht="15" customHeight="1">
      <c r="G4592"/>
      <c r="I4592"/>
      <c r="N4592"/>
      <c r="O4592" s="24"/>
      <c r="P4592"/>
      <c r="Q4592" s="24"/>
      <c r="R4592"/>
      <c r="S4592"/>
      <c r="T4592"/>
      <c r="U4592"/>
      <c r="X4592" s="60"/>
    </row>
    <row r="4593" spans="7:24" ht="15" customHeight="1">
      <c r="G4593"/>
      <c r="I4593"/>
      <c r="N4593"/>
      <c r="O4593" s="24"/>
      <c r="P4593"/>
      <c r="Q4593" s="24"/>
      <c r="R4593"/>
      <c r="S4593"/>
      <c r="T4593"/>
      <c r="U4593"/>
      <c r="X4593" s="60"/>
    </row>
    <row r="4594" spans="7:24" ht="15" customHeight="1">
      <c r="G4594"/>
      <c r="I4594"/>
      <c r="N4594"/>
      <c r="O4594" s="24"/>
      <c r="P4594"/>
      <c r="Q4594" s="24"/>
      <c r="R4594"/>
      <c r="S4594"/>
      <c r="T4594"/>
      <c r="U4594"/>
      <c r="X4594" s="60"/>
    </row>
    <row r="4595" spans="7:24" ht="15" customHeight="1">
      <c r="G4595"/>
      <c r="I4595"/>
      <c r="N4595"/>
      <c r="O4595" s="24"/>
      <c r="P4595"/>
      <c r="Q4595" s="24"/>
      <c r="R4595"/>
      <c r="S4595"/>
      <c r="T4595"/>
      <c r="U4595"/>
      <c r="X4595" s="60"/>
    </row>
    <row r="4596" spans="7:24" ht="15" customHeight="1">
      <c r="G4596"/>
      <c r="I4596"/>
      <c r="N4596"/>
      <c r="O4596" s="24"/>
      <c r="P4596"/>
      <c r="Q4596" s="24"/>
      <c r="R4596"/>
      <c r="S4596"/>
      <c r="T4596"/>
      <c r="U4596"/>
      <c r="X4596" s="60"/>
    </row>
    <row r="4597" spans="7:24" ht="15" customHeight="1">
      <c r="G4597"/>
      <c r="I4597"/>
      <c r="N4597"/>
      <c r="O4597" s="24"/>
      <c r="P4597"/>
      <c r="Q4597" s="24"/>
      <c r="R4597"/>
      <c r="S4597"/>
      <c r="T4597"/>
      <c r="U4597"/>
      <c r="X4597" s="60"/>
    </row>
    <row r="4598" spans="7:24" ht="15" customHeight="1">
      <c r="G4598"/>
      <c r="I4598"/>
      <c r="N4598"/>
      <c r="O4598" s="24"/>
      <c r="P4598"/>
      <c r="Q4598" s="24"/>
      <c r="R4598"/>
      <c r="S4598"/>
      <c r="T4598"/>
      <c r="U4598"/>
      <c r="X4598" s="60"/>
    </row>
    <row r="4599" spans="7:24" ht="15" customHeight="1">
      <c r="G4599"/>
      <c r="I4599"/>
      <c r="N4599"/>
      <c r="O4599" s="24"/>
      <c r="P4599"/>
      <c r="Q4599" s="24"/>
      <c r="R4599"/>
      <c r="S4599"/>
      <c r="T4599"/>
      <c r="U4599"/>
      <c r="X4599" s="60"/>
    </row>
    <row r="4600" spans="7:24" ht="15" customHeight="1">
      <c r="G4600"/>
      <c r="I4600"/>
      <c r="N4600"/>
      <c r="O4600" s="24"/>
      <c r="P4600"/>
      <c r="Q4600" s="24"/>
      <c r="R4600"/>
      <c r="S4600"/>
      <c r="T4600"/>
      <c r="U4600"/>
      <c r="X4600" s="60"/>
    </row>
    <row r="4601" spans="7:24" ht="15" customHeight="1">
      <c r="G4601"/>
      <c r="I4601"/>
      <c r="N4601"/>
      <c r="O4601" s="24"/>
      <c r="P4601"/>
      <c r="Q4601" s="24"/>
      <c r="R4601"/>
      <c r="S4601"/>
      <c r="T4601"/>
      <c r="U4601"/>
      <c r="X4601" s="60"/>
    </row>
    <row r="4602" spans="7:24" ht="15" customHeight="1">
      <c r="G4602"/>
      <c r="I4602"/>
      <c r="N4602"/>
      <c r="O4602" s="24"/>
      <c r="P4602"/>
      <c r="Q4602" s="24"/>
      <c r="R4602"/>
      <c r="S4602"/>
      <c r="T4602"/>
      <c r="U4602"/>
      <c r="X4602" s="60"/>
    </row>
    <row r="4603" spans="7:24" ht="15" customHeight="1">
      <c r="G4603"/>
      <c r="I4603"/>
      <c r="N4603"/>
      <c r="O4603" s="24"/>
      <c r="P4603"/>
      <c r="Q4603" s="24"/>
      <c r="R4603"/>
      <c r="S4603"/>
      <c r="T4603"/>
      <c r="U4603"/>
      <c r="X4603" s="60"/>
    </row>
    <row r="4604" spans="7:24" ht="15" customHeight="1">
      <c r="G4604"/>
      <c r="I4604"/>
      <c r="N4604"/>
      <c r="O4604" s="24"/>
      <c r="P4604"/>
      <c r="Q4604" s="24"/>
      <c r="R4604"/>
      <c r="S4604"/>
      <c r="T4604"/>
      <c r="U4604"/>
      <c r="X4604" s="60"/>
    </row>
    <row r="4605" spans="7:24" ht="15" customHeight="1">
      <c r="G4605"/>
      <c r="I4605"/>
      <c r="N4605"/>
      <c r="O4605" s="24"/>
      <c r="P4605"/>
      <c r="Q4605" s="24"/>
      <c r="R4605"/>
      <c r="S4605"/>
      <c r="T4605"/>
      <c r="U4605"/>
      <c r="X4605" s="60"/>
    </row>
    <row r="4606" spans="7:24" ht="15" customHeight="1">
      <c r="G4606"/>
      <c r="I4606"/>
      <c r="N4606"/>
      <c r="O4606" s="24"/>
      <c r="P4606"/>
      <c r="Q4606" s="24"/>
      <c r="R4606"/>
      <c r="S4606"/>
      <c r="T4606"/>
      <c r="U4606"/>
      <c r="X4606" s="60"/>
    </row>
    <row r="4607" spans="7:24" ht="15" customHeight="1">
      <c r="G4607"/>
      <c r="I4607"/>
      <c r="N4607"/>
      <c r="O4607" s="24"/>
      <c r="P4607"/>
      <c r="Q4607" s="24"/>
      <c r="R4607"/>
      <c r="S4607"/>
      <c r="T4607"/>
      <c r="U4607"/>
      <c r="X4607" s="60"/>
    </row>
    <row r="4608" spans="7:24" ht="15" customHeight="1">
      <c r="G4608"/>
      <c r="I4608"/>
      <c r="N4608"/>
      <c r="O4608" s="24"/>
      <c r="P4608"/>
      <c r="Q4608" s="24"/>
      <c r="R4608"/>
      <c r="S4608"/>
      <c r="T4608"/>
      <c r="U4608"/>
      <c r="X4608" s="60"/>
    </row>
    <row r="4609" spans="7:24" ht="15" customHeight="1">
      <c r="G4609"/>
      <c r="I4609"/>
      <c r="N4609"/>
      <c r="O4609" s="24"/>
      <c r="P4609"/>
      <c r="Q4609" s="24"/>
      <c r="R4609"/>
      <c r="S4609"/>
      <c r="T4609"/>
      <c r="U4609"/>
      <c r="X4609" s="60"/>
    </row>
    <row r="4610" spans="7:24" ht="15" customHeight="1">
      <c r="G4610"/>
      <c r="I4610"/>
      <c r="N4610"/>
      <c r="O4610" s="24"/>
      <c r="P4610"/>
      <c r="Q4610" s="24"/>
      <c r="R4610"/>
      <c r="S4610"/>
      <c r="T4610"/>
      <c r="U4610"/>
      <c r="X4610" s="60"/>
    </row>
    <row r="4611" spans="7:24" ht="15" customHeight="1">
      <c r="G4611"/>
      <c r="I4611"/>
      <c r="N4611"/>
      <c r="O4611" s="24"/>
      <c r="P4611"/>
      <c r="Q4611" s="24"/>
      <c r="R4611"/>
      <c r="S4611"/>
      <c r="T4611"/>
      <c r="U4611"/>
      <c r="X4611" s="60"/>
    </row>
    <row r="4612" spans="7:24" ht="15" customHeight="1">
      <c r="G4612"/>
      <c r="I4612"/>
      <c r="N4612"/>
      <c r="O4612" s="24"/>
      <c r="P4612"/>
      <c r="Q4612" s="24"/>
      <c r="R4612"/>
      <c r="S4612"/>
      <c r="T4612"/>
      <c r="U4612"/>
      <c r="X4612" s="60"/>
    </row>
    <row r="4613" spans="7:24" ht="15" customHeight="1">
      <c r="G4613"/>
      <c r="I4613"/>
      <c r="N4613"/>
      <c r="O4613" s="24"/>
      <c r="P4613"/>
      <c r="Q4613" s="24"/>
      <c r="R4613"/>
      <c r="S4613"/>
      <c r="T4613"/>
      <c r="U4613"/>
      <c r="X4613" s="60"/>
    </row>
    <row r="4614" spans="7:24" ht="15" customHeight="1">
      <c r="G4614"/>
      <c r="I4614"/>
      <c r="N4614"/>
      <c r="O4614" s="24"/>
      <c r="P4614"/>
      <c r="Q4614" s="24"/>
      <c r="R4614"/>
      <c r="S4614"/>
      <c r="T4614"/>
      <c r="U4614"/>
      <c r="X4614" s="60"/>
    </row>
    <row r="4615" spans="7:24" ht="15" customHeight="1">
      <c r="G4615"/>
      <c r="I4615"/>
      <c r="N4615"/>
      <c r="O4615" s="24"/>
      <c r="P4615"/>
      <c r="Q4615" s="24"/>
      <c r="R4615"/>
      <c r="S4615"/>
      <c r="T4615"/>
      <c r="U4615"/>
      <c r="X4615" s="60"/>
    </row>
    <row r="4616" spans="7:24" ht="15" customHeight="1">
      <c r="G4616"/>
      <c r="I4616"/>
      <c r="N4616"/>
      <c r="O4616" s="24"/>
      <c r="P4616"/>
      <c r="Q4616" s="24"/>
      <c r="R4616"/>
      <c r="S4616"/>
      <c r="T4616"/>
      <c r="U4616"/>
      <c r="X4616" s="60"/>
    </row>
    <row r="4617" spans="7:24" ht="15" customHeight="1">
      <c r="G4617"/>
      <c r="I4617"/>
      <c r="N4617"/>
      <c r="O4617" s="24"/>
      <c r="P4617"/>
      <c r="Q4617" s="24"/>
      <c r="R4617"/>
      <c r="S4617"/>
      <c r="T4617"/>
      <c r="U4617"/>
      <c r="X4617" s="60"/>
    </row>
    <row r="4618" spans="7:24" ht="15" customHeight="1">
      <c r="G4618"/>
      <c r="I4618"/>
      <c r="N4618"/>
      <c r="O4618" s="24"/>
      <c r="P4618"/>
      <c r="Q4618" s="24"/>
      <c r="R4618"/>
      <c r="S4618"/>
      <c r="T4618"/>
      <c r="U4618"/>
      <c r="X4618" s="60"/>
    </row>
    <row r="4619" spans="7:24" ht="15" customHeight="1">
      <c r="G4619"/>
      <c r="I4619"/>
      <c r="N4619"/>
      <c r="O4619" s="24"/>
      <c r="P4619"/>
      <c r="Q4619" s="24"/>
      <c r="R4619"/>
      <c r="S4619"/>
      <c r="T4619"/>
      <c r="U4619"/>
      <c r="X4619" s="60"/>
    </row>
    <row r="4620" spans="7:24" ht="15" customHeight="1">
      <c r="G4620"/>
      <c r="I4620"/>
      <c r="N4620"/>
      <c r="O4620" s="24"/>
      <c r="P4620"/>
      <c r="Q4620" s="24"/>
      <c r="R4620"/>
      <c r="S4620"/>
      <c r="T4620"/>
      <c r="U4620"/>
      <c r="X4620" s="60"/>
    </row>
    <row r="4621" spans="7:24" ht="15" customHeight="1">
      <c r="G4621"/>
      <c r="I4621"/>
      <c r="N4621"/>
      <c r="O4621" s="24"/>
      <c r="P4621"/>
      <c r="Q4621" s="24"/>
      <c r="R4621"/>
      <c r="S4621"/>
      <c r="T4621"/>
      <c r="U4621"/>
      <c r="X4621" s="60"/>
    </row>
    <row r="4622" spans="7:24" ht="15" customHeight="1">
      <c r="G4622"/>
      <c r="I4622"/>
      <c r="N4622"/>
      <c r="O4622" s="24"/>
      <c r="P4622"/>
      <c r="Q4622" s="24"/>
      <c r="R4622"/>
      <c r="S4622"/>
      <c r="T4622"/>
      <c r="U4622"/>
      <c r="X4622" s="60"/>
    </row>
    <row r="4623" spans="7:24" ht="15" customHeight="1">
      <c r="G4623"/>
      <c r="I4623"/>
      <c r="N4623"/>
      <c r="O4623" s="24"/>
      <c r="P4623"/>
      <c r="Q4623" s="24"/>
      <c r="R4623"/>
      <c r="S4623"/>
      <c r="T4623"/>
      <c r="U4623"/>
      <c r="X4623" s="60"/>
    </row>
    <row r="4624" spans="7:24" ht="15" customHeight="1">
      <c r="G4624"/>
      <c r="I4624"/>
      <c r="N4624"/>
      <c r="O4624" s="24"/>
      <c r="P4624"/>
      <c r="Q4624" s="24"/>
      <c r="R4624"/>
      <c r="S4624"/>
      <c r="T4624"/>
      <c r="U4624"/>
      <c r="X4624" s="60"/>
    </row>
    <row r="4625" spans="7:24" ht="15" customHeight="1">
      <c r="G4625"/>
      <c r="I4625"/>
      <c r="N4625"/>
      <c r="O4625" s="24"/>
      <c r="P4625"/>
      <c r="Q4625" s="24"/>
      <c r="R4625"/>
      <c r="S4625"/>
      <c r="T4625"/>
      <c r="U4625"/>
      <c r="X4625" s="60"/>
    </row>
    <row r="4626" spans="7:24" ht="15" customHeight="1">
      <c r="G4626"/>
      <c r="I4626"/>
      <c r="N4626"/>
      <c r="O4626" s="24"/>
      <c r="P4626"/>
      <c r="Q4626" s="24"/>
      <c r="R4626"/>
      <c r="S4626"/>
      <c r="T4626"/>
      <c r="U4626"/>
      <c r="X4626" s="60"/>
    </row>
    <row r="4627" spans="7:24" ht="15" customHeight="1">
      <c r="G4627"/>
      <c r="I4627"/>
      <c r="N4627"/>
      <c r="O4627" s="24"/>
      <c r="P4627"/>
      <c r="Q4627" s="24"/>
      <c r="R4627"/>
      <c r="S4627"/>
      <c r="T4627"/>
      <c r="U4627"/>
      <c r="X4627" s="60"/>
    </row>
    <row r="4628" spans="7:24" ht="15" customHeight="1">
      <c r="G4628"/>
      <c r="I4628"/>
      <c r="N4628"/>
      <c r="O4628" s="24"/>
      <c r="P4628"/>
      <c r="Q4628" s="24"/>
      <c r="R4628"/>
      <c r="S4628"/>
      <c r="T4628"/>
      <c r="U4628"/>
      <c r="X4628" s="60"/>
    </row>
    <row r="4629" spans="7:24" ht="15" customHeight="1">
      <c r="G4629"/>
      <c r="I4629"/>
      <c r="N4629"/>
      <c r="O4629" s="24"/>
      <c r="P4629"/>
      <c r="Q4629" s="24"/>
      <c r="R4629"/>
      <c r="S4629"/>
      <c r="T4629"/>
      <c r="U4629"/>
      <c r="X4629" s="60"/>
    </row>
    <row r="4630" spans="7:24" ht="15" customHeight="1">
      <c r="G4630"/>
      <c r="I4630"/>
      <c r="N4630"/>
      <c r="O4630" s="24"/>
      <c r="P4630"/>
      <c r="Q4630" s="24"/>
      <c r="R4630"/>
      <c r="S4630"/>
      <c r="T4630"/>
      <c r="U4630"/>
      <c r="X4630" s="60"/>
    </row>
    <row r="4631" spans="7:24" ht="15" customHeight="1">
      <c r="G4631"/>
      <c r="I4631"/>
      <c r="N4631"/>
      <c r="O4631" s="24"/>
      <c r="P4631"/>
      <c r="Q4631" s="24"/>
      <c r="R4631"/>
      <c r="S4631"/>
      <c r="T4631"/>
      <c r="U4631"/>
      <c r="X4631" s="60"/>
    </row>
    <row r="4632" spans="7:24" ht="15" customHeight="1">
      <c r="G4632"/>
      <c r="I4632"/>
      <c r="N4632"/>
      <c r="O4632" s="24"/>
      <c r="P4632"/>
      <c r="Q4632" s="24"/>
      <c r="R4632"/>
      <c r="S4632"/>
      <c r="T4632"/>
      <c r="U4632"/>
      <c r="X4632" s="60"/>
    </row>
    <row r="4633" spans="7:24" ht="15" customHeight="1">
      <c r="G4633"/>
      <c r="I4633"/>
      <c r="N4633"/>
      <c r="O4633" s="24"/>
      <c r="P4633"/>
      <c r="Q4633" s="24"/>
      <c r="R4633"/>
      <c r="S4633"/>
      <c r="T4633"/>
      <c r="U4633"/>
      <c r="X4633" s="60"/>
    </row>
    <row r="4634" spans="7:24" ht="15" customHeight="1">
      <c r="G4634"/>
      <c r="I4634"/>
      <c r="N4634"/>
      <c r="O4634" s="24"/>
      <c r="P4634"/>
      <c r="Q4634" s="24"/>
      <c r="R4634"/>
      <c r="S4634"/>
      <c r="T4634"/>
      <c r="U4634"/>
      <c r="X4634" s="60"/>
    </row>
    <row r="4635" spans="7:24" ht="15" customHeight="1">
      <c r="G4635"/>
      <c r="I4635"/>
      <c r="N4635"/>
      <c r="O4635" s="24"/>
      <c r="P4635"/>
      <c r="Q4635" s="24"/>
      <c r="R4635"/>
      <c r="S4635"/>
      <c r="T4635"/>
      <c r="U4635"/>
      <c r="X4635" s="60"/>
    </row>
    <row r="4636" spans="7:24" ht="15" customHeight="1">
      <c r="G4636"/>
      <c r="I4636"/>
      <c r="N4636"/>
      <c r="O4636" s="24"/>
      <c r="P4636"/>
      <c r="Q4636" s="24"/>
      <c r="R4636"/>
      <c r="S4636"/>
      <c r="T4636"/>
      <c r="U4636"/>
      <c r="X4636" s="60"/>
    </row>
    <row r="4637" spans="7:24" ht="15" customHeight="1">
      <c r="G4637"/>
      <c r="I4637"/>
      <c r="N4637"/>
      <c r="O4637" s="24"/>
      <c r="P4637"/>
      <c r="Q4637" s="24"/>
      <c r="R4637"/>
      <c r="S4637"/>
      <c r="T4637"/>
      <c r="U4637"/>
      <c r="X4637" s="60"/>
    </row>
    <row r="4638" spans="7:24" ht="15" customHeight="1">
      <c r="G4638"/>
      <c r="I4638"/>
      <c r="N4638"/>
      <c r="O4638" s="24"/>
      <c r="P4638"/>
      <c r="Q4638" s="24"/>
      <c r="R4638"/>
      <c r="S4638"/>
      <c r="T4638"/>
      <c r="U4638"/>
      <c r="X4638" s="60"/>
    </row>
    <row r="4639" spans="7:24" ht="15" customHeight="1">
      <c r="G4639"/>
      <c r="I4639"/>
      <c r="N4639"/>
      <c r="O4639" s="24"/>
      <c r="P4639"/>
      <c r="Q4639" s="24"/>
      <c r="R4639"/>
      <c r="S4639"/>
      <c r="T4639"/>
      <c r="U4639"/>
      <c r="X4639" s="60"/>
    </row>
    <row r="4640" spans="7:24" ht="15" customHeight="1">
      <c r="G4640"/>
      <c r="I4640"/>
      <c r="N4640"/>
      <c r="O4640" s="24"/>
      <c r="P4640"/>
      <c r="Q4640" s="24"/>
      <c r="R4640"/>
      <c r="S4640"/>
      <c r="T4640"/>
      <c r="U4640"/>
      <c r="X4640" s="60"/>
    </row>
    <row r="4641" spans="7:24" ht="15" customHeight="1">
      <c r="G4641"/>
      <c r="I4641"/>
      <c r="N4641"/>
      <c r="O4641" s="24"/>
      <c r="P4641"/>
      <c r="Q4641" s="24"/>
      <c r="R4641"/>
      <c r="S4641"/>
      <c r="T4641"/>
      <c r="U4641"/>
      <c r="X4641" s="60"/>
    </row>
    <row r="4642" spans="7:24" ht="15" customHeight="1">
      <c r="G4642"/>
      <c r="I4642"/>
      <c r="N4642"/>
      <c r="O4642" s="24"/>
      <c r="P4642"/>
      <c r="Q4642" s="24"/>
      <c r="R4642"/>
      <c r="S4642"/>
      <c r="T4642"/>
      <c r="U4642"/>
      <c r="X4642" s="60"/>
    </row>
    <row r="4643" spans="7:24" ht="15" customHeight="1">
      <c r="G4643"/>
      <c r="I4643"/>
      <c r="N4643"/>
      <c r="O4643" s="24"/>
      <c r="P4643"/>
      <c r="Q4643" s="24"/>
      <c r="R4643"/>
      <c r="S4643"/>
      <c r="T4643"/>
      <c r="U4643"/>
      <c r="X4643" s="60"/>
    </row>
    <row r="4644" spans="7:24" ht="15" customHeight="1">
      <c r="G4644"/>
      <c r="I4644"/>
      <c r="N4644"/>
      <c r="O4644" s="24"/>
      <c r="P4644"/>
      <c r="Q4644" s="24"/>
      <c r="R4644"/>
      <c r="S4644"/>
      <c r="T4644"/>
      <c r="U4644"/>
      <c r="X4644" s="60"/>
    </row>
    <row r="4645" spans="7:24" ht="15" customHeight="1">
      <c r="G4645"/>
      <c r="I4645"/>
      <c r="N4645"/>
      <c r="O4645" s="24"/>
      <c r="P4645"/>
      <c r="Q4645" s="24"/>
      <c r="R4645"/>
      <c r="S4645"/>
      <c r="T4645"/>
      <c r="U4645"/>
      <c r="X4645" s="60"/>
    </row>
    <row r="4646" spans="7:24" ht="15" customHeight="1">
      <c r="G4646"/>
      <c r="I4646"/>
      <c r="N4646"/>
      <c r="O4646" s="24"/>
      <c r="P4646"/>
      <c r="Q4646" s="24"/>
      <c r="R4646"/>
      <c r="S4646"/>
      <c r="T4646"/>
      <c r="U4646"/>
      <c r="X4646" s="60"/>
    </row>
    <row r="4647" spans="7:24" ht="15" customHeight="1">
      <c r="G4647"/>
      <c r="I4647"/>
      <c r="N4647"/>
      <c r="O4647" s="24"/>
      <c r="P4647"/>
      <c r="Q4647" s="24"/>
      <c r="R4647"/>
      <c r="S4647"/>
      <c r="T4647"/>
      <c r="U4647"/>
      <c r="X4647" s="60"/>
    </row>
    <row r="4648" spans="7:24" ht="15" customHeight="1">
      <c r="G4648"/>
      <c r="I4648"/>
      <c r="N4648"/>
      <c r="O4648" s="24"/>
      <c r="P4648"/>
      <c r="Q4648" s="24"/>
      <c r="R4648"/>
      <c r="S4648"/>
      <c r="T4648"/>
      <c r="U4648"/>
      <c r="X4648" s="60"/>
    </row>
    <row r="4649" spans="7:24" ht="15" customHeight="1">
      <c r="G4649"/>
      <c r="I4649"/>
      <c r="N4649"/>
      <c r="O4649" s="24"/>
      <c r="P4649"/>
      <c r="Q4649" s="24"/>
      <c r="R4649"/>
      <c r="S4649"/>
      <c r="T4649"/>
      <c r="U4649"/>
      <c r="X4649" s="60"/>
    </row>
    <row r="4650" spans="7:24" ht="15" customHeight="1">
      <c r="G4650"/>
      <c r="I4650"/>
      <c r="N4650"/>
      <c r="O4650" s="24"/>
      <c r="P4650"/>
      <c r="Q4650" s="24"/>
      <c r="R4650"/>
      <c r="S4650"/>
      <c r="T4650"/>
      <c r="U4650"/>
      <c r="X4650" s="60"/>
    </row>
    <row r="4651" spans="7:24" ht="15" customHeight="1">
      <c r="G4651"/>
      <c r="I4651"/>
      <c r="N4651"/>
      <c r="O4651" s="24"/>
      <c r="P4651"/>
      <c r="Q4651" s="24"/>
      <c r="R4651"/>
      <c r="S4651"/>
      <c r="T4651"/>
      <c r="U4651"/>
      <c r="X4651" s="60"/>
    </row>
    <row r="4652" spans="7:24" ht="15" customHeight="1">
      <c r="G4652"/>
      <c r="I4652"/>
      <c r="N4652"/>
      <c r="O4652" s="24"/>
      <c r="P4652"/>
      <c r="Q4652" s="24"/>
      <c r="R4652"/>
      <c r="S4652"/>
      <c r="T4652"/>
      <c r="U4652"/>
      <c r="X4652" s="60"/>
    </row>
    <row r="4653" spans="7:24" ht="15" customHeight="1">
      <c r="G4653"/>
      <c r="I4653"/>
      <c r="N4653"/>
      <c r="O4653" s="24"/>
      <c r="P4653"/>
      <c r="Q4653" s="24"/>
      <c r="R4653"/>
      <c r="S4653"/>
      <c r="T4653"/>
      <c r="U4653"/>
      <c r="X4653" s="60"/>
    </row>
    <row r="4654" spans="7:24" ht="15" customHeight="1">
      <c r="G4654"/>
      <c r="I4654"/>
      <c r="N4654"/>
      <c r="O4654" s="24"/>
      <c r="P4654"/>
      <c r="Q4654" s="24"/>
      <c r="R4654"/>
      <c r="S4654"/>
      <c r="T4654"/>
      <c r="U4654"/>
      <c r="X4654" s="60"/>
    </row>
    <row r="4655" spans="7:24" ht="15" customHeight="1">
      <c r="G4655"/>
      <c r="I4655"/>
      <c r="N4655"/>
      <c r="O4655" s="24"/>
      <c r="P4655"/>
      <c r="Q4655" s="24"/>
      <c r="R4655"/>
      <c r="S4655"/>
      <c r="T4655"/>
      <c r="U4655"/>
      <c r="X4655" s="60"/>
    </row>
    <row r="4656" spans="7:24" ht="15" customHeight="1">
      <c r="G4656"/>
      <c r="I4656"/>
      <c r="N4656"/>
      <c r="O4656" s="24"/>
      <c r="P4656"/>
      <c r="Q4656" s="24"/>
      <c r="R4656"/>
      <c r="S4656"/>
      <c r="T4656"/>
      <c r="U4656"/>
      <c r="X4656" s="60"/>
    </row>
    <row r="4657" spans="7:24" ht="15" customHeight="1">
      <c r="G4657"/>
      <c r="I4657"/>
      <c r="N4657"/>
      <c r="O4657" s="24"/>
      <c r="P4657"/>
      <c r="Q4657" s="24"/>
      <c r="R4657"/>
      <c r="S4657"/>
      <c r="T4657"/>
      <c r="U4657"/>
      <c r="X4657" s="60"/>
    </row>
    <row r="4658" spans="7:24" ht="15" customHeight="1">
      <c r="G4658"/>
      <c r="I4658"/>
      <c r="N4658"/>
      <c r="O4658" s="24"/>
      <c r="P4658"/>
      <c r="Q4658" s="24"/>
      <c r="R4658"/>
      <c r="S4658"/>
      <c r="T4658"/>
      <c r="U4658"/>
      <c r="X4658" s="60"/>
    </row>
    <row r="4659" spans="7:24" ht="15" customHeight="1">
      <c r="G4659"/>
      <c r="I4659"/>
      <c r="N4659"/>
      <c r="O4659" s="24"/>
      <c r="P4659"/>
      <c r="Q4659" s="24"/>
      <c r="R4659"/>
      <c r="S4659"/>
      <c r="T4659"/>
      <c r="U4659"/>
      <c r="X4659" s="60"/>
    </row>
    <row r="4660" spans="7:24" ht="15" customHeight="1">
      <c r="G4660"/>
      <c r="I4660"/>
      <c r="N4660"/>
      <c r="O4660" s="24"/>
      <c r="P4660"/>
      <c r="Q4660" s="24"/>
      <c r="R4660"/>
      <c r="S4660"/>
      <c r="T4660"/>
      <c r="U4660"/>
      <c r="X4660" s="60"/>
    </row>
    <row r="4661" spans="7:24" ht="15" customHeight="1">
      <c r="G4661"/>
      <c r="I4661"/>
      <c r="N4661"/>
      <c r="O4661" s="24"/>
      <c r="P4661"/>
      <c r="Q4661" s="24"/>
      <c r="R4661"/>
      <c r="S4661"/>
      <c r="T4661"/>
      <c r="U4661"/>
      <c r="X4661" s="60"/>
    </row>
    <row r="4662" spans="7:24" ht="15" customHeight="1">
      <c r="G4662"/>
      <c r="I4662"/>
      <c r="N4662"/>
      <c r="O4662" s="24"/>
      <c r="P4662"/>
      <c r="Q4662" s="24"/>
      <c r="R4662"/>
      <c r="S4662"/>
      <c r="T4662"/>
      <c r="U4662"/>
      <c r="X4662" s="60"/>
    </row>
    <row r="4663" spans="7:24" ht="15" customHeight="1">
      <c r="G4663"/>
      <c r="I4663"/>
      <c r="N4663"/>
      <c r="O4663" s="24"/>
      <c r="P4663"/>
      <c r="Q4663" s="24"/>
      <c r="R4663"/>
      <c r="S4663"/>
      <c r="T4663"/>
      <c r="U4663"/>
      <c r="X4663" s="60"/>
    </row>
    <row r="4664" spans="7:24" ht="15" customHeight="1">
      <c r="G4664"/>
      <c r="I4664"/>
      <c r="N4664"/>
      <c r="O4664" s="24"/>
      <c r="P4664"/>
      <c r="Q4664" s="24"/>
      <c r="R4664"/>
      <c r="S4664"/>
      <c r="T4664"/>
      <c r="U4664"/>
      <c r="X4664" s="60"/>
    </row>
    <row r="4665" spans="7:24" ht="15" customHeight="1">
      <c r="G4665"/>
      <c r="I4665"/>
      <c r="N4665"/>
      <c r="O4665" s="24"/>
      <c r="P4665"/>
      <c r="Q4665" s="24"/>
      <c r="R4665"/>
      <c r="S4665"/>
      <c r="T4665"/>
      <c r="U4665"/>
      <c r="X4665" s="60"/>
    </row>
    <row r="4666" spans="7:24" ht="15" customHeight="1">
      <c r="G4666"/>
      <c r="I4666"/>
      <c r="N4666"/>
      <c r="O4666" s="24"/>
      <c r="P4666"/>
      <c r="Q4666" s="24"/>
      <c r="R4666"/>
      <c r="S4666"/>
      <c r="T4666"/>
      <c r="U4666"/>
      <c r="X4666" s="60"/>
    </row>
    <row r="4667" spans="7:24" ht="15" customHeight="1">
      <c r="G4667"/>
      <c r="I4667"/>
      <c r="N4667"/>
      <c r="O4667" s="24"/>
      <c r="P4667"/>
      <c r="Q4667" s="24"/>
      <c r="R4667"/>
      <c r="S4667"/>
      <c r="T4667"/>
      <c r="U4667"/>
      <c r="X4667" s="60"/>
    </row>
    <row r="4668" spans="7:24" ht="15" customHeight="1">
      <c r="G4668"/>
      <c r="I4668"/>
      <c r="N4668"/>
      <c r="O4668" s="24"/>
      <c r="P4668"/>
      <c r="Q4668" s="24"/>
      <c r="R4668"/>
      <c r="S4668"/>
      <c r="T4668"/>
      <c r="U4668"/>
      <c r="X4668" s="60"/>
    </row>
    <row r="4669" spans="7:24" ht="15" customHeight="1">
      <c r="G4669"/>
      <c r="I4669"/>
      <c r="N4669"/>
      <c r="O4669" s="24"/>
      <c r="P4669"/>
      <c r="Q4669" s="24"/>
      <c r="R4669"/>
      <c r="S4669"/>
      <c r="T4669"/>
      <c r="U4669"/>
      <c r="X4669" s="60"/>
    </row>
    <row r="4670" spans="7:24" ht="15" customHeight="1">
      <c r="G4670"/>
      <c r="I4670"/>
      <c r="N4670"/>
      <c r="O4670" s="24"/>
      <c r="P4670"/>
      <c r="Q4670" s="24"/>
      <c r="R4670"/>
      <c r="S4670"/>
      <c r="T4670"/>
      <c r="U4670"/>
      <c r="X4670" s="60"/>
    </row>
    <row r="4671" spans="7:24" ht="15" customHeight="1">
      <c r="G4671"/>
      <c r="I4671"/>
      <c r="N4671"/>
      <c r="O4671" s="24"/>
      <c r="P4671"/>
      <c r="Q4671" s="24"/>
      <c r="R4671"/>
      <c r="S4671"/>
      <c r="T4671"/>
      <c r="U4671"/>
      <c r="X4671" s="60"/>
    </row>
    <row r="4672" spans="7:24" ht="15" customHeight="1">
      <c r="G4672"/>
      <c r="I4672"/>
      <c r="N4672"/>
      <c r="O4672" s="24"/>
      <c r="P4672"/>
      <c r="Q4672" s="24"/>
      <c r="R4672"/>
      <c r="S4672"/>
      <c r="T4672"/>
      <c r="U4672"/>
      <c r="X4672" s="60"/>
    </row>
    <row r="4673" spans="7:24" ht="15" customHeight="1">
      <c r="G4673"/>
      <c r="I4673"/>
      <c r="N4673"/>
      <c r="O4673" s="24"/>
      <c r="P4673"/>
      <c r="Q4673" s="24"/>
      <c r="R4673"/>
      <c r="S4673"/>
      <c r="T4673"/>
      <c r="U4673"/>
      <c r="X4673" s="60"/>
    </row>
    <row r="4674" spans="7:24" ht="15" customHeight="1">
      <c r="G4674"/>
      <c r="I4674"/>
      <c r="N4674"/>
      <c r="O4674" s="24"/>
      <c r="P4674"/>
      <c r="Q4674" s="24"/>
      <c r="R4674"/>
      <c r="S4674"/>
      <c r="T4674"/>
      <c r="U4674"/>
      <c r="X4674" s="60"/>
    </row>
    <row r="4675" spans="7:24" ht="15" customHeight="1">
      <c r="G4675"/>
      <c r="I4675"/>
      <c r="N4675"/>
      <c r="O4675" s="24"/>
      <c r="P4675"/>
      <c r="Q4675" s="24"/>
      <c r="R4675"/>
      <c r="S4675"/>
      <c r="T4675"/>
      <c r="U4675"/>
      <c r="X4675" s="60"/>
    </row>
    <row r="4676" spans="7:24" ht="15" customHeight="1">
      <c r="G4676"/>
      <c r="I4676"/>
      <c r="N4676"/>
      <c r="O4676" s="24"/>
      <c r="P4676"/>
      <c r="Q4676" s="24"/>
      <c r="R4676"/>
      <c r="S4676"/>
      <c r="T4676"/>
      <c r="U4676"/>
      <c r="X4676" s="60"/>
    </row>
    <row r="4677" spans="7:24" ht="15" customHeight="1">
      <c r="G4677"/>
      <c r="I4677"/>
      <c r="N4677"/>
      <c r="O4677" s="24"/>
      <c r="P4677"/>
      <c r="Q4677" s="24"/>
      <c r="R4677"/>
      <c r="S4677"/>
      <c r="T4677"/>
      <c r="U4677"/>
      <c r="X4677" s="60"/>
    </row>
    <row r="4678" spans="7:24" ht="15" customHeight="1">
      <c r="G4678"/>
      <c r="I4678"/>
      <c r="N4678"/>
      <c r="O4678" s="24"/>
      <c r="P4678"/>
      <c r="Q4678" s="24"/>
      <c r="R4678"/>
      <c r="S4678"/>
      <c r="T4678"/>
      <c r="U4678"/>
      <c r="X4678" s="60"/>
    </row>
    <row r="4679" spans="7:24" ht="15" customHeight="1">
      <c r="G4679"/>
      <c r="I4679"/>
      <c r="N4679"/>
      <c r="O4679" s="24"/>
      <c r="P4679"/>
      <c r="Q4679" s="24"/>
      <c r="R4679"/>
      <c r="S4679"/>
      <c r="T4679"/>
      <c r="U4679"/>
      <c r="X4679" s="60"/>
    </row>
    <row r="4680" spans="7:24" ht="15" customHeight="1">
      <c r="G4680"/>
      <c r="I4680"/>
      <c r="N4680"/>
      <c r="O4680" s="24"/>
      <c r="P4680"/>
      <c r="Q4680" s="24"/>
      <c r="R4680"/>
      <c r="S4680"/>
      <c r="T4680"/>
      <c r="U4680"/>
      <c r="X4680" s="60"/>
    </row>
    <row r="4681" spans="7:24" ht="15" customHeight="1">
      <c r="G4681"/>
      <c r="I4681"/>
      <c r="N4681"/>
      <c r="O4681" s="24"/>
      <c r="P4681"/>
      <c r="Q4681" s="24"/>
      <c r="R4681"/>
      <c r="S4681"/>
      <c r="T4681"/>
      <c r="U4681"/>
      <c r="X4681" s="60"/>
    </row>
    <row r="4682" spans="7:24" ht="15" customHeight="1">
      <c r="G4682"/>
      <c r="I4682"/>
      <c r="N4682"/>
      <c r="O4682" s="24"/>
      <c r="P4682"/>
      <c r="Q4682" s="24"/>
      <c r="R4682"/>
      <c r="S4682"/>
      <c r="T4682"/>
      <c r="U4682"/>
      <c r="X4682" s="60"/>
    </row>
    <row r="4683" spans="7:24" ht="15" customHeight="1">
      <c r="G4683"/>
      <c r="I4683"/>
      <c r="N4683"/>
      <c r="O4683" s="24"/>
      <c r="P4683"/>
      <c r="Q4683" s="24"/>
      <c r="R4683"/>
      <c r="S4683"/>
      <c r="T4683"/>
      <c r="U4683"/>
      <c r="X4683" s="60"/>
    </row>
    <row r="4684" spans="7:24" ht="15" customHeight="1">
      <c r="G4684"/>
      <c r="I4684"/>
      <c r="N4684"/>
      <c r="O4684" s="24"/>
      <c r="P4684"/>
      <c r="Q4684" s="24"/>
      <c r="R4684"/>
      <c r="S4684"/>
      <c r="T4684"/>
      <c r="U4684"/>
      <c r="X4684" s="60"/>
    </row>
    <row r="4685" spans="7:24" ht="15" customHeight="1">
      <c r="G4685"/>
      <c r="I4685"/>
      <c r="N4685"/>
      <c r="O4685" s="24"/>
      <c r="P4685"/>
      <c r="Q4685" s="24"/>
      <c r="R4685"/>
      <c r="S4685"/>
      <c r="T4685"/>
      <c r="U4685"/>
      <c r="X4685" s="60"/>
    </row>
    <row r="4686" spans="7:24" ht="15" customHeight="1">
      <c r="G4686"/>
      <c r="I4686"/>
      <c r="N4686"/>
      <c r="O4686" s="24"/>
      <c r="P4686"/>
      <c r="Q4686" s="24"/>
      <c r="R4686"/>
      <c r="S4686"/>
      <c r="T4686"/>
      <c r="U4686"/>
      <c r="X4686" s="60"/>
    </row>
    <row r="4687" spans="7:24" ht="15" customHeight="1">
      <c r="G4687"/>
      <c r="I4687"/>
      <c r="N4687"/>
      <c r="O4687" s="24"/>
      <c r="P4687"/>
      <c r="Q4687" s="24"/>
      <c r="R4687"/>
      <c r="S4687"/>
      <c r="T4687"/>
      <c r="U4687"/>
      <c r="X4687" s="60"/>
    </row>
    <row r="4688" spans="7:24" ht="15" customHeight="1">
      <c r="G4688"/>
      <c r="I4688"/>
      <c r="N4688"/>
      <c r="O4688" s="24"/>
      <c r="P4688"/>
      <c r="Q4688" s="24"/>
      <c r="R4688"/>
      <c r="S4688"/>
      <c r="T4688"/>
      <c r="U4688"/>
      <c r="X4688" s="60"/>
    </row>
    <row r="4689" spans="7:24" ht="15" customHeight="1">
      <c r="G4689"/>
      <c r="I4689"/>
      <c r="N4689"/>
      <c r="O4689" s="24"/>
      <c r="P4689"/>
      <c r="Q4689" s="24"/>
      <c r="R4689"/>
      <c r="S4689"/>
      <c r="T4689"/>
      <c r="U4689"/>
      <c r="X4689" s="60"/>
    </row>
    <row r="4690" spans="7:24" ht="15" customHeight="1">
      <c r="G4690"/>
      <c r="I4690"/>
      <c r="N4690"/>
      <c r="O4690" s="24"/>
      <c r="P4690"/>
      <c r="Q4690" s="24"/>
      <c r="R4690"/>
      <c r="S4690"/>
      <c r="T4690"/>
      <c r="U4690"/>
      <c r="X4690" s="60"/>
    </row>
    <row r="4691" spans="7:24" ht="15" customHeight="1">
      <c r="G4691"/>
      <c r="I4691"/>
      <c r="N4691"/>
      <c r="O4691" s="24"/>
      <c r="P4691"/>
      <c r="Q4691" s="24"/>
      <c r="R4691"/>
      <c r="S4691"/>
      <c r="T4691"/>
      <c r="U4691"/>
      <c r="X4691" s="60"/>
    </row>
    <row r="4692" spans="7:24" ht="15" customHeight="1">
      <c r="G4692"/>
      <c r="I4692"/>
      <c r="N4692"/>
      <c r="O4692" s="24"/>
      <c r="P4692"/>
      <c r="Q4692" s="24"/>
      <c r="R4692"/>
      <c r="S4692"/>
      <c r="T4692"/>
      <c r="U4692"/>
      <c r="X4692" s="60"/>
    </row>
    <row r="4693" spans="7:24" ht="15" customHeight="1">
      <c r="G4693"/>
      <c r="I4693"/>
      <c r="N4693"/>
      <c r="O4693" s="24"/>
      <c r="P4693"/>
      <c r="Q4693" s="24"/>
      <c r="R4693"/>
      <c r="S4693"/>
      <c r="T4693"/>
      <c r="U4693"/>
      <c r="X4693" s="60"/>
    </row>
    <row r="4694" spans="7:24" ht="15" customHeight="1">
      <c r="G4694"/>
      <c r="I4694"/>
      <c r="N4694"/>
      <c r="O4694" s="24"/>
      <c r="P4694"/>
      <c r="Q4694" s="24"/>
      <c r="R4694"/>
      <c r="S4694"/>
      <c r="T4694"/>
      <c r="U4694"/>
      <c r="X4694" s="60"/>
    </row>
    <row r="4695" spans="7:24" ht="15" customHeight="1">
      <c r="G4695"/>
      <c r="I4695"/>
      <c r="N4695"/>
      <c r="O4695" s="24"/>
      <c r="P4695"/>
      <c r="Q4695" s="24"/>
      <c r="R4695"/>
      <c r="S4695"/>
      <c r="T4695"/>
      <c r="U4695"/>
      <c r="X4695" s="60"/>
    </row>
    <row r="4696" spans="7:24" ht="15" customHeight="1">
      <c r="G4696"/>
      <c r="I4696"/>
      <c r="N4696"/>
      <c r="O4696" s="24"/>
      <c r="P4696"/>
      <c r="Q4696" s="24"/>
      <c r="R4696"/>
      <c r="S4696"/>
      <c r="T4696"/>
      <c r="U4696"/>
      <c r="X4696" s="60"/>
    </row>
    <row r="4697" spans="7:24" ht="15" customHeight="1">
      <c r="G4697"/>
      <c r="I4697"/>
      <c r="N4697"/>
      <c r="O4697" s="24"/>
      <c r="P4697"/>
      <c r="Q4697" s="24"/>
      <c r="R4697"/>
      <c r="S4697"/>
      <c r="T4697"/>
      <c r="U4697"/>
      <c r="X4697" s="60"/>
    </row>
    <row r="4698" spans="7:24" ht="15" customHeight="1">
      <c r="G4698"/>
      <c r="I4698"/>
      <c r="N4698"/>
      <c r="O4698" s="24"/>
      <c r="P4698"/>
      <c r="Q4698" s="24"/>
      <c r="R4698"/>
      <c r="S4698"/>
      <c r="T4698"/>
      <c r="U4698"/>
      <c r="X4698" s="60"/>
    </row>
    <row r="4699" spans="7:24" ht="15" customHeight="1">
      <c r="G4699"/>
      <c r="I4699"/>
      <c r="N4699"/>
      <c r="O4699" s="24"/>
      <c r="P4699"/>
      <c r="Q4699" s="24"/>
      <c r="R4699"/>
      <c r="S4699"/>
      <c r="T4699"/>
      <c r="U4699"/>
      <c r="X4699" s="60"/>
    </row>
    <row r="4700" spans="7:24" ht="15" customHeight="1">
      <c r="G4700"/>
      <c r="I4700"/>
      <c r="N4700"/>
      <c r="O4700" s="24"/>
      <c r="P4700"/>
      <c r="Q4700" s="24"/>
      <c r="R4700"/>
      <c r="S4700"/>
      <c r="T4700"/>
      <c r="U4700"/>
      <c r="X4700" s="60"/>
    </row>
    <row r="4701" spans="7:24" ht="15" customHeight="1">
      <c r="G4701"/>
      <c r="I4701"/>
      <c r="N4701"/>
      <c r="O4701" s="24"/>
      <c r="P4701"/>
      <c r="Q4701" s="24"/>
      <c r="R4701"/>
      <c r="S4701"/>
      <c r="T4701"/>
      <c r="U4701"/>
      <c r="X4701" s="60"/>
    </row>
    <row r="4702" spans="7:24" ht="15" customHeight="1">
      <c r="G4702"/>
      <c r="I4702"/>
      <c r="N4702"/>
      <c r="O4702" s="24"/>
      <c r="P4702"/>
      <c r="Q4702" s="24"/>
      <c r="R4702"/>
      <c r="S4702"/>
      <c r="T4702"/>
      <c r="U4702"/>
      <c r="X4702" s="60"/>
    </row>
    <row r="4703" spans="7:24" ht="15" customHeight="1">
      <c r="G4703"/>
      <c r="I4703"/>
      <c r="N4703"/>
      <c r="O4703" s="24"/>
      <c r="P4703"/>
      <c r="Q4703" s="24"/>
      <c r="R4703"/>
      <c r="S4703"/>
      <c r="T4703"/>
      <c r="U4703"/>
      <c r="X4703" s="60"/>
    </row>
    <row r="4704" spans="7:24" ht="15" customHeight="1">
      <c r="G4704"/>
      <c r="I4704"/>
      <c r="N4704"/>
      <c r="O4704" s="24"/>
      <c r="P4704"/>
      <c r="Q4704" s="24"/>
      <c r="R4704"/>
      <c r="S4704"/>
      <c r="T4704"/>
      <c r="U4704"/>
      <c r="X4704" s="60"/>
    </row>
    <row r="4705" spans="7:24" ht="15" customHeight="1">
      <c r="G4705"/>
      <c r="I4705"/>
      <c r="N4705"/>
      <c r="O4705" s="24"/>
      <c r="P4705"/>
      <c r="Q4705" s="24"/>
      <c r="R4705"/>
      <c r="S4705"/>
      <c r="T4705"/>
      <c r="U4705"/>
      <c r="X4705" s="60"/>
    </row>
    <row r="4706" spans="7:24" ht="15" customHeight="1">
      <c r="G4706"/>
      <c r="I4706"/>
      <c r="N4706"/>
      <c r="O4706" s="24"/>
      <c r="P4706"/>
      <c r="Q4706" s="24"/>
      <c r="R4706"/>
      <c r="S4706"/>
      <c r="T4706"/>
      <c r="U4706"/>
      <c r="X4706" s="60"/>
    </row>
    <row r="4707" spans="7:24" ht="15" customHeight="1">
      <c r="G4707"/>
      <c r="I4707"/>
      <c r="N4707"/>
      <c r="O4707" s="24"/>
      <c r="P4707"/>
      <c r="Q4707" s="24"/>
      <c r="R4707"/>
      <c r="S4707"/>
      <c r="T4707"/>
      <c r="U4707"/>
      <c r="X4707" s="60"/>
    </row>
    <row r="4708" spans="7:24" ht="15" customHeight="1">
      <c r="G4708"/>
      <c r="I4708"/>
      <c r="N4708"/>
      <c r="O4708" s="24"/>
      <c r="P4708"/>
      <c r="Q4708" s="24"/>
      <c r="R4708"/>
      <c r="S4708"/>
      <c r="T4708"/>
      <c r="U4708"/>
      <c r="X4708" s="60"/>
    </row>
    <row r="4709" spans="7:24" ht="15" customHeight="1">
      <c r="G4709"/>
      <c r="I4709"/>
      <c r="N4709"/>
      <c r="O4709" s="24"/>
      <c r="P4709"/>
      <c r="Q4709" s="24"/>
      <c r="R4709"/>
      <c r="S4709"/>
      <c r="T4709"/>
      <c r="U4709"/>
      <c r="X4709" s="60"/>
    </row>
    <row r="4710" spans="7:24" ht="15" customHeight="1">
      <c r="G4710"/>
      <c r="I4710"/>
      <c r="N4710"/>
      <c r="O4710" s="24"/>
      <c r="P4710"/>
      <c r="Q4710" s="24"/>
      <c r="R4710"/>
      <c r="S4710"/>
      <c r="T4710"/>
      <c r="U4710"/>
      <c r="X4710" s="60"/>
    </row>
    <row r="4711" spans="7:24" ht="15" customHeight="1">
      <c r="G4711"/>
      <c r="I4711"/>
      <c r="N4711"/>
      <c r="O4711" s="24"/>
      <c r="P4711"/>
      <c r="Q4711" s="24"/>
      <c r="R4711"/>
      <c r="S4711"/>
      <c r="T4711"/>
      <c r="U4711"/>
      <c r="X4711" s="60"/>
    </row>
    <row r="4712" spans="7:24" ht="15" customHeight="1">
      <c r="G4712"/>
      <c r="I4712"/>
      <c r="N4712"/>
      <c r="O4712" s="24"/>
      <c r="P4712"/>
      <c r="Q4712" s="24"/>
      <c r="R4712"/>
      <c r="S4712"/>
      <c r="T4712"/>
      <c r="U4712"/>
      <c r="X4712" s="60"/>
    </row>
    <row r="4713" spans="7:24" ht="15" customHeight="1">
      <c r="G4713"/>
      <c r="I4713"/>
      <c r="N4713"/>
      <c r="O4713" s="24"/>
      <c r="P4713"/>
      <c r="Q4713" s="24"/>
      <c r="R4713"/>
      <c r="S4713"/>
      <c r="T4713"/>
      <c r="U4713"/>
      <c r="X4713" s="60"/>
    </row>
    <row r="4714" spans="7:24" ht="15" customHeight="1">
      <c r="G4714"/>
      <c r="I4714"/>
      <c r="N4714"/>
      <c r="O4714" s="24"/>
      <c r="P4714"/>
      <c r="Q4714" s="24"/>
      <c r="R4714"/>
      <c r="S4714"/>
      <c r="T4714"/>
      <c r="U4714"/>
      <c r="X4714" s="60"/>
    </row>
    <row r="4715" spans="7:24" ht="15" customHeight="1">
      <c r="G4715"/>
      <c r="I4715"/>
      <c r="N4715"/>
      <c r="O4715" s="24"/>
      <c r="P4715"/>
      <c r="Q4715" s="24"/>
      <c r="R4715"/>
      <c r="S4715"/>
      <c r="T4715"/>
      <c r="U4715"/>
      <c r="X4715" s="60"/>
    </row>
    <row r="4716" spans="7:24" ht="15" customHeight="1">
      <c r="G4716"/>
      <c r="I4716"/>
      <c r="N4716"/>
      <c r="O4716" s="24"/>
      <c r="P4716"/>
      <c r="Q4716" s="24"/>
      <c r="R4716"/>
      <c r="S4716"/>
      <c r="T4716"/>
      <c r="U4716"/>
      <c r="X4716" s="60"/>
    </row>
    <row r="4717" spans="7:24" ht="15" customHeight="1">
      <c r="G4717"/>
      <c r="I4717"/>
      <c r="N4717"/>
      <c r="O4717" s="24"/>
      <c r="P4717"/>
      <c r="Q4717" s="24"/>
      <c r="R4717"/>
      <c r="S4717"/>
      <c r="T4717"/>
      <c r="U4717"/>
      <c r="X4717" s="60"/>
    </row>
    <row r="4718" spans="7:24" ht="15" customHeight="1">
      <c r="G4718"/>
      <c r="I4718"/>
      <c r="N4718"/>
      <c r="O4718" s="24"/>
      <c r="P4718"/>
      <c r="Q4718" s="24"/>
      <c r="R4718"/>
      <c r="S4718"/>
      <c r="T4718"/>
      <c r="U4718"/>
      <c r="X4718" s="60"/>
    </row>
    <row r="4719" spans="7:24" ht="15" customHeight="1">
      <c r="G4719"/>
      <c r="I4719"/>
      <c r="N4719"/>
      <c r="O4719" s="24"/>
      <c r="P4719"/>
      <c r="Q4719" s="24"/>
      <c r="R4719"/>
      <c r="S4719"/>
      <c r="T4719"/>
      <c r="U4719"/>
      <c r="X4719" s="60"/>
    </row>
    <row r="4720" spans="7:24" ht="15" customHeight="1">
      <c r="G4720"/>
      <c r="I4720"/>
      <c r="N4720"/>
      <c r="O4720" s="24"/>
      <c r="P4720"/>
      <c r="Q4720" s="24"/>
      <c r="R4720"/>
      <c r="S4720"/>
      <c r="T4720"/>
      <c r="U4720"/>
      <c r="X4720" s="60"/>
    </row>
    <row r="4721" spans="7:24" ht="15" customHeight="1">
      <c r="G4721"/>
      <c r="I4721"/>
      <c r="N4721"/>
      <c r="O4721" s="24"/>
      <c r="P4721"/>
      <c r="Q4721" s="24"/>
      <c r="R4721"/>
      <c r="S4721"/>
      <c r="T4721"/>
      <c r="U4721"/>
      <c r="X4721" s="60"/>
    </row>
    <row r="4722" spans="7:24" ht="15" customHeight="1">
      <c r="G4722"/>
      <c r="I4722"/>
      <c r="N4722"/>
      <c r="O4722" s="24"/>
      <c r="P4722"/>
      <c r="Q4722" s="24"/>
      <c r="R4722"/>
      <c r="S4722"/>
      <c r="T4722"/>
      <c r="U4722"/>
      <c r="X4722" s="60"/>
    </row>
    <row r="4723" spans="7:24" ht="15" customHeight="1">
      <c r="G4723"/>
      <c r="I4723"/>
      <c r="N4723"/>
      <c r="O4723" s="24"/>
      <c r="P4723"/>
      <c r="Q4723" s="24"/>
      <c r="R4723"/>
      <c r="S4723"/>
      <c r="T4723"/>
      <c r="U4723"/>
      <c r="X4723" s="60"/>
    </row>
    <row r="4724" spans="7:24" ht="15" customHeight="1">
      <c r="G4724"/>
      <c r="I4724"/>
      <c r="N4724"/>
      <c r="O4724" s="24"/>
      <c r="P4724"/>
      <c r="Q4724" s="24"/>
      <c r="R4724"/>
      <c r="S4724"/>
      <c r="T4724"/>
      <c r="U4724"/>
      <c r="X4724" s="60"/>
    </row>
    <row r="4725" spans="7:24" ht="15" customHeight="1">
      <c r="G4725"/>
      <c r="I4725"/>
      <c r="N4725"/>
      <c r="O4725" s="24"/>
      <c r="P4725"/>
      <c r="Q4725" s="24"/>
      <c r="R4725"/>
      <c r="S4725"/>
      <c r="T4725"/>
      <c r="U4725"/>
      <c r="X4725" s="60"/>
    </row>
    <row r="4726" spans="7:24" ht="15" customHeight="1">
      <c r="G4726"/>
      <c r="I4726"/>
      <c r="N4726"/>
      <c r="O4726" s="24"/>
      <c r="P4726"/>
      <c r="Q4726" s="24"/>
      <c r="R4726"/>
      <c r="S4726"/>
      <c r="T4726"/>
      <c r="U4726"/>
      <c r="X4726" s="60"/>
    </row>
    <row r="4727" spans="7:24" ht="15" customHeight="1">
      <c r="G4727"/>
      <c r="I4727"/>
      <c r="N4727"/>
      <c r="O4727" s="24"/>
      <c r="P4727"/>
      <c r="Q4727" s="24"/>
      <c r="R4727"/>
      <c r="S4727"/>
      <c r="T4727"/>
      <c r="U4727"/>
      <c r="X4727" s="60"/>
    </row>
    <row r="4728" spans="7:24" ht="15" customHeight="1">
      <c r="G4728"/>
      <c r="I4728"/>
      <c r="N4728"/>
      <c r="O4728" s="24"/>
      <c r="P4728"/>
      <c r="Q4728" s="24"/>
      <c r="R4728"/>
      <c r="S4728"/>
      <c r="T4728"/>
      <c r="U4728"/>
      <c r="X4728" s="60"/>
    </row>
    <row r="4729" spans="7:24" ht="15" customHeight="1">
      <c r="G4729"/>
      <c r="I4729"/>
      <c r="N4729"/>
      <c r="O4729" s="24"/>
      <c r="P4729"/>
      <c r="Q4729" s="24"/>
      <c r="R4729"/>
      <c r="S4729"/>
      <c r="T4729"/>
      <c r="U4729"/>
      <c r="X4729" s="60"/>
    </row>
    <row r="4730" spans="7:24" ht="15" customHeight="1">
      <c r="G4730"/>
      <c r="I4730"/>
      <c r="N4730"/>
      <c r="O4730" s="24"/>
      <c r="P4730"/>
      <c r="Q4730" s="24"/>
      <c r="R4730"/>
      <c r="S4730"/>
      <c r="T4730"/>
      <c r="U4730"/>
      <c r="X4730" s="60"/>
    </row>
    <row r="4731" spans="7:24" ht="15" customHeight="1">
      <c r="G4731"/>
      <c r="I4731"/>
      <c r="N4731"/>
      <c r="O4731" s="24"/>
      <c r="P4731"/>
      <c r="Q4731" s="24"/>
      <c r="R4731"/>
      <c r="S4731"/>
      <c r="T4731"/>
      <c r="U4731"/>
      <c r="X4731" s="60"/>
    </row>
    <row r="4732" spans="7:24" ht="15" customHeight="1">
      <c r="G4732"/>
      <c r="I4732"/>
      <c r="N4732"/>
      <c r="O4732" s="24"/>
      <c r="P4732"/>
      <c r="Q4732" s="24"/>
      <c r="R4732"/>
      <c r="S4732"/>
      <c r="T4732"/>
      <c r="U4732"/>
      <c r="X4732" s="60"/>
    </row>
    <row r="4733" spans="7:24" ht="15" customHeight="1">
      <c r="G4733"/>
      <c r="I4733"/>
      <c r="N4733"/>
      <c r="O4733" s="24"/>
      <c r="P4733"/>
      <c r="Q4733" s="24"/>
      <c r="R4733"/>
      <c r="S4733"/>
      <c r="T4733"/>
      <c r="U4733"/>
      <c r="X4733" s="60"/>
    </row>
    <row r="4734" spans="7:24" ht="15" customHeight="1">
      <c r="G4734"/>
      <c r="I4734"/>
      <c r="N4734"/>
      <c r="O4734" s="24"/>
      <c r="P4734"/>
      <c r="Q4734" s="24"/>
      <c r="R4734"/>
      <c r="S4734"/>
      <c r="T4734"/>
      <c r="U4734"/>
      <c r="X4734" s="60"/>
    </row>
    <row r="4735" spans="7:24" ht="15" customHeight="1">
      <c r="G4735"/>
      <c r="I4735"/>
      <c r="N4735"/>
      <c r="O4735" s="24"/>
      <c r="P4735"/>
      <c r="Q4735" s="24"/>
      <c r="R4735"/>
      <c r="S4735"/>
      <c r="T4735"/>
      <c r="U4735"/>
      <c r="X4735" s="60"/>
    </row>
    <row r="4736" spans="7:24" ht="15" customHeight="1">
      <c r="G4736"/>
      <c r="I4736"/>
      <c r="N4736"/>
      <c r="O4736" s="24"/>
      <c r="P4736"/>
      <c r="Q4736" s="24"/>
      <c r="R4736"/>
      <c r="S4736"/>
      <c r="T4736"/>
      <c r="U4736"/>
      <c r="X4736" s="60"/>
    </row>
    <row r="4737" spans="7:24" ht="15" customHeight="1">
      <c r="G4737"/>
      <c r="I4737"/>
      <c r="N4737"/>
      <c r="O4737" s="24"/>
      <c r="P4737"/>
      <c r="Q4737" s="24"/>
      <c r="R4737"/>
      <c r="S4737"/>
      <c r="T4737"/>
      <c r="U4737"/>
      <c r="X4737" s="60"/>
    </row>
    <row r="4738" spans="7:24" ht="15" customHeight="1">
      <c r="G4738"/>
      <c r="I4738"/>
      <c r="N4738"/>
      <c r="O4738" s="24"/>
      <c r="P4738"/>
      <c r="Q4738" s="24"/>
      <c r="R4738"/>
      <c r="S4738"/>
      <c r="T4738"/>
      <c r="U4738"/>
      <c r="X4738" s="60"/>
    </row>
    <row r="4739" spans="7:24" ht="15" customHeight="1">
      <c r="G4739"/>
      <c r="I4739"/>
      <c r="N4739"/>
      <c r="O4739" s="24"/>
      <c r="P4739"/>
      <c r="Q4739" s="24"/>
      <c r="R4739"/>
      <c r="S4739"/>
      <c r="T4739"/>
      <c r="U4739"/>
      <c r="X4739" s="60"/>
    </row>
    <row r="4740" spans="7:24" ht="15" customHeight="1">
      <c r="G4740"/>
      <c r="I4740"/>
      <c r="N4740"/>
      <c r="O4740" s="24"/>
      <c r="P4740"/>
      <c r="Q4740" s="24"/>
      <c r="R4740"/>
      <c r="S4740"/>
      <c r="T4740"/>
      <c r="U4740"/>
      <c r="X4740" s="60"/>
    </row>
    <row r="4741" spans="7:24" ht="15" customHeight="1">
      <c r="G4741"/>
      <c r="I4741"/>
      <c r="N4741"/>
      <c r="O4741" s="24"/>
      <c r="P4741"/>
      <c r="Q4741" s="24"/>
      <c r="R4741"/>
      <c r="S4741"/>
      <c r="T4741"/>
      <c r="U4741"/>
      <c r="X4741" s="60"/>
    </row>
    <row r="4742" spans="7:24" ht="15" customHeight="1">
      <c r="G4742"/>
      <c r="I4742"/>
      <c r="N4742"/>
      <c r="O4742" s="24"/>
      <c r="P4742"/>
      <c r="Q4742" s="24"/>
      <c r="R4742"/>
      <c r="S4742"/>
      <c r="T4742"/>
      <c r="U4742"/>
      <c r="X4742" s="60"/>
    </row>
    <row r="4743" spans="7:24" ht="15" customHeight="1">
      <c r="G4743"/>
      <c r="I4743"/>
      <c r="N4743"/>
      <c r="O4743" s="24"/>
      <c r="P4743"/>
      <c r="Q4743" s="24"/>
      <c r="R4743"/>
      <c r="S4743"/>
      <c r="T4743"/>
      <c r="U4743"/>
      <c r="X4743" s="60"/>
    </row>
    <row r="4744" spans="7:24" ht="15" customHeight="1">
      <c r="G4744"/>
      <c r="I4744"/>
      <c r="N4744"/>
      <c r="O4744" s="24"/>
      <c r="P4744"/>
      <c r="Q4744" s="24"/>
      <c r="R4744"/>
      <c r="S4744"/>
      <c r="T4744"/>
      <c r="U4744"/>
      <c r="X4744" s="60"/>
    </row>
    <row r="4745" spans="7:24" ht="15" customHeight="1">
      <c r="G4745"/>
      <c r="I4745"/>
      <c r="N4745"/>
      <c r="O4745" s="24"/>
      <c r="P4745"/>
      <c r="Q4745" s="24"/>
      <c r="R4745"/>
      <c r="S4745"/>
      <c r="T4745"/>
      <c r="U4745"/>
      <c r="X4745" s="60"/>
    </row>
    <row r="4746" spans="7:24" ht="15" customHeight="1">
      <c r="G4746"/>
      <c r="I4746"/>
      <c r="N4746"/>
      <c r="O4746" s="24"/>
      <c r="P4746"/>
      <c r="Q4746" s="24"/>
      <c r="R4746"/>
      <c r="S4746"/>
      <c r="T4746"/>
      <c r="U4746"/>
      <c r="X4746" s="60"/>
    </row>
    <row r="4747" spans="7:24" ht="15" customHeight="1">
      <c r="G4747"/>
      <c r="I4747"/>
      <c r="N4747"/>
      <c r="O4747" s="24"/>
      <c r="P4747"/>
      <c r="Q4747" s="24"/>
      <c r="R4747"/>
      <c r="S4747"/>
      <c r="T4747"/>
      <c r="U4747"/>
      <c r="X4747" s="60"/>
    </row>
    <row r="4748" spans="7:24" ht="15" customHeight="1">
      <c r="G4748"/>
      <c r="I4748"/>
      <c r="N4748"/>
      <c r="O4748" s="24"/>
      <c r="P4748"/>
      <c r="Q4748" s="24"/>
      <c r="R4748"/>
      <c r="S4748"/>
      <c r="T4748"/>
      <c r="U4748"/>
      <c r="X4748" s="60"/>
    </row>
    <row r="4749" spans="7:24" ht="15" customHeight="1">
      <c r="G4749"/>
      <c r="I4749"/>
      <c r="N4749"/>
      <c r="O4749" s="24"/>
      <c r="P4749"/>
      <c r="Q4749" s="24"/>
      <c r="R4749"/>
      <c r="S4749"/>
      <c r="T4749"/>
      <c r="U4749"/>
      <c r="X4749" s="60"/>
    </row>
    <row r="4750" spans="7:24" ht="15" customHeight="1">
      <c r="G4750"/>
      <c r="I4750"/>
      <c r="N4750"/>
      <c r="O4750" s="24"/>
      <c r="P4750"/>
      <c r="Q4750" s="24"/>
      <c r="R4750"/>
      <c r="S4750"/>
      <c r="T4750"/>
      <c r="U4750"/>
      <c r="X4750" s="60"/>
    </row>
    <row r="4751" spans="7:24" ht="15" customHeight="1">
      <c r="G4751"/>
      <c r="I4751"/>
      <c r="N4751"/>
      <c r="O4751" s="24"/>
      <c r="P4751"/>
      <c r="Q4751" s="24"/>
      <c r="R4751"/>
      <c r="S4751"/>
      <c r="T4751"/>
      <c r="U4751"/>
      <c r="X4751" s="60"/>
    </row>
    <row r="4752" spans="7:24" ht="15" customHeight="1">
      <c r="G4752"/>
      <c r="I4752"/>
      <c r="N4752"/>
      <c r="O4752" s="24"/>
      <c r="P4752"/>
      <c r="Q4752" s="24"/>
      <c r="R4752"/>
      <c r="S4752"/>
      <c r="T4752"/>
      <c r="U4752"/>
      <c r="X4752" s="60"/>
    </row>
    <row r="4753" spans="7:24" ht="15" customHeight="1">
      <c r="G4753"/>
      <c r="I4753"/>
      <c r="N4753"/>
      <c r="O4753" s="24"/>
      <c r="P4753"/>
      <c r="Q4753" s="24"/>
      <c r="R4753"/>
      <c r="S4753"/>
      <c r="T4753"/>
      <c r="U4753"/>
      <c r="X4753" s="60"/>
    </row>
    <row r="4754" spans="7:24" ht="15" customHeight="1">
      <c r="G4754"/>
      <c r="I4754"/>
      <c r="N4754"/>
      <c r="O4754" s="24"/>
      <c r="P4754"/>
      <c r="Q4754" s="24"/>
      <c r="R4754"/>
      <c r="S4754"/>
      <c r="T4754"/>
      <c r="U4754"/>
      <c r="X4754" s="60"/>
    </row>
    <row r="4755" spans="7:24" ht="15" customHeight="1">
      <c r="G4755"/>
      <c r="I4755"/>
      <c r="N4755"/>
      <c r="O4755" s="24"/>
      <c r="P4755"/>
      <c r="Q4755" s="24"/>
      <c r="R4755"/>
      <c r="S4755"/>
      <c r="T4755"/>
      <c r="U4755"/>
      <c r="X4755" s="60"/>
    </row>
    <row r="4756" spans="7:24" ht="15" customHeight="1">
      <c r="G4756"/>
      <c r="I4756"/>
      <c r="N4756"/>
      <c r="O4756" s="24"/>
      <c r="P4756"/>
      <c r="Q4756" s="24"/>
      <c r="R4756"/>
      <c r="S4756"/>
      <c r="T4756"/>
      <c r="U4756"/>
      <c r="X4756" s="60"/>
    </row>
    <row r="4757" spans="7:24" ht="15" customHeight="1">
      <c r="G4757"/>
      <c r="I4757"/>
      <c r="N4757"/>
      <c r="O4757" s="24"/>
      <c r="P4757"/>
      <c r="Q4757" s="24"/>
      <c r="R4757"/>
      <c r="S4757"/>
      <c r="T4757"/>
      <c r="U4757"/>
      <c r="X4757" s="60"/>
    </row>
    <row r="4758" spans="7:24" ht="15" customHeight="1">
      <c r="G4758"/>
      <c r="I4758"/>
      <c r="N4758"/>
      <c r="O4758" s="24"/>
      <c r="P4758"/>
      <c r="Q4758" s="24"/>
      <c r="R4758"/>
      <c r="S4758"/>
      <c r="T4758"/>
      <c r="U4758"/>
      <c r="X4758" s="60"/>
    </row>
    <row r="4759" spans="7:24" ht="15" customHeight="1">
      <c r="G4759"/>
      <c r="I4759"/>
      <c r="N4759"/>
      <c r="O4759" s="24"/>
      <c r="P4759"/>
      <c r="Q4759" s="24"/>
      <c r="R4759"/>
      <c r="S4759"/>
      <c r="T4759"/>
      <c r="U4759"/>
      <c r="X4759" s="60"/>
    </row>
    <row r="4760" spans="7:24" ht="15" customHeight="1">
      <c r="G4760"/>
      <c r="I4760"/>
      <c r="N4760"/>
      <c r="O4760" s="24"/>
      <c r="P4760"/>
      <c r="Q4760" s="24"/>
      <c r="R4760"/>
      <c r="S4760"/>
      <c r="T4760"/>
      <c r="U4760"/>
      <c r="X4760" s="60"/>
    </row>
    <row r="4761" spans="7:24" ht="15" customHeight="1">
      <c r="G4761"/>
      <c r="I4761"/>
      <c r="N4761"/>
      <c r="O4761" s="24"/>
      <c r="P4761"/>
      <c r="Q4761" s="24"/>
      <c r="R4761"/>
      <c r="S4761"/>
      <c r="T4761"/>
      <c r="U4761"/>
      <c r="X4761" s="60"/>
    </row>
    <row r="4762" spans="7:24" ht="15" customHeight="1">
      <c r="G4762"/>
      <c r="I4762"/>
      <c r="N4762"/>
      <c r="O4762" s="24"/>
      <c r="P4762"/>
      <c r="Q4762" s="24"/>
      <c r="R4762"/>
      <c r="S4762"/>
      <c r="T4762"/>
      <c r="U4762"/>
      <c r="X4762" s="60"/>
    </row>
    <row r="4763" spans="7:24" ht="15" customHeight="1">
      <c r="G4763"/>
      <c r="I4763"/>
      <c r="N4763"/>
      <c r="O4763" s="24"/>
      <c r="P4763"/>
      <c r="Q4763" s="24"/>
      <c r="R4763"/>
      <c r="S4763"/>
      <c r="T4763"/>
      <c r="U4763"/>
      <c r="X4763" s="60"/>
    </row>
    <row r="4764" spans="7:24" ht="15" customHeight="1">
      <c r="G4764"/>
      <c r="I4764"/>
      <c r="N4764"/>
      <c r="O4764" s="24"/>
      <c r="P4764"/>
      <c r="Q4764" s="24"/>
      <c r="R4764"/>
      <c r="S4764"/>
      <c r="T4764"/>
      <c r="U4764"/>
      <c r="X4764" s="60"/>
    </row>
    <row r="4765" spans="7:24" ht="15" customHeight="1">
      <c r="G4765"/>
      <c r="I4765"/>
      <c r="N4765"/>
      <c r="O4765" s="24"/>
      <c r="P4765"/>
      <c r="Q4765" s="24"/>
      <c r="R4765"/>
      <c r="S4765"/>
      <c r="T4765"/>
      <c r="U4765"/>
      <c r="X4765" s="60"/>
    </row>
    <row r="4766" spans="7:24" ht="15" customHeight="1">
      <c r="G4766"/>
      <c r="I4766"/>
      <c r="N4766"/>
      <c r="O4766" s="24"/>
      <c r="P4766"/>
      <c r="Q4766" s="24"/>
      <c r="R4766"/>
      <c r="S4766"/>
      <c r="T4766"/>
      <c r="U4766"/>
      <c r="X4766" s="60"/>
    </row>
    <row r="4767" spans="7:24" ht="15" customHeight="1">
      <c r="G4767"/>
      <c r="I4767"/>
      <c r="N4767"/>
      <c r="O4767" s="24"/>
      <c r="P4767"/>
      <c r="Q4767" s="24"/>
      <c r="R4767"/>
      <c r="S4767"/>
      <c r="T4767"/>
      <c r="U4767"/>
      <c r="X4767" s="60"/>
    </row>
    <row r="4768" spans="7:24" ht="15" customHeight="1">
      <c r="G4768"/>
      <c r="I4768"/>
      <c r="N4768"/>
      <c r="O4768" s="24"/>
      <c r="P4768"/>
      <c r="Q4768" s="24"/>
      <c r="R4768"/>
      <c r="S4768"/>
      <c r="T4768"/>
      <c r="U4768"/>
      <c r="X4768" s="60"/>
    </row>
    <row r="4769" spans="7:24" ht="15" customHeight="1">
      <c r="G4769"/>
      <c r="I4769"/>
      <c r="N4769"/>
      <c r="O4769" s="24"/>
      <c r="P4769"/>
      <c r="Q4769" s="24"/>
      <c r="R4769"/>
      <c r="S4769"/>
      <c r="T4769"/>
      <c r="U4769"/>
      <c r="X4769" s="60"/>
    </row>
    <row r="4770" spans="7:24" ht="15" customHeight="1">
      <c r="G4770"/>
      <c r="I4770"/>
      <c r="N4770"/>
      <c r="O4770" s="24"/>
      <c r="P4770"/>
      <c r="Q4770" s="24"/>
      <c r="R4770"/>
      <c r="S4770"/>
      <c r="T4770"/>
      <c r="U4770"/>
      <c r="X4770" s="60"/>
    </row>
    <row r="4771" spans="7:24" ht="15" customHeight="1">
      <c r="G4771"/>
      <c r="I4771"/>
      <c r="N4771"/>
      <c r="O4771" s="24"/>
      <c r="P4771"/>
      <c r="Q4771" s="24"/>
      <c r="R4771"/>
      <c r="S4771"/>
      <c r="T4771"/>
      <c r="U4771"/>
      <c r="X4771" s="60"/>
    </row>
    <row r="4772" spans="7:24" ht="15" customHeight="1">
      <c r="G4772"/>
      <c r="I4772"/>
      <c r="N4772"/>
      <c r="O4772" s="24"/>
      <c r="P4772"/>
      <c r="Q4772" s="24"/>
      <c r="R4772"/>
      <c r="S4772"/>
      <c r="T4772"/>
      <c r="U4772"/>
      <c r="X4772" s="60"/>
    </row>
    <row r="4773" spans="7:24" ht="15" customHeight="1">
      <c r="G4773"/>
      <c r="I4773"/>
      <c r="N4773"/>
      <c r="O4773" s="24"/>
      <c r="P4773"/>
      <c r="Q4773" s="24"/>
      <c r="R4773"/>
      <c r="S4773"/>
      <c r="T4773"/>
      <c r="U4773"/>
      <c r="X4773" s="60"/>
    </row>
    <row r="4774" spans="7:24" ht="15" customHeight="1">
      <c r="G4774"/>
      <c r="I4774"/>
      <c r="N4774"/>
      <c r="O4774" s="24"/>
      <c r="P4774"/>
      <c r="Q4774" s="24"/>
      <c r="R4774"/>
      <c r="S4774"/>
      <c r="T4774"/>
      <c r="U4774"/>
      <c r="X4774" s="60"/>
    </row>
    <row r="4775" spans="7:24" ht="15" customHeight="1">
      <c r="G4775"/>
      <c r="I4775"/>
      <c r="N4775"/>
      <c r="O4775" s="24"/>
      <c r="P4775"/>
      <c r="Q4775" s="24"/>
      <c r="R4775"/>
      <c r="S4775"/>
      <c r="T4775"/>
      <c r="U4775"/>
      <c r="X4775" s="60"/>
    </row>
    <row r="4776" spans="7:24" ht="15" customHeight="1">
      <c r="G4776"/>
      <c r="I4776"/>
      <c r="N4776"/>
      <c r="O4776" s="24"/>
      <c r="P4776"/>
      <c r="Q4776" s="24"/>
      <c r="R4776"/>
      <c r="S4776"/>
      <c r="T4776"/>
      <c r="U4776"/>
      <c r="X4776" s="60"/>
    </row>
    <row r="4777" spans="7:24" ht="15" customHeight="1">
      <c r="G4777"/>
      <c r="I4777"/>
      <c r="N4777"/>
      <c r="O4777" s="24"/>
      <c r="P4777"/>
      <c r="Q4777" s="24"/>
      <c r="R4777"/>
      <c r="S4777"/>
      <c r="T4777"/>
      <c r="U4777"/>
      <c r="X4777" s="60"/>
    </row>
    <row r="4778" spans="7:24" ht="15" customHeight="1">
      <c r="G4778"/>
      <c r="I4778"/>
      <c r="N4778"/>
      <c r="O4778" s="24"/>
      <c r="P4778"/>
      <c r="Q4778" s="24"/>
      <c r="R4778"/>
      <c r="S4778"/>
      <c r="T4778"/>
      <c r="U4778"/>
      <c r="X4778" s="60"/>
    </row>
    <row r="4779" spans="7:24" ht="15" customHeight="1">
      <c r="G4779"/>
      <c r="I4779"/>
      <c r="N4779"/>
      <c r="O4779" s="24"/>
      <c r="P4779"/>
      <c r="Q4779" s="24"/>
      <c r="R4779"/>
      <c r="S4779"/>
      <c r="T4779"/>
      <c r="U4779"/>
      <c r="X4779" s="60"/>
    </row>
    <row r="4780" spans="7:24" ht="15" customHeight="1">
      <c r="G4780"/>
      <c r="I4780"/>
      <c r="N4780"/>
      <c r="O4780" s="24"/>
      <c r="P4780"/>
      <c r="Q4780" s="24"/>
      <c r="R4780"/>
      <c r="S4780"/>
      <c r="T4780"/>
      <c r="U4780"/>
      <c r="X4780" s="60"/>
    </row>
    <row r="4781" spans="7:24" ht="15" customHeight="1">
      <c r="G4781"/>
      <c r="I4781"/>
      <c r="N4781"/>
      <c r="O4781" s="24"/>
      <c r="P4781"/>
      <c r="Q4781" s="24"/>
      <c r="R4781"/>
      <c r="S4781"/>
      <c r="T4781"/>
      <c r="U4781"/>
      <c r="X4781" s="60"/>
    </row>
    <row r="4782" spans="7:24" ht="15" customHeight="1">
      <c r="G4782"/>
      <c r="I4782"/>
      <c r="N4782"/>
      <c r="O4782" s="24"/>
      <c r="P4782"/>
      <c r="Q4782" s="24"/>
      <c r="R4782"/>
      <c r="S4782"/>
      <c r="T4782"/>
      <c r="U4782"/>
      <c r="X4782" s="60"/>
    </row>
    <row r="4783" spans="7:24" ht="15" customHeight="1">
      <c r="G4783"/>
      <c r="I4783"/>
      <c r="N4783"/>
      <c r="O4783" s="24"/>
      <c r="P4783"/>
      <c r="Q4783" s="24"/>
      <c r="R4783"/>
      <c r="S4783"/>
      <c r="T4783"/>
      <c r="U4783"/>
      <c r="X4783" s="60"/>
    </row>
    <row r="4784" spans="7:24" ht="15" customHeight="1">
      <c r="G4784"/>
      <c r="I4784"/>
      <c r="N4784"/>
      <c r="O4784" s="24"/>
      <c r="P4784"/>
      <c r="Q4784" s="24"/>
      <c r="R4784"/>
      <c r="S4784"/>
      <c r="T4784"/>
      <c r="U4784"/>
      <c r="X4784" s="60"/>
    </row>
    <row r="4785" spans="7:24" ht="15" customHeight="1">
      <c r="G4785"/>
      <c r="I4785"/>
      <c r="N4785"/>
      <c r="O4785" s="24"/>
      <c r="P4785"/>
      <c r="Q4785" s="24"/>
      <c r="R4785"/>
      <c r="S4785"/>
      <c r="T4785"/>
      <c r="U4785"/>
      <c r="X4785" s="60"/>
    </row>
    <row r="4786" spans="7:24" ht="15" customHeight="1">
      <c r="G4786"/>
      <c r="I4786"/>
      <c r="N4786"/>
      <c r="O4786" s="24"/>
      <c r="P4786"/>
      <c r="Q4786" s="24"/>
      <c r="R4786"/>
      <c r="S4786"/>
      <c r="T4786"/>
      <c r="U4786"/>
      <c r="X4786" s="60"/>
    </row>
    <row r="4787" spans="7:24" ht="15" customHeight="1">
      <c r="G4787"/>
      <c r="I4787"/>
      <c r="N4787"/>
      <c r="O4787" s="24"/>
      <c r="P4787"/>
      <c r="Q4787" s="24"/>
      <c r="R4787"/>
      <c r="S4787"/>
      <c r="T4787"/>
      <c r="U4787"/>
      <c r="X4787" s="60"/>
    </row>
    <row r="4788" spans="7:24" ht="15" customHeight="1">
      <c r="G4788"/>
      <c r="I4788"/>
      <c r="N4788"/>
      <c r="O4788" s="24"/>
      <c r="P4788"/>
      <c r="Q4788" s="24"/>
      <c r="R4788"/>
      <c r="S4788"/>
      <c r="T4788"/>
      <c r="U4788"/>
      <c r="X4788" s="60"/>
    </row>
    <row r="4789" spans="7:24" ht="15" customHeight="1">
      <c r="G4789"/>
      <c r="I4789"/>
      <c r="N4789"/>
      <c r="O4789" s="24"/>
      <c r="P4789"/>
      <c r="Q4789" s="24"/>
      <c r="R4789"/>
      <c r="S4789"/>
      <c r="T4789"/>
      <c r="U4789"/>
      <c r="X4789" s="60"/>
    </row>
    <row r="4790" spans="7:24" ht="15" customHeight="1">
      <c r="G4790"/>
      <c r="I4790"/>
      <c r="N4790"/>
      <c r="O4790" s="24"/>
      <c r="P4790"/>
      <c r="Q4790" s="24"/>
      <c r="R4790"/>
      <c r="S4790"/>
      <c r="T4790"/>
      <c r="U4790"/>
      <c r="X4790" s="60"/>
    </row>
    <row r="4791" spans="7:24" ht="15" customHeight="1">
      <c r="G4791"/>
      <c r="I4791"/>
      <c r="N4791"/>
      <c r="O4791" s="24"/>
      <c r="P4791"/>
      <c r="Q4791" s="24"/>
      <c r="R4791"/>
      <c r="S4791"/>
      <c r="T4791"/>
      <c r="U4791"/>
      <c r="X4791" s="60"/>
    </row>
    <row r="4792" spans="7:24" ht="15" customHeight="1">
      <c r="G4792"/>
      <c r="I4792"/>
      <c r="N4792"/>
      <c r="O4792" s="24"/>
      <c r="P4792"/>
      <c r="Q4792" s="24"/>
      <c r="R4792"/>
      <c r="S4792"/>
      <c r="T4792"/>
      <c r="U4792"/>
      <c r="X4792" s="60"/>
    </row>
    <row r="4793" spans="7:24" ht="15" customHeight="1">
      <c r="G4793"/>
      <c r="I4793"/>
      <c r="N4793"/>
      <c r="O4793" s="24"/>
      <c r="P4793"/>
      <c r="Q4793" s="24"/>
      <c r="R4793"/>
      <c r="S4793"/>
      <c r="T4793"/>
      <c r="U4793"/>
      <c r="X4793" s="60"/>
    </row>
    <row r="4794" spans="7:24" ht="15" customHeight="1">
      <c r="G4794"/>
      <c r="I4794"/>
      <c r="N4794"/>
      <c r="O4794" s="24"/>
      <c r="P4794"/>
      <c r="Q4794" s="24"/>
      <c r="R4794"/>
      <c r="S4794"/>
      <c r="T4794"/>
      <c r="U4794"/>
      <c r="X4794" s="60"/>
    </row>
    <row r="4795" spans="7:24" ht="15" customHeight="1">
      <c r="G4795"/>
      <c r="I4795"/>
      <c r="N4795"/>
      <c r="O4795" s="24"/>
      <c r="P4795"/>
      <c r="Q4795" s="24"/>
      <c r="R4795"/>
      <c r="S4795"/>
      <c r="T4795"/>
      <c r="U4795"/>
      <c r="X4795" s="60"/>
    </row>
    <row r="4796" spans="7:24" ht="15" customHeight="1">
      <c r="G4796"/>
      <c r="I4796"/>
      <c r="N4796"/>
      <c r="O4796" s="24"/>
      <c r="P4796"/>
      <c r="Q4796" s="24"/>
      <c r="R4796"/>
      <c r="S4796"/>
      <c r="T4796"/>
      <c r="U4796"/>
      <c r="X4796" s="60"/>
    </row>
    <row r="4797" spans="7:24" ht="15" customHeight="1">
      <c r="G4797"/>
      <c r="I4797"/>
      <c r="N4797"/>
      <c r="O4797" s="24"/>
      <c r="P4797"/>
      <c r="Q4797" s="24"/>
      <c r="R4797"/>
      <c r="S4797"/>
      <c r="T4797"/>
      <c r="U4797"/>
      <c r="X4797" s="60"/>
    </row>
    <row r="4798" spans="7:24" ht="15" customHeight="1">
      <c r="G4798"/>
      <c r="I4798"/>
      <c r="N4798"/>
      <c r="O4798" s="24"/>
      <c r="P4798"/>
      <c r="Q4798" s="24"/>
      <c r="R4798"/>
      <c r="S4798"/>
      <c r="T4798"/>
      <c r="U4798"/>
      <c r="X4798" s="60"/>
    </row>
    <row r="4799" spans="7:24" ht="15" customHeight="1">
      <c r="G4799"/>
      <c r="I4799"/>
      <c r="N4799"/>
      <c r="O4799" s="24"/>
      <c r="P4799"/>
      <c r="Q4799" s="24"/>
      <c r="R4799"/>
      <c r="S4799"/>
      <c r="T4799"/>
      <c r="U4799"/>
      <c r="X4799" s="60"/>
    </row>
    <row r="4800" spans="7:24" ht="15" customHeight="1">
      <c r="G4800"/>
      <c r="I4800"/>
      <c r="N4800"/>
      <c r="O4800" s="24"/>
      <c r="P4800"/>
      <c r="Q4800" s="24"/>
      <c r="R4800"/>
      <c r="S4800"/>
      <c r="T4800"/>
      <c r="U4800"/>
      <c r="X4800" s="60"/>
    </row>
    <row r="4801" spans="7:24" ht="15" customHeight="1">
      <c r="G4801"/>
      <c r="I4801"/>
      <c r="N4801"/>
      <c r="O4801" s="24"/>
      <c r="P4801"/>
      <c r="Q4801" s="24"/>
      <c r="R4801"/>
      <c r="S4801"/>
      <c r="T4801"/>
      <c r="U4801"/>
      <c r="X4801" s="60"/>
    </row>
    <row r="4802" spans="7:24" ht="15" customHeight="1">
      <c r="G4802"/>
      <c r="I4802"/>
      <c r="N4802"/>
      <c r="O4802" s="24"/>
      <c r="P4802"/>
      <c r="Q4802" s="24"/>
      <c r="R4802"/>
      <c r="S4802"/>
      <c r="T4802"/>
      <c r="U4802"/>
      <c r="X4802" s="60"/>
    </row>
    <row r="4803" spans="7:24" ht="15" customHeight="1">
      <c r="G4803"/>
      <c r="I4803"/>
      <c r="N4803"/>
      <c r="O4803" s="24"/>
      <c r="P4803"/>
      <c r="Q4803" s="24"/>
      <c r="R4803"/>
      <c r="S4803"/>
      <c r="T4803"/>
      <c r="U4803"/>
      <c r="X4803" s="60"/>
    </row>
    <row r="4804" spans="7:24" ht="15" customHeight="1">
      <c r="G4804"/>
      <c r="I4804"/>
      <c r="N4804"/>
      <c r="O4804" s="24"/>
      <c r="P4804"/>
      <c r="Q4804" s="24"/>
      <c r="R4804"/>
      <c r="S4804"/>
      <c r="T4804"/>
      <c r="U4804"/>
      <c r="X4804" s="60"/>
    </row>
    <row r="4805" spans="7:24" ht="15" customHeight="1">
      <c r="G4805"/>
      <c r="I4805"/>
      <c r="N4805"/>
      <c r="O4805" s="24"/>
      <c r="P4805"/>
      <c r="Q4805" s="24"/>
      <c r="R4805"/>
      <c r="S4805"/>
      <c r="T4805"/>
      <c r="U4805"/>
      <c r="X4805" s="60"/>
    </row>
    <row r="4806" spans="7:24" ht="15" customHeight="1">
      <c r="G4806"/>
      <c r="I4806"/>
      <c r="N4806"/>
      <c r="O4806" s="24"/>
      <c r="P4806"/>
      <c r="Q4806" s="24"/>
      <c r="R4806"/>
      <c r="S4806"/>
      <c r="T4806"/>
      <c r="U4806"/>
      <c r="X4806" s="60"/>
    </row>
    <row r="4807" spans="7:24" ht="15" customHeight="1">
      <c r="G4807"/>
      <c r="I4807"/>
      <c r="N4807"/>
      <c r="O4807" s="24"/>
      <c r="P4807"/>
      <c r="Q4807" s="24"/>
      <c r="R4807"/>
      <c r="S4807"/>
      <c r="T4807"/>
      <c r="U4807"/>
      <c r="X4807" s="60"/>
    </row>
    <row r="4808" spans="7:24" ht="15" customHeight="1">
      <c r="G4808"/>
      <c r="I4808"/>
      <c r="N4808"/>
      <c r="O4808" s="24"/>
      <c r="P4808"/>
      <c r="Q4808" s="24"/>
      <c r="R4808"/>
      <c r="S4808"/>
      <c r="T4808"/>
      <c r="U4808"/>
      <c r="X4808" s="60"/>
    </row>
    <row r="4809" spans="7:24" ht="15" customHeight="1">
      <c r="G4809"/>
      <c r="I4809"/>
      <c r="N4809"/>
      <c r="O4809" s="24"/>
      <c r="P4809"/>
      <c r="Q4809" s="24"/>
      <c r="R4809"/>
      <c r="S4809"/>
      <c r="T4809"/>
      <c r="U4809"/>
      <c r="X4809" s="60"/>
    </row>
    <row r="4810" spans="7:24" ht="15" customHeight="1">
      <c r="G4810"/>
      <c r="I4810"/>
      <c r="N4810"/>
      <c r="O4810" s="24"/>
      <c r="P4810"/>
      <c r="Q4810" s="24"/>
      <c r="R4810"/>
      <c r="S4810"/>
      <c r="T4810"/>
      <c r="U4810"/>
      <c r="X4810" s="60"/>
    </row>
    <row r="4811" spans="7:24" ht="15" customHeight="1">
      <c r="G4811"/>
      <c r="I4811"/>
      <c r="N4811"/>
      <c r="O4811" s="24"/>
      <c r="P4811"/>
      <c r="Q4811" s="24"/>
      <c r="R4811"/>
      <c r="S4811"/>
      <c r="T4811"/>
      <c r="U4811"/>
      <c r="X4811" s="60"/>
    </row>
    <row r="4812" spans="7:24" ht="15" customHeight="1">
      <c r="G4812"/>
      <c r="I4812"/>
      <c r="N4812"/>
      <c r="O4812" s="24"/>
      <c r="P4812"/>
      <c r="Q4812" s="24"/>
      <c r="R4812"/>
      <c r="S4812"/>
      <c r="T4812"/>
      <c r="U4812"/>
      <c r="X4812" s="60"/>
    </row>
    <row r="4813" spans="7:24" ht="15" customHeight="1">
      <c r="G4813"/>
      <c r="I4813"/>
      <c r="N4813"/>
      <c r="O4813" s="24"/>
      <c r="P4813"/>
      <c r="Q4813" s="24"/>
      <c r="R4813"/>
      <c r="S4813"/>
      <c r="T4813"/>
      <c r="U4813"/>
      <c r="X4813" s="60"/>
    </row>
    <row r="4814" spans="7:24" ht="15" customHeight="1">
      <c r="G4814"/>
      <c r="I4814"/>
      <c r="N4814"/>
      <c r="O4814" s="24"/>
      <c r="P4814"/>
      <c r="Q4814" s="24"/>
      <c r="R4814"/>
      <c r="S4814"/>
      <c r="T4814"/>
      <c r="U4814"/>
      <c r="X4814" s="60"/>
    </row>
    <row r="4815" spans="7:24" ht="15" customHeight="1">
      <c r="G4815"/>
      <c r="I4815"/>
      <c r="N4815"/>
      <c r="O4815" s="24"/>
      <c r="P4815"/>
      <c r="Q4815" s="24"/>
      <c r="R4815"/>
      <c r="S4815"/>
      <c r="T4815"/>
      <c r="U4815"/>
      <c r="X4815" s="60"/>
    </row>
    <row r="4816" spans="7:24" ht="15" customHeight="1">
      <c r="G4816"/>
      <c r="I4816"/>
      <c r="N4816"/>
      <c r="O4816" s="24"/>
      <c r="P4816"/>
      <c r="Q4816" s="24"/>
      <c r="R4816"/>
      <c r="S4816"/>
      <c r="T4816"/>
      <c r="U4816"/>
      <c r="X4816" s="60"/>
    </row>
    <row r="4817" spans="7:24" ht="15" customHeight="1">
      <c r="G4817"/>
      <c r="I4817"/>
      <c r="N4817"/>
      <c r="O4817" s="24"/>
      <c r="P4817"/>
      <c r="Q4817" s="24"/>
      <c r="R4817"/>
      <c r="S4817"/>
      <c r="T4817"/>
      <c r="U4817"/>
      <c r="X4817" s="60"/>
    </row>
    <row r="4818" spans="7:24" ht="15" customHeight="1">
      <c r="G4818"/>
      <c r="I4818"/>
      <c r="N4818"/>
      <c r="O4818" s="24"/>
      <c r="P4818"/>
      <c r="Q4818" s="24"/>
      <c r="R4818"/>
      <c r="S4818"/>
      <c r="T4818"/>
      <c r="U4818"/>
      <c r="X4818" s="60"/>
    </row>
    <row r="4819" spans="7:24" ht="15" customHeight="1">
      <c r="G4819"/>
      <c r="I4819"/>
      <c r="N4819"/>
      <c r="O4819" s="24"/>
      <c r="P4819"/>
      <c r="Q4819" s="24"/>
      <c r="R4819"/>
      <c r="S4819"/>
      <c r="T4819"/>
      <c r="U4819"/>
      <c r="X4819" s="60"/>
    </row>
    <row r="4820" spans="7:24" ht="15" customHeight="1">
      <c r="G4820"/>
      <c r="I4820"/>
      <c r="N4820"/>
      <c r="O4820" s="24"/>
      <c r="P4820"/>
      <c r="Q4820" s="24"/>
      <c r="R4820"/>
      <c r="S4820"/>
      <c r="T4820"/>
      <c r="U4820"/>
      <c r="X4820" s="60"/>
    </row>
    <row r="4821" spans="7:24" ht="15" customHeight="1">
      <c r="G4821"/>
      <c r="I4821"/>
      <c r="N4821"/>
      <c r="O4821" s="24"/>
      <c r="P4821"/>
      <c r="Q4821" s="24"/>
      <c r="R4821"/>
      <c r="S4821"/>
      <c r="T4821"/>
      <c r="U4821"/>
      <c r="X4821" s="60"/>
    </row>
    <row r="4822" spans="7:24" ht="15" customHeight="1">
      <c r="G4822"/>
      <c r="I4822"/>
      <c r="N4822"/>
      <c r="O4822" s="24"/>
      <c r="P4822"/>
      <c r="Q4822" s="24"/>
      <c r="R4822"/>
      <c r="S4822"/>
      <c r="T4822"/>
      <c r="U4822"/>
      <c r="X4822" s="60"/>
    </row>
    <row r="4823" spans="7:24" ht="15" customHeight="1">
      <c r="G4823"/>
      <c r="I4823"/>
      <c r="N4823"/>
      <c r="O4823" s="24"/>
      <c r="P4823"/>
      <c r="Q4823" s="24"/>
      <c r="R4823"/>
      <c r="S4823"/>
      <c r="T4823"/>
      <c r="U4823"/>
      <c r="X4823" s="60"/>
    </row>
    <row r="4824" spans="7:24" ht="15" customHeight="1">
      <c r="G4824"/>
      <c r="I4824"/>
      <c r="N4824"/>
      <c r="O4824" s="24"/>
      <c r="P4824"/>
      <c r="Q4824" s="24"/>
      <c r="R4824"/>
      <c r="S4824"/>
      <c r="T4824"/>
      <c r="U4824"/>
      <c r="X4824" s="60"/>
    </row>
    <row r="4825" spans="7:24" ht="15" customHeight="1">
      <c r="G4825"/>
      <c r="I4825"/>
      <c r="N4825"/>
      <c r="O4825" s="24"/>
      <c r="P4825"/>
      <c r="Q4825" s="24"/>
      <c r="R4825"/>
      <c r="S4825"/>
      <c r="T4825"/>
      <c r="U4825"/>
      <c r="X4825" s="60"/>
    </row>
    <row r="4826" spans="7:24" ht="15" customHeight="1">
      <c r="G4826"/>
      <c r="I4826"/>
      <c r="N4826"/>
      <c r="O4826" s="24"/>
      <c r="P4826"/>
      <c r="Q4826" s="24"/>
      <c r="R4826"/>
      <c r="S4826"/>
      <c r="T4826"/>
      <c r="U4826"/>
      <c r="X4826" s="60"/>
    </row>
    <row r="4827" spans="7:24" ht="15" customHeight="1">
      <c r="G4827"/>
      <c r="I4827"/>
      <c r="N4827"/>
      <c r="O4827" s="24"/>
      <c r="P4827"/>
      <c r="Q4827" s="24"/>
      <c r="R4827"/>
      <c r="S4827"/>
      <c r="T4827"/>
      <c r="U4827"/>
      <c r="X4827" s="60"/>
    </row>
    <row r="4828" spans="7:24" ht="15" customHeight="1">
      <c r="G4828"/>
      <c r="I4828"/>
      <c r="N4828"/>
      <c r="O4828" s="24"/>
      <c r="P4828"/>
      <c r="Q4828" s="24"/>
      <c r="R4828"/>
      <c r="S4828"/>
      <c r="T4828"/>
      <c r="U4828"/>
      <c r="X4828" s="60"/>
    </row>
    <row r="4829" spans="7:24" ht="15" customHeight="1">
      <c r="G4829"/>
      <c r="I4829"/>
      <c r="N4829"/>
      <c r="O4829" s="24"/>
      <c r="P4829"/>
      <c r="Q4829" s="24"/>
      <c r="R4829"/>
      <c r="S4829"/>
      <c r="T4829"/>
      <c r="U4829"/>
      <c r="X4829" s="60"/>
    </row>
    <row r="4830" spans="7:24" ht="15" customHeight="1">
      <c r="G4830"/>
      <c r="I4830"/>
      <c r="N4830"/>
      <c r="O4830" s="24"/>
      <c r="P4830"/>
      <c r="Q4830" s="24"/>
      <c r="R4830"/>
      <c r="S4830"/>
      <c r="T4830"/>
      <c r="U4830"/>
      <c r="X4830" s="60"/>
    </row>
    <row r="4831" spans="7:24" ht="15" customHeight="1">
      <c r="G4831"/>
      <c r="I4831"/>
      <c r="N4831"/>
      <c r="O4831" s="24"/>
      <c r="P4831"/>
      <c r="Q4831" s="24"/>
      <c r="R4831"/>
      <c r="S4831"/>
      <c r="T4831"/>
      <c r="U4831"/>
      <c r="X4831" s="60"/>
    </row>
    <row r="4832" spans="7:24" ht="15" customHeight="1">
      <c r="G4832"/>
      <c r="I4832"/>
      <c r="N4832"/>
      <c r="O4832" s="24"/>
      <c r="P4832"/>
      <c r="Q4832" s="24"/>
      <c r="R4832"/>
      <c r="S4832"/>
      <c r="T4832"/>
      <c r="U4832"/>
      <c r="X4832" s="60"/>
    </row>
    <row r="4833" spans="7:24" ht="15" customHeight="1">
      <c r="G4833"/>
      <c r="I4833"/>
      <c r="N4833"/>
      <c r="O4833" s="24"/>
      <c r="P4833"/>
      <c r="Q4833" s="24"/>
      <c r="R4833"/>
      <c r="S4833"/>
      <c r="T4833"/>
      <c r="U4833"/>
      <c r="X4833" s="60"/>
    </row>
    <row r="4834" spans="7:24" ht="15" customHeight="1">
      <c r="G4834"/>
      <c r="I4834"/>
      <c r="N4834"/>
      <c r="O4834" s="24"/>
      <c r="P4834"/>
      <c r="Q4834" s="24"/>
      <c r="R4834"/>
      <c r="S4834"/>
      <c r="T4834"/>
      <c r="U4834"/>
      <c r="X4834" s="60"/>
    </row>
    <row r="4835" spans="7:24" ht="15" customHeight="1">
      <c r="G4835"/>
      <c r="I4835"/>
      <c r="N4835"/>
      <c r="O4835" s="24"/>
      <c r="P4835"/>
      <c r="Q4835" s="24"/>
      <c r="R4835"/>
      <c r="S4835"/>
      <c r="T4835"/>
      <c r="U4835"/>
      <c r="X4835" s="60"/>
    </row>
    <row r="4836" spans="7:24" ht="15" customHeight="1">
      <c r="G4836"/>
      <c r="I4836"/>
      <c r="N4836"/>
      <c r="O4836" s="24"/>
      <c r="P4836"/>
      <c r="Q4836" s="24"/>
      <c r="R4836"/>
      <c r="S4836"/>
      <c r="T4836"/>
      <c r="U4836"/>
      <c r="X4836" s="60"/>
    </row>
    <row r="4837" spans="7:24" ht="15" customHeight="1">
      <c r="G4837"/>
      <c r="I4837"/>
      <c r="N4837"/>
      <c r="O4837" s="24"/>
      <c r="P4837"/>
      <c r="Q4837" s="24"/>
      <c r="R4837"/>
      <c r="S4837"/>
      <c r="T4837"/>
      <c r="U4837"/>
      <c r="X4837" s="60"/>
    </row>
    <row r="4838" spans="7:24" ht="15" customHeight="1">
      <c r="G4838"/>
      <c r="I4838"/>
      <c r="N4838"/>
      <c r="O4838" s="24"/>
      <c r="P4838"/>
      <c r="Q4838" s="24"/>
      <c r="R4838"/>
      <c r="S4838"/>
      <c r="T4838"/>
      <c r="U4838"/>
      <c r="X4838" s="60"/>
    </row>
    <row r="4839" spans="7:24" ht="15" customHeight="1">
      <c r="G4839"/>
      <c r="I4839"/>
      <c r="N4839"/>
      <c r="O4839" s="24"/>
      <c r="P4839"/>
      <c r="Q4839" s="24"/>
      <c r="R4839"/>
      <c r="S4839"/>
      <c r="T4839"/>
      <c r="U4839"/>
      <c r="X4839" s="60"/>
    </row>
    <row r="4840" spans="7:24" ht="15" customHeight="1">
      <c r="G4840"/>
      <c r="I4840"/>
      <c r="N4840"/>
      <c r="O4840" s="24"/>
      <c r="P4840"/>
      <c r="Q4840" s="24"/>
      <c r="R4840"/>
      <c r="S4840"/>
      <c r="T4840"/>
      <c r="U4840"/>
      <c r="X4840" s="60"/>
    </row>
    <row r="4841" spans="7:24" ht="15" customHeight="1">
      <c r="G4841"/>
      <c r="I4841"/>
      <c r="N4841"/>
      <c r="O4841" s="24"/>
      <c r="P4841"/>
      <c r="Q4841" s="24"/>
      <c r="R4841"/>
      <c r="S4841"/>
      <c r="T4841"/>
      <c r="U4841"/>
      <c r="X4841" s="60"/>
    </row>
    <row r="4842" spans="7:24" ht="15" customHeight="1">
      <c r="G4842"/>
      <c r="I4842"/>
      <c r="N4842"/>
      <c r="O4842" s="24"/>
      <c r="P4842"/>
      <c r="Q4842" s="24"/>
      <c r="R4842"/>
      <c r="S4842"/>
      <c r="T4842"/>
      <c r="U4842"/>
      <c r="X4842" s="60"/>
    </row>
    <row r="4843" spans="7:24" ht="15" customHeight="1">
      <c r="G4843"/>
      <c r="I4843"/>
      <c r="N4843"/>
      <c r="O4843" s="24"/>
      <c r="P4843"/>
      <c r="Q4843" s="24"/>
      <c r="R4843"/>
      <c r="S4843"/>
      <c r="T4843"/>
      <c r="U4843"/>
      <c r="X4843" s="60"/>
    </row>
    <row r="4844" spans="7:24" ht="15" customHeight="1">
      <c r="G4844"/>
      <c r="I4844"/>
      <c r="N4844"/>
      <c r="O4844" s="24"/>
      <c r="P4844"/>
      <c r="Q4844" s="24"/>
      <c r="R4844"/>
      <c r="S4844"/>
      <c r="T4844"/>
      <c r="U4844"/>
      <c r="X4844" s="60"/>
    </row>
    <row r="4845" spans="7:24" ht="15" customHeight="1">
      <c r="G4845"/>
      <c r="I4845"/>
      <c r="N4845"/>
      <c r="O4845" s="24"/>
      <c r="P4845"/>
      <c r="Q4845" s="24"/>
      <c r="R4845"/>
      <c r="S4845"/>
      <c r="T4845"/>
      <c r="U4845"/>
      <c r="X4845" s="60"/>
    </row>
    <row r="4846" spans="7:24" ht="15" customHeight="1">
      <c r="G4846"/>
      <c r="I4846"/>
      <c r="N4846"/>
      <c r="O4846" s="24"/>
      <c r="P4846"/>
      <c r="Q4846" s="24"/>
      <c r="R4846"/>
      <c r="S4846"/>
      <c r="T4846"/>
      <c r="U4846"/>
      <c r="X4846" s="60"/>
    </row>
    <row r="4847" spans="7:24" ht="15" customHeight="1">
      <c r="G4847"/>
      <c r="I4847"/>
      <c r="N4847"/>
      <c r="O4847" s="24"/>
      <c r="P4847"/>
      <c r="Q4847" s="24"/>
      <c r="R4847"/>
      <c r="S4847"/>
      <c r="T4847"/>
      <c r="U4847"/>
      <c r="X4847" s="60"/>
    </row>
    <row r="4848" spans="7:24" ht="15" customHeight="1">
      <c r="G4848"/>
      <c r="I4848"/>
      <c r="N4848"/>
      <c r="O4848" s="24"/>
      <c r="P4848"/>
      <c r="Q4848" s="24"/>
      <c r="R4848"/>
      <c r="S4848"/>
      <c r="T4848"/>
      <c r="U4848"/>
      <c r="X4848" s="60"/>
    </row>
    <row r="4849" spans="7:24" ht="15" customHeight="1">
      <c r="G4849"/>
      <c r="I4849"/>
      <c r="N4849"/>
      <c r="O4849" s="24"/>
      <c r="P4849"/>
      <c r="Q4849" s="24"/>
      <c r="R4849"/>
      <c r="S4849"/>
      <c r="T4849"/>
      <c r="U4849"/>
      <c r="X4849" s="60"/>
    </row>
    <row r="4850" spans="7:24" ht="15" customHeight="1">
      <c r="G4850"/>
      <c r="I4850"/>
      <c r="N4850"/>
      <c r="O4850" s="24"/>
      <c r="P4850"/>
      <c r="Q4850" s="24"/>
      <c r="R4850"/>
      <c r="S4850"/>
      <c r="T4850"/>
      <c r="U4850"/>
      <c r="X4850" s="60"/>
    </row>
    <row r="4851" spans="7:24" ht="15" customHeight="1">
      <c r="G4851"/>
      <c r="I4851"/>
      <c r="N4851"/>
      <c r="O4851" s="24"/>
      <c r="P4851"/>
      <c r="Q4851" s="24"/>
      <c r="R4851"/>
      <c r="S4851"/>
      <c r="T4851"/>
      <c r="U4851"/>
      <c r="X4851" s="60"/>
    </row>
    <row r="4852" spans="7:24" ht="15" customHeight="1">
      <c r="G4852"/>
      <c r="I4852"/>
      <c r="N4852"/>
      <c r="O4852" s="24"/>
      <c r="P4852"/>
      <c r="Q4852" s="24"/>
      <c r="R4852"/>
      <c r="S4852"/>
      <c r="T4852"/>
      <c r="U4852"/>
      <c r="X4852" s="60"/>
    </row>
    <row r="4853" spans="7:24" ht="15" customHeight="1">
      <c r="G4853"/>
      <c r="I4853"/>
      <c r="N4853"/>
      <c r="O4853" s="24"/>
      <c r="P4853"/>
      <c r="Q4853" s="24"/>
      <c r="R4853"/>
      <c r="S4853"/>
      <c r="T4853"/>
      <c r="U4853"/>
      <c r="X4853" s="60"/>
    </row>
    <row r="4854" spans="7:24" ht="15" customHeight="1">
      <c r="G4854"/>
      <c r="I4854"/>
      <c r="N4854"/>
      <c r="O4854" s="24"/>
      <c r="P4854"/>
      <c r="Q4854" s="24"/>
      <c r="R4854"/>
      <c r="S4854"/>
      <c r="T4854"/>
      <c r="U4854"/>
      <c r="X4854" s="60"/>
    </row>
    <row r="4855" spans="7:24" ht="15" customHeight="1">
      <c r="G4855"/>
      <c r="I4855"/>
      <c r="N4855"/>
      <c r="O4855" s="24"/>
      <c r="P4855"/>
      <c r="Q4855" s="24"/>
      <c r="R4855"/>
      <c r="S4855"/>
      <c r="T4855"/>
      <c r="U4855"/>
      <c r="X4855" s="60"/>
    </row>
    <row r="4856" spans="7:24" ht="15" customHeight="1">
      <c r="G4856"/>
      <c r="I4856"/>
      <c r="N4856"/>
      <c r="O4856" s="24"/>
      <c r="P4856"/>
      <c r="Q4856" s="24"/>
      <c r="R4856"/>
      <c r="S4856"/>
      <c r="T4856"/>
      <c r="U4856"/>
      <c r="X4856" s="60"/>
    </row>
    <row r="4857" spans="7:24" ht="15" customHeight="1">
      <c r="G4857"/>
      <c r="I4857"/>
      <c r="N4857"/>
      <c r="O4857" s="24"/>
      <c r="P4857"/>
      <c r="Q4857" s="24"/>
      <c r="R4857"/>
      <c r="S4857"/>
      <c r="T4857"/>
      <c r="U4857"/>
      <c r="X4857" s="60"/>
    </row>
    <row r="4858" spans="7:24" ht="15" customHeight="1">
      <c r="G4858"/>
      <c r="I4858"/>
      <c r="N4858"/>
      <c r="O4858" s="24"/>
      <c r="P4858"/>
      <c r="Q4858" s="24"/>
      <c r="R4858"/>
      <c r="S4858"/>
      <c r="T4858"/>
      <c r="U4858"/>
      <c r="X4858" s="60"/>
    </row>
    <row r="4859" spans="7:24" ht="15" customHeight="1">
      <c r="G4859"/>
      <c r="I4859"/>
      <c r="N4859"/>
      <c r="O4859" s="24"/>
      <c r="P4859"/>
      <c r="Q4859" s="24"/>
      <c r="R4859"/>
      <c r="S4859"/>
      <c r="T4859"/>
      <c r="U4859"/>
      <c r="X4859" s="60"/>
    </row>
    <row r="4860" spans="7:24" ht="15" customHeight="1">
      <c r="G4860"/>
      <c r="I4860"/>
      <c r="N4860"/>
      <c r="O4860" s="24"/>
      <c r="P4860"/>
      <c r="Q4860" s="24"/>
      <c r="R4860"/>
      <c r="S4860"/>
      <c r="T4860"/>
      <c r="U4860"/>
      <c r="X4860" s="60"/>
    </row>
    <row r="4861" spans="7:24" ht="15" customHeight="1">
      <c r="G4861"/>
      <c r="I4861"/>
      <c r="N4861"/>
      <c r="O4861" s="24"/>
      <c r="P4861"/>
      <c r="Q4861" s="24"/>
      <c r="R4861"/>
      <c r="S4861"/>
      <c r="T4861"/>
      <c r="U4861"/>
      <c r="X4861" s="60"/>
    </row>
    <row r="4862" spans="7:24" ht="15" customHeight="1">
      <c r="G4862"/>
      <c r="I4862"/>
      <c r="N4862"/>
      <c r="O4862" s="24"/>
      <c r="P4862"/>
      <c r="Q4862" s="24"/>
      <c r="R4862"/>
      <c r="S4862"/>
      <c r="T4862"/>
      <c r="U4862"/>
      <c r="X4862" s="60"/>
    </row>
    <row r="4863" spans="7:24" ht="15" customHeight="1">
      <c r="G4863"/>
      <c r="I4863"/>
      <c r="N4863"/>
      <c r="O4863" s="24"/>
      <c r="P4863"/>
      <c r="Q4863" s="24"/>
      <c r="R4863"/>
      <c r="S4863"/>
      <c r="T4863"/>
      <c r="U4863"/>
      <c r="X4863" s="60"/>
    </row>
    <row r="4864" spans="7:24" ht="15" customHeight="1">
      <c r="G4864"/>
      <c r="I4864"/>
      <c r="N4864"/>
      <c r="O4864" s="24"/>
      <c r="P4864"/>
      <c r="Q4864" s="24"/>
      <c r="R4864"/>
      <c r="S4864"/>
      <c r="T4864"/>
      <c r="U4864"/>
      <c r="X4864" s="60"/>
    </row>
    <row r="4865" spans="7:24" ht="15" customHeight="1">
      <c r="G4865"/>
      <c r="I4865"/>
      <c r="N4865"/>
      <c r="O4865" s="24"/>
      <c r="P4865"/>
      <c r="Q4865" s="24"/>
      <c r="R4865"/>
      <c r="S4865"/>
      <c r="T4865"/>
      <c r="U4865"/>
      <c r="X4865" s="60"/>
    </row>
    <row r="4866" spans="7:24" ht="15" customHeight="1">
      <c r="G4866"/>
      <c r="I4866"/>
      <c r="N4866"/>
      <c r="O4866" s="24"/>
      <c r="P4866"/>
      <c r="Q4866" s="24"/>
      <c r="R4866"/>
      <c r="S4866"/>
      <c r="T4866"/>
      <c r="U4866"/>
      <c r="X4866" s="60"/>
    </row>
    <row r="4867" spans="7:24" ht="15" customHeight="1">
      <c r="G4867"/>
      <c r="I4867"/>
      <c r="N4867"/>
      <c r="O4867" s="24"/>
      <c r="P4867"/>
      <c r="Q4867" s="24"/>
      <c r="R4867"/>
      <c r="S4867"/>
      <c r="T4867"/>
      <c r="U4867"/>
      <c r="X4867" s="60"/>
    </row>
    <row r="4868" spans="7:24" ht="15" customHeight="1">
      <c r="G4868"/>
      <c r="I4868"/>
      <c r="N4868"/>
      <c r="O4868" s="24"/>
      <c r="P4868"/>
      <c r="Q4868" s="24"/>
      <c r="R4868"/>
      <c r="S4868"/>
      <c r="T4868"/>
      <c r="U4868"/>
      <c r="X4868" s="60"/>
    </row>
    <row r="4869" spans="7:24" ht="15" customHeight="1">
      <c r="G4869"/>
      <c r="I4869"/>
      <c r="N4869"/>
      <c r="O4869" s="24"/>
      <c r="P4869"/>
      <c r="Q4869" s="24"/>
      <c r="R4869"/>
      <c r="S4869"/>
      <c r="T4869"/>
      <c r="U4869"/>
      <c r="X4869" s="60"/>
    </row>
    <row r="4870" spans="7:24" ht="15" customHeight="1">
      <c r="G4870"/>
      <c r="I4870"/>
      <c r="N4870"/>
      <c r="O4870" s="24"/>
      <c r="P4870"/>
      <c r="Q4870" s="24"/>
      <c r="R4870"/>
      <c r="S4870"/>
      <c r="T4870"/>
      <c r="U4870"/>
      <c r="X4870" s="60"/>
    </row>
    <row r="4871" spans="7:24" ht="15" customHeight="1">
      <c r="G4871"/>
      <c r="I4871"/>
      <c r="N4871"/>
      <c r="O4871" s="24"/>
      <c r="P4871"/>
      <c r="Q4871" s="24"/>
      <c r="R4871"/>
      <c r="S4871"/>
      <c r="T4871"/>
      <c r="U4871"/>
      <c r="X4871" s="60"/>
    </row>
    <row r="4872" spans="7:24" ht="15" customHeight="1">
      <c r="G4872"/>
      <c r="I4872"/>
      <c r="N4872"/>
      <c r="O4872" s="24"/>
      <c r="P4872"/>
      <c r="Q4872" s="24"/>
      <c r="R4872"/>
      <c r="S4872"/>
      <c r="T4872"/>
      <c r="U4872"/>
      <c r="X4872" s="60"/>
    </row>
    <row r="4873" spans="7:24" ht="15" customHeight="1">
      <c r="G4873"/>
      <c r="I4873"/>
      <c r="N4873"/>
      <c r="O4873" s="24"/>
      <c r="P4873"/>
      <c r="Q4873" s="24"/>
      <c r="R4873"/>
      <c r="S4873"/>
      <c r="T4873"/>
      <c r="U4873"/>
      <c r="X4873" s="60"/>
    </row>
    <row r="4874" spans="7:24" ht="15" customHeight="1">
      <c r="G4874"/>
      <c r="I4874"/>
      <c r="N4874"/>
      <c r="O4874" s="24"/>
      <c r="P4874"/>
      <c r="Q4874" s="24"/>
      <c r="R4874"/>
      <c r="S4874"/>
      <c r="T4874"/>
      <c r="U4874"/>
      <c r="X4874" s="60"/>
    </row>
    <row r="4875" spans="7:24" ht="15" customHeight="1">
      <c r="G4875"/>
      <c r="I4875"/>
      <c r="N4875"/>
      <c r="O4875" s="24"/>
      <c r="P4875"/>
      <c r="Q4875" s="24"/>
      <c r="R4875"/>
      <c r="S4875"/>
      <c r="T4875"/>
      <c r="U4875"/>
      <c r="X4875" s="60"/>
    </row>
    <row r="4876" spans="7:24" ht="15" customHeight="1">
      <c r="G4876"/>
      <c r="I4876"/>
      <c r="N4876"/>
      <c r="O4876" s="24"/>
      <c r="P4876"/>
      <c r="Q4876" s="24"/>
      <c r="R4876"/>
      <c r="S4876"/>
      <c r="T4876"/>
      <c r="U4876"/>
      <c r="X4876" s="60"/>
    </row>
    <row r="4877" spans="7:24" ht="15" customHeight="1">
      <c r="G4877"/>
      <c r="I4877"/>
      <c r="N4877"/>
      <c r="O4877" s="24"/>
      <c r="P4877"/>
      <c r="Q4877" s="24"/>
      <c r="R4877"/>
      <c r="S4877"/>
      <c r="T4877"/>
      <c r="U4877"/>
      <c r="X4877" s="60"/>
    </row>
    <row r="4878" spans="7:24" ht="15" customHeight="1">
      <c r="G4878"/>
      <c r="I4878"/>
      <c r="N4878"/>
      <c r="O4878" s="24"/>
      <c r="P4878"/>
      <c r="Q4878" s="24"/>
      <c r="R4878"/>
      <c r="S4878"/>
      <c r="T4878"/>
      <c r="U4878"/>
      <c r="X4878" s="60"/>
    </row>
    <row r="4879" spans="7:24" ht="15" customHeight="1">
      <c r="G4879"/>
      <c r="I4879"/>
      <c r="N4879"/>
      <c r="O4879" s="24"/>
      <c r="P4879"/>
      <c r="Q4879" s="24"/>
      <c r="R4879"/>
      <c r="S4879"/>
      <c r="T4879"/>
      <c r="U4879"/>
      <c r="X4879" s="60"/>
    </row>
    <row r="4880" spans="7:24" ht="15" customHeight="1">
      <c r="G4880"/>
      <c r="I4880"/>
      <c r="N4880"/>
      <c r="O4880" s="24"/>
      <c r="P4880"/>
      <c r="Q4880" s="24"/>
      <c r="R4880"/>
      <c r="S4880"/>
      <c r="T4880"/>
      <c r="U4880"/>
      <c r="X4880" s="60"/>
    </row>
    <row r="4881" spans="7:24" ht="15" customHeight="1">
      <c r="G4881"/>
      <c r="I4881"/>
      <c r="N4881"/>
      <c r="O4881" s="24"/>
      <c r="P4881"/>
      <c r="Q4881" s="24"/>
      <c r="R4881"/>
      <c r="S4881"/>
      <c r="T4881"/>
      <c r="U4881"/>
      <c r="X4881" s="60"/>
    </row>
    <row r="4882" spans="7:24" ht="15" customHeight="1">
      <c r="G4882"/>
      <c r="I4882"/>
      <c r="N4882"/>
      <c r="O4882" s="24"/>
      <c r="P4882"/>
      <c r="Q4882" s="24"/>
      <c r="R4882"/>
      <c r="S4882"/>
      <c r="T4882"/>
      <c r="U4882"/>
      <c r="X4882" s="60"/>
    </row>
    <row r="4883" spans="7:24" ht="15" customHeight="1">
      <c r="G4883"/>
      <c r="I4883"/>
      <c r="N4883"/>
      <c r="O4883" s="24"/>
      <c r="P4883"/>
      <c r="Q4883" s="24"/>
      <c r="R4883"/>
      <c r="S4883"/>
      <c r="T4883"/>
      <c r="U4883"/>
      <c r="X4883" s="60"/>
    </row>
    <row r="4884" spans="7:24" ht="15" customHeight="1">
      <c r="G4884"/>
      <c r="I4884"/>
      <c r="N4884"/>
      <c r="O4884" s="24"/>
      <c r="P4884"/>
      <c r="Q4884" s="24"/>
      <c r="R4884"/>
      <c r="S4884"/>
      <c r="T4884"/>
      <c r="U4884"/>
      <c r="X4884" s="60"/>
    </row>
    <row r="4885" spans="7:24" ht="15" customHeight="1">
      <c r="G4885"/>
      <c r="I4885"/>
      <c r="N4885"/>
      <c r="O4885" s="24"/>
      <c r="P4885"/>
      <c r="Q4885" s="24"/>
      <c r="R4885"/>
      <c r="S4885"/>
      <c r="T4885"/>
      <c r="U4885"/>
      <c r="X4885" s="60"/>
    </row>
    <row r="4886" spans="7:24" ht="15" customHeight="1">
      <c r="G4886"/>
      <c r="I4886"/>
      <c r="N4886"/>
      <c r="O4886" s="24"/>
      <c r="P4886"/>
      <c r="Q4886" s="24"/>
      <c r="R4886"/>
      <c r="S4886"/>
      <c r="T4886"/>
      <c r="U4886"/>
      <c r="X4886" s="60"/>
    </row>
    <row r="4887" spans="7:24" ht="15" customHeight="1">
      <c r="G4887"/>
      <c r="I4887"/>
      <c r="N4887"/>
      <c r="O4887" s="24"/>
      <c r="P4887"/>
      <c r="Q4887" s="24"/>
      <c r="R4887"/>
      <c r="S4887"/>
      <c r="T4887"/>
      <c r="U4887"/>
      <c r="X4887" s="60"/>
    </row>
    <row r="4888" spans="7:24" ht="15" customHeight="1">
      <c r="G4888"/>
      <c r="I4888"/>
      <c r="N4888"/>
      <c r="O4888" s="24"/>
      <c r="P4888"/>
      <c r="Q4888" s="24"/>
      <c r="R4888"/>
      <c r="S4888"/>
      <c r="T4888"/>
      <c r="U4888"/>
      <c r="X4888" s="60"/>
    </row>
    <row r="4889" spans="7:24" ht="15" customHeight="1">
      <c r="G4889"/>
      <c r="I4889"/>
      <c r="N4889"/>
      <c r="O4889" s="24"/>
      <c r="P4889"/>
      <c r="Q4889" s="24"/>
      <c r="R4889"/>
      <c r="S4889"/>
      <c r="T4889"/>
      <c r="U4889"/>
      <c r="X4889" s="60"/>
    </row>
    <row r="4890" spans="7:24" ht="15" customHeight="1">
      <c r="G4890"/>
      <c r="I4890"/>
      <c r="N4890"/>
      <c r="O4890" s="24"/>
      <c r="P4890"/>
      <c r="Q4890" s="24"/>
      <c r="R4890"/>
      <c r="S4890"/>
      <c r="T4890"/>
      <c r="U4890"/>
      <c r="X4890" s="60"/>
    </row>
    <row r="4891" spans="7:24" ht="15" customHeight="1">
      <c r="G4891"/>
      <c r="I4891"/>
      <c r="N4891"/>
      <c r="O4891" s="24"/>
      <c r="P4891"/>
      <c r="Q4891" s="24"/>
      <c r="R4891"/>
      <c r="S4891"/>
      <c r="T4891"/>
      <c r="U4891"/>
      <c r="X4891" s="60"/>
    </row>
    <row r="4892" spans="7:24" ht="15" customHeight="1">
      <c r="G4892"/>
      <c r="I4892"/>
      <c r="N4892"/>
      <c r="O4892" s="24"/>
      <c r="P4892"/>
      <c r="Q4892" s="24"/>
      <c r="R4892"/>
      <c r="S4892"/>
      <c r="T4892"/>
      <c r="U4892"/>
      <c r="X4892" s="60"/>
    </row>
    <row r="4893" spans="7:24" ht="15" customHeight="1">
      <c r="G4893"/>
      <c r="I4893"/>
      <c r="N4893"/>
      <c r="O4893" s="24"/>
      <c r="P4893"/>
      <c r="Q4893" s="24"/>
      <c r="R4893"/>
      <c r="S4893"/>
      <c r="T4893"/>
      <c r="U4893"/>
      <c r="X4893" s="60"/>
    </row>
    <row r="4894" spans="7:24" ht="15" customHeight="1">
      <c r="G4894"/>
      <c r="I4894"/>
      <c r="N4894"/>
      <c r="O4894" s="24"/>
      <c r="P4894"/>
      <c r="Q4894" s="24"/>
      <c r="R4894"/>
      <c r="S4894"/>
      <c r="T4894"/>
      <c r="U4894"/>
      <c r="X4894" s="60"/>
    </row>
    <row r="4895" spans="7:24" ht="15" customHeight="1">
      <c r="G4895"/>
      <c r="I4895"/>
      <c r="N4895"/>
      <c r="O4895" s="24"/>
      <c r="P4895"/>
      <c r="Q4895" s="24"/>
      <c r="R4895"/>
      <c r="S4895"/>
      <c r="T4895"/>
      <c r="U4895"/>
      <c r="X4895" s="60"/>
    </row>
    <row r="4896" spans="7:24" ht="15" customHeight="1">
      <c r="G4896"/>
      <c r="I4896"/>
      <c r="N4896"/>
      <c r="O4896" s="24"/>
      <c r="P4896"/>
      <c r="Q4896" s="24"/>
      <c r="R4896"/>
      <c r="S4896"/>
      <c r="T4896"/>
      <c r="U4896"/>
      <c r="X4896" s="60"/>
    </row>
    <row r="4897" spans="7:24" ht="15" customHeight="1">
      <c r="G4897"/>
      <c r="I4897"/>
      <c r="N4897"/>
      <c r="O4897" s="24"/>
      <c r="P4897"/>
      <c r="Q4897" s="24"/>
      <c r="R4897"/>
      <c r="S4897"/>
      <c r="T4897"/>
      <c r="U4897"/>
      <c r="X4897" s="60"/>
    </row>
    <row r="4898" spans="7:24" ht="15" customHeight="1">
      <c r="G4898"/>
      <c r="I4898"/>
      <c r="N4898"/>
      <c r="O4898" s="24"/>
      <c r="P4898"/>
      <c r="Q4898" s="24"/>
      <c r="R4898"/>
      <c r="S4898"/>
      <c r="T4898"/>
      <c r="U4898"/>
      <c r="X4898" s="60"/>
    </row>
    <row r="4899" spans="7:24" ht="15" customHeight="1">
      <c r="G4899"/>
      <c r="I4899"/>
      <c r="N4899"/>
      <c r="O4899" s="24"/>
      <c r="P4899"/>
      <c r="Q4899" s="24"/>
      <c r="R4899"/>
      <c r="S4899"/>
      <c r="T4899"/>
      <c r="U4899"/>
      <c r="X4899" s="60"/>
    </row>
    <row r="4900" spans="7:24" ht="15" customHeight="1">
      <c r="G4900"/>
      <c r="I4900"/>
      <c r="N4900"/>
      <c r="O4900" s="24"/>
      <c r="P4900"/>
      <c r="Q4900" s="24"/>
      <c r="R4900"/>
      <c r="S4900"/>
      <c r="T4900"/>
      <c r="U4900"/>
      <c r="X4900" s="60"/>
    </row>
    <row r="4901" spans="7:24" ht="15" customHeight="1">
      <c r="G4901"/>
      <c r="I4901"/>
      <c r="N4901"/>
      <c r="O4901" s="24"/>
      <c r="P4901"/>
      <c r="Q4901" s="24"/>
      <c r="R4901"/>
      <c r="S4901"/>
      <c r="T4901"/>
      <c r="U4901"/>
      <c r="X4901" s="60"/>
    </row>
    <row r="4902" spans="7:24" ht="15" customHeight="1">
      <c r="G4902"/>
      <c r="I4902"/>
      <c r="N4902"/>
      <c r="O4902" s="24"/>
      <c r="P4902"/>
      <c r="Q4902" s="24"/>
      <c r="R4902"/>
      <c r="S4902"/>
      <c r="T4902"/>
      <c r="U4902"/>
      <c r="X4902" s="60"/>
    </row>
    <row r="4903" spans="7:24" ht="15" customHeight="1">
      <c r="G4903"/>
      <c r="I4903"/>
      <c r="N4903"/>
      <c r="O4903" s="24"/>
      <c r="P4903"/>
      <c r="Q4903" s="24"/>
      <c r="R4903"/>
      <c r="S4903"/>
      <c r="T4903"/>
      <c r="U4903"/>
      <c r="X4903" s="60"/>
    </row>
    <row r="4904" spans="7:24" ht="15" customHeight="1">
      <c r="G4904"/>
      <c r="I4904"/>
      <c r="N4904"/>
      <c r="O4904" s="24"/>
      <c r="P4904"/>
      <c r="Q4904" s="24"/>
      <c r="R4904"/>
      <c r="S4904"/>
      <c r="T4904"/>
      <c r="U4904"/>
      <c r="X4904" s="60"/>
    </row>
    <row r="4905" spans="7:24" ht="15" customHeight="1">
      <c r="G4905"/>
      <c r="I4905"/>
      <c r="N4905"/>
      <c r="O4905" s="24"/>
      <c r="P4905"/>
      <c r="Q4905" s="24"/>
      <c r="R4905"/>
      <c r="S4905"/>
      <c r="T4905"/>
      <c r="U4905"/>
      <c r="X4905" s="60"/>
    </row>
    <row r="4906" spans="7:24" ht="15" customHeight="1">
      <c r="G4906"/>
      <c r="I4906"/>
      <c r="N4906"/>
      <c r="O4906" s="24"/>
      <c r="P4906"/>
      <c r="Q4906" s="24"/>
      <c r="R4906"/>
      <c r="S4906"/>
      <c r="T4906"/>
      <c r="U4906"/>
      <c r="X4906" s="60"/>
    </row>
    <row r="4907" spans="7:24" ht="15" customHeight="1">
      <c r="G4907"/>
      <c r="I4907"/>
      <c r="N4907"/>
      <c r="O4907" s="24"/>
      <c r="P4907"/>
      <c r="Q4907" s="24"/>
      <c r="R4907"/>
      <c r="S4907"/>
      <c r="T4907"/>
      <c r="U4907"/>
      <c r="X4907" s="60"/>
    </row>
    <row r="4908" spans="7:24" ht="15" customHeight="1">
      <c r="G4908"/>
      <c r="I4908"/>
      <c r="N4908"/>
      <c r="O4908" s="24"/>
      <c r="P4908"/>
      <c r="Q4908" s="24"/>
      <c r="R4908"/>
      <c r="S4908"/>
      <c r="T4908"/>
      <c r="U4908"/>
      <c r="X4908" s="60"/>
    </row>
    <row r="4909" spans="7:24" ht="15" customHeight="1">
      <c r="G4909"/>
      <c r="I4909"/>
      <c r="N4909"/>
      <c r="O4909" s="24"/>
      <c r="P4909"/>
      <c r="Q4909" s="24"/>
      <c r="R4909"/>
      <c r="S4909"/>
      <c r="T4909"/>
      <c r="U4909"/>
      <c r="X4909" s="60"/>
    </row>
    <row r="4910" spans="7:24" ht="15" customHeight="1">
      <c r="G4910"/>
      <c r="I4910"/>
      <c r="N4910"/>
      <c r="O4910" s="24"/>
      <c r="P4910"/>
      <c r="Q4910" s="24"/>
      <c r="R4910"/>
      <c r="S4910"/>
      <c r="T4910"/>
      <c r="U4910"/>
      <c r="X4910" s="60"/>
    </row>
    <row r="4911" spans="7:24" ht="15" customHeight="1">
      <c r="G4911"/>
      <c r="I4911"/>
      <c r="N4911"/>
      <c r="O4911" s="24"/>
      <c r="P4911"/>
      <c r="Q4911" s="24"/>
      <c r="R4911"/>
      <c r="S4911"/>
      <c r="T4911"/>
      <c r="U4911"/>
      <c r="X4911" s="60"/>
    </row>
    <row r="4912" spans="7:24" ht="15" customHeight="1">
      <c r="G4912"/>
      <c r="I4912"/>
      <c r="N4912"/>
      <c r="O4912" s="24"/>
      <c r="P4912"/>
      <c r="Q4912" s="24"/>
      <c r="R4912"/>
      <c r="S4912"/>
      <c r="T4912"/>
      <c r="U4912"/>
      <c r="X4912" s="60"/>
    </row>
    <row r="4913" spans="7:24" ht="15" customHeight="1">
      <c r="G4913"/>
      <c r="I4913"/>
      <c r="N4913"/>
      <c r="O4913" s="24"/>
      <c r="P4913"/>
      <c r="Q4913" s="24"/>
      <c r="R4913"/>
      <c r="S4913"/>
      <c r="T4913"/>
      <c r="U4913"/>
      <c r="X4913" s="60"/>
    </row>
    <row r="4914" spans="7:24" ht="15" customHeight="1">
      <c r="G4914"/>
      <c r="I4914"/>
      <c r="N4914"/>
      <c r="O4914" s="24"/>
      <c r="P4914"/>
      <c r="Q4914" s="24"/>
      <c r="R4914"/>
      <c r="S4914"/>
      <c r="T4914"/>
      <c r="U4914"/>
      <c r="X4914" s="60"/>
    </row>
    <row r="4915" spans="7:24" ht="15" customHeight="1">
      <c r="G4915"/>
      <c r="I4915"/>
      <c r="N4915"/>
      <c r="O4915" s="24"/>
      <c r="P4915"/>
      <c r="Q4915" s="24"/>
      <c r="R4915"/>
      <c r="S4915"/>
      <c r="T4915"/>
      <c r="U4915"/>
      <c r="X4915" s="60"/>
    </row>
    <row r="4916" spans="7:24" ht="15" customHeight="1">
      <c r="G4916"/>
      <c r="I4916"/>
      <c r="N4916"/>
      <c r="O4916" s="24"/>
      <c r="P4916"/>
      <c r="Q4916" s="24"/>
      <c r="R4916"/>
      <c r="S4916"/>
      <c r="T4916"/>
      <c r="U4916"/>
      <c r="X4916" s="60"/>
    </row>
    <row r="4917" spans="7:24" ht="15" customHeight="1">
      <c r="G4917"/>
      <c r="I4917"/>
      <c r="N4917"/>
      <c r="O4917" s="24"/>
      <c r="P4917"/>
      <c r="Q4917" s="24"/>
      <c r="R4917"/>
      <c r="S4917"/>
      <c r="T4917"/>
      <c r="U4917"/>
      <c r="X4917" s="60"/>
    </row>
    <row r="4918" spans="7:24" ht="15" customHeight="1">
      <c r="G4918"/>
      <c r="I4918"/>
      <c r="N4918"/>
      <c r="O4918" s="24"/>
      <c r="P4918"/>
      <c r="Q4918" s="24"/>
      <c r="R4918"/>
      <c r="S4918"/>
      <c r="T4918"/>
      <c r="U4918"/>
      <c r="X4918" s="60"/>
    </row>
    <row r="4919" spans="7:24" ht="15" customHeight="1">
      <c r="G4919"/>
      <c r="I4919"/>
      <c r="N4919"/>
      <c r="O4919" s="24"/>
      <c r="P4919"/>
      <c r="Q4919" s="24"/>
      <c r="R4919"/>
      <c r="S4919"/>
      <c r="T4919"/>
      <c r="U4919"/>
      <c r="X4919" s="60"/>
    </row>
    <row r="4920" spans="7:24" ht="15" customHeight="1">
      <c r="G4920"/>
      <c r="I4920"/>
      <c r="N4920"/>
      <c r="O4920" s="24"/>
      <c r="P4920"/>
      <c r="Q4920" s="24"/>
      <c r="R4920"/>
      <c r="S4920"/>
      <c r="T4920"/>
      <c r="U4920"/>
      <c r="X4920" s="60"/>
    </row>
    <row r="4921" spans="7:24" ht="15" customHeight="1">
      <c r="G4921"/>
      <c r="I4921"/>
      <c r="N4921"/>
      <c r="O4921" s="24"/>
      <c r="P4921"/>
      <c r="Q4921" s="24"/>
      <c r="R4921"/>
      <c r="S4921"/>
      <c r="T4921"/>
      <c r="U4921"/>
      <c r="X4921" s="60"/>
    </row>
    <row r="4922" spans="7:24" ht="15" customHeight="1">
      <c r="G4922"/>
      <c r="I4922"/>
      <c r="N4922"/>
      <c r="O4922" s="24"/>
      <c r="P4922"/>
      <c r="Q4922" s="24"/>
      <c r="R4922"/>
      <c r="S4922"/>
      <c r="T4922"/>
      <c r="U4922"/>
      <c r="X4922" s="60"/>
    </row>
    <row r="4923" spans="7:24" ht="15" customHeight="1">
      <c r="G4923"/>
      <c r="I4923"/>
      <c r="N4923"/>
      <c r="O4923" s="24"/>
      <c r="P4923"/>
      <c r="Q4923" s="24"/>
      <c r="R4923"/>
      <c r="S4923"/>
      <c r="T4923"/>
      <c r="U4923"/>
      <c r="X4923" s="60"/>
    </row>
    <row r="4924" spans="7:24" ht="15" customHeight="1">
      <c r="G4924"/>
      <c r="I4924"/>
      <c r="N4924"/>
      <c r="O4924" s="24"/>
      <c r="P4924"/>
      <c r="Q4924" s="24"/>
      <c r="R4924"/>
      <c r="S4924"/>
      <c r="T4924"/>
      <c r="U4924"/>
      <c r="X4924" s="60"/>
    </row>
    <row r="4925" spans="7:24" ht="15" customHeight="1">
      <c r="G4925"/>
      <c r="I4925"/>
      <c r="N4925"/>
      <c r="O4925" s="24"/>
      <c r="P4925"/>
      <c r="Q4925" s="24"/>
      <c r="R4925"/>
      <c r="S4925"/>
      <c r="T4925"/>
      <c r="U4925"/>
      <c r="X4925" s="60"/>
    </row>
    <row r="4926" spans="7:24" ht="15" customHeight="1">
      <c r="G4926"/>
      <c r="I4926"/>
      <c r="N4926"/>
      <c r="O4926" s="24"/>
      <c r="P4926"/>
      <c r="Q4926" s="24"/>
      <c r="R4926"/>
      <c r="S4926"/>
      <c r="T4926"/>
      <c r="U4926"/>
      <c r="X4926" s="60"/>
    </row>
    <row r="4927" spans="7:24" ht="15" customHeight="1">
      <c r="G4927"/>
      <c r="I4927"/>
      <c r="N4927"/>
      <c r="O4927" s="24"/>
      <c r="P4927"/>
      <c r="Q4927" s="24"/>
      <c r="R4927"/>
      <c r="S4927"/>
      <c r="T4927"/>
      <c r="U4927"/>
      <c r="X4927" s="60"/>
    </row>
    <row r="4928" spans="7:24" ht="15" customHeight="1">
      <c r="G4928"/>
      <c r="I4928"/>
      <c r="N4928"/>
      <c r="O4928" s="24"/>
      <c r="P4928"/>
      <c r="Q4928" s="24"/>
      <c r="R4928"/>
      <c r="S4928"/>
      <c r="T4928"/>
      <c r="U4928"/>
      <c r="X4928" s="60"/>
    </row>
    <row r="4929" spans="7:24" ht="15" customHeight="1">
      <c r="G4929"/>
      <c r="I4929"/>
      <c r="N4929"/>
      <c r="O4929" s="24"/>
      <c r="P4929"/>
      <c r="Q4929" s="24"/>
      <c r="R4929"/>
      <c r="S4929"/>
      <c r="T4929"/>
      <c r="U4929"/>
      <c r="X4929" s="60"/>
    </row>
    <row r="4930" spans="7:24" ht="15" customHeight="1">
      <c r="G4930"/>
      <c r="I4930"/>
      <c r="N4930"/>
      <c r="O4930" s="24"/>
      <c r="P4930"/>
      <c r="Q4930" s="24"/>
      <c r="R4930"/>
      <c r="S4930"/>
      <c r="T4930"/>
      <c r="U4930"/>
      <c r="X4930" s="60"/>
    </row>
    <row r="4931" spans="7:24" ht="15" customHeight="1">
      <c r="G4931"/>
      <c r="I4931"/>
      <c r="N4931"/>
      <c r="O4931" s="24"/>
      <c r="P4931"/>
      <c r="Q4931" s="24"/>
      <c r="R4931"/>
      <c r="S4931"/>
      <c r="T4931"/>
      <c r="U4931"/>
      <c r="X4931" s="60"/>
    </row>
    <row r="4932" spans="7:24" ht="15" customHeight="1">
      <c r="G4932"/>
      <c r="I4932"/>
      <c r="N4932"/>
      <c r="O4932" s="24"/>
      <c r="P4932"/>
      <c r="Q4932" s="24"/>
      <c r="R4932"/>
      <c r="S4932"/>
      <c r="T4932"/>
      <c r="U4932"/>
      <c r="X4932" s="60"/>
    </row>
    <row r="4933" spans="7:24" ht="15" customHeight="1">
      <c r="G4933"/>
      <c r="I4933"/>
      <c r="N4933"/>
      <c r="O4933" s="24"/>
      <c r="P4933"/>
      <c r="Q4933" s="24"/>
      <c r="R4933"/>
      <c r="S4933"/>
      <c r="T4933"/>
      <c r="U4933"/>
      <c r="X4933" s="60"/>
    </row>
    <row r="4934" spans="7:24" ht="15" customHeight="1">
      <c r="G4934"/>
      <c r="I4934"/>
      <c r="N4934"/>
      <c r="O4934" s="24"/>
      <c r="P4934"/>
      <c r="Q4934" s="24"/>
      <c r="R4934"/>
      <c r="S4934"/>
      <c r="T4934"/>
      <c r="U4934"/>
      <c r="X4934" s="60"/>
    </row>
    <row r="4935" spans="7:24" ht="15" customHeight="1">
      <c r="G4935"/>
      <c r="I4935"/>
      <c r="N4935"/>
      <c r="O4935" s="24"/>
      <c r="P4935"/>
      <c r="Q4935" s="24"/>
      <c r="R4935"/>
      <c r="S4935"/>
      <c r="T4935"/>
      <c r="U4935"/>
      <c r="X4935" s="60"/>
    </row>
    <row r="4936" spans="7:24" ht="15" customHeight="1">
      <c r="G4936"/>
      <c r="I4936"/>
      <c r="N4936"/>
      <c r="O4936" s="24"/>
      <c r="P4936"/>
      <c r="Q4936" s="24"/>
      <c r="R4936"/>
      <c r="S4936"/>
      <c r="T4936"/>
      <c r="U4936"/>
      <c r="X4936" s="60"/>
    </row>
    <row r="4937" spans="7:24" ht="15" customHeight="1">
      <c r="G4937"/>
      <c r="I4937"/>
      <c r="N4937"/>
      <c r="O4937" s="24"/>
      <c r="P4937"/>
      <c r="Q4937" s="24"/>
      <c r="R4937"/>
      <c r="S4937"/>
      <c r="T4937"/>
      <c r="U4937"/>
      <c r="X4937" s="60"/>
    </row>
    <row r="4938" spans="7:24" ht="15" customHeight="1">
      <c r="G4938"/>
      <c r="I4938"/>
      <c r="N4938"/>
      <c r="O4938" s="24"/>
      <c r="P4938"/>
      <c r="Q4938" s="24"/>
      <c r="R4938"/>
      <c r="S4938"/>
      <c r="T4938"/>
      <c r="U4938"/>
      <c r="X4938" s="60"/>
    </row>
    <row r="4939" spans="7:24" ht="15" customHeight="1">
      <c r="G4939"/>
      <c r="I4939"/>
      <c r="N4939"/>
      <c r="O4939" s="24"/>
      <c r="P4939"/>
      <c r="Q4939" s="24"/>
      <c r="R4939"/>
      <c r="S4939"/>
      <c r="T4939"/>
      <c r="U4939"/>
      <c r="X4939" s="60"/>
    </row>
    <row r="4940" spans="7:24" ht="15" customHeight="1">
      <c r="G4940"/>
      <c r="I4940"/>
      <c r="N4940"/>
      <c r="O4940" s="24"/>
      <c r="P4940"/>
      <c r="Q4940" s="24"/>
      <c r="R4940"/>
      <c r="S4940"/>
      <c r="T4940"/>
      <c r="U4940"/>
      <c r="X4940" s="60"/>
    </row>
    <row r="4941" spans="7:24" ht="15" customHeight="1">
      <c r="G4941"/>
      <c r="I4941"/>
      <c r="N4941"/>
      <c r="O4941" s="24"/>
      <c r="P4941"/>
      <c r="Q4941" s="24"/>
      <c r="R4941"/>
      <c r="S4941"/>
      <c r="T4941"/>
      <c r="U4941"/>
      <c r="X4941" s="60"/>
    </row>
    <row r="4942" spans="7:24" ht="15" customHeight="1">
      <c r="G4942"/>
      <c r="I4942"/>
      <c r="N4942"/>
      <c r="O4942" s="24"/>
      <c r="P4942"/>
      <c r="Q4942" s="24"/>
      <c r="R4942"/>
      <c r="S4942"/>
      <c r="T4942"/>
      <c r="U4942"/>
      <c r="X4942" s="60"/>
    </row>
    <row r="4943" spans="7:24" ht="15" customHeight="1">
      <c r="G4943"/>
      <c r="I4943"/>
      <c r="N4943"/>
      <c r="O4943" s="24"/>
      <c r="P4943"/>
      <c r="Q4943" s="24"/>
      <c r="R4943"/>
      <c r="S4943"/>
      <c r="T4943"/>
      <c r="U4943"/>
      <c r="X4943" s="60"/>
    </row>
    <row r="4944" spans="7:24" ht="15" customHeight="1">
      <c r="G4944"/>
      <c r="I4944"/>
      <c r="N4944"/>
      <c r="O4944" s="24"/>
      <c r="P4944"/>
      <c r="Q4944" s="24"/>
      <c r="R4944"/>
      <c r="S4944"/>
      <c r="T4944"/>
      <c r="U4944"/>
      <c r="X4944" s="60"/>
    </row>
    <row r="4945" spans="7:24" ht="15" customHeight="1">
      <c r="G4945"/>
      <c r="I4945"/>
      <c r="N4945"/>
      <c r="O4945" s="24"/>
      <c r="P4945"/>
      <c r="Q4945" s="24"/>
      <c r="R4945"/>
      <c r="S4945"/>
      <c r="T4945"/>
      <c r="U4945"/>
      <c r="X4945" s="60"/>
    </row>
    <row r="4946" spans="7:24" ht="15" customHeight="1">
      <c r="G4946"/>
      <c r="I4946"/>
      <c r="N4946"/>
      <c r="O4946" s="24"/>
      <c r="P4946"/>
      <c r="Q4946" s="24"/>
      <c r="R4946"/>
      <c r="S4946"/>
      <c r="T4946"/>
      <c r="U4946"/>
      <c r="X4946" s="60"/>
    </row>
    <row r="4947" spans="7:24" ht="15" customHeight="1">
      <c r="G4947"/>
      <c r="I4947"/>
      <c r="N4947"/>
      <c r="O4947" s="24"/>
      <c r="P4947"/>
      <c r="Q4947" s="24"/>
      <c r="R4947"/>
      <c r="S4947"/>
      <c r="T4947"/>
      <c r="U4947"/>
      <c r="X4947" s="60"/>
    </row>
    <row r="4948" spans="7:24" ht="15" customHeight="1">
      <c r="G4948"/>
      <c r="I4948"/>
      <c r="N4948"/>
      <c r="O4948" s="24"/>
      <c r="P4948"/>
      <c r="Q4948" s="24"/>
      <c r="R4948"/>
      <c r="S4948"/>
      <c r="T4948"/>
      <c r="U4948"/>
      <c r="X4948" s="60"/>
    </row>
    <row r="4949" spans="7:24" ht="15" customHeight="1">
      <c r="G4949"/>
      <c r="I4949"/>
      <c r="N4949"/>
      <c r="O4949" s="24"/>
      <c r="P4949"/>
      <c r="Q4949" s="24"/>
      <c r="R4949"/>
      <c r="S4949"/>
      <c r="T4949"/>
      <c r="U4949"/>
      <c r="X4949" s="60"/>
    </row>
    <row r="4950" spans="7:24" ht="15" customHeight="1">
      <c r="G4950"/>
      <c r="I4950"/>
      <c r="N4950"/>
      <c r="O4950" s="24"/>
      <c r="P4950"/>
      <c r="Q4950" s="24"/>
      <c r="R4950"/>
      <c r="S4950"/>
      <c r="T4950"/>
      <c r="U4950"/>
      <c r="X4950" s="60"/>
    </row>
    <row r="4951" spans="7:24" ht="15" customHeight="1">
      <c r="G4951"/>
      <c r="I4951"/>
      <c r="N4951"/>
      <c r="O4951" s="24"/>
      <c r="P4951"/>
      <c r="Q4951" s="24"/>
      <c r="R4951"/>
      <c r="S4951"/>
      <c r="T4951"/>
      <c r="U4951"/>
      <c r="X4951" s="60"/>
    </row>
    <row r="4952" spans="7:24" ht="15" customHeight="1">
      <c r="G4952"/>
      <c r="I4952"/>
      <c r="N4952"/>
      <c r="O4952" s="24"/>
      <c r="P4952"/>
      <c r="Q4952" s="24"/>
      <c r="R4952"/>
      <c r="S4952"/>
      <c r="T4952"/>
      <c r="U4952"/>
      <c r="X4952" s="60"/>
    </row>
    <row r="4953" spans="7:24" ht="15" customHeight="1">
      <c r="G4953"/>
      <c r="I4953"/>
      <c r="N4953"/>
      <c r="O4953" s="24"/>
      <c r="P4953"/>
      <c r="Q4953" s="24"/>
      <c r="R4953"/>
      <c r="S4953"/>
      <c r="T4953"/>
      <c r="U4953"/>
      <c r="X4953" s="60"/>
    </row>
    <row r="4954" spans="7:24" ht="15" customHeight="1">
      <c r="G4954"/>
      <c r="I4954"/>
      <c r="N4954"/>
      <c r="O4954" s="24"/>
      <c r="P4954"/>
      <c r="Q4954" s="24"/>
      <c r="R4954"/>
      <c r="S4954"/>
      <c r="T4954"/>
      <c r="U4954"/>
      <c r="X4954" s="60"/>
    </row>
    <row r="4955" spans="7:24" ht="15" customHeight="1">
      <c r="G4955"/>
      <c r="I4955"/>
      <c r="N4955"/>
      <c r="O4955" s="24"/>
      <c r="P4955"/>
      <c r="Q4955" s="24"/>
      <c r="R4955"/>
      <c r="S4955"/>
      <c r="T4955"/>
      <c r="U4955"/>
      <c r="X4955" s="60"/>
    </row>
    <row r="4956" spans="7:24" ht="15" customHeight="1">
      <c r="G4956"/>
      <c r="I4956"/>
      <c r="N4956"/>
      <c r="O4956" s="24"/>
      <c r="P4956"/>
      <c r="Q4956" s="24"/>
      <c r="R4956"/>
      <c r="S4956"/>
      <c r="T4956"/>
      <c r="U4956"/>
      <c r="X4956" s="60"/>
    </row>
    <row r="4957" spans="7:24" ht="15" customHeight="1">
      <c r="G4957"/>
      <c r="I4957"/>
      <c r="N4957"/>
      <c r="O4957" s="24"/>
      <c r="P4957"/>
      <c r="Q4957" s="24"/>
      <c r="R4957"/>
      <c r="S4957"/>
      <c r="T4957"/>
      <c r="U4957"/>
      <c r="X4957" s="60"/>
    </row>
    <row r="4958" spans="7:24" ht="15" customHeight="1">
      <c r="G4958"/>
      <c r="I4958"/>
      <c r="N4958"/>
      <c r="O4958" s="24"/>
      <c r="P4958"/>
      <c r="Q4958" s="24"/>
      <c r="R4958"/>
      <c r="S4958"/>
      <c r="T4958"/>
      <c r="U4958"/>
      <c r="X4958" s="60"/>
    </row>
    <row r="4959" spans="7:24" ht="15" customHeight="1">
      <c r="G4959"/>
      <c r="I4959"/>
      <c r="N4959"/>
      <c r="O4959" s="24"/>
      <c r="P4959"/>
      <c r="Q4959" s="24"/>
      <c r="R4959"/>
      <c r="S4959"/>
      <c r="T4959"/>
      <c r="U4959"/>
      <c r="X4959" s="60"/>
    </row>
    <row r="4960" spans="7:24" ht="15" customHeight="1">
      <c r="G4960"/>
      <c r="I4960"/>
      <c r="N4960"/>
      <c r="O4960" s="24"/>
      <c r="P4960"/>
      <c r="Q4960" s="24"/>
      <c r="R4960"/>
      <c r="S4960"/>
      <c r="T4960"/>
      <c r="U4960"/>
      <c r="X4960" s="60"/>
    </row>
    <row r="4961" spans="7:24" ht="15" customHeight="1">
      <c r="G4961"/>
      <c r="I4961"/>
      <c r="N4961"/>
      <c r="O4961" s="24"/>
      <c r="P4961"/>
      <c r="Q4961" s="24"/>
      <c r="R4961"/>
      <c r="S4961"/>
      <c r="T4961"/>
      <c r="U4961"/>
      <c r="X4961" s="60"/>
    </row>
    <row r="4962" spans="7:24" ht="15" customHeight="1">
      <c r="G4962"/>
      <c r="I4962"/>
      <c r="N4962"/>
      <c r="O4962" s="24"/>
      <c r="P4962"/>
      <c r="Q4962" s="24"/>
      <c r="R4962"/>
      <c r="S4962"/>
      <c r="T4962"/>
      <c r="U4962"/>
      <c r="X4962" s="60"/>
    </row>
    <row r="4963" spans="7:24" ht="15" customHeight="1">
      <c r="G4963"/>
      <c r="I4963"/>
      <c r="N4963"/>
      <c r="O4963" s="24"/>
      <c r="P4963"/>
      <c r="Q4963" s="24"/>
      <c r="R4963"/>
      <c r="S4963"/>
      <c r="T4963"/>
      <c r="U4963"/>
      <c r="X4963" s="60"/>
    </row>
    <row r="4964" spans="7:24" ht="15" customHeight="1">
      <c r="G4964"/>
      <c r="I4964"/>
      <c r="N4964"/>
      <c r="O4964" s="24"/>
      <c r="P4964"/>
      <c r="Q4964" s="24"/>
      <c r="R4964"/>
      <c r="S4964"/>
      <c r="T4964"/>
      <c r="U4964"/>
      <c r="X4964" s="60"/>
    </row>
    <row r="4965" spans="7:24" ht="15" customHeight="1">
      <c r="G4965"/>
      <c r="I4965"/>
      <c r="N4965"/>
      <c r="O4965" s="24"/>
      <c r="P4965"/>
      <c r="Q4965" s="24"/>
      <c r="R4965"/>
      <c r="S4965"/>
      <c r="T4965"/>
      <c r="U4965"/>
      <c r="X4965" s="60"/>
    </row>
    <row r="4966" spans="7:24" ht="15" customHeight="1">
      <c r="G4966"/>
      <c r="I4966"/>
      <c r="N4966"/>
      <c r="O4966" s="24"/>
      <c r="P4966"/>
      <c r="Q4966" s="24"/>
      <c r="R4966"/>
      <c r="S4966"/>
      <c r="T4966"/>
      <c r="U4966"/>
      <c r="X4966" s="60"/>
    </row>
    <row r="4967" spans="7:24" ht="15" customHeight="1">
      <c r="G4967"/>
      <c r="I4967"/>
      <c r="N4967"/>
      <c r="O4967" s="24"/>
      <c r="P4967"/>
      <c r="Q4967" s="24"/>
      <c r="R4967"/>
      <c r="S4967"/>
      <c r="T4967"/>
      <c r="U4967"/>
      <c r="X4967" s="60"/>
    </row>
    <row r="4968" spans="7:24" ht="15" customHeight="1">
      <c r="G4968"/>
      <c r="I4968"/>
      <c r="N4968"/>
      <c r="O4968" s="24"/>
      <c r="P4968"/>
      <c r="Q4968" s="24"/>
      <c r="R4968"/>
      <c r="S4968"/>
      <c r="T4968"/>
      <c r="U4968"/>
      <c r="X4968" s="60"/>
    </row>
    <row r="4969" spans="7:24" ht="15" customHeight="1">
      <c r="G4969"/>
      <c r="I4969"/>
      <c r="N4969"/>
      <c r="O4969" s="24"/>
      <c r="P4969"/>
      <c r="Q4969" s="24"/>
      <c r="R4969"/>
      <c r="S4969"/>
      <c r="T4969"/>
      <c r="U4969"/>
      <c r="X4969" s="60"/>
    </row>
    <row r="4970" spans="7:24" ht="15" customHeight="1">
      <c r="G4970"/>
      <c r="I4970"/>
      <c r="N4970"/>
      <c r="O4970" s="24"/>
      <c r="P4970"/>
      <c r="Q4970" s="24"/>
      <c r="R4970"/>
      <c r="S4970"/>
      <c r="T4970"/>
      <c r="U4970"/>
      <c r="X4970" s="60"/>
    </row>
    <row r="4971" spans="7:24" ht="15" customHeight="1">
      <c r="G4971"/>
      <c r="I4971"/>
      <c r="N4971"/>
      <c r="O4971" s="24"/>
      <c r="P4971"/>
      <c r="Q4971" s="24"/>
      <c r="R4971"/>
      <c r="S4971"/>
      <c r="T4971"/>
      <c r="U4971"/>
      <c r="X4971" s="60"/>
    </row>
    <row r="4972" spans="7:24" ht="15" customHeight="1">
      <c r="G4972"/>
      <c r="I4972"/>
      <c r="N4972"/>
      <c r="O4972" s="24"/>
      <c r="P4972"/>
      <c r="Q4972" s="24"/>
      <c r="R4972"/>
      <c r="S4972"/>
      <c r="T4972"/>
      <c r="U4972"/>
      <c r="X4972" s="60"/>
    </row>
    <row r="4973" spans="7:24" ht="15" customHeight="1">
      <c r="G4973"/>
      <c r="I4973"/>
      <c r="N4973"/>
      <c r="O4973" s="24"/>
      <c r="P4973"/>
      <c r="Q4973" s="24"/>
      <c r="R4973"/>
      <c r="S4973"/>
      <c r="T4973"/>
      <c r="U4973"/>
      <c r="X4973" s="60"/>
    </row>
    <row r="4974" spans="7:24" ht="15" customHeight="1">
      <c r="G4974"/>
      <c r="I4974"/>
      <c r="N4974"/>
      <c r="O4974" s="24"/>
      <c r="P4974"/>
      <c r="Q4974" s="24"/>
      <c r="R4974"/>
      <c r="S4974"/>
      <c r="T4974"/>
      <c r="U4974"/>
      <c r="X4974" s="60"/>
    </row>
    <row r="4975" spans="7:24" ht="15" customHeight="1">
      <c r="G4975"/>
      <c r="I4975"/>
      <c r="N4975"/>
      <c r="O4975" s="24"/>
      <c r="P4975"/>
      <c r="Q4975" s="24"/>
      <c r="R4975"/>
      <c r="S4975"/>
      <c r="T4975"/>
      <c r="U4975"/>
      <c r="X4975" s="60"/>
    </row>
    <row r="4976" spans="7:24" ht="15" customHeight="1">
      <c r="G4976"/>
      <c r="I4976"/>
      <c r="N4976"/>
      <c r="O4976" s="24"/>
      <c r="P4976"/>
      <c r="Q4976" s="24"/>
      <c r="R4976"/>
      <c r="S4976"/>
      <c r="T4976"/>
      <c r="U4976"/>
      <c r="X4976" s="60"/>
    </row>
    <row r="4977" spans="7:24" ht="15" customHeight="1">
      <c r="G4977"/>
      <c r="I4977"/>
      <c r="N4977"/>
      <c r="O4977" s="24"/>
      <c r="P4977"/>
      <c r="Q4977" s="24"/>
      <c r="R4977"/>
      <c r="S4977"/>
      <c r="T4977"/>
      <c r="U4977"/>
      <c r="X4977" s="60"/>
    </row>
    <row r="4978" spans="7:24" ht="15" customHeight="1">
      <c r="G4978"/>
      <c r="I4978"/>
      <c r="N4978"/>
      <c r="O4978" s="24"/>
      <c r="P4978"/>
      <c r="Q4978" s="24"/>
      <c r="R4978"/>
      <c r="S4978"/>
      <c r="T4978"/>
      <c r="U4978"/>
      <c r="X4978" s="60"/>
    </row>
    <row r="4979" spans="7:24" ht="15" customHeight="1">
      <c r="G4979"/>
      <c r="I4979"/>
      <c r="N4979"/>
      <c r="O4979" s="24"/>
      <c r="P4979"/>
      <c r="Q4979" s="24"/>
      <c r="R4979"/>
      <c r="S4979"/>
      <c r="T4979"/>
      <c r="U4979"/>
      <c r="X4979" s="60"/>
    </row>
    <row r="4980" spans="7:24" ht="15" customHeight="1">
      <c r="G4980"/>
      <c r="I4980"/>
      <c r="N4980"/>
      <c r="O4980" s="24"/>
      <c r="P4980"/>
      <c r="Q4980" s="24"/>
      <c r="R4980"/>
      <c r="S4980"/>
      <c r="T4980"/>
      <c r="U4980"/>
      <c r="X4980" s="60"/>
    </row>
    <row r="4981" spans="7:24" ht="15" customHeight="1">
      <c r="G4981"/>
      <c r="I4981"/>
      <c r="N4981"/>
      <c r="O4981" s="24"/>
      <c r="P4981"/>
      <c r="Q4981" s="24"/>
      <c r="R4981"/>
      <c r="S4981"/>
      <c r="T4981"/>
      <c r="U4981"/>
      <c r="X4981" s="60"/>
    </row>
    <row r="4982" spans="7:24" ht="15" customHeight="1">
      <c r="G4982"/>
      <c r="I4982"/>
      <c r="N4982"/>
      <c r="O4982" s="24"/>
      <c r="P4982"/>
      <c r="Q4982" s="24"/>
      <c r="R4982"/>
      <c r="S4982"/>
      <c r="T4982"/>
      <c r="U4982"/>
      <c r="X4982" s="60"/>
    </row>
    <row r="4983" spans="7:24" ht="15" customHeight="1">
      <c r="G4983"/>
      <c r="I4983"/>
      <c r="N4983"/>
      <c r="O4983" s="24"/>
      <c r="P4983"/>
      <c r="Q4983" s="24"/>
      <c r="R4983"/>
      <c r="S4983"/>
      <c r="T4983"/>
      <c r="U4983"/>
      <c r="X4983" s="60"/>
    </row>
    <row r="4984" spans="7:24" ht="15" customHeight="1">
      <c r="G4984"/>
      <c r="I4984"/>
      <c r="N4984"/>
      <c r="O4984" s="24"/>
      <c r="P4984"/>
      <c r="Q4984" s="24"/>
      <c r="R4984"/>
      <c r="S4984"/>
      <c r="T4984"/>
      <c r="U4984"/>
      <c r="X4984" s="60"/>
    </row>
    <row r="4985" spans="7:24" ht="15" customHeight="1">
      <c r="G4985"/>
      <c r="I4985"/>
      <c r="N4985"/>
      <c r="O4985" s="24"/>
      <c r="P4985"/>
      <c r="Q4985" s="24"/>
      <c r="R4985"/>
      <c r="S4985"/>
      <c r="T4985"/>
      <c r="U4985"/>
      <c r="X4985" s="60"/>
    </row>
    <row r="4986" spans="7:24" ht="15" customHeight="1">
      <c r="G4986"/>
      <c r="I4986"/>
      <c r="N4986"/>
      <c r="O4986" s="24"/>
      <c r="P4986"/>
      <c r="Q4986" s="24"/>
      <c r="R4986"/>
      <c r="S4986"/>
      <c r="T4986"/>
      <c r="U4986"/>
      <c r="X4986" s="60"/>
    </row>
    <row r="4987" spans="7:24" ht="15" customHeight="1">
      <c r="G4987"/>
      <c r="I4987"/>
      <c r="N4987"/>
      <c r="O4987" s="24"/>
      <c r="P4987"/>
      <c r="Q4987" s="24"/>
      <c r="R4987"/>
      <c r="S4987"/>
      <c r="T4987"/>
      <c r="U4987"/>
      <c r="X4987" s="60"/>
    </row>
    <row r="4988" spans="7:24" ht="15" customHeight="1">
      <c r="G4988"/>
      <c r="I4988"/>
      <c r="N4988"/>
      <c r="O4988" s="24"/>
      <c r="P4988"/>
      <c r="Q4988" s="24"/>
      <c r="R4988"/>
      <c r="S4988"/>
      <c r="T4988"/>
      <c r="U4988"/>
      <c r="X4988" s="60"/>
    </row>
    <row r="4989" spans="7:24" ht="15" customHeight="1">
      <c r="G4989"/>
      <c r="I4989"/>
      <c r="N4989"/>
      <c r="O4989" s="24"/>
      <c r="P4989"/>
      <c r="Q4989" s="24"/>
      <c r="R4989"/>
      <c r="S4989"/>
      <c r="T4989"/>
      <c r="U4989"/>
      <c r="X4989" s="60"/>
    </row>
    <row r="4990" spans="7:24" ht="15" customHeight="1">
      <c r="G4990"/>
      <c r="I4990"/>
      <c r="N4990"/>
      <c r="O4990" s="24"/>
      <c r="P4990"/>
      <c r="Q4990" s="24"/>
      <c r="R4990"/>
      <c r="S4990"/>
      <c r="T4990"/>
      <c r="U4990"/>
      <c r="X4990" s="60"/>
    </row>
    <row r="4991" spans="7:24" ht="15" customHeight="1">
      <c r="G4991"/>
      <c r="I4991"/>
      <c r="N4991"/>
      <c r="O4991" s="24"/>
      <c r="P4991"/>
      <c r="Q4991" s="24"/>
      <c r="R4991"/>
      <c r="S4991"/>
      <c r="T4991"/>
      <c r="U4991"/>
      <c r="X4991" s="60"/>
    </row>
    <row r="4992" spans="7:24" ht="15" customHeight="1">
      <c r="G4992"/>
      <c r="I4992"/>
      <c r="N4992"/>
      <c r="O4992" s="24"/>
      <c r="P4992"/>
      <c r="Q4992" s="24"/>
      <c r="R4992"/>
      <c r="S4992"/>
      <c r="T4992"/>
      <c r="U4992"/>
      <c r="X4992" s="60"/>
    </row>
    <row r="4993" spans="7:24" ht="15" customHeight="1">
      <c r="G4993"/>
      <c r="I4993"/>
      <c r="N4993"/>
      <c r="O4993" s="24"/>
      <c r="P4993"/>
      <c r="Q4993" s="24"/>
      <c r="R4993"/>
      <c r="S4993"/>
      <c r="T4993"/>
      <c r="U4993"/>
      <c r="X4993" s="60"/>
    </row>
    <row r="4994" spans="7:24" ht="15" customHeight="1">
      <c r="G4994"/>
      <c r="I4994"/>
      <c r="N4994"/>
      <c r="O4994" s="24"/>
      <c r="P4994"/>
      <c r="Q4994" s="24"/>
      <c r="R4994"/>
      <c r="S4994"/>
      <c r="T4994"/>
      <c r="U4994"/>
      <c r="X4994" s="60"/>
    </row>
    <row r="4995" spans="7:24" ht="15" customHeight="1">
      <c r="G4995"/>
      <c r="I4995"/>
      <c r="N4995"/>
      <c r="O4995" s="24"/>
      <c r="P4995"/>
      <c r="Q4995" s="24"/>
      <c r="R4995"/>
      <c r="S4995"/>
      <c r="T4995"/>
      <c r="U4995"/>
      <c r="X4995" s="60"/>
    </row>
    <row r="4996" spans="7:24" ht="15" customHeight="1">
      <c r="G4996"/>
      <c r="I4996"/>
      <c r="N4996"/>
      <c r="O4996" s="24"/>
      <c r="P4996"/>
      <c r="Q4996" s="24"/>
      <c r="R4996"/>
      <c r="S4996"/>
      <c r="T4996"/>
      <c r="U4996"/>
      <c r="X4996" s="60"/>
    </row>
    <row r="4997" spans="7:24" ht="15" customHeight="1">
      <c r="G4997"/>
      <c r="I4997"/>
      <c r="N4997"/>
      <c r="O4997" s="24"/>
      <c r="P4997"/>
      <c r="Q4997" s="24"/>
      <c r="R4997"/>
      <c r="S4997"/>
      <c r="T4997"/>
      <c r="U4997"/>
      <c r="X4997" s="60"/>
    </row>
    <row r="4998" spans="7:24" ht="15" customHeight="1">
      <c r="G4998"/>
      <c r="I4998"/>
      <c r="N4998"/>
      <c r="O4998" s="24"/>
      <c r="P4998"/>
      <c r="Q4998" s="24"/>
      <c r="R4998"/>
      <c r="S4998"/>
      <c r="T4998"/>
      <c r="U4998"/>
      <c r="X4998" s="60"/>
    </row>
    <row r="4999" spans="7:24" ht="15" customHeight="1">
      <c r="G4999"/>
      <c r="I4999"/>
      <c r="N4999"/>
      <c r="O4999" s="24"/>
      <c r="P4999"/>
      <c r="Q4999" s="24"/>
      <c r="R4999"/>
      <c r="S4999"/>
      <c r="T4999"/>
      <c r="U4999"/>
      <c r="X4999" s="60"/>
    </row>
    <row r="5000" spans="7:24" ht="15" customHeight="1">
      <c r="G5000"/>
      <c r="I5000"/>
      <c r="N5000"/>
      <c r="O5000" s="24"/>
      <c r="P5000"/>
      <c r="Q5000" s="24"/>
      <c r="R5000"/>
      <c r="S5000"/>
      <c r="T5000"/>
      <c r="U5000"/>
      <c r="X5000" s="60"/>
    </row>
    <row r="5001" spans="7:24" ht="15" customHeight="1">
      <c r="G5001"/>
      <c r="I5001"/>
      <c r="N5001"/>
      <c r="O5001" s="24"/>
      <c r="P5001"/>
      <c r="Q5001" s="24"/>
      <c r="R5001"/>
      <c r="S5001"/>
      <c r="T5001"/>
      <c r="U5001"/>
      <c r="X5001" s="60"/>
    </row>
    <row r="5002" spans="7:24" ht="15" customHeight="1">
      <c r="G5002"/>
      <c r="I5002"/>
      <c r="N5002"/>
      <c r="O5002" s="24"/>
      <c r="P5002"/>
      <c r="Q5002" s="24"/>
      <c r="R5002"/>
      <c r="S5002"/>
      <c r="T5002"/>
      <c r="U5002"/>
      <c r="X5002" s="60"/>
    </row>
    <row r="5003" spans="7:24" ht="15" customHeight="1">
      <c r="G5003"/>
      <c r="I5003"/>
      <c r="N5003"/>
      <c r="O5003" s="24"/>
      <c r="P5003"/>
      <c r="Q5003" s="24"/>
      <c r="R5003"/>
      <c r="S5003"/>
      <c r="T5003"/>
      <c r="U5003"/>
      <c r="X5003" s="60"/>
    </row>
    <row r="5004" spans="7:24" ht="15" customHeight="1">
      <c r="G5004"/>
      <c r="I5004"/>
      <c r="N5004"/>
      <c r="O5004" s="24"/>
      <c r="P5004"/>
      <c r="Q5004" s="24"/>
      <c r="R5004"/>
      <c r="S5004"/>
      <c r="T5004"/>
      <c r="U5004"/>
      <c r="X5004" s="60"/>
    </row>
    <row r="5005" spans="7:24" ht="15" customHeight="1">
      <c r="G5005"/>
      <c r="I5005"/>
      <c r="N5005"/>
      <c r="O5005" s="24"/>
      <c r="P5005"/>
      <c r="Q5005" s="24"/>
      <c r="R5005"/>
      <c r="S5005"/>
      <c r="T5005"/>
      <c r="U5005"/>
      <c r="X5005" s="60"/>
    </row>
    <row r="5006" spans="7:24" ht="15" customHeight="1">
      <c r="G5006"/>
      <c r="I5006"/>
      <c r="N5006"/>
      <c r="O5006" s="24"/>
      <c r="P5006"/>
      <c r="Q5006" s="24"/>
      <c r="R5006"/>
      <c r="S5006"/>
      <c r="T5006"/>
      <c r="U5006"/>
      <c r="X5006" s="60"/>
    </row>
    <row r="5007" spans="7:24" ht="15" customHeight="1">
      <c r="G5007"/>
      <c r="I5007"/>
      <c r="N5007"/>
      <c r="O5007" s="24"/>
      <c r="P5007"/>
      <c r="Q5007" s="24"/>
      <c r="R5007"/>
      <c r="S5007"/>
      <c r="T5007"/>
      <c r="U5007"/>
      <c r="X5007" s="60"/>
    </row>
    <row r="5008" spans="7:24" ht="15" customHeight="1">
      <c r="G5008"/>
      <c r="I5008"/>
      <c r="N5008"/>
      <c r="O5008" s="24"/>
      <c r="P5008"/>
      <c r="Q5008" s="24"/>
      <c r="R5008"/>
      <c r="S5008"/>
      <c r="T5008"/>
      <c r="U5008"/>
      <c r="X5008" s="60"/>
    </row>
    <row r="5009" spans="7:24" ht="15" customHeight="1">
      <c r="G5009"/>
      <c r="I5009"/>
      <c r="N5009"/>
      <c r="O5009" s="24"/>
      <c r="P5009"/>
      <c r="Q5009" s="24"/>
      <c r="R5009"/>
      <c r="S5009"/>
      <c r="T5009"/>
      <c r="U5009"/>
      <c r="X5009" s="60"/>
    </row>
    <row r="5010" spans="7:24" ht="15" customHeight="1">
      <c r="G5010"/>
      <c r="I5010"/>
      <c r="N5010"/>
      <c r="O5010" s="24"/>
      <c r="P5010"/>
      <c r="Q5010" s="24"/>
      <c r="R5010"/>
      <c r="S5010"/>
      <c r="T5010"/>
      <c r="U5010"/>
      <c r="X5010" s="60"/>
    </row>
    <row r="5011" spans="7:24" ht="15" customHeight="1">
      <c r="G5011"/>
      <c r="I5011"/>
      <c r="N5011"/>
      <c r="O5011" s="24"/>
      <c r="P5011"/>
      <c r="Q5011" s="24"/>
      <c r="R5011"/>
      <c r="S5011"/>
      <c r="T5011"/>
      <c r="U5011"/>
      <c r="X5011" s="60"/>
    </row>
    <row r="5012" spans="7:24" ht="15" customHeight="1">
      <c r="G5012"/>
      <c r="I5012"/>
      <c r="N5012"/>
      <c r="O5012" s="24"/>
      <c r="P5012"/>
      <c r="Q5012" s="24"/>
      <c r="R5012"/>
      <c r="S5012"/>
      <c r="T5012"/>
      <c r="U5012"/>
      <c r="X5012" s="60"/>
    </row>
    <row r="5013" spans="7:24" ht="15" customHeight="1">
      <c r="G5013"/>
      <c r="I5013"/>
      <c r="N5013"/>
      <c r="O5013" s="24"/>
      <c r="P5013"/>
      <c r="Q5013" s="24"/>
      <c r="R5013"/>
      <c r="S5013"/>
      <c r="T5013"/>
      <c r="U5013"/>
      <c r="X5013" s="60"/>
    </row>
    <row r="5014" spans="7:24" ht="15" customHeight="1">
      <c r="G5014"/>
      <c r="I5014"/>
      <c r="N5014"/>
      <c r="O5014" s="24"/>
      <c r="P5014"/>
      <c r="Q5014" s="24"/>
      <c r="R5014"/>
      <c r="S5014"/>
      <c r="T5014"/>
      <c r="U5014"/>
      <c r="X5014" s="60"/>
    </row>
    <row r="5015" spans="7:24" ht="15" customHeight="1">
      <c r="G5015"/>
      <c r="I5015"/>
      <c r="N5015"/>
      <c r="O5015" s="24"/>
      <c r="P5015"/>
      <c r="Q5015" s="24"/>
      <c r="R5015"/>
      <c r="S5015"/>
      <c r="T5015"/>
      <c r="U5015"/>
      <c r="X5015" s="60"/>
    </row>
    <row r="5016" spans="7:24" ht="15" customHeight="1">
      <c r="G5016"/>
      <c r="I5016"/>
      <c r="N5016"/>
      <c r="O5016" s="24"/>
      <c r="P5016"/>
      <c r="Q5016" s="24"/>
      <c r="R5016"/>
      <c r="S5016"/>
      <c r="T5016"/>
      <c r="U5016"/>
      <c r="X5016" s="60"/>
    </row>
    <row r="5017" spans="7:24" ht="15" customHeight="1">
      <c r="G5017"/>
      <c r="I5017"/>
      <c r="N5017"/>
      <c r="O5017" s="24"/>
      <c r="P5017"/>
      <c r="Q5017" s="24"/>
      <c r="R5017"/>
      <c r="S5017"/>
      <c r="T5017"/>
      <c r="U5017"/>
      <c r="X5017" s="60"/>
    </row>
    <row r="5018" spans="7:24" ht="15" customHeight="1">
      <c r="G5018"/>
      <c r="I5018"/>
      <c r="N5018"/>
      <c r="O5018" s="24"/>
      <c r="P5018"/>
      <c r="Q5018" s="24"/>
      <c r="R5018"/>
      <c r="S5018"/>
      <c r="T5018"/>
      <c r="U5018"/>
      <c r="X5018" s="60"/>
    </row>
    <row r="5019" spans="7:24" ht="15" customHeight="1">
      <c r="G5019"/>
      <c r="I5019"/>
      <c r="N5019"/>
      <c r="O5019" s="24"/>
      <c r="P5019"/>
      <c r="Q5019" s="24"/>
      <c r="R5019"/>
      <c r="S5019"/>
      <c r="T5019"/>
      <c r="U5019"/>
      <c r="X5019" s="60"/>
    </row>
    <row r="5020" spans="7:24" ht="15" customHeight="1">
      <c r="G5020"/>
      <c r="I5020"/>
      <c r="N5020"/>
      <c r="O5020" s="24"/>
      <c r="P5020"/>
      <c r="Q5020" s="24"/>
      <c r="R5020"/>
      <c r="S5020"/>
      <c r="T5020"/>
      <c r="U5020"/>
      <c r="X5020" s="60"/>
    </row>
    <row r="5021" spans="7:24" ht="15" customHeight="1">
      <c r="G5021"/>
      <c r="I5021"/>
      <c r="N5021"/>
      <c r="O5021" s="24"/>
      <c r="P5021"/>
      <c r="Q5021" s="24"/>
      <c r="R5021"/>
      <c r="S5021"/>
      <c r="T5021"/>
      <c r="U5021"/>
      <c r="X5021" s="60"/>
    </row>
    <row r="5022" spans="7:24" ht="15" customHeight="1">
      <c r="G5022"/>
      <c r="I5022"/>
      <c r="N5022"/>
      <c r="O5022" s="24"/>
      <c r="P5022"/>
      <c r="Q5022" s="24"/>
      <c r="R5022"/>
      <c r="S5022"/>
      <c r="T5022"/>
      <c r="U5022"/>
      <c r="X5022" s="60"/>
    </row>
    <row r="5023" spans="7:24" ht="15" customHeight="1">
      <c r="G5023"/>
      <c r="I5023"/>
      <c r="N5023"/>
      <c r="O5023" s="24"/>
      <c r="P5023"/>
      <c r="Q5023" s="24"/>
      <c r="R5023"/>
      <c r="S5023"/>
      <c r="T5023"/>
      <c r="U5023"/>
      <c r="X5023" s="60"/>
    </row>
    <row r="5024" spans="7:24" ht="15" customHeight="1">
      <c r="G5024"/>
      <c r="I5024"/>
      <c r="N5024"/>
      <c r="O5024" s="24"/>
      <c r="P5024"/>
      <c r="Q5024" s="24"/>
      <c r="R5024"/>
      <c r="S5024"/>
      <c r="T5024"/>
      <c r="U5024"/>
      <c r="X5024" s="60"/>
    </row>
    <row r="5025" spans="7:24" ht="15" customHeight="1">
      <c r="G5025"/>
      <c r="I5025"/>
      <c r="N5025"/>
      <c r="O5025" s="24"/>
      <c r="P5025"/>
      <c r="Q5025" s="24"/>
      <c r="R5025"/>
      <c r="S5025"/>
      <c r="T5025"/>
      <c r="U5025"/>
      <c r="X5025" s="60"/>
    </row>
    <row r="5026" spans="7:24" ht="15" customHeight="1">
      <c r="G5026"/>
      <c r="I5026"/>
      <c r="N5026"/>
      <c r="O5026" s="24"/>
      <c r="P5026"/>
      <c r="Q5026" s="24"/>
      <c r="R5026"/>
      <c r="S5026"/>
      <c r="T5026"/>
      <c r="U5026"/>
      <c r="X5026" s="60"/>
    </row>
    <row r="5027" spans="7:24" ht="15" customHeight="1">
      <c r="G5027"/>
      <c r="I5027"/>
      <c r="N5027"/>
      <c r="O5027" s="24"/>
      <c r="P5027"/>
      <c r="Q5027" s="24"/>
      <c r="R5027"/>
      <c r="S5027"/>
      <c r="T5027"/>
      <c r="U5027"/>
      <c r="X5027" s="60"/>
    </row>
    <row r="5028" spans="7:24" ht="15" customHeight="1">
      <c r="G5028"/>
      <c r="I5028"/>
      <c r="N5028"/>
      <c r="O5028" s="24"/>
      <c r="P5028"/>
      <c r="Q5028" s="24"/>
      <c r="R5028"/>
      <c r="S5028"/>
      <c r="T5028"/>
      <c r="U5028"/>
      <c r="X5028" s="60"/>
    </row>
    <row r="5029" spans="7:24" ht="15" customHeight="1">
      <c r="G5029"/>
      <c r="I5029"/>
      <c r="N5029"/>
      <c r="O5029" s="24"/>
      <c r="P5029"/>
      <c r="Q5029" s="24"/>
      <c r="R5029"/>
      <c r="S5029"/>
      <c r="T5029"/>
      <c r="U5029"/>
      <c r="X5029" s="60"/>
    </row>
    <row r="5030" spans="7:24" ht="15" customHeight="1">
      <c r="G5030"/>
      <c r="I5030"/>
      <c r="N5030"/>
      <c r="O5030" s="24"/>
      <c r="P5030"/>
      <c r="Q5030" s="24"/>
      <c r="R5030"/>
      <c r="S5030"/>
      <c r="T5030"/>
      <c r="U5030"/>
      <c r="X5030" s="60"/>
    </row>
    <row r="5031" spans="7:24" ht="15" customHeight="1">
      <c r="G5031"/>
      <c r="I5031"/>
      <c r="N5031"/>
      <c r="O5031" s="24"/>
      <c r="P5031"/>
      <c r="Q5031" s="24"/>
      <c r="R5031"/>
      <c r="S5031"/>
      <c r="T5031"/>
      <c r="U5031"/>
      <c r="X5031" s="60"/>
    </row>
    <row r="5032" spans="7:24" ht="15" customHeight="1">
      <c r="G5032"/>
      <c r="I5032"/>
      <c r="N5032"/>
      <c r="O5032" s="24"/>
      <c r="P5032"/>
      <c r="Q5032" s="24"/>
      <c r="R5032"/>
      <c r="S5032"/>
      <c r="T5032"/>
      <c r="U5032"/>
      <c r="X5032" s="60"/>
    </row>
    <row r="5033" spans="7:24" ht="15" customHeight="1">
      <c r="G5033"/>
      <c r="I5033"/>
      <c r="N5033"/>
      <c r="O5033" s="24"/>
      <c r="P5033"/>
      <c r="Q5033" s="24"/>
      <c r="R5033"/>
      <c r="S5033"/>
      <c r="T5033"/>
      <c r="U5033"/>
      <c r="X5033" s="60"/>
    </row>
    <row r="5034" spans="7:24" ht="15" customHeight="1">
      <c r="G5034"/>
      <c r="I5034"/>
      <c r="N5034"/>
      <c r="O5034" s="24"/>
      <c r="P5034"/>
      <c r="Q5034" s="24"/>
      <c r="R5034"/>
      <c r="S5034"/>
      <c r="T5034"/>
      <c r="U5034"/>
      <c r="X5034" s="60"/>
    </row>
    <row r="5035" spans="7:24" ht="15" customHeight="1">
      <c r="G5035"/>
      <c r="I5035"/>
      <c r="N5035"/>
      <c r="O5035" s="24"/>
      <c r="P5035"/>
      <c r="Q5035" s="24"/>
      <c r="R5035"/>
      <c r="S5035"/>
      <c r="T5035"/>
      <c r="U5035"/>
      <c r="X5035" s="60"/>
    </row>
    <row r="5036" spans="7:24" ht="15" customHeight="1">
      <c r="G5036"/>
      <c r="I5036"/>
      <c r="N5036"/>
      <c r="O5036" s="24"/>
      <c r="P5036"/>
      <c r="Q5036" s="24"/>
      <c r="R5036"/>
      <c r="S5036"/>
      <c r="T5036"/>
      <c r="U5036"/>
      <c r="X5036" s="60"/>
    </row>
    <row r="5037" spans="7:24" ht="15" customHeight="1">
      <c r="G5037"/>
      <c r="I5037"/>
      <c r="N5037"/>
      <c r="O5037" s="24"/>
      <c r="P5037"/>
      <c r="Q5037" s="24"/>
      <c r="R5037"/>
      <c r="S5037"/>
      <c r="T5037"/>
      <c r="U5037"/>
      <c r="X5037" s="60"/>
    </row>
    <row r="5038" spans="7:24" ht="15" customHeight="1">
      <c r="G5038"/>
      <c r="I5038"/>
      <c r="N5038"/>
      <c r="O5038" s="24"/>
      <c r="P5038"/>
      <c r="Q5038" s="24"/>
      <c r="R5038"/>
      <c r="S5038"/>
      <c r="T5038"/>
      <c r="U5038"/>
      <c r="X5038" s="60"/>
    </row>
    <row r="5039" spans="7:24" ht="15" customHeight="1">
      <c r="G5039"/>
      <c r="I5039"/>
      <c r="N5039"/>
      <c r="O5039" s="24"/>
      <c r="P5039"/>
      <c r="Q5039" s="24"/>
      <c r="R5039"/>
      <c r="S5039"/>
      <c r="T5039"/>
      <c r="U5039"/>
      <c r="X5039" s="60"/>
    </row>
    <row r="5040" spans="7:24" ht="15" customHeight="1">
      <c r="G5040"/>
      <c r="I5040"/>
      <c r="N5040"/>
      <c r="O5040" s="24"/>
      <c r="P5040"/>
      <c r="Q5040" s="24"/>
      <c r="R5040"/>
      <c r="S5040"/>
      <c r="T5040"/>
      <c r="U5040"/>
      <c r="X5040" s="60"/>
    </row>
    <row r="5041" spans="7:24" ht="15" customHeight="1">
      <c r="G5041"/>
      <c r="I5041"/>
      <c r="N5041"/>
      <c r="O5041" s="24"/>
      <c r="P5041"/>
      <c r="Q5041" s="24"/>
      <c r="R5041"/>
      <c r="S5041"/>
      <c r="T5041"/>
      <c r="U5041"/>
      <c r="X5041" s="60"/>
    </row>
    <row r="5042" spans="7:24" ht="15" customHeight="1">
      <c r="G5042"/>
      <c r="I5042"/>
      <c r="N5042"/>
      <c r="O5042" s="24"/>
      <c r="P5042"/>
      <c r="Q5042" s="24"/>
      <c r="R5042"/>
      <c r="S5042"/>
      <c r="T5042"/>
      <c r="U5042"/>
      <c r="X5042" s="60"/>
    </row>
    <row r="5043" spans="7:24" ht="15" customHeight="1">
      <c r="G5043"/>
      <c r="I5043"/>
      <c r="N5043"/>
      <c r="O5043" s="24"/>
      <c r="P5043"/>
      <c r="Q5043" s="24"/>
      <c r="R5043"/>
      <c r="S5043"/>
      <c r="T5043"/>
      <c r="U5043"/>
      <c r="X5043" s="60"/>
    </row>
    <row r="5044" spans="7:24" ht="15" customHeight="1">
      <c r="G5044"/>
      <c r="I5044"/>
      <c r="N5044"/>
      <c r="O5044" s="24"/>
      <c r="P5044"/>
      <c r="Q5044" s="24"/>
      <c r="R5044"/>
      <c r="S5044"/>
      <c r="T5044"/>
      <c r="U5044"/>
      <c r="X5044" s="60"/>
    </row>
    <row r="5045" spans="7:24" ht="15" customHeight="1">
      <c r="G5045"/>
      <c r="I5045"/>
      <c r="N5045"/>
      <c r="O5045" s="24"/>
      <c r="P5045"/>
      <c r="Q5045" s="24"/>
      <c r="R5045"/>
      <c r="S5045"/>
      <c r="T5045"/>
      <c r="U5045"/>
      <c r="X5045" s="60"/>
    </row>
    <row r="5046" spans="7:24" ht="15" customHeight="1">
      <c r="G5046"/>
      <c r="I5046"/>
      <c r="N5046"/>
      <c r="O5046" s="24"/>
      <c r="P5046"/>
      <c r="Q5046" s="24"/>
      <c r="R5046"/>
      <c r="S5046"/>
      <c r="T5046"/>
      <c r="U5046"/>
      <c r="X5046" s="60"/>
    </row>
    <row r="5047" spans="7:24" ht="15" customHeight="1">
      <c r="G5047"/>
      <c r="I5047"/>
      <c r="N5047"/>
      <c r="O5047" s="24"/>
      <c r="P5047"/>
      <c r="Q5047" s="24"/>
      <c r="R5047"/>
      <c r="S5047"/>
      <c r="T5047"/>
      <c r="U5047"/>
      <c r="X5047" s="60"/>
    </row>
    <row r="5048" spans="7:24" ht="15" customHeight="1">
      <c r="G5048"/>
      <c r="I5048"/>
      <c r="N5048"/>
      <c r="O5048" s="24"/>
      <c r="P5048"/>
      <c r="Q5048" s="24"/>
      <c r="R5048"/>
      <c r="S5048"/>
      <c r="T5048"/>
      <c r="U5048"/>
      <c r="X5048" s="60"/>
    </row>
    <row r="5049" spans="7:24" ht="15" customHeight="1">
      <c r="G5049"/>
      <c r="I5049"/>
      <c r="N5049"/>
      <c r="O5049" s="24"/>
      <c r="P5049"/>
      <c r="Q5049" s="24"/>
      <c r="R5049"/>
      <c r="S5049"/>
      <c r="T5049"/>
      <c r="U5049"/>
      <c r="X5049" s="60"/>
    </row>
    <row r="5050" spans="7:24" ht="15" customHeight="1">
      <c r="G5050"/>
      <c r="I5050"/>
      <c r="N5050"/>
      <c r="O5050" s="24"/>
      <c r="P5050"/>
      <c r="Q5050" s="24"/>
      <c r="R5050"/>
      <c r="S5050"/>
      <c r="T5050"/>
      <c r="U5050"/>
      <c r="X5050" s="60"/>
    </row>
    <row r="5051" spans="7:24" ht="15" customHeight="1">
      <c r="G5051"/>
      <c r="I5051"/>
      <c r="N5051"/>
      <c r="O5051" s="24"/>
      <c r="P5051"/>
      <c r="Q5051" s="24"/>
      <c r="R5051"/>
      <c r="S5051"/>
      <c r="T5051"/>
      <c r="U5051"/>
      <c r="X5051" s="60"/>
    </row>
    <row r="5052" spans="7:24" ht="15" customHeight="1">
      <c r="G5052"/>
      <c r="I5052"/>
      <c r="N5052"/>
      <c r="O5052" s="24"/>
      <c r="P5052"/>
      <c r="Q5052" s="24"/>
      <c r="R5052"/>
      <c r="S5052"/>
      <c r="T5052"/>
      <c r="U5052"/>
      <c r="X5052" s="60"/>
    </row>
    <row r="5053" spans="7:24" ht="15" customHeight="1">
      <c r="G5053"/>
      <c r="I5053"/>
      <c r="N5053"/>
      <c r="O5053" s="24"/>
      <c r="P5053"/>
      <c r="Q5053" s="24"/>
      <c r="R5053"/>
      <c r="S5053"/>
      <c r="T5053"/>
      <c r="U5053"/>
      <c r="X5053" s="60"/>
    </row>
    <row r="5054" spans="7:24" ht="15" customHeight="1">
      <c r="G5054"/>
      <c r="I5054"/>
      <c r="N5054"/>
      <c r="O5054" s="24"/>
      <c r="P5054"/>
      <c r="Q5054" s="24"/>
      <c r="R5054"/>
      <c r="S5054"/>
      <c r="T5054"/>
      <c r="U5054"/>
      <c r="X5054" s="60"/>
    </row>
    <row r="5055" spans="7:24" ht="15" customHeight="1">
      <c r="G5055"/>
      <c r="I5055"/>
      <c r="N5055"/>
      <c r="O5055" s="24"/>
      <c r="P5055"/>
      <c r="Q5055" s="24"/>
      <c r="R5055"/>
      <c r="S5055"/>
      <c r="T5055"/>
      <c r="U5055"/>
      <c r="X5055" s="60"/>
    </row>
    <row r="5056" spans="7:24" ht="15" customHeight="1">
      <c r="G5056"/>
      <c r="I5056"/>
      <c r="N5056"/>
      <c r="O5056" s="24"/>
      <c r="P5056"/>
      <c r="Q5056" s="24"/>
      <c r="R5056"/>
      <c r="S5056"/>
      <c r="T5056"/>
      <c r="U5056"/>
      <c r="X5056" s="60"/>
    </row>
    <row r="5057" spans="7:24" ht="15" customHeight="1">
      <c r="G5057"/>
      <c r="I5057"/>
      <c r="N5057"/>
      <c r="O5057" s="24"/>
      <c r="P5057"/>
      <c r="Q5057" s="24"/>
      <c r="R5057"/>
      <c r="S5057"/>
      <c r="T5057"/>
      <c r="U5057"/>
      <c r="X5057" s="60"/>
    </row>
    <row r="5058" spans="7:24" ht="15" customHeight="1">
      <c r="G5058"/>
      <c r="I5058"/>
      <c r="N5058"/>
      <c r="O5058" s="24"/>
      <c r="P5058"/>
      <c r="Q5058" s="24"/>
      <c r="R5058"/>
      <c r="S5058"/>
      <c r="T5058"/>
      <c r="U5058"/>
      <c r="X5058" s="60"/>
    </row>
    <row r="5059" spans="7:24" ht="15" customHeight="1">
      <c r="G5059"/>
      <c r="I5059"/>
      <c r="N5059"/>
      <c r="O5059" s="24"/>
      <c r="P5059"/>
      <c r="Q5059" s="24"/>
      <c r="R5059"/>
      <c r="S5059"/>
      <c r="T5059"/>
      <c r="U5059"/>
      <c r="X5059" s="60"/>
    </row>
    <row r="5060" spans="7:24" ht="15" customHeight="1">
      <c r="G5060"/>
      <c r="I5060"/>
      <c r="N5060"/>
      <c r="O5060" s="24"/>
      <c r="P5060"/>
      <c r="Q5060" s="24"/>
      <c r="R5060"/>
      <c r="S5060"/>
      <c r="T5060"/>
      <c r="U5060"/>
      <c r="X5060" s="60"/>
    </row>
    <row r="5061" spans="7:24" ht="15" customHeight="1">
      <c r="G5061"/>
      <c r="I5061"/>
      <c r="N5061"/>
      <c r="O5061" s="24"/>
      <c r="P5061"/>
      <c r="Q5061" s="24"/>
      <c r="R5061"/>
      <c r="S5061"/>
      <c r="T5061"/>
      <c r="U5061"/>
      <c r="X5061" s="60"/>
    </row>
    <row r="5062" spans="7:24" ht="15" customHeight="1">
      <c r="G5062"/>
      <c r="I5062"/>
      <c r="N5062"/>
      <c r="O5062" s="24"/>
      <c r="P5062"/>
      <c r="Q5062" s="24"/>
      <c r="R5062"/>
      <c r="S5062"/>
      <c r="T5062"/>
      <c r="U5062"/>
      <c r="X5062" s="60"/>
    </row>
    <row r="5063" spans="7:24" ht="15" customHeight="1">
      <c r="G5063"/>
      <c r="I5063"/>
      <c r="N5063"/>
      <c r="O5063" s="24"/>
      <c r="P5063"/>
      <c r="Q5063" s="24"/>
      <c r="R5063"/>
      <c r="S5063"/>
      <c r="T5063"/>
      <c r="U5063"/>
      <c r="X5063" s="60"/>
    </row>
    <row r="5064" spans="7:24" ht="15" customHeight="1">
      <c r="G5064"/>
      <c r="I5064"/>
      <c r="N5064"/>
      <c r="O5064" s="24"/>
      <c r="P5064"/>
      <c r="Q5064" s="24"/>
      <c r="R5064"/>
      <c r="S5064"/>
      <c r="T5064"/>
      <c r="U5064"/>
      <c r="X5064" s="60"/>
    </row>
    <row r="5065" spans="7:24" ht="15" customHeight="1">
      <c r="G5065"/>
      <c r="I5065"/>
      <c r="N5065"/>
      <c r="O5065" s="24"/>
      <c r="P5065"/>
      <c r="Q5065" s="24"/>
      <c r="R5065"/>
      <c r="S5065"/>
      <c r="T5065"/>
      <c r="U5065"/>
      <c r="X5065" s="60"/>
    </row>
    <row r="5066" spans="7:24" ht="15" customHeight="1">
      <c r="G5066"/>
      <c r="I5066"/>
      <c r="N5066"/>
      <c r="O5066" s="24"/>
      <c r="P5066"/>
      <c r="Q5066" s="24"/>
      <c r="R5066"/>
      <c r="S5066"/>
      <c r="T5066"/>
      <c r="U5066"/>
      <c r="X5066" s="60"/>
    </row>
    <row r="5067" spans="7:24" ht="15" customHeight="1">
      <c r="G5067"/>
      <c r="I5067"/>
      <c r="N5067"/>
      <c r="O5067" s="24"/>
      <c r="P5067"/>
      <c r="Q5067" s="24"/>
      <c r="R5067"/>
      <c r="S5067"/>
      <c r="T5067"/>
      <c r="U5067"/>
      <c r="X5067" s="60"/>
    </row>
    <row r="5068" spans="7:24" ht="15" customHeight="1">
      <c r="G5068"/>
      <c r="I5068"/>
      <c r="N5068"/>
      <c r="O5068" s="24"/>
      <c r="P5068"/>
      <c r="Q5068" s="24"/>
      <c r="R5068"/>
      <c r="S5068"/>
      <c r="T5068"/>
      <c r="U5068"/>
      <c r="X5068" s="60"/>
    </row>
    <row r="5069" spans="7:24" ht="15" customHeight="1">
      <c r="G5069"/>
      <c r="I5069"/>
      <c r="N5069"/>
      <c r="O5069" s="24"/>
      <c r="P5069"/>
      <c r="Q5069" s="24"/>
      <c r="R5069"/>
      <c r="S5069"/>
      <c r="T5069"/>
      <c r="U5069"/>
      <c r="X5069" s="60"/>
    </row>
    <row r="5070" spans="7:24" ht="15" customHeight="1">
      <c r="G5070"/>
      <c r="I5070"/>
      <c r="N5070"/>
      <c r="O5070" s="24"/>
      <c r="P5070"/>
      <c r="Q5070" s="24"/>
      <c r="R5070"/>
      <c r="S5070"/>
      <c r="T5070"/>
      <c r="U5070"/>
      <c r="X5070" s="60"/>
    </row>
    <row r="5071" spans="7:24" ht="15" customHeight="1">
      <c r="G5071"/>
      <c r="I5071"/>
      <c r="N5071"/>
      <c r="O5071" s="24"/>
      <c r="P5071"/>
      <c r="Q5071" s="24"/>
      <c r="R5071"/>
      <c r="S5071"/>
      <c r="T5071"/>
      <c r="U5071"/>
      <c r="X5071" s="60"/>
    </row>
    <row r="5072" spans="7:24" ht="15" customHeight="1">
      <c r="G5072"/>
      <c r="I5072"/>
      <c r="N5072"/>
      <c r="O5072" s="24"/>
      <c r="P5072"/>
      <c r="Q5072" s="24"/>
      <c r="R5072"/>
      <c r="S5072"/>
      <c r="T5072"/>
      <c r="U5072"/>
      <c r="X5072" s="60"/>
    </row>
    <row r="5073" spans="7:24" ht="15" customHeight="1">
      <c r="G5073"/>
      <c r="I5073"/>
      <c r="N5073"/>
      <c r="O5073" s="24"/>
      <c r="P5073"/>
      <c r="Q5073" s="24"/>
      <c r="R5073"/>
      <c r="S5073"/>
      <c r="T5073"/>
      <c r="U5073"/>
      <c r="X5073" s="60"/>
    </row>
    <row r="5074" spans="7:24" ht="15" customHeight="1">
      <c r="G5074"/>
      <c r="I5074"/>
      <c r="N5074"/>
      <c r="O5074" s="24"/>
      <c r="P5074"/>
      <c r="Q5074" s="24"/>
      <c r="R5074"/>
      <c r="S5074"/>
      <c r="T5074"/>
      <c r="U5074"/>
      <c r="X5074" s="60"/>
    </row>
    <row r="5075" spans="7:24" ht="15" customHeight="1">
      <c r="G5075"/>
      <c r="I5075"/>
      <c r="N5075"/>
      <c r="O5075" s="24"/>
      <c r="P5075"/>
      <c r="Q5075" s="24"/>
      <c r="R5075"/>
      <c r="S5075"/>
      <c r="T5075"/>
      <c r="U5075"/>
      <c r="X5075" s="60"/>
    </row>
    <row r="5076" spans="7:24" ht="15" customHeight="1">
      <c r="G5076"/>
      <c r="I5076"/>
      <c r="N5076"/>
      <c r="O5076" s="24"/>
      <c r="P5076"/>
      <c r="Q5076" s="24"/>
      <c r="R5076"/>
      <c r="S5076"/>
      <c r="T5076"/>
      <c r="U5076"/>
      <c r="X5076" s="60"/>
    </row>
    <row r="5077" spans="7:24" ht="15" customHeight="1">
      <c r="G5077"/>
      <c r="I5077"/>
      <c r="N5077"/>
      <c r="O5077" s="24"/>
      <c r="P5077"/>
      <c r="Q5077" s="24"/>
      <c r="R5077"/>
      <c r="S5077"/>
      <c r="T5077"/>
      <c r="U5077"/>
      <c r="X5077" s="60"/>
    </row>
    <row r="5078" spans="7:24" ht="15" customHeight="1">
      <c r="G5078"/>
      <c r="I5078"/>
      <c r="N5078"/>
      <c r="O5078" s="24"/>
      <c r="P5078"/>
      <c r="Q5078" s="24"/>
      <c r="R5078"/>
      <c r="S5078"/>
      <c r="T5078"/>
      <c r="U5078"/>
      <c r="X5078" s="60"/>
    </row>
    <row r="5079" spans="7:24" ht="15" customHeight="1">
      <c r="G5079"/>
      <c r="I5079"/>
      <c r="N5079"/>
      <c r="O5079" s="24"/>
      <c r="P5079"/>
      <c r="Q5079" s="24"/>
      <c r="R5079"/>
      <c r="S5079"/>
      <c r="T5079"/>
      <c r="U5079"/>
      <c r="X5079" s="60"/>
    </row>
    <row r="5080" spans="7:24" ht="15" customHeight="1">
      <c r="G5080"/>
      <c r="I5080"/>
      <c r="N5080"/>
      <c r="O5080" s="24"/>
      <c r="P5080"/>
      <c r="Q5080" s="24"/>
      <c r="R5080"/>
      <c r="S5080"/>
      <c r="T5080"/>
      <c r="U5080"/>
      <c r="X5080" s="60"/>
    </row>
    <row r="5081" spans="7:24" ht="15" customHeight="1">
      <c r="G5081"/>
      <c r="I5081"/>
      <c r="N5081"/>
      <c r="O5081" s="24"/>
      <c r="P5081"/>
      <c r="Q5081" s="24"/>
      <c r="R5081"/>
      <c r="S5081"/>
      <c r="T5081"/>
      <c r="U5081"/>
      <c r="X5081" s="60"/>
    </row>
    <row r="5082" spans="7:24" ht="15" customHeight="1">
      <c r="G5082"/>
      <c r="I5082"/>
      <c r="N5082"/>
      <c r="O5082" s="24"/>
      <c r="P5082"/>
      <c r="Q5082" s="24"/>
      <c r="R5082"/>
      <c r="S5082"/>
      <c r="T5082"/>
      <c r="U5082"/>
      <c r="X5082" s="60"/>
    </row>
    <row r="5083" spans="7:24" ht="15" customHeight="1">
      <c r="G5083"/>
      <c r="I5083"/>
      <c r="N5083"/>
      <c r="O5083" s="24"/>
      <c r="P5083"/>
      <c r="Q5083" s="24"/>
      <c r="R5083"/>
      <c r="S5083"/>
      <c r="T5083"/>
      <c r="U5083"/>
      <c r="X5083" s="60"/>
    </row>
    <row r="5084" spans="7:24" ht="15" customHeight="1">
      <c r="G5084"/>
      <c r="I5084"/>
      <c r="N5084"/>
      <c r="O5084" s="24"/>
      <c r="P5084"/>
      <c r="Q5084" s="24"/>
      <c r="R5084"/>
      <c r="S5084"/>
      <c r="T5084"/>
      <c r="U5084"/>
      <c r="X5084" s="60"/>
    </row>
    <row r="5085" spans="7:24" ht="15" customHeight="1">
      <c r="G5085"/>
      <c r="I5085"/>
      <c r="N5085"/>
      <c r="O5085" s="24"/>
      <c r="P5085"/>
      <c r="Q5085" s="24"/>
      <c r="R5085"/>
      <c r="S5085"/>
      <c r="T5085"/>
      <c r="U5085"/>
      <c r="X5085" s="60"/>
    </row>
    <row r="5086" spans="7:24" ht="15" customHeight="1">
      <c r="G5086"/>
      <c r="I5086"/>
      <c r="N5086"/>
      <c r="O5086" s="24"/>
      <c r="P5086"/>
      <c r="Q5086" s="24"/>
      <c r="R5086"/>
      <c r="S5086"/>
      <c r="T5086"/>
      <c r="U5086"/>
      <c r="X5086" s="60"/>
    </row>
    <row r="5087" spans="7:24" ht="15" customHeight="1">
      <c r="G5087"/>
      <c r="I5087"/>
      <c r="N5087"/>
      <c r="O5087" s="24"/>
      <c r="P5087"/>
      <c r="Q5087" s="24"/>
      <c r="R5087"/>
      <c r="S5087"/>
      <c r="T5087"/>
      <c r="U5087"/>
      <c r="X5087" s="60"/>
    </row>
    <row r="5088" spans="7:24" ht="15" customHeight="1">
      <c r="G5088"/>
      <c r="I5088"/>
      <c r="N5088"/>
      <c r="O5088" s="24"/>
      <c r="P5088"/>
      <c r="Q5088" s="24"/>
      <c r="R5088"/>
      <c r="S5088"/>
      <c r="T5088"/>
      <c r="U5088"/>
      <c r="X5088" s="60"/>
    </row>
    <row r="5089" spans="7:24" ht="15" customHeight="1">
      <c r="G5089"/>
      <c r="I5089"/>
      <c r="N5089"/>
      <c r="O5089" s="24"/>
      <c r="P5089"/>
      <c r="Q5089" s="24"/>
      <c r="R5089"/>
      <c r="S5089"/>
      <c r="T5089"/>
      <c r="U5089"/>
      <c r="X5089" s="60"/>
    </row>
    <row r="5090" spans="7:24" ht="15" customHeight="1">
      <c r="G5090"/>
      <c r="I5090"/>
      <c r="N5090"/>
      <c r="O5090" s="24"/>
      <c r="P5090"/>
      <c r="Q5090" s="24"/>
      <c r="R5090"/>
      <c r="S5090"/>
      <c r="T5090"/>
      <c r="U5090"/>
      <c r="X5090" s="60"/>
    </row>
    <row r="5091" spans="7:24" ht="15" customHeight="1">
      <c r="G5091"/>
      <c r="I5091"/>
      <c r="N5091"/>
      <c r="O5091" s="24"/>
      <c r="P5091"/>
      <c r="Q5091" s="24"/>
      <c r="R5091"/>
      <c r="S5091"/>
      <c r="T5091"/>
      <c r="U5091"/>
      <c r="X5091" s="60"/>
    </row>
    <row r="5092" spans="7:24" ht="15" customHeight="1">
      <c r="G5092"/>
      <c r="I5092"/>
      <c r="N5092"/>
      <c r="O5092" s="24"/>
      <c r="P5092"/>
      <c r="Q5092" s="24"/>
      <c r="R5092"/>
      <c r="S5092"/>
      <c r="T5092"/>
      <c r="U5092"/>
      <c r="X5092" s="60"/>
    </row>
    <row r="5093" spans="7:24" ht="15" customHeight="1">
      <c r="G5093"/>
      <c r="I5093"/>
      <c r="N5093"/>
      <c r="O5093" s="24"/>
      <c r="P5093"/>
      <c r="Q5093" s="24"/>
      <c r="R5093"/>
      <c r="S5093"/>
      <c r="T5093"/>
      <c r="U5093"/>
      <c r="X5093" s="60"/>
    </row>
    <row r="5094" spans="7:24" ht="15" customHeight="1">
      <c r="G5094"/>
      <c r="I5094"/>
      <c r="N5094"/>
      <c r="O5094" s="24"/>
      <c r="P5094"/>
      <c r="Q5094" s="24"/>
      <c r="R5094"/>
      <c r="S5094"/>
      <c r="T5094"/>
      <c r="U5094"/>
      <c r="X5094" s="60"/>
    </row>
    <row r="5095" spans="7:24" ht="15" customHeight="1">
      <c r="G5095"/>
      <c r="I5095"/>
      <c r="N5095"/>
      <c r="O5095" s="24"/>
      <c r="P5095"/>
      <c r="Q5095" s="24"/>
      <c r="R5095"/>
      <c r="S5095"/>
      <c r="T5095"/>
      <c r="U5095"/>
      <c r="X5095" s="60"/>
    </row>
    <row r="5096" spans="7:24" ht="15" customHeight="1">
      <c r="G5096"/>
      <c r="I5096"/>
      <c r="N5096"/>
      <c r="O5096" s="24"/>
      <c r="P5096"/>
      <c r="Q5096" s="24"/>
      <c r="R5096"/>
      <c r="S5096"/>
      <c r="T5096"/>
      <c r="U5096"/>
      <c r="X5096" s="60"/>
    </row>
    <row r="5097" spans="7:24" ht="15" customHeight="1">
      <c r="G5097"/>
      <c r="I5097"/>
      <c r="N5097"/>
      <c r="O5097" s="24"/>
      <c r="P5097"/>
      <c r="Q5097" s="24"/>
      <c r="R5097"/>
      <c r="S5097"/>
      <c r="T5097"/>
      <c r="U5097"/>
      <c r="X5097" s="60"/>
    </row>
    <row r="5098" spans="7:24" ht="15" customHeight="1">
      <c r="G5098"/>
      <c r="I5098"/>
      <c r="N5098"/>
      <c r="O5098" s="24"/>
      <c r="P5098"/>
      <c r="Q5098" s="24"/>
      <c r="R5098"/>
      <c r="S5098"/>
      <c r="T5098"/>
      <c r="U5098"/>
      <c r="X5098" s="60"/>
    </row>
    <row r="5099" spans="7:24" ht="15" customHeight="1">
      <c r="G5099"/>
      <c r="I5099"/>
      <c r="N5099"/>
      <c r="O5099" s="24"/>
      <c r="P5099"/>
      <c r="Q5099" s="24"/>
      <c r="R5099"/>
      <c r="S5099"/>
      <c r="T5099"/>
      <c r="U5099"/>
      <c r="X5099" s="60"/>
    </row>
    <row r="5100" spans="7:24" ht="15" customHeight="1">
      <c r="G5100"/>
      <c r="I5100"/>
      <c r="N5100"/>
      <c r="O5100" s="24"/>
      <c r="P5100"/>
      <c r="Q5100" s="24"/>
      <c r="R5100"/>
      <c r="S5100"/>
      <c r="T5100"/>
      <c r="U5100"/>
      <c r="X5100" s="60"/>
    </row>
    <row r="5101" spans="7:24" ht="15" customHeight="1">
      <c r="G5101"/>
      <c r="I5101"/>
      <c r="N5101"/>
      <c r="O5101" s="24"/>
      <c r="P5101"/>
      <c r="Q5101" s="24"/>
      <c r="R5101"/>
      <c r="S5101"/>
      <c r="T5101"/>
      <c r="U5101"/>
      <c r="X5101" s="60"/>
    </row>
    <row r="5102" spans="7:24" ht="15" customHeight="1">
      <c r="G5102"/>
      <c r="I5102"/>
      <c r="N5102"/>
      <c r="O5102" s="24"/>
      <c r="P5102"/>
      <c r="Q5102" s="24"/>
      <c r="R5102"/>
      <c r="S5102"/>
      <c r="T5102"/>
      <c r="U5102"/>
      <c r="X5102" s="60"/>
    </row>
    <row r="5103" spans="7:24" ht="15" customHeight="1">
      <c r="G5103"/>
      <c r="I5103"/>
      <c r="N5103"/>
      <c r="O5103" s="24"/>
      <c r="P5103"/>
      <c r="Q5103" s="24"/>
      <c r="R5103"/>
      <c r="S5103"/>
      <c r="T5103"/>
      <c r="U5103"/>
      <c r="X5103" s="60"/>
    </row>
    <row r="5104" spans="7:24" ht="15" customHeight="1">
      <c r="G5104"/>
      <c r="I5104"/>
      <c r="N5104"/>
      <c r="O5104" s="24"/>
      <c r="P5104"/>
      <c r="Q5104" s="24"/>
      <c r="R5104"/>
      <c r="S5104"/>
      <c r="T5104"/>
      <c r="U5104"/>
      <c r="X5104" s="60"/>
    </row>
    <row r="5105" spans="7:24" ht="15" customHeight="1">
      <c r="G5105"/>
      <c r="I5105"/>
      <c r="N5105"/>
      <c r="O5105" s="24"/>
      <c r="P5105"/>
      <c r="Q5105" s="24"/>
      <c r="R5105"/>
      <c r="S5105"/>
      <c r="T5105"/>
      <c r="U5105"/>
      <c r="X5105" s="60"/>
    </row>
    <row r="5106" spans="7:24" ht="15" customHeight="1">
      <c r="G5106"/>
      <c r="I5106"/>
      <c r="N5106"/>
      <c r="O5106" s="24"/>
      <c r="P5106"/>
      <c r="Q5106" s="24"/>
      <c r="R5106"/>
      <c r="S5106"/>
      <c r="T5106"/>
      <c r="U5106"/>
      <c r="X5106" s="60"/>
    </row>
    <row r="5107" spans="7:24" ht="15" customHeight="1">
      <c r="G5107"/>
      <c r="I5107"/>
      <c r="N5107"/>
      <c r="O5107" s="24"/>
      <c r="P5107"/>
      <c r="Q5107" s="24"/>
      <c r="R5107"/>
      <c r="S5107"/>
      <c r="T5107"/>
      <c r="U5107"/>
      <c r="X5107" s="60"/>
    </row>
    <row r="5108" spans="7:24" ht="15" customHeight="1">
      <c r="G5108"/>
      <c r="I5108"/>
      <c r="N5108"/>
      <c r="O5108" s="24"/>
      <c r="P5108"/>
      <c r="Q5108" s="24"/>
      <c r="R5108"/>
      <c r="S5108"/>
      <c r="T5108"/>
      <c r="U5108"/>
      <c r="X5108" s="60"/>
    </row>
    <row r="5109" spans="7:24" ht="15" customHeight="1">
      <c r="G5109"/>
      <c r="I5109"/>
      <c r="N5109"/>
      <c r="O5109" s="24"/>
      <c r="P5109"/>
      <c r="Q5109" s="24"/>
      <c r="R5109"/>
      <c r="S5109"/>
      <c r="T5109"/>
      <c r="U5109"/>
      <c r="X5109" s="60"/>
    </row>
    <row r="5110" spans="7:24" ht="15" customHeight="1">
      <c r="G5110"/>
      <c r="I5110"/>
      <c r="N5110"/>
      <c r="O5110" s="24"/>
      <c r="P5110"/>
      <c r="Q5110" s="24"/>
      <c r="R5110"/>
      <c r="S5110"/>
      <c r="T5110"/>
      <c r="U5110"/>
      <c r="X5110" s="60"/>
    </row>
    <row r="5111" spans="7:24" ht="15" customHeight="1">
      <c r="G5111"/>
      <c r="I5111"/>
      <c r="N5111"/>
      <c r="O5111" s="24"/>
      <c r="P5111"/>
      <c r="Q5111" s="24"/>
      <c r="R5111"/>
      <c r="S5111"/>
      <c r="T5111"/>
      <c r="U5111"/>
      <c r="X5111" s="60"/>
    </row>
    <row r="5112" spans="7:24" ht="15" customHeight="1">
      <c r="G5112"/>
      <c r="I5112"/>
      <c r="N5112"/>
      <c r="O5112" s="24"/>
      <c r="P5112"/>
      <c r="Q5112" s="24"/>
      <c r="R5112"/>
      <c r="S5112"/>
      <c r="T5112"/>
      <c r="U5112"/>
      <c r="X5112" s="60"/>
    </row>
    <row r="5113" spans="7:24" ht="15" customHeight="1">
      <c r="G5113"/>
      <c r="I5113"/>
      <c r="N5113"/>
      <c r="O5113" s="24"/>
      <c r="P5113"/>
      <c r="Q5113" s="24"/>
      <c r="R5113"/>
      <c r="S5113"/>
      <c r="T5113"/>
      <c r="U5113"/>
      <c r="X5113" s="60"/>
    </row>
    <row r="5114" spans="7:24" ht="15" customHeight="1">
      <c r="G5114"/>
      <c r="I5114"/>
      <c r="N5114"/>
      <c r="O5114" s="24"/>
      <c r="P5114"/>
      <c r="Q5114" s="24"/>
      <c r="R5114"/>
      <c r="S5114"/>
      <c r="T5114"/>
      <c r="U5114"/>
      <c r="X5114" s="60"/>
    </row>
    <row r="5115" spans="7:24" ht="15" customHeight="1">
      <c r="G5115"/>
      <c r="I5115"/>
      <c r="N5115"/>
      <c r="O5115" s="24"/>
      <c r="P5115"/>
      <c r="Q5115" s="24"/>
      <c r="R5115"/>
      <c r="S5115"/>
      <c r="T5115"/>
      <c r="U5115"/>
      <c r="X5115" s="60"/>
    </row>
    <row r="5116" spans="7:24" ht="15" customHeight="1">
      <c r="G5116"/>
      <c r="I5116"/>
      <c r="N5116"/>
      <c r="O5116" s="24"/>
      <c r="P5116"/>
      <c r="Q5116" s="24"/>
      <c r="R5116"/>
      <c r="S5116"/>
      <c r="T5116"/>
      <c r="U5116"/>
      <c r="X5116" s="60"/>
    </row>
    <row r="5117" spans="7:24" ht="15" customHeight="1">
      <c r="G5117"/>
      <c r="I5117"/>
      <c r="N5117"/>
      <c r="O5117" s="24"/>
      <c r="P5117"/>
      <c r="Q5117" s="24"/>
      <c r="R5117"/>
      <c r="S5117"/>
      <c r="T5117"/>
      <c r="U5117"/>
      <c r="X5117" s="60"/>
    </row>
    <row r="5118" spans="7:24" ht="15" customHeight="1">
      <c r="G5118"/>
      <c r="I5118"/>
      <c r="N5118"/>
      <c r="O5118" s="24"/>
      <c r="P5118"/>
      <c r="Q5118" s="24"/>
      <c r="R5118"/>
      <c r="S5118"/>
      <c r="T5118"/>
      <c r="U5118"/>
      <c r="X5118" s="60"/>
    </row>
    <row r="5119" spans="7:24" ht="15" customHeight="1">
      <c r="G5119"/>
      <c r="I5119"/>
      <c r="N5119"/>
      <c r="O5119" s="24"/>
      <c r="P5119"/>
      <c r="Q5119" s="24"/>
      <c r="R5119"/>
      <c r="S5119"/>
      <c r="T5119"/>
      <c r="U5119"/>
      <c r="X5119" s="60"/>
    </row>
    <row r="5120" spans="7:24" ht="15" customHeight="1">
      <c r="G5120"/>
      <c r="I5120"/>
      <c r="N5120"/>
      <c r="O5120" s="24"/>
      <c r="P5120"/>
      <c r="Q5120" s="24"/>
      <c r="R5120"/>
      <c r="S5120"/>
      <c r="T5120"/>
      <c r="U5120"/>
      <c r="X5120" s="60"/>
    </row>
    <row r="5121" spans="7:24" ht="15" customHeight="1">
      <c r="G5121"/>
      <c r="I5121"/>
      <c r="N5121"/>
      <c r="O5121" s="24"/>
      <c r="P5121"/>
      <c r="Q5121" s="24"/>
      <c r="R5121"/>
      <c r="S5121"/>
      <c r="T5121"/>
      <c r="U5121"/>
      <c r="X5121" s="60"/>
    </row>
    <row r="5122" spans="7:24" ht="15" customHeight="1">
      <c r="G5122"/>
      <c r="I5122"/>
      <c r="N5122"/>
      <c r="O5122" s="24"/>
      <c r="P5122"/>
      <c r="Q5122" s="24"/>
      <c r="R5122"/>
      <c r="S5122"/>
      <c r="T5122"/>
      <c r="U5122"/>
      <c r="X5122" s="60"/>
    </row>
    <row r="5123" spans="7:24" ht="15" customHeight="1">
      <c r="G5123"/>
      <c r="I5123"/>
      <c r="N5123"/>
      <c r="O5123" s="24"/>
      <c r="P5123"/>
      <c r="Q5123" s="24"/>
      <c r="R5123"/>
      <c r="S5123"/>
      <c r="T5123"/>
      <c r="U5123"/>
      <c r="X5123" s="60"/>
    </row>
    <row r="5124" spans="7:24" ht="15" customHeight="1">
      <c r="G5124"/>
      <c r="I5124"/>
      <c r="N5124"/>
      <c r="O5124" s="24"/>
      <c r="P5124"/>
      <c r="Q5124" s="24"/>
      <c r="R5124"/>
      <c r="S5124"/>
      <c r="T5124"/>
      <c r="U5124"/>
      <c r="X5124" s="60"/>
    </row>
    <row r="5125" spans="7:24" ht="15" customHeight="1">
      <c r="G5125"/>
      <c r="I5125"/>
      <c r="N5125"/>
      <c r="O5125" s="24"/>
      <c r="P5125"/>
      <c r="Q5125" s="24"/>
      <c r="R5125"/>
      <c r="S5125"/>
      <c r="T5125"/>
      <c r="U5125"/>
      <c r="X5125" s="60"/>
    </row>
    <row r="5126" spans="7:24" ht="15" customHeight="1">
      <c r="G5126"/>
      <c r="I5126"/>
      <c r="N5126"/>
      <c r="O5126" s="24"/>
      <c r="P5126"/>
      <c r="Q5126" s="24"/>
      <c r="R5126"/>
      <c r="S5126"/>
      <c r="T5126"/>
      <c r="U5126"/>
      <c r="X5126" s="60"/>
    </row>
    <row r="5127" spans="7:24" ht="15" customHeight="1">
      <c r="G5127"/>
      <c r="I5127"/>
      <c r="N5127"/>
      <c r="O5127" s="24"/>
      <c r="P5127"/>
      <c r="Q5127" s="24"/>
      <c r="R5127"/>
      <c r="S5127"/>
      <c r="T5127"/>
      <c r="U5127"/>
      <c r="X5127" s="60"/>
    </row>
    <row r="5128" spans="7:24" ht="15" customHeight="1">
      <c r="G5128"/>
      <c r="I5128"/>
      <c r="N5128"/>
      <c r="O5128" s="24"/>
      <c r="P5128"/>
      <c r="Q5128" s="24"/>
      <c r="R5128"/>
      <c r="S5128"/>
      <c r="T5128"/>
      <c r="U5128"/>
      <c r="X5128" s="60"/>
    </row>
    <row r="5129" spans="7:24" ht="15" customHeight="1">
      <c r="G5129"/>
      <c r="I5129"/>
      <c r="N5129"/>
      <c r="O5129" s="24"/>
      <c r="P5129"/>
      <c r="Q5129" s="24"/>
      <c r="R5129"/>
      <c r="S5129"/>
      <c r="T5129"/>
      <c r="U5129"/>
      <c r="X5129" s="60"/>
    </row>
    <row r="5130" spans="7:24" ht="15" customHeight="1">
      <c r="G5130"/>
      <c r="I5130"/>
      <c r="N5130"/>
      <c r="O5130" s="24"/>
      <c r="P5130"/>
      <c r="Q5130" s="24"/>
      <c r="R5130"/>
      <c r="S5130"/>
      <c r="T5130"/>
      <c r="U5130"/>
      <c r="X5130" s="60"/>
    </row>
    <row r="5131" spans="7:24" ht="15" customHeight="1">
      <c r="G5131"/>
      <c r="I5131"/>
      <c r="N5131"/>
      <c r="O5131" s="24"/>
      <c r="P5131"/>
      <c r="Q5131" s="24"/>
      <c r="R5131"/>
      <c r="S5131"/>
      <c r="T5131"/>
      <c r="U5131"/>
      <c r="X5131" s="60"/>
    </row>
    <row r="5132" spans="7:24" ht="15" customHeight="1">
      <c r="G5132"/>
      <c r="I5132"/>
      <c r="N5132"/>
      <c r="O5132" s="24"/>
      <c r="P5132"/>
      <c r="Q5132" s="24"/>
      <c r="R5132"/>
      <c r="S5132"/>
      <c r="T5132"/>
      <c r="U5132"/>
      <c r="X5132" s="60"/>
    </row>
    <row r="5133" spans="7:24" ht="15" customHeight="1">
      <c r="G5133"/>
      <c r="I5133"/>
      <c r="N5133"/>
      <c r="O5133" s="24"/>
      <c r="P5133"/>
      <c r="Q5133" s="24"/>
      <c r="R5133"/>
      <c r="S5133"/>
      <c r="T5133"/>
      <c r="U5133"/>
      <c r="X5133" s="60"/>
    </row>
    <row r="5134" spans="7:24" ht="15" customHeight="1">
      <c r="G5134"/>
      <c r="I5134"/>
      <c r="N5134"/>
      <c r="O5134" s="24"/>
      <c r="P5134"/>
      <c r="Q5134" s="24"/>
      <c r="R5134"/>
      <c r="S5134"/>
      <c r="T5134"/>
      <c r="U5134"/>
      <c r="X5134" s="60"/>
    </row>
    <row r="5135" spans="7:24" ht="15" customHeight="1">
      <c r="G5135"/>
      <c r="I5135"/>
      <c r="N5135"/>
      <c r="O5135" s="24"/>
      <c r="P5135"/>
      <c r="Q5135" s="24"/>
      <c r="R5135"/>
      <c r="S5135"/>
      <c r="T5135"/>
      <c r="U5135"/>
      <c r="X5135" s="60"/>
    </row>
    <row r="5136" spans="7:24" ht="15" customHeight="1">
      <c r="G5136"/>
      <c r="I5136"/>
      <c r="N5136"/>
      <c r="O5136" s="24"/>
      <c r="P5136"/>
      <c r="Q5136" s="24"/>
      <c r="R5136"/>
      <c r="S5136"/>
      <c r="T5136"/>
      <c r="U5136"/>
      <c r="X5136" s="60"/>
    </row>
    <row r="5137" spans="7:24" ht="15" customHeight="1">
      <c r="G5137"/>
      <c r="I5137"/>
      <c r="N5137"/>
      <c r="O5137" s="24"/>
      <c r="P5137"/>
      <c r="Q5137" s="24"/>
      <c r="R5137"/>
      <c r="S5137"/>
      <c r="T5137"/>
      <c r="U5137"/>
      <c r="X5137" s="60"/>
    </row>
    <row r="5138" spans="7:24" ht="15" customHeight="1">
      <c r="G5138"/>
      <c r="I5138"/>
      <c r="N5138"/>
      <c r="O5138" s="24"/>
      <c r="P5138"/>
      <c r="Q5138" s="24"/>
      <c r="R5138"/>
      <c r="S5138"/>
      <c r="T5138"/>
      <c r="U5138"/>
      <c r="X5138" s="60"/>
    </row>
    <row r="5139" spans="7:24" ht="15" customHeight="1">
      <c r="G5139"/>
      <c r="I5139"/>
      <c r="N5139"/>
      <c r="O5139" s="24"/>
      <c r="P5139"/>
      <c r="Q5139" s="24"/>
      <c r="R5139"/>
      <c r="S5139"/>
      <c r="T5139"/>
      <c r="U5139"/>
      <c r="X5139" s="60"/>
    </row>
    <row r="5140" spans="7:24" ht="15" customHeight="1">
      <c r="G5140"/>
      <c r="I5140"/>
      <c r="N5140"/>
      <c r="O5140" s="24"/>
      <c r="P5140"/>
      <c r="Q5140" s="24"/>
      <c r="R5140"/>
      <c r="S5140"/>
      <c r="T5140"/>
      <c r="U5140"/>
      <c r="X5140" s="60"/>
    </row>
    <row r="5141" spans="7:24" ht="15" customHeight="1">
      <c r="G5141"/>
      <c r="I5141"/>
      <c r="N5141"/>
      <c r="O5141" s="24"/>
      <c r="P5141"/>
      <c r="Q5141" s="24"/>
      <c r="R5141"/>
      <c r="S5141"/>
      <c r="T5141"/>
      <c r="U5141"/>
      <c r="X5141" s="60"/>
    </row>
    <row r="5142" spans="7:24" ht="15" customHeight="1">
      <c r="G5142"/>
      <c r="I5142"/>
      <c r="N5142"/>
      <c r="O5142" s="24"/>
      <c r="P5142"/>
      <c r="Q5142" s="24"/>
      <c r="R5142"/>
      <c r="S5142"/>
      <c r="T5142"/>
      <c r="U5142"/>
      <c r="X5142" s="60"/>
    </row>
    <row r="5143" spans="7:24" ht="15" customHeight="1">
      <c r="G5143"/>
      <c r="I5143"/>
      <c r="N5143"/>
      <c r="O5143" s="24"/>
      <c r="P5143"/>
      <c r="Q5143" s="24"/>
      <c r="R5143"/>
      <c r="S5143"/>
      <c r="T5143"/>
      <c r="U5143"/>
      <c r="X5143" s="60"/>
    </row>
    <row r="5144" spans="7:24" ht="15" customHeight="1">
      <c r="G5144"/>
      <c r="I5144"/>
      <c r="N5144"/>
      <c r="O5144" s="24"/>
      <c r="P5144"/>
      <c r="Q5144" s="24"/>
      <c r="R5144"/>
      <c r="S5144"/>
      <c r="T5144"/>
      <c r="U5144"/>
      <c r="X5144" s="60"/>
    </row>
    <row r="5145" spans="7:24" ht="15" customHeight="1">
      <c r="G5145"/>
      <c r="I5145"/>
      <c r="N5145"/>
      <c r="O5145" s="24"/>
      <c r="P5145"/>
      <c r="Q5145" s="24"/>
      <c r="R5145"/>
      <c r="S5145"/>
      <c r="T5145"/>
      <c r="U5145"/>
      <c r="X5145" s="60"/>
    </row>
    <row r="5146" spans="7:24" ht="15" customHeight="1">
      <c r="G5146"/>
      <c r="I5146"/>
      <c r="N5146"/>
      <c r="O5146" s="24"/>
      <c r="P5146"/>
      <c r="Q5146" s="24"/>
      <c r="R5146"/>
      <c r="S5146"/>
      <c r="T5146"/>
      <c r="U5146"/>
      <c r="X5146" s="60"/>
    </row>
    <row r="5147" spans="7:24" ht="15" customHeight="1">
      <c r="G5147"/>
      <c r="I5147"/>
      <c r="N5147"/>
      <c r="O5147" s="24"/>
      <c r="P5147"/>
      <c r="Q5147" s="24"/>
      <c r="R5147"/>
      <c r="S5147"/>
      <c r="T5147"/>
      <c r="U5147"/>
      <c r="X5147" s="60"/>
    </row>
    <row r="5148" spans="7:24" ht="15" customHeight="1">
      <c r="G5148"/>
      <c r="I5148"/>
      <c r="N5148"/>
      <c r="O5148" s="24"/>
      <c r="P5148"/>
      <c r="Q5148" s="24"/>
      <c r="R5148"/>
      <c r="S5148"/>
      <c r="T5148"/>
      <c r="U5148"/>
      <c r="X5148" s="60"/>
    </row>
    <row r="5149" spans="7:24" ht="15" customHeight="1">
      <c r="G5149"/>
      <c r="I5149"/>
      <c r="N5149"/>
      <c r="O5149" s="24"/>
      <c r="P5149"/>
      <c r="Q5149" s="24"/>
      <c r="R5149"/>
      <c r="S5149"/>
      <c r="T5149"/>
      <c r="U5149"/>
      <c r="X5149" s="60"/>
    </row>
    <row r="5150" spans="7:24" ht="15" customHeight="1">
      <c r="G5150"/>
      <c r="I5150"/>
      <c r="N5150"/>
      <c r="O5150" s="24"/>
      <c r="P5150"/>
      <c r="Q5150" s="24"/>
      <c r="R5150"/>
      <c r="S5150"/>
      <c r="T5150"/>
      <c r="U5150"/>
      <c r="X5150" s="60"/>
    </row>
    <row r="5151" spans="7:24" ht="15" customHeight="1">
      <c r="G5151"/>
      <c r="I5151"/>
      <c r="N5151"/>
      <c r="O5151" s="24"/>
      <c r="P5151"/>
      <c r="Q5151" s="24"/>
      <c r="R5151"/>
      <c r="S5151"/>
      <c r="T5151"/>
      <c r="U5151"/>
      <c r="X5151" s="60"/>
    </row>
    <row r="5152" spans="7:24" ht="15" customHeight="1">
      <c r="G5152"/>
      <c r="I5152"/>
      <c r="N5152"/>
      <c r="O5152" s="24"/>
      <c r="P5152"/>
      <c r="Q5152" s="24"/>
      <c r="R5152"/>
      <c r="S5152"/>
      <c r="T5152"/>
      <c r="U5152"/>
      <c r="X5152" s="60"/>
    </row>
    <row r="5153" spans="7:24" ht="15" customHeight="1">
      <c r="G5153"/>
      <c r="I5153"/>
      <c r="N5153"/>
      <c r="O5153" s="24"/>
      <c r="P5153"/>
      <c r="Q5153" s="24"/>
      <c r="R5153"/>
      <c r="S5153"/>
      <c r="T5153"/>
      <c r="U5153"/>
      <c r="X5153" s="60"/>
    </row>
    <row r="5154" spans="7:24" ht="15" customHeight="1">
      <c r="G5154"/>
      <c r="I5154"/>
      <c r="N5154"/>
      <c r="O5154" s="24"/>
      <c r="P5154"/>
      <c r="Q5154" s="24"/>
      <c r="R5154"/>
      <c r="S5154"/>
      <c r="T5154"/>
      <c r="U5154"/>
      <c r="X5154" s="60"/>
    </row>
    <row r="5155" spans="7:24" ht="15" customHeight="1">
      <c r="G5155"/>
      <c r="I5155"/>
      <c r="N5155"/>
      <c r="O5155" s="24"/>
      <c r="P5155"/>
      <c r="Q5155" s="24"/>
      <c r="R5155"/>
      <c r="S5155"/>
      <c r="T5155"/>
      <c r="U5155"/>
      <c r="X5155" s="60"/>
    </row>
    <row r="5156" spans="7:24" ht="15" customHeight="1">
      <c r="G5156"/>
      <c r="I5156"/>
      <c r="N5156"/>
      <c r="O5156" s="24"/>
      <c r="P5156"/>
      <c r="Q5156" s="24"/>
      <c r="R5156"/>
      <c r="S5156"/>
      <c r="T5156"/>
      <c r="U5156"/>
      <c r="X5156" s="60"/>
    </row>
    <row r="5157" spans="7:24" ht="15" customHeight="1">
      <c r="G5157"/>
      <c r="I5157"/>
      <c r="N5157"/>
      <c r="O5157" s="24"/>
      <c r="P5157"/>
      <c r="Q5157" s="24"/>
      <c r="R5157"/>
      <c r="S5157"/>
      <c r="T5157"/>
      <c r="U5157"/>
      <c r="X5157" s="60"/>
    </row>
    <row r="5158" spans="7:24" ht="15" customHeight="1">
      <c r="G5158"/>
      <c r="I5158"/>
      <c r="N5158"/>
      <c r="O5158" s="24"/>
      <c r="P5158"/>
      <c r="Q5158" s="24"/>
      <c r="R5158"/>
      <c r="S5158"/>
      <c r="T5158"/>
      <c r="U5158"/>
      <c r="X5158" s="60"/>
    </row>
    <row r="5159" spans="7:24" ht="15" customHeight="1">
      <c r="G5159"/>
      <c r="I5159"/>
      <c r="N5159"/>
      <c r="O5159" s="24"/>
      <c r="P5159"/>
      <c r="Q5159" s="24"/>
      <c r="R5159"/>
      <c r="S5159"/>
      <c r="T5159"/>
      <c r="U5159"/>
      <c r="X5159" s="60"/>
    </row>
    <row r="5160" spans="7:24" ht="15" customHeight="1">
      <c r="G5160"/>
      <c r="I5160"/>
      <c r="N5160"/>
      <c r="O5160" s="24"/>
      <c r="P5160"/>
      <c r="Q5160" s="24"/>
      <c r="R5160"/>
      <c r="S5160"/>
      <c r="T5160"/>
      <c r="U5160"/>
      <c r="X5160" s="60"/>
    </row>
    <row r="5161" spans="7:24" ht="15" customHeight="1">
      <c r="G5161"/>
      <c r="I5161"/>
      <c r="N5161"/>
      <c r="O5161" s="24"/>
      <c r="P5161"/>
      <c r="Q5161" s="24"/>
      <c r="R5161"/>
      <c r="S5161"/>
      <c r="T5161"/>
      <c r="U5161"/>
      <c r="X5161" s="60"/>
    </row>
    <row r="5162" spans="7:24" ht="15" customHeight="1">
      <c r="G5162"/>
      <c r="I5162"/>
      <c r="N5162"/>
      <c r="O5162" s="24"/>
      <c r="P5162"/>
      <c r="Q5162" s="24"/>
      <c r="R5162"/>
      <c r="S5162"/>
      <c r="T5162"/>
      <c r="U5162"/>
      <c r="X5162" s="60"/>
    </row>
    <row r="5163" spans="7:24" ht="15" customHeight="1">
      <c r="G5163"/>
      <c r="I5163"/>
      <c r="N5163"/>
      <c r="O5163" s="24"/>
      <c r="P5163"/>
      <c r="Q5163" s="24"/>
      <c r="R5163"/>
      <c r="S5163"/>
      <c r="T5163"/>
      <c r="U5163"/>
      <c r="X5163" s="60"/>
    </row>
    <row r="5164" spans="7:24" ht="15" customHeight="1">
      <c r="G5164"/>
      <c r="I5164"/>
      <c r="N5164"/>
      <c r="O5164" s="24"/>
      <c r="P5164"/>
      <c r="Q5164" s="24"/>
      <c r="R5164"/>
      <c r="S5164"/>
      <c r="T5164"/>
      <c r="U5164"/>
      <c r="X5164" s="60"/>
    </row>
    <row r="5165" spans="7:24" ht="15" customHeight="1">
      <c r="G5165"/>
      <c r="I5165"/>
      <c r="N5165"/>
      <c r="O5165" s="24"/>
      <c r="P5165"/>
      <c r="Q5165" s="24"/>
      <c r="R5165"/>
      <c r="S5165"/>
      <c r="T5165"/>
      <c r="U5165"/>
      <c r="X5165" s="60"/>
    </row>
    <row r="5166" spans="7:24" ht="15" customHeight="1">
      <c r="G5166"/>
      <c r="I5166"/>
      <c r="N5166"/>
      <c r="O5166" s="24"/>
      <c r="P5166"/>
      <c r="Q5166" s="24"/>
      <c r="R5166"/>
      <c r="S5166"/>
      <c r="T5166"/>
      <c r="U5166"/>
      <c r="X5166" s="60"/>
    </row>
    <row r="5167" spans="7:24" ht="15" customHeight="1">
      <c r="G5167"/>
      <c r="I5167"/>
      <c r="N5167"/>
      <c r="O5167" s="24"/>
      <c r="P5167"/>
      <c r="Q5167" s="24"/>
      <c r="R5167"/>
      <c r="S5167"/>
      <c r="T5167"/>
      <c r="U5167"/>
      <c r="X5167" s="60"/>
    </row>
    <row r="5168" spans="7:24" ht="15" customHeight="1">
      <c r="G5168"/>
      <c r="I5168"/>
      <c r="N5168"/>
      <c r="O5168" s="24"/>
      <c r="P5168"/>
      <c r="Q5168" s="24"/>
      <c r="R5168"/>
      <c r="S5168"/>
      <c r="T5168"/>
      <c r="U5168"/>
      <c r="X5168" s="60"/>
    </row>
    <row r="5169" spans="7:24" ht="15" customHeight="1">
      <c r="G5169"/>
      <c r="I5169"/>
      <c r="N5169"/>
      <c r="O5169" s="24"/>
      <c r="P5169"/>
      <c r="Q5169" s="24"/>
      <c r="R5169"/>
      <c r="S5169"/>
      <c r="T5169"/>
      <c r="U5169"/>
      <c r="X5169" s="60"/>
    </row>
    <row r="5170" spans="7:24" ht="15" customHeight="1">
      <c r="G5170"/>
      <c r="I5170"/>
      <c r="N5170"/>
      <c r="O5170" s="24"/>
      <c r="P5170"/>
      <c r="Q5170" s="24"/>
      <c r="R5170"/>
      <c r="S5170"/>
      <c r="T5170"/>
      <c r="U5170"/>
      <c r="X5170" s="60"/>
    </row>
    <row r="5171" spans="7:24" ht="15" customHeight="1">
      <c r="G5171"/>
      <c r="I5171"/>
      <c r="N5171"/>
      <c r="O5171" s="24"/>
      <c r="P5171"/>
      <c r="Q5171" s="24"/>
      <c r="R5171"/>
      <c r="S5171"/>
      <c r="T5171"/>
      <c r="U5171"/>
      <c r="X5171" s="60"/>
    </row>
    <row r="5172" spans="7:24" ht="15" customHeight="1">
      <c r="G5172"/>
      <c r="I5172"/>
      <c r="N5172"/>
      <c r="O5172" s="24"/>
      <c r="P5172"/>
      <c r="Q5172" s="24"/>
      <c r="R5172"/>
      <c r="S5172"/>
      <c r="T5172"/>
      <c r="U5172"/>
      <c r="X5172" s="60"/>
    </row>
    <row r="5173" spans="7:24" ht="15" customHeight="1">
      <c r="G5173"/>
      <c r="I5173"/>
      <c r="N5173"/>
      <c r="O5173" s="24"/>
      <c r="P5173"/>
      <c r="Q5173" s="24"/>
      <c r="R5173"/>
      <c r="S5173"/>
      <c r="T5173"/>
      <c r="U5173"/>
      <c r="X5173" s="60"/>
    </row>
    <row r="5174" spans="7:24" ht="15" customHeight="1">
      <c r="G5174"/>
      <c r="I5174"/>
      <c r="N5174"/>
      <c r="O5174" s="24"/>
      <c r="P5174"/>
      <c r="Q5174" s="24"/>
      <c r="R5174"/>
      <c r="S5174"/>
      <c r="T5174"/>
      <c r="U5174"/>
      <c r="X5174" s="60"/>
    </row>
    <row r="5175" spans="7:24" ht="15" customHeight="1">
      <c r="G5175"/>
      <c r="I5175"/>
      <c r="N5175"/>
      <c r="O5175" s="24"/>
      <c r="P5175"/>
      <c r="Q5175" s="24"/>
      <c r="R5175"/>
      <c r="S5175"/>
      <c r="T5175"/>
      <c r="U5175"/>
      <c r="X5175" s="60"/>
    </row>
    <row r="5176" spans="7:24" ht="15" customHeight="1">
      <c r="G5176"/>
      <c r="I5176"/>
      <c r="N5176"/>
      <c r="O5176" s="24"/>
      <c r="P5176"/>
      <c r="Q5176" s="24"/>
      <c r="R5176"/>
      <c r="S5176"/>
      <c r="T5176"/>
      <c r="U5176"/>
      <c r="X5176" s="60"/>
    </row>
    <row r="5177" spans="7:24" ht="15" customHeight="1">
      <c r="G5177"/>
      <c r="I5177"/>
      <c r="N5177"/>
      <c r="O5177" s="24"/>
      <c r="P5177"/>
      <c r="Q5177" s="24"/>
      <c r="R5177"/>
      <c r="S5177"/>
      <c r="T5177"/>
      <c r="U5177"/>
      <c r="X5177" s="60"/>
    </row>
    <row r="5178" spans="7:24" ht="15" customHeight="1">
      <c r="G5178"/>
      <c r="I5178"/>
      <c r="N5178"/>
      <c r="O5178" s="24"/>
      <c r="P5178"/>
      <c r="Q5178" s="24"/>
      <c r="R5178"/>
      <c r="S5178"/>
      <c r="T5178"/>
      <c r="U5178"/>
      <c r="X5178" s="60"/>
    </row>
    <row r="5179" spans="7:24" ht="15" customHeight="1">
      <c r="G5179"/>
      <c r="I5179"/>
      <c r="N5179"/>
      <c r="O5179" s="24"/>
      <c r="P5179"/>
      <c r="Q5179" s="24"/>
      <c r="R5179"/>
      <c r="S5179"/>
      <c r="T5179"/>
      <c r="U5179"/>
      <c r="X5179" s="60"/>
    </row>
    <row r="5180" spans="7:24" ht="15" customHeight="1">
      <c r="G5180"/>
      <c r="I5180"/>
      <c r="N5180"/>
      <c r="O5180" s="24"/>
      <c r="P5180"/>
      <c r="Q5180" s="24"/>
      <c r="R5180"/>
      <c r="S5180"/>
      <c r="T5180"/>
      <c r="U5180"/>
      <c r="X5180" s="60"/>
    </row>
    <row r="5181" spans="7:24" ht="15" customHeight="1">
      <c r="G5181"/>
      <c r="I5181"/>
      <c r="N5181"/>
      <c r="O5181" s="24"/>
      <c r="P5181"/>
      <c r="Q5181" s="24"/>
      <c r="R5181"/>
      <c r="S5181"/>
      <c r="T5181"/>
      <c r="U5181"/>
      <c r="X5181" s="60"/>
    </row>
    <row r="5182" spans="7:24" ht="15" customHeight="1">
      <c r="G5182"/>
      <c r="I5182"/>
      <c r="N5182"/>
      <c r="O5182" s="24"/>
      <c r="P5182"/>
      <c r="Q5182" s="24"/>
      <c r="R5182"/>
      <c r="S5182"/>
      <c r="T5182"/>
      <c r="U5182"/>
      <c r="X5182" s="60"/>
    </row>
    <row r="5183" spans="7:24" ht="15" customHeight="1">
      <c r="G5183"/>
      <c r="I5183"/>
      <c r="N5183"/>
      <c r="O5183" s="24"/>
      <c r="P5183"/>
      <c r="Q5183" s="24"/>
      <c r="R5183"/>
      <c r="S5183"/>
      <c r="T5183"/>
      <c r="U5183"/>
      <c r="X5183" s="60"/>
    </row>
    <row r="5184" spans="7:24" ht="15" customHeight="1">
      <c r="G5184"/>
      <c r="I5184"/>
      <c r="N5184"/>
      <c r="O5184" s="24"/>
      <c r="P5184"/>
      <c r="Q5184" s="24"/>
      <c r="R5184"/>
      <c r="S5184"/>
      <c r="T5184"/>
      <c r="U5184"/>
      <c r="X5184" s="60"/>
    </row>
    <row r="5185" spans="7:24" ht="15" customHeight="1">
      <c r="G5185"/>
      <c r="I5185"/>
      <c r="N5185"/>
      <c r="O5185" s="24"/>
      <c r="P5185"/>
      <c r="Q5185" s="24"/>
      <c r="R5185"/>
      <c r="S5185"/>
      <c r="T5185"/>
      <c r="U5185"/>
      <c r="X5185" s="60"/>
    </row>
    <row r="5186" spans="7:24" ht="15" customHeight="1">
      <c r="G5186"/>
      <c r="I5186"/>
      <c r="N5186"/>
      <c r="O5186" s="24"/>
      <c r="P5186"/>
      <c r="Q5186" s="24"/>
      <c r="R5186"/>
      <c r="S5186"/>
      <c r="T5186"/>
      <c r="U5186"/>
      <c r="X5186" s="60"/>
    </row>
    <row r="5187" spans="7:24" ht="15" customHeight="1">
      <c r="G5187"/>
      <c r="I5187"/>
      <c r="N5187"/>
      <c r="O5187" s="24"/>
      <c r="P5187"/>
      <c r="Q5187" s="24"/>
      <c r="R5187"/>
      <c r="S5187"/>
      <c r="T5187"/>
      <c r="U5187"/>
      <c r="X5187" s="60"/>
    </row>
    <row r="5188" spans="7:24" ht="15" customHeight="1">
      <c r="G5188"/>
      <c r="I5188"/>
      <c r="N5188"/>
      <c r="O5188" s="24"/>
      <c r="P5188"/>
      <c r="Q5188" s="24"/>
      <c r="R5188"/>
      <c r="S5188"/>
      <c r="T5188"/>
      <c r="U5188"/>
      <c r="X5188" s="60"/>
    </row>
    <row r="5189" spans="7:24" ht="15" customHeight="1">
      <c r="G5189"/>
      <c r="I5189"/>
      <c r="N5189"/>
      <c r="O5189" s="24"/>
      <c r="P5189"/>
      <c r="Q5189" s="24"/>
      <c r="R5189"/>
      <c r="S5189"/>
      <c r="T5189"/>
      <c r="U5189"/>
      <c r="X5189" s="60"/>
    </row>
    <row r="5190" spans="7:24" ht="15" customHeight="1">
      <c r="G5190"/>
      <c r="I5190"/>
      <c r="N5190"/>
      <c r="O5190" s="24"/>
      <c r="P5190"/>
      <c r="Q5190" s="24"/>
      <c r="R5190"/>
      <c r="S5190"/>
      <c r="T5190"/>
      <c r="U5190"/>
      <c r="X5190" s="60"/>
    </row>
    <row r="5191" spans="7:24" ht="15" customHeight="1">
      <c r="G5191"/>
      <c r="I5191"/>
      <c r="N5191"/>
      <c r="O5191" s="24"/>
      <c r="P5191"/>
      <c r="Q5191" s="24"/>
      <c r="R5191"/>
      <c r="S5191"/>
      <c r="T5191"/>
      <c r="U5191"/>
      <c r="X5191" s="60"/>
    </row>
    <row r="5192" spans="7:24" ht="15" customHeight="1">
      <c r="G5192"/>
      <c r="I5192"/>
      <c r="N5192"/>
      <c r="O5192" s="24"/>
      <c r="P5192"/>
      <c r="Q5192" s="24"/>
      <c r="R5192"/>
      <c r="S5192"/>
      <c r="T5192"/>
      <c r="U5192"/>
      <c r="X5192" s="60"/>
    </row>
    <row r="5193" spans="7:24" ht="15" customHeight="1">
      <c r="G5193"/>
      <c r="I5193"/>
      <c r="N5193"/>
      <c r="O5193" s="24"/>
      <c r="P5193"/>
      <c r="Q5193" s="24"/>
      <c r="R5193"/>
      <c r="S5193"/>
      <c r="T5193"/>
      <c r="U5193"/>
      <c r="X5193" s="60"/>
    </row>
    <row r="5194" spans="7:24" ht="15" customHeight="1">
      <c r="G5194"/>
      <c r="I5194"/>
      <c r="N5194"/>
      <c r="O5194" s="24"/>
      <c r="P5194"/>
      <c r="Q5194" s="24"/>
      <c r="R5194"/>
      <c r="S5194"/>
      <c r="T5194"/>
      <c r="U5194"/>
      <c r="X5194" s="60"/>
    </row>
    <row r="5195" spans="7:24" ht="15" customHeight="1">
      <c r="G5195"/>
      <c r="I5195"/>
      <c r="N5195"/>
      <c r="O5195" s="24"/>
      <c r="P5195"/>
      <c r="Q5195" s="24"/>
      <c r="R5195"/>
      <c r="S5195"/>
      <c r="T5195"/>
      <c r="U5195"/>
      <c r="X5195" s="60"/>
    </row>
    <row r="5196" spans="7:24" ht="15" customHeight="1">
      <c r="G5196"/>
      <c r="I5196"/>
      <c r="N5196"/>
      <c r="O5196" s="24"/>
      <c r="P5196"/>
      <c r="Q5196" s="24"/>
      <c r="R5196"/>
      <c r="S5196"/>
      <c r="T5196"/>
      <c r="U5196"/>
      <c r="X5196" s="60"/>
    </row>
    <row r="5197" spans="7:24" ht="15" customHeight="1">
      <c r="G5197"/>
      <c r="I5197"/>
      <c r="N5197"/>
      <c r="O5197" s="24"/>
      <c r="P5197"/>
      <c r="Q5197" s="24"/>
      <c r="R5197"/>
      <c r="S5197"/>
      <c r="T5197"/>
      <c r="U5197"/>
      <c r="X5197" s="60"/>
    </row>
    <row r="5198" spans="7:24" ht="15" customHeight="1">
      <c r="G5198"/>
      <c r="I5198"/>
      <c r="N5198"/>
      <c r="O5198" s="24"/>
      <c r="P5198"/>
      <c r="Q5198" s="24"/>
      <c r="R5198"/>
      <c r="S5198"/>
      <c r="T5198"/>
      <c r="U5198"/>
      <c r="X5198" s="60"/>
    </row>
    <row r="5199" spans="7:24" ht="15" customHeight="1">
      <c r="G5199"/>
      <c r="I5199"/>
      <c r="N5199"/>
      <c r="O5199" s="24"/>
      <c r="P5199"/>
      <c r="Q5199" s="24"/>
      <c r="R5199"/>
      <c r="S5199"/>
      <c r="T5199"/>
      <c r="U5199"/>
      <c r="X5199" s="60"/>
    </row>
    <row r="5200" spans="7:24" ht="15" customHeight="1">
      <c r="G5200"/>
      <c r="I5200"/>
      <c r="N5200"/>
      <c r="O5200" s="24"/>
      <c r="P5200"/>
      <c r="Q5200" s="24"/>
      <c r="R5200"/>
      <c r="S5200"/>
      <c r="T5200"/>
      <c r="U5200"/>
      <c r="X5200" s="60"/>
    </row>
    <row r="5201" spans="7:24" ht="15" customHeight="1">
      <c r="G5201"/>
      <c r="I5201"/>
      <c r="N5201"/>
      <c r="O5201" s="24"/>
      <c r="P5201"/>
      <c r="Q5201" s="24"/>
      <c r="R5201"/>
      <c r="S5201"/>
      <c r="T5201"/>
      <c r="U5201"/>
      <c r="X5201" s="60"/>
    </row>
    <row r="5202" spans="7:24" ht="15" customHeight="1">
      <c r="G5202"/>
      <c r="I5202"/>
      <c r="N5202"/>
      <c r="O5202" s="24"/>
      <c r="P5202"/>
      <c r="Q5202" s="24"/>
      <c r="R5202"/>
      <c r="S5202"/>
      <c r="T5202"/>
      <c r="U5202"/>
      <c r="X5202" s="60"/>
    </row>
    <row r="5203" spans="7:24" ht="15" customHeight="1">
      <c r="G5203"/>
      <c r="I5203"/>
      <c r="N5203"/>
      <c r="O5203" s="24"/>
      <c r="P5203"/>
      <c r="Q5203" s="24"/>
      <c r="R5203"/>
      <c r="S5203"/>
      <c r="T5203"/>
      <c r="U5203"/>
      <c r="X5203" s="60"/>
    </row>
    <row r="5204" spans="7:24" ht="15" customHeight="1">
      <c r="G5204"/>
      <c r="I5204"/>
      <c r="N5204"/>
      <c r="O5204" s="24"/>
      <c r="P5204"/>
      <c r="Q5204" s="24"/>
      <c r="R5204"/>
      <c r="S5204"/>
      <c r="T5204"/>
      <c r="U5204"/>
      <c r="X5204" s="60"/>
    </row>
    <row r="5205" spans="7:24" ht="15" customHeight="1">
      <c r="G5205"/>
      <c r="I5205"/>
      <c r="N5205"/>
      <c r="O5205" s="24"/>
      <c r="P5205"/>
      <c r="Q5205" s="24"/>
      <c r="R5205"/>
      <c r="S5205"/>
      <c r="T5205"/>
      <c r="U5205"/>
      <c r="X5205" s="60"/>
    </row>
    <row r="5206" spans="7:24" ht="15" customHeight="1">
      <c r="G5206"/>
      <c r="I5206"/>
      <c r="N5206"/>
      <c r="O5206" s="24"/>
      <c r="P5206"/>
      <c r="Q5206" s="24"/>
      <c r="R5206"/>
      <c r="S5206"/>
      <c r="T5206"/>
      <c r="U5206"/>
      <c r="X5206" s="60"/>
    </row>
    <row r="5207" spans="7:24" ht="15" customHeight="1">
      <c r="G5207"/>
      <c r="I5207"/>
      <c r="N5207"/>
      <c r="O5207" s="24"/>
      <c r="P5207"/>
      <c r="Q5207" s="24"/>
      <c r="R5207"/>
      <c r="S5207"/>
      <c r="T5207"/>
      <c r="U5207"/>
      <c r="X5207" s="60"/>
    </row>
    <row r="5208" spans="7:24" ht="15" customHeight="1">
      <c r="G5208"/>
      <c r="I5208"/>
      <c r="N5208"/>
      <c r="O5208" s="24"/>
      <c r="P5208"/>
      <c r="Q5208" s="24"/>
      <c r="R5208"/>
      <c r="S5208"/>
      <c r="T5208"/>
      <c r="U5208"/>
      <c r="X5208" s="60"/>
    </row>
    <row r="5209" spans="7:24" ht="15" customHeight="1">
      <c r="G5209"/>
      <c r="I5209"/>
      <c r="N5209"/>
      <c r="O5209" s="24"/>
      <c r="P5209"/>
      <c r="Q5209" s="24"/>
      <c r="R5209"/>
      <c r="S5209"/>
      <c r="T5209"/>
      <c r="U5209"/>
      <c r="X5209" s="60"/>
    </row>
    <row r="5210" spans="7:24" ht="15" customHeight="1">
      <c r="G5210"/>
      <c r="I5210"/>
      <c r="N5210"/>
      <c r="O5210" s="24"/>
      <c r="P5210"/>
      <c r="Q5210" s="24"/>
      <c r="R5210"/>
      <c r="S5210"/>
      <c r="T5210"/>
      <c r="U5210"/>
      <c r="X5210" s="60"/>
    </row>
    <row r="5211" spans="7:24" ht="15" customHeight="1">
      <c r="G5211"/>
      <c r="I5211"/>
      <c r="N5211"/>
      <c r="O5211" s="24"/>
      <c r="P5211"/>
      <c r="Q5211" s="24"/>
      <c r="R5211"/>
      <c r="S5211"/>
      <c r="T5211"/>
      <c r="U5211"/>
      <c r="X5211" s="60"/>
    </row>
    <row r="5212" spans="7:24" ht="15" customHeight="1">
      <c r="G5212"/>
      <c r="I5212"/>
      <c r="N5212"/>
      <c r="O5212" s="24"/>
      <c r="P5212"/>
      <c r="Q5212" s="24"/>
      <c r="R5212"/>
      <c r="S5212"/>
      <c r="T5212"/>
      <c r="U5212"/>
      <c r="X5212" s="60"/>
    </row>
    <row r="5213" spans="7:24" ht="15" customHeight="1">
      <c r="G5213"/>
      <c r="I5213"/>
      <c r="N5213"/>
      <c r="O5213" s="24"/>
      <c r="P5213"/>
      <c r="Q5213" s="24"/>
      <c r="R5213"/>
      <c r="S5213"/>
      <c r="T5213"/>
      <c r="U5213"/>
      <c r="X5213" s="60"/>
    </row>
    <row r="5214" spans="7:24" ht="15" customHeight="1">
      <c r="G5214"/>
      <c r="I5214"/>
      <c r="N5214"/>
      <c r="O5214" s="24"/>
      <c r="P5214"/>
      <c r="Q5214" s="24"/>
      <c r="R5214"/>
      <c r="S5214"/>
      <c r="T5214"/>
      <c r="U5214"/>
      <c r="X5214" s="60"/>
    </row>
    <row r="5215" spans="7:24" ht="15" customHeight="1">
      <c r="G5215"/>
      <c r="I5215"/>
      <c r="N5215"/>
      <c r="O5215" s="24"/>
      <c r="P5215"/>
      <c r="Q5215" s="24"/>
      <c r="R5215"/>
      <c r="S5215"/>
      <c r="T5215"/>
      <c r="U5215"/>
      <c r="X5215" s="60"/>
    </row>
    <row r="5216" spans="7:24" ht="15" customHeight="1">
      <c r="G5216"/>
      <c r="I5216"/>
      <c r="N5216"/>
      <c r="O5216" s="24"/>
      <c r="P5216"/>
      <c r="Q5216" s="24"/>
      <c r="R5216"/>
      <c r="S5216"/>
      <c r="T5216"/>
      <c r="U5216"/>
      <c r="X5216" s="60"/>
    </row>
    <row r="5217" spans="7:24" ht="15" customHeight="1">
      <c r="G5217"/>
      <c r="I5217"/>
      <c r="N5217"/>
      <c r="O5217" s="24"/>
      <c r="P5217"/>
      <c r="Q5217" s="24"/>
      <c r="R5217"/>
      <c r="S5217"/>
      <c r="T5217"/>
      <c r="U5217"/>
      <c r="X5217" s="60"/>
    </row>
    <row r="5218" spans="7:24" ht="15" customHeight="1">
      <c r="G5218"/>
      <c r="I5218"/>
      <c r="N5218"/>
      <c r="O5218" s="24"/>
      <c r="P5218"/>
      <c r="Q5218" s="24"/>
      <c r="R5218"/>
      <c r="S5218"/>
      <c r="T5218"/>
      <c r="U5218"/>
      <c r="X5218" s="60"/>
    </row>
    <row r="5219" spans="7:24" ht="15" customHeight="1">
      <c r="G5219"/>
      <c r="I5219"/>
      <c r="N5219"/>
      <c r="O5219" s="24"/>
      <c r="P5219"/>
      <c r="Q5219" s="24"/>
      <c r="R5219"/>
      <c r="S5219"/>
      <c r="T5219"/>
      <c r="U5219"/>
      <c r="X5219" s="60"/>
    </row>
    <row r="5220" spans="7:24" ht="15" customHeight="1">
      <c r="G5220"/>
      <c r="I5220"/>
      <c r="N5220"/>
      <c r="O5220" s="24"/>
      <c r="P5220"/>
      <c r="Q5220" s="24"/>
      <c r="R5220"/>
      <c r="S5220"/>
      <c r="T5220"/>
      <c r="U5220"/>
      <c r="X5220" s="60"/>
    </row>
    <row r="5221" spans="7:24" ht="15" customHeight="1">
      <c r="G5221"/>
      <c r="I5221"/>
      <c r="N5221"/>
      <c r="O5221" s="24"/>
      <c r="P5221"/>
      <c r="Q5221" s="24"/>
      <c r="R5221"/>
      <c r="S5221"/>
      <c r="T5221"/>
      <c r="U5221"/>
      <c r="X5221" s="60"/>
    </row>
    <row r="5222" spans="7:24" ht="15" customHeight="1">
      <c r="G5222"/>
      <c r="I5222"/>
      <c r="N5222"/>
      <c r="O5222" s="24"/>
      <c r="P5222"/>
      <c r="Q5222" s="24"/>
      <c r="R5222"/>
      <c r="S5222"/>
      <c r="T5222"/>
      <c r="U5222"/>
      <c r="X5222" s="60"/>
    </row>
    <row r="5223" spans="7:24" ht="15" customHeight="1">
      <c r="G5223"/>
      <c r="I5223"/>
      <c r="N5223"/>
      <c r="O5223" s="24"/>
      <c r="P5223"/>
      <c r="Q5223" s="24"/>
      <c r="R5223"/>
      <c r="S5223"/>
      <c r="T5223"/>
      <c r="U5223"/>
      <c r="X5223" s="60"/>
    </row>
    <row r="5224" spans="7:24" ht="15" customHeight="1">
      <c r="G5224"/>
      <c r="I5224"/>
      <c r="N5224"/>
      <c r="O5224" s="24"/>
      <c r="P5224"/>
      <c r="Q5224" s="24"/>
      <c r="R5224"/>
      <c r="S5224"/>
      <c r="T5224"/>
      <c r="U5224"/>
      <c r="X5224" s="60"/>
    </row>
    <row r="5225" spans="7:24" ht="15" customHeight="1">
      <c r="G5225"/>
      <c r="I5225"/>
      <c r="N5225"/>
      <c r="O5225" s="24"/>
      <c r="P5225"/>
      <c r="Q5225" s="24"/>
      <c r="R5225"/>
      <c r="S5225"/>
      <c r="T5225"/>
      <c r="U5225"/>
      <c r="X5225" s="60"/>
    </row>
    <row r="5226" spans="7:24" ht="15" customHeight="1">
      <c r="G5226"/>
      <c r="I5226"/>
      <c r="N5226"/>
      <c r="O5226" s="24"/>
      <c r="P5226"/>
      <c r="Q5226" s="24"/>
      <c r="R5226"/>
      <c r="S5226"/>
      <c r="T5226"/>
      <c r="U5226"/>
      <c r="X5226" s="60"/>
    </row>
    <row r="5227" spans="7:24" ht="15" customHeight="1">
      <c r="G5227"/>
      <c r="I5227"/>
      <c r="N5227"/>
      <c r="O5227" s="24"/>
      <c r="P5227"/>
      <c r="Q5227" s="24"/>
      <c r="R5227"/>
      <c r="S5227"/>
      <c r="T5227"/>
      <c r="U5227"/>
      <c r="X5227" s="60"/>
    </row>
    <row r="5228" spans="7:24" ht="15" customHeight="1">
      <c r="G5228"/>
      <c r="I5228"/>
      <c r="N5228"/>
      <c r="O5228" s="24"/>
      <c r="P5228"/>
      <c r="Q5228" s="24"/>
      <c r="R5228"/>
      <c r="S5228"/>
      <c r="T5228"/>
      <c r="U5228"/>
      <c r="X5228" s="60"/>
    </row>
    <row r="5229" spans="7:24" ht="15" customHeight="1">
      <c r="G5229"/>
      <c r="I5229"/>
      <c r="N5229"/>
      <c r="O5229" s="24"/>
      <c r="P5229"/>
      <c r="Q5229" s="24"/>
      <c r="R5229"/>
      <c r="S5229"/>
      <c r="T5229"/>
      <c r="U5229"/>
      <c r="X5229" s="60"/>
    </row>
    <row r="5230" spans="7:24" ht="15" customHeight="1">
      <c r="G5230"/>
      <c r="I5230"/>
      <c r="N5230"/>
      <c r="O5230" s="24"/>
      <c r="P5230"/>
      <c r="Q5230" s="24"/>
      <c r="R5230"/>
      <c r="S5230"/>
      <c r="T5230"/>
      <c r="U5230"/>
      <c r="X5230" s="60"/>
    </row>
    <row r="5231" spans="7:24" ht="15" customHeight="1">
      <c r="G5231"/>
      <c r="I5231"/>
      <c r="N5231"/>
      <c r="O5231" s="24"/>
      <c r="P5231"/>
      <c r="Q5231" s="24"/>
      <c r="R5231"/>
      <c r="S5231"/>
      <c r="T5231"/>
      <c r="U5231"/>
      <c r="X5231" s="60"/>
    </row>
    <row r="5232" spans="7:24" ht="15" customHeight="1">
      <c r="G5232"/>
      <c r="I5232"/>
      <c r="N5232"/>
      <c r="O5232" s="24"/>
      <c r="P5232"/>
      <c r="Q5232" s="24"/>
      <c r="R5232"/>
      <c r="S5232"/>
      <c r="T5232"/>
      <c r="U5232"/>
      <c r="X5232" s="60"/>
    </row>
    <row r="5233" spans="7:24" ht="15" customHeight="1">
      <c r="G5233"/>
      <c r="I5233"/>
      <c r="N5233"/>
      <c r="O5233" s="24"/>
      <c r="P5233"/>
      <c r="Q5233" s="24"/>
      <c r="R5233"/>
      <c r="S5233"/>
      <c r="T5233"/>
      <c r="U5233"/>
      <c r="X5233" s="60"/>
    </row>
    <row r="5234" spans="7:24" ht="15" customHeight="1">
      <c r="G5234"/>
      <c r="I5234"/>
      <c r="N5234"/>
      <c r="O5234" s="24"/>
      <c r="P5234"/>
      <c r="Q5234" s="24"/>
      <c r="R5234"/>
      <c r="S5234"/>
      <c r="T5234"/>
      <c r="U5234"/>
      <c r="X5234" s="60"/>
    </row>
    <row r="5235" spans="7:24" ht="15" customHeight="1">
      <c r="G5235"/>
      <c r="I5235"/>
      <c r="N5235"/>
      <c r="O5235" s="24"/>
      <c r="P5235"/>
      <c r="Q5235" s="24"/>
      <c r="R5235"/>
      <c r="S5235"/>
      <c r="T5235"/>
      <c r="U5235"/>
      <c r="X5235" s="60"/>
    </row>
    <row r="5236" spans="7:24" ht="15" customHeight="1">
      <c r="G5236"/>
      <c r="I5236"/>
      <c r="N5236"/>
      <c r="O5236" s="24"/>
      <c r="P5236"/>
      <c r="Q5236" s="24"/>
      <c r="R5236"/>
      <c r="S5236"/>
      <c r="T5236"/>
      <c r="U5236"/>
      <c r="X5236" s="60"/>
    </row>
    <row r="5237" spans="7:24" ht="15" customHeight="1">
      <c r="G5237"/>
      <c r="I5237"/>
      <c r="N5237"/>
      <c r="O5237" s="24"/>
      <c r="P5237"/>
      <c r="Q5237" s="24"/>
      <c r="R5237"/>
      <c r="S5237"/>
      <c r="T5237"/>
      <c r="U5237"/>
      <c r="X5237" s="60"/>
    </row>
    <row r="5238" spans="7:24" ht="15" customHeight="1">
      <c r="G5238"/>
      <c r="I5238"/>
      <c r="N5238"/>
      <c r="O5238" s="24"/>
      <c r="P5238"/>
      <c r="Q5238" s="24"/>
      <c r="R5238"/>
      <c r="S5238"/>
      <c r="T5238"/>
      <c r="U5238"/>
      <c r="X5238" s="60"/>
    </row>
    <row r="5239" spans="7:24" ht="15" customHeight="1">
      <c r="G5239"/>
      <c r="I5239"/>
      <c r="N5239"/>
      <c r="O5239" s="24"/>
      <c r="P5239"/>
      <c r="Q5239" s="24"/>
      <c r="R5239"/>
      <c r="S5239"/>
      <c r="T5239"/>
      <c r="U5239"/>
      <c r="X5239" s="60"/>
    </row>
    <row r="5240" spans="7:24" ht="15" customHeight="1">
      <c r="G5240"/>
      <c r="I5240"/>
      <c r="N5240"/>
      <c r="O5240" s="24"/>
      <c r="P5240"/>
      <c r="Q5240" s="24"/>
      <c r="R5240"/>
      <c r="S5240"/>
      <c r="T5240"/>
      <c r="U5240"/>
      <c r="X5240" s="60"/>
    </row>
    <row r="5241" spans="7:24" ht="15" customHeight="1">
      <c r="G5241"/>
      <c r="I5241"/>
      <c r="N5241"/>
      <c r="O5241" s="24"/>
      <c r="P5241"/>
      <c r="Q5241" s="24"/>
      <c r="R5241"/>
      <c r="S5241"/>
      <c r="T5241"/>
      <c r="U5241"/>
      <c r="X5241" s="60"/>
    </row>
    <row r="5242" spans="7:24" ht="15" customHeight="1">
      <c r="G5242"/>
      <c r="I5242"/>
      <c r="N5242"/>
      <c r="O5242" s="24"/>
      <c r="P5242"/>
      <c r="Q5242" s="24"/>
      <c r="R5242"/>
      <c r="S5242"/>
      <c r="T5242"/>
      <c r="U5242"/>
      <c r="X5242" s="60"/>
    </row>
    <row r="5243" spans="7:24" ht="15" customHeight="1">
      <c r="G5243"/>
      <c r="I5243"/>
      <c r="N5243"/>
      <c r="O5243" s="24"/>
      <c r="P5243"/>
      <c r="Q5243" s="24"/>
      <c r="R5243"/>
      <c r="S5243"/>
      <c r="T5243"/>
      <c r="U5243"/>
      <c r="X5243" s="60"/>
    </row>
    <row r="5244" spans="7:24" ht="15" customHeight="1">
      <c r="G5244"/>
      <c r="I5244"/>
      <c r="N5244"/>
      <c r="O5244" s="24"/>
      <c r="P5244"/>
      <c r="Q5244" s="24"/>
      <c r="R5244"/>
      <c r="S5244"/>
      <c r="T5244"/>
      <c r="U5244"/>
      <c r="X5244" s="60"/>
    </row>
    <row r="5245" spans="7:24" ht="15" customHeight="1">
      <c r="G5245"/>
      <c r="I5245"/>
      <c r="N5245"/>
      <c r="O5245" s="24"/>
      <c r="P5245"/>
      <c r="Q5245" s="24"/>
      <c r="R5245"/>
      <c r="S5245"/>
      <c r="T5245"/>
      <c r="U5245"/>
      <c r="X5245" s="60"/>
    </row>
    <row r="5246" spans="7:24" ht="15" customHeight="1">
      <c r="G5246"/>
      <c r="I5246"/>
      <c r="N5246"/>
      <c r="O5246" s="24"/>
      <c r="P5246"/>
      <c r="Q5246" s="24"/>
      <c r="R5246"/>
      <c r="S5246"/>
      <c r="T5246"/>
      <c r="U5246"/>
      <c r="X5246" s="60"/>
    </row>
    <row r="5247" spans="7:24" ht="15" customHeight="1">
      <c r="G5247"/>
      <c r="I5247"/>
      <c r="N5247"/>
      <c r="O5247" s="24"/>
      <c r="P5247"/>
      <c r="Q5247" s="24"/>
      <c r="R5247"/>
      <c r="S5247"/>
      <c r="T5247"/>
      <c r="U5247"/>
      <c r="X5247" s="60"/>
    </row>
    <row r="5248" spans="7:24" ht="15" customHeight="1">
      <c r="G5248"/>
      <c r="I5248"/>
      <c r="N5248"/>
      <c r="O5248" s="24"/>
      <c r="P5248"/>
      <c r="Q5248" s="24"/>
      <c r="R5248"/>
      <c r="S5248"/>
      <c r="T5248"/>
      <c r="U5248"/>
      <c r="X5248" s="60"/>
    </row>
    <row r="5249" spans="7:24" ht="15" customHeight="1">
      <c r="G5249"/>
      <c r="I5249"/>
      <c r="N5249"/>
      <c r="O5249" s="24"/>
      <c r="P5249"/>
      <c r="Q5249" s="24"/>
      <c r="R5249"/>
      <c r="S5249"/>
      <c r="T5249"/>
      <c r="U5249"/>
      <c r="X5249" s="60"/>
    </row>
    <row r="5250" spans="7:24" ht="15" customHeight="1">
      <c r="G5250"/>
      <c r="I5250"/>
      <c r="N5250"/>
      <c r="O5250" s="24"/>
      <c r="P5250"/>
      <c r="Q5250" s="24"/>
      <c r="R5250"/>
      <c r="S5250"/>
      <c r="T5250"/>
      <c r="U5250"/>
      <c r="X5250" s="60"/>
    </row>
    <row r="5251" spans="7:24" ht="15" customHeight="1">
      <c r="G5251"/>
      <c r="I5251"/>
      <c r="N5251"/>
      <c r="O5251" s="24"/>
      <c r="P5251"/>
      <c r="Q5251" s="24"/>
      <c r="R5251"/>
      <c r="S5251"/>
      <c r="T5251"/>
      <c r="U5251"/>
      <c r="X5251" s="60"/>
    </row>
    <row r="5252" spans="7:24" ht="15" customHeight="1">
      <c r="G5252"/>
      <c r="I5252"/>
      <c r="N5252"/>
      <c r="O5252" s="24"/>
      <c r="P5252"/>
      <c r="Q5252" s="24"/>
      <c r="R5252"/>
      <c r="S5252"/>
      <c r="T5252"/>
      <c r="U5252"/>
      <c r="X5252" s="60"/>
    </row>
    <row r="5253" spans="7:24" ht="15" customHeight="1">
      <c r="G5253"/>
      <c r="I5253"/>
      <c r="N5253"/>
      <c r="O5253" s="24"/>
      <c r="P5253"/>
      <c r="Q5253" s="24"/>
      <c r="R5253"/>
      <c r="S5253"/>
      <c r="T5253"/>
      <c r="U5253"/>
      <c r="X5253" s="60"/>
    </row>
    <row r="5254" spans="7:24" ht="15" customHeight="1">
      <c r="G5254"/>
      <c r="I5254"/>
      <c r="N5254"/>
      <c r="O5254" s="24"/>
      <c r="P5254"/>
      <c r="Q5254" s="24"/>
      <c r="R5254"/>
      <c r="S5254"/>
      <c r="T5254"/>
      <c r="U5254"/>
      <c r="X5254" s="60"/>
    </row>
    <row r="5255" spans="7:24" ht="15" customHeight="1">
      <c r="G5255"/>
      <c r="I5255"/>
      <c r="N5255"/>
      <c r="O5255" s="24"/>
      <c r="P5255"/>
      <c r="Q5255" s="24"/>
      <c r="R5255"/>
      <c r="S5255"/>
      <c r="T5255"/>
      <c r="U5255"/>
      <c r="X5255" s="60"/>
    </row>
    <row r="5256" spans="7:24" ht="15" customHeight="1">
      <c r="G5256"/>
      <c r="I5256"/>
      <c r="N5256"/>
      <c r="O5256" s="24"/>
      <c r="P5256"/>
      <c r="Q5256" s="24"/>
      <c r="R5256"/>
      <c r="S5256"/>
      <c r="T5256"/>
      <c r="U5256"/>
      <c r="X5256" s="60"/>
    </row>
    <row r="5257" spans="7:24" ht="15" customHeight="1">
      <c r="G5257"/>
      <c r="I5257"/>
      <c r="N5257"/>
      <c r="O5257" s="24"/>
      <c r="P5257"/>
      <c r="Q5257" s="24"/>
      <c r="R5257"/>
      <c r="S5257"/>
      <c r="T5257"/>
      <c r="U5257"/>
      <c r="X5257" s="60"/>
    </row>
    <row r="5258" spans="7:24" ht="15" customHeight="1">
      <c r="G5258"/>
      <c r="I5258"/>
      <c r="N5258"/>
      <c r="O5258" s="24"/>
      <c r="P5258"/>
      <c r="Q5258" s="24"/>
      <c r="R5258"/>
      <c r="S5258"/>
      <c r="T5258"/>
      <c r="U5258"/>
      <c r="X5258" s="60"/>
    </row>
    <row r="5259" spans="7:24" ht="15" customHeight="1">
      <c r="G5259"/>
      <c r="I5259"/>
      <c r="N5259"/>
      <c r="O5259" s="24"/>
      <c r="P5259"/>
      <c r="Q5259" s="24"/>
      <c r="R5259"/>
      <c r="S5259"/>
      <c r="T5259"/>
      <c r="U5259"/>
      <c r="X5259" s="60"/>
    </row>
    <row r="5260" spans="7:24" ht="15" customHeight="1">
      <c r="G5260"/>
      <c r="I5260"/>
      <c r="N5260"/>
      <c r="O5260" s="24"/>
      <c r="P5260"/>
      <c r="Q5260" s="24"/>
      <c r="R5260"/>
      <c r="S5260"/>
      <c r="T5260"/>
      <c r="U5260"/>
      <c r="X5260" s="60"/>
    </row>
    <row r="5261" spans="7:24" ht="15" customHeight="1">
      <c r="G5261"/>
      <c r="I5261"/>
      <c r="N5261"/>
      <c r="O5261" s="24"/>
      <c r="P5261"/>
      <c r="Q5261" s="24"/>
      <c r="R5261"/>
      <c r="S5261"/>
      <c r="T5261"/>
      <c r="U5261"/>
      <c r="X5261" s="60"/>
    </row>
    <row r="5262" spans="7:24" ht="15" customHeight="1">
      <c r="G5262"/>
      <c r="I5262"/>
      <c r="N5262"/>
      <c r="O5262" s="24"/>
      <c r="P5262"/>
      <c r="Q5262" s="24"/>
      <c r="R5262"/>
      <c r="S5262"/>
      <c r="T5262"/>
      <c r="U5262"/>
      <c r="X5262" s="60"/>
    </row>
    <row r="5263" spans="7:24" ht="15" customHeight="1">
      <c r="G5263"/>
      <c r="I5263"/>
      <c r="N5263"/>
      <c r="O5263" s="24"/>
      <c r="P5263"/>
      <c r="Q5263" s="24"/>
      <c r="R5263"/>
      <c r="S5263"/>
      <c r="T5263"/>
      <c r="U5263"/>
      <c r="X5263" s="60"/>
    </row>
    <row r="5264" spans="7:24" ht="15" customHeight="1">
      <c r="G5264"/>
      <c r="I5264"/>
      <c r="N5264"/>
      <c r="O5264" s="24"/>
      <c r="P5264"/>
      <c r="Q5264" s="24"/>
      <c r="R5264"/>
      <c r="S5264"/>
      <c r="T5264"/>
      <c r="U5264"/>
      <c r="X5264" s="60"/>
    </row>
    <row r="5265" spans="7:24" ht="15" customHeight="1">
      <c r="G5265"/>
      <c r="I5265"/>
      <c r="N5265"/>
      <c r="O5265" s="24"/>
      <c r="P5265"/>
      <c r="Q5265" s="24"/>
      <c r="R5265"/>
      <c r="S5265"/>
      <c r="T5265"/>
      <c r="U5265"/>
      <c r="X5265" s="60"/>
    </row>
    <row r="5266" spans="7:24" ht="15" customHeight="1">
      <c r="G5266"/>
      <c r="I5266"/>
      <c r="N5266"/>
      <c r="O5266" s="24"/>
      <c r="P5266"/>
      <c r="Q5266" s="24"/>
      <c r="R5266"/>
      <c r="S5266"/>
      <c r="T5266"/>
      <c r="U5266"/>
      <c r="X5266" s="60"/>
    </row>
    <row r="5267" spans="7:24" ht="15" customHeight="1">
      <c r="G5267"/>
      <c r="I5267"/>
      <c r="N5267"/>
      <c r="O5267" s="24"/>
      <c r="P5267"/>
      <c r="Q5267" s="24"/>
      <c r="R5267"/>
      <c r="S5267"/>
      <c r="T5267"/>
      <c r="U5267"/>
      <c r="X5267" s="60"/>
    </row>
    <row r="5268" spans="7:24" ht="15" customHeight="1">
      <c r="G5268"/>
      <c r="I5268"/>
      <c r="N5268"/>
      <c r="O5268" s="24"/>
      <c r="P5268"/>
      <c r="Q5268" s="24"/>
      <c r="R5268"/>
      <c r="S5268"/>
      <c r="T5268"/>
      <c r="U5268"/>
      <c r="X5268" s="60"/>
    </row>
    <row r="5269" spans="7:24" ht="15" customHeight="1">
      <c r="G5269"/>
      <c r="I5269"/>
      <c r="N5269"/>
      <c r="O5269" s="24"/>
      <c r="P5269"/>
      <c r="Q5269" s="24"/>
      <c r="R5269"/>
      <c r="S5269"/>
      <c r="T5269"/>
      <c r="U5269"/>
      <c r="X5269" s="60"/>
    </row>
    <row r="5270" spans="7:24" ht="15" customHeight="1">
      <c r="G5270"/>
      <c r="I5270"/>
      <c r="N5270"/>
      <c r="O5270" s="24"/>
      <c r="P5270"/>
      <c r="Q5270" s="24"/>
      <c r="R5270"/>
      <c r="S5270"/>
      <c r="T5270"/>
      <c r="U5270"/>
      <c r="X5270" s="60"/>
    </row>
    <row r="5271" spans="7:24" ht="15" customHeight="1">
      <c r="G5271"/>
      <c r="I5271"/>
      <c r="N5271"/>
      <c r="O5271" s="24"/>
      <c r="P5271"/>
      <c r="Q5271" s="24"/>
      <c r="R5271"/>
      <c r="S5271"/>
      <c r="T5271"/>
      <c r="U5271"/>
      <c r="X5271" s="60"/>
    </row>
    <row r="5272" spans="7:24" ht="15" customHeight="1">
      <c r="G5272"/>
      <c r="I5272"/>
      <c r="N5272"/>
      <c r="O5272" s="24"/>
      <c r="P5272"/>
      <c r="Q5272" s="24"/>
      <c r="R5272"/>
      <c r="S5272"/>
      <c r="T5272"/>
      <c r="U5272"/>
      <c r="X5272" s="60"/>
    </row>
    <row r="5273" spans="7:24" ht="15" customHeight="1">
      <c r="G5273"/>
      <c r="I5273"/>
      <c r="N5273"/>
      <c r="O5273" s="24"/>
      <c r="P5273"/>
      <c r="Q5273" s="24"/>
      <c r="R5273"/>
      <c r="S5273"/>
      <c r="T5273"/>
      <c r="U5273"/>
      <c r="X5273" s="60"/>
    </row>
    <row r="5274" spans="7:24" ht="15" customHeight="1">
      <c r="G5274"/>
      <c r="I5274"/>
      <c r="N5274"/>
      <c r="O5274" s="24"/>
      <c r="P5274"/>
      <c r="Q5274" s="24"/>
      <c r="R5274"/>
      <c r="S5274"/>
      <c r="T5274"/>
      <c r="U5274"/>
      <c r="X5274" s="60"/>
    </row>
    <row r="5275" spans="7:24" ht="15" customHeight="1">
      <c r="G5275"/>
      <c r="I5275"/>
      <c r="N5275"/>
      <c r="O5275" s="24"/>
      <c r="P5275"/>
      <c r="Q5275" s="24"/>
      <c r="R5275"/>
      <c r="S5275"/>
      <c r="T5275"/>
      <c r="U5275"/>
      <c r="X5275" s="60"/>
    </row>
    <row r="5276" spans="7:24" ht="15" customHeight="1">
      <c r="G5276"/>
      <c r="I5276"/>
      <c r="N5276"/>
      <c r="O5276" s="24"/>
      <c r="P5276"/>
      <c r="Q5276" s="24"/>
      <c r="R5276"/>
      <c r="S5276"/>
      <c r="T5276"/>
      <c r="U5276"/>
      <c r="X5276" s="60"/>
    </row>
    <row r="5277" spans="7:24" ht="15" customHeight="1">
      <c r="G5277"/>
      <c r="I5277"/>
      <c r="N5277"/>
      <c r="O5277" s="24"/>
      <c r="P5277"/>
      <c r="Q5277" s="24"/>
      <c r="R5277"/>
      <c r="S5277"/>
      <c r="T5277"/>
      <c r="U5277"/>
      <c r="X5277" s="60"/>
    </row>
    <row r="5278" spans="7:24" ht="15" customHeight="1">
      <c r="G5278"/>
      <c r="I5278"/>
      <c r="N5278"/>
      <c r="O5278" s="24"/>
      <c r="P5278"/>
      <c r="Q5278" s="24"/>
      <c r="R5278"/>
      <c r="S5278"/>
      <c r="T5278"/>
      <c r="U5278"/>
      <c r="X5278" s="60"/>
    </row>
    <row r="5279" spans="7:24" ht="15" customHeight="1">
      <c r="G5279"/>
      <c r="I5279"/>
      <c r="N5279"/>
      <c r="O5279" s="24"/>
      <c r="P5279"/>
      <c r="Q5279" s="24"/>
      <c r="R5279"/>
      <c r="S5279"/>
      <c r="T5279"/>
      <c r="U5279"/>
      <c r="X5279" s="60"/>
    </row>
    <row r="5280" spans="7:24" ht="15" customHeight="1">
      <c r="G5280"/>
      <c r="I5280"/>
      <c r="N5280"/>
      <c r="O5280" s="24"/>
      <c r="P5280"/>
      <c r="Q5280" s="24"/>
      <c r="R5280"/>
      <c r="S5280"/>
      <c r="T5280"/>
      <c r="U5280"/>
      <c r="X5280" s="60"/>
    </row>
    <row r="5281" spans="7:24" ht="15" customHeight="1">
      <c r="G5281"/>
      <c r="I5281"/>
      <c r="N5281"/>
      <c r="O5281" s="24"/>
      <c r="P5281"/>
      <c r="Q5281" s="24"/>
      <c r="R5281"/>
      <c r="S5281"/>
      <c r="T5281"/>
      <c r="U5281"/>
      <c r="X5281" s="60"/>
    </row>
    <row r="5282" spans="7:24" ht="15" customHeight="1">
      <c r="G5282"/>
      <c r="I5282"/>
      <c r="N5282"/>
      <c r="O5282" s="24"/>
      <c r="P5282"/>
      <c r="Q5282" s="24"/>
      <c r="R5282"/>
      <c r="S5282"/>
      <c r="T5282"/>
      <c r="U5282"/>
      <c r="X5282" s="60"/>
    </row>
    <row r="5283" spans="7:24" ht="15" customHeight="1">
      <c r="G5283"/>
      <c r="I5283"/>
      <c r="N5283"/>
      <c r="O5283" s="24"/>
      <c r="P5283"/>
      <c r="Q5283" s="24"/>
      <c r="R5283"/>
      <c r="S5283"/>
      <c r="T5283"/>
      <c r="U5283"/>
      <c r="X5283" s="60"/>
    </row>
    <row r="5284" spans="7:24" ht="15" customHeight="1">
      <c r="G5284"/>
      <c r="I5284"/>
      <c r="N5284"/>
      <c r="O5284" s="24"/>
      <c r="P5284"/>
      <c r="Q5284" s="24"/>
      <c r="R5284"/>
      <c r="S5284"/>
      <c r="T5284"/>
      <c r="U5284"/>
      <c r="X5284" s="60"/>
    </row>
    <row r="5285" spans="7:24" ht="15" customHeight="1">
      <c r="G5285"/>
      <c r="I5285"/>
      <c r="N5285"/>
      <c r="O5285" s="24"/>
      <c r="P5285"/>
      <c r="Q5285" s="24"/>
      <c r="R5285"/>
      <c r="S5285"/>
      <c r="T5285"/>
      <c r="U5285"/>
      <c r="X5285" s="60"/>
    </row>
    <row r="5286" spans="7:24" ht="15" customHeight="1">
      <c r="G5286"/>
      <c r="I5286"/>
      <c r="N5286"/>
      <c r="O5286" s="24"/>
      <c r="P5286"/>
      <c r="Q5286" s="24"/>
      <c r="R5286"/>
      <c r="S5286"/>
      <c r="T5286"/>
      <c r="U5286"/>
      <c r="X5286" s="60"/>
    </row>
    <row r="5287" spans="7:24" ht="15" customHeight="1">
      <c r="G5287"/>
      <c r="I5287"/>
      <c r="N5287"/>
      <c r="O5287" s="24"/>
      <c r="P5287"/>
      <c r="Q5287" s="24"/>
      <c r="R5287"/>
      <c r="S5287"/>
      <c r="T5287"/>
      <c r="U5287"/>
      <c r="X5287" s="60"/>
    </row>
    <row r="5288" spans="7:24" ht="15" customHeight="1">
      <c r="G5288"/>
      <c r="I5288"/>
      <c r="N5288"/>
      <c r="O5288" s="24"/>
      <c r="P5288"/>
      <c r="Q5288" s="24"/>
      <c r="R5288"/>
      <c r="S5288"/>
      <c r="T5288"/>
      <c r="U5288"/>
      <c r="X5288" s="60"/>
    </row>
    <row r="5289" spans="7:24" ht="15" customHeight="1">
      <c r="G5289"/>
      <c r="I5289"/>
      <c r="N5289"/>
      <c r="O5289" s="24"/>
      <c r="P5289"/>
      <c r="Q5289" s="24"/>
      <c r="R5289"/>
      <c r="S5289"/>
      <c r="T5289"/>
      <c r="U5289"/>
      <c r="X5289" s="60"/>
    </row>
    <row r="5290" spans="7:24" ht="15" customHeight="1">
      <c r="G5290"/>
      <c r="I5290"/>
      <c r="N5290"/>
      <c r="O5290" s="24"/>
      <c r="P5290"/>
      <c r="Q5290" s="24"/>
      <c r="R5290"/>
      <c r="S5290"/>
      <c r="T5290"/>
      <c r="U5290"/>
      <c r="X5290" s="60"/>
    </row>
    <row r="5291" spans="7:24" ht="15" customHeight="1">
      <c r="G5291"/>
      <c r="I5291"/>
      <c r="N5291"/>
      <c r="O5291" s="24"/>
      <c r="P5291"/>
      <c r="Q5291" s="24"/>
      <c r="R5291"/>
      <c r="S5291"/>
      <c r="T5291"/>
      <c r="U5291"/>
      <c r="X5291" s="60"/>
    </row>
    <row r="5292" spans="7:24" ht="15" customHeight="1">
      <c r="G5292"/>
      <c r="I5292"/>
      <c r="N5292"/>
      <c r="O5292" s="24"/>
      <c r="P5292"/>
      <c r="Q5292" s="24"/>
      <c r="R5292"/>
      <c r="S5292"/>
      <c r="T5292"/>
      <c r="U5292"/>
      <c r="X5292" s="60"/>
    </row>
    <row r="5293" spans="7:24" ht="15" customHeight="1">
      <c r="G5293"/>
      <c r="I5293"/>
      <c r="N5293"/>
      <c r="O5293" s="24"/>
      <c r="P5293"/>
      <c r="Q5293" s="24"/>
      <c r="R5293"/>
      <c r="S5293"/>
      <c r="T5293"/>
      <c r="U5293"/>
      <c r="X5293" s="60"/>
    </row>
    <row r="5294" spans="7:24" ht="15" customHeight="1">
      <c r="G5294"/>
      <c r="I5294"/>
      <c r="N5294"/>
      <c r="O5294" s="24"/>
      <c r="P5294"/>
      <c r="Q5294" s="24"/>
      <c r="R5294"/>
      <c r="S5294"/>
      <c r="T5294"/>
      <c r="U5294"/>
      <c r="X5294" s="60"/>
    </row>
    <row r="5295" spans="7:24" ht="15" customHeight="1">
      <c r="G5295"/>
      <c r="I5295"/>
      <c r="N5295"/>
      <c r="O5295" s="24"/>
      <c r="P5295"/>
      <c r="Q5295" s="24"/>
      <c r="R5295"/>
      <c r="S5295"/>
      <c r="T5295"/>
      <c r="U5295"/>
      <c r="X5295" s="60"/>
    </row>
    <row r="5296" spans="7:24" ht="15" customHeight="1">
      <c r="G5296"/>
      <c r="I5296"/>
      <c r="N5296"/>
      <c r="O5296" s="24"/>
      <c r="P5296"/>
      <c r="Q5296" s="24"/>
      <c r="R5296"/>
      <c r="S5296"/>
      <c r="T5296"/>
      <c r="U5296"/>
      <c r="X5296" s="60"/>
    </row>
    <row r="5297" spans="7:24" ht="15" customHeight="1">
      <c r="G5297"/>
      <c r="I5297"/>
      <c r="N5297"/>
      <c r="O5297" s="24"/>
      <c r="P5297"/>
      <c r="Q5297" s="24"/>
      <c r="R5297"/>
      <c r="S5297"/>
      <c r="T5297"/>
      <c r="U5297"/>
      <c r="X5297" s="60"/>
    </row>
    <row r="5298" spans="7:24" ht="15" customHeight="1">
      <c r="G5298"/>
      <c r="I5298"/>
      <c r="N5298"/>
      <c r="O5298" s="24"/>
      <c r="P5298"/>
      <c r="Q5298" s="24"/>
      <c r="R5298"/>
      <c r="S5298"/>
      <c r="T5298"/>
      <c r="U5298"/>
      <c r="X5298" s="60"/>
    </row>
    <row r="5299" spans="7:24" ht="15" customHeight="1">
      <c r="G5299"/>
      <c r="I5299"/>
      <c r="N5299"/>
      <c r="O5299" s="24"/>
      <c r="P5299"/>
      <c r="Q5299" s="24"/>
      <c r="R5299"/>
      <c r="S5299"/>
      <c r="T5299"/>
      <c r="U5299"/>
      <c r="X5299" s="60"/>
    </row>
    <row r="5300" spans="7:24" ht="15" customHeight="1">
      <c r="G5300"/>
      <c r="I5300"/>
      <c r="N5300"/>
      <c r="O5300" s="24"/>
      <c r="P5300"/>
      <c r="Q5300" s="24"/>
      <c r="R5300"/>
      <c r="S5300"/>
      <c r="T5300"/>
      <c r="U5300"/>
      <c r="X5300" s="60"/>
    </row>
    <row r="5301" spans="7:24" ht="15" customHeight="1">
      <c r="G5301"/>
      <c r="I5301"/>
      <c r="N5301"/>
      <c r="O5301" s="24"/>
      <c r="P5301"/>
      <c r="Q5301" s="24"/>
      <c r="R5301"/>
      <c r="S5301"/>
      <c r="T5301"/>
      <c r="U5301"/>
      <c r="X5301" s="60"/>
    </row>
    <row r="5302" spans="7:24" ht="15" customHeight="1">
      <c r="G5302"/>
      <c r="I5302"/>
      <c r="N5302"/>
      <c r="O5302" s="24"/>
      <c r="P5302"/>
      <c r="Q5302" s="24"/>
      <c r="R5302"/>
      <c r="S5302"/>
      <c r="T5302"/>
      <c r="U5302"/>
      <c r="X5302" s="60"/>
    </row>
    <row r="5303" spans="7:24" ht="15" customHeight="1">
      <c r="G5303"/>
      <c r="I5303"/>
      <c r="N5303"/>
      <c r="O5303" s="24"/>
      <c r="P5303"/>
      <c r="Q5303" s="24"/>
      <c r="R5303"/>
      <c r="S5303"/>
      <c r="T5303"/>
      <c r="U5303"/>
      <c r="X5303" s="60"/>
    </row>
    <row r="5304" spans="7:24" ht="15" customHeight="1">
      <c r="G5304"/>
      <c r="I5304"/>
      <c r="N5304"/>
      <c r="O5304" s="24"/>
      <c r="P5304"/>
      <c r="Q5304" s="24"/>
      <c r="R5304"/>
      <c r="S5304"/>
      <c r="T5304"/>
      <c r="U5304"/>
      <c r="X5304" s="60"/>
    </row>
    <row r="5305" spans="7:24" ht="15" customHeight="1">
      <c r="G5305"/>
      <c r="I5305"/>
      <c r="N5305"/>
      <c r="O5305" s="24"/>
      <c r="P5305"/>
      <c r="Q5305" s="24"/>
      <c r="R5305"/>
      <c r="S5305"/>
      <c r="T5305"/>
      <c r="U5305"/>
      <c r="X5305" s="60"/>
    </row>
    <row r="5306" spans="7:24" ht="15" customHeight="1">
      <c r="G5306"/>
      <c r="I5306"/>
      <c r="N5306"/>
      <c r="O5306" s="24"/>
      <c r="P5306"/>
      <c r="Q5306" s="24"/>
      <c r="R5306"/>
      <c r="S5306"/>
      <c r="T5306"/>
      <c r="U5306"/>
      <c r="X5306" s="60"/>
    </row>
    <row r="5307" spans="7:24" ht="15" customHeight="1">
      <c r="G5307"/>
      <c r="I5307"/>
      <c r="N5307"/>
      <c r="O5307" s="24"/>
      <c r="P5307"/>
      <c r="Q5307" s="24"/>
      <c r="R5307"/>
      <c r="S5307"/>
      <c r="T5307"/>
      <c r="U5307"/>
      <c r="X5307" s="60"/>
    </row>
    <row r="5308" spans="7:24" ht="15" customHeight="1">
      <c r="G5308"/>
      <c r="I5308"/>
      <c r="N5308"/>
      <c r="O5308" s="24"/>
      <c r="P5308"/>
      <c r="Q5308" s="24"/>
      <c r="R5308"/>
      <c r="S5308"/>
      <c r="T5308"/>
      <c r="U5308"/>
      <c r="X5308" s="60"/>
    </row>
    <row r="5309" spans="7:24" ht="15" customHeight="1">
      <c r="G5309"/>
      <c r="I5309"/>
      <c r="N5309"/>
      <c r="O5309" s="24"/>
      <c r="P5309"/>
      <c r="Q5309" s="24"/>
      <c r="R5309"/>
      <c r="S5309"/>
      <c r="T5309"/>
      <c r="U5309"/>
      <c r="X5309" s="60"/>
    </row>
    <row r="5310" spans="7:24" ht="15" customHeight="1">
      <c r="G5310"/>
      <c r="I5310"/>
      <c r="N5310"/>
      <c r="O5310" s="24"/>
      <c r="P5310"/>
      <c r="Q5310" s="24"/>
      <c r="R5310"/>
      <c r="S5310"/>
      <c r="T5310"/>
      <c r="U5310"/>
      <c r="X5310" s="60"/>
    </row>
    <row r="5311" spans="7:24" ht="15" customHeight="1">
      <c r="G5311"/>
      <c r="I5311"/>
      <c r="N5311"/>
      <c r="O5311" s="24"/>
      <c r="P5311"/>
      <c r="Q5311" s="24"/>
      <c r="R5311"/>
      <c r="S5311"/>
      <c r="T5311"/>
      <c r="U5311"/>
      <c r="X5311" s="60"/>
    </row>
    <row r="5312" spans="7:24" ht="15" customHeight="1">
      <c r="G5312"/>
      <c r="I5312"/>
      <c r="N5312"/>
      <c r="O5312" s="24"/>
      <c r="P5312"/>
      <c r="Q5312" s="24"/>
      <c r="R5312"/>
      <c r="S5312"/>
      <c r="T5312"/>
      <c r="U5312"/>
      <c r="X5312" s="60"/>
    </row>
    <row r="5313" spans="7:24" ht="15" customHeight="1">
      <c r="G5313"/>
      <c r="I5313"/>
      <c r="N5313"/>
      <c r="O5313" s="24"/>
      <c r="P5313"/>
      <c r="Q5313" s="24"/>
      <c r="R5313"/>
      <c r="S5313"/>
      <c r="T5313"/>
      <c r="U5313"/>
      <c r="X5313" s="60"/>
    </row>
    <row r="5314" spans="7:24" ht="15" customHeight="1">
      <c r="G5314"/>
      <c r="I5314"/>
      <c r="N5314"/>
      <c r="O5314" s="24"/>
      <c r="P5314"/>
      <c r="Q5314" s="24"/>
      <c r="R5314"/>
      <c r="S5314"/>
      <c r="T5314"/>
      <c r="U5314"/>
      <c r="X5314" s="60"/>
    </row>
    <row r="5315" spans="7:24" ht="15" customHeight="1">
      <c r="G5315"/>
      <c r="I5315"/>
      <c r="N5315"/>
      <c r="O5315" s="24"/>
      <c r="P5315"/>
      <c r="Q5315" s="24"/>
      <c r="R5315"/>
      <c r="S5315"/>
      <c r="T5315"/>
      <c r="U5315"/>
      <c r="X5315" s="60"/>
    </row>
    <row r="5316" spans="7:24" ht="15" customHeight="1">
      <c r="G5316"/>
      <c r="I5316"/>
      <c r="N5316"/>
      <c r="O5316" s="24"/>
      <c r="P5316"/>
      <c r="Q5316" s="24"/>
      <c r="R5316"/>
      <c r="S5316"/>
      <c r="T5316"/>
      <c r="U5316"/>
      <c r="X5316" s="60"/>
    </row>
    <row r="5317" spans="7:24" ht="15" customHeight="1">
      <c r="G5317"/>
      <c r="I5317"/>
      <c r="N5317"/>
      <c r="O5317" s="24"/>
      <c r="P5317"/>
      <c r="Q5317" s="24"/>
      <c r="R5317"/>
      <c r="S5317"/>
      <c r="T5317"/>
      <c r="U5317"/>
      <c r="X5317" s="60"/>
    </row>
    <row r="5318" spans="7:24" ht="15" customHeight="1">
      <c r="G5318"/>
      <c r="I5318"/>
      <c r="N5318"/>
      <c r="O5318" s="24"/>
      <c r="P5318"/>
      <c r="Q5318" s="24"/>
      <c r="R5318"/>
      <c r="S5318"/>
      <c r="T5318"/>
      <c r="U5318"/>
      <c r="X5318" s="60"/>
    </row>
    <row r="5319" spans="7:24" ht="15" customHeight="1">
      <c r="G5319"/>
      <c r="I5319"/>
      <c r="N5319"/>
      <c r="O5319" s="24"/>
      <c r="P5319"/>
      <c r="Q5319" s="24"/>
      <c r="R5319"/>
      <c r="S5319"/>
      <c r="T5319"/>
      <c r="U5319"/>
      <c r="X5319" s="60"/>
    </row>
    <row r="5320" spans="7:24" ht="15" customHeight="1">
      <c r="G5320"/>
      <c r="I5320"/>
      <c r="N5320"/>
      <c r="O5320" s="24"/>
      <c r="P5320"/>
      <c r="Q5320" s="24"/>
      <c r="R5320"/>
      <c r="S5320"/>
      <c r="T5320"/>
      <c r="U5320"/>
      <c r="X5320" s="60"/>
    </row>
    <row r="5321" spans="7:24" ht="15" customHeight="1">
      <c r="G5321"/>
      <c r="I5321"/>
      <c r="N5321"/>
      <c r="O5321" s="24"/>
      <c r="P5321"/>
      <c r="Q5321" s="24"/>
      <c r="R5321"/>
      <c r="S5321"/>
      <c r="T5321"/>
      <c r="U5321"/>
      <c r="X5321" s="60"/>
    </row>
    <row r="5322" spans="7:24" ht="15" customHeight="1">
      <c r="G5322"/>
      <c r="I5322"/>
      <c r="N5322"/>
      <c r="O5322" s="24"/>
      <c r="P5322"/>
      <c r="Q5322" s="24"/>
      <c r="R5322"/>
      <c r="S5322"/>
      <c r="T5322"/>
      <c r="U5322"/>
      <c r="X5322" s="60"/>
    </row>
    <row r="5323" spans="7:24" ht="15" customHeight="1">
      <c r="G5323"/>
      <c r="I5323"/>
      <c r="N5323"/>
      <c r="O5323" s="24"/>
      <c r="P5323"/>
      <c r="Q5323" s="24"/>
      <c r="R5323"/>
      <c r="S5323"/>
      <c r="T5323"/>
      <c r="U5323"/>
      <c r="X5323" s="60"/>
    </row>
    <row r="5324" spans="7:24" ht="15" customHeight="1">
      <c r="G5324"/>
      <c r="I5324"/>
      <c r="N5324"/>
      <c r="O5324" s="24"/>
      <c r="P5324"/>
      <c r="Q5324" s="24"/>
      <c r="R5324"/>
      <c r="S5324"/>
      <c r="T5324"/>
      <c r="U5324"/>
      <c r="X5324" s="60"/>
    </row>
    <row r="5325" spans="7:24" ht="15" customHeight="1">
      <c r="G5325"/>
      <c r="I5325"/>
      <c r="N5325"/>
      <c r="O5325" s="24"/>
      <c r="P5325"/>
      <c r="Q5325" s="24"/>
      <c r="R5325"/>
      <c r="S5325"/>
      <c r="T5325"/>
      <c r="U5325"/>
      <c r="X5325" s="60"/>
    </row>
    <row r="5326" spans="7:24" ht="15" customHeight="1">
      <c r="G5326"/>
      <c r="I5326"/>
      <c r="N5326"/>
      <c r="O5326" s="24"/>
      <c r="P5326"/>
      <c r="Q5326" s="24"/>
      <c r="R5326"/>
      <c r="S5326"/>
      <c r="T5326"/>
      <c r="U5326"/>
      <c r="X5326" s="60"/>
    </row>
    <row r="5327" spans="7:24" ht="15" customHeight="1">
      <c r="G5327"/>
      <c r="I5327"/>
      <c r="N5327"/>
      <c r="O5327" s="24"/>
      <c r="P5327"/>
      <c r="Q5327" s="24"/>
      <c r="R5327"/>
      <c r="S5327"/>
      <c r="T5327"/>
      <c r="U5327"/>
      <c r="X5327" s="60"/>
    </row>
    <row r="5328" spans="7:24" ht="15" customHeight="1">
      <c r="G5328"/>
      <c r="I5328"/>
      <c r="N5328"/>
      <c r="O5328" s="24"/>
      <c r="P5328"/>
      <c r="Q5328" s="24"/>
      <c r="R5328"/>
      <c r="S5328"/>
      <c r="T5328"/>
      <c r="U5328"/>
      <c r="X5328" s="60"/>
    </row>
    <row r="5329" spans="7:24" ht="15" customHeight="1">
      <c r="G5329"/>
      <c r="I5329"/>
      <c r="N5329"/>
      <c r="O5329" s="24"/>
      <c r="P5329"/>
      <c r="Q5329" s="24"/>
      <c r="R5329"/>
      <c r="S5329"/>
      <c r="T5329"/>
      <c r="U5329"/>
      <c r="X5329" s="60"/>
    </row>
    <row r="5330" spans="7:24" ht="15" customHeight="1">
      <c r="G5330"/>
      <c r="I5330"/>
      <c r="N5330"/>
      <c r="O5330" s="24"/>
      <c r="P5330"/>
      <c r="Q5330" s="24"/>
      <c r="R5330"/>
      <c r="S5330"/>
      <c r="T5330"/>
      <c r="U5330"/>
      <c r="X5330" s="60"/>
    </row>
    <row r="5331" spans="7:24" ht="15" customHeight="1">
      <c r="G5331"/>
      <c r="I5331"/>
      <c r="N5331"/>
      <c r="O5331" s="24"/>
      <c r="P5331"/>
      <c r="Q5331" s="24"/>
      <c r="R5331"/>
      <c r="S5331"/>
      <c r="T5331"/>
      <c r="U5331"/>
      <c r="X5331" s="60"/>
    </row>
    <row r="5332" spans="7:24" ht="15" customHeight="1">
      <c r="G5332"/>
      <c r="I5332"/>
      <c r="N5332"/>
      <c r="O5332" s="24"/>
      <c r="P5332"/>
      <c r="Q5332" s="24"/>
      <c r="R5332"/>
      <c r="S5332"/>
      <c r="T5332"/>
      <c r="U5332"/>
      <c r="X5332" s="60"/>
    </row>
    <row r="5333" spans="7:24" ht="15" customHeight="1">
      <c r="G5333"/>
      <c r="I5333"/>
      <c r="N5333"/>
      <c r="O5333" s="24"/>
      <c r="P5333"/>
      <c r="Q5333" s="24"/>
      <c r="R5333"/>
      <c r="S5333"/>
      <c r="T5333"/>
      <c r="U5333"/>
      <c r="X5333" s="60"/>
    </row>
    <row r="5334" spans="7:24" ht="15" customHeight="1">
      <c r="G5334"/>
      <c r="I5334"/>
      <c r="N5334"/>
      <c r="O5334" s="24"/>
      <c r="P5334"/>
      <c r="Q5334" s="24"/>
      <c r="R5334"/>
      <c r="S5334"/>
      <c r="T5334"/>
      <c r="U5334"/>
      <c r="X5334" s="60"/>
    </row>
    <row r="5335" spans="7:24" ht="15" customHeight="1">
      <c r="G5335"/>
      <c r="I5335"/>
      <c r="N5335"/>
      <c r="O5335" s="24"/>
      <c r="P5335"/>
      <c r="Q5335" s="24"/>
      <c r="R5335"/>
      <c r="S5335"/>
      <c r="T5335"/>
      <c r="U5335"/>
      <c r="X5335" s="60"/>
    </row>
    <row r="5336" spans="7:24" ht="15" customHeight="1">
      <c r="G5336"/>
      <c r="I5336"/>
      <c r="N5336"/>
      <c r="O5336" s="24"/>
      <c r="P5336"/>
      <c r="Q5336" s="24"/>
      <c r="R5336"/>
      <c r="S5336"/>
      <c r="T5336"/>
      <c r="U5336"/>
      <c r="X5336" s="60"/>
    </row>
    <row r="5337" spans="7:24" ht="15" customHeight="1">
      <c r="G5337"/>
      <c r="I5337"/>
      <c r="N5337"/>
      <c r="O5337" s="24"/>
      <c r="P5337"/>
      <c r="Q5337" s="24"/>
      <c r="R5337"/>
      <c r="S5337"/>
      <c r="T5337"/>
      <c r="U5337"/>
      <c r="X5337" s="60"/>
    </row>
    <row r="5338" spans="7:24" ht="15" customHeight="1">
      <c r="G5338"/>
      <c r="I5338"/>
      <c r="N5338"/>
      <c r="O5338" s="24"/>
      <c r="P5338"/>
      <c r="Q5338" s="24"/>
      <c r="R5338"/>
      <c r="S5338"/>
      <c r="T5338"/>
      <c r="U5338"/>
      <c r="X5338" s="60"/>
    </row>
    <row r="5339" spans="7:24" ht="15" customHeight="1">
      <c r="G5339"/>
      <c r="I5339"/>
      <c r="N5339"/>
      <c r="O5339" s="24"/>
      <c r="P5339"/>
      <c r="Q5339" s="24"/>
      <c r="R5339"/>
      <c r="S5339"/>
      <c r="T5339"/>
      <c r="U5339"/>
      <c r="X5339" s="60"/>
    </row>
    <row r="5340" spans="7:24" ht="15" customHeight="1">
      <c r="G5340"/>
      <c r="I5340"/>
      <c r="N5340"/>
      <c r="O5340" s="24"/>
      <c r="P5340"/>
      <c r="Q5340" s="24"/>
      <c r="R5340"/>
      <c r="S5340"/>
      <c r="T5340"/>
      <c r="U5340"/>
      <c r="X5340" s="60"/>
    </row>
    <row r="5341" spans="7:24" ht="15" customHeight="1">
      <c r="G5341"/>
      <c r="I5341"/>
      <c r="N5341"/>
      <c r="O5341" s="24"/>
      <c r="P5341"/>
      <c r="Q5341" s="24"/>
      <c r="R5341"/>
      <c r="S5341"/>
      <c r="T5341"/>
      <c r="U5341"/>
      <c r="X5341" s="60"/>
    </row>
    <row r="5342" spans="7:24" ht="15" customHeight="1">
      <c r="G5342"/>
      <c r="I5342"/>
      <c r="N5342"/>
      <c r="O5342" s="24"/>
      <c r="P5342"/>
      <c r="Q5342" s="24"/>
      <c r="R5342"/>
      <c r="S5342"/>
      <c r="T5342"/>
      <c r="U5342"/>
      <c r="X5342" s="60"/>
    </row>
    <row r="5343" spans="7:24" ht="15" customHeight="1">
      <c r="G5343"/>
      <c r="I5343"/>
      <c r="N5343"/>
      <c r="O5343" s="24"/>
      <c r="P5343"/>
      <c r="Q5343" s="24"/>
      <c r="R5343"/>
      <c r="S5343"/>
      <c r="T5343"/>
      <c r="U5343"/>
      <c r="X5343" s="60"/>
    </row>
    <row r="5344" spans="7:24" ht="15" customHeight="1">
      <c r="G5344"/>
      <c r="I5344"/>
      <c r="N5344"/>
      <c r="O5344" s="24"/>
      <c r="P5344"/>
      <c r="Q5344" s="24"/>
      <c r="R5344"/>
      <c r="S5344"/>
      <c r="T5344"/>
      <c r="U5344"/>
      <c r="X5344" s="60"/>
    </row>
    <row r="5345" spans="7:24" ht="15" customHeight="1">
      <c r="G5345"/>
      <c r="I5345"/>
      <c r="N5345"/>
      <c r="O5345" s="24"/>
      <c r="P5345"/>
      <c r="Q5345" s="24"/>
      <c r="R5345"/>
      <c r="S5345"/>
      <c r="T5345"/>
      <c r="U5345"/>
      <c r="X5345" s="60"/>
    </row>
    <row r="5346" spans="7:24" ht="15" customHeight="1">
      <c r="G5346"/>
      <c r="I5346"/>
      <c r="N5346"/>
      <c r="O5346" s="24"/>
      <c r="P5346"/>
      <c r="Q5346" s="24"/>
      <c r="R5346"/>
      <c r="S5346"/>
      <c r="T5346"/>
      <c r="U5346"/>
      <c r="X5346" s="60"/>
    </row>
    <row r="5347" spans="7:24" ht="15" customHeight="1">
      <c r="G5347"/>
      <c r="I5347"/>
      <c r="N5347"/>
      <c r="O5347" s="24"/>
      <c r="P5347"/>
      <c r="Q5347" s="24"/>
      <c r="R5347"/>
      <c r="S5347"/>
      <c r="T5347"/>
      <c r="U5347"/>
      <c r="X5347" s="60"/>
    </row>
    <row r="5348" spans="7:24" ht="15" customHeight="1">
      <c r="G5348"/>
      <c r="I5348"/>
      <c r="N5348"/>
      <c r="O5348" s="24"/>
      <c r="P5348"/>
      <c r="Q5348" s="24"/>
      <c r="R5348"/>
      <c r="S5348"/>
      <c r="T5348"/>
      <c r="U5348"/>
      <c r="X5348" s="60"/>
    </row>
    <row r="5349" spans="7:24" ht="15" customHeight="1">
      <c r="G5349"/>
      <c r="I5349"/>
      <c r="N5349"/>
      <c r="O5349" s="24"/>
      <c r="P5349"/>
      <c r="Q5349" s="24"/>
      <c r="R5349"/>
      <c r="S5349"/>
      <c r="T5349"/>
      <c r="U5349"/>
      <c r="X5349" s="60"/>
    </row>
    <row r="5350" spans="7:24" ht="15" customHeight="1">
      <c r="G5350"/>
      <c r="I5350"/>
      <c r="N5350"/>
      <c r="O5350" s="24"/>
      <c r="P5350"/>
      <c r="Q5350" s="24"/>
      <c r="R5350"/>
      <c r="S5350"/>
      <c r="T5350"/>
      <c r="U5350"/>
      <c r="X5350" s="60"/>
    </row>
    <row r="5351" spans="7:24" ht="15" customHeight="1">
      <c r="G5351"/>
      <c r="I5351"/>
      <c r="N5351"/>
      <c r="O5351" s="24"/>
      <c r="P5351"/>
      <c r="Q5351" s="24"/>
      <c r="R5351"/>
      <c r="S5351"/>
      <c r="T5351"/>
      <c r="U5351"/>
      <c r="X5351" s="60"/>
    </row>
    <row r="5352" spans="7:24" ht="15" customHeight="1">
      <c r="G5352"/>
      <c r="I5352"/>
      <c r="N5352"/>
      <c r="O5352" s="24"/>
      <c r="P5352"/>
      <c r="Q5352" s="24"/>
      <c r="R5352"/>
      <c r="S5352"/>
      <c r="T5352"/>
      <c r="U5352"/>
      <c r="X5352" s="60"/>
    </row>
    <row r="5353" spans="7:24" ht="15" customHeight="1">
      <c r="G5353"/>
      <c r="I5353"/>
      <c r="N5353"/>
      <c r="O5353" s="24"/>
      <c r="P5353"/>
      <c r="Q5353" s="24"/>
      <c r="R5353"/>
      <c r="S5353"/>
      <c r="T5353"/>
      <c r="U5353"/>
      <c r="X5353" s="60"/>
    </row>
    <row r="5354" spans="7:24" ht="15" customHeight="1">
      <c r="G5354"/>
      <c r="I5354"/>
      <c r="N5354"/>
      <c r="O5354" s="24"/>
      <c r="P5354"/>
      <c r="Q5354" s="24"/>
      <c r="R5354"/>
      <c r="S5354"/>
      <c r="T5354"/>
      <c r="U5354"/>
      <c r="X5354" s="60"/>
    </row>
    <row r="5355" spans="7:24" ht="15" customHeight="1">
      <c r="G5355"/>
      <c r="I5355"/>
      <c r="N5355"/>
      <c r="O5355" s="24"/>
      <c r="P5355"/>
      <c r="Q5355" s="24"/>
      <c r="R5355"/>
      <c r="S5355"/>
      <c r="T5355"/>
      <c r="U5355"/>
      <c r="X5355" s="60"/>
    </row>
    <row r="5356" spans="7:24" ht="15" customHeight="1">
      <c r="G5356"/>
      <c r="I5356"/>
      <c r="N5356"/>
      <c r="O5356" s="24"/>
      <c r="P5356"/>
      <c r="Q5356" s="24"/>
      <c r="R5356"/>
      <c r="S5356"/>
      <c r="T5356"/>
      <c r="U5356"/>
      <c r="X5356" s="60"/>
    </row>
    <row r="5357" spans="7:24" ht="15" customHeight="1">
      <c r="G5357"/>
      <c r="I5357"/>
      <c r="N5357"/>
      <c r="O5357" s="24"/>
      <c r="P5357"/>
      <c r="Q5357" s="24"/>
      <c r="R5357"/>
      <c r="S5357"/>
      <c r="T5357"/>
      <c r="U5357"/>
      <c r="X5357" s="60"/>
    </row>
    <row r="5358" spans="7:24" ht="15" customHeight="1">
      <c r="G5358"/>
      <c r="I5358"/>
      <c r="N5358"/>
      <c r="O5358" s="24"/>
      <c r="P5358"/>
      <c r="Q5358" s="24"/>
      <c r="R5358"/>
      <c r="S5358"/>
      <c r="T5358"/>
      <c r="U5358"/>
      <c r="X5358" s="60"/>
    </row>
    <row r="5359" spans="7:24" ht="15" customHeight="1">
      <c r="G5359"/>
      <c r="I5359"/>
      <c r="N5359"/>
      <c r="O5359" s="24"/>
      <c r="P5359"/>
      <c r="Q5359" s="24"/>
      <c r="R5359"/>
      <c r="S5359"/>
      <c r="T5359"/>
      <c r="U5359"/>
      <c r="X5359" s="60"/>
    </row>
    <row r="5360" spans="7:24" ht="15" customHeight="1">
      <c r="G5360"/>
      <c r="I5360"/>
      <c r="N5360"/>
      <c r="O5360" s="24"/>
      <c r="P5360"/>
      <c r="Q5360" s="24"/>
      <c r="R5360"/>
      <c r="S5360"/>
      <c r="T5360"/>
      <c r="U5360"/>
      <c r="X5360" s="60"/>
    </row>
    <row r="5361" spans="7:24" ht="15" customHeight="1">
      <c r="G5361"/>
      <c r="I5361"/>
      <c r="N5361"/>
      <c r="O5361" s="24"/>
      <c r="P5361"/>
      <c r="Q5361" s="24"/>
      <c r="R5361"/>
      <c r="S5361"/>
      <c r="T5361"/>
      <c r="U5361"/>
      <c r="X5361" s="60"/>
    </row>
    <row r="5362" spans="7:24" ht="15" customHeight="1">
      <c r="G5362"/>
      <c r="I5362"/>
      <c r="N5362"/>
      <c r="O5362" s="24"/>
      <c r="P5362"/>
      <c r="Q5362" s="24"/>
      <c r="R5362"/>
      <c r="S5362"/>
      <c r="T5362"/>
      <c r="U5362"/>
      <c r="X5362" s="60"/>
    </row>
    <row r="5363" spans="7:24" ht="15" customHeight="1">
      <c r="G5363"/>
      <c r="I5363"/>
      <c r="N5363"/>
      <c r="O5363" s="24"/>
      <c r="P5363"/>
      <c r="Q5363" s="24"/>
      <c r="R5363"/>
      <c r="S5363"/>
      <c r="T5363"/>
      <c r="U5363"/>
      <c r="X5363" s="60"/>
    </row>
    <row r="5364" spans="7:24" ht="15" customHeight="1">
      <c r="G5364"/>
      <c r="I5364"/>
      <c r="N5364"/>
      <c r="O5364" s="24"/>
      <c r="P5364"/>
      <c r="Q5364" s="24"/>
      <c r="R5364"/>
      <c r="S5364"/>
      <c r="T5364"/>
      <c r="U5364"/>
      <c r="X5364" s="60"/>
    </row>
    <row r="5365" spans="7:24" ht="15" customHeight="1">
      <c r="G5365"/>
      <c r="I5365"/>
      <c r="N5365"/>
      <c r="O5365" s="24"/>
      <c r="P5365"/>
      <c r="Q5365" s="24"/>
      <c r="R5365"/>
      <c r="S5365"/>
      <c r="T5365"/>
      <c r="U5365"/>
      <c r="X5365" s="60"/>
    </row>
    <row r="5366" spans="7:24" ht="15" customHeight="1">
      <c r="G5366"/>
      <c r="I5366"/>
      <c r="N5366"/>
      <c r="O5366" s="24"/>
      <c r="P5366"/>
      <c r="Q5366" s="24"/>
      <c r="R5366"/>
      <c r="S5366"/>
      <c r="T5366"/>
      <c r="U5366"/>
      <c r="X5366" s="60"/>
    </row>
    <row r="5367" spans="7:24" ht="15" customHeight="1">
      <c r="G5367"/>
      <c r="I5367"/>
      <c r="N5367"/>
      <c r="O5367" s="24"/>
      <c r="P5367"/>
      <c r="Q5367" s="24"/>
      <c r="R5367"/>
      <c r="S5367"/>
      <c r="T5367"/>
      <c r="U5367"/>
      <c r="X5367" s="60"/>
    </row>
    <row r="5368" spans="7:24" ht="15" customHeight="1">
      <c r="G5368"/>
      <c r="I5368"/>
      <c r="N5368"/>
      <c r="O5368" s="24"/>
      <c r="P5368"/>
      <c r="Q5368" s="24"/>
      <c r="R5368"/>
      <c r="S5368"/>
      <c r="T5368"/>
      <c r="U5368"/>
      <c r="X5368" s="60"/>
    </row>
    <row r="5369" spans="7:24" ht="15" customHeight="1">
      <c r="G5369"/>
      <c r="I5369"/>
      <c r="N5369"/>
      <c r="O5369" s="24"/>
      <c r="P5369"/>
      <c r="Q5369" s="24"/>
      <c r="R5369"/>
      <c r="S5369"/>
      <c r="T5369"/>
      <c r="U5369"/>
      <c r="X5369" s="60"/>
    </row>
    <row r="5370" spans="7:24" ht="15" customHeight="1">
      <c r="G5370"/>
      <c r="I5370"/>
      <c r="N5370"/>
      <c r="O5370" s="24"/>
      <c r="P5370"/>
      <c r="Q5370" s="24"/>
      <c r="R5370"/>
      <c r="S5370"/>
      <c r="T5370"/>
      <c r="U5370"/>
      <c r="X5370" s="60"/>
    </row>
    <row r="5371" spans="7:24" ht="15" customHeight="1">
      <c r="G5371"/>
      <c r="I5371"/>
      <c r="N5371"/>
      <c r="O5371" s="24"/>
      <c r="P5371"/>
      <c r="Q5371" s="24"/>
      <c r="R5371"/>
      <c r="S5371"/>
      <c r="T5371"/>
      <c r="U5371"/>
      <c r="X5371" s="60"/>
    </row>
    <row r="5372" spans="7:24" ht="15" customHeight="1">
      <c r="G5372"/>
      <c r="I5372"/>
      <c r="N5372"/>
      <c r="O5372" s="24"/>
      <c r="P5372"/>
      <c r="Q5372" s="24"/>
      <c r="R5372"/>
      <c r="S5372"/>
      <c r="T5372"/>
      <c r="U5372"/>
      <c r="X5372" s="60"/>
    </row>
    <row r="5373" spans="7:24" ht="15" customHeight="1">
      <c r="G5373"/>
      <c r="I5373"/>
      <c r="N5373"/>
      <c r="O5373" s="24"/>
      <c r="P5373"/>
      <c r="Q5373" s="24"/>
      <c r="R5373"/>
      <c r="S5373"/>
      <c r="T5373"/>
      <c r="U5373"/>
      <c r="X5373" s="60"/>
    </row>
    <row r="5374" spans="7:24" ht="15" customHeight="1">
      <c r="G5374"/>
      <c r="I5374"/>
      <c r="N5374"/>
      <c r="O5374" s="24"/>
      <c r="P5374"/>
      <c r="Q5374" s="24"/>
      <c r="R5374"/>
      <c r="S5374"/>
      <c r="T5374"/>
      <c r="U5374"/>
      <c r="X5374" s="60"/>
    </row>
    <row r="5375" spans="7:24" ht="15" customHeight="1">
      <c r="G5375"/>
      <c r="I5375"/>
      <c r="N5375"/>
      <c r="O5375" s="24"/>
      <c r="P5375"/>
      <c r="Q5375" s="24"/>
      <c r="R5375"/>
      <c r="S5375"/>
      <c r="T5375"/>
      <c r="U5375"/>
      <c r="X5375" s="60"/>
    </row>
    <row r="5376" spans="7:24" ht="15" customHeight="1">
      <c r="G5376"/>
      <c r="I5376"/>
      <c r="N5376"/>
      <c r="O5376" s="24"/>
      <c r="P5376"/>
      <c r="Q5376" s="24"/>
      <c r="R5376"/>
      <c r="S5376"/>
      <c r="T5376"/>
      <c r="U5376"/>
      <c r="X5376" s="60"/>
    </row>
    <row r="5377" spans="7:24" ht="15" customHeight="1">
      <c r="G5377"/>
      <c r="I5377"/>
      <c r="N5377"/>
      <c r="O5377" s="24"/>
      <c r="P5377"/>
      <c r="Q5377" s="24"/>
      <c r="R5377"/>
      <c r="S5377"/>
      <c r="T5377"/>
      <c r="U5377"/>
      <c r="X5377" s="60"/>
    </row>
    <row r="5378" spans="7:24" ht="15" customHeight="1">
      <c r="G5378"/>
      <c r="I5378"/>
      <c r="N5378"/>
      <c r="O5378" s="24"/>
      <c r="P5378"/>
      <c r="Q5378" s="24"/>
      <c r="R5378"/>
      <c r="S5378"/>
      <c r="T5378"/>
      <c r="U5378"/>
      <c r="X5378" s="60"/>
    </row>
    <row r="5379" spans="7:24" ht="15" customHeight="1">
      <c r="G5379"/>
      <c r="I5379"/>
      <c r="N5379"/>
      <c r="O5379" s="24"/>
      <c r="P5379"/>
      <c r="Q5379" s="24"/>
      <c r="R5379"/>
      <c r="S5379"/>
      <c r="T5379"/>
      <c r="U5379"/>
      <c r="X5379" s="60"/>
    </row>
    <row r="5380" spans="7:24" ht="15" customHeight="1">
      <c r="G5380"/>
      <c r="I5380"/>
      <c r="N5380"/>
      <c r="O5380" s="24"/>
      <c r="P5380"/>
      <c r="Q5380" s="24"/>
      <c r="R5380"/>
      <c r="S5380"/>
      <c r="T5380"/>
      <c r="U5380"/>
      <c r="X5380" s="60"/>
    </row>
    <row r="5381" spans="7:24" ht="15" customHeight="1">
      <c r="G5381"/>
      <c r="I5381"/>
      <c r="N5381"/>
      <c r="O5381" s="24"/>
      <c r="P5381"/>
      <c r="Q5381" s="24"/>
      <c r="R5381"/>
      <c r="S5381"/>
      <c r="T5381"/>
      <c r="U5381"/>
      <c r="X5381" s="60"/>
    </row>
    <row r="5382" spans="7:24" ht="15" customHeight="1">
      <c r="G5382"/>
      <c r="I5382"/>
      <c r="N5382"/>
      <c r="O5382" s="24"/>
      <c r="P5382"/>
      <c r="Q5382" s="24"/>
      <c r="R5382"/>
      <c r="S5382"/>
      <c r="T5382"/>
      <c r="U5382"/>
      <c r="X5382" s="60"/>
    </row>
    <row r="5383" spans="7:24" ht="15" customHeight="1">
      <c r="G5383"/>
      <c r="I5383"/>
      <c r="N5383"/>
      <c r="O5383" s="24"/>
      <c r="P5383"/>
      <c r="Q5383" s="24"/>
      <c r="R5383"/>
      <c r="S5383"/>
      <c r="T5383"/>
      <c r="U5383"/>
      <c r="X5383" s="60"/>
    </row>
    <row r="5384" spans="7:24" ht="15" customHeight="1">
      <c r="G5384"/>
      <c r="I5384"/>
      <c r="N5384"/>
      <c r="O5384" s="24"/>
      <c r="P5384"/>
      <c r="Q5384" s="24"/>
      <c r="R5384"/>
      <c r="S5384"/>
      <c r="T5384"/>
      <c r="U5384"/>
      <c r="X5384" s="60"/>
    </row>
    <row r="5385" spans="7:24" ht="15" customHeight="1">
      <c r="G5385"/>
      <c r="I5385"/>
      <c r="N5385"/>
      <c r="O5385" s="24"/>
      <c r="P5385"/>
      <c r="Q5385" s="24"/>
      <c r="R5385"/>
      <c r="S5385"/>
      <c r="T5385"/>
      <c r="U5385"/>
      <c r="X5385" s="60"/>
    </row>
    <row r="5386" spans="7:24" ht="15" customHeight="1">
      <c r="G5386"/>
      <c r="I5386"/>
      <c r="N5386"/>
      <c r="O5386" s="24"/>
      <c r="P5386"/>
      <c r="Q5386" s="24"/>
      <c r="R5386"/>
      <c r="S5386"/>
      <c r="T5386"/>
      <c r="U5386"/>
      <c r="X5386" s="60"/>
    </row>
    <row r="5387" spans="7:24" ht="15" customHeight="1">
      <c r="G5387"/>
      <c r="I5387"/>
      <c r="N5387"/>
      <c r="O5387" s="24"/>
      <c r="P5387"/>
      <c r="Q5387" s="24"/>
      <c r="R5387"/>
      <c r="S5387"/>
      <c r="T5387"/>
      <c r="U5387"/>
      <c r="X5387" s="60"/>
    </row>
    <row r="5388" spans="7:24" ht="15" customHeight="1">
      <c r="G5388"/>
      <c r="I5388"/>
      <c r="N5388"/>
      <c r="O5388" s="24"/>
      <c r="P5388"/>
      <c r="Q5388" s="24"/>
      <c r="R5388"/>
      <c r="S5388"/>
      <c r="T5388"/>
      <c r="U5388"/>
      <c r="X5388" s="60"/>
    </row>
    <row r="5389" spans="7:24" ht="15" customHeight="1">
      <c r="G5389"/>
      <c r="I5389"/>
      <c r="N5389"/>
      <c r="O5389" s="24"/>
      <c r="P5389"/>
      <c r="Q5389" s="24"/>
      <c r="R5389"/>
      <c r="S5389"/>
      <c r="T5389"/>
      <c r="U5389"/>
      <c r="X5389" s="60"/>
    </row>
    <row r="5390" spans="7:24" ht="15" customHeight="1">
      <c r="G5390"/>
      <c r="I5390"/>
      <c r="N5390"/>
      <c r="O5390" s="24"/>
      <c r="P5390"/>
      <c r="Q5390" s="24"/>
      <c r="R5390"/>
      <c r="S5390"/>
      <c r="T5390"/>
      <c r="U5390"/>
      <c r="X5390" s="60"/>
    </row>
    <row r="5391" spans="7:24" ht="15" customHeight="1">
      <c r="G5391"/>
      <c r="I5391"/>
      <c r="N5391"/>
      <c r="O5391" s="24"/>
      <c r="P5391"/>
      <c r="Q5391" s="24"/>
      <c r="R5391"/>
      <c r="S5391"/>
      <c r="T5391"/>
      <c r="U5391"/>
      <c r="X5391" s="60"/>
    </row>
    <row r="5392" spans="7:24" ht="15" customHeight="1">
      <c r="G5392"/>
      <c r="I5392"/>
      <c r="N5392"/>
      <c r="O5392" s="24"/>
      <c r="P5392"/>
      <c r="Q5392" s="24"/>
      <c r="R5392"/>
      <c r="S5392"/>
      <c r="T5392"/>
      <c r="U5392"/>
      <c r="X5392" s="60"/>
    </row>
    <row r="5393" spans="7:24" ht="15" customHeight="1">
      <c r="G5393"/>
      <c r="I5393"/>
      <c r="N5393"/>
      <c r="O5393" s="24"/>
      <c r="P5393"/>
      <c r="Q5393" s="24"/>
      <c r="R5393"/>
      <c r="S5393"/>
      <c r="T5393"/>
      <c r="U5393"/>
      <c r="X5393" s="60"/>
    </row>
    <row r="5394" spans="7:24" ht="15" customHeight="1">
      <c r="G5394"/>
      <c r="I5394"/>
      <c r="N5394"/>
      <c r="O5394" s="24"/>
      <c r="P5394"/>
      <c r="Q5394" s="24"/>
      <c r="R5394"/>
      <c r="S5394"/>
      <c r="T5394"/>
      <c r="U5394"/>
      <c r="X5394" s="60"/>
    </row>
    <row r="5395" spans="7:24" ht="15" customHeight="1">
      <c r="G5395"/>
      <c r="I5395"/>
      <c r="N5395"/>
      <c r="O5395" s="24"/>
      <c r="P5395"/>
      <c r="Q5395" s="24"/>
      <c r="R5395"/>
      <c r="S5395"/>
      <c r="T5395"/>
      <c r="U5395"/>
      <c r="X5395" s="60"/>
    </row>
    <row r="5396" spans="7:24" ht="15" customHeight="1">
      <c r="G5396"/>
      <c r="I5396"/>
      <c r="N5396"/>
      <c r="O5396" s="24"/>
      <c r="P5396"/>
      <c r="Q5396" s="24"/>
      <c r="R5396"/>
      <c r="S5396"/>
      <c r="T5396"/>
      <c r="U5396"/>
      <c r="X5396" s="60"/>
    </row>
    <row r="5397" spans="7:24" ht="15" customHeight="1">
      <c r="G5397"/>
      <c r="I5397"/>
      <c r="N5397"/>
      <c r="O5397" s="24"/>
      <c r="P5397"/>
      <c r="Q5397" s="24"/>
      <c r="R5397"/>
      <c r="S5397"/>
      <c r="T5397"/>
      <c r="U5397"/>
      <c r="X5397" s="60"/>
    </row>
    <row r="5398" spans="7:24" ht="15" customHeight="1">
      <c r="G5398"/>
      <c r="I5398"/>
      <c r="N5398"/>
      <c r="O5398" s="24"/>
      <c r="P5398"/>
      <c r="Q5398" s="24"/>
      <c r="R5398"/>
      <c r="S5398"/>
      <c r="T5398"/>
      <c r="U5398"/>
      <c r="X5398" s="60"/>
    </row>
    <row r="5399" spans="7:24" ht="15" customHeight="1">
      <c r="G5399"/>
      <c r="I5399"/>
      <c r="N5399"/>
      <c r="O5399" s="24"/>
      <c r="P5399"/>
      <c r="Q5399" s="24"/>
      <c r="R5399"/>
      <c r="S5399"/>
      <c r="T5399"/>
      <c r="U5399"/>
      <c r="X5399" s="60"/>
    </row>
    <row r="5400" spans="7:24" ht="15" customHeight="1">
      <c r="G5400"/>
      <c r="I5400"/>
      <c r="N5400"/>
      <c r="O5400" s="24"/>
      <c r="P5400"/>
      <c r="Q5400" s="24"/>
      <c r="R5400"/>
      <c r="S5400"/>
      <c r="T5400"/>
      <c r="U5400"/>
      <c r="X5400" s="60"/>
    </row>
    <row r="5401" spans="7:24" ht="15" customHeight="1">
      <c r="G5401"/>
      <c r="I5401"/>
      <c r="N5401"/>
      <c r="O5401" s="24"/>
      <c r="P5401"/>
      <c r="Q5401" s="24"/>
      <c r="R5401"/>
      <c r="S5401"/>
      <c r="T5401"/>
      <c r="U5401"/>
      <c r="X5401" s="60"/>
    </row>
    <row r="5402" spans="7:24" ht="15" customHeight="1">
      <c r="G5402"/>
      <c r="I5402"/>
      <c r="N5402"/>
      <c r="O5402" s="24"/>
      <c r="P5402"/>
      <c r="Q5402" s="24"/>
      <c r="R5402"/>
      <c r="S5402"/>
      <c r="T5402"/>
      <c r="U5402"/>
      <c r="X5402" s="60"/>
    </row>
    <row r="5403" spans="7:24" ht="15" customHeight="1">
      <c r="G5403"/>
      <c r="I5403"/>
      <c r="N5403"/>
      <c r="O5403" s="24"/>
      <c r="P5403"/>
      <c r="Q5403" s="24"/>
      <c r="R5403"/>
      <c r="S5403"/>
      <c r="T5403"/>
      <c r="U5403"/>
      <c r="X5403" s="60"/>
    </row>
    <row r="5404" spans="7:24" ht="15" customHeight="1">
      <c r="G5404"/>
      <c r="I5404"/>
      <c r="N5404"/>
      <c r="O5404" s="24"/>
      <c r="P5404"/>
      <c r="Q5404" s="24"/>
      <c r="R5404"/>
      <c r="S5404"/>
      <c r="T5404"/>
      <c r="U5404"/>
      <c r="X5404" s="60"/>
    </row>
    <row r="5405" spans="7:24" ht="15" customHeight="1">
      <c r="G5405"/>
      <c r="I5405"/>
      <c r="N5405"/>
      <c r="O5405" s="24"/>
      <c r="P5405"/>
      <c r="Q5405" s="24"/>
      <c r="R5405"/>
      <c r="S5405"/>
      <c r="T5405"/>
      <c r="U5405"/>
      <c r="X5405" s="60"/>
    </row>
    <row r="5406" spans="7:24" ht="15" customHeight="1">
      <c r="G5406"/>
      <c r="I5406"/>
      <c r="N5406"/>
      <c r="O5406" s="24"/>
      <c r="P5406"/>
      <c r="Q5406" s="24"/>
      <c r="R5406"/>
      <c r="S5406"/>
      <c r="T5406"/>
      <c r="U5406"/>
      <c r="X5406" s="60"/>
    </row>
    <row r="5407" spans="7:24" ht="15" customHeight="1">
      <c r="G5407"/>
      <c r="I5407"/>
      <c r="N5407"/>
      <c r="O5407" s="24"/>
      <c r="P5407"/>
      <c r="Q5407" s="24"/>
      <c r="R5407"/>
      <c r="S5407"/>
      <c r="T5407"/>
      <c r="U5407"/>
      <c r="X5407" s="60"/>
    </row>
    <row r="5408" spans="7:24" ht="15" customHeight="1">
      <c r="G5408"/>
      <c r="I5408"/>
      <c r="N5408"/>
      <c r="O5408" s="24"/>
      <c r="P5408"/>
      <c r="Q5408" s="24"/>
      <c r="R5408"/>
      <c r="S5408"/>
      <c r="T5408"/>
      <c r="U5408"/>
      <c r="X5408" s="60"/>
    </row>
    <row r="5409" spans="7:24" ht="15" customHeight="1">
      <c r="G5409"/>
      <c r="I5409"/>
      <c r="N5409"/>
      <c r="O5409" s="24"/>
      <c r="P5409"/>
      <c r="Q5409" s="24"/>
      <c r="R5409"/>
      <c r="S5409"/>
      <c r="T5409"/>
      <c r="U5409"/>
      <c r="X5409" s="60"/>
    </row>
    <row r="5410" spans="7:24" ht="15" customHeight="1">
      <c r="G5410"/>
      <c r="I5410"/>
      <c r="N5410"/>
      <c r="O5410" s="24"/>
      <c r="P5410"/>
      <c r="Q5410" s="24"/>
      <c r="R5410"/>
      <c r="S5410"/>
      <c r="T5410"/>
      <c r="U5410"/>
      <c r="X5410" s="60"/>
    </row>
    <row r="5411" spans="7:24" ht="15" customHeight="1">
      <c r="G5411"/>
      <c r="I5411"/>
      <c r="N5411"/>
      <c r="O5411" s="24"/>
      <c r="P5411"/>
      <c r="Q5411" s="24"/>
      <c r="R5411"/>
      <c r="S5411"/>
      <c r="T5411"/>
      <c r="U5411"/>
      <c r="X5411" s="60"/>
    </row>
    <row r="5412" spans="7:24" ht="15" customHeight="1">
      <c r="G5412"/>
      <c r="I5412"/>
      <c r="N5412"/>
      <c r="O5412" s="24"/>
      <c r="P5412"/>
      <c r="Q5412" s="24"/>
      <c r="R5412"/>
      <c r="S5412"/>
      <c r="T5412"/>
      <c r="U5412"/>
      <c r="X5412" s="60"/>
    </row>
    <row r="5413" spans="7:24" ht="15" customHeight="1">
      <c r="G5413"/>
      <c r="I5413"/>
      <c r="N5413"/>
      <c r="O5413" s="24"/>
      <c r="P5413"/>
      <c r="Q5413" s="24"/>
      <c r="R5413"/>
      <c r="S5413"/>
      <c r="T5413"/>
      <c r="U5413"/>
      <c r="X5413" s="60"/>
    </row>
    <row r="5414" spans="7:24" ht="15" customHeight="1">
      <c r="G5414"/>
      <c r="I5414"/>
      <c r="N5414"/>
      <c r="O5414" s="24"/>
      <c r="P5414"/>
      <c r="Q5414" s="24"/>
      <c r="R5414"/>
      <c r="S5414"/>
      <c r="T5414"/>
      <c r="U5414"/>
      <c r="X5414" s="60"/>
    </row>
    <row r="5415" spans="7:24" ht="15" customHeight="1">
      <c r="G5415"/>
      <c r="I5415"/>
      <c r="N5415"/>
      <c r="O5415" s="24"/>
      <c r="P5415"/>
      <c r="Q5415" s="24"/>
      <c r="R5415"/>
      <c r="S5415"/>
      <c r="T5415"/>
      <c r="U5415"/>
      <c r="X5415" s="60"/>
    </row>
    <row r="5416" spans="7:24" ht="15" customHeight="1">
      <c r="G5416"/>
      <c r="I5416"/>
      <c r="N5416"/>
      <c r="O5416" s="24"/>
      <c r="P5416"/>
      <c r="Q5416" s="24"/>
      <c r="R5416"/>
      <c r="S5416"/>
      <c r="T5416"/>
      <c r="U5416"/>
      <c r="X5416" s="60"/>
    </row>
    <row r="5417" spans="7:24" ht="15" customHeight="1">
      <c r="G5417"/>
      <c r="I5417"/>
      <c r="N5417"/>
      <c r="O5417" s="24"/>
      <c r="P5417"/>
      <c r="Q5417" s="24"/>
      <c r="R5417"/>
      <c r="S5417"/>
      <c r="T5417"/>
      <c r="U5417"/>
      <c r="X5417" s="60"/>
    </row>
    <row r="5418" spans="7:24" ht="15" customHeight="1">
      <c r="G5418"/>
      <c r="I5418"/>
      <c r="N5418"/>
      <c r="O5418" s="24"/>
      <c r="P5418"/>
      <c r="Q5418" s="24"/>
      <c r="R5418"/>
      <c r="S5418"/>
      <c r="T5418"/>
      <c r="U5418"/>
      <c r="X5418" s="60"/>
    </row>
    <row r="5419" spans="7:24" ht="15" customHeight="1">
      <c r="G5419"/>
      <c r="I5419"/>
      <c r="N5419"/>
      <c r="O5419" s="24"/>
      <c r="P5419"/>
      <c r="Q5419" s="24"/>
      <c r="R5419"/>
      <c r="S5419"/>
      <c r="T5419"/>
      <c r="U5419"/>
      <c r="X5419" s="60"/>
    </row>
    <row r="5420" spans="7:24" ht="15" customHeight="1">
      <c r="G5420"/>
      <c r="I5420"/>
      <c r="N5420"/>
      <c r="O5420" s="24"/>
      <c r="P5420"/>
      <c r="Q5420" s="24"/>
      <c r="R5420"/>
      <c r="S5420"/>
      <c r="T5420"/>
      <c r="U5420"/>
      <c r="X5420" s="60"/>
    </row>
    <row r="5421" spans="7:24" ht="15" customHeight="1">
      <c r="G5421"/>
      <c r="I5421"/>
      <c r="N5421"/>
      <c r="O5421" s="24"/>
      <c r="P5421"/>
      <c r="Q5421" s="24"/>
      <c r="R5421"/>
      <c r="S5421"/>
      <c r="T5421"/>
      <c r="U5421"/>
      <c r="X5421" s="60"/>
    </row>
    <row r="5422" spans="7:24" ht="15" customHeight="1">
      <c r="G5422"/>
      <c r="I5422"/>
      <c r="N5422"/>
      <c r="O5422" s="24"/>
      <c r="P5422"/>
      <c r="Q5422" s="24"/>
      <c r="R5422"/>
      <c r="S5422"/>
      <c r="T5422"/>
      <c r="U5422"/>
      <c r="X5422" s="60"/>
    </row>
    <row r="5423" spans="7:24" ht="15" customHeight="1">
      <c r="G5423"/>
      <c r="I5423"/>
      <c r="N5423"/>
      <c r="O5423" s="24"/>
      <c r="P5423"/>
      <c r="Q5423" s="24"/>
      <c r="R5423"/>
      <c r="S5423"/>
      <c r="T5423"/>
      <c r="U5423"/>
      <c r="X5423" s="60"/>
    </row>
    <row r="5424" spans="7:24" ht="15" customHeight="1">
      <c r="G5424"/>
      <c r="I5424"/>
      <c r="N5424"/>
      <c r="O5424" s="24"/>
      <c r="P5424"/>
      <c r="Q5424" s="24"/>
      <c r="R5424"/>
      <c r="S5424"/>
      <c r="T5424"/>
      <c r="U5424"/>
      <c r="X5424" s="60"/>
    </row>
    <row r="5425" spans="7:24" ht="15" customHeight="1">
      <c r="G5425"/>
      <c r="I5425"/>
      <c r="N5425"/>
      <c r="O5425" s="24"/>
      <c r="P5425"/>
      <c r="Q5425" s="24"/>
      <c r="R5425"/>
      <c r="S5425"/>
      <c r="T5425"/>
      <c r="U5425"/>
      <c r="X5425" s="60"/>
    </row>
    <row r="5426" spans="7:24" ht="15" customHeight="1">
      <c r="G5426"/>
      <c r="I5426"/>
      <c r="N5426"/>
      <c r="O5426" s="24"/>
      <c r="P5426"/>
      <c r="Q5426" s="24"/>
      <c r="R5426"/>
      <c r="S5426"/>
      <c r="T5426"/>
      <c r="U5426"/>
      <c r="X5426" s="60"/>
    </row>
    <row r="5427" spans="7:24" ht="15" customHeight="1">
      <c r="G5427"/>
      <c r="I5427"/>
      <c r="N5427"/>
      <c r="O5427" s="24"/>
      <c r="P5427"/>
      <c r="Q5427" s="24"/>
      <c r="R5427"/>
      <c r="S5427"/>
      <c r="T5427"/>
      <c r="U5427"/>
      <c r="X5427" s="60"/>
    </row>
    <row r="5428" spans="7:24" ht="15" customHeight="1">
      <c r="G5428"/>
      <c r="I5428"/>
      <c r="N5428"/>
      <c r="O5428" s="24"/>
      <c r="P5428"/>
      <c r="Q5428" s="24"/>
      <c r="R5428"/>
      <c r="S5428"/>
      <c r="T5428"/>
      <c r="U5428"/>
      <c r="X5428" s="60"/>
    </row>
    <row r="5429" spans="7:24" ht="15" customHeight="1">
      <c r="G5429"/>
      <c r="I5429"/>
      <c r="N5429"/>
      <c r="O5429" s="24"/>
      <c r="P5429"/>
      <c r="Q5429" s="24"/>
      <c r="R5429"/>
      <c r="S5429"/>
      <c r="T5429"/>
      <c r="U5429"/>
      <c r="X5429" s="60"/>
    </row>
    <row r="5430" spans="7:24" ht="15" customHeight="1">
      <c r="G5430"/>
      <c r="I5430"/>
      <c r="N5430"/>
      <c r="O5430" s="24"/>
      <c r="P5430"/>
      <c r="Q5430" s="24"/>
      <c r="R5430"/>
      <c r="S5430"/>
      <c r="T5430"/>
      <c r="U5430"/>
      <c r="X5430" s="60"/>
    </row>
    <row r="5431" spans="7:24" ht="15" customHeight="1">
      <c r="G5431"/>
      <c r="I5431"/>
      <c r="N5431"/>
      <c r="O5431" s="24"/>
      <c r="P5431"/>
      <c r="Q5431" s="24"/>
      <c r="R5431"/>
      <c r="S5431"/>
      <c r="T5431"/>
      <c r="U5431"/>
      <c r="X5431" s="60"/>
    </row>
    <row r="5432" spans="7:24" ht="15" customHeight="1">
      <c r="G5432"/>
      <c r="I5432"/>
      <c r="N5432"/>
      <c r="O5432" s="24"/>
      <c r="P5432"/>
      <c r="Q5432" s="24"/>
      <c r="R5432"/>
      <c r="S5432"/>
      <c r="T5432"/>
      <c r="U5432"/>
      <c r="X5432" s="60"/>
    </row>
    <row r="5433" spans="7:24" ht="15" customHeight="1">
      <c r="G5433"/>
      <c r="I5433"/>
      <c r="N5433"/>
      <c r="O5433" s="24"/>
      <c r="P5433"/>
      <c r="Q5433" s="24"/>
      <c r="R5433"/>
      <c r="S5433"/>
      <c r="T5433"/>
      <c r="U5433"/>
      <c r="X5433" s="60"/>
    </row>
    <row r="5434" spans="7:24" ht="15" customHeight="1">
      <c r="G5434"/>
      <c r="I5434"/>
      <c r="N5434"/>
      <c r="O5434" s="24"/>
      <c r="P5434"/>
      <c r="Q5434" s="24"/>
      <c r="R5434"/>
      <c r="S5434"/>
      <c r="T5434"/>
      <c r="U5434"/>
      <c r="X5434" s="60"/>
    </row>
    <row r="5435" spans="7:24" ht="15" customHeight="1">
      <c r="G5435"/>
      <c r="I5435"/>
      <c r="N5435"/>
      <c r="O5435" s="24"/>
      <c r="P5435"/>
      <c r="Q5435" s="24"/>
      <c r="R5435"/>
      <c r="S5435"/>
      <c r="T5435"/>
      <c r="U5435"/>
      <c r="X5435" s="60"/>
    </row>
    <row r="5436" spans="7:24" ht="15" customHeight="1">
      <c r="G5436"/>
      <c r="I5436"/>
      <c r="N5436"/>
      <c r="O5436" s="24"/>
      <c r="P5436"/>
      <c r="Q5436" s="24"/>
      <c r="R5436"/>
      <c r="S5436"/>
      <c r="T5436"/>
      <c r="U5436"/>
      <c r="X5436" s="60"/>
    </row>
    <row r="5437" spans="7:24" ht="15" customHeight="1">
      <c r="G5437"/>
      <c r="I5437"/>
      <c r="N5437"/>
      <c r="O5437" s="24"/>
      <c r="P5437"/>
      <c r="Q5437" s="24"/>
      <c r="R5437"/>
      <c r="S5437"/>
      <c r="T5437"/>
      <c r="U5437"/>
      <c r="X5437" s="60"/>
    </row>
    <row r="5438" spans="7:24" ht="15" customHeight="1">
      <c r="G5438"/>
      <c r="I5438"/>
      <c r="N5438"/>
      <c r="O5438" s="24"/>
      <c r="P5438"/>
      <c r="Q5438" s="24"/>
      <c r="R5438"/>
      <c r="S5438"/>
      <c r="T5438"/>
      <c r="U5438"/>
      <c r="X5438" s="60"/>
    </row>
    <row r="5439" spans="7:24" ht="15" customHeight="1">
      <c r="G5439"/>
      <c r="I5439"/>
      <c r="N5439"/>
      <c r="O5439" s="24"/>
      <c r="P5439"/>
      <c r="Q5439" s="24"/>
      <c r="R5439"/>
      <c r="S5439"/>
      <c r="T5439"/>
      <c r="U5439"/>
      <c r="X5439" s="60"/>
    </row>
    <row r="5440" spans="7:24" ht="15" customHeight="1">
      <c r="G5440"/>
      <c r="I5440"/>
      <c r="N5440"/>
      <c r="O5440" s="24"/>
      <c r="P5440"/>
      <c r="Q5440" s="24"/>
      <c r="R5440"/>
      <c r="S5440"/>
      <c r="T5440"/>
      <c r="U5440"/>
      <c r="X5440" s="60"/>
    </row>
    <row r="5441" spans="7:24" ht="15" customHeight="1">
      <c r="G5441"/>
      <c r="I5441"/>
      <c r="N5441"/>
      <c r="O5441" s="24"/>
      <c r="P5441"/>
      <c r="Q5441" s="24"/>
      <c r="R5441"/>
      <c r="S5441"/>
      <c r="T5441"/>
      <c r="U5441"/>
      <c r="X5441" s="60"/>
    </row>
    <row r="5442" spans="7:24" ht="15" customHeight="1">
      <c r="G5442"/>
      <c r="I5442"/>
      <c r="N5442"/>
      <c r="O5442" s="24"/>
      <c r="P5442"/>
      <c r="Q5442" s="24"/>
      <c r="R5442"/>
      <c r="S5442"/>
      <c r="T5442"/>
      <c r="U5442"/>
      <c r="X5442" s="60"/>
    </row>
    <row r="5443" spans="7:24" ht="15" customHeight="1">
      <c r="G5443"/>
      <c r="I5443"/>
      <c r="N5443"/>
      <c r="O5443" s="24"/>
      <c r="P5443"/>
      <c r="Q5443" s="24"/>
      <c r="R5443"/>
      <c r="S5443"/>
      <c r="T5443"/>
      <c r="U5443"/>
      <c r="X5443" s="60"/>
    </row>
    <row r="5444" spans="7:24" ht="15" customHeight="1">
      <c r="G5444"/>
      <c r="I5444"/>
      <c r="N5444"/>
      <c r="O5444" s="24"/>
      <c r="P5444"/>
      <c r="Q5444" s="24"/>
      <c r="R5444"/>
      <c r="S5444"/>
      <c r="T5444"/>
      <c r="U5444"/>
      <c r="X5444" s="60"/>
    </row>
    <row r="5445" spans="7:24" ht="15" customHeight="1">
      <c r="G5445"/>
      <c r="I5445"/>
      <c r="N5445"/>
      <c r="O5445" s="24"/>
      <c r="P5445"/>
      <c r="Q5445" s="24"/>
      <c r="R5445"/>
      <c r="S5445"/>
      <c r="T5445"/>
      <c r="U5445"/>
      <c r="X5445" s="60"/>
    </row>
    <row r="5446" spans="7:24" ht="15" customHeight="1">
      <c r="G5446"/>
      <c r="I5446"/>
      <c r="N5446"/>
      <c r="O5446" s="24"/>
      <c r="P5446"/>
      <c r="Q5446" s="24"/>
      <c r="R5446"/>
      <c r="S5446"/>
      <c r="T5446"/>
      <c r="U5446"/>
      <c r="X5446" s="60"/>
    </row>
    <row r="5447" spans="7:24" ht="15" customHeight="1">
      <c r="G5447"/>
      <c r="I5447"/>
      <c r="N5447"/>
      <c r="O5447" s="24"/>
      <c r="P5447"/>
      <c r="Q5447" s="24"/>
      <c r="R5447"/>
      <c r="S5447"/>
      <c r="T5447"/>
      <c r="U5447"/>
      <c r="X5447" s="60"/>
    </row>
    <row r="5448" spans="7:24" ht="15" customHeight="1">
      <c r="G5448"/>
      <c r="I5448"/>
      <c r="N5448"/>
      <c r="O5448" s="24"/>
      <c r="P5448"/>
      <c r="Q5448" s="24"/>
      <c r="R5448"/>
      <c r="S5448"/>
      <c r="T5448"/>
      <c r="U5448"/>
      <c r="X5448" s="60"/>
    </row>
    <row r="5449" spans="7:24" ht="15" customHeight="1">
      <c r="G5449"/>
      <c r="I5449"/>
      <c r="N5449"/>
      <c r="O5449" s="24"/>
      <c r="P5449"/>
      <c r="Q5449" s="24"/>
      <c r="R5449"/>
      <c r="S5449"/>
      <c r="T5449"/>
      <c r="U5449"/>
      <c r="X5449" s="60"/>
    </row>
    <row r="5450" spans="7:24" ht="15" customHeight="1">
      <c r="G5450"/>
      <c r="I5450"/>
      <c r="N5450"/>
      <c r="O5450" s="24"/>
      <c r="P5450"/>
      <c r="Q5450" s="24"/>
      <c r="R5450"/>
      <c r="S5450"/>
      <c r="T5450"/>
      <c r="U5450"/>
      <c r="X5450" s="60"/>
    </row>
    <row r="5451" spans="7:24" ht="15" customHeight="1">
      <c r="G5451"/>
      <c r="I5451"/>
      <c r="N5451"/>
      <c r="O5451" s="24"/>
      <c r="P5451"/>
      <c r="Q5451" s="24"/>
      <c r="R5451"/>
      <c r="S5451"/>
      <c r="T5451"/>
      <c r="U5451"/>
      <c r="X5451" s="60"/>
    </row>
    <row r="5452" spans="7:24" ht="15" customHeight="1">
      <c r="G5452"/>
      <c r="I5452"/>
      <c r="N5452"/>
      <c r="O5452" s="24"/>
      <c r="P5452"/>
      <c r="Q5452" s="24"/>
      <c r="R5452"/>
      <c r="S5452"/>
      <c r="T5452"/>
      <c r="U5452"/>
      <c r="X5452" s="60"/>
    </row>
    <row r="5453" spans="7:24" ht="15" customHeight="1">
      <c r="G5453"/>
      <c r="I5453"/>
      <c r="N5453"/>
      <c r="O5453" s="24"/>
      <c r="P5453"/>
      <c r="Q5453" s="24"/>
      <c r="R5453"/>
      <c r="S5453"/>
      <c r="T5453"/>
      <c r="U5453"/>
      <c r="X5453" s="60"/>
    </row>
    <row r="5454" spans="7:24" ht="15" customHeight="1">
      <c r="G5454"/>
      <c r="I5454"/>
      <c r="N5454"/>
      <c r="O5454" s="24"/>
      <c r="P5454"/>
      <c r="Q5454" s="24"/>
      <c r="R5454"/>
      <c r="S5454"/>
      <c r="T5454"/>
      <c r="U5454"/>
      <c r="X5454" s="60"/>
    </row>
    <row r="5455" spans="7:24" ht="15" customHeight="1">
      <c r="G5455"/>
      <c r="I5455"/>
      <c r="N5455"/>
      <c r="O5455" s="24"/>
      <c r="P5455"/>
      <c r="Q5455" s="24"/>
      <c r="R5455"/>
      <c r="S5455"/>
      <c r="T5455"/>
      <c r="U5455"/>
      <c r="X5455" s="60"/>
    </row>
    <row r="5456" spans="7:24" ht="15" customHeight="1">
      <c r="G5456"/>
      <c r="I5456"/>
      <c r="N5456"/>
      <c r="O5456" s="24"/>
      <c r="P5456"/>
      <c r="Q5456" s="24"/>
      <c r="R5456"/>
      <c r="S5456"/>
      <c r="T5456"/>
      <c r="U5456"/>
      <c r="X5456" s="60"/>
    </row>
    <row r="5457" spans="7:24" ht="15" customHeight="1">
      <c r="G5457"/>
      <c r="I5457"/>
      <c r="N5457"/>
      <c r="O5457" s="24"/>
      <c r="P5457"/>
      <c r="Q5457" s="24"/>
      <c r="R5457"/>
      <c r="S5457"/>
      <c r="T5457"/>
      <c r="U5457"/>
      <c r="X5457" s="60"/>
    </row>
    <row r="5458" spans="7:24" ht="15" customHeight="1">
      <c r="G5458"/>
      <c r="I5458"/>
      <c r="N5458"/>
      <c r="O5458" s="24"/>
      <c r="P5458"/>
      <c r="Q5458" s="24"/>
      <c r="R5458"/>
      <c r="S5458"/>
      <c r="T5458"/>
      <c r="U5458"/>
      <c r="X5458" s="60"/>
    </row>
    <row r="5459" spans="7:24" ht="15" customHeight="1">
      <c r="G5459"/>
      <c r="I5459"/>
      <c r="N5459"/>
      <c r="O5459" s="24"/>
      <c r="P5459"/>
      <c r="Q5459" s="24"/>
      <c r="R5459"/>
      <c r="S5459"/>
      <c r="T5459"/>
      <c r="U5459"/>
      <c r="X5459" s="60"/>
    </row>
    <row r="5460" spans="7:24" ht="15" customHeight="1">
      <c r="G5460"/>
      <c r="I5460"/>
      <c r="N5460"/>
      <c r="O5460" s="24"/>
      <c r="P5460"/>
      <c r="Q5460" s="24"/>
      <c r="R5460"/>
      <c r="S5460"/>
      <c r="T5460"/>
      <c r="U5460"/>
      <c r="X5460" s="60"/>
    </row>
    <row r="5461" spans="7:24" ht="15" customHeight="1">
      <c r="G5461"/>
      <c r="I5461"/>
      <c r="N5461"/>
      <c r="O5461" s="24"/>
      <c r="P5461"/>
      <c r="Q5461" s="24"/>
      <c r="R5461"/>
      <c r="S5461"/>
      <c r="T5461"/>
      <c r="U5461"/>
      <c r="X5461" s="60"/>
    </row>
    <row r="5462" spans="7:24" ht="15" customHeight="1">
      <c r="G5462"/>
      <c r="I5462"/>
      <c r="N5462"/>
      <c r="O5462" s="24"/>
      <c r="P5462"/>
      <c r="Q5462" s="24"/>
      <c r="R5462"/>
      <c r="S5462"/>
      <c r="T5462"/>
      <c r="U5462"/>
      <c r="X5462" s="60"/>
    </row>
    <row r="5463" spans="7:24" ht="15" customHeight="1">
      <c r="G5463"/>
      <c r="I5463"/>
      <c r="N5463"/>
      <c r="O5463" s="24"/>
      <c r="P5463"/>
      <c r="Q5463" s="24"/>
      <c r="R5463"/>
      <c r="S5463"/>
      <c r="T5463"/>
      <c r="U5463"/>
      <c r="X5463" s="60"/>
    </row>
    <row r="5464" spans="7:24" ht="15" customHeight="1">
      <c r="G5464"/>
      <c r="I5464"/>
      <c r="N5464"/>
      <c r="O5464" s="24"/>
      <c r="P5464"/>
      <c r="Q5464" s="24"/>
      <c r="R5464"/>
      <c r="S5464"/>
      <c r="T5464"/>
      <c r="U5464"/>
      <c r="X5464" s="60"/>
    </row>
    <row r="5465" spans="7:24" ht="15" customHeight="1">
      <c r="G5465"/>
      <c r="I5465"/>
      <c r="N5465"/>
      <c r="O5465" s="24"/>
      <c r="P5465"/>
      <c r="Q5465" s="24"/>
      <c r="R5465"/>
      <c r="S5465"/>
      <c r="T5465"/>
      <c r="U5465"/>
      <c r="X5465" s="60"/>
    </row>
    <row r="5466" spans="7:24" ht="15" customHeight="1">
      <c r="G5466"/>
      <c r="I5466"/>
      <c r="N5466"/>
      <c r="O5466" s="24"/>
      <c r="P5466"/>
      <c r="Q5466" s="24"/>
      <c r="R5466"/>
      <c r="S5466"/>
      <c r="T5466"/>
      <c r="U5466"/>
      <c r="X5466" s="60"/>
    </row>
    <row r="5467" spans="7:24" ht="15" customHeight="1">
      <c r="G5467"/>
      <c r="I5467"/>
      <c r="N5467"/>
      <c r="O5467" s="24"/>
      <c r="P5467"/>
      <c r="Q5467" s="24"/>
      <c r="R5467"/>
      <c r="S5467"/>
      <c r="T5467"/>
      <c r="U5467"/>
      <c r="X5467" s="60"/>
    </row>
    <row r="5468" spans="7:24" ht="15" customHeight="1">
      <c r="G5468"/>
      <c r="I5468"/>
      <c r="N5468"/>
      <c r="O5468" s="24"/>
      <c r="P5468"/>
      <c r="Q5468" s="24"/>
      <c r="R5468"/>
      <c r="S5468"/>
      <c r="T5468"/>
      <c r="U5468"/>
      <c r="X5468" s="60"/>
    </row>
    <row r="5469" spans="7:24" ht="15" customHeight="1">
      <c r="G5469"/>
      <c r="I5469"/>
      <c r="N5469"/>
      <c r="O5469" s="24"/>
      <c r="P5469"/>
      <c r="Q5469" s="24"/>
      <c r="R5469"/>
      <c r="S5469"/>
      <c r="T5469"/>
      <c r="U5469"/>
      <c r="X5469" s="60"/>
    </row>
    <row r="5470" spans="7:24" ht="15" customHeight="1">
      <c r="G5470"/>
      <c r="I5470"/>
      <c r="N5470"/>
      <c r="O5470" s="24"/>
      <c r="P5470"/>
      <c r="Q5470" s="24"/>
      <c r="R5470"/>
      <c r="S5470"/>
      <c r="T5470"/>
      <c r="U5470"/>
      <c r="X5470" s="60"/>
    </row>
    <row r="5471" spans="7:24" ht="15" customHeight="1">
      <c r="G5471"/>
      <c r="I5471"/>
      <c r="N5471"/>
      <c r="O5471" s="24"/>
      <c r="P5471"/>
      <c r="Q5471" s="24"/>
      <c r="R5471"/>
      <c r="S5471"/>
      <c r="T5471"/>
      <c r="U5471"/>
      <c r="X5471" s="60"/>
    </row>
    <row r="5472" spans="7:24" ht="15" customHeight="1">
      <c r="G5472"/>
      <c r="I5472"/>
      <c r="N5472"/>
      <c r="O5472" s="24"/>
      <c r="P5472"/>
      <c r="Q5472" s="24"/>
      <c r="R5472"/>
      <c r="S5472"/>
      <c r="T5472"/>
      <c r="U5472"/>
      <c r="X5472" s="60"/>
    </row>
    <row r="5473" spans="7:24" ht="15" customHeight="1">
      <c r="G5473"/>
      <c r="I5473"/>
      <c r="N5473"/>
      <c r="O5473" s="24"/>
      <c r="P5473"/>
      <c r="Q5473" s="24"/>
      <c r="R5473"/>
      <c r="S5473"/>
      <c r="T5473"/>
      <c r="U5473"/>
      <c r="X5473" s="60"/>
    </row>
    <row r="5474" spans="7:24" ht="15" customHeight="1">
      <c r="G5474"/>
      <c r="I5474"/>
      <c r="N5474"/>
      <c r="O5474" s="24"/>
      <c r="P5474"/>
      <c r="Q5474" s="24"/>
      <c r="R5474"/>
      <c r="S5474"/>
      <c r="T5474"/>
      <c r="U5474"/>
      <c r="X5474" s="60"/>
    </row>
    <row r="5475" spans="7:24" ht="15" customHeight="1">
      <c r="G5475"/>
      <c r="I5475"/>
      <c r="N5475"/>
      <c r="O5475" s="24"/>
      <c r="P5475"/>
      <c r="Q5475" s="24"/>
      <c r="R5475"/>
      <c r="S5475"/>
      <c r="T5475"/>
      <c r="U5475"/>
      <c r="X5475" s="60"/>
    </row>
    <row r="5476" spans="7:24" ht="15" customHeight="1">
      <c r="G5476"/>
      <c r="I5476"/>
      <c r="N5476"/>
      <c r="O5476" s="24"/>
      <c r="P5476"/>
      <c r="Q5476" s="24"/>
      <c r="R5476"/>
      <c r="S5476"/>
      <c r="T5476"/>
      <c r="U5476"/>
      <c r="X5476" s="60"/>
    </row>
    <row r="5477" spans="7:24" ht="15" customHeight="1">
      <c r="G5477"/>
      <c r="I5477"/>
      <c r="N5477"/>
      <c r="O5477" s="24"/>
      <c r="P5477"/>
      <c r="Q5477" s="24"/>
      <c r="R5477"/>
      <c r="S5477"/>
      <c r="T5477"/>
      <c r="U5477"/>
      <c r="X5477" s="60"/>
    </row>
    <row r="5478" spans="7:24" ht="15" customHeight="1">
      <c r="G5478"/>
      <c r="I5478"/>
      <c r="N5478"/>
      <c r="O5478" s="24"/>
      <c r="P5478"/>
      <c r="Q5478" s="24"/>
      <c r="R5478"/>
      <c r="S5478"/>
      <c r="T5478"/>
      <c r="U5478"/>
      <c r="X5478" s="60"/>
    </row>
    <row r="5479" spans="7:24" ht="15" customHeight="1">
      <c r="G5479"/>
      <c r="I5479"/>
      <c r="N5479"/>
      <c r="O5479" s="24"/>
      <c r="P5479"/>
      <c r="Q5479" s="24"/>
      <c r="R5479"/>
      <c r="S5479"/>
      <c r="T5479"/>
      <c r="U5479"/>
      <c r="X5479" s="60"/>
    </row>
    <row r="5480" spans="7:24" ht="15" customHeight="1">
      <c r="G5480"/>
      <c r="I5480"/>
      <c r="N5480"/>
      <c r="O5480" s="24"/>
      <c r="P5480"/>
      <c r="Q5480" s="24"/>
      <c r="R5480"/>
      <c r="S5480"/>
      <c r="T5480"/>
      <c r="U5480"/>
      <c r="X5480" s="60"/>
    </row>
    <row r="5481" spans="7:24" ht="15" customHeight="1">
      <c r="G5481"/>
      <c r="I5481"/>
      <c r="N5481"/>
      <c r="O5481" s="24"/>
      <c r="P5481"/>
      <c r="Q5481" s="24"/>
      <c r="R5481"/>
      <c r="S5481"/>
      <c r="T5481"/>
      <c r="U5481"/>
      <c r="X5481" s="60"/>
    </row>
    <row r="5482" spans="7:24" ht="15" customHeight="1">
      <c r="G5482"/>
      <c r="I5482"/>
      <c r="N5482"/>
      <c r="O5482" s="24"/>
      <c r="P5482"/>
      <c r="Q5482" s="24"/>
      <c r="R5482"/>
      <c r="S5482"/>
      <c r="T5482"/>
      <c r="U5482"/>
      <c r="X5482" s="60"/>
    </row>
    <row r="5483" spans="7:24" ht="15" customHeight="1">
      <c r="G5483"/>
      <c r="I5483"/>
      <c r="N5483"/>
      <c r="O5483" s="24"/>
      <c r="P5483"/>
      <c r="Q5483" s="24"/>
      <c r="R5483"/>
      <c r="S5483"/>
      <c r="T5483"/>
      <c r="U5483"/>
      <c r="X5483" s="60"/>
    </row>
    <row r="5484" spans="7:24" ht="15" customHeight="1">
      <c r="G5484"/>
      <c r="I5484"/>
      <c r="N5484"/>
      <c r="O5484" s="24"/>
      <c r="P5484"/>
      <c r="Q5484" s="24"/>
      <c r="R5484"/>
      <c r="S5484"/>
      <c r="T5484"/>
      <c r="U5484"/>
      <c r="X5484" s="60"/>
    </row>
    <row r="5485" spans="7:24" ht="15" customHeight="1">
      <c r="G5485"/>
      <c r="I5485"/>
      <c r="N5485"/>
      <c r="O5485" s="24"/>
      <c r="P5485"/>
      <c r="Q5485" s="24"/>
      <c r="R5485"/>
      <c r="S5485"/>
      <c r="T5485"/>
      <c r="U5485"/>
      <c r="X5485" s="60"/>
    </row>
    <row r="5486" spans="7:24" ht="15" customHeight="1">
      <c r="G5486"/>
      <c r="I5486"/>
      <c r="N5486"/>
      <c r="O5486" s="24"/>
      <c r="P5486"/>
      <c r="Q5486" s="24"/>
      <c r="R5486"/>
      <c r="S5486"/>
      <c r="T5486"/>
      <c r="U5486"/>
      <c r="X5486" s="60"/>
    </row>
    <row r="5487" spans="7:24" ht="15" customHeight="1">
      <c r="G5487"/>
      <c r="I5487"/>
      <c r="N5487"/>
      <c r="O5487" s="24"/>
      <c r="P5487"/>
      <c r="Q5487" s="24"/>
      <c r="R5487"/>
      <c r="S5487"/>
      <c r="T5487"/>
      <c r="U5487"/>
      <c r="X5487" s="60"/>
    </row>
    <row r="5488" spans="7:24" ht="15" customHeight="1">
      <c r="G5488"/>
      <c r="I5488"/>
      <c r="N5488"/>
      <c r="O5488" s="24"/>
      <c r="P5488"/>
      <c r="Q5488" s="24"/>
      <c r="R5488"/>
      <c r="S5488"/>
      <c r="T5488"/>
      <c r="U5488"/>
      <c r="X5488" s="60"/>
    </row>
    <row r="5489" spans="7:24" ht="15" customHeight="1">
      <c r="G5489"/>
      <c r="I5489"/>
      <c r="N5489"/>
      <c r="O5489" s="24"/>
      <c r="P5489"/>
      <c r="Q5489" s="24"/>
      <c r="R5489"/>
      <c r="S5489"/>
      <c r="T5489"/>
      <c r="U5489"/>
      <c r="X5489" s="60"/>
    </row>
    <row r="5490" spans="7:24" ht="15" customHeight="1">
      <c r="G5490"/>
      <c r="I5490"/>
      <c r="N5490"/>
      <c r="O5490" s="24"/>
      <c r="P5490"/>
      <c r="Q5490" s="24"/>
      <c r="R5490"/>
      <c r="S5490"/>
      <c r="T5490"/>
      <c r="U5490"/>
      <c r="X5490" s="60"/>
    </row>
    <row r="5491" spans="7:24" ht="15" customHeight="1">
      <c r="G5491"/>
      <c r="I5491"/>
      <c r="N5491"/>
      <c r="O5491" s="24"/>
      <c r="P5491"/>
      <c r="Q5491" s="24"/>
      <c r="R5491"/>
      <c r="S5491"/>
      <c r="T5491"/>
      <c r="U5491"/>
      <c r="X5491" s="60"/>
    </row>
    <row r="5492" spans="7:24" ht="15" customHeight="1">
      <c r="G5492"/>
      <c r="I5492"/>
      <c r="N5492"/>
      <c r="O5492" s="24"/>
      <c r="P5492"/>
      <c r="Q5492" s="24"/>
      <c r="R5492"/>
      <c r="S5492"/>
      <c r="T5492"/>
      <c r="U5492"/>
      <c r="X5492" s="60"/>
    </row>
    <row r="5493" spans="7:24" ht="15" customHeight="1">
      <c r="G5493"/>
      <c r="I5493"/>
      <c r="N5493"/>
      <c r="O5493" s="24"/>
      <c r="P5493"/>
      <c r="Q5493" s="24"/>
      <c r="R5493"/>
      <c r="S5493"/>
      <c r="T5493"/>
      <c r="U5493"/>
      <c r="X5493" s="60"/>
    </row>
    <row r="5494" spans="7:24" ht="15" customHeight="1">
      <c r="G5494"/>
      <c r="I5494"/>
      <c r="N5494"/>
      <c r="O5494" s="24"/>
      <c r="P5494"/>
      <c r="Q5494" s="24"/>
      <c r="R5494"/>
      <c r="S5494"/>
      <c r="T5494"/>
      <c r="U5494"/>
      <c r="X5494" s="60"/>
    </row>
    <row r="5495" spans="7:24" ht="15" customHeight="1">
      <c r="G5495"/>
      <c r="I5495"/>
      <c r="N5495"/>
      <c r="O5495" s="24"/>
      <c r="P5495"/>
      <c r="Q5495" s="24"/>
      <c r="R5495"/>
      <c r="S5495"/>
      <c r="T5495"/>
      <c r="U5495"/>
      <c r="X5495" s="60"/>
    </row>
    <row r="5496" spans="7:24" ht="15" customHeight="1">
      <c r="G5496"/>
      <c r="I5496"/>
      <c r="N5496"/>
      <c r="O5496" s="24"/>
      <c r="P5496"/>
      <c r="Q5496" s="24"/>
      <c r="R5496"/>
      <c r="S5496"/>
      <c r="T5496"/>
      <c r="U5496"/>
      <c r="X5496" s="60"/>
    </row>
    <row r="5497" spans="7:24" ht="15" customHeight="1">
      <c r="G5497"/>
      <c r="I5497"/>
      <c r="N5497"/>
      <c r="O5497" s="24"/>
      <c r="P5497"/>
      <c r="Q5497" s="24"/>
      <c r="R5497"/>
      <c r="S5497"/>
      <c r="T5497"/>
      <c r="U5497"/>
      <c r="X5497" s="60"/>
    </row>
    <row r="5498" spans="7:24" ht="15" customHeight="1">
      <c r="G5498"/>
      <c r="I5498"/>
      <c r="N5498"/>
      <c r="O5498" s="24"/>
      <c r="P5498"/>
      <c r="Q5498" s="24"/>
      <c r="R5498"/>
      <c r="S5498"/>
      <c r="T5498"/>
      <c r="U5498"/>
      <c r="X5498" s="60"/>
    </row>
    <row r="5499" spans="7:24" ht="15" customHeight="1">
      <c r="G5499"/>
      <c r="I5499"/>
      <c r="N5499"/>
      <c r="O5499" s="24"/>
      <c r="P5499"/>
      <c r="Q5499" s="24"/>
      <c r="R5499"/>
      <c r="S5499"/>
      <c r="T5499"/>
      <c r="U5499"/>
      <c r="X5499" s="60"/>
    </row>
    <row r="5500" spans="7:24" ht="15" customHeight="1">
      <c r="G5500"/>
      <c r="I5500"/>
      <c r="N5500"/>
      <c r="O5500" s="24"/>
      <c r="P5500"/>
      <c r="Q5500" s="24"/>
      <c r="R5500"/>
      <c r="S5500"/>
      <c r="T5500"/>
      <c r="U5500"/>
      <c r="X5500" s="60"/>
    </row>
    <row r="5501" spans="7:24" ht="15" customHeight="1">
      <c r="G5501"/>
      <c r="I5501"/>
      <c r="N5501"/>
      <c r="O5501" s="24"/>
      <c r="P5501"/>
      <c r="Q5501" s="24"/>
      <c r="R5501"/>
      <c r="S5501"/>
      <c r="T5501"/>
      <c r="U5501"/>
      <c r="X5501" s="60"/>
    </row>
    <row r="5502" spans="7:24" ht="15" customHeight="1">
      <c r="G5502"/>
      <c r="I5502"/>
      <c r="N5502"/>
      <c r="O5502" s="24"/>
      <c r="P5502"/>
      <c r="Q5502" s="24"/>
      <c r="R5502"/>
      <c r="S5502"/>
      <c r="T5502"/>
      <c r="U5502"/>
      <c r="X5502" s="60"/>
    </row>
    <row r="5503" spans="7:24" ht="15" customHeight="1">
      <c r="G5503"/>
      <c r="I5503"/>
      <c r="N5503"/>
      <c r="O5503" s="24"/>
      <c r="P5503"/>
      <c r="Q5503" s="24"/>
      <c r="R5503"/>
      <c r="S5503"/>
      <c r="T5503"/>
      <c r="U5503"/>
      <c r="X5503" s="60"/>
    </row>
    <row r="5504" spans="7:24" ht="15" customHeight="1">
      <c r="G5504"/>
      <c r="I5504"/>
      <c r="N5504"/>
      <c r="O5504" s="24"/>
      <c r="P5504"/>
      <c r="Q5504" s="24"/>
      <c r="R5504"/>
      <c r="S5504"/>
      <c r="T5504"/>
      <c r="U5504"/>
      <c r="X5504" s="60"/>
    </row>
    <row r="5505" spans="7:24" ht="15" customHeight="1">
      <c r="G5505"/>
      <c r="I5505"/>
      <c r="N5505"/>
      <c r="O5505" s="24"/>
      <c r="P5505"/>
      <c r="Q5505" s="24"/>
      <c r="R5505"/>
      <c r="S5505"/>
      <c r="T5505"/>
      <c r="U5505"/>
      <c r="X5505" s="60"/>
    </row>
    <row r="5506" spans="7:24" ht="15" customHeight="1">
      <c r="G5506"/>
      <c r="I5506"/>
      <c r="N5506"/>
      <c r="O5506" s="24"/>
      <c r="P5506"/>
      <c r="Q5506" s="24"/>
      <c r="R5506"/>
      <c r="S5506"/>
      <c r="T5506"/>
      <c r="U5506"/>
      <c r="X5506" s="60"/>
    </row>
    <row r="5507" spans="7:24" ht="15" customHeight="1">
      <c r="G5507"/>
      <c r="I5507"/>
      <c r="N5507"/>
      <c r="O5507" s="24"/>
      <c r="P5507"/>
      <c r="Q5507" s="24"/>
      <c r="R5507"/>
      <c r="S5507"/>
      <c r="T5507"/>
      <c r="U5507"/>
      <c r="X5507" s="60"/>
    </row>
    <row r="5508" spans="7:24" ht="15" customHeight="1">
      <c r="G5508"/>
      <c r="I5508"/>
      <c r="N5508"/>
      <c r="O5508" s="24"/>
      <c r="P5508"/>
      <c r="Q5508" s="24"/>
      <c r="R5508"/>
      <c r="S5508"/>
      <c r="T5508"/>
      <c r="U5508"/>
      <c r="X5508" s="60"/>
    </row>
    <row r="5509" spans="7:24" ht="15" customHeight="1">
      <c r="G5509"/>
      <c r="I5509"/>
      <c r="N5509"/>
      <c r="O5509" s="24"/>
      <c r="P5509"/>
      <c r="Q5509" s="24"/>
      <c r="R5509"/>
      <c r="S5509"/>
      <c r="T5509"/>
      <c r="U5509"/>
      <c r="X5509" s="60"/>
    </row>
    <row r="5510" spans="7:24" ht="15" customHeight="1">
      <c r="G5510"/>
      <c r="I5510"/>
      <c r="N5510"/>
      <c r="O5510" s="24"/>
      <c r="P5510"/>
      <c r="Q5510" s="24"/>
      <c r="R5510"/>
      <c r="S5510"/>
      <c r="T5510"/>
      <c r="U5510"/>
      <c r="X5510" s="60"/>
    </row>
    <row r="5511" spans="7:24" ht="15" customHeight="1">
      <c r="G5511"/>
      <c r="I5511"/>
      <c r="N5511"/>
      <c r="O5511" s="24"/>
      <c r="P5511"/>
      <c r="Q5511" s="24"/>
      <c r="R5511"/>
      <c r="S5511"/>
      <c r="T5511"/>
      <c r="U5511"/>
      <c r="X5511" s="60"/>
    </row>
    <row r="5512" spans="7:24" ht="15" customHeight="1">
      <c r="G5512"/>
      <c r="I5512"/>
      <c r="N5512"/>
      <c r="O5512" s="24"/>
      <c r="P5512"/>
      <c r="Q5512" s="24"/>
      <c r="R5512"/>
      <c r="S5512"/>
      <c r="T5512"/>
      <c r="U5512"/>
      <c r="X5512" s="60"/>
    </row>
    <row r="5513" spans="7:24" ht="15" customHeight="1">
      <c r="G5513"/>
      <c r="I5513"/>
      <c r="N5513"/>
      <c r="O5513" s="24"/>
      <c r="P5513"/>
      <c r="Q5513" s="24"/>
      <c r="R5513"/>
      <c r="S5513"/>
      <c r="T5513"/>
      <c r="U5513"/>
      <c r="X5513" s="60"/>
    </row>
    <row r="5514" spans="7:24" ht="15" customHeight="1">
      <c r="G5514"/>
      <c r="I5514"/>
      <c r="N5514"/>
      <c r="O5514" s="24"/>
      <c r="P5514"/>
      <c r="Q5514" s="24"/>
      <c r="R5514"/>
      <c r="S5514"/>
      <c r="T5514"/>
      <c r="U5514"/>
      <c r="X5514" s="60"/>
    </row>
    <row r="5515" spans="7:24" ht="15" customHeight="1">
      <c r="G5515"/>
      <c r="I5515"/>
      <c r="N5515"/>
      <c r="O5515" s="24"/>
      <c r="P5515"/>
      <c r="Q5515" s="24"/>
      <c r="R5515"/>
      <c r="S5515"/>
      <c r="T5515"/>
      <c r="U5515"/>
      <c r="X5515" s="60"/>
    </row>
    <row r="5516" spans="7:24" ht="15" customHeight="1">
      <c r="G5516"/>
      <c r="I5516"/>
      <c r="N5516"/>
      <c r="O5516" s="24"/>
      <c r="P5516"/>
      <c r="Q5516" s="24"/>
      <c r="R5516"/>
      <c r="S5516"/>
      <c r="T5516"/>
      <c r="U5516"/>
      <c r="X5516" s="60"/>
    </row>
    <row r="5517" spans="7:24" ht="15" customHeight="1">
      <c r="G5517"/>
      <c r="I5517"/>
      <c r="N5517"/>
      <c r="O5517" s="24"/>
      <c r="P5517"/>
      <c r="Q5517" s="24"/>
      <c r="R5517"/>
      <c r="S5517"/>
      <c r="T5517"/>
      <c r="U5517"/>
      <c r="X5517" s="60"/>
    </row>
    <row r="5518" spans="7:24" ht="15" customHeight="1">
      <c r="G5518"/>
      <c r="I5518"/>
      <c r="N5518"/>
      <c r="O5518" s="24"/>
      <c r="P5518"/>
      <c r="Q5518" s="24"/>
      <c r="R5518"/>
      <c r="S5518"/>
      <c r="T5518"/>
      <c r="U5518"/>
      <c r="X5518" s="60"/>
    </row>
    <row r="5519" spans="7:24" ht="15" customHeight="1">
      <c r="G5519"/>
      <c r="I5519"/>
      <c r="N5519"/>
      <c r="O5519" s="24"/>
      <c r="P5519"/>
      <c r="Q5519" s="24"/>
      <c r="R5519"/>
      <c r="S5519"/>
      <c r="T5519"/>
      <c r="U5519"/>
      <c r="X5519" s="60"/>
    </row>
    <row r="5520" spans="7:24" ht="15" customHeight="1">
      <c r="G5520"/>
      <c r="I5520"/>
      <c r="N5520"/>
      <c r="O5520" s="24"/>
      <c r="P5520"/>
      <c r="Q5520" s="24"/>
      <c r="R5520"/>
      <c r="S5520"/>
      <c r="T5520"/>
      <c r="U5520"/>
      <c r="X5520" s="60"/>
    </row>
    <row r="5521" spans="7:24" ht="15" customHeight="1">
      <c r="G5521"/>
      <c r="I5521"/>
      <c r="N5521"/>
      <c r="O5521" s="24"/>
      <c r="P5521"/>
      <c r="Q5521" s="24"/>
      <c r="R5521"/>
      <c r="S5521"/>
      <c r="T5521"/>
      <c r="U5521"/>
      <c r="X5521" s="60"/>
    </row>
    <row r="5522" spans="7:24" ht="15" customHeight="1">
      <c r="G5522"/>
      <c r="I5522"/>
      <c r="N5522"/>
      <c r="O5522" s="24"/>
      <c r="P5522"/>
      <c r="Q5522" s="24"/>
      <c r="R5522"/>
      <c r="S5522"/>
      <c r="T5522"/>
      <c r="U5522"/>
      <c r="X5522" s="60"/>
    </row>
    <row r="5523" spans="7:24" ht="15" customHeight="1">
      <c r="G5523"/>
      <c r="I5523"/>
      <c r="N5523"/>
      <c r="O5523" s="24"/>
      <c r="P5523"/>
      <c r="Q5523" s="24"/>
      <c r="R5523"/>
      <c r="S5523"/>
      <c r="T5523"/>
      <c r="U5523"/>
      <c r="X5523" s="60"/>
    </row>
    <row r="5524" spans="7:24" ht="15" customHeight="1">
      <c r="G5524"/>
      <c r="I5524"/>
      <c r="N5524"/>
      <c r="O5524" s="24"/>
      <c r="P5524"/>
      <c r="Q5524" s="24"/>
      <c r="R5524"/>
      <c r="S5524"/>
      <c r="T5524"/>
      <c r="U5524"/>
      <c r="X5524" s="60"/>
    </row>
    <row r="5525" spans="7:24" ht="15" customHeight="1">
      <c r="G5525"/>
      <c r="I5525"/>
      <c r="N5525"/>
      <c r="O5525" s="24"/>
      <c r="P5525"/>
      <c r="Q5525" s="24"/>
      <c r="R5525"/>
      <c r="S5525"/>
      <c r="T5525"/>
      <c r="U5525"/>
      <c r="X5525" s="60"/>
    </row>
    <row r="5526" spans="7:24" ht="15" customHeight="1">
      <c r="G5526"/>
      <c r="I5526"/>
      <c r="N5526"/>
      <c r="O5526" s="24"/>
      <c r="P5526"/>
      <c r="Q5526" s="24"/>
      <c r="R5526"/>
      <c r="S5526"/>
      <c r="T5526"/>
      <c r="U5526"/>
      <c r="X5526" s="60"/>
    </row>
    <row r="5527" spans="7:24" ht="15" customHeight="1">
      <c r="G5527"/>
      <c r="I5527"/>
      <c r="N5527"/>
      <c r="O5527" s="24"/>
      <c r="P5527"/>
      <c r="Q5527" s="24"/>
      <c r="R5527"/>
      <c r="S5527"/>
      <c r="T5527"/>
      <c r="U5527"/>
      <c r="X5527" s="60"/>
    </row>
    <row r="5528" spans="7:24" ht="15" customHeight="1">
      <c r="G5528"/>
      <c r="I5528"/>
      <c r="N5528"/>
      <c r="O5528" s="24"/>
      <c r="P5528"/>
      <c r="Q5528" s="24"/>
      <c r="R5528"/>
      <c r="S5528"/>
      <c r="T5528"/>
      <c r="U5528"/>
      <c r="X5528" s="60"/>
    </row>
    <row r="5529" spans="7:24" ht="15" customHeight="1">
      <c r="G5529"/>
      <c r="I5529"/>
      <c r="N5529"/>
      <c r="O5529" s="24"/>
      <c r="P5529"/>
      <c r="Q5529" s="24"/>
      <c r="R5529"/>
      <c r="S5529"/>
      <c r="T5529"/>
      <c r="U5529"/>
      <c r="X5529" s="60"/>
    </row>
    <row r="5530" spans="7:24" ht="15" customHeight="1">
      <c r="G5530"/>
      <c r="I5530"/>
      <c r="N5530"/>
      <c r="O5530" s="24"/>
      <c r="P5530"/>
      <c r="Q5530" s="24"/>
      <c r="R5530"/>
      <c r="S5530"/>
      <c r="T5530"/>
      <c r="U5530"/>
      <c r="X5530" s="60"/>
    </row>
    <row r="5531" spans="7:24" ht="15" customHeight="1">
      <c r="G5531"/>
      <c r="I5531"/>
      <c r="N5531"/>
      <c r="O5531" s="24"/>
      <c r="P5531"/>
      <c r="Q5531" s="24"/>
      <c r="R5531"/>
      <c r="S5531"/>
      <c r="T5531"/>
      <c r="U5531"/>
      <c r="X5531" s="60"/>
    </row>
    <row r="5532" spans="7:24" ht="15" customHeight="1">
      <c r="G5532"/>
      <c r="I5532"/>
      <c r="N5532"/>
      <c r="O5532" s="24"/>
      <c r="P5532"/>
      <c r="Q5532" s="24"/>
      <c r="R5532"/>
      <c r="S5532"/>
      <c r="T5532"/>
      <c r="U5532"/>
      <c r="X5532" s="60"/>
    </row>
    <row r="5533" spans="7:24" ht="15" customHeight="1">
      <c r="G5533"/>
      <c r="I5533"/>
      <c r="N5533"/>
      <c r="O5533" s="24"/>
      <c r="P5533"/>
      <c r="Q5533" s="24"/>
      <c r="R5533"/>
      <c r="S5533"/>
      <c r="T5533"/>
      <c r="U5533"/>
      <c r="X5533" s="60"/>
    </row>
    <row r="5534" spans="7:24" ht="15" customHeight="1">
      <c r="G5534"/>
      <c r="I5534"/>
      <c r="N5534"/>
      <c r="O5534" s="24"/>
      <c r="P5534"/>
      <c r="Q5534" s="24"/>
      <c r="R5534"/>
      <c r="S5534"/>
      <c r="T5534"/>
      <c r="U5534"/>
      <c r="X5534" s="60"/>
    </row>
    <row r="5535" spans="7:24" ht="15" customHeight="1">
      <c r="G5535"/>
      <c r="I5535"/>
      <c r="N5535"/>
      <c r="O5535" s="24"/>
      <c r="P5535"/>
      <c r="Q5535" s="24"/>
      <c r="R5535"/>
      <c r="S5535"/>
      <c r="T5535"/>
      <c r="U5535"/>
      <c r="X5535" s="60"/>
    </row>
    <row r="5536" spans="7:24" ht="15" customHeight="1">
      <c r="G5536"/>
      <c r="I5536"/>
      <c r="N5536"/>
      <c r="O5536" s="24"/>
      <c r="P5536"/>
      <c r="Q5536" s="24"/>
      <c r="R5536"/>
      <c r="S5536"/>
      <c r="T5536"/>
      <c r="U5536"/>
      <c r="X5536" s="60"/>
    </row>
    <row r="5537" spans="7:24" ht="15" customHeight="1">
      <c r="G5537"/>
      <c r="I5537"/>
      <c r="N5537"/>
      <c r="O5537" s="24"/>
      <c r="P5537"/>
      <c r="Q5537" s="24"/>
      <c r="R5537"/>
      <c r="S5537"/>
      <c r="T5537"/>
      <c r="U5537"/>
      <c r="X5537" s="60"/>
    </row>
    <row r="5538" spans="7:24" ht="15" customHeight="1">
      <c r="G5538"/>
      <c r="I5538"/>
      <c r="N5538"/>
      <c r="O5538" s="24"/>
      <c r="P5538"/>
      <c r="Q5538" s="24"/>
      <c r="R5538"/>
      <c r="S5538"/>
      <c r="T5538"/>
      <c r="U5538"/>
      <c r="X5538" s="60"/>
    </row>
    <row r="5539" spans="7:24" ht="15" customHeight="1">
      <c r="G5539"/>
      <c r="I5539"/>
      <c r="N5539"/>
      <c r="O5539" s="24"/>
      <c r="P5539"/>
      <c r="Q5539" s="24"/>
      <c r="R5539"/>
      <c r="S5539"/>
      <c r="T5539"/>
      <c r="U5539"/>
      <c r="X5539" s="60"/>
    </row>
    <row r="5540" spans="7:24" ht="15" customHeight="1">
      <c r="G5540"/>
      <c r="I5540"/>
      <c r="N5540"/>
      <c r="O5540" s="24"/>
      <c r="P5540"/>
      <c r="Q5540" s="24"/>
      <c r="R5540"/>
      <c r="S5540"/>
      <c r="T5540"/>
      <c r="U5540"/>
      <c r="X5540" s="60"/>
    </row>
    <row r="5541" spans="7:24" ht="15" customHeight="1">
      <c r="G5541"/>
      <c r="I5541"/>
      <c r="N5541"/>
      <c r="O5541" s="24"/>
      <c r="P5541"/>
      <c r="Q5541" s="24"/>
      <c r="R5541"/>
      <c r="S5541"/>
      <c r="T5541"/>
      <c r="U5541"/>
      <c r="X5541" s="60"/>
    </row>
    <row r="5542" spans="7:24" ht="15" customHeight="1">
      <c r="G5542"/>
      <c r="I5542"/>
      <c r="N5542"/>
      <c r="O5542" s="24"/>
      <c r="P5542"/>
      <c r="Q5542" s="24"/>
      <c r="R5542"/>
      <c r="S5542"/>
      <c r="T5542"/>
      <c r="U5542"/>
      <c r="X5542" s="60"/>
    </row>
    <row r="5543" spans="7:24" ht="15" customHeight="1">
      <c r="G5543"/>
      <c r="I5543"/>
      <c r="N5543"/>
      <c r="O5543" s="24"/>
      <c r="P5543"/>
      <c r="Q5543" s="24"/>
      <c r="R5543"/>
      <c r="S5543"/>
      <c r="T5543"/>
      <c r="U5543"/>
      <c r="X5543" s="60"/>
    </row>
    <row r="5544" spans="7:24" ht="15" customHeight="1">
      <c r="G5544"/>
      <c r="I5544"/>
      <c r="N5544"/>
      <c r="O5544" s="24"/>
      <c r="P5544"/>
      <c r="Q5544" s="24"/>
      <c r="R5544"/>
      <c r="S5544"/>
      <c r="T5544"/>
      <c r="U5544"/>
      <c r="X5544" s="60"/>
    </row>
    <row r="5545" spans="7:24" ht="15" customHeight="1">
      <c r="G5545"/>
      <c r="I5545"/>
      <c r="N5545"/>
      <c r="O5545" s="24"/>
      <c r="P5545"/>
      <c r="Q5545" s="24"/>
      <c r="R5545"/>
      <c r="S5545"/>
      <c r="T5545"/>
      <c r="U5545"/>
      <c r="X5545" s="60"/>
    </row>
    <row r="5546" spans="7:24" ht="15" customHeight="1">
      <c r="G5546"/>
      <c r="I5546"/>
      <c r="N5546"/>
      <c r="O5546" s="24"/>
      <c r="P5546"/>
      <c r="Q5546" s="24"/>
      <c r="R5546"/>
      <c r="S5546"/>
      <c r="T5546"/>
      <c r="U5546"/>
      <c r="X5546" s="60"/>
    </row>
    <row r="5547" spans="7:24" ht="15" customHeight="1">
      <c r="G5547"/>
      <c r="I5547"/>
      <c r="N5547"/>
      <c r="O5547" s="24"/>
      <c r="P5547"/>
      <c r="Q5547" s="24"/>
      <c r="R5547"/>
      <c r="S5547"/>
      <c r="T5547"/>
      <c r="U5547"/>
      <c r="X5547" s="60"/>
    </row>
    <row r="5548" spans="7:24" ht="15" customHeight="1">
      <c r="G5548"/>
      <c r="I5548"/>
      <c r="N5548"/>
      <c r="O5548" s="24"/>
      <c r="P5548"/>
      <c r="Q5548" s="24"/>
      <c r="R5548"/>
      <c r="S5548"/>
      <c r="T5548"/>
      <c r="U5548"/>
      <c r="X5548" s="60"/>
    </row>
    <row r="5549" spans="7:24" ht="15" customHeight="1">
      <c r="G5549"/>
      <c r="I5549"/>
      <c r="N5549"/>
      <c r="O5549" s="24"/>
      <c r="P5549"/>
      <c r="Q5549" s="24"/>
      <c r="R5549"/>
      <c r="S5549"/>
      <c r="T5549"/>
      <c r="U5549"/>
      <c r="X5549" s="60"/>
    </row>
    <row r="5550" spans="7:24" ht="15" customHeight="1">
      <c r="G5550"/>
      <c r="I5550"/>
      <c r="N5550"/>
      <c r="O5550" s="24"/>
      <c r="P5550"/>
      <c r="Q5550" s="24"/>
      <c r="R5550"/>
      <c r="S5550"/>
      <c r="T5550"/>
      <c r="U5550"/>
      <c r="X5550" s="60"/>
    </row>
    <row r="5551" spans="7:24" ht="15" customHeight="1">
      <c r="G5551"/>
      <c r="I5551"/>
      <c r="N5551"/>
      <c r="O5551" s="24"/>
      <c r="P5551"/>
      <c r="Q5551" s="24"/>
      <c r="R5551"/>
      <c r="S5551"/>
      <c r="T5551"/>
      <c r="U5551"/>
      <c r="X5551" s="60"/>
    </row>
    <row r="5552" spans="7:24" ht="15" customHeight="1">
      <c r="G5552"/>
      <c r="I5552"/>
      <c r="N5552"/>
      <c r="O5552" s="24"/>
      <c r="P5552"/>
      <c r="Q5552" s="24"/>
      <c r="R5552"/>
      <c r="S5552"/>
      <c r="T5552"/>
      <c r="U5552"/>
      <c r="X5552" s="60"/>
    </row>
    <row r="5553" spans="7:24" ht="15" customHeight="1">
      <c r="G5553"/>
      <c r="I5553"/>
      <c r="N5553"/>
      <c r="O5553" s="24"/>
      <c r="P5553"/>
      <c r="Q5553" s="24"/>
      <c r="R5553"/>
      <c r="S5553"/>
      <c r="T5553"/>
      <c r="U5553"/>
      <c r="X5553" s="60"/>
    </row>
    <row r="5554" spans="7:24" ht="15" customHeight="1">
      <c r="G5554"/>
      <c r="I5554"/>
      <c r="N5554"/>
      <c r="O5554" s="24"/>
      <c r="P5554"/>
      <c r="Q5554" s="24"/>
      <c r="R5554"/>
      <c r="S5554"/>
      <c r="T5554"/>
      <c r="U5554"/>
      <c r="X5554" s="60"/>
    </row>
    <row r="5555" spans="7:24" ht="15" customHeight="1">
      <c r="G5555"/>
      <c r="I5555"/>
      <c r="N5555"/>
      <c r="O5555" s="24"/>
      <c r="P5555"/>
      <c r="Q5555" s="24"/>
      <c r="R5555"/>
      <c r="S5555"/>
      <c r="T5555"/>
      <c r="U5555"/>
      <c r="X5555" s="60"/>
    </row>
    <row r="5556" spans="7:24" ht="15" customHeight="1">
      <c r="G5556"/>
      <c r="I5556"/>
      <c r="N5556"/>
      <c r="O5556" s="24"/>
      <c r="P5556"/>
      <c r="Q5556" s="24"/>
      <c r="R5556"/>
      <c r="S5556"/>
      <c r="T5556"/>
      <c r="U5556"/>
      <c r="X5556" s="60"/>
    </row>
    <row r="5557" spans="7:24" ht="15" customHeight="1">
      <c r="G5557"/>
      <c r="I5557"/>
      <c r="N5557"/>
      <c r="O5557" s="24"/>
      <c r="P5557"/>
      <c r="Q5557" s="24"/>
      <c r="R5557"/>
      <c r="S5557"/>
      <c r="T5557"/>
      <c r="U5557"/>
      <c r="X5557" s="60"/>
    </row>
    <row r="5558" spans="7:24" ht="15" customHeight="1">
      <c r="G5558"/>
      <c r="I5558"/>
      <c r="N5558"/>
      <c r="O5558" s="24"/>
      <c r="P5558"/>
      <c r="Q5558" s="24"/>
      <c r="R5558"/>
      <c r="S5558"/>
      <c r="T5558"/>
      <c r="U5558"/>
      <c r="X5558" s="60"/>
    </row>
    <row r="5559" spans="7:24" ht="15" customHeight="1">
      <c r="G5559"/>
      <c r="I5559"/>
      <c r="N5559"/>
      <c r="O5559" s="24"/>
      <c r="P5559"/>
      <c r="Q5559" s="24"/>
      <c r="R5559"/>
      <c r="S5559"/>
      <c r="T5559"/>
      <c r="U5559"/>
      <c r="X5559" s="60"/>
    </row>
    <row r="5560" spans="7:24" ht="15" customHeight="1">
      <c r="G5560"/>
      <c r="I5560"/>
      <c r="N5560"/>
      <c r="O5560" s="24"/>
      <c r="P5560"/>
      <c r="Q5560" s="24"/>
      <c r="R5560"/>
      <c r="S5560"/>
      <c r="T5560"/>
      <c r="U5560"/>
      <c r="X5560" s="60"/>
    </row>
    <row r="5561" spans="7:24" ht="15" customHeight="1">
      <c r="G5561"/>
      <c r="I5561"/>
      <c r="N5561"/>
      <c r="O5561" s="24"/>
      <c r="P5561"/>
      <c r="Q5561" s="24"/>
      <c r="R5561"/>
      <c r="S5561"/>
      <c r="T5561"/>
      <c r="U5561"/>
      <c r="X5561" s="60"/>
    </row>
    <row r="5562" spans="7:24" ht="15" customHeight="1">
      <c r="G5562"/>
      <c r="I5562"/>
      <c r="N5562"/>
      <c r="O5562" s="24"/>
      <c r="P5562"/>
      <c r="Q5562" s="24"/>
      <c r="R5562"/>
      <c r="S5562"/>
      <c r="T5562"/>
      <c r="U5562"/>
      <c r="X5562" s="60"/>
    </row>
    <row r="5563" spans="7:24" ht="15" customHeight="1">
      <c r="G5563"/>
      <c r="I5563"/>
      <c r="N5563"/>
      <c r="O5563" s="24"/>
      <c r="P5563"/>
      <c r="Q5563" s="24"/>
      <c r="R5563"/>
      <c r="S5563"/>
      <c r="T5563"/>
      <c r="U5563"/>
      <c r="X5563" s="60"/>
    </row>
    <row r="5564" spans="7:24" ht="15" customHeight="1">
      <c r="G5564"/>
      <c r="I5564"/>
      <c r="N5564"/>
      <c r="O5564" s="24"/>
      <c r="P5564"/>
      <c r="Q5564" s="24"/>
      <c r="R5564"/>
      <c r="S5564"/>
      <c r="T5564"/>
      <c r="U5564"/>
      <c r="X5564" s="60"/>
    </row>
    <row r="5565" spans="7:24" ht="15" customHeight="1">
      <c r="G5565"/>
      <c r="I5565"/>
      <c r="N5565"/>
      <c r="O5565" s="24"/>
      <c r="P5565"/>
      <c r="Q5565" s="24"/>
      <c r="R5565"/>
      <c r="S5565"/>
      <c r="T5565"/>
      <c r="U5565"/>
      <c r="X5565" s="60"/>
    </row>
    <row r="5566" spans="7:24" ht="15" customHeight="1">
      <c r="G5566"/>
      <c r="I5566"/>
      <c r="N5566"/>
      <c r="O5566" s="24"/>
      <c r="P5566"/>
      <c r="Q5566" s="24"/>
      <c r="R5566"/>
      <c r="S5566"/>
      <c r="T5566"/>
      <c r="U5566"/>
      <c r="X5566" s="60"/>
    </row>
    <row r="5567" spans="7:24" ht="15" customHeight="1">
      <c r="G5567"/>
      <c r="I5567"/>
      <c r="N5567"/>
      <c r="O5567" s="24"/>
      <c r="P5567"/>
      <c r="Q5567" s="24"/>
      <c r="R5567"/>
      <c r="S5567"/>
      <c r="T5567"/>
      <c r="U5567"/>
      <c r="X5567" s="60"/>
    </row>
    <row r="5568" spans="7:24" ht="15" customHeight="1">
      <c r="G5568"/>
      <c r="I5568"/>
      <c r="N5568"/>
      <c r="O5568" s="24"/>
      <c r="P5568"/>
      <c r="Q5568" s="24"/>
      <c r="R5568"/>
      <c r="S5568"/>
      <c r="T5568"/>
      <c r="U5568"/>
      <c r="X5568" s="60"/>
    </row>
    <row r="5569" spans="7:24" ht="15" customHeight="1">
      <c r="G5569"/>
      <c r="I5569"/>
      <c r="N5569"/>
      <c r="O5569" s="24"/>
      <c r="P5569"/>
      <c r="Q5569" s="24"/>
      <c r="R5569"/>
      <c r="S5569"/>
      <c r="T5569"/>
      <c r="U5569"/>
      <c r="X5569" s="60"/>
    </row>
    <row r="5570" spans="7:24" ht="15" customHeight="1">
      <c r="G5570"/>
      <c r="I5570"/>
      <c r="N5570"/>
      <c r="O5570" s="24"/>
      <c r="P5570"/>
      <c r="Q5570" s="24"/>
      <c r="R5570"/>
      <c r="S5570"/>
      <c r="T5570"/>
      <c r="U5570"/>
      <c r="X5570" s="60"/>
    </row>
    <row r="5571" spans="7:24" ht="15" customHeight="1">
      <c r="G5571"/>
      <c r="I5571"/>
      <c r="N5571"/>
      <c r="O5571" s="24"/>
      <c r="P5571"/>
      <c r="Q5571" s="24"/>
      <c r="R5571"/>
      <c r="S5571"/>
      <c r="T5571"/>
      <c r="U5571"/>
      <c r="X5571" s="60"/>
    </row>
    <row r="5572" spans="7:24" ht="15" customHeight="1">
      <c r="G5572"/>
      <c r="I5572"/>
      <c r="N5572"/>
      <c r="O5572" s="24"/>
      <c r="P5572"/>
      <c r="Q5572" s="24"/>
      <c r="R5572"/>
      <c r="S5572"/>
      <c r="T5572"/>
      <c r="U5572"/>
      <c r="X5572" s="60"/>
    </row>
    <row r="5573" spans="7:24" ht="15" customHeight="1">
      <c r="G5573"/>
      <c r="I5573"/>
      <c r="N5573"/>
      <c r="O5573" s="24"/>
      <c r="P5573"/>
      <c r="Q5573" s="24"/>
      <c r="R5573"/>
      <c r="S5573"/>
      <c r="T5573"/>
      <c r="U5573"/>
      <c r="X5573" s="60"/>
    </row>
    <row r="5574" spans="7:24" ht="15" customHeight="1">
      <c r="G5574"/>
      <c r="I5574"/>
      <c r="N5574"/>
      <c r="O5574" s="24"/>
      <c r="P5574"/>
      <c r="Q5574" s="24"/>
      <c r="R5574"/>
      <c r="S5574"/>
      <c r="T5574"/>
      <c r="U5574"/>
      <c r="X5574" s="60"/>
    </row>
    <row r="5575" spans="7:24" ht="15" customHeight="1">
      <c r="G5575"/>
      <c r="I5575"/>
      <c r="N5575"/>
      <c r="O5575" s="24"/>
      <c r="P5575"/>
      <c r="Q5575" s="24"/>
      <c r="R5575"/>
      <c r="S5575"/>
      <c r="T5575"/>
      <c r="U5575"/>
      <c r="X5575" s="60"/>
    </row>
    <row r="5576" spans="7:24" ht="15" customHeight="1">
      <c r="G5576"/>
      <c r="I5576"/>
      <c r="N5576"/>
      <c r="O5576" s="24"/>
      <c r="P5576"/>
      <c r="Q5576" s="24"/>
      <c r="R5576"/>
      <c r="S5576"/>
      <c r="T5576"/>
      <c r="U5576"/>
      <c r="X5576" s="60"/>
    </row>
    <row r="5577" spans="7:24" ht="15" customHeight="1">
      <c r="G5577"/>
      <c r="I5577"/>
      <c r="N5577"/>
      <c r="O5577" s="24"/>
      <c r="P5577"/>
      <c r="Q5577" s="24"/>
      <c r="R5577"/>
      <c r="S5577"/>
      <c r="T5577"/>
      <c r="U5577"/>
      <c r="X5577" s="60"/>
    </row>
    <row r="5578" spans="7:24" ht="15" customHeight="1">
      <c r="G5578"/>
      <c r="I5578"/>
      <c r="N5578"/>
      <c r="O5578" s="24"/>
      <c r="P5578"/>
      <c r="Q5578" s="24"/>
      <c r="R5578"/>
      <c r="S5578"/>
      <c r="T5578"/>
      <c r="U5578"/>
      <c r="X5578" s="60"/>
    </row>
    <row r="5579" spans="7:24" ht="15" customHeight="1">
      <c r="G5579"/>
      <c r="I5579"/>
      <c r="N5579"/>
      <c r="O5579" s="24"/>
      <c r="P5579"/>
      <c r="Q5579" s="24"/>
      <c r="R5579"/>
      <c r="S5579"/>
      <c r="T5579"/>
      <c r="U5579"/>
      <c r="X5579" s="60"/>
    </row>
    <row r="5580" spans="7:24" ht="15" customHeight="1">
      <c r="G5580"/>
      <c r="I5580"/>
      <c r="N5580"/>
      <c r="O5580" s="24"/>
      <c r="P5580"/>
      <c r="Q5580" s="24"/>
      <c r="R5580"/>
      <c r="S5580"/>
      <c r="T5580"/>
      <c r="U5580"/>
      <c r="X5580" s="60"/>
    </row>
    <row r="5581" spans="7:24" ht="15" customHeight="1">
      <c r="G5581"/>
      <c r="I5581"/>
      <c r="N5581"/>
      <c r="O5581" s="24"/>
      <c r="P5581"/>
      <c r="Q5581" s="24"/>
      <c r="R5581"/>
      <c r="S5581"/>
      <c r="T5581"/>
      <c r="U5581"/>
      <c r="X5581" s="60"/>
    </row>
    <row r="5582" spans="7:24" ht="15" customHeight="1">
      <c r="G5582"/>
      <c r="I5582"/>
      <c r="N5582"/>
      <c r="O5582" s="24"/>
      <c r="P5582"/>
      <c r="Q5582" s="24"/>
      <c r="R5582"/>
      <c r="S5582"/>
      <c r="T5582"/>
      <c r="U5582"/>
      <c r="X5582" s="60"/>
    </row>
    <row r="5583" spans="7:24" ht="15" customHeight="1">
      <c r="G5583"/>
      <c r="I5583"/>
      <c r="N5583"/>
      <c r="O5583" s="24"/>
      <c r="P5583"/>
      <c r="Q5583" s="24"/>
      <c r="R5583"/>
      <c r="S5583"/>
      <c r="T5583"/>
      <c r="U5583"/>
      <c r="X5583" s="60"/>
    </row>
    <row r="5584" spans="7:24" ht="15" customHeight="1">
      <c r="G5584"/>
      <c r="I5584"/>
      <c r="N5584"/>
      <c r="O5584" s="24"/>
      <c r="P5584"/>
      <c r="Q5584" s="24"/>
      <c r="R5584"/>
      <c r="S5584"/>
      <c r="T5584"/>
      <c r="U5584"/>
      <c r="X5584" s="60"/>
    </row>
    <row r="5585" spans="7:24" ht="15" customHeight="1">
      <c r="G5585"/>
      <c r="I5585"/>
      <c r="N5585"/>
      <c r="O5585" s="24"/>
      <c r="P5585"/>
      <c r="Q5585" s="24"/>
      <c r="R5585"/>
      <c r="S5585"/>
      <c r="T5585"/>
      <c r="U5585"/>
      <c r="X5585" s="60"/>
    </row>
    <row r="5586" spans="7:24" ht="15" customHeight="1">
      <c r="G5586"/>
      <c r="I5586"/>
      <c r="N5586"/>
      <c r="O5586" s="24"/>
      <c r="P5586"/>
      <c r="Q5586" s="24"/>
      <c r="R5586"/>
      <c r="S5586"/>
      <c r="T5586"/>
      <c r="U5586"/>
      <c r="X5586" s="60"/>
    </row>
    <row r="5587" spans="7:24" ht="15" customHeight="1">
      <c r="G5587"/>
      <c r="I5587"/>
      <c r="N5587"/>
      <c r="O5587" s="24"/>
      <c r="P5587"/>
      <c r="Q5587" s="24"/>
      <c r="R5587"/>
      <c r="S5587"/>
      <c r="T5587"/>
      <c r="U5587"/>
      <c r="X5587" s="60"/>
    </row>
    <row r="5588" spans="7:24" ht="15" customHeight="1">
      <c r="G5588"/>
      <c r="I5588"/>
      <c r="N5588"/>
      <c r="O5588" s="24"/>
      <c r="P5588"/>
      <c r="Q5588" s="24"/>
      <c r="R5588"/>
      <c r="S5588"/>
      <c r="T5588"/>
      <c r="U5588"/>
      <c r="X5588" s="60"/>
    </row>
    <row r="5589" spans="7:24" ht="15" customHeight="1">
      <c r="G5589"/>
      <c r="I5589"/>
      <c r="N5589"/>
      <c r="O5589" s="24"/>
      <c r="P5589"/>
      <c r="Q5589" s="24"/>
      <c r="R5589"/>
      <c r="S5589"/>
      <c r="T5589"/>
      <c r="U5589"/>
      <c r="X5589" s="60"/>
    </row>
    <row r="5590" spans="7:24" ht="15" customHeight="1">
      <c r="G5590"/>
      <c r="I5590"/>
      <c r="N5590"/>
      <c r="O5590" s="24"/>
      <c r="P5590"/>
      <c r="Q5590" s="24"/>
      <c r="R5590"/>
      <c r="S5590"/>
      <c r="T5590"/>
      <c r="U5590"/>
      <c r="X5590" s="60"/>
    </row>
    <row r="5591" spans="7:24" ht="15" customHeight="1">
      <c r="G5591"/>
      <c r="I5591"/>
      <c r="N5591"/>
      <c r="O5591" s="24"/>
      <c r="P5591"/>
      <c r="Q5591" s="24"/>
      <c r="R5591"/>
      <c r="S5591"/>
      <c r="T5591"/>
      <c r="U5591"/>
      <c r="X5591" s="60"/>
    </row>
    <row r="5592" spans="7:24" ht="15" customHeight="1">
      <c r="G5592"/>
      <c r="I5592"/>
      <c r="N5592"/>
      <c r="O5592" s="24"/>
      <c r="P5592"/>
      <c r="Q5592" s="24"/>
      <c r="R5592"/>
      <c r="S5592"/>
      <c r="T5592"/>
      <c r="U5592"/>
      <c r="X5592" s="60"/>
    </row>
    <row r="5593" spans="7:24" ht="15" customHeight="1">
      <c r="G5593"/>
      <c r="I5593"/>
      <c r="N5593"/>
      <c r="O5593" s="24"/>
      <c r="P5593"/>
      <c r="Q5593" s="24"/>
      <c r="R5593"/>
      <c r="S5593"/>
      <c r="T5593"/>
      <c r="U5593"/>
      <c r="X5593" s="60"/>
    </row>
    <row r="5594" spans="7:24" ht="15" customHeight="1">
      <c r="G5594"/>
      <c r="I5594"/>
      <c r="N5594"/>
      <c r="O5594" s="24"/>
      <c r="P5594"/>
      <c r="Q5594" s="24"/>
      <c r="R5594"/>
      <c r="S5594"/>
      <c r="T5594"/>
      <c r="U5594"/>
      <c r="X5594" s="60"/>
    </row>
    <row r="5595" spans="7:24" ht="15" customHeight="1">
      <c r="G5595"/>
      <c r="I5595"/>
      <c r="N5595"/>
      <c r="O5595" s="24"/>
      <c r="P5595"/>
      <c r="Q5595" s="24"/>
      <c r="R5595"/>
      <c r="S5595"/>
      <c r="T5595"/>
      <c r="U5595"/>
      <c r="X5595" s="60"/>
    </row>
    <row r="5596" spans="7:24" ht="15" customHeight="1">
      <c r="G5596"/>
      <c r="I5596"/>
      <c r="N5596"/>
      <c r="O5596" s="24"/>
      <c r="P5596"/>
      <c r="Q5596" s="24"/>
      <c r="R5596"/>
      <c r="S5596"/>
      <c r="T5596"/>
      <c r="U5596"/>
      <c r="X5596" s="60"/>
    </row>
    <row r="5597" spans="7:24" ht="15" customHeight="1">
      <c r="G5597"/>
      <c r="I5597"/>
      <c r="N5597"/>
      <c r="O5597" s="24"/>
      <c r="P5597"/>
      <c r="Q5597" s="24"/>
      <c r="R5597"/>
      <c r="S5597"/>
      <c r="T5597"/>
      <c r="U5597"/>
      <c r="X5597" s="60"/>
    </row>
    <row r="5598" spans="7:24" ht="15" customHeight="1">
      <c r="G5598"/>
      <c r="I5598"/>
      <c r="N5598"/>
      <c r="O5598" s="24"/>
      <c r="P5598"/>
      <c r="Q5598" s="24"/>
      <c r="R5598"/>
      <c r="S5598"/>
      <c r="T5598"/>
      <c r="U5598"/>
      <c r="X5598" s="60"/>
    </row>
    <row r="5599" spans="7:24" ht="15" customHeight="1">
      <c r="G5599"/>
      <c r="I5599"/>
      <c r="N5599"/>
      <c r="O5599" s="24"/>
      <c r="P5599"/>
      <c r="Q5599" s="24"/>
      <c r="R5599"/>
      <c r="S5599"/>
      <c r="T5599"/>
      <c r="U5599"/>
      <c r="X5599" s="60"/>
    </row>
    <row r="5600" spans="7:24" ht="15" customHeight="1">
      <c r="G5600"/>
      <c r="I5600"/>
      <c r="N5600"/>
      <c r="O5600" s="24"/>
      <c r="P5600"/>
      <c r="Q5600" s="24"/>
      <c r="R5600"/>
      <c r="S5600"/>
      <c r="T5600"/>
      <c r="U5600"/>
      <c r="X5600" s="60"/>
    </row>
    <row r="5601" spans="7:24" ht="15" customHeight="1">
      <c r="G5601"/>
      <c r="I5601"/>
      <c r="N5601"/>
      <c r="O5601" s="24"/>
      <c r="P5601"/>
      <c r="Q5601" s="24"/>
      <c r="R5601"/>
      <c r="S5601"/>
      <c r="T5601"/>
      <c r="U5601"/>
      <c r="X5601" s="60"/>
    </row>
    <row r="5602" spans="7:24" ht="15" customHeight="1">
      <c r="G5602"/>
      <c r="I5602"/>
      <c r="N5602"/>
      <c r="O5602" s="24"/>
      <c r="P5602"/>
      <c r="Q5602" s="24"/>
      <c r="R5602"/>
      <c r="S5602"/>
      <c r="T5602"/>
      <c r="U5602"/>
      <c r="X5602" s="60"/>
    </row>
    <row r="5603" spans="7:24" ht="15" customHeight="1">
      <c r="G5603"/>
      <c r="I5603"/>
      <c r="N5603"/>
      <c r="O5603" s="24"/>
      <c r="P5603"/>
      <c r="Q5603" s="24"/>
      <c r="R5603"/>
      <c r="S5603"/>
      <c r="T5603"/>
      <c r="U5603"/>
      <c r="X5603" s="60"/>
    </row>
    <row r="5604" spans="7:24" ht="15" customHeight="1">
      <c r="G5604"/>
      <c r="I5604"/>
      <c r="N5604"/>
      <c r="O5604" s="24"/>
      <c r="P5604"/>
      <c r="Q5604" s="24"/>
      <c r="R5604"/>
      <c r="S5604"/>
      <c r="T5604"/>
      <c r="U5604"/>
      <c r="X5604" s="60"/>
    </row>
    <row r="5605" spans="7:24" ht="15" customHeight="1">
      <c r="G5605"/>
      <c r="I5605"/>
      <c r="N5605"/>
      <c r="O5605" s="24"/>
      <c r="P5605"/>
      <c r="Q5605" s="24"/>
      <c r="R5605"/>
      <c r="S5605"/>
      <c r="T5605"/>
      <c r="U5605"/>
      <c r="X5605" s="60"/>
    </row>
    <row r="5606" spans="7:24" ht="15" customHeight="1">
      <c r="G5606"/>
      <c r="I5606"/>
      <c r="N5606"/>
      <c r="O5606" s="24"/>
      <c r="P5606"/>
      <c r="Q5606" s="24"/>
      <c r="R5606"/>
      <c r="S5606"/>
      <c r="T5606"/>
      <c r="U5606"/>
      <c r="X5606" s="60"/>
    </row>
    <row r="5607" spans="7:24" ht="15" customHeight="1">
      <c r="G5607"/>
      <c r="I5607"/>
      <c r="N5607"/>
      <c r="O5607" s="24"/>
      <c r="P5607"/>
      <c r="Q5607" s="24"/>
      <c r="R5607"/>
      <c r="S5607"/>
      <c r="T5607"/>
      <c r="U5607"/>
      <c r="X5607" s="60"/>
    </row>
    <row r="5608" spans="7:24" ht="15" customHeight="1">
      <c r="G5608"/>
      <c r="I5608"/>
      <c r="N5608"/>
      <c r="O5608" s="24"/>
      <c r="P5608"/>
      <c r="Q5608" s="24"/>
      <c r="R5608"/>
      <c r="S5608"/>
      <c r="T5608"/>
      <c r="U5608"/>
      <c r="X5608" s="60"/>
    </row>
    <row r="5609" spans="7:24" ht="15" customHeight="1">
      <c r="G5609"/>
      <c r="I5609"/>
      <c r="N5609"/>
      <c r="O5609" s="24"/>
      <c r="P5609"/>
      <c r="Q5609" s="24"/>
      <c r="R5609"/>
      <c r="S5609"/>
      <c r="T5609"/>
      <c r="U5609"/>
      <c r="X5609" s="60"/>
    </row>
    <row r="5610" spans="7:24" ht="15" customHeight="1">
      <c r="G5610"/>
      <c r="I5610"/>
      <c r="N5610"/>
      <c r="O5610" s="24"/>
      <c r="P5610"/>
      <c r="Q5610" s="24"/>
      <c r="R5610"/>
      <c r="S5610"/>
      <c r="T5610"/>
      <c r="U5610"/>
      <c r="X5610" s="60"/>
    </row>
    <row r="5611" spans="7:24" ht="15" customHeight="1">
      <c r="G5611"/>
      <c r="I5611"/>
      <c r="N5611"/>
      <c r="O5611" s="24"/>
      <c r="P5611"/>
      <c r="Q5611" s="24"/>
      <c r="R5611"/>
      <c r="S5611"/>
      <c r="T5611"/>
      <c r="U5611"/>
      <c r="X5611" s="60"/>
    </row>
    <row r="5612" spans="7:24" ht="15" customHeight="1">
      <c r="G5612"/>
      <c r="I5612"/>
      <c r="N5612"/>
      <c r="O5612" s="24"/>
      <c r="P5612"/>
      <c r="Q5612" s="24"/>
      <c r="R5612"/>
      <c r="S5612"/>
      <c r="T5612"/>
      <c r="U5612"/>
      <c r="X5612" s="60"/>
    </row>
    <row r="5613" spans="7:24" ht="15" customHeight="1">
      <c r="G5613"/>
      <c r="I5613"/>
      <c r="N5613"/>
      <c r="O5613" s="24"/>
      <c r="P5613"/>
      <c r="Q5613" s="24"/>
      <c r="R5613"/>
      <c r="S5613"/>
      <c r="T5613"/>
      <c r="U5613"/>
      <c r="X5613" s="60"/>
    </row>
    <row r="5614" spans="7:24" ht="15" customHeight="1">
      <c r="G5614"/>
      <c r="I5614"/>
      <c r="N5614"/>
      <c r="O5614" s="24"/>
      <c r="P5614"/>
      <c r="Q5614" s="24"/>
      <c r="R5614"/>
      <c r="S5614"/>
      <c r="T5614"/>
      <c r="U5614"/>
      <c r="X5614" s="60"/>
    </row>
    <row r="5615" spans="7:24" ht="15" customHeight="1">
      <c r="G5615"/>
      <c r="I5615"/>
      <c r="N5615"/>
      <c r="O5615" s="24"/>
      <c r="P5615"/>
      <c r="Q5615" s="24"/>
      <c r="R5615"/>
      <c r="S5615"/>
      <c r="T5615"/>
      <c r="U5615"/>
      <c r="X5615" s="60"/>
    </row>
    <row r="5616" spans="7:24" ht="15" customHeight="1">
      <c r="G5616"/>
      <c r="I5616"/>
      <c r="N5616"/>
      <c r="O5616" s="24"/>
      <c r="P5616"/>
      <c r="Q5616" s="24"/>
      <c r="R5616"/>
      <c r="S5616"/>
      <c r="T5616"/>
      <c r="U5616"/>
      <c r="X5616" s="60"/>
    </row>
    <row r="5617" spans="7:24" ht="15" customHeight="1">
      <c r="G5617"/>
      <c r="I5617"/>
      <c r="N5617"/>
      <c r="O5617" s="24"/>
      <c r="P5617"/>
      <c r="Q5617" s="24"/>
      <c r="R5617"/>
      <c r="S5617"/>
      <c r="T5617"/>
      <c r="U5617"/>
      <c r="X5617" s="60"/>
    </row>
    <row r="5618" spans="7:24" ht="15" customHeight="1">
      <c r="G5618"/>
      <c r="I5618"/>
      <c r="N5618"/>
      <c r="O5618" s="24"/>
      <c r="P5618"/>
      <c r="Q5618" s="24"/>
      <c r="R5618"/>
      <c r="S5618"/>
      <c r="T5618"/>
      <c r="U5618"/>
      <c r="X5618" s="60"/>
    </row>
    <row r="5619" spans="7:24" ht="15" customHeight="1">
      <c r="G5619"/>
      <c r="I5619"/>
      <c r="N5619"/>
      <c r="O5619" s="24"/>
      <c r="P5619"/>
      <c r="Q5619" s="24"/>
      <c r="R5619"/>
      <c r="S5619"/>
      <c r="T5619"/>
      <c r="U5619"/>
      <c r="X5619" s="60"/>
    </row>
    <row r="5620" spans="7:24" ht="15" customHeight="1">
      <c r="G5620"/>
      <c r="I5620"/>
      <c r="N5620"/>
      <c r="O5620" s="24"/>
      <c r="P5620"/>
      <c r="Q5620" s="24"/>
      <c r="R5620"/>
      <c r="S5620"/>
      <c r="T5620"/>
      <c r="U5620"/>
      <c r="X5620" s="60"/>
    </row>
    <row r="5621" spans="7:24" ht="15" customHeight="1">
      <c r="G5621"/>
      <c r="I5621"/>
      <c r="N5621"/>
      <c r="O5621" s="24"/>
      <c r="P5621"/>
      <c r="Q5621" s="24"/>
      <c r="R5621"/>
      <c r="S5621"/>
      <c r="T5621"/>
      <c r="U5621"/>
      <c r="X5621" s="60"/>
    </row>
    <row r="5622" spans="7:24" ht="15" customHeight="1">
      <c r="G5622"/>
      <c r="I5622"/>
      <c r="N5622"/>
      <c r="O5622" s="24"/>
      <c r="P5622"/>
      <c r="Q5622" s="24"/>
      <c r="R5622"/>
      <c r="S5622"/>
      <c r="T5622"/>
      <c r="U5622"/>
      <c r="X5622" s="60"/>
    </row>
    <row r="5623" spans="7:24" ht="15" customHeight="1">
      <c r="G5623"/>
      <c r="I5623"/>
      <c r="N5623"/>
      <c r="O5623" s="24"/>
      <c r="P5623"/>
      <c r="Q5623" s="24"/>
      <c r="R5623"/>
      <c r="S5623"/>
      <c r="T5623"/>
      <c r="U5623"/>
      <c r="X5623" s="60"/>
    </row>
    <row r="5624" spans="7:24" ht="15" customHeight="1">
      <c r="G5624"/>
      <c r="I5624"/>
      <c r="N5624"/>
      <c r="O5624" s="24"/>
      <c r="P5624"/>
      <c r="Q5624" s="24"/>
      <c r="R5624"/>
      <c r="S5624"/>
      <c r="T5624"/>
      <c r="U5624"/>
      <c r="X5624" s="60"/>
    </row>
    <row r="5625" spans="7:24" ht="15" customHeight="1">
      <c r="G5625"/>
      <c r="I5625"/>
      <c r="N5625"/>
      <c r="O5625" s="24"/>
      <c r="P5625"/>
      <c r="Q5625" s="24"/>
      <c r="R5625"/>
      <c r="S5625"/>
      <c r="T5625"/>
      <c r="U5625"/>
      <c r="X5625" s="60"/>
    </row>
    <row r="5626" spans="7:24" ht="15" customHeight="1">
      <c r="G5626"/>
      <c r="I5626"/>
      <c r="N5626"/>
      <c r="O5626" s="24"/>
      <c r="P5626"/>
      <c r="Q5626" s="24"/>
      <c r="R5626"/>
      <c r="S5626"/>
      <c r="T5626"/>
      <c r="U5626"/>
      <c r="X5626" s="60"/>
    </row>
    <row r="5627" spans="7:24" ht="15" customHeight="1">
      <c r="G5627"/>
      <c r="I5627"/>
      <c r="N5627"/>
      <c r="O5627" s="24"/>
      <c r="P5627"/>
      <c r="Q5627" s="24"/>
      <c r="R5627"/>
      <c r="S5627"/>
      <c r="T5627"/>
      <c r="U5627"/>
      <c r="X5627" s="60"/>
    </row>
    <row r="5628" spans="7:24" ht="15" customHeight="1">
      <c r="G5628"/>
      <c r="I5628"/>
      <c r="N5628"/>
      <c r="O5628" s="24"/>
      <c r="P5628"/>
      <c r="Q5628" s="24"/>
      <c r="R5628"/>
      <c r="S5628"/>
      <c r="T5628"/>
      <c r="U5628"/>
      <c r="X5628" s="60"/>
    </row>
    <row r="5629" spans="7:24" ht="15" customHeight="1">
      <c r="G5629"/>
      <c r="I5629"/>
      <c r="N5629"/>
      <c r="O5629" s="24"/>
      <c r="P5629"/>
      <c r="Q5629" s="24"/>
      <c r="R5629"/>
      <c r="S5629"/>
      <c r="T5629"/>
      <c r="U5629"/>
      <c r="X5629" s="60"/>
    </row>
    <row r="5630" spans="7:24" ht="15" customHeight="1">
      <c r="G5630"/>
      <c r="I5630"/>
      <c r="N5630"/>
      <c r="O5630" s="24"/>
      <c r="P5630"/>
      <c r="Q5630" s="24"/>
      <c r="R5630"/>
      <c r="S5630"/>
      <c r="T5630"/>
      <c r="U5630"/>
      <c r="X5630" s="60"/>
    </row>
    <row r="5631" spans="7:24" ht="15" customHeight="1">
      <c r="G5631"/>
      <c r="I5631"/>
      <c r="N5631"/>
      <c r="O5631" s="24"/>
      <c r="P5631"/>
      <c r="Q5631" s="24"/>
      <c r="R5631"/>
      <c r="S5631"/>
      <c r="T5631"/>
      <c r="U5631"/>
      <c r="X5631" s="60"/>
    </row>
    <row r="5632" spans="7:24" ht="15" customHeight="1">
      <c r="G5632"/>
      <c r="I5632"/>
      <c r="N5632"/>
      <c r="O5632" s="24"/>
      <c r="P5632"/>
      <c r="Q5632" s="24"/>
      <c r="R5632"/>
      <c r="S5632"/>
      <c r="T5632"/>
      <c r="U5632"/>
      <c r="X5632" s="60"/>
    </row>
    <row r="5633" spans="7:24" ht="15" customHeight="1">
      <c r="G5633"/>
      <c r="I5633"/>
      <c r="N5633"/>
      <c r="O5633" s="24"/>
      <c r="P5633"/>
      <c r="Q5633" s="24"/>
      <c r="R5633"/>
      <c r="S5633"/>
      <c r="T5633"/>
      <c r="U5633"/>
      <c r="X5633" s="60"/>
    </row>
    <row r="5634" spans="7:24" ht="15" customHeight="1">
      <c r="G5634"/>
      <c r="I5634"/>
      <c r="N5634"/>
      <c r="O5634" s="24"/>
      <c r="P5634"/>
      <c r="Q5634" s="24"/>
      <c r="R5634"/>
      <c r="S5634"/>
      <c r="T5634"/>
      <c r="U5634"/>
      <c r="X5634" s="60"/>
    </row>
    <row r="5635" spans="7:24" ht="15" customHeight="1">
      <c r="G5635"/>
      <c r="I5635"/>
      <c r="N5635"/>
      <c r="O5635" s="24"/>
      <c r="P5635"/>
      <c r="Q5635" s="24"/>
      <c r="R5635"/>
      <c r="S5635"/>
      <c r="T5635"/>
      <c r="U5635"/>
      <c r="X5635" s="60"/>
    </row>
    <row r="5636" spans="7:24" ht="15" customHeight="1">
      <c r="G5636"/>
      <c r="I5636"/>
      <c r="N5636"/>
      <c r="O5636" s="24"/>
      <c r="P5636"/>
      <c r="Q5636" s="24"/>
      <c r="R5636"/>
      <c r="S5636"/>
      <c r="T5636"/>
      <c r="U5636"/>
      <c r="X5636" s="60"/>
    </row>
    <row r="5637" spans="7:24" ht="15" customHeight="1">
      <c r="G5637"/>
      <c r="I5637"/>
      <c r="N5637"/>
      <c r="O5637" s="24"/>
      <c r="P5637"/>
      <c r="Q5637" s="24"/>
      <c r="R5637"/>
      <c r="S5637"/>
      <c r="T5637"/>
      <c r="U5637"/>
      <c r="X5637" s="60"/>
    </row>
    <row r="5638" spans="7:24" ht="15" customHeight="1">
      <c r="G5638"/>
      <c r="I5638"/>
      <c r="N5638"/>
      <c r="O5638" s="24"/>
      <c r="P5638"/>
      <c r="Q5638" s="24"/>
      <c r="R5638"/>
      <c r="S5638"/>
      <c r="T5638"/>
      <c r="U5638"/>
      <c r="X5638" s="60"/>
    </row>
    <row r="5639" spans="7:24" ht="15" customHeight="1">
      <c r="G5639"/>
      <c r="I5639"/>
      <c r="N5639"/>
      <c r="O5639" s="24"/>
      <c r="P5639"/>
      <c r="Q5639" s="24"/>
      <c r="R5639"/>
      <c r="S5639"/>
      <c r="T5639"/>
      <c r="U5639"/>
      <c r="X5639" s="60"/>
    </row>
    <row r="5640" spans="7:24" ht="15" customHeight="1">
      <c r="G5640"/>
      <c r="I5640"/>
      <c r="N5640"/>
      <c r="O5640" s="24"/>
      <c r="P5640"/>
      <c r="Q5640" s="24"/>
      <c r="R5640"/>
      <c r="S5640"/>
      <c r="T5640"/>
      <c r="U5640"/>
      <c r="X5640" s="60"/>
    </row>
    <row r="5641" spans="7:24" ht="15" customHeight="1">
      <c r="G5641"/>
      <c r="I5641"/>
      <c r="N5641"/>
      <c r="O5641" s="24"/>
      <c r="P5641"/>
      <c r="Q5641" s="24"/>
      <c r="R5641"/>
      <c r="S5641"/>
      <c r="T5641"/>
      <c r="U5641"/>
      <c r="X5641" s="60"/>
    </row>
    <row r="5642" spans="7:24" ht="15" customHeight="1">
      <c r="G5642"/>
      <c r="I5642"/>
      <c r="N5642"/>
      <c r="O5642" s="24"/>
      <c r="P5642"/>
      <c r="Q5642" s="24"/>
      <c r="R5642"/>
      <c r="S5642"/>
      <c r="T5642"/>
      <c r="U5642"/>
      <c r="X5642" s="60"/>
    </row>
    <row r="5643" spans="7:24" ht="15" customHeight="1">
      <c r="G5643"/>
      <c r="I5643"/>
      <c r="N5643"/>
      <c r="O5643" s="24"/>
      <c r="P5643"/>
      <c r="Q5643" s="24"/>
      <c r="R5643"/>
      <c r="S5643"/>
      <c r="T5643"/>
      <c r="U5643"/>
      <c r="X5643" s="60"/>
    </row>
    <row r="5644" spans="7:24" ht="15" customHeight="1">
      <c r="G5644"/>
      <c r="I5644"/>
      <c r="N5644"/>
      <c r="O5644" s="24"/>
      <c r="P5644"/>
      <c r="Q5644" s="24"/>
      <c r="R5644"/>
      <c r="S5644"/>
      <c r="T5644"/>
      <c r="U5644"/>
      <c r="X5644" s="60"/>
    </row>
    <row r="5645" spans="7:24" ht="15" customHeight="1">
      <c r="G5645"/>
      <c r="I5645"/>
      <c r="N5645"/>
      <c r="O5645" s="24"/>
      <c r="P5645"/>
      <c r="Q5645" s="24"/>
      <c r="R5645"/>
      <c r="S5645"/>
      <c r="T5645"/>
      <c r="U5645"/>
      <c r="X5645" s="60"/>
    </row>
    <row r="5646" spans="7:24" ht="15" customHeight="1">
      <c r="G5646"/>
      <c r="I5646"/>
      <c r="N5646"/>
      <c r="O5646" s="24"/>
      <c r="P5646"/>
      <c r="Q5646" s="24"/>
      <c r="R5646"/>
      <c r="S5646"/>
      <c r="T5646"/>
      <c r="U5646"/>
      <c r="X5646" s="60"/>
    </row>
    <row r="5647" spans="7:24" ht="15" customHeight="1">
      <c r="G5647"/>
      <c r="I5647"/>
      <c r="N5647"/>
      <c r="O5647" s="24"/>
      <c r="P5647"/>
      <c r="Q5647" s="24"/>
      <c r="R5647"/>
      <c r="S5647"/>
      <c r="T5647"/>
      <c r="U5647"/>
      <c r="X5647" s="60"/>
    </row>
    <row r="5648" spans="7:24" ht="15" customHeight="1">
      <c r="G5648"/>
      <c r="I5648"/>
      <c r="N5648"/>
      <c r="O5648" s="24"/>
      <c r="P5648"/>
      <c r="Q5648" s="24"/>
      <c r="R5648"/>
      <c r="S5648"/>
      <c r="T5648"/>
      <c r="U5648"/>
      <c r="X5648" s="60"/>
    </row>
    <row r="5649" spans="7:24" ht="15" customHeight="1">
      <c r="G5649"/>
      <c r="I5649"/>
      <c r="N5649"/>
      <c r="O5649" s="24"/>
      <c r="P5649"/>
      <c r="Q5649" s="24"/>
      <c r="R5649"/>
      <c r="S5649"/>
      <c r="T5649"/>
      <c r="U5649"/>
      <c r="X5649" s="60"/>
    </row>
    <row r="5650" spans="7:24" ht="15" customHeight="1">
      <c r="G5650"/>
      <c r="I5650"/>
      <c r="N5650"/>
      <c r="O5650" s="24"/>
      <c r="P5650"/>
      <c r="Q5650" s="24"/>
      <c r="R5650"/>
      <c r="S5650"/>
      <c r="T5650"/>
      <c r="U5650"/>
      <c r="X5650" s="60"/>
    </row>
    <row r="5651" spans="7:24" ht="15" customHeight="1">
      <c r="G5651"/>
      <c r="I5651"/>
      <c r="N5651"/>
      <c r="O5651" s="24"/>
      <c r="P5651"/>
      <c r="Q5651" s="24"/>
      <c r="R5651"/>
      <c r="S5651"/>
      <c r="T5651"/>
      <c r="U5651"/>
      <c r="X5651" s="60"/>
    </row>
    <row r="5652" spans="7:24" ht="15" customHeight="1">
      <c r="G5652"/>
      <c r="I5652"/>
      <c r="N5652"/>
      <c r="O5652" s="24"/>
      <c r="P5652"/>
      <c r="Q5652" s="24"/>
      <c r="R5652"/>
      <c r="S5652"/>
      <c r="T5652"/>
      <c r="U5652"/>
      <c r="X5652" s="60"/>
    </row>
    <row r="5653" spans="7:24" ht="15" customHeight="1">
      <c r="G5653"/>
      <c r="I5653"/>
      <c r="N5653"/>
      <c r="O5653" s="24"/>
      <c r="P5653"/>
      <c r="Q5653" s="24"/>
      <c r="R5653"/>
      <c r="S5653"/>
      <c r="T5653"/>
      <c r="U5653"/>
      <c r="X5653" s="60"/>
    </row>
    <row r="5654" spans="7:24" ht="15" customHeight="1">
      <c r="G5654"/>
      <c r="I5654"/>
      <c r="N5654"/>
      <c r="O5654" s="24"/>
      <c r="P5654"/>
      <c r="Q5654" s="24"/>
      <c r="R5654"/>
      <c r="S5654"/>
      <c r="T5654"/>
      <c r="U5654"/>
      <c r="X5654" s="60"/>
    </row>
    <row r="5655" spans="7:24" ht="15" customHeight="1">
      <c r="G5655"/>
      <c r="I5655"/>
      <c r="N5655"/>
      <c r="O5655" s="24"/>
      <c r="P5655"/>
      <c r="Q5655" s="24"/>
      <c r="R5655"/>
      <c r="S5655"/>
      <c r="T5655"/>
      <c r="U5655"/>
      <c r="X5655" s="60"/>
    </row>
    <row r="5656" spans="7:24" ht="15" customHeight="1">
      <c r="G5656"/>
      <c r="I5656"/>
      <c r="N5656"/>
      <c r="O5656" s="24"/>
      <c r="P5656"/>
      <c r="Q5656" s="24"/>
      <c r="R5656"/>
      <c r="S5656"/>
      <c r="T5656"/>
      <c r="U5656"/>
      <c r="X5656" s="60"/>
    </row>
    <row r="5657" spans="7:24" ht="15" customHeight="1">
      <c r="G5657"/>
      <c r="I5657"/>
      <c r="N5657"/>
      <c r="O5657" s="24"/>
      <c r="P5657"/>
      <c r="Q5657" s="24"/>
      <c r="R5657"/>
      <c r="S5657"/>
      <c r="T5657"/>
      <c r="U5657"/>
      <c r="X5657" s="60"/>
    </row>
    <row r="5658" spans="7:24" ht="15" customHeight="1">
      <c r="G5658"/>
      <c r="I5658"/>
      <c r="N5658"/>
      <c r="O5658" s="24"/>
      <c r="P5658"/>
      <c r="Q5658" s="24"/>
      <c r="R5658"/>
      <c r="S5658"/>
      <c r="T5658"/>
      <c r="U5658"/>
      <c r="X5658" s="60"/>
    </row>
    <row r="5659" spans="7:24" ht="15" customHeight="1">
      <c r="G5659"/>
      <c r="I5659"/>
      <c r="N5659"/>
      <c r="O5659" s="24"/>
      <c r="P5659"/>
      <c r="Q5659" s="24"/>
      <c r="R5659"/>
      <c r="S5659"/>
      <c r="T5659"/>
      <c r="U5659"/>
      <c r="X5659" s="60"/>
    </row>
    <row r="5660" spans="7:24" ht="15" customHeight="1">
      <c r="G5660"/>
      <c r="I5660"/>
      <c r="N5660"/>
      <c r="O5660" s="24"/>
      <c r="P5660"/>
      <c r="Q5660" s="24"/>
      <c r="R5660"/>
      <c r="S5660"/>
      <c r="T5660"/>
      <c r="U5660"/>
      <c r="X5660" s="60"/>
    </row>
    <row r="5661" spans="7:24" ht="15" customHeight="1">
      <c r="G5661"/>
      <c r="I5661"/>
      <c r="N5661"/>
      <c r="O5661" s="24"/>
      <c r="P5661"/>
      <c r="Q5661" s="24"/>
      <c r="R5661"/>
      <c r="S5661"/>
      <c r="T5661"/>
      <c r="U5661"/>
      <c r="X5661" s="60"/>
    </row>
    <row r="5662" spans="7:24" ht="15" customHeight="1">
      <c r="G5662"/>
      <c r="I5662"/>
      <c r="N5662"/>
      <c r="O5662" s="24"/>
      <c r="P5662"/>
      <c r="Q5662" s="24"/>
      <c r="R5662"/>
      <c r="S5662"/>
      <c r="T5662"/>
      <c r="U5662"/>
      <c r="X5662" s="60"/>
    </row>
    <row r="5663" spans="7:24" ht="15" customHeight="1">
      <c r="G5663"/>
      <c r="I5663"/>
      <c r="N5663"/>
      <c r="O5663" s="24"/>
      <c r="P5663"/>
      <c r="Q5663" s="24"/>
      <c r="R5663"/>
      <c r="S5663"/>
      <c r="T5663"/>
      <c r="U5663"/>
      <c r="X5663" s="60"/>
    </row>
    <row r="5664" spans="7:24" ht="15" customHeight="1">
      <c r="G5664"/>
      <c r="I5664"/>
      <c r="N5664"/>
      <c r="O5664" s="24"/>
      <c r="P5664"/>
      <c r="Q5664" s="24"/>
      <c r="R5664"/>
      <c r="S5664"/>
      <c r="T5664"/>
      <c r="U5664"/>
      <c r="X5664" s="60"/>
    </row>
    <row r="5665" spans="7:24" ht="15" customHeight="1">
      <c r="G5665"/>
      <c r="I5665"/>
      <c r="N5665"/>
      <c r="O5665" s="24"/>
      <c r="P5665"/>
      <c r="Q5665" s="24"/>
      <c r="R5665"/>
      <c r="S5665"/>
      <c r="T5665"/>
      <c r="U5665"/>
      <c r="X5665" s="60"/>
    </row>
    <row r="5666" spans="7:24" ht="15" customHeight="1">
      <c r="G5666"/>
      <c r="I5666"/>
      <c r="N5666"/>
      <c r="O5666" s="24"/>
      <c r="P5666"/>
      <c r="Q5666" s="24"/>
      <c r="R5666"/>
      <c r="S5666"/>
      <c r="T5666"/>
      <c r="U5666"/>
      <c r="X5666" s="60"/>
    </row>
    <row r="5667" spans="7:24" ht="15" customHeight="1">
      <c r="G5667"/>
      <c r="I5667"/>
      <c r="N5667"/>
      <c r="O5667" s="24"/>
      <c r="P5667"/>
      <c r="Q5667" s="24"/>
      <c r="R5667"/>
      <c r="S5667"/>
      <c r="T5667"/>
      <c r="U5667"/>
      <c r="X5667" s="60"/>
    </row>
    <row r="5668" spans="7:24" ht="15" customHeight="1">
      <c r="G5668"/>
      <c r="I5668"/>
      <c r="N5668"/>
      <c r="O5668" s="24"/>
      <c r="P5668"/>
      <c r="Q5668" s="24"/>
      <c r="R5668"/>
      <c r="S5668"/>
      <c r="T5668"/>
      <c r="U5668"/>
      <c r="X5668" s="60"/>
    </row>
    <row r="5669" spans="7:24" ht="15" customHeight="1">
      <c r="G5669"/>
      <c r="I5669"/>
      <c r="N5669"/>
      <c r="O5669" s="24"/>
      <c r="P5669"/>
      <c r="Q5669" s="24"/>
      <c r="R5669"/>
      <c r="S5669"/>
      <c r="T5669"/>
      <c r="U5669"/>
      <c r="X5669" s="60"/>
    </row>
    <row r="5670" spans="7:24" ht="15" customHeight="1">
      <c r="G5670"/>
      <c r="I5670"/>
      <c r="N5670"/>
      <c r="O5670" s="24"/>
      <c r="P5670"/>
      <c r="Q5670" s="24"/>
      <c r="R5670"/>
      <c r="S5670"/>
      <c r="T5670"/>
      <c r="U5670"/>
      <c r="X5670" s="60"/>
    </row>
    <row r="5671" spans="7:24" ht="15" customHeight="1">
      <c r="G5671"/>
      <c r="I5671"/>
      <c r="N5671"/>
      <c r="O5671" s="24"/>
      <c r="P5671"/>
      <c r="Q5671" s="24"/>
      <c r="R5671"/>
      <c r="S5671"/>
      <c r="T5671"/>
      <c r="U5671"/>
      <c r="X5671" s="60"/>
    </row>
    <row r="5672" spans="7:24" ht="15" customHeight="1">
      <c r="G5672"/>
      <c r="I5672"/>
      <c r="N5672"/>
      <c r="O5672" s="24"/>
      <c r="P5672"/>
      <c r="Q5672" s="24"/>
      <c r="R5672"/>
      <c r="S5672"/>
      <c r="T5672"/>
      <c r="U5672"/>
      <c r="X5672" s="60"/>
    </row>
    <row r="5673" spans="7:24" ht="15" customHeight="1">
      <c r="G5673"/>
      <c r="I5673"/>
      <c r="N5673"/>
      <c r="O5673" s="24"/>
      <c r="P5673"/>
      <c r="Q5673" s="24"/>
      <c r="R5673"/>
      <c r="S5673"/>
      <c r="T5673"/>
      <c r="U5673"/>
      <c r="X5673" s="60"/>
    </row>
    <row r="5674" spans="7:24" ht="15" customHeight="1">
      <c r="G5674"/>
      <c r="I5674"/>
      <c r="N5674"/>
      <c r="O5674" s="24"/>
      <c r="P5674"/>
      <c r="Q5674" s="24"/>
      <c r="R5674"/>
      <c r="S5674"/>
      <c r="T5674"/>
      <c r="U5674"/>
      <c r="X5674" s="60"/>
    </row>
    <row r="5675" spans="7:24" ht="15" customHeight="1">
      <c r="G5675"/>
      <c r="I5675"/>
      <c r="N5675"/>
      <c r="O5675" s="24"/>
      <c r="P5675"/>
      <c r="Q5675" s="24"/>
      <c r="R5675"/>
      <c r="S5675"/>
      <c r="T5675"/>
      <c r="U5675"/>
      <c r="X5675" s="60"/>
    </row>
    <row r="5676" spans="7:24" ht="15" customHeight="1">
      <c r="G5676"/>
      <c r="I5676"/>
      <c r="N5676"/>
      <c r="O5676" s="24"/>
      <c r="P5676"/>
      <c r="Q5676" s="24"/>
      <c r="R5676"/>
      <c r="S5676"/>
      <c r="T5676"/>
      <c r="U5676"/>
      <c r="X5676" s="60"/>
    </row>
    <row r="5677" spans="7:24" ht="15" customHeight="1">
      <c r="G5677"/>
      <c r="I5677"/>
      <c r="N5677"/>
      <c r="O5677" s="24"/>
      <c r="P5677"/>
      <c r="Q5677" s="24"/>
      <c r="R5677"/>
      <c r="S5677"/>
      <c r="T5677"/>
      <c r="U5677"/>
      <c r="X5677" s="60"/>
    </row>
    <row r="5678" spans="7:24" ht="15" customHeight="1">
      <c r="G5678"/>
      <c r="I5678"/>
      <c r="N5678"/>
      <c r="O5678" s="24"/>
      <c r="P5678"/>
      <c r="Q5678" s="24"/>
      <c r="R5678"/>
      <c r="S5678"/>
      <c r="T5678"/>
      <c r="U5678"/>
      <c r="X5678" s="60"/>
    </row>
    <row r="5679" spans="7:24" ht="15" customHeight="1">
      <c r="G5679"/>
      <c r="I5679"/>
      <c r="N5679"/>
      <c r="O5679" s="24"/>
      <c r="P5679"/>
      <c r="Q5679" s="24"/>
      <c r="R5679"/>
      <c r="S5679"/>
      <c r="T5679"/>
      <c r="U5679"/>
      <c r="X5679" s="60"/>
    </row>
    <row r="5680" spans="7:24" ht="15" customHeight="1">
      <c r="G5680"/>
      <c r="I5680"/>
      <c r="N5680"/>
      <c r="O5680" s="24"/>
      <c r="P5680"/>
      <c r="Q5680" s="24"/>
      <c r="R5680"/>
      <c r="S5680"/>
      <c r="T5680"/>
      <c r="U5680"/>
      <c r="X5680" s="60"/>
    </row>
    <row r="5681" spans="7:24" ht="15" customHeight="1">
      <c r="G5681"/>
      <c r="I5681"/>
      <c r="N5681"/>
      <c r="O5681" s="24"/>
      <c r="P5681"/>
      <c r="Q5681" s="24"/>
      <c r="R5681"/>
      <c r="S5681"/>
      <c r="T5681"/>
      <c r="U5681"/>
      <c r="X5681" s="60"/>
    </row>
    <row r="5682" spans="7:24" ht="15" customHeight="1">
      <c r="G5682"/>
      <c r="I5682"/>
      <c r="N5682"/>
      <c r="O5682" s="24"/>
      <c r="P5682"/>
      <c r="Q5682" s="24"/>
      <c r="R5682"/>
      <c r="S5682"/>
      <c r="T5682"/>
      <c r="U5682"/>
      <c r="X5682" s="60"/>
    </row>
    <row r="5683" spans="7:24" ht="15" customHeight="1">
      <c r="G5683"/>
      <c r="I5683"/>
      <c r="N5683"/>
      <c r="O5683" s="24"/>
      <c r="P5683"/>
      <c r="Q5683" s="24"/>
      <c r="R5683"/>
      <c r="S5683"/>
      <c r="T5683"/>
      <c r="U5683"/>
      <c r="X5683" s="60"/>
    </row>
    <row r="5684" spans="7:24" ht="15" customHeight="1">
      <c r="G5684"/>
      <c r="I5684"/>
      <c r="N5684"/>
      <c r="O5684" s="24"/>
      <c r="P5684"/>
      <c r="Q5684" s="24"/>
      <c r="R5684"/>
      <c r="S5684"/>
      <c r="T5684"/>
      <c r="U5684"/>
      <c r="X5684" s="60"/>
    </row>
    <row r="5685" spans="7:24" ht="15" customHeight="1">
      <c r="G5685"/>
      <c r="I5685"/>
      <c r="N5685"/>
      <c r="O5685" s="24"/>
      <c r="P5685"/>
      <c r="Q5685" s="24"/>
      <c r="R5685"/>
      <c r="S5685"/>
      <c r="T5685"/>
      <c r="U5685"/>
      <c r="X5685" s="60"/>
    </row>
    <row r="5686" spans="7:24" ht="15" customHeight="1">
      <c r="G5686"/>
      <c r="I5686"/>
      <c r="N5686"/>
      <c r="O5686" s="24"/>
      <c r="P5686"/>
      <c r="Q5686" s="24"/>
      <c r="R5686"/>
      <c r="S5686"/>
      <c r="T5686"/>
      <c r="U5686"/>
      <c r="X5686" s="60"/>
    </row>
    <row r="5687" spans="7:24" ht="15" customHeight="1">
      <c r="G5687"/>
      <c r="I5687"/>
      <c r="N5687"/>
      <c r="O5687" s="24"/>
      <c r="P5687"/>
      <c r="Q5687" s="24"/>
      <c r="R5687"/>
      <c r="S5687"/>
      <c r="T5687"/>
      <c r="U5687"/>
      <c r="X5687" s="60"/>
    </row>
    <row r="5688" spans="7:24" ht="15" customHeight="1">
      <c r="G5688"/>
      <c r="I5688"/>
      <c r="N5688"/>
      <c r="O5688" s="24"/>
      <c r="P5688"/>
      <c r="Q5688" s="24"/>
      <c r="R5688"/>
      <c r="S5688"/>
      <c r="T5688"/>
      <c r="U5688"/>
      <c r="X5688" s="60"/>
    </row>
    <row r="5689" spans="7:24" ht="15" customHeight="1">
      <c r="G5689"/>
      <c r="I5689"/>
      <c r="N5689"/>
      <c r="O5689" s="24"/>
      <c r="P5689"/>
      <c r="Q5689" s="24"/>
      <c r="R5689"/>
      <c r="S5689"/>
      <c r="T5689"/>
      <c r="U5689"/>
      <c r="X5689" s="60"/>
    </row>
    <row r="5690" spans="7:24" ht="15" customHeight="1">
      <c r="G5690"/>
      <c r="I5690"/>
      <c r="N5690"/>
      <c r="O5690" s="24"/>
      <c r="P5690"/>
      <c r="Q5690" s="24"/>
      <c r="R5690"/>
      <c r="S5690"/>
      <c r="T5690"/>
      <c r="U5690"/>
      <c r="X5690" s="60"/>
    </row>
    <row r="5691" spans="7:24" ht="15" customHeight="1">
      <c r="G5691"/>
      <c r="I5691"/>
      <c r="N5691"/>
      <c r="O5691" s="24"/>
      <c r="P5691"/>
      <c r="Q5691" s="24"/>
      <c r="R5691"/>
      <c r="S5691"/>
      <c r="T5691"/>
      <c r="U5691"/>
      <c r="X5691" s="60"/>
    </row>
    <row r="5692" spans="7:24" ht="15" customHeight="1">
      <c r="G5692"/>
      <c r="I5692"/>
      <c r="N5692"/>
      <c r="O5692" s="24"/>
      <c r="P5692"/>
      <c r="Q5692" s="24"/>
      <c r="R5692"/>
      <c r="S5692"/>
      <c r="T5692"/>
      <c r="U5692"/>
      <c r="X5692" s="60"/>
    </row>
    <row r="5693" spans="7:24" ht="15" customHeight="1">
      <c r="G5693"/>
      <c r="I5693"/>
      <c r="N5693"/>
      <c r="O5693" s="24"/>
      <c r="P5693"/>
      <c r="Q5693" s="24"/>
      <c r="R5693"/>
      <c r="S5693"/>
      <c r="T5693"/>
      <c r="U5693"/>
      <c r="X5693" s="60"/>
    </row>
    <row r="5694" spans="7:24" ht="15" customHeight="1">
      <c r="G5694"/>
      <c r="I5694"/>
      <c r="N5694"/>
      <c r="O5694" s="24"/>
      <c r="P5694"/>
      <c r="Q5694" s="24"/>
      <c r="R5694"/>
      <c r="S5694"/>
      <c r="T5694"/>
      <c r="U5694"/>
      <c r="X5694" s="60"/>
    </row>
    <row r="5695" spans="7:24" ht="15" customHeight="1">
      <c r="G5695"/>
      <c r="I5695"/>
      <c r="N5695"/>
      <c r="O5695" s="24"/>
      <c r="P5695"/>
      <c r="Q5695" s="24"/>
      <c r="R5695"/>
      <c r="S5695"/>
      <c r="T5695"/>
      <c r="U5695"/>
      <c r="X5695" s="60"/>
    </row>
    <row r="5696" spans="7:24" ht="15" customHeight="1">
      <c r="G5696"/>
      <c r="I5696"/>
      <c r="N5696"/>
      <c r="O5696" s="24"/>
      <c r="P5696"/>
      <c r="Q5696" s="24"/>
      <c r="R5696"/>
      <c r="S5696"/>
      <c r="T5696"/>
      <c r="U5696"/>
      <c r="X5696" s="60"/>
    </row>
    <row r="5697" spans="7:24" ht="15" customHeight="1">
      <c r="G5697"/>
      <c r="I5697"/>
      <c r="N5697"/>
      <c r="O5697" s="24"/>
      <c r="P5697"/>
      <c r="Q5697" s="24"/>
      <c r="R5697"/>
      <c r="S5697"/>
      <c r="T5697"/>
      <c r="U5697"/>
      <c r="X5697" s="60"/>
    </row>
    <row r="5698" spans="7:24" ht="15" customHeight="1">
      <c r="G5698"/>
      <c r="I5698"/>
      <c r="N5698"/>
      <c r="O5698" s="24"/>
      <c r="P5698"/>
      <c r="Q5698" s="24"/>
      <c r="R5698"/>
      <c r="S5698"/>
      <c r="T5698"/>
      <c r="U5698"/>
      <c r="X5698" s="60"/>
    </row>
    <row r="5699" spans="7:24" ht="15" customHeight="1">
      <c r="G5699"/>
      <c r="I5699"/>
      <c r="N5699"/>
      <c r="O5699" s="24"/>
      <c r="P5699"/>
      <c r="Q5699" s="24"/>
      <c r="R5699"/>
      <c r="S5699"/>
      <c r="T5699"/>
      <c r="U5699"/>
      <c r="X5699" s="60"/>
    </row>
    <row r="5700" spans="7:24" ht="15" customHeight="1">
      <c r="G5700"/>
      <c r="I5700"/>
      <c r="N5700"/>
      <c r="O5700" s="24"/>
      <c r="P5700"/>
      <c r="Q5700" s="24"/>
      <c r="R5700"/>
      <c r="S5700"/>
      <c r="T5700"/>
      <c r="U5700"/>
      <c r="X5700" s="60"/>
    </row>
    <row r="5701" spans="7:24" ht="15" customHeight="1">
      <c r="G5701"/>
      <c r="I5701"/>
      <c r="N5701"/>
      <c r="O5701" s="24"/>
      <c r="P5701"/>
      <c r="Q5701" s="24"/>
      <c r="R5701"/>
      <c r="S5701"/>
      <c r="T5701"/>
      <c r="U5701"/>
      <c r="X5701" s="60"/>
    </row>
    <row r="5702" spans="7:24" ht="15" customHeight="1">
      <c r="G5702"/>
      <c r="I5702"/>
      <c r="N5702"/>
      <c r="O5702" s="24"/>
      <c r="P5702"/>
      <c r="Q5702" s="24"/>
      <c r="R5702"/>
      <c r="S5702"/>
      <c r="T5702"/>
      <c r="U5702"/>
      <c r="X5702" s="60"/>
    </row>
    <row r="5703" spans="7:24" ht="15" customHeight="1">
      <c r="G5703"/>
      <c r="I5703"/>
      <c r="N5703"/>
      <c r="O5703" s="24"/>
      <c r="P5703"/>
      <c r="Q5703" s="24"/>
      <c r="R5703"/>
      <c r="S5703"/>
      <c r="T5703"/>
      <c r="U5703"/>
      <c r="X5703" s="60"/>
    </row>
    <row r="5704" spans="7:24" ht="15" customHeight="1">
      <c r="G5704"/>
      <c r="I5704"/>
      <c r="N5704"/>
      <c r="O5704" s="24"/>
      <c r="P5704"/>
      <c r="Q5704" s="24"/>
      <c r="R5704"/>
      <c r="S5704"/>
      <c r="T5704"/>
      <c r="U5704"/>
      <c r="X5704" s="60"/>
    </row>
    <row r="5705" spans="7:24" ht="15" customHeight="1">
      <c r="G5705"/>
      <c r="I5705"/>
      <c r="N5705"/>
      <c r="O5705" s="24"/>
      <c r="P5705"/>
      <c r="Q5705" s="24"/>
      <c r="R5705"/>
      <c r="S5705"/>
      <c r="T5705"/>
      <c r="U5705"/>
      <c r="X5705" s="60"/>
    </row>
    <row r="5706" spans="7:24" ht="15" customHeight="1">
      <c r="G5706"/>
      <c r="I5706"/>
      <c r="N5706"/>
      <c r="O5706" s="24"/>
      <c r="P5706"/>
      <c r="Q5706" s="24"/>
      <c r="R5706"/>
      <c r="S5706"/>
      <c r="T5706"/>
      <c r="U5706"/>
      <c r="X5706" s="60"/>
    </row>
    <row r="5707" spans="7:24" ht="15" customHeight="1">
      <c r="G5707"/>
      <c r="I5707"/>
      <c r="N5707"/>
      <c r="O5707" s="24"/>
      <c r="P5707"/>
      <c r="Q5707" s="24"/>
      <c r="R5707"/>
      <c r="S5707"/>
      <c r="T5707"/>
      <c r="U5707"/>
      <c r="X5707" s="60"/>
    </row>
    <row r="5708" spans="7:24" ht="15" customHeight="1">
      <c r="G5708"/>
      <c r="I5708"/>
      <c r="N5708"/>
      <c r="O5708" s="24"/>
      <c r="P5708"/>
      <c r="Q5708" s="24"/>
      <c r="R5708"/>
      <c r="S5708"/>
      <c r="T5708"/>
      <c r="U5708"/>
      <c r="X5708" s="60"/>
    </row>
    <row r="5709" spans="7:24" ht="15" customHeight="1">
      <c r="G5709"/>
      <c r="I5709"/>
      <c r="N5709"/>
      <c r="O5709" s="24"/>
      <c r="P5709"/>
      <c r="Q5709" s="24"/>
      <c r="R5709"/>
      <c r="S5709"/>
      <c r="T5709"/>
      <c r="U5709"/>
      <c r="X5709" s="60"/>
    </row>
    <row r="5710" spans="7:24" ht="15" customHeight="1">
      <c r="G5710"/>
      <c r="I5710"/>
      <c r="N5710"/>
      <c r="O5710" s="24"/>
      <c r="P5710"/>
      <c r="Q5710" s="24"/>
      <c r="R5710"/>
      <c r="S5710"/>
      <c r="T5710"/>
      <c r="U5710"/>
      <c r="X5710" s="60"/>
    </row>
    <row r="5711" spans="7:24" ht="15" customHeight="1">
      <c r="G5711"/>
      <c r="I5711"/>
      <c r="N5711"/>
      <c r="O5711" s="24"/>
      <c r="P5711"/>
      <c r="Q5711" s="24"/>
      <c r="R5711"/>
      <c r="S5711"/>
      <c r="T5711"/>
      <c r="U5711"/>
      <c r="X5711" s="60"/>
    </row>
    <row r="5712" spans="7:24" ht="15" customHeight="1">
      <c r="G5712"/>
      <c r="I5712"/>
      <c r="N5712"/>
      <c r="O5712" s="24"/>
      <c r="P5712"/>
      <c r="Q5712" s="24"/>
      <c r="R5712"/>
      <c r="S5712"/>
      <c r="T5712"/>
      <c r="U5712"/>
      <c r="X5712" s="60"/>
    </row>
    <row r="5713" spans="7:24" ht="15" customHeight="1">
      <c r="G5713"/>
      <c r="I5713"/>
      <c r="N5713"/>
      <c r="O5713" s="24"/>
      <c r="P5713"/>
      <c r="Q5713" s="24"/>
      <c r="R5713"/>
      <c r="S5713"/>
      <c r="T5713"/>
      <c r="U5713"/>
      <c r="X5713" s="60"/>
    </row>
    <row r="5714" spans="7:24" ht="15" customHeight="1">
      <c r="G5714"/>
      <c r="I5714"/>
      <c r="N5714"/>
      <c r="O5714" s="24"/>
      <c r="P5714"/>
      <c r="Q5714" s="24"/>
      <c r="R5714"/>
      <c r="S5714"/>
      <c r="T5714"/>
      <c r="U5714"/>
      <c r="X5714" s="60"/>
    </row>
    <row r="5715" spans="7:24" ht="15" customHeight="1">
      <c r="G5715"/>
      <c r="I5715"/>
      <c r="N5715"/>
      <c r="O5715" s="24"/>
      <c r="P5715"/>
      <c r="Q5715" s="24"/>
      <c r="R5715"/>
      <c r="S5715"/>
      <c r="T5715"/>
      <c r="U5715"/>
      <c r="X5715" s="60"/>
    </row>
    <row r="5716" spans="7:24" ht="15" customHeight="1">
      <c r="G5716"/>
      <c r="I5716"/>
      <c r="N5716"/>
      <c r="O5716" s="24"/>
      <c r="P5716"/>
      <c r="Q5716" s="24"/>
      <c r="R5716"/>
      <c r="S5716"/>
      <c r="T5716"/>
      <c r="U5716"/>
      <c r="X5716" s="60"/>
    </row>
    <row r="5717" spans="7:24" ht="15" customHeight="1">
      <c r="G5717"/>
      <c r="I5717"/>
      <c r="N5717"/>
      <c r="O5717" s="24"/>
      <c r="P5717"/>
      <c r="Q5717" s="24"/>
      <c r="R5717"/>
      <c r="S5717"/>
      <c r="T5717"/>
      <c r="U5717"/>
      <c r="X5717" s="60"/>
    </row>
    <row r="5718" spans="7:24" ht="15" customHeight="1">
      <c r="G5718"/>
      <c r="I5718"/>
      <c r="N5718"/>
      <c r="O5718" s="24"/>
      <c r="P5718"/>
      <c r="Q5718" s="24"/>
      <c r="R5718"/>
      <c r="S5718"/>
      <c r="T5718"/>
      <c r="U5718"/>
      <c r="X5718" s="60"/>
    </row>
    <row r="5719" spans="7:24" ht="15" customHeight="1">
      <c r="G5719"/>
      <c r="I5719"/>
      <c r="N5719"/>
      <c r="O5719" s="24"/>
      <c r="P5719"/>
      <c r="Q5719" s="24"/>
      <c r="R5719"/>
      <c r="S5719"/>
      <c r="T5719"/>
      <c r="U5719"/>
      <c r="X5719" s="60"/>
    </row>
    <row r="5720" spans="7:24" ht="15" customHeight="1">
      <c r="G5720"/>
      <c r="I5720"/>
      <c r="N5720"/>
      <c r="O5720" s="24"/>
      <c r="P5720"/>
      <c r="Q5720" s="24"/>
      <c r="R5720"/>
      <c r="S5720"/>
      <c r="T5720"/>
      <c r="U5720"/>
      <c r="X5720" s="60"/>
    </row>
    <row r="5721" spans="7:24" ht="15" customHeight="1">
      <c r="G5721"/>
      <c r="I5721"/>
      <c r="N5721"/>
      <c r="O5721" s="24"/>
      <c r="P5721"/>
      <c r="Q5721" s="24"/>
      <c r="R5721"/>
      <c r="S5721"/>
      <c r="T5721"/>
      <c r="U5721"/>
      <c r="X5721" s="60"/>
    </row>
    <row r="5722" spans="7:24" ht="15" customHeight="1">
      <c r="G5722"/>
      <c r="I5722"/>
      <c r="N5722"/>
      <c r="O5722" s="24"/>
      <c r="P5722"/>
      <c r="Q5722" s="24"/>
      <c r="R5722"/>
      <c r="S5722"/>
      <c r="T5722"/>
      <c r="U5722"/>
      <c r="X5722" s="60"/>
    </row>
    <row r="5723" spans="7:24" ht="15" customHeight="1">
      <c r="G5723"/>
      <c r="I5723"/>
      <c r="N5723"/>
      <c r="O5723" s="24"/>
      <c r="P5723"/>
      <c r="Q5723" s="24"/>
      <c r="R5723"/>
      <c r="S5723"/>
      <c r="T5723"/>
      <c r="U5723"/>
      <c r="X5723" s="60"/>
    </row>
    <row r="5724" spans="7:24" ht="15" customHeight="1">
      <c r="G5724"/>
      <c r="I5724"/>
      <c r="N5724"/>
      <c r="O5724" s="24"/>
      <c r="P5724"/>
      <c r="Q5724" s="24"/>
      <c r="R5724"/>
      <c r="S5724"/>
      <c r="T5724"/>
      <c r="U5724"/>
      <c r="X5724" s="60"/>
    </row>
    <row r="5725" spans="7:24" ht="15" customHeight="1">
      <c r="G5725"/>
      <c r="I5725"/>
      <c r="N5725"/>
      <c r="O5725" s="24"/>
      <c r="P5725"/>
      <c r="Q5725" s="24"/>
      <c r="R5725"/>
      <c r="S5725"/>
      <c r="T5725"/>
      <c r="U5725"/>
      <c r="X5725" s="60"/>
    </row>
    <row r="5726" spans="7:24" ht="15" customHeight="1">
      <c r="G5726"/>
      <c r="I5726"/>
      <c r="N5726"/>
      <c r="O5726" s="24"/>
      <c r="P5726"/>
      <c r="Q5726" s="24"/>
      <c r="R5726"/>
      <c r="S5726"/>
      <c r="T5726"/>
      <c r="U5726"/>
      <c r="X5726" s="60"/>
    </row>
    <row r="5727" spans="7:24" ht="15" customHeight="1">
      <c r="G5727"/>
      <c r="I5727"/>
      <c r="N5727"/>
      <c r="O5727" s="24"/>
      <c r="P5727"/>
      <c r="Q5727" s="24"/>
      <c r="R5727"/>
      <c r="S5727"/>
      <c r="T5727"/>
      <c r="U5727"/>
      <c r="X5727" s="60"/>
    </row>
    <row r="5728" spans="7:24" ht="15" customHeight="1">
      <c r="G5728"/>
      <c r="I5728"/>
      <c r="N5728"/>
      <c r="O5728" s="24"/>
      <c r="P5728"/>
      <c r="Q5728" s="24"/>
      <c r="R5728"/>
      <c r="S5728"/>
      <c r="T5728"/>
      <c r="U5728"/>
      <c r="X5728" s="60"/>
    </row>
    <row r="5729" spans="7:24" ht="15" customHeight="1">
      <c r="G5729"/>
      <c r="I5729"/>
      <c r="N5729"/>
      <c r="O5729" s="24"/>
      <c r="P5729"/>
      <c r="Q5729" s="24"/>
      <c r="R5729"/>
      <c r="S5729"/>
      <c r="T5729"/>
      <c r="U5729"/>
      <c r="X5729" s="60"/>
    </row>
    <row r="5730" spans="7:24" ht="15" customHeight="1">
      <c r="G5730"/>
      <c r="I5730"/>
      <c r="N5730"/>
      <c r="O5730" s="24"/>
      <c r="P5730"/>
      <c r="Q5730" s="24"/>
      <c r="R5730"/>
      <c r="S5730"/>
      <c r="T5730"/>
      <c r="U5730"/>
      <c r="X5730" s="60"/>
    </row>
    <row r="5731" spans="7:24" ht="15" customHeight="1">
      <c r="G5731"/>
      <c r="I5731"/>
      <c r="N5731"/>
      <c r="O5731" s="24"/>
      <c r="P5731"/>
      <c r="Q5731" s="24"/>
      <c r="R5731"/>
      <c r="S5731"/>
      <c r="T5731"/>
      <c r="U5731"/>
      <c r="X5731" s="60"/>
    </row>
    <row r="5732" spans="7:24" ht="15" customHeight="1">
      <c r="G5732"/>
      <c r="I5732"/>
      <c r="N5732"/>
      <c r="O5732" s="24"/>
      <c r="P5732"/>
      <c r="Q5732" s="24"/>
      <c r="R5732"/>
      <c r="S5732"/>
      <c r="T5732"/>
      <c r="U5732"/>
      <c r="X5732" s="60"/>
    </row>
    <row r="5733" spans="7:24" ht="15" customHeight="1">
      <c r="G5733"/>
      <c r="I5733"/>
      <c r="N5733"/>
      <c r="O5733" s="24"/>
      <c r="P5733"/>
      <c r="Q5733" s="24"/>
      <c r="R5733"/>
      <c r="S5733"/>
      <c r="T5733"/>
      <c r="U5733"/>
      <c r="X5733" s="60"/>
    </row>
    <row r="5734" spans="7:24" ht="15" customHeight="1">
      <c r="G5734"/>
      <c r="I5734"/>
      <c r="N5734"/>
      <c r="O5734" s="24"/>
      <c r="P5734"/>
      <c r="Q5734" s="24"/>
      <c r="R5734"/>
      <c r="S5734"/>
      <c r="T5734"/>
      <c r="U5734"/>
      <c r="X5734" s="60"/>
    </row>
    <row r="5735" spans="7:24" ht="15" customHeight="1">
      <c r="G5735"/>
      <c r="I5735"/>
      <c r="N5735"/>
      <c r="O5735" s="24"/>
      <c r="P5735"/>
      <c r="Q5735" s="24"/>
      <c r="R5735"/>
      <c r="S5735"/>
      <c r="T5735"/>
      <c r="U5735"/>
      <c r="X5735" s="60"/>
    </row>
    <row r="5736" spans="7:24" ht="15" customHeight="1">
      <c r="G5736"/>
      <c r="I5736"/>
      <c r="N5736"/>
      <c r="O5736" s="24"/>
      <c r="P5736"/>
      <c r="Q5736" s="24"/>
      <c r="R5736"/>
      <c r="S5736"/>
      <c r="T5736"/>
      <c r="U5736"/>
      <c r="X5736" s="60"/>
    </row>
    <row r="5737" spans="7:24" ht="15" customHeight="1">
      <c r="G5737"/>
      <c r="I5737"/>
      <c r="N5737"/>
      <c r="O5737" s="24"/>
      <c r="P5737"/>
      <c r="Q5737" s="24"/>
      <c r="R5737"/>
      <c r="S5737"/>
      <c r="T5737"/>
      <c r="U5737"/>
      <c r="X5737" s="60"/>
    </row>
    <row r="5738" spans="7:24" ht="15" customHeight="1">
      <c r="G5738"/>
      <c r="I5738"/>
      <c r="N5738"/>
      <c r="O5738" s="24"/>
      <c r="P5738"/>
      <c r="Q5738" s="24"/>
      <c r="R5738"/>
      <c r="S5738"/>
      <c r="T5738"/>
      <c r="U5738"/>
      <c r="X5738" s="60"/>
    </row>
    <row r="5739" spans="7:24" ht="15" customHeight="1">
      <c r="G5739"/>
      <c r="I5739"/>
      <c r="N5739"/>
      <c r="O5739" s="24"/>
      <c r="P5739"/>
      <c r="Q5739" s="24"/>
      <c r="R5739"/>
      <c r="S5739"/>
      <c r="T5739"/>
      <c r="U5739"/>
      <c r="X5739" s="60"/>
    </row>
    <row r="5740" spans="7:24" ht="15" customHeight="1">
      <c r="G5740"/>
      <c r="I5740"/>
      <c r="N5740"/>
      <c r="O5740" s="24"/>
      <c r="P5740"/>
      <c r="Q5740" s="24"/>
      <c r="R5740"/>
      <c r="S5740"/>
      <c r="T5740"/>
      <c r="U5740"/>
      <c r="X5740" s="60"/>
    </row>
    <row r="5741" spans="7:24" ht="15" customHeight="1">
      <c r="G5741"/>
      <c r="I5741"/>
      <c r="N5741"/>
      <c r="O5741" s="24"/>
      <c r="P5741"/>
      <c r="Q5741" s="24"/>
      <c r="R5741"/>
      <c r="S5741"/>
      <c r="T5741"/>
      <c r="U5741"/>
      <c r="X5741" s="60"/>
    </row>
    <row r="5742" spans="7:24" ht="15" customHeight="1">
      <c r="G5742"/>
      <c r="I5742"/>
      <c r="N5742"/>
      <c r="O5742" s="24"/>
      <c r="P5742"/>
      <c r="Q5742" s="24"/>
      <c r="R5742"/>
      <c r="S5742"/>
      <c r="T5742"/>
      <c r="U5742"/>
      <c r="X5742" s="60"/>
    </row>
    <row r="5743" spans="7:24" ht="15" customHeight="1">
      <c r="G5743"/>
      <c r="I5743"/>
      <c r="N5743"/>
      <c r="O5743" s="24"/>
      <c r="P5743"/>
      <c r="Q5743" s="24"/>
      <c r="R5743"/>
      <c r="S5743"/>
      <c r="T5743"/>
      <c r="U5743"/>
      <c r="X5743" s="60"/>
    </row>
    <row r="5744" spans="7:24" ht="15" customHeight="1">
      <c r="G5744"/>
      <c r="I5744"/>
      <c r="N5744"/>
      <c r="O5744" s="24"/>
      <c r="P5744"/>
      <c r="Q5744" s="24"/>
      <c r="R5744"/>
      <c r="S5744"/>
      <c r="T5744"/>
      <c r="U5744"/>
      <c r="X5744" s="60"/>
    </row>
    <row r="5745" spans="7:24" ht="15" customHeight="1">
      <c r="G5745"/>
      <c r="I5745"/>
      <c r="N5745"/>
      <c r="O5745" s="24"/>
      <c r="P5745"/>
      <c r="Q5745" s="24"/>
      <c r="R5745"/>
      <c r="S5745"/>
      <c r="T5745"/>
      <c r="U5745"/>
      <c r="X5745" s="60"/>
    </row>
    <row r="5746" spans="7:24" ht="15" customHeight="1">
      <c r="G5746"/>
      <c r="I5746"/>
      <c r="N5746"/>
      <c r="O5746" s="24"/>
      <c r="P5746"/>
      <c r="Q5746" s="24"/>
      <c r="R5746"/>
      <c r="S5746"/>
      <c r="T5746"/>
      <c r="U5746"/>
      <c r="X5746" s="60"/>
    </row>
    <row r="5747" spans="7:24" ht="15" customHeight="1">
      <c r="G5747"/>
      <c r="I5747"/>
      <c r="N5747"/>
      <c r="O5747" s="24"/>
      <c r="P5747"/>
      <c r="Q5747" s="24"/>
      <c r="R5747"/>
      <c r="S5747"/>
      <c r="T5747"/>
      <c r="U5747"/>
      <c r="X5747" s="60"/>
    </row>
    <row r="5748" spans="7:24" ht="15" customHeight="1">
      <c r="G5748"/>
      <c r="I5748"/>
      <c r="N5748"/>
      <c r="O5748" s="24"/>
      <c r="P5748"/>
      <c r="Q5748" s="24"/>
      <c r="R5748"/>
      <c r="S5748"/>
      <c r="T5748"/>
      <c r="U5748"/>
      <c r="X5748" s="60"/>
    </row>
    <row r="5749" spans="7:24" ht="15" customHeight="1">
      <c r="G5749"/>
      <c r="I5749"/>
      <c r="N5749"/>
      <c r="O5749" s="24"/>
      <c r="P5749"/>
      <c r="Q5749" s="24"/>
      <c r="R5749"/>
      <c r="S5749"/>
      <c r="T5749"/>
      <c r="U5749"/>
      <c r="X5749" s="60"/>
    </row>
    <row r="5750" spans="7:24" ht="15" customHeight="1">
      <c r="G5750"/>
      <c r="I5750"/>
      <c r="N5750"/>
      <c r="O5750" s="24"/>
      <c r="P5750"/>
      <c r="Q5750" s="24"/>
      <c r="R5750"/>
      <c r="S5750"/>
      <c r="T5750"/>
      <c r="U5750"/>
      <c r="X5750" s="60"/>
    </row>
    <row r="5751" spans="7:24" ht="15" customHeight="1">
      <c r="G5751"/>
      <c r="I5751"/>
      <c r="N5751"/>
      <c r="O5751" s="24"/>
      <c r="P5751"/>
      <c r="Q5751" s="24"/>
      <c r="R5751"/>
      <c r="S5751"/>
      <c r="T5751"/>
      <c r="U5751"/>
      <c r="X5751" s="60"/>
    </row>
    <row r="5752" spans="7:24" ht="15" customHeight="1">
      <c r="G5752"/>
      <c r="I5752"/>
      <c r="N5752"/>
      <c r="O5752" s="24"/>
      <c r="P5752"/>
      <c r="Q5752" s="24"/>
      <c r="R5752"/>
      <c r="S5752"/>
      <c r="T5752"/>
      <c r="U5752"/>
      <c r="X5752" s="60"/>
    </row>
    <row r="5753" spans="7:24" ht="15" customHeight="1">
      <c r="G5753"/>
      <c r="I5753"/>
      <c r="N5753"/>
      <c r="O5753" s="24"/>
      <c r="P5753"/>
      <c r="Q5753" s="24"/>
      <c r="R5753"/>
      <c r="S5753"/>
      <c r="T5753"/>
      <c r="U5753"/>
      <c r="X5753" s="60"/>
    </row>
    <row r="5754" spans="7:24" ht="15" customHeight="1">
      <c r="G5754"/>
      <c r="I5754"/>
      <c r="N5754"/>
      <c r="O5754" s="24"/>
      <c r="P5754"/>
      <c r="Q5754" s="24"/>
      <c r="R5754"/>
      <c r="S5754"/>
      <c r="T5754"/>
      <c r="U5754"/>
      <c r="X5754" s="60"/>
    </row>
    <row r="5755" spans="7:24" ht="15" customHeight="1">
      <c r="G5755"/>
      <c r="I5755"/>
      <c r="N5755"/>
      <c r="O5755" s="24"/>
      <c r="P5755"/>
      <c r="Q5755" s="24"/>
      <c r="R5755"/>
      <c r="S5755"/>
      <c r="T5755"/>
      <c r="U5755"/>
      <c r="X5755" s="60"/>
    </row>
    <row r="5756" spans="7:24" ht="15" customHeight="1">
      <c r="G5756"/>
      <c r="I5756"/>
      <c r="N5756"/>
      <c r="O5756" s="24"/>
      <c r="P5756"/>
      <c r="Q5756" s="24"/>
      <c r="R5756"/>
      <c r="S5756"/>
      <c r="T5756"/>
      <c r="U5756"/>
      <c r="X5756" s="60"/>
    </row>
    <row r="5757" spans="7:24" ht="15" customHeight="1">
      <c r="G5757"/>
      <c r="I5757"/>
      <c r="N5757"/>
      <c r="O5757" s="24"/>
      <c r="P5757"/>
      <c r="Q5757" s="24"/>
      <c r="R5757"/>
      <c r="S5757"/>
      <c r="T5757"/>
      <c r="U5757"/>
      <c r="X5757" s="60"/>
    </row>
    <row r="5758" spans="7:24" ht="15" customHeight="1">
      <c r="G5758"/>
      <c r="I5758"/>
      <c r="N5758"/>
      <c r="O5758" s="24"/>
      <c r="P5758"/>
      <c r="Q5758" s="24"/>
      <c r="R5758"/>
      <c r="S5758"/>
      <c r="T5758"/>
      <c r="U5758"/>
      <c r="X5758" s="60"/>
    </row>
    <row r="5759" spans="7:24" ht="15" customHeight="1">
      <c r="G5759"/>
      <c r="I5759"/>
      <c r="N5759"/>
      <c r="O5759" s="24"/>
      <c r="P5759"/>
      <c r="Q5759" s="24"/>
      <c r="R5759"/>
      <c r="S5759"/>
      <c r="T5759"/>
      <c r="U5759"/>
      <c r="X5759" s="60"/>
    </row>
    <row r="5760" spans="7:24" ht="15" customHeight="1">
      <c r="G5760"/>
      <c r="I5760"/>
      <c r="N5760"/>
      <c r="O5760" s="24"/>
      <c r="P5760"/>
      <c r="Q5760" s="24"/>
      <c r="R5760"/>
      <c r="S5760"/>
      <c r="T5760"/>
      <c r="U5760"/>
      <c r="X5760" s="60"/>
    </row>
    <row r="5761" spans="7:24" ht="15" customHeight="1">
      <c r="G5761"/>
      <c r="I5761"/>
      <c r="N5761"/>
      <c r="O5761" s="24"/>
      <c r="P5761"/>
      <c r="Q5761" s="24"/>
      <c r="R5761"/>
      <c r="S5761"/>
      <c r="T5761"/>
      <c r="U5761"/>
      <c r="X5761" s="60"/>
    </row>
    <row r="5762" spans="7:24" ht="15" customHeight="1">
      <c r="G5762"/>
      <c r="I5762"/>
      <c r="N5762"/>
      <c r="O5762" s="24"/>
      <c r="P5762"/>
      <c r="Q5762" s="24"/>
      <c r="R5762"/>
      <c r="S5762"/>
      <c r="T5762"/>
      <c r="U5762"/>
      <c r="X5762" s="60"/>
    </row>
    <row r="5763" spans="7:24" ht="15" customHeight="1">
      <c r="G5763"/>
      <c r="I5763"/>
      <c r="N5763"/>
      <c r="O5763" s="24"/>
      <c r="P5763"/>
      <c r="Q5763" s="24"/>
      <c r="R5763"/>
      <c r="S5763"/>
      <c r="T5763"/>
      <c r="U5763"/>
      <c r="X5763" s="60"/>
    </row>
    <row r="5764" spans="7:24" ht="15" customHeight="1">
      <c r="G5764"/>
      <c r="I5764"/>
      <c r="N5764"/>
      <c r="O5764" s="24"/>
      <c r="P5764"/>
      <c r="Q5764" s="24"/>
      <c r="R5764"/>
      <c r="S5764"/>
      <c r="T5764"/>
      <c r="U5764"/>
      <c r="X5764" s="60"/>
    </row>
    <row r="5765" spans="7:24" ht="15" customHeight="1">
      <c r="G5765"/>
      <c r="I5765"/>
      <c r="N5765"/>
      <c r="O5765" s="24"/>
      <c r="P5765"/>
      <c r="Q5765" s="24"/>
      <c r="R5765"/>
      <c r="S5765"/>
      <c r="T5765"/>
      <c r="U5765"/>
      <c r="X5765" s="60"/>
    </row>
    <row r="5766" spans="7:24" ht="15" customHeight="1">
      <c r="G5766"/>
      <c r="I5766"/>
      <c r="N5766"/>
      <c r="O5766" s="24"/>
      <c r="P5766"/>
      <c r="Q5766" s="24"/>
      <c r="R5766"/>
      <c r="S5766"/>
      <c r="T5766"/>
      <c r="U5766"/>
      <c r="X5766" s="60"/>
    </row>
    <row r="5767" spans="7:24" ht="15" customHeight="1">
      <c r="G5767"/>
      <c r="I5767"/>
      <c r="N5767"/>
      <c r="O5767" s="24"/>
      <c r="P5767"/>
      <c r="Q5767" s="24"/>
      <c r="R5767"/>
      <c r="S5767"/>
      <c r="T5767"/>
      <c r="U5767"/>
      <c r="X5767" s="60"/>
    </row>
    <row r="5768" spans="7:24" ht="15" customHeight="1">
      <c r="G5768"/>
      <c r="I5768"/>
      <c r="N5768"/>
      <c r="O5768" s="24"/>
      <c r="P5768"/>
      <c r="Q5768" s="24"/>
      <c r="R5768"/>
      <c r="S5768"/>
      <c r="T5768"/>
      <c r="U5768"/>
      <c r="X5768" s="60"/>
    </row>
    <row r="5769" spans="7:24" ht="15" customHeight="1">
      <c r="G5769"/>
      <c r="I5769"/>
      <c r="N5769"/>
      <c r="O5769" s="24"/>
      <c r="P5769"/>
      <c r="Q5769" s="24"/>
      <c r="R5769"/>
      <c r="S5769"/>
      <c r="T5769"/>
      <c r="U5769"/>
      <c r="X5769" s="60"/>
    </row>
    <row r="5770" spans="7:24" ht="15" customHeight="1">
      <c r="G5770"/>
      <c r="I5770"/>
      <c r="N5770"/>
      <c r="O5770" s="24"/>
      <c r="P5770"/>
      <c r="Q5770" s="24"/>
      <c r="R5770"/>
      <c r="S5770"/>
      <c r="T5770"/>
      <c r="U5770"/>
      <c r="X5770" s="60"/>
    </row>
    <row r="5771" spans="7:24" ht="15" customHeight="1">
      <c r="G5771"/>
      <c r="I5771"/>
      <c r="N5771"/>
      <c r="O5771" s="24"/>
      <c r="P5771"/>
      <c r="Q5771" s="24"/>
      <c r="R5771"/>
      <c r="S5771"/>
      <c r="T5771"/>
      <c r="U5771"/>
      <c r="X5771" s="60"/>
    </row>
    <row r="5772" spans="7:24" ht="15" customHeight="1">
      <c r="G5772"/>
      <c r="I5772"/>
      <c r="N5772"/>
      <c r="O5772" s="24"/>
      <c r="P5772"/>
      <c r="Q5772" s="24"/>
      <c r="R5772"/>
      <c r="S5772"/>
      <c r="T5772"/>
      <c r="U5772"/>
      <c r="X5772" s="60"/>
    </row>
    <row r="5773" spans="7:24" ht="15" customHeight="1">
      <c r="G5773"/>
      <c r="I5773"/>
      <c r="N5773"/>
      <c r="O5773" s="24"/>
      <c r="P5773"/>
      <c r="Q5773" s="24"/>
      <c r="R5773"/>
      <c r="S5773"/>
      <c r="T5773"/>
      <c r="U5773"/>
      <c r="X5773" s="60"/>
    </row>
    <row r="5774" spans="7:24" ht="15" customHeight="1">
      <c r="G5774"/>
      <c r="I5774"/>
      <c r="N5774"/>
      <c r="O5774" s="24"/>
      <c r="P5774"/>
      <c r="Q5774" s="24"/>
      <c r="R5774"/>
      <c r="S5774"/>
      <c r="T5774"/>
      <c r="U5774"/>
      <c r="X5774" s="60"/>
    </row>
    <row r="5775" spans="7:24" ht="15" customHeight="1">
      <c r="G5775"/>
      <c r="I5775"/>
      <c r="N5775"/>
      <c r="O5775" s="24"/>
      <c r="P5775"/>
      <c r="Q5775" s="24"/>
      <c r="R5775"/>
      <c r="S5775"/>
      <c r="T5775"/>
      <c r="U5775"/>
      <c r="X5775" s="60"/>
    </row>
    <row r="5776" spans="7:24" ht="15" customHeight="1">
      <c r="G5776"/>
      <c r="I5776"/>
      <c r="N5776"/>
      <c r="O5776" s="24"/>
      <c r="P5776"/>
      <c r="Q5776" s="24"/>
      <c r="R5776"/>
      <c r="S5776"/>
      <c r="T5776"/>
      <c r="U5776"/>
      <c r="X5776" s="60"/>
    </row>
    <row r="5777" spans="7:24" ht="15" customHeight="1">
      <c r="G5777"/>
      <c r="I5777"/>
      <c r="N5777"/>
      <c r="O5777" s="24"/>
      <c r="P5777"/>
      <c r="Q5777" s="24"/>
      <c r="R5777"/>
      <c r="S5777"/>
      <c r="T5777"/>
      <c r="U5777"/>
      <c r="X5777" s="60"/>
    </row>
    <row r="5778" spans="7:24" ht="15" customHeight="1">
      <c r="G5778"/>
      <c r="I5778"/>
      <c r="N5778"/>
      <c r="O5778" s="24"/>
      <c r="P5778"/>
      <c r="Q5778" s="24"/>
      <c r="R5778"/>
      <c r="S5778"/>
      <c r="T5778"/>
      <c r="U5778"/>
      <c r="X5778" s="60"/>
    </row>
    <row r="5779" spans="7:24" ht="15" customHeight="1">
      <c r="G5779"/>
      <c r="I5779"/>
      <c r="N5779"/>
      <c r="O5779" s="24"/>
      <c r="P5779"/>
      <c r="Q5779" s="24"/>
      <c r="R5779"/>
      <c r="S5779"/>
      <c r="T5779"/>
      <c r="U5779"/>
      <c r="X5779" s="60"/>
    </row>
    <row r="5780" spans="7:24" ht="15" customHeight="1">
      <c r="G5780"/>
      <c r="I5780"/>
      <c r="N5780"/>
      <c r="O5780" s="24"/>
      <c r="P5780"/>
      <c r="Q5780" s="24"/>
      <c r="R5780"/>
      <c r="S5780"/>
      <c r="T5780"/>
      <c r="U5780"/>
      <c r="X5780" s="60"/>
    </row>
    <row r="5781" spans="7:24" ht="15" customHeight="1">
      <c r="G5781"/>
      <c r="I5781"/>
      <c r="N5781"/>
      <c r="O5781" s="24"/>
      <c r="P5781"/>
      <c r="Q5781" s="24"/>
      <c r="R5781"/>
      <c r="S5781"/>
      <c r="T5781"/>
      <c r="U5781"/>
      <c r="X5781" s="60"/>
    </row>
    <row r="5782" spans="7:24" ht="15" customHeight="1">
      <c r="G5782"/>
      <c r="I5782"/>
      <c r="N5782"/>
      <c r="O5782" s="24"/>
      <c r="P5782"/>
      <c r="Q5782" s="24"/>
      <c r="R5782"/>
      <c r="S5782"/>
      <c r="T5782"/>
      <c r="U5782"/>
      <c r="X5782" s="60"/>
    </row>
    <row r="5783" spans="7:24" ht="15" customHeight="1">
      <c r="G5783"/>
      <c r="I5783"/>
      <c r="N5783"/>
      <c r="O5783" s="24"/>
      <c r="P5783"/>
      <c r="Q5783" s="24"/>
      <c r="R5783"/>
      <c r="S5783"/>
      <c r="T5783"/>
      <c r="U5783"/>
      <c r="X5783" s="60"/>
    </row>
    <row r="5784" spans="7:24" ht="15" customHeight="1">
      <c r="G5784"/>
      <c r="I5784"/>
      <c r="N5784"/>
      <c r="O5784" s="24"/>
      <c r="P5784"/>
      <c r="Q5784" s="24"/>
      <c r="R5784"/>
      <c r="S5784"/>
      <c r="T5784"/>
      <c r="U5784"/>
      <c r="X5784" s="60"/>
    </row>
    <row r="5785" spans="7:24" ht="15" customHeight="1">
      <c r="G5785"/>
      <c r="I5785"/>
      <c r="N5785"/>
      <c r="O5785" s="24"/>
      <c r="P5785"/>
      <c r="Q5785" s="24"/>
      <c r="R5785"/>
      <c r="S5785"/>
      <c r="T5785"/>
      <c r="U5785"/>
      <c r="X5785" s="60"/>
    </row>
    <row r="5786" spans="7:24" ht="15" customHeight="1">
      <c r="G5786"/>
      <c r="I5786"/>
      <c r="N5786"/>
      <c r="O5786" s="24"/>
      <c r="P5786"/>
      <c r="Q5786" s="24"/>
      <c r="R5786"/>
      <c r="S5786"/>
      <c r="T5786"/>
      <c r="U5786"/>
      <c r="X5786" s="60"/>
    </row>
    <row r="5787" spans="7:24" ht="15" customHeight="1">
      <c r="G5787"/>
      <c r="I5787"/>
      <c r="N5787"/>
      <c r="O5787" s="24"/>
      <c r="P5787"/>
      <c r="Q5787" s="24"/>
      <c r="R5787"/>
      <c r="S5787"/>
      <c r="T5787"/>
      <c r="U5787"/>
      <c r="X5787" s="60"/>
    </row>
    <row r="5788" spans="7:24" ht="15" customHeight="1">
      <c r="G5788"/>
      <c r="I5788"/>
      <c r="N5788"/>
      <c r="O5788" s="24"/>
      <c r="P5788"/>
      <c r="Q5788" s="24"/>
      <c r="R5788"/>
      <c r="S5788"/>
      <c r="T5788"/>
      <c r="U5788"/>
      <c r="X5788" s="60"/>
    </row>
    <row r="5789" spans="7:24" ht="15" customHeight="1">
      <c r="G5789"/>
      <c r="I5789"/>
      <c r="N5789"/>
      <c r="O5789" s="24"/>
      <c r="P5789"/>
      <c r="Q5789" s="24"/>
      <c r="R5789"/>
      <c r="S5789"/>
      <c r="T5789"/>
      <c r="U5789"/>
      <c r="X5789" s="60"/>
    </row>
    <row r="5790" spans="7:24" ht="15" customHeight="1">
      <c r="G5790"/>
      <c r="I5790"/>
      <c r="N5790"/>
      <c r="O5790" s="24"/>
      <c r="P5790"/>
      <c r="Q5790" s="24"/>
      <c r="R5790"/>
      <c r="S5790"/>
      <c r="T5790"/>
      <c r="U5790"/>
      <c r="X5790" s="60"/>
    </row>
    <row r="5791" spans="7:24" ht="15" customHeight="1">
      <c r="G5791"/>
      <c r="I5791"/>
      <c r="N5791"/>
      <c r="O5791" s="24"/>
      <c r="P5791"/>
      <c r="Q5791" s="24"/>
      <c r="R5791"/>
      <c r="S5791"/>
      <c r="T5791"/>
      <c r="U5791"/>
      <c r="X5791" s="60"/>
    </row>
    <row r="5792" spans="7:24" ht="15" customHeight="1">
      <c r="G5792"/>
      <c r="I5792"/>
      <c r="N5792"/>
      <c r="O5792" s="24"/>
      <c r="P5792"/>
      <c r="Q5792" s="24"/>
      <c r="R5792"/>
      <c r="S5792"/>
      <c r="T5792"/>
      <c r="U5792"/>
      <c r="X5792" s="60"/>
    </row>
    <row r="5793" spans="7:24" ht="15" customHeight="1">
      <c r="G5793"/>
      <c r="I5793"/>
      <c r="N5793"/>
      <c r="O5793" s="24"/>
      <c r="P5793"/>
      <c r="Q5793" s="24"/>
      <c r="R5793"/>
      <c r="S5793"/>
      <c r="T5793"/>
      <c r="U5793"/>
      <c r="X5793" s="60"/>
    </row>
    <row r="5794" spans="7:24" ht="15" customHeight="1">
      <c r="G5794"/>
      <c r="I5794"/>
      <c r="N5794"/>
      <c r="O5794" s="24"/>
      <c r="P5794"/>
      <c r="Q5794" s="24"/>
      <c r="R5794"/>
      <c r="S5794"/>
      <c r="T5794"/>
      <c r="U5794"/>
      <c r="X5794" s="60"/>
    </row>
    <row r="5795" spans="7:24" ht="15" customHeight="1">
      <c r="G5795"/>
      <c r="I5795"/>
      <c r="N5795"/>
      <c r="O5795" s="24"/>
      <c r="P5795"/>
      <c r="Q5795" s="24"/>
      <c r="R5795"/>
      <c r="S5795"/>
      <c r="T5795"/>
      <c r="U5795"/>
      <c r="X5795" s="60"/>
    </row>
    <row r="5796" spans="7:24" ht="15" customHeight="1">
      <c r="G5796"/>
      <c r="I5796"/>
      <c r="N5796"/>
      <c r="O5796" s="24"/>
      <c r="P5796"/>
      <c r="Q5796" s="24"/>
      <c r="R5796"/>
      <c r="S5796"/>
      <c r="T5796"/>
      <c r="U5796"/>
      <c r="X5796" s="60"/>
    </row>
    <row r="5797" spans="7:24" ht="15" customHeight="1">
      <c r="G5797"/>
      <c r="I5797"/>
      <c r="N5797"/>
      <c r="O5797" s="24"/>
      <c r="P5797"/>
      <c r="Q5797" s="24"/>
      <c r="R5797"/>
      <c r="S5797"/>
      <c r="T5797"/>
      <c r="U5797"/>
      <c r="X5797" s="60"/>
    </row>
    <row r="5798" spans="7:24" ht="15" customHeight="1">
      <c r="G5798"/>
      <c r="I5798"/>
      <c r="N5798"/>
      <c r="O5798" s="24"/>
      <c r="P5798"/>
      <c r="Q5798" s="24"/>
      <c r="R5798"/>
      <c r="S5798"/>
      <c r="T5798"/>
      <c r="U5798"/>
      <c r="X5798" s="60"/>
    </row>
    <row r="5799" spans="7:24" ht="15" customHeight="1">
      <c r="G5799"/>
      <c r="I5799"/>
      <c r="N5799"/>
      <c r="O5799" s="24"/>
      <c r="P5799"/>
      <c r="Q5799" s="24"/>
      <c r="R5799"/>
      <c r="S5799"/>
      <c r="T5799"/>
      <c r="U5799"/>
      <c r="X5799" s="60"/>
    </row>
    <row r="5800" spans="7:24" ht="15" customHeight="1">
      <c r="G5800"/>
      <c r="I5800"/>
      <c r="N5800"/>
      <c r="O5800" s="24"/>
      <c r="P5800"/>
      <c r="Q5800" s="24"/>
      <c r="R5800"/>
      <c r="S5800"/>
      <c r="T5800"/>
      <c r="U5800"/>
      <c r="X5800" s="60"/>
    </row>
    <row r="5801" spans="7:24" ht="15" customHeight="1">
      <c r="G5801"/>
      <c r="I5801"/>
      <c r="N5801"/>
      <c r="O5801" s="24"/>
      <c r="P5801"/>
      <c r="Q5801" s="24"/>
      <c r="R5801"/>
      <c r="S5801"/>
      <c r="T5801"/>
      <c r="U5801"/>
      <c r="X5801" s="60"/>
    </row>
    <row r="5802" spans="7:24" ht="15" customHeight="1">
      <c r="G5802"/>
      <c r="I5802"/>
      <c r="N5802"/>
      <c r="O5802" s="24"/>
      <c r="P5802"/>
      <c r="Q5802" s="24"/>
      <c r="R5802"/>
      <c r="S5802"/>
      <c r="T5802"/>
      <c r="U5802"/>
      <c r="X5802" s="60"/>
    </row>
    <row r="5803" spans="7:24" ht="15" customHeight="1">
      <c r="G5803"/>
      <c r="I5803"/>
      <c r="N5803"/>
      <c r="O5803" s="24"/>
      <c r="P5803"/>
      <c r="Q5803" s="24"/>
      <c r="R5803"/>
      <c r="S5803"/>
      <c r="T5803"/>
      <c r="U5803"/>
      <c r="X5803" s="60"/>
    </row>
    <row r="5804" spans="7:24" ht="15" customHeight="1">
      <c r="G5804"/>
      <c r="I5804"/>
      <c r="N5804"/>
      <c r="O5804" s="24"/>
      <c r="P5804"/>
      <c r="Q5804" s="24"/>
      <c r="R5804"/>
      <c r="S5804"/>
      <c r="T5804"/>
      <c r="U5804"/>
      <c r="X5804" s="60"/>
    </row>
    <row r="5805" spans="7:24" ht="15" customHeight="1">
      <c r="G5805"/>
      <c r="I5805"/>
      <c r="N5805"/>
      <c r="O5805" s="24"/>
      <c r="P5805"/>
      <c r="Q5805" s="24"/>
      <c r="R5805"/>
      <c r="S5805"/>
      <c r="T5805"/>
      <c r="U5805"/>
      <c r="X5805" s="60"/>
    </row>
    <row r="5806" spans="7:24" ht="15" customHeight="1">
      <c r="G5806"/>
      <c r="I5806"/>
      <c r="N5806"/>
      <c r="O5806" s="24"/>
      <c r="P5806"/>
      <c r="Q5806" s="24"/>
      <c r="R5806"/>
      <c r="S5806"/>
      <c r="T5806"/>
      <c r="U5806"/>
      <c r="X5806" s="60"/>
    </row>
    <row r="5807" spans="7:24" ht="15" customHeight="1">
      <c r="G5807"/>
      <c r="I5807"/>
      <c r="N5807"/>
      <c r="O5807" s="24"/>
      <c r="P5807"/>
      <c r="Q5807" s="24"/>
      <c r="R5807"/>
      <c r="S5807"/>
      <c r="T5807"/>
      <c r="U5807"/>
      <c r="X5807" s="60"/>
    </row>
    <row r="5808" spans="7:24" ht="15" customHeight="1">
      <c r="G5808"/>
      <c r="I5808"/>
      <c r="N5808"/>
      <c r="O5808" s="24"/>
      <c r="P5808"/>
      <c r="Q5808" s="24"/>
      <c r="R5808"/>
      <c r="S5808"/>
      <c r="T5808"/>
      <c r="U5808"/>
      <c r="X5808" s="60"/>
    </row>
    <row r="5809" spans="7:24" ht="15" customHeight="1">
      <c r="G5809"/>
      <c r="I5809"/>
      <c r="N5809"/>
      <c r="O5809" s="24"/>
      <c r="P5809"/>
      <c r="Q5809" s="24"/>
      <c r="R5809"/>
      <c r="S5809"/>
      <c r="T5809"/>
      <c r="U5809"/>
      <c r="X5809" s="60"/>
    </row>
    <row r="5810" spans="7:24" ht="15" customHeight="1">
      <c r="G5810"/>
      <c r="I5810"/>
      <c r="N5810"/>
      <c r="O5810" s="24"/>
      <c r="P5810"/>
      <c r="Q5810" s="24"/>
      <c r="R5810"/>
      <c r="S5810"/>
      <c r="T5810"/>
      <c r="U5810"/>
      <c r="X5810" s="60"/>
    </row>
    <row r="5811" spans="7:24" ht="15" customHeight="1">
      <c r="G5811"/>
      <c r="I5811"/>
      <c r="N5811"/>
      <c r="O5811" s="24"/>
      <c r="P5811"/>
      <c r="Q5811" s="24"/>
      <c r="R5811"/>
      <c r="S5811"/>
      <c r="T5811"/>
      <c r="U5811"/>
      <c r="X5811" s="60"/>
    </row>
    <row r="5812" spans="7:24" ht="15" customHeight="1">
      <c r="G5812"/>
      <c r="I5812"/>
      <c r="N5812"/>
      <c r="O5812" s="24"/>
      <c r="P5812"/>
      <c r="Q5812" s="24"/>
      <c r="R5812"/>
      <c r="S5812"/>
      <c r="T5812"/>
      <c r="U5812"/>
      <c r="X5812" s="60"/>
    </row>
    <row r="5813" spans="7:24" ht="15" customHeight="1">
      <c r="G5813"/>
      <c r="I5813"/>
      <c r="N5813"/>
      <c r="O5813" s="24"/>
      <c r="P5813"/>
      <c r="Q5813" s="24"/>
      <c r="R5813"/>
      <c r="S5813"/>
      <c r="T5813"/>
      <c r="U5813"/>
      <c r="X5813" s="60"/>
    </row>
    <row r="5814" spans="7:24" ht="15" customHeight="1">
      <c r="G5814"/>
      <c r="I5814"/>
      <c r="N5814"/>
      <c r="O5814" s="24"/>
      <c r="P5814"/>
      <c r="Q5814" s="24"/>
      <c r="R5814"/>
      <c r="S5814"/>
      <c r="T5814"/>
      <c r="U5814"/>
      <c r="X5814" s="60"/>
    </row>
    <row r="5815" spans="7:24" ht="15" customHeight="1">
      <c r="G5815"/>
      <c r="I5815"/>
      <c r="N5815"/>
      <c r="O5815" s="24"/>
      <c r="P5815"/>
      <c r="Q5815" s="24"/>
      <c r="R5815"/>
      <c r="S5815"/>
      <c r="T5815"/>
      <c r="U5815"/>
      <c r="X5815" s="60"/>
    </row>
    <row r="5816" spans="7:24" ht="15" customHeight="1">
      <c r="G5816"/>
      <c r="I5816"/>
      <c r="N5816"/>
      <c r="O5816" s="24"/>
      <c r="P5816"/>
      <c r="Q5816" s="24"/>
      <c r="R5816"/>
      <c r="S5816"/>
      <c r="T5816"/>
      <c r="U5816"/>
      <c r="X5816" s="60"/>
    </row>
    <row r="5817" spans="7:24" ht="15" customHeight="1">
      <c r="G5817"/>
      <c r="I5817"/>
      <c r="N5817"/>
      <c r="O5817" s="24"/>
      <c r="P5817"/>
      <c r="Q5817" s="24"/>
      <c r="R5817"/>
      <c r="S5817"/>
      <c r="T5817"/>
      <c r="U5817"/>
      <c r="X5817" s="60"/>
    </row>
    <row r="5818" spans="7:24" ht="15" customHeight="1">
      <c r="G5818"/>
      <c r="I5818"/>
      <c r="N5818"/>
      <c r="O5818" s="24"/>
      <c r="P5818"/>
      <c r="Q5818" s="24"/>
      <c r="R5818"/>
      <c r="S5818"/>
      <c r="T5818"/>
      <c r="U5818"/>
      <c r="X5818" s="60"/>
    </row>
    <row r="5819" spans="7:24" ht="15" customHeight="1">
      <c r="G5819"/>
      <c r="I5819"/>
      <c r="N5819"/>
      <c r="O5819" s="24"/>
      <c r="P5819"/>
      <c r="Q5819" s="24"/>
      <c r="R5819"/>
      <c r="S5819"/>
      <c r="T5819"/>
      <c r="U5819"/>
      <c r="X5819" s="60"/>
    </row>
    <row r="5820" spans="7:24" ht="15" customHeight="1">
      <c r="G5820"/>
      <c r="I5820"/>
      <c r="N5820"/>
      <c r="O5820" s="24"/>
      <c r="P5820"/>
      <c r="Q5820" s="24"/>
      <c r="R5820"/>
      <c r="S5820"/>
      <c r="T5820"/>
      <c r="U5820"/>
      <c r="X5820" s="60"/>
    </row>
    <row r="5821" spans="7:24" ht="15" customHeight="1">
      <c r="G5821"/>
      <c r="I5821"/>
      <c r="N5821"/>
      <c r="O5821" s="24"/>
      <c r="P5821"/>
      <c r="Q5821" s="24"/>
      <c r="R5821"/>
      <c r="S5821"/>
      <c r="T5821"/>
      <c r="U5821"/>
      <c r="X5821" s="60"/>
    </row>
    <row r="5822" spans="7:24" ht="15" customHeight="1">
      <c r="G5822"/>
      <c r="I5822"/>
      <c r="N5822"/>
      <c r="O5822" s="24"/>
      <c r="P5822"/>
      <c r="Q5822" s="24"/>
      <c r="R5822"/>
      <c r="S5822"/>
      <c r="T5822"/>
      <c r="U5822"/>
      <c r="X5822" s="60"/>
    </row>
    <row r="5823" spans="7:24" ht="15" customHeight="1">
      <c r="G5823"/>
      <c r="I5823"/>
      <c r="N5823"/>
      <c r="O5823" s="24"/>
      <c r="P5823"/>
      <c r="Q5823" s="24"/>
      <c r="R5823"/>
      <c r="S5823"/>
      <c r="T5823"/>
      <c r="U5823"/>
      <c r="X5823" s="60"/>
    </row>
    <row r="5824" spans="7:24" ht="15" customHeight="1">
      <c r="G5824"/>
      <c r="I5824"/>
      <c r="N5824"/>
      <c r="O5824" s="24"/>
      <c r="P5824"/>
      <c r="Q5824" s="24"/>
      <c r="R5824"/>
      <c r="S5824"/>
      <c r="T5824"/>
      <c r="U5824"/>
      <c r="X5824" s="60"/>
    </row>
    <row r="5825" spans="7:24" ht="15" customHeight="1">
      <c r="G5825"/>
      <c r="I5825"/>
      <c r="N5825"/>
      <c r="O5825" s="24"/>
      <c r="P5825"/>
      <c r="Q5825" s="24"/>
      <c r="R5825"/>
      <c r="S5825"/>
      <c r="T5825"/>
      <c r="U5825"/>
      <c r="X5825" s="60"/>
    </row>
    <row r="5826" spans="7:24" ht="15" customHeight="1">
      <c r="G5826"/>
      <c r="I5826"/>
      <c r="N5826"/>
      <c r="O5826" s="24"/>
      <c r="P5826"/>
      <c r="Q5826" s="24"/>
      <c r="R5826"/>
      <c r="S5826"/>
      <c r="T5826"/>
      <c r="U5826"/>
      <c r="X5826" s="60"/>
    </row>
    <row r="5827" spans="7:24" ht="15" customHeight="1">
      <c r="G5827"/>
      <c r="I5827"/>
      <c r="N5827"/>
      <c r="O5827" s="24"/>
      <c r="P5827"/>
      <c r="Q5827" s="24"/>
      <c r="R5827"/>
      <c r="S5827"/>
      <c r="T5827"/>
      <c r="U5827"/>
      <c r="X5827" s="60"/>
    </row>
    <row r="5828" spans="7:24" ht="15" customHeight="1">
      <c r="G5828"/>
      <c r="I5828"/>
      <c r="N5828"/>
      <c r="O5828" s="24"/>
      <c r="P5828"/>
      <c r="Q5828" s="24"/>
      <c r="R5828"/>
      <c r="S5828"/>
      <c r="T5828"/>
      <c r="U5828"/>
      <c r="X5828" s="60"/>
    </row>
    <row r="5829" spans="7:24" ht="15" customHeight="1">
      <c r="G5829"/>
      <c r="I5829"/>
      <c r="N5829"/>
      <c r="O5829" s="24"/>
      <c r="P5829"/>
      <c r="Q5829" s="24"/>
      <c r="R5829"/>
      <c r="S5829"/>
      <c r="T5829"/>
      <c r="U5829"/>
      <c r="X5829" s="60"/>
    </row>
    <row r="5830" spans="7:24" ht="15" customHeight="1">
      <c r="G5830"/>
      <c r="I5830"/>
      <c r="N5830"/>
      <c r="O5830" s="24"/>
      <c r="P5830"/>
      <c r="Q5830" s="24"/>
      <c r="R5830"/>
      <c r="S5830"/>
      <c r="T5830"/>
      <c r="U5830"/>
      <c r="X5830" s="60"/>
    </row>
    <row r="5831" spans="7:24" ht="15" customHeight="1">
      <c r="G5831"/>
      <c r="I5831"/>
      <c r="N5831"/>
      <c r="O5831" s="24"/>
      <c r="P5831"/>
      <c r="Q5831" s="24"/>
      <c r="R5831"/>
      <c r="S5831"/>
      <c r="T5831"/>
      <c r="U5831"/>
      <c r="X5831" s="60"/>
    </row>
    <row r="5832" spans="7:24" ht="15" customHeight="1">
      <c r="G5832"/>
      <c r="I5832"/>
      <c r="N5832"/>
      <c r="O5832" s="24"/>
      <c r="P5832"/>
      <c r="Q5832" s="24"/>
      <c r="R5832"/>
      <c r="S5832"/>
      <c r="T5832"/>
      <c r="U5832"/>
      <c r="X5832" s="60"/>
    </row>
    <row r="5833" spans="7:24" ht="15" customHeight="1">
      <c r="G5833"/>
      <c r="I5833"/>
      <c r="N5833"/>
      <c r="O5833" s="24"/>
      <c r="P5833"/>
      <c r="Q5833" s="24"/>
      <c r="R5833"/>
      <c r="S5833"/>
      <c r="T5833"/>
      <c r="U5833"/>
      <c r="X5833" s="60"/>
    </row>
    <row r="5834" spans="7:24" ht="15" customHeight="1">
      <c r="G5834"/>
      <c r="I5834"/>
      <c r="N5834"/>
      <c r="O5834" s="24"/>
      <c r="P5834"/>
      <c r="Q5834" s="24"/>
      <c r="R5834"/>
      <c r="S5834"/>
      <c r="T5834"/>
      <c r="U5834"/>
      <c r="X5834" s="60"/>
    </row>
    <row r="5835" spans="7:24" ht="15" customHeight="1">
      <c r="G5835"/>
      <c r="I5835"/>
      <c r="N5835"/>
      <c r="O5835" s="24"/>
      <c r="P5835"/>
      <c r="Q5835" s="24"/>
      <c r="R5835"/>
      <c r="S5835"/>
      <c r="T5835"/>
      <c r="U5835"/>
      <c r="X5835" s="60"/>
    </row>
    <row r="5836" spans="7:24" ht="15" customHeight="1">
      <c r="G5836"/>
      <c r="I5836"/>
      <c r="N5836"/>
      <c r="O5836" s="24"/>
      <c r="P5836"/>
      <c r="Q5836" s="24"/>
      <c r="R5836"/>
      <c r="S5836"/>
      <c r="T5836"/>
      <c r="U5836"/>
      <c r="X5836" s="60"/>
    </row>
    <row r="5837" spans="7:24" ht="15" customHeight="1">
      <c r="G5837"/>
      <c r="I5837"/>
      <c r="N5837"/>
      <c r="O5837" s="24"/>
      <c r="P5837"/>
      <c r="Q5837" s="24"/>
      <c r="R5837"/>
      <c r="S5837"/>
      <c r="T5837"/>
      <c r="U5837"/>
      <c r="X5837" s="60"/>
    </row>
    <row r="5838" spans="7:24" ht="15" customHeight="1">
      <c r="G5838"/>
      <c r="I5838"/>
      <c r="N5838"/>
      <c r="O5838" s="24"/>
      <c r="P5838"/>
      <c r="Q5838" s="24"/>
      <c r="R5838"/>
      <c r="S5838"/>
      <c r="T5838"/>
      <c r="U5838"/>
      <c r="X5838" s="60"/>
    </row>
    <row r="5839" spans="7:24" ht="15" customHeight="1">
      <c r="G5839"/>
      <c r="I5839"/>
      <c r="N5839"/>
      <c r="O5839" s="24"/>
      <c r="P5839"/>
      <c r="Q5839" s="24"/>
      <c r="R5839"/>
      <c r="S5839"/>
      <c r="T5839"/>
      <c r="U5839"/>
      <c r="X5839" s="60"/>
    </row>
    <row r="5840" spans="7:24" ht="15" customHeight="1">
      <c r="G5840"/>
      <c r="I5840"/>
      <c r="N5840"/>
      <c r="O5840" s="24"/>
      <c r="P5840"/>
      <c r="Q5840" s="24"/>
      <c r="R5840"/>
      <c r="S5840"/>
      <c r="T5840"/>
      <c r="U5840"/>
      <c r="X5840" s="60"/>
    </row>
    <row r="5841" spans="7:24" ht="15" customHeight="1">
      <c r="G5841"/>
      <c r="I5841"/>
      <c r="N5841"/>
      <c r="O5841" s="24"/>
      <c r="P5841"/>
      <c r="Q5841" s="24"/>
      <c r="R5841"/>
      <c r="S5841"/>
      <c r="T5841"/>
      <c r="U5841"/>
      <c r="X5841" s="60"/>
    </row>
    <row r="5842" spans="7:24" ht="15" customHeight="1">
      <c r="G5842"/>
      <c r="I5842"/>
      <c r="N5842"/>
      <c r="O5842" s="24"/>
      <c r="P5842"/>
      <c r="Q5842" s="24"/>
      <c r="R5842"/>
      <c r="S5842"/>
      <c r="T5842"/>
      <c r="U5842"/>
      <c r="X5842" s="60"/>
    </row>
    <row r="5843" spans="7:24" ht="15" customHeight="1">
      <c r="G5843"/>
      <c r="I5843"/>
      <c r="N5843"/>
      <c r="O5843" s="24"/>
      <c r="P5843"/>
      <c r="Q5843" s="24"/>
      <c r="R5843"/>
      <c r="S5843"/>
      <c r="T5843"/>
      <c r="U5843"/>
      <c r="X5843" s="60"/>
    </row>
    <row r="5844" spans="7:24" ht="15" customHeight="1">
      <c r="G5844"/>
      <c r="I5844"/>
      <c r="N5844"/>
      <c r="O5844" s="24"/>
      <c r="P5844"/>
      <c r="Q5844" s="24"/>
      <c r="R5844"/>
      <c r="S5844"/>
      <c r="T5844"/>
      <c r="U5844"/>
      <c r="X5844" s="60"/>
    </row>
    <row r="5845" spans="7:24" ht="15" customHeight="1">
      <c r="G5845"/>
      <c r="I5845"/>
      <c r="N5845"/>
      <c r="O5845" s="24"/>
      <c r="P5845"/>
      <c r="Q5845" s="24"/>
      <c r="R5845"/>
      <c r="S5845"/>
      <c r="T5845"/>
      <c r="U5845"/>
      <c r="X5845" s="60"/>
    </row>
    <row r="5846" spans="7:24" ht="15" customHeight="1">
      <c r="G5846"/>
      <c r="I5846"/>
      <c r="N5846"/>
      <c r="O5846" s="24"/>
      <c r="P5846"/>
      <c r="Q5846" s="24"/>
      <c r="R5846"/>
      <c r="S5846"/>
      <c r="T5846"/>
      <c r="U5846"/>
      <c r="X5846" s="60"/>
    </row>
    <row r="5847" spans="7:24" ht="15" customHeight="1">
      <c r="G5847"/>
      <c r="I5847"/>
      <c r="N5847"/>
      <c r="O5847" s="24"/>
      <c r="P5847"/>
      <c r="Q5847" s="24"/>
      <c r="R5847"/>
      <c r="S5847"/>
      <c r="T5847"/>
      <c r="U5847"/>
      <c r="X5847" s="60"/>
    </row>
    <row r="5848" spans="7:24" ht="15" customHeight="1">
      <c r="G5848"/>
      <c r="I5848"/>
      <c r="N5848"/>
      <c r="O5848" s="24"/>
      <c r="P5848"/>
      <c r="Q5848" s="24"/>
      <c r="R5848"/>
      <c r="S5848"/>
      <c r="T5848"/>
      <c r="U5848"/>
      <c r="X5848" s="60"/>
    </row>
    <row r="5849" spans="7:24" ht="15" customHeight="1">
      <c r="G5849"/>
      <c r="I5849"/>
      <c r="N5849"/>
      <c r="O5849" s="24"/>
      <c r="P5849"/>
      <c r="Q5849" s="24"/>
      <c r="R5849"/>
      <c r="S5849"/>
      <c r="T5849"/>
      <c r="U5849"/>
      <c r="X5849" s="60"/>
    </row>
    <row r="5850" spans="7:24" ht="15" customHeight="1">
      <c r="G5850"/>
      <c r="I5850"/>
      <c r="N5850"/>
      <c r="O5850" s="24"/>
      <c r="P5850"/>
      <c r="Q5850" s="24"/>
      <c r="R5850"/>
      <c r="S5850"/>
      <c r="T5850"/>
      <c r="U5850"/>
      <c r="X5850" s="60"/>
    </row>
    <row r="5851" spans="7:24" ht="15" customHeight="1">
      <c r="G5851"/>
      <c r="I5851"/>
      <c r="N5851"/>
      <c r="O5851" s="24"/>
      <c r="P5851"/>
      <c r="Q5851" s="24"/>
      <c r="R5851"/>
      <c r="S5851"/>
      <c r="T5851"/>
      <c r="U5851"/>
      <c r="X5851" s="60"/>
    </row>
    <row r="5852" spans="7:24" ht="15" customHeight="1">
      <c r="G5852"/>
      <c r="I5852"/>
      <c r="N5852"/>
      <c r="O5852" s="24"/>
      <c r="P5852"/>
      <c r="Q5852" s="24"/>
      <c r="R5852"/>
      <c r="S5852"/>
      <c r="T5852"/>
      <c r="U5852"/>
      <c r="X5852" s="60"/>
    </row>
    <row r="5853" spans="7:24" ht="15" customHeight="1">
      <c r="G5853"/>
      <c r="I5853"/>
      <c r="N5853"/>
      <c r="O5853" s="24"/>
      <c r="P5853"/>
      <c r="Q5853" s="24"/>
      <c r="R5853"/>
      <c r="S5853"/>
      <c r="T5853"/>
      <c r="U5853"/>
      <c r="X5853" s="60"/>
    </row>
    <row r="5854" spans="7:24" ht="15" customHeight="1">
      <c r="G5854"/>
      <c r="I5854"/>
      <c r="N5854"/>
      <c r="O5854" s="24"/>
      <c r="P5854"/>
      <c r="Q5854" s="24"/>
      <c r="R5854"/>
      <c r="S5854"/>
      <c r="T5854"/>
      <c r="U5854"/>
      <c r="X5854" s="60"/>
    </row>
    <row r="5855" spans="7:24" ht="15" customHeight="1">
      <c r="G5855"/>
      <c r="I5855"/>
      <c r="N5855"/>
      <c r="O5855" s="24"/>
      <c r="P5855"/>
      <c r="Q5855" s="24"/>
      <c r="R5855"/>
      <c r="S5855"/>
      <c r="T5855"/>
      <c r="U5855"/>
      <c r="X5855" s="60"/>
    </row>
    <row r="5856" spans="7:24" ht="15" customHeight="1">
      <c r="G5856"/>
      <c r="I5856"/>
      <c r="N5856"/>
      <c r="O5856" s="24"/>
      <c r="P5856"/>
      <c r="Q5856" s="24"/>
      <c r="R5856"/>
      <c r="S5856"/>
      <c r="T5856"/>
      <c r="U5856"/>
      <c r="X5856" s="60"/>
    </row>
    <row r="5857" spans="7:24" ht="15" customHeight="1">
      <c r="G5857"/>
      <c r="I5857"/>
      <c r="N5857"/>
      <c r="O5857" s="24"/>
      <c r="P5857"/>
      <c r="Q5857" s="24"/>
      <c r="R5857"/>
      <c r="S5857"/>
      <c r="T5857"/>
      <c r="U5857"/>
      <c r="X5857" s="60"/>
    </row>
    <row r="5858" spans="7:24" ht="15" customHeight="1">
      <c r="G5858"/>
      <c r="I5858"/>
      <c r="N5858"/>
      <c r="O5858" s="24"/>
      <c r="P5858"/>
      <c r="Q5858" s="24"/>
      <c r="R5858"/>
      <c r="S5858"/>
      <c r="T5858"/>
      <c r="U5858"/>
      <c r="X5858" s="60"/>
    </row>
    <row r="5859" spans="7:24" ht="15" customHeight="1">
      <c r="G5859"/>
      <c r="I5859"/>
      <c r="N5859"/>
      <c r="O5859" s="24"/>
      <c r="P5859"/>
      <c r="Q5859" s="24"/>
      <c r="R5859"/>
      <c r="S5859"/>
      <c r="T5859"/>
      <c r="U5859"/>
      <c r="X5859" s="60"/>
    </row>
    <row r="5860" spans="7:24" ht="15" customHeight="1">
      <c r="G5860"/>
      <c r="I5860"/>
      <c r="N5860"/>
      <c r="O5860" s="24"/>
      <c r="P5860"/>
      <c r="Q5860" s="24"/>
      <c r="R5860"/>
      <c r="S5860"/>
      <c r="T5860"/>
      <c r="U5860"/>
      <c r="X5860" s="60"/>
    </row>
    <row r="5861" spans="7:24" ht="15" customHeight="1">
      <c r="G5861"/>
      <c r="I5861"/>
      <c r="N5861"/>
      <c r="O5861" s="24"/>
      <c r="P5861"/>
      <c r="Q5861" s="24"/>
      <c r="R5861"/>
      <c r="S5861"/>
      <c r="T5861"/>
      <c r="U5861"/>
      <c r="X5861" s="60"/>
    </row>
    <row r="5862" spans="7:24" ht="15" customHeight="1">
      <c r="G5862"/>
      <c r="I5862"/>
      <c r="N5862"/>
      <c r="O5862" s="24"/>
      <c r="P5862"/>
      <c r="Q5862" s="24"/>
      <c r="R5862"/>
      <c r="S5862"/>
      <c r="T5862"/>
      <c r="U5862"/>
      <c r="X5862" s="60"/>
    </row>
    <row r="5863" spans="7:24" ht="15" customHeight="1">
      <c r="G5863"/>
      <c r="I5863"/>
      <c r="N5863"/>
      <c r="O5863" s="24"/>
      <c r="P5863"/>
      <c r="Q5863" s="24"/>
      <c r="R5863"/>
      <c r="S5863"/>
      <c r="T5863"/>
      <c r="U5863"/>
      <c r="X5863" s="60"/>
    </row>
    <row r="5864" spans="7:24" ht="15" customHeight="1">
      <c r="G5864"/>
      <c r="I5864"/>
      <c r="N5864"/>
      <c r="O5864" s="24"/>
      <c r="P5864"/>
      <c r="Q5864" s="24"/>
      <c r="R5864"/>
      <c r="S5864"/>
      <c r="T5864"/>
      <c r="U5864"/>
      <c r="X5864" s="60"/>
    </row>
    <row r="5865" spans="7:24" ht="15" customHeight="1">
      <c r="G5865"/>
      <c r="I5865"/>
      <c r="N5865"/>
      <c r="O5865" s="24"/>
      <c r="P5865"/>
      <c r="Q5865" s="24"/>
      <c r="R5865"/>
      <c r="S5865"/>
      <c r="T5865"/>
      <c r="U5865"/>
      <c r="X5865" s="60"/>
    </row>
    <row r="5866" spans="7:24" ht="15" customHeight="1">
      <c r="G5866"/>
      <c r="I5866"/>
      <c r="N5866"/>
      <c r="O5866" s="24"/>
      <c r="P5866"/>
      <c r="Q5866" s="24"/>
      <c r="R5866"/>
      <c r="S5866"/>
      <c r="T5866"/>
      <c r="U5866"/>
      <c r="X5866" s="60"/>
    </row>
    <row r="5867" spans="7:24" ht="15" customHeight="1">
      <c r="G5867"/>
      <c r="I5867"/>
      <c r="N5867"/>
      <c r="O5867" s="24"/>
      <c r="P5867"/>
      <c r="Q5867" s="24"/>
      <c r="R5867"/>
      <c r="S5867"/>
      <c r="T5867"/>
      <c r="U5867"/>
      <c r="X5867" s="60"/>
    </row>
    <row r="5868" spans="7:24" ht="15" customHeight="1">
      <c r="G5868"/>
      <c r="I5868"/>
      <c r="N5868"/>
      <c r="O5868" s="24"/>
      <c r="P5868"/>
      <c r="Q5868" s="24"/>
      <c r="R5868"/>
      <c r="S5868"/>
      <c r="T5868"/>
      <c r="U5868"/>
      <c r="X5868" s="60"/>
    </row>
    <row r="5869" spans="7:24" ht="15" customHeight="1">
      <c r="G5869"/>
      <c r="I5869"/>
      <c r="N5869"/>
      <c r="O5869" s="24"/>
      <c r="P5869"/>
      <c r="Q5869" s="24"/>
      <c r="R5869"/>
      <c r="S5869"/>
      <c r="T5869"/>
      <c r="U5869"/>
      <c r="X5869" s="60"/>
    </row>
    <row r="5870" spans="7:24" ht="15" customHeight="1">
      <c r="G5870"/>
      <c r="I5870"/>
      <c r="N5870"/>
      <c r="O5870" s="24"/>
      <c r="P5870"/>
      <c r="Q5870" s="24"/>
      <c r="R5870"/>
      <c r="S5870"/>
      <c r="T5870"/>
      <c r="U5870"/>
      <c r="X5870" s="60"/>
    </row>
    <row r="5871" spans="7:24" ht="15" customHeight="1">
      <c r="G5871"/>
      <c r="I5871"/>
      <c r="N5871"/>
      <c r="O5871" s="24"/>
      <c r="P5871"/>
      <c r="Q5871" s="24"/>
      <c r="R5871"/>
      <c r="S5871"/>
      <c r="T5871"/>
      <c r="U5871"/>
      <c r="X5871" s="60"/>
    </row>
    <row r="5872" spans="7:24" ht="15" customHeight="1">
      <c r="G5872"/>
      <c r="I5872"/>
      <c r="N5872"/>
      <c r="O5872" s="24"/>
      <c r="P5872"/>
      <c r="Q5872" s="24"/>
      <c r="R5872"/>
      <c r="S5872"/>
      <c r="T5872"/>
      <c r="U5872"/>
      <c r="X5872" s="60"/>
    </row>
    <row r="5873" spans="7:24" ht="15" customHeight="1">
      <c r="G5873"/>
      <c r="I5873"/>
      <c r="N5873"/>
      <c r="O5873" s="24"/>
      <c r="P5873"/>
      <c r="Q5873" s="24"/>
      <c r="R5873"/>
      <c r="S5873"/>
      <c r="T5873"/>
      <c r="U5873"/>
      <c r="X5873" s="60"/>
    </row>
    <row r="5874" spans="7:24" ht="15" customHeight="1">
      <c r="G5874"/>
      <c r="I5874"/>
      <c r="N5874"/>
      <c r="O5874" s="24"/>
      <c r="P5874"/>
      <c r="Q5874" s="24"/>
      <c r="R5874"/>
      <c r="S5874"/>
      <c r="T5874"/>
      <c r="U5874"/>
      <c r="X5874" s="60"/>
    </row>
    <row r="5875" spans="7:24" ht="15" customHeight="1">
      <c r="G5875"/>
      <c r="I5875"/>
      <c r="N5875"/>
      <c r="O5875" s="24"/>
      <c r="P5875"/>
      <c r="Q5875" s="24"/>
      <c r="R5875"/>
      <c r="S5875"/>
      <c r="T5875"/>
      <c r="U5875"/>
      <c r="X5875" s="60"/>
    </row>
    <row r="5876" spans="7:24" ht="15" customHeight="1">
      <c r="G5876"/>
      <c r="I5876"/>
      <c r="N5876"/>
      <c r="O5876" s="24"/>
      <c r="P5876"/>
      <c r="Q5876" s="24"/>
      <c r="R5876"/>
      <c r="S5876"/>
      <c r="T5876"/>
      <c r="U5876"/>
      <c r="X5876" s="60"/>
    </row>
    <row r="5877" spans="7:24" ht="15" customHeight="1">
      <c r="G5877"/>
      <c r="I5877"/>
      <c r="N5877"/>
      <c r="O5877" s="24"/>
      <c r="P5877"/>
      <c r="Q5877" s="24"/>
      <c r="R5877"/>
      <c r="S5877"/>
      <c r="T5877"/>
      <c r="U5877"/>
      <c r="X5877" s="60"/>
    </row>
    <row r="5878" spans="7:24" ht="15" customHeight="1">
      <c r="G5878"/>
      <c r="I5878"/>
      <c r="N5878"/>
      <c r="O5878" s="24"/>
      <c r="P5878"/>
      <c r="Q5878" s="24"/>
      <c r="R5878"/>
      <c r="S5878"/>
      <c r="T5878"/>
      <c r="U5878"/>
      <c r="X5878" s="60"/>
    </row>
    <row r="5879" spans="7:24" ht="15" customHeight="1">
      <c r="G5879"/>
      <c r="I5879"/>
      <c r="N5879"/>
      <c r="O5879" s="24"/>
      <c r="P5879"/>
      <c r="Q5879" s="24"/>
      <c r="R5879"/>
      <c r="S5879"/>
      <c r="T5879"/>
      <c r="U5879"/>
      <c r="X5879" s="60"/>
    </row>
    <row r="5880" spans="7:24" ht="15" customHeight="1">
      <c r="G5880"/>
      <c r="I5880"/>
      <c r="N5880"/>
      <c r="O5880" s="24"/>
      <c r="P5880"/>
      <c r="Q5880" s="24"/>
      <c r="R5880"/>
      <c r="S5880"/>
      <c r="T5880"/>
      <c r="U5880"/>
      <c r="X5880" s="60"/>
    </row>
    <row r="5881" spans="7:24" ht="15" customHeight="1">
      <c r="G5881"/>
      <c r="I5881"/>
      <c r="N5881"/>
      <c r="O5881" s="24"/>
      <c r="P5881"/>
      <c r="Q5881" s="24"/>
      <c r="R5881"/>
      <c r="S5881"/>
      <c r="T5881"/>
      <c r="U5881"/>
      <c r="X5881" s="60"/>
    </row>
    <row r="5882" spans="7:24" ht="15" customHeight="1">
      <c r="G5882"/>
      <c r="I5882"/>
      <c r="N5882"/>
      <c r="O5882" s="24"/>
      <c r="P5882"/>
      <c r="Q5882" s="24"/>
      <c r="R5882"/>
      <c r="S5882"/>
      <c r="T5882"/>
      <c r="U5882"/>
      <c r="X5882" s="60"/>
    </row>
    <row r="5883" spans="7:24" ht="15" customHeight="1">
      <c r="G5883"/>
      <c r="I5883"/>
      <c r="N5883"/>
      <c r="O5883" s="24"/>
      <c r="P5883"/>
      <c r="Q5883" s="24"/>
      <c r="R5883"/>
      <c r="S5883"/>
      <c r="T5883"/>
      <c r="U5883"/>
      <c r="X5883" s="60"/>
    </row>
    <row r="5884" spans="7:24" ht="15" customHeight="1">
      <c r="G5884"/>
      <c r="I5884"/>
      <c r="N5884"/>
      <c r="O5884" s="24"/>
      <c r="P5884"/>
      <c r="Q5884" s="24"/>
      <c r="R5884"/>
      <c r="S5884"/>
      <c r="T5884"/>
      <c r="U5884"/>
      <c r="X5884" s="60"/>
    </row>
    <row r="5885" spans="7:24" ht="15" customHeight="1">
      <c r="G5885"/>
      <c r="I5885"/>
      <c r="N5885"/>
      <c r="O5885" s="24"/>
      <c r="P5885"/>
      <c r="Q5885" s="24"/>
      <c r="R5885"/>
      <c r="S5885"/>
      <c r="T5885"/>
      <c r="U5885"/>
      <c r="X5885" s="60"/>
    </row>
    <row r="5886" spans="7:24" ht="15" customHeight="1">
      <c r="G5886"/>
      <c r="I5886"/>
      <c r="N5886"/>
      <c r="O5886" s="24"/>
      <c r="P5886"/>
      <c r="Q5886" s="24"/>
      <c r="R5886"/>
      <c r="S5886"/>
      <c r="T5886"/>
      <c r="U5886"/>
      <c r="X5886" s="60"/>
    </row>
    <row r="5887" spans="7:24" ht="15" customHeight="1">
      <c r="G5887"/>
      <c r="I5887"/>
      <c r="N5887"/>
      <c r="O5887" s="24"/>
      <c r="P5887"/>
      <c r="Q5887" s="24"/>
      <c r="R5887"/>
      <c r="S5887"/>
      <c r="T5887"/>
      <c r="U5887"/>
      <c r="X5887" s="60"/>
    </row>
    <row r="5888" spans="7:24" ht="15" customHeight="1">
      <c r="G5888"/>
      <c r="I5888"/>
      <c r="N5888"/>
      <c r="O5888" s="24"/>
      <c r="P5888"/>
      <c r="Q5888" s="24"/>
      <c r="R5888"/>
      <c r="S5888"/>
      <c r="T5888"/>
      <c r="U5888"/>
      <c r="X5888" s="60"/>
    </row>
    <row r="5889" spans="7:24" ht="15" customHeight="1">
      <c r="G5889"/>
      <c r="I5889"/>
      <c r="N5889"/>
      <c r="O5889" s="24"/>
      <c r="P5889"/>
      <c r="Q5889" s="24"/>
      <c r="R5889"/>
      <c r="S5889"/>
      <c r="T5889"/>
      <c r="U5889"/>
      <c r="X5889" s="60"/>
    </row>
    <row r="5890" spans="7:24" ht="15" customHeight="1">
      <c r="G5890"/>
      <c r="I5890"/>
      <c r="N5890"/>
      <c r="O5890" s="24"/>
      <c r="P5890"/>
      <c r="Q5890" s="24"/>
      <c r="R5890"/>
      <c r="S5890"/>
      <c r="T5890"/>
      <c r="U5890"/>
      <c r="X5890" s="60"/>
    </row>
    <row r="5891" spans="7:24" ht="15" customHeight="1">
      <c r="G5891"/>
      <c r="I5891"/>
      <c r="N5891"/>
      <c r="O5891" s="24"/>
      <c r="P5891"/>
      <c r="Q5891" s="24"/>
      <c r="R5891"/>
      <c r="S5891"/>
      <c r="T5891"/>
      <c r="U5891"/>
      <c r="X5891" s="60"/>
    </row>
    <row r="5892" spans="7:24" ht="15" customHeight="1">
      <c r="G5892"/>
      <c r="I5892"/>
      <c r="N5892"/>
      <c r="O5892" s="24"/>
      <c r="P5892"/>
      <c r="Q5892" s="24"/>
      <c r="R5892"/>
      <c r="S5892"/>
      <c r="T5892"/>
      <c r="U5892"/>
      <c r="X5892" s="60"/>
    </row>
    <row r="5893" spans="7:24" ht="15" customHeight="1">
      <c r="G5893"/>
      <c r="I5893"/>
      <c r="N5893"/>
      <c r="O5893" s="24"/>
      <c r="P5893"/>
      <c r="Q5893" s="24"/>
      <c r="R5893"/>
      <c r="S5893"/>
      <c r="T5893"/>
      <c r="U5893"/>
      <c r="X5893" s="60"/>
    </row>
    <row r="5894" spans="7:24" ht="15" customHeight="1">
      <c r="G5894"/>
      <c r="I5894"/>
      <c r="N5894"/>
      <c r="O5894" s="24"/>
      <c r="P5894"/>
      <c r="Q5894" s="24"/>
      <c r="R5894"/>
      <c r="S5894"/>
      <c r="T5894"/>
      <c r="U5894"/>
      <c r="X5894" s="60"/>
    </row>
    <row r="5895" spans="7:24" ht="15" customHeight="1">
      <c r="G5895"/>
      <c r="I5895"/>
      <c r="N5895"/>
      <c r="O5895" s="24"/>
      <c r="P5895"/>
      <c r="Q5895" s="24"/>
      <c r="R5895"/>
      <c r="S5895"/>
      <c r="T5895"/>
      <c r="U5895"/>
      <c r="X5895" s="60"/>
    </row>
    <row r="5896" spans="7:24" ht="15" customHeight="1">
      <c r="G5896"/>
      <c r="I5896"/>
      <c r="N5896"/>
      <c r="O5896" s="24"/>
      <c r="P5896"/>
      <c r="Q5896" s="24"/>
      <c r="R5896"/>
      <c r="S5896"/>
      <c r="T5896"/>
      <c r="U5896"/>
      <c r="X5896" s="60"/>
    </row>
    <row r="5897" spans="7:24" ht="15" customHeight="1">
      <c r="G5897"/>
      <c r="I5897"/>
      <c r="N5897"/>
      <c r="O5897" s="24"/>
      <c r="P5897"/>
      <c r="Q5897" s="24"/>
      <c r="R5897"/>
      <c r="S5897"/>
      <c r="T5897"/>
      <c r="U5897"/>
      <c r="X5897" s="60"/>
    </row>
    <row r="5898" spans="7:24" ht="15" customHeight="1">
      <c r="G5898"/>
      <c r="I5898"/>
      <c r="N5898"/>
      <c r="O5898" s="24"/>
      <c r="P5898"/>
      <c r="Q5898" s="24"/>
      <c r="R5898"/>
      <c r="S5898"/>
      <c r="T5898"/>
      <c r="U5898"/>
      <c r="X5898" s="60"/>
    </row>
    <row r="5899" spans="7:24" ht="15" customHeight="1">
      <c r="G5899"/>
      <c r="I5899"/>
      <c r="N5899"/>
      <c r="O5899" s="24"/>
      <c r="P5899"/>
      <c r="Q5899" s="24"/>
      <c r="R5899"/>
      <c r="S5899"/>
      <c r="T5899"/>
      <c r="U5899"/>
      <c r="X5899" s="60"/>
    </row>
    <row r="5900" spans="7:24" ht="15" customHeight="1">
      <c r="G5900"/>
      <c r="I5900"/>
      <c r="N5900"/>
      <c r="O5900" s="24"/>
      <c r="P5900"/>
      <c r="Q5900" s="24"/>
      <c r="R5900"/>
      <c r="S5900"/>
      <c r="T5900"/>
      <c r="U5900"/>
      <c r="X5900" s="60"/>
    </row>
    <row r="5901" spans="7:24" ht="15" customHeight="1">
      <c r="G5901"/>
      <c r="I5901"/>
      <c r="N5901"/>
      <c r="O5901" s="24"/>
      <c r="P5901"/>
      <c r="Q5901" s="24"/>
      <c r="R5901"/>
      <c r="S5901"/>
      <c r="T5901"/>
      <c r="U5901"/>
      <c r="X5901" s="60"/>
    </row>
    <row r="5902" spans="7:24" ht="15" customHeight="1">
      <c r="G5902"/>
      <c r="I5902"/>
      <c r="N5902"/>
      <c r="O5902" s="24"/>
      <c r="P5902"/>
      <c r="Q5902" s="24"/>
      <c r="R5902"/>
      <c r="S5902"/>
      <c r="T5902"/>
      <c r="U5902"/>
      <c r="X5902" s="60"/>
    </row>
    <row r="5903" spans="7:24" ht="15" customHeight="1">
      <c r="G5903"/>
      <c r="I5903"/>
      <c r="N5903"/>
      <c r="O5903" s="24"/>
      <c r="P5903"/>
      <c r="Q5903" s="24"/>
      <c r="R5903"/>
      <c r="S5903"/>
      <c r="T5903"/>
      <c r="U5903"/>
      <c r="X5903" s="60"/>
    </row>
    <row r="5904" spans="7:24" ht="15" customHeight="1">
      <c r="G5904"/>
      <c r="I5904"/>
      <c r="N5904"/>
      <c r="O5904" s="24"/>
      <c r="P5904"/>
      <c r="Q5904" s="24"/>
      <c r="R5904"/>
      <c r="S5904"/>
      <c r="T5904"/>
      <c r="U5904"/>
      <c r="X5904" s="60"/>
    </row>
    <row r="5905" spans="7:24" ht="15" customHeight="1">
      <c r="G5905"/>
      <c r="I5905"/>
      <c r="N5905"/>
      <c r="O5905" s="24"/>
      <c r="P5905"/>
      <c r="Q5905" s="24"/>
      <c r="R5905"/>
      <c r="S5905"/>
      <c r="T5905"/>
      <c r="U5905"/>
      <c r="X5905" s="60"/>
    </row>
    <row r="5906" spans="7:24" ht="15" customHeight="1">
      <c r="G5906"/>
      <c r="I5906"/>
      <c r="N5906"/>
      <c r="O5906" s="24"/>
      <c r="P5906"/>
      <c r="Q5906" s="24"/>
      <c r="R5906"/>
      <c r="S5906"/>
      <c r="T5906"/>
      <c r="U5906"/>
      <c r="X5906" s="60"/>
    </row>
    <row r="5907" spans="7:24" ht="15" customHeight="1">
      <c r="G5907"/>
      <c r="I5907"/>
      <c r="N5907"/>
      <c r="O5907" s="24"/>
      <c r="P5907"/>
      <c r="Q5907" s="24"/>
      <c r="R5907"/>
      <c r="S5907"/>
      <c r="T5907"/>
      <c r="U5907"/>
      <c r="X5907" s="60"/>
    </row>
    <row r="5908" spans="7:24" ht="15" customHeight="1">
      <c r="G5908"/>
      <c r="I5908"/>
      <c r="N5908"/>
      <c r="O5908" s="24"/>
      <c r="P5908"/>
      <c r="Q5908" s="24"/>
      <c r="R5908"/>
      <c r="S5908"/>
      <c r="T5908"/>
      <c r="U5908"/>
      <c r="X5908" s="60"/>
    </row>
    <row r="5909" spans="7:24" ht="15" customHeight="1">
      <c r="G5909"/>
      <c r="I5909"/>
      <c r="N5909"/>
      <c r="O5909" s="24"/>
      <c r="P5909"/>
      <c r="Q5909" s="24"/>
      <c r="R5909"/>
      <c r="S5909"/>
      <c r="T5909"/>
      <c r="U5909"/>
      <c r="X5909" s="60"/>
    </row>
    <row r="5910" spans="7:24" ht="15" customHeight="1">
      <c r="G5910"/>
      <c r="I5910"/>
      <c r="N5910"/>
      <c r="O5910" s="24"/>
      <c r="P5910"/>
      <c r="Q5910" s="24"/>
      <c r="R5910"/>
      <c r="S5910"/>
      <c r="T5910"/>
      <c r="U5910"/>
      <c r="X5910" s="60"/>
    </row>
    <row r="5911" spans="7:24" ht="15" customHeight="1">
      <c r="G5911"/>
      <c r="I5911"/>
      <c r="N5911"/>
      <c r="O5911" s="24"/>
      <c r="P5911"/>
      <c r="Q5911" s="24"/>
      <c r="R5911"/>
      <c r="S5911"/>
      <c r="T5911"/>
      <c r="U5911"/>
      <c r="X5911" s="60"/>
    </row>
    <row r="5912" spans="7:24" ht="15" customHeight="1">
      <c r="G5912"/>
      <c r="I5912"/>
      <c r="N5912"/>
      <c r="O5912" s="24"/>
      <c r="P5912"/>
      <c r="Q5912" s="24"/>
      <c r="R5912"/>
      <c r="S5912"/>
      <c r="T5912"/>
      <c r="U5912"/>
      <c r="X5912" s="60"/>
    </row>
    <row r="5913" spans="7:24" ht="15" customHeight="1">
      <c r="G5913"/>
      <c r="I5913"/>
      <c r="N5913"/>
      <c r="O5913" s="24"/>
      <c r="P5913"/>
      <c r="Q5913" s="24"/>
      <c r="R5913"/>
      <c r="S5913"/>
      <c r="T5913"/>
      <c r="U5913"/>
      <c r="X5913" s="60"/>
    </row>
    <row r="5914" spans="7:24" ht="15" customHeight="1">
      <c r="G5914"/>
      <c r="I5914"/>
      <c r="N5914"/>
      <c r="O5914" s="24"/>
      <c r="P5914"/>
      <c r="Q5914" s="24"/>
      <c r="R5914"/>
      <c r="S5914"/>
      <c r="T5914"/>
      <c r="U5914"/>
      <c r="X5914" s="60"/>
    </row>
    <row r="5915" spans="7:24" ht="15" customHeight="1">
      <c r="G5915"/>
      <c r="I5915"/>
      <c r="N5915"/>
      <c r="O5915" s="24"/>
      <c r="P5915"/>
      <c r="Q5915" s="24"/>
      <c r="R5915"/>
      <c r="S5915"/>
      <c r="T5915"/>
      <c r="U5915"/>
      <c r="X5915" s="60"/>
    </row>
    <row r="5916" spans="7:24" ht="15" customHeight="1">
      <c r="G5916"/>
      <c r="I5916"/>
      <c r="N5916"/>
      <c r="O5916" s="24"/>
      <c r="P5916"/>
      <c r="Q5916" s="24"/>
      <c r="R5916"/>
      <c r="S5916"/>
      <c r="T5916"/>
      <c r="U5916"/>
      <c r="X5916" s="60"/>
    </row>
    <row r="5917" spans="7:24" ht="15" customHeight="1">
      <c r="G5917"/>
      <c r="I5917"/>
      <c r="N5917"/>
      <c r="O5917" s="24"/>
      <c r="P5917"/>
      <c r="Q5917" s="24"/>
      <c r="R5917"/>
      <c r="S5917"/>
      <c r="T5917"/>
      <c r="U5917"/>
      <c r="X5917" s="60"/>
    </row>
    <row r="5918" spans="7:24" ht="15" customHeight="1">
      <c r="G5918"/>
      <c r="I5918"/>
      <c r="N5918"/>
      <c r="O5918" s="24"/>
      <c r="P5918"/>
      <c r="Q5918" s="24"/>
      <c r="R5918"/>
      <c r="S5918"/>
      <c r="T5918"/>
      <c r="U5918"/>
      <c r="X5918" s="60"/>
    </row>
    <row r="5919" spans="7:24" ht="15" customHeight="1">
      <c r="G5919"/>
      <c r="I5919"/>
      <c r="N5919"/>
      <c r="O5919" s="24"/>
      <c r="P5919"/>
      <c r="Q5919" s="24"/>
      <c r="R5919"/>
      <c r="S5919"/>
      <c r="T5919"/>
      <c r="U5919"/>
      <c r="X5919" s="60"/>
    </row>
    <row r="5920" spans="7:24" ht="15" customHeight="1">
      <c r="G5920"/>
      <c r="I5920"/>
      <c r="N5920"/>
      <c r="O5920" s="24"/>
      <c r="P5920"/>
      <c r="Q5920" s="24"/>
      <c r="R5920"/>
      <c r="S5920"/>
      <c r="T5920"/>
      <c r="U5920"/>
      <c r="X5920" s="60"/>
    </row>
    <row r="5921" spans="7:24" ht="15" customHeight="1">
      <c r="G5921"/>
      <c r="I5921"/>
      <c r="N5921"/>
      <c r="O5921" s="24"/>
      <c r="P5921"/>
      <c r="Q5921" s="24"/>
      <c r="R5921"/>
      <c r="S5921"/>
      <c r="T5921"/>
      <c r="U5921"/>
      <c r="X5921" s="60"/>
    </row>
    <row r="5922" spans="7:24" ht="15" customHeight="1">
      <c r="G5922"/>
      <c r="I5922"/>
      <c r="N5922"/>
      <c r="O5922" s="24"/>
      <c r="P5922"/>
      <c r="Q5922" s="24"/>
      <c r="R5922"/>
      <c r="S5922"/>
      <c r="T5922"/>
      <c r="U5922"/>
      <c r="X5922" s="60"/>
    </row>
    <row r="5923" spans="7:24" ht="15" customHeight="1">
      <c r="G5923"/>
      <c r="I5923"/>
      <c r="N5923"/>
      <c r="O5923" s="24"/>
      <c r="P5923"/>
      <c r="Q5923" s="24"/>
      <c r="R5923"/>
      <c r="S5923"/>
      <c r="T5923"/>
      <c r="U5923"/>
      <c r="X5923" s="60"/>
    </row>
    <row r="5924" spans="7:24" ht="15" customHeight="1">
      <c r="G5924"/>
      <c r="I5924"/>
      <c r="N5924"/>
      <c r="O5924" s="24"/>
      <c r="P5924"/>
      <c r="Q5924" s="24"/>
      <c r="R5924"/>
      <c r="S5924"/>
      <c r="T5924"/>
      <c r="U5924"/>
      <c r="X5924" s="60"/>
    </row>
    <row r="5925" spans="7:24" ht="15" customHeight="1">
      <c r="G5925"/>
      <c r="I5925"/>
      <c r="N5925"/>
      <c r="O5925" s="24"/>
      <c r="P5925"/>
      <c r="Q5925" s="24"/>
      <c r="R5925"/>
      <c r="S5925"/>
      <c r="T5925"/>
      <c r="U5925"/>
      <c r="X5925" s="60"/>
    </row>
    <row r="5926" spans="7:24" ht="15" customHeight="1">
      <c r="G5926"/>
      <c r="I5926"/>
      <c r="N5926"/>
      <c r="O5926" s="24"/>
      <c r="P5926"/>
      <c r="Q5926" s="24"/>
      <c r="R5926"/>
      <c r="S5926"/>
      <c r="T5926"/>
      <c r="U5926"/>
      <c r="X5926" s="60"/>
    </row>
    <row r="5927" spans="7:24" ht="15" customHeight="1">
      <c r="G5927"/>
      <c r="I5927"/>
      <c r="N5927"/>
      <c r="O5927" s="24"/>
      <c r="P5927"/>
      <c r="Q5927" s="24"/>
      <c r="R5927"/>
      <c r="S5927"/>
      <c r="T5927"/>
      <c r="U5927"/>
      <c r="X5927" s="60"/>
    </row>
    <row r="5928" spans="7:24" ht="15" customHeight="1">
      <c r="G5928"/>
      <c r="I5928"/>
      <c r="N5928"/>
      <c r="O5928" s="24"/>
      <c r="P5928"/>
      <c r="Q5928" s="24"/>
      <c r="R5928"/>
      <c r="S5928"/>
      <c r="T5928"/>
      <c r="U5928"/>
      <c r="X5928" s="60"/>
    </row>
    <row r="5929" spans="7:24" ht="15" customHeight="1">
      <c r="G5929"/>
      <c r="I5929"/>
      <c r="N5929"/>
      <c r="O5929" s="24"/>
      <c r="P5929"/>
      <c r="Q5929" s="24"/>
      <c r="R5929"/>
      <c r="S5929"/>
      <c r="T5929"/>
      <c r="U5929"/>
      <c r="X5929" s="60"/>
    </row>
    <row r="5930" spans="7:24" ht="15" customHeight="1">
      <c r="G5930"/>
      <c r="I5930"/>
      <c r="N5930"/>
      <c r="O5930" s="24"/>
      <c r="P5930"/>
      <c r="Q5930" s="24"/>
      <c r="R5930"/>
      <c r="S5930"/>
      <c r="T5930"/>
      <c r="U5930"/>
      <c r="X5930" s="60"/>
    </row>
    <row r="5931" spans="7:24" ht="15" customHeight="1">
      <c r="G5931"/>
      <c r="I5931"/>
      <c r="N5931"/>
      <c r="O5931" s="24"/>
      <c r="P5931"/>
      <c r="Q5931" s="24"/>
      <c r="R5931"/>
      <c r="S5931"/>
      <c r="T5931"/>
      <c r="U5931"/>
      <c r="X5931" s="60"/>
    </row>
    <row r="5932" spans="7:24" ht="15" customHeight="1">
      <c r="G5932"/>
      <c r="I5932"/>
      <c r="N5932"/>
      <c r="O5932" s="24"/>
      <c r="P5932"/>
      <c r="Q5932" s="24"/>
      <c r="R5932"/>
      <c r="S5932"/>
      <c r="T5932"/>
      <c r="U5932"/>
      <c r="X5932" s="60"/>
    </row>
    <row r="5933" spans="7:24" ht="15" customHeight="1">
      <c r="G5933"/>
      <c r="I5933"/>
      <c r="N5933"/>
      <c r="O5933" s="24"/>
      <c r="P5933"/>
      <c r="Q5933" s="24"/>
      <c r="R5933"/>
      <c r="S5933"/>
      <c r="T5933"/>
      <c r="U5933"/>
      <c r="X5933" s="60"/>
    </row>
    <row r="5934" spans="7:24" ht="15" customHeight="1">
      <c r="G5934"/>
      <c r="I5934"/>
      <c r="N5934"/>
      <c r="O5934" s="24"/>
      <c r="P5934"/>
      <c r="Q5934" s="24"/>
      <c r="R5934"/>
      <c r="S5934"/>
      <c r="T5934"/>
      <c r="U5934"/>
      <c r="X5934" s="60"/>
    </row>
    <row r="5935" spans="7:24" ht="15" customHeight="1">
      <c r="G5935"/>
      <c r="I5935"/>
      <c r="N5935"/>
      <c r="O5935" s="24"/>
      <c r="P5935"/>
      <c r="Q5935" s="24"/>
      <c r="R5935"/>
      <c r="S5935"/>
      <c r="T5935"/>
      <c r="U5935"/>
      <c r="X5935" s="60"/>
    </row>
    <row r="5936" spans="7:24" ht="15" customHeight="1">
      <c r="G5936"/>
      <c r="I5936"/>
      <c r="N5936"/>
      <c r="O5936" s="24"/>
      <c r="P5936"/>
      <c r="Q5936" s="24"/>
      <c r="R5936"/>
      <c r="S5936"/>
      <c r="T5936"/>
      <c r="U5936"/>
      <c r="X5936" s="60"/>
    </row>
    <row r="5937" spans="7:24" ht="15" customHeight="1">
      <c r="G5937"/>
      <c r="I5937"/>
      <c r="N5937"/>
      <c r="O5937" s="24"/>
      <c r="P5937"/>
      <c r="Q5937" s="24"/>
      <c r="R5937"/>
      <c r="S5937"/>
      <c r="T5937"/>
      <c r="U5937"/>
      <c r="X5937" s="60"/>
    </row>
    <row r="5938" spans="7:24" ht="15" customHeight="1">
      <c r="G5938"/>
      <c r="I5938"/>
      <c r="N5938"/>
      <c r="O5938" s="24"/>
      <c r="P5938"/>
      <c r="Q5938" s="24"/>
      <c r="R5938"/>
      <c r="S5938"/>
      <c r="T5938"/>
      <c r="U5938"/>
      <c r="X5938" s="60"/>
    </row>
    <row r="5939" spans="7:24" ht="15" customHeight="1">
      <c r="G5939"/>
      <c r="I5939"/>
      <c r="N5939"/>
      <c r="O5939" s="24"/>
      <c r="P5939"/>
      <c r="Q5939" s="24"/>
      <c r="R5939"/>
      <c r="S5939"/>
      <c r="T5939"/>
      <c r="U5939"/>
      <c r="X5939" s="60"/>
    </row>
    <row r="5940" spans="7:24" ht="15" customHeight="1">
      <c r="G5940"/>
      <c r="I5940"/>
      <c r="N5940"/>
      <c r="O5940" s="24"/>
      <c r="P5940"/>
      <c r="Q5940" s="24"/>
      <c r="R5940"/>
      <c r="S5940"/>
      <c r="T5940"/>
      <c r="U5940"/>
      <c r="X5940" s="60"/>
    </row>
    <row r="5941" spans="7:24" ht="15" customHeight="1">
      <c r="G5941"/>
      <c r="I5941"/>
      <c r="N5941"/>
      <c r="O5941" s="24"/>
      <c r="P5941"/>
      <c r="Q5941" s="24"/>
      <c r="R5941"/>
      <c r="S5941"/>
      <c r="T5941"/>
      <c r="U5941"/>
      <c r="X5941" s="60"/>
    </row>
    <row r="5942" spans="7:24" ht="15" customHeight="1">
      <c r="G5942"/>
      <c r="I5942"/>
      <c r="N5942"/>
      <c r="O5942" s="24"/>
      <c r="P5942"/>
      <c r="Q5942" s="24"/>
      <c r="R5942"/>
      <c r="S5942"/>
      <c r="T5942"/>
      <c r="U5942"/>
      <c r="X5942" s="60"/>
    </row>
    <row r="5943" spans="7:24" ht="15" customHeight="1">
      <c r="G5943"/>
      <c r="I5943"/>
      <c r="N5943"/>
      <c r="O5943" s="24"/>
      <c r="P5943"/>
      <c r="Q5943" s="24"/>
      <c r="R5943"/>
      <c r="S5943"/>
      <c r="T5943"/>
      <c r="U5943"/>
      <c r="X5943" s="60"/>
    </row>
    <row r="5944" spans="7:24" ht="15" customHeight="1">
      <c r="G5944"/>
      <c r="I5944"/>
      <c r="N5944"/>
      <c r="O5944" s="24"/>
      <c r="P5944"/>
      <c r="Q5944" s="24"/>
      <c r="R5944"/>
      <c r="S5944"/>
      <c r="T5944"/>
      <c r="U5944"/>
      <c r="X5944" s="60"/>
    </row>
    <row r="5945" spans="7:24" ht="15" customHeight="1">
      <c r="G5945"/>
      <c r="I5945"/>
      <c r="N5945"/>
      <c r="O5945" s="24"/>
      <c r="P5945"/>
      <c r="Q5945" s="24"/>
      <c r="R5945"/>
      <c r="S5945"/>
      <c r="T5945"/>
      <c r="U5945"/>
      <c r="X5945" s="60"/>
    </row>
    <row r="5946" spans="7:24" ht="15" customHeight="1">
      <c r="G5946"/>
      <c r="I5946"/>
      <c r="N5946"/>
      <c r="O5946" s="24"/>
      <c r="P5946"/>
      <c r="Q5946" s="24"/>
      <c r="R5946"/>
      <c r="S5946"/>
      <c r="T5946"/>
      <c r="U5946"/>
      <c r="X5946" s="60"/>
    </row>
    <row r="5947" spans="7:24" ht="15" customHeight="1">
      <c r="G5947"/>
      <c r="I5947"/>
      <c r="N5947"/>
      <c r="O5947" s="24"/>
      <c r="P5947"/>
      <c r="Q5947" s="24"/>
      <c r="R5947"/>
      <c r="S5947"/>
      <c r="T5947"/>
      <c r="U5947"/>
      <c r="X5947" s="60"/>
    </row>
    <row r="5948" spans="7:24" ht="15" customHeight="1">
      <c r="G5948"/>
      <c r="I5948"/>
      <c r="N5948"/>
      <c r="O5948" s="24"/>
      <c r="P5948"/>
      <c r="Q5948" s="24"/>
      <c r="R5948"/>
      <c r="S5948"/>
      <c r="T5948"/>
      <c r="U5948"/>
      <c r="X5948" s="60"/>
    </row>
    <row r="5949" spans="7:24" ht="15" customHeight="1">
      <c r="G5949"/>
      <c r="I5949"/>
      <c r="N5949"/>
      <c r="O5949" s="24"/>
      <c r="P5949"/>
      <c r="Q5949" s="24"/>
      <c r="R5949"/>
      <c r="S5949"/>
      <c r="T5949"/>
      <c r="U5949"/>
      <c r="X5949" s="60"/>
    </row>
    <row r="5950" spans="7:24" ht="15" customHeight="1">
      <c r="G5950"/>
      <c r="I5950"/>
      <c r="N5950"/>
      <c r="O5950" s="24"/>
      <c r="P5950"/>
      <c r="Q5950" s="24"/>
      <c r="R5950"/>
      <c r="S5950"/>
      <c r="T5950"/>
      <c r="U5950"/>
      <c r="X5950" s="60"/>
    </row>
    <row r="5951" spans="7:24" ht="15" customHeight="1">
      <c r="G5951"/>
      <c r="I5951"/>
      <c r="N5951"/>
      <c r="O5951" s="24"/>
      <c r="P5951"/>
      <c r="Q5951" s="24"/>
      <c r="R5951"/>
      <c r="S5951"/>
      <c r="T5951"/>
      <c r="U5951"/>
      <c r="X5951" s="60"/>
    </row>
    <row r="5952" spans="7:24" ht="15" customHeight="1">
      <c r="G5952"/>
      <c r="I5952"/>
      <c r="N5952"/>
      <c r="O5952" s="24"/>
      <c r="P5952"/>
      <c r="Q5952" s="24"/>
      <c r="R5952"/>
      <c r="S5952"/>
      <c r="T5952"/>
      <c r="U5952"/>
      <c r="X5952" s="60"/>
    </row>
    <row r="5953" spans="7:24" ht="15" customHeight="1">
      <c r="G5953"/>
      <c r="I5953"/>
      <c r="N5953"/>
      <c r="O5953" s="24"/>
      <c r="P5953"/>
      <c r="Q5953" s="24"/>
      <c r="R5953"/>
      <c r="S5953"/>
      <c r="T5953"/>
      <c r="U5953"/>
      <c r="X5953" s="60"/>
    </row>
    <row r="5954" spans="7:24" ht="15" customHeight="1">
      <c r="G5954"/>
      <c r="I5954"/>
      <c r="N5954"/>
      <c r="O5954" s="24"/>
      <c r="P5954"/>
      <c r="Q5954" s="24"/>
      <c r="R5954"/>
      <c r="S5954"/>
      <c r="T5954"/>
      <c r="U5954"/>
      <c r="X5954" s="60"/>
    </row>
    <row r="5955" spans="7:24" ht="15" customHeight="1">
      <c r="G5955"/>
      <c r="I5955"/>
      <c r="N5955"/>
      <c r="O5955" s="24"/>
      <c r="P5955"/>
      <c r="Q5955" s="24"/>
      <c r="R5955"/>
      <c r="S5955"/>
      <c r="T5955"/>
      <c r="U5955"/>
      <c r="X5955" s="60"/>
    </row>
    <row r="5956" spans="7:24" ht="15" customHeight="1">
      <c r="G5956"/>
      <c r="I5956"/>
      <c r="N5956"/>
      <c r="O5956" s="24"/>
      <c r="P5956"/>
      <c r="Q5956" s="24"/>
      <c r="R5956"/>
      <c r="S5956"/>
      <c r="T5956"/>
      <c r="U5956"/>
      <c r="X5956" s="60"/>
    </row>
    <row r="5957" spans="7:24" ht="15" customHeight="1">
      <c r="G5957"/>
      <c r="I5957"/>
      <c r="N5957"/>
      <c r="O5957" s="24"/>
      <c r="P5957"/>
      <c r="Q5957" s="24"/>
      <c r="R5957"/>
      <c r="S5957"/>
      <c r="T5957"/>
      <c r="U5957"/>
      <c r="X5957" s="60"/>
    </row>
    <row r="5958" spans="7:24" ht="15" customHeight="1">
      <c r="G5958"/>
      <c r="I5958"/>
      <c r="N5958"/>
      <c r="O5958" s="24"/>
      <c r="P5958"/>
      <c r="Q5958" s="24"/>
      <c r="R5958"/>
      <c r="S5958"/>
      <c r="T5958"/>
      <c r="U5958"/>
      <c r="X5958" s="60"/>
    </row>
    <row r="5959" spans="7:24" ht="15" customHeight="1">
      <c r="G5959"/>
      <c r="I5959"/>
      <c r="N5959"/>
      <c r="O5959" s="24"/>
      <c r="P5959"/>
      <c r="Q5959" s="24"/>
      <c r="R5959"/>
      <c r="S5959"/>
      <c r="T5959"/>
      <c r="U5959"/>
      <c r="X5959" s="60"/>
    </row>
    <row r="5960" spans="7:24" ht="15" customHeight="1">
      <c r="G5960"/>
      <c r="I5960"/>
      <c r="N5960"/>
      <c r="O5960" s="24"/>
      <c r="P5960"/>
      <c r="Q5960" s="24"/>
      <c r="R5960"/>
      <c r="S5960"/>
      <c r="T5960"/>
      <c r="U5960"/>
      <c r="X5960" s="60"/>
    </row>
    <row r="5961" spans="7:24" ht="15" customHeight="1">
      <c r="G5961"/>
      <c r="I5961"/>
      <c r="N5961"/>
      <c r="O5961" s="24"/>
      <c r="P5961"/>
      <c r="Q5961" s="24"/>
      <c r="R5961"/>
      <c r="S5961"/>
      <c r="T5961"/>
      <c r="U5961"/>
      <c r="X5961" s="60"/>
    </row>
    <row r="5962" spans="7:24" ht="15" customHeight="1">
      <c r="G5962"/>
      <c r="I5962"/>
      <c r="N5962"/>
      <c r="O5962" s="24"/>
      <c r="P5962"/>
      <c r="Q5962" s="24"/>
      <c r="R5962"/>
      <c r="S5962"/>
      <c r="T5962"/>
      <c r="U5962"/>
      <c r="X5962" s="60"/>
    </row>
    <row r="5963" spans="7:24" ht="15" customHeight="1">
      <c r="G5963"/>
      <c r="I5963"/>
      <c r="N5963"/>
      <c r="O5963" s="24"/>
      <c r="P5963"/>
      <c r="Q5963" s="24"/>
      <c r="R5963"/>
      <c r="S5963"/>
      <c r="T5963"/>
      <c r="U5963"/>
      <c r="X5963" s="60"/>
    </row>
    <row r="5964" spans="7:24" ht="15" customHeight="1">
      <c r="G5964"/>
      <c r="I5964"/>
      <c r="N5964"/>
      <c r="O5964" s="24"/>
      <c r="P5964"/>
      <c r="Q5964" s="24"/>
      <c r="R5964"/>
      <c r="S5964"/>
      <c r="T5964"/>
      <c r="U5964"/>
      <c r="X5964" s="60"/>
    </row>
    <row r="5965" spans="7:24" ht="15" customHeight="1">
      <c r="G5965"/>
      <c r="I5965"/>
      <c r="N5965"/>
      <c r="O5965" s="24"/>
      <c r="P5965"/>
      <c r="Q5965" s="24"/>
      <c r="R5965"/>
      <c r="S5965"/>
      <c r="T5965"/>
      <c r="U5965"/>
      <c r="X5965" s="60"/>
    </row>
    <row r="5966" spans="7:24" ht="15" customHeight="1">
      <c r="G5966"/>
      <c r="I5966"/>
      <c r="N5966"/>
      <c r="O5966" s="24"/>
      <c r="P5966"/>
      <c r="Q5966" s="24"/>
      <c r="R5966"/>
      <c r="S5966"/>
      <c r="T5966"/>
      <c r="U5966"/>
      <c r="X5966" s="60"/>
    </row>
    <row r="5967" spans="7:24" ht="15" customHeight="1">
      <c r="G5967"/>
      <c r="I5967"/>
      <c r="N5967"/>
      <c r="O5967" s="24"/>
      <c r="P5967"/>
      <c r="Q5967" s="24"/>
      <c r="R5967"/>
      <c r="S5967"/>
      <c r="T5967"/>
      <c r="U5967"/>
      <c r="X5967" s="60"/>
    </row>
    <row r="5968" spans="7:24" ht="15" customHeight="1">
      <c r="G5968"/>
      <c r="I5968"/>
      <c r="N5968"/>
      <c r="O5968" s="24"/>
      <c r="P5968"/>
      <c r="Q5968" s="24"/>
      <c r="R5968"/>
      <c r="S5968"/>
      <c r="T5968"/>
      <c r="U5968"/>
      <c r="X5968" s="60"/>
    </row>
    <row r="5969" spans="7:24" ht="15" customHeight="1">
      <c r="G5969"/>
      <c r="I5969"/>
      <c r="N5969"/>
      <c r="O5969" s="24"/>
      <c r="P5969"/>
      <c r="Q5969" s="24"/>
      <c r="R5969"/>
      <c r="S5969"/>
      <c r="T5969"/>
      <c r="U5969"/>
      <c r="X5969" s="60"/>
    </row>
    <row r="5970" spans="7:24" ht="15" customHeight="1">
      <c r="G5970"/>
      <c r="I5970"/>
      <c r="N5970"/>
      <c r="O5970" s="24"/>
      <c r="P5970"/>
      <c r="Q5970" s="24"/>
      <c r="R5970"/>
      <c r="S5970"/>
      <c r="T5970"/>
      <c r="U5970"/>
      <c r="X5970" s="60"/>
    </row>
    <row r="5971" spans="7:24" ht="15" customHeight="1">
      <c r="G5971"/>
      <c r="I5971"/>
      <c r="N5971"/>
      <c r="O5971" s="24"/>
      <c r="P5971"/>
      <c r="Q5971" s="24"/>
      <c r="R5971"/>
      <c r="S5971"/>
      <c r="T5971"/>
      <c r="U5971"/>
      <c r="X5971" s="60"/>
    </row>
    <row r="5972" spans="7:24" ht="15" customHeight="1">
      <c r="G5972"/>
      <c r="I5972"/>
      <c r="N5972"/>
      <c r="O5972" s="24"/>
      <c r="P5972"/>
      <c r="Q5972" s="24"/>
      <c r="R5972"/>
      <c r="S5972"/>
      <c r="T5972"/>
      <c r="U5972"/>
      <c r="X5972" s="60"/>
    </row>
    <row r="5973" spans="7:24" ht="15" customHeight="1">
      <c r="G5973"/>
      <c r="I5973"/>
      <c r="N5973"/>
      <c r="O5973" s="24"/>
      <c r="P5973"/>
      <c r="Q5973" s="24"/>
      <c r="R5973"/>
      <c r="S5973"/>
      <c r="T5973"/>
      <c r="U5973"/>
      <c r="X5973" s="60"/>
    </row>
    <row r="5974" spans="7:24" ht="15" customHeight="1">
      <c r="G5974"/>
      <c r="I5974"/>
      <c r="N5974"/>
      <c r="O5974" s="24"/>
      <c r="P5974"/>
      <c r="Q5974" s="24"/>
      <c r="R5974"/>
      <c r="S5974"/>
      <c r="T5974"/>
      <c r="U5974"/>
      <c r="X5974" s="60"/>
    </row>
    <row r="5975" spans="7:24" ht="15" customHeight="1">
      <c r="G5975"/>
      <c r="I5975"/>
      <c r="N5975"/>
      <c r="O5975" s="24"/>
      <c r="P5975"/>
      <c r="Q5975" s="24"/>
      <c r="R5975"/>
      <c r="S5975"/>
      <c r="T5975"/>
      <c r="U5975"/>
      <c r="X5975" s="60"/>
    </row>
    <row r="5976" spans="7:24" ht="15" customHeight="1">
      <c r="G5976"/>
      <c r="I5976"/>
      <c r="N5976"/>
      <c r="O5976" s="24"/>
      <c r="P5976"/>
      <c r="Q5976" s="24"/>
      <c r="R5976"/>
      <c r="S5976"/>
      <c r="T5976"/>
      <c r="U5976"/>
      <c r="X5976" s="60"/>
    </row>
    <row r="5977" spans="7:24" ht="15" customHeight="1">
      <c r="G5977"/>
      <c r="I5977"/>
      <c r="N5977"/>
      <c r="O5977" s="24"/>
      <c r="P5977"/>
      <c r="Q5977" s="24"/>
      <c r="R5977"/>
      <c r="S5977"/>
      <c r="T5977"/>
      <c r="U5977"/>
      <c r="X5977" s="60"/>
    </row>
    <row r="5978" spans="7:24" ht="15" customHeight="1">
      <c r="G5978"/>
      <c r="I5978"/>
      <c r="N5978"/>
      <c r="O5978" s="24"/>
      <c r="P5978"/>
      <c r="Q5978" s="24"/>
      <c r="R5978"/>
      <c r="S5978"/>
      <c r="T5978"/>
      <c r="U5978"/>
      <c r="X5978" s="60"/>
    </row>
    <row r="5979" spans="7:24" ht="15" customHeight="1">
      <c r="G5979"/>
      <c r="I5979"/>
      <c r="N5979"/>
      <c r="O5979" s="24"/>
      <c r="P5979"/>
      <c r="Q5979" s="24"/>
      <c r="R5979"/>
      <c r="S5979"/>
      <c r="T5979"/>
      <c r="U5979"/>
      <c r="X5979" s="60"/>
    </row>
    <row r="5980" spans="7:24" ht="15" customHeight="1">
      <c r="G5980"/>
      <c r="I5980"/>
      <c r="N5980"/>
      <c r="O5980" s="24"/>
      <c r="P5980"/>
      <c r="Q5980" s="24"/>
      <c r="R5980"/>
      <c r="S5980"/>
      <c r="T5980"/>
      <c r="U5980"/>
      <c r="X5980" s="60"/>
    </row>
    <row r="5981" spans="7:24" ht="15" customHeight="1">
      <c r="G5981"/>
      <c r="I5981"/>
      <c r="N5981"/>
      <c r="O5981" s="24"/>
      <c r="P5981"/>
      <c r="Q5981" s="24"/>
      <c r="R5981"/>
      <c r="S5981"/>
      <c r="T5981"/>
      <c r="U5981"/>
      <c r="X5981" s="60"/>
    </row>
    <row r="5982" spans="7:24" ht="15" customHeight="1">
      <c r="G5982"/>
      <c r="I5982"/>
      <c r="N5982"/>
      <c r="O5982" s="24"/>
      <c r="P5982"/>
      <c r="Q5982" s="24"/>
      <c r="R5982"/>
      <c r="S5982"/>
      <c r="T5982"/>
      <c r="U5982"/>
      <c r="X5982" s="60"/>
    </row>
    <row r="5983" spans="7:24" ht="15" customHeight="1">
      <c r="G5983"/>
      <c r="I5983"/>
      <c r="N5983"/>
      <c r="O5983" s="24"/>
      <c r="P5983"/>
      <c r="Q5983" s="24"/>
      <c r="R5983"/>
      <c r="S5983"/>
      <c r="T5983"/>
      <c r="U5983"/>
      <c r="X5983" s="60"/>
    </row>
    <row r="5984" spans="7:24" ht="15" customHeight="1">
      <c r="G5984"/>
      <c r="I5984"/>
      <c r="N5984"/>
      <c r="O5984" s="24"/>
      <c r="P5984"/>
      <c r="Q5984" s="24"/>
      <c r="R5984"/>
      <c r="S5984"/>
      <c r="T5984"/>
      <c r="U5984"/>
      <c r="X5984" s="60"/>
    </row>
    <row r="5985" spans="7:24" ht="15" customHeight="1">
      <c r="G5985"/>
      <c r="I5985"/>
      <c r="N5985"/>
      <c r="O5985" s="24"/>
      <c r="P5985"/>
      <c r="Q5985" s="24"/>
      <c r="R5985"/>
      <c r="S5985"/>
      <c r="T5985"/>
      <c r="U5985"/>
      <c r="X5985" s="60"/>
    </row>
    <row r="5986" spans="7:24" ht="15" customHeight="1">
      <c r="G5986"/>
      <c r="I5986"/>
      <c r="N5986"/>
      <c r="O5986" s="24"/>
      <c r="P5986"/>
      <c r="Q5986" s="24"/>
      <c r="R5986"/>
      <c r="S5986"/>
      <c r="T5986"/>
      <c r="U5986"/>
      <c r="X5986" s="60"/>
    </row>
    <row r="5987" spans="7:24" ht="15" customHeight="1">
      <c r="G5987"/>
      <c r="I5987"/>
      <c r="N5987"/>
      <c r="O5987" s="24"/>
      <c r="P5987"/>
      <c r="Q5987" s="24"/>
      <c r="R5987"/>
      <c r="S5987"/>
      <c r="T5987"/>
      <c r="U5987"/>
      <c r="X5987" s="60"/>
    </row>
    <row r="5988" spans="7:24" ht="15" customHeight="1">
      <c r="G5988"/>
      <c r="I5988"/>
      <c r="N5988"/>
      <c r="O5988" s="24"/>
      <c r="P5988"/>
      <c r="Q5988" s="24"/>
      <c r="R5988"/>
      <c r="S5988"/>
      <c r="T5988"/>
      <c r="U5988"/>
      <c r="X5988" s="60"/>
    </row>
    <row r="5989" spans="7:24" ht="15" customHeight="1">
      <c r="G5989"/>
      <c r="I5989"/>
      <c r="N5989"/>
      <c r="O5989" s="24"/>
      <c r="P5989"/>
      <c r="Q5989" s="24"/>
      <c r="R5989"/>
      <c r="S5989"/>
      <c r="T5989"/>
      <c r="U5989"/>
      <c r="X5989" s="60"/>
    </row>
    <row r="5990" spans="7:24" ht="15" customHeight="1">
      <c r="G5990"/>
      <c r="I5990"/>
      <c r="N5990"/>
      <c r="O5990" s="24"/>
      <c r="P5990"/>
      <c r="Q5990" s="24"/>
      <c r="R5990"/>
      <c r="S5990"/>
      <c r="T5990"/>
      <c r="U5990"/>
      <c r="X5990" s="60"/>
    </row>
    <row r="5991" spans="7:24" ht="15" customHeight="1">
      <c r="G5991"/>
      <c r="I5991"/>
      <c r="N5991"/>
      <c r="O5991" s="24"/>
      <c r="P5991"/>
      <c r="Q5991" s="24"/>
      <c r="R5991"/>
      <c r="S5991"/>
      <c r="T5991"/>
      <c r="U5991"/>
      <c r="X5991" s="60"/>
    </row>
    <row r="5992" spans="7:24" ht="15" customHeight="1">
      <c r="G5992"/>
      <c r="I5992"/>
      <c r="N5992"/>
      <c r="O5992" s="24"/>
      <c r="P5992"/>
      <c r="Q5992" s="24"/>
      <c r="R5992"/>
      <c r="S5992"/>
      <c r="T5992"/>
      <c r="U5992"/>
      <c r="X5992" s="60"/>
    </row>
    <row r="5993" spans="7:24" ht="15" customHeight="1">
      <c r="G5993"/>
      <c r="I5993"/>
      <c r="N5993"/>
      <c r="O5993" s="24"/>
      <c r="P5993"/>
      <c r="Q5993" s="24"/>
      <c r="R5993"/>
      <c r="S5993"/>
      <c r="T5993"/>
      <c r="U5993"/>
      <c r="X5993" s="60"/>
    </row>
    <row r="5994" spans="7:24" ht="15" customHeight="1">
      <c r="G5994"/>
      <c r="I5994"/>
      <c r="N5994"/>
      <c r="O5994" s="24"/>
      <c r="P5994"/>
      <c r="Q5994" s="24"/>
      <c r="R5994"/>
      <c r="S5994"/>
      <c r="T5994"/>
      <c r="U5994"/>
      <c r="X5994" s="60"/>
    </row>
    <row r="5995" spans="7:24" ht="15" customHeight="1">
      <c r="G5995"/>
      <c r="I5995"/>
      <c r="N5995"/>
      <c r="O5995" s="24"/>
      <c r="P5995"/>
      <c r="Q5995" s="24"/>
      <c r="R5995"/>
      <c r="S5995"/>
      <c r="T5995"/>
      <c r="U5995"/>
      <c r="X5995" s="60"/>
    </row>
    <row r="5996" spans="7:24" ht="15" customHeight="1">
      <c r="G5996"/>
      <c r="I5996"/>
      <c r="N5996"/>
      <c r="O5996" s="24"/>
      <c r="P5996"/>
      <c r="Q5996" s="24"/>
      <c r="R5996"/>
      <c r="S5996"/>
      <c r="T5996"/>
      <c r="U5996"/>
      <c r="X5996" s="60"/>
    </row>
    <row r="5997" spans="7:24" ht="15" customHeight="1">
      <c r="G5997"/>
      <c r="I5997"/>
      <c r="N5997"/>
      <c r="O5997" s="24"/>
      <c r="P5997"/>
      <c r="Q5997" s="24"/>
      <c r="R5997"/>
      <c r="S5997"/>
      <c r="T5997"/>
      <c r="U5997"/>
      <c r="X5997" s="60"/>
    </row>
    <row r="5998" spans="7:24" ht="15" customHeight="1">
      <c r="G5998"/>
      <c r="I5998"/>
      <c r="N5998"/>
      <c r="O5998" s="24"/>
      <c r="P5998"/>
      <c r="Q5998" s="24"/>
      <c r="R5998"/>
      <c r="S5998"/>
      <c r="T5998"/>
      <c r="U5998"/>
      <c r="X5998" s="60"/>
    </row>
    <row r="5999" spans="7:24" ht="15" customHeight="1">
      <c r="G5999"/>
      <c r="I5999"/>
      <c r="N5999"/>
      <c r="O5999" s="24"/>
      <c r="P5999"/>
      <c r="Q5999" s="24"/>
      <c r="R5999"/>
      <c r="S5999"/>
      <c r="T5999"/>
      <c r="U5999"/>
      <c r="X5999" s="60"/>
    </row>
    <row r="6000" spans="7:24" ht="15" customHeight="1">
      <c r="G6000"/>
      <c r="I6000"/>
      <c r="N6000"/>
      <c r="O6000" s="24"/>
      <c r="P6000"/>
      <c r="Q6000" s="24"/>
      <c r="R6000"/>
      <c r="S6000"/>
      <c r="T6000"/>
      <c r="U6000"/>
      <c r="X6000" s="60"/>
    </row>
    <row r="6001" spans="7:24" ht="15" customHeight="1">
      <c r="G6001"/>
      <c r="I6001"/>
      <c r="N6001"/>
      <c r="O6001" s="24"/>
      <c r="P6001"/>
      <c r="Q6001" s="24"/>
      <c r="R6001"/>
      <c r="S6001"/>
      <c r="T6001"/>
      <c r="U6001"/>
      <c r="X6001" s="60"/>
    </row>
    <row r="6002" spans="7:24" ht="15" customHeight="1">
      <c r="G6002"/>
      <c r="I6002"/>
      <c r="N6002"/>
      <c r="O6002" s="24"/>
      <c r="P6002"/>
      <c r="Q6002" s="24"/>
      <c r="R6002"/>
      <c r="S6002"/>
      <c r="T6002"/>
      <c r="U6002"/>
      <c r="X6002" s="60"/>
    </row>
    <row r="6003" spans="7:24" ht="15" customHeight="1">
      <c r="G6003"/>
      <c r="I6003"/>
      <c r="N6003"/>
      <c r="O6003" s="24"/>
      <c r="P6003"/>
      <c r="Q6003" s="24"/>
      <c r="R6003"/>
      <c r="S6003"/>
      <c r="T6003"/>
      <c r="U6003"/>
      <c r="X6003" s="60"/>
    </row>
    <row r="6004" spans="7:24" ht="15" customHeight="1">
      <c r="G6004"/>
      <c r="I6004"/>
      <c r="N6004"/>
      <c r="O6004" s="24"/>
      <c r="P6004"/>
      <c r="Q6004" s="24"/>
      <c r="R6004"/>
      <c r="S6004"/>
      <c r="T6004"/>
      <c r="U6004"/>
      <c r="X6004" s="60"/>
    </row>
    <row r="6005" spans="7:24" ht="15" customHeight="1">
      <c r="G6005"/>
      <c r="I6005"/>
      <c r="N6005"/>
      <c r="O6005" s="24"/>
      <c r="P6005"/>
      <c r="Q6005" s="24"/>
      <c r="R6005"/>
      <c r="S6005"/>
      <c r="T6005"/>
      <c r="U6005"/>
      <c r="X6005" s="60"/>
    </row>
    <row r="6006" spans="7:24" ht="15" customHeight="1">
      <c r="G6006"/>
      <c r="I6006"/>
      <c r="N6006"/>
      <c r="O6006" s="24"/>
      <c r="P6006"/>
      <c r="Q6006" s="24"/>
      <c r="R6006"/>
      <c r="S6006"/>
      <c r="T6006"/>
      <c r="U6006"/>
      <c r="X6006" s="60"/>
    </row>
    <row r="6007" spans="7:24" ht="15" customHeight="1">
      <c r="G6007"/>
      <c r="I6007"/>
      <c r="N6007"/>
      <c r="O6007" s="24"/>
      <c r="P6007"/>
      <c r="Q6007" s="24"/>
      <c r="R6007"/>
      <c r="S6007"/>
      <c r="T6007"/>
      <c r="U6007"/>
      <c r="X6007" s="60"/>
    </row>
    <row r="6008" spans="7:24" ht="15" customHeight="1">
      <c r="G6008"/>
      <c r="I6008"/>
      <c r="N6008"/>
      <c r="O6008" s="24"/>
      <c r="P6008"/>
      <c r="Q6008" s="24"/>
      <c r="R6008"/>
      <c r="S6008"/>
      <c r="T6008"/>
      <c r="U6008"/>
      <c r="X6008" s="60"/>
    </row>
    <row r="6009" spans="7:24" ht="15" customHeight="1">
      <c r="G6009"/>
      <c r="I6009"/>
      <c r="N6009"/>
      <c r="O6009" s="24"/>
      <c r="P6009"/>
      <c r="Q6009" s="24"/>
      <c r="R6009"/>
      <c r="S6009"/>
      <c r="T6009"/>
      <c r="U6009"/>
      <c r="X6009" s="60"/>
    </row>
    <row r="6010" spans="7:24" ht="15" customHeight="1">
      <c r="G6010"/>
      <c r="I6010"/>
      <c r="N6010"/>
      <c r="O6010" s="24"/>
      <c r="P6010"/>
      <c r="Q6010" s="24"/>
      <c r="R6010"/>
      <c r="S6010"/>
      <c r="T6010"/>
      <c r="U6010"/>
      <c r="X6010" s="60"/>
    </row>
    <row r="6011" spans="7:24" ht="15" customHeight="1">
      <c r="G6011"/>
      <c r="I6011"/>
      <c r="N6011"/>
      <c r="O6011" s="24"/>
      <c r="P6011"/>
      <c r="Q6011" s="24"/>
      <c r="R6011"/>
      <c r="S6011"/>
      <c r="T6011"/>
      <c r="U6011"/>
      <c r="X6011" s="60"/>
    </row>
    <row r="6012" spans="7:24" ht="15" customHeight="1">
      <c r="G6012"/>
      <c r="I6012"/>
      <c r="N6012"/>
      <c r="O6012" s="24"/>
      <c r="P6012"/>
      <c r="Q6012" s="24"/>
      <c r="R6012"/>
      <c r="S6012"/>
      <c r="T6012"/>
      <c r="U6012"/>
      <c r="X6012" s="60"/>
    </row>
    <row r="6013" spans="7:24" ht="15" customHeight="1">
      <c r="G6013"/>
      <c r="I6013"/>
      <c r="N6013"/>
      <c r="O6013" s="24"/>
      <c r="P6013"/>
      <c r="Q6013" s="24"/>
      <c r="R6013"/>
      <c r="S6013"/>
      <c r="T6013"/>
      <c r="U6013"/>
      <c r="X6013" s="60"/>
    </row>
    <row r="6014" spans="7:24" ht="15" customHeight="1">
      <c r="G6014"/>
      <c r="I6014"/>
      <c r="N6014"/>
      <c r="O6014" s="24"/>
      <c r="P6014"/>
      <c r="Q6014" s="24"/>
      <c r="R6014"/>
      <c r="S6014"/>
      <c r="T6014"/>
      <c r="U6014"/>
      <c r="X6014" s="60"/>
    </row>
    <row r="6015" spans="7:24" ht="15" customHeight="1">
      <c r="G6015"/>
      <c r="I6015"/>
      <c r="N6015"/>
      <c r="O6015" s="24"/>
      <c r="P6015"/>
      <c r="Q6015" s="24"/>
      <c r="R6015"/>
      <c r="S6015"/>
      <c r="T6015"/>
      <c r="U6015"/>
      <c r="X6015" s="60"/>
    </row>
    <row r="6016" spans="7:24" ht="15" customHeight="1">
      <c r="G6016"/>
      <c r="I6016"/>
      <c r="N6016"/>
      <c r="O6016" s="24"/>
      <c r="P6016"/>
      <c r="Q6016" s="24"/>
      <c r="R6016"/>
      <c r="S6016"/>
      <c r="T6016"/>
      <c r="U6016"/>
      <c r="X6016" s="60"/>
    </row>
    <row r="6017" spans="7:24" ht="15" customHeight="1">
      <c r="G6017"/>
      <c r="I6017"/>
      <c r="N6017"/>
      <c r="O6017" s="24"/>
      <c r="P6017"/>
      <c r="Q6017" s="24"/>
      <c r="R6017"/>
      <c r="S6017"/>
      <c r="T6017"/>
      <c r="U6017"/>
      <c r="X6017" s="60"/>
    </row>
    <row r="6018" spans="7:24" ht="15" customHeight="1">
      <c r="G6018"/>
      <c r="I6018"/>
      <c r="N6018"/>
      <c r="O6018" s="24"/>
      <c r="P6018"/>
      <c r="Q6018" s="24"/>
      <c r="R6018"/>
      <c r="S6018"/>
      <c r="T6018"/>
      <c r="U6018"/>
      <c r="X6018" s="60"/>
    </row>
    <row r="6019" spans="7:24" ht="15" customHeight="1">
      <c r="G6019"/>
      <c r="I6019"/>
      <c r="N6019"/>
      <c r="O6019" s="24"/>
      <c r="P6019"/>
      <c r="Q6019" s="24"/>
      <c r="R6019"/>
      <c r="S6019"/>
      <c r="T6019"/>
      <c r="U6019"/>
      <c r="X6019" s="60"/>
    </row>
    <row r="6020" spans="7:24" ht="15" customHeight="1">
      <c r="G6020"/>
      <c r="I6020"/>
      <c r="N6020"/>
      <c r="O6020" s="24"/>
      <c r="P6020"/>
      <c r="Q6020" s="24"/>
      <c r="R6020"/>
      <c r="S6020"/>
      <c r="T6020"/>
      <c r="U6020"/>
      <c r="X6020" s="60"/>
    </row>
    <row r="6021" spans="7:24" ht="15" customHeight="1">
      <c r="G6021"/>
      <c r="I6021"/>
      <c r="N6021"/>
      <c r="O6021" s="24"/>
      <c r="P6021"/>
      <c r="Q6021" s="24"/>
      <c r="R6021"/>
      <c r="S6021"/>
      <c r="T6021"/>
      <c r="U6021"/>
      <c r="X6021" s="60"/>
    </row>
    <row r="6022" spans="7:24" ht="15" customHeight="1">
      <c r="G6022"/>
      <c r="I6022"/>
      <c r="N6022"/>
      <c r="O6022" s="24"/>
      <c r="P6022"/>
      <c r="Q6022" s="24"/>
      <c r="R6022"/>
      <c r="S6022"/>
      <c r="T6022"/>
      <c r="U6022"/>
      <c r="X6022" s="60"/>
    </row>
    <row r="6023" spans="7:24" ht="15" customHeight="1">
      <c r="G6023"/>
      <c r="I6023"/>
      <c r="N6023"/>
      <c r="O6023" s="24"/>
      <c r="P6023"/>
      <c r="Q6023" s="24"/>
      <c r="R6023"/>
      <c r="S6023"/>
      <c r="T6023"/>
      <c r="U6023"/>
      <c r="X6023" s="60"/>
    </row>
    <row r="6024" spans="7:24" ht="15" customHeight="1">
      <c r="G6024"/>
      <c r="I6024"/>
      <c r="N6024"/>
      <c r="O6024" s="24"/>
      <c r="P6024"/>
      <c r="Q6024" s="24"/>
      <c r="R6024"/>
      <c r="S6024"/>
      <c r="T6024"/>
      <c r="U6024"/>
      <c r="X6024" s="60"/>
    </row>
    <row r="6025" spans="7:24" ht="15" customHeight="1">
      <c r="G6025"/>
      <c r="I6025"/>
      <c r="N6025"/>
      <c r="O6025" s="24"/>
      <c r="P6025"/>
      <c r="Q6025" s="24"/>
      <c r="R6025"/>
      <c r="S6025"/>
      <c r="T6025"/>
      <c r="U6025"/>
      <c r="X6025" s="60"/>
    </row>
    <row r="6026" spans="7:24" ht="15" customHeight="1">
      <c r="G6026"/>
      <c r="I6026"/>
      <c r="N6026"/>
      <c r="O6026" s="24"/>
      <c r="P6026"/>
      <c r="Q6026" s="24"/>
      <c r="R6026"/>
      <c r="S6026"/>
      <c r="T6026"/>
      <c r="U6026"/>
      <c r="X6026" s="60"/>
    </row>
    <row r="6027" spans="7:24" ht="15" customHeight="1">
      <c r="G6027"/>
      <c r="I6027"/>
      <c r="N6027"/>
      <c r="O6027" s="24"/>
      <c r="P6027"/>
      <c r="Q6027" s="24"/>
      <c r="R6027"/>
      <c r="S6027"/>
      <c r="T6027"/>
      <c r="U6027"/>
      <c r="X6027" s="60"/>
    </row>
    <row r="6028" spans="7:24" ht="15" customHeight="1">
      <c r="G6028"/>
      <c r="I6028"/>
      <c r="N6028"/>
      <c r="O6028" s="24"/>
      <c r="P6028"/>
      <c r="Q6028" s="24"/>
      <c r="R6028"/>
      <c r="S6028"/>
      <c r="T6028"/>
      <c r="U6028"/>
      <c r="X6028" s="60"/>
    </row>
    <row r="6029" spans="7:24" ht="15" customHeight="1">
      <c r="G6029"/>
      <c r="I6029"/>
      <c r="N6029"/>
      <c r="O6029" s="24"/>
      <c r="P6029"/>
      <c r="Q6029" s="24"/>
      <c r="R6029"/>
      <c r="S6029"/>
      <c r="T6029"/>
      <c r="U6029"/>
      <c r="X6029" s="60"/>
    </row>
    <row r="6030" spans="7:24" ht="15" customHeight="1">
      <c r="G6030"/>
      <c r="I6030"/>
      <c r="N6030"/>
      <c r="O6030" s="24"/>
      <c r="P6030"/>
      <c r="Q6030" s="24"/>
      <c r="R6030"/>
      <c r="S6030"/>
      <c r="T6030"/>
      <c r="U6030"/>
      <c r="X6030" s="60"/>
    </row>
    <row r="6031" spans="7:24" ht="15" customHeight="1">
      <c r="G6031"/>
      <c r="I6031"/>
      <c r="N6031"/>
      <c r="O6031" s="24"/>
      <c r="P6031"/>
      <c r="Q6031" s="24"/>
      <c r="R6031"/>
      <c r="S6031"/>
      <c r="T6031"/>
      <c r="U6031"/>
      <c r="X6031" s="60"/>
    </row>
    <row r="6032" spans="7:24" ht="15" customHeight="1">
      <c r="G6032"/>
      <c r="I6032"/>
      <c r="N6032"/>
      <c r="O6032" s="24"/>
      <c r="P6032"/>
      <c r="Q6032" s="24"/>
      <c r="R6032"/>
      <c r="S6032"/>
      <c r="T6032"/>
      <c r="U6032"/>
      <c r="X6032" s="60"/>
    </row>
    <row r="6033" spans="7:24" ht="15" customHeight="1">
      <c r="G6033"/>
      <c r="I6033"/>
      <c r="N6033"/>
      <c r="O6033" s="24"/>
      <c r="P6033"/>
      <c r="Q6033" s="24"/>
      <c r="R6033"/>
      <c r="S6033"/>
      <c r="T6033"/>
      <c r="U6033"/>
      <c r="X6033" s="60"/>
    </row>
    <row r="6034" spans="7:24" ht="15" customHeight="1">
      <c r="G6034"/>
      <c r="I6034"/>
      <c r="N6034"/>
      <c r="O6034" s="24"/>
      <c r="P6034"/>
      <c r="Q6034" s="24"/>
      <c r="R6034"/>
      <c r="S6034"/>
      <c r="T6034"/>
      <c r="U6034"/>
      <c r="X6034" s="60"/>
    </row>
    <row r="6035" spans="7:24" ht="15" customHeight="1">
      <c r="G6035"/>
      <c r="I6035"/>
      <c r="N6035"/>
      <c r="O6035" s="24"/>
      <c r="P6035"/>
      <c r="Q6035" s="24"/>
      <c r="R6035"/>
      <c r="S6035"/>
      <c r="T6035"/>
      <c r="U6035"/>
      <c r="X6035" s="60"/>
    </row>
    <row r="6036" spans="7:24" ht="15" customHeight="1">
      <c r="G6036"/>
      <c r="I6036"/>
      <c r="N6036"/>
      <c r="O6036" s="24"/>
      <c r="P6036"/>
      <c r="Q6036" s="24"/>
      <c r="R6036"/>
      <c r="S6036"/>
      <c r="T6036"/>
      <c r="U6036"/>
      <c r="X6036" s="60"/>
    </row>
    <row r="6037" spans="7:24" ht="15" customHeight="1">
      <c r="G6037"/>
      <c r="I6037"/>
      <c r="N6037"/>
      <c r="O6037" s="24"/>
      <c r="P6037"/>
      <c r="Q6037" s="24"/>
      <c r="R6037"/>
      <c r="S6037"/>
      <c r="T6037"/>
      <c r="U6037"/>
      <c r="X6037" s="60"/>
    </row>
    <row r="6038" spans="7:24" ht="15" customHeight="1">
      <c r="G6038"/>
      <c r="I6038"/>
      <c r="N6038"/>
      <c r="O6038" s="24"/>
      <c r="P6038"/>
      <c r="Q6038" s="24"/>
      <c r="R6038"/>
      <c r="S6038"/>
      <c r="T6038"/>
      <c r="U6038"/>
      <c r="X6038" s="60"/>
    </row>
    <row r="6039" spans="7:24" ht="15" customHeight="1">
      <c r="G6039"/>
      <c r="I6039"/>
      <c r="N6039"/>
      <c r="O6039" s="24"/>
      <c r="P6039"/>
      <c r="Q6039" s="24"/>
      <c r="R6039"/>
      <c r="S6039"/>
      <c r="T6039"/>
      <c r="U6039"/>
      <c r="X6039" s="60"/>
    </row>
    <row r="6040" spans="7:24" ht="15" customHeight="1">
      <c r="G6040"/>
      <c r="I6040"/>
      <c r="N6040"/>
      <c r="O6040" s="24"/>
      <c r="P6040"/>
      <c r="Q6040" s="24"/>
      <c r="R6040"/>
      <c r="S6040"/>
      <c r="T6040"/>
      <c r="U6040"/>
      <c r="X6040" s="60"/>
    </row>
    <row r="6041" spans="7:24" ht="15" customHeight="1">
      <c r="G6041"/>
      <c r="I6041"/>
      <c r="N6041"/>
      <c r="O6041" s="24"/>
      <c r="P6041"/>
      <c r="Q6041" s="24"/>
      <c r="R6041"/>
      <c r="S6041"/>
      <c r="T6041"/>
      <c r="U6041"/>
      <c r="X6041" s="60"/>
    </row>
    <row r="6042" spans="7:24" ht="15" customHeight="1">
      <c r="G6042"/>
      <c r="I6042"/>
      <c r="N6042"/>
      <c r="O6042" s="24"/>
      <c r="P6042"/>
      <c r="Q6042" s="24"/>
      <c r="R6042"/>
      <c r="S6042"/>
      <c r="T6042"/>
      <c r="U6042"/>
      <c r="X6042" s="60"/>
    </row>
    <row r="6043" spans="7:24" ht="15" customHeight="1">
      <c r="G6043"/>
      <c r="I6043"/>
      <c r="N6043"/>
      <c r="O6043" s="24"/>
      <c r="P6043"/>
      <c r="Q6043" s="24"/>
      <c r="R6043"/>
      <c r="S6043"/>
      <c r="T6043"/>
      <c r="U6043"/>
      <c r="X6043" s="60"/>
    </row>
    <row r="6044" spans="7:24" ht="15" customHeight="1">
      <c r="G6044"/>
      <c r="I6044"/>
      <c r="N6044"/>
      <c r="O6044" s="24"/>
      <c r="P6044"/>
      <c r="Q6044" s="24"/>
      <c r="R6044"/>
      <c r="S6044"/>
      <c r="T6044"/>
      <c r="U6044"/>
      <c r="X6044" s="60"/>
    </row>
    <row r="6045" spans="7:24" ht="15" customHeight="1">
      <c r="G6045"/>
      <c r="I6045"/>
      <c r="N6045"/>
      <c r="O6045" s="24"/>
      <c r="P6045"/>
      <c r="Q6045" s="24"/>
      <c r="R6045"/>
      <c r="S6045"/>
      <c r="T6045"/>
      <c r="U6045"/>
      <c r="X6045" s="60"/>
    </row>
    <row r="6046" spans="7:24" ht="15" customHeight="1">
      <c r="G6046"/>
      <c r="I6046"/>
      <c r="N6046"/>
      <c r="O6046" s="24"/>
      <c r="P6046"/>
      <c r="Q6046" s="24"/>
      <c r="R6046"/>
      <c r="S6046"/>
      <c r="T6046"/>
      <c r="U6046"/>
      <c r="X6046" s="60"/>
    </row>
    <row r="6047" spans="7:24" ht="15" customHeight="1">
      <c r="G6047"/>
      <c r="I6047"/>
      <c r="N6047"/>
      <c r="O6047" s="24"/>
      <c r="P6047"/>
      <c r="Q6047" s="24"/>
      <c r="R6047"/>
      <c r="S6047"/>
      <c r="T6047"/>
      <c r="U6047"/>
      <c r="X6047" s="60"/>
    </row>
    <row r="6048" spans="7:24" ht="15" customHeight="1">
      <c r="G6048"/>
      <c r="I6048"/>
      <c r="N6048"/>
      <c r="O6048" s="24"/>
      <c r="P6048"/>
      <c r="Q6048" s="24"/>
      <c r="R6048"/>
      <c r="S6048"/>
      <c r="T6048"/>
      <c r="U6048"/>
      <c r="X6048" s="60"/>
    </row>
    <row r="6049" spans="7:24" ht="15" customHeight="1">
      <c r="G6049"/>
      <c r="I6049"/>
      <c r="N6049"/>
      <c r="O6049" s="24"/>
      <c r="P6049"/>
      <c r="Q6049" s="24"/>
      <c r="R6049"/>
      <c r="S6049"/>
      <c r="T6049"/>
      <c r="U6049"/>
      <c r="X6049" s="60"/>
    </row>
    <row r="6050" spans="7:24" ht="15" customHeight="1">
      <c r="G6050"/>
      <c r="I6050"/>
      <c r="N6050"/>
      <c r="O6050" s="24"/>
      <c r="P6050"/>
      <c r="Q6050" s="24"/>
      <c r="R6050"/>
      <c r="S6050"/>
      <c r="T6050"/>
      <c r="U6050"/>
      <c r="X6050" s="60"/>
    </row>
    <row r="6051" spans="7:24" ht="15" customHeight="1">
      <c r="G6051"/>
      <c r="I6051"/>
      <c r="N6051"/>
      <c r="O6051" s="24"/>
      <c r="P6051"/>
      <c r="Q6051" s="24"/>
      <c r="R6051"/>
      <c r="S6051"/>
      <c r="T6051"/>
      <c r="U6051"/>
      <c r="X6051" s="60"/>
    </row>
    <row r="6052" spans="7:24" ht="15" customHeight="1">
      <c r="G6052"/>
      <c r="I6052"/>
      <c r="N6052"/>
      <c r="O6052" s="24"/>
      <c r="P6052"/>
      <c r="Q6052" s="24"/>
      <c r="R6052"/>
      <c r="S6052"/>
      <c r="T6052"/>
      <c r="U6052"/>
      <c r="X6052" s="60"/>
    </row>
    <row r="6053" spans="7:24" ht="15" customHeight="1">
      <c r="G6053"/>
      <c r="I6053"/>
      <c r="N6053"/>
      <c r="O6053" s="24"/>
      <c r="P6053"/>
      <c r="Q6053" s="24"/>
      <c r="R6053"/>
      <c r="S6053"/>
      <c r="T6053"/>
      <c r="U6053"/>
      <c r="X6053" s="60"/>
    </row>
    <row r="6054" spans="7:24" ht="15" customHeight="1">
      <c r="G6054"/>
      <c r="I6054"/>
      <c r="N6054"/>
      <c r="O6054" s="24"/>
      <c r="P6054"/>
      <c r="Q6054" s="24"/>
      <c r="R6054"/>
      <c r="S6054"/>
      <c r="T6054"/>
      <c r="U6054"/>
      <c r="X6054" s="60"/>
    </row>
    <row r="6055" spans="7:24" ht="15" customHeight="1">
      <c r="G6055"/>
      <c r="I6055"/>
      <c r="N6055"/>
      <c r="O6055" s="24"/>
      <c r="P6055"/>
      <c r="Q6055" s="24"/>
      <c r="R6055"/>
      <c r="S6055"/>
      <c r="T6055"/>
      <c r="U6055"/>
      <c r="X6055" s="60"/>
    </row>
    <row r="6056" spans="7:24" ht="15" customHeight="1">
      <c r="G6056"/>
      <c r="I6056"/>
      <c r="N6056"/>
      <c r="O6056" s="24"/>
      <c r="P6056"/>
      <c r="Q6056" s="24"/>
      <c r="R6056"/>
      <c r="S6056"/>
      <c r="T6056"/>
      <c r="U6056"/>
      <c r="X6056" s="60"/>
    </row>
    <row r="6057" spans="7:24" ht="15" customHeight="1">
      <c r="G6057"/>
      <c r="I6057"/>
      <c r="N6057"/>
      <c r="O6057" s="24"/>
      <c r="P6057"/>
      <c r="Q6057" s="24"/>
      <c r="R6057"/>
      <c r="S6057"/>
      <c r="T6057"/>
      <c r="U6057"/>
      <c r="X6057" s="60"/>
    </row>
    <row r="6058" spans="7:24" ht="15" customHeight="1">
      <c r="G6058"/>
      <c r="I6058"/>
      <c r="N6058"/>
      <c r="O6058" s="24"/>
      <c r="P6058"/>
      <c r="Q6058" s="24"/>
      <c r="R6058"/>
      <c r="S6058"/>
      <c r="T6058"/>
      <c r="U6058"/>
      <c r="X6058" s="60"/>
    </row>
    <row r="6059" spans="7:24" ht="15" customHeight="1">
      <c r="G6059"/>
      <c r="I6059"/>
      <c r="N6059"/>
      <c r="O6059" s="24"/>
      <c r="P6059"/>
      <c r="Q6059" s="24"/>
      <c r="R6059"/>
      <c r="S6059"/>
      <c r="T6059"/>
      <c r="U6059"/>
      <c r="X6059" s="60"/>
    </row>
    <row r="6060" spans="7:24" ht="15" customHeight="1">
      <c r="G6060"/>
      <c r="I6060"/>
      <c r="N6060"/>
      <c r="O6060" s="24"/>
      <c r="P6060"/>
      <c r="Q6060" s="24"/>
      <c r="R6060"/>
      <c r="S6060"/>
      <c r="T6060"/>
      <c r="U6060"/>
      <c r="X6060" s="60"/>
    </row>
    <row r="6061" spans="7:24" ht="15" customHeight="1">
      <c r="G6061"/>
      <c r="I6061"/>
      <c r="N6061"/>
      <c r="O6061" s="24"/>
      <c r="P6061"/>
      <c r="Q6061" s="24"/>
      <c r="R6061"/>
      <c r="S6061"/>
      <c r="T6061"/>
      <c r="U6061"/>
      <c r="X6061" s="60"/>
    </row>
    <row r="6062" spans="7:24" ht="15" customHeight="1">
      <c r="G6062"/>
      <c r="I6062"/>
      <c r="N6062"/>
      <c r="O6062" s="24"/>
      <c r="P6062"/>
      <c r="Q6062" s="24"/>
      <c r="R6062"/>
      <c r="S6062"/>
      <c r="T6062"/>
      <c r="U6062"/>
      <c r="X6062" s="60"/>
    </row>
    <row r="6063" spans="7:24" ht="15" customHeight="1">
      <c r="G6063"/>
      <c r="I6063"/>
      <c r="N6063"/>
      <c r="O6063" s="24"/>
      <c r="P6063"/>
      <c r="Q6063" s="24"/>
      <c r="R6063"/>
      <c r="S6063"/>
      <c r="T6063"/>
      <c r="U6063"/>
      <c r="X6063" s="60"/>
    </row>
    <row r="6064" spans="7:24" ht="15" customHeight="1">
      <c r="G6064"/>
      <c r="I6064"/>
      <c r="N6064"/>
      <c r="O6064" s="24"/>
      <c r="P6064"/>
      <c r="Q6064" s="24"/>
      <c r="R6064"/>
      <c r="S6064"/>
      <c r="T6064"/>
      <c r="U6064"/>
      <c r="X6064" s="60"/>
    </row>
    <row r="6065" spans="7:24" ht="15" customHeight="1">
      <c r="G6065"/>
      <c r="I6065"/>
      <c r="N6065"/>
      <c r="O6065" s="24"/>
      <c r="P6065"/>
      <c r="Q6065" s="24"/>
      <c r="R6065"/>
      <c r="S6065"/>
      <c r="T6065"/>
      <c r="U6065"/>
      <c r="X6065" s="60"/>
    </row>
    <row r="6066" spans="7:24" ht="15" customHeight="1">
      <c r="G6066"/>
      <c r="I6066"/>
      <c r="N6066"/>
      <c r="O6066" s="24"/>
      <c r="P6066"/>
      <c r="Q6066" s="24"/>
      <c r="R6066"/>
      <c r="S6066"/>
      <c r="T6066"/>
      <c r="U6066"/>
      <c r="X6066" s="60"/>
    </row>
    <row r="6067" spans="7:24" ht="15" customHeight="1">
      <c r="G6067"/>
      <c r="I6067"/>
      <c r="N6067"/>
      <c r="O6067" s="24"/>
      <c r="P6067"/>
      <c r="Q6067" s="24"/>
      <c r="R6067"/>
      <c r="S6067"/>
      <c r="T6067"/>
      <c r="U6067"/>
      <c r="X6067" s="60"/>
    </row>
    <row r="6068" spans="7:24" ht="15" customHeight="1">
      <c r="G6068"/>
      <c r="I6068"/>
      <c r="N6068"/>
      <c r="O6068" s="24"/>
      <c r="P6068"/>
      <c r="Q6068" s="24"/>
      <c r="R6068"/>
      <c r="S6068"/>
      <c r="T6068"/>
      <c r="U6068"/>
      <c r="X6068" s="60"/>
    </row>
    <row r="6069" spans="7:24" ht="15" customHeight="1">
      <c r="G6069"/>
      <c r="I6069"/>
      <c r="N6069"/>
      <c r="O6069" s="24"/>
      <c r="P6069"/>
      <c r="Q6069" s="24"/>
      <c r="R6069"/>
      <c r="S6069"/>
      <c r="T6069"/>
      <c r="U6069"/>
      <c r="X6069" s="60"/>
    </row>
    <row r="6070" spans="7:24" ht="15" customHeight="1">
      <c r="G6070"/>
      <c r="I6070"/>
      <c r="N6070"/>
      <c r="O6070" s="24"/>
      <c r="P6070"/>
      <c r="Q6070" s="24"/>
      <c r="R6070"/>
      <c r="S6070"/>
      <c r="T6070"/>
      <c r="U6070"/>
      <c r="X6070" s="60"/>
    </row>
    <row r="6071" spans="7:24" ht="15" customHeight="1">
      <c r="G6071"/>
      <c r="I6071"/>
      <c r="N6071"/>
      <c r="O6071" s="24"/>
      <c r="P6071"/>
      <c r="Q6071" s="24"/>
      <c r="R6071"/>
      <c r="S6071"/>
      <c r="T6071"/>
      <c r="U6071"/>
      <c r="X6071" s="60"/>
    </row>
    <row r="6072" spans="7:24" ht="15" customHeight="1">
      <c r="G6072"/>
      <c r="I6072"/>
      <c r="N6072"/>
      <c r="O6072" s="24"/>
      <c r="P6072"/>
      <c r="Q6072" s="24"/>
      <c r="R6072"/>
      <c r="S6072"/>
      <c r="T6072"/>
      <c r="U6072"/>
      <c r="X6072" s="60"/>
    </row>
    <row r="6073" spans="7:24" ht="15" customHeight="1">
      <c r="G6073"/>
      <c r="I6073"/>
      <c r="N6073"/>
      <c r="O6073" s="24"/>
      <c r="P6073"/>
      <c r="Q6073" s="24"/>
      <c r="R6073"/>
      <c r="S6073"/>
      <c r="T6073"/>
      <c r="U6073"/>
      <c r="X6073" s="60"/>
    </row>
    <row r="6074" spans="7:24" ht="15" customHeight="1">
      <c r="G6074"/>
      <c r="I6074"/>
      <c r="N6074"/>
      <c r="O6074" s="24"/>
      <c r="P6074"/>
      <c r="Q6074" s="24"/>
      <c r="R6074"/>
      <c r="S6074"/>
      <c r="T6074"/>
      <c r="U6074"/>
      <c r="X6074" s="60"/>
    </row>
    <row r="6075" spans="7:24" ht="15" customHeight="1">
      <c r="G6075"/>
      <c r="I6075"/>
      <c r="N6075"/>
      <c r="O6075" s="24"/>
      <c r="P6075"/>
      <c r="Q6075" s="24"/>
      <c r="R6075"/>
      <c r="S6075"/>
      <c r="T6075"/>
      <c r="U6075"/>
      <c r="X6075" s="60"/>
    </row>
    <row r="6076" spans="7:24" ht="15" customHeight="1">
      <c r="G6076"/>
      <c r="I6076"/>
      <c r="N6076"/>
      <c r="O6076" s="24"/>
      <c r="P6076"/>
      <c r="Q6076" s="24"/>
      <c r="R6076"/>
      <c r="S6076"/>
      <c r="T6076"/>
      <c r="U6076"/>
      <c r="X6076" s="60"/>
    </row>
    <row r="6077" spans="7:24" ht="15" customHeight="1">
      <c r="G6077"/>
      <c r="I6077"/>
      <c r="N6077"/>
      <c r="O6077" s="24"/>
      <c r="P6077"/>
      <c r="Q6077" s="24"/>
      <c r="R6077"/>
      <c r="S6077"/>
      <c r="T6077"/>
      <c r="U6077"/>
      <c r="X6077" s="60"/>
    </row>
    <row r="6078" spans="7:24" ht="15" customHeight="1">
      <c r="G6078"/>
      <c r="I6078"/>
      <c r="N6078"/>
      <c r="O6078" s="24"/>
      <c r="P6078"/>
      <c r="Q6078" s="24"/>
      <c r="R6078"/>
      <c r="S6078"/>
      <c r="T6078"/>
      <c r="U6078"/>
      <c r="X6078" s="60"/>
    </row>
    <row r="6079" spans="7:24" ht="15" customHeight="1">
      <c r="G6079"/>
      <c r="I6079"/>
      <c r="N6079"/>
      <c r="O6079" s="24"/>
      <c r="P6079"/>
      <c r="Q6079" s="24"/>
      <c r="R6079"/>
      <c r="S6079"/>
      <c r="T6079"/>
      <c r="U6079"/>
      <c r="X6079" s="60"/>
    </row>
    <row r="6080" spans="7:24" ht="15" customHeight="1">
      <c r="G6080"/>
      <c r="I6080"/>
      <c r="N6080"/>
      <c r="O6080" s="24"/>
      <c r="P6080"/>
      <c r="Q6080" s="24"/>
      <c r="R6080"/>
      <c r="S6080"/>
      <c r="T6080"/>
      <c r="U6080"/>
      <c r="X6080" s="60"/>
    </row>
    <row r="6081" spans="7:24" ht="15" customHeight="1">
      <c r="G6081"/>
      <c r="I6081"/>
      <c r="N6081"/>
      <c r="O6081" s="24"/>
      <c r="P6081"/>
      <c r="Q6081" s="24"/>
      <c r="R6081"/>
      <c r="S6081"/>
      <c r="T6081"/>
      <c r="U6081"/>
      <c r="X6081" s="60"/>
    </row>
    <row r="6082" spans="7:24" ht="15" customHeight="1">
      <c r="G6082"/>
      <c r="I6082"/>
      <c r="N6082"/>
      <c r="O6082" s="24"/>
      <c r="P6082"/>
      <c r="Q6082" s="24"/>
      <c r="R6082"/>
      <c r="S6082"/>
      <c r="T6082"/>
      <c r="U6082"/>
      <c r="X6082" s="60"/>
    </row>
    <row r="6083" spans="7:24" ht="15" customHeight="1">
      <c r="G6083"/>
      <c r="I6083"/>
      <c r="N6083"/>
      <c r="O6083" s="24"/>
      <c r="P6083"/>
      <c r="Q6083" s="24"/>
      <c r="R6083"/>
      <c r="S6083"/>
      <c r="T6083"/>
      <c r="U6083"/>
      <c r="X6083" s="60"/>
    </row>
    <row r="6084" spans="7:24" ht="15" customHeight="1">
      <c r="G6084"/>
      <c r="I6084"/>
      <c r="N6084"/>
      <c r="O6084" s="24"/>
      <c r="P6084"/>
      <c r="Q6084" s="24"/>
      <c r="R6084"/>
      <c r="S6084"/>
      <c r="T6084"/>
      <c r="U6084"/>
      <c r="X6084" s="60"/>
    </row>
    <row r="6085" spans="7:24" ht="15" customHeight="1">
      <c r="G6085"/>
      <c r="I6085"/>
      <c r="N6085"/>
      <c r="O6085" s="24"/>
      <c r="P6085"/>
      <c r="Q6085" s="24"/>
      <c r="R6085"/>
      <c r="S6085"/>
      <c r="T6085"/>
      <c r="U6085"/>
      <c r="X6085" s="60"/>
    </row>
    <row r="6086" spans="7:24" ht="15" customHeight="1">
      <c r="G6086"/>
      <c r="I6086"/>
      <c r="N6086"/>
      <c r="O6086" s="24"/>
      <c r="P6086"/>
      <c r="Q6086" s="24"/>
      <c r="R6086"/>
      <c r="S6086"/>
      <c r="T6086"/>
      <c r="U6086"/>
      <c r="X6086" s="60"/>
    </row>
    <row r="6087" spans="7:24" ht="15" customHeight="1">
      <c r="G6087"/>
      <c r="I6087"/>
      <c r="N6087"/>
      <c r="O6087" s="24"/>
      <c r="P6087"/>
      <c r="Q6087" s="24"/>
      <c r="R6087"/>
      <c r="S6087"/>
      <c r="T6087"/>
      <c r="U6087"/>
      <c r="X6087" s="60"/>
    </row>
    <row r="6088" spans="7:24" ht="15" customHeight="1">
      <c r="G6088"/>
      <c r="I6088"/>
      <c r="N6088"/>
      <c r="O6088" s="24"/>
      <c r="P6088"/>
      <c r="Q6088" s="24"/>
      <c r="R6088"/>
      <c r="S6088"/>
      <c r="T6088"/>
      <c r="U6088"/>
      <c r="X6088" s="60"/>
    </row>
    <row r="6089" spans="7:24" ht="15" customHeight="1">
      <c r="G6089"/>
      <c r="I6089"/>
      <c r="N6089"/>
      <c r="O6089" s="24"/>
      <c r="P6089"/>
      <c r="Q6089" s="24"/>
      <c r="R6089"/>
      <c r="S6089"/>
      <c r="T6089"/>
      <c r="U6089"/>
      <c r="X6089" s="60"/>
    </row>
    <row r="6090" spans="7:24" ht="15" customHeight="1">
      <c r="G6090"/>
      <c r="I6090"/>
      <c r="N6090"/>
      <c r="O6090" s="24"/>
      <c r="P6090"/>
      <c r="Q6090" s="24"/>
      <c r="R6090"/>
      <c r="S6090"/>
      <c r="T6090"/>
      <c r="U6090"/>
      <c r="X6090" s="60"/>
    </row>
    <row r="6091" spans="7:24" ht="15" customHeight="1">
      <c r="G6091"/>
      <c r="I6091"/>
      <c r="N6091"/>
      <c r="O6091" s="24"/>
      <c r="P6091"/>
      <c r="Q6091" s="24"/>
      <c r="R6091"/>
      <c r="S6091"/>
      <c r="T6091"/>
      <c r="U6091"/>
      <c r="X6091" s="60"/>
    </row>
    <row r="6092" spans="7:24" ht="15" customHeight="1">
      <c r="G6092"/>
      <c r="I6092"/>
      <c r="N6092"/>
      <c r="O6092" s="24"/>
      <c r="P6092"/>
      <c r="Q6092" s="24"/>
      <c r="R6092"/>
      <c r="S6092"/>
      <c r="T6092"/>
      <c r="U6092"/>
      <c r="X6092" s="60"/>
    </row>
    <row r="6093" spans="7:24" ht="15" customHeight="1">
      <c r="G6093"/>
      <c r="I6093"/>
      <c r="N6093"/>
      <c r="O6093" s="24"/>
      <c r="P6093"/>
      <c r="Q6093" s="24"/>
      <c r="R6093"/>
      <c r="S6093"/>
      <c r="T6093"/>
      <c r="U6093"/>
      <c r="X6093" s="60"/>
    </row>
    <row r="6094" spans="7:24" ht="15" customHeight="1">
      <c r="G6094"/>
      <c r="I6094"/>
      <c r="N6094"/>
      <c r="O6094" s="24"/>
      <c r="P6094"/>
      <c r="Q6094" s="24"/>
      <c r="R6094"/>
      <c r="S6094"/>
      <c r="T6094"/>
      <c r="U6094"/>
      <c r="X6094" s="60"/>
    </row>
    <row r="6095" spans="7:24" ht="15" customHeight="1">
      <c r="G6095"/>
      <c r="I6095"/>
      <c r="N6095"/>
      <c r="O6095" s="24"/>
      <c r="P6095"/>
      <c r="Q6095" s="24"/>
      <c r="R6095"/>
      <c r="S6095"/>
      <c r="T6095"/>
      <c r="U6095"/>
      <c r="X6095" s="60"/>
    </row>
    <row r="6096" spans="7:24" ht="15" customHeight="1">
      <c r="G6096"/>
      <c r="I6096"/>
      <c r="N6096"/>
      <c r="O6096" s="24"/>
      <c r="P6096"/>
      <c r="Q6096" s="24"/>
      <c r="R6096"/>
      <c r="S6096"/>
      <c r="T6096"/>
      <c r="U6096"/>
      <c r="X6096" s="60"/>
    </row>
    <row r="6097" spans="7:24" ht="15" customHeight="1">
      <c r="G6097"/>
      <c r="I6097"/>
      <c r="N6097"/>
      <c r="O6097" s="24"/>
      <c r="P6097"/>
      <c r="Q6097" s="24"/>
      <c r="R6097"/>
      <c r="S6097"/>
      <c r="T6097"/>
      <c r="U6097"/>
      <c r="X6097" s="60"/>
    </row>
    <row r="6098" spans="7:24" ht="15" customHeight="1">
      <c r="G6098"/>
      <c r="I6098"/>
      <c r="N6098"/>
      <c r="O6098" s="24"/>
      <c r="P6098"/>
      <c r="Q6098" s="24"/>
      <c r="R6098"/>
      <c r="S6098"/>
      <c r="T6098"/>
      <c r="U6098"/>
      <c r="X6098" s="60"/>
    </row>
    <row r="6099" spans="7:24" ht="15" customHeight="1">
      <c r="G6099"/>
      <c r="I6099"/>
      <c r="N6099"/>
      <c r="O6099" s="24"/>
      <c r="P6099"/>
      <c r="Q6099" s="24"/>
      <c r="R6099"/>
      <c r="S6099"/>
      <c r="T6099"/>
      <c r="U6099"/>
      <c r="X6099" s="60"/>
    </row>
    <row r="6100" spans="7:24" ht="15" customHeight="1">
      <c r="G6100"/>
      <c r="I6100"/>
      <c r="N6100"/>
      <c r="O6100" s="24"/>
      <c r="P6100"/>
      <c r="Q6100" s="24"/>
      <c r="R6100"/>
      <c r="S6100"/>
      <c r="T6100"/>
      <c r="U6100"/>
      <c r="X6100" s="60"/>
    </row>
    <row r="6101" spans="7:24" ht="15" customHeight="1">
      <c r="G6101"/>
      <c r="I6101"/>
      <c r="N6101"/>
      <c r="O6101" s="24"/>
      <c r="P6101"/>
      <c r="Q6101" s="24"/>
      <c r="R6101"/>
      <c r="S6101"/>
      <c r="T6101"/>
      <c r="U6101"/>
      <c r="X6101" s="60"/>
    </row>
    <row r="6102" spans="7:24" ht="15" customHeight="1">
      <c r="G6102"/>
      <c r="I6102"/>
      <c r="N6102"/>
      <c r="O6102" s="24"/>
      <c r="P6102"/>
      <c r="Q6102" s="24"/>
      <c r="R6102"/>
      <c r="S6102"/>
      <c r="T6102"/>
      <c r="U6102"/>
      <c r="X6102" s="60"/>
    </row>
    <row r="6103" spans="7:24" ht="15" customHeight="1">
      <c r="G6103"/>
      <c r="I6103"/>
      <c r="N6103"/>
      <c r="O6103" s="24"/>
      <c r="P6103"/>
      <c r="Q6103" s="24"/>
      <c r="R6103"/>
      <c r="S6103"/>
      <c r="T6103"/>
      <c r="U6103"/>
      <c r="X6103" s="60"/>
    </row>
    <row r="6104" spans="7:24" ht="15" customHeight="1">
      <c r="G6104"/>
      <c r="I6104"/>
      <c r="N6104"/>
      <c r="O6104" s="24"/>
      <c r="P6104"/>
      <c r="Q6104" s="24"/>
      <c r="R6104"/>
      <c r="S6104"/>
      <c r="T6104"/>
      <c r="U6104"/>
      <c r="X6104" s="60"/>
    </row>
    <row r="6105" spans="7:24" ht="15" customHeight="1">
      <c r="G6105"/>
      <c r="I6105"/>
      <c r="N6105"/>
      <c r="O6105" s="24"/>
      <c r="P6105"/>
      <c r="Q6105" s="24"/>
      <c r="R6105"/>
      <c r="S6105"/>
      <c r="T6105"/>
      <c r="U6105"/>
      <c r="X6105" s="60"/>
    </row>
    <row r="6106" spans="7:24" ht="15" customHeight="1">
      <c r="G6106"/>
      <c r="I6106"/>
      <c r="N6106"/>
      <c r="O6106" s="24"/>
      <c r="P6106"/>
      <c r="Q6106" s="24"/>
      <c r="R6106"/>
      <c r="S6106"/>
      <c r="T6106"/>
      <c r="U6106"/>
      <c r="X6106" s="60"/>
    </row>
    <row r="6107" spans="7:24" ht="15" customHeight="1">
      <c r="G6107"/>
      <c r="I6107"/>
      <c r="N6107"/>
      <c r="O6107" s="24"/>
      <c r="P6107"/>
      <c r="Q6107" s="24"/>
      <c r="R6107"/>
      <c r="S6107"/>
      <c r="T6107"/>
      <c r="U6107"/>
      <c r="X6107" s="60"/>
    </row>
    <row r="6108" spans="7:24" ht="15" customHeight="1">
      <c r="G6108"/>
      <c r="I6108"/>
      <c r="N6108"/>
      <c r="O6108" s="24"/>
      <c r="P6108"/>
      <c r="Q6108" s="24"/>
      <c r="R6108"/>
      <c r="S6108"/>
      <c r="T6108"/>
      <c r="U6108"/>
      <c r="X6108" s="60"/>
    </row>
    <row r="6109" spans="7:24" ht="15" customHeight="1">
      <c r="G6109"/>
      <c r="I6109"/>
      <c r="N6109"/>
      <c r="O6109" s="24"/>
      <c r="P6109"/>
      <c r="Q6109" s="24"/>
      <c r="R6109"/>
      <c r="S6109"/>
      <c r="T6109"/>
      <c r="U6109"/>
      <c r="X6109" s="60"/>
    </row>
    <row r="6110" spans="7:24" ht="15" customHeight="1">
      <c r="G6110"/>
      <c r="I6110"/>
      <c r="N6110"/>
      <c r="O6110" s="24"/>
      <c r="P6110"/>
      <c r="Q6110" s="24"/>
      <c r="R6110"/>
      <c r="S6110"/>
      <c r="T6110"/>
      <c r="U6110"/>
      <c r="X6110" s="60"/>
    </row>
    <row r="6111" spans="7:24" ht="15" customHeight="1">
      <c r="G6111"/>
      <c r="I6111"/>
      <c r="N6111"/>
      <c r="O6111" s="24"/>
      <c r="P6111"/>
      <c r="Q6111" s="24"/>
      <c r="R6111"/>
      <c r="S6111"/>
      <c r="T6111"/>
      <c r="U6111"/>
      <c r="X6111" s="60"/>
    </row>
    <row r="6112" spans="7:24" ht="15" customHeight="1">
      <c r="G6112"/>
      <c r="I6112"/>
      <c r="N6112"/>
      <c r="O6112" s="24"/>
      <c r="P6112"/>
      <c r="Q6112" s="24"/>
      <c r="R6112"/>
      <c r="S6112"/>
      <c r="T6112"/>
      <c r="U6112"/>
      <c r="X6112" s="60"/>
    </row>
    <row r="6113" spans="7:24" ht="15" customHeight="1">
      <c r="G6113"/>
      <c r="I6113"/>
      <c r="N6113"/>
      <c r="O6113" s="24"/>
      <c r="P6113"/>
      <c r="Q6113" s="24"/>
      <c r="R6113"/>
      <c r="S6113"/>
      <c r="T6113"/>
      <c r="U6113"/>
      <c r="X6113" s="60"/>
    </row>
    <row r="6114" spans="7:24" ht="15" customHeight="1">
      <c r="G6114"/>
      <c r="I6114"/>
      <c r="N6114"/>
      <c r="O6114" s="24"/>
      <c r="P6114"/>
      <c r="Q6114" s="24"/>
      <c r="R6114"/>
      <c r="S6114"/>
      <c r="T6114"/>
      <c r="U6114"/>
      <c r="X6114" s="60"/>
    </row>
    <row r="6115" spans="7:24" ht="15" customHeight="1">
      <c r="G6115"/>
      <c r="I6115"/>
      <c r="N6115"/>
      <c r="O6115" s="24"/>
      <c r="P6115"/>
      <c r="Q6115" s="24"/>
      <c r="R6115"/>
      <c r="S6115"/>
      <c r="T6115"/>
      <c r="U6115"/>
      <c r="X6115" s="60"/>
    </row>
    <row r="6116" spans="7:24" ht="15" customHeight="1">
      <c r="G6116"/>
      <c r="I6116"/>
      <c r="N6116"/>
      <c r="O6116" s="24"/>
      <c r="P6116"/>
      <c r="Q6116" s="24"/>
      <c r="R6116"/>
      <c r="S6116"/>
      <c r="T6116"/>
      <c r="U6116"/>
      <c r="X6116" s="60"/>
    </row>
    <row r="6117" spans="7:24" ht="15" customHeight="1">
      <c r="G6117"/>
      <c r="I6117"/>
      <c r="N6117"/>
      <c r="O6117" s="24"/>
      <c r="P6117"/>
      <c r="Q6117" s="24"/>
      <c r="R6117"/>
      <c r="S6117"/>
      <c r="T6117"/>
      <c r="U6117"/>
      <c r="X6117" s="60"/>
    </row>
    <row r="6118" spans="7:24" ht="15" customHeight="1">
      <c r="G6118"/>
      <c r="I6118"/>
      <c r="N6118"/>
      <c r="O6118" s="24"/>
      <c r="P6118"/>
      <c r="Q6118" s="24"/>
      <c r="R6118"/>
      <c r="S6118"/>
      <c r="T6118"/>
      <c r="U6118"/>
      <c r="X6118" s="60"/>
    </row>
    <row r="6119" spans="7:24" ht="15" customHeight="1">
      <c r="G6119"/>
      <c r="I6119"/>
      <c r="N6119"/>
      <c r="O6119" s="24"/>
      <c r="P6119"/>
      <c r="Q6119" s="24"/>
      <c r="R6119"/>
      <c r="S6119"/>
      <c r="T6119"/>
      <c r="U6119"/>
      <c r="X6119" s="60"/>
    </row>
    <row r="6120" spans="7:24" ht="15" customHeight="1">
      <c r="G6120"/>
      <c r="I6120"/>
      <c r="N6120"/>
      <c r="O6120" s="24"/>
      <c r="P6120"/>
      <c r="Q6120" s="24"/>
      <c r="R6120"/>
      <c r="S6120"/>
      <c r="T6120"/>
      <c r="U6120"/>
      <c r="X6120" s="60"/>
    </row>
    <row r="6121" spans="7:24" ht="15" customHeight="1">
      <c r="G6121"/>
      <c r="I6121"/>
      <c r="N6121"/>
      <c r="O6121" s="24"/>
      <c r="P6121"/>
      <c r="Q6121" s="24"/>
      <c r="R6121"/>
      <c r="S6121"/>
      <c r="T6121"/>
      <c r="U6121"/>
      <c r="X6121" s="60"/>
    </row>
    <row r="6122" spans="7:24" ht="15" customHeight="1">
      <c r="G6122"/>
      <c r="I6122"/>
      <c r="N6122"/>
      <c r="O6122" s="24"/>
      <c r="P6122"/>
      <c r="Q6122" s="24"/>
      <c r="R6122"/>
      <c r="S6122"/>
      <c r="T6122"/>
      <c r="U6122"/>
      <c r="X6122" s="60"/>
    </row>
    <row r="6123" spans="7:24" ht="15" customHeight="1">
      <c r="G6123"/>
      <c r="I6123"/>
      <c r="N6123"/>
      <c r="O6123" s="24"/>
      <c r="P6123"/>
      <c r="Q6123" s="24"/>
      <c r="R6123"/>
      <c r="S6123"/>
      <c r="T6123"/>
      <c r="U6123"/>
      <c r="X6123" s="60"/>
    </row>
    <row r="6124" spans="7:24" ht="15" customHeight="1">
      <c r="G6124"/>
      <c r="I6124"/>
      <c r="N6124"/>
      <c r="O6124" s="24"/>
      <c r="P6124"/>
      <c r="Q6124" s="24"/>
      <c r="R6124"/>
      <c r="S6124"/>
      <c r="T6124"/>
      <c r="U6124"/>
      <c r="X6124" s="60"/>
    </row>
    <row r="6125" spans="7:24" ht="15" customHeight="1">
      <c r="G6125"/>
      <c r="I6125"/>
      <c r="N6125"/>
      <c r="O6125" s="24"/>
      <c r="P6125"/>
      <c r="Q6125" s="24"/>
      <c r="R6125"/>
      <c r="S6125"/>
      <c r="T6125"/>
      <c r="U6125"/>
      <c r="X6125" s="60"/>
    </row>
    <row r="6126" spans="7:24" ht="15" customHeight="1">
      <c r="G6126"/>
      <c r="I6126"/>
      <c r="N6126"/>
      <c r="O6126" s="24"/>
      <c r="P6126"/>
      <c r="Q6126" s="24"/>
      <c r="R6126"/>
      <c r="S6126"/>
      <c r="T6126"/>
      <c r="U6126"/>
      <c r="X6126" s="60"/>
    </row>
    <row r="6127" spans="7:24" ht="15" customHeight="1">
      <c r="G6127"/>
      <c r="I6127"/>
      <c r="N6127"/>
      <c r="O6127" s="24"/>
      <c r="P6127"/>
      <c r="Q6127" s="24"/>
      <c r="R6127"/>
      <c r="S6127"/>
      <c r="T6127"/>
      <c r="U6127"/>
      <c r="X6127" s="60"/>
    </row>
    <row r="6128" spans="7:24" ht="15" customHeight="1">
      <c r="G6128"/>
      <c r="I6128"/>
      <c r="N6128"/>
      <c r="O6128" s="24"/>
      <c r="P6128"/>
      <c r="Q6128" s="24"/>
      <c r="R6128"/>
      <c r="S6128"/>
      <c r="T6128"/>
      <c r="U6128"/>
      <c r="X6128" s="60"/>
    </row>
    <row r="6129" spans="7:24" ht="15" customHeight="1">
      <c r="G6129"/>
      <c r="I6129"/>
      <c r="N6129"/>
      <c r="O6129" s="24"/>
      <c r="P6129"/>
      <c r="Q6129" s="24"/>
      <c r="R6129"/>
      <c r="S6129"/>
      <c r="T6129"/>
      <c r="U6129"/>
      <c r="X6129" s="60"/>
    </row>
    <row r="6130" spans="7:24" ht="15" customHeight="1">
      <c r="G6130"/>
      <c r="I6130"/>
      <c r="N6130"/>
      <c r="O6130" s="24"/>
      <c r="P6130"/>
      <c r="Q6130" s="24"/>
      <c r="R6130"/>
      <c r="S6130"/>
      <c r="T6130"/>
      <c r="U6130"/>
      <c r="X6130" s="60"/>
    </row>
    <row r="6131" spans="7:24" ht="15" customHeight="1">
      <c r="G6131"/>
      <c r="I6131"/>
      <c r="N6131"/>
      <c r="O6131" s="24"/>
      <c r="P6131"/>
      <c r="Q6131" s="24"/>
      <c r="R6131"/>
      <c r="S6131"/>
      <c r="T6131"/>
      <c r="U6131"/>
      <c r="X6131" s="60"/>
    </row>
    <row r="6132" spans="7:24" ht="15" customHeight="1">
      <c r="G6132"/>
      <c r="I6132"/>
      <c r="N6132"/>
      <c r="O6132" s="24"/>
      <c r="P6132"/>
      <c r="Q6132" s="24"/>
      <c r="R6132"/>
      <c r="S6132"/>
      <c r="T6132"/>
      <c r="U6132"/>
      <c r="X6132" s="60"/>
    </row>
    <row r="6133" spans="7:24" ht="15" customHeight="1">
      <c r="G6133"/>
      <c r="I6133"/>
      <c r="N6133"/>
      <c r="O6133" s="24"/>
      <c r="P6133"/>
      <c r="Q6133" s="24"/>
      <c r="R6133"/>
      <c r="S6133"/>
      <c r="T6133"/>
      <c r="U6133"/>
      <c r="X6133" s="60"/>
    </row>
    <row r="6134" spans="7:24" ht="15" customHeight="1">
      <c r="G6134"/>
      <c r="I6134"/>
      <c r="N6134"/>
      <c r="O6134" s="24"/>
      <c r="P6134"/>
      <c r="Q6134" s="24"/>
      <c r="R6134"/>
      <c r="S6134"/>
      <c r="T6134"/>
      <c r="U6134"/>
      <c r="X6134" s="60"/>
    </row>
    <row r="6135" spans="7:24" ht="15" customHeight="1">
      <c r="G6135"/>
      <c r="I6135"/>
      <c r="N6135"/>
      <c r="O6135" s="24"/>
      <c r="P6135"/>
      <c r="Q6135" s="24"/>
      <c r="R6135"/>
      <c r="S6135"/>
      <c r="T6135"/>
      <c r="U6135"/>
      <c r="X6135" s="60"/>
    </row>
    <row r="6136" spans="7:24" ht="15" customHeight="1">
      <c r="G6136"/>
      <c r="I6136"/>
      <c r="N6136"/>
      <c r="O6136" s="24"/>
      <c r="P6136"/>
      <c r="Q6136" s="24"/>
      <c r="R6136"/>
      <c r="S6136"/>
      <c r="T6136"/>
      <c r="U6136"/>
      <c r="X6136" s="60"/>
    </row>
    <row r="6137" spans="7:24" ht="15" customHeight="1">
      <c r="G6137"/>
      <c r="I6137"/>
      <c r="N6137"/>
      <c r="O6137" s="24"/>
      <c r="P6137"/>
      <c r="Q6137" s="24"/>
      <c r="R6137"/>
      <c r="S6137"/>
      <c r="T6137"/>
      <c r="U6137"/>
      <c r="X6137" s="60"/>
    </row>
    <row r="6138" spans="7:24" ht="15" customHeight="1">
      <c r="G6138"/>
      <c r="I6138"/>
      <c r="N6138"/>
      <c r="O6138" s="24"/>
      <c r="P6138"/>
      <c r="Q6138" s="24"/>
      <c r="R6138"/>
      <c r="S6138"/>
      <c r="T6138"/>
      <c r="U6138"/>
      <c r="X6138" s="60"/>
    </row>
    <row r="6139" spans="7:24" ht="15" customHeight="1">
      <c r="G6139"/>
      <c r="I6139"/>
      <c r="N6139"/>
      <c r="O6139" s="24"/>
      <c r="P6139"/>
      <c r="Q6139" s="24"/>
      <c r="R6139"/>
      <c r="S6139"/>
      <c r="T6139"/>
      <c r="U6139"/>
      <c r="X6139" s="60"/>
    </row>
    <row r="6140" spans="7:24" ht="15" customHeight="1">
      <c r="G6140"/>
      <c r="I6140"/>
      <c r="N6140"/>
      <c r="O6140" s="24"/>
      <c r="P6140"/>
      <c r="Q6140" s="24"/>
      <c r="R6140"/>
      <c r="S6140"/>
      <c r="T6140"/>
      <c r="U6140"/>
      <c r="X6140" s="60"/>
    </row>
    <row r="6141" spans="7:24" ht="15" customHeight="1">
      <c r="G6141"/>
      <c r="I6141"/>
      <c r="N6141"/>
      <c r="O6141" s="24"/>
      <c r="P6141"/>
      <c r="Q6141" s="24"/>
      <c r="R6141"/>
      <c r="S6141"/>
      <c r="T6141"/>
      <c r="U6141"/>
      <c r="X6141" s="60"/>
    </row>
    <row r="6142" spans="7:24" ht="15" customHeight="1">
      <c r="G6142"/>
      <c r="I6142"/>
      <c r="N6142"/>
      <c r="O6142" s="24"/>
      <c r="P6142"/>
      <c r="Q6142" s="24"/>
      <c r="R6142"/>
      <c r="S6142"/>
      <c r="T6142"/>
      <c r="U6142"/>
      <c r="X6142" s="60"/>
    </row>
    <row r="6143" spans="7:24" ht="15" customHeight="1">
      <c r="G6143"/>
      <c r="I6143"/>
      <c r="N6143"/>
      <c r="O6143" s="24"/>
      <c r="P6143"/>
      <c r="Q6143" s="24"/>
      <c r="R6143"/>
      <c r="S6143"/>
      <c r="T6143"/>
      <c r="U6143"/>
      <c r="X6143" s="60"/>
    </row>
    <row r="6144" spans="7:24" ht="15" customHeight="1">
      <c r="G6144"/>
      <c r="I6144"/>
      <c r="N6144"/>
      <c r="O6144" s="24"/>
      <c r="P6144"/>
      <c r="Q6144" s="24"/>
      <c r="R6144"/>
      <c r="S6144"/>
      <c r="T6144"/>
      <c r="U6144"/>
      <c r="X6144" s="60"/>
    </row>
    <row r="6145" spans="7:24" ht="15" customHeight="1">
      <c r="G6145"/>
      <c r="I6145"/>
      <c r="N6145"/>
      <c r="O6145" s="24"/>
      <c r="P6145"/>
      <c r="Q6145" s="24"/>
      <c r="R6145"/>
      <c r="S6145"/>
      <c r="T6145"/>
      <c r="U6145"/>
      <c r="X6145" s="60"/>
    </row>
    <row r="6146" spans="7:24" ht="15" customHeight="1">
      <c r="G6146"/>
      <c r="I6146"/>
      <c r="N6146"/>
      <c r="O6146" s="24"/>
      <c r="P6146"/>
      <c r="Q6146" s="24"/>
      <c r="R6146"/>
      <c r="S6146"/>
      <c r="T6146"/>
      <c r="U6146"/>
      <c r="X6146" s="60"/>
    </row>
    <row r="6147" spans="7:24" ht="15" customHeight="1">
      <c r="G6147"/>
      <c r="I6147"/>
      <c r="N6147"/>
      <c r="O6147" s="24"/>
      <c r="P6147"/>
      <c r="Q6147" s="24"/>
      <c r="R6147"/>
      <c r="S6147"/>
      <c r="T6147"/>
      <c r="U6147"/>
      <c r="X6147" s="60"/>
    </row>
    <row r="6148" spans="7:24" ht="15" customHeight="1">
      <c r="G6148"/>
      <c r="I6148"/>
      <c r="N6148"/>
      <c r="O6148" s="24"/>
      <c r="P6148"/>
      <c r="Q6148" s="24"/>
      <c r="R6148"/>
      <c r="S6148"/>
      <c r="T6148"/>
      <c r="U6148"/>
      <c r="X6148" s="60"/>
    </row>
    <row r="6149" spans="7:24" ht="15" customHeight="1">
      <c r="G6149"/>
      <c r="I6149"/>
      <c r="N6149"/>
      <c r="O6149" s="24"/>
      <c r="P6149"/>
      <c r="Q6149" s="24"/>
      <c r="R6149"/>
      <c r="S6149"/>
      <c r="T6149"/>
      <c r="U6149"/>
      <c r="X6149" s="60"/>
    </row>
    <row r="6150" spans="7:24" ht="15" customHeight="1">
      <c r="G6150"/>
      <c r="I6150"/>
      <c r="N6150"/>
      <c r="O6150" s="24"/>
      <c r="P6150"/>
      <c r="Q6150" s="24"/>
      <c r="R6150"/>
      <c r="S6150"/>
      <c r="T6150"/>
      <c r="U6150"/>
      <c r="X6150" s="60"/>
    </row>
    <row r="6151" spans="7:24" ht="15" customHeight="1">
      <c r="G6151"/>
      <c r="I6151"/>
      <c r="N6151"/>
      <c r="O6151" s="24"/>
      <c r="P6151"/>
      <c r="Q6151" s="24"/>
      <c r="R6151"/>
      <c r="S6151"/>
      <c r="T6151"/>
      <c r="U6151"/>
      <c r="X6151" s="60"/>
    </row>
    <row r="6152" spans="7:24" ht="15" customHeight="1">
      <c r="G6152"/>
      <c r="I6152"/>
      <c r="N6152"/>
      <c r="O6152" s="24"/>
      <c r="P6152"/>
      <c r="Q6152" s="24"/>
      <c r="R6152"/>
      <c r="S6152"/>
      <c r="T6152"/>
      <c r="U6152"/>
      <c r="X6152" s="60"/>
    </row>
    <row r="6153" spans="7:24" ht="15" customHeight="1">
      <c r="G6153"/>
      <c r="I6153"/>
      <c r="N6153"/>
      <c r="O6153" s="24"/>
      <c r="P6153"/>
      <c r="Q6153" s="24"/>
      <c r="R6153"/>
      <c r="S6153"/>
      <c r="T6153"/>
      <c r="U6153"/>
      <c r="X6153" s="60"/>
    </row>
    <row r="6154" spans="7:24" ht="15" customHeight="1">
      <c r="G6154"/>
      <c r="I6154"/>
      <c r="N6154"/>
      <c r="O6154" s="24"/>
      <c r="P6154"/>
      <c r="Q6154" s="24"/>
      <c r="R6154"/>
      <c r="S6154"/>
      <c r="T6154"/>
      <c r="U6154"/>
      <c r="X6154" s="60"/>
    </row>
    <row r="6155" spans="7:24" ht="15" customHeight="1">
      <c r="G6155"/>
      <c r="I6155"/>
      <c r="N6155"/>
      <c r="O6155" s="24"/>
      <c r="P6155"/>
      <c r="Q6155" s="24"/>
      <c r="R6155"/>
      <c r="S6155"/>
      <c r="T6155"/>
      <c r="U6155"/>
      <c r="X6155" s="60"/>
    </row>
    <row r="6156" spans="7:24" ht="15" customHeight="1">
      <c r="G6156"/>
      <c r="I6156"/>
      <c r="N6156"/>
      <c r="O6156" s="24"/>
      <c r="P6156"/>
      <c r="Q6156" s="24"/>
      <c r="R6156"/>
      <c r="S6156"/>
      <c r="T6156"/>
      <c r="U6156"/>
      <c r="X6156" s="60"/>
    </row>
    <row r="6157" spans="7:24" ht="15" customHeight="1">
      <c r="G6157"/>
      <c r="I6157"/>
      <c r="N6157"/>
      <c r="O6157" s="24"/>
      <c r="P6157"/>
      <c r="Q6157" s="24"/>
      <c r="R6157"/>
      <c r="S6157"/>
      <c r="T6157"/>
      <c r="U6157"/>
      <c r="X6157" s="60"/>
    </row>
    <row r="6158" spans="7:24" ht="15" customHeight="1">
      <c r="G6158"/>
      <c r="I6158"/>
      <c r="N6158"/>
      <c r="O6158" s="24"/>
      <c r="P6158"/>
      <c r="Q6158" s="24"/>
      <c r="R6158"/>
      <c r="S6158"/>
      <c r="T6158"/>
      <c r="U6158"/>
      <c r="X6158" s="60"/>
    </row>
    <row r="6159" spans="7:24" ht="15" customHeight="1">
      <c r="G6159"/>
      <c r="I6159"/>
      <c r="N6159"/>
      <c r="O6159" s="24"/>
      <c r="P6159"/>
      <c r="Q6159" s="24"/>
      <c r="R6159"/>
      <c r="S6159"/>
      <c r="T6159"/>
      <c r="U6159"/>
      <c r="X6159" s="60"/>
    </row>
    <row r="6160" spans="7:24" ht="15" customHeight="1">
      <c r="G6160"/>
      <c r="I6160"/>
      <c r="N6160"/>
      <c r="O6160" s="24"/>
      <c r="P6160"/>
      <c r="Q6160" s="24"/>
      <c r="R6160"/>
      <c r="S6160"/>
      <c r="T6160"/>
      <c r="U6160"/>
      <c r="X6160" s="60"/>
    </row>
    <row r="6161" spans="7:24" ht="15" customHeight="1">
      <c r="G6161"/>
      <c r="I6161"/>
      <c r="N6161"/>
      <c r="O6161" s="24"/>
      <c r="P6161"/>
      <c r="Q6161" s="24"/>
      <c r="R6161"/>
      <c r="S6161"/>
      <c r="T6161"/>
      <c r="U6161"/>
      <c r="X6161" s="60"/>
    </row>
    <row r="6162" spans="7:24" ht="15" customHeight="1">
      <c r="G6162"/>
      <c r="I6162"/>
      <c r="N6162"/>
      <c r="O6162" s="24"/>
      <c r="P6162"/>
      <c r="Q6162" s="24"/>
      <c r="R6162"/>
      <c r="S6162"/>
      <c r="T6162"/>
      <c r="U6162"/>
      <c r="X6162" s="60"/>
    </row>
    <row r="6163" spans="7:24" ht="15" customHeight="1">
      <c r="G6163"/>
      <c r="I6163"/>
      <c r="N6163"/>
      <c r="O6163" s="24"/>
      <c r="P6163"/>
      <c r="Q6163" s="24"/>
      <c r="R6163"/>
      <c r="S6163"/>
      <c r="T6163"/>
      <c r="U6163"/>
      <c r="X6163" s="60"/>
    </row>
    <row r="6164" spans="7:24" ht="15" customHeight="1">
      <c r="G6164"/>
      <c r="I6164"/>
      <c r="N6164"/>
      <c r="O6164" s="24"/>
      <c r="P6164"/>
      <c r="Q6164" s="24"/>
      <c r="R6164"/>
      <c r="S6164"/>
      <c r="T6164"/>
      <c r="U6164"/>
      <c r="X6164" s="60"/>
    </row>
    <row r="6165" spans="7:24" ht="15" customHeight="1">
      <c r="G6165"/>
      <c r="I6165"/>
      <c r="N6165"/>
      <c r="O6165" s="24"/>
      <c r="P6165"/>
      <c r="Q6165" s="24"/>
      <c r="R6165"/>
      <c r="S6165"/>
      <c r="T6165"/>
      <c r="U6165"/>
      <c r="X6165" s="60"/>
    </row>
    <row r="6166" spans="7:24" ht="15" customHeight="1">
      <c r="G6166"/>
      <c r="I6166"/>
      <c r="N6166"/>
      <c r="O6166" s="24"/>
      <c r="P6166"/>
      <c r="Q6166" s="24"/>
      <c r="R6166"/>
      <c r="S6166"/>
      <c r="T6166"/>
      <c r="U6166"/>
      <c r="X6166" s="60"/>
    </row>
    <row r="6167" spans="7:24" ht="15" customHeight="1">
      <c r="G6167"/>
      <c r="I6167"/>
      <c r="N6167"/>
      <c r="O6167" s="24"/>
      <c r="P6167"/>
      <c r="Q6167" s="24"/>
      <c r="R6167"/>
      <c r="S6167"/>
      <c r="T6167"/>
      <c r="U6167"/>
      <c r="X6167" s="60"/>
    </row>
    <row r="6168" spans="7:24" ht="15" customHeight="1">
      <c r="G6168"/>
      <c r="I6168"/>
      <c r="N6168"/>
      <c r="O6168" s="24"/>
      <c r="P6168"/>
      <c r="Q6168" s="24"/>
      <c r="R6168"/>
      <c r="S6168"/>
      <c r="T6168"/>
      <c r="U6168"/>
      <c r="X6168" s="60"/>
    </row>
    <row r="6169" spans="7:24" ht="15" customHeight="1">
      <c r="G6169"/>
      <c r="I6169"/>
      <c r="N6169"/>
      <c r="O6169" s="24"/>
      <c r="P6169"/>
      <c r="Q6169" s="24"/>
      <c r="R6169"/>
      <c r="S6169"/>
      <c r="T6169"/>
      <c r="U6169"/>
      <c r="X6169" s="60"/>
    </row>
    <row r="6170" spans="7:24" ht="15" customHeight="1">
      <c r="G6170"/>
      <c r="I6170"/>
      <c r="N6170"/>
      <c r="O6170" s="24"/>
      <c r="P6170"/>
      <c r="Q6170" s="24"/>
      <c r="R6170"/>
      <c r="S6170"/>
      <c r="T6170"/>
      <c r="U6170"/>
      <c r="X6170" s="60"/>
    </row>
    <row r="6171" spans="7:24" ht="15" customHeight="1">
      <c r="G6171"/>
      <c r="I6171"/>
      <c r="N6171"/>
      <c r="O6171" s="24"/>
      <c r="P6171"/>
      <c r="Q6171" s="24"/>
      <c r="R6171"/>
      <c r="S6171"/>
      <c r="T6171"/>
      <c r="U6171"/>
      <c r="X6171" s="60"/>
    </row>
    <row r="6172" spans="7:24" ht="15" customHeight="1">
      <c r="G6172"/>
      <c r="I6172"/>
      <c r="N6172"/>
      <c r="O6172" s="24"/>
      <c r="P6172"/>
      <c r="Q6172" s="24"/>
      <c r="R6172"/>
      <c r="S6172"/>
      <c r="T6172"/>
      <c r="U6172"/>
      <c r="X6172" s="60"/>
    </row>
    <row r="6173" spans="7:24" ht="15" customHeight="1">
      <c r="G6173"/>
      <c r="I6173"/>
      <c r="N6173"/>
      <c r="O6173" s="24"/>
      <c r="P6173"/>
      <c r="Q6173" s="24"/>
      <c r="R6173"/>
      <c r="S6173"/>
      <c r="T6173"/>
      <c r="U6173"/>
      <c r="X6173" s="60"/>
    </row>
    <row r="6174" spans="7:24" ht="15" customHeight="1">
      <c r="G6174"/>
      <c r="I6174"/>
      <c r="N6174"/>
      <c r="O6174" s="24"/>
      <c r="P6174"/>
      <c r="Q6174" s="24"/>
      <c r="R6174"/>
      <c r="S6174"/>
      <c r="T6174"/>
      <c r="U6174"/>
      <c r="X6174" s="60"/>
    </row>
    <row r="6175" spans="7:24" ht="15" customHeight="1">
      <c r="G6175"/>
      <c r="I6175"/>
      <c r="N6175"/>
      <c r="O6175" s="24"/>
      <c r="P6175"/>
      <c r="Q6175" s="24"/>
      <c r="R6175"/>
      <c r="S6175"/>
      <c r="T6175"/>
      <c r="U6175"/>
      <c r="X6175" s="60"/>
    </row>
    <row r="6176" spans="7:24" ht="15" customHeight="1">
      <c r="G6176"/>
      <c r="I6176"/>
      <c r="N6176"/>
      <c r="O6176" s="24"/>
      <c r="P6176"/>
      <c r="Q6176" s="24"/>
      <c r="R6176"/>
      <c r="S6176"/>
      <c r="T6176"/>
      <c r="U6176"/>
      <c r="X6176" s="60"/>
    </row>
    <row r="6177" spans="7:24" ht="15" customHeight="1">
      <c r="G6177"/>
      <c r="I6177"/>
      <c r="N6177"/>
      <c r="O6177" s="24"/>
      <c r="P6177"/>
      <c r="Q6177" s="24"/>
      <c r="R6177"/>
      <c r="S6177"/>
      <c r="T6177"/>
      <c r="U6177"/>
      <c r="X6177" s="60"/>
    </row>
    <row r="6178" spans="7:24" ht="15" customHeight="1">
      <c r="G6178"/>
      <c r="I6178"/>
      <c r="N6178"/>
      <c r="O6178" s="24"/>
      <c r="P6178"/>
      <c r="Q6178" s="24"/>
      <c r="R6178"/>
      <c r="S6178"/>
      <c r="T6178"/>
      <c r="U6178"/>
      <c r="X6178" s="60"/>
    </row>
    <row r="6179" spans="7:24" ht="15" customHeight="1">
      <c r="G6179"/>
      <c r="I6179"/>
      <c r="N6179"/>
      <c r="O6179" s="24"/>
      <c r="P6179"/>
      <c r="Q6179" s="24"/>
      <c r="R6179"/>
      <c r="S6179"/>
      <c r="T6179"/>
      <c r="U6179"/>
      <c r="X6179" s="60"/>
    </row>
    <row r="6180" spans="7:24" ht="15" customHeight="1">
      <c r="G6180"/>
      <c r="I6180"/>
      <c r="N6180"/>
      <c r="O6180" s="24"/>
      <c r="P6180"/>
      <c r="Q6180" s="24"/>
      <c r="R6180"/>
      <c r="S6180"/>
      <c r="T6180"/>
      <c r="U6180"/>
      <c r="X6180" s="60"/>
    </row>
    <row r="6181" spans="7:24" ht="15" customHeight="1">
      <c r="G6181"/>
      <c r="I6181"/>
      <c r="N6181"/>
      <c r="O6181" s="24"/>
      <c r="P6181"/>
      <c r="Q6181" s="24"/>
      <c r="R6181"/>
      <c r="S6181"/>
      <c r="T6181"/>
      <c r="U6181"/>
      <c r="X6181" s="60"/>
    </row>
    <row r="6182" spans="7:24" ht="15" customHeight="1">
      <c r="G6182"/>
      <c r="I6182"/>
      <c r="N6182"/>
      <c r="O6182" s="24"/>
      <c r="P6182"/>
      <c r="Q6182" s="24"/>
      <c r="R6182"/>
      <c r="S6182"/>
      <c r="T6182"/>
      <c r="U6182"/>
      <c r="X6182" s="60"/>
    </row>
    <row r="6183" spans="7:24" ht="15" customHeight="1">
      <c r="G6183"/>
      <c r="I6183"/>
      <c r="N6183"/>
      <c r="O6183" s="24"/>
      <c r="P6183"/>
      <c r="Q6183" s="24"/>
      <c r="R6183"/>
      <c r="S6183"/>
      <c r="T6183"/>
      <c r="U6183"/>
      <c r="X6183" s="60"/>
    </row>
    <row r="6184" spans="7:24" ht="15" customHeight="1">
      <c r="G6184"/>
      <c r="I6184"/>
      <c r="N6184"/>
      <c r="O6184" s="24"/>
      <c r="P6184"/>
      <c r="Q6184" s="24"/>
      <c r="R6184"/>
      <c r="S6184"/>
      <c r="T6184"/>
      <c r="U6184"/>
      <c r="X6184" s="60"/>
    </row>
    <row r="6185" spans="7:24" ht="15" customHeight="1">
      <c r="G6185"/>
      <c r="I6185"/>
      <c r="N6185"/>
      <c r="O6185" s="24"/>
      <c r="P6185"/>
      <c r="Q6185" s="24"/>
      <c r="R6185"/>
      <c r="S6185"/>
      <c r="T6185"/>
      <c r="U6185"/>
      <c r="X6185" s="60"/>
    </row>
    <row r="6186" spans="7:24" ht="15" customHeight="1">
      <c r="G6186"/>
      <c r="I6186"/>
      <c r="N6186"/>
      <c r="O6186" s="24"/>
      <c r="P6186"/>
      <c r="Q6186" s="24"/>
      <c r="R6186"/>
      <c r="S6186"/>
      <c r="T6186"/>
      <c r="U6186"/>
      <c r="X6186" s="60"/>
    </row>
    <row r="6187" spans="7:24" ht="15" customHeight="1">
      <c r="G6187"/>
      <c r="I6187"/>
      <c r="N6187"/>
      <c r="O6187" s="24"/>
      <c r="P6187"/>
      <c r="Q6187" s="24"/>
      <c r="R6187"/>
      <c r="S6187"/>
      <c r="T6187"/>
      <c r="U6187"/>
      <c r="X6187" s="60"/>
    </row>
    <row r="6188" spans="7:24" ht="15" customHeight="1">
      <c r="G6188"/>
      <c r="I6188"/>
      <c r="N6188"/>
      <c r="O6188" s="24"/>
      <c r="P6188"/>
      <c r="Q6188" s="24"/>
      <c r="R6188"/>
      <c r="S6188"/>
      <c r="T6188"/>
      <c r="U6188"/>
      <c r="X6188" s="60"/>
    </row>
    <row r="6189" spans="7:24" ht="15" customHeight="1">
      <c r="G6189"/>
      <c r="I6189"/>
      <c r="N6189"/>
      <c r="O6189" s="24"/>
      <c r="P6189"/>
      <c r="Q6189" s="24"/>
      <c r="R6189"/>
      <c r="S6189"/>
      <c r="T6189"/>
      <c r="U6189"/>
      <c r="X6189" s="60"/>
    </row>
    <row r="6190" spans="7:24" ht="15" customHeight="1">
      <c r="G6190"/>
      <c r="I6190"/>
      <c r="N6190"/>
      <c r="O6190" s="24"/>
      <c r="P6190"/>
      <c r="Q6190" s="24"/>
      <c r="R6190"/>
      <c r="S6190"/>
      <c r="T6190"/>
      <c r="U6190"/>
      <c r="X6190" s="60"/>
    </row>
    <row r="6191" spans="7:24" ht="15" customHeight="1">
      <c r="G6191"/>
      <c r="I6191"/>
      <c r="N6191"/>
      <c r="O6191" s="24"/>
      <c r="P6191"/>
      <c r="Q6191" s="24"/>
      <c r="R6191"/>
      <c r="S6191"/>
      <c r="T6191"/>
      <c r="U6191"/>
      <c r="X6191" s="60"/>
    </row>
    <row r="6192" spans="7:24" ht="15" customHeight="1">
      <c r="G6192"/>
      <c r="I6192"/>
      <c r="N6192"/>
      <c r="O6192" s="24"/>
      <c r="P6192"/>
      <c r="Q6192" s="24"/>
      <c r="R6192"/>
      <c r="S6192"/>
      <c r="T6192"/>
      <c r="U6192"/>
      <c r="X6192" s="60"/>
    </row>
    <row r="6193" spans="7:24" ht="15" customHeight="1">
      <c r="G6193"/>
      <c r="I6193"/>
      <c r="N6193"/>
      <c r="O6193" s="24"/>
      <c r="P6193"/>
      <c r="Q6193" s="24"/>
      <c r="R6193"/>
      <c r="S6193"/>
      <c r="T6193"/>
      <c r="U6193"/>
      <c r="X6193" s="60"/>
    </row>
    <row r="6194" spans="7:24" ht="15" customHeight="1">
      <c r="G6194"/>
      <c r="I6194"/>
      <c r="N6194"/>
      <c r="O6194" s="24"/>
      <c r="P6194"/>
      <c r="Q6194" s="24"/>
      <c r="R6194"/>
      <c r="S6194"/>
      <c r="T6194"/>
      <c r="U6194"/>
      <c r="X6194" s="60"/>
    </row>
    <row r="6195" spans="7:24" ht="15" customHeight="1">
      <c r="G6195"/>
      <c r="I6195"/>
      <c r="N6195"/>
      <c r="O6195" s="24"/>
      <c r="P6195"/>
      <c r="Q6195" s="24"/>
      <c r="R6195"/>
      <c r="S6195"/>
      <c r="T6195"/>
      <c r="U6195"/>
      <c r="X6195" s="60"/>
    </row>
    <row r="6196" spans="7:24" ht="15" customHeight="1">
      <c r="G6196"/>
      <c r="I6196"/>
      <c r="N6196"/>
      <c r="O6196" s="24"/>
      <c r="P6196"/>
      <c r="Q6196" s="24"/>
      <c r="R6196"/>
      <c r="S6196"/>
      <c r="T6196"/>
      <c r="U6196"/>
      <c r="X6196" s="60"/>
    </row>
    <row r="6197" spans="7:24" ht="15" customHeight="1">
      <c r="G6197"/>
      <c r="I6197"/>
      <c r="N6197"/>
      <c r="O6197" s="24"/>
      <c r="P6197"/>
      <c r="Q6197" s="24"/>
      <c r="R6197"/>
      <c r="S6197"/>
      <c r="T6197"/>
      <c r="U6197"/>
      <c r="X6197" s="60"/>
    </row>
    <row r="6198" spans="7:24" ht="15" customHeight="1">
      <c r="G6198"/>
      <c r="I6198"/>
      <c r="N6198"/>
      <c r="O6198" s="24"/>
      <c r="P6198"/>
      <c r="Q6198" s="24"/>
      <c r="R6198"/>
      <c r="S6198"/>
      <c r="T6198"/>
      <c r="U6198"/>
      <c r="X6198" s="60"/>
    </row>
    <row r="6199" spans="7:24" ht="15" customHeight="1">
      <c r="G6199"/>
      <c r="I6199"/>
      <c r="N6199"/>
      <c r="O6199" s="24"/>
      <c r="P6199"/>
      <c r="Q6199" s="24"/>
      <c r="R6199"/>
      <c r="S6199"/>
      <c r="T6199"/>
      <c r="U6199"/>
      <c r="X6199" s="60"/>
    </row>
    <row r="6200" spans="7:24" ht="15" customHeight="1">
      <c r="G6200"/>
      <c r="I6200"/>
      <c r="N6200"/>
      <c r="O6200" s="24"/>
      <c r="P6200"/>
      <c r="Q6200" s="24"/>
      <c r="R6200"/>
      <c r="S6200"/>
      <c r="T6200"/>
      <c r="U6200"/>
      <c r="X6200" s="60"/>
    </row>
    <row r="6201" spans="7:24" ht="15" customHeight="1">
      <c r="G6201"/>
      <c r="I6201"/>
      <c r="N6201"/>
      <c r="O6201" s="24"/>
      <c r="P6201"/>
      <c r="Q6201" s="24"/>
      <c r="R6201"/>
      <c r="S6201"/>
      <c r="T6201"/>
      <c r="U6201"/>
      <c r="X6201" s="60"/>
    </row>
    <row r="6202" spans="7:24" ht="15" customHeight="1">
      <c r="G6202"/>
      <c r="I6202"/>
      <c r="N6202"/>
      <c r="O6202" s="24"/>
      <c r="P6202"/>
      <c r="Q6202" s="24"/>
      <c r="R6202"/>
      <c r="S6202"/>
      <c r="T6202"/>
      <c r="U6202"/>
      <c r="X6202" s="60"/>
    </row>
    <row r="6203" spans="7:24" ht="15" customHeight="1">
      <c r="G6203"/>
      <c r="I6203"/>
      <c r="N6203"/>
      <c r="O6203" s="24"/>
      <c r="P6203"/>
      <c r="Q6203" s="24"/>
      <c r="R6203"/>
      <c r="S6203"/>
      <c r="T6203"/>
      <c r="U6203"/>
      <c r="X6203" s="60"/>
    </row>
    <row r="6204" spans="7:24" ht="15" customHeight="1">
      <c r="G6204"/>
      <c r="I6204"/>
      <c r="N6204"/>
      <c r="O6204" s="24"/>
      <c r="P6204"/>
      <c r="Q6204" s="24"/>
      <c r="R6204"/>
      <c r="S6204"/>
      <c r="T6204"/>
      <c r="U6204"/>
      <c r="X6204" s="60"/>
    </row>
    <row r="6205" spans="7:24" ht="15" customHeight="1">
      <c r="G6205"/>
      <c r="I6205"/>
      <c r="N6205"/>
      <c r="O6205" s="24"/>
      <c r="P6205"/>
      <c r="Q6205" s="24"/>
      <c r="R6205"/>
      <c r="S6205"/>
      <c r="T6205"/>
      <c r="U6205"/>
      <c r="X6205" s="60"/>
    </row>
    <row r="6206" spans="7:24" ht="15" customHeight="1">
      <c r="G6206"/>
      <c r="I6206"/>
      <c r="N6206"/>
      <c r="O6206" s="24"/>
      <c r="P6206"/>
      <c r="Q6206" s="24"/>
      <c r="R6206"/>
      <c r="S6206"/>
      <c r="T6206"/>
      <c r="U6206"/>
      <c r="X6206" s="60"/>
    </row>
    <row r="6207" spans="7:24" ht="15" customHeight="1">
      <c r="G6207"/>
      <c r="I6207"/>
      <c r="N6207"/>
      <c r="O6207" s="24"/>
      <c r="P6207"/>
      <c r="Q6207" s="24"/>
      <c r="R6207"/>
      <c r="S6207"/>
      <c r="T6207"/>
      <c r="U6207"/>
      <c r="X6207" s="60"/>
    </row>
    <row r="6208" spans="7:24" ht="15" customHeight="1">
      <c r="G6208"/>
      <c r="I6208"/>
      <c r="N6208"/>
      <c r="O6208" s="24"/>
      <c r="P6208"/>
      <c r="Q6208" s="24"/>
      <c r="R6208"/>
      <c r="S6208"/>
      <c r="T6208"/>
      <c r="U6208"/>
      <c r="X6208" s="60"/>
    </row>
    <row r="6209" spans="7:24" ht="15" customHeight="1">
      <c r="G6209"/>
      <c r="I6209"/>
      <c r="N6209"/>
      <c r="O6209" s="24"/>
      <c r="P6209"/>
      <c r="Q6209" s="24"/>
      <c r="R6209"/>
      <c r="S6209"/>
      <c r="T6209"/>
      <c r="U6209"/>
      <c r="X6209" s="60"/>
    </row>
    <row r="6210" spans="7:24" ht="15" customHeight="1">
      <c r="G6210"/>
      <c r="I6210"/>
      <c r="N6210"/>
      <c r="O6210" s="24"/>
      <c r="P6210"/>
      <c r="Q6210" s="24"/>
      <c r="R6210"/>
      <c r="S6210"/>
      <c r="T6210"/>
      <c r="U6210"/>
      <c r="X6210" s="60"/>
    </row>
    <row r="6211" spans="7:24" ht="15" customHeight="1">
      <c r="G6211"/>
      <c r="I6211"/>
      <c r="N6211"/>
      <c r="O6211" s="24"/>
      <c r="P6211"/>
      <c r="Q6211" s="24"/>
      <c r="R6211"/>
      <c r="S6211"/>
      <c r="T6211"/>
      <c r="U6211"/>
      <c r="X6211" s="60"/>
    </row>
    <row r="6212" spans="7:24" ht="15" customHeight="1">
      <c r="G6212"/>
      <c r="I6212"/>
      <c r="N6212"/>
      <c r="O6212" s="24"/>
      <c r="P6212"/>
      <c r="Q6212" s="24"/>
      <c r="R6212"/>
      <c r="S6212"/>
      <c r="T6212"/>
      <c r="U6212"/>
      <c r="X6212" s="60"/>
    </row>
    <row r="6213" spans="7:24" ht="15" customHeight="1">
      <c r="G6213"/>
      <c r="I6213"/>
      <c r="N6213"/>
      <c r="O6213" s="24"/>
      <c r="P6213"/>
      <c r="Q6213" s="24"/>
      <c r="R6213"/>
      <c r="S6213"/>
      <c r="T6213"/>
      <c r="U6213"/>
      <c r="X6213" s="60"/>
    </row>
    <row r="6214" spans="7:24" ht="15" customHeight="1">
      <c r="G6214"/>
      <c r="I6214"/>
      <c r="N6214"/>
      <c r="O6214" s="24"/>
      <c r="P6214"/>
      <c r="Q6214" s="24"/>
      <c r="R6214"/>
      <c r="S6214"/>
      <c r="T6214"/>
      <c r="U6214"/>
      <c r="X6214" s="60"/>
    </row>
    <row r="6215" spans="7:24" ht="15" customHeight="1">
      <c r="G6215"/>
      <c r="I6215"/>
      <c r="N6215"/>
      <c r="O6215" s="24"/>
      <c r="P6215"/>
      <c r="Q6215" s="24"/>
      <c r="R6215"/>
      <c r="S6215"/>
      <c r="T6215"/>
      <c r="U6215"/>
      <c r="X6215" s="60"/>
    </row>
    <row r="6216" spans="7:24" ht="15" customHeight="1">
      <c r="G6216"/>
      <c r="I6216"/>
      <c r="N6216"/>
      <c r="O6216" s="24"/>
      <c r="P6216"/>
      <c r="Q6216" s="24"/>
      <c r="R6216"/>
      <c r="S6216"/>
      <c r="T6216"/>
      <c r="U6216"/>
      <c r="X6216" s="60"/>
    </row>
    <row r="6217" spans="7:24" ht="15" customHeight="1">
      <c r="G6217"/>
      <c r="I6217"/>
      <c r="N6217"/>
      <c r="O6217" s="24"/>
      <c r="P6217"/>
      <c r="Q6217" s="24"/>
      <c r="R6217"/>
      <c r="S6217"/>
      <c r="T6217"/>
      <c r="U6217"/>
      <c r="X6217" s="60"/>
    </row>
    <row r="6218" spans="7:24" ht="15" customHeight="1">
      <c r="G6218"/>
      <c r="I6218"/>
      <c r="N6218"/>
      <c r="O6218" s="24"/>
      <c r="P6218"/>
      <c r="Q6218" s="24"/>
      <c r="R6218"/>
      <c r="S6218"/>
      <c r="T6218"/>
      <c r="U6218"/>
      <c r="X6218" s="60"/>
    </row>
    <row r="6219" spans="7:24" ht="15" customHeight="1">
      <c r="G6219"/>
      <c r="I6219"/>
      <c r="N6219"/>
      <c r="O6219" s="24"/>
      <c r="P6219"/>
      <c r="Q6219" s="24"/>
      <c r="R6219"/>
      <c r="S6219"/>
      <c r="T6219"/>
      <c r="U6219"/>
      <c r="X6219" s="60"/>
    </row>
    <row r="6220" spans="7:24" ht="15" customHeight="1">
      <c r="G6220"/>
      <c r="I6220"/>
      <c r="N6220"/>
      <c r="O6220" s="24"/>
      <c r="P6220"/>
      <c r="Q6220" s="24"/>
      <c r="R6220"/>
      <c r="S6220"/>
      <c r="T6220"/>
      <c r="U6220"/>
      <c r="X6220" s="60"/>
    </row>
    <row r="6221" spans="7:24" ht="15" customHeight="1">
      <c r="G6221"/>
      <c r="I6221"/>
      <c r="N6221"/>
      <c r="O6221" s="24"/>
      <c r="P6221"/>
      <c r="Q6221" s="24"/>
      <c r="R6221"/>
      <c r="S6221"/>
      <c r="T6221"/>
      <c r="U6221"/>
      <c r="X6221" s="60"/>
    </row>
    <row r="6222" spans="7:24" ht="15" customHeight="1">
      <c r="G6222"/>
      <c r="I6222"/>
      <c r="N6222"/>
      <c r="O6222" s="24"/>
      <c r="P6222"/>
      <c r="Q6222" s="24"/>
      <c r="R6222"/>
      <c r="S6222"/>
      <c r="T6222"/>
      <c r="U6222"/>
      <c r="X6222" s="60"/>
    </row>
    <row r="6223" spans="7:24" ht="15" customHeight="1">
      <c r="G6223"/>
      <c r="I6223"/>
      <c r="N6223"/>
      <c r="O6223" s="24"/>
      <c r="P6223"/>
      <c r="Q6223" s="24"/>
      <c r="R6223"/>
      <c r="S6223"/>
      <c r="T6223"/>
      <c r="U6223"/>
      <c r="X6223" s="60"/>
    </row>
    <row r="6224" spans="7:24" ht="15" customHeight="1">
      <c r="G6224"/>
      <c r="I6224"/>
      <c r="N6224"/>
      <c r="O6224" s="24"/>
      <c r="P6224"/>
      <c r="Q6224" s="24"/>
      <c r="R6224"/>
      <c r="S6224"/>
      <c r="T6224"/>
      <c r="U6224"/>
      <c r="X6224" s="60"/>
    </row>
    <row r="6225" spans="7:24" ht="15" customHeight="1">
      <c r="G6225"/>
      <c r="I6225"/>
      <c r="N6225"/>
      <c r="O6225" s="24"/>
      <c r="P6225"/>
      <c r="Q6225" s="24"/>
      <c r="R6225"/>
      <c r="S6225"/>
      <c r="T6225"/>
      <c r="U6225"/>
      <c r="X6225" s="60"/>
    </row>
    <row r="6226" spans="7:24" ht="15" customHeight="1">
      <c r="G6226"/>
      <c r="I6226"/>
      <c r="N6226"/>
      <c r="O6226" s="24"/>
      <c r="P6226"/>
      <c r="Q6226" s="24"/>
      <c r="R6226"/>
      <c r="S6226"/>
      <c r="T6226"/>
      <c r="U6226"/>
      <c r="X6226" s="60"/>
    </row>
    <row r="6227" spans="7:24" ht="15" customHeight="1">
      <c r="G6227"/>
      <c r="I6227"/>
      <c r="N6227"/>
      <c r="O6227" s="24"/>
      <c r="P6227"/>
      <c r="Q6227" s="24"/>
      <c r="R6227"/>
      <c r="S6227"/>
      <c r="T6227"/>
      <c r="U6227"/>
      <c r="X6227" s="60"/>
    </row>
    <row r="6228" spans="7:24" ht="15" customHeight="1">
      <c r="G6228"/>
      <c r="I6228"/>
      <c r="N6228"/>
      <c r="O6228" s="24"/>
      <c r="P6228"/>
      <c r="Q6228" s="24"/>
      <c r="R6228"/>
      <c r="S6228"/>
      <c r="T6228"/>
      <c r="U6228"/>
      <c r="X6228" s="60"/>
    </row>
    <row r="6229" spans="7:24" ht="15" customHeight="1">
      <c r="G6229"/>
      <c r="I6229"/>
      <c r="N6229"/>
      <c r="O6229" s="24"/>
      <c r="P6229"/>
      <c r="Q6229" s="24"/>
      <c r="R6229"/>
      <c r="S6229"/>
      <c r="T6229"/>
      <c r="U6229"/>
      <c r="X6229" s="60"/>
    </row>
    <row r="6230" spans="7:24" ht="15" customHeight="1">
      <c r="G6230"/>
      <c r="I6230"/>
      <c r="N6230"/>
      <c r="O6230" s="24"/>
      <c r="P6230"/>
      <c r="Q6230" s="24"/>
      <c r="R6230"/>
      <c r="S6230"/>
      <c r="T6230"/>
      <c r="U6230"/>
      <c r="X6230" s="60"/>
    </row>
    <row r="6231" spans="7:24" ht="15" customHeight="1">
      <c r="G6231"/>
      <c r="I6231"/>
      <c r="N6231"/>
      <c r="O6231" s="24"/>
      <c r="P6231"/>
      <c r="Q6231" s="24"/>
      <c r="R6231"/>
      <c r="S6231"/>
      <c r="T6231"/>
      <c r="U6231"/>
      <c r="X6231" s="60"/>
    </row>
    <row r="6232" spans="7:24" ht="15" customHeight="1">
      <c r="G6232"/>
      <c r="I6232"/>
      <c r="N6232"/>
      <c r="O6232" s="24"/>
      <c r="P6232"/>
      <c r="Q6232" s="24"/>
      <c r="R6232"/>
      <c r="S6232"/>
      <c r="T6232"/>
      <c r="U6232"/>
      <c r="X6232" s="60"/>
    </row>
    <row r="6233" spans="7:24" ht="15" customHeight="1">
      <c r="G6233"/>
      <c r="I6233"/>
      <c r="N6233"/>
      <c r="O6233" s="24"/>
      <c r="P6233"/>
      <c r="Q6233" s="24"/>
      <c r="R6233"/>
      <c r="S6233"/>
      <c r="T6233"/>
      <c r="U6233"/>
      <c r="X6233" s="60"/>
    </row>
    <row r="6234" spans="7:24" ht="15" customHeight="1">
      <c r="G6234"/>
      <c r="I6234"/>
      <c r="N6234"/>
      <c r="O6234" s="24"/>
      <c r="P6234"/>
      <c r="Q6234" s="24"/>
      <c r="R6234"/>
      <c r="S6234"/>
      <c r="T6234"/>
      <c r="U6234"/>
      <c r="X6234" s="60"/>
    </row>
    <row r="6235" spans="7:24" ht="15" customHeight="1">
      <c r="G6235"/>
      <c r="I6235"/>
      <c r="N6235"/>
      <c r="O6235" s="24"/>
      <c r="P6235"/>
      <c r="Q6235" s="24"/>
      <c r="R6235"/>
      <c r="S6235"/>
      <c r="T6235"/>
      <c r="U6235"/>
      <c r="X6235" s="60"/>
    </row>
    <row r="6236" spans="7:24" ht="15" customHeight="1">
      <c r="G6236"/>
      <c r="I6236"/>
      <c r="N6236"/>
      <c r="O6236" s="24"/>
      <c r="P6236"/>
      <c r="Q6236" s="24"/>
      <c r="R6236"/>
      <c r="S6236"/>
      <c r="T6236"/>
      <c r="U6236"/>
      <c r="X6236" s="60"/>
    </row>
    <row r="6237" spans="7:24" ht="15" customHeight="1">
      <c r="G6237"/>
      <c r="I6237"/>
      <c r="N6237"/>
      <c r="O6237" s="24"/>
      <c r="P6237"/>
      <c r="Q6237" s="24"/>
      <c r="R6237"/>
      <c r="S6237"/>
      <c r="T6237"/>
      <c r="U6237"/>
      <c r="X6237" s="60"/>
    </row>
    <row r="6238" spans="7:24" ht="15" customHeight="1">
      <c r="G6238"/>
      <c r="I6238"/>
      <c r="N6238"/>
      <c r="O6238" s="24"/>
      <c r="P6238"/>
      <c r="Q6238" s="24"/>
      <c r="R6238"/>
      <c r="S6238"/>
      <c r="T6238"/>
      <c r="U6238"/>
      <c r="X6238" s="60"/>
    </row>
    <row r="6239" spans="7:24" ht="15" customHeight="1">
      <c r="G6239"/>
      <c r="I6239"/>
      <c r="N6239"/>
      <c r="O6239" s="24"/>
      <c r="P6239"/>
      <c r="Q6239" s="24"/>
      <c r="R6239"/>
      <c r="S6239"/>
      <c r="T6239"/>
      <c r="U6239"/>
      <c r="X6239" s="60"/>
    </row>
    <row r="6240" spans="7:24" ht="15" customHeight="1">
      <c r="G6240"/>
      <c r="I6240"/>
      <c r="N6240"/>
      <c r="O6240" s="24"/>
      <c r="P6240"/>
      <c r="Q6240" s="24"/>
      <c r="R6240"/>
      <c r="S6240"/>
      <c r="T6240"/>
      <c r="U6240"/>
      <c r="X6240" s="60"/>
    </row>
    <row r="6241" spans="7:24" ht="15" customHeight="1">
      <c r="G6241"/>
      <c r="I6241"/>
      <c r="N6241"/>
      <c r="O6241" s="24"/>
      <c r="P6241"/>
      <c r="Q6241" s="24"/>
      <c r="R6241"/>
      <c r="S6241"/>
      <c r="T6241"/>
      <c r="U6241"/>
      <c r="X6241" s="60"/>
    </row>
    <row r="6242" spans="7:24" ht="15" customHeight="1">
      <c r="G6242"/>
      <c r="I6242"/>
      <c r="N6242"/>
      <c r="O6242" s="24"/>
      <c r="P6242"/>
      <c r="Q6242" s="24"/>
      <c r="R6242"/>
      <c r="S6242"/>
      <c r="T6242"/>
      <c r="U6242"/>
      <c r="X6242" s="60"/>
    </row>
    <row r="6243" spans="7:24" ht="15" customHeight="1">
      <c r="G6243"/>
      <c r="I6243"/>
      <c r="N6243"/>
      <c r="O6243" s="24"/>
      <c r="P6243"/>
      <c r="Q6243" s="24"/>
      <c r="R6243"/>
      <c r="S6243"/>
      <c r="T6243"/>
      <c r="U6243"/>
      <c r="X6243" s="60"/>
    </row>
    <row r="6244" spans="7:24" ht="15" customHeight="1">
      <c r="G6244"/>
      <c r="I6244"/>
      <c r="N6244"/>
      <c r="O6244" s="24"/>
      <c r="P6244"/>
      <c r="Q6244" s="24"/>
      <c r="R6244"/>
      <c r="S6244"/>
      <c r="T6244"/>
      <c r="U6244"/>
      <c r="X6244" s="60"/>
    </row>
    <row r="6245" spans="7:24" ht="15" customHeight="1">
      <c r="G6245"/>
      <c r="I6245"/>
      <c r="N6245"/>
      <c r="O6245" s="24"/>
      <c r="P6245"/>
      <c r="Q6245" s="24"/>
      <c r="R6245"/>
      <c r="S6245"/>
      <c r="T6245"/>
      <c r="U6245"/>
      <c r="X6245" s="60"/>
    </row>
    <row r="6246" spans="7:24" ht="15" customHeight="1">
      <c r="G6246"/>
      <c r="I6246"/>
      <c r="N6246"/>
      <c r="O6246" s="24"/>
      <c r="P6246"/>
      <c r="Q6246" s="24"/>
      <c r="R6246"/>
      <c r="S6246"/>
      <c r="T6246"/>
      <c r="U6246"/>
      <c r="X6246" s="60"/>
    </row>
    <row r="6247" spans="7:24" ht="15" customHeight="1">
      <c r="G6247"/>
      <c r="I6247"/>
      <c r="N6247"/>
      <c r="O6247" s="24"/>
      <c r="P6247"/>
      <c r="Q6247" s="24"/>
      <c r="R6247"/>
      <c r="S6247"/>
      <c r="T6247"/>
      <c r="U6247"/>
      <c r="X6247" s="60"/>
    </row>
    <row r="6248" spans="7:24" ht="15" customHeight="1">
      <c r="G6248"/>
      <c r="I6248"/>
      <c r="N6248"/>
      <c r="O6248" s="24"/>
      <c r="P6248"/>
      <c r="Q6248" s="24"/>
      <c r="R6248"/>
      <c r="S6248"/>
      <c r="T6248"/>
      <c r="U6248"/>
      <c r="X6248" s="60"/>
    </row>
    <row r="6249" spans="7:24" ht="15" customHeight="1">
      <c r="G6249"/>
      <c r="I6249"/>
      <c r="N6249"/>
      <c r="O6249" s="24"/>
      <c r="P6249"/>
      <c r="Q6249" s="24"/>
      <c r="R6249"/>
      <c r="S6249"/>
      <c r="T6249"/>
      <c r="U6249"/>
      <c r="X6249" s="60"/>
    </row>
    <row r="6250" spans="7:24" ht="15" customHeight="1">
      <c r="G6250"/>
      <c r="I6250"/>
      <c r="N6250"/>
      <c r="O6250" s="24"/>
      <c r="P6250"/>
      <c r="Q6250" s="24"/>
      <c r="R6250"/>
      <c r="S6250"/>
      <c r="T6250"/>
      <c r="U6250"/>
      <c r="X6250" s="60"/>
    </row>
    <row r="6251" spans="7:24" ht="15" customHeight="1">
      <c r="G6251"/>
      <c r="I6251"/>
      <c r="N6251"/>
      <c r="O6251" s="24"/>
      <c r="P6251"/>
      <c r="Q6251" s="24"/>
      <c r="R6251"/>
      <c r="S6251"/>
      <c r="T6251"/>
      <c r="U6251"/>
      <c r="X6251" s="60"/>
    </row>
    <row r="6252" spans="7:24" ht="15" customHeight="1">
      <c r="G6252"/>
      <c r="I6252"/>
      <c r="N6252"/>
      <c r="O6252" s="24"/>
      <c r="P6252"/>
      <c r="Q6252" s="24"/>
      <c r="R6252"/>
      <c r="S6252"/>
      <c r="T6252"/>
      <c r="U6252"/>
      <c r="X6252" s="60"/>
    </row>
    <row r="6253" spans="7:24" ht="15" customHeight="1">
      <c r="G6253"/>
      <c r="I6253"/>
      <c r="N6253"/>
      <c r="O6253" s="24"/>
      <c r="P6253"/>
      <c r="Q6253" s="24"/>
      <c r="R6253"/>
      <c r="S6253"/>
      <c r="T6253"/>
      <c r="U6253"/>
      <c r="X6253" s="60"/>
    </row>
    <row r="6254" spans="7:24" ht="15" customHeight="1">
      <c r="G6254"/>
      <c r="I6254"/>
      <c r="N6254"/>
      <c r="O6254" s="24"/>
      <c r="P6254"/>
      <c r="Q6254" s="24"/>
      <c r="R6254"/>
      <c r="S6254"/>
      <c r="T6254"/>
      <c r="U6254"/>
      <c r="X6254" s="60"/>
    </row>
    <row r="6255" spans="7:24" ht="15" customHeight="1">
      <c r="G6255"/>
      <c r="I6255"/>
      <c r="N6255"/>
      <c r="O6255" s="24"/>
      <c r="P6255"/>
      <c r="Q6255" s="24"/>
      <c r="R6255"/>
      <c r="S6255"/>
      <c r="T6255"/>
      <c r="U6255"/>
      <c r="X6255" s="60"/>
    </row>
    <row r="6256" spans="7:24" ht="15" customHeight="1">
      <c r="G6256"/>
      <c r="I6256"/>
      <c r="N6256"/>
      <c r="O6256" s="24"/>
      <c r="P6256"/>
      <c r="Q6256" s="24"/>
      <c r="R6256"/>
      <c r="S6256"/>
      <c r="T6256"/>
      <c r="U6256"/>
      <c r="X6256" s="60"/>
    </row>
    <row r="6257" spans="7:24" ht="15" customHeight="1">
      <c r="G6257"/>
      <c r="I6257"/>
      <c r="N6257"/>
      <c r="O6257" s="24"/>
      <c r="P6257"/>
      <c r="Q6257" s="24"/>
      <c r="R6257"/>
      <c r="S6257"/>
      <c r="T6257"/>
      <c r="U6257"/>
      <c r="X6257" s="60"/>
    </row>
    <row r="6258" spans="7:24" ht="15" customHeight="1">
      <c r="G6258"/>
      <c r="I6258"/>
      <c r="N6258"/>
      <c r="O6258" s="24"/>
      <c r="P6258"/>
      <c r="Q6258" s="24"/>
      <c r="R6258"/>
      <c r="S6258"/>
      <c r="T6258"/>
      <c r="U6258"/>
      <c r="X6258" s="60"/>
    </row>
    <row r="6259" spans="7:24" ht="15" customHeight="1">
      <c r="G6259"/>
      <c r="I6259"/>
      <c r="N6259"/>
      <c r="O6259" s="24"/>
      <c r="P6259"/>
      <c r="Q6259" s="24"/>
      <c r="R6259"/>
      <c r="S6259"/>
      <c r="T6259"/>
      <c r="U6259"/>
      <c r="X6259" s="60"/>
    </row>
    <row r="6260" spans="7:24" ht="15" customHeight="1">
      <c r="G6260"/>
      <c r="I6260"/>
      <c r="N6260"/>
      <c r="O6260" s="24"/>
      <c r="P6260"/>
      <c r="Q6260" s="24"/>
      <c r="R6260"/>
      <c r="S6260"/>
      <c r="T6260"/>
      <c r="U6260"/>
      <c r="X6260" s="60"/>
    </row>
    <row r="6261" spans="7:24" ht="15" customHeight="1">
      <c r="G6261"/>
      <c r="I6261"/>
      <c r="N6261"/>
      <c r="O6261" s="24"/>
      <c r="P6261"/>
      <c r="Q6261" s="24"/>
      <c r="R6261"/>
      <c r="S6261"/>
      <c r="T6261"/>
      <c r="U6261"/>
      <c r="X6261" s="60"/>
    </row>
    <row r="6262" spans="7:24" ht="15" customHeight="1">
      <c r="G6262"/>
      <c r="I6262"/>
      <c r="N6262"/>
      <c r="O6262" s="24"/>
      <c r="P6262"/>
      <c r="Q6262" s="24"/>
      <c r="R6262"/>
      <c r="S6262"/>
      <c r="T6262"/>
      <c r="U6262"/>
      <c r="X6262" s="60"/>
    </row>
    <row r="6263" spans="7:24" ht="15" customHeight="1">
      <c r="G6263"/>
      <c r="I6263"/>
      <c r="N6263"/>
      <c r="O6263" s="24"/>
      <c r="P6263"/>
      <c r="Q6263" s="24"/>
      <c r="R6263"/>
      <c r="S6263"/>
      <c r="T6263"/>
      <c r="U6263"/>
      <c r="X6263" s="60"/>
    </row>
    <row r="6264" spans="7:24" ht="15" customHeight="1">
      <c r="G6264"/>
      <c r="I6264"/>
      <c r="N6264"/>
      <c r="O6264" s="24"/>
      <c r="P6264"/>
      <c r="Q6264" s="24"/>
      <c r="R6264"/>
      <c r="S6264"/>
      <c r="T6264"/>
      <c r="U6264"/>
      <c r="X6264" s="60"/>
    </row>
    <row r="6265" spans="7:24" ht="15" customHeight="1">
      <c r="G6265"/>
      <c r="I6265"/>
      <c r="N6265"/>
      <c r="O6265" s="24"/>
      <c r="P6265"/>
      <c r="Q6265" s="24"/>
      <c r="R6265"/>
      <c r="S6265"/>
      <c r="T6265"/>
      <c r="U6265"/>
      <c r="X6265" s="60"/>
    </row>
    <row r="6266" spans="7:24" ht="15" customHeight="1">
      <c r="G6266"/>
      <c r="I6266"/>
      <c r="N6266"/>
      <c r="O6266" s="24"/>
      <c r="P6266"/>
      <c r="Q6266" s="24"/>
      <c r="R6266"/>
      <c r="S6266"/>
      <c r="T6266"/>
      <c r="U6266"/>
      <c r="X6266" s="60"/>
    </row>
    <row r="6267" spans="7:24" ht="15" customHeight="1">
      <c r="G6267"/>
      <c r="I6267"/>
      <c r="N6267"/>
      <c r="O6267" s="24"/>
      <c r="P6267"/>
      <c r="Q6267" s="24"/>
      <c r="R6267"/>
      <c r="S6267"/>
      <c r="T6267"/>
      <c r="U6267"/>
      <c r="X6267" s="60"/>
    </row>
    <row r="6268" spans="7:24" ht="15" customHeight="1">
      <c r="G6268"/>
      <c r="I6268"/>
      <c r="N6268"/>
      <c r="O6268" s="24"/>
      <c r="P6268"/>
      <c r="Q6268" s="24"/>
      <c r="R6268"/>
      <c r="S6268"/>
      <c r="T6268"/>
      <c r="U6268"/>
      <c r="X6268" s="60"/>
    </row>
    <row r="6269" spans="7:24" ht="15" customHeight="1">
      <c r="G6269"/>
      <c r="I6269"/>
      <c r="N6269"/>
      <c r="O6269" s="24"/>
      <c r="P6269"/>
      <c r="Q6269" s="24"/>
      <c r="R6269"/>
      <c r="S6269"/>
      <c r="T6269"/>
      <c r="U6269"/>
      <c r="X6269" s="60"/>
    </row>
    <row r="6270" spans="7:24" ht="15" customHeight="1">
      <c r="G6270"/>
      <c r="I6270"/>
      <c r="N6270"/>
      <c r="O6270" s="24"/>
      <c r="P6270"/>
      <c r="Q6270" s="24"/>
      <c r="R6270"/>
      <c r="S6270"/>
      <c r="T6270"/>
      <c r="U6270"/>
      <c r="X6270" s="60"/>
    </row>
    <row r="6271" spans="7:24" ht="15" customHeight="1">
      <c r="G6271"/>
      <c r="I6271"/>
      <c r="N6271"/>
      <c r="O6271" s="24"/>
      <c r="P6271"/>
      <c r="Q6271" s="24"/>
      <c r="R6271"/>
      <c r="S6271"/>
      <c r="T6271"/>
      <c r="U6271"/>
      <c r="X6271" s="60"/>
    </row>
    <row r="6272" spans="7:24" ht="15" customHeight="1">
      <c r="G6272"/>
      <c r="I6272"/>
      <c r="N6272"/>
      <c r="O6272" s="24"/>
      <c r="P6272"/>
      <c r="Q6272" s="24"/>
      <c r="R6272"/>
      <c r="S6272"/>
      <c r="T6272"/>
      <c r="U6272"/>
      <c r="X6272" s="60"/>
    </row>
    <row r="6273" spans="7:24" ht="15" customHeight="1">
      <c r="G6273"/>
      <c r="I6273"/>
      <c r="N6273"/>
      <c r="O6273" s="24"/>
      <c r="P6273"/>
      <c r="Q6273" s="24"/>
      <c r="R6273"/>
      <c r="S6273"/>
      <c r="T6273"/>
      <c r="U6273"/>
      <c r="X6273" s="60"/>
    </row>
    <row r="6274" spans="7:24" ht="15" customHeight="1">
      <c r="G6274"/>
      <c r="I6274"/>
      <c r="N6274"/>
      <c r="O6274" s="24"/>
      <c r="P6274"/>
      <c r="Q6274" s="24"/>
      <c r="R6274"/>
      <c r="S6274"/>
      <c r="T6274"/>
      <c r="U6274"/>
      <c r="X6274" s="60"/>
    </row>
    <row r="6275" spans="7:24" ht="15" customHeight="1">
      <c r="G6275"/>
      <c r="I6275"/>
      <c r="N6275"/>
      <c r="O6275" s="24"/>
      <c r="P6275"/>
      <c r="Q6275" s="24"/>
      <c r="R6275"/>
      <c r="S6275"/>
      <c r="T6275"/>
      <c r="U6275"/>
      <c r="X6275" s="60"/>
    </row>
    <row r="6276" spans="7:24" ht="15" customHeight="1">
      <c r="G6276"/>
      <c r="I6276"/>
      <c r="N6276"/>
      <c r="O6276" s="24"/>
      <c r="P6276"/>
      <c r="Q6276" s="24"/>
      <c r="R6276"/>
      <c r="S6276"/>
      <c r="T6276"/>
      <c r="U6276"/>
      <c r="X6276" s="60"/>
    </row>
    <row r="6277" spans="7:24" ht="15" customHeight="1">
      <c r="G6277"/>
      <c r="I6277"/>
      <c r="N6277"/>
      <c r="O6277" s="24"/>
      <c r="P6277"/>
      <c r="Q6277" s="24"/>
      <c r="R6277"/>
      <c r="S6277"/>
      <c r="T6277"/>
      <c r="U6277"/>
      <c r="X6277" s="60"/>
    </row>
    <row r="6278" spans="7:24" ht="15" customHeight="1">
      <c r="G6278"/>
      <c r="I6278"/>
      <c r="N6278"/>
      <c r="O6278" s="24"/>
      <c r="P6278"/>
      <c r="Q6278" s="24"/>
      <c r="R6278"/>
      <c r="S6278"/>
      <c r="T6278"/>
      <c r="U6278"/>
      <c r="X6278" s="60"/>
    </row>
    <row r="6279" spans="7:24" ht="15" customHeight="1">
      <c r="G6279"/>
      <c r="I6279"/>
      <c r="N6279"/>
      <c r="O6279" s="24"/>
      <c r="P6279"/>
      <c r="Q6279" s="24"/>
      <c r="R6279"/>
      <c r="S6279"/>
      <c r="T6279"/>
      <c r="U6279"/>
      <c r="X6279" s="60"/>
    </row>
    <row r="6280" spans="7:24" ht="15" customHeight="1">
      <c r="G6280"/>
      <c r="I6280"/>
      <c r="N6280"/>
      <c r="O6280" s="24"/>
      <c r="P6280"/>
      <c r="Q6280" s="24"/>
      <c r="R6280"/>
      <c r="S6280"/>
      <c r="T6280"/>
      <c r="U6280"/>
      <c r="X6280" s="60"/>
    </row>
    <row r="6281" spans="7:24" ht="15" customHeight="1">
      <c r="G6281"/>
      <c r="I6281"/>
      <c r="N6281"/>
      <c r="O6281" s="24"/>
      <c r="P6281"/>
      <c r="Q6281" s="24"/>
      <c r="R6281"/>
      <c r="S6281"/>
      <c r="T6281"/>
      <c r="U6281"/>
      <c r="X6281" s="60"/>
    </row>
    <row r="6282" spans="7:24" ht="15" customHeight="1">
      <c r="G6282"/>
      <c r="I6282"/>
      <c r="N6282"/>
      <c r="O6282" s="24"/>
      <c r="P6282"/>
      <c r="Q6282" s="24"/>
      <c r="R6282"/>
      <c r="S6282"/>
      <c r="T6282"/>
      <c r="U6282"/>
      <c r="X6282" s="60"/>
    </row>
    <row r="6283" spans="7:24" ht="15" customHeight="1">
      <c r="G6283"/>
      <c r="I6283"/>
      <c r="N6283"/>
      <c r="O6283" s="24"/>
      <c r="P6283"/>
      <c r="Q6283" s="24"/>
      <c r="R6283"/>
      <c r="S6283"/>
      <c r="T6283"/>
      <c r="U6283"/>
      <c r="X6283" s="60"/>
    </row>
    <row r="6284" spans="7:24" ht="15" customHeight="1">
      <c r="G6284"/>
      <c r="I6284"/>
      <c r="N6284"/>
      <c r="O6284" s="24"/>
      <c r="P6284"/>
      <c r="Q6284" s="24"/>
      <c r="R6284"/>
      <c r="S6284"/>
      <c r="T6284"/>
      <c r="U6284"/>
      <c r="X6284" s="60"/>
    </row>
    <row r="6285" spans="7:24" ht="15" customHeight="1">
      <c r="G6285"/>
      <c r="I6285"/>
      <c r="N6285"/>
      <c r="O6285" s="24"/>
      <c r="P6285"/>
      <c r="Q6285" s="24"/>
      <c r="R6285"/>
      <c r="S6285"/>
      <c r="T6285"/>
      <c r="U6285"/>
      <c r="X6285" s="60"/>
    </row>
    <row r="6286" spans="7:24" ht="15" customHeight="1">
      <c r="G6286"/>
      <c r="I6286"/>
      <c r="N6286"/>
      <c r="O6286" s="24"/>
      <c r="P6286"/>
      <c r="Q6286" s="24"/>
      <c r="R6286"/>
      <c r="S6286"/>
      <c r="T6286"/>
      <c r="U6286"/>
      <c r="X6286" s="60"/>
    </row>
    <row r="6287" spans="7:24" ht="15" customHeight="1">
      <c r="G6287"/>
      <c r="I6287"/>
      <c r="N6287"/>
      <c r="O6287" s="24"/>
      <c r="P6287"/>
      <c r="Q6287" s="24"/>
      <c r="R6287"/>
      <c r="S6287"/>
      <c r="T6287"/>
      <c r="U6287"/>
      <c r="X6287" s="60"/>
    </row>
    <row r="6288" spans="7:24" ht="15" customHeight="1">
      <c r="G6288"/>
      <c r="I6288"/>
      <c r="N6288"/>
      <c r="O6288" s="24"/>
      <c r="P6288"/>
      <c r="Q6288" s="24"/>
      <c r="R6288"/>
      <c r="S6288"/>
      <c r="T6288"/>
      <c r="U6288"/>
      <c r="X6288" s="60"/>
    </row>
    <row r="6289" spans="7:24" ht="15" customHeight="1">
      <c r="G6289"/>
      <c r="I6289"/>
      <c r="N6289"/>
      <c r="O6289" s="24"/>
      <c r="P6289"/>
      <c r="Q6289" s="24"/>
      <c r="R6289"/>
      <c r="S6289"/>
      <c r="T6289"/>
      <c r="U6289"/>
      <c r="X6289" s="60"/>
    </row>
    <row r="6290" spans="7:24" ht="15" customHeight="1">
      <c r="G6290"/>
      <c r="I6290"/>
      <c r="N6290"/>
      <c r="O6290" s="24"/>
      <c r="P6290"/>
      <c r="Q6290" s="24"/>
      <c r="R6290"/>
      <c r="S6290"/>
      <c r="T6290"/>
      <c r="U6290"/>
      <c r="X6290" s="60"/>
    </row>
    <row r="6291" spans="7:24" ht="15" customHeight="1">
      <c r="G6291"/>
      <c r="I6291"/>
      <c r="N6291"/>
      <c r="O6291" s="24"/>
      <c r="P6291"/>
      <c r="Q6291" s="24"/>
      <c r="R6291"/>
      <c r="S6291"/>
      <c r="T6291"/>
      <c r="U6291"/>
      <c r="X6291" s="60"/>
    </row>
    <row r="6292" spans="7:24" ht="15" customHeight="1">
      <c r="G6292"/>
      <c r="I6292"/>
      <c r="N6292"/>
      <c r="O6292" s="24"/>
      <c r="P6292"/>
      <c r="Q6292" s="24"/>
      <c r="R6292"/>
      <c r="S6292"/>
      <c r="T6292"/>
      <c r="U6292"/>
      <c r="X6292" s="60"/>
    </row>
    <row r="6293" spans="7:24" ht="15" customHeight="1">
      <c r="G6293"/>
      <c r="I6293"/>
      <c r="N6293"/>
      <c r="O6293" s="24"/>
      <c r="P6293"/>
      <c r="Q6293" s="24"/>
      <c r="R6293"/>
      <c r="S6293"/>
      <c r="T6293"/>
      <c r="U6293"/>
      <c r="X6293" s="60"/>
    </row>
    <row r="6294" spans="7:24" ht="15" customHeight="1">
      <c r="G6294"/>
      <c r="I6294"/>
      <c r="N6294"/>
      <c r="O6294" s="24"/>
      <c r="P6294"/>
      <c r="Q6294" s="24"/>
      <c r="R6294"/>
      <c r="S6294"/>
      <c r="T6294"/>
      <c r="U6294"/>
      <c r="X6294" s="60"/>
    </row>
    <row r="6295" spans="7:24" ht="15" customHeight="1">
      <c r="G6295"/>
      <c r="I6295"/>
      <c r="N6295"/>
      <c r="O6295" s="24"/>
      <c r="P6295"/>
      <c r="Q6295" s="24"/>
      <c r="R6295"/>
      <c r="S6295"/>
      <c r="T6295"/>
      <c r="U6295"/>
      <c r="X6295" s="60"/>
    </row>
    <row r="6296" spans="7:24" ht="15" customHeight="1">
      <c r="G6296"/>
      <c r="I6296"/>
      <c r="N6296"/>
      <c r="O6296" s="24"/>
      <c r="P6296"/>
      <c r="Q6296" s="24"/>
      <c r="R6296"/>
      <c r="S6296"/>
      <c r="T6296"/>
      <c r="U6296"/>
      <c r="X6296" s="60"/>
    </row>
    <row r="6297" spans="7:24" ht="15" customHeight="1">
      <c r="G6297"/>
      <c r="I6297"/>
      <c r="N6297"/>
      <c r="O6297" s="24"/>
      <c r="P6297"/>
      <c r="Q6297" s="24"/>
      <c r="R6297"/>
      <c r="S6297"/>
      <c r="T6297"/>
      <c r="U6297"/>
      <c r="X6297" s="60"/>
    </row>
    <row r="6298" spans="7:24" ht="15" customHeight="1">
      <c r="G6298"/>
      <c r="I6298"/>
      <c r="N6298"/>
      <c r="O6298" s="24"/>
      <c r="P6298"/>
      <c r="Q6298" s="24"/>
      <c r="R6298"/>
      <c r="S6298"/>
      <c r="T6298"/>
      <c r="U6298"/>
      <c r="X6298" s="60"/>
    </row>
    <row r="6299" spans="7:24" ht="15" customHeight="1">
      <c r="G6299"/>
      <c r="I6299"/>
      <c r="N6299"/>
      <c r="O6299" s="24"/>
      <c r="P6299"/>
      <c r="Q6299" s="24"/>
      <c r="R6299"/>
      <c r="S6299"/>
      <c r="T6299"/>
      <c r="U6299"/>
      <c r="X6299" s="60"/>
    </row>
    <row r="6300" spans="7:24" ht="15" customHeight="1">
      <c r="G6300"/>
      <c r="I6300"/>
      <c r="N6300"/>
      <c r="O6300" s="24"/>
      <c r="P6300"/>
      <c r="Q6300" s="24"/>
      <c r="R6300"/>
      <c r="S6300"/>
      <c r="T6300"/>
      <c r="U6300"/>
      <c r="X6300" s="60"/>
    </row>
    <row r="6301" spans="7:24" ht="15" customHeight="1">
      <c r="G6301"/>
      <c r="I6301"/>
      <c r="N6301"/>
      <c r="O6301" s="24"/>
      <c r="P6301"/>
      <c r="Q6301" s="24"/>
      <c r="R6301"/>
      <c r="S6301"/>
      <c r="T6301"/>
      <c r="U6301"/>
      <c r="X6301" s="60"/>
    </row>
    <row r="6302" spans="7:24" ht="15" customHeight="1">
      <c r="G6302"/>
      <c r="I6302"/>
      <c r="N6302"/>
      <c r="O6302" s="24"/>
      <c r="P6302"/>
      <c r="Q6302" s="24"/>
      <c r="R6302"/>
      <c r="S6302"/>
      <c r="T6302"/>
      <c r="U6302"/>
      <c r="X6302" s="60"/>
    </row>
    <row r="6303" spans="7:24" ht="15" customHeight="1">
      <c r="G6303"/>
      <c r="I6303"/>
      <c r="N6303"/>
      <c r="O6303" s="24"/>
      <c r="P6303"/>
      <c r="Q6303" s="24"/>
      <c r="R6303"/>
      <c r="S6303"/>
      <c r="T6303"/>
      <c r="U6303"/>
      <c r="X6303" s="60"/>
    </row>
    <row r="6304" spans="7:24" ht="15" customHeight="1">
      <c r="G6304"/>
      <c r="I6304"/>
      <c r="N6304"/>
      <c r="O6304" s="24"/>
      <c r="P6304"/>
      <c r="Q6304" s="24"/>
      <c r="R6304"/>
      <c r="S6304"/>
      <c r="T6304"/>
      <c r="U6304"/>
      <c r="X6304" s="60"/>
    </row>
    <row r="6305" spans="7:24" ht="15" customHeight="1">
      <c r="G6305"/>
      <c r="I6305"/>
      <c r="N6305"/>
      <c r="O6305" s="24"/>
      <c r="P6305"/>
      <c r="Q6305" s="24"/>
      <c r="R6305"/>
      <c r="S6305"/>
      <c r="T6305"/>
      <c r="U6305"/>
      <c r="X6305" s="60"/>
    </row>
    <row r="6306" spans="7:24" ht="15" customHeight="1">
      <c r="G6306"/>
      <c r="I6306"/>
      <c r="N6306"/>
      <c r="O6306" s="24"/>
      <c r="P6306"/>
      <c r="Q6306" s="24"/>
      <c r="R6306"/>
      <c r="S6306"/>
      <c r="T6306"/>
      <c r="U6306"/>
      <c r="X6306" s="60"/>
    </row>
    <row r="6307" spans="7:24" ht="15" customHeight="1">
      <c r="G6307"/>
      <c r="I6307"/>
      <c r="N6307"/>
      <c r="O6307" s="24"/>
      <c r="P6307"/>
      <c r="Q6307" s="24"/>
      <c r="R6307"/>
      <c r="S6307"/>
      <c r="T6307"/>
      <c r="U6307"/>
      <c r="X6307" s="60"/>
    </row>
    <row r="6308" spans="7:24" ht="15" customHeight="1">
      <c r="G6308"/>
      <c r="I6308"/>
      <c r="N6308"/>
      <c r="O6308" s="24"/>
      <c r="P6308"/>
      <c r="Q6308" s="24"/>
      <c r="R6308"/>
      <c r="S6308"/>
      <c r="T6308"/>
      <c r="U6308"/>
      <c r="X6308" s="60"/>
    </row>
    <row r="6309" spans="7:24" ht="15" customHeight="1">
      <c r="G6309"/>
      <c r="I6309"/>
      <c r="N6309"/>
      <c r="O6309" s="24"/>
      <c r="P6309"/>
      <c r="Q6309" s="24"/>
      <c r="R6309"/>
      <c r="S6309"/>
      <c r="T6309"/>
      <c r="U6309"/>
      <c r="X6309" s="60"/>
    </row>
    <row r="6310" spans="7:24" ht="15" customHeight="1">
      <c r="G6310"/>
      <c r="I6310"/>
      <c r="N6310"/>
      <c r="O6310" s="24"/>
      <c r="P6310"/>
      <c r="Q6310" s="24"/>
      <c r="R6310"/>
      <c r="S6310"/>
      <c r="T6310"/>
      <c r="U6310"/>
      <c r="X6310" s="60"/>
    </row>
    <row r="6311" spans="7:24" ht="15" customHeight="1">
      <c r="G6311"/>
      <c r="I6311"/>
      <c r="N6311"/>
      <c r="O6311" s="24"/>
      <c r="P6311"/>
      <c r="Q6311" s="24"/>
      <c r="R6311"/>
      <c r="S6311"/>
      <c r="T6311"/>
      <c r="U6311"/>
      <c r="X6311" s="60"/>
    </row>
    <row r="6312" spans="7:24" ht="15" customHeight="1">
      <c r="G6312"/>
      <c r="I6312"/>
      <c r="N6312"/>
      <c r="O6312" s="24"/>
      <c r="P6312"/>
      <c r="Q6312" s="24"/>
      <c r="R6312"/>
      <c r="S6312"/>
      <c r="T6312"/>
      <c r="U6312"/>
      <c r="X6312" s="60"/>
    </row>
    <row r="6313" spans="7:24" ht="15" customHeight="1">
      <c r="G6313"/>
      <c r="I6313"/>
      <c r="N6313"/>
      <c r="O6313" s="24"/>
      <c r="P6313"/>
      <c r="Q6313" s="24"/>
      <c r="R6313"/>
      <c r="S6313"/>
      <c r="T6313"/>
      <c r="U6313"/>
      <c r="X6313" s="60"/>
    </row>
    <row r="6314" spans="7:24" ht="15" customHeight="1">
      <c r="G6314"/>
      <c r="I6314"/>
      <c r="N6314"/>
      <c r="O6314" s="24"/>
      <c r="P6314"/>
      <c r="Q6314" s="24"/>
      <c r="R6314"/>
      <c r="S6314"/>
      <c r="T6314"/>
      <c r="U6314"/>
      <c r="X6314" s="60"/>
    </row>
    <row r="6315" spans="7:24" ht="15" customHeight="1">
      <c r="G6315"/>
      <c r="I6315"/>
      <c r="N6315"/>
      <c r="O6315" s="24"/>
      <c r="P6315"/>
      <c r="Q6315" s="24"/>
      <c r="R6315"/>
      <c r="S6315"/>
      <c r="T6315"/>
      <c r="U6315"/>
      <c r="X6315" s="60"/>
    </row>
    <row r="6316" spans="7:24" ht="15" customHeight="1">
      <c r="G6316"/>
      <c r="I6316"/>
      <c r="N6316"/>
      <c r="O6316" s="24"/>
      <c r="P6316"/>
      <c r="Q6316" s="24"/>
      <c r="R6316"/>
      <c r="S6316"/>
      <c r="T6316"/>
      <c r="U6316"/>
      <c r="X6316" s="60"/>
    </row>
    <row r="6317" spans="7:24" ht="15" customHeight="1">
      <c r="G6317"/>
      <c r="I6317"/>
      <c r="N6317"/>
      <c r="O6317" s="24"/>
      <c r="P6317"/>
      <c r="Q6317" s="24"/>
      <c r="R6317"/>
      <c r="S6317"/>
      <c r="T6317"/>
      <c r="U6317"/>
      <c r="X6317" s="60"/>
    </row>
    <row r="6318" spans="7:24" ht="15" customHeight="1">
      <c r="G6318"/>
      <c r="I6318"/>
      <c r="N6318"/>
      <c r="O6318" s="24"/>
      <c r="P6318"/>
      <c r="Q6318" s="24"/>
      <c r="R6318"/>
      <c r="S6318"/>
      <c r="T6318"/>
      <c r="U6318"/>
      <c r="X6318" s="60"/>
    </row>
    <row r="6319" spans="7:24" ht="15" customHeight="1">
      <c r="G6319"/>
      <c r="I6319"/>
      <c r="N6319"/>
      <c r="O6319" s="24"/>
      <c r="P6319"/>
      <c r="Q6319" s="24"/>
      <c r="R6319"/>
      <c r="S6319"/>
      <c r="T6319"/>
      <c r="U6319"/>
      <c r="X6319" s="60"/>
    </row>
    <row r="6320" spans="7:24" ht="15" customHeight="1">
      <c r="G6320"/>
      <c r="I6320"/>
      <c r="N6320"/>
      <c r="O6320" s="24"/>
      <c r="P6320"/>
      <c r="Q6320" s="24"/>
      <c r="R6320"/>
      <c r="S6320"/>
      <c r="T6320"/>
      <c r="U6320"/>
      <c r="X6320" s="60"/>
    </row>
    <row r="6321" spans="7:24" ht="15" customHeight="1">
      <c r="G6321"/>
      <c r="I6321"/>
      <c r="N6321"/>
      <c r="O6321" s="24"/>
      <c r="P6321"/>
      <c r="Q6321" s="24"/>
      <c r="R6321"/>
      <c r="S6321"/>
      <c r="T6321"/>
      <c r="U6321"/>
      <c r="X6321" s="60"/>
    </row>
    <row r="6322" spans="7:24" ht="15" customHeight="1">
      <c r="G6322"/>
      <c r="I6322"/>
      <c r="N6322"/>
      <c r="O6322" s="24"/>
      <c r="P6322"/>
      <c r="Q6322" s="24"/>
      <c r="R6322"/>
      <c r="S6322"/>
      <c r="T6322"/>
      <c r="U6322"/>
      <c r="X6322" s="60"/>
    </row>
    <row r="6323" spans="7:24" ht="15" customHeight="1">
      <c r="G6323"/>
      <c r="I6323"/>
      <c r="N6323"/>
      <c r="O6323" s="24"/>
      <c r="P6323"/>
      <c r="Q6323" s="24"/>
      <c r="R6323"/>
      <c r="S6323"/>
      <c r="T6323"/>
      <c r="U6323"/>
      <c r="X6323" s="60"/>
    </row>
    <row r="6324" spans="7:24" ht="15" customHeight="1">
      <c r="G6324"/>
      <c r="I6324"/>
      <c r="N6324"/>
      <c r="O6324" s="24"/>
      <c r="P6324"/>
      <c r="Q6324" s="24"/>
      <c r="R6324"/>
      <c r="S6324"/>
      <c r="T6324"/>
      <c r="U6324"/>
      <c r="X6324" s="60"/>
    </row>
    <row r="6325" spans="7:24" ht="15" customHeight="1">
      <c r="G6325"/>
      <c r="I6325"/>
      <c r="N6325"/>
      <c r="O6325" s="24"/>
      <c r="P6325"/>
      <c r="Q6325" s="24"/>
      <c r="R6325"/>
      <c r="S6325"/>
      <c r="T6325"/>
      <c r="U6325"/>
      <c r="X6325" s="60"/>
    </row>
    <row r="6326" spans="7:24" ht="15" customHeight="1">
      <c r="G6326"/>
      <c r="I6326"/>
      <c r="N6326"/>
      <c r="O6326" s="24"/>
      <c r="P6326"/>
      <c r="Q6326" s="24"/>
      <c r="R6326"/>
      <c r="S6326"/>
      <c r="T6326"/>
      <c r="U6326"/>
      <c r="X6326" s="60"/>
    </row>
    <row r="6327" spans="7:24" ht="15" customHeight="1">
      <c r="G6327"/>
      <c r="I6327"/>
      <c r="N6327"/>
      <c r="O6327" s="24"/>
      <c r="P6327"/>
      <c r="Q6327" s="24"/>
      <c r="R6327"/>
      <c r="S6327"/>
      <c r="T6327"/>
      <c r="U6327"/>
      <c r="X6327" s="60"/>
    </row>
    <row r="6328" spans="7:24" ht="15" customHeight="1">
      <c r="G6328"/>
      <c r="I6328"/>
      <c r="N6328"/>
      <c r="O6328" s="24"/>
      <c r="P6328"/>
      <c r="Q6328" s="24"/>
      <c r="R6328"/>
      <c r="S6328"/>
      <c r="T6328"/>
      <c r="U6328"/>
      <c r="X6328" s="60"/>
    </row>
    <row r="6329" spans="7:24" ht="15" customHeight="1">
      <c r="G6329"/>
      <c r="I6329"/>
      <c r="N6329"/>
      <c r="O6329" s="24"/>
      <c r="P6329"/>
      <c r="Q6329" s="24"/>
      <c r="R6329"/>
      <c r="S6329"/>
      <c r="T6329"/>
      <c r="U6329"/>
      <c r="X6329" s="60"/>
    </row>
    <row r="6330" spans="7:24" ht="15" customHeight="1">
      <c r="G6330"/>
      <c r="I6330"/>
      <c r="N6330"/>
      <c r="O6330" s="24"/>
      <c r="P6330"/>
      <c r="Q6330" s="24"/>
      <c r="R6330"/>
      <c r="S6330"/>
      <c r="T6330"/>
      <c r="U6330"/>
      <c r="X6330" s="60"/>
    </row>
    <row r="6331" spans="7:24" ht="15" customHeight="1">
      <c r="G6331"/>
      <c r="I6331"/>
      <c r="N6331"/>
      <c r="O6331" s="24"/>
      <c r="P6331"/>
      <c r="Q6331" s="24"/>
      <c r="R6331"/>
      <c r="S6331"/>
      <c r="T6331"/>
      <c r="U6331"/>
      <c r="X6331" s="60"/>
    </row>
    <row r="6332" spans="7:24" ht="15" customHeight="1">
      <c r="G6332"/>
      <c r="I6332"/>
      <c r="N6332"/>
      <c r="O6332" s="24"/>
      <c r="P6332"/>
      <c r="Q6332" s="24"/>
      <c r="R6332"/>
      <c r="S6332"/>
      <c r="T6332"/>
      <c r="U6332"/>
      <c r="X6332" s="60"/>
    </row>
    <row r="6333" spans="7:24" ht="15" customHeight="1">
      <c r="G6333"/>
      <c r="I6333"/>
      <c r="N6333"/>
      <c r="O6333" s="24"/>
      <c r="P6333"/>
      <c r="Q6333" s="24"/>
      <c r="R6333"/>
      <c r="S6333"/>
      <c r="T6333"/>
      <c r="U6333"/>
      <c r="X6333" s="60"/>
    </row>
    <row r="6334" spans="7:24" ht="15" customHeight="1">
      <c r="G6334"/>
      <c r="I6334"/>
      <c r="N6334"/>
      <c r="O6334" s="24"/>
      <c r="P6334"/>
      <c r="Q6334" s="24"/>
      <c r="R6334"/>
      <c r="S6334"/>
      <c r="T6334"/>
      <c r="U6334"/>
      <c r="X6334" s="60"/>
    </row>
    <row r="6335" spans="7:24" ht="15" customHeight="1">
      <c r="G6335"/>
      <c r="I6335"/>
      <c r="N6335"/>
      <c r="O6335" s="24"/>
      <c r="P6335"/>
      <c r="Q6335" s="24"/>
      <c r="R6335"/>
      <c r="S6335"/>
      <c r="T6335"/>
      <c r="U6335"/>
      <c r="X6335" s="60"/>
    </row>
    <row r="6336" spans="7:24" ht="15" customHeight="1">
      <c r="G6336"/>
      <c r="I6336"/>
      <c r="N6336"/>
      <c r="O6336" s="24"/>
      <c r="P6336"/>
      <c r="Q6336" s="24"/>
      <c r="R6336"/>
      <c r="S6336"/>
      <c r="T6336"/>
      <c r="U6336"/>
      <c r="X6336" s="60"/>
    </row>
    <row r="6337" spans="7:24" ht="15" customHeight="1">
      <c r="G6337"/>
      <c r="I6337"/>
      <c r="N6337"/>
      <c r="O6337" s="24"/>
      <c r="P6337"/>
      <c r="Q6337" s="24"/>
      <c r="R6337"/>
      <c r="S6337"/>
      <c r="T6337"/>
      <c r="U6337"/>
      <c r="X6337" s="60"/>
    </row>
    <row r="6338" spans="7:24" ht="15" customHeight="1">
      <c r="G6338"/>
      <c r="I6338"/>
      <c r="N6338"/>
      <c r="O6338" s="24"/>
      <c r="P6338"/>
      <c r="Q6338" s="24"/>
      <c r="R6338"/>
      <c r="S6338"/>
      <c r="T6338"/>
      <c r="U6338"/>
      <c r="X6338" s="60"/>
    </row>
    <row r="6339" spans="7:24" ht="15" customHeight="1">
      <c r="G6339"/>
      <c r="I6339"/>
      <c r="N6339"/>
      <c r="O6339" s="24"/>
      <c r="P6339"/>
      <c r="Q6339" s="24"/>
      <c r="R6339"/>
      <c r="S6339"/>
      <c r="T6339"/>
      <c r="U6339"/>
      <c r="X6339" s="60"/>
    </row>
    <row r="6340" spans="7:24" ht="15" customHeight="1">
      <c r="G6340"/>
      <c r="I6340"/>
      <c r="N6340"/>
      <c r="O6340" s="24"/>
      <c r="P6340"/>
      <c r="Q6340" s="24"/>
      <c r="R6340"/>
      <c r="S6340"/>
      <c r="T6340"/>
      <c r="U6340"/>
      <c r="X6340" s="60"/>
    </row>
    <row r="6341" spans="7:24" ht="15" customHeight="1">
      <c r="G6341"/>
      <c r="I6341"/>
      <c r="N6341"/>
      <c r="O6341" s="24"/>
      <c r="P6341"/>
      <c r="Q6341" s="24"/>
      <c r="R6341"/>
      <c r="S6341"/>
      <c r="T6341"/>
      <c r="U6341"/>
      <c r="X6341" s="60"/>
    </row>
    <row r="6342" spans="7:24" ht="15" customHeight="1">
      <c r="G6342"/>
      <c r="I6342"/>
      <c r="N6342"/>
      <c r="O6342" s="24"/>
      <c r="P6342"/>
      <c r="Q6342" s="24"/>
      <c r="R6342"/>
      <c r="S6342"/>
      <c r="T6342"/>
      <c r="U6342"/>
      <c r="X6342" s="60"/>
    </row>
    <row r="6343" spans="7:24" ht="15" customHeight="1">
      <c r="G6343"/>
      <c r="I6343"/>
      <c r="N6343"/>
      <c r="O6343" s="24"/>
      <c r="P6343"/>
      <c r="Q6343" s="24"/>
      <c r="R6343"/>
      <c r="S6343"/>
      <c r="T6343"/>
      <c r="U6343"/>
      <c r="X6343" s="60"/>
    </row>
    <row r="6344" spans="7:24" ht="15" customHeight="1">
      <c r="G6344"/>
      <c r="I6344"/>
      <c r="N6344"/>
      <c r="O6344" s="24"/>
      <c r="P6344"/>
      <c r="Q6344" s="24"/>
      <c r="R6344"/>
      <c r="S6344"/>
      <c r="T6344"/>
      <c r="U6344"/>
      <c r="X6344" s="60"/>
    </row>
    <row r="6345" spans="7:24" ht="15" customHeight="1">
      <c r="G6345"/>
      <c r="I6345"/>
      <c r="N6345"/>
      <c r="O6345" s="24"/>
      <c r="P6345"/>
      <c r="Q6345" s="24"/>
      <c r="R6345"/>
      <c r="S6345"/>
      <c r="T6345"/>
      <c r="U6345"/>
      <c r="X6345" s="60"/>
    </row>
    <row r="6346" spans="7:24" ht="15" customHeight="1">
      <c r="G6346"/>
      <c r="I6346"/>
      <c r="N6346"/>
      <c r="O6346" s="24"/>
      <c r="P6346"/>
      <c r="Q6346" s="24"/>
      <c r="R6346"/>
      <c r="S6346"/>
      <c r="T6346"/>
      <c r="U6346"/>
      <c r="X6346" s="60"/>
    </row>
    <row r="6347" spans="7:24" ht="15" customHeight="1">
      <c r="G6347"/>
      <c r="I6347"/>
      <c r="N6347"/>
      <c r="O6347" s="24"/>
      <c r="P6347"/>
      <c r="Q6347" s="24"/>
      <c r="R6347"/>
      <c r="S6347"/>
      <c r="T6347"/>
      <c r="U6347"/>
      <c r="X6347" s="60"/>
    </row>
    <row r="6348" spans="7:24" ht="15" customHeight="1">
      <c r="G6348"/>
      <c r="I6348"/>
      <c r="N6348"/>
      <c r="O6348" s="24"/>
      <c r="P6348"/>
      <c r="Q6348" s="24"/>
      <c r="R6348"/>
      <c r="S6348"/>
      <c r="T6348"/>
      <c r="U6348"/>
      <c r="X6348" s="60"/>
    </row>
    <row r="6349" spans="7:24" ht="15" customHeight="1">
      <c r="G6349"/>
      <c r="I6349"/>
      <c r="N6349"/>
      <c r="O6349" s="24"/>
      <c r="P6349"/>
      <c r="Q6349" s="24"/>
      <c r="R6349"/>
      <c r="S6349"/>
      <c r="T6349"/>
      <c r="U6349"/>
      <c r="X6349" s="60"/>
    </row>
    <row r="6350" spans="7:24" ht="15" customHeight="1">
      <c r="G6350"/>
      <c r="I6350"/>
      <c r="N6350"/>
      <c r="O6350" s="24"/>
      <c r="P6350"/>
      <c r="Q6350" s="24"/>
      <c r="R6350"/>
      <c r="S6350"/>
      <c r="T6350"/>
      <c r="U6350"/>
      <c r="X6350" s="60"/>
    </row>
    <row r="6351" spans="7:24" ht="15" customHeight="1">
      <c r="G6351"/>
      <c r="I6351"/>
      <c r="N6351"/>
      <c r="O6351" s="24"/>
      <c r="P6351"/>
      <c r="Q6351" s="24"/>
      <c r="R6351"/>
      <c r="S6351"/>
      <c r="T6351"/>
      <c r="U6351"/>
      <c r="X6351" s="60"/>
    </row>
    <row r="6352" spans="7:24" ht="15" customHeight="1">
      <c r="G6352"/>
      <c r="I6352"/>
      <c r="N6352"/>
      <c r="O6352" s="24"/>
      <c r="P6352"/>
      <c r="Q6352" s="24"/>
      <c r="R6352"/>
      <c r="S6352"/>
      <c r="T6352"/>
      <c r="U6352"/>
      <c r="X6352" s="60"/>
    </row>
    <row r="6353" spans="7:24" ht="15" customHeight="1">
      <c r="G6353"/>
      <c r="I6353"/>
      <c r="N6353"/>
      <c r="O6353" s="24"/>
      <c r="P6353"/>
      <c r="Q6353" s="24"/>
      <c r="R6353"/>
      <c r="S6353"/>
      <c r="T6353"/>
      <c r="U6353"/>
      <c r="X6353" s="60"/>
    </row>
    <row r="6354" spans="7:24" ht="15" customHeight="1">
      <c r="G6354"/>
      <c r="I6354"/>
      <c r="N6354"/>
      <c r="O6354" s="24"/>
      <c r="P6354"/>
      <c r="Q6354" s="24"/>
      <c r="R6354"/>
      <c r="S6354"/>
      <c r="T6354"/>
      <c r="U6354"/>
      <c r="X6354" s="60"/>
    </row>
    <row r="6355" spans="7:24" ht="15" customHeight="1">
      <c r="G6355"/>
      <c r="I6355"/>
      <c r="N6355"/>
      <c r="O6355" s="24"/>
      <c r="P6355"/>
      <c r="Q6355" s="24"/>
      <c r="R6355"/>
      <c r="S6355"/>
      <c r="T6355"/>
      <c r="U6355"/>
      <c r="X6355" s="60"/>
    </row>
    <row r="6356" spans="7:24" ht="15" customHeight="1">
      <c r="G6356"/>
      <c r="I6356"/>
      <c r="N6356"/>
      <c r="O6356" s="24"/>
      <c r="P6356"/>
      <c r="Q6356" s="24"/>
      <c r="R6356"/>
      <c r="S6356"/>
      <c r="T6356"/>
      <c r="U6356"/>
      <c r="X6356" s="60"/>
    </row>
    <row r="6357" spans="7:24" ht="15" customHeight="1">
      <c r="G6357"/>
      <c r="I6357"/>
      <c r="N6357"/>
      <c r="O6357" s="24"/>
      <c r="P6357"/>
      <c r="Q6357" s="24"/>
      <c r="R6357"/>
      <c r="S6357"/>
      <c r="T6357"/>
      <c r="U6357"/>
      <c r="X6357" s="60"/>
    </row>
    <row r="6358" spans="7:24" ht="15" customHeight="1">
      <c r="G6358"/>
      <c r="I6358"/>
      <c r="N6358"/>
      <c r="O6358" s="24"/>
      <c r="P6358"/>
      <c r="Q6358" s="24"/>
      <c r="R6358"/>
      <c r="S6358"/>
      <c r="T6358"/>
      <c r="U6358"/>
      <c r="X6358" s="60"/>
    </row>
    <row r="6359" spans="7:24" ht="15" customHeight="1">
      <c r="G6359"/>
      <c r="I6359"/>
      <c r="N6359"/>
      <c r="O6359" s="24"/>
      <c r="P6359"/>
      <c r="Q6359" s="24"/>
      <c r="R6359"/>
      <c r="S6359"/>
      <c r="T6359"/>
      <c r="U6359"/>
      <c r="X6359" s="60"/>
    </row>
    <row r="6360" spans="7:24" ht="15" customHeight="1">
      <c r="G6360"/>
      <c r="I6360"/>
      <c r="N6360"/>
      <c r="O6360" s="24"/>
      <c r="P6360"/>
      <c r="Q6360" s="24"/>
      <c r="R6360"/>
      <c r="S6360"/>
      <c r="T6360"/>
      <c r="U6360"/>
      <c r="X6360" s="60"/>
    </row>
    <row r="6361" spans="7:24" ht="15" customHeight="1">
      <c r="G6361"/>
      <c r="I6361"/>
      <c r="N6361"/>
      <c r="O6361" s="24"/>
      <c r="P6361"/>
      <c r="Q6361" s="24"/>
      <c r="R6361"/>
      <c r="S6361"/>
      <c r="T6361"/>
      <c r="U6361"/>
      <c r="X6361" s="60"/>
    </row>
    <row r="6362" spans="7:24" ht="15" customHeight="1">
      <c r="G6362"/>
      <c r="I6362"/>
      <c r="N6362"/>
      <c r="O6362" s="24"/>
      <c r="P6362"/>
      <c r="Q6362" s="24"/>
      <c r="R6362"/>
      <c r="S6362"/>
      <c r="T6362"/>
      <c r="U6362"/>
      <c r="X6362" s="60"/>
    </row>
    <row r="6363" spans="7:24" ht="15" customHeight="1">
      <c r="G6363"/>
      <c r="I6363"/>
      <c r="N6363"/>
      <c r="O6363" s="24"/>
      <c r="P6363"/>
      <c r="Q6363" s="24"/>
      <c r="R6363"/>
      <c r="S6363"/>
      <c r="T6363"/>
      <c r="U6363"/>
      <c r="X6363" s="60"/>
    </row>
    <row r="6364" spans="7:24" ht="15" customHeight="1">
      <c r="G6364"/>
      <c r="I6364"/>
      <c r="N6364"/>
      <c r="O6364" s="24"/>
      <c r="P6364"/>
      <c r="Q6364" s="24"/>
      <c r="R6364"/>
      <c r="S6364"/>
      <c r="T6364"/>
      <c r="U6364"/>
      <c r="X6364" s="60"/>
    </row>
    <row r="6365" spans="7:24" ht="15" customHeight="1">
      <c r="G6365"/>
      <c r="I6365"/>
      <c r="N6365"/>
      <c r="O6365" s="24"/>
      <c r="P6365"/>
      <c r="Q6365" s="24"/>
      <c r="R6365"/>
      <c r="S6365"/>
      <c r="T6365"/>
      <c r="U6365"/>
      <c r="X6365" s="60"/>
    </row>
    <row r="6366" spans="7:24" ht="15" customHeight="1">
      <c r="G6366"/>
      <c r="I6366"/>
      <c r="N6366"/>
      <c r="O6366" s="24"/>
      <c r="P6366"/>
      <c r="Q6366" s="24"/>
      <c r="R6366"/>
      <c r="S6366"/>
      <c r="T6366"/>
      <c r="U6366"/>
      <c r="X6366" s="60"/>
    </row>
    <row r="6367" spans="7:24" ht="15" customHeight="1">
      <c r="G6367"/>
      <c r="I6367"/>
      <c r="N6367"/>
      <c r="O6367" s="24"/>
      <c r="P6367"/>
      <c r="Q6367" s="24"/>
      <c r="R6367"/>
      <c r="S6367"/>
      <c r="T6367"/>
      <c r="U6367"/>
      <c r="X6367" s="60"/>
    </row>
    <row r="6368" spans="7:24" ht="15" customHeight="1">
      <c r="G6368"/>
      <c r="I6368"/>
      <c r="N6368"/>
      <c r="O6368" s="24"/>
      <c r="P6368"/>
      <c r="Q6368" s="24"/>
      <c r="R6368"/>
      <c r="S6368"/>
      <c r="T6368"/>
      <c r="U6368"/>
      <c r="X6368" s="60"/>
    </row>
    <row r="6369" spans="7:24" ht="15" customHeight="1">
      <c r="G6369"/>
      <c r="I6369"/>
      <c r="N6369"/>
      <c r="O6369" s="24"/>
      <c r="P6369"/>
      <c r="Q6369" s="24"/>
      <c r="R6369"/>
      <c r="S6369"/>
      <c r="T6369"/>
      <c r="U6369"/>
      <c r="X6369" s="60"/>
    </row>
    <row r="6370" spans="7:24" ht="15" customHeight="1">
      <c r="G6370"/>
      <c r="I6370"/>
      <c r="N6370"/>
      <c r="O6370" s="24"/>
      <c r="P6370"/>
      <c r="Q6370" s="24"/>
      <c r="R6370"/>
      <c r="S6370"/>
      <c r="T6370"/>
      <c r="U6370"/>
      <c r="X6370" s="60"/>
    </row>
    <row r="6371" spans="7:24" ht="15" customHeight="1">
      <c r="G6371"/>
      <c r="I6371"/>
      <c r="N6371"/>
      <c r="O6371" s="24"/>
      <c r="P6371"/>
      <c r="Q6371" s="24"/>
      <c r="R6371"/>
      <c r="S6371"/>
      <c r="T6371"/>
      <c r="U6371"/>
      <c r="X6371" s="60"/>
    </row>
    <row r="6372" spans="7:24" ht="15" customHeight="1">
      <c r="G6372"/>
      <c r="I6372"/>
      <c r="N6372"/>
      <c r="O6372" s="24"/>
      <c r="P6372"/>
      <c r="Q6372" s="24"/>
      <c r="R6372"/>
      <c r="S6372"/>
      <c r="T6372"/>
      <c r="U6372"/>
      <c r="X6372" s="60"/>
    </row>
    <row r="6373" spans="7:24" ht="15" customHeight="1">
      <c r="G6373"/>
      <c r="I6373"/>
      <c r="N6373"/>
      <c r="O6373" s="24"/>
      <c r="P6373"/>
      <c r="Q6373" s="24"/>
      <c r="R6373"/>
      <c r="S6373"/>
      <c r="T6373"/>
      <c r="U6373"/>
      <c r="X6373" s="60"/>
    </row>
    <row r="6374" spans="7:24" ht="15" customHeight="1">
      <c r="G6374"/>
      <c r="I6374"/>
      <c r="N6374"/>
      <c r="O6374" s="24"/>
      <c r="P6374"/>
      <c r="Q6374" s="24"/>
      <c r="R6374"/>
      <c r="S6374"/>
      <c r="T6374"/>
      <c r="U6374"/>
      <c r="X6374" s="60"/>
    </row>
    <row r="6375" spans="7:24" ht="15" customHeight="1">
      <c r="G6375"/>
      <c r="I6375"/>
      <c r="N6375"/>
      <c r="O6375" s="24"/>
      <c r="P6375"/>
      <c r="Q6375" s="24"/>
      <c r="R6375"/>
      <c r="S6375"/>
      <c r="T6375"/>
      <c r="U6375"/>
      <c r="X6375" s="60"/>
    </row>
    <row r="6376" spans="7:24" ht="15" customHeight="1">
      <c r="G6376"/>
      <c r="I6376"/>
      <c r="N6376"/>
      <c r="O6376" s="24"/>
      <c r="P6376"/>
      <c r="Q6376" s="24"/>
      <c r="R6376"/>
      <c r="S6376"/>
      <c r="T6376"/>
      <c r="U6376"/>
      <c r="X6376" s="60"/>
    </row>
    <row r="6377" spans="7:24" ht="15" customHeight="1">
      <c r="G6377"/>
      <c r="I6377"/>
      <c r="N6377"/>
      <c r="O6377" s="24"/>
      <c r="P6377"/>
      <c r="Q6377" s="24"/>
      <c r="R6377"/>
      <c r="S6377"/>
      <c r="T6377"/>
      <c r="U6377"/>
      <c r="X6377" s="60"/>
    </row>
    <row r="6378" spans="7:24" ht="15" customHeight="1">
      <c r="G6378"/>
      <c r="I6378"/>
      <c r="N6378"/>
      <c r="O6378" s="24"/>
      <c r="P6378"/>
      <c r="Q6378" s="24"/>
      <c r="R6378"/>
      <c r="S6378"/>
      <c r="T6378"/>
      <c r="U6378"/>
      <c r="X6378" s="60"/>
    </row>
    <row r="6379" spans="7:24" ht="15" customHeight="1">
      <c r="G6379"/>
      <c r="I6379"/>
      <c r="N6379"/>
      <c r="O6379" s="24"/>
      <c r="P6379"/>
      <c r="Q6379" s="24"/>
      <c r="R6379"/>
      <c r="S6379"/>
      <c r="T6379"/>
      <c r="U6379"/>
      <c r="X6379" s="60"/>
    </row>
    <row r="6380" spans="7:24" ht="15" customHeight="1">
      <c r="G6380"/>
      <c r="I6380"/>
      <c r="N6380"/>
      <c r="O6380" s="24"/>
      <c r="P6380"/>
      <c r="Q6380" s="24"/>
      <c r="R6380"/>
      <c r="S6380"/>
      <c r="T6380"/>
      <c r="U6380"/>
      <c r="X6380" s="60"/>
    </row>
    <row r="6381" spans="7:24" ht="15" customHeight="1">
      <c r="G6381"/>
      <c r="I6381"/>
      <c r="N6381"/>
      <c r="O6381" s="24"/>
      <c r="P6381"/>
      <c r="Q6381" s="24"/>
      <c r="R6381"/>
      <c r="S6381"/>
      <c r="T6381"/>
      <c r="U6381"/>
      <c r="X6381" s="60"/>
    </row>
    <row r="6382" spans="7:24" ht="15" customHeight="1">
      <c r="G6382"/>
      <c r="I6382"/>
      <c r="N6382"/>
      <c r="O6382" s="24"/>
      <c r="P6382"/>
      <c r="Q6382" s="24"/>
      <c r="R6382"/>
      <c r="S6382"/>
      <c r="T6382"/>
      <c r="U6382"/>
      <c r="X6382" s="60"/>
    </row>
    <row r="6383" spans="7:24" ht="15" customHeight="1">
      <c r="G6383"/>
      <c r="I6383"/>
      <c r="N6383"/>
      <c r="O6383" s="24"/>
      <c r="P6383"/>
      <c r="Q6383" s="24"/>
      <c r="R6383"/>
      <c r="S6383"/>
      <c r="T6383"/>
      <c r="U6383"/>
      <c r="X6383" s="60"/>
    </row>
    <row r="6384" spans="7:24" ht="15" customHeight="1">
      <c r="G6384"/>
      <c r="I6384"/>
      <c r="N6384"/>
      <c r="O6384" s="24"/>
      <c r="P6384"/>
      <c r="Q6384" s="24"/>
      <c r="R6384"/>
      <c r="S6384"/>
      <c r="T6384"/>
      <c r="U6384"/>
      <c r="X6384" s="60"/>
    </row>
    <row r="6385" spans="7:24" ht="15" customHeight="1">
      <c r="G6385"/>
      <c r="I6385"/>
      <c r="N6385"/>
      <c r="O6385" s="24"/>
      <c r="P6385"/>
      <c r="Q6385" s="24"/>
      <c r="R6385"/>
      <c r="S6385"/>
      <c r="T6385"/>
      <c r="U6385"/>
      <c r="X6385" s="60"/>
    </row>
    <row r="6386" spans="7:24" ht="15" customHeight="1">
      <c r="G6386"/>
      <c r="I6386"/>
      <c r="N6386"/>
      <c r="O6386" s="24"/>
      <c r="P6386"/>
      <c r="Q6386" s="24"/>
      <c r="R6386"/>
      <c r="S6386"/>
      <c r="T6386"/>
      <c r="U6386"/>
      <c r="X6386" s="60"/>
    </row>
    <row r="6387" spans="7:24" ht="15" customHeight="1">
      <c r="G6387"/>
      <c r="I6387"/>
      <c r="N6387"/>
      <c r="O6387" s="24"/>
      <c r="P6387"/>
      <c r="Q6387" s="24"/>
      <c r="R6387"/>
      <c r="S6387"/>
      <c r="T6387"/>
      <c r="U6387"/>
      <c r="X6387" s="60"/>
    </row>
    <row r="6388" spans="7:24" ht="15" customHeight="1">
      <c r="G6388"/>
      <c r="I6388"/>
      <c r="N6388"/>
      <c r="O6388" s="24"/>
      <c r="P6388"/>
      <c r="Q6388" s="24"/>
      <c r="R6388"/>
      <c r="S6388"/>
      <c r="T6388"/>
      <c r="U6388"/>
      <c r="X6388" s="60"/>
    </row>
    <row r="6389" spans="7:24" ht="15" customHeight="1">
      <c r="G6389"/>
      <c r="I6389"/>
      <c r="N6389"/>
      <c r="O6389" s="24"/>
      <c r="P6389"/>
      <c r="Q6389" s="24"/>
      <c r="R6389"/>
      <c r="S6389"/>
      <c r="T6389"/>
      <c r="U6389"/>
      <c r="X6389" s="60"/>
    </row>
    <row r="6390" spans="7:24" ht="15" customHeight="1">
      <c r="G6390"/>
      <c r="I6390"/>
      <c r="N6390"/>
      <c r="O6390" s="24"/>
      <c r="P6390"/>
      <c r="Q6390" s="24"/>
      <c r="R6390"/>
      <c r="S6390"/>
      <c r="T6390"/>
      <c r="U6390"/>
      <c r="X6390" s="60"/>
    </row>
    <row r="6391" spans="7:24" ht="15" customHeight="1">
      <c r="G6391"/>
      <c r="I6391"/>
      <c r="N6391"/>
      <c r="O6391" s="24"/>
      <c r="P6391"/>
      <c r="Q6391" s="24"/>
      <c r="R6391"/>
      <c r="S6391"/>
      <c r="T6391"/>
      <c r="U6391"/>
      <c r="X6391" s="60"/>
    </row>
    <row r="6392" spans="7:24" ht="15" customHeight="1">
      <c r="G6392"/>
      <c r="I6392"/>
      <c r="N6392"/>
      <c r="O6392" s="24"/>
      <c r="P6392"/>
      <c r="Q6392" s="24"/>
      <c r="R6392"/>
      <c r="S6392"/>
      <c r="T6392"/>
      <c r="U6392"/>
      <c r="X6392" s="60"/>
    </row>
    <row r="6393" spans="7:24" ht="15" customHeight="1">
      <c r="G6393"/>
      <c r="I6393"/>
      <c r="N6393"/>
      <c r="O6393" s="24"/>
      <c r="P6393"/>
      <c r="Q6393" s="24"/>
      <c r="R6393"/>
      <c r="S6393"/>
      <c r="T6393"/>
      <c r="U6393"/>
      <c r="X6393" s="60"/>
    </row>
    <row r="6394" spans="7:24" ht="15" customHeight="1">
      <c r="G6394"/>
      <c r="I6394"/>
      <c r="N6394"/>
      <c r="O6394" s="24"/>
      <c r="P6394"/>
      <c r="Q6394" s="24"/>
      <c r="R6394"/>
      <c r="S6394"/>
      <c r="T6394"/>
      <c r="U6394"/>
      <c r="X6394" s="60"/>
    </row>
    <row r="6395" spans="7:24" ht="15" customHeight="1">
      <c r="G6395"/>
      <c r="I6395"/>
      <c r="N6395"/>
      <c r="O6395" s="24"/>
      <c r="P6395"/>
      <c r="Q6395" s="24"/>
      <c r="R6395"/>
      <c r="S6395"/>
      <c r="T6395"/>
      <c r="U6395"/>
      <c r="X6395" s="60"/>
    </row>
    <row r="6396" spans="7:24" ht="15" customHeight="1">
      <c r="G6396"/>
      <c r="I6396"/>
      <c r="N6396"/>
      <c r="O6396" s="24"/>
      <c r="P6396"/>
      <c r="Q6396" s="24"/>
      <c r="R6396"/>
      <c r="S6396"/>
      <c r="T6396"/>
      <c r="U6396"/>
      <c r="X6396" s="60"/>
    </row>
    <row r="6397" spans="7:24" ht="15" customHeight="1">
      <c r="G6397"/>
      <c r="I6397"/>
      <c r="N6397"/>
      <c r="O6397" s="24"/>
      <c r="P6397"/>
      <c r="Q6397" s="24"/>
      <c r="R6397"/>
      <c r="S6397"/>
      <c r="T6397"/>
      <c r="U6397"/>
      <c r="X6397" s="60"/>
    </row>
    <row r="6398" spans="7:24" ht="15" customHeight="1">
      <c r="G6398"/>
      <c r="I6398"/>
      <c r="N6398"/>
      <c r="O6398" s="24"/>
      <c r="P6398"/>
      <c r="Q6398" s="24"/>
      <c r="R6398"/>
      <c r="S6398"/>
      <c r="T6398"/>
      <c r="U6398"/>
      <c r="X6398" s="60"/>
    </row>
    <row r="6399" spans="7:24" ht="15" customHeight="1">
      <c r="G6399"/>
      <c r="I6399"/>
      <c r="N6399"/>
      <c r="O6399" s="24"/>
      <c r="P6399"/>
      <c r="Q6399" s="24"/>
      <c r="R6399"/>
      <c r="S6399"/>
      <c r="T6399"/>
      <c r="U6399"/>
      <c r="X6399" s="60"/>
    </row>
    <row r="6400" spans="7:24" ht="15" customHeight="1">
      <c r="G6400"/>
      <c r="I6400"/>
      <c r="N6400"/>
      <c r="O6400" s="24"/>
      <c r="P6400"/>
      <c r="Q6400" s="24"/>
      <c r="R6400"/>
      <c r="S6400"/>
      <c r="T6400"/>
      <c r="U6400"/>
      <c r="X6400" s="60"/>
    </row>
    <row r="6401" spans="7:24" ht="15" customHeight="1">
      <c r="G6401"/>
      <c r="I6401"/>
      <c r="N6401"/>
      <c r="O6401" s="24"/>
      <c r="P6401"/>
      <c r="Q6401" s="24"/>
      <c r="R6401"/>
      <c r="S6401"/>
      <c r="T6401"/>
      <c r="U6401"/>
      <c r="X6401" s="60"/>
    </row>
    <row r="6402" spans="7:24" ht="15" customHeight="1">
      <c r="G6402"/>
      <c r="I6402"/>
      <c r="N6402"/>
      <c r="O6402" s="24"/>
      <c r="P6402"/>
      <c r="Q6402" s="24"/>
      <c r="R6402"/>
      <c r="S6402"/>
      <c r="T6402"/>
      <c r="U6402"/>
      <c r="X6402" s="60"/>
    </row>
    <row r="6403" spans="7:24" ht="15" customHeight="1">
      <c r="G6403"/>
      <c r="I6403"/>
      <c r="N6403"/>
      <c r="O6403" s="24"/>
      <c r="P6403"/>
      <c r="Q6403" s="24"/>
      <c r="R6403"/>
      <c r="S6403"/>
      <c r="T6403"/>
      <c r="U6403"/>
      <c r="X6403" s="60"/>
    </row>
    <row r="6404" spans="7:24" ht="15" customHeight="1">
      <c r="G6404"/>
      <c r="I6404"/>
      <c r="N6404"/>
      <c r="O6404" s="24"/>
      <c r="P6404"/>
      <c r="Q6404" s="24"/>
      <c r="R6404"/>
      <c r="S6404"/>
      <c r="T6404"/>
      <c r="U6404"/>
      <c r="X6404" s="60"/>
    </row>
    <row r="6405" spans="7:24" ht="15" customHeight="1">
      <c r="G6405"/>
      <c r="I6405"/>
      <c r="N6405"/>
      <c r="O6405" s="24"/>
      <c r="P6405"/>
      <c r="Q6405" s="24"/>
      <c r="R6405"/>
      <c r="S6405"/>
      <c r="T6405"/>
      <c r="U6405"/>
      <c r="X6405" s="60"/>
    </row>
    <row r="6406" spans="7:24" ht="15" customHeight="1">
      <c r="G6406"/>
      <c r="I6406"/>
      <c r="N6406"/>
      <c r="O6406" s="24"/>
      <c r="P6406"/>
      <c r="Q6406" s="24"/>
      <c r="R6406"/>
      <c r="S6406"/>
      <c r="T6406"/>
      <c r="U6406"/>
      <c r="X6406" s="60"/>
    </row>
    <row r="6407" spans="7:24" ht="15" customHeight="1">
      <c r="G6407"/>
      <c r="I6407"/>
      <c r="N6407"/>
      <c r="O6407" s="24"/>
      <c r="P6407"/>
      <c r="Q6407" s="24"/>
      <c r="R6407"/>
      <c r="S6407"/>
      <c r="T6407"/>
      <c r="U6407"/>
      <c r="X6407" s="60"/>
    </row>
    <row r="6408" spans="7:24" ht="15" customHeight="1">
      <c r="G6408"/>
      <c r="I6408"/>
      <c r="N6408"/>
      <c r="O6408" s="24"/>
      <c r="P6408"/>
      <c r="Q6408" s="24"/>
      <c r="R6408"/>
      <c r="S6408"/>
      <c r="T6408"/>
      <c r="U6408"/>
      <c r="X6408" s="60"/>
    </row>
    <row r="6409" spans="7:24" ht="15" customHeight="1">
      <c r="G6409"/>
      <c r="I6409"/>
      <c r="N6409"/>
      <c r="O6409" s="24"/>
      <c r="P6409"/>
      <c r="Q6409" s="24"/>
      <c r="R6409"/>
      <c r="S6409"/>
      <c r="T6409"/>
      <c r="U6409"/>
      <c r="X6409" s="60"/>
    </row>
    <row r="6410" spans="7:24" ht="15" customHeight="1">
      <c r="G6410"/>
      <c r="I6410"/>
      <c r="N6410"/>
      <c r="O6410" s="24"/>
      <c r="P6410"/>
      <c r="Q6410" s="24"/>
      <c r="R6410"/>
      <c r="S6410"/>
      <c r="T6410"/>
      <c r="U6410"/>
      <c r="X6410" s="60"/>
    </row>
    <row r="6411" spans="7:24" ht="15" customHeight="1">
      <c r="G6411"/>
      <c r="I6411"/>
      <c r="N6411"/>
      <c r="O6411" s="24"/>
      <c r="P6411"/>
      <c r="Q6411" s="24"/>
      <c r="R6411"/>
      <c r="S6411"/>
      <c r="T6411"/>
      <c r="U6411"/>
      <c r="X6411" s="60"/>
    </row>
    <row r="6412" spans="7:24" ht="15" customHeight="1">
      <c r="G6412"/>
      <c r="I6412"/>
      <c r="N6412"/>
      <c r="O6412" s="24"/>
      <c r="P6412"/>
      <c r="Q6412" s="24"/>
      <c r="R6412"/>
      <c r="S6412"/>
      <c r="T6412"/>
      <c r="U6412"/>
      <c r="X6412" s="60"/>
    </row>
    <row r="6413" spans="7:24" ht="15" customHeight="1">
      <c r="G6413"/>
      <c r="I6413"/>
      <c r="N6413"/>
      <c r="O6413" s="24"/>
      <c r="P6413"/>
      <c r="Q6413" s="24"/>
      <c r="R6413"/>
      <c r="S6413"/>
      <c r="T6413"/>
      <c r="U6413"/>
      <c r="X6413" s="60"/>
    </row>
    <row r="6414" spans="7:24" ht="15" customHeight="1">
      <c r="G6414"/>
      <c r="I6414"/>
      <c r="N6414"/>
      <c r="O6414" s="24"/>
      <c r="P6414"/>
      <c r="Q6414" s="24"/>
      <c r="R6414"/>
      <c r="S6414"/>
      <c r="T6414"/>
      <c r="U6414"/>
      <c r="X6414" s="60"/>
    </row>
    <row r="6415" spans="7:24" ht="15" customHeight="1">
      <c r="G6415"/>
      <c r="I6415"/>
      <c r="N6415"/>
      <c r="O6415" s="24"/>
      <c r="P6415"/>
      <c r="Q6415" s="24"/>
      <c r="R6415"/>
      <c r="S6415"/>
      <c r="T6415"/>
      <c r="U6415"/>
      <c r="X6415" s="60"/>
    </row>
    <row r="6416" spans="7:24" ht="15" customHeight="1">
      <c r="G6416"/>
      <c r="I6416"/>
      <c r="N6416"/>
      <c r="O6416" s="24"/>
      <c r="P6416"/>
      <c r="Q6416" s="24"/>
      <c r="R6416"/>
      <c r="S6416"/>
      <c r="T6416"/>
      <c r="U6416"/>
      <c r="X6416" s="60"/>
    </row>
    <row r="6417" spans="7:24" ht="15" customHeight="1">
      <c r="G6417"/>
      <c r="I6417"/>
      <c r="N6417"/>
      <c r="O6417" s="24"/>
      <c r="P6417"/>
      <c r="Q6417" s="24"/>
      <c r="R6417"/>
      <c r="S6417"/>
      <c r="T6417"/>
      <c r="U6417"/>
      <c r="X6417" s="60"/>
    </row>
    <row r="6418" spans="7:24" ht="15" customHeight="1">
      <c r="G6418"/>
      <c r="I6418"/>
      <c r="N6418"/>
      <c r="O6418" s="24"/>
      <c r="P6418"/>
      <c r="Q6418" s="24"/>
      <c r="R6418"/>
      <c r="S6418"/>
      <c r="T6418"/>
      <c r="U6418"/>
      <c r="X6418" s="60"/>
    </row>
    <row r="6419" spans="7:24" ht="15" customHeight="1">
      <c r="G6419"/>
      <c r="I6419"/>
      <c r="N6419"/>
      <c r="O6419" s="24"/>
      <c r="P6419"/>
      <c r="Q6419" s="24"/>
      <c r="R6419"/>
      <c r="S6419"/>
      <c r="T6419"/>
      <c r="U6419"/>
      <c r="X6419" s="60"/>
    </row>
    <row r="6420" spans="7:24" ht="15" customHeight="1">
      <c r="G6420"/>
      <c r="I6420"/>
      <c r="N6420"/>
      <c r="O6420" s="24"/>
      <c r="P6420"/>
      <c r="Q6420" s="24"/>
      <c r="R6420"/>
      <c r="S6420"/>
      <c r="T6420"/>
      <c r="U6420"/>
      <c r="X6420" s="60"/>
    </row>
    <row r="6421" spans="7:24" ht="15" customHeight="1">
      <c r="G6421"/>
      <c r="I6421"/>
      <c r="N6421"/>
      <c r="O6421" s="24"/>
      <c r="P6421"/>
      <c r="Q6421" s="24"/>
      <c r="R6421"/>
      <c r="S6421"/>
      <c r="T6421"/>
      <c r="U6421"/>
      <c r="X6421" s="60"/>
    </row>
    <row r="6422" spans="7:24" ht="15" customHeight="1">
      <c r="G6422"/>
      <c r="I6422"/>
      <c r="N6422"/>
      <c r="O6422" s="24"/>
      <c r="P6422"/>
      <c r="Q6422" s="24"/>
      <c r="R6422"/>
      <c r="S6422"/>
      <c r="T6422"/>
      <c r="U6422"/>
      <c r="X6422" s="60"/>
    </row>
    <row r="6423" spans="7:24" ht="15" customHeight="1">
      <c r="G6423"/>
      <c r="I6423"/>
      <c r="N6423"/>
      <c r="O6423" s="24"/>
      <c r="P6423"/>
      <c r="Q6423" s="24"/>
      <c r="R6423"/>
      <c r="S6423"/>
      <c r="T6423"/>
      <c r="U6423"/>
      <c r="X6423" s="60"/>
    </row>
    <row r="6424" spans="7:24" ht="15" customHeight="1">
      <c r="G6424"/>
      <c r="I6424"/>
      <c r="N6424"/>
      <c r="O6424" s="24"/>
      <c r="P6424"/>
      <c r="Q6424" s="24"/>
      <c r="R6424"/>
      <c r="S6424"/>
      <c r="T6424"/>
      <c r="U6424"/>
      <c r="X6424" s="60"/>
    </row>
    <row r="6425" spans="7:24" ht="15" customHeight="1">
      <c r="G6425"/>
      <c r="I6425"/>
      <c r="N6425"/>
      <c r="O6425" s="24"/>
      <c r="P6425"/>
      <c r="Q6425" s="24"/>
      <c r="R6425"/>
      <c r="S6425"/>
      <c r="T6425"/>
      <c r="U6425"/>
      <c r="X6425" s="60"/>
    </row>
    <row r="6426" spans="7:24" ht="15" customHeight="1">
      <c r="G6426"/>
      <c r="I6426"/>
      <c r="N6426"/>
      <c r="O6426" s="24"/>
      <c r="P6426"/>
      <c r="Q6426" s="24"/>
      <c r="R6426"/>
      <c r="S6426"/>
      <c r="T6426"/>
      <c r="U6426"/>
      <c r="X6426" s="60"/>
    </row>
    <row r="6427" spans="7:24" ht="15" customHeight="1">
      <c r="G6427"/>
      <c r="I6427"/>
      <c r="N6427"/>
      <c r="O6427" s="24"/>
      <c r="P6427"/>
      <c r="Q6427" s="24"/>
      <c r="R6427"/>
      <c r="S6427"/>
      <c r="T6427"/>
      <c r="U6427"/>
      <c r="X6427" s="60"/>
    </row>
    <row r="6428" spans="7:24" ht="15" customHeight="1">
      <c r="G6428"/>
      <c r="I6428"/>
      <c r="N6428"/>
      <c r="O6428" s="24"/>
      <c r="P6428"/>
      <c r="Q6428" s="24"/>
      <c r="R6428"/>
      <c r="S6428"/>
      <c r="T6428"/>
      <c r="U6428"/>
      <c r="X6428" s="60"/>
    </row>
    <row r="6429" spans="7:24" ht="15" customHeight="1">
      <c r="G6429"/>
      <c r="I6429"/>
      <c r="N6429"/>
      <c r="O6429" s="24"/>
      <c r="P6429"/>
      <c r="Q6429" s="24"/>
      <c r="R6429"/>
      <c r="S6429"/>
      <c r="T6429"/>
      <c r="U6429"/>
      <c r="X6429" s="60"/>
    </row>
    <row r="6430" spans="7:24" ht="15" customHeight="1">
      <c r="G6430"/>
      <c r="I6430"/>
      <c r="N6430"/>
      <c r="O6430" s="24"/>
      <c r="P6430"/>
      <c r="Q6430" s="24"/>
      <c r="R6430"/>
      <c r="S6430"/>
      <c r="T6430"/>
      <c r="U6430"/>
      <c r="X6430" s="60"/>
    </row>
    <row r="6431" spans="7:24" ht="15" customHeight="1">
      <c r="G6431"/>
      <c r="I6431"/>
      <c r="N6431"/>
      <c r="O6431" s="24"/>
      <c r="P6431"/>
      <c r="Q6431" s="24"/>
      <c r="R6431"/>
      <c r="S6431"/>
      <c r="T6431"/>
      <c r="U6431"/>
      <c r="X6431" s="60"/>
    </row>
    <row r="6432" spans="7:24" ht="15" customHeight="1">
      <c r="G6432"/>
      <c r="I6432"/>
      <c r="N6432"/>
      <c r="O6432" s="24"/>
      <c r="P6432"/>
      <c r="Q6432" s="24"/>
      <c r="R6432"/>
      <c r="S6432"/>
      <c r="T6432"/>
      <c r="U6432"/>
      <c r="X6432" s="60"/>
    </row>
    <row r="6433" spans="7:24" ht="15" customHeight="1">
      <c r="G6433"/>
      <c r="I6433"/>
      <c r="N6433"/>
      <c r="O6433" s="24"/>
      <c r="P6433"/>
      <c r="Q6433" s="24"/>
      <c r="R6433"/>
      <c r="S6433"/>
      <c r="T6433"/>
      <c r="U6433"/>
      <c r="X6433" s="60"/>
    </row>
    <row r="6434" spans="7:24" ht="15" customHeight="1">
      <c r="G6434"/>
      <c r="I6434"/>
      <c r="N6434"/>
      <c r="O6434" s="24"/>
      <c r="P6434"/>
      <c r="Q6434" s="24"/>
      <c r="R6434"/>
      <c r="S6434"/>
      <c r="T6434"/>
      <c r="U6434"/>
      <c r="X6434" s="60"/>
    </row>
    <row r="6435" spans="7:24" ht="15" customHeight="1">
      <c r="G6435"/>
      <c r="I6435"/>
      <c r="N6435"/>
      <c r="O6435" s="24"/>
      <c r="P6435"/>
      <c r="Q6435" s="24"/>
      <c r="R6435"/>
      <c r="S6435"/>
      <c r="T6435"/>
      <c r="U6435"/>
      <c r="X6435" s="60"/>
    </row>
    <row r="6436" spans="7:24" ht="15" customHeight="1">
      <c r="G6436"/>
      <c r="I6436"/>
      <c r="N6436"/>
      <c r="O6436" s="24"/>
      <c r="P6436"/>
      <c r="Q6436" s="24"/>
      <c r="R6436"/>
      <c r="S6436"/>
      <c r="T6436"/>
      <c r="U6436"/>
      <c r="X6436" s="60"/>
    </row>
    <row r="6437" spans="7:24" ht="15" customHeight="1">
      <c r="G6437"/>
      <c r="I6437"/>
      <c r="N6437"/>
      <c r="O6437" s="24"/>
      <c r="P6437"/>
      <c r="Q6437" s="24"/>
      <c r="R6437"/>
      <c r="S6437"/>
      <c r="T6437"/>
      <c r="U6437"/>
      <c r="X6437" s="60"/>
    </row>
    <row r="6438" spans="7:24" ht="15" customHeight="1">
      <c r="G6438"/>
      <c r="I6438"/>
      <c r="N6438"/>
      <c r="O6438" s="24"/>
      <c r="P6438"/>
      <c r="Q6438" s="24"/>
      <c r="R6438"/>
      <c r="S6438"/>
      <c r="T6438"/>
      <c r="U6438"/>
      <c r="X6438" s="60"/>
    </row>
    <row r="6439" spans="7:24" ht="15" customHeight="1">
      <c r="G6439"/>
      <c r="I6439"/>
      <c r="N6439"/>
      <c r="O6439" s="24"/>
      <c r="P6439"/>
      <c r="Q6439" s="24"/>
      <c r="R6439"/>
      <c r="S6439"/>
      <c r="T6439"/>
      <c r="U6439"/>
      <c r="X6439" s="60"/>
    </row>
    <row r="6440" spans="7:24" ht="15" customHeight="1">
      <c r="G6440"/>
      <c r="I6440"/>
      <c r="N6440"/>
      <c r="O6440" s="24"/>
      <c r="P6440"/>
      <c r="Q6440" s="24"/>
      <c r="R6440"/>
      <c r="S6440"/>
      <c r="T6440"/>
      <c r="U6440"/>
      <c r="X6440" s="60"/>
    </row>
    <row r="6441" spans="7:24" ht="15" customHeight="1">
      <c r="G6441"/>
      <c r="I6441"/>
      <c r="N6441"/>
      <c r="O6441" s="24"/>
      <c r="P6441"/>
      <c r="Q6441" s="24"/>
      <c r="R6441"/>
      <c r="S6441"/>
      <c r="T6441"/>
      <c r="U6441"/>
      <c r="X6441" s="60"/>
    </row>
    <row r="6442" spans="7:24" ht="15" customHeight="1">
      <c r="G6442"/>
      <c r="I6442"/>
      <c r="N6442"/>
      <c r="O6442" s="24"/>
      <c r="P6442"/>
      <c r="Q6442" s="24"/>
      <c r="R6442"/>
      <c r="S6442"/>
      <c r="T6442"/>
      <c r="U6442"/>
      <c r="X6442" s="60"/>
    </row>
    <row r="6443" spans="7:24" ht="15" customHeight="1">
      <c r="G6443"/>
      <c r="I6443"/>
      <c r="N6443"/>
      <c r="O6443" s="24"/>
      <c r="P6443"/>
      <c r="Q6443" s="24"/>
      <c r="R6443"/>
      <c r="S6443"/>
      <c r="T6443"/>
      <c r="U6443"/>
      <c r="X6443" s="60"/>
    </row>
    <row r="6444" spans="7:24" ht="15" customHeight="1">
      <c r="G6444"/>
      <c r="I6444"/>
      <c r="N6444"/>
      <c r="O6444" s="24"/>
      <c r="P6444"/>
      <c r="Q6444" s="24"/>
      <c r="R6444"/>
      <c r="S6444"/>
      <c r="T6444"/>
      <c r="U6444"/>
      <c r="X6444" s="60"/>
    </row>
    <row r="6445" spans="7:24" ht="15" customHeight="1">
      <c r="G6445"/>
      <c r="I6445"/>
      <c r="N6445"/>
      <c r="O6445" s="24"/>
      <c r="P6445"/>
      <c r="Q6445" s="24"/>
      <c r="R6445"/>
      <c r="S6445"/>
      <c r="T6445"/>
      <c r="U6445"/>
      <c r="X6445" s="60"/>
    </row>
    <row r="6446" spans="7:24" ht="15" customHeight="1">
      <c r="G6446"/>
      <c r="I6446"/>
      <c r="N6446"/>
      <c r="O6446" s="24"/>
      <c r="P6446"/>
      <c r="Q6446" s="24"/>
      <c r="R6446"/>
      <c r="S6446"/>
      <c r="T6446"/>
      <c r="U6446"/>
      <c r="X6446" s="60"/>
    </row>
    <row r="6447" spans="7:24" ht="15" customHeight="1">
      <c r="G6447"/>
      <c r="I6447"/>
      <c r="N6447"/>
      <c r="O6447" s="24"/>
      <c r="P6447"/>
      <c r="Q6447" s="24"/>
      <c r="R6447"/>
      <c r="S6447"/>
      <c r="T6447"/>
      <c r="U6447"/>
      <c r="X6447" s="60"/>
    </row>
    <row r="6448" spans="7:24" ht="15" customHeight="1">
      <c r="G6448"/>
      <c r="I6448"/>
      <c r="N6448"/>
      <c r="O6448" s="24"/>
      <c r="P6448"/>
      <c r="Q6448" s="24"/>
      <c r="R6448"/>
      <c r="S6448"/>
      <c r="T6448"/>
      <c r="U6448"/>
      <c r="X6448" s="60"/>
    </row>
    <row r="6449" spans="7:24" ht="15" customHeight="1">
      <c r="G6449"/>
      <c r="I6449"/>
      <c r="N6449"/>
      <c r="O6449" s="24"/>
      <c r="P6449"/>
      <c r="Q6449" s="24"/>
      <c r="R6449"/>
      <c r="S6449"/>
      <c r="T6449"/>
      <c r="U6449"/>
      <c r="X6449" s="60"/>
    </row>
    <row r="6450" spans="7:24" ht="15" customHeight="1">
      <c r="G6450"/>
      <c r="I6450"/>
      <c r="N6450"/>
      <c r="O6450" s="24"/>
      <c r="P6450"/>
      <c r="Q6450" s="24"/>
      <c r="R6450"/>
      <c r="S6450"/>
      <c r="T6450"/>
      <c r="U6450"/>
      <c r="X6450" s="60"/>
    </row>
    <row r="6451" spans="7:24" ht="15" customHeight="1">
      <c r="G6451"/>
      <c r="I6451"/>
      <c r="N6451"/>
      <c r="O6451" s="24"/>
      <c r="P6451"/>
      <c r="Q6451" s="24"/>
      <c r="R6451"/>
      <c r="S6451"/>
      <c r="T6451"/>
      <c r="U6451"/>
      <c r="X6451" s="60"/>
    </row>
    <row r="6452" spans="7:24" ht="15" customHeight="1">
      <c r="G6452"/>
      <c r="I6452"/>
      <c r="N6452"/>
      <c r="O6452" s="24"/>
      <c r="P6452"/>
      <c r="Q6452" s="24"/>
      <c r="R6452"/>
      <c r="S6452"/>
      <c r="T6452"/>
      <c r="U6452"/>
      <c r="X6452" s="60"/>
    </row>
    <row r="6453" spans="7:24" ht="15" customHeight="1">
      <c r="G6453"/>
      <c r="I6453"/>
      <c r="N6453"/>
      <c r="O6453" s="24"/>
      <c r="P6453"/>
      <c r="Q6453" s="24"/>
      <c r="R6453"/>
      <c r="S6453"/>
      <c r="T6453"/>
      <c r="U6453"/>
      <c r="X6453" s="60"/>
    </row>
    <row r="6454" spans="7:24" ht="15" customHeight="1">
      <c r="G6454"/>
      <c r="I6454"/>
      <c r="N6454"/>
      <c r="O6454" s="24"/>
      <c r="P6454"/>
      <c r="Q6454" s="24"/>
      <c r="R6454"/>
      <c r="S6454"/>
      <c r="T6454"/>
      <c r="U6454"/>
      <c r="X6454" s="60"/>
    </row>
    <row r="6455" spans="7:24" ht="15" customHeight="1">
      <c r="G6455"/>
      <c r="I6455"/>
      <c r="N6455"/>
      <c r="O6455" s="24"/>
      <c r="P6455"/>
      <c r="Q6455" s="24"/>
      <c r="R6455"/>
      <c r="S6455"/>
      <c r="T6455"/>
      <c r="U6455"/>
      <c r="X6455" s="60"/>
    </row>
    <row r="6456" spans="7:24" ht="15" customHeight="1">
      <c r="G6456"/>
      <c r="I6456"/>
      <c r="N6456"/>
      <c r="O6456" s="24"/>
      <c r="P6456"/>
      <c r="Q6456" s="24"/>
      <c r="R6456"/>
      <c r="S6456"/>
      <c r="T6456"/>
      <c r="U6456"/>
      <c r="X6456" s="60"/>
    </row>
    <row r="6457" spans="7:24" ht="15" customHeight="1">
      <c r="G6457"/>
      <c r="I6457"/>
      <c r="N6457"/>
      <c r="O6457" s="24"/>
      <c r="P6457"/>
      <c r="Q6457" s="24"/>
      <c r="R6457"/>
      <c r="S6457"/>
      <c r="T6457"/>
      <c r="U6457"/>
      <c r="X6457" s="60"/>
    </row>
    <row r="6458" spans="7:24" ht="15" customHeight="1">
      <c r="G6458"/>
      <c r="I6458"/>
      <c r="N6458"/>
      <c r="O6458" s="24"/>
      <c r="P6458"/>
      <c r="Q6458" s="24"/>
      <c r="R6458"/>
      <c r="S6458"/>
      <c r="T6458"/>
      <c r="U6458"/>
      <c r="X6458" s="60"/>
    </row>
    <row r="6459" spans="7:24" ht="15" customHeight="1">
      <c r="G6459"/>
      <c r="I6459"/>
      <c r="N6459"/>
      <c r="O6459" s="24"/>
      <c r="P6459"/>
      <c r="Q6459" s="24"/>
      <c r="R6459"/>
      <c r="S6459"/>
      <c r="T6459"/>
      <c r="U6459"/>
      <c r="X6459" s="60"/>
    </row>
    <row r="6460" spans="7:24" ht="15" customHeight="1">
      <c r="G6460"/>
      <c r="I6460"/>
      <c r="N6460"/>
      <c r="O6460" s="24"/>
      <c r="P6460"/>
      <c r="Q6460" s="24"/>
      <c r="R6460"/>
      <c r="S6460"/>
      <c r="T6460"/>
      <c r="U6460"/>
      <c r="X6460" s="60"/>
    </row>
    <row r="6461" spans="7:24" ht="15" customHeight="1">
      <c r="G6461"/>
      <c r="I6461"/>
      <c r="N6461"/>
      <c r="O6461" s="24"/>
      <c r="P6461"/>
      <c r="Q6461" s="24"/>
      <c r="R6461"/>
      <c r="S6461"/>
      <c r="T6461"/>
      <c r="U6461"/>
      <c r="X6461" s="60"/>
    </row>
    <row r="6462" spans="7:24" ht="15" customHeight="1">
      <c r="G6462"/>
      <c r="I6462"/>
      <c r="N6462"/>
      <c r="O6462" s="24"/>
      <c r="P6462"/>
      <c r="Q6462" s="24"/>
      <c r="R6462"/>
      <c r="S6462"/>
      <c r="T6462"/>
      <c r="U6462"/>
      <c r="X6462" s="60"/>
    </row>
    <row r="6463" spans="7:24" ht="15" customHeight="1">
      <c r="G6463"/>
      <c r="I6463"/>
      <c r="N6463"/>
      <c r="O6463" s="24"/>
      <c r="P6463"/>
      <c r="Q6463" s="24"/>
      <c r="R6463"/>
      <c r="S6463"/>
      <c r="T6463"/>
      <c r="U6463"/>
      <c r="X6463" s="60"/>
    </row>
    <row r="6464" spans="7:24" ht="15" customHeight="1">
      <c r="G6464"/>
      <c r="I6464"/>
      <c r="N6464"/>
      <c r="O6464" s="24"/>
      <c r="P6464"/>
      <c r="Q6464" s="24"/>
      <c r="R6464"/>
      <c r="S6464"/>
      <c r="T6464"/>
      <c r="U6464"/>
      <c r="X6464" s="60"/>
    </row>
    <row r="6465" spans="7:24" ht="15" customHeight="1">
      <c r="G6465"/>
      <c r="I6465"/>
      <c r="N6465"/>
      <c r="O6465" s="24"/>
      <c r="P6465"/>
      <c r="Q6465" s="24"/>
      <c r="R6465"/>
      <c r="S6465"/>
      <c r="T6465"/>
      <c r="U6465"/>
      <c r="X6465" s="60"/>
    </row>
    <row r="6466" spans="7:24" ht="15" customHeight="1">
      <c r="G6466"/>
      <c r="I6466"/>
      <c r="N6466"/>
      <c r="O6466" s="24"/>
      <c r="P6466"/>
      <c r="Q6466" s="24"/>
      <c r="R6466"/>
      <c r="S6466"/>
      <c r="T6466"/>
      <c r="U6466"/>
      <c r="X6466" s="60"/>
    </row>
    <row r="6467" spans="7:24" ht="15" customHeight="1">
      <c r="G6467"/>
      <c r="I6467"/>
      <c r="N6467"/>
      <c r="O6467" s="24"/>
      <c r="P6467"/>
      <c r="Q6467" s="24"/>
      <c r="R6467"/>
      <c r="S6467"/>
      <c r="T6467"/>
      <c r="U6467"/>
      <c r="X6467" s="60"/>
    </row>
    <row r="6468" spans="7:24" ht="15" customHeight="1">
      <c r="G6468"/>
      <c r="I6468"/>
      <c r="N6468"/>
      <c r="O6468" s="24"/>
      <c r="P6468"/>
      <c r="Q6468" s="24"/>
      <c r="R6468"/>
      <c r="S6468"/>
      <c r="T6468"/>
      <c r="U6468"/>
      <c r="X6468" s="60"/>
    </row>
    <row r="6469" spans="7:24" ht="15" customHeight="1">
      <c r="G6469"/>
      <c r="I6469"/>
      <c r="N6469"/>
      <c r="O6469" s="24"/>
      <c r="P6469"/>
      <c r="Q6469" s="24"/>
      <c r="R6469"/>
      <c r="S6469"/>
      <c r="T6469"/>
      <c r="U6469"/>
      <c r="X6469" s="60"/>
    </row>
    <row r="6470" spans="7:24" ht="15" customHeight="1">
      <c r="G6470"/>
      <c r="I6470"/>
      <c r="N6470"/>
      <c r="O6470" s="24"/>
      <c r="P6470"/>
      <c r="Q6470" s="24"/>
      <c r="R6470"/>
      <c r="S6470"/>
      <c r="T6470"/>
      <c r="U6470"/>
      <c r="X6470" s="60"/>
    </row>
    <row r="6471" spans="7:24" ht="15" customHeight="1">
      <c r="G6471"/>
      <c r="I6471"/>
      <c r="N6471"/>
      <c r="O6471" s="24"/>
      <c r="P6471"/>
      <c r="Q6471" s="24"/>
      <c r="R6471"/>
      <c r="S6471"/>
      <c r="T6471"/>
      <c r="U6471"/>
      <c r="X6471" s="60"/>
    </row>
    <row r="6472" spans="7:24" ht="15" customHeight="1">
      <c r="G6472"/>
      <c r="I6472"/>
      <c r="N6472"/>
      <c r="O6472" s="24"/>
      <c r="P6472"/>
      <c r="Q6472" s="24"/>
      <c r="R6472"/>
      <c r="S6472"/>
      <c r="T6472"/>
      <c r="U6472"/>
      <c r="X6472" s="60"/>
    </row>
    <row r="6473" spans="7:24" ht="15" customHeight="1">
      <c r="G6473"/>
      <c r="I6473"/>
      <c r="N6473"/>
      <c r="O6473" s="24"/>
      <c r="P6473"/>
      <c r="Q6473" s="24"/>
      <c r="R6473"/>
      <c r="S6473"/>
      <c r="T6473"/>
      <c r="U6473"/>
      <c r="X6473" s="60"/>
    </row>
    <row r="6474" spans="7:24" ht="15" customHeight="1">
      <c r="G6474"/>
      <c r="I6474"/>
      <c r="N6474"/>
      <c r="O6474" s="24"/>
      <c r="P6474"/>
      <c r="Q6474" s="24"/>
      <c r="R6474"/>
      <c r="S6474"/>
      <c r="T6474"/>
      <c r="U6474"/>
      <c r="X6474" s="60"/>
    </row>
    <row r="6475" spans="7:24" ht="15" customHeight="1">
      <c r="G6475"/>
      <c r="I6475"/>
      <c r="N6475"/>
      <c r="O6475" s="24"/>
      <c r="P6475"/>
      <c r="Q6475" s="24"/>
      <c r="R6475"/>
      <c r="S6475"/>
      <c r="T6475"/>
      <c r="U6475"/>
      <c r="X6475" s="60"/>
    </row>
    <row r="6476" spans="7:24" ht="15" customHeight="1">
      <c r="G6476"/>
      <c r="I6476"/>
      <c r="N6476"/>
      <c r="O6476" s="24"/>
      <c r="P6476"/>
      <c r="Q6476" s="24"/>
      <c r="R6476"/>
      <c r="S6476"/>
      <c r="T6476"/>
      <c r="U6476"/>
      <c r="X6476" s="60"/>
    </row>
    <row r="6477" spans="7:24" ht="15" customHeight="1">
      <c r="G6477"/>
      <c r="I6477"/>
      <c r="N6477"/>
      <c r="O6477" s="24"/>
      <c r="P6477"/>
      <c r="Q6477" s="24"/>
      <c r="R6477"/>
      <c r="S6477"/>
      <c r="T6477"/>
      <c r="U6477"/>
      <c r="X6477" s="60"/>
    </row>
    <row r="6478" spans="7:24" ht="15" customHeight="1">
      <c r="G6478"/>
      <c r="I6478"/>
      <c r="N6478"/>
      <c r="O6478" s="24"/>
      <c r="P6478"/>
      <c r="Q6478" s="24"/>
      <c r="R6478"/>
      <c r="S6478"/>
      <c r="T6478"/>
      <c r="U6478"/>
      <c r="X6478" s="60"/>
    </row>
    <row r="6479" spans="7:24" ht="15" customHeight="1">
      <c r="G6479"/>
      <c r="I6479"/>
      <c r="N6479"/>
      <c r="O6479" s="24"/>
      <c r="P6479"/>
      <c r="Q6479" s="24"/>
      <c r="R6479"/>
      <c r="S6479"/>
      <c r="T6479"/>
      <c r="U6479"/>
      <c r="X6479" s="60"/>
    </row>
    <row r="6480" spans="7:24" ht="15" customHeight="1">
      <c r="G6480"/>
      <c r="I6480"/>
      <c r="N6480"/>
      <c r="O6480" s="24"/>
      <c r="P6480"/>
      <c r="Q6480" s="24"/>
      <c r="R6480"/>
      <c r="S6480"/>
      <c r="T6480"/>
      <c r="U6480"/>
      <c r="X6480" s="60"/>
    </row>
    <row r="6481" spans="7:24" ht="15" customHeight="1">
      <c r="G6481"/>
      <c r="I6481"/>
      <c r="N6481"/>
      <c r="O6481" s="24"/>
      <c r="P6481"/>
      <c r="Q6481" s="24"/>
      <c r="R6481"/>
      <c r="S6481"/>
      <c r="T6481"/>
      <c r="U6481"/>
      <c r="X6481" s="60"/>
    </row>
    <row r="6482" spans="7:24" ht="15" customHeight="1">
      <c r="G6482"/>
      <c r="I6482"/>
      <c r="N6482"/>
      <c r="O6482" s="24"/>
      <c r="P6482"/>
      <c r="Q6482" s="24"/>
      <c r="R6482"/>
      <c r="S6482"/>
      <c r="T6482"/>
      <c r="U6482"/>
      <c r="X6482" s="60"/>
    </row>
    <row r="6483" spans="7:24" ht="15" customHeight="1">
      <c r="G6483"/>
      <c r="I6483"/>
      <c r="N6483"/>
      <c r="O6483" s="24"/>
      <c r="P6483"/>
      <c r="Q6483" s="24"/>
      <c r="R6483"/>
      <c r="S6483"/>
      <c r="T6483"/>
      <c r="U6483"/>
      <c r="X6483" s="60"/>
    </row>
    <row r="6484" spans="7:24" ht="15" customHeight="1">
      <c r="G6484"/>
      <c r="I6484"/>
      <c r="N6484"/>
      <c r="O6484" s="24"/>
      <c r="P6484"/>
      <c r="Q6484" s="24"/>
      <c r="R6484"/>
      <c r="S6484"/>
      <c r="T6484"/>
      <c r="U6484"/>
      <c r="X6484" s="60"/>
    </row>
    <row r="6485" spans="7:24" ht="15" customHeight="1">
      <c r="G6485"/>
      <c r="I6485"/>
      <c r="N6485"/>
      <c r="O6485" s="24"/>
      <c r="P6485"/>
      <c r="Q6485" s="24"/>
      <c r="R6485"/>
      <c r="S6485"/>
      <c r="T6485"/>
      <c r="U6485"/>
      <c r="X6485" s="60"/>
    </row>
    <row r="6486" spans="7:24" ht="15" customHeight="1">
      <c r="G6486"/>
      <c r="I6486"/>
      <c r="N6486"/>
      <c r="O6486" s="24"/>
      <c r="P6486"/>
      <c r="Q6486" s="24"/>
      <c r="R6486"/>
      <c r="S6486"/>
      <c r="T6486"/>
      <c r="U6486"/>
      <c r="X6486" s="60"/>
    </row>
    <row r="6487" spans="7:24" ht="15" customHeight="1">
      <c r="G6487"/>
      <c r="I6487"/>
      <c r="N6487"/>
      <c r="O6487" s="24"/>
      <c r="P6487"/>
      <c r="Q6487" s="24"/>
      <c r="R6487"/>
      <c r="S6487"/>
      <c r="T6487"/>
      <c r="U6487"/>
      <c r="X6487" s="60"/>
    </row>
    <row r="6488" spans="7:24" ht="15" customHeight="1">
      <c r="G6488"/>
      <c r="I6488"/>
      <c r="N6488"/>
      <c r="O6488" s="24"/>
      <c r="P6488"/>
      <c r="Q6488" s="24"/>
      <c r="R6488"/>
      <c r="S6488"/>
      <c r="T6488"/>
      <c r="U6488"/>
      <c r="X6488" s="60"/>
    </row>
    <row r="6489" spans="7:24" ht="15" customHeight="1">
      <c r="G6489"/>
      <c r="I6489"/>
      <c r="N6489"/>
      <c r="O6489" s="24"/>
      <c r="P6489"/>
      <c r="Q6489" s="24"/>
      <c r="R6489"/>
      <c r="S6489"/>
      <c r="T6489"/>
      <c r="U6489"/>
      <c r="X6489" s="60"/>
    </row>
    <row r="6490" spans="7:24" ht="15" customHeight="1">
      <c r="G6490"/>
      <c r="I6490"/>
      <c r="N6490"/>
      <c r="O6490" s="24"/>
      <c r="P6490"/>
      <c r="Q6490" s="24"/>
      <c r="R6490"/>
      <c r="S6490"/>
      <c r="T6490"/>
      <c r="U6490"/>
      <c r="X6490" s="60"/>
    </row>
    <row r="6491" spans="7:24" ht="15" customHeight="1">
      <c r="G6491"/>
      <c r="I6491"/>
      <c r="N6491"/>
      <c r="O6491" s="24"/>
      <c r="P6491"/>
      <c r="Q6491" s="24"/>
      <c r="R6491"/>
      <c r="S6491"/>
      <c r="T6491"/>
      <c r="U6491"/>
      <c r="X6491" s="60"/>
    </row>
    <row r="6492" spans="7:24" ht="15" customHeight="1">
      <c r="G6492"/>
      <c r="I6492"/>
      <c r="N6492"/>
      <c r="O6492" s="24"/>
      <c r="P6492"/>
      <c r="Q6492" s="24"/>
      <c r="R6492"/>
      <c r="S6492"/>
      <c r="T6492"/>
      <c r="U6492"/>
      <c r="X6492" s="60"/>
    </row>
    <row r="6493" spans="7:24" ht="15" customHeight="1">
      <c r="G6493"/>
      <c r="I6493"/>
      <c r="N6493"/>
      <c r="O6493" s="24"/>
      <c r="P6493"/>
      <c r="Q6493" s="24"/>
      <c r="R6493"/>
      <c r="S6493"/>
      <c r="T6493"/>
      <c r="U6493"/>
      <c r="X6493" s="60"/>
    </row>
    <row r="6494" spans="7:24" ht="15" customHeight="1">
      <c r="G6494"/>
      <c r="I6494"/>
      <c r="N6494"/>
      <c r="O6494" s="24"/>
      <c r="P6494"/>
      <c r="Q6494" s="24"/>
      <c r="R6494"/>
      <c r="S6494"/>
      <c r="T6494"/>
      <c r="U6494"/>
      <c r="X6494" s="60"/>
    </row>
    <row r="6495" spans="7:24" ht="15" customHeight="1">
      <c r="G6495"/>
      <c r="I6495"/>
      <c r="N6495"/>
      <c r="O6495" s="24"/>
      <c r="P6495"/>
      <c r="Q6495" s="24"/>
      <c r="R6495"/>
      <c r="S6495"/>
      <c r="T6495"/>
      <c r="U6495"/>
      <c r="X6495" s="60"/>
    </row>
    <row r="6496" spans="7:24" ht="15" customHeight="1">
      <c r="G6496"/>
      <c r="I6496"/>
      <c r="N6496"/>
      <c r="O6496" s="24"/>
      <c r="P6496"/>
      <c r="Q6496" s="24"/>
      <c r="R6496"/>
      <c r="S6496"/>
      <c r="T6496"/>
      <c r="U6496"/>
      <c r="X6496" s="60"/>
    </row>
    <row r="6497" spans="7:24" ht="15" customHeight="1">
      <c r="G6497"/>
      <c r="I6497"/>
      <c r="N6497"/>
      <c r="O6497" s="24"/>
      <c r="P6497"/>
      <c r="Q6497" s="24"/>
      <c r="R6497"/>
      <c r="S6497"/>
      <c r="T6497"/>
      <c r="U6497"/>
      <c r="X6497" s="60"/>
    </row>
    <row r="6498" spans="7:24" ht="15" customHeight="1">
      <c r="G6498"/>
      <c r="I6498"/>
      <c r="N6498"/>
      <c r="O6498" s="24"/>
      <c r="P6498"/>
      <c r="Q6498" s="24"/>
      <c r="R6498"/>
      <c r="S6498"/>
      <c r="T6498"/>
      <c r="U6498"/>
      <c r="X6498" s="60"/>
    </row>
    <row r="6499" spans="7:24" ht="15" customHeight="1">
      <c r="G6499"/>
      <c r="I6499"/>
      <c r="N6499"/>
      <c r="O6499" s="24"/>
      <c r="P6499"/>
      <c r="Q6499" s="24"/>
      <c r="R6499"/>
      <c r="S6499"/>
      <c r="T6499"/>
      <c r="U6499"/>
      <c r="X6499" s="60"/>
    </row>
    <row r="6500" spans="7:24" ht="15" customHeight="1">
      <c r="G6500"/>
      <c r="I6500"/>
      <c r="N6500"/>
      <c r="O6500" s="24"/>
      <c r="P6500"/>
      <c r="Q6500" s="24"/>
      <c r="R6500"/>
      <c r="S6500"/>
      <c r="T6500"/>
      <c r="U6500"/>
      <c r="X6500" s="60"/>
    </row>
    <row r="6501" spans="7:24" ht="15" customHeight="1">
      <c r="G6501"/>
      <c r="I6501"/>
      <c r="N6501"/>
      <c r="O6501" s="24"/>
      <c r="P6501"/>
      <c r="Q6501" s="24"/>
      <c r="R6501"/>
      <c r="S6501"/>
      <c r="T6501"/>
      <c r="U6501"/>
      <c r="X6501" s="60"/>
    </row>
    <row r="6502" spans="7:24" ht="15" customHeight="1">
      <c r="G6502"/>
      <c r="I6502"/>
      <c r="N6502"/>
      <c r="O6502" s="24"/>
      <c r="P6502"/>
      <c r="Q6502" s="24"/>
      <c r="R6502"/>
      <c r="S6502"/>
      <c r="T6502"/>
      <c r="U6502"/>
      <c r="X6502" s="60"/>
    </row>
    <row r="6503" spans="7:24" ht="15" customHeight="1">
      <c r="G6503"/>
      <c r="I6503"/>
      <c r="N6503"/>
      <c r="O6503" s="24"/>
      <c r="P6503"/>
      <c r="Q6503" s="24"/>
      <c r="R6503"/>
      <c r="S6503"/>
      <c r="T6503"/>
      <c r="U6503"/>
      <c r="X6503" s="60"/>
    </row>
    <row r="6504" spans="7:24" ht="15" customHeight="1">
      <c r="G6504"/>
      <c r="I6504"/>
      <c r="N6504"/>
      <c r="O6504" s="24"/>
      <c r="P6504"/>
      <c r="Q6504" s="24"/>
      <c r="R6504"/>
      <c r="S6504"/>
      <c r="T6504"/>
      <c r="U6504"/>
      <c r="X6504" s="60"/>
    </row>
    <row r="6505" spans="7:24" ht="15" customHeight="1">
      <c r="G6505"/>
      <c r="I6505"/>
      <c r="N6505"/>
      <c r="O6505" s="24"/>
      <c r="P6505"/>
      <c r="Q6505" s="24"/>
      <c r="R6505"/>
      <c r="S6505"/>
      <c r="T6505"/>
      <c r="U6505"/>
      <c r="X6505" s="60"/>
    </row>
    <row r="6506" spans="7:24" ht="15" customHeight="1">
      <c r="G6506"/>
      <c r="I6506"/>
      <c r="N6506"/>
      <c r="O6506" s="24"/>
      <c r="P6506"/>
      <c r="Q6506" s="24"/>
      <c r="R6506"/>
      <c r="S6506"/>
      <c r="T6506"/>
      <c r="U6506"/>
      <c r="X6506" s="60"/>
    </row>
    <row r="6507" spans="7:24" ht="15" customHeight="1">
      <c r="G6507"/>
      <c r="I6507"/>
      <c r="N6507"/>
      <c r="O6507" s="24"/>
      <c r="P6507"/>
      <c r="Q6507" s="24"/>
      <c r="R6507"/>
      <c r="S6507"/>
      <c r="T6507"/>
      <c r="U6507"/>
      <c r="X6507" s="60"/>
    </row>
    <row r="6508" spans="7:24" ht="15" customHeight="1">
      <c r="G6508"/>
      <c r="I6508"/>
      <c r="N6508"/>
      <c r="O6508" s="24"/>
      <c r="P6508"/>
      <c r="Q6508" s="24"/>
      <c r="R6508"/>
      <c r="S6508"/>
      <c r="T6508"/>
      <c r="U6508"/>
      <c r="X6508" s="60"/>
    </row>
    <row r="6509" spans="7:24" ht="15" customHeight="1">
      <c r="G6509"/>
      <c r="I6509"/>
      <c r="N6509"/>
      <c r="O6509" s="24"/>
      <c r="P6509"/>
      <c r="Q6509" s="24"/>
      <c r="R6509"/>
      <c r="S6509"/>
      <c r="T6509"/>
      <c r="U6509"/>
      <c r="X6509" s="60"/>
    </row>
    <row r="6510" spans="7:24" ht="15" customHeight="1">
      <c r="G6510"/>
      <c r="I6510"/>
      <c r="N6510"/>
      <c r="O6510" s="24"/>
      <c r="P6510"/>
      <c r="Q6510" s="24"/>
      <c r="R6510"/>
      <c r="S6510"/>
      <c r="T6510"/>
      <c r="U6510"/>
      <c r="X6510" s="60"/>
    </row>
    <row r="6511" spans="7:24" ht="15" customHeight="1">
      <c r="G6511"/>
      <c r="I6511"/>
      <c r="N6511"/>
      <c r="O6511" s="24"/>
      <c r="P6511"/>
      <c r="Q6511" s="24"/>
      <c r="R6511"/>
      <c r="S6511"/>
      <c r="T6511"/>
      <c r="U6511"/>
      <c r="X6511" s="60"/>
    </row>
    <row r="6512" spans="7:24" ht="15" customHeight="1">
      <c r="G6512"/>
      <c r="I6512"/>
      <c r="N6512"/>
      <c r="O6512" s="24"/>
      <c r="P6512"/>
      <c r="Q6512" s="24"/>
      <c r="R6512"/>
      <c r="S6512"/>
      <c r="T6512"/>
      <c r="U6512"/>
      <c r="X6512" s="60"/>
    </row>
    <row r="6513" spans="7:24" ht="15" customHeight="1">
      <c r="G6513"/>
      <c r="I6513"/>
      <c r="N6513"/>
      <c r="O6513" s="24"/>
      <c r="P6513"/>
      <c r="Q6513" s="24"/>
      <c r="R6513"/>
      <c r="S6513"/>
      <c r="T6513"/>
      <c r="U6513"/>
      <c r="X6513" s="60"/>
    </row>
    <row r="6514" spans="7:24" ht="15" customHeight="1">
      <c r="G6514"/>
      <c r="I6514"/>
      <c r="N6514"/>
      <c r="O6514" s="24"/>
      <c r="P6514"/>
      <c r="Q6514" s="24"/>
      <c r="R6514"/>
      <c r="S6514"/>
      <c r="T6514"/>
      <c r="U6514"/>
      <c r="X6514" s="60"/>
    </row>
    <row r="6515" spans="7:24" ht="15" customHeight="1">
      <c r="G6515"/>
      <c r="I6515"/>
      <c r="N6515"/>
      <c r="O6515" s="24"/>
      <c r="P6515"/>
      <c r="Q6515" s="24"/>
      <c r="R6515"/>
      <c r="S6515"/>
      <c r="T6515"/>
      <c r="U6515"/>
      <c r="X6515" s="60"/>
    </row>
    <row r="6516" spans="7:24" ht="15" customHeight="1">
      <c r="G6516"/>
      <c r="I6516"/>
      <c r="N6516"/>
      <c r="O6516" s="24"/>
      <c r="P6516"/>
      <c r="Q6516" s="24"/>
      <c r="R6516"/>
      <c r="S6516"/>
      <c r="T6516"/>
      <c r="U6516"/>
      <c r="X6516" s="60"/>
    </row>
    <row r="6517" spans="7:24" ht="15" customHeight="1">
      <c r="G6517"/>
      <c r="I6517"/>
      <c r="N6517"/>
      <c r="O6517" s="24"/>
      <c r="P6517"/>
      <c r="Q6517" s="24"/>
      <c r="R6517"/>
      <c r="S6517"/>
      <c r="T6517"/>
      <c r="U6517"/>
      <c r="X6517" s="60"/>
    </row>
    <row r="6518" spans="7:24" ht="15" customHeight="1">
      <c r="G6518"/>
      <c r="I6518"/>
      <c r="N6518"/>
      <c r="O6518" s="24"/>
      <c r="P6518"/>
      <c r="Q6518" s="24"/>
      <c r="R6518"/>
      <c r="S6518"/>
      <c r="T6518"/>
      <c r="U6518"/>
      <c r="X6518" s="60"/>
    </row>
    <row r="6519" spans="7:24" ht="15" customHeight="1">
      <c r="G6519"/>
      <c r="I6519"/>
      <c r="N6519"/>
      <c r="O6519" s="24"/>
      <c r="P6519"/>
      <c r="Q6519" s="24"/>
      <c r="R6519"/>
      <c r="S6519"/>
      <c r="T6519"/>
      <c r="U6519"/>
      <c r="X6519" s="60"/>
    </row>
    <row r="6520" spans="7:24" ht="15" customHeight="1">
      <c r="G6520"/>
      <c r="I6520"/>
      <c r="N6520"/>
      <c r="O6520" s="24"/>
      <c r="P6520"/>
      <c r="Q6520" s="24"/>
      <c r="R6520"/>
      <c r="S6520"/>
      <c r="T6520"/>
      <c r="U6520"/>
      <c r="X6520" s="60"/>
    </row>
    <row r="6521" spans="7:24" ht="15" customHeight="1">
      <c r="G6521"/>
      <c r="I6521"/>
      <c r="N6521"/>
      <c r="O6521" s="24"/>
      <c r="P6521"/>
      <c r="Q6521" s="24"/>
      <c r="R6521"/>
      <c r="S6521"/>
      <c r="T6521"/>
      <c r="U6521"/>
      <c r="X6521" s="60"/>
    </row>
    <row r="6522" spans="7:24" ht="15" customHeight="1">
      <c r="G6522"/>
      <c r="I6522"/>
      <c r="N6522"/>
      <c r="O6522" s="24"/>
      <c r="P6522"/>
      <c r="Q6522" s="24"/>
      <c r="R6522"/>
      <c r="S6522"/>
      <c r="T6522"/>
      <c r="U6522"/>
      <c r="X6522" s="60"/>
    </row>
    <row r="6523" spans="7:24" ht="15" customHeight="1">
      <c r="G6523"/>
      <c r="I6523"/>
      <c r="N6523"/>
      <c r="O6523" s="24"/>
      <c r="P6523"/>
      <c r="Q6523" s="24"/>
      <c r="R6523"/>
      <c r="S6523"/>
      <c r="T6523"/>
      <c r="U6523"/>
      <c r="X6523" s="60"/>
    </row>
    <row r="6524" spans="7:24" ht="15" customHeight="1">
      <c r="G6524"/>
      <c r="I6524"/>
      <c r="N6524"/>
      <c r="O6524" s="24"/>
      <c r="P6524"/>
      <c r="Q6524" s="24"/>
      <c r="R6524"/>
      <c r="S6524"/>
      <c r="T6524"/>
      <c r="U6524"/>
      <c r="X6524" s="60"/>
    </row>
    <row r="6525" spans="7:24" ht="15" customHeight="1">
      <c r="G6525"/>
      <c r="I6525"/>
      <c r="N6525"/>
      <c r="O6525" s="24"/>
      <c r="P6525"/>
      <c r="Q6525" s="24"/>
      <c r="R6525"/>
      <c r="S6525"/>
      <c r="T6525"/>
      <c r="U6525"/>
      <c r="X6525" s="60"/>
    </row>
    <row r="6526" spans="7:24" ht="15" customHeight="1">
      <c r="G6526"/>
      <c r="I6526"/>
      <c r="N6526"/>
      <c r="O6526" s="24"/>
      <c r="P6526"/>
      <c r="Q6526" s="24"/>
      <c r="R6526"/>
      <c r="S6526"/>
      <c r="T6526"/>
      <c r="U6526"/>
      <c r="X6526" s="60"/>
    </row>
    <row r="6527" spans="7:24" ht="15" customHeight="1">
      <c r="G6527"/>
      <c r="I6527"/>
      <c r="N6527"/>
      <c r="O6527" s="24"/>
      <c r="P6527"/>
      <c r="Q6527" s="24"/>
      <c r="R6527"/>
      <c r="S6527"/>
      <c r="T6527"/>
      <c r="U6527"/>
      <c r="X6527" s="60"/>
    </row>
    <row r="6528" spans="7:24" ht="15" customHeight="1">
      <c r="G6528"/>
      <c r="I6528"/>
      <c r="N6528"/>
      <c r="O6528" s="24"/>
      <c r="P6528"/>
      <c r="Q6528" s="24"/>
      <c r="R6528"/>
      <c r="S6528"/>
      <c r="T6528"/>
      <c r="U6528"/>
      <c r="X6528" s="60"/>
    </row>
    <row r="6529" spans="7:24" ht="15" customHeight="1">
      <c r="G6529"/>
      <c r="I6529"/>
      <c r="N6529"/>
      <c r="O6529" s="24"/>
      <c r="P6529"/>
      <c r="Q6529" s="24"/>
      <c r="R6529"/>
      <c r="S6529"/>
      <c r="T6529"/>
      <c r="U6529"/>
      <c r="X6529" s="60"/>
    </row>
    <row r="6530" spans="7:24" ht="15" customHeight="1">
      <c r="G6530"/>
      <c r="I6530"/>
      <c r="N6530"/>
      <c r="O6530" s="24"/>
      <c r="P6530"/>
      <c r="Q6530" s="24"/>
      <c r="R6530"/>
      <c r="S6530"/>
      <c r="T6530"/>
      <c r="U6530"/>
      <c r="X6530" s="60"/>
    </row>
    <row r="6531" spans="7:24" ht="15" customHeight="1">
      <c r="G6531"/>
      <c r="I6531"/>
      <c r="N6531"/>
      <c r="O6531" s="24"/>
      <c r="P6531"/>
      <c r="Q6531" s="24"/>
      <c r="R6531"/>
      <c r="S6531"/>
      <c r="T6531"/>
      <c r="U6531"/>
      <c r="X6531" s="60"/>
    </row>
    <row r="6532" spans="7:24" ht="15" customHeight="1">
      <c r="G6532"/>
      <c r="I6532"/>
      <c r="N6532"/>
      <c r="O6532" s="24"/>
      <c r="P6532"/>
      <c r="Q6532" s="24"/>
      <c r="R6532"/>
      <c r="S6532"/>
      <c r="T6532"/>
      <c r="U6532"/>
      <c r="X6532" s="60"/>
    </row>
    <row r="6533" spans="7:24" ht="15" customHeight="1">
      <c r="G6533"/>
      <c r="I6533"/>
      <c r="N6533"/>
      <c r="O6533" s="24"/>
      <c r="P6533"/>
      <c r="Q6533" s="24"/>
      <c r="R6533"/>
      <c r="S6533"/>
      <c r="T6533"/>
      <c r="U6533"/>
      <c r="X6533" s="60"/>
    </row>
    <row r="6534" spans="7:24" ht="15" customHeight="1">
      <c r="G6534"/>
      <c r="I6534"/>
      <c r="N6534"/>
      <c r="O6534" s="24"/>
      <c r="P6534"/>
      <c r="Q6534" s="24"/>
      <c r="R6534"/>
      <c r="S6534"/>
      <c r="T6534"/>
      <c r="U6534"/>
      <c r="X6534" s="60"/>
    </row>
    <row r="6535" spans="7:24" ht="15" customHeight="1">
      <c r="G6535"/>
      <c r="I6535"/>
      <c r="N6535"/>
      <c r="O6535" s="24"/>
      <c r="P6535"/>
      <c r="Q6535" s="24"/>
      <c r="R6535"/>
      <c r="S6535"/>
      <c r="T6535"/>
      <c r="U6535"/>
      <c r="X6535" s="60"/>
    </row>
    <row r="6536" spans="7:24" ht="15" customHeight="1">
      <c r="G6536"/>
      <c r="I6536"/>
      <c r="N6536"/>
      <c r="O6536" s="24"/>
      <c r="P6536"/>
      <c r="Q6536" s="24"/>
      <c r="R6536"/>
      <c r="S6536"/>
      <c r="T6536"/>
      <c r="U6536"/>
      <c r="X6536" s="60"/>
    </row>
    <row r="6537" spans="7:24" ht="15" customHeight="1">
      <c r="G6537"/>
      <c r="I6537"/>
      <c r="N6537"/>
      <c r="O6537" s="24"/>
      <c r="P6537"/>
      <c r="Q6537" s="24"/>
      <c r="R6537"/>
      <c r="S6537"/>
      <c r="T6537"/>
      <c r="U6537"/>
      <c r="X6537" s="60"/>
    </row>
    <row r="6538" spans="7:24" ht="15" customHeight="1">
      <c r="G6538"/>
      <c r="I6538"/>
      <c r="N6538"/>
      <c r="O6538" s="24"/>
      <c r="P6538"/>
      <c r="Q6538" s="24"/>
      <c r="R6538"/>
      <c r="S6538"/>
      <c r="T6538"/>
      <c r="U6538"/>
      <c r="X6538" s="60"/>
    </row>
    <row r="6539" spans="7:24" ht="15" customHeight="1">
      <c r="G6539"/>
      <c r="I6539"/>
      <c r="N6539"/>
      <c r="O6539" s="24"/>
      <c r="P6539"/>
      <c r="Q6539" s="24"/>
      <c r="R6539"/>
      <c r="S6539"/>
      <c r="T6539"/>
      <c r="U6539"/>
      <c r="X6539" s="60"/>
    </row>
    <row r="6540" spans="7:24" ht="15" customHeight="1">
      <c r="G6540"/>
      <c r="I6540"/>
      <c r="N6540"/>
      <c r="O6540" s="24"/>
      <c r="P6540"/>
      <c r="Q6540" s="24"/>
      <c r="R6540"/>
      <c r="S6540"/>
      <c r="T6540"/>
      <c r="U6540"/>
      <c r="X6540" s="60"/>
    </row>
    <row r="6541" spans="7:24" ht="15" customHeight="1">
      <c r="G6541"/>
      <c r="I6541"/>
      <c r="N6541"/>
      <c r="O6541" s="24"/>
      <c r="P6541"/>
      <c r="Q6541" s="24"/>
      <c r="R6541"/>
      <c r="S6541"/>
      <c r="T6541"/>
      <c r="U6541"/>
      <c r="X6541" s="60"/>
    </row>
    <row r="6542" spans="7:24" ht="15" customHeight="1">
      <c r="G6542"/>
      <c r="I6542"/>
      <c r="N6542"/>
      <c r="O6542" s="24"/>
      <c r="P6542"/>
      <c r="Q6542" s="24"/>
      <c r="R6542"/>
      <c r="S6542"/>
      <c r="T6542"/>
      <c r="U6542"/>
      <c r="X6542" s="60"/>
    </row>
    <row r="6543" spans="7:24" ht="15" customHeight="1">
      <c r="G6543"/>
      <c r="I6543"/>
      <c r="N6543"/>
      <c r="O6543" s="24"/>
      <c r="P6543"/>
      <c r="Q6543" s="24"/>
      <c r="R6543"/>
      <c r="S6543"/>
      <c r="T6543"/>
      <c r="U6543"/>
      <c r="X6543" s="60"/>
    </row>
    <row r="6544" spans="7:24" ht="15" customHeight="1">
      <c r="G6544"/>
      <c r="I6544"/>
      <c r="N6544"/>
      <c r="O6544" s="24"/>
      <c r="P6544"/>
      <c r="Q6544" s="24"/>
      <c r="R6544"/>
      <c r="S6544"/>
      <c r="T6544"/>
      <c r="U6544"/>
      <c r="X6544" s="60"/>
    </row>
    <row r="6545" spans="7:24" ht="15" customHeight="1">
      <c r="G6545"/>
      <c r="I6545"/>
      <c r="N6545"/>
      <c r="O6545" s="24"/>
      <c r="P6545"/>
      <c r="Q6545" s="24"/>
      <c r="R6545"/>
      <c r="S6545"/>
      <c r="T6545"/>
      <c r="U6545"/>
      <c r="X6545" s="60"/>
    </row>
    <row r="6546" spans="7:24" ht="15" customHeight="1">
      <c r="G6546"/>
      <c r="I6546"/>
      <c r="N6546"/>
      <c r="O6546" s="24"/>
      <c r="P6546"/>
      <c r="Q6546" s="24"/>
      <c r="R6546"/>
      <c r="S6546"/>
      <c r="T6546"/>
      <c r="U6546"/>
      <c r="X6546" s="60"/>
    </row>
    <row r="6547" spans="7:24" ht="15" customHeight="1">
      <c r="G6547"/>
      <c r="I6547"/>
      <c r="N6547"/>
      <c r="O6547" s="24"/>
      <c r="P6547"/>
      <c r="Q6547" s="24"/>
      <c r="R6547"/>
      <c r="S6547"/>
      <c r="T6547"/>
      <c r="U6547"/>
      <c r="X6547" s="60"/>
    </row>
    <row r="6548" spans="7:24" ht="15" customHeight="1">
      <c r="G6548"/>
      <c r="I6548"/>
      <c r="N6548"/>
      <c r="O6548" s="24"/>
      <c r="P6548"/>
      <c r="Q6548" s="24"/>
      <c r="R6548"/>
      <c r="S6548"/>
      <c r="T6548"/>
      <c r="U6548"/>
      <c r="X6548" s="60"/>
    </row>
    <row r="6549" spans="7:24" ht="15" customHeight="1">
      <c r="G6549"/>
      <c r="I6549"/>
      <c r="N6549"/>
      <c r="O6549" s="24"/>
      <c r="P6549"/>
      <c r="Q6549" s="24"/>
      <c r="R6549"/>
      <c r="S6549"/>
      <c r="T6549"/>
      <c r="U6549"/>
      <c r="X6549" s="60"/>
    </row>
    <row r="6550" spans="7:24" ht="15" customHeight="1">
      <c r="G6550"/>
      <c r="I6550"/>
      <c r="N6550"/>
      <c r="O6550" s="24"/>
      <c r="P6550"/>
      <c r="Q6550" s="24"/>
      <c r="R6550"/>
      <c r="S6550"/>
      <c r="T6550"/>
      <c r="U6550"/>
      <c r="X6550" s="60"/>
    </row>
    <row r="6551" spans="7:24" ht="15" customHeight="1">
      <c r="G6551"/>
      <c r="I6551"/>
      <c r="N6551"/>
      <c r="O6551" s="24"/>
      <c r="P6551"/>
      <c r="Q6551" s="24"/>
      <c r="R6551"/>
      <c r="S6551"/>
      <c r="T6551"/>
      <c r="U6551"/>
      <c r="X6551" s="60"/>
    </row>
    <row r="6552" spans="7:24" ht="15" customHeight="1">
      <c r="G6552"/>
      <c r="I6552"/>
      <c r="N6552"/>
      <c r="O6552" s="24"/>
      <c r="P6552"/>
      <c r="Q6552" s="24"/>
      <c r="R6552"/>
      <c r="S6552"/>
      <c r="T6552"/>
      <c r="U6552"/>
      <c r="X6552" s="60"/>
    </row>
    <row r="6553" spans="7:24" ht="15" customHeight="1">
      <c r="G6553"/>
      <c r="I6553"/>
      <c r="N6553"/>
      <c r="O6553" s="24"/>
      <c r="P6553"/>
      <c r="Q6553" s="24"/>
      <c r="R6553"/>
      <c r="S6553"/>
      <c r="T6553"/>
      <c r="U6553"/>
      <c r="X6553" s="60"/>
    </row>
    <row r="6554" spans="7:24" ht="15" customHeight="1">
      <c r="G6554"/>
      <c r="I6554"/>
      <c r="N6554"/>
      <c r="O6554" s="24"/>
      <c r="P6554"/>
      <c r="Q6554" s="24"/>
      <c r="R6554"/>
      <c r="S6554"/>
      <c r="T6554"/>
      <c r="U6554"/>
      <c r="X6554" s="60"/>
    </row>
    <row r="6555" spans="7:24" ht="15" customHeight="1">
      <c r="G6555"/>
      <c r="I6555"/>
      <c r="N6555"/>
      <c r="O6555" s="24"/>
      <c r="P6555"/>
      <c r="Q6555" s="24"/>
      <c r="R6555"/>
      <c r="S6555"/>
      <c r="T6555"/>
      <c r="U6555"/>
      <c r="X6555" s="60"/>
    </row>
    <row r="6556" spans="7:24" ht="15" customHeight="1">
      <c r="G6556"/>
      <c r="I6556"/>
      <c r="N6556"/>
      <c r="O6556" s="24"/>
      <c r="P6556"/>
      <c r="Q6556" s="24"/>
      <c r="R6556"/>
      <c r="S6556"/>
      <c r="T6556"/>
      <c r="U6556"/>
      <c r="X6556" s="60"/>
    </row>
    <row r="6557" spans="7:24" ht="15" customHeight="1">
      <c r="G6557"/>
      <c r="I6557"/>
      <c r="N6557"/>
      <c r="O6557" s="24"/>
      <c r="P6557"/>
      <c r="Q6557" s="24"/>
      <c r="R6557"/>
      <c r="S6557"/>
      <c r="T6557"/>
      <c r="U6557"/>
      <c r="X6557" s="60"/>
    </row>
    <row r="6558" spans="7:24" ht="15" customHeight="1">
      <c r="G6558"/>
      <c r="I6558"/>
      <c r="N6558"/>
      <c r="O6558" s="24"/>
      <c r="P6558"/>
      <c r="Q6558" s="24"/>
      <c r="R6558"/>
      <c r="S6558"/>
      <c r="T6558"/>
      <c r="U6558"/>
      <c r="X6558" s="60"/>
    </row>
    <row r="6559" spans="7:24" ht="15" customHeight="1">
      <c r="G6559"/>
      <c r="I6559"/>
      <c r="N6559"/>
      <c r="O6559" s="24"/>
      <c r="P6559"/>
      <c r="Q6559" s="24"/>
      <c r="R6559"/>
      <c r="S6559"/>
      <c r="T6559"/>
      <c r="U6559"/>
      <c r="X6559" s="60"/>
    </row>
    <row r="6560" spans="7:24" ht="15" customHeight="1">
      <c r="G6560"/>
      <c r="I6560"/>
      <c r="N6560"/>
      <c r="O6560" s="24"/>
      <c r="P6560"/>
      <c r="Q6560" s="24"/>
      <c r="R6560"/>
      <c r="S6560"/>
      <c r="T6560"/>
      <c r="U6560"/>
      <c r="X6560" s="60"/>
    </row>
    <row r="6561" spans="7:24" ht="15" customHeight="1">
      <c r="G6561"/>
      <c r="I6561"/>
      <c r="N6561"/>
      <c r="O6561" s="24"/>
      <c r="P6561"/>
      <c r="Q6561" s="24"/>
      <c r="R6561"/>
      <c r="S6561"/>
      <c r="T6561"/>
      <c r="U6561"/>
      <c r="X6561" s="60"/>
    </row>
    <row r="6562" spans="7:24" ht="15" customHeight="1">
      <c r="G6562"/>
      <c r="I6562"/>
      <c r="N6562"/>
      <c r="O6562" s="24"/>
      <c r="P6562"/>
      <c r="Q6562" s="24"/>
      <c r="R6562"/>
      <c r="S6562"/>
      <c r="T6562"/>
      <c r="U6562"/>
      <c r="X6562" s="60"/>
    </row>
    <row r="6563" spans="7:24" ht="15" customHeight="1">
      <c r="G6563"/>
      <c r="I6563"/>
      <c r="N6563"/>
      <c r="O6563" s="24"/>
      <c r="P6563"/>
      <c r="Q6563" s="24"/>
      <c r="R6563"/>
      <c r="S6563"/>
      <c r="T6563"/>
      <c r="U6563"/>
      <c r="X6563" s="60"/>
    </row>
    <row r="6564" spans="7:24" ht="15" customHeight="1">
      <c r="G6564"/>
      <c r="I6564"/>
      <c r="N6564"/>
      <c r="O6564" s="24"/>
      <c r="P6564"/>
      <c r="Q6564" s="24"/>
      <c r="R6564"/>
      <c r="S6564"/>
      <c r="T6564"/>
      <c r="U6564"/>
      <c r="X6564" s="60"/>
    </row>
    <row r="6565" spans="7:24" ht="15" customHeight="1">
      <c r="G6565"/>
      <c r="I6565"/>
      <c r="N6565"/>
      <c r="O6565" s="24"/>
      <c r="P6565"/>
      <c r="Q6565" s="24"/>
      <c r="R6565"/>
      <c r="S6565"/>
      <c r="T6565"/>
      <c r="U6565"/>
      <c r="X6565" s="60"/>
    </row>
    <row r="6566" spans="7:24" ht="15" customHeight="1">
      <c r="G6566"/>
      <c r="I6566"/>
      <c r="N6566"/>
      <c r="O6566" s="24"/>
      <c r="P6566"/>
      <c r="Q6566" s="24"/>
      <c r="R6566"/>
      <c r="S6566"/>
      <c r="T6566"/>
      <c r="U6566"/>
      <c r="X6566" s="60"/>
    </row>
    <row r="6567" spans="7:24" ht="15" customHeight="1">
      <c r="G6567"/>
      <c r="I6567"/>
      <c r="N6567"/>
      <c r="O6567" s="24"/>
      <c r="P6567"/>
      <c r="Q6567" s="24"/>
      <c r="R6567"/>
      <c r="S6567"/>
      <c r="T6567"/>
      <c r="U6567"/>
      <c r="X6567" s="60"/>
    </row>
    <row r="6568" spans="7:24" ht="15" customHeight="1">
      <c r="G6568"/>
      <c r="I6568"/>
      <c r="N6568"/>
      <c r="O6568" s="24"/>
      <c r="P6568"/>
      <c r="Q6568" s="24"/>
      <c r="R6568"/>
      <c r="S6568"/>
      <c r="T6568"/>
      <c r="U6568"/>
      <c r="X6568" s="60"/>
    </row>
    <row r="6569" spans="7:24" ht="15" customHeight="1">
      <c r="G6569"/>
      <c r="I6569"/>
      <c r="N6569"/>
      <c r="O6569" s="24"/>
      <c r="P6569"/>
      <c r="Q6569" s="24"/>
      <c r="R6569"/>
      <c r="S6569"/>
      <c r="T6569"/>
      <c r="U6569"/>
      <c r="X6569" s="60"/>
    </row>
    <row r="6570" spans="7:24" ht="15" customHeight="1">
      <c r="G6570"/>
      <c r="I6570"/>
      <c r="N6570"/>
      <c r="O6570" s="24"/>
      <c r="P6570"/>
      <c r="Q6570" s="24"/>
      <c r="R6570"/>
      <c r="S6570"/>
      <c r="T6570"/>
      <c r="U6570"/>
      <c r="X6570" s="60"/>
    </row>
    <row r="6571" spans="7:24" ht="15" customHeight="1">
      <c r="G6571"/>
      <c r="I6571"/>
      <c r="N6571"/>
      <c r="O6571" s="24"/>
      <c r="P6571"/>
      <c r="Q6571" s="24"/>
      <c r="R6571"/>
      <c r="S6571"/>
      <c r="T6571"/>
      <c r="U6571"/>
      <c r="X6571" s="60"/>
    </row>
    <row r="6572" spans="7:24" ht="15" customHeight="1">
      <c r="G6572"/>
      <c r="I6572"/>
      <c r="N6572"/>
      <c r="O6572" s="24"/>
      <c r="P6572"/>
      <c r="Q6572" s="24"/>
      <c r="R6572"/>
      <c r="S6572"/>
      <c r="T6572"/>
      <c r="U6572"/>
      <c r="X6572" s="60"/>
    </row>
    <row r="6573" spans="7:24" ht="15" customHeight="1">
      <c r="G6573"/>
      <c r="I6573"/>
      <c r="N6573"/>
      <c r="O6573" s="24"/>
      <c r="P6573"/>
      <c r="Q6573" s="24"/>
      <c r="R6573"/>
      <c r="S6573"/>
      <c r="T6573"/>
      <c r="U6573"/>
      <c r="X6573" s="60"/>
    </row>
    <row r="6574" spans="7:24" ht="15" customHeight="1">
      <c r="G6574"/>
      <c r="I6574"/>
      <c r="N6574"/>
      <c r="O6574" s="24"/>
      <c r="P6574"/>
      <c r="Q6574" s="24"/>
      <c r="R6574"/>
      <c r="S6574"/>
      <c r="T6574"/>
      <c r="U6574"/>
      <c r="X6574" s="60"/>
    </row>
    <row r="6575" spans="7:24" ht="15" customHeight="1">
      <c r="G6575"/>
      <c r="I6575"/>
      <c r="N6575"/>
      <c r="O6575" s="24"/>
      <c r="P6575"/>
      <c r="Q6575" s="24"/>
      <c r="R6575"/>
      <c r="S6575"/>
      <c r="T6575"/>
      <c r="U6575"/>
      <c r="X6575" s="60"/>
    </row>
    <row r="6576" spans="7:24" ht="15" customHeight="1">
      <c r="G6576"/>
      <c r="I6576"/>
      <c r="N6576"/>
      <c r="O6576" s="24"/>
      <c r="P6576"/>
      <c r="Q6576" s="24"/>
      <c r="R6576"/>
      <c r="S6576"/>
      <c r="T6576"/>
      <c r="U6576"/>
      <c r="X6576" s="60"/>
    </row>
    <row r="6577" spans="7:24" ht="15" customHeight="1">
      <c r="G6577"/>
      <c r="I6577"/>
      <c r="N6577"/>
      <c r="O6577" s="24"/>
      <c r="P6577"/>
      <c r="Q6577" s="24"/>
      <c r="R6577"/>
      <c r="S6577"/>
      <c r="T6577"/>
      <c r="U6577"/>
      <c r="X6577" s="60"/>
    </row>
    <row r="6578" spans="7:24" ht="15" customHeight="1">
      <c r="G6578"/>
      <c r="I6578"/>
      <c r="N6578"/>
      <c r="O6578" s="24"/>
      <c r="P6578"/>
      <c r="Q6578" s="24"/>
      <c r="R6578"/>
      <c r="S6578"/>
      <c r="T6578"/>
      <c r="U6578"/>
      <c r="X6578" s="60"/>
    </row>
    <row r="6579" spans="7:24" ht="15" customHeight="1">
      <c r="G6579"/>
      <c r="I6579"/>
      <c r="N6579"/>
      <c r="O6579" s="24"/>
      <c r="P6579"/>
      <c r="Q6579" s="24"/>
      <c r="R6579"/>
      <c r="S6579"/>
      <c r="T6579"/>
      <c r="U6579"/>
      <c r="X6579" s="60"/>
    </row>
    <row r="6580" spans="7:24" ht="15" customHeight="1">
      <c r="G6580"/>
      <c r="I6580"/>
      <c r="N6580"/>
      <c r="O6580" s="24"/>
      <c r="P6580"/>
      <c r="Q6580" s="24"/>
      <c r="R6580"/>
      <c r="S6580"/>
      <c r="T6580"/>
      <c r="U6580"/>
      <c r="X6580" s="60"/>
    </row>
    <row r="6581" spans="7:24" ht="15" customHeight="1">
      <c r="G6581"/>
      <c r="I6581"/>
      <c r="N6581"/>
      <c r="O6581" s="24"/>
      <c r="P6581"/>
      <c r="Q6581" s="24"/>
      <c r="R6581"/>
      <c r="S6581"/>
      <c r="T6581"/>
      <c r="U6581"/>
      <c r="X6581" s="60"/>
    </row>
    <row r="6582" spans="7:24" ht="15" customHeight="1">
      <c r="G6582"/>
      <c r="I6582"/>
      <c r="N6582"/>
      <c r="O6582" s="24"/>
      <c r="P6582"/>
      <c r="Q6582" s="24"/>
      <c r="R6582"/>
      <c r="S6582"/>
      <c r="T6582"/>
      <c r="U6582"/>
      <c r="X6582" s="60"/>
    </row>
    <row r="6583" spans="7:24" ht="15" customHeight="1">
      <c r="G6583"/>
      <c r="I6583"/>
      <c r="N6583"/>
      <c r="O6583" s="24"/>
      <c r="P6583"/>
      <c r="Q6583" s="24"/>
      <c r="R6583"/>
      <c r="S6583"/>
      <c r="T6583"/>
      <c r="U6583"/>
      <c r="X6583" s="60"/>
    </row>
    <row r="6584" spans="7:24" ht="15" customHeight="1">
      <c r="G6584"/>
      <c r="I6584"/>
      <c r="N6584"/>
      <c r="O6584" s="24"/>
      <c r="P6584"/>
      <c r="Q6584" s="24"/>
      <c r="R6584"/>
      <c r="S6584"/>
      <c r="T6584"/>
      <c r="U6584"/>
      <c r="X6584" s="60"/>
    </row>
    <row r="6585" spans="7:24" ht="15" customHeight="1">
      <c r="G6585"/>
      <c r="I6585"/>
      <c r="N6585"/>
      <c r="O6585" s="24"/>
      <c r="P6585"/>
      <c r="Q6585" s="24"/>
      <c r="R6585"/>
      <c r="S6585"/>
      <c r="T6585"/>
      <c r="U6585"/>
      <c r="X6585" s="60"/>
    </row>
    <row r="6586" spans="7:24" ht="15" customHeight="1">
      <c r="G6586"/>
      <c r="I6586"/>
      <c r="N6586"/>
      <c r="O6586" s="24"/>
      <c r="P6586"/>
      <c r="Q6586" s="24"/>
      <c r="R6586"/>
      <c r="S6586"/>
      <c r="T6586"/>
      <c r="U6586"/>
      <c r="X6586" s="60"/>
    </row>
    <row r="6587" spans="7:24" ht="15" customHeight="1">
      <c r="G6587"/>
      <c r="I6587"/>
      <c r="N6587"/>
      <c r="O6587" s="24"/>
      <c r="P6587"/>
      <c r="Q6587" s="24"/>
      <c r="R6587"/>
      <c r="S6587"/>
      <c r="T6587"/>
      <c r="U6587"/>
      <c r="X6587" s="60"/>
    </row>
    <row r="6588" spans="7:24" ht="15" customHeight="1">
      <c r="G6588"/>
      <c r="I6588"/>
      <c r="N6588"/>
      <c r="O6588" s="24"/>
      <c r="P6588"/>
      <c r="Q6588" s="24"/>
      <c r="R6588"/>
      <c r="S6588"/>
      <c r="T6588"/>
      <c r="U6588"/>
      <c r="X6588" s="60"/>
    </row>
    <row r="6589" spans="7:24" ht="15" customHeight="1">
      <c r="G6589"/>
      <c r="I6589"/>
      <c r="N6589"/>
      <c r="O6589" s="24"/>
      <c r="P6589"/>
      <c r="Q6589" s="24"/>
      <c r="R6589"/>
      <c r="S6589"/>
      <c r="T6589"/>
      <c r="U6589"/>
      <c r="X6589" s="60"/>
    </row>
    <row r="6590" spans="7:24" ht="15" customHeight="1">
      <c r="G6590"/>
      <c r="I6590"/>
      <c r="N6590"/>
      <c r="O6590" s="24"/>
      <c r="P6590"/>
      <c r="Q6590" s="24"/>
      <c r="R6590"/>
      <c r="S6590"/>
      <c r="T6590"/>
      <c r="U6590"/>
      <c r="X6590" s="60"/>
    </row>
    <row r="6591" spans="7:24" ht="15" customHeight="1">
      <c r="G6591"/>
      <c r="I6591"/>
      <c r="N6591"/>
      <c r="O6591" s="24"/>
      <c r="P6591"/>
      <c r="Q6591" s="24"/>
      <c r="R6591"/>
      <c r="S6591"/>
      <c r="T6591"/>
      <c r="U6591"/>
      <c r="X6591" s="60"/>
    </row>
    <row r="6592" spans="7:24" ht="15" customHeight="1">
      <c r="G6592"/>
      <c r="I6592"/>
      <c r="N6592"/>
      <c r="O6592" s="24"/>
      <c r="P6592"/>
      <c r="Q6592" s="24"/>
      <c r="R6592"/>
      <c r="S6592"/>
      <c r="T6592"/>
      <c r="U6592"/>
      <c r="X6592" s="60"/>
    </row>
    <row r="6593" spans="7:24" ht="15" customHeight="1">
      <c r="G6593"/>
      <c r="I6593"/>
      <c r="N6593"/>
      <c r="O6593" s="24"/>
      <c r="P6593"/>
      <c r="Q6593" s="24"/>
      <c r="R6593"/>
      <c r="S6593"/>
      <c r="T6593"/>
      <c r="U6593"/>
      <c r="X6593" s="60"/>
    </row>
    <row r="6594" spans="7:24" ht="15" customHeight="1">
      <c r="G6594"/>
      <c r="I6594"/>
      <c r="N6594"/>
      <c r="O6594" s="24"/>
      <c r="P6594"/>
      <c r="Q6594" s="24"/>
      <c r="R6594"/>
      <c r="S6594"/>
      <c r="T6594"/>
      <c r="U6594"/>
      <c r="X6594" s="60"/>
    </row>
    <row r="6595" spans="7:24" ht="15" customHeight="1">
      <c r="G6595"/>
      <c r="I6595"/>
      <c r="N6595"/>
      <c r="O6595" s="24"/>
      <c r="P6595"/>
      <c r="Q6595" s="24"/>
      <c r="R6595"/>
      <c r="S6595"/>
      <c r="T6595"/>
      <c r="U6595"/>
      <c r="X6595" s="60"/>
    </row>
    <row r="6596" spans="7:24" ht="15" customHeight="1">
      <c r="G6596"/>
      <c r="I6596"/>
      <c r="N6596"/>
      <c r="O6596" s="24"/>
      <c r="P6596"/>
      <c r="Q6596" s="24"/>
      <c r="R6596"/>
      <c r="S6596"/>
      <c r="T6596"/>
      <c r="U6596"/>
      <c r="X6596" s="60"/>
    </row>
    <row r="6597" spans="7:24" ht="15" customHeight="1">
      <c r="G6597"/>
      <c r="I6597"/>
      <c r="N6597"/>
      <c r="O6597" s="24"/>
      <c r="P6597"/>
      <c r="Q6597" s="24"/>
      <c r="R6597"/>
      <c r="S6597"/>
      <c r="T6597"/>
      <c r="U6597"/>
      <c r="X6597" s="60"/>
    </row>
    <row r="6598" spans="7:24" ht="15" customHeight="1">
      <c r="G6598"/>
      <c r="I6598"/>
      <c r="N6598"/>
      <c r="O6598" s="24"/>
      <c r="P6598"/>
      <c r="Q6598" s="24"/>
      <c r="R6598"/>
      <c r="S6598"/>
      <c r="T6598"/>
      <c r="U6598"/>
      <c r="X6598" s="60"/>
    </row>
    <row r="6599" spans="7:24" ht="15" customHeight="1">
      <c r="G6599"/>
      <c r="I6599"/>
      <c r="N6599"/>
      <c r="O6599" s="24"/>
      <c r="P6599"/>
      <c r="Q6599" s="24"/>
      <c r="R6599"/>
      <c r="S6599"/>
      <c r="T6599"/>
      <c r="U6599"/>
      <c r="X6599" s="60"/>
    </row>
    <row r="6600" spans="7:24" ht="15" customHeight="1">
      <c r="G6600"/>
      <c r="I6600"/>
      <c r="N6600"/>
      <c r="O6600" s="24"/>
      <c r="P6600"/>
      <c r="Q6600" s="24"/>
      <c r="R6600"/>
      <c r="S6600"/>
      <c r="T6600"/>
      <c r="U6600"/>
      <c r="X6600" s="60"/>
    </row>
    <row r="6601" spans="7:24" ht="15" customHeight="1">
      <c r="G6601"/>
      <c r="I6601"/>
      <c r="N6601"/>
      <c r="O6601" s="24"/>
      <c r="P6601"/>
      <c r="Q6601" s="24"/>
      <c r="R6601"/>
      <c r="S6601"/>
      <c r="T6601"/>
      <c r="U6601"/>
      <c r="X6601" s="60"/>
    </row>
    <row r="6602" spans="7:24" ht="15" customHeight="1">
      <c r="G6602"/>
      <c r="I6602"/>
      <c r="N6602"/>
      <c r="O6602" s="24"/>
      <c r="P6602"/>
      <c r="Q6602" s="24"/>
      <c r="R6602"/>
      <c r="S6602"/>
      <c r="T6602"/>
      <c r="U6602"/>
      <c r="X6602" s="60"/>
    </row>
    <row r="6603" spans="7:24" ht="15" customHeight="1">
      <c r="G6603"/>
      <c r="I6603"/>
      <c r="N6603"/>
      <c r="O6603" s="24"/>
      <c r="P6603"/>
      <c r="Q6603" s="24"/>
      <c r="R6603"/>
      <c r="S6603"/>
      <c r="T6603"/>
      <c r="U6603"/>
      <c r="X6603" s="60"/>
    </row>
    <row r="6604" spans="7:24" ht="15" customHeight="1">
      <c r="G6604"/>
      <c r="I6604"/>
      <c r="N6604"/>
      <c r="O6604" s="24"/>
      <c r="P6604"/>
      <c r="Q6604" s="24"/>
      <c r="R6604"/>
      <c r="S6604"/>
      <c r="T6604"/>
      <c r="U6604"/>
      <c r="X6604" s="60"/>
    </row>
    <row r="6605" spans="7:24" ht="15" customHeight="1">
      <c r="G6605"/>
      <c r="I6605"/>
      <c r="N6605"/>
      <c r="O6605" s="24"/>
      <c r="P6605"/>
      <c r="Q6605" s="24"/>
      <c r="R6605"/>
      <c r="S6605"/>
      <c r="T6605"/>
      <c r="U6605"/>
      <c r="X6605" s="60"/>
    </row>
    <row r="6606" spans="7:24" ht="15" customHeight="1">
      <c r="G6606"/>
      <c r="I6606"/>
      <c r="N6606"/>
      <c r="O6606" s="24"/>
      <c r="P6606"/>
      <c r="Q6606" s="24"/>
      <c r="R6606"/>
      <c r="S6606"/>
      <c r="T6606"/>
      <c r="U6606"/>
      <c r="X6606" s="60"/>
    </row>
    <row r="6607" spans="7:24" ht="15" customHeight="1">
      <c r="G6607"/>
      <c r="I6607"/>
      <c r="N6607"/>
      <c r="O6607" s="24"/>
      <c r="P6607"/>
      <c r="Q6607" s="24"/>
      <c r="R6607"/>
      <c r="S6607"/>
      <c r="T6607"/>
      <c r="U6607"/>
      <c r="X6607" s="60"/>
    </row>
    <row r="6608" spans="7:24" ht="15" customHeight="1">
      <c r="G6608"/>
      <c r="I6608"/>
      <c r="N6608"/>
      <c r="O6608" s="24"/>
      <c r="P6608"/>
      <c r="Q6608" s="24"/>
      <c r="R6608"/>
      <c r="S6608"/>
      <c r="T6608"/>
      <c r="U6608"/>
      <c r="X6608" s="60"/>
    </row>
    <row r="6609" spans="7:24" ht="15" customHeight="1">
      <c r="G6609"/>
      <c r="I6609"/>
      <c r="N6609"/>
      <c r="O6609" s="24"/>
      <c r="P6609"/>
      <c r="Q6609" s="24"/>
      <c r="R6609"/>
      <c r="S6609"/>
      <c r="T6609"/>
      <c r="U6609"/>
      <c r="X6609" s="60"/>
    </row>
    <row r="6610" spans="7:24" ht="15" customHeight="1">
      <c r="G6610"/>
      <c r="I6610"/>
      <c r="N6610"/>
      <c r="O6610" s="24"/>
      <c r="P6610"/>
      <c r="Q6610" s="24"/>
      <c r="R6610"/>
      <c r="S6610"/>
      <c r="T6610"/>
      <c r="U6610"/>
      <c r="X6610" s="60"/>
    </row>
    <row r="6611" spans="7:24" ht="15" customHeight="1">
      <c r="G6611"/>
      <c r="I6611"/>
      <c r="N6611"/>
      <c r="O6611" s="24"/>
      <c r="P6611"/>
      <c r="Q6611" s="24"/>
      <c r="R6611"/>
      <c r="S6611"/>
      <c r="T6611"/>
      <c r="U6611"/>
      <c r="X6611" s="60"/>
    </row>
    <row r="6612" spans="7:24" ht="15" customHeight="1">
      <c r="G6612"/>
      <c r="I6612"/>
      <c r="N6612"/>
      <c r="O6612" s="24"/>
      <c r="P6612"/>
      <c r="Q6612" s="24"/>
      <c r="R6612"/>
      <c r="S6612"/>
      <c r="T6612"/>
      <c r="U6612"/>
      <c r="X6612" s="60"/>
    </row>
    <row r="6613" spans="7:24" ht="15" customHeight="1">
      <c r="G6613"/>
      <c r="I6613"/>
      <c r="N6613"/>
      <c r="O6613" s="24"/>
      <c r="P6613"/>
      <c r="Q6613" s="24"/>
      <c r="R6613"/>
      <c r="S6613"/>
      <c r="T6613"/>
      <c r="U6613"/>
      <c r="X6613" s="60"/>
    </row>
    <row r="6614" spans="7:24" ht="15" customHeight="1">
      <c r="G6614"/>
      <c r="I6614"/>
      <c r="N6614"/>
      <c r="O6614" s="24"/>
      <c r="P6614"/>
      <c r="Q6614" s="24"/>
      <c r="R6614"/>
      <c r="S6614"/>
      <c r="T6614"/>
      <c r="U6614"/>
      <c r="X6614" s="60"/>
    </row>
    <row r="6615" spans="7:24" ht="15" customHeight="1">
      <c r="G6615"/>
      <c r="I6615"/>
      <c r="N6615"/>
      <c r="O6615" s="24"/>
      <c r="P6615"/>
      <c r="Q6615" s="24"/>
      <c r="R6615"/>
      <c r="S6615"/>
      <c r="T6615"/>
      <c r="U6615"/>
      <c r="X6615" s="60"/>
    </row>
    <row r="6616" spans="7:24" ht="15" customHeight="1">
      <c r="G6616"/>
      <c r="I6616"/>
      <c r="N6616"/>
      <c r="O6616" s="24"/>
      <c r="P6616"/>
      <c r="Q6616" s="24"/>
      <c r="R6616"/>
      <c r="S6616"/>
      <c r="T6616"/>
      <c r="U6616"/>
      <c r="X6616" s="60"/>
    </row>
    <row r="6617" spans="7:24" ht="15" customHeight="1">
      <c r="G6617"/>
      <c r="I6617"/>
      <c r="N6617"/>
      <c r="O6617" s="24"/>
      <c r="P6617"/>
      <c r="Q6617" s="24"/>
      <c r="R6617"/>
      <c r="S6617"/>
      <c r="T6617"/>
      <c r="U6617"/>
      <c r="X6617" s="60"/>
    </row>
    <row r="6618" spans="7:24" ht="15" customHeight="1">
      <c r="G6618"/>
      <c r="I6618"/>
      <c r="N6618"/>
      <c r="O6618" s="24"/>
      <c r="P6618"/>
      <c r="Q6618" s="24"/>
      <c r="R6618"/>
      <c r="S6618"/>
      <c r="T6618"/>
      <c r="U6618"/>
      <c r="X6618" s="60"/>
    </row>
    <row r="6619" spans="7:24" ht="15" customHeight="1">
      <c r="G6619"/>
      <c r="I6619"/>
      <c r="N6619"/>
      <c r="O6619" s="24"/>
      <c r="P6619"/>
      <c r="Q6619" s="24"/>
      <c r="R6619"/>
      <c r="S6619"/>
      <c r="T6619"/>
      <c r="U6619"/>
      <c r="X6619" s="60"/>
    </row>
    <row r="6620" spans="7:24" ht="15" customHeight="1">
      <c r="G6620"/>
      <c r="I6620"/>
      <c r="N6620"/>
      <c r="O6620" s="24"/>
      <c r="P6620"/>
      <c r="Q6620" s="24"/>
      <c r="R6620"/>
      <c r="S6620"/>
      <c r="T6620"/>
      <c r="U6620"/>
      <c r="X6620" s="60"/>
    </row>
    <row r="6621" spans="7:24" ht="15" customHeight="1">
      <c r="G6621"/>
      <c r="I6621"/>
      <c r="N6621"/>
      <c r="O6621" s="24"/>
      <c r="P6621"/>
      <c r="Q6621" s="24"/>
      <c r="R6621"/>
      <c r="S6621"/>
      <c r="T6621"/>
      <c r="U6621"/>
      <c r="X6621" s="60"/>
    </row>
    <row r="6622" spans="7:24" ht="15" customHeight="1">
      <c r="G6622"/>
      <c r="I6622"/>
      <c r="N6622"/>
      <c r="O6622" s="24"/>
      <c r="P6622"/>
      <c r="Q6622" s="24"/>
      <c r="R6622"/>
      <c r="S6622"/>
      <c r="T6622"/>
      <c r="U6622"/>
      <c r="X6622" s="60"/>
    </row>
    <row r="6623" spans="7:24" ht="15" customHeight="1">
      <c r="G6623"/>
      <c r="I6623"/>
      <c r="N6623"/>
      <c r="O6623" s="24"/>
      <c r="P6623"/>
      <c r="Q6623" s="24"/>
      <c r="R6623"/>
      <c r="S6623"/>
      <c r="T6623"/>
      <c r="U6623"/>
      <c r="X6623" s="60"/>
    </row>
    <row r="6624" spans="7:24" ht="15" customHeight="1">
      <c r="G6624"/>
      <c r="I6624"/>
      <c r="N6624"/>
      <c r="O6624" s="24"/>
      <c r="P6624"/>
      <c r="Q6624" s="24"/>
      <c r="R6624"/>
      <c r="S6624"/>
      <c r="T6624"/>
      <c r="U6624"/>
      <c r="X6624" s="60"/>
    </row>
    <row r="6625" spans="7:24" ht="15" customHeight="1">
      <c r="G6625"/>
      <c r="I6625"/>
      <c r="N6625"/>
      <c r="O6625" s="24"/>
      <c r="P6625"/>
      <c r="Q6625" s="24"/>
      <c r="R6625"/>
      <c r="S6625"/>
      <c r="T6625"/>
      <c r="U6625"/>
      <c r="X6625" s="60"/>
    </row>
    <row r="6626" spans="7:24" ht="15" customHeight="1">
      <c r="G6626"/>
      <c r="I6626"/>
      <c r="N6626"/>
      <c r="O6626" s="24"/>
      <c r="P6626"/>
      <c r="Q6626" s="24"/>
      <c r="R6626"/>
      <c r="S6626"/>
      <c r="T6626"/>
      <c r="U6626"/>
      <c r="X6626" s="60"/>
    </row>
    <row r="6627" spans="7:24" ht="15" customHeight="1">
      <c r="G6627"/>
      <c r="I6627"/>
      <c r="N6627"/>
      <c r="O6627" s="24"/>
      <c r="P6627"/>
      <c r="Q6627" s="24"/>
      <c r="R6627"/>
      <c r="S6627"/>
      <c r="T6627"/>
      <c r="U6627"/>
      <c r="X6627" s="60"/>
    </row>
    <row r="6628" spans="7:24" ht="15" customHeight="1">
      <c r="G6628"/>
      <c r="I6628"/>
      <c r="N6628"/>
      <c r="O6628" s="24"/>
      <c r="P6628"/>
      <c r="Q6628" s="24"/>
      <c r="R6628"/>
      <c r="S6628"/>
      <c r="T6628"/>
      <c r="U6628"/>
      <c r="X6628" s="60"/>
    </row>
    <row r="6629" spans="7:24" ht="15" customHeight="1">
      <c r="G6629"/>
      <c r="I6629"/>
      <c r="N6629"/>
      <c r="O6629" s="24"/>
      <c r="P6629"/>
      <c r="Q6629" s="24"/>
      <c r="R6629"/>
      <c r="S6629"/>
      <c r="T6629"/>
      <c r="U6629"/>
      <c r="X6629" s="60"/>
    </row>
    <row r="6630" spans="7:24" ht="15" customHeight="1">
      <c r="G6630"/>
      <c r="I6630"/>
      <c r="N6630"/>
      <c r="O6630" s="24"/>
      <c r="P6630"/>
      <c r="Q6630" s="24"/>
      <c r="R6630"/>
      <c r="S6630"/>
      <c r="T6630"/>
      <c r="U6630"/>
      <c r="X6630" s="60"/>
    </row>
    <row r="6631" spans="7:24" ht="15" customHeight="1">
      <c r="G6631"/>
      <c r="I6631"/>
      <c r="N6631"/>
      <c r="O6631" s="24"/>
      <c r="P6631"/>
      <c r="Q6631" s="24"/>
      <c r="R6631"/>
      <c r="S6631"/>
      <c r="T6631"/>
      <c r="U6631"/>
      <c r="X6631" s="60"/>
    </row>
    <row r="6632" spans="7:24" ht="15" customHeight="1">
      <c r="G6632"/>
      <c r="I6632"/>
      <c r="N6632"/>
      <c r="O6632" s="24"/>
      <c r="P6632"/>
      <c r="Q6632" s="24"/>
      <c r="R6632"/>
      <c r="S6632"/>
      <c r="T6632"/>
      <c r="U6632"/>
      <c r="X6632" s="60"/>
    </row>
    <row r="6633" spans="7:24" ht="15" customHeight="1">
      <c r="G6633"/>
      <c r="I6633"/>
      <c r="N6633"/>
      <c r="O6633" s="24"/>
      <c r="P6633"/>
      <c r="Q6633" s="24"/>
      <c r="R6633"/>
      <c r="S6633"/>
      <c r="T6633"/>
      <c r="U6633"/>
      <c r="X6633" s="60"/>
    </row>
    <row r="6634" spans="7:24" ht="15" customHeight="1">
      <c r="G6634"/>
      <c r="I6634"/>
      <c r="N6634"/>
      <c r="O6634" s="24"/>
      <c r="P6634"/>
      <c r="Q6634" s="24"/>
      <c r="R6634"/>
      <c r="S6634"/>
      <c r="T6634"/>
      <c r="U6634"/>
      <c r="X6634" s="60"/>
    </row>
    <row r="6635" spans="7:24" ht="15" customHeight="1">
      <c r="G6635"/>
      <c r="I6635"/>
      <c r="N6635"/>
      <c r="O6635" s="24"/>
      <c r="P6635"/>
      <c r="Q6635" s="24"/>
      <c r="R6635"/>
      <c r="S6635"/>
      <c r="T6635"/>
      <c r="U6635"/>
      <c r="X6635" s="60"/>
    </row>
    <row r="6636" spans="7:24" ht="15" customHeight="1">
      <c r="G6636"/>
      <c r="I6636"/>
      <c r="N6636"/>
      <c r="O6636" s="24"/>
      <c r="P6636"/>
      <c r="Q6636" s="24"/>
      <c r="R6636"/>
      <c r="S6636"/>
      <c r="T6636"/>
      <c r="U6636"/>
      <c r="X6636" s="60"/>
    </row>
    <row r="6637" spans="7:24" ht="15" customHeight="1">
      <c r="G6637"/>
      <c r="I6637"/>
      <c r="N6637"/>
      <c r="O6637" s="24"/>
      <c r="P6637"/>
      <c r="Q6637" s="24"/>
      <c r="R6637"/>
      <c r="S6637"/>
      <c r="T6637"/>
      <c r="U6637"/>
      <c r="X6637" s="60"/>
    </row>
    <row r="6638" spans="7:24" ht="15" customHeight="1">
      <c r="G6638"/>
      <c r="I6638"/>
      <c r="N6638"/>
      <c r="O6638" s="24"/>
      <c r="P6638"/>
      <c r="Q6638" s="24"/>
      <c r="R6638"/>
      <c r="S6638"/>
      <c r="T6638"/>
      <c r="U6638"/>
      <c r="X6638" s="60"/>
    </row>
    <row r="6639" spans="7:24" ht="15" customHeight="1">
      <c r="G6639"/>
      <c r="I6639"/>
      <c r="N6639"/>
      <c r="O6639" s="24"/>
      <c r="P6639"/>
      <c r="Q6639" s="24"/>
      <c r="R6639"/>
      <c r="S6639"/>
      <c r="T6639"/>
      <c r="U6639"/>
      <c r="X6639" s="60"/>
    </row>
    <row r="6640" spans="7:24" ht="15" customHeight="1">
      <c r="G6640"/>
      <c r="I6640"/>
      <c r="N6640"/>
      <c r="O6640" s="24"/>
      <c r="P6640"/>
      <c r="Q6640" s="24"/>
      <c r="R6640"/>
      <c r="S6640"/>
      <c r="T6640"/>
      <c r="U6640"/>
      <c r="X6640" s="60"/>
    </row>
    <row r="6641" spans="7:24" ht="15" customHeight="1">
      <c r="G6641"/>
      <c r="I6641"/>
      <c r="N6641"/>
      <c r="O6641" s="24"/>
      <c r="P6641"/>
      <c r="Q6641" s="24"/>
      <c r="R6641"/>
      <c r="S6641"/>
      <c r="T6641"/>
      <c r="U6641"/>
      <c r="X6641" s="60"/>
    </row>
    <row r="6642" spans="7:24" ht="15" customHeight="1">
      <c r="G6642"/>
      <c r="I6642"/>
      <c r="N6642"/>
      <c r="O6642" s="24"/>
      <c r="P6642"/>
      <c r="Q6642" s="24"/>
      <c r="R6642"/>
      <c r="S6642"/>
      <c r="T6642"/>
      <c r="U6642"/>
      <c r="X6642" s="60"/>
    </row>
    <row r="6643" spans="7:24" ht="15" customHeight="1">
      <c r="G6643"/>
      <c r="I6643"/>
      <c r="N6643"/>
      <c r="O6643" s="24"/>
      <c r="P6643"/>
      <c r="Q6643" s="24"/>
      <c r="R6643"/>
      <c r="S6643"/>
      <c r="T6643"/>
      <c r="U6643"/>
      <c r="X6643" s="60"/>
    </row>
    <row r="6644" spans="7:24" ht="15" customHeight="1">
      <c r="G6644"/>
      <c r="I6644"/>
      <c r="N6644"/>
      <c r="O6644" s="24"/>
      <c r="P6644"/>
      <c r="Q6644" s="24"/>
      <c r="R6644"/>
      <c r="S6644"/>
      <c r="T6644"/>
      <c r="U6644"/>
      <c r="X6644" s="60"/>
    </row>
    <row r="6645" spans="7:24" ht="15" customHeight="1">
      <c r="G6645"/>
      <c r="I6645"/>
      <c r="N6645"/>
      <c r="O6645" s="24"/>
      <c r="P6645"/>
      <c r="Q6645" s="24"/>
      <c r="R6645"/>
      <c r="S6645"/>
      <c r="T6645"/>
      <c r="U6645"/>
      <c r="X6645" s="60"/>
    </row>
    <row r="6646" spans="7:24" ht="15" customHeight="1">
      <c r="G6646"/>
      <c r="I6646"/>
      <c r="N6646"/>
      <c r="O6646" s="24"/>
      <c r="P6646"/>
      <c r="Q6646" s="24"/>
      <c r="R6646"/>
      <c r="S6646"/>
      <c r="T6646"/>
      <c r="U6646"/>
      <c r="X6646" s="60"/>
    </row>
    <row r="6647" spans="7:24" ht="15" customHeight="1">
      <c r="G6647"/>
      <c r="I6647"/>
      <c r="N6647"/>
      <c r="O6647" s="24"/>
      <c r="P6647"/>
      <c r="Q6647" s="24"/>
      <c r="R6647"/>
      <c r="S6647"/>
      <c r="T6647"/>
      <c r="U6647"/>
      <c r="X6647" s="60"/>
    </row>
    <row r="6648" spans="7:24" ht="15" customHeight="1">
      <c r="G6648"/>
      <c r="I6648"/>
      <c r="N6648"/>
      <c r="O6648" s="24"/>
      <c r="P6648"/>
      <c r="Q6648" s="24"/>
      <c r="R6648"/>
      <c r="S6648"/>
      <c r="T6648"/>
      <c r="U6648"/>
      <c r="X6648" s="60"/>
    </row>
    <row r="6649" spans="7:24" ht="15" customHeight="1">
      <c r="G6649"/>
      <c r="I6649"/>
      <c r="N6649"/>
      <c r="O6649" s="24"/>
      <c r="P6649"/>
      <c r="Q6649" s="24"/>
      <c r="R6649"/>
      <c r="S6649"/>
      <c r="T6649"/>
      <c r="U6649"/>
      <c r="X6649" s="60"/>
    </row>
    <row r="6650" spans="7:24" ht="15" customHeight="1">
      <c r="G6650"/>
      <c r="I6650"/>
      <c r="N6650"/>
      <c r="O6650" s="24"/>
      <c r="P6650"/>
      <c r="Q6650" s="24"/>
      <c r="R6650"/>
      <c r="S6650"/>
      <c r="T6650"/>
      <c r="U6650"/>
      <c r="X6650" s="60"/>
    </row>
    <row r="6651" spans="7:24" ht="15" customHeight="1">
      <c r="G6651"/>
      <c r="I6651"/>
      <c r="N6651"/>
      <c r="O6651" s="24"/>
      <c r="P6651"/>
      <c r="Q6651" s="24"/>
      <c r="R6651"/>
      <c r="S6651"/>
      <c r="T6651"/>
      <c r="U6651"/>
      <c r="X6651" s="60"/>
    </row>
    <row r="6652" spans="7:24" ht="15" customHeight="1">
      <c r="G6652"/>
      <c r="I6652"/>
      <c r="N6652"/>
      <c r="O6652" s="24"/>
      <c r="P6652"/>
      <c r="Q6652" s="24"/>
      <c r="R6652"/>
      <c r="S6652"/>
      <c r="T6652"/>
      <c r="U6652"/>
      <c r="X6652" s="60"/>
    </row>
    <row r="6653" spans="7:24" ht="15" customHeight="1">
      <c r="G6653"/>
      <c r="I6653"/>
      <c r="N6653"/>
      <c r="O6653" s="24"/>
      <c r="P6653"/>
      <c r="Q6653" s="24"/>
      <c r="R6653"/>
      <c r="S6653"/>
      <c r="T6653"/>
      <c r="U6653"/>
      <c r="X6653" s="60"/>
    </row>
    <row r="6654" spans="7:24" ht="15" customHeight="1">
      <c r="G6654"/>
      <c r="I6654"/>
      <c r="N6654"/>
      <c r="O6654" s="24"/>
      <c r="P6654"/>
      <c r="Q6654" s="24"/>
      <c r="R6654"/>
      <c r="S6654"/>
      <c r="T6654"/>
      <c r="U6654"/>
      <c r="X6654" s="60"/>
    </row>
    <row r="6655" spans="7:24" ht="15" customHeight="1">
      <c r="G6655"/>
      <c r="I6655"/>
      <c r="N6655"/>
      <c r="O6655" s="24"/>
      <c r="P6655"/>
      <c r="Q6655" s="24"/>
      <c r="R6655"/>
      <c r="S6655"/>
      <c r="T6655"/>
      <c r="U6655"/>
      <c r="X6655" s="60"/>
    </row>
    <row r="6656" spans="7:24" ht="15" customHeight="1">
      <c r="G6656"/>
      <c r="I6656"/>
      <c r="N6656"/>
      <c r="O6656" s="24"/>
      <c r="P6656"/>
      <c r="Q6656" s="24"/>
      <c r="R6656"/>
      <c r="S6656"/>
      <c r="T6656"/>
      <c r="U6656"/>
      <c r="X6656" s="60"/>
    </row>
    <row r="6657" spans="7:24" ht="15" customHeight="1">
      <c r="G6657"/>
      <c r="I6657"/>
      <c r="N6657"/>
      <c r="O6657" s="24"/>
      <c r="P6657"/>
      <c r="Q6657" s="24"/>
      <c r="R6657"/>
      <c r="S6657"/>
      <c r="T6657"/>
      <c r="U6657"/>
      <c r="X6657" s="60"/>
    </row>
    <row r="6658" spans="7:24" ht="15" customHeight="1">
      <c r="G6658"/>
      <c r="I6658"/>
      <c r="N6658"/>
      <c r="O6658" s="24"/>
      <c r="P6658"/>
      <c r="Q6658" s="24"/>
      <c r="R6658"/>
      <c r="S6658"/>
      <c r="T6658"/>
      <c r="U6658"/>
      <c r="X6658" s="60"/>
    </row>
    <row r="6659" spans="7:24" ht="15" customHeight="1">
      <c r="G6659"/>
      <c r="I6659"/>
      <c r="N6659"/>
      <c r="O6659" s="24"/>
      <c r="P6659"/>
      <c r="Q6659" s="24"/>
      <c r="R6659"/>
      <c r="S6659"/>
      <c r="T6659"/>
      <c r="U6659"/>
      <c r="X6659" s="60"/>
    </row>
    <row r="6660" spans="7:24" ht="15" customHeight="1">
      <c r="G6660"/>
      <c r="I6660"/>
      <c r="N6660"/>
      <c r="O6660" s="24"/>
      <c r="P6660"/>
      <c r="Q6660" s="24"/>
      <c r="R6660"/>
      <c r="S6660"/>
      <c r="T6660"/>
      <c r="U6660"/>
      <c r="X6660" s="60"/>
    </row>
    <row r="6661" spans="7:24" ht="15" customHeight="1">
      <c r="G6661"/>
      <c r="I6661"/>
      <c r="N6661"/>
      <c r="O6661" s="24"/>
      <c r="P6661"/>
      <c r="Q6661" s="24"/>
      <c r="R6661"/>
      <c r="S6661"/>
      <c r="T6661"/>
      <c r="U6661"/>
      <c r="X6661" s="60"/>
    </row>
    <row r="6662" spans="7:24" ht="15" customHeight="1">
      <c r="G6662"/>
      <c r="I6662"/>
      <c r="N6662"/>
      <c r="O6662" s="24"/>
      <c r="P6662"/>
      <c r="Q6662" s="24"/>
      <c r="R6662"/>
      <c r="S6662"/>
      <c r="T6662"/>
      <c r="U6662"/>
      <c r="X6662" s="60"/>
    </row>
    <row r="6663" spans="7:24" ht="15" customHeight="1">
      <c r="G6663"/>
      <c r="I6663"/>
      <c r="N6663"/>
      <c r="O6663" s="24"/>
      <c r="P6663"/>
      <c r="Q6663" s="24"/>
      <c r="R6663"/>
      <c r="S6663"/>
      <c r="T6663"/>
      <c r="U6663"/>
      <c r="X6663" s="60"/>
    </row>
    <row r="6664" spans="7:24" ht="15" customHeight="1">
      <c r="G6664"/>
      <c r="I6664"/>
      <c r="N6664"/>
      <c r="O6664" s="24"/>
      <c r="P6664"/>
      <c r="Q6664" s="24"/>
      <c r="R6664"/>
      <c r="S6664"/>
      <c r="T6664"/>
      <c r="U6664"/>
      <c r="X6664" s="60"/>
    </row>
    <row r="6665" spans="7:24" ht="15" customHeight="1">
      <c r="G6665"/>
      <c r="I6665"/>
      <c r="N6665"/>
      <c r="O6665" s="24"/>
      <c r="P6665"/>
      <c r="Q6665" s="24"/>
      <c r="R6665"/>
      <c r="S6665"/>
      <c r="T6665"/>
      <c r="U6665"/>
      <c r="X6665" s="60"/>
    </row>
    <row r="6666" spans="7:24" ht="15" customHeight="1">
      <c r="G6666"/>
      <c r="I6666"/>
      <c r="N6666"/>
      <c r="O6666" s="24"/>
      <c r="P6666"/>
      <c r="Q6666" s="24"/>
      <c r="R6666"/>
      <c r="S6666"/>
      <c r="T6666"/>
      <c r="U6666"/>
      <c r="X6666" s="60"/>
    </row>
    <row r="6667" spans="7:24" ht="15" customHeight="1">
      <c r="G6667"/>
      <c r="I6667"/>
      <c r="N6667"/>
      <c r="O6667" s="24"/>
      <c r="P6667"/>
      <c r="Q6667" s="24"/>
      <c r="R6667"/>
      <c r="S6667"/>
      <c r="T6667"/>
      <c r="U6667"/>
      <c r="X6667" s="60"/>
    </row>
    <row r="6668" spans="7:24" ht="15" customHeight="1">
      <c r="G6668"/>
      <c r="I6668"/>
      <c r="N6668"/>
      <c r="O6668" s="24"/>
      <c r="P6668"/>
      <c r="Q6668" s="24"/>
      <c r="R6668"/>
      <c r="S6668"/>
      <c r="T6668"/>
      <c r="U6668"/>
      <c r="X6668" s="60"/>
    </row>
    <row r="6669" spans="7:24" ht="15" customHeight="1">
      <c r="G6669"/>
      <c r="I6669"/>
      <c r="N6669"/>
      <c r="O6669" s="24"/>
      <c r="P6669"/>
      <c r="Q6669" s="24"/>
      <c r="R6669"/>
      <c r="S6669"/>
      <c r="T6669"/>
      <c r="U6669"/>
      <c r="X6669" s="60"/>
    </row>
    <row r="6670" spans="7:24" ht="15" customHeight="1">
      <c r="G6670"/>
      <c r="I6670"/>
      <c r="N6670"/>
      <c r="O6670" s="24"/>
      <c r="P6670"/>
      <c r="Q6670" s="24"/>
      <c r="R6670"/>
      <c r="S6670"/>
      <c r="T6670"/>
      <c r="U6670"/>
      <c r="X6670" s="60"/>
    </row>
    <row r="6671" spans="7:24" ht="15" customHeight="1">
      <c r="G6671"/>
      <c r="I6671"/>
      <c r="N6671"/>
      <c r="O6671" s="24"/>
      <c r="P6671"/>
      <c r="Q6671" s="24"/>
      <c r="R6671"/>
      <c r="S6671"/>
      <c r="T6671"/>
      <c r="U6671"/>
      <c r="X6671" s="60"/>
    </row>
    <row r="6672" spans="7:24" ht="15" customHeight="1">
      <c r="G6672"/>
      <c r="I6672"/>
      <c r="N6672"/>
      <c r="O6672" s="24"/>
      <c r="P6672"/>
      <c r="Q6672" s="24"/>
      <c r="R6672"/>
      <c r="S6672"/>
      <c r="T6672"/>
      <c r="U6672"/>
      <c r="X6672" s="60"/>
    </row>
    <row r="6673" spans="7:24" ht="15" customHeight="1">
      <c r="G6673"/>
      <c r="I6673"/>
      <c r="N6673"/>
      <c r="O6673" s="24"/>
      <c r="P6673"/>
      <c r="Q6673" s="24"/>
      <c r="R6673"/>
      <c r="S6673"/>
      <c r="T6673"/>
      <c r="U6673"/>
      <c r="X6673" s="60"/>
    </row>
    <row r="6674" spans="7:24" ht="15" customHeight="1">
      <c r="G6674"/>
      <c r="I6674"/>
      <c r="N6674"/>
      <c r="O6674" s="24"/>
      <c r="P6674"/>
      <c r="Q6674" s="24"/>
      <c r="R6674"/>
      <c r="S6674"/>
      <c r="T6674"/>
      <c r="U6674"/>
      <c r="X6674" s="60"/>
    </row>
    <row r="6675" spans="7:24" ht="15" customHeight="1">
      <c r="G6675"/>
      <c r="I6675"/>
      <c r="N6675"/>
      <c r="O6675" s="24"/>
      <c r="P6675"/>
      <c r="Q6675" s="24"/>
      <c r="R6675"/>
      <c r="S6675"/>
      <c r="T6675"/>
      <c r="U6675"/>
      <c r="X6675" s="60"/>
    </row>
    <row r="6676" spans="7:24" ht="15" customHeight="1">
      <c r="G6676"/>
      <c r="I6676"/>
      <c r="N6676"/>
      <c r="O6676" s="24"/>
      <c r="P6676"/>
      <c r="Q6676" s="24"/>
      <c r="R6676"/>
      <c r="S6676"/>
      <c r="T6676"/>
      <c r="U6676"/>
      <c r="X6676" s="60"/>
    </row>
    <row r="6677" spans="7:24" ht="15" customHeight="1">
      <c r="G6677"/>
      <c r="I6677"/>
      <c r="N6677"/>
      <c r="O6677" s="24"/>
      <c r="P6677"/>
      <c r="Q6677" s="24"/>
      <c r="R6677"/>
      <c r="S6677"/>
      <c r="T6677"/>
      <c r="U6677"/>
      <c r="X6677" s="60"/>
    </row>
    <row r="6678" spans="7:24" ht="15" customHeight="1">
      <c r="G6678"/>
      <c r="I6678"/>
      <c r="N6678"/>
      <c r="O6678" s="24"/>
      <c r="P6678"/>
      <c r="Q6678" s="24"/>
      <c r="R6678"/>
      <c r="S6678"/>
      <c r="T6678"/>
      <c r="U6678"/>
      <c r="X6678" s="60"/>
    </row>
    <row r="6679" spans="7:24" ht="15" customHeight="1">
      <c r="G6679"/>
      <c r="I6679"/>
      <c r="N6679"/>
      <c r="O6679" s="24"/>
      <c r="P6679"/>
      <c r="Q6679" s="24"/>
      <c r="R6679"/>
      <c r="S6679"/>
      <c r="T6679"/>
      <c r="U6679"/>
      <c r="X6679" s="60"/>
    </row>
    <row r="6680" spans="7:24" ht="15" customHeight="1">
      <c r="G6680"/>
      <c r="I6680"/>
      <c r="N6680"/>
      <c r="O6680" s="24"/>
      <c r="P6680"/>
      <c r="Q6680" s="24"/>
      <c r="R6680"/>
      <c r="S6680"/>
      <c r="T6680"/>
      <c r="U6680"/>
      <c r="X6680" s="60"/>
    </row>
    <row r="6681" spans="7:24" ht="15" customHeight="1">
      <c r="G6681"/>
      <c r="I6681"/>
      <c r="N6681"/>
      <c r="O6681" s="24"/>
      <c r="P6681"/>
      <c r="Q6681" s="24"/>
      <c r="R6681"/>
      <c r="S6681"/>
      <c r="T6681"/>
      <c r="U6681"/>
      <c r="X6681" s="60"/>
    </row>
    <row r="6682" spans="7:24" ht="15" customHeight="1">
      <c r="G6682"/>
      <c r="I6682"/>
      <c r="N6682"/>
      <c r="O6682" s="24"/>
      <c r="P6682"/>
      <c r="Q6682" s="24"/>
      <c r="R6682"/>
      <c r="S6682"/>
      <c r="T6682"/>
      <c r="U6682"/>
      <c r="X6682" s="60"/>
    </row>
    <row r="6683" spans="7:24" ht="15" customHeight="1">
      <c r="G6683"/>
      <c r="I6683"/>
      <c r="N6683"/>
      <c r="O6683" s="24"/>
      <c r="P6683"/>
      <c r="Q6683" s="24"/>
      <c r="R6683"/>
      <c r="S6683"/>
      <c r="T6683"/>
      <c r="U6683"/>
      <c r="X6683" s="60"/>
    </row>
    <row r="6684" spans="7:24" ht="15" customHeight="1">
      <c r="G6684"/>
      <c r="I6684"/>
      <c r="N6684"/>
      <c r="O6684" s="24"/>
      <c r="P6684"/>
      <c r="Q6684" s="24"/>
      <c r="R6684"/>
      <c r="S6684"/>
      <c r="T6684"/>
      <c r="U6684"/>
      <c r="X6684" s="60"/>
    </row>
    <row r="6685" spans="7:24" ht="15" customHeight="1">
      <c r="G6685"/>
      <c r="I6685"/>
      <c r="N6685"/>
      <c r="O6685" s="24"/>
      <c r="P6685"/>
      <c r="Q6685" s="24"/>
      <c r="R6685"/>
      <c r="S6685"/>
      <c r="T6685"/>
      <c r="U6685"/>
      <c r="X6685" s="60"/>
    </row>
    <row r="6686" spans="7:24" ht="15" customHeight="1">
      <c r="G6686"/>
      <c r="I6686"/>
      <c r="N6686"/>
      <c r="O6686" s="24"/>
      <c r="P6686"/>
      <c r="Q6686" s="24"/>
      <c r="R6686"/>
      <c r="S6686"/>
      <c r="T6686"/>
      <c r="U6686"/>
      <c r="X6686" s="60"/>
    </row>
    <row r="6687" spans="7:24" ht="15" customHeight="1">
      <c r="G6687"/>
      <c r="I6687"/>
      <c r="N6687"/>
      <c r="O6687" s="24"/>
      <c r="P6687"/>
      <c r="Q6687" s="24"/>
      <c r="R6687"/>
      <c r="S6687"/>
      <c r="T6687"/>
      <c r="U6687"/>
      <c r="X6687" s="60"/>
    </row>
    <row r="6688" spans="7:24" ht="15" customHeight="1">
      <c r="G6688"/>
      <c r="I6688"/>
      <c r="N6688"/>
      <c r="O6688" s="24"/>
      <c r="P6688"/>
      <c r="Q6688" s="24"/>
      <c r="R6688"/>
      <c r="S6688"/>
      <c r="T6688"/>
      <c r="U6688"/>
      <c r="X6688" s="60"/>
    </row>
    <row r="6689" spans="7:24" ht="15" customHeight="1">
      <c r="G6689"/>
      <c r="I6689"/>
      <c r="N6689"/>
      <c r="O6689" s="24"/>
      <c r="P6689"/>
      <c r="Q6689" s="24"/>
      <c r="R6689"/>
      <c r="S6689"/>
      <c r="T6689"/>
      <c r="U6689"/>
      <c r="X6689" s="60"/>
    </row>
    <row r="6690" spans="7:24" ht="15" customHeight="1">
      <c r="G6690"/>
      <c r="I6690"/>
      <c r="N6690"/>
      <c r="O6690" s="24"/>
      <c r="P6690"/>
      <c r="Q6690" s="24"/>
      <c r="R6690"/>
      <c r="S6690"/>
      <c r="T6690"/>
      <c r="U6690"/>
      <c r="X6690" s="60"/>
    </row>
    <row r="6691" spans="7:24" ht="15" customHeight="1">
      <c r="G6691"/>
      <c r="I6691"/>
      <c r="N6691"/>
      <c r="O6691" s="24"/>
      <c r="P6691"/>
      <c r="Q6691" s="24"/>
      <c r="R6691"/>
      <c r="S6691"/>
      <c r="T6691"/>
      <c r="U6691"/>
      <c r="X6691" s="60"/>
    </row>
    <row r="6692" spans="7:24" ht="15" customHeight="1">
      <c r="G6692"/>
      <c r="I6692"/>
      <c r="N6692"/>
      <c r="O6692" s="24"/>
      <c r="P6692"/>
      <c r="Q6692" s="24"/>
      <c r="R6692"/>
      <c r="S6692"/>
      <c r="T6692"/>
      <c r="U6692"/>
      <c r="X6692" s="60"/>
    </row>
    <row r="6693" spans="7:24" ht="15" customHeight="1">
      <c r="G6693"/>
      <c r="I6693"/>
      <c r="N6693"/>
      <c r="O6693" s="24"/>
      <c r="P6693"/>
      <c r="Q6693" s="24"/>
      <c r="R6693"/>
      <c r="S6693"/>
      <c r="T6693"/>
      <c r="U6693"/>
      <c r="X6693" s="60"/>
    </row>
    <row r="6694" spans="7:24" ht="15" customHeight="1">
      <c r="G6694"/>
      <c r="I6694"/>
      <c r="N6694"/>
      <c r="O6694" s="24"/>
      <c r="P6694"/>
      <c r="Q6694" s="24"/>
      <c r="R6694"/>
      <c r="S6694"/>
      <c r="T6694"/>
      <c r="U6694"/>
      <c r="X6694" s="60"/>
    </row>
    <row r="6695" spans="7:24" ht="15" customHeight="1">
      <c r="G6695"/>
      <c r="I6695"/>
      <c r="N6695"/>
      <c r="O6695" s="24"/>
      <c r="P6695"/>
      <c r="Q6695" s="24"/>
      <c r="R6695"/>
      <c r="S6695"/>
      <c r="T6695"/>
      <c r="U6695"/>
      <c r="X6695" s="60"/>
    </row>
    <row r="6696" spans="7:24" ht="15" customHeight="1">
      <c r="G6696"/>
      <c r="I6696"/>
      <c r="N6696"/>
      <c r="O6696" s="24"/>
      <c r="P6696"/>
      <c r="Q6696" s="24"/>
      <c r="R6696"/>
      <c r="S6696"/>
      <c r="T6696"/>
      <c r="U6696"/>
      <c r="X6696" s="60"/>
    </row>
    <row r="6697" spans="7:24" ht="15" customHeight="1">
      <c r="G6697"/>
      <c r="I6697"/>
      <c r="N6697"/>
      <c r="O6697" s="24"/>
      <c r="P6697"/>
      <c r="Q6697" s="24"/>
      <c r="R6697"/>
      <c r="S6697"/>
      <c r="T6697"/>
      <c r="U6697"/>
      <c r="X6697" s="60"/>
    </row>
    <row r="6698" spans="7:24" ht="15" customHeight="1">
      <c r="G6698"/>
      <c r="I6698"/>
      <c r="N6698"/>
      <c r="O6698" s="24"/>
      <c r="P6698"/>
      <c r="Q6698" s="24"/>
      <c r="R6698"/>
      <c r="S6698"/>
      <c r="T6698"/>
      <c r="U6698"/>
      <c r="X6698" s="60"/>
    </row>
    <row r="6699" spans="7:24" ht="15" customHeight="1">
      <c r="G6699"/>
      <c r="I6699"/>
      <c r="N6699"/>
      <c r="O6699" s="24"/>
      <c r="P6699"/>
      <c r="Q6699" s="24"/>
      <c r="R6699"/>
      <c r="S6699"/>
      <c r="T6699"/>
      <c r="U6699"/>
      <c r="X6699" s="60"/>
    </row>
    <row r="6700" spans="7:24" ht="15" customHeight="1">
      <c r="G6700"/>
      <c r="I6700"/>
      <c r="N6700"/>
      <c r="O6700" s="24"/>
      <c r="P6700"/>
      <c r="Q6700" s="24"/>
      <c r="R6700"/>
      <c r="S6700"/>
      <c r="T6700"/>
      <c r="U6700"/>
      <c r="X6700" s="60"/>
    </row>
    <row r="6701" spans="7:24" ht="15" customHeight="1">
      <c r="G6701"/>
      <c r="I6701"/>
      <c r="N6701"/>
      <c r="O6701" s="24"/>
      <c r="P6701"/>
      <c r="Q6701" s="24"/>
      <c r="R6701"/>
      <c r="S6701"/>
      <c r="T6701"/>
      <c r="U6701"/>
      <c r="X6701" s="60"/>
    </row>
    <row r="6702" spans="7:24" ht="15" customHeight="1">
      <c r="G6702"/>
      <c r="I6702"/>
      <c r="N6702"/>
      <c r="O6702" s="24"/>
      <c r="P6702"/>
      <c r="Q6702" s="24"/>
      <c r="R6702"/>
      <c r="S6702"/>
      <c r="T6702"/>
      <c r="U6702"/>
      <c r="X6702" s="60"/>
    </row>
    <row r="6703" spans="7:24" ht="15" customHeight="1">
      <c r="G6703"/>
      <c r="I6703"/>
      <c r="N6703"/>
      <c r="O6703" s="24"/>
      <c r="P6703"/>
      <c r="Q6703" s="24"/>
      <c r="R6703"/>
      <c r="S6703"/>
      <c r="T6703"/>
      <c r="U6703"/>
      <c r="X6703" s="60"/>
    </row>
    <row r="6704" spans="7:24" ht="15" customHeight="1">
      <c r="G6704"/>
      <c r="I6704"/>
      <c r="N6704"/>
      <c r="O6704" s="24"/>
      <c r="P6704"/>
      <c r="Q6704" s="24"/>
      <c r="R6704"/>
      <c r="S6704"/>
      <c r="T6704"/>
      <c r="U6704"/>
      <c r="X6704" s="60"/>
    </row>
    <row r="6705" spans="7:24" ht="15" customHeight="1">
      <c r="G6705"/>
      <c r="I6705"/>
      <c r="N6705"/>
      <c r="O6705" s="24"/>
      <c r="P6705"/>
      <c r="Q6705" s="24"/>
      <c r="R6705"/>
      <c r="S6705"/>
      <c r="T6705"/>
      <c r="U6705"/>
      <c r="X6705" s="60"/>
    </row>
    <row r="6706" spans="7:24" ht="15" customHeight="1">
      <c r="G6706"/>
      <c r="I6706"/>
      <c r="N6706"/>
      <c r="O6706" s="24"/>
      <c r="P6706"/>
      <c r="Q6706" s="24"/>
      <c r="R6706"/>
      <c r="S6706"/>
      <c r="T6706"/>
      <c r="U6706"/>
      <c r="X6706" s="60"/>
    </row>
    <row r="6707" spans="7:24" ht="15" customHeight="1">
      <c r="G6707"/>
      <c r="I6707"/>
      <c r="N6707"/>
      <c r="O6707" s="24"/>
      <c r="P6707"/>
      <c r="Q6707" s="24"/>
      <c r="R6707"/>
      <c r="S6707"/>
      <c r="T6707"/>
      <c r="U6707"/>
      <c r="X6707" s="60"/>
    </row>
    <row r="6708" spans="7:24" ht="15" customHeight="1">
      <c r="G6708"/>
      <c r="I6708"/>
      <c r="N6708"/>
      <c r="O6708" s="24"/>
      <c r="P6708"/>
      <c r="Q6708" s="24"/>
      <c r="R6708"/>
      <c r="S6708"/>
      <c r="T6708"/>
      <c r="U6708"/>
      <c r="X6708" s="60"/>
    </row>
    <row r="6709" spans="7:24" ht="15" customHeight="1">
      <c r="G6709"/>
      <c r="I6709"/>
      <c r="N6709"/>
      <c r="O6709" s="24"/>
      <c r="P6709"/>
      <c r="Q6709" s="24"/>
      <c r="R6709"/>
      <c r="S6709"/>
      <c r="T6709"/>
      <c r="U6709"/>
      <c r="X6709" s="60"/>
    </row>
    <row r="6710" spans="7:24" ht="15" customHeight="1">
      <c r="G6710"/>
      <c r="I6710"/>
      <c r="N6710"/>
      <c r="O6710" s="24"/>
      <c r="P6710"/>
      <c r="Q6710" s="24"/>
      <c r="R6710"/>
      <c r="S6710"/>
      <c r="T6710"/>
      <c r="U6710"/>
      <c r="X6710" s="60"/>
    </row>
    <row r="6711" spans="7:24" ht="15" customHeight="1">
      <c r="G6711"/>
      <c r="I6711"/>
      <c r="N6711"/>
      <c r="O6711" s="24"/>
      <c r="P6711"/>
      <c r="Q6711" s="24"/>
      <c r="R6711"/>
      <c r="S6711"/>
      <c r="T6711"/>
      <c r="U6711"/>
      <c r="X6711" s="60"/>
    </row>
    <row r="6712" spans="7:24" ht="15" customHeight="1">
      <c r="G6712"/>
      <c r="I6712"/>
      <c r="N6712"/>
      <c r="O6712" s="24"/>
      <c r="P6712"/>
      <c r="Q6712" s="24"/>
      <c r="R6712"/>
      <c r="S6712"/>
      <c r="T6712"/>
      <c r="U6712"/>
      <c r="X6712" s="60"/>
    </row>
    <row r="6713" spans="7:24" ht="15" customHeight="1">
      <c r="G6713"/>
      <c r="I6713"/>
      <c r="N6713"/>
      <c r="O6713" s="24"/>
      <c r="P6713"/>
      <c r="Q6713" s="24"/>
      <c r="R6713"/>
      <c r="S6713"/>
      <c r="T6713"/>
      <c r="U6713"/>
      <c r="X6713" s="60"/>
    </row>
    <row r="6714" spans="7:24" ht="15" customHeight="1">
      <c r="G6714"/>
      <c r="I6714"/>
      <c r="N6714"/>
      <c r="O6714" s="24"/>
      <c r="P6714"/>
      <c r="Q6714" s="24"/>
      <c r="R6714"/>
      <c r="S6714"/>
      <c r="T6714"/>
      <c r="U6714"/>
      <c r="X6714" s="60"/>
    </row>
    <row r="6715" spans="7:24" ht="15" customHeight="1">
      <c r="G6715"/>
      <c r="I6715"/>
      <c r="N6715"/>
      <c r="O6715" s="24"/>
      <c r="P6715"/>
      <c r="Q6715" s="24"/>
      <c r="R6715"/>
      <c r="S6715"/>
      <c r="T6715"/>
      <c r="U6715"/>
      <c r="X6715" s="60"/>
    </row>
    <row r="6716" spans="7:24" ht="15" customHeight="1">
      <c r="G6716"/>
      <c r="I6716"/>
      <c r="N6716"/>
      <c r="O6716" s="24"/>
      <c r="P6716"/>
      <c r="Q6716" s="24"/>
      <c r="R6716"/>
      <c r="S6716"/>
      <c r="T6716"/>
      <c r="U6716"/>
      <c r="X6716" s="60"/>
    </row>
    <row r="6717" spans="7:24" ht="15" customHeight="1">
      <c r="G6717"/>
      <c r="I6717"/>
      <c r="N6717"/>
      <c r="O6717" s="24"/>
      <c r="P6717"/>
      <c r="Q6717" s="24"/>
      <c r="R6717"/>
      <c r="S6717"/>
      <c r="T6717"/>
      <c r="U6717"/>
      <c r="X6717" s="60"/>
    </row>
    <row r="6718" spans="7:24" ht="15" customHeight="1">
      <c r="G6718"/>
      <c r="I6718"/>
      <c r="N6718"/>
      <c r="O6718" s="24"/>
      <c r="P6718"/>
      <c r="Q6718" s="24"/>
      <c r="R6718"/>
      <c r="S6718"/>
      <c r="T6718"/>
      <c r="U6718"/>
      <c r="X6718" s="60"/>
    </row>
    <row r="6719" spans="7:24" ht="15" customHeight="1">
      <c r="G6719"/>
      <c r="I6719"/>
      <c r="N6719"/>
      <c r="O6719" s="24"/>
      <c r="P6719"/>
      <c r="Q6719" s="24"/>
      <c r="R6719"/>
      <c r="S6719"/>
      <c r="T6719"/>
      <c r="U6719"/>
      <c r="X6719" s="60"/>
    </row>
    <row r="6720" spans="7:24" ht="15" customHeight="1">
      <c r="G6720"/>
      <c r="I6720"/>
      <c r="N6720"/>
      <c r="O6720" s="24"/>
      <c r="P6720"/>
      <c r="Q6720" s="24"/>
      <c r="R6720"/>
      <c r="S6720"/>
      <c r="T6720"/>
      <c r="U6720"/>
      <c r="X6720" s="60"/>
    </row>
    <row r="6721" spans="7:24" ht="15" customHeight="1">
      <c r="G6721"/>
      <c r="I6721"/>
      <c r="N6721"/>
      <c r="O6721" s="24"/>
      <c r="P6721"/>
      <c r="Q6721" s="24"/>
      <c r="R6721"/>
      <c r="S6721"/>
      <c r="T6721"/>
      <c r="U6721"/>
      <c r="X6721" s="60"/>
    </row>
    <row r="6722" spans="7:24" ht="15" customHeight="1">
      <c r="G6722"/>
      <c r="I6722"/>
      <c r="N6722"/>
      <c r="O6722" s="24"/>
      <c r="P6722"/>
      <c r="Q6722" s="24"/>
      <c r="R6722"/>
      <c r="S6722"/>
      <c r="T6722"/>
      <c r="U6722"/>
      <c r="X6722" s="60"/>
    </row>
    <row r="6723" spans="7:24" ht="15" customHeight="1">
      <c r="G6723"/>
      <c r="I6723"/>
      <c r="N6723"/>
      <c r="O6723" s="24"/>
      <c r="P6723"/>
      <c r="Q6723" s="24"/>
      <c r="R6723"/>
      <c r="S6723"/>
      <c r="T6723"/>
      <c r="U6723"/>
      <c r="X6723" s="60"/>
    </row>
    <row r="6724" spans="7:24" ht="15" customHeight="1">
      <c r="G6724"/>
      <c r="I6724"/>
      <c r="N6724"/>
      <c r="O6724" s="24"/>
      <c r="P6724"/>
      <c r="Q6724" s="24"/>
      <c r="R6724"/>
      <c r="S6724"/>
      <c r="T6724"/>
      <c r="U6724"/>
      <c r="X6724" s="60"/>
    </row>
    <row r="6725" spans="7:24" ht="15" customHeight="1">
      <c r="G6725"/>
      <c r="I6725"/>
      <c r="N6725"/>
      <c r="O6725" s="24"/>
      <c r="P6725"/>
      <c r="Q6725" s="24"/>
      <c r="R6725"/>
      <c r="S6725"/>
      <c r="T6725"/>
      <c r="U6725"/>
      <c r="X6725" s="60"/>
    </row>
    <row r="6726" spans="7:24" ht="15" customHeight="1">
      <c r="G6726"/>
      <c r="I6726"/>
      <c r="N6726"/>
      <c r="O6726" s="24"/>
      <c r="P6726"/>
      <c r="Q6726" s="24"/>
      <c r="R6726"/>
      <c r="S6726"/>
      <c r="T6726"/>
      <c r="U6726"/>
      <c r="X6726" s="60"/>
    </row>
    <row r="6727" spans="7:24" ht="15" customHeight="1">
      <c r="G6727"/>
      <c r="I6727"/>
      <c r="N6727"/>
      <c r="O6727" s="24"/>
      <c r="P6727"/>
      <c r="Q6727" s="24"/>
      <c r="R6727"/>
      <c r="S6727"/>
      <c r="T6727"/>
      <c r="U6727"/>
      <c r="X6727" s="60"/>
    </row>
    <row r="6728" spans="7:24" ht="15" customHeight="1">
      <c r="G6728"/>
      <c r="I6728"/>
      <c r="N6728"/>
      <c r="O6728" s="24"/>
      <c r="P6728"/>
      <c r="Q6728" s="24"/>
      <c r="R6728"/>
      <c r="S6728"/>
      <c r="T6728"/>
      <c r="U6728"/>
      <c r="X6728" s="60"/>
    </row>
    <row r="6729" spans="7:24" ht="15" customHeight="1">
      <c r="G6729"/>
      <c r="I6729"/>
      <c r="N6729"/>
      <c r="O6729" s="24"/>
      <c r="P6729"/>
      <c r="Q6729" s="24"/>
      <c r="R6729"/>
      <c r="S6729"/>
      <c r="T6729"/>
      <c r="U6729"/>
      <c r="X6729" s="60"/>
    </row>
    <row r="6730" spans="7:24" ht="15" customHeight="1">
      <c r="G6730"/>
      <c r="I6730"/>
      <c r="N6730"/>
      <c r="O6730" s="24"/>
      <c r="P6730"/>
      <c r="Q6730" s="24"/>
      <c r="R6730"/>
      <c r="S6730"/>
      <c r="T6730"/>
      <c r="U6730"/>
      <c r="X6730" s="60"/>
    </row>
    <row r="6731" spans="7:24" ht="15" customHeight="1">
      <c r="G6731"/>
      <c r="I6731"/>
      <c r="N6731"/>
      <c r="O6731" s="24"/>
      <c r="P6731"/>
      <c r="Q6731" s="24"/>
      <c r="R6731"/>
      <c r="S6731"/>
      <c r="T6731"/>
      <c r="U6731"/>
      <c r="X6731" s="60"/>
    </row>
    <row r="6732" spans="7:24" ht="15" customHeight="1">
      <c r="G6732"/>
      <c r="I6732"/>
      <c r="N6732"/>
      <c r="O6732" s="24"/>
      <c r="P6732"/>
      <c r="Q6732" s="24"/>
      <c r="R6732"/>
      <c r="S6732"/>
      <c r="T6732"/>
      <c r="U6732"/>
      <c r="X6732" s="60"/>
    </row>
    <row r="6733" spans="7:24" ht="15" customHeight="1">
      <c r="G6733"/>
      <c r="I6733"/>
      <c r="N6733"/>
      <c r="O6733" s="24"/>
      <c r="P6733"/>
      <c r="Q6733" s="24"/>
      <c r="R6733"/>
      <c r="S6733"/>
      <c r="T6733"/>
      <c r="U6733"/>
      <c r="X6733" s="60"/>
    </row>
    <row r="6734" spans="7:24" ht="15" customHeight="1">
      <c r="G6734"/>
      <c r="I6734"/>
      <c r="N6734"/>
      <c r="O6734" s="24"/>
      <c r="P6734"/>
      <c r="Q6734" s="24"/>
      <c r="R6734"/>
      <c r="S6734"/>
      <c r="T6734"/>
      <c r="U6734"/>
      <c r="X6734" s="60"/>
    </row>
    <row r="6735" spans="7:24" ht="15" customHeight="1">
      <c r="G6735"/>
      <c r="I6735"/>
      <c r="N6735"/>
      <c r="O6735" s="24"/>
      <c r="P6735"/>
      <c r="Q6735" s="24"/>
      <c r="R6735"/>
      <c r="S6735"/>
      <c r="T6735"/>
      <c r="U6735"/>
      <c r="X6735" s="60"/>
    </row>
    <row r="6736" spans="7:24" ht="15" customHeight="1">
      <c r="G6736"/>
      <c r="I6736"/>
      <c r="N6736"/>
      <c r="O6736" s="24"/>
      <c r="P6736"/>
      <c r="Q6736" s="24"/>
      <c r="R6736"/>
      <c r="S6736"/>
      <c r="T6736"/>
      <c r="U6736"/>
      <c r="X6736" s="60"/>
    </row>
    <row r="6737" spans="7:24" ht="15" customHeight="1">
      <c r="G6737"/>
      <c r="I6737"/>
      <c r="N6737"/>
      <c r="O6737" s="24"/>
      <c r="P6737"/>
      <c r="Q6737" s="24"/>
      <c r="R6737"/>
      <c r="S6737"/>
      <c r="T6737"/>
      <c r="U6737"/>
      <c r="X6737" s="60"/>
    </row>
    <row r="6738" spans="7:24" ht="15" customHeight="1">
      <c r="G6738"/>
      <c r="I6738"/>
      <c r="N6738"/>
      <c r="O6738" s="24"/>
      <c r="P6738"/>
      <c r="Q6738" s="24"/>
      <c r="R6738"/>
      <c r="S6738"/>
      <c r="T6738"/>
      <c r="U6738"/>
      <c r="X6738" s="60"/>
    </row>
    <row r="6739" spans="7:24" ht="15" customHeight="1">
      <c r="G6739"/>
      <c r="I6739"/>
      <c r="N6739"/>
      <c r="O6739" s="24"/>
      <c r="P6739"/>
      <c r="Q6739" s="24"/>
      <c r="R6739"/>
      <c r="S6739"/>
      <c r="T6739"/>
      <c r="U6739"/>
      <c r="X6739" s="60"/>
    </row>
    <row r="6740" spans="7:24" ht="15" customHeight="1">
      <c r="G6740"/>
      <c r="I6740"/>
      <c r="N6740"/>
      <c r="O6740" s="24"/>
      <c r="P6740"/>
      <c r="Q6740" s="24"/>
      <c r="R6740"/>
      <c r="S6740"/>
      <c r="T6740"/>
      <c r="U6740"/>
      <c r="X6740" s="60"/>
    </row>
    <row r="6741" spans="7:24" ht="15" customHeight="1">
      <c r="G6741"/>
      <c r="I6741"/>
      <c r="N6741"/>
      <c r="O6741" s="24"/>
      <c r="P6741"/>
      <c r="Q6741" s="24"/>
      <c r="R6741"/>
      <c r="S6741"/>
      <c r="T6741"/>
      <c r="U6741"/>
      <c r="X6741" s="60"/>
    </row>
    <row r="6742" spans="7:24" ht="15" customHeight="1">
      <c r="G6742"/>
      <c r="I6742"/>
      <c r="N6742"/>
      <c r="O6742" s="24"/>
      <c r="P6742"/>
      <c r="Q6742" s="24"/>
      <c r="R6742"/>
      <c r="S6742"/>
      <c r="T6742"/>
      <c r="U6742"/>
      <c r="X6742" s="60"/>
    </row>
    <row r="6743" spans="7:24" ht="15" customHeight="1">
      <c r="G6743"/>
      <c r="I6743"/>
      <c r="N6743"/>
      <c r="O6743" s="24"/>
      <c r="P6743"/>
      <c r="Q6743" s="24"/>
      <c r="R6743"/>
      <c r="S6743"/>
      <c r="T6743"/>
      <c r="U6743"/>
      <c r="X6743" s="60"/>
    </row>
    <row r="6744" spans="7:24" ht="15" customHeight="1">
      <c r="G6744"/>
      <c r="I6744"/>
      <c r="N6744"/>
      <c r="O6744" s="24"/>
      <c r="P6744"/>
      <c r="Q6744" s="24"/>
      <c r="R6744"/>
      <c r="S6744"/>
      <c r="T6744"/>
      <c r="U6744"/>
      <c r="X6744" s="60"/>
    </row>
    <row r="6745" spans="7:24" ht="15" customHeight="1">
      <c r="G6745"/>
      <c r="I6745"/>
      <c r="N6745"/>
      <c r="O6745" s="24"/>
      <c r="P6745"/>
      <c r="Q6745" s="24"/>
      <c r="R6745"/>
      <c r="S6745"/>
      <c r="T6745"/>
      <c r="U6745"/>
      <c r="X6745" s="60"/>
    </row>
    <row r="6746" spans="7:24" ht="15" customHeight="1">
      <c r="G6746"/>
      <c r="I6746"/>
      <c r="N6746"/>
      <c r="O6746" s="24"/>
      <c r="P6746"/>
      <c r="Q6746" s="24"/>
      <c r="R6746"/>
      <c r="S6746"/>
      <c r="T6746"/>
      <c r="U6746"/>
      <c r="X6746" s="60"/>
    </row>
    <row r="6747" spans="7:24" ht="15" customHeight="1">
      <c r="G6747"/>
      <c r="I6747"/>
      <c r="N6747"/>
      <c r="O6747" s="24"/>
      <c r="P6747"/>
      <c r="Q6747" s="24"/>
      <c r="R6747"/>
      <c r="S6747"/>
      <c r="T6747"/>
      <c r="U6747"/>
      <c r="X6747" s="60"/>
    </row>
    <row r="6748" spans="7:24" ht="15" customHeight="1">
      <c r="G6748"/>
      <c r="I6748"/>
      <c r="N6748"/>
      <c r="O6748" s="24"/>
      <c r="P6748"/>
      <c r="Q6748" s="24"/>
      <c r="R6748"/>
      <c r="S6748"/>
      <c r="T6748"/>
      <c r="U6748"/>
      <c r="X6748" s="60"/>
    </row>
    <row r="6749" spans="7:24" ht="15" customHeight="1">
      <c r="G6749"/>
      <c r="I6749"/>
      <c r="N6749"/>
      <c r="O6749" s="24"/>
      <c r="P6749"/>
      <c r="Q6749" s="24"/>
      <c r="R6749"/>
      <c r="S6749"/>
      <c r="T6749"/>
      <c r="U6749"/>
      <c r="X6749" s="60"/>
    </row>
    <row r="6750" spans="7:24" ht="15" customHeight="1">
      <c r="G6750"/>
      <c r="I6750"/>
      <c r="N6750"/>
      <c r="O6750" s="24"/>
      <c r="P6750"/>
      <c r="Q6750" s="24"/>
      <c r="R6750"/>
      <c r="S6750"/>
      <c r="T6750"/>
      <c r="U6750"/>
      <c r="X6750" s="60"/>
    </row>
    <row r="6751" spans="7:24" ht="15" customHeight="1">
      <c r="G6751"/>
      <c r="I6751"/>
      <c r="N6751"/>
      <c r="O6751" s="24"/>
      <c r="P6751"/>
      <c r="Q6751" s="24"/>
      <c r="R6751"/>
      <c r="S6751"/>
      <c r="T6751"/>
      <c r="U6751"/>
      <c r="X6751" s="60"/>
    </row>
    <row r="6752" spans="7:24" ht="15" customHeight="1">
      <c r="G6752"/>
      <c r="I6752"/>
      <c r="N6752"/>
      <c r="O6752" s="24"/>
      <c r="P6752"/>
      <c r="Q6752" s="24"/>
      <c r="R6752"/>
      <c r="S6752"/>
      <c r="T6752"/>
      <c r="U6752"/>
      <c r="X6752" s="60"/>
    </row>
    <row r="6753" spans="7:24" ht="15" customHeight="1">
      <c r="G6753"/>
      <c r="I6753"/>
      <c r="N6753"/>
      <c r="O6753" s="24"/>
      <c r="P6753"/>
      <c r="Q6753" s="24"/>
      <c r="R6753"/>
      <c r="S6753"/>
      <c r="T6753"/>
      <c r="U6753"/>
      <c r="X6753" s="60"/>
    </row>
    <row r="6754" spans="7:24" ht="15" customHeight="1">
      <c r="G6754"/>
      <c r="I6754"/>
      <c r="N6754"/>
      <c r="O6754" s="24"/>
      <c r="P6754"/>
      <c r="Q6754" s="24"/>
      <c r="R6754"/>
      <c r="S6754"/>
      <c r="T6754"/>
      <c r="U6754"/>
      <c r="X6754" s="60"/>
    </row>
    <row r="6755" spans="7:24" ht="15" customHeight="1">
      <c r="G6755"/>
      <c r="I6755"/>
      <c r="N6755"/>
      <c r="O6755" s="24"/>
      <c r="P6755"/>
      <c r="Q6755" s="24"/>
      <c r="R6755"/>
      <c r="S6755"/>
      <c r="T6755"/>
      <c r="U6755"/>
      <c r="X6755" s="60"/>
    </row>
    <row r="6756" spans="7:24" ht="15" customHeight="1">
      <c r="G6756"/>
      <c r="I6756"/>
      <c r="N6756"/>
      <c r="O6756" s="24"/>
      <c r="P6756"/>
      <c r="Q6756" s="24"/>
      <c r="R6756"/>
      <c r="S6756"/>
      <c r="T6756"/>
      <c r="U6756"/>
      <c r="X6756" s="60"/>
    </row>
    <row r="6757" spans="7:24" ht="15" customHeight="1">
      <c r="G6757"/>
      <c r="I6757"/>
      <c r="N6757"/>
      <c r="O6757" s="24"/>
      <c r="P6757"/>
      <c r="Q6757" s="24"/>
      <c r="R6757"/>
      <c r="S6757"/>
      <c r="T6757"/>
      <c r="U6757"/>
      <c r="X6757" s="60"/>
    </row>
    <row r="6758" spans="7:24" ht="15" customHeight="1">
      <c r="G6758"/>
      <c r="I6758"/>
      <c r="N6758"/>
      <c r="O6758" s="24"/>
      <c r="P6758"/>
      <c r="Q6758" s="24"/>
      <c r="R6758"/>
      <c r="S6758"/>
      <c r="T6758"/>
      <c r="U6758"/>
      <c r="X6758" s="60"/>
    </row>
    <row r="6759" spans="7:24" ht="15" customHeight="1">
      <c r="G6759"/>
      <c r="I6759"/>
      <c r="N6759"/>
      <c r="O6759" s="24"/>
      <c r="P6759"/>
      <c r="Q6759" s="24"/>
      <c r="R6759"/>
      <c r="S6759"/>
      <c r="T6759"/>
      <c r="U6759"/>
      <c r="X6759" s="60"/>
    </row>
    <row r="6760" spans="7:24" ht="15" customHeight="1">
      <c r="G6760"/>
      <c r="I6760"/>
      <c r="N6760"/>
      <c r="O6760" s="24"/>
      <c r="P6760"/>
      <c r="Q6760" s="24"/>
      <c r="R6760"/>
      <c r="S6760"/>
      <c r="T6760"/>
      <c r="U6760"/>
      <c r="X6760" s="60"/>
    </row>
    <row r="6761" spans="7:24" ht="15" customHeight="1">
      <c r="G6761"/>
      <c r="I6761"/>
      <c r="N6761"/>
      <c r="O6761" s="24"/>
      <c r="P6761"/>
      <c r="Q6761" s="24"/>
      <c r="R6761"/>
      <c r="S6761"/>
      <c r="T6761"/>
      <c r="U6761"/>
      <c r="X6761" s="60"/>
    </row>
    <row r="6762" spans="7:24" ht="15" customHeight="1">
      <c r="G6762"/>
      <c r="I6762"/>
      <c r="N6762"/>
      <c r="O6762" s="24"/>
      <c r="P6762"/>
      <c r="Q6762" s="24"/>
      <c r="R6762"/>
      <c r="S6762"/>
      <c r="T6762"/>
      <c r="U6762"/>
      <c r="X6762" s="60"/>
    </row>
    <row r="6763" spans="7:24" ht="15" customHeight="1">
      <c r="G6763"/>
      <c r="I6763"/>
      <c r="N6763"/>
      <c r="O6763" s="24"/>
      <c r="P6763"/>
      <c r="Q6763" s="24"/>
      <c r="R6763"/>
      <c r="S6763"/>
      <c r="T6763"/>
      <c r="U6763"/>
      <c r="X6763" s="60"/>
    </row>
    <row r="6764" spans="7:24" ht="15" customHeight="1">
      <c r="G6764"/>
      <c r="I6764"/>
      <c r="N6764"/>
      <c r="O6764" s="24"/>
      <c r="P6764"/>
      <c r="Q6764" s="24"/>
      <c r="R6764"/>
      <c r="S6764"/>
      <c r="T6764"/>
      <c r="U6764"/>
      <c r="X6764" s="60"/>
    </row>
    <row r="6765" spans="7:24" ht="15" customHeight="1">
      <c r="G6765"/>
      <c r="I6765"/>
      <c r="N6765"/>
      <c r="O6765" s="24"/>
      <c r="P6765"/>
      <c r="Q6765" s="24"/>
      <c r="R6765"/>
      <c r="S6765"/>
      <c r="T6765"/>
      <c r="U6765"/>
      <c r="X6765" s="60"/>
    </row>
    <row r="6766" spans="7:24" ht="15" customHeight="1">
      <c r="G6766"/>
      <c r="I6766"/>
      <c r="N6766"/>
      <c r="O6766" s="24"/>
      <c r="P6766"/>
      <c r="Q6766" s="24"/>
      <c r="R6766"/>
      <c r="S6766"/>
      <c r="T6766"/>
      <c r="U6766"/>
      <c r="X6766" s="60"/>
    </row>
    <row r="6767" spans="7:24" ht="15" customHeight="1">
      <c r="G6767"/>
      <c r="I6767"/>
      <c r="N6767"/>
      <c r="O6767" s="24"/>
      <c r="P6767"/>
      <c r="Q6767" s="24"/>
      <c r="R6767"/>
      <c r="S6767"/>
      <c r="T6767"/>
      <c r="U6767"/>
      <c r="X6767" s="60"/>
    </row>
    <row r="6768" spans="7:24" ht="15" customHeight="1">
      <c r="G6768"/>
      <c r="I6768"/>
      <c r="N6768"/>
      <c r="O6768" s="24"/>
      <c r="P6768"/>
      <c r="Q6768" s="24"/>
      <c r="R6768"/>
      <c r="S6768"/>
      <c r="T6768"/>
      <c r="U6768"/>
      <c r="X6768" s="60"/>
    </row>
    <row r="6769" spans="7:24" ht="15" customHeight="1">
      <c r="G6769"/>
      <c r="I6769"/>
      <c r="N6769"/>
      <c r="O6769" s="24"/>
      <c r="P6769"/>
      <c r="Q6769" s="24"/>
      <c r="R6769"/>
      <c r="S6769"/>
      <c r="T6769"/>
      <c r="U6769"/>
      <c r="X6769" s="60"/>
    </row>
    <row r="6770" spans="7:24" ht="15" customHeight="1">
      <c r="G6770"/>
      <c r="I6770"/>
      <c r="N6770"/>
      <c r="O6770" s="24"/>
      <c r="P6770"/>
      <c r="Q6770" s="24"/>
      <c r="R6770"/>
      <c r="S6770"/>
      <c r="T6770"/>
      <c r="U6770"/>
      <c r="X6770" s="60"/>
    </row>
    <row r="6771" spans="7:24" ht="15" customHeight="1">
      <c r="G6771"/>
      <c r="I6771"/>
      <c r="N6771"/>
      <c r="O6771" s="24"/>
      <c r="P6771"/>
      <c r="Q6771" s="24"/>
      <c r="R6771"/>
      <c r="S6771"/>
      <c r="T6771"/>
      <c r="U6771"/>
      <c r="X6771" s="60"/>
    </row>
    <row r="6772" spans="7:24" ht="15" customHeight="1">
      <c r="G6772"/>
      <c r="I6772"/>
      <c r="N6772"/>
      <c r="O6772" s="24"/>
      <c r="P6772"/>
      <c r="Q6772" s="24"/>
      <c r="R6772"/>
      <c r="S6772"/>
      <c r="T6772"/>
      <c r="U6772"/>
      <c r="X6772" s="60"/>
    </row>
    <row r="6773" spans="7:24" ht="15" customHeight="1">
      <c r="G6773"/>
      <c r="I6773"/>
      <c r="N6773"/>
      <c r="O6773" s="24"/>
      <c r="P6773"/>
      <c r="Q6773" s="24"/>
      <c r="R6773"/>
      <c r="S6773"/>
      <c r="T6773"/>
      <c r="U6773"/>
      <c r="X6773" s="60"/>
    </row>
    <row r="6774" spans="7:24" ht="15" customHeight="1">
      <c r="G6774"/>
      <c r="I6774"/>
      <c r="N6774"/>
      <c r="O6774" s="24"/>
      <c r="P6774"/>
      <c r="Q6774" s="24"/>
      <c r="R6774"/>
      <c r="S6774"/>
      <c r="T6774"/>
      <c r="U6774"/>
      <c r="X6774" s="60"/>
    </row>
    <row r="6775" spans="7:24" ht="15" customHeight="1">
      <c r="G6775"/>
      <c r="I6775"/>
      <c r="N6775"/>
      <c r="O6775" s="24"/>
      <c r="P6775"/>
      <c r="Q6775" s="24"/>
      <c r="R6775"/>
      <c r="S6775"/>
      <c r="T6775"/>
      <c r="U6775"/>
      <c r="X6775" s="60"/>
    </row>
    <row r="6776" spans="7:24" ht="15" customHeight="1">
      <c r="G6776"/>
      <c r="I6776"/>
      <c r="N6776"/>
      <c r="O6776" s="24"/>
      <c r="P6776"/>
      <c r="Q6776" s="24"/>
      <c r="R6776"/>
      <c r="S6776"/>
      <c r="T6776"/>
      <c r="U6776"/>
      <c r="X6776" s="60"/>
    </row>
    <row r="6777" spans="7:24" ht="15" customHeight="1">
      <c r="G6777"/>
      <c r="I6777"/>
      <c r="N6777"/>
      <c r="O6777" s="24"/>
      <c r="P6777"/>
      <c r="Q6777" s="24"/>
      <c r="R6777"/>
      <c r="S6777"/>
      <c r="T6777"/>
      <c r="U6777"/>
      <c r="X6777" s="60"/>
    </row>
    <row r="6778" spans="7:24" ht="15" customHeight="1">
      <c r="G6778"/>
      <c r="I6778"/>
      <c r="N6778"/>
      <c r="O6778" s="24"/>
      <c r="P6778"/>
      <c r="Q6778" s="24"/>
      <c r="R6778"/>
      <c r="S6778"/>
      <c r="T6778"/>
      <c r="U6778"/>
      <c r="X6778" s="60"/>
    </row>
    <row r="6779" spans="7:24" ht="15" customHeight="1">
      <c r="G6779"/>
      <c r="I6779"/>
      <c r="N6779"/>
      <c r="O6779" s="24"/>
      <c r="P6779"/>
      <c r="Q6779" s="24"/>
      <c r="R6779"/>
      <c r="S6779"/>
      <c r="T6779"/>
      <c r="U6779"/>
      <c r="X6779" s="60"/>
    </row>
    <row r="6780" spans="7:24" ht="15" customHeight="1">
      <c r="G6780"/>
      <c r="I6780"/>
      <c r="N6780"/>
      <c r="O6780" s="24"/>
      <c r="P6780"/>
      <c r="Q6780" s="24"/>
      <c r="R6780"/>
      <c r="S6780"/>
      <c r="T6780"/>
      <c r="U6780"/>
      <c r="X6780" s="60"/>
    </row>
    <row r="6781" spans="7:24" ht="15" customHeight="1">
      <c r="G6781"/>
      <c r="I6781"/>
      <c r="N6781"/>
      <c r="O6781" s="24"/>
      <c r="P6781"/>
      <c r="Q6781" s="24"/>
      <c r="R6781"/>
      <c r="S6781"/>
      <c r="T6781"/>
      <c r="U6781"/>
      <c r="X6781" s="60"/>
    </row>
    <row r="6782" spans="7:24" ht="15" customHeight="1">
      <c r="G6782"/>
      <c r="I6782"/>
      <c r="N6782"/>
      <c r="O6782" s="24"/>
      <c r="P6782"/>
      <c r="Q6782" s="24"/>
      <c r="R6782"/>
      <c r="S6782"/>
      <c r="T6782"/>
      <c r="U6782"/>
      <c r="X6782" s="60"/>
    </row>
    <row r="6783" spans="7:24" ht="15" customHeight="1">
      <c r="G6783"/>
      <c r="I6783"/>
      <c r="N6783"/>
      <c r="O6783" s="24"/>
      <c r="P6783"/>
      <c r="Q6783" s="24"/>
      <c r="R6783"/>
      <c r="S6783"/>
      <c r="T6783"/>
      <c r="U6783"/>
      <c r="X6783" s="60"/>
    </row>
    <row r="6784" spans="7:24" ht="15" customHeight="1">
      <c r="G6784"/>
      <c r="I6784"/>
      <c r="N6784"/>
      <c r="O6784" s="24"/>
      <c r="P6784"/>
      <c r="Q6784" s="24"/>
      <c r="R6784"/>
      <c r="S6784"/>
      <c r="T6784"/>
      <c r="U6784"/>
      <c r="X6784" s="60"/>
    </row>
    <row r="6785" spans="7:24" ht="15" customHeight="1">
      <c r="G6785"/>
      <c r="I6785"/>
      <c r="N6785"/>
      <c r="O6785" s="24"/>
      <c r="P6785"/>
      <c r="Q6785" s="24"/>
      <c r="R6785"/>
      <c r="S6785"/>
      <c r="T6785"/>
      <c r="U6785"/>
      <c r="X6785" s="60"/>
    </row>
    <row r="6786" spans="7:24" ht="15" customHeight="1">
      <c r="G6786"/>
      <c r="I6786"/>
      <c r="N6786"/>
      <c r="O6786" s="24"/>
      <c r="P6786"/>
      <c r="Q6786" s="24"/>
      <c r="R6786"/>
      <c r="S6786"/>
      <c r="T6786"/>
      <c r="U6786"/>
      <c r="X6786" s="60"/>
    </row>
    <row r="6787" spans="7:24" ht="15" customHeight="1">
      <c r="G6787"/>
      <c r="I6787"/>
      <c r="N6787"/>
      <c r="O6787" s="24"/>
      <c r="P6787"/>
      <c r="Q6787" s="24"/>
      <c r="R6787"/>
      <c r="S6787"/>
      <c r="T6787"/>
      <c r="U6787"/>
      <c r="X6787" s="60"/>
    </row>
    <row r="6788" spans="7:24" ht="15" customHeight="1">
      <c r="G6788"/>
      <c r="I6788"/>
      <c r="N6788"/>
      <c r="O6788" s="24"/>
      <c r="P6788"/>
      <c r="Q6788" s="24"/>
      <c r="R6788"/>
      <c r="S6788"/>
      <c r="T6788"/>
      <c r="U6788"/>
      <c r="X6788" s="60"/>
    </row>
    <row r="6789" spans="7:24" ht="15" customHeight="1">
      <c r="G6789"/>
      <c r="I6789"/>
      <c r="N6789"/>
      <c r="O6789" s="24"/>
      <c r="P6789"/>
      <c r="Q6789" s="24"/>
      <c r="R6789"/>
      <c r="S6789"/>
      <c r="T6789"/>
      <c r="U6789"/>
      <c r="X6789" s="60"/>
    </row>
    <row r="6790" spans="7:24" ht="15" customHeight="1">
      <c r="G6790"/>
      <c r="I6790"/>
      <c r="N6790"/>
      <c r="O6790" s="24"/>
      <c r="P6790"/>
      <c r="Q6790" s="24"/>
      <c r="R6790"/>
      <c r="S6790"/>
      <c r="T6790"/>
      <c r="U6790"/>
      <c r="X6790" s="60"/>
    </row>
    <row r="6791" spans="7:24" ht="15" customHeight="1">
      <c r="G6791"/>
      <c r="I6791"/>
      <c r="N6791"/>
      <c r="O6791" s="24"/>
      <c r="P6791"/>
      <c r="Q6791" s="24"/>
      <c r="R6791"/>
      <c r="S6791"/>
      <c r="T6791"/>
      <c r="U6791"/>
      <c r="X6791" s="60"/>
    </row>
    <row r="6792" spans="7:24" ht="15" customHeight="1">
      <c r="G6792"/>
      <c r="I6792"/>
      <c r="N6792"/>
      <c r="O6792" s="24"/>
      <c r="P6792"/>
      <c r="Q6792" s="24"/>
      <c r="R6792"/>
      <c r="S6792"/>
      <c r="T6792"/>
      <c r="U6792"/>
      <c r="X6792" s="60"/>
    </row>
    <row r="6793" spans="7:24" ht="15" customHeight="1">
      <c r="G6793"/>
      <c r="I6793"/>
      <c r="N6793"/>
      <c r="O6793" s="24"/>
      <c r="P6793"/>
      <c r="Q6793" s="24"/>
      <c r="R6793"/>
      <c r="S6793"/>
      <c r="T6793"/>
      <c r="U6793"/>
      <c r="X6793" s="60"/>
    </row>
    <row r="6794" spans="7:24" ht="15" customHeight="1">
      <c r="G6794"/>
      <c r="I6794"/>
      <c r="N6794"/>
      <c r="O6794" s="24"/>
      <c r="P6794"/>
      <c r="Q6794" s="24"/>
      <c r="R6794"/>
      <c r="S6794"/>
      <c r="T6794"/>
      <c r="U6794"/>
      <c r="X6794" s="60"/>
    </row>
    <row r="6795" spans="7:24" ht="15" customHeight="1">
      <c r="G6795"/>
      <c r="I6795"/>
      <c r="N6795"/>
      <c r="O6795" s="24"/>
      <c r="P6795"/>
      <c r="Q6795" s="24"/>
      <c r="R6795"/>
      <c r="S6795"/>
      <c r="T6795"/>
      <c r="U6795"/>
      <c r="X6795" s="60"/>
    </row>
    <row r="6796" spans="7:24" ht="15" customHeight="1">
      <c r="G6796"/>
      <c r="I6796"/>
      <c r="N6796"/>
      <c r="O6796" s="24"/>
      <c r="P6796"/>
      <c r="Q6796" s="24"/>
      <c r="R6796"/>
      <c r="S6796"/>
      <c r="T6796"/>
      <c r="U6796"/>
      <c r="X6796" s="60"/>
    </row>
    <row r="6797" spans="7:24" ht="15" customHeight="1">
      <c r="G6797"/>
      <c r="I6797"/>
      <c r="N6797"/>
      <c r="O6797" s="24"/>
      <c r="P6797"/>
      <c r="Q6797" s="24"/>
      <c r="R6797"/>
      <c r="S6797"/>
      <c r="T6797"/>
      <c r="U6797"/>
      <c r="X6797" s="60"/>
    </row>
    <row r="6798" spans="7:24" ht="15" customHeight="1">
      <c r="G6798"/>
      <c r="I6798"/>
      <c r="N6798"/>
      <c r="O6798" s="24"/>
      <c r="P6798"/>
      <c r="Q6798" s="24"/>
      <c r="R6798"/>
      <c r="S6798"/>
      <c r="T6798"/>
      <c r="U6798"/>
      <c r="X6798" s="60"/>
    </row>
    <row r="6799" spans="7:24" ht="15" customHeight="1">
      <c r="G6799"/>
      <c r="I6799"/>
      <c r="N6799"/>
      <c r="O6799" s="24"/>
      <c r="P6799"/>
      <c r="Q6799" s="24"/>
      <c r="R6799"/>
      <c r="S6799"/>
      <c r="T6799"/>
      <c r="U6799"/>
      <c r="X6799" s="60"/>
    </row>
    <row r="6800" spans="7:24" ht="15" customHeight="1">
      <c r="G6800"/>
      <c r="I6800"/>
      <c r="N6800"/>
      <c r="O6800" s="24"/>
      <c r="P6800"/>
      <c r="Q6800" s="24"/>
      <c r="R6800"/>
      <c r="S6800"/>
      <c r="T6800"/>
      <c r="U6800"/>
      <c r="X6800" s="60"/>
    </row>
    <row r="6801" spans="7:24" ht="15" customHeight="1">
      <c r="G6801"/>
      <c r="I6801"/>
      <c r="N6801"/>
      <c r="O6801" s="24"/>
      <c r="P6801"/>
      <c r="Q6801" s="24"/>
      <c r="R6801"/>
      <c r="S6801"/>
      <c r="T6801"/>
      <c r="U6801"/>
      <c r="X6801" s="60"/>
    </row>
    <row r="6802" spans="7:24" ht="15" customHeight="1">
      <c r="G6802"/>
      <c r="I6802"/>
      <c r="N6802"/>
      <c r="O6802" s="24"/>
      <c r="P6802"/>
      <c r="Q6802" s="24"/>
      <c r="R6802"/>
      <c r="S6802"/>
      <c r="T6802"/>
      <c r="U6802"/>
      <c r="X6802" s="60"/>
    </row>
    <row r="6803" spans="7:24" ht="15" customHeight="1">
      <c r="G6803"/>
      <c r="I6803"/>
      <c r="N6803"/>
      <c r="O6803" s="24"/>
      <c r="P6803"/>
      <c r="Q6803" s="24"/>
      <c r="R6803"/>
      <c r="S6803"/>
      <c r="T6803"/>
      <c r="U6803"/>
      <c r="X6803" s="60"/>
    </row>
    <row r="6804" spans="7:24" ht="15" customHeight="1">
      <c r="G6804"/>
      <c r="I6804"/>
      <c r="N6804"/>
      <c r="O6804" s="24"/>
      <c r="P6804"/>
      <c r="Q6804" s="24"/>
      <c r="R6804"/>
      <c r="S6804"/>
      <c r="T6804"/>
      <c r="U6804"/>
      <c r="X6804" s="60"/>
    </row>
    <row r="6805" spans="7:24" ht="15" customHeight="1">
      <c r="G6805"/>
      <c r="I6805"/>
      <c r="N6805"/>
      <c r="O6805" s="24"/>
      <c r="P6805"/>
      <c r="Q6805" s="24"/>
      <c r="R6805"/>
      <c r="S6805"/>
      <c r="T6805"/>
      <c r="U6805"/>
      <c r="X6805" s="60"/>
    </row>
    <row r="6806" spans="7:24" ht="15" customHeight="1">
      <c r="G6806"/>
      <c r="I6806"/>
      <c r="N6806"/>
      <c r="O6806" s="24"/>
      <c r="P6806"/>
      <c r="Q6806" s="24"/>
      <c r="R6806"/>
      <c r="S6806"/>
      <c r="T6806"/>
      <c r="U6806"/>
      <c r="X6806" s="60"/>
    </row>
    <row r="6807" spans="7:24" ht="15" customHeight="1">
      <c r="G6807"/>
      <c r="I6807"/>
      <c r="N6807"/>
      <c r="O6807" s="24"/>
      <c r="P6807"/>
      <c r="Q6807" s="24"/>
      <c r="R6807"/>
      <c r="S6807"/>
      <c r="T6807"/>
      <c r="U6807"/>
      <c r="X6807" s="60"/>
    </row>
    <row r="6808" spans="7:24" ht="15" customHeight="1">
      <c r="G6808"/>
      <c r="I6808"/>
      <c r="N6808"/>
      <c r="O6808" s="24"/>
      <c r="P6808"/>
      <c r="Q6808" s="24"/>
      <c r="R6808"/>
      <c r="S6808"/>
      <c r="T6808"/>
      <c r="U6808"/>
      <c r="X6808" s="60"/>
    </row>
    <row r="6809" spans="7:24" ht="15" customHeight="1">
      <c r="G6809"/>
      <c r="I6809"/>
      <c r="N6809"/>
      <c r="O6809" s="24"/>
      <c r="P6809"/>
      <c r="Q6809" s="24"/>
      <c r="R6809"/>
      <c r="S6809"/>
      <c r="T6809"/>
      <c r="U6809"/>
      <c r="X6809" s="60"/>
    </row>
    <row r="6810" spans="7:24" ht="15" customHeight="1">
      <c r="G6810"/>
      <c r="I6810"/>
      <c r="N6810"/>
      <c r="O6810" s="24"/>
      <c r="P6810"/>
      <c r="Q6810" s="24"/>
      <c r="R6810"/>
      <c r="S6810"/>
      <c r="T6810"/>
      <c r="U6810"/>
      <c r="X6810" s="60"/>
    </row>
    <row r="6811" spans="7:24" ht="15" customHeight="1">
      <c r="G6811"/>
      <c r="I6811"/>
      <c r="N6811"/>
      <c r="O6811" s="24"/>
      <c r="P6811"/>
      <c r="Q6811" s="24"/>
      <c r="R6811"/>
      <c r="S6811"/>
      <c r="T6811"/>
      <c r="U6811"/>
      <c r="X6811" s="60"/>
    </row>
    <row r="6812" spans="7:24" ht="15" customHeight="1">
      <c r="G6812"/>
      <c r="I6812"/>
      <c r="N6812"/>
      <c r="O6812" s="24"/>
      <c r="P6812"/>
      <c r="Q6812" s="24"/>
      <c r="R6812"/>
      <c r="S6812"/>
      <c r="T6812"/>
      <c r="U6812"/>
      <c r="X6812" s="60"/>
    </row>
    <row r="6813" spans="7:24" ht="15" customHeight="1">
      <c r="G6813"/>
      <c r="I6813"/>
      <c r="N6813"/>
      <c r="O6813" s="24"/>
      <c r="P6813"/>
      <c r="Q6813" s="24"/>
      <c r="R6813"/>
      <c r="S6813"/>
      <c r="T6813"/>
      <c r="U6813"/>
      <c r="X6813" s="60"/>
    </row>
    <row r="6814" spans="7:24" ht="15" customHeight="1">
      <c r="G6814"/>
      <c r="I6814"/>
      <c r="N6814"/>
      <c r="O6814" s="24"/>
      <c r="P6814"/>
      <c r="Q6814" s="24"/>
      <c r="R6814"/>
      <c r="S6814"/>
      <c r="T6814"/>
      <c r="U6814"/>
      <c r="X6814" s="60"/>
    </row>
    <row r="6815" spans="7:24" ht="15" customHeight="1">
      <c r="G6815"/>
      <c r="I6815"/>
      <c r="N6815"/>
      <c r="O6815" s="24"/>
      <c r="P6815"/>
      <c r="Q6815" s="24"/>
      <c r="R6815"/>
      <c r="S6815"/>
      <c r="T6815"/>
      <c r="U6815"/>
      <c r="X6815" s="60"/>
    </row>
    <row r="6816" spans="7:24" ht="15" customHeight="1">
      <c r="G6816"/>
      <c r="I6816"/>
      <c r="N6816"/>
      <c r="O6816" s="24"/>
      <c r="P6816"/>
      <c r="Q6816" s="24"/>
      <c r="R6816"/>
      <c r="S6816"/>
      <c r="T6816"/>
      <c r="U6816"/>
      <c r="X6816" s="60"/>
    </row>
    <row r="6817" spans="7:24" ht="15" customHeight="1">
      <c r="G6817"/>
      <c r="I6817"/>
      <c r="N6817"/>
      <c r="O6817" s="24"/>
      <c r="P6817"/>
      <c r="Q6817" s="24"/>
      <c r="R6817"/>
      <c r="S6817"/>
      <c r="T6817"/>
      <c r="U6817"/>
      <c r="X6817" s="60"/>
    </row>
    <row r="6818" spans="7:24" ht="15" customHeight="1">
      <c r="G6818"/>
      <c r="I6818"/>
      <c r="N6818"/>
      <c r="O6818" s="24"/>
      <c r="P6818"/>
      <c r="Q6818" s="24"/>
      <c r="R6818"/>
      <c r="S6818"/>
      <c r="T6818"/>
      <c r="U6818"/>
      <c r="X6818" s="60"/>
    </row>
    <row r="6819" spans="7:24" ht="15" customHeight="1">
      <c r="G6819"/>
      <c r="I6819"/>
      <c r="N6819"/>
      <c r="O6819" s="24"/>
      <c r="P6819"/>
      <c r="Q6819" s="24"/>
      <c r="R6819"/>
      <c r="S6819"/>
      <c r="T6819"/>
      <c r="U6819"/>
      <c r="X6819" s="60"/>
    </row>
    <row r="6820" spans="7:24" ht="15" customHeight="1">
      <c r="G6820"/>
      <c r="I6820"/>
      <c r="N6820"/>
      <c r="O6820" s="24"/>
      <c r="P6820"/>
      <c r="Q6820" s="24"/>
      <c r="R6820"/>
      <c r="S6820"/>
      <c r="T6820"/>
      <c r="U6820"/>
      <c r="X6820" s="60"/>
    </row>
    <row r="6821" spans="7:24" ht="15" customHeight="1">
      <c r="G6821"/>
      <c r="I6821"/>
      <c r="N6821"/>
      <c r="O6821" s="24"/>
      <c r="P6821"/>
      <c r="Q6821" s="24"/>
      <c r="R6821"/>
      <c r="S6821"/>
      <c r="T6821"/>
      <c r="U6821"/>
      <c r="X6821" s="60"/>
    </row>
    <row r="6822" spans="7:24" ht="15" customHeight="1">
      <c r="G6822"/>
      <c r="I6822"/>
      <c r="N6822"/>
      <c r="O6822" s="24"/>
      <c r="P6822"/>
      <c r="Q6822" s="24"/>
      <c r="R6822"/>
      <c r="S6822"/>
      <c r="T6822"/>
      <c r="U6822"/>
      <c r="X6822" s="60"/>
    </row>
    <row r="6823" spans="7:24" ht="15" customHeight="1">
      <c r="G6823"/>
      <c r="I6823"/>
      <c r="N6823"/>
      <c r="O6823" s="24"/>
      <c r="P6823"/>
      <c r="Q6823" s="24"/>
      <c r="R6823"/>
      <c r="S6823"/>
      <c r="T6823"/>
      <c r="U6823"/>
      <c r="X6823" s="60"/>
    </row>
    <row r="6824" spans="7:24" ht="15" customHeight="1">
      <c r="G6824"/>
      <c r="I6824"/>
      <c r="N6824"/>
      <c r="O6824" s="24"/>
      <c r="P6824"/>
      <c r="Q6824" s="24"/>
      <c r="R6824"/>
      <c r="S6824"/>
      <c r="T6824"/>
      <c r="U6824"/>
      <c r="X6824" s="60"/>
    </row>
    <row r="6825" spans="7:24" ht="15" customHeight="1">
      <c r="G6825"/>
      <c r="I6825"/>
      <c r="N6825"/>
      <c r="O6825" s="24"/>
      <c r="P6825"/>
      <c r="Q6825" s="24"/>
      <c r="R6825"/>
      <c r="S6825"/>
      <c r="T6825"/>
      <c r="U6825"/>
      <c r="X6825" s="60"/>
    </row>
    <row r="6826" spans="7:24" ht="15" customHeight="1">
      <c r="G6826"/>
      <c r="I6826"/>
      <c r="N6826"/>
      <c r="O6826" s="24"/>
      <c r="P6826"/>
      <c r="Q6826" s="24"/>
      <c r="R6826"/>
      <c r="S6826"/>
      <c r="T6826"/>
      <c r="U6826"/>
      <c r="X6826" s="60"/>
    </row>
    <row r="6827" spans="7:24" ht="15" customHeight="1">
      <c r="G6827"/>
      <c r="I6827"/>
      <c r="N6827"/>
      <c r="O6827" s="24"/>
      <c r="P6827"/>
      <c r="Q6827" s="24"/>
      <c r="R6827"/>
      <c r="S6827"/>
      <c r="T6827"/>
      <c r="U6827"/>
      <c r="X6827" s="60"/>
    </row>
    <row r="6828" spans="7:24" ht="15" customHeight="1">
      <c r="G6828"/>
      <c r="I6828"/>
      <c r="N6828"/>
      <c r="O6828" s="24"/>
      <c r="P6828"/>
      <c r="Q6828" s="24"/>
      <c r="R6828"/>
      <c r="S6828"/>
      <c r="T6828"/>
      <c r="U6828"/>
      <c r="X6828" s="60"/>
    </row>
    <row r="6829" spans="7:24" ht="15" customHeight="1">
      <c r="G6829"/>
      <c r="I6829"/>
      <c r="N6829"/>
      <c r="O6829" s="24"/>
      <c r="P6829"/>
      <c r="Q6829" s="24"/>
      <c r="R6829"/>
      <c r="S6829"/>
      <c r="T6829"/>
      <c r="U6829"/>
      <c r="X6829" s="60"/>
    </row>
    <row r="6830" spans="7:24" ht="15" customHeight="1">
      <c r="G6830"/>
      <c r="I6830"/>
      <c r="N6830"/>
      <c r="O6830" s="24"/>
      <c r="P6830"/>
      <c r="Q6830" s="24"/>
      <c r="R6830"/>
      <c r="S6830"/>
      <c r="T6830"/>
      <c r="U6830"/>
      <c r="X6830" s="60"/>
    </row>
    <row r="6831" spans="7:24" ht="15" customHeight="1">
      <c r="G6831"/>
      <c r="I6831"/>
      <c r="N6831"/>
      <c r="O6831" s="24"/>
      <c r="P6831"/>
      <c r="Q6831" s="24"/>
      <c r="R6831"/>
      <c r="S6831"/>
      <c r="T6831"/>
      <c r="U6831"/>
      <c r="X6831" s="60"/>
    </row>
    <row r="6832" spans="7:24" ht="15" customHeight="1">
      <c r="G6832"/>
      <c r="I6832"/>
      <c r="N6832"/>
      <c r="O6832" s="24"/>
      <c r="P6832"/>
      <c r="Q6832" s="24"/>
      <c r="R6832"/>
      <c r="S6832"/>
      <c r="T6832"/>
      <c r="U6832"/>
      <c r="X6832" s="60"/>
    </row>
    <row r="6833" spans="7:24" ht="15" customHeight="1">
      <c r="G6833"/>
      <c r="I6833"/>
      <c r="N6833"/>
      <c r="O6833" s="24"/>
      <c r="P6833"/>
      <c r="Q6833" s="24"/>
      <c r="R6833"/>
      <c r="S6833"/>
      <c r="T6833"/>
      <c r="U6833"/>
      <c r="X6833" s="60"/>
    </row>
    <row r="6834" spans="7:24" ht="15" customHeight="1">
      <c r="G6834"/>
      <c r="I6834"/>
      <c r="N6834"/>
      <c r="O6834" s="24"/>
      <c r="P6834"/>
      <c r="Q6834" s="24"/>
      <c r="R6834"/>
      <c r="S6834"/>
      <c r="T6834"/>
      <c r="U6834"/>
      <c r="X6834" s="60"/>
    </row>
    <row r="6835" spans="7:24" ht="15" customHeight="1">
      <c r="G6835"/>
      <c r="I6835"/>
      <c r="N6835"/>
      <c r="O6835" s="24"/>
      <c r="P6835"/>
      <c r="Q6835" s="24"/>
      <c r="R6835"/>
      <c r="S6835"/>
      <c r="T6835"/>
      <c r="U6835"/>
      <c r="X6835" s="60"/>
    </row>
    <row r="6836" spans="7:24" ht="15" customHeight="1">
      <c r="G6836"/>
      <c r="I6836"/>
      <c r="N6836"/>
      <c r="O6836" s="24"/>
      <c r="P6836"/>
      <c r="Q6836" s="24"/>
      <c r="R6836"/>
      <c r="S6836"/>
      <c r="T6836"/>
      <c r="U6836"/>
      <c r="X6836" s="60"/>
    </row>
    <row r="6837" spans="7:24" ht="15" customHeight="1">
      <c r="G6837"/>
      <c r="I6837"/>
      <c r="N6837"/>
      <c r="O6837" s="24"/>
      <c r="P6837"/>
      <c r="Q6837" s="24"/>
      <c r="R6837"/>
      <c r="S6837"/>
      <c r="T6837"/>
      <c r="U6837"/>
      <c r="X6837" s="60"/>
    </row>
    <row r="6838" spans="7:24" ht="15" customHeight="1">
      <c r="G6838"/>
      <c r="I6838"/>
      <c r="N6838"/>
      <c r="O6838" s="24"/>
      <c r="P6838"/>
      <c r="Q6838" s="24"/>
      <c r="R6838"/>
      <c r="S6838"/>
      <c r="T6838"/>
      <c r="U6838"/>
      <c r="X6838" s="60"/>
    </row>
    <row r="6839" spans="7:24" ht="15" customHeight="1">
      <c r="G6839"/>
      <c r="I6839"/>
      <c r="N6839"/>
      <c r="O6839" s="24"/>
      <c r="P6839"/>
      <c r="Q6839" s="24"/>
      <c r="R6839"/>
      <c r="S6839"/>
      <c r="T6839"/>
      <c r="U6839"/>
      <c r="X6839" s="60"/>
    </row>
    <row r="6840" spans="7:24" ht="15" customHeight="1">
      <c r="G6840"/>
      <c r="I6840"/>
      <c r="N6840"/>
      <c r="O6840" s="24"/>
      <c r="P6840"/>
      <c r="Q6840" s="24"/>
      <c r="R6840"/>
      <c r="S6840"/>
      <c r="T6840"/>
      <c r="U6840"/>
      <c r="X6840" s="60"/>
    </row>
    <row r="6841" spans="7:24" ht="15" customHeight="1">
      <c r="G6841"/>
      <c r="I6841"/>
      <c r="N6841"/>
      <c r="O6841" s="24"/>
      <c r="P6841"/>
      <c r="Q6841" s="24"/>
      <c r="R6841"/>
      <c r="S6841"/>
      <c r="T6841"/>
      <c r="U6841"/>
      <c r="X6841" s="60"/>
    </row>
    <row r="6842" spans="7:24" ht="15" customHeight="1">
      <c r="G6842"/>
      <c r="I6842"/>
      <c r="N6842"/>
      <c r="O6842" s="24"/>
      <c r="P6842"/>
      <c r="Q6842" s="24"/>
      <c r="R6842"/>
      <c r="S6842"/>
      <c r="T6842"/>
      <c r="U6842"/>
      <c r="X6842" s="60"/>
    </row>
    <row r="6843" spans="7:24" ht="15" customHeight="1">
      <c r="G6843"/>
      <c r="I6843"/>
      <c r="N6843"/>
      <c r="O6843" s="24"/>
      <c r="P6843"/>
      <c r="Q6843" s="24"/>
      <c r="R6843"/>
      <c r="S6843"/>
      <c r="T6843"/>
      <c r="U6843"/>
      <c r="X6843" s="60"/>
    </row>
    <row r="6844" spans="7:24" ht="15" customHeight="1">
      <c r="G6844"/>
      <c r="I6844"/>
      <c r="N6844"/>
      <c r="O6844" s="24"/>
      <c r="P6844"/>
      <c r="Q6844" s="24"/>
      <c r="R6844"/>
      <c r="S6844"/>
      <c r="T6844"/>
      <c r="U6844"/>
      <c r="X6844" s="60"/>
    </row>
    <row r="6845" spans="7:24" ht="15" customHeight="1">
      <c r="G6845"/>
      <c r="I6845"/>
      <c r="N6845"/>
      <c r="O6845" s="24"/>
      <c r="P6845"/>
      <c r="Q6845" s="24"/>
      <c r="R6845"/>
      <c r="S6845"/>
      <c r="T6845"/>
      <c r="U6845"/>
      <c r="X6845" s="60"/>
    </row>
    <row r="6846" spans="7:24" ht="15" customHeight="1">
      <c r="G6846"/>
      <c r="I6846"/>
      <c r="N6846"/>
      <c r="O6846" s="24"/>
      <c r="P6846"/>
      <c r="Q6846" s="24"/>
      <c r="R6846"/>
      <c r="S6846"/>
      <c r="T6846"/>
      <c r="U6846"/>
      <c r="X6846" s="60"/>
    </row>
    <row r="6847" spans="7:24" ht="15" customHeight="1">
      <c r="G6847"/>
      <c r="I6847"/>
      <c r="N6847"/>
      <c r="O6847" s="24"/>
      <c r="P6847"/>
      <c r="Q6847" s="24"/>
      <c r="R6847"/>
      <c r="S6847"/>
      <c r="T6847"/>
      <c r="U6847"/>
      <c r="X6847" s="60"/>
    </row>
    <row r="6848" spans="7:24" ht="15" customHeight="1">
      <c r="G6848"/>
      <c r="I6848"/>
      <c r="N6848"/>
      <c r="O6848" s="24"/>
      <c r="P6848"/>
      <c r="Q6848" s="24"/>
      <c r="R6848"/>
      <c r="S6848"/>
      <c r="T6848"/>
      <c r="U6848"/>
      <c r="X6848" s="60"/>
    </row>
    <row r="6849" spans="7:24" ht="15" customHeight="1">
      <c r="G6849"/>
      <c r="I6849"/>
      <c r="N6849"/>
      <c r="O6849" s="24"/>
      <c r="P6849"/>
      <c r="Q6849" s="24"/>
      <c r="R6849"/>
      <c r="S6849"/>
      <c r="T6849"/>
      <c r="U6849"/>
      <c r="X6849" s="60"/>
    </row>
    <row r="6850" spans="7:24" ht="15" customHeight="1">
      <c r="G6850"/>
      <c r="I6850"/>
      <c r="N6850"/>
      <c r="O6850" s="24"/>
      <c r="P6850"/>
      <c r="Q6850" s="24"/>
      <c r="R6850"/>
      <c r="S6850"/>
      <c r="T6850"/>
      <c r="U6850"/>
      <c r="X6850" s="60"/>
    </row>
    <row r="6851" spans="7:24" ht="15" customHeight="1">
      <c r="G6851"/>
      <c r="I6851"/>
      <c r="N6851"/>
      <c r="O6851" s="24"/>
      <c r="P6851"/>
      <c r="Q6851" s="24"/>
      <c r="R6851"/>
      <c r="S6851"/>
      <c r="T6851"/>
      <c r="U6851"/>
      <c r="X6851" s="60"/>
    </row>
    <row r="6852" spans="7:24" ht="15" customHeight="1">
      <c r="G6852"/>
      <c r="I6852"/>
      <c r="N6852"/>
      <c r="O6852" s="24"/>
      <c r="P6852"/>
      <c r="Q6852" s="24"/>
      <c r="R6852"/>
      <c r="S6852"/>
      <c r="T6852"/>
      <c r="U6852"/>
      <c r="X6852" s="60"/>
    </row>
    <row r="6853" spans="7:24" ht="15" customHeight="1">
      <c r="G6853"/>
      <c r="I6853"/>
      <c r="N6853"/>
      <c r="O6853" s="24"/>
      <c r="P6853"/>
      <c r="Q6853" s="24"/>
      <c r="R6853"/>
      <c r="S6853"/>
      <c r="T6853"/>
      <c r="U6853"/>
      <c r="X6853" s="60"/>
    </row>
    <row r="6854" spans="7:24" ht="15" customHeight="1">
      <c r="G6854"/>
      <c r="I6854"/>
      <c r="N6854"/>
      <c r="O6854" s="24"/>
      <c r="P6854"/>
      <c r="Q6854" s="24"/>
      <c r="R6854"/>
      <c r="S6854"/>
      <c r="T6854"/>
      <c r="U6854"/>
      <c r="X6854" s="60"/>
    </row>
    <row r="6855" spans="7:24" ht="15" customHeight="1">
      <c r="G6855"/>
      <c r="I6855"/>
      <c r="N6855"/>
      <c r="O6855" s="24"/>
      <c r="P6855"/>
      <c r="Q6855" s="24"/>
      <c r="R6855"/>
      <c r="S6855"/>
      <c r="T6855"/>
      <c r="U6855"/>
      <c r="X6855" s="60"/>
    </row>
    <row r="6856" spans="7:24" ht="15" customHeight="1">
      <c r="G6856"/>
      <c r="I6856"/>
      <c r="N6856"/>
      <c r="O6856" s="24"/>
      <c r="P6856"/>
      <c r="Q6856" s="24"/>
      <c r="R6856"/>
      <c r="S6856"/>
      <c r="T6856"/>
      <c r="U6856"/>
      <c r="X6856" s="60"/>
    </row>
    <row r="6857" spans="7:24" ht="15" customHeight="1">
      <c r="G6857"/>
      <c r="I6857"/>
      <c r="N6857"/>
      <c r="O6857" s="24"/>
      <c r="P6857"/>
      <c r="Q6857" s="24"/>
      <c r="R6857"/>
      <c r="S6857"/>
      <c r="T6857"/>
      <c r="U6857"/>
      <c r="X6857" s="60"/>
    </row>
    <row r="6858" spans="7:24" ht="15" customHeight="1">
      <c r="G6858"/>
      <c r="I6858"/>
      <c r="N6858"/>
      <c r="O6858" s="24"/>
      <c r="P6858"/>
      <c r="Q6858" s="24"/>
      <c r="R6858"/>
      <c r="S6858"/>
      <c r="T6858"/>
      <c r="U6858"/>
      <c r="X6858" s="60"/>
    </row>
    <row r="6859" spans="7:24" ht="15" customHeight="1">
      <c r="G6859"/>
      <c r="I6859"/>
      <c r="N6859"/>
      <c r="O6859" s="24"/>
      <c r="P6859"/>
      <c r="Q6859" s="24"/>
      <c r="R6859"/>
      <c r="S6859"/>
      <c r="T6859"/>
      <c r="U6859"/>
      <c r="X6859" s="60"/>
    </row>
    <row r="6860" spans="7:24" ht="15" customHeight="1">
      <c r="G6860"/>
      <c r="I6860"/>
      <c r="N6860"/>
      <c r="O6860" s="24"/>
      <c r="P6860"/>
      <c r="Q6860" s="24"/>
      <c r="R6860"/>
      <c r="S6860"/>
      <c r="T6860"/>
      <c r="U6860"/>
      <c r="X6860" s="60"/>
    </row>
    <row r="6861" spans="7:24" ht="15" customHeight="1">
      <c r="G6861"/>
      <c r="I6861"/>
      <c r="N6861"/>
      <c r="O6861" s="24"/>
      <c r="P6861"/>
      <c r="Q6861" s="24"/>
      <c r="R6861"/>
      <c r="S6861"/>
      <c r="T6861"/>
      <c r="U6861"/>
      <c r="X6861" s="60"/>
    </row>
    <row r="6862" spans="7:24" ht="15" customHeight="1">
      <c r="G6862"/>
      <c r="I6862"/>
      <c r="N6862"/>
      <c r="O6862" s="24"/>
      <c r="P6862"/>
      <c r="Q6862" s="24"/>
      <c r="R6862"/>
      <c r="S6862"/>
      <c r="T6862"/>
      <c r="U6862"/>
      <c r="X6862" s="60"/>
    </row>
    <row r="6863" spans="7:24" ht="15" customHeight="1">
      <c r="G6863"/>
      <c r="I6863"/>
      <c r="N6863"/>
      <c r="O6863" s="24"/>
      <c r="P6863"/>
      <c r="Q6863" s="24"/>
      <c r="R6863"/>
      <c r="S6863"/>
      <c r="T6863"/>
      <c r="U6863"/>
      <c r="X6863" s="60"/>
    </row>
    <row r="6864" spans="7:24" ht="15" customHeight="1">
      <c r="G6864"/>
      <c r="I6864"/>
      <c r="N6864"/>
      <c r="O6864" s="24"/>
      <c r="P6864"/>
      <c r="Q6864" s="24"/>
      <c r="R6864"/>
      <c r="S6864"/>
      <c r="T6864"/>
      <c r="U6864"/>
      <c r="X6864" s="60"/>
    </row>
    <row r="6865" spans="7:24" ht="15" customHeight="1">
      <c r="G6865"/>
      <c r="I6865"/>
      <c r="N6865"/>
      <c r="O6865" s="24"/>
      <c r="P6865"/>
      <c r="Q6865" s="24"/>
      <c r="R6865"/>
      <c r="S6865"/>
      <c r="T6865"/>
      <c r="U6865"/>
      <c r="X6865" s="60"/>
    </row>
    <row r="6866" spans="7:24" ht="15" customHeight="1">
      <c r="G6866"/>
      <c r="I6866"/>
      <c r="N6866"/>
      <c r="O6866" s="24"/>
      <c r="P6866"/>
      <c r="Q6866" s="24"/>
      <c r="R6866"/>
      <c r="S6866"/>
      <c r="T6866"/>
      <c r="U6866"/>
      <c r="X6866" s="60"/>
    </row>
    <row r="6867" spans="7:24" ht="15" customHeight="1">
      <c r="G6867"/>
      <c r="I6867"/>
      <c r="N6867"/>
      <c r="O6867" s="24"/>
      <c r="P6867"/>
      <c r="Q6867" s="24"/>
      <c r="R6867"/>
      <c r="S6867"/>
      <c r="T6867"/>
      <c r="U6867"/>
      <c r="X6867" s="60"/>
    </row>
    <row r="6868" spans="7:24" ht="15" customHeight="1">
      <c r="G6868"/>
      <c r="I6868"/>
      <c r="N6868"/>
      <c r="O6868" s="24"/>
      <c r="P6868"/>
      <c r="Q6868" s="24"/>
      <c r="R6868"/>
      <c r="S6868"/>
      <c r="T6868"/>
      <c r="U6868"/>
      <c r="X6868" s="60"/>
    </row>
    <row r="6869" spans="7:24" ht="15" customHeight="1">
      <c r="G6869"/>
      <c r="I6869"/>
      <c r="N6869"/>
      <c r="O6869" s="24"/>
      <c r="P6869"/>
      <c r="Q6869" s="24"/>
      <c r="R6869"/>
      <c r="S6869"/>
      <c r="T6869"/>
      <c r="U6869"/>
      <c r="X6869" s="60"/>
    </row>
    <row r="6870" spans="7:24" ht="15" customHeight="1">
      <c r="G6870"/>
      <c r="I6870"/>
      <c r="N6870"/>
      <c r="O6870" s="24"/>
      <c r="P6870"/>
      <c r="Q6870" s="24"/>
      <c r="R6870"/>
      <c r="S6870"/>
      <c r="T6870"/>
      <c r="U6870"/>
      <c r="X6870" s="60"/>
    </row>
    <row r="6871" spans="7:24" ht="15" customHeight="1">
      <c r="G6871"/>
      <c r="I6871"/>
      <c r="N6871"/>
      <c r="O6871" s="24"/>
      <c r="P6871"/>
      <c r="Q6871" s="24"/>
      <c r="R6871"/>
      <c r="S6871"/>
      <c r="T6871"/>
      <c r="U6871"/>
      <c r="X6871" s="60"/>
    </row>
    <row r="6872" spans="7:24" ht="15" customHeight="1">
      <c r="G6872"/>
      <c r="I6872"/>
      <c r="N6872"/>
      <c r="O6872" s="24"/>
      <c r="P6872"/>
      <c r="Q6872" s="24"/>
      <c r="R6872"/>
      <c r="S6872"/>
      <c r="T6872"/>
      <c r="U6872"/>
      <c r="X6872" s="60"/>
    </row>
    <row r="6873" spans="7:24" ht="15" customHeight="1">
      <c r="G6873"/>
      <c r="I6873"/>
      <c r="N6873"/>
      <c r="O6873" s="24"/>
      <c r="P6873"/>
      <c r="Q6873" s="24"/>
      <c r="R6873"/>
      <c r="S6873"/>
      <c r="T6873"/>
      <c r="U6873"/>
      <c r="X6873" s="60"/>
    </row>
    <row r="6874" spans="7:24" ht="15" customHeight="1">
      <c r="G6874"/>
      <c r="I6874"/>
      <c r="N6874"/>
      <c r="O6874" s="24"/>
      <c r="P6874"/>
      <c r="Q6874" s="24"/>
      <c r="R6874"/>
      <c r="S6874"/>
      <c r="T6874"/>
      <c r="U6874"/>
      <c r="X6874" s="60"/>
    </row>
    <row r="6875" spans="7:24" ht="15" customHeight="1">
      <c r="G6875"/>
      <c r="I6875"/>
      <c r="N6875"/>
      <c r="O6875" s="24"/>
      <c r="P6875"/>
      <c r="Q6875" s="24"/>
      <c r="R6875"/>
      <c r="S6875"/>
      <c r="T6875"/>
      <c r="U6875"/>
      <c r="X6875" s="60"/>
    </row>
    <row r="6876" spans="7:24" ht="15" customHeight="1">
      <c r="G6876"/>
      <c r="I6876"/>
      <c r="N6876"/>
      <c r="O6876" s="24"/>
      <c r="P6876"/>
      <c r="Q6876" s="24"/>
      <c r="R6876"/>
      <c r="S6876"/>
      <c r="T6876"/>
      <c r="U6876"/>
      <c r="X6876" s="60"/>
    </row>
    <row r="6877" spans="7:24" ht="15" customHeight="1">
      <c r="G6877"/>
      <c r="I6877"/>
      <c r="N6877"/>
      <c r="O6877" s="24"/>
      <c r="P6877"/>
      <c r="Q6877" s="24"/>
      <c r="R6877"/>
      <c r="S6877"/>
      <c r="T6877"/>
      <c r="U6877"/>
      <c r="X6877" s="60"/>
    </row>
    <row r="6878" spans="7:24" ht="15" customHeight="1">
      <c r="G6878"/>
      <c r="I6878"/>
      <c r="N6878"/>
      <c r="O6878" s="24"/>
      <c r="P6878"/>
      <c r="Q6878" s="24"/>
      <c r="R6878"/>
      <c r="S6878"/>
      <c r="T6878"/>
      <c r="U6878"/>
      <c r="X6878" s="60"/>
    </row>
    <row r="6879" spans="7:24" ht="15" customHeight="1">
      <c r="G6879"/>
      <c r="I6879"/>
      <c r="N6879"/>
      <c r="O6879" s="24"/>
      <c r="P6879"/>
      <c r="Q6879" s="24"/>
      <c r="R6879"/>
      <c r="S6879"/>
      <c r="T6879"/>
      <c r="U6879"/>
      <c r="X6879" s="60"/>
    </row>
    <row r="6880" spans="7:24" ht="15" customHeight="1">
      <c r="G6880"/>
      <c r="I6880"/>
      <c r="N6880"/>
      <c r="O6880" s="24"/>
      <c r="P6880"/>
      <c r="Q6880" s="24"/>
      <c r="R6880"/>
      <c r="S6880"/>
      <c r="T6880"/>
      <c r="U6880"/>
      <c r="X6880" s="60"/>
    </row>
    <row r="6881" spans="7:24" ht="15" customHeight="1">
      <c r="G6881"/>
      <c r="I6881"/>
      <c r="N6881"/>
      <c r="O6881" s="24"/>
      <c r="P6881"/>
      <c r="Q6881" s="24"/>
      <c r="R6881"/>
      <c r="S6881"/>
      <c r="T6881"/>
      <c r="U6881"/>
      <c r="X6881" s="60"/>
    </row>
    <row r="6882" spans="7:24" ht="15" customHeight="1">
      <c r="G6882"/>
      <c r="I6882"/>
      <c r="N6882"/>
      <c r="O6882" s="24"/>
      <c r="P6882"/>
      <c r="Q6882" s="24"/>
      <c r="R6882"/>
      <c r="S6882"/>
      <c r="T6882"/>
      <c r="U6882"/>
      <c r="X6882" s="60"/>
    </row>
    <row r="6883" spans="7:24" ht="15" customHeight="1">
      <c r="G6883"/>
      <c r="I6883"/>
      <c r="N6883"/>
      <c r="O6883" s="24"/>
      <c r="P6883"/>
      <c r="Q6883" s="24"/>
      <c r="R6883"/>
      <c r="S6883"/>
      <c r="T6883"/>
      <c r="U6883"/>
      <c r="X6883" s="60"/>
    </row>
    <row r="6884" spans="7:24" ht="15" customHeight="1">
      <c r="G6884"/>
      <c r="I6884"/>
      <c r="N6884"/>
      <c r="O6884" s="24"/>
      <c r="P6884"/>
      <c r="Q6884" s="24"/>
      <c r="R6884"/>
      <c r="S6884"/>
      <c r="T6884"/>
      <c r="U6884"/>
      <c r="X6884" s="60"/>
    </row>
    <row r="6885" spans="7:24" ht="15" customHeight="1">
      <c r="G6885"/>
      <c r="I6885"/>
      <c r="N6885"/>
      <c r="O6885" s="24"/>
      <c r="P6885"/>
      <c r="Q6885" s="24"/>
      <c r="R6885"/>
      <c r="S6885"/>
      <c r="T6885"/>
      <c r="U6885"/>
      <c r="X6885" s="60"/>
    </row>
    <row r="6886" spans="7:24" ht="15" customHeight="1">
      <c r="G6886"/>
      <c r="I6886"/>
      <c r="N6886"/>
      <c r="O6886" s="24"/>
      <c r="P6886"/>
      <c r="Q6886" s="24"/>
      <c r="R6886"/>
      <c r="S6886"/>
      <c r="T6886"/>
      <c r="U6886"/>
      <c r="X6886" s="60"/>
    </row>
    <row r="6887" spans="7:24" ht="15" customHeight="1">
      <c r="G6887"/>
      <c r="I6887"/>
      <c r="N6887"/>
      <c r="O6887" s="24"/>
      <c r="P6887"/>
      <c r="Q6887" s="24"/>
      <c r="R6887"/>
      <c r="S6887"/>
      <c r="T6887"/>
      <c r="U6887"/>
      <c r="X6887" s="60"/>
    </row>
    <row r="6888" spans="7:24" ht="15" customHeight="1">
      <c r="G6888"/>
      <c r="I6888"/>
      <c r="N6888"/>
      <c r="O6888" s="24"/>
      <c r="P6888"/>
      <c r="Q6888" s="24"/>
      <c r="R6888"/>
      <c r="S6888"/>
      <c r="T6888"/>
      <c r="U6888"/>
      <c r="X6888" s="60"/>
    </row>
    <row r="6889" spans="7:24" ht="15" customHeight="1">
      <c r="G6889"/>
      <c r="I6889"/>
      <c r="N6889"/>
      <c r="O6889" s="24"/>
      <c r="P6889"/>
      <c r="Q6889" s="24"/>
      <c r="R6889"/>
      <c r="S6889"/>
      <c r="T6889"/>
      <c r="U6889"/>
      <c r="X6889" s="60"/>
    </row>
    <row r="6890" spans="7:24" ht="15" customHeight="1">
      <c r="G6890"/>
      <c r="I6890"/>
      <c r="N6890"/>
      <c r="O6890" s="24"/>
      <c r="P6890"/>
      <c r="Q6890" s="24"/>
      <c r="R6890"/>
      <c r="S6890"/>
      <c r="T6890"/>
      <c r="U6890"/>
      <c r="X6890" s="60"/>
    </row>
    <row r="6891" spans="7:24" ht="15" customHeight="1">
      <c r="G6891"/>
      <c r="I6891"/>
      <c r="N6891"/>
      <c r="O6891" s="24"/>
      <c r="P6891"/>
      <c r="Q6891" s="24"/>
      <c r="R6891"/>
      <c r="S6891"/>
      <c r="T6891"/>
      <c r="U6891"/>
      <c r="X6891" s="60"/>
    </row>
    <row r="6892" spans="7:24" ht="15" customHeight="1">
      <c r="G6892"/>
      <c r="I6892"/>
      <c r="N6892"/>
      <c r="O6892" s="24"/>
      <c r="P6892"/>
      <c r="Q6892" s="24"/>
      <c r="R6892"/>
      <c r="S6892"/>
      <c r="T6892"/>
      <c r="U6892"/>
      <c r="X6892" s="60"/>
    </row>
    <row r="6893" spans="7:24" ht="15" customHeight="1">
      <c r="G6893"/>
      <c r="I6893"/>
      <c r="N6893"/>
      <c r="O6893" s="24"/>
      <c r="P6893"/>
      <c r="Q6893" s="24"/>
      <c r="R6893"/>
      <c r="S6893"/>
      <c r="T6893"/>
      <c r="U6893"/>
      <c r="X6893" s="60"/>
    </row>
    <row r="6894" spans="7:24" ht="15" customHeight="1">
      <c r="G6894"/>
      <c r="I6894"/>
      <c r="N6894"/>
      <c r="O6894" s="24"/>
      <c r="P6894"/>
      <c r="Q6894" s="24"/>
      <c r="R6894"/>
      <c r="S6894"/>
      <c r="T6894"/>
      <c r="U6894"/>
      <c r="X6894" s="60"/>
    </row>
    <row r="6895" spans="7:24" ht="15" customHeight="1">
      <c r="G6895"/>
      <c r="I6895"/>
      <c r="N6895"/>
      <c r="O6895" s="24"/>
      <c r="P6895"/>
      <c r="Q6895" s="24"/>
      <c r="R6895"/>
      <c r="S6895"/>
      <c r="T6895"/>
      <c r="U6895"/>
      <c r="X6895" s="60"/>
    </row>
    <row r="6896" spans="7:24" ht="15" customHeight="1">
      <c r="G6896"/>
      <c r="I6896"/>
      <c r="N6896"/>
      <c r="O6896" s="24"/>
      <c r="P6896"/>
      <c r="Q6896" s="24"/>
      <c r="R6896"/>
      <c r="S6896"/>
      <c r="T6896"/>
      <c r="U6896"/>
      <c r="X6896" s="60"/>
    </row>
    <row r="6897" spans="7:24" ht="15" customHeight="1">
      <c r="G6897"/>
      <c r="I6897"/>
      <c r="N6897"/>
      <c r="O6897" s="24"/>
      <c r="P6897"/>
      <c r="Q6897" s="24"/>
      <c r="R6897"/>
      <c r="S6897"/>
      <c r="T6897"/>
      <c r="U6897"/>
      <c r="X6897" s="60"/>
    </row>
    <row r="6898" spans="7:24" ht="15" customHeight="1">
      <c r="G6898"/>
      <c r="I6898"/>
      <c r="N6898"/>
      <c r="O6898" s="24"/>
      <c r="P6898"/>
      <c r="Q6898" s="24"/>
      <c r="R6898"/>
      <c r="S6898"/>
      <c r="T6898"/>
      <c r="U6898"/>
      <c r="X6898" s="60"/>
    </row>
    <row r="6899" spans="7:24" ht="15" customHeight="1">
      <c r="G6899"/>
      <c r="I6899"/>
      <c r="N6899"/>
      <c r="O6899" s="24"/>
      <c r="P6899"/>
      <c r="Q6899" s="24"/>
      <c r="R6899"/>
      <c r="S6899"/>
      <c r="T6899"/>
      <c r="U6899"/>
      <c r="X6899" s="60"/>
    </row>
    <row r="6900" spans="7:24" ht="15" customHeight="1">
      <c r="G6900"/>
      <c r="I6900"/>
      <c r="N6900"/>
      <c r="O6900" s="24"/>
      <c r="P6900"/>
      <c r="Q6900" s="24"/>
      <c r="R6900"/>
      <c r="S6900"/>
      <c r="T6900"/>
      <c r="U6900"/>
      <c r="X6900" s="60"/>
    </row>
    <row r="6901" spans="7:24" ht="15" customHeight="1">
      <c r="G6901"/>
      <c r="I6901"/>
      <c r="N6901"/>
      <c r="O6901" s="24"/>
      <c r="P6901"/>
      <c r="Q6901" s="24"/>
      <c r="R6901"/>
      <c r="S6901"/>
      <c r="T6901"/>
      <c r="U6901"/>
      <c r="X6901" s="60"/>
    </row>
    <row r="6902" spans="7:24" ht="15" customHeight="1">
      <c r="G6902"/>
      <c r="I6902"/>
      <c r="N6902"/>
      <c r="O6902" s="24"/>
      <c r="P6902"/>
      <c r="Q6902" s="24"/>
      <c r="R6902"/>
      <c r="S6902"/>
      <c r="T6902"/>
      <c r="U6902"/>
      <c r="X6902" s="60"/>
    </row>
    <row r="6903" spans="7:24" ht="15" customHeight="1">
      <c r="G6903"/>
      <c r="I6903"/>
      <c r="N6903"/>
      <c r="O6903" s="24"/>
      <c r="P6903"/>
      <c r="Q6903" s="24"/>
      <c r="R6903"/>
      <c r="S6903"/>
      <c r="T6903"/>
      <c r="U6903"/>
      <c r="X6903" s="60"/>
    </row>
    <row r="6904" spans="7:24" ht="15" customHeight="1">
      <c r="G6904"/>
      <c r="I6904"/>
      <c r="N6904"/>
      <c r="O6904" s="24"/>
      <c r="P6904"/>
      <c r="Q6904" s="24"/>
      <c r="R6904"/>
      <c r="S6904"/>
      <c r="T6904"/>
      <c r="U6904"/>
      <c r="X6904" s="60"/>
    </row>
    <row r="6905" spans="7:24" ht="15" customHeight="1">
      <c r="G6905"/>
      <c r="I6905"/>
      <c r="N6905"/>
      <c r="O6905" s="24"/>
      <c r="P6905"/>
      <c r="Q6905" s="24"/>
      <c r="R6905"/>
      <c r="S6905"/>
      <c r="T6905"/>
      <c r="U6905"/>
      <c r="X6905" s="60"/>
    </row>
    <row r="6906" spans="7:24" ht="15" customHeight="1">
      <c r="G6906"/>
      <c r="I6906"/>
      <c r="N6906"/>
      <c r="O6906" s="24"/>
      <c r="P6906"/>
      <c r="Q6906" s="24"/>
      <c r="R6906"/>
      <c r="S6906"/>
      <c r="T6906"/>
      <c r="U6906"/>
      <c r="X6906" s="60"/>
    </row>
    <row r="6907" spans="7:24" ht="15" customHeight="1">
      <c r="G6907"/>
      <c r="I6907"/>
      <c r="N6907"/>
      <c r="O6907" s="24"/>
      <c r="P6907"/>
      <c r="Q6907" s="24"/>
      <c r="R6907"/>
      <c r="S6907"/>
      <c r="T6907"/>
      <c r="U6907"/>
      <c r="X6907" s="60"/>
    </row>
    <row r="6908" spans="7:24" ht="15" customHeight="1">
      <c r="G6908"/>
      <c r="I6908"/>
      <c r="N6908"/>
      <c r="O6908" s="24"/>
      <c r="P6908"/>
      <c r="Q6908" s="24"/>
      <c r="R6908"/>
      <c r="S6908"/>
      <c r="T6908"/>
      <c r="U6908"/>
      <c r="X6908" s="60"/>
    </row>
    <row r="6909" spans="7:24" ht="15" customHeight="1">
      <c r="G6909"/>
      <c r="I6909"/>
      <c r="N6909"/>
      <c r="O6909" s="24"/>
      <c r="P6909"/>
      <c r="Q6909" s="24"/>
      <c r="R6909"/>
      <c r="S6909"/>
      <c r="T6909"/>
      <c r="U6909"/>
      <c r="X6909" s="60"/>
    </row>
    <row r="6910" spans="7:24" ht="15" customHeight="1">
      <c r="G6910"/>
      <c r="I6910"/>
      <c r="N6910"/>
      <c r="O6910" s="24"/>
      <c r="P6910"/>
      <c r="Q6910" s="24"/>
      <c r="R6910"/>
      <c r="S6910"/>
      <c r="T6910"/>
      <c r="U6910"/>
      <c r="X6910" s="60"/>
    </row>
    <row r="6911" spans="7:24" ht="15" customHeight="1">
      <c r="G6911"/>
      <c r="I6911"/>
      <c r="N6911"/>
      <c r="O6911" s="24"/>
      <c r="P6911"/>
      <c r="Q6911" s="24"/>
      <c r="R6911"/>
      <c r="S6911"/>
      <c r="T6911"/>
      <c r="U6911"/>
      <c r="X6911" s="60"/>
    </row>
    <row r="6912" spans="7:24" ht="15" customHeight="1">
      <c r="G6912"/>
      <c r="I6912"/>
      <c r="N6912"/>
      <c r="O6912" s="24"/>
      <c r="P6912"/>
      <c r="Q6912" s="24"/>
      <c r="R6912"/>
      <c r="S6912"/>
      <c r="T6912"/>
      <c r="U6912"/>
      <c r="X6912" s="60"/>
    </row>
    <row r="6913" spans="7:24" ht="15" customHeight="1">
      <c r="G6913"/>
      <c r="I6913"/>
      <c r="N6913"/>
      <c r="O6913" s="24"/>
      <c r="P6913"/>
      <c r="Q6913" s="24"/>
      <c r="R6913"/>
      <c r="S6913"/>
      <c r="T6913"/>
      <c r="U6913"/>
      <c r="X6913" s="60"/>
    </row>
    <row r="6914" spans="7:24" ht="15" customHeight="1">
      <c r="G6914"/>
      <c r="I6914"/>
      <c r="N6914"/>
      <c r="O6914" s="24"/>
      <c r="P6914"/>
      <c r="Q6914" s="24"/>
      <c r="R6914"/>
      <c r="S6914"/>
      <c r="T6914"/>
      <c r="U6914"/>
      <c r="X6914" s="60"/>
    </row>
    <row r="6915" spans="7:24" ht="15" customHeight="1">
      <c r="G6915"/>
      <c r="I6915"/>
      <c r="N6915"/>
      <c r="O6915" s="24"/>
      <c r="P6915"/>
      <c r="Q6915" s="24"/>
      <c r="R6915"/>
      <c r="S6915"/>
      <c r="T6915"/>
      <c r="U6915"/>
      <c r="X6915" s="60"/>
    </row>
    <row r="6916" spans="7:24" ht="15" customHeight="1">
      <c r="G6916"/>
      <c r="I6916"/>
      <c r="N6916"/>
      <c r="O6916" s="24"/>
      <c r="P6916"/>
      <c r="Q6916" s="24"/>
      <c r="R6916"/>
      <c r="S6916"/>
      <c r="T6916"/>
      <c r="U6916"/>
      <c r="X6916" s="60"/>
    </row>
    <row r="6917" spans="7:24" ht="15" customHeight="1">
      <c r="G6917"/>
      <c r="I6917"/>
      <c r="N6917"/>
      <c r="O6917" s="24"/>
      <c r="P6917"/>
      <c r="Q6917" s="24"/>
      <c r="R6917"/>
      <c r="S6917"/>
      <c r="T6917"/>
      <c r="U6917"/>
      <c r="X6917" s="60"/>
    </row>
    <row r="6918" spans="7:24" ht="15" customHeight="1">
      <c r="G6918"/>
      <c r="I6918"/>
      <c r="N6918"/>
      <c r="O6918" s="24"/>
      <c r="P6918"/>
      <c r="Q6918" s="24"/>
      <c r="R6918"/>
      <c r="S6918"/>
      <c r="T6918"/>
      <c r="U6918"/>
      <c r="X6918" s="60"/>
    </row>
    <row r="6919" spans="7:24" ht="15" customHeight="1">
      <c r="G6919"/>
      <c r="I6919"/>
      <c r="N6919"/>
      <c r="O6919" s="24"/>
      <c r="P6919"/>
      <c r="Q6919" s="24"/>
      <c r="R6919"/>
      <c r="S6919"/>
      <c r="T6919"/>
      <c r="U6919"/>
      <c r="X6919" s="60"/>
    </row>
    <row r="6920" spans="7:24" ht="15" customHeight="1">
      <c r="G6920"/>
      <c r="I6920"/>
      <c r="N6920"/>
      <c r="O6920" s="24"/>
      <c r="P6920"/>
      <c r="Q6920" s="24"/>
      <c r="R6920"/>
      <c r="S6920"/>
      <c r="T6920"/>
      <c r="U6920"/>
      <c r="X6920" s="60"/>
    </row>
    <row r="6921" spans="7:24" ht="15" customHeight="1">
      <c r="G6921"/>
      <c r="I6921"/>
      <c r="N6921"/>
      <c r="O6921" s="24"/>
      <c r="P6921"/>
      <c r="Q6921" s="24"/>
      <c r="R6921"/>
      <c r="S6921"/>
      <c r="T6921"/>
      <c r="U6921"/>
      <c r="X6921" s="60"/>
    </row>
    <row r="6922" spans="7:24" ht="15" customHeight="1">
      <c r="G6922"/>
      <c r="I6922"/>
      <c r="N6922"/>
      <c r="O6922" s="24"/>
      <c r="P6922"/>
      <c r="Q6922" s="24"/>
      <c r="R6922"/>
      <c r="S6922"/>
      <c r="T6922"/>
      <c r="U6922"/>
      <c r="X6922" s="60"/>
    </row>
    <row r="6923" spans="7:24" ht="15" customHeight="1">
      <c r="G6923"/>
      <c r="I6923"/>
      <c r="N6923"/>
      <c r="O6923" s="24"/>
      <c r="P6923"/>
      <c r="Q6923" s="24"/>
      <c r="R6923"/>
      <c r="S6923"/>
      <c r="T6923"/>
      <c r="U6923"/>
      <c r="X6923" s="60"/>
    </row>
    <row r="6924" spans="7:24" ht="15" customHeight="1">
      <c r="G6924"/>
      <c r="I6924"/>
      <c r="N6924"/>
      <c r="O6924" s="24"/>
      <c r="P6924"/>
      <c r="Q6924" s="24"/>
      <c r="R6924"/>
      <c r="S6924"/>
      <c r="T6924"/>
      <c r="U6924"/>
      <c r="X6924" s="60"/>
    </row>
    <row r="6925" spans="7:24" ht="15" customHeight="1">
      <c r="G6925"/>
      <c r="I6925"/>
      <c r="N6925"/>
      <c r="O6925" s="24"/>
      <c r="P6925"/>
      <c r="Q6925" s="24"/>
      <c r="R6925"/>
      <c r="S6925"/>
      <c r="T6925"/>
      <c r="U6925"/>
      <c r="X6925" s="60"/>
    </row>
    <row r="6926" spans="7:24" ht="15" customHeight="1">
      <c r="G6926"/>
      <c r="I6926"/>
      <c r="N6926"/>
      <c r="O6926" s="24"/>
      <c r="P6926"/>
      <c r="Q6926" s="24"/>
      <c r="R6926"/>
      <c r="S6926"/>
      <c r="T6926"/>
      <c r="U6926"/>
      <c r="X6926" s="60"/>
    </row>
    <row r="6927" spans="7:24" ht="15" customHeight="1">
      <c r="G6927"/>
      <c r="I6927"/>
      <c r="N6927"/>
      <c r="O6927" s="24"/>
      <c r="P6927"/>
      <c r="Q6927" s="24"/>
      <c r="R6927"/>
      <c r="S6927"/>
      <c r="T6927"/>
      <c r="U6927"/>
      <c r="X6927" s="60"/>
    </row>
    <row r="6928" spans="7:24" ht="15" customHeight="1">
      <c r="G6928"/>
      <c r="I6928"/>
      <c r="N6928"/>
      <c r="O6928" s="24"/>
      <c r="P6928"/>
      <c r="Q6928" s="24"/>
      <c r="R6928"/>
      <c r="S6928"/>
      <c r="T6928"/>
      <c r="U6928"/>
      <c r="X6928" s="60"/>
    </row>
    <row r="6929" spans="7:24" ht="15" customHeight="1">
      <c r="G6929"/>
      <c r="I6929"/>
      <c r="N6929"/>
      <c r="O6929" s="24"/>
      <c r="P6929"/>
      <c r="Q6929" s="24"/>
      <c r="R6929"/>
      <c r="S6929"/>
      <c r="T6929"/>
      <c r="U6929"/>
      <c r="X6929" s="60"/>
    </row>
    <row r="6930" spans="7:24" ht="15" customHeight="1">
      <c r="G6930"/>
      <c r="I6930"/>
      <c r="N6930"/>
      <c r="O6930" s="24"/>
      <c r="P6930"/>
      <c r="Q6930" s="24"/>
      <c r="R6930"/>
      <c r="S6930"/>
      <c r="T6930"/>
      <c r="U6930"/>
      <c r="X6930" s="60"/>
    </row>
    <row r="6931" spans="7:24" ht="15" customHeight="1">
      <c r="G6931"/>
      <c r="I6931"/>
      <c r="N6931"/>
      <c r="O6931" s="24"/>
      <c r="P6931"/>
      <c r="Q6931" s="24"/>
      <c r="R6931"/>
      <c r="S6931"/>
      <c r="T6931"/>
      <c r="U6931"/>
      <c r="X6931" s="60"/>
    </row>
    <row r="6932" spans="7:24" ht="15" customHeight="1">
      <c r="G6932"/>
      <c r="I6932"/>
      <c r="N6932"/>
      <c r="O6932" s="24"/>
      <c r="P6932"/>
      <c r="Q6932" s="24"/>
      <c r="R6932"/>
      <c r="S6932"/>
      <c r="T6932"/>
      <c r="U6932"/>
      <c r="X6932" s="60"/>
    </row>
    <row r="6933" spans="7:24" ht="15" customHeight="1">
      <c r="G6933"/>
      <c r="I6933"/>
      <c r="N6933"/>
      <c r="O6933" s="24"/>
      <c r="P6933"/>
      <c r="Q6933" s="24"/>
      <c r="R6933"/>
      <c r="S6933"/>
      <c r="T6933"/>
      <c r="U6933"/>
      <c r="X6933" s="60"/>
    </row>
    <row r="6934" spans="7:24" ht="15" customHeight="1">
      <c r="G6934"/>
      <c r="I6934"/>
      <c r="N6934"/>
      <c r="O6934" s="24"/>
      <c r="P6934"/>
      <c r="Q6934" s="24"/>
      <c r="R6934"/>
      <c r="S6934"/>
      <c r="T6934"/>
      <c r="U6934"/>
      <c r="X6934" s="60"/>
    </row>
    <row r="6935" spans="7:24" ht="15" customHeight="1">
      <c r="G6935"/>
      <c r="I6935"/>
      <c r="N6935"/>
      <c r="O6935" s="24"/>
      <c r="P6935"/>
      <c r="Q6935" s="24"/>
      <c r="R6935"/>
      <c r="S6935"/>
      <c r="T6935"/>
      <c r="U6935"/>
      <c r="X6935" s="60"/>
    </row>
    <row r="6936" spans="7:24" ht="15" customHeight="1">
      <c r="G6936"/>
      <c r="I6936"/>
      <c r="N6936"/>
      <c r="O6936" s="24"/>
      <c r="P6936"/>
      <c r="Q6936" s="24"/>
      <c r="R6936"/>
      <c r="S6936"/>
      <c r="T6936"/>
      <c r="U6936"/>
      <c r="X6936" s="60"/>
    </row>
    <row r="6937" spans="7:24" ht="15" customHeight="1">
      <c r="G6937"/>
      <c r="I6937"/>
      <c r="N6937"/>
      <c r="O6937" s="24"/>
      <c r="P6937"/>
      <c r="Q6937" s="24"/>
      <c r="R6937"/>
      <c r="S6937"/>
      <c r="T6937"/>
      <c r="U6937"/>
      <c r="X6937" s="60"/>
    </row>
    <row r="6938" spans="7:24" ht="15" customHeight="1">
      <c r="G6938"/>
      <c r="I6938"/>
      <c r="N6938"/>
      <c r="O6938" s="24"/>
      <c r="P6938"/>
      <c r="Q6938" s="24"/>
      <c r="R6938"/>
      <c r="S6938"/>
      <c r="T6938"/>
      <c r="U6938"/>
      <c r="X6938" s="60"/>
    </row>
    <row r="6939" spans="7:24" ht="15" customHeight="1">
      <c r="G6939"/>
      <c r="I6939"/>
      <c r="N6939"/>
      <c r="O6939" s="24"/>
      <c r="P6939"/>
      <c r="Q6939" s="24"/>
      <c r="R6939"/>
      <c r="S6939"/>
      <c r="T6939"/>
      <c r="U6939"/>
      <c r="X6939" s="60"/>
    </row>
    <row r="6940" spans="7:24" ht="15" customHeight="1">
      <c r="G6940"/>
      <c r="I6940"/>
      <c r="N6940"/>
      <c r="O6940" s="24"/>
      <c r="P6940"/>
      <c r="Q6940" s="24"/>
      <c r="R6940"/>
      <c r="S6940"/>
      <c r="T6940"/>
      <c r="U6940"/>
      <c r="X6940" s="60"/>
    </row>
    <row r="6941" spans="7:24" ht="15" customHeight="1">
      <c r="G6941"/>
      <c r="I6941"/>
      <c r="N6941"/>
      <c r="O6941" s="24"/>
      <c r="P6941"/>
      <c r="Q6941" s="24"/>
      <c r="R6941"/>
      <c r="S6941"/>
      <c r="T6941"/>
      <c r="U6941"/>
      <c r="X6941" s="60"/>
    </row>
    <row r="6942" spans="7:24" ht="15" customHeight="1">
      <c r="G6942"/>
      <c r="I6942"/>
      <c r="N6942"/>
      <c r="O6942" s="24"/>
      <c r="P6942"/>
      <c r="Q6942" s="24"/>
      <c r="R6942"/>
      <c r="S6942"/>
      <c r="T6942"/>
      <c r="U6942"/>
      <c r="X6942" s="60"/>
    </row>
    <row r="6943" spans="7:24" ht="15" customHeight="1">
      <c r="G6943"/>
      <c r="I6943"/>
      <c r="N6943"/>
      <c r="O6943" s="24"/>
      <c r="P6943"/>
      <c r="Q6943" s="24"/>
      <c r="R6943"/>
      <c r="S6943"/>
      <c r="T6943"/>
      <c r="U6943"/>
      <c r="X6943" s="60"/>
    </row>
    <row r="6944" spans="7:24" ht="15" customHeight="1">
      <c r="G6944"/>
      <c r="I6944"/>
      <c r="N6944"/>
      <c r="O6944" s="24"/>
      <c r="P6944"/>
      <c r="Q6944" s="24"/>
      <c r="R6944"/>
      <c r="S6944"/>
      <c r="T6944"/>
      <c r="U6944"/>
      <c r="X6944" s="60"/>
    </row>
    <row r="6945" spans="7:24" ht="15" customHeight="1">
      <c r="G6945"/>
      <c r="I6945"/>
      <c r="N6945"/>
      <c r="O6945" s="24"/>
      <c r="P6945"/>
      <c r="Q6945" s="24"/>
      <c r="R6945"/>
      <c r="S6945"/>
      <c r="T6945"/>
      <c r="U6945"/>
      <c r="X6945" s="60"/>
    </row>
    <row r="6946" spans="7:24" ht="15" customHeight="1">
      <c r="G6946"/>
      <c r="I6946"/>
      <c r="N6946"/>
      <c r="O6946" s="24"/>
      <c r="P6946"/>
      <c r="Q6946" s="24"/>
      <c r="R6946"/>
      <c r="S6946"/>
      <c r="T6946"/>
      <c r="U6946"/>
      <c r="X6946" s="60"/>
    </row>
    <row r="6947" spans="7:24" ht="15" customHeight="1">
      <c r="G6947"/>
      <c r="I6947"/>
      <c r="N6947"/>
      <c r="O6947" s="24"/>
      <c r="P6947"/>
      <c r="Q6947" s="24"/>
      <c r="R6947"/>
      <c r="S6947"/>
      <c r="T6947"/>
      <c r="U6947"/>
      <c r="X6947" s="60"/>
    </row>
    <row r="6948" spans="7:24" ht="15" customHeight="1">
      <c r="G6948"/>
      <c r="I6948"/>
      <c r="N6948"/>
      <c r="O6948" s="24"/>
      <c r="P6948"/>
      <c r="Q6948" s="24"/>
      <c r="R6948"/>
      <c r="S6948"/>
      <c r="T6948"/>
      <c r="U6948"/>
      <c r="X6948" s="60"/>
    </row>
    <row r="6949" spans="7:24" ht="15" customHeight="1">
      <c r="G6949"/>
      <c r="I6949"/>
      <c r="N6949"/>
      <c r="O6949" s="24"/>
      <c r="P6949"/>
      <c r="Q6949" s="24"/>
      <c r="R6949"/>
      <c r="S6949"/>
      <c r="T6949"/>
      <c r="U6949"/>
      <c r="X6949" s="60"/>
    </row>
    <row r="6950" spans="7:24" ht="15" customHeight="1">
      <c r="G6950"/>
      <c r="I6950"/>
      <c r="N6950"/>
      <c r="O6950" s="24"/>
      <c r="P6950"/>
      <c r="Q6950" s="24"/>
      <c r="R6950"/>
      <c r="S6950"/>
      <c r="T6950"/>
      <c r="U6950"/>
      <c r="X6950" s="60"/>
    </row>
    <row r="6951" spans="7:24" ht="15" customHeight="1">
      <c r="G6951"/>
      <c r="I6951"/>
      <c r="N6951"/>
      <c r="O6951" s="24"/>
      <c r="P6951"/>
      <c r="Q6951" s="24"/>
      <c r="R6951"/>
      <c r="S6951"/>
      <c r="T6951"/>
      <c r="U6951"/>
      <c r="X6951" s="60"/>
    </row>
    <row r="6952" spans="7:24" ht="15" customHeight="1">
      <c r="G6952"/>
      <c r="I6952"/>
      <c r="N6952"/>
      <c r="O6952" s="24"/>
      <c r="P6952"/>
      <c r="Q6952" s="24"/>
      <c r="R6952"/>
      <c r="S6952"/>
      <c r="T6952"/>
      <c r="U6952"/>
      <c r="X6952" s="60"/>
    </row>
    <row r="6953" spans="7:24" ht="15" customHeight="1">
      <c r="G6953"/>
      <c r="I6953"/>
      <c r="N6953"/>
      <c r="O6953" s="24"/>
      <c r="P6953"/>
      <c r="Q6953" s="24"/>
      <c r="R6953"/>
      <c r="S6953"/>
      <c r="T6953"/>
      <c r="U6953"/>
      <c r="X6953" s="60"/>
    </row>
    <row r="6954" spans="7:24" ht="15" customHeight="1">
      <c r="G6954"/>
      <c r="I6954"/>
      <c r="N6954"/>
      <c r="O6954" s="24"/>
      <c r="P6954"/>
      <c r="Q6954" s="24"/>
      <c r="R6954"/>
      <c r="S6954"/>
      <c r="T6954"/>
      <c r="U6954"/>
      <c r="X6954" s="60"/>
    </row>
    <row r="6955" spans="7:24" ht="15" customHeight="1">
      <c r="G6955"/>
      <c r="I6955"/>
      <c r="N6955"/>
      <c r="O6955" s="24"/>
      <c r="P6955"/>
      <c r="Q6955" s="24"/>
      <c r="R6955"/>
      <c r="S6955"/>
      <c r="T6955"/>
      <c r="U6955"/>
      <c r="X6955" s="60"/>
    </row>
    <row r="6956" spans="7:24" ht="15" customHeight="1">
      <c r="G6956"/>
      <c r="I6956"/>
      <c r="N6956"/>
      <c r="O6956" s="24"/>
      <c r="P6956"/>
      <c r="Q6956" s="24"/>
      <c r="R6956"/>
      <c r="S6956"/>
      <c r="T6956"/>
      <c r="U6956"/>
      <c r="X6956" s="60"/>
    </row>
    <row r="6957" spans="7:24" ht="15" customHeight="1">
      <c r="G6957"/>
      <c r="I6957"/>
      <c r="N6957"/>
      <c r="O6957" s="24"/>
      <c r="P6957"/>
      <c r="Q6957" s="24"/>
      <c r="R6957"/>
      <c r="S6957"/>
      <c r="T6957"/>
      <c r="U6957"/>
      <c r="X6957" s="60"/>
    </row>
    <row r="6958" spans="7:24" ht="15" customHeight="1">
      <c r="G6958"/>
      <c r="I6958"/>
      <c r="N6958"/>
      <c r="O6958" s="24"/>
      <c r="P6958"/>
      <c r="Q6958" s="24"/>
      <c r="R6958"/>
      <c r="S6958"/>
      <c r="T6958"/>
      <c r="U6958"/>
      <c r="X6958" s="60"/>
    </row>
    <row r="6959" spans="7:24" ht="15" customHeight="1">
      <c r="G6959"/>
      <c r="I6959"/>
      <c r="N6959"/>
      <c r="O6959" s="24"/>
      <c r="P6959"/>
      <c r="Q6959" s="24"/>
      <c r="R6959"/>
      <c r="S6959"/>
      <c r="T6959"/>
      <c r="U6959"/>
      <c r="X6959" s="60"/>
    </row>
    <row r="6960" spans="7:24" ht="15" customHeight="1">
      <c r="G6960"/>
      <c r="I6960"/>
      <c r="N6960"/>
      <c r="O6960" s="24"/>
      <c r="P6960"/>
      <c r="Q6960" s="24"/>
      <c r="R6960"/>
      <c r="S6960"/>
      <c r="T6960"/>
      <c r="U6960"/>
      <c r="X6960" s="60"/>
    </row>
    <row r="6961" spans="7:24" ht="15" customHeight="1">
      <c r="G6961"/>
      <c r="I6961"/>
      <c r="N6961"/>
      <c r="O6961" s="24"/>
      <c r="P6961"/>
      <c r="Q6961" s="24"/>
      <c r="R6961"/>
      <c r="S6961"/>
      <c r="T6961"/>
      <c r="U6961"/>
      <c r="X6961" s="60"/>
    </row>
    <row r="6962" spans="7:24" ht="15" customHeight="1">
      <c r="G6962"/>
      <c r="I6962"/>
      <c r="N6962"/>
      <c r="O6962" s="24"/>
      <c r="P6962"/>
      <c r="Q6962" s="24"/>
      <c r="R6962"/>
      <c r="S6962"/>
      <c r="T6962"/>
      <c r="U6962"/>
      <c r="X6962" s="60"/>
    </row>
    <row r="6963" spans="7:24" ht="15" customHeight="1">
      <c r="G6963"/>
      <c r="I6963"/>
      <c r="N6963"/>
      <c r="O6963" s="24"/>
      <c r="P6963"/>
      <c r="Q6963" s="24"/>
      <c r="R6963"/>
      <c r="S6963"/>
      <c r="T6963"/>
      <c r="U6963"/>
      <c r="X6963" s="60"/>
    </row>
    <row r="6964" spans="7:24" ht="15" customHeight="1">
      <c r="G6964"/>
      <c r="I6964"/>
      <c r="N6964"/>
      <c r="O6964" s="24"/>
      <c r="P6964"/>
      <c r="Q6964" s="24"/>
      <c r="R6964"/>
      <c r="S6964"/>
      <c r="T6964"/>
      <c r="U6964"/>
      <c r="X6964" s="60"/>
    </row>
    <row r="6965" spans="7:24" ht="15" customHeight="1">
      <c r="G6965"/>
      <c r="I6965"/>
      <c r="N6965"/>
      <c r="O6965" s="24"/>
      <c r="P6965"/>
      <c r="Q6965" s="24"/>
      <c r="R6965"/>
      <c r="S6965"/>
      <c r="T6965"/>
      <c r="U6965"/>
      <c r="X6965" s="60"/>
    </row>
    <row r="6966" spans="7:24" ht="15" customHeight="1">
      <c r="G6966"/>
      <c r="I6966"/>
      <c r="N6966"/>
      <c r="O6966" s="24"/>
      <c r="P6966"/>
      <c r="Q6966" s="24"/>
      <c r="R6966"/>
      <c r="S6966"/>
      <c r="T6966"/>
      <c r="U6966"/>
      <c r="X6966" s="60"/>
    </row>
    <row r="6967" spans="7:24" ht="15" customHeight="1">
      <c r="G6967"/>
      <c r="I6967"/>
      <c r="N6967"/>
      <c r="O6967" s="24"/>
      <c r="P6967"/>
      <c r="Q6967" s="24"/>
      <c r="R6967"/>
      <c r="S6967"/>
      <c r="T6967"/>
      <c r="U6967"/>
      <c r="X6967" s="60"/>
    </row>
    <row r="6968" spans="7:24" ht="15" customHeight="1">
      <c r="G6968"/>
      <c r="I6968"/>
      <c r="N6968"/>
      <c r="O6968" s="24"/>
      <c r="P6968"/>
      <c r="Q6968" s="24"/>
      <c r="R6968"/>
      <c r="S6968"/>
      <c r="T6968"/>
      <c r="U6968"/>
      <c r="X6968" s="60"/>
    </row>
    <row r="6969" spans="7:24" ht="15" customHeight="1">
      <c r="G6969"/>
      <c r="I6969"/>
      <c r="N6969"/>
      <c r="O6969" s="24"/>
      <c r="P6969"/>
      <c r="Q6969" s="24"/>
      <c r="R6969"/>
      <c r="S6969"/>
      <c r="T6969"/>
      <c r="U6969"/>
      <c r="X6969" s="60"/>
    </row>
    <row r="6970" spans="7:24" ht="15" customHeight="1">
      <c r="G6970"/>
      <c r="I6970"/>
      <c r="N6970"/>
      <c r="O6970" s="24"/>
      <c r="P6970"/>
      <c r="Q6970" s="24"/>
      <c r="R6970"/>
      <c r="S6970"/>
      <c r="T6970"/>
      <c r="U6970"/>
      <c r="X6970" s="60"/>
    </row>
    <row r="6971" spans="7:24" ht="15" customHeight="1">
      <c r="G6971"/>
      <c r="I6971"/>
      <c r="N6971"/>
      <c r="O6971" s="24"/>
      <c r="P6971"/>
      <c r="Q6971" s="24"/>
      <c r="R6971"/>
      <c r="S6971"/>
      <c r="T6971"/>
      <c r="U6971"/>
      <c r="X6971" s="60"/>
    </row>
    <row r="6972" spans="7:24" ht="15" customHeight="1">
      <c r="G6972"/>
      <c r="I6972"/>
      <c r="N6972"/>
      <c r="O6972" s="24"/>
      <c r="P6972"/>
      <c r="Q6972" s="24"/>
      <c r="R6972"/>
      <c r="S6972"/>
      <c r="T6972"/>
      <c r="U6972"/>
      <c r="X6972" s="60"/>
    </row>
    <row r="6973" spans="7:24" ht="15" customHeight="1">
      <c r="G6973"/>
      <c r="I6973"/>
      <c r="N6973"/>
      <c r="O6973" s="24"/>
      <c r="P6973"/>
      <c r="Q6973" s="24"/>
      <c r="R6973"/>
      <c r="S6973"/>
      <c r="T6973"/>
      <c r="U6973"/>
      <c r="X6973" s="60"/>
    </row>
    <row r="6974" spans="7:24" ht="15" customHeight="1">
      <c r="G6974"/>
      <c r="I6974"/>
      <c r="N6974"/>
      <c r="O6974" s="24"/>
      <c r="P6974"/>
      <c r="Q6974" s="24"/>
      <c r="R6974"/>
      <c r="S6974"/>
      <c r="T6974"/>
      <c r="U6974"/>
      <c r="X6974" s="60"/>
    </row>
    <row r="6975" spans="7:24" ht="15" customHeight="1">
      <c r="G6975"/>
      <c r="I6975"/>
      <c r="N6975"/>
      <c r="O6975" s="24"/>
      <c r="P6975"/>
      <c r="Q6975" s="24"/>
      <c r="R6975"/>
      <c r="S6975"/>
      <c r="T6975"/>
      <c r="U6975"/>
      <c r="X6975" s="60"/>
    </row>
    <row r="6976" spans="7:24" ht="15" customHeight="1">
      <c r="G6976"/>
      <c r="I6976"/>
      <c r="N6976"/>
      <c r="O6976" s="24"/>
      <c r="P6976"/>
      <c r="Q6976" s="24"/>
      <c r="R6976"/>
      <c r="S6976"/>
      <c r="T6976"/>
      <c r="U6976"/>
      <c r="X6976" s="60"/>
    </row>
    <row r="6977" spans="7:24" ht="15" customHeight="1">
      <c r="G6977"/>
      <c r="I6977"/>
      <c r="N6977"/>
      <c r="O6977" s="24"/>
      <c r="P6977"/>
      <c r="Q6977" s="24"/>
      <c r="R6977"/>
      <c r="S6977"/>
      <c r="T6977"/>
      <c r="U6977"/>
      <c r="X6977" s="60"/>
    </row>
    <row r="6978" spans="7:24" ht="15" customHeight="1">
      <c r="G6978"/>
      <c r="I6978"/>
      <c r="N6978"/>
      <c r="O6978" s="24"/>
      <c r="P6978"/>
      <c r="Q6978" s="24"/>
      <c r="R6978"/>
      <c r="S6978"/>
      <c r="T6978"/>
      <c r="U6978"/>
      <c r="X6978" s="60"/>
    </row>
    <row r="6979" spans="7:24" ht="15" customHeight="1">
      <c r="G6979"/>
      <c r="I6979"/>
      <c r="N6979"/>
      <c r="O6979" s="24"/>
      <c r="P6979"/>
      <c r="Q6979" s="24"/>
      <c r="R6979"/>
      <c r="S6979"/>
      <c r="T6979"/>
      <c r="U6979"/>
      <c r="X6979" s="60"/>
    </row>
    <row r="6980" spans="7:24" ht="15" customHeight="1">
      <c r="G6980"/>
      <c r="I6980"/>
      <c r="N6980"/>
      <c r="O6980" s="24"/>
      <c r="P6980"/>
      <c r="Q6980" s="24"/>
      <c r="R6980"/>
      <c r="S6980"/>
      <c r="T6980"/>
      <c r="U6980"/>
      <c r="X6980" s="60"/>
    </row>
    <row r="6981" spans="7:24" ht="15" customHeight="1">
      <c r="G6981"/>
      <c r="I6981"/>
      <c r="N6981"/>
      <c r="O6981" s="24"/>
      <c r="P6981"/>
      <c r="Q6981" s="24"/>
      <c r="R6981"/>
      <c r="S6981"/>
      <c r="T6981"/>
      <c r="U6981"/>
      <c r="X6981" s="60"/>
    </row>
    <row r="6982" spans="7:24" ht="15" customHeight="1">
      <c r="G6982"/>
      <c r="I6982"/>
      <c r="N6982"/>
      <c r="O6982" s="24"/>
      <c r="P6982"/>
      <c r="Q6982" s="24"/>
      <c r="R6982"/>
      <c r="S6982"/>
      <c r="T6982"/>
      <c r="U6982"/>
      <c r="X6982" s="60"/>
    </row>
    <row r="6983" spans="7:24" ht="15" customHeight="1">
      <c r="G6983"/>
      <c r="I6983"/>
      <c r="N6983"/>
      <c r="O6983" s="24"/>
      <c r="P6983"/>
      <c r="Q6983" s="24"/>
      <c r="R6983"/>
      <c r="S6983"/>
      <c r="T6983"/>
      <c r="U6983"/>
      <c r="X6983" s="60"/>
    </row>
    <row r="6984" spans="7:24" ht="15" customHeight="1">
      <c r="G6984"/>
      <c r="I6984"/>
      <c r="N6984"/>
      <c r="O6984" s="24"/>
      <c r="P6984"/>
      <c r="Q6984" s="24"/>
      <c r="R6984"/>
      <c r="S6984"/>
      <c r="T6984"/>
      <c r="U6984"/>
      <c r="X6984" s="60"/>
    </row>
    <row r="6985" spans="7:24" ht="15" customHeight="1">
      <c r="G6985"/>
      <c r="I6985"/>
      <c r="N6985"/>
      <c r="O6985" s="24"/>
      <c r="P6985"/>
      <c r="Q6985" s="24"/>
      <c r="R6985"/>
      <c r="S6985"/>
      <c r="T6985"/>
      <c r="U6985"/>
      <c r="X6985" s="60"/>
    </row>
    <row r="6986" spans="7:24" ht="15" customHeight="1">
      <c r="G6986"/>
      <c r="I6986"/>
      <c r="N6986"/>
      <c r="O6986" s="24"/>
      <c r="P6986"/>
      <c r="Q6986" s="24"/>
      <c r="R6986"/>
      <c r="S6986"/>
      <c r="T6986"/>
      <c r="U6986"/>
      <c r="X6986" s="60"/>
    </row>
    <row r="6987" spans="7:24" ht="15" customHeight="1">
      <c r="G6987"/>
      <c r="I6987"/>
      <c r="N6987"/>
      <c r="O6987" s="24"/>
      <c r="P6987"/>
      <c r="Q6987" s="24"/>
      <c r="R6987"/>
      <c r="S6987"/>
      <c r="T6987"/>
      <c r="U6987"/>
      <c r="X6987" s="60"/>
    </row>
    <row r="6988" spans="7:24" ht="15" customHeight="1">
      <c r="G6988"/>
      <c r="I6988"/>
      <c r="N6988"/>
      <c r="O6988" s="24"/>
      <c r="P6988"/>
      <c r="Q6988" s="24"/>
      <c r="R6988"/>
      <c r="S6988"/>
      <c r="T6988"/>
      <c r="U6988"/>
      <c r="X6988" s="60"/>
    </row>
    <row r="6989" spans="7:24" ht="15" customHeight="1">
      <c r="G6989"/>
      <c r="I6989"/>
      <c r="N6989"/>
      <c r="O6989" s="24"/>
      <c r="P6989"/>
      <c r="Q6989" s="24"/>
      <c r="R6989"/>
      <c r="S6989"/>
      <c r="T6989"/>
      <c r="U6989"/>
      <c r="X6989" s="60"/>
    </row>
    <row r="6990" spans="7:24" ht="15" customHeight="1">
      <c r="G6990"/>
      <c r="I6990"/>
      <c r="N6990"/>
      <c r="O6990" s="24"/>
      <c r="P6990"/>
      <c r="Q6990" s="24"/>
      <c r="R6990"/>
      <c r="S6990"/>
      <c r="T6990"/>
      <c r="U6990"/>
      <c r="X6990" s="60"/>
    </row>
    <row r="6991" spans="7:24" ht="15" customHeight="1">
      <c r="G6991"/>
      <c r="I6991"/>
      <c r="N6991"/>
      <c r="O6991" s="24"/>
      <c r="P6991"/>
      <c r="Q6991" s="24"/>
      <c r="R6991"/>
      <c r="S6991"/>
      <c r="T6991"/>
      <c r="U6991"/>
      <c r="X6991" s="60"/>
    </row>
    <row r="6992" spans="7:24" ht="15" customHeight="1">
      <c r="G6992"/>
      <c r="I6992"/>
      <c r="N6992"/>
      <c r="O6992" s="24"/>
      <c r="P6992"/>
      <c r="Q6992" s="24"/>
      <c r="R6992"/>
      <c r="S6992"/>
      <c r="T6992"/>
      <c r="U6992"/>
      <c r="X6992" s="60"/>
    </row>
    <row r="6993" spans="7:24" ht="15" customHeight="1">
      <c r="G6993"/>
      <c r="I6993"/>
      <c r="N6993"/>
      <c r="O6993" s="24"/>
      <c r="P6993"/>
      <c r="Q6993" s="24"/>
      <c r="R6993"/>
      <c r="S6993"/>
      <c r="T6993"/>
      <c r="U6993"/>
      <c r="X6993" s="60"/>
    </row>
    <row r="6994" spans="7:24" ht="15" customHeight="1">
      <c r="G6994"/>
      <c r="I6994"/>
      <c r="N6994"/>
      <c r="O6994" s="24"/>
      <c r="P6994"/>
      <c r="Q6994" s="24"/>
      <c r="R6994"/>
      <c r="S6994"/>
      <c r="T6994"/>
      <c r="U6994"/>
      <c r="X6994" s="60"/>
    </row>
    <row r="6995" spans="7:24" ht="15" customHeight="1">
      <c r="G6995"/>
      <c r="I6995"/>
      <c r="N6995"/>
      <c r="O6995" s="24"/>
      <c r="P6995"/>
      <c r="Q6995" s="24"/>
      <c r="R6995"/>
      <c r="S6995"/>
      <c r="T6995"/>
      <c r="U6995"/>
      <c r="X6995" s="60"/>
    </row>
    <row r="6996" spans="7:24" ht="15" customHeight="1">
      <c r="G6996"/>
      <c r="I6996"/>
      <c r="N6996"/>
      <c r="O6996" s="24"/>
      <c r="P6996"/>
      <c r="Q6996" s="24"/>
      <c r="R6996"/>
      <c r="S6996"/>
      <c r="T6996"/>
      <c r="U6996"/>
      <c r="X6996" s="60"/>
    </row>
    <row r="6997" spans="7:24" ht="15" customHeight="1">
      <c r="G6997"/>
      <c r="I6997"/>
      <c r="N6997"/>
      <c r="O6997" s="24"/>
      <c r="P6997"/>
      <c r="Q6997" s="24"/>
      <c r="R6997"/>
      <c r="S6997"/>
      <c r="T6997"/>
      <c r="U6997"/>
      <c r="X6997" s="60"/>
    </row>
    <row r="6998" spans="7:24" ht="15" customHeight="1">
      <c r="G6998"/>
      <c r="I6998"/>
      <c r="N6998"/>
      <c r="O6998" s="24"/>
      <c r="P6998"/>
      <c r="Q6998" s="24"/>
      <c r="R6998"/>
      <c r="S6998"/>
      <c r="T6998"/>
      <c r="U6998"/>
      <c r="X6998" s="60"/>
    </row>
    <row r="6999" spans="7:24" ht="15" customHeight="1">
      <c r="G6999"/>
      <c r="I6999"/>
      <c r="N6999"/>
      <c r="O6999" s="24"/>
      <c r="P6999"/>
      <c r="Q6999" s="24"/>
      <c r="R6999"/>
      <c r="S6999"/>
      <c r="T6999"/>
      <c r="U6999"/>
      <c r="X6999" s="60"/>
    </row>
    <row r="7000" spans="7:24" ht="15" customHeight="1">
      <c r="G7000"/>
      <c r="I7000"/>
      <c r="N7000"/>
      <c r="O7000" s="24"/>
      <c r="P7000"/>
      <c r="Q7000" s="24"/>
      <c r="R7000"/>
      <c r="S7000"/>
      <c r="T7000"/>
      <c r="U7000"/>
      <c r="X7000" s="60"/>
    </row>
    <row r="7001" spans="7:24" ht="15" customHeight="1">
      <c r="G7001"/>
      <c r="I7001"/>
      <c r="N7001"/>
      <c r="O7001" s="24"/>
      <c r="P7001"/>
      <c r="Q7001" s="24"/>
      <c r="R7001"/>
      <c r="S7001"/>
      <c r="T7001"/>
      <c r="U7001"/>
      <c r="X7001" s="60"/>
    </row>
    <row r="7002" spans="7:24" ht="15" customHeight="1">
      <c r="G7002"/>
      <c r="I7002"/>
      <c r="N7002"/>
      <c r="O7002" s="24"/>
      <c r="P7002"/>
      <c r="Q7002" s="24"/>
      <c r="R7002"/>
      <c r="S7002"/>
      <c r="T7002"/>
      <c r="U7002"/>
      <c r="X7002" s="60"/>
    </row>
    <row r="7003" spans="7:24" ht="15" customHeight="1">
      <c r="G7003"/>
      <c r="I7003"/>
      <c r="N7003"/>
      <c r="O7003" s="24"/>
      <c r="P7003"/>
      <c r="Q7003" s="24"/>
      <c r="R7003"/>
      <c r="S7003"/>
      <c r="T7003"/>
      <c r="U7003"/>
      <c r="X7003" s="60"/>
    </row>
    <row r="7004" spans="7:24" ht="15" customHeight="1">
      <c r="G7004"/>
      <c r="I7004"/>
      <c r="N7004"/>
      <c r="O7004" s="24"/>
      <c r="P7004"/>
      <c r="Q7004" s="24"/>
      <c r="R7004"/>
      <c r="S7004"/>
      <c r="T7004"/>
      <c r="U7004"/>
      <c r="X7004" s="60"/>
    </row>
    <row r="7005" spans="7:24" ht="15" customHeight="1">
      <c r="G7005"/>
      <c r="I7005"/>
      <c r="N7005"/>
      <c r="O7005" s="24"/>
      <c r="P7005"/>
      <c r="Q7005" s="24"/>
      <c r="R7005"/>
      <c r="S7005"/>
      <c r="T7005"/>
      <c r="U7005"/>
      <c r="X7005" s="60"/>
    </row>
    <row r="7006" spans="7:24" ht="15" customHeight="1">
      <c r="G7006"/>
      <c r="I7006"/>
      <c r="N7006"/>
      <c r="O7006" s="24"/>
      <c r="P7006"/>
      <c r="Q7006" s="24"/>
      <c r="R7006"/>
      <c r="S7006"/>
      <c r="T7006"/>
      <c r="U7006"/>
      <c r="X7006" s="60"/>
    </row>
    <row r="7007" spans="7:24" ht="15" customHeight="1">
      <c r="G7007"/>
      <c r="I7007"/>
      <c r="N7007"/>
      <c r="O7007" s="24"/>
      <c r="P7007"/>
      <c r="Q7007" s="24"/>
      <c r="R7007"/>
      <c r="S7007"/>
      <c r="T7007"/>
      <c r="U7007"/>
      <c r="X7007" s="60"/>
    </row>
    <row r="7008" spans="7:24" ht="15" customHeight="1">
      <c r="G7008"/>
      <c r="I7008"/>
      <c r="N7008"/>
      <c r="O7008" s="24"/>
      <c r="P7008"/>
      <c r="Q7008" s="24"/>
      <c r="R7008"/>
      <c r="S7008"/>
      <c r="T7008"/>
      <c r="U7008"/>
      <c r="X7008" s="60"/>
    </row>
    <row r="7009" spans="7:24" ht="15" customHeight="1">
      <c r="G7009"/>
      <c r="I7009"/>
      <c r="N7009"/>
      <c r="O7009" s="24"/>
      <c r="P7009"/>
      <c r="Q7009" s="24"/>
      <c r="R7009"/>
      <c r="S7009"/>
      <c r="T7009"/>
      <c r="U7009"/>
      <c r="X7009" s="60"/>
    </row>
    <row r="7010" spans="7:24" ht="15" customHeight="1">
      <c r="G7010"/>
      <c r="I7010"/>
      <c r="N7010"/>
      <c r="O7010" s="24"/>
      <c r="P7010"/>
      <c r="Q7010" s="24"/>
      <c r="R7010"/>
      <c r="S7010"/>
      <c r="T7010"/>
      <c r="U7010"/>
      <c r="X7010" s="60"/>
    </row>
    <row r="7011" spans="7:24" ht="15" customHeight="1">
      <c r="G7011"/>
      <c r="I7011"/>
      <c r="N7011"/>
      <c r="O7011" s="24"/>
      <c r="P7011"/>
      <c r="Q7011" s="24"/>
      <c r="R7011"/>
      <c r="S7011"/>
      <c r="T7011"/>
      <c r="U7011"/>
      <c r="X7011" s="60"/>
    </row>
    <row r="7012" spans="7:24" ht="15" customHeight="1">
      <c r="G7012"/>
      <c r="I7012"/>
      <c r="N7012"/>
      <c r="O7012" s="24"/>
      <c r="P7012"/>
      <c r="Q7012" s="24"/>
      <c r="R7012"/>
      <c r="S7012"/>
      <c r="T7012"/>
      <c r="U7012"/>
      <c r="X7012" s="60"/>
    </row>
    <row r="7013" spans="7:24" ht="15" customHeight="1">
      <c r="G7013"/>
      <c r="I7013"/>
      <c r="N7013"/>
      <c r="O7013" s="24"/>
      <c r="P7013"/>
      <c r="Q7013" s="24"/>
      <c r="R7013"/>
      <c r="S7013"/>
      <c r="T7013"/>
      <c r="U7013"/>
      <c r="X7013" s="60"/>
    </row>
    <row r="7014" spans="7:24" ht="15" customHeight="1">
      <c r="G7014"/>
      <c r="I7014"/>
      <c r="N7014"/>
      <c r="O7014" s="24"/>
      <c r="P7014"/>
      <c r="Q7014" s="24"/>
      <c r="R7014"/>
      <c r="S7014"/>
      <c r="T7014"/>
      <c r="U7014"/>
      <c r="X7014" s="60"/>
    </row>
    <row r="7015" spans="7:24" ht="15" customHeight="1">
      <c r="G7015"/>
      <c r="I7015"/>
      <c r="N7015"/>
      <c r="O7015" s="24"/>
      <c r="P7015"/>
      <c r="Q7015" s="24"/>
      <c r="R7015"/>
      <c r="S7015"/>
      <c r="T7015"/>
      <c r="U7015"/>
      <c r="X7015" s="60"/>
    </row>
    <row r="7016" spans="7:24" ht="15" customHeight="1">
      <c r="G7016"/>
      <c r="I7016"/>
      <c r="N7016"/>
      <c r="O7016" s="24"/>
      <c r="P7016"/>
      <c r="Q7016" s="24"/>
      <c r="R7016"/>
      <c r="S7016"/>
      <c r="T7016"/>
      <c r="U7016"/>
      <c r="X7016" s="60"/>
    </row>
    <row r="7017" spans="7:24" ht="15" customHeight="1">
      <c r="G7017"/>
      <c r="I7017"/>
      <c r="N7017"/>
      <c r="O7017" s="24"/>
      <c r="P7017"/>
      <c r="Q7017" s="24"/>
      <c r="R7017"/>
      <c r="S7017"/>
      <c r="T7017"/>
      <c r="U7017"/>
      <c r="X7017" s="60"/>
    </row>
    <row r="7018" spans="7:24" ht="15" customHeight="1">
      <c r="G7018"/>
      <c r="I7018"/>
      <c r="N7018"/>
      <c r="O7018" s="24"/>
      <c r="P7018"/>
      <c r="Q7018" s="24"/>
      <c r="R7018"/>
      <c r="S7018"/>
      <c r="T7018"/>
      <c r="U7018"/>
      <c r="X7018" s="60"/>
    </row>
    <row r="7019" spans="7:24" ht="15" customHeight="1">
      <c r="G7019"/>
      <c r="I7019"/>
      <c r="N7019"/>
      <c r="O7019" s="24"/>
      <c r="P7019"/>
      <c r="Q7019" s="24"/>
      <c r="R7019"/>
      <c r="S7019"/>
      <c r="T7019"/>
      <c r="U7019"/>
      <c r="X7019" s="60"/>
    </row>
    <row r="7020" spans="7:24" ht="15" customHeight="1">
      <c r="G7020"/>
      <c r="I7020"/>
      <c r="N7020"/>
      <c r="O7020" s="24"/>
      <c r="P7020"/>
      <c r="Q7020" s="24"/>
      <c r="R7020"/>
      <c r="S7020"/>
      <c r="T7020"/>
      <c r="U7020"/>
      <c r="X7020" s="60"/>
    </row>
    <row r="7021" spans="7:24" ht="15" customHeight="1">
      <c r="G7021"/>
      <c r="I7021"/>
      <c r="N7021"/>
      <c r="O7021" s="24"/>
      <c r="P7021"/>
      <c r="Q7021" s="24"/>
      <c r="R7021"/>
      <c r="S7021"/>
      <c r="T7021"/>
      <c r="U7021"/>
      <c r="X7021" s="60"/>
    </row>
    <row r="7022" spans="7:24" ht="15" customHeight="1">
      <c r="G7022"/>
      <c r="I7022"/>
      <c r="N7022"/>
      <c r="O7022" s="24"/>
      <c r="P7022"/>
      <c r="Q7022" s="24"/>
      <c r="R7022"/>
      <c r="S7022"/>
      <c r="T7022"/>
      <c r="U7022"/>
      <c r="X7022" s="60"/>
    </row>
    <row r="7023" spans="7:24" ht="15" customHeight="1">
      <c r="G7023"/>
      <c r="I7023"/>
      <c r="N7023"/>
      <c r="O7023" s="24"/>
      <c r="P7023"/>
      <c r="Q7023" s="24"/>
      <c r="R7023"/>
      <c r="S7023"/>
      <c r="T7023"/>
      <c r="U7023"/>
      <c r="X7023" s="60"/>
    </row>
    <row r="7024" spans="7:24" ht="15" customHeight="1">
      <c r="G7024"/>
      <c r="I7024"/>
      <c r="N7024"/>
      <c r="O7024" s="24"/>
      <c r="P7024"/>
      <c r="Q7024" s="24"/>
      <c r="R7024"/>
      <c r="S7024"/>
      <c r="T7024"/>
      <c r="U7024"/>
      <c r="X7024" s="60"/>
    </row>
    <row r="7025" spans="7:24" ht="15" customHeight="1">
      <c r="G7025"/>
      <c r="I7025"/>
      <c r="N7025"/>
      <c r="O7025" s="24"/>
      <c r="P7025"/>
      <c r="Q7025" s="24"/>
      <c r="R7025"/>
      <c r="S7025"/>
      <c r="T7025"/>
      <c r="U7025"/>
      <c r="X7025" s="60"/>
    </row>
    <row r="7026" spans="7:24" ht="15" customHeight="1">
      <c r="G7026"/>
      <c r="I7026"/>
      <c r="N7026"/>
      <c r="O7026" s="24"/>
      <c r="P7026"/>
      <c r="Q7026" s="24"/>
      <c r="R7026"/>
      <c r="S7026"/>
      <c r="T7026"/>
      <c r="U7026"/>
      <c r="X7026" s="60"/>
    </row>
    <row r="7027" spans="7:24" ht="15" customHeight="1">
      <c r="G7027"/>
      <c r="I7027"/>
      <c r="N7027"/>
      <c r="O7027" s="24"/>
      <c r="P7027"/>
      <c r="Q7027" s="24"/>
      <c r="R7027"/>
      <c r="S7027"/>
      <c r="T7027"/>
      <c r="U7027"/>
      <c r="X7027" s="60"/>
    </row>
    <row r="7028" spans="7:24" ht="15" customHeight="1">
      <c r="G7028"/>
      <c r="I7028"/>
      <c r="N7028"/>
      <c r="O7028" s="24"/>
      <c r="P7028"/>
      <c r="Q7028" s="24"/>
      <c r="R7028"/>
      <c r="S7028"/>
      <c r="T7028"/>
      <c r="U7028"/>
      <c r="X7028" s="60"/>
    </row>
    <row r="7029" spans="7:24" ht="15" customHeight="1">
      <c r="G7029"/>
      <c r="I7029"/>
      <c r="N7029"/>
      <c r="O7029" s="24"/>
      <c r="P7029"/>
      <c r="Q7029" s="24"/>
      <c r="R7029"/>
      <c r="S7029"/>
      <c r="T7029"/>
      <c r="U7029"/>
      <c r="X7029" s="60"/>
    </row>
    <row r="7030" spans="7:24" ht="15" customHeight="1">
      <c r="G7030"/>
      <c r="I7030"/>
      <c r="N7030"/>
      <c r="O7030" s="24"/>
      <c r="P7030"/>
      <c r="Q7030" s="24"/>
      <c r="R7030"/>
      <c r="S7030"/>
      <c r="T7030"/>
      <c r="U7030"/>
      <c r="X7030" s="60"/>
    </row>
    <row r="7031" spans="7:24" ht="15" customHeight="1">
      <c r="G7031"/>
      <c r="I7031"/>
      <c r="N7031"/>
      <c r="O7031" s="24"/>
      <c r="P7031"/>
      <c r="Q7031" s="24"/>
      <c r="R7031"/>
      <c r="S7031"/>
      <c r="T7031"/>
      <c r="U7031"/>
      <c r="X7031" s="60"/>
    </row>
    <row r="7032" spans="7:24" ht="15" customHeight="1">
      <c r="G7032"/>
      <c r="I7032"/>
      <c r="N7032"/>
      <c r="O7032" s="24"/>
      <c r="P7032"/>
      <c r="Q7032" s="24"/>
      <c r="R7032"/>
      <c r="S7032"/>
      <c r="T7032"/>
      <c r="U7032"/>
      <c r="X7032" s="60"/>
    </row>
    <row r="7033" spans="7:24" ht="15" customHeight="1">
      <c r="G7033"/>
      <c r="I7033"/>
      <c r="N7033"/>
      <c r="O7033" s="24"/>
      <c r="P7033"/>
      <c r="Q7033" s="24"/>
      <c r="R7033"/>
      <c r="S7033"/>
      <c r="T7033"/>
      <c r="U7033"/>
      <c r="X7033" s="60"/>
    </row>
    <row r="7034" spans="7:24" ht="15" customHeight="1">
      <c r="G7034"/>
      <c r="I7034"/>
      <c r="N7034"/>
      <c r="O7034" s="24"/>
      <c r="P7034"/>
      <c r="Q7034" s="24"/>
      <c r="R7034"/>
      <c r="S7034"/>
      <c r="T7034"/>
      <c r="U7034"/>
      <c r="X7034" s="60"/>
    </row>
    <row r="7035" spans="7:24" ht="15" customHeight="1">
      <c r="G7035"/>
      <c r="I7035"/>
      <c r="N7035"/>
      <c r="O7035" s="24"/>
      <c r="P7035"/>
      <c r="Q7035" s="24"/>
      <c r="R7035"/>
      <c r="S7035"/>
      <c r="T7035"/>
      <c r="U7035"/>
      <c r="X7035" s="60"/>
    </row>
    <row r="7036" spans="7:24" ht="15" customHeight="1">
      <c r="G7036"/>
      <c r="I7036"/>
      <c r="N7036"/>
      <c r="O7036" s="24"/>
      <c r="P7036"/>
      <c r="Q7036" s="24"/>
      <c r="R7036"/>
      <c r="S7036"/>
      <c r="T7036"/>
      <c r="U7036"/>
      <c r="X7036" s="60"/>
    </row>
    <row r="7037" spans="7:24" ht="15" customHeight="1">
      <c r="G7037"/>
      <c r="I7037"/>
      <c r="N7037"/>
      <c r="O7037" s="24"/>
      <c r="P7037"/>
      <c r="Q7037" s="24"/>
      <c r="R7037"/>
      <c r="S7037"/>
      <c r="T7037"/>
      <c r="U7037"/>
      <c r="X7037" s="60"/>
    </row>
    <row r="7038" spans="7:24" ht="15" customHeight="1">
      <c r="G7038"/>
      <c r="I7038"/>
      <c r="N7038"/>
      <c r="O7038" s="24"/>
      <c r="P7038"/>
      <c r="Q7038" s="24"/>
      <c r="R7038"/>
      <c r="S7038"/>
      <c r="T7038"/>
      <c r="U7038"/>
      <c r="X7038" s="60"/>
    </row>
    <row r="7039" spans="7:24" ht="15" customHeight="1">
      <c r="G7039"/>
      <c r="I7039"/>
      <c r="N7039"/>
      <c r="O7039" s="24"/>
      <c r="P7039"/>
      <c r="Q7039" s="24"/>
      <c r="R7039"/>
      <c r="S7039"/>
      <c r="T7039"/>
      <c r="U7039"/>
      <c r="X7039" s="60"/>
    </row>
    <row r="7040" spans="7:24" ht="15" customHeight="1">
      <c r="G7040"/>
      <c r="I7040"/>
      <c r="N7040"/>
      <c r="O7040" s="24"/>
      <c r="P7040"/>
      <c r="Q7040" s="24"/>
      <c r="R7040"/>
      <c r="S7040"/>
      <c r="T7040"/>
      <c r="U7040"/>
      <c r="X7040" s="60"/>
    </row>
    <row r="7041" spans="7:24" ht="15" customHeight="1">
      <c r="G7041"/>
      <c r="I7041"/>
      <c r="N7041"/>
      <c r="O7041" s="24"/>
      <c r="P7041"/>
      <c r="Q7041" s="24"/>
      <c r="R7041"/>
      <c r="S7041"/>
      <c r="T7041"/>
      <c r="U7041"/>
      <c r="X7041" s="60"/>
    </row>
    <row r="7042" spans="7:24" ht="15" customHeight="1">
      <c r="G7042"/>
      <c r="I7042"/>
      <c r="N7042"/>
      <c r="O7042" s="24"/>
      <c r="P7042"/>
      <c r="Q7042" s="24"/>
      <c r="R7042"/>
      <c r="S7042"/>
      <c r="T7042"/>
      <c r="U7042"/>
      <c r="X7042" s="60"/>
    </row>
    <row r="7043" spans="7:24" ht="15" customHeight="1">
      <c r="G7043"/>
      <c r="I7043"/>
      <c r="N7043"/>
      <c r="O7043" s="24"/>
      <c r="P7043"/>
      <c r="Q7043" s="24"/>
      <c r="R7043"/>
      <c r="S7043"/>
      <c r="T7043"/>
      <c r="U7043"/>
      <c r="X7043" s="60"/>
    </row>
    <row r="7044" spans="7:24" ht="15" customHeight="1">
      <c r="G7044"/>
      <c r="I7044"/>
      <c r="N7044"/>
      <c r="O7044" s="24"/>
      <c r="P7044"/>
      <c r="Q7044" s="24"/>
      <c r="R7044"/>
      <c r="S7044"/>
      <c r="T7044"/>
      <c r="U7044"/>
      <c r="X7044" s="60"/>
    </row>
    <row r="7045" spans="7:24" ht="15" customHeight="1">
      <c r="G7045"/>
      <c r="I7045"/>
      <c r="N7045"/>
      <c r="O7045" s="24"/>
      <c r="P7045"/>
      <c r="Q7045" s="24"/>
      <c r="R7045"/>
      <c r="S7045"/>
      <c r="T7045"/>
      <c r="U7045"/>
      <c r="X7045" s="60"/>
    </row>
    <row r="7046" spans="7:24" ht="15" customHeight="1">
      <c r="G7046"/>
      <c r="I7046"/>
      <c r="N7046"/>
      <c r="O7046" s="24"/>
      <c r="P7046"/>
      <c r="Q7046" s="24"/>
      <c r="R7046"/>
      <c r="S7046"/>
      <c r="T7046"/>
      <c r="U7046"/>
      <c r="X7046" s="60"/>
    </row>
    <row r="7047" spans="7:24" ht="15" customHeight="1">
      <c r="G7047"/>
      <c r="I7047"/>
      <c r="N7047"/>
      <c r="O7047" s="24"/>
      <c r="P7047"/>
      <c r="Q7047" s="24"/>
      <c r="R7047"/>
      <c r="S7047"/>
      <c r="T7047"/>
      <c r="U7047"/>
      <c r="X7047" s="60"/>
    </row>
    <row r="7048" spans="7:24" ht="15" customHeight="1">
      <c r="G7048"/>
      <c r="I7048"/>
      <c r="N7048"/>
      <c r="O7048" s="24"/>
      <c r="P7048"/>
      <c r="Q7048" s="24"/>
      <c r="R7048"/>
      <c r="S7048"/>
      <c r="T7048"/>
      <c r="U7048"/>
      <c r="X7048" s="60"/>
    </row>
    <row r="7049" spans="7:24" ht="15" customHeight="1">
      <c r="G7049"/>
      <c r="I7049"/>
      <c r="N7049"/>
      <c r="O7049" s="24"/>
      <c r="P7049"/>
      <c r="Q7049" s="24"/>
      <c r="R7049"/>
      <c r="S7049"/>
      <c r="T7049"/>
      <c r="U7049"/>
      <c r="X7049" s="60"/>
    </row>
    <row r="7050" spans="7:24" ht="15" customHeight="1">
      <c r="G7050"/>
      <c r="I7050"/>
      <c r="N7050"/>
      <c r="O7050" s="24"/>
      <c r="P7050"/>
      <c r="Q7050" s="24"/>
      <c r="R7050"/>
      <c r="S7050"/>
      <c r="T7050"/>
      <c r="U7050"/>
      <c r="X7050" s="60"/>
    </row>
    <row r="7051" spans="7:24" ht="15" customHeight="1">
      <c r="G7051"/>
      <c r="I7051"/>
      <c r="N7051"/>
      <c r="O7051" s="24"/>
      <c r="P7051"/>
      <c r="Q7051" s="24"/>
      <c r="R7051"/>
      <c r="S7051"/>
      <c r="T7051"/>
      <c r="U7051"/>
      <c r="X7051" s="60"/>
    </row>
    <row r="7052" spans="7:24" ht="15" customHeight="1">
      <c r="G7052"/>
      <c r="I7052"/>
      <c r="N7052"/>
      <c r="O7052" s="24"/>
      <c r="P7052"/>
      <c r="Q7052" s="24"/>
      <c r="R7052"/>
      <c r="S7052"/>
      <c r="T7052"/>
      <c r="U7052"/>
      <c r="X7052" s="60"/>
    </row>
    <row r="7053" spans="7:24" ht="15" customHeight="1">
      <c r="G7053"/>
      <c r="I7053"/>
      <c r="N7053"/>
      <c r="O7053" s="24"/>
      <c r="P7053"/>
      <c r="Q7053" s="24"/>
      <c r="R7053"/>
      <c r="S7053"/>
      <c r="T7053"/>
      <c r="U7053"/>
      <c r="X7053" s="60"/>
    </row>
    <row r="7054" spans="7:24" ht="15" customHeight="1">
      <c r="G7054"/>
      <c r="I7054"/>
      <c r="N7054"/>
      <c r="O7054" s="24"/>
      <c r="P7054"/>
      <c r="Q7054" s="24"/>
      <c r="R7054"/>
      <c r="S7054"/>
      <c r="T7054"/>
      <c r="U7054"/>
      <c r="X7054" s="60"/>
    </row>
    <row r="7055" spans="7:24" ht="15" customHeight="1">
      <c r="G7055"/>
      <c r="I7055"/>
      <c r="N7055"/>
      <c r="O7055" s="24"/>
      <c r="P7055"/>
      <c r="Q7055" s="24"/>
      <c r="R7055"/>
      <c r="S7055"/>
      <c r="T7055"/>
      <c r="U7055"/>
      <c r="X7055" s="60"/>
    </row>
    <row r="7056" spans="7:24" ht="15" customHeight="1">
      <c r="G7056"/>
      <c r="I7056"/>
      <c r="N7056"/>
      <c r="O7056" s="24"/>
      <c r="P7056"/>
      <c r="Q7056" s="24"/>
      <c r="R7056"/>
      <c r="S7056"/>
      <c r="T7056"/>
      <c r="U7056"/>
      <c r="X7056" s="60"/>
    </row>
    <row r="7057" spans="7:24" ht="15" customHeight="1">
      <c r="G7057"/>
      <c r="I7057"/>
      <c r="N7057"/>
      <c r="O7057" s="24"/>
      <c r="P7057"/>
      <c r="Q7057" s="24"/>
      <c r="R7057"/>
      <c r="S7057"/>
      <c r="T7057"/>
      <c r="U7057"/>
      <c r="X7057" s="60"/>
    </row>
    <row r="7058" spans="7:24" ht="15" customHeight="1">
      <c r="G7058"/>
      <c r="I7058"/>
      <c r="N7058"/>
      <c r="O7058" s="24"/>
      <c r="P7058"/>
      <c r="Q7058" s="24"/>
      <c r="R7058"/>
      <c r="S7058"/>
      <c r="T7058"/>
      <c r="U7058"/>
      <c r="X7058" s="60"/>
    </row>
    <row r="7059" spans="7:24" ht="15" customHeight="1">
      <c r="G7059"/>
      <c r="I7059"/>
      <c r="N7059"/>
      <c r="O7059" s="24"/>
      <c r="P7059"/>
      <c r="Q7059" s="24"/>
      <c r="R7059"/>
      <c r="S7059"/>
      <c r="T7059"/>
      <c r="U7059"/>
      <c r="X7059" s="60"/>
    </row>
    <row r="7060" spans="7:24" ht="15" customHeight="1">
      <c r="G7060"/>
      <c r="I7060"/>
      <c r="N7060"/>
      <c r="O7060" s="24"/>
      <c r="P7060"/>
      <c r="Q7060" s="24"/>
      <c r="R7060"/>
      <c r="S7060"/>
      <c r="T7060"/>
      <c r="U7060"/>
      <c r="X7060" s="60"/>
    </row>
    <row r="7061" spans="7:24" ht="15" customHeight="1">
      <c r="G7061"/>
      <c r="I7061"/>
      <c r="N7061"/>
      <c r="O7061" s="24"/>
      <c r="P7061"/>
      <c r="Q7061" s="24"/>
      <c r="R7061"/>
      <c r="S7061"/>
      <c r="T7061"/>
      <c r="U7061"/>
      <c r="X7061" s="60"/>
    </row>
    <row r="7062" spans="7:24" ht="15" customHeight="1">
      <c r="G7062"/>
      <c r="I7062"/>
      <c r="N7062"/>
      <c r="O7062" s="24"/>
      <c r="P7062"/>
      <c r="Q7062" s="24"/>
      <c r="R7062"/>
      <c r="S7062"/>
      <c r="T7062"/>
      <c r="U7062"/>
      <c r="X7062" s="60"/>
    </row>
    <row r="7063" spans="7:24" ht="15" customHeight="1">
      <c r="G7063"/>
      <c r="I7063"/>
      <c r="N7063"/>
      <c r="O7063" s="24"/>
      <c r="P7063"/>
      <c r="Q7063" s="24"/>
      <c r="R7063"/>
      <c r="S7063"/>
      <c r="T7063"/>
      <c r="U7063"/>
      <c r="X7063" s="60"/>
    </row>
    <row r="7064" spans="7:24" ht="15" customHeight="1">
      <c r="G7064"/>
      <c r="I7064"/>
      <c r="N7064"/>
      <c r="O7064" s="24"/>
      <c r="P7064"/>
      <c r="Q7064" s="24"/>
      <c r="R7064"/>
      <c r="S7064"/>
      <c r="T7064"/>
      <c r="U7064"/>
      <c r="X7064" s="60"/>
    </row>
    <row r="7065" spans="7:24" ht="15" customHeight="1">
      <c r="G7065"/>
      <c r="I7065"/>
      <c r="N7065"/>
      <c r="O7065" s="24"/>
      <c r="P7065"/>
      <c r="Q7065" s="24"/>
      <c r="R7065"/>
      <c r="S7065"/>
      <c r="T7065"/>
      <c r="U7065"/>
      <c r="X7065" s="60"/>
    </row>
    <row r="7066" spans="7:24" ht="15" customHeight="1">
      <c r="G7066"/>
      <c r="I7066"/>
      <c r="N7066"/>
      <c r="O7066" s="24"/>
      <c r="P7066"/>
      <c r="Q7066" s="24"/>
      <c r="R7066"/>
      <c r="S7066"/>
      <c r="T7066"/>
      <c r="U7066"/>
      <c r="X7066" s="60"/>
    </row>
    <row r="7067" spans="7:24" ht="15" customHeight="1">
      <c r="G7067"/>
      <c r="I7067"/>
      <c r="N7067"/>
      <c r="O7067" s="24"/>
      <c r="P7067"/>
      <c r="Q7067" s="24"/>
      <c r="R7067"/>
      <c r="S7067"/>
      <c r="T7067"/>
      <c r="U7067"/>
      <c r="X7067" s="60"/>
    </row>
    <row r="7068" spans="7:24" ht="15" customHeight="1">
      <c r="G7068"/>
      <c r="I7068"/>
      <c r="N7068"/>
      <c r="O7068" s="24"/>
      <c r="P7068"/>
      <c r="Q7068" s="24"/>
      <c r="R7068"/>
      <c r="S7068"/>
      <c r="T7068"/>
      <c r="U7068"/>
      <c r="X7068" s="60"/>
    </row>
    <row r="7069" spans="7:24" ht="15" customHeight="1">
      <c r="G7069"/>
      <c r="I7069"/>
      <c r="N7069"/>
      <c r="O7069" s="24"/>
      <c r="P7069"/>
      <c r="Q7069" s="24"/>
      <c r="R7069"/>
      <c r="S7069"/>
      <c r="T7069"/>
      <c r="U7069"/>
      <c r="X7069" s="60"/>
    </row>
    <row r="7070" spans="7:24" ht="15" customHeight="1">
      <c r="G7070"/>
      <c r="I7070"/>
      <c r="N7070"/>
      <c r="O7070" s="24"/>
      <c r="P7070"/>
      <c r="Q7070" s="24"/>
      <c r="R7070"/>
      <c r="S7070"/>
      <c r="T7070"/>
      <c r="U7070"/>
      <c r="X7070" s="60"/>
    </row>
    <row r="7071" spans="7:24" ht="15" customHeight="1">
      <c r="G7071"/>
      <c r="I7071"/>
      <c r="N7071"/>
      <c r="O7071" s="24"/>
      <c r="P7071"/>
      <c r="Q7071" s="24"/>
      <c r="R7071"/>
      <c r="S7071"/>
      <c r="T7071"/>
      <c r="U7071"/>
      <c r="X7071" s="60"/>
    </row>
    <row r="7072" spans="7:24" ht="15" customHeight="1">
      <c r="G7072"/>
      <c r="I7072"/>
      <c r="N7072"/>
      <c r="O7072" s="24"/>
      <c r="P7072"/>
      <c r="Q7072" s="24"/>
      <c r="R7072"/>
      <c r="S7072"/>
      <c r="T7072"/>
      <c r="U7072"/>
      <c r="X7072" s="60"/>
    </row>
    <row r="7073" spans="7:24" ht="15" customHeight="1">
      <c r="G7073"/>
      <c r="I7073"/>
      <c r="N7073"/>
      <c r="O7073" s="24"/>
      <c r="P7073"/>
      <c r="Q7073" s="24"/>
      <c r="R7073"/>
      <c r="S7073"/>
      <c r="T7073"/>
      <c r="U7073"/>
      <c r="X7073" s="60"/>
    </row>
    <row r="7074" spans="7:24" ht="15" customHeight="1">
      <c r="G7074"/>
      <c r="I7074"/>
      <c r="N7074"/>
      <c r="O7074" s="24"/>
      <c r="P7074"/>
      <c r="Q7074" s="24"/>
      <c r="R7074"/>
      <c r="S7074"/>
      <c r="T7074"/>
      <c r="U7074"/>
      <c r="X7074" s="60"/>
    </row>
    <row r="7075" spans="7:24" ht="15" customHeight="1">
      <c r="G7075"/>
      <c r="I7075"/>
      <c r="N7075"/>
      <c r="O7075" s="24"/>
      <c r="P7075"/>
      <c r="Q7075" s="24"/>
      <c r="R7075"/>
      <c r="S7075"/>
      <c r="T7075"/>
      <c r="U7075"/>
      <c r="X7075" s="60"/>
    </row>
    <row r="7076" spans="7:24" ht="15" customHeight="1">
      <c r="G7076"/>
      <c r="I7076"/>
      <c r="N7076"/>
      <c r="O7076" s="24"/>
      <c r="P7076"/>
      <c r="Q7076" s="24"/>
      <c r="R7076"/>
      <c r="S7076"/>
      <c r="T7076"/>
      <c r="U7076"/>
      <c r="X7076" s="60"/>
    </row>
    <row r="7077" spans="7:24" ht="15" customHeight="1">
      <c r="G7077"/>
      <c r="I7077"/>
      <c r="N7077"/>
      <c r="O7077" s="24"/>
      <c r="P7077"/>
      <c r="Q7077" s="24"/>
      <c r="R7077"/>
      <c r="S7077"/>
      <c r="T7077"/>
      <c r="U7077"/>
      <c r="X7077" s="60"/>
    </row>
    <row r="7078" spans="7:24" ht="15" customHeight="1">
      <c r="G7078"/>
      <c r="I7078"/>
      <c r="N7078"/>
      <c r="O7078" s="24"/>
      <c r="P7078"/>
      <c r="Q7078" s="24"/>
      <c r="R7078"/>
      <c r="S7078"/>
      <c r="T7078"/>
      <c r="U7078"/>
      <c r="X7078" s="60"/>
    </row>
    <row r="7079" spans="7:24" ht="15" customHeight="1">
      <c r="G7079"/>
      <c r="I7079"/>
      <c r="N7079"/>
      <c r="O7079" s="24"/>
      <c r="P7079"/>
      <c r="Q7079" s="24"/>
      <c r="R7079"/>
      <c r="S7079"/>
      <c r="T7079"/>
      <c r="U7079"/>
      <c r="X7079" s="60"/>
    </row>
    <row r="7080" spans="7:24" ht="15" customHeight="1">
      <c r="G7080"/>
      <c r="I7080"/>
      <c r="N7080"/>
      <c r="O7080" s="24"/>
      <c r="P7080"/>
      <c r="Q7080" s="24"/>
      <c r="R7080"/>
      <c r="S7080"/>
      <c r="T7080"/>
      <c r="U7080"/>
      <c r="X7080" s="60"/>
    </row>
    <row r="7081" spans="7:24" ht="15" customHeight="1">
      <c r="G7081"/>
      <c r="I7081"/>
      <c r="N7081"/>
      <c r="O7081" s="24"/>
      <c r="P7081"/>
      <c r="Q7081" s="24"/>
      <c r="R7081"/>
      <c r="S7081"/>
      <c r="T7081"/>
      <c r="U7081"/>
      <c r="X7081" s="60"/>
    </row>
    <row r="7082" spans="7:24" ht="15" customHeight="1">
      <c r="G7082"/>
      <c r="I7082"/>
      <c r="N7082"/>
      <c r="O7082" s="24"/>
      <c r="P7082"/>
      <c r="Q7082" s="24"/>
      <c r="R7082"/>
      <c r="S7082"/>
      <c r="T7082"/>
      <c r="U7082"/>
      <c r="X7082" s="60"/>
    </row>
    <row r="7083" spans="7:24" ht="15" customHeight="1">
      <c r="G7083"/>
      <c r="I7083"/>
      <c r="N7083"/>
      <c r="O7083" s="24"/>
      <c r="P7083"/>
      <c r="Q7083" s="24"/>
      <c r="R7083"/>
      <c r="S7083"/>
      <c r="T7083"/>
      <c r="U7083"/>
      <c r="X7083" s="60"/>
    </row>
    <row r="7084" spans="7:24" ht="15" customHeight="1">
      <c r="G7084"/>
      <c r="I7084"/>
      <c r="N7084"/>
      <c r="O7084" s="24"/>
      <c r="P7084"/>
      <c r="Q7084" s="24"/>
      <c r="R7084"/>
      <c r="S7084"/>
      <c r="T7084"/>
      <c r="U7084"/>
      <c r="X7084" s="60"/>
    </row>
    <row r="7085" spans="7:24" ht="15" customHeight="1">
      <c r="G7085"/>
      <c r="I7085"/>
      <c r="N7085"/>
      <c r="O7085" s="24"/>
      <c r="P7085"/>
      <c r="Q7085" s="24"/>
      <c r="R7085"/>
      <c r="S7085"/>
      <c r="T7085"/>
      <c r="U7085"/>
      <c r="X7085" s="60"/>
    </row>
    <row r="7086" spans="7:24" ht="15" customHeight="1">
      <c r="G7086"/>
      <c r="I7086"/>
      <c r="N7086"/>
      <c r="O7086" s="24"/>
      <c r="P7086"/>
      <c r="Q7086" s="24"/>
      <c r="R7086"/>
      <c r="S7086"/>
      <c r="T7086"/>
      <c r="U7086"/>
      <c r="X7086" s="60"/>
    </row>
    <row r="7087" spans="7:24" ht="15" customHeight="1">
      <c r="G7087"/>
      <c r="I7087"/>
      <c r="N7087"/>
      <c r="O7087" s="24"/>
      <c r="P7087"/>
      <c r="Q7087" s="24"/>
      <c r="R7087"/>
      <c r="S7087"/>
      <c r="T7087"/>
      <c r="U7087"/>
      <c r="X7087" s="60"/>
    </row>
    <row r="7088" spans="7:24" ht="15" customHeight="1">
      <c r="G7088"/>
      <c r="I7088"/>
      <c r="N7088"/>
      <c r="O7088" s="24"/>
      <c r="P7088"/>
      <c r="Q7088" s="24"/>
      <c r="R7088"/>
      <c r="S7088"/>
      <c r="T7088"/>
      <c r="U7088"/>
      <c r="X7088" s="60"/>
    </row>
    <row r="7089" spans="7:24" ht="15" customHeight="1">
      <c r="G7089"/>
      <c r="I7089"/>
      <c r="N7089"/>
      <c r="O7089" s="24"/>
      <c r="P7089"/>
      <c r="Q7089" s="24"/>
      <c r="R7089"/>
      <c r="S7089"/>
      <c r="T7089"/>
      <c r="U7089"/>
      <c r="X7089" s="60"/>
    </row>
    <row r="7090" spans="7:24" ht="15" customHeight="1">
      <c r="G7090"/>
      <c r="I7090"/>
      <c r="N7090"/>
      <c r="O7090" s="24"/>
      <c r="P7090"/>
      <c r="Q7090" s="24"/>
      <c r="R7090"/>
      <c r="S7090"/>
      <c r="T7090"/>
      <c r="U7090"/>
      <c r="X7090" s="60"/>
    </row>
    <row r="7091" spans="7:24" ht="15" customHeight="1">
      <c r="G7091"/>
      <c r="I7091"/>
      <c r="N7091"/>
      <c r="O7091" s="24"/>
      <c r="P7091"/>
      <c r="Q7091" s="24"/>
      <c r="R7091"/>
      <c r="S7091"/>
      <c r="T7091"/>
      <c r="U7091"/>
      <c r="X7091" s="60"/>
    </row>
    <row r="7092" spans="7:24" ht="15" customHeight="1">
      <c r="G7092"/>
      <c r="I7092"/>
      <c r="N7092"/>
      <c r="O7092" s="24"/>
      <c r="P7092"/>
      <c r="Q7092" s="24"/>
      <c r="R7092"/>
      <c r="S7092"/>
      <c r="T7092"/>
      <c r="U7092"/>
      <c r="X7092" s="60"/>
    </row>
    <row r="7093" spans="7:24" ht="15" customHeight="1">
      <c r="G7093"/>
      <c r="I7093"/>
      <c r="N7093"/>
      <c r="O7093" s="24"/>
      <c r="P7093"/>
      <c r="Q7093" s="24"/>
      <c r="R7093"/>
      <c r="S7093"/>
      <c r="T7093"/>
      <c r="U7093"/>
      <c r="X7093" s="60"/>
    </row>
    <row r="7094" spans="7:24" ht="15" customHeight="1">
      <c r="G7094"/>
      <c r="I7094"/>
      <c r="N7094"/>
      <c r="O7094" s="24"/>
      <c r="P7094"/>
      <c r="Q7094" s="24"/>
      <c r="R7094"/>
      <c r="S7094"/>
      <c r="T7094"/>
      <c r="U7094"/>
      <c r="X7094" s="60"/>
    </row>
    <row r="7095" spans="7:24" ht="15" customHeight="1">
      <c r="G7095"/>
      <c r="I7095"/>
      <c r="N7095"/>
      <c r="O7095" s="24"/>
      <c r="P7095"/>
      <c r="Q7095" s="24"/>
      <c r="R7095"/>
      <c r="S7095"/>
      <c r="T7095"/>
      <c r="U7095"/>
      <c r="X7095" s="60"/>
    </row>
    <row r="7096" spans="7:24" ht="15" customHeight="1">
      <c r="G7096"/>
      <c r="I7096"/>
      <c r="N7096"/>
      <c r="O7096" s="24"/>
      <c r="P7096"/>
      <c r="Q7096" s="24"/>
      <c r="R7096"/>
      <c r="S7096"/>
      <c r="T7096"/>
      <c r="U7096"/>
      <c r="X7096" s="60"/>
    </row>
    <row r="7097" spans="7:24" ht="15" customHeight="1">
      <c r="G7097"/>
      <c r="I7097"/>
      <c r="N7097"/>
      <c r="O7097" s="24"/>
      <c r="P7097"/>
      <c r="Q7097" s="24"/>
      <c r="R7097"/>
      <c r="S7097"/>
      <c r="T7097"/>
      <c r="U7097"/>
      <c r="X7097" s="60"/>
    </row>
    <row r="7098" spans="7:24" ht="15" customHeight="1">
      <c r="G7098"/>
      <c r="I7098"/>
      <c r="N7098"/>
      <c r="O7098" s="24"/>
      <c r="P7098"/>
      <c r="Q7098" s="24"/>
      <c r="R7098"/>
      <c r="S7098"/>
      <c r="T7098"/>
      <c r="U7098"/>
      <c r="X7098" s="60"/>
    </row>
    <row r="7099" spans="7:24" ht="15" customHeight="1">
      <c r="G7099"/>
      <c r="I7099"/>
      <c r="N7099"/>
      <c r="O7099" s="24"/>
      <c r="P7099"/>
      <c r="Q7099" s="24"/>
      <c r="R7099"/>
      <c r="S7099"/>
      <c r="T7099"/>
      <c r="U7099"/>
      <c r="X7099" s="60"/>
    </row>
    <row r="7100" spans="7:24" ht="15" customHeight="1">
      <c r="G7100"/>
      <c r="I7100"/>
      <c r="N7100"/>
      <c r="O7100" s="24"/>
      <c r="P7100"/>
      <c r="Q7100" s="24"/>
      <c r="R7100"/>
      <c r="S7100"/>
      <c r="T7100"/>
      <c r="U7100"/>
      <c r="X7100" s="60"/>
    </row>
    <row r="7101" spans="7:24" ht="15" customHeight="1">
      <c r="G7101"/>
      <c r="I7101"/>
      <c r="N7101"/>
      <c r="O7101" s="24"/>
      <c r="P7101"/>
      <c r="Q7101" s="24"/>
      <c r="R7101"/>
      <c r="S7101"/>
      <c r="T7101"/>
      <c r="U7101"/>
      <c r="X7101" s="60"/>
    </row>
    <row r="7102" spans="7:24" ht="15" customHeight="1">
      <c r="G7102"/>
      <c r="I7102"/>
      <c r="N7102"/>
      <c r="O7102" s="24"/>
      <c r="P7102"/>
      <c r="Q7102" s="24"/>
      <c r="R7102"/>
      <c r="S7102"/>
      <c r="T7102"/>
      <c r="U7102"/>
      <c r="X7102" s="60"/>
    </row>
    <row r="7103" spans="7:24" ht="15" customHeight="1">
      <c r="G7103"/>
      <c r="I7103"/>
      <c r="N7103"/>
      <c r="O7103" s="24"/>
      <c r="P7103"/>
      <c r="Q7103" s="24"/>
      <c r="R7103"/>
      <c r="S7103"/>
      <c r="T7103"/>
      <c r="U7103"/>
      <c r="X7103" s="60"/>
    </row>
    <row r="7104" spans="7:24" ht="15" customHeight="1">
      <c r="G7104"/>
      <c r="I7104"/>
      <c r="N7104"/>
      <c r="O7104" s="24"/>
      <c r="P7104"/>
      <c r="Q7104" s="24"/>
      <c r="R7104"/>
      <c r="S7104"/>
      <c r="T7104"/>
      <c r="U7104"/>
      <c r="X7104" s="60"/>
    </row>
    <row r="7105" spans="7:24" ht="15" customHeight="1">
      <c r="G7105"/>
      <c r="I7105"/>
      <c r="N7105"/>
      <c r="O7105" s="24"/>
      <c r="P7105"/>
      <c r="Q7105" s="24"/>
      <c r="R7105"/>
      <c r="S7105"/>
      <c r="T7105"/>
      <c r="U7105"/>
      <c r="X7105" s="60"/>
    </row>
    <row r="7106" spans="7:24" ht="15" customHeight="1">
      <c r="G7106"/>
      <c r="I7106"/>
      <c r="N7106"/>
      <c r="O7106" s="24"/>
      <c r="P7106"/>
      <c r="Q7106" s="24"/>
      <c r="R7106"/>
      <c r="S7106"/>
      <c r="T7106"/>
      <c r="U7106"/>
      <c r="X7106" s="60"/>
    </row>
    <row r="7107" spans="7:24" ht="15" customHeight="1">
      <c r="G7107"/>
      <c r="I7107"/>
      <c r="N7107"/>
      <c r="O7107" s="24"/>
      <c r="P7107"/>
      <c r="Q7107" s="24"/>
      <c r="R7107"/>
      <c r="S7107"/>
      <c r="T7107"/>
      <c r="U7107"/>
      <c r="X7107" s="60"/>
    </row>
    <row r="7108" spans="7:24" ht="15" customHeight="1">
      <c r="G7108"/>
      <c r="I7108"/>
      <c r="N7108"/>
      <c r="O7108" s="24"/>
      <c r="P7108"/>
      <c r="Q7108" s="24"/>
      <c r="R7108"/>
      <c r="S7108"/>
      <c r="T7108"/>
      <c r="U7108"/>
      <c r="X7108" s="60"/>
    </row>
    <row r="7109" spans="7:24" ht="15" customHeight="1">
      <c r="G7109"/>
      <c r="I7109"/>
      <c r="N7109"/>
      <c r="O7109" s="24"/>
      <c r="P7109"/>
      <c r="Q7109" s="24"/>
      <c r="R7109"/>
      <c r="S7109"/>
      <c r="T7109"/>
      <c r="U7109"/>
      <c r="X7109" s="60"/>
    </row>
    <row r="7110" spans="7:24" ht="15" customHeight="1">
      <c r="G7110"/>
      <c r="I7110"/>
      <c r="N7110"/>
      <c r="O7110" s="24"/>
      <c r="P7110"/>
      <c r="Q7110" s="24"/>
      <c r="R7110"/>
      <c r="S7110"/>
      <c r="T7110"/>
      <c r="U7110"/>
      <c r="X7110" s="60"/>
    </row>
    <row r="7111" spans="7:24" ht="15" customHeight="1">
      <c r="G7111"/>
      <c r="I7111"/>
      <c r="N7111"/>
      <c r="O7111" s="24"/>
      <c r="P7111"/>
      <c r="Q7111" s="24"/>
      <c r="R7111"/>
      <c r="S7111"/>
      <c r="T7111"/>
      <c r="U7111"/>
      <c r="X7111" s="60"/>
    </row>
    <row r="7112" spans="7:24" ht="15" customHeight="1">
      <c r="G7112"/>
      <c r="I7112"/>
      <c r="N7112"/>
      <c r="O7112" s="24"/>
      <c r="P7112"/>
      <c r="Q7112" s="24"/>
      <c r="R7112"/>
      <c r="S7112"/>
      <c r="T7112"/>
      <c r="U7112"/>
      <c r="X7112" s="60"/>
    </row>
    <row r="7113" spans="7:24" ht="15" customHeight="1">
      <c r="G7113"/>
      <c r="I7113"/>
      <c r="N7113"/>
      <c r="O7113" s="24"/>
      <c r="P7113"/>
      <c r="Q7113" s="24"/>
      <c r="R7113"/>
      <c r="S7113"/>
      <c r="T7113"/>
      <c r="U7113"/>
      <c r="X7113" s="60"/>
    </row>
    <row r="7114" spans="7:24" ht="15" customHeight="1">
      <c r="G7114"/>
      <c r="I7114"/>
      <c r="N7114"/>
      <c r="O7114" s="24"/>
      <c r="P7114"/>
      <c r="Q7114" s="24"/>
      <c r="R7114"/>
      <c r="S7114"/>
      <c r="T7114"/>
      <c r="U7114"/>
      <c r="X7114" s="60"/>
    </row>
    <row r="7115" spans="7:24" ht="15" customHeight="1">
      <c r="G7115"/>
      <c r="I7115"/>
      <c r="N7115"/>
      <c r="O7115" s="24"/>
      <c r="P7115"/>
      <c r="Q7115" s="24"/>
      <c r="R7115"/>
      <c r="S7115"/>
      <c r="T7115"/>
      <c r="U7115"/>
      <c r="X7115" s="60"/>
    </row>
    <row r="7116" spans="7:24" ht="15" customHeight="1">
      <c r="G7116"/>
      <c r="I7116"/>
      <c r="N7116"/>
      <c r="O7116" s="24"/>
      <c r="P7116"/>
      <c r="Q7116" s="24"/>
      <c r="R7116"/>
      <c r="S7116"/>
      <c r="T7116"/>
      <c r="U7116"/>
      <c r="X7116" s="60"/>
    </row>
    <row r="7117" spans="7:24" ht="15" customHeight="1">
      <c r="G7117"/>
      <c r="I7117"/>
      <c r="N7117"/>
      <c r="O7117" s="24"/>
      <c r="P7117"/>
      <c r="Q7117" s="24"/>
      <c r="R7117"/>
      <c r="S7117"/>
      <c r="T7117"/>
      <c r="U7117"/>
      <c r="X7117" s="60"/>
    </row>
    <row r="7118" spans="7:24" ht="15" customHeight="1">
      <c r="G7118"/>
      <c r="I7118"/>
      <c r="N7118"/>
      <c r="O7118" s="24"/>
      <c r="P7118"/>
      <c r="Q7118" s="24"/>
      <c r="R7118"/>
      <c r="S7118"/>
      <c r="T7118"/>
      <c r="U7118"/>
      <c r="X7118" s="60"/>
    </row>
    <row r="7119" spans="7:24" ht="15" customHeight="1">
      <c r="G7119"/>
      <c r="I7119"/>
      <c r="N7119"/>
      <c r="O7119" s="24"/>
      <c r="P7119"/>
      <c r="Q7119" s="24"/>
      <c r="R7119"/>
      <c r="S7119"/>
      <c r="T7119"/>
      <c r="U7119"/>
      <c r="X7119" s="60"/>
    </row>
    <row r="7120" spans="7:24" ht="15" customHeight="1">
      <c r="G7120"/>
      <c r="I7120"/>
      <c r="N7120"/>
      <c r="O7120" s="24"/>
      <c r="P7120"/>
      <c r="Q7120" s="24"/>
      <c r="R7120"/>
      <c r="S7120"/>
      <c r="T7120"/>
      <c r="U7120"/>
      <c r="X7120" s="60"/>
    </row>
    <row r="7121" spans="7:24" ht="15" customHeight="1">
      <c r="G7121"/>
      <c r="I7121"/>
      <c r="N7121"/>
      <c r="O7121" s="24"/>
      <c r="P7121"/>
      <c r="Q7121" s="24"/>
      <c r="R7121"/>
      <c r="S7121"/>
      <c r="T7121"/>
      <c r="U7121"/>
      <c r="X7121" s="60"/>
    </row>
    <row r="7122" spans="7:24" ht="15" customHeight="1">
      <c r="G7122"/>
      <c r="I7122"/>
      <c r="N7122"/>
      <c r="O7122" s="24"/>
      <c r="P7122"/>
      <c r="Q7122" s="24"/>
      <c r="R7122"/>
      <c r="S7122"/>
      <c r="T7122"/>
      <c r="U7122"/>
      <c r="X7122" s="60"/>
    </row>
    <row r="7123" spans="7:24" ht="15" customHeight="1">
      <c r="G7123"/>
      <c r="I7123"/>
      <c r="N7123"/>
      <c r="O7123" s="24"/>
      <c r="P7123"/>
      <c r="Q7123" s="24"/>
      <c r="R7123"/>
      <c r="S7123"/>
      <c r="T7123"/>
      <c r="U7123"/>
      <c r="X7123" s="60"/>
    </row>
    <row r="7124" spans="7:24" ht="15" customHeight="1">
      <c r="G7124"/>
      <c r="I7124"/>
      <c r="N7124"/>
      <c r="O7124" s="24"/>
      <c r="P7124"/>
      <c r="Q7124" s="24"/>
      <c r="R7124"/>
      <c r="S7124"/>
      <c r="T7124"/>
      <c r="U7124"/>
      <c r="X7124" s="60"/>
    </row>
    <row r="7125" spans="7:24" ht="15" customHeight="1">
      <c r="G7125"/>
      <c r="I7125"/>
      <c r="N7125"/>
      <c r="O7125" s="24"/>
      <c r="P7125"/>
      <c r="Q7125" s="24"/>
      <c r="R7125"/>
      <c r="S7125"/>
      <c r="T7125"/>
      <c r="U7125"/>
      <c r="X7125" s="60"/>
    </row>
    <row r="7126" spans="7:24" ht="15" customHeight="1">
      <c r="G7126"/>
      <c r="I7126"/>
      <c r="N7126"/>
      <c r="O7126" s="24"/>
      <c r="P7126"/>
      <c r="Q7126" s="24"/>
      <c r="R7126"/>
      <c r="S7126"/>
      <c r="T7126"/>
      <c r="U7126"/>
      <c r="X7126" s="60"/>
    </row>
    <row r="7127" spans="7:24" ht="15" customHeight="1">
      <c r="G7127"/>
      <c r="I7127"/>
      <c r="N7127"/>
      <c r="O7127" s="24"/>
      <c r="P7127"/>
      <c r="Q7127" s="24"/>
      <c r="R7127"/>
      <c r="S7127"/>
      <c r="T7127"/>
      <c r="U7127"/>
      <c r="X7127" s="60"/>
    </row>
    <row r="7128" spans="7:24" ht="15" customHeight="1">
      <c r="G7128"/>
      <c r="I7128"/>
      <c r="N7128"/>
      <c r="O7128" s="24"/>
      <c r="P7128"/>
      <c r="Q7128" s="24"/>
      <c r="R7128"/>
      <c r="S7128"/>
      <c r="T7128"/>
      <c r="U7128"/>
      <c r="X7128" s="60"/>
    </row>
    <row r="7129" spans="7:24" ht="15" customHeight="1">
      <c r="G7129"/>
      <c r="I7129"/>
      <c r="N7129"/>
      <c r="O7129" s="24"/>
      <c r="P7129"/>
      <c r="Q7129" s="24"/>
      <c r="R7129"/>
      <c r="S7129"/>
      <c r="T7129"/>
      <c r="U7129"/>
      <c r="X7129" s="60"/>
    </row>
    <row r="7130" spans="7:24" ht="15" customHeight="1">
      <c r="G7130"/>
      <c r="I7130"/>
      <c r="N7130"/>
      <c r="O7130" s="24"/>
      <c r="P7130"/>
      <c r="Q7130" s="24"/>
      <c r="R7130"/>
      <c r="S7130"/>
      <c r="T7130"/>
      <c r="U7130"/>
      <c r="X7130" s="60"/>
    </row>
    <row r="7131" spans="7:24" ht="15" customHeight="1">
      <c r="G7131"/>
      <c r="I7131"/>
      <c r="N7131"/>
      <c r="O7131" s="24"/>
      <c r="P7131"/>
      <c r="Q7131" s="24"/>
      <c r="R7131"/>
      <c r="S7131"/>
      <c r="T7131"/>
      <c r="U7131"/>
      <c r="X7131" s="60"/>
    </row>
    <row r="7132" spans="7:24" ht="15" customHeight="1">
      <c r="G7132"/>
      <c r="I7132"/>
      <c r="N7132"/>
      <c r="O7132" s="24"/>
      <c r="P7132"/>
      <c r="Q7132" s="24"/>
      <c r="R7132"/>
      <c r="S7132"/>
      <c r="T7132"/>
      <c r="U7132"/>
      <c r="X7132" s="60"/>
    </row>
    <row r="7133" spans="7:24" ht="15" customHeight="1">
      <c r="G7133"/>
      <c r="I7133"/>
      <c r="N7133"/>
      <c r="O7133" s="24"/>
      <c r="P7133"/>
      <c r="Q7133" s="24"/>
      <c r="R7133"/>
      <c r="S7133"/>
      <c r="T7133"/>
      <c r="U7133"/>
      <c r="X7133" s="60"/>
    </row>
    <row r="7134" spans="7:24" ht="15" customHeight="1">
      <c r="G7134"/>
      <c r="I7134"/>
      <c r="N7134"/>
      <c r="O7134" s="24"/>
      <c r="P7134"/>
      <c r="Q7134" s="24"/>
      <c r="R7134"/>
      <c r="S7134"/>
      <c r="T7134"/>
      <c r="U7134"/>
      <c r="X7134" s="60"/>
    </row>
    <row r="7135" spans="7:24" ht="15" customHeight="1">
      <c r="G7135"/>
      <c r="I7135"/>
      <c r="N7135"/>
      <c r="O7135" s="24"/>
      <c r="P7135"/>
      <c r="Q7135" s="24"/>
      <c r="R7135"/>
      <c r="S7135"/>
      <c r="T7135"/>
      <c r="U7135"/>
      <c r="X7135" s="60"/>
    </row>
    <row r="7136" spans="7:24" ht="15" customHeight="1">
      <c r="G7136"/>
      <c r="I7136"/>
      <c r="N7136"/>
      <c r="O7136" s="24"/>
      <c r="P7136"/>
      <c r="Q7136" s="24"/>
      <c r="R7136"/>
      <c r="S7136"/>
      <c r="T7136"/>
      <c r="U7136"/>
      <c r="X7136" s="60"/>
    </row>
    <row r="7137" spans="7:24" ht="15" customHeight="1">
      <c r="G7137"/>
      <c r="I7137"/>
      <c r="N7137"/>
      <c r="O7137" s="24"/>
      <c r="P7137"/>
      <c r="Q7137" s="24"/>
      <c r="R7137"/>
      <c r="S7137"/>
      <c r="T7137"/>
      <c r="U7137"/>
      <c r="X7137" s="60"/>
    </row>
    <row r="7138" spans="7:24" ht="15" customHeight="1">
      <c r="G7138"/>
      <c r="I7138"/>
      <c r="N7138"/>
      <c r="O7138" s="24"/>
      <c r="P7138"/>
      <c r="Q7138" s="24"/>
      <c r="R7138"/>
      <c r="S7138"/>
      <c r="T7138"/>
      <c r="U7138"/>
      <c r="X7138" s="60"/>
    </row>
    <row r="7139" spans="7:24" ht="15" customHeight="1">
      <c r="G7139"/>
      <c r="I7139"/>
      <c r="N7139"/>
      <c r="O7139" s="24"/>
      <c r="P7139"/>
      <c r="Q7139" s="24"/>
      <c r="R7139"/>
      <c r="S7139"/>
      <c r="T7139"/>
      <c r="U7139"/>
      <c r="X7139" s="60"/>
    </row>
    <row r="7140" spans="7:24" ht="15" customHeight="1">
      <c r="G7140"/>
      <c r="I7140"/>
      <c r="N7140"/>
      <c r="O7140" s="24"/>
      <c r="P7140"/>
      <c r="Q7140" s="24"/>
      <c r="R7140"/>
      <c r="S7140"/>
      <c r="T7140"/>
      <c r="U7140"/>
      <c r="X7140" s="60"/>
    </row>
    <row r="7141" spans="7:24" ht="15" customHeight="1">
      <c r="G7141"/>
      <c r="I7141"/>
      <c r="N7141"/>
      <c r="O7141" s="24"/>
      <c r="P7141"/>
      <c r="Q7141" s="24"/>
      <c r="R7141"/>
      <c r="S7141"/>
      <c r="T7141"/>
      <c r="U7141"/>
      <c r="X7141" s="60"/>
    </row>
    <row r="7142" spans="7:24" ht="15" customHeight="1">
      <c r="G7142"/>
      <c r="I7142"/>
      <c r="N7142"/>
      <c r="O7142" s="24"/>
      <c r="P7142"/>
      <c r="Q7142" s="24"/>
      <c r="R7142"/>
      <c r="S7142"/>
      <c r="T7142"/>
      <c r="U7142"/>
      <c r="X7142" s="60"/>
    </row>
    <row r="7143" spans="7:24" ht="15" customHeight="1">
      <c r="G7143"/>
      <c r="I7143"/>
      <c r="N7143"/>
      <c r="O7143" s="24"/>
      <c r="P7143"/>
      <c r="Q7143" s="24"/>
      <c r="R7143"/>
      <c r="S7143"/>
      <c r="T7143"/>
      <c r="U7143"/>
      <c r="X7143" s="60"/>
    </row>
    <row r="7144" spans="7:24" ht="15" customHeight="1">
      <c r="G7144"/>
      <c r="I7144"/>
      <c r="N7144"/>
      <c r="O7144" s="24"/>
      <c r="P7144"/>
      <c r="Q7144" s="24"/>
      <c r="R7144"/>
      <c r="S7144"/>
      <c r="T7144"/>
      <c r="U7144"/>
      <c r="X7144" s="60"/>
    </row>
    <row r="7145" spans="7:24" ht="15" customHeight="1">
      <c r="G7145"/>
      <c r="I7145"/>
      <c r="N7145"/>
      <c r="O7145" s="24"/>
      <c r="P7145"/>
      <c r="Q7145" s="24"/>
      <c r="R7145"/>
      <c r="S7145"/>
      <c r="T7145"/>
      <c r="U7145"/>
      <c r="X7145" s="60"/>
    </row>
    <row r="7146" spans="7:24" ht="15" customHeight="1">
      <c r="G7146"/>
      <c r="I7146"/>
      <c r="N7146"/>
      <c r="O7146" s="24"/>
      <c r="P7146"/>
      <c r="Q7146" s="24"/>
      <c r="R7146"/>
      <c r="S7146"/>
      <c r="T7146"/>
      <c r="U7146"/>
      <c r="X7146" s="60"/>
    </row>
    <row r="7147" spans="7:24" ht="15" customHeight="1">
      <c r="G7147"/>
      <c r="I7147"/>
      <c r="N7147"/>
      <c r="O7147" s="24"/>
      <c r="P7147"/>
      <c r="Q7147" s="24"/>
      <c r="R7147"/>
      <c r="S7147"/>
      <c r="T7147"/>
      <c r="U7147"/>
      <c r="X7147" s="60"/>
    </row>
    <row r="7148" spans="7:24" ht="15" customHeight="1">
      <c r="G7148"/>
      <c r="I7148"/>
      <c r="N7148"/>
      <c r="O7148" s="24"/>
      <c r="P7148"/>
      <c r="Q7148" s="24"/>
      <c r="R7148"/>
      <c r="S7148"/>
      <c r="T7148"/>
      <c r="U7148"/>
      <c r="X7148" s="60"/>
    </row>
    <row r="7149" spans="7:24" ht="15" customHeight="1">
      <c r="G7149"/>
      <c r="I7149"/>
      <c r="N7149"/>
      <c r="O7149" s="24"/>
      <c r="P7149"/>
      <c r="Q7149" s="24"/>
      <c r="R7149"/>
      <c r="S7149"/>
      <c r="T7149"/>
      <c r="U7149"/>
      <c r="X7149" s="60"/>
    </row>
    <row r="7150" spans="7:24" ht="15" customHeight="1">
      <c r="G7150"/>
      <c r="I7150"/>
      <c r="N7150"/>
      <c r="O7150" s="24"/>
      <c r="P7150"/>
      <c r="Q7150" s="24"/>
      <c r="R7150"/>
      <c r="S7150"/>
      <c r="T7150"/>
      <c r="U7150"/>
      <c r="X7150" s="60"/>
    </row>
    <row r="7151" spans="7:24" ht="15" customHeight="1">
      <c r="G7151"/>
      <c r="I7151"/>
      <c r="N7151"/>
      <c r="O7151" s="24"/>
      <c r="P7151"/>
      <c r="Q7151" s="24"/>
      <c r="R7151"/>
      <c r="S7151"/>
      <c r="T7151"/>
      <c r="U7151"/>
      <c r="X7151" s="60"/>
    </row>
    <row r="7152" spans="7:24" ht="15" customHeight="1">
      <c r="G7152"/>
      <c r="I7152"/>
      <c r="N7152"/>
      <c r="O7152" s="24"/>
      <c r="P7152"/>
      <c r="Q7152" s="24"/>
      <c r="R7152"/>
      <c r="S7152"/>
      <c r="T7152"/>
      <c r="U7152"/>
      <c r="X7152" s="60"/>
    </row>
    <row r="7153" spans="7:24" ht="15" customHeight="1">
      <c r="G7153"/>
      <c r="I7153"/>
      <c r="N7153"/>
      <c r="O7153" s="24"/>
      <c r="P7153"/>
      <c r="Q7153" s="24"/>
      <c r="R7153"/>
      <c r="S7153"/>
      <c r="T7153"/>
      <c r="U7153"/>
      <c r="X7153" s="60"/>
    </row>
    <row r="7154" spans="7:24" ht="15" customHeight="1">
      <c r="G7154"/>
      <c r="I7154"/>
      <c r="N7154"/>
      <c r="O7154" s="24"/>
      <c r="P7154"/>
      <c r="Q7154" s="24"/>
      <c r="R7154"/>
      <c r="S7154"/>
      <c r="T7154"/>
      <c r="U7154"/>
      <c r="X7154" s="60"/>
    </row>
    <row r="7155" spans="7:24" ht="15" customHeight="1">
      <c r="G7155"/>
      <c r="I7155"/>
      <c r="N7155"/>
      <c r="O7155" s="24"/>
      <c r="P7155"/>
      <c r="Q7155" s="24"/>
      <c r="R7155"/>
      <c r="S7155"/>
      <c r="T7155"/>
      <c r="U7155"/>
      <c r="X7155" s="60"/>
    </row>
    <row r="7156" spans="7:24" ht="15" customHeight="1">
      <c r="G7156"/>
      <c r="I7156"/>
      <c r="N7156"/>
      <c r="O7156" s="24"/>
      <c r="P7156"/>
      <c r="Q7156" s="24"/>
      <c r="R7156"/>
      <c r="S7156"/>
      <c r="T7156"/>
      <c r="U7156"/>
      <c r="X7156" s="60"/>
    </row>
    <row r="7157" spans="7:24" ht="15" customHeight="1">
      <c r="G7157"/>
      <c r="I7157"/>
      <c r="N7157"/>
      <c r="O7157" s="24"/>
      <c r="P7157"/>
      <c r="Q7157" s="24"/>
      <c r="R7157"/>
      <c r="S7157"/>
      <c r="T7157"/>
      <c r="U7157"/>
      <c r="X7157" s="60"/>
    </row>
    <row r="7158" spans="7:24" ht="15" customHeight="1">
      <c r="G7158"/>
      <c r="I7158"/>
      <c r="N7158"/>
      <c r="O7158" s="24"/>
      <c r="P7158"/>
      <c r="Q7158" s="24"/>
      <c r="R7158"/>
      <c r="S7158"/>
      <c r="T7158"/>
      <c r="U7158"/>
      <c r="X7158" s="60"/>
    </row>
    <row r="7159" spans="7:24" ht="15" customHeight="1">
      <c r="G7159"/>
      <c r="I7159"/>
      <c r="N7159"/>
      <c r="O7159" s="24"/>
      <c r="P7159"/>
      <c r="Q7159" s="24"/>
      <c r="R7159"/>
      <c r="S7159"/>
      <c r="T7159"/>
      <c r="U7159"/>
      <c r="X7159" s="60"/>
    </row>
    <row r="7160" spans="7:24" ht="15" customHeight="1">
      <c r="G7160"/>
      <c r="I7160"/>
      <c r="N7160"/>
      <c r="O7160" s="24"/>
      <c r="P7160"/>
      <c r="Q7160" s="24"/>
      <c r="R7160"/>
      <c r="S7160"/>
      <c r="T7160"/>
      <c r="U7160"/>
      <c r="X7160" s="60"/>
    </row>
    <row r="7161" spans="7:24" ht="15" customHeight="1">
      <c r="G7161"/>
      <c r="I7161"/>
      <c r="N7161"/>
      <c r="O7161" s="24"/>
      <c r="P7161"/>
      <c r="Q7161" s="24"/>
      <c r="R7161"/>
      <c r="S7161"/>
      <c r="T7161"/>
      <c r="U7161"/>
      <c r="X7161" s="60"/>
    </row>
    <row r="7162" spans="7:24" ht="15" customHeight="1">
      <c r="G7162"/>
      <c r="I7162"/>
      <c r="N7162"/>
      <c r="O7162" s="24"/>
      <c r="P7162"/>
      <c r="Q7162" s="24"/>
      <c r="R7162"/>
      <c r="S7162"/>
      <c r="T7162"/>
      <c r="U7162"/>
      <c r="X7162" s="60"/>
    </row>
    <row r="7163" spans="7:24" ht="15" customHeight="1">
      <c r="G7163"/>
      <c r="I7163"/>
      <c r="N7163"/>
      <c r="O7163" s="24"/>
      <c r="P7163"/>
      <c r="Q7163" s="24"/>
      <c r="R7163"/>
      <c r="S7163"/>
      <c r="T7163"/>
      <c r="U7163"/>
      <c r="X7163" s="60"/>
    </row>
    <row r="7164" spans="7:24" ht="15" customHeight="1">
      <c r="G7164"/>
      <c r="I7164"/>
      <c r="N7164"/>
      <c r="O7164" s="24"/>
      <c r="P7164"/>
      <c r="Q7164" s="24"/>
      <c r="R7164"/>
      <c r="S7164"/>
      <c r="T7164"/>
      <c r="U7164"/>
      <c r="X7164" s="60"/>
    </row>
    <row r="7165" spans="7:24" ht="15" customHeight="1">
      <c r="G7165"/>
      <c r="I7165"/>
      <c r="N7165"/>
      <c r="O7165" s="24"/>
      <c r="P7165"/>
      <c r="Q7165" s="24"/>
      <c r="R7165"/>
      <c r="S7165"/>
      <c r="T7165"/>
      <c r="U7165"/>
      <c r="X7165" s="60"/>
    </row>
    <row r="7166" spans="7:24" ht="15" customHeight="1">
      <c r="G7166"/>
      <c r="I7166"/>
      <c r="N7166"/>
      <c r="O7166" s="24"/>
      <c r="P7166"/>
      <c r="Q7166" s="24"/>
      <c r="R7166"/>
      <c r="S7166"/>
      <c r="T7166"/>
      <c r="U7166"/>
      <c r="X7166" s="60"/>
    </row>
    <row r="7167" spans="7:24" ht="15" customHeight="1">
      <c r="G7167"/>
      <c r="I7167"/>
      <c r="N7167"/>
      <c r="O7167" s="24"/>
      <c r="P7167"/>
      <c r="Q7167" s="24"/>
      <c r="R7167"/>
      <c r="S7167"/>
      <c r="T7167"/>
      <c r="U7167"/>
      <c r="X7167" s="60"/>
    </row>
    <row r="7168" spans="7:24" ht="15" customHeight="1">
      <c r="G7168"/>
      <c r="I7168"/>
      <c r="N7168"/>
      <c r="O7168" s="24"/>
      <c r="P7168"/>
      <c r="Q7168" s="24"/>
      <c r="R7168"/>
      <c r="S7168"/>
      <c r="T7168"/>
      <c r="U7168"/>
      <c r="X7168" s="60"/>
    </row>
    <row r="7169" spans="7:24" ht="15" customHeight="1">
      <c r="G7169"/>
      <c r="I7169"/>
      <c r="N7169"/>
      <c r="O7169" s="24"/>
      <c r="P7169"/>
      <c r="Q7169" s="24"/>
      <c r="R7169"/>
      <c r="S7169"/>
      <c r="T7169"/>
      <c r="U7169"/>
      <c r="X7169" s="60"/>
    </row>
    <row r="7170" spans="7:24" ht="15" customHeight="1">
      <c r="G7170"/>
      <c r="I7170"/>
      <c r="N7170"/>
      <c r="O7170" s="24"/>
      <c r="P7170"/>
      <c r="Q7170" s="24"/>
      <c r="R7170"/>
      <c r="S7170"/>
      <c r="T7170"/>
      <c r="U7170"/>
      <c r="X7170" s="60"/>
    </row>
    <row r="7171" spans="7:24" ht="15" customHeight="1">
      <c r="G7171"/>
      <c r="I7171"/>
      <c r="N7171"/>
      <c r="O7171" s="24"/>
      <c r="P7171"/>
      <c r="Q7171" s="24"/>
      <c r="R7171"/>
      <c r="S7171"/>
      <c r="T7171"/>
      <c r="U7171"/>
      <c r="X7171" s="60"/>
    </row>
    <row r="7172" spans="7:24" ht="15" customHeight="1">
      <c r="G7172"/>
      <c r="I7172"/>
      <c r="N7172"/>
      <c r="O7172" s="24"/>
      <c r="P7172"/>
      <c r="Q7172" s="24"/>
      <c r="R7172"/>
      <c r="S7172"/>
      <c r="T7172"/>
      <c r="U7172"/>
      <c r="X7172" s="60"/>
    </row>
    <row r="7173" spans="7:24" ht="15" customHeight="1">
      <c r="G7173"/>
      <c r="I7173"/>
      <c r="N7173"/>
      <c r="O7173" s="24"/>
      <c r="P7173"/>
      <c r="Q7173" s="24"/>
      <c r="R7173"/>
      <c r="S7173"/>
      <c r="T7173"/>
      <c r="U7173"/>
      <c r="X7173" s="60"/>
    </row>
    <row r="7174" spans="7:24" ht="15" customHeight="1">
      <c r="G7174"/>
      <c r="I7174"/>
      <c r="N7174"/>
      <c r="O7174" s="24"/>
      <c r="P7174"/>
      <c r="Q7174" s="24"/>
      <c r="R7174"/>
      <c r="S7174"/>
      <c r="T7174"/>
      <c r="U7174"/>
      <c r="X7174" s="60"/>
    </row>
    <row r="7175" spans="7:24" ht="15" customHeight="1">
      <c r="G7175"/>
      <c r="I7175"/>
      <c r="N7175"/>
      <c r="O7175" s="24"/>
      <c r="P7175"/>
      <c r="Q7175" s="24"/>
      <c r="R7175"/>
      <c r="S7175"/>
      <c r="T7175"/>
      <c r="U7175"/>
      <c r="X7175" s="60"/>
    </row>
    <row r="7176" spans="7:24" ht="15" customHeight="1">
      <c r="G7176"/>
      <c r="I7176"/>
      <c r="N7176"/>
      <c r="O7176" s="24"/>
      <c r="P7176"/>
      <c r="Q7176" s="24"/>
      <c r="R7176"/>
      <c r="S7176"/>
      <c r="T7176"/>
      <c r="U7176"/>
      <c r="X7176" s="60"/>
    </row>
    <row r="7177" spans="7:24" ht="15" customHeight="1">
      <c r="G7177"/>
      <c r="I7177"/>
      <c r="N7177"/>
      <c r="O7177" s="24"/>
      <c r="P7177"/>
      <c r="Q7177" s="24"/>
      <c r="R7177"/>
      <c r="S7177"/>
      <c r="T7177"/>
      <c r="U7177"/>
      <c r="X7177" s="60"/>
    </row>
    <row r="7178" spans="7:24" ht="15" customHeight="1">
      <c r="G7178"/>
      <c r="I7178"/>
      <c r="N7178"/>
      <c r="O7178" s="24"/>
      <c r="P7178"/>
      <c r="Q7178" s="24"/>
      <c r="R7178"/>
      <c r="S7178"/>
      <c r="T7178"/>
      <c r="U7178"/>
      <c r="X7178" s="60"/>
    </row>
    <row r="7179" spans="7:24" ht="15" customHeight="1">
      <c r="G7179"/>
      <c r="I7179"/>
      <c r="N7179"/>
      <c r="O7179" s="24"/>
      <c r="P7179"/>
      <c r="Q7179" s="24"/>
      <c r="R7179"/>
      <c r="S7179"/>
      <c r="T7179"/>
      <c r="U7179"/>
      <c r="X7179" s="60"/>
    </row>
    <row r="7180" spans="7:24" ht="15" customHeight="1">
      <c r="G7180"/>
      <c r="I7180"/>
      <c r="N7180"/>
      <c r="O7180" s="24"/>
      <c r="P7180"/>
      <c r="Q7180" s="24"/>
      <c r="R7180"/>
      <c r="S7180"/>
      <c r="T7180"/>
      <c r="U7180"/>
      <c r="X7180" s="60"/>
    </row>
    <row r="7181" spans="7:24" ht="15" customHeight="1">
      <c r="G7181"/>
      <c r="I7181"/>
      <c r="N7181"/>
      <c r="O7181" s="24"/>
      <c r="P7181"/>
      <c r="Q7181" s="24"/>
      <c r="R7181"/>
      <c r="S7181"/>
      <c r="T7181"/>
      <c r="U7181"/>
      <c r="X7181" s="60"/>
    </row>
    <row r="7182" spans="7:24" ht="15" customHeight="1">
      <c r="G7182"/>
      <c r="I7182"/>
      <c r="N7182"/>
      <c r="O7182" s="24"/>
      <c r="P7182"/>
      <c r="Q7182" s="24"/>
      <c r="R7182"/>
      <c r="S7182"/>
      <c r="T7182"/>
      <c r="U7182"/>
      <c r="X7182" s="60"/>
    </row>
    <row r="7183" spans="7:24" ht="15" customHeight="1">
      <c r="G7183"/>
      <c r="I7183"/>
      <c r="N7183"/>
      <c r="O7183" s="24"/>
      <c r="P7183"/>
      <c r="Q7183" s="24"/>
      <c r="R7183"/>
      <c r="S7183"/>
      <c r="T7183"/>
      <c r="U7183"/>
      <c r="X7183" s="60"/>
    </row>
    <row r="7184" spans="7:24" ht="15" customHeight="1">
      <c r="G7184"/>
      <c r="I7184"/>
      <c r="N7184"/>
      <c r="O7184" s="24"/>
      <c r="P7184"/>
      <c r="Q7184" s="24"/>
      <c r="R7184"/>
      <c r="S7184"/>
      <c r="T7184"/>
      <c r="U7184"/>
      <c r="X7184" s="60"/>
    </row>
    <row r="7185" spans="7:24" ht="15" customHeight="1">
      <c r="G7185"/>
      <c r="I7185"/>
      <c r="N7185"/>
      <c r="O7185" s="24"/>
      <c r="P7185"/>
      <c r="Q7185" s="24"/>
      <c r="R7185"/>
      <c r="S7185"/>
      <c r="T7185"/>
      <c r="U7185"/>
      <c r="X7185" s="60"/>
    </row>
    <row r="7186" spans="7:24" ht="15" customHeight="1">
      <c r="G7186"/>
      <c r="I7186"/>
      <c r="N7186"/>
      <c r="O7186" s="24"/>
      <c r="P7186"/>
      <c r="Q7186" s="24"/>
      <c r="R7186"/>
      <c r="S7186"/>
      <c r="T7186"/>
      <c r="U7186"/>
      <c r="X7186" s="60"/>
    </row>
    <row r="7187" spans="7:24" ht="15" customHeight="1">
      <c r="G7187"/>
      <c r="I7187"/>
      <c r="N7187"/>
      <c r="O7187" s="24"/>
      <c r="P7187"/>
      <c r="Q7187" s="24"/>
      <c r="R7187"/>
      <c r="S7187"/>
      <c r="T7187"/>
      <c r="U7187"/>
      <c r="X7187" s="60"/>
    </row>
    <row r="7188" spans="7:24" ht="15" customHeight="1">
      <c r="G7188"/>
      <c r="I7188"/>
      <c r="N7188"/>
      <c r="O7188" s="24"/>
      <c r="P7188"/>
      <c r="Q7188" s="24"/>
      <c r="R7188"/>
      <c r="S7188"/>
      <c r="T7188"/>
      <c r="U7188"/>
      <c r="X7188" s="60"/>
    </row>
    <row r="7189" spans="7:24" ht="15" customHeight="1">
      <c r="G7189"/>
      <c r="I7189"/>
      <c r="N7189"/>
      <c r="O7189" s="24"/>
      <c r="P7189"/>
      <c r="Q7189" s="24"/>
      <c r="R7189"/>
      <c r="S7189"/>
      <c r="T7189"/>
      <c r="U7189"/>
      <c r="X7189" s="60"/>
    </row>
    <row r="7190" spans="7:24" ht="15" customHeight="1">
      <c r="G7190"/>
      <c r="I7190"/>
      <c r="N7190"/>
      <c r="O7190" s="24"/>
      <c r="P7190"/>
      <c r="Q7190" s="24"/>
      <c r="R7190"/>
      <c r="S7190"/>
      <c r="T7190"/>
      <c r="U7190"/>
      <c r="X7190" s="60"/>
    </row>
    <row r="7191" spans="7:24" ht="15" customHeight="1">
      <c r="G7191"/>
      <c r="I7191"/>
      <c r="N7191"/>
      <c r="O7191" s="24"/>
      <c r="P7191"/>
      <c r="Q7191" s="24"/>
      <c r="R7191"/>
      <c r="S7191"/>
      <c r="T7191"/>
      <c r="U7191"/>
      <c r="X7191" s="60"/>
    </row>
    <row r="7192" spans="7:24" ht="15" customHeight="1">
      <c r="G7192"/>
      <c r="I7192"/>
      <c r="N7192"/>
      <c r="O7192" s="24"/>
      <c r="P7192"/>
      <c r="Q7192" s="24"/>
      <c r="R7192"/>
      <c r="S7192"/>
      <c r="T7192"/>
      <c r="U7192"/>
      <c r="X7192" s="60"/>
    </row>
    <row r="7193" spans="7:24" ht="15" customHeight="1">
      <c r="G7193"/>
      <c r="I7193"/>
      <c r="N7193"/>
      <c r="O7193" s="24"/>
      <c r="P7193"/>
      <c r="Q7193" s="24"/>
      <c r="R7193"/>
      <c r="S7193"/>
      <c r="T7193"/>
      <c r="U7193"/>
      <c r="X7193" s="60"/>
    </row>
    <row r="7194" spans="7:24" ht="15" customHeight="1">
      <c r="G7194"/>
      <c r="I7194"/>
      <c r="N7194"/>
      <c r="O7194" s="24"/>
      <c r="P7194"/>
      <c r="Q7194" s="24"/>
      <c r="R7194"/>
      <c r="S7194"/>
      <c r="T7194"/>
      <c r="U7194"/>
      <c r="X7194" s="60"/>
    </row>
    <row r="7195" spans="7:24" ht="15" customHeight="1">
      <c r="G7195"/>
      <c r="I7195"/>
      <c r="N7195"/>
      <c r="O7195" s="24"/>
      <c r="P7195"/>
      <c r="Q7195" s="24"/>
      <c r="R7195"/>
      <c r="S7195"/>
      <c r="T7195"/>
      <c r="U7195"/>
      <c r="X7195" s="60"/>
    </row>
    <row r="7196" spans="7:24" ht="15" customHeight="1">
      <c r="G7196"/>
      <c r="I7196"/>
      <c r="N7196"/>
      <c r="O7196" s="24"/>
      <c r="P7196"/>
      <c r="Q7196" s="24"/>
      <c r="R7196"/>
      <c r="S7196"/>
      <c r="T7196"/>
      <c r="U7196"/>
      <c r="X7196" s="60"/>
    </row>
    <row r="7197" spans="7:24" ht="15" customHeight="1">
      <c r="G7197"/>
      <c r="I7197"/>
      <c r="N7197"/>
      <c r="O7197" s="24"/>
      <c r="P7197"/>
      <c r="Q7197" s="24"/>
      <c r="R7197"/>
      <c r="S7197"/>
      <c r="T7197"/>
      <c r="U7197"/>
      <c r="X7197" s="60"/>
    </row>
    <row r="7198" spans="7:24" ht="15" customHeight="1">
      <c r="G7198"/>
      <c r="I7198"/>
      <c r="N7198"/>
      <c r="O7198" s="24"/>
      <c r="P7198"/>
      <c r="Q7198" s="24"/>
      <c r="R7198"/>
      <c r="S7198"/>
      <c r="T7198"/>
      <c r="U7198"/>
      <c r="X7198" s="60"/>
    </row>
    <row r="7199" spans="7:24" ht="15" customHeight="1">
      <c r="G7199"/>
      <c r="I7199"/>
      <c r="N7199"/>
      <c r="O7199" s="24"/>
      <c r="P7199"/>
      <c r="Q7199" s="24"/>
      <c r="R7199"/>
      <c r="S7199"/>
      <c r="T7199"/>
      <c r="U7199"/>
      <c r="X7199" s="60"/>
    </row>
    <row r="7200" spans="7:24" ht="15" customHeight="1">
      <c r="G7200"/>
      <c r="I7200"/>
      <c r="N7200"/>
      <c r="O7200" s="24"/>
      <c r="P7200"/>
      <c r="Q7200" s="24"/>
      <c r="R7200"/>
      <c r="S7200"/>
      <c r="T7200"/>
      <c r="U7200"/>
      <c r="X7200" s="60"/>
    </row>
    <row r="7201" spans="7:24" ht="15" customHeight="1">
      <c r="G7201"/>
      <c r="I7201"/>
      <c r="N7201"/>
      <c r="O7201" s="24"/>
      <c r="P7201"/>
      <c r="Q7201" s="24"/>
      <c r="R7201"/>
      <c r="S7201"/>
      <c r="T7201"/>
      <c r="U7201"/>
      <c r="X7201" s="60"/>
    </row>
    <row r="7202" spans="7:24" ht="15" customHeight="1">
      <c r="G7202"/>
      <c r="I7202"/>
      <c r="N7202"/>
      <c r="O7202" s="24"/>
      <c r="P7202"/>
      <c r="Q7202" s="24"/>
      <c r="R7202"/>
      <c r="S7202"/>
      <c r="T7202"/>
      <c r="U7202"/>
      <c r="X7202" s="60"/>
    </row>
    <row r="7203" spans="7:24" ht="15" customHeight="1">
      <c r="G7203"/>
      <c r="I7203"/>
      <c r="N7203"/>
      <c r="O7203" s="24"/>
      <c r="P7203"/>
      <c r="Q7203" s="24"/>
      <c r="R7203"/>
      <c r="S7203"/>
      <c r="T7203"/>
      <c r="U7203"/>
      <c r="X7203" s="60"/>
    </row>
    <row r="7204" spans="7:24" ht="15" customHeight="1">
      <c r="G7204"/>
      <c r="I7204"/>
      <c r="N7204"/>
      <c r="O7204" s="24"/>
      <c r="P7204"/>
      <c r="Q7204" s="24"/>
      <c r="R7204"/>
      <c r="S7204"/>
      <c r="T7204"/>
      <c r="U7204"/>
      <c r="X7204" s="60"/>
    </row>
    <row r="7205" spans="7:24" ht="15" customHeight="1">
      <c r="G7205"/>
      <c r="I7205"/>
      <c r="N7205"/>
      <c r="O7205" s="24"/>
      <c r="P7205"/>
      <c r="Q7205" s="24"/>
      <c r="R7205"/>
      <c r="S7205"/>
      <c r="T7205"/>
      <c r="U7205"/>
      <c r="X7205" s="60"/>
    </row>
    <row r="7206" spans="7:24" ht="15" customHeight="1">
      <c r="G7206"/>
      <c r="I7206"/>
      <c r="N7206"/>
      <c r="O7206" s="24"/>
      <c r="P7206"/>
      <c r="Q7206" s="24"/>
      <c r="R7206"/>
      <c r="S7206"/>
      <c r="T7206"/>
      <c r="U7206"/>
      <c r="X7206" s="60"/>
    </row>
    <row r="7207" spans="7:24" ht="15" customHeight="1">
      <c r="G7207"/>
      <c r="I7207"/>
      <c r="N7207"/>
      <c r="O7207" s="24"/>
      <c r="P7207"/>
      <c r="Q7207" s="24"/>
      <c r="R7207"/>
      <c r="S7207"/>
      <c r="T7207"/>
      <c r="U7207"/>
      <c r="X7207" s="60"/>
    </row>
    <row r="7208" spans="7:24" ht="15" customHeight="1">
      <c r="G7208"/>
      <c r="I7208"/>
      <c r="N7208"/>
      <c r="O7208" s="24"/>
      <c r="P7208"/>
      <c r="Q7208" s="24"/>
      <c r="R7208"/>
      <c r="S7208"/>
      <c r="T7208"/>
      <c r="U7208"/>
      <c r="X7208" s="60"/>
    </row>
    <row r="7209" spans="7:24" ht="15" customHeight="1">
      <c r="G7209"/>
      <c r="I7209"/>
      <c r="N7209"/>
      <c r="O7209" s="24"/>
      <c r="P7209"/>
      <c r="Q7209" s="24"/>
      <c r="R7209"/>
      <c r="S7209"/>
      <c r="T7209"/>
      <c r="U7209"/>
      <c r="X7209" s="60"/>
    </row>
    <row r="7210" spans="7:24" ht="15" customHeight="1">
      <c r="G7210"/>
      <c r="I7210"/>
      <c r="N7210"/>
      <c r="O7210" s="24"/>
      <c r="P7210"/>
      <c r="Q7210" s="24"/>
      <c r="R7210"/>
      <c r="S7210"/>
      <c r="T7210"/>
      <c r="U7210"/>
      <c r="X7210" s="60"/>
    </row>
    <row r="7211" spans="7:24" ht="15" customHeight="1">
      <c r="G7211"/>
      <c r="I7211"/>
      <c r="N7211"/>
      <c r="O7211" s="24"/>
      <c r="P7211"/>
      <c r="Q7211" s="24"/>
      <c r="R7211"/>
      <c r="S7211"/>
      <c r="T7211"/>
      <c r="U7211"/>
      <c r="X7211" s="60"/>
    </row>
    <row r="7212" spans="7:24" ht="15" customHeight="1">
      <c r="G7212"/>
      <c r="I7212"/>
      <c r="N7212"/>
      <c r="O7212" s="24"/>
      <c r="P7212"/>
      <c r="Q7212" s="24"/>
      <c r="R7212"/>
      <c r="S7212"/>
      <c r="T7212"/>
      <c r="U7212"/>
      <c r="X7212" s="60"/>
    </row>
    <row r="7213" spans="7:24" ht="15" customHeight="1">
      <c r="G7213"/>
      <c r="I7213"/>
      <c r="N7213"/>
      <c r="O7213" s="24"/>
      <c r="P7213"/>
      <c r="Q7213" s="24"/>
      <c r="R7213"/>
      <c r="S7213"/>
      <c r="T7213"/>
      <c r="U7213"/>
      <c r="X7213" s="60"/>
    </row>
    <row r="7214" spans="7:24" ht="15" customHeight="1">
      <c r="G7214"/>
      <c r="I7214"/>
      <c r="N7214"/>
      <c r="O7214" s="24"/>
      <c r="P7214"/>
      <c r="Q7214" s="24"/>
      <c r="R7214"/>
      <c r="S7214"/>
      <c r="T7214"/>
      <c r="U7214"/>
      <c r="X7214" s="60"/>
    </row>
    <row r="7215" spans="7:24" ht="15" customHeight="1">
      <c r="G7215"/>
      <c r="I7215"/>
      <c r="N7215"/>
      <c r="O7215" s="24"/>
      <c r="P7215"/>
      <c r="Q7215" s="24"/>
      <c r="R7215"/>
      <c r="S7215"/>
      <c r="T7215"/>
      <c r="U7215"/>
      <c r="X7215" s="60"/>
    </row>
    <row r="7216" spans="7:24" ht="15" customHeight="1">
      <c r="G7216"/>
      <c r="I7216"/>
      <c r="N7216"/>
      <c r="O7216" s="24"/>
      <c r="P7216"/>
      <c r="Q7216" s="24"/>
      <c r="R7216"/>
      <c r="S7216"/>
      <c r="T7216"/>
      <c r="U7216"/>
      <c r="X7216" s="60"/>
    </row>
    <row r="7217" spans="7:24" ht="15" customHeight="1">
      <c r="G7217"/>
      <c r="I7217"/>
      <c r="N7217"/>
      <c r="O7217" s="24"/>
      <c r="P7217"/>
      <c r="Q7217" s="24"/>
      <c r="R7217"/>
      <c r="S7217"/>
      <c r="T7217"/>
      <c r="U7217"/>
      <c r="X7217" s="60"/>
    </row>
    <row r="7218" spans="7:24" ht="15" customHeight="1">
      <c r="G7218"/>
      <c r="I7218"/>
      <c r="N7218"/>
      <c r="O7218" s="24"/>
      <c r="P7218"/>
      <c r="Q7218" s="24"/>
      <c r="R7218"/>
      <c r="S7218"/>
      <c r="T7218"/>
      <c r="U7218"/>
      <c r="X7218" s="60"/>
    </row>
    <row r="7219" spans="7:24" ht="15" customHeight="1">
      <c r="G7219"/>
      <c r="I7219"/>
      <c r="N7219"/>
      <c r="O7219" s="24"/>
      <c r="P7219"/>
      <c r="Q7219" s="24"/>
      <c r="R7219"/>
      <c r="S7219"/>
      <c r="T7219"/>
      <c r="U7219"/>
      <c r="X7219" s="60"/>
    </row>
    <row r="7220" spans="7:24" ht="15" customHeight="1">
      <c r="G7220"/>
      <c r="I7220"/>
      <c r="N7220"/>
      <c r="O7220" s="24"/>
      <c r="P7220"/>
      <c r="Q7220" s="24"/>
      <c r="R7220"/>
      <c r="S7220"/>
      <c r="T7220"/>
      <c r="U7220"/>
      <c r="X7220" s="60"/>
    </row>
    <row r="7221" spans="7:24" ht="15" customHeight="1">
      <c r="G7221"/>
      <c r="I7221"/>
      <c r="N7221"/>
      <c r="O7221" s="24"/>
      <c r="P7221"/>
      <c r="Q7221" s="24"/>
      <c r="R7221"/>
      <c r="S7221"/>
      <c r="T7221"/>
      <c r="U7221"/>
      <c r="X7221" s="60"/>
    </row>
    <row r="7222" spans="7:24" ht="15" customHeight="1">
      <c r="G7222"/>
      <c r="I7222"/>
      <c r="N7222"/>
      <c r="O7222" s="24"/>
      <c r="P7222"/>
      <c r="Q7222" s="24"/>
      <c r="R7222"/>
      <c r="S7222"/>
      <c r="T7222"/>
      <c r="U7222"/>
      <c r="X7222" s="60"/>
    </row>
    <row r="7223" spans="7:24" ht="15" customHeight="1">
      <c r="G7223"/>
      <c r="I7223"/>
      <c r="N7223"/>
      <c r="O7223" s="24"/>
      <c r="P7223"/>
      <c r="Q7223" s="24"/>
      <c r="R7223"/>
      <c r="S7223"/>
      <c r="T7223"/>
      <c r="U7223"/>
      <c r="X7223" s="60"/>
    </row>
    <row r="7224" spans="7:24" ht="15" customHeight="1">
      <c r="G7224"/>
      <c r="I7224"/>
      <c r="N7224"/>
      <c r="O7224" s="24"/>
      <c r="P7224"/>
      <c r="Q7224" s="24"/>
      <c r="R7224"/>
      <c r="S7224"/>
      <c r="T7224"/>
      <c r="U7224"/>
      <c r="X7224" s="60"/>
    </row>
    <row r="7225" spans="7:24" ht="15" customHeight="1">
      <c r="G7225"/>
      <c r="I7225"/>
      <c r="N7225"/>
      <c r="O7225" s="24"/>
      <c r="P7225"/>
      <c r="Q7225" s="24"/>
      <c r="R7225"/>
      <c r="S7225"/>
      <c r="T7225"/>
      <c r="U7225"/>
      <c r="X7225" s="60"/>
    </row>
    <row r="7226" spans="7:24" ht="15" customHeight="1">
      <c r="G7226"/>
      <c r="I7226"/>
      <c r="N7226"/>
      <c r="O7226" s="24"/>
      <c r="P7226"/>
      <c r="Q7226" s="24"/>
      <c r="R7226"/>
      <c r="S7226"/>
      <c r="T7226"/>
      <c r="U7226"/>
      <c r="X7226" s="60"/>
    </row>
    <row r="7227" spans="7:24" ht="15" customHeight="1">
      <c r="G7227"/>
      <c r="I7227"/>
      <c r="N7227"/>
      <c r="O7227" s="24"/>
      <c r="P7227"/>
      <c r="Q7227" s="24"/>
      <c r="R7227"/>
      <c r="S7227"/>
      <c r="T7227"/>
      <c r="U7227"/>
      <c r="X7227" s="60"/>
    </row>
    <row r="7228" spans="7:24" ht="15" customHeight="1">
      <c r="G7228"/>
      <c r="I7228"/>
      <c r="N7228"/>
      <c r="O7228" s="24"/>
      <c r="P7228"/>
      <c r="Q7228" s="24"/>
      <c r="R7228"/>
      <c r="S7228"/>
      <c r="T7228"/>
      <c r="U7228"/>
      <c r="X7228" s="60"/>
    </row>
    <row r="7229" spans="7:24" ht="15" customHeight="1">
      <c r="G7229"/>
      <c r="I7229"/>
      <c r="N7229"/>
      <c r="O7229" s="24"/>
      <c r="P7229"/>
      <c r="Q7229" s="24"/>
      <c r="R7229"/>
      <c r="S7229"/>
      <c r="T7229"/>
      <c r="U7229"/>
      <c r="X7229" s="60"/>
    </row>
    <row r="7230" spans="7:24" ht="15" customHeight="1">
      <c r="G7230"/>
      <c r="I7230"/>
      <c r="N7230"/>
      <c r="O7230" s="24"/>
      <c r="P7230"/>
      <c r="Q7230" s="24"/>
      <c r="R7230"/>
      <c r="S7230"/>
      <c r="T7230"/>
      <c r="U7230"/>
      <c r="X7230" s="60"/>
    </row>
    <row r="7231" spans="7:24" ht="15" customHeight="1">
      <c r="G7231"/>
      <c r="I7231"/>
      <c r="N7231"/>
      <c r="O7231" s="24"/>
      <c r="P7231"/>
      <c r="Q7231" s="24"/>
      <c r="R7231"/>
      <c r="S7231"/>
      <c r="T7231"/>
      <c r="U7231"/>
      <c r="X7231" s="60"/>
    </row>
    <row r="7232" spans="7:24" ht="15" customHeight="1">
      <c r="G7232"/>
      <c r="I7232"/>
      <c r="N7232"/>
      <c r="O7232" s="24"/>
      <c r="P7232"/>
      <c r="Q7232" s="24"/>
      <c r="R7232"/>
      <c r="S7232"/>
      <c r="T7232"/>
      <c r="U7232"/>
      <c r="X7232" s="60"/>
    </row>
    <row r="7233" spans="7:24" ht="15" customHeight="1">
      <c r="G7233"/>
      <c r="I7233"/>
      <c r="N7233"/>
      <c r="O7233" s="24"/>
      <c r="P7233"/>
      <c r="Q7233" s="24"/>
      <c r="R7233"/>
      <c r="S7233"/>
      <c r="T7233"/>
      <c r="U7233"/>
      <c r="X7233" s="60"/>
    </row>
    <row r="7234" spans="7:24" ht="15" customHeight="1">
      <c r="G7234"/>
      <c r="I7234"/>
      <c r="N7234"/>
      <c r="O7234" s="24"/>
      <c r="P7234"/>
      <c r="Q7234" s="24"/>
      <c r="R7234"/>
      <c r="S7234"/>
      <c r="T7234"/>
      <c r="U7234"/>
      <c r="X7234" s="60"/>
    </row>
    <row r="7235" spans="7:24" ht="15" customHeight="1">
      <c r="G7235"/>
      <c r="I7235"/>
      <c r="N7235"/>
      <c r="O7235" s="24"/>
      <c r="P7235"/>
      <c r="Q7235" s="24"/>
      <c r="R7235"/>
      <c r="S7235"/>
      <c r="T7235"/>
      <c r="U7235"/>
      <c r="X7235" s="60"/>
    </row>
    <row r="7236" spans="7:24" ht="15" customHeight="1">
      <c r="G7236"/>
      <c r="I7236"/>
      <c r="N7236"/>
      <c r="O7236" s="24"/>
      <c r="P7236"/>
      <c r="Q7236" s="24"/>
      <c r="R7236"/>
      <c r="S7236"/>
      <c r="T7236"/>
      <c r="U7236"/>
      <c r="X7236" s="60"/>
    </row>
    <row r="7237" spans="7:24" ht="15" customHeight="1">
      <c r="G7237"/>
      <c r="I7237"/>
      <c r="N7237"/>
      <c r="O7237" s="24"/>
      <c r="P7237"/>
      <c r="Q7237" s="24"/>
      <c r="R7237"/>
      <c r="S7237"/>
      <c r="T7237"/>
      <c r="U7237"/>
      <c r="X7237" s="60"/>
    </row>
    <row r="7238" spans="7:24" ht="15" customHeight="1">
      <c r="G7238"/>
      <c r="I7238"/>
      <c r="N7238"/>
      <c r="O7238" s="24"/>
      <c r="P7238"/>
      <c r="Q7238" s="24"/>
      <c r="R7238"/>
      <c r="S7238"/>
      <c r="T7238"/>
      <c r="U7238"/>
      <c r="X7238" s="60"/>
    </row>
    <row r="7239" spans="7:24" ht="15" customHeight="1">
      <c r="G7239"/>
      <c r="I7239"/>
      <c r="N7239"/>
      <c r="O7239" s="24"/>
      <c r="P7239"/>
      <c r="Q7239" s="24"/>
      <c r="R7239"/>
      <c r="S7239"/>
      <c r="T7239"/>
      <c r="U7239"/>
      <c r="X7239" s="60"/>
    </row>
    <row r="7240" spans="7:24" ht="15" customHeight="1">
      <c r="G7240"/>
      <c r="I7240"/>
      <c r="N7240"/>
      <c r="O7240" s="24"/>
      <c r="P7240"/>
      <c r="Q7240" s="24"/>
      <c r="R7240"/>
      <c r="S7240"/>
      <c r="T7240"/>
      <c r="U7240"/>
      <c r="X7240" s="60"/>
    </row>
    <row r="7241" spans="7:24" ht="15" customHeight="1">
      <c r="G7241"/>
      <c r="I7241"/>
      <c r="N7241"/>
      <c r="O7241" s="24"/>
      <c r="P7241"/>
      <c r="Q7241" s="24"/>
      <c r="R7241"/>
      <c r="S7241"/>
      <c r="T7241"/>
      <c r="U7241"/>
      <c r="X7241" s="60"/>
    </row>
    <row r="7242" spans="7:24" ht="15" customHeight="1">
      <c r="G7242"/>
      <c r="I7242"/>
      <c r="N7242"/>
      <c r="O7242" s="24"/>
      <c r="P7242"/>
      <c r="Q7242" s="24"/>
      <c r="R7242"/>
      <c r="S7242"/>
      <c r="T7242"/>
      <c r="U7242"/>
      <c r="X7242" s="60"/>
    </row>
    <row r="7243" spans="7:24" ht="15" customHeight="1">
      <c r="G7243"/>
      <c r="I7243"/>
      <c r="N7243"/>
      <c r="O7243" s="24"/>
      <c r="P7243"/>
      <c r="Q7243" s="24"/>
      <c r="R7243"/>
      <c r="S7243"/>
      <c r="T7243"/>
      <c r="U7243"/>
      <c r="X7243" s="60"/>
    </row>
    <row r="7244" spans="7:24" ht="15" customHeight="1">
      <c r="G7244"/>
      <c r="I7244"/>
      <c r="N7244"/>
      <c r="O7244" s="24"/>
      <c r="P7244"/>
      <c r="Q7244" s="24"/>
      <c r="R7244"/>
      <c r="S7244"/>
      <c r="T7244"/>
      <c r="U7244"/>
      <c r="X7244" s="60"/>
    </row>
    <row r="7245" spans="7:24" ht="15" customHeight="1">
      <c r="G7245"/>
      <c r="I7245"/>
      <c r="N7245"/>
      <c r="O7245" s="24"/>
      <c r="P7245"/>
      <c r="Q7245" s="24"/>
      <c r="R7245"/>
      <c r="S7245"/>
      <c r="T7245"/>
      <c r="U7245"/>
      <c r="X7245" s="60"/>
    </row>
    <row r="7246" spans="7:24" ht="15" customHeight="1">
      <c r="G7246"/>
      <c r="I7246"/>
      <c r="N7246"/>
      <c r="O7246" s="24"/>
      <c r="P7246"/>
      <c r="Q7246" s="24"/>
      <c r="R7246"/>
      <c r="S7246"/>
      <c r="T7246"/>
      <c r="U7246"/>
      <c r="X7246" s="60"/>
    </row>
    <row r="7247" spans="7:24" ht="15" customHeight="1">
      <c r="G7247"/>
      <c r="I7247"/>
      <c r="N7247"/>
      <c r="O7247" s="24"/>
      <c r="P7247"/>
      <c r="Q7247" s="24"/>
      <c r="R7247"/>
      <c r="S7247"/>
      <c r="T7247"/>
      <c r="U7247"/>
      <c r="X7247" s="60"/>
    </row>
    <row r="7248" spans="7:24" ht="15" customHeight="1">
      <c r="G7248"/>
      <c r="I7248"/>
      <c r="N7248"/>
      <c r="O7248" s="24"/>
      <c r="P7248"/>
      <c r="Q7248" s="24"/>
      <c r="R7248"/>
      <c r="S7248"/>
      <c r="T7248"/>
      <c r="U7248"/>
      <c r="X7248" s="60"/>
    </row>
    <row r="7249" spans="7:24" ht="15" customHeight="1">
      <c r="G7249"/>
      <c r="I7249"/>
      <c r="N7249"/>
      <c r="O7249" s="24"/>
      <c r="P7249"/>
      <c r="Q7249" s="24"/>
      <c r="R7249"/>
      <c r="S7249"/>
      <c r="T7249"/>
      <c r="U7249"/>
      <c r="X7249" s="60"/>
    </row>
    <row r="7250" spans="7:24" ht="15" customHeight="1">
      <c r="G7250"/>
      <c r="I7250"/>
      <c r="N7250"/>
      <c r="O7250" s="24"/>
      <c r="P7250"/>
      <c r="Q7250" s="24"/>
      <c r="R7250"/>
      <c r="S7250"/>
      <c r="T7250"/>
      <c r="U7250"/>
      <c r="X7250" s="60"/>
    </row>
    <row r="7251" spans="7:24" ht="15" customHeight="1">
      <c r="G7251"/>
      <c r="I7251"/>
      <c r="N7251"/>
      <c r="O7251" s="24"/>
      <c r="P7251"/>
      <c r="Q7251" s="24"/>
      <c r="R7251"/>
      <c r="S7251"/>
      <c r="T7251"/>
      <c r="U7251"/>
      <c r="X7251" s="60"/>
    </row>
    <row r="7252" spans="7:24" ht="15" customHeight="1">
      <c r="G7252"/>
      <c r="I7252"/>
      <c r="N7252"/>
      <c r="O7252" s="24"/>
      <c r="P7252"/>
      <c r="Q7252" s="24"/>
      <c r="R7252"/>
      <c r="S7252"/>
      <c r="T7252"/>
      <c r="U7252"/>
      <c r="X7252" s="60"/>
    </row>
    <row r="7253" spans="7:24" ht="15" customHeight="1">
      <c r="G7253"/>
      <c r="I7253"/>
      <c r="N7253"/>
      <c r="O7253" s="24"/>
      <c r="P7253"/>
      <c r="Q7253" s="24"/>
      <c r="R7253"/>
      <c r="S7253"/>
      <c r="T7253"/>
      <c r="U7253"/>
      <c r="X7253" s="60"/>
    </row>
    <row r="7254" spans="7:24" ht="15" customHeight="1">
      <c r="G7254"/>
      <c r="I7254"/>
      <c r="N7254"/>
      <c r="O7254" s="24"/>
      <c r="P7254"/>
      <c r="Q7254" s="24"/>
      <c r="R7254"/>
      <c r="S7254"/>
      <c r="T7254"/>
      <c r="U7254"/>
      <c r="X7254" s="60"/>
    </row>
    <row r="7255" spans="7:24" ht="15" customHeight="1">
      <c r="G7255"/>
      <c r="I7255"/>
      <c r="N7255"/>
      <c r="O7255" s="24"/>
      <c r="P7255"/>
      <c r="Q7255" s="24"/>
      <c r="R7255"/>
      <c r="S7255"/>
      <c r="T7255"/>
      <c r="U7255"/>
      <c r="X7255" s="60"/>
    </row>
    <row r="7256" spans="7:24" ht="15" customHeight="1">
      <c r="G7256"/>
      <c r="I7256"/>
      <c r="N7256"/>
      <c r="O7256" s="24"/>
      <c r="P7256"/>
      <c r="Q7256" s="24"/>
      <c r="R7256"/>
      <c r="S7256"/>
      <c r="T7256"/>
      <c r="U7256"/>
      <c r="X7256" s="60"/>
    </row>
    <row r="7257" spans="7:24" ht="15" customHeight="1">
      <c r="G7257"/>
      <c r="I7257"/>
      <c r="N7257"/>
      <c r="O7257" s="24"/>
      <c r="P7257"/>
      <c r="Q7257" s="24"/>
      <c r="R7257"/>
      <c r="S7257"/>
      <c r="T7257"/>
      <c r="U7257"/>
      <c r="X7257" s="60"/>
    </row>
    <row r="7258" spans="7:24" ht="15" customHeight="1">
      <c r="G7258"/>
      <c r="I7258"/>
      <c r="N7258"/>
      <c r="O7258" s="24"/>
      <c r="P7258"/>
      <c r="Q7258" s="24"/>
      <c r="R7258"/>
      <c r="S7258"/>
      <c r="T7258"/>
      <c r="U7258"/>
      <c r="X7258" s="60"/>
    </row>
    <row r="7259" spans="7:24" ht="15" customHeight="1">
      <c r="G7259"/>
      <c r="I7259"/>
      <c r="N7259"/>
      <c r="O7259" s="24"/>
      <c r="P7259"/>
      <c r="Q7259" s="24"/>
      <c r="R7259"/>
      <c r="S7259"/>
      <c r="T7259"/>
      <c r="U7259"/>
      <c r="X7259" s="60"/>
    </row>
    <row r="7260" spans="7:24" ht="15" customHeight="1">
      <c r="G7260"/>
      <c r="I7260"/>
      <c r="N7260"/>
      <c r="O7260" s="24"/>
      <c r="P7260"/>
      <c r="Q7260" s="24"/>
      <c r="R7260"/>
      <c r="S7260"/>
      <c r="T7260"/>
      <c r="U7260"/>
      <c r="X7260" s="60"/>
    </row>
    <row r="7261" spans="7:24" ht="15" customHeight="1">
      <c r="G7261"/>
      <c r="I7261"/>
      <c r="N7261"/>
      <c r="O7261" s="24"/>
      <c r="P7261"/>
      <c r="Q7261" s="24"/>
      <c r="R7261"/>
      <c r="S7261"/>
      <c r="T7261"/>
      <c r="U7261"/>
      <c r="X7261" s="60"/>
    </row>
    <row r="7262" spans="7:24" ht="15" customHeight="1">
      <c r="G7262"/>
      <c r="I7262"/>
      <c r="N7262"/>
      <c r="O7262" s="24"/>
      <c r="P7262"/>
      <c r="Q7262" s="24"/>
      <c r="R7262"/>
      <c r="S7262"/>
      <c r="T7262"/>
      <c r="U7262"/>
      <c r="X7262" s="60"/>
    </row>
    <row r="7263" spans="7:24" ht="15" customHeight="1">
      <c r="G7263"/>
      <c r="I7263"/>
      <c r="N7263"/>
      <c r="O7263" s="24"/>
      <c r="P7263"/>
      <c r="Q7263" s="24"/>
      <c r="R7263"/>
      <c r="S7263"/>
      <c r="T7263"/>
      <c r="U7263"/>
      <c r="X7263" s="60"/>
    </row>
    <row r="7264" spans="7:24" ht="15" customHeight="1">
      <c r="G7264"/>
      <c r="I7264"/>
      <c r="N7264"/>
      <c r="O7264" s="24"/>
      <c r="P7264"/>
      <c r="Q7264" s="24"/>
      <c r="R7264"/>
      <c r="S7264"/>
      <c r="T7264"/>
      <c r="U7264"/>
      <c r="X7264" s="60"/>
    </row>
    <row r="7265" spans="7:24" ht="15" customHeight="1">
      <c r="G7265"/>
      <c r="I7265"/>
      <c r="N7265"/>
      <c r="O7265" s="24"/>
      <c r="P7265"/>
      <c r="Q7265" s="24"/>
      <c r="R7265"/>
      <c r="S7265"/>
      <c r="T7265"/>
      <c r="U7265"/>
      <c r="X7265" s="60"/>
    </row>
    <row r="7266" spans="7:24" ht="15" customHeight="1">
      <c r="G7266"/>
      <c r="I7266"/>
      <c r="N7266"/>
      <c r="O7266" s="24"/>
      <c r="P7266"/>
      <c r="Q7266" s="24"/>
      <c r="R7266"/>
      <c r="S7266"/>
      <c r="T7266"/>
      <c r="U7266"/>
      <c r="X7266" s="60"/>
    </row>
    <row r="7267" spans="7:24" ht="15" customHeight="1">
      <c r="G7267"/>
      <c r="I7267"/>
      <c r="N7267"/>
      <c r="O7267" s="24"/>
      <c r="P7267"/>
      <c r="Q7267" s="24"/>
      <c r="R7267"/>
      <c r="S7267"/>
      <c r="T7267"/>
      <c r="U7267"/>
      <c r="X7267" s="60"/>
    </row>
    <row r="7268" spans="7:24" ht="15" customHeight="1">
      <c r="G7268"/>
      <c r="I7268"/>
      <c r="N7268"/>
      <c r="O7268" s="24"/>
      <c r="P7268"/>
      <c r="Q7268" s="24"/>
      <c r="R7268"/>
      <c r="S7268"/>
      <c r="T7268"/>
      <c r="U7268"/>
      <c r="X7268" s="60"/>
    </row>
    <row r="7269" spans="7:24" ht="15" customHeight="1">
      <c r="G7269"/>
      <c r="I7269"/>
      <c r="N7269"/>
      <c r="O7269" s="24"/>
      <c r="P7269"/>
      <c r="Q7269" s="24"/>
      <c r="R7269"/>
      <c r="S7269"/>
      <c r="T7269"/>
      <c r="U7269"/>
      <c r="X7269" s="60"/>
    </row>
    <row r="7270" spans="7:24" ht="15" customHeight="1">
      <c r="G7270"/>
      <c r="I7270"/>
      <c r="N7270"/>
      <c r="O7270" s="24"/>
      <c r="P7270"/>
      <c r="Q7270" s="24"/>
      <c r="R7270"/>
      <c r="S7270"/>
      <c r="T7270"/>
      <c r="U7270"/>
      <c r="X7270" s="60"/>
    </row>
    <row r="7271" spans="7:24" ht="15" customHeight="1">
      <c r="G7271"/>
      <c r="I7271"/>
      <c r="N7271"/>
      <c r="O7271" s="24"/>
      <c r="P7271"/>
      <c r="Q7271" s="24"/>
      <c r="R7271"/>
      <c r="S7271"/>
      <c r="T7271"/>
      <c r="U7271"/>
      <c r="X7271" s="60"/>
    </row>
    <row r="7272" spans="7:24" ht="15" customHeight="1">
      <c r="G7272"/>
      <c r="I7272"/>
      <c r="N7272"/>
      <c r="O7272" s="24"/>
      <c r="P7272"/>
      <c r="Q7272" s="24"/>
      <c r="R7272"/>
      <c r="S7272"/>
      <c r="T7272"/>
      <c r="U7272"/>
      <c r="X7272" s="60"/>
    </row>
    <row r="7273" spans="7:24" ht="15" customHeight="1">
      <c r="G7273"/>
      <c r="I7273"/>
      <c r="N7273"/>
      <c r="O7273" s="24"/>
      <c r="P7273"/>
      <c r="Q7273" s="24"/>
      <c r="R7273"/>
      <c r="S7273"/>
      <c r="T7273"/>
      <c r="U7273"/>
      <c r="X7273" s="60"/>
    </row>
    <row r="7274" spans="7:24" ht="15" customHeight="1">
      <c r="G7274"/>
      <c r="I7274"/>
      <c r="N7274"/>
      <c r="O7274" s="24"/>
      <c r="P7274"/>
      <c r="Q7274" s="24"/>
      <c r="R7274"/>
      <c r="S7274"/>
      <c r="T7274"/>
      <c r="U7274"/>
      <c r="X7274" s="60"/>
    </row>
    <row r="7275" spans="7:24" ht="15" customHeight="1">
      <c r="G7275"/>
      <c r="I7275"/>
      <c r="N7275"/>
      <c r="O7275" s="24"/>
      <c r="P7275"/>
      <c r="Q7275" s="24"/>
      <c r="R7275"/>
      <c r="S7275"/>
      <c r="T7275"/>
      <c r="U7275"/>
      <c r="X7275" s="60"/>
    </row>
    <row r="7276" spans="7:24" ht="15" customHeight="1">
      <c r="G7276"/>
      <c r="I7276"/>
      <c r="N7276"/>
      <c r="O7276" s="24"/>
      <c r="P7276"/>
      <c r="Q7276" s="24"/>
      <c r="R7276"/>
      <c r="S7276"/>
      <c r="T7276"/>
      <c r="U7276"/>
      <c r="X7276" s="60"/>
    </row>
    <row r="7277" spans="7:24" ht="15" customHeight="1">
      <c r="G7277"/>
      <c r="I7277"/>
      <c r="N7277"/>
      <c r="O7277" s="24"/>
      <c r="P7277"/>
      <c r="Q7277" s="24"/>
      <c r="R7277"/>
      <c r="S7277"/>
      <c r="T7277"/>
      <c r="U7277"/>
      <c r="X7277" s="60"/>
    </row>
    <row r="7278" spans="7:24" ht="15" customHeight="1">
      <c r="G7278"/>
      <c r="I7278"/>
      <c r="N7278"/>
      <c r="O7278" s="24"/>
      <c r="P7278"/>
      <c r="Q7278" s="24"/>
      <c r="R7278"/>
      <c r="S7278"/>
      <c r="T7278"/>
      <c r="U7278"/>
      <c r="X7278" s="60"/>
    </row>
    <row r="7279" spans="7:24" ht="15" customHeight="1">
      <c r="G7279"/>
      <c r="I7279"/>
      <c r="N7279"/>
      <c r="O7279" s="24"/>
      <c r="P7279"/>
      <c r="Q7279" s="24"/>
      <c r="R7279"/>
      <c r="S7279"/>
      <c r="T7279"/>
      <c r="U7279"/>
      <c r="X7279" s="60"/>
    </row>
    <row r="7280" spans="7:24" ht="15" customHeight="1">
      <c r="G7280"/>
      <c r="I7280"/>
      <c r="N7280"/>
      <c r="O7280" s="24"/>
      <c r="P7280"/>
      <c r="Q7280" s="24"/>
      <c r="R7280"/>
      <c r="S7280"/>
      <c r="T7280"/>
      <c r="U7280"/>
      <c r="X7280" s="60"/>
    </row>
    <row r="7281" spans="7:24" ht="15" customHeight="1">
      <c r="G7281"/>
      <c r="I7281"/>
      <c r="N7281"/>
      <c r="O7281" s="24"/>
      <c r="P7281"/>
      <c r="Q7281" s="24"/>
      <c r="R7281"/>
      <c r="S7281"/>
      <c r="T7281"/>
      <c r="U7281"/>
      <c r="X7281" s="60"/>
    </row>
    <row r="7282" spans="7:24" ht="15" customHeight="1">
      <c r="G7282"/>
      <c r="I7282"/>
      <c r="N7282"/>
      <c r="O7282" s="24"/>
      <c r="P7282"/>
      <c r="Q7282" s="24"/>
      <c r="R7282"/>
      <c r="S7282"/>
      <c r="T7282"/>
      <c r="U7282"/>
      <c r="X7282" s="60"/>
    </row>
    <row r="7283" spans="7:24" ht="15" customHeight="1">
      <c r="G7283"/>
      <c r="I7283"/>
      <c r="N7283"/>
      <c r="O7283" s="24"/>
      <c r="P7283"/>
      <c r="Q7283" s="24"/>
      <c r="R7283"/>
      <c r="S7283"/>
      <c r="T7283"/>
      <c r="U7283"/>
      <c r="X7283" s="60"/>
    </row>
    <row r="7284" spans="7:24" ht="15" customHeight="1">
      <c r="G7284"/>
      <c r="I7284"/>
      <c r="N7284"/>
      <c r="O7284" s="24"/>
      <c r="P7284"/>
      <c r="Q7284" s="24"/>
      <c r="R7284"/>
      <c r="S7284"/>
      <c r="T7284"/>
      <c r="U7284"/>
      <c r="X7284" s="60"/>
    </row>
    <row r="7285" spans="7:24" ht="15" customHeight="1">
      <c r="G7285"/>
      <c r="I7285"/>
      <c r="N7285"/>
      <c r="O7285" s="24"/>
      <c r="P7285"/>
      <c r="Q7285" s="24"/>
      <c r="R7285"/>
      <c r="S7285"/>
      <c r="T7285"/>
      <c r="U7285"/>
      <c r="X7285" s="60"/>
    </row>
    <row r="7286" spans="7:24" ht="15" customHeight="1">
      <c r="G7286"/>
      <c r="I7286"/>
      <c r="N7286"/>
      <c r="O7286" s="24"/>
      <c r="P7286"/>
      <c r="Q7286" s="24"/>
      <c r="R7286"/>
      <c r="S7286"/>
      <c r="T7286"/>
      <c r="U7286"/>
      <c r="X7286" s="60"/>
    </row>
    <row r="7287" spans="7:24" ht="15" customHeight="1">
      <c r="G7287"/>
      <c r="I7287"/>
      <c r="N7287"/>
      <c r="O7287" s="24"/>
      <c r="P7287"/>
      <c r="Q7287" s="24"/>
      <c r="R7287"/>
      <c r="S7287"/>
      <c r="T7287"/>
      <c r="U7287"/>
      <c r="X7287" s="60"/>
    </row>
    <row r="7288" spans="7:24" ht="15" customHeight="1">
      <c r="G7288"/>
      <c r="I7288"/>
      <c r="N7288"/>
      <c r="O7288" s="24"/>
      <c r="P7288"/>
      <c r="Q7288" s="24"/>
      <c r="R7288"/>
      <c r="S7288"/>
      <c r="T7288"/>
      <c r="U7288"/>
      <c r="X7288" s="60"/>
    </row>
    <row r="7289" spans="7:24" ht="15" customHeight="1">
      <c r="G7289"/>
      <c r="I7289"/>
      <c r="N7289"/>
      <c r="O7289" s="24"/>
      <c r="P7289"/>
      <c r="Q7289" s="24"/>
      <c r="R7289"/>
      <c r="S7289"/>
      <c r="T7289"/>
      <c r="U7289"/>
      <c r="X7289" s="60"/>
    </row>
    <row r="7290" spans="7:24" ht="15" customHeight="1">
      <c r="G7290"/>
      <c r="I7290"/>
      <c r="N7290"/>
      <c r="O7290" s="24"/>
      <c r="P7290"/>
      <c r="Q7290" s="24"/>
      <c r="R7290"/>
      <c r="S7290"/>
      <c r="T7290"/>
      <c r="U7290"/>
      <c r="X7290" s="60"/>
    </row>
    <row r="7291" spans="7:24" ht="15" customHeight="1">
      <c r="G7291"/>
      <c r="I7291"/>
      <c r="N7291"/>
      <c r="O7291" s="24"/>
      <c r="P7291"/>
      <c r="Q7291" s="24"/>
      <c r="R7291"/>
      <c r="S7291"/>
      <c r="T7291"/>
      <c r="U7291"/>
      <c r="X7291" s="60"/>
    </row>
    <row r="7292" spans="7:24" ht="15" customHeight="1">
      <c r="G7292"/>
      <c r="I7292"/>
      <c r="N7292"/>
      <c r="O7292" s="24"/>
      <c r="P7292"/>
      <c r="Q7292" s="24"/>
      <c r="R7292"/>
      <c r="S7292"/>
      <c r="T7292"/>
      <c r="U7292"/>
      <c r="X7292" s="60"/>
    </row>
    <row r="7293" spans="7:24" ht="15" customHeight="1">
      <c r="G7293"/>
      <c r="I7293"/>
      <c r="N7293"/>
      <c r="O7293" s="24"/>
      <c r="P7293"/>
      <c r="Q7293" s="24"/>
      <c r="R7293"/>
      <c r="S7293"/>
      <c r="T7293"/>
      <c r="U7293"/>
      <c r="X7293" s="60"/>
    </row>
    <row r="7294" spans="7:24" ht="15" customHeight="1">
      <c r="G7294"/>
      <c r="I7294"/>
      <c r="N7294"/>
      <c r="O7294" s="24"/>
      <c r="P7294"/>
      <c r="Q7294" s="24"/>
      <c r="R7294"/>
      <c r="S7294"/>
      <c r="T7294"/>
      <c r="U7294"/>
      <c r="X7294" s="60"/>
    </row>
    <row r="7295" spans="7:24" ht="15" customHeight="1">
      <c r="G7295"/>
      <c r="I7295"/>
      <c r="N7295"/>
      <c r="O7295" s="24"/>
      <c r="P7295"/>
      <c r="Q7295" s="24"/>
      <c r="R7295"/>
      <c r="S7295"/>
      <c r="T7295"/>
      <c r="U7295"/>
      <c r="X7295" s="60"/>
    </row>
    <row r="7296" spans="7:24" ht="15" customHeight="1">
      <c r="G7296"/>
      <c r="I7296"/>
      <c r="N7296"/>
      <c r="O7296" s="24"/>
      <c r="P7296"/>
      <c r="Q7296" s="24"/>
      <c r="R7296"/>
      <c r="S7296"/>
      <c r="T7296"/>
      <c r="U7296"/>
      <c r="X7296" s="60"/>
    </row>
    <row r="7297" spans="7:24" ht="15" customHeight="1">
      <c r="G7297"/>
      <c r="I7297"/>
      <c r="N7297"/>
      <c r="O7297" s="24"/>
      <c r="P7297"/>
      <c r="Q7297" s="24"/>
      <c r="R7297"/>
      <c r="S7297"/>
      <c r="T7297"/>
      <c r="U7297"/>
      <c r="X7297" s="60"/>
    </row>
    <row r="7298" spans="7:24" ht="15" customHeight="1">
      <c r="G7298"/>
      <c r="I7298"/>
      <c r="N7298"/>
      <c r="O7298" s="24"/>
      <c r="P7298"/>
      <c r="Q7298" s="24"/>
      <c r="R7298"/>
      <c r="S7298"/>
      <c r="T7298"/>
      <c r="U7298"/>
      <c r="X7298" s="60"/>
    </row>
    <row r="7299" spans="7:24" ht="15" customHeight="1">
      <c r="G7299"/>
      <c r="I7299"/>
      <c r="N7299"/>
      <c r="O7299" s="24"/>
      <c r="P7299"/>
      <c r="Q7299" s="24"/>
      <c r="R7299"/>
      <c r="S7299"/>
      <c r="T7299"/>
      <c r="U7299"/>
      <c r="X7299" s="60"/>
    </row>
    <row r="7300" spans="7:24" ht="15" customHeight="1">
      <c r="G7300"/>
      <c r="I7300"/>
      <c r="N7300"/>
      <c r="O7300" s="24"/>
      <c r="P7300"/>
      <c r="Q7300" s="24"/>
      <c r="R7300"/>
      <c r="S7300"/>
      <c r="T7300"/>
      <c r="U7300"/>
      <c r="X7300" s="60"/>
    </row>
    <row r="7301" spans="7:24" ht="15" customHeight="1">
      <c r="G7301"/>
      <c r="I7301"/>
      <c r="N7301"/>
      <c r="O7301" s="24"/>
      <c r="P7301"/>
      <c r="Q7301" s="24"/>
      <c r="R7301"/>
      <c r="S7301"/>
      <c r="T7301"/>
      <c r="U7301"/>
      <c r="X7301" s="60"/>
    </row>
    <row r="7302" spans="7:24" ht="15" customHeight="1">
      <c r="G7302"/>
      <c r="I7302"/>
      <c r="N7302"/>
      <c r="O7302" s="24"/>
      <c r="P7302"/>
      <c r="Q7302" s="24"/>
      <c r="R7302"/>
      <c r="S7302"/>
      <c r="T7302"/>
      <c r="U7302"/>
      <c r="X7302" s="60"/>
    </row>
    <row r="7303" spans="7:24" ht="15" customHeight="1">
      <c r="G7303"/>
      <c r="I7303"/>
      <c r="N7303"/>
      <c r="O7303" s="24"/>
      <c r="P7303"/>
      <c r="Q7303" s="24"/>
      <c r="R7303"/>
      <c r="S7303"/>
      <c r="T7303"/>
      <c r="U7303"/>
      <c r="X7303" s="60"/>
    </row>
    <row r="7304" spans="7:24" ht="15" customHeight="1">
      <c r="G7304"/>
      <c r="I7304"/>
      <c r="N7304"/>
      <c r="O7304" s="24"/>
      <c r="P7304"/>
      <c r="Q7304" s="24"/>
      <c r="R7304"/>
      <c r="S7304"/>
      <c r="T7304"/>
      <c r="U7304"/>
      <c r="X7304" s="60"/>
    </row>
    <row r="7305" spans="7:24" ht="15" customHeight="1">
      <c r="G7305"/>
      <c r="I7305"/>
      <c r="N7305"/>
      <c r="O7305" s="24"/>
      <c r="P7305"/>
      <c r="Q7305" s="24"/>
      <c r="R7305"/>
      <c r="S7305"/>
      <c r="T7305"/>
      <c r="U7305"/>
      <c r="X7305" s="60"/>
    </row>
    <row r="7306" spans="7:24" ht="15" customHeight="1">
      <c r="G7306"/>
      <c r="I7306"/>
      <c r="N7306"/>
      <c r="O7306" s="24"/>
      <c r="P7306"/>
      <c r="Q7306" s="24"/>
      <c r="R7306"/>
      <c r="S7306"/>
      <c r="T7306"/>
      <c r="U7306"/>
      <c r="X7306" s="60"/>
    </row>
    <row r="7307" spans="7:24" ht="15" customHeight="1">
      <c r="G7307"/>
      <c r="I7307"/>
      <c r="N7307"/>
      <c r="O7307" s="24"/>
      <c r="P7307"/>
      <c r="Q7307" s="24"/>
      <c r="R7307"/>
      <c r="S7307"/>
      <c r="T7307"/>
      <c r="U7307"/>
      <c r="X7307" s="60"/>
    </row>
    <row r="7308" spans="7:24" ht="15" customHeight="1">
      <c r="G7308"/>
      <c r="I7308"/>
      <c r="N7308"/>
      <c r="O7308" s="24"/>
      <c r="P7308"/>
      <c r="Q7308" s="24"/>
      <c r="R7308"/>
      <c r="S7308"/>
      <c r="T7308"/>
      <c r="U7308"/>
      <c r="X7308" s="60"/>
    </row>
    <row r="7309" spans="7:24" ht="15" customHeight="1">
      <c r="G7309"/>
      <c r="I7309"/>
      <c r="N7309"/>
      <c r="O7309" s="24"/>
      <c r="P7309"/>
      <c r="Q7309" s="24"/>
      <c r="R7309"/>
      <c r="S7309"/>
      <c r="T7309"/>
      <c r="U7309"/>
      <c r="X7309" s="60"/>
    </row>
    <row r="7310" spans="7:24" ht="15" customHeight="1">
      <c r="G7310"/>
      <c r="I7310"/>
      <c r="N7310"/>
      <c r="O7310" s="24"/>
      <c r="P7310"/>
      <c r="Q7310" s="24"/>
      <c r="R7310"/>
      <c r="S7310"/>
      <c r="T7310"/>
      <c r="U7310"/>
      <c r="X7310" s="60"/>
    </row>
    <row r="7311" spans="7:24" ht="15" customHeight="1">
      <c r="G7311"/>
      <c r="I7311"/>
      <c r="N7311"/>
      <c r="O7311" s="24"/>
      <c r="P7311"/>
      <c r="Q7311" s="24"/>
      <c r="R7311"/>
      <c r="S7311"/>
      <c r="T7311"/>
      <c r="U7311"/>
      <c r="X7311" s="60"/>
    </row>
    <row r="7312" spans="7:24" ht="15" customHeight="1">
      <c r="G7312"/>
      <c r="I7312"/>
      <c r="N7312"/>
      <c r="O7312" s="24"/>
      <c r="P7312"/>
      <c r="Q7312" s="24"/>
      <c r="R7312"/>
      <c r="S7312"/>
      <c r="T7312"/>
      <c r="U7312"/>
      <c r="X7312" s="60"/>
    </row>
    <row r="7313" spans="7:24" ht="15" customHeight="1">
      <c r="G7313"/>
      <c r="I7313"/>
      <c r="N7313"/>
      <c r="O7313" s="24"/>
      <c r="P7313"/>
      <c r="Q7313" s="24"/>
      <c r="R7313"/>
      <c r="S7313"/>
      <c r="T7313"/>
      <c r="U7313"/>
      <c r="X7313" s="60"/>
    </row>
    <row r="7314" spans="7:24" ht="15" customHeight="1">
      <c r="G7314"/>
      <c r="I7314"/>
      <c r="N7314"/>
      <c r="O7314" s="24"/>
      <c r="P7314"/>
      <c r="Q7314" s="24"/>
      <c r="R7314"/>
      <c r="S7314"/>
      <c r="T7314"/>
      <c r="U7314"/>
      <c r="X7314" s="60"/>
    </row>
    <row r="7315" spans="7:24" ht="15" customHeight="1">
      <c r="G7315"/>
      <c r="I7315"/>
      <c r="N7315"/>
      <c r="O7315" s="24"/>
      <c r="P7315"/>
      <c r="Q7315" s="24"/>
      <c r="R7315"/>
      <c r="S7315"/>
      <c r="T7315"/>
      <c r="U7315"/>
      <c r="X7315" s="60"/>
    </row>
    <row r="7316" spans="7:24" ht="15" customHeight="1">
      <c r="G7316"/>
      <c r="I7316"/>
      <c r="N7316"/>
      <c r="O7316" s="24"/>
      <c r="P7316"/>
      <c r="Q7316" s="24"/>
      <c r="R7316"/>
      <c r="S7316"/>
      <c r="T7316"/>
      <c r="U7316"/>
      <c r="X7316" s="60"/>
    </row>
    <row r="7317" spans="7:24" ht="15" customHeight="1">
      <c r="G7317"/>
      <c r="I7317"/>
      <c r="N7317"/>
      <c r="O7317" s="24"/>
      <c r="P7317"/>
      <c r="Q7317" s="24"/>
      <c r="R7317"/>
      <c r="S7317"/>
      <c r="T7317"/>
      <c r="U7317"/>
      <c r="X7317" s="60"/>
    </row>
    <row r="7318" spans="7:24" ht="15" customHeight="1">
      <c r="G7318"/>
      <c r="I7318"/>
      <c r="N7318"/>
      <c r="O7318" s="24"/>
      <c r="P7318"/>
      <c r="Q7318" s="24"/>
      <c r="R7318"/>
      <c r="S7318"/>
      <c r="T7318"/>
      <c r="U7318"/>
      <c r="X7318" s="60"/>
    </row>
    <row r="7319" spans="7:24" ht="15" customHeight="1">
      <c r="G7319"/>
      <c r="I7319"/>
      <c r="N7319"/>
      <c r="O7319" s="24"/>
      <c r="P7319"/>
      <c r="Q7319" s="24"/>
      <c r="R7319"/>
      <c r="S7319"/>
      <c r="T7319"/>
      <c r="U7319"/>
      <c r="X7319" s="60"/>
    </row>
    <row r="7320" spans="7:24" ht="15" customHeight="1">
      <c r="G7320"/>
      <c r="I7320"/>
      <c r="N7320"/>
      <c r="O7320" s="24"/>
      <c r="P7320"/>
      <c r="Q7320" s="24"/>
      <c r="R7320"/>
      <c r="S7320"/>
      <c r="T7320"/>
      <c r="U7320"/>
      <c r="X7320" s="60"/>
    </row>
    <row r="7321" spans="7:24" ht="15" customHeight="1">
      <c r="G7321"/>
      <c r="I7321"/>
      <c r="N7321"/>
      <c r="O7321" s="24"/>
      <c r="P7321"/>
      <c r="Q7321" s="24"/>
      <c r="R7321"/>
      <c r="S7321"/>
      <c r="T7321"/>
      <c r="U7321"/>
      <c r="X7321" s="60"/>
    </row>
    <row r="7322" spans="7:24" ht="15" customHeight="1">
      <c r="G7322"/>
      <c r="I7322"/>
      <c r="N7322"/>
      <c r="O7322" s="24"/>
      <c r="P7322"/>
      <c r="Q7322" s="24"/>
      <c r="R7322"/>
      <c r="S7322"/>
      <c r="T7322"/>
      <c r="U7322"/>
      <c r="X7322" s="60"/>
    </row>
    <row r="7323" spans="7:24" ht="15" customHeight="1">
      <c r="G7323"/>
      <c r="I7323"/>
      <c r="N7323"/>
      <c r="O7323" s="24"/>
      <c r="P7323"/>
      <c r="Q7323" s="24"/>
      <c r="R7323"/>
      <c r="S7323"/>
      <c r="T7323"/>
      <c r="U7323"/>
      <c r="X7323" s="60"/>
    </row>
    <row r="7324" spans="7:24" ht="15" customHeight="1">
      <c r="G7324"/>
      <c r="I7324"/>
      <c r="N7324"/>
      <c r="O7324" s="24"/>
      <c r="P7324"/>
      <c r="Q7324" s="24"/>
      <c r="R7324"/>
      <c r="S7324"/>
      <c r="T7324"/>
      <c r="U7324"/>
      <c r="X7324" s="60"/>
    </row>
    <row r="7325" spans="7:24" ht="15" customHeight="1">
      <c r="G7325"/>
      <c r="I7325"/>
      <c r="N7325"/>
      <c r="O7325" s="24"/>
      <c r="P7325"/>
      <c r="Q7325" s="24"/>
      <c r="R7325"/>
      <c r="S7325"/>
      <c r="T7325"/>
      <c r="U7325"/>
      <c r="X7325" s="60"/>
    </row>
    <row r="7326" spans="7:24" ht="15" customHeight="1">
      <c r="G7326"/>
      <c r="I7326"/>
      <c r="N7326"/>
      <c r="O7326" s="24"/>
      <c r="P7326"/>
      <c r="Q7326" s="24"/>
      <c r="R7326"/>
      <c r="S7326"/>
      <c r="T7326"/>
      <c r="U7326"/>
      <c r="X7326" s="60"/>
    </row>
    <row r="7327" spans="7:24" ht="15" customHeight="1">
      <c r="G7327"/>
      <c r="I7327"/>
      <c r="N7327"/>
      <c r="O7327" s="24"/>
      <c r="P7327"/>
      <c r="Q7327" s="24"/>
      <c r="R7327"/>
      <c r="S7327"/>
      <c r="T7327"/>
      <c r="U7327"/>
      <c r="X7327" s="60"/>
    </row>
    <row r="7328" spans="7:24" ht="15" customHeight="1">
      <c r="G7328"/>
      <c r="I7328"/>
      <c r="N7328"/>
      <c r="O7328" s="24"/>
      <c r="P7328"/>
      <c r="Q7328" s="24"/>
      <c r="R7328"/>
      <c r="S7328"/>
      <c r="T7328"/>
      <c r="U7328"/>
      <c r="X7328" s="60"/>
    </row>
    <row r="7329" spans="7:24" ht="15" customHeight="1">
      <c r="G7329"/>
      <c r="I7329"/>
      <c r="N7329"/>
      <c r="O7329" s="24"/>
      <c r="P7329"/>
      <c r="Q7329" s="24"/>
      <c r="R7329"/>
      <c r="S7329"/>
      <c r="T7329"/>
      <c r="U7329"/>
      <c r="X7329" s="60"/>
    </row>
    <row r="7330" spans="7:24" ht="15" customHeight="1">
      <c r="G7330"/>
      <c r="I7330"/>
      <c r="N7330"/>
      <c r="O7330" s="24"/>
      <c r="P7330"/>
      <c r="Q7330" s="24"/>
      <c r="R7330"/>
      <c r="S7330"/>
      <c r="T7330"/>
      <c r="U7330"/>
      <c r="X7330" s="60"/>
    </row>
    <row r="7331" spans="7:24" ht="15" customHeight="1">
      <c r="G7331"/>
      <c r="I7331"/>
      <c r="N7331"/>
      <c r="O7331" s="24"/>
      <c r="P7331"/>
      <c r="Q7331" s="24"/>
      <c r="R7331"/>
      <c r="S7331"/>
      <c r="T7331"/>
      <c r="U7331"/>
      <c r="X7331" s="60"/>
    </row>
    <row r="7332" spans="7:24" ht="15" customHeight="1">
      <c r="G7332"/>
      <c r="I7332"/>
      <c r="N7332"/>
      <c r="O7332" s="24"/>
      <c r="P7332"/>
      <c r="Q7332" s="24"/>
      <c r="R7332"/>
      <c r="S7332"/>
      <c r="T7332"/>
      <c r="U7332"/>
      <c r="X7332" s="60"/>
    </row>
    <row r="7333" spans="7:24" ht="15" customHeight="1">
      <c r="G7333"/>
      <c r="I7333"/>
      <c r="N7333"/>
      <c r="O7333" s="24"/>
      <c r="P7333"/>
      <c r="Q7333" s="24"/>
      <c r="R7333"/>
      <c r="S7333"/>
      <c r="T7333"/>
      <c r="U7333"/>
      <c r="X7333" s="60"/>
    </row>
    <row r="7334" spans="7:24" ht="15" customHeight="1">
      <c r="G7334"/>
      <c r="I7334"/>
      <c r="N7334"/>
      <c r="O7334" s="24"/>
      <c r="P7334"/>
      <c r="Q7334" s="24"/>
      <c r="R7334"/>
      <c r="S7334"/>
      <c r="T7334"/>
      <c r="U7334"/>
      <c r="X7334" s="60"/>
    </row>
    <row r="7335" spans="7:24" ht="15" customHeight="1">
      <c r="G7335"/>
      <c r="I7335"/>
      <c r="N7335"/>
      <c r="O7335" s="24"/>
      <c r="P7335"/>
      <c r="Q7335" s="24"/>
      <c r="R7335"/>
      <c r="S7335"/>
      <c r="T7335"/>
      <c r="U7335"/>
      <c r="X7335" s="60"/>
    </row>
    <row r="7336" spans="7:24" ht="15" customHeight="1">
      <c r="G7336"/>
      <c r="I7336"/>
      <c r="N7336"/>
      <c r="O7336" s="24"/>
      <c r="P7336"/>
      <c r="Q7336" s="24"/>
      <c r="R7336"/>
      <c r="S7336"/>
      <c r="T7336"/>
      <c r="U7336"/>
      <c r="X7336" s="60"/>
    </row>
    <row r="7337" spans="7:24" ht="15" customHeight="1">
      <c r="G7337"/>
      <c r="I7337"/>
      <c r="N7337"/>
      <c r="O7337" s="24"/>
      <c r="P7337"/>
      <c r="Q7337" s="24"/>
      <c r="R7337"/>
      <c r="S7337"/>
      <c r="T7337"/>
      <c r="U7337"/>
      <c r="X7337" s="60"/>
    </row>
    <row r="7338" spans="7:24" ht="15" customHeight="1">
      <c r="G7338"/>
      <c r="I7338"/>
      <c r="N7338"/>
      <c r="O7338" s="24"/>
      <c r="P7338"/>
      <c r="Q7338" s="24"/>
      <c r="R7338"/>
      <c r="S7338"/>
      <c r="T7338"/>
      <c r="U7338"/>
      <c r="X7338" s="60"/>
    </row>
    <row r="7339" spans="7:24" ht="15" customHeight="1">
      <c r="G7339"/>
      <c r="I7339"/>
      <c r="N7339"/>
      <c r="O7339" s="24"/>
      <c r="P7339"/>
      <c r="Q7339" s="24"/>
      <c r="R7339"/>
      <c r="S7339"/>
      <c r="T7339"/>
      <c r="U7339"/>
      <c r="X7339" s="60"/>
    </row>
    <row r="7340" spans="7:24" ht="15" customHeight="1">
      <c r="G7340"/>
      <c r="I7340"/>
      <c r="N7340"/>
      <c r="O7340" s="24"/>
      <c r="P7340"/>
      <c r="Q7340" s="24"/>
      <c r="R7340"/>
      <c r="S7340"/>
      <c r="T7340"/>
      <c r="U7340"/>
      <c r="X7340" s="60"/>
    </row>
    <row r="7341" spans="7:24" ht="15" customHeight="1">
      <c r="G7341"/>
      <c r="I7341"/>
      <c r="N7341"/>
      <c r="O7341" s="24"/>
      <c r="P7341"/>
      <c r="Q7341" s="24"/>
      <c r="R7341"/>
      <c r="S7341"/>
      <c r="T7341"/>
      <c r="U7341"/>
      <c r="X7341" s="60"/>
    </row>
    <row r="7342" spans="7:24" ht="15" customHeight="1">
      <c r="G7342"/>
      <c r="I7342"/>
      <c r="N7342"/>
      <c r="O7342" s="24"/>
      <c r="P7342"/>
      <c r="Q7342" s="24"/>
      <c r="R7342"/>
      <c r="S7342"/>
      <c r="T7342"/>
      <c r="U7342"/>
      <c r="X7342" s="60"/>
    </row>
    <row r="7343" spans="7:24" ht="15" customHeight="1">
      <c r="G7343"/>
      <c r="I7343"/>
      <c r="N7343"/>
      <c r="O7343" s="24"/>
      <c r="P7343"/>
      <c r="Q7343" s="24"/>
      <c r="R7343"/>
      <c r="S7343"/>
      <c r="T7343"/>
      <c r="U7343"/>
      <c r="X7343" s="60"/>
    </row>
    <row r="7344" spans="7:24" ht="15" customHeight="1">
      <c r="G7344"/>
      <c r="I7344"/>
      <c r="N7344"/>
      <c r="O7344" s="24"/>
      <c r="P7344"/>
      <c r="Q7344" s="24"/>
      <c r="R7344"/>
      <c r="S7344"/>
      <c r="T7344"/>
      <c r="U7344"/>
      <c r="X7344" s="60"/>
    </row>
    <row r="7345" spans="7:24" ht="15" customHeight="1">
      <c r="G7345"/>
      <c r="I7345"/>
      <c r="N7345"/>
      <c r="O7345" s="24"/>
      <c r="P7345"/>
      <c r="Q7345" s="24"/>
      <c r="R7345"/>
      <c r="S7345"/>
      <c r="T7345"/>
      <c r="U7345"/>
      <c r="X7345" s="60"/>
    </row>
    <row r="7346" spans="7:24" ht="15" customHeight="1">
      <c r="G7346"/>
      <c r="I7346"/>
      <c r="N7346"/>
      <c r="O7346" s="24"/>
      <c r="P7346"/>
      <c r="Q7346" s="24"/>
      <c r="R7346"/>
      <c r="S7346"/>
      <c r="T7346"/>
      <c r="U7346"/>
      <c r="X7346" s="60"/>
    </row>
    <row r="7347" spans="7:24" ht="15" customHeight="1">
      <c r="G7347"/>
      <c r="I7347"/>
      <c r="N7347"/>
      <c r="O7347" s="24"/>
      <c r="P7347"/>
      <c r="Q7347" s="24"/>
      <c r="R7347"/>
      <c r="S7347"/>
      <c r="T7347"/>
      <c r="U7347"/>
      <c r="X7347" s="60"/>
    </row>
    <row r="7348" spans="7:24" ht="15" customHeight="1">
      <c r="G7348"/>
      <c r="I7348"/>
      <c r="N7348"/>
      <c r="O7348" s="24"/>
      <c r="P7348"/>
      <c r="Q7348" s="24"/>
      <c r="R7348"/>
      <c r="S7348"/>
      <c r="T7348"/>
      <c r="U7348"/>
      <c r="X7348" s="60"/>
    </row>
    <row r="7349" spans="7:24" ht="15" customHeight="1">
      <c r="G7349"/>
      <c r="I7349"/>
      <c r="N7349"/>
      <c r="O7349" s="24"/>
      <c r="P7349"/>
      <c r="Q7349" s="24"/>
      <c r="R7349"/>
      <c r="S7349"/>
      <c r="T7349"/>
      <c r="U7349"/>
      <c r="X7349" s="60"/>
    </row>
    <row r="7350" spans="7:24" ht="15" customHeight="1">
      <c r="G7350"/>
      <c r="I7350"/>
      <c r="N7350"/>
      <c r="O7350" s="24"/>
      <c r="P7350"/>
      <c r="Q7350" s="24"/>
      <c r="R7350"/>
      <c r="S7350"/>
      <c r="T7350"/>
      <c r="U7350"/>
      <c r="X7350" s="60"/>
    </row>
    <row r="7351" spans="7:24" ht="15" customHeight="1">
      <c r="G7351"/>
      <c r="I7351"/>
      <c r="N7351"/>
      <c r="O7351" s="24"/>
      <c r="P7351"/>
      <c r="Q7351" s="24"/>
      <c r="R7351"/>
      <c r="S7351"/>
      <c r="T7351"/>
      <c r="U7351"/>
      <c r="X7351" s="60"/>
    </row>
    <row r="7352" spans="7:24" ht="15" customHeight="1">
      <c r="G7352"/>
      <c r="I7352"/>
      <c r="N7352"/>
      <c r="O7352" s="24"/>
      <c r="P7352"/>
      <c r="Q7352" s="24"/>
      <c r="R7352"/>
      <c r="S7352"/>
      <c r="T7352"/>
      <c r="U7352"/>
      <c r="X7352" s="60"/>
    </row>
    <row r="7353" spans="7:24" ht="15" customHeight="1">
      <c r="G7353"/>
      <c r="I7353"/>
      <c r="N7353"/>
      <c r="O7353" s="24"/>
      <c r="P7353"/>
      <c r="Q7353" s="24"/>
      <c r="R7353"/>
      <c r="S7353"/>
      <c r="T7353"/>
      <c r="U7353"/>
      <c r="X7353" s="60"/>
    </row>
    <row r="7354" spans="7:24" ht="15" customHeight="1">
      <c r="G7354"/>
      <c r="I7354"/>
      <c r="N7354"/>
      <c r="O7354" s="24"/>
      <c r="P7354"/>
      <c r="Q7354" s="24"/>
      <c r="R7354"/>
      <c r="S7354"/>
      <c r="T7354"/>
      <c r="U7354"/>
      <c r="X7354" s="60"/>
    </row>
    <row r="7355" spans="7:24" ht="15" customHeight="1">
      <c r="G7355"/>
      <c r="I7355"/>
      <c r="N7355"/>
      <c r="O7355" s="24"/>
      <c r="P7355"/>
      <c r="Q7355" s="24"/>
      <c r="R7355"/>
      <c r="S7355"/>
      <c r="T7355"/>
      <c r="U7355"/>
      <c r="X7355" s="60"/>
    </row>
    <row r="7356" spans="7:24" ht="15" customHeight="1">
      <c r="G7356"/>
      <c r="I7356"/>
      <c r="N7356"/>
      <c r="O7356" s="24"/>
      <c r="P7356"/>
      <c r="Q7356" s="24"/>
      <c r="R7356"/>
      <c r="S7356"/>
      <c r="T7356"/>
      <c r="U7356"/>
      <c r="X7356" s="60"/>
    </row>
    <row r="7357" spans="7:24" ht="15" customHeight="1">
      <c r="G7357"/>
      <c r="I7357"/>
      <c r="N7357"/>
      <c r="O7357" s="24"/>
      <c r="P7357"/>
      <c r="Q7357" s="24"/>
      <c r="R7357"/>
      <c r="S7357"/>
      <c r="T7357"/>
      <c r="U7357"/>
      <c r="X7357" s="60"/>
    </row>
    <row r="7358" spans="7:24" ht="15" customHeight="1">
      <c r="G7358"/>
      <c r="I7358"/>
      <c r="N7358"/>
      <c r="O7358" s="24"/>
      <c r="P7358"/>
      <c r="Q7358" s="24"/>
      <c r="R7358"/>
      <c r="S7358"/>
      <c r="T7358"/>
      <c r="U7358"/>
      <c r="X7358" s="60"/>
    </row>
    <row r="7359" spans="7:24" ht="15" customHeight="1">
      <c r="G7359"/>
      <c r="I7359"/>
      <c r="N7359"/>
      <c r="O7359" s="24"/>
      <c r="P7359"/>
      <c r="Q7359" s="24"/>
      <c r="R7359"/>
      <c r="S7359"/>
      <c r="T7359"/>
      <c r="U7359"/>
      <c r="X7359" s="60"/>
    </row>
    <row r="7360" spans="7:24" ht="15" customHeight="1">
      <c r="G7360"/>
      <c r="I7360"/>
      <c r="N7360"/>
      <c r="O7360" s="24"/>
      <c r="P7360"/>
      <c r="Q7360" s="24"/>
      <c r="R7360"/>
      <c r="S7360"/>
      <c r="T7360"/>
      <c r="U7360"/>
      <c r="X7360" s="60"/>
    </row>
    <row r="7361" spans="7:24" ht="15" customHeight="1">
      <c r="G7361"/>
      <c r="I7361"/>
      <c r="N7361"/>
      <c r="O7361" s="24"/>
      <c r="P7361"/>
      <c r="Q7361" s="24"/>
      <c r="R7361"/>
      <c r="S7361"/>
      <c r="T7361"/>
      <c r="U7361"/>
      <c r="X7361" s="60"/>
    </row>
    <row r="7362" spans="7:24" ht="15" customHeight="1">
      <c r="G7362"/>
      <c r="I7362"/>
      <c r="N7362"/>
      <c r="O7362" s="24"/>
      <c r="P7362"/>
      <c r="Q7362" s="24"/>
      <c r="R7362"/>
      <c r="S7362"/>
      <c r="T7362"/>
      <c r="U7362"/>
      <c r="X7362" s="60"/>
    </row>
    <row r="7363" spans="7:24" ht="15" customHeight="1">
      <c r="G7363"/>
      <c r="I7363"/>
      <c r="N7363"/>
      <c r="O7363" s="24"/>
      <c r="P7363"/>
      <c r="Q7363" s="24"/>
      <c r="R7363"/>
      <c r="S7363"/>
      <c r="T7363"/>
      <c r="U7363"/>
      <c r="X7363" s="60"/>
    </row>
    <row r="7364" spans="7:24" ht="15" customHeight="1">
      <c r="G7364"/>
      <c r="I7364"/>
      <c r="N7364"/>
      <c r="O7364" s="24"/>
      <c r="P7364"/>
      <c r="Q7364" s="24"/>
      <c r="R7364"/>
      <c r="S7364"/>
      <c r="T7364"/>
      <c r="U7364"/>
      <c r="X7364" s="60"/>
    </row>
    <row r="7365" spans="7:24" ht="15" customHeight="1">
      <c r="G7365"/>
      <c r="I7365"/>
      <c r="N7365"/>
      <c r="O7365" s="24"/>
      <c r="P7365"/>
      <c r="Q7365" s="24"/>
      <c r="R7365"/>
      <c r="S7365"/>
      <c r="T7365"/>
      <c r="U7365"/>
      <c r="X7365" s="60"/>
    </row>
    <row r="7366" spans="7:24" ht="15" customHeight="1">
      <c r="G7366"/>
      <c r="I7366"/>
      <c r="N7366"/>
      <c r="O7366" s="24"/>
      <c r="P7366"/>
      <c r="Q7366" s="24"/>
      <c r="R7366"/>
      <c r="S7366"/>
      <c r="T7366"/>
      <c r="U7366"/>
      <c r="X7366" s="60"/>
    </row>
    <row r="7367" spans="7:24" ht="15" customHeight="1">
      <c r="G7367"/>
      <c r="I7367"/>
      <c r="N7367"/>
      <c r="O7367" s="24"/>
      <c r="P7367"/>
      <c r="Q7367" s="24"/>
      <c r="R7367"/>
      <c r="S7367"/>
      <c r="T7367"/>
      <c r="U7367"/>
      <c r="X7367" s="60"/>
    </row>
    <row r="7368" spans="7:24" ht="15" customHeight="1">
      <c r="G7368"/>
      <c r="I7368"/>
      <c r="N7368"/>
      <c r="O7368" s="24"/>
      <c r="P7368"/>
      <c r="Q7368" s="24"/>
      <c r="R7368"/>
      <c r="S7368"/>
      <c r="T7368"/>
      <c r="U7368"/>
      <c r="X7368" s="60"/>
    </row>
    <row r="7369" spans="7:24" ht="15" customHeight="1">
      <c r="G7369"/>
      <c r="I7369"/>
      <c r="N7369"/>
      <c r="O7369" s="24"/>
      <c r="P7369"/>
      <c r="Q7369" s="24"/>
      <c r="R7369"/>
      <c r="S7369"/>
      <c r="T7369"/>
      <c r="U7369"/>
      <c r="X7369" s="60"/>
    </row>
    <row r="7370" spans="7:24" ht="15" customHeight="1">
      <c r="G7370"/>
      <c r="I7370"/>
      <c r="N7370"/>
      <c r="O7370" s="24"/>
      <c r="P7370"/>
      <c r="Q7370" s="24"/>
      <c r="R7370"/>
      <c r="S7370"/>
      <c r="T7370"/>
      <c r="U7370"/>
      <c r="X7370" s="60"/>
    </row>
    <row r="7371" spans="7:24" ht="15" customHeight="1">
      <c r="G7371"/>
      <c r="I7371"/>
      <c r="N7371"/>
      <c r="O7371" s="24"/>
      <c r="P7371"/>
      <c r="Q7371" s="24"/>
      <c r="R7371"/>
      <c r="S7371"/>
      <c r="T7371"/>
      <c r="U7371"/>
      <c r="X7371" s="60"/>
    </row>
    <row r="7372" spans="7:24" ht="15" customHeight="1">
      <c r="G7372"/>
      <c r="I7372"/>
      <c r="N7372"/>
      <c r="O7372" s="24"/>
      <c r="P7372"/>
      <c r="Q7372" s="24"/>
      <c r="R7372"/>
      <c r="S7372"/>
      <c r="T7372"/>
      <c r="U7372"/>
      <c r="X7372" s="60"/>
    </row>
    <row r="7373" spans="7:24" ht="15" customHeight="1">
      <c r="G7373"/>
      <c r="I7373"/>
      <c r="N7373"/>
      <c r="O7373" s="24"/>
      <c r="P7373"/>
      <c r="Q7373" s="24"/>
      <c r="R7373"/>
      <c r="S7373"/>
      <c r="T7373"/>
      <c r="U7373"/>
      <c r="X7373" s="60"/>
    </row>
    <row r="7374" spans="7:24" ht="15" customHeight="1">
      <c r="G7374"/>
      <c r="I7374"/>
      <c r="N7374"/>
      <c r="O7374" s="24"/>
      <c r="P7374"/>
      <c r="Q7374" s="24"/>
      <c r="R7374"/>
      <c r="S7374"/>
      <c r="T7374"/>
      <c r="U7374"/>
      <c r="X7374" s="60"/>
    </row>
    <row r="7375" spans="7:24" ht="15" customHeight="1">
      <c r="G7375"/>
      <c r="I7375"/>
      <c r="N7375"/>
      <c r="O7375" s="24"/>
      <c r="P7375"/>
      <c r="Q7375" s="24"/>
      <c r="R7375"/>
      <c r="S7375"/>
      <c r="T7375"/>
      <c r="U7375"/>
      <c r="X7375" s="60"/>
    </row>
    <row r="7376" spans="7:24" ht="15" customHeight="1">
      <c r="G7376"/>
      <c r="I7376"/>
      <c r="N7376"/>
      <c r="O7376" s="24"/>
      <c r="P7376"/>
      <c r="Q7376" s="24"/>
      <c r="R7376"/>
      <c r="S7376"/>
      <c r="T7376"/>
      <c r="U7376"/>
      <c r="X7376" s="60"/>
    </row>
    <row r="7377" spans="7:24" ht="15" customHeight="1">
      <c r="G7377"/>
      <c r="I7377"/>
      <c r="N7377"/>
      <c r="O7377" s="24"/>
      <c r="P7377"/>
      <c r="Q7377" s="24"/>
      <c r="R7377"/>
      <c r="S7377"/>
      <c r="T7377"/>
      <c r="U7377"/>
      <c r="X7377" s="60"/>
    </row>
    <row r="7378" spans="7:24" ht="15" customHeight="1">
      <c r="G7378"/>
      <c r="I7378"/>
      <c r="N7378"/>
      <c r="O7378" s="24"/>
      <c r="P7378"/>
      <c r="Q7378" s="24"/>
      <c r="R7378"/>
      <c r="S7378"/>
      <c r="T7378"/>
      <c r="U7378"/>
      <c r="X7378" s="60"/>
    </row>
    <row r="7379" spans="7:24" ht="15" customHeight="1">
      <c r="G7379"/>
      <c r="I7379"/>
      <c r="N7379"/>
      <c r="O7379" s="24"/>
      <c r="P7379"/>
      <c r="Q7379" s="24"/>
      <c r="R7379"/>
      <c r="S7379"/>
      <c r="T7379"/>
      <c r="U7379"/>
      <c r="X7379" s="60"/>
    </row>
    <row r="7380" spans="7:24" ht="15" customHeight="1">
      <c r="G7380"/>
      <c r="I7380"/>
      <c r="N7380"/>
      <c r="O7380" s="24"/>
      <c r="P7380"/>
      <c r="Q7380" s="24"/>
      <c r="R7380"/>
      <c r="S7380"/>
      <c r="T7380"/>
      <c r="U7380"/>
      <c r="X7380" s="60"/>
    </row>
    <row r="7381" spans="7:24" ht="15" customHeight="1">
      <c r="G7381"/>
      <c r="I7381"/>
      <c r="N7381"/>
      <c r="O7381" s="24"/>
      <c r="P7381"/>
      <c r="Q7381" s="24"/>
      <c r="R7381"/>
      <c r="S7381"/>
      <c r="T7381"/>
      <c r="U7381"/>
      <c r="X7381" s="60"/>
    </row>
    <row r="7382" spans="7:24" ht="15" customHeight="1">
      <c r="G7382"/>
      <c r="I7382"/>
      <c r="N7382"/>
      <c r="O7382" s="24"/>
      <c r="P7382"/>
      <c r="Q7382" s="24"/>
      <c r="R7382"/>
      <c r="S7382"/>
      <c r="T7382"/>
      <c r="U7382"/>
      <c r="X7382" s="60"/>
    </row>
    <row r="7383" spans="7:24" ht="15" customHeight="1">
      <c r="G7383"/>
      <c r="I7383"/>
      <c r="N7383"/>
      <c r="O7383" s="24"/>
      <c r="P7383"/>
      <c r="Q7383" s="24"/>
      <c r="R7383"/>
      <c r="S7383"/>
      <c r="T7383"/>
      <c r="U7383"/>
      <c r="X7383" s="60"/>
    </row>
    <row r="7384" spans="7:24" ht="15" customHeight="1">
      <c r="G7384"/>
      <c r="I7384"/>
      <c r="N7384"/>
      <c r="O7384" s="24"/>
      <c r="P7384"/>
      <c r="Q7384" s="24"/>
      <c r="R7384"/>
      <c r="S7384"/>
      <c r="T7384"/>
      <c r="U7384"/>
      <c r="X7384" s="60"/>
    </row>
    <row r="7385" spans="7:24" ht="15" customHeight="1">
      <c r="G7385"/>
      <c r="I7385"/>
      <c r="N7385"/>
      <c r="O7385" s="24"/>
      <c r="P7385"/>
      <c r="Q7385" s="24"/>
      <c r="R7385"/>
      <c r="S7385"/>
      <c r="T7385"/>
      <c r="U7385"/>
      <c r="X7385" s="60"/>
    </row>
    <row r="7386" spans="7:24" ht="15" customHeight="1">
      <c r="G7386"/>
      <c r="I7386"/>
      <c r="N7386"/>
      <c r="O7386" s="24"/>
      <c r="P7386"/>
      <c r="Q7386" s="24"/>
      <c r="R7386"/>
      <c r="S7386"/>
      <c r="T7386"/>
      <c r="U7386"/>
      <c r="X7386" s="60"/>
    </row>
    <row r="7387" spans="7:24" ht="15" customHeight="1">
      <c r="G7387"/>
      <c r="I7387"/>
      <c r="N7387"/>
      <c r="O7387" s="24"/>
      <c r="P7387"/>
      <c r="Q7387" s="24"/>
      <c r="R7387"/>
      <c r="S7387"/>
      <c r="T7387"/>
      <c r="U7387"/>
      <c r="X7387" s="60"/>
    </row>
    <row r="7388" spans="7:24" ht="15" customHeight="1">
      <c r="G7388"/>
      <c r="I7388"/>
      <c r="N7388"/>
      <c r="O7388" s="24"/>
      <c r="P7388"/>
      <c r="Q7388" s="24"/>
      <c r="R7388"/>
      <c r="S7388"/>
      <c r="T7388"/>
      <c r="U7388"/>
      <c r="X7388" s="60"/>
    </row>
    <row r="7389" spans="7:24" ht="15" customHeight="1">
      <c r="G7389"/>
      <c r="I7389"/>
      <c r="N7389"/>
      <c r="O7389" s="24"/>
      <c r="P7389"/>
      <c r="Q7389" s="24"/>
      <c r="R7389"/>
      <c r="S7389"/>
      <c r="T7389"/>
      <c r="U7389"/>
      <c r="X7389" s="60"/>
    </row>
    <row r="7390" spans="7:24" ht="15" customHeight="1">
      <c r="G7390"/>
      <c r="I7390"/>
      <c r="N7390"/>
      <c r="O7390" s="24"/>
      <c r="P7390"/>
      <c r="Q7390" s="24"/>
      <c r="R7390"/>
      <c r="S7390"/>
      <c r="T7390"/>
      <c r="U7390"/>
      <c r="X7390" s="60"/>
    </row>
    <row r="7391" spans="7:24" ht="15" customHeight="1">
      <c r="G7391"/>
      <c r="I7391"/>
      <c r="N7391"/>
      <c r="O7391" s="24"/>
      <c r="P7391"/>
      <c r="Q7391" s="24"/>
      <c r="R7391"/>
      <c r="S7391"/>
      <c r="T7391"/>
      <c r="U7391"/>
      <c r="X7391" s="60"/>
    </row>
    <row r="7392" spans="7:24" ht="15" customHeight="1">
      <c r="G7392"/>
      <c r="I7392"/>
      <c r="N7392"/>
      <c r="O7392" s="24"/>
      <c r="P7392"/>
      <c r="Q7392" s="24"/>
      <c r="R7392"/>
      <c r="S7392"/>
      <c r="T7392"/>
      <c r="U7392"/>
      <c r="X7392" s="60"/>
    </row>
    <row r="7393" spans="7:24" ht="15" customHeight="1">
      <c r="G7393"/>
      <c r="I7393"/>
      <c r="N7393"/>
      <c r="O7393" s="24"/>
      <c r="P7393"/>
      <c r="Q7393" s="24"/>
      <c r="R7393"/>
      <c r="S7393"/>
      <c r="T7393"/>
      <c r="U7393"/>
      <c r="X7393" s="60"/>
    </row>
    <row r="7394" spans="7:24" ht="15" customHeight="1">
      <c r="G7394"/>
      <c r="I7394"/>
      <c r="N7394"/>
      <c r="O7394" s="24"/>
      <c r="P7394"/>
      <c r="Q7394" s="24"/>
      <c r="R7394"/>
      <c r="S7394"/>
      <c r="T7394"/>
      <c r="U7394"/>
      <c r="X7394" s="60"/>
    </row>
    <row r="7395" spans="7:24" ht="15" customHeight="1">
      <c r="G7395"/>
      <c r="I7395"/>
      <c r="N7395"/>
      <c r="O7395" s="24"/>
      <c r="P7395"/>
      <c r="Q7395" s="24"/>
      <c r="R7395"/>
      <c r="S7395"/>
      <c r="T7395"/>
      <c r="U7395"/>
      <c r="X7395" s="60"/>
    </row>
    <row r="7396" spans="7:24" ht="15" customHeight="1">
      <c r="G7396"/>
      <c r="I7396"/>
      <c r="N7396"/>
      <c r="O7396" s="24"/>
      <c r="P7396"/>
      <c r="Q7396" s="24"/>
      <c r="R7396"/>
      <c r="S7396"/>
      <c r="T7396"/>
      <c r="U7396"/>
      <c r="X7396" s="60"/>
    </row>
    <row r="7397" spans="7:24" ht="15" customHeight="1">
      <c r="G7397"/>
      <c r="I7397"/>
      <c r="N7397"/>
      <c r="O7397" s="24"/>
      <c r="P7397"/>
      <c r="Q7397" s="24"/>
      <c r="R7397"/>
      <c r="S7397"/>
      <c r="T7397"/>
      <c r="U7397"/>
      <c r="X7397" s="60"/>
    </row>
    <row r="7398" spans="7:24" ht="15" customHeight="1">
      <c r="G7398"/>
      <c r="I7398"/>
      <c r="N7398"/>
      <c r="O7398" s="24"/>
      <c r="P7398"/>
      <c r="Q7398" s="24"/>
      <c r="R7398"/>
      <c r="S7398"/>
      <c r="T7398"/>
      <c r="U7398"/>
      <c r="X7398" s="60"/>
    </row>
    <row r="7399" spans="7:24" ht="15" customHeight="1">
      <c r="G7399"/>
      <c r="I7399"/>
      <c r="N7399"/>
      <c r="O7399" s="24"/>
      <c r="P7399"/>
      <c r="Q7399" s="24"/>
      <c r="R7399"/>
      <c r="S7399"/>
      <c r="T7399"/>
      <c r="U7399"/>
      <c r="X7399" s="60"/>
    </row>
    <row r="7400" spans="7:24" ht="15" customHeight="1">
      <c r="G7400"/>
      <c r="I7400"/>
      <c r="N7400"/>
      <c r="O7400" s="24"/>
      <c r="P7400"/>
      <c r="Q7400" s="24"/>
      <c r="R7400"/>
      <c r="S7400"/>
      <c r="T7400"/>
      <c r="U7400"/>
      <c r="X7400" s="60"/>
    </row>
    <row r="7401" spans="7:24" ht="15" customHeight="1">
      <c r="G7401"/>
      <c r="I7401"/>
      <c r="N7401"/>
      <c r="O7401" s="24"/>
      <c r="P7401"/>
      <c r="Q7401" s="24"/>
      <c r="R7401"/>
      <c r="S7401"/>
      <c r="T7401"/>
      <c r="U7401"/>
      <c r="X7401" s="60"/>
    </row>
    <row r="7402" spans="7:24" ht="15" customHeight="1">
      <c r="G7402"/>
      <c r="I7402"/>
      <c r="N7402"/>
      <c r="O7402" s="24"/>
      <c r="P7402"/>
      <c r="Q7402" s="24"/>
      <c r="R7402"/>
      <c r="S7402"/>
      <c r="T7402"/>
      <c r="U7402"/>
      <c r="X7402" s="60"/>
    </row>
    <row r="7403" spans="7:24" ht="15" customHeight="1">
      <c r="G7403"/>
      <c r="I7403"/>
      <c r="N7403"/>
      <c r="O7403" s="24"/>
      <c r="P7403"/>
      <c r="Q7403" s="24"/>
      <c r="R7403"/>
      <c r="S7403"/>
      <c r="T7403"/>
      <c r="U7403"/>
      <c r="X7403" s="60"/>
    </row>
    <row r="7404" spans="7:24" ht="15" customHeight="1">
      <c r="G7404"/>
      <c r="I7404"/>
      <c r="N7404"/>
      <c r="O7404" s="24"/>
      <c r="P7404"/>
      <c r="Q7404" s="24"/>
      <c r="R7404"/>
      <c r="S7404"/>
      <c r="T7404"/>
      <c r="U7404"/>
      <c r="X7404" s="60"/>
    </row>
    <row r="7405" spans="7:24" ht="15" customHeight="1">
      <c r="G7405"/>
      <c r="I7405"/>
      <c r="N7405"/>
      <c r="O7405" s="24"/>
      <c r="P7405"/>
      <c r="Q7405" s="24"/>
      <c r="R7405"/>
      <c r="S7405"/>
      <c r="T7405"/>
      <c r="U7405"/>
      <c r="X7405" s="60"/>
    </row>
    <row r="7406" spans="7:24" ht="15" customHeight="1">
      <c r="G7406"/>
      <c r="I7406"/>
      <c r="N7406"/>
      <c r="O7406" s="24"/>
      <c r="P7406"/>
      <c r="Q7406" s="24"/>
      <c r="R7406"/>
      <c r="S7406"/>
      <c r="T7406"/>
      <c r="U7406"/>
      <c r="X7406" s="60"/>
    </row>
    <row r="7407" spans="7:24" ht="15" customHeight="1">
      <c r="G7407"/>
      <c r="I7407"/>
      <c r="N7407"/>
      <c r="O7407" s="24"/>
      <c r="P7407"/>
      <c r="Q7407" s="24"/>
      <c r="R7407"/>
      <c r="S7407"/>
      <c r="T7407"/>
      <c r="U7407"/>
      <c r="X7407" s="60"/>
    </row>
    <row r="7408" spans="7:24" ht="15" customHeight="1">
      <c r="G7408"/>
      <c r="I7408"/>
      <c r="N7408"/>
      <c r="O7408" s="24"/>
      <c r="P7408"/>
      <c r="Q7408" s="24"/>
      <c r="R7408"/>
      <c r="S7408"/>
      <c r="T7408"/>
      <c r="U7408"/>
      <c r="X7408" s="60"/>
    </row>
    <row r="7409" spans="7:24" ht="15" customHeight="1">
      <c r="G7409"/>
      <c r="I7409"/>
      <c r="N7409"/>
      <c r="O7409" s="24"/>
      <c r="P7409"/>
      <c r="Q7409" s="24"/>
      <c r="R7409"/>
      <c r="S7409"/>
      <c r="T7409"/>
      <c r="U7409"/>
      <c r="X7409" s="60"/>
    </row>
    <row r="7410" spans="7:24" ht="15" customHeight="1">
      <c r="G7410"/>
      <c r="I7410"/>
      <c r="N7410"/>
      <c r="O7410" s="24"/>
      <c r="P7410"/>
      <c r="Q7410" s="24"/>
      <c r="R7410"/>
      <c r="S7410"/>
      <c r="T7410"/>
      <c r="U7410"/>
      <c r="X7410" s="60"/>
    </row>
    <row r="7411" spans="7:24" ht="15" customHeight="1">
      <c r="G7411"/>
      <c r="I7411"/>
      <c r="N7411"/>
      <c r="O7411" s="24"/>
      <c r="P7411"/>
      <c r="Q7411" s="24"/>
      <c r="R7411"/>
      <c r="S7411"/>
      <c r="T7411"/>
      <c r="U7411"/>
      <c r="X7411" s="60"/>
    </row>
    <row r="7412" spans="7:24" ht="15" customHeight="1">
      <c r="G7412"/>
      <c r="I7412"/>
      <c r="N7412"/>
      <c r="O7412" s="24"/>
      <c r="P7412"/>
      <c r="Q7412" s="24"/>
      <c r="R7412"/>
      <c r="S7412"/>
      <c r="T7412"/>
      <c r="U7412"/>
      <c r="X7412" s="60"/>
    </row>
    <row r="7413" spans="7:24" ht="15" customHeight="1">
      <c r="G7413"/>
      <c r="I7413"/>
      <c r="N7413"/>
      <c r="O7413" s="24"/>
      <c r="P7413"/>
      <c r="Q7413" s="24"/>
      <c r="R7413"/>
      <c r="S7413"/>
      <c r="T7413"/>
      <c r="U7413"/>
      <c r="X7413" s="60"/>
    </row>
    <row r="7414" spans="7:24" ht="15" customHeight="1">
      <c r="G7414"/>
      <c r="I7414"/>
      <c r="N7414"/>
      <c r="O7414" s="24"/>
      <c r="P7414"/>
      <c r="Q7414" s="24"/>
      <c r="R7414"/>
      <c r="S7414"/>
      <c r="T7414"/>
      <c r="U7414"/>
      <c r="X7414" s="60"/>
    </row>
    <row r="7415" spans="7:24" ht="15" customHeight="1">
      <c r="G7415"/>
      <c r="I7415"/>
      <c r="N7415"/>
      <c r="O7415" s="24"/>
      <c r="P7415"/>
      <c r="Q7415" s="24"/>
      <c r="R7415"/>
      <c r="S7415"/>
      <c r="T7415"/>
      <c r="U7415"/>
      <c r="X7415" s="60"/>
    </row>
    <row r="7416" spans="7:24" ht="15" customHeight="1">
      <c r="G7416"/>
      <c r="I7416"/>
      <c r="N7416"/>
      <c r="O7416" s="24"/>
      <c r="P7416"/>
      <c r="Q7416" s="24"/>
      <c r="R7416"/>
      <c r="S7416"/>
      <c r="T7416"/>
      <c r="U7416"/>
      <c r="X7416" s="60"/>
    </row>
    <row r="7417" spans="7:24" ht="15" customHeight="1">
      <c r="G7417"/>
      <c r="I7417"/>
      <c r="N7417"/>
      <c r="O7417" s="24"/>
      <c r="P7417"/>
      <c r="Q7417" s="24"/>
      <c r="R7417"/>
      <c r="S7417"/>
      <c r="T7417"/>
      <c r="U7417"/>
      <c r="X7417" s="60"/>
    </row>
    <row r="7418" spans="7:24" ht="15" customHeight="1">
      <c r="G7418"/>
      <c r="I7418"/>
      <c r="N7418"/>
      <c r="O7418" s="24"/>
      <c r="P7418"/>
      <c r="Q7418" s="24"/>
      <c r="R7418"/>
      <c r="S7418"/>
      <c r="T7418"/>
      <c r="U7418"/>
      <c r="X7418" s="60"/>
    </row>
    <row r="7419" spans="7:24" ht="15" customHeight="1">
      <c r="G7419"/>
      <c r="I7419"/>
      <c r="N7419"/>
      <c r="O7419" s="24"/>
      <c r="P7419"/>
      <c r="Q7419" s="24"/>
      <c r="R7419"/>
      <c r="S7419"/>
      <c r="T7419"/>
      <c r="U7419"/>
      <c r="X7419" s="60"/>
    </row>
    <row r="7420" spans="7:24" ht="15" customHeight="1">
      <c r="G7420"/>
      <c r="I7420"/>
      <c r="N7420"/>
      <c r="O7420" s="24"/>
      <c r="P7420"/>
      <c r="Q7420" s="24"/>
      <c r="R7420"/>
      <c r="S7420"/>
      <c r="T7420"/>
      <c r="U7420"/>
      <c r="X7420" s="60"/>
    </row>
    <row r="7421" spans="7:24" ht="15" customHeight="1">
      <c r="G7421"/>
      <c r="I7421"/>
      <c r="N7421"/>
      <c r="O7421" s="24"/>
      <c r="P7421"/>
      <c r="Q7421" s="24"/>
      <c r="R7421"/>
      <c r="S7421"/>
      <c r="T7421"/>
      <c r="U7421"/>
      <c r="X7421" s="60"/>
    </row>
    <row r="7422" spans="7:24" ht="15" customHeight="1">
      <c r="G7422"/>
      <c r="I7422"/>
      <c r="N7422"/>
      <c r="O7422" s="24"/>
      <c r="P7422"/>
      <c r="Q7422" s="24"/>
      <c r="R7422"/>
      <c r="S7422"/>
      <c r="T7422"/>
      <c r="U7422"/>
      <c r="X7422" s="60"/>
    </row>
    <row r="7423" spans="7:24" ht="15" customHeight="1">
      <c r="G7423"/>
      <c r="I7423"/>
      <c r="N7423"/>
      <c r="O7423" s="24"/>
      <c r="P7423"/>
      <c r="Q7423" s="24"/>
      <c r="R7423"/>
      <c r="S7423"/>
      <c r="T7423"/>
      <c r="U7423"/>
      <c r="X7423" s="60"/>
    </row>
    <row r="7424" spans="7:24" ht="15" customHeight="1">
      <c r="G7424"/>
      <c r="I7424"/>
      <c r="N7424"/>
      <c r="O7424" s="24"/>
      <c r="P7424"/>
      <c r="Q7424" s="24"/>
      <c r="R7424"/>
      <c r="S7424"/>
      <c r="T7424"/>
      <c r="U7424"/>
      <c r="X7424" s="60"/>
    </row>
    <row r="7425" spans="7:24" ht="15" customHeight="1">
      <c r="G7425"/>
      <c r="I7425"/>
      <c r="N7425"/>
      <c r="O7425" s="24"/>
      <c r="P7425"/>
      <c r="Q7425" s="24"/>
      <c r="R7425"/>
      <c r="S7425"/>
      <c r="T7425"/>
      <c r="U7425"/>
      <c r="X7425" s="60"/>
    </row>
    <row r="7426" spans="7:24" ht="15" customHeight="1">
      <c r="G7426"/>
      <c r="I7426"/>
      <c r="N7426"/>
      <c r="O7426" s="24"/>
      <c r="P7426"/>
      <c r="Q7426" s="24"/>
      <c r="R7426"/>
      <c r="S7426"/>
      <c r="T7426"/>
      <c r="U7426"/>
      <c r="X7426" s="60"/>
    </row>
    <row r="7427" spans="7:24" ht="15" customHeight="1">
      <c r="G7427"/>
      <c r="I7427"/>
      <c r="N7427"/>
      <c r="O7427" s="24"/>
      <c r="P7427"/>
      <c r="Q7427" s="24"/>
      <c r="R7427"/>
      <c r="S7427"/>
      <c r="T7427"/>
      <c r="U7427"/>
      <c r="X7427" s="60"/>
    </row>
    <row r="7428" spans="7:24" ht="15" customHeight="1">
      <c r="G7428"/>
      <c r="I7428"/>
      <c r="N7428"/>
      <c r="O7428" s="24"/>
      <c r="P7428"/>
      <c r="Q7428" s="24"/>
      <c r="R7428"/>
      <c r="S7428"/>
      <c r="T7428"/>
      <c r="U7428"/>
      <c r="X7428" s="60"/>
    </row>
    <row r="7429" spans="7:24" ht="15" customHeight="1">
      <c r="G7429"/>
      <c r="I7429"/>
      <c r="N7429"/>
      <c r="O7429" s="24"/>
      <c r="P7429"/>
      <c r="Q7429" s="24"/>
      <c r="R7429"/>
      <c r="S7429"/>
      <c r="T7429"/>
      <c r="U7429"/>
      <c r="X7429" s="60"/>
    </row>
    <row r="7430" spans="7:24" ht="15" customHeight="1">
      <c r="G7430"/>
      <c r="I7430"/>
      <c r="N7430"/>
      <c r="O7430" s="24"/>
      <c r="P7430"/>
      <c r="Q7430" s="24"/>
      <c r="R7430"/>
      <c r="S7430"/>
      <c r="T7430"/>
      <c r="U7430"/>
      <c r="X7430" s="60"/>
    </row>
    <row r="7431" spans="7:24" ht="15" customHeight="1">
      <c r="G7431"/>
      <c r="I7431"/>
      <c r="N7431"/>
      <c r="O7431" s="24"/>
      <c r="P7431"/>
      <c r="Q7431" s="24"/>
      <c r="R7431"/>
      <c r="S7431"/>
      <c r="T7431"/>
      <c r="U7431"/>
      <c r="X7431" s="60"/>
    </row>
    <row r="7432" spans="7:24" ht="15" customHeight="1">
      <c r="G7432"/>
      <c r="I7432"/>
      <c r="N7432"/>
      <c r="O7432" s="24"/>
      <c r="P7432"/>
      <c r="Q7432" s="24"/>
      <c r="R7432"/>
      <c r="S7432"/>
      <c r="T7432"/>
      <c r="U7432"/>
      <c r="X7432" s="60"/>
    </row>
    <row r="7433" spans="7:24" ht="15" customHeight="1">
      <c r="G7433"/>
      <c r="I7433"/>
      <c r="N7433"/>
      <c r="O7433" s="24"/>
      <c r="P7433"/>
      <c r="Q7433" s="24"/>
      <c r="R7433"/>
      <c r="S7433"/>
      <c r="T7433"/>
      <c r="U7433"/>
      <c r="X7433" s="60"/>
    </row>
    <row r="7434" spans="7:24" ht="15" customHeight="1">
      <c r="G7434"/>
      <c r="I7434"/>
      <c r="N7434"/>
      <c r="O7434" s="24"/>
      <c r="P7434"/>
      <c r="Q7434" s="24"/>
      <c r="R7434"/>
      <c r="S7434"/>
      <c r="T7434"/>
      <c r="U7434"/>
      <c r="X7434" s="60"/>
    </row>
    <row r="7435" spans="7:24" ht="15" customHeight="1">
      <c r="G7435"/>
      <c r="I7435"/>
      <c r="N7435"/>
      <c r="O7435" s="24"/>
      <c r="P7435"/>
      <c r="Q7435" s="24"/>
      <c r="R7435"/>
      <c r="S7435"/>
      <c r="T7435"/>
      <c r="U7435"/>
      <c r="X7435" s="60"/>
    </row>
    <row r="7436" spans="7:24" ht="15" customHeight="1">
      <c r="G7436"/>
      <c r="I7436"/>
      <c r="N7436"/>
      <c r="O7436" s="24"/>
      <c r="P7436"/>
      <c r="Q7436" s="24"/>
      <c r="R7436"/>
      <c r="S7436"/>
      <c r="T7436"/>
      <c r="U7436"/>
      <c r="X7436" s="60"/>
    </row>
    <row r="7437" spans="7:24" ht="15" customHeight="1">
      <c r="G7437"/>
      <c r="I7437"/>
      <c r="N7437"/>
      <c r="O7437" s="24"/>
      <c r="P7437"/>
      <c r="Q7437" s="24"/>
      <c r="R7437"/>
      <c r="S7437"/>
      <c r="T7437"/>
      <c r="U7437"/>
      <c r="X7437" s="60"/>
    </row>
    <row r="7438" spans="7:24" ht="15" customHeight="1">
      <c r="G7438"/>
      <c r="I7438"/>
      <c r="N7438"/>
      <c r="O7438" s="24"/>
      <c r="P7438"/>
      <c r="Q7438" s="24"/>
      <c r="R7438"/>
      <c r="S7438"/>
      <c r="T7438"/>
      <c r="U7438"/>
      <c r="X7438" s="60"/>
    </row>
    <row r="7439" spans="7:24" ht="15" customHeight="1">
      <c r="G7439"/>
      <c r="I7439"/>
      <c r="N7439"/>
      <c r="O7439" s="24"/>
      <c r="P7439"/>
      <c r="Q7439" s="24"/>
      <c r="R7439"/>
      <c r="S7439"/>
      <c r="T7439"/>
      <c r="U7439"/>
      <c r="X7439" s="60"/>
    </row>
    <row r="7440" spans="7:24" ht="15" customHeight="1">
      <c r="G7440"/>
      <c r="I7440"/>
      <c r="N7440"/>
      <c r="O7440" s="24"/>
      <c r="P7440"/>
      <c r="Q7440" s="24"/>
      <c r="R7440"/>
      <c r="S7440"/>
      <c r="T7440"/>
      <c r="U7440"/>
      <c r="X7440" s="60"/>
    </row>
    <row r="7441" spans="7:24" ht="15" customHeight="1">
      <c r="G7441"/>
      <c r="I7441"/>
      <c r="N7441"/>
      <c r="O7441" s="24"/>
      <c r="P7441"/>
      <c r="Q7441" s="24"/>
      <c r="R7441"/>
      <c r="S7441"/>
      <c r="T7441"/>
      <c r="U7441"/>
      <c r="X7441" s="60"/>
    </row>
    <row r="7442" spans="7:24" ht="15" customHeight="1">
      <c r="G7442"/>
      <c r="I7442"/>
      <c r="N7442"/>
      <c r="O7442" s="24"/>
      <c r="P7442"/>
      <c r="Q7442" s="24"/>
      <c r="R7442"/>
      <c r="S7442"/>
      <c r="T7442"/>
      <c r="U7442"/>
      <c r="X7442" s="60"/>
    </row>
    <row r="7443" spans="7:24" ht="15" customHeight="1">
      <c r="G7443"/>
      <c r="I7443"/>
      <c r="N7443"/>
      <c r="O7443" s="24"/>
      <c r="P7443"/>
      <c r="Q7443" s="24"/>
      <c r="R7443"/>
      <c r="S7443"/>
      <c r="T7443"/>
      <c r="U7443"/>
      <c r="X7443" s="60"/>
    </row>
    <row r="7444" spans="7:24" ht="15" customHeight="1">
      <c r="G7444"/>
      <c r="I7444"/>
      <c r="N7444"/>
      <c r="O7444" s="24"/>
      <c r="P7444"/>
      <c r="Q7444" s="24"/>
      <c r="R7444"/>
      <c r="S7444"/>
      <c r="T7444"/>
      <c r="U7444"/>
      <c r="X7444" s="60"/>
    </row>
    <row r="7445" spans="7:24" ht="15" customHeight="1">
      <c r="G7445"/>
      <c r="I7445"/>
      <c r="N7445"/>
      <c r="O7445" s="24"/>
      <c r="P7445"/>
      <c r="Q7445" s="24"/>
      <c r="R7445"/>
      <c r="S7445"/>
      <c r="T7445"/>
      <c r="U7445"/>
      <c r="X7445" s="60"/>
    </row>
    <row r="7446" spans="7:24" ht="15" customHeight="1">
      <c r="G7446"/>
      <c r="I7446"/>
      <c r="N7446"/>
      <c r="O7446" s="24"/>
      <c r="P7446"/>
      <c r="Q7446" s="24"/>
      <c r="R7446"/>
      <c r="S7446"/>
      <c r="T7446"/>
      <c r="U7446"/>
      <c r="X7446" s="60"/>
    </row>
    <row r="7447" spans="7:24" ht="15" customHeight="1">
      <c r="G7447"/>
      <c r="I7447"/>
      <c r="N7447"/>
      <c r="O7447" s="24"/>
      <c r="P7447"/>
      <c r="Q7447" s="24"/>
      <c r="R7447"/>
      <c r="S7447"/>
      <c r="T7447"/>
      <c r="U7447"/>
      <c r="X7447" s="60"/>
    </row>
    <row r="7448" spans="7:24" ht="15" customHeight="1">
      <c r="G7448"/>
      <c r="I7448"/>
      <c r="N7448"/>
      <c r="O7448" s="24"/>
      <c r="P7448"/>
      <c r="Q7448" s="24"/>
      <c r="R7448"/>
      <c r="S7448"/>
      <c r="T7448"/>
      <c r="U7448"/>
      <c r="X7448" s="60"/>
    </row>
    <row r="7449" spans="7:24" ht="15" customHeight="1">
      <c r="G7449"/>
      <c r="I7449"/>
      <c r="N7449"/>
      <c r="O7449" s="24"/>
      <c r="P7449"/>
      <c r="Q7449" s="24"/>
      <c r="R7449"/>
      <c r="S7449"/>
      <c r="T7449"/>
      <c r="U7449"/>
      <c r="X7449" s="60"/>
    </row>
    <row r="7450" spans="7:24" ht="15" customHeight="1">
      <c r="G7450"/>
      <c r="I7450"/>
      <c r="N7450"/>
      <c r="O7450" s="24"/>
      <c r="P7450"/>
      <c r="Q7450" s="24"/>
      <c r="R7450"/>
      <c r="S7450"/>
      <c r="T7450"/>
      <c r="U7450"/>
      <c r="X7450" s="60"/>
    </row>
    <row r="7451" spans="7:24" ht="15" customHeight="1">
      <c r="G7451"/>
      <c r="I7451"/>
      <c r="N7451"/>
      <c r="O7451" s="24"/>
      <c r="P7451"/>
      <c r="Q7451" s="24"/>
      <c r="R7451"/>
      <c r="S7451"/>
      <c r="T7451"/>
      <c r="U7451"/>
      <c r="X7451" s="60"/>
    </row>
    <row r="7452" spans="7:24" ht="15" customHeight="1">
      <c r="G7452"/>
      <c r="I7452"/>
      <c r="N7452"/>
      <c r="O7452" s="24"/>
      <c r="P7452"/>
      <c r="Q7452" s="24"/>
      <c r="R7452"/>
      <c r="S7452"/>
      <c r="T7452"/>
      <c r="U7452"/>
      <c r="X7452" s="60"/>
    </row>
    <row r="7453" spans="7:24" ht="15" customHeight="1">
      <c r="G7453"/>
      <c r="I7453"/>
      <c r="N7453"/>
      <c r="O7453" s="24"/>
      <c r="P7453"/>
      <c r="Q7453" s="24"/>
      <c r="R7453"/>
      <c r="S7453"/>
      <c r="T7453"/>
      <c r="U7453"/>
      <c r="X7453" s="60"/>
    </row>
    <row r="7454" spans="7:24" ht="15" customHeight="1">
      <c r="G7454"/>
      <c r="I7454"/>
      <c r="N7454"/>
      <c r="O7454" s="24"/>
      <c r="P7454"/>
      <c r="Q7454" s="24"/>
      <c r="R7454"/>
      <c r="S7454"/>
      <c r="T7454"/>
      <c r="U7454"/>
      <c r="X7454" s="60"/>
    </row>
    <row r="7455" spans="7:24" ht="15" customHeight="1">
      <c r="G7455"/>
      <c r="I7455"/>
      <c r="N7455"/>
      <c r="O7455" s="24"/>
      <c r="P7455"/>
      <c r="Q7455" s="24"/>
      <c r="R7455"/>
      <c r="S7455"/>
      <c r="T7455"/>
      <c r="U7455"/>
      <c r="X7455" s="60"/>
    </row>
    <row r="7456" spans="7:24" ht="15" customHeight="1">
      <c r="G7456"/>
      <c r="I7456"/>
      <c r="N7456"/>
      <c r="O7456" s="24"/>
      <c r="P7456"/>
      <c r="Q7456" s="24"/>
      <c r="R7456"/>
      <c r="S7456"/>
      <c r="T7456"/>
      <c r="U7456"/>
      <c r="X7456" s="60"/>
    </row>
    <row r="7457" spans="7:24" ht="15" customHeight="1">
      <c r="G7457"/>
      <c r="I7457"/>
      <c r="N7457"/>
      <c r="O7457" s="24"/>
      <c r="P7457"/>
      <c r="Q7457" s="24"/>
      <c r="R7457"/>
      <c r="S7457"/>
      <c r="T7457"/>
      <c r="U7457"/>
      <c r="X7457" s="60"/>
    </row>
    <row r="7458" spans="7:24" ht="15" customHeight="1">
      <c r="G7458"/>
      <c r="I7458"/>
      <c r="N7458"/>
      <c r="O7458" s="24"/>
      <c r="P7458"/>
      <c r="Q7458" s="24"/>
      <c r="R7458"/>
      <c r="S7458"/>
      <c r="T7458"/>
      <c r="U7458"/>
      <c r="X7458" s="60"/>
    </row>
    <row r="7459" spans="7:24" ht="15" customHeight="1">
      <c r="G7459"/>
      <c r="I7459"/>
      <c r="N7459"/>
      <c r="O7459" s="24"/>
      <c r="P7459"/>
      <c r="Q7459" s="24"/>
      <c r="R7459"/>
      <c r="S7459"/>
      <c r="T7459"/>
      <c r="U7459"/>
      <c r="X7459" s="60"/>
    </row>
    <row r="7460" spans="7:24" ht="15" customHeight="1">
      <c r="G7460"/>
      <c r="I7460"/>
      <c r="N7460"/>
      <c r="O7460" s="24"/>
      <c r="P7460"/>
      <c r="Q7460" s="24"/>
      <c r="R7460"/>
      <c r="S7460"/>
      <c r="T7460"/>
      <c r="U7460"/>
      <c r="X7460" s="60"/>
    </row>
    <row r="7461" spans="7:24" ht="15" customHeight="1">
      <c r="G7461"/>
      <c r="I7461"/>
      <c r="N7461"/>
      <c r="O7461" s="24"/>
      <c r="P7461"/>
      <c r="Q7461" s="24"/>
      <c r="R7461"/>
      <c r="S7461"/>
      <c r="T7461"/>
      <c r="U7461"/>
      <c r="X7461" s="60"/>
    </row>
    <row r="7462" spans="7:24" ht="15" customHeight="1">
      <c r="G7462"/>
      <c r="I7462"/>
      <c r="N7462"/>
      <c r="O7462" s="24"/>
      <c r="P7462"/>
      <c r="Q7462" s="24"/>
      <c r="R7462"/>
      <c r="S7462"/>
      <c r="T7462"/>
      <c r="U7462"/>
      <c r="X7462" s="60"/>
    </row>
    <row r="7463" spans="7:24" ht="15" customHeight="1">
      <c r="G7463"/>
      <c r="I7463"/>
      <c r="N7463"/>
      <c r="O7463" s="24"/>
      <c r="P7463"/>
      <c r="Q7463" s="24"/>
      <c r="R7463"/>
      <c r="S7463"/>
      <c r="T7463"/>
      <c r="U7463"/>
      <c r="X7463" s="60"/>
    </row>
    <row r="7464" spans="7:24" ht="15" customHeight="1">
      <c r="G7464"/>
      <c r="I7464"/>
      <c r="N7464"/>
      <c r="O7464" s="24"/>
      <c r="P7464"/>
      <c r="Q7464" s="24"/>
      <c r="R7464"/>
      <c r="S7464"/>
      <c r="T7464"/>
      <c r="U7464"/>
      <c r="X7464" s="60"/>
    </row>
    <row r="7465" spans="7:24" ht="15" customHeight="1">
      <c r="G7465"/>
      <c r="I7465"/>
      <c r="N7465"/>
      <c r="O7465" s="24"/>
      <c r="P7465"/>
      <c r="Q7465" s="24"/>
      <c r="R7465"/>
      <c r="S7465"/>
      <c r="T7465"/>
      <c r="U7465"/>
      <c r="X7465" s="60"/>
    </row>
    <row r="7466" spans="7:24" ht="15" customHeight="1">
      <c r="G7466"/>
      <c r="I7466"/>
      <c r="N7466"/>
      <c r="O7466" s="24"/>
      <c r="P7466"/>
      <c r="Q7466" s="24"/>
      <c r="R7466"/>
      <c r="S7466"/>
      <c r="T7466"/>
      <c r="U7466"/>
      <c r="X7466" s="60"/>
    </row>
    <row r="7467" spans="7:24" ht="15" customHeight="1">
      <c r="G7467"/>
      <c r="I7467"/>
      <c r="N7467"/>
      <c r="O7467" s="24"/>
      <c r="P7467"/>
      <c r="Q7467" s="24"/>
      <c r="R7467"/>
      <c r="S7467"/>
      <c r="T7467"/>
      <c r="U7467"/>
      <c r="X7467" s="60"/>
    </row>
    <row r="7468" spans="7:24" ht="15" customHeight="1">
      <c r="G7468"/>
      <c r="I7468"/>
      <c r="N7468"/>
      <c r="O7468" s="24"/>
      <c r="P7468"/>
      <c r="Q7468" s="24"/>
      <c r="R7468"/>
      <c r="S7468"/>
      <c r="T7468"/>
      <c r="U7468"/>
      <c r="X7468" s="60"/>
    </row>
    <row r="7469" spans="7:24" ht="15" customHeight="1">
      <c r="G7469"/>
      <c r="I7469"/>
      <c r="N7469"/>
      <c r="O7469" s="24"/>
      <c r="P7469"/>
      <c r="Q7469" s="24"/>
      <c r="R7469"/>
      <c r="S7469"/>
      <c r="T7469"/>
      <c r="U7469"/>
      <c r="X7469" s="60"/>
    </row>
    <row r="7470" spans="7:24" ht="15" customHeight="1">
      <c r="G7470"/>
      <c r="I7470"/>
      <c r="N7470"/>
      <c r="O7470" s="24"/>
      <c r="P7470"/>
      <c r="Q7470" s="24"/>
      <c r="R7470"/>
      <c r="S7470"/>
      <c r="T7470"/>
      <c r="U7470"/>
      <c r="X7470" s="60"/>
    </row>
    <row r="7471" spans="7:24" ht="15" customHeight="1">
      <c r="G7471"/>
      <c r="I7471"/>
      <c r="N7471"/>
      <c r="O7471" s="24"/>
      <c r="P7471"/>
      <c r="Q7471" s="24"/>
      <c r="R7471"/>
      <c r="S7471"/>
      <c r="T7471"/>
      <c r="U7471"/>
      <c r="X7471" s="60"/>
    </row>
    <row r="7472" spans="7:24" ht="15" customHeight="1">
      <c r="G7472"/>
      <c r="I7472"/>
      <c r="N7472"/>
      <c r="O7472" s="24"/>
      <c r="P7472"/>
      <c r="Q7472" s="24"/>
      <c r="R7472"/>
      <c r="S7472"/>
      <c r="T7472"/>
      <c r="U7472"/>
      <c r="X7472" s="60"/>
    </row>
    <row r="7473" spans="7:24" ht="15" customHeight="1">
      <c r="G7473"/>
      <c r="I7473"/>
      <c r="N7473"/>
      <c r="O7473" s="24"/>
      <c r="P7473"/>
      <c r="Q7473" s="24"/>
      <c r="R7473"/>
      <c r="S7473"/>
      <c r="T7473"/>
      <c r="U7473"/>
      <c r="X7473" s="60"/>
    </row>
    <row r="7474" spans="7:24" ht="15" customHeight="1">
      <c r="G7474"/>
      <c r="I7474"/>
      <c r="N7474"/>
      <c r="O7474" s="24"/>
      <c r="P7474"/>
      <c r="Q7474" s="24"/>
      <c r="R7474"/>
      <c r="S7474"/>
      <c r="T7474"/>
      <c r="U7474"/>
      <c r="X7474" s="60"/>
    </row>
    <row r="7475" spans="7:24" ht="15" customHeight="1">
      <c r="G7475"/>
      <c r="I7475"/>
      <c r="N7475"/>
      <c r="O7475" s="24"/>
      <c r="P7475"/>
      <c r="Q7475" s="24"/>
      <c r="R7475"/>
      <c r="S7475"/>
      <c r="T7475"/>
      <c r="U7475"/>
      <c r="X7475" s="60"/>
    </row>
    <row r="7476" spans="7:24" ht="15" customHeight="1">
      <c r="G7476"/>
      <c r="I7476"/>
      <c r="N7476"/>
      <c r="O7476" s="24"/>
      <c r="P7476"/>
      <c r="Q7476" s="24"/>
      <c r="R7476"/>
      <c r="S7476"/>
      <c r="T7476"/>
      <c r="U7476"/>
      <c r="X7476" s="60"/>
    </row>
    <row r="7477" spans="7:24" ht="15" customHeight="1">
      <c r="G7477"/>
      <c r="I7477"/>
      <c r="N7477"/>
      <c r="O7477" s="24"/>
      <c r="P7477"/>
      <c r="Q7477" s="24"/>
      <c r="R7477"/>
      <c r="S7477"/>
      <c r="T7477"/>
      <c r="U7477"/>
      <c r="X7477" s="60"/>
    </row>
    <row r="7478" spans="7:24" ht="15" customHeight="1">
      <c r="G7478"/>
      <c r="I7478"/>
      <c r="N7478"/>
      <c r="O7478" s="24"/>
      <c r="P7478"/>
      <c r="Q7478" s="24"/>
      <c r="R7478"/>
      <c r="S7478"/>
      <c r="T7478"/>
      <c r="U7478"/>
      <c r="X7478" s="60"/>
    </row>
    <row r="7479" spans="7:24" ht="15" customHeight="1">
      <c r="G7479"/>
      <c r="I7479"/>
      <c r="N7479"/>
      <c r="O7479" s="24"/>
      <c r="P7479"/>
      <c r="Q7479" s="24"/>
      <c r="R7479"/>
      <c r="S7479"/>
      <c r="T7479"/>
      <c r="U7479"/>
      <c r="X7479" s="60"/>
    </row>
    <row r="7480" spans="7:24" ht="15" customHeight="1">
      <c r="G7480"/>
      <c r="I7480"/>
      <c r="N7480"/>
      <c r="O7480" s="24"/>
      <c r="P7480"/>
      <c r="Q7480" s="24"/>
      <c r="R7480"/>
      <c r="S7480"/>
      <c r="T7480"/>
      <c r="U7480"/>
      <c r="X7480" s="60"/>
    </row>
    <row r="7481" spans="7:24" ht="15" customHeight="1">
      <c r="G7481"/>
      <c r="I7481"/>
      <c r="N7481"/>
      <c r="O7481" s="24"/>
      <c r="P7481"/>
      <c r="Q7481" s="24"/>
      <c r="R7481"/>
      <c r="S7481"/>
      <c r="T7481"/>
      <c r="U7481"/>
      <c r="X7481" s="60"/>
    </row>
    <row r="7482" spans="7:24" ht="15" customHeight="1">
      <c r="G7482"/>
      <c r="I7482"/>
      <c r="N7482"/>
      <c r="O7482" s="24"/>
      <c r="P7482"/>
      <c r="Q7482" s="24"/>
      <c r="R7482"/>
      <c r="S7482"/>
      <c r="T7482"/>
      <c r="U7482"/>
      <c r="X7482" s="60"/>
    </row>
    <row r="7483" spans="7:24" ht="15" customHeight="1">
      <c r="G7483"/>
      <c r="I7483"/>
      <c r="N7483"/>
      <c r="O7483" s="24"/>
      <c r="P7483"/>
      <c r="Q7483" s="24"/>
      <c r="R7483"/>
      <c r="S7483"/>
      <c r="T7483"/>
      <c r="U7483"/>
      <c r="X7483" s="60"/>
    </row>
    <row r="7484" spans="7:24" ht="15" customHeight="1">
      <c r="G7484"/>
      <c r="I7484"/>
      <c r="N7484"/>
      <c r="O7484" s="24"/>
      <c r="P7484"/>
      <c r="Q7484" s="24"/>
      <c r="R7484"/>
      <c r="S7484"/>
      <c r="T7484"/>
      <c r="U7484"/>
      <c r="X7484" s="60"/>
    </row>
    <row r="7485" spans="7:24" ht="15" customHeight="1">
      <c r="G7485"/>
      <c r="I7485"/>
      <c r="N7485"/>
      <c r="O7485" s="24"/>
      <c r="P7485"/>
      <c r="Q7485" s="24"/>
      <c r="R7485"/>
      <c r="S7485"/>
      <c r="T7485"/>
      <c r="U7485"/>
      <c r="X7485" s="60"/>
    </row>
    <row r="7486" spans="7:24" ht="15" customHeight="1">
      <c r="G7486"/>
      <c r="I7486"/>
      <c r="N7486"/>
      <c r="O7486" s="24"/>
      <c r="P7486"/>
      <c r="Q7486" s="24"/>
      <c r="R7486"/>
      <c r="S7486"/>
      <c r="T7486"/>
      <c r="U7486"/>
      <c r="X7486" s="60"/>
    </row>
    <row r="7487" spans="7:24" ht="15" customHeight="1">
      <c r="G7487"/>
      <c r="I7487"/>
      <c r="N7487"/>
      <c r="O7487" s="24"/>
      <c r="P7487"/>
      <c r="Q7487" s="24"/>
      <c r="R7487"/>
      <c r="S7487"/>
      <c r="T7487"/>
      <c r="U7487"/>
      <c r="X7487" s="60"/>
    </row>
    <row r="7488" spans="7:24" ht="15" customHeight="1">
      <c r="G7488"/>
      <c r="I7488"/>
      <c r="N7488"/>
      <c r="O7488" s="24"/>
      <c r="P7488"/>
      <c r="Q7488" s="24"/>
      <c r="R7488"/>
      <c r="S7488"/>
      <c r="T7488"/>
      <c r="U7488"/>
      <c r="X7488" s="60"/>
    </row>
    <row r="7489" spans="7:24" ht="15" customHeight="1">
      <c r="G7489"/>
      <c r="I7489"/>
      <c r="N7489"/>
      <c r="O7489" s="24"/>
      <c r="P7489"/>
      <c r="Q7489" s="24"/>
      <c r="R7489"/>
      <c r="S7489"/>
      <c r="T7489"/>
      <c r="U7489"/>
      <c r="X7489" s="60"/>
    </row>
    <row r="7490" spans="7:24" ht="15" customHeight="1">
      <c r="G7490"/>
      <c r="I7490"/>
      <c r="N7490"/>
      <c r="O7490" s="24"/>
      <c r="P7490"/>
      <c r="Q7490" s="24"/>
      <c r="R7490"/>
      <c r="S7490"/>
      <c r="T7490"/>
      <c r="U7490"/>
      <c r="X7490" s="60"/>
    </row>
    <row r="7491" spans="7:24" ht="15" customHeight="1">
      <c r="G7491"/>
      <c r="I7491"/>
      <c r="N7491"/>
      <c r="O7491" s="24"/>
      <c r="P7491"/>
      <c r="Q7491" s="24"/>
      <c r="R7491"/>
      <c r="S7491"/>
      <c r="T7491"/>
      <c r="U7491"/>
      <c r="X7491" s="60"/>
    </row>
    <row r="7492" spans="7:24" ht="15" customHeight="1">
      <c r="G7492"/>
      <c r="I7492"/>
      <c r="N7492"/>
      <c r="O7492" s="24"/>
      <c r="P7492"/>
      <c r="Q7492" s="24"/>
      <c r="R7492"/>
      <c r="S7492"/>
      <c r="T7492"/>
      <c r="U7492"/>
      <c r="X7492" s="60"/>
    </row>
    <row r="7493" spans="7:24" ht="15" customHeight="1">
      <c r="G7493"/>
      <c r="I7493"/>
      <c r="N7493"/>
      <c r="O7493" s="24"/>
      <c r="P7493"/>
      <c r="Q7493" s="24"/>
      <c r="R7493"/>
      <c r="S7493"/>
      <c r="T7493"/>
      <c r="U7493"/>
      <c r="X7493" s="60"/>
    </row>
    <row r="7494" spans="7:24" ht="15" customHeight="1">
      <c r="G7494"/>
      <c r="I7494"/>
      <c r="N7494"/>
      <c r="O7494" s="24"/>
      <c r="P7494"/>
      <c r="Q7494" s="24"/>
      <c r="R7494"/>
      <c r="S7494"/>
      <c r="T7494"/>
      <c r="U7494"/>
      <c r="X7494" s="60"/>
    </row>
    <row r="7495" spans="7:24" ht="15" customHeight="1">
      <c r="G7495"/>
      <c r="I7495"/>
      <c r="N7495"/>
      <c r="O7495" s="24"/>
      <c r="P7495"/>
      <c r="Q7495" s="24"/>
      <c r="R7495"/>
      <c r="S7495"/>
      <c r="T7495"/>
      <c r="U7495"/>
      <c r="X7495" s="60"/>
    </row>
    <row r="7496" spans="7:24" ht="15" customHeight="1">
      <c r="G7496"/>
      <c r="I7496"/>
      <c r="N7496"/>
      <c r="O7496" s="24"/>
      <c r="P7496"/>
      <c r="Q7496" s="24"/>
      <c r="R7496"/>
      <c r="S7496"/>
      <c r="T7496"/>
      <c r="U7496"/>
      <c r="X7496" s="60"/>
    </row>
    <row r="7497" spans="7:24" ht="15" customHeight="1">
      <c r="G7497"/>
      <c r="I7497"/>
      <c r="N7497"/>
      <c r="O7497" s="24"/>
      <c r="P7497"/>
      <c r="Q7497" s="24"/>
      <c r="R7497"/>
      <c r="S7497"/>
      <c r="T7497"/>
      <c r="U7497"/>
      <c r="X7497" s="60"/>
    </row>
    <row r="7498" spans="7:24" ht="15" customHeight="1">
      <c r="G7498"/>
      <c r="I7498"/>
      <c r="N7498"/>
      <c r="O7498" s="24"/>
      <c r="P7498"/>
      <c r="Q7498" s="24"/>
      <c r="R7498"/>
      <c r="S7498"/>
      <c r="T7498"/>
      <c r="U7498"/>
      <c r="X7498" s="60"/>
    </row>
    <row r="7499" spans="7:24" ht="15" customHeight="1">
      <c r="G7499"/>
      <c r="I7499"/>
      <c r="N7499"/>
      <c r="O7499" s="24"/>
      <c r="P7499"/>
      <c r="Q7499" s="24"/>
      <c r="R7499"/>
      <c r="S7499"/>
      <c r="T7499"/>
      <c r="U7499"/>
      <c r="X7499" s="60"/>
    </row>
    <row r="7500" spans="7:24" ht="15" customHeight="1">
      <c r="G7500"/>
      <c r="I7500"/>
      <c r="N7500"/>
      <c r="O7500" s="24"/>
      <c r="P7500"/>
      <c r="Q7500" s="24"/>
      <c r="R7500"/>
      <c r="S7500"/>
      <c r="T7500"/>
      <c r="U7500"/>
      <c r="X7500" s="60"/>
    </row>
    <row r="7501" spans="7:24" ht="15" customHeight="1">
      <c r="G7501"/>
      <c r="I7501"/>
      <c r="N7501"/>
      <c r="O7501" s="24"/>
      <c r="P7501"/>
      <c r="Q7501" s="24"/>
      <c r="R7501"/>
      <c r="S7501"/>
      <c r="T7501"/>
      <c r="U7501"/>
      <c r="X7501" s="60"/>
    </row>
    <row r="7502" spans="7:24" ht="15" customHeight="1">
      <c r="G7502"/>
      <c r="I7502"/>
      <c r="N7502"/>
      <c r="O7502" s="24"/>
      <c r="P7502"/>
      <c r="Q7502" s="24"/>
      <c r="R7502"/>
      <c r="S7502"/>
      <c r="T7502"/>
      <c r="U7502"/>
      <c r="X7502" s="60"/>
    </row>
    <row r="7503" spans="7:24" ht="15" customHeight="1">
      <c r="G7503"/>
      <c r="I7503"/>
      <c r="N7503"/>
      <c r="O7503" s="24"/>
      <c r="P7503"/>
      <c r="Q7503" s="24"/>
      <c r="R7503"/>
      <c r="S7503"/>
      <c r="T7503"/>
      <c r="U7503"/>
      <c r="X7503" s="60"/>
    </row>
    <row r="7504" spans="7:24" ht="15" customHeight="1">
      <c r="G7504"/>
      <c r="I7504"/>
      <c r="N7504"/>
      <c r="O7504" s="24"/>
      <c r="P7504"/>
      <c r="Q7504" s="24"/>
      <c r="R7504"/>
      <c r="S7504"/>
      <c r="T7504"/>
      <c r="U7504"/>
      <c r="X7504" s="60"/>
    </row>
    <row r="7505" spans="7:24" ht="15" customHeight="1">
      <c r="G7505"/>
      <c r="I7505"/>
      <c r="N7505"/>
      <c r="O7505" s="24"/>
      <c r="P7505"/>
      <c r="Q7505" s="24"/>
      <c r="R7505"/>
      <c r="S7505"/>
      <c r="T7505"/>
      <c r="U7505"/>
      <c r="X7505" s="60"/>
    </row>
    <row r="7506" spans="7:24" ht="15" customHeight="1">
      <c r="G7506"/>
      <c r="I7506"/>
      <c r="N7506"/>
      <c r="O7506" s="24"/>
      <c r="P7506"/>
      <c r="Q7506" s="24"/>
      <c r="R7506"/>
      <c r="S7506"/>
      <c r="T7506"/>
      <c r="U7506"/>
      <c r="X7506" s="60"/>
    </row>
    <row r="7507" spans="7:24" ht="15" customHeight="1">
      <c r="G7507"/>
      <c r="I7507"/>
      <c r="N7507"/>
      <c r="O7507" s="24"/>
      <c r="P7507"/>
      <c r="Q7507" s="24"/>
      <c r="R7507"/>
      <c r="S7507"/>
      <c r="T7507"/>
      <c r="U7507"/>
      <c r="X7507" s="60"/>
    </row>
    <row r="7508" spans="7:24" ht="15" customHeight="1">
      <c r="G7508"/>
      <c r="I7508"/>
      <c r="N7508"/>
      <c r="O7508" s="24"/>
      <c r="P7508"/>
      <c r="Q7508" s="24"/>
      <c r="R7508"/>
      <c r="S7508"/>
      <c r="T7508"/>
      <c r="U7508"/>
      <c r="X7508" s="60"/>
    </row>
    <row r="7509" spans="7:24" ht="15" customHeight="1">
      <c r="G7509"/>
      <c r="I7509"/>
      <c r="N7509"/>
      <c r="O7509" s="24"/>
      <c r="P7509"/>
      <c r="Q7509" s="24"/>
      <c r="R7509"/>
      <c r="S7509"/>
      <c r="T7509"/>
      <c r="U7509"/>
      <c r="X7509" s="60"/>
    </row>
    <row r="7510" spans="7:24" ht="15" customHeight="1">
      <c r="G7510"/>
      <c r="I7510"/>
      <c r="N7510"/>
      <c r="O7510" s="24"/>
      <c r="P7510"/>
      <c r="Q7510" s="24"/>
      <c r="R7510"/>
      <c r="S7510"/>
      <c r="T7510"/>
      <c r="U7510"/>
      <c r="X7510" s="60"/>
    </row>
    <row r="7511" spans="7:24" ht="15" customHeight="1">
      <c r="G7511"/>
      <c r="I7511"/>
      <c r="N7511"/>
      <c r="O7511" s="24"/>
      <c r="P7511"/>
      <c r="Q7511" s="24"/>
      <c r="R7511"/>
      <c r="S7511"/>
      <c r="T7511"/>
      <c r="U7511"/>
      <c r="X7511" s="60"/>
    </row>
    <row r="7512" spans="7:24" ht="15" customHeight="1">
      <c r="G7512"/>
      <c r="I7512"/>
      <c r="N7512"/>
      <c r="O7512" s="24"/>
      <c r="P7512"/>
      <c r="Q7512" s="24"/>
      <c r="R7512"/>
      <c r="S7512"/>
      <c r="T7512"/>
      <c r="U7512"/>
      <c r="X7512" s="60"/>
    </row>
    <row r="7513" spans="7:24" ht="15" customHeight="1">
      <c r="G7513"/>
      <c r="I7513"/>
      <c r="N7513"/>
      <c r="O7513" s="24"/>
      <c r="P7513"/>
      <c r="Q7513" s="24"/>
      <c r="R7513"/>
      <c r="S7513"/>
      <c r="T7513"/>
      <c r="U7513"/>
      <c r="X7513" s="60"/>
    </row>
    <row r="7514" spans="7:24" ht="15" customHeight="1">
      <c r="G7514"/>
      <c r="I7514"/>
      <c r="N7514"/>
      <c r="O7514" s="24"/>
      <c r="P7514"/>
      <c r="Q7514" s="24"/>
      <c r="R7514"/>
      <c r="S7514"/>
      <c r="T7514"/>
      <c r="U7514"/>
      <c r="X7514" s="60"/>
    </row>
    <row r="7515" spans="7:24" ht="15" customHeight="1">
      <c r="G7515"/>
      <c r="I7515"/>
      <c r="N7515"/>
      <c r="O7515" s="24"/>
      <c r="P7515"/>
      <c r="Q7515" s="24"/>
      <c r="R7515"/>
      <c r="S7515"/>
      <c r="T7515"/>
      <c r="U7515"/>
      <c r="X7515" s="60"/>
    </row>
    <row r="7516" spans="7:24" ht="15" customHeight="1">
      <c r="G7516"/>
      <c r="I7516"/>
      <c r="N7516"/>
      <c r="O7516" s="24"/>
      <c r="P7516"/>
      <c r="Q7516" s="24"/>
      <c r="R7516"/>
      <c r="S7516"/>
      <c r="T7516"/>
      <c r="U7516"/>
      <c r="X7516" s="60"/>
    </row>
    <row r="7517" spans="7:24" ht="15" customHeight="1">
      <c r="G7517"/>
      <c r="I7517"/>
      <c r="N7517"/>
      <c r="O7517" s="24"/>
      <c r="P7517"/>
      <c r="Q7517" s="24"/>
      <c r="R7517"/>
      <c r="S7517"/>
      <c r="T7517"/>
      <c r="U7517"/>
      <c r="X7517" s="60"/>
    </row>
    <row r="7518" spans="7:24" ht="15" customHeight="1">
      <c r="G7518"/>
      <c r="I7518"/>
      <c r="N7518"/>
      <c r="O7518" s="24"/>
      <c r="P7518"/>
      <c r="Q7518" s="24"/>
      <c r="R7518"/>
      <c r="S7518"/>
      <c r="T7518"/>
      <c r="U7518"/>
      <c r="X7518" s="60"/>
    </row>
    <row r="7519" spans="7:24" ht="15" customHeight="1">
      <c r="G7519"/>
      <c r="I7519"/>
      <c r="N7519"/>
      <c r="O7519" s="24"/>
      <c r="P7519"/>
      <c r="Q7519" s="24"/>
      <c r="R7519"/>
      <c r="S7519"/>
      <c r="T7519"/>
      <c r="U7519"/>
      <c r="X7519" s="60"/>
    </row>
    <row r="7520" spans="7:24" ht="15" customHeight="1">
      <c r="G7520"/>
      <c r="I7520"/>
      <c r="N7520"/>
      <c r="O7520" s="24"/>
      <c r="P7520"/>
      <c r="Q7520" s="24"/>
      <c r="R7520"/>
      <c r="S7520"/>
      <c r="T7520"/>
      <c r="U7520"/>
      <c r="X7520" s="60"/>
    </row>
    <row r="7521" spans="7:24" ht="15" customHeight="1">
      <c r="G7521"/>
      <c r="I7521"/>
      <c r="N7521"/>
      <c r="O7521" s="24"/>
      <c r="P7521"/>
      <c r="Q7521" s="24"/>
      <c r="R7521"/>
      <c r="S7521"/>
      <c r="T7521"/>
      <c r="U7521"/>
      <c r="X7521" s="60"/>
    </row>
    <row r="7522" spans="7:24" ht="15" customHeight="1">
      <c r="G7522"/>
      <c r="I7522"/>
      <c r="N7522"/>
      <c r="O7522" s="24"/>
      <c r="P7522"/>
      <c r="Q7522" s="24"/>
      <c r="R7522"/>
      <c r="S7522"/>
      <c r="T7522"/>
      <c r="U7522"/>
      <c r="X7522" s="60"/>
    </row>
    <row r="7523" spans="7:24" ht="15" customHeight="1">
      <c r="G7523"/>
      <c r="I7523"/>
      <c r="N7523"/>
      <c r="O7523" s="24"/>
      <c r="P7523"/>
      <c r="Q7523" s="24"/>
      <c r="R7523"/>
      <c r="S7523"/>
      <c r="T7523"/>
      <c r="U7523"/>
      <c r="X7523" s="60"/>
    </row>
    <row r="7524" spans="7:24" ht="15" customHeight="1">
      <c r="G7524"/>
      <c r="I7524"/>
      <c r="N7524"/>
      <c r="O7524" s="24"/>
      <c r="P7524"/>
      <c r="Q7524" s="24"/>
      <c r="R7524"/>
      <c r="S7524"/>
      <c r="T7524"/>
      <c r="U7524"/>
      <c r="X7524" s="60"/>
    </row>
    <row r="7525" spans="7:24" ht="15" customHeight="1">
      <c r="G7525"/>
      <c r="I7525"/>
      <c r="N7525"/>
      <c r="O7525" s="24"/>
      <c r="P7525"/>
      <c r="Q7525" s="24"/>
      <c r="R7525"/>
      <c r="S7525"/>
      <c r="T7525"/>
      <c r="U7525"/>
      <c r="X7525" s="60"/>
    </row>
    <row r="7526" spans="7:24" ht="15" customHeight="1">
      <c r="G7526"/>
      <c r="I7526"/>
      <c r="N7526"/>
      <c r="O7526" s="24"/>
      <c r="P7526"/>
      <c r="Q7526" s="24"/>
      <c r="R7526"/>
      <c r="S7526"/>
      <c r="T7526"/>
      <c r="U7526"/>
      <c r="X7526" s="60"/>
    </row>
    <row r="7527" spans="7:24" ht="15" customHeight="1">
      <c r="G7527"/>
      <c r="I7527"/>
      <c r="N7527"/>
      <c r="O7527" s="24"/>
      <c r="P7527"/>
      <c r="Q7527" s="24"/>
      <c r="R7527"/>
      <c r="S7527"/>
      <c r="T7527"/>
      <c r="U7527"/>
      <c r="X7527" s="60"/>
    </row>
    <row r="7528" spans="7:24" ht="15" customHeight="1">
      <c r="G7528"/>
      <c r="I7528"/>
      <c r="N7528"/>
      <c r="O7528" s="24"/>
      <c r="P7528"/>
      <c r="Q7528" s="24"/>
      <c r="R7528"/>
      <c r="S7528"/>
      <c r="T7528"/>
      <c r="U7528"/>
      <c r="X7528" s="60"/>
    </row>
    <row r="7529" spans="7:24" ht="15" customHeight="1">
      <c r="G7529"/>
      <c r="I7529"/>
      <c r="N7529"/>
      <c r="O7529" s="24"/>
      <c r="P7529"/>
      <c r="Q7529" s="24"/>
      <c r="R7529"/>
      <c r="S7529"/>
      <c r="T7529"/>
      <c r="U7529"/>
      <c r="X7529" s="60"/>
    </row>
    <row r="7530" spans="7:24" ht="15" customHeight="1">
      <c r="G7530"/>
      <c r="I7530"/>
      <c r="N7530"/>
      <c r="O7530" s="24"/>
      <c r="P7530"/>
      <c r="Q7530" s="24"/>
      <c r="R7530"/>
      <c r="S7530"/>
      <c r="T7530"/>
      <c r="U7530"/>
      <c r="X7530" s="60"/>
    </row>
    <row r="7531" spans="7:24" ht="15" customHeight="1">
      <c r="G7531"/>
      <c r="I7531"/>
      <c r="N7531"/>
      <c r="O7531" s="24"/>
      <c r="P7531"/>
      <c r="Q7531" s="24"/>
      <c r="R7531"/>
      <c r="S7531"/>
      <c r="T7531"/>
      <c r="U7531"/>
      <c r="X7531" s="60"/>
    </row>
    <row r="7532" spans="7:24" ht="15" customHeight="1">
      <c r="G7532"/>
      <c r="I7532"/>
      <c r="N7532"/>
      <c r="O7532" s="24"/>
      <c r="P7532"/>
      <c r="Q7532" s="24"/>
      <c r="R7532"/>
      <c r="S7532"/>
      <c r="T7532"/>
      <c r="U7532"/>
      <c r="X7532" s="60"/>
    </row>
    <row r="7533" spans="7:24" ht="15" customHeight="1">
      <c r="G7533"/>
      <c r="I7533"/>
      <c r="N7533"/>
      <c r="O7533" s="24"/>
      <c r="P7533"/>
      <c r="Q7533" s="24"/>
      <c r="R7533"/>
      <c r="S7533"/>
      <c r="T7533"/>
      <c r="U7533"/>
      <c r="X7533" s="60"/>
    </row>
    <row r="7534" spans="7:24" ht="15" customHeight="1">
      <c r="G7534"/>
      <c r="I7534"/>
      <c r="N7534"/>
      <c r="O7534" s="24"/>
      <c r="P7534"/>
      <c r="Q7534" s="24"/>
      <c r="R7534"/>
      <c r="S7534"/>
      <c r="T7534"/>
      <c r="U7534"/>
      <c r="X7534" s="60"/>
    </row>
    <row r="7535" spans="7:24" ht="15" customHeight="1">
      <c r="G7535"/>
      <c r="I7535"/>
      <c r="N7535"/>
      <c r="O7535" s="24"/>
      <c r="P7535"/>
      <c r="Q7535" s="24"/>
      <c r="R7535"/>
      <c r="S7535"/>
      <c r="T7535"/>
      <c r="U7535"/>
      <c r="X7535" s="60"/>
    </row>
    <row r="7536" spans="7:24" ht="15" customHeight="1">
      <c r="G7536"/>
      <c r="I7536"/>
      <c r="N7536"/>
      <c r="O7536" s="24"/>
      <c r="P7536"/>
      <c r="Q7536" s="24"/>
      <c r="R7536"/>
      <c r="S7536"/>
      <c r="T7536"/>
      <c r="U7536"/>
      <c r="X7536" s="60"/>
    </row>
    <row r="7537" spans="7:24" ht="15" customHeight="1">
      <c r="G7537"/>
      <c r="I7537"/>
      <c r="N7537"/>
      <c r="O7537" s="24"/>
      <c r="P7537"/>
      <c r="Q7537" s="24"/>
      <c r="R7537"/>
      <c r="S7537"/>
      <c r="T7537"/>
      <c r="U7537"/>
      <c r="X7537" s="60"/>
    </row>
    <row r="7538" spans="7:24" ht="15" customHeight="1">
      <c r="G7538"/>
      <c r="I7538"/>
      <c r="N7538"/>
      <c r="O7538" s="24"/>
      <c r="P7538"/>
      <c r="Q7538" s="24"/>
      <c r="R7538"/>
      <c r="S7538"/>
      <c r="T7538"/>
      <c r="U7538"/>
      <c r="X7538" s="60"/>
    </row>
    <row r="7539" spans="7:24" ht="15" customHeight="1">
      <c r="G7539"/>
      <c r="I7539"/>
      <c r="N7539"/>
      <c r="O7539" s="24"/>
      <c r="P7539"/>
      <c r="Q7539" s="24"/>
      <c r="R7539"/>
      <c r="S7539"/>
      <c r="T7539"/>
      <c r="U7539"/>
      <c r="X7539" s="60"/>
    </row>
    <row r="7540" spans="7:24" ht="15" customHeight="1">
      <c r="G7540"/>
      <c r="I7540"/>
      <c r="N7540"/>
      <c r="O7540" s="24"/>
      <c r="P7540"/>
      <c r="Q7540" s="24"/>
      <c r="R7540"/>
      <c r="S7540"/>
      <c r="T7540"/>
      <c r="U7540"/>
      <c r="X7540" s="60"/>
    </row>
    <row r="7541" spans="7:24" ht="15" customHeight="1">
      <c r="G7541"/>
      <c r="I7541"/>
      <c r="N7541"/>
      <c r="O7541" s="24"/>
      <c r="P7541"/>
      <c r="Q7541" s="24"/>
      <c r="R7541"/>
      <c r="S7541"/>
      <c r="T7541"/>
      <c r="U7541"/>
      <c r="X7541" s="60"/>
    </row>
    <row r="7542" spans="7:24" ht="15" customHeight="1">
      <c r="G7542"/>
      <c r="I7542"/>
      <c r="N7542"/>
      <c r="O7542" s="24"/>
      <c r="P7542"/>
      <c r="Q7542" s="24"/>
      <c r="R7542"/>
      <c r="S7542"/>
      <c r="T7542"/>
      <c r="U7542"/>
      <c r="X7542" s="60"/>
    </row>
    <row r="7543" spans="7:24" ht="15" customHeight="1">
      <c r="G7543"/>
      <c r="I7543"/>
      <c r="N7543"/>
      <c r="O7543" s="24"/>
      <c r="P7543"/>
      <c r="Q7543" s="24"/>
      <c r="R7543"/>
      <c r="S7543"/>
      <c r="T7543"/>
      <c r="U7543"/>
      <c r="X7543" s="60"/>
    </row>
    <row r="7544" spans="7:24" ht="15" customHeight="1">
      <c r="G7544"/>
      <c r="I7544"/>
      <c r="N7544"/>
      <c r="O7544" s="24"/>
      <c r="P7544"/>
      <c r="Q7544" s="24"/>
      <c r="R7544"/>
      <c r="S7544"/>
      <c r="T7544"/>
      <c r="U7544"/>
      <c r="X7544" s="60"/>
    </row>
    <row r="7545" spans="7:24" ht="15" customHeight="1">
      <c r="G7545"/>
      <c r="I7545"/>
      <c r="N7545"/>
      <c r="O7545" s="24"/>
      <c r="P7545"/>
      <c r="Q7545" s="24"/>
      <c r="R7545"/>
      <c r="S7545"/>
      <c r="T7545"/>
      <c r="U7545"/>
      <c r="X7545" s="60"/>
    </row>
    <row r="7546" spans="7:24" ht="15" customHeight="1">
      <c r="G7546"/>
      <c r="I7546"/>
      <c r="N7546"/>
      <c r="O7546" s="24"/>
      <c r="P7546"/>
      <c r="Q7546" s="24"/>
      <c r="R7546"/>
      <c r="S7546"/>
      <c r="T7546"/>
      <c r="U7546"/>
      <c r="X7546" s="60"/>
    </row>
    <row r="7547" spans="7:24" ht="15" customHeight="1">
      <c r="G7547"/>
      <c r="I7547"/>
      <c r="N7547"/>
      <c r="O7547" s="24"/>
      <c r="P7547"/>
      <c r="Q7547" s="24"/>
      <c r="R7547"/>
      <c r="S7547"/>
      <c r="T7547"/>
      <c r="U7547"/>
      <c r="X7547" s="60"/>
    </row>
    <row r="7548" spans="7:24" ht="15" customHeight="1">
      <c r="G7548"/>
      <c r="I7548"/>
      <c r="N7548"/>
      <c r="O7548" s="24"/>
      <c r="P7548"/>
      <c r="Q7548" s="24"/>
      <c r="R7548"/>
      <c r="S7548"/>
      <c r="T7548"/>
      <c r="U7548"/>
      <c r="X7548" s="60"/>
    </row>
    <row r="7549" spans="7:24" ht="15" customHeight="1">
      <c r="G7549"/>
      <c r="I7549"/>
      <c r="N7549"/>
      <c r="O7549" s="24"/>
      <c r="P7549"/>
      <c r="Q7549" s="24"/>
      <c r="R7549"/>
      <c r="S7549"/>
      <c r="T7549"/>
      <c r="U7549"/>
      <c r="X7549" s="60"/>
    </row>
    <row r="7550" spans="7:24" ht="15" customHeight="1">
      <c r="G7550"/>
      <c r="I7550"/>
      <c r="N7550"/>
      <c r="O7550" s="24"/>
      <c r="P7550"/>
      <c r="Q7550" s="24"/>
      <c r="R7550"/>
      <c r="S7550"/>
      <c r="T7550"/>
      <c r="U7550"/>
      <c r="X7550" s="60"/>
    </row>
    <row r="7551" spans="7:24" ht="15" customHeight="1">
      <c r="G7551"/>
      <c r="I7551"/>
      <c r="N7551"/>
      <c r="O7551" s="24"/>
      <c r="P7551"/>
      <c r="Q7551" s="24"/>
      <c r="R7551"/>
      <c r="S7551"/>
      <c r="T7551"/>
      <c r="U7551"/>
      <c r="X7551" s="60"/>
    </row>
    <row r="7552" spans="7:24" ht="15" customHeight="1">
      <c r="G7552"/>
      <c r="I7552"/>
      <c r="N7552"/>
      <c r="O7552" s="24"/>
      <c r="P7552"/>
      <c r="Q7552" s="24"/>
      <c r="R7552"/>
      <c r="S7552"/>
      <c r="T7552"/>
      <c r="U7552"/>
      <c r="X7552" s="60"/>
    </row>
    <row r="7553" spans="7:24" ht="15" customHeight="1">
      <c r="G7553"/>
      <c r="I7553"/>
      <c r="N7553"/>
      <c r="O7553" s="24"/>
      <c r="P7553"/>
      <c r="Q7553" s="24"/>
      <c r="R7553"/>
      <c r="S7553"/>
      <c r="T7553"/>
      <c r="U7553"/>
      <c r="X7553" s="60"/>
    </row>
    <row r="7554" spans="7:24" ht="15" customHeight="1">
      <c r="G7554"/>
      <c r="I7554"/>
      <c r="N7554"/>
      <c r="O7554" s="24"/>
      <c r="P7554"/>
      <c r="Q7554" s="24"/>
      <c r="R7554"/>
      <c r="S7554"/>
      <c r="T7554"/>
      <c r="U7554"/>
      <c r="X7554" s="60"/>
    </row>
    <row r="7555" spans="7:24" ht="15" customHeight="1">
      <c r="G7555"/>
      <c r="I7555"/>
      <c r="N7555"/>
      <c r="O7555" s="24"/>
      <c r="P7555"/>
      <c r="Q7555" s="24"/>
      <c r="R7555"/>
      <c r="S7555"/>
      <c r="T7555"/>
      <c r="U7555"/>
      <c r="X7555" s="60"/>
    </row>
    <row r="7556" spans="7:24" ht="15" customHeight="1">
      <c r="G7556"/>
      <c r="I7556"/>
      <c r="N7556"/>
      <c r="O7556" s="24"/>
      <c r="P7556"/>
      <c r="Q7556" s="24"/>
      <c r="R7556"/>
      <c r="S7556"/>
      <c r="T7556"/>
      <c r="U7556"/>
      <c r="X7556" s="60"/>
    </row>
    <row r="7557" spans="7:24" ht="15" customHeight="1">
      <c r="G7557"/>
      <c r="I7557"/>
      <c r="N7557"/>
      <c r="O7557" s="24"/>
      <c r="P7557"/>
      <c r="Q7557" s="24"/>
      <c r="R7557"/>
      <c r="S7557"/>
      <c r="T7557"/>
      <c r="U7557"/>
      <c r="X7557" s="60"/>
    </row>
    <row r="7558" spans="7:24" ht="15" customHeight="1">
      <c r="G7558"/>
      <c r="I7558"/>
      <c r="N7558"/>
      <c r="O7558" s="24"/>
      <c r="P7558"/>
      <c r="Q7558" s="24"/>
      <c r="R7558"/>
      <c r="S7558"/>
      <c r="T7558"/>
      <c r="U7558"/>
      <c r="X7558" s="60"/>
    </row>
    <row r="7559" spans="7:24" ht="15" customHeight="1">
      <c r="G7559"/>
      <c r="I7559"/>
      <c r="N7559"/>
      <c r="O7559" s="24"/>
      <c r="P7559"/>
      <c r="Q7559" s="24"/>
      <c r="R7559"/>
      <c r="S7559"/>
      <c r="T7559"/>
      <c r="U7559"/>
      <c r="X7559" s="60"/>
    </row>
    <row r="7560" spans="7:24" ht="15" customHeight="1">
      <c r="G7560"/>
      <c r="I7560"/>
      <c r="N7560"/>
      <c r="O7560" s="24"/>
      <c r="P7560"/>
      <c r="Q7560" s="24"/>
      <c r="R7560"/>
      <c r="S7560"/>
      <c r="T7560"/>
      <c r="U7560"/>
      <c r="X7560" s="60"/>
    </row>
    <row r="7561" spans="7:24" ht="15" customHeight="1">
      <c r="G7561"/>
      <c r="I7561"/>
      <c r="N7561"/>
      <c r="O7561" s="24"/>
      <c r="P7561"/>
      <c r="Q7561" s="24"/>
      <c r="R7561"/>
      <c r="S7561"/>
      <c r="T7561"/>
      <c r="U7561"/>
      <c r="X7561" s="60"/>
    </row>
    <row r="7562" spans="7:24" ht="15" customHeight="1">
      <c r="G7562"/>
      <c r="I7562"/>
      <c r="N7562"/>
      <c r="O7562" s="24"/>
      <c r="P7562"/>
      <c r="Q7562" s="24"/>
      <c r="R7562"/>
      <c r="S7562"/>
      <c r="T7562"/>
      <c r="U7562"/>
      <c r="X7562" s="60"/>
    </row>
    <row r="7563" spans="7:24" ht="15" customHeight="1">
      <c r="G7563"/>
      <c r="I7563"/>
      <c r="N7563"/>
      <c r="O7563" s="24"/>
      <c r="P7563"/>
      <c r="Q7563" s="24"/>
      <c r="R7563"/>
      <c r="S7563"/>
      <c r="T7563"/>
      <c r="U7563"/>
      <c r="X7563" s="60"/>
    </row>
    <row r="7564" spans="7:24" ht="15" customHeight="1">
      <c r="G7564"/>
      <c r="I7564"/>
      <c r="N7564"/>
      <c r="O7564" s="24"/>
      <c r="P7564"/>
      <c r="Q7564" s="24"/>
      <c r="R7564"/>
      <c r="S7564"/>
      <c r="T7564"/>
      <c r="U7564"/>
      <c r="X7564" s="60"/>
    </row>
    <row r="7565" spans="7:24" ht="15" customHeight="1">
      <c r="G7565"/>
      <c r="I7565"/>
      <c r="N7565"/>
      <c r="O7565" s="24"/>
      <c r="P7565"/>
      <c r="Q7565" s="24"/>
      <c r="R7565"/>
      <c r="S7565"/>
      <c r="T7565"/>
      <c r="U7565"/>
      <c r="X7565" s="60"/>
    </row>
    <row r="7566" spans="7:24" ht="15" customHeight="1">
      <c r="G7566"/>
      <c r="I7566"/>
      <c r="N7566"/>
      <c r="O7566" s="24"/>
      <c r="P7566"/>
      <c r="Q7566" s="24"/>
      <c r="R7566"/>
      <c r="S7566"/>
      <c r="T7566"/>
      <c r="U7566"/>
      <c r="X7566" s="60"/>
    </row>
    <row r="7567" spans="7:24" ht="15" customHeight="1">
      <c r="G7567"/>
      <c r="I7567"/>
      <c r="N7567"/>
      <c r="O7567" s="24"/>
      <c r="P7567"/>
      <c r="Q7567" s="24"/>
      <c r="R7567"/>
      <c r="S7567"/>
      <c r="T7567"/>
      <c r="U7567"/>
      <c r="X7567" s="60"/>
    </row>
    <row r="7568" spans="7:24" ht="15" customHeight="1">
      <c r="G7568"/>
      <c r="I7568"/>
      <c r="N7568"/>
      <c r="O7568" s="24"/>
      <c r="P7568"/>
      <c r="Q7568" s="24"/>
      <c r="R7568"/>
      <c r="S7568"/>
      <c r="T7568"/>
      <c r="U7568"/>
      <c r="X7568" s="60"/>
    </row>
    <row r="7569" spans="7:24" ht="15" customHeight="1">
      <c r="G7569"/>
      <c r="I7569"/>
      <c r="N7569"/>
      <c r="O7569" s="24"/>
      <c r="P7569"/>
      <c r="Q7569" s="24"/>
      <c r="R7569"/>
      <c r="S7569"/>
      <c r="T7569"/>
      <c r="U7569"/>
      <c r="X7569" s="60"/>
    </row>
    <row r="7570" spans="7:24" ht="15" customHeight="1">
      <c r="G7570"/>
      <c r="I7570"/>
      <c r="N7570"/>
      <c r="O7570" s="24"/>
      <c r="P7570"/>
      <c r="Q7570" s="24"/>
      <c r="R7570"/>
      <c r="S7570"/>
      <c r="T7570"/>
      <c r="U7570"/>
      <c r="X7570" s="60"/>
    </row>
    <row r="7571" spans="7:24" ht="15" customHeight="1">
      <c r="G7571"/>
      <c r="I7571"/>
      <c r="N7571"/>
      <c r="O7571" s="24"/>
      <c r="P7571"/>
      <c r="Q7571" s="24"/>
      <c r="R7571"/>
      <c r="S7571"/>
      <c r="T7571"/>
      <c r="U7571"/>
      <c r="X7571" s="60"/>
    </row>
    <row r="7572" spans="7:24" ht="15" customHeight="1">
      <c r="G7572"/>
      <c r="I7572"/>
      <c r="N7572"/>
      <c r="O7572" s="24"/>
      <c r="P7572"/>
      <c r="Q7572" s="24"/>
      <c r="R7572"/>
      <c r="S7572"/>
      <c r="T7572"/>
      <c r="U7572"/>
      <c r="X7572" s="60"/>
    </row>
    <row r="7573" spans="7:24" ht="15" customHeight="1">
      <c r="G7573"/>
      <c r="I7573"/>
      <c r="N7573"/>
      <c r="O7573" s="24"/>
      <c r="P7573"/>
      <c r="Q7573" s="24"/>
      <c r="R7573"/>
      <c r="S7573"/>
      <c r="T7573"/>
      <c r="U7573"/>
      <c r="X7573" s="60"/>
    </row>
    <row r="7574" spans="7:24" ht="15" customHeight="1">
      <c r="G7574"/>
      <c r="I7574"/>
      <c r="N7574"/>
      <c r="O7574" s="24"/>
      <c r="P7574"/>
      <c r="Q7574" s="24"/>
      <c r="R7574"/>
      <c r="S7574"/>
      <c r="T7574"/>
      <c r="U7574"/>
      <c r="X7574" s="60"/>
    </row>
    <row r="7575" spans="7:24" ht="15" customHeight="1">
      <c r="G7575"/>
      <c r="I7575"/>
      <c r="N7575"/>
      <c r="O7575" s="24"/>
      <c r="P7575"/>
      <c r="Q7575" s="24"/>
      <c r="R7575"/>
      <c r="S7575"/>
      <c r="T7575"/>
      <c r="U7575"/>
      <c r="X7575" s="60"/>
    </row>
    <row r="7576" spans="7:24" ht="15" customHeight="1">
      <c r="G7576"/>
      <c r="I7576"/>
      <c r="N7576"/>
      <c r="O7576" s="24"/>
      <c r="P7576"/>
      <c r="Q7576" s="24"/>
      <c r="R7576"/>
      <c r="S7576"/>
      <c r="T7576"/>
      <c r="U7576"/>
      <c r="X7576" s="60"/>
    </row>
    <row r="7577" spans="7:24" ht="15" customHeight="1">
      <c r="G7577"/>
      <c r="I7577"/>
      <c r="N7577"/>
      <c r="O7577" s="24"/>
      <c r="P7577"/>
      <c r="Q7577" s="24"/>
      <c r="R7577"/>
      <c r="S7577"/>
      <c r="T7577"/>
      <c r="U7577"/>
      <c r="X7577" s="60"/>
    </row>
    <row r="7578" spans="7:24" ht="15" customHeight="1">
      <c r="G7578"/>
      <c r="I7578"/>
      <c r="N7578"/>
      <c r="O7578" s="24"/>
      <c r="P7578"/>
      <c r="Q7578" s="24"/>
      <c r="R7578"/>
      <c r="S7578"/>
      <c r="T7578"/>
      <c r="U7578"/>
      <c r="X7578" s="60"/>
    </row>
    <row r="7579" spans="7:24" ht="15" customHeight="1">
      <c r="G7579"/>
      <c r="I7579"/>
      <c r="N7579"/>
      <c r="O7579" s="24"/>
      <c r="P7579"/>
      <c r="Q7579" s="24"/>
      <c r="R7579"/>
      <c r="S7579"/>
      <c r="T7579"/>
      <c r="U7579"/>
      <c r="X7579" s="60"/>
    </row>
    <row r="7580" spans="7:24" ht="15" customHeight="1">
      <c r="G7580"/>
      <c r="I7580"/>
      <c r="N7580"/>
      <c r="O7580" s="24"/>
      <c r="P7580"/>
      <c r="Q7580" s="24"/>
      <c r="R7580"/>
      <c r="S7580"/>
      <c r="T7580"/>
      <c r="U7580"/>
      <c r="X7580" s="60"/>
    </row>
    <row r="7581" spans="7:24" ht="15" customHeight="1">
      <c r="G7581"/>
      <c r="I7581"/>
      <c r="N7581"/>
      <c r="O7581" s="24"/>
      <c r="P7581"/>
      <c r="Q7581" s="24"/>
      <c r="R7581"/>
      <c r="S7581"/>
      <c r="T7581"/>
      <c r="U7581"/>
      <c r="X7581" s="60"/>
    </row>
    <row r="7582" spans="7:24" ht="15" customHeight="1">
      <c r="G7582"/>
      <c r="I7582"/>
      <c r="N7582"/>
      <c r="O7582" s="24"/>
      <c r="P7582"/>
      <c r="Q7582" s="24"/>
      <c r="R7582"/>
      <c r="S7582"/>
      <c r="T7582"/>
      <c r="U7582"/>
      <c r="X7582" s="60"/>
    </row>
    <row r="7583" spans="7:24" ht="15" customHeight="1">
      <c r="G7583"/>
      <c r="I7583"/>
      <c r="N7583"/>
      <c r="O7583" s="24"/>
      <c r="P7583"/>
      <c r="Q7583" s="24"/>
      <c r="R7583"/>
      <c r="S7583"/>
      <c r="T7583"/>
      <c r="U7583"/>
      <c r="X7583" s="60"/>
    </row>
    <row r="7584" spans="7:24" ht="15" customHeight="1">
      <c r="G7584"/>
      <c r="I7584"/>
      <c r="N7584"/>
      <c r="O7584" s="24"/>
      <c r="P7584"/>
      <c r="Q7584" s="24"/>
      <c r="R7584"/>
      <c r="S7584"/>
      <c r="T7584"/>
      <c r="U7584"/>
      <c r="X7584" s="60"/>
    </row>
    <row r="7585" spans="7:24" ht="15" customHeight="1">
      <c r="G7585"/>
      <c r="I7585"/>
      <c r="N7585"/>
      <c r="O7585" s="24"/>
      <c r="P7585"/>
      <c r="Q7585" s="24"/>
      <c r="R7585"/>
      <c r="S7585"/>
      <c r="T7585"/>
      <c r="U7585"/>
      <c r="X7585" s="60"/>
    </row>
    <row r="7586" spans="7:24" ht="15" customHeight="1">
      <c r="G7586"/>
      <c r="I7586"/>
      <c r="N7586"/>
      <c r="O7586" s="24"/>
      <c r="P7586"/>
      <c r="Q7586" s="24"/>
      <c r="R7586"/>
      <c r="S7586"/>
      <c r="T7586"/>
      <c r="U7586"/>
      <c r="X7586" s="60"/>
    </row>
    <row r="7587" spans="7:24" ht="15" customHeight="1">
      <c r="G7587"/>
      <c r="I7587"/>
      <c r="N7587"/>
      <c r="O7587" s="24"/>
      <c r="P7587"/>
      <c r="Q7587" s="24"/>
      <c r="R7587"/>
      <c r="S7587"/>
      <c r="T7587"/>
      <c r="U7587"/>
      <c r="X7587" s="60"/>
    </row>
    <row r="7588" spans="7:24" ht="15" customHeight="1">
      <c r="G7588"/>
      <c r="I7588"/>
      <c r="N7588"/>
      <c r="O7588" s="24"/>
      <c r="P7588"/>
      <c r="Q7588" s="24"/>
      <c r="R7588"/>
      <c r="S7588"/>
      <c r="T7588"/>
      <c r="U7588"/>
      <c r="X7588" s="60"/>
    </row>
    <row r="7589" spans="7:24" ht="15" customHeight="1">
      <c r="G7589"/>
      <c r="I7589"/>
      <c r="N7589"/>
      <c r="O7589" s="24"/>
      <c r="P7589"/>
      <c r="Q7589" s="24"/>
      <c r="R7589"/>
      <c r="S7589"/>
      <c r="T7589"/>
      <c r="U7589"/>
      <c r="X7589" s="60"/>
    </row>
    <row r="7590" spans="7:24" ht="15" customHeight="1">
      <c r="G7590"/>
      <c r="I7590"/>
      <c r="N7590"/>
      <c r="O7590" s="24"/>
      <c r="P7590"/>
      <c r="Q7590" s="24"/>
      <c r="R7590"/>
      <c r="S7590"/>
      <c r="T7590"/>
      <c r="U7590"/>
      <c r="X7590" s="60"/>
    </row>
    <row r="7591" spans="7:24" ht="15" customHeight="1">
      <c r="G7591"/>
      <c r="I7591"/>
      <c r="N7591"/>
      <c r="O7591" s="24"/>
      <c r="P7591"/>
      <c r="Q7591" s="24"/>
      <c r="R7591"/>
      <c r="S7591"/>
      <c r="T7591"/>
      <c r="U7591"/>
      <c r="X7591" s="60"/>
    </row>
    <row r="7592" spans="7:24" ht="15" customHeight="1">
      <c r="G7592"/>
      <c r="I7592"/>
      <c r="N7592"/>
      <c r="O7592" s="24"/>
      <c r="P7592"/>
      <c r="Q7592" s="24"/>
      <c r="R7592"/>
      <c r="S7592"/>
      <c r="T7592"/>
      <c r="U7592"/>
      <c r="X7592" s="60"/>
    </row>
    <row r="7593" spans="7:24" ht="15" customHeight="1">
      <c r="G7593"/>
      <c r="I7593"/>
      <c r="N7593"/>
      <c r="O7593" s="24"/>
      <c r="P7593"/>
      <c r="Q7593" s="24"/>
      <c r="R7593"/>
      <c r="S7593"/>
      <c r="T7593"/>
      <c r="U7593"/>
      <c r="X7593" s="60"/>
    </row>
    <row r="7594" spans="7:24" ht="15" customHeight="1">
      <c r="G7594"/>
      <c r="I7594"/>
      <c r="N7594"/>
      <c r="O7594" s="24"/>
      <c r="P7594"/>
      <c r="Q7594" s="24"/>
      <c r="R7594"/>
      <c r="S7594"/>
      <c r="T7594"/>
      <c r="U7594"/>
      <c r="X7594" s="60"/>
    </row>
    <row r="7595" spans="7:24" ht="15" customHeight="1">
      <c r="G7595"/>
      <c r="I7595"/>
      <c r="N7595"/>
      <c r="O7595" s="24"/>
      <c r="P7595"/>
      <c r="Q7595" s="24"/>
      <c r="R7595"/>
      <c r="S7595"/>
      <c r="T7595"/>
      <c r="U7595"/>
      <c r="X7595" s="60"/>
    </row>
    <row r="7596" spans="7:24" ht="15" customHeight="1">
      <c r="G7596"/>
      <c r="I7596"/>
      <c r="N7596"/>
      <c r="O7596" s="24"/>
      <c r="P7596"/>
      <c r="Q7596" s="24"/>
      <c r="R7596"/>
      <c r="S7596"/>
      <c r="T7596"/>
      <c r="U7596"/>
      <c r="X7596" s="60"/>
    </row>
    <row r="7597" spans="7:24" ht="15" customHeight="1">
      <c r="G7597"/>
      <c r="I7597"/>
      <c r="N7597"/>
      <c r="O7597" s="24"/>
      <c r="P7597"/>
      <c r="Q7597" s="24"/>
      <c r="R7597"/>
      <c r="S7597"/>
      <c r="T7597"/>
      <c r="U7597"/>
      <c r="X7597" s="60"/>
    </row>
    <row r="7598" spans="7:24" ht="15" customHeight="1">
      <c r="G7598"/>
      <c r="I7598"/>
      <c r="N7598"/>
      <c r="O7598" s="24"/>
      <c r="P7598"/>
      <c r="Q7598" s="24"/>
      <c r="R7598"/>
      <c r="S7598"/>
      <c r="T7598"/>
      <c r="U7598"/>
      <c r="X7598" s="60"/>
    </row>
    <row r="7599" spans="7:24" ht="15" customHeight="1">
      <c r="G7599"/>
      <c r="I7599"/>
      <c r="N7599"/>
      <c r="O7599" s="24"/>
      <c r="P7599"/>
      <c r="Q7599" s="24"/>
      <c r="R7599"/>
      <c r="S7599"/>
      <c r="T7599"/>
      <c r="U7599"/>
      <c r="X7599" s="60"/>
    </row>
    <row r="7600" spans="7:24" ht="15" customHeight="1">
      <c r="G7600"/>
      <c r="I7600"/>
      <c r="N7600"/>
      <c r="O7600" s="24"/>
      <c r="P7600"/>
      <c r="Q7600" s="24"/>
      <c r="R7600"/>
      <c r="S7600"/>
      <c r="T7600"/>
      <c r="U7600"/>
      <c r="X7600" s="60"/>
    </row>
    <row r="7601" spans="7:24" ht="15" customHeight="1">
      <c r="G7601"/>
      <c r="I7601"/>
      <c r="N7601"/>
      <c r="O7601" s="24"/>
      <c r="P7601"/>
      <c r="Q7601" s="24"/>
      <c r="R7601"/>
      <c r="S7601"/>
      <c r="T7601"/>
      <c r="U7601"/>
      <c r="X7601" s="60"/>
    </row>
    <row r="7602" spans="7:24" ht="15" customHeight="1">
      <c r="G7602"/>
      <c r="I7602"/>
      <c r="N7602"/>
      <c r="O7602" s="24"/>
      <c r="P7602"/>
      <c r="Q7602" s="24"/>
      <c r="R7602"/>
      <c r="S7602"/>
      <c r="T7602"/>
      <c r="U7602"/>
      <c r="X7602" s="60"/>
    </row>
    <row r="7603" spans="7:24" ht="15" customHeight="1">
      <c r="G7603"/>
      <c r="I7603"/>
      <c r="N7603"/>
      <c r="O7603" s="24"/>
      <c r="P7603"/>
      <c r="Q7603" s="24"/>
      <c r="R7603"/>
      <c r="S7603"/>
      <c r="T7603"/>
      <c r="U7603"/>
      <c r="X7603" s="60"/>
    </row>
    <row r="7604" spans="7:24" ht="15" customHeight="1">
      <c r="G7604"/>
      <c r="I7604"/>
      <c r="N7604"/>
      <c r="O7604" s="24"/>
      <c r="P7604"/>
      <c r="Q7604" s="24"/>
      <c r="R7604"/>
      <c r="S7604"/>
      <c r="T7604"/>
      <c r="U7604"/>
      <c r="X7604" s="60"/>
    </row>
    <row r="7605" spans="7:24" ht="15" customHeight="1">
      <c r="G7605"/>
      <c r="I7605"/>
      <c r="N7605"/>
      <c r="O7605" s="24"/>
      <c r="P7605"/>
      <c r="Q7605" s="24"/>
      <c r="R7605"/>
      <c r="S7605"/>
      <c r="T7605"/>
      <c r="U7605"/>
      <c r="X7605" s="60"/>
    </row>
    <row r="7606" spans="7:24" ht="15" customHeight="1">
      <c r="G7606"/>
      <c r="I7606"/>
      <c r="N7606"/>
      <c r="O7606" s="24"/>
      <c r="P7606"/>
      <c r="Q7606" s="24"/>
      <c r="R7606"/>
      <c r="S7606"/>
      <c r="T7606"/>
      <c r="U7606"/>
      <c r="X7606" s="60"/>
    </row>
    <row r="7607" spans="7:24" ht="15" customHeight="1">
      <c r="G7607"/>
      <c r="I7607"/>
      <c r="N7607"/>
      <c r="O7607" s="24"/>
      <c r="P7607"/>
      <c r="Q7607" s="24"/>
      <c r="R7607"/>
      <c r="S7607"/>
      <c r="T7607"/>
      <c r="U7607"/>
      <c r="X7607" s="60"/>
    </row>
    <row r="7608" spans="7:24" ht="15" customHeight="1">
      <c r="G7608"/>
      <c r="I7608"/>
      <c r="N7608"/>
      <c r="O7608" s="24"/>
      <c r="P7608"/>
      <c r="Q7608" s="24"/>
      <c r="R7608"/>
      <c r="S7608"/>
      <c r="T7608"/>
      <c r="U7608"/>
      <c r="X7608" s="60"/>
    </row>
    <row r="7609" spans="7:24" ht="15" customHeight="1">
      <c r="G7609"/>
      <c r="I7609"/>
      <c r="N7609"/>
      <c r="O7609" s="24"/>
      <c r="P7609"/>
      <c r="Q7609" s="24"/>
      <c r="R7609"/>
      <c r="S7609"/>
      <c r="T7609"/>
      <c r="U7609"/>
      <c r="X7609" s="60"/>
    </row>
    <row r="7610" spans="7:24" ht="15" customHeight="1">
      <c r="G7610"/>
      <c r="I7610"/>
      <c r="N7610"/>
      <c r="O7610" s="24"/>
      <c r="P7610"/>
      <c r="Q7610" s="24"/>
      <c r="R7610"/>
      <c r="S7610"/>
      <c r="T7610"/>
      <c r="U7610"/>
      <c r="X7610" s="60"/>
    </row>
    <row r="7611" spans="7:24" ht="15" customHeight="1">
      <c r="G7611"/>
      <c r="I7611"/>
      <c r="N7611"/>
      <c r="O7611" s="24"/>
      <c r="P7611"/>
      <c r="Q7611" s="24"/>
      <c r="R7611"/>
      <c r="S7611"/>
      <c r="T7611"/>
      <c r="U7611"/>
      <c r="X7611" s="60"/>
    </row>
    <row r="7612" spans="7:24" ht="15" customHeight="1">
      <c r="G7612"/>
      <c r="I7612"/>
      <c r="N7612"/>
      <c r="O7612" s="24"/>
      <c r="P7612"/>
      <c r="Q7612" s="24"/>
      <c r="R7612"/>
      <c r="S7612"/>
      <c r="T7612"/>
      <c r="U7612"/>
      <c r="X7612" s="60"/>
    </row>
    <row r="7613" spans="7:24" ht="15" customHeight="1">
      <c r="G7613"/>
      <c r="I7613"/>
      <c r="N7613"/>
      <c r="O7613" s="24"/>
      <c r="P7613"/>
      <c r="Q7613" s="24"/>
      <c r="R7613"/>
      <c r="S7613"/>
      <c r="T7613"/>
      <c r="U7613"/>
      <c r="X7613" s="60"/>
    </row>
    <row r="7614" spans="7:24" ht="15" customHeight="1">
      <c r="G7614"/>
      <c r="I7614"/>
      <c r="N7614"/>
      <c r="O7614" s="24"/>
      <c r="P7614"/>
      <c r="Q7614" s="24"/>
      <c r="R7614"/>
      <c r="S7614"/>
      <c r="T7614"/>
      <c r="U7614"/>
      <c r="X7614" s="60"/>
    </row>
    <row r="7615" spans="7:24" ht="15" customHeight="1">
      <c r="G7615"/>
      <c r="I7615"/>
      <c r="N7615"/>
      <c r="O7615" s="24"/>
      <c r="P7615"/>
      <c r="Q7615" s="24"/>
      <c r="R7615"/>
      <c r="S7615"/>
      <c r="T7615"/>
      <c r="U7615"/>
      <c r="X7615" s="60"/>
    </row>
    <row r="7616" spans="7:24" ht="15" customHeight="1">
      <c r="G7616"/>
      <c r="I7616"/>
      <c r="N7616"/>
      <c r="O7616" s="24"/>
      <c r="P7616"/>
      <c r="Q7616" s="24"/>
      <c r="R7616"/>
      <c r="S7616"/>
      <c r="T7616"/>
      <c r="U7616"/>
      <c r="X7616" s="60"/>
    </row>
    <row r="7617" spans="7:24" ht="15" customHeight="1">
      <c r="G7617"/>
      <c r="I7617"/>
      <c r="N7617"/>
      <c r="O7617" s="24"/>
      <c r="P7617"/>
      <c r="Q7617" s="24"/>
      <c r="R7617"/>
      <c r="S7617"/>
      <c r="T7617"/>
      <c r="U7617"/>
      <c r="X7617" s="60"/>
    </row>
    <row r="7618" spans="7:24" ht="15" customHeight="1">
      <c r="G7618"/>
      <c r="I7618"/>
      <c r="N7618"/>
      <c r="O7618" s="24"/>
      <c r="P7618"/>
      <c r="Q7618" s="24"/>
      <c r="R7618"/>
      <c r="S7618"/>
      <c r="T7618"/>
      <c r="U7618"/>
      <c r="X7618" s="60"/>
    </row>
    <row r="7619" spans="7:24" ht="15" customHeight="1">
      <c r="G7619"/>
      <c r="I7619"/>
      <c r="N7619"/>
      <c r="O7619" s="24"/>
      <c r="P7619"/>
      <c r="Q7619" s="24"/>
      <c r="R7619"/>
      <c r="S7619"/>
      <c r="T7619"/>
      <c r="U7619"/>
      <c r="X7619" s="60"/>
    </row>
    <row r="7620" spans="7:24" ht="15" customHeight="1">
      <c r="G7620"/>
      <c r="I7620"/>
      <c r="N7620"/>
      <c r="O7620" s="24"/>
      <c r="P7620"/>
      <c r="Q7620" s="24"/>
      <c r="R7620"/>
      <c r="S7620"/>
      <c r="T7620"/>
      <c r="U7620"/>
      <c r="X7620" s="60"/>
    </row>
    <row r="7621" spans="7:24" ht="15" customHeight="1">
      <c r="G7621"/>
      <c r="I7621"/>
      <c r="N7621"/>
      <c r="O7621" s="24"/>
      <c r="P7621"/>
      <c r="Q7621" s="24"/>
      <c r="R7621"/>
      <c r="S7621"/>
      <c r="T7621"/>
      <c r="U7621"/>
      <c r="X7621" s="60"/>
    </row>
    <row r="7622" spans="7:24" ht="15" customHeight="1">
      <c r="G7622"/>
      <c r="I7622"/>
      <c r="N7622"/>
      <c r="O7622" s="24"/>
      <c r="P7622"/>
      <c r="Q7622" s="24"/>
      <c r="R7622"/>
      <c r="S7622"/>
      <c r="T7622"/>
      <c r="U7622"/>
      <c r="X7622" s="60"/>
    </row>
    <row r="7623" spans="7:24" ht="15" customHeight="1">
      <c r="G7623"/>
      <c r="I7623"/>
      <c r="N7623"/>
      <c r="O7623" s="24"/>
      <c r="P7623"/>
      <c r="Q7623" s="24"/>
      <c r="R7623"/>
      <c r="S7623"/>
      <c r="T7623"/>
      <c r="U7623"/>
      <c r="X7623" s="60"/>
    </row>
    <row r="7624" spans="7:24" ht="15" customHeight="1">
      <c r="G7624"/>
      <c r="I7624"/>
      <c r="N7624"/>
      <c r="O7624" s="24"/>
      <c r="P7624"/>
      <c r="Q7624" s="24"/>
      <c r="R7624"/>
      <c r="S7624"/>
      <c r="T7624"/>
      <c r="U7624"/>
      <c r="X7624" s="60"/>
    </row>
    <row r="7625" spans="7:24" ht="15" customHeight="1">
      <c r="G7625"/>
      <c r="I7625"/>
      <c r="N7625"/>
      <c r="O7625" s="24"/>
      <c r="P7625"/>
      <c r="Q7625" s="24"/>
      <c r="R7625"/>
      <c r="S7625"/>
      <c r="T7625"/>
      <c r="U7625"/>
      <c r="X7625" s="60"/>
    </row>
    <row r="7626" spans="7:24" ht="15" customHeight="1">
      <c r="G7626"/>
      <c r="I7626"/>
      <c r="N7626"/>
      <c r="O7626" s="24"/>
      <c r="P7626"/>
      <c r="Q7626" s="24"/>
      <c r="R7626"/>
      <c r="S7626"/>
      <c r="T7626"/>
      <c r="U7626"/>
      <c r="X7626" s="60"/>
    </row>
    <row r="7627" spans="7:24" ht="15" customHeight="1">
      <c r="G7627"/>
      <c r="I7627"/>
      <c r="N7627"/>
      <c r="O7627" s="24"/>
      <c r="P7627"/>
      <c r="Q7627" s="24"/>
      <c r="R7627"/>
      <c r="S7627"/>
      <c r="T7627"/>
      <c r="U7627"/>
      <c r="X7627" s="60"/>
    </row>
    <row r="7628" spans="7:24" ht="15" customHeight="1">
      <c r="G7628"/>
      <c r="I7628"/>
      <c r="N7628"/>
      <c r="O7628" s="24"/>
      <c r="P7628"/>
      <c r="Q7628" s="24"/>
      <c r="R7628"/>
      <c r="S7628"/>
      <c r="T7628"/>
      <c r="U7628"/>
      <c r="X7628" s="60"/>
    </row>
    <row r="7629" spans="7:24" ht="15" customHeight="1">
      <c r="G7629"/>
      <c r="I7629"/>
      <c r="N7629"/>
      <c r="O7629" s="24"/>
      <c r="P7629"/>
      <c r="Q7629" s="24"/>
      <c r="R7629"/>
      <c r="S7629"/>
      <c r="T7629"/>
      <c r="U7629"/>
      <c r="X7629" s="60"/>
    </row>
    <row r="7630" spans="7:24" ht="15" customHeight="1">
      <c r="G7630"/>
      <c r="I7630"/>
      <c r="N7630"/>
      <c r="O7630" s="24"/>
      <c r="P7630"/>
      <c r="Q7630" s="24"/>
      <c r="R7630"/>
      <c r="S7630"/>
      <c r="T7630"/>
      <c r="U7630"/>
      <c r="X7630" s="60"/>
    </row>
    <row r="7631" spans="7:24" ht="15" customHeight="1">
      <c r="G7631"/>
      <c r="I7631"/>
      <c r="N7631"/>
      <c r="O7631" s="24"/>
      <c r="P7631"/>
      <c r="Q7631" s="24"/>
      <c r="R7631"/>
      <c r="S7631"/>
      <c r="T7631"/>
      <c r="U7631"/>
      <c r="X7631" s="60"/>
    </row>
    <row r="7632" spans="7:24" ht="15" customHeight="1">
      <c r="G7632"/>
      <c r="I7632"/>
      <c r="N7632"/>
      <c r="O7632" s="24"/>
      <c r="P7632"/>
      <c r="Q7632" s="24"/>
      <c r="R7632"/>
      <c r="S7632"/>
      <c r="T7632"/>
      <c r="U7632"/>
      <c r="X7632" s="60"/>
    </row>
    <row r="7633" spans="7:24" ht="15" customHeight="1">
      <c r="G7633"/>
      <c r="I7633"/>
      <c r="N7633"/>
      <c r="O7633" s="24"/>
      <c r="P7633"/>
      <c r="Q7633" s="24"/>
      <c r="R7633"/>
      <c r="S7633"/>
      <c r="T7633"/>
      <c r="U7633"/>
      <c r="X7633" s="60"/>
    </row>
    <row r="7634" spans="7:24" ht="15" customHeight="1">
      <c r="G7634"/>
      <c r="I7634"/>
      <c r="N7634"/>
      <c r="O7634" s="24"/>
      <c r="P7634"/>
      <c r="Q7634" s="24"/>
      <c r="R7634"/>
      <c r="S7634"/>
      <c r="T7634"/>
      <c r="U7634"/>
      <c r="X7634" s="60"/>
    </row>
    <row r="7635" spans="7:24" ht="15" customHeight="1">
      <c r="G7635"/>
      <c r="I7635"/>
      <c r="N7635"/>
      <c r="O7635" s="24"/>
      <c r="P7635"/>
      <c r="Q7635" s="24"/>
      <c r="R7635"/>
      <c r="S7635"/>
      <c r="T7635"/>
      <c r="U7635"/>
      <c r="X7635" s="60"/>
    </row>
    <row r="7636" spans="7:24" ht="15" customHeight="1">
      <c r="G7636"/>
      <c r="I7636"/>
      <c r="N7636"/>
      <c r="O7636" s="24"/>
      <c r="P7636"/>
      <c r="Q7636" s="24"/>
      <c r="R7636"/>
      <c r="S7636"/>
      <c r="T7636"/>
      <c r="U7636"/>
      <c r="X7636" s="60"/>
    </row>
    <row r="7637" spans="7:24" ht="15" customHeight="1">
      <c r="G7637"/>
      <c r="I7637"/>
      <c r="N7637"/>
      <c r="O7637" s="24"/>
      <c r="P7637"/>
      <c r="Q7637" s="24"/>
      <c r="R7637"/>
      <c r="S7637"/>
      <c r="T7637"/>
      <c r="U7637"/>
      <c r="X7637" s="60"/>
    </row>
    <row r="7638" spans="7:24" ht="15" customHeight="1">
      <c r="G7638"/>
      <c r="I7638"/>
      <c r="N7638"/>
      <c r="O7638" s="24"/>
      <c r="P7638"/>
      <c r="Q7638" s="24"/>
      <c r="R7638"/>
      <c r="S7638"/>
      <c r="T7638"/>
      <c r="U7638"/>
      <c r="X7638" s="60"/>
    </row>
    <row r="7639" spans="7:24" ht="15" customHeight="1">
      <c r="G7639"/>
      <c r="I7639"/>
      <c r="N7639"/>
      <c r="O7639" s="24"/>
      <c r="P7639"/>
      <c r="Q7639" s="24"/>
      <c r="R7639"/>
      <c r="S7639"/>
      <c r="T7639"/>
      <c r="U7639"/>
      <c r="X7639" s="60"/>
    </row>
    <row r="7640" spans="7:24" ht="15" customHeight="1">
      <c r="G7640"/>
      <c r="I7640"/>
      <c r="N7640"/>
      <c r="O7640" s="24"/>
      <c r="P7640"/>
      <c r="Q7640" s="24"/>
      <c r="R7640"/>
      <c r="S7640"/>
      <c r="T7640"/>
      <c r="U7640"/>
      <c r="X7640" s="60"/>
    </row>
    <row r="7641" spans="7:24" ht="15" customHeight="1">
      <c r="G7641"/>
      <c r="I7641"/>
      <c r="N7641"/>
      <c r="O7641" s="24"/>
      <c r="P7641"/>
      <c r="Q7641" s="24"/>
      <c r="R7641"/>
      <c r="S7641"/>
      <c r="T7641"/>
      <c r="U7641"/>
      <c r="X7641" s="60"/>
    </row>
    <row r="7642" spans="7:24" ht="15" customHeight="1">
      <c r="G7642"/>
      <c r="I7642"/>
      <c r="N7642"/>
      <c r="O7642" s="24"/>
      <c r="P7642"/>
      <c r="Q7642" s="24"/>
      <c r="R7642"/>
      <c r="S7642"/>
      <c r="T7642"/>
      <c r="U7642"/>
      <c r="X7642" s="60"/>
    </row>
    <row r="7643" spans="7:24" ht="15" customHeight="1">
      <c r="G7643"/>
      <c r="I7643"/>
      <c r="N7643"/>
      <c r="O7643" s="24"/>
      <c r="P7643"/>
      <c r="Q7643" s="24"/>
      <c r="R7643"/>
      <c r="S7643"/>
      <c r="T7643"/>
      <c r="U7643"/>
      <c r="X7643" s="60"/>
    </row>
    <row r="7644" spans="7:24" ht="15" customHeight="1">
      <c r="G7644"/>
      <c r="I7644"/>
      <c r="N7644"/>
      <c r="O7644" s="24"/>
      <c r="P7644"/>
      <c r="Q7644" s="24"/>
      <c r="R7644"/>
      <c r="S7644"/>
      <c r="T7644"/>
      <c r="U7644"/>
      <c r="X7644" s="60"/>
    </row>
    <row r="7645" spans="7:24" ht="15" customHeight="1">
      <c r="G7645"/>
      <c r="I7645"/>
      <c r="N7645"/>
      <c r="O7645" s="24"/>
      <c r="P7645"/>
      <c r="Q7645" s="24"/>
      <c r="R7645"/>
      <c r="S7645"/>
      <c r="T7645"/>
      <c r="U7645"/>
      <c r="X7645" s="60"/>
    </row>
    <row r="7646" spans="7:24" ht="15" customHeight="1">
      <c r="G7646"/>
      <c r="I7646"/>
      <c r="N7646"/>
      <c r="O7646" s="24"/>
      <c r="P7646"/>
      <c r="Q7646" s="24"/>
      <c r="R7646"/>
      <c r="S7646"/>
      <c r="T7646"/>
      <c r="U7646"/>
      <c r="X7646" s="60"/>
    </row>
    <row r="7647" spans="7:24" ht="15" customHeight="1">
      <c r="G7647"/>
      <c r="I7647"/>
      <c r="N7647"/>
      <c r="O7647" s="24"/>
      <c r="P7647"/>
      <c r="Q7647" s="24"/>
      <c r="R7647"/>
      <c r="S7647"/>
      <c r="T7647"/>
      <c r="U7647"/>
      <c r="X7647" s="60"/>
    </row>
    <row r="7648" spans="7:24" ht="15" customHeight="1">
      <c r="G7648"/>
      <c r="I7648"/>
      <c r="N7648"/>
      <c r="O7648" s="24"/>
      <c r="P7648"/>
      <c r="Q7648" s="24"/>
      <c r="R7648"/>
      <c r="S7648"/>
      <c r="T7648"/>
      <c r="U7648"/>
      <c r="X7648" s="60"/>
    </row>
    <row r="7649" spans="7:24" ht="15" customHeight="1">
      <c r="G7649"/>
      <c r="I7649"/>
      <c r="N7649"/>
      <c r="O7649" s="24"/>
      <c r="P7649"/>
      <c r="Q7649" s="24"/>
      <c r="R7649"/>
      <c r="S7649"/>
      <c r="T7649"/>
      <c r="U7649"/>
      <c r="X7649" s="60"/>
    </row>
    <row r="7650" spans="7:24" ht="15" customHeight="1">
      <c r="G7650"/>
      <c r="I7650"/>
      <c r="N7650"/>
      <c r="O7650" s="24"/>
      <c r="P7650"/>
      <c r="Q7650" s="24"/>
      <c r="R7650"/>
      <c r="S7650"/>
      <c r="T7650"/>
      <c r="U7650"/>
      <c r="X7650" s="60"/>
    </row>
    <row r="7651" spans="7:24" ht="15" customHeight="1">
      <c r="G7651"/>
      <c r="I7651"/>
      <c r="N7651"/>
      <c r="O7651" s="24"/>
      <c r="P7651"/>
      <c r="Q7651" s="24"/>
      <c r="R7651"/>
      <c r="S7651"/>
      <c r="T7651"/>
      <c r="U7651"/>
      <c r="X7651" s="60"/>
    </row>
    <row r="7652" spans="7:24" ht="15" customHeight="1">
      <c r="G7652"/>
      <c r="I7652"/>
      <c r="N7652"/>
      <c r="O7652" s="24"/>
      <c r="P7652"/>
      <c r="Q7652" s="24"/>
      <c r="R7652"/>
      <c r="S7652"/>
      <c r="T7652"/>
      <c r="U7652"/>
      <c r="X7652" s="60"/>
    </row>
    <row r="7653" spans="7:24" ht="15" customHeight="1">
      <c r="G7653"/>
      <c r="I7653"/>
      <c r="N7653"/>
      <c r="O7653" s="24"/>
      <c r="P7653"/>
      <c r="Q7653" s="24"/>
      <c r="R7653"/>
      <c r="S7653"/>
      <c r="T7653"/>
      <c r="U7653"/>
      <c r="X7653" s="60"/>
    </row>
    <row r="7654" spans="7:24" ht="15" customHeight="1">
      <c r="G7654"/>
      <c r="I7654"/>
      <c r="N7654"/>
      <c r="O7654" s="24"/>
      <c r="P7654"/>
      <c r="Q7654" s="24"/>
      <c r="R7654"/>
      <c r="S7654"/>
      <c r="T7654"/>
      <c r="U7654"/>
      <c r="X7654" s="60"/>
    </row>
    <row r="7655" spans="7:24" ht="15" customHeight="1">
      <c r="G7655"/>
      <c r="I7655"/>
      <c r="N7655"/>
      <c r="O7655" s="24"/>
      <c r="P7655"/>
      <c r="Q7655" s="24"/>
      <c r="R7655"/>
      <c r="S7655"/>
      <c r="T7655"/>
      <c r="U7655"/>
      <c r="X7655" s="60"/>
    </row>
    <row r="7656" spans="7:24" ht="15" customHeight="1">
      <c r="G7656"/>
      <c r="I7656"/>
      <c r="N7656"/>
      <c r="O7656" s="24"/>
      <c r="P7656"/>
      <c r="Q7656" s="24"/>
      <c r="R7656"/>
      <c r="S7656"/>
      <c r="T7656"/>
      <c r="U7656"/>
      <c r="X7656" s="60"/>
    </row>
    <row r="7657" spans="7:24" ht="15" customHeight="1">
      <c r="G7657"/>
      <c r="I7657"/>
      <c r="N7657"/>
      <c r="O7657" s="24"/>
      <c r="P7657"/>
      <c r="Q7657" s="24"/>
      <c r="R7657"/>
      <c r="S7657"/>
      <c r="T7657"/>
      <c r="U7657"/>
      <c r="X7657" s="60"/>
    </row>
    <row r="7658" spans="7:24" ht="15" customHeight="1">
      <c r="G7658"/>
      <c r="I7658"/>
      <c r="N7658"/>
      <c r="O7658" s="24"/>
      <c r="P7658"/>
      <c r="Q7658" s="24"/>
      <c r="R7658"/>
      <c r="S7658"/>
      <c r="T7658"/>
      <c r="U7658"/>
      <c r="X7658" s="60"/>
    </row>
    <row r="7659" spans="7:24" ht="15" customHeight="1">
      <c r="G7659"/>
      <c r="I7659"/>
      <c r="N7659"/>
      <c r="O7659" s="24"/>
      <c r="P7659"/>
      <c r="Q7659" s="24"/>
      <c r="R7659"/>
      <c r="S7659"/>
      <c r="T7659"/>
      <c r="U7659"/>
      <c r="X7659" s="60"/>
    </row>
    <row r="7660" spans="7:24" ht="15" customHeight="1">
      <c r="G7660"/>
      <c r="I7660"/>
      <c r="N7660"/>
      <c r="O7660" s="24"/>
      <c r="P7660"/>
      <c r="Q7660" s="24"/>
      <c r="R7660"/>
      <c r="S7660"/>
      <c r="T7660"/>
      <c r="U7660"/>
      <c r="X7660" s="60"/>
    </row>
    <row r="7661" spans="7:24" ht="15" customHeight="1">
      <c r="G7661"/>
      <c r="I7661"/>
      <c r="N7661"/>
      <c r="O7661" s="24"/>
      <c r="P7661"/>
      <c r="Q7661" s="24"/>
      <c r="R7661"/>
      <c r="S7661"/>
      <c r="T7661"/>
      <c r="U7661"/>
      <c r="X7661" s="60"/>
    </row>
    <row r="7662" spans="7:24" ht="15" customHeight="1">
      <c r="G7662"/>
      <c r="I7662"/>
      <c r="N7662"/>
      <c r="O7662" s="24"/>
      <c r="P7662"/>
      <c r="Q7662" s="24"/>
      <c r="R7662"/>
      <c r="S7662"/>
      <c r="T7662"/>
      <c r="U7662"/>
      <c r="X7662" s="60"/>
    </row>
    <row r="7663" spans="7:24" ht="15" customHeight="1">
      <c r="G7663"/>
      <c r="I7663"/>
      <c r="N7663"/>
      <c r="O7663" s="24"/>
      <c r="P7663"/>
      <c r="Q7663" s="24"/>
      <c r="R7663"/>
      <c r="S7663"/>
      <c r="T7663"/>
      <c r="U7663"/>
      <c r="X7663" s="60"/>
    </row>
    <row r="7664" spans="7:24" ht="15" customHeight="1">
      <c r="G7664"/>
      <c r="I7664"/>
      <c r="N7664"/>
      <c r="O7664" s="24"/>
      <c r="P7664"/>
      <c r="Q7664" s="24"/>
      <c r="R7664"/>
      <c r="S7664"/>
      <c r="T7664"/>
      <c r="U7664"/>
      <c r="X7664" s="60"/>
    </row>
    <row r="7665" spans="7:24" ht="15" customHeight="1">
      <c r="G7665"/>
      <c r="I7665"/>
      <c r="N7665"/>
      <c r="O7665" s="24"/>
      <c r="P7665"/>
      <c r="Q7665" s="24"/>
      <c r="R7665"/>
      <c r="S7665"/>
      <c r="T7665"/>
      <c r="U7665"/>
      <c r="X7665" s="60"/>
    </row>
    <row r="7666" spans="7:24" ht="15" customHeight="1">
      <c r="G7666"/>
      <c r="I7666"/>
      <c r="N7666"/>
      <c r="O7666" s="24"/>
      <c r="P7666"/>
      <c r="Q7666" s="24"/>
      <c r="R7666"/>
      <c r="S7666"/>
      <c r="T7666"/>
      <c r="U7666"/>
      <c r="X7666" s="60"/>
    </row>
    <row r="7667" spans="7:24" ht="15" customHeight="1">
      <c r="G7667"/>
      <c r="I7667"/>
      <c r="N7667"/>
      <c r="O7667" s="24"/>
      <c r="P7667"/>
      <c r="Q7667" s="24"/>
      <c r="R7667"/>
      <c r="S7667"/>
      <c r="T7667"/>
      <c r="U7667"/>
      <c r="X7667" s="60"/>
    </row>
    <row r="7668" spans="7:24" ht="15" customHeight="1">
      <c r="G7668"/>
      <c r="I7668"/>
      <c r="N7668"/>
      <c r="O7668" s="24"/>
      <c r="P7668"/>
      <c r="Q7668" s="24"/>
      <c r="R7668"/>
      <c r="S7668"/>
      <c r="T7668"/>
      <c r="U7668"/>
      <c r="X7668" s="60"/>
    </row>
    <row r="7669" spans="7:24" ht="15" customHeight="1">
      <c r="G7669"/>
      <c r="I7669"/>
      <c r="N7669"/>
      <c r="O7669" s="24"/>
      <c r="P7669"/>
      <c r="Q7669" s="24"/>
      <c r="R7669"/>
      <c r="S7669"/>
      <c r="T7669"/>
      <c r="U7669"/>
      <c r="X7669" s="60"/>
    </row>
    <row r="7670" spans="7:24" ht="15" customHeight="1">
      <c r="G7670"/>
      <c r="I7670"/>
      <c r="N7670"/>
      <c r="O7670" s="24"/>
      <c r="P7670"/>
      <c r="Q7670" s="24"/>
      <c r="R7670"/>
      <c r="S7670"/>
      <c r="T7670"/>
      <c r="U7670"/>
      <c r="X7670" s="60"/>
    </row>
    <row r="7671" spans="7:24" ht="15" customHeight="1">
      <c r="G7671"/>
      <c r="I7671"/>
      <c r="N7671"/>
      <c r="O7671" s="24"/>
      <c r="P7671"/>
      <c r="Q7671" s="24"/>
      <c r="R7671"/>
      <c r="S7671"/>
      <c r="T7671"/>
      <c r="U7671"/>
      <c r="X7671" s="60"/>
    </row>
    <row r="7672" spans="7:24" ht="15" customHeight="1">
      <c r="G7672"/>
      <c r="I7672"/>
      <c r="N7672"/>
      <c r="O7672" s="24"/>
      <c r="P7672"/>
      <c r="Q7672" s="24"/>
      <c r="R7672"/>
      <c r="S7672"/>
      <c r="T7672"/>
      <c r="U7672"/>
      <c r="X7672" s="60"/>
    </row>
    <row r="7673" spans="7:24" ht="15" customHeight="1">
      <c r="G7673"/>
      <c r="I7673"/>
      <c r="N7673"/>
      <c r="O7673" s="24"/>
      <c r="P7673"/>
      <c r="Q7673" s="24"/>
      <c r="R7673"/>
      <c r="S7673"/>
      <c r="T7673"/>
      <c r="U7673"/>
      <c r="X7673" s="60"/>
    </row>
    <row r="7674" spans="7:24" ht="15" customHeight="1">
      <c r="G7674"/>
      <c r="I7674"/>
      <c r="N7674"/>
      <c r="O7674" s="24"/>
      <c r="P7674"/>
      <c r="Q7674" s="24"/>
      <c r="R7674"/>
      <c r="S7674"/>
      <c r="T7674"/>
      <c r="U7674"/>
      <c r="X7674" s="60"/>
    </row>
    <row r="7675" spans="7:24" ht="15" customHeight="1">
      <c r="G7675"/>
      <c r="I7675"/>
      <c r="N7675"/>
      <c r="O7675" s="24"/>
      <c r="P7675"/>
      <c r="Q7675" s="24"/>
      <c r="R7675"/>
      <c r="S7675"/>
      <c r="T7675"/>
      <c r="U7675"/>
      <c r="X7675" s="60"/>
    </row>
    <row r="7676" spans="7:24" ht="15" customHeight="1">
      <c r="G7676"/>
      <c r="I7676"/>
      <c r="N7676"/>
      <c r="O7676" s="24"/>
      <c r="P7676"/>
      <c r="Q7676" s="24"/>
      <c r="R7676"/>
      <c r="S7676"/>
      <c r="T7676"/>
      <c r="U7676"/>
      <c r="X7676" s="60"/>
    </row>
    <row r="7677" spans="7:24" ht="15" customHeight="1">
      <c r="G7677"/>
      <c r="I7677"/>
      <c r="N7677"/>
      <c r="O7677" s="24"/>
      <c r="P7677"/>
      <c r="Q7677" s="24"/>
      <c r="R7677"/>
      <c r="S7677"/>
      <c r="T7677"/>
      <c r="U7677"/>
      <c r="X7677" s="60"/>
    </row>
    <row r="7678" spans="7:24" ht="15" customHeight="1">
      <c r="G7678"/>
      <c r="I7678"/>
      <c r="N7678"/>
      <c r="O7678" s="24"/>
      <c r="P7678"/>
      <c r="Q7678" s="24"/>
      <c r="R7678"/>
      <c r="S7678"/>
      <c r="T7678"/>
      <c r="U7678"/>
      <c r="X7678" s="60"/>
    </row>
    <row r="7679" spans="7:24" ht="15" customHeight="1">
      <c r="G7679"/>
      <c r="I7679"/>
      <c r="N7679"/>
      <c r="O7679" s="24"/>
      <c r="P7679"/>
      <c r="Q7679" s="24"/>
      <c r="R7679"/>
      <c r="S7679"/>
      <c r="T7679"/>
      <c r="U7679"/>
      <c r="X7679" s="60"/>
    </row>
    <row r="7680" spans="7:24" ht="15" customHeight="1">
      <c r="G7680"/>
      <c r="I7680"/>
      <c r="N7680"/>
      <c r="O7680" s="24"/>
      <c r="P7680"/>
      <c r="Q7680" s="24"/>
      <c r="R7680"/>
      <c r="S7680"/>
      <c r="T7680"/>
      <c r="U7680"/>
      <c r="X7680" s="60"/>
    </row>
    <row r="7681" spans="7:24" ht="15" customHeight="1">
      <c r="G7681"/>
      <c r="I7681"/>
      <c r="N7681"/>
      <c r="O7681" s="24"/>
      <c r="P7681"/>
      <c r="Q7681" s="24"/>
      <c r="R7681"/>
      <c r="S7681"/>
      <c r="T7681"/>
      <c r="U7681"/>
      <c r="X7681" s="60"/>
    </row>
    <row r="7682" spans="7:24" ht="15" customHeight="1">
      <c r="G7682"/>
      <c r="I7682"/>
      <c r="N7682"/>
      <c r="O7682" s="24"/>
      <c r="P7682"/>
      <c r="Q7682" s="24"/>
      <c r="R7682"/>
      <c r="S7682"/>
      <c r="T7682"/>
      <c r="U7682"/>
      <c r="X7682" s="60"/>
    </row>
    <row r="7683" spans="7:24" ht="15" customHeight="1">
      <c r="G7683"/>
      <c r="I7683"/>
      <c r="N7683"/>
      <c r="O7683" s="24"/>
      <c r="P7683"/>
      <c r="Q7683" s="24"/>
      <c r="R7683"/>
      <c r="S7683"/>
      <c r="T7683"/>
      <c r="U7683"/>
      <c r="X7683" s="60"/>
    </row>
    <row r="7684" spans="7:24" ht="15" customHeight="1">
      <c r="G7684"/>
      <c r="I7684"/>
      <c r="N7684"/>
      <c r="O7684" s="24"/>
      <c r="P7684"/>
      <c r="Q7684" s="24"/>
      <c r="R7684"/>
      <c r="S7684"/>
      <c r="T7684"/>
      <c r="U7684"/>
      <c r="X7684" s="60"/>
    </row>
    <row r="7685" spans="7:24" ht="15" customHeight="1">
      <c r="G7685"/>
      <c r="I7685"/>
      <c r="N7685"/>
      <c r="O7685" s="24"/>
      <c r="P7685"/>
      <c r="Q7685" s="24"/>
      <c r="R7685"/>
      <c r="S7685"/>
      <c r="T7685"/>
      <c r="U7685"/>
      <c r="X7685" s="60"/>
    </row>
    <row r="7686" spans="7:24" ht="15" customHeight="1">
      <c r="G7686"/>
      <c r="I7686"/>
      <c r="N7686"/>
      <c r="O7686" s="24"/>
      <c r="P7686"/>
      <c r="Q7686" s="24"/>
      <c r="R7686"/>
      <c r="S7686"/>
      <c r="T7686"/>
      <c r="U7686"/>
      <c r="X7686" s="60"/>
    </row>
    <row r="7687" spans="7:24" ht="15" customHeight="1">
      <c r="G7687"/>
      <c r="I7687"/>
      <c r="N7687"/>
      <c r="O7687" s="24"/>
      <c r="P7687"/>
      <c r="Q7687" s="24"/>
      <c r="R7687"/>
      <c r="S7687"/>
      <c r="T7687"/>
      <c r="U7687"/>
      <c r="X7687" s="60"/>
    </row>
    <row r="7688" spans="7:24" ht="15" customHeight="1">
      <c r="G7688"/>
      <c r="I7688"/>
      <c r="N7688"/>
      <c r="O7688" s="24"/>
      <c r="P7688"/>
      <c r="Q7688" s="24"/>
      <c r="R7688"/>
      <c r="S7688"/>
      <c r="T7688"/>
      <c r="U7688"/>
      <c r="X7688" s="60"/>
    </row>
    <row r="7689" spans="7:24" ht="15" customHeight="1">
      <c r="G7689"/>
      <c r="I7689"/>
      <c r="N7689"/>
      <c r="O7689" s="24"/>
      <c r="P7689"/>
      <c r="Q7689" s="24"/>
      <c r="R7689"/>
      <c r="S7689"/>
      <c r="T7689"/>
      <c r="U7689"/>
      <c r="X7689" s="60"/>
    </row>
    <row r="7690" spans="7:24" ht="15" customHeight="1">
      <c r="G7690"/>
      <c r="I7690"/>
      <c r="N7690"/>
      <c r="O7690" s="24"/>
      <c r="P7690"/>
      <c r="Q7690" s="24"/>
      <c r="R7690"/>
      <c r="S7690"/>
      <c r="T7690"/>
      <c r="U7690"/>
      <c r="X7690" s="60"/>
    </row>
    <row r="7691" spans="7:24" ht="15" customHeight="1">
      <c r="G7691"/>
      <c r="I7691"/>
      <c r="N7691"/>
      <c r="O7691" s="24"/>
      <c r="P7691"/>
      <c r="Q7691" s="24"/>
      <c r="R7691"/>
      <c r="S7691"/>
      <c r="T7691"/>
      <c r="U7691"/>
      <c r="X7691" s="60"/>
    </row>
    <row r="7692" spans="7:24" ht="15" customHeight="1">
      <c r="G7692"/>
      <c r="I7692"/>
      <c r="N7692"/>
      <c r="O7692" s="24"/>
      <c r="P7692"/>
      <c r="Q7692" s="24"/>
      <c r="R7692"/>
      <c r="S7692"/>
      <c r="T7692"/>
      <c r="U7692"/>
      <c r="X7692" s="60"/>
    </row>
    <row r="7693" spans="7:24" ht="15" customHeight="1">
      <c r="G7693"/>
      <c r="I7693"/>
      <c r="N7693"/>
      <c r="O7693" s="24"/>
      <c r="P7693"/>
      <c r="Q7693" s="24"/>
      <c r="R7693"/>
      <c r="S7693"/>
      <c r="T7693"/>
      <c r="U7693"/>
      <c r="X7693" s="60"/>
    </row>
    <row r="7694" spans="7:24" ht="15" customHeight="1">
      <c r="G7694"/>
      <c r="I7694"/>
      <c r="N7694"/>
      <c r="O7694" s="24"/>
      <c r="P7694"/>
      <c r="Q7694" s="24"/>
      <c r="R7694"/>
      <c r="S7694"/>
      <c r="T7694"/>
      <c r="U7694"/>
      <c r="X7694" s="60"/>
    </row>
    <row r="7695" spans="7:24" ht="15" customHeight="1">
      <c r="G7695"/>
      <c r="I7695"/>
      <c r="N7695"/>
      <c r="O7695" s="24"/>
      <c r="P7695"/>
      <c r="Q7695" s="24"/>
      <c r="R7695"/>
      <c r="S7695"/>
      <c r="T7695"/>
      <c r="U7695"/>
      <c r="X7695" s="60"/>
    </row>
    <row r="7696" spans="7:24" ht="15" customHeight="1">
      <c r="G7696"/>
      <c r="I7696"/>
      <c r="N7696"/>
      <c r="O7696" s="24"/>
      <c r="P7696"/>
      <c r="Q7696" s="24"/>
      <c r="R7696"/>
      <c r="S7696"/>
      <c r="T7696"/>
      <c r="U7696"/>
      <c r="X7696" s="60"/>
    </row>
    <row r="7697" spans="7:24" ht="15" customHeight="1">
      <c r="G7697"/>
      <c r="I7697"/>
      <c r="N7697"/>
      <c r="O7697" s="24"/>
      <c r="P7697"/>
      <c r="Q7697" s="24"/>
      <c r="R7697"/>
      <c r="S7697"/>
      <c r="T7697"/>
      <c r="U7697"/>
      <c r="X7697" s="60"/>
    </row>
    <row r="7698" spans="7:24" ht="15" customHeight="1">
      <c r="G7698"/>
      <c r="I7698"/>
      <c r="N7698"/>
      <c r="O7698" s="24"/>
      <c r="P7698"/>
      <c r="Q7698" s="24"/>
      <c r="R7698"/>
      <c r="S7698"/>
      <c r="T7698"/>
      <c r="U7698"/>
      <c r="X7698" s="60"/>
    </row>
    <row r="7699" spans="7:24" ht="15" customHeight="1">
      <c r="G7699"/>
      <c r="I7699"/>
      <c r="N7699"/>
      <c r="O7699" s="24"/>
      <c r="P7699"/>
      <c r="Q7699" s="24"/>
      <c r="R7699"/>
      <c r="S7699"/>
      <c r="T7699"/>
      <c r="U7699"/>
      <c r="X7699" s="60"/>
    </row>
    <row r="7700" spans="7:24" ht="15" customHeight="1">
      <c r="G7700"/>
      <c r="I7700"/>
      <c r="N7700"/>
      <c r="O7700" s="24"/>
      <c r="P7700"/>
      <c r="Q7700" s="24"/>
      <c r="R7700"/>
      <c r="S7700"/>
      <c r="T7700"/>
      <c r="U7700"/>
      <c r="X7700" s="60"/>
    </row>
    <row r="7701" spans="7:24" ht="15" customHeight="1">
      <c r="G7701"/>
      <c r="I7701"/>
      <c r="N7701"/>
      <c r="O7701" s="24"/>
      <c r="P7701"/>
      <c r="Q7701" s="24"/>
      <c r="R7701"/>
      <c r="S7701"/>
      <c r="T7701"/>
      <c r="U7701"/>
      <c r="X7701" s="60"/>
    </row>
    <row r="7702" spans="7:24" ht="15" customHeight="1">
      <c r="G7702"/>
      <c r="I7702"/>
      <c r="N7702"/>
      <c r="O7702" s="24"/>
      <c r="P7702"/>
      <c r="Q7702" s="24"/>
      <c r="R7702"/>
      <c r="S7702"/>
      <c r="T7702"/>
      <c r="U7702"/>
      <c r="X7702" s="60"/>
    </row>
    <row r="7703" spans="7:24" ht="15" customHeight="1">
      <c r="G7703"/>
      <c r="I7703"/>
      <c r="N7703"/>
      <c r="O7703" s="24"/>
      <c r="P7703"/>
      <c r="Q7703" s="24"/>
      <c r="R7703"/>
      <c r="S7703"/>
      <c r="T7703"/>
      <c r="U7703"/>
      <c r="X7703" s="60"/>
    </row>
    <row r="7704" spans="7:24" ht="15" customHeight="1">
      <c r="G7704"/>
      <c r="I7704"/>
      <c r="N7704"/>
      <c r="O7704" s="24"/>
      <c r="P7704"/>
      <c r="Q7704" s="24"/>
      <c r="R7704"/>
      <c r="S7704"/>
      <c r="T7704"/>
      <c r="U7704"/>
      <c r="X7704" s="60"/>
    </row>
    <row r="7705" spans="7:24" ht="15" customHeight="1">
      <c r="G7705"/>
      <c r="I7705"/>
      <c r="N7705"/>
      <c r="O7705" s="24"/>
      <c r="P7705"/>
      <c r="Q7705" s="24"/>
      <c r="R7705"/>
      <c r="S7705"/>
      <c r="T7705"/>
      <c r="U7705"/>
      <c r="X7705" s="60"/>
    </row>
    <row r="7706" spans="7:24" ht="15" customHeight="1">
      <c r="G7706"/>
      <c r="I7706"/>
      <c r="N7706"/>
      <c r="O7706" s="24"/>
      <c r="P7706"/>
      <c r="Q7706" s="24"/>
      <c r="R7706"/>
      <c r="S7706"/>
      <c r="T7706"/>
      <c r="U7706"/>
      <c r="X7706" s="60"/>
    </row>
    <row r="7707" spans="7:24" ht="15" customHeight="1">
      <c r="G7707"/>
      <c r="I7707"/>
      <c r="N7707"/>
      <c r="O7707" s="24"/>
      <c r="P7707"/>
      <c r="Q7707" s="24"/>
      <c r="R7707"/>
      <c r="S7707"/>
      <c r="T7707"/>
      <c r="U7707"/>
      <c r="X7707" s="60"/>
    </row>
    <row r="7708" spans="7:24" ht="15" customHeight="1">
      <c r="G7708"/>
      <c r="I7708"/>
      <c r="N7708"/>
      <c r="O7708" s="24"/>
      <c r="P7708"/>
      <c r="Q7708" s="24"/>
      <c r="R7708"/>
      <c r="S7708"/>
      <c r="T7708"/>
      <c r="U7708"/>
      <c r="X7708" s="60"/>
    </row>
    <row r="7709" spans="7:24" ht="15" customHeight="1">
      <c r="G7709"/>
      <c r="I7709"/>
      <c r="N7709"/>
      <c r="O7709" s="24"/>
      <c r="P7709"/>
      <c r="Q7709" s="24"/>
      <c r="R7709"/>
      <c r="S7709"/>
      <c r="T7709"/>
      <c r="U7709"/>
      <c r="X7709" s="60"/>
    </row>
    <row r="7710" spans="7:24" ht="15" customHeight="1">
      <c r="G7710"/>
      <c r="I7710"/>
      <c r="N7710"/>
      <c r="O7710" s="24"/>
      <c r="P7710"/>
      <c r="Q7710" s="24"/>
      <c r="R7710"/>
      <c r="S7710"/>
      <c r="T7710"/>
      <c r="U7710"/>
      <c r="X7710" s="60"/>
    </row>
    <row r="7711" spans="7:24" ht="15" customHeight="1">
      <c r="G7711"/>
      <c r="I7711"/>
      <c r="N7711"/>
      <c r="O7711" s="24"/>
      <c r="P7711"/>
      <c r="Q7711" s="24"/>
      <c r="R7711"/>
      <c r="S7711"/>
      <c r="T7711"/>
      <c r="U7711"/>
      <c r="X7711" s="60"/>
    </row>
    <row r="7712" spans="7:24" ht="15" customHeight="1">
      <c r="G7712"/>
      <c r="I7712"/>
      <c r="N7712"/>
      <c r="O7712" s="24"/>
      <c r="P7712"/>
      <c r="Q7712" s="24"/>
      <c r="R7712"/>
      <c r="S7712"/>
      <c r="T7712"/>
      <c r="U7712"/>
      <c r="X7712" s="60"/>
    </row>
    <row r="7713" spans="7:24" ht="15" customHeight="1">
      <c r="G7713"/>
      <c r="I7713"/>
      <c r="N7713"/>
      <c r="O7713" s="24"/>
      <c r="P7713"/>
      <c r="Q7713" s="24"/>
      <c r="R7713"/>
      <c r="S7713"/>
      <c r="T7713"/>
      <c r="U7713"/>
      <c r="X7713" s="60"/>
    </row>
    <row r="7714" spans="7:24" ht="15" customHeight="1">
      <c r="G7714"/>
      <c r="I7714"/>
      <c r="N7714"/>
      <c r="O7714" s="24"/>
      <c r="P7714"/>
      <c r="Q7714" s="24"/>
      <c r="R7714"/>
      <c r="S7714"/>
      <c r="T7714"/>
      <c r="U7714"/>
      <c r="X7714" s="60"/>
    </row>
    <row r="7715" spans="7:24" ht="15" customHeight="1">
      <c r="G7715"/>
      <c r="I7715"/>
      <c r="N7715"/>
      <c r="O7715" s="24"/>
      <c r="P7715"/>
      <c r="Q7715" s="24"/>
      <c r="R7715"/>
      <c r="S7715"/>
      <c r="T7715"/>
      <c r="U7715"/>
      <c r="X7715" s="60"/>
    </row>
    <row r="7716" spans="7:24" ht="15" customHeight="1">
      <c r="G7716"/>
      <c r="I7716"/>
      <c r="N7716"/>
      <c r="O7716" s="24"/>
      <c r="P7716"/>
      <c r="Q7716" s="24"/>
      <c r="R7716"/>
      <c r="S7716"/>
      <c r="T7716"/>
      <c r="U7716"/>
      <c r="X7716" s="60"/>
    </row>
    <row r="7717" spans="7:24" ht="15" customHeight="1">
      <c r="G7717"/>
      <c r="I7717"/>
      <c r="N7717"/>
      <c r="O7717" s="24"/>
      <c r="P7717"/>
      <c r="Q7717" s="24"/>
      <c r="R7717"/>
      <c r="S7717"/>
      <c r="T7717"/>
      <c r="U7717"/>
      <c r="X7717" s="60"/>
    </row>
    <row r="7718" spans="7:24" ht="15" customHeight="1">
      <c r="G7718"/>
      <c r="I7718"/>
      <c r="N7718"/>
      <c r="O7718" s="24"/>
      <c r="P7718"/>
      <c r="Q7718" s="24"/>
      <c r="R7718"/>
      <c r="S7718"/>
      <c r="T7718"/>
      <c r="U7718"/>
      <c r="X7718" s="60"/>
    </row>
    <row r="7719" spans="7:24" ht="15" customHeight="1">
      <c r="G7719"/>
      <c r="I7719"/>
      <c r="N7719"/>
      <c r="O7719" s="24"/>
      <c r="P7719"/>
      <c r="Q7719" s="24"/>
      <c r="R7719"/>
      <c r="S7719"/>
      <c r="T7719"/>
      <c r="U7719"/>
      <c r="X7719" s="60"/>
    </row>
    <row r="7720" spans="7:24" ht="15" customHeight="1">
      <c r="G7720"/>
      <c r="I7720"/>
      <c r="N7720"/>
      <c r="O7720" s="24"/>
      <c r="P7720"/>
      <c r="Q7720" s="24"/>
      <c r="R7720"/>
      <c r="S7720"/>
      <c r="T7720"/>
      <c r="U7720"/>
      <c r="X7720" s="60"/>
    </row>
    <row r="7721" spans="7:24" ht="15" customHeight="1">
      <c r="G7721"/>
      <c r="I7721"/>
      <c r="N7721"/>
      <c r="O7721" s="24"/>
      <c r="P7721"/>
      <c r="Q7721" s="24"/>
      <c r="R7721"/>
      <c r="S7721"/>
      <c r="T7721"/>
      <c r="U7721"/>
      <c r="X7721" s="60"/>
    </row>
    <row r="7722" spans="7:24" ht="15" customHeight="1">
      <c r="G7722"/>
      <c r="I7722"/>
      <c r="N7722"/>
      <c r="O7722" s="24"/>
      <c r="P7722"/>
      <c r="Q7722" s="24"/>
      <c r="R7722"/>
      <c r="S7722"/>
      <c r="T7722"/>
      <c r="U7722"/>
      <c r="X7722" s="60"/>
    </row>
    <row r="7723" spans="7:24" ht="15" customHeight="1">
      <c r="G7723"/>
      <c r="I7723"/>
      <c r="N7723"/>
      <c r="O7723" s="24"/>
      <c r="P7723"/>
      <c r="Q7723" s="24"/>
      <c r="R7723"/>
      <c r="S7723"/>
      <c r="T7723"/>
      <c r="U7723"/>
      <c r="X7723" s="60"/>
    </row>
    <row r="7724" spans="7:24" ht="15" customHeight="1">
      <c r="G7724"/>
      <c r="I7724"/>
      <c r="N7724"/>
      <c r="O7724" s="24"/>
      <c r="P7724"/>
      <c r="Q7724" s="24"/>
      <c r="R7724"/>
      <c r="S7724"/>
      <c r="T7724"/>
      <c r="U7724"/>
      <c r="X7724" s="60"/>
    </row>
    <row r="7725" spans="7:24" ht="15" customHeight="1">
      <c r="G7725"/>
      <c r="I7725"/>
      <c r="N7725"/>
      <c r="O7725" s="24"/>
      <c r="P7725"/>
      <c r="Q7725" s="24"/>
      <c r="R7725"/>
      <c r="S7725"/>
      <c r="T7725"/>
      <c r="U7725"/>
      <c r="X7725" s="60"/>
    </row>
    <row r="7726" spans="7:24" ht="15" customHeight="1">
      <c r="G7726"/>
      <c r="I7726"/>
      <c r="N7726"/>
      <c r="O7726" s="24"/>
      <c r="P7726"/>
      <c r="Q7726" s="24"/>
      <c r="R7726"/>
      <c r="S7726"/>
      <c r="T7726"/>
      <c r="U7726"/>
      <c r="X7726" s="60"/>
    </row>
    <row r="7727" spans="7:24" ht="15" customHeight="1">
      <c r="G7727"/>
      <c r="I7727"/>
      <c r="N7727"/>
      <c r="O7727" s="24"/>
      <c r="P7727"/>
      <c r="Q7727" s="24"/>
      <c r="R7727"/>
      <c r="S7727"/>
      <c r="T7727"/>
      <c r="U7727"/>
      <c r="X7727" s="60"/>
    </row>
    <row r="7728" spans="7:24" ht="15" customHeight="1">
      <c r="G7728"/>
      <c r="I7728"/>
      <c r="N7728"/>
      <c r="O7728" s="24"/>
      <c r="P7728"/>
      <c r="Q7728" s="24"/>
      <c r="R7728"/>
      <c r="S7728"/>
      <c r="T7728"/>
      <c r="U7728"/>
      <c r="X7728" s="60"/>
    </row>
    <row r="7729" spans="7:24" ht="15" customHeight="1">
      <c r="G7729"/>
      <c r="I7729"/>
      <c r="N7729"/>
      <c r="O7729" s="24"/>
      <c r="P7729"/>
      <c r="Q7729" s="24"/>
      <c r="R7729"/>
      <c r="S7729"/>
      <c r="T7729"/>
      <c r="U7729"/>
      <c r="X7729" s="60"/>
    </row>
    <row r="7730" spans="7:24" ht="15" customHeight="1">
      <c r="G7730"/>
      <c r="I7730"/>
      <c r="N7730"/>
      <c r="O7730" s="24"/>
      <c r="P7730"/>
      <c r="Q7730" s="24"/>
      <c r="R7730"/>
      <c r="S7730"/>
      <c r="T7730"/>
      <c r="U7730"/>
      <c r="X7730" s="60"/>
    </row>
    <row r="7731" spans="7:24" ht="15" customHeight="1">
      <c r="G7731"/>
      <c r="I7731"/>
      <c r="N7731"/>
      <c r="O7731" s="24"/>
      <c r="P7731"/>
      <c r="Q7731" s="24"/>
      <c r="R7731"/>
      <c r="S7731"/>
      <c r="T7731"/>
      <c r="U7731"/>
      <c r="X7731" s="60"/>
    </row>
    <row r="7732" spans="7:24" ht="15" customHeight="1">
      <c r="G7732"/>
      <c r="I7732"/>
      <c r="N7732"/>
      <c r="O7732" s="24"/>
      <c r="P7732"/>
      <c r="Q7732" s="24"/>
      <c r="R7732"/>
      <c r="S7732"/>
      <c r="T7732"/>
      <c r="U7732"/>
      <c r="X7732" s="60"/>
    </row>
    <row r="7733" spans="7:24" ht="15" customHeight="1">
      <c r="G7733"/>
      <c r="I7733"/>
      <c r="N7733"/>
      <c r="O7733" s="24"/>
      <c r="P7733"/>
      <c r="Q7733" s="24"/>
      <c r="R7733"/>
      <c r="S7733"/>
      <c r="T7733"/>
      <c r="U7733"/>
      <c r="X7733" s="60"/>
    </row>
    <row r="7734" spans="7:24" ht="15" customHeight="1">
      <c r="G7734"/>
      <c r="I7734"/>
      <c r="N7734"/>
      <c r="O7734" s="24"/>
      <c r="P7734"/>
      <c r="Q7734" s="24"/>
      <c r="R7734"/>
      <c r="S7734"/>
      <c r="T7734"/>
      <c r="U7734"/>
      <c r="X7734" s="60"/>
    </row>
    <row r="7735" spans="7:24" ht="15" customHeight="1">
      <c r="G7735"/>
      <c r="I7735"/>
      <c r="N7735"/>
      <c r="O7735" s="24"/>
      <c r="P7735"/>
      <c r="Q7735" s="24"/>
      <c r="R7735"/>
      <c r="S7735"/>
      <c r="T7735"/>
      <c r="U7735"/>
      <c r="X7735" s="60"/>
    </row>
    <row r="7736" spans="7:24" ht="15" customHeight="1">
      <c r="G7736"/>
      <c r="I7736"/>
      <c r="N7736"/>
      <c r="O7736" s="24"/>
      <c r="P7736"/>
      <c r="Q7736" s="24"/>
      <c r="R7736"/>
      <c r="S7736"/>
      <c r="T7736"/>
      <c r="U7736"/>
      <c r="X7736" s="60"/>
    </row>
    <row r="7737" spans="7:24" ht="15" customHeight="1">
      <c r="G7737"/>
      <c r="I7737"/>
      <c r="N7737"/>
      <c r="O7737" s="24"/>
      <c r="P7737"/>
      <c r="Q7737" s="24"/>
      <c r="R7737"/>
      <c r="S7737"/>
      <c r="T7737"/>
      <c r="U7737"/>
      <c r="X7737" s="60"/>
    </row>
    <row r="7738" spans="7:24" ht="15" customHeight="1">
      <c r="G7738"/>
      <c r="I7738"/>
      <c r="N7738"/>
      <c r="O7738" s="24"/>
      <c r="P7738"/>
      <c r="Q7738" s="24"/>
      <c r="R7738"/>
      <c r="S7738"/>
      <c r="T7738"/>
      <c r="U7738"/>
      <c r="X7738" s="60"/>
    </row>
    <row r="7739" spans="7:24" ht="15" customHeight="1">
      <c r="G7739"/>
      <c r="I7739"/>
      <c r="N7739"/>
      <c r="O7739" s="24"/>
      <c r="P7739"/>
      <c r="Q7739" s="24"/>
      <c r="R7739"/>
      <c r="S7739"/>
      <c r="T7739"/>
      <c r="U7739"/>
      <c r="X7739" s="60"/>
    </row>
    <row r="7740" spans="7:24" ht="15" customHeight="1">
      <c r="G7740"/>
      <c r="I7740"/>
      <c r="N7740"/>
      <c r="O7740" s="24"/>
      <c r="P7740"/>
      <c r="Q7740" s="24"/>
      <c r="R7740"/>
      <c r="S7740"/>
      <c r="T7740"/>
      <c r="U7740"/>
      <c r="X7740" s="60"/>
    </row>
    <row r="7741" spans="7:24" ht="15" customHeight="1">
      <c r="G7741"/>
      <c r="I7741"/>
      <c r="N7741"/>
      <c r="O7741" s="24"/>
      <c r="P7741"/>
      <c r="Q7741" s="24"/>
      <c r="R7741"/>
      <c r="S7741"/>
      <c r="T7741"/>
      <c r="U7741"/>
      <c r="X7741" s="60"/>
    </row>
    <row r="7742" spans="7:24" ht="15" customHeight="1">
      <c r="G7742"/>
      <c r="I7742"/>
      <c r="N7742"/>
      <c r="O7742" s="24"/>
      <c r="P7742"/>
      <c r="Q7742" s="24"/>
      <c r="R7742"/>
      <c r="S7742"/>
      <c r="T7742"/>
      <c r="U7742"/>
      <c r="X7742" s="60"/>
    </row>
    <row r="7743" spans="7:24" ht="15" customHeight="1">
      <c r="G7743"/>
      <c r="I7743"/>
      <c r="N7743"/>
      <c r="O7743" s="24"/>
      <c r="P7743"/>
      <c r="Q7743" s="24"/>
      <c r="R7743"/>
      <c r="S7743"/>
      <c r="T7743"/>
      <c r="U7743"/>
      <c r="X7743" s="60"/>
    </row>
    <row r="7744" spans="7:24" ht="15" customHeight="1">
      <c r="G7744"/>
      <c r="I7744"/>
      <c r="N7744"/>
      <c r="O7744" s="24"/>
      <c r="P7744"/>
      <c r="Q7744" s="24"/>
      <c r="R7744"/>
      <c r="S7744"/>
      <c r="T7744"/>
      <c r="U7744"/>
      <c r="X7744" s="60"/>
    </row>
    <row r="7745" spans="7:24" ht="15" customHeight="1">
      <c r="G7745"/>
      <c r="I7745"/>
      <c r="N7745"/>
      <c r="O7745" s="24"/>
      <c r="P7745"/>
      <c r="Q7745" s="24"/>
      <c r="R7745"/>
      <c r="S7745"/>
      <c r="T7745"/>
      <c r="U7745"/>
      <c r="X7745" s="60"/>
    </row>
    <row r="7746" spans="7:24" ht="15" customHeight="1">
      <c r="G7746"/>
      <c r="I7746"/>
      <c r="N7746"/>
      <c r="O7746" s="24"/>
      <c r="P7746"/>
      <c r="Q7746" s="24"/>
      <c r="R7746"/>
      <c r="S7746"/>
      <c r="T7746"/>
      <c r="U7746"/>
      <c r="X7746" s="60"/>
    </row>
    <row r="7747" spans="7:24" ht="15" customHeight="1">
      <c r="G7747"/>
      <c r="I7747"/>
      <c r="N7747"/>
      <c r="O7747" s="24"/>
      <c r="P7747"/>
      <c r="Q7747" s="24"/>
      <c r="R7747"/>
      <c r="S7747"/>
      <c r="T7747"/>
      <c r="U7747"/>
      <c r="X7747" s="60"/>
    </row>
    <row r="7748" spans="7:24" ht="15" customHeight="1">
      <c r="G7748"/>
      <c r="I7748"/>
      <c r="N7748"/>
      <c r="O7748" s="24"/>
      <c r="P7748"/>
      <c r="Q7748" s="24"/>
      <c r="R7748"/>
      <c r="S7748"/>
      <c r="T7748"/>
      <c r="U7748"/>
      <c r="X7748" s="60"/>
    </row>
    <row r="7749" spans="7:24" ht="15" customHeight="1">
      <c r="G7749"/>
      <c r="I7749"/>
      <c r="N7749"/>
      <c r="O7749" s="24"/>
      <c r="P7749"/>
      <c r="Q7749" s="24"/>
      <c r="R7749"/>
      <c r="S7749"/>
      <c r="T7749"/>
      <c r="U7749"/>
      <c r="X7749" s="60"/>
    </row>
    <row r="7750" spans="7:24" ht="15" customHeight="1">
      <c r="G7750"/>
      <c r="I7750"/>
      <c r="N7750"/>
      <c r="O7750" s="24"/>
      <c r="P7750"/>
      <c r="Q7750" s="24"/>
      <c r="R7750"/>
      <c r="S7750"/>
      <c r="T7750"/>
      <c r="U7750"/>
      <c r="X7750" s="60"/>
    </row>
    <row r="7751" spans="7:24" ht="15" customHeight="1">
      <c r="G7751"/>
      <c r="I7751"/>
      <c r="N7751"/>
      <c r="O7751" s="24"/>
      <c r="P7751"/>
      <c r="Q7751" s="24"/>
      <c r="R7751"/>
      <c r="S7751"/>
      <c r="T7751"/>
      <c r="U7751"/>
      <c r="X7751" s="60"/>
    </row>
    <row r="7752" spans="7:24" ht="15" customHeight="1">
      <c r="G7752"/>
      <c r="I7752"/>
      <c r="N7752"/>
      <c r="O7752" s="24"/>
      <c r="P7752"/>
      <c r="Q7752" s="24"/>
      <c r="R7752"/>
      <c r="S7752"/>
      <c r="T7752"/>
      <c r="U7752"/>
      <c r="X7752" s="60"/>
    </row>
    <row r="7753" spans="7:24" ht="15" customHeight="1">
      <c r="G7753"/>
      <c r="I7753"/>
      <c r="N7753"/>
      <c r="O7753" s="24"/>
      <c r="P7753"/>
      <c r="Q7753" s="24"/>
      <c r="R7753"/>
      <c r="S7753"/>
      <c r="T7753"/>
      <c r="U7753"/>
      <c r="X7753" s="60"/>
    </row>
    <row r="7754" spans="7:24" ht="15" customHeight="1">
      <c r="G7754"/>
      <c r="I7754"/>
      <c r="N7754"/>
      <c r="O7754" s="24"/>
      <c r="P7754"/>
      <c r="Q7754" s="24"/>
      <c r="R7754"/>
      <c r="S7754"/>
      <c r="T7754"/>
      <c r="U7754"/>
      <c r="X7754" s="60"/>
    </row>
    <row r="7755" spans="7:24" ht="15" customHeight="1">
      <c r="G7755"/>
      <c r="I7755"/>
      <c r="N7755"/>
      <c r="O7755" s="24"/>
      <c r="P7755"/>
      <c r="Q7755" s="24"/>
      <c r="R7755"/>
      <c r="S7755"/>
      <c r="T7755"/>
      <c r="U7755"/>
      <c r="X7755" s="60"/>
    </row>
    <row r="7756" spans="7:24" ht="15" customHeight="1">
      <c r="G7756"/>
      <c r="I7756"/>
      <c r="N7756"/>
      <c r="O7756" s="24"/>
      <c r="P7756"/>
      <c r="Q7756" s="24"/>
      <c r="R7756"/>
      <c r="S7756"/>
      <c r="T7756"/>
      <c r="U7756"/>
      <c r="X7756" s="60"/>
    </row>
    <row r="7757" spans="7:24" ht="15" customHeight="1">
      <c r="G7757"/>
      <c r="I7757"/>
      <c r="N7757"/>
      <c r="O7757" s="24"/>
      <c r="P7757"/>
      <c r="Q7757" s="24"/>
      <c r="R7757"/>
      <c r="S7757"/>
      <c r="T7757"/>
      <c r="U7757"/>
      <c r="X7757" s="60"/>
    </row>
    <row r="7758" spans="7:24" ht="15" customHeight="1">
      <c r="G7758"/>
      <c r="I7758"/>
      <c r="N7758"/>
      <c r="O7758" s="24"/>
      <c r="P7758"/>
      <c r="Q7758" s="24"/>
      <c r="R7758"/>
      <c r="S7758"/>
      <c r="T7758"/>
      <c r="U7758"/>
      <c r="X7758" s="60"/>
    </row>
    <row r="7759" spans="7:24" ht="15" customHeight="1">
      <c r="G7759"/>
      <c r="I7759"/>
      <c r="N7759"/>
      <c r="O7759" s="24"/>
      <c r="P7759"/>
      <c r="Q7759" s="24"/>
      <c r="R7759"/>
      <c r="S7759"/>
      <c r="T7759"/>
      <c r="U7759"/>
      <c r="X7759" s="60"/>
    </row>
    <row r="7760" spans="7:24" ht="15" customHeight="1">
      <c r="G7760"/>
      <c r="I7760"/>
      <c r="N7760"/>
      <c r="O7760" s="24"/>
      <c r="P7760"/>
      <c r="Q7760" s="24"/>
      <c r="R7760"/>
      <c r="S7760"/>
      <c r="T7760"/>
      <c r="U7760"/>
      <c r="X7760" s="60"/>
    </row>
    <row r="7761" spans="7:24" ht="15" customHeight="1">
      <c r="G7761"/>
      <c r="I7761"/>
      <c r="N7761"/>
      <c r="O7761" s="24"/>
      <c r="P7761"/>
      <c r="Q7761" s="24"/>
      <c r="R7761"/>
      <c r="S7761"/>
      <c r="T7761"/>
      <c r="U7761"/>
      <c r="X7761" s="60"/>
    </row>
    <row r="7762" spans="7:24" ht="15" customHeight="1">
      <c r="G7762"/>
      <c r="I7762"/>
      <c r="N7762"/>
      <c r="O7762" s="24"/>
      <c r="P7762"/>
      <c r="Q7762" s="24"/>
      <c r="R7762"/>
      <c r="S7762"/>
      <c r="T7762"/>
      <c r="U7762"/>
      <c r="X7762" s="60"/>
    </row>
    <row r="7763" spans="7:24" ht="15" customHeight="1">
      <c r="G7763"/>
      <c r="I7763"/>
      <c r="N7763"/>
      <c r="O7763" s="24"/>
      <c r="P7763"/>
      <c r="Q7763" s="24"/>
      <c r="R7763"/>
      <c r="S7763"/>
      <c r="T7763"/>
      <c r="U7763"/>
      <c r="X7763" s="60"/>
    </row>
    <row r="7764" spans="7:24" ht="15" customHeight="1">
      <c r="G7764"/>
      <c r="I7764"/>
      <c r="N7764"/>
      <c r="O7764" s="24"/>
      <c r="P7764"/>
      <c r="Q7764" s="24"/>
      <c r="R7764"/>
      <c r="S7764"/>
      <c r="T7764"/>
      <c r="U7764"/>
      <c r="X7764" s="60"/>
    </row>
    <row r="7765" spans="7:24" ht="15" customHeight="1">
      <c r="G7765"/>
      <c r="I7765"/>
      <c r="N7765"/>
      <c r="O7765" s="24"/>
      <c r="P7765"/>
      <c r="Q7765" s="24"/>
      <c r="R7765"/>
      <c r="S7765"/>
      <c r="T7765"/>
      <c r="U7765"/>
      <c r="X7765" s="60"/>
    </row>
    <row r="7766" spans="7:24" ht="15" customHeight="1">
      <c r="G7766"/>
      <c r="I7766"/>
      <c r="N7766"/>
      <c r="O7766" s="24"/>
      <c r="P7766"/>
      <c r="Q7766" s="24"/>
      <c r="R7766"/>
      <c r="S7766"/>
      <c r="T7766"/>
      <c r="U7766"/>
      <c r="X7766" s="60"/>
    </row>
    <row r="7767" spans="7:24" ht="15" customHeight="1">
      <c r="G7767"/>
      <c r="I7767"/>
      <c r="N7767"/>
      <c r="O7767" s="24"/>
      <c r="P7767"/>
      <c r="Q7767" s="24"/>
      <c r="R7767"/>
      <c r="S7767"/>
      <c r="T7767"/>
      <c r="U7767"/>
      <c r="X7767" s="60"/>
    </row>
    <row r="7768" spans="7:24" ht="15" customHeight="1">
      <c r="G7768"/>
      <c r="I7768"/>
      <c r="N7768"/>
      <c r="O7768" s="24"/>
      <c r="P7768"/>
      <c r="Q7768" s="24"/>
      <c r="R7768"/>
      <c r="S7768"/>
      <c r="T7768"/>
      <c r="U7768"/>
      <c r="X7768" s="60"/>
    </row>
    <row r="7769" spans="7:24" ht="15" customHeight="1">
      <c r="G7769"/>
      <c r="I7769"/>
      <c r="N7769"/>
      <c r="O7769" s="24"/>
      <c r="P7769"/>
      <c r="Q7769" s="24"/>
      <c r="R7769"/>
      <c r="S7769"/>
      <c r="T7769"/>
      <c r="U7769"/>
      <c r="X7769" s="60"/>
    </row>
    <row r="7770" spans="7:24" ht="15" customHeight="1">
      <c r="G7770"/>
      <c r="I7770"/>
      <c r="N7770"/>
      <c r="O7770" s="24"/>
      <c r="P7770"/>
      <c r="Q7770" s="24"/>
      <c r="R7770"/>
      <c r="S7770"/>
      <c r="T7770"/>
      <c r="U7770"/>
      <c r="X7770" s="60"/>
    </row>
    <row r="7771" spans="7:24" ht="15" customHeight="1">
      <c r="G7771"/>
      <c r="I7771"/>
      <c r="N7771"/>
      <c r="O7771" s="24"/>
      <c r="P7771"/>
      <c r="Q7771" s="24"/>
      <c r="R7771"/>
      <c r="S7771"/>
      <c r="T7771"/>
      <c r="U7771"/>
      <c r="X7771" s="60"/>
    </row>
    <row r="7772" spans="7:24" ht="15" customHeight="1">
      <c r="G7772"/>
      <c r="I7772"/>
      <c r="N7772"/>
      <c r="O7772" s="24"/>
      <c r="P7772"/>
      <c r="Q7772" s="24"/>
      <c r="R7772"/>
      <c r="S7772"/>
      <c r="T7772"/>
      <c r="U7772"/>
      <c r="X7772" s="60"/>
    </row>
    <row r="7773" spans="7:24" ht="15" customHeight="1">
      <c r="G7773"/>
      <c r="I7773"/>
      <c r="N7773"/>
      <c r="O7773" s="24"/>
      <c r="P7773"/>
      <c r="Q7773" s="24"/>
      <c r="R7773"/>
      <c r="S7773"/>
      <c r="T7773"/>
      <c r="U7773"/>
      <c r="X7773" s="60"/>
    </row>
    <row r="7774" spans="7:24" ht="15" customHeight="1">
      <c r="G7774"/>
      <c r="I7774"/>
      <c r="N7774"/>
      <c r="O7774" s="24"/>
      <c r="P7774"/>
      <c r="Q7774" s="24"/>
      <c r="R7774"/>
      <c r="S7774"/>
      <c r="T7774"/>
      <c r="U7774"/>
      <c r="X7774" s="60"/>
    </row>
    <row r="7775" spans="7:24" ht="15" customHeight="1">
      <c r="G7775"/>
      <c r="I7775"/>
      <c r="N7775"/>
      <c r="O7775" s="24"/>
      <c r="P7775"/>
      <c r="Q7775" s="24"/>
      <c r="R7775"/>
      <c r="S7775"/>
      <c r="T7775"/>
      <c r="U7775"/>
      <c r="X7775" s="60"/>
    </row>
    <row r="7776" spans="7:24" ht="15" customHeight="1">
      <c r="G7776"/>
      <c r="I7776"/>
      <c r="N7776"/>
      <c r="O7776" s="24"/>
      <c r="P7776"/>
      <c r="Q7776" s="24"/>
      <c r="R7776"/>
      <c r="S7776"/>
      <c r="T7776"/>
      <c r="U7776"/>
      <c r="X7776" s="60"/>
    </row>
    <row r="7777" spans="7:24" ht="15" customHeight="1">
      <c r="G7777"/>
      <c r="I7777"/>
      <c r="N7777"/>
      <c r="O7777" s="24"/>
      <c r="P7777"/>
      <c r="Q7777" s="24"/>
      <c r="R7777"/>
      <c r="S7777"/>
      <c r="T7777"/>
      <c r="U7777"/>
      <c r="X7777" s="60"/>
    </row>
    <row r="7778" spans="7:24" ht="15" customHeight="1">
      <c r="G7778"/>
      <c r="I7778"/>
      <c r="N7778"/>
      <c r="O7778" s="24"/>
      <c r="P7778"/>
      <c r="Q7778" s="24"/>
      <c r="R7778"/>
      <c r="S7778"/>
      <c r="T7778"/>
      <c r="U7778"/>
      <c r="X7778" s="60"/>
    </row>
    <row r="7779" spans="7:24" ht="15" customHeight="1">
      <c r="G7779"/>
      <c r="I7779"/>
      <c r="N7779"/>
      <c r="O7779" s="24"/>
      <c r="P7779"/>
      <c r="Q7779" s="24"/>
      <c r="R7779"/>
      <c r="S7779"/>
      <c r="T7779"/>
      <c r="U7779"/>
      <c r="X7779" s="60"/>
    </row>
    <row r="7780" spans="7:24" ht="15" customHeight="1">
      <c r="G7780"/>
      <c r="I7780"/>
      <c r="N7780"/>
      <c r="O7780" s="24"/>
      <c r="P7780"/>
      <c r="Q7780" s="24"/>
      <c r="R7780"/>
      <c r="S7780"/>
      <c r="T7780"/>
      <c r="U7780"/>
      <c r="X7780" s="60"/>
    </row>
    <row r="7781" spans="7:24" ht="15" customHeight="1">
      <c r="G7781"/>
      <c r="I7781"/>
      <c r="N7781"/>
      <c r="O7781" s="24"/>
      <c r="P7781"/>
      <c r="Q7781" s="24"/>
      <c r="R7781"/>
      <c r="S7781"/>
      <c r="T7781"/>
      <c r="U7781"/>
      <c r="X7781" s="60"/>
    </row>
    <row r="7782" spans="7:24" ht="15" customHeight="1">
      <c r="G7782"/>
      <c r="I7782"/>
      <c r="N7782"/>
      <c r="O7782" s="24"/>
      <c r="P7782"/>
      <c r="Q7782" s="24"/>
      <c r="R7782"/>
      <c r="S7782"/>
      <c r="T7782"/>
      <c r="U7782"/>
      <c r="X7782" s="60"/>
    </row>
    <row r="7783" spans="7:24" ht="15" customHeight="1">
      <c r="G7783"/>
      <c r="I7783"/>
      <c r="N7783"/>
      <c r="O7783" s="24"/>
      <c r="P7783"/>
      <c r="Q7783" s="24"/>
      <c r="R7783"/>
      <c r="S7783"/>
      <c r="T7783"/>
      <c r="U7783"/>
      <c r="X7783" s="60"/>
    </row>
    <row r="7784" spans="7:24" ht="15" customHeight="1">
      <c r="G7784"/>
      <c r="I7784"/>
      <c r="N7784"/>
      <c r="O7784" s="24"/>
      <c r="P7784"/>
      <c r="Q7784" s="24"/>
      <c r="R7784"/>
      <c r="S7784"/>
      <c r="T7784"/>
      <c r="U7784"/>
      <c r="X7784" s="60"/>
    </row>
    <row r="7785" spans="7:24" ht="15" customHeight="1">
      <c r="G7785"/>
      <c r="I7785"/>
      <c r="N7785"/>
      <c r="O7785" s="24"/>
      <c r="P7785"/>
      <c r="Q7785" s="24"/>
      <c r="R7785"/>
      <c r="S7785"/>
      <c r="T7785"/>
      <c r="U7785"/>
      <c r="X7785" s="60"/>
    </row>
    <row r="7786" spans="7:24" ht="15" customHeight="1">
      <c r="G7786"/>
      <c r="I7786"/>
      <c r="N7786"/>
      <c r="O7786" s="24"/>
      <c r="P7786"/>
      <c r="Q7786" s="24"/>
      <c r="R7786"/>
      <c r="S7786"/>
      <c r="T7786"/>
      <c r="U7786"/>
      <c r="X7786" s="60"/>
    </row>
    <row r="7787" spans="7:24" ht="15" customHeight="1">
      <c r="G7787"/>
      <c r="I7787"/>
      <c r="N7787"/>
      <c r="O7787" s="24"/>
      <c r="P7787"/>
      <c r="Q7787" s="24"/>
      <c r="R7787"/>
      <c r="S7787"/>
      <c r="T7787"/>
      <c r="U7787"/>
      <c r="X7787" s="60"/>
    </row>
    <row r="7788" spans="7:24" ht="15" customHeight="1">
      <c r="G7788"/>
      <c r="I7788"/>
      <c r="N7788"/>
      <c r="O7788" s="24"/>
      <c r="P7788"/>
      <c r="Q7788" s="24"/>
      <c r="R7788"/>
      <c r="S7788"/>
      <c r="T7788"/>
      <c r="U7788"/>
      <c r="X7788" s="60"/>
    </row>
    <row r="7789" spans="7:24" ht="15" customHeight="1">
      <c r="G7789"/>
      <c r="I7789"/>
      <c r="N7789"/>
      <c r="O7789" s="24"/>
      <c r="P7789"/>
      <c r="Q7789" s="24"/>
      <c r="R7789"/>
      <c r="S7789"/>
      <c r="T7789"/>
      <c r="U7789"/>
      <c r="X7789" s="60"/>
    </row>
    <row r="7790" spans="7:24" ht="15" customHeight="1">
      <c r="G7790"/>
      <c r="I7790"/>
      <c r="N7790"/>
      <c r="O7790" s="24"/>
      <c r="P7790"/>
      <c r="Q7790" s="24"/>
      <c r="R7790"/>
      <c r="S7790"/>
      <c r="T7790"/>
      <c r="U7790"/>
      <c r="X7790" s="60"/>
    </row>
    <row r="7791" spans="7:24" ht="15" customHeight="1">
      <c r="G7791"/>
      <c r="I7791"/>
      <c r="N7791"/>
      <c r="O7791" s="24"/>
      <c r="P7791"/>
      <c r="Q7791" s="24"/>
      <c r="R7791"/>
      <c r="S7791"/>
      <c r="T7791"/>
      <c r="U7791"/>
      <c r="X7791" s="60"/>
    </row>
    <row r="7792" spans="7:24" ht="15" customHeight="1">
      <c r="G7792"/>
      <c r="I7792"/>
      <c r="N7792"/>
      <c r="O7792" s="24"/>
      <c r="P7792"/>
      <c r="Q7792" s="24"/>
      <c r="R7792"/>
      <c r="S7792"/>
      <c r="T7792"/>
      <c r="U7792"/>
      <c r="X7792" s="60"/>
    </row>
    <row r="7793" spans="7:24" ht="15" customHeight="1">
      <c r="G7793"/>
      <c r="I7793"/>
      <c r="N7793"/>
      <c r="O7793" s="24"/>
      <c r="P7793"/>
      <c r="Q7793" s="24"/>
      <c r="R7793"/>
      <c r="S7793"/>
      <c r="T7793"/>
      <c r="U7793"/>
      <c r="X7793" s="60"/>
    </row>
    <row r="7794" spans="7:24" ht="15" customHeight="1">
      <c r="G7794"/>
      <c r="I7794"/>
      <c r="N7794"/>
      <c r="O7794" s="24"/>
      <c r="P7794"/>
      <c r="Q7794" s="24"/>
      <c r="R7794"/>
      <c r="S7794"/>
      <c r="T7794"/>
      <c r="U7794"/>
      <c r="X7794" s="60"/>
    </row>
    <row r="7795" spans="7:24" ht="15" customHeight="1">
      <c r="G7795"/>
      <c r="I7795"/>
      <c r="N7795"/>
      <c r="O7795" s="24"/>
      <c r="P7795"/>
      <c r="Q7795" s="24"/>
      <c r="R7795"/>
      <c r="S7795"/>
      <c r="T7795"/>
      <c r="U7795"/>
      <c r="X7795" s="60"/>
    </row>
    <row r="7796" spans="7:24" ht="15" customHeight="1">
      <c r="G7796"/>
      <c r="I7796"/>
      <c r="N7796"/>
      <c r="O7796" s="24"/>
      <c r="P7796"/>
      <c r="Q7796" s="24"/>
      <c r="R7796"/>
      <c r="S7796"/>
      <c r="T7796"/>
      <c r="U7796"/>
      <c r="X7796" s="60"/>
    </row>
    <row r="7797" spans="7:24" ht="15" customHeight="1">
      <c r="G7797"/>
      <c r="I7797"/>
      <c r="N7797"/>
      <c r="O7797" s="24"/>
      <c r="P7797"/>
      <c r="Q7797" s="24"/>
      <c r="R7797"/>
      <c r="S7797"/>
      <c r="T7797"/>
      <c r="U7797"/>
      <c r="X7797" s="60"/>
    </row>
    <row r="7798" spans="7:24" ht="15" customHeight="1">
      <c r="G7798"/>
      <c r="I7798"/>
      <c r="N7798"/>
      <c r="O7798" s="24"/>
      <c r="P7798"/>
      <c r="Q7798" s="24"/>
      <c r="R7798"/>
      <c r="S7798"/>
      <c r="T7798"/>
      <c r="U7798"/>
      <c r="X7798" s="60"/>
    </row>
    <row r="7799" spans="7:24" ht="15" customHeight="1">
      <c r="G7799"/>
      <c r="I7799"/>
      <c r="N7799"/>
      <c r="O7799" s="24"/>
      <c r="P7799"/>
      <c r="Q7799" s="24"/>
      <c r="R7799"/>
      <c r="S7799"/>
      <c r="T7799"/>
      <c r="U7799"/>
      <c r="X7799" s="60"/>
    </row>
    <row r="7800" spans="7:24" ht="15" customHeight="1">
      <c r="G7800"/>
      <c r="I7800"/>
      <c r="N7800"/>
      <c r="O7800" s="24"/>
      <c r="P7800"/>
      <c r="Q7800" s="24"/>
      <c r="R7800"/>
      <c r="S7800"/>
      <c r="T7800"/>
      <c r="U7800"/>
      <c r="X7800" s="60"/>
    </row>
    <row r="7801" spans="7:24" ht="15" customHeight="1">
      <c r="G7801"/>
      <c r="I7801"/>
      <c r="N7801"/>
      <c r="O7801" s="24"/>
      <c r="P7801"/>
      <c r="Q7801" s="24"/>
      <c r="R7801"/>
      <c r="S7801"/>
      <c r="T7801"/>
      <c r="U7801"/>
      <c r="X7801" s="60"/>
    </row>
    <row r="7802" spans="7:24" ht="15" customHeight="1">
      <c r="G7802"/>
      <c r="I7802"/>
      <c r="N7802"/>
      <c r="O7802" s="24"/>
      <c r="P7802"/>
      <c r="Q7802" s="24"/>
      <c r="R7802"/>
      <c r="S7802"/>
      <c r="T7802"/>
      <c r="U7802"/>
      <c r="X7802" s="60"/>
    </row>
    <row r="7803" spans="7:24" ht="15" customHeight="1">
      <c r="G7803"/>
      <c r="I7803"/>
      <c r="N7803"/>
      <c r="O7803" s="24"/>
      <c r="P7803"/>
      <c r="Q7803" s="24"/>
      <c r="R7803"/>
      <c r="S7803"/>
      <c r="T7803"/>
      <c r="U7803"/>
      <c r="X7803" s="60"/>
    </row>
    <row r="7804" spans="7:24" ht="15" customHeight="1">
      <c r="G7804"/>
      <c r="I7804"/>
      <c r="N7804"/>
      <c r="O7804" s="24"/>
      <c r="P7804"/>
      <c r="Q7804" s="24"/>
      <c r="R7804"/>
      <c r="S7804"/>
      <c r="T7804"/>
      <c r="U7804"/>
      <c r="X7804" s="60"/>
    </row>
    <row r="7805" spans="7:24" ht="15" customHeight="1">
      <c r="G7805"/>
      <c r="I7805"/>
      <c r="N7805"/>
      <c r="O7805" s="24"/>
      <c r="P7805"/>
      <c r="Q7805" s="24"/>
      <c r="R7805"/>
      <c r="S7805"/>
      <c r="T7805"/>
      <c r="U7805"/>
      <c r="X7805" s="60"/>
    </row>
    <row r="7806" spans="7:24" ht="15" customHeight="1">
      <c r="G7806"/>
      <c r="I7806"/>
      <c r="N7806"/>
      <c r="O7806" s="24"/>
      <c r="P7806"/>
      <c r="Q7806" s="24"/>
      <c r="R7806"/>
      <c r="S7806"/>
      <c r="T7806"/>
      <c r="U7806"/>
      <c r="X7806" s="60"/>
    </row>
    <row r="7807" spans="7:24" ht="15" customHeight="1">
      <c r="G7807"/>
      <c r="I7807"/>
      <c r="N7807"/>
      <c r="O7807" s="24"/>
      <c r="P7807"/>
      <c r="Q7807" s="24"/>
      <c r="R7807"/>
      <c r="S7807"/>
      <c r="T7807"/>
      <c r="U7807"/>
      <c r="X7807" s="60"/>
    </row>
    <row r="7808" spans="7:24" ht="15" customHeight="1">
      <c r="G7808"/>
      <c r="I7808"/>
      <c r="N7808"/>
      <c r="O7808" s="24"/>
      <c r="P7808"/>
      <c r="Q7808" s="24"/>
      <c r="R7808"/>
      <c r="S7808"/>
      <c r="T7808"/>
      <c r="U7808"/>
      <c r="X7808" s="60"/>
    </row>
    <row r="7809" spans="7:24" ht="15" customHeight="1">
      <c r="G7809"/>
      <c r="I7809"/>
      <c r="N7809"/>
      <c r="O7809" s="24"/>
      <c r="P7809"/>
      <c r="Q7809" s="24"/>
      <c r="R7809"/>
      <c r="S7809"/>
      <c r="T7809"/>
      <c r="U7809"/>
      <c r="X7809" s="60"/>
    </row>
    <row r="7810" spans="7:24" ht="15" customHeight="1">
      <c r="G7810"/>
      <c r="I7810"/>
      <c r="N7810"/>
      <c r="O7810" s="24"/>
      <c r="P7810"/>
      <c r="Q7810" s="24"/>
      <c r="R7810"/>
      <c r="S7810"/>
      <c r="T7810"/>
      <c r="U7810"/>
      <c r="X7810" s="60"/>
    </row>
    <row r="7811" spans="7:24" ht="15" customHeight="1">
      <c r="G7811"/>
      <c r="I7811"/>
      <c r="N7811"/>
      <c r="O7811" s="24"/>
      <c r="P7811"/>
      <c r="Q7811" s="24"/>
      <c r="R7811"/>
      <c r="S7811"/>
      <c r="T7811"/>
      <c r="U7811"/>
      <c r="X7811" s="60"/>
    </row>
    <row r="7812" spans="7:24" ht="15" customHeight="1">
      <c r="G7812"/>
      <c r="I7812"/>
      <c r="N7812"/>
      <c r="O7812" s="24"/>
      <c r="P7812"/>
      <c r="Q7812" s="24"/>
      <c r="R7812"/>
      <c r="S7812"/>
      <c r="T7812"/>
      <c r="U7812"/>
      <c r="X7812" s="60"/>
    </row>
    <row r="7813" spans="7:24" ht="15" customHeight="1">
      <c r="G7813"/>
      <c r="I7813"/>
      <c r="N7813"/>
      <c r="O7813" s="24"/>
      <c r="P7813"/>
      <c r="Q7813" s="24"/>
      <c r="R7813"/>
      <c r="S7813"/>
      <c r="T7813"/>
      <c r="U7813"/>
      <c r="X7813" s="60"/>
    </row>
    <row r="7814" spans="7:24" ht="15" customHeight="1">
      <c r="G7814"/>
      <c r="I7814"/>
      <c r="N7814"/>
      <c r="O7814" s="24"/>
      <c r="P7814"/>
      <c r="Q7814" s="24"/>
      <c r="R7814"/>
      <c r="S7814"/>
      <c r="T7814"/>
      <c r="U7814"/>
      <c r="X7814" s="60"/>
    </row>
    <row r="7815" spans="7:24" ht="15" customHeight="1">
      <c r="G7815"/>
      <c r="I7815"/>
      <c r="N7815"/>
      <c r="O7815" s="24"/>
      <c r="P7815"/>
      <c r="Q7815" s="24"/>
      <c r="R7815"/>
      <c r="S7815"/>
      <c r="T7815"/>
      <c r="U7815"/>
      <c r="X7815" s="60"/>
    </row>
    <row r="7816" spans="7:24" ht="15" customHeight="1">
      <c r="G7816"/>
      <c r="I7816"/>
      <c r="N7816"/>
      <c r="O7816" s="24"/>
      <c r="P7816"/>
      <c r="Q7816" s="24"/>
      <c r="R7816"/>
      <c r="S7816"/>
      <c r="T7816"/>
      <c r="U7816"/>
      <c r="X7816" s="60"/>
    </row>
    <row r="7817" spans="7:24" ht="15" customHeight="1">
      <c r="G7817"/>
      <c r="I7817"/>
      <c r="N7817"/>
      <c r="O7817" s="24"/>
      <c r="P7817"/>
      <c r="Q7817" s="24"/>
      <c r="R7817"/>
      <c r="S7817"/>
      <c r="T7817"/>
      <c r="U7817"/>
      <c r="X7817" s="60"/>
    </row>
    <row r="7818" spans="7:24" ht="15" customHeight="1">
      <c r="G7818"/>
      <c r="I7818"/>
      <c r="N7818"/>
      <c r="O7818" s="24"/>
      <c r="P7818"/>
      <c r="Q7818" s="24"/>
      <c r="R7818"/>
      <c r="S7818"/>
      <c r="T7818"/>
      <c r="U7818"/>
      <c r="X7818" s="60"/>
    </row>
    <row r="7819" spans="7:24" ht="15" customHeight="1">
      <c r="G7819"/>
      <c r="I7819"/>
      <c r="N7819"/>
      <c r="O7819" s="24"/>
      <c r="P7819"/>
      <c r="Q7819" s="24"/>
      <c r="R7819"/>
      <c r="S7819"/>
      <c r="T7819"/>
      <c r="U7819"/>
      <c r="X7819" s="60"/>
    </row>
    <row r="7820" spans="7:24" ht="15" customHeight="1">
      <c r="G7820"/>
      <c r="I7820"/>
      <c r="N7820"/>
      <c r="O7820" s="24"/>
      <c r="P7820"/>
      <c r="Q7820" s="24"/>
      <c r="R7820"/>
      <c r="S7820"/>
      <c r="T7820"/>
      <c r="U7820"/>
      <c r="X7820" s="60"/>
    </row>
    <row r="7821" spans="7:24" ht="15" customHeight="1">
      <c r="G7821"/>
      <c r="I7821"/>
      <c r="N7821"/>
      <c r="O7821" s="24"/>
      <c r="P7821"/>
      <c r="Q7821" s="24"/>
      <c r="R7821"/>
      <c r="S7821"/>
      <c r="T7821"/>
      <c r="U7821"/>
      <c r="X7821" s="60"/>
    </row>
    <row r="7822" spans="7:24" ht="15" customHeight="1">
      <c r="G7822"/>
      <c r="I7822"/>
      <c r="N7822"/>
      <c r="O7822" s="24"/>
      <c r="P7822"/>
      <c r="Q7822" s="24"/>
      <c r="R7822"/>
      <c r="S7822"/>
      <c r="T7822"/>
      <c r="U7822"/>
      <c r="X7822" s="60"/>
    </row>
    <row r="7823" spans="7:24" ht="15" customHeight="1">
      <c r="G7823"/>
      <c r="I7823"/>
      <c r="N7823"/>
      <c r="O7823" s="24"/>
      <c r="P7823"/>
      <c r="Q7823" s="24"/>
      <c r="R7823"/>
      <c r="S7823"/>
      <c r="T7823"/>
      <c r="U7823"/>
      <c r="X7823" s="60"/>
    </row>
    <row r="7824" spans="7:24" ht="15" customHeight="1">
      <c r="G7824"/>
      <c r="I7824"/>
      <c r="N7824"/>
      <c r="O7824" s="24"/>
      <c r="P7824"/>
      <c r="Q7824" s="24"/>
      <c r="R7824"/>
      <c r="S7824"/>
      <c r="T7824"/>
      <c r="U7824"/>
      <c r="X7824" s="60"/>
    </row>
    <row r="7825" spans="7:24" ht="15" customHeight="1">
      <c r="G7825"/>
      <c r="I7825"/>
      <c r="N7825"/>
      <c r="O7825" s="24"/>
      <c r="P7825"/>
      <c r="Q7825" s="24"/>
      <c r="R7825"/>
      <c r="S7825"/>
      <c r="T7825"/>
      <c r="U7825"/>
      <c r="X7825" s="60"/>
    </row>
    <row r="7826" spans="7:24" ht="15" customHeight="1">
      <c r="G7826"/>
      <c r="I7826"/>
      <c r="N7826"/>
      <c r="O7826" s="24"/>
      <c r="P7826"/>
      <c r="Q7826" s="24"/>
      <c r="R7826"/>
      <c r="S7826"/>
      <c r="T7826"/>
      <c r="U7826"/>
      <c r="X7826" s="60"/>
    </row>
    <row r="7827" spans="7:24" ht="15" customHeight="1">
      <c r="G7827"/>
      <c r="I7827"/>
      <c r="N7827"/>
      <c r="O7827" s="24"/>
      <c r="P7827"/>
      <c r="Q7827" s="24"/>
      <c r="R7827"/>
      <c r="S7827"/>
      <c r="T7827"/>
      <c r="U7827"/>
      <c r="X7827" s="60"/>
    </row>
    <row r="7828" spans="7:24" ht="15" customHeight="1">
      <c r="G7828"/>
      <c r="I7828"/>
      <c r="N7828"/>
      <c r="O7828" s="24"/>
      <c r="P7828"/>
      <c r="Q7828" s="24"/>
      <c r="R7828"/>
      <c r="S7828"/>
      <c r="T7828"/>
      <c r="U7828"/>
      <c r="X7828" s="60"/>
    </row>
    <row r="7829" spans="7:24" ht="15" customHeight="1">
      <c r="G7829"/>
      <c r="I7829"/>
      <c r="N7829"/>
      <c r="O7829" s="24"/>
      <c r="P7829"/>
      <c r="Q7829" s="24"/>
      <c r="R7829"/>
      <c r="S7829"/>
      <c r="T7829"/>
      <c r="U7829"/>
      <c r="X7829" s="60"/>
    </row>
    <row r="7830" spans="7:24" ht="15" customHeight="1">
      <c r="G7830"/>
      <c r="I7830"/>
      <c r="N7830"/>
      <c r="O7830" s="24"/>
      <c r="P7830"/>
      <c r="Q7830" s="24"/>
      <c r="R7830"/>
      <c r="S7830"/>
      <c r="T7830"/>
      <c r="U7830"/>
      <c r="X7830" s="60"/>
    </row>
    <row r="7831" spans="7:24" ht="15" customHeight="1">
      <c r="G7831"/>
      <c r="I7831"/>
      <c r="N7831"/>
      <c r="O7831" s="24"/>
      <c r="P7831"/>
      <c r="Q7831" s="24"/>
      <c r="R7831"/>
      <c r="S7831"/>
      <c r="T7831"/>
      <c r="U7831"/>
      <c r="X7831" s="60"/>
    </row>
    <row r="7832" spans="7:24" ht="15" customHeight="1">
      <c r="G7832"/>
      <c r="I7832"/>
      <c r="N7832"/>
      <c r="O7832" s="24"/>
      <c r="P7832"/>
      <c r="Q7832" s="24"/>
      <c r="R7832"/>
      <c r="S7832"/>
      <c r="T7832"/>
      <c r="U7832"/>
      <c r="X7832" s="60"/>
    </row>
    <row r="7833" spans="7:24" ht="15" customHeight="1">
      <c r="G7833"/>
      <c r="I7833"/>
      <c r="N7833"/>
      <c r="O7833" s="24"/>
      <c r="P7833"/>
      <c r="Q7833" s="24"/>
      <c r="R7833"/>
      <c r="S7833"/>
      <c r="T7833"/>
      <c r="U7833"/>
      <c r="X7833" s="60"/>
    </row>
    <row r="7834" spans="7:24" ht="15" customHeight="1">
      <c r="G7834"/>
      <c r="I7834"/>
      <c r="N7834"/>
      <c r="O7834" s="24"/>
      <c r="P7834"/>
      <c r="Q7834" s="24"/>
      <c r="R7834"/>
      <c r="S7834"/>
      <c r="T7834"/>
      <c r="U7834"/>
      <c r="X7834" s="60"/>
    </row>
    <row r="7835" spans="7:24" ht="15" customHeight="1">
      <c r="G7835"/>
      <c r="I7835"/>
      <c r="N7835"/>
      <c r="O7835" s="24"/>
      <c r="P7835"/>
      <c r="Q7835" s="24"/>
      <c r="R7835"/>
      <c r="S7835"/>
      <c r="T7835"/>
      <c r="U7835"/>
      <c r="X7835" s="60"/>
    </row>
    <row r="7836" spans="7:24" ht="15" customHeight="1">
      <c r="G7836"/>
      <c r="I7836"/>
      <c r="N7836"/>
      <c r="O7836" s="24"/>
      <c r="P7836"/>
      <c r="Q7836" s="24"/>
      <c r="R7836"/>
      <c r="S7836"/>
      <c r="T7836"/>
      <c r="U7836"/>
      <c r="X7836" s="60"/>
    </row>
    <row r="7837" spans="7:24" ht="15" customHeight="1">
      <c r="G7837"/>
      <c r="I7837"/>
      <c r="N7837"/>
      <c r="O7837" s="24"/>
      <c r="P7837"/>
      <c r="Q7837" s="24"/>
      <c r="R7837"/>
      <c r="S7837"/>
      <c r="T7837"/>
      <c r="U7837"/>
      <c r="X7837" s="60"/>
    </row>
    <row r="7838" spans="7:24" ht="15" customHeight="1">
      <c r="G7838"/>
      <c r="I7838"/>
      <c r="N7838"/>
      <c r="O7838" s="24"/>
      <c r="P7838"/>
      <c r="Q7838" s="24"/>
      <c r="R7838"/>
      <c r="S7838"/>
      <c r="T7838"/>
      <c r="U7838"/>
      <c r="X7838" s="60"/>
    </row>
    <row r="7839" spans="7:24" ht="15" customHeight="1">
      <c r="G7839"/>
      <c r="I7839"/>
      <c r="N7839"/>
      <c r="O7839" s="24"/>
      <c r="P7839"/>
      <c r="Q7839" s="24"/>
      <c r="R7839"/>
      <c r="S7839"/>
      <c r="T7839"/>
      <c r="U7839"/>
      <c r="X7839" s="60"/>
    </row>
    <row r="7840" spans="7:24" ht="15" customHeight="1">
      <c r="G7840"/>
      <c r="I7840"/>
      <c r="N7840"/>
      <c r="O7840" s="24"/>
      <c r="P7840"/>
      <c r="Q7840" s="24"/>
      <c r="R7840"/>
      <c r="S7840"/>
      <c r="T7840"/>
      <c r="U7840"/>
      <c r="X7840" s="60"/>
    </row>
    <row r="7841" spans="7:24" ht="15" customHeight="1">
      <c r="G7841"/>
      <c r="I7841"/>
      <c r="N7841"/>
      <c r="O7841" s="24"/>
      <c r="P7841"/>
      <c r="Q7841" s="24"/>
      <c r="R7841"/>
      <c r="S7841"/>
      <c r="T7841"/>
      <c r="U7841"/>
      <c r="X7841" s="60"/>
    </row>
    <row r="7842" spans="7:24" ht="15" customHeight="1">
      <c r="G7842"/>
      <c r="I7842"/>
      <c r="N7842"/>
      <c r="O7842" s="24"/>
      <c r="P7842"/>
      <c r="Q7842" s="24"/>
      <c r="R7842"/>
      <c r="S7842"/>
      <c r="T7842"/>
      <c r="U7842"/>
      <c r="X7842" s="60"/>
    </row>
    <row r="7843" spans="7:24" ht="15" customHeight="1">
      <c r="G7843"/>
      <c r="I7843"/>
      <c r="N7843"/>
      <c r="O7843" s="24"/>
      <c r="P7843"/>
      <c r="Q7843" s="24"/>
      <c r="R7843"/>
      <c r="S7843"/>
      <c r="T7843"/>
      <c r="U7843"/>
      <c r="X7843" s="60"/>
    </row>
    <row r="7844" spans="7:24" ht="15" customHeight="1">
      <c r="G7844"/>
      <c r="I7844"/>
      <c r="N7844"/>
      <c r="O7844" s="24"/>
      <c r="P7844"/>
      <c r="Q7844" s="24"/>
      <c r="R7844"/>
      <c r="S7844"/>
      <c r="T7844"/>
      <c r="U7844"/>
      <c r="X7844" s="60"/>
    </row>
    <row r="7845" spans="7:24" ht="15" customHeight="1">
      <c r="G7845"/>
      <c r="I7845"/>
      <c r="N7845"/>
      <c r="O7845" s="24"/>
      <c r="P7845"/>
      <c r="Q7845" s="24"/>
      <c r="R7845"/>
      <c r="S7845"/>
      <c r="T7845"/>
      <c r="U7845"/>
      <c r="X7845" s="60"/>
    </row>
    <row r="7846" spans="7:24" ht="15" customHeight="1">
      <c r="G7846"/>
      <c r="I7846"/>
      <c r="N7846"/>
      <c r="O7846" s="24"/>
      <c r="P7846"/>
      <c r="Q7846" s="24"/>
      <c r="R7846"/>
      <c r="S7846"/>
      <c r="T7846"/>
      <c r="U7846"/>
      <c r="X7846" s="60"/>
    </row>
    <row r="7847" spans="7:24" ht="15" customHeight="1">
      <c r="G7847"/>
      <c r="I7847"/>
      <c r="N7847"/>
      <c r="O7847" s="24"/>
      <c r="P7847"/>
      <c r="Q7847" s="24"/>
      <c r="R7847"/>
      <c r="S7847"/>
      <c r="T7847"/>
      <c r="U7847"/>
      <c r="X7847" s="60"/>
    </row>
    <row r="7848" spans="7:24" ht="15" customHeight="1">
      <c r="G7848"/>
      <c r="I7848"/>
      <c r="N7848"/>
      <c r="O7848" s="24"/>
      <c r="P7848"/>
      <c r="Q7848" s="24"/>
      <c r="R7848"/>
      <c r="S7848"/>
      <c r="T7848"/>
      <c r="U7848"/>
      <c r="X7848" s="60"/>
    </row>
    <row r="7849" spans="7:24" ht="15" customHeight="1">
      <c r="G7849"/>
      <c r="I7849"/>
      <c r="N7849"/>
      <c r="O7849" s="24"/>
      <c r="P7849"/>
      <c r="Q7849" s="24"/>
      <c r="R7849"/>
      <c r="S7849"/>
      <c r="T7849"/>
      <c r="U7849"/>
      <c r="X7849" s="60"/>
    </row>
    <row r="7850" spans="7:24" ht="15" customHeight="1">
      <c r="G7850"/>
      <c r="I7850"/>
      <c r="N7850"/>
      <c r="O7850" s="24"/>
      <c r="P7850"/>
      <c r="Q7850" s="24"/>
      <c r="R7850"/>
      <c r="S7850"/>
      <c r="T7850"/>
      <c r="U7850"/>
      <c r="X7850" s="60"/>
    </row>
    <row r="7851" spans="7:24" ht="15" customHeight="1">
      <c r="G7851"/>
      <c r="I7851"/>
      <c r="N7851"/>
      <c r="O7851" s="24"/>
      <c r="P7851"/>
      <c r="Q7851" s="24"/>
      <c r="R7851"/>
      <c r="S7851"/>
      <c r="T7851"/>
      <c r="U7851"/>
      <c r="X7851" s="60"/>
    </row>
    <row r="7852" spans="7:24" ht="15" customHeight="1">
      <c r="G7852"/>
      <c r="I7852"/>
      <c r="N7852"/>
      <c r="O7852" s="24"/>
      <c r="P7852"/>
      <c r="Q7852" s="24"/>
      <c r="R7852"/>
      <c r="S7852"/>
      <c r="T7852"/>
      <c r="U7852"/>
      <c r="X7852" s="60"/>
    </row>
    <row r="7853" spans="7:24" ht="15" customHeight="1">
      <c r="G7853"/>
      <c r="I7853"/>
      <c r="N7853"/>
      <c r="O7853" s="24"/>
      <c r="P7853"/>
      <c r="Q7853" s="24"/>
      <c r="R7853"/>
      <c r="S7853"/>
      <c r="T7853"/>
      <c r="U7853"/>
      <c r="X7853" s="60"/>
    </row>
    <row r="7854" spans="7:24" ht="15" customHeight="1">
      <c r="G7854"/>
      <c r="I7854"/>
      <c r="N7854"/>
      <c r="O7854" s="24"/>
      <c r="P7854"/>
      <c r="Q7854" s="24"/>
      <c r="R7854"/>
      <c r="S7854"/>
      <c r="T7854"/>
      <c r="U7854"/>
      <c r="X7854" s="60"/>
    </row>
    <row r="7855" spans="7:24" ht="15" customHeight="1">
      <c r="G7855"/>
      <c r="I7855"/>
      <c r="N7855"/>
      <c r="O7855" s="24"/>
      <c r="P7855"/>
      <c r="Q7855" s="24"/>
      <c r="R7855"/>
      <c r="S7855"/>
      <c r="T7855"/>
      <c r="U7855"/>
      <c r="X7855" s="60"/>
    </row>
    <row r="7856" spans="7:24" ht="15" customHeight="1">
      <c r="G7856"/>
      <c r="I7856"/>
      <c r="N7856"/>
      <c r="O7856" s="24"/>
      <c r="P7856"/>
      <c r="Q7856" s="24"/>
      <c r="R7856"/>
      <c r="S7856"/>
      <c r="T7856"/>
      <c r="U7856"/>
      <c r="X7856" s="60"/>
    </row>
    <row r="7857" spans="7:24" ht="15" customHeight="1">
      <c r="G7857"/>
      <c r="I7857"/>
      <c r="N7857"/>
      <c r="O7857" s="24"/>
      <c r="P7857"/>
      <c r="Q7857" s="24"/>
      <c r="R7857"/>
      <c r="S7857"/>
      <c r="T7857"/>
      <c r="U7857"/>
      <c r="X7857" s="60"/>
    </row>
    <row r="7858" spans="7:24" ht="15" customHeight="1">
      <c r="G7858"/>
      <c r="I7858"/>
      <c r="N7858"/>
      <c r="O7858" s="24"/>
      <c r="P7858"/>
      <c r="Q7858" s="24"/>
      <c r="R7858"/>
      <c r="S7858"/>
      <c r="T7858"/>
      <c r="U7858"/>
      <c r="X7858" s="60"/>
    </row>
    <row r="7859" spans="7:24" ht="15" customHeight="1">
      <c r="G7859"/>
      <c r="I7859"/>
      <c r="N7859"/>
      <c r="O7859" s="24"/>
      <c r="P7859"/>
      <c r="Q7859" s="24"/>
      <c r="R7859"/>
      <c r="S7859"/>
      <c r="T7859"/>
      <c r="U7859"/>
      <c r="X7859" s="60"/>
    </row>
    <row r="7860" spans="7:24" ht="15" customHeight="1">
      <c r="G7860"/>
      <c r="I7860"/>
      <c r="N7860"/>
      <c r="O7860" s="24"/>
      <c r="P7860"/>
      <c r="Q7860" s="24"/>
      <c r="R7860"/>
      <c r="S7860"/>
      <c r="T7860"/>
      <c r="U7860"/>
      <c r="X7860" s="60"/>
    </row>
    <row r="7861" spans="7:24" ht="15" customHeight="1">
      <c r="G7861"/>
      <c r="I7861"/>
      <c r="N7861"/>
      <c r="O7861" s="24"/>
      <c r="P7861"/>
      <c r="Q7861" s="24"/>
      <c r="R7861"/>
      <c r="S7861"/>
      <c r="T7861"/>
      <c r="U7861"/>
      <c r="X7861" s="60"/>
    </row>
    <row r="7862" spans="7:24" ht="15" customHeight="1">
      <c r="G7862"/>
      <c r="I7862"/>
      <c r="N7862"/>
      <c r="O7862" s="24"/>
      <c r="P7862"/>
      <c r="Q7862" s="24"/>
      <c r="R7862"/>
      <c r="S7862"/>
      <c r="T7862"/>
      <c r="U7862"/>
      <c r="X7862" s="60"/>
    </row>
    <row r="7863" spans="7:24" ht="15" customHeight="1">
      <c r="G7863"/>
      <c r="I7863"/>
      <c r="N7863"/>
      <c r="O7863" s="24"/>
      <c r="P7863"/>
      <c r="Q7863" s="24"/>
      <c r="R7863"/>
      <c r="S7863"/>
      <c r="T7863"/>
      <c r="U7863"/>
      <c r="X7863" s="60"/>
    </row>
    <row r="7864" spans="7:24" ht="15" customHeight="1">
      <c r="G7864"/>
      <c r="I7864"/>
      <c r="N7864"/>
      <c r="O7864" s="24"/>
      <c r="P7864"/>
      <c r="Q7864" s="24"/>
      <c r="R7864"/>
      <c r="S7864"/>
      <c r="T7864"/>
      <c r="U7864"/>
      <c r="X7864" s="60"/>
    </row>
    <row r="7865" spans="7:24" ht="15" customHeight="1">
      <c r="G7865"/>
      <c r="I7865"/>
      <c r="N7865"/>
      <c r="O7865" s="24"/>
      <c r="P7865"/>
      <c r="Q7865" s="24"/>
      <c r="R7865"/>
      <c r="S7865"/>
      <c r="T7865"/>
      <c r="U7865"/>
      <c r="X7865" s="60"/>
    </row>
    <row r="7866" spans="7:24" ht="15" customHeight="1">
      <c r="G7866"/>
      <c r="I7866"/>
      <c r="N7866"/>
      <c r="O7866" s="24"/>
      <c r="P7866"/>
      <c r="Q7866" s="24"/>
      <c r="R7866"/>
      <c r="S7866"/>
      <c r="T7866"/>
      <c r="U7866"/>
      <c r="X7866" s="60"/>
    </row>
    <row r="7867" spans="7:24" ht="15" customHeight="1">
      <c r="G7867"/>
      <c r="I7867"/>
      <c r="N7867"/>
      <c r="O7867" s="24"/>
      <c r="P7867"/>
      <c r="Q7867" s="24"/>
      <c r="R7867"/>
      <c r="S7867"/>
      <c r="T7867"/>
      <c r="U7867"/>
      <c r="X7867" s="60"/>
    </row>
    <row r="7868" spans="7:24" ht="15" customHeight="1">
      <c r="G7868"/>
      <c r="I7868"/>
      <c r="N7868"/>
      <c r="O7868" s="24"/>
      <c r="P7868"/>
      <c r="Q7868" s="24"/>
      <c r="R7868"/>
      <c r="S7868"/>
      <c r="T7868"/>
      <c r="U7868"/>
      <c r="X7868" s="60"/>
    </row>
    <row r="7869" spans="7:24" ht="15" customHeight="1">
      <c r="G7869"/>
      <c r="I7869"/>
      <c r="N7869"/>
      <c r="O7869" s="24"/>
      <c r="P7869"/>
      <c r="Q7869" s="24"/>
      <c r="R7869"/>
      <c r="S7869"/>
      <c r="T7869"/>
      <c r="U7869"/>
      <c r="X7869" s="60"/>
    </row>
    <row r="7870" spans="7:24" ht="15" customHeight="1">
      <c r="G7870"/>
      <c r="I7870"/>
      <c r="N7870"/>
      <c r="O7870" s="24"/>
      <c r="P7870"/>
      <c r="Q7870" s="24"/>
      <c r="R7870"/>
      <c r="S7870"/>
      <c r="T7870"/>
      <c r="U7870"/>
      <c r="X7870" s="60"/>
    </row>
    <row r="7871" spans="7:24" ht="15" customHeight="1">
      <c r="G7871"/>
      <c r="I7871"/>
      <c r="N7871"/>
      <c r="O7871" s="24"/>
      <c r="P7871"/>
      <c r="Q7871" s="24"/>
      <c r="R7871"/>
      <c r="S7871"/>
      <c r="T7871"/>
      <c r="U7871"/>
      <c r="X7871" s="60"/>
    </row>
    <row r="7872" spans="7:24" ht="15" customHeight="1">
      <c r="G7872"/>
      <c r="I7872"/>
      <c r="N7872"/>
      <c r="O7872" s="24"/>
      <c r="P7872"/>
      <c r="Q7872" s="24"/>
      <c r="R7872"/>
      <c r="S7872"/>
      <c r="T7872"/>
      <c r="U7872"/>
      <c r="X7872" s="60"/>
    </row>
    <row r="7873" spans="7:24" ht="15" customHeight="1">
      <c r="G7873"/>
      <c r="I7873"/>
      <c r="N7873"/>
      <c r="O7873" s="24"/>
      <c r="P7873"/>
      <c r="Q7873" s="24"/>
      <c r="R7873"/>
      <c r="S7873"/>
      <c r="T7873"/>
      <c r="U7873"/>
      <c r="X7873" s="60"/>
    </row>
    <row r="7874" spans="7:24" ht="15" customHeight="1">
      <c r="G7874"/>
      <c r="I7874"/>
      <c r="N7874"/>
      <c r="O7874" s="24"/>
      <c r="P7874"/>
      <c r="Q7874" s="24"/>
      <c r="R7874"/>
      <c r="S7874"/>
      <c r="T7874"/>
      <c r="U7874"/>
      <c r="X7874" s="60"/>
    </row>
    <row r="7875" spans="7:24" ht="15" customHeight="1">
      <c r="G7875"/>
      <c r="I7875"/>
      <c r="N7875"/>
      <c r="O7875" s="24"/>
      <c r="P7875"/>
      <c r="Q7875" s="24"/>
      <c r="R7875"/>
      <c r="S7875"/>
      <c r="T7875"/>
      <c r="U7875"/>
      <c r="X7875" s="60"/>
    </row>
    <row r="7876" spans="7:24" ht="15" customHeight="1">
      <c r="G7876"/>
      <c r="I7876"/>
      <c r="N7876"/>
      <c r="O7876" s="24"/>
      <c r="P7876"/>
      <c r="Q7876" s="24"/>
      <c r="R7876"/>
      <c r="S7876"/>
      <c r="T7876"/>
      <c r="U7876"/>
      <c r="X7876" s="60"/>
    </row>
    <row r="7877" spans="7:24" ht="15" customHeight="1">
      <c r="G7877"/>
      <c r="I7877"/>
      <c r="N7877"/>
      <c r="O7877" s="24"/>
      <c r="P7877"/>
      <c r="Q7877" s="24"/>
      <c r="R7877"/>
      <c r="S7877"/>
      <c r="T7877"/>
      <c r="U7877"/>
      <c r="X7877" s="60"/>
    </row>
    <row r="7878" spans="7:24" ht="15" customHeight="1">
      <c r="G7878"/>
      <c r="I7878"/>
      <c r="N7878"/>
      <c r="O7878" s="24"/>
      <c r="P7878"/>
      <c r="Q7878" s="24"/>
      <c r="R7878"/>
      <c r="S7878"/>
      <c r="T7878"/>
      <c r="U7878"/>
      <c r="X7878" s="60"/>
    </row>
    <row r="7879" spans="7:24" ht="15" customHeight="1">
      <c r="G7879"/>
      <c r="I7879"/>
      <c r="N7879"/>
      <c r="O7879" s="24"/>
      <c r="P7879"/>
      <c r="Q7879" s="24"/>
      <c r="R7879"/>
      <c r="S7879"/>
      <c r="T7879"/>
      <c r="U7879"/>
      <c r="X7879" s="60"/>
    </row>
    <row r="7880" spans="7:24" ht="15" customHeight="1">
      <c r="G7880"/>
      <c r="I7880"/>
      <c r="N7880"/>
      <c r="O7880" s="24"/>
      <c r="P7880"/>
      <c r="Q7880" s="24"/>
      <c r="R7880"/>
      <c r="S7880"/>
      <c r="T7880"/>
      <c r="U7880"/>
      <c r="X7880" s="60"/>
    </row>
    <row r="7881" spans="7:24" ht="15" customHeight="1">
      <c r="G7881"/>
      <c r="I7881"/>
      <c r="N7881"/>
      <c r="O7881" s="24"/>
      <c r="P7881"/>
      <c r="Q7881" s="24"/>
      <c r="R7881"/>
      <c r="S7881"/>
      <c r="T7881"/>
      <c r="U7881"/>
      <c r="X7881" s="60"/>
    </row>
    <row r="7882" spans="7:24" ht="15" customHeight="1">
      <c r="G7882"/>
      <c r="I7882"/>
      <c r="N7882"/>
      <c r="O7882" s="24"/>
      <c r="P7882"/>
      <c r="Q7882" s="24"/>
      <c r="R7882"/>
      <c r="S7882"/>
      <c r="T7882"/>
      <c r="U7882"/>
      <c r="X7882" s="60"/>
    </row>
    <row r="7883" spans="7:24" ht="15" customHeight="1">
      <c r="G7883"/>
      <c r="I7883"/>
      <c r="N7883"/>
      <c r="O7883" s="24"/>
      <c r="P7883"/>
      <c r="Q7883" s="24"/>
      <c r="R7883"/>
      <c r="S7883"/>
      <c r="T7883"/>
      <c r="U7883"/>
      <c r="X7883" s="60"/>
    </row>
    <row r="7884" spans="7:24" ht="15" customHeight="1">
      <c r="G7884"/>
      <c r="I7884"/>
      <c r="N7884"/>
      <c r="O7884" s="24"/>
      <c r="P7884"/>
      <c r="Q7884" s="24"/>
      <c r="R7884"/>
      <c r="S7884"/>
      <c r="T7884"/>
      <c r="U7884"/>
      <c r="X7884" s="60"/>
    </row>
    <row r="7885" spans="7:24" ht="15" customHeight="1">
      <c r="G7885"/>
      <c r="I7885"/>
      <c r="N7885"/>
      <c r="O7885" s="24"/>
      <c r="P7885"/>
      <c r="Q7885" s="24"/>
      <c r="R7885"/>
      <c r="S7885"/>
      <c r="T7885"/>
      <c r="U7885"/>
      <c r="X7885" s="60"/>
    </row>
    <row r="7886" spans="7:24" ht="15" customHeight="1">
      <c r="G7886"/>
      <c r="I7886"/>
      <c r="N7886"/>
      <c r="O7886" s="24"/>
      <c r="P7886"/>
      <c r="Q7886" s="24"/>
      <c r="R7886"/>
      <c r="S7886"/>
      <c r="T7886"/>
      <c r="U7886"/>
      <c r="X7886" s="60"/>
    </row>
    <row r="7887" spans="7:24" ht="15" customHeight="1">
      <c r="G7887"/>
      <c r="I7887"/>
      <c r="N7887"/>
      <c r="O7887" s="24"/>
      <c r="P7887"/>
      <c r="Q7887" s="24"/>
      <c r="R7887"/>
      <c r="S7887"/>
      <c r="T7887"/>
      <c r="U7887"/>
      <c r="X7887" s="60"/>
    </row>
    <row r="7888" spans="7:24" ht="15" customHeight="1">
      <c r="G7888"/>
      <c r="I7888"/>
      <c r="N7888"/>
      <c r="O7888" s="24"/>
      <c r="P7888"/>
      <c r="Q7888" s="24"/>
      <c r="R7888"/>
      <c r="S7888"/>
      <c r="T7888"/>
      <c r="U7888"/>
      <c r="X7888" s="60"/>
    </row>
    <row r="7889" spans="7:24" ht="15" customHeight="1">
      <c r="G7889"/>
      <c r="I7889"/>
      <c r="N7889"/>
      <c r="O7889" s="24"/>
      <c r="P7889"/>
      <c r="Q7889" s="24"/>
      <c r="R7889"/>
      <c r="S7889"/>
      <c r="T7889"/>
      <c r="U7889"/>
      <c r="X7889" s="60"/>
    </row>
    <row r="7890" spans="7:24" ht="15" customHeight="1">
      <c r="G7890"/>
      <c r="I7890"/>
      <c r="N7890"/>
      <c r="O7890" s="24"/>
      <c r="P7890"/>
      <c r="Q7890" s="24"/>
      <c r="R7890"/>
      <c r="S7890"/>
      <c r="T7890"/>
      <c r="U7890"/>
      <c r="X7890" s="60"/>
    </row>
    <row r="7891" spans="7:24" ht="15" customHeight="1">
      <c r="G7891"/>
      <c r="I7891"/>
      <c r="N7891"/>
      <c r="O7891" s="24"/>
      <c r="P7891"/>
      <c r="Q7891" s="24"/>
      <c r="R7891"/>
      <c r="S7891"/>
      <c r="T7891"/>
      <c r="U7891"/>
      <c r="X7891" s="60"/>
    </row>
    <row r="7892" spans="7:24" ht="15" customHeight="1">
      <c r="G7892"/>
      <c r="I7892"/>
      <c r="N7892"/>
      <c r="O7892" s="24"/>
      <c r="P7892"/>
      <c r="Q7892" s="24"/>
      <c r="R7892"/>
      <c r="S7892"/>
      <c r="T7892"/>
      <c r="U7892"/>
      <c r="X7892" s="60"/>
    </row>
    <row r="7893" spans="7:24" ht="15" customHeight="1">
      <c r="G7893"/>
      <c r="I7893"/>
      <c r="N7893"/>
      <c r="O7893" s="24"/>
      <c r="P7893"/>
      <c r="Q7893" s="24"/>
      <c r="R7893"/>
      <c r="S7893"/>
      <c r="T7893"/>
      <c r="U7893"/>
      <c r="X7893" s="60"/>
    </row>
    <row r="7894" spans="7:24" ht="15" customHeight="1">
      <c r="G7894"/>
      <c r="I7894"/>
      <c r="N7894"/>
      <c r="O7894" s="24"/>
      <c r="P7894"/>
      <c r="Q7894" s="24"/>
      <c r="R7894"/>
      <c r="S7894"/>
      <c r="T7894"/>
      <c r="U7894"/>
      <c r="X7894" s="60"/>
    </row>
    <row r="7895" spans="7:24" ht="15" customHeight="1">
      <c r="G7895"/>
      <c r="I7895"/>
      <c r="N7895"/>
      <c r="O7895" s="24"/>
      <c r="P7895"/>
      <c r="Q7895" s="24"/>
      <c r="R7895"/>
      <c r="S7895"/>
      <c r="T7895"/>
      <c r="U7895"/>
      <c r="X7895" s="60"/>
    </row>
    <row r="7896" spans="7:24" ht="15" customHeight="1">
      <c r="G7896"/>
      <c r="I7896"/>
      <c r="N7896"/>
      <c r="O7896" s="24"/>
      <c r="P7896"/>
      <c r="Q7896" s="24"/>
      <c r="R7896"/>
      <c r="S7896"/>
      <c r="T7896"/>
      <c r="U7896"/>
      <c r="X7896" s="60"/>
    </row>
    <row r="7897" spans="7:24" ht="15" customHeight="1">
      <c r="G7897"/>
      <c r="I7897"/>
      <c r="N7897"/>
      <c r="O7897" s="24"/>
      <c r="P7897"/>
      <c r="Q7897" s="24"/>
      <c r="R7897"/>
      <c r="S7897"/>
      <c r="T7897"/>
      <c r="U7897"/>
      <c r="X7897" s="60"/>
    </row>
    <row r="7898" spans="7:24" ht="15" customHeight="1">
      <c r="G7898"/>
      <c r="I7898"/>
      <c r="N7898"/>
      <c r="O7898" s="24"/>
      <c r="P7898"/>
      <c r="Q7898" s="24"/>
      <c r="R7898"/>
      <c r="S7898"/>
      <c r="T7898"/>
      <c r="U7898"/>
      <c r="X7898" s="60"/>
    </row>
    <row r="7899" spans="7:24" ht="15" customHeight="1">
      <c r="G7899"/>
      <c r="I7899"/>
      <c r="N7899"/>
      <c r="O7899" s="24"/>
      <c r="P7899"/>
      <c r="Q7899" s="24"/>
      <c r="R7899"/>
      <c r="S7899"/>
      <c r="T7899"/>
      <c r="U7899"/>
      <c r="X7899" s="60"/>
    </row>
    <row r="7900" spans="7:24" ht="15" customHeight="1">
      <c r="G7900"/>
      <c r="I7900"/>
      <c r="N7900"/>
      <c r="O7900" s="24"/>
      <c r="P7900"/>
      <c r="Q7900" s="24"/>
      <c r="R7900"/>
      <c r="S7900"/>
      <c r="T7900"/>
      <c r="U7900"/>
      <c r="X7900" s="60"/>
    </row>
    <row r="7901" spans="7:24" ht="15" customHeight="1">
      <c r="G7901"/>
      <c r="I7901"/>
      <c r="N7901"/>
      <c r="O7901" s="24"/>
      <c r="P7901"/>
      <c r="Q7901" s="24"/>
      <c r="R7901"/>
      <c r="S7901"/>
      <c r="T7901"/>
      <c r="U7901"/>
      <c r="X7901" s="60"/>
    </row>
    <row r="7902" spans="7:24" ht="15" customHeight="1">
      <c r="G7902"/>
      <c r="I7902"/>
      <c r="N7902"/>
      <c r="O7902" s="24"/>
      <c r="P7902"/>
      <c r="Q7902" s="24"/>
      <c r="R7902"/>
      <c r="S7902"/>
      <c r="T7902"/>
      <c r="U7902"/>
      <c r="X7902" s="60"/>
    </row>
    <row r="7903" spans="7:24" ht="15" customHeight="1">
      <c r="G7903"/>
      <c r="I7903"/>
      <c r="N7903"/>
      <c r="O7903" s="24"/>
      <c r="P7903"/>
      <c r="Q7903" s="24"/>
      <c r="R7903"/>
      <c r="S7903"/>
      <c r="T7903"/>
      <c r="U7903"/>
      <c r="X7903" s="60"/>
    </row>
    <row r="7904" spans="7:24" ht="15" customHeight="1">
      <c r="G7904"/>
      <c r="I7904"/>
      <c r="N7904"/>
      <c r="O7904" s="24"/>
      <c r="P7904"/>
      <c r="Q7904" s="24"/>
      <c r="R7904"/>
      <c r="S7904"/>
      <c r="T7904"/>
      <c r="U7904"/>
      <c r="X7904" s="60"/>
    </row>
    <row r="7905" spans="7:24" ht="15" customHeight="1">
      <c r="G7905"/>
      <c r="I7905"/>
      <c r="N7905"/>
      <c r="O7905" s="24"/>
      <c r="P7905"/>
      <c r="Q7905" s="24"/>
      <c r="R7905"/>
      <c r="S7905"/>
      <c r="T7905"/>
      <c r="U7905"/>
      <c r="X7905" s="60"/>
    </row>
    <row r="7906" spans="7:24" ht="15" customHeight="1">
      <c r="G7906"/>
      <c r="I7906"/>
      <c r="N7906"/>
      <c r="O7906" s="24"/>
      <c r="P7906"/>
      <c r="Q7906" s="24"/>
      <c r="R7906"/>
      <c r="S7906"/>
      <c r="T7906"/>
      <c r="U7906"/>
      <c r="X7906" s="60"/>
    </row>
    <row r="7907" spans="7:24" ht="15" customHeight="1">
      <c r="G7907"/>
      <c r="I7907"/>
      <c r="N7907"/>
      <c r="O7907" s="24"/>
      <c r="P7907"/>
      <c r="Q7907" s="24"/>
      <c r="R7907"/>
      <c r="S7907"/>
      <c r="T7907"/>
      <c r="U7907"/>
      <c r="X7907" s="60"/>
    </row>
    <row r="7908" spans="7:24" ht="15" customHeight="1">
      <c r="G7908"/>
      <c r="I7908"/>
      <c r="N7908"/>
      <c r="O7908" s="24"/>
      <c r="P7908"/>
      <c r="Q7908" s="24"/>
      <c r="R7908"/>
      <c r="S7908"/>
      <c r="T7908"/>
      <c r="U7908"/>
      <c r="X7908" s="60"/>
    </row>
    <row r="7909" spans="7:24" ht="15" customHeight="1">
      <c r="G7909"/>
      <c r="I7909"/>
      <c r="N7909"/>
      <c r="O7909" s="24"/>
      <c r="P7909"/>
      <c r="Q7909" s="24"/>
      <c r="R7909"/>
      <c r="S7909"/>
      <c r="T7909"/>
      <c r="U7909"/>
      <c r="X7909" s="60"/>
    </row>
    <row r="7910" spans="7:24" ht="15" customHeight="1">
      <c r="G7910"/>
      <c r="I7910"/>
      <c r="N7910"/>
      <c r="O7910" s="24"/>
      <c r="P7910"/>
      <c r="Q7910" s="24"/>
      <c r="R7910"/>
      <c r="S7910"/>
      <c r="T7910"/>
      <c r="U7910"/>
      <c r="X7910" s="60"/>
    </row>
    <row r="7911" spans="7:24" ht="15" customHeight="1">
      <c r="G7911"/>
      <c r="I7911"/>
      <c r="N7911"/>
      <c r="O7911" s="24"/>
      <c r="P7911"/>
      <c r="Q7911" s="24"/>
      <c r="R7911"/>
      <c r="S7911"/>
      <c r="T7911"/>
      <c r="U7911"/>
      <c r="X7911" s="60"/>
    </row>
    <row r="7912" spans="7:24" ht="15" customHeight="1">
      <c r="G7912"/>
      <c r="I7912"/>
      <c r="N7912"/>
      <c r="O7912" s="24"/>
      <c r="P7912"/>
      <c r="Q7912" s="24"/>
      <c r="R7912"/>
      <c r="S7912"/>
      <c r="T7912"/>
      <c r="U7912"/>
      <c r="X7912" s="60"/>
    </row>
    <row r="7913" spans="7:24" ht="15" customHeight="1">
      <c r="G7913"/>
      <c r="I7913"/>
      <c r="N7913"/>
      <c r="O7913" s="24"/>
      <c r="P7913"/>
      <c r="Q7913" s="24"/>
      <c r="R7913"/>
      <c r="S7913"/>
      <c r="T7913"/>
      <c r="U7913"/>
      <c r="X7913" s="60"/>
    </row>
    <row r="7914" spans="7:24" ht="15" customHeight="1">
      <c r="G7914"/>
      <c r="I7914"/>
      <c r="N7914"/>
      <c r="O7914" s="24"/>
      <c r="P7914"/>
      <c r="Q7914" s="24"/>
      <c r="R7914"/>
      <c r="S7914"/>
      <c r="T7914"/>
      <c r="U7914"/>
      <c r="X7914" s="60"/>
    </row>
    <row r="7915" spans="7:24" ht="15" customHeight="1">
      <c r="G7915"/>
      <c r="I7915"/>
      <c r="N7915"/>
      <c r="O7915" s="24"/>
      <c r="P7915"/>
      <c r="Q7915" s="24"/>
      <c r="R7915"/>
      <c r="S7915"/>
      <c r="T7915"/>
      <c r="U7915"/>
      <c r="X7915" s="60"/>
    </row>
    <row r="7916" spans="7:24" ht="15" customHeight="1">
      <c r="G7916"/>
      <c r="I7916"/>
      <c r="N7916"/>
      <c r="O7916" s="24"/>
      <c r="P7916"/>
      <c r="Q7916" s="24"/>
      <c r="R7916"/>
      <c r="S7916"/>
      <c r="T7916"/>
      <c r="U7916"/>
      <c r="X7916" s="60"/>
    </row>
    <row r="7917" spans="7:24" ht="15" customHeight="1">
      <c r="G7917"/>
      <c r="I7917"/>
      <c r="N7917"/>
      <c r="O7917" s="24"/>
      <c r="P7917"/>
      <c r="Q7917" s="24"/>
      <c r="R7917"/>
      <c r="S7917"/>
      <c r="T7917"/>
      <c r="U7917"/>
      <c r="X7917" s="60"/>
    </row>
    <row r="7918" spans="7:24" ht="15" customHeight="1">
      <c r="G7918"/>
      <c r="I7918"/>
      <c r="N7918"/>
      <c r="O7918" s="24"/>
      <c r="P7918"/>
      <c r="Q7918" s="24"/>
      <c r="R7918"/>
      <c r="S7918"/>
      <c r="T7918"/>
      <c r="U7918"/>
      <c r="X7918" s="60"/>
    </row>
    <row r="7919" spans="7:24" ht="15" customHeight="1">
      <c r="G7919"/>
      <c r="I7919"/>
      <c r="N7919"/>
      <c r="O7919" s="24"/>
      <c r="P7919"/>
      <c r="Q7919" s="24"/>
      <c r="R7919"/>
      <c r="S7919"/>
      <c r="T7919"/>
      <c r="U7919"/>
      <c r="X7919" s="60"/>
    </row>
    <row r="7920" spans="7:24" ht="15" customHeight="1">
      <c r="G7920"/>
      <c r="I7920"/>
      <c r="N7920"/>
      <c r="O7920" s="24"/>
      <c r="P7920"/>
      <c r="Q7920" s="24"/>
      <c r="R7920"/>
      <c r="S7920"/>
      <c r="T7920"/>
      <c r="U7920"/>
      <c r="X7920" s="60"/>
    </row>
    <row r="7921" spans="7:24" ht="15" customHeight="1">
      <c r="G7921"/>
      <c r="I7921"/>
      <c r="N7921"/>
      <c r="O7921" s="24"/>
      <c r="P7921"/>
      <c r="Q7921" s="24"/>
      <c r="R7921"/>
      <c r="S7921"/>
      <c r="T7921"/>
      <c r="U7921"/>
      <c r="X7921" s="60"/>
    </row>
    <row r="7922" spans="7:24" ht="15" customHeight="1">
      <c r="G7922"/>
      <c r="I7922"/>
      <c r="N7922"/>
      <c r="O7922" s="24"/>
      <c r="P7922"/>
      <c r="Q7922" s="24"/>
      <c r="R7922"/>
      <c r="S7922"/>
      <c r="T7922"/>
      <c r="U7922"/>
      <c r="X7922" s="60"/>
    </row>
    <row r="7923" spans="7:24" ht="15" customHeight="1">
      <c r="G7923"/>
      <c r="I7923"/>
      <c r="N7923"/>
      <c r="O7923" s="24"/>
      <c r="P7923"/>
      <c r="Q7923" s="24"/>
      <c r="R7923"/>
      <c r="S7923"/>
      <c r="T7923"/>
      <c r="U7923"/>
      <c r="X7923" s="60"/>
    </row>
    <row r="7924" spans="7:24" ht="15" customHeight="1">
      <c r="G7924"/>
      <c r="I7924"/>
      <c r="N7924"/>
      <c r="O7924" s="24"/>
      <c r="P7924"/>
      <c r="Q7924" s="24"/>
      <c r="R7924"/>
      <c r="S7924"/>
      <c r="T7924"/>
      <c r="U7924"/>
      <c r="X7924" s="60"/>
    </row>
    <row r="7925" spans="7:24" ht="15" customHeight="1">
      <c r="G7925"/>
      <c r="I7925"/>
      <c r="N7925"/>
      <c r="O7925" s="24"/>
      <c r="P7925"/>
      <c r="Q7925" s="24"/>
      <c r="R7925"/>
      <c r="S7925"/>
      <c r="T7925"/>
      <c r="U7925"/>
      <c r="X7925" s="60"/>
    </row>
    <row r="7926" spans="7:24" ht="15" customHeight="1">
      <c r="G7926"/>
      <c r="I7926"/>
      <c r="N7926"/>
      <c r="O7926" s="24"/>
      <c r="P7926"/>
      <c r="Q7926" s="24"/>
      <c r="R7926"/>
      <c r="S7926"/>
      <c r="T7926"/>
      <c r="U7926"/>
      <c r="X7926" s="60"/>
    </row>
    <row r="7927" spans="7:24" ht="15" customHeight="1">
      <c r="G7927"/>
      <c r="I7927"/>
      <c r="N7927"/>
      <c r="O7927" s="24"/>
      <c r="P7927"/>
      <c r="Q7927" s="24"/>
      <c r="R7927"/>
      <c r="S7927"/>
      <c r="T7927"/>
      <c r="U7927"/>
      <c r="X7927" s="60"/>
    </row>
    <row r="7928" spans="7:24" ht="15" customHeight="1">
      <c r="G7928"/>
      <c r="I7928"/>
      <c r="N7928"/>
      <c r="O7928" s="24"/>
      <c r="P7928"/>
      <c r="Q7928" s="24"/>
      <c r="R7928"/>
      <c r="S7928"/>
      <c r="T7928"/>
      <c r="U7928"/>
      <c r="X7928" s="60"/>
    </row>
    <row r="7929" spans="7:24" ht="15" customHeight="1">
      <c r="G7929"/>
      <c r="I7929"/>
      <c r="N7929"/>
      <c r="O7929" s="24"/>
      <c r="P7929"/>
      <c r="Q7929" s="24"/>
      <c r="R7929"/>
      <c r="S7929"/>
      <c r="T7929"/>
      <c r="U7929"/>
      <c r="X7929" s="60"/>
    </row>
    <row r="7930" spans="7:24" ht="15" customHeight="1">
      <c r="G7930"/>
      <c r="I7930"/>
      <c r="N7930"/>
      <c r="O7930" s="24"/>
      <c r="P7930"/>
      <c r="Q7930" s="24"/>
      <c r="R7930"/>
      <c r="S7930"/>
      <c r="T7930"/>
      <c r="U7930"/>
      <c r="X7930" s="60"/>
    </row>
    <row r="7931" spans="7:24" ht="15" customHeight="1">
      <c r="G7931"/>
      <c r="I7931"/>
      <c r="N7931"/>
      <c r="O7931" s="24"/>
      <c r="P7931"/>
      <c r="Q7931" s="24"/>
      <c r="R7931"/>
      <c r="S7931"/>
      <c r="T7931"/>
      <c r="U7931"/>
      <c r="X7931" s="60"/>
    </row>
    <row r="7932" spans="7:24" ht="15" customHeight="1">
      <c r="G7932"/>
      <c r="I7932"/>
      <c r="N7932"/>
      <c r="O7932" s="24"/>
      <c r="P7932"/>
      <c r="Q7932" s="24"/>
      <c r="R7932"/>
      <c r="S7932"/>
      <c r="T7932"/>
      <c r="U7932"/>
      <c r="X7932" s="60"/>
    </row>
    <row r="7933" spans="7:24" ht="15" customHeight="1">
      <c r="G7933"/>
      <c r="I7933"/>
      <c r="N7933"/>
      <c r="O7933" s="24"/>
      <c r="P7933"/>
      <c r="Q7933" s="24"/>
      <c r="R7933"/>
      <c r="S7933"/>
      <c r="T7933"/>
      <c r="U7933"/>
      <c r="X7933" s="60"/>
    </row>
    <row r="7934" spans="7:24" ht="15" customHeight="1">
      <c r="G7934"/>
      <c r="I7934"/>
      <c r="N7934"/>
      <c r="O7934" s="24"/>
      <c r="P7934"/>
      <c r="Q7934" s="24"/>
      <c r="R7934"/>
      <c r="S7934"/>
      <c r="T7934"/>
      <c r="U7934"/>
      <c r="X7934" s="60"/>
    </row>
    <row r="7935" spans="7:24" ht="15" customHeight="1">
      <c r="G7935"/>
      <c r="I7935"/>
      <c r="N7935"/>
      <c r="O7935" s="24"/>
      <c r="P7935"/>
      <c r="Q7935" s="24"/>
      <c r="R7935"/>
      <c r="S7935"/>
      <c r="T7935"/>
      <c r="U7935"/>
      <c r="X7935" s="60"/>
    </row>
    <row r="7936" spans="7:24" ht="15" customHeight="1">
      <c r="G7936"/>
      <c r="I7936"/>
      <c r="N7936"/>
      <c r="O7936" s="24"/>
      <c r="P7936"/>
      <c r="Q7936" s="24"/>
      <c r="R7936"/>
      <c r="S7936"/>
      <c r="T7936"/>
      <c r="U7936"/>
      <c r="X7936" s="60"/>
    </row>
    <row r="7937" spans="7:24" ht="15" customHeight="1">
      <c r="G7937"/>
      <c r="I7937"/>
      <c r="N7937"/>
      <c r="O7937" s="24"/>
      <c r="P7937"/>
      <c r="Q7937" s="24"/>
      <c r="R7937"/>
      <c r="S7937"/>
      <c r="T7937"/>
      <c r="U7937"/>
      <c r="X7937" s="60"/>
    </row>
    <row r="7938" spans="7:24" ht="15" customHeight="1">
      <c r="G7938"/>
      <c r="I7938"/>
      <c r="N7938"/>
      <c r="O7938" s="24"/>
      <c r="P7938"/>
      <c r="Q7938" s="24"/>
      <c r="R7938"/>
      <c r="S7938"/>
      <c r="T7938"/>
      <c r="U7938"/>
      <c r="X7938" s="60"/>
    </row>
    <row r="7939" spans="7:24" ht="15" customHeight="1">
      <c r="G7939"/>
      <c r="I7939"/>
      <c r="N7939"/>
      <c r="O7939" s="24"/>
      <c r="P7939"/>
      <c r="Q7939" s="24"/>
      <c r="R7939"/>
      <c r="S7939"/>
      <c r="T7939"/>
      <c r="U7939"/>
      <c r="X7939" s="60"/>
    </row>
    <row r="7940" spans="7:24" ht="15" customHeight="1">
      <c r="G7940"/>
      <c r="I7940"/>
      <c r="N7940"/>
      <c r="O7940" s="24"/>
      <c r="P7940"/>
      <c r="Q7940" s="24"/>
      <c r="R7940"/>
      <c r="S7940"/>
      <c r="T7940"/>
      <c r="U7940"/>
      <c r="X7940" s="60"/>
    </row>
    <row r="7941" spans="7:24" ht="15" customHeight="1">
      <c r="G7941"/>
      <c r="I7941"/>
      <c r="N7941"/>
      <c r="O7941" s="24"/>
      <c r="P7941"/>
      <c r="Q7941" s="24"/>
      <c r="R7941"/>
      <c r="S7941"/>
      <c r="T7941"/>
      <c r="U7941"/>
      <c r="X7941" s="60"/>
    </row>
    <row r="7942" spans="7:24" ht="15" customHeight="1">
      <c r="G7942"/>
      <c r="I7942"/>
      <c r="N7942"/>
      <c r="O7942" s="24"/>
      <c r="P7942"/>
      <c r="Q7942" s="24"/>
      <c r="R7942"/>
      <c r="S7942"/>
      <c r="T7942"/>
      <c r="U7942"/>
      <c r="X7942" s="60"/>
    </row>
    <row r="7943" spans="7:24" ht="15" customHeight="1">
      <c r="G7943"/>
      <c r="I7943"/>
      <c r="N7943"/>
      <c r="O7943" s="24"/>
      <c r="P7943"/>
      <c r="Q7943" s="24"/>
      <c r="R7943"/>
      <c r="S7943"/>
      <c r="T7943"/>
      <c r="U7943"/>
      <c r="X7943" s="60"/>
    </row>
    <row r="7944" spans="7:24" ht="15" customHeight="1">
      <c r="G7944"/>
      <c r="I7944"/>
      <c r="N7944"/>
      <c r="O7944" s="24"/>
      <c r="P7944"/>
      <c r="Q7944" s="24"/>
      <c r="R7944"/>
      <c r="S7944"/>
      <c r="T7944"/>
      <c r="U7944"/>
      <c r="X7944" s="60"/>
    </row>
    <row r="7945" spans="7:24" ht="15" customHeight="1">
      <c r="G7945"/>
      <c r="I7945"/>
      <c r="N7945"/>
      <c r="O7945" s="24"/>
      <c r="P7945"/>
      <c r="Q7945" s="24"/>
      <c r="R7945"/>
      <c r="S7945"/>
      <c r="T7945"/>
      <c r="U7945"/>
      <c r="X7945" s="60"/>
    </row>
    <row r="7946" spans="7:24" ht="15" customHeight="1">
      <c r="G7946"/>
      <c r="I7946"/>
      <c r="N7946"/>
      <c r="O7946" s="24"/>
      <c r="P7946"/>
      <c r="Q7946" s="24"/>
      <c r="R7946"/>
      <c r="S7946"/>
      <c r="T7946"/>
      <c r="U7946"/>
      <c r="X7946" s="60"/>
    </row>
    <row r="7947" spans="7:24" ht="15" customHeight="1">
      <c r="G7947"/>
      <c r="I7947"/>
      <c r="N7947"/>
      <c r="O7947" s="24"/>
      <c r="P7947"/>
      <c r="Q7947" s="24"/>
      <c r="R7947"/>
      <c r="S7947"/>
      <c r="T7947"/>
      <c r="U7947"/>
      <c r="X7947" s="60"/>
    </row>
    <row r="7948" spans="7:24" ht="15" customHeight="1">
      <c r="G7948"/>
      <c r="I7948"/>
      <c r="N7948"/>
      <c r="O7948" s="24"/>
      <c r="P7948"/>
      <c r="Q7948" s="24"/>
      <c r="R7948"/>
      <c r="S7948"/>
      <c r="T7948"/>
      <c r="U7948"/>
      <c r="X7948" s="60"/>
    </row>
    <row r="7949" spans="7:24" ht="15" customHeight="1">
      <c r="G7949"/>
      <c r="I7949"/>
      <c r="N7949"/>
      <c r="O7949" s="24"/>
      <c r="P7949"/>
      <c r="Q7949" s="24"/>
      <c r="R7949"/>
      <c r="S7949"/>
      <c r="T7949"/>
      <c r="U7949"/>
      <c r="X7949" s="60"/>
    </row>
    <row r="7950" spans="7:24" ht="15" customHeight="1">
      <c r="G7950"/>
      <c r="I7950"/>
      <c r="N7950"/>
      <c r="O7950" s="24"/>
      <c r="P7950"/>
      <c r="Q7950" s="24"/>
      <c r="R7950"/>
      <c r="S7950"/>
      <c r="T7950"/>
      <c r="U7950"/>
      <c r="X7950" s="60"/>
    </row>
    <row r="7951" spans="7:24" ht="15" customHeight="1">
      <c r="G7951"/>
      <c r="I7951"/>
      <c r="N7951"/>
      <c r="O7951" s="24"/>
      <c r="P7951"/>
      <c r="Q7951" s="24"/>
      <c r="R7951"/>
      <c r="S7951"/>
      <c r="T7951"/>
      <c r="U7951"/>
      <c r="X7951" s="60"/>
    </row>
    <row r="7952" spans="7:24" ht="15" customHeight="1">
      <c r="G7952"/>
      <c r="I7952"/>
      <c r="N7952"/>
      <c r="O7952" s="24"/>
      <c r="P7952"/>
      <c r="Q7952" s="24"/>
      <c r="R7952"/>
      <c r="S7952"/>
      <c r="T7952"/>
      <c r="U7952"/>
      <c r="X7952" s="60"/>
    </row>
    <row r="7953" spans="7:24" ht="15" customHeight="1">
      <c r="G7953"/>
      <c r="I7953"/>
      <c r="N7953"/>
      <c r="O7953" s="24"/>
      <c r="P7953"/>
      <c r="Q7953" s="24"/>
      <c r="R7953"/>
      <c r="S7953"/>
      <c r="T7953"/>
      <c r="U7953"/>
      <c r="X7953" s="60"/>
    </row>
    <row r="7954" spans="7:24" ht="15" customHeight="1">
      <c r="G7954"/>
      <c r="I7954"/>
      <c r="N7954"/>
      <c r="O7954" s="24"/>
      <c r="P7954"/>
      <c r="Q7954" s="24"/>
      <c r="R7954"/>
      <c r="S7954"/>
      <c r="T7954"/>
      <c r="U7954"/>
      <c r="X7954" s="60"/>
    </row>
    <row r="7955" spans="7:24" ht="15" customHeight="1">
      <c r="G7955"/>
      <c r="I7955"/>
      <c r="N7955"/>
      <c r="O7955" s="24"/>
      <c r="P7955"/>
      <c r="Q7955" s="24"/>
      <c r="R7955"/>
      <c r="S7955"/>
      <c r="T7955"/>
      <c r="U7955"/>
      <c r="X7955" s="60"/>
    </row>
    <row r="7956" spans="7:24" ht="15" customHeight="1">
      <c r="G7956"/>
      <c r="I7956"/>
      <c r="N7956"/>
      <c r="O7956" s="24"/>
      <c r="P7956"/>
      <c r="Q7956" s="24"/>
      <c r="R7956"/>
      <c r="S7956"/>
      <c r="T7956"/>
      <c r="U7956"/>
      <c r="X7956" s="60"/>
    </row>
    <row r="7957" spans="7:24" ht="15" customHeight="1">
      <c r="G7957"/>
      <c r="I7957"/>
      <c r="N7957"/>
      <c r="O7957" s="24"/>
      <c r="P7957"/>
      <c r="Q7957" s="24"/>
      <c r="R7957"/>
      <c r="S7957"/>
      <c r="T7957"/>
      <c r="U7957"/>
      <c r="X7957" s="60"/>
    </row>
    <row r="7958" spans="7:24" ht="15" customHeight="1">
      <c r="G7958"/>
      <c r="I7958"/>
      <c r="N7958"/>
      <c r="O7958" s="24"/>
      <c r="P7958"/>
      <c r="Q7958" s="24"/>
      <c r="R7958"/>
      <c r="S7958"/>
      <c r="T7958"/>
      <c r="U7958"/>
      <c r="X7958" s="60"/>
    </row>
    <row r="7959" spans="7:24" ht="15" customHeight="1">
      <c r="G7959"/>
      <c r="I7959"/>
      <c r="N7959"/>
      <c r="O7959" s="24"/>
      <c r="P7959"/>
      <c r="Q7959" s="24"/>
      <c r="R7959"/>
      <c r="S7959"/>
      <c r="T7959"/>
      <c r="U7959"/>
      <c r="X7959" s="60"/>
    </row>
    <row r="7960" spans="7:24" ht="15" customHeight="1">
      <c r="G7960"/>
      <c r="I7960"/>
      <c r="N7960"/>
      <c r="O7960" s="24"/>
      <c r="P7960"/>
      <c r="Q7960" s="24"/>
      <c r="R7960"/>
      <c r="S7960"/>
      <c r="T7960"/>
      <c r="U7960"/>
      <c r="X7960" s="60"/>
    </row>
    <row r="7961" spans="7:24" ht="15" customHeight="1">
      <c r="G7961"/>
      <c r="I7961"/>
      <c r="N7961"/>
      <c r="O7961" s="24"/>
      <c r="P7961"/>
      <c r="Q7961" s="24"/>
      <c r="R7961"/>
      <c r="S7961"/>
      <c r="T7961"/>
      <c r="U7961"/>
      <c r="X7961" s="60"/>
    </row>
    <row r="7962" spans="7:24" ht="15" customHeight="1">
      <c r="G7962"/>
      <c r="I7962"/>
      <c r="N7962"/>
      <c r="O7962" s="24"/>
      <c r="P7962"/>
      <c r="Q7962" s="24"/>
      <c r="R7962"/>
      <c r="S7962"/>
      <c r="T7962"/>
      <c r="U7962"/>
      <c r="X7962" s="60"/>
    </row>
    <row r="7963" spans="7:24" ht="15" customHeight="1">
      <c r="G7963"/>
      <c r="I7963"/>
      <c r="N7963"/>
      <c r="O7963" s="24"/>
      <c r="P7963"/>
      <c r="Q7963" s="24"/>
      <c r="R7963"/>
      <c r="S7963"/>
      <c r="T7963"/>
      <c r="U7963"/>
      <c r="X7963" s="60"/>
    </row>
    <row r="7964" spans="7:24" ht="15" customHeight="1">
      <c r="G7964"/>
      <c r="I7964"/>
      <c r="N7964"/>
      <c r="O7964" s="24"/>
      <c r="P7964"/>
      <c r="Q7964" s="24"/>
      <c r="R7964"/>
      <c r="S7964"/>
      <c r="T7964"/>
      <c r="U7964"/>
      <c r="X7964" s="60"/>
    </row>
    <row r="7965" spans="7:24" ht="15" customHeight="1">
      <c r="G7965"/>
      <c r="I7965"/>
      <c r="N7965"/>
      <c r="O7965" s="24"/>
      <c r="P7965"/>
      <c r="Q7965" s="24"/>
      <c r="R7965"/>
      <c r="S7965"/>
      <c r="T7965"/>
      <c r="U7965"/>
      <c r="X7965" s="60"/>
    </row>
    <row r="7966" spans="7:24" ht="15" customHeight="1">
      <c r="G7966"/>
      <c r="I7966"/>
      <c r="N7966"/>
      <c r="O7966" s="24"/>
      <c r="P7966"/>
      <c r="Q7966" s="24"/>
      <c r="R7966"/>
      <c r="S7966"/>
      <c r="T7966"/>
      <c r="U7966"/>
      <c r="X7966" s="60"/>
    </row>
    <row r="7967" spans="7:24" ht="15" customHeight="1">
      <c r="G7967"/>
      <c r="I7967"/>
      <c r="N7967"/>
      <c r="O7967" s="24"/>
      <c r="P7967"/>
      <c r="Q7967" s="24"/>
      <c r="R7967"/>
      <c r="S7967"/>
      <c r="T7967"/>
      <c r="U7967"/>
      <c r="X7967" s="60"/>
    </row>
    <row r="7968" spans="7:24" ht="15" customHeight="1">
      <c r="G7968"/>
      <c r="I7968"/>
      <c r="N7968"/>
      <c r="O7968" s="24"/>
      <c r="P7968"/>
      <c r="Q7968" s="24"/>
      <c r="R7968"/>
      <c r="S7968"/>
      <c r="T7968"/>
      <c r="U7968"/>
      <c r="X7968" s="60"/>
    </row>
    <row r="7969" spans="7:24" ht="15" customHeight="1">
      <c r="G7969"/>
      <c r="I7969"/>
      <c r="N7969"/>
      <c r="O7969" s="24"/>
      <c r="P7969"/>
      <c r="Q7969" s="24"/>
      <c r="R7969"/>
      <c r="S7969"/>
      <c r="T7969"/>
      <c r="U7969"/>
      <c r="X7969" s="60"/>
    </row>
    <row r="7970" spans="7:24" ht="15" customHeight="1">
      <c r="G7970"/>
      <c r="I7970"/>
      <c r="N7970"/>
      <c r="O7970" s="24"/>
      <c r="P7970"/>
      <c r="Q7970" s="24"/>
      <c r="R7970"/>
      <c r="S7970"/>
      <c r="T7970"/>
      <c r="U7970"/>
      <c r="X7970" s="60"/>
    </row>
    <row r="7971" spans="7:24" ht="15" customHeight="1">
      <c r="G7971"/>
      <c r="I7971"/>
      <c r="N7971"/>
      <c r="O7971" s="24"/>
      <c r="P7971"/>
      <c r="Q7971" s="24"/>
      <c r="R7971"/>
      <c r="S7971"/>
      <c r="T7971"/>
      <c r="U7971"/>
      <c r="X7971" s="60"/>
    </row>
    <row r="7972" spans="7:24" ht="15" customHeight="1">
      <c r="G7972"/>
      <c r="I7972"/>
      <c r="N7972"/>
      <c r="O7972" s="24"/>
      <c r="P7972"/>
      <c r="Q7972" s="24"/>
      <c r="R7972"/>
      <c r="S7972"/>
      <c r="T7972"/>
      <c r="U7972"/>
      <c r="X7972" s="60"/>
    </row>
    <row r="7973" spans="7:24" ht="15" customHeight="1">
      <c r="G7973"/>
      <c r="I7973"/>
      <c r="N7973"/>
      <c r="O7973" s="24"/>
      <c r="P7973"/>
      <c r="Q7973" s="24"/>
      <c r="R7973"/>
      <c r="S7973"/>
      <c r="T7973"/>
      <c r="U7973"/>
      <c r="X7973" s="60"/>
    </row>
    <row r="7974" spans="7:24" ht="15" customHeight="1">
      <c r="G7974"/>
      <c r="I7974"/>
      <c r="N7974"/>
      <c r="O7974" s="24"/>
      <c r="P7974"/>
      <c r="Q7974" s="24"/>
      <c r="R7974"/>
      <c r="S7974"/>
      <c r="T7974"/>
      <c r="U7974"/>
      <c r="X7974" s="60"/>
    </row>
    <row r="7975" spans="7:24" ht="15" customHeight="1">
      <c r="G7975"/>
      <c r="I7975"/>
      <c r="N7975"/>
      <c r="O7975" s="24"/>
      <c r="P7975"/>
      <c r="Q7975" s="24"/>
      <c r="R7975"/>
      <c r="S7975"/>
      <c r="T7975"/>
      <c r="U7975"/>
      <c r="X7975" s="60"/>
    </row>
    <row r="7976" spans="7:24" ht="15" customHeight="1">
      <c r="G7976"/>
      <c r="I7976"/>
      <c r="N7976"/>
      <c r="O7976" s="24"/>
      <c r="P7976"/>
      <c r="Q7976" s="24"/>
      <c r="R7976"/>
      <c r="S7976"/>
      <c r="T7976"/>
      <c r="U7976"/>
      <c r="X7976" s="60"/>
    </row>
    <row r="7977" spans="7:24" ht="15" customHeight="1">
      <c r="G7977"/>
      <c r="I7977"/>
      <c r="N7977"/>
      <c r="O7977" s="24"/>
      <c r="P7977"/>
      <c r="Q7977" s="24"/>
      <c r="R7977"/>
      <c r="S7977"/>
      <c r="T7977"/>
      <c r="U7977"/>
      <c r="X7977" s="60"/>
    </row>
    <row r="7978" spans="7:24" ht="15" customHeight="1">
      <c r="G7978"/>
      <c r="I7978"/>
      <c r="N7978"/>
      <c r="O7978" s="24"/>
      <c r="P7978"/>
      <c r="Q7978" s="24"/>
      <c r="R7978"/>
      <c r="S7978"/>
      <c r="T7978"/>
      <c r="U7978"/>
      <c r="X7978" s="60"/>
    </row>
    <row r="7979" spans="7:24" ht="15" customHeight="1">
      <c r="G7979"/>
      <c r="I7979"/>
      <c r="N7979"/>
      <c r="O7979" s="24"/>
      <c r="P7979"/>
      <c r="Q7979" s="24"/>
      <c r="R7979"/>
      <c r="S7979"/>
      <c r="T7979"/>
      <c r="U7979"/>
      <c r="X7979" s="60"/>
    </row>
    <row r="7980" spans="7:24" ht="15" customHeight="1">
      <c r="G7980"/>
      <c r="I7980"/>
      <c r="N7980"/>
      <c r="O7980" s="24"/>
      <c r="P7980"/>
      <c r="Q7980" s="24"/>
      <c r="R7980"/>
      <c r="S7980"/>
      <c r="T7980"/>
      <c r="U7980"/>
      <c r="X7980" s="60"/>
    </row>
    <row r="7981" spans="7:24" ht="15" customHeight="1">
      <c r="G7981"/>
      <c r="I7981"/>
      <c r="N7981"/>
      <c r="O7981" s="24"/>
      <c r="P7981"/>
      <c r="Q7981" s="24"/>
      <c r="R7981"/>
      <c r="S7981"/>
      <c r="T7981"/>
      <c r="U7981"/>
      <c r="X7981" s="60"/>
    </row>
    <row r="7982" spans="7:24" ht="15" customHeight="1">
      <c r="G7982"/>
      <c r="I7982"/>
      <c r="N7982"/>
      <c r="O7982" s="24"/>
      <c r="P7982"/>
      <c r="Q7982" s="24"/>
      <c r="R7982"/>
      <c r="S7982"/>
      <c r="T7982"/>
      <c r="U7982"/>
      <c r="X7982" s="60"/>
    </row>
    <row r="7983" spans="7:24" ht="15" customHeight="1">
      <c r="G7983"/>
      <c r="I7983"/>
      <c r="N7983"/>
      <c r="O7983" s="24"/>
      <c r="P7983"/>
      <c r="Q7983" s="24"/>
      <c r="R7983"/>
      <c r="S7983"/>
      <c r="T7983"/>
      <c r="U7983"/>
      <c r="X7983" s="60"/>
    </row>
    <row r="7984" spans="7:24" ht="15" customHeight="1">
      <c r="G7984"/>
      <c r="I7984"/>
      <c r="N7984"/>
      <c r="O7984" s="24"/>
      <c r="P7984"/>
      <c r="Q7984" s="24"/>
      <c r="R7984"/>
      <c r="S7984"/>
      <c r="T7984"/>
      <c r="U7984"/>
      <c r="X7984" s="60"/>
    </row>
    <row r="7985" spans="7:24" ht="15" customHeight="1">
      <c r="G7985"/>
      <c r="I7985"/>
      <c r="N7985"/>
      <c r="O7985" s="24"/>
      <c r="P7985"/>
      <c r="Q7985" s="24"/>
      <c r="R7985"/>
      <c r="S7985"/>
      <c r="T7985"/>
      <c r="U7985"/>
      <c r="X7985" s="60"/>
    </row>
    <row r="7986" spans="7:24" ht="15" customHeight="1">
      <c r="G7986"/>
      <c r="I7986"/>
      <c r="N7986"/>
      <c r="O7986" s="24"/>
      <c r="P7986"/>
      <c r="Q7986" s="24"/>
      <c r="R7986"/>
      <c r="S7986"/>
      <c r="T7986"/>
      <c r="U7986"/>
      <c r="X7986" s="60"/>
    </row>
    <row r="7987" spans="7:24" ht="15" customHeight="1">
      <c r="G7987"/>
      <c r="I7987"/>
      <c r="N7987"/>
      <c r="O7987" s="24"/>
      <c r="P7987"/>
      <c r="Q7987" s="24"/>
      <c r="R7987"/>
      <c r="S7987"/>
      <c r="T7987"/>
      <c r="U7987"/>
      <c r="X7987" s="60"/>
    </row>
    <row r="7988" spans="7:24" ht="15" customHeight="1">
      <c r="G7988"/>
      <c r="I7988"/>
      <c r="N7988"/>
      <c r="O7988" s="24"/>
      <c r="P7988"/>
      <c r="Q7988" s="24"/>
      <c r="R7988"/>
      <c r="S7988"/>
      <c r="T7988"/>
      <c r="U7988"/>
      <c r="X7988" s="60"/>
    </row>
    <row r="7989" spans="7:24" ht="15" customHeight="1">
      <c r="G7989"/>
      <c r="I7989"/>
      <c r="N7989"/>
      <c r="O7989" s="24"/>
      <c r="P7989"/>
      <c r="Q7989" s="24"/>
      <c r="R7989"/>
      <c r="S7989"/>
      <c r="T7989"/>
      <c r="U7989"/>
      <c r="X7989" s="60"/>
    </row>
    <row r="7990" spans="7:24" ht="15" customHeight="1">
      <c r="G7990"/>
      <c r="I7990"/>
      <c r="N7990"/>
      <c r="O7990" s="24"/>
      <c r="P7990"/>
      <c r="Q7990" s="24"/>
      <c r="R7990"/>
      <c r="S7990"/>
      <c r="T7990"/>
      <c r="U7990"/>
      <c r="X7990" s="60"/>
    </row>
    <row r="7991" spans="7:24" ht="15" customHeight="1">
      <c r="G7991"/>
      <c r="I7991"/>
      <c r="N7991"/>
      <c r="O7991" s="24"/>
      <c r="P7991"/>
      <c r="Q7991" s="24"/>
      <c r="R7991"/>
      <c r="S7991"/>
      <c r="T7991"/>
      <c r="U7991"/>
      <c r="X7991" s="60"/>
    </row>
    <row r="7992" spans="7:24" ht="15" customHeight="1">
      <c r="G7992"/>
      <c r="I7992"/>
      <c r="N7992"/>
      <c r="O7992" s="24"/>
      <c r="P7992"/>
      <c r="Q7992" s="24"/>
      <c r="R7992"/>
      <c r="S7992"/>
      <c r="T7992"/>
      <c r="U7992"/>
      <c r="X7992" s="60"/>
    </row>
    <row r="7993" spans="7:24" ht="15" customHeight="1">
      <c r="G7993"/>
      <c r="I7993"/>
      <c r="N7993"/>
      <c r="O7993" s="24"/>
      <c r="P7993"/>
      <c r="Q7993" s="24"/>
      <c r="R7993"/>
      <c r="S7993"/>
      <c r="T7993"/>
      <c r="U7993"/>
      <c r="X7993" s="60"/>
    </row>
    <row r="7994" spans="7:24" ht="15" customHeight="1">
      <c r="G7994"/>
      <c r="I7994"/>
      <c r="N7994"/>
      <c r="O7994" s="24"/>
      <c r="P7994"/>
      <c r="Q7994" s="24"/>
      <c r="R7994"/>
      <c r="S7994"/>
      <c r="T7994"/>
      <c r="U7994"/>
      <c r="X7994" s="60"/>
    </row>
    <row r="7995" spans="7:24" ht="15" customHeight="1">
      <c r="G7995"/>
      <c r="I7995"/>
      <c r="N7995"/>
      <c r="O7995" s="24"/>
      <c r="P7995"/>
      <c r="Q7995" s="24"/>
      <c r="R7995"/>
      <c r="S7995"/>
      <c r="T7995"/>
      <c r="U7995"/>
      <c r="X7995" s="60"/>
    </row>
    <row r="7996" spans="7:24" ht="15" customHeight="1">
      <c r="G7996"/>
      <c r="I7996"/>
      <c r="N7996"/>
      <c r="O7996" s="24"/>
      <c r="P7996"/>
      <c r="Q7996" s="24"/>
      <c r="R7996"/>
      <c r="S7996"/>
      <c r="T7996"/>
      <c r="U7996"/>
      <c r="X7996" s="60"/>
    </row>
    <row r="7997" spans="7:24" ht="15" customHeight="1">
      <c r="G7997"/>
      <c r="I7997"/>
      <c r="N7997"/>
      <c r="O7997" s="24"/>
      <c r="P7997"/>
      <c r="Q7997" s="24"/>
      <c r="R7997"/>
      <c r="S7997"/>
      <c r="T7997"/>
      <c r="U7997"/>
      <c r="X7997" s="60"/>
    </row>
    <row r="7998" spans="7:24" ht="15" customHeight="1">
      <c r="G7998"/>
      <c r="I7998"/>
      <c r="N7998"/>
      <c r="O7998" s="24"/>
      <c r="P7998"/>
      <c r="Q7998" s="24"/>
      <c r="R7998"/>
      <c r="S7998"/>
      <c r="T7998"/>
      <c r="U7998"/>
      <c r="X7998" s="60"/>
    </row>
    <row r="7999" spans="7:24" ht="15" customHeight="1">
      <c r="G7999"/>
      <c r="I7999"/>
      <c r="N7999"/>
      <c r="O7999" s="24"/>
      <c r="P7999"/>
      <c r="Q7999" s="24"/>
      <c r="R7999"/>
      <c r="S7999"/>
      <c r="T7999"/>
      <c r="U7999"/>
      <c r="X7999" s="60"/>
    </row>
    <row r="8000" spans="7:24" ht="15" customHeight="1">
      <c r="G8000"/>
      <c r="I8000"/>
      <c r="N8000"/>
      <c r="O8000" s="24"/>
      <c r="P8000"/>
      <c r="Q8000" s="24"/>
      <c r="R8000"/>
      <c r="S8000"/>
      <c r="T8000"/>
      <c r="U8000"/>
      <c r="X8000" s="60"/>
    </row>
    <row r="8001" spans="7:24" ht="15" customHeight="1">
      <c r="G8001"/>
      <c r="I8001"/>
      <c r="N8001"/>
      <c r="O8001" s="24"/>
      <c r="P8001"/>
      <c r="Q8001" s="24"/>
      <c r="R8001"/>
      <c r="S8001"/>
      <c r="T8001"/>
      <c r="U8001"/>
      <c r="X8001" s="60"/>
    </row>
    <row r="8002" spans="7:24" ht="15" customHeight="1">
      <c r="G8002"/>
      <c r="I8002"/>
      <c r="N8002"/>
      <c r="O8002" s="24"/>
      <c r="P8002"/>
      <c r="Q8002" s="24"/>
      <c r="R8002"/>
      <c r="S8002"/>
      <c r="T8002"/>
      <c r="U8002"/>
      <c r="X8002" s="60"/>
    </row>
    <row r="8003" spans="7:24" ht="15" customHeight="1">
      <c r="G8003"/>
      <c r="I8003"/>
      <c r="N8003"/>
      <c r="O8003" s="24"/>
      <c r="P8003"/>
      <c r="Q8003" s="24"/>
      <c r="R8003"/>
      <c r="S8003"/>
      <c r="T8003"/>
      <c r="U8003"/>
      <c r="X8003" s="60"/>
    </row>
    <row r="8004" spans="7:24" ht="15" customHeight="1">
      <c r="G8004"/>
      <c r="I8004"/>
      <c r="N8004"/>
      <c r="O8004" s="24"/>
      <c r="P8004"/>
      <c r="Q8004" s="24"/>
      <c r="R8004"/>
      <c r="S8004"/>
      <c r="T8004"/>
      <c r="U8004"/>
      <c r="X8004" s="60"/>
    </row>
    <row r="8005" spans="7:24" ht="15" customHeight="1">
      <c r="G8005"/>
      <c r="I8005"/>
      <c r="N8005"/>
      <c r="O8005" s="24"/>
      <c r="P8005"/>
      <c r="Q8005" s="24"/>
      <c r="R8005"/>
      <c r="S8005"/>
      <c r="T8005"/>
      <c r="U8005"/>
      <c r="X8005" s="60"/>
    </row>
    <row r="8006" spans="7:24" ht="15" customHeight="1">
      <c r="G8006"/>
      <c r="I8006"/>
      <c r="N8006"/>
      <c r="O8006" s="24"/>
      <c r="P8006"/>
      <c r="Q8006" s="24"/>
      <c r="R8006"/>
      <c r="S8006"/>
      <c r="T8006"/>
      <c r="U8006"/>
      <c r="X8006" s="60"/>
    </row>
    <row r="8007" spans="7:24" ht="15" customHeight="1">
      <c r="G8007"/>
      <c r="I8007"/>
      <c r="N8007"/>
      <c r="O8007" s="24"/>
      <c r="P8007"/>
      <c r="Q8007" s="24"/>
      <c r="R8007"/>
      <c r="S8007"/>
      <c r="T8007"/>
      <c r="U8007"/>
      <c r="X8007" s="60"/>
    </row>
    <row r="8008" spans="7:24" ht="15" customHeight="1">
      <c r="G8008"/>
      <c r="I8008"/>
      <c r="N8008"/>
      <c r="O8008" s="24"/>
      <c r="P8008"/>
      <c r="Q8008" s="24"/>
      <c r="R8008"/>
      <c r="S8008"/>
      <c r="T8008"/>
      <c r="U8008"/>
      <c r="X8008" s="60"/>
    </row>
    <row r="8009" spans="7:24" ht="15" customHeight="1">
      <c r="G8009"/>
      <c r="I8009"/>
      <c r="N8009"/>
      <c r="O8009" s="24"/>
      <c r="P8009"/>
      <c r="Q8009" s="24"/>
      <c r="R8009"/>
      <c r="S8009"/>
      <c r="T8009"/>
      <c r="U8009"/>
      <c r="X8009" s="60"/>
    </row>
    <row r="8010" spans="7:24" ht="15" customHeight="1">
      <c r="G8010"/>
      <c r="I8010"/>
      <c r="N8010"/>
      <c r="O8010" s="24"/>
      <c r="P8010"/>
      <c r="Q8010" s="24"/>
      <c r="R8010"/>
      <c r="S8010"/>
      <c r="T8010"/>
      <c r="U8010"/>
      <c r="X8010" s="60"/>
    </row>
    <row r="8011" spans="7:24" ht="15" customHeight="1">
      <c r="G8011"/>
      <c r="I8011"/>
      <c r="N8011"/>
      <c r="O8011" s="24"/>
      <c r="P8011"/>
      <c r="Q8011" s="24"/>
      <c r="R8011"/>
      <c r="S8011"/>
      <c r="T8011"/>
      <c r="U8011"/>
      <c r="X8011" s="60"/>
    </row>
    <row r="8012" spans="7:24" ht="15" customHeight="1">
      <c r="G8012"/>
      <c r="I8012"/>
      <c r="N8012"/>
      <c r="O8012" s="24"/>
      <c r="P8012"/>
      <c r="Q8012" s="24"/>
      <c r="R8012"/>
      <c r="S8012"/>
      <c r="T8012"/>
      <c r="U8012"/>
      <c r="X8012" s="60"/>
    </row>
    <row r="8013" spans="7:24" ht="15" customHeight="1">
      <c r="G8013"/>
      <c r="I8013"/>
      <c r="N8013"/>
      <c r="O8013" s="24"/>
      <c r="P8013"/>
      <c r="Q8013" s="24"/>
      <c r="R8013"/>
      <c r="S8013"/>
      <c r="T8013"/>
      <c r="U8013"/>
      <c r="X8013" s="60"/>
    </row>
    <row r="8014" spans="7:24" ht="15" customHeight="1">
      <c r="G8014"/>
      <c r="I8014"/>
      <c r="N8014"/>
      <c r="O8014" s="24"/>
      <c r="P8014"/>
      <c r="Q8014" s="24"/>
      <c r="R8014"/>
      <c r="S8014"/>
      <c r="T8014"/>
      <c r="U8014"/>
      <c r="X8014" s="60"/>
    </row>
    <row r="8015" spans="7:24" ht="15" customHeight="1">
      <c r="G8015"/>
      <c r="I8015"/>
      <c r="N8015"/>
      <c r="O8015" s="24"/>
      <c r="P8015"/>
      <c r="Q8015" s="24"/>
      <c r="R8015"/>
      <c r="S8015"/>
      <c r="T8015"/>
      <c r="U8015"/>
      <c r="X8015" s="60"/>
    </row>
    <row r="8016" spans="7:24" ht="15" customHeight="1">
      <c r="G8016"/>
      <c r="I8016"/>
      <c r="N8016"/>
      <c r="O8016" s="24"/>
      <c r="P8016"/>
      <c r="Q8016" s="24"/>
      <c r="R8016"/>
      <c r="S8016"/>
      <c r="T8016"/>
      <c r="U8016"/>
      <c r="X8016" s="60"/>
    </row>
    <row r="8017" spans="7:24" ht="15" customHeight="1">
      <c r="G8017"/>
      <c r="I8017"/>
      <c r="N8017"/>
      <c r="O8017" s="24"/>
      <c r="P8017"/>
      <c r="Q8017" s="24"/>
      <c r="R8017"/>
      <c r="S8017"/>
      <c r="T8017"/>
      <c r="U8017"/>
      <c r="X8017" s="60"/>
    </row>
    <row r="8018" spans="7:24" ht="15" customHeight="1">
      <c r="G8018"/>
      <c r="I8018"/>
      <c r="N8018"/>
      <c r="O8018" s="24"/>
      <c r="P8018"/>
      <c r="Q8018" s="24"/>
      <c r="R8018"/>
      <c r="S8018"/>
      <c r="T8018"/>
      <c r="U8018"/>
      <c r="X8018" s="60"/>
    </row>
    <row r="8019" spans="7:24" ht="15" customHeight="1">
      <c r="G8019"/>
      <c r="I8019"/>
      <c r="N8019"/>
      <c r="O8019" s="24"/>
      <c r="P8019"/>
      <c r="Q8019" s="24"/>
      <c r="R8019"/>
      <c r="S8019"/>
      <c r="T8019"/>
      <c r="U8019"/>
      <c r="X8019" s="60"/>
    </row>
    <row r="8020" spans="7:24" ht="15" customHeight="1">
      <c r="G8020"/>
      <c r="I8020"/>
      <c r="N8020"/>
      <c r="O8020" s="24"/>
      <c r="P8020"/>
      <c r="Q8020" s="24"/>
      <c r="R8020"/>
      <c r="S8020"/>
      <c r="T8020"/>
      <c r="U8020"/>
      <c r="X8020" s="60"/>
    </row>
    <row r="8021" spans="7:24" ht="15" customHeight="1">
      <c r="G8021"/>
      <c r="I8021"/>
      <c r="N8021"/>
      <c r="O8021" s="24"/>
      <c r="P8021"/>
      <c r="Q8021" s="24"/>
      <c r="R8021"/>
      <c r="S8021"/>
      <c r="T8021"/>
      <c r="U8021"/>
      <c r="X8021" s="60"/>
    </row>
    <row r="8022" spans="7:24" ht="15" customHeight="1">
      <c r="G8022"/>
      <c r="I8022"/>
      <c r="N8022"/>
      <c r="O8022" s="24"/>
      <c r="P8022"/>
      <c r="Q8022" s="24"/>
      <c r="R8022"/>
      <c r="S8022"/>
      <c r="T8022"/>
      <c r="U8022"/>
      <c r="X8022" s="60"/>
    </row>
    <row r="8023" spans="7:24" ht="15" customHeight="1">
      <c r="G8023"/>
      <c r="I8023"/>
      <c r="N8023"/>
      <c r="O8023" s="24"/>
      <c r="P8023"/>
      <c r="Q8023" s="24"/>
      <c r="R8023"/>
      <c r="S8023"/>
      <c r="T8023"/>
      <c r="U8023"/>
      <c r="X8023" s="60"/>
    </row>
    <row r="8024" spans="7:24" ht="15" customHeight="1">
      <c r="G8024"/>
      <c r="I8024"/>
      <c r="N8024"/>
      <c r="O8024" s="24"/>
      <c r="P8024"/>
      <c r="Q8024" s="24"/>
      <c r="R8024"/>
      <c r="S8024"/>
      <c r="T8024"/>
      <c r="U8024"/>
      <c r="X8024" s="60"/>
    </row>
    <row r="8025" spans="7:24" ht="15" customHeight="1">
      <c r="G8025"/>
      <c r="I8025"/>
      <c r="N8025"/>
      <c r="O8025" s="24"/>
      <c r="P8025"/>
      <c r="Q8025" s="24"/>
      <c r="R8025"/>
      <c r="S8025"/>
      <c r="T8025"/>
      <c r="U8025"/>
      <c r="X8025" s="60"/>
    </row>
    <row r="8026" spans="7:24" ht="15" customHeight="1">
      <c r="G8026"/>
      <c r="I8026"/>
      <c r="N8026"/>
      <c r="O8026" s="24"/>
      <c r="P8026"/>
      <c r="Q8026" s="24"/>
      <c r="R8026"/>
      <c r="S8026"/>
      <c r="T8026"/>
      <c r="U8026"/>
      <c r="X8026" s="60"/>
    </row>
    <row r="8027" spans="7:24" ht="15" customHeight="1">
      <c r="G8027"/>
      <c r="I8027"/>
      <c r="N8027"/>
      <c r="O8027" s="24"/>
      <c r="P8027"/>
      <c r="Q8027" s="24"/>
      <c r="R8027"/>
      <c r="S8027"/>
      <c r="T8027"/>
      <c r="U8027"/>
      <c r="X8027" s="60"/>
    </row>
    <row r="8028" spans="7:24" ht="15" customHeight="1">
      <c r="G8028"/>
      <c r="I8028"/>
      <c r="N8028"/>
      <c r="O8028" s="24"/>
      <c r="P8028"/>
      <c r="Q8028" s="24"/>
      <c r="R8028"/>
      <c r="S8028"/>
      <c r="T8028"/>
      <c r="U8028"/>
      <c r="X8028" s="60"/>
    </row>
    <row r="8029" spans="7:24" ht="15" customHeight="1">
      <c r="G8029"/>
      <c r="I8029"/>
      <c r="N8029"/>
      <c r="O8029" s="24"/>
      <c r="P8029"/>
      <c r="Q8029" s="24"/>
      <c r="R8029"/>
      <c r="S8029"/>
      <c r="T8029"/>
      <c r="U8029"/>
      <c r="X8029" s="60"/>
    </row>
    <row r="8030" spans="7:24" ht="15" customHeight="1">
      <c r="G8030"/>
      <c r="I8030"/>
      <c r="N8030"/>
      <c r="O8030" s="24"/>
      <c r="P8030"/>
      <c r="Q8030" s="24"/>
      <c r="R8030"/>
      <c r="S8030"/>
      <c r="T8030"/>
      <c r="U8030"/>
      <c r="X8030" s="60"/>
    </row>
    <row r="8031" spans="7:24" ht="15" customHeight="1">
      <c r="G8031"/>
      <c r="I8031"/>
      <c r="N8031"/>
      <c r="O8031" s="24"/>
      <c r="P8031"/>
      <c r="Q8031" s="24"/>
      <c r="R8031"/>
      <c r="S8031"/>
      <c r="T8031"/>
      <c r="U8031"/>
      <c r="X8031" s="60"/>
    </row>
    <row r="8032" spans="7:24" ht="15" customHeight="1">
      <c r="G8032"/>
      <c r="I8032"/>
      <c r="N8032"/>
      <c r="O8032" s="24"/>
      <c r="P8032"/>
      <c r="Q8032" s="24"/>
      <c r="R8032"/>
      <c r="S8032"/>
      <c r="T8032"/>
      <c r="U8032"/>
      <c r="X8032" s="60"/>
    </row>
    <row r="8033" spans="7:24" ht="15" customHeight="1">
      <c r="G8033"/>
      <c r="I8033"/>
      <c r="N8033"/>
      <c r="O8033" s="24"/>
      <c r="P8033"/>
      <c r="Q8033" s="24"/>
      <c r="R8033"/>
      <c r="S8033"/>
      <c r="T8033"/>
      <c r="U8033"/>
      <c r="X8033" s="60"/>
    </row>
    <row r="8034" spans="7:24" ht="15" customHeight="1">
      <c r="G8034"/>
      <c r="I8034"/>
      <c r="N8034"/>
      <c r="O8034" s="24"/>
      <c r="P8034"/>
      <c r="Q8034" s="24"/>
      <c r="R8034"/>
      <c r="S8034"/>
      <c r="T8034"/>
      <c r="U8034"/>
      <c r="X8034" s="60"/>
    </row>
    <row r="8035" spans="7:24" ht="15" customHeight="1">
      <c r="G8035"/>
      <c r="I8035"/>
      <c r="N8035"/>
      <c r="O8035" s="24"/>
      <c r="P8035"/>
      <c r="Q8035" s="24"/>
      <c r="R8035"/>
      <c r="S8035"/>
      <c r="T8035"/>
      <c r="U8035"/>
      <c r="X8035" s="60"/>
    </row>
    <row r="8036" spans="7:24" ht="15" customHeight="1">
      <c r="G8036"/>
      <c r="I8036"/>
      <c r="N8036"/>
      <c r="O8036" s="24"/>
      <c r="P8036"/>
      <c r="Q8036" s="24"/>
      <c r="R8036"/>
      <c r="S8036"/>
      <c r="T8036"/>
      <c r="U8036"/>
      <c r="X8036" s="60"/>
    </row>
    <row r="8037" spans="7:24" ht="15" customHeight="1">
      <c r="G8037"/>
      <c r="I8037"/>
      <c r="N8037"/>
      <c r="O8037" s="24"/>
      <c r="P8037"/>
      <c r="Q8037" s="24"/>
      <c r="R8037"/>
      <c r="S8037"/>
      <c r="T8037"/>
      <c r="U8037"/>
      <c r="X8037" s="60"/>
    </row>
    <row r="8038" spans="7:24" ht="15" customHeight="1">
      <c r="G8038"/>
      <c r="I8038"/>
      <c r="N8038"/>
      <c r="O8038" s="24"/>
      <c r="P8038"/>
      <c r="Q8038" s="24"/>
      <c r="R8038"/>
      <c r="S8038"/>
      <c r="T8038"/>
      <c r="U8038"/>
      <c r="X8038" s="60"/>
    </row>
    <row r="8039" spans="7:24" ht="15" customHeight="1">
      <c r="G8039"/>
      <c r="I8039"/>
      <c r="N8039"/>
      <c r="O8039" s="24"/>
      <c r="P8039"/>
      <c r="Q8039" s="24"/>
      <c r="R8039"/>
      <c r="S8039"/>
      <c r="T8039"/>
      <c r="U8039"/>
      <c r="X8039" s="60"/>
    </row>
    <row r="8040" spans="7:24" ht="15" customHeight="1">
      <c r="G8040"/>
      <c r="I8040"/>
      <c r="N8040"/>
      <c r="O8040" s="24"/>
      <c r="P8040"/>
      <c r="Q8040" s="24"/>
      <c r="R8040"/>
      <c r="S8040"/>
      <c r="T8040"/>
      <c r="U8040"/>
      <c r="X8040" s="60"/>
    </row>
    <row r="8041" spans="7:24" ht="15" customHeight="1">
      <c r="G8041"/>
      <c r="I8041"/>
      <c r="N8041"/>
      <c r="O8041" s="24"/>
      <c r="P8041"/>
      <c r="Q8041" s="24"/>
      <c r="R8041"/>
      <c r="S8041"/>
      <c r="T8041"/>
      <c r="U8041"/>
      <c r="X8041" s="60"/>
    </row>
    <row r="8042" spans="7:24" ht="15" customHeight="1">
      <c r="G8042"/>
      <c r="I8042"/>
      <c r="N8042"/>
      <c r="O8042" s="24"/>
      <c r="P8042"/>
      <c r="Q8042" s="24"/>
      <c r="R8042"/>
      <c r="S8042"/>
      <c r="T8042"/>
      <c r="U8042"/>
      <c r="X8042" s="60"/>
    </row>
    <row r="8043" spans="7:24" ht="15" customHeight="1">
      <c r="G8043"/>
      <c r="I8043"/>
      <c r="N8043"/>
      <c r="O8043" s="24"/>
      <c r="P8043"/>
      <c r="Q8043" s="24"/>
      <c r="R8043"/>
      <c r="S8043"/>
      <c r="T8043"/>
      <c r="U8043"/>
      <c r="X8043" s="60"/>
    </row>
    <row r="8044" spans="7:24" ht="15" customHeight="1">
      <c r="G8044"/>
      <c r="I8044"/>
      <c r="N8044"/>
      <c r="O8044" s="24"/>
      <c r="P8044"/>
      <c r="Q8044" s="24"/>
      <c r="R8044"/>
      <c r="S8044"/>
      <c r="T8044"/>
      <c r="U8044"/>
      <c r="X8044" s="60"/>
    </row>
    <row r="8045" spans="7:24" ht="15" customHeight="1">
      <c r="G8045"/>
      <c r="I8045"/>
      <c r="N8045"/>
      <c r="O8045" s="24"/>
      <c r="P8045"/>
      <c r="Q8045" s="24"/>
      <c r="R8045"/>
      <c r="S8045"/>
      <c r="T8045"/>
      <c r="U8045"/>
      <c r="X8045" s="60"/>
    </row>
    <row r="8046" spans="7:24" ht="15" customHeight="1">
      <c r="G8046"/>
      <c r="I8046"/>
      <c r="N8046"/>
      <c r="O8046" s="24"/>
      <c r="P8046"/>
      <c r="Q8046" s="24"/>
      <c r="R8046"/>
      <c r="S8046"/>
      <c r="T8046"/>
      <c r="U8046"/>
      <c r="X8046" s="60"/>
    </row>
    <row r="8047" spans="7:24" ht="15" customHeight="1">
      <c r="G8047"/>
      <c r="I8047"/>
      <c r="N8047"/>
      <c r="O8047" s="24"/>
      <c r="P8047"/>
      <c r="Q8047" s="24"/>
      <c r="R8047"/>
      <c r="S8047"/>
      <c r="T8047"/>
      <c r="U8047"/>
      <c r="X8047" s="60"/>
    </row>
    <row r="8048" spans="7:24" ht="15" customHeight="1">
      <c r="G8048"/>
      <c r="I8048"/>
      <c r="N8048"/>
      <c r="O8048" s="24"/>
      <c r="P8048"/>
      <c r="Q8048" s="24"/>
      <c r="R8048"/>
      <c r="S8048"/>
      <c r="T8048"/>
      <c r="U8048"/>
      <c r="X8048" s="60"/>
    </row>
    <row r="8049" spans="7:24" ht="15" customHeight="1">
      <c r="G8049"/>
      <c r="I8049"/>
      <c r="N8049"/>
      <c r="O8049" s="24"/>
      <c r="P8049"/>
      <c r="Q8049" s="24"/>
      <c r="R8049"/>
      <c r="S8049"/>
      <c r="T8049"/>
      <c r="U8049"/>
      <c r="X8049" s="60"/>
    </row>
    <row r="8050" spans="7:24" ht="15" customHeight="1">
      <c r="G8050"/>
      <c r="I8050"/>
      <c r="N8050"/>
      <c r="O8050" s="24"/>
      <c r="P8050"/>
      <c r="Q8050" s="24"/>
      <c r="R8050"/>
      <c r="S8050"/>
      <c r="T8050"/>
      <c r="U8050"/>
      <c r="X8050" s="60"/>
    </row>
    <row r="8051" spans="7:24" ht="15" customHeight="1">
      <c r="G8051"/>
      <c r="I8051"/>
      <c r="N8051"/>
      <c r="O8051" s="24"/>
      <c r="P8051"/>
      <c r="Q8051" s="24"/>
      <c r="R8051"/>
      <c r="S8051"/>
      <c r="T8051"/>
      <c r="U8051"/>
      <c r="X8051" s="60"/>
    </row>
    <row r="8052" spans="7:24" ht="15" customHeight="1">
      <c r="G8052"/>
      <c r="I8052"/>
      <c r="N8052"/>
      <c r="O8052" s="24"/>
      <c r="P8052"/>
      <c r="Q8052" s="24"/>
      <c r="R8052"/>
      <c r="S8052"/>
      <c r="T8052"/>
      <c r="U8052"/>
      <c r="X8052" s="60"/>
    </row>
    <row r="8053" spans="7:24" ht="15" customHeight="1">
      <c r="G8053"/>
      <c r="I8053"/>
      <c r="N8053"/>
      <c r="O8053" s="24"/>
      <c r="P8053"/>
      <c r="Q8053" s="24"/>
      <c r="R8053"/>
      <c r="S8053"/>
      <c r="T8053"/>
      <c r="U8053"/>
      <c r="X8053" s="60"/>
    </row>
    <row r="8054" spans="7:24" ht="15" customHeight="1">
      <c r="G8054"/>
      <c r="I8054"/>
      <c r="N8054"/>
      <c r="O8054" s="24"/>
      <c r="P8054"/>
      <c r="Q8054" s="24"/>
      <c r="R8054"/>
      <c r="S8054"/>
      <c r="T8054"/>
      <c r="U8054"/>
      <c r="X8054" s="60"/>
    </row>
    <row r="8055" spans="7:24" ht="15" customHeight="1">
      <c r="G8055"/>
      <c r="I8055"/>
      <c r="N8055"/>
      <c r="O8055" s="24"/>
      <c r="P8055"/>
      <c r="Q8055" s="24"/>
      <c r="R8055"/>
      <c r="S8055"/>
      <c r="T8055"/>
      <c r="U8055"/>
      <c r="X8055" s="60"/>
    </row>
    <row r="8056" spans="7:24" ht="15" customHeight="1">
      <c r="G8056"/>
      <c r="I8056"/>
      <c r="N8056"/>
      <c r="O8056" s="24"/>
      <c r="P8056"/>
      <c r="Q8056" s="24"/>
      <c r="R8056"/>
      <c r="S8056"/>
      <c r="T8056"/>
      <c r="U8056"/>
      <c r="X8056" s="60"/>
    </row>
    <row r="8057" spans="7:24" ht="15" customHeight="1">
      <c r="G8057"/>
      <c r="I8057"/>
      <c r="N8057"/>
      <c r="O8057" s="24"/>
      <c r="P8057"/>
      <c r="Q8057" s="24"/>
      <c r="R8057"/>
      <c r="S8057"/>
      <c r="T8057"/>
      <c r="U8057"/>
      <c r="X8057" s="60"/>
    </row>
    <row r="8058" spans="7:24" ht="15" customHeight="1">
      <c r="G8058"/>
      <c r="I8058"/>
      <c r="N8058"/>
      <c r="O8058" s="24"/>
      <c r="P8058"/>
      <c r="Q8058" s="24"/>
      <c r="R8058"/>
      <c r="S8058"/>
      <c r="T8058"/>
      <c r="U8058"/>
      <c r="X8058" s="60"/>
    </row>
    <row r="8059" spans="7:24" ht="15" customHeight="1">
      <c r="G8059"/>
      <c r="I8059"/>
      <c r="N8059"/>
      <c r="O8059" s="24"/>
      <c r="P8059"/>
      <c r="Q8059" s="24"/>
      <c r="R8059"/>
      <c r="S8059"/>
      <c r="T8059"/>
      <c r="U8059"/>
      <c r="X8059" s="60"/>
    </row>
    <row r="8060" spans="7:24" ht="15" customHeight="1">
      <c r="G8060"/>
      <c r="I8060"/>
      <c r="N8060"/>
      <c r="O8060" s="24"/>
      <c r="P8060"/>
      <c r="Q8060" s="24"/>
      <c r="R8060"/>
      <c r="S8060"/>
      <c r="T8060"/>
      <c r="U8060"/>
      <c r="X8060" s="60"/>
    </row>
    <row r="8061" spans="7:24" ht="15" customHeight="1">
      <c r="G8061"/>
      <c r="I8061"/>
      <c r="N8061"/>
      <c r="O8061" s="24"/>
      <c r="P8061"/>
      <c r="Q8061" s="24"/>
      <c r="R8061"/>
      <c r="S8061"/>
      <c r="T8061"/>
      <c r="U8061"/>
      <c r="X8061" s="60"/>
    </row>
    <row r="8062" spans="7:24" ht="15" customHeight="1">
      <c r="G8062"/>
      <c r="I8062"/>
      <c r="N8062"/>
      <c r="O8062" s="24"/>
      <c r="P8062"/>
      <c r="Q8062" s="24"/>
      <c r="R8062"/>
      <c r="S8062"/>
      <c r="T8062"/>
      <c r="U8062"/>
      <c r="X8062" s="60"/>
    </row>
    <row r="8063" spans="7:24" ht="15" customHeight="1">
      <c r="G8063"/>
      <c r="I8063"/>
      <c r="N8063"/>
      <c r="O8063" s="24"/>
      <c r="P8063"/>
      <c r="Q8063" s="24"/>
      <c r="R8063"/>
      <c r="S8063"/>
      <c r="T8063"/>
      <c r="U8063"/>
      <c r="X8063" s="60"/>
    </row>
    <row r="8064" spans="7:24" ht="15" customHeight="1">
      <c r="G8064"/>
      <c r="I8064"/>
      <c r="N8064"/>
      <c r="O8064" s="24"/>
      <c r="P8064"/>
      <c r="Q8064" s="24"/>
      <c r="R8064"/>
      <c r="S8064"/>
      <c r="T8064"/>
      <c r="U8064"/>
      <c r="X8064" s="60"/>
    </row>
    <row r="8065" spans="7:24" ht="15" customHeight="1">
      <c r="G8065"/>
      <c r="I8065"/>
      <c r="N8065"/>
      <c r="O8065" s="24"/>
      <c r="P8065"/>
      <c r="Q8065" s="24"/>
      <c r="R8065"/>
      <c r="S8065"/>
      <c r="T8065"/>
      <c r="U8065"/>
      <c r="X8065" s="60"/>
    </row>
    <row r="8066" spans="7:24" ht="15" customHeight="1">
      <c r="G8066"/>
      <c r="I8066"/>
      <c r="N8066"/>
      <c r="O8066" s="24"/>
      <c r="P8066"/>
      <c r="Q8066" s="24"/>
      <c r="R8066"/>
      <c r="S8066"/>
      <c r="T8066"/>
      <c r="U8066"/>
      <c r="X8066" s="60"/>
    </row>
    <row r="8067" spans="7:24" ht="15" customHeight="1">
      <c r="G8067"/>
      <c r="I8067"/>
      <c r="N8067"/>
      <c r="O8067" s="24"/>
      <c r="P8067"/>
      <c r="Q8067" s="24"/>
      <c r="R8067"/>
      <c r="S8067"/>
      <c r="T8067"/>
      <c r="U8067"/>
      <c r="X8067" s="60"/>
    </row>
    <row r="8068" spans="7:24" ht="15" customHeight="1">
      <c r="G8068"/>
      <c r="I8068"/>
      <c r="N8068"/>
      <c r="O8068" s="24"/>
      <c r="P8068"/>
      <c r="Q8068" s="24"/>
      <c r="R8068"/>
      <c r="S8068"/>
      <c r="T8068"/>
      <c r="U8068"/>
      <c r="X8068" s="60"/>
    </row>
    <row r="8069" spans="7:24" ht="15" customHeight="1">
      <c r="G8069"/>
      <c r="I8069"/>
      <c r="N8069"/>
      <c r="O8069" s="24"/>
      <c r="P8069"/>
      <c r="Q8069" s="24"/>
      <c r="R8069"/>
      <c r="S8069"/>
      <c r="T8069"/>
      <c r="U8069"/>
      <c r="X8069" s="60"/>
    </row>
    <row r="8070" spans="7:24" ht="15" customHeight="1">
      <c r="G8070"/>
      <c r="I8070"/>
      <c r="N8070"/>
      <c r="O8070" s="24"/>
      <c r="P8070"/>
      <c r="Q8070" s="24"/>
      <c r="R8070"/>
      <c r="S8070"/>
      <c r="T8070"/>
      <c r="U8070"/>
      <c r="X8070" s="60"/>
    </row>
    <row r="8071" spans="7:24" ht="15" customHeight="1">
      <c r="G8071"/>
      <c r="I8071"/>
      <c r="N8071"/>
      <c r="O8071" s="24"/>
      <c r="P8071"/>
      <c r="Q8071" s="24"/>
      <c r="R8071"/>
      <c r="S8071"/>
      <c r="T8071"/>
      <c r="U8071"/>
      <c r="X8071" s="60"/>
    </row>
    <row r="8072" spans="7:24" ht="15" customHeight="1">
      <c r="G8072"/>
      <c r="I8072"/>
      <c r="N8072"/>
      <c r="O8072" s="24"/>
      <c r="P8072"/>
      <c r="Q8072" s="24"/>
      <c r="R8072"/>
      <c r="S8072"/>
      <c r="T8072"/>
      <c r="U8072"/>
      <c r="X8072" s="60"/>
    </row>
    <row r="8073" spans="7:24" ht="15" customHeight="1">
      <c r="G8073"/>
      <c r="I8073"/>
      <c r="N8073"/>
      <c r="O8073" s="24"/>
      <c r="P8073"/>
      <c r="Q8073" s="24"/>
      <c r="R8073"/>
      <c r="S8073"/>
      <c r="T8073"/>
      <c r="U8073"/>
      <c r="X8073" s="60"/>
    </row>
    <row r="8074" spans="7:24" ht="15" customHeight="1">
      <c r="G8074"/>
      <c r="I8074"/>
      <c r="N8074"/>
      <c r="O8074" s="24"/>
      <c r="P8074"/>
      <c r="Q8074" s="24"/>
      <c r="R8074"/>
      <c r="S8074"/>
      <c r="T8074"/>
      <c r="U8074"/>
      <c r="X8074" s="60"/>
    </row>
    <row r="8075" spans="7:24" ht="15" customHeight="1">
      <c r="G8075"/>
      <c r="I8075"/>
      <c r="N8075"/>
      <c r="O8075" s="24"/>
      <c r="P8075"/>
      <c r="Q8075" s="24"/>
      <c r="R8075"/>
      <c r="S8075"/>
      <c r="T8075"/>
      <c r="U8075"/>
      <c r="X8075" s="60"/>
    </row>
    <row r="8076" spans="7:24" ht="15" customHeight="1">
      <c r="G8076"/>
      <c r="I8076"/>
      <c r="N8076"/>
      <c r="O8076" s="24"/>
      <c r="P8076"/>
      <c r="Q8076" s="24"/>
      <c r="R8076"/>
      <c r="S8076"/>
      <c r="T8076"/>
      <c r="U8076"/>
      <c r="X8076" s="60"/>
    </row>
    <row r="8077" spans="7:24" ht="15" customHeight="1">
      <c r="G8077"/>
      <c r="I8077"/>
      <c r="N8077"/>
      <c r="O8077" s="24"/>
      <c r="P8077"/>
      <c r="Q8077" s="24"/>
      <c r="R8077"/>
      <c r="S8077"/>
      <c r="T8077"/>
      <c r="U8077"/>
      <c r="X8077" s="60"/>
    </row>
    <row r="8078" spans="7:24" ht="15" customHeight="1">
      <c r="G8078"/>
      <c r="I8078"/>
      <c r="N8078"/>
      <c r="O8078" s="24"/>
      <c r="P8078"/>
      <c r="Q8078" s="24"/>
      <c r="R8078"/>
      <c r="S8078"/>
      <c r="T8078"/>
      <c r="U8078"/>
      <c r="X8078" s="60"/>
    </row>
    <row r="8079" spans="7:24" ht="15" customHeight="1">
      <c r="G8079"/>
      <c r="I8079"/>
      <c r="N8079"/>
      <c r="O8079" s="24"/>
      <c r="P8079"/>
      <c r="Q8079" s="24"/>
      <c r="R8079"/>
      <c r="S8079"/>
      <c r="T8079"/>
      <c r="U8079"/>
      <c r="X8079" s="60"/>
    </row>
    <row r="8080" spans="7:24" ht="15" customHeight="1">
      <c r="G8080"/>
      <c r="I8080"/>
      <c r="N8080"/>
      <c r="O8080" s="24"/>
      <c r="P8080"/>
      <c r="Q8080" s="24"/>
      <c r="R8080"/>
      <c r="S8080"/>
      <c r="T8080"/>
      <c r="U8080"/>
      <c r="X8080" s="60"/>
    </row>
    <row r="8081" spans="7:24" ht="15" customHeight="1">
      <c r="G8081"/>
      <c r="I8081"/>
      <c r="N8081"/>
      <c r="O8081" s="24"/>
      <c r="P8081"/>
      <c r="Q8081" s="24"/>
      <c r="R8081"/>
      <c r="S8081"/>
      <c r="T8081"/>
      <c r="U8081"/>
      <c r="X8081" s="60"/>
    </row>
    <row r="8082" spans="7:24" ht="15" customHeight="1">
      <c r="G8082"/>
      <c r="I8082"/>
      <c r="N8082"/>
      <c r="O8082" s="24"/>
      <c r="P8082"/>
      <c r="Q8082" s="24"/>
      <c r="R8082"/>
      <c r="S8082"/>
      <c r="T8082"/>
      <c r="U8082"/>
      <c r="X8082" s="60"/>
    </row>
    <row r="8083" spans="7:24" ht="15" customHeight="1">
      <c r="G8083"/>
      <c r="I8083"/>
      <c r="N8083"/>
      <c r="O8083" s="24"/>
      <c r="P8083"/>
      <c r="Q8083" s="24"/>
      <c r="R8083"/>
      <c r="S8083"/>
      <c r="T8083"/>
      <c r="U8083"/>
      <c r="X8083" s="60"/>
    </row>
    <row r="8084" spans="7:24" ht="15" customHeight="1">
      <c r="G8084"/>
      <c r="I8084"/>
      <c r="N8084"/>
      <c r="O8084" s="24"/>
      <c r="P8084"/>
      <c r="Q8084" s="24"/>
      <c r="R8084"/>
      <c r="S8084"/>
      <c r="T8084"/>
      <c r="U8084"/>
      <c r="X8084" s="60"/>
    </row>
    <row r="8085" spans="7:24" ht="15" customHeight="1">
      <c r="G8085"/>
      <c r="I8085"/>
      <c r="N8085"/>
      <c r="O8085" s="24"/>
      <c r="P8085"/>
      <c r="Q8085" s="24"/>
      <c r="R8085"/>
      <c r="S8085"/>
      <c r="T8085"/>
      <c r="U8085"/>
      <c r="X8085" s="60"/>
    </row>
    <row r="8086" spans="7:24" ht="15" customHeight="1">
      <c r="G8086"/>
      <c r="I8086"/>
      <c r="N8086"/>
      <c r="O8086" s="24"/>
      <c r="P8086"/>
      <c r="Q8086" s="24"/>
      <c r="R8086"/>
      <c r="S8086"/>
      <c r="T8086"/>
      <c r="U8086"/>
      <c r="X8086" s="60"/>
    </row>
    <row r="8087" spans="7:24" ht="15" customHeight="1">
      <c r="G8087"/>
      <c r="I8087"/>
      <c r="N8087"/>
      <c r="O8087" s="24"/>
      <c r="P8087"/>
      <c r="Q8087" s="24"/>
      <c r="R8087"/>
      <c r="S8087"/>
      <c r="T8087"/>
      <c r="U8087"/>
      <c r="X8087" s="60"/>
    </row>
    <row r="8088" spans="7:24" ht="15" customHeight="1">
      <c r="G8088"/>
      <c r="I8088"/>
      <c r="N8088"/>
      <c r="O8088" s="24"/>
      <c r="P8088"/>
      <c r="Q8088" s="24"/>
      <c r="R8088"/>
      <c r="S8088"/>
      <c r="T8088"/>
      <c r="U8088"/>
      <c r="X8088" s="60"/>
    </row>
    <row r="8089" spans="7:24" ht="15" customHeight="1">
      <c r="G8089"/>
      <c r="I8089"/>
      <c r="N8089"/>
      <c r="O8089" s="24"/>
      <c r="P8089"/>
      <c r="Q8089" s="24"/>
      <c r="R8089"/>
      <c r="S8089"/>
      <c r="T8089"/>
      <c r="U8089"/>
      <c r="X8089" s="60"/>
    </row>
    <row r="8090" spans="7:24" ht="15" customHeight="1">
      <c r="G8090"/>
      <c r="I8090"/>
      <c r="N8090"/>
      <c r="O8090" s="24"/>
      <c r="P8090"/>
      <c r="Q8090" s="24"/>
      <c r="R8090"/>
      <c r="S8090"/>
      <c r="T8090"/>
      <c r="U8090"/>
      <c r="X8090" s="60"/>
    </row>
    <row r="8091" spans="7:24" ht="15" customHeight="1">
      <c r="G8091"/>
      <c r="I8091"/>
      <c r="N8091"/>
      <c r="O8091" s="24"/>
      <c r="P8091"/>
      <c r="Q8091" s="24"/>
      <c r="R8091"/>
      <c r="S8091"/>
      <c r="T8091"/>
      <c r="U8091"/>
      <c r="X8091" s="60"/>
    </row>
    <row r="8092" spans="7:24" ht="15" customHeight="1">
      <c r="G8092"/>
      <c r="I8092"/>
      <c r="N8092"/>
      <c r="O8092" s="24"/>
      <c r="P8092"/>
      <c r="Q8092" s="24"/>
      <c r="R8092"/>
      <c r="S8092"/>
      <c r="T8092"/>
      <c r="U8092"/>
      <c r="X8092" s="60"/>
    </row>
    <row r="8093" spans="7:24" ht="15" customHeight="1">
      <c r="G8093"/>
      <c r="I8093"/>
      <c r="N8093"/>
      <c r="O8093" s="24"/>
      <c r="P8093"/>
      <c r="Q8093" s="24"/>
      <c r="R8093"/>
      <c r="S8093"/>
      <c r="T8093"/>
      <c r="U8093"/>
      <c r="X8093" s="60"/>
    </row>
    <row r="8094" spans="7:24" ht="15" customHeight="1">
      <c r="G8094"/>
      <c r="I8094"/>
      <c r="N8094"/>
      <c r="O8094" s="24"/>
      <c r="P8094"/>
      <c r="Q8094" s="24"/>
      <c r="R8094"/>
      <c r="S8094"/>
      <c r="T8094"/>
      <c r="U8094"/>
      <c r="X8094" s="60"/>
    </row>
    <row r="8095" spans="7:24" ht="15" customHeight="1">
      <c r="G8095"/>
      <c r="I8095"/>
      <c r="N8095"/>
      <c r="O8095" s="24"/>
      <c r="P8095"/>
      <c r="Q8095" s="24"/>
      <c r="R8095"/>
      <c r="S8095"/>
      <c r="T8095"/>
      <c r="U8095"/>
      <c r="X8095" s="60"/>
    </row>
    <row r="8096" spans="7:24" ht="15" customHeight="1">
      <c r="G8096"/>
      <c r="I8096"/>
      <c r="N8096"/>
      <c r="O8096" s="24"/>
      <c r="P8096"/>
      <c r="Q8096" s="24"/>
      <c r="R8096"/>
      <c r="S8096"/>
      <c r="T8096"/>
      <c r="U8096"/>
      <c r="X8096" s="60"/>
    </row>
    <row r="8097" spans="7:24" ht="15" customHeight="1">
      <c r="G8097"/>
      <c r="I8097"/>
      <c r="N8097"/>
      <c r="O8097" s="24"/>
      <c r="P8097"/>
      <c r="Q8097" s="24"/>
      <c r="R8097"/>
      <c r="S8097"/>
      <c r="T8097"/>
      <c r="U8097"/>
      <c r="X8097" s="60"/>
    </row>
    <row r="8098" spans="7:24" ht="15" customHeight="1">
      <c r="G8098"/>
      <c r="I8098"/>
      <c r="N8098"/>
      <c r="O8098" s="24"/>
      <c r="P8098"/>
      <c r="Q8098" s="24"/>
      <c r="R8098"/>
      <c r="S8098"/>
      <c r="T8098"/>
      <c r="U8098"/>
      <c r="X8098" s="60"/>
    </row>
    <row r="8099" spans="7:24" ht="15" customHeight="1">
      <c r="G8099"/>
      <c r="I8099"/>
      <c r="N8099"/>
      <c r="O8099" s="24"/>
      <c r="P8099"/>
      <c r="Q8099" s="24"/>
      <c r="R8099"/>
      <c r="S8099"/>
      <c r="T8099"/>
      <c r="U8099"/>
      <c r="X8099" s="60"/>
    </row>
    <row r="8100" spans="7:24" ht="15" customHeight="1">
      <c r="G8100"/>
      <c r="I8100"/>
      <c r="N8100"/>
      <c r="O8100" s="24"/>
      <c r="P8100"/>
      <c r="Q8100" s="24"/>
      <c r="R8100"/>
      <c r="S8100"/>
      <c r="T8100"/>
      <c r="U8100"/>
      <c r="X8100" s="60"/>
    </row>
    <row r="8101" spans="7:24" ht="15" customHeight="1">
      <c r="G8101"/>
      <c r="I8101"/>
      <c r="N8101"/>
      <c r="O8101" s="24"/>
      <c r="P8101"/>
      <c r="Q8101" s="24"/>
      <c r="R8101"/>
      <c r="S8101"/>
      <c r="T8101"/>
      <c r="U8101"/>
      <c r="X8101" s="60"/>
    </row>
    <row r="8102" spans="7:24" ht="15" customHeight="1">
      <c r="G8102"/>
      <c r="I8102"/>
      <c r="N8102"/>
      <c r="O8102" s="24"/>
      <c r="P8102"/>
      <c r="Q8102" s="24"/>
      <c r="R8102"/>
      <c r="S8102"/>
      <c r="T8102"/>
      <c r="U8102"/>
      <c r="X8102" s="60"/>
    </row>
    <row r="8103" spans="7:24" ht="15" customHeight="1">
      <c r="G8103"/>
      <c r="I8103"/>
      <c r="N8103"/>
      <c r="O8103" s="24"/>
      <c r="P8103"/>
      <c r="Q8103" s="24"/>
      <c r="R8103"/>
      <c r="S8103"/>
      <c r="T8103"/>
      <c r="U8103"/>
      <c r="X8103" s="60"/>
    </row>
    <row r="8104" spans="7:24" ht="15" customHeight="1">
      <c r="G8104"/>
      <c r="I8104"/>
      <c r="N8104"/>
      <c r="O8104" s="24"/>
      <c r="P8104"/>
      <c r="Q8104" s="24"/>
      <c r="R8104"/>
      <c r="S8104"/>
      <c r="T8104"/>
      <c r="U8104"/>
      <c r="X8104" s="60"/>
    </row>
    <row r="8105" spans="7:24" ht="15" customHeight="1">
      <c r="G8105"/>
      <c r="I8105"/>
      <c r="N8105"/>
      <c r="O8105" s="24"/>
      <c r="P8105"/>
      <c r="Q8105" s="24"/>
      <c r="R8105"/>
      <c r="S8105"/>
      <c r="T8105"/>
      <c r="U8105"/>
      <c r="X8105" s="60"/>
    </row>
    <row r="8106" spans="7:24" ht="15" customHeight="1">
      <c r="G8106"/>
      <c r="I8106"/>
      <c r="N8106"/>
      <c r="O8106" s="24"/>
      <c r="P8106"/>
      <c r="Q8106" s="24"/>
      <c r="R8106"/>
      <c r="S8106"/>
      <c r="T8106"/>
      <c r="U8106"/>
      <c r="X8106" s="60"/>
    </row>
    <row r="8107" spans="7:24" ht="15" customHeight="1">
      <c r="G8107"/>
      <c r="I8107"/>
      <c r="N8107"/>
      <c r="O8107" s="24"/>
      <c r="P8107"/>
      <c r="Q8107" s="24"/>
      <c r="R8107"/>
      <c r="S8107"/>
      <c r="T8107"/>
      <c r="U8107"/>
      <c r="X8107" s="60"/>
    </row>
    <row r="8108" spans="7:24" ht="15" customHeight="1">
      <c r="G8108"/>
      <c r="I8108"/>
      <c r="N8108"/>
      <c r="O8108" s="24"/>
      <c r="P8108"/>
      <c r="Q8108" s="24"/>
      <c r="R8108"/>
      <c r="S8108"/>
      <c r="T8108"/>
      <c r="U8108"/>
      <c r="X8108" s="60"/>
    </row>
    <row r="8109" spans="7:24" ht="15" customHeight="1">
      <c r="G8109"/>
      <c r="I8109"/>
      <c r="N8109"/>
      <c r="O8109" s="24"/>
      <c r="P8109"/>
      <c r="Q8109" s="24"/>
      <c r="R8109"/>
      <c r="S8109"/>
      <c r="T8109"/>
      <c r="U8109"/>
      <c r="X8109" s="60"/>
    </row>
    <row r="8110" spans="7:24" ht="15" customHeight="1">
      <c r="G8110"/>
      <c r="I8110"/>
      <c r="N8110"/>
      <c r="O8110" s="24"/>
      <c r="P8110"/>
      <c r="Q8110" s="24"/>
      <c r="R8110"/>
      <c r="S8110"/>
      <c r="T8110"/>
      <c r="U8110"/>
      <c r="X8110" s="60"/>
    </row>
    <row r="8111" spans="7:24" ht="15" customHeight="1">
      <c r="G8111"/>
      <c r="I8111"/>
      <c r="N8111"/>
      <c r="O8111" s="24"/>
      <c r="P8111"/>
      <c r="Q8111" s="24"/>
      <c r="R8111"/>
      <c r="S8111"/>
      <c r="T8111"/>
      <c r="U8111"/>
      <c r="X8111" s="60"/>
    </row>
    <row r="8112" spans="7:24" ht="15" customHeight="1">
      <c r="G8112"/>
      <c r="I8112"/>
      <c r="N8112"/>
      <c r="O8112" s="24"/>
      <c r="P8112"/>
      <c r="Q8112" s="24"/>
      <c r="R8112"/>
      <c r="S8112"/>
      <c r="T8112"/>
      <c r="U8112"/>
      <c r="X8112" s="60"/>
    </row>
    <row r="8113" spans="7:24" ht="15" customHeight="1">
      <c r="G8113"/>
      <c r="I8113"/>
      <c r="N8113"/>
      <c r="O8113" s="24"/>
      <c r="P8113"/>
      <c r="Q8113" s="24"/>
      <c r="R8113"/>
      <c r="S8113"/>
      <c r="T8113"/>
      <c r="U8113"/>
      <c r="X8113" s="60"/>
    </row>
    <row r="8114" spans="7:24" ht="15" customHeight="1">
      <c r="G8114"/>
      <c r="I8114"/>
      <c r="N8114"/>
      <c r="O8114" s="24"/>
      <c r="P8114"/>
      <c r="Q8114" s="24"/>
      <c r="R8114"/>
      <c r="S8114"/>
      <c r="T8114"/>
      <c r="U8114"/>
      <c r="X8114" s="60"/>
    </row>
    <row r="8115" spans="7:24" ht="15" customHeight="1">
      <c r="G8115"/>
      <c r="I8115"/>
      <c r="N8115"/>
      <c r="O8115" s="24"/>
      <c r="P8115"/>
      <c r="Q8115" s="24"/>
      <c r="R8115"/>
      <c r="S8115"/>
      <c r="T8115"/>
      <c r="U8115"/>
      <c r="X8115" s="60"/>
    </row>
    <row r="8116" spans="7:24" ht="15" customHeight="1">
      <c r="G8116"/>
      <c r="I8116"/>
      <c r="N8116"/>
      <c r="O8116" s="24"/>
      <c r="P8116"/>
      <c r="Q8116" s="24"/>
      <c r="R8116"/>
      <c r="S8116"/>
      <c r="T8116"/>
      <c r="U8116"/>
      <c r="X8116" s="60"/>
    </row>
    <row r="8117" spans="7:24" ht="15" customHeight="1">
      <c r="G8117"/>
      <c r="I8117"/>
      <c r="N8117"/>
      <c r="O8117" s="24"/>
      <c r="P8117"/>
      <c r="Q8117" s="24"/>
      <c r="R8117"/>
      <c r="S8117"/>
      <c r="T8117"/>
      <c r="U8117"/>
      <c r="X8117" s="60"/>
    </row>
    <row r="8118" spans="7:24" ht="15" customHeight="1">
      <c r="G8118"/>
      <c r="I8118"/>
      <c r="N8118"/>
      <c r="O8118" s="24"/>
      <c r="P8118"/>
      <c r="Q8118" s="24"/>
      <c r="R8118"/>
      <c r="S8118"/>
      <c r="T8118"/>
      <c r="U8118"/>
      <c r="X8118" s="60"/>
    </row>
    <row r="8119" spans="7:24" ht="15" customHeight="1">
      <c r="G8119"/>
      <c r="I8119"/>
      <c r="N8119"/>
      <c r="O8119" s="24"/>
      <c r="P8119"/>
      <c r="Q8119" s="24"/>
      <c r="R8119"/>
      <c r="S8119"/>
      <c r="T8119"/>
      <c r="U8119"/>
      <c r="X8119" s="60"/>
    </row>
    <row r="8120" spans="7:24" ht="15" customHeight="1">
      <c r="G8120"/>
      <c r="I8120"/>
      <c r="N8120"/>
      <c r="O8120" s="24"/>
      <c r="P8120"/>
      <c r="Q8120" s="24"/>
      <c r="R8120"/>
      <c r="S8120"/>
      <c r="T8120"/>
      <c r="U8120"/>
      <c r="X8120" s="60"/>
    </row>
    <row r="8121" spans="7:24" ht="15" customHeight="1">
      <c r="G8121"/>
      <c r="I8121"/>
      <c r="N8121"/>
      <c r="O8121" s="24"/>
      <c r="P8121"/>
      <c r="Q8121" s="24"/>
      <c r="R8121"/>
      <c r="S8121"/>
      <c r="T8121"/>
      <c r="U8121"/>
      <c r="X8121" s="60"/>
    </row>
    <row r="8122" spans="7:24" ht="15" customHeight="1">
      <c r="G8122"/>
      <c r="I8122"/>
      <c r="N8122"/>
      <c r="O8122" s="24"/>
      <c r="P8122"/>
      <c r="Q8122" s="24"/>
      <c r="R8122"/>
      <c r="S8122"/>
      <c r="T8122"/>
      <c r="U8122"/>
      <c r="X8122" s="60"/>
    </row>
    <row r="8123" spans="7:24" ht="15" customHeight="1">
      <c r="G8123"/>
      <c r="I8123"/>
      <c r="N8123"/>
      <c r="O8123" s="24"/>
      <c r="P8123"/>
      <c r="Q8123" s="24"/>
      <c r="R8123"/>
      <c r="S8123"/>
      <c r="T8123"/>
      <c r="U8123"/>
      <c r="X8123" s="60"/>
    </row>
    <row r="8124" spans="7:24" ht="15" customHeight="1">
      <c r="G8124"/>
      <c r="I8124"/>
      <c r="N8124"/>
      <c r="O8124" s="24"/>
      <c r="P8124"/>
      <c r="Q8124" s="24"/>
      <c r="R8124"/>
      <c r="S8124"/>
      <c r="T8124"/>
      <c r="U8124"/>
      <c r="X8124" s="60"/>
    </row>
    <row r="8125" spans="7:24" ht="15" customHeight="1">
      <c r="G8125"/>
      <c r="I8125"/>
      <c r="N8125"/>
      <c r="O8125" s="24"/>
      <c r="P8125"/>
      <c r="Q8125" s="24"/>
      <c r="R8125"/>
      <c r="S8125"/>
      <c r="T8125"/>
      <c r="U8125"/>
      <c r="X8125" s="60"/>
    </row>
    <row r="8126" spans="7:24" ht="15" customHeight="1">
      <c r="G8126"/>
      <c r="I8126"/>
      <c r="N8126"/>
      <c r="O8126" s="24"/>
      <c r="P8126"/>
      <c r="Q8126" s="24"/>
      <c r="R8126"/>
      <c r="S8126"/>
      <c r="T8126"/>
      <c r="U8126"/>
      <c r="X8126" s="60"/>
    </row>
    <row r="8127" spans="7:24" ht="15" customHeight="1">
      <c r="G8127"/>
      <c r="I8127"/>
      <c r="N8127"/>
      <c r="O8127" s="24"/>
      <c r="P8127"/>
      <c r="Q8127" s="24"/>
      <c r="R8127"/>
      <c r="S8127"/>
      <c r="T8127"/>
      <c r="U8127"/>
      <c r="X8127" s="60"/>
    </row>
    <row r="8128" spans="7:24" ht="15" customHeight="1">
      <c r="G8128"/>
      <c r="I8128"/>
      <c r="N8128"/>
      <c r="O8128" s="24"/>
      <c r="P8128"/>
      <c r="Q8128" s="24"/>
      <c r="R8128"/>
      <c r="S8128"/>
      <c r="T8128"/>
      <c r="U8128"/>
      <c r="X8128" s="60"/>
    </row>
    <row r="8129" spans="7:24" ht="15" customHeight="1">
      <c r="G8129"/>
      <c r="I8129"/>
      <c r="N8129"/>
      <c r="O8129" s="24"/>
      <c r="P8129"/>
      <c r="Q8129" s="24"/>
      <c r="R8129"/>
      <c r="S8129"/>
      <c r="T8129"/>
      <c r="U8129"/>
      <c r="X8129" s="60"/>
    </row>
    <row r="8130" spans="7:24" ht="15" customHeight="1">
      <c r="G8130"/>
      <c r="I8130"/>
      <c r="N8130"/>
      <c r="O8130" s="24"/>
      <c r="P8130"/>
      <c r="Q8130" s="24"/>
      <c r="R8130"/>
      <c r="S8130"/>
      <c r="T8130"/>
      <c r="U8130"/>
      <c r="X8130" s="60"/>
    </row>
    <row r="8131" spans="7:24" ht="15" customHeight="1">
      <c r="G8131"/>
      <c r="I8131"/>
      <c r="N8131"/>
      <c r="O8131" s="24"/>
      <c r="P8131"/>
      <c r="Q8131" s="24"/>
      <c r="R8131"/>
      <c r="S8131"/>
      <c r="T8131"/>
      <c r="U8131"/>
      <c r="X8131" s="60"/>
    </row>
    <row r="8132" spans="7:24" ht="15" customHeight="1">
      <c r="G8132"/>
      <c r="I8132"/>
      <c r="N8132"/>
      <c r="O8132" s="24"/>
      <c r="P8132"/>
      <c r="Q8132" s="24"/>
      <c r="R8132"/>
      <c r="S8132"/>
      <c r="T8132"/>
      <c r="U8132"/>
      <c r="X8132" s="60"/>
    </row>
    <row r="8133" spans="7:24" ht="15" customHeight="1">
      <c r="G8133"/>
      <c r="I8133"/>
      <c r="N8133"/>
      <c r="O8133" s="24"/>
      <c r="P8133"/>
      <c r="Q8133" s="24"/>
      <c r="R8133"/>
      <c r="S8133"/>
      <c r="T8133"/>
      <c r="U8133"/>
      <c r="X8133" s="60"/>
    </row>
    <row r="8134" spans="7:24" ht="15" customHeight="1">
      <c r="G8134"/>
      <c r="I8134"/>
      <c r="N8134"/>
      <c r="O8134" s="24"/>
      <c r="P8134"/>
      <c r="Q8134" s="24"/>
      <c r="R8134"/>
      <c r="S8134"/>
      <c r="T8134"/>
      <c r="U8134"/>
      <c r="X8134" s="60"/>
    </row>
    <row r="8135" spans="7:24" ht="15" customHeight="1">
      <c r="G8135"/>
      <c r="I8135"/>
      <c r="N8135"/>
      <c r="O8135" s="24"/>
      <c r="P8135"/>
      <c r="Q8135" s="24"/>
      <c r="R8135"/>
      <c r="S8135"/>
      <c r="T8135"/>
      <c r="U8135"/>
      <c r="X8135" s="60"/>
    </row>
    <row r="8136" spans="7:24" ht="15" customHeight="1">
      <c r="G8136"/>
      <c r="I8136"/>
      <c r="N8136"/>
      <c r="O8136" s="24"/>
      <c r="P8136"/>
      <c r="Q8136" s="24"/>
      <c r="R8136"/>
      <c r="S8136"/>
      <c r="T8136"/>
      <c r="U8136"/>
      <c r="X8136" s="60"/>
    </row>
    <row r="8137" spans="7:24" ht="15" customHeight="1">
      <c r="G8137"/>
      <c r="I8137"/>
      <c r="N8137"/>
      <c r="O8137" s="24"/>
      <c r="P8137"/>
      <c r="Q8137" s="24"/>
      <c r="R8137"/>
      <c r="S8137"/>
      <c r="T8137"/>
      <c r="U8137"/>
      <c r="X8137" s="60"/>
    </row>
    <row r="8138" spans="7:24" ht="15" customHeight="1">
      <c r="G8138"/>
      <c r="I8138"/>
      <c r="N8138"/>
      <c r="O8138" s="24"/>
      <c r="P8138"/>
      <c r="Q8138" s="24"/>
      <c r="R8138"/>
      <c r="S8138"/>
      <c r="T8138"/>
      <c r="U8138"/>
      <c r="X8138" s="60"/>
    </row>
    <row r="8139" spans="7:24" ht="15" customHeight="1">
      <c r="G8139"/>
      <c r="I8139"/>
      <c r="N8139"/>
      <c r="O8139" s="24"/>
      <c r="P8139"/>
      <c r="Q8139" s="24"/>
      <c r="R8139"/>
      <c r="S8139"/>
      <c r="T8139"/>
      <c r="U8139"/>
      <c r="X8139" s="60"/>
    </row>
    <row r="8140" spans="7:24" ht="15" customHeight="1">
      <c r="G8140"/>
      <c r="I8140"/>
      <c r="N8140"/>
      <c r="O8140" s="24"/>
      <c r="P8140"/>
      <c r="Q8140" s="24"/>
      <c r="R8140"/>
      <c r="S8140"/>
      <c r="T8140"/>
      <c r="U8140"/>
      <c r="X8140" s="60"/>
    </row>
    <row r="8141" spans="7:24" ht="15" customHeight="1">
      <c r="G8141"/>
      <c r="I8141"/>
      <c r="N8141"/>
      <c r="O8141" s="24"/>
      <c r="P8141"/>
      <c r="Q8141" s="24"/>
      <c r="R8141"/>
      <c r="S8141"/>
      <c r="T8141"/>
      <c r="U8141"/>
      <c r="X8141" s="60"/>
    </row>
    <row r="8142" spans="7:24" ht="15" customHeight="1">
      <c r="G8142"/>
      <c r="I8142"/>
      <c r="N8142"/>
      <c r="O8142" s="24"/>
      <c r="P8142"/>
      <c r="Q8142" s="24"/>
      <c r="R8142"/>
      <c r="S8142"/>
      <c r="T8142"/>
      <c r="U8142"/>
      <c r="X8142" s="60"/>
    </row>
    <row r="8143" spans="7:24" ht="15" customHeight="1">
      <c r="G8143"/>
      <c r="I8143"/>
      <c r="N8143"/>
      <c r="O8143" s="24"/>
      <c r="P8143"/>
      <c r="Q8143" s="24"/>
      <c r="R8143"/>
      <c r="S8143"/>
      <c r="T8143"/>
      <c r="U8143"/>
      <c r="X8143" s="60"/>
    </row>
    <row r="8144" spans="7:24" ht="15" customHeight="1">
      <c r="G8144"/>
      <c r="I8144"/>
      <c r="N8144"/>
      <c r="O8144" s="24"/>
      <c r="P8144"/>
      <c r="Q8144" s="24"/>
      <c r="R8144"/>
      <c r="S8144"/>
      <c r="T8144"/>
      <c r="U8144"/>
      <c r="X8144" s="60"/>
    </row>
    <row r="8145" spans="7:24" ht="15" customHeight="1">
      <c r="G8145"/>
      <c r="I8145"/>
      <c r="N8145"/>
      <c r="O8145" s="24"/>
      <c r="P8145"/>
      <c r="Q8145" s="24"/>
      <c r="R8145"/>
      <c r="S8145"/>
      <c r="T8145"/>
      <c r="U8145"/>
      <c r="X8145" s="60"/>
    </row>
    <row r="8146" spans="7:24" ht="15" customHeight="1">
      <c r="G8146"/>
      <c r="I8146"/>
      <c r="N8146"/>
      <c r="O8146" s="24"/>
      <c r="P8146"/>
      <c r="Q8146" s="24"/>
      <c r="R8146"/>
      <c r="S8146"/>
      <c r="T8146"/>
      <c r="U8146"/>
      <c r="X8146" s="60"/>
    </row>
    <row r="8147" spans="7:24" ht="15" customHeight="1">
      <c r="G8147"/>
      <c r="I8147"/>
      <c r="N8147"/>
      <c r="O8147" s="24"/>
      <c r="P8147"/>
      <c r="Q8147" s="24"/>
      <c r="R8147"/>
      <c r="S8147"/>
      <c r="T8147"/>
      <c r="U8147"/>
      <c r="X8147" s="60"/>
    </row>
    <row r="8148" spans="7:24" ht="15" customHeight="1">
      <c r="G8148"/>
      <c r="I8148"/>
      <c r="N8148"/>
      <c r="O8148" s="24"/>
      <c r="P8148"/>
      <c r="Q8148" s="24"/>
      <c r="R8148"/>
      <c r="S8148"/>
      <c r="T8148"/>
      <c r="U8148"/>
      <c r="X8148" s="60"/>
    </row>
    <row r="8149" spans="7:24" ht="15" customHeight="1">
      <c r="G8149"/>
      <c r="I8149"/>
      <c r="N8149"/>
      <c r="O8149" s="24"/>
      <c r="P8149"/>
      <c r="Q8149" s="24"/>
      <c r="R8149"/>
      <c r="S8149"/>
      <c r="T8149"/>
      <c r="U8149"/>
      <c r="X8149" s="60"/>
    </row>
    <row r="8150" spans="7:24" ht="15" customHeight="1">
      <c r="G8150"/>
      <c r="I8150"/>
      <c r="N8150"/>
      <c r="O8150" s="24"/>
      <c r="P8150"/>
      <c r="Q8150" s="24"/>
      <c r="R8150"/>
      <c r="S8150"/>
      <c r="T8150"/>
      <c r="U8150"/>
      <c r="X8150" s="60"/>
    </row>
    <row r="8151" spans="7:24" ht="15" customHeight="1">
      <c r="G8151"/>
      <c r="I8151"/>
      <c r="N8151"/>
      <c r="O8151" s="24"/>
      <c r="P8151"/>
      <c r="Q8151" s="24"/>
      <c r="R8151"/>
      <c r="S8151"/>
      <c r="T8151"/>
      <c r="U8151"/>
      <c r="X8151" s="60"/>
    </row>
    <row r="8152" spans="7:24" ht="15" customHeight="1">
      <c r="G8152"/>
      <c r="I8152"/>
      <c r="N8152"/>
      <c r="O8152" s="24"/>
      <c r="P8152"/>
      <c r="Q8152" s="24"/>
      <c r="R8152"/>
      <c r="S8152"/>
      <c r="T8152"/>
      <c r="U8152"/>
      <c r="X8152" s="60"/>
    </row>
    <row r="8153" spans="7:24" ht="15" customHeight="1">
      <c r="G8153"/>
      <c r="I8153"/>
      <c r="N8153"/>
      <c r="O8153" s="24"/>
      <c r="P8153"/>
      <c r="Q8153" s="24"/>
      <c r="R8153"/>
      <c r="S8153"/>
      <c r="T8153"/>
      <c r="U8153"/>
      <c r="X8153" s="60"/>
    </row>
    <row r="8154" spans="7:24" ht="15" customHeight="1">
      <c r="G8154"/>
      <c r="I8154"/>
      <c r="N8154"/>
      <c r="O8154" s="24"/>
      <c r="P8154"/>
      <c r="Q8154" s="24"/>
      <c r="R8154"/>
      <c r="S8154"/>
      <c r="T8154"/>
      <c r="U8154"/>
      <c r="X8154" s="60"/>
    </row>
    <row r="8155" spans="7:24" ht="15" customHeight="1">
      <c r="G8155"/>
      <c r="I8155"/>
      <c r="N8155"/>
      <c r="O8155" s="24"/>
      <c r="P8155"/>
      <c r="Q8155" s="24"/>
      <c r="R8155"/>
      <c r="S8155"/>
      <c r="T8155"/>
      <c r="U8155"/>
      <c r="X8155" s="60"/>
    </row>
    <row r="8156" spans="7:24" ht="15" customHeight="1">
      <c r="G8156"/>
      <c r="I8156"/>
      <c r="N8156"/>
      <c r="O8156" s="24"/>
      <c r="P8156"/>
      <c r="Q8156" s="24"/>
      <c r="R8156"/>
      <c r="S8156"/>
      <c r="T8156"/>
      <c r="U8156"/>
      <c r="X8156" s="60"/>
    </row>
    <row r="8157" spans="7:24" ht="15" customHeight="1">
      <c r="G8157"/>
      <c r="I8157"/>
      <c r="N8157"/>
      <c r="O8157" s="24"/>
      <c r="P8157"/>
      <c r="Q8157" s="24"/>
      <c r="R8157"/>
      <c r="S8157"/>
      <c r="T8157"/>
      <c r="U8157"/>
      <c r="X8157" s="60"/>
    </row>
    <row r="8158" spans="7:24" ht="15" customHeight="1">
      <c r="G8158"/>
      <c r="I8158"/>
      <c r="N8158"/>
      <c r="O8158" s="24"/>
      <c r="P8158"/>
      <c r="Q8158" s="24"/>
      <c r="R8158"/>
      <c r="S8158"/>
      <c r="T8158"/>
      <c r="U8158"/>
      <c r="X8158" s="60"/>
    </row>
    <row r="8159" spans="7:24" ht="15" customHeight="1">
      <c r="G8159"/>
      <c r="I8159"/>
      <c r="N8159"/>
      <c r="O8159" s="24"/>
      <c r="P8159"/>
      <c r="Q8159" s="24"/>
      <c r="R8159"/>
      <c r="S8159"/>
      <c r="T8159"/>
      <c r="U8159"/>
      <c r="X8159" s="60"/>
    </row>
    <row r="8160" spans="7:24" ht="15" customHeight="1">
      <c r="G8160"/>
      <c r="I8160"/>
      <c r="N8160"/>
      <c r="O8160" s="24"/>
      <c r="P8160"/>
      <c r="Q8160" s="24"/>
      <c r="R8160"/>
      <c r="S8160"/>
      <c r="T8160"/>
      <c r="U8160"/>
      <c r="X8160" s="60"/>
    </row>
    <row r="8161" spans="7:24" ht="15" customHeight="1">
      <c r="G8161"/>
      <c r="I8161"/>
      <c r="N8161"/>
      <c r="O8161" s="24"/>
      <c r="P8161"/>
      <c r="Q8161" s="24"/>
      <c r="R8161"/>
      <c r="S8161"/>
      <c r="T8161"/>
      <c r="U8161"/>
      <c r="X8161" s="60"/>
    </row>
    <row r="8162" spans="7:24" ht="15" customHeight="1">
      <c r="G8162"/>
      <c r="I8162"/>
      <c r="N8162"/>
      <c r="O8162" s="24"/>
      <c r="P8162"/>
      <c r="Q8162" s="24"/>
      <c r="R8162"/>
      <c r="S8162"/>
      <c r="T8162"/>
      <c r="U8162"/>
      <c r="X8162" s="60"/>
    </row>
    <row r="8163" spans="7:24" ht="15" customHeight="1">
      <c r="G8163"/>
      <c r="I8163"/>
      <c r="N8163"/>
      <c r="O8163" s="24"/>
      <c r="P8163"/>
      <c r="Q8163" s="24"/>
      <c r="R8163"/>
      <c r="S8163"/>
      <c r="T8163"/>
      <c r="U8163"/>
      <c r="X8163" s="60"/>
    </row>
    <row r="8164" spans="7:24" ht="15" customHeight="1">
      <c r="G8164"/>
      <c r="I8164"/>
      <c r="N8164"/>
      <c r="O8164" s="24"/>
      <c r="P8164"/>
      <c r="Q8164" s="24"/>
      <c r="R8164"/>
      <c r="S8164"/>
      <c r="T8164"/>
      <c r="U8164"/>
      <c r="X8164" s="60"/>
    </row>
    <row r="8165" spans="7:24" ht="15" customHeight="1">
      <c r="G8165"/>
      <c r="I8165"/>
      <c r="N8165"/>
      <c r="O8165" s="24"/>
      <c r="P8165"/>
      <c r="Q8165" s="24"/>
      <c r="R8165"/>
      <c r="S8165"/>
      <c r="T8165"/>
      <c r="U8165"/>
      <c r="X8165" s="60"/>
    </row>
    <row r="8166" spans="7:24" ht="15" customHeight="1">
      <c r="G8166"/>
      <c r="I8166"/>
      <c r="N8166"/>
      <c r="O8166" s="24"/>
      <c r="P8166"/>
      <c r="Q8166" s="24"/>
      <c r="R8166"/>
      <c r="S8166"/>
      <c r="T8166"/>
      <c r="U8166"/>
      <c r="X8166" s="60"/>
    </row>
    <row r="8167" spans="7:24" ht="15" customHeight="1">
      <c r="G8167"/>
      <c r="I8167"/>
      <c r="N8167"/>
      <c r="O8167" s="24"/>
      <c r="P8167"/>
      <c r="Q8167" s="24"/>
      <c r="R8167"/>
      <c r="S8167"/>
      <c r="T8167"/>
      <c r="U8167"/>
      <c r="X8167" s="60"/>
    </row>
    <row r="8168" spans="7:24" ht="15" customHeight="1">
      <c r="G8168"/>
      <c r="I8168"/>
      <c r="N8168"/>
      <c r="O8168" s="24"/>
      <c r="P8168"/>
      <c r="Q8168" s="24"/>
      <c r="R8168"/>
      <c r="S8168"/>
      <c r="T8168"/>
      <c r="U8168"/>
      <c r="X8168" s="60"/>
    </row>
    <row r="8169" spans="7:24" ht="15" customHeight="1">
      <c r="G8169"/>
      <c r="I8169"/>
      <c r="N8169"/>
      <c r="O8169" s="24"/>
      <c r="P8169"/>
      <c r="Q8169" s="24"/>
      <c r="R8169"/>
      <c r="S8169"/>
      <c r="T8169"/>
      <c r="U8169"/>
      <c r="X8169" s="60"/>
    </row>
    <row r="8170" spans="7:24" ht="15" customHeight="1">
      <c r="G8170"/>
      <c r="I8170"/>
      <c r="N8170"/>
      <c r="O8170" s="24"/>
      <c r="P8170"/>
      <c r="Q8170" s="24"/>
      <c r="R8170"/>
      <c r="S8170"/>
      <c r="T8170"/>
      <c r="U8170"/>
      <c r="X8170" s="60"/>
    </row>
    <row r="8171" spans="7:24" ht="15" customHeight="1">
      <c r="G8171"/>
      <c r="I8171"/>
      <c r="N8171"/>
      <c r="O8171" s="24"/>
      <c r="P8171"/>
      <c r="Q8171" s="24"/>
      <c r="R8171"/>
      <c r="S8171"/>
      <c r="T8171"/>
      <c r="U8171"/>
      <c r="X8171" s="60"/>
    </row>
    <row r="8172" spans="7:24" ht="15" customHeight="1">
      <c r="G8172"/>
      <c r="I8172"/>
      <c r="N8172"/>
      <c r="O8172" s="24"/>
      <c r="P8172"/>
      <c r="Q8172" s="24"/>
      <c r="R8172"/>
      <c r="S8172"/>
      <c r="T8172"/>
      <c r="U8172"/>
      <c r="X8172" s="60"/>
    </row>
    <row r="8173" spans="7:24" ht="15" customHeight="1">
      <c r="G8173"/>
      <c r="I8173"/>
      <c r="N8173"/>
      <c r="O8173" s="24"/>
      <c r="P8173"/>
      <c r="Q8173" s="24"/>
      <c r="R8173"/>
      <c r="S8173"/>
      <c r="T8173"/>
      <c r="U8173"/>
      <c r="X8173" s="60"/>
    </row>
    <row r="8174" spans="7:24" ht="15" customHeight="1">
      <c r="G8174"/>
      <c r="I8174"/>
      <c r="N8174"/>
      <c r="O8174" s="24"/>
      <c r="P8174"/>
      <c r="Q8174" s="24"/>
      <c r="R8174"/>
      <c r="S8174"/>
      <c r="T8174"/>
      <c r="U8174"/>
      <c r="X8174" s="60"/>
    </row>
    <row r="8175" spans="7:24" ht="15" customHeight="1">
      <c r="G8175"/>
      <c r="I8175"/>
      <c r="N8175"/>
      <c r="O8175" s="24"/>
      <c r="P8175"/>
      <c r="Q8175" s="24"/>
      <c r="R8175"/>
      <c r="S8175"/>
      <c r="T8175"/>
      <c r="U8175"/>
      <c r="X8175" s="60"/>
    </row>
    <row r="8176" spans="7:24" ht="15" customHeight="1">
      <c r="G8176"/>
      <c r="I8176"/>
      <c r="N8176"/>
      <c r="O8176" s="24"/>
      <c r="P8176"/>
      <c r="Q8176" s="24"/>
      <c r="R8176"/>
      <c r="S8176"/>
      <c r="T8176"/>
      <c r="U8176"/>
      <c r="X8176" s="60"/>
    </row>
    <row r="8177" spans="7:24" ht="15" customHeight="1">
      <c r="G8177"/>
      <c r="I8177"/>
      <c r="N8177"/>
      <c r="O8177" s="24"/>
      <c r="P8177"/>
      <c r="Q8177" s="24"/>
      <c r="R8177"/>
      <c r="S8177"/>
      <c r="T8177"/>
      <c r="U8177"/>
      <c r="X8177" s="60"/>
    </row>
    <row r="8178" spans="7:24" ht="15" customHeight="1">
      <c r="G8178"/>
      <c r="I8178"/>
      <c r="N8178"/>
      <c r="O8178" s="24"/>
      <c r="P8178"/>
      <c r="Q8178" s="24"/>
      <c r="R8178"/>
      <c r="S8178"/>
      <c r="T8178"/>
      <c r="U8178"/>
      <c r="X8178" s="60"/>
    </row>
    <row r="8179" spans="7:24" ht="15" customHeight="1">
      <c r="G8179"/>
      <c r="I8179"/>
      <c r="N8179"/>
      <c r="O8179" s="24"/>
      <c r="P8179"/>
      <c r="Q8179" s="24"/>
      <c r="R8179"/>
      <c r="S8179"/>
      <c r="T8179"/>
      <c r="U8179"/>
      <c r="X8179" s="60"/>
    </row>
    <row r="8180" spans="7:24" ht="15" customHeight="1">
      <c r="G8180"/>
      <c r="I8180"/>
      <c r="N8180"/>
      <c r="O8180" s="24"/>
      <c r="P8180"/>
      <c r="Q8180" s="24"/>
      <c r="R8180"/>
      <c r="S8180"/>
      <c r="T8180"/>
      <c r="U8180"/>
      <c r="X8180" s="60"/>
    </row>
    <row r="8181" spans="7:24" ht="15" customHeight="1">
      <c r="G8181"/>
      <c r="I8181"/>
      <c r="N8181"/>
      <c r="O8181" s="24"/>
      <c r="P8181"/>
      <c r="Q8181" s="24"/>
      <c r="R8181"/>
      <c r="S8181"/>
      <c r="T8181"/>
      <c r="U8181"/>
      <c r="X8181" s="60"/>
    </row>
    <row r="8182" spans="7:24" ht="15" customHeight="1">
      <c r="G8182"/>
      <c r="I8182"/>
      <c r="N8182"/>
      <c r="O8182" s="24"/>
      <c r="P8182"/>
      <c r="Q8182" s="24"/>
      <c r="R8182"/>
      <c r="S8182"/>
      <c r="T8182"/>
      <c r="U8182"/>
      <c r="X8182" s="60"/>
    </row>
    <row r="8183" spans="7:24" ht="15" customHeight="1">
      <c r="G8183"/>
      <c r="I8183"/>
      <c r="N8183"/>
      <c r="O8183" s="24"/>
      <c r="P8183"/>
      <c r="Q8183" s="24"/>
      <c r="R8183"/>
      <c r="S8183"/>
      <c r="T8183"/>
      <c r="U8183"/>
      <c r="X8183" s="60"/>
    </row>
    <row r="8184" spans="7:24" ht="15" customHeight="1">
      <c r="G8184"/>
      <c r="I8184"/>
      <c r="N8184"/>
      <c r="O8184" s="24"/>
      <c r="P8184"/>
      <c r="Q8184" s="24"/>
      <c r="R8184"/>
      <c r="S8184"/>
      <c r="T8184"/>
      <c r="U8184"/>
      <c r="X8184" s="60"/>
    </row>
    <row r="8185" spans="7:24" ht="15" customHeight="1">
      <c r="G8185"/>
      <c r="I8185"/>
      <c r="N8185"/>
      <c r="O8185" s="24"/>
      <c r="P8185"/>
      <c r="Q8185" s="24"/>
      <c r="R8185"/>
      <c r="S8185"/>
      <c r="T8185"/>
      <c r="U8185"/>
      <c r="X8185" s="60"/>
    </row>
    <row r="8186" spans="7:24" ht="15" customHeight="1">
      <c r="G8186"/>
      <c r="I8186"/>
      <c r="N8186"/>
      <c r="O8186" s="24"/>
      <c r="P8186"/>
      <c r="Q8186" s="24"/>
      <c r="R8186"/>
      <c r="S8186"/>
      <c r="T8186"/>
      <c r="U8186"/>
      <c r="X8186" s="60"/>
    </row>
    <row r="8187" spans="7:24" ht="15" customHeight="1">
      <c r="G8187"/>
      <c r="I8187"/>
      <c r="N8187"/>
      <c r="O8187" s="24"/>
      <c r="P8187"/>
      <c r="Q8187" s="24"/>
      <c r="R8187"/>
      <c r="S8187"/>
      <c r="T8187"/>
      <c r="U8187"/>
      <c r="X8187" s="60"/>
    </row>
    <row r="8188" spans="7:24" ht="15" customHeight="1">
      <c r="G8188"/>
      <c r="I8188"/>
      <c r="N8188"/>
      <c r="O8188" s="24"/>
      <c r="P8188"/>
      <c r="Q8188" s="24"/>
      <c r="R8188"/>
      <c r="S8188"/>
      <c r="T8188"/>
      <c r="U8188"/>
      <c r="X8188" s="60"/>
    </row>
    <row r="8189" spans="7:24" ht="15" customHeight="1">
      <c r="G8189"/>
      <c r="I8189"/>
      <c r="N8189"/>
      <c r="O8189" s="24"/>
      <c r="P8189"/>
      <c r="Q8189" s="24"/>
      <c r="R8189"/>
      <c r="S8189"/>
      <c r="T8189"/>
      <c r="U8189"/>
      <c r="X8189" s="60"/>
    </row>
    <row r="8190" spans="7:24" ht="15" customHeight="1">
      <c r="G8190"/>
      <c r="I8190"/>
      <c r="N8190"/>
      <c r="O8190" s="24"/>
      <c r="P8190"/>
      <c r="Q8190" s="24"/>
      <c r="R8190"/>
      <c r="S8190"/>
      <c r="T8190"/>
      <c r="U8190"/>
      <c r="X8190" s="60"/>
    </row>
    <row r="8191" spans="7:24" ht="15" customHeight="1">
      <c r="G8191"/>
      <c r="I8191"/>
      <c r="N8191"/>
      <c r="O8191" s="24"/>
      <c r="P8191"/>
      <c r="Q8191" s="24"/>
      <c r="R8191"/>
      <c r="S8191"/>
      <c r="T8191"/>
      <c r="U8191"/>
      <c r="X8191" s="60"/>
    </row>
    <row r="8192" spans="7:24" ht="15" customHeight="1">
      <c r="G8192"/>
      <c r="I8192"/>
      <c r="N8192"/>
      <c r="O8192" s="24"/>
      <c r="P8192"/>
      <c r="Q8192" s="24"/>
      <c r="R8192"/>
      <c r="S8192"/>
      <c r="T8192"/>
      <c r="U8192"/>
      <c r="X8192" s="60"/>
    </row>
    <row r="8193" spans="7:24" ht="15" customHeight="1">
      <c r="G8193"/>
      <c r="I8193"/>
      <c r="N8193"/>
      <c r="O8193" s="24"/>
      <c r="P8193"/>
      <c r="Q8193" s="24"/>
      <c r="R8193"/>
      <c r="S8193"/>
      <c r="T8193"/>
      <c r="U8193"/>
      <c r="X8193" s="60"/>
    </row>
    <row r="8194" spans="7:24" ht="15" customHeight="1">
      <c r="G8194"/>
      <c r="I8194"/>
      <c r="N8194"/>
      <c r="O8194" s="24"/>
      <c r="P8194"/>
      <c r="Q8194" s="24"/>
      <c r="R8194"/>
      <c r="S8194"/>
      <c r="T8194"/>
      <c r="U8194"/>
      <c r="X8194" s="60"/>
    </row>
    <row r="8195" spans="7:24" ht="15" customHeight="1">
      <c r="G8195"/>
      <c r="I8195"/>
      <c r="N8195"/>
      <c r="O8195" s="24"/>
      <c r="P8195"/>
      <c r="Q8195" s="24"/>
      <c r="R8195"/>
      <c r="S8195"/>
      <c r="T8195"/>
      <c r="U8195"/>
      <c r="X8195" s="60"/>
    </row>
    <row r="8196" spans="7:24" ht="15" customHeight="1">
      <c r="G8196"/>
      <c r="I8196"/>
      <c r="N8196"/>
      <c r="O8196" s="24"/>
      <c r="P8196"/>
      <c r="Q8196" s="24"/>
      <c r="R8196"/>
      <c r="S8196"/>
      <c r="T8196"/>
      <c r="U8196"/>
      <c r="X8196" s="60"/>
    </row>
    <row r="8197" spans="7:24" ht="15" customHeight="1">
      <c r="G8197"/>
      <c r="I8197"/>
      <c r="N8197"/>
      <c r="O8197" s="24"/>
      <c r="P8197"/>
      <c r="Q8197" s="24"/>
      <c r="R8197"/>
      <c r="S8197"/>
      <c r="T8197"/>
      <c r="U8197"/>
      <c r="X8197" s="60"/>
    </row>
    <row r="8198" spans="7:24" ht="15" customHeight="1">
      <c r="G8198"/>
      <c r="I8198"/>
      <c r="N8198"/>
      <c r="O8198" s="24"/>
      <c r="P8198"/>
      <c r="Q8198" s="24"/>
      <c r="R8198"/>
      <c r="S8198"/>
      <c r="T8198"/>
      <c r="U8198"/>
      <c r="X8198" s="60"/>
    </row>
    <row r="8199" spans="7:24" ht="15" customHeight="1">
      <c r="G8199"/>
      <c r="I8199"/>
      <c r="N8199"/>
      <c r="O8199" s="24"/>
      <c r="P8199"/>
      <c r="Q8199" s="24"/>
      <c r="R8199"/>
      <c r="S8199"/>
      <c r="T8199"/>
      <c r="U8199"/>
      <c r="X8199" s="60"/>
    </row>
    <row r="8200" spans="7:24" ht="15" customHeight="1">
      <c r="G8200"/>
      <c r="I8200"/>
      <c r="N8200"/>
      <c r="O8200" s="24"/>
      <c r="P8200"/>
      <c r="Q8200" s="24"/>
      <c r="R8200"/>
      <c r="S8200"/>
      <c r="T8200"/>
      <c r="U8200"/>
      <c r="X8200" s="60"/>
    </row>
    <row r="8201" spans="7:24" ht="15" customHeight="1">
      <c r="G8201"/>
      <c r="I8201"/>
      <c r="N8201"/>
      <c r="O8201" s="24"/>
      <c r="P8201"/>
      <c r="Q8201" s="24"/>
      <c r="R8201"/>
      <c r="S8201"/>
      <c r="T8201"/>
      <c r="U8201"/>
      <c r="X8201" s="60"/>
    </row>
    <row r="8202" spans="7:24" ht="15" customHeight="1">
      <c r="G8202"/>
      <c r="I8202"/>
      <c r="N8202"/>
      <c r="O8202" s="24"/>
      <c r="P8202"/>
      <c r="Q8202" s="24"/>
      <c r="R8202"/>
      <c r="S8202"/>
      <c r="T8202"/>
      <c r="U8202"/>
      <c r="X8202" s="60"/>
    </row>
    <row r="8203" spans="7:24" ht="15" customHeight="1">
      <c r="G8203"/>
      <c r="I8203"/>
      <c r="N8203"/>
      <c r="O8203" s="24"/>
      <c r="P8203"/>
      <c r="Q8203" s="24"/>
      <c r="R8203"/>
      <c r="S8203"/>
      <c r="T8203"/>
      <c r="U8203"/>
      <c r="X8203" s="60"/>
    </row>
    <row r="8204" spans="7:24" ht="15" customHeight="1">
      <c r="G8204"/>
      <c r="I8204"/>
      <c r="N8204"/>
      <c r="O8204" s="24"/>
      <c r="P8204"/>
      <c r="Q8204" s="24"/>
      <c r="R8204"/>
      <c r="S8204"/>
      <c r="T8204"/>
      <c r="U8204"/>
      <c r="X8204" s="60"/>
    </row>
    <row r="8205" spans="7:24" ht="15" customHeight="1">
      <c r="G8205"/>
      <c r="I8205"/>
      <c r="N8205"/>
      <c r="O8205" s="24"/>
      <c r="P8205"/>
      <c r="Q8205" s="24"/>
      <c r="R8205"/>
      <c r="S8205"/>
      <c r="T8205"/>
      <c r="U8205"/>
      <c r="X8205" s="60"/>
    </row>
    <row r="8206" spans="7:24" ht="15" customHeight="1">
      <c r="G8206"/>
      <c r="I8206"/>
      <c r="N8206"/>
      <c r="O8206" s="24"/>
      <c r="P8206"/>
      <c r="Q8206" s="24"/>
      <c r="R8206"/>
      <c r="S8206"/>
      <c r="T8206"/>
      <c r="U8206"/>
      <c r="X8206" s="60"/>
    </row>
    <row r="8207" spans="7:24" ht="15" customHeight="1">
      <c r="G8207"/>
      <c r="I8207"/>
      <c r="N8207"/>
      <c r="O8207" s="24"/>
      <c r="P8207"/>
      <c r="Q8207" s="24"/>
      <c r="R8207"/>
      <c r="S8207"/>
      <c r="T8207"/>
      <c r="U8207"/>
      <c r="X8207" s="60"/>
    </row>
    <row r="8208" spans="7:24" ht="15" customHeight="1">
      <c r="G8208"/>
      <c r="I8208"/>
      <c r="N8208"/>
      <c r="O8208" s="24"/>
      <c r="P8208"/>
      <c r="Q8208" s="24"/>
      <c r="R8208"/>
      <c r="S8208"/>
      <c r="T8208"/>
      <c r="U8208"/>
      <c r="X8208" s="60"/>
    </row>
    <row r="8209" spans="7:24" ht="15" customHeight="1">
      <c r="G8209"/>
      <c r="I8209"/>
      <c r="N8209"/>
      <c r="O8209" s="24"/>
      <c r="P8209"/>
      <c r="Q8209" s="24"/>
      <c r="R8209"/>
      <c r="S8209"/>
      <c r="T8209"/>
      <c r="U8209"/>
      <c r="X8209" s="60"/>
    </row>
    <row r="8210" spans="7:24" ht="15" customHeight="1">
      <c r="G8210"/>
      <c r="I8210"/>
      <c r="N8210"/>
      <c r="O8210" s="24"/>
      <c r="P8210"/>
      <c r="Q8210" s="24"/>
      <c r="R8210"/>
      <c r="S8210"/>
      <c r="T8210"/>
      <c r="U8210"/>
      <c r="X8210" s="60"/>
    </row>
    <row r="8211" spans="7:24" ht="15" customHeight="1">
      <c r="G8211"/>
      <c r="I8211"/>
      <c r="N8211"/>
      <c r="O8211" s="24"/>
      <c r="P8211"/>
      <c r="Q8211" s="24"/>
      <c r="R8211"/>
      <c r="S8211"/>
      <c r="T8211"/>
      <c r="U8211"/>
      <c r="X8211" s="60"/>
    </row>
    <row r="8212" spans="7:24" ht="15" customHeight="1">
      <c r="G8212"/>
      <c r="I8212"/>
      <c r="N8212"/>
      <c r="O8212" s="24"/>
      <c r="P8212"/>
      <c r="Q8212" s="24"/>
      <c r="R8212"/>
      <c r="S8212"/>
      <c r="T8212"/>
      <c r="U8212"/>
      <c r="X8212" s="60"/>
    </row>
    <row r="8213" spans="7:24" ht="15" customHeight="1">
      <c r="G8213"/>
      <c r="I8213"/>
      <c r="N8213"/>
      <c r="O8213" s="24"/>
      <c r="P8213"/>
      <c r="Q8213" s="24"/>
      <c r="R8213"/>
      <c r="S8213"/>
      <c r="T8213"/>
      <c r="U8213"/>
      <c r="X8213" s="60"/>
    </row>
    <row r="8214" spans="7:24" ht="15" customHeight="1">
      <c r="G8214"/>
      <c r="I8214"/>
      <c r="N8214"/>
      <c r="O8214" s="24"/>
      <c r="P8214"/>
      <c r="Q8214" s="24"/>
      <c r="R8214"/>
      <c r="S8214"/>
      <c r="T8214"/>
      <c r="U8214"/>
      <c r="X8214" s="60"/>
    </row>
    <row r="8215" spans="7:24" ht="15" customHeight="1">
      <c r="G8215"/>
      <c r="I8215"/>
      <c r="N8215"/>
      <c r="O8215" s="24"/>
      <c r="P8215"/>
      <c r="Q8215" s="24"/>
      <c r="R8215"/>
      <c r="S8215"/>
      <c r="T8215"/>
      <c r="U8215"/>
      <c r="X8215" s="60"/>
    </row>
    <row r="8216" spans="7:24" ht="15" customHeight="1">
      <c r="G8216"/>
      <c r="I8216"/>
      <c r="N8216"/>
      <c r="O8216" s="24"/>
      <c r="P8216"/>
      <c r="Q8216" s="24"/>
      <c r="R8216"/>
      <c r="S8216"/>
      <c r="T8216"/>
      <c r="U8216"/>
      <c r="X8216" s="60"/>
    </row>
    <row r="8217" spans="7:24" ht="15" customHeight="1">
      <c r="G8217"/>
      <c r="I8217"/>
      <c r="N8217"/>
      <c r="O8217" s="24"/>
      <c r="P8217"/>
      <c r="Q8217" s="24"/>
      <c r="R8217"/>
      <c r="S8217"/>
      <c r="T8217"/>
      <c r="U8217"/>
      <c r="X8217" s="60"/>
    </row>
    <row r="8218" spans="7:24" ht="15" customHeight="1">
      <c r="G8218"/>
      <c r="I8218"/>
      <c r="N8218"/>
      <c r="O8218" s="24"/>
      <c r="P8218"/>
      <c r="Q8218" s="24"/>
      <c r="R8218"/>
      <c r="S8218"/>
      <c r="T8218"/>
      <c r="U8218"/>
      <c r="X8218" s="60"/>
    </row>
    <row r="8219" spans="7:24" ht="15" customHeight="1">
      <c r="G8219"/>
      <c r="I8219"/>
      <c r="N8219"/>
      <c r="O8219" s="24"/>
      <c r="P8219"/>
      <c r="Q8219" s="24"/>
      <c r="R8219"/>
      <c r="S8219"/>
      <c r="T8219"/>
      <c r="U8219"/>
      <c r="X8219" s="60"/>
    </row>
    <row r="8220" spans="7:24" ht="15" customHeight="1">
      <c r="G8220"/>
      <c r="I8220"/>
      <c r="N8220"/>
      <c r="O8220" s="24"/>
      <c r="P8220"/>
      <c r="Q8220" s="24"/>
      <c r="R8220"/>
      <c r="S8220"/>
      <c r="T8220"/>
      <c r="U8220"/>
      <c r="X8220" s="60"/>
    </row>
    <row r="8221" spans="7:24" ht="15" customHeight="1">
      <c r="G8221"/>
      <c r="I8221"/>
      <c r="N8221"/>
      <c r="O8221" s="24"/>
      <c r="P8221"/>
      <c r="Q8221" s="24"/>
      <c r="R8221"/>
      <c r="S8221"/>
      <c r="T8221"/>
      <c r="U8221"/>
      <c r="X8221" s="60"/>
    </row>
    <row r="8222" spans="7:24" ht="15" customHeight="1">
      <c r="G8222"/>
      <c r="I8222"/>
      <c r="N8222"/>
      <c r="O8222" s="24"/>
      <c r="P8222"/>
      <c r="Q8222" s="24"/>
      <c r="R8222"/>
      <c r="S8222"/>
      <c r="T8222"/>
      <c r="U8222"/>
      <c r="X8222" s="60"/>
    </row>
    <row r="8223" spans="7:24" ht="15" customHeight="1">
      <c r="G8223"/>
      <c r="I8223"/>
      <c r="N8223"/>
      <c r="O8223" s="24"/>
      <c r="P8223"/>
      <c r="Q8223" s="24"/>
      <c r="R8223"/>
      <c r="S8223"/>
      <c r="T8223"/>
      <c r="U8223"/>
      <c r="X8223" s="60"/>
    </row>
    <row r="8224" spans="7:24" ht="15" customHeight="1">
      <c r="G8224"/>
      <c r="I8224"/>
      <c r="N8224"/>
      <c r="O8224" s="24"/>
      <c r="P8224"/>
      <c r="Q8224" s="24"/>
      <c r="R8224"/>
      <c r="S8224"/>
      <c r="T8224"/>
      <c r="U8224"/>
      <c r="X8224" s="60"/>
    </row>
    <row r="8225" spans="7:24" ht="15" customHeight="1">
      <c r="G8225"/>
      <c r="I8225"/>
      <c r="N8225"/>
      <c r="O8225" s="24"/>
      <c r="P8225"/>
      <c r="Q8225" s="24"/>
      <c r="R8225"/>
      <c r="S8225"/>
      <c r="T8225"/>
      <c r="U8225"/>
      <c r="X8225" s="60"/>
    </row>
    <row r="8226" spans="7:24" ht="15" customHeight="1">
      <c r="G8226"/>
      <c r="I8226"/>
      <c r="N8226"/>
      <c r="O8226" s="24"/>
      <c r="P8226"/>
      <c r="Q8226" s="24"/>
      <c r="R8226"/>
      <c r="S8226"/>
      <c r="T8226"/>
      <c r="U8226"/>
      <c r="X8226" s="60"/>
    </row>
    <row r="8227" spans="7:24" ht="15" customHeight="1">
      <c r="G8227"/>
      <c r="I8227"/>
      <c r="N8227"/>
      <c r="O8227" s="24"/>
      <c r="P8227"/>
      <c r="Q8227" s="24"/>
      <c r="R8227"/>
      <c r="S8227"/>
      <c r="T8227"/>
      <c r="U8227"/>
      <c r="X8227" s="60"/>
    </row>
    <row r="8228" spans="7:24" ht="15" customHeight="1">
      <c r="G8228"/>
      <c r="I8228"/>
      <c r="N8228"/>
      <c r="O8228" s="24"/>
      <c r="P8228"/>
      <c r="Q8228" s="24"/>
      <c r="R8228"/>
      <c r="S8228"/>
      <c r="T8228"/>
      <c r="U8228"/>
      <c r="X8228" s="60"/>
    </row>
    <row r="8229" spans="7:24" ht="15" customHeight="1">
      <c r="G8229"/>
      <c r="I8229"/>
      <c r="N8229"/>
      <c r="O8229" s="24"/>
      <c r="P8229"/>
      <c r="Q8229" s="24"/>
      <c r="R8229"/>
      <c r="S8229"/>
      <c r="T8229"/>
      <c r="U8229"/>
      <c r="X8229" s="60"/>
    </row>
    <row r="8230" spans="7:24" ht="15" customHeight="1">
      <c r="G8230"/>
      <c r="I8230"/>
      <c r="N8230"/>
      <c r="O8230" s="24"/>
      <c r="P8230"/>
      <c r="Q8230" s="24"/>
      <c r="R8230"/>
      <c r="S8230"/>
      <c r="T8230"/>
      <c r="U8230"/>
      <c r="X8230" s="60"/>
    </row>
    <row r="8231" spans="7:24" ht="15" customHeight="1">
      <c r="G8231"/>
      <c r="I8231"/>
      <c r="N8231"/>
      <c r="O8231" s="24"/>
      <c r="P8231"/>
      <c r="Q8231" s="24"/>
      <c r="R8231"/>
      <c r="S8231"/>
      <c r="T8231"/>
      <c r="U8231"/>
      <c r="X8231" s="60"/>
    </row>
    <row r="8232" spans="7:24" ht="15" customHeight="1">
      <c r="G8232"/>
      <c r="I8232"/>
      <c r="N8232"/>
      <c r="O8232" s="24"/>
      <c r="P8232"/>
      <c r="Q8232" s="24"/>
      <c r="R8232"/>
      <c r="S8232"/>
      <c r="T8232"/>
      <c r="U8232"/>
      <c r="X8232" s="60"/>
    </row>
    <row r="8233" spans="7:24" ht="15" customHeight="1">
      <c r="G8233"/>
      <c r="I8233"/>
      <c r="N8233"/>
      <c r="O8233" s="24"/>
      <c r="P8233"/>
      <c r="Q8233" s="24"/>
      <c r="R8233"/>
      <c r="S8233"/>
      <c r="T8233"/>
      <c r="U8233"/>
      <c r="X8233" s="60"/>
    </row>
    <row r="8234" spans="7:24" ht="15" customHeight="1">
      <c r="G8234"/>
      <c r="I8234"/>
      <c r="N8234"/>
      <c r="O8234" s="24"/>
      <c r="P8234"/>
      <c r="Q8234" s="24"/>
      <c r="R8234"/>
      <c r="S8234"/>
      <c r="T8234"/>
      <c r="U8234"/>
      <c r="X8234" s="60"/>
    </row>
    <row r="8235" spans="7:24" ht="15" customHeight="1">
      <c r="G8235"/>
      <c r="I8235"/>
      <c r="N8235"/>
      <c r="O8235" s="24"/>
      <c r="P8235"/>
      <c r="Q8235" s="24"/>
      <c r="R8235"/>
      <c r="S8235"/>
      <c r="T8235"/>
      <c r="U8235"/>
      <c r="X8235" s="60"/>
    </row>
    <row r="8236" spans="7:24" ht="15" customHeight="1">
      <c r="G8236"/>
      <c r="I8236"/>
      <c r="N8236"/>
      <c r="O8236" s="24"/>
      <c r="P8236"/>
      <c r="Q8236" s="24"/>
      <c r="R8236"/>
      <c r="S8236"/>
      <c r="T8236"/>
      <c r="U8236"/>
      <c r="X8236" s="60"/>
    </row>
    <row r="8237" spans="7:24" ht="15" customHeight="1">
      <c r="G8237"/>
      <c r="I8237"/>
      <c r="N8237"/>
      <c r="O8237" s="24"/>
      <c r="P8237"/>
      <c r="Q8237" s="24"/>
      <c r="R8237"/>
      <c r="S8237"/>
      <c r="T8237"/>
      <c r="U8237"/>
      <c r="X8237" s="60"/>
    </row>
    <row r="8238" spans="7:24" ht="15" customHeight="1">
      <c r="G8238"/>
      <c r="I8238"/>
      <c r="N8238"/>
      <c r="O8238" s="24"/>
      <c r="P8238"/>
      <c r="Q8238" s="24"/>
      <c r="R8238"/>
      <c r="S8238"/>
      <c r="T8238"/>
      <c r="U8238"/>
      <c r="X8238" s="60"/>
    </row>
    <row r="8239" spans="7:24" ht="15" customHeight="1">
      <c r="G8239"/>
      <c r="I8239"/>
      <c r="N8239"/>
      <c r="O8239" s="24"/>
      <c r="P8239"/>
      <c r="Q8239" s="24"/>
      <c r="R8239"/>
      <c r="S8239"/>
      <c r="T8239"/>
      <c r="U8239"/>
      <c r="X8239" s="60"/>
    </row>
    <row r="8240" spans="7:24" ht="15" customHeight="1">
      <c r="G8240"/>
      <c r="I8240"/>
      <c r="N8240"/>
      <c r="O8240" s="24"/>
      <c r="P8240"/>
      <c r="Q8240" s="24"/>
      <c r="R8240"/>
      <c r="S8240"/>
      <c r="T8240"/>
      <c r="U8240"/>
      <c r="X8240" s="60"/>
    </row>
    <row r="8241" spans="7:24" ht="15" customHeight="1">
      <c r="G8241"/>
      <c r="I8241"/>
      <c r="N8241"/>
      <c r="O8241" s="24"/>
      <c r="P8241"/>
      <c r="Q8241" s="24"/>
      <c r="R8241"/>
      <c r="S8241"/>
      <c r="T8241"/>
      <c r="U8241"/>
      <c r="X8241" s="60"/>
    </row>
    <row r="8242" spans="7:24" ht="15" customHeight="1">
      <c r="G8242"/>
      <c r="I8242"/>
      <c r="N8242"/>
      <c r="O8242" s="24"/>
      <c r="P8242"/>
      <c r="Q8242" s="24"/>
      <c r="R8242"/>
      <c r="S8242"/>
      <c r="T8242"/>
      <c r="U8242"/>
      <c r="X8242" s="60"/>
    </row>
    <row r="8243" spans="7:24" ht="15" customHeight="1">
      <c r="G8243"/>
      <c r="I8243"/>
      <c r="N8243"/>
      <c r="O8243" s="24"/>
      <c r="P8243"/>
      <c r="Q8243" s="24"/>
      <c r="R8243"/>
      <c r="S8243"/>
      <c r="T8243"/>
      <c r="U8243"/>
      <c r="X8243" s="60"/>
    </row>
    <row r="8244" spans="7:24" ht="15" customHeight="1">
      <c r="G8244"/>
      <c r="I8244"/>
      <c r="N8244"/>
      <c r="O8244" s="24"/>
      <c r="P8244"/>
      <c r="Q8244" s="24"/>
      <c r="R8244"/>
      <c r="S8244"/>
      <c r="T8244"/>
      <c r="U8244"/>
      <c r="X8244" s="60"/>
    </row>
    <row r="8245" spans="7:24" ht="15" customHeight="1">
      <c r="G8245"/>
      <c r="I8245"/>
      <c r="N8245"/>
      <c r="O8245" s="24"/>
      <c r="P8245"/>
      <c r="Q8245" s="24"/>
      <c r="R8245"/>
      <c r="S8245"/>
      <c r="T8245"/>
      <c r="U8245"/>
      <c r="X8245" s="60"/>
    </row>
    <row r="8246" spans="7:24" ht="15" customHeight="1">
      <c r="G8246"/>
      <c r="I8246"/>
      <c r="N8246"/>
      <c r="O8246" s="24"/>
      <c r="P8246"/>
      <c r="Q8246" s="24"/>
      <c r="R8246"/>
      <c r="S8246"/>
      <c r="T8246"/>
      <c r="U8246"/>
      <c r="X8246" s="60"/>
    </row>
    <row r="8247" spans="7:24" ht="15" customHeight="1">
      <c r="G8247"/>
      <c r="I8247"/>
      <c r="N8247"/>
      <c r="O8247" s="24"/>
      <c r="P8247"/>
      <c r="Q8247" s="24"/>
      <c r="R8247"/>
      <c r="S8247"/>
      <c r="T8247"/>
      <c r="U8247"/>
      <c r="X8247" s="60"/>
    </row>
    <row r="8248" spans="7:24" ht="15" customHeight="1">
      <c r="G8248"/>
      <c r="I8248"/>
      <c r="N8248"/>
      <c r="O8248" s="24"/>
      <c r="P8248"/>
      <c r="Q8248" s="24"/>
      <c r="R8248"/>
      <c r="S8248"/>
      <c r="T8248"/>
      <c r="U8248"/>
      <c r="X8248" s="60"/>
    </row>
    <row r="8249" spans="7:24" ht="15" customHeight="1">
      <c r="G8249"/>
      <c r="I8249"/>
      <c r="N8249"/>
      <c r="O8249" s="24"/>
      <c r="P8249"/>
      <c r="Q8249" s="24"/>
      <c r="R8249"/>
      <c r="S8249"/>
      <c r="T8249"/>
      <c r="U8249"/>
      <c r="X8249" s="60"/>
    </row>
    <row r="8250" spans="7:24" ht="15" customHeight="1">
      <c r="G8250"/>
      <c r="I8250"/>
      <c r="N8250"/>
      <c r="O8250" s="24"/>
      <c r="P8250"/>
      <c r="Q8250" s="24"/>
      <c r="R8250"/>
      <c r="S8250"/>
      <c r="T8250"/>
      <c r="U8250"/>
      <c r="X8250" s="60"/>
    </row>
    <row r="8251" spans="7:24" ht="15" customHeight="1">
      <c r="G8251"/>
      <c r="I8251"/>
      <c r="N8251"/>
      <c r="O8251" s="24"/>
      <c r="P8251"/>
      <c r="Q8251" s="24"/>
      <c r="R8251"/>
      <c r="S8251"/>
      <c r="T8251"/>
      <c r="U8251"/>
      <c r="X8251" s="60"/>
    </row>
    <row r="8252" spans="7:24" ht="15" customHeight="1">
      <c r="G8252"/>
      <c r="I8252"/>
      <c r="N8252"/>
      <c r="O8252" s="24"/>
      <c r="P8252"/>
      <c r="Q8252" s="24"/>
      <c r="R8252"/>
      <c r="S8252"/>
      <c r="T8252"/>
      <c r="U8252"/>
      <c r="X8252" s="60"/>
    </row>
    <row r="8253" spans="7:24" ht="15" customHeight="1">
      <c r="G8253"/>
      <c r="I8253"/>
      <c r="N8253"/>
      <c r="O8253" s="24"/>
      <c r="P8253"/>
      <c r="Q8253" s="24"/>
      <c r="R8253"/>
      <c r="S8253"/>
      <c r="T8253"/>
      <c r="U8253"/>
      <c r="X8253" s="60"/>
    </row>
    <row r="8254" spans="7:24" ht="15" customHeight="1">
      <c r="G8254"/>
      <c r="I8254"/>
      <c r="N8254"/>
      <c r="O8254" s="24"/>
      <c r="P8254"/>
      <c r="Q8254" s="24"/>
      <c r="R8254"/>
      <c r="S8254"/>
      <c r="T8254"/>
      <c r="U8254"/>
      <c r="X8254" s="60"/>
    </row>
    <row r="8255" spans="7:24" ht="15" customHeight="1">
      <c r="G8255"/>
      <c r="I8255"/>
      <c r="N8255"/>
      <c r="O8255" s="24"/>
      <c r="P8255"/>
      <c r="Q8255" s="24"/>
      <c r="R8255"/>
      <c r="S8255"/>
      <c r="T8255"/>
      <c r="U8255"/>
      <c r="X8255" s="60"/>
    </row>
    <row r="8256" spans="7:24" ht="15" customHeight="1">
      <c r="G8256"/>
      <c r="I8256"/>
      <c r="N8256"/>
      <c r="O8256" s="24"/>
      <c r="P8256"/>
      <c r="Q8256" s="24"/>
      <c r="R8256"/>
      <c r="S8256"/>
      <c r="T8256"/>
      <c r="U8256"/>
      <c r="X8256" s="60"/>
    </row>
    <row r="8257" spans="7:24" ht="15" customHeight="1">
      <c r="G8257"/>
      <c r="I8257"/>
      <c r="N8257"/>
      <c r="O8257" s="24"/>
      <c r="P8257"/>
      <c r="Q8257" s="24"/>
      <c r="R8257"/>
      <c r="S8257"/>
      <c r="T8257"/>
      <c r="U8257"/>
      <c r="X8257" s="60"/>
    </row>
    <row r="8258" spans="7:24" ht="15" customHeight="1">
      <c r="G8258"/>
      <c r="I8258"/>
      <c r="N8258"/>
      <c r="O8258" s="24"/>
      <c r="P8258"/>
      <c r="Q8258" s="24"/>
      <c r="R8258"/>
      <c r="S8258"/>
      <c r="T8258"/>
      <c r="U8258"/>
      <c r="X8258" s="60"/>
    </row>
    <row r="8259" spans="7:24" ht="15" customHeight="1">
      <c r="G8259"/>
      <c r="I8259"/>
      <c r="N8259"/>
      <c r="O8259" s="24"/>
      <c r="P8259"/>
      <c r="Q8259" s="24"/>
      <c r="R8259"/>
      <c r="S8259"/>
      <c r="T8259"/>
      <c r="U8259"/>
      <c r="X8259" s="60"/>
    </row>
    <row r="8260" spans="7:24" ht="15" customHeight="1">
      <c r="G8260"/>
      <c r="I8260"/>
      <c r="N8260"/>
      <c r="O8260" s="24"/>
      <c r="P8260"/>
      <c r="Q8260" s="24"/>
      <c r="R8260"/>
      <c r="S8260"/>
      <c r="T8260"/>
      <c r="U8260"/>
      <c r="X8260" s="60"/>
    </row>
    <row r="8261" spans="7:24" ht="15" customHeight="1">
      <c r="G8261"/>
      <c r="I8261"/>
      <c r="N8261"/>
      <c r="O8261" s="24"/>
      <c r="P8261"/>
      <c r="Q8261" s="24"/>
      <c r="R8261"/>
      <c r="S8261"/>
      <c r="T8261"/>
      <c r="U8261"/>
      <c r="X8261" s="60"/>
    </row>
    <row r="8262" spans="7:24" ht="15" customHeight="1">
      <c r="G8262"/>
      <c r="I8262"/>
      <c r="N8262"/>
      <c r="O8262" s="24"/>
      <c r="P8262"/>
      <c r="Q8262" s="24"/>
      <c r="R8262"/>
      <c r="S8262"/>
      <c r="T8262"/>
      <c r="U8262"/>
      <c r="X8262" s="60"/>
    </row>
    <row r="8263" spans="7:24" ht="15" customHeight="1">
      <c r="G8263"/>
      <c r="I8263"/>
      <c r="N8263"/>
      <c r="O8263" s="24"/>
      <c r="P8263"/>
      <c r="Q8263" s="24"/>
      <c r="R8263"/>
      <c r="S8263"/>
      <c r="T8263"/>
      <c r="U8263"/>
      <c r="X8263" s="60"/>
    </row>
    <row r="8264" spans="7:24" ht="15" customHeight="1">
      <c r="G8264"/>
      <c r="I8264"/>
      <c r="N8264"/>
      <c r="O8264" s="24"/>
      <c r="P8264"/>
      <c r="Q8264" s="24"/>
      <c r="R8264"/>
      <c r="S8264"/>
      <c r="T8264"/>
      <c r="U8264"/>
      <c r="X8264" s="60"/>
    </row>
    <row r="8265" spans="7:24" ht="15" customHeight="1">
      <c r="G8265"/>
      <c r="I8265"/>
      <c r="N8265"/>
      <c r="O8265" s="24"/>
      <c r="P8265"/>
      <c r="Q8265" s="24"/>
      <c r="R8265"/>
      <c r="S8265"/>
      <c r="T8265"/>
      <c r="U8265"/>
      <c r="X8265" s="60"/>
    </row>
    <row r="8266" spans="7:24" ht="15" customHeight="1">
      <c r="G8266"/>
      <c r="I8266"/>
      <c r="N8266"/>
      <c r="O8266" s="24"/>
      <c r="P8266"/>
      <c r="Q8266" s="24"/>
      <c r="R8266"/>
      <c r="S8266"/>
      <c r="T8266"/>
      <c r="U8266"/>
      <c r="X8266" s="60"/>
    </row>
    <row r="8267" spans="7:24" ht="15" customHeight="1">
      <c r="G8267"/>
      <c r="I8267"/>
      <c r="N8267"/>
      <c r="O8267" s="24"/>
      <c r="P8267"/>
      <c r="Q8267" s="24"/>
      <c r="R8267"/>
      <c r="S8267"/>
      <c r="T8267"/>
      <c r="U8267"/>
      <c r="X8267" s="60"/>
    </row>
    <row r="8268" spans="7:24" ht="15" customHeight="1">
      <c r="G8268"/>
      <c r="I8268"/>
      <c r="N8268"/>
      <c r="O8268" s="24"/>
      <c r="P8268"/>
      <c r="Q8268" s="24"/>
      <c r="R8268"/>
      <c r="S8268"/>
      <c r="T8268"/>
      <c r="U8268"/>
      <c r="X8268" s="60"/>
    </row>
    <row r="8269" spans="7:24" ht="15" customHeight="1">
      <c r="G8269"/>
      <c r="I8269"/>
      <c r="N8269"/>
      <c r="O8269" s="24"/>
      <c r="P8269"/>
      <c r="Q8269" s="24"/>
      <c r="R8269"/>
      <c r="S8269"/>
      <c r="T8269"/>
      <c r="U8269"/>
      <c r="X8269" s="60"/>
    </row>
    <row r="8270" spans="7:24" ht="15" customHeight="1">
      <c r="G8270"/>
      <c r="I8270"/>
      <c r="N8270"/>
      <c r="O8270" s="24"/>
      <c r="P8270"/>
      <c r="Q8270" s="24"/>
      <c r="R8270"/>
      <c r="S8270"/>
      <c r="T8270"/>
      <c r="U8270"/>
      <c r="X8270" s="60"/>
    </row>
    <row r="8271" spans="7:24" ht="15" customHeight="1">
      <c r="G8271"/>
      <c r="I8271"/>
      <c r="N8271"/>
      <c r="O8271" s="24"/>
      <c r="P8271"/>
      <c r="Q8271" s="24"/>
      <c r="R8271"/>
      <c r="S8271"/>
      <c r="T8271"/>
      <c r="U8271"/>
      <c r="X8271" s="60"/>
    </row>
    <row r="8272" spans="7:24" ht="15" customHeight="1">
      <c r="G8272"/>
      <c r="I8272"/>
      <c r="N8272"/>
      <c r="O8272" s="24"/>
      <c r="P8272"/>
      <c r="Q8272" s="24"/>
      <c r="R8272"/>
      <c r="S8272"/>
      <c r="T8272"/>
      <c r="U8272"/>
      <c r="X8272" s="60"/>
    </row>
    <row r="8273" spans="7:24" ht="15" customHeight="1">
      <c r="G8273"/>
      <c r="I8273"/>
      <c r="N8273"/>
      <c r="O8273" s="24"/>
      <c r="P8273"/>
      <c r="Q8273" s="24"/>
      <c r="R8273"/>
      <c r="S8273"/>
      <c r="T8273"/>
      <c r="U8273"/>
      <c r="X8273" s="60"/>
    </row>
    <row r="8274" spans="7:24" ht="15" customHeight="1">
      <c r="G8274"/>
      <c r="I8274"/>
      <c r="N8274"/>
      <c r="O8274" s="24"/>
      <c r="P8274"/>
      <c r="Q8274" s="24"/>
      <c r="R8274"/>
      <c r="S8274"/>
      <c r="T8274"/>
      <c r="U8274"/>
      <c r="X8274" s="60"/>
    </row>
    <row r="8275" spans="7:24" ht="15" customHeight="1">
      <c r="G8275"/>
      <c r="I8275"/>
      <c r="N8275"/>
      <c r="O8275" s="24"/>
      <c r="P8275"/>
      <c r="Q8275" s="24"/>
      <c r="R8275"/>
      <c r="S8275"/>
      <c r="T8275"/>
      <c r="U8275"/>
      <c r="X8275" s="60"/>
    </row>
    <row r="8276" spans="7:24" ht="15" customHeight="1">
      <c r="G8276"/>
      <c r="I8276"/>
      <c r="N8276"/>
      <c r="O8276" s="24"/>
      <c r="P8276"/>
      <c r="Q8276" s="24"/>
      <c r="R8276"/>
      <c r="S8276"/>
      <c r="T8276"/>
      <c r="U8276"/>
      <c r="X8276" s="60"/>
    </row>
    <row r="8277" spans="7:24" ht="15" customHeight="1">
      <c r="G8277"/>
      <c r="I8277"/>
      <c r="N8277"/>
      <c r="O8277" s="24"/>
      <c r="P8277"/>
      <c r="Q8277" s="24"/>
      <c r="R8277"/>
      <c r="S8277"/>
      <c r="T8277"/>
      <c r="U8277"/>
      <c r="X8277" s="60"/>
    </row>
    <row r="8278" spans="7:24" ht="15" customHeight="1">
      <c r="G8278"/>
      <c r="I8278"/>
      <c r="N8278"/>
      <c r="O8278" s="24"/>
      <c r="P8278"/>
      <c r="Q8278" s="24"/>
      <c r="R8278"/>
      <c r="S8278"/>
      <c r="T8278"/>
      <c r="U8278"/>
      <c r="X8278" s="60"/>
    </row>
    <row r="8279" spans="7:24" ht="15" customHeight="1">
      <c r="G8279"/>
      <c r="I8279"/>
      <c r="N8279"/>
      <c r="O8279" s="24"/>
      <c r="P8279"/>
      <c r="Q8279" s="24"/>
      <c r="R8279"/>
      <c r="S8279"/>
      <c r="T8279"/>
      <c r="U8279"/>
      <c r="X8279" s="60"/>
    </row>
    <row r="8280" spans="7:24" ht="15" customHeight="1">
      <c r="G8280"/>
      <c r="I8280"/>
      <c r="N8280"/>
      <c r="O8280" s="24"/>
      <c r="P8280"/>
      <c r="Q8280" s="24"/>
      <c r="R8280"/>
      <c r="S8280"/>
      <c r="T8280"/>
      <c r="U8280"/>
      <c r="X8280" s="60"/>
    </row>
    <row r="8281" spans="7:24" ht="15" customHeight="1">
      <c r="G8281"/>
      <c r="I8281"/>
      <c r="N8281"/>
      <c r="O8281" s="24"/>
      <c r="P8281"/>
      <c r="Q8281" s="24"/>
      <c r="R8281"/>
      <c r="S8281"/>
      <c r="T8281"/>
      <c r="U8281"/>
      <c r="X8281" s="60"/>
    </row>
    <row r="8282" spans="7:24" ht="15" customHeight="1">
      <c r="G8282"/>
      <c r="I8282"/>
      <c r="N8282"/>
      <c r="O8282" s="24"/>
      <c r="P8282"/>
      <c r="Q8282" s="24"/>
      <c r="R8282"/>
      <c r="S8282"/>
      <c r="T8282"/>
      <c r="U8282"/>
      <c r="X8282" s="60"/>
    </row>
    <row r="8283" spans="7:24" ht="15" customHeight="1">
      <c r="G8283"/>
      <c r="I8283"/>
      <c r="N8283"/>
      <c r="O8283" s="24"/>
      <c r="P8283"/>
      <c r="Q8283" s="24"/>
      <c r="R8283"/>
      <c r="S8283"/>
      <c r="T8283"/>
      <c r="U8283"/>
      <c r="X8283" s="60"/>
    </row>
    <row r="8284" spans="7:24" ht="15" customHeight="1">
      <c r="G8284"/>
      <c r="I8284"/>
      <c r="N8284"/>
      <c r="O8284" s="24"/>
      <c r="P8284"/>
      <c r="Q8284" s="24"/>
      <c r="R8284"/>
      <c r="S8284"/>
      <c r="T8284"/>
      <c r="U8284"/>
      <c r="X8284" s="60"/>
    </row>
    <row r="8285" spans="7:24" ht="15" customHeight="1">
      <c r="G8285"/>
      <c r="I8285"/>
      <c r="N8285"/>
      <c r="O8285" s="24"/>
      <c r="P8285"/>
      <c r="Q8285" s="24"/>
      <c r="R8285"/>
      <c r="S8285"/>
      <c r="T8285"/>
      <c r="U8285"/>
      <c r="X8285" s="60"/>
    </row>
    <row r="8286" spans="7:24" ht="15" customHeight="1">
      <c r="G8286"/>
      <c r="I8286"/>
      <c r="N8286"/>
      <c r="O8286" s="24"/>
      <c r="P8286"/>
      <c r="Q8286" s="24"/>
      <c r="R8286"/>
      <c r="S8286"/>
      <c r="T8286"/>
      <c r="U8286"/>
      <c r="X8286" s="60"/>
    </row>
    <row r="8287" spans="7:24" ht="15" customHeight="1">
      <c r="G8287"/>
      <c r="I8287"/>
      <c r="N8287"/>
      <c r="O8287" s="24"/>
      <c r="P8287"/>
      <c r="Q8287" s="24"/>
      <c r="R8287"/>
      <c r="S8287"/>
      <c r="T8287"/>
      <c r="U8287"/>
      <c r="X8287" s="60"/>
    </row>
    <row r="8288" spans="7:24" ht="15" customHeight="1">
      <c r="G8288"/>
      <c r="I8288"/>
      <c r="N8288"/>
      <c r="O8288" s="24"/>
      <c r="P8288"/>
      <c r="Q8288" s="24"/>
      <c r="R8288"/>
      <c r="S8288"/>
      <c r="T8288"/>
      <c r="U8288"/>
      <c r="X8288" s="60"/>
    </row>
    <row r="8289" spans="7:24" ht="15" customHeight="1">
      <c r="G8289"/>
      <c r="I8289"/>
      <c r="N8289"/>
      <c r="O8289" s="24"/>
      <c r="P8289"/>
      <c r="Q8289" s="24"/>
      <c r="R8289"/>
      <c r="S8289"/>
      <c r="T8289"/>
      <c r="U8289"/>
      <c r="X8289" s="60"/>
    </row>
    <row r="8290" spans="7:24" ht="15" customHeight="1">
      <c r="G8290"/>
      <c r="I8290"/>
      <c r="N8290"/>
      <c r="O8290" s="24"/>
      <c r="P8290"/>
      <c r="Q8290" s="24"/>
      <c r="R8290"/>
      <c r="S8290"/>
      <c r="T8290"/>
      <c r="U8290"/>
      <c r="X8290" s="60"/>
    </row>
    <row r="8291" spans="7:24" ht="15" customHeight="1">
      <c r="G8291"/>
      <c r="I8291"/>
      <c r="N8291"/>
      <c r="O8291" s="24"/>
      <c r="P8291"/>
      <c r="Q8291" s="24"/>
      <c r="R8291"/>
      <c r="S8291"/>
      <c r="T8291"/>
      <c r="U8291"/>
      <c r="X8291" s="60"/>
    </row>
    <row r="8292" spans="7:24" ht="15" customHeight="1">
      <c r="G8292"/>
      <c r="I8292"/>
      <c r="N8292"/>
      <c r="O8292" s="24"/>
      <c r="P8292"/>
      <c r="Q8292" s="24"/>
      <c r="R8292"/>
      <c r="S8292"/>
      <c r="T8292"/>
      <c r="U8292"/>
      <c r="X8292" s="60"/>
    </row>
    <row r="8293" spans="7:24" ht="15" customHeight="1">
      <c r="G8293"/>
      <c r="I8293"/>
      <c r="N8293"/>
      <c r="O8293" s="24"/>
      <c r="P8293"/>
      <c r="Q8293" s="24"/>
      <c r="R8293"/>
      <c r="S8293"/>
      <c r="T8293"/>
      <c r="U8293"/>
      <c r="X8293" s="60"/>
    </row>
    <row r="8294" spans="7:24" ht="15" customHeight="1">
      <c r="G8294"/>
      <c r="I8294"/>
      <c r="N8294"/>
      <c r="O8294" s="24"/>
      <c r="P8294"/>
      <c r="Q8294" s="24"/>
      <c r="R8294"/>
      <c r="S8294"/>
      <c r="T8294"/>
      <c r="U8294"/>
      <c r="X8294" s="60"/>
    </row>
    <row r="8295" spans="7:24" ht="15" customHeight="1">
      <c r="G8295"/>
      <c r="I8295"/>
      <c r="N8295"/>
      <c r="O8295" s="24"/>
      <c r="P8295"/>
      <c r="Q8295" s="24"/>
      <c r="R8295"/>
      <c r="S8295"/>
      <c r="T8295"/>
      <c r="U8295"/>
      <c r="X8295" s="60"/>
    </row>
    <row r="8296" spans="7:24" ht="15" customHeight="1">
      <c r="G8296"/>
      <c r="I8296"/>
      <c r="N8296"/>
      <c r="O8296" s="24"/>
      <c r="P8296"/>
      <c r="Q8296" s="24"/>
      <c r="R8296"/>
      <c r="S8296"/>
      <c r="T8296"/>
      <c r="U8296"/>
      <c r="X8296" s="60"/>
    </row>
    <row r="8297" spans="7:24" ht="15" customHeight="1">
      <c r="G8297"/>
      <c r="I8297"/>
      <c r="N8297"/>
      <c r="O8297" s="24"/>
      <c r="P8297"/>
      <c r="Q8297" s="24"/>
      <c r="R8297"/>
      <c r="S8297"/>
      <c r="T8297"/>
      <c r="U8297"/>
      <c r="X8297" s="60"/>
    </row>
    <row r="8298" spans="7:24" ht="15" customHeight="1">
      <c r="G8298"/>
      <c r="I8298"/>
      <c r="N8298"/>
      <c r="O8298" s="24"/>
      <c r="P8298"/>
      <c r="Q8298" s="24"/>
      <c r="R8298"/>
      <c r="S8298"/>
      <c r="T8298"/>
      <c r="U8298"/>
      <c r="X8298" s="60"/>
    </row>
    <row r="8299" spans="7:24" ht="15" customHeight="1">
      <c r="G8299"/>
      <c r="I8299"/>
      <c r="N8299"/>
      <c r="O8299" s="24"/>
      <c r="P8299"/>
      <c r="Q8299" s="24"/>
      <c r="R8299"/>
      <c r="S8299"/>
      <c r="T8299"/>
      <c r="U8299"/>
      <c r="X8299" s="60"/>
    </row>
    <row r="8300" spans="7:24" ht="15" customHeight="1">
      <c r="G8300"/>
      <c r="I8300"/>
      <c r="N8300"/>
      <c r="O8300" s="24"/>
      <c r="P8300"/>
      <c r="Q8300" s="24"/>
      <c r="R8300"/>
      <c r="S8300"/>
      <c r="T8300"/>
      <c r="U8300"/>
      <c r="X8300" s="60"/>
    </row>
    <row r="8301" spans="7:24" ht="15" customHeight="1">
      <c r="G8301"/>
      <c r="I8301"/>
      <c r="N8301"/>
      <c r="O8301" s="24"/>
      <c r="P8301"/>
      <c r="Q8301" s="24"/>
      <c r="R8301"/>
      <c r="S8301"/>
      <c r="T8301"/>
      <c r="U8301"/>
      <c r="X8301" s="60"/>
    </row>
    <row r="8302" spans="7:24" ht="15" customHeight="1">
      <c r="G8302"/>
      <c r="I8302"/>
      <c r="N8302"/>
      <c r="O8302" s="24"/>
      <c r="P8302"/>
      <c r="Q8302" s="24"/>
      <c r="R8302"/>
      <c r="S8302"/>
      <c r="T8302"/>
      <c r="U8302"/>
      <c r="X8302" s="60"/>
    </row>
    <row r="8303" spans="7:24" ht="15" customHeight="1">
      <c r="G8303"/>
      <c r="I8303"/>
      <c r="N8303"/>
      <c r="O8303" s="24"/>
      <c r="P8303"/>
      <c r="Q8303" s="24"/>
      <c r="R8303"/>
      <c r="S8303"/>
      <c r="T8303"/>
      <c r="U8303"/>
      <c r="X8303" s="60"/>
    </row>
    <row r="8304" spans="7:24" ht="15" customHeight="1">
      <c r="G8304"/>
      <c r="I8304"/>
      <c r="N8304"/>
      <c r="O8304" s="24"/>
      <c r="P8304"/>
      <c r="Q8304" s="24"/>
      <c r="R8304"/>
      <c r="S8304"/>
      <c r="T8304"/>
      <c r="U8304"/>
      <c r="X8304" s="60"/>
    </row>
    <row r="8305" spans="7:24" ht="15" customHeight="1">
      <c r="G8305"/>
      <c r="I8305"/>
      <c r="N8305"/>
      <c r="O8305" s="24"/>
      <c r="P8305"/>
      <c r="Q8305" s="24"/>
      <c r="R8305"/>
      <c r="S8305"/>
      <c r="T8305"/>
      <c r="U8305"/>
      <c r="X8305" s="60"/>
    </row>
    <row r="8306" spans="7:24" ht="15" customHeight="1">
      <c r="G8306"/>
      <c r="I8306"/>
      <c r="N8306"/>
      <c r="O8306" s="24"/>
      <c r="P8306"/>
      <c r="Q8306" s="24"/>
      <c r="R8306"/>
      <c r="S8306"/>
      <c r="T8306"/>
      <c r="U8306"/>
      <c r="X8306" s="60"/>
    </row>
    <row r="8307" spans="7:24" ht="15" customHeight="1">
      <c r="G8307"/>
      <c r="I8307"/>
      <c r="N8307"/>
      <c r="O8307" s="24"/>
      <c r="P8307"/>
      <c r="Q8307" s="24"/>
      <c r="R8307"/>
      <c r="S8307"/>
      <c r="T8307"/>
      <c r="U8307"/>
      <c r="X8307" s="60"/>
    </row>
    <row r="8308" spans="7:24" ht="15" customHeight="1">
      <c r="G8308"/>
      <c r="I8308"/>
      <c r="N8308"/>
      <c r="O8308" s="24"/>
      <c r="P8308"/>
      <c r="Q8308" s="24"/>
      <c r="R8308"/>
      <c r="S8308"/>
      <c r="T8308"/>
      <c r="U8308"/>
      <c r="X8308" s="60"/>
    </row>
    <row r="8309" spans="7:24" ht="15" customHeight="1">
      <c r="G8309"/>
      <c r="I8309"/>
      <c r="N8309"/>
      <c r="O8309" s="24"/>
      <c r="P8309"/>
      <c r="Q8309" s="24"/>
      <c r="R8309"/>
      <c r="S8309"/>
      <c r="T8309"/>
      <c r="U8309"/>
      <c r="X8309" s="60"/>
    </row>
    <row r="8310" spans="7:24" ht="15" customHeight="1">
      <c r="G8310"/>
      <c r="I8310"/>
      <c r="N8310"/>
      <c r="O8310" s="24"/>
      <c r="P8310"/>
      <c r="Q8310" s="24"/>
      <c r="R8310"/>
      <c r="S8310"/>
      <c r="T8310"/>
      <c r="U8310"/>
      <c r="X8310" s="60"/>
    </row>
    <row r="8311" spans="7:24" ht="15" customHeight="1">
      <c r="G8311"/>
      <c r="I8311"/>
      <c r="N8311"/>
      <c r="O8311" s="24"/>
      <c r="P8311"/>
      <c r="Q8311" s="24"/>
      <c r="R8311"/>
      <c r="S8311"/>
      <c r="T8311"/>
      <c r="U8311"/>
      <c r="X8311" s="60"/>
    </row>
    <row r="8312" spans="7:24" ht="15" customHeight="1">
      <c r="G8312"/>
      <c r="I8312"/>
      <c r="N8312"/>
      <c r="O8312" s="24"/>
      <c r="P8312"/>
      <c r="Q8312" s="24"/>
      <c r="R8312"/>
      <c r="S8312"/>
      <c r="T8312"/>
      <c r="U8312"/>
      <c r="X8312" s="60"/>
    </row>
    <row r="8313" spans="7:24" ht="15" customHeight="1">
      <c r="G8313"/>
      <c r="I8313"/>
      <c r="N8313"/>
      <c r="O8313" s="24"/>
      <c r="P8313"/>
      <c r="Q8313" s="24"/>
      <c r="R8313"/>
      <c r="S8313"/>
      <c r="T8313"/>
      <c r="U8313"/>
      <c r="X8313" s="60"/>
    </row>
    <row r="8314" spans="7:24" ht="15" customHeight="1">
      <c r="G8314"/>
      <c r="I8314"/>
      <c r="N8314"/>
      <c r="O8314" s="24"/>
      <c r="P8314"/>
      <c r="Q8314" s="24"/>
      <c r="R8314"/>
      <c r="S8314"/>
      <c r="T8314"/>
      <c r="U8314"/>
      <c r="X8314" s="60"/>
    </row>
    <row r="8315" spans="7:24" ht="15" customHeight="1">
      <c r="G8315"/>
      <c r="I8315"/>
      <c r="N8315"/>
      <c r="O8315" s="24"/>
      <c r="P8315"/>
      <c r="Q8315" s="24"/>
      <c r="R8315"/>
      <c r="S8315"/>
      <c r="T8315"/>
      <c r="U8315"/>
      <c r="X8315" s="60"/>
    </row>
    <row r="8316" spans="7:24" ht="15" customHeight="1">
      <c r="G8316"/>
      <c r="I8316"/>
      <c r="N8316"/>
      <c r="O8316" s="24"/>
      <c r="P8316"/>
      <c r="Q8316" s="24"/>
      <c r="R8316"/>
      <c r="S8316"/>
      <c r="T8316"/>
      <c r="U8316"/>
      <c r="X8316" s="60"/>
    </row>
    <row r="8317" spans="7:24" ht="15" customHeight="1">
      <c r="G8317"/>
      <c r="I8317"/>
      <c r="N8317"/>
      <c r="O8317" s="24"/>
      <c r="P8317"/>
      <c r="Q8317" s="24"/>
      <c r="R8317"/>
      <c r="S8317"/>
      <c r="T8317"/>
      <c r="U8317"/>
      <c r="X8317" s="60"/>
    </row>
    <row r="8318" spans="7:24" ht="15" customHeight="1">
      <c r="G8318"/>
      <c r="I8318"/>
      <c r="N8318"/>
      <c r="O8318" s="24"/>
      <c r="P8318"/>
      <c r="Q8318" s="24"/>
      <c r="R8318"/>
      <c r="S8318"/>
      <c r="T8318"/>
      <c r="U8318"/>
      <c r="X8318" s="60"/>
    </row>
    <row r="8319" spans="7:24" ht="15" customHeight="1">
      <c r="G8319"/>
      <c r="I8319"/>
      <c r="N8319"/>
      <c r="O8319" s="24"/>
      <c r="P8319"/>
      <c r="Q8319" s="24"/>
      <c r="R8319"/>
      <c r="S8319"/>
      <c r="T8319"/>
      <c r="U8319"/>
      <c r="X8319" s="60"/>
    </row>
    <row r="8320" spans="7:24" ht="15" customHeight="1">
      <c r="G8320"/>
      <c r="I8320"/>
      <c r="N8320"/>
      <c r="O8320" s="24"/>
      <c r="P8320"/>
      <c r="Q8320" s="24"/>
      <c r="R8320"/>
      <c r="S8320"/>
      <c r="T8320"/>
      <c r="U8320"/>
      <c r="X8320" s="60"/>
    </row>
    <row r="8321" spans="7:24" ht="15" customHeight="1">
      <c r="G8321"/>
      <c r="I8321"/>
      <c r="N8321"/>
      <c r="O8321" s="24"/>
      <c r="P8321"/>
      <c r="Q8321" s="24"/>
      <c r="R8321"/>
      <c r="S8321"/>
      <c r="T8321"/>
      <c r="U8321"/>
      <c r="X8321" s="60"/>
    </row>
    <row r="8322" spans="7:24" ht="15" customHeight="1">
      <c r="G8322"/>
      <c r="I8322"/>
      <c r="N8322"/>
      <c r="O8322" s="24"/>
      <c r="P8322"/>
      <c r="Q8322" s="24"/>
      <c r="R8322"/>
      <c r="S8322"/>
      <c r="T8322"/>
      <c r="U8322"/>
      <c r="X8322" s="60"/>
    </row>
    <row r="8323" spans="7:24" ht="15" customHeight="1">
      <c r="G8323"/>
      <c r="I8323"/>
      <c r="N8323"/>
      <c r="O8323" s="24"/>
      <c r="P8323"/>
      <c r="Q8323" s="24"/>
      <c r="R8323"/>
      <c r="S8323"/>
      <c r="T8323"/>
      <c r="U8323"/>
      <c r="X8323" s="60"/>
    </row>
    <row r="8324" spans="7:24" ht="15" customHeight="1">
      <c r="G8324"/>
      <c r="I8324"/>
      <c r="N8324"/>
      <c r="O8324" s="24"/>
      <c r="P8324"/>
      <c r="Q8324" s="24"/>
      <c r="R8324"/>
      <c r="S8324"/>
      <c r="T8324"/>
      <c r="U8324"/>
      <c r="X8324" s="60"/>
    </row>
    <row r="8325" spans="7:24" ht="15" customHeight="1">
      <c r="G8325"/>
      <c r="I8325"/>
      <c r="N8325"/>
      <c r="O8325" s="24"/>
      <c r="P8325"/>
      <c r="Q8325" s="24"/>
      <c r="R8325"/>
      <c r="S8325"/>
      <c r="T8325"/>
      <c r="U8325"/>
      <c r="X8325" s="60"/>
    </row>
    <row r="8326" spans="7:24" ht="15" customHeight="1">
      <c r="G8326"/>
      <c r="I8326"/>
      <c r="N8326"/>
      <c r="O8326" s="24"/>
      <c r="P8326"/>
      <c r="Q8326" s="24"/>
      <c r="R8326"/>
      <c r="S8326"/>
      <c r="T8326"/>
      <c r="U8326"/>
      <c r="X8326" s="60"/>
    </row>
    <row r="8327" spans="7:24" ht="15" customHeight="1">
      <c r="G8327"/>
      <c r="I8327"/>
      <c r="N8327"/>
      <c r="O8327" s="24"/>
      <c r="P8327"/>
      <c r="Q8327" s="24"/>
      <c r="R8327"/>
      <c r="S8327"/>
      <c r="T8327"/>
      <c r="U8327"/>
      <c r="X8327" s="60"/>
    </row>
    <row r="8328" spans="7:24" ht="15" customHeight="1">
      <c r="G8328"/>
      <c r="I8328"/>
      <c r="N8328"/>
      <c r="O8328" s="24"/>
      <c r="P8328"/>
      <c r="Q8328" s="24"/>
      <c r="R8328"/>
      <c r="S8328"/>
      <c r="T8328"/>
      <c r="U8328"/>
      <c r="X8328" s="60"/>
    </row>
    <row r="8329" spans="7:24" ht="15" customHeight="1">
      <c r="G8329"/>
      <c r="I8329"/>
      <c r="N8329"/>
      <c r="O8329" s="24"/>
      <c r="P8329"/>
      <c r="Q8329" s="24"/>
      <c r="R8329"/>
      <c r="S8329"/>
      <c r="T8329"/>
      <c r="U8329"/>
      <c r="X8329" s="60"/>
    </row>
    <row r="8330" spans="7:24" ht="15" customHeight="1">
      <c r="G8330"/>
      <c r="I8330"/>
      <c r="N8330"/>
      <c r="O8330" s="24"/>
      <c r="P8330"/>
      <c r="Q8330" s="24"/>
      <c r="R8330"/>
      <c r="S8330"/>
      <c r="T8330"/>
      <c r="U8330"/>
      <c r="X8330" s="60"/>
    </row>
    <row r="8331" spans="7:24" ht="15" customHeight="1">
      <c r="G8331"/>
      <c r="I8331"/>
      <c r="N8331"/>
      <c r="O8331" s="24"/>
      <c r="P8331"/>
      <c r="Q8331" s="24"/>
      <c r="R8331"/>
      <c r="S8331"/>
      <c r="T8331"/>
      <c r="U8331"/>
      <c r="X8331" s="60"/>
    </row>
    <row r="8332" spans="7:24" ht="15" customHeight="1">
      <c r="G8332"/>
      <c r="I8332"/>
      <c r="N8332"/>
      <c r="O8332" s="24"/>
      <c r="P8332"/>
      <c r="Q8332" s="24"/>
      <c r="R8332"/>
      <c r="S8332"/>
      <c r="T8332"/>
      <c r="U8332"/>
      <c r="X8332" s="60"/>
    </row>
    <row r="8333" spans="7:24" ht="15" customHeight="1">
      <c r="G8333"/>
      <c r="I8333"/>
      <c r="N8333"/>
      <c r="O8333" s="24"/>
      <c r="P8333"/>
      <c r="Q8333" s="24"/>
      <c r="R8333"/>
      <c r="S8333"/>
      <c r="T8333"/>
      <c r="U8333"/>
      <c r="X8333" s="60"/>
    </row>
    <row r="8334" spans="7:24" ht="15" customHeight="1">
      <c r="G8334"/>
      <c r="I8334"/>
      <c r="N8334"/>
      <c r="O8334" s="24"/>
      <c r="P8334"/>
      <c r="Q8334" s="24"/>
      <c r="R8334"/>
      <c r="S8334"/>
      <c r="T8334"/>
      <c r="U8334"/>
      <c r="X8334" s="60"/>
    </row>
    <row r="8335" spans="7:24" ht="15" customHeight="1">
      <c r="G8335"/>
      <c r="I8335"/>
      <c r="N8335"/>
      <c r="O8335" s="24"/>
      <c r="P8335"/>
      <c r="Q8335" s="24"/>
      <c r="R8335"/>
      <c r="S8335"/>
      <c r="T8335"/>
      <c r="U8335"/>
      <c r="X8335" s="60"/>
    </row>
    <row r="8336" spans="7:24" ht="15" customHeight="1">
      <c r="G8336"/>
      <c r="I8336"/>
      <c r="N8336"/>
      <c r="O8336" s="24"/>
      <c r="P8336"/>
      <c r="Q8336" s="24"/>
      <c r="R8336"/>
      <c r="S8336"/>
      <c r="T8336"/>
      <c r="U8336"/>
      <c r="X8336" s="60"/>
    </row>
    <row r="8337" spans="7:24" ht="15" customHeight="1">
      <c r="G8337"/>
      <c r="I8337"/>
      <c r="N8337"/>
      <c r="O8337" s="24"/>
      <c r="P8337"/>
      <c r="Q8337" s="24"/>
      <c r="R8337"/>
      <c r="S8337"/>
      <c r="T8337"/>
      <c r="U8337"/>
      <c r="X8337" s="60"/>
    </row>
    <row r="8338" spans="7:24" ht="15" customHeight="1">
      <c r="G8338"/>
      <c r="I8338"/>
      <c r="N8338"/>
      <c r="O8338" s="24"/>
      <c r="P8338"/>
      <c r="Q8338" s="24"/>
      <c r="R8338"/>
      <c r="S8338"/>
      <c r="T8338"/>
      <c r="U8338"/>
      <c r="X8338" s="60"/>
    </row>
    <row r="8339" spans="7:24" ht="15" customHeight="1">
      <c r="G8339"/>
      <c r="I8339"/>
      <c r="N8339"/>
      <c r="O8339" s="24"/>
      <c r="P8339"/>
      <c r="Q8339" s="24"/>
      <c r="R8339"/>
      <c r="S8339"/>
      <c r="T8339"/>
      <c r="U8339"/>
      <c r="X8339" s="60"/>
    </row>
    <row r="8340" spans="7:24" ht="15" customHeight="1">
      <c r="G8340"/>
      <c r="I8340"/>
      <c r="N8340"/>
      <c r="O8340" s="24"/>
      <c r="P8340"/>
      <c r="Q8340" s="24"/>
      <c r="R8340"/>
      <c r="S8340"/>
      <c r="T8340"/>
      <c r="U8340"/>
      <c r="X8340" s="60"/>
    </row>
    <row r="8341" spans="7:24" ht="15" customHeight="1">
      <c r="G8341"/>
      <c r="I8341"/>
      <c r="N8341"/>
      <c r="O8341" s="24"/>
      <c r="P8341"/>
      <c r="Q8341" s="24"/>
      <c r="R8341"/>
      <c r="S8341"/>
      <c r="T8341"/>
      <c r="U8341"/>
      <c r="X8341" s="60"/>
    </row>
    <row r="8342" spans="7:24" ht="15" customHeight="1">
      <c r="G8342"/>
      <c r="I8342"/>
      <c r="N8342"/>
      <c r="O8342" s="24"/>
      <c r="P8342"/>
      <c r="Q8342" s="24"/>
      <c r="R8342"/>
      <c r="S8342"/>
      <c r="T8342"/>
      <c r="U8342"/>
      <c r="X8342" s="60"/>
    </row>
    <row r="8343" spans="7:24" ht="15" customHeight="1">
      <c r="G8343"/>
      <c r="I8343"/>
      <c r="N8343"/>
      <c r="O8343" s="24"/>
      <c r="P8343"/>
      <c r="Q8343" s="24"/>
      <c r="R8343"/>
      <c r="S8343"/>
      <c r="T8343"/>
      <c r="U8343"/>
      <c r="X8343" s="60"/>
    </row>
    <row r="8344" spans="7:24" ht="15" customHeight="1">
      <c r="G8344"/>
      <c r="I8344"/>
      <c r="N8344"/>
      <c r="O8344" s="24"/>
      <c r="P8344"/>
      <c r="Q8344" s="24"/>
      <c r="R8344"/>
      <c r="S8344"/>
      <c r="T8344"/>
      <c r="U8344"/>
      <c r="X8344" s="60"/>
    </row>
    <row r="8345" spans="7:24" ht="15" customHeight="1">
      <c r="G8345"/>
      <c r="I8345"/>
      <c r="N8345"/>
      <c r="O8345" s="24"/>
      <c r="P8345"/>
      <c r="Q8345" s="24"/>
      <c r="R8345"/>
      <c r="S8345"/>
      <c r="T8345"/>
      <c r="U8345"/>
      <c r="X8345" s="60"/>
    </row>
    <row r="8346" spans="7:24" ht="15" customHeight="1">
      <c r="G8346"/>
      <c r="I8346"/>
      <c r="N8346"/>
      <c r="O8346" s="24"/>
      <c r="P8346"/>
      <c r="Q8346" s="24"/>
      <c r="R8346"/>
      <c r="S8346"/>
      <c r="T8346"/>
      <c r="U8346"/>
      <c r="X8346" s="60"/>
    </row>
    <row r="8347" spans="7:24" ht="15" customHeight="1">
      <c r="G8347"/>
      <c r="I8347"/>
      <c r="N8347"/>
      <c r="O8347" s="24"/>
      <c r="P8347"/>
      <c r="Q8347" s="24"/>
      <c r="R8347"/>
      <c r="S8347"/>
      <c r="T8347"/>
      <c r="U8347"/>
      <c r="X8347" s="60"/>
    </row>
    <row r="8348" spans="7:24" ht="15" customHeight="1">
      <c r="G8348"/>
      <c r="I8348"/>
      <c r="N8348"/>
      <c r="O8348" s="24"/>
      <c r="P8348"/>
      <c r="Q8348" s="24"/>
      <c r="R8348"/>
      <c r="S8348"/>
      <c r="T8348"/>
      <c r="U8348"/>
      <c r="X8348" s="60"/>
    </row>
    <row r="8349" spans="7:24" ht="15" customHeight="1">
      <c r="G8349"/>
      <c r="I8349"/>
      <c r="N8349"/>
      <c r="O8349" s="24"/>
      <c r="P8349"/>
      <c r="Q8349" s="24"/>
      <c r="R8349"/>
      <c r="S8349"/>
      <c r="T8349"/>
      <c r="U8349"/>
      <c r="X8349" s="60"/>
    </row>
    <row r="8350" spans="7:24" ht="15" customHeight="1">
      <c r="G8350"/>
      <c r="I8350"/>
      <c r="N8350"/>
      <c r="O8350" s="24"/>
      <c r="P8350"/>
      <c r="Q8350" s="24"/>
      <c r="R8350"/>
      <c r="S8350"/>
      <c r="T8350"/>
      <c r="U8350"/>
      <c r="X8350" s="60"/>
    </row>
    <row r="8351" spans="7:24" ht="15" customHeight="1">
      <c r="G8351"/>
      <c r="I8351"/>
      <c r="N8351"/>
      <c r="O8351" s="24"/>
      <c r="P8351"/>
      <c r="Q8351" s="24"/>
      <c r="R8351"/>
      <c r="S8351"/>
      <c r="T8351"/>
      <c r="U8351"/>
      <c r="X8351" s="60"/>
    </row>
    <row r="8352" spans="7:24" ht="15" customHeight="1">
      <c r="G8352"/>
      <c r="I8352"/>
      <c r="N8352"/>
      <c r="O8352" s="24"/>
      <c r="P8352"/>
      <c r="Q8352" s="24"/>
      <c r="R8352"/>
      <c r="S8352"/>
      <c r="T8352"/>
      <c r="U8352"/>
      <c r="X8352" s="60"/>
    </row>
    <row r="8353" spans="7:24" ht="15" customHeight="1">
      <c r="G8353"/>
      <c r="I8353"/>
      <c r="N8353"/>
      <c r="O8353" s="24"/>
      <c r="P8353"/>
      <c r="Q8353" s="24"/>
      <c r="R8353"/>
      <c r="S8353"/>
      <c r="T8353"/>
      <c r="U8353"/>
      <c r="X8353" s="60"/>
    </row>
    <row r="8354" spans="7:24" ht="15" customHeight="1">
      <c r="G8354"/>
      <c r="I8354"/>
      <c r="N8354"/>
      <c r="O8354" s="24"/>
      <c r="P8354"/>
      <c r="Q8354" s="24"/>
      <c r="R8354"/>
      <c r="S8354"/>
      <c r="T8354"/>
      <c r="U8354"/>
      <c r="X8354" s="60"/>
    </row>
    <row r="8355" spans="7:24" ht="15" customHeight="1">
      <c r="G8355"/>
      <c r="I8355"/>
      <c r="N8355"/>
      <c r="O8355" s="24"/>
      <c r="P8355"/>
      <c r="Q8355" s="24"/>
      <c r="R8355"/>
      <c r="S8355"/>
      <c r="T8355"/>
      <c r="U8355"/>
      <c r="X8355" s="60"/>
    </row>
    <row r="8356" spans="7:24" ht="15" customHeight="1">
      <c r="G8356"/>
      <c r="I8356"/>
      <c r="N8356"/>
      <c r="O8356" s="24"/>
      <c r="P8356"/>
      <c r="Q8356" s="24"/>
      <c r="R8356"/>
      <c r="S8356"/>
      <c r="T8356"/>
      <c r="U8356"/>
      <c r="X8356" s="60"/>
    </row>
    <row r="8357" spans="7:24" ht="15" customHeight="1">
      <c r="G8357"/>
      <c r="I8357"/>
      <c r="N8357"/>
      <c r="O8357" s="24"/>
      <c r="P8357"/>
      <c r="Q8357" s="24"/>
      <c r="R8357"/>
      <c r="S8357"/>
      <c r="T8357"/>
      <c r="U8357"/>
      <c r="X8357" s="60"/>
    </row>
    <row r="8358" spans="7:24" ht="15" customHeight="1">
      <c r="G8358"/>
      <c r="I8358"/>
      <c r="N8358"/>
      <c r="O8358" s="24"/>
      <c r="P8358"/>
      <c r="Q8358" s="24"/>
      <c r="R8358"/>
      <c r="S8358"/>
      <c r="T8358"/>
      <c r="U8358"/>
      <c r="X8358" s="60"/>
    </row>
    <row r="8359" spans="7:24" ht="15" customHeight="1">
      <c r="G8359"/>
      <c r="I8359"/>
      <c r="N8359"/>
      <c r="O8359" s="24"/>
      <c r="P8359"/>
      <c r="Q8359" s="24"/>
      <c r="R8359"/>
      <c r="S8359"/>
      <c r="T8359"/>
      <c r="U8359"/>
      <c r="X8359" s="60"/>
    </row>
    <row r="8360" spans="7:24" ht="15" customHeight="1">
      <c r="G8360"/>
      <c r="I8360"/>
      <c r="N8360"/>
      <c r="O8360" s="24"/>
      <c r="P8360"/>
      <c r="Q8360" s="24"/>
      <c r="R8360"/>
      <c r="S8360"/>
      <c r="T8360"/>
      <c r="U8360"/>
      <c r="X8360" s="60"/>
    </row>
    <row r="8361" spans="7:24" ht="15" customHeight="1">
      <c r="G8361"/>
      <c r="I8361"/>
      <c r="N8361"/>
      <c r="O8361" s="24"/>
      <c r="P8361"/>
      <c r="Q8361" s="24"/>
      <c r="R8361"/>
      <c r="S8361"/>
      <c r="T8361"/>
      <c r="U8361"/>
      <c r="X8361" s="60"/>
    </row>
    <row r="8362" spans="7:24" ht="15" customHeight="1">
      <c r="G8362"/>
      <c r="I8362"/>
      <c r="N8362"/>
      <c r="O8362" s="24"/>
      <c r="P8362"/>
      <c r="Q8362" s="24"/>
      <c r="R8362"/>
      <c r="S8362"/>
      <c r="T8362"/>
      <c r="U8362"/>
      <c r="X8362" s="60"/>
    </row>
    <row r="8363" spans="7:24" ht="15" customHeight="1">
      <c r="G8363"/>
      <c r="I8363"/>
      <c r="N8363"/>
      <c r="O8363" s="24"/>
      <c r="P8363"/>
      <c r="Q8363" s="24"/>
      <c r="R8363"/>
      <c r="S8363"/>
      <c r="T8363"/>
      <c r="U8363"/>
      <c r="X8363" s="60"/>
    </row>
    <row r="8364" spans="7:24" ht="15" customHeight="1">
      <c r="G8364"/>
      <c r="I8364"/>
      <c r="N8364"/>
      <c r="O8364" s="24"/>
      <c r="P8364"/>
      <c r="Q8364" s="24"/>
      <c r="R8364"/>
      <c r="S8364"/>
      <c r="T8364"/>
      <c r="U8364"/>
      <c r="X8364" s="60"/>
    </row>
    <row r="8365" spans="7:24" ht="15" customHeight="1">
      <c r="G8365"/>
      <c r="I8365"/>
      <c r="N8365"/>
      <c r="O8365" s="24"/>
      <c r="P8365"/>
      <c r="Q8365" s="24"/>
      <c r="R8365"/>
      <c r="S8365"/>
      <c r="T8365"/>
      <c r="U8365"/>
      <c r="X8365" s="60"/>
    </row>
    <row r="8366" spans="7:24" ht="15" customHeight="1">
      <c r="G8366"/>
      <c r="I8366"/>
      <c r="N8366"/>
      <c r="O8366" s="24"/>
      <c r="P8366"/>
      <c r="Q8366" s="24"/>
      <c r="R8366"/>
      <c r="S8366"/>
      <c r="T8366"/>
      <c r="U8366"/>
      <c r="X8366" s="60"/>
    </row>
    <row r="8367" spans="7:24" ht="15" customHeight="1">
      <c r="G8367"/>
      <c r="I8367"/>
      <c r="N8367"/>
      <c r="O8367" s="24"/>
      <c r="P8367"/>
      <c r="Q8367" s="24"/>
      <c r="R8367"/>
      <c r="S8367"/>
      <c r="T8367"/>
      <c r="U8367"/>
      <c r="X8367" s="60"/>
    </row>
    <row r="8368" spans="7:24" ht="15" customHeight="1">
      <c r="G8368"/>
      <c r="I8368"/>
      <c r="N8368"/>
      <c r="O8368" s="24"/>
      <c r="P8368"/>
      <c r="Q8368" s="24"/>
      <c r="R8368"/>
      <c r="S8368"/>
      <c r="T8368"/>
      <c r="U8368"/>
      <c r="X8368" s="60"/>
    </row>
    <row r="8369" spans="7:24" ht="15" customHeight="1">
      <c r="G8369"/>
      <c r="I8369"/>
      <c r="N8369"/>
      <c r="O8369" s="24"/>
      <c r="P8369"/>
      <c r="Q8369" s="24"/>
      <c r="R8369"/>
      <c r="S8369"/>
      <c r="T8369"/>
      <c r="U8369"/>
      <c r="X8369" s="60"/>
    </row>
    <row r="8370" spans="7:24" ht="15" customHeight="1">
      <c r="G8370"/>
      <c r="I8370"/>
      <c r="N8370"/>
      <c r="O8370" s="24"/>
      <c r="P8370"/>
      <c r="Q8370" s="24"/>
      <c r="R8370"/>
      <c r="S8370"/>
      <c r="T8370"/>
      <c r="U8370"/>
      <c r="X8370" s="60"/>
    </row>
    <row r="8371" spans="7:24" ht="15" customHeight="1">
      <c r="G8371"/>
      <c r="I8371"/>
      <c r="N8371"/>
      <c r="O8371" s="24"/>
      <c r="P8371"/>
      <c r="Q8371" s="24"/>
      <c r="R8371"/>
      <c r="S8371"/>
      <c r="T8371"/>
      <c r="U8371"/>
      <c r="X8371" s="60"/>
    </row>
    <row r="8372" spans="7:24" ht="15" customHeight="1">
      <c r="G8372"/>
      <c r="I8372"/>
      <c r="N8372"/>
      <c r="O8372" s="24"/>
      <c r="P8372"/>
      <c r="Q8372" s="24"/>
      <c r="R8372"/>
      <c r="S8372"/>
      <c r="T8372"/>
      <c r="U8372"/>
      <c r="X8372" s="60"/>
    </row>
    <row r="8373" spans="7:24" ht="15" customHeight="1">
      <c r="G8373"/>
      <c r="I8373"/>
      <c r="N8373"/>
      <c r="O8373" s="24"/>
      <c r="P8373"/>
      <c r="Q8373" s="24"/>
      <c r="R8373"/>
      <c r="S8373"/>
      <c r="T8373"/>
      <c r="U8373"/>
      <c r="X8373" s="60"/>
    </row>
    <row r="8374" spans="7:24" ht="15" customHeight="1">
      <c r="G8374"/>
      <c r="I8374"/>
      <c r="N8374"/>
      <c r="O8374" s="24"/>
      <c r="P8374"/>
      <c r="Q8374" s="24"/>
      <c r="R8374"/>
      <c r="S8374"/>
      <c r="T8374"/>
      <c r="U8374"/>
      <c r="X8374" s="60"/>
    </row>
    <row r="8375" spans="7:24" ht="15" customHeight="1">
      <c r="G8375"/>
      <c r="I8375"/>
      <c r="N8375"/>
      <c r="O8375" s="24"/>
      <c r="P8375"/>
      <c r="Q8375" s="24"/>
      <c r="R8375"/>
      <c r="S8375"/>
      <c r="T8375"/>
      <c r="U8375"/>
      <c r="X8375" s="60"/>
    </row>
    <row r="8376" spans="7:24" ht="15" customHeight="1">
      <c r="G8376"/>
      <c r="I8376"/>
      <c r="N8376"/>
      <c r="O8376" s="24"/>
      <c r="P8376"/>
      <c r="Q8376" s="24"/>
      <c r="R8376"/>
      <c r="S8376"/>
      <c r="T8376"/>
      <c r="U8376"/>
      <c r="X8376" s="60"/>
    </row>
    <row r="8377" spans="7:24" ht="15" customHeight="1">
      <c r="G8377"/>
      <c r="I8377"/>
      <c r="N8377"/>
      <c r="O8377" s="24"/>
      <c r="P8377"/>
      <c r="Q8377" s="24"/>
      <c r="R8377"/>
      <c r="S8377"/>
      <c r="T8377"/>
      <c r="U8377"/>
      <c r="X8377" s="60"/>
    </row>
    <row r="8378" spans="7:24" ht="15" customHeight="1">
      <c r="G8378"/>
      <c r="I8378"/>
      <c r="N8378"/>
      <c r="O8378" s="24"/>
      <c r="P8378"/>
      <c r="Q8378" s="24"/>
      <c r="R8378"/>
      <c r="S8378"/>
      <c r="T8378"/>
      <c r="U8378"/>
      <c r="X8378" s="60"/>
    </row>
    <row r="8379" spans="7:24" ht="15" customHeight="1">
      <c r="G8379"/>
      <c r="I8379"/>
      <c r="N8379"/>
      <c r="O8379" s="24"/>
      <c r="P8379"/>
      <c r="Q8379" s="24"/>
      <c r="R8379"/>
      <c r="S8379"/>
      <c r="T8379"/>
      <c r="U8379"/>
      <c r="X8379" s="60"/>
    </row>
    <row r="8380" spans="7:24" ht="15" customHeight="1">
      <c r="G8380"/>
      <c r="I8380"/>
      <c r="N8380"/>
      <c r="O8380" s="24"/>
      <c r="P8380"/>
      <c r="Q8380" s="24"/>
      <c r="R8380"/>
      <c r="S8380"/>
      <c r="T8380"/>
      <c r="U8380"/>
      <c r="X8380" s="60"/>
    </row>
    <row r="8381" spans="7:24" ht="15" customHeight="1">
      <c r="G8381"/>
      <c r="I8381"/>
      <c r="N8381"/>
      <c r="O8381" s="24"/>
      <c r="P8381"/>
      <c r="Q8381" s="24"/>
      <c r="R8381"/>
      <c r="S8381"/>
      <c r="T8381"/>
      <c r="U8381"/>
      <c r="X8381" s="60"/>
    </row>
    <row r="8382" spans="7:24" ht="15" customHeight="1">
      <c r="G8382"/>
      <c r="I8382"/>
      <c r="N8382"/>
      <c r="O8382" s="24"/>
      <c r="P8382"/>
      <c r="Q8382" s="24"/>
      <c r="R8382"/>
      <c r="S8382"/>
      <c r="T8382"/>
      <c r="U8382"/>
      <c r="X8382" s="60"/>
    </row>
    <row r="8383" spans="7:24" ht="15" customHeight="1">
      <c r="G8383"/>
      <c r="I8383"/>
      <c r="N8383"/>
      <c r="O8383" s="24"/>
      <c r="P8383"/>
      <c r="Q8383" s="24"/>
      <c r="R8383"/>
      <c r="S8383"/>
      <c r="T8383"/>
      <c r="U8383"/>
      <c r="X8383" s="60"/>
    </row>
    <row r="8384" spans="7:24" ht="15" customHeight="1">
      <c r="G8384"/>
      <c r="I8384"/>
      <c r="N8384"/>
      <c r="O8384" s="24"/>
      <c r="P8384"/>
      <c r="Q8384" s="24"/>
      <c r="R8384"/>
      <c r="S8384"/>
      <c r="T8384"/>
      <c r="U8384"/>
      <c r="X8384" s="60"/>
    </row>
    <row r="8385" spans="7:24" ht="15" customHeight="1">
      <c r="G8385"/>
      <c r="I8385"/>
      <c r="N8385"/>
      <c r="O8385" s="24"/>
      <c r="P8385"/>
      <c r="Q8385" s="24"/>
      <c r="R8385"/>
      <c r="S8385"/>
      <c r="T8385"/>
      <c r="U8385"/>
      <c r="X8385" s="60"/>
    </row>
    <row r="8386" spans="7:24" ht="15" customHeight="1">
      <c r="G8386"/>
      <c r="I8386"/>
      <c r="N8386"/>
      <c r="O8386" s="24"/>
      <c r="P8386"/>
      <c r="Q8386" s="24"/>
      <c r="R8386"/>
      <c r="S8386"/>
      <c r="T8386"/>
      <c r="U8386"/>
      <c r="X8386" s="60"/>
    </row>
    <row r="8387" spans="7:24" ht="15" customHeight="1">
      <c r="G8387"/>
      <c r="I8387"/>
      <c r="N8387"/>
      <c r="O8387" s="24"/>
      <c r="P8387"/>
      <c r="Q8387" s="24"/>
      <c r="R8387"/>
      <c r="S8387"/>
      <c r="T8387"/>
      <c r="U8387"/>
      <c r="X8387" s="60"/>
    </row>
    <row r="8388" spans="7:24" ht="15" customHeight="1">
      <c r="G8388"/>
      <c r="I8388"/>
      <c r="N8388"/>
      <c r="O8388" s="24"/>
      <c r="P8388"/>
      <c r="Q8388" s="24"/>
      <c r="R8388"/>
      <c r="S8388"/>
      <c r="T8388"/>
      <c r="U8388"/>
      <c r="X8388" s="60"/>
    </row>
    <row r="8389" spans="7:24" ht="15" customHeight="1">
      <c r="G8389"/>
      <c r="I8389"/>
      <c r="N8389"/>
      <c r="O8389" s="24"/>
      <c r="P8389"/>
      <c r="Q8389" s="24"/>
      <c r="R8389"/>
      <c r="S8389"/>
      <c r="T8389"/>
      <c r="U8389"/>
      <c r="X8389" s="60"/>
    </row>
    <row r="8390" spans="7:24" ht="15" customHeight="1">
      <c r="G8390"/>
      <c r="I8390"/>
      <c r="N8390"/>
      <c r="O8390" s="24"/>
      <c r="P8390"/>
      <c r="Q8390" s="24"/>
      <c r="R8390"/>
      <c r="S8390"/>
      <c r="T8390"/>
      <c r="U8390"/>
      <c r="X8390" s="60"/>
    </row>
    <row r="8391" spans="7:24" ht="15" customHeight="1">
      <c r="G8391"/>
      <c r="I8391"/>
      <c r="N8391"/>
      <c r="O8391" s="24"/>
      <c r="P8391"/>
      <c r="Q8391" s="24"/>
      <c r="R8391"/>
      <c r="S8391"/>
      <c r="T8391"/>
      <c r="U8391"/>
      <c r="X8391" s="60"/>
    </row>
    <row r="8392" spans="7:24" ht="15" customHeight="1">
      <c r="G8392"/>
      <c r="I8392"/>
      <c r="N8392"/>
      <c r="O8392" s="24"/>
      <c r="P8392"/>
      <c r="Q8392" s="24"/>
      <c r="R8392"/>
      <c r="S8392"/>
      <c r="T8392"/>
      <c r="U8392"/>
      <c r="X8392" s="60"/>
    </row>
    <row r="8393" spans="7:24" ht="15" customHeight="1">
      <c r="G8393"/>
      <c r="I8393"/>
      <c r="N8393"/>
      <c r="O8393" s="24"/>
      <c r="P8393"/>
      <c r="Q8393" s="24"/>
      <c r="R8393"/>
      <c r="S8393"/>
      <c r="T8393"/>
      <c r="U8393"/>
      <c r="X8393" s="60"/>
    </row>
    <row r="8394" spans="7:24" ht="15" customHeight="1">
      <c r="G8394"/>
      <c r="I8394"/>
      <c r="N8394"/>
      <c r="O8394" s="24"/>
      <c r="P8394"/>
      <c r="Q8394" s="24"/>
      <c r="R8394"/>
      <c r="S8394"/>
      <c r="T8394"/>
      <c r="U8394"/>
      <c r="X8394" s="60"/>
    </row>
    <row r="8395" spans="7:24" ht="15" customHeight="1">
      <c r="G8395"/>
      <c r="I8395"/>
      <c r="N8395"/>
      <c r="O8395" s="24"/>
      <c r="P8395"/>
      <c r="Q8395" s="24"/>
      <c r="R8395"/>
      <c r="S8395"/>
      <c r="T8395"/>
      <c r="U8395"/>
      <c r="X8395" s="60"/>
    </row>
    <row r="8396" spans="7:24" ht="15" customHeight="1">
      <c r="G8396"/>
      <c r="I8396"/>
      <c r="N8396"/>
      <c r="O8396" s="24"/>
      <c r="P8396"/>
      <c r="Q8396" s="24"/>
      <c r="R8396"/>
      <c r="S8396"/>
      <c r="T8396"/>
      <c r="U8396"/>
      <c r="X8396" s="60"/>
    </row>
    <row r="8397" spans="7:24" ht="15" customHeight="1">
      <c r="G8397"/>
      <c r="I8397"/>
      <c r="N8397"/>
      <c r="O8397" s="24"/>
      <c r="P8397"/>
      <c r="Q8397" s="24"/>
      <c r="R8397"/>
      <c r="S8397"/>
      <c r="T8397"/>
      <c r="U8397"/>
      <c r="X8397" s="60"/>
    </row>
    <row r="8398" spans="7:24" ht="15" customHeight="1">
      <c r="G8398"/>
      <c r="I8398"/>
      <c r="N8398"/>
      <c r="O8398" s="24"/>
      <c r="P8398"/>
      <c r="Q8398" s="24"/>
      <c r="R8398"/>
      <c r="S8398"/>
      <c r="T8398"/>
      <c r="U8398"/>
      <c r="X8398" s="60"/>
    </row>
    <row r="8399" spans="7:24" ht="15" customHeight="1">
      <c r="G8399"/>
      <c r="I8399"/>
      <c r="N8399"/>
      <c r="O8399" s="24"/>
      <c r="P8399"/>
      <c r="Q8399" s="24"/>
      <c r="R8399"/>
      <c r="S8399"/>
      <c r="T8399"/>
      <c r="U8399"/>
      <c r="X8399" s="60"/>
    </row>
    <row r="8400" spans="7:24" ht="15" customHeight="1">
      <c r="G8400"/>
      <c r="I8400"/>
      <c r="N8400"/>
      <c r="O8400" s="24"/>
      <c r="P8400"/>
      <c r="Q8400" s="24"/>
      <c r="R8400"/>
      <c r="S8400"/>
      <c r="T8400"/>
      <c r="U8400"/>
      <c r="X8400" s="60"/>
    </row>
    <row r="8401" spans="7:24" ht="15" customHeight="1">
      <c r="G8401"/>
      <c r="I8401"/>
      <c r="N8401"/>
      <c r="O8401" s="24"/>
      <c r="P8401"/>
      <c r="Q8401" s="24"/>
      <c r="R8401"/>
      <c r="S8401"/>
      <c r="T8401"/>
      <c r="U8401"/>
      <c r="X8401" s="60"/>
    </row>
    <row r="8402" spans="7:24" ht="15" customHeight="1">
      <c r="G8402"/>
      <c r="I8402"/>
      <c r="N8402"/>
      <c r="O8402" s="24"/>
      <c r="P8402"/>
      <c r="Q8402" s="24"/>
      <c r="R8402"/>
      <c r="S8402"/>
      <c r="T8402"/>
      <c r="U8402"/>
      <c r="X8402" s="60"/>
    </row>
    <row r="8403" spans="7:24" ht="15" customHeight="1">
      <c r="G8403"/>
      <c r="I8403"/>
      <c r="N8403"/>
      <c r="O8403" s="24"/>
      <c r="P8403"/>
      <c r="Q8403" s="24"/>
      <c r="R8403"/>
      <c r="S8403"/>
      <c r="T8403"/>
      <c r="U8403"/>
      <c r="X8403" s="60"/>
    </row>
    <row r="8404" spans="7:24" ht="15" customHeight="1">
      <c r="G8404"/>
      <c r="I8404"/>
      <c r="N8404"/>
      <c r="O8404" s="24"/>
      <c r="P8404"/>
      <c r="Q8404" s="24"/>
      <c r="R8404"/>
      <c r="S8404"/>
      <c r="T8404"/>
      <c r="U8404"/>
      <c r="X8404" s="60"/>
    </row>
    <row r="8405" spans="7:24" ht="15" customHeight="1">
      <c r="G8405"/>
      <c r="I8405"/>
      <c r="N8405"/>
      <c r="O8405" s="24"/>
      <c r="P8405"/>
      <c r="Q8405" s="24"/>
      <c r="R8405"/>
      <c r="S8405"/>
      <c r="T8405"/>
      <c r="U8405"/>
      <c r="X8405" s="60"/>
    </row>
    <row r="8406" spans="7:24" ht="15" customHeight="1">
      <c r="G8406"/>
      <c r="I8406"/>
      <c r="N8406"/>
      <c r="O8406" s="24"/>
      <c r="P8406"/>
      <c r="Q8406" s="24"/>
      <c r="R8406"/>
      <c r="S8406"/>
      <c r="T8406"/>
      <c r="U8406"/>
      <c r="X8406" s="60"/>
    </row>
    <row r="8407" spans="7:24" ht="15" customHeight="1">
      <c r="G8407"/>
      <c r="I8407"/>
      <c r="N8407"/>
      <c r="O8407" s="24"/>
      <c r="P8407"/>
      <c r="Q8407" s="24"/>
      <c r="R8407"/>
      <c r="S8407"/>
      <c r="T8407"/>
      <c r="U8407"/>
      <c r="X8407" s="60"/>
    </row>
    <row r="8408" spans="7:24" ht="15" customHeight="1">
      <c r="G8408"/>
      <c r="I8408"/>
      <c r="N8408"/>
      <c r="O8408" s="24"/>
      <c r="P8408"/>
      <c r="Q8408" s="24"/>
      <c r="R8408"/>
      <c r="S8408"/>
      <c r="T8408"/>
      <c r="U8408"/>
      <c r="X8408" s="60"/>
    </row>
    <row r="8409" spans="7:24" ht="15" customHeight="1">
      <c r="G8409"/>
      <c r="I8409"/>
      <c r="N8409"/>
      <c r="O8409" s="24"/>
      <c r="P8409"/>
      <c r="Q8409" s="24"/>
      <c r="R8409"/>
      <c r="S8409"/>
      <c r="T8409"/>
      <c r="U8409"/>
      <c r="X8409" s="60"/>
    </row>
    <row r="8410" spans="7:24" ht="15" customHeight="1">
      <c r="G8410"/>
      <c r="I8410"/>
      <c r="N8410"/>
      <c r="O8410" s="24"/>
      <c r="P8410"/>
      <c r="Q8410" s="24"/>
      <c r="R8410"/>
      <c r="S8410"/>
      <c r="T8410"/>
      <c r="U8410"/>
      <c r="X8410" s="60"/>
    </row>
    <row r="8411" spans="7:24" ht="15" customHeight="1">
      <c r="G8411"/>
      <c r="I8411"/>
      <c r="N8411"/>
      <c r="O8411" s="24"/>
      <c r="P8411"/>
      <c r="Q8411" s="24"/>
      <c r="R8411"/>
      <c r="S8411"/>
      <c r="T8411"/>
      <c r="U8411"/>
      <c r="X8411" s="60"/>
    </row>
    <row r="8412" spans="7:24" ht="15" customHeight="1">
      <c r="G8412"/>
      <c r="I8412"/>
      <c r="N8412"/>
      <c r="O8412" s="24"/>
      <c r="P8412"/>
      <c r="Q8412" s="24"/>
      <c r="R8412"/>
      <c r="S8412"/>
      <c r="T8412"/>
      <c r="U8412"/>
      <c r="X8412" s="60"/>
    </row>
    <row r="8413" spans="7:24" ht="15" customHeight="1">
      <c r="G8413"/>
      <c r="I8413"/>
      <c r="N8413"/>
      <c r="O8413" s="24"/>
      <c r="P8413"/>
      <c r="Q8413" s="24"/>
      <c r="R8413"/>
      <c r="S8413"/>
      <c r="T8413"/>
      <c r="U8413"/>
      <c r="X8413" s="60"/>
    </row>
    <row r="8414" spans="7:24" ht="15" customHeight="1">
      <c r="G8414"/>
      <c r="I8414"/>
      <c r="N8414"/>
      <c r="O8414" s="24"/>
      <c r="P8414"/>
      <c r="Q8414" s="24"/>
      <c r="R8414"/>
      <c r="S8414"/>
      <c r="T8414"/>
      <c r="U8414"/>
      <c r="X8414" s="60"/>
    </row>
    <row r="8415" spans="7:24" ht="15" customHeight="1">
      <c r="G8415"/>
      <c r="I8415"/>
      <c r="N8415"/>
      <c r="O8415" s="24"/>
      <c r="P8415"/>
      <c r="Q8415" s="24"/>
      <c r="R8415"/>
      <c r="S8415"/>
      <c r="T8415"/>
      <c r="U8415"/>
      <c r="X8415" s="60"/>
    </row>
    <row r="8416" spans="7:24" ht="15" customHeight="1">
      <c r="G8416"/>
      <c r="I8416"/>
      <c r="N8416"/>
      <c r="O8416" s="24"/>
      <c r="P8416"/>
      <c r="Q8416" s="24"/>
      <c r="R8416"/>
      <c r="S8416"/>
      <c r="T8416"/>
      <c r="U8416"/>
      <c r="X8416" s="60"/>
    </row>
    <row r="8417" spans="7:24" ht="15" customHeight="1">
      <c r="G8417"/>
      <c r="I8417"/>
      <c r="N8417"/>
      <c r="O8417" s="24"/>
      <c r="P8417"/>
      <c r="Q8417" s="24"/>
      <c r="R8417"/>
      <c r="S8417"/>
      <c r="T8417"/>
      <c r="U8417"/>
      <c r="X8417" s="60"/>
    </row>
    <row r="8418" spans="7:24" ht="15" customHeight="1">
      <c r="G8418"/>
      <c r="I8418"/>
      <c r="N8418"/>
      <c r="O8418" s="24"/>
      <c r="P8418"/>
      <c r="Q8418" s="24"/>
      <c r="R8418"/>
      <c r="S8418"/>
      <c r="T8418"/>
      <c r="U8418"/>
      <c r="X8418" s="60"/>
    </row>
    <row r="8419" spans="7:24" ht="15" customHeight="1">
      <c r="G8419"/>
      <c r="I8419"/>
      <c r="N8419"/>
      <c r="O8419" s="24"/>
      <c r="P8419"/>
      <c r="Q8419" s="24"/>
      <c r="R8419"/>
      <c r="S8419"/>
      <c r="T8419"/>
      <c r="U8419"/>
      <c r="X8419" s="60"/>
    </row>
    <row r="8420" spans="7:24" ht="15" customHeight="1">
      <c r="G8420"/>
      <c r="I8420"/>
      <c r="N8420"/>
      <c r="O8420" s="24"/>
      <c r="P8420"/>
      <c r="Q8420" s="24"/>
      <c r="R8420"/>
      <c r="S8420"/>
      <c r="T8420"/>
      <c r="U8420"/>
      <c r="X8420" s="60"/>
    </row>
    <row r="8421" spans="7:24" ht="15" customHeight="1">
      <c r="G8421"/>
      <c r="I8421"/>
      <c r="N8421"/>
      <c r="O8421" s="24"/>
      <c r="P8421"/>
      <c r="Q8421" s="24"/>
      <c r="R8421"/>
      <c r="S8421"/>
      <c r="T8421"/>
      <c r="U8421"/>
      <c r="X8421" s="60"/>
    </row>
    <row r="8422" spans="7:24" ht="15" customHeight="1">
      <c r="G8422"/>
      <c r="I8422"/>
      <c r="N8422"/>
      <c r="O8422" s="24"/>
      <c r="P8422"/>
      <c r="Q8422" s="24"/>
      <c r="R8422"/>
      <c r="S8422"/>
      <c r="T8422"/>
      <c r="U8422"/>
      <c r="X8422" s="60"/>
    </row>
    <row r="8423" spans="7:24" ht="15" customHeight="1">
      <c r="G8423"/>
      <c r="I8423"/>
      <c r="N8423"/>
      <c r="O8423" s="24"/>
      <c r="P8423"/>
      <c r="Q8423" s="24"/>
      <c r="R8423"/>
      <c r="S8423"/>
      <c r="T8423"/>
      <c r="U8423"/>
      <c r="X8423" s="60"/>
    </row>
    <row r="8424" spans="7:24" ht="15" customHeight="1">
      <c r="G8424"/>
      <c r="I8424"/>
      <c r="N8424"/>
      <c r="O8424" s="24"/>
      <c r="P8424"/>
      <c r="Q8424" s="24"/>
      <c r="R8424"/>
      <c r="S8424"/>
      <c r="T8424"/>
      <c r="U8424"/>
      <c r="X8424" s="60"/>
    </row>
    <row r="8425" spans="7:24" ht="15" customHeight="1">
      <c r="G8425"/>
      <c r="I8425"/>
      <c r="N8425"/>
      <c r="O8425" s="24"/>
      <c r="P8425"/>
      <c r="Q8425" s="24"/>
      <c r="R8425"/>
      <c r="S8425"/>
      <c r="T8425"/>
      <c r="U8425"/>
      <c r="X8425" s="60"/>
    </row>
    <row r="8426" spans="7:24" ht="15" customHeight="1">
      <c r="G8426"/>
      <c r="I8426"/>
      <c r="N8426"/>
      <c r="O8426" s="24"/>
      <c r="P8426"/>
      <c r="Q8426" s="24"/>
      <c r="R8426"/>
      <c r="S8426"/>
      <c r="T8426"/>
      <c r="U8426"/>
      <c r="X8426" s="60"/>
    </row>
    <row r="8427" spans="7:24" ht="15" customHeight="1">
      <c r="G8427"/>
      <c r="I8427"/>
      <c r="N8427"/>
      <c r="O8427" s="24"/>
      <c r="P8427"/>
      <c r="Q8427" s="24"/>
      <c r="R8427"/>
      <c r="S8427"/>
      <c r="T8427"/>
      <c r="U8427"/>
      <c r="X8427" s="60"/>
    </row>
    <row r="8428" spans="7:24" ht="15" customHeight="1">
      <c r="G8428"/>
      <c r="I8428"/>
      <c r="N8428"/>
      <c r="O8428" s="24"/>
      <c r="P8428"/>
      <c r="Q8428" s="24"/>
      <c r="R8428"/>
      <c r="S8428"/>
      <c r="T8428"/>
      <c r="U8428"/>
      <c r="X8428" s="60"/>
    </row>
    <row r="8429" spans="7:24" ht="15" customHeight="1">
      <c r="G8429"/>
      <c r="I8429"/>
      <c r="N8429"/>
      <c r="O8429" s="24"/>
      <c r="P8429"/>
      <c r="Q8429" s="24"/>
      <c r="R8429"/>
      <c r="S8429"/>
      <c r="T8429"/>
      <c r="U8429"/>
      <c r="X8429" s="60"/>
    </row>
    <row r="8430" spans="7:24" ht="15" customHeight="1">
      <c r="G8430"/>
      <c r="I8430"/>
      <c r="N8430"/>
      <c r="O8430" s="24"/>
      <c r="P8430"/>
      <c r="Q8430" s="24"/>
      <c r="R8430"/>
      <c r="S8430"/>
      <c r="T8430"/>
      <c r="U8430"/>
      <c r="X8430" s="60"/>
    </row>
    <row r="8431" spans="7:24" ht="15" customHeight="1">
      <c r="G8431"/>
      <c r="I8431"/>
      <c r="N8431"/>
      <c r="O8431" s="24"/>
      <c r="P8431"/>
      <c r="Q8431" s="24"/>
      <c r="R8431"/>
      <c r="S8431"/>
      <c r="T8431"/>
      <c r="U8431"/>
      <c r="X8431" s="60"/>
    </row>
    <row r="8432" spans="7:24" ht="15" customHeight="1">
      <c r="G8432"/>
      <c r="I8432"/>
      <c r="N8432"/>
      <c r="O8432" s="24"/>
      <c r="P8432"/>
      <c r="Q8432" s="24"/>
      <c r="R8432"/>
      <c r="S8432"/>
      <c r="T8432"/>
      <c r="U8432"/>
      <c r="X8432" s="60"/>
    </row>
    <row r="8433" spans="7:24" ht="15" customHeight="1">
      <c r="G8433"/>
      <c r="I8433"/>
      <c r="N8433"/>
      <c r="O8433" s="24"/>
      <c r="P8433"/>
      <c r="Q8433" s="24"/>
      <c r="R8433"/>
      <c r="S8433"/>
      <c r="T8433"/>
      <c r="U8433"/>
      <c r="X8433" s="60"/>
    </row>
    <row r="8434" spans="7:24" ht="15" customHeight="1">
      <c r="G8434"/>
      <c r="I8434"/>
      <c r="N8434"/>
      <c r="O8434" s="24"/>
      <c r="P8434"/>
      <c r="Q8434" s="24"/>
      <c r="R8434"/>
      <c r="S8434"/>
      <c r="T8434"/>
      <c r="U8434"/>
      <c r="X8434" s="60"/>
    </row>
    <row r="8435" spans="7:24" ht="15" customHeight="1">
      <c r="G8435"/>
      <c r="I8435"/>
      <c r="N8435"/>
      <c r="O8435" s="24"/>
      <c r="P8435"/>
      <c r="Q8435" s="24"/>
      <c r="R8435"/>
      <c r="S8435"/>
      <c r="T8435"/>
      <c r="U8435"/>
      <c r="X8435" s="60"/>
    </row>
    <row r="8436" spans="7:24" ht="15" customHeight="1">
      <c r="G8436"/>
      <c r="I8436"/>
      <c r="N8436"/>
      <c r="O8436" s="24"/>
      <c r="P8436"/>
      <c r="Q8436" s="24"/>
      <c r="R8436"/>
      <c r="S8436"/>
      <c r="T8436"/>
      <c r="U8436"/>
      <c r="X8436" s="60"/>
    </row>
    <row r="8437" spans="7:24" ht="15" customHeight="1">
      <c r="G8437"/>
      <c r="I8437"/>
      <c r="N8437"/>
      <c r="O8437" s="24"/>
      <c r="P8437"/>
      <c r="Q8437" s="24"/>
      <c r="R8437"/>
      <c r="S8437"/>
      <c r="T8437"/>
      <c r="U8437"/>
      <c r="X8437" s="60"/>
    </row>
    <row r="8438" spans="7:24" ht="15" customHeight="1">
      <c r="G8438"/>
      <c r="I8438"/>
      <c r="N8438"/>
      <c r="O8438" s="24"/>
      <c r="P8438"/>
      <c r="Q8438" s="24"/>
      <c r="R8438"/>
      <c r="S8438"/>
      <c r="T8438"/>
      <c r="U8438"/>
      <c r="X8438" s="60"/>
    </row>
    <row r="8439" spans="7:24" ht="15" customHeight="1">
      <c r="G8439"/>
      <c r="I8439"/>
      <c r="N8439"/>
      <c r="O8439" s="24"/>
      <c r="P8439"/>
      <c r="Q8439" s="24"/>
      <c r="R8439"/>
      <c r="S8439"/>
      <c r="T8439"/>
      <c r="U8439"/>
      <c r="X8439" s="60"/>
    </row>
    <row r="8440" spans="7:24" ht="15" customHeight="1">
      <c r="G8440"/>
      <c r="I8440"/>
      <c r="N8440"/>
      <c r="O8440" s="24"/>
      <c r="P8440"/>
      <c r="Q8440" s="24"/>
      <c r="R8440"/>
      <c r="S8440"/>
      <c r="T8440"/>
      <c r="U8440"/>
      <c r="X8440" s="60"/>
    </row>
    <row r="8441" spans="7:24" ht="15" customHeight="1">
      <c r="G8441"/>
      <c r="I8441"/>
      <c r="N8441"/>
      <c r="O8441" s="24"/>
      <c r="P8441"/>
      <c r="Q8441" s="24"/>
      <c r="R8441"/>
      <c r="S8441"/>
      <c r="T8441"/>
      <c r="U8441"/>
      <c r="X8441" s="60"/>
    </row>
    <row r="8442" spans="7:24" ht="15" customHeight="1">
      <c r="G8442"/>
      <c r="I8442"/>
      <c r="N8442"/>
      <c r="O8442" s="24"/>
      <c r="P8442"/>
      <c r="Q8442" s="24"/>
      <c r="R8442"/>
      <c r="S8442"/>
      <c r="T8442"/>
      <c r="U8442"/>
      <c r="X8442" s="60"/>
    </row>
    <row r="8443" spans="7:24" ht="15" customHeight="1">
      <c r="G8443"/>
      <c r="I8443"/>
      <c r="N8443"/>
      <c r="O8443" s="24"/>
      <c r="P8443"/>
      <c r="Q8443" s="24"/>
      <c r="R8443"/>
      <c r="S8443"/>
      <c r="T8443"/>
      <c r="U8443"/>
      <c r="X8443" s="60"/>
    </row>
    <row r="8444" spans="7:24" ht="15" customHeight="1">
      <c r="G8444"/>
      <c r="I8444"/>
      <c r="N8444"/>
      <c r="O8444" s="24"/>
      <c r="P8444"/>
      <c r="Q8444" s="24"/>
      <c r="R8444"/>
      <c r="S8444"/>
      <c r="T8444"/>
      <c r="U8444"/>
      <c r="X8444" s="60"/>
    </row>
    <row r="8445" spans="7:24" ht="15" customHeight="1">
      <c r="G8445"/>
      <c r="I8445"/>
      <c r="N8445"/>
      <c r="O8445" s="24"/>
      <c r="P8445"/>
      <c r="Q8445" s="24"/>
      <c r="R8445"/>
      <c r="S8445"/>
      <c r="T8445"/>
      <c r="U8445"/>
      <c r="X8445" s="60"/>
    </row>
    <row r="8446" spans="7:24" ht="15" customHeight="1">
      <c r="G8446"/>
      <c r="I8446"/>
      <c r="N8446"/>
      <c r="O8446" s="24"/>
      <c r="P8446"/>
      <c r="Q8446" s="24"/>
      <c r="R8446"/>
      <c r="S8446"/>
      <c r="T8446"/>
      <c r="U8446"/>
      <c r="X8446" s="60"/>
    </row>
    <row r="8447" spans="7:24" ht="15" customHeight="1">
      <c r="G8447"/>
      <c r="I8447"/>
      <c r="N8447"/>
      <c r="O8447" s="24"/>
      <c r="P8447"/>
      <c r="Q8447" s="24"/>
      <c r="R8447"/>
      <c r="S8447"/>
      <c r="T8447"/>
      <c r="U8447"/>
      <c r="X8447" s="60"/>
    </row>
    <row r="8448" spans="7:24" ht="15" customHeight="1">
      <c r="G8448"/>
      <c r="I8448"/>
      <c r="N8448"/>
      <c r="O8448" s="24"/>
      <c r="P8448"/>
      <c r="Q8448" s="24"/>
      <c r="R8448"/>
      <c r="S8448"/>
      <c r="T8448"/>
      <c r="U8448"/>
      <c r="X8448" s="60"/>
    </row>
    <row r="8449" spans="7:24" ht="15" customHeight="1">
      <c r="G8449"/>
      <c r="I8449"/>
      <c r="N8449"/>
      <c r="O8449" s="24"/>
      <c r="P8449"/>
      <c r="Q8449" s="24"/>
      <c r="R8449"/>
      <c r="S8449"/>
      <c r="T8449"/>
      <c r="U8449"/>
      <c r="X8449" s="60"/>
    </row>
    <row r="8450" spans="7:24" ht="15" customHeight="1">
      <c r="G8450"/>
      <c r="I8450"/>
      <c r="N8450"/>
      <c r="O8450" s="24"/>
      <c r="P8450"/>
      <c r="Q8450" s="24"/>
      <c r="R8450"/>
      <c r="S8450"/>
      <c r="T8450"/>
      <c r="U8450"/>
      <c r="X8450" s="60"/>
    </row>
    <row r="8451" spans="7:24" ht="15" customHeight="1">
      <c r="G8451"/>
      <c r="I8451"/>
      <c r="N8451"/>
      <c r="O8451" s="24"/>
      <c r="P8451"/>
      <c r="Q8451" s="24"/>
      <c r="R8451"/>
      <c r="S8451"/>
      <c r="T8451"/>
      <c r="U8451"/>
      <c r="X8451" s="60"/>
    </row>
    <row r="8452" spans="7:24" ht="15" customHeight="1">
      <c r="G8452"/>
      <c r="I8452"/>
      <c r="N8452"/>
      <c r="O8452" s="24"/>
      <c r="P8452"/>
      <c r="Q8452" s="24"/>
      <c r="R8452"/>
      <c r="S8452"/>
      <c r="T8452"/>
      <c r="U8452"/>
      <c r="X8452" s="60"/>
    </row>
    <row r="8453" spans="7:24" ht="15" customHeight="1">
      <c r="G8453"/>
      <c r="I8453"/>
      <c r="N8453"/>
      <c r="O8453" s="24"/>
      <c r="P8453"/>
      <c r="Q8453" s="24"/>
      <c r="R8453"/>
      <c r="S8453"/>
      <c r="T8453"/>
      <c r="U8453"/>
      <c r="X8453" s="60"/>
    </row>
    <row r="8454" spans="7:24" ht="15" customHeight="1">
      <c r="G8454"/>
      <c r="I8454"/>
      <c r="N8454"/>
      <c r="O8454" s="24"/>
      <c r="P8454"/>
      <c r="Q8454" s="24"/>
      <c r="R8454"/>
      <c r="S8454"/>
      <c r="T8454"/>
      <c r="U8454"/>
      <c r="X8454" s="60"/>
    </row>
    <row r="8455" spans="7:24" ht="15" customHeight="1">
      <c r="G8455"/>
      <c r="I8455"/>
      <c r="N8455"/>
      <c r="O8455" s="24"/>
      <c r="P8455"/>
      <c r="Q8455" s="24"/>
      <c r="R8455"/>
      <c r="S8455"/>
      <c r="T8455"/>
      <c r="U8455"/>
      <c r="X8455" s="60"/>
    </row>
    <row r="8456" spans="7:24" ht="15" customHeight="1">
      <c r="G8456"/>
      <c r="I8456"/>
      <c r="N8456"/>
      <c r="O8456" s="24"/>
      <c r="P8456"/>
      <c r="Q8456" s="24"/>
      <c r="R8456"/>
      <c r="S8456"/>
      <c r="T8456"/>
      <c r="U8456"/>
      <c r="X8456" s="60"/>
    </row>
    <row r="8457" spans="7:24" ht="15" customHeight="1">
      <c r="G8457"/>
      <c r="I8457"/>
      <c r="N8457"/>
      <c r="O8457" s="24"/>
      <c r="P8457"/>
      <c r="Q8457" s="24"/>
      <c r="R8457"/>
      <c r="S8457"/>
      <c r="T8457"/>
      <c r="U8457"/>
      <c r="X8457" s="60"/>
    </row>
    <row r="8458" spans="7:24" ht="15" customHeight="1">
      <c r="G8458"/>
      <c r="I8458"/>
      <c r="N8458"/>
      <c r="O8458" s="24"/>
      <c r="P8458"/>
      <c r="Q8458" s="24"/>
      <c r="R8458"/>
      <c r="S8458"/>
      <c r="T8458"/>
      <c r="U8458"/>
      <c r="X8458" s="60"/>
    </row>
    <row r="8459" spans="7:24" ht="15" customHeight="1">
      <c r="G8459"/>
      <c r="I8459"/>
      <c r="N8459"/>
      <c r="O8459" s="24"/>
      <c r="P8459"/>
      <c r="Q8459" s="24"/>
      <c r="R8459"/>
      <c r="S8459"/>
      <c r="T8459"/>
      <c r="U8459"/>
      <c r="X8459" s="60"/>
    </row>
    <row r="8460" spans="7:24" ht="15" customHeight="1">
      <c r="G8460"/>
      <c r="I8460"/>
      <c r="N8460"/>
      <c r="O8460" s="24"/>
      <c r="P8460"/>
      <c r="Q8460" s="24"/>
      <c r="R8460"/>
      <c r="S8460"/>
      <c r="T8460"/>
      <c r="U8460"/>
      <c r="X8460" s="60"/>
    </row>
    <row r="8461" spans="7:24" ht="15" customHeight="1">
      <c r="G8461"/>
      <c r="I8461"/>
      <c r="N8461"/>
      <c r="O8461" s="24"/>
      <c r="P8461"/>
      <c r="Q8461" s="24"/>
      <c r="R8461"/>
      <c r="S8461"/>
      <c r="T8461"/>
      <c r="U8461"/>
      <c r="X8461" s="60"/>
    </row>
    <row r="8462" spans="7:24" ht="15" customHeight="1">
      <c r="G8462"/>
      <c r="I8462"/>
      <c r="N8462"/>
      <c r="O8462" s="24"/>
      <c r="P8462"/>
      <c r="Q8462" s="24"/>
      <c r="R8462"/>
      <c r="S8462"/>
      <c r="T8462"/>
      <c r="U8462"/>
      <c r="X8462" s="60"/>
    </row>
    <row r="8463" spans="7:24" ht="15" customHeight="1">
      <c r="G8463"/>
      <c r="I8463"/>
      <c r="N8463"/>
      <c r="O8463" s="24"/>
      <c r="P8463"/>
      <c r="Q8463" s="24"/>
      <c r="R8463"/>
      <c r="S8463"/>
      <c r="T8463"/>
      <c r="U8463"/>
      <c r="X8463" s="60"/>
    </row>
    <row r="8464" spans="7:24" ht="15" customHeight="1">
      <c r="G8464"/>
      <c r="I8464"/>
      <c r="N8464"/>
      <c r="O8464" s="24"/>
      <c r="P8464"/>
      <c r="Q8464" s="24"/>
      <c r="R8464"/>
      <c r="S8464"/>
      <c r="T8464"/>
      <c r="U8464"/>
      <c r="X8464" s="60"/>
    </row>
    <row r="8465" spans="7:24" ht="15" customHeight="1">
      <c r="G8465"/>
      <c r="I8465"/>
      <c r="N8465"/>
      <c r="O8465" s="24"/>
      <c r="P8465"/>
      <c r="Q8465" s="24"/>
      <c r="R8465"/>
      <c r="S8465"/>
      <c r="T8465"/>
      <c r="U8465"/>
      <c r="X8465" s="60"/>
    </row>
    <row r="8466" spans="7:24" ht="15" customHeight="1">
      <c r="G8466"/>
      <c r="I8466"/>
      <c r="N8466"/>
      <c r="O8466" s="24"/>
      <c r="P8466"/>
      <c r="Q8466" s="24"/>
      <c r="R8466"/>
      <c r="S8466"/>
      <c r="T8466"/>
      <c r="U8466"/>
      <c r="X8466" s="60"/>
    </row>
    <row r="8467" spans="7:24" ht="15" customHeight="1">
      <c r="G8467"/>
      <c r="I8467"/>
      <c r="N8467"/>
      <c r="O8467" s="24"/>
      <c r="P8467"/>
      <c r="Q8467" s="24"/>
      <c r="R8467"/>
      <c r="S8467"/>
      <c r="T8467"/>
      <c r="U8467"/>
      <c r="X8467" s="60"/>
    </row>
    <row r="8468" spans="7:24" ht="15" customHeight="1">
      <c r="G8468"/>
      <c r="I8468"/>
      <c r="N8468"/>
      <c r="O8468" s="24"/>
      <c r="P8468"/>
      <c r="Q8468" s="24"/>
      <c r="R8468"/>
      <c r="S8468"/>
      <c r="T8468"/>
      <c r="U8468"/>
      <c r="X8468" s="60"/>
    </row>
    <row r="8469" spans="7:24" ht="15" customHeight="1">
      <c r="G8469"/>
      <c r="I8469"/>
      <c r="N8469"/>
      <c r="O8469" s="24"/>
      <c r="P8469"/>
      <c r="Q8469" s="24"/>
      <c r="R8469"/>
      <c r="S8469"/>
      <c r="T8469"/>
      <c r="U8469"/>
      <c r="X8469" s="60"/>
    </row>
    <row r="8470" spans="7:24" ht="15" customHeight="1">
      <c r="G8470"/>
      <c r="I8470"/>
      <c r="N8470"/>
      <c r="O8470" s="24"/>
      <c r="P8470"/>
      <c r="Q8470" s="24"/>
      <c r="R8470"/>
      <c r="S8470"/>
      <c r="T8470"/>
      <c r="U8470"/>
      <c r="X8470" s="60"/>
    </row>
    <row r="8471" spans="7:24" ht="15" customHeight="1">
      <c r="G8471"/>
      <c r="I8471"/>
      <c r="N8471"/>
      <c r="O8471" s="24"/>
      <c r="P8471"/>
      <c r="Q8471" s="24"/>
      <c r="R8471"/>
      <c r="S8471"/>
      <c r="T8471"/>
      <c r="U8471"/>
      <c r="X8471" s="60"/>
    </row>
    <row r="8472" spans="7:24" ht="15" customHeight="1">
      <c r="G8472"/>
      <c r="I8472"/>
      <c r="N8472"/>
      <c r="O8472" s="24"/>
      <c r="P8472"/>
      <c r="Q8472" s="24"/>
      <c r="R8472"/>
      <c r="S8472"/>
      <c r="T8472"/>
      <c r="U8472"/>
      <c r="X8472" s="60"/>
    </row>
    <row r="8473" spans="7:24" ht="15" customHeight="1">
      <c r="G8473"/>
      <c r="I8473"/>
      <c r="N8473"/>
      <c r="O8473" s="24"/>
      <c r="P8473"/>
      <c r="Q8473" s="24"/>
      <c r="R8473"/>
      <c r="S8473"/>
      <c r="T8473"/>
      <c r="U8473"/>
      <c r="X8473" s="60"/>
    </row>
    <row r="8474" spans="7:24" ht="15" customHeight="1">
      <c r="G8474"/>
      <c r="I8474"/>
      <c r="N8474"/>
      <c r="O8474" s="24"/>
      <c r="P8474"/>
      <c r="Q8474" s="24"/>
      <c r="R8474"/>
      <c r="S8474"/>
      <c r="T8474"/>
      <c r="U8474"/>
      <c r="X8474" s="60"/>
    </row>
    <row r="8475" spans="7:24" ht="15" customHeight="1">
      <c r="G8475"/>
      <c r="I8475"/>
      <c r="N8475"/>
      <c r="O8475" s="24"/>
      <c r="P8475"/>
      <c r="Q8475" s="24"/>
      <c r="R8475"/>
      <c r="S8475"/>
      <c r="T8475"/>
      <c r="U8475"/>
      <c r="X8475" s="60"/>
    </row>
    <row r="8476" spans="7:24" ht="15" customHeight="1">
      <c r="G8476"/>
      <c r="I8476"/>
      <c r="N8476"/>
      <c r="O8476" s="24"/>
      <c r="P8476"/>
      <c r="Q8476" s="24"/>
      <c r="R8476"/>
      <c r="S8476"/>
      <c r="T8476"/>
      <c r="U8476"/>
      <c r="X8476" s="60"/>
    </row>
    <row r="8477" spans="7:24" ht="15" customHeight="1">
      <c r="G8477"/>
      <c r="I8477"/>
      <c r="N8477"/>
      <c r="O8477" s="24"/>
      <c r="P8477"/>
      <c r="Q8477" s="24"/>
      <c r="R8477"/>
      <c r="S8477"/>
      <c r="T8477"/>
      <c r="U8477"/>
      <c r="X8477" s="60"/>
    </row>
    <row r="8478" spans="7:24" ht="15" customHeight="1">
      <c r="G8478"/>
      <c r="I8478"/>
      <c r="N8478"/>
      <c r="O8478" s="24"/>
      <c r="P8478"/>
      <c r="Q8478" s="24"/>
      <c r="R8478"/>
      <c r="S8478"/>
      <c r="T8478"/>
      <c r="U8478"/>
      <c r="X8478" s="60"/>
    </row>
    <row r="8479" spans="7:24" ht="15" customHeight="1">
      <c r="G8479"/>
      <c r="I8479"/>
      <c r="N8479"/>
      <c r="O8479" s="24"/>
      <c r="P8479"/>
      <c r="Q8479" s="24"/>
      <c r="R8479"/>
      <c r="S8479"/>
      <c r="T8479"/>
      <c r="U8479"/>
      <c r="X8479" s="60"/>
    </row>
    <row r="8480" spans="7:24" ht="15" customHeight="1">
      <c r="G8480"/>
      <c r="I8480"/>
      <c r="N8480"/>
      <c r="O8480" s="24"/>
      <c r="P8480"/>
      <c r="Q8480" s="24"/>
      <c r="R8480"/>
      <c r="S8480"/>
      <c r="T8480"/>
      <c r="U8480"/>
      <c r="X8480" s="60"/>
    </row>
    <row r="8481" spans="7:24" ht="15" customHeight="1">
      <c r="G8481"/>
      <c r="I8481"/>
      <c r="N8481"/>
      <c r="O8481" s="24"/>
      <c r="P8481"/>
      <c r="Q8481" s="24"/>
      <c r="R8481"/>
      <c r="S8481"/>
      <c r="T8481"/>
      <c r="U8481"/>
      <c r="X8481" s="60"/>
    </row>
    <row r="8482" spans="7:24" ht="15" customHeight="1">
      <c r="G8482"/>
      <c r="I8482"/>
      <c r="N8482"/>
      <c r="O8482" s="24"/>
      <c r="P8482"/>
      <c r="Q8482" s="24"/>
      <c r="R8482"/>
      <c r="S8482"/>
      <c r="T8482"/>
      <c r="U8482"/>
      <c r="X8482" s="60"/>
    </row>
    <row r="8483" spans="7:24" ht="15" customHeight="1">
      <c r="G8483"/>
      <c r="I8483"/>
      <c r="N8483"/>
      <c r="O8483" s="24"/>
      <c r="P8483"/>
      <c r="Q8483" s="24"/>
      <c r="R8483"/>
      <c r="S8483"/>
      <c r="T8483"/>
      <c r="U8483"/>
      <c r="X8483" s="60"/>
    </row>
    <row r="8484" spans="7:24" ht="15" customHeight="1">
      <c r="G8484"/>
      <c r="I8484"/>
      <c r="N8484"/>
      <c r="O8484" s="24"/>
      <c r="P8484"/>
      <c r="Q8484" s="24"/>
      <c r="R8484"/>
      <c r="S8484"/>
      <c r="T8484"/>
      <c r="U8484"/>
      <c r="X8484" s="60"/>
    </row>
    <row r="8485" spans="7:24" ht="15" customHeight="1">
      <c r="G8485"/>
      <c r="I8485"/>
      <c r="N8485"/>
      <c r="O8485" s="24"/>
      <c r="P8485"/>
      <c r="Q8485" s="24"/>
      <c r="R8485"/>
      <c r="S8485"/>
      <c r="T8485"/>
      <c r="U8485"/>
      <c r="X8485" s="60"/>
    </row>
    <row r="8486" spans="7:24" ht="15" customHeight="1">
      <c r="G8486"/>
      <c r="I8486"/>
      <c r="N8486"/>
      <c r="O8486" s="24"/>
      <c r="P8486"/>
      <c r="Q8486" s="24"/>
      <c r="R8486"/>
      <c r="S8486"/>
      <c r="T8486"/>
      <c r="U8486"/>
      <c r="X8486" s="60"/>
    </row>
    <row r="8487" spans="7:24" ht="15" customHeight="1">
      <c r="G8487"/>
      <c r="I8487"/>
      <c r="N8487"/>
      <c r="O8487" s="24"/>
      <c r="P8487"/>
      <c r="Q8487" s="24"/>
      <c r="R8487"/>
      <c r="S8487"/>
      <c r="T8487"/>
      <c r="U8487"/>
      <c r="X8487" s="60"/>
    </row>
    <row r="8488" spans="7:24" ht="15" customHeight="1">
      <c r="G8488"/>
      <c r="I8488"/>
      <c r="N8488"/>
      <c r="O8488" s="24"/>
      <c r="P8488"/>
      <c r="Q8488" s="24"/>
      <c r="R8488"/>
      <c r="S8488"/>
      <c r="T8488"/>
      <c r="U8488"/>
      <c r="X8488" s="60"/>
    </row>
    <row r="8489" spans="7:24" ht="15" customHeight="1">
      <c r="G8489"/>
      <c r="I8489"/>
      <c r="N8489"/>
      <c r="O8489" s="24"/>
      <c r="P8489"/>
      <c r="Q8489" s="24"/>
      <c r="R8489"/>
      <c r="S8489"/>
      <c r="T8489"/>
      <c r="U8489"/>
      <c r="X8489" s="60"/>
    </row>
    <row r="8490" spans="7:24" ht="15" customHeight="1">
      <c r="G8490"/>
      <c r="I8490"/>
      <c r="N8490"/>
      <c r="O8490" s="24"/>
      <c r="P8490"/>
      <c r="Q8490" s="24"/>
      <c r="R8490"/>
      <c r="S8490"/>
      <c r="T8490"/>
      <c r="U8490"/>
      <c r="X8490" s="60"/>
    </row>
    <row r="8491" spans="7:24" ht="15" customHeight="1">
      <c r="G8491"/>
      <c r="I8491"/>
      <c r="N8491"/>
      <c r="O8491" s="24"/>
      <c r="P8491"/>
      <c r="Q8491" s="24"/>
      <c r="R8491"/>
      <c r="S8491"/>
      <c r="T8491"/>
      <c r="U8491"/>
      <c r="X8491" s="60"/>
    </row>
    <row r="8492" spans="7:24" ht="15" customHeight="1">
      <c r="G8492"/>
      <c r="I8492"/>
      <c r="N8492"/>
      <c r="O8492" s="24"/>
      <c r="P8492"/>
      <c r="Q8492" s="24"/>
      <c r="R8492"/>
      <c r="S8492"/>
      <c r="T8492"/>
      <c r="U8492"/>
      <c r="X8492" s="60"/>
    </row>
    <row r="8493" spans="7:24" ht="15" customHeight="1">
      <c r="G8493"/>
      <c r="I8493"/>
      <c r="N8493"/>
      <c r="O8493" s="24"/>
      <c r="P8493"/>
      <c r="Q8493" s="24"/>
      <c r="R8493"/>
      <c r="S8493"/>
      <c r="T8493"/>
      <c r="U8493"/>
      <c r="X8493" s="60"/>
    </row>
    <row r="8494" spans="7:24" ht="15" customHeight="1">
      <c r="G8494"/>
      <c r="I8494"/>
      <c r="N8494"/>
      <c r="O8494" s="24"/>
      <c r="P8494"/>
      <c r="Q8494" s="24"/>
      <c r="R8494"/>
      <c r="S8494"/>
      <c r="T8494"/>
      <c r="U8494"/>
      <c r="X8494" s="60"/>
    </row>
    <row r="8495" spans="7:24" ht="15" customHeight="1">
      <c r="G8495"/>
      <c r="I8495"/>
      <c r="N8495"/>
      <c r="O8495" s="24"/>
      <c r="P8495"/>
      <c r="Q8495" s="24"/>
      <c r="R8495"/>
      <c r="S8495"/>
      <c r="T8495"/>
      <c r="U8495"/>
      <c r="X8495" s="60"/>
    </row>
    <row r="8496" spans="7:24" ht="15" customHeight="1">
      <c r="G8496"/>
      <c r="I8496"/>
      <c r="N8496"/>
      <c r="O8496" s="24"/>
      <c r="P8496"/>
      <c r="Q8496" s="24"/>
      <c r="R8496"/>
      <c r="S8496"/>
      <c r="T8496"/>
      <c r="U8496"/>
      <c r="X8496" s="60"/>
    </row>
    <row r="8497" spans="7:24" ht="15" customHeight="1">
      <c r="G8497"/>
      <c r="I8497"/>
      <c r="N8497"/>
      <c r="O8497" s="24"/>
      <c r="P8497"/>
      <c r="Q8497" s="24"/>
      <c r="R8497"/>
      <c r="S8497"/>
      <c r="T8497"/>
      <c r="U8497"/>
      <c r="X8497" s="60"/>
    </row>
    <row r="8498" spans="7:24" ht="15" customHeight="1">
      <c r="G8498"/>
      <c r="I8498"/>
      <c r="N8498"/>
      <c r="O8498" s="24"/>
      <c r="P8498"/>
      <c r="Q8498" s="24"/>
      <c r="R8498"/>
      <c r="S8498"/>
      <c r="T8498"/>
      <c r="U8498"/>
      <c r="X8498" s="60"/>
    </row>
    <row r="8499" spans="7:24" ht="15" customHeight="1">
      <c r="G8499"/>
      <c r="I8499"/>
      <c r="N8499"/>
      <c r="O8499" s="24"/>
      <c r="P8499"/>
      <c r="Q8499" s="24"/>
      <c r="R8499"/>
      <c r="S8499"/>
      <c r="T8499"/>
      <c r="U8499"/>
      <c r="X8499" s="60"/>
    </row>
    <row r="8500" spans="7:24" ht="15" customHeight="1">
      <c r="G8500"/>
      <c r="I8500"/>
      <c r="N8500"/>
      <c r="O8500" s="24"/>
      <c r="P8500"/>
      <c r="Q8500" s="24"/>
      <c r="R8500"/>
      <c r="S8500"/>
      <c r="T8500"/>
      <c r="U8500"/>
      <c r="X8500" s="60"/>
    </row>
    <row r="8501" spans="7:24" ht="15" customHeight="1">
      <c r="G8501"/>
      <c r="I8501"/>
      <c r="N8501"/>
      <c r="O8501" s="24"/>
      <c r="P8501"/>
      <c r="Q8501" s="24"/>
      <c r="R8501"/>
      <c r="S8501"/>
      <c r="T8501"/>
      <c r="U8501"/>
      <c r="X8501" s="60"/>
    </row>
    <row r="8502" spans="7:24" ht="15" customHeight="1">
      <c r="G8502"/>
      <c r="I8502"/>
      <c r="N8502"/>
      <c r="O8502" s="24"/>
      <c r="P8502"/>
      <c r="Q8502" s="24"/>
      <c r="R8502"/>
      <c r="S8502"/>
      <c r="T8502"/>
      <c r="U8502"/>
      <c r="X8502" s="60"/>
    </row>
    <row r="8503" spans="7:24" ht="15" customHeight="1">
      <c r="G8503"/>
      <c r="I8503"/>
      <c r="N8503"/>
      <c r="O8503" s="24"/>
      <c r="P8503"/>
      <c r="Q8503" s="24"/>
      <c r="R8503"/>
      <c r="S8503"/>
      <c r="T8503"/>
      <c r="U8503"/>
      <c r="X8503" s="60"/>
    </row>
    <row r="8504" spans="7:24" ht="15" customHeight="1">
      <c r="G8504"/>
      <c r="I8504"/>
      <c r="N8504"/>
      <c r="O8504" s="24"/>
      <c r="P8504"/>
      <c r="Q8504" s="24"/>
      <c r="R8504"/>
      <c r="S8504"/>
      <c r="T8504"/>
      <c r="U8504"/>
      <c r="X8504" s="60"/>
    </row>
    <row r="8505" spans="7:24" ht="15" customHeight="1">
      <c r="G8505"/>
      <c r="I8505"/>
      <c r="N8505"/>
      <c r="O8505" s="24"/>
      <c r="P8505"/>
      <c r="Q8505" s="24"/>
      <c r="R8505"/>
      <c r="S8505"/>
      <c r="T8505"/>
      <c r="U8505"/>
      <c r="X8505" s="60"/>
    </row>
    <row r="8506" spans="7:24" ht="15" customHeight="1">
      <c r="G8506"/>
      <c r="I8506"/>
      <c r="N8506"/>
      <c r="O8506" s="24"/>
      <c r="P8506"/>
      <c r="Q8506" s="24"/>
      <c r="R8506"/>
      <c r="S8506"/>
      <c r="T8506"/>
      <c r="U8506"/>
      <c r="X8506" s="60"/>
    </row>
    <row r="8507" spans="7:24" ht="15" customHeight="1">
      <c r="G8507"/>
      <c r="I8507"/>
      <c r="N8507"/>
      <c r="O8507" s="24"/>
      <c r="P8507"/>
      <c r="Q8507" s="24"/>
      <c r="R8507"/>
      <c r="S8507"/>
      <c r="T8507"/>
      <c r="U8507"/>
      <c r="X8507" s="60"/>
    </row>
    <row r="8508" spans="7:24" ht="15" customHeight="1">
      <c r="G8508"/>
      <c r="I8508"/>
      <c r="N8508"/>
      <c r="O8508" s="24"/>
      <c r="P8508"/>
      <c r="Q8508" s="24"/>
      <c r="R8508"/>
      <c r="S8508"/>
      <c r="T8508"/>
      <c r="U8508"/>
      <c r="X8508" s="60"/>
    </row>
    <row r="8509" spans="7:24" ht="15" customHeight="1">
      <c r="G8509"/>
      <c r="I8509"/>
      <c r="N8509"/>
      <c r="O8509" s="24"/>
      <c r="P8509"/>
      <c r="Q8509" s="24"/>
      <c r="R8509"/>
      <c r="S8509"/>
      <c r="T8509"/>
      <c r="U8509"/>
      <c r="X8509" s="60"/>
    </row>
    <row r="8510" spans="7:24" ht="15" customHeight="1">
      <c r="G8510"/>
      <c r="I8510"/>
      <c r="N8510"/>
      <c r="O8510" s="24"/>
      <c r="P8510"/>
      <c r="Q8510" s="24"/>
      <c r="R8510"/>
      <c r="S8510"/>
      <c r="T8510"/>
      <c r="U8510"/>
      <c r="X8510" s="60"/>
    </row>
    <row r="8511" spans="7:24" ht="15" customHeight="1">
      <c r="G8511"/>
      <c r="I8511"/>
      <c r="N8511"/>
      <c r="O8511" s="24"/>
      <c r="P8511"/>
      <c r="Q8511" s="24"/>
      <c r="R8511"/>
      <c r="S8511"/>
      <c r="T8511"/>
      <c r="U8511"/>
      <c r="X8511" s="60"/>
    </row>
    <row r="8512" spans="7:24" ht="15" customHeight="1">
      <c r="G8512"/>
      <c r="I8512"/>
      <c r="N8512"/>
      <c r="O8512" s="24"/>
      <c r="P8512"/>
      <c r="Q8512" s="24"/>
      <c r="R8512"/>
      <c r="S8512"/>
      <c r="T8512"/>
      <c r="U8512"/>
      <c r="X8512" s="60"/>
    </row>
    <row r="8513" spans="7:24" ht="15" customHeight="1">
      <c r="G8513"/>
      <c r="I8513"/>
      <c r="N8513"/>
      <c r="O8513" s="24"/>
      <c r="P8513"/>
      <c r="Q8513" s="24"/>
      <c r="R8513"/>
      <c r="S8513"/>
      <c r="T8513"/>
      <c r="U8513"/>
      <c r="X8513" s="60"/>
    </row>
    <row r="8514" spans="7:24" ht="15" customHeight="1">
      <c r="G8514"/>
      <c r="I8514"/>
      <c r="N8514"/>
      <c r="O8514" s="24"/>
      <c r="P8514"/>
      <c r="Q8514" s="24"/>
      <c r="R8514"/>
      <c r="S8514"/>
      <c r="T8514"/>
      <c r="U8514"/>
      <c r="X8514" s="60"/>
    </row>
    <row r="8515" spans="7:24" ht="15" customHeight="1">
      <c r="G8515"/>
      <c r="I8515"/>
      <c r="N8515"/>
      <c r="O8515" s="24"/>
      <c r="P8515"/>
      <c r="Q8515" s="24"/>
      <c r="R8515"/>
      <c r="S8515"/>
      <c r="T8515"/>
      <c r="U8515"/>
      <c r="X8515" s="60"/>
    </row>
    <row r="8516" spans="7:24" ht="15" customHeight="1">
      <c r="G8516"/>
      <c r="I8516"/>
      <c r="N8516"/>
      <c r="O8516" s="24"/>
      <c r="P8516"/>
      <c r="Q8516" s="24"/>
      <c r="R8516"/>
      <c r="S8516"/>
      <c r="T8516"/>
      <c r="U8516"/>
      <c r="X8516" s="60"/>
    </row>
    <row r="8517" spans="7:24" ht="15" customHeight="1">
      <c r="G8517"/>
      <c r="I8517"/>
      <c r="N8517"/>
      <c r="O8517" s="24"/>
      <c r="P8517"/>
      <c r="Q8517" s="24"/>
      <c r="R8517"/>
      <c r="S8517"/>
      <c r="T8517"/>
      <c r="U8517"/>
      <c r="X8517" s="60"/>
    </row>
    <row r="8518" spans="7:24" ht="15" customHeight="1">
      <c r="G8518"/>
      <c r="I8518"/>
      <c r="N8518"/>
      <c r="O8518" s="24"/>
      <c r="P8518"/>
      <c r="Q8518" s="24"/>
      <c r="R8518"/>
      <c r="S8518"/>
      <c r="T8518"/>
      <c r="U8518"/>
      <c r="X8518" s="60"/>
    </row>
    <row r="8519" spans="7:24" ht="15" customHeight="1">
      <c r="G8519"/>
      <c r="I8519"/>
      <c r="N8519"/>
      <c r="O8519" s="24"/>
      <c r="P8519"/>
      <c r="Q8519" s="24"/>
      <c r="R8519"/>
      <c r="S8519"/>
      <c r="T8519"/>
      <c r="U8519"/>
      <c r="X8519" s="60"/>
    </row>
    <row r="8520" spans="7:24" ht="15" customHeight="1">
      <c r="G8520"/>
      <c r="I8520"/>
      <c r="N8520"/>
      <c r="O8520" s="24"/>
      <c r="P8520"/>
      <c r="Q8520" s="24"/>
      <c r="R8520"/>
      <c r="S8520"/>
      <c r="T8520"/>
      <c r="U8520"/>
      <c r="X8520" s="60"/>
    </row>
    <row r="8521" spans="7:24" ht="15" customHeight="1">
      <c r="G8521"/>
      <c r="I8521"/>
      <c r="N8521"/>
      <c r="O8521" s="24"/>
      <c r="P8521"/>
      <c r="Q8521" s="24"/>
      <c r="R8521"/>
      <c r="S8521"/>
      <c r="T8521"/>
      <c r="U8521"/>
      <c r="X8521" s="60"/>
    </row>
    <row r="8522" spans="7:24" ht="15" customHeight="1">
      <c r="G8522"/>
      <c r="I8522"/>
      <c r="N8522"/>
      <c r="O8522" s="24"/>
      <c r="P8522"/>
      <c r="Q8522" s="24"/>
      <c r="R8522"/>
      <c r="S8522"/>
      <c r="T8522"/>
      <c r="U8522"/>
      <c r="X8522" s="60"/>
    </row>
    <row r="8523" spans="7:24" ht="15" customHeight="1">
      <c r="G8523"/>
      <c r="I8523"/>
      <c r="N8523"/>
      <c r="O8523" s="24"/>
      <c r="P8523"/>
      <c r="Q8523" s="24"/>
      <c r="R8523"/>
      <c r="S8523"/>
      <c r="T8523"/>
      <c r="U8523"/>
      <c r="X8523" s="60"/>
    </row>
    <row r="8524" spans="7:24" ht="15" customHeight="1">
      <c r="G8524"/>
      <c r="I8524"/>
      <c r="N8524"/>
      <c r="O8524" s="24"/>
      <c r="P8524"/>
      <c r="Q8524" s="24"/>
      <c r="R8524"/>
      <c r="S8524"/>
      <c r="T8524"/>
      <c r="U8524"/>
      <c r="X8524" s="60"/>
    </row>
    <row r="8525" spans="7:24" ht="15" customHeight="1">
      <c r="G8525"/>
      <c r="I8525"/>
      <c r="N8525"/>
      <c r="O8525" s="24"/>
      <c r="P8525"/>
      <c r="Q8525" s="24"/>
      <c r="R8525"/>
      <c r="S8525"/>
      <c r="T8525"/>
      <c r="U8525"/>
      <c r="X8525" s="60"/>
    </row>
    <row r="8526" spans="7:24" ht="15" customHeight="1">
      <c r="G8526"/>
      <c r="I8526"/>
      <c r="N8526"/>
      <c r="O8526" s="24"/>
      <c r="P8526"/>
      <c r="Q8526" s="24"/>
      <c r="R8526"/>
      <c r="S8526"/>
      <c r="T8526"/>
      <c r="U8526"/>
      <c r="X8526" s="60"/>
    </row>
    <row r="8527" spans="7:24" ht="15" customHeight="1">
      <c r="G8527"/>
      <c r="I8527"/>
      <c r="N8527"/>
      <c r="O8527" s="24"/>
      <c r="P8527"/>
      <c r="Q8527" s="24"/>
      <c r="R8527"/>
      <c r="S8527"/>
      <c r="T8527"/>
      <c r="U8527"/>
      <c r="X8527" s="60"/>
    </row>
    <row r="8528" spans="7:24" ht="15" customHeight="1">
      <c r="G8528"/>
      <c r="I8528"/>
      <c r="N8528"/>
      <c r="O8528" s="24"/>
      <c r="P8528"/>
      <c r="Q8528" s="24"/>
      <c r="R8528"/>
      <c r="S8528"/>
      <c r="T8528"/>
      <c r="U8528"/>
      <c r="X8528" s="60"/>
    </row>
    <row r="8529" spans="7:24" ht="15" customHeight="1">
      <c r="G8529"/>
      <c r="I8529"/>
      <c r="N8529"/>
      <c r="O8529" s="24"/>
      <c r="P8529"/>
      <c r="Q8529" s="24"/>
      <c r="R8529"/>
      <c r="S8529"/>
      <c r="T8529"/>
      <c r="U8529"/>
      <c r="X8529" s="60"/>
    </row>
    <row r="8530" spans="7:24" ht="15" customHeight="1">
      <c r="G8530"/>
      <c r="I8530"/>
      <c r="N8530"/>
      <c r="O8530" s="24"/>
      <c r="P8530"/>
      <c r="Q8530" s="24"/>
      <c r="R8530"/>
      <c r="S8530"/>
      <c r="T8530"/>
      <c r="U8530"/>
      <c r="X8530" s="60"/>
    </row>
    <row r="8531" spans="7:24" ht="15" customHeight="1">
      <c r="G8531"/>
      <c r="I8531"/>
      <c r="N8531"/>
      <c r="O8531" s="24"/>
      <c r="P8531"/>
      <c r="Q8531" s="24"/>
      <c r="R8531"/>
      <c r="S8531"/>
      <c r="T8531"/>
      <c r="U8531"/>
      <c r="X8531" s="60"/>
    </row>
    <row r="8532" spans="7:24" ht="15" customHeight="1">
      <c r="G8532"/>
      <c r="I8532"/>
      <c r="N8532"/>
      <c r="O8532" s="24"/>
      <c r="P8532"/>
      <c r="Q8532" s="24"/>
      <c r="R8532"/>
      <c r="S8532"/>
      <c r="T8532"/>
      <c r="U8532"/>
      <c r="X8532" s="60"/>
    </row>
    <row r="8533" spans="7:24" ht="15" customHeight="1">
      <c r="G8533"/>
      <c r="I8533"/>
      <c r="N8533"/>
      <c r="O8533" s="24"/>
      <c r="P8533"/>
      <c r="Q8533" s="24"/>
      <c r="R8533"/>
      <c r="S8533"/>
      <c r="T8533"/>
      <c r="U8533"/>
      <c r="X8533" s="60"/>
    </row>
    <row r="8534" spans="7:24" ht="15" customHeight="1">
      <c r="G8534"/>
      <c r="I8534"/>
      <c r="N8534"/>
      <c r="O8534" s="24"/>
      <c r="P8534"/>
      <c r="Q8534" s="24"/>
      <c r="R8534"/>
      <c r="S8534"/>
      <c r="T8534"/>
      <c r="U8534"/>
      <c r="X8534" s="60"/>
    </row>
    <row r="8535" spans="7:24" ht="15" customHeight="1">
      <c r="G8535"/>
      <c r="I8535"/>
      <c r="N8535"/>
      <c r="O8535" s="24"/>
      <c r="P8535"/>
      <c r="Q8535" s="24"/>
      <c r="R8535"/>
      <c r="S8535"/>
      <c r="T8535"/>
      <c r="U8535"/>
      <c r="X8535" s="60"/>
    </row>
    <row r="8536" spans="7:24" ht="15" customHeight="1">
      <c r="G8536"/>
      <c r="I8536"/>
      <c r="N8536"/>
      <c r="O8536" s="24"/>
      <c r="P8536"/>
      <c r="Q8536" s="24"/>
      <c r="R8536"/>
      <c r="S8536"/>
      <c r="T8536"/>
      <c r="U8536"/>
      <c r="X8536" s="60"/>
    </row>
    <row r="8537" spans="7:24" ht="15" customHeight="1">
      <c r="G8537"/>
      <c r="I8537"/>
      <c r="N8537"/>
      <c r="O8537" s="24"/>
      <c r="P8537"/>
      <c r="Q8537" s="24"/>
      <c r="R8537"/>
      <c r="S8537"/>
      <c r="T8537"/>
      <c r="U8537"/>
      <c r="X8537" s="60"/>
    </row>
    <row r="8538" spans="7:24" ht="15" customHeight="1">
      <c r="G8538"/>
      <c r="I8538"/>
      <c r="N8538"/>
      <c r="O8538" s="24"/>
      <c r="P8538"/>
      <c r="Q8538" s="24"/>
      <c r="R8538"/>
      <c r="S8538"/>
      <c r="T8538"/>
      <c r="U8538"/>
      <c r="X8538" s="60"/>
    </row>
    <row r="8539" spans="7:24" ht="15" customHeight="1">
      <c r="G8539"/>
      <c r="I8539"/>
      <c r="N8539"/>
      <c r="O8539" s="24"/>
      <c r="P8539"/>
      <c r="Q8539" s="24"/>
      <c r="R8539"/>
      <c r="S8539"/>
      <c r="T8539"/>
      <c r="U8539"/>
      <c r="X8539" s="60"/>
    </row>
    <row r="8540" spans="7:24" ht="15" customHeight="1">
      <c r="G8540"/>
      <c r="I8540"/>
      <c r="N8540"/>
      <c r="O8540" s="24"/>
      <c r="P8540"/>
      <c r="Q8540" s="24"/>
      <c r="R8540"/>
      <c r="S8540"/>
      <c r="T8540"/>
      <c r="U8540"/>
      <c r="X8540" s="60"/>
    </row>
    <row r="8541" spans="7:24" ht="15" customHeight="1">
      <c r="G8541"/>
      <c r="I8541"/>
      <c r="N8541"/>
      <c r="O8541" s="24"/>
      <c r="P8541"/>
      <c r="Q8541" s="24"/>
      <c r="R8541"/>
      <c r="S8541"/>
      <c r="T8541"/>
      <c r="U8541"/>
      <c r="X8541" s="60"/>
    </row>
    <row r="8542" spans="7:24" ht="15" customHeight="1">
      <c r="G8542"/>
      <c r="I8542"/>
      <c r="N8542"/>
      <c r="O8542" s="24"/>
      <c r="P8542"/>
      <c r="Q8542" s="24"/>
      <c r="R8542"/>
      <c r="S8542"/>
      <c r="T8542"/>
      <c r="U8542"/>
      <c r="X8542" s="60"/>
    </row>
    <row r="8543" spans="7:24" ht="15" customHeight="1">
      <c r="G8543"/>
      <c r="I8543"/>
      <c r="N8543"/>
      <c r="O8543" s="24"/>
      <c r="P8543"/>
      <c r="Q8543" s="24"/>
      <c r="R8543"/>
      <c r="S8543"/>
      <c r="T8543"/>
      <c r="U8543"/>
      <c r="X8543" s="60"/>
    </row>
    <row r="8544" spans="7:24" ht="15" customHeight="1">
      <c r="G8544"/>
      <c r="I8544"/>
      <c r="N8544"/>
      <c r="O8544" s="24"/>
      <c r="P8544"/>
      <c r="Q8544" s="24"/>
      <c r="R8544"/>
      <c r="S8544"/>
      <c r="T8544"/>
      <c r="U8544"/>
      <c r="X8544" s="60"/>
    </row>
    <row r="8545" spans="7:24" ht="15" customHeight="1">
      <c r="G8545"/>
      <c r="I8545"/>
      <c r="N8545"/>
      <c r="O8545" s="24"/>
      <c r="P8545"/>
      <c r="Q8545" s="24"/>
      <c r="R8545"/>
      <c r="S8545"/>
      <c r="T8545"/>
      <c r="U8545"/>
      <c r="X8545" s="60"/>
    </row>
    <row r="8546" spans="7:24" ht="15" customHeight="1">
      <c r="G8546"/>
      <c r="I8546"/>
      <c r="N8546"/>
      <c r="O8546" s="24"/>
      <c r="P8546"/>
      <c r="Q8546" s="24"/>
      <c r="R8546"/>
      <c r="S8546"/>
      <c r="T8546"/>
      <c r="U8546"/>
      <c r="X8546" s="60"/>
    </row>
    <row r="8547" spans="7:24" ht="15" customHeight="1">
      <c r="G8547"/>
      <c r="I8547"/>
      <c r="N8547"/>
      <c r="O8547" s="24"/>
      <c r="P8547"/>
      <c r="Q8547" s="24"/>
      <c r="R8547"/>
      <c r="S8547"/>
      <c r="T8547"/>
      <c r="U8547"/>
      <c r="X8547" s="60"/>
    </row>
    <row r="8548" spans="7:24" ht="15" customHeight="1">
      <c r="G8548"/>
      <c r="I8548"/>
      <c r="N8548"/>
      <c r="O8548" s="24"/>
      <c r="P8548"/>
      <c r="Q8548" s="24"/>
      <c r="R8548"/>
      <c r="S8548"/>
      <c r="T8548"/>
      <c r="U8548"/>
      <c r="X8548" s="60"/>
    </row>
    <row r="8549" spans="7:24" ht="15" customHeight="1">
      <c r="G8549"/>
      <c r="I8549"/>
      <c r="N8549"/>
      <c r="O8549" s="24"/>
      <c r="P8549"/>
      <c r="Q8549" s="24"/>
      <c r="R8549"/>
      <c r="S8549"/>
      <c r="T8549"/>
      <c r="U8549"/>
      <c r="X8549" s="60"/>
    </row>
    <row r="8550" spans="7:24" ht="15" customHeight="1">
      <c r="G8550"/>
      <c r="I8550"/>
      <c r="N8550"/>
      <c r="O8550" s="24"/>
      <c r="P8550"/>
      <c r="Q8550" s="24"/>
      <c r="R8550"/>
      <c r="S8550"/>
      <c r="T8550"/>
      <c r="U8550"/>
      <c r="X8550" s="60"/>
    </row>
    <row r="8551" spans="7:24" ht="15" customHeight="1">
      <c r="G8551"/>
      <c r="I8551"/>
      <c r="N8551"/>
      <c r="O8551" s="24"/>
      <c r="P8551"/>
      <c r="Q8551" s="24"/>
      <c r="R8551"/>
      <c r="S8551"/>
      <c r="T8551"/>
      <c r="U8551"/>
      <c r="X8551" s="60"/>
    </row>
    <row r="8552" spans="7:24" ht="15" customHeight="1">
      <c r="G8552"/>
      <c r="I8552"/>
      <c r="N8552"/>
      <c r="O8552" s="24"/>
      <c r="P8552"/>
      <c r="Q8552" s="24"/>
      <c r="R8552"/>
      <c r="S8552"/>
      <c r="T8552"/>
      <c r="U8552"/>
      <c r="X8552" s="60"/>
    </row>
    <row r="8553" spans="7:24" ht="15" customHeight="1">
      <c r="G8553"/>
      <c r="I8553"/>
      <c r="N8553"/>
      <c r="O8553" s="24"/>
      <c r="P8553"/>
      <c r="Q8553" s="24"/>
      <c r="R8553"/>
      <c r="S8553"/>
      <c r="T8553"/>
      <c r="U8553"/>
      <c r="X8553" s="60"/>
    </row>
    <row r="8554" spans="7:24" ht="15" customHeight="1">
      <c r="G8554"/>
      <c r="I8554"/>
      <c r="N8554"/>
      <c r="O8554" s="24"/>
      <c r="P8554"/>
      <c r="Q8554" s="24"/>
      <c r="R8554"/>
      <c r="S8554"/>
      <c r="T8554"/>
      <c r="U8554"/>
      <c r="X8554" s="60"/>
    </row>
    <row r="8555" spans="7:24" ht="15" customHeight="1">
      <c r="G8555"/>
      <c r="I8555"/>
      <c r="N8555"/>
      <c r="O8555" s="24"/>
      <c r="P8555"/>
      <c r="Q8555" s="24"/>
      <c r="R8555"/>
      <c r="S8555"/>
      <c r="T8555"/>
      <c r="U8555"/>
      <c r="X8555" s="60"/>
    </row>
    <row r="8556" spans="7:24" ht="15" customHeight="1">
      <c r="G8556"/>
      <c r="I8556"/>
      <c r="N8556"/>
      <c r="O8556" s="24"/>
      <c r="P8556"/>
      <c r="Q8556" s="24"/>
      <c r="R8556"/>
      <c r="S8556"/>
      <c r="T8556"/>
      <c r="U8556"/>
      <c r="X8556" s="60"/>
    </row>
    <row r="8557" spans="7:24" ht="15" customHeight="1">
      <c r="G8557"/>
      <c r="I8557"/>
      <c r="N8557"/>
      <c r="O8557" s="24"/>
      <c r="P8557"/>
      <c r="Q8557" s="24"/>
      <c r="R8557"/>
      <c r="S8557"/>
      <c r="T8557"/>
      <c r="U8557"/>
      <c r="X8557" s="60"/>
    </row>
    <row r="8558" spans="7:24" ht="15" customHeight="1">
      <c r="G8558"/>
      <c r="I8558"/>
      <c r="N8558"/>
      <c r="O8558" s="24"/>
      <c r="P8558"/>
      <c r="Q8558" s="24"/>
      <c r="R8558"/>
      <c r="S8558"/>
      <c r="T8558"/>
      <c r="U8558"/>
      <c r="X8558" s="60"/>
    </row>
    <row r="8559" spans="7:24" ht="15" customHeight="1">
      <c r="G8559"/>
      <c r="I8559"/>
      <c r="N8559"/>
      <c r="O8559" s="24"/>
      <c r="P8559"/>
      <c r="Q8559" s="24"/>
      <c r="R8559"/>
      <c r="S8559"/>
      <c r="T8559"/>
      <c r="U8559"/>
      <c r="X8559" s="60"/>
    </row>
    <row r="8560" spans="7:24" ht="15" customHeight="1">
      <c r="G8560"/>
      <c r="I8560"/>
      <c r="N8560"/>
      <c r="O8560" s="24"/>
      <c r="P8560"/>
      <c r="Q8560" s="24"/>
      <c r="R8560"/>
      <c r="S8560"/>
      <c r="T8560"/>
      <c r="U8560"/>
      <c r="X8560" s="60"/>
    </row>
    <row r="8561" spans="7:24" ht="15" customHeight="1">
      <c r="G8561"/>
      <c r="I8561"/>
      <c r="N8561"/>
      <c r="O8561" s="24"/>
      <c r="P8561"/>
      <c r="Q8561" s="24"/>
      <c r="R8561"/>
      <c r="S8561"/>
      <c r="T8561"/>
      <c r="U8561"/>
      <c r="X8561" s="60"/>
    </row>
    <row r="8562" spans="7:24" ht="15" customHeight="1">
      <c r="G8562"/>
      <c r="I8562"/>
      <c r="N8562"/>
      <c r="O8562" s="24"/>
      <c r="P8562"/>
      <c r="Q8562" s="24"/>
      <c r="R8562"/>
      <c r="S8562"/>
      <c r="T8562"/>
      <c r="U8562"/>
      <c r="X8562" s="60"/>
    </row>
    <row r="8563" spans="7:24" ht="15" customHeight="1">
      <c r="G8563"/>
      <c r="I8563"/>
      <c r="N8563"/>
      <c r="O8563" s="24"/>
      <c r="P8563"/>
      <c r="Q8563" s="24"/>
      <c r="R8563"/>
      <c r="S8563"/>
      <c r="T8563"/>
      <c r="U8563"/>
      <c r="X8563" s="60"/>
    </row>
    <row r="8564" spans="7:24" ht="15" customHeight="1">
      <c r="G8564"/>
      <c r="I8564"/>
      <c r="N8564"/>
      <c r="O8564" s="24"/>
      <c r="P8564"/>
      <c r="Q8564" s="24"/>
      <c r="R8564"/>
      <c r="S8564"/>
      <c r="T8564"/>
      <c r="U8564"/>
      <c r="X8564" s="60"/>
    </row>
    <row r="8565" spans="7:24" ht="15" customHeight="1">
      <c r="G8565"/>
      <c r="I8565"/>
      <c r="N8565"/>
      <c r="O8565" s="24"/>
      <c r="P8565"/>
      <c r="Q8565" s="24"/>
      <c r="R8565"/>
      <c r="S8565"/>
      <c r="T8565"/>
      <c r="U8565"/>
      <c r="X8565" s="60"/>
    </row>
    <row r="8566" spans="7:24" ht="15" customHeight="1">
      <c r="G8566"/>
      <c r="I8566"/>
      <c r="N8566"/>
      <c r="O8566" s="24"/>
      <c r="P8566"/>
      <c r="Q8566" s="24"/>
      <c r="R8566"/>
      <c r="S8566"/>
      <c r="T8566"/>
      <c r="U8566"/>
      <c r="X8566" s="60"/>
    </row>
    <row r="8567" spans="7:24" ht="15" customHeight="1">
      <c r="G8567"/>
      <c r="I8567"/>
      <c r="N8567"/>
      <c r="O8567" s="24"/>
      <c r="P8567"/>
      <c r="Q8567" s="24"/>
      <c r="R8567"/>
      <c r="S8567"/>
      <c r="T8567"/>
      <c r="U8567"/>
      <c r="X8567" s="60"/>
    </row>
    <row r="8568" spans="7:24" ht="15" customHeight="1">
      <c r="G8568"/>
      <c r="I8568"/>
      <c r="N8568"/>
      <c r="O8568" s="24"/>
      <c r="P8568"/>
      <c r="Q8568" s="24"/>
      <c r="R8568"/>
      <c r="S8568"/>
      <c r="T8568"/>
      <c r="U8568"/>
      <c r="X8568" s="60"/>
    </row>
    <row r="8569" spans="7:24" ht="15" customHeight="1">
      <c r="G8569"/>
      <c r="I8569"/>
      <c r="N8569"/>
      <c r="O8569" s="24"/>
      <c r="P8569"/>
      <c r="Q8569" s="24"/>
      <c r="R8569"/>
      <c r="S8569"/>
      <c r="T8569"/>
      <c r="U8569"/>
      <c r="X8569" s="60"/>
    </row>
    <row r="8570" spans="7:24" ht="15" customHeight="1">
      <c r="G8570"/>
      <c r="I8570"/>
      <c r="N8570"/>
      <c r="O8570" s="24"/>
      <c r="P8570"/>
      <c r="Q8570" s="24"/>
      <c r="R8570"/>
      <c r="S8570"/>
      <c r="T8570"/>
      <c r="U8570"/>
      <c r="X8570" s="60"/>
    </row>
    <row r="8571" spans="7:24" ht="15" customHeight="1">
      <c r="G8571"/>
      <c r="I8571"/>
      <c r="N8571"/>
      <c r="O8571" s="24"/>
      <c r="P8571"/>
      <c r="Q8571" s="24"/>
      <c r="R8571"/>
      <c r="S8571"/>
      <c r="T8571"/>
      <c r="U8571"/>
      <c r="X8571" s="60"/>
    </row>
    <row r="8572" spans="7:24" ht="15" customHeight="1">
      <c r="G8572"/>
      <c r="I8572"/>
      <c r="N8572"/>
      <c r="O8572" s="24"/>
      <c r="P8572"/>
      <c r="Q8572" s="24"/>
      <c r="R8572"/>
      <c r="S8572"/>
      <c r="T8572"/>
      <c r="U8572"/>
      <c r="X8572" s="60"/>
    </row>
    <row r="8573" spans="7:24" ht="15" customHeight="1">
      <c r="G8573"/>
      <c r="I8573"/>
      <c r="N8573"/>
      <c r="O8573" s="24"/>
      <c r="P8573"/>
      <c r="Q8573" s="24"/>
      <c r="R8573"/>
      <c r="S8573"/>
      <c r="T8573"/>
      <c r="U8573"/>
      <c r="X8573" s="60"/>
    </row>
    <row r="8574" spans="7:24" ht="15" customHeight="1">
      <c r="G8574"/>
      <c r="I8574"/>
      <c r="N8574"/>
      <c r="O8574" s="24"/>
      <c r="P8574"/>
      <c r="Q8574" s="24"/>
      <c r="R8574"/>
      <c r="S8574"/>
      <c r="T8574"/>
      <c r="U8574"/>
      <c r="X8574" s="60"/>
    </row>
    <row r="8575" spans="7:24" ht="15" customHeight="1">
      <c r="G8575"/>
      <c r="I8575"/>
      <c r="N8575"/>
      <c r="O8575" s="24"/>
      <c r="P8575"/>
      <c r="Q8575" s="24"/>
      <c r="R8575"/>
      <c r="S8575"/>
      <c r="T8575"/>
      <c r="U8575"/>
      <c r="X8575" s="60"/>
    </row>
    <row r="8576" spans="7:24" ht="15" customHeight="1">
      <c r="G8576"/>
      <c r="I8576"/>
      <c r="N8576"/>
      <c r="O8576" s="24"/>
      <c r="P8576"/>
      <c r="Q8576" s="24"/>
      <c r="R8576"/>
      <c r="S8576"/>
      <c r="T8576"/>
      <c r="U8576"/>
      <c r="X8576" s="60"/>
    </row>
    <row r="8577" spans="7:24" ht="15" customHeight="1">
      <c r="G8577"/>
      <c r="I8577"/>
      <c r="N8577"/>
      <c r="O8577" s="24"/>
      <c r="P8577"/>
      <c r="Q8577" s="24"/>
      <c r="R8577"/>
      <c r="S8577"/>
      <c r="T8577"/>
      <c r="U8577"/>
      <c r="X8577" s="60"/>
    </row>
    <row r="8578" spans="7:24" ht="15" customHeight="1">
      <c r="G8578"/>
      <c r="I8578"/>
      <c r="N8578"/>
      <c r="O8578" s="24"/>
      <c r="P8578"/>
      <c r="Q8578" s="24"/>
      <c r="R8578"/>
      <c r="S8578"/>
      <c r="T8578"/>
      <c r="U8578"/>
      <c r="X8578" s="60"/>
    </row>
    <row r="8579" spans="7:24" ht="15" customHeight="1">
      <c r="G8579"/>
      <c r="I8579"/>
      <c r="N8579"/>
      <c r="O8579" s="24"/>
      <c r="P8579"/>
      <c r="Q8579" s="24"/>
      <c r="R8579"/>
      <c r="S8579"/>
      <c r="T8579"/>
      <c r="U8579"/>
      <c r="X8579" s="60"/>
    </row>
    <row r="8580" spans="7:24" ht="15" customHeight="1">
      <c r="G8580"/>
      <c r="I8580"/>
      <c r="N8580"/>
      <c r="O8580" s="24"/>
      <c r="P8580"/>
      <c r="Q8580" s="24"/>
      <c r="R8580"/>
      <c r="S8580"/>
      <c r="T8580"/>
      <c r="U8580"/>
      <c r="X8580" s="60"/>
    </row>
    <row r="8581" spans="7:24" ht="15" customHeight="1">
      <c r="G8581"/>
      <c r="I8581"/>
      <c r="N8581"/>
      <c r="O8581" s="24"/>
      <c r="P8581"/>
      <c r="Q8581" s="24"/>
      <c r="R8581"/>
      <c r="S8581"/>
      <c r="T8581"/>
      <c r="U8581"/>
      <c r="X8581" s="60"/>
    </row>
    <row r="8582" spans="7:24" ht="15" customHeight="1">
      <c r="G8582"/>
      <c r="I8582"/>
      <c r="N8582"/>
      <c r="O8582" s="24"/>
      <c r="P8582"/>
      <c r="Q8582" s="24"/>
      <c r="R8582"/>
      <c r="S8582"/>
      <c r="T8582"/>
      <c r="U8582"/>
      <c r="X8582" s="60"/>
    </row>
    <row r="8583" spans="7:24" ht="15" customHeight="1">
      <c r="G8583"/>
      <c r="I8583"/>
      <c r="N8583"/>
      <c r="O8583" s="24"/>
      <c r="P8583"/>
      <c r="Q8583" s="24"/>
      <c r="R8583"/>
      <c r="S8583"/>
      <c r="T8583"/>
      <c r="U8583"/>
      <c r="X8583" s="60"/>
    </row>
    <row r="8584" spans="7:24" ht="15" customHeight="1">
      <c r="G8584"/>
      <c r="I8584"/>
      <c r="N8584"/>
      <c r="O8584" s="24"/>
      <c r="P8584"/>
      <c r="Q8584" s="24"/>
      <c r="R8584"/>
      <c r="S8584"/>
      <c r="T8584"/>
      <c r="U8584"/>
      <c r="X8584" s="60"/>
    </row>
    <row r="8585" spans="7:24" ht="15" customHeight="1">
      <c r="G8585"/>
      <c r="I8585"/>
      <c r="N8585"/>
      <c r="O8585" s="24"/>
      <c r="P8585"/>
      <c r="Q8585" s="24"/>
      <c r="R8585"/>
      <c r="S8585"/>
      <c r="T8585"/>
      <c r="U8585"/>
      <c r="X8585" s="60"/>
    </row>
    <row r="8586" spans="7:24" ht="15" customHeight="1">
      <c r="G8586"/>
      <c r="I8586"/>
      <c r="N8586"/>
      <c r="O8586" s="24"/>
      <c r="P8586"/>
      <c r="Q8586" s="24"/>
      <c r="R8586"/>
      <c r="S8586"/>
      <c r="T8586"/>
      <c r="U8586"/>
      <c r="X8586" s="60"/>
    </row>
    <row r="8587" spans="7:24" ht="15" customHeight="1">
      <c r="G8587"/>
      <c r="I8587"/>
      <c r="N8587"/>
      <c r="O8587" s="24"/>
      <c r="P8587"/>
      <c r="Q8587" s="24"/>
      <c r="R8587"/>
      <c r="S8587"/>
      <c r="T8587"/>
      <c r="U8587"/>
      <c r="X8587" s="60"/>
    </row>
    <row r="8588" spans="7:24" ht="15" customHeight="1">
      <c r="G8588"/>
      <c r="I8588"/>
      <c r="N8588"/>
      <c r="O8588" s="24"/>
      <c r="P8588"/>
      <c r="Q8588" s="24"/>
      <c r="R8588"/>
      <c r="S8588"/>
      <c r="T8588"/>
      <c r="U8588"/>
      <c r="X8588" s="60"/>
    </row>
    <row r="8589" spans="7:24" ht="15" customHeight="1">
      <c r="G8589"/>
      <c r="I8589"/>
      <c r="N8589"/>
      <c r="O8589" s="24"/>
      <c r="P8589"/>
      <c r="Q8589" s="24"/>
      <c r="R8589"/>
      <c r="S8589"/>
      <c r="T8589"/>
      <c r="U8589"/>
      <c r="X8589" s="60"/>
    </row>
    <row r="8590" spans="7:24" ht="15" customHeight="1">
      <c r="G8590"/>
      <c r="I8590"/>
      <c r="N8590"/>
      <c r="O8590" s="24"/>
      <c r="P8590"/>
      <c r="Q8590" s="24"/>
      <c r="R8590"/>
      <c r="S8590"/>
      <c r="T8590"/>
      <c r="U8590"/>
      <c r="X8590" s="60"/>
    </row>
    <row r="8591" spans="7:24" ht="15" customHeight="1">
      <c r="G8591"/>
      <c r="I8591"/>
      <c r="N8591"/>
      <c r="O8591" s="24"/>
      <c r="P8591"/>
      <c r="Q8591" s="24"/>
      <c r="R8591"/>
      <c r="S8591"/>
      <c r="T8591"/>
      <c r="U8591"/>
      <c r="X8591" s="60"/>
    </row>
    <row r="8592" spans="7:24" ht="15" customHeight="1">
      <c r="G8592"/>
      <c r="I8592"/>
      <c r="N8592"/>
      <c r="O8592" s="24"/>
      <c r="P8592"/>
      <c r="Q8592" s="24"/>
      <c r="R8592"/>
      <c r="S8592"/>
      <c r="T8592"/>
      <c r="U8592"/>
      <c r="X8592" s="60"/>
    </row>
    <row r="8593" spans="7:24" ht="15" customHeight="1">
      <c r="G8593"/>
      <c r="I8593"/>
      <c r="N8593"/>
      <c r="O8593" s="24"/>
      <c r="P8593"/>
      <c r="Q8593" s="24"/>
      <c r="R8593"/>
      <c r="S8593"/>
      <c r="T8593"/>
      <c r="U8593"/>
      <c r="X8593" s="60"/>
    </row>
    <row r="8594" spans="7:24" ht="15" customHeight="1">
      <c r="G8594"/>
      <c r="I8594"/>
      <c r="N8594"/>
      <c r="O8594" s="24"/>
      <c r="P8594"/>
      <c r="Q8594" s="24"/>
      <c r="R8594"/>
      <c r="S8594"/>
      <c r="T8594"/>
      <c r="U8594"/>
      <c r="X8594" s="60"/>
    </row>
    <row r="8595" spans="7:24" ht="15" customHeight="1">
      <c r="G8595"/>
      <c r="I8595"/>
      <c r="N8595"/>
      <c r="O8595" s="24"/>
      <c r="P8595"/>
      <c r="Q8595" s="24"/>
      <c r="R8595"/>
      <c r="S8595"/>
      <c r="T8595"/>
      <c r="U8595"/>
      <c r="X8595" s="60"/>
    </row>
    <row r="8596" spans="7:24" ht="15" customHeight="1">
      <c r="G8596"/>
      <c r="I8596"/>
      <c r="N8596"/>
      <c r="O8596" s="24"/>
      <c r="P8596"/>
      <c r="Q8596" s="24"/>
      <c r="R8596"/>
      <c r="S8596"/>
      <c r="T8596"/>
      <c r="U8596"/>
      <c r="X8596" s="60"/>
    </row>
    <row r="8597" spans="7:24" ht="15" customHeight="1">
      <c r="G8597"/>
      <c r="I8597"/>
      <c r="N8597"/>
      <c r="O8597" s="24"/>
      <c r="P8597"/>
      <c r="Q8597" s="24"/>
      <c r="R8597"/>
      <c r="S8597"/>
      <c r="T8597"/>
      <c r="U8597"/>
      <c r="X8597" s="60"/>
    </row>
    <row r="8598" spans="7:24" ht="15" customHeight="1">
      <c r="G8598"/>
      <c r="I8598"/>
      <c r="N8598"/>
      <c r="O8598" s="24"/>
      <c r="P8598"/>
      <c r="Q8598" s="24"/>
      <c r="R8598"/>
      <c r="S8598"/>
      <c r="T8598"/>
      <c r="U8598"/>
      <c r="X8598" s="60"/>
    </row>
    <row r="8599" spans="7:24" ht="15" customHeight="1">
      <c r="G8599"/>
      <c r="I8599"/>
      <c r="N8599"/>
      <c r="O8599" s="24"/>
      <c r="P8599"/>
      <c r="Q8599" s="24"/>
      <c r="R8599"/>
      <c r="S8599"/>
      <c r="T8599"/>
      <c r="U8599"/>
      <c r="X8599" s="60"/>
    </row>
    <row r="8600" spans="7:24" ht="15" customHeight="1">
      <c r="G8600"/>
      <c r="I8600"/>
      <c r="N8600"/>
      <c r="O8600" s="24"/>
      <c r="P8600"/>
      <c r="Q8600" s="24"/>
      <c r="R8600"/>
      <c r="S8600"/>
      <c r="T8600"/>
      <c r="U8600"/>
      <c r="X8600" s="60"/>
    </row>
    <row r="8601" spans="7:24" ht="15" customHeight="1">
      <c r="G8601"/>
      <c r="I8601"/>
      <c r="N8601"/>
      <c r="O8601" s="24"/>
      <c r="P8601"/>
      <c r="Q8601" s="24"/>
      <c r="R8601"/>
      <c r="S8601"/>
      <c r="T8601"/>
      <c r="U8601"/>
      <c r="X8601" s="60"/>
    </row>
    <row r="8602" spans="7:24" ht="15" customHeight="1">
      <c r="G8602"/>
      <c r="I8602"/>
      <c r="N8602"/>
      <c r="O8602" s="24"/>
      <c r="P8602"/>
      <c r="Q8602" s="24"/>
      <c r="R8602"/>
      <c r="S8602"/>
      <c r="T8602"/>
      <c r="U8602"/>
      <c r="X8602" s="60"/>
    </row>
    <row r="8603" spans="7:24" ht="15" customHeight="1">
      <c r="G8603"/>
      <c r="I8603"/>
      <c r="N8603"/>
      <c r="O8603" s="24"/>
      <c r="P8603"/>
      <c r="Q8603" s="24"/>
      <c r="R8603"/>
      <c r="S8603"/>
      <c r="T8603"/>
      <c r="U8603"/>
      <c r="X8603" s="60"/>
    </row>
    <row r="8604" spans="7:24" ht="15" customHeight="1">
      <c r="G8604"/>
      <c r="I8604"/>
      <c r="N8604"/>
      <c r="O8604" s="24"/>
      <c r="P8604"/>
      <c r="Q8604" s="24"/>
      <c r="R8604"/>
      <c r="S8604"/>
      <c r="T8604"/>
      <c r="U8604"/>
      <c r="X8604" s="60"/>
    </row>
    <row r="8605" spans="7:24" ht="15" customHeight="1">
      <c r="G8605"/>
      <c r="I8605"/>
      <c r="N8605"/>
      <c r="O8605" s="24"/>
      <c r="P8605"/>
      <c r="Q8605" s="24"/>
      <c r="R8605"/>
      <c r="S8605"/>
      <c r="T8605"/>
      <c r="U8605"/>
      <c r="X8605" s="60"/>
    </row>
    <row r="8606" spans="7:24" ht="15" customHeight="1">
      <c r="G8606"/>
      <c r="I8606"/>
      <c r="N8606"/>
      <c r="O8606" s="24"/>
      <c r="P8606"/>
      <c r="Q8606" s="24"/>
      <c r="R8606"/>
      <c r="S8606"/>
      <c r="T8606"/>
      <c r="U8606"/>
      <c r="X8606" s="60"/>
    </row>
    <row r="8607" spans="7:24" ht="15" customHeight="1">
      <c r="G8607"/>
      <c r="I8607"/>
      <c r="N8607"/>
      <c r="O8607" s="24"/>
      <c r="P8607"/>
      <c r="Q8607" s="24"/>
      <c r="R8607"/>
      <c r="S8607"/>
      <c r="T8607"/>
      <c r="U8607"/>
      <c r="X8607" s="60"/>
    </row>
    <row r="8608" spans="7:24" ht="15" customHeight="1">
      <c r="G8608"/>
      <c r="I8608"/>
      <c r="N8608"/>
      <c r="O8608" s="24"/>
      <c r="P8608"/>
      <c r="Q8608" s="24"/>
      <c r="R8608"/>
      <c r="S8608"/>
      <c r="T8608"/>
      <c r="U8608"/>
      <c r="X8608" s="60"/>
    </row>
    <row r="8609" spans="7:24" ht="15" customHeight="1">
      <c r="G8609"/>
      <c r="I8609"/>
      <c r="N8609"/>
      <c r="O8609" s="24"/>
      <c r="P8609"/>
      <c r="Q8609" s="24"/>
      <c r="R8609"/>
      <c r="S8609"/>
      <c r="T8609"/>
      <c r="U8609"/>
      <c r="X8609" s="60"/>
    </row>
    <row r="8610" spans="7:24" ht="15" customHeight="1">
      <c r="G8610"/>
      <c r="I8610"/>
      <c r="N8610"/>
      <c r="O8610" s="24"/>
      <c r="P8610"/>
      <c r="Q8610" s="24"/>
      <c r="R8610"/>
      <c r="S8610"/>
      <c r="T8610"/>
      <c r="U8610"/>
      <c r="X8610" s="60"/>
    </row>
    <row r="8611" spans="7:24" ht="15" customHeight="1">
      <c r="G8611"/>
      <c r="I8611"/>
      <c r="N8611"/>
      <c r="O8611" s="24"/>
      <c r="P8611"/>
      <c r="Q8611" s="24"/>
      <c r="R8611"/>
      <c r="S8611"/>
      <c r="T8611"/>
      <c r="U8611"/>
      <c r="X8611" s="60"/>
    </row>
    <row r="8612" spans="7:24" ht="15" customHeight="1">
      <c r="G8612"/>
      <c r="I8612"/>
      <c r="N8612"/>
      <c r="O8612" s="24"/>
      <c r="P8612"/>
      <c r="Q8612" s="24"/>
      <c r="R8612"/>
      <c r="S8612"/>
      <c r="T8612"/>
      <c r="U8612"/>
      <c r="X8612" s="60"/>
    </row>
    <row r="8613" spans="7:24" ht="15" customHeight="1">
      <c r="G8613"/>
      <c r="I8613"/>
      <c r="N8613"/>
      <c r="O8613" s="24"/>
      <c r="P8613"/>
      <c r="Q8613" s="24"/>
      <c r="R8613"/>
      <c r="S8613"/>
      <c r="T8613"/>
      <c r="U8613"/>
      <c r="X8613" s="60"/>
    </row>
    <row r="8614" spans="7:24" ht="15" customHeight="1">
      <c r="G8614"/>
      <c r="I8614"/>
      <c r="N8614"/>
      <c r="O8614" s="24"/>
      <c r="P8614"/>
      <c r="Q8614" s="24"/>
      <c r="R8614"/>
      <c r="S8614"/>
      <c r="T8614"/>
      <c r="U8614"/>
      <c r="X8614" s="60"/>
    </row>
    <row r="8615" spans="7:24" ht="15" customHeight="1">
      <c r="G8615"/>
      <c r="I8615"/>
      <c r="N8615"/>
      <c r="O8615" s="24"/>
      <c r="P8615"/>
      <c r="Q8615" s="24"/>
      <c r="R8615"/>
      <c r="S8615"/>
      <c r="T8615"/>
      <c r="U8615"/>
      <c r="X8615" s="60"/>
    </row>
    <row r="8616" spans="7:24" ht="15" customHeight="1">
      <c r="G8616"/>
      <c r="I8616"/>
      <c r="N8616"/>
      <c r="O8616" s="24"/>
      <c r="P8616"/>
      <c r="Q8616" s="24"/>
      <c r="R8616"/>
      <c r="S8616"/>
      <c r="T8616"/>
      <c r="U8616"/>
      <c r="X8616" s="60"/>
    </row>
    <row r="8617" spans="7:24" ht="15" customHeight="1">
      <c r="G8617"/>
      <c r="I8617"/>
      <c r="N8617"/>
      <c r="O8617" s="24"/>
      <c r="P8617"/>
      <c r="Q8617" s="24"/>
      <c r="R8617"/>
      <c r="S8617"/>
      <c r="T8617"/>
      <c r="U8617"/>
      <c r="X8617" s="60"/>
    </row>
    <row r="8618" spans="7:24" ht="15" customHeight="1">
      <c r="G8618"/>
      <c r="I8618"/>
      <c r="N8618"/>
      <c r="O8618" s="24"/>
      <c r="P8618"/>
      <c r="Q8618" s="24"/>
      <c r="R8618"/>
      <c r="S8618"/>
      <c r="T8618"/>
      <c r="U8618"/>
      <c r="X8618" s="60"/>
    </row>
    <row r="8619" spans="7:24" ht="15" customHeight="1">
      <c r="G8619"/>
      <c r="I8619"/>
      <c r="N8619"/>
      <c r="O8619" s="24"/>
      <c r="P8619"/>
      <c r="Q8619" s="24"/>
      <c r="R8619"/>
      <c r="S8619"/>
      <c r="T8619"/>
      <c r="U8619"/>
      <c r="X8619" s="60"/>
    </row>
    <row r="8620" spans="7:24" ht="15" customHeight="1">
      <c r="G8620"/>
      <c r="I8620"/>
      <c r="N8620"/>
      <c r="O8620" s="24"/>
      <c r="P8620"/>
      <c r="Q8620" s="24"/>
      <c r="R8620"/>
      <c r="S8620"/>
      <c r="T8620"/>
      <c r="U8620"/>
      <c r="X8620" s="60"/>
    </row>
    <row r="8621" spans="7:24" ht="15" customHeight="1">
      <c r="G8621"/>
      <c r="I8621"/>
      <c r="N8621"/>
      <c r="O8621" s="24"/>
      <c r="P8621"/>
      <c r="Q8621" s="24"/>
      <c r="R8621"/>
      <c r="S8621"/>
      <c r="T8621"/>
      <c r="U8621"/>
      <c r="X8621" s="60"/>
    </row>
    <row r="8622" spans="7:24" ht="15" customHeight="1">
      <c r="G8622"/>
      <c r="I8622"/>
      <c r="N8622"/>
      <c r="O8622" s="24"/>
      <c r="P8622"/>
      <c r="Q8622" s="24"/>
      <c r="R8622"/>
      <c r="S8622"/>
      <c r="T8622"/>
      <c r="U8622"/>
      <c r="X8622" s="60"/>
    </row>
    <row r="8623" spans="7:24" ht="15" customHeight="1">
      <c r="G8623"/>
      <c r="I8623"/>
      <c r="N8623"/>
      <c r="O8623" s="24"/>
      <c r="P8623"/>
      <c r="Q8623" s="24"/>
      <c r="R8623"/>
      <c r="S8623"/>
      <c r="T8623"/>
      <c r="U8623"/>
      <c r="X8623" s="60"/>
    </row>
    <row r="8624" spans="7:24" ht="15" customHeight="1">
      <c r="G8624"/>
      <c r="I8624"/>
      <c r="N8624"/>
      <c r="O8624" s="24"/>
      <c r="P8624"/>
      <c r="Q8624" s="24"/>
      <c r="R8624"/>
      <c r="S8624"/>
      <c r="T8624"/>
      <c r="U8624"/>
      <c r="X8624" s="60"/>
    </row>
    <row r="8625" spans="7:24" ht="15" customHeight="1">
      <c r="G8625"/>
      <c r="I8625"/>
      <c r="N8625"/>
      <c r="O8625" s="24"/>
      <c r="P8625"/>
      <c r="Q8625" s="24"/>
      <c r="R8625"/>
      <c r="S8625"/>
      <c r="T8625"/>
      <c r="U8625"/>
      <c r="X8625" s="60"/>
    </row>
    <row r="8626" spans="7:24" ht="15" customHeight="1">
      <c r="G8626"/>
      <c r="I8626"/>
      <c r="N8626"/>
      <c r="O8626" s="24"/>
      <c r="P8626"/>
      <c r="Q8626" s="24"/>
      <c r="R8626"/>
      <c r="S8626"/>
      <c r="T8626"/>
      <c r="U8626"/>
      <c r="X8626" s="60"/>
    </row>
    <row r="8627" spans="7:24" ht="15" customHeight="1">
      <c r="G8627"/>
      <c r="I8627"/>
      <c r="N8627"/>
      <c r="O8627" s="24"/>
      <c r="P8627"/>
      <c r="Q8627" s="24"/>
      <c r="R8627"/>
      <c r="S8627"/>
      <c r="T8627"/>
      <c r="U8627"/>
      <c r="X8627" s="60"/>
    </row>
    <row r="8628" spans="7:24" ht="15" customHeight="1">
      <c r="G8628"/>
      <c r="I8628"/>
      <c r="N8628"/>
      <c r="O8628" s="24"/>
      <c r="P8628"/>
      <c r="Q8628" s="24"/>
      <c r="R8628"/>
      <c r="S8628"/>
      <c r="T8628"/>
      <c r="U8628"/>
      <c r="X8628" s="60"/>
    </row>
    <row r="8629" spans="7:24" ht="15" customHeight="1">
      <c r="G8629"/>
      <c r="I8629"/>
      <c r="N8629"/>
      <c r="O8629" s="24"/>
      <c r="P8629"/>
      <c r="Q8629" s="24"/>
      <c r="R8629"/>
      <c r="S8629"/>
      <c r="T8629"/>
      <c r="U8629"/>
      <c r="X8629" s="60"/>
    </row>
    <row r="8630" spans="7:24" ht="15" customHeight="1">
      <c r="G8630"/>
      <c r="I8630"/>
      <c r="N8630"/>
      <c r="O8630" s="24"/>
      <c r="P8630"/>
      <c r="Q8630" s="24"/>
      <c r="R8630"/>
      <c r="S8630"/>
      <c r="T8630"/>
      <c r="U8630"/>
      <c r="X8630" s="60"/>
    </row>
    <row r="8631" spans="7:24" ht="15" customHeight="1">
      <c r="G8631"/>
      <c r="I8631"/>
      <c r="N8631"/>
      <c r="O8631" s="24"/>
      <c r="P8631"/>
      <c r="Q8631" s="24"/>
      <c r="R8631"/>
      <c r="S8631"/>
      <c r="T8631"/>
      <c r="U8631"/>
      <c r="X8631" s="60"/>
    </row>
    <row r="8632" spans="7:24" ht="15" customHeight="1">
      <c r="G8632"/>
      <c r="I8632"/>
      <c r="N8632"/>
      <c r="O8632" s="24"/>
      <c r="P8632"/>
      <c r="Q8632" s="24"/>
      <c r="R8632"/>
      <c r="S8632"/>
      <c r="T8632"/>
      <c r="U8632"/>
      <c r="X8632" s="60"/>
    </row>
    <row r="8633" spans="7:24" ht="15" customHeight="1">
      <c r="G8633"/>
      <c r="I8633"/>
      <c r="N8633"/>
      <c r="O8633" s="24"/>
      <c r="P8633"/>
      <c r="Q8633" s="24"/>
      <c r="R8633"/>
      <c r="S8633"/>
      <c r="T8633"/>
      <c r="U8633"/>
      <c r="X8633" s="60"/>
    </row>
    <row r="8634" spans="7:24" ht="15" customHeight="1">
      <c r="G8634"/>
      <c r="I8634"/>
      <c r="N8634"/>
      <c r="O8634" s="24"/>
      <c r="P8634"/>
      <c r="Q8634" s="24"/>
      <c r="R8634"/>
      <c r="S8634"/>
      <c r="T8634"/>
      <c r="U8634"/>
      <c r="X8634" s="60"/>
    </row>
    <row r="8635" spans="7:24" ht="15" customHeight="1">
      <c r="G8635"/>
      <c r="I8635"/>
      <c r="N8635"/>
      <c r="O8635" s="24"/>
      <c r="P8635"/>
      <c r="Q8635" s="24"/>
      <c r="R8635"/>
      <c r="S8635"/>
      <c r="T8635"/>
      <c r="U8635"/>
      <c r="X8635" s="60"/>
    </row>
    <row r="8636" spans="7:24" ht="15" customHeight="1">
      <c r="G8636"/>
      <c r="I8636"/>
      <c r="N8636"/>
      <c r="O8636" s="24"/>
      <c r="P8636"/>
      <c r="Q8636" s="24"/>
      <c r="R8636"/>
      <c r="S8636"/>
      <c r="T8636"/>
      <c r="U8636"/>
      <c r="X8636" s="60"/>
    </row>
    <row r="8637" spans="7:24" ht="15" customHeight="1">
      <c r="G8637"/>
      <c r="I8637"/>
      <c r="N8637"/>
      <c r="O8637" s="24"/>
      <c r="P8637"/>
      <c r="Q8637" s="24"/>
      <c r="R8637"/>
      <c r="S8637"/>
      <c r="T8637"/>
      <c r="U8637"/>
      <c r="X8637" s="60"/>
    </row>
    <row r="8638" spans="7:24" ht="15" customHeight="1">
      <c r="G8638"/>
      <c r="I8638"/>
      <c r="N8638"/>
      <c r="O8638" s="24"/>
      <c r="P8638"/>
      <c r="Q8638" s="24"/>
      <c r="R8638"/>
      <c r="S8638"/>
      <c r="T8638"/>
      <c r="U8638"/>
      <c r="X8638" s="60"/>
    </row>
    <row r="8639" spans="7:24" ht="15" customHeight="1">
      <c r="G8639"/>
      <c r="I8639"/>
      <c r="N8639"/>
      <c r="O8639" s="24"/>
      <c r="P8639"/>
      <c r="Q8639" s="24"/>
      <c r="R8639"/>
      <c r="S8639"/>
      <c r="T8639"/>
      <c r="U8639"/>
      <c r="X8639" s="60"/>
    </row>
    <row r="8640" spans="7:24" ht="15" customHeight="1">
      <c r="G8640"/>
      <c r="I8640"/>
      <c r="N8640"/>
      <c r="O8640" s="24"/>
      <c r="P8640"/>
      <c r="Q8640" s="24"/>
      <c r="R8640"/>
      <c r="S8640"/>
      <c r="T8640"/>
      <c r="U8640"/>
      <c r="X8640" s="60"/>
    </row>
    <row r="8641" spans="7:24" ht="15" customHeight="1">
      <c r="G8641"/>
      <c r="I8641"/>
      <c r="N8641"/>
      <c r="O8641" s="24"/>
      <c r="P8641"/>
      <c r="Q8641" s="24"/>
      <c r="R8641"/>
      <c r="S8641"/>
      <c r="T8641"/>
      <c r="U8641"/>
      <c r="X8641" s="60"/>
    </row>
    <row r="8642" spans="7:24" ht="15" customHeight="1">
      <c r="G8642"/>
      <c r="I8642"/>
      <c r="N8642"/>
      <c r="O8642" s="24"/>
      <c r="P8642"/>
      <c r="Q8642" s="24"/>
      <c r="R8642"/>
      <c r="S8642"/>
      <c r="T8642"/>
      <c r="U8642"/>
      <c r="X8642" s="60"/>
    </row>
    <row r="8643" spans="7:24" ht="15" customHeight="1">
      <c r="G8643"/>
      <c r="I8643"/>
      <c r="N8643"/>
      <c r="O8643" s="24"/>
      <c r="P8643"/>
      <c r="Q8643" s="24"/>
      <c r="R8643"/>
      <c r="S8643"/>
      <c r="T8643"/>
      <c r="U8643"/>
      <c r="X8643" s="60"/>
    </row>
    <row r="8644" spans="7:24" ht="15" customHeight="1">
      <c r="G8644"/>
      <c r="I8644"/>
      <c r="N8644"/>
      <c r="O8644" s="24"/>
      <c r="P8644"/>
      <c r="Q8644" s="24"/>
      <c r="R8644"/>
      <c r="S8644"/>
      <c r="T8644"/>
      <c r="U8644"/>
      <c r="X8644" s="60"/>
    </row>
    <row r="8645" spans="7:24" ht="15" customHeight="1">
      <c r="G8645"/>
      <c r="I8645"/>
      <c r="N8645"/>
      <c r="O8645" s="24"/>
      <c r="P8645"/>
      <c r="Q8645" s="24"/>
      <c r="R8645"/>
      <c r="S8645"/>
      <c r="T8645"/>
      <c r="U8645"/>
      <c r="X8645" s="60"/>
    </row>
    <row r="8646" spans="7:24" ht="15" customHeight="1">
      <c r="G8646"/>
      <c r="I8646"/>
      <c r="N8646"/>
      <c r="O8646" s="24"/>
      <c r="P8646"/>
      <c r="Q8646" s="24"/>
      <c r="R8646"/>
      <c r="S8646"/>
      <c r="T8646"/>
      <c r="U8646"/>
      <c r="X8646" s="60"/>
    </row>
    <row r="8647" spans="7:24" ht="15" customHeight="1">
      <c r="G8647"/>
      <c r="I8647"/>
      <c r="N8647"/>
      <c r="O8647" s="24"/>
      <c r="P8647"/>
      <c r="Q8647" s="24"/>
      <c r="R8647"/>
      <c r="S8647"/>
      <c r="T8647"/>
      <c r="U8647"/>
      <c r="X8647" s="60"/>
    </row>
    <row r="8648" spans="7:24" ht="15" customHeight="1">
      <c r="G8648"/>
      <c r="I8648"/>
      <c r="N8648"/>
      <c r="O8648" s="24"/>
      <c r="P8648"/>
      <c r="Q8648" s="24"/>
      <c r="R8648"/>
      <c r="S8648"/>
      <c r="T8648"/>
      <c r="U8648"/>
      <c r="X8648" s="60"/>
    </row>
    <row r="8649" spans="7:24" ht="15" customHeight="1">
      <c r="G8649"/>
      <c r="I8649"/>
      <c r="N8649"/>
      <c r="O8649" s="24"/>
      <c r="P8649"/>
      <c r="Q8649" s="24"/>
      <c r="R8649"/>
      <c r="S8649"/>
      <c r="T8649"/>
      <c r="U8649"/>
      <c r="X8649" s="60"/>
    </row>
    <row r="8650" spans="7:24" ht="15" customHeight="1">
      <c r="G8650"/>
      <c r="I8650"/>
      <c r="N8650"/>
      <c r="O8650" s="24"/>
      <c r="P8650"/>
      <c r="Q8650" s="24"/>
      <c r="R8650"/>
      <c r="S8650"/>
      <c r="T8650"/>
      <c r="U8650"/>
      <c r="X8650" s="60"/>
    </row>
    <row r="8651" spans="7:24" ht="15" customHeight="1">
      <c r="G8651"/>
      <c r="I8651"/>
      <c r="N8651"/>
      <c r="O8651" s="24"/>
      <c r="P8651"/>
      <c r="Q8651" s="24"/>
      <c r="R8651"/>
      <c r="S8651"/>
      <c r="T8651"/>
      <c r="U8651"/>
      <c r="X8651" s="60"/>
    </row>
    <row r="8652" spans="7:24" ht="15" customHeight="1">
      <c r="G8652"/>
      <c r="I8652"/>
      <c r="N8652"/>
      <c r="O8652" s="24"/>
      <c r="P8652"/>
      <c r="Q8652" s="24"/>
      <c r="R8652"/>
      <c r="S8652"/>
      <c r="T8652"/>
      <c r="U8652"/>
      <c r="X8652" s="60"/>
    </row>
    <row r="8653" spans="7:24" ht="15" customHeight="1">
      <c r="G8653"/>
      <c r="I8653"/>
      <c r="N8653"/>
      <c r="O8653" s="24"/>
      <c r="P8653"/>
      <c r="Q8653" s="24"/>
      <c r="R8653"/>
      <c r="S8653"/>
      <c r="T8653"/>
      <c r="U8653"/>
      <c r="X8653" s="60"/>
    </row>
    <row r="8654" spans="7:24" ht="15" customHeight="1">
      <c r="G8654"/>
      <c r="I8654"/>
      <c r="N8654"/>
      <c r="O8654" s="24"/>
      <c r="P8654"/>
      <c r="Q8654" s="24"/>
      <c r="R8654"/>
      <c r="S8654"/>
      <c r="T8654"/>
      <c r="U8654"/>
      <c r="X8654" s="60"/>
    </row>
    <row r="8655" spans="7:24" ht="15" customHeight="1">
      <c r="G8655"/>
      <c r="I8655"/>
      <c r="N8655"/>
      <c r="O8655" s="24"/>
      <c r="P8655"/>
      <c r="Q8655" s="24"/>
      <c r="R8655"/>
      <c r="S8655"/>
      <c r="T8655"/>
      <c r="U8655"/>
      <c r="X8655" s="60"/>
    </row>
    <row r="8656" spans="7:24" ht="15" customHeight="1">
      <c r="G8656"/>
      <c r="I8656"/>
      <c r="N8656"/>
      <c r="O8656" s="24"/>
      <c r="P8656"/>
      <c r="Q8656" s="24"/>
      <c r="R8656"/>
      <c r="S8656"/>
      <c r="T8656"/>
      <c r="U8656"/>
      <c r="X8656" s="60"/>
    </row>
    <row r="8657" spans="7:24" ht="15" customHeight="1">
      <c r="G8657"/>
      <c r="I8657"/>
      <c r="N8657"/>
      <c r="O8657" s="24"/>
      <c r="P8657"/>
      <c r="Q8657" s="24"/>
      <c r="R8657"/>
      <c r="S8657"/>
      <c r="T8657"/>
      <c r="U8657"/>
      <c r="X8657" s="60"/>
    </row>
    <row r="8658" spans="7:24" ht="15" customHeight="1">
      <c r="G8658"/>
      <c r="I8658"/>
      <c r="N8658"/>
      <c r="O8658" s="24"/>
      <c r="P8658"/>
      <c r="Q8658" s="24"/>
      <c r="R8658"/>
      <c r="S8658"/>
      <c r="T8658"/>
      <c r="U8658"/>
      <c r="X8658" s="60"/>
    </row>
    <row r="8659" spans="7:24" ht="15" customHeight="1">
      <c r="G8659"/>
      <c r="I8659"/>
      <c r="N8659"/>
      <c r="O8659" s="24"/>
      <c r="P8659"/>
      <c r="Q8659" s="24"/>
      <c r="R8659"/>
      <c r="S8659"/>
      <c r="T8659"/>
      <c r="U8659"/>
      <c r="X8659" s="60"/>
    </row>
    <row r="8660" spans="7:24" ht="15" customHeight="1">
      <c r="G8660"/>
      <c r="I8660"/>
      <c r="N8660"/>
      <c r="O8660" s="24"/>
      <c r="P8660"/>
      <c r="Q8660" s="24"/>
      <c r="R8660"/>
      <c r="S8660"/>
      <c r="T8660"/>
      <c r="U8660"/>
      <c r="X8660" s="60"/>
    </row>
    <row r="8661" spans="7:24" ht="15" customHeight="1">
      <c r="G8661"/>
      <c r="I8661"/>
      <c r="N8661"/>
      <c r="O8661" s="24"/>
      <c r="P8661"/>
      <c r="Q8661" s="24"/>
      <c r="R8661"/>
      <c r="S8661"/>
      <c r="T8661"/>
      <c r="U8661"/>
      <c r="X8661" s="60"/>
    </row>
    <row r="8662" spans="7:24" ht="15" customHeight="1">
      <c r="G8662"/>
      <c r="I8662"/>
      <c r="N8662"/>
      <c r="O8662" s="24"/>
      <c r="P8662"/>
      <c r="Q8662" s="24"/>
      <c r="R8662"/>
      <c r="S8662"/>
      <c r="T8662"/>
      <c r="U8662"/>
      <c r="X8662" s="60"/>
    </row>
    <row r="8663" spans="7:24" ht="15" customHeight="1">
      <c r="G8663"/>
      <c r="I8663"/>
      <c r="N8663"/>
      <c r="O8663" s="24"/>
      <c r="P8663"/>
      <c r="Q8663" s="24"/>
      <c r="R8663"/>
      <c r="S8663"/>
      <c r="T8663"/>
      <c r="U8663"/>
      <c r="X8663" s="60"/>
    </row>
    <row r="8664" spans="7:24" ht="15" customHeight="1">
      <c r="G8664"/>
      <c r="I8664"/>
      <c r="N8664"/>
      <c r="O8664" s="24"/>
      <c r="P8664"/>
      <c r="Q8664" s="24"/>
      <c r="R8664"/>
      <c r="S8664"/>
      <c r="T8664"/>
      <c r="U8664"/>
      <c r="X8664" s="60"/>
    </row>
    <row r="8665" spans="7:24" ht="15" customHeight="1">
      <c r="G8665"/>
      <c r="I8665"/>
      <c r="N8665"/>
      <c r="O8665" s="24"/>
      <c r="P8665"/>
      <c r="Q8665" s="24"/>
      <c r="R8665"/>
      <c r="S8665"/>
      <c r="T8665"/>
      <c r="U8665"/>
      <c r="X8665" s="60"/>
    </row>
    <row r="8666" spans="7:24" ht="15" customHeight="1">
      <c r="G8666"/>
      <c r="I8666"/>
      <c r="N8666"/>
      <c r="O8666" s="24"/>
      <c r="P8666"/>
      <c r="Q8666" s="24"/>
      <c r="R8666"/>
      <c r="S8666"/>
      <c r="T8666"/>
      <c r="U8666"/>
      <c r="X8666" s="60"/>
    </row>
    <row r="8667" spans="7:24" ht="15" customHeight="1">
      <c r="G8667"/>
      <c r="I8667"/>
      <c r="N8667"/>
      <c r="O8667" s="24"/>
      <c r="P8667"/>
      <c r="Q8667" s="24"/>
      <c r="R8667"/>
      <c r="S8667"/>
      <c r="T8667"/>
      <c r="U8667"/>
      <c r="X8667" s="60"/>
    </row>
    <row r="8668" spans="7:24" ht="15" customHeight="1">
      <c r="G8668"/>
      <c r="I8668"/>
      <c r="N8668"/>
      <c r="O8668" s="24"/>
      <c r="P8668"/>
      <c r="Q8668" s="24"/>
      <c r="R8668"/>
      <c r="S8668"/>
      <c r="T8668"/>
      <c r="U8668"/>
      <c r="X8668" s="60"/>
    </row>
    <row r="8669" spans="7:24" ht="15" customHeight="1">
      <c r="G8669"/>
      <c r="I8669"/>
      <c r="N8669"/>
      <c r="O8669" s="24"/>
      <c r="P8669"/>
      <c r="Q8669" s="24"/>
      <c r="R8669"/>
      <c r="S8669"/>
      <c r="T8669"/>
      <c r="U8669"/>
      <c r="X8669" s="60"/>
    </row>
    <row r="8670" spans="7:24" ht="15" customHeight="1">
      <c r="G8670"/>
      <c r="I8670"/>
      <c r="N8670"/>
      <c r="O8670" s="24"/>
      <c r="P8670"/>
      <c r="Q8670" s="24"/>
      <c r="R8670"/>
      <c r="S8670"/>
      <c r="T8670"/>
      <c r="U8670"/>
      <c r="X8670" s="60"/>
    </row>
    <row r="8671" spans="7:24" ht="15" customHeight="1">
      <c r="G8671"/>
      <c r="I8671"/>
      <c r="N8671"/>
      <c r="O8671" s="24"/>
      <c r="P8671"/>
      <c r="Q8671" s="24"/>
      <c r="R8671"/>
      <c r="S8671"/>
      <c r="T8671"/>
      <c r="U8671"/>
      <c r="X8671" s="60"/>
    </row>
    <row r="8672" spans="7:24" ht="15" customHeight="1">
      <c r="G8672"/>
      <c r="I8672"/>
      <c r="N8672"/>
      <c r="O8672" s="24"/>
      <c r="P8672"/>
      <c r="Q8672" s="24"/>
      <c r="R8672"/>
      <c r="S8672"/>
      <c r="T8672"/>
      <c r="U8672"/>
      <c r="X8672" s="60"/>
    </row>
    <row r="8673" spans="7:24" ht="15" customHeight="1">
      <c r="G8673"/>
      <c r="I8673"/>
      <c r="N8673"/>
      <c r="O8673" s="24"/>
      <c r="P8673"/>
      <c r="Q8673" s="24"/>
      <c r="R8673"/>
      <c r="S8673"/>
      <c r="T8673"/>
      <c r="U8673"/>
      <c r="X8673" s="60"/>
    </row>
    <row r="8674" spans="7:24" ht="15" customHeight="1">
      <c r="G8674"/>
      <c r="I8674"/>
      <c r="N8674"/>
      <c r="O8674" s="24"/>
      <c r="P8674"/>
      <c r="Q8674" s="24"/>
      <c r="R8674"/>
      <c r="S8674"/>
      <c r="T8674"/>
      <c r="U8674"/>
      <c r="X8674" s="60"/>
    </row>
    <row r="8675" spans="7:24" ht="15" customHeight="1">
      <c r="G8675"/>
      <c r="I8675"/>
      <c r="N8675"/>
      <c r="O8675" s="24"/>
      <c r="P8675"/>
      <c r="Q8675" s="24"/>
      <c r="R8675"/>
      <c r="S8675"/>
      <c r="T8675"/>
      <c r="U8675"/>
      <c r="X8675" s="60"/>
    </row>
    <row r="8676" spans="7:24" ht="15" customHeight="1">
      <c r="G8676"/>
      <c r="I8676"/>
      <c r="N8676"/>
      <c r="O8676" s="24"/>
      <c r="P8676"/>
      <c r="Q8676" s="24"/>
      <c r="R8676"/>
      <c r="S8676"/>
      <c r="T8676"/>
      <c r="U8676"/>
      <c r="X8676" s="60"/>
    </row>
    <row r="8677" spans="7:24" ht="15" customHeight="1">
      <c r="G8677"/>
      <c r="I8677"/>
      <c r="N8677"/>
      <c r="O8677" s="24"/>
      <c r="P8677"/>
      <c r="Q8677" s="24"/>
      <c r="R8677"/>
      <c r="S8677"/>
      <c r="T8677"/>
      <c r="U8677"/>
      <c r="X8677" s="60"/>
    </row>
    <row r="8678" spans="7:24" ht="15" customHeight="1">
      <c r="G8678"/>
      <c r="I8678"/>
      <c r="N8678"/>
      <c r="O8678" s="24"/>
      <c r="P8678"/>
      <c r="Q8678" s="24"/>
      <c r="R8678"/>
      <c r="S8678"/>
      <c r="T8678"/>
      <c r="U8678"/>
      <c r="X8678" s="60"/>
    </row>
    <row r="8679" spans="7:24" ht="15" customHeight="1">
      <c r="G8679"/>
      <c r="I8679"/>
      <c r="N8679"/>
      <c r="O8679" s="24"/>
      <c r="P8679"/>
      <c r="Q8679" s="24"/>
      <c r="R8679"/>
      <c r="S8679"/>
      <c r="T8679"/>
      <c r="U8679"/>
      <c r="X8679" s="60"/>
    </row>
    <row r="8680" spans="7:24" ht="15" customHeight="1">
      <c r="G8680"/>
      <c r="I8680"/>
      <c r="N8680"/>
      <c r="O8680" s="24"/>
      <c r="P8680"/>
      <c r="Q8680" s="24"/>
      <c r="R8680"/>
      <c r="S8680"/>
      <c r="T8680"/>
      <c r="U8680"/>
      <c r="X8680" s="60"/>
    </row>
    <row r="8681" spans="7:24" ht="15" customHeight="1">
      <c r="G8681"/>
      <c r="I8681"/>
      <c r="N8681"/>
      <c r="O8681" s="24"/>
      <c r="P8681"/>
      <c r="Q8681" s="24"/>
      <c r="R8681"/>
      <c r="S8681"/>
      <c r="T8681"/>
      <c r="U8681"/>
      <c r="X8681" s="60"/>
    </row>
    <row r="8682" spans="7:24" ht="15" customHeight="1">
      <c r="G8682"/>
      <c r="I8682"/>
      <c r="N8682"/>
      <c r="O8682" s="24"/>
      <c r="P8682"/>
      <c r="Q8682" s="24"/>
      <c r="R8682"/>
      <c r="S8682"/>
      <c r="T8682"/>
      <c r="U8682"/>
      <c r="X8682" s="60"/>
    </row>
    <row r="8683" spans="7:24" ht="15" customHeight="1">
      <c r="G8683"/>
      <c r="I8683"/>
      <c r="N8683"/>
      <c r="O8683" s="24"/>
      <c r="P8683"/>
      <c r="Q8683" s="24"/>
      <c r="R8683"/>
      <c r="S8683"/>
      <c r="T8683"/>
      <c r="U8683"/>
      <c r="X8683" s="60"/>
    </row>
    <row r="8684" spans="7:24" ht="15" customHeight="1">
      <c r="G8684"/>
      <c r="I8684"/>
      <c r="N8684"/>
      <c r="O8684" s="24"/>
      <c r="P8684"/>
      <c r="Q8684" s="24"/>
      <c r="R8684"/>
      <c r="S8684"/>
      <c r="T8684"/>
      <c r="U8684"/>
      <c r="X8684" s="60"/>
    </row>
    <row r="8685" spans="7:24" ht="15" customHeight="1">
      <c r="G8685"/>
      <c r="I8685"/>
      <c r="N8685"/>
      <c r="O8685" s="24"/>
      <c r="P8685"/>
      <c r="Q8685" s="24"/>
      <c r="R8685"/>
      <c r="S8685"/>
      <c r="T8685"/>
      <c r="U8685"/>
      <c r="X8685" s="60"/>
    </row>
    <row r="8686" spans="7:24" ht="15" customHeight="1">
      <c r="G8686"/>
      <c r="I8686"/>
      <c r="N8686"/>
      <c r="O8686" s="24"/>
      <c r="P8686"/>
      <c r="Q8686" s="24"/>
      <c r="R8686"/>
      <c r="S8686"/>
      <c r="T8686"/>
      <c r="U8686"/>
      <c r="X8686" s="60"/>
    </row>
    <row r="8687" spans="7:24" ht="15" customHeight="1">
      <c r="G8687"/>
      <c r="I8687"/>
      <c r="N8687"/>
      <c r="O8687" s="24"/>
      <c r="P8687"/>
      <c r="Q8687" s="24"/>
      <c r="R8687"/>
      <c r="S8687"/>
      <c r="T8687"/>
      <c r="U8687"/>
      <c r="X8687" s="60"/>
    </row>
    <row r="8688" spans="7:24" ht="15" customHeight="1">
      <c r="G8688"/>
      <c r="I8688"/>
      <c r="N8688"/>
      <c r="O8688" s="24"/>
      <c r="P8688"/>
      <c r="Q8688" s="24"/>
      <c r="R8688"/>
      <c r="S8688"/>
      <c r="T8688"/>
      <c r="U8688"/>
      <c r="X8688" s="60"/>
    </row>
    <row r="8689" spans="7:24" ht="15" customHeight="1">
      <c r="G8689"/>
      <c r="I8689"/>
      <c r="N8689"/>
      <c r="O8689" s="24"/>
      <c r="P8689"/>
      <c r="Q8689" s="24"/>
      <c r="R8689"/>
      <c r="S8689"/>
      <c r="T8689"/>
      <c r="U8689"/>
      <c r="X8689" s="60"/>
    </row>
    <row r="8690" spans="7:24" ht="15" customHeight="1">
      <c r="G8690"/>
      <c r="I8690"/>
      <c r="N8690"/>
      <c r="O8690" s="24"/>
      <c r="P8690"/>
      <c r="Q8690" s="24"/>
      <c r="R8690"/>
      <c r="S8690"/>
      <c r="T8690"/>
      <c r="U8690"/>
      <c r="X8690" s="60"/>
    </row>
    <row r="8691" spans="7:24" ht="15" customHeight="1">
      <c r="G8691"/>
      <c r="I8691"/>
      <c r="N8691"/>
      <c r="O8691" s="24"/>
      <c r="P8691"/>
      <c r="Q8691" s="24"/>
      <c r="R8691"/>
      <c r="S8691"/>
      <c r="T8691"/>
      <c r="U8691"/>
      <c r="X8691" s="60"/>
    </row>
    <row r="8692" spans="7:24" ht="15" customHeight="1">
      <c r="G8692"/>
      <c r="I8692"/>
      <c r="N8692"/>
      <c r="O8692" s="24"/>
      <c r="P8692"/>
      <c r="Q8692" s="24"/>
      <c r="R8692"/>
      <c r="S8692"/>
      <c r="T8692"/>
      <c r="U8692"/>
      <c r="X8692" s="60"/>
    </row>
    <row r="8693" spans="7:24" ht="15" customHeight="1">
      <c r="G8693"/>
      <c r="I8693"/>
      <c r="N8693"/>
      <c r="O8693" s="24"/>
      <c r="P8693"/>
      <c r="Q8693" s="24"/>
      <c r="R8693"/>
      <c r="S8693"/>
      <c r="T8693"/>
      <c r="U8693"/>
      <c r="X8693" s="60"/>
    </row>
    <row r="8694" spans="7:24" ht="15" customHeight="1">
      <c r="G8694"/>
      <c r="I8694"/>
      <c r="N8694"/>
      <c r="O8694" s="24"/>
      <c r="P8694"/>
      <c r="Q8694" s="24"/>
      <c r="R8694"/>
      <c r="S8694"/>
      <c r="T8694"/>
      <c r="U8694"/>
      <c r="X8694" s="60"/>
    </row>
    <row r="8695" spans="7:24" ht="15" customHeight="1">
      <c r="G8695"/>
      <c r="I8695"/>
      <c r="N8695"/>
      <c r="O8695" s="24"/>
      <c r="P8695"/>
      <c r="Q8695" s="24"/>
      <c r="R8695"/>
      <c r="S8695"/>
      <c r="T8695"/>
      <c r="U8695"/>
      <c r="X8695" s="60"/>
    </row>
    <row r="8696" spans="7:24" ht="15" customHeight="1">
      <c r="G8696"/>
      <c r="I8696"/>
      <c r="N8696"/>
      <c r="O8696" s="24"/>
      <c r="P8696"/>
      <c r="Q8696" s="24"/>
      <c r="R8696"/>
      <c r="S8696"/>
      <c r="T8696"/>
      <c r="U8696"/>
      <c r="X8696" s="60"/>
    </row>
    <row r="8697" spans="7:24" ht="15" customHeight="1">
      <c r="G8697"/>
      <c r="I8697"/>
      <c r="N8697"/>
      <c r="O8697" s="24"/>
      <c r="P8697"/>
      <c r="Q8697" s="24"/>
      <c r="R8697"/>
      <c r="S8697"/>
      <c r="T8697"/>
      <c r="U8697"/>
      <c r="X8697" s="60"/>
    </row>
    <row r="8698" spans="7:24" ht="15" customHeight="1">
      <c r="G8698"/>
      <c r="I8698"/>
      <c r="N8698"/>
      <c r="O8698" s="24"/>
      <c r="P8698"/>
      <c r="Q8698" s="24"/>
      <c r="R8698"/>
      <c r="S8698"/>
      <c r="T8698"/>
      <c r="U8698"/>
      <c r="X8698" s="60"/>
    </row>
    <row r="8699" spans="7:24" ht="15" customHeight="1">
      <c r="G8699"/>
      <c r="I8699"/>
      <c r="N8699"/>
      <c r="O8699" s="24"/>
      <c r="P8699"/>
      <c r="Q8699" s="24"/>
      <c r="R8699"/>
      <c r="S8699"/>
      <c r="T8699"/>
      <c r="U8699"/>
      <c r="X8699" s="60"/>
    </row>
    <row r="8700" spans="7:24" ht="15" customHeight="1">
      <c r="G8700"/>
      <c r="I8700"/>
      <c r="N8700"/>
      <c r="O8700" s="24"/>
      <c r="P8700"/>
      <c r="Q8700" s="24"/>
      <c r="R8700"/>
      <c r="S8700"/>
      <c r="T8700"/>
      <c r="U8700"/>
      <c r="X8700" s="60"/>
    </row>
    <row r="8701" spans="7:24" ht="15" customHeight="1">
      <c r="G8701"/>
      <c r="I8701"/>
      <c r="N8701"/>
      <c r="O8701" s="24"/>
      <c r="P8701"/>
      <c r="Q8701" s="24"/>
      <c r="R8701"/>
      <c r="S8701"/>
      <c r="T8701"/>
      <c r="U8701"/>
      <c r="X8701" s="60"/>
    </row>
    <row r="8702" spans="7:24" ht="15" customHeight="1">
      <c r="G8702"/>
      <c r="I8702"/>
      <c r="N8702"/>
      <c r="O8702" s="24"/>
      <c r="P8702"/>
      <c r="Q8702" s="24"/>
      <c r="R8702"/>
      <c r="S8702"/>
      <c r="T8702"/>
      <c r="U8702"/>
      <c r="X8702" s="60"/>
    </row>
    <row r="8703" spans="7:24" ht="15" customHeight="1">
      <c r="G8703"/>
      <c r="I8703"/>
      <c r="N8703"/>
      <c r="O8703" s="24"/>
      <c r="P8703"/>
      <c r="Q8703" s="24"/>
      <c r="R8703"/>
      <c r="S8703"/>
      <c r="T8703"/>
      <c r="U8703"/>
      <c r="X8703" s="60"/>
    </row>
    <row r="8704" spans="7:24" ht="15" customHeight="1">
      <c r="G8704"/>
      <c r="I8704"/>
      <c r="N8704"/>
      <c r="O8704" s="24"/>
      <c r="P8704"/>
      <c r="Q8704" s="24"/>
      <c r="R8704"/>
      <c r="S8704"/>
      <c r="T8704"/>
      <c r="U8704"/>
      <c r="X8704" s="60"/>
    </row>
    <row r="8705" spans="7:24" ht="15" customHeight="1">
      <c r="G8705"/>
      <c r="I8705"/>
      <c r="N8705"/>
      <c r="O8705" s="24"/>
      <c r="P8705"/>
      <c r="Q8705" s="24"/>
      <c r="R8705"/>
      <c r="S8705"/>
      <c r="T8705"/>
      <c r="U8705"/>
      <c r="X8705" s="60"/>
    </row>
    <row r="8706" spans="7:24" ht="15" customHeight="1">
      <c r="G8706"/>
      <c r="I8706"/>
      <c r="N8706"/>
      <c r="O8706" s="24"/>
      <c r="P8706"/>
      <c r="Q8706" s="24"/>
      <c r="R8706"/>
      <c r="S8706"/>
      <c r="T8706"/>
      <c r="U8706"/>
      <c r="X8706" s="60"/>
    </row>
    <row r="8707" spans="7:24" ht="15" customHeight="1">
      <c r="G8707"/>
      <c r="I8707"/>
      <c r="N8707"/>
      <c r="O8707" s="24"/>
      <c r="P8707"/>
      <c r="Q8707" s="24"/>
      <c r="R8707"/>
      <c r="S8707"/>
      <c r="T8707"/>
      <c r="U8707"/>
      <c r="X8707" s="60"/>
    </row>
    <row r="8708" spans="7:24" ht="15" customHeight="1">
      <c r="G8708"/>
      <c r="I8708"/>
      <c r="N8708"/>
      <c r="O8708" s="24"/>
      <c r="P8708"/>
      <c r="Q8708" s="24"/>
      <c r="R8708"/>
      <c r="S8708"/>
      <c r="T8708"/>
      <c r="U8708"/>
      <c r="X8708" s="60"/>
    </row>
    <row r="8709" spans="7:24" ht="15" customHeight="1">
      <c r="G8709"/>
      <c r="I8709"/>
      <c r="N8709"/>
      <c r="O8709" s="24"/>
      <c r="P8709"/>
      <c r="Q8709" s="24"/>
      <c r="R8709"/>
      <c r="S8709"/>
      <c r="T8709"/>
      <c r="U8709"/>
      <c r="X8709" s="60"/>
    </row>
    <row r="8710" spans="7:24" ht="15" customHeight="1">
      <c r="G8710"/>
      <c r="I8710"/>
      <c r="N8710"/>
      <c r="O8710" s="24"/>
      <c r="P8710"/>
      <c r="Q8710" s="24"/>
      <c r="R8710"/>
      <c r="S8710"/>
      <c r="T8710"/>
      <c r="U8710"/>
      <c r="X8710" s="60"/>
    </row>
    <row r="8711" spans="7:24" ht="15" customHeight="1">
      <c r="G8711"/>
      <c r="I8711"/>
      <c r="N8711"/>
      <c r="O8711" s="24"/>
      <c r="P8711"/>
      <c r="Q8711" s="24"/>
      <c r="R8711"/>
      <c r="S8711"/>
      <c r="T8711"/>
      <c r="U8711"/>
      <c r="X8711" s="60"/>
    </row>
    <row r="8712" spans="7:24" ht="15" customHeight="1">
      <c r="G8712"/>
      <c r="I8712"/>
      <c r="N8712"/>
      <c r="O8712" s="24"/>
      <c r="P8712"/>
      <c r="Q8712" s="24"/>
      <c r="R8712"/>
      <c r="S8712"/>
      <c r="T8712"/>
      <c r="U8712"/>
      <c r="X8712" s="60"/>
    </row>
    <row r="8713" spans="7:24" ht="15" customHeight="1">
      <c r="G8713"/>
      <c r="I8713"/>
      <c r="N8713"/>
      <c r="O8713" s="24"/>
      <c r="P8713"/>
      <c r="Q8713" s="24"/>
      <c r="R8713"/>
      <c r="S8713"/>
      <c r="T8713"/>
      <c r="U8713"/>
      <c r="X8713" s="60"/>
    </row>
    <row r="8714" spans="7:24" ht="15" customHeight="1">
      <c r="G8714"/>
      <c r="I8714"/>
      <c r="N8714"/>
      <c r="O8714" s="24"/>
      <c r="P8714"/>
      <c r="Q8714" s="24"/>
      <c r="R8714"/>
      <c r="S8714"/>
      <c r="T8714"/>
      <c r="U8714"/>
      <c r="X8714" s="60"/>
    </row>
    <row r="8715" spans="7:24" ht="15" customHeight="1">
      <c r="G8715"/>
      <c r="I8715"/>
      <c r="N8715"/>
      <c r="O8715" s="24"/>
      <c r="P8715"/>
      <c r="Q8715" s="24"/>
      <c r="R8715"/>
      <c r="S8715"/>
      <c r="T8715"/>
      <c r="U8715"/>
      <c r="X8715" s="60"/>
    </row>
    <row r="8716" spans="7:24" ht="15" customHeight="1">
      <c r="G8716"/>
      <c r="I8716"/>
      <c r="N8716"/>
      <c r="O8716" s="24"/>
      <c r="P8716"/>
      <c r="Q8716" s="24"/>
      <c r="R8716"/>
      <c r="S8716"/>
      <c r="T8716"/>
      <c r="U8716"/>
      <c r="X8716" s="60"/>
    </row>
    <row r="8717" spans="7:24" ht="15" customHeight="1">
      <c r="G8717"/>
      <c r="I8717"/>
      <c r="N8717"/>
      <c r="O8717" s="24"/>
      <c r="P8717"/>
      <c r="Q8717" s="24"/>
      <c r="R8717"/>
      <c r="S8717"/>
      <c r="T8717"/>
      <c r="U8717"/>
      <c r="X8717" s="60"/>
    </row>
    <row r="8718" spans="7:24" ht="15" customHeight="1">
      <c r="G8718"/>
      <c r="I8718"/>
      <c r="N8718"/>
      <c r="O8718" s="24"/>
      <c r="P8718"/>
      <c r="Q8718" s="24"/>
      <c r="R8718"/>
      <c r="S8718"/>
      <c r="T8718"/>
      <c r="U8718"/>
      <c r="X8718" s="60"/>
    </row>
    <row r="8719" spans="7:24" ht="15" customHeight="1">
      <c r="G8719"/>
      <c r="I8719"/>
      <c r="N8719"/>
      <c r="O8719" s="24"/>
      <c r="P8719"/>
      <c r="Q8719" s="24"/>
      <c r="R8719"/>
      <c r="S8719"/>
      <c r="T8719"/>
      <c r="U8719"/>
      <c r="X8719" s="60"/>
    </row>
    <row r="8720" spans="7:24" ht="15" customHeight="1">
      <c r="G8720"/>
      <c r="I8720"/>
      <c r="N8720"/>
      <c r="O8720" s="24"/>
      <c r="P8720"/>
      <c r="Q8720" s="24"/>
      <c r="R8720"/>
      <c r="S8720"/>
      <c r="T8720"/>
      <c r="U8720"/>
      <c r="X8720" s="60"/>
    </row>
    <row r="8721" spans="7:24" ht="15" customHeight="1">
      <c r="G8721"/>
      <c r="I8721"/>
      <c r="N8721"/>
      <c r="O8721" s="24"/>
      <c r="P8721"/>
      <c r="Q8721" s="24"/>
      <c r="R8721"/>
      <c r="S8721"/>
      <c r="T8721"/>
      <c r="U8721"/>
      <c r="X8721" s="60"/>
    </row>
    <row r="8722" spans="7:24" ht="15" customHeight="1">
      <c r="G8722"/>
      <c r="I8722"/>
      <c r="N8722"/>
      <c r="O8722" s="24"/>
      <c r="P8722"/>
      <c r="Q8722" s="24"/>
      <c r="R8722"/>
      <c r="S8722"/>
      <c r="T8722"/>
      <c r="U8722"/>
      <c r="X8722" s="60"/>
    </row>
    <row r="8723" spans="7:24" ht="15" customHeight="1">
      <c r="G8723"/>
      <c r="I8723"/>
      <c r="N8723"/>
      <c r="O8723" s="24"/>
      <c r="P8723"/>
      <c r="Q8723" s="24"/>
      <c r="R8723"/>
      <c r="S8723"/>
      <c r="T8723"/>
      <c r="U8723"/>
      <c r="X8723" s="60"/>
    </row>
    <row r="8724" spans="7:24" ht="15" customHeight="1">
      <c r="G8724"/>
      <c r="I8724"/>
      <c r="N8724"/>
      <c r="O8724" s="24"/>
      <c r="P8724"/>
      <c r="Q8724" s="24"/>
      <c r="R8724"/>
      <c r="S8724"/>
      <c r="T8724"/>
      <c r="U8724"/>
      <c r="X8724" s="60"/>
    </row>
    <row r="8725" spans="7:24" ht="15" customHeight="1">
      <c r="G8725"/>
      <c r="I8725"/>
      <c r="N8725"/>
      <c r="O8725" s="24"/>
      <c r="P8725"/>
      <c r="Q8725" s="24"/>
      <c r="R8725"/>
      <c r="S8725"/>
      <c r="T8725"/>
      <c r="U8725"/>
      <c r="X8725" s="60"/>
    </row>
    <row r="8726" spans="7:24" ht="15" customHeight="1">
      <c r="G8726"/>
      <c r="I8726"/>
      <c r="N8726"/>
      <c r="O8726" s="24"/>
      <c r="P8726"/>
      <c r="Q8726" s="24"/>
      <c r="R8726"/>
      <c r="S8726"/>
      <c r="T8726"/>
      <c r="U8726"/>
      <c r="X8726" s="60"/>
    </row>
    <row r="8727" spans="7:24" ht="15" customHeight="1">
      <c r="G8727"/>
      <c r="I8727"/>
      <c r="N8727"/>
      <c r="O8727" s="24"/>
      <c r="P8727"/>
      <c r="Q8727" s="24"/>
      <c r="R8727"/>
      <c r="S8727"/>
      <c r="T8727"/>
      <c r="U8727"/>
      <c r="X8727" s="60"/>
    </row>
    <row r="8728" spans="7:24" ht="15" customHeight="1">
      <c r="G8728"/>
      <c r="I8728"/>
      <c r="N8728"/>
      <c r="O8728" s="24"/>
      <c r="P8728"/>
      <c r="Q8728" s="24"/>
      <c r="R8728"/>
      <c r="S8728"/>
      <c r="T8728"/>
      <c r="U8728"/>
      <c r="X8728" s="60"/>
    </row>
    <row r="8729" spans="7:24" ht="15" customHeight="1">
      <c r="G8729"/>
      <c r="I8729"/>
      <c r="N8729"/>
      <c r="O8729" s="24"/>
      <c r="P8729"/>
      <c r="Q8729" s="24"/>
      <c r="R8729"/>
      <c r="S8729"/>
      <c r="T8729"/>
      <c r="U8729"/>
      <c r="X8729" s="60"/>
    </row>
    <row r="8730" spans="7:24" ht="15" customHeight="1">
      <c r="G8730"/>
      <c r="I8730"/>
      <c r="N8730"/>
      <c r="O8730" s="24"/>
      <c r="P8730"/>
      <c r="Q8730" s="24"/>
      <c r="R8730"/>
      <c r="S8730"/>
      <c r="T8730"/>
      <c r="U8730"/>
      <c r="X8730" s="60"/>
    </row>
    <row r="8731" spans="7:24" ht="15" customHeight="1">
      <c r="G8731"/>
      <c r="I8731"/>
      <c r="N8731"/>
      <c r="O8731" s="24"/>
      <c r="P8731"/>
      <c r="Q8731" s="24"/>
      <c r="R8731"/>
      <c r="S8731"/>
      <c r="T8731"/>
      <c r="U8731"/>
      <c r="X8731" s="60"/>
    </row>
    <row r="8732" spans="7:24" ht="15" customHeight="1">
      <c r="G8732"/>
      <c r="I8732"/>
      <c r="N8732"/>
      <c r="O8732" s="24"/>
      <c r="P8732"/>
      <c r="Q8732" s="24"/>
      <c r="R8732"/>
      <c r="S8732"/>
      <c r="T8732"/>
      <c r="U8732"/>
      <c r="X8732" s="60"/>
    </row>
    <row r="8733" spans="7:24" ht="15" customHeight="1">
      <c r="G8733"/>
      <c r="I8733"/>
      <c r="N8733"/>
      <c r="O8733" s="24"/>
      <c r="P8733"/>
      <c r="Q8733" s="24"/>
      <c r="R8733"/>
      <c r="S8733"/>
      <c r="T8733"/>
      <c r="U8733"/>
      <c r="X8733" s="60"/>
    </row>
    <row r="8734" spans="7:24" ht="15" customHeight="1">
      <c r="G8734"/>
      <c r="I8734"/>
      <c r="N8734"/>
      <c r="O8734" s="24"/>
      <c r="P8734"/>
      <c r="Q8734" s="24"/>
      <c r="R8734"/>
      <c r="S8734"/>
      <c r="T8734"/>
      <c r="U8734"/>
      <c r="X8734" s="60"/>
    </row>
    <row r="8735" spans="7:24" ht="15" customHeight="1">
      <c r="G8735"/>
      <c r="I8735"/>
      <c r="N8735"/>
      <c r="O8735" s="24"/>
      <c r="P8735"/>
      <c r="Q8735" s="24"/>
      <c r="R8735"/>
      <c r="S8735"/>
      <c r="T8735"/>
      <c r="U8735"/>
      <c r="X8735" s="60"/>
    </row>
    <row r="8736" spans="7:24" ht="15" customHeight="1">
      <c r="G8736"/>
      <c r="I8736"/>
      <c r="N8736"/>
      <c r="O8736" s="24"/>
      <c r="P8736"/>
      <c r="Q8736" s="24"/>
      <c r="R8736"/>
      <c r="S8736"/>
      <c r="T8736"/>
      <c r="U8736"/>
      <c r="X8736" s="60"/>
    </row>
    <row r="8737" spans="7:24" ht="15" customHeight="1">
      <c r="G8737"/>
      <c r="I8737"/>
      <c r="N8737"/>
      <c r="O8737" s="24"/>
      <c r="P8737"/>
      <c r="Q8737" s="24"/>
      <c r="R8737"/>
      <c r="S8737"/>
      <c r="T8737"/>
      <c r="U8737"/>
      <c r="X8737" s="60"/>
    </row>
    <row r="8738" spans="7:24" ht="15" customHeight="1">
      <c r="G8738"/>
      <c r="I8738"/>
      <c r="N8738"/>
      <c r="O8738" s="24"/>
      <c r="P8738"/>
      <c r="Q8738" s="24"/>
      <c r="R8738"/>
      <c r="S8738"/>
      <c r="T8738"/>
      <c r="U8738"/>
      <c r="X8738" s="60"/>
    </row>
    <row r="8739" spans="7:24" ht="15" customHeight="1">
      <c r="G8739"/>
      <c r="I8739"/>
      <c r="N8739"/>
      <c r="O8739" s="24"/>
      <c r="P8739"/>
      <c r="Q8739" s="24"/>
      <c r="R8739"/>
      <c r="S8739"/>
      <c r="T8739"/>
      <c r="U8739"/>
      <c r="X8739" s="60"/>
    </row>
    <row r="8740" spans="7:24" ht="15" customHeight="1">
      <c r="G8740"/>
      <c r="I8740"/>
      <c r="N8740"/>
      <c r="O8740" s="24"/>
      <c r="P8740"/>
      <c r="Q8740" s="24"/>
      <c r="R8740"/>
      <c r="S8740"/>
      <c r="T8740"/>
      <c r="U8740"/>
      <c r="X8740" s="60"/>
    </row>
    <row r="8741" spans="7:24" ht="15" customHeight="1">
      <c r="G8741"/>
      <c r="I8741"/>
      <c r="N8741"/>
      <c r="O8741" s="24"/>
      <c r="P8741"/>
      <c r="Q8741" s="24"/>
      <c r="R8741"/>
      <c r="S8741"/>
      <c r="T8741"/>
      <c r="U8741"/>
      <c r="X8741" s="60"/>
    </row>
    <row r="8742" spans="7:24" ht="15" customHeight="1">
      <c r="G8742"/>
      <c r="I8742"/>
      <c r="N8742"/>
      <c r="O8742" s="24"/>
      <c r="P8742"/>
      <c r="Q8742" s="24"/>
      <c r="R8742"/>
      <c r="S8742"/>
      <c r="T8742"/>
      <c r="U8742"/>
      <c r="X8742" s="60"/>
    </row>
    <row r="8743" spans="7:24" ht="15" customHeight="1">
      <c r="G8743"/>
      <c r="I8743"/>
      <c r="N8743"/>
      <c r="O8743" s="24"/>
      <c r="P8743"/>
      <c r="Q8743" s="24"/>
      <c r="R8743"/>
      <c r="S8743"/>
      <c r="T8743"/>
      <c r="U8743"/>
      <c r="X8743" s="60"/>
    </row>
    <row r="8744" spans="7:24" ht="15" customHeight="1">
      <c r="G8744"/>
      <c r="I8744"/>
      <c r="N8744"/>
      <c r="O8744" s="24"/>
      <c r="P8744"/>
      <c r="Q8744" s="24"/>
      <c r="R8744"/>
      <c r="S8744"/>
      <c r="T8744"/>
      <c r="U8744"/>
      <c r="X8744" s="60"/>
    </row>
    <row r="8745" spans="7:24" ht="15" customHeight="1">
      <c r="G8745"/>
      <c r="I8745"/>
      <c r="N8745"/>
      <c r="O8745" s="24"/>
      <c r="P8745"/>
      <c r="Q8745" s="24"/>
      <c r="R8745"/>
      <c r="S8745"/>
      <c r="T8745"/>
      <c r="U8745"/>
      <c r="X8745" s="60"/>
    </row>
    <row r="8746" spans="7:24" ht="15" customHeight="1">
      <c r="G8746"/>
      <c r="I8746"/>
      <c r="N8746"/>
      <c r="O8746" s="24"/>
      <c r="P8746"/>
      <c r="Q8746" s="24"/>
      <c r="R8746"/>
      <c r="S8746"/>
      <c r="T8746"/>
      <c r="U8746"/>
      <c r="X8746" s="60"/>
    </row>
    <row r="8747" spans="7:24" ht="15" customHeight="1">
      <c r="G8747"/>
      <c r="I8747"/>
      <c r="N8747"/>
      <c r="O8747" s="24"/>
      <c r="P8747"/>
      <c r="Q8747" s="24"/>
      <c r="R8747"/>
      <c r="S8747"/>
      <c r="T8747"/>
      <c r="U8747"/>
      <c r="X8747" s="60"/>
    </row>
    <row r="8748" spans="7:24" ht="15" customHeight="1">
      <c r="G8748"/>
      <c r="I8748"/>
      <c r="N8748"/>
      <c r="O8748" s="24"/>
      <c r="P8748"/>
      <c r="Q8748" s="24"/>
      <c r="R8748"/>
      <c r="S8748"/>
      <c r="T8748"/>
      <c r="U8748"/>
      <c r="X8748" s="60"/>
    </row>
    <row r="8749" spans="7:24" ht="15" customHeight="1">
      <c r="G8749"/>
      <c r="I8749"/>
      <c r="N8749"/>
      <c r="O8749" s="24"/>
      <c r="P8749"/>
      <c r="Q8749" s="24"/>
      <c r="R8749"/>
      <c r="S8749"/>
      <c r="T8749"/>
      <c r="U8749"/>
      <c r="X8749" s="60"/>
    </row>
    <row r="8750" spans="7:24" ht="15" customHeight="1">
      <c r="G8750"/>
      <c r="I8750"/>
      <c r="N8750"/>
      <c r="O8750" s="24"/>
      <c r="P8750"/>
      <c r="Q8750" s="24"/>
      <c r="R8750"/>
      <c r="S8750"/>
      <c r="T8750"/>
      <c r="U8750"/>
      <c r="X8750" s="60"/>
    </row>
    <row r="8751" spans="7:24" ht="15" customHeight="1">
      <c r="G8751"/>
      <c r="I8751"/>
      <c r="N8751"/>
      <c r="O8751" s="24"/>
      <c r="P8751"/>
      <c r="Q8751" s="24"/>
      <c r="R8751"/>
      <c r="S8751"/>
      <c r="T8751"/>
      <c r="U8751"/>
      <c r="X8751" s="60"/>
    </row>
    <row r="8752" spans="7:24" ht="15" customHeight="1">
      <c r="G8752"/>
      <c r="I8752"/>
      <c r="N8752"/>
      <c r="O8752" s="24"/>
      <c r="P8752"/>
      <c r="Q8752" s="24"/>
      <c r="R8752"/>
      <c r="S8752"/>
      <c r="T8752"/>
      <c r="U8752"/>
      <c r="X8752" s="60"/>
    </row>
    <row r="8753" spans="7:24" ht="15" customHeight="1">
      <c r="G8753"/>
      <c r="I8753"/>
      <c r="N8753"/>
      <c r="O8753" s="24"/>
      <c r="P8753"/>
      <c r="Q8753" s="24"/>
      <c r="R8753"/>
      <c r="S8753"/>
      <c r="T8753"/>
      <c r="U8753"/>
      <c r="X8753" s="60"/>
    </row>
    <row r="8754" spans="7:24" ht="15" customHeight="1">
      <c r="G8754"/>
      <c r="I8754"/>
      <c r="N8754"/>
      <c r="O8754" s="24"/>
      <c r="P8754"/>
      <c r="Q8754" s="24"/>
      <c r="R8754"/>
      <c r="S8754"/>
      <c r="T8754"/>
      <c r="U8754"/>
      <c r="X8754" s="60"/>
    </row>
    <row r="8755" spans="7:24" ht="15" customHeight="1">
      <c r="G8755"/>
      <c r="I8755"/>
      <c r="N8755"/>
      <c r="O8755" s="24"/>
      <c r="P8755"/>
      <c r="Q8755" s="24"/>
      <c r="R8755"/>
      <c r="S8755"/>
      <c r="T8755"/>
      <c r="U8755"/>
      <c r="X8755" s="60"/>
    </row>
    <row r="8756" spans="7:24" ht="15" customHeight="1">
      <c r="G8756"/>
      <c r="I8756"/>
      <c r="N8756"/>
      <c r="O8756" s="24"/>
      <c r="P8756"/>
      <c r="Q8756" s="24"/>
      <c r="R8756"/>
      <c r="S8756"/>
      <c r="T8756"/>
      <c r="U8756"/>
      <c r="X8756" s="60"/>
    </row>
    <row r="8757" spans="7:24" ht="15" customHeight="1">
      <c r="G8757"/>
      <c r="I8757"/>
      <c r="N8757"/>
      <c r="O8757" s="24"/>
      <c r="P8757"/>
      <c r="Q8757" s="24"/>
      <c r="R8757"/>
      <c r="S8757"/>
      <c r="T8757"/>
      <c r="U8757"/>
      <c r="X8757" s="60"/>
    </row>
    <row r="8758" spans="7:24" ht="15" customHeight="1">
      <c r="G8758"/>
      <c r="I8758"/>
      <c r="N8758"/>
      <c r="O8758" s="24"/>
      <c r="P8758"/>
      <c r="Q8758" s="24"/>
      <c r="R8758"/>
      <c r="S8758"/>
      <c r="T8758"/>
      <c r="U8758"/>
      <c r="X8758" s="60"/>
    </row>
    <row r="8759" spans="7:24" ht="15" customHeight="1">
      <c r="G8759"/>
      <c r="I8759"/>
      <c r="N8759"/>
      <c r="O8759" s="24"/>
      <c r="P8759"/>
      <c r="Q8759" s="24"/>
      <c r="R8759"/>
      <c r="S8759"/>
      <c r="T8759"/>
      <c r="U8759"/>
      <c r="X8759" s="60"/>
    </row>
    <row r="8760" spans="7:24" ht="15" customHeight="1">
      <c r="G8760"/>
      <c r="I8760"/>
      <c r="N8760"/>
      <c r="O8760" s="24"/>
      <c r="P8760"/>
      <c r="Q8760" s="24"/>
      <c r="R8760"/>
      <c r="S8760"/>
      <c r="T8760"/>
      <c r="U8760"/>
      <c r="X8760" s="60"/>
    </row>
    <row r="8761" spans="7:24" ht="15" customHeight="1">
      <c r="G8761"/>
      <c r="I8761"/>
      <c r="N8761"/>
      <c r="O8761" s="24"/>
      <c r="P8761"/>
      <c r="Q8761" s="24"/>
      <c r="R8761"/>
      <c r="S8761"/>
      <c r="T8761"/>
      <c r="U8761"/>
      <c r="X8761" s="60"/>
    </row>
    <row r="8762" spans="7:24" ht="15" customHeight="1">
      <c r="G8762"/>
      <c r="I8762"/>
      <c r="N8762"/>
      <c r="O8762" s="24"/>
      <c r="P8762"/>
      <c r="Q8762" s="24"/>
      <c r="R8762"/>
      <c r="S8762"/>
      <c r="T8762"/>
      <c r="U8762"/>
      <c r="X8762" s="60"/>
    </row>
    <row r="8763" spans="7:24" ht="15" customHeight="1">
      <c r="G8763"/>
      <c r="I8763"/>
      <c r="N8763"/>
      <c r="O8763" s="24"/>
      <c r="P8763"/>
      <c r="Q8763" s="24"/>
      <c r="R8763"/>
      <c r="S8763"/>
      <c r="T8763"/>
      <c r="U8763"/>
      <c r="X8763" s="60"/>
    </row>
    <row r="8764" spans="7:24" ht="15" customHeight="1">
      <c r="G8764"/>
      <c r="I8764"/>
      <c r="N8764"/>
      <c r="O8764" s="24"/>
      <c r="P8764"/>
      <c r="Q8764" s="24"/>
      <c r="R8764"/>
      <c r="S8764"/>
      <c r="T8764"/>
      <c r="U8764"/>
      <c r="X8764" s="60"/>
    </row>
    <row r="8765" spans="7:24" ht="15" customHeight="1">
      <c r="G8765"/>
      <c r="I8765"/>
      <c r="N8765"/>
      <c r="O8765" s="24"/>
      <c r="P8765"/>
      <c r="Q8765" s="24"/>
      <c r="R8765"/>
      <c r="S8765"/>
      <c r="T8765"/>
      <c r="U8765"/>
      <c r="X8765" s="60"/>
    </row>
    <row r="8766" spans="7:24" ht="15" customHeight="1">
      <c r="G8766"/>
      <c r="I8766"/>
      <c r="N8766"/>
      <c r="O8766" s="24"/>
      <c r="P8766"/>
      <c r="Q8766" s="24"/>
      <c r="R8766"/>
      <c r="S8766"/>
      <c r="T8766"/>
      <c r="U8766"/>
      <c r="X8766" s="60"/>
    </row>
    <row r="8767" spans="7:24" ht="15" customHeight="1">
      <c r="G8767"/>
      <c r="I8767"/>
      <c r="N8767"/>
      <c r="O8767" s="24"/>
      <c r="P8767"/>
      <c r="Q8767" s="24"/>
      <c r="R8767"/>
      <c r="S8767"/>
      <c r="T8767"/>
      <c r="U8767"/>
      <c r="X8767" s="60"/>
    </row>
    <row r="8768" spans="7:24" ht="15" customHeight="1">
      <c r="G8768"/>
      <c r="I8768"/>
      <c r="N8768"/>
      <c r="O8768" s="24"/>
      <c r="P8768"/>
      <c r="Q8768" s="24"/>
      <c r="R8768"/>
      <c r="S8768"/>
      <c r="T8768"/>
      <c r="U8768"/>
      <c r="X8768" s="60"/>
    </row>
    <row r="8769" spans="7:24" ht="15" customHeight="1">
      <c r="G8769"/>
      <c r="I8769"/>
      <c r="N8769"/>
      <c r="O8769" s="24"/>
      <c r="P8769"/>
      <c r="Q8769" s="24"/>
      <c r="R8769"/>
      <c r="S8769"/>
      <c r="T8769"/>
      <c r="U8769"/>
      <c r="X8769" s="60"/>
    </row>
    <row r="8770" spans="7:24" ht="15" customHeight="1">
      <c r="G8770"/>
      <c r="I8770"/>
      <c r="N8770"/>
      <c r="O8770" s="24"/>
      <c r="P8770"/>
      <c r="Q8770" s="24"/>
      <c r="R8770"/>
      <c r="S8770"/>
      <c r="T8770"/>
      <c r="U8770"/>
      <c r="X8770" s="60"/>
    </row>
    <row r="8771" spans="7:24" ht="15" customHeight="1">
      <c r="G8771"/>
      <c r="I8771"/>
      <c r="N8771"/>
      <c r="O8771" s="24"/>
      <c r="P8771"/>
      <c r="Q8771" s="24"/>
      <c r="R8771"/>
      <c r="S8771"/>
      <c r="T8771"/>
      <c r="U8771"/>
      <c r="X8771" s="60"/>
    </row>
    <row r="8772" spans="7:24" ht="15" customHeight="1">
      <c r="G8772"/>
      <c r="I8772"/>
      <c r="N8772"/>
      <c r="O8772" s="24"/>
      <c r="P8772"/>
      <c r="Q8772" s="24"/>
      <c r="R8772"/>
      <c r="S8772"/>
      <c r="T8772"/>
      <c r="U8772"/>
      <c r="X8772" s="60"/>
    </row>
    <row r="8773" spans="7:24" ht="15" customHeight="1">
      <c r="G8773"/>
      <c r="I8773"/>
      <c r="N8773"/>
      <c r="O8773" s="24"/>
      <c r="P8773"/>
      <c r="Q8773" s="24"/>
      <c r="R8773"/>
      <c r="S8773"/>
      <c r="T8773"/>
      <c r="U8773"/>
      <c r="X8773" s="60"/>
    </row>
    <row r="8774" spans="7:24" ht="15" customHeight="1">
      <c r="G8774"/>
      <c r="I8774"/>
      <c r="N8774"/>
      <c r="O8774" s="24"/>
      <c r="P8774"/>
      <c r="Q8774" s="24"/>
      <c r="R8774"/>
      <c r="S8774"/>
      <c r="T8774"/>
      <c r="U8774"/>
      <c r="X8774" s="60"/>
    </row>
    <row r="8775" spans="7:24" ht="15" customHeight="1">
      <c r="G8775"/>
      <c r="I8775"/>
      <c r="N8775"/>
      <c r="O8775" s="24"/>
      <c r="P8775"/>
      <c r="Q8775" s="24"/>
      <c r="R8775"/>
      <c r="S8775"/>
      <c r="T8775"/>
      <c r="U8775"/>
      <c r="X8775" s="60"/>
    </row>
    <row r="8776" spans="7:24" ht="15" customHeight="1">
      <c r="G8776"/>
      <c r="I8776"/>
      <c r="N8776"/>
      <c r="O8776" s="24"/>
      <c r="P8776"/>
      <c r="Q8776" s="24"/>
      <c r="R8776"/>
      <c r="S8776"/>
      <c r="T8776"/>
      <c r="U8776"/>
      <c r="X8776" s="60"/>
    </row>
    <row r="8777" spans="7:24" ht="15" customHeight="1">
      <c r="G8777"/>
      <c r="I8777"/>
      <c r="N8777"/>
      <c r="O8777" s="24"/>
      <c r="P8777"/>
      <c r="Q8777" s="24"/>
      <c r="R8777"/>
      <c r="S8777"/>
      <c r="T8777"/>
      <c r="U8777"/>
      <c r="X8777" s="60"/>
    </row>
    <row r="8778" spans="7:24" ht="15" customHeight="1">
      <c r="G8778"/>
      <c r="I8778"/>
      <c r="N8778"/>
      <c r="O8778" s="24"/>
      <c r="P8778"/>
      <c r="Q8778" s="24"/>
      <c r="R8778"/>
      <c r="S8778"/>
      <c r="T8778"/>
      <c r="U8778"/>
      <c r="X8778" s="60"/>
    </row>
    <row r="8779" spans="7:24" ht="15" customHeight="1">
      <c r="G8779"/>
      <c r="I8779"/>
      <c r="N8779"/>
      <c r="O8779" s="24"/>
      <c r="P8779"/>
      <c r="Q8779" s="24"/>
      <c r="R8779"/>
      <c r="S8779"/>
      <c r="T8779"/>
      <c r="U8779"/>
      <c r="X8779" s="60"/>
    </row>
    <row r="8780" spans="7:24" ht="15" customHeight="1">
      <c r="G8780"/>
      <c r="I8780"/>
      <c r="N8780"/>
      <c r="O8780" s="24"/>
      <c r="P8780"/>
      <c r="Q8780" s="24"/>
      <c r="R8780"/>
      <c r="S8780"/>
      <c r="T8780"/>
      <c r="U8780"/>
      <c r="X8780" s="60"/>
    </row>
    <row r="8781" spans="7:24" ht="15" customHeight="1">
      <c r="G8781"/>
      <c r="I8781"/>
      <c r="N8781"/>
      <c r="O8781" s="24"/>
      <c r="P8781"/>
      <c r="Q8781" s="24"/>
      <c r="R8781"/>
      <c r="S8781"/>
      <c r="T8781"/>
      <c r="U8781"/>
      <c r="X8781" s="60"/>
    </row>
    <row r="8782" spans="7:24" ht="15" customHeight="1">
      <c r="G8782"/>
      <c r="I8782"/>
      <c r="N8782"/>
      <c r="O8782" s="24"/>
      <c r="P8782"/>
      <c r="Q8782" s="24"/>
      <c r="R8782"/>
      <c r="S8782"/>
      <c r="T8782"/>
      <c r="U8782"/>
      <c r="X8782" s="60"/>
    </row>
    <row r="8783" spans="7:24" ht="15" customHeight="1">
      <c r="G8783"/>
      <c r="I8783"/>
      <c r="N8783"/>
      <c r="O8783" s="24"/>
      <c r="P8783"/>
      <c r="Q8783" s="24"/>
      <c r="R8783"/>
      <c r="S8783"/>
      <c r="T8783"/>
      <c r="U8783"/>
      <c r="X8783" s="60"/>
    </row>
    <row r="8784" spans="7:24" ht="15" customHeight="1">
      <c r="G8784"/>
      <c r="I8784"/>
      <c r="N8784"/>
      <c r="O8784" s="24"/>
      <c r="P8784"/>
      <c r="Q8784" s="24"/>
      <c r="R8784"/>
      <c r="S8784"/>
      <c r="T8784"/>
      <c r="U8784"/>
      <c r="X8784" s="60"/>
    </row>
    <row r="8785" spans="7:24" ht="15" customHeight="1">
      <c r="G8785"/>
      <c r="I8785"/>
      <c r="N8785"/>
      <c r="O8785" s="24"/>
      <c r="P8785"/>
      <c r="Q8785" s="24"/>
      <c r="R8785"/>
      <c r="S8785"/>
      <c r="T8785"/>
      <c r="U8785"/>
      <c r="X8785" s="60"/>
    </row>
    <row r="8786" spans="7:24" ht="15" customHeight="1">
      <c r="G8786"/>
      <c r="I8786"/>
      <c r="N8786"/>
      <c r="O8786" s="24"/>
      <c r="P8786"/>
      <c r="Q8786" s="24"/>
      <c r="R8786"/>
      <c r="S8786"/>
      <c r="T8786"/>
      <c r="U8786"/>
      <c r="X8786" s="60"/>
    </row>
    <row r="8787" spans="7:24" ht="15" customHeight="1">
      <c r="G8787"/>
      <c r="I8787"/>
      <c r="N8787"/>
      <c r="O8787" s="24"/>
      <c r="P8787"/>
      <c r="Q8787" s="24"/>
      <c r="R8787"/>
      <c r="S8787"/>
      <c r="T8787"/>
      <c r="U8787"/>
      <c r="X8787" s="60"/>
    </row>
    <row r="8788" spans="7:24" ht="15" customHeight="1">
      <c r="G8788"/>
      <c r="I8788"/>
      <c r="N8788"/>
      <c r="O8788" s="24"/>
      <c r="P8788"/>
      <c r="Q8788" s="24"/>
      <c r="R8788"/>
      <c r="S8788"/>
      <c r="T8788"/>
      <c r="U8788"/>
      <c r="X8788" s="60"/>
    </row>
    <row r="8789" spans="7:24" ht="15" customHeight="1">
      <c r="G8789"/>
      <c r="I8789"/>
      <c r="N8789"/>
      <c r="O8789" s="24"/>
      <c r="P8789"/>
      <c r="Q8789" s="24"/>
      <c r="R8789"/>
      <c r="S8789"/>
      <c r="T8789"/>
      <c r="U8789"/>
      <c r="X8789" s="60"/>
    </row>
    <row r="8790" spans="7:24" ht="15" customHeight="1">
      <c r="G8790"/>
      <c r="I8790"/>
      <c r="N8790"/>
      <c r="O8790" s="24"/>
      <c r="P8790"/>
      <c r="Q8790" s="24"/>
      <c r="R8790"/>
      <c r="S8790"/>
      <c r="T8790"/>
      <c r="U8790"/>
      <c r="X8790" s="60"/>
    </row>
    <row r="8791" spans="7:24" ht="15" customHeight="1">
      <c r="G8791"/>
      <c r="I8791"/>
      <c r="N8791"/>
      <c r="O8791" s="24"/>
      <c r="P8791"/>
      <c r="Q8791" s="24"/>
      <c r="R8791"/>
      <c r="S8791"/>
      <c r="T8791"/>
      <c r="U8791"/>
      <c r="X8791" s="60"/>
    </row>
    <row r="8792" spans="7:24" ht="15" customHeight="1">
      <c r="G8792"/>
      <c r="I8792"/>
      <c r="N8792"/>
      <c r="O8792" s="24"/>
      <c r="P8792"/>
      <c r="Q8792" s="24"/>
      <c r="R8792"/>
      <c r="S8792"/>
      <c r="T8792"/>
      <c r="U8792"/>
      <c r="X8792" s="60"/>
    </row>
    <row r="8793" spans="7:24" ht="15" customHeight="1">
      <c r="G8793"/>
      <c r="I8793"/>
      <c r="N8793"/>
      <c r="O8793" s="24"/>
      <c r="P8793"/>
      <c r="Q8793" s="24"/>
      <c r="R8793"/>
      <c r="S8793"/>
      <c r="T8793"/>
      <c r="U8793"/>
      <c r="X8793" s="60"/>
    </row>
    <row r="8794" spans="7:24" ht="15" customHeight="1">
      <c r="G8794"/>
      <c r="I8794"/>
      <c r="N8794"/>
      <c r="O8794" s="24"/>
      <c r="P8794"/>
      <c r="Q8794" s="24"/>
      <c r="R8794"/>
      <c r="S8794"/>
      <c r="T8794"/>
      <c r="U8794"/>
      <c r="X8794" s="60"/>
    </row>
    <row r="8795" spans="7:24" ht="15" customHeight="1">
      <c r="G8795"/>
      <c r="I8795"/>
      <c r="N8795"/>
      <c r="O8795" s="24"/>
      <c r="P8795"/>
      <c r="Q8795" s="24"/>
      <c r="R8795"/>
      <c r="S8795"/>
      <c r="T8795"/>
      <c r="U8795"/>
      <c r="X8795" s="60"/>
    </row>
    <row r="8796" spans="7:24" ht="15" customHeight="1">
      <c r="G8796"/>
      <c r="I8796"/>
      <c r="N8796"/>
      <c r="O8796" s="24"/>
      <c r="P8796"/>
      <c r="Q8796" s="24"/>
      <c r="R8796"/>
      <c r="S8796"/>
      <c r="T8796"/>
      <c r="U8796"/>
      <c r="X8796" s="60"/>
    </row>
    <row r="8797" spans="7:24" ht="15" customHeight="1">
      <c r="G8797"/>
      <c r="I8797"/>
      <c r="N8797"/>
      <c r="O8797" s="24"/>
      <c r="P8797"/>
      <c r="Q8797" s="24"/>
      <c r="R8797"/>
      <c r="S8797"/>
      <c r="T8797"/>
      <c r="U8797"/>
      <c r="X8797" s="60"/>
    </row>
    <row r="8798" spans="7:24" ht="15" customHeight="1">
      <c r="G8798"/>
      <c r="I8798"/>
      <c r="N8798"/>
      <c r="O8798" s="24"/>
      <c r="P8798"/>
      <c r="Q8798" s="24"/>
      <c r="R8798"/>
      <c r="S8798"/>
      <c r="T8798"/>
      <c r="U8798"/>
      <c r="X8798" s="60"/>
    </row>
    <row r="8799" spans="7:24" ht="15" customHeight="1">
      <c r="G8799"/>
      <c r="I8799"/>
      <c r="N8799"/>
      <c r="O8799" s="24"/>
      <c r="P8799"/>
      <c r="Q8799" s="24"/>
      <c r="R8799"/>
      <c r="S8799"/>
      <c r="T8799"/>
      <c r="U8799"/>
      <c r="X8799" s="60"/>
    </row>
    <row r="8800" spans="7:24" ht="15" customHeight="1">
      <c r="G8800"/>
      <c r="I8800"/>
      <c r="N8800"/>
      <c r="O8800" s="24"/>
      <c r="P8800"/>
      <c r="Q8800" s="24"/>
      <c r="R8800"/>
      <c r="S8800"/>
      <c r="T8800"/>
      <c r="U8800"/>
      <c r="X8800" s="60"/>
    </row>
    <row r="8801" spans="7:24" ht="15" customHeight="1">
      <c r="G8801"/>
      <c r="I8801"/>
      <c r="N8801"/>
      <c r="O8801" s="24"/>
      <c r="P8801"/>
      <c r="Q8801" s="24"/>
      <c r="R8801"/>
      <c r="S8801"/>
      <c r="T8801"/>
      <c r="U8801"/>
      <c r="X8801" s="60"/>
    </row>
    <row r="8802" spans="7:24" ht="15" customHeight="1">
      <c r="G8802"/>
      <c r="I8802"/>
      <c r="N8802"/>
      <c r="O8802" s="24"/>
      <c r="P8802"/>
      <c r="Q8802" s="24"/>
      <c r="R8802"/>
      <c r="S8802"/>
      <c r="T8802"/>
      <c r="U8802"/>
      <c r="X8802" s="60"/>
    </row>
    <row r="8803" spans="7:24" ht="15" customHeight="1">
      <c r="G8803"/>
      <c r="I8803"/>
      <c r="N8803"/>
      <c r="O8803" s="24"/>
      <c r="P8803"/>
      <c r="Q8803" s="24"/>
      <c r="R8803"/>
      <c r="S8803"/>
      <c r="T8803"/>
      <c r="U8803"/>
      <c r="X8803" s="60"/>
    </row>
    <row r="8804" spans="7:24" ht="15" customHeight="1">
      <c r="G8804"/>
      <c r="I8804"/>
      <c r="N8804"/>
      <c r="O8804" s="24"/>
      <c r="P8804"/>
      <c r="Q8804" s="24"/>
      <c r="R8804"/>
      <c r="S8804"/>
      <c r="T8804"/>
      <c r="U8804"/>
      <c r="X8804" s="60"/>
    </row>
    <row r="8805" spans="7:24" ht="15" customHeight="1">
      <c r="G8805"/>
      <c r="I8805"/>
      <c r="N8805"/>
      <c r="O8805" s="24"/>
      <c r="P8805"/>
      <c r="Q8805" s="24"/>
      <c r="R8805"/>
      <c r="S8805"/>
      <c r="T8805"/>
      <c r="U8805"/>
      <c r="X8805" s="60"/>
    </row>
    <row r="8806" spans="7:24" ht="15" customHeight="1">
      <c r="G8806"/>
      <c r="I8806"/>
      <c r="N8806"/>
      <c r="O8806" s="24"/>
      <c r="P8806"/>
      <c r="Q8806" s="24"/>
      <c r="R8806"/>
      <c r="S8806"/>
      <c r="T8806"/>
      <c r="U8806"/>
      <c r="X8806" s="60"/>
    </row>
    <row r="8807" spans="7:24" ht="15" customHeight="1">
      <c r="G8807"/>
      <c r="I8807"/>
      <c r="N8807"/>
      <c r="O8807" s="24"/>
      <c r="P8807"/>
      <c r="Q8807" s="24"/>
      <c r="R8807"/>
      <c r="S8807"/>
      <c r="T8807"/>
      <c r="U8807"/>
      <c r="X8807" s="60"/>
    </row>
    <row r="8808" spans="7:24" ht="15" customHeight="1">
      <c r="G8808"/>
      <c r="I8808"/>
      <c r="N8808"/>
      <c r="O8808" s="24"/>
      <c r="P8808"/>
      <c r="Q8808" s="24"/>
      <c r="R8808"/>
      <c r="S8808"/>
      <c r="T8808"/>
      <c r="U8808"/>
      <c r="X8808" s="60"/>
    </row>
    <row r="8809" spans="7:24" ht="15" customHeight="1">
      <c r="G8809"/>
      <c r="I8809"/>
      <c r="N8809"/>
      <c r="O8809" s="24"/>
      <c r="P8809"/>
      <c r="Q8809" s="24"/>
      <c r="R8809"/>
      <c r="S8809"/>
      <c r="T8809"/>
      <c r="U8809"/>
      <c r="X8809" s="60"/>
    </row>
    <row r="8810" spans="7:24" ht="15" customHeight="1">
      <c r="G8810"/>
      <c r="I8810"/>
      <c r="N8810"/>
      <c r="O8810" s="24"/>
      <c r="P8810"/>
      <c r="Q8810" s="24"/>
      <c r="R8810"/>
      <c r="S8810"/>
      <c r="T8810"/>
      <c r="U8810"/>
      <c r="X8810" s="60"/>
    </row>
    <row r="8811" spans="7:24" ht="15" customHeight="1">
      <c r="G8811"/>
      <c r="I8811"/>
      <c r="N8811"/>
      <c r="O8811" s="24"/>
      <c r="P8811"/>
      <c r="Q8811" s="24"/>
      <c r="R8811"/>
      <c r="S8811"/>
      <c r="T8811"/>
      <c r="U8811"/>
      <c r="X8811" s="60"/>
    </row>
    <row r="8812" spans="7:24" ht="15" customHeight="1">
      <c r="G8812"/>
      <c r="I8812"/>
      <c r="N8812"/>
      <c r="O8812" s="24"/>
      <c r="P8812"/>
      <c r="Q8812" s="24"/>
      <c r="R8812"/>
      <c r="S8812"/>
      <c r="T8812"/>
      <c r="U8812"/>
      <c r="X8812" s="60"/>
    </row>
    <row r="8813" spans="7:24" ht="15" customHeight="1">
      <c r="G8813"/>
      <c r="I8813"/>
      <c r="N8813"/>
      <c r="O8813" s="24"/>
      <c r="P8813"/>
      <c r="Q8813" s="24"/>
      <c r="R8813"/>
      <c r="S8813"/>
      <c r="T8813"/>
      <c r="U8813"/>
      <c r="X8813" s="60"/>
    </row>
    <row r="8814" spans="7:24" ht="15" customHeight="1">
      <c r="G8814"/>
      <c r="I8814"/>
      <c r="N8814"/>
      <c r="O8814" s="24"/>
      <c r="P8814"/>
      <c r="Q8814" s="24"/>
      <c r="R8814"/>
      <c r="S8814"/>
      <c r="T8814"/>
      <c r="U8814"/>
      <c r="X8814" s="60"/>
    </row>
    <row r="8815" spans="7:24" ht="15" customHeight="1">
      <c r="G8815"/>
      <c r="I8815"/>
      <c r="N8815"/>
      <c r="O8815" s="24"/>
      <c r="P8815"/>
      <c r="Q8815" s="24"/>
      <c r="R8815"/>
      <c r="S8815"/>
      <c r="T8815"/>
      <c r="U8815"/>
      <c r="X8815" s="60"/>
    </row>
    <row r="8816" spans="7:24" ht="15" customHeight="1">
      <c r="G8816"/>
      <c r="I8816"/>
      <c r="N8816"/>
      <c r="O8816" s="24"/>
      <c r="P8816"/>
      <c r="Q8816" s="24"/>
      <c r="R8816"/>
      <c r="S8816"/>
      <c r="T8816"/>
      <c r="U8816"/>
      <c r="X8816" s="60"/>
    </row>
    <row r="8817" spans="7:24" ht="15" customHeight="1">
      <c r="G8817"/>
      <c r="I8817"/>
      <c r="N8817"/>
      <c r="O8817" s="24"/>
      <c r="P8817"/>
      <c r="Q8817" s="24"/>
      <c r="R8817"/>
      <c r="S8817"/>
      <c r="T8817"/>
      <c r="U8817"/>
      <c r="X8817" s="60"/>
    </row>
    <row r="8818" spans="7:24" ht="15" customHeight="1">
      <c r="G8818"/>
      <c r="I8818"/>
      <c r="N8818"/>
      <c r="O8818" s="24"/>
      <c r="P8818"/>
      <c r="Q8818" s="24"/>
      <c r="R8818"/>
      <c r="S8818"/>
      <c r="T8818"/>
      <c r="U8818"/>
      <c r="X8818" s="60"/>
    </row>
    <row r="8819" spans="7:24" ht="15" customHeight="1">
      <c r="G8819"/>
      <c r="I8819"/>
      <c r="N8819"/>
      <c r="O8819" s="24"/>
      <c r="P8819"/>
      <c r="Q8819" s="24"/>
      <c r="R8819"/>
      <c r="S8819"/>
      <c r="T8819"/>
      <c r="U8819"/>
      <c r="X8819" s="60"/>
    </row>
    <row r="8820" spans="7:24" ht="15" customHeight="1">
      <c r="G8820"/>
      <c r="I8820"/>
      <c r="N8820"/>
      <c r="O8820" s="24"/>
      <c r="P8820"/>
      <c r="Q8820" s="24"/>
      <c r="R8820"/>
      <c r="S8820"/>
      <c r="T8820"/>
      <c r="U8820"/>
      <c r="X8820" s="60"/>
    </row>
    <row r="8821" spans="7:24" ht="15" customHeight="1">
      <c r="G8821"/>
      <c r="I8821"/>
      <c r="N8821"/>
      <c r="O8821" s="24"/>
      <c r="P8821"/>
      <c r="Q8821" s="24"/>
      <c r="R8821"/>
      <c r="S8821"/>
      <c r="T8821"/>
      <c r="U8821"/>
      <c r="X8821" s="60"/>
    </row>
    <row r="8822" spans="7:24" ht="15" customHeight="1">
      <c r="G8822"/>
      <c r="I8822"/>
      <c r="N8822"/>
      <c r="O8822" s="24"/>
      <c r="P8822"/>
      <c r="Q8822" s="24"/>
      <c r="R8822"/>
      <c r="S8822"/>
      <c r="T8822"/>
      <c r="U8822"/>
      <c r="X8822" s="60"/>
    </row>
    <row r="8823" spans="7:24" ht="15" customHeight="1">
      <c r="G8823"/>
      <c r="I8823"/>
      <c r="N8823"/>
      <c r="O8823" s="24"/>
      <c r="P8823"/>
      <c r="Q8823" s="24"/>
      <c r="R8823"/>
      <c r="S8823"/>
      <c r="T8823"/>
      <c r="U8823"/>
      <c r="X8823" s="60"/>
    </row>
    <row r="8824" spans="7:24" ht="15" customHeight="1">
      <c r="G8824"/>
      <c r="I8824"/>
      <c r="N8824"/>
      <c r="O8824" s="24"/>
      <c r="P8824"/>
      <c r="Q8824" s="24"/>
      <c r="R8824"/>
      <c r="S8824"/>
      <c r="T8824"/>
      <c r="U8824"/>
      <c r="X8824" s="60"/>
    </row>
    <row r="8825" spans="7:24" ht="15" customHeight="1">
      <c r="G8825"/>
      <c r="I8825"/>
      <c r="N8825"/>
      <c r="O8825" s="24"/>
      <c r="P8825"/>
      <c r="Q8825" s="24"/>
      <c r="R8825"/>
      <c r="S8825"/>
      <c r="T8825"/>
      <c r="U8825"/>
      <c r="X8825" s="60"/>
    </row>
    <row r="8826" spans="7:24" ht="15" customHeight="1">
      <c r="G8826"/>
      <c r="I8826"/>
      <c r="N8826"/>
      <c r="O8826" s="24"/>
      <c r="P8826"/>
      <c r="Q8826" s="24"/>
      <c r="R8826"/>
      <c r="S8826"/>
      <c r="T8826"/>
      <c r="U8826"/>
      <c r="X8826" s="60"/>
    </row>
    <row r="8827" spans="7:24" ht="15" customHeight="1">
      <c r="G8827"/>
      <c r="I8827"/>
      <c r="N8827"/>
      <c r="O8827" s="24"/>
      <c r="P8827"/>
      <c r="Q8827" s="24"/>
      <c r="R8827"/>
      <c r="S8827"/>
      <c r="T8827"/>
      <c r="U8827"/>
      <c r="X8827" s="60"/>
    </row>
    <row r="8828" spans="7:24" ht="15" customHeight="1">
      <c r="G8828"/>
      <c r="I8828"/>
      <c r="N8828"/>
      <c r="O8828" s="24"/>
      <c r="P8828"/>
      <c r="Q8828" s="24"/>
      <c r="R8828"/>
      <c r="S8828"/>
      <c r="T8828"/>
      <c r="U8828"/>
      <c r="X8828" s="60"/>
    </row>
    <row r="8829" spans="7:24" ht="15" customHeight="1">
      <c r="G8829"/>
      <c r="I8829"/>
      <c r="N8829"/>
      <c r="O8829" s="24"/>
      <c r="P8829"/>
      <c r="Q8829" s="24"/>
      <c r="R8829"/>
      <c r="S8829"/>
      <c r="T8829"/>
      <c r="U8829"/>
      <c r="X8829" s="60"/>
    </row>
    <row r="8830" spans="7:24" ht="15" customHeight="1">
      <c r="G8830"/>
      <c r="I8830"/>
      <c r="N8830"/>
      <c r="O8830" s="24"/>
      <c r="P8830"/>
      <c r="Q8830" s="24"/>
      <c r="R8830"/>
      <c r="S8830"/>
      <c r="T8830"/>
      <c r="U8830"/>
      <c r="X8830" s="60"/>
    </row>
    <row r="8831" spans="7:24" ht="15" customHeight="1">
      <c r="G8831"/>
      <c r="I8831"/>
      <c r="N8831"/>
      <c r="O8831" s="24"/>
      <c r="P8831"/>
      <c r="Q8831" s="24"/>
      <c r="R8831"/>
      <c r="S8831"/>
      <c r="T8831"/>
      <c r="U8831"/>
      <c r="X8831" s="60"/>
    </row>
    <row r="8832" spans="7:24" ht="15" customHeight="1">
      <c r="G8832"/>
      <c r="I8832"/>
      <c r="N8832"/>
      <c r="O8832" s="24"/>
      <c r="P8832"/>
      <c r="Q8832" s="24"/>
      <c r="R8832"/>
      <c r="S8832"/>
      <c r="T8832"/>
      <c r="U8832"/>
      <c r="X8832" s="60"/>
    </row>
    <row r="8833" spans="7:24" ht="15" customHeight="1">
      <c r="G8833"/>
      <c r="I8833"/>
      <c r="N8833"/>
      <c r="O8833" s="24"/>
      <c r="P8833"/>
      <c r="Q8833" s="24"/>
      <c r="R8833"/>
      <c r="S8833"/>
      <c r="T8833"/>
      <c r="U8833"/>
      <c r="X8833" s="60"/>
    </row>
    <row r="8834" spans="7:24" ht="15" customHeight="1">
      <c r="G8834"/>
      <c r="I8834"/>
      <c r="N8834"/>
      <c r="O8834" s="24"/>
      <c r="P8834"/>
      <c r="Q8834" s="24"/>
      <c r="R8834"/>
      <c r="S8834"/>
      <c r="T8834"/>
      <c r="U8834"/>
      <c r="X8834" s="60"/>
    </row>
    <row r="8835" spans="7:24" ht="15" customHeight="1">
      <c r="G8835"/>
      <c r="I8835"/>
      <c r="N8835"/>
      <c r="O8835" s="24"/>
      <c r="P8835"/>
      <c r="Q8835" s="24"/>
      <c r="R8835"/>
      <c r="S8835"/>
      <c r="T8835"/>
      <c r="U8835"/>
      <c r="X8835" s="60"/>
    </row>
    <row r="8836" spans="7:24" ht="15" customHeight="1">
      <c r="G8836"/>
      <c r="I8836"/>
      <c r="N8836"/>
      <c r="O8836" s="24"/>
      <c r="P8836"/>
      <c r="Q8836" s="24"/>
      <c r="R8836"/>
      <c r="S8836"/>
      <c r="T8836"/>
      <c r="U8836"/>
      <c r="X8836" s="60"/>
    </row>
    <row r="8837" spans="7:24" ht="15" customHeight="1">
      <c r="G8837"/>
      <c r="I8837"/>
      <c r="N8837"/>
      <c r="O8837" s="24"/>
      <c r="P8837"/>
      <c r="Q8837" s="24"/>
      <c r="R8837"/>
      <c r="S8837"/>
      <c r="T8837"/>
      <c r="U8837"/>
      <c r="X8837" s="60"/>
    </row>
    <row r="8838" spans="7:24" ht="15" customHeight="1">
      <c r="G8838"/>
      <c r="I8838"/>
      <c r="N8838"/>
      <c r="O8838" s="24"/>
      <c r="P8838"/>
      <c r="Q8838" s="24"/>
      <c r="R8838"/>
      <c r="S8838"/>
      <c r="T8838"/>
      <c r="U8838"/>
      <c r="X8838" s="60"/>
    </row>
    <row r="8839" spans="7:24" ht="15" customHeight="1">
      <c r="G8839"/>
      <c r="I8839"/>
      <c r="N8839"/>
      <c r="O8839" s="24"/>
      <c r="P8839"/>
      <c r="Q8839" s="24"/>
      <c r="R8839"/>
      <c r="S8839"/>
      <c r="T8839"/>
      <c r="U8839"/>
      <c r="X8839" s="60"/>
    </row>
    <row r="8840" spans="7:24" ht="15" customHeight="1">
      <c r="G8840"/>
      <c r="I8840"/>
      <c r="N8840"/>
      <c r="O8840" s="24"/>
      <c r="P8840"/>
      <c r="Q8840" s="24"/>
      <c r="R8840"/>
      <c r="S8840"/>
      <c r="T8840"/>
      <c r="U8840"/>
      <c r="X8840" s="60"/>
    </row>
    <row r="8841" spans="7:24" ht="15" customHeight="1">
      <c r="G8841"/>
      <c r="I8841"/>
      <c r="N8841"/>
      <c r="O8841" s="24"/>
      <c r="P8841"/>
      <c r="Q8841" s="24"/>
      <c r="R8841"/>
      <c r="S8841"/>
      <c r="T8841"/>
      <c r="U8841"/>
      <c r="X8841" s="60"/>
    </row>
    <row r="8842" spans="7:24" ht="15" customHeight="1">
      <c r="G8842"/>
      <c r="I8842"/>
      <c r="N8842"/>
      <c r="O8842" s="24"/>
      <c r="P8842"/>
      <c r="Q8842" s="24"/>
      <c r="R8842"/>
      <c r="S8842"/>
      <c r="T8842"/>
      <c r="U8842"/>
      <c r="X8842" s="60"/>
    </row>
    <row r="8843" spans="7:24" ht="15" customHeight="1">
      <c r="G8843"/>
      <c r="I8843"/>
      <c r="N8843"/>
      <c r="O8843" s="24"/>
      <c r="P8843"/>
      <c r="Q8843" s="24"/>
      <c r="R8843"/>
      <c r="S8843"/>
      <c r="T8843"/>
      <c r="U8843"/>
      <c r="X8843" s="60"/>
    </row>
    <row r="8844" spans="7:24" ht="15" customHeight="1">
      <c r="G8844"/>
      <c r="I8844"/>
      <c r="N8844"/>
      <c r="O8844" s="24"/>
      <c r="P8844"/>
      <c r="Q8844" s="24"/>
      <c r="R8844"/>
      <c r="S8844"/>
      <c r="T8844"/>
      <c r="U8844"/>
      <c r="X8844" s="60"/>
    </row>
    <row r="8845" spans="7:24" ht="15" customHeight="1">
      <c r="G8845"/>
      <c r="I8845"/>
      <c r="N8845"/>
      <c r="O8845" s="24"/>
      <c r="P8845"/>
      <c r="Q8845" s="24"/>
      <c r="R8845"/>
      <c r="S8845"/>
      <c r="T8845"/>
      <c r="U8845"/>
      <c r="X8845" s="60"/>
    </row>
    <row r="8846" spans="7:24" ht="15" customHeight="1">
      <c r="G8846"/>
      <c r="I8846"/>
      <c r="N8846"/>
      <c r="O8846" s="24"/>
      <c r="P8846"/>
      <c r="Q8846" s="24"/>
      <c r="R8846"/>
      <c r="S8846"/>
      <c r="T8846"/>
      <c r="U8846"/>
      <c r="X8846" s="60"/>
    </row>
    <row r="8847" spans="7:24" ht="15" customHeight="1">
      <c r="G8847"/>
      <c r="I8847"/>
      <c r="N8847"/>
      <c r="O8847" s="24"/>
      <c r="P8847"/>
      <c r="Q8847" s="24"/>
      <c r="R8847"/>
      <c r="S8847"/>
      <c r="T8847"/>
      <c r="U8847"/>
      <c r="X8847" s="60"/>
    </row>
    <row r="8848" spans="7:24" ht="15" customHeight="1">
      <c r="G8848"/>
      <c r="I8848"/>
      <c r="N8848"/>
      <c r="O8848" s="24"/>
      <c r="P8848"/>
      <c r="Q8848" s="24"/>
      <c r="R8848"/>
      <c r="S8848"/>
      <c r="T8848"/>
      <c r="U8848"/>
      <c r="X8848" s="60"/>
    </row>
    <row r="8849" spans="7:24" ht="15" customHeight="1">
      <c r="G8849"/>
      <c r="I8849"/>
      <c r="N8849"/>
      <c r="O8849" s="24"/>
      <c r="P8849"/>
      <c r="Q8849" s="24"/>
      <c r="R8849"/>
      <c r="S8849"/>
      <c r="T8849"/>
      <c r="U8849"/>
      <c r="X8849" s="60"/>
    </row>
    <row r="8850" spans="7:24" ht="15" customHeight="1">
      <c r="G8850"/>
      <c r="I8850"/>
      <c r="N8850"/>
      <c r="O8850" s="24"/>
      <c r="P8850"/>
      <c r="Q8850" s="24"/>
      <c r="R8850"/>
      <c r="S8850"/>
      <c r="T8850"/>
      <c r="U8850"/>
      <c r="X8850" s="60"/>
    </row>
    <row r="8851" spans="7:24" ht="15" customHeight="1">
      <c r="G8851"/>
      <c r="I8851"/>
      <c r="N8851"/>
      <c r="O8851" s="24"/>
      <c r="P8851"/>
      <c r="Q8851" s="24"/>
      <c r="R8851"/>
      <c r="S8851"/>
      <c r="T8851"/>
      <c r="U8851"/>
      <c r="X8851" s="60"/>
    </row>
    <row r="8852" spans="7:24" ht="15" customHeight="1">
      <c r="G8852"/>
      <c r="I8852"/>
      <c r="N8852"/>
      <c r="O8852" s="24"/>
      <c r="P8852"/>
      <c r="Q8852" s="24"/>
      <c r="R8852"/>
      <c r="S8852"/>
      <c r="T8852"/>
      <c r="U8852"/>
      <c r="X8852" s="60"/>
    </row>
    <row r="8853" spans="7:24" ht="15" customHeight="1">
      <c r="G8853"/>
      <c r="I8853"/>
      <c r="N8853"/>
      <c r="O8853" s="24"/>
      <c r="P8853"/>
      <c r="Q8853" s="24"/>
      <c r="R8853"/>
      <c r="S8853"/>
      <c r="T8853"/>
      <c r="U8853"/>
      <c r="X8853" s="60"/>
    </row>
    <row r="8854" spans="7:24" ht="15" customHeight="1">
      <c r="G8854"/>
      <c r="I8854"/>
      <c r="N8854"/>
      <c r="O8854" s="24"/>
      <c r="P8854"/>
      <c r="Q8854" s="24"/>
      <c r="R8854"/>
      <c r="S8854"/>
      <c r="T8854"/>
      <c r="U8854"/>
      <c r="X8854" s="60"/>
    </row>
    <row r="8855" spans="7:24" ht="15" customHeight="1">
      <c r="G8855"/>
      <c r="I8855"/>
      <c r="N8855"/>
      <c r="O8855" s="24"/>
      <c r="P8855"/>
      <c r="Q8855" s="24"/>
      <c r="R8855"/>
      <c r="S8855"/>
      <c r="T8855"/>
      <c r="U8855"/>
      <c r="X8855" s="60"/>
    </row>
    <row r="8856" spans="7:24" ht="15" customHeight="1">
      <c r="G8856"/>
      <c r="I8856"/>
      <c r="N8856"/>
      <c r="O8856" s="24"/>
      <c r="P8856"/>
      <c r="Q8856" s="24"/>
      <c r="R8856"/>
      <c r="S8856"/>
      <c r="T8856"/>
      <c r="U8856"/>
      <c r="X8856" s="60"/>
    </row>
    <row r="8857" spans="7:24" ht="15" customHeight="1">
      <c r="G8857"/>
      <c r="I8857"/>
      <c r="N8857"/>
      <c r="O8857" s="24"/>
      <c r="P8857"/>
      <c r="Q8857" s="24"/>
      <c r="R8857"/>
      <c r="S8857"/>
      <c r="T8857"/>
      <c r="U8857"/>
      <c r="X8857" s="60"/>
    </row>
    <row r="8858" spans="7:24" ht="15" customHeight="1">
      <c r="G8858"/>
      <c r="I8858"/>
      <c r="N8858"/>
      <c r="O8858" s="24"/>
      <c r="P8858"/>
      <c r="Q8858" s="24"/>
      <c r="R8858"/>
      <c r="S8858"/>
      <c r="T8858"/>
      <c r="U8858"/>
      <c r="X8858" s="60"/>
    </row>
    <row r="8859" spans="7:24" ht="15" customHeight="1">
      <c r="G8859"/>
      <c r="I8859"/>
      <c r="N8859"/>
      <c r="O8859" s="24"/>
      <c r="P8859"/>
      <c r="Q8859" s="24"/>
      <c r="R8859"/>
      <c r="S8859"/>
      <c r="T8859"/>
      <c r="U8859"/>
      <c r="X8859" s="60"/>
    </row>
    <row r="8860" spans="7:24" ht="15" customHeight="1">
      <c r="G8860"/>
      <c r="I8860"/>
      <c r="N8860"/>
      <c r="O8860" s="24"/>
      <c r="P8860"/>
      <c r="Q8860" s="24"/>
      <c r="R8860"/>
      <c r="S8860"/>
      <c r="T8860"/>
      <c r="U8860"/>
      <c r="X8860" s="60"/>
    </row>
    <row r="8861" spans="7:24" ht="15" customHeight="1">
      <c r="G8861"/>
      <c r="I8861"/>
      <c r="N8861"/>
      <c r="O8861" s="24"/>
      <c r="P8861"/>
      <c r="Q8861" s="24"/>
      <c r="R8861"/>
      <c r="S8861"/>
      <c r="T8861"/>
      <c r="U8861"/>
      <c r="X8861" s="60"/>
    </row>
    <row r="8862" spans="7:24" ht="15" customHeight="1">
      <c r="G8862"/>
      <c r="I8862"/>
      <c r="N8862"/>
      <c r="O8862" s="24"/>
      <c r="P8862"/>
      <c r="Q8862" s="24"/>
      <c r="R8862"/>
      <c r="S8862"/>
      <c r="T8862"/>
      <c r="U8862"/>
      <c r="X8862" s="60"/>
    </row>
    <row r="8863" spans="7:24" ht="15" customHeight="1">
      <c r="G8863"/>
      <c r="I8863"/>
      <c r="N8863"/>
      <c r="O8863" s="24"/>
      <c r="P8863"/>
      <c r="Q8863" s="24"/>
      <c r="R8863"/>
      <c r="S8863"/>
      <c r="T8863"/>
      <c r="U8863"/>
      <c r="X8863" s="60"/>
    </row>
    <row r="8864" spans="7:24" ht="15" customHeight="1">
      <c r="G8864"/>
      <c r="I8864"/>
      <c r="N8864"/>
      <c r="O8864" s="24"/>
      <c r="P8864"/>
      <c r="Q8864" s="24"/>
      <c r="R8864"/>
      <c r="S8864"/>
      <c r="T8864"/>
      <c r="U8864"/>
      <c r="X8864" s="60"/>
    </row>
    <row r="8865" spans="7:24" ht="15" customHeight="1">
      <c r="G8865"/>
      <c r="I8865"/>
      <c r="N8865"/>
      <c r="O8865" s="24"/>
      <c r="P8865"/>
      <c r="Q8865" s="24"/>
      <c r="R8865"/>
      <c r="S8865"/>
      <c r="T8865"/>
      <c r="U8865"/>
      <c r="X8865" s="60"/>
    </row>
    <row r="8866" spans="7:24" ht="15" customHeight="1">
      <c r="G8866"/>
      <c r="I8866"/>
      <c r="N8866"/>
      <c r="O8866" s="24"/>
      <c r="P8866"/>
      <c r="Q8866" s="24"/>
      <c r="R8866"/>
      <c r="S8866"/>
      <c r="T8866"/>
      <c r="U8866"/>
      <c r="X8866" s="60"/>
    </row>
    <row r="8867" spans="7:24" ht="15" customHeight="1">
      <c r="G8867"/>
      <c r="I8867"/>
      <c r="N8867"/>
      <c r="O8867" s="24"/>
      <c r="P8867"/>
      <c r="Q8867" s="24"/>
      <c r="R8867"/>
      <c r="S8867"/>
      <c r="T8867"/>
      <c r="U8867"/>
      <c r="X8867" s="60"/>
    </row>
    <row r="8868" spans="7:24" ht="15" customHeight="1">
      <c r="G8868"/>
      <c r="I8868"/>
      <c r="N8868"/>
      <c r="O8868" s="24"/>
      <c r="P8868"/>
      <c r="Q8868" s="24"/>
      <c r="R8868"/>
      <c r="S8868"/>
      <c r="T8868"/>
      <c r="U8868"/>
      <c r="X8868" s="60"/>
    </row>
    <row r="8869" spans="7:24" ht="15" customHeight="1">
      <c r="G8869"/>
      <c r="I8869"/>
      <c r="N8869"/>
      <c r="O8869" s="24"/>
      <c r="P8869"/>
      <c r="Q8869" s="24"/>
      <c r="R8869"/>
      <c r="S8869"/>
      <c r="T8869"/>
      <c r="U8869"/>
      <c r="X8869" s="60"/>
    </row>
    <row r="8870" spans="7:24" ht="15" customHeight="1">
      <c r="G8870"/>
      <c r="I8870"/>
      <c r="N8870"/>
      <c r="O8870" s="24"/>
      <c r="P8870"/>
      <c r="Q8870" s="24"/>
      <c r="R8870"/>
      <c r="S8870"/>
      <c r="T8870"/>
      <c r="U8870"/>
      <c r="X8870" s="60"/>
    </row>
    <row r="8871" spans="7:24" ht="15" customHeight="1">
      <c r="G8871"/>
      <c r="I8871"/>
      <c r="N8871"/>
      <c r="O8871" s="24"/>
      <c r="P8871"/>
      <c r="Q8871" s="24"/>
      <c r="R8871"/>
      <c r="S8871"/>
      <c r="T8871"/>
      <c r="U8871"/>
      <c r="X8871" s="60"/>
    </row>
    <row r="8872" spans="7:24" ht="15" customHeight="1">
      <c r="G8872"/>
      <c r="I8872"/>
      <c r="N8872"/>
      <c r="O8872" s="24"/>
      <c r="P8872"/>
      <c r="Q8872" s="24"/>
      <c r="R8872"/>
      <c r="S8872"/>
      <c r="T8872"/>
      <c r="U8872"/>
      <c r="X8872" s="60"/>
    </row>
    <row r="8873" spans="7:24" ht="15" customHeight="1">
      <c r="G8873"/>
      <c r="I8873"/>
      <c r="N8873"/>
      <c r="O8873" s="24"/>
      <c r="P8873"/>
      <c r="Q8873" s="24"/>
      <c r="R8873"/>
      <c r="S8873"/>
      <c r="T8873"/>
      <c r="U8873"/>
      <c r="X8873" s="60"/>
    </row>
    <row r="8874" spans="7:24" ht="15" customHeight="1">
      <c r="G8874"/>
      <c r="I8874"/>
      <c r="N8874"/>
      <c r="O8874" s="24"/>
      <c r="P8874"/>
      <c r="Q8874" s="24"/>
      <c r="R8874"/>
      <c r="S8874"/>
      <c r="T8874"/>
      <c r="U8874"/>
      <c r="X8874" s="60"/>
    </row>
    <row r="8875" spans="7:24" ht="15" customHeight="1">
      <c r="G8875"/>
      <c r="I8875"/>
      <c r="N8875"/>
      <c r="O8875" s="24"/>
      <c r="P8875"/>
      <c r="Q8875" s="24"/>
      <c r="R8875"/>
      <c r="S8875"/>
      <c r="T8875"/>
      <c r="U8875"/>
      <c r="X8875" s="60"/>
    </row>
    <row r="8876" spans="7:24" ht="15" customHeight="1">
      <c r="G8876"/>
      <c r="I8876"/>
      <c r="N8876"/>
      <c r="O8876" s="24"/>
      <c r="P8876"/>
      <c r="Q8876" s="24"/>
      <c r="R8876"/>
      <c r="S8876"/>
      <c r="T8876"/>
      <c r="U8876"/>
      <c r="X8876" s="60"/>
    </row>
    <row r="8877" spans="7:24" ht="15" customHeight="1">
      <c r="G8877"/>
      <c r="I8877"/>
      <c r="N8877"/>
      <c r="O8877" s="24"/>
      <c r="P8877"/>
      <c r="Q8877" s="24"/>
      <c r="R8877"/>
      <c r="S8877"/>
      <c r="T8877"/>
      <c r="U8877"/>
      <c r="X8877" s="60"/>
    </row>
    <row r="8878" spans="7:24" ht="15" customHeight="1">
      <c r="G8878"/>
      <c r="I8878"/>
      <c r="N8878"/>
      <c r="O8878" s="24"/>
      <c r="P8878"/>
      <c r="Q8878" s="24"/>
      <c r="R8878"/>
      <c r="S8878"/>
      <c r="T8878"/>
      <c r="U8878"/>
      <c r="X8878" s="60"/>
    </row>
    <row r="8879" spans="7:24" ht="15" customHeight="1">
      <c r="G8879"/>
      <c r="I8879"/>
      <c r="N8879"/>
      <c r="O8879" s="24"/>
      <c r="P8879"/>
      <c r="Q8879" s="24"/>
      <c r="R8879"/>
      <c r="S8879"/>
      <c r="T8879"/>
      <c r="U8879"/>
      <c r="X8879" s="60"/>
    </row>
    <row r="8880" spans="7:24" ht="15" customHeight="1">
      <c r="G8880"/>
      <c r="I8880"/>
      <c r="N8880"/>
      <c r="O8880" s="24"/>
      <c r="P8880"/>
      <c r="Q8880" s="24"/>
      <c r="R8880"/>
      <c r="S8880"/>
      <c r="T8880"/>
      <c r="U8880"/>
      <c r="X8880" s="60"/>
    </row>
    <row r="8881" spans="7:24" ht="15" customHeight="1">
      <c r="G8881"/>
      <c r="I8881"/>
      <c r="N8881"/>
      <c r="O8881" s="24"/>
      <c r="P8881"/>
      <c r="Q8881" s="24"/>
      <c r="R8881"/>
      <c r="S8881"/>
      <c r="T8881"/>
      <c r="U8881"/>
      <c r="X8881" s="60"/>
    </row>
    <row r="8882" spans="7:24" ht="15" customHeight="1">
      <c r="G8882"/>
      <c r="I8882"/>
      <c r="N8882"/>
      <c r="O8882" s="24"/>
      <c r="P8882"/>
      <c r="Q8882" s="24"/>
      <c r="R8882"/>
      <c r="S8882"/>
      <c r="T8882"/>
      <c r="U8882"/>
      <c r="X8882" s="60"/>
    </row>
    <row r="8883" spans="7:24" ht="15" customHeight="1">
      <c r="G8883"/>
      <c r="I8883"/>
      <c r="N8883"/>
      <c r="O8883" s="24"/>
      <c r="P8883"/>
      <c r="Q8883" s="24"/>
      <c r="R8883"/>
      <c r="S8883"/>
      <c r="T8883"/>
      <c r="U8883"/>
      <c r="X8883" s="60"/>
    </row>
    <row r="8884" spans="7:24" ht="15" customHeight="1">
      <c r="G8884"/>
      <c r="I8884"/>
      <c r="N8884"/>
      <c r="O8884" s="24"/>
      <c r="P8884"/>
      <c r="Q8884" s="24"/>
      <c r="R8884"/>
      <c r="S8884"/>
      <c r="T8884"/>
      <c r="U8884"/>
      <c r="X8884" s="60"/>
    </row>
    <row r="8885" spans="7:24" ht="15" customHeight="1">
      <c r="G8885"/>
      <c r="I8885"/>
      <c r="N8885"/>
      <c r="O8885" s="24"/>
      <c r="P8885"/>
      <c r="Q8885" s="24"/>
      <c r="R8885"/>
      <c r="S8885"/>
      <c r="T8885"/>
      <c r="U8885"/>
      <c r="X8885" s="60"/>
    </row>
    <row r="8886" spans="7:24" ht="15" customHeight="1">
      <c r="G8886"/>
      <c r="I8886"/>
      <c r="N8886"/>
      <c r="O8886" s="24"/>
      <c r="P8886"/>
      <c r="Q8886" s="24"/>
      <c r="R8886"/>
      <c r="S8886"/>
      <c r="T8886"/>
      <c r="U8886"/>
      <c r="X8886" s="60"/>
    </row>
    <row r="8887" spans="7:24" ht="15" customHeight="1">
      <c r="G8887"/>
      <c r="I8887"/>
      <c r="N8887"/>
      <c r="O8887" s="24"/>
      <c r="P8887"/>
      <c r="Q8887" s="24"/>
      <c r="R8887"/>
      <c r="S8887"/>
      <c r="T8887"/>
      <c r="U8887"/>
      <c r="X8887" s="60"/>
    </row>
    <row r="8888" spans="7:24" ht="15" customHeight="1">
      <c r="G8888"/>
      <c r="I8888"/>
      <c r="N8888"/>
      <c r="O8888" s="24"/>
      <c r="P8888"/>
      <c r="Q8888" s="24"/>
      <c r="R8888"/>
      <c r="S8888"/>
      <c r="T8888"/>
      <c r="U8888"/>
      <c r="X8888" s="60"/>
    </row>
    <row r="8889" spans="7:24" ht="15" customHeight="1">
      <c r="G8889"/>
      <c r="I8889"/>
      <c r="N8889"/>
      <c r="O8889" s="24"/>
      <c r="P8889"/>
      <c r="Q8889" s="24"/>
      <c r="R8889"/>
      <c r="S8889"/>
      <c r="T8889"/>
      <c r="U8889"/>
      <c r="X8889" s="60"/>
    </row>
    <row r="8890" spans="7:24" ht="15" customHeight="1">
      <c r="G8890"/>
      <c r="I8890"/>
      <c r="N8890"/>
      <c r="O8890" s="24"/>
      <c r="P8890"/>
      <c r="Q8890" s="24"/>
      <c r="R8890"/>
      <c r="S8890"/>
      <c r="T8890"/>
      <c r="U8890"/>
      <c r="X8890" s="60"/>
    </row>
    <row r="8891" spans="7:24" ht="15" customHeight="1">
      <c r="G8891"/>
      <c r="I8891"/>
      <c r="N8891"/>
      <c r="O8891" s="24"/>
      <c r="P8891"/>
      <c r="Q8891" s="24"/>
      <c r="R8891"/>
      <c r="S8891"/>
      <c r="T8891"/>
      <c r="U8891"/>
      <c r="X8891" s="60"/>
    </row>
    <row r="8892" spans="7:24" ht="15" customHeight="1">
      <c r="G8892"/>
      <c r="I8892"/>
      <c r="N8892"/>
      <c r="O8892" s="24"/>
      <c r="P8892"/>
      <c r="Q8892" s="24"/>
      <c r="R8892"/>
      <c r="S8892"/>
      <c r="T8892"/>
      <c r="U8892"/>
      <c r="X8892" s="60"/>
    </row>
    <row r="8893" spans="7:24" ht="15" customHeight="1">
      <c r="G8893"/>
      <c r="I8893"/>
      <c r="N8893"/>
      <c r="O8893" s="24"/>
      <c r="P8893"/>
      <c r="Q8893" s="24"/>
      <c r="R8893"/>
      <c r="S8893"/>
      <c r="T8893"/>
      <c r="U8893"/>
      <c r="X8893" s="60"/>
    </row>
    <row r="8894" spans="7:24" ht="15" customHeight="1">
      <c r="G8894"/>
      <c r="I8894"/>
      <c r="N8894"/>
      <c r="O8894" s="24"/>
      <c r="P8894"/>
      <c r="Q8894" s="24"/>
      <c r="R8894"/>
      <c r="S8894"/>
      <c r="T8894"/>
      <c r="U8894"/>
      <c r="X8894" s="60"/>
    </row>
    <row r="8895" spans="7:24" ht="15" customHeight="1">
      <c r="G8895"/>
      <c r="I8895"/>
      <c r="N8895"/>
      <c r="O8895" s="24"/>
      <c r="P8895"/>
      <c r="Q8895" s="24"/>
      <c r="R8895"/>
      <c r="S8895"/>
      <c r="T8895"/>
      <c r="U8895"/>
      <c r="X8895" s="60"/>
    </row>
    <row r="8896" spans="7:24" ht="15" customHeight="1">
      <c r="G8896"/>
      <c r="I8896"/>
      <c r="N8896"/>
      <c r="O8896" s="24"/>
      <c r="P8896"/>
      <c r="Q8896" s="24"/>
      <c r="R8896"/>
      <c r="S8896"/>
      <c r="T8896"/>
      <c r="U8896"/>
      <c r="X8896" s="60"/>
    </row>
    <row r="8897" spans="7:24" ht="15" customHeight="1">
      <c r="G8897"/>
      <c r="I8897"/>
      <c r="N8897"/>
      <c r="O8897" s="24"/>
      <c r="P8897"/>
      <c r="Q8897" s="24"/>
      <c r="R8897"/>
      <c r="S8897"/>
      <c r="T8897"/>
      <c r="U8897"/>
      <c r="X8897" s="60"/>
    </row>
    <row r="8898" spans="7:24" ht="15" customHeight="1">
      <c r="G8898"/>
      <c r="I8898"/>
      <c r="N8898"/>
      <c r="O8898" s="24"/>
      <c r="P8898"/>
      <c r="Q8898" s="24"/>
      <c r="R8898"/>
      <c r="S8898"/>
      <c r="T8898"/>
      <c r="U8898"/>
      <c r="X8898" s="60"/>
    </row>
    <row r="8899" spans="7:24" ht="15" customHeight="1">
      <c r="G8899"/>
      <c r="I8899"/>
      <c r="N8899"/>
      <c r="O8899" s="24"/>
      <c r="P8899"/>
      <c r="Q8899" s="24"/>
      <c r="R8899"/>
      <c r="S8899"/>
      <c r="T8899"/>
      <c r="U8899"/>
      <c r="X8899" s="60"/>
    </row>
    <row r="8900" spans="7:24" ht="15" customHeight="1">
      <c r="G8900"/>
      <c r="I8900"/>
      <c r="N8900"/>
      <c r="O8900" s="24"/>
      <c r="P8900"/>
      <c r="Q8900" s="24"/>
      <c r="R8900"/>
      <c r="S8900"/>
      <c r="T8900"/>
      <c r="U8900"/>
      <c r="X8900" s="60"/>
    </row>
    <row r="8901" spans="7:24" ht="15" customHeight="1">
      <c r="G8901"/>
      <c r="I8901"/>
      <c r="N8901"/>
      <c r="O8901" s="24"/>
      <c r="P8901"/>
      <c r="Q8901" s="24"/>
      <c r="R8901"/>
      <c r="S8901"/>
      <c r="T8901"/>
      <c r="U8901"/>
      <c r="X8901" s="60"/>
    </row>
    <row r="8902" spans="7:24" ht="15" customHeight="1">
      <c r="G8902"/>
      <c r="I8902"/>
      <c r="N8902"/>
      <c r="O8902" s="24"/>
      <c r="P8902"/>
      <c r="Q8902" s="24"/>
      <c r="R8902"/>
      <c r="S8902"/>
      <c r="T8902"/>
      <c r="U8902"/>
      <c r="X8902" s="60"/>
    </row>
    <row r="8903" spans="7:24" ht="15" customHeight="1">
      <c r="G8903"/>
      <c r="I8903"/>
      <c r="N8903"/>
      <c r="O8903" s="24"/>
      <c r="P8903"/>
      <c r="Q8903" s="24"/>
      <c r="R8903"/>
      <c r="S8903"/>
      <c r="T8903"/>
      <c r="U8903"/>
      <c r="X8903" s="60"/>
    </row>
    <row r="8904" spans="7:24" ht="15" customHeight="1">
      <c r="G8904"/>
      <c r="I8904"/>
      <c r="N8904"/>
      <c r="O8904" s="24"/>
      <c r="P8904"/>
      <c r="Q8904" s="24"/>
      <c r="R8904"/>
      <c r="S8904"/>
      <c r="T8904"/>
      <c r="U8904"/>
      <c r="X8904" s="60"/>
    </row>
    <row r="8905" spans="7:24" ht="15" customHeight="1">
      <c r="G8905"/>
      <c r="I8905"/>
      <c r="N8905"/>
      <c r="O8905" s="24"/>
      <c r="P8905"/>
      <c r="Q8905" s="24"/>
      <c r="R8905"/>
      <c r="S8905"/>
      <c r="T8905"/>
      <c r="U8905"/>
      <c r="X8905" s="60"/>
    </row>
    <row r="8906" spans="7:24" ht="15" customHeight="1">
      <c r="G8906"/>
      <c r="I8906"/>
      <c r="N8906"/>
      <c r="O8906" s="24"/>
      <c r="P8906"/>
      <c r="Q8906" s="24"/>
      <c r="R8906"/>
      <c r="S8906"/>
      <c r="T8906"/>
      <c r="U8906"/>
      <c r="X8906" s="60"/>
    </row>
    <row r="8907" spans="7:24" ht="15" customHeight="1">
      <c r="G8907"/>
      <c r="I8907"/>
      <c r="N8907"/>
      <c r="O8907" s="24"/>
      <c r="P8907"/>
      <c r="Q8907" s="24"/>
      <c r="R8907"/>
      <c r="S8907"/>
      <c r="T8907"/>
      <c r="U8907"/>
      <c r="X8907" s="60"/>
    </row>
    <row r="8908" spans="7:24" ht="15" customHeight="1">
      <c r="G8908"/>
      <c r="I8908"/>
      <c r="N8908"/>
      <c r="O8908" s="24"/>
      <c r="P8908"/>
      <c r="Q8908" s="24"/>
      <c r="R8908"/>
      <c r="S8908"/>
      <c r="T8908"/>
      <c r="U8908"/>
      <c r="X8908" s="60"/>
    </row>
    <row r="8909" spans="7:24" ht="15" customHeight="1">
      <c r="G8909"/>
      <c r="I8909"/>
      <c r="N8909"/>
      <c r="O8909" s="24"/>
      <c r="P8909"/>
      <c r="Q8909" s="24"/>
      <c r="R8909"/>
      <c r="S8909"/>
      <c r="T8909"/>
      <c r="U8909"/>
      <c r="X8909" s="60"/>
    </row>
    <row r="8910" spans="7:24" ht="15" customHeight="1">
      <c r="G8910"/>
      <c r="I8910"/>
      <c r="N8910"/>
      <c r="O8910" s="24"/>
      <c r="P8910"/>
      <c r="Q8910" s="24"/>
      <c r="R8910"/>
      <c r="S8910"/>
      <c r="T8910"/>
      <c r="U8910"/>
      <c r="X8910" s="60"/>
    </row>
    <row r="8911" spans="7:24" ht="15" customHeight="1">
      <c r="G8911"/>
      <c r="I8911"/>
      <c r="N8911"/>
      <c r="O8911" s="24"/>
      <c r="P8911"/>
      <c r="Q8911" s="24"/>
      <c r="R8911"/>
      <c r="S8911"/>
      <c r="T8911"/>
      <c r="U8911"/>
      <c r="X8911" s="60"/>
    </row>
    <row r="8912" spans="7:24" ht="15" customHeight="1">
      <c r="G8912"/>
      <c r="I8912"/>
      <c r="N8912"/>
      <c r="O8912" s="24"/>
      <c r="P8912"/>
      <c r="Q8912" s="24"/>
      <c r="R8912"/>
      <c r="S8912"/>
      <c r="T8912"/>
      <c r="U8912"/>
      <c r="X8912" s="60"/>
    </row>
    <row r="8913" spans="7:24" ht="15" customHeight="1">
      <c r="G8913"/>
      <c r="I8913"/>
      <c r="N8913"/>
      <c r="O8913" s="24"/>
      <c r="P8913"/>
      <c r="Q8913" s="24"/>
      <c r="R8913"/>
      <c r="S8913"/>
      <c r="T8913"/>
      <c r="U8913"/>
      <c r="X8913" s="60"/>
    </row>
    <row r="8914" spans="7:24" ht="15" customHeight="1">
      <c r="G8914"/>
      <c r="I8914"/>
      <c r="N8914"/>
      <c r="O8914" s="24"/>
      <c r="P8914"/>
      <c r="Q8914" s="24"/>
      <c r="R8914"/>
      <c r="S8914"/>
      <c r="T8914"/>
      <c r="U8914"/>
      <c r="X8914" s="60"/>
    </row>
    <row r="8915" spans="7:24" ht="15" customHeight="1">
      <c r="G8915"/>
      <c r="I8915"/>
      <c r="N8915"/>
      <c r="O8915" s="24"/>
      <c r="P8915"/>
      <c r="Q8915" s="24"/>
      <c r="R8915"/>
      <c r="S8915"/>
      <c r="T8915"/>
      <c r="U8915"/>
      <c r="X8915" s="60"/>
    </row>
    <row r="8916" spans="7:24" ht="15" customHeight="1">
      <c r="G8916"/>
      <c r="I8916"/>
      <c r="N8916"/>
      <c r="O8916" s="24"/>
      <c r="P8916"/>
      <c r="Q8916" s="24"/>
      <c r="R8916"/>
      <c r="S8916"/>
      <c r="T8916"/>
      <c r="U8916"/>
      <c r="X8916" s="60"/>
    </row>
    <row r="8917" spans="7:24" ht="15" customHeight="1">
      <c r="G8917"/>
      <c r="I8917"/>
      <c r="N8917"/>
      <c r="O8917" s="24"/>
      <c r="P8917"/>
      <c r="Q8917" s="24"/>
      <c r="R8917"/>
      <c r="S8917"/>
      <c r="T8917"/>
      <c r="U8917"/>
      <c r="X8917" s="60"/>
    </row>
    <row r="8918" spans="7:24" ht="15" customHeight="1">
      <c r="G8918"/>
      <c r="I8918"/>
      <c r="N8918"/>
      <c r="O8918" s="24"/>
      <c r="P8918"/>
      <c r="Q8918" s="24"/>
      <c r="R8918"/>
      <c r="S8918"/>
      <c r="T8918"/>
      <c r="U8918"/>
      <c r="X8918" s="60"/>
    </row>
    <row r="8919" spans="7:24" ht="15" customHeight="1">
      <c r="G8919"/>
      <c r="I8919"/>
      <c r="N8919"/>
      <c r="O8919" s="24"/>
      <c r="P8919"/>
      <c r="Q8919" s="24"/>
      <c r="R8919"/>
      <c r="S8919"/>
      <c r="T8919"/>
      <c r="U8919"/>
      <c r="X8919" s="60"/>
    </row>
    <row r="8920" spans="7:24" ht="15" customHeight="1">
      <c r="G8920"/>
      <c r="I8920"/>
      <c r="N8920"/>
      <c r="O8920" s="24"/>
      <c r="P8920"/>
      <c r="Q8920" s="24"/>
      <c r="R8920"/>
      <c r="S8920"/>
      <c r="T8920"/>
      <c r="U8920"/>
      <c r="X8920" s="60"/>
    </row>
    <row r="8921" spans="7:24" ht="15" customHeight="1">
      <c r="G8921"/>
      <c r="I8921"/>
      <c r="N8921"/>
      <c r="O8921" s="24"/>
      <c r="P8921"/>
      <c r="Q8921" s="24"/>
      <c r="R8921"/>
      <c r="S8921"/>
      <c r="T8921"/>
      <c r="U8921"/>
      <c r="X8921" s="60"/>
    </row>
    <row r="8922" spans="7:24" ht="15" customHeight="1">
      <c r="G8922"/>
      <c r="I8922"/>
      <c r="N8922"/>
      <c r="O8922" s="24"/>
      <c r="P8922"/>
      <c r="Q8922" s="24"/>
      <c r="R8922"/>
      <c r="S8922"/>
      <c r="T8922"/>
      <c r="U8922"/>
      <c r="X8922" s="60"/>
    </row>
    <row r="8923" spans="7:24" ht="15" customHeight="1">
      <c r="G8923"/>
      <c r="I8923"/>
      <c r="N8923"/>
      <c r="O8923" s="24"/>
      <c r="P8923"/>
      <c r="Q8923" s="24"/>
      <c r="R8923"/>
      <c r="S8923"/>
      <c r="T8923"/>
      <c r="U8923"/>
      <c r="X8923" s="60"/>
    </row>
    <row r="8924" spans="7:24" ht="15" customHeight="1">
      <c r="G8924"/>
      <c r="I8924"/>
      <c r="N8924"/>
      <c r="O8924" s="24"/>
      <c r="P8924"/>
      <c r="Q8924" s="24"/>
      <c r="R8924"/>
      <c r="S8924"/>
      <c r="T8924"/>
      <c r="U8924"/>
      <c r="X8924" s="60"/>
    </row>
    <row r="8925" spans="7:24" ht="15" customHeight="1">
      <c r="G8925"/>
      <c r="I8925"/>
      <c r="N8925"/>
      <c r="O8925" s="24"/>
      <c r="P8925"/>
      <c r="Q8925" s="24"/>
      <c r="R8925"/>
      <c r="S8925"/>
      <c r="T8925"/>
      <c r="U8925"/>
      <c r="X8925" s="60"/>
    </row>
    <row r="8926" spans="7:24" ht="15" customHeight="1">
      <c r="G8926"/>
      <c r="I8926"/>
      <c r="N8926"/>
      <c r="O8926" s="24"/>
      <c r="P8926"/>
      <c r="Q8926" s="24"/>
      <c r="R8926"/>
      <c r="S8926"/>
      <c r="T8926"/>
      <c r="U8926"/>
      <c r="X8926" s="60"/>
    </row>
    <row r="8927" spans="7:24" ht="15" customHeight="1">
      <c r="G8927"/>
      <c r="I8927"/>
      <c r="N8927"/>
      <c r="O8927" s="24"/>
      <c r="P8927"/>
      <c r="Q8927" s="24"/>
      <c r="R8927"/>
      <c r="S8927"/>
      <c r="T8927"/>
      <c r="U8927"/>
      <c r="X8927" s="60"/>
    </row>
    <row r="8928" spans="7:24" ht="15" customHeight="1">
      <c r="G8928"/>
      <c r="I8928"/>
      <c r="N8928"/>
      <c r="O8928" s="24"/>
      <c r="P8928"/>
      <c r="Q8928" s="24"/>
      <c r="R8928"/>
      <c r="S8928"/>
      <c r="T8928"/>
      <c r="U8928"/>
      <c r="X8928" s="60"/>
    </row>
    <row r="8929" spans="7:24" ht="15" customHeight="1">
      <c r="G8929"/>
      <c r="I8929"/>
      <c r="N8929"/>
      <c r="O8929" s="24"/>
      <c r="P8929"/>
      <c r="Q8929" s="24"/>
      <c r="R8929"/>
      <c r="S8929"/>
      <c r="T8929"/>
      <c r="U8929"/>
      <c r="X8929" s="60"/>
    </row>
    <row r="8930" spans="7:24" ht="15" customHeight="1">
      <c r="G8930"/>
      <c r="I8930"/>
      <c r="N8930"/>
      <c r="O8930" s="24"/>
      <c r="P8930"/>
      <c r="Q8930" s="24"/>
      <c r="R8930"/>
      <c r="S8930"/>
      <c r="T8930"/>
      <c r="U8930"/>
      <c r="X8930" s="60"/>
    </row>
    <row r="8931" spans="7:24" ht="15" customHeight="1">
      <c r="G8931"/>
      <c r="I8931"/>
      <c r="N8931"/>
      <c r="O8931" s="24"/>
      <c r="P8931"/>
      <c r="Q8931" s="24"/>
      <c r="R8931"/>
      <c r="S8931"/>
      <c r="T8931"/>
      <c r="U8931"/>
      <c r="X8931" s="60"/>
    </row>
    <row r="8932" spans="7:24" ht="15" customHeight="1">
      <c r="G8932"/>
      <c r="I8932"/>
      <c r="N8932"/>
      <c r="O8932" s="24"/>
      <c r="P8932"/>
      <c r="Q8932" s="24"/>
      <c r="R8932"/>
      <c r="S8932"/>
      <c r="T8932"/>
      <c r="U8932"/>
      <c r="X8932" s="60"/>
    </row>
    <row r="8933" spans="7:24" ht="15" customHeight="1">
      <c r="G8933"/>
      <c r="I8933"/>
      <c r="N8933"/>
      <c r="O8933" s="24"/>
      <c r="P8933"/>
      <c r="Q8933" s="24"/>
      <c r="R8933"/>
      <c r="S8933"/>
      <c r="T8933"/>
      <c r="U8933"/>
      <c r="X8933" s="60"/>
    </row>
    <row r="8934" spans="7:24" ht="15" customHeight="1">
      <c r="G8934"/>
      <c r="I8934"/>
      <c r="N8934"/>
      <c r="O8934" s="24"/>
      <c r="P8934"/>
      <c r="Q8934" s="24"/>
      <c r="R8934"/>
      <c r="S8934"/>
      <c r="T8934"/>
      <c r="U8934"/>
      <c r="X8934" s="60"/>
    </row>
    <row r="8935" spans="7:24" ht="15" customHeight="1">
      <c r="G8935"/>
      <c r="I8935"/>
      <c r="N8935"/>
      <c r="O8935" s="24"/>
      <c r="P8935"/>
      <c r="Q8935" s="24"/>
      <c r="R8935"/>
      <c r="S8935"/>
      <c r="T8935"/>
      <c r="U8935"/>
      <c r="X8935" s="60"/>
    </row>
    <row r="8936" spans="7:24" ht="15" customHeight="1">
      <c r="G8936"/>
      <c r="I8936"/>
      <c r="N8936"/>
      <c r="O8936" s="24"/>
      <c r="P8936"/>
      <c r="Q8936" s="24"/>
      <c r="R8936"/>
      <c r="S8936"/>
      <c r="T8936"/>
      <c r="U8936"/>
      <c r="X8936" s="60"/>
    </row>
    <row r="8937" spans="7:24" ht="15" customHeight="1">
      <c r="G8937"/>
      <c r="I8937"/>
      <c r="N8937"/>
      <c r="O8937" s="24"/>
      <c r="P8937"/>
      <c r="Q8937" s="24"/>
      <c r="R8937"/>
      <c r="S8937"/>
      <c r="T8937"/>
      <c r="U8937"/>
      <c r="X8937" s="60"/>
    </row>
    <row r="8938" spans="7:24" ht="15" customHeight="1">
      <c r="G8938"/>
      <c r="I8938"/>
      <c r="N8938"/>
      <c r="O8938" s="24"/>
      <c r="P8938"/>
      <c r="Q8938" s="24"/>
      <c r="R8938"/>
      <c r="S8938"/>
      <c r="T8938"/>
      <c r="U8938"/>
      <c r="X8938" s="60"/>
    </row>
    <row r="8939" spans="7:24" ht="15" customHeight="1">
      <c r="G8939"/>
      <c r="I8939"/>
      <c r="N8939"/>
      <c r="O8939" s="24"/>
      <c r="P8939"/>
      <c r="Q8939" s="24"/>
      <c r="R8939"/>
      <c r="S8939"/>
      <c r="T8939"/>
      <c r="U8939"/>
      <c r="X8939" s="60"/>
    </row>
    <row r="8940" spans="7:24" ht="15" customHeight="1">
      <c r="G8940"/>
      <c r="I8940"/>
      <c r="N8940"/>
      <c r="O8940" s="24"/>
      <c r="P8940"/>
      <c r="Q8940" s="24"/>
      <c r="R8940"/>
      <c r="S8940"/>
      <c r="T8940"/>
      <c r="U8940"/>
      <c r="X8940" s="60"/>
    </row>
    <row r="8941" spans="7:24" ht="15" customHeight="1">
      <c r="G8941"/>
      <c r="I8941"/>
      <c r="N8941"/>
      <c r="O8941" s="24"/>
      <c r="P8941"/>
      <c r="Q8941" s="24"/>
      <c r="R8941"/>
      <c r="S8941"/>
      <c r="T8941"/>
      <c r="U8941"/>
      <c r="X8941" s="60"/>
    </row>
    <row r="8942" spans="7:24" ht="15" customHeight="1">
      <c r="G8942"/>
      <c r="I8942"/>
      <c r="N8942"/>
      <c r="O8942" s="24"/>
      <c r="P8942"/>
      <c r="Q8942" s="24"/>
      <c r="R8942"/>
      <c r="S8942"/>
      <c r="T8942"/>
      <c r="U8942"/>
      <c r="X8942" s="60"/>
    </row>
    <row r="8943" spans="7:24" ht="15" customHeight="1">
      <c r="G8943"/>
      <c r="I8943"/>
      <c r="N8943"/>
      <c r="O8943" s="24"/>
      <c r="P8943"/>
      <c r="Q8943" s="24"/>
      <c r="R8943"/>
      <c r="S8943"/>
      <c r="T8943"/>
      <c r="U8943"/>
      <c r="X8943" s="60"/>
    </row>
    <row r="8944" spans="7:24" ht="15" customHeight="1">
      <c r="G8944"/>
      <c r="I8944"/>
      <c r="N8944"/>
      <c r="O8944" s="24"/>
      <c r="P8944"/>
      <c r="Q8944" s="24"/>
      <c r="R8944"/>
      <c r="S8944"/>
      <c r="T8944"/>
      <c r="U8944"/>
      <c r="X8944" s="60"/>
    </row>
    <row r="8945" spans="7:24" ht="15" customHeight="1">
      <c r="G8945"/>
      <c r="I8945"/>
      <c r="N8945"/>
      <c r="O8945" s="24"/>
      <c r="P8945"/>
      <c r="Q8945" s="24"/>
      <c r="R8945"/>
      <c r="S8945"/>
      <c r="T8945"/>
      <c r="U8945"/>
      <c r="X8945" s="60"/>
    </row>
    <row r="8946" spans="7:24" ht="15" customHeight="1">
      <c r="G8946"/>
      <c r="I8946"/>
      <c r="N8946"/>
      <c r="O8946" s="24"/>
      <c r="P8946"/>
      <c r="Q8946" s="24"/>
      <c r="R8946"/>
      <c r="S8946"/>
      <c r="T8946"/>
      <c r="U8946"/>
      <c r="X8946" s="60"/>
    </row>
    <row r="8947" spans="7:24" ht="15" customHeight="1">
      <c r="G8947"/>
      <c r="I8947"/>
      <c r="N8947"/>
      <c r="O8947" s="24"/>
      <c r="P8947"/>
      <c r="Q8947" s="24"/>
      <c r="R8947"/>
      <c r="S8947"/>
      <c r="T8947"/>
      <c r="U8947"/>
      <c r="X8947" s="60"/>
    </row>
    <row r="8948" spans="7:24" ht="15" customHeight="1">
      <c r="G8948"/>
      <c r="I8948"/>
      <c r="N8948"/>
      <c r="O8948" s="24"/>
      <c r="P8948"/>
      <c r="Q8948" s="24"/>
      <c r="R8948"/>
      <c r="S8948"/>
      <c r="T8948"/>
      <c r="U8948"/>
      <c r="X8948" s="60"/>
    </row>
    <row r="8949" spans="7:24" ht="15" customHeight="1">
      <c r="G8949"/>
      <c r="I8949"/>
      <c r="N8949"/>
      <c r="O8949" s="24"/>
      <c r="P8949"/>
      <c r="Q8949" s="24"/>
      <c r="R8949"/>
      <c r="S8949"/>
      <c r="T8949"/>
      <c r="U8949"/>
      <c r="X8949" s="60"/>
    </row>
    <row r="8950" spans="7:24" ht="15" customHeight="1">
      <c r="G8950"/>
      <c r="I8950"/>
      <c r="N8950"/>
      <c r="O8950" s="24"/>
      <c r="P8950"/>
      <c r="Q8950" s="24"/>
      <c r="R8950"/>
      <c r="S8950"/>
      <c r="T8950"/>
      <c r="U8950"/>
      <c r="X8950" s="60"/>
    </row>
    <row r="8951" spans="7:24" ht="15" customHeight="1">
      <c r="G8951"/>
      <c r="I8951"/>
      <c r="N8951"/>
      <c r="O8951" s="24"/>
      <c r="P8951"/>
      <c r="Q8951" s="24"/>
      <c r="R8951"/>
      <c r="S8951"/>
      <c r="T8951"/>
      <c r="U8951"/>
      <c r="X8951" s="60"/>
    </row>
    <row r="8952" spans="7:24" ht="15" customHeight="1">
      <c r="G8952"/>
      <c r="I8952"/>
      <c r="N8952"/>
      <c r="O8952" s="24"/>
      <c r="P8952"/>
      <c r="Q8952" s="24"/>
      <c r="R8952"/>
      <c r="S8952"/>
      <c r="T8952"/>
      <c r="U8952"/>
      <c r="X8952" s="60"/>
    </row>
    <row r="8953" spans="7:24" ht="15" customHeight="1">
      <c r="G8953"/>
      <c r="I8953"/>
      <c r="N8953"/>
      <c r="O8953" s="24"/>
      <c r="P8953"/>
      <c r="Q8953" s="24"/>
      <c r="R8953"/>
      <c r="S8953"/>
      <c r="T8953"/>
      <c r="U8953"/>
      <c r="X8953" s="60"/>
    </row>
    <row r="8954" spans="7:24" ht="15" customHeight="1">
      <c r="G8954"/>
      <c r="I8954"/>
      <c r="N8954"/>
      <c r="O8954" s="24"/>
      <c r="P8954"/>
      <c r="Q8954" s="24"/>
      <c r="R8954"/>
      <c r="S8954"/>
      <c r="T8954"/>
      <c r="U8954"/>
      <c r="X8954" s="60"/>
    </row>
    <row r="8955" spans="7:24" ht="15" customHeight="1">
      <c r="G8955"/>
      <c r="I8955"/>
      <c r="N8955"/>
      <c r="O8955" s="24"/>
      <c r="P8955"/>
      <c r="Q8955" s="24"/>
      <c r="R8955"/>
      <c r="S8955"/>
      <c r="T8955"/>
      <c r="U8955"/>
      <c r="X8955" s="60"/>
    </row>
    <row r="8956" spans="7:24" ht="15" customHeight="1">
      <c r="G8956"/>
      <c r="I8956"/>
      <c r="N8956"/>
      <c r="O8956" s="24"/>
      <c r="P8956"/>
      <c r="Q8956" s="24"/>
      <c r="R8956"/>
      <c r="S8956"/>
      <c r="T8956"/>
      <c r="U8956"/>
      <c r="X8956" s="60"/>
    </row>
    <row r="8957" spans="7:24" ht="15" customHeight="1">
      <c r="G8957"/>
      <c r="I8957"/>
      <c r="N8957"/>
      <c r="O8957" s="24"/>
      <c r="P8957"/>
      <c r="Q8957" s="24"/>
      <c r="R8957"/>
      <c r="S8957"/>
      <c r="T8957"/>
      <c r="U8957"/>
      <c r="X8957" s="60"/>
    </row>
    <row r="8958" spans="7:24" ht="15" customHeight="1">
      <c r="G8958"/>
      <c r="I8958"/>
      <c r="N8958"/>
      <c r="O8958" s="24"/>
      <c r="P8958"/>
      <c r="Q8958" s="24"/>
      <c r="R8958"/>
      <c r="S8958"/>
      <c r="T8958"/>
      <c r="U8958"/>
      <c r="X8958" s="60"/>
    </row>
    <row r="8959" spans="7:24" ht="15" customHeight="1">
      <c r="G8959"/>
      <c r="I8959"/>
      <c r="N8959"/>
      <c r="O8959" s="24"/>
      <c r="P8959"/>
      <c r="Q8959" s="24"/>
      <c r="R8959"/>
      <c r="S8959"/>
      <c r="T8959"/>
      <c r="U8959"/>
      <c r="X8959" s="60"/>
    </row>
    <row r="8960" spans="7:24" ht="15" customHeight="1">
      <c r="G8960"/>
      <c r="I8960"/>
      <c r="N8960"/>
      <c r="O8960" s="24"/>
      <c r="P8960"/>
      <c r="Q8960" s="24"/>
      <c r="R8960"/>
      <c r="S8960"/>
      <c r="T8960"/>
      <c r="U8960"/>
      <c r="X8960" s="60"/>
    </row>
    <row r="8961" spans="7:24" ht="15" customHeight="1">
      <c r="G8961"/>
      <c r="I8961"/>
      <c r="N8961"/>
      <c r="O8961" s="24"/>
      <c r="P8961"/>
      <c r="Q8961" s="24"/>
      <c r="R8961"/>
      <c r="S8961"/>
      <c r="T8961"/>
      <c r="U8961"/>
      <c r="X8961" s="60"/>
    </row>
    <row r="8962" spans="7:24" ht="15" customHeight="1">
      <c r="G8962"/>
      <c r="I8962"/>
      <c r="N8962"/>
      <c r="O8962" s="24"/>
      <c r="P8962"/>
      <c r="Q8962" s="24"/>
      <c r="R8962"/>
      <c r="S8962"/>
      <c r="T8962"/>
      <c r="U8962"/>
      <c r="X8962" s="60"/>
    </row>
    <row r="8963" spans="7:24" ht="15" customHeight="1">
      <c r="G8963"/>
      <c r="I8963"/>
      <c r="N8963"/>
      <c r="O8963" s="24"/>
      <c r="P8963"/>
      <c r="Q8963" s="24"/>
      <c r="R8963"/>
      <c r="S8963"/>
      <c r="T8963"/>
      <c r="U8963"/>
      <c r="X8963" s="60"/>
    </row>
    <row r="8964" spans="7:24" ht="15" customHeight="1">
      <c r="G8964"/>
      <c r="I8964"/>
      <c r="N8964"/>
      <c r="O8964" s="24"/>
      <c r="P8964"/>
      <c r="Q8964" s="24"/>
      <c r="R8964"/>
      <c r="S8964"/>
      <c r="T8964"/>
      <c r="U8964"/>
      <c r="X8964" s="60"/>
    </row>
    <row r="8965" spans="7:24" ht="15" customHeight="1">
      <c r="G8965"/>
      <c r="I8965"/>
      <c r="N8965"/>
      <c r="O8965" s="24"/>
      <c r="P8965"/>
      <c r="Q8965" s="24"/>
      <c r="R8965"/>
      <c r="S8965"/>
      <c r="T8965"/>
      <c r="U8965"/>
      <c r="X8965" s="60"/>
    </row>
    <row r="8966" spans="7:24" ht="15" customHeight="1">
      <c r="G8966"/>
      <c r="I8966"/>
      <c r="N8966"/>
      <c r="O8966" s="24"/>
      <c r="P8966"/>
      <c r="Q8966" s="24"/>
      <c r="R8966"/>
      <c r="S8966"/>
      <c r="T8966"/>
      <c r="U8966"/>
      <c r="X8966" s="60"/>
    </row>
    <row r="8967" spans="7:24" ht="15" customHeight="1">
      <c r="G8967"/>
      <c r="I8967"/>
      <c r="N8967"/>
      <c r="O8967" s="24"/>
      <c r="P8967"/>
      <c r="Q8967" s="24"/>
      <c r="R8967"/>
      <c r="S8967"/>
      <c r="T8967"/>
      <c r="U8967"/>
      <c r="X8967" s="60"/>
    </row>
    <row r="8968" spans="7:24" ht="15" customHeight="1">
      <c r="G8968"/>
      <c r="I8968"/>
      <c r="N8968"/>
      <c r="O8968" s="24"/>
      <c r="P8968"/>
      <c r="Q8968" s="24"/>
      <c r="R8968"/>
      <c r="S8968"/>
      <c r="T8968"/>
      <c r="U8968"/>
      <c r="X8968" s="60"/>
    </row>
    <row r="8969" spans="7:24" ht="15" customHeight="1">
      <c r="G8969"/>
      <c r="I8969"/>
      <c r="N8969"/>
      <c r="O8969" s="24"/>
      <c r="P8969"/>
      <c r="Q8969" s="24"/>
      <c r="R8969"/>
      <c r="S8969"/>
      <c r="T8969"/>
      <c r="U8969"/>
      <c r="X8969" s="60"/>
    </row>
    <row r="8970" spans="7:24" ht="15" customHeight="1">
      <c r="G8970"/>
      <c r="I8970"/>
      <c r="N8970"/>
      <c r="O8970" s="24"/>
      <c r="P8970"/>
      <c r="Q8970" s="24"/>
      <c r="R8970"/>
      <c r="S8970"/>
      <c r="T8970"/>
      <c r="U8970"/>
      <c r="X8970" s="60"/>
    </row>
    <row r="8971" spans="7:24" ht="15" customHeight="1">
      <c r="G8971"/>
      <c r="I8971"/>
      <c r="N8971"/>
      <c r="O8971" s="24"/>
      <c r="P8971"/>
      <c r="Q8971" s="24"/>
      <c r="R8971"/>
      <c r="S8971"/>
      <c r="T8971"/>
      <c r="U8971"/>
      <c r="X8971" s="60"/>
    </row>
    <row r="8972" spans="7:24" ht="15" customHeight="1">
      <c r="G8972"/>
      <c r="I8972"/>
      <c r="N8972"/>
      <c r="O8972" s="24"/>
      <c r="P8972"/>
      <c r="Q8972" s="24"/>
      <c r="R8972"/>
      <c r="S8972"/>
      <c r="T8972"/>
      <c r="U8972"/>
      <c r="X8972" s="60"/>
    </row>
    <row r="8973" spans="7:24" ht="15" customHeight="1">
      <c r="G8973"/>
      <c r="I8973"/>
      <c r="N8973"/>
      <c r="O8973" s="24"/>
      <c r="P8973"/>
      <c r="Q8973" s="24"/>
      <c r="R8973"/>
      <c r="S8973"/>
      <c r="T8973"/>
      <c r="U8973"/>
      <c r="X8973" s="60"/>
    </row>
    <row r="8974" spans="7:24" ht="15" customHeight="1">
      <c r="G8974"/>
      <c r="I8974"/>
      <c r="N8974"/>
      <c r="O8974" s="24"/>
      <c r="P8974"/>
      <c r="Q8974" s="24"/>
      <c r="R8974"/>
      <c r="S8974"/>
      <c r="T8974"/>
      <c r="U8974"/>
      <c r="X8974" s="60"/>
    </row>
    <row r="8975" spans="7:24" ht="15" customHeight="1">
      <c r="G8975"/>
      <c r="I8975"/>
      <c r="N8975"/>
      <c r="O8975" s="24"/>
      <c r="P8975"/>
      <c r="Q8975" s="24"/>
      <c r="R8975"/>
      <c r="S8975"/>
      <c r="T8975"/>
      <c r="U8975"/>
      <c r="X8975" s="60"/>
    </row>
    <row r="8976" spans="7:24" ht="15" customHeight="1">
      <c r="G8976"/>
      <c r="I8976"/>
      <c r="N8976"/>
      <c r="O8976" s="24"/>
      <c r="P8976"/>
      <c r="Q8976" s="24"/>
      <c r="R8976"/>
      <c r="S8976"/>
      <c r="T8976"/>
      <c r="U8976"/>
      <c r="X8976" s="60"/>
    </row>
    <row r="8977" spans="7:24" ht="15" customHeight="1">
      <c r="G8977"/>
      <c r="I8977"/>
      <c r="N8977"/>
      <c r="O8977" s="24"/>
      <c r="P8977"/>
      <c r="Q8977" s="24"/>
      <c r="R8977"/>
      <c r="S8977"/>
      <c r="T8977"/>
      <c r="U8977"/>
      <c r="X8977" s="60"/>
    </row>
    <row r="8978" spans="7:24" ht="15" customHeight="1">
      <c r="G8978"/>
      <c r="I8978"/>
      <c r="N8978"/>
      <c r="O8978" s="24"/>
      <c r="P8978"/>
      <c r="Q8978" s="24"/>
      <c r="R8978"/>
      <c r="S8978"/>
      <c r="T8978"/>
      <c r="U8978"/>
      <c r="X8978" s="60"/>
    </row>
    <row r="8979" spans="7:24" ht="15" customHeight="1">
      <c r="G8979"/>
      <c r="I8979"/>
      <c r="N8979"/>
      <c r="O8979" s="24"/>
      <c r="P8979"/>
      <c r="Q8979" s="24"/>
      <c r="R8979"/>
      <c r="S8979"/>
      <c r="T8979"/>
      <c r="U8979"/>
      <c r="X8979" s="60"/>
    </row>
    <row r="8980" spans="7:24" ht="15" customHeight="1">
      <c r="G8980"/>
      <c r="I8980"/>
      <c r="N8980"/>
      <c r="O8980" s="24"/>
      <c r="P8980"/>
      <c r="Q8980" s="24"/>
      <c r="R8980"/>
      <c r="S8980"/>
      <c r="T8980"/>
      <c r="U8980"/>
      <c r="X8980" s="60"/>
    </row>
    <row r="8981" spans="7:24" ht="15" customHeight="1">
      <c r="G8981"/>
      <c r="I8981"/>
      <c r="N8981"/>
      <c r="O8981" s="24"/>
      <c r="P8981"/>
      <c r="Q8981" s="24"/>
      <c r="R8981"/>
      <c r="S8981"/>
      <c r="T8981"/>
      <c r="U8981"/>
      <c r="X8981" s="60"/>
    </row>
    <row r="8982" spans="7:24" ht="15" customHeight="1">
      <c r="G8982"/>
      <c r="I8982"/>
      <c r="N8982"/>
      <c r="O8982" s="24"/>
      <c r="P8982"/>
      <c r="Q8982" s="24"/>
      <c r="R8982"/>
      <c r="S8982"/>
      <c r="T8982"/>
      <c r="U8982"/>
      <c r="X8982" s="60"/>
    </row>
    <row r="8983" spans="7:24" ht="15" customHeight="1">
      <c r="G8983"/>
      <c r="I8983"/>
      <c r="N8983"/>
      <c r="O8983" s="24"/>
      <c r="P8983"/>
      <c r="Q8983" s="24"/>
      <c r="R8983"/>
      <c r="S8983"/>
      <c r="T8983"/>
      <c r="U8983"/>
      <c r="X8983" s="60"/>
    </row>
    <row r="8984" spans="7:24" ht="15" customHeight="1">
      <c r="G8984"/>
      <c r="I8984"/>
      <c r="N8984"/>
      <c r="O8984" s="24"/>
      <c r="P8984"/>
      <c r="Q8984" s="24"/>
      <c r="R8984"/>
      <c r="S8984"/>
      <c r="T8984"/>
      <c r="U8984"/>
      <c r="X8984" s="60"/>
    </row>
    <row r="8985" spans="7:24" ht="15" customHeight="1">
      <c r="G8985"/>
      <c r="I8985"/>
      <c r="N8985"/>
      <c r="O8985" s="24"/>
      <c r="P8985"/>
      <c r="Q8985" s="24"/>
      <c r="R8985"/>
      <c r="S8985"/>
      <c r="T8985"/>
      <c r="U8985"/>
      <c r="X8985" s="60"/>
    </row>
    <row r="8986" spans="7:24" ht="15" customHeight="1">
      <c r="G8986"/>
      <c r="I8986"/>
      <c r="N8986"/>
      <c r="O8986" s="24"/>
      <c r="P8986"/>
      <c r="Q8986" s="24"/>
      <c r="R8986"/>
      <c r="S8986"/>
      <c r="T8986"/>
      <c r="U8986"/>
      <c r="X8986" s="60"/>
    </row>
    <row r="8987" spans="7:24" ht="15" customHeight="1">
      <c r="G8987"/>
      <c r="I8987"/>
      <c r="N8987"/>
      <c r="O8987" s="24"/>
      <c r="P8987"/>
      <c r="Q8987" s="24"/>
      <c r="R8987"/>
      <c r="S8987"/>
      <c r="T8987"/>
      <c r="U8987"/>
      <c r="X8987" s="60"/>
    </row>
    <row r="8988" spans="7:24" ht="15" customHeight="1">
      <c r="G8988"/>
      <c r="I8988"/>
      <c r="N8988"/>
      <c r="O8988" s="24"/>
      <c r="P8988"/>
      <c r="Q8988" s="24"/>
      <c r="R8988"/>
      <c r="S8988"/>
      <c r="T8988"/>
      <c r="U8988"/>
      <c r="X8988" s="60"/>
    </row>
    <row r="8989" spans="7:24" ht="15" customHeight="1">
      <c r="G8989"/>
      <c r="I8989"/>
      <c r="N8989"/>
      <c r="O8989" s="24"/>
      <c r="P8989"/>
      <c r="Q8989" s="24"/>
      <c r="R8989"/>
      <c r="S8989"/>
      <c r="T8989"/>
      <c r="U8989"/>
      <c r="X8989" s="60"/>
    </row>
    <row r="8990" spans="7:24" ht="15" customHeight="1">
      <c r="G8990"/>
      <c r="I8990"/>
      <c r="N8990"/>
      <c r="O8990" s="24"/>
      <c r="P8990"/>
      <c r="Q8990" s="24"/>
      <c r="R8990"/>
      <c r="S8990"/>
      <c r="T8990"/>
      <c r="U8990"/>
      <c r="X8990" s="60"/>
    </row>
    <row r="8991" spans="7:24" ht="15" customHeight="1">
      <c r="G8991"/>
      <c r="I8991"/>
      <c r="N8991"/>
      <c r="O8991" s="24"/>
      <c r="P8991"/>
      <c r="Q8991" s="24"/>
      <c r="R8991"/>
      <c r="S8991"/>
      <c r="T8991"/>
      <c r="U8991"/>
      <c r="X8991" s="60"/>
    </row>
    <row r="8992" spans="7:24" ht="15" customHeight="1">
      <c r="G8992"/>
      <c r="I8992"/>
      <c r="N8992"/>
      <c r="O8992" s="24"/>
      <c r="P8992"/>
      <c r="Q8992" s="24"/>
      <c r="R8992"/>
      <c r="S8992"/>
      <c r="T8992"/>
      <c r="U8992"/>
      <c r="X8992" s="60"/>
    </row>
    <row r="8993" spans="7:24" ht="15" customHeight="1">
      <c r="G8993"/>
      <c r="I8993"/>
      <c r="N8993"/>
      <c r="O8993" s="24"/>
      <c r="P8993"/>
      <c r="Q8993" s="24"/>
      <c r="R8993"/>
      <c r="S8993"/>
      <c r="T8993"/>
      <c r="U8993"/>
      <c r="X8993" s="60"/>
    </row>
    <row r="8994" spans="7:24" ht="15" customHeight="1">
      <c r="G8994"/>
      <c r="I8994"/>
      <c r="N8994"/>
      <c r="O8994" s="24"/>
      <c r="P8994"/>
      <c r="Q8994" s="24"/>
      <c r="R8994"/>
      <c r="S8994"/>
      <c r="T8994"/>
      <c r="U8994"/>
      <c r="X8994" s="60"/>
    </row>
    <row r="8995" spans="7:24" ht="15" customHeight="1">
      <c r="G8995"/>
      <c r="I8995"/>
      <c r="N8995"/>
      <c r="O8995" s="24"/>
      <c r="P8995"/>
      <c r="Q8995" s="24"/>
      <c r="R8995"/>
      <c r="S8995"/>
      <c r="T8995"/>
      <c r="U8995"/>
      <c r="X8995" s="60"/>
    </row>
    <row r="8996" spans="7:24" ht="15" customHeight="1">
      <c r="G8996"/>
      <c r="I8996"/>
      <c r="N8996"/>
      <c r="O8996" s="24"/>
      <c r="P8996"/>
      <c r="Q8996" s="24"/>
      <c r="R8996"/>
      <c r="S8996"/>
      <c r="T8996"/>
      <c r="U8996"/>
      <c r="X8996" s="60"/>
    </row>
    <row r="8997" spans="7:24" ht="15" customHeight="1">
      <c r="G8997"/>
      <c r="I8997"/>
      <c r="N8997"/>
      <c r="O8997" s="24"/>
      <c r="P8997"/>
      <c r="Q8997" s="24"/>
      <c r="R8997"/>
      <c r="S8997"/>
      <c r="T8997"/>
      <c r="U8997"/>
      <c r="X8997" s="60"/>
    </row>
    <row r="8998" spans="7:24" ht="15" customHeight="1">
      <c r="G8998"/>
      <c r="I8998"/>
      <c r="N8998"/>
      <c r="O8998" s="24"/>
      <c r="P8998"/>
      <c r="Q8998" s="24"/>
      <c r="R8998"/>
      <c r="S8998"/>
      <c r="T8998"/>
      <c r="U8998"/>
      <c r="X8998" s="60"/>
    </row>
    <row r="8999" spans="7:24" ht="15" customHeight="1">
      <c r="G8999"/>
      <c r="I8999"/>
      <c r="N8999"/>
      <c r="O8999" s="24"/>
      <c r="P8999"/>
      <c r="Q8999" s="24"/>
      <c r="R8999"/>
      <c r="S8999"/>
      <c r="T8999"/>
      <c r="U8999"/>
      <c r="X8999" s="60"/>
    </row>
    <row r="9000" spans="7:24" ht="15" customHeight="1">
      <c r="G9000"/>
      <c r="I9000"/>
      <c r="N9000"/>
      <c r="O9000" s="24"/>
      <c r="P9000"/>
      <c r="Q9000" s="24"/>
      <c r="R9000"/>
      <c r="S9000"/>
      <c r="T9000"/>
      <c r="U9000"/>
      <c r="X9000" s="60"/>
    </row>
    <row r="9001" spans="7:24" ht="15" customHeight="1">
      <c r="G9001"/>
      <c r="I9001"/>
      <c r="N9001"/>
      <c r="O9001" s="24"/>
      <c r="P9001"/>
      <c r="Q9001" s="24"/>
      <c r="R9001"/>
      <c r="S9001"/>
      <c r="T9001"/>
      <c r="U9001"/>
      <c r="X9001" s="60"/>
    </row>
    <row r="9002" spans="7:24" ht="15" customHeight="1">
      <c r="G9002"/>
      <c r="I9002"/>
      <c r="N9002"/>
      <c r="O9002" s="24"/>
      <c r="P9002"/>
      <c r="Q9002" s="24"/>
      <c r="R9002"/>
      <c r="S9002"/>
      <c r="T9002"/>
      <c r="U9002"/>
      <c r="X9002" s="60"/>
    </row>
    <row r="9003" spans="7:24" ht="15" customHeight="1">
      <c r="G9003"/>
      <c r="I9003"/>
      <c r="N9003"/>
      <c r="O9003" s="24"/>
      <c r="P9003"/>
      <c r="Q9003" s="24"/>
      <c r="R9003"/>
      <c r="S9003"/>
      <c r="T9003"/>
      <c r="U9003"/>
      <c r="X9003" s="60"/>
    </row>
    <row r="9004" spans="7:24" ht="15" customHeight="1">
      <c r="G9004"/>
      <c r="I9004"/>
      <c r="N9004"/>
      <c r="O9004" s="24"/>
      <c r="P9004"/>
      <c r="Q9004" s="24"/>
      <c r="R9004"/>
      <c r="S9004"/>
      <c r="T9004"/>
      <c r="U9004"/>
      <c r="X9004" s="60"/>
    </row>
    <row r="9005" spans="7:24" ht="15" customHeight="1">
      <c r="G9005"/>
      <c r="I9005"/>
      <c r="N9005"/>
      <c r="O9005" s="24"/>
      <c r="P9005"/>
      <c r="Q9005" s="24"/>
      <c r="R9005"/>
      <c r="S9005"/>
      <c r="T9005"/>
      <c r="U9005"/>
      <c r="X9005" s="60"/>
    </row>
    <row r="9006" spans="7:24" ht="15" customHeight="1">
      <c r="G9006"/>
      <c r="I9006"/>
      <c r="N9006"/>
      <c r="O9006" s="24"/>
      <c r="P9006"/>
      <c r="Q9006" s="24"/>
      <c r="R9006"/>
      <c r="S9006"/>
      <c r="T9006"/>
      <c r="U9006"/>
      <c r="X9006" s="60"/>
    </row>
    <row r="9007" spans="7:24" ht="15" customHeight="1">
      <c r="G9007"/>
      <c r="I9007"/>
      <c r="N9007"/>
      <c r="O9007" s="24"/>
      <c r="P9007"/>
      <c r="Q9007" s="24"/>
      <c r="R9007"/>
      <c r="S9007"/>
      <c r="T9007"/>
      <c r="U9007"/>
      <c r="X9007" s="60"/>
    </row>
    <row r="9008" spans="7:24" ht="15" customHeight="1">
      <c r="G9008"/>
      <c r="I9008"/>
      <c r="N9008"/>
      <c r="O9008" s="24"/>
      <c r="P9008"/>
      <c r="Q9008" s="24"/>
      <c r="R9008"/>
      <c r="S9008"/>
      <c r="T9008"/>
      <c r="U9008"/>
      <c r="X9008" s="60"/>
    </row>
    <row r="9009" spans="7:24" ht="15" customHeight="1">
      <c r="G9009"/>
      <c r="I9009"/>
      <c r="N9009"/>
      <c r="O9009" s="24"/>
      <c r="P9009"/>
      <c r="Q9009" s="24"/>
      <c r="R9009"/>
      <c r="S9009"/>
      <c r="T9009"/>
      <c r="U9009"/>
      <c r="X9009" s="60"/>
    </row>
    <row r="9010" spans="7:24" ht="15" customHeight="1">
      <c r="G9010"/>
      <c r="I9010"/>
      <c r="N9010"/>
      <c r="O9010" s="24"/>
      <c r="P9010"/>
      <c r="Q9010" s="24"/>
      <c r="R9010"/>
      <c r="S9010"/>
      <c r="T9010"/>
      <c r="U9010"/>
      <c r="X9010" s="60"/>
    </row>
    <row r="9011" spans="7:24" ht="15" customHeight="1">
      <c r="G9011"/>
      <c r="I9011"/>
      <c r="N9011"/>
      <c r="O9011" s="24"/>
      <c r="P9011"/>
      <c r="Q9011" s="24"/>
      <c r="R9011"/>
      <c r="S9011"/>
      <c r="T9011"/>
      <c r="U9011"/>
      <c r="X9011" s="60"/>
    </row>
    <row r="9012" spans="7:24" ht="15" customHeight="1">
      <c r="G9012"/>
      <c r="I9012"/>
      <c r="N9012"/>
      <c r="O9012" s="24"/>
      <c r="P9012"/>
      <c r="Q9012" s="24"/>
      <c r="R9012"/>
      <c r="S9012"/>
      <c r="T9012"/>
      <c r="U9012"/>
      <c r="X9012" s="60"/>
    </row>
    <row r="9013" spans="7:24" ht="15" customHeight="1">
      <c r="G9013"/>
      <c r="I9013"/>
      <c r="N9013"/>
      <c r="O9013" s="24"/>
      <c r="P9013"/>
      <c r="Q9013" s="24"/>
      <c r="R9013"/>
      <c r="S9013"/>
      <c r="T9013"/>
      <c r="U9013"/>
      <c r="X9013" s="60"/>
    </row>
    <row r="9014" spans="7:24" ht="15" customHeight="1">
      <c r="G9014"/>
      <c r="I9014"/>
      <c r="N9014"/>
      <c r="O9014" s="24"/>
      <c r="P9014"/>
      <c r="Q9014" s="24"/>
      <c r="R9014"/>
      <c r="S9014"/>
      <c r="T9014"/>
      <c r="U9014"/>
      <c r="X9014" s="60"/>
    </row>
    <row r="9015" spans="7:24" ht="15" customHeight="1">
      <c r="G9015"/>
      <c r="I9015"/>
      <c r="N9015"/>
      <c r="O9015" s="24"/>
      <c r="P9015"/>
      <c r="Q9015" s="24"/>
      <c r="R9015"/>
      <c r="S9015"/>
      <c r="T9015"/>
      <c r="U9015"/>
      <c r="X9015" s="60"/>
    </row>
    <row r="9016" spans="7:24" ht="15" customHeight="1">
      <c r="G9016"/>
      <c r="I9016"/>
      <c r="N9016"/>
      <c r="O9016" s="24"/>
      <c r="P9016"/>
      <c r="Q9016" s="24"/>
      <c r="R9016"/>
      <c r="S9016"/>
      <c r="T9016"/>
      <c r="U9016"/>
      <c r="X9016" s="60"/>
    </row>
    <row r="9017" spans="7:24" ht="15" customHeight="1">
      <c r="G9017"/>
      <c r="I9017"/>
      <c r="N9017"/>
      <c r="O9017" s="24"/>
      <c r="P9017"/>
      <c r="Q9017" s="24"/>
      <c r="R9017"/>
      <c r="S9017"/>
      <c r="T9017"/>
      <c r="U9017"/>
      <c r="X9017" s="60"/>
    </row>
    <row r="9018" spans="7:24" ht="15" customHeight="1">
      <c r="G9018"/>
      <c r="I9018"/>
      <c r="N9018"/>
      <c r="O9018" s="24"/>
      <c r="P9018"/>
      <c r="Q9018" s="24"/>
      <c r="R9018"/>
      <c r="S9018"/>
      <c r="T9018"/>
      <c r="U9018"/>
      <c r="X9018" s="60"/>
    </row>
    <row r="9019" spans="7:24" ht="15" customHeight="1">
      <c r="G9019"/>
      <c r="I9019"/>
      <c r="N9019"/>
      <c r="O9019" s="24"/>
      <c r="P9019"/>
      <c r="Q9019" s="24"/>
      <c r="R9019"/>
      <c r="S9019"/>
      <c r="T9019"/>
      <c r="U9019"/>
      <c r="X9019" s="60"/>
    </row>
    <row r="9020" spans="7:24" ht="15" customHeight="1">
      <c r="G9020"/>
      <c r="I9020"/>
      <c r="N9020"/>
      <c r="O9020" s="24"/>
      <c r="P9020"/>
      <c r="Q9020" s="24"/>
      <c r="R9020"/>
      <c r="S9020"/>
      <c r="T9020"/>
      <c r="U9020"/>
      <c r="X9020" s="60"/>
    </row>
    <row r="9021" spans="7:24" ht="15" customHeight="1">
      <c r="G9021"/>
      <c r="I9021"/>
      <c r="N9021"/>
      <c r="O9021" s="24"/>
      <c r="P9021"/>
      <c r="Q9021" s="24"/>
      <c r="R9021"/>
      <c r="S9021"/>
      <c r="T9021"/>
      <c r="U9021"/>
      <c r="X9021" s="60"/>
    </row>
    <row r="9022" spans="7:24" ht="15" customHeight="1">
      <c r="G9022"/>
      <c r="I9022"/>
      <c r="N9022"/>
      <c r="O9022" s="24"/>
      <c r="P9022"/>
      <c r="Q9022" s="24"/>
      <c r="R9022"/>
      <c r="S9022"/>
      <c r="T9022"/>
      <c r="U9022"/>
      <c r="X9022" s="60"/>
    </row>
    <row r="9023" spans="7:24" ht="15" customHeight="1">
      <c r="G9023"/>
      <c r="I9023"/>
      <c r="N9023"/>
      <c r="O9023" s="24"/>
      <c r="P9023"/>
      <c r="Q9023" s="24"/>
      <c r="R9023"/>
      <c r="S9023"/>
      <c r="T9023"/>
      <c r="U9023"/>
      <c r="X9023" s="60"/>
    </row>
    <row r="9024" spans="7:24" ht="15" customHeight="1">
      <c r="G9024"/>
      <c r="I9024"/>
      <c r="N9024"/>
      <c r="O9024" s="24"/>
      <c r="P9024"/>
      <c r="Q9024" s="24"/>
      <c r="R9024"/>
      <c r="S9024"/>
      <c r="T9024"/>
      <c r="U9024"/>
      <c r="X9024" s="60"/>
    </row>
    <row r="9025" spans="7:24" ht="15" customHeight="1">
      <c r="G9025"/>
      <c r="I9025"/>
      <c r="N9025"/>
      <c r="O9025" s="24"/>
      <c r="P9025"/>
      <c r="Q9025" s="24"/>
      <c r="R9025"/>
      <c r="S9025"/>
      <c r="T9025"/>
      <c r="U9025"/>
      <c r="X9025" s="60"/>
    </row>
    <row r="9026" spans="7:24" ht="15" customHeight="1">
      <c r="G9026"/>
      <c r="I9026"/>
      <c r="N9026"/>
      <c r="O9026" s="24"/>
      <c r="P9026"/>
      <c r="Q9026" s="24"/>
      <c r="R9026"/>
      <c r="S9026"/>
      <c r="T9026"/>
      <c r="U9026"/>
      <c r="X9026" s="60"/>
    </row>
    <row r="9027" spans="7:24" ht="15" customHeight="1">
      <c r="G9027"/>
      <c r="I9027"/>
      <c r="N9027"/>
      <c r="O9027" s="24"/>
      <c r="P9027"/>
      <c r="Q9027" s="24"/>
      <c r="R9027"/>
      <c r="S9027"/>
      <c r="T9027"/>
      <c r="U9027"/>
      <c r="X9027" s="60"/>
    </row>
    <row r="9028" spans="7:24" ht="15" customHeight="1">
      <c r="G9028"/>
      <c r="I9028"/>
      <c r="N9028"/>
      <c r="O9028" s="24"/>
      <c r="P9028"/>
      <c r="Q9028" s="24"/>
      <c r="R9028"/>
      <c r="S9028"/>
      <c r="T9028"/>
      <c r="U9028"/>
      <c r="X9028" s="60"/>
    </row>
    <row r="9029" spans="7:24" ht="15" customHeight="1">
      <c r="G9029"/>
      <c r="I9029"/>
      <c r="N9029"/>
      <c r="O9029" s="24"/>
      <c r="P9029"/>
      <c r="Q9029" s="24"/>
      <c r="R9029"/>
      <c r="S9029"/>
      <c r="T9029"/>
      <c r="U9029"/>
      <c r="X9029" s="60"/>
    </row>
    <row r="9030" spans="7:24" ht="15" customHeight="1">
      <c r="G9030"/>
      <c r="I9030"/>
      <c r="N9030"/>
      <c r="O9030" s="24"/>
      <c r="P9030"/>
      <c r="Q9030" s="24"/>
      <c r="R9030"/>
      <c r="S9030"/>
      <c r="T9030"/>
      <c r="U9030"/>
      <c r="X9030" s="60"/>
    </row>
    <row r="9031" spans="7:24" ht="15" customHeight="1">
      <c r="G9031"/>
      <c r="I9031"/>
      <c r="N9031"/>
      <c r="O9031" s="24"/>
      <c r="P9031"/>
      <c r="Q9031" s="24"/>
      <c r="R9031"/>
      <c r="S9031"/>
      <c r="T9031"/>
      <c r="U9031"/>
      <c r="X9031" s="60"/>
    </row>
    <row r="9032" spans="7:24" ht="15" customHeight="1">
      <c r="G9032"/>
      <c r="I9032"/>
      <c r="N9032"/>
      <c r="O9032" s="24"/>
      <c r="P9032"/>
      <c r="Q9032" s="24"/>
      <c r="R9032"/>
      <c r="S9032"/>
      <c r="T9032"/>
      <c r="U9032"/>
      <c r="X9032" s="60"/>
    </row>
    <row r="9033" spans="7:24" ht="15" customHeight="1">
      <c r="G9033"/>
      <c r="I9033"/>
      <c r="N9033"/>
      <c r="O9033" s="24"/>
      <c r="P9033"/>
      <c r="Q9033" s="24"/>
      <c r="R9033"/>
      <c r="S9033"/>
      <c r="T9033"/>
      <c r="U9033"/>
      <c r="X9033" s="60"/>
    </row>
    <row r="9034" spans="7:24" ht="15" customHeight="1">
      <c r="G9034"/>
      <c r="I9034"/>
      <c r="N9034"/>
      <c r="O9034" s="24"/>
      <c r="P9034"/>
      <c r="Q9034" s="24"/>
      <c r="R9034"/>
      <c r="S9034"/>
      <c r="T9034"/>
      <c r="U9034"/>
      <c r="X9034" s="60"/>
    </row>
    <row r="9035" spans="7:24" ht="15" customHeight="1">
      <c r="G9035"/>
      <c r="I9035"/>
      <c r="N9035"/>
      <c r="O9035" s="24"/>
      <c r="P9035"/>
      <c r="Q9035" s="24"/>
      <c r="R9035"/>
      <c r="S9035"/>
      <c r="T9035"/>
      <c r="U9035"/>
      <c r="X9035" s="60"/>
    </row>
    <row r="9036" spans="7:24" ht="15" customHeight="1">
      <c r="G9036"/>
      <c r="I9036"/>
      <c r="N9036"/>
      <c r="O9036" s="24"/>
      <c r="P9036"/>
      <c r="Q9036" s="24"/>
      <c r="R9036"/>
      <c r="S9036"/>
      <c r="T9036"/>
      <c r="U9036"/>
      <c r="X9036" s="60"/>
    </row>
    <row r="9037" spans="7:24" ht="15" customHeight="1">
      <c r="G9037"/>
      <c r="I9037"/>
      <c r="N9037"/>
      <c r="O9037" s="24"/>
      <c r="P9037"/>
      <c r="Q9037" s="24"/>
      <c r="R9037"/>
      <c r="S9037"/>
      <c r="T9037"/>
      <c r="U9037"/>
      <c r="X9037" s="60"/>
    </row>
    <row r="9038" spans="7:24" ht="15" customHeight="1">
      <c r="G9038"/>
      <c r="I9038"/>
      <c r="N9038"/>
      <c r="O9038" s="24"/>
      <c r="P9038"/>
      <c r="Q9038" s="24"/>
      <c r="R9038"/>
      <c r="S9038"/>
      <c r="T9038"/>
      <c r="U9038"/>
      <c r="X9038" s="60"/>
    </row>
    <row r="9039" spans="7:24" ht="15" customHeight="1">
      <c r="G9039"/>
      <c r="I9039"/>
      <c r="N9039"/>
      <c r="O9039" s="24"/>
      <c r="P9039"/>
      <c r="Q9039" s="24"/>
      <c r="R9039"/>
      <c r="S9039"/>
      <c r="T9039"/>
      <c r="U9039"/>
      <c r="X9039" s="60"/>
    </row>
    <row r="9040" spans="7:24" ht="15" customHeight="1">
      <c r="G9040"/>
      <c r="I9040"/>
      <c r="N9040"/>
      <c r="O9040" s="24"/>
      <c r="P9040"/>
      <c r="Q9040" s="24"/>
      <c r="R9040"/>
      <c r="S9040"/>
      <c r="T9040"/>
      <c r="U9040"/>
      <c r="X9040" s="60"/>
    </row>
    <row r="9041" spans="7:24" ht="15" customHeight="1">
      <c r="G9041"/>
      <c r="I9041"/>
      <c r="N9041"/>
      <c r="O9041" s="24"/>
      <c r="P9041"/>
      <c r="Q9041" s="24"/>
      <c r="R9041"/>
      <c r="S9041"/>
      <c r="T9041"/>
      <c r="U9041"/>
      <c r="X9041" s="60"/>
    </row>
    <row r="9042" spans="7:24" ht="15" customHeight="1">
      <c r="G9042"/>
      <c r="I9042"/>
      <c r="N9042"/>
      <c r="O9042" s="24"/>
      <c r="P9042"/>
      <c r="Q9042" s="24"/>
      <c r="R9042"/>
      <c r="S9042"/>
      <c r="T9042"/>
      <c r="U9042"/>
      <c r="X9042" s="60"/>
    </row>
    <row r="9043" spans="7:24" ht="15" customHeight="1">
      <c r="G9043"/>
      <c r="I9043"/>
      <c r="N9043"/>
      <c r="O9043" s="24"/>
      <c r="P9043"/>
      <c r="Q9043" s="24"/>
      <c r="R9043"/>
      <c r="S9043"/>
      <c r="T9043"/>
      <c r="U9043"/>
      <c r="X9043" s="60"/>
    </row>
    <row r="9044" spans="7:24" ht="15" customHeight="1">
      <c r="G9044"/>
      <c r="I9044"/>
      <c r="N9044"/>
      <c r="O9044" s="24"/>
      <c r="P9044"/>
      <c r="Q9044" s="24"/>
      <c r="R9044"/>
      <c r="S9044"/>
      <c r="T9044"/>
      <c r="U9044"/>
      <c r="X9044" s="60"/>
    </row>
    <row r="9045" spans="7:24" ht="15" customHeight="1">
      <c r="G9045"/>
      <c r="I9045"/>
      <c r="N9045"/>
      <c r="O9045" s="24"/>
      <c r="P9045"/>
      <c r="Q9045" s="24"/>
      <c r="R9045"/>
      <c r="S9045"/>
      <c r="T9045"/>
      <c r="U9045"/>
      <c r="X9045" s="60"/>
    </row>
    <row r="9046" spans="7:24" ht="15" customHeight="1">
      <c r="G9046"/>
      <c r="I9046"/>
      <c r="N9046"/>
      <c r="O9046" s="24"/>
      <c r="P9046"/>
      <c r="Q9046" s="24"/>
      <c r="R9046"/>
      <c r="S9046"/>
      <c r="T9046"/>
      <c r="U9046"/>
      <c r="X9046" s="60"/>
    </row>
    <row r="9047" spans="7:24" ht="15" customHeight="1">
      <c r="G9047"/>
      <c r="I9047"/>
      <c r="N9047"/>
      <c r="O9047" s="24"/>
      <c r="P9047"/>
      <c r="Q9047" s="24"/>
      <c r="R9047"/>
      <c r="S9047"/>
      <c r="T9047"/>
      <c r="U9047"/>
      <c r="X9047" s="60"/>
    </row>
    <row r="9048" spans="7:24" ht="15" customHeight="1">
      <c r="G9048"/>
      <c r="I9048"/>
      <c r="N9048"/>
      <c r="O9048" s="24"/>
      <c r="P9048"/>
      <c r="Q9048" s="24"/>
      <c r="R9048"/>
      <c r="S9048"/>
      <c r="T9048"/>
      <c r="U9048"/>
      <c r="X9048" s="60"/>
    </row>
    <row r="9049" spans="7:24" ht="15" customHeight="1">
      <c r="G9049"/>
      <c r="I9049"/>
      <c r="N9049"/>
      <c r="O9049" s="24"/>
      <c r="P9049"/>
      <c r="Q9049" s="24"/>
      <c r="R9049"/>
      <c r="S9049"/>
      <c r="T9049"/>
      <c r="U9049"/>
      <c r="X9049" s="60"/>
    </row>
    <row r="9050" spans="7:24" ht="15" customHeight="1">
      <c r="G9050"/>
      <c r="I9050"/>
      <c r="N9050"/>
      <c r="O9050" s="24"/>
      <c r="P9050"/>
      <c r="Q9050" s="24"/>
      <c r="R9050"/>
      <c r="S9050"/>
      <c r="T9050"/>
      <c r="U9050"/>
      <c r="X9050" s="60"/>
    </row>
    <row r="9051" spans="7:24" ht="15" customHeight="1">
      <c r="G9051"/>
      <c r="I9051"/>
      <c r="N9051"/>
      <c r="O9051" s="24"/>
      <c r="P9051"/>
      <c r="Q9051" s="24"/>
      <c r="R9051"/>
      <c r="S9051"/>
      <c r="T9051"/>
      <c r="U9051"/>
      <c r="X9051" s="60"/>
    </row>
    <row r="9052" spans="7:24" ht="15" customHeight="1">
      <c r="G9052"/>
      <c r="I9052"/>
      <c r="N9052"/>
      <c r="O9052" s="24"/>
      <c r="P9052"/>
      <c r="Q9052" s="24"/>
      <c r="R9052"/>
      <c r="S9052"/>
      <c r="T9052"/>
      <c r="U9052"/>
      <c r="X9052" s="60"/>
    </row>
    <row r="9053" spans="7:24" ht="15" customHeight="1">
      <c r="G9053"/>
      <c r="I9053"/>
      <c r="N9053"/>
      <c r="O9053" s="24"/>
      <c r="P9053"/>
      <c r="Q9053" s="24"/>
      <c r="R9053"/>
      <c r="S9053"/>
      <c r="T9053"/>
      <c r="U9053"/>
      <c r="X9053" s="60"/>
    </row>
    <row r="9054" spans="7:24" ht="15" customHeight="1">
      <c r="G9054"/>
      <c r="I9054"/>
      <c r="N9054"/>
      <c r="O9054" s="24"/>
      <c r="P9054"/>
      <c r="Q9054" s="24"/>
      <c r="R9054"/>
      <c r="S9054"/>
      <c r="T9054"/>
      <c r="U9054"/>
      <c r="X9054" s="60"/>
    </row>
    <row r="9055" spans="7:24" ht="15" customHeight="1">
      <c r="G9055"/>
      <c r="I9055"/>
      <c r="N9055"/>
      <c r="O9055" s="24"/>
      <c r="P9055"/>
      <c r="Q9055" s="24"/>
      <c r="R9055"/>
      <c r="S9055"/>
      <c r="T9055"/>
      <c r="U9055"/>
      <c r="X9055" s="60"/>
    </row>
    <row r="9056" spans="7:24" ht="15" customHeight="1">
      <c r="G9056"/>
      <c r="I9056"/>
      <c r="N9056"/>
      <c r="O9056" s="24"/>
      <c r="P9056"/>
      <c r="Q9056" s="24"/>
      <c r="R9056"/>
      <c r="S9056"/>
      <c r="T9056"/>
      <c r="U9056"/>
      <c r="X9056" s="60"/>
    </row>
    <row r="9057" spans="7:24" ht="15" customHeight="1">
      <c r="G9057"/>
      <c r="I9057"/>
      <c r="N9057"/>
      <c r="O9057" s="24"/>
      <c r="P9057"/>
      <c r="Q9057" s="24"/>
      <c r="R9057"/>
      <c r="S9057"/>
      <c r="T9057"/>
      <c r="U9057"/>
      <c r="X9057" s="60"/>
    </row>
    <row r="9058" spans="7:24" ht="15" customHeight="1">
      <c r="G9058"/>
      <c r="I9058"/>
      <c r="N9058"/>
      <c r="O9058" s="24"/>
      <c r="P9058"/>
      <c r="Q9058" s="24"/>
      <c r="R9058"/>
      <c r="S9058"/>
      <c r="T9058"/>
      <c r="U9058"/>
      <c r="X9058" s="60"/>
    </row>
    <row r="9059" spans="7:24" ht="15" customHeight="1">
      <c r="G9059"/>
      <c r="I9059"/>
      <c r="N9059"/>
      <c r="O9059" s="24"/>
      <c r="P9059"/>
      <c r="Q9059" s="24"/>
      <c r="R9059"/>
      <c r="S9059"/>
      <c r="T9059"/>
      <c r="U9059"/>
      <c r="X9059" s="60"/>
    </row>
    <row r="9060" spans="7:24" ht="15" customHeight="1">
      <c r="G9060"/>
      <c r="I9060"/>
      <c r="N9060"/>
      <c r="O9060" s="24"/>
      <c r="P9060"/>
      <c r="Q9060" s="24"/>
      <c r="R9060"/>
      <c r="S9060"/>
      <c r="T9060"/>
      <c r="U9060"/>
      <c r="X9060" s="60"/>
    </row>
    <row r="9061" spans="7:24" ht="15" customHeight="1">
      <c r="G9061"/>
      <c r="I9061"/>
      <c r="N9061"/>
      <c r="O9061" s="24"/>
      <c r="P9061"/>
      <c r="Q9061" s="24"/>
      <c r="R9061"/>
      <c r="S9061"/>
      <c r="T9061"/>
      <c r="U9061"/>
      <c r="X9061" s="60"/>
    </row>
    <row r="9062" spans="7:24" ht="15" customHeight="1">
      <c r="G9062"/>
      <c r="I9062"/>
      <c r="N9062"/>
      <c r="O9062" s="24"/>
      <c r="P9062"/>
      <c r="Q9062" s="24"/>
      <c r="R9062"/>
      <c r="S9062"/>
      <c r="T9062"/>
      <c r="U9062"/>
      <c r="X9062" s="60"/>
    </row>
    <row r="9063" spans="7:24" ht="15" customHeight="1">
      <c r="G9063"/>
      <c r="I9063"/>
      <c r="N9063"/>
      <c r="O9063" s="24"/>
      <c r="P9063"/>
      <c r="Q9063" s="24"/>
      <c r="R9063"/>
      <c r="S9063"/>
      <c r="T9063"/>
      <c r="U9063"/>
      <c r="X9063" s="60"/>
    </row>
    <row r="9064" spans="7:24" ht="15" customHeight="1">
      <c r="G9064"/>
      <c r="I9064"/>
      <c r="N9064"/>
      <c r="O9064" s="24"/>
      <c r="P9064"/>
      <c r="Q9064" s="24"/>
      <c r="R9064"/>
      <c r="S9064"/>
      <c r="T9064"/>
      <c r="U9064"/>
      <c r="X9064" s="60"/>
    </row>
    <row r="9065" spans="7:24" ht="15" customHeight="1">
      <c r="G9065"/>
      <c r="I9065"/>
      <c r="N9065"/>
      <c r="O9065" s="24"/>
      <c r="P9065"/>
      <c r="Q9065" s="24"/>
      <c r="R9065"/>
      <c r="S9065"/>
      <c r="T9065"/>
      <c r="U9065"/>
      <c r="X9065" s="60"/>
    </row>
    <row r="9066" spans="7:24" ht="15" customHeight="1">
      <c r="G9066"/>
      <c r="I9066"/>
      <c r="N9066"/>
      <c r="O9066" s="24"/>
      <c r="P9066"/>
      <c r="Q9066" s="24"/>
      <c r="R9066"/>
      <c r="S9066"/>
      <c r="T9066"/>
      <c r="U9066"/>
      <c r="X9066" s="60"/>
    </row>
    <row r="9067" spans="7:24" ht="15" customHeight="1">
      <c r="G9067"/>
      <c r="I9067"/>
      <c r="N9067"/>
      <c r="O9067" s="24"/>
      <c r="P9067"/>
      <c r="Q9067" s="24"/>
      <c r="R9067"/>
      <c r="S9067"/>
      <c r="T9067"/>
      <c r="U9067"/>
      <c r="X9067" s="60"/>
    </row>
    <row r="9068" spans="7:24" ht="15" customHeight="1">
      <c r="G9068"/>
      <c r="I9068"/>
      <c r="N9068"/>
      <c r="O9068" s="24"/>
      <c r="P9068"/>
      <c r="Q9068" s="24"/>
      <c r="R9068"/>
      <c r="S9068"/>
      <c r="T9068"/>
      <c r="U9068"/>
      <c r="X9068" s="60"/>
    </row>
    <row r="9069" spans="7:24" ht="15" customHeight="1">
      <c r="G9069"/>
      <c r="I9069"/>
      <c r="N9069"/>
      <c r="O9069" s="24"/>
      <c r="P9069"/>
      <c r="Q9069" s="24"/>
      <c r="R9069"/>
      <c r="S9069"/>
      <c r="T9069"/>
      <c r="U9069"/>
      <c r="X9069" s="60"/>
    </row>
    <row r="9070" spans="7:24" ht="15" customHeight="1">
      <c r="G9070"/>
      <c r="I9070"/>
      <c r="N9070"/>
      <c r="O9070" s="24"/>
      <c r="P9070"/>
      <c r="Q9070" s="24"/>
      <c r="R9070"/>
      <c r="S9070"/>
      <c r="T9070"/>
      <c r="U9070"/>
      <c r="X9070" s="60"/>
    </row>
    <row r="9071" spans="7:24" ht="15" customHeight="1">
      <c r="G9071"/>
      <c r="I9071"/>
      <c r="N9071"/>
      <c r="O9071" s="24"/>
      <c r="P9071"/>
      <c r="Q9071" s="24"/>
      <c r="R9071"/>
      <c r="S9071"/>
      <c r="T9071"/>
      <c r="U9071"/>
      <c r="X9071" s="60"/>
    </row>
    <row r="9072" spans="7:24" ht="15" customHeight="1">
      <c r="G9072"/>
      <c r="I9072"/>
      <c r="N9072"/>
      <c r="O9072" s="24"/>
      <c r="P9072"/>
      <c r="Q9072" s="24"/>
      <c r="R9072"/>
      <c r="S9072"/>
      <c r="T9072"/>
      <c r="U9072"/>
      <c r="X9072" s="60"/>
    </row>
    <row r="9073" spans="7:24" ht="15" customHeight="1">
      <c r="G9073"/>
      <c r="I9073"/>
      <c r="N9073"/>
      <c r="O9073" s="24"/>
      <c r="P9073"/>
      <c r="Q9073" s="24"/>
      <c r="R9073"/>
      <c r="S9073"/>
      <c r="T9073"/>
      <c r="U9073"/>
      <c r="X9073" s="60"/>
    </row>
    <row r="9074" spans="7:24" ht="15" customHeight="1">
      <c r="G9074"/>
      <c r="I9074"/>
      <c r="N9074"/>
      <c r="O9074" s="24"/>
      <c r="P9074"/>
      <c r="Q9074" s="24"/>
      <c r="R9074"/>
      <c r="S9074"/>
      <c r="T9074"/>
      <c r="U9074"/>
      <c r="X9074" s="60"/>
    </row>
    <row r="9075" spans="7:24" ht="15" customHeight="1">
      <c r="G9075"/>
      <c r="I9075"/>
      <c r="N9075"/>
      <c r="O9075" s="24"/>
      <c r="P9075"/>
      <c r="Q9075" s="24"/>
      <c r="R9075"/>
      <c r="S9075"/>
      <c r="T9075"/>
      <c r="U9075"/>
      <c r="X9075" s="60"/>
    </row>
    <row r="9076" spans="7:24" ht="15" customHeight="1">
      <c r="G9076"/>
      <c r="I9076"/>
      <c r="N9076"/>
      <c r="O9076" s="24"/>
      <c r="P9076"/>
      <c r="Q9076" s="24"/>
      <c r="R9076"/>
      <c r="S9076"/>
      <c r="T9076"/>
      <c r="U9076"/>
      <c r="X9076" s="60"/>
    </row>
    <row r="9077" spans="7:24" ht="15" customHeight="1">
      <c r="G9077"/>
      <c r="I9077"/>
      <c r="N9077"/>
      <c r="O9077" s="24"/>
      <c r="P9077"/>
      <c r="Q9077" s="24"/>
      <c r="R9077"/>
      <c r="S9077"/>
      <c r="T9077"/>
      <c r="U9077"/>
      <c r="X9077" s="60"/>
    </row>
    <row r="9078" spans="7:24" ht="15" customHeight="1">
      <c r="G9078"/>
      <c r="I9078"/>
      <c r="N9078"/>
      <c r="O9078" s="24"/>
      <c r="P9078"/>
      <c r="Q9078" s="24"/>
      <c r="R9078"/>
      <c r="S9078"/>
      <c r="T9078"/>
      <c r="U9078"/>
      <c r="X9078" s="60"/>
    </row>
    <row r="9079" spans="7:24" ht="15" customHeight="1">
      <c r="G9079"/>
      <c r="I9079"/>
      <c r="N9079"/>
      <c r="O9079" s="24"/>
      <c r="P9079"/>
      <c r="Q9079" s="24"/>
      <c r="R9079"/>
      <c r="S9079"/>
      <c r="T9079"/>
      <c r="U9079"/>
      <c r="X9079" s="60"/>
    </row>
    <row r="9080" spans="7:24" ht="15" customHeight="1">
      <c r="G9080"/>
      <c r="I9080"/>
      <c r="N9080"/>
      <c r="O9080" s="24"/>
      <c r="P9080"/>
      <c r="Q9080" s="24"/>
      <c r="R9080"/>
      <c r="S9080"/>
      <c r="T9080"/>
      <c r="U9080"/>
      <c r="X9080" s="60"/>
    </row>
    <row r="9081" spans="7:24" ht="15" customHeight="1">
      <c r="G9081"/>
      <c r="I9081"/>
      <c r="N9081"/>
      <c r="O9081" s="24"/>
      <c r="P9081"/>
      <c r="Q9081" s="24"/>
      <c r="R9081"/>
      <c r="S9081"/>
      <c r="T9081"/>
      <c r="U9081"/>
      <c r="X9081" s="60"/>
    </row>
    <row r="9082" spans="7:24" ht="15" customHeight="1">
      <c r="G9082"/>
      <c r="I9082"/>
      <c r="N9082"/>
      <c r="O9082" s="24"/>
      <c r="P9082"/>
      <c r="Q9082" s="24"/>
      <c r="R9082"/>
      <c r="S9082"/>
      <c r="T9082"/>
      <c r="U9082"/>
      <c r="X9082" s="60"/>
    </row>
    <row r="9083" spans="7:24" ht="15" customHeight="1">
      <c r="G9083"/>
      <c r="I9083"/>
      <c r="N9083"/>
      <c r="O9083" s="24"/>
      <c r="P9083"/>
      <c r="Q9083" s="24"/>
      <c r="R9083"/>
      <c r="S9083"/>
      <c r="T9083"/>
      <c r="U9083"/>
      <c r="X9083" s="60"/>
    </row>
    <row r="9084" spans="7:24" ht="15" customHeight="1">
      <c r="G9084"/>
      <c r="I9084"/>
      <c r="N9084"/>
      <c r="O9084" s="24"/>
      <c r="P9084"/>
      <c r="Q9084" s="24"/>
      <c r="R9084"/>
      <c r="S9084"/>
      <c r="T9084"/>
      <c r="U9084"/>
      <c r="X9084" s="60"/>
    </row>
    <row r="9085" spans="7:24" ht="15" customHeight="1">
      <c r="G9085"/>
      <c r="I9085"/>
      <c r="N9085"/>
      <c r="O9085" s="24"/>
      <c r="P9085"/>
      <c r="Q9085" s="24"/>
      <c r="R9085"/>
      <c r="S9085"/>
      <c r="T9085"/>
      <c r="U9085"/>
      <c r="X9085" s="60"/>
    </row>
    <row r="9086" spans="7:24" ht="15" customHeight="1">
      <c r="G9086"/>
      <c r="I9086"/>
      <c r="N9086"/>
      <c r="O9086" s="24"/>
      <c r="P9086"/>
      <c r="Q9086" s="24"/>
      <c r="R9086"/>
      <c r="S9086"/>
      <c r="T9086"/>
      <c r="U9086"/>
      <c r="X9086" s="60"/>
    </row>
    <row r="9087" spans="7:24" ht="15" customHeight="1">
      <c r="G9087"/>
      <c r="I9087"/>
      <c r="N9087"/>
      <c r="O9087" s="24"/>
      <c r="P9087"/>
      <c r="Q9087" s="24"/>
      <c r="R9087"/>
      <c r="S9087"/>
      <c r="T9087"/>
      <c r="U9087"/>
      <c r="X9087" s="60"/>
    </row>
    <row r="9088" spans="7:24" ht="15" customHeight="1">
      <c r="G9088"/>
      <c r="I9088"/>
      <c r="N9088"/>
      <c r="O9088" s="24"/>
      <c r="P9088"/>
      <c r="Q9088" s="24"/>
      <c r="R9088"/>
      <c r="S9088"/>
      <c r="T9088"/>
      <c r="U9088"/>
      <c r="X9088" s="60"/>
    </row>
    <row r="9089" spans="7:24" ht="15" customHeight="1">
      <c r="G9089"/>
      <c r="I9089"/>
      <c r="N9089"/>
      <c r="O9089" s="24"/>
      <c r="P9089"/>
      <c r="Q9089" s="24"/>
      <c r="R9089"/>
      <c r="S9089"/>
      <c r="T9089"/>
      <c r="U9089"/>
      <c r="X9089" s="60"/>
    </row>
    <row r="9090" spans="7:24" ht="15" customHeight="1">
      <c r="G9090"/>
      <c r="I9090"/>
      <c r="N9090"/>
      <c r="O9090" s="24"/>
      <c r="P9090"/>
      <c r="Q9090" s="24"/>
      <c r="R9090"/>
      <c r="S9090"/>
      <c r="T9090"/>
      <c r="U9090"/>
      <c r="X9090" s="60"/>
    </row>
    <row r="9091" spans="7:24" ht="15" customHeight="1">
      <c r="G9091"/>
      <c r="I9091"/>
      <c r="N9091"/>
      <c r="O9091" s="24"/>
      <c r="P9091"/>
      <c r="Q9091" s="24"/>
      <c r="R9091"/>
      <c r="S9091"/>
      <c r="T9091"/>
      <c r="U9091"/>
      <c r="X9091" s="60"/>
    </row>
    <row r="9092" spans="7:24" ht="15" customHeight="1">
      <c r="G9092"/>
      <c r="I9092"/>
      <c r="N9092"/>
      <c r="O9092" s="24"/>
      <c r="P9092"/>
      <c r="Q9092" s="24"/>
      <c r="R9092"/>
      <c r="S9092"/>
      <c r="T9092"/>
      <c r="U9092"/>
      <c r="X9092" s="60"/>
    </row>
    <row r="9093" spans="7:24" ht="15" customHeight="1">
      <c r="G9093"/>
      <c r="I9093"/>
      <c r="N9093"/>
      <c r="O9093" s="24"/>
      <c r="P9093"/>
      <c r="Q9093" s="24"/>
      <c r="R9093"/>
      <c r="S9093"/>
      <c r="T9093"/>
      <c r="U9093"/>
      <c r="X9093" s="60"/>
    </row>
    <row r="9094" spans="7:24" ht="15" customHeight="1">
      <c r="G9094"/>
      <c r="I9094"/>
      <c r="N9094"/>
      <c r="O9094" s="24"/>
      <c r="P9094"/>
      <c r="Q9094" s="24"/>
      <c r="R9094"/>
      <c r="S9094"/>
      <c r="T9094"/>
      <c r="U9094"/>
      <c r="X9094" s="60"/>
    </row>
    <row r="9095" spans="7:24" ht="15" customHeight="1">
      <c r="G9095"/>
      <c r="I9095"/>
      <c r="N9095"/>
      <c r="O9095" s="24"/>
      <c r="P9095"/>
      <c r="Q9095" s="24"/>
      <c r="R9095"/>
      <c r="S9095"/>
      <c r="T9095"/>
      <c r="U9095"/>
      <c r="X9095" s="60"/>
    </row>
    <row r="9096" spans="7:24" ht="15" customHeight="1">
      <c r="G9096"/>
      <c r="I9096"/>
      <c r="N9096"/>
      <c r="O9096" s="24"/>
      <c r="P9096"/>
      <c r="Q9096" s="24"/>
      <c r="R9096"/>
      <c r="S9096"/>
      <c r="T9096"/>
      <c r="U9096"/>
      <c r="X9096" s="60"/>
    </row>
    <row r="9097" spans="7:24" ht="15" customHeight="1">
      <c r="G9097"/>
      <c r="I9097"/>
      <c r="N9097"/>
      <c r="O9097" s="24"/>
      <c r="P9097"/>
      <c r="Q9097" s="24"/>
      <c r="R9097"/>
      <c r="S9097"/>
      <c r="T9097"/>
      <c r="U9097"/>
      <c r="X9097" s="60"/>
    </row>
    <row r="9098" spans="7:24" ht="15" customHeight="1">
      <c r="G9098"/>
      <c r="I9098"/>
      <c r="N9098"/>
      <c r="O9098" s="24"/>
      <c r="P9098"/>
      <c r="Q9098" s="24"/>
      <c r="R9098"/>
      <c r="S9098"/>
      <c r="T9098"/>
      <c r="U9098"/>
      <c r="X9098" s="60"/>
    </row>
    <row r="9099" spans="7:24" ht="15" customHeight="1">
      <c r="G9099"/>
      <c r="I9099"/>
      <c r="N9099"/>
      <c r="O9099" s="24"/>
      <c r="P9099"/>
      <c r="Q9099" s="24"/>
      <c r="R9099"/>
      <c r="S9099"/>
      <c r="T9099"/>
      <c r="U9099"/>
      <c r="X9099" s="60"/>
    </row>
    <row r="9100" spans="7:24" ht="15" customHeight="1">
      <c r="G9100"/>
      <c r="I9100"/>
      <c r="N9100"/>
      <c r="O9100" s="24"/>
      <c r="P9100"/>
      <c r="Q9100" s="24"/>
      <c r="R9100"/>
      <c r="S9100"/>
      <c r="T9100"/>
      <c r="U9100"/>
      <c r="X9100" s="60"/>
    </row>
    <row r="9101" spans="7:24" ht="15" customHeight="1">
      <c r="G9101"/>
      <c r="I9101"/>
      <c r="N9101"/>
      <c r="O9101" s="24"/>
      <c r="P9101"/>
      <c r="Q9101" s="24"/>
      <c r="R9101"/>
      <c r="S9101"/>
      <c r="T9101"/>
      <c r="U9101"/>
      <c r="X9101" s="60"/>
    </row>
    <row r="9102" spans="7:24" ht="15" customHeight="1">
      <c r="G9102"/>
      <c r="I9102"/>
      <c r="N9102"/>
      <c r="O9102" s="24"/>
      <c r="P9102"/>
      <c r="Q9102" s="24"/>
      <c r="R9102"/>
      <c r="S9102"/>
      <c r="T9102"/>
      <c r="U9102"/>
      <c r="X9102" s="60"/>
    </row>
    <row r="9103" spans="7:24" ht="15" customHeight="1">
      <c r="G9103"/>
      <c r="I9103"/>
      <c r="N9103"/>
      <c r="O9103" s="24"/>
      <c r="P9103"/>
      <c r="Q9103" s="24"/>
      <c r="R9103"/>
      <c r="S9103"/>
      <c r="T9103"/>
      <c r="U9103"/>
      <c r="X9103" s="60"/>
    </row>
    <row r="9104" spans="7:24" ht="15" customHeight="1">
      <c r="G9104"/>
      <c r="I9104"/>
      <c r="N9104"/>
      <c r="O9104" s="24"/>
      <c r="P9104"/>
      <c r="Q9104" s="24"/>
      <c r="R9104"/>
      <c r="S9104"/>
      <c r="T9104"/>
      <c r="U9104"/>
      <c r="X9104" s="60"/>
    </row>
    <row r="9105" spans="7:24" ht="15" customHeight="1">
      <c r="G9105"/>
      <c r="I9105"/>
      <c r="N9105"/>
      <c r="O9105" s="24"/>
      <c r="P9105"/>
      <c r="Q9105" s="24"/>
      <c r="R9105"/>
      <c r="S9105"/>
      <c r="T9105"/>
      <c r="U9105"/>
      <c r="X9105" s="60"/>
    </row>
    <row r="9106" spans="7:24" ht="15" customHeight="1">
      <c r="G9106"/>
      <c r="I9106"/>
      <c r="N9106"/>
      <c r="O9106" s="24"/>
      <c r="P9106"/>
      <c r="Q9106" s="24"/>
      <c r="R9106"/>
      <c r="S9106"/>
      <c r="T9106"/>
      <c r="U9106"/>
      <c r="X9106" s="60"/>
    </row>
    <row r="9107" spans="7:24" ht="15" customHeight="1">
      <c r="G9107"/>
      <c r="I9107"/>
      <c r="N9107"/>
      <c r="O9107" s="24"/>
      <c r="P9107"/>
      <c r="Q9107" s="24"/>
      <c r="R9107"/>
      <c r="S9107"/>
      <c r="T9107"/>
      <c r="U9107"/>
      <c r="X9107" s="60"/>
    </row>
    <row r="9108" spans="7:24" ht="15" customHeight="1">
      <c r="G9108"/>
      <c r="I9108"/>
      <c r="N9108"/>
      <c r="O9108" s="24"/>
      <c r="P9108"/>
      <c r="Q9108" s="24"/>
      <c r="R9108"/>
      <c r="S9108"/>
      <c r="T9108"/>
      <c r="U9108"/>
      <c r="X9108" s="60"/>
    </row>
    <row r="9109" spans="7:24" ht="15" customHeight="1">
      <c r="G9109"/>
      <c r="I9109"/>
      <c r="N9109"/>
      <c r="O9109" s="24"/>
      <c r="P9109"/>
      <c r="Q9109" s="24"/>
      <c r="R9109"/>
      <c r="S9109"/>
      <c r="T9109"/>
      <c r="U9109"/>
      <c r="X9109" s="60"/>
    </row>
    <row r="9110" spans="7:24" ht="15" customHeight="1">
      <c r="G9110"/>
      <c r="I9110"/>
      <c r="N9110"/>
      <c r="O9110" s="24"/>
      <c r="P9110"/>
      <c r="Q9110" s="24"/>
      <c r="R9110"/>
      <c r="S9110"/>
      <c r="T9110"/>
      <c r="U9110"/>
      <c r="X9110" s="60"/>
    </row>
    <row r="9111" spans="7:24" ht="15" customHeight="1">
      <c r="G9111"/>
      <c r="I9111"/>
      <c r="N9111"/>
      <c r="O9111" s="24"/>
      <c r="P9111"/>
      <c r="Q9111" s="24"/>
      <c r="R9111"/>
      <c r="S9111"/>
      <c r="T9111"/>
      <c r="U9111"/>
      <c r="X9111" s="60"/>
    </row>
    <row r="9112" spans="7:24" ht="15" customHeight="1">
      <c r="G9112"/>
      <c r="I9112"/>
      <c r="N9112"/>
      <c r="O9112" s="24"/>
      <c r="P9112"/>
      <c r="Q9112" s="24"/>
      <c r="R9112"/>
      <c r="S9112"/>
      <c r="T9112"/>
      <c r="U9112"/>
      <c r="X9112" s="60"/>
    </row>
    <row r="9113" spans="7:24" ht="15" customHeight="1">
      <c r="G9113"/>
      <c r="I9113"/>
      <c r="N9113"/>
      <c r="O9113" s="24"/>
      <c r="P9113"/>
      <c r="Q9113" s="24"/>
      <c r="R9113"/>
      <c r="S9113"/>
      <c r="T9113"/>
      <c r="U9113"/>
      <c r="X9113" s="60"/>
    </row>
    <row r="9114" spans="7:24" ht="15" customHeight="1">
      <c r="G9114"/>
      <c r="I9114"/>
      <c r="N9114"/>
      <c r="O9114" s="24"/>
      <c r="P9114"/>
      <c r="Q9114" s="24"/>
      <c r="R9114"/>
      <c r="S9114"/>
      <c r="T9114"/>
      <c r="U9114"/>
      <c r="X9114" s="60"/>
    </row>
    <row r="9115" spans="7:24" ht="15" customHeight="1">
      <c r="G9115"/>
      <c r="I9115"/>
      <c r="N9115"/>
      <c r="O9115" s="24"/>
      <c r="P9115"/>
      <c r="Q9115" s="24"/>
      <c r="R9115"/>
      <c r="S9115"/>
      <c r="T9115"/>
      <c r="U9115"/>
      <c r="X9115" s="60"/>
    </row>
    <row r="9116" spans="7:24" ht="15" customHeight="1">
      <c r="G9116"/>
      <c r="I9116"/>
      <c r="N9116"/>
      <c r="O9116" s="24"/>
      <c r="P9116"/>
      <c r="Q9116" s="24"/>
      <c r="R9116"/>
      <c r="S9116"/>
      <c r="T9116"/>
      <c r="U9116"/>
      <c r="X9116" s="60"/>
    </row>
    <row r="9117" spans="7:24" ht="15" customHeight="1">
      <c r="G9117"/>
      <c r="I9117"/>
      <c r="N9117"/>
      <c r="O9117" s="24"/>
      <c r="P9117"/>
      <c r="Q9117" s="24"/>
      <c r="R9117"/>
      <c r="S9117"/>
      <c r="T9117"/>
      <c r="U9117"/>
      <c r="X9117" s="60"/>
    </row>
    <row r="9118" spans="7:24" ht="15" customHeight="1">
      <c r="G9118"/>
      <c r="I9118"/>
      <c r="N9118"/>
      <c r="O9118" s="24"/>
      <c r="P9118"/>
      <c r="Q9118" s="24"/>
      <c r="R9118"/>
      <c r="S9118"/>
      <c r="T9118"/>
      <c r="U9118"/>
      <c r="X9118" s="60"/>
    </row>
    <row r="9119" spans="7:24" ht="15" customHeight="1">
      <c r="G9119"/>
      <c r="I9119"/>
      <c r="N9119"/>
      <c r="O9119" s="24"/>
      <c r="P9119"/>
      <c r="Q9119" s="24"/>
      <c r="R9119"/>
      <c r="S9119"/>
      <c r="T9119"/>
      <c r="U9119"/>
      <c r="X9119" s="60"/>
    </row>
    <row r="9120" spans="7:24" ht="15" customHeight="1">
      <c r="G9120"/>
      <c r="I9120"/>
      <c r="N9120"/>
      <c r="O9120" s="24"/>
      <c r="P9120"/>
      <c r="Q9120" s="24"/>
      <c r="R9120"/>
      <c r="S9120"/>
      <c r="T9120"/>
      <c r="U9120"/>
      <c r="X9120" s="60"/>
    </row>
    <row r="9121" spans="7:24" ht="15" customHeight="1">
      <c r="G9121"/>
      <c r="I9121"/>
      <c r="N9121"/>
      <c r="O9121" s="24"/>
      <c r="P9121"/>
      <c r="Q9121" s="24"/>
      <c r="R9121"/>
      <c r="S9121"/>
      <c r="T9121"/>
      <c r="U9121"/>
      <c r="X9121" s="60"/>
    </row>
    <row r="9122" spans="7:24" ht="15" customHeight="1">
      <c r="G9122"/>
      <c r="I9122"/>
      <c r="N9122"/>
      <c r="O9122" s="24"/>
      <c r="P9122"/>
      <c r="Q9122" s="24"/>
      <c r="R9122"/>
      <c r="S9122"/>
      <c r="T9122"/>
      <c r="U9122"/>
      <c r="X9122" s="60"/>
    </row>
    <row r="9123" spans="7:24" ht="15" customHeight="1">
      <c r="G9123"/>
      <c r="I9123"/>
      <c r="N9123"/>
      <c r="O9123" s="24"/>
      <c r="P9123"/>
      <c r="Q9123" s="24"/>
      <c r="R9123"/>
      <c r="S9123"/>
      <c r="T9123"/>
      <c r="U9123"/>
      <c r="X9123" s="60"/>
    </row>
    <row r="9124" spans="7:24" ht="15" customHeight="1">
      <c r="G9124"/>
      <c r="I9124"/>
      <c r="N9124"/>
      <c r="O9124" s="24"/>
      <c r="P9124"/>
      <c r="Q9124" s="24"/>
      <c r="R9124"/>
      <c r="S9124"/>
      <c r="T9124"/>
      <c r="U9124"/>
      <c r="X9124" s="60"/>
    </row>
    <row r="9125" spans="7:24" ht="15" customHeight="1">
      <c r="G9125"/>
      <c r="I9125"/>
      <c r="N9125"/>
      <c r="O9125" s="24"/>
      <c r="P9125"/>
      <c r="Q9125" s="24"/>
      <c r="R9125"/>
      <c r="S9125"/>
      <c r="T9125"/>
      <c r="U9125"/>
      <c r="X9125" s="60"/>
    </row>
    <row r="9126" spans="7:24" ht="15" customHeight="1">
      <c r="G9126"/>
      <c r="I9126"/>
      <c r="N9126"/>
      <c r="O9126" s="24"/>
      <c r="P9126"/>
      <c r="Q9126" s="24"/>
      <c r="R9126"/>
      <c r="S9126"/>
      <c r="T9126"/>
      <c r="U9126"/>
      <c r="X9126" s="60"/>
    </row>
    <row r="9127" spans="7:24" ht="15" customHeight="1">
      <c r="G9127"/>
      <c r="I9127"/>
      <c r="N9127"/>
      <c r="O9127" s="24"/>
      <c r="P9127"/>
      <c r="Q9127" s="24"/>
      <c r="R9127"/>
      <c r="S9127"/>
      <c r="T9127"/>
      <c r="U9127"/>
      <c r="X9127" s="60"/>
    </row>
    <row r="9128" spans="7:24" ht="15" customHeight="1">
      <c r="G9128"/>
      <c r="I9128"/>
      <c r="N9128"/>
      <c r="O9128" s="24"/>
      <c r="P9128"/>
      <c r="Q9128" s="24"/>
      <c r="R9128"/>
      <c r="S9128"/>
      <c r="T9128"/>
      <c r="U9128"/>
      <c r="X9128" s="60"/>
    </row>
    <row r="9129" spans="7:24" ht="15" customHeight="1">
      <c r="G9129"/>
      <c r="I9129"/>
      <c r="N9129"/>
      <c r="O9129" s="24"/>
      <c r="P9129"/>
      <c r="Q9129" s="24"/>
      <c r="R9129"/>
      <c r="S9129"/>
      <c r="T9129"/>
      <c r="U9129"/>
      <c r="X9129" s="60"/>
    </row>
    <row r="9130" spans="7:24" ht="15" customHeight="1">
      <c r="G9130"/>
      <c r="I9130"/>
      <c r="N9130"/>
      <c r="O9130" s="24"/>
      <c r="P9130"/>
      <c r="Q9130" s="24"/>
      <c r="R9130"/>
      <c r="S9130"/>
      <c r="T9130"/>
      <c r="U9130"/>
      <c r="X9130" s="60"/>
    </row>
    <row r="9131" spans="7:24" ht="15" customHeight="1">
      <c r="G9131"/>
      <c r="I9131"/>
      <c r="N9131"/>
      <c r="O9131" s="24"/>
      <c r="P9131"/>
      <c r="Q9131" s="24"/>
      <c r="R9131"/>
      <c r="S9131"/>
      <c r="T9131"/>
      <c r="U9131"/>
      <c r="X9131" s="60"/>
    </row>
    <row r="9132" spans="7:24" ht="15" customHeight="1">
      <c r="G9132"/>
      <c r="I9132"/>
      <c r="N9132"/>
      <c r="O9132" s="24"/>
      <c r="P9132"/>
      <c r="Q9132" s="24"/>
      <c r="R9132"/>
      <c r="S9132"/>
      <c r="T9132"/>
      <c r="U9132"/>
      <c r="X9132" s="60"/>
    </row>
    <row r="9133" spans="7:24" ht="15" customHeight="1">
      <c r="G9133"/>
      <c r="I9133"/>
      <c r="N9133"/>
      <c r="O9133" s="24"/>
      <c r="P9133"/>
      <c r="Q9133" s="24"/>
      <c r="R9133"/>
      <c r="S9133"/>
      <c r="T9133"/>
      <c r="U9133"/>
      <c r="X9133" s="60"/>
    </row>
    <row r="9134" spans="7:24" ht="15" customHeight="1">
      <c r="G9134"/>
      <c r="I9134"/>
      <c r="N9134"/>
      <c r="O9134" s="24"/>
      <c r="P9134"/>
      <c r="Q9134" s="24"/>
      <c r="R9134"/>
      <c r="S9134"/>
      <c r="T9134"/>
      <c r="U9134"/>
      <c r="X9134" s="60"/>
    </row>
    <row r="9135" spans="7:24" ht="15" customHeight="1">
      <c r="G9135"/>
      <c r="I9135"/>
      <c r="N9135"/>
      <c r="O9135" s="24"/>
      <c r="P9135"/>
      <c r="Q9135" s="24"/>
      <c r="R9135"/>
      <c r="S9135"/>
      <c r="T9135"/>
      <c r="U9135"/>
      <c r="X9135" s="60"/>
    </row>
    <row r="9136" spans="7:24" ht="15" customHeight="1">
      <c r="G9136"/>
      <c r="I9136"/>
      <c r="N9136"/>
      <c r="O9136" s="24"/>
      <c r="P9136"/>
      <c r="Q9136" s="24"/>
      <c r="R9136"/>
      <c r="S9136"/>
      <c r="T9136"/>
      <c r="U9136"/>
      <c r="X9136" s="60"/>
    </row>
    <row r="9137" spans="7:24" ht="15" customHeight="1">
      <c r="G9137"/>
      <c r="I9137"/>
      <c r="N9137"/>
      <c r="O9137" s="24"/>
      <c r="P9137"/>
      <c r="Q9137" s="24"/>
      <c r="R9137"/>
      <c r="S9137"/>
      <c r="T9137"/>
      <c r="U9137"/>
      <c r="X9137" s="60"/>
    </row>
    <row r="9138" spans="7:24" ht="15" customHeight="1">
      <c r="G9138"/>
      <c r="I9138"/>
      <c r="N9138"/>
      <c r="O9138" s="24"/>
      <c r="P9138"/>
      <c r="Q9138" s="24"/>
      <c r="R9138"/>
      <c r="S9138"/>
      <c r="T9138"/>
      <c r="U9138"/>
      <c r="X9138" s="60"/>
    </row>
    <row r="9139" spans="7:24" ht="15" customHeight="1">
      <c r="G9139"/>
      <c r="I9139"/>
      <c r="N9139"/>
      <c r="O9139" s="24"/>
      <c r="P9139"/>
      <c r="Q9139" s="24"/>
      <c r="R9139"/>
      <c r="S9139"/>
      <c r="T9139"/>
      <c r="U9139"/>
      <c r="X9139" s="60"/>
    </row>
    <row r="9140" spans="7:24" ht="15" customHeight="1">
      <c r="G9140"/>
      <c r="I9140"/>
      <c r="N9140"/>
      <c r="O9140" s="24"/>
      <c r="P9140"/>
      <c r="Q9140" s="24"/>
      <c r="R9140"/>
      <c r="S9140"/>
      <c r="T9140"/>
      <c r="U9140"/>
      <c r="X9140" s="60"/>
    </row>
    <row r="9141" spans="7:24" ht="15" customHeight="1">
      <c r="G9141"/>
      <c r="I9141"/>
      <c r="N9141"/>
      <c r="O9141" s="24"/>
      <c r="P9141"/>
      <c r="Q9141" s="24"/>
      <c r="R9141"/>
      <c r="S9141"/>
      <c r="T9141"/>
      <c r="U9141"/>
      <c r="X9141" s="60"/>
    </row>
    <row r="9142" spans="7:24" ht="15" customHeight="1">
      <c r="G9142"/>
      <c r="I9142"/>
      <c r="N9142"/>
      <c r="O9142" s="24"/>
      <c r="P9142"/>
      <c r="Q9142" s="24"/>
      <c r="R9142"/>
      <c r="S9142"/>
      <c r="T9142"/>
      <c r="U9142"/>
      <c r="X9142" s="60"/>
    </row>
    <row r="9143" spans="7:24" ht="15" customHeight="1">
      <c r="G9143"/>
      <c r="I9143"/>
      <c r="N9143"/>
      <c r="O9143" s="24"/>
      <c r="P9143"/>
      <c r="Q9143" s="24"/>
      <c r="R9143"/>
      <c r="S9143"/>
      <c r="T9143"/>
      <c r="U9143"/>
      <c r="X9143" s="60"/>
    </row>
    <row r="9144" spans="7:24" ht="15" customHeight="1">
      <c r="G9144"/>
      <c r="I9144"/>
      <c r="N9144"/>
      <c r="O9144" s="24"/>
      <c r="P9144"/>
      <c r="Q9144" s="24"/>
      <c r="R9144"/>
      <c r="S9144"/>
      <c r="T9144"/>
      <c r="U9144"/>
      <c r="X9144" s="60"/>
    </row>
    <row r="9145" spans="7:24" ht="15" customHeight="1">
      <c r="G9145"/>
      <c r="I9145"/>
      <c r="N9145"/>
      <c r="O9145" s="24"/>
      <c r="P9145"/>
      <c r="Q9145" s="24"/>
      <c r="R9145"/>
      <c r="S9145"/>
      <c r="T9145"/>
      <c r="U9145"/>
      <c r="X9145" s="60"/>
    </row>
    <row r="9146" spans="7:24" ht="15" customHeight="1">
      <c r="G9146"/>
      <c r="I9146"/>
      <c r="N9146"/>
      <c r="O9146" s="24"/>
      <c r="P9146"/>
      <c r="Q9146" s="24"/>
      <c r="R9146"/>
      <c r="S9146"/>
      <c r="T9146"/>
      <c r="U9146"/>
      <c r="X9146" s="60"/>
    </row>
    <row r="9147" spans="7:24" ht="15" customHeight="1">
      <c r="G9147"/>
      <c r="I9147"/>
      <c r="N9147"/>
      <c r="O9147" s="24"/>
      <c r="P9147"/>
      <c r="Q9147" s="24"/>
      <c r="R9147"/>
      <c r="S9147"/>
      <c r="T9147"/>
      <c r="U9147"/>
      <c r="X9147" s="60"/>
    </row>
    <row r="9148" spans="7:24" ht="15" customHeight="1">
      <c r="G9148"/>
      <c r="I9148"/>
      <c r="N9148"/>
      <c r="O9148" s="24"/>
      <c r="P9148"/>
      <c r="Q9148" s="24"/>
      <c r="R9148"/>
      <c r="S9148"/>
      <c r="T9148"/>
      <c r="U9148"/>
      <c r="X9148" s="60"/>
    </row>
    <row r="9149" spans="7:24" ht="15" customHeight="1">
      <c r="G9149"/>
      <c r="I9149"/>
      <c r="N9149"/>
      <c r="O9149" s="24"/>
      <c r="P9149"/>
      <c r="Q9149" s="24"/>
      <c r="R9149"/>
      <c r="S9149"/>
      <c r="T9149"/>
      <c r="U9149"/>
      <c r="X9149" s="60"/>
    </row>
    <row r="9150" spans="7:24" ht="15" customHeight="1">
      <c r="G9150"/>
      <c r="I9150"/>
      <c r="N9150"/>
      <c r="O9150" s="24"/>
      <c r="P9150"/>
      <c r="Q9150" s="24"/>
      <c r="R9150"/>
      <c r="S9150"/>
      <c r="T9150"/>
      <c r="U9150"/>
      <c r="X9150" s="60"/>
    </row>
    <row r="9151" spans="7:24" ht="15" customHeight="1">
      <c r="G9151"/>
      <c r="I9151"/>
      <c r="N9151"/>
      <c r="O9151" s="24"/>
      <c r="P9151"/>
      <c r="Q9151" s="24"/>
      <c r="R9151"/>
      <c r="S9151"/>
      <c r="T9151"/>
      <c r="U9151"/>
      <c r="X9151" s="60"/>
    </row>
    <row r="9152" spans="7:24" ht="15" customHeight="1">
      <c r="G9152"/>
      <c r="I9152"/>
      <c r="N9152"/>
      <c r="O9152" s="24"/>
      <c r="P9152"/>
      <c r="Q9152" s="24"/>
      <c r="R9152"/>
      <c r="S9152"/>
      <c r="T9152"/>
      <c r="U9152"/>
      <c r="X9152" s="60"/>
    </row>
    <row r="9153" spans="7:24" ht="15" customHeight="1">
      <c r="G9153"/>
      <c r="I9153"/>
      <c r="N9153"/>
      <c r="O9153" s="24"/>
      <c r="P9153"/>
      <c r="Q9153" s="24"/>
      <c r="R9153"/>
      <c r="S9153"/>
      <c r="T9153"/>
      <c r="U9153"/>
      <c r="X9153" s="60"/>
    </row>
    <row r="9154" spans="7:24" ht="15" customHeight="1">
      <c r="G9154"/>
      <c r="I9154"/>
      <c r="N9154"/>
      <c r="O9154" s="24"/>
      <c r="P9154"/>
      <c r="Q9154" s="24"/>
      <c r="R9154"/>
      <c r="S9154"/>
      <c r="T9154"/>
      <c r="U9154"/>
      <c r="X9154" s="60"/>
    </row>
    <row r="9155" spans="7:24" ht="15" customHeight="1">
      <c r="G9155"/>
      <c r="I9155"/>
      <c r="N9155"/>
      <c r="O9155" s="24"/>
      <c r="P9155"/>
      <c r="Q9155" s="24"/>
      <c r="R9155"/>
      <c r="S9155"/>
      <c r="T9155"/>
      <c r="U9155"/>
      <c r="X9155" s="60"/>
    </row>
    <row r="9156" spans="7:24" ht="15" customHeight="1">
      <c r="G9156"/>
      <c r="I9156"/>
      <c r="N9156"/>
      <c r="O9156" s="24"/>
      <c r="P9156"/>
      <c r="Q9156" s="24"/>
      <c r="R9156"/>
      <c r="S9156"/>
      <c r="T9156"/>
      <c r="U9156"/>
      <c r="X9156" s="60"/>
    </row>
    <row r="9157" spans="7:24" ht="15" customHeight="1">
      <c r="G9157"/>
      <c r="I9157"/>
      <c r="N9157"/>
      <c r="O9157" s="24"/>
      <c r="P9157"/>
      <c r="Q9157" s="24"/>
      <c r="R9157"/>
      <c r="S9157"/>
      <c r="T9157"/>
      <c r="U9157"/>
      <c r="X9157" s="60"/>
    </row>
    <row r="9158" spans="7:24" ht="15" customHeight="1">
      <c r="G9158"/>
      <c r="I9158"/>
      <c r="N9158"/>
      <c r="O9158" s="24"/>
      <c r="P9158"/>
      <c r="Q9158" s="24"/>
      <c r="R9158"/>
      <c r="S9158"/>
      <c r="T9158"/>
      <c r="U9158"/>
      <c r="X9158" s="60"/>
    </row>
    <row r="9159" spans="7:24" ht="15" customHeight="1">
      <c r="G9159"/>
      <c r="I9159"/>
      <c r="N9159"/>
      <c r="O9159" s="24"/>
      <c r="P9159"/>
      <c r="Q9159" s="24"/>
      <c r="R9159"/>
      <c r="S9159"/>
      <c r="T9159"/>
      <c r="U9159"/>
      <c r="X9159" s="60"/>
    </row>
    <row r="9160" spans="7:24" ht="15" customHeight="1">
      <c r="G9160"/>
      <c r="I9160"/>
      <c r="N9160"/>
      <c r="O9160" s="24"/>
      <c r="P9160"/>
      <c r="Q9160" s="24"/>
      <c r="R9160"/>
      <c r="S9160"/>
      <c r="T9160"/>
      <c r="U9160"/>
      <c r="X9160" s="60"/>
    </row>
    <row r="9161" spans="7:24" ht="15" customHeight="1">
      <c r="G9161"/>
      <c r="I9161"/>
      <c r="N9161"/>
      <c r="O9161" s="24"/>
      <c r="P9161"/>
      <c r="Q9161" s="24"/>
      <c r="R9161"/>
      <c r="S9161"/>
      <c r="T9161"/>
      <c r="U9161"/>
      <c r="X9161" s="60"/>
    </row>
    <row r="9162" spans="7:24" ht="15" customHeight="1">
      <c r="G9162"/>
      <c r="I9162"/>
      <c r="N9162"/>
      <c r="O9162" s="24"/>
      <c r="P9162"/>
      <c r="Q9162" s="24"/>
      <c r="R9162"/>
      <c r="S9162"/>
      <c r="T9162"/>
      <c r="U9162"/>
      <c r="X9162" s="60"/>
    </row>
    <row r="9163" spans="7:24" ht="15" customHeight="1">
      <c r="G9163"/>
      <c r="I9163"/>
      <c r="N9163"/>
      <c r="O9163" s="24"/>
      <c r="P9163"/>
      <c r="Q9163" s="24"/>
      <c r="R9163"/>
      <c r="S9163"/>
      <c r="T9163"/>
      <c r="U9163"/>
      <c r="X9163" s="60"/>
    </row>
    <row r="9164" spans="7:24" ht="15" customHeight="1">
      <c r="G9164"/>
      <c r="I9164"/>
      <c r="N9164"/>
      <c r="O9164" s="24"/>
      <c r="P9164"/>
      <c r="Q9164" s="24"/>
      <c r="R9164"/>
      <c r="S9164"/>
      <c r="T9164"/>
      <c r="U9164"/>
      <c r="X9164" s="60"/>
    </row>
    <row r="9165" spans="7:24" ht="15" customHeight="1">
      <c r="G9165"/>
      <c r="I9165"/>
      <c r="N9165"/>
      <c r="O9165" s="24"/>
      <c r="P9165"/>
      <c r="Q9165" s="24"/>
      <c r="R9165"/>
      <c r="S9165"/>
      <c r="T9165"/>
      <c r="U9165"/>
      <c r="X9165" s="60"/>
    </row>
    <row r="9166" spans="7:24" ht="15" customHeight="1">
      <c r="G9166"/>
      <c r="I9166"/>
      <c r="N9166"/>
      <c r="O9166" s="24"/>
      <c r="P9166"/>
      <c r="Q9166" s="24"/>
      <c r="R9166"/>
      <c r="S9166"/>
      <c r="T9166"/>
      <c r="U9166"/>
      <c r="X9166" s="60"/>
    </row>
    <row r="9167" spans="7:24" ht="15" customHeight="1">
      <c r="G9167"/>
      <c r="I9167"/>
      <c r="N9167"/>
      <c r="O9167" s="24"/>
      <c r="P9167"/>
      <c r="Q9167" s="24"/>
      <c r="R9167"/>
      <c r="S9167"/>
      <c r="T9167"/>
      <c r="U9167"/>
      <c r="X9167" s="60"/>
    </row>
    <row r="9168" spans="7:24" ht="15" customHeight="1">
      <c r="G9168"/>
      <c r="I9168"/>
      <c r="N9168"/>
      <c r="O9168" s="24"/>
      <c r="P9168"/>
      <c r="Q9168" s="24"/>
      <c r="R9168"/>
      <c r="S9168"/>
      <c r="T9168"/>
      <c r="U9168"/>
      <c r="X9168" s="60"/>
    </row>
    <row r="9169" spans="7:24" ht="15" customHeight="1">
      <c r="G9169"/>
      <c r="I9169"/>
      <c r="N9169"/>
      <c r="O9169" s="24"/>
      <c r="P9169"/>
      <c r="Q9169" s="24"/>
      <c r="R9169"/>
      <c r="S9169"/>
      <c r="T9169"/>
      <c r="U9169"/>
      <c r="X9169" s="60"/>
    </row>
    <row r="9170" spans="7:24" ht="15" customHeight="1">
      <c r="G9170"/>
      <c r="I9170"/>
      <c r="N9170"/>
      <c r="O9170" s="24"/>
      <c r="P9170"/>
      <c r="Q9170" s="24"/>
      <c r="R9170"/>
      <c r="S9170"/>
      <c r="T9170"/>
      <c r="U9170"/>
      <c r="X9170" s="60"/>
    </row>
    <row r="9171" spans="7:24" ht="15" customHeight="1">
      <c r="G9171"/>
      <c r="I9171"/>
      <c r="N9171"/>
      <c r="O9171" s="24"/>
      <c r="P9171"/>
      <c r="Q9171" s="24"/>
      <c r="R9171"/>
      <c r="S9171"/>
      <c r="T9171"/>
      <c r="U9171"/>
      <c r="X9171" s="60"/>
    </row>
    <row r="9172" spans="7:24" ht="15" customHeight="1">
      <c r="G9172"/>
      <c r="I9172"/>
      <c r="N9172"/>
      <c r="O9172" s="24"/>
      <c r="P9172"/>
      <c r="Q9172" s="24"/>
      <c r="R9172"/>
      <c r="S9172"/>
      <c r="T9172"/>
      <c r="U9172"/>
      <c r="X9172" s="60"/>
    </row>
    <row r="9173" spans="7:24" ht="15" customHeight="1">
      <c r="G9173"/>
      <c r="I9173"/>
      <c r="N9173"/>
      <c r="O9173" s="24"/>
      <c r="P9173"/>
      <c r="Q9173" s="24"/>
      <c r="R9173"/>
      <c r="S9173"/>
      <c r="T9173"/>
      <c r="U9173"/>
      <c r="X9173" s="60"/>
    </row>
    <row r="9174" spans="7:24" ht="15" customHeight="1">
      <c r="G9174"/>
      <c r="I9174"/>
      <c r="N9174"/>
      <c r="O9174" s="24"/>
      <c r="P9174"/>
      <c r="Q9174" s="24"/>
      <c r="R9174"/>
      <c r="S9174"/>
      <c r="T9174"/>
      <c r="U9174"/>
      <c r="X9174" s="60"/>
    </row>
    <row r="9175" spans="7:24" ht="15" customHeight="1">
      <c r="G9175"/>
      <c r="I9175"/>
      <c r="N9175"/>
      <c r="O9175" s="24"/>
      <c r="P9175"/>
      <c r="Q9175" s="24"/>
      <c r="R9175"/>
      <c r="S9175"/>
      <c r="T9175"/>
      <c r="U9175"/>
      <c r="X9175" s="60"/>
    </row>
    <row r="9176" spans="7:24" ht="15" customHeight="1">
      <c r="G9176"/>
      <c r="I9176"/>
      <c r="N9176"/>
      <c r="O9176" s="24"/>
      <c r="P9176"/>
      <c r="Q9176" s="24"/>
      <c r="R9176"/>
      <c r="S9176"/>
      <c r="T9176"/>
      <c r="U9176"/>
      <c r="X9176" s="60"/>
    </row>
    <row r="9177" spans="7:24" ht="15" customHeight="1">
      <c r="G9177"/>
      <c r="I9177"/>
      <c r="N9177"/>
      <c r="O9177" s="24"/>
      <c r="P9177"/>
      <c r="Q9177" s="24"/>
      <c r="R9177"/>
      <c r="S9177"/>
      <c r="T9177"/>
      <c r="U9177"/>
      <c r="X9177" s="60"/>
    </row>
    <row r="9178" spans="7:24" ht="15" customHeight="1">
      <c r="G9178"/>
      <c r="I9178"/>
      <c r="N9178"/>
      <c r="O9178" s="24"/>
      <c r="P9178"/>
      <c r="Q9178" s="24"/>
      <c r="R9178"/>
      <c r="S9178"/>
      <c r="T9178"/>
      <c r="U9178"/>
      <c r="X9178" s="60"/>
    </row>
    <row r="9179" spans="7:24" ht="15" customHeight="1">
      <c r="G9179"/>
      <c r="I9179"/>
      <c r="N9179"/>
      <c r="O9179" s="24"/>
      <c r="P9179"/>
      <c r="Q9179" s="24"/>
      <c r="R9179"/>
      <c r="S9179"/>
      <c r="T9179"/>
      <c r="U9179"/>
      <c r="X9179" s="60"/>
    </row>
    <row r="9180" spans="7:24" ht="15" customHeight="1">
      <c r="G9180"/>
      <c r="I9180"/>
      <c r="N9180"/>
      <c r="O9180" s="24"/>
      <c r="P9180"/>
      <c r="Q9180" s="24"/>
      <c r="R9180"/>
      <c r="S9180"/>
      <c r="T9180"/>
      <c r="U9180"/>
      <c r="X9180" s="60"/>
    </row>
    <row r="9181" spans="7:24" ht="15" customHeight="1">
      <c r="G9181"/>
      <c r="I9181"/>
      <c r="N9181"/>
      <c r="O9181" s="24"/>
      <c r="P9181"/>
      <c r="Q9181" s="24"/>
      <c r="R9181"/>
      <c r="S9181"/>
      <c r="T9181"/>
      <c r="U9181"/>
      <c r="X9181" s="60"/>
    </row>
    <row r="9182" spans="7:24" ht="15" customHeight="1">
      <c r="G9182"/>
      <c r="I9182"/>
      <c r="N9182"/>
      <c r="O9182" s="24"/>
      <c r="P9182"/>
      <c r="Q9182" s="24"/>
      <c r="R9182"/>
      <c r="S9182"/>
      <c r="T9182"/>
      <c r="U9182"/>
      <c r="X9182" s="60"/>
    </row>
    <row r="9183" spans="7:24" ht="15" customHeight="1">
      <c r="G9183"/>
      <c r="I9183"/>
      <c r="N9183"/>
      <c r="O9183" s="24"/>
      <c r="P9183"/>
      <c r="Q9183" s="24"/>
      <c r="R9183"/>
      <c r="S9183"/>
      <c r="T9183"/>
      <c r="U9183"/>
      <c r="X9183" s="60"/>
    </row>
    <row r="9184" spans="7:24" ht="15" customHeight="1">
      <c r="G9184"/>
      <c r="I9184"/>
      <c r="N9184"/>
      <c r="O9184" s="24"/>
      <c r="P9184"/>
      <c r="Q9184" s="24"/>
      <c r="R9184"/>
      <c r="S9184"/>
      <c r="T9184"/>
      <c r="U9184"/>
      <c r="X9184" s="60"/>
    </row>
    <row r="9185" spans="7:24" ht="15" customHeight="1">
      <c r="G9185"/>
      <c r="I9185"/>
      <c r="N9185"/>
      <c r="O9185" s="24"/>
      <c r="P9185"/>
      <c r="Q9185" s="24"/>
      <c r="R9185"/>
      <c r="S9185"/>
      <c r="T9185"/>
      <c r="U9185"/>
      <c r="X9185" s="60"/>
    </row>
    <row r="9186" spans="7:24" ht="15" customHeight="1">
      <c r="G9186"/>
      <c r="I9186"/>
      <c r="N9186"/>
      <c r="O9186" s="24"/>
      <c r="P9186"/>
      <c r="Q9186" s="24"/>
      <c r="R9186"/>
      <c r="S9186"/>
      <c r="T9186"/>
      <c r="U9186"/>
      <c r="X9186" s="60"/>
    </row>
    <row r="9187" spans="7:24" ht="15" customHeight="1">
      <c r="G9187"/>
      <c r="I9187"/>
      <c r="N9187"/>
      <c r="O9187" s="24"/>
      <c r="P9187"/>
      <c r="Q9187" s="24"/>
      <c r="R9187"/>
      <c r="S9187"/>
      <c r="T9187"/>
      <c r="U9187"/>
      <c r="X9187" s="60"/>
    </row>
    <row r="9188" spans="7:24" ht="15" customHeight="1">
      <c r="G9188"/>
      <c r="I9188"/>
      <c r="N9188"/>
      <c r="O9188" s="24"/>
      <c r="P9188"/>
      <c r="Q9188" s="24"/>
      <c r="R9188"/>
      <c r="S9188"/>
      <c r="T9188"/>
      <c r="U9188"/>
      <c r="X9188" s="60"/>
    </row>
    <row r="9189" spans="7:24" ht="15" customHeight="1">
      <c r="G9189"/>
      <c r="I9189"/>
      <c r="N9189"/>
      <c r="O9189" s="24"/>
      <c r="P9189"/>
      <c r="Q9189" s="24"/>
      <c r="R9189"/>
      <c r="S9189"/>
      <c r="T9189"/>
      <c r="U9189"/>
      <c r="X9189" s="60"/>
    </row>
    <row r="9190" spans="7:24" ht="15" customHeight="1">
      <c r="G9190"/>
      <c r="I9190"/>
      <c r="N9190"/>
      <c r="O9190" s="24"/>
      <c r="P9190"/>
      <c r="Q9190" s="24"/>
      <c r="R9190"/>
      <c r="S9190"/>
      <c r="T9190"/>
      <c r="U9190"/>
      <c r="X9190" s="60"/>
    </row>
    <row r="9191" spans="7:24" ht="15" customHeight="1">
      <c r="G9191"/>
      <c r="I9191"/>
      <c r="N9191"/>
      <c r="O9191" s="24"/>
      <c r="P9191"/>
      <c r="Q9191" s="24"/>
      <c r="R9191"/>
      <c r="S9191"/>
      <c r="T9191"/>
      <c r="U9191"/>
      <c r="X9191" s="60"/>
    </row>
    <row r="9192" spans="7:24" ht="15" customHeight="1">
      <c r="G9192"/>
      <c r="I9192"/>
      <c r="N9192"/>
      <c r="O9192" s="24"/>
      <c r="P9192"/>
      <c r="Q9192" s="24"/>
      <c r="R9192"/>
      <c r="S9192"/>
      <c r="T9192"/>
      <c r="U9192"/>
      <c r="X9192" s="60"/>
    </row>
    <row r="9193" spans="7:24" ht="15" customHeight="1">
      <c r="G9193"/>
      <c r="I9193"/>
      <c r="N9193"/>
      <c r="O9193" s="24"/>
      <c r="P9193"/>
      <c r="Q9193" s="24"/>
      <c r="R9193"/>
      <c r="S9193"/>
      <c r="T9193"/>
      <c r="U9193"/>
      <c r="X9193" s="60"/>
    </row>
    <row r="9194" spans="7:24" ht="15" customHeight="1">
      <c r="G9194"/>
      <c r="I9194"/>
      <c r="N9194"/>
      <c r="O9194" s="24"/>
      <c r="P9194"/>
      <c r="Q9194" s="24"/>
      <c r="R9194"/>
      <c r="S9194"/>
      <c r="T9194"/>
      <c r="U9194"/>
      <c r="X9194" s="60"/>
    </row>
    <row r="9195" spans="7:24" ht="15" customHeight="1">
      <c r="G9195"/>
      <c r="I9195"/>
      <c r="N9195"/>
      <c r="O9195" s="24"/>
      <c r="P9195"/>
      <c r="Q9195" s="24"/>
      <c r="R9195"/>
      <c r="S9195"/>
      <c r="T9195"/>
      <c r="U9195"/>
      <c r="X9195" s="60"/>
    </row>
    <row r="9196" spans="7:24" ht="15" customHeight="1">
      <c r="G9196"/>
      <c r="I9196"/>
      <c r="N9196"/>
      <c r="O9196" s="24"/>
      <c r="P9196"/>
      <c r="Q9196" s="24"/>
      <c r="R9196"/>
      <c r="S9196"/>
      <c r="T9196"/>
      <c r="U9196"/>
      <c r="X9196" s="60"/>
    </row>
    <row r="9197" spans="7:24" ht="15" customHeight="1">
      <c r="G9197"/>
      <c r="I9197"/>
      <c r="N9197"/>
      <c r="O9197" s="24"/>
      <c r="P9197"/>
      <c r="Q9197" s="24"/>
      <c r="R9197"/>
      <c r="S9197"/>
      <c r="T9197"/>
      <c r="U9197"/>
      <c r="X9197" s="60"/>
    </row>
    <row r="9198" spans="7:24" ht="15" customHeight="1">
      <c r="G9198"/>
      <c r="I9198"/>
      <c r="N9198"/>
      <c r="O9198" s="24"/>
      <c r="P9198"/>
      <c r="Q9198" s="24"/>
      <c r="R9198"/>
      <c r="S9198"/>
      <c r="T9198"/>
      <c r="U9198"/>
      <c r="X9198" s="60"/>
    </row>
    <row r="9199" spans="7:24" ht="15" customHeight="1">
      <c r="G9199"/>
      <c r="I9199"/>
      <c r="N9199"/>
      <c r="O9199" s="24"/>
      <c r="P9199"/>
      <c r="Q9199" s="24"/>
      <c r="R9199"/>
      <c r="S9199"/>
      <c r="T9199"/>
      <c r="U9199"/>
      <c r="X9199" s="60"/>
    </row>
    <row r="9200" spans="7:24" ht="15" customHeight="1">
      <c r="G9200"/>
      <c r="I9200"/>
      <c r="N9200"/>
      <c r="O9200" s="24"/>
      <c r="P9200"/>
      <c r="Q9200" s="24"/>
      <c r="R9200"/>
      <c r="S9200"/>
      <c r="T9200"/>
      <c r="U9200"/>
      <c r="X9200" s="60"/>
    </row>
    <row r="9201" spans="7:24" ht="15" customHeight="1">
      <c r="G9201"/>
      <c r="I9201"/>
      <c r="N9201"/>
      <c r="O9201" s="24"/>
      <c r="P9201"/>
      <c r="Q9201" s="24"/>
      <c r="R9201"/>
      <c r="S9201"/>
      <c r="T9201"/>
      <c r="U9201"/>
      <c r="X9201" s="60"/>
    </row>
    <row r="9202" spans="7:24" ht="15" customHeight="1">
      <c r="G9202"/>
      <c r="I9202"/>
      <c r="N9202"/>
      <c r="O9202" s="24"/>
      <c r="P9202"/>
      <c r="Q9202" s="24"/>
      <c r="R9202"/>
      <c r="S9202"/>
      <c r="T9202"/>
      <c r="U9202"/>
      <c r="X9202" s="60"/>
    </row>
    <row r="9203" spans="7:24" ht="15" customHeight="1">
      <c r="G9203"/>
      <c r="I9203"/>
      <c r="N9203"/>
      <c r="O9203" s="24"/>
      <c r="P9203"/>
      <c r="Q9203" s="24"/>
      <c r="R9203"/>
      <c r="S9203"/>
      <c r="T9203"/>
      <c r="U9203"/>
      <c r="X9203" s="60"/>
    </row>
    <row r="9204" spans="7:24" ht="15" customHeight="1">
      <c r="G9204"/>
      <c r="I9204"/>
      <c r="N9204"/>
      <c r="O9204" s="24"/>
      <c r="P9204"/>
      <c r="Q9204" s="24"/>
      <c r="R9204"/>
      <c r="S9204"/>
      <c r="T9204"/>
      <c r="U9204"/>
      <c r="X9204" s="60"/>
    </row>
    <row r="9205" spans="7:24" ht="15" customHeight="1">
      <c r="G9205"/>
      <c r="I9205"/>
      <c r="N9205"/>
      <c r="O9205" s="24"/>
      <c r="P9205"/>
      <c r="Q9205" s="24"/>
      <c r="R9205"/>
      <c r="S9205"/>
      <c r="T9205"/>
      <c r="U9205"/>
      <c r="X9205" s="60"/>
    </row>
    <row r="9206" spans="7:24" ht="15" customHeight="1">
      <c r="G9206"/>
      <c r="I9206"/>
      <c r="N9206"/>
      <c r="O9206" s="24"/>
      <c r="P9206"/>
      <c r="Q9206" s="24"/>
      <c r="R9206"/>
      <c r="S9206"/>
      <c r="T9206"/>
      <c r="U9206"/>
      <c r="X9206" s="60"/>
    </row>
    <row r="9207" spans="7:24" ht="15" customHeight="1">
      <c r="G9207"/>
      <c r="I9207"/>
      <c r="N9207"/>
      <c r="O9207" s="24"/>
      <c r="P9207"/>
      <c r="Q9207" s="24"/>
      <c r="R9207"/>
      <c r="S9207"/>
      <c r="T9207"/>
      <c r="U9207"/>
      <c r="X9207" s="60"/>
    </row>
    <row r="9208" spans="7:24" ht="15" customHeight="1">
      <c r="G9208"/>
      <c r="I9208"/>
      <c r="N9208"/>
      <c r="O9208" s="24"/>
      <c r="P9208"/>
      <c r="Q9208" s="24"/>
      <c r="R9208"/>
      <c r="S9208"/>
      <c r="T9208"/>
      <c r="U9208"/>
      <c r="X9208" s="60"/>
    </row>
    <row r="9209" spans="7:24" ht="15" customHeight="1">
      <c r="G9209"/>
      <c r="I9209"/>
      <c r="N9209"/>
      <c r="O9209" s="24"/>
      <c r="P9209"/>
      <c r="Q9209" s="24"/>
      <c r="R9209"/>
      <c r="S9209"/>
      <c r="T9209"/>
      <c r="U9209"/>
      <c r="X9209" s="60"/>
    </row>
    <row r="9210" spans="7:24" ht="15" customHeight="1">
      <c r="G9210"/>
      <c r="I9210"/>
      <c r="N9210"/>
      <c r="O9210" s="24"/>
      <c r="P9210"/>
      <c r="Q9210" s="24"/>
      <c r="R9210"/>
      <c r="S9210"/>
      <c r="T9210"/>
      <c r="U9210"/>
      <c r="X9210" s="60"/>
    </row>
    <row r="9211" spans="7:24" ht="15" customHeight="1">
      <c r="G9211"/>
      <c r="I9211"/>
      <c r="N9211"/>
      <c r="O9211" s="24"/>
      <c r="P9211"/>
      <c r="Q9211" s="24"/>
      <c r="R9211"/>
      <c r="S9211"/>
      <c r="T9211"/>
      <c r="U9211"/>
      <c r="X9211" s="60"/>
    </row>
    <row r="9212" spans="7:24" ht="15" customHeight="1">
      <c r="G9212"/>
      <c r="I9212"/>
      <c r="N9212"/>
      <c r="O9212" s="24"/>
      <c r="P9212"/>
      <c r="Q9212" s="24"/>
      <c r="R9212"/>
      <c r="S9212"/>
      <c r="T9212"/>
      <c r="U9212"/>
      <c r="X9212" s="60"/>
    </row>
    <row r="9213" spans="7:24" ht="15" customHeight="1">
      <c r="G9213"/>
      <c r="I9213"/>
      <c r="N9213"/>
      <c r="O9213" s="24"/>
      <c r="P9213"/>
      <c r="Q9213" s="24"/>
      <c r="R9213"/>
      <c r="S9213"/>
      <c r="T9213"/>
      <c r="U9213"/>
      <c r="X9213" s="60"/>
    </row>
    <row r="9214" spans="7:24" ht="15" customHeight="1">
      <c r="G9214"/>
      <c r="I9214"/>
      <c r="N9214"/>
      <c r="O9214" s="24"/>
      <c r="P9214"/>
      <c r="Q9214" s="24"/>
      <c r="R9214"/>
      <c r="S9214"/>
      <c r="T9214"/>
      <c r="U9214"/>
      <c r="X9214" s="60"/>
    </row>
    <row r="9215" spans="7:24" ht="15" customHeight="1">
      <c r="G9215"/>
      <c r="I9215"/>
      <c r="N9215"/>
      <c r="O9215" s="24"/>
      <c r="P9215"/>
      <c r="Q9215" s="24"/>
      <c r="R9215"/>
      <c r="S9215"/>
      <c r="T9215"/>
      <c r="U9215"/>
      <c r="X9215" s="60"/>
    </row>
    <row r="9216" spans="7:24" ht="15" customHeight="1">
      <c r="G9216"/>
      <c r="I9216"/>
      <c r="N9216"/>
      <c r="O9216" s="24"/>
      <c r="P9216"/>
      <c r="Q9216" s="24"/>
      <c r="R9216"/>
      <c r="S9216"/>
      <c r="T9216"/>
      <c r="U9216"/>
      <c r="X9216" s="60"/>
    </row>
    <row r="9217" spans="7:24" ht="15" customHeight="1">
      <c r="G9217"/>
      <c r="I9217"/>
      <c r="N9217"/>
      <c r="O9217" s="24"/>
      <c r="P9217"/>
      <c r="Q9217" s="24"/>
      <c r="R9217"/>
      <c r="S9217"/>
      <c r="T9217"/>
      <c r="U9217"/>
      <c r="X9217" s="60"/>
    </row>
    <row r="9218" spans="7:24" ht="15" customHeight="1">
      <c r="G9218"/>
      <c r="I9218"/>
      <c r="N9218"/>
      <c r="O9218" s="24"/>
      <c r="P9218"/>
      <c r="Q9218" s="24"/>
      <c r="R9218"/>
      <c r="S9218"/>
      <c r="T9218"/>
      <c r="U9218"/>
      <c r="X9218" s="60"/>
    </row>
    <row r="9219" spans="7:24" ht="15" customHeight="1">
      <c r="G9219"/>
      <c r="I9219"/>
      <c r="N9219"/>
      <c r="O9219" s="24"/>
      <c r="P9219"/>
      <c r="Q9219" s="24"/>
      <c r="R9219"/>
      <c r="S9219"/>
      <c r="T9219"/>
      <c r="U9219"/>
      <c r="X9219" s="60"/>
    </row>
    <row r="9220" spans="7:24" ht="15" customHeight="1">
      <c r="G9220"/>
      <c r="I9220"/>
      <c r="N9220"/>
      <c r="O9220" s="24"/>
      <c r="P9220"/>
      <c r="Q9220" s="24"/>
      <c r="R9220"/>
      <c r="S9220"/>
      <c r="T9220"/>
      <c r="U9220"/>
      <c r="X9220" s="60"/>
    </row>
    <row r="9221" spans="7:24" ht="15" customHeight="1">
      <c r="G9221"/>
      <c r="I9221"/>
      <c r="N9221"/>
      <c r="O9221" s="24"/>
      <c r="P9221"/>
      <c r="Q9221" s="24"/>
      <c r="R9221"/>
      <c r="S9221"/>
      <c r="T9221"/>
      <c r="U9221"/>
      <c r="X9221" s="60"/>
    </row>
    <row r="9222" spans="7:24" ht="15" customHeight="1">
      <c r="G9222"/>
      <c r="I9222"/>
      <c r="N9222"/>
      <c r="O9222" s="24"/>
      <c r="P9222"/>
      <c r="Q9222" s="24"/>
      <c r="R9222"/>
      <c r="S9222"/>
      <c r="T9222"/>
      <c r="U9222"/>
      <c r="X9222" s="60"/>
    </row>
    <row r="9223" spans="7:24" ht="15" customHeight="1">
      <c r="G9223"/>
      <c r="I9223"/>
      <c r="N9223"/>
      <c r="O9223" s="24"/>
      <c r="P9223"/>
      <c r="Q9223" s="24"/>
      <c r="R9223"/>
      <c r="S9223"/>
      <c r="T9223"/>
      <c r="U9223"/>
      <c r="X9223" s="60"/>
    </row>
    <row r="9224" spans="7:24" ht="15" customHeight="1">
      <c r="G9224"/>
      <c r="I9224"/>
      <c r="N9224"/>
      <c r="O9224" s="24"/>
      <c r="P9224"/>
      <c r="Q9224" s="24"/>
      <c r="R9224"/>
      <c r="S9224"/>
      <c r="T9224"/>
      <c r="U9224"/>
      <c r="X9224" s="60"/>
    </row>
    <row r="9225" spans="7:24" ht="15" customHeight="1">
      <c r="G9225"/>
      <c r="I9225"/>
      <c r="N9225"/>
      <c r="O9225" s="24"/>
      <c r="P9225"/>
      <c r="Q9225" s="24"/>
      <c r="R9225"/>
      <c r="S9225"/>
      <c r="T9225"/>
      <c r="U9225"/>
      <c r="X9225" s="60"/>
    </row>
    <row r="9226" spans="7:24" ht="15" customHeight="1">
      <c r="G9226"/>
      <c r="I9226"/>
      <c r="N9226"/>
      <c r="O9226" s="24"/>
      <c r="P9226"/>
      <c r="Q9226" s="24"/>
      <c r="R9226"/>
      <c r="S9226"/>
      <c r="T9226"/>
      <c r="U9226"/>
      <c r="X9226" s="60"/>
    </row>
    <row r="9227" spans="7:24" ht="15" customHeight="1">
      <c r="G9227"/>
      <c r="I9227"/>
      <c r="N9227"/>
      <c r="O9227" s="24"/>
      <c r="P9227"/>
      <c r="Q9227" s="24"/>
      <c r="R9227"/>
      <c r="S9227"/>
      <c r="T9227"/>
      <c r="U9227"/>
      <c r="X9227" s="60"/>
    </row>
    <row r="9228" spans="7:24" ht="15" customHeight="1">
      <c r="G9228"/>
      <c r="I9228"/>
      <c r="N9228"/>
      <c r="O9228" s="24"/>
      <c r="P9228"/>
      <c r="Q9228" s="24"/>
      <c r="R9228"/>
      <c r="S9228"/>
      <c r="T9228"/>
      <c r="U9228"/>
      <c r="X9228" s="60"/>
    </row>
    <row r="9229" spans="7:24" ht="15" customHeight="1">
      <c r="G9229"/>
      <c r="I9229"/>
      <c r="N9229"/>
      <c r="O9229" s="24"/>
      <c r="P9229"/>
      <c r="Q9229" s="24"/>
      <c r="R9229"/>
      <c r="S9229"/>
      <c r="T9229"/>
      <c r="U9229"/>
      <c r="X9229" s="60"/>
    </row>
    <row r="9230" spans="7:24" ht="15" customHeight="1">
      <c r="G9230"/>
      <c r="I9230"/>
      <c r="N9230"/>
      <c r="O9230" s="24"/>
      <c r="P9230"/>
      <c r="Q9230" s="24"/>
      <c r="R9230"/>
      <c r="S9230"/>
      <c r="T9230"/>
      <c r="U9230"/>
      <c r="X9230" s="60"/>
    </row>
    <row r="9231" spans="7:24" ht="15" customHeight="1">
      <c r="G9231"/>
      <c r="I9231"/>
      <c r="N9231"/>
      <c r="O9231" s="24"/>
      <c r="P9231"/>
      <c r="Q9231" s="24"/>
      <c r="R9231"/>
      <c r="S9231"/>
      <c r="T9231"/>
      <c r="U9231"/>
      <c r="X9231" s="60"/>
    </row>
    <row r="9232" spans="7:24" ht="15" customHeight="1">
      <c r="G9232"/>
      <c r="I9232"/>
      <c r="N9232"/>
      <c r="O9232" s="24"/>
      <c r="P9232"/>
      <c r="Q9232" s="24"/>
      <c r="R9232"/>
      <c r="S9232"/>
      <c r="T9232"/>
      <c r="U9232"/>
      <c r="X9232" s="60"/>
    </row>
    <row r="9233" spans="7:24" ht="15" customHeight="1">
      <c r="G9233"/>
      <c r="I9233"/>
      <c r="N9233"/>
      <c r="O9233" s="24"/>
      <c r="P9233"/>
      <c r="Q9233" s="24"/>
      <c r="R9233"/>
      <c r="S9233"/>
      <c r="T9233"/>
      <c r="U9233"/>
      <c r="X9233" s="60"/>
    </row>
    <row r="9234" spans="7:24" ht="15" customHeight="1">
      <c r="G9234"/>
      <c r="I9234"/>
      <c r="N9234"/>
      <c r="O9234" s="24"/>
      <c r="P9234"/>
      <c r="Q9234" s="24"/>
      <c r="R9234"/>
      <c r="S9234"/>
      <c r="T9234"/>
      <c r="U9234"/>
      <c r="X9234" s="60"/>
    </row>
    <row r="9235" spans="7:24" ht="15" customHeight="1">
      <c r="G9235"/>
      <c r="I9235"/>
      <c r="N9235"/>
      <c r="O9235" s="24"/>
      <c r="P9235"/>
      <c r="Q9235" s="24"/>
      <c r="R9235"/>
      <c r="S9235"/>
      <c r="T9235"/>
      <c r="U9235"/>
      <c r="X9235" s="60"/>
    </row>
    <row r="9236" spans="7:24" ht="15" customHeight="1">
      <c r="G9236"/>
      <c r="I9236"/>
      <c r="N9236"/>
      <c r="O9236" s="24"/>
      <c r="P9236"/>
      <c r="Q9236" s="24"/>
      <c r="R9236"/>
      <c r="S9236"/>
      <c r="T9236"/>
      <c r="U9236"/>
      <c r="X9236" s="60"/>
    </row>
    <row r="9237" spans="7:24" ht="15" customHeight="1">
      <c r="G9237"/>
      <c r="I9237"/>
      <c r="N9237"/>
      <c r="O9237" s="24"/>
      <c r="P9237"/>
      <c r="Q9237" s="24"/>
      <c r="R9237"/>
      <c r="S9237"/>
      <c r="T9237"/>
      <c r="U9237"/>
      <c r="X9237" s="60"/>
    </row>
    <row r="9238" spans="7:24" ht="15" customHeight="1">
      <c r="G9238"/>
      <c r="I9238"/>
      <c r="N9238"/>
      <c r="O9238" s="24"/>
      <c r="P9238"/>
      <c r="Q9238" s="24"/>
      <c r="R9238"/>
      <c r="S9238"/>
      <c r="T9238"/>
      <c r="U9238"/>
      <c r="X9238" s="60"/>
    </row>
    <row r="9239" spans="7:24" ht="15" customHeight="1">
      <c r="G9239"/>
      <c r="I9239"/>
      <c r="N9239"/>
      <c r="O9239" s="24"/>
      <c r="P9239"/>
      <c r="Q9239" s="24"/>
      <c r="R9239"/>
      <c r="S9239"/>
      <c r="T9239"/>
      <c r="U9239"/>
      <c r="X9239" s="60"/>
    </row>
    <row r="9240" spans="7:24" ht="15" customHeight="1">
      <c r="G9240"/>
      <c r="I9240"/>
      <c r="N9240"/>
      <c r="O9240" s="24"/>
      <c r="P9240"/>
      <c r="Q9240" s="24"/>
      <c r="R9240"/>
      <c r="S9240"/>
      <c r="T9240"/>
      <c r="U9240"/>
      <c r="X9240" s="60"/>
    </row>
    <row r="9241" spans="7:24" ht="15" customHeight="1">
      <c r="G9241"/>
      <c r="I9241"/>
      <c r="N9241"/>
      <c r="O9241" s="24"/>
      <c r="P9241"/>
      <c r="Q9241" s="24"/>
      <c r="R9241"/>
      <c r="S9241"/>
      <c r="T9241"/>
      <c r="U9241"/>
      <c r="X9241" s="60"/>
    </row>
    <row r="9242" spans="7:24" ht="15" customHeight="1">
      <c r="G9242"/>
      <c r="I9242"/>
      <c r="N9242"/>
      <c r="O9242" s="24"/>
      <c r="P9242"/>
      <c r="Q9242" s="24"/>
      <c r="R9242"/>
      <c r="S9242"/>
      <c r="T9242"/>
      <c r="U9242"/>
      <c r="X9242" s="60"/>
    </row>
    <row r="9243" spans="7:24" ht="15" customHeight="1">
      <c r="G9243"/>
      <c r="I9243"/>
      <c r="N9243"/>
      <c r="O9243" s="24"/>
      <c r="P9243"/>
      <c r="Q9243" s="24"/>
      <c r="R9243"/>
      <c r="S9243"/>
      <c r="T9243"/>
      <c r="U9243"/>
      <c r="X9243" s="60"/>
    </row>
    <row r="9244" spans="7:24" ht="15" customHeight="1">
      <c r="G9244"/>
      <c r="I9244"/>
      <c r="N9244"/>
      <c r="O9244" s="24"/>
      <c r="P9244"/>
      <c r="Q9244" s="24"/>
      <c r="R9244"/>
      <c r="S9244"/>
      <c r="T9244"/>
      <c r="U9244"/>
      <c r="X9244" s="60"/>
    </row>
    <row r="9245" spans="7:24" ht="15" customHeight="1">
      <c r="G9245"/>
      <c r="I9245"/>
      <c r="N9245"/>
      <c r="O9245" s="24"/>
      <c r="P9245"/>
      <c r="Q9245" s="24"/>
      <c r="R9245"/>
      <c r="S9245"/>
      <c r="T9245"/>
      <c r="U9245"/>
      <c r="X9245" s="60"/>
    </row>
    <row r="9246" spans="7:24" ht="15" customHeight="1">
      <c r="G9246"/>
      <c r="I9246"/>
      <c r="N9246"/>
      <c r="O9246" s="24"/>
      <c r="P9246"/>
      <c r="Q9246" s="24"/>
      <c r="R9246"/>
      <c r="S9246"/>
      <c r="T9246"/>
      <c r="U9246"/>
      <c r="X9246" s="60"/>
    </row>
    <row r="9247" spans="7:24" ht="15" customHeight="1">
      <c r="G9247"/>
      <c r="I9247"/>
      <c r="N9247"/>
      <c r="O9247" s="24"/>
      <c r="P9247"/>
      <c r="Q9247" s="24"/>
      <c r="R9247"/>
      <c r="S9247"/>
      <c r="T9247"/>
      <c r="U9247"/>
      <c r="X9247" s="60"/>
    </row>
    <row r="9248" spans="7:24" ht="15" customHeight="1">
      <c r="G9248"/>
      <c r="I9248"/>
      <c r="N9248"/>
      <c r="O9248" s="24"/>
      <c r="P9248"/>
      <c r="Q9248" s="24"/>
      <c r="R9248"/>
      <c r="S9248"/>
      <c r="T9248"/>
      <c r="U9248"/>
      <c r="X9248" s="60"/>
    </row>
    <row r="9249" spans="7:24" ht="15" customHeight="1">
      <c r="G9249"/>
      <c r="I9249"/>
      <c r="N9249"/>
      <c r="O9249" s="24"/>
      <c r="P9249"/>
      <c r="Q9249" s="24"/>
      <c r="R9249"/>
      <c r="S9249"/>
      <c r="T9249"/>
      <c r="U9249"/>
      <c r="X9249" s="60"/>
    </row>
    <row r="9250" spans="7:24" ht="15" customHeight="1">
      <c r="G9250"/>
      <c r="I9250"/>
      <c r="N9250"/>
      <c r="O9250" s="24"/>
      <c r="P9250"/>
      <c r="Q9250" s="24"/>
      <c r="R9250"/>
      <c r="S9250"/>
      <c r="T9250"/>
      <c r="U9250"/>
      <c r="X9250" s="60"/>
    </row>
    <row r="9251" spans="7:24" ht="15" customHeight="1">
      <c r="G9251"/>
      <c r="I9251"/>
      <c r="N9251"/>
      <c r="O9251" s="24"/>
      <c r="P9251"/>
      <c r="Q9251" s="24"/>
      <c r="R9251"/>
      <c r="S9251"/>
      <c r="T9251"/>
      <c r="U9251"/>
      <c r="X9251" s="60"/>
    </row>
    <row r="9252" spans="7:24" ht="15" customHeight="1">
      <c r="G9252"/>
      <c r="I9252"/>
      <c r="N9252"/>
      <c r="O9252" s="24"/>
      <c r="P9252"/>
      <c r="Q9252" s="24"/>
      <c r="R9252"/>
      <c r="S9252"/>
      <c r="T9252"/>
      <c r="U9252"/>
      <c r="X9252" s="60"/>
    </row>
    <row r="9253" spans="7:24" ht="15" customHeight="1">
      <c r="G9253"/>
      <c r="I9253"/>
      <c r="N9253"/>
      <c r="O9253" s="24"/>
      <c r="P9253"/>
      <c r="Q9253" s="24"/>
      <c r="R9253"/>
      <c r="S9253"/>
      <c r="T9253"/>
      <c r="U9253"/>
      <c r="X9253" s="60"/>
    </row>
    <row r="9254" spans="7:24" ht="15" customHeight="1">
      <c r="G9254"/>
      <c r="I9254"/>
      <c r="N9254"/>
      <c r="O9254" s="24"/>
      <c r="P9254"/>
      <c r="Q9254" s="24"/>
      <c r="R9254"/>
      <c r="S9254"/>
      <c r="T9254"/>
      <c r="U9254"/>
      <c r="X9254" s="60"/>
    </row>
    <row r="9255" spans="7:24" ht="15" customHeight="1">
      <c r="G9255"/>
      <c r="I9255"/>
      <c r="N9255"/>
      <c r="O9255" s="24"/>
      <c r="P9255"/>
      <c r="Q9255" s="24"/>
      <c r="R9255"/>
      <c r="S9255"/>
      <c r="T9255"/>
      <c r="U9255"/>
      <c r="X9255" s="60"/>
    </row>
    <row r="9256" spans="7:24" ht="15" customHeight="1">
      <c r="G9256"/>
      <c r="I9256"/>
      <c r="N9256"/>
      <c r="O9256" s="24"/>
      <c r="P9256"/>
      <c r="Q9256" s="24"/>
      <c r="R9256"/>
      <c r="S9256"/>
      <c r="T9256"/>
      <c r="U9256"/>
      <c r="X9256" s="60"/>
    </row>
    <row r="9257" spans="7:24" ht="15" customHeight="1">
      <c r="G9257"/>
      <c r="I9257"/>
      <c r="N9257"/>
      <c r="O9257" s="24"/>
      <c r="P9257"/>
      <c r="Q9257" s="24"/>
      <c r="R9257"/>
      <c r="S9257"/>
      <c r="T9257"/>
      <c r="U9257"/>
      <c r="X9257" s="60"/>
    </row>
    <row r="9258" spans="7:24" ht="15" customHeight="1">
      <c r="G9258"/>
      <c r="I9258"/>
      <c r="N9258"/>
      <c r="O9258" s="24"/>
      <c r="P9258"/>
      <c r="Q9258" s="24"/>
      <c r="R9258"/>
      <c r="S9258"/>
      <c r="T9258"/>
      <c r="U9258"/>
      <c r="X9258" s="60"/>
    </row>
    <row r="9259" spans="7:24" ht="15" customHeight="1">
      <c r="G9259"/>
      <c r="I9259"/>
      <c r="N9259"/>
      <c r="O9259" s="24"/>
      <c r="P9259"/>
      <c r="Q9259" s="24"/>
      <c r="R9259"/>
      <c r="S9259"/>
      <c r="T9259"/>
      <c r="U9259"/>
      <c r="X9259" s="60"/>
    </row>
    <row r="9260" spans="7:24" ht="15" customHeight="1">
      <c r="G9260"/>
      <c r="I9260"/>
      <c r="N9260"/>
      <c r="O9260" s="24"/>
      <c r="P9260"/>
      <c r="Q9260" s="24"/>
      <c r="R9260"/>
      <c r="S9260"/>
      <c r="T9260"/>
      <c r="U9260"/>
      <c r="X9260" s="60"/>
    </row>
    <row r="9261" spans="7:24" ht="15" customHeight="1">
      <c r="G9261"/>
      <c r="I9261"/>
      <c r="N9261"/>
      <c r="O9261" s="24"/>
      <c r="P9261"/>
      <c r="Q9261" s="24"/>
      <c r="R9261"/>
      <c r="S9261"/>
      <c r="T9261"/>
      <c r="U9261"/>
      <c r="X9261" s="60"/>
    </row>
    <row r="9262" spans="7:24" ht="15" customHeight="1">
      <c r="G9262"/>
      <c r="I9262"/>
      <c r="N9262"/>
      <c r="O9262" s="24"/>
      <c r="P9262"/>
      <c r="Q9262" s="24"/>
      <c r="R9262"/>
      <c r="S9262"/>
      <c r="T9262"/>
      <c r="U9262"/>
      <c r="X9262" s="60"/>
    </row>
    <row r="9263" spans="7:24" ht="15" customHeight="1">
      <c r="G9263"/>
      <c r="I9263"/>
      <c r="N9263"/>
      <c r="O9263" s="24"/>
      <c r="P9263"/>
      <c r="Q9263" s="24"/>
      <c r="R9263"/>
      <c r="S9263"/>
      <c r="T9263"/>
      <c r="U9263"/>
      <c r="X9263" s="60"/>
    </row>
    <row r="9264" spans="7:24" ht="15" customHeight="1">
      <c r="G9264"/>
      <c r="I9264"/>
      <c r="N9264"/>
      <c r="O9264" s="24"/>
      <c r="P9264"/>
      <c r="Q9264" s="24"/>
      <c r="R9264"/>
      <c r="S9264"/>
      <c r="T9264"/>
      <c r="U9264"/>
      <c r="X9264" s="60"/>
    </row>
    <row r="9265" spans="7:24" ht="15" customHeight="1">
      <c r="G9265"/>
      <c r="I9265"/>
      <c r="N9265"/>
      <c r="O9265" s="24"/>
      <c r="P9265"/>
      <c r="Q9265" s="24"/>
      <c r="R9265"/>
      <c r="S9265"/>
      <c r="T9265"/>
      <c r="U9265"/>
      <c r="X9265" s="60"/>
    </row>
    <row r="9266" spans="7:24" ht="15" customHeight="1">
      <c r="G9266"/>
      <c r="I9266"/>
      <c r="N9266"/>
      <c r="O9266" s="24"/>
      <c r="P9266"/>
      <c r="Q9266" s="24"/>
      <c r="R9266"/>
      <c r="S9266"/>
      <c r="T9266"/>
      <c r="U9266"/>
      <c r="X9266" s="60"/>
    </row>
    <row r="9267" spans="7:24" ht="15" customHeight="1">
      <c r="G9267"/>
      <c r="I9267"/>
      <c r="N9267"/>
      <c r="O9267" s="24"/>
      <c r="P9267"/>
      <c r="Q9267" s="24"/>
      <c r="R9267"/>
      <c r="S9267"/>
      <c r="T9267"/>
      <c r="U9267"/>
      <c r="X9267" s="60"/>
    </row>
    <row r="9268" spans="7:24" ht="15" customHeight="1">
      <c r="G9268"/>
      <c r="I9268"/>
      <c r="N9268"/>
      <c r="O9268" s="24"/>
      <c r="P9268"/>
      <c r="Q9268" s="24"/>
      <c r="R9268"/>
      <c r="S9268"/>
      <c r="T9268"/>
      <c r="U9268"/>
      <c r="X9268" s="60"/>
    </row>
    <row r="9269" spans="7:24" ht="15" customHeight="1">
      <c r="G9269"/>
      <c r="I9269"/>
      <c r="N9269"/>
      <c r="O9269" s="24"/>
      <c r="P9269"/>
      <c r="Q9269" s="24"/>
      <c r="R9269"/>
      <c r="S9269"/>
      <c r="T9269"/>
      <c r="U9269"/>
      <c r="X9269" s="60"/>
    </row>
    <row r="9270" spans="7:24" ht="15" customHeight="1">
      <c r="G9270"/>
      <c r="I9270"/>
      <c r="N9270"/>
      <c r="O9270" s="24"/>
      <c r="P9270"/>
      <c r="Q9270" s="24"/>
      <c r="R9270"/>
      <c r="S9270"/>
      <c r="T9270"/>
      <c r="U9270"/>
      <c r="X9270" s="60"/>
    </row>
    <row r="9271" spans="7:24" ht="15" customHeight="1">
      <c r="G9271"/>
      <c r="I9271"/>
      <c r="N9271"/>
      <c r="O9271" s="24"/>
      <c r="P9271"/>
      <c r="Q9271" s="24"/>
      <c r="R9271"/>
      <c r="S9271"/>
      <c r="T9271"/>
      <c r="U9271"/>
      <c r="X9271" s="60"/>
    </row>
    <row r="9272" spans="7:24" ht="15" customHeight="1">
      <c r="G9272"/>
      <c r="I9272"/>
      <c r="N9272"/>
      <c r="O9272" s="24"/>
      <c r="P9272"/>
      <c r="Q9272" s="24"/>
      <c r="R9272"/>
      <c r="S9272"/>
      <c r="T9272"/>
      <c r="U9272"/>
      <c r="X9272" s="60"/>
    </row>
    <row r="9273" spans="7:24" ht="15" customHeight="1">
      <c r="G9273"/>
      <c r="I9273"/>
      <c r="N9273"/>
      <c r="O9273" s="24"/>
      <c r="P9273"/>
      <c r="Q9273" s="24"/>
      <c r="R9273"/>
      <c r="S9273"/>
      <c r="T9273"/>
      <c r="U9273"/>
      <c r="X9273" s="60"/>
    </row>
    <row r="9274" spans="7:24" ht="15" customHeight="1">
      <c r="G9274"/>
      <c r="I9274"/>
      <c r="N9274"/>
      <c r="O9274" s="24"/>
      <c r="P9274"/>
      <c r="Q9274" s="24"/>
      <c r="R9274"/>
      <c r="S9274"/>
      <c r="T9274"/>
      <c r="U9274"/>
      <c r="X9274" s="60"/>
    </row>
    <row r="9275" spans="7:24" ht="15" customHeight="1">
      <c r="G9275"/>
      <c r="I9275"/>
      <c r="N9275"/>
      <c r="O9275" s="24"/>
      <c r="P9275"/>
      <c r="Q9275" s="24"/>
      <c r="R9275"/>
      <c r="S9275"/>
      <c r="T9275"/>
      <c r="U9275"/>
      <c r="X9275" s="60"/>
    </row>
    <row r="9276" spans="7:24" ht="15" customHeight="1">
      <c r="G9276"/>
      <c r="I9276"/>
      <c r="N9276"/>
      <c r="O9276" s="24"/>
      <c r="P9276"/>
      <c r="Q9276" s="24"/>
      <c r="R9276"/>
      <c r="S9276"/>
      <c r="T9276"/>
      <c r="U9276"/>
      <c r="X9276" s="60"/>
    </row>
    <row r="9277" spans="7:24" ht="15" customHeight="1">
      <c r="G9277"/>
      <c r="I9277"/>
      <c r="N9277"/>
      <c r="O9277" s="24"/>
      <c r="P9277"/>
      <c r="Q9277" s="24"/>
      <c r="R9277"/>
      <c r="S9277"/>
      <c r="T9277"/>
      <c r="U9277"/>
      <c r="X9277" s="60"/>
    </row>
    <row r="9278" spans="7:24" ht="15" customHeight="1">
      <c r="G9278"/>
      <c r="I9278"/>
      <c r="N9278"/>
      <c r="O9278" s="24"/>
      <c r="P9278"/>
      <c r="Q9278" s="24"/>
      <c r="R9278"/>
      <c r="S9278"/>
      <c r="T9278"/>
      <c r="U9278"/>
      <c r="X9278" s="60"/>
    </row>
    <row r="9279" spans="7:24" ht="15" customHeight="1">
      <c r="G9279"/>
      <c r="I9279"/>
      <c r="N9279"/>
      <c r="O9279" s="24"/>
      <c r="P9279"/>
      <c r="Q9279" s="24"/>
      <c r="R9279"/>
      <c r="S9279"/>
      <c r="T9279"/>
      <c r="U9279"/>
      <c r="X9279" s="60"/>
    </row>
    <row r="9280" spans="7:24" ht="15" customHeight="1">
      <c r="G9280"/>
      <c r="I9280"/>
      <c r="N9280"/>
      <c r="O9280" s="24"/>
      <c r="P9280"/>
      <c r="Q9280" s="24"/>
      <c r="R9280"/>
      <c r="S9280"/>
      <c r="T9280"/>
      <c r="U9280"/>
      <c r="X9280" s="60"/>
    </row>
    <row r="9281" spans="7:24" ht="15" customHeight="1">
      <c r="G9281"/>
      <c r="I9281"/>
      <c r="N9281"/>
      <c r="O9281" s="24"/>
      <c r="P9281"/>
      <c r="Q9281" s="24"/>
      <c r="R9281"/>
      <c r="S9281"/>
      <c r="T9281"/>
      <c r="U9281"/>
      <c r="X9281" s="60"/>
    </row>
    <row r="9282" spans="7:24" ht="15" customHeight="1">
      <c r="G9282"/>
      <c r="I9282"/>
      <c r="N9282"/>
      <c r="O9282" s="24"/>
      <c r="P9282"/>
      <c r="Q9282" s="24"/>
      <c r="R9282"/>
      <c r="S9282"/>
      <c r="T9282"/>
      <c r="U9282"/>
      <c r="X9282" s="60"/>
    </row>
    <row r="9283" spans="7:24" ht="15" customHeight="1">
      <c r="G9283"/>
      <c r="I9283"/>
      <c r="N9283"/>
      <c r="O9283" s="24"/>
      <c r="P9283"/>
      <c r="Q9283" s="24"/>
      <c r="R9283"/>
      <c r="S9283"/>
      <c r="T9283"/>
      <c r="U9283"/>
      <c r="X9283" s="60"/>
    </row>
    <row r="9284" spans="7:24" ht="15" customHeight="1">
      <c r="G9284"/>
      <c r="I9284"/>
      <c r="N9284"/>
      <c r="O9284" s="24"/>
      <c r="P9284"/>
      <c r="Q9284" s="24"/>
      <c r="R9284"/>
      <c r="S9284"/>
      <c r="T9284"/>
      <c r="U9284"/>
      <c r="X9284" s="60"/>
    </row>
    <row r="9285" spans="7:24" ht="15" customHeight="1">
      <c r="G9285"/>
      <c r="I9285"/>
      <c r="N9285"/>
      <c r="O9285" s="24"/>
      <c r="P9285"/>
      <c r="Q9285" s="24"/>
      <c r="R9285"/>
      <c r="S9285"/>
      <c r="T9285"/>
      <c r="U9285"/>
      <c r="X9285" s="60"/>
    </row>
    <row r="9286" spans="7:24" ht="15" customHeight="1">
      <c r="G9286"/>
      <c r="I9286"/>
      <c r="N9286"/>
      <c r="O9286" s="24"/>
      <c r="P9286"/>
      <c r="Q9286" s="24"/>
      <c r="R9286"/>
      <c r="S9286"/>
      <c r="T9286"/>
      <c r="U9286"/>
      <c r="X9286" s="60"/>
    </row>
    <row r="9287" spans="7:24" ht="15" customHeight="1">
      <c r="G9287"/>
      <c r="I9287"/>
      <c r="N9287"/>
      <c r="O9287" s="24"/>
      <c r="P9287"/>
      <c r="Q9287" s="24"/>
      <c r="R9287"/>
      <c r="S9287"/>
      <c r="T9287"/>
      <c r="U9287"/>
      <c r="X9287" s="60"/>
    </row>
    <row r="9288" spans="7:24" ht="15" customHeight="1">
      <c r="G9288"/>
      <c r="I9288"/>
      <c r="N9288"/>
      <c r="O9288" s="24"/>
      <c r="P9288"/>
      <c r="Q9288" s="24"/>
      <c r="R9288"/>
      <c r="S9288"/>
      <c r="T9288"/>
      <c r="U9288"/>
      <c r="X9288" s="60"/>
    </row>
    <row r="9289" spans="7:24" ht="15" customHeight="1">
      <c r="G9289"/>
      <c r="I9289"/>
      <c r="N9289"/>
      <c r="O9289" s="24"/>
      <c r="P9289"/>
      <c r="Q9289" s="24"/>
      <c r="R9289"/>
      <c r="S9289"/>
      <c r="T9289"/>
      <c r="U9289"/>
      <c r="X9289" s="60"/>
    </row>
    <row r="9290" spans="7:24" ht="15" customHeight="1">
      <c r="G9290"/>
      <c r="I9290"/>
      <c r="N9290"/>
      <c r="O9290" s="24"/>
      <c r="P9290"/>
      <c r="Q9290" s="24"/>
      <c r="R9290"/>
      <c r="S9290"/>
      <c r="T9290"/>
      <c r="U9290"/>
      <c r="X9290" s="60"/>
    </row>
    <row r="9291" spans="7:24" ht="15" customHeight="1">
      <c r="G9291"/>
      <c r="I9291"/>
      <c r="N9291"/>
      <c r="O9291" s="24"/>
      <c r="P9291"/>
      <c r="Q9291" s="24"/>
      <c r="R9291"/>
      <c r="S9291"/>
      <c r="T9291"/>
      <c r="U9291"/>
      <c r="X9291" s="60"/>
    </row>
    <row r="9292" spans="7:24" ht="15" customHeight="1">
      <c r="G9292"/>
      <c r="I9292"/>
      <c r="N9292"/>
      <c r="O9292" s="24"/>
      <c r="P9292"/>
      <c r="Q9292" s="24"/>
      <c r="R9292"/>
      <c r="S9292"/>
      <c r="T9292"/>
      <c r="U9292"/>
      <c r="X9292" s="60"/>
    </row>
    <row r="9293" spans="7:24" ht="15" customHeight="1">
      <c r="G9293"/>
      <c r="I9293"/>
      <c r="N9293"/>
      <c r="O9293" s="24"/>
      <c r="P9293"/>
      <c r="Q9293" s="24"/>
      <c r="R9293"/>
      <c r="S9293"/>
      <c r="T9293"/>
      <c r="U9293"/>
      <c r="X9293" s="60"/>
    </row>
    <row r="9294" spans="7:24" ht="15" customHeight="1">
      <c r="G9294"/>
      <c r="I9294"/>
      <c r="N9294"/>
      <c r="O9294" s="24"/>
      <c r="P9294"/>
      <c r="Q9294" s="24"/>
      <c r="R9294"/>
      <c r="S9294"/>
      <c r="T9294"/>
      <c r="U9294"/>
      <c r="X9294" s="60"/>
    </row>
    <row r="9295" spans="7:24" ht="15" customHeight="1">
      <c r="G9295"/>
      <c r="I9295"/>
      <c r="N9295"/>
      <c r="O9295" s="24"/>
      <c r="P9295"/>
      <c r="Q9295" s="24"/>
      <c r="R9295"/>
      <c r="S9295"/>
      <c r="T9295"/>
      <c r="U9295"/>
      <c r="X9295" s="60"/>
    </row>
    <row r="9296" spans="7:24" ht="15" customHeight="1">
      <c r="G9296"/>
      <c r="I9296"/>
      <c r="N9296"/>
      <c r="O9296" s="24"/>
      <c r="P9296"/>
      <c r="Q9296" s="24"/>
      <c r="R9296"/>
      <c r="S9296"/>
      <c r="T9296"/>
      <c r="U9296"/>
      <c r="X9296" s="60"/>
    </row>
    <row r="9297" spans="7:24" ht="15" customHeight="1">
      <c r="G9297"/>
      <c r="I9297"/>
      <c r="N9297"/>
      <c r="O9297" s="24"/>
      <c r="P9297"/>
      <c r="Q9297" s="24"/>
      <c r="R9297"/>
      <c r="S9297"/>
      <c r="T9297"/>
      <c r="U9297"/>
      <c r="X9297" s="60"/>
    </row>
    <row r="9298" spans="7:24" ht="15" customHeight="1">
      <c r="G9298"/>
      <c r="I9298"/>
      <c r="N9298"/>
      <c r="O9298" s="24"/>
      <c r="P9298"/>
      <c r="Q9298" s="24"/>
      <c r="R9298"/>
      <c r="S9298"/>
      <c r="T9298"/>
      <c r="U9298"/>
      <c r="X9298" s="60"/>
    </row>
    <row r="9299" spans="7:24" ht="15" customHeight="1">
      <c r="G9299"/>
      <c r="I9299"/>
      <c r="N9299"/>
      <c r="O9299" s="24"/>
      <c r="P9299"/>
      <c r="Q9299" s="24"/>
      <c r="R9299"/>
      <c r="S9299"/>
      <c r="T9299"/>
      <c r="U9299"/>
      <c r="X9299" s="60"/>
    </row>
    <row r="9300" spans="7:24" ht="15" customHeight="1">
      <c r="G9300"/>
      <c r="I9300"/>
      <c r="N9300"/>
      <c r="O9300" s="24"/>
      <c r="P9300"/>
      <c r="Q9300" s="24"/>
      <c r="R9300"/>
      <c r="S9300"/>
      <c r="T9300"/>
      <c r="U9300"/>
      <c r="X9300" s="60"/>
    </row>
    <row r="9301" spans="7:24" ht="15" customHeight="1">
      <c r="G9301"/>
      <c r="I9301"/>
      <c r="N9301"/>
      <c r="O9301" s="24"/>
      <c r="P9301"/>
      <c r="Q9301" s="24"/>
      <c r="R9301"/>
      <c r="S9301"/>
      <c r="T9301"/>
      <c r="U9301"/>
      <c r="X9301" s="60"/>
    </row>
    <row r="9302" spans="7:24" ht="15" customHeight="1">
      <c r="G9302"/>
      <c r="I9302"/>
      <c r="N9302"/>
      <c r="O9302" s="24"/>
      <c r="P9302"/>
      <c r="Q9302" s="24"/>
      <c r="R9302"/>
      <c r="S9302"/>
      <c r="T9302"/>
      <c r="U9302"/>
      <c r="X9302" s="60"/>
    </row>
    <row r="9303" spans="7:24" ht="15" customHeight="1">
      <c r="G9303"/>
      <c r="I9303"/>
      <c r="N9303"/>
      <c r="O9303" s="24"/>
      <c r="P9303"/>
      <c r="Q9303" s="24"/>
      <c r="R9303"/>
      <c r="S9303"/>
      <c r="T9303"/>
      <c r="U9303"/>
      <c r="X9303" s="60"/>
    </row>
    <row r="9304" spans="7:24" ht="15" customHeight="1">
      <c r="G9304"/>
      <c r="I9304"/>
      <c r="N9304"/>
      <c r="O9304" s="24"/>
      <c r="P9304"/>
      <c r="Q9304" s="24"/>
      <c r="R9304"/>
      <c r="S9304"/>
      <c r="T9304"/>
      <c r="U9304"/>
      <c r="X9304" s="60"/>
    </row>
    <row r="9305" spans="7:24" ht="15" customHeight="1">
      <c r="G9305"/>
      <c r="I9305"/>
      <c r="N9305"/>
      <c r="O9305" s="24"/>
      <c r="P9305"/>
      <c r="Q9305" s="24"/>
      <c r="R9305"/>
      <c r="S9305"/>
      <c r="T9305"/>
      <c r="U9305"/>
      <c r="X9305" s="60"/>
    </row>
    <row r="9306" spans="7:24" ht="15" customHeight="1">
      <c r="G9306"/>
      <c r="I9306"/>
      <c r="N9306"/>
      <c r="O9306" s="24"/>
      <c r="P9306"/>
      <c r="Q9306" s="24"/>
      <c r="R9306"/>
      <c r="S9306"/>
      <c r="T9306"/>
      <c r="U9306"/>
      <c r="X9306" s="60"/>
    </row>
    <row r="9307" spans="7:24" ht="15" customHeight="1">
      <c r="G9307"/>
      <c r="I9307"/>
      <c r="N9307"/>
      <c r="O9307" s="24"/>
      <c r="P9307"/>
      <c r="Q9307" s="24"/>
      <c r="R9307"/>
      <c r="S9307"/>
      <c r="T9307"/>
      <c r="U9307"/>
      <c r="X9307" s="60"/>
    </row>
    <row r="9308" spans="7:24" ht="15" customHeight="1">
      <c r="G9308"/>
      <c r="I9308"/>
      <c r="N9308"/>
      <c r="O9308" s="24"/>
      <c r="P9308"/>
      <c r="Q9308" s="24"/>
      <c r="R9308"/>
      <c r="S9308"/>
      <c r="T9308"/>
      <c r="U9308"/>
      <c r="X9308" s="60"/>
    </row>
    <row r="9309" spans="7:24" ht="15" customHeight="1">
      <c r="G9309"/>
      <c r="I9309"/>
      <c r="N9309"/>
      <c r="O9309" s="24"/>
      <c r="P9309"/>
      <c r="Q9309" s="24"/>
      <c r="R9309"/>
      <c r="S9309"/>
      <c r="T9309"/>
      <c r="U9309"/>
      <c r="X9309" s="60"/>
    </row>
    <row r="9310" spans="7:24" ht="15" customHeight="1">
      <c r="G9310"/>
      <c r="I9310"/>
      <c r="N9310"/>
      <c r="O9310" s="24"/>
      <c r="P9310"/>
      <c r="Q9310" s="24"/>
      <c r="R9310"/>
      <c r="S9310"/>
      <c r="T9310"/>
      <c r="U9310"/>
      <c r="X9310" s="60"/>
    </row>
    <row r="9311" spans="7:24" ht="15" customHeight="1">
      <c r="G9311"/>
      <c r="I9311"/>
      <c r="N9311"/>
      <c r="O9311" s="24"/>
      <c r="P9311"/>
      <c r="Q9311" s="24"/>
      <c r="R9311"/>
      <c r="S9311"/>
      <c r="T9311"/>
      <c r="U9311"/>
      <c r="X9311" s="60"/>
    </row>
    <row r="9312" spans="7:24" ht="15" customHeight="1">
      <c r="G9312"/>
      <c r="I9312"/>
      <c r="N9312"/>
      <c r="O9312" s="24"/>
      <c r="P9312"/>
      <c r="Q9312" s="24"/>
      <c r="R9312"/>
      <c r="S9312"/>
      <c r="T9312"/>
      <c r="U9312"/>
      <c r="X9312" s="60"/>
    </row>
    <row r="9313" spans="7:24" ht="15" customHeight="1">
      <c r="G9313"/>
      <c r="I9313"/>
      <c r="N9313"/>
      <c r="O9313" s="24"/>
      <c r="P9313"/>
      <c r="Q9313" s="24"/>
      <c r="R9313"/>
      <c r="S9313"/>
      <c r="T9313"/>
      <c r="U9313"/>
      <c r="X9313" s="60"/>
    </row>
    <row r="9314" spans="7:24" ht="15" customHeight="1">
      <c r="G9314"/>
      <c r="I9314"/>
      <c r="N9314"/>
      <c r="O9314" s="24"/>
      <c r="P9314"/>
      <c r="Q9314" s="24"/>
      <c r="R9314"/>
      <c r="S9314"/>
      <c r="T9314"/>
      <c r="U9314"/>
      <c r="X9314" s="60"/>
    </row>
    <row r="9315" spans="7:24" ht="15" customHeight="1">
      <c r="G9315"/>
      <c r="I9315"/>
      <c r="N9315"/>
      <c r="O9315" s="24"/>
      <c r="P9315"/>
      <c r="Q9315" s="24"/>
      <c r="R9315"/>
      <c r="S9315"/>
      <c r="T9315"/>
      <c r="U9315"/>
      <c r="X9315" s="60"/>
    </row>
    <row r="9316" spans="7:24" ht="15" customHeight="1">
      <c r="G9316"/>
      <c r="I9316"/>
      <c r="N9316"/>
      <c r="O9316" s="24"/>
      <c r="P9316"/>
      <c r="Q9316" s="24"/>
      <c r="R9316"/>
      <c r="S9316"/>
      <c r="T9316"/>
      <c r="U9316"/>
      <c r="X9316" s="60"/>
    </row>
    <row r="9317" spans="7:24" ht="15" customHeight="1">
      <c r="G9317"/>
      <c r="I9317"/>
      <c r="N9317"/>
      <c r="O9317" s="24"/>
      <c r="P9317"/>
      <c r="Q9317" s="24"/>
      <c r="R9317"/>
      <c r="S9317"/>
      <c r="T9317"/>
      <c r="U9317"/>
      <c r="X9317" s="60"/>
    </row>
    <row r="9318" spans="7:24" ht="15" customHeight="1">
      <c r="G9318"/>
      <c r="I9318"/>
      <c r="N9318"/>
      <c r="O9318" s="24"/>
      <c r="P9318"/>
      <c r="Q9318" s="24"/>
      <c r="R9318"/>
      <c r="S9318"/>
      <c r="T9318"/>
      <c r="U9318"/>
      <c r="X9318" s="60"/>
    </row>
    <row r="9319" spans="7:24" ht="15" customHeight="1">
      <c r="G9319"/>
      <c r="I9319"/>
      <c r="N9319"/>
      <c r="O9319" s="24"/>
      <c r="P9319"/>
      <c r="Q9319" s="24"/>
      <c r="R9319"/>
      <c r="S9319"/>
      <c r="T9319"/>
      <c r="U9319"/>
      <c r="X9319" s="60"/>
    </row>
    <row r="9320" spans="7:24" ht="15" customHeight="1">
      <c r="G9320"/>
      <c r="I9320"/>
      <c r="N9320"/>
      <c r="O9320" s="24"/>
      <c r="P9320"/>
      <c r="Q9320" s="24"/>
      <c r="R9320"/>
      <c r="S9320"/>
      <c r="T9320"/>
      <c r="U9320"/>
      <c r="X9320" s="60"/>
    </row>
    <row r="9321" spans="7:24" ht="15" customHeight="1">
      <c r="G9321"/>
      <c r="I9321"/>
      <c r="N9321"/>
      <c r="O9321" s="24"/>
      <c r="P9321"/>
      <c r="Q9321" s="24"/>
      <c r="R9321"/>
      <c r="S9321"/>
      <c r="T9321"/>
      <c r="U9321"/>
      <c r="X9321" s="60"/>
    </row>
    <row r="9322" spans="7:24" ht="15" customHeight="1">
      <c r="G9322"/>
      <c r="I9322"/>
      <c r="N9322"/>
      <c r="O9322" s="24"/>
      <c r="P9322"/>
      <c r="Q9322" s="24"/>
      <c r="R9322"/>
      <c r="S9322"/>
      <c r="T9322"/>
      <c r="U9322"/>
      <c r="X9322" s="60"/>
    </row>
    <row r="9323" spans="7:24" ht="15" customHeight="1">
      <c r="G9323"/>
      <c r="I9323"/>
      <c r="N9323"/>
      <c r="O9323" s="24"/>
      <c r="P9323"/>
      <c r="Q9323" s="24"/>
      <c r="R9323"/>
      <c r="S9323"/>
      <c r="T9323"/>
      <c r="U9323"/>
      <c r="X9323" s="60"/>
    </row>
    <row r="9324" spans="7:24" ht="15" customHeight="1">
      <c r="G9324"/>
      <c r="I9324"/>
      <c r="N9324"/>
      <c r="O9324" s="24"/>
      <c r="P9324"/>
      <c r="Q9324" s="24"/>
      <c r="R9324"/>
      <c r="S9324"/>
      <c r="T9324"/>
      <c r="U9324"/>
      <c r="X9324" s="60"/>
    </row>
    <row r="9325" spans="7:24" ht="15" customHeight="1">
      <c r="G9325"/>
      <c r="I9325"/>
      <c r="N9325"/>
      <c r="O9325" s="24"/>
      <c r="P9325"/>
      <c r="Q9325" s="24"/>
      <c r="R9325"/>
      <c r="S9325"/>
      <c r="T9325"/>
      <c r="U9325"/>
      <c r="X9325" s="60"/>
    </row>
    <row r="9326" spans="7:24" ht="15" customHeight="1">
      <c r="G9326"/>
      <c r="I9326"/>
      <c r="N9326"/>
      <c r="O9326" s="24"/>
      <c r="P9326"/>
      <c r="Q9326" s="24"/>
      <c r="R9326"/>
      <c r="S9326"/>
      <c r="T9326"/>
      <c r="U9326"/>
      <c r="X9326" s="60"/>
    </row>
    <row r="9327" spans="7:24" ht="15" customHeight="1">
      <c r="G9327"/>
      <c r="I9327"/>
      <c r="N9327"/>
      <c r="O9327" s="24"/>
      <c r="P9327"/>
      <c r="Q9327" s="24"/>
      <c r="R9327"/>
      <c r="S9327"/>
      <c r="T9327"/>
      <c r="U9327"/>
      <c r="X9327" s="60"/>
    </row>
    <row r="9328" spans="7:24" ht="15" customHeight="1">
      <c r="G9328"/>
      <c r="I9328"/>
      <c r="N9328"/>
      <c r="O9328" s="24"/>
      <c r="P9328"/>
      <c r="Q9328" s="24"/>
      <c r="R9328"/>
      <c r="S9328"/>
      <c r="T9328"/>
      <c r="U9328"/>
      <c r="X9328" s="60"/>
    </row>
    <row r="9329" spans="7:24" ht="15" customHeight="1">
      <c r="G9329"/>
      <c r="I9329"/>
      <c r="N9329"/>
      <c r="O9329" s="24"/>
      <c r="P9329"/>
      <c r="Q9329" s="24"/>
      <c r="R9329"/>
      <c r="S9329"/>
      <c r="T9329"/>
      <c r="U9329"/>
      <c r="X9329" s="60"/>
    </row>
    <row r="9330" spans="7:24" ht="15" customHeight="1">
      <c r="G9330"/>
      <c r="I9330"/>
      <c r="N9330"/>
      <c r="O9330" s="24"/>
      <c r="P9330"/>
      <c r="Q9330" s="24"/>
      <c r="R9330"/>
      <c r="S9330"/>
      <c r="T9330"/>
      <c r="U9330"/>
      <c r="X9330" s="60"/>
    </row>
    <row r="9331" spans="7:24" ht="15" customHeight="1">
      <c r="G9331"/>
      <c r="I9331"/>
      <c r="N9331"/>
      <c r="O9331" s="24"/>
      <c r="P9331"/>
      <c r="Q9331" s="24"/>
      <c r="R9331"/>
      <c r="S9331"/>
      <c r="T9331"/>
      <c r="U9331"/>
      <c r="X9331" s="60"/>
    </row>
    <row r="9332" spans="7:24" ht="15" customHeight="1">
      <c r="G9332"/>
      <c r="I9332"/>
      <c r="N9332"/>
      <c r="O9332" s="24"/>
      <c r="P9332"/>
      <c r="Q9332" s="24"/>
      <c r="R9332"/>
      <c r="S9332"/>
      <c r="T9332"/>
      <c r="U9332"/>
      <c r="X9332" s="60"/>
    </row>
    <row r="9333" spans="7:24" ht="15" customHeight="1">
      <c r="G9333"/>
      <c r="I9333"/>
      <c r="N9333"/>
      <c r="O9333" s="24"/>
      <c r="P9333"/>
      <c r="Q9333" s="24"/>
      <c r="R9333"/>
      <c r="S9333"/>
      <c r="T9333"/>
      <c r="U9333"/>
      <c r="X9333" s="60"/>
    </row>
    <row r="9334" spans="7:24" ht="15" customHeight="1">
      <c r="G9334"/>
      <c r="I9334"/>
      <c r="N9334"/>
      <c r="O9334" s="24"/>
      <c r="P9334"/>
      <c r="Q9334" s="24"/>
      <c r="R9334"/>
      <c r="S9334"/>
      <c r="T9334"/>
      <c r="U9334"/>
      <c r="X9334" s="60"/>
    </row>
    <row r="9335" spans="7:24" ht="15" customHeight="1">
      <c r="G9335"/>
      <c r="I9335"/>
      <c r="N9335"/>
      <c r="O9335" s="24"/>
      <c r="P9335"/>
      <c r="Q9335" s="24"/>
      <c r="R9335"/>
      <c r="S9335"/>
      <c r="T9335"/>
      <c r="U9335"/>
      <c r="X9335" s="60"/>
    </row>
    <row r="9336" spans="7:24" ht="15" customHeight="1">
      <c r="G9336"/>
      <c r="I9336"/>
      <c r="N9336"/>
      <c r="O9336" s="24"/>
      <c r="P9336"/>
      <c r="Q9336" s="24"/>
      <c r="R9336"/>
      <c r="S9336"/>
      <c r="T9336"/>
      <c r="U9336"/>
      <c r="X9336" s="60"/>
    </row>
    <row r="9337" spans="7:24" ht="15" customHeight="1">
      <c r="G9337"/>
      <c r="I9337"/>
      <c r="N9337"/>
      <c r="O9337" s="24"/>
      <c r="P9337"/>
      <c r="Q9337" s="24"/>
      <c r="R9337"/>
      <c r="S9337"/>
      <c r="T9337"/>
      <c r="U9337"/>
      <c r="X9337" s="60"/>
    </row>
    <row r="9338" spans="7:24" ht="15" customHeight="1">
      <c r="G9338"/>
      <c r="I9338"/>
      <c r="N9338"/>
      <c r="O9338" s="24"/>
      <c r="P9338"/>
      <c r="Q9338" s="24"/>
      <c r="R9338"/>
      <c r="S9338"/>
      <c r="T9338"/>
      <c r="U9338"/>
      <c r="X9338" s="60"/>
    </row>
    <row r="9339" spans="7:24" ht="15" customHeight="1">
      <c r="G9339"/>
      <c r="I9339"/>
      <c r="N9339"/>
      <c r="O9339" s="24"/>
      <c r="P9339"/>
      <c r="Q9339" s="24"/>
      <c r="R9339"/>
      <c r="S9339"/>
      <c r="T9339"/>
      <c r="U9339"/>
      <c r="X9339" s="60"/>
    </row>
    <row r="9340" spans="7:24" ht="15" customHeight="1">
      <c r="G9340"/>
      <c r="I9340"/>
      <c r="N9340"/>
      <c r="O9340" s="24"/>
      <c r="P9340"/>
      <c r="Q9340" s="24"/>
      <c r="R9340"/>
      <c r="S9340"/>
      <c r="T9340"/>
      <c r="U9340"/>
      <c r="X9340" s="60"/>
    </row>
    <row r="9341" spans="7:24" ht="15" customHeight="1">
      <c r="G9341"/>
      <c r="I9341"/>
      <c r="N9341"/>
      <c r="O9341" s="24"/>
      <c r="P9341"/>
      <c r="Q9341" s="24"/>
      <c r="R9341"/>
      <c r="S9341"/>
      <c r="T9341"/>
      <c r="U9341"/>
      <c r="X9341" s="60"/>
    </row>
    <row r="9342" spans="7:24" ht="15" customHeight="1">
      <c r="G9342"/>
      <c r="I9342"/>
      <c r="N9342"/>
      <c r="O9342" s="24"/>
      <c r="P9342"/>
      <c r="Q9342" s="24"/>
      <c r="R9342"/>
      <c r="S9342"/>
      <c r="T9342"/>
      <c r="U9342"/>
      <c r="X9342" s="60"/>
    </row>
    <row r="9343" spans="7:24" ht="15" customHeight="1">
      <c r="G9343"/>
      <c r="I9343"/>
      <c r="N9343"/>
      <c r="O9343" s="24"/>
      <c r="P9343"/>
      <c r="Q9343" s="24"/>
      <c r="R9343"/>
      <c r="S9343"/>
      <c r="T9343"/>
      <c r="U9343"/>
      <c r="X9343" s="60"/>
    </row>
    <row r="9344" spans="7:24" ht="15" customHeight="1">
      <c r="G9344"/>
      <c r="I9344"/>
      <c r="N9344"/>
      <c r="O9344" s="24"/>
      <c r="P9344"/>
      <c r="Q9344" s="24"/>
      <c r="R9344"/>
      <c r="S9344"/>
      <c r="T9344"/>
      <c r="U9344"/>
      <c r="X9344" s="60"/>
    </row>
    <row r="9345" spans="7:24" ht="15" customHeight="1">
      <c r="G9345"/>
      <c r="I9345"/>
      <c r="N9345"/>
      <c r="O9345" s="24"/>
      <c r="P9345"/>
      <c r="Q9345" s="24"/>
      <c r="R9345"/>
      <c r="S9345"/>
      <c r="T9345"/>
      <c r="U9345"/>
      <c r="X9345" s="60"/>
    </row>
    <row r="9346" spans="7:24" ht="15" customHeight="1">
      <c r="G9346"/>
      <c r="I9346"/>
      <c r="N9346"/>
      <c r="O9346" s="24"/>
      <c r="P9346"/>
      <c r="Q9346" s="24"/>
      <c r="R9346"/>
      <c r="S9346"/>
      <c r="T9346"/>
      <c r="U9346"/>
      <c r="X9346" s="60"/>
    </row>
    <row r="9347" spans="7:24" ht="15" customHeight="1">
      <c r="G9347"/>
      <c r="I9347"/>
      <c r="N9347"/>
      <c r="O9347" s="24"/>
      <c r="P9347"/>
      <c r="Q9347" s="24"/>
      <c r="R9347"/>
      <c r="S9347"/>
      <c r="T9347"/>
      <c r="U9347"/>
      <c r="X9347" s="60"/>
    </row>
    <row r="9348" spans="7:24" ht="15" customHeight="1">
      <c r="G9348"/>
      <c r="I9348"/>
      <c r="N9348"/>
      <c r="O9348" s="24"/>
      <c r="P9348"/>
      <c r="Q9348" s="24"/>
      <c r="R9348"/>
      <c r="S9348"/>
      <c r="T9348"/>
      <c r="U9348"/>
      <c r="X9348" s="60"/>
    </row>
    <row r="9349" spans="7:24" ht="15" customHeight="1">
      <c r="G9349"/>
      <c r="I9349"/>
      <c r="N9349"/>
      <c r="O9349" s="24"/>
      <c r="P9349"/>
      <c r="Q9349" s="24"/>
      <c r="R9349"/>
      <c r="S9349"/>
      <c r="T9349"/>
      <c r="U9349"/>
      <c r="X9349" s="60"/>
    </row>
    <row r="9350" spans="7:24" ht="15" customHeight="1">
      <c r="G9350"/>
      <c r="I9350"/>
      <c r="N9350"/>
      <c r="O9350" s="24"/>
      <c r="P9350"/>
      <c r="Q9350" s="24"/>
      <c r="R9350"/>
      <c r="S9350"/>
      <c r="T9350"/>
      <c r="U9350"/>
      <c r="X9350" s="60"/>
    </row>
    <row r="9351" spans="7:24" ht="15" customHeight="1">
      <c r="G9351"/>
      <c r="I9351"/>
      <c r="N9351"/>
      <c r="O9351" s="24"/>
      <c r="P9351"/>
      <c r="Q9351" s="24"/>
      <c r="R9351"/>
      <c r="S9351"/>
      <c r="T9351"/>
      <c r="U9351"/>
      <c r="X9351" s="60"/>
    </row>
    <row r="9352" spans="7:24" ht="15" customHeight="1">
      <c r="G9352"/>
      <c r="I9352"/>
      <c r="N9352"/>
      <c r="O9352" s="24"/>
      <c r="P9352"/>
      <c r="Q9352" s="24"/>
      <c r="R9352"/>
      <c r="S9352"/>
      <c r="T9352"/>
      <c r="U9352"/>
      <c r="X9352" s="60"/>
    </row>
    <row r="9353" spans="7:24" ht="15" customHeight="1">
      <c r="G9353"/>
      <c r="I9353"/>
      <c r="N9353"/>
      <c r="O9353" s="24"/>
      <c r="P9353"/>
      <c r="Q9353" s="24"/>
      <c r="R9353"/>
      <c r="S9353"/>
      <c r="T9353"/>
      <c r="U9353"/>
      <c r="X9353" s="60"/>
    </row>
    <row r="9354" spans="7:24" ht="15" customHeight="1">
      <c r="G9354"/>
      <c r="I9354"/>
      <c r="N9354"/>
      <c r="O9354" s="24"/>
      <c r="P9354"/>
      <c r="Q9354" s="24"/>
      <c r="R9354"/>
      <c r="S9354"/>
      <c r="T9354"/>
      <c r="U9354"/>
      <c r="X9354" s="60"/>
    </row>
    <row r="9355" spans="7:24" ht="15" customHeight="1">
      <c r="G9355"/>
      <c r="I9355"/>
      <c r="N9355"/>
      <c r="O9355" s="24"/>
      <c r="P9355"/>
      <c r="Q9355" s="24"/>
      <c r="R9355"/>
      <c r="S9355"/>
      <c r="T9355"/>
      <c r="U9355"/>
      <c r="X9355" s="60"/>
    </row>
    <row r="9356" spans="7:24" ht="15" customHeight="1">
      <c r="G9356"/>
      <c r="I9356"/>
      <c r="N9356"/>
      <c r="O9356" s="24"/>
      <c r="P9356"/>
      <c r="Q9356" s="24"/>
      <c r="R9356"/>
      <c r="S9356"/>
      <c r="T9356"/>
      <c r="U9356"/>
      <c r="X9356" s="60"/>
    </row>
    <row r="9357" spans="7:24" ht="15" customHeight="1">
      <c r="G9357"/>
      <c r="I9357"/>
      <c r="N9357"/>
      <c r="O9357" s="24"/>
      <c r="P9357"/>
      <c r="Q9357" s="24"/>
      <c r="R9357"/>
      <c r="S9357"/>
      <c r="T9357"/>
      <c r="U9357"/>
      <c r="X9357" s="60"/>
    </row>
    <row r="9358" spans="7:24" ht="15" customHeight="1">
      <c r="G9358"/>
      <c r="I9358"/>
      <c r="N9358"/>
      <c r="O9358" s="24"/>
      <c r="P9358"/>
      <c r="Q9358" s="24"/>
      <c r="R9358"/>
      <c r="S9358"/>
      <c r="T9358"/>
      <c r="U9358"/>
      <c r="X9358" s="60"/>
    </row>
    <row r="9359" spans="7:24" ht="15" customHeight="1">
      <c r="G9359"/>
      <c r="I9359"/>
      <c r="N9359"/>
      <c r="O9359" s="24"/>
      <c r="P9359"/>
      <c r="Q9359" s="24"/>
      <c r="R9359"/>
      <c r="S9359"/>
      <c r="T9359"/>
      <c r="U9359"/>
      <c r="X9359" s="60"/>
    </row>
    <row r="9360" spans="7:24" ht="15" customHeight="1">
      <c r="G9360"/>
      <c r="I9360"/>
      <c r="N9360"/>
      <c r="O9360" s="24"/>
      <c r="P9360"/>
      <c r="Q9360" s="24"/>
      <c r="R9360"/>
      <c r="S9360"/>
      <c r="T9360"/>
      <c r="U9360"/>
      <c r="X9360" s="60"/>
    </row>
    <row r="9361" spans="7:24" ht="15" customHeight="1">
      <c r="G9361"/>
      <c r="I9361"/>
      <c r="N9361"/>
      <c r="O9361" s="24"/>
      <c r="P9361"/>
      <c r="Q9361" s="24"/>
      <c r="R9361"/>
      <c r="S9361"/>
      <c r="T9361"/>
      <c r="U9361"/>
      <c r="X9361" s="60"/>
    </row>
    <row r="9362" spans="7:24" ht="15" customHeight="1">
      <c r="G9362"/>
      <c r="I9362"/>
      <c r="N9362"/>
      <c r="O9362" s="24"/>
      <c r="P9362"/>
      <c r="Q9362" s="24"/>
      <c r="R9362"/>
      <c r="S9362"/>
      <c r="T9362"/>
      <c r="U9362"/>
      <c r="X9362" s="60"/>
    </row>
    <row r="9363" spans="7:24" ht="15" customHeight="1">
      <c r="G9363"/>
      <c r="I9363"/>
      <c r="N9363"/>
      <c r="O9363" s="24"/>
      <c r="P9363"/>
      <c r="Q9363" s="24"/>
      <c r="R9363"/>
      <c r="S9363"/>
      <c r="T9363"/>
      <c r="U9363"/>
      <c r="X9363" s="60"/>
    </row>
    <row r="9364" spans="7:24" ht="15" customHeight="1">
      <c r="G9364"/>
      <c r="I9364"/>
      <c r="N9364"/>
      <c r="O9364" s="24"/>
      <c r="P9364"/>
      <c r="Q9364" s="24"/>
      <c r="R9364"/>
      <c r="S9364"/>
      <c r="T9364"/>
      <c r="U9364"/>
      <c r="X9364" s="60"/>
    </row>
    <row r="9365" spans="7:24" ht="15" customHeight="1">
      <c r="G9365"/>
      <c r="I9365"/>
      <c r="N9365"/>
      <c r="O9365" s="24"/>
      <c r="P9365"/>
      <c r="Q9365" s="24"/>
      <c r="R9365"/>
      <c r="S9365"/>
      <c r="T9365"/>
      <c r="U9365"/>
      <c r="X9365" s="60"/>
    </row>
    <row r="9366" spans="7:24" ht="15" customHeight="1">
      <c r="G9366"/>
      <c r="I9366"/>
      <c r="N9366"/>
      <c r="O9366" s="24"/>
      <c r="P9366"/>
      <c r="Q9366" s="24"/>
      <c r="R9366"/>
      <c r="S9366"/>
      <c r="T9366"/>
      <c r="U9366"/>
      <c r="X9366" s="60"/>
    </row>
    <row r="9367" spans="7:24" ht="15" customHeight="1">
      <c r="G9367"/>
      <c r="I9367"/>
      <c r="N9367"/>
      <c r="O9367" s="24"/>
      <c r="P9367"/>
      <c r="Q9367" s="24"/>
      <c r="R9367"/>
      <c r="S9367"/>
      <c r="T9367"/>
      <c r="U9367"/>
      <c r="X9367" s="60"/>
    </row>
    <row r="9368" spans="7:24" ht="15" customHeight="1">
      <c r="G9368"/>
      <c r="I9368"/>
      <c r="N9368"/>
      <c r="O9368" s="24"/>
      <c r="P9368"/>
      <c r="Q9368" s="24"/>
      <c r="R9368"/>
      <c r="S9368"/>
      <c r="T9368"/>
      <c r="U9368"/>
      <c r="X9368" s="60"/>
    </row>
    <row r="9369" spans="7:24" ht="15" customHeight="1">
      <c r="G9369"/>
      <c r="I9369"/>
      <c r="N9369"/>
      <c r="O9369" s="24"/>
      <c r="P9369"/>
      <c r="Q9369" s="24"/>
      <c r="R9369"/>
      <c r="S9369"/>
      <c r="T9369"/>
      <c r="U9369"/>
      <c r="X9369" s="60"/>
    </row>
    <row r="9370" spans="7:24" ht="15" customHeight="1">
      <c r="G9370"/>
      <c r="I9370"/>
      <c r="N9370"/>
      <c r="O9370" s="24"/>
      <c r="P9370"/>
      <c r="Q9370" s="24"/>
      <c r="R9370"/>
      <c r="S9370"/>
      <c r="T9370"/>
      <c r="U9370"/>
      <c r="X9370" s="60"/>
    </row>
    <row r="9371" spans="7:24" ht="15" customHeight="1">
      <c r="G9371"/>
      <c r="I9371"/>
      <c r="N9371"/>
      <c r="O9371" s="24"/>
      <c r="P9371"/>
      <c r="Q9371" s="24"/>
      <c r="R9371"/>
      <c r="S9371"/>
      <c r="T9371"/>
      <c r="U9371"/>
      <c r="X9371" s="60"/>
    </row>
    <row r="9372" spans="7:24" ht="15" customHeight="1">
      <c r="G9372"/>
      <c r="I9372"/>
      <c r="N9372"/>
      <c r="O9372" s="24"/>
      <c r="P9372"/>
      <c r="Q9372" s="24"/>
      <c r="R9372"/>
      <c r="S9372"/>
      <c r="T9372"/>
      <c r="U9372"/>
      <c r="X9372" s="60"/>
    </row>
    <row r="9373" spans="7:24" ht="15" customHeight="1">
      <c r="G9373"/>
      <c r="I9373"/>
      <c r="N9373"/>
      <c r="O9373" s="24"/>
      <c r="P9373"/>
      <c r="Q9373" s="24"/>
      <c r="R9373"/>
      <c r="S9373"/>
      <c r="T9373"/>
      <c r="U9373"/>
      <c r="X9373" s="60"/>
    </row>
    <row r="9374" spans="7:24" ht="15" customHeight="1">
      <c r="G9374"/>
      <c r="I9374"/>
      <c r="N9374"/>
      <c r="O9374" s="24"/>
      <c r="P9374"/>
      <c r="Q9374" s="24"/>
      <c r="R9374"/>
      <c r="S9374"/>
      <c r="T9374"/>
      <c r="U9374"/>
      <c r="X9374" s="60"/>
    </row>
    <row r="9375" spans="7:24" ht="15" customHeight="1">
      <c r="G9375"/>
      <c r="I9375"/>
      <c r="N9375"/>
      <c r="O9375" s="24"/>
      <c r="P9375"/>
      <c r="Q9375" s="24"/>
      <c r="R9375"/>
      <c r="S9375"/>
      <c r="T9375"/>
      <c r="U9375"/>
      <c r="X9375" s="60"/>
    </row>
    <row r="9376" spans="7:24" ht="15" customHeight="1">
      <c r="G9376"/>
      <c r="I9376"/>
      <c r="N9376"/>
      <c r="O9376" s="24"/>
      <c r="P9376"/>
      <c r="Q9376" s="24"/>
      <c r="R9376"/>
      <c r="S9376"/>
      <c r="T9376"/>
      <c r="U9376"/>
      <c r="X9376" s="60"/>
    </row>
    <row r="9377" spans="7:24" ht="15" customHeight="1">
      <c r="G9377"/>
      <c r="I9377"/>
      <c r="N9377"/>
      <c r="O9377" s="24"/>
      <c r="P9377"/>
      <c r="Q9377" s="24"/>
      <c r="R9377"/>
      <c r="S9377"/>
      <c r="T9377"/>
      <c r="U9377"/>
      <c r="X9377" s="60"/>
    </row>
    <row r="9378" spans="7:24" ht="15" customHeight="1">
      <c r="G9378"/>
      <c r="I9378"/>
      <c r="N9378"/>
      <c r="O9378" s="24"/>
      <c r="P9378"/>
      <c r="Q9378" s="24"/>
      <c r="R9378"/>
      <c r="S9378"/>
      <c r="T9378"/>
      <c r="U9378"/>
      <c r="X9378" s="60"/>
    </row>
    <row r="9379" spans="7:24" ht="15" customHeight="1">
      <c r="G9379"/>
      <c r="I9379"/>
      <c r="N9379"/>
      <c r="O9379" s="24"/>
      <c r="P9379"/>
      <c r="Q9379" s="24"/>
      <c r="R9379"/>
      <c r="S9379"/>
      <c r="T9379"/>
      <c r="U9379"/>
      <c r="X9379" s="60"/>
    </row>
    <row r="9380" spans="7:24" ht="15" customHeight="1">
      <c r="G9380"/>
      <c r="I9380"/>
      <c r="N9380"/>
      <c r="O9380" s="24"/>
      <c r="P9380"/>
      <c r="Q9380" s="24"/>
      <c r="R9380"/>
      <c r="S9380"/>
      <c r="T9380"/>
      <c r="U9380"/>
      <c r="X9380" s="60"/>
    </row>
    <row r="9381" spans="7:24" ht="15" customHeight="1">
      <c r="G9381"/>
      <c r="I9381"/>
      <c r="N9381"/>
      <c r="O9381" s="24"/>
      <c r="P9381"/>
      <c r="Q9381" s="24"/>
      <c r="R9381"/>
      <c r="S9381"/>
      <c r="T9381"/>
      <c r="U9381"/>
      <c r="X9381" s="60"/>
    </row>
    <row r="9382" spans="7:24" ht="15" customHeight="1">
      <c r="G9382"/>
      <c r="I9382"/>
      <c r="N9382"/>
      <c r="O9382" s="24"/>
      <c r="P9382"/>
      <c r="Q9382" s="24"/>
      <c r="R9382"/>
      <c r="S9382"/>
      <c r="T9382"/>
      <c r="U9382"/>
      <c r="X9382" s="60"/>
    </row>
    <row r="9383" spans="7:24" ht="15" customHeight="1">
      <c r="G9383"/>
      <c r="I9383"/>
      <c r="N9383"/>
      <c r="O9383" s="24"/>
      <c r="P9383"/>
      <c r="Q9383" s="24"/>
      <c r="R9383"/>
      <c r="S9383"/>
      <c r="T9383"/>
      <c r="U9383"/>
      <c r="X9383" s="60"/>
    </row>
    <row r="9384" spans="7:24" ht="15" customHeight="1">
      <c r="G9384"/>
      <c r="I9384"/>
      <c r="N9384"/>
      <c r="O9384" s="24"/>
      <c r="P9384"/>
      <c r="Q9384" s="24"/>
      <c r="R9384"/>
      <c r="S9384"/>
      <c r="T9384"/>
      <c r="U9384"/>
      <c r="X9384" s="60"/>
    </row>
    <row r="9385" spans="7:24" ht="15" customHeight="1">
      <c r="G9385"/>
      <c r="I9385"/>
      <c r="N9385"/>
      <c r="O9385" s="24"/>
      <c r="P9385"/>
      <c r="Q9385" s="24"/>
      <c r="R9385"/>
      <c r="S9385"/>
      <c r="T9385"/>
      <c r="U9385"/>
      <c r="X9385" s="60"/>
    </row>
    <row r="9386" spans="7:24" ht="15" customHeight="1">
      <c r="G9386"/>
      <c r="I9386"/>
      <c r="N9386"/>
      <c r="O9386" s="24"/>
      <c r="P9386"/>
      <c r="Q9386" s="24"/>
      <c r="R9386"/>
      <c r="S9386"/>
      <c r="T9386"/>
      <c r="U9386"/>
      <c r="X9386" s="60"/>
    </row>
    <row r="9387" spans="7:24" ht="15" customHeight="1">
      <c r="G9387"/>
      <c r="I9387"/>
      <c r="N9387"/>
      <c r="O9387" s="24"/>
      <c r="P9387"/>
      <c r="Q9387" s="24"/>
      <c r="R9387"/>
      <c r="S9387"/>
      <c r="T9387"/>
      <c r="U9387"/>
      <c r="X9387" s="60"/>
    </row>
    <row r="9388" spans="7:24" ht="15" customHeight="1">
      <c r="G9388"/>
      <c r="I9388"/>
      <c r="N9388"/>
      <c r="O9388" s="24"/>
      <c r="P9388"/>
      <c r="Q9388" s="24"/>
      <c r="R9388"/>
      <c r="S9388"/>
      <c r="T9388"/>
      <c r="U9388"/>
      <c r="X9388" s="60"/>
    </row>
    <row r="9389" spans="7:24" ht="15" customHeight="1">
      <c r="G9389"/>
      <c r="I9389"/>
      <c r="N9389"/>
      <c r="O9389" s="24"/>
      <c r="P9389"/>
      <c r="Q9389" s="24"/>
      <c r="R9389"/>
      <c r="S9389"/>
      <c r="T9389"/>
      <c r="U9389"/>
      <c r="X9389" s="60"/>
    </row>
    <row r="9390" spans="7:24" ht="15" customHeight="1">
      <c r="G9390"/>
      <c r="I9390"/>
      <c r="N9390"/>
      <c r="O9390" s="24"/>
      <c r="P9390"/>
      <c r="Q9390" s="24"/>
      <c r="R9390"/>
      <c r="S9390"/>
      <c r="T9390"/>
      <c r="U9390"/>
      <c r="X9390" s="60"/>
    </row>
    <row r="9391" spans="7:24" ht="15" customHeight="1">
      <c r="G9391"/>
      <c r="I9391"/>
      <c r="N9391"/>
      <c r="O9391" s="24"/>
      <c r="P9391"/>
      <c r="Q9391" s="24"/>
      <c r="R9391"/>
      <c r="S9391"/>
      <c r="T9391"/>
      <c r="U9391"/>
      <c r="X9391" s="60"/>
    </row>
    <row r="9392" spans="7:24" ht="15" customHeight="1">
      <c r="G9392"/>
      <c r="I9392"/>
      <c r="N9392"/>
      <c r="O9392" s="24"/>
      <c r="P9392"/>
      <c r="Q9392" s="24"/>
      <c r="R9392"/>
      <c r="S9392"/>
      <c r="T9392"/>
      <c r="U9392"/>
      <c r="X9392" s="60"/>
    </row>
    <row r="9393" spans="7:24" ht="15" customHeight="1">
      <c r="G9393"/>
      <c r="I9393"/>
      <c r="N9393"/>
      <c r="O9393" s="24"/>
      <c r="P9393"/>
      <c r="Q9393" s="24"/>
      <c r="R9393"/>
      <c r="S9393"/>
      <c r="T9393"/>
      <c r="U9393"/>
      <c r="X9393" s="60"/>
    </row>
    <row r="9394" spans="7:24" ht="15" customHeight="1">
      <c r="G9394"/>
      <c r="I9394"/>
      <c r="N9394"/>
      <c r="O9394" s="24"/>
      <c r="P9394"/>
      <c r="Q9394" s="24"/>
      <c r="R9394"/>
      <c r="S9394"/>
      <c r="T9394"/>
      <c r="U9394"/>
      <c r="X9394" s="60"/>
    </row>
    <row r="9395" spans="7:24" ht="15" customHeight="1">
      <c r="G9395"/>
      <c r="I9395"/>
      <c r="N9395"/>
      <c r="O9395" s="24"/>
      <c r="P9395"/>
      <c r="Q9395" s="24"/>
      <c r="R9395"/>
      <c r="S9395"/>
      <c r="T9395"/>
      <c r="U9395"/>
      <c r="X9395" s="60"/>
    </row>
    <row r="9396" spans="7:24" ht="15" customHeight="1">
      <c r="G9396"/>
      <c r="I9396"/>
      <c r="N9396"/>
      <c r="O9396" s="24"/>
      <c r="P9396"/>
      <c r="Q9396" s="24"/>
      <c r="R9396"/>
      <c r="S9396"/>
      <c r="T9396"/>
      <c r="U9396"/>
      <c r="X9396" s="60"/>
    </row>
    <row r="9397" spans="7:24" ht="15" customHeight="1">
      <c r="G9397"/>
      <c r="I9397"/>
      <c r="N9397"/>
      <c r="O9397" s="24"/>
      <c r="P9397"/>
      <c r="Q9397" s="24"/>
      <c r="R9397"/>
      <c r="S9397"/>
      <c r="T9397"/>
      <c r="U9397"/>
      <c r="X9397" s="60"/>
    </row>
    <row r="9398" spans="7:24" ht="15" customHeight="1">
      <c r="G9398"/>
      <c r="I9398"/>
      <c r="N9398"/>
      <c r="O9398" s="24"/>
      <c r="P9398"/>
      <c r="Q9398" s="24"/>
      <c r="R9398"/>
      <c r="S9398"/>
      <c r="T9398"/>
      <c r="U9398"/>
      <c r="X9398" s="60"/>
    </row>
    <row r="9399" spans="7:24" ht="15" customHeight="1">
      <c r="G9399"/>
      <c r="I9399"/>
      <c r="N9399"/>
      <c r="O9399" s="24"/>
      <c r="P9399"/>
      <c r="Q9399" s="24"/>
      <c r="R9399"/>
      <c r="S9399"/>
      <c r="T9399"/>
      <c r="U9399"/>
      <c r="X9399" s="60"/>
    </row>
    <row r="9400" spans="7:24" ht="15" customHeight="1">
      <c r="G9400"/>
      <c r="I9400"/>
      <c r="N9400"/>
      <c r="O9400" s="24"/>
      <c r="P9400"/>
      <c r="Q9400" s="24"/>
      <c r="R9400"/>
      <c r="S9400"/>
      <c r="T9400"/>
      <c r="U9400"/>
      <c r="X9400" s="60"/>
    </row>
    <row r="9401" spans="7:24" ht="15" customHeight="1">
      <c r="G9401"/>
      <c r="I9401"/>
      <c r="N9401"/>
      <c r="O9401" s="24"/>
      <c r="P9401"/>
      <c r="Q9401" s="24"/>
      <c r="R9401"/>
      <c r="S9401"/>
      <c r="T9401"/>
      <c r="U9401"/>
      <c r="X9401" s="60"/>
    </row>
    <row r="9402" spans="7:24" ht="15" customHeight="1">
      <c r="G9402"/>
      <c r="I9402"/>
      <c r="N9402"/>
      <c r="O9402" s="24"/>
      <c r="P9402"/>
      <c r="Q9402" s="24"/>
      <c r="R9402"/>
      <c r="S9402"/>
      <c r="T9402"/>
      <c r="U9402"/>
      <c r="X9402" s="60"/>
    </row>
    <row r="9403" spans="7:24" ht="15" customHeight="1">
      <c r="G9403"/>
      <c r="I9403"/>
      <c r="N9403"/>
      <c r="O9403" s="24"/>
      <c r="P9403"/>
      <c r="Q9403" s="24"/>
      <c r="R9403"/>
      <c r="S9403"/>
      <c r="T9403"/>
      <c r="U9403"/>
      <c r="X9403" s="60"/>
    </row>
    <row r="9404" spans="7:24" ht="15" customHeight="1">
      <c r="G9404"/>
      <c r="I9404"/>
      <c r="N9404"/>
      <c r="O9404" s="24"/>
      <c r="P9404"/>
      <c r="Q9404" s="24"/>
      <c r="R9404"/>
      <c r="S9404"/>
      <c r="T9404"/>
      <c r="U9404"/>
      <c r="X9404" s="60"/>
    </row>
    <row r="9405" spans="7:24" ht="15" customHeight="1">
      <c r="G9405"/>
      <c r="I9405"/>
      <c r="N9405"/>
      <c r="O9405" s="24"/>
      <c r="P9405"/>
      <c r="Q9405" s="24"/>
      <c r="R9405"/>
      <c r="S9405"/>
      <c r="T9405"/>
      <c r="U9405"/>
      <c r="X9405" s="60"/>
    </row>
    <row r="9406" spans="7:24" ht="15" customHeight="1">
      <c r="G9406"/>
      <c r="I9406"/>
      <c r="N9406"/>
      <c r="O9406" s="24"/>
      <c r="P9406"/>
      <c r="Q9406" s="24"/>
      <c r="R9406"/>
      <c r="S9406"/>
      <c r="T9406"/>
      <c r="U9406"/>
      <c r="X9406" s="60"/>
    </row>
    <row r="9407" spans="7:24" ht="15" customHeight="1">
      <c r="G9407"/>
      <c r="I9407"/>
      <c r="N9407"/>
      <c r="O9407" s="24"/>
      <c r="P9407"/>
      <c r="Q9407" s="24"/>
      <c r="R9407"/>
      <c r="S9407"/>
      <c r="T9407"/>
      <c r="U9407"/>
      <c r="X9407" s="60"/>
    </row>
    <row r="9408" spans="7:24" ht="15" customHeight="1">
      <c r="G9408"/>
      <c r="I9408"/>
      <c r="N9408"/>
      <c r="O9408" s="24"/>
      <c r="P9408"/>
      <c r="Q9408" s="24"/>
      <c r="R9408"/>
      <c r="S9408"/>
      <c r="T9408"/>
      <c r="U9408"/>
      <c r="X9408" s="60"/>
    </row>
    <row r="9409" spans="7:24" ht="15" customHeight="1">
      <c r="G9409"/>
      <c r="I9409"/>
      <c r="N9409"/>
      <c r="O9409" s="24"/>
      <c r="P9409"/>
      <c r="Q9409" s="24"/>
      <c r="R9409"/>
      <c r="S9409"/>
      <c r="T9409"/>
      <c r="U9409"/>
      <c r="X9409" s="60"/>
    </row>
    <row r="9410" spans="7:24" ht="15" customHeight="1">
      <c r="G9410"/>
      <c r="I9410"/>
      <c r="N9410"/>
      <c r="O9410" s="24"/>
      <c r="P9410"/>
      <c r="Q9410" s="24"/>
      <c r="R9410"/>
      <c r="S9410"/>
      <c r="T9410"/>
      <c r="U9410"/>
      <c r="X9410" s="60"/>
    </row>
    <row r="9411" spans="7:24" ht="15" customHeight="1">
      <c r="G9411"/>
      <c r="I9411"/>
      <c r="N9411"/>
      <c r="O9411" s="24"/>
      <c r="P9411"/>
      <c r="Q9411" s="24"/>
      <c r="R9411"/>
      <c r="S9411"/>
      <c r="T9411"/>
      <c r="U9411"/>
      <c r="X9411" s="60"/>
    </row>
    <row r="9412" spans="7:24" ht="15" customHeight="1">
      <c r="G9412"/>
      <c r="I9412"/>
      <c r="N9412"/>
      <c r="O9412" s="24"/>
      <c r="P9412"/>
      <c r="Q9412" s="24"/>
      <c r="R9412"/>
      <c r="S9412"/>
      <c r="T9412"/>
      <c r="U9412"/>
      <c r="X9412" s="60"/>
    </row>
    <row r="9413" spans="7:24" ht="15" customHeight="1">
      <c r="G9413"/>
      <c r="I9413"/>
      <c r="N9413"/>
      <c r="O9413" s="24"/>
      <c r="P9413"/>
      <c r="Q9413" s="24"/>
      <c r="R9413"/>
      <c r="S9413"/>
      <c r="T9413"/>
      <c r="U9413"/>
      <c r="X9413" s="60"/>
    </row>
    <row r="9414" spans="7:24" ht="15" customHeight="1">
      <c r="G9414"/>
      <c r="I9414"/>
      <c r="N9414"/>
      <c r="O9414" s="24"/>
      <c r="P9414"/>
      <c r="Q9414" s="24"/>
      <c r="R9414"/>
      <c r="S9414"/>
      <c r="T9414"/>
      <c r="U9414"/>
      <c r="X9414" s="60"/>
    </row>
    <row r="9415" spans="7:24" ht="15" customHeight="1">
      <c r="G9415"/>
      <c r="I9415"/>
      <c r="N9415"/>
      <c r="O9415" s="24"/>
      <c r="P9415"/>
      <c r="Q9415" s="24"/>
      <c r="R9415"/>
      <c r="S9415"/>
      <c r="T9415"/>
      <c r="U9415"/>
      <c r="X9415" s="60"/>
    </row>
    <row r="9416" spans="7:24" ht="15" customHeight="1">
      <c r="G9416"/>
      <c r="I9416"/>
      <c r="N9416"/>
      <c r="O9416" s="24"/>
      <c r="P9416"/>
      <c r="Q9416" s="24"/>
      <c r="R9416"/>
      <c r="S9416"/>
      <c r="T9416"/>
      <c r="U9416"/>
      <c r="X9416" s="60"/>
    </row>
    <row r="9417" spans="7:24" ht="15" customHeight="1">
      <c r="G9417"/>
      <c r="I9417"/>
      <c r="N9417"/>
      <c r="O9417" s="24"/>
      <c r="P9417"/>
      <c r="Q9417" s="24"/>
      <c r="R9417"/>
      <c r="S9417"/>
      <c r="T9417"/>
      <c r="U9417"/>
      <c r="X9417" s="60"/>
    </row>
    <row r="9418" spans="7:24" ht="15" customHeight="1">
      <c r="G9418"/>
      <c r="I9418"/>
      <c r="N9418"/>
      <c r="O9418" s="24"/>
      <c r="P9418"/>
      <c r="Q9418" s="24"/>
      <c r="R9418"/>
      <c r="S9418"/>
      <c r="T9418"/>
      <c r="U9418"/>
      <c r="X9418" s="60"/>
    </row>
    <row r="9419" spans="7:24" ht="15" customHeight="1">
      <c r="G9419"/>
      <c r="I9419"/>
      <c r="N9419"/>
      <c r="O9419" s="24"/>
      <c r="P9419"/>
      <c r="Q9419" s="24"/>
      <c r="R9419"/>
      <c r="S9419"/>
      <c r="T9419"/>
      <c r="U9419"/>
      <c r="X9419" s="60"/>
    </row>
    <row r="9420" spans="7:24" ht="15" customHeight="1">
      <c r="G9420"/>
      <c r="I9420"/>
      <c r="N9420"/>
      <c r="O9420" s="24"/>
      <c r="P9420"/>
      <c r="Q9420" s="24"/>
      <c r="R9420"/>
      <c r="S9420"/>
      <c r="T9420"/>
      <c r="U9420"/>
      <c r="X9420" s="60"/>
    </row>
    <row r="9421" spans="7:24" ht="15" customHeight="1">
      <c r="G9421"/>
      <c r="I9421"/>
      <c r="N9421"/>
      <c r="O9421" s="24"/>
      <c r="P9421"/>
      <c r="Q9421" s="24"/>
      <c r="R9421"/>
      <c r="S9421"/>
      <c r="T9421"/>
      <c r="U9421"/>
      <c r="X9421" s="60"/>
    </row>
    <row r="9422" spans="7:24" ht="15" customHeight="1">
      <c r="G9422"/>
      <c r="I9422"/>
      <c r="N9422"/>
      <c r="O9422" s="24"/>
      <c r="P9422"/>
      <c r="Q9422" s="24"/>
      <c r="R9422"/>
      <c r="S9422"/>
      <c r="T9422"/>
      <c r="U9422"/>
      <c r="X9422" s="60"/>
    </row>
    <row r="9423" spans="7:24" ht="15" customHeight="1">
      <c r="G9423"/>
      <c r="I9423"/>
      <c r="N9423"/>
      <c r="O9423" s="24"/>
      <c r="P9423"/>
      <c r="Q9423" s="24"/>
      <c r="R9423"/>
      <c r="S9423"/>
      <c r="T9423"/>
      <c r="U9423"/>
      <c r="X9423" s="60"/>
    </row>
    <row r="9424" spans="7:24" ht="15" customHeight="1">
      <c r="G9424"/>
      <c r="I9424"/>
      <c r="N9424"/>
      <c r="O9424" s="24"/>
      <c r="P9424"/>
      <c r="Q9424" s="24"/>
      <c r="R9424"/>
      <c r="S9424"/>
      <c r="T9424"/>
      <c r="U9424"/>
      <c r="X9424" s="60"/>
    </row>
    <row r="9425" spans="7:24" ht="15" customHeight="1">
      <c r="G9425"/>
      <c r="I9425"/>
      <c r="N9425"/>
      <c r="O9425" s="24"/>
      <c r="P9425"/>
      <c r="Q9425" s="24"/>
      <c r="R9425"/>
      <c r="S9425"/>
      <c r="T9425"/>
      <c r="U9425"/>
      <c r="X9425" s="60"/>
    </row>
    <row r="9426" spans="7:24" ht="15" customHeight="1">
      <c r="G9426"/>
      <c r="I9426"/>
      <c r="N9426"/>
      <c r="O9426" s="24"/>
      <c r="P9426"/>
      <c r="Q9426" s="24"/>
      <c r="R9426"/>
      <c r="S9426"/>
      <c r="T9426"/>
      <c r="U9426"/>
      <c r="X9426" s="60"/>
    </row>
    <row r="9427" spans="7:24" ht="15" customHeight="1">
      <c r="G9427"/>
      <c r="I9427"/>
      <c r="N9427"/>
      <c r="O9427" s="24"/>
      <c r="P9427"/>
      <c r="Q9427" s="24"/>
      <c r="R9427"/>
      <c r="S9427"/>
      <c r="T9427"/>
      <c r="U9427"/>
      <c r="X9427" s="60"/>
    </row>
    <row r="9428" spans="7:24" ht="15" customHeight="1">
      <c r="G9428"/>
      <c r="I9428"/>
      <c r="N9428"/>
      <c r="O9428" s="24"/>
      <c r="P9428"/>
      <c r="Q9428" s="24"/>
      <c r="R9428"/>
      <c r="S9428"/>
      <c r="T9428"/>
      <c r="U9428"/>
      <c r="X9428" s="60"/>
    </row>
    <row r="9429" spans="7:24" ht="15" customHeight="1">
      <c r="G9429"/>
      <c r="I9429"/>
      <c r="N9429"/>
      <c r="O9429" s="24"/>
      <c r="P9429"/>
      <c r="Q9429" s="24"/>
      <c r="R9429"/>
      <c r="S9429"/>
      <c r="T9429"/>
      <c r="U9429"/>
      <c r="X9429" s="60"/>
    </row>
    <row r="9430" spans="7:24" ht="15" customHeight="1">
      <c r="G9430"/>
      <c r="I9430"/>
      <c r="N9430"/>
      <c r="O9430" s="24"/>
      <c r="P9430"/>
      <c r="Q9430" s="24"/>
      <c r="R9430"/>
      <c r="S9430"/>
      <c r="T9430"/>
      <c r="U9430"/>
      <c r="X9430" s="60"/>
    </row>
    <row r="9431" spans="7:24" ht="15" customHeight="1">
      <c r="G9431"/>
      <c r="I9431"/>
      <c r="N9431"/>
      <c r="O9431" s="24"/>
      <c r="P9431"/>
      <c r="Q9431" s="24"/>
      <c r="R9431"/>
      <c r="S9431"/>
      <c r="T9431"/>
      <c r="U9431"/>
      <c r="X9431" s="60"/>
    </row>
    <row r="9432" spans="7:24" ht="15" customHeight="1">
      <c r="G9432"/>
      <c r="I9432"/>
      <c r="N9432"/>
      <c r="O9432" s="24"/>
      <c r="P9432"/>
      <c r="Q9432" s="24"/>
      <c r="R9432"/>
      <c r="S9432"/>
      <c r="T9432"/>
      <c r="U9432"/>
      <c r="X9432" s="60"/>
    </row>
    <row r="9433" spans="7:24" ht="15" customHeight="1">
      <c r="G9433"/>
      <c r="I9433"/>
      <c r="N9433"/>
      <c r="O9433" s="24"/>
      <c r="P9433"/>
      <c r="Q9433" s="24"/>
      <c r="R9433"/>
      <c r="S9433"/>
      <c r="T9433"/>
      <c r="U9433"/>
      <c r="X9433" s="60"/>
    </row>
    <row r="9434" spans="7:24" ht="15" customHeight="1">
      <c r="G9434"/>
      <c r="I9434"/>
      <c r="N9434"/>
      <c r="O9434" s="24"/>
      <c r="P9434"/>
      <c r="Q9434" s="24"/>
      <c r="R9434"/>
      <c r="S9434"/>
      <c r="T9434"/>
      <c r="U9434"/>
      <c r="X9434" s="60"/>
    </row>
    <row r="9435" spans="7:24" ht="15" customHeight="1">
      <c r="G9435"/>
      <c r="I9435"/>
      <c r="N9435"/>
      <c r="O9435" s="24"/>
      <c r="P9435"/>
      <c r="Q9435" s="24"/>
      <c r="R9435"/>
      <c r="S9435"/>
      <c r="T9435"/>
      <c r="U9435"/>
      <c r="X9435" s="60"/>
    </row>
    <row r="9436" spans="7:24" ht="15" customHeight="1">
      <c r="G9436"/>
      <c r="I9436"/>
      <c r="N9436"/>
      <c r="O9436" s="24"/>
      <c r="P9436"/>
      <c r="Q9436" s="24"/>
      <c r="R9436"/>
      <c r="S9436"/>
      <c r="T9436"/>
      <c r="U9436"/>
      <c r="X9436" s="60"/>
    </row>
    <row r="9437" spans="7:24" ht="15" customHeight="1">
      <c r="G9437"/>
      <c r="I9437"/>
      <c r="N9437"/>
      <c r="O9437" s="24"/>
      <c r="P9437"/>
      <c r="Q9437" s="24"/>
      <c r="R9437"/>
      <c r="S9437"/>
      <c r="T9437"/>
      <c r="U9437"/>
      <c r="X9437" s="60"/>
    </row>
    <row r="9438" spans="7:24" ht="15" customHeight="1">
      <c r="G9438"/>
      <c r="I9438"/>
      <c r="N9438"/>
      <c r="O9438" s="24"/>
      <c r="P9438"/>
      <c r="Q9438" s="24"/>
      <c r="R9438"/>
      <c r="S9438"/>
      <c r="T9438"/>
      <c r="U9438"/>
      <c r="X9438" s="60"/>
    </row>
    <row r="9439" spans="7:24" ht="15" customHeight="1">
      <c r="G9439"/>
      <c r="I9439"/>
      <c r="N9439"/>
      <c r="O9439" s="24"/>
      <c r="P9439"/>
      <c r="Q9439" s="24"/>
      <c r="R9439"/>
      <c r="S9439"/>
      <c r="T9439"/>
      <c r="U9439"/>
      <c r="X9439" s="60"/>
    </row>
    <row r="9440" spans="7:24" ht="15" customHeight="1">
      <c r="G9440"/>
      <c r="I9440"/>
      <c r="N9440"/>
      <c r="O9440" s="24"/>
      <c r="P9440"/>
      <c r="Q9440" s="24"/>
      <c r="R9440"/>
      <c r="S9440"/>
      <c r="T9440"/>
      <c r="U9440"/>
      <c r="X9440" s="60"/>
    </row>
    <row r="9441" spans="7:24" ht="15" customHeight="1">
      <c r="G9441"/>
      <c r="I9441"/>
      <c r="N9441"/>
      <c r="O9441" s="24"/>
      <c r="P9441"/>
      <c r="Q9441" s="24"/>
      <c r="R9441"/>
      <c r="S9441"/>
      <c r="T9441"/>
      <c r="U9441"/>
      <c r="X9441" s="60"/>
    </row>
    <row r="9442" spans="7:24" ht="15" customHeight="1">
      <c r="G9442"/>
      <c r="I9442"/>
      <c r="N9442"/>
      <c r="O9442" s="24"/>
      <c r="P9442"/>
      <c r="Q9442" s="24"/>
      <c r="R9442"/>
      <c r="S9442"/>
      <c r="T9442"/>
      <c r="U9442"/>
      <c r="X9442" s="60"/>
    </row>
    <row r="9443" spans="7:24" ht="15" customHeight="1">
      <c r="G9443"/>
      <c r="I9443"/>
      <c r="N9443"/>
      <c r="O9443" s="24"/>
      <c r="P9443"/>
      <c r="Q9443" s="24"/>
      <c r="R9443"/>
      <c r="S9443"/>
      <c r="T9443"/>
      <c r="U9443"/>
      <c r="X9443" s="60"/>
    </row>
    <row r="9444" spans="7:24" ht="15" customHeight="1">
      <c r="G9444"/>
      <c r="I9444"/>
      <c r="N9444"/>
      <c r="O9444" s="24"/>
      <c r="P9444"/>
      <c r="Q9444" s="24"/>
      <c r="R9444"/>
      <c r="S9444"/>
      <c r="T9444"/>
      <c r="U9444"/>
      <c r="X9444" s="60"/>
    </row>
    <row r="9445" spans="7:24" ht="15" customHeight="1">
      <c r="G9445"/>
      <c r="I9445"/>
      <c r="N9445"/>
      <c r="O9445" s="24"/>
      <c r="P9445"/>
      <c r="Q9445" s="24"/>
      <c r="R9445"/>
      <c r="S9445"/>
      <c r="T9445"/>
      <c r="U9445"/>
      <c r="X9445" s="60"/>
    </row>
    <row r="9446" spans="7:24" ht="15" customHeight="1">
      <c r="G9446"/>
      <c r="I9446"/>
      <c r="N9446"/>
      <c r="O9446" s="24"/>
      <c r="P9446"/>
      <c r="Q9446" s="24"/>
      <c r="R9446"/>
      <c r="S9446"/>
      <c r="T9446"/>
      <c r="U9446"/>
      <c r="X9446" s="60"/>
    </row>
    <row r="9447" spans="7:24" ht="15" customHeight="1">
      <c r="G9447"/>
      <c r="I9447"/>
      <c r="N9447"/>
      <c r="O9447" s="24"/>
      <c r="P9447"/>
      <c r="Q9447" s="24"/>
      <c r="R9447"/>
      <c r="S9447"/>
      <c r="T9447"/>
      <c r="U9447"/>
      <c r="X9447" s="60"/>
    </row>
    <row r="9448" spans="7:24" ht="15" customHeight="1">
      <c r="G9448"/>
      <c r="I9448"/>
      <c r="N9448"/>
      <c r="O9448" s="24"/>
      <c r="P9448"/>
      <c r="Q9448" s="24"/>
      <c r="R9448"/>
      <c r="S9448"/>
      <c r="T9448"/>
      <c r="U9448"/>
      <c r="X9448" s="60"/>
    </row>
    <row r="9449" spans="7:24" ht="15" customHeight="1">
      <c r="G9449"/>
      <c r="I9449"/>
      <c r="N9449"/>
      <c r="O9449" s="24"/>
      <c r="P9449"/>
      <c r="Q9449" s="24"/>
      <c r="R9449"/>
      <c r="S9449"/>
      <c r="T9449"/>
      <c r="U9449"/>
      <c r="X9449" s="60"/>
    </row>
    <row r="9450" spans="7:24" ht="15" customHeight="1">
      <c r="G9450"/>
      <c r="I9450"/>
      <c r="N9450"/>
      <c r="O9450" s="24"/>
      <c r="P9450"/>
      <c r="Q9450" s="24"/>
      <c r="R9450"/>
      <c r="S9450"/>
      <c r="T9450"/>
      <c r="U9450"/>
      <c r="X9450" s="60"/>
    </row>
    <row r="9451" spans="7:24" ht="15" customHeight="1">
      <c r="G9451"/>
      <c r="I9451"/>
      <c r="N9451"/>
      <c r="O9451" s="24"/>
      <c r="P9451"/>
      <c r="Q9451" s="24"/>
      <c r="R9451"/>
      <c r="S9451"/>
      <c r="T9451"/>
      <c r="U9451"/>
      <c r="X9451" s="60"/>
    </row>
    <row r="9452" spans="7:24" ht="15" customHeight="1">
      <c r="G9452"/>
      <c r="I9452"/>
      <c r="N9452"/>
      <c r="O9452" s="24"/>
      <c r="P9452"/>
      <c r="Q9452" s="24"/>
      <c r="R9452"/>
      <c r="S9452"/>
      <c r="T9452"/>
      <c r="U9452"/>
      <c r="X9452" s="60"/>
    </row>
    <row r="9453" spans="7:24" ht="15" customHeight="1">
      <c r="G9453"/>
      <c r="I9453"/>
      <c r="N9453"/>
      <c r="O9453" s="24"/>
      <c r="P9453"/>
      <c r="Q9453" s="24"/>
      <c r="R9453"/>
      <c r="S9453"/>
      <c r="T9453"/>
      <c r="U9453"/>
      <c r="X9453" s="60"/>
    </row>
    <row r="9454" spans="7:24" ht="15" customHeight="1">
      <c r="G9454"/>
      <c r="I9454"/>
      <c r="N9454"/>
      <c r="O9454" s="24"/>
      <c r="P9454"/>
      <c r="Q9454" s="24"/>
      <c r="R9454"/>
      <c r="S9454"/>
      <c r="T9454"/>
      <c r="U9454"/>
      <c r="X9454" s="60"/>
    </row>
    <row r="9455" spans="7:24" ht="15" customHeight="1">
      <c r="G9455"/>
      <c r="I9455"/>
      <c r="N9455"/>
      <c r="O9455" s="24"/>
      <c r="P9455"/>
      <c r="Q9455" s="24"/>
      <c r="R9455"/>
      <c r="S9455"/>
      <c r="T9455"/>
      <c r="U9455"/>
      <c r="X9455" s="60"/>
    </row>
    <row r="9456" spans="7:24" ht="15" customHeight="1">
      <c r="G9456"/>
      <c r="I9456"/>
      <c r="N9456"/>
      <c r="O9456" s="24"/>
      <c r="P9456"/>
      <c r="Q9456" s="24"/>
      <c r="R9456"/>
      <c r="S9456"/>
      <c r="T9456"/>
      <c r="U9456"/>
      <c r="X9456" s="60"/>
    </row>
    <row r="9457" spans="7:24" ht="15" customHeight="1">
      <c r="G9457"/>
      <c r="I9457"/>
      <c r="N9457"/>
      <c r="O9457" s="24"/>
      <c r="P9457"/>
      <c r="Q9457" s="24"/>
      <c r="R9457"/>
      <c r="S9457"/>
      <c r="T9457"/>
      <c r="U9457"/>
      <c r="X9457" s="60"/>
    </row>
    <row r="9458" spans="7:24" ht="15" customHeight="1">
      <c r="G9458"/>
      <c r="I9458"/>
      <c r="N9458"/>
      <c r="O9458" s="24"/>
      <c r="P9458"/>
      <c r="Q9458" s="24"/>
      <c r="R9458"/>
      <c r="S9458"/>
      <c r="T9458"/>
      <c r="U9458"/>
      <c r="X9458" s="60"/>
    </row>
    <row r="9459" spans="7:24" ht="15" customHeight="1">
      <c r="G9459"/>
      <c r="I9459"/>
      <c r="N9459"/>
      <c r="O9459" s="24"/>
      <c r="P9459"/>
      <c r="Q9459" s="24"/>
      <c r="R9459"/>
      <c r="S9459"/>
      <c r="T9459"/>
      <c r="U9459"/>
      <c r="X9459" s="60"/>
    </row>
    <row r="9460" spans="7:24" ht="15" customHeight="1">
      <c r="G9460"/>
      <c r="I9460"/>
      <c r="N9460"/>
      <c r="O9460" s="24"/>
      <c r="P9460"/>
      <c r="Q9460" s="24"/>
      <c r="R9460"/>
      <c r="S9460"/>
      <c r="T9460"/>
      <c r="U9460"/>
      <c r="X9460" s="60"/>
    </row>
    <row r="9461" spans="7:24" ht="15" customHeight="1">
      <c r="G9461"/>
      <c r="I9461"/>
      <c r="N9461"/>
      <c r="O9461" s="24"/>
      <c r="P9461"/>
      <c r="Q9461" s="24"/>
      <c r="R9461"/>
      <c r="S9461"/>
      <c r="T9461"/>
      <c r="U9461"/>
      <c r="X9461" s="60"/>
    </row>
    <row r="9462" spans="7:24" ht="15" customHeight="1">
      <c r="G9462"/>
      <c r="I9462"/>
      <c r="N9462"/>
      <c r="O9462" s="24"/>
      <c r="P9462"/>
      <c r="Q9462" s="24"/>
      <c r="R9462"/>
      <c r="S9462"/>
      <c r="T9462"/>
      <c r="U9462"/>
      <c r="X9462" s="60"/>
    </row>
    <row r="9463" spans="7:24" ht="15" customHeight="1">
      <c r="G9463"/>
      <c r="I9463"/>
      <c r="N9463"/>
      <c r="O9463" s="24"/>
      <c r="P9463"/>
      <c r="Q9463" s="24"/>
      <c r="R9463"/>
      <c r="S9463"/>
      <c r="T9463"/>
      <c r="U9463"/>
      <c r="X9463" s="60"/>
    </row>
    <row r="9464" spans="7:24" ht="15" customHeight="1">
      <c r="G9464"/>
      <c r="I9464"/>
      <c r="N9464"/>
      <c r="O9464" s="24"/>
      <c r="P9464"/>
      <c r="Q9464" s="24"/>
      <c r="R9464"/>
      <c r="S9464"/>
      <c r="T9464"/>
      <c r="U9464"/>
      <c r="X9464" s="60"/>
    </row>
    <row r="9465" spans="7:24" ht="15" customHeight="1">
      <c r="G9465"/>
      <c r="I9465"/>
      <c r="N9465"/>
      <c r="O9465" s="24"/>
      <c r="P9465"/>
      <c r="Q9465" s="24"/>
      <c r="R9465"/>
      <c r="S9465"/>
      <c r="T9465"/>
      <c r="U9465"/>
      <c r="X9465" s="60"/>
    </row>
    <row r="9466" spans="7:24" ht="15" customHeight="1">
      <c r="G9466"/>
      <c r="I9466"/>
      <c r="N9466"/>
      <c r="O9466" s="24"/>
      <c r="P9466"/>
      <c r="Q9466" s="24"/>
      <c r="R9466"/>
      <c r="S9466"/>
      <c r="T9466"/>
      <c r="U9466"/>
      <c r="X9466" s="60"/>
    </row>
    <row r="9467" spans="7:24" ht="15" customHeight="1">
      <c r="G9467"/>
      <c r="I9467"/>
      <c r="N9467"/>
      <c r="O9467" s="24"/>
      <c r="P9467"/>
      <c r="Q9467" s="24"/>
      <c r="R9467"/>
      <c r="S9467"/>
      <c r="T9467"/>
      <c r="U9467"/>
      <c r="X9467" s="60"/>
    </row>
    <row r="9468" spans="7:24" ht="15" customHeight="1">
      <c r="G9468"/>
      <c r="I9468"/>
      <c r="N9468"/>
      <c r="O9468" s="24"/>
      <c r="P9468"/>
      <c r="Q9468" s="24"/>
      <c r="R9468"/>
      <c r="S9468"/>
      <c r="T9468"/>
      <c r="U9468"/>
      <c r="X9468" s="60"/>
    </row>
    <row r="9469" spans="7:24" ht="15" customHeight="1">
      <c r="G9469"/>
      <c r="I9469"/>
      <c r="N9469"/>
      <c r="O9469" s="24"/>
      <c r="P9469"/>
      <c r="Q9469" s="24"/>
      <c r="R9469"/>
      <c r="S9469"/>
      <c r="T9469"/>
      <c r="U9469"/>
      <c r="X9469" s="60"/>
    </row>
    <row r="9470" spans="7:24" ht="15" customHeight="1">
      <c r="G9470"/>
      <c r="I9470"/>
      <c r="N9470"/>
      <c r="O9470" s="24"/>
      <c r="P9470"/>
      <c r="Q9470" s="24"/>
      <c r="R9470"/>
      <c r="S9470"/>
      <c r="T9470"/>
      <c r="U9470"/>
      <c r="X9470" s="60"/>
    </row>
    <row r="9471" spans="7:24" ht="15" customHeight="1">
      <c r="G9471"/>
      <c r="I9471"/>
      <c r="N9471"/>
      <c r="O9471" s="24"/>
      <c r="P9471"/>
      <c r="Q9471" s="24"/>
      <c r="R9471"/>
      <c r="S9471"/>
      <c r="T9471"/>
      <c r="U9471"/>
      <c r="X9471" s="60"/>
    </row>
    <row r="9472" spans="7:24" ht="15" customHeight="1">
      <c r="G9472"/>
      <c r="I9472"/>
      <c r="N9472"/>
      <c r="O9472" s="24"/>
      <c r="P9472"/>
      <c r="Q9472" s="24"/>
      <c r="R9472"/>
      <c r="S9472"/>
      <c r="T9472"/>
      <c r="U9472"/>
      <c r="X9472" s="60"/>
    </row>
    <row r="9473" spans="7:24" ht="15" customHeight="1">
      <c r="G9473"/>
      <c r="I9473"/>
      <c r="N9473"/>
      <c r="O9473" s="24"/>
      <c r="P9473"/>
      <c r="Q9473" s="24"/>
      <c r="R9473"/>
      <c r="S9473"/>
      <c r="T9473"/>
      <c r="U9473"/>
      <c r="X9473" s="60"/>
    </row>
    <row r="9474" spans="7:24" ht="15" customHeight="1">
      <c r="G9474"/>
      <c r="I9474"/>
      <c r="N9474"/>
      <c r="O9474" s="24"/>
      <c r="P9474"/>
      <c r="Q9474" s="24"/>
      <c r="R9474"/>
      <c r="S9474"/>
      <c r="T9474"/>
      <c r="U9474"/>
      <c r="X9474" s="60"/>
    </row>
    <row r="9475" spans="7:24" ht="15" customHeight="1">
      <c r="G9475"/>
      <c r="I9475"/>
      <c r="N9475"/>
      <c r="O9475" s="24"/>
      <c r="P9475"/>
      <c r="Q9475" s="24"/>
      <c r="R9475"/>
      <c r="S9475"/>
      <c r="T9475"/>
      <c r="U9475"/>
      <c r="X9475" s="60"/>
    </row>
    <row r="9476" spans="7:24" ht="15" customHeight="1">
      <c r="G9476"/>
      <c r="I9476"/>
      <c r="N9476"/>
      <c r="O9476" s="24"/>
      <c r="P9476"/>
      <c r="Q9476" s="24"/>
      <c r="R9476"/>
      <c r="S9476"/>
      <c r="T9476"/>
      <c r="U9476"/>
      <c r="X9476" s="60"/>
    </row>
    <row r="9477" spans="7:24" ht="15" customHeight="1">
      <c r="G9477"/>
      <c r="I9477"/>
      <c r="N9477"/>
      <c r="O9477" s="24"/>
      <c r="P9477"/>
      <c r="Q9477" s="24"/>
      <c r="R9477"/>
      <c r="S9477"/>
      <c r="T9477"/>
      <c r="U9477"/>
      <c r="X9477" s="60"/>
    </row>
    <row r="9478" spans="7:24" ht="15" customHeight="1">
      <c r="G9478"/>
      <c r="I9478"/>
      <c r="N9478"/>
      <c r="O9478" s="24"/>
      <c r="P9478"/>
      <c r="Q9478" s="24"/>
      <c r="R9478"/>
      <c r="S9478"/>
      <c r="T9478"/>
      <c r="U9478"/>
      <c r="X9478" s="60"/>
    </row>
    <row r="9479" spans="7:24" ht="15" customHeight="1">
      <c r="G9479"/>
      <c r="I9479"/>
      <c r="N9479"/>
      <c r="O9479" s="24"/>
      <c r="P9479"/>
      <c r="Q9479" s="24"/>
      <c r="R9479"/>
      <c r="S9479"/>
      <c r="T9479"/>
      <c r="U9479"/>
      <c r="X9479" s="60"/>
    </row>
    <row r="9480" spans="7:24" ht="15" customHeight="1">
      <c r="G9480"/>
      <c r="I9480"/>
      <c r="N9480"/>
      <c r="O9480" s="24"/>
      <c r="P9480"/>
      <c r="Q9480" s="24"/>
      <c r="R9480"/>
      <c r="S9480"/>
      <c r="T9480"/>
      <c r="U9480"/>
      <c r="X9480" s="60"/>
    </row>
    <row r="9481" spans="7:24" ht="15" customHeight="1">
      <c r="G9481"/>
      <c r="I9481"/>
      <c r="N9481"/>
      <c r="O9481" s="24"/>
      <c r="P9481"/>
      <c r="Q9481" s="24"/>
      <c r="R9481"/>
      <c r="S9481"/>
      <c r="T9481"/>
      <c r="U9481"/>
      <c r="X9481" s="60"/>
    </row>
    <row r="9482" spans="7:24" ht="15" customHeight="1">
      <c r="G9482"/>
      <c r="I9482"/>
      <c r="N9482"/>
      <c r="O9482" s="24"/>
      <c r="P9482"/>
      <c r="Q9482" s="24"/>
      <c r="R9482"/>
      <c r="S9482"/>
      <c r="T9482"/>
      <c r="U9482"/>
      <c r="X9482" s="60"/>
    </row>
    <row r="9483" spans="7:24" ht="15" customHeight="1">
      <c r="G9483"/>
      <c r="I9483"/>
      <c r="N9483"/>
      <c r="O9483" s="24"/>
      <c r="P9483"/>
      <c r="Q9483" s="24"/>
      <c r="R9483"/>
      <c r="S9483"/>
      <c r="T9483"/>
      <c r="U9483"/>
      <c r="X9483" s="60"/>
    </row>
    <row r="9484" spans="7:24" ht="15" customHeight="1">
      <c r="G9484"/>
      <c r="I9484"/>
      <c r="N9484"/>
      <c r="O9484" s="24"/>
      <c r="P9484"/>
      <c r="Q9484" s="24"/>
      <c r="R9484"/>
      <c r="S9484"/>
      <c r="T9484"/>
      <c r="U9484"/>
      <c r="X9484" s="60"/>
    </row>
    <row r="9485" spans="7:24" ht="15" customHeight="1">
      <c r="G9485"/>
      <c r="I9485"/>
      <c r="N9485"/>
      <c r="O9485" s="24"/>
      <c r="P9485"/>
      <c r="Q9485" s="24"/>
      <c r="R9485"/>
      <c r="S9485"/>
      <c r="T9485"/>
      <c r="U9485"/>
      <c r="X9485" s="60"/>
    </row>
    <row r="9486" spans="7:24" ht="15" customHeight="1">
      <c r="G9486"/>
      <c r="I9486"/>
      <c r="N9486"/>
      <c r="O9486" s="24"/>
      <c r="P9486"/>
      <c r="Q9486" s="24"/>
      <c r="R9486"/>
      <c r="S9486"/>
      <c r="T9486"/>
      <c r="U9486"/>
      <c r="X9486" s="60"/>
    </row>
    <row r="9487" spans="7:24" ht="15" customHeight="1">
      <c r="G9487"/>
      <c r="I9487"/>
      <c r="N9487"/>
      <c r="O9487" s="24"/>
      <c r="P9487"/>
      <c r="Q9487" s="24"/>
      <c r="R9487"/>
      <c r="S9487"/>
      <c r="T9487"/>
      <c r="U9487"/>
      <c r="X9487" s="60"/>
    </row>
    <row r="9488" spans="7:24" ht="15" customHeight="1">
      <c r="G9488"/>
      <c r="I9488"/>
      <c r="N9488"/>
      <c r="O9488" s="24"/>
      <c r="P9488"/>
      <c r="Q9488" s="24"/>
      <c r="R9488"/>
      <c r="S9488"/>
      <c r="T9488"/>
      <c r="U9488"/>
      <c r="X9488" s="60"/>
    </row>
    <row r="9489" spans="7:24" ht="15" customHeight="1">
      <c r="G9489"/>
      <c r="I9489"/>
      <c r="N9489"/>
      <c r="O9489" s="24"/>
      <c r="P9489"/>
      <c r="Q9489" s="24"/>
      <c r="R9489"/>
      <c r="S9489"/>
      <c r="T9489"/>
      <c r="U9489"/>
      <c r="X9489" s="60"/>
    </row>
    <row r="9490" spans="7:24" ht="15" customHeight="1">
      <c r="G9490"/>
      <c r="I9490"/>
      <c r="N9490"/>
      <c r="O9490" s="24"/>
      <c r="P9490"/>
      <c r="Q9490" s="24"/>
      <c r="R9490"/>
      <c r="S9490"/>
      <c r="T9490"/>
      <c r="U9490"/>
      <c r="X9490" s="60"/>
    </row>
    <row r="9491" spans="7:24" ht="15" customHeight="1">
      <c r="G9491"/>
      <c r="I9491"/>
      <c r="N9491"/>
      <c r="O9491" s="24"/>
      <c r="P9491"/>
      <c r="Q9491" s="24"/>
      <c r="R9491"/>
      <c r="S9491"/>
      <c r="T9491"/>
      <c r="U9491"/>
      <c r="X9491" s="60"/>
    </row>
    <row r="9492" spans="7:24" ht="15" customHeight="1">
      <c r="G9492"/>
      <c r="I9492"/>
      <c r="N9492"/>
      <c r="O9492" s="24"/>
      <c r="P9492"/>
      <c r="Q9492" s="24"/>
      <c r="R9492"/>
      <c r="S9492"/>
      <c r="T9492"/>
      <c r="U9492"/>
      <c r="X9492" s="60"/>
    </row>
    <row r="9493" spans="7:24" ht="15" customHeight="1">
      <c r="G9493"/>
      <c r="I9493"/>
      <c r="N9493"/>
      <c r="O9493" s="24"/>
      <c r="P9493"/>
      <c r="Q9493" s="24"/>
      <c r="R9493"/>
      <c r="S9493"/>
      <c r="T9493"/>
      <c r="U9493"/>
      <c r="X9493" s="60"/>
    </row>
    <row r="9494" spans="7:24" ht="15" customHeight="1">
      <c r="G9494"/>
      <c r="I9494"/>
      <c r="N9494"/>
      <c r="O9494" s="24"/>
      <c r="P9494"/>
      <c r="Q9494" s="24"/>
      <c r="R9494"/>
      <c r="S9494"/>
      <c r="T9494"/>
      <c r="U9494"/>
      <c r="X9494" s="60"/>
    </row>
    <row r="9495" spans="7:24" ht="15" customHeight="1">
      <c r="G9495"/>
      <c r="I9495"/>
      <c r="N9495"/>
      <c r="O9495" s="24"/>
      <c r="P9495"/>
      <c r="Q9495" s="24"/>
      <c r="R9495"/>
      <c r="S9495"/>
      <c r="T9495"/>
      <c r="U9495"/>
      <c r="X9495" s="60"/>
    </row>
    <row r="9496" spans="7:24" ht="15" customHeight="1">
      <c r="G9496"/>
      <c r="I9496"/>
      <c r="N9496"/>
      <c r="O9496" s="24"/>
      <c r="P9496"/>
      <c r="Q9496" s="24"/>
      <c r="R9496"/>
      <c r="S9496"/>
      <c r="T9496"/>
      <c r="U9496"/>
      <c r="X9496" s="60"/>
    </row>
    <row r="9497" spans="7:24" ht="15" customHeight="1">
      <c r="G9497"/>
      <c r="I9497"/>
      <c r="N9497"/>
      <c r="O9497" s="24"/>
      <c r="P9497"/>
      <c r="Q9497" s="24"/>
      <c r="R9497"/>
      <c r="S9497"/>
      <c r="T9497"/>
      <c r="U9497"/>
      <c r="X9497" s="60"/>
    </row>
    <row r="9498" spans="7:24" ht="15" customHeight="1">
      <c r="G9498"/>
      <c r="I9498"/>
      <c r="N9498"/>
      <c r="O9498" s="24"/>
      <c r="P9498"/>
      <c r="Q9498" s="24"/>
      <c r="R9498"/>
      <c r="S9498"/>
      <c r="T9498"/>
      <c r="U9498"/>
      <c r="X9498" s="60"/>
    </row>
    <row r="9499" spans="7:24" ht="15" customHeight="1">
      <c r="G9499"/>
      <c r="I9499"/>
      <c r="N9499"/>
      <c r="O9499" s="24"/>
      <c r="P9499"/>
      <c r="Q9499" s="24"/>
      <c r="R9499"/>
      <c r="S9499"/>
      <c r="T9499"/>
      <c r="U9499"/>
      <c r="X9499" s="60"/>
    </row>
    <row r="9500" spans="7:24" ht="15" customHeight="1">
      <c r="G9500"/>
      <c r="I9500"/>
      <c r="N9500"/>
      <c r="O9500" s="24"/>
      <c r="P9500"/>
      <c r="Q9500" s="24"/>
      <c r="R9500"/>
      <c r="S9500"/>
      <c r="T9500"/>
      <c r="U9500"/>
      <c r="X9500" s="60"/>
    </row>
    <row r="9501" spans="7:24" ht="15" customHeight="1">
      <c r="G9501"/>
      <c r="I9501"/>
      <c r="N9501"/>
      <c r="O9501" s="24"/>
      <c r="P9501"/>
      <c r="Q9501" s="24"/>
      <c r="R9501"/>
      <c r="S9501"/>
      <c r="T9501"/>
      <c r="U9501"/>
      <c r="X9501" s="60"/>
    </row>
    <row r="9502" spans="7:24" ht="15" customHeight="1">
      <c r="G9502"/>
      <c r="I9502"/>
      <c r="N9502"/>
      <c r="O9502" s="24"/>
      <c r="P9502"/>
      <c r="Q9502" s="24"/>
      <c r="R9502"/>
      <c r="S9502"/>
      <c r="T9502"/>
      <c r="U9502"/>
      <c r="X9502" s="60"/>
    </row>
    <row r="9503" spans="7:24" ht="15" customHeight="1">
      <c r="G9503"/>
      <c r="I9503"/>
      <c r="N9503"/>
      <c r="O9503" s="24"/>
      <c r="P9503"/>
      <c r="Q9503" s="24"/>
      <c r="R9503"/>
      <c r="S9503"/>
      <c r="T9503"/>
      <c r="U9503"/>
      <c r="X9503" s="60"/>
    </row>
    <row r="9504" spans="7:24" ht="15" customHeight="1">
      <c r="G9504"/>
      <c r="I9504"/>
      <c r="N9504"/>
      <c r="O9504" s="24"/>
      <c r="P9504"/>
      <c r="Q9504" s="24"/>
      <c r="R9504"/>
      <c r="S9504"/>
      <c r="T9504"/>
      <c r="U9504"/>
      <c r="X9504" s="60"/>
    </row>
    <row r="9505" spans="7:24" ht="15" customHeight="1">
      <c r="G9505"/>
      <c r="I9505"/>
      <c r="N9505"/>
      <c r="O9505" s="24"/>
      <c r="P9505"/>
      <c r="Q9505" s="24"/>
      <c r="R9505"/>
      <c r="S9505"/>
      <c r="T9505"/>
      <c r="U9505"/>
      <c r="X9505" s="60"/>
    </row>
    <row r="9506" spans="7:24" ht="15" customHeight="1">
      <c r="G9506"/>
      <c r="I9506"/>
      <c r="N9506"/>
      <c r="O9506" s="24"/>
      <c r="P9506"/>
      <c r="Q9506" s="24"/>
      <c r="R9506"/>
      <c r="S9506"/>
      <c r="T9506"/>
      <c r="U9506"/>
      <c r="X9506" s="60"/>
    </row>
    <row r="9507" spans="7:24" ht="15" customHeight="1">
      <c r="G9507"/>
      <c r="I9507"/>
      <c r="N9507"/>
      <c r="O9507" s="24"/>
      <c r="P9507"/>
      <c r="Q9507" s="24"/>
      <c r="R9507"/>
      <c r="S9507"/>
      <c r="T9507"/>
      <c r="U9507"/>
      <c r="X9507" s="60"/>
    </row>
    <row r="9508" spans="7:24" ht="15" customHeight="1">
      <c r="G9508"/>
      <c r="I9508"/>
      <c r="N9508"/>
      <c r="O9508" s="24"/>
      <c r="P9508"/>
      <c r="Q9508" s="24"/>
      <c r="R9508"/>
      <c r="S9508"/>
      <c r="T9508"/>
      <c r="U9508"/>
      <c r="X9508" s="60"/>
    </row>
    <row r="9509" spans="7:24" ht="15" customHeight="1">
      <c r="G9509"/>
      <c r="I9509"/>
      <c r="N9509"/>
      <c r="O9509" s="24"/>
      <c r="P9509"/>
      <c r="Q9509" s="24"/>
      <c r="R9509"/>
      <c r="S9509"/>
      <c r="T9509"/>
      <c r="U9509"/>
      <c r="X9509" s="60"/>
    </row>
    <row r="9510" spans="7:24" ht="15" customHeight="1">
      <c r="G9510"/>
      <c r="I9510"/>
      <c r="N9510"/>
      <c r="O9510" s="24"/>
      <c r="P9510"/>
      <c r="Q9510" s="24"/>
      <c r="R9510"/>
      <c r="S9510"/>
      <c r="T9510"/>
      <c r="U9510"/>
      <c r="X9510" s="60"/>
    </row>
    <row r="9511" spans="7:24" ht="15" customHeight="1">
      <c r="G9511"/>
      <c r="I9511"/>
      <c r="N9511"/>
      <c r="O9511" s="24"/>
      <c r="P9511"/>
      <c r="Q9511" s="24"/>
      <c r="R9511"/>
      <c r="S9511"/>
      <c r="T9511"/>
      <c r="U9511"/>
      <c r="X9511" s="60"/>
    </row>
    <row r="9512" spans="7:24" ht="15" customHeight="1">
      <c r="G9512"/>
      <c r="I9512"/>
      <c r="N9512"/>
      <c r="O9512" s="24"/>
      <c r="P9512"/>
      <c r="Q9512" s="24"/>
      <c r="R9512"/>
      <c r="S9512"/>
      <c r="T9512"/>
      <c r="U9512"/>
      <c r="X9512" s="60"/>
    </row>
    <row r="9513" spans="7:24" ht="15" customHeight="1">
      <c r="G9513"/>
      <c r="I9513"/>
      <c r="N9513"/>
      <c r="O9513" s="24"/>
      <c r="P9513"/>
      <c r="Q9513" s="24"/>
      <c r="R9513"/>
      <c r="S9513"/>
      <c r="T9513"/>
      <c r="U9513"/>
      <c r="X9513" s="60"/>
    </row>
    <row r="9514" spans="7:24" ht="15" customHeight="1">
      <c r="G9514"/>
      <c r="I9514"/>
      <c r="N9514"/>
      <c r="O9514" s="24"/>
      <c r="P9514"/>
      <c r="Q9514" s="24"/>
      <c r="R9514"/>
      <c r="S9514"/>
      <c r="T9514"/>
      <c r="U9514"/>
      <c r="X9514" s="60"/>
    </row>
    <row r="9515" spans="7:24" ht="15" customHeight="1">
      <c r="G9515"/>
      <c r="I9515"/>
      <c r="N9515"/>
      <c r="O9515" s="24"/>
      <c r="P9515"/>
      <c r="Q9515" s="24"/>
      <c r="R9515"/>
      <c r="S9515"/>
      <c r="T9515"/>
      <c r="U9515"/>
      <c r="X9515" s="60"/>
    </row>
    <row r="9516" spans="7:24" ht="15" customHeight="1">
      <c r="G9516"/>
      <c r="I9516"/>
      <c r="N9516"/>
      <c r="O9516" s="24"/>
      <c r="P9516"/>
      <c r="Q9516" s="24"/>
      <c r="R9516"/>
      <c r="S9516"/>
      <c r="T9516"/>
      <c r="U9516"/>
      <c r="X9516" s="60"/>
    </row>
    <row r="9517" spans="7:24" ht="15" customHeight="1">
      <c r="G9517"/>
      <c r="I9517"/>
      <c r="N9517"/>
      <c r="O9517" s="24"/>
      <c r="P9517"/>
      <c r="Q9517" s="24"/>
      <c r="R9517"/>
      <c r="S9517"/>
      <c r="T9517"/>
      <c r="U9517"/>
      <c r="X9517" s="60"/>
    </row>
    <row r="9518" spans="7:24" ht="15" customHeight="1">
      <c r="G9518"/>
      <c r="I9518"/>
      <c r="N9518"/>
      <c r="O9518" s="24"/>
      <c r="P9518"/>
      <c r="Q9518" s="24"/>
      <c r="R9518"/>
      <c r="S9518"/>
      <c r="T9518"/>
      <c r="U9518"/>
      <c r="X9518" s="60"/>
    </row>
    <row r="9519" spans="7:24" ht="15" customHeight="1">
      <c r="G9519"/>
      <c r="I9519"/>
      <c r="N9519"/>
      <c r="O9519" s="24"/>
      <c r="P9519"/>
      <c r="Q9519" s="24"/>
      <c r="R9519"/>
      <c r="S9519"/>
      <c r="T9519"/>
      <c r="U9519"/>
      <c r="X9519" s="60"/>
    </row>
    <row r="9520" spans="7:24" ht="15" customHeight="1">
      <c r="G9520"/>
      <c r="I9520"/>
      <c r="N9520"/>
      <c r="O9520" s="24"/>
      <c r="P9520"/>
      <c r="Q9520" s="24"/>
      <c r="R9520"/>
      <c r="S9520"/>
      <c r="T9520"/>
      <c r="U9520"/>
      <c r="X9520" s="60"/>
    </row>
    <row r="9521" spans="7:24" ht="15" customHeight="1">
      <c r="G9521"/>
      <c r="I9521"/>
      <c r="N9521"/>
      <c r="O9521" s="24"/>
      <c r="P9521"/>
      <c r="Q9521" s="24"/>
      <c r="R9521"/>
      <c r="S9521"/>
      <c r="T9521"/>
      <c r="U9521"/>
      <c r="X9521" s="60"/>
    </row>
    <row r="9522" spans="7:24" ht="15" customHeight="1">
      <c r="G9522"/>
      <c r="I9522"/>
      <c r="N9522"/>
      <c r="O9522" s="24"/>
      <c r="P9522"/>
      <c r="Q9522" s="24"/>
      <c r="R9522"/>
      <c r="S9522"/>
      <c r="T9522"/>
      <c r="U9522"/>
      <c r="X9522" s="60"/>
    </row>
    <row r="9523" spans="7:24" ht="15" customHeight="1">
      <c r="G9523"/>
      <c r="I9523"/>
      <c r="N9523"/>
      <c r="O9523" s="24"/>
      <c r="P9523"/>
      <c r="Q9523" s="24"/>
      <c r="R9523"/>
      <c r="S9523"/>
      <c r="T9523"/>
      <c r="U9523"/>
      <c r="X9523" s="60"/>
    </row>
    <row r="9524" spans="7:24" ht="15" customHeight="1">
      <c r="G9524"/>
      <c r="I9524"/>
      <c r="N9524"/>
      <c r="O9524" s="24"/>
      <c r="P9524"/>
      <c r="Q9524" s="24"/>
      <c r="R9524"/>
      <c r="S9524"/>
      <c r="T9524"/>
      <c r="U9524"/>
      <c r="X9524" s="60"/>
    </row>
    <row r="9525" spans="7:24" ht="15" customHeight="1">
      <c r="G9525"/>
      <c r="I9525"/>
      <c r="N9525"/>
      <c r="O9525" s="24"/>
      <c r="P9525"/>
      <c r="Q9525" s="24"/>
      <c r="R9525"/>
      <c r="S9525"/>
      <c r="T9525"/>
      <c r="U9525"/>
      <c r="X9525" s="60"/>
    </row>
    <row r="9526" spans="7:24" ht="15" customHeight="1">
      <c r="G9526"/>
      <c r="I9526"/>
      <c r="N9526"/>
      <c r="O9526" s="24"/>
      <c r="P9526"/>
      <c r="Q9526" s="24"/>
      <c r="R9526"/>
      <c r="S9526"/>
      <c r="T9526"/>
      <c r="U9526"/>
      <c r="X9526" s="60"/>
    </row>
    <row r="9527" spans="7:24" ht="15" customHeight="1">
      <c r="G9527"/>
      <c r="I9527"/>
      <c r="N9527"/>
      <c r="O9527" s="24"/>
      <c r="P9527"/>
      <c r="Q9527" s="24"/>
      <c r="R9527"/>
      <c r="S9527"/>
      <c r="T9527"/>
      <c r="U9527"/>
      <c r="X9527" s="60"/>
    </row>
    <row r="9528" spans="7:24" ht="15" customHeight="1">
      <c r="G9528"/>
      <c r="I9528"/>
      <c r="N9528"/>
      <c r="O9528" s="24"/>
      <c r="P9528"/>
      <c r="Q9528" s="24"/>
      <c r="R9528"/>
      <c r="S9528"/>
      <c r="T9528"/>
      <c r="U9528"/>
      <c r="X9528" s="60"/>
    </row>
    <row r="9529" spans="7:24" ht="15" customHeight="1">
      <c r="G9529"/>
      <c r="I9529"/>
      <c r="N9529"/>
      <c r="O9529" s="24"/>
      <c r="P9529"/>
      <c r="Q9529" s="24"/>
      <c r="R9529"/>
      <c r="S9529"/>
      <c r="T9529"/>
      <c r="U9529"/>
      <c r="X9529" s="60"/>
    </row>
    <row r="9530" spans="7:24" ht="15" customHeight="1">
      <c r="G9530"/>
      <c r="I9530"/>
      <c r="N9530"/>
      <c r="O9530" s="24"/>
      <c r="P9530"/>
      <c r="Q9530" s="24"/>
      <c r="R9530"/>
      <c r="S9530"/>
      <c r="T9530"/>
      <c r="U9530"/>
      <c r="X9530" s="60"/>
    </row>
    <row r="9531" spans="7:24" ht="15" customHeight="1">
      <c r="G9531"/>
      <c r="I9531"/>
      <c r="N9531"/>
      <c r="O9531" s="24"/>
      <c r="P9531"/>
      <c r="Q9531" s="24"/>
      <c r="R9531"/>
      <c r="S9531"/>
      <c r="T9531"/>
      <c r="U9531"/>
      <c r="X9531" s="60"/>
    </row>
    <row r="9532" spans="7:24" ht="15" customHeight="1">
      <c r="G9532"/>
      <c r="I9532"/>
      <c r="N9532"/>
      <c r="O9532" s="24"/>
      <c r="P9532"/>
      <c r="Q9532" s="24"/>
      <c r="R9532"/>
      <c r="S9532"/>
      <c r="T9532"/>
      <c r="U9532"/>
      <c r="X9532" s="60"/>
    </row>
    <row r="9533" spans="7:24" ht="15" customHeight="1">
      <c r="G9533"/>
      <c r="I9533"/>
      <c r="N9533"/>
      <c r="O9533" s="24"/>
      <c r="P9533"/>
      <c r="Q9533" s="24"/>
      <c r="R9533"/>
      <c r="S9533"/>
      <c r="T9533"/>
      <c r="U9533"/>
      <c r="X9533" s="60"/>
    </row>
    <row r="9534" spans="7:24" ht="15" customHeight="1">
      <c r="G9534"/>
      <c r="I9534"/>
      <c r="N9534"/>
      <c r="O9534" s="24"/>
      <c r="P9534"/>
      <c r="Q9534" s="24"/>
      <c r="R9534"/>
      <c r="S9534"/>
      <c r="T9534"/>
      <c r="U9534"/>
      <c r="X9534" s="60"/>
    </row>
    <row r="9535" spans="7:24" ht="15" customHeight="1">
      <c r="G9535"/>
      <c r="I9535"/>
      <c r="N9535"/>
      <c r="O9535" s="24"/>
      <c r="P9535"/>
      <c r="Q9535" s="24"/>
      <c r="R9535"/>
      <c r="S9535"/>
      <c r="T9535"/>
      <c r="U9535"/>
      <c r="X9535" s="60"/>
    </row>
    <row r="9536" spans="7:24" ht="15" customHeight="1">
      <c r="G9536"/>
      <c r="I9536"/>
      <c r="N9536"/>
      <c r="O9536" s="24"/>
      <c r="P9536"/>
      <c r="Q9536" s="24"/>
      <c r="R9536"/>
      <c r="S9536"/>
      <c r="T9536"/>
      <c r="U9536"/>
      <c r="X9536" s="60"/>
    </row>
    <row r="9537" spans="7:24" ht="15" customHeight="1">
      <c r="G9537"/>
      <c r="I9537"/>
      <c r="N9537"/>
      <c r="O9537" s="24"/>
      <c r="P9537"/>
      <c r="Q9537" s="24"/>
      <c r="R9537"/>
      <c r="S9537"/>
      <c r="T9537"/>
      <c r="U9537"/>
      <c r="X9537" s="60"/>
    </row>
    <row r="9538" spans="7:24" ht="15" customHeight="1">
      <c r="G9538"/>
      <c r="I9538"/>
      <c r="N9538"/>
      <c r="O9538" s="24"/>
      <c r="P9538"/>
      <c r="Q9538" s="24"/>
      <c r="R9538"/>
      <c r="S9538"/>
      <c r="T9538"/>
      <c r="U9538"/>
      <c r="X9538" s="60"/>
    </row>
    <row r="9539" spans="7:24" ht="15" customHeight="1">
      <c r="G9539"/>
      <c r="I9539"/>
      <c r="N9539"/>
      <c r="O9539" s="24"/>
      <c r="P9539"/>
      <c r="Q9539" s="24"/>
      <c r="R9539"/>
      <c r="S9539"/>
      <c r="T9539"/>
      <c r="U9539"/>
      <c r="X9539" s="60"/>
    </row>
    <row r="9540" spans="7:24" ht="15" customHeight="1">
      <c r="G9540"/>
      <c r="I9540"/>
      <c r="N9540"/>
      <c r="O9540" s="24"/>
      <c r="P9540"/>
      <c r="Q9540" s="24"/>
      <c r="R9540"/>
      <c r="S9540"/>
      <c r="T9540"/>
      <c r="U9540"/>
      <c r="X9540" s="60"/>
    </row>
    <row r="9541" spans="7:24" ht="15" customHeight="1">
      <c r="G9541"/>
      <c r="I9541"/>
      <c r="N9541"/>
      <c r="O9541" s="24"/>
      <c r="P9541"/>
      <c r="Q9541" s="24"/>
      <c r="R9541"/>
      <c r="S9541"/>
      <c r="T9541"/>
      <c r="U9541"/>
      <c r="X9541" s="60"/>
    </row>
    <row r="9542" spans="7:24" ht="15" customHeight="1">
      <c r="G9542"/>
      <c r="I9542"/>
      <c r="N9542"/>
      <c r="O9542" s="24"/>
      <c r="P9542"/>
      <c r="Q9542" s="24"/>
      <c r="R9542"/>
      <c r="S9542"/>
      <c r="T9542"/>
      <c r="U9542"/>
      <c r="X9542" s="60"/>
    </row>
    <row r="9543" spans="7:24" ht="15" customHeight="1">
      <c r="G9543"/>
      <c r="I9543"/>
      <c r="N9543"/>
      <c r="O9543" s="24"/>
      <c r="P9543"/>
      <c r="Q9543" s="24"/>
      <c r="R9543"/>
      <c r="S9543"/>
      <c r="T9543"/>
      <c r="U9543"/>
      <c r="X9543" s="60"/>
    </row>
    <row r="9544" spans="7:24" ht="15" customHeight="1">
      <c r="G9544"/>
      <c r="I9544"/>
      <c r="N9544"/>
      <c r="O9544" s="24"/>
      <c r="P9544"/>
      <c r="Q9544" s="24"/>
      <c r="R9544"/>
      <c r="S9544"/>
      <c r="T9544"/>
      <c r="U9544"/>
      <c r="X9544" s="60"/>
    </row>
    <row r="9545" spans="7:24" ht="15" customHeight="1">
      <c r="G9545"/>
      <c r="I9545"/>
      <c r="N9545"/>
      <c r="O9545" s="24"/>
      <c r="P9545"/>
      <c r="Q9545" s="24"/>
      <c r="R9545"/>
      <c r="S9545"/>
      <c r="T9545"/>
      <c r="U9545"/>
      <c r="X9545" s="60"/>
    </row>
    <row r="9546" spans="7:24" ht="15" customHeight="1">
      <c r="G9546"/>
      <c r="I9546"/>
      <c r="N9546"/>
      <c r="O9546" s="24"/>
      <c r="P9546"/>
      <c r="Q9546" s="24"/>
      <c r="R9546"/>
      <c r="S9546"/>
      <c r="T9546"/>
      <c r="U9546"/>
      <c r="X9546" s="60"/>
    </row>
    <row r="9547" spans="7:24" ht="15" customHeight="1">
      <c r="G9547"/>
      <c r="I9547"/>
      <c r="N9547"/>
      <c r="O9547" s="24"/>
      <c r="P9547"/>
      <c r="Q9547" s="24"/>
      <c r="R9547"/>
      <c r="S9547"/>
      <c r="T9547"/>
      <c r="U9547"/>
      <c r="X9547" s="60"/>
    </row>
    <row r="9548" spans="7:24" ht="15" customHeight="1">
      <c r="G9548"/>
      <c r="I9548"/>
      <c r="N9548"/>
      <c r="O9548" s="24"/>
      <c r="P9548"/>
      <c r="Q9548" s="24"/>
      <c r="R9548"/>
      <c r="S9548"/>
      <c r="T9548"/>
      <c r="U9548"/>
      <c r="X9548" s="60"/>
    </row>
    <row r="9549" spans="7:24" ht="15" customHeight="1">
      <c r="G9549"/>
      <c r="I9549"/>
      <c r="N9549"/>
      <c r="O9549" s="24"/>
      <c r="P9549"/>
      <c r="Q9549" s="24"/>
      <c r="R9549"/>
      <c r="S9549"/>
      <c r="T9549"/>
      <c r="U9549"/>
      <c r="X9549" s="60"/>
    </row>
    <row r="9550" spans="7:24" ht="15" customHeight="1">
      <c r="G9550"/>
      <c r="I9550"/>
      <c r="N9550"/>
      <c r="O9550" s="24"/>
      <c r="P9550"/>
      <c r="Q9550" s="24"/>
      <c r="R9550"/>
      <c r="S9550"/>
      <c r="T9550"/>
      <c r="U9550"/>
      <c r="X9550" s="60"/>
    </row>
    <row r="9551" spans="7:24" ht="15" customHeight="1">
      <c r="G9551"/>
      <c r="I9551"/>
      <c r="N9551"/>
      <c r="O9551" s="24"/>
      <c r="P9551"/>
      <c r="Q9551" s="24"/>
      <c r="R9551"/>
      <c r="S9551"/>
      <c r="T9551"/>
      <c r="U9551"/>
      <c r="X9551" s="60"/>
    </row>
    <row r="9552" spans="7:24" ht="15" customHeight="1">
      <c r="G9552"/>
      <c r="I9552"/>
      <c r="N9552"/>
      <c r="O9552" s="24"/>
      <c r="P9552"/>
      <c r="Q9552" s="24"/>
      <c r="R9552"/>
      <c r="S9552"/>
      <c r="T9552"/>
      <c r="U9552"/>
      <c r="X9552" s="60"/>
    </row>
    <row r="9553" spans="7:24" ht="15" customHeight="1">
      <c r="G9553"/>
      <c r="I9553"/>
      <c r="N9553"/>
      <c r="O9553" s="24"/>
      <c r="P9553"/>
      <c r="Q9553" s="24"/>
      <c r="R9553"/>
      <c r="S9553"/>
      <c r="T9553"/>
      <c r="U9553"/>
      <c r="X9553" s="60"/>
    </row>
    <row r="9554" spans="7:24" ht="15" customHeight="1">
      <c r="G9554"/>
      <c r="I9554"/>
      <c r="N9554"/>
      <c r="O9554" s="24"/>
      <c r="P9554"/>
      <c r="Q9554" s="24"/>
      <c r="R9554"/>
      <c r="S9554"/>
      <c r="T9554"/>
      <c r="U9554"/>
      <c r="X9554" s="60"/>
    </row>
    <row r="9555" spans="7:24" ht="15" customHeight="1">
      <c r="G9555"/>
      <c r="I9555"/>
      <c r="N9555"/>
      <c r="O9555" s="24"/>
      <c r="P9555"/>
      <c r="Q9555" s="24"/>
      <c r="R9555"/>
      <c r="S9555"/>
      <c r="T9555"/>
      <c r="U9555"/>
      <c r="X9555" s="60"/>
    </row>
    <row r="9556" spans="7:24" ht="15" customHeight="1">
      <c r="G9556"/>
      <c r="I9556"/>
      <c r="N9556"/>
      <c r="O9556" s="24"/>
      <c r="P9556"/>
      <c r="Q9556" s="24"/>
      <c r="R9556"/>
      <c r="S9556"/>
      <c r="T9556"/>
      <c r="U9556"/>
      <c r="X9556" s="60"/>
    </row>
    <row r="9557" spans="7:24" ht="15" customHeight="1">
      <c r="G9557"/>
      <c r="I9557"/>
      <c r="N9557"/>
      <c r="O9557" s="24"/>
      <c r="P9557"/>
      <c r="Q9557" s="24"/>
      <c r="R9557"/>
      <c r="S9557"/>
      <c r="T9557"/>
      <c r="U9557"/>
      <c r="X9557" s="60"/>
    </row>
    <row r="9558" spans="7:24" ht="15" customHeight="1">
      <c r="G9558"/>
      <c r="I9558"/>
      <c r="N9558"/>
      <c r="O9558" s="24"/>
      <c r="P9558"/>
      <c r="Q9558" s="24"/>
      <c r="R9558"/>
      <c r="S9558"/>
      <c r="T9558"/>
      <c r="U9558"/>
      <c r="X9558" s="60"/>
    </row>
    <row r="9559" spans="7:24" ht="15" customHeight="1">
      <c r="G9559"/>
      <c r="I9559"/>
      <c r="N9559"/>
      <c r="O9559" s="24"/>
      <c r="P9559"/>
      <c r="Q9559" s="24"/>
      <c r="R9559"/>
      <c r="S9559"/>
      <c r="T9559"/>
      <c r="U9559"/>
      <c r="X9559" s="60"/>
    </row>
    <row r="9560" spans="7:24" ht="15" customHeight="1">
      <c r="G9560"/>
      <c r="I9560"/>
      <c r="N9560"/>
      <c r="O9560" s="24"/>
      <c r="P9560"/>
      <c r="Q9560" s="24"/>
      <c r="R9560"/>
      <c r="S9560"/>
      <c r="T9560"/>
      <c r="U9560"/>
      <c r="X9560" s="60"/>
    </row>
    <row r="9561" spans="7:24" ht="15" customHeight="1">
      <c r="G9561"/>
      <c r="I9561"/>
      <c r="N9561"/>
      <c r="O9561" s="24"/>
      <c r="P9561"/>
      <c r="Q9561" s="24"/>
      <c r="R9561"/>
      <c r="S9561"/>
      <c r="T9561"/>
      <c r="U9561"/>
      <c r="X9561" s="60"/>
    </row>
    <row r="9562" spans="7:24" ht="15" customHeight="1">
      <c r="G9562"/>
      <c r="I9562"/>
      <c r="N9562"/>
      <c r="O9562" s="24"/>
      <c r="P9562"/>
      <c r="Q9562" s="24"/>
      <c r="R9562"/>
      <c r="S9562"/>
      <c r="T9562"/>
      <c r="U9562"/>
      <c r="X9562" s="60"/>
    </row>
    <row r="9563" spans="7:24" ht="15" customHeight="1">
      <c r="G9563"/>
      <c r="I9563"/>
      <c r="N9563"/>
      <c r="O9563" s="24"/>
      <c r="P9563"/>
      <c r="Q9563" s="24"/>
      <c r="R9563"/>
      <c r="S9563"/>
      <c r="T9563"/>
      <c r="U9563"/>
      <c r="X9563" s="60"/>
    </row>
    <row r="9564" spans="7:24" ht="15" customHeight="1">
      <c r="G9564"/>
      <c r="I9564"/>
      <c r="N9564"/>
      <c r="O9564" s="24"/>
      <c r="P9564"/>
      <c r="Q9564" s="24"/>
      <c r="R9564"/>
      <c r="S9564"/>
      <c r="T9564"/>
      <c r="U9564"/>
      <c r="X9564" s="60"/>
    </row>
    <row r="9565" spans="7:24" ht="15" customHeight="1">
      <c r="G9565"/>
      <c r="I9565"/>
      <c r="N9565"/>
      <c r="O9565" s="24"/>
      <c r="P9565"/>
      <c r="Q9565" s="24"/>
      <c r="R9565"/>
      <c r="S9565"/>
      <c r="T9565"/>
      <c r="U9565"/>
      <c r="X9565" s="60"/>
    </row>
    <row r="9566" spans="7:24" ht="15" customHeight="1">
      <c r="G9566"/>
      <c r="I9566"/>
      <c r="N9566"/>
      <c r="O9566" s="24"/>
      <c r="P9566"/>
      <c r="Q9566" s="24"/>
      <c r="R9566"/>
      <c r="S9566"/>
      <c r="T9566"/>
      <c r="U9566"/>
      <c r="X9566" s="60"/>
    </row>
    <row r="9567" spans="7:24" ht="15" customHeight="1">
      <c r="G9567"/>
      <c r="I9567"/>
      <c r="N9567"/>
      <c r="O9567" s="24"/>
      <c r="P9567"/>
      <c r="Q9567" s="24"/>
      <c r="R9567"/>
      <c r="S9567"/>
      <c r="T9567"/>
      <c r="U9567"/>
      <c r="X9567" s="60"/>
    </row>
    <row r="9568" spans="7:24" ht="15" customHeight="1">
      <c r="G9568"/>
      <c r="I9568"/>
      <c r="N9568"/>
      <c r="O9568" s="24"/>
      <c r="P9568"/>
      <c r="Q9568" s="24"/>
      <c r="R9568"/>
      <c r="S9568"/>
      <c r="T9568"/>
      <c r="U9568"/>
      <c r="X9568" s="60"/>
    </row>
    <row r="9569" spans="7:24" ht="15" customHeight="1">
      <c r="G9569"/>
      <c r="I9569"/>
      <c r="N9569"/>
      <c r="O9569" s="24"/>
      <c r="P9569"/>
      <c r="Q9569" s="24"/>
      <c r="R9569"/>
      <c r="S9569"/>
      <c r="T9569"/>
      <c r="U9569"/>
      <c r="X9569" s="60"/>
    </row>
    <row r="9570" spans="7:24" ht="15" customHeight="1">
      <c r="G9570"/>
      <c r="I9570"/>
      <c r="N9570"/>
      <c r="O9570" s="24"/>
      <c r="P9570"/>
      <c r="Q9570" s="24"/>
      <c r="R9570"/>
      <c r="S9570"/>
      <c r="T9570"/>
      <c r="U9570"/>
      <c r="X9570" s="60"/>
    </row>
    <row r="9571" spans="7:24" ht="15" customHeight="1">
      <c r="G9571"/>
      <c r="I9571"/>
      <c r="N9571"/>
      <c r="O9571" s="24"/>
      <c r="P9571"/>
      <c r="Q9571" s="24"/>
      <c r="R9571"/>
      <c r="S9571"/>
      <c r="T9571"/>
      <c r="U9571"/>
      <c r="X9571" s="60"/>
    </row>
    <row r="9572" spans="7:24" ht="15" customHeight="1">
      <c r="G9572"/>
      <c r="I9572"/>
      <c r="N9572"/>
      <c r="O9572" s="24"/>
      <c r="P9572"/>
      <c r="Q9572" s="24"/>
      <c r="R9572"/>
      <c r="S9572"/>
      <c r="T9572"/>
      <c r="U9572"/>
      <c r="X9572" s="60"/>
    </row>
    <row r="9573" spans="7:24" ht="15" customHeight="1">
      <c r="G9573"/>
      <c r="I9573"/>
      <c r="N9573"/>
      <c r="O9573" s="24"/>
      <c r="P9573"/>
      <c r="Q9573" s="24"/>
      <c r="R9573"/>
      <c r="S9573"/>
      <c r="T9573"/>
      <c r="U9573"/>
      <c r="X9573" s="60"/>
    </row>
    <row r="9574" spans="7:24" ht="15" customHeight="1">
      <c r="G9574"/>
      <c r="I9574"/>
      <c r="N9574"/>
      <c r="O9574" s="24"/>
      <c r="P9574"/>
      <c r="Q9574" s="24"/>
      <c r="R9574"/>
      <c r="S9574"/>
      <c r="T9574"/>
      <c r="U9574"/>
      <c r="X9574" s="60"/>
    </row>
    <row r="9575" spans="7:24" ht="15" customHeight="1">
      <c r="G9575"/>
      <c r="I9575"/>
      <c r="N9575"/>
      <c r="O9575" s="24"/>
      <c r="P9575"/>
      <c r="Q9575" s="24"/>
      <c r="R9575"/>
      <c r="S9575"/>
      <c r="T9575"/>
      <c r="U9575"/>
      <c r="X9575" s="60"/>
    </row>
    <row r="9576" spans="7:24" ht="15" customHeight="1">
      <c r="G9576"/>
      <c r="I9576"/>
      <c r="N9576"/>
      <c r="O9576" s="24"/>
      <c r="P9576"/>
      <c r="Q9576" s="24"/>
      <c r="R9576"/>
      <c r="S9576"/>
      <c r="T9576"/>
      <c r="U9576"/>
      <c r="X9576" s="60"/>
    </row>
    <row r="9577" spans="7:24" ht="15" customHeight="1">
      <c r="G9577"/>
      <c r="I9577"/>
      <c r="N9577"/>
      <c r="O9577" s="24"/>
      <c r="P9577"/>
      <c r="Q9577" s="24"/>
      <c r="R9577"/>
      <c r="S9577"/>
      <c r="T9577"/>
      <c r="U9577"/>
      <c r="X9577" s="60"/>
    </row>
    <row r="9578" spans="7:24" ht="15" customHeight="1">
      <c r="G9578"/>
      <c r="I9578"/>
      <c r="N9578"/>
      <c r="O9578" s="24"/>
      <c r="P9578"/>
      <c r="Q9578" s="24"/>
      <c r="R9578"/>
      <c r="S9578"/>
      <c r="T9578"/>
      <c r="U9578"/>
      <c r="X9578" s="60"/>
    </row>
    <row r="9579" spans="7:24" ht="15" customHeight="1">
      <c r="G9579"/>
      <c r="I9579"/>
      <c r="N9579"/>
      <c r="O9579" s="24"/>
      <c r="P9579"/>
      <c r="Q9579" s="24"/>
      <c r="R9579"/>
      <c r="S9579"/>
      <c r="T9579"/>
      <c r="U9579"/>
      <c r="X9579" s="60"/>
    </row>
    <row r="9580" spans="7:24" ht="15" customHeight="1">
      <c r="G9580"/>
      <c r="I9580"/>
      <c r="N9580"/>
      <c r="O9580" s="24"/>
      <c r="P9580"/>
      <c r="Q9580" s="24"/>
      <c r="R9580"/>
      <c r="S9580"/>
      <c r="T9580"/>
      <c r="U9580"/>
      <c r="X9580" s="60"/>
    </row>
    <row r="9581" spans="7:24" ht="15" customHeight="1">
      <c r="G9581"/>
      <c r="I9581"/>
      <c r="N9581"/>
      <c r="O9581" s="24"/>
      <c r="P9581"/>
      <c r="Q9581" s="24"/>
      <c r="R9581"/>
      <c r="S9581"/>
      <c r="T9581"/>
      <c r="U9581"/>
      <c r="X9581" s="60"/>
    </row>
    <row r="9582" spans="7:24" ht="15" customHeight="1">
      <c r="G9582"/>
      <c r="I9582"/>
      <c r="N9582"/>
      <c r="O9582" s="24"/>
      <c r="P9582"/>
      <c r="Q9582" s="24"/>
      <c r="R9582"/>
      <c r="S9582"/>
      <c r="T9582"/>
      <c r="U9582"/>
      <c r="X9582" s="60"/>
    </row>
    <row r="9583" spans="7:24" ht="15" customHeight="1">
      <c r="G9583"/>
      <c r="I9583"/>
      <c r="N9583"/>
      <c r="O9583" s="24"/>
      <c r="P9583"/>
      <c r="Q9583" s="24"/>
      <c r="R9583"/>
      <c r="S9583"/>
      <c r="T9583"/>
      <c r="U9583"/>
      <c r="X9583" s="60"/>
    </row>
    <row r="9584" spans="7:24" ht="15" customHeight="1">
      <c r="G9584"/>
      <c r="I9584"/>
      <c r="N9584"/>
      <c r="O9584" s="24"/>
      <c r="P9584"/>
      <c r="Q9584" s="24"/>
      <c r="R9584"/>
      <c r="S9584"/>
      <c r="T9584"/>
      <c r="U9584"/>
      <c r="X9584" s="60"/>
    </row>
    <row r="9585" spans="7:24" ht="15" customHeight="1">
      <c r="G9585"/>
      <c r="I9585"/>
      <c r="N9585"/>
      <c r="O9585" s="24"/>
      <c r="P9585"/>
      <c r="Q9585" s="24"/>
      <c r="R9585"/>
      <c r="S9585"/>
      <c r="T9585"/>
      <c r="U9585"/>
      <c r="X9585" s="60"/>
    </row>
    <row r="9586" spans="7:24" ht="15" customHeight="1">
      <c r="G9586"/>
      <c r="I9586"/>
      <c r="N9586"/>
      <c r="O9586" s="24"/>
      <c r="P9586"/>
      <c r="Q9586" s="24"/>
      <c r="R9586"/>
      <c r="S9586"/>
      <c r="T9586"/>
      <c r="U9586"/>
      <c r="X9586" s="60"/>
    </row>
    <row r="9587" spans="7:24" ht="15" customHeight="1">
      <c r="G9587"/>
      <c r="I9587"/>
      <c r="N9587"/>
      <c r="O9587" s="24"/>
      <c r="P9587"/>
      <c r="Q9587" s="24"/>
      <c r="R9587"/>
      <c r="S9587"/>
      <c r="T9587"/>
      <c r="U9587"/>
      <c r="X9587" s="60"/>
    </row>
    <row r="9588" spans="7:24" ht="15" customHeight="1">
      <c r="G9588"/>
      <c r="I9588"/>
      <c r="N9588"/>
      <c r="O9588" s="24"/>
      <c r="P9588"/>
      <c r="Q9588" s="24"/>
      <c r="R9588"/>
      <c r="S9588"/>
      <c r="T9588"/>
      <c r="U9588"/>
      <c r="X9588" s="60"/>
    </row>
    <row r="9589" spans="7:24" ht="15" customHeight="1">
      <c r="G9589"/>
      <c r="I9589"/>
      <c r="N9589"/>
      <c r="O9589" s="24"/>
      <c r="P9589"/>
      <c r="Q9589" s="24"/>
      <c r="R9589"/>
      <c r="S9589"/>
      <c r="T9589"/>
      <c r="U9589"/>
      <c r="X9589" s="60"/>
    </row>
    <row r="9590" spans="7:24" ht="15" customHeight="1">
      <c r="G9590"/>
      <c r="I9590"/>
      <c r="N9590"/>
      <c r="O9590" s="24"/>
      <c r="P9590"/>
      <c r="Q9590" s="24"/>
      <c r="R9590"/>
      <c r="S9590"/>
      <c r="T9590"/>
      <c r="U9590"/>
      <c r="X9590" s="60"/>
    </row>
    <row r="9591" spans="7:24" ht="15" customHeight="1">
      <c r="G9591"/>
      <c r="I9591"/>
      <c r="N9591"/>
      <c r="O9591" s="24"/>
      <c r="P9591"/>
      <c r="Q9591" s="24"/>
      <c r="R9591"/>
      <c r="S9591"/>
      <c r="T9591"/>
      <c r="U9591"/>
      <c r="X9591" s="60"/>
    </row>
    <row r="9592" spans="7:24" ht="15" customHeight="1">
      <c r="G9592"/>
      <c r="I9592"/>
      <c r="N9592"/>
      <c r="O9592" s="24"/>
      <c r="P9592"/>
      <c r="Q9592" s="24"/>
      <c r="R9592"/>
      <c r="S9592"/>
      <c r="T9592"/>
      <c r="U9592"/>
      <c r="X9592" s="60"/>
    </row>
    <row r="9593" spans="7:24" ht="15" customHeight="1">
      <c r="G9593"/>
      <c r="I9593"/>
      <c r="N9593"/>
      <c r="O9593" s="24"/>
      <c r="P9593"/>
      <c r="Q9593" s="24"/>
      <c r="R9593"/>
      <c r="S9593"/>
      <c r="T9593"/>
      <c r="U9593"/>
      <c r="X9593" s="60"/>
    </row>
    <row r="9594" spans="7:24" ht="15" customHeight="1">
      <c r="G9594"/>
      <c r="I9594"/>
      <c r="N9594"/>
      <c r="O9594" s="24"/>
      <c r="P9594"/>
      <c r="Q9594" s="24"/>
      <c r="R9594"/>
      <c r="S9594"/>
      <c r="T9594"/>
      <c r="U9594"/>
      <c r="X9594" s="60"/>
    </row>
    <row r="9595" spans="7:24" ht="15" customHeight="1">
      <c r="G9595"/>
      <c r="I9595"/>
      <c r="N9595"/>
      <c r="O9595" s="24"/>
      <c r="P9595"/>
      <c r="Q9595" s="24"/>
      <c r="R9595"/>
      <c r="S9595"/>
      <c r="T9595"/>
      <c r="U9595"/>
      <c r="X9595" s="60"/>
    </row>
    <row r="9596" spans="7:24" ht="15" customHeight="1">
      <c r="G9596"/>
      <c r="I9596"/>
      <c r="N9596"/>
      <c r="O9596" s="24"/>
      <c r="P9596"/>
      <c r="Q9596" s="24"/>
      <c r="R9596"/>
      <c r="S9596"/>
      <c r="T9596"/>
      <c r="U9596"/>
      <c r="X9596" s="60"/>
    </row>
    <row r="9597" spans="7:24" ht="15" customHeight="1">
      <c r="G9597"/>
      <c r="I9597"/>
      <c r="N9597"/>
      <c r="O9597" s="24"/>
      <c r="P9597"/>
      <c r="Q9597" s="24"/>
      <c r="R9597"/>
      <c r="S9597"/>
      <c r="T9597"/>
      <c r="U9597"/>
      <c r="X9597" s="60"/>
    </row>
    <row r="9598" spans="7:24" ht="15" customHeight="1">
      <c r="G9598"/>
      <c r="I9598"/>
      <c r="N9598"/>
      <c r="O9598" s="24"/>
      <c r="P9598"/>
      <c r="Q9598" s="24"/>
      <c r="R9598"/>
      <c r="S9598"/>
      <c r="T9598"/>
      <c r="U9598"/>
      <c r="X9598" s="60"/>
    </row>
    <row r="9599" spans="7:24" ht="15" customHeight="1">
      <c r="G9599"/>
      <c r="I9599"/>
      <c r="N9599"/>
      <c r="O9599" s="24"/>
      <c r="P9599"/>
      <c r="Q9599" s="24"/>
      <c r="R9599"/>
      <c r="S9599"/>
      <c r="T9599"/>
      <c r="U9599"/>
      <c r="X9599" s="60"/>
    </row>
    <row r="9600" spans="7:24" ht="15" customHeight="1">
      <c r="G9600"/>
      <c r="I9600"/>
      <c r="N9600"/>
      <c r="O9600" s="24"/>
      <c r="P9600"/>
      <c r="Q9600" s="24"/>
      <c r="R9600"/>
      <c r="S9600"/>
      <c r="T9600"/>
      <c r="U9600"/>
      <c r="X9600" s="60"/>
    </row>
    <row r="9601" spans="7:24" ht="15" customHeight="1">
      <c r="G9601"/>
      <c r="I9601"/>
      <c r="N9601"/>
      <c r="O9601" s="24"/>
      <c r="P9601"/>
      <c r="Q9601" s="24"/>
      <c r="R9601"/>
      <c r="S9601"/>
      <c r="T9601"/>
      <c r="U9601"/>
      <c r="X9601" s="60"/>
    </row>
    <row r="9602" spans="7:24" ht="15" customHeight="1">
      <c r="G9602"/>
      <c r="I9602"/>
      <c r="N9602"/>
      <c r="O9602" s="24"/>
      <c r="P9602"/>
      <c r="Q9602" s="24"/>
      <c r="R9602"/>
      <c r="S9602"/>
      <c r="T9602"/>
      <c r="U9602"/>
      <c r="X9602" s="60"/>
    </row>
    <row r="9603" spans="7:24" ht="15" customHeight="1">
      <c r="G9603"/>
      <c r="I9603"/>
      <c r="N9603"/>
      <c r="O9603" s="24"/>
      <c r="P9603"/>
      <c r="Q9603" s="24"/>
      <c r="R9603"/>
      <c r="S9603"/>
      <c r="T9603"/>
      <c r="U9603"/>
      <c r="X9603" s="60"/>
    </row>
    <row r="9604" spans="7:24" ht="15" customHeight="1">
      <c r="G9604"/>
      <c r="I9604"/>
      <c r="N9604"/>
      <c r="O9604" s="24"/>
      <c r="P9604"/>
      <c r="Q9604" s="24"/>
      <c r="R9604"/>
      <c r="S9604"/>
      <c r="T9604"/>
      <c r="U9604"/>
      <c r="X9604" s="60"/>
    </row>
    <row r="9605" spans="7:24" ht="15" customHeight="1">
      <c r="G9605"/>
      <c r="I9605"/>
      <c r="N9605"/>
      <c r="O9605" s="24"/>
      <c r="P9605"/>
      <c r="Q9605" s="24"/>
      <c r="R9605"/>
      <c r="S9605"/>
      <c r="T9605"/>
      <c r="U9605"/>
      <c r="X9605" s="60"/>
    </row>
    <row r="9606" spans="7:24" ht="15" customHeight="1">
      <c r="G9606"/>
      <c r="I9606"/>
      <c r="N9606"/>
      <c r="O9606" s="24"/>
      <c r="P9606"/>
      <c r="Q9606" s="24"/>
      <c r="R9606"/>
      <c r="S9606"/>
      <c r="T9606"/>
      <c r="U9606"/>
      <c r="X9606" s="60"/>
    </row>
    <row r="9607" spans="7:24" ht="15" customHeight="1">
      <c r="G9607"/>
      <c r="I9607"/>
      <c r="N9607"/>
      <c r="O9607" s="24"/>
      <c r="P9607"/>
      <c r="Q9607" s="24"/>
      <c r="R9607"/>
      <c r="S9607"/>
      <c r="T9607"/>
      <c r="U9607"/>
      <c r="X9607" s="60"/>
    </row>
    <row r="9608" spans="7:24" ht="15" customHeight="1">
      <c r="G9608"/>
      <c r="I9608"/>
      <c r="N9608"/>
      <c r="O9608" s="24"/>
      <c r="P9608"/>
      <c r="Q9608" s="24"/>
      <c r="R9608"/>
      <c r="S9608"/>
      <c r="T9608"/>
      <c r="U9608"/>
      <c r="X9608" s="60"/>
    </row>
    <row r="9609" spans="7:24" ht="15" customHeight="1">
      <c r="G9609"/>
      <c r="I9609"/>
      <c r="N9609"/>
      <c r="O9609" s="24"/>
      <c r="P9609"/>
      <c r="Q9609" s="24"/>
      <c r="R9609"/>
      <c r="S9609"/>
      <c r="T9609"/>
      <c r="U9609"/>
      <c r="X9609" s="60"/>
    </row>
    <row r="9610" spans="7:24" ht="15" customHeight="1">
      <c r="G9610"/>
      <c r="I9610"/>
      <c r="N9610"/>
      <c r="O9610" s="24"/>
      <c r="P9610"/>
      <c r="Q9610" s="24"/>
      <c r="R9610"/>
      <c r="S9610"/>
      <c r="T9610"/>
      <c r="U9610"/>
      <c r="X9610" s="60"/>
    </row>
    <row r="9611" spans="7:24" ht="15" customHeight="1">
      <c r="G9611"/>
      <c r="I9611"/>
      <c r="N9611"/>
      <c r="O9611" s="24"/>
      <c r="P9611"/>
      <c r="Q9611" s="24"/>
      <c r="R9611"/>
      <c r="S9611"/>
      <c r="T9611"/>
      <c r="U9611"/>
      <c r="X9611" s="60"/>
    </row>
    <row r="9612" spans="7:24" ht="15" customHeight="1">
      <c r="G9612"/>
      <c r="I9612"/>
      <c r="N9612"/>
      <c r="O9612" s="24"/>
      <c r="P9612"/>
      <c r="Q9612" s="24"/>
      <c r="R9612"/>
      <c r="S9612"/>
      <c r="T9612"/>
      <c r="U9612"/>
      <c r="X9612" s="60"/>
    </row>
    <row r="9613" spans="7:24" ht="15" customHeight="1">
      <c r="G9613"/>
      <c r="I9613"/>
      <c r="N9613"/>
      <c r="O9613" s="24"/>
      <c r="P9613"/>
      <c r="Q9613" s="24"/>
      <c r="R9613"/>
      <c r="S9613"/>
      <c r="T9613"/>
      <c r="U9613"/>
      <c r="X9613" s="60"/>
    </row>
    <row r="9614" spans="7:24" ht="15" customHeight="1">
      <c r="G9614"/>
      <c r="I9614"/>
      <c r="N9614"/>
      <c r="O9614" s="24"/>
      <c r="P9614"/>
      <c r="Q9614" s="24"/>
      <c r="R9614"/>
      <c r="S9614"/>
      <c r="T9614"/>
      <c r="U9614"/>
      <c r="X9614" s="60"/>
    </row>
    <row r="9615" spans="7:24" ht="15" customHeight="1">
      <c r="G9615"/>
      <c r="I9615"/>
      <c r="N9615"/>
      <c r="O9615" s="24"/>
      <c r="P9615"/>
      <c r="Q9615" s="24"/>
      <c r="R9615"/>
      <c r="S9615"/>
      <c r="T9615"/>
      <c r="U9615"/>
      <c r="X9615" s="60"/>
    </row>
    <row r="9616" spans="7:24" ht="15" customHeight="1">
      <c r="G9616"/>
      <c r="I9616"/>
      <c r="N9616"/>
      <c r="O9616" s="24"/>
      <c r="P9616"/>
      <c r="Q9616" s="24"/>
      <c r="R9616"/>
      <c r="S9616"/>
      <c r="T9616"/>
      <c r="U9616"/>
      <c r="X9616" s="60"/>
    </row>
    <row r="9617" spans="7:24" ht="15" customHeight="1">
      <c r="G9617"/>
      <c r="I9617"/>
      <c r="N9617"/>
      <c r="O9617" s="24"/>
      <c r="P9617"/>
      <c r="Q9617" s="24"/>
      <c r="R9617"/>
      <c r="S9617"/>
      <c r="T9617"/>
      <c r="U9617"/>
      <c r="X9617" s="60"/>
    </row>
    <row r="9618" spans="7:24" ht="15" customHeight="1">
      <c r="G9618"/>
      <c r="I9618"/>
      <c r="N9618"/>
      <c r="O9618" s="24"/>
      <c r="P9618"/>
      <c r="Q9618" s="24"/>
      <c r="R9618"/>
      <c r="S9618"/>
      <c r="T9618"/>
      <c r="U9618"/>
      <c r="X9618" s="60"/>
    </row>
    <row r="9619" spans="7:24" ht="15" customHeight="1">
      <c r="G9619"/>
      <c r="I9619"/>
      <c r="N9619"/>
      <c r="O9619" s="24"/>
      <c r="P9619"/>
      <c r="Q9619" s="24"/>
      <c r="R9619"/>
      <c r="S9619"/>
      <c r="T9619"/>
      <c r="U9619"/>
      <c r="X9619" s="60"/>
    </row>
    <row r="9620" spans="7:24" ht="15" customHeight="1">
      <c r="G9620"/>
      <c r="I9620"/>
      <c r="N9620"/>
      <c r="O9620" s="24"/>
      <c r="P9620"/>
      <c r="Q9620" s="24"/>
      <c r="R9620"/>
      <c r="S9620"/>
      <c r="T9620"/>
      <c r="U9620"/>
      <c r="X9620" s="60"/>
    </row>
    <row r="9621" spans="7:24" ht="15" customHeight="1">
      <c r="G9621"/>
      <c r="I9621"/>
      <c r="N9621"/>
      <c r="O9621" s="24"/>
      <c r="P9621"/>
      <c r="Q9621" s="24"/>
      <c r="R9621"/>
      <c r="S9621"/>
      <c r="T9621"/>
      <c r="U9621"/>
      <c r="X9621" s="60"/>
    </row>
    <row r="9622" spans="7:24" ht="15" customHeight="1">
      <c r="G9622"/>
      <c r="I9622"/>
      <c r="N9622"/>
      <c r="O9622" s="24"/>
      <c r="P9622"/>
      <c r="Q9622" s="24"/>
      <c r="R9622"/>
      <c r="S9622"/>
      <c r="T9622"/>
      <c r="U9622"/>
      <c r="X9622" s="60"/>
    </row>
    <row r="9623" spans="7:24" ht="15" customHeight="1">
      <c r="G9623"/>
      <c r="I9623"/>
      <c r="N9623"/>
      <c r="O9623" s="24"/>
      <c r="P9623"/>
      <c r="Q9623" s="24"/>
      <c r="R9623"/>
      <c r="S9623"/>
      <c r="T9623"/>
      <c r="U9623"/>
      <c r="X9623" s="60"/>
    </row>
    <row r="9624" spans="7:24" ht="15" customHeight="1">
      <c r="G9624"/>
      <c r="I9624"/>
      <c r="N9624"/>
      <c r="O9624" s="24"/>
      <c r="P9624"/>
      <c r="Q9624" s="24"/>
      <c r="R9624"/>
      <c r="S9624"/>
      <c r="T9624"/>
      <c r="U9624"/>
      <c r="X9624" s="60"/>
    </row>
    <row r="9625" spans="7:24" ht="15" customHeight="1">
      <c r="G9625"/>
      <c r="I9625"/>
      <c r="N9625"/>
      <c r="O9625" s="24"/>
      <c r="P9625"/>
      <c r="Q9625" s="24"/>
      <c r="R9625"/>
      <c r="S9625"/>
      <c r="T9625"/>
      <c r="U9625"/>
      <c r="X9625" s="60"/>
    </row>
    <row r="9626" spans="7:24" ht="15" customHeight="1">
      <c r="G9626"/>
      <c r="I9626"/>
      <c r="N9626"/>
      <c r="O9626" s="24"/>
      <c r="P9626"/>
      <c r="Q9626" s="24"/>
      <c r="R9626"/>
      <c r="S9626"/>
      <c r="T9626"/>
      <c r="U9626"/>
      <c r="X9626" s="60"/>
    </row>
    <row r="9627" spans="7:24" ht="15" customHeight="1">
      <c r="G9627"/>
      <c r="I9627"/>
      <c r="N9627"/>
      <c r="O9627" s="24"/>
      <c r="P9627"/>
      <c r="Q9627" s="24"/>
      <c r="R9627"/>
      <c r="S9627"/>
      <c r="T9627"/>
      <c r="U9627"/>
      <c r="X9627" s="60"/>
    </row>
    <row r="9628" spans="7:24" ht="15" customHeight="1">
      <c r="G9628"/>
      <c r="I9628"/>
      <c r="N9628"/>
      <c r="O9628" s="24"/>
      <c r="P9628"/>
      <c r="Q9628" s="24"/>
      <c r="R9628"/>
      <c r="S9628"/>
      <c r="T9628"/>
      <c r="U9628"/>
      <c r="X9628" s="60"/>
    </row>
    <row r="9629" spans="7:24" ht="15" customHeight="1">
      <c r="G9629"/>
      <c r="I9629"/>
      <c r="N9629"/>
      <c r="O9629" s="24"/>
      <c r="P9629"/>
      <c r="Q9629" s="24"/>
      <c r="R9629"/>
      <c r="S9629"/>
      <c r="T9629"/>
      <c r="U9629"/>
      <c r="X9629" s="60"/>
    </row>
    <row r="9630" spans="7:24" ht="15" customHeight="1">
      <c r="G9630"/>
      <c r="I9630"/>
      <c r="N9630"/>
      <c r="O9630" s="24"/>
      <c r="P9630"/>
      <c r="Q9630" s="24"/>
      <c r="R9630"/>
      <c r="S9630"/>
      <c r="T9630"/>
      <c r="U9630"/>
      <c r="X9630" s="60"/>
    </row>
    <row r="9631" spans="7:24" ht="15" customHeight="1">
      <c r="G9631"/>
      <c r="I9631"/>
      <c r="N9631"/>
      <c r="O9631" s="24"/>
      <c r="P9631"/>
      <c r="Q9631" s="24"/>
      <c r="R9631"/>
      <c r="S9631"/>
      <c r="T9631"/>
      <c r="U9631"/>
      <c r="X9631" s="60"/>
    </row>
    <row r="9632" spans="7:24" ht="15" customHeight="1">
      <c r="G9632"/>
      <c r="I9632"/>
      <c r="N9632"/>
      <c r="O9632" s="24"/>
      <c r="P9632"/>
      <c r="Q9632" s="24"/>
      <c r="R9632"/>
      <c r="S9632"/>
      <c r="T9632"/>
      <c r="U9632"/>
      <c r="X9632" s="60"/>
    </row>
    <row r="9633" spans="7:24" ht="15" customHeight="1">
      <c r="G9633"/>
      <c r="I9633"/>
      <c r="N9633"/>
      <c r="O9633" s="24"/>
      <c r="P9633"/>
      <c r="Q9633" s="24"/>
      <c r="R9633"/>
      <c r="S9633"/>
      <c r="T9633"/>
      <c r="U9633"/>
      <c r="X9633" s="60"/>
    </row>
    <row r="9634" spans="7:24" ht="15" customHeight="1">
      <c r="G9634"/>
      <c r="I9634"/>
      <c r="N9634"/>
      <c r="O9634" s="24"/>
      <c r="P9634"/>
      <c r="Q9634" s="24"/>
      <c r="R9634"/>
      <c r="S9634"/>
      <c r="T9634"/>
      <c r="U9634"/>
      <c r="X9634" s="60"/>
    </row>
    <row r="9635" spans="7:24" ht="15" customHeight="1">
      <c r="G9635"/>
      <c r="I9635"/>
      <c r="N9635"/>
      <c r="O9635" s="24"/>
      <c r="P9635"/>
      <c r="Q9635" s="24"/>
      <c r="R9635"/>
      <c r="S9635"/>
      <c r="T9635"/>
      <c r="U9635"/>
      <c r="X9635" s="60"/>
    </row>
    <row r="9636" spans="7:24" ht="15" customHeight="1">
      <c r="G9636"/>
      <c r="I9636"/>
      <c r="N9636"/>
      <c r="O9636" s="24"/>
      <c r="P9636"/>
      <c r="Q9636" s="24"/>
      <c r="R9636"/>
      <c r="S9636"/>
      <c r="T9636"/>
      <c r="U9636"/>
      <c r="X9636" s="60"/>
    </row>
    <row r="9637" spans="7:24" ht="15" customHeight="1">
      <c r="G9637"/>
      <c r="I9637"/>
      <c r="N9637"/>
      <c r="O9637" s="24"/>
      <c r="P9637"/>
      <c r="Q9637" s="24"/>
      <c r="R9637"/>
      <c r="S9637"/>
      <c r="T9637"/>
      <c r="U9637"/>
      <c r="X9637" s="60"/>
    </row>
    <row r="9638" spans="7:24" ht="15" customHeight="1">
      <c r="G9638"/>
      <c r="I9638"/>
      <c r="N9638"/>
      <c r="O9638" s="24"/>
      <c r="P9638"/>
      <c r="Q9638" s="24"/>
      <c r="R9638"/>
      <c r="S9638"/>
      <c r="T9638"/>
      <c r="U9638"/>
      <c r="X9638" s="60"/>
    </row>
    <row r="9639" spans="7:24" ht="15" customHeight="1">
      <c r="G9639"/>
      <c r="I9639"/>
      <c r="N9639"/>
      <c r="O9639" s="24"/>
      <c r="P9639"/>
      <c r="Q9639" s="24"/>
      <c r="R9639"/>
      <c r="S9639"/>
      <c r="T9639"/>
      <c r="U9639"/>
      <c r="X9639" s="60"/>
    </row>
    <row r="9640" spans="7:24" ht="15" customHeight="1">
      <c r="G9640"/>
      <c r="I9640"/>
      <c r="N9640"/>
      <c r="O9640" s="24"/>
      <c r="P9640"/>
      <c r="Q9640" s="24"/>
      <c r="R9640"/>
      <c r="S9640"/>
      <c r="T9640"/>
      <c r="U9640"/>
      <c r="X9640" s="60"/>
    </row>
    <row r="9641" spans="7:24" ht="15" customHeight="1">
      <c r="G9641"/>
      <c r="I9641"/>
      <c r="N9641"/>
      <c r="O9641" s="24"/>
      <c r="P9641"/>
      <c r="Q9641" s="24"/>
      <c r="R9641"/>
      <c r="S9641"/>
      <c r="T9641"/>
      <c r="U9641"/>
      <c r="X9641" s="60"/>
    </row>
    <row r="9642" spans="7:24" ht="15" customHeight="1">
      <c r="G9642"/>
      <c r="I9642"/>
      <c r="N9642"/>
      <c r="O9642" s="24"/>
      <c r="P9642"/>
      <c r="Q9642" s="24"/>
      <c r="R9642"/>
      <c r="S9642"/>
      <c r="T9642"/>
      <c r="U9642"/>
      <c r="X9642" s="60"/>
    </row>
    <row r="9643" spans="7:24" ht="15" customHeight="1">
      <c r="G9643"/>
      <c r="I9643"/>
      <c r="N9643"/>
      <c r="O9643" s="24"/>
      <c r="P9643"/>
      <c r="Q9643" s="24"/>
      <c r="R9643"/>
      <c r="S9643"/>
      <c r="T9643"/>
      <c r="U9643"/>
      <c r="X9643" s="60"/>
    </row>
    <row r="9644" spans="7:24" ht="15" customHeight="1">
      <c r="G9644"/>
      <c r="I9644"/>
      <c r="N9644"/>
      <c r="O9644" s="24"/>
      <c r="P9644"/>
      <c r="Q9644" s="24"/>
      <c r="R9644"/>
      <c r="S9644"/>
      <c r="T9644"/>
      <c r="U9644"/>
      <c r="X9644" s="60"/>
    </row>
    <row r="9645" spans="7:24" ht="15" customHeight="1">
      <c r="G9645"/>
      <c r="I9645"/>
      <c r="N9645"/>
      <c r="O9645" s="24"/>
      <c r="P9645"/>
      <c r="Q9645" s="24"/>
      <c r="R9645"/>
      <c r="S9645"/>
      <c r="T9645"/>
      <c r="U9645"/>
      <c r="X9645" s="60"/>
    </row>
    <row r="9646" spans="7:24" ht="15" customHeight="1">
      <c r="G9646"/>
      <c r="I9646"/>
      <c r="N9646"/>
      <c r="O9646" s="24"/>
      <c r="P9646"/>
      <c r="Q9646" s="24"/>
      <c r="R9646"/>
      <c r="S9646"/>
      <c r="T9646"/>
      <c r="U9646"/>
      <c r="X9646" s="60"/>
    </row>
    <row r="9647" spans="7:24" ht="15" customHeight="1">
      <c r="G9647"/>
      <c r="I9647"/>
      <c r="N9647"/>
      <c r="O9647" s="24"/>
      <c r="P9647"/>
      <c r="Q9647" s="24"/>
      <c r="R9647"/>
      <c r="S9647"/>
      <c r="T9647"/>
      <c r="U9647"/>
      <c r="X9647" s="60"/>
    </row>
    <row r="9648" spans="7:24" ht="15" customHeight="1">
      <c r="G9648"/>
      <c r="I9648"/>
      <c r="N9648"/>
      <c r="O9648" s="24"/>
      <c r="P9648"/>
      <c r="Q9648" s="24"/>
      <c r="R9648"/>
      <c r="S9648"/>
      <c r="T9648"/>
      <c r="U9648"/>
      <c r="X9648" s="60"/>
    </row>
    <row r="9649" spans="7:24" ht="15" customHeight="1">
      <c r="G9649"/>
      <c r="I9649"/>
      <c r="N9649"/>
      <c r="O9649" s="24"/>
      <c r="P9649"/>
      <c r="Q9649" s="24"/>
      <c r="R9649"/>
      <c r="S9649"/>
      <c r="T9649"/>
      <c r="U9649"/>
      <c r="X9649" s="60"/>
    </row>
    <row r="9650" spans="7:24" ht="15" customHeight="1">
      <c r="G9650"/>
      <c r="I9650"/>
      <c r="N9650"/>
      <c r="O9650" s="24"/>
      <c r="P9650"/>
      <c r="Q9650" s="24"/>
      <c r="R9650"/>
      <c r="S9650"/>
      <c r="T9650"/>
      <c r="U9650"/>
      <c r="X9650" s="60"/>
    </row>
    <row r="9651" spans="7:24" ht="15" customHeight="1">
      <c r="G9651"/>
      <c r="I9651"/>
      <c r="N9651"/>
      <c r="O9651" s="24"/>
      <c r="P9651"/>
      <c r="Q9651" s="24"/>
      <c r="R9651"/>
      <c r="S9651"/>
      <c r="T9651"/>
      <c r="U9651"/>
      <c r="X9651" s="60"/>
    </row>
    <row r="9652" spans="7:24" ht="15" customHeight="1">
      <c r="G9652"/>
      <c r="I9652"/>
      <c r="N9652"/>
      <c r="O9652" s="24"/>
      <c r="P9652"/>
      <c r="Q9652" s="24"/>
      <c r="R9652"/>
      <c r="S9652"/>
      <c r="T9652"/>
      <c r="U9652"/>
      <c r="X9652" s="60"/>
    </row>
    <row r="9653" spans="7:24" ht="15" customHeight="1">
      <c r="G9653"/>
      <c r="I9653"/>
      <c r="N9653"/>
      <c r="O9653" s="24"/>
      <c r="P9653"/>
      <c r="Q9653" s="24"/>
      <c r="R9653"/>
      <c r="S9653"/>
      <c r="T9653"/>
      <c r="U9653"/>
      <c r="X9653" s="60"/>
    </row>
    <row r="9654" spans="7:24" ht="15" customHeight="1">
      <c r="G9654"/>
      <c r="I9654"/>
      <c r="N9654"/>
      <c r="O9654" s="24"/>
      <c r="P9654"/>
      <c r="Q9654" s="24"/>
      <c r="R9654"/>
      <c r="S9654"/>
      <c r="T9654"/>
      <c r="U9654"/>
      <c r="X9654" s="60"/>
    </row>
    <row r="9655" spans="7:24" ht="15" customHeight="1">
      <c r="G9655"/>
      <c r="I9655"/>
      <c r="N9655"/>
      <c r="O9655" s="24"/>
      <c r="P9655"/>
      <c r="Q9655" s="24"/>
      <c r="R9655"/>
      <c r="S9655"/>
      <c r="T9655"/>
      <c r="U9655"/>
      <c r="X9655" s="60"/>
    </row>
    <row r="9656" spans="7:24" ht="15" customHeight="1">
      <c r="G9656"/>
      <c r="I9656"/>
      <c r="N9656"/>
      <c r="O9656" s="24"/>
      <c r="P9656"/>
      <c r="Q9656" s="24"/>
      <c r="R9656"/>
      <c r="S9656"/>
      <c r="T9656"/>
      <c r="U9656"/>
      <c r="X9656" s="60"/>
    </row>
    <row r="9657" spans="7:24" ht="15" customHeight="1">
      <c r="G9657"/>
      <c r="I9657"/>
      <c r="N9657"/>
      <c r="O9657" s="24"/>
      <c r="P9657"/>
      <c r="Q9657" s="24"/>
      <c r="R9657"/>
      <c r="S9657"/>
      <c r="T9657"/>
      <c r="U9657"/>
      <c r="X9657" s="60"/>
    </row>
    <row r="9658" spans="7:24" ht="15" customHeight="1">
      <c r="G9658"/>
      <c r="I9658"/>
      <c r="N9658"/>
      <c r="O9658" s="24"/>
      <c r="P9658"/>
      <c r="Q9658" s="24"/>
      <c r="R9658"/>
      <c r="S9658"/>
      <c r="T9658"/>
      <c r="U9658"/>
      <c r="X9658" s="60"/>
    </row>
    <row r="9659" spans="7:24" ht="15" customHeight="1">
      <c r="G9659"/>
      <c r="I9659"/>
      <c r="N9659"/>
      <c r="O9659" s="24"/>
      <c r="P9659"/>
      <c r="Q9659" s="24"/>
      <c r="R9659"/>
      <c r="S9659"/>
      <c r="T9659"/>
      <c r="U9659"/>
      <c r="X9659" s="60"/>
    </row>
    <row r="9660" spans="7:24" ht="15" customHeight="1">
      <c r="G9660"/>
      <c r="I9660"/>
      <c r="N9660"/>
      <c r="O9660" s="24"/>
      <c r="P9660"/>
      <c r="Q9660" s="24"/>
      <c r="R9660"/>
      <c r="S9660"/>
      <c r="T9660"/>
      <c r="U9660"/>
      <c r="X9660" s="60"/>
    </row>
    <row r="9661" spans="7:24" ht="15" customHeight="1">
      <c r="G9661"/>
      <c r="I9661"/>
      <c r="N9661"/>
      <c r="O9661" s="24"/>
      <c r="P9661"/>
      <c r="Q9661" s="24"/>
      <c r="R9661"/>
      <c r="S9661"/>
      <c r="T9661"/>
      <c r="U9661"/>
      <c r="X9661" s="60"/>
    </row>
    <row r="9662" spans="7:24" ht="15" customHeight="1">
      <c r="G9662"/>
      <c r="I9662"/>
      <c r="N9662"/>
      <c r="O9662" s="24"/>
      <c r="P9662"/>
      <c r="Q9662" s="24"/>
      <c r="R9662"/>
      <c r="S9662"/>
      <c r="T9662"/>
      <c r="U9662"/>
      <c r="X9662" s="60"/>
    </row>
    <row r="9663" spans="7:24" ht="15" customHeight="1">
      <c r="G9663"/>
      <c r="I9663"/>
      <c r="N9663"/>
      <c r="O9663" s="24"/>
      <c r="P9663"/>
      <c r="Q9663" s="24"/>
      <c r="R9663"/>
      <c r="S9663"/>
      <c r="T9663"/>
      <c r="U9663"/>
      <c r="X9663" s="60"/>
    </row>
    <row r="9664" spans="7:24" ht="15" customHeight="1">
      <c r="G9664"/>
      <c r="I9664"/>
      <c r="N9664"/>
      <c r="O9664" s="24"/>
      <c r="P9664"/>
      <c r="Q9664" s="24"/>
      <c r="R9664"/>
      <c r="S9664"/>
      <c r="T9664"/>
      <c r="U9664"/>
      <c r="X9664" s="60"/>
    </row>
    <row r="9665" spans="7:24" ht="15" customHeight="1">
      <c r="G9665"/>
      <c r="I9665"/>
      <c r="N9665"/>
      <c r="O9665" s="24"/>
      <c r="P9665"/>
      <c r="Q9665" s="24"/>
      <c r="R9665"/>
      <c r="S9665"/>
      <c r="T9665"/>
      <c r="U9665"/>
      <c r="X9665" s="60"/>
    </row>
    <row r="9666" spans="7:24" ht="15" customHeight="1">
      <c r="G9666"/>
      <c r="I9666"/>
      <c r="N9666"/>
      <c r="O9666" s="24"/>
      <c r="P9666"/>
      <c r="Q9666" s="24"/>
      <c r="R9666"/>
      <c r="S9666"/>
      <c r="T9666"/>
      <c r="U9666"/>
      <c r="X9666" s="60"/>
    </row>
    <row r="9667" spans="7:24" ht="15" customHeight="1">
      <c r="G9667"/>
      <c r="I9667"/>
      <c r="N9667"/>
      <c r="O9667" s="24"/>
      <c r="P9667"/>
      <c r="Q9667" s="24"/>
      <c r="R9667"/>
      <c r="S9667"/>
      <c r="T9667"/>
      <c r="U9667"/>
      <c r="X9667" s="60"/>
    </row>
    <row r="9668" spans="7:24" ht="15" customHeight="1">
      <c r="G9668"/>
      <c r="I9668"/>
      <c r="N9668"/>
      <c r="O9668" s="24"/>
      <c r="P9668"/>
      <c r="Q9668" s="24"/>
      <c r="R9668"/>
      <c r="S9668"/>
      <c r="T9668"/>
      <c r="U9668"/>
      <c r="X9668" s="60"/>
    </row>
    <row r="9669" spans="7:24" ht="15" customHeight="1">
      <c r="G9669"/>
      <c r="I9669"/>
      <c r="N9669"/>
      <c r="O9669" s="24"/>
      <c r="P9669"/>
      <c r="Q9669" s="24"/>
      <c r="R9669"/>
      <c r="S9669"/>
      <c r="T9669"/>
      <c r="U9669"/>
      <c r="X9669" s="60"/>
    </row>
    <row r="9670" spans="7:24" ht="15" customHeight="1">
      <c r="G9670"/>
      <c r="I9670"/>
      <c r="N9670"/>
      <c r="O9670" s="24"/>
      <c r="P9670"/>
      <c r="Q9670" s="24"/>
      <c r="R9670"/>
      <c r="S9670"/>
      <c r="T9670"/>
      <c r="U9670"/>
      <c r="X9670" s="60"/>
    </row>
    <row r="9671" spans="7:24" ht="15" customHeight="1">
      <c r="G9671"/>
      <c r="I9671"/>
      <c r="N9671"/>
      <c r="O9671" s="24"/>
      <c r="P9671"/>
      <c r="Q9671" s="24"/>
      <c r="R9671"/>
      <c r="S9671"/>
      <c r="T9671"/>
      <c r="U9671"/>
      <c r="X9671" s="60"/>
    </row>
    <row r="9672" spans="7:24" ht="15" customHeight="1">
      <c r="G9672"/>
      <c r="I9672"/>
      <c r="N9672"/>
      <c r="O9672" s="24"/>
      <c r="P9672"/>
      <c r="Q9672" s="24"/>
      <c r="R9672"/>
      <c r="S9672"/>
      <c r="T9672"/>
      <c r="U9672"/>
      <c r="X9672" s="60"/>
    </row>
    <row r="9673" spans="7:24" ht="15" customHeight="1">
      <c r="G9673"/>
      <c r="I9673"/>
      <c r="N9673"/>
      <c r="O9673" s="24"/>
      <c r="P9673"/>
      <c r="Q9673" s="24"/>
      <c r="R9673"/>
      <c r="S9673"/>
      <c r="T9673"/>
      <c r="U9673"/>
      <c r="X9673" s="60"/>
    </row>
    <row r="9674" spans="7:24" ht="15" customHeight="1">
      <c r="G9674"/>
      <c r="I9674"/>
      <c r="N9674"/>
      <c r="O9674" s="24"/>
      <c r="P9674"/>
      <c r="Q9674" s="24"/>
      <c r="R9674"/>
      <c r="S9674"/>
      <c r="T9674"/>
      <c r="U9674"/>
      <c r="X9674" s="60"/>
    </row>
    <row r="9675" spans="7:24" ht="15" customHeight="1">
      <c r="G9675"/>
      <c r="I9675"/>
      <c r="N9675"/>
      <c r="O9675" s="24"/>
      <c r="P9675"/>
      <c r="Q9675" s="24"/>
      <c r="R9675"/>
      <c r="S9675"/>
      <c r="T9675"/>
      <c r="U9675"/>
      <c r="X9675" s="60"/>
    </row>
    <row r="9676" spans="7:24" ht="15" customHeight="1">
      <c r="G9676"/>
      <c r="I9676"/>
      <c r="N9676"/>
      <c r="O9676" s="24"/>
      <c r="P9676"/>
      <c r="Q9676" s="24"/>
      <c r="R9676"/>
      <c r="S9676"/>
      <c r="T9676"/>
      <c r="U9676"/>
      <c r="X9676" s="60"/>
    </row>
    <row r="9677" spans="7:24" ht="15" customHeight="1">
      <c r="G9677"/>
      <c r="I9677"/>
      <c r="N9677"/>
      <c r="O9677" s="24"/>
      <c r="P9677"/>
      <c r="Q9677" s="24"/>
      <c r="R9677"/>
      <c r="S9677"/>
      <c r="T9677"/>
      <c r="U9677"/>
      <c r="X9677" s="60"/>
    </row>
    <row r="9678" spans="7:24" ht="15" customHeight="1">
      <c r="G9678"/>
      <c r="I9678"/>
      <c r="N9678"/>
      <c r="O9678" s="24"/>
      <c r="P9678"/>
      <c r="Q9678" s="24"/>
      <c r="R9678"/>
      <c r="S9678"/>
      <c r="T9678"/>
      <c r="U9678"/>
      <c r="X9678" s="60"/>
    </row>
    <row r="9679" spans="7:24" ht="15" customHeight="1">
      <c r="G9679"/>
      <c r="I9679"/>
      <c r="N9679"/>
      <c r="O9679" s="24"/>
      <c r="P9679"/>
      <c r="Q9679" s="24"/>
      <c r="R9679"/>
      <c r="S9679"/>
      <c r="T9679"/>
      <c r="U9679"/>
      <c r="X9679" s="60"/>
    </row>
    <row r="9680" spans="7:24" ht="15" customHeight="1">
      <c r="G9680"/>
      <c r="I9680"/>
      <c r="N9680"/>
      <c r="O9680" s="24"/>
      <c r="P9680"/>
      <c r="Q9680" s="24"/>
      <c r="R9680"/>
      <c r="S9680"/>
      <c r="T9680"/>
      <c r="U9680"/>
      <c r="X9680" s="60"/>
    </row>
    <row r="9681" spans="7:24" ht="15" customHeight="1">
      <c r="G9681"/>
      <c r="I9681"/>
      <c r="N9681"/>
      <c r="O9681" s="24"/>
      <c r="P9681"/>
      <c r="Q9681" s="24"/>
      <c r="R9681"/>
      <c r="S9681"/>
      <c r="T9681"/>
      <c r="U9681"/>
      <c r="X9681" s="60"/>
    </row>
    <row r="9682" spans="7:24" ht="15" customHeight="1">
      <c r="G9682"/>
      <c r="I9682"/>
      <c r="N9682"/>
      <c r="O9682" s="24"/>
      <c r="P9682"/>
      <c r="Q9682" s="24"/>
      <c r="R9682"/>
      <c r="S9682"/>
      <c r="T9682"/>
      <c r="U9682"/>
      <c r="X9682" s="60"/>
    </row>
    <row r="9683" spans="7:24" ht="15" customHeight="1">
      <c r="G9683"/>
      <c r="I9683"/>
      <c r="N9683"/>
      <c r="O9683" s="24"/>
      <c r="P9683"/>
      <c r="Q9683" s="24"/>
      <c r="R9683"/>
      <c r="S9683"/>
      <c r="T9683"/>
      <c r="U9683"/>
      <c r="X9683" s="60"/>
    </row>
    <row r="9684" spans="7:24" ht="15" customHeight="1">
      <c r="G9684"/>
      <c r="I9684"/>
      <c r="N9684"/>
      <c r="O9684" s="24"/>
      <c r="P9684"/>
      <c r="Q9684" s="24"/>
      <c r="R9684"/>
      <c r="S9684"/>
      <c r="T9684"/>
      <c r="U9684"/>
      <c r="X9684" s="60"/>
    </row>
    <row r="9685" spans="7:24" ht="15" customHeight="1">
      <c r="G9685"/>
      <c r="I9685"/>
      <c r="N9685"/>
      <c r="O9685" s="24"/>
      <c r="P9685"/>
      <c r="Q9685" s="24"/>
      <c r="R9685"/>
      <c r="S9685"/>
      <c r="T9685"/>
      <c r="U9685"/>
      <c r="X9685" s="60"/>
    </row>
    <row r="9686" spans="7:24" ht="15" customHeight="1">
      <c r="G9686"/>
      <c r="I9686"/>
      <c r="N9686"/>
      <c r="O9686" s="24"/>
      <c r="P9686"/>
      <c r="Q9686" s="24"/>
      <c r="R9686"/>
      <c r="S9686"/>
      <c r="T9686"/>
      <c r="U9686"/>
      <c r="X9686" s="60"/>
    </row>
    <row r="9687" spans="7:24" ht="15" customHeight="1">
      <c r="G9687"/>
      <c r="I9687"/>
      <c r="N9687"/>
      <c r="O9687" s="24"/>
      <c r="P9687"/>
      <c r="Q9687" s="24"/>
      <c r="R9687"/>
      <c r="S9687"/>
      <c r="T9687"/>
      <c r="U9687"/>
      <c r="X9687" s="60"/>
    </row>
    <row r="9688" spans="7:24" ht="15" customHeight="1">
      <c r="G9688"/>
      <c r="I9688"/>
      <c r="N9688"/>
      <c r="O9688" s="24"/>
      <c r="P9688"/>
      <c r="Q9688" s="24"/>
      <c r="R9688"/>
      <c r="S9688"/>
      <c r="T9688"/>
      <c r="U9688"/>
      <c r="X9688" s="60"/>
    </row>
    <row r="9689" spans="7:24" ht="15" customHeight="1">
      <c r="G9689"/>
      <c r="I9689"/>
      <c r="N9689"/>
      <c r="O9689" s="24"/>
      <c r="P9689"/>
      <c r="Q9689" s="24"/>
      <c r="R9689"/>
      <c r="S9689"/>
      <c r="T9689"/>
      <c r="U9689"/>
      <c r="X9689" s="60"/>
    </row>
    <row r="9690" spans="7:24" ht="15" customHeight="1">
      <c r="G9690"/>
      <c r="I9690"/>
      <c r="N9690"/>
      <c r="O9690" s="24"/>
      <c r="P9690"/>
      <c r="Q9690" s="24"/>
      <c r="R9690"/>
      <c r="S9690"/>
      <c r="T9690"/>
      <c r="U9690"/>
      <c r="X9690" s="60"/>
    </row>
    <row r="9691" spans="7:24" ht="15" customHeight="1">
      <c r="G9691"/>
      <c r="I9691"/>
      <c r="N9691"/>
      <c r="O9691" s="24"/>
      <c r="P9691"/>
      <c r="Q9691" s="24"/>
      <c r="R9691"/>
      <c r="S9691"/>
      <c r="T9691"/>
      <c r="U9691"/>
      <c r="X9691" s="60"/>
    </row>
    <row r="9692" spans="7:24" ht="15" customHeight="1">
      <c r="G9692"/>
      <c r="I9692"/>
      <c r="N9692"/>
      <c r="O9692" s="24"/>
      <c r="P9692"/>
      <c r="Q9692" s="24"/>
      <c r="R9692"/>
      <c r="S9692"/>
      <c r="T9692"/>
      <c r="U9692"/>
      <c r="X9692" s="60"/>
    </row>
    <row r="9693" spans="7:24" ht="15" customHeight="1">
      <c r="G9693"/>
      <c r="I9693"/>
      <c r="N9693"/>
      <c r="O9693" s="24"/>
      <c r="P9693"/>
      <c r="Q9693" s="24"/>
      <c r="R9693"/>
      <c r="S9693"/>
      <c r="T9693"/>
      <c r="U9693"/>
      <c r="X9693" s="60"/>
    </row>
    <row r="9694" spans="7:24" ht="15" customHeight="1">
      <c r="G9694"/>
      <c r="I9694"/>
      <c r="N9694"/>
      <c r="O9694" s="24"/>
      <c r="P9694"/>
      <c r="Q9694" s="24"/>
      <c r="R9694"/>
      <c r="S9694"/>
      <c r="T9694"/>
      <c r="U9694"/>
      <c r="X9694" s="60"/>
    </row>
    <row r="9695" spans="7:24" ht="15" customHeight="1">
      <c r="G9695"/>
      <c r="I9695"/>
      <c r="N9695"/>
      <c r="O9695" s="24"/>
      <c r="P9695"/>
      <c r="Q9695" s="24"/>
      <c r="R9695"/>
      <c r="S9695"/>
      <c r="T9695"/>
      <c r="U9695"/>
      <c r="X9695" s="60"/>
    </row>
    <row r="9696" spans="7:24" ht="15" customHeight="1">
      <c r="G9696"/>
      <c r="I9696"/>
      <c r="N9696"/>
      <c r="O9696" s="24"/>
      <c r="P9696"/>
      <c r="Q9696" s="24"/>
      <c r="R9696"/>
      <c r="S9696"/>
      <c r="T9696"/>
      <c r="U9696"/>
      <c r="X9696" s="60"/>
    </row>
    <row r="9697" spans="7:24" ht="15" customHeight="1">
      <c r="G9697"/>
      <c r="I9697"/>
      <c r="N9697"/>
      <c r="O9697" s="24"/>
      <c r="P9697"/>
      <c r="Q9697" s="24"/>
      <c r="R9697"/>
      <c r="S9697"/>
      <c r="T9697"/>
      <c r="U9697"/>
      <c r="X9697" s="60"/>
    </row>
    <row r="9698" spans="7:24" ht="15" customHeight="1">
      <c r="G9698"/>
      <c r="I9698"/>
      <c r="N9698"/>
      <c r="O9698" s="24"/>
      <c r="P9698"/>
      <c r="Q9698" s="24"/>
      <c r="R9698"/>
      <c r="S9698"/>
      <c r="T9698"/>
      <c r="U9698"/>
      <c r="X9698" s="60"/>
    </row>
    <row r="9699" spans="7:24" ht="15" customHeight="1">
      <c r="G9699"/>
      <c r="I9699"/>
      <c r="N9699"/>
      <c r="O9699" s="24"/>
      <c r="P9699"/>
      <c r="Q9699" s="24"/>
      <c r="R9699"/>
      <c r="S9699"/>
      <c r="T9699"/>
      <c r="U9699"/>
      <c r="X9699" s="60"/>
    </row>
    <row r="9700" spans="7:24" ht="15" customHeight="1">
      <c r="G9700"/>
      <c r="I9700"/>
      <c r="N9700"/>
      <c r="O9700" s="24"/>
      <c r="P9700"/>
      <c r="Q9700" s="24"/>
      <c r="R9700"/>
      <c r="S9700"/>
      <c r="T9700"/>
      <c r="U9700"/>
      <c r="X9700" s="60"/>
    </row>
    <row r="9701" spans="7:24" ht="15" customHeight="1">
      <c r="G9701"/>
      <c r="I9701"/>
      <c r="N9701"/>
      <c r="O9701" s="24"/>
      <c r="P9701"/>
      <c r="Q9701" s="24"/>
      <c r="R9701"/>
      <c r="S9701"/>
      <c r="T9701"/>
      <c r="U9701"/>
      <c r="X9701" s="60"/>
    </row>
    <row r="9702" spans="7:24" ht="15" customHeight="1">
      <c r="G9702"/>
      <c r="I9702"/>
      <c r="N9702"/>
      <c r="O9702" s="24"/>
      <c r="P9702"/>
      <c r="Q9702" s="24"/>
      <c r="R9702"/>
      <c r="S9702"/>
      <c r="T9702"/>
      <c r="U9702"/>
      <c r="X9702" s="60"/>
    </row>
    <row r="9703" spans="7:24" ht="15" customHeight="1">
      <c r="G9703"/>
      <c r="I9703"/>
      <c r="N9703"/>
      <c r="O9703" s="24"/>
      <c r="P9703"/>
      <c r="Q9703" s="24"/>
      <c r="R9703"/>
      <c r="S9703"/>
      <c r="T9703"/>
      <c r="U9703"/>
      <c r="X9703" s="60"/>
    </row>
    <row r="9704" spans="7:24" ht="15" customHeight="1">
      <c r="G9704"/>
      <c r="I9704"/>
      <c r="N9704"/>
      <c r="O9704" s="24"/>
      <c r="P9704"/>
      <c r="Q9704" s="24"/>
      <c r="R9704"/>
      <c r="S9704"/>
      <c r="T9704"/>
      <c r="U9704"/>
      <c r="X9704" s="60"/>
    </row>
    <row r="9705" spans="7:24" ht="15" customHeight="1">
      <c r="G9705"/>
      <c r="I9705"/>
      <c r="N9705"/>
      <c r="O9705" s="24"/>
      <c r="P9705"/>
      <c r="Q9705" s="24"/>
      <c r="R9705"/>
      <c r="S9705"/>
      <c r="T9705"/>
      <c r="U9705"/>
      <c r="X9705" s="60"/>
    </row>
    <row r="9706" spans="7:24" ht="15" customHeight="1">
      <c r="G9706"/>
      <c r="I9706"/>
      <c r="N9706"/>
      <c r="O9706" s="24"/>
      <c r="P9706"/>
      <c r="Q9706" s="24"/>
      <c r="R9706"/>
      <c r="S9706"/>
      <c r="T9706"/>
      <c r="U9706"/>
      <c r="X9706" s="60"/>
    </row>
    <row r="9707" spans="7:24" ht="15" customHeight="1">
      <c r="G9707"/>
      <c r="I9707"/>
      <c r="N9707"/>
      <c r="O9707" s="24"/>
      <c r="P9707"/>
      <c r="Q9707" s="24"/>
      <c r="R9707"/>
      <c r="S9707"/>
      <c r="T9707"/>
      <c r="U9707"/>
      <c r="X9707" s="60"/>
    </row>
    <row r="9708" spans="7:24" ht="15" customHeight="1">
      <c r="G9708"/>
      <c r="I9708"/>
      <c r="N9708"/>
      <c r="O9708" s="24"/>
      <c r="P9708"/>
      <c r="Q9708" s="24"/>
      <c r="R9708"/>
      <c r="S9708"/>
      <c r="T9708"/>
      <c r="U9708"/>
      <c r="X9708" s="60"/>
    </row>
    <row r="9709" spans="7:24" ht="15" customHeight="1">
      <c r="G9709"/>
      <c r="I9709"/>
      <c r="N9709"/>
      <c r="O9709" s="24"/>
      <c r="P9709"/>
      <c r="Q9709" s="24"/>
      <c r="R9709"/>
      <c r="S9709"/>
      <c r="T9709"/>
      <c r="U9709"/>
      <c r="X9709" s="60"/>
    </row>
    <row r="9710" spans="7:24" ht="15" customHeight="1">
      <c r="G9710"/>
      <c r="I9710"/>
      <c r="N9710"/>
      <c r="O9710" s="24"/>
      <c r="P9710"/>
      <c r="Q9710" s="24"/>
      <c r="R9710"/>
      <c r="S9710"/>
      <c r="T9710"/>
      <c r="U9710"/>
      <c r="X9710" s="60"/>
    </row>
    <row r="9711" spans="7:24" ht="15" customHeight="1">
      <c r="G9711"/>
      <c r="I9711"/>
      <c r="N9711"/>
      <c r="O9711" s="24"/>
      <c r="P9711"/>
      <c r="Q9711" s="24"/>
      <c r="R9711"/>
      <c r="S9711"/>
      <c r="T9711"/>
      <c r="U9711"/>
      <c r="X9711" s="60"/>
    </row>
    <row r="9712" spans="7:24" ht="15" customHeight="1">
      <c r="G9712"/>
      <c r="I9712"/>
      <c r="N9712"/>
      <c r="O9712" s="24"/>
      <c r="P9712"/>
      <c r="Q9712" s="24"/>
      <c r="R9712"/>
      <c r="S9712"/>
      <c r="T9712"/>
      <c r="U9712"/>
      <c r="X9712" s="60"/>
    </row>
    <row r="9713" spans="7:24" ht="15" customHeight="1">
      <c r="G9713"/>
      <c r="I9713"/>
      <c r="N9713"/>
      <c r="O9713" s="24"/>
      <c r="P9713"/>
      <c r="Q9713" s="24"/>
      <c r="R9713"/>
      <c r="S9713"/>
      <c r="T9713"/>
      <c r="U9713"/>
      <c r="X9713" s="60"/>
    </row>
    <row r="9714" spans="7:24" ht="15" customHeight="1">
      <c r="G9714"/>
      <c r="I9714"/>
      <c r="N9714"/>
      <c r="O9714" s="24"/>
      <c r="P9714"/>
      <c r="Q9714" s="24"/>
      <c r="R9714"/>
      <c r="S9714"/>
      <c r="T9714"/>
      <c r="U9714"/>
      <c r="X9714" s="60"/>
    </row>
    <row r="9715" spans="7:24" ht="15" customHeight="1">
      <c r="G9715"/>
      <c r="I9715"/>
      <c r="N9715"/>
      <c r="O9715" s="24"/>
      <c r="P9715"/>
      <c r="Q9715" s="24"/>
      <c r="R9715"/>
      <c r="S9715"/>
      <c r="T9715"/>
      <c r="U9715"/>
      <c r="X9715" s="60"/>
    </row>
    <row r="9716" spans="7:24" ht="15" customHeight="1">
      <c r="G9716"/>
      <c r="I9716"/>
      <c r="N9716"/>
      <c r="O9716" s="24"/>
      <c r="P9716"/>
      <c r="Q9716" s="24"/>
      <c r="R9716"/>
      <c r="S9716"/>
      <c r="T9716"/>
      <c r="U9716"/>
      <c r="X9716" s="60"/>
    </row>
    <row r="9717" spans="7:24" ht="15" customHeight="1">
      <c r="G9717"/>
      <c r="I9717"/>
      <c r="N9717"/>
      <c r="O9717" s="24"/>
      <c r="P9717"/>
      <c r="Q9717" s="24"/>
      <c r="R9717"/>
      <c r="S9717"/>
      <c r="T9717"/>
      <c r="U9717"/>
      <c r="X9717" s="60"/>
    </row>
    <row r="9718" spans="7:24" ht="15" customHeight="1">
      <c r="G9718"/>
      <c r="I9718"/>
      <c r="N9718"/>
      <c r="O9718" s="24"/>
      <c r="P9718"/>
      <c r="Q9718" s="24"/>
      <c r="R9718"/>
      <c r="S9718"/>
      <c r="T9718"/>
      <c r="U9718"/>
      <c r="X9718" s="60"/>
    </row>
    <row r="9719" spans="7:24" ht="15" customHeight="1">
      <c r="G9719"/>
      <c r="I9719"/>
      <c r="N9719"/>
      <c r="O9719" s="24"/>
      <c r="P9719"/>
      <c r="Q9719" s="24"/>
      <c r="R9719"/>
      <c r="S9719"/>
      <c r="T9719"/>
      <c r="U9719"/>
      <c r="X9719" s="60"/>
    </row>
    <row r="9720" spans="7:24" ht="15" customHeight="1">
      <c r="G9720"/>
      <c r="I9720"/>
      <c r="N9720"/>
      <c r="O9720" s="24"/>
      <c r="P9720"/>
      <c r="Q9720" s="24"/>
      <c r="R9720"/>
      <c r="S9720"/>
      <c r="T9720"/>
      <c r="U9720"/>
      <c r="X9720" s="60"/>
    </row>
    <row r="9721" spans="7:24" ht="15" customHeight="1">
      <c r="G9721"/>
      <c r="I9721"/>
      <c r="N9721"/>
      <c r="O9721" s="24"/>
      <c r="P9721"/>
      <c r="Q9721" s="24"/>
      <c r="R9721"/>
      <c r="S9721"/>
      <c r="T9721"/>
      <c r="U9721"/>
      <c r="X9721" s="60"/>
    </row>
    <row r="9722" spans="7:24" ht="15" customHeight="1">
      <c r="G9722"/>
      <c r="I9722"/>
      <c r="N9722"/>
      <c r="O9722" s="24"/>
      <c r="P9722"/>
      <c r="Q9722" s="24"/>
      <c r="R9722"/>
      <c r="S9722"/>
      <c r="T9722"/>
      <c r="U9722"/>
      <c r="X9722" s="60"/>
    </row>
    <row r="9723" spans="7:24" ht="15" customHeight="1">
      <c r="G9723"/>
      <c r="I9723"/>
      <c r="N9723"/>
      <c r="O9723" s="24"/>
      <c r="P9723"/>
      <c r="Q9723" s="24"/>
      <c r="R9723"/>
      <c r="S9723"/>
      <c r="T9723"/>
      <c r="U9723"/>
      <c r="X9723" s="60"/>
    </row>
    <row r="9724" spans="7:24" ht="15" customHeight="1">
      <c r="G9724"/>
      <c r="I9724"/>
      <c r="N9724"/>
      <c r="O9724" s="24"/>
      <c r="P9724"/>
      <c r="Q9724" s="24"/>
      <c r="R9724"/>
      <c r="S9724"/>
      <c r="T9724"/>
      <c r="U9724"/>
      <c r="X9724" s="60"/>
    </row>
    <row r="9725" spans="7:24" ht="15" customHeight="1">
      <c r="G9725"/>
      <c r="I9725"/>
      <c r="N9725"/>
      <c r="O9725" s="24"/>
      <c r="P9725"/>
      <c r="Q9725" s="24"/>
      <c r="R9725"/>
      <c r="S9725"/>
      <c r="T9725"/>
      <c r="U9725"/>
      <c r="X9725" s="60"/>
    </row>
    <row r="9726" spans="7:24" ht="15" customHeight="1">
      <c r="G9726"/>
      <c r="I9726"/>
      <c r="N9726"/>
      <c r="O9726" s="24"/>
      <c r="P9726"/>
      <c r="Q9726" s="24"/>
      <c r="R9726"/>
      <c r="S9726"/>
      <c r="T9726"/>
      <c r="U9726"/>
      <c r="X9726" s="60"/>
    </row>
    <row r="9727" spans="7:24" ht="15" customHeight="1">
      <c r="G9727"/>
      <c r="I9727"/>
      <c r="N9727"/>
      <c r="O9727" s="24"/>
      <c r="P9727"/>
      <c r="Q9727" s="24"/>
      <c r="R9727"/>
      <c r="S9727"/>
      <c r="T9727"/>
      <c r="U9727"/>
      <c r="X9727" s="60"/>
    </row>
    <row r="9728" spans="7:24" ht="15" customHeight="1">
      <c r="G9728"/>
      <c r="I9728"/>
      <c r="N9728"/>
      <c r="O9728" s="24"/>
      <c r="P9728"/>
      <c r="Q9728" s="24"/>
      <c r="R9728"/>
      <c r="S9728"/>
      <c r="T9728"/>
      <c r="U9728"/>
      <c r="X9728" s="60"/>
    </row>
    <row r="9729" spans="7:24" ht="15" customHeight="1">
      <c r="G9729"/>
      <c r="I9729"/>
      <c r="N9729"/>
      <c r="O9729" s="24"/>
      <c r="P9729"/>
      <c r="Q9729" s="24"/>
      <c r="R9729"/>
      <c r="S9729"/>
      <c r="T9729"/>
      <c r="U9729"/>
      <c r="X9729" s="60"/>
    </row>
    <row r="9730" spans="7:24" ht="15" customHeight="1">
      <c r="G9730"/>
      <c r="I9730"/>
      <c r="N9730"/>
      <c r="O9730" s="24"/>
      <c r="P9730"/>
      <c r="Q9730" s="24"/>
      <c r="R9730"/>
      <c r="S9730"/>
      <c r="T9730"/>
      <c r="U9730"/>
      <c r="X9730" s="60"/>
    </row>
    <row r="9731" spans="7:24" ht="15" customHeight="1">
      <c r="G9731"/>
      <c r="I9731"/>
      <c r="N9731"/>
      <c r="O9731" s="24"/>
      <c r="P9731"/>
      <c r="Q9731" s="24"/>
      <c r="R9731"/>
      <c r="S9731"/>
      <c r="T9731"/>
      <c r="U9731"/>
      <c r="X9731" s="60"/>
    </row>
    <row r="9732" spans="7:24" ht="15" customHeight="1">
      <c r="G9732"/>
      <c r="I9732"/>
      <c r="N9732"/>
      <c r="O9732" s="24"/>
      <c r="P9732"/>
      <c r="Q9732" s="24"/>
      <c r="R9732"/>
      <c r="S9732"/>
      <c r="T9732"/>
      <c r="U9732"/>
      <c r="X9732" s="60"/>
    </row>
    <row r="9733" spans="7:24" ht="15" customHeight="1">
      <c r="G9733"/>
      <c r="I9733"/>
      <c r="N9733"/>
      <c r="O9733" s="24"/>
      <c r="P9733"/>
      <c r="Q9733" s="24"/>
      <c r="R9733"/>
      <c r="S9733"/>
      <c r="T9733"/>
      <c r="U9733"/>
      <c r="X9733" s="60"/>
    </row>
    <row r="9734" spans="7:24" ht="15" customHeight="1">
      <c r="G9734"/>
      <c r="I9734"/>
      <c r="N9734"/>
      <c r="O9734" s="24"/>
      <c r="P9734"/>
      <c r="Q9734" s="24"/>
      <c r="R9734"/>
      <c r="S9734"/>
      <c r="T9734"/>
      <c r="U9734"/>
      <c r="X9734" s="60"/>
    </row>
    <row r="9735" spans="7:24" ht="15" customHeight="1">
      <c r="G9735"/>
      <c r="I9735"/>
      <c r="N9735"/>
      <c r="O9735" s="24"/>
      <c r="P9735"/>
      <c r="Q9735" s="24"/>
      <c r="R9735"/>
      <c r="S9735"/>
      <c r="T9735"/>
      <c r="U9735"/>
      <c r="X9735" s="60"/>
    </row>
    <row r="9736" spans="7:24" ht="15" customHeight="1">
      <c r="G9736"/>
      <c r="I9736"/>
      <c r="N9736"/>
      <c r="O9736" s="24"/>
      <c r="P9736"/>
      <c r="Q9736" s="24"/>
      <c r="R9736"/>
      <c r="S9736"/>
      <c r="T9736"/>
      <c r="U9736"/>
      <c r="X9736" s="60"/>
    </row>
    <row r="9737" spans="7:24" ht="15" customHeight="1">
      <c r="G9737"/>
      <c r="I9737"/>
      <c r="N9737"/>
      <c r="O9737" s="24"/>
      <c r="P9737"/>
      <c r="Q9737" s="24"/>
      <c r="R9737"/>
      <c r="S9737"/>
      <c r="T9737"/>
      <c r="U9737"/>
      <c r="X9737" s="60"/>
    </row>
    <row r="9738" spans="7:24" ht="15" customHeight="1">
      <c r="G9738"/>
      <c r="I9738"/>
      <c r="N9738"/>
      <c r="O9738" s="24"/>
      <c r="P9738"/>
      <c r="Q9738" s="24"/>
      <c r="R9738"/>
      <c r="S9738"/>
      <c r="T9738"/>
      <c r="U9738"/>
      <c r="X9738" s="60"/>
    </row>
    <row r="9739" spans="7:24" ht="15" customHeight="1">
      <c r="G9739"/>
      <c r="I9739"/>
      <c r="N9739"/>
      <c r="O9739" s="24"/>
      <c r="P9739"/>
      <c r="Q9739" s="24"/>
      <c r="R9739"/>
      <c r="S9739"/>
      <c r="T9739"/>
      <c r="U9739"/>
      <c r="X9739" s="60"/>
    </row>
    <row r="9740" spans="7:24" ht="15" customHeight="1">
      <c r="G9740"/>
      <c r="I9740"/>
      <c r="N9740"/>
      <c r="O9740" s="24"/>
      <c r="P9740"/>
      <c r="Q9740" s="24"/>
      <c r="R9740"/>
      <c r="S9740"/>
      <c r="T9740"/>
      <c r="U9740"/>
      <c r="X9740" s="60"/>
    </row>
    <row r="9741" spans="7:24" ht="15" customHeight="1">
      <c r="G9741"/>
      <c r="I9741"/>
      <c r="N9741"/>
      <c r="O9741" s="24"/>
      <c r="P9741"/>
      <c r="Q9741" s="24"/>
      <c r="R9741"/>
      <c r="S9741"/>
      <c r="T9741"/>
      <c r="U9741"/>
      <c r="X9741" s="60"/>
    </row>
    <row r="9742" spans="7:24" ht="15" customHeight="1">
      <c r="G9742"/>
      <c r="I9742"/>
      <c r="N9742"/>
      <c r="O9742" s="24"/>
      <c r="P9742"/>
      <c r="Q9742" s="24"/>
      <c r="R9742"/>
      <c r="S9742"/>
      <c r="T9742"/>
      <c r="U9742"/>
      <c r="X9742" s="60"/>
    </row>
    <row r="9743" spans="7:24" ht="15" customHeight="1">
      <c r="G9743"/>
      <c r="I9743"/>
      <c r="N9743"/>
      <c r="O9743" s="24"/>
      <c r="P9743"/>
      <c r="Q9743" s="24"/>
      <c r="R9743"/>
      <c r="S9743"/>
      <c r="T9743"/>
      <c r="U9743"/>
      <c r="X9743" s="60"/>
    </row>
    <row r="9744" spans="7:24" ht="15" customHeight="1">
      <c r="G9744"/>
      <c r="I9744"/>
      <c r="N9744"/>
      <c r="O9744" s="24"/>
      <c r="P9744"/>
      <c r="Q9744" s="24"/>
      <c r="R9744"/>
      <c r="S9744"/>
      <c r="T9744"/>
      <c r="U9744"/>
      <c r="X9744" s="60"/>
    </row>
    <row r="9745" spans="7:24" ht="15" customHeight="1">
      <c r="G9745"/>
      <c r="I9745"/>
      <c r="N9745"/>
      <c r="O9745" s="24"/>
      <c r="P9745"/>
      <c r="Q9745" s="24"/>
      <c r="R9745"/>
      <c r="S9745"/>
      <c r="T9745"/>
      <c r="U9745"/>
      <c r="X9745" s="60"/>
    </row>
    <row r="9746" spans="7:24" ht="15" customHeight="1">
      <c r="G9746"/>
      <c r="I9746"/>
      <c r="N9746"/>
      <c r="O9746" s="24"/>
      <c r="P9746"/>
      <c r="Q9746" s="24"/>
      <c r="R9746"/>
      <c r="S9746"/>
      <c r="T9746"/>
      <c r="U9746"/>
      <c r="X9746" s="60"/>
    </row>
    <row r="9747" spans="7:24" ht="15" customHeight="1">
      <c r="G9747"/>
      <c r="I9747"/>
      <c r="N9747"/>
      <c r="O9747" s="24"/>
      <c r="P9747"/>
      <c r="Q9747" s="24"/>
      <c r="R9747"/>
      <c r="S9747"/>
      <c r="T9747"/>
      <c r="U9747"/>
      <c r="X9747" s="60"/>
    </row>
    <row r="9748" spans="7:24" ht="15" customHeight="1">
      <c r="G9748"/>
      <c r="I9748"/>
      <c r="N9748"/>
      <c r="O9748" s="24"/>
      <c r="P9748"/>
      <c r="Q9748" s="24"/>
      <c r="R9748"/>
      <c r="S9748"/>
      <c r="T9748"/>
      <c r="U9748"/>
      <c r="X9748" s="60"/>
    </row>
    <row r="9749" spans="7:24" ht="15" customHeight="1">
      <c r="G9749"/>
      <c r="I9749"/>
      <c r="N9749"/>
      <c r="O9749" s="24"/>
      <c r="P9749"/>
      <c r="Q9749" s="24"/>
      <c r="R9749"/>
      <c r="S9749"/>
      <c r="T9749"/>
      <c r="U9749"/>
      <c r="X9749" s="60"/>
    </row>
    <row r="9750" spans="7:24" ht="15" customHeight="1">
      <c r="G9750"/>
      <c r="I9750"/>
      <c r="N9750"/>
      <c r="O9750" s="24"/>
      <c r="P9750"/>
      <c r="Q9750" s="24"/>
      <c r="R9750"/>
      <c r="S9750"/>
      <c r="T9750"/>
      <c r="U9750"/>
      <c r="X9750" s="60"/>
    </row>
    <row r="9751" spans="7:24" ht="15" customHeight="1">
      <c r="G9751"/>
      <c r="I9751"/>
      <c r="N9751"/>
      <c r="O9751" s="24"/>
      <c r="P9751"/>
      <c r="Q9751" s="24"/>
      <c r="R9751"/>
      <c r="S9751"/>
      <c r="T9751"/>
      <c r="U9751"/>
      <c r="X9751" s="60"/>
    </row>
    <row r="9752" spans="7:24" ht="15" customHeight="1">
      <c r="G9752"/>
      <c r="I9752"/>
      <c r="N9752"/>
      <c r="O9752" s="24"/>
      <c r="P9752"/>
      <c r="Q9752" s="24"/>
      <c r="R9752"/>
      <c r="S9752"/>
      <c r="T9752"/>
      <c r="U9752"/>
      <c r="X9752" s="60"/>
    </row>
    <row r="9753" spans="7:24" ht="15" customHeight="1">
      <c r="G9753"/>
      <c r="I9753"/>
      <c r="N9753"/>
      <c r="O9753" s="24"/>
      <c r="P9753"/>
      <c r="Q9753" s="24"/>
      <c r="R9753"/>
      <c r="S9753"/>
      <c r="T9753"/>
      <c r="U9753"/>
      <c r="X9753" s="60"/>
    </row>
    <row r="9754" spans="7:24" ht="15" customHeight="1">
      <c r="G9754"/>
      <c r="I9754"/>
      <c r="N9754"/>
      <c r="O9754" s="24"/>
      <c r="P9754"/>
      <c r="Q9754" s="24"/>
      <c r="R9754"/>
      <c r="S9754"/>
      <c r="T9754"/>
      <c r="U9754"/>
      <c r="X9754" s="60"/>
    </row>
    <row r="9755" spans="7:24" ht="15" customHeight="1">
      <c r="G9755"/>
      <c r="I9755"/>
      <c r="N9755"/>
      <c r="O9755" s="24"/>
      <c r="P9755"/>
      <c r="Q9755" s="24"/>
      <c r="R9755"/>
      <c r="S9755"/>
      <c r="T9755"/>
      <c r="U9755"/>
      <c r="X9755" s="60"/>
    </row>
    <row r="9756" spans="7:24" ht="15" customHeight="1">
      <c r="G9756"/>
      <c r="I9756"/>
      <c r="N9756"/>
      <c r="O9756" s="24"/>
      <c r="P9756"/>
      <c r="Q9756" s="24"/>
      <c r="R9756"/>
      <c r="S9756"/>
      <c r="T9756"/>
      <c r="U9756"/>
      <c r="X9756" s="60"/>
    </row>
    <row r="9757" spans="7:24" ht="15" customHeight="1">
      <c r="G9757"/>
      <c r="I9757"/>
      <c r="N9757"/>
      <c r="O9757" s="24"/>
      <c r="P9757"/>
      <c r="Q9757" s="24"/>
      <c r="R9757"/>
      <c r="S9757"/>
      <c r="T9757"/>
      <c r="U9757"/>
      <c r="X9757" s="60"/>
    </row>
    <row r="9758" spans="7:24" ht="15" customHeight="1">
      <c r="G9758"/>
      <c r="I9758"/>
      <c r="N9758"/>
      <c r="O9758" s="24"/>
      <c r="P9758"/>
      <c r="Q9758" s="24"/>
      <c r="R9758"/>
      <c r="S9758"/>
      <c r="T9758"/>
      <c r="U9758"/>
      <c r="X9758" s="60"/>
    </row>
    <row r="9759" spans="7:24" ht="15" customHeight="1">
      <c r="G9759"/>
      <c r="I9759"/>
      <c r="N9759"/>
      <c r="O9759" s="24"/>
      <c r="P9759"/>
      <c r="Q9759" s="24"/>
      <c r="R9759"/>
      <c r="S9759"/>
      <c r="T9759"/>
      <c r="U9759"/>
      <c r="X9759" s="60"/>
    </row>
    <row r="9760" spans="7:24" ht="15" customHeight="1">
      <c r="G9760"/>
      <c r="I9760"/>
      <c r="N9760"/>
      <c r="O9760" s="24"/>
      <c r="P9760"/>
      <c r="Q9760" s="24"/>
      <c r="R9760"/>
      <c r="S9760"/>
      <c r="T9760"/>
      <c r="U9760"/>
      <c r="X9760" s="60"/>
    </row>
    <row r="9761" spans="7:24" ht="15" customHeight="1">
      <c r="G9761"/>
      <c r="I9761"/>
      <c r="N9761"/>
      <c r="O9761" s="24"/>
      <c r="P9761"/>
      <c r="Q9761" s="24"/>
      <c r="R9761"/>
      <c r="S9761"/>
      <c r="T9761"/>
      <c r="U9761"/>
      <c r="X9761" s="60"/>
    </row>
    <row r="9762" spans="7:24" ht="15" customHeight="1">
      <c r="G9762"/>
      <c r="I9762"/>
      <c r="N9762"/>
      <c r="O9762" s="24"/>
      <c r="P9762"/>
      <c r="Q9762" s="24"/>
      <c r="R9762"/>
      <c r="S9762"/>
      <c r="T9762"/>
      <c r="U9762"/>
      <c r="X9762" s="60"/>
    </row>
    <row r="9763" spans="7:24" ht="15" customHeight="1">
      <c r="G9763"/>
      <c r="I9763"/>
      <c r="N9763"/>
      <c r="O9763" s="24"/>
      <c r="P9763"/>
      <c r="Q9763" s="24"/>
      <c r="R9763"/>
      <c r="S9763"/>
      <c r="T9763"/>
      <c r="U9763"/>
      <c r="X9763" s="60"/>
    </row>
    <row r="9764" spans="7:24" ht="15" customHeight="1">
      <c r="G9764"/>
      <c r="I9764"/>
      <c r="N9764"/>
      <c r="O9764" s="24"/>
      <c r="P9764"/>
      <c r="Q9764" s="24"/>
      <c r="R9764"/>
      <c r="S9764"/>
      <c r="T9764"/>
      <c r="U9764"/>
      <c r="X9764" s="60"/>
    </row>
    <row r="9765" spans="7:24" ht="15" customHeight="1">
      <c r="G9765"/>
      <c r="I9765"/>
      <c r="N9765"/>
      <c r="O9765" s="24"/>
      <c r="P9765"/>
      <c r="Q9765" s="24"/>
      <c r="R9765"/>
      <c r="S9765"/>
      <c r="T9765"/>
      <c r="U9765"/>
      <c r="X9765" s="60"/>
    </row>
    <row r="9766" spans="7:24" ht="15" customHeight="1">
      <c r="G9766"/>
      <c r="I9766"/>
      <c r="N9766"/>
      <c r="O9766" s="24"/>
      <c r="P9766"/>
      <c r="Q9766" s="24"/>
      <c r="R9766"/>
      <c r="S9766"/>
      <c r="T9766"/>
      <c r="U9766"/>
      <c r="X9766" s="60"/>
    </row>
    <row r="9767" spans="7:24" ht="15" customHeight="1">
      <c r="G9767"/>
      <c r="I9767"/>
      <c r="N9767"/>
      <c r="O9767" s="24"/>
      <c r="P9767"/>
      <c r="Q9767" s="24"/>
      <c r="R9767"/>
      <c r="S9767"/>
      <c r="T9767"/>
      <c r="U9767"/>
      <c r="X9767" s="60"/>
    </row>
    <row r="9768" spans="7:24" ht="15" customHeight="1">
      <c r="G9768"/>
      <c r="I9768"/>
      <c r="N9768"/>
      <c r="O9768" s="24"/>
      <c r="P9768"/>
      <c r="Q9768" s="24"/>
      <c r="R9768"/>
      <c r="S9768"/>
      <c r="T9768"/>
      <c r="U9768"/>
      <c r="X9768" s="60"/>
    </row>
    <row r="9769" spans="7:24" ht="15" customHeight="1">
      <c r="G9769"/>
      <c r="I9769"/>
      <c r="N9769"/>
      <c r="O9769" s="24"/>
      <c r="P9769"/>
      <c r="Q9769" s="24"/>
      <c r="R9769"/>
      <c r="S9769"/>
      <c r="T9769"/>
      <c r="U9769"/>
      <c r="X9769" s="60"/>
    </row>
    <row r="9770" spans="7:24" ht="15" customHeight="1">
      <c r="G9770"/>
      <c r="I9770"/>
      <c r="N9770"/>
      <c r="O9770" s="24"/>
      <c r="P9770"/>
      <c r="Q9770" s="24"/>
      <c r="R9770"/>
      <c r="S9770"/>
      <c r="T9770"/>
      <c r="U9770"/>
      <c r="X9770" s="60"/>
    </row>
    <row r="9771" spans="7:24" ht="15" customHeight="1">
      <c r="G9771"/>
      <c r="I9771"/>
      <c r="N9771"/>
      <c r="O9771" s="24"/>
      <c r="P9771"/>
      <c r="Q9771" s="24"/>
      <c r="R9771"/>
      <c r="S9771"/>
      <c r="T9771"/>
      <c r="U9771"/>
      <c r="X9771" s="60"/>
    </row>
    <row r="9772" spans="7:24" ht="15" customHeight="1">
      <c r="G9772"/>
      <c r="I9772"/>
      <c r="N9772"/>
      <c r="O9772" s="24"/>
      <c r="P9772"/>
      <c r="Q9772" s="24"/>
      <c r="R9772"/>
      <c r="S9772"/>
      <c r="T9772"/>
      <c r="U9772"/>
      <c r="X9772" s="60"/>
    </row>
    <row r="9773" spans="7:24" ht="15" customHeight="1">
      <c r="G9773"/>
      <c r="I9773"/>
      <c r="N9773"/>
      <c r="O9773" s="24"/>
      <c r="P9773"/>
      <c r="Q9773" s="24"/>
      <c r="R9773"/>
      <c r="S9773"/>
      <c r="T9773"/>
      <c r="U9773"/>
      <c r="X9773" s="60"/>
    </row>
    <row r="9774" spans="7:24" ht="15" customHeight="1">
      <c r="G9774"/>
      <c r="I9774"/>
      <c r="N9774"/>
      <c r="O9774" s="24"/>
      <c r="P9774"/>
      <c r="Q9774" s="24"/>
      <c r="R9774"/>
      <c r="S9774"/>
      <c r="T9774"/>
      <c r="U9774"/>
      <c r="X9774" s="60"/>
    </row>
    <row r="9775" spans="7:24" ht="15" customHeight="1">
      <c r="G9775"/>
      <c r="I9775"/>
      <c r="N9775"/>
      <c r="O9775" s="24"/>
      <c r="P9775"/>
      <c r="Q9775" s="24"/>
      <c r="R9775"/>
      <c r="S9775"/>
      <c r="T9775"/>
      <c r="U9775"/>
      <c r="X9775" s="60"/>
    </row>
    <row r="9776" spans="7:24" ht="15" customHeight="1">
      <c r="G9776"/>
      <c r="I9776"/>
      <c r="N9776"/>
      <c r="O9776" s="24"/>
      <c r="P9776"/>
      <c r="Q9776" s="24"/>
      <c r="R9776"/>
      <c r="S9776"/>
      <c r="T9776"/>
      <c r="U9776"/>
      <c r="X9776" s="60"/>
    </row>
    <row r="9777" spans="7:24" ht="15" customHeight="1">
      <c r="G9777"/>
      <c r="I9777"/>
      <c r="N9777"/>
      <c r="O9777" s="24"/>
      <c r="P9777"/>
      <c r="Q9777" s="24"/>
      <c r="R9777"/>
      <c r="S9777"/>
      <c r="T9777"/>
      <c r="U9777"/>
      <c r="X9777" s="60"/>
    </row>
    <row r="9778" spans="7:24" ht="15" customHeight="1">
      <c r="G9778"/>
      <c r="I9778"/>
      <c r="N9778"/>
      <c r="O9778" s="24"/>
      <c r="P9778"/>
      <c r="Q9778" s="24"/>
      <c r="R9778"/>
      <c r="S9778"/>
      <c r="T9778"/>
      <c r="U9778"/>
      <c r="X9778" s="60"/>
    </row>
    <row r="9779" spans="7:24" ht="15" customHeight="1">
      <c r="G9779"/>
      <c r="I9779"/>
      <c r="N9779"/>
      <c r="O9779" s="24"/>
      <c r="P9779"/>
      <c r="Q9779" s="24"/>
      <c r="R9779"/>
      <c r="S9779"/>
      <c r="T9779"/>
      <c r="U9779"/>
      <c r="X9779" s="60"/>
    </row>
    <row r="9780" spans="7:24" ht="15" customHeight="1">
      <c r="G9780"/>
      <c r="I9780"/>
      <c r="N9780"/>
      <c r="O9780" s="24"/>
      <c r="P9780"/>
      <c r="Q9780" s="24"/>
      <c r="R9780"/>
      <c r="S9780"/>
      <c r="T9780"/>
      <c r="U9780"/>
      <c r="X9780" s="60"/>
    </row>
    <row r="9781" spans="7:24" ht="15" customHeight="1">
      <c r="G9781"/>
      <c r="I9781"/>
      <c r="N9781"/>
      <c r="O9781" s="24"/>
      <c r="P9781"/>
      <c r="Q9781" s="24"/>
      <c r="R9781"/>
      <c r="S9781"/>
      <c r="T9781"/>
      <c r="U9781"/>
      <c r="X9781" s="60"/>
    </row>
    <row r="9782" spans="7:24" ht="15" customHeight="1">
      <c r="G9782"/>
      <c r="I9782"/>
      <c r="N9782"/>
      <c r="O9782" s="24"/>
      <c r="P9782"/>
      <c r="Q9782" s="24"/>
      <c r="R9782"/>
      <c r="S9782"/>
      <c r="T9782"/>
      <c r="U9782"/>
      <c r="X9782" s="60"/>
    </row>
    <row r="9783" spans="7:24" ht="15" customHeight="1">
      <c r="G9783"/>
      <c r="I9783"/>
      <c r="N9783"/>
      <c r="O9783" s="24"/>
      <c r="P9783"/>
      <c r="Q9783" s="24"/>
      <c r="R9783"/>
      <c r="S9783"/>
      <c r="T9783"/>
      <c r="U9783"/>
      <c r="X9783" s="60"/>
    </row>
    <row r="9784" spans="7:24" ht="15" customHeight="1">
      <c r="G9784"/>
      <c r="I9784"/>
      <c r="N9784"/>
      <c r="O9784" s="24"/>
      <c r="P9784"/>
      <c r="Q9784" s="24"/>
      <c r="R9784"/>
      <c r="S9784"/>
      <c r="T9784"/>
      <c r="U9784"/>
      <c r="X9784" s="60"/>
    </row>
    <row r="9785" spans="7:24" ht="15" customHeight="1">
      <c r="G9785"/>
      <c r="I9785"/>
      <c r="N9785"/>
      <c r="O9785" s="24"/>
      <c r="P9785"/>
      <c r="Q9785" s="24"/>
      <c r="R9785"/>
      <c r="S9785"/>
      <c r="T9785"/>
      <c r="U9785"/>
      <c r="X9785" s="60"/>
    </row>
    <row r="9786" spans="7:24" ht="15" customHeight="1">
      <c r="G9786"/>
      <c r="I9786"/>
      <c r="N9786"/>
      <c r="O9786" s="24"/>
      <c r="P9786"/>
      <c r="Q9786" s="24"/>
      <c r="R9786"/>
      <c r="S9786"/>
      <c r="T9786"/>
      <c r="U9786"/>
      <c r="X9786" s="60"/>
    </row>
    <row r="9787" spans="7:24" ht="15" customHeight="1">
      <c r="G9787"/>
      <c r="I9787"/>
      <c r="N9787"/>
      <c r="O9787" s="24"/>
      <c r="P9787"/>
      <c r="Q9787" s="24"/>
      <c r="R9787"/>
      <c r="S9787"/>
      <c r="T9787"/>
      <c r="U9787"/>
      <c r="X9787" s="60"/>
    </row>
    <row r="9788" spans="7:24" ht="15" customHeight="1">
      <c r="G9788"/>
      <c r="I9788"/>
      <c r="N9788"/>
      <c r="O9788" s="24"/>
      <c r="P9788"/>
      <c r="Q9788" s="24"/>
      <c r="R9788"/>
      <c r="S9788"/>
      <c r="T9788"/>
      <c r="U9788"/>
      <c r="X9788" s="60"/>
    </row>
    <row r="9789" spans="7:24" ht="15" customHeight="1">
      <c r="G9789"/>
      <c r="I9789"/>
      <c r="N9789"/>
      <c r="O9789" s="24"/>
      <c r="P9789"/>
      <c r="Q9789" s="24"/>
      <c r="R9789"/>
      <c r="S9789"/>
      <c r="T9789"/>
      <c r="U9789"/>
      <c r="X9789" s="60"/>
    </row>
    <row r="9790" spans="7:24" ht="15" customHeight="1">
      <c r="G9790"/>
      <c r="I9790"/>
      <c r="N9790"/>
      <c r="O9790" s="24"/>
      <c r="P9790"/>
      <c r="Q9790" s="24"/>
      <c r="R9790"/>
      <c r="S9790"/>
      <c r="T9790"/>
      <c r="U9790"/>
      <c r="X9790" s="60"/>
    </row>
    <row r="9791" spans="7:24" ht="15" customHeight="1">
      <c r="G9791"/>
      <c r="I9791"/>
      <c r="N9791"/>
      <c r="O9791" s="24"/>
      <c r="P9791"/>
      <c r="Q9791" s="24"/>
      <c r="R9791"/>
      <c r="S9791"/>
      <c r="T9791"/>
      <c r="U9791"/>
      <c r="X9791" s="60"/>
    </row>
    <row r="9792" spans="7:24" ht="15" customHeight="1">
      <c r="G9792"/>
      <c r="I9792"/>
      <c r="N9792"/>
      <c r="O9792" s="24"/>
      <c r="P9792"/>
      <c r="Q9792" s="24"/>
      <c r="R9792"/>
      <c r="S9792"/>
      <c r="T9792"/>
      <c r="U9792"/>
      <c r="X9792" s="60"/>
    </row>
    <row r="9793" spans="7:24" ht="15" customHeight="1">
      <c r="G9793"/>
      <c r="I9793"/>
      <c r="N9793"/>
      <c r="O9793" s="24"/>
      <c r="P9793"/>
      <c r="Q9793" s="24"/>
      <c r="R9793"/>
      <c r="S9793"/>
      <c r="T9793"/>
      <c r="U9793"/>
      <c r="X9793" s="60"/>
    </row>
    <row r="9794" spans="7:24" ht="15" customHeight="1">
      <c r="G9794"/>
      <c r="I9794"/>
      <c r="N9794"/>
      <c r="O9794" s="24"/>
      <c r="P9794"/>
      <c r="Q9794" s="24"/>
      <c r="R9794"/>
      <c r="S9794"/>
      <c r="T9794"/>
      <c r="U9794"/>
      <c r="X9794" s="60"/>
    </row>
    <row r="9795" spans="7:24" ht="15" customHeight="1">
      <c r="G9795"/>
      <c r="I9795"/>
      <c r="N9795"/>
      <c r="O9795" s="24"/>
      <c r="P9795"/>
      <c r="Q9795" s="24"/>
      <c r="R9795"/>
      <c r="S9795"/>
      <c r="T9795"/>
      <c r="U9795"/>
      <c r="X9795" s="60"/>
    </row>
    <row r="9796" spans="7:24" ht="15" customHeight="1">
      <c r="G9796"/>
      <c r="I9796"/>
      <c r="N9796"/>
      <c r="O9796" s="24"/>
      <c r="P9796"/>
      <c r="Q9796" s="24"/>
      <c r="R9796"/>
      <c r="S9796"/>
      <c r="T9796"/>
      <c r="U9796"/>
      <c r="X9796" s="60"/>
    </row>
    <row r="9797" spans="7:24" ht="15" customHeight="1">
      <c r="G9797"/>
      <c r="I9797"/>
      <c r="N9797"/>
      <c r="O9797" s="24"/>
      <c r="P9797"/>
      <c r="Q9797" s="24"/>
      <c r="R9797"/>
      <c r="S9797"/>
      <c r="T9797"/>
      <c r="U9797"/>
      <c r="X9797" s="60"/>
    </row>
    <row r="9798" spans="7:24" ht="15" customHeight="1">
      <c r="G9798"/>
      <c r="I9798"/>
      <c r="N9798"/>
      <c r="O9798" s="24"/>
      <c r="P9798"/>
      <c r="Q9798" s="24"/>
      <c r="R9798"/>
      <c r="S9798"/>
      <c r="T9798"/>
      <c r="U9798"/>
      <c r="X9798" s="60"/>
    </row>
    <row r="9799" spans="7:24" ht="15" customHeight="1">
      <c r="G9799"/>
      <c r="I9799"/>
      <c r="N9799"/>
      <c r="O9799" s="24"/>
      <c r="P9799"/>
      <c r="Q9799" s="24"/>
      <c r="R9799"/>
      <c r="S9799"/>
      <c r="T9799"/>
      <c r="U9799"/>
      <c r="X9799" s="60"/>
    </row>
    <row r="9800" spans="7:24" ht="15" customHeight="1">
      <c r="G9800"/>
      <c r="I9800"/>
      <c r="N9800"/>
      <c r="O9800" s="24"/>
      <c r="P9800"/>
      <c r="Q9800" s="24"/>
      <c r="R9800"/>
      <c r="S9800"/>
      <c r="T9800"/>
      <c r="U9800"/>
      <c r="X9800" s="60"/>
    </row>
    <row r="9801" spans="7:24" ht="15" customHeight="1">
      <c r="G9801"/>
      <c r="I9801"/>
      <c r="N9801"/>
      <c r="O9801" s="24"/>
      <c r="P9801"/>
      <c r="Q9801" s="24"/>
      <c r="R9801"/>
      <c r="S9801"/>
      <c r="T9801"/>
      <c r="U9801"/>
      <c r="X9801" s="60"/>
    </row>
    <row r="9802" spans="7:24" ht="15" customHeight="1">
      <c r="G9802"/>
      <c r="I9802"/>
      <c r="N9802"/>
      <c r="O9802" s="24"/>
      <c r="P9802"/>
      <c r="Q9802" s="24"/>
      <c r="R9802"/>
      <c r="S9802"/>
      <c r="T9802"/>
      <c r="U9802"/>
      <c r="X9802" s="60"/>
    </row>
    <row r="9803" spans="7:24" ht="15" customHeight="1">
      <c r="G9803"/>
      <c r="I9803"/>
      <c r="N9803"/>
      <c r="O9803" s="24"/>
      <c r="P9803"/>
      <c r="Q9803" s="24"/>
      <c r="R9803"/>
      <c r="S9803"/>
      <c r="T9803"/>
      <c r="U9803"/>
      <c r="X9803" s="60"/>
    </row>
    <row r="9804" spans="7:24" ht="15" customHeight="1">
      <c r="G9804"/>
      <c r="I9804"/>
      <c r="N9804"/>
      <c r="O9804" s="24"/>
      <c r="P9804"/>
      <c r="Q9804" s="24"/>
      <c r="R9804"/>
      <c r="S9804"/>
      <c r="T9804"/>
      <c r="U9804"/>
      <c r="X9804" s="60"/>
    </row>
    <row r="9805" spans="7:24" ht="15" customHeight="1">
      <c r="G9805"/>
      <c r="I9805"/>
      <c r="N9805"/>
      <c r="O9805" s="24"/>
      <c r="P9805"/>
      <c r="Q9805" s="24"/>
      <c r="R9805"/>
      <c r="S9805"/>
      <c r="T9805"/>
      <c r="U9805"/>
      <c r="X9805" s="60"/>
    </row>
    <row r="9806" spans="7:24" ht="15" customHeight="1">
      <c r="G9806"/>
      <c r="I9806"/>
      <c r="N9806"/>
      <c r="O9806" s="24"/>
      <c r="P9806"/>
      <c r="Q9806" s="24"/>
      <c r="R9806"/>
      <c r="S9806"/>
      <c r="T9806"/>
      <c r="U9806"/>
      <c r="X9806" s="60"/>
    </row>
    <row r="9807" spans="7:24" ht="15" customHeight="1">
      <c r="G9807"/>
      <c r="I9807"/>
      <c r="N9807"/>
      <c r="O9807" s="24"/>
      <c r="P9807"/>
      <c r="Q9807" s="24"/>
      <c r="R9807"/>
      <c r="S9807"/>
      <c r="T9807"/>
      <c r="U9807"/>
      <c r="X9807" s="60"/>
    </row>
    <row r="9808" spans="7:24" ht="15" customHeight="1">
      <c r="G9808"/>
      <c r="I9808"/>
      <c r="N9808"/>
      <c r="O9808" s="24"/>
      <c r="P9808"/>
      <c r="Q9808" s="24"/>
      <c r="R9808"/>
      <c r="S9808"/>
      <c r="T9808"/>
      <c r="U9808"/>
      <c r="X9808" s="60"/>
    </row>
    <row r="9809" spans="7:24" ht="15" customHeight="1">
      <c r="G9809"/>
      <c r="I9809"/>
      <c r="N9809"/>
      <c r="O9809" s="24"/>
      <c r="P9809"/>
      <c r="Q9809" s="24"/>
      <c r="R9809"/>
      <c r="S9809"/>
      <c r="T9809"/>
      <c r="U9809"/>
      <c r="X9809" s="60"/>
    </row>
    <row r="9810" spans="7:24" ht="15" customHeight="1">
      <c r="G9810"/>
      <c r="I9810"/>
      <c r="N9810"/>
      <c r="O9810" s="24"/>
      <c r="P9810"/>
      <c r="Q9810" s="24"/>
      <c r="R9810"/>
      <c r="S9810"/>
      <c r="T9810"/>
      <c r="U9810"/>
      <c r="X9810" s="60"/>
    </row>
    <row r="9811" spans="7:24" ht="15" customHeight="1">
      <c r="G9811"/>
      <c r="I9811"/>
      <c r="N9811"/>
      <c r="O9811" s="24"/>
      <c r="P9811"/>
      <c r="Q9811" s="24"/>
      <c r="R9811"/>
      <c r="S9811"/>
      <c r="T9811"/>
      <c r="U9811"/>
      <c r="X9811" s="60"/>
    </row>
    <row r="9812" spans="7:24" ht="15" customHeight="1">
      <c r="G9812"/>
      <c r="I9812"/>
      <c r="N9812"/>
      <c r="O9812" s="24"/>
      <c r="P9812"/>
      <c r="Q9812" s="24"/>
      <c r="R9812"/>
      <c r="S9812"/>
      <c r="T9812"/>
      <c r="U9812"/>
      <c r="X9812" s="60"/>
    </row>
    <row r="9813" spans="7:24" ht="15" customHeight="1">
      <c r="G9813"/>
      <c r="I9813"/>
      <c r="N9813"/>
      <c r="O9813" s="24"/>
      <c r="P9813"/>
      <c r="Q9813" s="24"/>
      <c r="R9813"/>
      <c r="S9813"/>
      <c r="T9813"/>
      <c r="U9813"/>
      <c r="X9813" s="60"/>
    </row>
    <row r="9814" spans="7:24" ht="15" customHeight="1">
      <c r="G9814"/>
      <c r="I9814"/>
      <c r="N9814"/>
      <c r="O9814" s="24"/>
      <c r="P9814"/>
      <c r="Q9814" s="24"/>
      <c r="R9814"/>
      <c r="S9814"/>
      <c r="T9814"/>
      <c r="U9814"/>
      <c r="X9814" s="60"/>
    </row>
    <row r="9815" spans="7:24" ht="15" customHeight="1">
      <c r="G9815"/>
      <c r="I9815"/>
      <c r="N9815"/>
      <c r="O9815" s="24"/>
      <c r="P9815"/>
      <c r="Q9815" s="24"/>
      <c r="R9815"/>
      <c r="S9815"/>
      <c r="T9815"/>
      <c r="U9815"/>
      <c r="X9815" s="60"/>
    </row>
    <row r="9816" spans="7:24" ht="15" customHeight="1">
      <c r="G9816"/>
      <c r="I9816"/>
      <c r="N9816"/>
      <c r="O9816" s="24"/>
      <c r="P9816"/>
      <c r="Q9816" s="24"/>
      <c r="R9816"/>
      <c r="S9816"/>
      <c r="T9816"/>
      <c r="U9816"/>
      <c r="X9816" s="60"/>
    </row>
    <row r="9817" spans="7:24" ht="15" customHeight="1">
      <c r="G9817"/>
      <c r="I9817"/>
      <c r="N9817"/>
      <c r="O9817" s="24"/>
      <c r="P9817"/>
      <c r="Q9817" s="24"/>
      <c r="R9817"/>
      <c r="S9817"/>
      <c r="T9817"/>
      <c r="U9817"/>
      <c r="X9817" s="60"/>
    </row>
    <row r="9818" spans="7:24" ht="15" customHeight="1">
      <c r="G9818"/>
      <c r="I9818"/>
      <c r="N9818"/>
      <c r="O9818" s="24"/>
      <c r="P9818"/>
      <c r="Q9818" s="24"/>
      <c r="R9818"/>
      <c r="S9818"/>
      <c r="T9818"/>
      <c r="U9818"/>
      <c r="X9818" s="60"/>
    </row>
    <row r="9819" spans="7:24" ht="15" customHeight="1">
      <c r="G9819"/>
      <c r="I9819"/>
      <c r="N9819"/>
      <c r="O9819" s="24"/>
      <c r="P9819"/>
      <c r="Q9819" s="24"/>
      <c r="R9819"/>
      <c r="S9819"/>
      <c r="T9819"/>
      <c r="U9819"/>
      <c r="X9819" s="60"/>
    </row>
    <row r="9820" spans="7:24" ht="15" customHeight="1">
      <c r="G9820"/>
      <c r="I9820"/>
      <c r="N9820"/>
      <c r="O9820" s="24"/>
      <c r="P9820"/>
      <c r="Q9820" s="24"/>
      <c r="R9820"/>
      <c r="S9820"/>
      <c r="T9820"/>
      <c r="U9820"/>
      <c r="X9820" s="60"/>
    </row>
    <row r="9821" spans="7:24" ht="15" customHeight="1">
      <c r="G9821"/>
      <c r="I9821"/>
      <c r="N9821"/>
      <c r="O9821" s="24"/>
      <c r="P9821"/>
      <c r="Q9821" s="24"/>
      <c r="R9821"/>
      <c r="S9821"/>
      <c r="T9821"/>
      <c r="U9821"/>
      <c r="X9821" s="60"/>
    </row>
    <row r="9822" spans="7:24" ht="15" customHeight="1">
      <c r="G9822"/>
      <c r="I9822"/>
      <c r="N9822"/>
      <c r="O9822" s="24"/>
      <c r="P9822"/>
      <c r="Q9822" s="24"/>
      <c r="R9822"/>
      <c r="S9822"/>
      <c r="T9822"/>
      <c r="U9822"/>
      <c r="X9822" s="60"/>
    </row>
    <row r="9823" spans="7:24" ht="15" customHeight="1">
      <c r="G9823"/>
      <c r="I9823"/>
      <c r="N9823"/>
      <c r="O9823" s="24"/>
      <c r="P9823"/>
      <c r="Q9823" s="24"/>
      <c r="R9823"/>
      <c r="S9823"/>
      <c r="T9823"/>
      <c r="U9823"/>
      <c r="X9823" s="60"/>
    </row>
    <row r="9824" spans="7:24" ht="15" customHeight="1">
      <c r="G9824"/>
      <c r="I9824"/>
      <c r="N9824"/>
      <c r="O9824" s="24"/>
      <c r="P9824"/>
      <c r="Q9824" s="24"/>
      <c r="R9824"/>
      <c r="S9824"/>
      <c r="T9824"/>
      <c r="U9824"/>
      <c r="X9824" s="60"/>
    </row>
    <row r="9825" spans="7:24" ht="15" customHeight="1">
      <c r="G9825"/>
      <c r="I9825"/>
      <c r="N9825"/>
      <c r="O9825" s="24"/>
      <c r="P9825"/>
      <c r="Q9825" s="24"/>
      <c r="R9825"/>
      <c r="S9825"/>
      <c r="T9825"/>
      <c r="U9825"/>
      <c r="X9825" s="60"/>
    </row>
    <row r="9826" spans="7:24" ht="15" customHeight="1">
      <c r="G9826"/>
      <c r="I9826"/>
      <c r="N9826"/>
      <c r="O9826" s="24"/>
      <c r="P9826"/>
      <c r="Q9826" s="24"/>
      <c r="R9826"/>
      <c r="S9826"/>
      <c r="T9826"/>
      <c r="U9826"/>
      <c r="X9826" s="60"/>
    </row>
    <row r="9827" spans="7:24" ht="15" customHeight="1">
      <c r="G9827"/>
      <c r="I9827"/>
      <c r="N9827"/>
      <c r="O9827" s="24"/>
      <c r="P9827"/>
      <c r="Q9827" s="24"/>
      <c r="R9827"/>
      <c r="S9827"/>
      <c r="T9827"/>
      <c r="U9827"/>
      <c r="X9827" s="60"/>
    </row>
    <row r="9828" spans="7:24" ht="15" customHeight="1">
      <c r="G9828"/>
      <c r="I9828"/>
      <c r="N9828"/>
      <c r="O9828" s="24"/>
      <c r="P9828"/>
      <c r="Q9828" s="24"/>
      <c r="R9828"/>
      <c r="S9828"/>
      <c r="T9828"/>
      <c r="U9828"/>
      <c r="X9828" s="60"/>
    </row>
    <row r="9829" spans="7:24" ht="15" customHeight="1">
      <c r="G9829"/>
      <c r="I9829"/>
      <c r="N9829"/>
      <c r="O9829" s="24"/>
      <c r="P9829"/>
      <c r="Q9829" s="24"/>
      <c r="R9829"/>
      <c r="S9829"/>
      <c r="T9829"/>
      <c r="U9829"/>
      <c r="X9829" s="60"/>
    </row>
    <row r="9830" spans="7:24" ht="15" customHeight="1">
      <c r="G9830"/>
      <c r="I9830"/>
      <c r="N9830"/>
      <c r="O9830" s="24"/>
      <c r="P9830"/>
      <c r="Q9830" s="24"/>
      <c r="R9830"/>
      <c r="S9830"/>
      <c r="T9830"/>
      <c r="U9830"/>
      <c r="X9830" s="60"/>
    </row>
    <row r="9831" spans="7:24" ht="15" customHeight="1">
      <c r="G9831"/>
      <c r="I9831"/>
      <c r="N9831"/>
      <c r="O9831" s="24"/>
      <c r="P9831"/>
      <c r="Q9831" s="24"/>
      <c r="R9831"/>
      <c r="S9831"/>
      <c r="T9831"/>
      <c r="U9831"/>
      <c r="X9831" s="60"/>
    </row>
    <row r="9832" spans="7:24" ht="15" customHeight="1">
      <c r="G9832"/>
      <c r="I9832"/>
      <c r="N9832"/>
      <c r="O9832" s="24"/>
      <c r="P9832"/>
      <c r="Q9832" s="24"/>
      <c r="R9832"/>
      <c r="S9832"/>
      <c r="T9832"/>
      <c r="U9832"/>
      <c r="X9832" s="60"/>
    </row>
    <row r="9833" spans="7:24" ht="15" customHeight="1">
      <c r="G9833"/>
      <c r="I9833"/>
      <c r="N9833"/>
      <c r="O9833" s="24"/>
      <c r="P9833"/>
      <c r="Q9833" s="24"/>
      <c r="R9833"/>
      <c r="S9833"/>
      <c r="T9833"/>
      <c r="U9833"/>
      <c r="X9833" s="60"/>
    </row>
    <row r="9834" spans="7:24" ht="15" customHeight="1">
      <c r="G9834"/>
      <c r="I9834"/>
      <c r="N9834"/>
      <c r="O9834" s="24"/>
      <c r="P9834"/>
      <c r="Q9834" s="24"/>
      <c r="R9834"/>
      <c r="S9834"/>
      <c r="T9834"/>
      <c r="U9834"/>
      <c r="X9834" s="60"/>
    </row>
    <row r="9835" spans="7:24" ht="15" customHeight="1">
      <c r="G9835"/>
      <c r="I9835"/>
      <c r="N9835"/>
      <c r="O9835" s="24"/>
      <c r="P9835"/>
      <c r="Q9835" s="24"/>
      <c r="R9835"/>
      <c r="S9835"/>
      <c r="T9835"/>
      <c r="U9835"/>
      <c r="X9835" s="60"/>
    </row>
    <row r="9836" spans="7:24" ht="15" customHeight="1">
      <c r="G9836"/>
      <c r="I9836"/>
      <c r="N9836"/>
      <c r="O9836" s="24"/>
      <c r="P9836"/>
      <c r="Q9836" s="24"/>
      <c r="R9836"/>
      <c r="S9836"/>
      <c r="T9836"/>
      <c r="U9836"/>
      <c r="X9836" s="60"/>
    </row>
    <row r="9837" spans="7:24" ht="15" customHeight="1">
      <c r="G9837"/>
      <c r="I9837"/>
      <c r="N9837"/>
      <c r="O9837" s="24"/>
      <c r="P9837"/>
      <c r="Q9837" s="24"/>
      <c r="R9837"/>
      <c r="S9837"/>
      <c r="T9837"/>
      <c r="U9837"/>
      <c r="X9837" s="60"/>
    </row>
    <row r="9838" spans="7:24" ht="15" customHeight="1">
      <c r="G9838"/>
      <c r="I9838"/>
      <c r="N9838"/>
      <c r="O9838" s="24"/>
      <c r="P9838"/>
      <c r="Q9838" s="24"/>
      <c r="R9838"/>
      <c r="S9838"/>
      <c r="T9838"/>
      <c r="U9838"/>
      <c r="X9838" s="60"/>
    </row>
    <row r="9839" spans="7:24" ht="15" customHeight="1">
      <c r="G9839"/>
      <c r="I9839"/>
      <c r="N9839"/>
      <c r="O9839" s="24"/>
      <c r="P9839"/>
      <c r="Q9839" s="24"/>
      <c r="R9839"/>
      <c r="S9839"/>
      <c r="T9839"/>
      <c r="U9839"/>
      <c r="X9839" s="60"/>
    </row>
    <row r="9840" spans="7:24" ht="15" customHeight="1">
      <c r="G9840"/>
      <c r="I9840"/>
      <c r="N9840"/>
      <c r="O9840" s="24"/>
      <c r="P9840"/>
      <c r="Q9840" s="24"/>
      <c r="R9840"/>
      <c r="S9840"/>
      <c r="T9840"/>
      <c r="U9840"/>
      <c r="X9840" s="60"/>
    </row>
    <row r="9841" spans="7:24" ht="15" customHeight="1">
      <c r="G9841"/>
      <c r="I9841"/>
      <c r="N9841"/>
      <c r="O9841" s="24"/>
      <c r="P9841"/>
      <c r="Q9841" s="24"/>
      <c r="R9841"/>
      <c r="S9841"/>
      <c r="T9841"/>
      <c r="U9841"/>
      <c r="X9841" s="60"/>
    </row>
    <row r="9842" spans="7:24" ht="15" customHeight="1">
      <c r="G9842"/>
      <c r="I9842"/>
      <c r="N9842"/>
      <c r="O9842" s="24"/>
      <c r="P9842"/>
      <c r="Q9842" s="24"/>
      <c r="R9842"/>
      <c r="S9842"/>
      <c r="T9842"/>
      <c r="U9842"/>
      <c r="X9842" s="60"/>
    </row>
    <row r="9843" spans="7:24" ht="15" customHeight="1">
      <c r="G9843"/>
      <c r="I9843"/>
      <c r="N9843"/>
      <c r="O9843" s="24"/>
      <c r="P9843"/>
      <c r="Q9843" s="24"/>
      <c r="R9843"/>
      <c r="S9843"/>
      <c r="T9843"/>
      <c r="U9843"/>
      <c r="X9843" s="60"/>
    </row>
    <row r="9844" spans="7:24" ht="15" customHeight="1">
      <c r="G9844"/>
      <c r="I9844"/>
      <c r="N9844"/>
      <c r="O9844" s="24"/>
      <c r="P9844"/>
      <c r="Q9844" s="24"/>
      <c r="R9844"/>
      <c r="S9844"/>
      <c r="T9844"/>
      <c r="U9844"/>
      <c r="X9844" s="60"/>
    </row>
    <row r="9845" spans="7:24" ht="15" customHeight="1">
      <c r="G9845"/>
      <c r="I9845"/>
      <c r="N9845"/>
      <c r="O9845" s="24"/>
      <c r="P9845"/>
      <c r="Q9845" s="24"/>
      <c r="R9845"/>
      <c r="S9845"/>
      <c r="T9845"/>
      <c r="U9845"/>
      <c r="X9845" s="60"/>
    </row>
    <row r="9846" spans="7:24" ht="15" customHeight="1">
      <c r="G9846"/>
      <c r="I9846"/>
      <c r="N9846"/>
      <c r="O9846" s="24"/>
      <c r="P9846"/>
      <c r="Q9846" s="24"/>
      <c r="R9846"/>
      <c r="S9846"/>
      <c r="T9846"/>
      <c r="U9846"/>
      <c r="X9846" s="60"/>
    </row>
    <row r="9847" spans="7:24" ht="15" customHeight="1">
      <c r="G9847"/>
      <c r="I9847"/>
      <c r="N9847"/>
      <c r="O9847" s="24"/>
      <c r="P9847"/>
      <c r="Q9847" s="24"/>
      <c r="R9847"/>
      <c r="S9847"/>
      <c r="T9847"/>
      <c r="U9847"/>
      <c r="X9847" s="60"/>
    </row>
    <row r="9848" spans="7:24" ht="15" customHeight="1">
      <c r="G9848"/>
      <c r="I9848"/>
      <c r="N9848"/>
      <c r="O9848" s="24"/>
      <c r="P9848"/>
      <c r="Q9848" s="24"/>
      <c r="R9848"/>
      <c r="S9848"/>
      <c r="T9848"/>
      <c r="U9848"/>
      <c r="X9848" s="60"/>
    </row>
    <row r="9849" spans="7:24" ht="15" customHeight="1">
      <c r="G9849"/>
      <c r="I9849"/>
      <c r="N9849"/>
      <c r="O9849" s="24"/>
      <c r="P9849"/>
      <c r="Q9849" s="24"/>
      <c r="R9849"/>
      <c r="S9849"/>
      <c r="T9849"/>
      <c r="U9849"/>
      <c r="X9849" s="60"/>
    </row>
    <row r="9850" spans="7:24" ht="15" customHeight="1">
      <c r="G9850"/>
      <c r="I9850"/>
      <c r="N9850"/>
      <c r="O9850" s="24"/>
      <c r="P9850"/>
      <c r="Q9850" s="24"/>
      <c r="R9850"/>
      <c r="S9850"/>
      <c r="T9850"/>
      <c r="U9850"/>
      <c r="X9850" s="60"/>
    </row>
    <row r="9851" spans="7:24" ht="15" customHeight="1">
      <c r="G9851"/>
      <c r="I9851"/>
      <c r="N9851"/>
      <c r="O9851" s="24"/>
      <c r="P9851"/>
      <c r="Q9851" s="24"/>
      <c r="R9851"/>
      <c r="S9851"/>
      <c r="T9851"/>
      <c r="U9851"/>
      <c r="X9851" s="60"/>
    </row>
    <row r="9852" spans="7:24" ht="15" customHeight="1">
      <c r="G9852"/>
      <c r="I9852"/>
      <c r="N9852"/>
      <c r="O9852" s="24"/>
      <c r="P9852"/>
      <c r="Q9852" s="24"/>
      <c r="R9852"/>
      <c r="S9852"/>
      <c r="T9852"/>
      <c r="U9852"/>
      <c r="X9852" s="60"/>
    </row>
    <row r="9853" spans="7:24" ht="15" customHeight="1">
      <c r="G9853"/>
      <c r="I9853"/>
      <c r="N9853"/>
      <c r="O9853" s="24"/>
      <c r="P9853"/>
      <c r="Q9853" s="24"/>
      <c r="R9853"/>
      <c r="S9853"/>
      <c r="T9853"/>
      <c r="U9853"/>
      <c r="X9853" s="60"/>
    </row>
    <row r="9854" spans="7:24" ht="15" customHeight="1">
      <c r="G9854"/>
      <c r="I9854"/>
      <c r="N9854"/>
      <c r="O9854" s="24"/>
      <c r="P9854"/>
      <c r="Q9854" s="24"/>
      <c r="R9854"/>
      <c r="S9854"/>
      <c r="T9854"/>
      <c r="U9854"/>
      <c r="X9854" s="60"/>
    </row>
    <row r="9855" spans="7:24" ht="15" customHeight="1">
      <c r="G9855"/>
      <c r="I9855"/>
      <c r="N9855"/>
      <c r="O9855" s="24"/>
      <c r="P9855"/>
      <c r="Q9855" s="24"/>
      <c r="R9855"/>
      <c r="S9855"/>
      <c r="T9855"/>
      <c r="U9855"/>
      <c r="X9855" s="60"/>
    </row>
    <row r="9856" spans="7:24" ht="15" customHeight="1">
      <c r="G9856"/>
      <c r="I9856"/>
      <c r="N9856"/>
      <c r="O9856" s="24"/>
      <c r="P9856"/>
      <c r="Q9856" s="24"/>
      <c r="R9856"/>
      <c r="S9856"/>
      <c r="T9856"/>
      <c r="U9856"/>
      <c r="X9856" s="60"/>
    </row>
    <row r="9857" spans="7:24" ht="15" customHeight="1">
      <c r="G9857"/>
      <c r="I9857"/>
      <c r="N9857"/>
      <c r="O9857" s="24"/>
      <c r="P9857"/>
      <c r="Q9857" s="24"/>
      <c r="R9857"/>
      <c r="S9857"/>
      <c r="T9857"/>
      <c r="U9857"/>
      <c r="X9857" s="60"/>
    </row>
    <row r="9858" spans="7:24" ht="15" customHeight="1">
      <c r="G9858"/>
      <c r="I9858"/>
      <c r="N9858"/>
      <c r="O9858" s="24"/>
      <c r="P9858"/>
      <c r="Q9858" s="24"/>
      <c r="R9858"/>
      <c r="S9858"/>
      <c r="T9858"/>
      <c r="U9858"/>
      <c r="X9858" s="60"/>
    </row>
    <row r="9859" spans="7:24" ht="15" customHeight="1">
      <c r="G9859"/>
      <c r="I9859"/>
      <c r="N9859"/>
      <c r="O9859" s="24"/>
      <c r="P9859"/>
      <c r="Q9859" s="24"/>
      <c r="R9859"/>
      <c r="S9859"/>
      <c r="T9859"/>
      <c r="U9859"/>
      <c r="X9859" s="60"/>
    </row>
    <row r="9860" spans="7:24" ht="15" customHeight="1">
      <c r="G9860"/>
      <c r="I9860"/>
      <c r="N9860"/>
      <c r="O9860" s="24"/>
      <c r="P9860"/>
      <c r="Q9860" s="24"/>
      <c r="R9860"/>
      <c r="S9860"/>
      <c r="T9860"/>
      <c r="U9860"/>
      <c r="X9860" s="60"/>
    </row>
    <row r="9861" spans="7:24" ht="15" customHeight="1">
      <c r="G9861"/>
      <c r="I9861"/>
      <c r="N9861"/>
      <c r="O9861" s="24"/>
      <c r="P9861"/>
      <c r="Q9861" s="24"/>
      <c r="R9861"/>
      <c r="S9861"/>
      <c r="T9861"/>
      <c r="U9861"/>
      <c r="X9861" s="60"/>
    </row>
    <row r="9862" spans="7:24" ht="15" customHeight="1">
      <c r="G9862"/>
      <c r="I9862"/>
      <c r="N9862"/>
      <c r="O9862" s="24"/>
      <c r="P9862"/>
      <c r="Q9862" s="24"/>
      <c r="R9862"/>
      <c r="S9862"/>
      <c r="T9862"/>
      <c r="U9862"/>
      <c r="X9862" s="60"/>
    </row>
    <row r="9863" spans="7:24" ht="15" customHeight="1">
      <c r="G9863"/>
      <c r="I9863"/>
      <c r="N9863"/>
      <c r="O9863" s="24"/>
      <c r="P9863"/>
      <c r="Q9863" s="24"/>
      <c r="R9863"/>
      <c r="S9863"/>
      <c r="T9863"/>
      <c r="U9863"/>
      <c r="X9863" s="60"/>
    </row>
    <row r="9864" spans="7:24" ht="15" customHeight="1">
      <c r="G9864"/>
      <c r="I9864"/>
      <c r="N9864"/>
      <c r="O9864" s="24"/>
      <c r="P9864"/>
      <c r="Q9864" s="24"/>
      <c r="R9864"/>
      <c r="S9864"/>
      <c r="T9864"/>
      <c r="U9864"/>
      <c r="X9864" s="60"/>
    </row>
    <row r="9865" spans="7:24" ht="15" customHeight="1">
      <c r="G9865"/>
      <c r="I9865"/>
      <c r="N9865"/>
      <c r="O9865" s="24"/>
      <c r="P9865"/>
      <c r="Q9865" s="24"/>
      <c r="R9865"/>
      <c r="S9865"/>
      <c r="T9865"/>
      <c r="U9865"/>
      <c r="X9865" s="60"/>
    </row>
    <row r="9866" spans="7:24" ht="15" customHeight="1">
      <c r="G9866"/>
      <c r="I9866"/>
      <c r="N9866"/>
      <c r="O9866" s="24"/>
      <c r="P9866"/>
      <c r="Q9866" s="24"/>
      <c r="R9866"/>
      <c r="S9866"/>
      <c r="T9866"/>
      <c r="U9866"/>
      <c r="X9866" s="60"/>
    </row>
    <row r="9867" spans="7:24" ht="15" customHeight="1">
      <c r="G9867"/>
      <c r="I9867"/>
      <c r="N9867"/>
      <c r="O9867" s="24"/>
      <c r="P9867"/>
      <c r="Q9867" s="24"/>
      <c r="R9867"/>
      <c r="S9867"/>
      <c r="T9867"/>
      <c r="U9867"/>
      <c r="X9867" s="60"/>
    </row>
    <row r="9868" spans="7:24" ht="15" customHeight="1">
      <c r="G9868"/>
      <c r="I9868"/>
      <c r="N9868"/>
      <c r="O9868" s="24"/>
      <c r="P9868"/>
      <c r="Q9868" s="24"/>
      <c r="R9868"/>
      <c r="S9868"/>
      <c r="T9868"/>
      <c r="U9868"/>
      <c r="X9868" s="60"/>
    </row>
    <row r="9869" spans="7:24" ht="15" customHeight="1">
      <c r="G9869"/>
      <c r="I9869"/>
      <c r="N9869"/>
      <c r="O9869" s="24"/>
      <c r="P9869"/>
      <c r="Q9869" s="24"/>
      <c r="R9869"/>
      <c r="S9869"/>
      <c r="T9869"/>
      <c r="U9869"/>
      <c r="X9869" s="60"/>
    </row>
    <row r="9870" spans="7:24" ht="15" customHeight="1">
      <c r="G9870"/>
      <c r="I9870"/>
      <c r="N9870"/>
      <c r="O9870" s="24"/>
      <c r="P9870"/>
      <c r="Q9870" s="24"/>
      <c r="R9870"/>
      <c r="S9870"/>
      <c r="T9870"/>
      <c r="U9870"/>
      <c r="X9870" s="60"/>
    </row>
    <row r="9871" spans="7:24" ht="15" customHeight="1">
      <c r="G9871"/>
      <c r="I9871"/>
      <c r="N9871"/>
      <c r="O9871" s="24"/>
      <c r="P9871"/>
      <c r="Q9871" s="24"/>
      <c r="R9871"/>
      <c r="S9871"/>
      <c r="T9871"/>
      <c r="U9871"/>
      <c r="X9871" s="60"/>
    </row>
    <row r="9872" spans="7:24" ht="15" customHeight="1">
      <c r="G9872"/>
      <c r="I9872"/>
      <c r="N9872"/>
      <c r="O9872" s="24"/>
      <c r="P9872"/>
      <c r="Q9872" s="24"/>
      <c r="R9872"/>
      <c r="S9872"/>
      <c r="T9872"/>
      <c r="U9872"/>
      <c r="X9872" s="60"/>
    </row>
    <row r="9873" spans="7:24" ht="15" customHeight="1">
      <c r="G9873"/>
      <c r="I9873"/>
      <c r="N9873"/>
      <c r="O9873" s="24"/>
      <c r="P9873"/>
      <c r="Q9873" s="24"/>
      <c r="R9873"/>
      <c r="S9873"/>
      <c r="T9873"/>
      <c r="U9873"/>
      <c r="X9873" s="60"/>
    </row>
    <row r="9874" spans="7:24" ht="15" customHeight="1">
      <c r="G9874"/>
      <c r="I9874"/>
      <c r="N9874"/>
      <c r="O9874" s="24"/>
      <c r="P9874"/>
      <c r="Q9874" s="24"/>
      <c r="R9874"/>
      <c r="S9874"/>
      <c r="T9874"/>
      <c r="U9874"/>
      <c r="X9874" s="60"/>
    </row>
    <row r="9875" spans="7:24" ht="15" customHeight="1">
      <c r="G9875"/>
      <c r="I9875"/>
      <c r="N9875"/>
      <c r="O9875" s="24"/>
      <c r="P9875"/>
      <c r="Q9875" s="24"/>
      <c r="R9875"/>
      <c r="S9875"/>
      <c r="T9875"/>
      <c r="U9875"/>
      <c r="X9875" s="60"/>
    </row>
    <row r="9876" spans="7:24" ht="15" customHeight="1">
      <c r="G9876"/>
      <c r="I9876"/>
      <c r="N9876"/>
      <c r="O9876" s="24"/>
      <c r="P9876"/>
      <c r="Q9876" s="24"/>
      <c r="R9876"/>
      <c r="S9876"/>
      <c r="T9876"/>
      <c r="U9876"/>
      <c r="X9876" s="60"/>
    </row>
    <row r="9877" spans="7:24" ht="15" customHeight="1">
      <c r="G9877"/>
      <c r="I9877"/>
      <c r="N9877"/>
      <c r="O9877" s="24"/>
      <c r="P9877"/>
      <c r="Q9877" s="24"/>
      <c r="R9877"/>
      <c r="S9877"/>
      <c r="T9877"/>
      <c r="U9877"/>
      <c r="X9877" s="60"/>
    </row>
    <row r="9878" spans="7:24" ht="15" customHeight="1">
      <c r="G9878"/>
      <c r="I9878"/>
      <c r="N9878"/>
      <c r="O9878" s="24"/>
      <c r="P9878"/>
      <c r="Q9878" s="24"/>
      <c r="R9878"/>
      <c r="S9878"/>
      <c r="T9878"/>
      <c r="U9878"/>
      <c r="X9878" s="60"/>
    </row>
    <row r="9879" spans="7:24" ht="15" customHeight="1">
      <c r="G9879"/>
      <c r="I9879"/>
      <c r="N9879"/>
      <c r="O9879" s="24"/>
      <c r="P9879"/>
      <c r="Q9879" s="24"/>
      <c r="R9879"/>
      <c r="S9879"/>
      <c r="T9879"/>
      <c r="U9879"/>
      <c r="X9879" s="60"/>
    </row>
    <row r="9880" spans="7:24" ht="15" customHeight="1">
      <c r="G9880"/>
      <c r="I9880"/>
      <c r="N9880"/>
      <c r="O9880" s="24"/>
      <c r="P9880"/>
      <c r="Q9880" s="24"/>
      <c r="R9880"/>
      <c r="S9880"/>
      <c r="T9880"/>
      <c r="U9880"/>
      <c r="X9880" s="60"/>
    </row>
    <row r="9881" spans="7:24" ht="15" customHeight="1">
      <c r="G9881"/>
      <c r="I9881"/>
      <c r="N9881"/>
      <c r="O9881" s="24"/>
      <c r="P9881"/>
      <c r="Q9881" s="24"/>
      <c r="R9881"/>
      <c r="S9881"/>
      <c r="T9881"/>
      <c r="U9881"/>
      <c r="X9881" s="60"/>
    </row>
    <row r="9882" spans="7:24" ht="15" customHeight="1">
      <c r="G9882"/>
      <c r="I9882"/>
      <c r="N9882"/>
      <c r="O9882" s="24"/>
      <c r="P9882"/>
      <c r="Q9882" s="24"/>
      <c r="R9882"/>
      <c r="S9882"/>
      <c r="T9882"/>
      <c r="U9882"/>
      <c r="X9882" s="60"/>
    </row>
    <row r="9883" spans="7:24" ht="15" customHeight="1">
      <c r="G9883"/>
      <c r="I9883"/>
      <c r="N9883"/>
      <c r="O9883" s="24"/>
      <c r="P9883"/>
      <c r="Q9883" s="24"/>
      <c r="R9883"/>
      <c r="S9883"/>
      <c r="T9883"/>
      <c r="U9883"/>
      <c r="X9883" s="60"/>
    </row>
    <row r="9884" spans="7:24" ht="15" customHeight="1">
      <c r="G9884"/>
      <c r="I9884"/>
      <c r="N9884"/>
      <c r="O9884" s="24"/>
      <c r="P9884"/>
      <c r="Q9884" s="24"/>
      <c r="R9884"/>
      <c r="S9884"/>
      <c r="T9884"/>
      <c r="U9884"/>
      <c r="X9884" s="60"/>
    </row>
    <row r="9885" spans="7:24" ht="15" customHeight="1">
      <c r="G9885"/>
      <c r="I9885"/>
      <c r="N9885"/>
      <c r="O9885" s="24"/>
      <c r="P9885"/>
      <c r="Q9885" s="24"/>
      <c r="R9885"/>
      <c r="S9885"/>
      <c r="T9885"/>
      <c r="U9885"/>
      <c r="X9885" s="60"/>
    </row>
    <row r="9886" spans="7:24" ht="15" customHeight="1">
      <c r="G9886"/>
      <c r="I9886"/>
      <c r="N9886"/>
      <c r="O9886" s="24"/>
      <c r="P9886"/>
      <c r="Q9886" s="24"/>
      <c r="R9886"/>
      <c r="S9886"/>
      <c r="T9886"/>
      <c r="U9886"/>
      <c r="X9886" s="60"/>
    </row>
    <row r="9887" spans="7:24" ht="15" customHeight="1">
      <c r="G9887"/>
      <c r="I9887"/>
      <c r="N9887"/>
      <c r="O9887" s="24"/>
      <c r="P9887"/>
      <c r="Q9887" s="24"/>
      <c r="R9887"/>
      <c r="S9887"/>
      <c r="T9887"/>
      <c r="U9887"/>
      <c r="X9887" s="60"/>
    </row>
    <row r="9888" spans="7:24" ht="15" customHeight="1">
      <c r="G9888"/>
      <c r="I9888"/>
      <c r="N9888"/>
      <c r="O9888" s="24"/>
      <c r="P9888"/>
      <c r="Q9888" s="24"/>
      <c r="R9888"/>
      <c r="S9888"/>
      <c r="T9888"/>
      <c r="U9888"/>
      <c r="X9888" s="60"/>
    </row>
    <row r="9889" spans="7:24" ht="15" customHeight="1">
      <c r="G9889"/>
      <c r="I9889"/>
      <c r="N9889"/>
      <c r="O9889" s="24"/>
      <c r="P9889"/>
      <c r="Q9889" s="24"/>
      <c r="R9889"/>
      <c r="S9889"/>
      <c r="T9889"/>
      <c r="U9889"/>
      <c r="X9889" s="60"/>
    </row>
    <row r="9890" spans="7:24" ht="15" customHeight="1">
      <c r="G9890"/>
      <c r="I9890"/>
      <c r="N9890"/>
      <c r="O9890" s="24"/>
      <c r="P9890"/>
      <c r="Q9890" s="24"/>
      <c r="R9890"/>
      <c r="S9890"/>
      <c r="T9890"/>
      <c r="U9890"/>
      <c r="X9890" s="60"/>
    </row>
    <row r="9891" spans="7:24" ht="15" customHeight="1">
      <c r="G9891"/>
      <c r="I9891"/>
      <c r="N9891"/>
      <c r="O9891" s="24"/>
      <c r="P9891"/>
      <c r="Q9891" s="24"/>
      <c r="R9891"/>
      <c r="S9891"/>
      <c r="T9891"/>
      <c r="U9891"/>
      <c r="X9891" s="60"/>
    </row>
    <row r="9892" spans="7:24" ht="15" customHeight="1">
      <c r="G9892"/>
      <c r="I9892"/>
      <c r="N9892"/>
      <c r="O9892" s="24"/>
      <c r="P9892"/>
      <c r="Q9892" s="24"/>
      <c r="R9892"/>
      <c r="S9892"/>
      <c r="T9892"/>
      <c r="U9892"/>
      <c r="X9892" s="60"/>
    </row>
    <row r="9893" spans="7:24" ht="15" customHeight="1">
      <c r="G9893"/>
      <c r="I9893"/>
      <c r="N9893"/>
      <c r="O9893" s="24"/>
      <c r="P9893"/>
      <c r="Q9893" s="24"/>
      <c r="R9893"/>
      <c r="S9893"/>
      <c r="T9893"/>
      <c r="U9893"/>
      <c r="X9893" s="60"/>
    </row>
    <row r="9894" spans="7:24" ht="15" customHeight="1">
      <c r="G9894"/>
      <c r="I9894"/>
      <c r="N9894"/>
      <c r="O9894" s="24"/>
      <c r="P9894"/>
      <c r="Q9894" s="24"/>
      <c r="R9894"/>
      <c r="S9894"/>
      <c r="T9894"/>
      <c r="U9894"/>
      <c r="X9894" s="60"/>
    </row>
    <row r="9895" spans="7:24" ht="15" customHeight="1">
      <c r="G9895"/>
      <c r="I9895"/>
      <c r="N9895"/>
      <c r="O9895" s="24"/>
      <c r="P9895"/>
      <c r="Q9895" s="24"/>
      <c r="R9895"/>
      <c r="S9895"/>
      <c r="T9895"/>
      <c r="U9895"/>
      <c r="X9895" s="60"/>
    </row>
    <row r="9896" spans="7:24" ht="15" customHeight="1">
      <c r="G9896"/>
      <c r="I9896"/>
      <c r="N9896"/>
      <c r="O9896" s="24"/>
      <c r="P9896"/>
      <c r="Q9896" s="24"/>
      <c r="R9896"/>
      <c r="S9896"/>
      <c r="T9896"/>
      <c r="U9896"/>
      <c r="X9896" s="60"/>
    </row>
    <row r="9897" spans="7:24" ht="15" customHeight="1">
      <c r="G9897"/>
      <c r="I9897"/>
      <c r="N9897"/>
      <c r="O9897" s="24"/>
      <c r="P9897"/>
      <c r="Q9897" s="24"/>
      <c r="R9897"/>
      <c r="S9897"/>
      <c r="T9897"/>
      <c r="U9897"/>
      <c r="X9897" s="60"/>
    </row>
    <row r="9898" spans="7:24" ht="15" customHeight="1">
      <c r="G9898"/>
      <c r="I9898"/>
      <c r="N9898"/>
      <c r="O9898" s="24"/>
      <c r="P9898"/>
      <c r="Q9898" s="24"/>
      <c r="R9898"/>
      <c r="S9898"/>
      <c r="T9898"/>
      <c r="U9898"/>
      <c r="X9898" s="60"/>
    </row>
    <row r="9899" spans="7:24" ht="15" customHeight="1">
      <c r="G9899"/>
      <c r="I9899"/>
      <c r="N9899"/>
      <c r="O9899" s="24"/>
      <c r="P9899"/>
      <c r="Q9899" s="24"/>
      <c r="R9899"/>
      <c r="S9899"/>
      <c r="T9899"/>
      <c r="U9899"/>
      <c r="X9899" s="60"/>
    </row>
    <row r="9900" spans="7:24" ht="15" customHeight="1">
      <c r="G9900"/>
      <c r="I9900"/>
      <c r="N9900"/>
      <c r="O9900" s="24"/>
      <c r="P9900"/>
      <c r="Q9900" s="24"/>
      <c r="R9900"/>
      <c r="S9900"/>
      <c r="T9900"/>
      <c r="U9900"/>
      <c r="X9900" s="60"/>
    </row>
    <row r="9901" spans="7:24" ht="15" customHeight="1">
      <c r="G9901"/>
      <c r="I9901"/>
      <c r="N9901"/>
      <c r="O9901" s="24"/>
      <c r="P9901"/>
      <c r="Q9901" s="24"/>
      <c r="R9901"/>
      <c r="S9901"/>
      <c r="T9901"/>
      <c r="U9901"/>
      <c r="X9901" s="60"/>
    </row>
    <row r="9902" spans="7:24" ht="15" customHeight="1">
      <c r="G9902"/>
      <c r="I9902"/>
      <c r="N9902"/>
      <c r="O9902" s="24"/>
      <c r="P9902"/>
      <c r="Q9902" s="24"/>
      <c r="R9902"/>
      <c r="S9902"/>
      <c r="T9902"/>
      <c r="U9902"/>
      <c r="X9902" s="60"/>
    </row>
    <row r="9903" spans="7:24" ht="15" customHeight="1">
      <c r="G9903"/>
      <c r="I9903"/>
      <c r="N9903"/>
      <c r="O9903" s="24"/>
      <c r="P9903"/>
      <c r="Q9903" s="24"/>
      <c r="R9903"/>
      <c r="S9903"/>
      <c r="T9903"/>
      <c r="U9903"/>
      <c r="X9903" s="60"/>
    </row>
    <row r="9904" spans="7:24" ht="15" customHeight="1">
      <c r="G9904"/>
      <c r="I9904"/>
      <c r="N9904"/>
      <c r="O9904" s="24"/>
      <c r="P9904"/>
      <c r="Q9904" s="24"/>
      <c r="R9904"/>
      <c r="S9904"/>
      <c r="T9904"/>
      <c r="U9904"/>
      <c r="X9904" s="60"/>
    </row>
    <row r="9905" spans="7:24" ht="15" customHeight="1">
      <c r="G9905"/>
      <c r="I9905"/>
      <c r="N9905"/>
      <c r="O9905" s="24"/>
      <c r="P9905"/>
      <c r="Q9905" s="24"/>
      <c r="R9905"/>
      <c r="S9905"/>
      <c r="T9905"/>
      <c r="U9905"/>
      <c r="X9905" s="60"/>
    </row>
    <row r="9906" spans="7:24" ht="15" customHeight="1">
      <c r="G9906"/>
      <c r="I9906"/>
      <c r="N9906"/>
      <c r="O9906" s="24"/>
      <c r="P9906"/>
      <c r="Q9906" s="24"/>
      <c r="R9906"/>
      <c r="S9906"/>
      <c r="T9906"/>
      <c r="U9906"/>
      <c r="X9906" s="60"/>
    </row>
    <row r="9907" spans="7:24" ht="15" customHeight="1">
      <c r="G9907"/>
      <c r="I9907"/>
      <c r="N9907"/>
      <c r="O9907" s="24"/>
      <c r="P9907"/>
      <c r="Q9907" s="24"/>
      <c r="R9907"/>
      <c r="S9907"/>
      <c r="T9907"/>
      <c r="U9907"/>
      <c r="X9907" s="60"/>
    </row>
    <row r="9908" spans="7:24" ht="15" customHeight="1">
      <c r="G9908"/>
      <c r="I9908"/>
      <c r="N9908"/>
      <c r="O9908" s="24"/>
      <c r="P9908"/>
      <c r="Q9908" s="24"/>
      <c r="R9908"/>
      <c r="S9908"/>
      <c r="T9908"/>
      <c r="U9908"/>
      <c r="X9908" s="60"/>
    </row>
    <row r="9909" spans="7:24" ht="15" customHeight="1">
      <c r="G9909"/>
      <c r="I9909"/>
      <c r="N9909"/>
      <c r="O9909" s="24"/>
      <c r="P9909"/>
      <c r="Q9909" s="24"/>
      <c r="R9909"/>
      <c r="S9909"/>
      <c r="T9909"/>
      <c r="U9909"/>
      <c r="X9909" s="60"/>
    </row>
    <row r="9910" spans="7:24" ht="15" customHeight="1">
      <c r="G9910"/>
      <c r="I9910"/>
      <c r="N9910"/>
      <c r="O9910" s="24"/>
      <c r="P9910"/>
      <c r="Q9910" s="24"/>
      <c r="R9910"/>
      <c r="S9910"/>
      <c r="T9910"/>
      <c r="U9910"/>
      <c r="X9910" s="60"/>
    </row>
    <row r="9911" spans="7:24" ht="15" customHeight="1">
      <c r="G9911"/>
      <c r="I9911"/>
      <c r="N9911"/>
      <c r="O9911" s="24"/>
      <c r="P9911"/>
      <c r="Q9911" s="24"/>
      <c r="R9911"/>
      <c r="S9911"/>
      <c r="T9911"/>
      <c r="U9911"/>
      <c r="X9911" s="60"/>
    </row>
    <row r="9912" spans="7:24" ht="15" customHeight="1">
      <c r="G9912"/>
      <c r="I9912"/>
      <c r="N9912"/>
      <c r="O9912" s="24"/>
      <c r="P9912"/>
      <c r="Q9912" s="24"/>
      <c r="R9912"/>
      <c r="S9912"/>
      <c r="T9912"/>
      <c r="U9912"/>
      <c r="X9912" s="60"/>
    </row>
    <row r="9913" spans="7:24" ht="15" customHeight="1">
      <c r="G9913"/>
      <c r="I9913"/>
      <c r="N9913"/>
      <c r="O9913" s="24"/>
      <c r="P9913"/>
      <c r="Q9913" s="24"/>
      <c r="R9913"/>
      <c r="S9913"/>
      <c r="T9913"/>
      <c r="U9913"/>
      <c r="X9913" s="60"/>
    </row>
    <row r="9914" spans="7:24" ht="15" customHeight="1">
      <c r="G9914"/>
      <c r="I9914"/>
      <c r="N9914"/>
      <c r="O9914" s="24"/>
      <c r="P9914"/>
      <c r="Q9914" s="24"/>
      <c r="R9914"/>
      <c r="S9914"/>
      <c r="T9914"/>
      <c r="U9914"/>
      <c r="X9914" s="60"/>
    </row>
    <row r="9915" spans="7:24" ht="15" customHeight="1">
      <c r="G9915"/>
      <c r="I9915"/>
      <c r="N9915"/>
      <c r="O9915" s="24"/>
      <c r="P9915"/>
      <c r="Q9915" s="24"/>
      <c r="R9915"/>
      <c r="S9915"/>
      <c r="T9915"/>
      <c r="U9915"/>
      <c r="X9915" s="60"/>
    </row>
    <row r="9916" spans="7:24" ht="15" customHeight="1">
      <c r="G9916"/>
      <c r="I9916"/>
      <c r="N9916"/>
      <c r="O9916" s="24"/>
      <c r="P9916"/>
      <c r="Q9916" s="24"/>
      <c r="R9916"/>
      <c r="S9916"/>
      <c r="T9916"/>
      <c r="U9916"/>
      <c r="X9916" s="60"/>
    </row>
    <row r="9917" spans="7:24" ht="15" customHeight="1">
      <c r="G9917"/>
      <c r="I9917"/>
      <c r="N9917"/>
      <c r="O9917" s="24"/>
      <c r="P9917"/>
      <c r="Q9917" s="24"/>
      <c r="R9917"/>
      <c r="S9917"/>
      <c r="T9917"/>
      <c r="U9917"/>
      <c r="X9917" s="60"/>
    </row>
    <row r="9918" spans="7:24" ht="15" customHeight="1">
      <c r="G9918"/>
      <c r="I9918"/>
      <c r="N9918"/>
      <c r="O9918" s="24"/>
      <c r="P9918"/>
      <c r="Q9918" s="24"/>
      <c r="R9918"/>
      <c r="S9918"/>
      <c r="T9918"/>
      <c r="U9918"/>
      <c r="X9918" s="60"/>
    </row>
    <row r="9919" spans="7:24" ht="15" customHeight="1">
      <c r="G9919"/>
      <c r="I9919"/>
      <c r="N9919"/>
      <c r="O9919" s="24"/>
      <c r="P9919"/>
      <c r="Q9919" s="24"/>
      <c r="R9919"/>
      <c r="S9919"/>
      <c r="T9919"/>
      <c r="U9919"/>
      <c r="X9919" s="60"/>
    </row>
    <row r="9920" spans="7:24" ht="15" customHeight="1">
      <c r="G9920"/>
      <c r="I9920"/>
      <c r="N9920"/>
      <c r="O9920" s="24"/>
      <c r="P9920"/>
      <c r="Q9920" s="24"/>
      <c r="R9920"/>
      <c r="S9920"/>
      <c r="T9920"/>
      <c r="U9920"/>
      <c r="X9920" s="60"/>
    </row>
    <row r="9921" spans="7:24" ht="15" customHeight="1">
      <c r="G9921"/>
      <c r="I9921"/>
      <c r="N9921"/>
      <c r="O9921" s="24"/>
      <c r="P9921"/>
      <c r="Q9921" s="24"/>
      <c r="R9921"/>
      <c r="S9921"/>
      <c r="T9921"/>
      <c r="U9921"/>
      <c r="X9921" s="60"/>
    </row>
    <row r="9922" spans="7:24" ht="15" customHeight="1">
      <c r="G9922"/>
      <c r="I9922"/>
      <c r="N9922"/>
      <c r="O9922" s="24"/>
      <c r="P9922"/>
      <c r="Q9922" s="24"/>
      <c r="R9922"/>
      <c r="S9922"/>
      <c r="T9922"/>
      <c r="U9922"/>
      <c r="X9922" s="60"/>
    </row>
    <row r="9923" spans="7:24" ht="15" customHeight="1">
      <c r="G9923"/>
      <c r="I9923"/>
      <c r="N9923"/>
      <c r="O9923" s="24"/>
      <c r="P9923"/>
      <c r="Q9923" s="24"/>
      <c r="R9923"/>
      <c r="S9923"/>
      <c r="T9923"/>
      <c r="U9923"/>
      <c r="X9923" s="60"/>
    </row>
    <row r="9924" spans="7:24" ht="15" customHeight="1">
      <c r="G9924"/>
      <c r="I9924"/>
      <c r="N9924"/>
      <c r="O9924" s="24"/>
      <c r="P9924"/>
      <c r="Q9924" s="24"/>
      <c r="R9924"/>
      <c r="S9924"/>
      <c r="T9924"/>
      <c r="U9924"/>
      <c r="X9924" s="60"/>
    </row>
    <row r="9925" spans="7:24" ht="15" customHeight="1">
      <c r="G9925"/>
      <c r="I9925"/>
      <c r="N9925"/>
      <c r="O9925" s="24"/>
      <c r="P9925"/>
      <c r="Q9925" s="24"/>
      <c r="R9925"/>
      <c r="S9925"/>
      <c r="T9925"/>
      <c r="U9925"/>
      <c r="X9925" s="60"/>
    </row>
    <row r="9926" spans="7:24" ht="15" customHeight="1">
      <c r="G9926"/>
      <c r="I9926"/>
      <c r="N9926"/>
      <c r="O9926" s="24"/>
      <c r="P9926"/>
      <c r="Q9926" s="24"/>
      <c r="R9926"/>
      <c r="S9926"/>
      <c r="T9926"/>
      <c r="U9926"/>
      <c r="X9926" s="60"/>
    </row>
    <row r="9927" spans="7:24" ht="15" customHeight="1">
      <c r="G9927"/>
      <c r="I9927"/>
      <c r="N9927"/>
      <c r="O9927" s="24"/>
      <c r="P9927"/>
      <c r="Q9927" s="24"/>
      <c r="R9927"/>
      <c r="S9927"/>
      <c r="T9927"/>
      <c r="U9927"/>
      <c r="X9927" s="60"/>
    </row>
    <row r="9928" spans="7:24" ht="15" customHeight="1">
      <c r="G9928"/>
      <c r="I9928"/>
      <c r="N9928"/>
      <c r="O9928" s="24"/>
      <c r="P9928"/>
      <c r="Q9928" s="24"/>
      <c r="R9928"/>
      <c r="S9928"/>
      <c r="T9928"/>
      <c r="U9928"/>
      <c r="X9928" s="60"/>
    </row>
    <row r="9929" spans="7:24" ht="15" customHeight="1">
      <c r="G9929"/>
      <c r="I9929"/>
      <c r="N9929"/>
      <c r="O9929" s="24"/>
      <c r="P9929"/>
      <c r="Q9929" s="24"/>
      <c r="R9929"/>
      <c r="S9929"/>
      <c r="T9929"/>
      <c r="U9929"/>
      <c r="X9929" s="60"/>
    </row>
    <row r="9930" spans="7:24" ht="15" customHeight="1">
      <c r="G9930"/>
      <c r="I9930"/>
      <c r="N9930"/>
      <c r="O9930" s="24"/>
      <c r="P9930"/>
      <c r="Q9930" s="24"/>
      <c r="R9930"/>
      <c r="S9930"/>
      <c r="T9930"/>
      <c r="U9930"/>
      <c r="X9930" s="60"/>
    </row>
    <row r="9931" spans="7:24" ht="15" customHeight="1">
      <c r="G9931"/>
      <c r="I9931"/>
      <c r="N9931"/>
      <c r="O9931" s="24"/>
      <c r="P9931"/>
      <c r="Q9931" s="24"/>
      <c r="R9931"/>
      <c r="S9931"/>
      <c r="T9931"/>
      <c r="U9931"/>
      <c r="X9931" s="60"/>
    </row>
    <row r="9932" spans="7:24" ht="15" customHeight="1">
      <c r="G9932"/>
      <c r="I9932"/>
      <c r="N9932"/>
      <c r="O9932" s="24"/>
      <c r="P9932"/>
      <c r="Q9932" s="24"/>
      <c r="R9932"/>
      <c r="S9932"/>
      <c r="T9932"/>
      <c r="U9932"/>
      <c r="X9932" s="60"/>
    </row>
    <row r="9933" spans="7:24" ht="15" customHeight="1">
      <c r="G9933"/>
      <c r="I9933"/>
      <c r="N9933"/>
      <c r="O9933" s="24"/>
      <c r="P9933"/>
      <c r="Q9933" s="24"/>
      <c r="R9933"/>
      <c r="S9933"/>
      <c r="T9933"/>
      <c r="U9933"/>
      <c r="X9933" s="60"/>
    </row>
    <row r="9934" spans="7:24" ht="15" customHeight="1">
      <c r="G9934"/>
      <c r="I9934"/>
      <c r="N9934"/>
      <c r="O9934" s="24"/>
      <c r="P9934"/>
      <c r="Q9934" s="24"/>
      <c r="R9934"/>
      <c r="S9934"/>
      <c r="T9934"/>
      <c r="U9934"/>
      <c r="X9934" s="60"/>
    </row>
    <row r="9935" spans="7:24" ht="15" customHeight="1">
      <c r="G9935"/>
      <c r="I9935"/>
      <c r="N9935"/>
      <c r="O9935" s="24"/>
      <c r="P9935"/>
      <c r="Q9935" s="24"/>
      <c r="R9935"/>
      <c r="S9935"/>
      <c r="T9935"/>
      <c r="U9935"/>
      <c r="X9935" s="60"/>
    </row>
    <row r="9936" spans="7:24" ht="15" customHeight="1">
      <c r="G9936"/>
      <c r="I9936"/>
      <c r="N9936"/>
      <c r="O9936" s="24"/>
      <c r="P9936"/>
      <c r="Q9936" s="24"/>
      <c r="R9936"/>
      <c r="S9936"/>
      <c r="T9936"/>
      <c r="U9936"/>
      <c r="X9936" s="60"/>
    </row>
    <row r="9937" spans="7:24" ht="15" customHeight="1">
      <c r="G9937"/>
      <c r="I9937"/>
      <c r="N9937"/>
      <c r="O9937" s="24"/>
      <c r="P9937"/>
      <c r="Q9937" s="24"/>
      <c r="R9937"/>
      <c r="S9937"/>
      <c r="T9937"/>
      <c r="U9937"/>
      <c r="X9937" s="60"/>
    </row>
    <row r="9938" spans="7:24" ht="15" customHeight="1">
      <c r="G9938"/>
      <c r="I9938"/>
      <c r="N9938"/>
      <c r="O9938" s="24"/>
      <c r="P9938"/>
      <c r="Q9938" s="24"/>
      <c r="R9938"/>
      <c r="S9938"/>
      <c r="T9938"/>
      <c r="U9938"/>
      <c r="X9938" s="60"/>
    </row>
    <row r="9939" spans="7:24" ht="15" customHeight="1">
      <c r="G9939"/>
      <c r="I9939"/>
      <c r="N9939"/>
      <c r="O9939" s="24"/>
      <c r="P9939"/>
      <c r="Q9939" s="24"/>
      <c r="R9939"/>
      <c r="S9939"/>
      <c r="T9939"/>
      <c r="U9939"/>
      <c r="X9939" s="60"/>
    </row>
    <row r="9940" spans="7:24" ht="15" customHeight="1">
      <c r="G9940"/>
      <c r="I9940"/>
      <c r="N9940"/>
      <c r="O9940" s="24"/>
      <c r="P9940"/>
      <c r="Q9940" s="24"/>
      <c r="R9940"/>
      <c r="S9940"/>
      <c r="T9940"/>
      <c r="U9940"/>
      <c r="X9940" s="60"/>
    </row>
    <row r="9941" spans="7:24" ht="15" customHeight="1">
      <c r="G9941"/>
      <c r="I9941"/>
      <c r="N9941"/>
      <c r="O9941" s="24"/>
      <c r="P9941"/>
      <c r="Q9941" s="24"/>
      <c r="R9941"/>
      <c r="S9941"/>
      <c r="T9941"/>
      <c r="U9941"/>
      <c r="X9941" s="60"/>
    </row>
    <row r="9942" spans="7:24" ht="15" customHeight="1">
      <c r="G9942"/>
      <c r="I9942"/>
      <c r="N9942"/>
      <c r="O9942" s="24"/>
      <c r="P9942"/>
      <c r="Q9942" s="24"/>
      <c r="R9942"/>
      <c r="S9942"/>
      <c r="T9942"/>
      <c r="U9942"/>
      <c r="X9942" s="60"/>
    </row>
    <row r="9943" spans="7:24" ht="15" customHeight="1">
      <c r="G9943"/>
      <c r="I9943"/>
      <c r="N9943"/>
      <c r="O9943" s="24"/>
      <c r="P9943"/>
      <c r="Q9943" s="24"/>
      <c r="R9943"/>
      <c r="S9943"/>
      <c r="T9943"/>
      <c r="U9943"/>
      <c r="X9943" s="60"/>
    </row>
    <row r="9944" spans="7:24" ht="15" customHeight="1">
      <c r="G9944"/>
      <c r="I9944"/>
      <c r="N9944"/>
      <c r="O9944" s="24"/>
      <c r="P9944"/>
      <c r="Q9944" s="24"/>
      <c r="R9944"/>
      <c r="S9944"/>
      <c r="T9944"/>
      <c r="U9944"/>
      <c r="X9944" s="60"/>
    </row>
    <row r="9945" spans="7:24" ht="15" customHeight="1">
      <c r="G9945"/>
      <c r="I9945"/>
      <c r="N9945"/>
      <c r="O9945" s="24"/>
      <c r="P9945"/>
      <c r="Q9945" s="24"/>
      <c r="R9945"/>
      <c r="S9945"/>
      <c r="T9945"/>
      <c r="U9945"/>
      <c r="X9945" s="60"/>
    </row>
    <row r="9946" spans="7:24" ht="15" customHeight="1">
      <c r="G9946"/>
      <c r="I9946"/>
      <c r="N9946"/>
      <c r="O9946" s="24"/>
      <c r="P9946"/>
      <c r="Q9946" s="24"/>
      <c r="R9946"/>
      <c r="S9946"/>
      <c r="T9946"/>
      <c r="U9946"/>
      <c r="X9946" s="60"/>
    </row>
    <row r="9947" spans="7:24" ht="15" customHeight="1">
      <c r="G9947"/>
      <c r="I9947"/>
      <c r="N9947"/>
      <c r="O9947" s="24"/>
      <c r="P9947"/>
      <c r="Q9947" s="24"/>
      <c r="R9947"/>
      <c r="S9947"/>
      <c r="T9947"/>
      <c r="U9947"/>
      <c r="X9947" s="60"/>
    </row>
    <row r="9948" spans="7:24" ht="15" customHeight="1">
      <c r="G9948"/>
      <c r="I9948"/>
      <c r="N9948"/>
      <c r="O9948" s="24"/>
      <c r="P9948"/>
      <c r="Q9948" s="24"/>
      <c r="R9948"/>
      <c r="S9948"/>
      <c r="T9948"/>
      <c r="U9948"/>
      <c r="X9948" s="60"/>
    </row>
    <row r="9949" spans="7:24" ht="15" customHeight="1">
      <c r="G9949"/>
      <c r="I9949"/>
      <c r="N9949"/>
      <c r="O9949" s="24"/>
      <c r="P9949"/>
      <c r="Q9949" s="24"/>
      <c r="R9949"/>
      <c r="S9949"/>
      <c r="T9949"/>
      <c r="U9949"/>
      <c r="X9949" s="60"/>
    </row>
    <row r="9950" spans="7:24" ht="15" customHeight="1">
      <c r="G9950"/>
      <c r="I9950"/>
      <c r="N9950"/>
      <c r="O9950" s="24"/>
      <c r="P9950"/>
      <c r="Q9950" s="24"/>
      <c r="R9950"/>
      <c r="S9950"/>
      <c r="T9950"/>
      <c r="U9950"/>
      <c r="X9950" s="60"/>
    </row>
    <row r="9951" spans="7:24" ht="15" customHeight="1">
      <c r="G9951"/>
      <c r="I9951"/>
      <c r="N9951"/>
      <c r="O9951" s="24"/>
      <c r="P9951"/>
      <c r="Q9951" s="24"/>
      <c r="R9951"/>
      <c r="S9951"/>
      <c r="T9951"/>
      <c r="U9951"/>
      <c r="X9951" s="60"/>
    </row>
    <row r="9952" spans="7:24" ht="15" customHeight="1">
      <c r="G9952"/>
      <c r="I9952"/>
      <c r="N9952"/>
      <c r="O9952" s="24"/>
      <c r="P9952"/>
      <c r="Q9952" s="24"/>
      <c r="R9952"/>
      <c r="S9952"/>
      <c r="T9952"/>
      <c r="U9952"/>
      <c r="X9952" s="60"/>
    </row>
    <row r="9953" spans="7:24" ht="15" customHeight="1">
      <c r="G9953"/>
      <c r="I9953"/>
      <c r="N9953"/>
      <c r="O9953" s="24"/>
      <c r="P9953"/>
      <c r="Q9953" s="24"/>
      <c r="R9953"/>
      <c r="S9953"/>
      <c r="T9953"/>
      <c r="U9953"/>
      <c r="X9953" s="60"/>
    </row>
    <row r="9954" spans="7:24" ht="15" customHeight="1">
      <c r="G9954"/>
      <c r="I9954"/>
      <c r="N9954"/>
      <c r="O9954" s="24"/>
      <c r="P9954"/>
      <c r="Q9954" s="24"/>
      <c r="R9954"/>
      <c r="S9954"/>
      <c r="T9954"/>
      <c r="U9954"/>
      <c r="X9954" s="60"/>
    </row>
    <row r="9955" spans="7:24" ht="15" customHeight="1">
      <c r="G9955"/>
      <c r="I9955"/>
      <c r="N9955"/>
      <c r="O9955" s="24"/>
      <c r="P9955"/>
      <c r="Q9955" s="24"/>
      <c r="R9955"/>
      <c r="S9955"/>
      <c r="T9955"/>
      <c r="U9955"/>
      <c r="X9955" s="60"/>
    </row>
    <row r="9956" spans="7:24" ht="15" customHeight="1">
      <c r="G9956"/>
      <c r="I9956"/>
      <c r="N9956"/>
      <c r="O9956" s="24"/>
      <c r="P9956"/>
      <c r="Q9956" s="24"/>
      <c r="R9956"/>
      <c r="S9956"/>
      <c r="T9956"/>
      <c r="U9956"/>
      <c r="X9956" s="60"/>
    </row>
    <row r="9957" spans="7:24" ht="15" customHeight="1">
      <c r="G9957"/>
      <c r="I9957"/>
      <c r="N9957"/>
      <c r="O9957" s="24"/>
      <c r="P9957"/>
      <c r="Q9957" s="24"/>
      <c r="R9957"/>
      <c r="S9957"/>
      <c r="T9957"/>
      <c r="U9957"/>
      <c r="X9957" s="60"/>
    </row>
    <row r="9958" spans="7:24" ht="15" customHeight="1">
      <c r="G9958"/>
      <c r="I9958"/>
      <c r="N9958"/>
      <c r="O9958" s="24"/>
      <c r="P9958"/>
      <c r="Q9958" s="24"/>
      <c r="R9958"/>
      <c r="S9958"/>
      <c r="T9958"/>
      <c r="U9958"/>
      <c r="X9958" s="60"/>
    </row>
    <row r="9959" spans="7:24" ht="15" customHeight="1">
      <c r="G9959"/>
      <c r="I9959"/>
      <c r="N9959"/>
      <c r="O9959" s="24"/>
      <c r="P9959"/>
      <c r="Q9959" s="24"/>
      <c r="R9959"/>
      <c r="S9959"/>
      <c r="T9959"/>
      <c r="U9959"/>
      <c r="X9959" s="60"/>
    </row>
    <row r="9960" spans="7:24" ht="15" customHeight="1">
      <c r="G9960"/>
      <c r="I9960"/>
      <c r="N9960"/>
      <c r="O9960" s="24"/>
      <c r="P9960"/>
      <c r="Q9960" s="24"/>
      <c r="R9960"/>
      <c r="S9960"/>
      <c r="T9960"/>
      <c r="U9960"/>
      <c r="X9960" s="60"/>
    </row>
    <row r="9961" spans="7:24" ht="15" customHeight="1">
      <c r="G9961"/>
      <c r="I9961"/>
      <c r="N9961"/>
      <c r="O9961" s="24"/>
      <c r="P9961"/>
      <c r="Q9961" s="24"/>
      <c r="R9961"/>
      <c r="S9961"/>
      <c r="T9961"/>
      <c r="U9961"/>
      <c r="X9961" s="60"/>
    </row>
    <row r="9962" spans="7:24" ht="15" customHeight="1">
      <c r="G9962"/>
      <c r="I9962"/>
      <c r="N9962"/>
      <c r="O9962" s="24"/>
      <c r="P9962"/>
      <c r="Q9962" s="24"/>
      <c r="R9962"/>
      <c r="S9962"/>
      <c r="T9962"/>
      <c r="U9962"/>
      <c r="X9962" s="60"/>
    </row>
    <row r="9963" spans="7:24" ht="15" customHeight="1">
      <c r="G9963"/>
      <c r="I9963"/>
      <c r="N9963"/>
      <c r="O9963" s="24"/>
      <c r="P9963"/>
      <c r="Q9963" s="24"/>
      <c r="R9963"/>
      <c r="S9963"/>
      <c r="T9963"/>
      <c r="U9963"/>
      <c r="X9963" s="60"/>
    </row>
    <row r="9964" spans="7:24" ht="15" customHeight="1">
      <c r="G9964"/>
      <c r="I9964"/>
      <c r="N9964"/>
      <c r="O9964" s="24"/>
      <c r="P9964"/>
      <c r="Q9964" s="24"/>
      <c r="R9964"/>
      <c r="S9964"/>
      <c r="T9964"/>
      <c r="U9964"/>
      <c r="X9964" s="60"/>
    </row>
    <row r="9965" spans="7:24" ht="15" customHeight="1">
      <c r="G9965"/>
      <c r="I9965"/>
      <c r="N9965"/>
      <c r="O9965" s="24"/>
      <c r="P9965"/>
      <c r="Q9965" s="24"/>
      <c r="R9965"/>
      <c r="S9965"/>
      <c r="T9965"/>
      <c r="U9965"/>
      <c r="X9965" s="60"/>
    </row>
    <row r="9966" spans="7:24" ht="15" customHeight="1">
      <c r="G9966"/>
      <c r="I9966"/>
      <c r="N9966"/>
      <c r="O9966" s="24"/>
      <c r="P9966"/>
      <c r="Q9966" s="24"/>
      <c r="R9966"/>
      <c r="S9966"/>
      <c r="T9966"/>
      <c r="U9966"/>
      <c r="X9966" s="60"/>
    </row>
    <row r="9967" spans="7:24" ht="15" customHeight="1">
      <c r="G9967"/>
      <c r="I9967"/>
      <c r="N9967"/>
      <c r="O9967" s="24"/>
      <c r="P9967"/>
      <c r="Q9967" s="24"/>
      <c r="R9967"/>
      <c r="S9967"/>
      <c r="T9967"/>
      <c r="U9967"/>
      <c r="X9967" s="60"/>
    </row>
    <row r="9968" spans="7:24" ht="15" customHeight="1">
      <c r="G9968"/>
      <c r="I9968"/>
      <c r="N9968"/>
      <c r="O9968" s="24"/>
      <c r="P9968"/>
      <c r="Q9968" s="24"/>
      <c r="R9968"/>
      <c r="S9968"/>
      <c r="T9968"/>
      <c r="U9968"/>
      <c r="X9968" s="60"/>
    </row>
    <row r="9969" spans="7:24" ht="15" customHeight="1">
      <c r="G9969"/>
      <c r="I9969"/>
      <c r="N9969"/>
      <c r="O9969" s="24"/>
      <c r="P9969"/>
      <c r="Q9969" s="24"/>
      <c r="R9969"/>
      <c r="S9969"/>
      <c r="T9969"/>
      <c r="U9969"/>
      <c r="X9969" s="60"/>
    </row>
    <row r="9970" spans="7:24" ht="15" customHeight="1">
      <c r="G9970"/>
      <c r="I9970"/>
      <c r="N9970"/>
      <c r="O9970" s="24"/>
      <c r="P9970"/>
      <c r="Q9970" s="24"/>
      <c r="R9970"/>
      <c r="S9970"/>
      <c r="T9970"/>
      <c r="U9970"/>
      <c r="X9970" s="60"/>
    </row>
    <row r="9971" spans="7:24" ht="15" customHeight="1">
      <c r="G9971"/>
      <c r="I9971"/>
      <c r="N9971"/>
      <c r="O9971" s="24"/>
      <c r="P9971"/>
      <c r="Q9971" s="24"/>
      <c r="R9971"/>
      <c r="S9971"/>
      <c r="T9971"/>
      <c r="U9971"/>
      <c r="X9971" s="60"/>
    </row>
    <row r="9972" spans="7:24" ht="15" customHeight="1">
      <c r="G9972"/>
      <c r="I9972"/>
      <c r="N9972"/>
      <c r="O9972" s="24"/>
      <c r="P9972"/>
      <c r="Q9972" s="24"/>
      <c r="R9972"/>
      <c r="S9972"/>
      <c r="T9972"/>
      <c r="U9972"/>
      <c r="X9972" s="60"/>
    </row>
    <row r="9973" spans="7:24" ht="15" customHeight="1">
      <c r="G9973"/>
      <c r="I9973"/>
      <c r="N9973"/>
      <c r="O9973" s="24"/>
      <c r="P9973"/>
      <c r="Q9973" s="24"/>
      <c r="R9973"/>
      <c r="S9973"/>
      <c r="T9973"/>
      <c r="U9973"/>
      <c r="X9973" s="60"/>
    </row>
    <row r="9974" spans="7:24" ht="15" customHeight="1">
      <c r="G9974"/>
      <c r="I9974"/>
      <c r="N9974"/>
      <c r="O9974" s="24"/>
      <c r="P9974"/>
      <c r="Q9974" s="24"/>
      <c r="R9974"/>
      <c r="S9974"/>
      <c r="T9974"/>
      <c r="U9974"/>
      <c r="X9974" s="60"/>
    </row>
    <row r="9975" spans="7:24" ht="15" customHeight="1">
      <c r="G9975"/>
      <c r="I9975"/>
      <c r="N9975"/>
      <c r="O9975" s="24"/>
      <c r="P9975"/>
      <c r="Q9975" s="24"/>
      <c r="R9975"/>
      <c r="S9975"/>
      <c r="T9975"/>
      <c r="U9975"/>
      <c r="X9975" s="60"/>
    </row>
    <row r="9976" spans="7:24" ht="15" customHeight="1">
      <c r="G9976"/>
      <c r="I9976"/>
      <c r="N9976"/>
      <c r="O9976" s="24"/>
      <c r="P9976"/>
      <c r="Q9976" s="24"/>
      <c r="R9976"/>
      <c r="S9976"/>
      <c r="T9976"/>
      <c r="U9976"/>
      <c r="X9976" s="60"/>
    </row>
    <row r="9977" spans="7:24" ht="15" customHeight="1">
      <c r="G9977"/>
      <c r="I9977"/>
      <c r="N9977"/>
      <c r="O9977" s="24"/>
      <c r="P9977"/>
      <c r="Q9977" s="24"/>
      <c r="R9977"/>
      <c r="S9977"/>
      <c r="T9977"/>
      <c r="U9977"/>
      <c r="X9977" s="60"/>
    </row>
    <row r="9978" spans="7:24" ht="15" customHeight="1">
      <c r="G9978"/>
      <c r="I9978"/>
      <c r="N9978"/>
      <c r="O9978" s="24"/>
      <c r="P9978"/>
      <c r="Q9978" s="24"/>
      <c r="R9978"/>
      <c r="S9978"/>
      <c r="T9978"/>
      <c r="U9978"/>
      <c r="X9978" s="60"/>
    </row>
    <row r="9979" spans="7:24" ht="15" customHeight="1">
      <c r="G9979"/>
      <c r="I9979"/>
      <c r="N9979"/>
      <c r="O9979" s="24"/>
      <c r="P9979"/>
      <c r="Q9979" s="24"/>
      <c r="R9979"/>
      <c r="S9979"/>
      <c r="T9979"/>
      <c r="U9979"/>
      <c r="X9979" s="60"/>
    </row>
    <row r="9980" spans="7:24" ht="15" customHeight="1">
      <c r="G9980"/>
      <c r="I9980"/>
      <c r="N9980"/>
      <c r="O9980" s="24"/>
      <c r="P9980"/>
      <c r="Q9980" s="24"/>
      <c r="R9980"/>
      <c r="S9980"/>
      <c r="T9980"/>
      <c r="U9980"/>
      <c r="X9980" s="60"/>
    </row>
    <row r="9981" spans="7:24" ht="15" customHeight="1">
      <c r="G9981"/>
      <c r="I9981"/>
      <c r="N9981"/>
      <c r="O9981" s="24"/>
      <c r="P9981"/>
      <c r="Q9981" s="24"/>
      <c r="R9981"/>
      <c r="S9981"/>
      <c r="T9981"/>
      <c r="U9981"/>
      <c r="X9981" s="60"/>
    </row>
    <row r="9982" spans="7:24" ht="15" customHeight="1">
      <c r="G9982"/>
      <c r="I9982"/>
      <c r="N9982"/>
      <c r="O9982" s="24"/>
      <c r="P9982"/>
      <c r="Q9982" s="24"/>
      <c r="R9982"/>
      <c r="S9982"/>
      <c r="T9982"/>
      <c r="U9982"/>
      <c r="X9982" s="60"/>
    </row>
    <row r="9983" spans="7:24" ht="15" customHeight="1">
      <c r="G9983"/>
      <c r="I9983"/>
      <c r="N9983"/>
      <c r="O9983" s="24"/>
      <c r="P9983"/>
      <c r="Q9983" s="24"/>
      <c r="R9983"/>
      <c r="S9983"/>
      <c r="T9983"/>
      <c r="U9983"/>
      <c r="X9983" s="60"/>
    </row>
    <row r="9984" spans="7:24" ht="15" customHeight="1">
      <c r="G9984"/>
      <c r="I9984"/>
      <c r="N9984"/>
      <c r="O9984" s="24"/>
      <c r="P9984"/>
      <c r="Q9984" s="24"/>
      <c r="R9984"/>
      <c r="S9984"/>
      <c r="T9984"/>
      <c r="U9984"/>
      <c r="X9984" s="60"/>
    </row>
    <row r="9985" spans="7:24" ht="15" customHeight="1">
      <c r="G9985"/>
      <c r="I9985"/>
      <c r="N9985"/>
      <c r="O9985" s="24"/>
      <c r="P9985"/>
      <c r="Q9985" s="24"/>
      <c r="R9985"/>
      <c r="S9985"/>
      <c r="T9985"/>
      <c r="U9985"/>
      <c r="X9985" s="60"/>
    </row>
    <row r="9986" spans="7:24" ht="15" customHeight="1">
      <c r="G9986"/>
      <c r="I9986"/>
      <c r="N9986"/>
      <c r="O9986" s="24"/>
      <c r="P9986"/>
      <c r="Q9986" s="24"/>
      <c r="R9986"/>
      <c r="S9986"/>
      <c r="T9986"/>
      <c r="U9986"/>
      <c r="X9986" s="60"/>
    </row>
    <row r="9987" spans="7:24" ht="15" customHeight="1">
      <c r="G9987"/>
      <c r="I9987"/>
      <c r="N9987"/>
      <c r="O9987" s="24"/>
      <c r="P9987"/>
      <c r="Q9987" s="24"/>
      <c r="R9987"/>
      <c r="S9987"/>
      <c r="T9987"/>
      <c r="U9987"/>
      <c r="X9987" s="60"/>
    </row>
    <row r="9988" spans="7:24" ht="15" customHeight="1">
      <c r="G9988"/>
      <c r="I9988"/>
      <c r="N9988"/>
      <c r="O9988" s="24"/>
      <c r="P9988"/>
      <c r="Q9988" s="24"/>
      <c r="R9988"/>
      <c r="S9988"/>
      <c r="T9988"/>
      <c r="U9988"/>
      <c r="X9988" s="60"/>
    </row>
    <row r="9989" spans="7:24" ht="15" customHeight="1">
      <c r="G9989"/>
      <c r="I9989"/>
      <c r="N9989"/>
      <c r="O9989" s="24"/>
      <c r="P9989"/>
      <c r="Q9989" s="24"/>
      <c r="R9989"/>
      <c r="S9989"/>
      <c r="T9989"/>
      <c r="U9989"/>
      <c r="X9989" s="60"/>
    </row>
    <row r="9990" spans="7:24" ht="15" customHeight="1">
      <c r="G9990"/>
      <c r="I9990"/>
      <c r="N9990"/>
      <c r="O9990" s="24"/>
      <c r="P9990"/>
      <c r="Q9990" s="24"/>
      <c r="R9990"/>
      <c r="S9990"/>
      <c r="T9990"/>
      <c r="U9990"/>
      <c r="X9990" s="60"/>
    </row>
    <row r="9991" spans="7:24" ht="15" customHeight="1">
      <c r="G9991"/>
      <c r="I9991"/>
      <c r="N9991"/>
      <c r="O9991" s="24"/>
      <c r="P9991"/>
      <c r="Q9991" s="24"/>
      <c r="R9991"/>
      <c r="S9991"/>
      <c r="T9991"/>
      <c r="U9991"/>
      <c r="X9991" s="60"/>
    </row>
    <row r="9992" spans="7:24" ht="15" customHeight="1">
      <c r="G9992"/>
      <c r="I9992"/>
      <c r="N9992"/>
      <c r="O9992" s="24"/>
      <c r="P9992"/>
      <c r="Q9992" s="24"/>
      <c r="R9992"/>
      <c r="S9992"/>
      <c r="T9992"/>
      <c r="U9992"/>
      <c r="X9992" s="60"/>
    </row>
    <row r="9993" spans="7:24" ht="15" customHeight="1">
      <c r="G9993"/>
      <c r="I9993"/>
      <c r="N9993"/>
      <c r="O9993" s="24"/>
      <c r="P9993"/>
      <c r="Q9993" s="24"/>
      <c r="R9993"/>
      <c r="S9993"/>
      <c r="T9993"/>
      <c r="U9993"/>
      <c r="X9993" s="60"/>
    </row>
    <row r="9994" spans="7:24" ht="15" customHeight="1">
      <c r="G9994"/>
      <c r="I9994"/>
      <c r="N9994"/>
      <c r="O9994" s="24"/>
      <c r="P9994"/>
      <c r="Q9994" s="24"/>
      <c r="R9994"/>
      <c r="S9994"/>
      <c r="T9994"/>
      <c r="U9994"/>
      <c r="X9994" s="60"/>
    </row>
    <row r="9995" spans="7:24" ht="15" customHeight="1">
      <c r="G9995"/>
      <c r="I9995"/>
      <c r="N9995"/>
      <c r="O9995" s="24"/>
      <c r="P9995"/>
      <c r="Q9995" s="24"/>
      <c r="R9995"/>
      <c r="S9995"/>
      <c r="T9995"/>
      <c r="U9995"/>
      <c r="X9995" s="60"/>
    </row>
    <row r="9996" spans="7:24" ht="15" customHeight="1">
      <c r="G9996"/>
      <c r="I9996"/>
      <c r="N9996"/>
      <c r="O9996" s="24"/>
      <c r="P9996"/>
      <c r="Q9996" s="24"/>
      <c r="R9996"/>
      <c r="S9996"/>
      <c r="T9996"/>
      <c r="U9996"/>
      <c r="X9996" s="60"/>
    </row>
    <row r="9997" spans="7:24" ht="15" customHeight="1">
      <c r="G9997"/>
      <c r="I9997"/>
      <c r="N9997"/>
      <c r="O9997" s="24"/>
      <c r="P9997"/>
      <c r="Q9997" s="24"/>
      <c r="R9997"/>
      <c r="S9997"/>
      <c r="T9997"/>
      <c r="U9997"/>
      <c r="X9997" s="60"/>
    </row>
    <row r="9998" spans="7:24" ht="15" customHeight="1">
      <c r="G9998"/>
      <c r="I9998"/>
      <c r="N9998"/>
      <c r="O9998" s="24"/>
      <c r="P9998"/>
      <c r="Q9998" s="24"/>
      <c r="R9998"/>
      <c r="S9998"/>
      <c r="T9998"/>
      <c r="U9998"/>
      <c r="X9998" s="60"/>
    </row>
    <row r="9999" spans="7:24" ht="15" customHeight="1">
      <c r="G9999"/>
      <c r="I9999"/>
      <c r="N9999"/>
      <c r="O9999" s="24"/>
      <c r="P9999"/>
      <c r="Q9999" s="24"/>
      <c r="R9999"/>
      <c r="S9999"/>
      <c r="T9999"/>
      <c r="U9999"/>
      <c r="X9999" s="60"/>
    </row>
    <row r="10000" spans="7:24" ht="15" customHeight="1">
      <c r="G10000"/>
      <c r="I10000"/>
      <c r="N10000"/>
      <c r="O10000" s="24"/>
      <c r="P10000"/>
      <c r="Q10000" s="24"/>
      <c r="R10000"/>
      <c r="S10000"/>
      <c r="T10000"/>
      <c r="U10000"/>
      <c r="X10000" s="60"/>
    </row>
    <row r="10001" spans="7:24" ht="15" customHeight="1">
      <c r="G10001"/>
      <c r="I10001"/>
      <c r="N10001"/>
      <c r="O10001" s="24"/>
      <c r="P10001"/>
      <c r="Q10001" s="24"/>
      <c r="R10001"/>
      <c r="S10001"/>
      <c r="T10001"/>
      <c r="U10001"/>
      <c r="X10001" s="60"/>
    </row>
    <row r="10002" spans="7:24" ht="15" customHeight="1">
      <c r="G10002"/>
      <c r="I10002"/>
      <c r="N10002"/>
      <c r="O10002" s="24"/>
      <c r="P10002"/>
      <c r="Q10002" s="24"/>
      <c r="R10002"/>
      <c r="S10002"/>
      <c r="T10002"/>
      <c r="U10002"/>
      <c r="X10002" s="60"/>
    </row>
    <row r="10003" spans="7:24" ht="15" customHeight="1">
      <c r="G10003"/>
      <c r="I10003"/>
      <c r="N10003"/>
      <c r="O10003" s="24"/>
      <c r="P10003"/>
      <c r="Q10003" s="24"/>
      <c r="R10003"/>
      <c r="S10003"/>
      <c r="T10003"/>
      <c r="U10003"/>
      <c r="X10003" s="60"/>
    </row>
    <row r="10004" spans="7:24" ht="15" customHeight="1">
      <c r="G10004"/>
      <c r="I10004"/>
      <c r="N10004"/>
      <c r="O10004" s="24"/>
      <c r="P10004"/>
      <c r="Q10004" s="24"/>
      <c r="R10004"/>
      <c r="S10004"/>
      <c r="T10004"/>
      <c r="U10004"/>
      <c r="X10004" s="60"/>
    </row>
    <row r="10005" spans="7:24" ht="15" customHeight="1">
      <c r="G10005"/>
      <c r="I10005"/>
      <c r="N10005"/>
      <c r="O10005" s="24"/>
      <c r="P10005"/>
      <c r="Q10005" s="24"/>
      <c r="R10005"/>
      <c r="S10005"/>
      <c r="T10005"/>
      <c r="U10005"/>
      <c r="X10005" s="60"/>
    </row>
    <row r="10006" spans="7:24" ht="15" customHeight="1">
      <c r="G10006"/>
      <c r="I10006"/>
      <c r="N10006"/>
      <c r="O10006" s="24"/>
      <c r="P10006"/>
      <c r="Q10006" s="24"/>
      <c r="R10006"/>
      <c r="S10006"/>
      <c r="T10006"/>
      <c r="U10006"/>
      <c r="X10006" s="60"/>
    </row>
    <row r="10007" spans="7:24" ht="15" customHeight="1">
      <c r="G10007"/>
      <c r="I10007"/>
      <c r="N10007"/>
      <c r="O10007" s="24"/>
      <c r="P10007"/>
      <c r="Q10007" s="24"/>
      <c r="R10007"/>
      <c r="S10007"/>
      <c r="T10007"/>
      <c r="U10007"/>
      <c r="X10007" s="60"/>
    </row>
    <row r="10008" spans="7:24" ht="15" customHeight="1">
      <c r="G10008"/>
      <c r="I10008"/>
      <c r="N10008"/>
      <c r="O10008" s="24"/>
      <c r="P10008"/>
      <c r="Q10008" s="24"/>
      <c r="R10008"/>
      <c r="S10008"/>
      <c r="T10008"/>
      <c r="U10008"/>
      <c r="X10008" s="60"/>
    </row>
    <row r="10009" spans="7:24" ht="15" customHeight="1">
      <c r="G10009"/>
      <c r="I10009"/>
      <c r="N10009"/>
      <c r="O10009" s="24"/>
      <c r="P10009"/>
      <c r="Q10009" s="24"/>
      <c r="R10009"/>
      <c r="S10009"/>
      <c r="T10009"/>
      <c r="U10009"/>
      <c r="X10009" s="60"/>
    </row>
    <row r="10010" spans="7:24" ht="15" customHeight="1">
      <c r="G10010"/>
      <c r="I10010"/>
      <c r="N10010"/>
      <c r="O10010" s="24"/>
      <c r="P10010"/>
      <c r="Q10010" s="24"/>
      <c r="R10010"/>
      <c r="S10010"/>
      <c r="T10010"/>
      <c r="U10010"/>
      <c r="X10010" s="60"/>
    </row>
    <row r="10011" spans="7:24" ht="15" customHeight="1">
      <c r="G10011"/>
      <c r="I10011"/>
      <c r="N10011"/>
      <c r="O10011" s="24"/>
      <c r="P10011"/>
      <c r="Q10011" s="24"/>
      <c r="R10011"/>
      <c r="S10011"/>
      <c r="T10011"/>
      <c r="U10011"/>
      <c r="X10011" s="60"/>
    </row>
    <row r="10012" spans="7:24" ht="15" customHeight="1">
      <c r="G10012"/>
      <c r="I10012"/>
      <c r="N10012"/>
      <c r="O10012" s="24"/>
      <c r="P10012"/>
      <c r="Q10012" s="24"/>
      <c r="R10012"/>
      <c r="S10012"/>
      <c r="T10012"/>
      <c r="U10012"/>
      <c r="X10012" s="60"/>
    </row>
    <row r="10013" spans="7:24" ht="15" customHeight="1">
      <c r="G10013"/>
      <c r="I10013"/>
      <c r="N10013"/>
      <c r="O10013" s="24"/>
      <c r="P10013"/>
      <c r="Q10013" s="24"/>
      <c r="R10013"/>
      <c r="S10013"/>
      <c r="T10013"/>
      <c r="U10013"/>
      <c r="X10013" s="60"/>
    </row>
    <row r="10014" spans="7:24" ht="15" customHeight="1">
      <c r="G10014"/>
      <c r="I10014"/>
      <c r="N10014"/>
      <c r="O10014" s="24"/>
      <c r="P10014"/>
      <c r="Q10014" s="24"/>
      <c r="R10014"/>
      <c r="S10014"/>
      <c r="T10014"/>
      <c r="U10014"/>
      <c r="X10014" s="60"/>
    </row>
    <row r="10015" spans="7:24" ht="15" customHeight="1">
      <c r="G10015"/>
      <c r="I10015"/>
      <c r="N10015"/>
      <c r="O10015" s="24"/>
      <c r="P10015"/>
      <c r="Q10015" s="24"/>
      <c r="R10015"/>
      <c r="S10015"/>
      <c r="T10015"/>
      <c r="U10015"/>
      <c r="X10015" s="60"/>
    </row>
    <row r="10016" spans="7:24" ht="15" customHeight="1">
      <c r="G10016"/>
      <c r="I10016"/>
      <c r="N10016"/>
      <c r="O10016" s="24"/>
      <c r="P10016"/>
      <c r="Q10016" s="24"/>
      <c r="R10016"/>
      <c r="S10016"/>
      <c r="T10016"/>
      <c r="U10016"/>
      <c r="X10016" s="60"/>
    </row>
    <row r="10017" spans="7:24" ht="15" customHeight="1">
      <c r="G10017"/>
      <c r="I10017"/>
      <c r="N10017"/>
      <c r="O10017" s="24"/>
      <c r="P10017"/>
      <c r="Q10017" s="24"/>
      <c r="R10017"/>
      <c r="S10017"/>
      <c r="T10017"/>
      <c r="U10017"/>
      <c r="X10017" s="60"/>
    </row>
    <row r="10018" spans="7:24" ht="15" customHeight="1">
      <c r="G10018"/>
      <c r="I10018"/>
      <c r="N10018"/>
      <c r="O10018" s="24"/>
      <c r="P10018"/>
      <c r="Q10018" s="24"/>
      <c r="R10018"/>
      <c r="S10018"/>
      <c r="T10018"/>
      <c r="U10018"/>
      <c r="X10018" s="60"/>
    </row>
    <row r="10019" spans="7:24" ht="15" customHeight="1">
      <c r="G10019"/>
      <c r="I10019"/>
      <c r="N10019"/>
      <c r="O10019" s="24"/>
      <c r="P10019"/>
      <c r="Q10019" s="24"/>
      <c r="R10019"/>
      <c r="S10019"/>
      <c r="T10019"/>
      <c r="U10019"/>
      <c r="X10019" s="60"/>
    </row>
    <row r="10020" spans="7:24" ht="15" customHeight="1">
      <c r="G10020"/>
      <c r="I10020"/>
      <c r="N10020"/>
      <c r="O10020" s="24"/>
      <c r="P10020"/>
      <c r="Q10020" s="24"/>
      <c r="R10020"/>
      <c r="S10020"/>
      <c r="T10020"/>
      <c r="U10020"/>
      <c r="X10020" s="60"/>
    </row>
    <row r="10021" spans="7:24" ht="15" customHeight="1">
      <c r="G10021"/>
      <c r="I10021"/>
      <c r="N10021"/>
      <c r="O10021" s="24"/>
      <c r="P10021"/>
      <c r="Q10021" s="24"/>
      <c r="R10021"/>
      <c r="S10021"/>
      <c r="T10021"/>
      <c r="U10021"/>
      <c r="X10021" s="60"/>
    </row>
    <row r="10022" spans="7:24" ht="15" customHeight="1">
      <c r="G10022"/>
      <c r="I10022"/>
      <c r="N10022"/>
      <c r="O10022" s="24"/>
      <c r="P10022"/>
      <c r="Q10022" s="24"/>
      <c r="R10022"/>
      <c r="S10022"/>
      <c r="T10022"/>
      <c r="U10022"/>
      <c r="X10022" s="60"/>
    </row>
    <row r="10023" spans="7:24" ht="15" customHeight="1">
      <c r="G10023"/>
      <c r="I10023"/>
      <c r="N10023"/>
      <c r="O10023" s="24"/>
      <c r="P10023"/>
      <c r="Q10023" s="24"/>
      <c r="R10023"/>
      <c r="S10023"/>
      <c r="T10023"/>
      <c r="U10023"/>
      <c r="X10023" s="60"/>
    </row>
    <row r="10024" spans="7:24" ht="15" customHeight="1">
      <c r="G10024"/>
      <c r="I10024"/>
      <c r="N10024"/>
      <c r="O10024" s="24"/>
      <c r="P10024"/>
      <c r="Q10024" s="24"/>
      <c r="R10024"/>
      <c r="S10024"/>
      <c r="T10024"/>
      <c r="U10024"/>
      <c r="X10024" s="60"/>
    </row>
    <row r="10025" spans="7:24" ht="15" customHeight="1">
      <c r="G10025"/>
      <c r="I10025"/>
      <c r="N10025"/>
      <c r="O10025" s="24"/>
      <c r="P10025"/>
      <c r="Q10025" s="24"/>
      <c r="R10025"/>
      <c r="S10025"/>
      <c r="T10025"/>
      <c r="U10025"/>
      <c r="X10025" s="60"/>
    </row>
    <row r="10026" spans="7:24" ht="15" customHeight="1">
      <c r="G10026"/>
      <c r="I10026"/>
      <c r="N10026"/>
      <c r="O10026" s="24"/>
      <c r="P10026"/>
      <c r="Q10026" s="24"/>
      <c r="R10026"/>
      <c r="S10026"/>
      <c r="T10026"/>
      <c r="U10026"/>
      <c r="X10026" s="60"/>
    </row>
    <row r="10027" spans="7:24" ht="15" customHeight="1">
      <c r="G10027"/>
      <c r="I10027"/>
      <c r="N10027"/>
      <c r="O10027" s="24"/>
      <c r="P10027"/>
      <c r="Q10027" s="24"/>
      <c r="R10027"/>
      <c r="S10027"/>
      <c r="T10027"/>
      <c r="U10027"/>
      <c r="X10027" s="60"/>
    </row>
    <row r="10028" spans="7:24" ht="15" customHeight="1">
      <c r="G10028"/>
      <c r="I10028"/>
      <c r="N10028"/>
      <c r="O10028" s="24"/>
      <c r="P10028"/>
      <c r="Q10028" s="24"/>
      <c r="R10028"/>
      <c r="S10028"/>
      <c r="T10028"/>
      <c r="U10028"/>
      <c r="X10028" s="60"/>
    </row>
    <row r="10029" spans="7:24" ht="15" customHeight="1">
      <c r="G10029"/>
      <c r="I10029"/>
      <c r="N10029"/>
      <c r="O10029" s="24"/>
      <c r="P10029"/>
      <c r="Q10029" s="24"/>
      <c r="R10029"/>
      <c r="S10029"/>
      <c r="T10029"/>
      <c r="U10029"/>
      <c r="X10029" s="60"/>
    </row>
    <row r="10030" spans="7:24" ht="15" customHeight="1">
      <c r="G10030"/>
      <c r="I10030"/>
      <c r="N10030"/>
      <c r="O10030" s="24"/>
      <c r="P10030"/>
      <c r="Q10030" s="24"/>
      <c r="R10030"/>
      <c r="S10030"/>
      <c r="T10030"/>
      <c r="U10030"/>
      <c r="X10030" s="60"/>
    </row>
    <row r="10031" spans="7:24" ht="15" customHeight="1">
      <c r="G10031"/>
      <c r="I10031"/>
      <c r="N10031"/>
      <c r="O10031" s="24"/>
      <c r="P10031"/>
      <c r="Q10031" s="24"/>
      <c r="R10031"/>
      <c r="S10031"/>
      <c r="T10031"/>
      <c r="U10031"/>
      <c r="X10031" s="60"/>
    </row>
    <row r="10032" spans="7:24" ht="15" customHeight="1">
      <c r="G10032"/>
      <c r="I10032"/>
      <c r="N10032"/>
      <c r="O10032" s="24"/>
      <c r="P10032"/>
      <c r="Q10032" s="24"/>
      <c r="R10032"/>
      <c r="S10032"/>
      <c r="T10032"/>
      <c r="U10032"/>
      <c r="X10032" s="60"/>
    </row>
    <row r="10033" spans="7:24" ht="15" customHeight="1">
      <c r="G10033"/>
      <c r="I10033"/>
      <c r="N10033"/>
      <c r="O10033" s="24"/>
      <c r="P10033"/>
      <c r="Q10033" s="24"/>
      <c r="R10033"/>
      <c r="S10033"/>
      <c r="T10033"/>
      <c r="U10033"/>
      <c r="X10033" s="60"/>
    </row>
    <row r="10034" spans="7:24" ht="15" customHeight="1">
      <c r="G10034"/>
      <c r="I10034"/>
      <c r="N10034"/>
      <c r="O10034" s="24"/>
      <c r="P10034"/>
      <c r="Q10034" s="24"/>
      <c r="R10034"/>
      <c r="S10034"/>
      <c r="T10034"/>
      <c r="U10034"/>
      <c r="X10034" s="60"/>
    </row>
    <row r="10035" spans="7:24" ht="15" customHeight="1">
      <c r="G10035"/>
      <c r="I10035"/>
      <c r="N10035"/>
      <c r="O10035" s="24"/>
      <c r="P10035"/>
      <c r="Q10035" s="24"/>
      <c r="R10035"/>
      <c r="S10035"/>
      <c r="T10035"/>
      <c r="U10035"/>
      <c r="X10035" s="60"/>
    </row>
    <row r="10036" spans="7:24" ht="15" customHeight="1">
      <c r="G10036"/>
      <c r="I10036"/>
      <c r="N10036"/>
      <c r="O10036" s="24"/>
      <c r="P10036"/>
      <c r="Q10036" s="24"/>
      <c r="R10036"/>
      <c r="S10036"/>
      <c r="T10036"/>
      <c r="U10036"/>
      <c r="X10036" s="60"/>
    </row>
    <row r="10037" spans="7:24" ht="15" customHeight="1">
      <c r="G10037"/>
      <c r="I10037"/>
      <c r="N10037"/>
      <c r="O10037" s="24"/>
      <c r="P10037"/>
      <c r="Q10037" s="24"/>
      <c r="R10037"/>
      <c r="S10037"/>
      <c r="T10037"/>
      <c r="U10037"/>
      <c r="X10037" s="60"/>
    </row>
    <row r="10038" spans="7:24" ht="15" customHeight="1">
      <c r="G10038"/>
      <c r="I10038"/>
      <c r="N10038"/>
      <c r="O10038" s="24"/>
      <c r="P10038"/>
      <c r="Q10038" s="24"/>
      <c r="R10038"/>
      <c r="S10038"/>
      <c r="T10038"/>
      <c r="U10038"/>
      <c r="X10038" s="60"/>
    </row>
    <row r="10039" spans="7:24" ht="15" customHeight="1">
      <c r="G10039"/>
      <c r="I10039"/>
      <c r="N10039"/>
      <c r="O10039" s="24"/>
      <c r="P10039"/>
      <c r="Q10039" s="24"/>
      <c r="R10039"/>
      <c r="S10039"/>
      <c r="T10039"/>
      <c r="U10039"/>
      <c r="X10039" s="60"/>
    </row>
    <row r="10040" spans="7:24" ht="15" customHeight="1">
      <c r="G10040"/>
      <c r="I10040"/>
      <c r="N10040"/>
      <c r="O10040" s="24"/>
      <c r="P10040"/>
      <c r="Q10040" s="24"/>
      <c r="R10040"/>
      <c r="S10040"/>
      <c r="T10040"/>
      <c r="U10040"/>
      <c r="X10040" s="60"/>
    </row>
    <row r="10041" spans="7:24" ht="15" customHeight="1">
      <c r="G10041"/>
      <c r="I10041"/>
      <c r="N10041"/>
      <c r="O10041" s="24"/>
      <c r="P10041"/>
      <c r="Q10041" s="24"/>
      <c r="R10041"/>
      <c r="S10041"/>
      <c r="T10041"/>
      <c r="U10041"/>
      <c r="X10041" s="60"/>
    </row>
    <row r="10042" spans="7:24" ht="15" customHeight="1">
      <c r="G10042"/>
      <c r="I10042"/>
      <c r="N10042"/>
      <c r="O10042" s="24"/>
      <c r="P10042"/>
      <c r="Q10042" s="24"/>
      <c r="R10042"/>
      <c r="S10042"/>
      <c r="T10042"/>
      <c r="U10042"/>
      <c r="X10042" s="60"/>
    </row>
    <row r="10043" spans="7:24" ht="15" customHeight="1">
      <c r="G10043"/>
      <c r="I10043"/>
      <c r="N10043"/>
      <c r="O10043" s="24"/>
      <c r="P10043"/>
      <c r="Q10043" s="24"/>
      <c r="R10043"/>
      <c r="S10043"/>
      <c r="T10043"/>
      <c r="U10043"/>
      <c r="X10043" s="60"/>
    </row>
    <row r="10044" spans="7:24" ht="15" customHeight="1">
      <c r="G10044"/>
      <c r="I10044"/>
      <c r="N10044"/>
      <c r="O10044" s="24"/>
      <c r="P10044"/>
      <c r="Q10044" s="24"/>
      <c r="R10044"/>
      <c r="S10044"/>
      <c r="T10044"/>
      <c r="U10044"/>
      <c r="X10044" s="60"/>
    </row>
    <row r="10045" spans="7:24" ht="15" customHeight="1">
      <c r="G10045"/>
      <c r="I10045"/>
      <c r="N10045"/>
      <c r="O10045" s="24"/>
      <c r="P10045"/>
      <c r="Q10045" s="24"/>
      <c r="R10045"/>
      <c r="S10045"/>
      <c r="T10045"/>
      <c r="U10045"/>
      <c r="X10045" s="60"/>
    </row>
    <row r="10046" spans="7:24" ht="15" customHeight="1">
      <c r="G10046"/>
      <c r="I10046"/>
      <c r="N10046"/>
      <c r="O10046" s="24"/>
      <c r="P10046"/>
      <c r="Q10046" s="24"/>
      <c r="R10046"/>
      <c r="S10046"/>
      <c r="T10046"/>
      <c r="U10046"/>
      <c r="X10046" s="60"/>
    </row>
    <row r="10047" spans="7:24" ht="15" customHeight="1">
      <c r="G10047"/>
      <c r="I10047"/>
      <c r="N10047"/>
      <c r="O10047" s="24"/>
      <c r="P10047"/>
      <c r="Q10047" s="24"/>
      <c r="R10047"/>
      <c r="S10047"/>
      <c r="T10047"/>
      <c r="U10047"/>
      <c r="X10047" s="60"/>
    </row>
    <row r="10048" spans="7:24" ht="15" customHeight="1">
      <c r="G10048"/>
      <c r="I10048"/>
      <c r="N10048"/>
      <c r="O10048" s="24"/>
      <c r="P10048"/>
      <c r="Q10048" s="24"/>
      <c r="R10048"/>
      <c r="S10048"/>
      <c r="T10048"/>
      <c r="U10048"/>
      <c r="X10048" s="60"/>
    </row>
    <row r="10049" spans="7:24" ht="15" customHeight="1">
      <c r="G10049"/>
      <c r="I10049"/>
      <c r="N10049"/>
      <c r="O10049" s="24"/>
      <c r="P10049"/>
      <c r="Q10049" s="24"/>
      <c r="R10049"/>
      <c r="S10049"/>
      <c r="T10049"/>
      <c r="U10049"/>
      <c r="X10049" s="60"/>
    </row>
    <row r="10050" spans="7:24" ht="15" customHeight="1">
      <c r="G10050"/>
      <c r="I10050"/>
      <c r="N10050"/>
      <c r="O10050" s="24"/>
      <c r="P10050"/>
      <c r="Q10050" s="24"/>
      <c r="R10050"/>
      <c r="S10050"/>
      <c r="T10050"/>
      <c r="U10050"/>
      <c r="X10050" s="60"/>
    </row>
    <row r="10051" spans="7:24" ht="15" customHeight="1">
      <c r="G10051"/>
      <c r="I10051"/>
      <c r="N10051"/>
      <c r="O10051" s="24"/>
      <c r="P10051"/>
      <c r="Q10051" s="24"/>
      <c r="R10051"/>
      <c r="S10051"/>
      <c r="T10051"/>
      <c r="U10051"/>
      <c r="X10051" s="60"/>
    </row>
    <row r="10052" spans="7:24" ht="15" customHeight="1">
      <c r="G10052"/>
      <c r="I10052"/>
      <c r="N10052"/>
      <c r="O10052" s="24"/>
      <c r="P10052"/>
      <c r="Q10052" s="24"/>
      <c r="R10052"/>
      <c r="S10052"/>
      <c r="T10052"/>
      <c r="U10052"/>
      <c r="X10052" s="60"/>
    </row>
    <row r="10053" spans="7:24" ht="15" customHeight="1">
      <c r="G10053"/>
      <c r="I10053"/>
      <c r="N10053"/>
      <c r="O10053" s="24"/>
      <c r="P10053"/>
      <c r="Q10053" s="24"/>
      <c r="R10053"/>
      <c r="S10053"/>
      <c r="T10053"/>
      <c r="U10053"/>
      <c r="X10053" s="60"/>
    </row>
    <row r="10054" spans="7:24" ht="15" customHeight="1">
      <c r="G10054"/>
      <c r="I10054"/>
      <c r="N10054"/>
      <c r="O10054" s="24"/>
      <c r="P10054"/>
      <c r="Q10054" s="24"/>
      <c r="R10054"/>
      <c r="S10054"/>
      <c r="T10054"/>
      <c r="U10054"/>
      <c r="X10054" s="60"/>
    </row>
    <row r="10055" spans="7:24" ht="15" customHeight="1">
      <c r="G10055"/>
      <c r="I10055"/>
      <c r="N10055"/>
      <c r="O10055" s="24"/>
      <c r="P10055"/>
      <c r="Q10055" s="24"/>
      <c r="R10055"/>
      <c r="S10055"/>
      <c r="T10055"/>
      <c r="U10055"/>
      <c r="X10055" s="60"/>
    </row>
    <row r="10056" spans="7:24" ht="15" customHeight="1">
      <c r="G10056"/>
      <c r="I10056"/>
      <c r="N10056"/>
      <c r="O10056" s="24"/>
      <c r="P10056"/>
      <c r="Q10056" s="24"/>
      <c r="R10056"/>
      <c r="S10056"/>
      <c r="T10056"/>
      <c r="U10056"/>
      <c r="X10056" s="60"/>
    </row>
    <row r="10057" spans="7:24" ht="15" customHeight="1">
      <c r="G10057"/>
      <c r="I10057"/>
      <c r="N10057"/>
      <c r="O10057" s="24"/>
      <c r="P10057"/>
      <c r="Q10057" s="24"/>
      <c r="R10057"/>
      <c r="S10057"/>
      <c r="T10057"/>
      <c r="U10057"/>
      <c r="X10057" s="60"/>
    </row>
    <row r="10058" spans="7:24" ht="15" customHeight="1">
      <c r="G10058"/>
      <c r="I10058"/>
      <c r="N10058"/>
      <c r="O10058" s="24"/>
      <c r="P10058"/>
      <c r="Q10058" s="24"/>
      <c r="R10058"/>
      <c r="S10058"/>
      <c r="T10058"/>
      <c r="U10058"/>
      <c r="X10058" s="60"/>
    </row>
    <row r="10059" spans="7:24" ht="15" customHeight="1">
      <c r="G10059"/>
      <c r="I10059"/>
      <c r="N10059"/>
      <c r="O10059" s="24"/>
      <c r="P10059"/>
      <c r="Q10059" s="24"/>
      <c r="R10059"/>
      <c r="S10059"/>
      <c r="T10059"/>
      <c r="U10059"/>
      <c r="X10059" s="60"/>
    </row>
    <row r="10060" spans="7:24" ht="15" customHeight="1">
      <c r="G10060"/>
      <c r="I10060"/>
      <c r="N10060"/>
      <c r="O10060" s="24"/>
      <c r="P10060"/>
      <c r="Q10060" s="24"/>
      <c r="R10060"/>
      <c r="S10060"/>
      <c r="T10060"/>
      <c r="U10060"/>
      <c r="X10060" s="60"/>
    </row>
    <row r="10061" spans="7:24" ht="15" customHeight="1">
      <c r="G10061"/>
      <c r="I10061"/>
      <c r="N10061"/>
      <c r="O10061" s="24"/>
      <c r="P10061"/>
      <c r="Q10061" s="24"/>
      <c r="R10061"/>
      <c r="S10061"/>
      <c r="T10061"/>
      <c r="U10061"/>
      <c r="X10061" s="60"/>
    </row>
    <row r="10062" spans="7:24" ht="15" customHeight="1">
      <c r="G10062"/>
      <c r="I10062"/>
      <c r="N10062"/>
      <c r="O10062" s="24"/>
      <c r="P10062"/>
      <c r="Q10062" s="24"/>
      <c r="R10062"/>
      <c r="S10062"/>
      <c r="T10062"/>
      <c r="U10062"/>
      <c r="X10062" s="60"/>
    </row>
    <row r="10063" spans="7:24" ht="15" customHeight="1">
      <c r="G10063"/>
      <c r="I10063"/>
      <c r="N10063"/>
      <c r="O10063" s="24"/>
      <c r="P10063"/>
      <c r="Q10063" s="24"/>
      <c r="R10063"/>
      <c r="S10063"/>
      <c r="T10063"/>
      <c r="U10063"/>
      <c r="X10063" s="60"/>
    </row>
    <row r="10064" spans="7:24" ht="15" customHeight="1">
      <c r="G10064"/>
      <c r="I10064"/>
      <c r="N10064"/>
      <c r="O10064" s="24"/>
      <c r="P10064"/>
      <c r="Q10064" s="24"/>
      <c r="R10064"/>
      <c r="S10064"/>
      <c r="T10064"/>
      <c r="U10064"/>
      <c r="X10064" s="60"/>
    </row>
    <row r="10065" spans="7:24" ht="15" customHeight="1">
      <c r="G10065"/>
      <c r="I10065"/>
      <c r="N10065"/>
      <c r="O10065" s="24"/>
      <c r="P10065"/>
      <c r="Q10065" s="24"/>
      <c r="R10065"/>
      <c r="S10065"/>
      <c r="T10065"/>
      <c r="U10065"/>
      <c r="X10065" s="60"/>
    </row>
    <row r="10066" spans="7:24" ht="15" customHeight="1">
      <c r="G10066"/>
      <c r="I10066"/>
      <c r="N10066"/>
      <c r="O10066" s="24"/>
      <c r="P10066"/>
      <c r="Q10066" s="24"/>
      <c r="R10066"/>
      <c r="S10066"/>
      <c r="T10066"/>
      <c r="U10066"/>
      <c r="X10066" s="60"/>
    </row>
    <row r="10067" spans="7:24" ht="15" customHeight="1">
      <c r="G10067"/>
      <c r="I10067"/>
      <c r="N10067"/>
      <c r="O10067" s="24"/>
      <c r="P10067"/>
      <c r="Q10067" s="24"/>
      <c r="R10067"/>
      <c r="S10067"/>
      <c r="T10067"/>
      <c r="U10067"/>
      <c r="X10067" s="60"/>
    </row>
    <row r="10068" spans="7:24" ht="15" customHeight="1">
      <c r="G10068"/>
      <c r="I10068"/>
      <c r="N10068"/>
      <c r="O10068" s="24"/>
      <c r="P10068"/>
      <c r="Q10068" s="24"/>
      <c r="R10068"/>
      <c r="S10068"/>
      <c r="T10068"/>
      <c r="U10068"/>
      <c r="X10068" s="60"/>
    </row>
    <row r="10069" spans="7:24" ht="15" customHeight="1">
      <c r="G10069"/>
      <c r="I10069"/>
      <c r="N10069"/>
      <c r="O10069" s="24"/>
      <c r="P10069"/>
      <c r="Q10069" s="24"/>
      <c r="R10069"/>
      <c r="S10069"/>
      <c r="T10069"/>
      <c r="U10069"/>
      <c r="X10069" s="60"/>
    </row>
    <row r="10070" spans="7:24" ht="15" customHeight="1">
      <c r="G10070"/>
      <c r="I10070"/>
      <c r="N10070"/>
      <c r="O10070" s="24"/>
      <c r="P10070"/>
      <c r="Q10070" s="24"/>
      <c r="R10070"/>
      <c r="S10070"/>
      <c r="T10070"/>
      <c r="U10070"/>
      <c r="X10070" s="60"/>
    </row>
    <row r="10071" spans="7:24" ht="15" customHeight="1">
      <c r="G10071"/>
      <c r="I10071"/>
      <c r="N10071"/>
      <c r="O10071" s="24"/>
      <c r="P10071"/>
      <c r="Q10071" s="24"/>
      <c r="R10071"/>
      <c r="S10071"/>
      <c r="T10071"/>
      <c r="U10071"/>
      <c r="X10071" s="60"/>
    </row>
    <row r="10072" spans="7:24" ht="15" customHeight="1">
      <c r="G10072"/>
      <c r="I10072"/>
      <c r="N10072"/>
      <c r="O10072" s="24"/>
      <c r="P10072"/>
      <c r="Q10072" s="24"/>
      <c r="R10072"/>
      <c r="S10072"/>
      <c r="T10072"/>
      <c r="U10072"/>
      <c r="X10072" s="60"/>
    </row>
    <row r="10073" spans="7:24" ht="15" customHeight="1">
      <c r="G10073"/>
      <c r="I10073"/>
      <c r="N10073"/>
      <c r="O10073" s="24"/>
      <c r="P10073"/>
      <c r="Q10073" s="24"/>
      <c r="R10073"/>
      <c r="S10073"/>
      <c r="T10073"/>
      <c r="U10073"/>
      <c r="X10073" s="60"/>
    </row>
    <row r="10074" spans="7:24" ht="15" customHeight="1">
      <c r="G10074"/>
      <c r="I10074"/>
      <c r="N10074"/>
      <c r="O10074" s="24"/>
      <c r="P10074"/>
      <c r="Q10074" s="24"/>
      <c r="R10074"/>
      <c r="S10074"/>
      <c r="T10074"/>
      <c r="U10074"/>
      <c r="X10074" s="60"/>
    </row>
    <row r="10075" spans="7:24" ht="15" customHeight="1">
      <c r="G10075"/>
      <c r="I10075"/>
      <c r="N10075"/>
      <c r="O10075" s="24"/>
      <c r="P10075"/>
      <c r="Q10075" s="24"/>
      <c r="R10075"/>
      <c r="S10075"/>
      <c r="T10075"/>
      <c r="U10075"/>
      <c r="X10075" s="60"/>
    </row>
    <row r="10076" spans="7:24" ht="15" customHeight="1">
      <c r="G10076"/>
      <c r="I10076"/>
      <c r="N10076"/>
      <c r="O10076" s="24"/>
      <c r="P10076"/>
      <c r="Q10076" s="24"/>
      <c r="R10076"/>
      <c r="S10076"/>
      <c r="T10076"/>
      <c r="U10076"/>
      <c r="X10076" s="60"/>
    </row>
    <row r="10077" spans="7:24" ht="15" customHeight="1">
      <c r="G10077"/>
      <c r="I10077"/>
      <c r="N10077"/>
      <c r="O10077" s="24"/>
      <c r="P10077"/>
      <c r="Q10077" s="24"/>
      <c r="R10077"/>
      <c r="S10077"/>
      <c r="T10077"/>
      <c r="U10077"/>
      <c r="X10077" s="60"/>
    </row>
    <row r="10078" spans="7:24" ht="15" customHeight="1">
      <c r="G10078"/>
      <c r="I10078"/>
      <c r="N10078"/>
      <c r="O10078" s="24"/>
      <c r="P10078"/>
      <c r="Q10078" s="24"/>
      <c r="R10078"/>
      <c r="S10078"/>
      <c r="T10078"/>
      <c r="U10078"/>
      <c r="X10078" s="60"/>
    </row>
    <row r="10079" spans="7:24" ht="15" customHeight="1">
      <c r="G10079"/>
      <c r="I10079"/>
      <c r="N10079"/>
      <c r="O10079" s="24"/>
      <c r="P10079"/>
      <c r="Q10079" s="24"/>
      <c r="R10079"/>
      <c r="S10079"/>
      <c r="T10079"/>
      <c r="U10079"/>
      <c r="X10079" s="60"/>
    </row>
    <row r="10080" spans="7:24" ht="15" customHeight="1">
      <c r="G10080"/>
      <c r="I10080"/>
      <c r="N10080"/>
      <c r="O10080" s="24"/>
      <c r="P10080"/>
      <c r="Q10080" s="24"/>
      <c r="R10080"/>
      <c r="S10080"/>
      <c r="T10080"/>
      <c r="U10080"/>
      <c r="X10080" s="60"/>
    </row>
    <row r="10081" spans="7:24" ht="15" customHeight="1">
      <c r="G10081"/>
      <c r="I10081"/>
      <c r="N10081"/>
      <c r="O10081" s="24"/>
      <c r="P10081"/>
      <c r="Q10081" s="24"/>
      <c r="R10081"/>
      <c r="S10081"/>
      <c r="T10081"/>
      <c r="U10081"/>
      <c r="X10081" s="60"/>
    </row>
    <row r="10082" spans="7:24" ht="15" customHeight="1">
      <c r="G10082"/>
      <c r="I10082"/>
      <c r="N10082"/>
      <c r="O10082" s="24"/>
      <c r="P10082"/>
      <c r="Q10082" s="24"/>
      <c r="R10082"/>
      <c r="S10082"/>
      <c r="T10082"/>
      <c r="U10082"/>
      <c r="X10082" s="60"/>
    </row>
    <row r="10083" spans="7:24" ht="15" customHeight="1">
      <c r="G10083"/>
      <c r="I10083"/>
      <c r="N10083"/>
      <c r="O10083" s="24"/>
      <c r="P10083"/>
      <c r="Q10083" s="24"/>
      <c r="R10083"/>
      <c r="S10083"/>
      <c r="T10083"/>
      <c r="U10083"/>
      <c r="X10083" s="60"/>
    </row>
    <row r="10084" spans="7:24" ht="15" customHeight="1">
      <c r="G10084"/>
      <c r="I10084"/>
      <c r="N10084"/>
      <c r="O10084" s="24"/>
      <c r="P10084"/>
      <c r="Q10084" s="24"/>
      <c r="R10084"/>
      <c r="S10084"/>
      <c r="T10084"/>
      <c r="U10084"/>
      <c r="X10084" s="60"/>
    </row>
    <row r="10085" spans="7:24" ht="15" customHeight="1">
      <c r="G10085"/>
      <c r="I10085"/>
      <c r="N10085"/>
      <c r="O10085" s="24"/>
      <c r="P10085"/>
      <c r="Q10085" s="24"/>
      <c r="R10085"/>
      <c r="S10085"/>
      <c r="T10085"/>
      <c r="U10085"/>
      <c r="X10085" s="60"/>
    </row>
    <row r="10086" spans="7:24" ht="15" customHeight="1">
      <c r="G10086"/>
      <c r="I10086"/>
      <c r="N10086"/>
      <c r="O10086" s="24"/>
      <c r="P10086"/>
      <c r="Q10086" s="24"/>
      <c r="R10086"/>
      <c r="S10086"/>
      <c r="T10086"/>
      <c r="U10086"/>
      <c r="X10086" s="60"/>
    </row>
    <row r="10087" spans="7:24" ht="15" customHeight="1">
      <c r="G10087"/>
      <c r="I10087"/>
      <c r="N10087"/>
      <c r="O10087" s="24"/>
      <c r="P10087"/>
      <c r="Q10087" s="24"/>
      <c r="R10087"/>
      <c r="S10087"/>
      <c r="T10087"/>
      <c r="U10087"/>
      <c r="X10087" s="60"/>
    </row>
    <row r="10088" spans="7:24" ht="15" customHeight="1">
      <c r="G10088"/>
      <c r="I10088"/>
      <c r="N10088"/>
      <c r="O10088" s="24"/>
      <c r="P10088"/>
      <c r="Q10088" s="24"/>
      <c r="R10088"/>
      <c r="S10088"/>
      <c r="T10088"/>
      <c r="U10088"/>
      <c r="X10088" s="60"/>
    </row>
    <row r="10089" spans="7:24" ht="15" customHeight="1">
      <c r="G10089"/>
      <c r="I10089"/>
      <c r="N10089"/>
      <c r="O10089" s="24"/>
      <c r="P10089"/>
      <c r="Q10089" s="24"/>
      <c r="R10089"/>
      <c r="S10089"/>
      <c r="T10089"/>
      <c r="U10089"/>
      <c r="X10089" s="60"/>
    </row>
    <row r="10090" spans="7:24" ht="15" customHeight="1">
      <c r="G10090"/>
      <c r="I10090"/>
      <c r="N10090"/>
      <c r="O10090" s="24"/>
      <c r="P10090"/>
      <c r="Q10090" s="24"/>
      <c r="R10090"/>
      <c r="S10090"/>
      <c r="T10090"/>
      <c r="U10090"/>
      <c r="X10090" s="60"/>
    </row>
    <row r="10091" spans="7:24" ht="15" customHeight="1">
      <c r="G10091"/>
      <c r="I10091"/>
      <c r="N10091"/>
      <c r="O10091" s="24"/>
      <c r="P10091"/>
      <c r="Q10091" s="24"/>
      <c r="R10091"/>
      <c r="S10091"/>
      <c r="T10091"/>
      <c r="U10091"/>
      <c r="X10091" s="60"/>
    </row>
    <row r="10092" spans="7:24" ht="15" customHeight="1">
      <c r="G10092"/>
      <c r="I10092"/>
      <c r="N10092"/>
      <c r="O10092" s="24"/>
      <c r="P10092"/>
      <c r="Q10092" s="24"/>
      <c r="R10092"/>
      <c r="S10092"/>
      <c r="T10092"/>
      <c r="U10092"/>
      <c r="X10092" s="60"/>
    </row>
    <row r="10093" spans="7:24" ht="15" customHeight="1">
      <c r="G10093"/>
      <c r="I10093"/>
      <c r="N10093"/>
      <c r="O10093" s="24"/>
      <c r="P10093"/>
      <c r="Q10093" s="24"/>
      <c r="R10093"/>
      <c r="S10093"/>
      <c r="T10093"/>
      <c r="U10093"/>
      <c r="X10093" s="60"/>
    </row>
    <row r="10094" spans="7:24" ht="15" customHeight="1">
      <c r="G10094"/>
      <c r="I10094"/>
      <c r="N10094"/>
      <c r="O10094" s="24"/>
      <c r="P10094"/>
      <c r="Q10094" s="24"/>
      <c r="R10094"/>
      <c r="S10094"/>
      <c r="T10094"/>
      <c r="U10094"/>
      <c r="X10094" s="60"/>
    </row>
    <row r="10095" spans="7:24" ht="15" customHeight="1">
      <c r="G10095"/>
      <c r="I10095"/>
      <c r="N10095"/>
      <c r="O10095" s="24"/>
      <c r="P10095"/>
      <c r="Q10095" s="24"/>
      <c r="R10095"/>
      <c r="S10095"/>
      <c r="T10095"/>
      <c r="U10095"/>
      <c r="X10095" s="60"/>
    </row>
    <row r="10096" spans="7:24" ht="15" customHeight="1">
      <c r="G10096"/>
      <c r="I10096"/>
      <c r="N10096"/>
      <c r="O10096" s="24"/>
      <c r="P10096"/>
      <c r="Q10096" s="24"/>
      <c r="R10096"/>
      <c r="S10096"/>
      <c r="T10096"/>
      <c r="U10096"/>
      <c r="X10096" s="60"/>
    </row>
    <row r="10097" spans="7:24" ht="15" customHeight="1">
      <c r="G10097"/>
      <c r="I10097"/>
      <c r="N10097"/>
      <c r="O10097" s="24"/>
      <c r="P10097"/>
      <c r="Q10097" s="24"/>
      <c r="R10097"/>
      <c r="S10097"/>
      <c r="T10097"/>
      <c r="U10097"/>
      <c r="X10097" s="60"/>
    </row>
    <row r="10098" spans="7:24" ht="15" customHeight="1">
      <c r="G10098"/>
      <c r="I10098"/>
      <c r="N10098"/>
      <c r="O10098" s="24"/>
      <c r="P10098"/>
      <c r="Q10098" s="24"/>
      <c r="R10098"/>
      <c r="S10098"/>
      <c r="T10098"/>
      <c r="U10098"/>
      <c r="X10098" s="60"/>
    </row>
    <row r="10099" spans="7:24" ht="15" customHeight="1">
      <c r="G10099"/>
      <c r="I10099"/>
      <c r="N10099"/>
      <c r="O10099" s="24"/>
      <c r="P10099"/>
      <c r="Q10099" s="24"/>
      <c r="R10099"/>
      <c r="S10099"/>
      <c r="T10099"/>
      <c r="U10099"/>
      <c r="X10099" s="60"/>
    </row>
    <row r="10100" spans="7:24" ht="15" customHeight="1">
      <c r="G10100"/>
      <c r="I10100"/>
      <c r="N10100"/>
      <c r="O10100" s="24"/>
      <c r="P10100"/>
      <c r="Q10100" s="24"/>
      <c r="R10100"/>
      <c r="S10100"/>
      <c r="T10100"/>
      <c r="U10100"/>
      <c r="X10100" s="60"/>
    </row>
    <row r="10101" spans="7:24" ht="15" customHeight="1">
      <c r="G10101"/>
      <c r="I10101"/>
      <c r="N10101"/>
      <c r="O10101" s="24"/>
      <c r="P10101"/>
      <c r="Q10101" s="24"/>
      <c r="R10101"/>
      <c r="S10101"/>
      <c r="T10101"/>
      <c r="U10101"/>
      <c r="X10101" s="60"/>
    </row>
    <row r="10102" spans="7:24" ht="15" customHeight="1">
      <c r="G10102"/>
      <c r="I10102"/>
      <c r="N10102"/>
      <c r="O10102" s="24"/>
      <c r="P10102"/>
      <c r="Q10102" s="24"/>
      <c r="R10102"/>
      <c r="S10102"/>
      <c r="T10102"/>
      <c r="U10102"/>
      <c r="X10102" s="60"/>
    </row>
    <row r="10103" spans="7:24" ht="15" customHeight="1">
      <c r="G10103"/>
      <c r="I10103"/>
      <c r="N10103"/>
      <c r="O10103" s="24"/>
      <c r="P10103"/>
      <c r="Q10103" s="24"/>
      <c r="R10103"/>
      <c r="S10103"/>
      <c r="T10103"/>
      <c r="U10103"/>
      <c r="X10103" s="60"/>
    </row>
    <row r="10104" spans="7:24" ht="15" customHeight="1">
      <c r="G10104"/>
      <c r="I10104"/>
      <c r="N10104"/>
      <c r="O10104" s="24"/>
      <c r="P10104"/>
      <c r="Q10104" s="24"/>
      <c r="R10104"/>
      <c r="S10104"/>
      <c r="T10104"/>
      <c r="U10104"/>
      <c r="X10104" s="60"/>
    </row>
    <row r="10105" spans="7:24" ht="15" customHeight="1">
      <c r="G10105"/>
      <c r="I10105"/>
      <c r="N10105"/>
      <c r="O10105" s="24"/>
      <c r="P10105"/>
      <c r="Q10105" s="24"/>
      <c r="R10105"/>
      <c r="S10105"/>
      <c r="T10105"/>
      <c r="U10105"/>
      <c r="X10105" s="60"/>
    </row>
    <row r="10106" spans="7:24" ht="15" customHeight="1">
      <c r="G10106"/>
      <c r="I10106"/>
      <c r="N10106"/>
      <c r="O10106" s="24"/>
      <c r="P10106"/>
      <c r="Q10106" s="24"/>
      <c r="R10106"/>
      <c r="S10106"/>
      <c r="T10106"/>
      <c r="U10106"/>
      <c r="X10106" s="60"/>
    </row>
    <row r="10107" spans="7:24" ht="15" customHeight="1">
      <c r="G10107"/>
      <c r="I10107"/>
      <c r="N10107"/>
      <c r="O10107" s="24"/>
      <c r="P10107"/>
      <c r="Q10107" s="24"/>
      <c r="R10107"/>
      <c r="S10107"/>
      <c r="T10107"/>
      <c r="U10107"/>
      <c r="X10107" s="60"/>
    </row>
    <row r="10108" spans="7:24" ht="15" customHeight="1">
      <c r="G10108"/>
      <c r="I10108"/>
      <c r="N10108"/>
      <c r="O10108" s="24"/>
      <c r="P10108"/>
      <c r="Q10108" s="24"/>
      <c r="R10108"/>
      <c r="S10108"/>
      <c r="T10108"/>
      <c r="U10108"/>
      <c r="X10108" s="60"/>
    </row>
    <row r="10109" spans="7:24" ht="15" customHeight="1">
      <c r="G10109"/>
      <c r="I10109"/>
      <c r="N10109"/>
      <c r="O10109" s="24"/>
      <c r="P10109"/>
      <c r="Q10109" s="24"/>
      <c r="R10109"/>
      <c r="S10109"/>
      <c r="T10109"/>
      <c r="U10109"/>
      <c r="X10109" s="60"/>
    </row>
    <row r="10110" spans="7:24" ht="15" customHeight="1">
      <c r="G10110"/>
      <c r="I10110"/>
      <c r="N10110"/>
      <c r="O10110" s="24"/>
      <c r="P10110"/>
      <c r="Q10110" s="24"/>
      <c r="R10110"/>
      <c r="S10110"/>
      <c r="T10110"/>
      <c r="U10110"/>
      <c r="X10110" s="60"/>
    </row>
    <row r="10111" spans="7:24" ht="15" customHeight="1">
      <c r="G10111"/>
      <c r="I10111"/>
      <c r="N10111"/>
      <c r="O10111" s="24"/>
      <c r="P10111"/>
      <c r="Q10111" s="24"/>
      <c r="R10111"/>
      <c r="S10111"/>
      <c r="T10111"/>
      <c r="U10111"/>
      <c r="X10111" s="60"/>
    </row>
    <row r="10112" spans="7:24" ht="15" customHeight="1">
      <c r="G10112"/>
      <c r="I10112"/>
      <c r="N10112"/>
      <c r="O10112" s="24"/>
      <c r="P10112"/>
      <c r="Q10112" s="24"/>
      <c r="R10112"/>
      <c r="S10112"/>
      <c r="T10112"/>
      <c r="U10112"/>
      <c r="X10112" s="60"/>
    </row>
    <row r="10113" spans="7:24" ht="15" customHeight="1">
      <c r="G10113"/>
      <c r="I10113"/>
      <c r="N10113"/>
      <c r="O10113" s="24"/>
      <c r="P10113"/>
      <c r="Q10113" s="24"/>
      <c r="R10113"/>
      <c r="S10113"/>
      <c r="T10113"/>
      <c r="U10113"/>
      <c r="X10113" s="60"/>
    </row>
    <row r="10114" spans="7:24" ht="15" customHeight="1">
      <c r="G10114"/>
      <c r="I10114"/>
      <c r="N10114"/>
      <c r="O10114" s="24"/>
      <c r="P10114"/>
      <c r="Q10114" s="24"/>
      <c r="R10114"/>
      <c r="S10114"/>
      <c r="T10114"/>
      <c r="U10114"/>
      <c r="X10114" s="60"/>
    </row>
    <row r="10115" spans="7:24" ht="15" customHeight="1">
      <c r="G10115"/>
      <c r="I10115"/>
      <c r="N10115"/>
      <c r="O10115" s="24"/>
      <c r="P10115"/>
      <c r="Q10115" s="24"/>
      <c r="R10115"/>
      <c r="S10115"/>
      <c r="T10115"/>
      <c r="U10115"/>
      <c r="X10115" s="60"/>
    </row>
    <row r="10116" spans="7:24" ht="15" customHeight="1">
      <c r="G10116"/>
      <c r="I10116"/>
      <c r="N10116"/>
      <c r="O10116" s="24"/>
      <c r="P10116"/>
      <c r="Q10116" s="24"/>
      <c r="R10116"/>
      <c r="S10116"/>
      <c r="T10116"/>
      <c r="U10116"/>
      <c r="X10116" s="60"/>
    </row>
    <row r="10117" spans="7:24" ht="15" customHeight="1">
      <c r="G10117"/>
      <c r="I10117"/>
      <c r="N10117"/>
      <c r="O10117" s="24"/>
      <c r="P10117"/>
      <c r="Q10117" s="24"/>
      <c r="R10117"/>
      <c r="S10117"/>
      <c r="T10117"/>
      <c r="U10117"/>
      <c r="X10117" s="60"/>
    </row>
    <row r="10118" spans="7:24" ht="15" customHeight="1">
      <c r="G10118"/>
      <c r="I10118"/>
      <c r="N10118"/>
      <c r="O10118" s="24"/>
      <c r="P10118"/>
      <c r="Q10118" s="24"/>
      <c r="R10118"/>
      <c r="S10118"/>
      <c r="T10118"/>
      <c r="U10118"/>
      <c r="X10118" s="60"/>
    </row>
    <row r="10119" spans="7:24" ht="15" customHeight="1">
      <c r="G10119"/>
      <c r="I10119"/>
      <c r="N10119"/>
      <c r="O10119" s="24"/>
      <c r="P10119"/>
      <c r="Q10119" s="24"/>
      <c r="R10119"/>
      <c r="S10119"/>
      <c r="T10119"/>
      <c r="U10119"/>
      <c r="X10119" s="60"/>
    </row>
    <row r="10120" spans="7:24" ht="15" customHeight="1">
      <c r="G10120"/>
      <c r="I10120"/>
      <c r="N10120"/>
      <c r="O10120" s="24"/>
      <c r="P10120"/>
      <c r="Q10120" s="24"/>
      <c r="R10120"/>
      <c r="S10120"/>
      <c r="T10120"/>
      <c r="U10120"/>
      <c r="X10120" s="60"/>
    </row>
    <row r="10121" spans="7:24" ht="15" customHeight="1">
      <c r="G10121"/>
      <c r="I10121"/>
      <c r="N10121"/>
      <c r="O10121" s="24"/>
      <c r="P10121"/>
      <c r="Q10121" s="24"/>
      <c r="R10121"/>
      <c r="S10121"/>
      <c r="T10121"/>
      <c r="U10121"/>
      <c r="X10121" s="60"/>
    </row>
    <row r="10122" spans="7:24" ht="15" customHeight="1">
      <c r="G10122"/>
      <c r="I10122"/>
      <c r="N10122"/>
      <c r="O10122" s="24"/>
      <c r="P10122"/>
      <c r="Q10122" s="24"/>
      <c r="R10122"/>
      <c r="S10122"/>
      <c r="T10122"/>
      <c r="U10122"/>
      <c r="X10122" s="60"/>
    </row>
    <row r="10123" spans="7:24" ht="15" customHeight="1">
      <c r="G10123"/>
      <c r="I10123"/>
      <c r="N10123"/>
      <c r="O10123" s="24"/>
      <c r="P10123"/>
      <c r="Q10123" s="24"/>
      <c r="R10123"/>
      <c r="S10123"/>
      <c r="T10123"/>
      <c r="U10123"/>
      <c r="X10123" s="60"/>
    </row>
    <row r="10124" spans="7:24" ht="15" customHeight="1">
      <c r="G10124"/>
      <c r="I10124"/>
      <c r="N10124"/>
      <c r="O10124" s="24"/>
      <c r="P10124"/>
      <c r="Q10124" s="24"/>
      <c r="R10124"/>
      <c r="S10124"/>
      <c r="T10124"/>
      <c r="U10124"/>
      <c r="X10124" s="60"/>
    </row>
    <row r="10125" spans="7:24" ht="15" customHeight="1">
      <c r="G10125"/>
      <c r="I10125"/>
      <c r="N10125"/>
      <c r="O10125" s="24"/>
      <c r="P10125"/>
      <c r="Q10125" s="24"/>
      <c r="R10125"/>
      <c r="S10125"/>
      <c r="T10125"/>
      <c r="U10125"/>
      <c r="X10125" s="60"/>
    </row>
    <row r="10126" spans="7:24" ht="15" customHeight="1">
      <c r="G10126"/>
      <c r="I10126"/>
      <c r="N10126"/>
      <c r="O10126" s="24"/>
      <c r="P10126"/>
      <c r="Q10126" s="24"/>
      <c r="R10126"/>
      <c r="S10126"/>
      <c r="T10126"/>
      <c r="U10126"/>
      <c r="X10126" s="60"/>
    </row>
    <row r="10127" spans="7:24" ht="15" customHeight="1">
      <c r="G10127"/>
      <c r="I10127"/>
      <c r="N10127"/>
      <c r="O10127" s="24"/>
      <c r="P10127"/>
      <c r="Q10127" s="24"/>
      <c r="R10127"/>
      <c r="S10127"/>
      <c r="T10127"/>
      <c r="U10127"/>
      <c r="X10127" s="60"/>
    </row>
    <row r="10128" spans="7:24" ht="15" customHeight="1">
      <c r="G10128"/>
      <c r="I10128"/>
      <c r="N10128"/>
      <c r="O10128" s="24"/>
      <c r="P10128"/>
      <c r="Q10128" s="24"/>
      <c r="R10128"/>
      <c r="S10128"/>
      <c r="T10128"/>
      <c r="U10128"/>
      <c r="X10128" s="60"/>
    </row>
    <row r="10129" spans="7:24" ht="15" customHeight="1">
      <c r="G10129"/>
      <c r="I10129"/>
      <c r="N10129"/>
      <c r="O10129" s="24"/>
      <c r="P10129"/>
      <c r="Q10129" s="24"/>
      <c r="R10129"/>
      <c r="S10129"/>
      <c r="T10129"/>
      <c r="U10129"/>
      <c r="X10129" s="60"/>
    </row>
    <row r="10130" spans="7:24" ht="15" customHeight="1">
      <c r="G10130"/>
      <c r="I10130"/>
      <c r="N10130"/>
      <c r="O10130" s="24"/>
      <c r="P10130"/>
      <c r="Q10130" s="24"/>
      <c r="R10130"/>
      <c r="S10130"/>
      <c r="T10130"/>
      <c r="U10130"/>
      <c r="X10130" s="60"/>
    </row>
    <row r="10131" spans="7:24" ht="15" customHeight="1">
      <c r="G10131"/>
      <c r="I10131"/>
      <c r="N10131"/>
      <c r="O10131" s="24"/>
      <c r="P10131"/>
      <c r="Q10131" s="24"/>
      <c r="R10131"/>
      <c r="S10131"/>
      <c r="T10131"/>
      <c r="U10131"/>
      <c r="X10131" s="60"/>
    </row>
    <row r="10132" spans="7:24" ht="15" customHeight="1">
      <c r="G10132"/>
      <c r="I10132"/>
      <c r="N10132"/>
      <c r="O10132" s="24"/>
      <c r="P10132"/>
      <c r="Q10132" s="24"/>
      <c r="R10132"/>
      <c r="S10132"/>
      <c r="T10132"/>
      <c r="U10132"/>
      <c r="X10132" s="60"/>
    </row>
    <row r="10133" spans="7:24" ht="15" customHeight="1">
      <c r="G10133"/>
      <c r="I10133"/>
      <c r="N10133"/>
      <c r="O10133" s="24"/>
      <c r="P10133"/>
      <c r="Q10133" s="24"/>
      <c r="R10133"/>
      <c r="S10133"/>
      <c r="T10133"/>
      <c r="U10133"/>
      <c r="X10133" s="60"/>
    </row>
    <row r="10134" spans="7:24" ht="15" customHeight="1">
      <c r="G10134"/>
      <c r="I10134"/>
      <c r="N10134"/>
      <c r="O10134" s="24"/>
      <c r="P10134"/>
      <c r="Q10134" s="24"/>
      <c r="R10134"/>
      <c r="S10134"/>
      <c r="T10134"/>
      <c r="U10134"/>
      <c r="X10134" s="60"/>
    </row>
    <row r="10135" spans="7:24" ht="15" customHeight="1">
      <c r="G10135"/>
      <c r="I10135"/>
      <c r="N10135"/>
      <c r="O10135" s="24"/>
      <c r="P10135"/>
      <c r="Q10135" s="24"/>
      <c r="R10135"/>
      <c r="S10135"/>
      <c r="T10135"/>
      <c r="U10135"/>
      <c r="X10135" s="60"/>
    </row>
    <row r="10136" spans="7:24" ht="15" customHeight="1">
      <c r="G10136"/>
      <c r="I10136"/>
      <c r="N10136"/>
      <c r="O10136" s="24"/>
      <c r="P10136"/>
      <c r="Q10136" s="24"/>
      <c r="R10136"/>
      <c r="S10136"/>
      <c r="T10136"/>
      <c r="U10136"/>
      <c r="X10136" s="60"/>
    </row>
    <row r="10137" spans="7:24" ht="15" customHeight="1">
      <c r="G10137"/>
      <c r="I10137"/>
      <c r="N10137"/>
      <c r="O10137" s="24"/>
      <c r="P10137"/>
      <c r="Q10137" s="24"/>
      <c r="R10137"/>
      <c r="S10137"/>
      <c r="T10137"/>
      <c r="U10137"/>
      <c r="X10137" s="60"/>
    </row>
    <row r="10138" spans="7:24" ht="15" customHeight="1">
      <c r="G10138"/>
      <c r="I10138"/>
      <c r="N10138"/>
      <c r="O10138" s="24"/>
      <c r="P10138"/>
      <c r="Q10138" s="24"/>
      <c r="R10138"/>
      <c r="S10138"/>
      <c r="T10138"/>
      <c r="U10138"/>
      <c r="X10138" s="60"/>
    </row>
    <row r="10139" spans="7:24" ht="15" customHeight="1">
      <c r="G10139"/>
      <c r="I10139"/>
      <c r="N10139"/>
      <c r="O10139" s="24"/>
      <c r="P10139"/>
      <c r="Q10139" s="24"/>
      <c r="R10139"/>
      <c r="S10139"/>
      <c r="T10139"/>
      <c r="U10139"/>
      <c r="X10139" s="60"/>
    </row>
    <row r="10140" spans="7:24" ht="15" customHeight="1">
      <c r="G10140"/>
      <c r="I10140"/>
      <c r="N10140"/>
      <c r="O10140" s="24"/>
      <c r="P10140"/>
      <c r="Q10140" s="24"/>
      <c r="R10140"/>
      <c r="S10140"/>
      <c r="T10140"/>
      <c r="U10140"/>
      <c r="X10140" s="60"/>
    </row>
    <row r="10141" spans="7:24" ht="15" customHeight="1">
      <c r="G10141"/>
      <c r="I10141"/>
      <c r="N10141"/>
      <c r="O10141" s="24"/>
      <c r="P10141"/>
      <c r="Q10141" s="24"/>
      <c r="R10141"/>
      <c r="S10141"/>
      <c r="T10141"/>
      <c r="U10141"/>
      <c r="X10141" s="60"/>
    </row>
    <row r="10142" spans="7:24" ht="15" customHeight="1">
      <c r="G10142"/>
      <c r="I10142"/>
      <c r="N10142"/>
      <c r="O10142" s="24"/>
      <c r="P10142"/>
      <c r="Q10142" s="24"/>
      <c r="R10142"/>
      <c r="S10142"/>
      <c r="T10142"/>
      <c r="U10142"/>
      <c r="X10142" s="60"/>
    </row>
    <row r="10143" spans="7:24" ht="15" customHeight="1">
      <c r="G10143"/>
      <c r="I10143"/>
      <c r="N10143"/>
      <c r="O10143" s="24"/>
      <c r="P10143"/>
      <c r="Q10143" s="24"/>
      <c r="R10143"/>
      <c r="S10143"/>
      <c r="T10143"/>
      <c r="U10143"/>
      <c r="X10143" s="60"/>
    </row>
    <row r="10144" spans="7:24" ht="15" customHeight="1">
      <c r="G10144"/>
      <c r="I10144"/>
      <c r="N10144"/>
      <c r="O10144" s="24"/>
      <c r="P10144"/>
      <c r="Q10144" s="24"/>
      <c r="R10144"/>
      <c r="S10144"/>
      <c r="T10144"/>
      <c r="U10144"/>
      <c r="X10144" s="60"/>
    </row>
    <row r="10145" spans="7:24" ht="15" customHeight="1">
      <c r="G10145"/>
      <c r="I10145"/>
      <c r="N10145"/>
      <c r="O10145" s="24"/>
      <c r="P10145"/>
      <c r="Q10145" s="24"/>
      <c r="R10145"/>
      <c r="S10145"/>
      <c r="T10145"/>
      <c r="U10145"/>
      <c r="X10145" s="60"/>
    </row>
    <row r="10146" spans="7:24" ht="15" customHeight="1">
      <c r="G10146"/>
      <c r="I10146"/>
      <c r="N10146"/>
      <c r="O10146" s="24"/>
      <c r="P10146"/>
      <c r="Q10146" s="24"/>
      <c r="R10146"/>
      <c r="S10146"/>
      <c r="T10146"/>
      <c r="U10146"/>
      <c r="X10146" s="60"/>
    </row>
    <row r="10147" spans="7:24" ht="15" customHeight="1">
      <c r="G10147"/>
      <c r="I10147"/>
      <c r="N10147"/>
      <c r="O10147" s="24"/>
      <c r="P10147"/>
      <c r="Q10147" s="24"/>
      <c r="R10147"/>
      <c r="S10147"/>
      <c r="T10147"/>
      <c r="U10147"/>
      <c r="X10147" s="60"/>
    </row>
    <row r="10148" spans="7:24" ht="15" customHeight="1">
      <c r="G10148"/>
      <c r="I10148"/>
      <c r="N10148"/>
      <c r="O10148" s="24"/>
      <c r="P10148"/>
      <c r="Q10148" s="24"/>
      <c r="R10148"/>
      <c r="S10148"/>
      <c r="T10148"/>
      <c r="U10148"/>
      <c r="X10148" s="60"/>
    </row>
    <row r="10149" spans="7:24" ht="15" customHeight="1">
      <c r="G10149"/>
      <c r="I10149"/>
      <c r="N10149"/>
      <c r="O10149" s="24"/>
      <c r="P10149"/>
      <c r="Q10149" s="24"/>
      <c r="R10149"/>
      <c r="S10149"/>
      <c r="T10149"/>
      <c r="U10149"/>
      <c r="X10149" s="60"/>
    </row>
    <row r="10150" spans="7:24" ht="15" customHeight="1">
      <c r="G10150"/>
      <c r="I10150"/>
      <c r="N10150"/>
      <c r="O10150" s="24"/>
      <c r="P10150"/>
      <c r="Q10150" s="24"/>
      <c r="R10150"/>
      <c r="S10150"/>
      <c r="T10150"/>
      <c r="U10150"/>
      <c r="X10150" s="60"/>
    </row>
    <row r="10151" spans="7:24" ht="15" customHeight="1">
      <c r="G10151"/>
      <c r="I10151"/>
      <c r="N10151"/>
      <c r="O10151" s="24"/>
      <c r="P10151"/>
      <c r="Q10151" s="24"/>
      <c r="R10151"/>
      <c r="S10151"/>
      <c r="T10151"/>
      <c r="U10151"/>
      <c r="X10151" s="60"/>
    </row>
    <row r="10152" spans="7:24" ht="15" customHeight="1">
      <c r="G10152"/>
      <c r="I10152"/>
      <c r="N10152"/>
      <c r="O10152" s="24"/>
      <c r="P10152"/>
      <c r="Q10152" s="24"/>
      <c r="R10152"/>
      <c r="S10152"/>
      <c r="T10152"/>
      <c r="U10152"/>
      <c r="X10152" s="60"/>
    </row>
    <row r="10153" spans="7:24" ht="15" customHeight="1">
      <c r="G10153"/>
      <c r="I10153"/>
      <c r="N10153"/>
      <c r="O10153" s="24"/>
      <c r="P10153"/>
      <c r="Q10153" s="24"/>
      <c r="R10153"/>
      <c r="S10153"/>
      <c r="T10153"/>
      <c r="U10153"/>
      <c r="X10153" s="60"/>
    </row>
    <row r="10154" spans="7:24" ht="15" customHeight="1">
      <c r="G10154"/>
      <c r="I10154"/>
      <c r="N10154"/>
      <c r="O10154" s="24"/>
      <c r="P10154"/>
      <c r="Q10154" s="24"/>
      <c r="R10154"/>
      <c r="S10154"/>
      <c r="T10154"/>
      <c r="U10154"/>
      <c r="X10154" s="60"/>
    </row>
    <row r="10155" spans="7:24" ht="15" customHeight="1">
      <c r="G10155"/>
      <c r="I10155"/>
      <c r="N10155"/>
      <c r="O10155" s="24"/>
      <c r="P10155"/>
      <c r="Q10155" s="24"/>
      <c r="R10155"/>
      <c r="S10155"/>
      <c r="T10155"/>
      <c r="U10155"/>
      <c r="X10155" s="60"/>
    </row>
    <row r="10156" spans="7:24" ht="15" customHeight="1">
      <c r="G10156"/>
      <c r="I10156"/>
      <c r="N10156"/>
      <c r="O10156" s="24"/>
      <c r="P10156"/>
      <c r="Q10156" s="24"/>
      <c r="R10156"/>
      <c r="S10156"/>
      <c r="T10156"/>
      <c r="U10156"/>
      <c r="X10156" s="60"/>
    </row>
    <row r="10157" spans="7:24" ht="15" customHeight="1">
      <c r="G10157"/>
      <c r="I10157"/>
      <c r="N10157"/>
      <c r="O10157" s="24"/>
      <c r="P10157"/>
      <c r="Q10157" s="24"/>
      <c r="R10157"/>
      <c r="S10157"/>
      <c r="T10157"/>
      <c r="U10157"/>
      <c r="X10157" s="60"/>
    </row>
    <row r="10158" spans="7:24" ht="15" customHeight="1">
      <c r="G10158"/>
      <c r="I10158"/>
      <c r="N10158"/>
      <c r="O10158" s="24"/>
      <c r="P10158"/>
      <c r="Q10158" s="24"/>
      <c r="R10158"/>
      <c r="S10158"/>
      <c r="T10158"/>
      <c r="U10158"/>
      <c r="X10158" s="60"/>
    </row>
    <row r="10159" spans="7:24" ht="15" customHeight="1">
      <c r="G10159"/>
      <c r="I10159"/>
      <c r="N10159"/>
      <c r="O10159" s="24"/>
      <c r="P10159"/>
      <c r="Q10159" s="24"/>
      <c r="R10159"/>
      <c r="S10159"/>
      <c r="T10159"/>
      <c r="U10159"/>
      <c r="X10159" s="60"/>
    </row>
    <row r="10160" spans="7:24" ht="15" customHeight="1">
      <c r="G10160"/>
      <c r="I10160"/>
      <c r="N10160"/>
      <c r="O10160" s="24"/>
      <c r="P10160"/>
      <c r="Q10160" s="24"/>
      <c r="R10160"/>
      <c r="S10160"/>
      <c r="T10160"/>
      <c r="U10160"/>
      <c r="X10160" s="60"/>
    </row>
    <row r="10161" spans="7:24" ht="15" customHeight="1">
      <c r="G10161"/>
      <c r="I10161"/>
      <c r="N10161"/>
      <c r="O10161" s="24"/>
      <c r="P10161"/>
      <c r="Q10161" s="24"/>
      <c r="R10161"/>
      <c r="S10161"/>
      <c r="T10161"/>
      <c r="U10161"/>
      <c r="X10161" s="60"/>
    </row>
    <row r="10162" spans="7:24" ht="15" customHeight="1">
      <c r="G10162"/>
      <c r="I10162"/>
      <c r="N10162"/>
      <c r="O10162" s="24"/>
      <c r="P10162"/>
      <c r="Q10162" s="24"/>
      <c r="R10162"/>
      <c r="S10162"/>
      <c r="T10162"/>
      <c r="U10162"/>
      <c r="X10162" s="60"/>
    </row>
    <row r="10163" spans="7:24" ht="15" customHeight="1">
      <c r="G10163"/>
      <c r="I10163"/>
      <c r="N10163"/>
      <c r="O10163" s="24"/>
      <c r="P10163"/>
      <c r="Q10163" s="24"/>
      <c r="R10163"/>
      <c r="S10163"/>
      <c r="T10163"/>
      <c r="U10163"/>
      <c r="X10163" s="60"/>
    </row>
    <row r="10164" spans="7:24" ht="15" customHeight="1">
      <c r="G10164"/>
      <c r="I10164"/>
      <c r="N10164"/>
      <c r="O10164" s="24"/>
      <c r="P10164"/>
      <c r="Q10164" s="24"/>
      <c r="R10164"/>
      <c r="S10164"/>
      <c r="T10164"/>
      <c r="U10164"/>
      <c r="X10164" s="60"/>
    </row>
    <row r="10165" spans="7:24" ht="15" customHeight="1">
      <c r="G10165"/>
      <c r="I10165"/>
      <c r="N10165"/>
      <c r="O10165" s="24"/>
      <c r="P10165"/>
      <c r="Q10165" s="24"/>
      <c r="R10165"/>
      <c r="S10165"/>
      <c r="T10165"/>
      <c r="U10165"/>
      <c r="X10165" s="60"/>
    </row>
    <row r="10166" spans="7:24" ht="15" customHeight="1">
      <c r="G10166"/>
      <c r="I10166"/>
      <c r="N10166"/>
      <c r="O10166" s="24"/>
      <c r="P10166"/>
      <c r="Q10166" s="24"/>
      <c r="R10166"/>
      <c r="S10166"/>
      <c r="T10166"/>
      <c r="U10166"/>
      <c r="X10166" s="60"/>
    </row>
    <row r="10167" spans="7:24" ht="15" customHeight="1">
      <c r="G10167"/>
      <c r="I10167"/>
      <c r="N10167"/>
      <c r="O10167" s="24"/>
      <c r="P10167"/>
      <c r="Q10167" s="24"/>
      <c r="R10167"/>
      <c r="S10167"/>
      <c r="T10167"/>
      <c r="U10167"/>
      <c r="X10167" s="60"/>
    </row>
    <row r="10168" spans="7:24" ht="15" customHeight="1">
      <c r="G10168"/>
      <c r="I10168"/>
      <c r="N10168"/>
      <c r="O10168" s="24"/>
      <c r="P10168"/>
      <c r="Q10168" s="24"/>
      <c r="R10168"/>
      <c r="S10168"/>
      <c r="T10168"/>
      <c r="U10168"/>
      <c r="X10168" s="60"/>
    </row>
    <row r="10169" spans="7:24" ht="15" customHeight="1">
      <c r="G10169"/>
      <c r="I10169"/>
      <c r="N10169"/>
      <c r="O10169" s="24"/>
      <c r="P10169"/>
      <c r="Q10169" s="24"/>
      <c r="R10169"/>
      <c r="S10169"/>
      <c r="T10169"/>
      <c r="U10169"/>
      <c r="X10169" s="60"/>
    </row>
    <row r="10170" spans="7:24" ht="15" customHeight="1">
      <c r="G10170"/>
      <c r="I10170"/>
      <c r="N10170"/>
      <c r="O10170" s="24"/>
      <c r="P10170"/>
      <c r="Q10170" s="24"/>
      <c r="R10170"/>
      <c r="S10170"/>
      <c r="T10170"/>
      <c r="U10170"/>
      <c r="X10170" s="60"/>
    </row>
    <row r="10171" spans="7:24" ht="15" customHeight="1">
      <c r="G10171"/>
      <c r="I10171"/>
      <c r="N10171"/>
      <c r="O10171" s="24"/>
      <c r="P10171"/>
      <c r="Q10171" s="24"/>
      <c r="R10171"/>
      <c r="S10171"/>
      <c r="T10171"/>
      <c r="U10171"/>
      <c r="X10171" s="60"/>
    </row>
    <row r="10172" spans="7:24" ht="15" customHeight="1">
      <c r="G10172"/>
      <c r="I10172"/>
      <c r="N10172"/>
      <c r="O10172" s="24"/>
      <c r="P10172"/>
      <c r="Q10172" s="24"/>
      <c r="R10172"/>
      <c r="S10172"/>
      <c r="T10172"/>
      <c r="U10172"/>
      <c r="X10172" s="60"/>
    </row>
    <row r="10173" spans="7:24" ht="15" customHeight="1">
      <c r="G10173"/>
      <c r="I10173"/>
      <c r="N10173"/>
      <c r="O10173" s="24"/>
      <c r="P10173"/>
      <c r="Q10173" s="24"/>
      <c r="R10173"/>
      <c r="S10173"/>
      <c r="T10173"/>
      <c r="U10173"/>
      <c r="X10173" s="60"/>
    </row>
    <row r="10174" spans="7:24" ht="15" customHeight="1">
      <c r="G10174"/>
      <c r="I10174"/>
      <c r="N10174"/>
      <c r="O10174" s="24"/>
      <c r="P10174"/>
      <c r="Q10174" s="24"/>
      <c r="R10174"/>
      <c r="S10174"/>
      <c r="T10174"/>
      <c r="U10174"/>
      <c r="X10174" s="60"/>
    </row>
    <row r="10175" spans="7:24" ht="15" customHeight="1">
      <c r="G10175"/>
      <c r="I10175"/>
      <c r="N10175"/>
      <c r="O10175" s="24"/>
      <c r="P10175"/>
      <c r="Q10175" s="24"/>
      <c r="R10175"/>
      <c r="S10175"/>
      <c r="T10175"/>
      <c r="U10175"/>
      <c r="X10175" s="60"/>
    </row>
    <row r="10176" spans="7:24" ht="15" customHeight="1">
      <c r="G10176"/>
      <c r="I10176"/>
      <c r="N10176"/>
      <c r="O10176" s="24"/>
      <c r="P10176"/>
      <c r="Q10176" s="24"/>
      <c r="R10176"/>
      <c r="S10176"/>
      <c r="T10176"/>
      <c r="U10176"/>
      <c r="X10176" s="60"/>
    </row>
    <row r="10177" spans="7:24" ht="15" customHeight="1">
      <c r="G10177"/>
      <c r="I10177"/>
      <c r="N10177"/>
      <c r="O10177" s="24"/>
      <c r="P10177"/>
      <c r="Q10177" s="24"/>
      <c r="R10177"/>
      <c r="S10177"/>
      <c r="T10177"/>
      <c r="U10177"/>
      <c r="X10177" s="60"/>
    </row>
    <row r="10178" spans="7:24" ht="15" customHeight="1">
      <c r="G10178"/>
      <c r="I10178"/>
      <c r="N10178"/>
      <c r="O10178" s="24"/>
      <c r="P10178"/>
      <c r="Q10178" s="24"/>
      <c r="R10178"/>
      <c r="S10178"/>
      <c r="T10178"/>
      <c r="U10178"/>
      <c r="X10178" s="60"/>
    </row>
    <row r="10179" spans="7:24" ht="15" customHeight="1">
      <c r="G10179"/>
      <c r="I10179"/>
      <c r="N10179"/>
      <c r="O10179" s="24"/>
      <c r="P10179"/>
      <c r="Q10179" s="24"/>
      <c r="R10179"/>
      <c r="S10179"/>
      <c r="T10179"/>
      <c r="U10179"/>
      <c r="X10179" s="60"/>
    </row>
    <row r="10180" spans="7:24" ht="15" customHeight="1">
      <c r="G10180"/>
      <c r="I10180"/>
      <c r="N10180"/>
      <c r="O10180" s="24"/>
      <c r="P10180"/>
      <c r="Q10180" s="24"/>
      <c r="R10180"/>
      <c r="S10180"/>
      <c r="T10180"/>
      <c r="U10180"/>
      <c r="X10180" s="60"/>
    </row>
    <row r="10181" spans="7:24" ht="15" customHeight="1">
      <c r="G10181"/>
      <c r="I10181"/>
      <c r="N10181"/>
      <c r="O10181" s="24"/>
      <c r="P10181"/>
      <c r="Q10181" s="24"/>
      <c r="R10181"/>
      <c r="S10181"/>
      <c r="T10181"/>
      <c r="U10181"/>
      <c r="X10181" s="60"/>
    </row>
    <row r="10182" spans="7:24" ht="15" customHeight="1">
      <c r="G10182"/>
      <c r="I10182"/>
      <c r="N10182"/>
      <c r="O10182" s="24"/>
      <c r="P10182"/>
      <c r="Q10182" s="24"/>
      <c r="R10182"/>
      <c r="S10182"/>
      <c r="T10182"/>
      <c r="U10182"/>
      <c r="X10182" s="60"/>
    </row>
    <row r="10183" spans="7:24" ht="15" customHeight="1">
      <c r="G10183"/>
      <c r="I10183"/>
      <c r="N10183"/>
      <c r="O10183" s="24"/>
      <c r="P10183"/>
      <c r="Q10183" s="24"/>
      <c r="R10183"/>
      <c r="S10183"/>
      <c r="T10183"/>
      <c r="U10183"/>
      <c r="X10183" s="60"/>
    </row>
    <row r="10184" spans="7:24" ht="15" customHeight="1">
      <c r="G10184"/>
      <c r="I10184"/>
      <c r="N10184"/>
      <c r="O10184" s="24"/>
      <c r="P10184"/>
      <c r="Q10184" s="24"/>
      <c r="R10184"/>
      <c r="S10184"/>
      <c r="T10184"/>
      <c r="U10184"/>
      <c r="X10184" s="60"/>
    </row>
    <row r="10185" spans="7:24" ht="15" customHeight="1">
      <c r="G10185"/>
      <c r="I10185"/>
      <c r="N10185"/>
      <c r="O10185" s="24"/>
      <c r="P10185"/>
      <c r="Q10185" s="24"/>
      <c r="R10185"/>
      <c r="S10185"/>
      <c r="T10185"/>
      <c r="U10185"/>
      <c r="X10185" s="60"/>
    </row>
    <row r="10186" spans="7:24" ht="15" customHeight="1">
      <c r="G10186"/>
      <c r="I10186"/>
      <c r="N10186"/>
      <c r="O10186" s="24"/>
      <c r="P10186"/>
      <c r="Q10186" s="24"/>
      <c r="R10186"/>
      <c r="S10186"/>
      <c r="T10186"/>
      <c r="U10186"/>
      <c r="X10186" s="60"/>
    </row>
    <row r="10187" spans="7:24" ht="15" customHeight="1">
      <c r="G10187"/>
      <c r="I10187"/>
      <c r="N10187"/>
      <c r="O10187" s="24"/>
      <c r="P10187"/>
      <c r="Q10187" s="24"/>
      <c r="R10187"/>
      <c r="S10187"/>
      <c r="T10187"/>
      <c r="U10187"/>
      <c r="X10187" s="60"/>
    </row>
    <row r="10188" spans="7:24" ht="15" customHeight="1">
      <c r="G10188"/>
      <c r="I10188"/>
      <c r="N10188"/>
      <c r="O10188" s="24"/>
      <c r="P10188"/>
      <c r="Q10188" s="24"/>
      <c r="R10188"/>
      <c r="S10188"/>
      <c r="T10188"/>
      <c r="U10188"/>
      <c r="X10188" s="60"/>
    </row>
    <row r="10189" spans="7:24" ht="15" customHeight="1">
      <c r="G10189"/>
      <c r="I10189"/>
      <c r="N10189"/>
      <c r="O10189" s="24"/>
      <c r="P10189"/>
      <c r="Q10189" s="24"/>
      <c r="R10189"/>
      <c r="S10189"/>
      <c r="T10189"/>
      <c r="U10189"/>
      <c r="X10189" s="60"/>
    </row>
    <row r="10190" spans="7:24" ht="15" customHeight="1">
      <c r="G10190"/>
      <c r="I10190"/>
      <c r="N10190"/>
      <c r="O10190" s="24"/>
      <c r="P10190"/>
      <c r="Q10190" s="24"/>
      <c r="R10190"/>
      <c r="S10190"/>
      <c r="T10190"/>
      <c r="U10190"/>
      <c r="X10190" s="60"/>
    </row>
    <row r="10191" spans="7:24" ht="15" customHeight="1">
      <c r="G10191"/>
      <c r="I10191"/>
      <c r="N10191"/>
      <c r="O10191" s="24"/>
      <c r="P10191"/>
      <c r="Q10191" s="24"/>
      <c r="R10191"/>
      <c r="S10191"/>
      <c r="T10191"/>
      <c r="U10191"/>
      <c r="X10191" s="60"/>
    </row>
    <row r="10192" spans="7:24" ht="15" customHeight="1">
      <c r="G10192"/>
      <c r="I10192"/>
      <c r="N10192"/>
      <c r="O10192" s="24"/>
      <c r="P10192"/>
      <c r="Q10192" s="24"/>
      <c r="R10192"/>
      <c r="S10192"/>
      <c r="T10192"/>
      <c r="U10192"/>
      <c r="X10192" s="60"/>
    </row>
    <row r="10193" spans="7:24" ht="15" customHeight="1">
      <c r="G10193"/>
      <c r="I10193"/>
      <c r="N10193"/>
      <c r="O10193" s="24"/>
      <c r="P10193"/>
      <c r="Q10193" s="24"/>
      <c r="R10193"/>
      <c r="S10193"/>
      <c r="T10193"/>
      <c r="U10193"/>
      <c r="X10193" s="60"/>
    </row>
    <row r="10194" spans="7:24" ht="15" customHeight="1">
      <c r="G10194"/>
      <c r="I10194"/>
      <c r="N10194"/>
      <c r="O10194" s="24"/>
      <c r="P10194"/>
      <c r="Q10194" s="24"/>
      <c r="R10194"/>
      <c r="S10194"/>
      <c r="T10194"/>
      <c r="U10194"/>
      <c r="X10194" s="60"/>
    </row>
    <row r="10195" spans="7:24" ht="15" customHeight="1">
      <c r="G10195"/>
      <c r="I10195"/>
      <c r="N10195"/>
      <c r="O10195" s="24"/>
      <c r="P10195"/>
      <c r="Q10195" s="24"/>
      <c r="R10195"/>
      <c r="S10195"/>
      <c r="T10195"/>
      <c r="U10195"/>
      <c r="X10195" s="60"/>
    </row>
    <row r="10196" spans="7:24" ht="15" customHeight="1">
      <c r="G10196"/>
      <c r="I10196"/>
      <c r="N10196"/>
      <c r="O10196" s="24"/>
      <c r="P10196"/>
      <c r="Q10196" s="24"/>
      <c r="R10196"/>
      <c r="S10196"/>
      <c r="T10196"/>
      <c r="U10196"/>
      <c r="X10196" s="60"/>
    </row>
    <row r="10197" spans="7:24" ht="15" customHeight="1">
      <c r="G10197"/>
      <c r="I10197"/>
      <c r="N10197"/>
      <c r="O10197" s="24"/>
      <c r="P10197"/>
      <c r="Q10197" s="24"/>
      <c r="R10197"/>
      <c r="S10197"/>
      <c r="T10197"/>
      <c r="U10197"/>
      <c r="X10197" s="60"/>
    </row>
    <row r="10198" spans="7:24" ht="15" customHeight="1">
      <c r="G10198"/>
      <c r="I10198"/>
      <c r="N10198"/>
      <c r="O10198" s="24"/>
      <c r="P10198"/>
      <c r="Q10198" s="24"/>
      <c r="R10198"/>
      <c r="S10198"/>
      <c r="T10198"/>
      <c r="U10198"/>
      <c r="X10198" s="60"/>
    </row>
    <row r="10199" spans="7:24" ht="15" customHeight="1">
      <c r="G10199"/>
      <c r="I10199"/>
      <c r="N10199"/>
      <c r="O10199" s="24"/>
      <c r="P10199"/>
      <c r="Q10199" s="24"/>
      <c r="R10199"/>
      <c r="S10199"/>
      <c r="T10199"/>
      <c r="U10199"/>
      <c r="X10199" s="60"/>
    </row>
    <row r="10200" spans="7:24" ht="15" customHeight="1">
      <c r="G10200"/>
      <c r="I10200"/>
      <c r="N10200"/>
      <c r="O10200" s="24"/>
      <c r="P10200"/>
      <c r="Q10200" s="24"/>
      <c r="R10200"/>
      <c r="S10200"/>
      <c r="T10200"/>
      <c r="U10200"/>
      <c r="X10200" s="60"/>
    </row>
    <row r="10201" spans="7:24" ht="15" customHeight="1">
      <c r="G10201"/>
      <c r="I10201"/>
      <c r="N10201"/>
      <c r="O10201" s="24"/>
      <c r="P10201"/>
      <c r="Q10201" s="24"/>
      <c r="R10201"/>
      <c r="S10201"/>
      <c r="T10201"/>
      <c r="U10201"/>
      <c r="X10201" s="60"/>
    </row>
    <row r="10202" spans="7:24" ht="15" customHeight="1">
      <c r="G10202"/>
      <c r="I10202"/>
      <c r="N10202"/>
      <c r="O10202" s="24"/>
      <c r="P10202"/>
      <c r="Q10202" s="24"/>
      <c r="R10202"/>
      <c r="S10202"/>
      <c r="T10202"/>
      <c r="U10202"/>
      <c r="X10202" s="60"/>
    </row>
    <row r="10203" spans="7:24" ht="15" customHeight="1">
      <c r="G10203"/>
      <c r="I10203"/>
      <c r="N10203"/>
      <c r="O10203" s="24"/>
      <c r="P10203"/>
      <c r="Q10203" s="24"/>
      <c r="R10203"/>
      <c r="S10203"/>
      <c r="T10203"/>
      <c r="U10203"/>
      <c r="X10203" s="60"/>
    </row>
    <row r="10204" spans="7:24" ht="15" customHeight="1">
      <c r="G10204"/>
      <c r="I10204"/>
      <c r="N10204"/>
      <c r="O10204" s="24"/>
      <c r="P10204"/>
      <c r="Q10204" s="24"/>
      <c r="R10204"/>
      <c r="S10204"/>
      <c r="T10204"/>
      <c r="U10204"/>
      <c r="X10204" s="60"/>
    </row>
    <row r="10205" spans="7:24" ht="15" customHeight="1">
      <c r="G10205"/>
      <c r="I10205"/>
      <c r="N10205"/>
      <c r="O10205" s="24"/>
      <c r="P10205"/>
      <c r="Q10205" s="24"/>
      <c r="R10205"/>
      <c r="S10205"/>
      <c r="T10205"/>
      <c r="U10205"/>
      <c r="X10205" s="60"/>
    </row>
    <row r="10206" spans="7:24" ht="15" customHeight="1">
      <c r="G10206"/>
      <c r="I10206"/>
      <c r="N10206"/>
      <c r="O10206" s="24"/>
      <c r="P10206"/>
      <c r="Q10206" s="24"/>
      <c r="R10206"/>
      <c r="S10206"/>
      <c r="T10206"/>
      <c r="U10206"/>
      <c r="X10206" s="60"/>
    </row>
    <row r="10207" spans="7:24" ht="15" customHeight="1">
      <c r="G10207"/>
      <c r="I10207"/>
      <c r="N10207"/>
      <c r="O10207" s="24"/>
      <c r="P10207"/>
      <c r="Q10207" s="24"/>
      <c r="R10207"/>
      <c r="S10207"/>
      <c r="T10207"/>
      <c r="U10207"/>
      <c r="X10207" s="60"/>
    </row>
    <row r="10208" spans="7:24" ht="15" customHeight="1">
      <c r="G10208"/>
      <c r="I10208"/>
      <c r="N10208"/>
      <c r="O10208" s="24"/>
      <c r="P10208"/>
      <c r="Q10208" s="24"/>
      <c r="R10208"/>
      <c r="S10208"/>
      <c r="T10208"/>
      <c r="U10208"/>
      <c r="X10208" s="60"/>
    </row>
    <row r="10209" spans="7:24" ht="15" customHeight="1">
      <c r="G10209"/>
      <c r="I10209"/>
      <c r="N10209"/>
      <c r="O10209" s="24"/>
      <c r="P10209"/>
      <c r="Q10209" s="24"/>
      <c r="R10209"/>
      <c r="S10209"/>
      <c r="T10209"/>
      <c r="U10209"/>
      <c r="X10209" s="60"/>
    </row>
    <row r="10210" spans="7:24" ht="15" customHeight="1">
      <c r="G10210"/>
      <c r="I10210"/>
      <c r="N10210"/>
      <c r="O10210" s="24"/>
      <c r="P10210"/>
      <c r="Q10210" s="24"/>
      <c r="R10210"/>
      <c r="S10210"/>
      <c r="T10210"/>
      <c r="U10210"/>
      <c r="X10210" s="60"/>
    </row>
    <row r="10211" spans="7:24" ht="15" customHeight="1">
      <c r="G10211"/>
      <c r="I10211"/>
      <c r="N10211"/>
      <c r="O10211" s="24"/>
      <c r="P10211"/>
      <c r="Q10211" s="24"/>
      <c r="R10211"/>
      <c r="S10211"/>
      <c r="T10211"/>
      <c r="U10211"/>
      <c r="X10211" s="60"/>
    </row>
    <row r="10212" spans="7:24" ht="15" customHeight="1">
      <c r="G10212"/>
      <c r="I10212"/>
      <c r="N10212"/>
      <c r="O10212" s="24"/>
      <c r="P10212"/>
      <c r="Q10212" s="24"/>
      <c r="R10212"/>
      <c r="S10212"/>
      <c r="T10212"/>
      <c r="U10212"/>
      <c r="X10212" s="60"/>
    </row>
    <row r="10213" spans="7:24" ht="15" customHeight="1">
      <c r="G10213"/>
      <c r="I10213"/>
      <c r="N10213"/>
      <c r="O10213" s="24"/>
      <c r="P10213"/>
      <c r="Q10213" s="24"/>
      <c r="R10213"/>
      <c r="S10213"/>
      <c r="T10213"/>
      <c r="U10213"/>
      <c r="X10213" s="60"/>
    </row>
    <row r="10214" spans="7:24" ht="15" customHeight="1">
      <c r="G10214"/>
      <c r="I10214"/>
      <c r="N10214"/>
      <c r="O10214" s="24"/>
      <c r="P10214"/>
      <c r="Q10214" s="24"/>
      <c r="R10214"/>
      <c r="S10214"/>
      <c r="T10214"/>
      <c r="U10214"/>
      <c r="X10214" s="60"/>
    </row>
    <row r="10215" spans="7:24" ht="15" customHeight="1">
      <c r="G10215"/>
      <c r="I10215"/>
      <c r="N10215"/>
      <c r="O10215" s="24"/>
      <c r="P10215"/>
      <c r="Q10215" s="24"/>
      <c r="R10215"/>
      <c r="S10215"/>
      <c r="T10215"/>
      <c r="U10215"/>
      <c r="X10215" s="60"/>
    </row>
    <row r="10216" spans="7:24" ht="15" customHeight="1">
      <c r="G10216"/>
      <c r="I10216"/>
      <c r="N10216"/>
      <c r="O10216" s="24"/>
      <c r="P10216"/>
      <c r="Q10216" s="24"/>
      <c r="R10216"/>
      <c r="S10216"/>
      <c r="T10216"/>
      <c r="U10216"/>
      <c r="X10216" s="60"/>
    </row>
    <row r="10217" spans="7:24" ht="15" customHeight="1">
      <c r="G10217"/>
      <c r="I10217"/>
      <c r="N10217"/>
      <c r="O10217" s="24"/>
      <c r="P10217"/>
      <c r="Q10217" s="24"/>
      <c r="R10217"/>
      <c r="S10217"/>
      <c r="T10217"/>
      <c r="U10217"/>
      <c r="X10217" s="60"/>
    </row>
    <row r="10218" spans="7:24" ht="15" customHeight="1">
      <c r="G10218"/>
      <c r="I10218"/>
      <c r="N10218"/>
      <c r="O10218" s="24"/>
      <c r="P10218"/>
      <c r="Q10218" s="24"/>
      <c r="R10218"/>
      <c r="S10218"/>
      <c r="T10218"/>
      <c r="U10218"/>
      <c r="X10218" s="60"/>
    </row>
    <row r="10219" spans="7:24" ht="15" customHeight="1">
      <c r="G10219"/>
      <c r="I10219"/>
      <c r="N10219"/>
      <c r="O10219" s="24"/>
      <c r="P10219"/>
      <c r="Q10219" s="24"/>
      <c r="R10219"/>
      <c r="S10219"/>
      <c r="T10219"/>
      <c r="U10219"/>
      <c r="X10219" s="60"/>
    </row>
    <row r="10220" spans="7:24" ht="15" customHeight="1">
      <c r="G10220"/>
      <c r="I10220"/>
      <c r="N10220"/>
      <c r="O10220" s="24"/>
      <c r="P10220"/>
      <c r="Q10220" s="24"/>
      <c r="R10220"/>
      <c r="S10220"/>
      <c r="T10220"/>
      <c r="U10220"/>
      <c r="X10220" s="60"/>
    </row>
    <row r="10221" spans="7:24" ht="15" customHeight="1">
      <c r="G10221"/>
      <c r="I10221"/>
      <c r="N10221"/>
      <c r="O10221" s="24"/>
      <c r="P10221"/>
      <c r="Q10221" s="24"/>
      <c r="R10221"/>
      <c r="S10221"/>
      <c r="T10221"/>
      <c r="U10221"/>
      <c r="X10221" s="60"/>
    </row>
    <row r="10222" spans="7:24" ht="15" customHeight="1">
      <c r="G10222"/>
      <c r="I10222"/>
      <c r="N10222"/>
      <c r="O10222" s="24"/>
      <c r="P10222"/>
      <c r="Q10222" s="24"/>
      <c r="R10222"/>
      <c r="S10222"/>
      <c r="T10222"/>
      <c r="U10222"/>
      <c r="X10222" s="60"/>
    </row>
    <row r="10223" spans="7:24" ht="15" customHeight="1">
      <c r="G10223"/>
      <c r="I10223"/>
      <c r="N10223"/>
      <c r="O10223" s="24"/>
      <c r="P10223"/>
      <c r="Q10223" s="24"/>
      <c r="R10223"/>
      <c r="S10223"/>
      <c r="T10223"/>
      <c r="U10223"/>
      <c r="X10223" s="60"/>
    </row>
    <row r="10224" spans="7:24" ht="15" customHeight="1">
      <c r="G10224"/>
      <c r="I10224"/>
      <c r="N10224"/>
      <c r="O10224" s="24"/>
      <c r="P10224"/>
      <c r="Q10224" s="24"/>
      <c r="R10224"/>
      <c r="S10224"/>
      <c r="T10224"/>
      <c r="U10224"/>
      <c r="X10224" s="60"/>
    </row>
    <row r="10225" spans="7:24" ht="15" customHeight="1">
      <c r="G10225"/>
      <c r="I10225"/>
      <c r="N10225"/>
      <c r="O10225" s="24"/>
      <c r="P10225"/>
      <c r="Q10225" s="24"/>
      <c r="R10225"/>
      <c r="S10225"/>
      <c r="T10225"/>
      <c r="U10225"/>
      <c r="X10225" s="60"/>
    </row>
    <row r="10226" spans="7:24" ht="15" customHeight="1">
      <c r="G10226"/>
      <c r="I10226"/>
      <c r="N10226"/>
      <c r="O10226" s="24"/>
      <c r="P10226"/>
      <c r="Q10226" s="24"/>
      <c r="R10226"/>
      <c r="S10226"/>
      <c r="T10226"/>
      <c r="U10226"/>
      <c r="X10226" s="60"/>
    </row>
    <row r="10227" spans="7:24" ht="15" customHeight="1">
      <c r="G10227"/>
      <c r="I10227"/>
      <c r="N10227"/>
      <c r="O10227" s="24"/>
      <c r="P10227"/>
      <c r="Q10227" s="24"/>
      <c r="R10227"/>
      <c r="S10227"/>
      <c r="T10227"/>
      <c r="U10227"/>
      <c r="X10227" s="60"/>
    </row>
    <row r="10228" spans="7:24" ht="15" customHeight="1">
      <c r="G10228"/>
      <c r="I10228"/>
      <c r="N10228"/>
      <c r="O10228" s="24"/>
      <c r="P10228"/>
      <c r="Q10228" s="24"/>
      <c r="R10228"/>
      <c r="S10228"/>
      <c r="T10228"/>
      <c r="U10228"/>
      <c r="X10228" s="60"/>
    </row>
    <row r="10229" spans="7:24" ht="15" customHeight="1">
      <c r="G10229"/>
      <c r="I10229"/>
      <c r="N10229"/>
      <c r="O10229" s="24"/>
      <c r="P10229"/>
      <c r="Q10229" s="24"/>
      <c r="R10229"/>
      <c r="S10229"/>
      <c r="T10229"/>
      <c r="U10229"/>
      <c r="X10229" s="60"/>
    </row>
    <row r="10230" spans="7:24" ht="15" customHeight="1">
      <c r="G10230"/>
      <c r="I10230"/>
      <c r="N10230"/>
      <c r="O10230" s="24"/>
      <c r="P10230"/>
      <c r="Q10230" s="24"/>
      <c r="R10230"/>
      <c r="S10230"/>
      <c r="T10230"/>
      <c r="U10230"/>
      <c r="X10230" s="60"/>
    </row>
    <row r="10231" spans="7:24" ht="15" customHeight="1">
      <c r="G10231"/>
      <c r="I10231"/>
      <c r="N10231"/>
      <c r="O10231" s="24"/>
      <c r="P10231"/>
      <c r="Q10231" s="24"/>
      <c r="R10231"/>
      <c r="S10231"/>
      <c r="T10231"/>
      <c r="U10231"/>
      <c r="X10231" s="60"/>
    </row>
    <row r="10232" spans="7:24" ht="15" customHeight="1">
      <c r="G10232"/>
      <c r="I10232"/>
      <c r="N10232"/>
      <c r="O10232" s="24"/>
      <c r="P10232"/>
      <c r="Q10232" s="24"/>
      <c r="R10232"/>
      <c r="S10232"/>
      <c r="T10232"/>
      <c r="U10232"/>
      <c r="X10232" s="60"/>
    </row>
    <row r="10233" spans="7:24" ht="15" customHeight="1">
      <c r="G10233"/>
      <c r="I10233"/>
      <c r="N10233"/>
      <c r="O10233" s="24"/>
      <c r="P10233"/>
      <c r="Q10233" s="24"/>
      <c r="R10233"/>
      <c r="S10233"/>
      <c r="T10233"/>
      <c r="U10233"/>
      <c r="X10233" s="60"/>
    </row>
    <row r="10234" spans="7:24" ht="15" customHeight="1">
      <c r="G10234"/>
      <c r="I10234"/>
      <c r="N10234"/>
      <c r="O10234" s="24"/>
      <c r="P10234"/>
      <c r="Q10234" s="24"/>
      <c r="R10234"/>
      <c r="S10234"/>
      <c r="T10234"/>
      <c r="U10234"/>
      <c r="X10234" s="60"/>
    </row>
    <row r="10235" spans="7:24" ht="15" customHeight="1">
      <c r="G10235"/>
      <c r="I10235"/>
      <c r="N10235"/>
      <c r="O10235" s="24"/>
      <c r="P10235"/>
      <c r="Q10235" s="24"/>
      <c r="R10235"/>
      <c r="S10235"/>
      <c r="T10235"/>
      <c r="U10235"/>
      <c r="X10235" s="60"/>
    </row>
    <row r="10236" spans="7:24" ht="15" customHeight="1">
      <c r="G10236"/>
      <c r="I10236"/>
      <c r="N10236"/>
      <c r="O10236" s="24"/>
      <c r="P10236"/>
      <c r="Q10236" s="24"/>
      <c r="R10236"/>
      <c r="S10236"/>
      <c r="T10236"/>
      <c r="U10236"/>
      <c r="X10236" s="60"/>
    </row>
    <row r="10237" spans="7:24" ht="15" customHeight="1">
      <c r="G10237"/>
      <c r="I10237"/>
      <c r="N10237"/>
      <c r="O10237" s="24"/>
      <c r="P10237"/>
      <c r="Q10237" s="24"/>
      <c r="R10237"/>
      <c r="S10237"/>
      <c r="T10237"/>
      <c r="U10237"/>
      <c r="X10237" s="60"/>
    </row>
    <row r="10238" spans="7:24" ht="15" customHeight="1">
      <c r="G10238"/>
      <c r="I10238"/>
      <c r="N10238"/>
      <c r="O10238" s="24"/>
      <c r="P10238"/>
      <c r="Q10238" s="24"/>
      <c r="R10238"/>
      <c r="S10238"/>
      <c r="T10238"/>
      <c r="U10238"/>
      <c r="X10238" s="60"/>
    </row>
    <row r="10239" spans="7:24" ht="15" customHeight="1">
      <c r="G10239"/>
      <c r="I10239"/>
      <c r="N10239"/>
      <c r="O10239" s="24"/>
      <c r="P10239"/>
      <c r="Q10239" s="24"/>
      <c r="R10239"/>
      <c r="S10239"/>
      <c r="T10239"/>
      <c r="U10239"/>
      <c r="X10239" s="60"/>
    </row>
    <row r="10240" spans="7:24" ht="15" customHeight="1">
      <c r="G10240"/>
      <c r="I10240"/>
      <c r="N10240"/>
      <c r="O10240" s="24"/>
      <c r="P10240"/>
      <c r="Q10240" s="24"/>
      <c r="R10240"/>
      <c r="S10240"/>
      <c r="T10240"/>
      <c r="U10240"/>
      <c r="X10240" s="60"/>
    </row>
    <row r="10241" spans="7:24" ht="15" customHeight="1">
      <c r="G10241"/>
      <c r="I10241"/>
      <c r="N10241"/>
      <c r="O10241" s="24"/>
      <c r="P10241"/>
      <c r="Q10241" s="24"/>
      <c r="R10241"/>
      <c r="S10241"/>
      <c r="T10241"/>
      <c r="U10241"/>
      <c r="X10241" s="60"/>
    </row>
    <row r="10242" spans="7:24" ht="15" customHeight="1">
      <c r="G10242"/>
      <c r="I10242"/>
      <c r="N10242"/>
      <c r="O10242" s="24"/>
      <c r="P10242"/>
      <c r="Q10242" s="24"/>
      <c r="R10242"/>
      <c r="S10242"/>
      <c r="T10242"/>
      <c r="U10242"/>
      <c r="X10242" s="60"/>
    </row>
    <row r="10243" spans="7:24" ht="15" customHeight="1">
      <c r="G10243"/>
      <c r="I10243"/>
      <c r="N10243"/>
      <c r="O10243" s="24"/>
      <c r="P10243"/>
      <c r="Q10243" s="24"/>
      <c r="R10243"/>
      <c r="S10243"/>
      <c r="T10243"/>
      <c r="U10243"/>
      <c r="X10243" s="60"/>
    </row>
    <row r="10244" spans="7:24" ht="15" customHeight="1">
      <c r="G10244"/>
      <c r="I10244"/>
      <c r="N10244"/>
      <c r="O10244" s="24"/>
      <c r="P10244"/>
      <c r="Q10244" s="24"/>
      <c r="R10244"/>
      <c r="S10244"/>
      <c r="T10244"/>
      <c r="U10244"/>
      <c r="X10244" s="60"/>
    </row>
    <row r="10245" spans="7:24" ht="15" customHeight="1">
      <c r="G10245"/>
      <c r="I10245"/>
      <c r="N10245"/>
      <c r="O10245" s="24"/>
      <c r="P10245"/>
      <c r="Q10245" s="24"/>
      <c r="R10245"/>
      <c r="S10245"/>
      <c r="T10245"/>
      <c r="U10245"/>
      <c r="X10245" s="60"/>
    </row>
    <row r="10246" spans="7:24" ht="15" customHeight="1">
      <c r="G10246"/>
      <c r="I10246"/>
      <c r="N10246"/>
      <c r="O10246" s="24"/>
      <c r="P10246"/>
      <c r="Q10246" s="24"/>
      <c r="R10246"/>
      <c r="S10246"/>
      <c r="T10246"/>
      <c r="U10246"/>
      <c r="X10246" s="60"/>
    </row>
    <row r="10247" spans="7:24" ht="15" customHeight="1">
      <c r="G10247"/>
      <c r="I10247"/>
      <c r="N10247"/>
      <c r="O10247" s="24"/>
      <c r="P10247"/>
      <c r="Q10247" s="24"/>
      <c r="R10247"/>
      <c r="S10247"/>
      <c r="T10247"/>
      <c r="U10247"/>
      <c r="X10247" s="60"/>
    </row>
    <row r="10248" spans="7:24" ht="15" customHeight="1">
      <c r="G10248"/>
      <c r="I10248"/>
      <c r="N10248"/>
      <c r="O10248" s="24"/>
      <c r="P10248"/>
      <c r="Q10248" s="24"/>
      <c r="R10248"/>
      <c r="S10248"/>
      <c r="T10248"/>
      <c r="U10248"/>
      <c r="X10248" s="60"/>
    </row>
    <row r="10249" spans="7:24" ht="15" customHeight="1">
      <c r="G10249"/>
      <c r="I10249"/>
      <c r="N10249"/>
      <c r="O10249" s="24"/>
      <c r="P10249"/>
      <c r="Q10249" s="24"/>
      <c r="R10249"/>
      <c r="S10249"/>
      <c r="T10249"/>
      <c r="U10249"/>
      <c r="X10249" s="60"/>
    </row>
    <row r="10250" spans="7:24" ht="15" customHeight="1">
      <c r="G10250"/>
      <c r="I10250"/>
      <c r="N10250"/>
      <c r="O10250" s="24"/>
      <c r="P10250"/>
      <c r="Q10250" s="24"/>
      <c r="R10250"/>
      <c r="S10250"/>
      <c r="T10250"/>
      <c r="U10250"/>
      <c r="X10250" s="60"/>
    </row>
    <row r="10251" spans="7:24" ht="15" customHeight="1">
      <c r="G10251"/>
      <c r="I10251"/>
      <c r="N10251"/>
      <c r="O10251" s="24"/>
      <c r="P10251"/>
      <c r="Q10251" s="24"/>
      <c r="R10251"/>
      <c r="S10251"/>
      <c r="T10251"/>
      <c r="U10251"/>
      <c r="X10251" s="60"/>
    </row>
    <row r="10252" spans="7:24" ht="15" customHeight="1">
      <c r="G10252"/>
      <c r="I10252"/>
      <c r="N10252"/>
      <c r="O10252" s="24"/>
      <c r="P10252"/>
      <c r="Q10252" s="24"/>
      <c r="R10252"/>
      <c r="S10252"/>
      <c r="T10252"/>
      <c r="U10252"/>
      <c r="X10252" s="60"/>
    </row>
    <row r="10253" spans="7:24" ht="15" customHeight="1">
      <c r="G10253"/>
      <c r="I10253"/>
      <c r="N10253"/>
      <c r="O10253" s="24"/>
      <c r="P10253"/>
      <c r="Q10253" s="24"/>
      <c r="R10253"/>
      <c r="S10253"/>
      <c r="T10253"/>
      <c r="U10253"/>
      <c r="X10253" s="60"/>
    </row>
    <row r="10254" spans="7:24" ht="15" customHeight="1">
      <c r="G10254"/>
      <c r="I10254"/>
      <c r="N10254"/>
      <c r="O10254" s="24"/>
      <c r="P10254"/>
      <c r="Q10254" s="24"/>
      <c r="R10254"/>
      <c r="S10254"/>
      <c r="T10254"/>
      <c r="U10254"/>
      <c r="X10254" s="60"/>
    </row>
    <row r="10255" spans="7:24" ht="15" customHeight="1">
      <c r="G10255"/>
      <c r="I10255"/>
      <c r="N10255"/>
      <c r="O10255" s="24"/>
      <c r="P10255"/>
      <c r="Q10255" s="24"/>
      <c r="R10255"/>
      <c r="S10255"/>
      <c r="T10255"/>
      <c r="U10255"/>
      <c r="X10255" s="60"/>
    </row>
    <row r="10256" spans="7:24" ht="15" customHeight="1">
      <c r="G10256"/>
      <c r="I10256"/>
      <c r="N10256"/>
      <c r="O10256" s="24"/>
      <c r="P10256"/>
      <c r="Q10256" s="24"/>
      <c r="R10256"/>
      <c r="S10256"/>
      <c r="T10256"/>
      <c r="U10256"/>
      <c r="X10256" s="60"/>
    </row>
    <row r="10257" spans="7:24" ht="15" customHeight="1">
      <c r="G10257"/>
      <c r="I10257"/>
      <c r="N10257"/>
      <c r="O10257" s="24"/>
      <c r="P10257"/>
      <c r="Q10257" s="24"/>
      <c r="R10257"/>
      <c r="S10257"/>
      <c r="T10257"/>
      <c r="U10257"/>
      <c r="X10257" s="60"/>
    </row>
    <row r="10258" spans="7:24" ht="15" customHeight="1">
      <c r="G10258"/>
      <c r="I10258"/>
      <c r="N10258"/>
      <c r="O10258" s="24"/>
      <c r="P10258"/>
      <c r="Q10258" s="24"/>
      <c r="R10258"/>
      <c r="S10258"/>
      <c r="T10258"/>
      <c r="U10258"/>
      <c r="X10258" s="60"/>
    </row>
    <row r="10259" spans="7:24" ht="15" customHeight="1">
      <c r="G10259"/>
      <c r="I10259"/>
      <c r="N10259"/>
      <c r="O10259" s="24"/>
      <c r="P10259"/>
      <c r="Q10259" s="24"/>
      <c r="R10259"/>
      <c r="S10259"/>
      <c r="T10259"/>
      <c r="U10259"/>
      <c r="X10259" s="60"/>
    </row>
    <row r="10260" spans="7:24" ht="15" customHeight="1">
      <c r="G10260"/>
      <c r="I10260"/>
      <c r="N10260"/>
      <c r="O10260" s="24"/>
      <c r="P10260"/>
      <c r="Q10260" s="24"/>
      <c r="R10260"/>
      <c r="S10260"/>
      <c r="T10260"/>
      <c r="U10260"/>
      <c r="X10260" s="60"/>
    </row>
    <row r="10261" spans="7:24" ht="15" customHeight="1">
      <c r="G10261"/>
      <c r="I10261"/>
      <c r="N10261"/>
      <c r="O10261" s="24"/>
      <c r="P10261"/>
      <c r="Q10261" s="24"/>
      <c r="R10261"/>
      <c r="S10261"/>
      <c r="T10261"/>
      <c r="U10261"/>
      <c r="X10261" s="60"/>
    </row>
    <row r="10262" spans="7:24" ht="15" customHeight="1">
      <c r="G10262"/>
      <c r="I10262"/>
      <c r="N10262"/>
      <c r="O10262" s="24"/>
      <c r="P10262"/>
      <c r="Q10262" s="24"/>
      <c r="R10262"/>
      <c r="S10262"/>
      <c r="T10262"/>
      <c r="U10262"/>
      <c r="X10262" s="60"/>
    </row>
    <row r="10263" spans="7:24" ht="15" customHeight="1">
      <c r="G10263"/>
      <c r="I10263"/>
      <c r="N10263"/>
      <c r="O10263" s="24"/>
      <c r="P10263"/>
      <c r="Q10263" s="24"/>
      <c r="R10263"/>
      <c r="S10263"/>
      <c r="T10263"/>
      <c r="U10263"/>
      <c r="X10263" s="60"/>
    </row>
    <row r="10264" spans="7:24" ht="15" customHeight="1">
      <c r="G10264"/>
      <c r="I10264"/>
      <c r="N10264"/>
      <c r="O10264" s="24"/>
      <c r="P10264"/>
      <c r="Q10264" s="24"/>
      <c r="R10264"/>
      <c r="S10264"/>
      <c r="T10264"/>
      <c r="U10264"/>
      <c r="X10264" s="60"/>
    </row>
    <row r="10265" spans="7:24" ht="15" customHeight="1">
      <c r="G10265"/>
      <c r="I10265"/>
      <c r="N10265"/>
      <c r="O10265" s="24"/>
      <c r="P10265"/>
      <c r="Q10265" s="24"/>
      <c r="R10265"/>
      <c r="S10265"/>
      <c r="T10265"/>
      <c r="U10265"/>
      <c r="X10265" s="60"/>
    </row>
    <row r="10266" spans="7:24" ht="15" customHeight="1">
      <c r="G10266"/>
      <c r="I10266"/>
      <c r="N10266"/>
      <c r="O10266" s="24"/>
      <c r="P10266"/>
      <c r="Q10266" s="24"/>
      <c r="R10266"/>
      <c r="S10266"/>
      <c r="T10266"/>
      <c r="U10266"/>
      <c r="X10266" s="60"/>
    </row>
    <row r="10267" spans="7:24" ht="15" customHeight="1">
      <c r="G10267"/>
      <c r="I10267"/>
      <c r="N10267"/>
      <c r="O10267" s="24"/>
      <c r="P10267"/>
      <c r="Q10267" s="24"/>
      <c r="R10267"/>
      <c r="S10267"/>
      <c r="T10267"/>
      <c r="U10267"/>
      <c r="X10267" s="60"/>
    </row>
    <row r="10268" spans="7:24" ht="15" customHeight="1">
      <c r="G10268"/>
      <c r="I10268"/>
      <c r="N10268"/>
      <c r="O10268" s="24"/>
      <c r="P10268"/>
      <c r="Q10268" s="24"/>
      <c r="R10268"/>
      <c r="S10268"/>
      <c r="T10268"/>
      <c r="U10268"/>
      <c r="X10268" s="60"/>
    </row>
    <row r="10269" spans="7:24" ht="15" customHeight="1">
      <c r="G10269"/>
      <c r="I10269"/>
      <c r="N10269"/>
      <c r="O10269" s="24"/>
      <c r="P10269"/>
      <c r="Q10269" s="24"/>
      <c r="R10269"/>
      <c r="S10269"/>
      <c r="T10269"/>
      <c r="U10269"/>
      <c r="X10269" s="60"/>
    </row>
    <row r="10270" spans="7:24" ht="15" customHeight="1">
      <c r="G10270"/>
      <c r="I10270"/>
      <c r="N10270"/>
      <c r="O10270" s="24"/>
      <c r="P10270"/>
      <c r="Q10270" s="24"/>
      <c r="R10270"/>
      <c r="S10270"/>
      <c r="T10270"/>
      <c r="U10270"/>
      <c r="X10270" s="60"/>
    </row>
    <row r="10271" spans="7:24" ht="15" customHeight="1">
      <c r="G10271"/>
      <c r="I10271"/>
      <c r="N10271"/>
      <c r="O10271" s="24"/>
      <c r="P10271"/>
      <c r="Q10271" s="24"/>
      <c r="R10271"/>
      <c r="S10271"/>
      <c r="T10271"/>
      <c r="U10271"/>
      <c r="X10271" s="60"/>
    </row>
    <row r="10272" spans="7:24" ht="15" customHeight="1">
      <c r="G10272"/>
      <c r="I10272"/>
      <c r="N10272"/>
      <c r="O10272" s="24"/>
      <c r="P10272"/>
      <c r="Q10272" s="24"/>
      <c r="R10272"/>
      <c r="S10272"/>
      <c r="T10272"/>
      <c r="U10272"/>
      <c r="X10272" s="60"/>
    </row>
    <row r="10273" spans="7:24" ht="15" customHeight="1">
      <c r="G10273"/>
      <c r="I10273"/>
      <c r="N10273"/>
      <c r="O10273" s="24"/>
      <c r="P10273"/>
      <c r="Q10273" s="24"/>
      <c r="R10273"/>
      <c r="S10273"/>
      <c r="T10273"/>
      <c r="U10273"/>
      <c r="X10273" s="60"/>
    </row>
    <row r="10274" spans="7:24" ht="15" customHeight="1">
      <c r="G10274"/>
      <c r="I10274"/>
      <c r="N10274"/>
      <c r="O10274" s="24"/>
      <c r="P10274"/>
      <c r="Q10274" s="24"/>
      <c r="R10274"/>
      <c r="S10274"/>
      <c r="T10274"/>
      <c r="U10274"/>
      <c r="X10274" s="60"/>
    </row>
    <row r="10275" spans="7:24" ht="15" customHeight="1">
      <c r="G10275"/>
      <c r="I10275"/>
      <c r="N10275"/>
      <c r="O10275" s="24"/>
      <c r="P10275"/>
      <c r="Q10275" s="24"/>
      <c r="R10275"/>
      <c r="S10275"/>
      <c r="T10275"/>
      <c r="U10275"/>
      <c r="X10275" s="60"/>
    </row>
    <row r="10276" spans="7:24" ht="15" customHeight="1">
      <c r="G10276"/>
      <c r="I10276"/>
      <c r="N10276"/>
      <c r="O10276" s="24"/>
      <c r="P10276"/>
      <c r="Q10276" s="24"/>
      <c r="R10276"/>
      <c r="S10276"/>
      <c r="T10276"/>
      <c r="U10276"/>
      <c r="X10276" s="60"/>
    </row>
    <row r="10277" spans="7:24" ht="15" customHeight="1">
      <c r="G10277"/>
      <c r="I10277"/>
      <c r="N10277"/>
      <c r="O10277" s="24"/>
      <c r="P10277"/>
      <c r="Q10277" s="24"/>
      <c r="R10277"/>
      <c r="S10277"/>
      <c r="T10277"/>
      <c r="U10277"/>
      <c r="X10277" s="60"/>
    </row>
    <row r="10278" spans="7:24" ht="15" customHeight="1">
      <c r="G10278"/>
      <c r="I10278"/>
      <c r="N10278"/>
      <c r="O10278" s="24"/>
      <c r="P10278"/>
      <c r="Q10278" s="24"/>
      <c r="R10278"/>
      <c r="S10278"/>
      <c r="T10278"/>
      <c r="U10278"/>
      <c r="X10278" s="60"/>
    </row>
    <row r="10279" spans="7:24" ht="15" customHeight="1">
      <c r="G10279"/>
      <c r="I10279"/>
      <c r="N10279"/>
      <c r="O10279" s="24"/>
      <c r="P10279"/>
      <c r="Q10279" s="24"/>
      <c r="R10279"/>
      <c r="S10279"/>
      <c r="T10279"/>
      <c r="U10279"/>
      <c r="X10279" s="60"/>
    </row>
    <row r="10280" spans="7:24" ht="15" customHeight="1">
      <c r="G10280"/>
      <c r="I10280"/>
      <c r="N10280"/>
      <c r="O10280" s="24"/>
      <c r="P10280"/>
      <c r="Q10280" s="24"/>
      <c r="R10280"/>
      <c r="S10280"/>
      <c r="T10280"/>
      <c r="U10280"/>
      <c r="X10280" s="60"/>
    </row>
    <row r="10281" spans="7:24" ht="15" customHeight="1">
      <c r="G10281"/>
      <c r="I10281"/>
      <c r="N10281"/>
      <c r="O10281" s="24"/>
      <c r="P10281"/>
      <c r="Q10281" s="24"/>
      <c r="R10281"/>
      <c r="S10281"/>
      <c r="T10281"/>
      <c r="U10281"/>
      <c r="X10281" s="60"/>
    </row>
    <row r="10282" spans="7:24" ht="15" customHeight="1">
      <c r="G10282"/>
      <c r="I10282"/>
      <c r="N10282"/>
      <c r="O10282" s="24"/>
      <c r="P10282"/>
      <c r="Q10282" s="24"/>
      <c r="R10282"/>
      <c r="S10282"/>
      <c r="T10282"/>
      <c r="U10282"/>
      <c r="X10282" s="60"/>
    </row>
    <row r="10283" spans="7:24" ht="15" customHeight="1">
      <c r="G10283"/>
      <c r="I10283"/>
      <c r="N10283"/>
      <c r="O10283" s="24"/>
      <c r="P10283"/>
      <c r="Q10283" s="24"/>
      <c r="R10283"/>
      <c r="S10283"/>
      <c r="T10283"/>
      <c r="U10283"/>
      <c r="X10283" s="60"/>
    </row>
    <row r="10284" spans="7:24" ht="15" customHeight="1">
      <c r="G10284"/>
      <c r="I10284"/>
      <c r="N10284"/>
      <c r="O10284" s="24"/>
      <c r="P10284"/>
      <c r="Q10284" s="24"/>
      <c r="R10284"/>
      <c r="S10284"/>
      <c r="T10284"/>
      <c r="U10284"/>
      <c r="X10284" s="60"/>
    </row>
    <row r="10285" spans="7:24" ht="15" customHeight="1">
      <c r="G10285"/>
      <c r="I10285"/>
      <c r="N10285"/>
      <c r="O10285" s="24"/>
      <c r="P10285"/>
      <c r="Q10285" s="24"/>
      <c r="R10285"/>
      <c r="S10285"/>
      <c r="T10285"/>
      <c r="U10285"/>
      <c r="X10285" s="60"/>
    </row>
    <row r="10286" spans="7:24" ht="15" customHeight="1">
      <c r="G10286"/>
      <c r="I10286"/>
      <c r="N10286"/>
      <c r="O10286" s="24"/>
      <c r="P10286"/>
      <c r="Q10286" s="24"/>
      <c r="R10286"/>
      <c r="S10286"/>
      <c r="T10286"/>
      <c r="U10286"/>
      <c r="X10286" s="60"/>
    </row>
    <row r="10287" spans="7:24" ht="15" customHeight="1">
      <c r="G10287"/>
      <c r="I10287"/>
      <c r="N10287"/>
      <c r="O10287" s="24"/>
      <c r="P10287"/>
      <c r="Q10287" s="24"/>
      <c r="R10287"/>
      <c r="S10287"/>
      <c r="T10287"/>
      <c r="U10287"/>
      <c r="X10287" s="60"/>
    </row>
    <row r="10288" spans="7:24" ht="15" customHeight="1">
      <c r="G10288"/>
      <c r="I10288"/>
      <c r="N10288"/>
      <c r="O10288" s="24"/>
      <c r="P10288"/>
      <c r="Q10288" s="24"/>
      <c r="R10288"/>
      <c r="S10288"/>
      <c r="T10288"/>
      <c r="U10288"/>
      <c r="X10288" s="60"/>
    </row>
    <row r="10289" spans="7:24" ht="15" customHeight="1">
      <c r="G10289"/>
      <c r="I10289"/>
      <c r="N10289"/>
      <c r="O10289" s="24"/>
      <c r="P10289"/>
      <c r="Q10289" s="24"/>
      <c r="R10289"/>
      <c r="S10289"/>
      <c r="T10289"/>
      <c r="U10289"/>
      <c r="X10289" s="60"/>
    </row>
    <row r="10290" spans="7:24" ht="15" customHeight="1">
      <c r="G10290"/>
      <c r="I10290"/>
      <c r="N10290"/>
      <c r="O10290" s="24"/>
      <c r="P10290"/>
      <c r="Q10290" s="24"/>
      <c r="R10290"/>
      <c r="S10290"/>
      <c r="T10290"/>
      <c r="U10290"/>
      <c r="X10290" s="60"/>
    </row>
    <row r="10291" spans="7:24" ht="15" customHeight="1">
      <c r="G10291"/>
      <c r="I10291"/>
      <c r="N10291"/>
      <c r="O10291" s="24"/>
      <c r="P10291"/>
      <c r="Q10291" s="24"/>
      <c r="R10291"/>
      <c r="S10291"/>
      <c r="T10291"/>
      <c r="U10291"/>
      <c r="X10291" s="60"/>
    </row>
    <row r="10292" spans="7:24" ht="15" customHeight="1">
      <c r="G10292"/>
      <c r="I10292"/>
      <c r="N10292"/>
      <c r="O10292" s="24"/>
      <c r="P10292"/>
      <c r="Q10292" s="24"/>
      <c r="R10292"/>
      <c r="S10292"/>
      <c r="T10292"/>
      <c r="U10292"/>
      <c r="X10292" s="60"/>
    </row>
    <row r="10293" spans="7:24" ht="15" customHeight="1">
      <c r="G10293"/>
      <c r="I10293"/>
      <c r="N10293"/>
      <c r="O10293" s="24"/>
      <c r="P10293"/>
      <c r="Q10293" s="24"/>
      <c r="R10293"/>
      <c r="S10293"/>
      <c r="T10293"/>
      <c r="U10293"/>
      <c r="X10293" s="60"/>
    </row>
    <row r="10294" spans="7:24" ht="15" customHeight="1">
      <c r="G10294"/>
      <c r="I10294"/>
      <c r="N10294"/>
      <c r="O10294" s="24"/>
      <c r="P10294"/>
      <c r="Q10294" s="24"/>
      <c r="R10294"/>
      <c r="S10294"/>
      <c r="T10294"/>
      <c r="U10294"/>
      <c r="X10294" s="60"/>
    </row>
    <row r="10295" spans="7:24" ht="15" customHeight="1">
      <c r="G10295"/>
      <c r="I10295"/>
      <c r="N10295"/>
      <c r="O10295" s="24"/>
      <c r="P10295"/>
      <c r="Q10295" s="24"/>
      <c r="R10295"/>
      <c r="S10295"/>
      <c r="T10295"/>
      <c r="U10295"/>
      <c r="X10295" s="60"/>
    </row>
    <row r="10296" spans="7:24" ht="15" customHeight="1">
      <c r="G10296"/>
      <c r="I10296"/>
      <c r="N10296"/>
      <c r="O10296" s="24"/>
      <c r="P10296"/>
      <c r="Q10296" s="24"/>
      <c r="R10296"/>
      <c r="S10296"/>
      <c r="T10296"/>
      <c r="U10296"/>
      <c r="X10296" s="60"/>
    </row>
    <row r="10297" spans="7:24" ht="15" customHeight="1">
      <c r="G10297"/>
      <c r="I10297"/>
      <c r="N10297"/>
      <c r="O10297" s="24"/>
      <c r="P10297"/>
      <c r="Q10297" s="24"/>
      <c r="R10297"/>
      <c r="S10297"/>
      <c r="T10297"/>
      <c r="U10297"/>
      <c r="X10297" s="60"/>
    </row>
    <row r="10298" spans="7:24" ht="15" customHeight="1">
      <c r="G10298"/>
      <c r="I10298"/>
      <c r="N10298"/>
      <c r="O10298" s="24"/>
      <c r="P10298"/>
      <c r="Q10298" s="24"/>
      <c r="R10298"/>
      <c r="S10298"/>
      <c r="T10298"/>
      <c r="U10298"/>
      <c r="X10298" s="60"/>
    </row>
    <row r="10299" spans="7:24" ht="15" customHeight="1">
      <c r="G10299"/>
      <c r="I10299"/>
      <c r="N10299"/>
      <c r="O10299" s="24"/>
      <c r="P10299"/>
      <c r="Q10299" s="24"/>
      <c r="R10299"/>
      <c r="S10299"/>
      <c r="T10299"/>
      <c r="U10299"/>
      <c r="X10299" s="60"/>
    </row>
    <row r="10300" spans="7:24" ht="15" customHeight="1">
      <c r="G10300"/>
      <c r="I10300"/>
      <c r="N10300"/>
      <c r="O10300" s="24"/>
      <c r="P10300"/>
      <c r="Q10300" s="24"/>
      <c r="R10300"/>
      <c r="S10300"/>
      <c r="T10300"/>
      <c r="U10300"/>
      <c r="X10300" s="60"/>
    </row>
    <row r="10301" spans="7:24" ht="15" customHeight="1">
      <c r="G10301"/>
      <c r="I10301"/>
      <c r="N10301"/>
      <c r="O10301" s="24"/>
      <c r="P10301"/>
      <c r="Q10301" s="24"/>
      <c r="R10301"/>
      <c r="S10301"/>
      <c r="T10301"/>
      <c r="U10301"/>
      <c r="X10301" s="60"/>
    </row>
    <row r="10302" spans="7:24" ht="15" customHeight="1">
      <c r="G10302"/>
      <c r="I10302"/>
      <c r="N10302"/>
      <c r="O10302" s="24"/>
      <c r="P10302"/>
      <c r="Q10302" s="24"/>
      <c r="R10302"/>
      <c r="S10302"/>
      <c r="T10302"/>
      <c r="U10302"/>
      <c r="X10302" s="60"/>
    </row>
    <row r="10303" spans="7:24" ht="15" customHeight="1">
      <c r="G10303"/>
      <c r="I10303"/>
      <c r="N10303"/>
      <c r="O10303" s="24"/>
      <c r="P10303"/>
      <c r="Q10303" s="24"/>
      <c r="R10303"/>
      <c r="S10303"/>
      <c r="T10303"/>
      <c r="U10303"/>
      <c r="X10303" s="60"/>
    </row>
    <row r="10304" spans="7:24" ht="15" customHeight="1">
      <c r="G10304"/>
      <c r="I10304"/>
      <c r="N10304"/>
      <c r="O10304" s="24"/>
      <c r="P10304"/>
      <c r="Q10304" s="24"/>
      <c r="R10304"/>
      <c r="S10304"/>
      <c r="T10304"/>
      <c r="U10304"/>
      <c r="X10304" s="60"/>
    </row>
    <row r="10305" spans="7:24" ht="15" customHeight="1">
      <c r="G10305"/>
      <c r="I10305"/>
      <c r="N10305"/>
      <c r="O10305" s="24"/>
      <c r="P10305"/>
      <c r="Q10305" s="24"/>
      <c r="R10305"/>
      <c r="S10305"/>
      <c r="T10305"/>
      <c r="U10305"/>
      <c r="X10305" s="60"/>
    </row>
    <row r="10306" spans="7:24" ht="15" customHeight="1">
      <c r="G10306"/>
      <c r="I10306"/>
      <c r="N10306"/>
      <c r="O10306" s="24"/>
      <c r="P10306"/>
      <c r="Q10306" s="24"/>
      <c r="R10306"/>
      <c r="S10306"/>
      <c r="T10306"/>
      <c r="U10306"/>
      <c r="X10306" s="60"/>
    </row>
    <row r="10307" spans="7:24" ht="15" customHeight="1">
      <c r="G10307"/>
      <c r="I10307"/>
      <c r="N10307"/>
      <c r="O10307" s="24"/>
      <c r="P10307"/>
      <c r="Q10307" s="24"/>
      <c r="R10307"/>
      <c r="S10307"/>
      <c r="T10307"/>
      <c r="U10307"/>
      <c r="X10307" s="60"/>
    </row>
    <row r="10308" spans="7:24" ht="15" customHeight="1">
      <c r="G10308"/>
      <c r="I10308"/>
      <c r="N10308"/>
      <c r="O10308" s="24"/>
      <c r="P10308"/>
      <c r="Q10308" s="24"/>
      <c r="R10308"/>
      <c r="S10308"/>
      <c r="T10308"/>
      <c r="U10308"/>
      <c r="X10308" s="60"/>
    </row>
    <row r="10309" spans="7:24" ht="15" customHeight="1">
      <c r="G10309"/>
      <c r="I10309"/>
      <c r="N10309"/>
      <c r="O10309" s="24"/>
      <c r="P10309"/>
      <c r="Q10309" s="24"/>
      <c r="R10309"/>
      <c r="S10309"/>
      <c r="T10309"/>
      <c r="U10309"/>
      <c r="X10309" s="60"/>
    </row>
    <row r="10310" spans="7:24" ht="15" customHeight="1">
      <c r="G10310"/>
      <c r="I10310"/>
      <c r="N10310"/>
      <c r="O10310" s="24"/>
      <c r="P10310"/>
      <c r="Q10310" s="24"/>
      <c r="R10310"/>
      <c r="S10310"/>
      <c r="T10310"/>
      <c r="U10310"/>
      <c r="X10310" s="60"/>
    </row>
    <row r="10311" spans="7:24" ht="15" customHeight="1">
      <c r="G10311"/>
      <c r="I10311"/>
      <c r="N10311"/>
      <c r="O10311" s="24"/>
      <c r="P10311"/>
      <c r="Q10311" s="24"/>
      <c r="R10311"/>
      <c r="S10311"/>
      <c r="T10311"/>
      <c r="U10311"/>
      <c r="X10311" s="60"/>
    </row>
    <row r="10312" spans="7:24" ht="15" customHeight="1">
      <c r="G10312"/>
      <c r="I10312"/>
      <c r="N10312"/>
      <c r="O10312" s="24"/>
      <c r="P10312"/>
      <c r="Q10312" s="24"/>
      <c r="R10312"/>
      <c r="S10312"/>
      <c r="T10312"/>
      <c r="U10312"/>
      <c r="X10312" s="60"/>
    </row>
    <row r="10313" spans="7:24" ht="15" customHeight="1">
      <c r="G10313"/>
      <c r="I10313"/>
      <c r="N10313"/>
      <c r="O10313" s="24"/>
      <c r="P10313"/>
      <c r="Q10313" s="24"/>
      <c r="R10313"/>
      <c r="S10313"/>
      <c r="T10313"/>
      <c r="U10313"/>
      <c r="X10313" s="60"/>
    </row>
    <row r="10314" spans="7:24" ht="15" customHeight="1">
      <c r="G10314"/>
      <c r="I10314"/>
      <c r="N10314"/>
      <c r="O10314" s="24"/>
      <c r="P10314"/>
      <c r="Q10314" s="24"/>
      <c r="R10314"/>
      <c r="S10314"/>
      <c r="T10314"/>
      <c r="U10314"/>
      <c r="X10314" s="60"/>
    </row>
    <row r="10315" spans="7:24" ht="15" customHeight="1">
      <c r="G10315"/>
      <c r="I10315"/>
      <c r="N10315"/>
      <c r="O10315" s="24"/>
      <c r="P10315"/>
      <c r="Q10315" s="24"/>
      <c r="R10315"/>
      <c r="S10315"/>
      <c r="T10315"/>
      <c r="U10315"/>
      <c r="X10315" s="60"/>
    </row>
    <row r="10316" spans="7:24" ht="15" customHeight="1">
      <c r="G10316"/>
      <c r="I10316"/>
      <c r="N10316"/>
      <c r="O10316" s="24"/>
      <c r="P10316"/>
      <c r="Q10316" s="24"/>
      <c r="R10316"/>
      <c r="S10316"/>
      <c r="T10316"/>
      <c r="U10316"/>
      <c r="X10316" s="60"/>
    </row>
    <row r="10317" spans="7:24" ht="15" customHeight="1">
      <c r="G10317"/>
      <c r="I10317"/>
      <c r="N10317"/>
      <c r="O10317" s="24"/>
      <c r="P10317"/>
      <c r="Q10317" s="24"/>
      <c r="R10317"/>
      <c r="S10317"/>
      <c r="T10317"/>
      <c r="U10317"/>
      <c r="X10317" s="60"/>
    </row>
    <row r="10318" spans="7:24" ht="15" customHeight="1">
      <c r="G10318"/>
      <c r="I10318"/>
      <c r="N10318"/>
      <c r="O10318" s="24"/>
      <c r="P10318"/>
      <c r="Q10318" s="24"/>
      <c r="R10318"/>
      <c r="S10318"/>
      <c r="T10318"/>
      <c r="U10318"/>
      <c r="X10318" s="60"/>
    </row>
    <row r="10319" spans="7:24" ht="15" customHeight="1">
      <c r="G10319"/>
      <c r="I10319"/>
      <c r="N10319"/>
      <c r="O10319" s="24"/>
      <c r="P10319"/>
      <c r="Q10319" s="24"/>
      <c r="R10319"/>
      <c r="S10319"/>
      <c r="T10319"/>
      <c r="U10319"/>
      <c r="X10319" s="60"/>
    </row>
    <row r="10320" spans="7:24" ht="15" customHeight="1">
      <c r="G10320"/>
      <c r="I10320"/>
      <c r="N10320"/>
      <c r="O10320" s="24"/>
      <c r="P10320"/>
      <c r="Q10320" s="24"/>
      <c r="R10320"/>
      <c r="S10320"/>
      <c r="T10320"/>
      <c r="U10320"/>
      <c r="X10320" s="60"/>
    </row>
    <row r="10321" spans="7:24" ht="15" customHeight="1">
      <c r="G10321"/>
      <c r="I10321"/>
      <c r="N10321"/>
      <c r="O10321" s="24"/>
      <c r="P10321"/>
      <c r="Q10321" s="24"/>
      <c r="R10321"/>
      <c r="S10321"/>
      <c r="T10321"/>
      <c r="U10321"/>
      <c r="X10321" s="60"/>
    </row>
    <row r="10322" spans="7:24" ht="15" customHeight="1">
      <c r="G10322"/>
      <c r="I10322"/>
      <c r="N10322"/>
      <c r="O10322" s="24"/>
      <c r="P10322"/>
      <c r="Q10322" s="24"/>
      <c r="R10322"/>
      <c r="S10322"/>
      <c r="T10322"/>
      <c r="U10322"/>
      <c r="X10322" s="60"/>
    </row>
    <row r="10323" spans="7:24" ht="15" customHeight="1">
      <c r="G10323"/>
      <c r="I10323"/>
      <c r="N10323"/>
      <c r="O10323" s="24"/>
      <c r="P10323"/>
      <c r="Q10323" s="24"/>
      <c r="R10323"/>
      <c r="S10323"/>
      <c r="T10323"/>
      <c r="U10323"/>
      <c r="X10323" s="60"/>
    </row>
    <row r="10324" spans="7:24" ht="15" customHeight="1">
      <c r="G10324"/>
      <c r="I10324"/>
      <c r="N10324"/>
      <c r="O10324" s="24"/>
      <c r="P10324"/>
      <c r="Q10324" s="24"/>
      <c r="R10324"/>
      <c r="S10324"/>
      <c r="T10324"/>
      <c r="U10324"/>
      <c r="X10324" s="60"/>
    </row>
    <row r="10325" spans="7:24" ht="15" customHeight="1">
      <c r="G10325"/>
      <c r="I10325"/>
      <c r="N10325"/>
      <c r="O10325" s="24"/>
      <c r="P10325"/>
      <c r="Q10325" s="24"/>
      <c r="R10325"/>
      <c r="S10325"/>
      <c r="T10325"/>
      <c r="U10325"/>
      <c r="X10325" s="60"/>
    </row>
    <row r="10326" spans="7:24" ht="15" customHeight="1">
      <c r="G10326"/>
      <c r="I10326"/>
      <c r="N10326"/>
      <c r="O10326" s="24"/>
      <c r="P10326"/>
      <c r="Q10326" s="24"/>
      <c r="R10326"/>
      <c r="S10326"/>
      <c r="T10326"/>
      <c r="U10326"/>
      <c r="X10326" s="60"/>
    </row>
    <row r="10327" spans="7:24" ht="15" customHeight="1">
      <c r="G10327"/>
      <c r="I10327"/>
      <c r="N10327"/>
      <c r="O10327" s="24"/>
      <c r="P10327"/>
      <c r="Q10327" s="24"/>
      <c r="R10327"/>
      <c r="S10327"/>
      <c r="T10327"/>
      <c r="U10327"/>
      <c r="X10327" s="60"/>
    </row>
    <row r="10328" spans="7:24" ht="15" customHeight="1">
      <c r="G10328"/>
      <c r="I10328"/>
      <c r="N10328"/>
      <c r="O10328" s="24"/>
      <c r="P10328"/>
      <c r="Q10328" s="24"/>
      <c r="R10328"/>
      <c r="S10328"/>
      <c r="T10328"/>
      <c r="U10328"/>
      <c r="X10328" s="60"/>
    </row>
    <row r="10329" spans="7:24" ht="15" customHeight="1">
      <c r="G10329"/>
      <c r="I10329"/>
      <c r="N10329"/>
      <c r="O10329" s="24"/>
      <c r="P10329"/>
      <c r="Q10329" s="24"/>
      <c r="R10329"/>
      <c r="S10329"/>
      <c r="T10329"/>
      <c r="U10329"/>
      <c r="X10329" s="60"/>
    </row>
    <row r="10330" spans="7:24" ht="15" customHeight="1">
      <c r="G10330"/>
      <c r="I10330"/>
      <c r="N10330"/>
      <c r="O10330" s="24"/>
      <c r="P10330"/>
      <c r="Q10330" s="24"/>
      <c r="R10330"/>
      <c r="S10330"/>
      <c r="T10330"/>
      <c r="U10330"/>
      <c r="X10330" s="60"/>
    </row>
    <row r="10331" spans="7:24" ht="15" customHeight="1">
      <c r="G10331"/>
      <c r="I10331"/>
      <c r="N10331"/>
      <c r="O10331" s="24"/>
      <c r="P10331"/>
      <c r="Q10331" s="24"/>
      <c r="R10331"/>
      <c r="S10331"/>
      <c r="T10331"/>
      <c r="U10331"/>
      <c r="X10331" s="60"/>
    </row>
    <row r="10332" spans="7:24" ht="15" customHeight="1">
      <c r="G10332"/>
      <c r="I10332"/>
      <c r="N10332"/>
      <c r="O10332" s="24"/>
      <c r="P10332"/>
      <c r="Q10332" s="24"/>
      <c r="R10332"/>
      <c r="S10332"/>
      <c r="T10332"/>
      <c r="U10332"/>
      <c r="X10332" s="60"/>
    </row>
    <row r="10333" spans="7:24" ht="15" customHeight="1">
      <c r="G10333"/>
      <c r="I10333"/>
      <c r="N10333"/>
      <c r="O10333" s="24"/>
      <c r="P10333"/>
      <c r="Q10333" s="24"/>
      <c r="R10333"/>
      <c r="S10333"/>
      <c r="T10333"/>
      <c r="U10333"/>
      <c r="X10333" s="60"/>
    </row>
    <row r="10334" spans="7:24" ht="15" customHeight="1">
      <c r="G10334"/>
      <c r="I10334"/>
      <c r="N10334"/>
      <c r="O10334" s="24"/>
      <c r="P10334"/>
      <c r="Q10334" s="24"/>
      <c r="R10334"/>
      <c r="S10334"/>
      <c r="T10334"/>
      <c r="U10334"/>
      <c r="X10334" s="60"/>
    </row>
    <row r="10335" spans="7:24" ht="15" customHeight="1">
      <c r="G10335"/>
      <c r="I10335"/>
      <c r="N10335"/>
      <c r="O10335" s="24"/>
      <c r="P10335"/>
      <c r="Q10335" s="24"/>
      <c r="R10335"/>
      <c r="S10335"/>
      <c r="T10335"/>
      <c r="U10335"/>
      <c r="X10335" s="60"/>
    </row>
    <row r="10336" spans="7:24" ht="15" customHeight="1">
      <c r="G10336"/>
      <c r="I10336"/>
      <c r="N10336"/>
      <c r="O10336" s="24"/>
      <c r="P10336"/>
      <c r="Q10336" s="24"/>
      <c r="R10336"/>
      <c r="S10336"/>
      <c r="T10336"/>
      <c r="U10336"/>
      <c r="X10336" s="60"/>
    </row>
    <row r="10337" spans="7:24" ht="15" customHeight="1">
      <c r="G10337"/>
      <c r="I10337"/>
      <c r="N10337"/>
      <c r="O10337" s="24"/>
      <c r="P10337"/>
      <c r="Q10337" s="24"/>
      <c r="R10337"/>
      <c r="S10337"/>
      <c r="T10337"/>
      <c r="U10337"/>
      <c r="X10337" s="60"/>
    </row>
    <row r="10338" spans="7:24" ht="15" customHeight="1">
      <c r="G10338"/>
      <c r="I10338"/>
      <c r="N10338"/>
      <c r="O10338" s="24"/>
      <c r="P10338"/>
      <c r="Q10338" s="24"/>
      <c r="R10338"/>
      <c r="S10338"/>
      <c r="T10338"/>
      <c r="U10338"/>
      <c r="X10338" s="60"/>
    </row>
    <row r="10339" spans="7:24" ht="15" customHeight="1">
      <c r="G10339"/>
      <c r="I10339"/>
      <c r="N10339"/>
      <c r="O10339" s="24"/>
      <c r="P10339"/>
      <c r="Q10339" s="24"/>
      <c r="R10339"/>
      <c r="S10339"/>
      <c r="T10339"/>
      <c r="U10339"/>
      <c r="X10339" s="60"/>
    </row>
    <row r="10340" spans="7:24" ht="15" customHeight="1">
      <c r="G10340"/>
      <c r="I10340"/>
      <c r="N10340"/>
      <c r="O10340" s="24"/>
      <c r="P10340"/>
      <c r="Q10340" s="24"/>
      <c r="R10340"/>
      <c r="S10340"/>
      <c r="T10340"/>
      <c r="U10340"/>
      <c r="X10340" s="60"/>
    </row>
    <row r="10341" spans="7:24" ht="15" customHeight="1">
      <c r="G10341"/>
      <c r="I10341"/>
      <c r="N10341"/>
      <c r="O10341" s="24"/>
      <c r="P10341"/>
      <c r="Q10341" s="24"/>
      <c r="R10341"/>
      <c r="S10341"/>
      <c r="T10341"/>
      <c r="U10341"/>
      <c r="X10341" s="60"/>
    </row>
    <row r="10342" spans="7:24" ht="15" customHeight="1">
      <c r="G10342"/>
      <c r="I10342"/>
      <c r="N10342"/>
      <c r="O10342" s="24"/>
      <c r="P10342"/>
      <c r="Q10342" s="24"/>
      <c r="R10342"/>
      <c r="S10342"/>
      <c r="T10342"/>
      <c r="U10342"/>
      <c r="X10342" s="60"/>
    </row>
    <row r="10343" spans="7:24" ht="15" customHeight="1">
      <c r="G10343"/>
      <c r="I10343"/>
      <c r="N10343"/>
      <c r="O10343" s="24"/>
      <c r="P10343"/>
      <c r="Q10343" s="24"/>
      <c r="R10343"/>
      <c r="S10343"/>
      <c r="T10343"/>
      <c r="U10343"/>
      <c r="X10343" s="60"/>
    </row>
    <row r="10344" spans="7:24" ht="15" customHeight="1">
      <c r="G10344"/>
      <c r="I10344"/>
      <c r="N10344"/>
      <c r="O10344" s="24"/>
      <c r="P10344"/>
      <c r="Q10344" s="24"/>
      <c r="R10344"/>
      <c r="S10344"/>
      <c r="T10344"/>
      <c r="U10344"/>
      <c r="X10344" s="60"/>
    </row>
    <row r="10345" spans="7:24" ht="15" customHeight="1">
      <c r="G10345"/>
      <c r="I10345"/>
      <c r="N10345"/>
      <c r="O10345" s="24"/>
      <c r="P10345"/>
      <c r="Q10345" s="24"/>
      <c r="R10345"/>
      <c r="S10345"/>
      <c r="T10345"/>
      <c r="U10345"/>
      <c r="X10345" s="60"/>
    </row>
    <row r="10346" spans="7:24" ht="15" customHeight="1">
      <c r="G10346"/>
      <c r="I10346"/>
      <c r="N10346"/>
      <c r="O10346" s="24"/>
      <c r="P10346"/>
      <c r="Q10346" s="24"/>
      <c r="R10346"/>
      <c r="S10346"/>
      <c r="T10346"/>
      <c r="U10346"/>
      <c r="X10346" s="60"/>
    </row>
    <row r="10347" spans="7:24" ht="15" customHeight="1">
      <c r="G10347"/>
      <c r="I10347"/>
      <c r="N10347"/>
      <c r="O10347" s="24"/>
      <c r="P10347"/>
      <c r="Q10347" s="24"/>
      <c r="R10347"/>
      <c r="S10347"/>
      <c r="T10347"/>
      <c r="U10347"/>
      <c r="X10347" s="60"/>
    </row>
    <row r="10348" spans="7:24" ht="15" customHeight="1">
      <c r="G10348"/>
      <c r="I10348"/>
      <c r="N10348"/>
      <c r="O10348" s="24"/>
      <c r="P10348"/>
      <c r="Q10348" s="24"/>
      <c r="R10348"/>
      <c r="S10348"/>
      <c r="T10348"/>
      <c r="U10348"/>
      <c r="X10348" s="60"/>
    </row>
    <row r="10349" spans="7:24" ht="15" customHeight="1">
      <c r="G10349"/>
      <c r="I10349"/>
      <c r="N10349"/>
      <c r="O10349" s="24"/>
      <c r="P10349"/>
      <c r="Q10349" s="24"/>
      <c r="R10349"/>
      <c r="S10349"/>
      <c r="T10349"/>
      <c r="U10349"/>
      <c r="X10349" s="60"/>
    </row>
    <row r="10350" spans="7:24" ht="15" customHeight="1">
      <c r="G10350"/>
      <c r="I10350"/>
      <c r="N10350"/>
      <c r="O10350" s="24"/>
      <c r="P10350"/>
      <c r="Q10350" s="24"/>
      <c r="R10350"/>
      <c r="S10350"/>
      <c r="T10350"/>
      <c r="U10350"/>
      <c r="X10350" s="60"/>
    </row>
    <row r="10351" spans="7:24" ht="15" customHeight="1">
      <c r="G10351"/>
      <c r="I10351"/>
      <c r="N10351"/>
      <c r="O10351" s="24"/>
      <c r="P10351"/>
      <c r="Q10351" s="24"/>
      <c r="R10351"/>
      <c r="S10351"/>
      <c r="T10351"/>
      <c r="U10351"/>
      <c r="X10351" s="60"/>
    </row>
    <row r="10352" spans="7:24" ht="15" customHeight="1">
      <c r="G10352"/>
      <c r="I10352"/>
      <c r="N10352"/>
      <c r="O10352" s="24"/>
      <c r="P10352"/>
      <c r="Q10352" s="24"/>
      <c r="R10352"/>
      <c r="S10352"/>
      <c r="T10352"/>
      <c r="U10352"/>
      <c r="X10352" s="60"/>
    </row>
    <row r="10353" spans="7:24" ht="15" customHeight="1">
      <c r="G10353"/>
      <c r="I10353"/>
      <c r="N10353"/>
      <c r="O10353" s="24"/>
      <c r="P10353"/>
      <c r="Q10353" s="24"/>
      <c r="R10353"/>
      <c r="S10353"/>
      <c r="T10353"/>
      <c r="U10353"/>
      <c r="X10353" s="60"/>
    </row>
    <row r="10354" spans="7:24" ht="15" customHeight="1">
      <c r="G10354"/>
      <c r="I10354"/>
      <c r="N10354"/>
      <c r="O10354" s="24"/>
      <c r="P10354"/>
      <c r="Q10354" s="24"/>
      <c r="R10354"/>
      <c r="S10354"/>
      <c r="T10354"/>
      <c r="U10354"/>
      <c r="X10354" s="60"/>
    </row>
    <row r="10355" spans="7:24" ht="15" customHeight="1">
      <c r="G10355"/>
      <c r="I10355"/>
      <c r="N10355"/>
      <c r="O10355" s="24"/>
      <c r="P10355"/>
      <c r="Q10355" s="24"/>
      <c r="R10355"/>
      <c r="S10355"/>
      <c r="T10355"/>
      <c r="U10355"/>
      <c r="X10355" s="60"/>
    </row>
    <row r="10356" spans="7:24" ht="15" customHeight="1">
      <c r="G10356"/>
      <c r="I10356"/>
      <c r="N10356"/>
      <c r="O10356" s="24"/>
      <c r="P10356"/>
      <c r="Q10356" s="24"/>
      <c r="R10356"/>
      <c r="S10356"/>
      <c r="T10356"/>
      <c r="U10356"/>
      <c r="X10356" s="60"/>
    </row>
    <row r="10357" spans="7:24" ht="15" customHeight="1">
      <c r="G10357"/>
      <c r="I10357"/>
      <c r="N10357"/>
      <c r="O10357" s="24"/>
      <c r="P10357"/>
      <c r="Q10357" s="24"/>
      <c r="R10357"/>
      <c r="S10357"/>
      <c r="T10357"/>
      <c r="U10357"/>
      <c r="X10357" s="60"/>
    </row>
    <row r="10358" spans="7:24" ht="15" customHeight="1">
      <c r="G10358"/>
      <c r="I10358"/>
      <c r="N10358"/>
      <c r="O10358" s="24"/>
      <c r="P10358"/>
      <c r="Q10358" s="24"/>
      <c r="R10358"/>
      <c r="S10358"/>
      <c r="T10358"/>
      <c r="U10358"/>
      <c r="X10358" s="60"/>
    </row>
    <row r="10359" spans="7:24" ht="15" customHeight="1">
      <c r="G10359"/>
      <c r="I10359"/>
      <c r="N10359"/>
      <c r="O10359" s="24"/>
      <c r="P10359"/>
      <c r="Q10359" s="24"/>
      <c r="R10359"/>
      <c r="S10359"/>
      <c r="T10359"/>
      <c r="U10359"/>
      <c r="X10359" s="60"/>
    </row>
    <row r="10360" spans="7:24" ht="15" customHeight="1">
      <c r="G10360"/>
      <c r="I10360"/>
      <c r="N10360"/>
      <c r="O10360" s="24"/>
      <c r="P10360"/>
      <c r="Q10360" s="24"/>
      <c r="R10360"/>
      <c r="S10360"/>
      <c r="T10360"/>
      <c r="U10360"/>
      <c r="X10360" s="60"/>
    </row>
    <row r="10361" spans="7:24" ht="15" customHeight="1">
      <c r="G10361"/>
      <c r="I10361"/>
      <c r="N10361"/>
      <c r="O10361" s="24"/>
      <c r="P10361"/>
      <c r="Q10361" s="24"/>
      <c r="R10361"/>
      <c r="S10361"/>
      <c r="T10361"/>
      <c r="U10361"/>
      <c r="X10361" s="60"/>
    </row>
    <row r="10362" spans="7:24" ht="15" customHeight="1">
      <c r="G10362"/>
      <c r="I10362"/>
      <c r="N10362"/>
      <c r="O10362" s="24"/>
      <c r="P10362"/>
      <c r="Q10362" s="24"/>
      <c r="R10362"/>
      <c r="S10362"/>
      <c r="T10362"/>
      <c r="U10362"/>
      <c r="X10362" s="60"/>
    </row>
    <row r="10363" spans="7:24" ht="15" customHeight="1">
      <c r="G10363"/>
      <c r="I10363"/>
      <c r="N10363"/>
      <c r="O10363" s="24"/>
      <c r="P10363"/>
      <c r="Q10363" s="24"/>
      <c r="R10363"/>
      <c r="S10363"/>
      <c r="T10363"/>
      <c r="U10363"/>
      <c r="X10363" s="60"/>
    </row>
    <row r="10364" spans="7:24" ht="15" customHeight="1">
      <c r="G10364"/>
      <c r="I10364"/>
      <c r="N10364"/>
      <c r="O10364" s="24"/>
      <c r="P10364"/>
      <c r="Q10364" s="24"/>
      <c r="R10364"/>
      <c r="S10364"/>
      <c r="T10364"/>
      <c r="U10364"/>
      <c r="X10364" s="60"/>
    </row>
    <row r="10365" spans="7:24" ht="15" customHeight="1">
      <c r="G10365"/>
      <c r="I10365"/>
      <c r="N10365"/>
      <c r="O10365" s="24"/>
      <c r="P10365"/>
      <c r="Q10365" s="24"/>
      <c r="R10365"/>
      <c r="S10365"/>
      <c r="T10365"/>
      <c r="U10365"/>
      <c r="X10365" s="60"/>
    </row>
    <row r="10366" spans="7:24" ht="15" customHeight="1">
      <c r="G10366"/>
      <c r="I10366"/>
      <c r="N10366"/>
      <c r="O10366" s="24"/>
      <c r="P10366"/>
      <c r="Q10366" s="24"/>
      <c r="R10366"/>
      <c r="S10366"/>
      <c r="T10366"/>
      <c r="U10366"/>
      <c r="X10366" s="60"/>
    </row>
    <row r="10367" spans="7:24" ht="15" customHeight="1">
      <c r="G10367"/>
      <c r="I10367"/>
      <c r="N10367"/>
      <c r="O10367" s="24"/>
      <c r="P10367"/>
      <c r="Q10367" s="24"/>
      <c r="R10367"/>
      <c r="S10367"/>
      <c r="T10367"/>
      <c r="U10367"/>
      <c r="X10367" s="60"/>
    </row>
    <row r="10368" spans="7:24" ht="15" customHeight="1">
      <c r="G10368"/>
      <c r="I10368"/>
      <c r="N10368"/>
      <c r="O10368" s="24"/>
      <c r="P10368"/>
      <c r="Q10368" s="24"/>
      <c r="R10368"/>
      <c r="S10368"/>
      <c r="T10368"/>
      <c r="U10368"/>
      <c r="X10368" s="60"/>
    </row>
    <row r="10369" spans="7:24" ht="15" customHeight="1">
      <c r="G10369"/>
      <c r="I10369"/>
      <c r="N10369"/>
      <c r="O10369" s="24"/>
      <c r="P10369"/>
      <c r="Q10369" s="24"/>
      <c r="R10369"/>
      <c r="S10369"/>
      <c r="T10369"/>
      <c r="U10369"/>
      <c r="X10369" s="60"/>
    </row>
    <row r="10370" spans="7:24" ht="15" customHeight="1">
      <c r="G10370"/>
      <c r="I10370"/>
      <c r="N10370"/>
      <c r="O10370" s="24"/>
      <c r="P10370"/>
      <c r="Q10370" s="24"/>
      <c r="R10370"/>
      <c r="S10370"/>
      <c r="T10370"/>
      <c r="U10370"/>
      <c r="X10370" s="60"/>
    </row>
    <row r="10371" spans="7:24" ht="15" customHeight="1">
      <c r="G10371"/>
      <c r="I10371"/>
      <c r="N10371"/>
      <c r="O10371" s="24"/>
      <c r="P10371"/>
      <c r="Q10371" s="24"/>
      <c r="R10371"/>
      <c r="S10371"/>
      <c r="T10371"/>
      <c r="U10371"/>
      <c r="X10371" s="60"/>
    </row>
    <row r="10372" spans="7:24" ht="15" customHeight="1">
      <c r="G10372"/>
      <c r="I10372"/>
      <c r="N10372"/>
      <c r="O10372" s="24"/>
      <c r="P10372"/>
      <c r="Q10372" s="24"/>
      <c r="R10372"/>
      <c r="S10372"/>
      <c r="T10372"/>
      <c r="U10372"/>
      <c r="X10372" s="60"/>
    </row>
    <row r="10373" spans="7:24" ht="15" customHeight="1">
      <c r="G10373"/>
      <c r="I10373"/>
      <c r="N10373"/>
      <c r="O10373" s="24"/>
      <c r="P10373"/>
      <c r="Q10373" s="24"/>
      <c r="R10373"/>
      <c r="S10373"/>
      <c r="T10373"/>
      <c r="U10373"/>
      <c r="X10373" s="60"/>
    </row>
    <row r="10374" spans="7:24" ht="15" customHeight="1">
      <c r="G10374"/>
      <c r="I10374"/>
      <c r="N10374"/>
      <c r="O10374" s="24"/>
      <c r="P10374"/>
      <c r="Q10374" s="24"/>
      <c r="R10374"/>
      <c r="S10374"/>
      <c r="T10374"/>
      <c r="U10374"/>
      <c r="X10374" s="60"/>
    </row>
    <row r="10375" spans="7:24" ht="15" customHeight="1">
      <c r="G10375"/>
      <c r="I10375"/>
      <c r="N10375"/>
      <c r="O10375" s="24"/>
      <c r="P10375"/>
      <c r="Q10375" s="24"/>
      <c r="R10375"/>
      <c r="S10375"/>
      <c r="T10375"/>
      <c r="U10375"/>
      <c r="X10375" s="60"/>
    </row>
    <row r="10376" spans="7:24" ht="15" customHeight="1">
      <c r="G10376"/>
      <c r="I10376"/>
      <c r="N10376"/>
      <c r="O10376" s="24"/>
      <c r="P10376"/>
      <c r="Q10376" s="24"/>
      <c r="R10376"/>
      <c r="S10376"/>
      <c r="T10376"/>
      <c r="U10376"/>
      <c r="X10376" s="60"/>
    </row>
    <row r="10377" spans="7:24" ht="15" customHeight="1">
      <c r="G10377"/>
      <c r="I10377"/>
      <c r="N10377"/>
      <c r="O10377" s="24"/>
      <c r="P10377"/>
      <c r="Q10377" s="24"/>
      <c r="R10377"/>
      <c r="S10377"/>
      <c r="T10377"/>
      <c r="U10377"/>
      <c r="X10377" s="60"/>
    </row>
    <row r="10378" spans="7:24" ht="15" customHeight="1">
      <c r="G10378"/>
      <c r="I10378"/>
      <c r="N10378"/>
      <c r="O10378" s="24"/>
      <c r="P10378"/>
      <c r="Q10378" s="24"/>
      <c r="R10378"/>
      <c r="S10378"/>
      <c r="T10378"/>
      <c r="U10378"/>
      <c r="X10378" s="60"/>
    </row>
    <row r="10379" spans="7:24" ht="15" customHeight="1">
      <c r="G10379"/>
      <c r="I10379"/>
      <c r="N10379"/>
      <c r="O10379" s="24"/>
      <c r="P10379"/>
      <c r="Q10379" s="24"/>
      <c r="R10379"/>
      <c r="S10379"/>
      <c r="T10379"/>
      <c r="U10379"/>
      <c r="X10379" s="60"/>
    </row>
    <row r="10380" spans="7:24" ht="15" customHeight="1">
      <c r="G10380"/>
      <c r="I10380"/>
      <c r="N10380"/>
      <c r="O10380" s="24"/>
      <c r="P10380"/>
      <c r="Q10380" s="24"/>
      <c r="R10380"/>
      <c r="S10380"/>
      <c r="T10380"/>
      <c r="U10380"/>
      <c r="X10380" s="60"/>
    </row>
    <row r="10381" spans="7:24" ht="15" customHeight="1">
      <c r="G10381"/>
      <c r="I10381"/>
      <c r="N10381"/>
      <c r="O10381" s="24"/>
      <c r="P10381"/>
      <c r="Q10381" s="24"/>
      <c r="R10381"/>
      <c r="S10381"/>
      <c r="T10381"/>
      <c r="U10381"/>
      <c r="X10381" s="60"/>
    </row>
    <row r="10382" spans="7:24" ht="15" customHeight="1">
      <c r="G10382"/>
      <c r="I10382"/>
      <c r="N10382"/>
      <c r="O10382" s="24"/>
      <c r="P10382"/>
      <c r="Q10382" s="24"/>
      <c r="R10382"/>
      <c r="S10382"/>
      <c r="T10382"/>
      <c r="U10382"/>
      <c r="X10382" s="60"/>
    </row>
    <row r="10383" spans="7:24" ht="15" customHeight="1">
      <c r="G10383"/>
      <c r="I10383"/>
      <c r="N10383"/>
      <c r="O10383" s="24"/>
      <c r="P10383"/>
      <c r="Q10383" s="24"/>
      <c r="R10383"/>
      <c r="S10383"/>
      <c r="T10383"/>
      <c r="U10383"/>
      <c r="X10383" s="60"/>
    </row>
    <row r="10384" spans="7:24" ht="15" customHeight="1">
      <c r="G10384"/>
      <c r="I10384"/>
      <c r="N10384"/>
      <c r="O10384" s="24"/>
      <c r="P10384"/>
      <c r="Q10384" s="24"/>
      <c r="R10384"/>
      <c r="S10384"/>
      <c r="T10384"/>
      <c r="U10384"/>
      <c r="X10384" s="60"/>
    </row>
    <row r="10385" spans="7:24" ht="15" customHeight="1">
      <c r="G10385"/>
      <c r="I10385"/>
      <c r="N10385"/>
      <c r="O10385" s="24"/>
      <c r="P10385"/>
      <c r="Q10385" s="24"/>
      <c r="R10385"/>
      <c r="S10385"/>
      <c r="T10385"/>
      <c r="U10385"/>
      <c r="X10385" s="60"/>
    </row>
    <row r="10386" spans="7:24" ht="15" customHeight="1">
      <c r="G10386"/>
      <c r="I10386"/>
      <c r="N10386"/>
      <c r="O10386" s="24"/>
      <c r="P10386"/>
      <c r="Q10386" s="24"/>
      <c r="R10386"/>
      <c r="S10386"/>
      <c r="T10386"/>
      <c r="U10386"/>
      <c r="X10386" s="60"/>
    </row>
    <row r="10387" spans="7:24" ht="15" customHeight="1">
      <c r="G10387"/>
      <c r="I10387"/>
      <c r="N10387"/>
      <c r="O10387" s="24"/>
      <c r="P10387"/>
      <c r="Q10387" s="24"/>
      <c r="R10387"/>
      <c r="S10387"/>
      <c r="T10387"/>
      <c r="U10387"/>
      <c r="X10387" s="60"/>
    </row>
    <row r="10388" spans="7:24" ht="15" customHeight="1">
      <c r="G10388"/>
      <c r="I10388"/>
      <c r="N10388"/>
      <c r="O10388" s="24"/>
      <c r="P10388"/>
      <c r="Q10388" s="24"/>
      <c r="R10388"/>
      <c r="S10388"/>
      <c r="T10388"/>
      <c r="U10388"/>
      <c r="X10388" s="60"/>
    </row>
    <row r="10389" spans="7:24" ht="15" customHeight="1">
      <c r="G10389"/>
      <c r="I10389"/>
      <c r="N10389"/>
      <c r="O10389" s="24"/>
      <c r="P10389"/>
      <c r="Q10389" s="24"/>
      <c r="R10389"/>
      <c r="S10389"/>
      <c r="T10389"/>
      <c r="U10389"/>
      <c r="X10389" s="60"/>
    </row>
    <row r="10390" spans="7:24" ht="15" customHeight="1">
      <c r="G10390"/>
      <c r="I10390"/>
      <c r="N10390"/>
      <c r="O10390" s="24"/>
      <c r="P10390"/>
      <c r="Q10390" s="24"/>
      <c r="R10390"/>
      <c r="S10390"/>
      <c r="T10390"/>
      <c r="U10390"/>
      <c r="X10390" s="60"/>
    </row>
    <row r="10391" spans="7:24" ht="15" customHeight="1">
      <c r="G10391"/>
      <c r="I10391"/>
      <c r="N10391"/>
      <c r="O10391" s="24"/>
      <c r="P10391"/>
      <c r="Q10391" s="24"/>
      <c r="R10391"/>
      <c r="S10391"/>
      <c r="T10391"/>
      <c r="U10391"/>
      <c r="X10391" s="60"/>
    </row>
    <row r="10392" spans="7:24" ht="15" customHeight="1">
      <c r="G10392"/>
      <c r="I10392"/>
      <c r="N10392"/>
      <c r="O10392" s="24"/>
      <c r="P10392"/>
      <c r="Q10392" s="24"/>
      <c r="R10392"/>
      <c r="S10392"/>
      <c r="T10392"/>
      <c r="U10392"/>
      <c r="X10392" s="60"/>
    </row>
    <row r="10393" spans="7:24" ht="15" customHeight="1">
      <c r="G10393"/>
      <c r="I10393"/>
      <c r="N10393"/>
      <c r="O10393" s="24"/>
      <c r="P10393"/>
      <c r="Q10393" s="24"/>
      <c r="R10393"/>
      <c r="S10393"/>
      <c r="T10393"/>
      <c r="U10393"/>
      <c r="X10393" s="60"/>
    </row>
    <row r="10394" spans="7:24" ht="15" customHeight="1">
      <c r="G10394"/>
      <c r="I10394"/>
      <c r="N10394"/>
      <c r="O10394" s="24"/>
      <c r="P10394"/>
      <c r="Q10394" s="24"/>
      <c r="R10394"/>
      <c r="S10394"/>
      <c r="T10394"/>
      <c r="U10394"/>
      <c r="X10394" s="60"/>
    </row>
    <row r="10395" spans="7:24" ht="15" customHeight="1">
      <c r="G10395"/>
      <c r="I10395"/>
      <c r="N10395"/>
      <c r="O10395" s="24"/>
      <c r="P10395"/>
      <c r="Q10395" s="24"/>
      <c r="R10395"/>
      <c r="S10395"/>
      <c r="T10395"/>
      <c r="U10395"/>
      <c r="X10395" s="60"/>
    </row>
    <row r="10396" spans="7:24" ht="15" customHeight="1">
      <c r="G10396"/>
      <c r="I10396"/>
      <c r="N10396"/>
      <c r="O10396" s="24"/>
      <c r="P10396"/>
      <c r="Q10396" s="24"/>
      <c r="R10396"/>
      <c r="S10396"/>
      <c r="T10396"/>
      <c r="U10396"/>
      <c r="X10396" s="60"/>
    </row>
    <row r="10397" spans="7:24" ht="15" customHeight="1">
      <c r="G10397"/>
      <c r="I10397"/>
      <c r="N10397"/>
      <c r="O10397" s="24"/>
      <c r="P10397"/>
      <c r="Q10397" s="24"/>
      <c r="R10397"/>
      <c r="S10397"/>
      <c r="T10397"/>
      <c r="U10397"/>
      <c r="X10397" s="60"/>
    </row>
    <row r="10398" spans="7:24" ht="15" customHeight="1">
      <c r="G10398"/>
      <c r="I10398"/>
      <c r="N10398"/>
      <c r="O10398" s="24"/>
      <c r="P10398"/>
      <c r="Q10398" s="24"/>
      <c r="R10398"/>
      <c r="S10398"/>
      <c r="T10398"/>
      <c r="U10398"/>
      <c r="X10398" s="60"/>
    </row>
    <row r="10399" spans="7:24" ht="15" customHeight="1">
      <c r="G10399"/>
      <c r="I10399"/>
      <c r="N10399"/>
      <c r="O10399" s="24"/>
      <c r="P10399"/>
      <c r="Q10399" s="24"/>
      <c r="R10399"/>
      <c r="S10399"/>
      <c r="T10399"/>
      <c r="U10399"/>
      <c r="X10399" s="60"/>
    </row>
    <row r="10400" spans="7:24" ht="15" customHeight="1">
      <c r="G10400"/>
      <c r="I10400"/>
      <c r="N10400"/>
      <c r="O10400" s="24"/>
      <c r="P10400"/>
      <c r="Q10400" s="24"/>
      <c r="R10400"/>
      <c r="S10400"/>
      <c r="T10400"/>
      <c r="U10400"/>
      <c r="X10400" s="60"/>
    </row>
    <row r="10401" spans="7:24" ht="15" customHeight="1">
      <c r="G10401"/>
      <c r="I10401"/>
      <c r="N10401"/>
      <c r="O10401" s="24"/>
      <c r="P10401"/>
      <c r="Q10401" s="24"/>
      <c r="R10401"/>
      <c r="S10401"/>
      <c r="T10401"/>
      <c r="U10401"/>
      <c r="X10401" s="60"/>
    </row>
    <row r="10402" spans="7:24" ht="15" customHeight="1">
      <c r="G10402"/>
      <c r="I10402"/>
      <c r="N10402"/>
      <c r="O10402" s="24"/>
      <c r="P10402"/>
      <c r="Q10402" s="24"/>
      <c r="R10402"/>
      <c r="S10402"/>
      <c r="T10402"/>
      <c r="U10402"/>
      <c r="X10402" s="60"/>
    </row>
    <row r="10403" spans="7:24" ht="15" customHeight="1">
      <c r="G10403"/>
      <c r="I10403"/>
      <c r="N10403"/>
      <c r="O10403" s="24"/>
      <c r="P10403"/>
      <c r="Q10403" s="24"/>
      <c r="R10403"/>
      <c r="S10403"/>
      <c r="T10403"/>
      <c r="U10403"/>
      <c r="X10403" s="60"/>
    </row>
    <row r="10404" spans="7:24" ht="15" customHeight="1">
      <c r="G10404"/>
      <c r="I10404"/>
      <c r="N10404"/>
      <c r="O10404" s="24"/>
      <c r="P10404"/>
      <c r="Q10404" s="24"/>
      <c r="R10404"/>
      <c r="S10404"/>
      <c r="T10404"/>
      <c r="U10404"/>
      <c r="X10404" s="60"/>
    </row>
    <row r="10405" spans="7:24" ht="15" customHeight="1">
      <c r="G10405"/>
      <c r="I10405"/>
      <c r="N10405"/>
      <c r="O10405" s="24"/>
      <c r="P10405"/>
      <c r="Q10405" s="24"/>
      <c r="R10405"/>
      <c r="S10405"/>
      <c r="T10405"/>
      <c r="U10405"/>
      <c r="X10405" s="60"/>
    </row>
    <row r="10406" spans="7:24" ht="15" customHeight="1">
      <c r="G10406"/>
      <c r="I10406"/>
      <c r="N10406"/>
      <c r="O10406" s="24"/>
      <c r="P10406"/>
      <c r="Q10406" s="24"/>
      <c r="R10406"/>
      <c r="S10406"/>
      <c r="T10406"/>
      <c r="U10406"/>
      <c r="X10406" s="60"/>
    </row>
    <row r="10407" spans="7:24" ht="15" customHeight="1">
      <c r="G10407"/>
      <c r="I10407"/>
      <c r="N10407"/>
      <c r="O10407" s="24"/>
      <c r="P10407"/>
      <c r="Q10407" s="24"/>
      <c r="R10407"/>
      <c r="S10407"/>
      <c r="T10407"/>
      <c r="U10407"/>
      <c r="X10407" s="60"/>
    </row>
    <row r="10408" spans="7:24" ht="15" customHeight="1">
      <c r="G10408"/>
      <c r="I10408"/>
      <c r="N10408"/>
      <c r="O10408" s="24"/>
      <c r="P10408"/>
      <c r="Q10408" s="24"/>
      <c r="R10408"/>
      <c r="S10408"/>
      <c r="T10408"/>
      <c r="U10408"/>
      <c r="X10408" s="60"/>
    </row>
    <row r="10409" spans="7:24" ht="15" customHeight="1">
      <c r="G10409"/>
      <c r="I10409"/>
      <c r="N10409"/>
      <c r="O10409" s="24"/>
      <c r="P10409"/>
      <c r="Q10409" s="24"/>
      <c r="R10409"/>
      <c r="S10409"/>
      <c r="T10409"/>
      <c r="U10409"/>
      <c r="X10409" s="60"/>
    </row>
    <row r="10410" spans="7:24" ht="15" customHeight="1">
      <c r="G10410"/>
      <c r="I10410"/>
      <c r="N10410"/>
      <c r="O10410" s="24"/>
      <c r="P10410"/>
      <c r="Q10410" s="24"/>
      <c r="R10410"/>
      <c r="S10410"/>
      <c r="T10410"/>
      <c r="U10410"/>
      <c r="X10410" s="60"/>
    </row>
    <row r="10411" spans="7:24" ht="15" customHeight="1">
      <c r="G10411"/>
      <c r="I10411"/>
      <c r="N10411"/>
      <c r="O10411" s="24"/>
      <c r="P10411"/>
      <c r="Q10411" s="24"/>
      <c r="R10411"/>
      <c r="S10411"/>
      <c r="T10411"/>
      <c r="U10411"/>
      <c r="X10411" s="60"/>
    </row>
    <row r="10412" spans="7:24" ht="15" customHeight="1">
      <c r="G10412"/>
      <c r="I10412"/>
      <c r="N10412"/>
      <c r="O10412" s="24"/>
      <c r="P10412"/>
      <c r="Q10412" s="24"/>
      <c r="R10412"/>
      <c r="S10412"/>
      <c r="T10412"/>
      <c r="U10412"/>
      <c r="X10412" s="60"/>
    </row>
    <row r="10413" spans="7:24" ht="15" customHeight="1">
      <c r="G10413"/>
      <c r="I10413"/>
      <c r="N10413"/>
      <c r="O10413" s="24"/>
      <c r="P10413"/>
      <c r="Q10413" s="24"/>
      <c r="R10413"/>
      <c r="S10413"/>
      <c r="T10413"/>
      <c r="U10413"/>
      <c r="X10413" s="60"/>
    </row>
    <row r="10414" spans="7:24" ht="15" customHeight="1">
      <c r="G10414"/>
      <c r="I10414"/>
      <c r="N10414"/>
      <c r="O10414" s="24"/>
      <c r="P10414"/>
      <c r="Q10414" s="24"/>
      <c r="R10414"/>
      <c r="S10414"/>
      <c r="T10414"/>
      <c r="U10414"/>
      <c r="X10414" s="60"/>
    </row>
    <row r="10415" spans="7:24" ht="15" customHeight="1">
      <c r="G10415"/>
      <c r="I10415"/>
      <c r="N10415"/>
      <c r="O10415" s="24"/>
      <c r="P10415"/>
      <c r="Q10415" s="24"/>
      <c r="R10415"/>
      <c r="S10415"/>
      <c r="T10415"/>
      <c r="U10415"/>
      <c r="X10415" s="60"/>
    </row>
    <row r="10416" spans="7:24" ht="15" customHeight="1">
      <c r="G10416"/>
      <c r="I10416"/>
      <c r="N10416"/>
      <c r="O10416" s="24"/>
      <c r="P10416"/>
      <c r="Q10416" s="24"/>
      <c r="R10416"/>
      <c r="S10416"/>
      <c r="T10416"/>
      <c r="U10416"/>
      <c r="X10416" s="60"/>
    </row>
    <row r="10417" spans="7:24" ht="15" customHeight="1">
      <c r="G10417"/>
      <c r="I10417"/>
      <c r="N10417"/>
      <c r="O10417" s="24"/>
      <c r="P10417"/>
      <c r="Q10417" s="24"/>
      <c r="R10417"/>
      <c r="S10417"/>
      <c r="T10417"/>
      <c r="U10417"/>
      <c r="X10417" s="60"/>
    </row>
    <row r="10418" spans="7:24" ht="15" customHeight="1">
      <c r="G10418"/>
      <c r="I10418"/>
      <c r="N10418"/>
      <c r="O10418" s="24"/>
      <c r="P10418"/>
      <c r="Q10418" s="24"/>
      <c r="R10418"/>
      <c r="S10418"/>
      <c r="T10418"/>
      <c r="U10418"/>
      <c r="X10418" s="60"/>
    </row>
    <row r="10419" spans="7:24" ht="15" customHeight="1">
      <c r="G10419"/>
      <c r="I10419"/>
      <c r="N10419"/>
      <c r="O10419" s="24"/>
      <c r="P10419"/>
      <c r="Q10419" s="24"/>
      <c r="R10419"/>
      <c r="S10419"/>
      <c r="T10419"/>
      <c r="U10419"/>
      <c r="X10419" s="60"/>
    </row>
    <row r="10420" spans="7:24" ht="15" customHeight="1">
      <c r="G10420"/>
      <c r="I10420"/>
      <c r="N10420"/>
      <c r="O10420" s="24"/>
      <c r="P10420"/>
      <c r="Q10420" s="24"/>
      <c r="R10420"/>
      <c r="S10420"/>
      <c r="T10420"/>
      <c r="U10420"/>
      <c r="X10420" s="60"/>
    </row>
    <row r="10421" spans="7:24" ht="15" customHeight="1">
      <c r="G10421"/>
      <c r="I10421"/>
      <c r="N10421"/>
      <c r="O10421" s="24"/>
      <c r="P10421"/>
      <c r="Q10421" s="24"/>
      <c r="R10421"/>
      <c r="S10421"/>
      <c r="T10421"/>
      <c r="U10421"/>
      <c r="X10421" s="60"/>
    </row>
    <row r="10422" spans="7:24" ht="15" customHeight="1">
      <c r="G10422"/>
      <c r="I10422"/>
      <c r="N10422"/>
      <c r="O10422" s="24"/>
      <c r="P10422"/>
      <c r="Q10422" s="24"/>
      <c r="R10422"/>
      <c r="S10422"/>
      <c r="T10422"/>
      <c r="U10422"/>
      <c r="X10422" s="60"/>
    </row>
    <row r="10423" spans="7:24" ht="15" customHeight="1">
      <c r="G10423"/>
      <c r="I10423"/>
      <c r="N10423"/>
      <c r="O10423" s="24"/>
      <c r="P10423"/>
      <c r="Q10423" s="24"/>
      <c r="R10423"/>
      <c r="S10423"/>
      <c r="T10423"/>
      <c r="U10423"/>
      <c r="X10423" s="60"/>
    </row>
    <row r="10424" spans="7:24" ht="15" customHeight="1">
      <c r="G10424"/>
      <c r="I10424"/>
      <c r="N10424"/>
      <c r="O10424" s="24"/>
      <c r="P10424"/>
      <c r="Q10424" s="24"/>
      <c r="R10424"/>
      <c r="S10424"/>
      <c r="T10424"/>
      <c r="U10424"/>
      <c r="X10424" s="60"/>
    </row>
    <row r="10425" spans="7:24" ht="15" customHeight="1">
      <c r="G10425"/>
      <c r="I10425"/>
      <c r="N10425"/>
      <c r="O10425" s="24"/>
      <c r="P10425"/>
      <c r="Q10425" s="24"/>
      <c r="R10425"/>
      <c r="S10425"/>
      <c r="T10425"/>
      <c r="U10425"/>
      <c r="X10425" s="60"/>
    </row>
    <row r="10426" spans="7:24" ht="15" customHeight="1">
      <c r="G10426"/>
      <c r="I10426"/>
      <c r="N10426"/>
      <c r="O10426" s="24"/>
      <c r="P10426"/>
      <c r="Q10426" s="24"/>
      <c r="R10426"/>
      <c r="S10426"/>
      <c r="T10426"/>
      <c r="U10426"/>
      <c r="X10426" s="60"/>
    </row>
    <row r="10427" spans="7:24" ht="15" customHeight="1">
      <c r="G10427"/>
      <c r="I10427"/>
      <c r="N10427"/>
      <c r="O10427" s="24"/>
      <c r="P10427"/>
      <c r="Q10427" s="24"/>
      <c r="R10427"/>
      <c r="S10427"/>
      <c r="T10427"/>
      <c r="U10427"/>
      <c r="X10427" s="60"/>
    </row>
    <row r="10428" spans="7:24" ht="15" customHeight="1">
      <c r="G10428"/>
      <c r="I10428"/>
      <c r="N10428"/>
      <c r="O10428" s="24"/>
      <c r="P10428"/>
      <c r="Q10428" s="24"/>
      <c r="R10428"/>
      <c r="S10428"/>
      <c r="T10428"/>
      <c r="U10428"/>
      <c r="X10428" s="60"/>
    </row>
    <row r="10429" spans="7:24" ht="15" customHeight="1">
      <c r="G10429"/>
      <c r="I10429"/>
      <c r="N10429"/>
      <c r="O10429" s="24"/>
      <c r="P10429"/>
      <c r="Q10429" s="24"/>
      <c r="R10429"/>
      <c r="S10429"/>
      <c r="T10429"/>
      <c r="U10429"/>
      <c r="X10429" s="60"/>
    </row>
    <row r="10430" spans="7:24" ht="15" customHeight="1">
      <c r="G10430"/>
      <c r="I10430"/>
      <c r="N10430"/>
      <c r="O10430" s="24"/>
      <c r="P10430"/>
      <c r="Q10430" s="24"/>
      <c r="R10430"/>
      <c r="S10430"/>
      <c r="T10430"/>
      <c r="U10430"/>
      <c r="X10430" s="60"/>
    </row>
    <row r="10431" spans="7:24" ht="15" customHeight="1">
      <c r="G10431"/>
      <c r="I10431"/>
      <c r="N10431"/>
      <c r="O10431" s="24"/>
      <c r="P10431"/>
      <c r="Q10431" s="24"/>
      <c r="R10431"/>
      <c r="S10431"/>
      <c r="T10431"/>
      <c r="U10431"/>
      <c r="X10431" s="60"/>
    </row>
    <row r="10432" spans="7:24" ht="15" customHeight="1">
      <c r="G10432"/>
      <c r="I10432"/>
      <c r="N10432"/>
      <c r="O10432" s="24"/>
      <c r="P10432"/>
      <c r="Q10432" s="24"/>
      <c r="R10432"/>
      <c r="S10432"/>
      <c r="T10432"/>
      <c r="U10432"/>
      <c r="X10432" s="60"/>
    </row>
    <row r="10433" spans="7:24" ht="15" customHeight="1">
      <c r="G10433"/>
      <c r="I10433"/>
      <c r="N10433"/>
      <c r="O10433" s="24"/>
      <c r="P10433"/>
      <c r="Q10433" s="24"/>
      <c r="R10433"/>
      <c r="S10433"/>
      <c r="T10433"/>
      <c r="U10433"/>
      <c r="X10433" s="60"/>
    </row>
    <row r="10434" spans="7:24" ht="15" customHeight="1">
      <c r="G10434"/>
      <c r="I10434"/>
      <c r="N10434"/>
      <c r="O10434" s="24"/>
      <c r="P10434"/>
      <c r="Q10434" s="24"/>
      <c r="R10434"/>
      <c r="S10434"/>
      <c r="T10434"/>
      <c r="U10434"/>
      <c r="X10434" s="60"/>
    </row>
    <row r="10435" spans="7:24" ht="15" customHeight="1">
      <c r="G10435"/>
      <c r="I10435"/>
      <c r="N10435"/>
      <c r="O10435" s="24"/>
      <c r="P10435"/>
      <c r="Q10435" s="24"/>
      <c r="R10435"/>
      <c r="S10435"/>
      <c r="T10435"/>
      <c r="U10435"/>
      <c r="X10435" s="60"/>
    </row>
    <row r="10436" spans="7:24" ht="15" customHeight="1">
      <c r="G10436"/>
      <c r="I10436"/>
      <c r="N10436"/>
      <c r="O10436" s="24"/>
      <c r="P10436"/>
      <c r="Q10436" s="24"/>
      <c r="R10436"/>
      <c r="S10436"/>
      <c r="T10436"/>
      <c r="U10436"/>
      <c r="X10436" s="60"/>
    </row>
    <row r="10437" spans="7:24" ht="15" customHeight="1">
      <c r="G10437"/>
      <c r="I10437"/>
      <c r="N10437"/>
      <c r="O10437" s="24"/>
      <c r="P10437"/>
      <c r="Q10437" s="24"/>
      <c r="R10437"/>
      <c r="S10437"/>
      <c r="T10437"/>
      <c r="U10437"/>
      <c r="X10437" s="60"/>
    </row>
    <row r="10438" spans="7:24" ht="15" customHeight="1">
      <c r="G10438"/>
      <c r="I10438"/>
      <c r="N10438"/>
      <c r="O10438" s="24"/>
      <c r="P10438"/>
      <c r="Q10438" s="24"/>
      <c r="R10438"/>
      <c r="S10438"/>
      <c r="T10438"/>
      <c r="U10438"/>
      <c r="X10438" s="60"/>
    </row>
    <row r="10439" spans="7:24" ht="15" customHeight="1">
      <c r="G10439"/>
      <c r="I10439"/>
      <c r="N10439"/>
      <c r="O10439" s="24"/>
      <c r="P10439"/>
      <c r="Q10439" s="24"/>
      <c r="R10439"/>
      <c r="S10439"/>
      <c r="T10439"/>
      <c r="U10439"/>
      <c r="X10439" s="60"/>
    </row>
    <row r="10440" spans="7:24" ht="15" customHeight="1">
      <c r="G10440"/>
      <c r="I10440"/>
      <c r="N10440"/>
      <c r="O10440" s="24"/>
      <c r="P10440"/>
      <c r="Q10440" s="24"/>
      <c r="R10440"/>
      <c r="S10440"/>
      <c r="T10440"/>
      <c r="U10440"/>
      <c r="X10440" s="60"/>
    </row>
    <row r="10441" spans="7:24" ht="15" customHeight="1">
      <c r="G10441"/>
      <c r="I10441"/>
      <c r="N10441"/>
      <c r="O10441" s="24"/>
      <c r="P10441"/>
      <c r="Q10441" s="24"/>
      <c r="R10441"/>
      <c r="S10441"/>
      <c r="T10441"/>
      <c r="U10441"/>
      <c r="X10441" s="60"/>
    </row>
    <row r="10442" spans="7:24" ht="15" customHeight="1">
      <c r="G10442"/>
      <c r="I10442"/>
      <c r="N10442"/>
      <c r="O10442" s="24"/>
      <c r="P10442"/>
      <c r="Q10442" s="24"/>
      <c r="R10442"/>
      <c r="S10442"/>
      <c r="T10442"/>
      <c r="U10442"/>
      <c r="X10442" s="60"/>
    </row>
    <row r="10443" spans="7:24" ht="15" customHeight="1">
      <c r="G10443"/>
      <c r="I10443"/>
      <c r="N10443"/>
      <c r="O10443" s="24"/>
      <c r="P10443"/>
      <c r="Q10443" s="24"/>
      <c r="R10443"/>
      <c r="S10443"/>
      <c r="T10443"/>
      <c r="U10443"/>
      <c r="X10443" s="60"/>
    </row>
    <row r="10444" spans="7:24" ht="15" customHeight="1">
      <c r="G10444"/>
      <c r="I10444"/>
      <c r="N10444"/>
      <c r="O10444" s="24"/>
      <c r="P10444"/>
      <c r="Q10444" s="24"/>
      <c r="R10444"/>
      <c r="S10444"/>
      <c r="T10444"/>
      <c r="U10444"/>
      <c r="X10444" s="60"/>
    </row>
    <row r="10445" spans="7:24" ht="15" customHeight="1">
      <c r="G10445"/>
      <c r="I10445"/>
      <c r="N10445"/>
      <c r="O10445" s="24"/>
      <c r="P10445"/>
      <c r="Q10445" s="24"/>
      <c r="R10445"/>
      <c r="S10445"/>
      <c r="T10445"/>
      <c r="U10445"/>
      <c r="X10445" s="60"/>
    </row>
    <row r="10446" spans="7:24" ht="15" customHeight="1">
      <c r="G10446"/>
      <c r="I10446"/>
      <c r="N10446"/>
      <c r="O10446" s="24"/>
      <c r="P10446"/>
      <c r="Q10446" s="24"/>
      <c r="R10446"/>
      <c r="S10446"/>
      <c r="T10446"/>
      <c r="U10446"/>
      <c r="X10446" s="60"/>
    </row>
    <row r="10447" spans="7:24" ht="15" customHeight="1">
      <c r="G10447"/>
      <c r="I10447"/>
      <c r="N10447"/>
      <c r="O10447" s="24"/>
      <c r="P10447"/>
      <c r="Q10447" s="24"/>
      <c r="R10447"/>
      <c r="S10447"/>
      <c r="T10447"/>
      <c r="U10447"/>
      <c r="X10447" s="60"/>
    </row>
    <row r="10448" spans="7:24" ht="15" customHeight="1">
      <c r="G10448"/>
      <c r="I10448"/>
      <c r="N10448"/>
      <c r="O10448" s="24"/>
      <c r="P10448"/>
      <c r="Q10448" s="24"/>
      <c r="R10448"/>
      <c r="S10448"/>
      <c r="T10448"/>
      <c r="U10448"/>
      <c r="X10448" s="60"/>
    </row>
    <row r="10449" spans="7:24" ht="15" customHeight="1">
      <c r="G10449"/>
      <c r="I10449"/>
      <c r="N10449"/>
      <c r="O10449" s="24"/>
      <c r="P10449"/>
      <c r="Q10449" s="24"/>
      <c r="R10449"/>
      <c r="S10449"/>
      <c r="T10449"/>
      <c r="U10449"/>
      <c r="X10449" s="60"/>
    </row>
    <row r="10450" spans="7:24" ht="15" customHeight="1">
      <c r="G10450"/>
      <c r="I10450"/>
      <c r="N10450"/>
      <c r="O10450" s="24"/>
      <c r="P10450"/>
      <c r="Q10450" s="24"/>
      <c r="R10450"/>
      <c r="S10450"/>
      <c r="T10450"/>
      <c r="U10450"/>
      <c r="X10450" s="60"/>
    </row>
    <row r="10451" spans="7:24" ht="15" customHeight="1">
      <c r="G10451"/>
      <c r="I10451"/>
      <c r="N10451"/>
      <c r="O10451" s="24"/>
      <c r="P10451"/>
      <c r="Q10451" s="24"/>
      <c r="R10451"/>
      <c r="S10451"/>
      <c r="T10451"/>
      <c r="U10451"/>
      <c r="X10451" s="60"/>
    </row>
    <row r="10452" spans="7:24" ht="15" customHeight="1">
      <c r="G10452"/>
      <c r="I10452"/>
      <c r="N10452"/>
      <c r="O10452" s="24"/>
      <c r="P10452"/>
      <c r="Q10452" s="24"/>
      <c r="R10452"/>
      <c r="S10452"/>
      <c r="T10452"/>
      <c r="U10452"/>
      <c r="X10452" s="60"/>
    </row>
    <row r="10453" spans="7:24" ht="15" customHeight="1">
      <c r="G10453"/>
      <c r="I10453"/>
      <c r="N10453"/>
      <c r="O10453" s="24"/>
      <c r="P10453"/>
      <c r="Q10453" s="24"/>
      <c r="R10453"/>
      <c r="S10453"/>
      <c r="T10453"/>
      <c r="U10453"/>
      <c r="X10453" s="60"/>
    </row>
    <row r="10454" spans="7:24" ht="15" customHeight="1">
      <c r="G10454"/>
      <c r="I10454"/>
      <c r="N10454"/>
      <c r="O10454" s="24"/>
      <c r="P10454"/>
      <c r="Q10454" s="24"/>
      <c r="R10454"/>
      <c r="S10454"/>
      <c r="T10454"/>
      <c r="U10454"/>
      <c r="X10454" s="60"/>
    </row>
    <row r="10455" spans="7:24" ht="15" customHeight="1">
      <c r="G10455"/>
      <c r="I10455"/>
      <c r="N10455"/>
      <c r="O10455" s="24"/>
      <c r="P10455"/>
      <c r="Q10455" s="24"/>
      <c r="R10455"/>
      <c r="S10455"/>
      <c r="T10455"/>
      <c r="U10455"/>
      <c r="X10455" s="60"/>
    </row>
    <row r="10456" spans="7:24" ht="15" customHeight="1">
      <c r="G10456"/>
      <c r="I10456"/>
      <c r="N10456"/>
      <c r="O10456" s="24"/>
      <c r="P10456"/>
      <c r="Q10456" s="24"/>
      <c r="R10456"/>
      <c r="S10456"/>
      <c r="T10456"/>
      <c r="U10456"/>
      <c r="X10456" s="60"/>
    </row>
    <row r="10457" spans="7:24" ht="15" customHeight="1">
      <c r="G10457"/>
      <c r="I10457"/>
      <c r="N10457"/>
      <c r="O10457" s="24"/>
      <c r="P10457"/>
      <c r="Q10457" s="24"/>
      <c r="R10457"/>
      <c r="S10457"/>
      <c r="T10457"/>
      <c r="U10457"/>
      <c r="X10457" s="60"/>
    </row>
    <row r="10458" spans="7:24" ht="15" customHeight="1">
      <c r="G10458"/>
      <c r="I10458"/>
      <c r="N10458"/>
      <c r="O10458" s="24"/>
      <c r="P10458"/>
      <c r="Q10458" s="24"/>
      <c r="R10458"/>
      <c r="S10458"/>
      <c r="T10458"/>
      <c r="U10458"/>
      <c r="X10458" s="60"/>
    </row>
    <row r="10459" spans="7:24" ht="15" customHeight="1">
      <c r="G10459"/>
      <c r="I10459"/>
      <c r="N10459"/>
      <c r="O10459" s="24"/>
      <c r="P10459"/>
      <c r="Q10459" s="24"/>
      <c r="R10459"/>
      <c r="S10459"/>
      <c r="T10459"/>
      <c r="U10459"/>
      <c r="X10459" s="60"/>
    </row>
    <row r="10460" spans="7:24" ht="15" customHeight="1">
      <c r="G10460"/>
      <c r="I10460"/>
      <c r="N10460"/>
      <c r="O10460" s="24"/>
      <c r="P10460"/>
      <c r="Q10460" s="24"/>
      <c r="R10460"/>
      <c r="S10460"/>
      <c r="T10460"/>
      <c r="U10460"/>
      <c r="X10460" s="60"/>
    </row>
    <row r="10461" spans="7:24" ht="15" customHeight="1">
      <c r="G10461"/>
      <c r="I10461"/>
      <c r="N10461"/>
      <c r="O10461" s="24"/>
      <c r="P10461"/>
      <c r="Q10461" s="24"/>
      <c r="R10461"/>
      <c r="S10461"/>
      <c r="T10461"/>
      <c r="U10461"/>
      <c r="X10461" s="60"/>
    </row>
    <row r="10462" spans="7:24" ht="15" customHeight="1">
      <c r="G10462"/>
      <c r="I10462"/>
      <c r="N10462"/>
      <c r="O10462" s="24"/>
      <c r="P10462"/>
      <c r="Q10462" s="24"/>
      <c r="R10462"/>
      <c r="S10462"/>
      <c r="T10462"/>
      <c r="U10462"/>
      <c r="X10462" s="60"/>
    </row>
    <row r="10463" spans="7:24" ht="15" customHeight="1">
      <c r="G10463"/>
      <c r="I10463"/>
      <c r="N10463"/>
      <c r="O10463" s="24"/>
      <c r="P10463"/>
      <c r="Q10463" s="24"/>
      <c r="R10463"/>
      <c r="S10463"/>
      <c r="T10463"/>
      <c r="U10463"/>
      <c r="X10463" s="60"/>
    </row>
    <row r="10464" spans="7:24" ht="15" customHeight="1">
      <c r="G10464"/>
      <c r="I10464"/>
      <c r="N10464"/>
      <c r="O10464" s="24"/>
      <c r="P10464"/>
      <c r="Q10464" s="24"/>
      <c r="R10464"/>
      <c r="S10464"/>
      <c r="T10464"/>
      <c r="U10464"/>
      <c r="X10464" s="60"/>
    </row>
    <row r="10465" spans="7:24" ht="15" customHeight="1">
      <c r="G10465"/>
      <c r="I10465"/>
      <c r="N10465"/>
      <c r="O10465" s="24"/>
      <c r="P10465"/>
      <c r="Q10465" s="24"/>
      <c r="R10465"/>
      <c r="S10465"/>
      <c r="T10465"/>
      <c r="U10465"/>
      <c r="X10465" s="60"/>
    </row>
    <row r="10466" spans="7:24" ht="15" customHeight="1">
      <c r="G10466"/>
      <c r="I10466"/>
      <c r="N10466"/>
      <c r="O10466" s="24"/>
      <c r="P10466"/>
      <c r="Q10466" s="24"/>
      <c r="R10466"/>
      <c r="S10466"/>
      <c r="T10466"/>
      <c r="U10466"/>
      <c r="X10466" s="60"/>
    </row>
    <row r="10467" spans="7:24" ht="15" customHeight="1">
      <c r="G10467"/>
      <c r="I10467"/>
      <c r="N10467"/>
      <c r="O10467" s="24"/>
      <c r="P10467"/>
      <c r="Q10467" s="24"/>
      <c r="R10467"/>
      <c r="S10467"/>
      <c r="T10467"/>
      <c r="U10467"/>
      <c r="X10467" s="60"/>
    </row>
    <row r="10468" spans="7:24" ht="15" customHeight="1">
      <c r="G10468"/>
      <c r="I10468"/>
      <c r="N10468"/>
      <c r="O10468" s="24"/>
      <c r="P10468"/>
      <c r="Q10468" s="24"/>
      <c r="R10468"/>
      <c r="S10468"/>
      <c r="T10468"/>
      <c r="U10468"/>
      <c r="X10468" s="60"/>
    </row>
    <row r="10469" spans="7:24" ht="15" customHeight="1">
      <c r="G10469"/>
      <c r="I10469"/>
      <c r="N10469"/>
      <c r="O10469" s="24"/>
      <c r="P10469"/>
      <c r="Q10469" s="24"/>
      <c r="R10469"/>
      <c r="S10469"/>
      <c r="T10469"/>
      <c r="U10469"/>
      <c r="X10469" s="60"/>
    </row>
    <row r="10470" spans="7:24" ht="15" customHeight="1">
      <c r="G10470"/>
      <c r="I10470"/>
      <c r="N10470"/>
      <c r="O10470" s="24"/>
      <c r="P10470"/>
      <c r="Q10470" s="24"/>
      <c r="R10470"/>
      <c r="S10470"/>
      <c r="T10470"/>
      <c r="U10470"/>
      <c r="X10470" s="60"/>
    </row>
    <row r="10471" spans="7:24" ht="15" customHeight="1">
      <c r="G10471"/>
      <c r="I10471"/>
      <c r="N10471"/>
      <c r="O10471" s="24"/>
      <c r="P10471"/>
      <c r="Q10471" s="24"/>
      <c r="R10471"/>
      <c r="S10471"/>
      <c r="T10471"/>
      <c r="U10471"/>
      <c r="X10471" s="60"/>
    </row>
    <row r="10472" spans="7:24" ht="15" customHeight="1">
      <c r="G10472"/>
      <c r="I10472"/>
      <c r="N10472"/>
      <c r="O10472" s="24"/>
      <c r="P10472"/>
      <c r="Q10472" s="24"/>
      <c r="R10472"/>
      <c r="S10472"/>
      <c r="T10472"/>
      <c r="U10472"/>
      <c r="X10472" s="60"/>
    </row>
    <row r="10473" spans="7:24" ht="15" customHeight="1">
      <c r="G10473"/>
      <c r="I10473"/>
      <c r="N10473"/>
      <c r="O10473" s="24"/>
      <c r="P10473"/>
      <c r="Q10473" s="24"/>
      <c r="R10473"/>
      <c r="S10473"/>
      <c r="T10473"/>
      <c r="U10473"/>
      <c r="X10473" s="60"/>
    </row>
    <row r="10474" spans="7:24" ht="15" customHeight="1">
      <c r="G10474"/>
      <c r="I10474"/>
      <c r="N10474"/>
      <c r="O10474" s="24"/>
      <c r="P10474"/>
      <c r="Q10474" s="24"/>
      <c r="R10474"/>
      <c r="S10474"/>
      <c r="T10474"/>
      <c r="U10474"/>
      <c r="X10474" s="60"/>
    </row>
    <row r="10475" spans="7:24" ht="15" customHeight="1">
      <c r="G10475"/>
      <c r="I10475"/>
      <c r="N10475"/>
      <c r="O10475" s="24"/>
      <c r="P10475"/>
      <c r="Q10475" s="24"/>
      <c r="R10475"/>
      <c r="S10475"/>
      <c r="T10475"/>
      <c r="U10475"/>
      <c r="X10475" s="60"/>
    </row>
    <row r="10476" spans="7:24" ht="15" customHeight="1">
      <c r="G10476"/>
      <c r="I10476"/>
      <c r="N10476"/>
      <c r="O10476" s="24"/>
      <c r="P10476"/>
      <c r="Q10476" s="24"/>
      <c r="R10476"/>
      <c r="S10476"/>
      <c r="T10476"/>
      <c r="U10476"/>
      <c r="X10476" s="60"/>
    </row>
    <row r="10477" spans="7:24" ht="15" customHeight="1">
      <c r="G10477"/>
      <c r="I10477"/>
      <c r="N10477"/>
      <c r="O10477" s="24"/>
      <c r="P10477"/>
      <c r="Q10477" s="24"/>
      <c r="R10477"/>
      <c r="S10477"/>
      <c r="T10477"/>
      <c r="U10477"/>
      <c r="X10477" s="60"/>
    </row>
    <row r="10478" spans="7:24" ht="15" customHeight="1">
      <c r="G10478"/>
      <c r="I10478"/>
      <c r="N10478"/>
      <c r="O10478" s="24"/>
      <c r="P10478"/>
      <c r="Q10478" s="24"/>
      <c r="R10478"/>
      <c r="S10478"/>
      <c r="T10478"/>
      <c r="U10478"/>
      <c r="X10478" s="60"/>
    </row>
    <row r="10479" spans="7:24" ht="15" customHeight="1">
      <c r="G10479"/>
      <c r="I10479"/>
      <c r="N10479"/>
      <c r="O10479" s="24"/>
      <c r="P10479"/>
      <c r="Q10479" s="24"/>
      <c r="R10479"/>
      <c r="S10479"/>
      <c r="T10479"/>
      <c r="U10479"/>
      <c r="X10479" s="60"/>
    </row>
    <row r="10480" spans="7:24" ht="15" customHeight="1">
      <c r="G10480"/>
      <c r="I10480"/>
      <c r="N10480"/>
      <c r="O10480" s="24"/>
      <c r="P10480"/>
      <c r="Q10480" s="24"/>
      <c r="R10480"/>
      <c r="S10480"/>
      <c r="T10480"/>
      <c r="U10480"/>
      <c r="X10480" s="60"/>
    </row>
    <row r="10481" spans="7:24" ht="15" customHeight="1">
      <c r="G10481"/>
      <c r="I10481"/>
      <c r="N10481"/>
      <c r="O10481" s="24"/>
      <c r="P10481"/>
      <c r="Q10481" s="24"/>
      <c r="R10481"/>
      <c r="S10481"/>
      <c r="T10481"/>
      <c r="U10481"/>
      <c r="X10481" s="60"/>
    </row>
    <row r="10482" spans="7:24" ht="15" customHeight="1">
      <c r="G10482"/>
      <c r="I10482"/>
      <c r="N10482"/>
      <c r="O10482" s="24"/>
      <c r="P10482"/>
      <c r="Q10482" s="24"/>
      <c r="R10482"/>
      <c r="S10482"/>
      <c r="T10482"/>
      <c r="U10482"/>
      <c r="X10482" s="60"/>
    </row>
    <row r="10483" spans="7:24" ht="15" customHeight="1">
      <c r="G10483"/>
      <c r="I10483"/>
      <c r="N10483"/>
      <c r="O10483" s="24"/>
      <c r="P10483"/>
      <c r="Q10483" s="24"/>
      <c r="R10483"/>
      <c r="S10483"/>
      <c r="T10483"/>
      <c r="U10483"/>
      <c r="X10483" s="60"/>
    </row>
    <row r="10484" spans="7:24" ht="15" customHeight="1">
      <c r="G10484"/>
      <c r="I10484"/>
      <c r="N10484"/>
      <c r="O10484" s="24"/>
      <c r="P10484"/>
      <c r="Q10484" s="24"/>
      <c r="R10484"/>
      <c r="S10484"/>
      <c r="T10484"/>
      <c r="U10484"/>
      <c r="X10484" s="60"/>
    </row>
    <row r="10485" spans="7:24" ht="15" customHeight="1">
      <c r="G10485"/>
      <c r="I10485"/>
      <c r="N10485"/>
      <c r="O10485" s="24"/>
      <c r="P10485"/>
      <c r="Q10485" s="24"/>
      <c r="R10485"/>
      <c r="S10485"/>
      <c r="T10485"/>
      <c r="U10485"/>
      <c r="X10485" s="60"/>
    </row>
    <row r="10486" spans="7:24" ht="15" customHeight="1">
      <c r="G10486"/>
      <c r="I10486"/>
      <c r="N10486"/>
      <c r="O10486" s="24"/>
      <c r="P10486"/>
      <c r="Q10486" s="24"/>
      <c r="R10486"/>
      <c r="S10486"/>
      <c r="T10486"/>
      <c r="U10486"/>
      <c r="X10486" s="60"/>
    </row>
    <row r="10487" spans="7:24" ht="15" customHeight="1">
      <c r="G10487"/>
      <c r="I10487"/>
      <c r="N10487"/>
      <c r="O10487" s="24"/>
      <c r="P10487"/>
      <c r="Q10487" s="24"/>
      <c r="R10487"/>
      <c r="S10487"/>
      <c r="T10487"/>
      <c r="U10487"/>
      <c r="X10487" s="60"/>
    </row>
    <row r="10488" spans="7:24" ht="15" customHeight="1">
      <c r="G10488"/>
      <c r="I10488"/>
      <c r="N10488"/>
      <c r="O10488" s="24"/>
      <c r="P10488"/>
      <c r="Q10488" s="24"/>
      <c r="R10488"/>
      <c r="S10488"/>
      <c r="T10488"/>
      <c r="U10488"/>
      <c r="X10488" s="60"/>
    </row>
    <row r="10489" spans="7:24" ht="15" customHeight="1">
      <c r="G10489"/>
      <c r="I10489"/>
      <c r="N10489"/>
      <c r="O10489" s="24"/>
      <c r="P10489"/>
      <c r="Q10489" s="24"/>
      <c r="R10489"/>
      <c r="S10489"/>
      <c r="T10489"/>
      <c r="U10489"/>
      <c r="X10489" s="60"/>
    </row>
    <row r="10490" spans="7:24" ht="15" customHeight="1">
      <c r="G10490"/>
      <c r="I10490"/>
      <c r="N10490"/>
      <c r="O10490" s="24"/>
      <c r="P10490"/>
      <c r="Q10490" s="24"/>
      <c r="R10490"/>
      <c r="S10490"/>
      <c r="T10490"/>
      <c r="U10490"/>
      <c r="X10490" s="60"/>
    </row>
    <row r="10491" spans="7:24" ht="15" customHeight="1">
      <c r="G10491"/>
      <c r="I10491"/>
      <c r="N10491"/>
      <c r="O10491" s="24"/>
      <c r="P10491"/>
      <c r="Q10491" s="24"/>
      <c r="R10491"/>
      <c r="S10491"/>
      <c r="T10491"/>
      <c r="U10491"/>
      <c r="X10491" s="60"/>
    </row>
    <row r="10492" spans="7:24" ht="15" customHeight="1">
      <c r="G10492"/>
      <c r="I10492"/>
      <c r="N10492"/>
      <c r="O10492" s="24"/>
      <c r="P10492"/>
      <c r="Q10492" s="24"/>
      <c r="R10492"/>
      <c r="S10492"/>
      <c r="T10492"/>
      <c r="U10492"/>
      <c r="X10492" s="60"/>
    </row>
    <row r="10493" spans="7:24" ht="15" customHeight="1">
      <c r="G10493"/>
      <c r="I10493"/>
      <c r="N10493"/>
      <c r="O10493" s="24"/>
      <c r="P10493"/>
      <c r="Q10493" s="24"/>
      <c r="R10493"/>
      <c r="S10493"/>
      <c r="T10493"/>
      <c r="U10493"/>
      <c r="X10493" s="60"/>
    </row>
    <row r="10494" spans="7:24" ht="15" customHeight="1">
      <c r="G10494"/>
      <c r="I10494"/>
      <c r="N10494"/>
      <c r="O10494" s="24"/>
      <c r="P10494"/>
      <c r="Q10494" s="24"/>
      <c r="R10494"/>
      <c r="S10494"/>
      <c r="T10494"/>
      <c r="U10494"/>
      <c r="X10494" s="60"/>
    </row>
    <row r="10495" spans="7:24" ht="15" customHeight="1">
      <c r="G10495"/>
      <c r="I10495"/>
      <c r="N10495"/>
      <c r="O10495" s="24"/>
      <c r="P10495"/>
      <c r="Q10495" s="24"/>
      <c r="R10495"/>
      <c r="S10495"/>
      <c r="T10495"/>
      <c r="U10495"/>
      <c r="X10495" s="60"/>
    </row>
    <row r="10496" spans="7:24" ht="15" customHeight="1">
      <c r="G10496"/>
      <c r="I10496"/>
      <c r="N10496"/>
      <c r="O10496" s="24"/>
      <c r="P10496"/>
      <c r="Q10496" s="24"/>
      <c r="R10496"/>
      <c r="S10496"/>
      <c r="T10496"/>
      <c r="U10496"/>
      <c r="X10496" s="60"/>
    </row>
    <row r="10497" spans="7:24" ht="15" customHeight="1">
      <c r="G10497"/>
      <c r="I10497"/>
      <c r="N10497"/>
      <c r="O10497" s="24"/>
      <c r="P10497"/>
      <c r="Q10497" s="24"/>
      <c r="R10497"/>
      <c r="S10497"/>
      <c r="T10497"/>
      <c r="U10497"/>
      <c r="X10497" s="60"/>
    </row>
    <row r="10498" spans="7:24" ht="15" customHeight="1">
      <c r="G10498"/>
      <c r="I10498"/>
      <c r="N10498"/>
      <c r="O10498" s="24"/>
      <c r="P10498"/>
      <c r="Q10498" s="24"/>
      <c r="R10498"/>
      <c r="S10498"/>
      <c r="T10498"/>
      <c r="U10498"/>
      <c r="X10498" s="60"/>
    </row>
    <row r="10499" spans="7:24" ht="15" customHeight="1">
      <c r="G10499"/>
      <c r="I10499"/>
      <c r="N10499"/>
      <c r="O10499" s="24"/>
      <c r="P10499"/>
      <c r="Q10499" s="24"/>
      <c r="R10499"/>
      <c r="S10499"/>
      <c r="T10499"/>
      <c r="U10499"/>
      <c r="X10499" s="60"/>
    </row>
    <row r="10500" spans="7:24" ht="15" customHeight="1">
      <c r="G10500"/>
      <c r="I10500"/>
      <c r="N10500"/>
      <c r="O10500" s="24"/>
      <c r="P10500"/>
      <c r="Q10500" s="24"/>
      <c r="R10500"/>
      <c r="S10500"/>
      <c r="T10500"/>
      <c r="U10500"/>
      <c r="X10500" s="60"/>
    </row>
    <row r="10501" spans="7:24" ht="15" customHeight="1">
      <c r="G10501"/>
      <c r="I10501"/>
      <c r="N10501"/>
      <c r="O10501" s="24"/>
      <c r="P10501"/>
      <c r="Q10501" s="24"/>
      <c r="R10501"/>
      <c r="S10501"/>
      <c r="T10501"/>
      <c r="U10501"/>
      <c r="X10501" s="60"/>
    </row>
    <row r="10502" spans="7:24" ht="15" customHeight="1">
      <c r="G10502"/>
      <c r="I10502"/>
      <c r="N10502"/>
      <c r="O10502" s="24"/>
      <c r="P10502"/>
      <c r="Q10502" s="24"/>
      <c r="R10502"/>
      <c r="S10502"/>
      <c r="T10502"/>
      <c r="U10502"/>
      <c r="X10502" s="60"/>
    </row>
    <row r="10503" spans="7:24" ht="15" customHeight="1">
      <c r="G10503"/>
      <c r="I10503"/>
      <c r="N10503"/>
      <c r="O10503" s="24"/>
      <c r="P10503"/>
      <c r="Q10503" s="24"/>
      <c r="R10503"/>
      <c r="S10503"/>
      <c r="T10503"/>
      <c r="U10503"/>
      <c r="X10503" s="60"/>
    </row>
    <row r="10504" spans="7:24" ht="15" customHeight="1">
      <c r="G10504"/>
      <c r="I10504"/>
      <c r="N10504"/>
      <c r="O10504" s="24"/>
      <c r="P10504"/>
      <c r="Q10504" s="24"/>
      <c r="R10504"/>
      <c r="S10504"/>
      <c r="T10504"/>
      <c r="U10504"/>
      <c r="X10504" s="60"/>
    </row>
    <row r="10505" spans="7:24" ht="15" customHeight="1">
      <c r="G10505"/>
      <c r="I10505"/>
      <c r="N10505"/>
      <c r="O10505" s="24"/>
      <c r="P10505"/>
      <c r="Q10505" s="24"/>
      <c r="R10505"/>
      <c r="S10505"/>
      <c r="T10505"/>
      <c r="U10505"/>
      <c r="X10505" s="60"/>
    </row>
    <row r="10506" spans="7:24" ht="15" customHeight="1">
      <c r="G10506"/>
      <c r="I10506"/>
      <c r="N10506"/>
      <c r="O10506" s="24"/>
      <c r="P10506"/>
      <c r="Q10506" s="24"/>
      <c r="R10506"/>
      <c r="S10506"/>
      <c r="T10506"/>
      <c r="U10506"/>
      <c r="X10506" s="60"/>
    </row>
    <row r="10507" spans="7:24" ht="15" customHeight="1">
      <c r="G10507"/>
      <c r="I10507"/>
      <c r="N10507"/>
      <c r="O10507" s="24"/>
      <c r="P10507"/>
      <c r="Q10507" s="24"/>
      <c r="R10507"/>
      <c r="S10507"/>
      <c r="T10507"/>
      <c r="U10507"/>
      <c r="X10507" s="60"/>
    </row>
    <row r="10508" spans="7:24" ht="15" customHeight="1">
      <c r="G10508"/>
      <c r="I10508"/>
      <c r="N10508"/>
      <c r="O10508" s="24"/>
      <c r="P10508"/>
      <c r="Q10508" s="24"/>
      <c r="R10508"/>
      <c r="S10508"/>
      <c r="T10508"/>
      <c r="U10508"/>
      <c r="X10508" s="60"/>
    </row>
    <row r="10509" spans="7:24" ht="15" customHeight="1">
      <c r="G10509"/>
      <c r="I10509"/>
      <c r="N10509"/>
      <c r="O10509" s="24"/>
      <c r="P10509"/>
      <c r="Q10509" s="24"/>
      <c r="R10509"/>
      <c r="S10509"/>
      <c r="T10509"/>
      <c r="U10509"/>
      <c r="X10509" s="60"/>
    </row>
    <row r="10510" spans="7:24" ht="15" customHeight="1">
      <c r="G10510"/>
      <c r="I10510"/>
      <c r="N10510"/>
      <c r="O10510" s="24"/>
      <c r="P10510"/>
      <c r="Q10510" s="24"/>
      <c r="R10510"/>
      <c r="S10510"/>
      <c r="T10510"/>
      <c r="U10510"/>
      <c r="X10510" s="60"/>
    </row>
    <row r="10511" spans="7:24" ht="15" customHeight="1">
      <c r="G10511"/>
      <c r="I10511"/>
      <c r="N10511"/>
      <c r="O10511" s="24"/>
      <c r="P10511"/>
      <c r="Q10511" s="24"/>
      <c r="R10511"/>
      <c r="S10511"/>
      <c r="T10511"/>
      <c r="U10511"/>
      <c r="X10511" s="60"/>
    </row>
    <row r="10512" spans="7:24" ht="15" customHeight="1">
      <c r="G10512"/>
      <c r="I10512"/>
      <c r="N10512"/>
      <c r="O10512" s="24"/>
      <c r="P10512"/>
      <c r="Q10512" s="24"/>
      <c r="R10512"/>
      <c r="S10512"/>
      <c r="T10512"/>
      <c r="U10512"/>
      <c r="X10512" s="60"/>
    </row>
    <row r="10513" spans="7:24" ht="15" customHeight="1">
      <c r="G10513"/>
      <c r="I10513"/>
      <c r="N10513"/>
      <c r="O10513" s="24"/>
      <c r="P10513"/>
      <c r="Q10513" s="24"/>
      <c r="R10513"/>
      <c r="S10513"/>
      <c r="T10513"/>
      <c r="U10513"/>
      <c r="X10513" s="60"/>
    </row>
    <row r="10514" spans="7:24" ht="15" customHeight="1">
      <c r="G10514"/>
      <c r="I10514"/>
      <c r="N10514"/>
      <c r="O10514" s="24"/>
      <c r="P10514"/>
      <c r="Q10514" s="24"/>
      <c r="R10514"/>
      <c r="S10514"/>
      <c r="T10514"/>
      <c r="U10514"/>
      <c r="X10514" s="60"/>
    </row>
    <row r="10515" spans="7:24" ht="15" customHeight="1">
      <c r="G10515"/>
      <c r="I10515"/>
      <c r="N10515"/>
      <c r="O10515" s="24"/>
      <c r="P10515"/>
      <c r="Q10515" s="24"/>
      <c r="R10515"/>
      <c r="S10515"/>
      <c r="T10515"/>
      <c r="U10515"/>
      <c r="X10515" s="60"/>
    </row>
    <row r="10516" spans="7:24" ht="15" customHeight="1">
      <c r="G10516"/>
      <c r="I10516"/>
      <c r="N10516"/>
      <c r="O10516" s="24"/>
      <c r="P10516"/>
      <c r="Q10516" s="24"/>
      <c r="R10516"/>
      <c r="S10516"/>
      <c r="T10516"/>
      <c r="U10516"/>
      <c r="X10516" s="60"/>
    </row>
    <row r="10517" spans="7:24" ht="15" customHeight="1">
      <c r="G10517"/>
      <c r="I10517"/>
      <c r="N10517"/>
      <c r="O10517" s="24"/>
      <c r="P10517"/>
      <c r="Q10517" s="24"/>
      <c r="R10517"/>
      <c r="S10517"/>
      <c r="T10517"/>
      <c r="U10517"/>
      <c r="X10517" s="60"/>
    </row>
    <row r="10518" spans="7:24" ht="15" customHeight="1">
      <c r="G10518"/>
      <c r="I10518"/>
      <c r="N10518"/>
      <c r="O10518" s="24"/>
      <c r="P10518"/>
      <c r="Q10518" s="24"/>
      <c r="R10518"/>
      <c r="S10518"/>
      <c r="T10518"/>
      <c r="U10518"/>
      <c r="X10518" s="60"/>
    </row>
    <row r="10519" spans="7:24" ht="15" customHeight="1">
      <c r="G10519"/>
      <c r="I10519"/>
      <c r="N10519"/>
      <c r="O10519" s="24"/>
      <c r="P10519"/>
      <c r="Q10519" s="24"/>
      <c r="R10519"/>
      <c r="S10519"/>
      <c r="T10519"/>
      <c r="U10519"/>
      <c r="X10519" s="60"/>
    </row>
    <row r="10520" spans="7:24" ht="15" customHeight="1">
      <c r="G10520"/>
      <c r="I10520"/>
      <c r="N10520"/>
      <c r="O10520" s="24"/>
      <c r="P10520"/>
      <c r="Q10520" s="24"/>
      <c r="R10520"/>
      <c r="S10520"/>
      <c r="T10520"/>
      <c r="U10520"/>
      <c r="X10520" s="60"/>
    </row>
    <row r="10521" spans="7:24" ht="15" customHeight="1">
      <c r="G10521"/>
      <c r="I10521"/>
      <c r="N10521"/>
      <c r="O10521" s="24"/>
      <c r="P10521"/>
      <c r="Q10521" s="24"/>
      <c r="R10521"/>
      <c r="S10521"/>
      <c r="T10521"/>
      <c r="U10521"/>
      <c r="X10521" s="60"/>
    </row>
    <row r="10522" spans="7:24" ht="15" customHeight="1">
      <c r="G10522"/>
      <c r="I10522"/>
      <c r="N10522"/>
      <c r="O10522" s="24"/>
      <c r="P10522"/>
      <c r="Q10522" s="24"/>
      <c r="R10522"/>
      <c r="S10522"/>
      <c r="T10522"/>
      <c r="U10522"/>
      <c r="X10522" s="60"/>
    </row>
    <row r="10523" spans="7:24" ht="15" customHeight="1">
      <c r="G10523"/>
      <c r="I10523"/>
      <c r="N10523"/>
      <c r="O10523" s="24"/>
      <c r="P10523"/>
      <c r="Q10523" s="24"/>
      <c r="R10523"/>
      <c r="S10523"/>
      <c r="T10523"/>
      <c r="U10523"/>
      <c r="X10523" s="60"/>
    </row>
    <row r="10524" spans="7:24" ht="15" customHeight="1">
      <c r="G10524"/>
      <c r="I10524"/>
      <c r="N10524"/>
      <c r="O10524" s="24"/>
      <c r="P10524"/>
      <c r="Q10524" s="24"/>
      <c r="R10524"/>
      <c r="S10524"/>
      <c r="T10524"/>
      <c r="U10524"/>
      <c r="X10524" s="60"/>
    </row>
    <row r="10525" spans="7:24" ht="15" customHeight="1">
      <c r="G10525"/>
      <c r="I10525"/>
      <c r="N10525"/>
      <c r="O10525" s="24"/>
      <c r="P10525"/>
      <c r="Q10525" s="24"/>
      <c r="R10525"/>
      <c r="S10525"/>
      <c r="T10525"/>
      <c r="U10525"/>
      <c r="X10525" s="60"/>
    </row>
    <row r="10526" spans="7:24" ht="15" customHeight="1">
      <c r="G10526"/>
      <c r="I10526"/>
      <c r="N10526"/>
      <c r="O10526" s="24"/>
      <c r="P10526"/>
      <c r="Q10526" s="24"/>
      <c r="R10526"/>
      <c r="S10526"/>
      <c r="T10526"/>
      <c r="U10526"/>
      <c r="X10526" s="60"/>
    </row>
    <row r="10527" spans="7:24" ht="15" customHeight="1">
      <c r="G10527"/>
      <c r="I10527"/>
      <c r="N10527"/>
      <c r="O10527" s="24"/>
      <c r="P10527"/>
      <c r="Q10527" s="24"/>
      <c r="R10527"/>
      <c r="S10527"/>
      <c r="T10527"/>
      <c r="U10527"/>
      <c r="X10527" s="60"/>
    </row>
    <row r="10528" spans="7:24" ht="15" customHeight="1">
      <c r="G10528"/>
      <c r="I10528"/>
      <c r="N10528"/>
      <c r="O10528" s="24"/>
      <c r="P10528"/>
      <c r="Q10528" s="24"/>
      <c r="R10528"/>
      <c r="S10528"/>
      <c r="T10528"/>
      <c r="U10528"/>
      <c r="X10528" s="60"/>
    </row>
    <row r="10529" spans="7:24" ht="15" customHeight="1">
      <c r="G10529"/>
      <c r="I10529"/>
      <c r="N10529"/>
      <c r="O10529" s="24"/>
      <c r="P10529"/>
      <c r="Q10529" s="24"/>
      <c r="R10529"/>
      <c r="S10529"/>
      <c r="T10529"/>
      <c r="U10529"/>
      <c r="X10529" s="60"/>
    </row>
    <row r="10530" spans="7:24" ht="15" customHeight="1">
      <c r="G10530"/>
      <c r="I10530"/>
      <c r="N10530"/>
      <c r="O10530" s="24"/>
      <c r="P10530"/>
      <c r="Q10530" s="24"/>
      <c r="R10530"/>
      <c r="S10530"/>
      <c r="T10530"/>
      <c r="U10530"/>
      <c r="X10530" s="60"/>
    </row>
    <row r="10531" spans="7:24" ht="15" customHeight="1">
      <c r="G10531"/>
      <c r="I10531"/>
      <c r="N10531"/>
      <c r="O10531" s="24"/>
      <c r="P10531"/>
      <c r="Q10531" s="24"/>
      <c r="R10531"/>
      <c r="S10531"/>
      <c r="T10531"/>
      <c r="U10531"/>
      <c r="X10531" s="60"/>
    </row>
    <row r="10532" spans="7:24" ht="15" customHeight="1">
      <c r="G10532"/>
      <c r="I10532"/>
      <c r="N10532"/>
      <c r="O10532" s="24"/>
      <c r="P10532"/>
      <c r="Q10532" s="24"/>
      <c r="R10532"/>
      <c r="S10532"/>
      <c r="T10532"/>
      <c r="U10532"/>
      <c r="X10532" s="60"/>
    </row>
    <row r="10533" spans="7:24" ht="15" customHeight="1">
      <c r="G10533"/>
      <c r="I10533"/>
      <c r="N10533"/>
      <c r="O10533" s="24"/>
      <c r="P10533"/>
      <c r="Q10533" s="24"/>
      <c r="R10533"/>
      <c r="S10533"/>
      <c r="T10533"/>
      <c r="U10533"/>
      <c r="X10533" s="60"/>
    </row>
    <row r="10534" spans="7:24" ht="15" customHeight="1">
      <c r="G10534"/>
      <c r="I10534"/>
      <c r="N10534"/>
      <c r="O10534" s="24"/>
      <c r="P10534"/>
      <c r="Q10534" s="24"/>
      <c r="R10534"/>
      <c r="S10534"/>
      <c r="T10534"/>
      <c r="U10534"/>
      <c r="X10534" s="60"/>
    </row>
    <row r="10535" spans="7:24" ht="15" customHeight="1">
      <c r="G10535"/>
      <c r="I10535"/>
      <c r="N10535"/>
      <c r="O10535" s="24"/>
      <c r="P10535"/>
      <c r="Q10535" s="24"/>
      <c r="R10535"/>
      <c r="S10535"/>
      <c r="T10535"/>
      <c r="U10535"/>
      <c r="X10535" s="60"/>
    </row>
    <row r="10536" spans="7:24" ht="15" customHeight="1">
      <c r="G10536"/>
      <c r="I10536"/>
      <c r="N10536"/>
      <c r="O10536" s="24"/>
      <c r="P10536"/>
      <c r="Q10536" s="24"/>
      <c r="R10536"/>
      <c r="S10536"/>
      <c r="T10536"/>
      <c r="U10536"/>
      <c r="X10536" s="60"/>
    </row>
    <row r="10537" spans="7:24" ht="15" customHeight="1">
      <c r="G10537"/>
      <c r="I10537"/>
      <c r="N10537"/>
      <c r="O10537" s="24"/>
      <c r="P10537"/>
      <c r="Q10537" s="24"/>
      <c r="R10537"/>
      <c r="S10537"/>
      <c r="T10537"/>
      <c r="U10537"/>
      <c r="X10537" s="60"/>
    </row>
    <row r="10538" spans="7:24" ht="15" customHeight="1">
      <c r="G10538"/>
      <c r="I10538"/>
      <c r="N10538"/>
      <c r="O10538" s="24"/>
      <c r="P10538"/>
      <c r="Q10538" s="24"/>
      <c r="R10538"/>
      <c r="S10538"/>
      <c r="T10538"/>
      <c r="U10538"/>
      <c r="X10538" s="60"/>
    </row>
    <row r="10539" spans="7:24" ht="15" customHeight="1">
      <c r="G10539"/>
      <c r="I10539"/>
      <c r="N10539"/>
      <c r="O10539" s="24"/>
      <c r="P10539"/>
      <c r="Q10539" s="24"/>
      <c r="R10539"/>
      <c r="S10539"/>
      <c r="T10539"/>
      <c r="U10539"/>
      <c r="X10539" s="60"/>
    </row>
    <row r="10540" spans="7:24" ht="15" customHeight="1">
      <c r="G10540"/>
      <c r="I10540"/>
      <c r="N10540"/>
      <c r="O10540" s="24"/>
      <c r="P10540"/>
      <c r="Q10540" s="24"/>
      <c r="R10540"/>
      <c r="S10540"/>
      <c r="T10540"/>
      <c r="U10540"/>
      <c r="X10540" s="60"/>
    </row>
    <row r="10541" spans="7:24" ht="15" customHeight="1">
      <c r="G10541"/>
      <c r="I10541"/>
      <c r="N10541"/>
      <c r="O10541" s="24"/>
      <c r="P10541"/>
      <c r="Q10541" s="24"/>
      <c r="R10541"/>
      <c r="S10541"/>
      <c r="T10541"/>
      <c r="U10541"/>
      <c r="X10541" s="60"/>
    </row>
    <row r="10542" spans="7:24" ht="15" customHeight="1">
      <c r="G10542"/>
      <c r="I10542"/>
      <c r="N10542"/>
      <c r="O10542" s="24"/>
      <c r="P10542"/>
      <c r="Q10542" s="24"/>
      <c r="R10542"/>
      <c r="S10542"/>
      <c r="T10542"/>
      <c r="U10542"/>
      <c r="X10542" s="60"/>
    </row>
    <row r="10543" spans="7:24" ht="15" customHeight="1">
      <c r="G10543"/>
      <c r="I10543"/>
      <c r="N10543"/>
      <c r="O10543" s="24"/>
      <c r="P10543"/>
      <c r="Q10543" s="24"/>
      <c r="R10543"/>
      <c r="S10543"/>
      <c r="T10543"/>
      <c r="U10543"/>
      <c r="X10543" s="60"/>
    </row>
    <row r="10544" spans="7:24" ht="15" customHeight="1">
      <c r="G10544"/>
      <c r="I10544"/>
      <c r="N10544"/>
      <c r="O10544" s="24"/>
      <c r="P10544"/>
      <c r="Q10544" s="24"/>
      <c r="R10544"/>
      <c r="S10544"/>
      <c r="T10544"/>
      <c r="U10544"/>
      <c r="X10544" s="60"/>
    </row>
    <row r="10545" spans="7:24" ht="15" customHeight="1">
      <c r="G10545"/>
      <c r="I10545"/>
      <c r="N10545"/>
      <c r="O10545" s="24"/>
      <c r="P10545"/>
      <c r="Q10545" s="24"/>
      <c r="R10545"/>
      <c r="S10545"/>
      <c r="T10545"/>
      <c r="U10545"/>
      <c r="X10545" s="60"/>
    </row>
    <row r="10546" spans="7:24" ht="15" customHeight="1">
      <c r="G10546"/>
      <c r="I10546"/>
      <c r="N10546"/>
      <c r="O10546" s="24"/>
      <c r="P10546"/>
      <c r="Q10546" s="24"/>
      <c r="R10546"/>
      <c r="S10546"/>
      <c r="T10546"/>
      <c r="U10546"/>
      <c r="X10546" s="60"/>
    </row>
    <row r="10547" spans="7:24" ht="15" customHeight="1">
      <c r="G10547"/>
      <c r="I10547"/>
      <c r="N10547"/>
      <c r="O10547" s="24"/>
      <c r="P10547"/>
      <c r="Q10547" s="24"/>
      <c r="R10547"/>
      <c r="S10547"/>
      <c r="T10547"/>
      <c r="U10547"/>
      <c r="X10547" s="60"/>
    </row>
    <row r="10548" spans="7:24" ht="15" customHeight="1">
      <c r="G10548"/>
      <c r="I10548"/>
      <c r="N10548"/>
      <c r="O10548" s="24"/>
      <c r="P10548"/>
      <c r="Q10548" s="24"/>
      <c r="R10548"/>
      <c r="S10548"/>
      <c r="T10548"/>
      <c r="U10548"/>
      <c r="X10548" s="60"/>
    </row>
    <row r="10549" spans="7:24" ht="15" customHeight="1">
      <c r="G10549"/>
      <c r="I10549"/>
      <c r="N10549"/>
      <c r="O10549" s="24"/>
      <c r="P10549"/>
      <c r="Q10549" s="24"/>
      <c r="R10549"/>
      <c r="S10549"/>
      <c r="T10549"/>
      <c r="U10549"/>
      <c r="X10549" s="60"/>
    </row>
    <row r="10550" spans="7:24" ht="15" customHeight="1">
      <c r="G10550"/>
      <c r="I10550"/>
      <c r="N10550"/>
      <c r="O10550" s="24"/>
      <c r="P10550"/>
      <c r="Q10550" s="24"/>
      <c r="R10550"/>
      <c r="S10550"/>
      <c r="T10550"/>
      <c r="U10550"/>
      <c r="X10550" s="60"/>
    </row>
    <row r="10551" spans="7:24" ht="15" customHeight="1">
      <c r="G10551"/>
      <c r="I10551"/>
      <c r="N10551"/>
      <c r="O10551" s="24"/>
      <c r="P10551"/>
      <c r="Q10551" s="24"/>
      <c r="R10551"/>
      <c r="S10551"/>
      <c r="T10551"/>
      <c r="U10551"/>
      <c r="X10551" s="60"/>
    </row>
    <row r="10552" spans="7:24" ht="15" customHeight="1">
      <c r="G10552"/>
      <c r="I10552"/>
      <c r="N10552"/>
      <c r="O10552" s="24"/>
      <c r="P10552"/>
      <c r="Q10552" s="24"/>
      <c r="R10552"/>
      <c r="S10552"/>
      <c r="T10552"/>
      <c r="U10552"/>
      <c r="X10552" s="60"/>
    </row>
    <row r="10553" spans="7:24" ht="15" customHeight="1">
      <c r="G10553"/>
      <c r="I10553"/>
      <c r="N10553"/>
      <c r="O10553" s="24"/>
      <c r="P10553"/>
      <c r="Q10553" s="24"/>
      <c r="R10553"/>
      <c r="S10553"/>
      <c r="T10553"/>
      <c r="U10553"/>
      <c r="X10553" s="60"/>
    </row>
    <row r="10554" spans="7:24" ht="15" customHeight="1">
      <c r="G10554"/>
      <c r="I10554"/>
      <c r="N10554"/>
      <c r="O10554" s="24"/>
      <c r="P10554"/>
      <c r="Q10554" s="24"/>
      <c r="R10554"/>
      <c r="S10554"/>
      <c r="T10554"/>
      <c r="U10554"/>
      <c r="X10554" s="60"/>
    </row>
    <row r="10555" spans="7:24" ht="15" customHeight="1">
      <c r="G10555"/>
      <c r="I10555"/>
      <c r="N10555"/>
      <c r="O10555" s="24"/>
      <c r="P10555"/>
      <c r="Q10555" s="24"/>
      <c r="R10555"/>
      <c r="S10555"/>
      <c r="T10555"/>
      <c r="U10555"/>
      <c r="X10555" s="60"/>
    </row>
    <row r="10556" spans="7:24" ht="15" customHeight="1">
      <c r="G10556"/>
      <c r="I10556"/>
      <c r="N10556"/>
      <c r="O10556" s="24"/>
      <c r="P10556"/>
      <c r="Q10556" s="24"/>
      <c r="R10556"/>
      <c r="S10556"/>
      <c r="T10556"/>
      <c r="U10556"/>
      <c r="X10556" s="60"/>
    </row>
    <row r="10557" spans="7:24" ht="15" customHeight="1">
      <c r="G10557"/>
      <c r="I10557"/>
      <c r="N10557"/>
      <c r="O10557" s="24"/>
      <c r="P10557"/>
      <c r="Q10557" s="24"/>
      <c r="R10557"/>
      <c r="S10557"/>
      <c r="T10557"/>
      <c r="U10557"/>
      <c r="X10557" s="60"/>
    </row>
    <row r="10558" spans="7:24" ht="15" customHeight="1">
      <c r="G10558"/>
      <c r="I10558"/>
      <c r="N10558"/>
      <c r="O10558" s="24"/>
      <c r="P10558"/>
      <c r="Q10558" s="24"/>
      <c r="R10558"/>
      <c r="S10558"/>
      <c r="T10558"/>
      <c r="U10558"/>
      <c r="X10558" s="60"/>
    </row>
    <row r="10559" spans="7:24" ht="15" customHeight="1">
      <c r="G10559"/>
      <c r="I10559"/>
      <c r="N10559"/>
      <c r="O10559" s="24"/>
      <c r="P10559"/>
      <c r="Q10559" s="24"/>
      <c r="R10559"/>
      <c r="S10559"/>
      <c r="T10559"/>
      <c r="U10559"/>
      <c r="X10559" s="60"/>
    </row>
    <row r="10560" spans="7:24" ht="15" customHeight="1">
      <c r="G10560"/>
      <c r="I10560"/>
      <c r="N10560"/>
      <c r="O10560" s="24"/>
      <c r="P10560"/>
      <c r="Q10560" s="24"/>
      <c r="R10560"/>
      <c r="S10560"/>
      <c r="T10560"/>
      <c r="U10560"/>
      <c r="X10560" s="60"/>
    </row>
    <row r="10561" spans="7:24" ht="15" customHeight="1">
      <c r="G10561"/>
      <c r="I10561"/>
      <c r="N10561"/>
      <c r="O10561" s="24"/>
      <c r="P10561"/>
      <c r="Q10561" s="24"/>
      <c r="R10561"/>
      <c r="S10561"/>
      <c r="T10561"/>
      <c r="U10561"/>
      <c r="X10561" s="60"/>
    </row>
    <row r="10562" spans="7:24" ht="15" customHeight="1">
      <c r="G10562"/>
      <c r="I10562"/>
      <c r="N10562"/>
      <c r="O10562" s="24"/>
      <c r="P10562"/>
      <c r="Q10562" s="24"/>
      <c r="R10562"/>
      <c r="S10562"/>
      <c r="T10562"/>
      <c r="U10562"/>
      <c r="X10562" s="60"/>
    </row>
    <row r="10563" spans="7:24" ht="15" customHeight="1">
      <c r="G10563"/>
      <c r="I10563"/>
      <c r="N10563"/>
      <c r="O10563" s="24"/>
      <c r="P10563"/>
      <c r="Q10563" s="24"/>
      <c r="R10563"/>
      <c r="S10563"/>
      <c r="T10563"/>
      <c r="U10563"/>
      <c r="X10563" s="60"/>
    </row>
    <row r="10564" spans="7:24" ht="15" customHeight="1">
      <c r="G10564"/>
      <c r="I10564"/>
      <c r="N10564"/>
      <c r="O10564" s="24"/>
      <c r="P10564"/>
      <c r="Q10564" s="24"/>
      <c r="R10564"/>
      <c r="S10564"/>
      <c r="T10564"/>
      <c r="U10564"/>
      <c r="X10564" s="60"/>
    </row>
    <row r="10565" spans="7:24" ht="15" customHeight="1">
      <c r="G10565"/>
      <c r="I10565"/>
      <c r="N10565"/>
      <c r="O10565" s="24"/>
      <c r="P10565"/>
      <c r="Q10565" s="24"/>
      <c r="R10565"/>
      <c r="S10565"/>
      <c r="T10565"/>
      <c r="U10565"/>
      <c r="X10565" s="60"/>
    </row>
    <row r="10566" spans="7:24" ht="15" customHeight="1">
      <c r="G10566"/>
      <c r="I10566"/>
      <c r="N10566"/>
      <c r="O10566" s="24"/>
      <c r="P10566"/>
      <c r="Q10566" s="24"/>
      <c r="R10566"/>
      <c r="S10566"/>
      <c r="T10566"/>
      <c r="U10566"/>
      <c r="X10566" s="60"/>
    </row>
    <row r="10567" spans="7:24" ht="15" customHeight="1">
      <c r="G10567"/>
      <c r="I10567"/>
      <c r="N10567"/>
      <c r="O10567" s="24"/>
      <c r="P10567"/>
      <c r="Q10567" s="24"/>
      <c r="R10567"/>
      <c r="S10567"/>
      <c r="T10567"/>
      <c r="U10567"/>
      <c r="X10567" s="60"/>
    </row>
    <row r="10568" spans="7:24" ht="15" customHeight="1">
      <c r="G10568"/>
      <c r="I10568"/>
      <c r="N10568"/>
      <c r="O10568" s="24"/>
      <c r="P10568"/>
      <c r="Q10568" s="24"/>
      <c r="R10568"/>
      <c r="S10568"/>
      <c r="T10568"/>
      <c r="U10568"/>
      <c r="X10568" s="60"/>
    </row>
    <row r="10569" spans="7:24" ht="15" customHeight="1">
      <c r="G10569"/>
      <c r="I10569"/>
      <c r="N10569"/>
      <c r="O10569" s="24"/>
      <c r="P10569"/>
      <c r="Q10569" s="24"/>
      <c r="R10569"/>
      <c r="S10569"/>
      <c r="T10569"/>
      <c r="U10569"/>
      <c r="X10569" s="60"/>
    </row>
    <row r="10570" spans="7:24" ht="15" customHeight="1">
      <c r="G10570"/>
      <c r="I10570"/>
      <c r="N10570"/>
      <c r="O10570" s="24"/>
      <c r="P10570"/>
      <c r="Q10570" s="24"/>
      <c r="R10570"/>
      <c r="S10570"/>
      <c r="T10570"/>
      <c r="U10570"/>
      <c r="X10570" s="60"/>
    </row>
    <row r="10571" spans="7:24" ht="15" customHeight="1">
      <c r="G10571"/>
      <c r="I10571"/>
      <c r="N10571"/>
      <c r="O10571" s="24"/>
      <c r="P10571"/>
      <c r="Q10571" s="24"/>
      <c r="R10571"/>
      <c r="S10571"/>
      <c r="T10571"/>
      <c r="U10571"/>
      <c r="X10571" s="60"/>
    </row>
    <row r="10572" spans="7:24" ht="15" customHeight="1">
      <c r="G10572"/>
      <c r="I10572"/>
      <c r="N10572"/>
      <c r="O10572" s="24"/>
      <c r="P10572"/>
      <c r="Q10572" s="24"/>
      <c r="R10572"/>
      <c r="S10572"/>
      <c r="T10572"/>
      <c r="U10572"/>
      <c r="X10572" s="60"/>
    </row>
    <row r="10573" spans="7:24" ht="15" customHeight="1">
      <c r="G10573"/>
      <c r="I10573"/>
      <c r="N10573"/>
      <c r="O10573" s="24"/>
      <c r="P10573"/>
      <c r="Q10573" s="24"/>
      <c r="R10573"/>
      <c r="S10573"/>
      <c r="T10573"/>
      <c r="U10573"/>
      <c r="X10573" s="60"/>
    </row>
    <row r="10574" spans="7:24" ht="15" customHeight="1">
      <c r="G10574"/>
      <c r="I10574"/>
      <c r="N10574"/>
      <c r="O10574" s="24"/>
      <c r="P10574"/>
      <c r="Q10574" s="24"/>
      <c r="R10574"/>
      <c r="S10574"/>
      <c r="T10574"/>
      <c r="U10574"/>
      <c r="X10574" s="60"/>
    </row>
    <row r="10575" spans="7:24" ht="15" customHeight="1">
      <c r="G10575"/>
      <c r="I10575"/>
      <c r="N10575"/>
      <c r="O10575" s="24"/>
      <c r="P10575"/>
      <c r="Q10575" s="24"/>
      <c r="R10575"/>
      <c r="S10575"/>
      <c r="T10575"/>
      <c r="U10575"/>
      <c r="X10575" s="60"/>
    </row>
    <row r="10576" spans="7:24" ht="15" customHeight="1">
      <c r="G10576"/>
      <c r="I10576"/>
      <c r="N10576"/>
      <c r="O10576" s="24"/>
      <c r="P10576"/>
      <c r="Q10576" s="24"/>
      <c r="R10576"/>
      <c r="S10576"/>
      <c r="T10576"/>
      <c r="U10576"/>
      <c r="X10576" s="60"/>
    </row>
    <row r="10577" spans="7:24" ht="15" customHeight="1">
      <c r="G10577"/>
      <c r="I10577"/>
      <c r="N10577"/>
      <c r="O10577" s="24"/>
      <c r="P10577"/>
      <c r="Q10577" s="24"/>
      <c r="R10577"/>
      <c r="S10577"/>
      <c r="T10577"/>
      <c r="U10577"/>
      <c r="X10577" s="60"/>
    </row>
    <row r="10578" spans="7:24" ht="15" customHeight="1">
      <c r="G10578"/>
      <c r="I10578"/>
      <c r="N10578"/>
      <c r="O10578" s="24"/>
      <c r="P10578"/>
      <c r="Q10578" s="24"/>
      <c r="R10578"/>
      <c r="S10578"/>
      <c r="T10578"/>
      <c r="U10578"/>
      <c r="X10578" s="60"/>
    </row>
    <row r="10579" spans="7:24" ht="15" customHeight="1">
      <c r="G10579"/>
      <c r="I10579"/>
      <c r="N10579"/>
      <c r="O10579" s="24"/>
      <c r="P10579"/>
      <c r="Q10579" s="24"/>
      <c r="R10579"/>
      <c r="S10579"/>
      <c r="T10579"/>
      <c r="U10579"/>
      <c r="X10579" s="60"/>
    </row>
    <row r="10580" spans="7:24" ht="15" customHeight="1">
      <c r="G10580"/>
      <c r="I10580"/>
      <c r="N10580"/>
      <c r="O10580" s="24"/>
      <c r="P10580"/>
      <c r="Q10580" s="24"/>
      <c r="R10580"/>
      <c r="S10580"/>
      <c r="T10580"/>
      <c r="U10580"/>
      <c r="X10580" s="60"/>
    </row>
    <row r="10581" spans="7:24" ht="15" customHeight="1">
      <c r="G10581"/>
      <c r="I10581"/>
      <c r="N10581"/>
      <c r="O10581" s="24"/>
      <c r="P10581"/>
      <c r="Q10581" s="24"/>
      <c r="R10581"/>
      <c r="S10581"/>
      <c r="T10581"/>
      <c r="U10581"/>
      <c r="X10581" s="60"/>
    </row>
    <row r="10582" spans="7:24" ht="15" customHeight="1">
      <c r="G10582"/>
      <c r="I10582"/>
      <c r="N10582"/>
      <c r="O10582" s="24"/>
      <c r="P10582"/>
      <c r="Q10582" s="24"/>
      <c r="R10582"/>
      <c r="S10582"/>
      <c r="T10582"/>
      <c r="U10582"/>
      <c r="X10582" s="60"/>
    </row>
    <row r="10583" spans="7:24" ht="15" customHeight="1">
      <c r="G10583"/>
      <c r="I10583"/>
      <c r="N10583"/>
      <c r="O10583" s="24"/>
      <c r="P10583"/>
      <c r="Q10583" s="24"/>
      <c r="R10583"/>
      <c r="S10583"/>
      <c r="T10583"/>
      <c r="U10583"/>
      <c r="X10583" s="60"/>
    </row>
    <row r="10584" spans="7:24" ht="15" customHeight="1">
      <c r="G10584"/>
      <c r="I10584"/>
      <c r="N10584"/>
      <c r="O10584" s="24"/>
      <c r="P10584"/>
      <c r="Q10584" s="24"/>
      <c r="R10584"/>
      <c r="S10584"/>
      <c r="T10584"/>
      <c r="U10584"/>
      <c r="X10584" s="60"/>
    </row>
    <row r="10585" spans="7:24" ht="15" customHeight="1">
      <c r="G10585"/>
      <c r="I10585"/>
      <c r="N10585"/>
      <c r="O10585" s="24"/>
      <c r="P10585"/>
      <c r="Q10585" s="24"/>
      <c r="R10585"/>
      <c r="S10585"/>
      <c r="T10585"/>
      <c r="U10585"/>
      <c r="X10585" s="60"/>
    </row>
    <row r="10586" spans="7:24" ht="15" customHeight="1">
      <c r="G10586"/>
      <c r="I10586"/>
      <c r="N10586"/>
      <c r="O10586" s="24"/>
      <c r="P10586"/>
      <c r="Q10586" s="24"/>
      <c r="R10586"/>
      <c r="S10586"/>
      <c r="T10586"/>
      <c r="U10586"/>
      <c r="X10586" s="60"/>
    </row>
    <row r="10587" spans="7:24" ht="15" customHeight="1">
      <c r="G10587"/>
      <c r="I10587"/>
      <c r="N10587"/>
      <c r="O10587" s="24"/>
      <c r="P10587"/>
      <c r="Q10587" s="24"/>
      <c r="R10587"/>
      <c r="S10587"/>
      <c r="T10587"/>
      <c r="U10587"/>
      <c r="X10587" s="60"/>
    </row>
    <row r="10588" spans="7:24" ht="15" customHeight="1">
      <c r="G10588"/>
      <c r="I10588"/>
      <c r="N10588"/>
      <c r="O10588" s="24"/>
      <c r="P10588"/>
      <c r="Q10588" s="24"/>
      <c r="R10588"/>
      <c r="S10588"/>
      <c r="T10588"/>
      <c r="U10588"/>
      <c r="X10588" s="60"/>
    </row>
    <row r="10589" spans="7:24" ht="15" customHeight="1">
      <c r="G10589"/>
      <c r="I10589"/>
      <c r="N10589"/>
      <c r="O10589" s="24"/>
      <c r="P10589"/>
      <c r="Q10589" s="24"/>
      <c r="R10589"/>
      <c r="S10589"/>
      <c r="T10589"/>
      <c r="U10589"/>
      <c r="X10589" s="60"/>
    </row>
    <row r="10590" spans="7:24" ht="15" customHeight="1">
      <c r="G10590"/>
      <c r="I10590"/>
      <c r="N10590"/>
      <c r="O10590" s="24"/>
      <c r="P10590"/>
      <c r="Q10590" s="24"/>
      <c r="R10590"/>
      <c r="S10590"/>
      <c r="T10590"/>
      <c r="U10590"/>
      <c r="X10590" s="60"/>
    </row>
    <row r="10591" spans="7:24" ht="15" customHeight="1">
      <c r="G10591"/>
      <c r="I10591"/>
      <c r="N10591"/>
      <c r="O10591" s="24"/>
      <c r="P10591"/>
      <c r="Q10591" s="24"/>
      <c r="R10591"/>
      <c r="S10591"/>
      <c r="T10591"/>
      <c r="U10591"/>
      <c r="X10591" s="60"/>
    </row>
    <row r="10592" spans="7:24" ht="15" customHeight="1">
      <c r="G10592"/>
      <c r="I10592"/>
      <c r="N10592"/>
      <c r="O10592" s="24"/>
      <c r="P10592"/>
      <c r="Q10592" s="24"/>
      <c r="R10592"/>
      <c r="S10592"/>
      <c r="T10592"/>
      <c r="U10592"/>
      <c r="X10592" s="60"/>
    </row>
    <row r="10593" spans="7:24" ht="15" customHeight="1">
      <c r="G10593"/>
      <c r="I10593"/>
      <c r="N10593"/>
      <c r="O10593" s="24"/>
      <c r="P10593"/>
      <c r="Q10593" s="24"/>
      <c r="R10593"/>
      <c r="S10593"/>
      <c r="T10593"/>
      <c r="U10593"/>
      <c r="X10593" s="60"/>
    </row>
    <row r="10594" spans="7:24" ht="15" customHeight="1">
      <c r="G10594"/>
      <c r="I10594"/>
      <c r="N10594"/>
      <c r="O10594" s="24"/>
      <c r="P10594"/>
      <c r="Q10594" s="24"/>
      <c r="R10594"/>
      <c r="S10594"/>
      <c r="T10594"/>
      <c r="U10594"/>
      <c r="X10594" s="60"/>
    </row>
    <row r="10595" spans="7:24" ht="15" customHeight="1">
      <c r="G10595"/>
      <c r="I10595"/>
      <c r="N10595"/>
      <c r="O10595" s="24"/>
      <c r="P10595"/>
      <c r="Q10595" s="24"/>
      <c r="R10595"/>
      <c r="S10595"/>
      <c r="T10595"/>
      <c r="U10595"/>
      <c r="X10595" s="60"/>
    </row>
    <row r="10596" spans="7:24" ht="15" customHeight="1">
      <c r="G10596"/>
      <c r="I10596"/>
      <c r="N10596"/>
      <c r="O10596" s="24"/>
      <c r="P10596"/>
      <c r="Q10596" s="24"/>
      <c r="R10596"/>
      <c r="S10596"/>
      <c r="T10596"/>
      <c r="U10596"/>
      <c r="X10596" s="60"/>
    </row>
    <row r="10597" spans="7:24" ht="15" customHeight="1">
      <c r="G10597"/>
      <c r="I10597"/>
      <c r="N10597"/>
      <c r="O10597" s="24"/>
      <c r="P10597"/>
      <c r="Q10597" s="24"/>
      <c r="R10597"/>
      <c r="S10597"/>
      <c r="T10597"/>
      <c r="U10597"/>
      <c r="X10597" s="60"/>
    </row>
    <row r="10598" spans="7:24" ht="15" customHeight="1">
      <c r="G10598"/>
      <c r="I10598"/>
      <c r="N10598"/>
      <c r="O10598" s="24"/>
      <c r="P10598"/>
      <c r="Q10598" s="24"/>
      <c r="R10598"/>
      <c r="S10598"/>
      <c r="T10598"/>
      <c r="U10598"/>
      <c r="X10598" s="60"/>
    </row>
    <row r="10599" spans="7:24" ht="15" customHeight="1">
      <c r="G10599"/>
      <c r="I10599"/>
      <c r="N10599"/>
      <c r="O10599" s="24"/>
      <c r="P10599"/>
      <c r="Q10599" s="24"/>
      <c r="R10599"/>
      <c r="S10599"/>
      <c r="T10599"/>
      <c r="U10599"/>
      <c r="X10599" s="60"/>
    </row>
    <row r="10600" spans="7:24" ht="15" customHeight="1">
      <c r="G10600"/>
      <c r="I10600"/>
      <c r="N10600"/>
      <c r="O10600" s="24"/>
      <c r="P10600"/>
      <c r="Q10600" s="24"/>
      <c r="R10600"/>
      <c r="S10600"/>
      <c r="T10600"/>
      <c r="U10600"/>
      <c r="X10600" s="60"/>
    </row>
    <row r="10601" spans="7:24" ht="15" customHeight="1">
      <c r="G10601"/>
      <c r="I10601"/>
      <c r="N10601"/>
      <c r="O10601" s="24"/>
      <c r="P10601"/>
      <c r="Q10601" s="24"/>
      <c r="R10601"/>
      <c r="S10601"/>
      <c r="T10601"/>
      <c r="U10601"/>
      <c r="X10601" s="60"/>
    </row>
    <row r="10602" spans="7:24" ht="15" customHeight="1">
      <c r="G10602"/>
      <c r="I10602"/>
      <c r="N10602"/>
      <c r="O10602" s="24"/>
      <c r="P10602"/>
      <c r="Q10602" s="24"/>
      <c r="R10602"/>
      <c r="S10602"/>
      <c r="T10602"/>
      <c r="U10602"/>
      <c r="X10602" s="60"/>
    </row>
    <row r="10603" spans="7:24" ht="15" customHeight="1">
      <c r="G10603"/>
      <c r="I10603"/>
      <c r="N10603"/>
      <c r="O10603" s="24"/>
      <c r="P10603"/>
      <c r="Q10603" s="24"/>
      <c r="R10603"/>
      <c r="S10603"/>
      <c r="T10603"/>
      <c r="U10603"/>
      <c r="X10603" s="60"/>
    </row>
    <row r="10604" spans="7:24" ht="15" customHeight="1">
      <c r="G10604"/>
      <c r="I10604"/>
      <c r="N10604"/>
      <c r="O10604" s="24"/>
      <c r="P10604"/>
      <c r="Q10604" s="24"/>
      <c r="R10604"/>
      <c r="S10604"/>
      <c r="T10604"/>
      <c r="U10604"/>
      <c r="X10604" s="60"/>
    </row>
    <row r="10605" spans="7:24" ht="15" customHeight="1">
      <c r="G10605"/>
      <c r="I10605"/>
      <c r="N10605"/>
      <c r="O10605" s="24"/>
      <c r="P10605"/>
      <c r="Q10605" s="24"/>
      <c r="R10605"/>
      <c r="S10605"/>
      <c r="T10605"/>
      <c r="U10605"/>
      <c r="X10605" s="60"/>
    </row>
    <row r="10606" spans="7:24" ht="15" customHeight="1">
      <c r="G10606"/>
      <c r="I10606"/>
      <c r="N10606"/>
      <c r="O10606" s="24"/>
      <c r="P10606"/>
      <c r="Q10606" s="24"/>
      <c r="R10606"/>
      <c r="S10606"/>
      <c r="T10606"/>
      <c r="U10606"/>
      <c r="X10606" s="60"/>
    </row>
    <row r="10607" spans="7:24" ht="15" customHeight="1">
      <c r="G10607"/>
      <c r="I10607"/>
      <c r="N10607"/>
      <c r="O10607" s="24"/>
      <c r="P10607"/>
      <c r="Q10607" s="24"/>
      <c r="R10607"/>
      <c r="S10607"/>
      <c r="T10607"/>
      <c r="U10607"/>
      <c r="X10607" s="60"/>
    </row>
    <row r="10608" spans="7:24" ht="15" customHeight="1">
      <c r="G10608"/>
      <c r="I10608"/>
      <c r="N10608"/>
      <c r="O10608" s="24"/>
      <c r="P10608"/>
      <c r="Q10608" s="24"/>
      <c r="R10608"/>
      <c r="S10608"/>
      <c r="T10608"/>
      <c r="U10608"/>
      <c r="X10608" s="60"/>
    </row>
    <row r="10609" spans="7:24" ht="15" customHeight="1">
      <c r="G10609"/>
      <c r="I10609"/>
      <c r="N10609"/>
      <c r="O10609" s="24"/>
      <c r="P10609"/>
      <c r="Q10609" s="24"/>
      <c r="R10609"/>
      <c r="S10609"/>
      <c r="T10609"/>
      <c r="U10609"/>
      <c r="X10609" s="60"/>
    </row>
    <row r="10610" spans="7:24" ht="15" customHeight="1">
      <c r="G10610"/>
      <c r="I10610"/>
      <c r="N10610"/>
      <c r="O10610" s="24"/>
      <c r="P10610"/>
      <c r="Q10610" s="24"/>
      <c r="R10610"/>
      <c r="S10610"/>
      <c r="T10610"/>
      <c r="U10610"/>
      <c r="X10610" s="60"/>
    </row>
    <row r="10611" spans="7:24" ht="15" customHeight="1">
      <c r="G10611"/>
      <c r="I10611"/>
      <c r="N10611"/>
      <c r="O10611" s="24"/>
      <c r="P10611"/>
      <c r="Q10611" s="24"/>
      <c r="R10611"/>
      <c r="S10611"/>
      <c r="T10611"/>
      <c r="U10611"/>
      <c r="X10611" s="60"/>
    </row>
    <row r="10612" spans="7:24" ht="15" customHeight="1">
      <c r="G10612"/>
      <c r="I10612"/>
      <c r="N10612"/>
      <c r="O10612" s="24"/>
      <c r="P10612"/>
      <c r="Q10612" s="24"/>
      <c r="R10612"/>
      <c r="S10612"/>
      <c r="T10612"/>
      <c r="U10612"/>
      <c r="X10612" s="60"/>
    </row>
    <row r="10613" spans="7:24" ht="15" customHeight="1">
      <c r="G10613"/>
      <c r="I10613"/>
      <c r="N10613"/>
      <c r="O10613" s="24"/>
      <c r="P10613"/>
      <c r="Q10613" s="24"/>
      <c r="R10613"/>
      <c r="S10613"/>
      <c r="T10613"/>
      <c r="U10613"/>
      <c r="X10613" s="60"/>
    </row>
    <row r="10614" spans="7:24" ht="15" customHeight="1">
      <c r="G10614"/>
      <c r="I10614"/>
      <c r="N10614"/>
      <c r="O10614" s="24"/>
      <c r="P10614"/>
      <c r="Q10614" s="24"/>
      <c r="R10614"/>
      <c r="S10614"/>
      <c r="T10614"/>
      <c r="U10614"/>
      <c r="X10614" s="60"/>
    </row>
    <row r="10615" spans="7:24" ht="15" customHeight="1">
      <c r="G10615"/>
      <c r="I10615"/>
      <c r="N10615"/>
      <c r="O10615" s="24"/>
      <c r="P10615"/>
      <c r="Q10615" s="24"/>
      <c r="R10615"/>
      <c r="S10615"/>
      <c r="T10615"/>
      <c r="U10615"/>
      <c r="X10615" s="60"/>
    </row>
    <row r="10616" spans="7:24" ht="15" customHeight="1">
      <c r="G10616"/>
      <c r="I10616"/>
      <c r="N10616"/>
      <c r="O10616" s="24"/>
      <c r="P10616"/>
      <c r="Q10616" s="24"/>
      <c r="R10616"/>
      <c r="S10616"/>
      <c r="T10616"/>
      <c r="U10616"/>
      <c r="X10616" s="60"/>
    </row>
    <row r="10617" spans="7:24" ht="15" customHeight="1">
      <c r="G10617"/>
      <c r="I10617"/>
      <c r="N10617"/>
      <c r="O10617" s="24"/>
      <c r="P10617"/>
      <c r="Q10617" s="24"/>
      <c r="R10617"/>
      <c r="S10617"/>
      <c r="T10617"/>
      <c r="U10617"/>
      <c r="X10617" s="60"/>
    </row>
    <row r="10618" spans="7:24" ht="15" customHeight="1">
      <c r="G10618"/>
      <c r="I10618"/>
      <c r="N10618"/>
      <c r="O10618" s="24"/>
      <c r="P10618"/>
      <c r="Q10618" s="24"/>
      <c r="R10618"/>
      <c r="S10618"/>
      <c r="T10618"/>
      <c r="U10618"/>
      <c r="X10618" s="60"/>
    </row>
    <row r="10619" spans="7:24" ht="15" customHeight="1">
      <c r="G10619"/>
      <c r="I10619"/>
      <c r="N10619"/>
      <c r="O10619" s="24"/>
      <c r="P10619"/>
      <c r="Q10619" s="24"/>
      <c r="R10619"/>
      <c r="S10619"/>
      <c r="T10619"/>
      <c r="U10619"/>
      <c r="X10619" s="60"/>
    </row>
    <row r="10620" spans="7:24" ht="15" customHeight="1">
      <c r="G10620"/>
      <c r="I10620"/>
      <c r="N10620"/>
      <c r="O10620" s="24"/>
      <c r="P10620"/>
      <c r="Q10620" s="24"/>
      <c r="R10620"/>
      <c r="S10620"/>
      <c r="T10620"/>
      <c r="U10620"/>
      <c r="X10620" s="60"/>
    </row>
    <row r="10621" spans="7:24" ht="15" customHeight="1">
      <c r="G10621"/>
      <c r="I10621"/>
      <c r="N10621"/>
      <c r="O10621" s="24"/>
      <c r="P10621"/>
      <c r="Q10621" s="24"/>
      <c r="R10621"/>
      <c r="S10621"/>
      <c r="T10621"/>
      <c r="U10621"/>
      <c r="X10621" s="60"/>
    </row>
    <row r="10622" spans="7:24" ht="15" customHeight="1">
      <c r="G10622"/>
      <c r="I10622"/>
      <c r="N10622"/>
      <c r="O10622" s="24"/>
      <c r="P10622"/>
      <c r="Q10622" s="24"/>
      <c r="R10622"/>
      <c r="S10622"/>
      <c r="T10622"/>
      <c r="U10622"/>
      <c r="X10622" s="60"/>
    </row>
    <row r="10623" spans="7:24" ht="15" customHeight="1">
      <c r="G10623"/>
      <c r="I10623"/>
      <c r="N10623"/>
      <c r="O10623" s="24"/>
      <c r="P10623"/>
      <c r="Q10623" s="24"/>
      <c r="R10623"/>
      <c r="S10623"/>
      <c r="T10623"/>
      <c r="U10623"/>
      <c r="X10623" s="60"/>
    </row>
    <row r="10624" spans="7:24" ht="15" customHeight="1">
      <c r="G10624"/>
      <c r="I10624"/>
      <c r="N10624"/>
      <c r="O10624" s="24"/>
      <c r="P10624"/>
      <c r="Q10624" s="24"/>
      <c r="R10624"/>
      <c r="S10624"/>
      <c r="T10624"/>
      <c r="U10624"/>
      <c r="X10624" s="60"/>
    </row>
    <row r="10625" spans="7:24" ht="15" customHeight="1">
      <c r="G10625"/>
      <c r="I10625"/>
      <c r="N10625"/>
      <c r="O10625" s="24"/>
      <c r="P10625"/>
      <c r="Q10625" s="24"/>
      <c r="R10625"/>
      <c r="S10625"/>
      <c r="T10625"/>
      <c r="U10625"/>
      <c r="X10625" s="60"/>
    </row>
    <row r="10626" spans="7:24" ht="15" customHeight="1">
      <c r="G10626"/>
      <c r="I10626"/>
      <c r="N10626"/>
      <c r="O10626" s="24"/>
      <c r="P10626"/>
      <c r="Q10626" s="24"/>
      <c r="R10626"/>
      <c r="S10626"/>
      <c r="T10626"/>
      <c r="U10626"/>
      <c r="X10626" s="60"/>
    </row>
    <row r="10627" spans="7:24" ht="15" customHeight="1">
      <c r="G10627"/>
      <c r="I10627"/>
      <c r="N10627"/>
      <c r="O10627" s="24"/>
      <c r="P10627"/>
      <c r="Q10627" s="24"/>
      <c r="R10627"/>
      <c r="S10627"/>
      <c r="T10627"/>
      <c r="U10627"/>
      <c r="X10627" s="60"/>
    </row>
    <row r="10628" spans="7:24" ht="15" customHeight="1">
      <c r="G10628"/>
      <c r="I10628"/>
      <c r="N10628"/>
      <c r="O10628" s="24"/>
      <c r="P10628"/>
      <c r="Q10628" s="24"/>
      <c r="R10628"/>
      <c r="S10628"/>
      <c r="T10628"/>
      <c r="U10628"/>
      <c r="X10628" s="60"/>
    </row>
    <row r="10629" spans="7:24" ht="15" customHeight="1">
      <c r="G10629"/>
      <c r="I10629"/>
      <c r="N10629"/>
      <c r="O10629" s="24"/>
      <c r="P10629"/>
      <c r="Q10629" s="24"/>
      <c r="R10629"/>
      <c r="S10629"/>
      <c r="T10629"/>
      <c r="U10629"/>
      <c r="X10629" s="60"/>
    </row>
    <row r="10630" spans="7:24" ht="15" customHeight="1">
      <c r="G10630"/>
      <c r="I10630"/>
      <c r="N10630"/>
      <c r="O10630" s="24"/>
      <c r="P10630"/>
      <c r="Q10630" s="24"/>
      <c r="R10630"/>
      <c r="S10630"/>
      <c r="T10630"/>
      <c r="U10630"/>
      <c r="X10630" s="60"/>
    </row>
    <row r="10631" spans="7:24" ht="15" customHeight="1">
      <c r="G10631"/>
      <c r="I10631"/>
      <c r="N10631"/>
      <c r="O10631" s="24"/>
      <c r="P10631"/>
      <c r="Q10631" s="24"/>
      <c r="R10631"/>
      <c r="S10631"/>
      <c r="T10631"/>
      <c r="U10631"/>
      <c r="X10631" s="60"/>
    </row>
    <row r="10632" spans="7:24" ht="15" customHeight="1">
      <c r="G10632"/>
      <c r="I10632"/>
      <c r="N10632"/>
      <c r="O10632" s="24"/>
      <c r="P10632"/>
      <c r="Q10632" s="24"/>
      <c r="R10632"/>
      <c r="S10632"/>
      <c r="T10632"/>
      <c r="U10632"/>
      <c r="X10632" s="60"/>
    </row>
    <row r="10633" spans="7:24" ht="15" customHeight="1">
      <c r="G10633"/>
      <c r="I10633"/>
      <c r="N10633"/>
      <c r="O10633" s="24"/>
      <c r="P10633"/>
      <c r="Q10633" s="24"/>
      <c r="R10633"/>
      <c r="S10633"/>
      <c r="T10633"/>
      <c r="U10633"/>
      <c r="X10633" s="60"/>
    </row>
    <row r="10634" spans="7:24" ht="15" customHeight="1">
      <c r="G10634"/>
      <c r="I10634"/>
      <c r="N10634"/>
      <c r="O10634" s="24"/>
      <c r="P10634"/>
      <c r="Q10634" s="24"/>
      <c r="R10634"/>
      <c r="S10634"/>
      <c r="T10634"/>
      <c r="U10634"/>
      <c r="X10634" s="60"/>
    </row>
    <row r="10635" spans="7:24" ht="15" customHeight="1">
      <c r="G10635"/>
      <c r="I10635"/>
      <c r="N10635"/>
      <c r="O10635" s="24"/>
      <c r="P10635"/>
      <c r="Q10635" s="24"/>
      <c r="R10635"/>
      <c r="S10635"/>
      <c r="T10635"/>
      <c r="U10635"/>
      <c r="X10635" s="60"/>
    </row>
    <row r="10636" spans="7:24" ht="15" customHeight="1">
      <c r="G10636"/>
      <c r="I10636"/>
      <c r="N10636"/>
      <c r="O10636" s="24"/>
      <c r="P10636"/>
      <c r="Q10636" s="24"/>
      <c r="R10636"/>
      <c r="S10636"/>
      <c r="T10636"/>
      <c r="U10636"/>
      <c r="X10636" s="60"/>
    </row>
    <row r="10637" spans="7:24" ht="15" customHeight="1">
      <c r="G10637"/>
      <c r="I10637"/>
      <c r="N10637"/>
      <c r="O10637" s="24"/>
      <c r="P10637"/>
      <c r="Q10637" s="24"/>
      <c r="R10637"/>
      <c r="S10637"/>
      <c r="T10637"/>
      <c r="U10637"/>
      <c r="X10637" s="60"/>
    </row>
    <row r="10638" spans="7:24" ht="15" customHeight="1">
      <c r="G10638"/>
      <c r="I10638"/>
      <c r="N10638"/>
      <c r="O10638" s="24"/>
      <c r="P10638"/>
      <c r="Q10638" s="24"/>
      <c r="R10638"/>
      <c r="S10638"/>
      <c r="T10638"/>
      <c r="U10638"/>
      <c r="X10638" s="60"/>
    </row>
    <row r="10639" spans="7:24" ht="15" customHeight="1">
      <c r="G10639"/>
      <c r="I10639"/>
      <c r="N10639"/>
      <c r="O10639" s="24"/>
      <c r="P10639"/>
      <c r="Q10639" s="24"/>
      <c r="R10639"/>
      <c r="S10639"/>
      <c r="T10639"/>
      <c r="U10639"/>
      <c r="X10639" s="60"/>
    </row>
    <row r="10640" spans="7:24" ht="15" customHeight="1">
      <c r="G10640"/>
      <c r="I10640"/>
      <c r="N10640"/>
      <c r="O10640" s="24"/>
      <c r="P10640"/>
      <c r="Q10640" s="24"/>
      <c r="R10640"/>
      <c r="S10640"/>
      <c r="T10640"/>
      <c r="U10640"/>
      <c r="X10640" s="60"/>
    </row>
    <row r="10641" spans="7:24" ht="15" customHeight="1">
      <c r="G10641"/>
      <c r="I10641"/>
      <c r="N10641"/>
      <c r="O10641" s="24"/>
      <c r="P10641"/>
      <c r="Q10641" s="24"/>
      <c r="R10641"/>
      <c r="S10641"/>
      <c r="T10641"/>
      <c r="U10641"/>
      <c r="X10641" s="60"/>
    </row>
    <row r="10642" spans="7:24" ht="15" customHeight="1">
      <c r="G10642"/>
      <c r="I10642"/>
      <c r="N10642"/>
      <c r="O10642" s="24"/>
      <c r="P10642"/>
      <c r="Q10642" s="24"/>
      <c r="R10642"/>
      <c r="S10642"/>
      <c r="T10642"/>
      <c r="U10642"/>
      <c r="X10642" s="60"/>
    </row>
    <row r="10643" spans="7:24" ht="15" customHeight="1">
      <c r="G10643"/>
      <c r="I10643"/>
      <c r="N10643"/>
      <c r="O10643" s="24"/>
      <c r="P10643"/>
      <c r="Q10643" s="24"/>
      <c r="R10643"/>
      <c r="S10643"/>
      <c r="T10643"/>
      <c r="U10643"/>
      <c r="X10643" s="60"/>
    </row>
    <row r="10644" spans="7:24" ht="15" customHeight="1">
      <c r="G10644"/>
      <c r="I10644"/>
      <c r="N10644"/>
      <c r="O10644" s="24"/>
      <c r="P10644"/>
      <c r="Q10644" s="24"/>
      <c r="R10644"/>
      <c r="S10644"/>
      <c r="T10644"/>
      <c r="U10644"/>
      <c r="X10644" s="60"/>
    </row>
    <row r="10645" spans="7:24" ht="15" customHeight="1">
      <c r="G10645"/>
      <c r="I10645"/>
      <c r="N10645"/>
      <c r="O10645" s="24"/>
      <c r="P10645"/>
      <c r="Q10645" s="24"/>
      <c r="R10645"/>
      <c r="S10645"/>
      <c r="T10645"/>
      <c r="U10645"/>
      <c r="X10645" s="60"/>
    </row>
    <row r="10646" spans="7:24" ht="15" customHeight="1">
      <c r="G10646"/>
      <c r="I10646"/>
      <c r="N10646"/>
      <c r="O10646" s="24"/>
      <c r="P10646"/>
      <c r="Q10646" s="24"/>
      <c r="R10646"/>
      <c r="S10646"/>
      <c r="T10646"/>
      <c r="U10646"/>
      <c r="X10646" s="60"/>
    </row>
    <row r="10647" spans="7:24" ht="15" customHeight="1">
      <c r="G10647"/>
      <c r="I10647"/>
      <c r="N10647"/>
      <c r="O10647" s="24"/>
      <c r="P10647"/>
      <c r="Q10647" s="24"/>
      <c r="R10647"/>
      <c r="S10647"/>
      <c r="T10647"/>
      <c r="U10647"/>
      <c r="X10647" s="60"/>
    </row>
    <row r="10648" spans="7:24" ht="15" customHeight="1">
      <c r="G10648"/>
      <c r="I10648"/>
      <c r="N10648"/>
      <c r="O10648" s="24"/>
      <c r="P10648"/>
      <c r="Q10648" s="24"/>
      <c r="R10648"/>
      <c r="S10648"/>
      <c r="T10648"/>
      <c r="U10648"/>
      <c r="X10648" s="60"/>
    </row>
    <row r="10649" spans="7:24" ht="15" customHeight="1">
      <c r="G10649"/>
      <c r="I10649"/>
      <c r="N10649"/>
      <c r="O10649" s="24"/>
      <c r="P10649"/>
      <c r="Q10649" s="24"/>
      <c r="R10649"/>
      <c r="S10649"/>
      <c r="T10649"/>
      <c r="U10649"/>
      <c r="X10649" s="60"/>
    </row>
    <row r="10650" spans="7:24" ht="15" customHeight="1">
      <c r="G10650"/>
      <c r="I10650"/>
      <c r="N10650"/>
      <c r="O10650" s="24"/>
      <c r="P10650"/>
      <c r="Q10650" s="24"/>
      <c r="R10650"/>
      <c r="S10650"/>
      <c r="T10650"/>
      <c r="U10650"/>
      <c r="X10650" s="60"/>
    </row>
    <row r="10651" spans="7:24" ht="15" customHeight="1">
      <c r="G10651"/>
      <c r="I10651"/>
      <c r="N10651"/>
      <c r="O10651" s="24"/>
      <c r="P10651"/>
      <c r="Q10651" s="24"/>
      <c r="R10651"/>
      <c r="S10651"/>
      <c r="T10651"/>
      <c r="U10651"/>
      <c r="X10651" s="60"/>
    </row>
    <row r="10652" spans="7:24" ht="15" customHeight="1">
      <c r="G10652"/>
      <c r="I10652"/>
      <c r="N10652"/>
      <c r="O10652" s="24"/>
      <c r="P10652"/>
      <c r="Q10652" s="24"/>
      <c r="R10652"/>
      <c r="S10652"/>
      <c r="T10652"/>
      <c r="U10652"/>
      <c r="X10652" s="60"/>
    </row>
    <row r="10653" spans="7:24" ht="15" customHeight="1">
      <c r="G10653"/>
      <c r="I10653"/>
      <c r="N10653"/>
      <c r="O10653" s="24"/>
      <c r="P10653"/>
      <c r="Q10653" s="24"/>
      <c r="R10653"/>
      <c r="S10653"/>
      <c r="T10653"/>
      <c r="U10653"/>
      <c r="X10653" s="60"/>
    </row>
    <row r="10654" spans="7:24" ht="15" customHeight="1">
      <c r="G10654"/>
      <c r="I10654"/>
      <c r="N10654"/>
      <c r="O10654" s="24"/>
      <c r="P10654"/>
      <c r="Q10654" s="24"/>
      <c r="R10654"/>
      <c r="S10654"/>
      <c r="T10654"/>
      <c r="U10654"/>
      <c r="X10654" s="60"/>
    </row>
    <row r="10655" spans="7:24" ht="15" customHeight="1">
      <c r="G10655"/>
      <c r="I10655"/>
      <c r="N10655"/>
      <c r="O10655" s="24"/>
      <c r="P10655"/>
      <c r="Q10655" s="24"/>
      <c r="R10655"/>
      <c r="S10655"/>
      <c r="T10655"/>
      <c r="U10655"/>
      <c r="X10655" s="60"/>
    </row>
    <row r="10656" spans="7:24" ht="15" customHeight="1">
      <c r="G10656"/>
      <c r="I10656"/>
      <c r="N10656"/>
      <c r="O10656" s="24"/>
      <c r="P10656"/>
      <c r="Q10656" s="24"/>
      <c r="R10656"/>
      <c r="S10656"/>
      <c r="T10656"/>
      <c r="U10656"/>
      <c r="X10656" s="60"/>
    </row>
    <row r="10657" spans="7:24" ht="15" customHeight="1">
      <c r="G10657"/>
      <c r="I10657"/>
      <c r="N10657"/>
      <c r="O10657" s="24"/>
      <c r="P10657"/>
      <c r="Q10657" s="24"/>
      <c r="R10657"/>
      <c r="S10657"/>
      <c r="T10657"/>
      <c r="U10657"/>
      <c r="X10657" s="60"/>
    </row>
    <row r="10658" spans="7:24" ht="15" customHeight="1">
      <c r="G10658"/>
      <c r="I10658"/>
      <c r="N10658"/>
      <c r="O10658" s="24"/>
      <c r="P10658"/>
      <c r="Q10658" s="24"/>
      <c r="R10658"/>
      <c r="S10658"/>
      <c r="T10658"/>
      <c r="U10658"/>
      <c r="X10658" s="60"/>
    </row>
    <row r="10659" spans="7:24" ht="15" customHeight="1">
      <c r="G10659"/>
      <c r="I10659"/>
      <c r="N10659"/>
      <c r="O10659" s="24"/>
      <c r="P10659"/>
      <c r="Q10659" s="24"/>
      <c r="R10659"/>
      <c r="S10659"/>
      <c r="T10659"/>
      <c r="U10659"/>
      <c r="X10659" s="60"/>
    </row>
    <row r="10660" spans="7:24" ht="15" customHeight="1">
      <c r="G10660"/>
      <c r="I10660"/>
      <c r="N10660"/>
      <c r="O10660" s="24"/>
      <c r="P10660"/>
      <c r="Q10660" s="24"/>
      <c r="R10660"/>
      <c r="S10660"/>
      <c r="T10660"/>
      <c r="U10660"/>
      <c r="X10660" s="60"/>
    </row>
    <row r="10661" spans="7:24" ht="15" customHeight="1">
      <c r="G10661"/>
      <c r="I10661"/>
      <c r="N10661"/>
      <c r="O10661" s="24"/>
      <c r="P10661"/>
      <c r="Q10661" s="24"/>
      <c r="R10661"/>
      <c r="S10661"/>
      <c r="T10661"/>
      <c r="U10661"/>
      <c r="X10661" s="60"/>
    </row>
    <row r="10662" spans="7:24" ht="15" customHeight="1">
      <c r="G10662"/>
      <c r="I10662"/>
      <c r="N10662"/>
      <c r="O10662" s="24"/>
      <c r="P10662"/>
      <c r="Q10662" s="24"/>
      <c r="R10662"/>
      <c r="S10662"/>
      <c r="T10662"/>
      <c r="U10662"/>
      <c r="X10662" s="60"/>
    </row>
    <row r="10663" spans="7:24" ht="15" customHeight="1">
      <c r="G10663"/>
      <c r="I10663"/>
      <c r="N10663"/>
      <c r="O10663" s="24"/>
      <c r="P10663"/>
      <c r="Q10663" s="24"/>
      <c r="R10663"/>
      <c r="S10663"/>
      <c r="T10663"/>
      <c r="U10663"/>
      <c r="X10663" s="60"/>
    </row>
    <row r="10664" spans="7:24" ht="15" customHeight="1">
      <c r="G10664"/>
      <c r="I10664"/>
      <c r="N10664"/>
      <c r="O10664" s="24"/>
      <c r="P10664"/>
      <c r="Q10664" s="24"/>
      <c r="R10664"/>
      <c r="S10664"/>
      <c r="T10664"/>
      <c r="U10664"/>
      <c r="X10664" s="60"/>
    </row>
    <row r="10665" spans="7:24" ht="15" customHeight="1">
      <c r="G10665"/>
      <c r="I10665"/>
      <c r="N10665"/>
      <c r="O10665" s="24"/>
      <c r="P10665"/>
      <c r="Q10665" s="24"/>
      <c r="R10665"/>
      <c r="S10665"/>
      <c r="T10665"/>
      <c r="U10665"/>
      <c r="X10665" s="60"/>
    </row>
    <row r="10666" spans="7:24" ht="15" customHeight="1">
      <c r="G10666"/>
      <c r="I10666"/>
      <c r="N10666"/>
      <c r="O10666" s="24"/>
      <c r="P10666"/>
      <c r="Q10666" s="24"/>
      <c r="R10666"/>
      <c r="S10666"/>
      <c r="T10666"/>
      <c r="U10666"/>
      <c r="X10666" s="60"/>
    </row>
    <row r="10667" spans="7:24" ht="15" customHeight="1">
      <c r="G10667"/>
      <c r="I10667"/>
      <c r="N10667"/>
      <c r="O10667" s="24"/>
      <c r="P10667"/>
      <c r="Q10667" s="24"/>
      <c r="R10667"/>
      <c r="S10667"/>
      <c r="T10667"/>
      <c r="U10667"/>
      <c r="X10667" s="60"/>
    </row>
    <row r="10668" spans="7:24" ht="15" customHeight="1">
      <c r="G10668"/>
      <c r="I10668"/>
      <c r="N10668"/>
      <c r="O10668" s="24"/>
      <c r="P10668"/>
      <c r="Q10668" s="24"/>
      <c r="R10668"/>
      <c r="S10668"/>
      <c r="T10668"/>
      <c r="U10668"/>
      <c r="X10668" s="60"/>
    </row>
    <row r="10669" spans="7:24" ht="15" customHeight="1">
      <c r="G10669"/>
      <c r="I10669"/>
      <c r="N10669"/>
      <c r="O10669" s="24"/>
      <c r="P10669"/>
      <c r="Q10669" s="24"/>
      <c r="R10669"/>
      <c r="S10669"/>
      <c r="T10669"/>
      <c r="U10669"/>
      <c r="X10669" s="60"/>
    </row>
    <row r="10670" spans="7:24" ht="15" customHeight="1">
      <c r="G10670"/>
      <c r="I10670"/>
      <c r="N10670"/>
      <c r="O10670" s="24"/>
      <c r="P10670"/>
      <c r="Q10670" s="24"/>
      <c r="R10670"/>
      <c r="S10670"/>
      <c r="T10670"/>
      <c r="U10670"/>
      <c r="X10670" s="60"/>
    </row>
    <row r="10671" spans="7:24" ht="15" customHeight="1">
      <c r="G10671"/>
      <c r="I10671"/>
      <c r="N10671"/>
      <c r="O10671" s="24"/>
      <c r="P10671"/>
      <c r="Q10671" s="24"/>
      <c r="R10671"/>
      <c r="S10671"/>
      <c r="T10671"/>
      <c r="U10671"/>
      <c r="X10671" s="60"/>
    </row>
    <row r="10672" spans="7:24" ht="15" customHeight="1">
      <c r="G10672"/>
      <c r="I10672"/>
      <c r="N10672"/>
      <c r="O10672" s="24"/>
      <c r="P10672"/>
      <c r="Q10672" s="24"/>
      <c r="R10672"/>
      <c r="S10672"/>
      <c r="T10672"/>
      <c r="U10672"/>
      <c r="X10672" s="60"/>
    </row>
    <row r="10673" spans="7:24" ht="15" customHeight="1">
      <c r="G10673"/>
      <c r="I10673"/>
      <c r="N10673"/>
      <c r="O10673" s="24"/>
      <c r="P10673"/>
      <c r="Q10673" s="24"/>
      <c r="R10673"/>
      <c r="S10673"/>
      <c r="T10673"/>
      <c r="U10673"/>
      <c r="X10673" s="60"/>
    </row>
    <row r="10674" spans="7:24" ht="15" customHeight="1">
      <c r="G10674"/>
      <c r="I10674"/>
      <c r="N10674"/>
      <c r="O10674" s="24"/>
      <c r="P10674"/>
      <c r="Q10674" s="24"/>
      <c r="R10674"/>
      <c r="S10674"/>
      <c r="T10674"/>
      <c r="U10674"/>
      <c r="X10674" s="60"/>
    </row>
    <row r="10675" spans="7:24" ht="15" customHeight="1">
      <c r="G10675"/>
      <c r="I10675"/>
      <c r="N10675"/>
      <c r="O10675" s="24"/>
      <c r="P10675"/>
      <c r="Q10675" s="24"/>
      <c r="R10675"/>
      <c r="S10675"/>
      <c r="T10675"/>
      <c r="U10675"/>
      <c r="X10675" s="60"/>
    </row>
    <row r="10676" spans="7:24" ht="15" customHeight="1">
      <c r="G10676"/>
      <c r="I10676"/>
      <c r="N10676"/>
      <c r="O10676" s="24"/>
      <c r="P10676"/>
      <c r="Q10676" s="24"/>
      <c r="R10676"/>
      <c r="S10676"/>
      <c r="T10676"/>
      <c r="U10676"/>
      <c r="X10676" s="60"/>
    </row>
    <row r="10677" spans="7:24" ht="15" customHeight="1">
      <c r="G10677"/>
      <c r="I10677"/>
      <c r="N10677"/>
      <c r="O10677" s="24"/>
      <c r="P10677"/>
      <c r="Q10677" s="24"/>
      <c r="R10677"/>
      <c r="S10677"/>
      <c r="T10677"/>
      <c r="U10677"/>
      <c r="X10677" s="60"/>
    </row>
    <row r="10678" spans="7:24" ht="15" customHeight="1">
      <c r="G10678"/>
      <c r="I10678"/>
      <c r="N10678"/>
      <c r="O10678" s="24"/>
      <c r="P10678"/>
      <c r="Q10678" s="24"/>
      <c r="R10678"/>
      <c r="S10678"/>
      <c r="T10678"/>
      <c r="U10678"/>
      <c r="X10678" s="60"/>
    </row>
    <row r="10679" spans="7:24" ht="15" customHeight="1">
      <c r="G10679"/>
      <c r="I10679"/>
      <c r="N10679"/>
      <c r="O10679" s="24"/>
      <c r="P10679"/>
      <c r="Q10679" s="24"/>
      <c r="R10679"/>
      <c r="S10679"/>
      <c r="T10679"/>
      <c r="U10679"/>
      <c r="X10679" s="60"/>
    </row>
    <row r="10680" spans="7:24" ht="15" customHeight="1">
      <c r="G10680"/>
      <c r="I10680"/>
      <c r="N10680"/>
      <c r="O10680" s="24"/>
      <c r="P10680"/>
      <c r="Q10680" s="24"/>
      <c r="R10680"/>
      <c r="S10680"/>
      <c r="T10680"/>
      <c r="U10680"/>
      <c r="X10680" s="60"/>
    </row>
    <row r="10681" spans="7:24" ht="15" customHeight="1">
      <c r="G10681"/>
      <c r="I10681"/>
      <c r="N10681"/>
      <c r="O10681" s="24"/>
      <c r="P10681"/>
      <c r="Q10681" s="24"/>
      <c r="R10681"/>
      <c r="S10681"/>
      <c r="T10681"/>
      <c r="U10681"/>
      <c r="X10681" s="60"/>
    </row>
    <row r="10682" spans="7:24" ht="15" customHeight="1">
      <c r="G10682"/>
      <c r="I10682"/>
      <c r="N10682"/>
      <c r="O10682" s="24"/>
      <c r="P10682"/>
      <c r="Q10682" s="24"/>
      <c r="R10682"/>
      <c r="S10682"/>
      <c r="T10682"/>
      <c r="U10682"/>
      <c r="X10682" s="60"/>
    </row>
    <row r="10683" spans="7:24" ht="15" customHeight="1">
      <c r="G10683"/>
      <c r="I10683"/>
      <c r="N10683"/>
      <c r="O10683" s="24"/>
      <c r="P10683"/>
      <c r="Q10683" s="24"/>
      <c r="R10683"/>
      <c r="S10683"/>
      <c r="T10683"/>
      <c r="U10683"/>
      <c r="X10683" s="60"/>
    </row>
    <row r="10684" spans="7:24" ht="15" customHeight="1">
      <c r="G10684"/>
      <c r="I10684"/>
      <c r="N10684"/>
      <c r="O10684" s="24"/>
      <c r="P10684"/>
      <c r="Q10684" s="24"/>
      <c r="R10684"/>
      <c r="S10684"/>
      <c r="T10684"/>
      <c r="U10684"/>
      <c r="X10684" s="60"/>
    </row>
    <row r="10685" spans="7:24" ht="15" customHeight="1">
      <c r="G10685"/>
      <c r="I10685"/>
      <c r="N10685"/>
      <c r="O10685" s="24"/>
      <c r="P10685"/>
      <c r="Q10685" s="24"/>
      <c r="R10685"/>
      <c r="S10685"/>
      <c r="T10685"/>
      <c r="U10685"/>
      <c r="X10685" s="60"/>
    </row>
    <row r="10686" spans="7:24" ht="15" customHeight="1">
      <c r="G10686"/>
      <c r="I10686"/>
      <c r="N10686"/>
      <c r="O10686" s="24"/>
      <c r="P10686"/>
      <c r="Q10686" s="24"/>
      <c r="R10686"/>
      <c r="S10686"/>
      <c r="T10686"/>
      <c r="U10686"/>
      <c r="X10686" s="60"/>
    </row>
    <row r="10687" spans="7:24" ht="15" customHeight="1">
      <c r="G10687"/>
      <c r="I10687"/>
      <c r="N10687"/>
      <c r="O10687" s="24"/>
      <c r="P10687"/>
      <c r="Q10687" s="24"/>
      <c r="R10687"/>
      <c r="S10687"/>
      <c r="T10687"/>
      <c r="U10687"/>
      <c r="X10687" s="60"/>
    </row>
    <row r="10688" spans="7:24" ht="15" customHeight="1">
      <c r="G10688"/>
      <c r="I10688"/>
      <c r="N10688"/>
      <c r="O10688" s="24"/>
      <c r="P10688"/>
      <c r="Q10688" s="24"/>
      <c r="R10688"/>
      <c r="S10688"/>
      <c r="T10688"/>
      <c r="U10688"/>
      <c r="X10688" s="60"/>
    </row>
    <row r="10689" spans="7:24" ht="15" customHeight="1">
      <c r="G10689"/>
      <c r="I10689"/>
      <c r="N10689"/>
      <c r="O10689" s="24"/>
      <c r="P10689"/>
      <c r="Q10689" s="24"/>
      <c r="R10689"/>
      <c r="S10689"/>
      <c r="T10689"/>
      <c r="U10689"/>
      <c r="X10689" s="60"/>
    </row>
    <row r="10690" spans="7:24" ht="15" customHeight="1">
      <c r="G10690"/>
      <c r="I10690"/>
      <c r="N10690"/>
      <c r="O10690" s="24"/>
      <c r="P10690"/>
      <c r="Q10690" s="24"/>
      <c r="R10690"/>
      <c r="S10690"/>
      <c r="T10690"/>
      <c r="U10690"/>
      <c r="X10690" s="60"/>
    </row>
    <row r="10691" spans="7:24" ht="15" customHeight="1">
      <c r="G10691"/>
      <c r="I10691"/>
      <c r="N10691"/>
      <c r="O10691" s="24"/>
      <c r="P10691"/>
      <c r="Q10691" s="24"/>
      <c r="R10691"/>
      <c r="S10691"/>
      <c r="T10691"/>
      <c r="U10691"/>
      <c r="X10691" s="60"/>
    </row>
    <row r="10692" spans="7:24" ht="15" customHeight="1">
      <c r="G10692"/>
      <c r="I10692"/>
      <c r="N10692"/>
      <c r="O10692" s="24"/>
      <c r="P10692"/>
      <c r="Q10692" s="24"/>
      <c r="R10692"/>
      <c r="S10692"/>
      <c r="T10692"/>
      <c r="U10692"/>
      <c r="X10692" s="60"/>
    </row>
    <row r="10693" spans="7:24" ht="15" customHeight="1">
      <c r="G10693"/>
      <c r="I10693"/>
      <c r="N10693"/>
      <c r="O10693" s="24"/>
      <c r="P10693"/>
      <c r="Q10693" s="24"/>
      <c r="R10693"/>
      <c r="S10693"/>
      <c r="T10693"/>
      <c r="U10693"/>
      <c r="X10693" s="60"/>
    </row>
    <row r="10694" spans="7:24" ht="15" customHeight="1">
      <c r="G10694"/>
      <c r="I10694"/>
      <c r="N10694"/>
      <c r="O10694" s="24"/>
      <c r="P10694"/>
      <c r="Q10694" s="24"/>
      <c r="R10694"/>
      <c r="S10694"/>
      <c r="T10694"/>
      <c r="U10694"/>
      <c r="X10694" s="60"/>
    </row>
    <row r="10695" spans="7:24" ht="15" customHeight="1">
      <c r="G10695"/>
      <c r="I10695"/>
      <c r="N10695"/>
      <c r="O10695" s="24"/>
      <c r="P10695"/>
      <c r="Q10695" s="24"/>
      <c r="R10695"/>
      <c r="S10695"/>
      <c r="T10695"/>
      <c r="U10695"/>
      <c r="X10695" s="60"/>
    </row>
    <row r="10696" spans="7:24" ht="15" customHeight="1">
      <c r="G10696"/>
      <c r="I10696"/>
      <c r="N10696"/>
      <c r="O10696" s="24"/>
      <c r="P10696"/>
      <c r="Q10696" s="24"/>
      <c r="R10696"/>
      <c r="S10696"/>
      <c r="T10696"/>
      <c r="U10696"/>
      <c r="X10696" s="60"/>
    </row>
    <row r="10697" spans="7:24" ht="15" customHeight="1">
      <c r="G10697"/>
      <c r="I10697"/>
      <c r="N10697"/>
      <c r="O10697" s="24"/>
      <c r="P10697"/>
      <c r="Q10697" s="24"/>
      <c r="R10697"/>
      <c r="S10697"/>
      <c r="T10697"/>
      <c r="U10697"/>
      <c r="X10697" s="60"/>
    </row>
    <row r="10698" spans="7:24" ht="15" customHeight="1">
      <c r="G10698"/>
      <c r="I10698"/>
      <c r="N10698"/>
      <c r="O10698" s="24"/>
      <c r="P10698"/>
      <c r="Q10698" s="24"/>
      <c r="R10698"/>
      <c r="S10698"/>
      <c r="T10698"/>
      <c r="U10698"/>
      <c r="X10698" s="60"/>
    </row>
    <row r="10699" spans="7:24" ht="15" customHeight="1">
      <c r="G10699"/>
      <c r="I10699"/>
      <c r="N10699"/>
      <c r="O10699" s="24"/>
      <c r="P10699"/>
      <c r="Q10699" s="24"/>
      <c r="R10699"/>
      <c r="S10699"/>
      <c r="T10699"/>
      <c r="U10699"/>
      <c r="X10699" s="60"/>
    </row>
    <row r="10700" spans="7:24" ht="15" customHeight="1">
      <c r="G10700"/>
      <c r="I10700"/>
      <c r="N10700"/>
      <c r="O10700" s="24"/>
      <c r="P10700"/>
      <c r="Q10700" s="24"/>
      <c r="R10700"/>
      <c r="S10700"/>
      <c r="T10700"/>
      <c r="U10700"/>
      <c r="X10700" s="60"/>
    </row>
    <row r="10701" spans="7:24" ht="15" customHeight="1">
      <c r="G10701"/>
      <c r="I10701"/>
      <c r="N10701"/>
      <c r="O10701" s="24"/>
      <c r="P10701"/>
      <c r="Q10701" s="24"/>
      <c r="R10701"/>
      <c r="S10701"/>
      <c r="T10701"/>
      <c r="U10701"/>
      <c r="X10701" s="60"/>
    </row>
    <row r="10702" spans="7:24" ht="15" customHeight="1">
      <c r="G10702"/>
      <c r="I10702"/>
      <c r="N10702"/>
      <c r="O10702" s="24"/>
      <c r="P10702"/>
      <c r="Q10702" s="24"/>
      <c r="R10702"/>
      <c r="S10702"/>
      <c r="T10702"/>
      <c r="U10702"/>
      <c r="X10702" s="60"/>
    </row>
    <row r="10703" spans="7:24" ht="15" customHeight="1">
      <c r="G10703"/>
      <c r="I10703"/>
      <c r="N10703"/>
      <c r="O10703" s="24"/>
      <c r="P10703"/>
      <c r="Q10703" s="24"/>
      <c r="R10703"/>
      <c r="S10703"/>
      <c r="T10703"/>
      <c r="U10703"/>
      <c r="X10703" s="60"/>
    </row>
    <row r="10704" spans="7:24" ht="15" customHeight="1">
      <c r="G10704"/>
      <c r="I10704"/>
      <c r="N10704"/>
      <c r="O10704" s="24"/>
      <c r="P10704"/>
      <c r="Q10704" s="24"/>
      <c r="R10704"/>
      <c r="S10704"/>
      <c r="T10704"/>
      <c r="U10704"/>
      <c r="X10704" s="60"/>
    </row>
    <row r="10705" spans="7:24" ht="15" customHeight="1">
      <c r="G10705"/>
      <c r="I10705"/>
      <c r="N10705"/>
      <c r="O10705" s="24"/>
      <c r="P10705"/>
      <c r="Q10705" s="24"/>
      <c r="R10705"/>
      <c r="S10705"/>
      <c r="T10705"/>
      <c r="U10705"/>
      <c r="X10705" s="60"/>
    </row>
    <row r="10706" spans="7:24" ht="15" customHeight="1">
      <c r="G10706"/>
      <c r="I10706"/>
      <c r="N10706"/>
      <c r="O10706" s="24"/>
      <c r="P10706"/>
      <c r="Q10706" s="24"/>
      <c r="R10706"/>
      <c r="S10706"/>
      <c r="T10706"/>
      <c r="U10706"/>
      <c r="X10706" s="60"/>
    </row>
    <row r="10707" spans="7:24" ht="15" customHeight="1">
      <c r="G10707"/>
      <c r="I10707"/>
      <c r="N10707"/>
      <c r="O10707" s="24"/>
      <c r="P10707"/>
      <c r="Q10707" s="24"/>
      <c r="R10707"/>
      <c r="S10707"/>
      <c r="T10707"/>
      <c r="U10707"/>
      <c r="X10707" s="60"/>
    </row>
    <row r="10708" spans="7:24" ht="15" customHeight="1">
      <c r="G10708"/>
      <c r="I10708"/>
      <c r="N10708"/>
      <c r="O10708" s="24"/>
      <c r="P10708"/>
      <c r="Q10708" s="24"/>
      <c r="R10708"/>
      <c r="S10708"/>
      <c r="T10708"/>
      <c r="U10708"/>
      <c r="X10708" s="60"/>
    </row>
    <row r="10709" spans="7:24" ht="15" customHeight="1">
      <c r="G10709"/>
      <c r="I10709"/>
      <c r="N10709"/>
      <c r="O10709" s="24"/>
      <c r="P10709"/>
      <c r="Q10709" s="24"/>
      <c r="R10709"/>
      <c r="S10709"/>
      <c r="T10709"/>
      <c r="U10709"/>
      <c r="X10709" s="60"/>
    </row>
    <row r="10710" spans="7:24" ht="15" customHeight="1">
      <c r="G10710"/>
      <c r="I10710"/>
      <c r="N10710"/>
      <c r="O10710" s="24"/>
      <c r="P10710"/>
      <c r="Q10710" s="24"/>
      <c r="R10710"/>
      <c r="S10710"/>
      <c r="T10710"/>
      <c r="U10710"/>
      <c r="X10710" s="60"/>
    </row>
    <row r="10711" spans="7:24" ht="15" customHeight="1">
      <c r="G10711"/>
      <c r="I10711"/>
      <c r="N10711"/>
      <c r="O10711" s="24"/>
      <c r="P10711"/>
      <c r="Q10711" s="24"/>
      <c r="R10711"/>
      <c r="S10711"/>
      <c r="T10711"/>
      <c r="U10711"/>
      <c r="X10711" s="60"/>
    </row>
    <row r="10712" spans="7:24" ht="15" customHeight="1">
      <c r="G10712"/>
      <c r="I10712"/>
      <c r="N10712"/>
      <c r="O10712" s="24"/>
      <c r="P10712"/>
      <c r="Q10712" s="24"/>
      <c r="R10712"/>
      <c r="S10712"/>
      <c r="T10712"/>
      <c r="U10712"/>
      <c r="X10712" s="60"/>
    </row>
    <row r="10713" spans="7:24" ht="15" customHeight="1">
      <c r="G10713"/>
      <c r="I10713"/>
      <c r="N10713"/>
      <c r="O10713" s="24"/>
      <c r="P10713"/>
      <c r="Q10713" s="24"/>
      <c r="R10713"/>
      <c r="S10713"/>
      <c r="T10713"/>
      <c r="U10713"/>
      <c r="X10713" s="60"/>
    </row>
    <row r="10714" spans="7:24" ht="15" customHeight="1">
      <c r="G10714"/>
      <c r="I10714"/>
      <c r="N10714"/>
      <c r="O10714" s="24"/>
      <c r="P10714"/>
      <c r="Q10714" s="24"/>
      <c r="R10714"/>
      <c r="S10714"/>
      <c r="T10714"/>
      <c r="U10714"/>
      <c r="X10714" s="60"/>
    </row>
    <row r="10715" spans="7:24" ht="15" customHeight="1">
      <c r="G10715"/>
      <c r="I10715"/>
      <c r="N10715"/>
      <c r="O10715" s="24"/>
      <c r="P10715"/>
      <c r="Q10715" s="24"/>
      <c r="R10715"/>
      <c r="S10715"/>
      <c r="T10715"/>
      <c r="U10715"/>
      <c r="X10715" s="60"/>
    </row>
    <row r="10716" spans="7:24" ht="15" customHeight="1">
      <c r="G10716"/>
      <c r="I10716"/>
      <c r="N10716"/>
      <c r="O10716" s="24"/>
      <c r="P10716"/>
      <c r="Q10716" s="24"/>
      <c r="R10716"/>
      <c r="S10716"/>
      <c r="T10716"/>
      <c r="U10716"/>
      <c r="X10716" s="60"/>
    </row>
    <row r="10717" spans="7:24" ht="15" customHeight="1">
      <c r="G10717"/>
      <c r="I10717"/>
      <c r="N10717"/>
      <c r="O10717" s="24"/>
      <c r="P10717"/>
      <c r="Q10717" s="24"/>
      <c r="R10717"/>
      <c r="S10717"/>
      <c r="T10717"/>
      <c r="U10717"/>
      <c r="X10717" s="60"/>
    </row>
    <row r="10718" spans="7:24" ht="15" customHeight="1">
      <c r="G10718"/>
      <c r="I10718"/>
      <c r="N10718"/>
      <c r="O10718" s="24"/>
      <c r="P10718"/>
      <c r="Q10718" s="24"/>
      <c r="R10718"/>
      <c r="S10718"/>
      <c r="T10718"/>
      <c r="U10718"/>
      <c r="X10718" s="60"/>
    </row>
    <row r="10719" spans="7:24" ht="15" customHeight="1">
      <c r="G10719"/>
      <c r="I10719"/>
      <c r="N10719"/>
      <c r="O10719" s="24"/>
      <c r="P10719"/>
      <c r="Q10719" s="24"/>
      <c r="R10719"/>
      <c r="S10719"/>
      <c r="T10719"/>
      <c r="U10719"/>
      <c r="X10719" s="60"/>
    </row>
    <row r="10720" spans="7:24" ht="15" customHeight="1">
      <c r="G10720"/>
      <c r="I10720"/>
      <c r="N10720"/>
      <c r="O10720" s="24"/>
      <c r="P10720"/>
      <c r="Q10720" s="24"/>
      <c r="R10720"/>
      <c r="S10720"/>
      <c r="T10720"/>
      <c r="U10720"/>
      <c r="X10720" s="60"/>
    </row>
    <row r="10721" spans="7:24" ht="15" customHeight="1">
      <c r="G10721"/>
      <c r="I10721"/>
      <c r="N10721"/>
      <c r="O10721" s="24"/>
      <c r="P10721"/>
      <c r="Q10721" s="24"/>
      <c r="R10721"/>
      <c r="S10721"/>
      <c r="T10721"/>
      <c r="U10721"/>
      <c r="X10721" s="60"/>
    </row>
    <row r="10722" spans="7:24" ht="15" customHeight="1">
      <c r="G10722"/>
      <c r="I10722"/>
      <c r="N10722"/>
      <c r="O10722" s="24"/>
      <c r="P10722"/>
      <c r="Q10722" s="24"/>
      <c r="R10722"/>
      <c r="S10722"/>
      <c r="T10722"/>
      <c r="U10722"/>
      <c r="X10722" s="60"/>
    </row>
    <row r="10723" spans="7:24" ht="15" customHeight="1">
      <c r="G10723"/>
      <c r="I10723"/>
      <c r="N10723"/>
      <c r="O10723" s="24"/>
      <c r="P10723"/>
      <c r="Q10723" s="24"/>
      <c r="R10723"/>
      <c r="S10723"/>
      <c r="T10723"/>
      <c r="U10723"/>
      <c r="X10723" s="60"/>
    </row>
    <row r="10724" spans="7:24" ht="15" customHeight="1">
      <c r="G10724"/>
      <c r="I10724"/>
      <c r="N10724"/>
      <c r="O10724" s="24"/>
      <c r="P10724"/>
      <c r="Q10724" s="24"/>
      <c r="R10724"/>
      <c r="S10724"/>
      <c r="T10724"/>
      <c r="U10724"/>
      <c r="X10724" s="60"/>
    </row>
    <row r="10725" spans="7:24" ht="15" customHeight="1">
      <c r="G10725"/>
      <c r="I10725"/>
      <c r="N10725"/>
      <c r="O10725" s="24"/>
      <c r="P10725"/>
      <c r="Q10725" s="24"/>
      <c r="R10725"/>
      <c r="S10725"/>
      <c r="T10725"/>
      <c r="U10725"/>
      <c r="X10725" s="60"/>
    </row>
    <row r="10726" spans="7:24" ht="15" customHeight="1">
      <c r="G10726"/>
      <c r="I10726"/>
      <c r="N10726"/>
      <c r="O10726" s="24"/>
      <c r="P10726"/>
      <c r="Q10726" s="24"/>
      <c r="R10726"/>
      <c r="S10726"/>
      <c r="T10726"/>
      <c r="U10726"/>
      <c r="X10726" s="60"/>
    </row>
    <row r="10727" spans="7:24" ht="15" customHeight="1">
      <c r="G10727"/>
      <c r="I10727"/>
      <c r="N10727"/>
      <c r="O10727" s="24"/>
      <c r="P10727"/>
      <c r="Q10727" s="24"/>
      <c r="R10727"/>
      <c r="S10727"/>
      <c r="T10727"/>
      <c r="U10727"/>
      <c r="X10727" s="60"/>
    </row>
    <row r="10728" spans="7:24" ht="15" customHeight="1">
      <c r="G10728"/>
      <c r="I10728"/>
      <c r="N10728"/>
      <c r="O10728" s="24"/>
      <c r="P10728"/>
      <c r="Q10728" s="24"/>
      <c r="R10728"/>
      <c r="S10728"/>
      <c r="T10728"/>
      <c r="U10728"/>
      <c r="X10728" s="60"/>
    </row>
    <row r="10729" spans="7:24" ht="15" customHeight="1">
      <c r="G10729"/>
      <c r="I10729"/>
      <c r="N10729"/>
      <c r="O10729" s="24"/>
      <c r="P10729"/>
      <c r="Q10729" s="24"/>
      <c r="R10729"/>
      <c r="S10729"/>
      <c r="T10729"/>
      <c r="U10729"/>
      <c r="X10729" s="60"/>
    </row>
    <row r="10730" spans="7:24" ht="15" customHeight="1">
      <c r="G10730"/>
      <c r="I10730"/>
      <c r="N10730"/>
      <c r="O10730" s="24"/>
      <c r="P10730"/>
      <c r="Q10730" s="24"/>
      <c r="R10730"/>
      <c r="S10730"/>
      <c r="T10730"/>
      <c r="U10730"/>
      <c r="X10730" s="60"/>
    </row>
    <row r="10731" spans="7:24" ht="15" customHeight="1">
      <c r="G10731"/>
      <c r="I10731"/>
      <c r="N10731"/>
      <c r="O10731" s="24"/>
      <c r="P10731"/>
      <c r="Q10731" s="24"/>
      <c r="R10731"/>
      <c r="S10731"/>
      <c r="T10731"/>
      <c r="U10731"/>
      <c r="X10731" s="60"/>
    </row>
    <row r="10732" spans="7:24" ht="15" customHeight="1">
      <c r="G10732"/>
      <c r="I10732"/>
      <c r="N10732"/>
      <c r="O10732" s="24"/>
      <c r="P10732"/>
      <c r="Q10732" s="24"/>
      <c r="R10732"/>
      <c r="S10732"/>
      <c r="T10732"/>
      <c r="U10732"/>
      <c r="X10732" s="60"/>
    </row>
    <row r="10733" spans="7:24" ht="15" customHeight="1">
      <c r="G10733"/>
      <c r="I10733"/>
      <c r="N10733"/>
      <c r="O10733" s="24"/>
      <c r="P10733"/>
      <c r="Q10733" s="24"/>
      <c r="R10733"/>
      <c r="S10733"/>
      <c r="T10733"/>
      <c r="U10733"/>
      <c r="X10733" s="60"/>
    </row>
    <row r="10734" spans="7:24" ht="15" customHeight="1">
      <c r="G10734"/>
      <c r="I10734"/>
      <c r="N10734"/>
      <c r="O10734" s="24"/>
      <c r="P10734"/>
      <c r="Q10734" s="24"/>
      <c r="R10734"/>
      <c r="S10734"/>
      <c r="T10734"/>
      <c r="U10734"/>
      <c r="X10734" s="60"/>
    </row>
    <row r="10735" spans="7:24" ht="15" customHeight="1">
      <c r="G10735"/>
      <c r="I10735"/>
      <c r="N10735"/>
      <c r="O10735" s="24"/>
      <c r="P10735"/>
      <c r="Q10735" s="24"/>
      <c r="R10735"/>
      <c r="S10735"/>
      <c r="T10735"/>
      <c r="U10735"/>
      <c r="X10735" s="60"/>
    </row>
    <row r="10736" spans="7:24" ht="15" customHeight="1">
      <c r="G10736"/>
      <c r="I10736"/>
      <c r="N10736"/>
      <c r="O10736" s="24"/>
      <c r="P10736"/>
      <c r="Q10736" s="24"/>
      <c r="R10736"/>
      <c r="S10736"/>
      <c r="T10736"/>
      <c r="U10736"/>
      <c r="X10736" s="60"/>
    </row>
    <row r="10737" spans="7:24" ht="15" customHeight="1">
      <c r="G10737"/>
      <c r="I10737"/>
      <c r="N10737"/>
      <c r="O10737" s="24"/>
      <c r="P10737"/>
      <c r="Q10737" s="24"/>
      <c r="R10737"/>
      <c r="S10737"/>
      <c r="T10737"/>
      <c r="U10737"/>
      <c r="X10737" s="60"/>
    </row>
    <row r="10738" spans="7:24" ht="15" customHeight="1">
      <c r="G10738"/>
      <c r="I10738"/>
      <c r="N10738"/>
      <c r="O10738" s="24"/>
      <c r="P10738"/>
      <c r="Q10738" s="24"/>
      <c r="R10738"/>
      <c r="S10738"/>
      <c r="T10738"/>
      <c r="U10738"/>
      <c r="X10738" s="60"/>
    </row>
    <row r="10739" spans="7:24" ht="15" customHeight="1">
      <c r="G10739"/>
      <c r="I10739"/>
      <c r="N10739"/>
      <c r="O10739" s="24"/>
      <c r="P10739"/>
      <c r="Q10739" s="24"/>
      <c r="R10739"/>
      <c r="S10739"/>
      <c r="T10739"/>
      <c r="U10739"/>
      <c r="X10739" s="60"/>
    </row>
    <row r="10740" spans="7:24" ht="15" customHeight="1">
      <c r="G10740"/>
      <c r="I10740"/>
      <c r="N10740"/>
      <c r="O10740" s="24"/>
      <c r="P10740"/>
      <c r="Q10740" s="24"/>
      <c r="R10740"/>
      <c r="S10740"/>
      <c r="T10740"/>
      <c r="U10740"/>
      <c r="X10740" s="60"/>
    </row>
    <row r="10741" spans="7:24" ht="15" customHeight="1">
      <c r="G10741"/>
      <c r="I10741"/>
      <c r="N10741"/>
      <c r="O10741" s="24"/>
      <c r="P10741"/>
      <c r="Q10741" s="24"/>
      <c r="R10741"/>
      <c r="S10741"/>
      <c r="T10741"/>
      <c r="U10741"/>
      <c r="X10741" s="60"/>
    </row>
    <row r="10742" spans="7:24" ht="15" customHeight="1">
      <c r="G10742"/>
      <c r="I10742"/>
      <c r="N10742"/>
      <c r="O10742" s="24"/>
      <c r="P10742"/>
      <c r="Q10742" s="24"/>
      <c r="R10742"/>
      <c r="S10742"/>
      <c r="T10742"/>
      <c r="U10742"/>
      <c r="X10742" s="60"/>
    </row>
    <row r="10743" spans="7:24" ht="15" customHeight="1">
      <c r="G10743"/>
      <c r="I10743"/>
      <c r="N10743"/>
      <c r="O10743" s="24"/>
      <c r="P10743"/>
      <c r="Q10743" s="24"/>
      <c r="R10743"/>
      <c r="S10743"/>
      <c r="T10743"/>
      <c r="U10743"/>
      <c r="X10743" s="60"/>
    </row>
    <row r="10744" spans="7:24" ht="15" customHeight="1">
      <c r="G10744"/>
      <c r="I10744"/>
      <c r="N10744"/>
      <c r="O10744" s="24"/>
      <c r="P10744"/>
      <c r="Q10744" s="24"/>
      <c r="R10744"/>
      <c r="S10744"/>
      <c r="T10744"/>
      <c r="U10744"/>
      <c r="X10744" s="60"/>
    </row>
    <row r="10745" spans="7:24" ht="15" customHeight="1">
      <c r="G10745"/>
      <c r="I10745"/>
      <c r="N10745"/>
      <c r="O10745" s="24"/>
      <c r="P10745"/>
      <c r="Q10745" s="24"/>
      <c r="R10745"/>
      <c r="S10745"/>
      <c r="T10745"/>
      <c r="U10745"/>
      <c r="X10745" s="60"/>
    </row>
    <row r="10746" spans="7:24" ht="15" customHeight="1">
      <c r="G10746"/>
      <c r="I10746"/>
      <c r="N10746"/>
      <c r="O10746" s="24"/>
      <c r="P10746"/>
      <c r="Q10746" s="24"/>
      <c r="R10746"/>
      <c r="S10746"/>
      <c r="T10746"/>
      <c r="U10746"/>
      <c r="X10746" s="60"/>
    </row>
    <row r="10747" spans="7:24" ht="15" customHeight="1">
      <c r="G10747"/>
      <c r="I10747"/>
      <c r="N10747"/>
      <c r="O10747" s="24"/>
      <c r="P10747"/>
      <c r="Q10747" s="24"/>
      <c r="R10747"/>
      <c r="S10747"/>
      <c r="T10747"/>
      <c r="U10747"/>
      <c r="X10747" s="60"/>
    </row>
    <row r="10748" spans="7:24" ht="15" customHeight="1">
      <c r="G10748"/>
      <c r="I10748"/>
      <c r="N10748"/>
      <c r="O10748" s="24"/>
      <c r="P10748"/>
      <c r="Q10748" s="24"/>
      <c r="R10748"/>
      <c r="S10748"/>
      <c r="T10748"/>
      <c r="U10748"/>
      <c r="X10748" s="60"/>
    </row>
    <row r="10749" spans="7:24" ht="15" customHeight="1">
      <c r="G10749"/>
      <c r="I10749"/>
      <c r="N10749"/>
      <c r="O10749" s="24"/>
      <c r="P10749"/>
      <c r="Q10749" s="24"/>
      <c r="R10749"/>
      <c r="S10749"/>
      <c r="T10749"/>
      <c r="U10749"/>
      <c r="X10749" s="60"/>
    </row>
    <row r="10750" spans="7:24" ht="15" customHeight="1">
      <c r="G10750"/>
      <c r="I10750"/>
      <c r="N10750"/>
      <c r="O10750" s="24"/>
      <c r="P10750"/>
      <c r="Q10750" s="24"/>
      <c r="R10750"/>
      <c r="S10750"/>
      <c r="T10750"/>
      <c r="U10750"/>
      <c r="X10750" s="60"/>
    </row>
    <row r="10751" spans="7:24" ht="15" customHeight="1">
      <c r="G10751"/>
      <c r="I10751"/>
      <c r="N10751"/>
      <c r="O10751" s="24"/>
      <c r="P10751"/>
      <c r="Q10751" s="24"/>
      <c r="R10751"/>
      <c r="S10751"/>
      <c r="T10751"/>
      <c r="U10751"/>
      <c r="X10751" s="60"/>
    </row>
    <row r="10752" spans="7:24" ht="15" customHeight="1">
      <c r="G10752"/>
      <c r="I10752"/>
      <c r="N10752"/>
      <c r="O10752" s="24"/>
      <c r="P10752"/>
      <c r="Q10752" s="24"/>
      <c r="R10752"/>
      <c r="S10752"/>
      <c r="T10752"/>
      <c r="U10752"/>
      <c r="X10752" s="60"/>
    </row>
    <row r="10753" spans="7:24" ht="15" customHeight="1">
      <c r="G10753"/>
      <c r="I10753"/>
      <c r="N10753"/>
      <c r="O10753" s="24"/>
      <c r="P10753"/>
      <c r="Q10753" s="24"/>
      <c r="R10753"/>
      <c r="S10753"/>
      <c r="T10753"/>
      <c r="U10753"/>
      <c r="X10753" s="60"/>
    </row>
    <row r="10754" spans="7:24" ht="15" customHeight="1">
      <c r="G10754"/>
      <c r="I10754"/>
      <c r="N10754"/>
      <c r="O10754" s="24"/>
      <c r="P10754"/>
      <c r="Q10754" s="24"/>
      <c r="R10754"/>
      <c r="S10754"/>
      <c r="T10754"/>
      <c r="U10754"/>
      <c r="X10754" s="60"/>
    </row>
    <row r="10755" spans="7:24" ht="15" customHeight="1">
      <c r="G10755"/>
      <c r="I10755"/>
      <c r="N10755"/>
      <c r="O10755" s="24"/>
      <c r="P10755"/>
      <c r="Q10755" s="24"/>
      <c r="R10755"/>
      <c r="S10755"/>
      <c r="T10755"/>
      <c r="U10755"/>
      <c r="X10755" s="60"/>
    </row>
    <row r="10756" spans="7:24" ht="15" customHeight="1">
      <c r="G10756"/>
      <c r="I10756"/>
      <c r="N10756"/>
      <c r="O10756" s="24"/>
      <c r="P10756"/>
      <c r="Q10756" s="24"/>
      <c r="R10756"/>
      <c r="S10756"/>
      <c r="T10756"/>
      <c r="U10756"/>
      <c r="X10756" s="60"/>
    </row>
    <row r="10757" spans="7:24" ht="15" customHeight="1">
      <c r="G10757"/>
      <c r="I10757"/>
      <c r="N10757"/>
      <c r="O10757" s="24"/>
      <c r="P10757"/>
      <c r="Q10757" s="24"/>
      <c r="R10757"/>
      <c r="S10757"/>
      <c r="T10757"/>
      <c r="U10757"/>
      <c r="X10757" s="60"/>
    </row>
    <row r="10758" spans="7:24" ht="15" customHeight="1">
      <c r="G10758"/>
      <c r="I10758"/>
      <c r="N10758"/>
      <c r="O10758" s="24"/>
      <c r="P10758"/>
      <c r="Q10758" s="24"/>
      <c r="R10758"/>
      <c r="S10758"/>
      <c r="T10758"/>
      <c r="U10758"/>
      <c r="X10758" s="60"/>
    </row>
    <row r="10759" spans="7:24" ht="15" customHeight="1">
      <c r="G10759"/>
      <c r="I10759"/>
      <c r="N10759"/>
      <c r="O10759" s="24"/>
      <c r="P10759"/>
      <c r="Q10759" s="24"/>
      <c r="R10759"/>
      <c r="S10759"/>
      <c r="T10759"/>
      <c r="U10759"/>
      <c r="X10759" s="60"/>
    </row>
    <row r="10760" spans="7:24" ht="15" customHeight="1">
      <c r="G10760"/>
      <c r="I10760"/>
      <c r="N10760"/>
      <c r="O10760" s="24"/>
      <c r="P10760"/>
      <c r="Q10760" s="24"/>
      <c r="R10760"/>
      <c r="S10760"/>
      <c r="T10760"/>
      <c r="U10760"/>
      <c r="X10760" s="60"/>
    </row>
    <row r="10761" spans="7:24" ht="15" customHeight="1">
      <c r="G10761"/>
      <c r="I10761"/>
      <c r="N10761"/>
      <c r="O10761" s="24"/>
      <c r="P10761"/>
      <c r="Q10761" s="24"/>
      <c r="R10761"/>
      <c r="S10761"/>
      <c r="T10761"/>
      <c r="U10761"/>
      <c r="X10761" s="60"/>
    </row>
    <row r="10762" spans="7:24" ht="15" customHeight="1">
      <c r="G10762"/>
      <c r="I10762"/>
      <c r="N10762"/>
      <c r="O10762" s="24"/>
      <c r="P10762"/>
      <c r="Q10762" s="24"/>
      <c r="R10762"/>
      <c r="S10762"/>
      <c r="T10762"/>
      <c r="U10762"/>
      <c r="X10762" s="60"/>
    </row>
    <row r="10763" spans="7:24" ht="15" customHeight="1">
      <c r="G10763"/>
      <c r="I10763"/>
      <c r="N10763"/>
      <c r="O10763" s="24"/>
      <c r="P10763"/>
      <c r="Q10763" s="24"/>
      <c r="R10763"/>
      <c r="S10763"/>
      <c r="T10763"/>
      <c r="U10763"/>
      <c r="X10763" s="60"/>
    </row>
    <row r="10764" spans="7:24" ht="15" customHeight="1">
      <c r="G10764"/>
      <c r="I10764"/>
      <c r="N10764"/>
      <c r="O10764" s="24"/>
      <c r="P10764"/>
      <c r="Q10764" s="24"/>
      <c r="R10764"/>
      <c r="S10764"/>
      <c r="T10764"/>
      <c r="U10764"/>
      <c r="X10764" s="60"/>
    </row>
    <row r="10765" spans="7:24" ht="15" customHeight="1">
      <c r="G10765"/>
      <c r="I10765"/>
      <c r="N10765"/>
      <c r="O10765" s="24"/>
      <c r="P10765"/>
      <c r="Q10765" s="24"/>
      <c r="R10765"/>
      <c r="S10765"/>
      <c r="T10765"/>
      <c r="U10765"/>
      <c r="X10765" s="60"/>
    </row>
    <row r="10766" spans="7:24" ht="15" customHeight="1">
      <c r="G10766"/>
      <c r="I10766"/>
      <c r="N10766"/>
      <c r="O10766" s="24"/>
      <c r="P10766"/>
      <c r="Q10766" s="24"/>
      <c r="R10766"/>
      <c r="S10766"/>
      <c r="T10766"/>
      <c r="U10766"/>
      <c r="X10766" s="60"/>
    </row>
    <row r="10767" spans="7:24" ht="15" customHeight="1">
      <c r="G10767"/>
      <c r="I10767"/>
      <c r="N10767"/>
      <c r="O10767" s="24"/>
      <c r="P10767"/>
      <c r="Q10767" s="24"/>
      <c r="R10767"/>
      <c r="S10767"/>
      <c r="T10767"/>
      <c r="U10767"/>
      <c r="X10767" s="60"/>
    </row>
    <row r="10768" spans="7:24" ht="15" customHeight="1">
      <c r="G10768"/>
      <c r="I10768"/>
      <c r="N10768"/>
      <c r="O10768" s="24"/>
      <c r="P10768"/>
      <c r="Q10768" s="24"/>
      <c r="R10768"/>
      <c r="S10768"/>
      <c r="T10768"/>
      <c r="U10768"/>
      <c r="X10768" s="60"/>
    </row>
    <row r="10769" spans="7:24" ht="15" customHeight="1">
      <c r="G10769"/>
      <c r="I10769"/>
      <c r="N10769"/>
      <c r="O10769" s="24"/>
      <c r="P10769"/>
      <c r="Q10769" s="24"/>
      <c r="R10769"/>
      <c r="S10769"/>
      <c r="T10769"/>
      <c r="U10769"/>
      <c r="X10769" s="60"/>
    </row>
    <row r="10770" spans="7:24" ht="15" customHeight="1">
      <c r="G10770"/>
      <c r="I10770"/>
      <c r="N10770"/>
      <c r="O10770" s="24"/>
      <c r="P10770"/>
      <c r="Q10770" s="24"/>
      <c r="R10770"/>
      <c r="S10770"/>
      <c r="T10770"/>
      <c r="U10770"/>
      <c r="X10770" s="60"/>
    </row>
    <row r="10771" spans="7:24" ht="15" customHeight="1">
      <c r="G10771"/>
      <c r="I10771"/>
      <c r="N10771"/>
      <c r="O10771" s="24"/>
      <c r="P10771"/>
      <c r="Q10771" s="24"/>
      <c r="R10771"/>
      <c r="S10771"/>
      <c r="T10771"/>
      <c r="U10771"/>
      <c r="X10771" s="60"/>
    </row>
    <row r="10772" spans="7:24" ht="15" customHeight="1">
      <c r="G10772"/>
      <c r="I10772"/>
      <c r="N10772"/>
      <c r="O10772" s="24"/>
      <c r="P10772"/>
      <c r="Q10772" s="24"/>
      <c r="R10772"/>
      <c r="S10772"/>
      <c r="T10772"/>
      <c r="U10772"/>
      <c r="X10772" s="60"/>
    </row>
    <row r="10773" spans="7:24" ht="15" customHeight="1">
      <c r="G10773"/>
      <c r="I10773"/>
      <c r="N10773"/>
      <c r="O10773" s="24"/>
      <c r="P10773"/>
      <c r="Q10773" s="24"/>
      <c r="R10773"/>
      <c r="S10773"/>
      <c r="T10773"/>
      <c r="U10773"/>
      <c r="X10773" s="60"/>
    </row>
    <row r="10774" spans="7:24" ht="15" customHeight="1">
      <c r="G10774"/>
      <c r="I10774"/>
      <c r="N10774"/>
      <c r="O10774" s="24"/>
      <c r="P10774"/>
      <c r="Q10774" s="24"/>
      <c r="R10774"/>
      <c r="S10774"/>
      <c r="T10774"/>
      <c r="U10774"/>
      <c r="X10774" s="60"/>
    </row>
    <row r="10775" spans="7:24" ht="15" customHeight="1">
      <c r="G10775"/>
      <c r="I10775"/>
      <c r="N10775"/>
      <c r="O10775" s="24"/>
      <c r="P10775"/>
      <c r="Q10775" s="24"/>
      <c r="R10775"/>
      <c r="S10775"/>
      <c r="T10775"/>
      <c r="U10775"/>
      <c r="X10775" s="60"/>
    </row>
    <row r="10776" spans="7:24" ht="15" customHeight="1">
      <c r="G10776"/>
      <c r="I10776"/>
      <c r="N10776"/>
      <c r="O10776" s="24"/>
      <c r="P10776"/>
      <c r="Q10776" s="24"/>
      <c r="R10776"/>
      <c r="S10776"/>
      <c r="T10776"/>
      <c r="U10776"/>
      <c r="X10776" s="60"/>
    </row>
    <row r="10777" spans="7:24" ht="15" customHeight="1">
      <c r="G10777"/>
      <c r="I10777"/>
      <c r="N10777"/>
      <c r="O10777" s="24"/>
      <c r="P10777"/>
      <c r="Q10777" s="24"/>
      <c r="R10777"/>
      <c r="S10777"/>
      <c r="T10777"/>
      <c r="U10777"/>
      <c r="X10777" s="60"/>
    </row>
    <row r="10778" spans="7:24" ht="15" customHeight="1">
      <c r="G10778"/>
      <c r="I10778"/>
      <c r="N10778"/>
      <c r="O10778" s="24"/>
      <c r="P10778"/>
      <c r="Q10778" s="24"/>
      <c r="R10778"/>
      <c r="S10778"/>
      <c r="T10778"/>
      <c r="U10778"/>
      <c r="X10778" s="60"/>
    </row>
    <row r="10779" spans="7:24" ht="15" customHeight="1">
      <c r="G10779"/>
      <c r="I10779"/>
      <c r="N10779"/>
      <c r="O10779" s="24"/>
      <c r="P10779"/>
      <c r="Q10779" s="24"/>
      <c r="R10779"/>
      <c r="S10779"/>
      <c r="T10779"/>
      <c r="U10779"/>
      <c r="X10779" s="60"/>
    </row>
    <row r="10780" spans="7:24" ht="15" customHeight="1">
      <c r="G10780"/>
      <c r="I10780"/>
      <c r="N10780"/>
      <c r="O10780" s="24"/>
      <c r="P10780"/>
      <c r="Q10780" s="24"/>
      <c r="R10780"/>
      <c r="S10780"/>
      <c r="T10780"/>
      <c r="U10780"/>
      <c r="X10780" s="60"/>
    </row>
    <row r="10781" spans="7:24" ht="15" customHeight="1">
      <c r="G10781"/>
      <c r="I10781"/>
      <c r="N10781"/>
      <c r="O10781" s="24"/>
      <c r="P10781"/>
      <c r="Q10781" s="24"/>
      <c r="R10781"/>
      <c r="S10781"/>
      <c r="T10781"/>
      <c r="U10781"/>
      <c r="X10781" s="60"/>
    </row>
    <row r="10782" spans="7:24" ht="15" customHeight="1">
      <c r="G10782"/>
      <c r="I10782"/>
      <c r="N10782"/>
      <c r="O10782" s="24"/>
      <c r="P10782"/>
      <c r="Q10782" s="24"/>
      <c r="R10782"/>
      <c r="S10782"/>
      <c r="T10782"/>
      <c r="U10782"/>
      <c r="X10782" s="60"/>
    </row>
    <row r="10783" spans="7:24" ht="15" customHeight="1">
      <c r="G10783"/>
      <c r="I10783"/>
      <c r="N10783"/>
      <c r="O10783" s="24"/>
      <c r="P10783"/>
      <c r="Q10783" s="24"/>
      <c r="R10783"/>
      <c r="S10783"/>
      <c r="T10783"/>
      <c r="U10783"/>
      <c r="X10783" s="60"/>
    </row>
    <row r="10784" spans="7:24" ht="15" customHeight="1">
      <c r="G10784"/>
      <c r="I10784"/>
      <c r="N10784"/>
      <c r="O10784" s="24"/>
      <c r="P10784"/>
      <c r="Q10784" s="24"/>
      <c r="R10784"/>
      <c r="S10784"/>
      <c r="T10784"/>
      <c r="U10784"/>
      <c r="X10784" s="60"/>
    </row>
    <row r="10785" spans="7:24" ht="15" customHeight="1">
      <c r="G10785"/>
      <c r="I10785"/>
      <c r="N10785"/>
      <c r="O10785" s="24"/>
      <c r="P10785"/>
      <c r="Q10785" s="24"/>
      <c r="R10785"/>
      <c r="S10785"/>
      <c r="T10785"/>
      <c r="U10785"/>
      <c r="X10785" s="60"/>
    </row>
    <row r="10786" spans="7:24" ht="15" customHeight="1">
      <c r="G10786"/>
      <c r="I10786"/>
      <c r="N10786"/>
      <c r="O10786" s="24"/>
      <c r="P10786"/>
      <c r="Q10786" s="24"/>
      <c r="R10786"/>
      <c r="S10786"/>
      <c r="T10786"/>
      <c r="U10786"/>
      <c r="X10786" s="60"/>
    </row>
    <row r="10787" spans="7:24" ht="15" customHeight="1">
      <c r="G10787"/>
      <c r="I10787"/>
      <c r="N10787"/>
      <c r="O10787" s="24"/>
      <c r="P10787"/>
      <c r="Q10787" s="24"/>
      <c r="R10787"/>
      <c r="S10787"/>
      <c r="T10787"/>
      <c r="U10787"/>
      <c r="X10787" s="60"/>
    </row>
    <row r="10788" spans="7:24" ht="15" customHeight="1">
      <c r="G10788"/>
      <c r="I10788"/>
      <c r="N10788"/>
      <c r="O10788" s="24"/>
      <c r="P10788"/>
      <c r="Q10788" s="24"/>
      <c r="R10788"/>
      <c r="S10788"/>
      <c r="T10788"/>
      <c r="U10788"/>
      <c r="X10788" s="60"/>
    </row>
    <row r="10789" spans="7:24" ht="15" customHeight="1">
      <c r="G10789"/>
      <c r="I10789"/>
      <c r="N10789"/>
      <c r="O10789" s="24"/>
      <c r="P10789"/>
      <c r="Q10789" s="24"/>
      <c r="R10789"/>
      <c r="S10789"/>
      <c r="T10789"/>
      <c r="U10789"/>
      <c r="X10789" s="60"/>
    </row>
    <row r="10790" spans="7:24" ht="15" customHeight="1">
      <c r="G10790"/>
      <c r="I10790"/>
      <c r="N10790"/>
      <c r="O10790" s="24"/>
      <c r="P10790"/>
      <c r="Q10790" s="24"/>
      <c r="R10790"/>
      <c r="S10790"/>
      <c r="T10790"/>
      <c r="U10790"/>
      <c r="X10790" s="60"/>
    </row>
    <row r="10791" spans="7:24" ht="15" customHeight="1">
      <c r="G10791"/>
      <c r="I10791"/>
      <c r="N10791"/>
      <c r="O10791" s="24"/>
      <c r="P10791"/>
      <c r="Q10791" s="24"/>
      <c r="R10791"/>
      <c r="S10791"/>
      <c r="T10791"/>
      <c r="U10791"/>
      <c r="X10791" s="60"/>
    </row>
    <row r="10792" spans="7:24" ht="15" customHeight="1">
      <c r="G10792"/>
      <c r="I10792"/>
      <c r="N10792"/>
      <c r="O10792" s="24"/>
      <c r="P10792"/>
      <c r="Q10792" s="24"/>
      <c r="R10792"/>
      <c r="S10792"/>
      <c r="T10792"/>
      <c r="U10792"/>
      <c r="X10792" s="60"/>
    </row>
    <row r="10793" spans="7:24" ht="15" customHeight="1">
      <c r="G10793"/>
      <c r="I10793"/>
      <c r="N10793"/>
      <c r="O10793" s="24"/>
      <c r="P10793"/>
      <c r="Q10793" s="24"/>
      <c r="R10793"/>
      <c r="S10793"/>
      <c r="T10793"/>
      <c r="U10793"/>
      <c r="X10793" s="60"/>
    </row>
    <row r="10794" spans="7:24" ht="15" customHeight="1">
      <c r="G10794"/>
      <c r="I10794"/>
      <c r="N10794"/>
      <c r="O10794" s="24"/>
      <c r="P10794"/>
      <c r="Q10794" s="24"/>
      <c r="R10794"/>
      <c r="S10794"/>
      <c r="T10794"/>
      <c r="U10794"/>
      <c r="X10794" s="60"/>
    </row>
    <row r="10795" spans="7:24" ht="15" customHeight="1">
      <c r="G10795"/>
      <c r="I10795"/>
      <c r="N10795"/>
      <c r="O10795" s="24"/>
      <c r="P10795"/>
      <c r="Q10795" s="24"/>
      <c r="R10795"/>
      <c r="S10795"/>
      <c r="T10795"/>
      <c r="U10795"/>
      <c r="X10795" s="60"/>
    </row>
    <row r="10796" spans="7:24" ht="15" customHeight="1">
      <c r="G10796"/>
      <c r="I10796"/>
      <c r="N10796"/>
      <c r="O10796" s="24"/>
      <c r="P10796"/>
      <c r="Q10796" s="24"/>
      <c r="R10796"/>
      <c r="S10796"/>
      <c r="T10796"/>
      <c r="U10796"/>
      <c r="X10796" s="60"/>
    </row>
    <row r="10797" spans="7:24" ht="15" customHeight="1">
      <c r="G10797"/>
      <c r="I10797"/>
      <c r="N10797"/>
      <c r="O10797" s="24"/>
      <c r="P10797"/>
      <c r="Q10797" s="24"/>
      <c r="R10797"/>
      <c r="S10797"/>
      <c r="T10797"/>
      <c r="U10797"/>
      <c r="X10797" s="60"/>
    </row>
    <row r="10798" spans="7:24" ht="15" customHeight="1">
      <c r="G10798"/>
      <c r="I10798"/>
      <c r="N10798"/>
      <c r="O10798" s="24"/>
      <c r="P10798"/>
      <c r="Q10798" s="24"/>
      <c r="R10798"/>
      <c r="S10798"/>
      <c r="T10798"/>
      <c r="U10798"/>
      <c r="X10798" s="60"/>
    </row>
    <row r="10799" spans="7:24" ht="15" customHeight="1">
      <c r="G10799"/>
      <c r="I10799"/>
      <c r="N10799"/>
      <c r="O10799" s="24"/>
      <c r="P10799"/>
      <c r="Q10799" s="24"/>
      <c r="R10799"/>
      <c r="S10799"/>
      <c r="T10799"/>
      <c r="U10799"/>
      <c r="X10799" s="60"/>
    </row>
    <row r="10800" spans="7:24" ht="15" customHeight="1">
      <c r="G10800"/>
      <c r="I10800"/>
      <c r="N10800"/>
      <c r="O10800" s="24"/>
      <c r="P10800"/>
      <c r="Q10800" s="24"/>
      <c r="R10800"/>
      <c r="S10800"/>
      <c r="T10800"/>
      <c r="U10800"/>
      <c r="X10800" s="60"/>
    </row>
    <row r="10801" spans="7:24" ht="15" customHeight="1">
      <c r="G10801"/>
      <c r="I10801"/>
      <c r="N10801"/>
      <c r="O10801" s="24"/>
      <c r="P10801"/>
      <c r="Q10801" s="24"/>
      <c r="R10801"/>
      <c r="S10801"/>
      <c r="T10801"/>
      <c r="U10801"/>
      <c r="X10801" s="60"/>
    </row>
    <row r="10802" spans="7:24" ht="15" customHeight="1">
      <c r="G10802"/>
      <c r="I10802"/>
      <c r="N10802"/>
      <c r="O10802" s="24"/>
      <c r="P10802"/>
      <c r="Q10802" s="24"/>
      <c r="R10802"/>
      <c r="S10802"/>
      <c r="T10802"/>
      <c r="U10802"/>
      <c r="X10802" s="60"/>
    </row>
    <row r="10803" spans="7:24" ht="15" customHeight="1">
      <c r="G10803"/>
      <c r="I10803"/>
      <c r="N10803"/>
      <c r="O10803" s="24"/>
      <c r="P10803"/>
      <c r="Q10803" s="24"/>
      <c r="R10803"/>
      <c r="S10803"/>
      <c r="T10803"/>
      <c r="U10803"/>
      <c r="X10803" s="60"/>
    </row>
    <row r="10804" spans="7:24" ht="15" customHeight="1">
      <c r="G10804"/>
      <c r="I10804"/>
      <c r="N10804"/>
      <c r="O10804" s="24"/>
      <c r="P10804"/>
      <c r="Q10804" s="24"/>
      <c r="R10804"/>
      <c r="S10804"/>
      <c r="T10804"/>
      <c r="U10804"/>
      <c r="X10804" s="60"/>
    </row>
    <row r="10805" spans="7:24" ht="15" customHeight="1">
      <c r="G10805"/>
      <c r="I10805"/>
      <c r="N10805"/>
      <c r="O10805" s="24"/>
      <c r="P10805"/>
      <c r="Q10805" s="24"/>
      <c r="R10805"/>
      <c r="S10805"/>
      <c r="T10805"/>
      <c r="U10805"/>
      <c r="X10805" s="60"/>
    </row>
    <row r="10806" spans="7:24" ht="15" customHeight="1">
      <c r="G10806"/>
      <c r="I10806"/>
      <c r="N10806"/>
      <c r="O10806" s="24"/>
      <c r="P10806"/>
      <c r="Q10806" s="24"/>
      <c r="R10806"/>
      <c r="S10806"/>
      <c r="T10806"/>
      <c r="U10806"/>
      <c r="X10806" s="60"/>
    </row>
    <row r="10807" spans="7:24" ht="15" customHeight="1">
      <c r="G10807"/>
      <c r="I10807"/>
      <c r="N10807"/>
      <c r="O10807" s="24"/>
      <c r="P10807"/>
      <c r="Q10807" s="24"/>
      <c r="R10807"/>
      <c r="S10807"/>
      <c r="T10807"/>
      <c r="U10807"/>
      <c r="X10807" s="60"/>
    </row>
    <row r="10808" spans="7:24" ht="15" customHeight="1">
      <c r="G10808"/>
      <c r="I10808"/>
      <c r="N10808"/>
      <c r="O10808" s="24"/>
      <c r="P10808"/>
      <c r="Q10808" s="24"/>
      <c r="R10808"/>
      <c r="S10808"/>
      <c r="T10808"/>
      <c r="U10808"/>
      <c r="X10808" s="60"/>
    </row>
    <row r="10809" spans="7:24" ht="15" customHeight="1">
      <c r="G10809"/>
      <c r="I10809"/>
      <c r="N10809"/>
      <c r="O10809" s="24"/>
      <c r="P10809"/>
      <c r="Q10809" s="24"/>
      <c r="R10809"/>
      <c r="S10809"/>
      <c r="T10809"/>
      <c r="U10809"/>
      <c r="X10809" s="60"/>
    </row>
    <row r="10810" spans="7:24" ht="15" customHeight="1">
      <c r="G10810"/>
      <c r="I10810"/>
      <c r="N10810"/>
      <c r="O10810" s="24"/>
      <c r="P10810"/>
      <c r="Q10810" s="24"/>
      <c r="R10810"/>
      <c r="S10810"/>
      <c r="T10810"/>
      <c r="U10810"/>
      <c r="X10810" s="60"/>
    </row>
    <row r="10811" spans="7:24" ht="15" customHeight="1">
      <c r="G10811"/>
      <c r="I10811"/>
      <c r="N10811"/>
      <c r="O10811" s="24"/>
      <c r="P10811"/>
      <c r="Q10811" s="24"/>
      <c r="R10811"/>
      <c r="S10811"/>
      <c r="T10811"/>
      <c r="U10811"/>
      <c r="X10811" s="60"/>
    </row>
    <row r="10812" spans="7:24" ht="15" customHeight="1">
      <c r="G10812"/>
      <c r="I10812"/>
      <c r="N10812"/>
      <c r="O10812" s="24"/>
      <c r="P10812"/>
      <c r="Q10812" s="24"/>
      <c r="R10812"/>
      <c r="S10812"/>
      <c r="T10812"/>
      <c r="U10812"/>
      <c r="X10812" s="60"/>
    </row>
    <row r="10813" spans="7:24" ht="15" customHeight="1">
      <c r="G10813"/>
      <c r="I10813"/>
      <c r="N10813"/>
      <c r="O10813" s="24"/>
      <c r="P10813"/>
      <c r="Q10813" s="24"/>
      <c r="R10813"/>
      <c r="S10813"/>
      <c r="T10813"/>
      <c r="U10813"/>
      <c r="X10813" s="60"/>
    </row>
    <row r="10814" spans="7:24" ht="15" customHeight="1">
      <c r="G10814"/>
      <c r="I10814"/>
      <c r="N10814"/>
      <c r="O10814" s="24"/>
      <c r="P10814"/>
      <c r="Q10814" s="24"/>
      <c r="R10814"/>
      <c r="S10814"/>
      <c r="T10814"/>
      <c r="U10814"/>
      <c r="X10814" s="60"/>
    </row>
    <row r="10815" spans="7:24" ht="15" customHeight="1">
      <c r="G10815"/>
      <c r="I10815"/>
      <c r="N10815"/>
      <c r="O10815" s="24"/>
      <c r="P10815"/>
      <c r="Q10815" s="24"/>
      <c r="R10815"/>
      <c r="S10815"/>
      <c r="T10815"/>
      <c r="U10815"/>
      <c r="X10815" s="60"/>
    </row>
    <row r="10816" spans="7:24" ht="15" customHeight="1">
      <c r="G10816"/>
      <c r="I10816"/>
      <c r="N10816"/>
      <c r="O10816" s="24"/>
      <c r="P10816"/>
      <c r="Q10816" s="24"/>
      <c r="R10816"/>
      <c r="S10816"/>
      <c r="T10816"/>
      <c r="U10816"/>
      <c r="X10816" s="60"/>
    </row>
    <row r="10817" spans="7:24" ht="15" customHeight="1">
      <c r="G10817"/>
      <c r="I10817"/>
      <c r="N10817"/>
      <c r="O10817" s="24"/>
      <c r="P10817"/>
      <c r="Q10817" s="24"/>
      <c r="R10817"/>
      <c r="S10817"/>
      <c r="T10817"/>
      <c r="U10817"/>
      <c r="X10817" s="60"/>
    </row>
    <row r="10818" spans="7:24" ht="15" customHeight="1">
      <c r="G10818"/>
      <c r="I10818"/>
      <c r="N10818"/>
      <c r="O10818" s="24"/>
      <c r="P10818"/>
      <c r="Q10818" s="24"/>
      <c r="R10818"/>
      <c r="S10818"/>
      <c r="T10818"/>
      <c r="U10818"/>
      <c r="X10818" s="60"/>
    </row>
    <row r="10819" spans="7:24" ht="15" customHeight="1">
      <c r="G10819"/>
      <c r="I10819"/>
      <c r="N10819"/>
      <c r="O10819" s="24"/>
      <c r="P10819"/>
      <c r="Q10819" s="24"/>
      <c r="R10819"/>
      <c r="S10819"/>
      <c r="T10819"/>
      <c r="U10819"/>
      <c r="X10819" s="60"/>
    </row>
    <row r="10820" spans="7:24" ht="15" customHeight="1">
      <c r="G10820"/>
      <c r="I10820"/>
      <c r="N10820"/>
      <c r="O10820" s="24"/>
      <c r="P10820"/>
      <c r="Q10820" s="24"/>
      <c r="R10820"/>
      <c r="S10820"/>
      <c r="T10820"/>
      <c r="U10820"/>
      <c r="X10820" s="60"/>
    </row>
    <row r="10821" spans="7:24" ht="15" customHeight="1">
      <c r="G10821"/>
      <c r="I10821"/>
      <c r="N10821"/>
      <c r="O10821" s="24"/>
      <c r="P10821"/>
      <c r="Q10821" s="24"/>
      <c r="R10821"/>
      <c r="S10821"/>
      <c r="T10821"/>
      <c r="U10821"/>
      <c r="X10821" s="60"/>
    </row>
    <row r="10822" spans="7:24" ht="15" customHeight="1">
      <c r="G10822"/>
      <c r="I10822"/>
      <c r="N10822"/>
      <c r="O10822" s="24"/>
      <c r="P10822"/>
      <c r="Q10822" s="24"/>
      <c r="R10822"/>
      <c r="S10822"/>
      <c r="T10822"/>
      <c r="U10822"/>
      <c r="X10822" s="60"/>
    </row>
    <row r="10823" spans="7:24" ht="15" customHeight="1">
      <c r="G10823"/>
      <c r="I10823"/>
      <c r="N10823"/>
      <c r="O10823" s="24"/>
      <c r="P10823"/>
      <c r="Q10823" s="24"/>
      <c r="R10823"/>
      <c r="S10823"/>
      <c r="T10823"/>
      <c r="U10823"/>
      <c r="X10823" s="60"/>
    </row>
    <row r="10824" spans="7:24" ht="15" customHeight="1">
      <c r="G10824"/>
      <c r="I10824"/>
      <c r="N10824"/>
      <c r="O10824" s="24"/>
      <c r="P10824"/>
      <c r="Q10824" s="24"/>
      <c r="R10824"/>
      <c r="S10824"/>
      <c r="T10824"/>
      <c r="U10824"/>
      <c r="X10824" s="60"/>
    </row>
    <row r="10825" spans="7:24" ht="15" customHeight="1">
      <c r="G10825"/>
      <c r="I10825"/>
      <c r="N10825"/>
      <c r="O10825" s="24"/>
      <c r="P10825"/>
      <c r="Q10825" s="24"/>
      <c r="R10825"/>
      <c r="S10825"/>
      <c r="T10825"/>
      <c r="U10825"/>
      <c r="X10825" s="60"/>
    </row>
    <row r="10826" spans="7:24" ht="15" customHeight="1">
      <c r="G10826"/>
      <c r="I10826"/>
      <c r="N10826"/>
      <c r="O10826" s="24"/>
      <c r="P10826"/>
      <c r="Q10826" s="24"/>
      <c r="R10826"/>
      <c r="S10826"/>
      <c r="T10826"/>
      <c r="U10826"/>
      <c r="X10826" s="60"/>
    </row>
    <row r="10827" spans="7:24" ht="15" customHeight="1">
      <c r="G10827"/>
      <c r="I10827"/>
      <c r="N10827"/>
      <c r="O10827" s="24"/>
      <c r="P10827"/>
      <c r="Q10827" s="24"/>
      <c r="R10827"/>
      <c r="S10827"/>
      <c r="T10827"/>
      <c r="U10827"/>
      <c r="X10827" s="60"/>
    </row>
    <row r="10828" spans="7:24" ht="15" customHeight="1">
      <c r="G10828"/>
      <c r="I10828"/>
      <c r="N10828"/>
      <c r="O10828" s="24"/>
      <c r="P10828"/>
      <c r="Q10828" s="24"/>
      <c r="R10828"/>
      <c r="S10828"/>
      <c r="T10828"/>
      <c r="U10828"/>
      <c r="X10828" s="60"/>
    </row>
    <row r="10829" spans="7:24" ht="15" customHeight="1">
      <c r="G10829"/>
      <c r="I10829"/>
      <c r="N10829"/>
      <c r="O10829" s="24"/>
      <c r="P10829"/>
      <c r="Q10829" s="24"/>
      <c r="R10829"/>
      <c r="S10829"/>
      <c r="T10829"/>
      <c r="U10829"/>
      <c r="X10829" s="60"/>
    </row>
    <row r="10830" spans="7:24" ht="15" customHeight="1">
      <c r="G10830"/>
      <c r="I10830"/>
      <c r="N10830"/>
      <c r="O10830" s="24"/>
      <c r="P10830"/>
      <c r="Q10830" s="24"/>
      <c r="R10830"/>
      <c r="S10830"/>
      <c r="T10830"/>
      <c r="U10830"/>
      <c r="X10830" s="60"/>
    </row>
    <row r="10831" spans="7:24" ht="15" customHeight="1">
      <c r="G10831"/>
      <c r="I10831"/>
      <c r="N10831"/>
      <c r="O10831" s="24"/>
      <c r="P10831"/>
      <c r="Q10831" s="24"/>
      <c r="R10831"/>
      <c r="S10831"/>
      <c r="T10831"/>
      <c r="U10831"/>
      <c r="X10831" s="60"/>
    </row>
    <row r="10832" spans="7:24" ht="15" customHeight="1">
      <c r="G10832"/>
      <c r="I10832"/>
      <c r="N10832"/>
      <c r="O10832" s="24"/>
      <c r="P10832"/>
      <c r="Q10832" s="24"/>
      <c r="R10832"/>
      <c r="S10832"/>
      <c r="T10832"/>
      <c r="U10832"/>
      <c r="X10832" s="60"/>
    </row>
    <row r="10833" spans="7:24" ht="15" customHeight="1">
      <c r="G10833"/>
      <c r="I10833"/>
      <c r="N10833"/>
      <c r="O10833" s="24"/>
      <c r="P10833"/>
      <c r="Q10833" s="24"/>
      <c r="R10833"/>
      <c r="S10833"/>
      <c r="T10833"/>
      <c r="U10833"/>
      <c r="X10833" s="60"/>
    </row>
    <row r="10834" spans="7:24" ht="15" customHeight="1">
      <c r="G10834"/>
      <c r="I10834"/>
      <c r="N10834"/>
      <c r="O10834" s="24"/>
      <c r="P10834"/>
      <c r="Q10834" s="24"/>
      <c r="R10834"/>
      <c r="S10834"/>
      <c r="T10834"/>
      <c r="U10834"/>
      <c r="X10834" s="60"/>
    </row>
    <row r="10835" spans="7:24" ht="15" customHeight="1">
      <c r="G10835"/>
      <c r="I10835"/>
      <c r="N10835"/>
      <c r="O10835" s="24"/>
      <c r="P10835"/>
      <c r="Q10835" s="24"/>
      <c r="R10835"/>
      <c r="S10835"/>
      <c r="T10835"/>
      <c r="U10835"/>
      <c r="X10835" s="60"/>
    </row>
    <row r="10836" spans="7:24" ht="15" customHeight="1">
      <c r="G10836"/>
      <c r="I10836"/>
      <c r="N10836"/>
      <c r="O10836" s="24"/>
      <c r="P10836"/>
      <c r="Q10836" s="24"/>
      <c r="R10836"/>
      <c r="S10836"/>
      <c r="T10836"/>
      <c r="U10836"/>
      <c r="X10836" s="60"/>
    </row>
    <row r="10837" spans="7:24" ht="15" customHeight="1">
      <c r="G10837"/>
      <c r="I10837"/>
      <c r="N10837"/>
      <c r="O10837" s="24"/>
      <c r="P10837"/>
      <c r="Q10837" s="24"/>
      <c r="R10837"/>
      <c r="S10837"/>
      <c r="T10837"/>
      <c r="U10837"/>
      <c r="X10837" s="60"/>
    </row>
    <row r="10838" spans="7:24" ht="15" customHeight="1">
      <c r="G10838"/>
      <c r="I10838"/>
      <c r="N10838"/>
      <c r="O10838" s="24"/>
      <c r="P10838"/>
      <c r="Q10838" s="24"/>
      <c r="R10838"/>
      <c r="S10838"/>
      <c r="T10838"/>
      <c r="U10838"/>
      <c r="X10838" s="60"/>
    </row>
    <row r="10839" spans="7:24" ht="15" customHeight="1">
      <c r="G10839"/>
      <c r="I10839"/>
      <c r="N10839"/>
      <c r="O10839" s="24"/>
      <c r="P10839"/>
      <c r="Q10839" s="24"/>
      <c r="R10839"/>
      <c r="S10839"/>
      <c r="T10839"/>
      <c r="U10839"/>
      <c r="X10839" s="60"/>
    </row>
    <row r="10840" spans="7:24" ht="15" customHeight="1">
      <c r="G10840"/>
      <c r="I10840"/>
      <c r="N10840"/>
      <c r="O10840" s="24"/>
      <c r="P10840"/>
      <c r="Q10840" s="24"/>
      <c r="R10840"/>
      <c r="S10840"/>
      <c r="T10840"/>
      <c r="U10840"/>
      <c r="X10840" s="60"/>
    </row>
    <row r="10841" spans="7:24" ht="15" customHeight="1">
      <c r="G10841"/>
      <c r="I10841"/>
      <c r="N10841"/>
      <c r="O10841" s="24"/>
      <c r="P10841"/>
      <c r="Q10841" s="24"/>
      <c r="R10841"/>
      <c r="S10841"/>
      <c r="T10841"/>
      <c r="U10841"/>
      <c r="X10841" s="60"/>
    </row>
    <row r="10842" spans="7:24" ht="15" customHeight="1">
      <c r="G10842"/>
      <c r="I10842"/>
      <c r="N10842"/>
      <c r="O10842" s="24"/>
      <c r="P10842"/>
      <c r="Q10842" s="24"/>
      <c r="R10842"/>
      <c r="S10842"/>
      <c r="T10842"/>
      <c r="U10842"/>
      <c r="X10842" s="60"/>
    </row>
    <row r="10843" spans="7:24" ht="15" customHeight="1">
      <c r="G10843"/>
      <c r="I10843"/>
      <c r="N10843"/>
      <c r="O10843" s="24"/>
      <c r="P10843"/>
      <c r="Q10843" s="24"/>
      <c r="R10843"/>
      <c r="S10843"/>
      <c r="T10843"/>
      <c r="U10843"/>
      <c r="X10843" s="60"/>
    </row>
    <row r="10844" spans="7:24" ht="15" customHeight="1">
      <c r="G10844"/>
      <c r="I10844"/>
      <c r="N10844"/>
      <c r="O10844" s="24"/>
      <c r="P10844"/>
      <c r="Q10844" s="24"/>
      <c r="R10844"/>
      <c r="S10844"/>
      <c r="T10844"/>
      <c r="U10844"/>
      <c r="X10844" s="60"/>
    </row>
    <row r="10845" spans="7:24" ht="15" customHeight="1">
      <c r="G10845"/>
      <c r="I10845"/>
      <c r="N10845"/>
      <c r="O10845" s="24"/>
      <c r="P10845"/>
      <c r="Q10845" s="24"/>
      <c r="R10845"/>
      <c r="S10845"/>
      <c r="T10845"/>
      <c r="U10845"/>
      <c r="X10845" s="60"/>
    </row>
    <row r="10846" spans="7:24" ht="15" customHeight="1">
      <c r="G10846"/>
      <c r="I10846"/>
      <c r="N10846"/>
      <c r="O10846" s="24"/>
      <c r="P10846"/>
      <c r="Q10846" s="24"/>
      <c r="R10846"/>
      <c r="S10846"/>
      <c r="T10846"/>
      <c r="U10846"/>
      <c r="X10846" s="60"/>
    </row>
    <row r="10847" spans="7:24" ht="15" customHeight="1">
      <c r="G10847"/>
      <c r="I10847"/>
      <c r="N10847"/>
      <c r="O10847" s="24"/>
      <c r="P10847"/>
      <c r="Q10847" s="24"/>
      <c r="R10847"/>
      <c r="S10847"/>
      <c r="T10847"/>
      <c r="U10847"/>
      <c r="X10847" s="60"/>
    </row>
    <row r="10848" spans="7:24" ht="15" customHeight="1">
      <c r="G10848"/>
      <c r="I10848"/>
      <c r="N10848"/>
      <c r="O10848" s="24"/>
      <c r="P10848"/>
      <c r="Q10848" s="24"/>
      <c r="R10848"/>
      <c r="S10848"/>
      <c r="T10848"/>
      <c r="U10848"/>
      <c r="X10848" s="60"/>
    </row>
    <row r="10849" spans="7:24" ht="15" customHeight="1">
      <c r="G10849"/>
      <c r="I10849"/>
      <c r="N10849"/>
      <c r="O10849" s="24"/>
      <c r="P10849"/>
      <c r="Q10849" s="24"/>
      <c r="R10849"/>
      <c r="S10849"/>
      <c r="T10849"/>
      <c r="U10849"/>
      <c r="X10849" s="60"/>
    </row>
    <row r="10850" spans="7:24" ht="15" customHeight="1">
      <c r="G10850"/>
      <c r="I10850"/>
      <c r="N10850"/>
      <c r="O10850" s="24"/>
      <c r="P10850"/>
      <c r="Q10850" s="24"/>
      <c r="R10850"/>
      <c r="S10850"/>
      <c r="T10850"/>
      <c r="U10850"/>
      <c r="X10850" s="60"/>
    </row>
    <row r="10851" spans="7:24" ht="15" customHeight="1">
      <c r="G10851"/>
      <c r="I10851"/>
      <c r="N10851"/>
      <c r="O10851" s="24"/>
      <c r="P10851"/>
      <c r="Q10851" s="24"/>
      <c r="R10851"/>
      <c r="S10851"/>
      <c r="T10851"/>
      <c r="U10851"/>
      <c r="X10851" s="60"/>
    </row>
    <row r="10852" spans="7:24" ht="15" customHeight="1">
      <c r="G10852"/>
      <c r="I10852"/>
      <c r="N10852"/>
      <c r="O10852" s="24"/>
      <c r="P10852"/>
      <c r="Q10852" s="24"/>
      <c r="R10852"/>
      <c r="S10852"/>
      <c r="T10852"/>
      <c r="U10852"/>
      <c r="X10852" s="60"/>
    </row>
    <row r="10853" spans="7:24" ht="15" customHeight="1">
      <c r="G10853"/>
      <c r="I10853"/>
      <c r="N10853"/>
      <c r="O10853" s="24"/>
      <c r="P10853"/>
      <c r="Q10853" s="24"/>
      <c r="R10853"/>
      <c r="S10853"/>
      <c r="T10853"/>
      <c r="U10853"/>
      <c r="X10853" s="60"/>
    </row>
    <row r="10854" spans="7:24" ht="15" customHeight="1">
      <c r="G10854"/>
      <c r="I10854"/>
      <c r="N10854"/>
      <c r="O10854" s="24"/>
      <c r="P10854"/>
      <c r="Q10854" s="24"/>
      <c r="R10854"/>
      <c r="S10854"/>
      <c r="T10854"/>
      <c r="U10854"/>
      <c r="X10854" s="60"/>
    </row>
    <row r="10855" spans="7:24" ht="15" customHeight="1">
      <c r="G10855"/>
      <c r="I10855"/>
      <c r="N10855"/>
      <c r="O10855" s="24"/>
      <c r="P10855"/>
      <c r="Q10855" s="24"/>
      <c r="R10855"/>
      <c r="S10855"/>
      <c r="T10855"/>
      <c r="U10855"/>
      <c r="X10855" s="60"/>
    </row>
    <row r="10856" spans="7:24" ht="15" customHeight="1">
      <c r="G10856"/>
      <c r="I10856"/>
      <c r="N10856"/>
      <c r="O10856" s="24"/>
      <c r="P10856"/>
      <c r="Q10856" s="24"/>
      <c r="R10856"/>
      <c r="S10856"/>
      <c r="T10856"/>
      <c r="U10856"/>
      <c r="X10856" s="60"/>
    </row>
    <row r="10857" spans="7:24" ht="15" customHeight="1">
      <c r="G10857"/>
      <c r="I10857"/>
      <c r="N10857"/>
      <c r="O10857" s="24"/>
      <c r="P10857"/>
      <c r="Q10857" s="24"/>
      <c r="R10857"/>
      <c r="S10857"/>
      <c r="T10857"/>
      <c r="U10857"/>
      <c r="X10857" s="60"/>
    </row>
    <row r="10858" spans="7:24" ht="15" customHeight="1">
      <c r="G10858"/>
      <c r="I10858"/>
      <c r="N10858"/>
      <c r="O10858" s="24"/>
      <c r="P10858"/>
      <c r="Q10858" s="24"/>
      <c r="R10858"/>
      <c r="S10858"/>
      <c r="T10858"/>
      <c r="U10858"/>
      <c r="X10858" s="60"/>
    </row>
    <row r="10859" spans="7:24" ht="15" customHeight="1">
      <c r="G10859"/>
      <c r="I10859"/>
      <c r="N10859"/>
      <c r="O10859" s="24"/>
      <c r="P10859"/>
      <c r="Q10859" s="24"/>
      <c r="R10859"/>
      <c r="S10859"/>
      <c r="T10859"/>
      <c r="U10859"/>
      <c r="X10859" s="60"/>
    </row>
    <row r="10860" spans="7:24" ht="15" customHeight="1">
      <c r="G10860"/>
      <c r="I10860"/>
      <c r="N10860"/>
      <c r="O10860" s="24"/>
      <c r="P10860"/>
      <c r="Q10860" s="24"/>
      <c r="R10860"/>
      <c r="S10860"/>
      <c r="T10860"/>
      <c r="U10860"/>
      <c r="X10860" s="60"/>
    </row>
    <row r="10861" spans="7:24" ht="15" customHeight="1">
      <c r="G10861"/>
      <c r="I10861"/>
      <c r="N10861"/>
      <c r="O10861" s="24"/>
      <c r="P10861"/>
      <c r="Q10861" s="24"/>
      <c r="R10861"/>
      <c r="S10861"/>
      <c r="T10861"/>
      <c r="U10861"/>
      <c r="X10861" s="60"/>
    </row>
    <row r="10862" spans="7:24" ht="15" customHeight="1">
      <c r="G10862"/>
      <c r="I10862"/>
      <c r="N10862"/>
      <c r="O10862" s="24"/>
      <c r="P10862"/>
      <c r="Q10862" s="24"/>
      <c r="R10862"/>
      <c r="S10862"/>
      <c r="T10862"/>
      <c r="U10862"/>
      <c r="X10862" s="60"/>
    </row>
    <row r="10863" spans="7:24" ht="15" customHeight="1">
      <c r="G10863"/>
      <c r="I10863"/>
      <c r="N10863"/>
      <c r="O10863" s="24"/>
      <c r="P10863"/>
      <c r="Q10863" s="24"/>
      <c r="R10863"/>
      <c r="S10863"/>
      <c r="T10863"/>
      <c r="U10863"/>
      <c r="X10863" s="60"/>
    </row>
    <row r="10864" spans="7:24" ht="15" customHeight="1">
      <c r="G10864"/>
      <c r="I10864"/>
      <c r="N10864"/>
      <c r="O10864" s="24"/>
      <c r="P10864"/>
      <c r="Q10864" s="24"/>
      <c r="R10864"/>
      <c r="S10864"/>
      <c r="T10864"/>
      <c r="U10864"/>
      <c r="X10864" s="60"/>
    </row>
    <row r="10865" spans="7:24" ht="15" customHeight="1">
      <c r="G10865"/>
      <c r="I10865"/>
      <c r="N10865"/>
      <c r="O10865" s="24"/>
      <c r="P10865"/>
      <c r="Q10865" s="24"/>
      <c r="R10865"/>
      <c r="S10865"/>
      <c r="T10865"/>
      <c r="U10865"/>
      <c r="X10865" s="60"/>
    </row>
    <row r="10866" spans="7:24" ht="15" customHeight="1">
      <c r="G10866"/>
      <c r="I10866"/>
      <c r="N10866"/>
      <c r="O10866" s="24"/>
      <c r="P10866"/>
      <c r="Q10866" s="24"/>
      <c r="R10866"/>
      <c r="S10866"/>
      <c r="T10866"/>
      <c r="U10866"/>
      <c r="X10866" s="60"/>
    </row>
    <row r="10867" spans="7:24" ht="15" customHeight="1">
      <c r="G10867"/>
      <c r="I10867"/>
      <c r="N10867"/>
      <c r="O10867" s="24"/>
      <c r="P10867"/>
      <c r="Q10867" s="24"/>
      <c r="R10867"/>
      <c r="S10867"/>
      <c r="T10867"/>
      <c r="U10867"/>
      <c r="X10867" s="60"/>
    </row>
    <row r="10868" spans="7:24" ht="15" customHeight="1">
      <c r="G10868"/>
      <c r="I10868"/>
      <c r="N10868"/>
      <c r="O10868" s="24"/>
      <c r="P10868"/>
      <c r="Q10868" s="24"/>
      <c r="R10868"/>
      <c r="S10868"/>
      <c r="T10868"/>
      <c r="U10868"/>
      <c r="X10868" s="60"/>
    </row>
    <row r="10869" spans="7:24" ht="15" customHeight="1">
      <c r="G10869"/>
      <c r="I10869"/>
      <c r="N10869"/>
      <c r="O10869" s="24"/>
      <c r="P10869"/>
      <c r="Q10869" s="24"/>
      <c r="R10869"/>
      <c r="S10869"/>
      <c r="T10869"/>
      <c r="U10869"/>
      <c r="X10869" s="60"/>
    </row>
    <row r="10870" spans="7:24" ht="15" customHeight="1">
      <c r="G10870"/>
      <c r="I10870"/>
      <c r="N10870"/>
      <c r="O10870" s="24"/>
      <c r="P10870"/>
      <c r="Q10870" s="24"/>
      <c r="R10870"/>
      <c r="S10870"/>
      <c r="T10870"/>
      <c r="U10870"/>
      <c r="X10870" s="60"/>
    </row>
    <row r="10871" spans="7:24" ht="15" customHeight="1">
      <c r="G10871"/>
      <c r="I10871"/>
      <c r="N10871"/>
      <c r="O10871" s="24"/>
      <c r="P10871"/>
      <c r="Q10871" s="24"/>
      <c r="R10871"/>
      <c r="S10871"/>
      <c r="T10871"/>
      <c r="U10871"/>
      <c r="X10871" s="60"/>
    </row>
    <row r="10872" spans="7:24" ht="15" customHeight="1">
      <c r="G10872"/>
      <c r="I10872"/>
      <c r="N10872"/>
      <c r="O10872" s="24"/>
      <c r="P10872"/>
      <c r="Q10872" s="24"/>
      <c r="R10872"/>
      <c r="S10872"/>
      <c r="T10872"/>
      <c r="U10872"/>
      <c r="X10872" s="60"/>
    </row>
    <row r="10873" spans="7:24" ht="15" customHeight="1">
      <c r="G10873"/>
      <c r="I10873"/>
      <c r="N10873"/>
      <c r="O10873" s="24"/>
      <c r="P10873"/>
      <c r="Q10873" s="24"/>
      <c r="R10873"/>
      <c r="S10873"/>
      <c r="T10873"/>
      <c r="U10873"/>
      <c r="X10873" s="60"/>
    </row>
    <row r="10874" spans="7:24" ht="15" customHeight="1">
      <c r="G10874"/>
      <c r="I10874"/>
      <c r="N10874"/>
      <c r="O10874" s="24"/>
      <c r="P10874"/>
      <c r="Q10874" s="24"/>
      <c r="R10874"/>
      <c r="S10874"/>
      <c r="T10874"/>
      <c r="U10874"/>
      <c r="X10874" s="60"/>
    </row>
    <row r="10875" spans="7:24" ht="15" customHeight="1">
      <c r="G10875"/>
      <c r="I10875"/>
      <c r="N10875"/>
      <c r="O10875" s="24"/>
      <c r="P10875"/>
      <c r="Q10875" s="24"/>
      <c r="R10875"/>
      <c r="S10875"/>
      <c r="T10875"/>
      <c r="U10875"/>
      <c r="X10875" s="60"/>
    </row>
    <row r="10876" spans="7:24" ht="15" customHeight="1">
      <c r="G10876"/>
      <c r="I10876"/>
      <c r="N10876"/>
      <c r="O10876" s="24"/>
      <c r="P10876"/>
      <c r="Q10876" s="24"/>
      <c r="R10876"/>
      <c r="S10876"/>
      <c r="T10876"/>
      <c r="U10876"/>
      <c r="X10876" s="60"/>
    </row>
    <row r="10877" spans="7:24" ht="15" customHeight="1">
      <c r="G10877"/>
      <c r="I10877"/>
      <c r="N10877"/>
      <c r="O10877" s="24"/>
      <c r="P10877"/>
      <c r="Q10877" s="24"/>
      <c r="R10877"/>
      <c r="S10877"/>
      <c r="T10877"/>
      <c r="U10877"/>
      <c r="X10877" s="60"/>
    </row>
    <row r="10878" spans="7:24" ht="15" customHeight="1">
      <c r="G10878"/>
      <c r="I10878"/>
      <c r="N10878"/>
      <c r="O10878" s="24"/>
      <c r="P10878"/>
      <c r="Q10878" s="24"/>
      <c r="R10878"/>
      <c r="S10878"/>
      <c r="T10878"/>
      <c r="U10878"/>
      <c r="X10878" s="60"/>
    </row>
    <row r="10879" spans="7:24" ht="15" customHeight="1">
      <c r="G10879"/>
      <c r="I10879"/>
      <c r="N10879"/>
      <c r="O10879" s="24"/>
      <c r="P10879"/>
      <c r="Q10879" s="24"/>
      <c r="R10879"/>
      <c r="S10879"/>
      <c r="T10879"/>
      <c r="U10879"/>
      <c r="X10879" s="60"/>
    </row>
    <row r="10880" spans="7:24" ht="15" customHeight="1">
      <c r="G10880"/>
      <c r="I10880"/>
      <c r="N10880"/>
      <c r="O10880" s="24"/>
      <c r="P10880"/>
      <c r="Q10880" s="24"/>
      <c r="R10880"/>
      <c r="S10880"/>
      <c r="T10880"/>
      <c r="U10880"/>
      <c r="X10880" s="60"/>
    </row>
    <row r="10881" spans="7:24" ht="15" customHeight="1">
      <c r="G10881"/>
      <c r="I10881"/>
      <c r="N10881"/>
      <c r="O10881" s="24"/>
      <c r="P10881"/>
      <c r="Q10881" s="24"/>
      <c r="R10881"/>
      <c r="S10881"/>
      <c r="T10881"/>
      <c r="U10881"/>
      <c r="X10881" s="60"/>
    </row>
    <row r="10882" spans="7:24" ht="15" customHeight="1">
      <c r="G10882"/>
      <c r="I10882"/>
      <c r="N10882"/>
      <c r="O10882" s="24"/>
      <c r="P10882"/>
      <c r="Q10882" s="24"/>
      <c r="R10882"/>
      <c r="S10882"/>
      <c r="T10882"/>
      <c r="U10882"/>
      <c r="X10882" s="60"/>
    </row>
    <row r="10883" spans="7:24" ht="15" customHeight="1">
      <c r="G10883"/>
      <c r="I10883"/>
      <c r="N10883"/>
      <c r="O10883" s="24"/>
      <c r="P10883"/>
      <c r="Q10883" s="24"/>
      <c r="R10883"/>
      <c r="S10883"/>
      <c r="T10883"/>
      <c r="U10883"/>
      <c r="X10883" s="60"/>
    </row>
    <row r="10884" spans="7:24" ht="15" customHeight="1">
      <c r="G10884"/>
      <c r="I10884"/>
      <c r="N10884"/>
      <c r="O10884" s="24"/>
      <c r="P10884"/>
      <c r="Q10884" s="24"/>
      <c r="R10884"/>
      <c r="S10884"/>
      <c r="T10884"/>
      <c r="U10884"/>
      <c r="X10884" s="60"/>
    </row>
    <row r="10885" spans="7:24" ht="15" customHeight="1">
      <c r="G10885"/>
      <c r="I10885"/>
      <c r="N10885"/>
      <c r="O10885" s="24"/>
      <c r="P10885"/>
      <c r="Q10885" s="24"/>
      <c r="R10885"/>
      <c r="S10885"/>
      <c r="T10885"/>
      <c r="U10885"/>
      <c r="X10885" s="60"/>
    </row>
    <row r="10886" spans="7:24" ht="15" customHeight="1">
      <c r="G10886"/>
      <c r="I10886"/>
      <c r="N10886"/>
      <c r="O10886" s="24"/>
      <c r="P10886"/>
      <c r="Q10886" s="24"/>
      <c r="R10886"/>
      <c r="S10886"/>
      <c r="T10886"/>
      <c r="U10886"/>
      <c r="X10886" s="60"/>
    </row>
    <row r="10887" spans="7:24" ht="15" customHeight="1">
      <c r="G10887"/>
      <c r="I10887"/>
      <c r="N10887"/>
      <c r="O10887" s="24"/>
      <c r="P10887"/>
      <c r="Q10887" s="24"/>
      <c r="R10887"/>
      <c r="S10887"/>
      <c r="T10887"/>
      <c r="U10887"/>
      <c r="X10887" s="60"/>
    </row>
    <row r="10888" spans="7:24" ht="15" customHeight="1">
      <c r="G10888"/>
      <c r="I10888"/>
      <c r="N10888"/>
      <c r="O10888" s="24"/>
      <c r="P10888"/>
      <c r="Q10888" s="24"/>
      <c r="R10888"/>
      <c r="S10888"/>
      <c r="T10888"/>
      <c r="U10888"/>
      <c r="X10888" s="60"/>
    </row>
    <row r="10889" spans="7:24" ht="15" customHeight="1">
      <c r="G10889"/>
      <c r="I10889"/>
      <c r="N10889"/>
      <c r="O10889" s="24"/>
      <c r="P10889"/>
      <c r="Q10889" s="24"/>
      <c r="R10889"/>
      <c r="S10889"/>
      <c r="T10889"/>
      <c r="U10889"/>
      <c r="X10889" s="60"/>
    </row>
    <row r="10890" spans="7:24" ht="15" customHeight="1">
      <c r="G10890"/>
      <c r="I10890"/>
      <c r="N10890"/>
      <c r="O10890" s="24"/>
      <c r="P10890"/>
      <c r="Q10890" s="24"/>
      <c r="R10890"/>
      <c r="S10890"/>
      <c r="T10890"/>
      <c r="U10890"/>
      <c r="X10890" s="60"/>
    </row>
    <row r="10891" spans="7:24" ht="15" customHeight="1">
      <c r="G10891"/>
      <c r="I10891"/>
      <c r="N10891"/>
      <c r="O10891" s="24"/>
      <c r="P10891"/>
      <c r="Q10891" s="24"/>
      <c r="R10891"/>
      <c r="S10891"/>
      <c r="T10891"/>
      <c r="U10891"/>
      <c r="X10891" s="60"/>
    </row>
    <row r="10892" spans="7:24" ht="15" customHeight="1">
      <c r="G10892"/>
      <c r="I10892"/>
      <c r="N10892"/>
      <c r="O10892" s="24"/>
      <c r="P10892"/>
      <c r="Q10892" s="24"/>
      <c r="R10892"/>
      <c r="S10892"/>
      <c r="T10892"/>
      <c r="U10892"/>
      <c r="X10892" s="60"/>
    </row>
    <row r="10893" spans="7:24" ht="15" customHeight="1">
      <c r="G10893"/>
      <c r="I10893"/>
      <c r="N10893"/>
      <c r="O10893" s="24"/>
      <c r="P10893"/>
      <c r="Q10893" s="24"/>
      <c r="R10893"/>
      <c r="S10893"/>
      <c r="T10893"/>
      <c r="U10893"/>
      <c r="X10893" s="60"/>
    </row>
    <row r="10894" spans="7:24" ht="15" customHeight="1">
      <c r="G10894"/>
      <c r="I10894"/>
      <c r="N10894"/>
      <c r="O10894" s="24"/>
      <c r="P10894"/>
      <c r="Q10894" s="24"/>
      <c r="R10894"/>
      <c r="S10894"/>
      <c r="T10894"/>
      <c r="U10894"/>
      <c r="X10894" s="60"/>
    </row>
    <row r="10895" spans="7:24" ht="15" customHeight="1">
      <c r="G10895"/>
      <c r="I10895"/>
      <c r="N10895"/>
      <c r="O10895" s="24"/>
      <c r="P10895"/>
      <c r="Q10895" s="24"/>
      <c r="R10895"/>
      <c r="S10895"/>
      <c r="T10895"/>
      <c r="U10895"/>
      <c r="X10895" s="60"/>
    </row>
    <row r="10896" spans="7:24" ht="15" customHeight="1">
      <c r="G10896"/>
      <c r="I10896"/>
      <c r="N10896"/>
      <c r="O10896" s="24"/>
      <c r="P10896"/>
      <c r="Q10896" s="24"/>
      <c r="R10896"/>
      <c r="S10896"/>
      <c r="T10896"/>
      <c r="U10896"/>
      <c r="X10896" s="60"/>
    </row>
    <row r="10897" spans="7:24" ht="15" customHeight="1">
      <c r="G10897"/>
      <c r="I10897"/>
      <c r="N10897"/>
      <c r="O10897" s="24"/>
      <c r="P10897"/>
      <c r="Q10897" s="24"/>
      <c r="R10897"/>
      <c r="S10897"/>
      <c r="T10897"/>
      <c r="U10897"/>
      <c r="X10897" s="60"/>
    </row>
    <row r="10898" spans="7:24" ht="15" customHeight="1">
      <c r="G10898"/>
      <c r="I10898"/>
      <c r="N10898"/>
      <c r="O10898" s="24"/>
      <c r="P10898"/>
      <c r="Q10898" s="24"/>
      <c r="R10898"/>
      <c r="S10898"/>
      <c r="T10898"/>
      <c r="U10898"/>
      <c r="X10898" s="60"/>
    </row>
    <row r="10899" spans="7:24" ht="15" customHeight="1">
      <c r="G10899"/>
      <c r="I10899"/>
      <c r="N10899"/>
      <c r="O10899" s="24"/>
      <c r="P10899"/>
      <c r="Q10899" s="24"/>
      <c r="R10899"/>
      <c r="S10899"/>
      <c r="T10899"/>
      <c r="U10899"/>
      <c r="X10899" s="60"/>
    </row>
    <row r="10900" spans="7:24" ht="15" customHeight="1">
      <c r="G10900"/>
      <c r="I10900"/>
      <c r="N10900"/>
      <c r="O10900" s="24"/>
      <c r="P10900"/>
      <c r="Q10900" s="24"/>
      <c r="R10900"/>
      <c r="S10900"/>
      <c r="T10900"/>
      <c r="U10900"/>
      <c r="X10900" s="60"/>
    </row>
    <row r="10901" spans="7:24" ht="15" customHeight="1">
      <c r="G10901"/>
      <c r="I10901"/>
      <c r="N10901"/>
      <c r="O10901" s="24"/>
      <c r="P10901"/>
      <c r="Q10901" s="24"/>
      <c r="R10901"/>
      <c r="S10901"/>
      <c r="T10901"/>
      <c r="U10901"/>
      <c r="X10901" s="60"/>
    </row>
    <row r="10902" spans="7:24" ht="15" customHeight="1">
      <c r="G10902"/>
      <c r="I10902"/>
      <c r="N10902"/>
      <c r="O10902" s="24"/>
      <c r="P10902"/>
      <c r="Q10902" s="24"/>
      <c r="R10902"/>
      <c r="S10902"/>
      <c r="T10902"/>
      <c r="U10902"/>
      <c r="X10902" s="60"/>
    </row>
    <row r="10903" spans="7:24" ht="15" customHeight="1">
      <c r="G10903"/>
      <c r="I10903"/>
      <c r="N10903"/>
      <c r="O10903" s="24"/>
      <c r="P10903"/>
      <c r="Q10903" s="24"/>
      <c r="R10903"/>
      <c r="S10903"/>
      <c r="T10903"/>
      <c r="U10903"/>
      <c r="X10903" s="60"/>
    </row>
    <row r="10904" spans="7:24" ht="15" customHeight="1">
      <c r="G10904"/>
      <c r="I10904"/>
      <c r="N10904"/>
      <c r="O10904" s="24"/>
      <c r="P10904"/>
      <c r="Q10904" s="24"/>
      <c r="R10904"/>
      <c r="S10904"/>
      <c r="T10904"/>
      <c r="U10904"/>
      <c r="X10904" s="60"/>
    </row>
    <row r="10905" spans="7:24" ht="15" customHeight="1">
      <c r="G10905"/>
      <c r="I10905"/>
      <c r="N10905"/>
      <c r="O10905" s="24"/>
      <c r="P10905"/>
      <c r="Q10905" s="24"/>
      <c r="R10905"/>
      <c r="S10905"/>
      <c r="T10905"/>
      <c r="U10905"/>
      <c r="X10905" s="60"/>
    </row>
    <row r="10906" spans="7:24" ht="15" customHeight="1">
      <c r="G10906"/>
      <c r="I10906"/>
      <c r="N10906"/>
      <c r="O10906" s="24"/>
      <c r="P10906"/>
      <c r="Q10906" s="24"/>
      <c r="R10906"/>
      <c r="S10906"/>
      <c r="T10906"/>
      <c r="U10906"/>
      <c r="X10906" s="60"/>
    </row>
    <row r="10907" spans="7:24" ht="15" customHeight="1">
      <c r="G10907"/>
      <c r="I10907"/>
      <c r="N10907"/>
      <c r="O10907" s="24"/>
      <c r="P10907"/>
      <c r="Q10907" s="24"/>
      <c r="R10907"/>
      <c r="S10907"/>
      <c r="T10907"/>
      <c r="U10907"/>
      <c r="X10907" s="60"/>
    </row>
    <row r="10908" spans="7:24" ht="15" customHeight="1">
      <c r="G10908"/>
      <c r="I10908"/>
      <c r="N10908"/>
      <c r="O10908" s="24"/>
      <c r="P10908"/>
      <c r="Q10908" s="24"/>
      <c r="R10908"/>
      <c r="S10908"/>
      <c r="T10908"/>
      <c r="U10908"/>
      <c r="X10908" s="60"/>
    </row>
    <row r="10909" spans="7:24" ht="15" customHeight="1">
      <c r="G10909"/>
      <c r="I10909"/>
      <c r="N10909"/>
      <c r="O10909" s="24"/>
      <c r="P10909"/>
      <c r="Q10909" s="24"/>
      <c r="R10909"/>
      <c r="S10909"/>
      <c r="T10909"/>
      <c r="U10909"/>
      <c r="X10909" s="60"/>
    </row>
    <row r="10910" spans="7:24" ht="15" customHeight="1">
      <c r="G10910"/>
      <c r="I10910"/>
      <c r="N10910"/>
      <c r="O10910" s="24"/>
      <c r="P10910"/>
      <c r="Q10910" s="24"/>
      <c r="R10910"/>
      <c r="S10910"/>
      <c r="T10910"/>
      <c r="U10910"/>
      <c r="X10910" s="60"/>
    </row>
    <row r="10911" spans="7:24" ht="15" customHeight="1">
      <c r="G10911"/>
      <c r="I10911"/>
      <c r="N10911"/>
      <c r="O10911" s="24"/>
      <c r="P10911"/>
      <c r="Q10911" s="24"/>
      <c r="R10911"/>
      <c r="S10911"/>
      <c r="T10911"/>
      <c r="U10911"/>
      <c r="X10911" s="60"/>
    </row>
    <row r="10912" spans="7:24" ht="15" customHeight="1">
      <c r="G10912"/>
      <c r="I10912"/>
      <c r="N10912"/>
      <c r="O10912" s="24"/>
      <c r="P10912"/>
      <c r="Q10912" s="24"/>
      <c r="R10912"/>
      <c r="S10912"/>
      <c r="T10912"/>
      <c r="U10912"/>
      <c r="X10912" s="60"/>
    </row>
    <row r="10913" spans="7:24" ht="15" customHeight="1">
      <c r="G10913"/>
      <c r="I10913"/>
      <c r="N10913"/>
      <c r="O10913" s="24"/>
      <c r="P10913"/>
      <c r="Q10913" s="24"/>
      <c r="R10913"/>
      <c r="S10913"/>
      <c r="T10913"/>
      <c r="U10913"/>
      <c r="X10913" s="60"/>
    </row>
    <row r="10914" spans="7:24" ht="15" customHeight="1">
      <c r="G10914"/>
      <c r="I10914"/>
      <c r="N10914"/>
      <c r="O10914" s="24"/>
      <c r="P10914"/>
      <c r="Q10914" s="24"/>
      <c r="R10914"/>
      <c r="S10914"/>
      <c r="T10914"/>
      <c r="U10914"/>
      <c r="X10914" s="60"/>
    </row>
    <row r="10915" spans="7:24" ht="15" customHeight="1">
      <c r="G10915"/>
      <c r="I10915"/>
      <c r="N10915"/>
      <c r="O10915" s="24"/>
      <c r="P10915"/>
      <c r="Q10915" s="24"/>
      <c r="R10915"/>
      <c r="S10915"/>
      <c r="T10915"/>
      <c r="U10915"/>
      <c r="X10915" s="60"/>
    </row>
    <row r="10916" spans="7:24" ht="15" customHeight="1">
      <c r="G10916"/>
      <c r="I10916"/>
      <c r="N10916"/>
      <c r="O10916" s="24"/>
      <c r="P10916"/>
      <c r="Q10916" s="24"/>
      <c r="R10916"/>
      <c r="S10916"/>
      <c r="T10916"/>
      <c r="U10916"/>
      <c r="X10916" s="60"/>
    </row>
    <row r="10917" spans="7:24" ht="15" customHeight="1">
      <c r="G10917"/>
      <c r="I10917"/>
      <c r="N10917"/>
      <c r="O10917" s="24"/>
      <c r="P10917"/>
      <c r="Q10917" s="24"/>
      <c r="R10917"/>
      <c r="S10917"/>
      <c r="T10917"/>
      <c r="U10917"/>
      <c r="X10917" s="60"/>
    </row>
    <row r="10918" spans="7:24" ht="15" customHeight="1">
      <c r="G10918"/>
      <c r="I10918"/>
      <c r="N10918"/>
      <c r="O10918" s="24"/>
      <c r="P10918"/>
      <c r="Q10918" s="24"/>
      <c r="R10918"/>
      <c r="S10918"/>
      <c r="T10918"/>
      <c r="U10918"/>
      <c r="X10918" s="60"/>
    </row>
    <row r="10919" spans="7:24" ht="15" customHeight="1">
      <c r="G10919"/>
      <c r="I10919"/>
      <c r="N10919"/>
      <c r="O10919" s="24"/>
      <c r="P10919"/>
      <c r="Q10919" s="24"/>
      <c r="R10919"/>
      <c r="S10919"/>
      <c r="T10919"/>
      <c r="U10919"/>
      <c r="X10919" s="60"/>
    </row>
    <row r="10920" spans="7:24" ht="15" customHeight="1">
      <c r="G10920"/>
      <c r="I10920"/>
      <c r="N10920"/>
      <c r="O10920" s="24"/>
      <c r="P10920"/>
      <c r="Q10920" s="24"/>
      <c r="R10920"/>
      <c r="S10920"/>
      <c r="T10920"/>
      <c r="U10920"/>
      <c r="X10920" s="60"/>
    </row>
    <row r="10921" spans="7:24" ht="15" customHeight="1">
      <c r="G10921"/>
      <c r="I10921"/>
      <c r="N10921"/>
      <c r="O10921" s="24"/>
      <c r="P10921"/>
      <c r="Q10921" s="24"/>
      <c r="R10921"/>
      <c r="S10921"/>
      <c r="T10921"/>
      <c r="U10921"/>
      <c r="X10921" s="60"/>
    </row>
    <row r="10922" spans="7:24" ht="15" customHeight="1">
      <c r="G10922"/>
      <c r="I10922"/>
      <c r="N10922"/>
      <c r="O10922" s="24"/>
      <c r="P10922"/>
      <c r="Q10922" s="24"/>
      <c r="R10922"/>
      <c r="S10922"/>
      <c r="T10922"/>
      <c r="U10922"/>
      <c r="X10922" s="60"/>
    </row>
    <row r="10923" spans="7:24" ht="15" customHeight="1">
      <c r="G10923"/>
      <c r="I10923"/>
      <c r="N10923"/>
      <c r="O10923" s="24"/>
      <c r="P10923"/>
      <c r="Q10923" s="24"/>
      <c r="R10923"/>
      <c r="S10923"/>
      <c r="T10923"/>
      <c r="U10923"/>
      <c r="X10923" s="60"/>
    </row>
    <row r="10924" spans="7:24" ht="15" customHeight="1">
      <c r="G10924"/>
      <c r="I10924"/>
      <c r="N10924"/>
      <c r="O10924" s="24"/>
      <c r="P10924"/>
      <c r="Q10924" s="24"/>
      <c r="R10924"/>
      <c r="S10924"/>
      <c r="T10924"/>
      <c r="U10924"/>
      <c r="X10924" s="60"/>
    </row>
    <row r="10925" spans="7:24" ht="15" customHeight="1">
      <c r="G10925"/>
      <c r="I10925"/>
      <c r="N10925"/>
      <c r="O10925" s="24"/>
      <c r="P10925"/>
      <c r="Q10925" s="24"/>
      <c r="R10925"/>
      <c r="S10925"/>
      <c r="T10925"/>
      <c r="U10925"/>
      <c r="X10925" s="60"/>
    </row>
    <row r="10926" spans="7:24" ht="15" customHeight="1">
      <c r="G10926"/>
      <c r="I10926"/>
      <c r="N10926"/>
      <c r="O10926" s="24"/>
      <c r="P10926"/>
      <c r="Q10926" s="24"/>
      <c r="R10926"/>
      <c r="S10926"/>
      <c r="T10926"/>
      <c r="U10926"/>
      <c r="X10926" s="60"/>
    </row>
    <row r="10927" spans="7:24" ht="15" customHeight="1">
      <c r="G10927"/>
      <c r="I10927"/>
      <c r="N10927"/>
      <c r="O10927" s="24"/>
      <c r="P10927"/>
      <c r="Q10927" s="24"/>
      <c r="R10927"/>
      <c r="S10927"/>
      <c r="T10927"/>
      <c r="U10927"/>
      <c r="X10927" s="60"/>
    </row>
    <row r="10928" spans="7:24" ht="15" customHeight="1">
      <c r="G10928"/>
      <c r="I10928"/>
      <c r="N10928"/>
      <c r="O10928" s="24"/>
      <c r="P10928"/>
      <c r="Q10928" s="24"/>
      <c r="R10928"/>
      <c r="S10928"/>
      <c r="T10928"/>
      <c r="U10928"/>
      <c r="X10928" s="60"/>
    </row>
    <row r="10929" spans="7:24" ht="15" customHeight="1">
      <c r="G10929"/>
      <c r="I10929"/>
      <c r="N10929"/>
      <c r="O10929" s="24"/>
      <c r="P10929"/>
      <c r="Q10929" s="24"/>
      <c r="R10929"/>
      <c r="S10929"/>
      <c r="T10929"/>
      <c r="U10929"/>
      <c r="X10929" s="60"/>
    </row>
    <row r="10930" spans="7:24" ht="15" customHeight="1">
      <c r="G10930"/>
      <c r="I10930"/>
      <c r="N10930"/>
      <c r="O10930" s="24"/>
      <c r="P10930"/>
      <c r="Q10930" s="24"/>
      <c r="R10930"/>
      <c r="S10930"/>
      <c r="T10930"/>
      <c r="U10930"/>
      <c r="X10930" s="60"/>
    </row>
    <row r="10931" spans="7:24" ht="15" customHeight="1">
      <c r="G10931"/>
      <c r="I10931"/>
      <c r="N10931"/>
      <c r="O10931" s="24"/>
      <c r="P10931"/>
      <c r="Q10931" s="24"/>
      <c r="R10931"/>
      <c r="S10931"/>
      <c r="T10931"/>
      <c r="U10931"/>
      <c r="X10931" s="60"/>
    </row>
    <row r="10932" spans="7:24" ht="15" customHeight="1">
      <c r="G10932"/>
      <c r="I10932"/>
      <c r="N10932"/>
      <c r="O10932" s="24"/>
      <c r="P10932"/>
      <c r="Q10932" s="24"/>
      <c r="R10932"/>
      <c r="S10932"/>
      <c r="T10932"/>
      <c r="U10932"/>
      <c r="X10932" s="60"/>
    </row>
    <row r="10933" spans="7:24" ht="15" customHeight="1">
      <c r="G10933"/>
      <c r="I10933"/>
      <c r="N10933"/>
      <c r="O10933" s="24"/>
      <c r="P10933"/>
      <c r="Q10933" s="24"/>
      <c r="R10933"/>
      <c r="S10933"/>
      <c r="T10933"/>
      <c r="U10933"/>
      <c r="X10933" s="60"/>
    </row>
    <row r="10934" spans="7:24" ht="15" customHeight="1">
      <c r="G10934"/>
      <c r="I10934"/>
      <c r="N10934"/>
      <c r="O10934" s="24"/>
      <c r="P10934"/>
      <c r="Q10934" s="24"/>
      <c r="R10934"/>
      <c r="S10934"/>
      <c r="T10934"/>
      <c r="U10934"/>
      <c r="X10934" s="60"/>
    </row>
    <row r="10935" spans="7:24" ht="15" customHeight="1">
      <c r="G10935"/>
      <c r="I10935"/>
      <c r="N10935"/>
      <c r="O10935" s="24"/>
      <c r="P10935"/>
      <c r="Q10935" s="24"/>
      <c r="R10935"/>
      <c r="S10935"/>
      <c r="T10935"/>
      <c r="U10935"/>
      <c r="X10935" s="60"/>
    </row>
    <row r="10936" spans="7:24" ht="15" customHeight="1">
      <c r="G10936"/>
      <c r="I10936"/>
      <c r="N10936"/>
      <c r="O10936" s="24"/>
      <c r="P10936"/>
      <c r="Q10936" s="24"/>
      <c r="R10936"/>
      <c r="S10936"/>
      <c r="T10936"/>
      <c r="U10936"/>
      <c r="X10936" s="60"/>
    </row>
    <row r="10937" spans="7:24" ht="15" customHeight="1">
      <c r="G10937"/>
      <c r="I10937"/>
      <c r="N10937"/>
      <c r="O10937" s="24"/>
      <c r="P10937"/>
      <c r="Q10937" s="24"/>
      <c r="R10937"/>
      <c r="S10937"/>
      <c r="T10937"/>
      <c r="U10937"/>
      <c r="X10937" s="60"/>
    </row>
    <row r="10938" spans="7:24" ht="15" customHeight="1">
      <c r="G10938"/>
      <c r="I10938"/>
      <c r="N10938"/>
      <c r="O10938" s="24"/>
      <c r="P10938"/>
      <c r="Q10938" s="24"/>
      <c r="R10938"/>
      <c r="S10938"/>
      <c r="T10938"/>
      <c r="U10938"/>
      <c r="X10938" s="60"/>
    </row>
    <row r="10939" spans="7:24" ht="15" customHeight="1">
      <c r="G10939"/>
      <c r="I10939"/>
      <c r="N10939"/>
      <c r="O10939" s="24"/>
      <c r="P10939"/>
      <c r="Q10939" s="24"/>
      <c r="R10939"/>
      <c r="S10939"/>
      <c r="T10939"/>
      <c r="U10939"/>
      <c r="X10939" s="60"/>
    </row>
    <row r="10940" spans="7:24" ht="15" customHeight="1">
      <c r="G10940"/>
      <c r="I10940"/>
      <c r="N10940"/>
      <c r="O10940" s="24"/>
      <c r="P10940"/>
      <c r="Q10940" s="24"/>
      <c r="R10940"/>
      <c r="S10940"/>
      <c r="T10940"/>
      <c r="U10940"/>
      <c r="X10940" s="60"/>
    </row>
    <row r="10941" spans="7:24" ht="15" customHeight="1">
      <c r="G10941"/>
      <c r="I10941"/>
      <c r="N10941"/>
      <c r="O10941" s="24"/>
      <c r="P10941"/>
      <c r="Q10941" s="24"/>
      <c r="R10941"/>
      <c r="S10941"/>
      <c r="T10941"/>
      <c r="U10941"/>
      <c r="X10941" s="60"/>
    </row>
    <row r="10942" spans="7:24" ht="15" customHeight="1">
      <c r="G10942"/>
      <c r="I10942"/>
      <c r="N10942"/>
      <c r="O10942" s="24"/>
      <c r="P10942"/>
      <c r="Q10942" s="24"/>
      <c r="R10942"/>
      <c r="S10942"/>
      <c r="T10942"/>
      <c r="U10942"/>
      <c r="X10942" s="60"/>
    </row>
    <row r="10943" spans="7:24" ht="15" customHeight="1">
      <c r="G10943"/>
      <c r="I10943"/>
      <c r="N10943"/>
      <c r="O10943" s="24"/>
      <c r="P10943"/>
      <c r="Q10943" s="24"/>
      <c r="R10943"/>
      <c r="S10943"/>
      <c r="T10943"/>
      <c r="U10943"/>
      <c r="X10943" s="60"/>
    </row>
    <row r="10944" spans="7:24" ht="15" customHeight="1">
      <c r="G10944"/>
      <c r="I10944"/>
      <c r="N10944"/>
      <c r="O10944" s="24"/>
      <c r="P10944"/>
      <c r="Q10944" s="24"/>
      <c r="R10944"/>
      <c r="S10944"/>
      <c r="T10944"/>
      <c r="U10944"/>
      <c r="X10944" s="60"/>
    </row>
    <row r="10945" spans="7:24" ht="15" customHeight="1">
      <c r="G10945"/>
      <c r="I10945"/>
      <c r="N10945"/>
      <c r="O10945" s="24"/>
      <c r="P10945"/>
      <c r="Q10945" s="24"/>
      <c r="R10945"/>
      <c r="S10945"/>
      <c r="T10945"/>
      <c r="U10945"/>
      <c r="X10945" s="60"/>
    </row>
    <row r="10946" spans="7:24" ht="15" customHeight="1">
      <c r="G10946"/>
      <c r="I10946"/>
      <c r="N10946"/>
      <c r="O10946" s="24"/>
      <c r="P10946"/>
      <c r="Q10946" s="24"/>
      <c r="R10946"/>
      <c r="S10946"/>
      <c r="T10946"/>
      <c r="U10946"/>
      <c r="X10946" s="60"/>
    </row>
    <row r="10947" spans="7:24" ht="15" customHeight="1">
      <c r="G10947"/>
      <c r="I10947"/>
      <c r="N10947"/>
      <c r="O10947" s="24"/>
      <c r="P10947"/>
      <c r="Q10947" s="24"/>
      <c r="R10947"/>
      <c r="S10947"/>
      <c r="T10947"/>
      <c r="U10947"/>
      <c r="X10947" s="60"/>
    </row>
    <row r="10948" spans="7:24" ht="15" customHeight="1">
      <c r="G10948"/>
      <c r="I10948"/>
      <c r="N10948"/>
      <c r="O10948" s="24"/>
      <c r="P10948"/>
      <c r="Q10948" s="24"/>
      <c r="R10948"/>
      <c r="S10948"/>
      <c r="T10948"/>
      <c r="U10948"/>
      <c r="X10948" s="60"/>
    </row>
    <row r="10949" spans="7:24" ht="15" customHeight="1">
      <c r="G10949"/>
      <c r="I10949"/>
      <c r="N10949"/>
      <c r="O10949" s="24"/>
      <c r="P10949"/>
      <c r="Q10949" s="24"/>
      <c r="R10949"/>
      <c r="S10949"/>
      <c r="T10949"/>
      <c r="U10949"/>
      <c r="X10949" s="60"/>
    </row>
    <row r="10950" spans="7:24" ht="15" customHeight="1">
      <c r="G10950"/>
      <c r="I10950"/>
      <c r="N10950"/>
      <c r="O10950" s="24"/>
      <c r="P10950"/>
      <c r="Q10950" s="24"/>
      <c r="R10950"/>
      <c r="S10950"/>
      <c r="T10950"/>
      <c r="U10950"/>
      <c r="X10950" s="60"/>
    </row>
    <row r="10951" spans="7:24" ht="15" customHeight="1">
      <c r="G10951"/>
      <c r="I10951"/>
      <c r="N10951"/>
      <c r="O10951" s="24"/>
      <c r="P10951"/>
      <c r="Q10951" s="24"/>
      <c r="R10951"/>
      <c r="S10951"/>
      <c r="T10951"/>
      <c r="U10951"/>
      <c r="X10951" s="60"/>
    </row>
    <row r="10952" spans="7:24" ht="15" customHeight="1">
      <c r="G10952"/>
      <c r="I10952"/>
      <c r="N10952"/>
      <c r="O10952" s="24"/>
      <c r="P10952"/>
      <c r="Q10952" s="24"/>
      <c r="R10952"/>
      <c r="S10952"/>
      <c r="T10952"/>
      <c r="U10952"/>
      <c r="X10952" s="60"/>
    </row>
    <row r="10953" spans="7:24" ht="15" customHeight="1">
      <c r="G10953"/>
      <c r="I10953"/>
      <c r="N10953"/>
      <c r="O10953" s="24"/>
      <c r="P10953"/>
      <c r="Q10953" s="24"/>
      <c r="R10953"/>
      <c r="S10953"/>
      <c r="T10953"/>
      <c r="U10953"/>
      <c r="X10953" s="60"/>
    </row>
    <row r="10954" spans="7:24" ht="15" customHeight="1">
      <c r="G10954"/>
      <c r="I10954"/>
      <c r="N10954"/>
      <c r="O10954" s="24"/>
      <c r="P10954"/>
      <c r="Q10954" s="24"/>
      <c r="R10954"/>
      <c r="S10954"/>
      <c r="T10954"/>
      <c r="U10954"/>
      <c r="X10954" s="60"/>
    </row>
    <row r="10955" spans="7:24" ht="15" customHeight="1">
      <c r="G10955"/>
      <c r="I10955"/>
      <c r="N10955"/>
      <c r="O10955" s="24"/>
      <c r="P10955"/>
      <c r="Q10955" s="24"/>
      <c r="R10955"/>
      <c r="S10955"/>
      <c r="T10955"/>
      <c r="U10955"/>
      <c r="X10955" s="60"/>
    </row>
    <row r="10956" spans="7:24" ht="15" customHeight="1">
      <c r="G10956"/>
      <c r="I10956"/>
      <c r="N10956"/>
      <c r="O10956" s="24"/>
      <c r="P10956"/>
      <c r="Q10956" s="24"/>
      <c r="R10956"/>
      <c r="S10956"/>
      <c r="T10956"/>
      <c r="U10956"/>
      <c r="X10956" s="60"/>
    </row>
    <row r="10957" spans="7:24" ht="15" customHeight="1">
      <c r="G10957"/>
      <c r="I10957"/>
      <c r="N10957"/>
      <c r="O10957" s="24"/>
      <c r="P10957"/>
      <c r="Q10957" s="24"/>
      <c r="R10957"/>
      <c r="S10957"/>
      <c r="T10957"/>
      <c r="U10957"/>
      <c r="X10957" s="60"/>
    </row>
    <row r="10958" spans="7:24" ht="15" customHeight="1">
      <c r="G10958"/>
      <c r="I10958"/>
      <c r="N10958"/>
      <c r="O10958" s="24"/>
      <c r="P10958"/>
      <c r="Q10958" s="24"/>
      <c r="R10958"/>
      <c r="S10958"/>
      <c r="T10958"/>
      <c r="U10958"/>
      <c r="X10958" s="60"/>
    </row>
    <row r="10959" spans="7:24" ht="15" customHeight="1">
      <c r="G10959"/>
      <c r="I10959"/>
      <c r="N10959"/>
      <c r="O10959" s="24"/>
      <c r="P10959"/>
      <c r="Q10959" s="24"/>
      <c r="R10959"/>
      <c r="S10959"/>
      <c r="T10959"/>
      <c r="U10959"/>
      <c r="X10959" s="60"/>
    </row>
    <row r="10960" spans="7:24" ht="15" customHeight="1">
      <c r="G10960"/>
      <c r="I10960"/>
      <c r="N10960"/>
      <c r="O10960" s="24"/>
      <c r="P10960"/>
      <c r="Q10960" s="24"/>
      <c r="R10960"/>
      <c r="S10960"/>
      <c r="T10960"/>
      <c r="U10960"/>
      <c r="X10960" s="60"/>
    </row>
    <row r="10961" spans="7:24" ht="15" customHeight="1">
      <c r="G10961"/>
      <c r="I10961"/>
      <c r="N10961"/>
      <c r="O10961" s="24"/>
      <c r="P10961"/>
      <c r="Q10961" s="24"/>
      <c r="R10961"/>
      <c r="S10961"/>
      <c r="T10961"/>
      <c r="U10961"/>
      <c r="X10961" s="60"/>
    </row>
    <row r="10962" spans="7:24" ht="15" customHeight="1">
      <c r="G10962"/>
      <c r="I10962"/>
      <c r="N10962"/>
      <c r="O10962" s="24"/>
      <c r="P10962"/>
      <c r="Q10962" s="24"/>
      <c r="R10962"/>
      <c r="S10962"/>
      <c r="T10962"/>
      <c r="U10962"/>
      <c r="X10962" s="60"/>
    </row>
    <row r="10963" spans="7:24" ht="15" customHeight="1">
      <c r="G10963"/>
      <c r="I10963"/>
      <c r="N10963"/>
      <c r="O10963" s="24"/>
      <c r="P10963"/>
      <c r="Q10963" s="24"/>
      <c r="R10963"/>
      <c r="S10963"/>
      <c r="T10963"/>
      <c r="U10963"/>
      <c r="X10963" s="60"/>
    </row>
    <row r="10964" spans="7:24" ht="15" customHeight="1">
      <c r="G10964"/>
      <c r="I10964"/>
      <c r="N10964"/>
      <c r="O10964" s="24"/>
      <c r="P10964"/>
      <c r="Q10964" s="24"/>
      <c r="R10964"/>
      <c r="S10964"/>
      <c r="T10964"/>
      <c r="U10964"/>
      <c r="X10964" s="60"/>
    </row>
    <row r="10965" spans="7:24" ht="15" customHeight="1">
      <c r="G10965"/>
      <c r="I10965"/>
      <c r="N10965"/>
      <c r="O10965" s="24"/>
      <c r="P10965"/>
      <c r="Q10965" s="24"/>
      <c r="R10965"/>
      <c r="S10965"/>
      <c r="T10965"/>
      <c r="U10965"/>
      <c r="X10965" s="60"/>
    </row>
    <row r="10966" spans="7:24" ht="15" customHeight="1">
      <c r="G10966"/>
      <c r="I10966"/>
      <c r="N10966"/>
      <c r="O10966" s="24"/>
      <c r="P10966"/>
      <c r="Q10966" s="24"/>
      <c r="R10966"/>
      <c r="S10966"/>
      <c r="T10966"/>
      <c r="U10966"/>
      <c r="X10966" s="60"/>
    </row>
    <row r="10967" spans="7:24" ht="15" customHeight="1">
      <c r="G10967"/>
      <c r="I10967"/>
      <c r="N10967"/>
      <c r="O10967" s="24"/>
      <c r="P10967"/>
      <c r="Q10967" s="24"/>
      <c r="R10967"/>
      <c r="S10967"/>
      <c r="T10967"/>
      <c r="U10967"/>
      <c r="X10967" s="60"/>
    </row>
    <row r="10968" spans="7:24" ht="15" customHeight="1">
      <c r="G10968"/>
      <c r="I10968"/>
      <c r="N10968"/>
      <c r="O10968" s="24"/>
      <c r="P10968"/>
      <c r="Q10968" s="24"/>
      <c r="R10968"/>
      <c r="S10968"/>
      <c r="T10968"/>
      <c r="U10968"/>
      <c r="X10968" s="60"/>
    </row>
    <row r="10969" spans="7:24" ht="15" customHeight="1">
      <c r="G10969"/>
      <c r="I10969"/>
      <c r="N10969"/>
      <c r="O10969" s="24"/>
      <c r="P10969"/>
      <c r="Q10969" s="24"/>
      <c r="R10969"/>
      <c r="S10969"/>
      <c r="T10969"/>
      <c r="U10969"/>
      <c r="X10969" s="60"/>
    </row>
    <row r="10970" spans="7:24" ht="15" customHeight="1">
      <c r="G10970"/>
      <c r="I10970"/>
      <c r="N10970"/>
      <c r="O10970" s="24"/>
      <c r="P10970"/>
      <c r="Q10970" s="24"/>
      <c r="R10970"/>
      <c r="S10970"/>
      <c r="T10970"/>
      <c r="U10970"/>
      <c r="X10970" s="60"/>
    </row>
    <row r="10971" spans="7:24" ht="15" customHeight="1">
      <c r="G10971"/>
      <c r="I10971"/>
      <c r="N10971"/>
      <c r="O10971" s="24"/>
      <c r="P10971"/>
      <c r="Q10971" s="24"/>
      <c r="R10971"/>
      <c r="S10971"/>
      <c r="T10971"/>
      <c r="U10971"/>
      <c r="X10971" s="60"/>
    </row>
    <row r="10972" spans="7:24" ht="15" customHeight="1">
      <c r="G10972"/>
      <c r="I10972"/>
      <c r="N10972"/>
      <c r="O10972" s="24"/>
      <c r="P10972"/>
      <c r="Q10972" s="24"/>
      <c r="R10972"/>
      <c r="S10972"/>
      <c r="T10972"/>
      <c r="U10972"/>
      <c r="X10972" s="60"/>
    </row>
    <row r="10973" spans="7:24" ht="15" customHeight="1">
      <c r="G10973"/>
      <c r="I10973"/>
      <c r="N10973"/>
      <c r="O10973" s="24"/>
      <c r="P10973"/>
      <c r="Q10973" s="24"/>
      <c r="R10973"/>
      <c r="S10973"/>
      <c r="T10973"/>
      <c r="U10973"/>
      <c r="X10973" s="60"/>
    </row>
    <row r="10974" spans="7:24" ht="15" customHeight="1">
      <c r="G10974"/>
      <c r="I10974"/>
      <c r="N10974"/>
      <c r="O10974" s="24"/>
      <c r="P10974"/>
      <c r="Q10974" s="24"/>
      <c r="R10974"/>
      <c r="S10974"/>
      <c r="T10974"/>
      <c r="U10974"/>
      <c r="X10974" s="60"/>
    </row>
    <row r="10975" spans="7:24" ht="15" customHeight="1">
      <c r="G10975"/>
      <c r="I10975"/>
      <c r="N10975"/>
      <c r="O10975" s="24"/>
      <c r="P10975"/>
      <c r="Q10975" s="24"/>
      <c r="R10975"/>
      <c r="S10975"/>
      <c r="T10975"/>
      <c r="U10975"/>
      <c r="X10975" s="60"/>
    </row>
    <row r="10976" spans="7:24" ht="15" customHeight="1">
      <c r="G10976"/>
      <c r="I10976"/>
      <c r="N10976"/>
      <c r="O10976" s="24"/>
      <c r="P10976"/>
      <c r="Q10976" s="24"/>
      <c r="R10976"/>
      <c r="S10976"/>
      <c r="T10976"/>
      <c r="U10976"/>
      <c r="X10976" s="60"/>
    </row>
    <row r="10977" spans="7:24" ht="15" customHeight="1">
      <c r="G10977"/>
      <c r="I10977"/>
      <c r="N10977"/>
      <c r="O10977" s="24"/>
      <c r="P10977"/>
      <c r="Q10977" s="24"/>
      <c r="R10977"/>
      <c r="S10977"/>
      <c r="T10977"/>
      <c r="U10977"/>
      <c r="X10977" s="60"/>
    </row>
    <row r="10978" spans="7:24" ht="15" customHeight="1">
      <c r="G10978"/>
      <c r="I10978"/>
      <c r="N10978"/>
      <c r="O10978" s="24"/>
      <c r="P10978"/>
      <c r="Q10978" s="24"/>
      <c r="R10978"/>
      <c r="S10978"/>
      <c r="T10978"/>
      <c r="U10978"/>
      <c r="X10978" s="60"/>
    </row>
    <row r="10979" spans="7:24" ht="15" customHeight="1">
      <c r="G10979"/>
      <c r="I10979"/>
      <c r="N10979"/>
      <c r="O10979" s="24"/>
      <c r="P10979"/>
      <c r="Q10979" s="24"/>
      <c r="R10979"/>
      <c r="S10979"/>
      <c r="T10979"/>
      <c r="U10979"/>
      <c r="X10979" s="60"/>
    </row>
    <row r="10980" spans="7:24" ht="15" customHeight="1">
      <c r="G10980"/>
      <c r="I10980"/>
      <c r="N10980"/>
      <c r="O10980" s="24"/>
      <c r="P10980"/>
      <c r="Q10980" s="24"/>
      <c r="R10980"/>
      <c r="S10980"/>
      <c r="T10980"/>
      <c r="U10980"/>
      <c r="X10980" s="60"/>
    </row>
    <row r="10981" spans="7:24" ht="15" customHeight="1">
      <c r="G10981"/>
      <c r="I10981"/>
      <c r="N10981"/>
      <c r="O10981" s="24"/>
      <c r="P10981"/>
      <c r="Q10981" s="24"/>
      <c r="R10981"/>
      <c r="S10981"/>
      <c r="T10981"/>
      <c r="U10981"/>
      <c r="X10981" s="60"/>
    </row>
    <row r="10982" spans="7:24" ht="15" customHeight="1">
      <c r="G10982"/>
      <c r="I10982"/>
      <c r="N10982"/>
      <c r="O10982" s="24"/>
      <c r="P10982"/>
      <c r="Q10982" s="24"/>
      <c r="R10982"/>
      <c r="S10982"/>
      <c r="T10982"/>
      <c r="U10982"/>
      <c r="X10982" s="60"/>
    </row>
    <row r="10983" spans="7:24" ht="15" customHeight="1">
      <c r="G10983"/>
      <c r="I10983"/>
      <c r="N10983"/>
      <c r="O10983" s="24"/>
      <c r="P10983"/>
      <c r="Q10983" s="24"/>
      <c r="R10983"/>
      <c r="S10983"/>
      <c r="T10983"/>
      <c r="U10983"/>
      <c r="X10983" s="60"/>
    </row>
    <row r="10984" spans="7:24" ht="15" customHeight="1">
      <c r="G10984"/>
      <c r="I10984"/>
      <c r="N10984"/>
      <c r="O10984" s="24"/>
      <c r="P10984"/>
      <c r="Q10984" s="24"/>
      <c r="R10984"/>
      <c r="S10984"/>
      <c r="T10984"/>
      <c r="U10984"/>
      <c r="X10984" s="60"/>
    </row>
    <row r="10985" spans="7:24" ht="15" customHeight="1">
      <c r="G10985"/>
      <c r="I10985"/>
      <c r="N10985"/>
      <c r="O10985" s="24"/>
      <c r="P10985"/>
      <c r="Q10985" s="24"/>
      <c r="R10985"/>
      <c r="S10985"/>
      <c r="T10985"/>
      <c r="U10985"/>
      <c r="X10985" s="60"/>
    </row>
    <row r="10986" spans="7:24" ht="15" customHeight="1">
      <c r="G10986"/>
      <c r="I10986"/>
      <c r="N10986"/>
      <c r="O10986" s="24"/>
      <c r="P10986"/>
      <c r="Q10986" s="24"/>
      <c r="R10986"/>
      <c r="S10986"/>
      <c r="T10986"/>
      <c r="U10986"/>
      <c r="X10986" s="60"/>
    </row>
    <row r="10987" spans="7:24" ht="15" customHeight="1">
      <c r="G10987"/>
      <c r="I10987"/>
      <c r="N10987"/>
      <c r="O10987" s="24"/>
      <c r="P10987"/>
      <c r="Q10987" s="24"/>
      <c r="R10987"/>
      <c r="S10987"/>
      <c r="T10987"/>
      <c r="U10987"/>
      <c r="X10987" s="60"/>
    </row>
    <row r="10988" spans="7:24" ht="15" customHeight="1">
      <c r="G10988"/>
      <c r="I10988"/>
      <c r="N10988"/>
      <c r="O10988" s="24"/>
      <c r="P10988"/>
      <c r="Q10988" s="24"/>
      <c r="R10988"/>
      <c r="S10988"/>
      <c r="T10988"/>
      <c r="U10988"/>
      <c r="X10988" s="60"/>
    </row>
    <row r="10989" spans="7:24" ht="15" customHeight="1">
      <c r="G10989"/>
      <c r="I10989"/>
      <c r="N10989"/>
      <c r="O10989" s="24"/>
      <c r="P10989"/>
      <c r="Q10989" s="24"/>
      <c r="R10989"/>
      <c r="S10989"/>
      <c r="T10989"/>
      <c r="U10989"/>
      <c r="X10989" s="60"/>
    </row>
    <row r="10990" spans="7:24" ht="15" customHeight="1">
      <c r="G10990"/>
      <c r="I10990"/>
      <c r="N10990"/>
      <c r="O10990" s="24"/>
      <c r="P10990"/>
      <c r="Q10990" s="24"/>
      <c r="R10990"/>
      <c r="S10990"/>
      <c r="T10990"/>
      <c r="U10990"/>
      <c r="X10990" s="60"/>
    </row>
    <row r="10991" spans="7:24" ht="15" customHeight="1">
      <c r="G10991"/>
      <c r="I10991"/>
      <c r="N10991"/>
      <c r="O10991" s="24"/>
      <c r="P10991"/>
      <c r="Q10991" s="24"/>
      <c r="R10991"/>
      <c r="S10991"/>
      <c r="T10991"/>
      <c r="U10991"/>
      <c r="X10991" s="60"/>
    </row>
    <row r="10992" spans="7:24" ht="15" customHeight="1">
      <c r="G10992"/>
      <c r="I10992"/>
      <c r="N10992"/>
      <c r="O10992" s="24"/>
      <c r="P10992"/>
      <c r="Q10992" s="24"/>
      <c r="R10992"/>
      <c r="S10992"/>
      <c r="T10992"/>
      <c r="U10992"/>
      <c r="X10992" s="60"/>
    </row>
    <row r="10993" spans="7:24" ht="15" customHeight="1">
      <c r="G10993"/>
      <c r="I10993"/>
      <c r="N10993"/>
      <c r="O10993" s="24"/>
      <c r="P10993"/>
      <c r="Q10993" s="24"/>
      <c r="R10993"/>
      <c r="S10993"/>
      <c r="T10993"/>
      <c r="U10993"/>
      <c r="X10993" s="60"/>
    </row>
    <row r="10994" spans="7:24" ht="15" customHeight="1">
      <c r="G10994"/>
      <c r="I10994"/>
      <c r="N10994"/>
      <c r="O10994" s="24"/>
      <c r="P10994"/>
      <c r="Q10994" s="24"/>
      <c r="R10994"/>
      <c r="S10994"/>
      <c r="T10994"/>
      <c r="U10994"/>
      <c r="X10994" s="60"/>
    </row>
    <row r="10995" spans="7:24" ht="15" customHeight="1">
      <c r="G10995"/>
      <c r="I10995"/>
      <c r="N10995"/>
      <c r="O10995" s="24"/>
      <c r="P10995"/>
      <c r="Q10995" s="24"/>
      <c r="R10995"/>
      <c r="S10995"/>
      <c r="T10995"/>
      <c r="U10995"/>
      <c r="X10995" s="60"/>
    </row>
    <row r="10996" spans="7:24" ht="15" customHeight="1">
      <c r="G10996"/>
      <c r="I10996"/>
      <c r="N10996"/>
      <c r="O10996" s="24"/>
      <c r="P10996"/>
      <c r="Q10996" s="24"/>
      <c r="R10996"/>
      <c r="S10996"/>
      <c r="T10996"/>
      <c r="U10996"/>
      <c r="X10996" s="60"/>
    </row>
    <row r="10997" spans="7:24" ht="15" customHeight="1">
      <c r="G10997"/>
      <c r="I10997"/>
      <c r="N10997"/>
      <c r="O10997" s="24"/>
      <c r="P10997"/>
      <c r="Q10997" s="24"/>
      <c r="R10997"/>
      <c r="S10997"/>
      <c r="T10997"/>
      <c r="U10997"/>
      <c r="X10997" s="60"/>
    </row>
    <row r="10998" spans="7:24" ht="15" customHeight="1">
      <c r="G10998"/>
      <c r="I10998"/>
      <c r="N10998"/>
      <c r="O10998" s="24"/>
      <c r="P10998"/>
      <c r="Q10998" s="24"/>
      <c r="R10998"/>
      <c r="S10998"/>
      <c r="T10998"/>
      <c r="U10998"/>
      <c r="X10998" s="60"/>
    </row>
    <row r="10999" spans="7:24" ht="15" customHeight="1">
      <c r="G10999"/>
      <c r="I10999"/>
      <c r="N10999"/>
      <c r="O10999" s="24"/>
      <c r="P10999"/>
      <c r="Q10999" s="24"/>
      <c r="R10999"/>
      <c r="S10999"/>
      <c r="T10999"/>
      <c r="U10999"/>
      <c r="X10999" s="60"/>
    </row>
    <row r="11000" spans="7:24" ht="15" customHeight="1">
      <c r="G11000"/>
      <c r="I11000"/>
      <c r="N11000"/>
      <c r="O11000" s="24"/>
      <c r="P11000"/>
      <c r="Q11000" s="24"/>
      <c r="R11000"/>
      <c r="S11000"/>
      <c r="T11000"/>
      <c r="U11000"/>
      <c r="X11000" s="60"/>
    </row>
    <row r="11001" spans="7:24" ht="15" customHeight="1">
      <c r="G11001"/>
      <c r="I11001"/>
      <c r="N11001"/>
      <c r="O11001" s="24"/>
      <c r="P11001"/>
      <c r="Q11001" s="24"/>
      <c r="R11001"/>
      <c r="S11001"/>
      <c r="T11001"/>
      <c r="U11001"/>
      <c r="X11001" s="60"/>
    </row>
    <row r="11002" spans="7:24" ht="15" customHeight="1">
      <c r="G11002"/>
      <c r="I11002"/>
      <c r="N11002"/>
      <c r="O11002" s="24"/>
      <c r="P11002"/>
      <c r="Q11002" s="24"/>
      <c r="R11002"/>
      <c r="S11002"/>
      <c r="T11002"/>
      <c r="U11002"/>
      <c r="X11002" s="60"/>
    </row>
    <row r="11003" spans="7:24" ht="15" customHeight="1">
      <c r="G11003"/>
      <c r="I11003"/>
      <c r="N11003"/>
      <c r="O11003" s="24"/>
      <c r="P11003"/>
      <c r="Q11003" s="24"/>
      <c r="R11003"/>
      <c r="S11003"/>
      <c r="T11003"/>
      <c r="U11003"/>
      <c r="X11003" s="60"/>
    </row>
    <row r="11004" spans="7:24" ht="15" customHeight="1">
      <c r="G11004"/>
      <c r="I11004"/>
      <c r="N11004"/>
      <c r="O11004" s="24"/>
      <c r="P11004"/>
      <c r="Q11004" s="24"/>
      <c r="R11004"/>
      <c r="S11004"/>
      <c r="T11004"/>
      <c r="U11004"/>
      <c r="X11004" s="60"/>
    </row>
    <row r="11005" spans="7:24" ht="15" customHeight="1">
      <c r="G11005"/>
      <c r="I11005"/>
      <c r="N11005"/>
      <c r="O11005" s="24"/>
      <c r="P11005"/>
      <c r="Q11005" s="24"/>
      <c r="R11005"/>
      <c r="S11005"/>
      <c r="T11005"/>
      <c r="U11005"/>
      <c r="X11005" s="60"/>
    </row>
    <row r="11006" spans="7:24" ht="15" customHeight="1">
      <c r="G11006"/>
      <c r="I11006"/>
      <c r="N11006"/>
      <c r="O11006" s="24"/>
      <c r="P11006"/>
      <c r="Q11006" s="24"/>
      <c r="R11006"/>
      <c r="S11006"/>
      <c r="T11006"/>
      <c r="U11006"/>
      <c r="X11006" s="60"/>
    </row>
    <row r="11007" spans="7:24" ht="15" customHeight="1">
      <c r="G11007"/>
      <c r="I11007"/>
      <c r="N11007"/>
      <c r="O11007" s="24"/>
      <c r="P11007"/>
      <c r="Q11007" s="24"/>
      <c r="R11007"/>
      <c r="S11007"/>
      <c r="T11007"/>
      <c r="U11007"/>
      <c r="X11007" s="60"/>
    </row>
    <row r="11008" spans="7:24" ht="15" customHeight="1">
      <c r="G11008"/>
      <c r="I11008"/>
      <c r="N11008"/>
      <c r="O11008" s="24"/>
      <c r="P11008"/>
      <c r="Q11008" s="24"/>
      <c r="R11008"/>
      <c r="S11008"/>
      <c r="T11008"/>
      <c r="U11008"/>
      <c r="X11008" s="60"/>
    </row>
    <row r="11009" spans="7:24" ht="15" customHeight="1">
      <c r="G11009"/>
      <c r="I11009"/>
      <c r="N11009"/>
      <c r="O11009" s="24"/>
      <c r="P11009"/>
      <c r="Q11009" s="24"/>
      <c r="R11009"/>
      <c r="S11009"/>
      <c r="T11009"/>
      <c r="U11009"/>
      <c r="X11009" s="60"/>
    </row>
    <row r="11010" spans="7:24" ht="15" customHeight="1">
      <c r="G11010"/>
      <c r="I11010"/>
      <c r="N11010"/>
      <c r="O11010" s="24"/>
      <c r="P11010"/>
      <c r="Q11010" s="24"/>
      <c r="R11010"/>
      <c r="S11010"/>
      <c r="T11010"/>
      <c r="U11010"/>
      <c r="X11010" s="60"/>
    </row>
    <row r="11011" spans="7:24" ht="15" customHeight="1">
      <c r="G11011"/>
      <c r="I11011"/>
      <c r="N11011"/>
      <c r="O11011" s="24"/>
      <c r="P11011"/>
      <c r="Q11011" s="24"/>
      <c r="R11011"/>
      <c r="S11011"/>
      <c r="T11011"/>
      <c r="U11011"/>
      <c r="X11011" s="60"/>
    </row>
    <row r="11012" spans="7:24" ht="15" customHeight="1">
      <c r="G11012"/>
      <c r="I11012"/>
      <c r="N11012"/>
      <c r="O11012" s="24"/>
      <c r="P11012"/>
      <c r="Q11012" s="24"/>
      <c r="R11012"/>
      <c r="S11012"/>
      <c r="T11012"/>
      <c r="U11012"/>
      <c r="X11012" s="60"/>
    </row>
    <row r="11013" spans="7:24" ht="15" customHeight="1">
      <c r="G11013"/>
      <c r="I11013"/>
      <c r="N11013"/>
      <c r="O11013" s="24"/>
      <c r="P11013"/>
      <c r="Q11013" s="24"/>
      <c r="R11013"/>
      <c r="S11013"/>
      <c r="T11013"/>
      <c r="U11013"/>
      <c r="X11013" s="60"/>
    </row>
    <row r="11014" spans="7:24" ht="15" customHeight="1">
      <c r="G11014"/>
      <c r="I11014"/>
      <c r="N11014"/>
      <c r="O11014" s="24"/>
      <c r="P11014"/>
      <c r="Q11014" s="24"/>
      <c r="R11014"/>
      <c r="S11014"/>
      <c r="T11014"/>
      <c r="U11014"/>
      <c r="X11014" s="60"/>
    </row>
    <row r="11015" spans="7:24" ht="15" customHeight="1">
      <c r="G11015"/>
      <c r="I11015"/>
      <c r="N11015"/>
      <c r="O11015" s="24"/>
      <c r="P11015"/>
      <c r="Q11015" s="24"/>
      <c r="R11015"/>
      <c r="S11015"/>
      <c r="T11015"/>
      <c r="U11015"/>
      <c r="X11015" s="60"/>
    </row>
    <row r="11016" spans="7:24" ht="15" customHeight="1">
      <c r="G11016"/>
      <c r="I11016"/>
      <c r="N11016"/>
      <c r="O11016" s="24"/>
      <c r="P11016"/>
      <c r="Q11016" s="24"/>
      <c r="R11016"/>
      <c r="S11016"/>
      <c r="T11016"/>
      <c r="U11016"/>
      <c r="X11016" s="60"/>
    </row>
    <row r="11017" spans="7:24" ht="15" customHeight="1">
      <c r="G11017"/>
      <c r="I11017"/>
      <c r="N11017"/>
      <c r="O11017" s="24"/>
      <c r="P11017"/>
      <c r="Q11017" s="24"/>
      <c r="R11017"/>
      <c r="S11017"/>
      <c r="T11017"/>
      <c r="U11017"/>
      <c r="X11017" s="60"/>
    </row>
    <row r="11018" spans="7:24" ht="15" customHeight="1">
      <c r="G11018"/>
      <c r="I11018"/>
      <c r="N11018"/>
      <c r="O11018" s="24"/>
      <c r="P11018"/>
      <c r="Q11018" s="24"/>
      <c r="R11018"/>
      <c r="S11018"/>
      <c r="T11018"/>
      <c r="U11018"/>
      <c r="X11018" s="60"/>
    </row>
    <row r="11019" spans="7:24" ht="15" customHeight="1">
      <c r="G11019"/>
      <c r="I11019"/>
      <c r="N11019"/>
      <c r="O11019" s="24"/>
      <c r="P11019"/>
      <c r="Q11019" s="24"/>
      <c r="R11019"/>
      <c r="S11019"/>
      <c r="T11019"/>
      <c r="U11019"/>
      <c r="X11019" s="60"/>
    </row>
    <row r="11020" spans="7:24" ht="15" customHeight="1">
      <c r="G11020"/>
      <c r="I11020"/>
      <c r="N11020"/>
      <c r="O11020" s="24"/>
      <c r="P11020"/>
      <c r="Q11020" s="24"/>
      <c r="R11020"/>
      <c r="S11020"/>
      <c r="T11020"/>
      <c r="U11020"/>
      <c r="X11020" s="60"/>
    </row>
    <row r="11021" spans="7:24" ht="15" customHeight="1">
      <c r="G11021"/>
      <c r="I11021"/>
      <c r="N11021"/>
      <c r="O11021" s="24"/>
      <c r="P11021"/>
      <c r="Q11021" s="24"/>
      <c r="R11021"/>
      <c r="S11021"/>
      <c r="T11021"/>
      <c r="U11021"/>
      <c r="X11021" s="60"/>
    </row>
    <row r="11022" spans="7:24" ht="15" customHeight="1">
      <c r="G11022"/>
      <c r="I11022"/>
      <c r="N11022"/>
      <c r="O11022" s="24"/>
      <c r="P11022"/>
      <c r="Q11022" s="24"/>
      <c r="R11022"/>
      <c r="S11022"/>
      <c r="T11022"/>
      <c r="U11022"/>
      <c r="X11022" s="60"/>
    </row>
    <row r="11023" spans="7:24" ht="15" customHeight="1">
      <c r="G11023"/>
      <c r="I11023"/>
      <c r="N11023"/>
      <c r="O11023" s="24"/>
      <c r="P11023"/>
      <c r="Q11023" s="24"/>
      <c r="R11023"/>
      <c r="S11023"/>
      <c r="T11023"/>
      <c r="U11023"/>
      <c r="X11023" s="60"/>
    </row>
    <row r="11024" spans="7:24" ht="15" customHeight="1">
      <c r="G11024"/>
      <c r="I11024"/>
      <c r="N11024"/>
      <c r="O11024" s="24"/>
      <c r="P11024"/>
      <c r="Q11024" s="24"/>
      <c r="R11024"/>
      <c r="S11024"/>
      <c r="T11024"/>
      <c r="U11024"/>
      <c r="X11024" s="60"/>
    </row>
    <row r="11025" spans="7:24" ht="15" customHeight="1">
      <c r="G11025"/>
      <c r="I11025"/>
      <c r="N11025"/>
      <c r="O11025" s="24"/>
      <c r="P11025"/>
      <c r="Q11025" s="24"/>
      <c r="R11025"/>
      <c r="S11025"/>
      <c r="T11025"/>
      <c r="U11025"/>
      <c r="X11025" s="60"/>
    </row>
    <row r="11026" spans="7:24" ht="15" customHeight="1">
      <c r="G11026"/>
      <c r="I11026"/>
      <c r="N11026"/>
      <c r="O11026" s="24"/>
      <c r="P11026"/>
      <c r="Q11026" s="24"/>
      <c r="R11026"/>
      <c r="S11026"/>
      <c r="T11026"/>
      <c r="U11026"/>
      <c r="X11026" s="60"/>
    </row>
    <row r="11027" spans="7:24" ht="15" customHeight="1">
      <c r="G11027"/>
      <c r="I11027"/>
      <c r="N11027"/>
      <c r="O11027" s="24"/>
      <c r="P11027"/>
      <c r="Q11027" s="24"/>
      <c r="R11027"/>
      <c r="S11027"/>
      <c r="T11027"/>
      <c r="U11027"/>
      <c r="X11027" s="60"/>
    </row>
    <row r="11028" spans="7:24" ht="15" customHeight="1">
      <c r="G11028"/>
      <c r="I11028"/>
      <c r="N11028"/>
      <c r="O11028" s="24"/>
      <c r="P11028"/>
      <c r="Q11028" s="24"/>
      <c r="R11028"/>
      <c r="S11028"/>
      <c r="T11028"/>
      <c r="U11028"/>
      <c r="X11028" s="60"/>
    </row>
    <row r="11029" spans="7:24" ht="15" customHeight="1">
      <c r="G11029"/>
      <c r="I11029"/>
      <c r="N11029"/>
      <c r="O11029" s="24"/>
      <c r="P11029"/>
      <c r="Q11029" s="24"/>
      <c r="R11029"/>
      <c r="S11029"/>
      <c r="T11029"/>
      <c r="U11029"/>
      <c r="X11029" s="60"/>
    </row>
    <row r="11030" spans="7:24" ht="15" customHeight="1">
      <c r="G11030"/>
      <c r="I11030"/>
      <c r="N11030"/>
      <c r="O11030" s="24"/>
      <c r="P11030"/>
      <c r="Q11030" s="24"/>
      <c r="R11030"/>
      <c r="S11030"/>
      <c r="T11030"/>
      <c r="U11030"/>
      <c r="X11030" s="60"/>
    </row>
    <row r="11031" spans="7:24" ht="15" customHeight="1">
      <c r="G11031"/>
      <c r="I11031"/>
      <c r="N11031"/>
      <c r="O11031" s="24"/>
      <c r="P11031"/>
      <c r="Q11031" s="24"/>
      <c r="R11031"/>
      <c r="S11031"/>
      <c r="T11031"/>
      <c r="U11031"/>
      <c r="X11031" s="60"/>
    </row>
    <row r="11032" spans="7:24" ht="15" customHeight="1">
      <c r="G11032"/>
      <c r="I11032"/>
      <c r="N11032"/>
      <c r="O11032" s="24"/>
      <c r="P11032"/>
      <c r="Q11032" s="24"/>
      <c r="R11032"/>
      <c r="S11032"/>
      <c r="T11032"/>
      <c r="U11032"/>
      <c r="X11032" s="60"/>
    </row>
    <row r="11033" spans="7:24" ht="15" customHeight="1">
      <c r="G11033"/>
      <c r="I11033"/>
      <c r="N11033"/>
      <c r="O11033" s="24"/>
      <c r="P11033"/>
      <c r="Q11033" s="24"/>
      <c r="R11033"/>
      <c r="S11033"/>
      <c r="T11033"/>
      <c r="U11033"/>
      <c r="X11033" s="60"/>
    </row>
    <row r="11034" spans="7:24" ht="15" customHeight="1">
      <c r="G11034"/>
      <c r="I11034"/>
      <c r="N11034"/>
      <c r="O11034" s="24"/>
      <c r="P11034"/>
      <c r="Q11034" s="24"/>
      <c r="R11034"/>
      <c r="S11034"/>
      <c r="T11034"/>
      <c r="U11034"/>
      <c r="X11034" s="60"/>
    </row>
    <row r="11035" spans="7:24" ht="15" customHeight="1">
      <c r="G11035"/>
      <c r="I11035"/>
      <c r="N11035"/>
      <c r="O11035" s="24"/>
      <c r="P11035"/>
      <c r="Q11035" s="24"/>
      <c r="R11035"/>
      <c r="S11035"/>
      <c r="T11035"/>
      <c r="U11035"/>
      <c r="X11035" s="60"/>
    </row>
    <row r="11036" spans="7:24" ht="15" customHeight="1">
      <c r="G11036"/>
      <c r="I11036"/>
      <c r="N11036"/>
      <c r="O11036" s="24"/>
      <c r="P11036"/>
      <c r="Q11036" s="24"/>
      <c r="R11036"/>
      <c r="S11036"/>
      <c r="T11036"/>
      <c r="U11036"/>
      <c r="X11036" s="60"/>
    </row>
    <row r="11037" spans="7:24" ht="15" customHeight="1">
      <c r="G11037"/>
      <c r="I11037"/>
      <c r="N11037"/>
      <c r="O11037" s="24"/>
      <c r="P11037"/>
      <c r="Q11037" s="24"/>
      <c r="R11037"/>
      <c r="S11037"/>
      <c r="T11037"/>
      <c r="U11037"/>
      <c r="X11037" s="60"/>
    </row>
    <row r="11038" spans="7:24" ht="15" customHeight="1">
      <c r="G11038"/>
      <c r="I11038"/>
      <c r="N11038"/>
      <c r="O11038" s="24"/>
      <c r="P11038"/>
      <c r="Q11038" s="24"/>
      <c r="R11038"/>
      <c r="S11038"/>
      <c r="T11038"/>
      <c r="U11038"/>
      <c r="X11038" s="60"/>
    </row>
    <row r="11039" spans="7:24" ht="15" customHeight="1">
      <c r="G11039"/>
      <c r="I11039"/>
      <c r="N11039"/>
      <c r="O11039" s="24"/>
      <c r="P11039"/>
      <c r="Q11039" s="24"/>
      <c r="R11039"/>
      <c r="S11039"/>
      <c r="T11039"/>
      <c r="U11039"/>
      <c r="X11039" s="60"/>
    </row>
    <row r="11040" spans="7:24" ht="15" customHeight="1">
      <c r="G11040"/>
      <c r="I11040"/>
      <c r="N11040"/>
      <c r="O11040" s="24"/>
      <c r="P11040"/>
      <c r="Q11040" s="24"/>
      <c r="R11040"/>
      <c r="S11040"/>
      <c r="T11040"/>
      <c r="U11040"/>
      <c r="X11040" s="60"/>
    </row>
    <row r="11041" spans="7:24" ht="15" customHeight="1">
      <c r="G11041"/>
      <c r="I11041"/>
      <c r="N11041"/>
      <c r="O11041" s="24"/>
      <c r="P11041"/>
      <c r="Q11041" s="24"/>
      <c r="R11041"/>
      <c r="S11041"/>
      <c r="T11041"/>
      <c r="U11041"/>
      <c r="X11041" s="60"/>
    </row>
    <row r="11042" spans="7:24" ht="15" customHeight="1">
      <c r="G11042"/>
      <c r="I11042"/>
      <c r="N11042"/>
      <c r="O11042" s="24"/>
      <c r="P11042"/>
      <c r="Q11042" s="24"/>
      <c r="R11042"/>
      <c r="S11042"/>
      <c r="T11042"/>
      <c r="U11042"/>
      <c r="X11042" s="60"/>
    </row>
    <row r="11043" spans="7:24" ht="15" customHeight="1">
      <c r="G11043"/>
      <c r="I11043"/>
      <c r="N11043"/>
      <c r="O11043" s="24"/>
      <c r="P11043"/>
      <c r="Q11043" s="24"/>
      <c r="R11043"/>
      <c r="S11043"/>
      <c r="T11043"/>
      <c r="U11043"/>
      <c r="X11043" s="60"/>
    </row>
    <row r="11044" spans="7:24" ht="15" customHeight="1">
      <c r="G11044"/>
      <c r="I11044"/>
      <c r="N11044"/>
      <c r="O11044" s="24"/>
      <c r="P11044"/>
      <c r="Q11044" s="24"/>
      <c r="R11044"/>
      <c r="S11044"/>
      <c r="T11044"/>
      <c r="U11044"/>
      <c r="X11044" s="60"/>
    </row>
    <row r="11045" spans="7:24" ht="15" customHeight="1">
      <c r="G11045"/>
      <c r="I11045"/>
      <c r="N11045"/>
      <c r="O11045" s="24"/>
      <c r="P11045"/>
      <c r="Q11045" s="24"/>
      <c r="R11045"/>
      <c r="S11045"/>
      <c r="T11045"/>
      <c r="U11045"/>
      <c r="X11045" s="60"/>
    </row>
    <row r="11046" spans="7:24" ht="15" customHeight="1">
      <c r="G11046"/>
      <c r="I11046"/>
      <c r="N11046"/>
      <c r="O11046" s="24"/>
      <c r="P11046"/>
      <c r="Q11046" s="24"/>
      <c r="R11046"/>
      <c r="S11046"/>
      <c r="T11046"/>
      <c r="U11046"/>
      <c r="X11046" s="60"/>
    </row>
    <row r="11047" spans="7:24" ht="15" customHeight="1">
      <c r="G11047"/>
      <c r="I11047"/>
      <c r="N11047"/>
      <c r="O11047" s="24"/>
      <c r="P11047"/>
      <c r="Q11047" s="24"/>
      <c r="R11047"/>
      <c r="S11047"/>
      <c r="T11047"/>
      <c r="U11047"/>
      <c r="X11047" s="60"/>
    </row>
    <row r="11048" spans="7:24" ht="15" customHeight="1">
      <c r="G11048"/>
      <c r="I11048"/>
      <c r="N11048"/>
      <c r="O11048" s="24"/>
      <c r="P11048"/>
      <c r="Q11048" s="24"/>
      <c r="R11048"/>
      <c r="S11048"/>
      <c r="T11048"/>
      <c r="U11048"/>
      <c r="X11048" s="60"/>
    </row>
    <row r="11049" spans="7:24" ht="15" customHeight="1">
      <c r="G11049"/>
      <c r="I11049"/>
      <c r="N11049"/>
      <c r="O11049" s="24"/>
      <c r="P11049"/>
      <c r="Q11049" s="24"/>
      <c r="R11049"/>
      <c r="S11049"/>
      <c r="T11049"/>
      <c r="U11049"/>
      <c r="X11049" s="60"/>
    </row>
    <row r="11050" spans="7:24" ht="15" customHeight="1">
      <c r="G11050"/>
      <c r="I11050"/>
      <c r="N11050"/>
      <c r="O11050" s="24"/>
      <c r="P11050"/>
      <c r="Q11050" s="24"/>
      <c r="R11050"/>
      <c r="S11050"/>
      <c r="T11050"/>
      <c r="U11050"/>
      <c r="X11050" s="60"/>
    </row>
    <row r="11051" spans="7:24" ht="15" customHeight="1">
      <c r="G11051"/>
      <c r="I11051"/>
      <c r="N11051"/>
      <c r="O11051" s="24"/>
      <c r="P11051"/>
      <c r="Q11051" s="24"/>
      <c r="R11051"/>
      <c r="S11051"/>
      <c r="T11051"/>
      <c r="U11051"/>
      <c r="X11051" s="60"/>
    </row>
    <row r="11052" spans="7:24" ht="15" customHeight="1">
      <c r="G11052"/>
      <c r="I11052"/>
      <c r="N11052"/>
      <c r="O11052" s="24"/>
      <c r="P11052"/>
      <c r="Q11052" s="24"/>
      <c r="R11052"/>
      <c r="S11052"/>
      <c r="T11052"/>
      <c r="U11052"/>
      <c r="X11052" s="60"/>
    </row>
    <row r="11053" spans="7:24" ht="15" customHeight="1">
      <c r="G11053"/>
      <c r="I11053"/>
      <c r="N11053"/>
      <c r="O11053" s="24"/>
      <c r="P11053"/>
      <c r="Q11053" s="24"/>
      <c r="R11053"/>
      <c r="S11053"/>
      <c r="T11053"/>
      <c r="U11053"/>
      <c r="X11053" s="60"/>
    </row>
    <row r="11054" spans="7:24" ht="15" customHeight="1">
      <c r="G11054"/>
      <c r="I11054"/>
      <c r="N11054"/>
      <c r="O11054" s="24"/>
      <c r="P11054"/>
      <c r="Q11054" s="24"/>
      <c r="R11054"/>
      <c r="S11054"/>
      <c r="T11054"/>
      <c r="U11054"/>
      <c r="X11054" s="60"/>
    </row>
    <row r="11055" spans="7:24" ht="15" customHeight="1">
      <c r="G11055"/>
      <c r="I11055"/>
      <c r="N11055"/>
      <c r="O11055" s="24"/>
      <c r="P11055"/>
      <c r="Q11055" s="24"/>
      <c r="R11055"/>
      <c r="S11055"/>
      <c r="T11055"/>
      <c r="U11055"/>
      <c r="X11055" s="60"/>
    </row>
    <row r="11056" spans="7:24" ht="15" customHeight="1">
      <c r="G11056"/>
      <c r="I11056"/>
      <c r="N11056"/>
      <c r="O11056" s="24"/>
      <c r="P11056"/>
      <c r="Q11056" s="24"/>
      <c r="R11056"/>
      <c r="S11056"/>
      <c r="T11056"/>
      <c r="U11056"/>
      <c r="X11056" s="60"/>
    </row>
    <row r="11057" spans="7:24" ht="15" customHeight="1">
      <c r="G11057"/>
      <c r="I11057"/>
      <c r="N11057"/>
      <c r="O11057" s="24"/>
      <c r="P11057"/>
      <c r="Q11057" s="24"/>
      <c r="R11057"/>
      <c r="S11057"/>
      <c r="T11057"/>
      <c r="U11057"/>
      <c r="X11057" s="60"/>
    </row>
    <row r="11058" spans="7:24" ht="15" customHeight="1">
      <c r="G11058"/>
      <c r="I11058"/>
      <c r="N11058"/>
      <c r="O11058" s="24"/>
      <c r="P11058"/>
      <c r="Q11058" s="24"/>
      <c r="R11058"/>
      <c r="S11058"/>
      <c r="T11058"/>
      <c r="U11058"/>
      <c r="X11058" s="60"/>
    </row>
    <row r="11059" spans="7:24" ht="15" customHeight="1">
      <c r="G11059"/>
      <c r="I11059"/>
      <c r="N11059"/>
      <c r="O11059" s="24"/>
      <c r="P11059"/>
      <c r="Q11059" s="24"/>
      <c r="R11059"/>
      <c r="S11059"/>
      <c r="T11059"/>
      <c r="U11059"/>
      <c r="X11059" s="60"/>
    </row>
    <row r="11060" spans="7:24" ht="15" customHeight="1">
      <c r="G11060"/>
      <c r="I11060"/>
      <c r="N11060"/>
      <c r="O11060" s="24"/>
      <c r="P11060"/>
      <c r="Q11060" s="24"/>
      <c r="R11060"/>
      <c r="S11060"/>
      <c r="T11060"/>
      <c r="U11060"/>
      <c r="X11060" s="60"/>
    </row>
    <row r="11061" spans="7:24" ht="15" customHeight="1">
      <c r="G11061"/>
      <c r="I11061"/>
      <c r="N11061"/>
      <c r="O11061" s="24"/>
      <c r="P11061"/>
      <c r="Q11061" s="24"/>
      <c r="R11061"/>
      <c r="S11061"/>
      <c r="T11061"/>
      <c r="U11061"/>
      <c r="X11061" s="60"/>
    </row>
    <row r="11062" spans="7:24" ht="15" customHeight="1">
      <c r="G11062"/>
      <c r="I11062"/>
      <c r="N11062"/>
      <c r="O11062" s="24"/>
      <c r="P11062"/>
      <c r="Q11062" s="24"/>
      <c r="R11062"/>
      <c r="S11062"/>
      <c r="T11062"/>
      <c r="U11062"/>
      <c r="X11062" s="60"/>
    </row>
    <row r="11063" spans="7:24" ht="15" customHeight="1">
      <c r="G11063"/>
      <c r="I11063"/>
      <c r="N11063"/>
      <c r="O11063" s="24"/>
      <c r="P11063"/>
      <c r="Q11063" s="24"/>
      <c r="R11063"/>
      <c r="S11063"/>
      <c r="T11063"/>
      <c r="U11063"/>
      <c r="X11063" s="60"/>
    </row>
    <row r="11064" spans="7:24" ht="15" customHeight="1">
      <c r="G11064"/>
      <c r="I11064"/>
      <c r="N11064"/>
      <c r="O11064" s="24"/>
      <c r="P11064"/>
      <c r="Q11064" s="24"/>
      <c r="R11064"/>
      <c r="S11064"/>
      <c r="T11064"/>
      <c r="U11064"/>
      <c r="X11064" s="60"/>
    </row>
    <row r="11065" spans="7:24" ht="15" customHeight="1">
      <c r="G11065"/>
      <c r="I11065"/>
      <c r="N11065"/>
      <c r="O11065" s="24"/>
      <c r="P11065"/>
      <c r="Q11065" s="24"/>
      <c r="R11065"/>
      <c r="S11065"/>
      <c r="T11065"/>
      <c r="U11065"/>
      <c r="X11065" s="60"/>
    </row>
    <row r="11066" spans="7:24" ht="15" customHeight="1">
      <c r="G11066"/>
      <c r="I11066"/>
      <c r="N11066"/>
      <c r="O11066" s="24"/>
      <c r="P11066"/>
      <c r="Q11066" s="24"/>
      <c r="R11066"/>
      <c r="S11066"/>
      <c r="T11066"/>
      <c r="U11066"/>
      <c r="X11066" s="60"/>
    </row>
    <row r="11067" spans="7:24" ht="15" customHeight="1">
      <c r="G11067"/>
      <c r="I11067"/>
      <c r="N11067"/>
      <c r="O11067" s="24"/>
      <c r="P11067"/>
      <c r="Q11067" s="24"/>
      <c r="R11067"/>
      <c r="S11067"/>
      <c r="T11067"/>
      <c r="U11067"/>
      <c r="X11067" s="60"/>
    </row>
    <row r="11068" spans="7:24" ht="15" customHeight="1">
      <c r="G11068"/>
      <c r="I11068"/>
      <c r="N11068"/>
      <c r="O11068" s="24"/>
      <c r="P11068"/>
      <c r="Q11068" s="24"/>
      <c r="R11068"/>
      <c r="S11068"/>
      <c r="T11068"/>
      <c r="U11068"/>
      <c r="X11068" s="60"/>
    </row>
    <row r="11069" spans="7:24" ht="15" customHeight="1">
      <c r="G11069"/>
      <c r="I11069"/>
      <c r="N11069"/>
      <c r="O11069" s="24"/>
      <c r="P11069"/>
      <c r="Q11069" s="24"/>
      <c r="R11069"/>
      <c r="S11069"/>
      <c r="T11069"/>
      <c r="U11069"/>
      <c r="X11069" s="60"/>
    </row>
    <row r="11070" spans="7:24" ht="15" customHeight="1">
      <c r="G11070"/>
      <c r="I11070"/>
      <c r="N11070"/>
      <c r="O11070" s="24"/>
      <c r="P11070"/>
      <c r="Q11070" s="24"/>
      <c r="R11070"/>
      <c r="S11070"/>
      <c r="T11070"/>
      <c r="U11070"/>
      <c r="X11070" s="60"/>
    </row>
    <row r="11071" spans="7:24" ht="15" customHeight="1">
      <c r="G11071"/>
      <c r="I11071"/>
      <c r="N11071"/>
      <c r="O11071" s="24"/>
      <c r="P11071"/>
      <c r="Q11071" s="24"/>
      <c r="R11071"/>
      <c r="S11071"/>
      <c r="T11071"/>
      <c r="U11071"/>
      <c r="X11071" s="60"/>
    </row>
    <row r="11072" spans="7:24" ht="15" customHeight="1">
      <c r="G11072"/>
      <c r="I11072"/>
      <c r="N11072"/>
      <c r="O11072" s="24"/>
      <c r="P11072"/>
      <c r="Q11072" s="24"/>
      <c r="R11072"/>
      <c r="S11072"/>
      <c r="T11072"/>
      <c r="U11072"/>
      <c r="X11072" s="60"/>
    </row>
    <row r="11073" spans="7:24" ht="15" customHeight="1">
      <c r="G11073"/>
      <c r="I11073"/>
      <c r="N11073"/>
      <c r="O11073" s="24"/>
      <c r="P11073"/>
      <c r="Q11073" s="24"/>
      <c r="R11073"/>
      <c r="S11073"/>
      <c r="T11073"/>
      <c r="U11073"/>
      <c r="X11073" s="60"/>
    </row>
    <row r="11074" spans="7:24" ht="15" customHeight="1">
      <c r="G11074"/>
      <c r="I11074"/>
      <c r="N11074"/>
      <c r="O11074" s="24"/>
      <c r="P11074"/>
      <c r="Q11074" s="24"/>
      <c r="R11074"/>
      <c r="S11074"/>
      <c r="T11074"/>
      <c r="U11074"/>
      <c r="X11074" s="60"/>
    </row>
    <row r="11075" spans="7:24" ht="15" customHeight="1">
      <c r="G11075"/>
      <c r="I11075"/>
      <c r="N11075"/>
      <c r="O11075" s="24"/>
      <c r="P11075"/>
      <c r="Q11075" s="24"/>
      <c r="R11075"/>
      <c r="S11075"/>
      <c r="T11075"/>
      <c r="U11075"/>
      <c r="X11075" s="60"/>
    </row>
    <row r="11076" spans="7:24" ht="15" customHeight="1">
      <c r="G11076"/>
      <c r="I11076"/>
      <c r="N11076"/>
      <c r="O11076" s="24"/>
      <c r="P11076"/>
      <c r="Q11076" s="24"/>
      <c r="R11076"/>
      <c r="S11076"/>
      <c r="T11076"/>
      <c r="U11076"/>
      <c r="X11076" s="60"/>
    </row>
    <row r="11077" spans="7:24" ht="15" customHeight="1">
      <c r="G11077"/>
      <c r="I11077"/>
      <c r="N11077"/>
      <c r="O11077" s="24"/>
      <c r="P11077"/>
      <c r="Q11077" s="24"/>
      <c r="R11077"/>
      <c r="S11077"/>
      <c r="T11077"/>
      <c r="U11077"/>
      <c r="X11077" s="60"/>
    </row>
    <row r="11078" spans="7:24" ht="15" customHeight="1">
      <c r="G11078"/>
      <c r="I11078"/>
      <c r="N11078"/>
      <c r="O11078" s="24"/>
      <c r="P11078"/>
      <c r="Q11078" s="24"/>
      <c r="R11078"/>
      <c r="S11078"/>
      <c r="T11078"/>
      <c r="U11078"/>
      <c r="X11078" s="60"/>
    </row>
    <row r="11079" spans="7:24" ht="15" customHeight="1">
      <c r="G11079"/>
      <c r="I11079"/>
      <c r="N11079"/>
      <c r="O11079" s="24"/>
      <c r="P11079"/>
      <c r="Q11079" s="24"/>
      <c r="R11079"/>
      <c r="S11079"/>
      <c r="T11079"/>
      <c r="U11079"/>
      <c r="X11079" s="60"/>
    </row>
    <row r="11080" spans="7:24" ht="15" customHeight="1">
      <c r="G11080"/>
      <c r="I11080"/>
      <c r="N11080"/>
      <c r="O11080" s="24"/>
      <c r="P11080"/>
      <c r="Q11080" s="24"/>
      <c r="R11080"/>
      <c r="S11080"/>
      <c r="T11080"/>
      <c r="U11080"/>
      <c r="X11080" s="60"/>
    </row>
    <row r="11081" spans="7:24" ht="15" customHeight="1">
      <c r="G11081"/>
      <c r="I11081"/>
      <c r="N11081"/>
      <c r="O11081" s="24"/>
      <c r="P11081"/>
      <c r="Q11081" s="24"/>
      <c r="R11081"/>
      <c r="S11081"/>
      <c r="T11081"/>
      <c r="U11081"/>
      <c r="X11081" s="60"/>
    </row>
    <row r="11082" spans="7:24" ht="15" customHeight="1">
      <c r="G11082"/>
      <c r="I11082"/>
      <c r="N11082"/>
      <c r="O11082" s="24"/>
      <c r="P11082"/>
      <c r="Q11082" s="24"/>
      <c r="R11082"/>
      <c r="S11082"/>
      <c r="T11082"/>
      <c r="U11082"/>
      <c r="X11082" s="60"/>
    </row>
    <row r="11083" spans="7:24" ht="15" customHeight="1">
      <c r="G11083"/>
      <c r="I11083"/>
      <c r="N11083"/>
      <c r="O11083" s="24"/>
      <c r="P11083"/>
      <c r="Q11083" s="24"/>
      <c r="R11083"/>
      <c r="S11083"/>
      <c r="T11083"/>
      <c r="U11083"/>
      <c r="X11083" s="60"/>
    </row>
    <row r="11084" spans="7:24" ht="15" customHeight="1">
      <c r="G11084"/>
      <c r="I11084"/>
      <c r="N11084"/>
      <c r="O11084" s="24"/>
      <c r="P11084"/>
      <c r="Q11084" s="24"/>
      <c r="R11084"/>
      <c r="S11084"/>
      <c r="T11084"/>
      <c r="U11084"/>
      <c r="X11084" s="60"/>
    </row>
    <row r="11085" spans="7:24" ht="15" customHeight="1">
      <c r="G11085"/>
      <c r="I11085"/>
      <c r="N11085"/>
      <c r="O11085" s="24"/>
      <c r="P11085"/>
      <c r="Q11085" s="24"/>
      <c r="R11085"/>
      <c r="S11085"/>
      <c r="T11085"/>
      <c r="U11085"/>
      <c r="X11085" s="60"/>
    </row>
    <row r="11086" spans="7:24" ht="15" customHeight="1">
      <c r="G11086"/>
      <c r="I11086"/>
      <c r="N11086"/>
      <c r="O11086" s="24"/>
      <c r="P11086"/>
      <c r="Q11086" s="24"/>
      <c r="R11086"/>
      <c r="S11086"/>
      <c r="T11086"/>
      <c r="U11086"/>
      <c r="X11086" s="60"/>
    </row>
    <row r="11087" spans="7:24" ht="15" customHeight="1">
      <c r="G11087"/>
      <c r="I11087"/>
      <c r="N11087"/>
      <c r="O11087" s="24"/>
      <c r="P11087"/>
      <c r="Q11087" s="24"/>
      <c r="R11087"/>
      <c r="S11087"/>
      <c r="T11087"/>
      <c r="U11087"/>
      <c r="X11087" s="60"/>
    </row>
    <row r="11088" spans="7:24" ht="15" customHeight="1">
      <c r="G11088"/>
      <c r="I11088"/>
      <c r="N11088"/>
      <c r="O11088" s="24"/>
      <c r="P11088"/>
      <c r="Q11088" s="24"/>
      <c r="R11088"/>
      <c r="S11088"/>
      <c r="T11088"/>
      <c r="U11088"/>
      <c r="X11088" s="60"/>
    </row>
    <row r="11089" spans="7:24" ht="15" customHeight="1">
      <c r="G11089"/>
      <c r="I11089"/>
      <c r="N11089"/>
      <c r="O11089" s="24"/>
      <c r="P11089"/>
      <c r="Q11089" s="24"/>
      <c r="R11089"/>
      <c r="S11089"/>
      <c r="T11089"/>
      <c r="U11089"/>
      <c r="X11089" s="60"/>
    </row>
    <row r="11090" spans="7:24" ht="15" customHeight="1">
      <c r="G11090"/>
      <c r="I11090"/>
      <c r="N11090"/>
      <c r="O11090" s="24"/>
      <c r="P11090"/>
      <c r="Q11090" s="24"/>
      <c r="R11090"/>
      <c r="S11090"/>
      <c r="T11090"/>
      <c r="U11090"/>
      <c r="X11090" s="60"/>
    </row>
    <row r="11091" spans="7:24" ht="15" customHeight="1">
      <c r="G11091"/>
      <c r="I11091"/>
      <c r="N11091"/>
      <c r="O11091" s="24"/>
      <c r="P11091"/>
      <c r="Q11091" s="24"/>
      <c r="R11091"/>
      <c r="S11091"/>
      <c r="T11091"/>
      <c r="U11091"/>
      <c r="X11091" s="60"/>
    </row>
    <row r="11092" spans="7:24" ht="15" customHeight="1">
      <c r="G11092"/>
      <c r="I11092"/>
      <c r="N11092"/>
      <c r="O11092" s="24"/>
      <c r="P11092"/>
      <c r="Q11092" s="24"/>
      <c r="R11092"/>
      <c r="S11092"/>
      <c r="T11092"/>
      <c r="U11092"/>
      <c r="X11092" s="60"/>
    </row>
    <row r="11093" spans="7:24" ht="15" customHeight="1">
      <c r="G11093"/>
      <c r="I11093"/>
      <c r="N11093"/>
      <c r="O11093" s="24"/>
      <c r="P11093"/>
      <c r="Q11093" s="24"/>
      <c r="R11093"/>
      <c r="S11093"/>
      <c r="T11093"/>
      <c r="U11093"/>
      <c r="X11093" s="60"/>
    </row>
    <row r="11094" spans="7:24" ht="15" customHeight="1">
      <c r="G11094"/>
      <c r="I11094"/>
      <c r="N11094"/>
      <c r="O11094" s="24"/>
      <c r="P11094"/>
      <c r="Q11094" s="24"/>
      <c r="R11094"/>
      <c r="S11094"/>
      <c r="T11094"/>
      <c r="U11094"/>
      <c r="X11094" s="60"/>
    </row>
    <row r="11095" spans="7:24" ht="15" customHeight="1">
      <c r="G11095"/>
      <c r="I11095"/>
      <c r="N11095"/>
      <c r="O11095" s="24"/>
      <c r="P11095"/>
      <c r="Q11095" s="24"/>
      <c r="R11095"/>
      <c r="S11095"/>
      <c r="T11095"/>
      <c r="U11095"/>
      <c r="X11095" s="60"/>
    </row>
    <row r="11096" spans="7:24" ht="15" customHeight="1">
      <c r="G11096"/>
      <c r="I11096"/>
      <c r="N11096"/>
      <c r="O11096" s="24"/>
      <c r="P11096"/>
      <c r="Q11096" s="24"/>
      <c r="R11096"/>
      <c r="S11096"/>
      <c r="T11096"/>
      <c r="U11096"/>
      <c r="X11096" s="60"/>
    </row>
    <row r="11097" spans="7:24" ht="15" customHeight="1">
      <c r="G11097"/>
      <c r="I11097"/>
      <c r="N11097"/>
      <c r="O11097" s="24"/>
      <c r="P11097"/>
      <c r="Q11097" s="24"/>
      <c r="R11097"/>
      <c r="S11097"/>
      <c r="T11097"/>
      <c r="U11097"/>
      <c r="X11097" s="60"/>
    </row>
    <row r="11098" spans="7:24" ht="15" customHeight="1">
      <c r="G11098"/>
      <c r="I11098"/>
      <c r="N11098"/>
      <c r="O11098" s="24"/>
      <c r="P11098"/>
      <c r="Q11098" s="24"/>
      <c r="R11098"/>
      <c r="S11098"/>
      <c r="T11098"/>
      <c r="U11098"/>
      <c r="X11098" s="60"/>
    </row>
    <row r="11099" spans="7:24" ht="15" customHeight="1">
      <c r="G11099"/>
      <c r="I11099"/>
      <c r="N11099"/>
      <c r="O11099" s="24"/>
      <c r="P11099"/>
      <c r="Q11099" s="24"/>
      <c r="R11099"/>
      <c r="S11099"/>
      <c r="T11099"/>
      <c r="U11099"/>
      <c r="X11099" s="60"/>
    </row>
    <row r="11100" spans="7:24" ht="15" customHeight="1">
      <c r="G11100"/>
      <c r="I11100"/>
      <c r="N11100"/>
      <c r="O11100" s="24"/>
      <c r="P11100"/>
      <c r="Q11100" s="24"/>
      <c r="R11100"/>
      <c r="S11100"/>
      <c r="T11100"/>
      <c r="U11100"/>
      <c r="X11100" s="60"/>
    </row>
    <row r="11101" spans="7:24" ht="15" customHeight="1">
      <c r="G11101"/>
      <c r="I11101"/>
      <c r="N11101"/>
      <c r="O11101" s="24"/>
      <c r="P11101"/>
      <c r="Q11101" s="24"/>
      <c r="R11101"/>
      <c r="S11101"/>
      <c r="T11101"/>
      <c r="U11101"/>
      <c r="X11101" s="60"/>
    </row>
    <row r="11102" spans="7:24" ht="15" customHeight="1">
      <c r="G11102"/>
      <c r="I11102"/>
      <c r="N11102"/>
      <c r="O11102" s="24"/>
      <c r="P11102"/>
      <c r="Q11102" s="24"/>
      <c r="R11102"/>
      <c r="S11102"/>
      <c r="T11102"/>
      <c r="U11102"/>
      <c r="X11102" s="60"/>
    </row>
    <row r="11103" spans="7:24" ht="15" customHeight="1">
      <c r="G11103"/>
      <c r="I11103"/>
      <c r="N11103"/>
      <c r="O11103" s="24"/>
      <c r="P11103"/>
      <c r="Q11103" s="24"/>
      <c r="R11103"/>
      <c r="S11103"/>
      <c r="T11103"/>
      <c r="U11103"/>
      <c r="X11103" s="60"/>
    </row>
    <row r="11104" spans="7:24" ht="15" customHeight="1">
      <c r="G11104"/>
      <c r="I11104"/>
      <c r="N11104"/>
      <c r="O11104" s="24"/>
      <c r="P11104"/>
      <c r="Q11104" s="24"/>
      <c r="R11104"/>
      <c r="S11104"/>
      <c r="T11104"/>
      <c r="U11104"/>
      <c r="X11104" s="60"/>
    </row>
    <row r="11105" spans="7:24" ht="15" customHeight="1">
      <c r="G11105"/>
      <c r="I11105"/>
      <c r="N11105"/>
      <c r="O11105" s="24"/>
      <c r="P11105"/>
      <c r="Q11105" s="24"/>
      <c r="R11105"/>
      <c r="S11105"/>
      <c r="T11105"/>
      <c r="U11105"/>
      <c r="X11105" s="60"/>
    </row>
    <row r="11106" spans="7:24" ht="15" customHeight="1">
      <c r="G11106"/>
      <c r="I11106"/>
      <c r="N11106"/>
      <c r="O11106" s="24"/>
      <c r="P11106"/>
      <c r="Q11106" s="24"/>
      <c r="R11106"/>
      <c r="S11106"/>
      <c r="T11106"/>
      <c r="U11106"/>
      <c r="X11106" s="60"/>
    </row>
    <row r="11107" spans="7:24" ht="15" customHeight="1">
      <c r="G11107"/>
      <c r="I11107"/>
      <c r="N11107"/>
      <c r="O11107" s="24"/>
      <c r="P11107"/>
      <c r="Q11107" s="24"/>
      <c r="R11107"/>
      <c r="S11107"/>
      <c r="T11107"/>
      <c r="U11107"/>
      <c r="X11107" s="60"/>
    </row>
    <row r="11108" spans="7:24" ht="15" customHeight="1">
      <c r="G11108"/>
      <c r="I11108"/>
      <c r="N11108"/>
      <c r="O11108" s="24"/>
      <c r="P11108"/>
      <c r="Q11108" s="24"/>
      <c r="R11108"/>
      <c r="S11108"/>
      <c r="T11108"/>
      <c r="U11108"/>
      <c r="X11108" s="60"/>
    </row>
    <row r="11109" spans="7:24" ht="15" customHeight="1">
      <c r="G11109"/>
      <c r="I11109"/>
      <c r="N11109"/>
      <c r="O11109" s="24"/>
      <c r="P11109"/>
      <c r="Q11109" s="24"/>
      <c r="R11109"/>
      <c r="S11109"/>
      <c r="T11109"/>
      <c r="U11109"/>
      <c r="X11109" s="60"/>
    </row>
    <row r="11110" spans="7:24" ht="15" customHeight="1">
      <c r="G11110"/>
      <c r="I11110"/>
      <c r="N11110"/>
      <c r="O11110" s="24"/>
      <c r="P11110"/>
      <c r="Q11110" s="24"/>
      <c r="R11110"/>
      <c r="S11110"/>
      <c r="T11110"/>
      <c r="U11110"/>
      <c r="X11110" s="60"/>
    </row>
    <row r="11111" spans="7:24" ht="15" customHeight="1">
      <c r="G11111"/>
      <c r="I11111"/>
      <c r="N11111"/>
      <c r="O11111" s="24"/>
      <c r="P11111"/>
      <c r="Q11111" s="24"/>
      <c r="R11111"/>
      <c r="S11111"/>
      <c r="T11111"/>
      <c r="U11111"/>
      <c r="X11111" s="60"/>
    </row>
    <row r="11112" spans="7:24" ht="15" customHeight="1">
      <c r="G11112"/>
      <c r="I11112"/>
      <c r="N11112"/>
      <c r="O11112" s="24"/>
      <c r="P11112"/>
      <c r="Q11112" s="24"/>
      <c r="R11112"/>
      <c r="S11112"/>
      <c r="T11112"/>
      <c r="U11112"/>
      <c r="X11112" s="60"/>
    </row>
    <row r="11113" spans="7:24" ht="15" customHeight="1">
      <c r="G11113"/>
      <c r="I11113"/>
      <c r="N11113"/>
      <c r="O11113" s="24"/>
      <c r="P11113"/>
      <c r="Q11113" s="24"/>
      <c r="R11113"/>
      <c r="S11113"/>
      <c r="T11113"/>
      <c r="U11113"/>
      <c r="X11113" s="60"/>
    </row>
    <row r="11114" spans="7:24" ht="15" customHeight="1">
      <c r="G11114"/>
      <c r="I11114"/>
      <c r="N11114"/>
      <c r="O11114" s="24"/>
      <c r="P11114"/>
      <c r="Q11114" s="24"/>
      <c r="R11114"/>
      <c r="S11114"/>
      <c r="T11114"/>
      <c r="U11114"/>
      <c r="X11114" s="60"/>
    </row>
    <row r="11115" spans="7:24" ht="15" customHeight="1">
      <c r="G11115"/>
      <c r="I11115"/>
      <c r="N11115"/>
      <c r="O11115" s="24"/>
      <c r="P11115"/>
      <c r="Q11115" s="24"/>
      <c r="R11115"/>
      <c r="S11115"/>
      <c r="T11115"/>
      <c r="U11115"/>
      <c r="X11115" s="60"/>
    </row>
    <row r="11116" spans="7:24" ht="15" customHeight="1">
      <c r="G11116"/>
      <c r="I11116"/>
      <c r="N11116"/>
      <c r="O11116" s="24"/>
      <c r="P11116"/>
      <c r="Q11116" s="24"/>
      <c r="R11116"/>
      <c r="S11116"/>
      <c r="T11116"/>
      <c r="U11116"/>
      <c r="X11116" s="60"/>
    </row>
    <row r="11117" spans="7:24" ht="15" customHeight="1">
      <c r="G11117"/>
      <c r="I11117"/>
      <c r="N11117"/>
      <c r="O11117" s="24"/>
      <c r="P11117"/>
      <c r="Q11117" s="24"/>
      <c r="R11117"/>
      <c r="S11117"/>
      <c r="T11117"/>
      <c r="U11117"/>
      <c r="X11117" s="60"/>
    </row>
    <row r="11118" spans="7:24" ht="15" customHeight="1">
      <c r="G11118"/>
      <c r="I11118"/>
      <c r="N11118"/>
      <c r="O11118" s="24"/>
      <c r="P11118"/>
      <c r="Q11118" s="24"/>
      <c r="R11118"/>
      <c r="S11118"/>
      <c r="T11118"/>
      <c r="U11118"/>
      <c r="X11118" s="60"/>
    </row>
    <row r="11119" spans="7:24" ht="15" customHeight="1">
      <c r="G11119"/>
      <c r="I11119"/>
      <c r="N11119"/>
      <c r="O11119" s="24"/>
      <c r="P11119"/>
      <c r="Q11119" s="24"/>
      <c r="R11119"/>
      <c r="S11119"/>
      <c r="T11119"/>
      <c r="U11119"/>
      <c r="X11119" s="60"/>
    </row>
    <row r="11120" spans="7:24" ht="15" customHeight="1">
      <c r="G11120"/>
      <c r="I11120"/>
      <c r="N11120"/>
      <c r="O11120" s="24"/>
      <c r="P11120"/>
      <c r="Q11120" s="24"/>
      <c r="R11120"/>
      <c r="S11120"/>
      <c r="T11120"/>
      <c r="U11120"/>
      <c r="X11120" s="60"/>
    </row>
    <row r="11121" spans="7:24" ht="15" customHeight="1">
      <c r="G11121"/>
      <c r="I11121"/>
      <c r="N11121"/>
      <c r="O11121" s="24"/>
      <c r="P11121"/>
      <c r="Q11121" s="24"/>
      <c r="R11121"/>
      <c r="S11121"/>
      <c r="T11121"/>
      <c r="U11121"/>
      <c r="X11121" s="60"/>
    </row>
    <row r="11122" spans="7:24" ht="15" customHeight="1">
      <c r="G11122"/>
      <c r="I11122"/>
      <c r="N11122"/>
      <c r="O11122" s="24"/>
      <c r="P11122"/>
      <c r="Q11122" s="24"/>
      <c r="R11122"/>
      <c r="S11122"/>
      <c r="T11122"/>
      <c r="U11122"/>
      <c r="X11122" s="60"/>
    </row>
    <row r="11123" spans="7:24" ht="15" customHeight="1">
      <c r="G11123"/>
      <c r="I11123"/>
      <c r="N11123"/>
      <c r="O11123" s="24"/>
      <c r="P11123"/>
      <c r="Q11123" s="24"/>
      <c r="R11123"/>
      <c r="S11123"/>
      <c r="T11123"/>
      <c r="U11123"/>
      <c r="X11123" s="60"/>
    </row>
    <row r="11124" spans="7:24" ht="15" customHeight="1">
      <c r="G11124"/>
      <c r="I11124"/>
      <c r="N11124"/>
      <c r="O11124" s="24"/>
      <c r="P11124"/>
      <c r="Q11124" s="24"/>
      <c r="R11124"/>
      <c r="S11124"/>
      <c r="T11124"/>
      <c r="U11124"/>
      <c r="X11124" s="60"/>
    </row>
    <row r="11125" spans="7:24" ht="15" customHeight="1">
      <c r="G11125"/>
      <c r="I11125"/>
      <c r="N11125"/>
      <c r="O11125" s="24"/>
      <c r="P11125"/>
      <c r="Q11125" s="24"/>
      <c r="R11125"/>
      <c r="S11125"/>
      <c r="T11125"/>
      <c r="U11125"/>
      <c r="X11125" s="60"/>
    </row>
    <row r="11126" spans="7:24" ht="15" customHeight="1">
      <c r="G11126"/>
      <c r="I11126"/>
      <c r="N11126"/>
      <c r="O11126" s="24"/>
      <c r="P11126"/>
      <c r="Q11126" s="24"/>
      <c r="R11126"/>
      <c r="S11126"/>
      <c r="T11126"/>
      <c r="U11126"/>
      <c r="X11126" s="60"/>
    </row>
    <row r="11127" spans="7:24" ht="15" customHeight="1">
      <c r="G11127"/>
      <c r="I11127"/>
      <c r="N11127"/>
      <c r="O11127" s="24"/>
      <c r="P11127"/>
      <c r="Q11127" s="24"/>
      <c r="R11127"/>
      <c r="S11127"/>
      <c r="T11127"/>
      <c r="U11127"/>
      <c r="X11127" s="60"/>
    </row>
    <row r="11128" spans="7:24" ht="15" customHeight="1">
      <c r="G11128"/>
      <c r="I11128"/>
      <c r="N11128"/>
      <c r="O11128" s="24"/>
      <c r="P11128"/>
      <c r="Q11128" s="24"/>
      <c r="R11128"/>
      <c r="S11128"/>
      <c r="T11128"/>
      <c r="U11128"/>
      <c r="X11128" s="60"/>
    </row>
    <row r="11129" spans="7:24" ht="15" customHeight="1">
      <c r="G11129"/>
      <c r="I11129"/>
      <c r="N11129"/>
      <c r="O11129" s="24"/>
      <c r="P11129"/>
      <c r="Q11129" s="24"/>
      <c r="R11129"/>
      <c r="S11129"/>
      <c r="T11129"/>
      <c r="U11129"/>
      <c r="X11129" s="60"/>
    </row>
    <row r="11130" spans="7:24" ht="15" customHeight="1">
      <c r="G11130"/>
      <c r="I11130"/>
      <c r="N11130"/>
      <c r="O11130" s="24"/>
      <c r="P11130"/>
      <c r="Q11130" s="24"/>
      <c r="R11130"/>
      <c r="S11130"/>
      <c r="T11130"/>
      <c r="U11130"/>
      <c r="X11130" s="60"/>
    </row>
    <row r="11131" spans="7:24" ht="15" customHeight="1">
      <c r="G11131"/>
      <c r="I11131"/>
      <c r="N11131"/>
      <c r="O11131" s="24"/>
      <c r="P11131"/>
      <c r="Q11131" s="24"/>
      <c r="R11131"/>
      <c r="S11131"/>
      <c r="T11131"/>
      <c r="U11131"/>
      <c r="X11131" s="60"/>
    </row>
    <row r="11132" spans="7:24" ht="15" customHeight="1">
      <c r="G11132"/>
      <c r="I11132"/>
      <c r="N11132"/>
      <c r="O11132" s="24"/>
      <c r="P11132"/>
      <c r="Q11132" s="24"/>
      <c r="R11132"/>
      <c r="S11132"/>
      <c r="T11132"/>
      <c r="U11132"/>
      <c r="X11132" s="60"/>
    </row>
    <row r="11133" spans="7:24" ht="15" customHeight="1">
      <c r="G11133"/>
      <c r="I11133"/>
      <c r="N11133"/>
      <c r="O11133" s="24"/>
      <c r="P11133"/>
      <c r="Q11133" s="24"/>
      <c r="R11133"/>
      <c r="S11133"/>
      <c r="T11133"/>
      <c r="U11133"/>
      <c r="X11133" s="60"/>
    </row>
    <row r="11134" spans="7:24" ht="15" customHeight="1">
      <c r="G11134"/>
      <c r="I11134"/>
      <c r="N11134"/>
      <c r="O11134" s="24"/>
      <c r="P11134"/>
      <c r="Q11134" s="24"/>
      <c r="R11134"/>
      <c r="S11134"/>
      <c r="T11134"/>
      <c r="U11134"/>
      <c r="X11134" s="60"/>
    </row>
    <row r="11135" spans="7:24" ht="15" customHeight="1">
      <c r="G11135"/>
      <c r="I11135"/>
      <c r="N11135"/>
      <c r="O11135" s="24"/>
      <c r="P11135"/>
      <c r="Q11135" s="24"/>
      <c r="R11135"/>
      <c r="S11135"/>
      <c r="T11135"/>
      <c r="U11135"/>
      <c r="X11135" s="60"/>
    </row>
    <row r="11136" spans="7:24" ht="15" customHeight="1">
      <c r="G11136"/>
      <c r="I11136"/>
      <c r="N11136"/>
      <c r="O11136" s="24"/>
      <c r="P11136"/>
      <c r="Q11136" s="24"/>
      <c r="R11136"/>
      <c r="S11136"/>
      <c r="T11136"/>
      <c r="U11136"/>
      <c r="X11136" s="60"/>
    </row>
    <row r="11137" spans="7:24" ht="15" customHeight="1">
      <c r="G11137"/>
      <c r="I11137"/>
      <c r="N11137"/>
      <c r="O11137" s="24"/>
      <c r="P11137"/>
      <c r="Q11137" s="24"/>
      <c r="R11137"/>
      <c r="S11137"/>
      <c r="T11137"/>
      <c r="U11137"/>
      <c r="X11137" s="60"/>
    </row>
    <row r="11138" spans="7:24" ht="15" customHeight="1">
      <c r="G11138"/>
      <c r="I11138"/>
      <c r="N11138"/>
      <c r="O11138" s="24"/>
      <c r="P11138"/>
      <c r="Q11138" s="24"/>
      <c r="R11138"/>
      <c r="S11138"/>
      <c r="T11138"/>
      <c r="U11138"/>
      <c r="X11138" s="60"/>
    </row>
    <row r="11139" spans="7:24" ht="15" customHeight="1">
      <c r="G11139"/>
      <c r="I11139"/>
      <c r="N11139"/>
      <c r="O11139" s="24"/>
      <c r="P11139"/>
      <c r="Q11139" s="24"/>
      <c r="R11139"/>
      <c r="S11139"/>
      <c r="T11139"/>
      <c r="U11139"/>
      <c r="X11139" s="60"/>
    </row>
    <row r="11140" spans="7:24" ht="15" customHeight="1">
      <c r="G11140"/>
      <c r="I11140"/>
      <c r="N11140"/>
      <c r="O11140" s="24"/>
      <c r="P11140"/>
      <c r="Q11140" s="24"/>
      <c r="R11140"/>
      <c r="S11140"/>
      <c r="T11140"/>
      <c r="U11140"/>
      <c r="X11140" s="60"/>
    </row>
    <row r="11141" spans="7:24" ht="15" customHeight="1">
      <c r="G11141"/>
      <c r="I11141"/>
      <c r="N11141"/>
      <c r="O11141" s="24"/>
      <c r="P11141"/>
      <c r="Q11141" s="24"/>
      <c r="R11141"/>
      <c r="S11141"/>
      <c r="T11141"/>
      <c r="U11141"/>
      <c r="X11141" s="60"/>
    </row>
    <row r="11142" spans="7:24" ht="15" customHeight="1">
      <c r="G11142"/>
      <c r="I11142"/>
      <c r="N11142"/>
      <c r="O11142" s="24"/>
      <c r="P11142"/>
      <c r="Q11142" s="24"/>
      <c r="R11142"/>
      <c r="S11142"/>
      <c r="T11142"/>
      <c r="U11142"/>
      <c r="X11142" s="60"/>
    </row>
    <row r="11143" spans="7:24" ht="15" customHeight="1">
      <c r="G11143"/>
      <c r="I11143"/>
      <c r="N11143"/>
      <c r="O11143" s="24"/>
      <c r="P11143"/>
      <c r="Q11143" s="24"/>
      <c r="R11143"/>
      <c r="S11143"/>
      <c r="T11143"/>
      <c r="U11143"/>
      <c r="X11143" s="60"/>
    </row>
    <row r="11144" spans="7:24" ht="15" customHeight="1">
      <c r="G11144"/>
      <c r="I11144"/>
      <c r="N11144"/>
      <c r="O11144" s="24"/>
      <c r="P11144"/>
      <c r="Q11144" s="24"/>
      <c r="R11144"/>
      <c r="S11144"/>
      <c r="T11144"/>
      <c r="U11144"/>
      <c r="X11144" s="60"/>
    </row>
    <row r="11145" spans="7:24" ht="15" customHeight="1">
      <c r="G11145"/>
      <c r="I11145"/>
      <c r="N11145"/>
      <c r="O11145" s="24"/>
      <c r="P11145"/>
      <c r="Q11145" s="24"/>
      <c r="R11145"/>
      <c r="S11145"/>
      <c r="T11145"/>
      <c r="U11145"/>
      <c r="X11145" s="60"/>
    </row>
    <row r="11146" spans="7:24" ht="15" customHeight="1">
      <c r="G11146"/>
      <c r="I11146"/>
      <c r="N11146"/>
      <c r="O11146" s="24"/>
      <c r="P11146"/>
      <c r="Q11146" s="24"/>
      <c r="R11146"/>
      <c r="S11146"/>
      <c r="T11146"/>
      <c r="U11146"/>
      <c r="X11146" s="60"/>
    </row>
    <row r="11147" spans="7:24" ht="15" customHeight="1">
      <c r="G11147"/>
      <c r="I11147"/>
      <c r="N11147"/>
      <c r="O11147" s="24"/>
      <c r="P11147"/>
      <c r="Q11147" s="24"/>
      <c r="R11147"/>
      <c r="S11147"/>
      <c r="T11147"/>
      <c r="U11147"/>
      <c r="X11147" s="60"/>
    </row>
    <row r="11148" spans="7:24" ht="15" customHeight="1">
      <c r="G11148"/>
      <c r="I11148"/>
      <c r="N11148"/>
      <c r="O11148" s="24"/>
      <c r="P11148"/>
      <c r="Q11148" s="24"/>
      <c r="R11148"/>
      <c r="S11148"/>
      <c r="T11148"/>
      <c r="U11148"/>
      <c r="X11148" s="60"/>
    </row>
    <row r="11149" spans="7:24" ht="15" customHeight="1">
      <c r="G11149"/>
      <c r="I11149"/>
      <c r="N11149"/>
      <c r="O11149" s="24"/>
      <c r="P11149"/>
      <c r="Q11149" s="24"/>
      <c r="R11149"/>
      <c r="S11149"/>
      <c r="T11149"/>
      <c r="U11149"/>
      <c r="X11149" s="60"/>
    </row>
    <row r="11150" spans="7:24" ht="15" customHeight="1">
      <c r="G11150"/>
      <c r="I11150"/>
      <c r="N11150"/>
      <c r="O11150" s="24"/>
      <c r="P11150"/>
      <c r="Q11150" s="24"/>
      <c r="R11150"/>
      <c r="S11150"/>
      <c r="T11150"/>
      <c r="U11150"/>
      <c r="X11150" s="60"/>
    </row>
    <row r="11151" spans="7:24" ht="15" customHeight="1">
      <c r="G11151"/>
      <c r="I11151"/>
      <c r="N11151"/>
      <c r="O11151" s="24"/>
      <c r="P11151"/>
      <c r="Q11151" s="24"/>
      <c r="R11151"/>
      <c r="S11151"/>
      <c r="T11151"/>
      <c r="U11151"/>
      <c r="X11151" s="60"/>
    </row>
    <row r="11152" spans="7:24" ht="15" customHeight="1">
      <c r="G11152"/>
      <c r="I11152"/>
      <c r="N11152"/>
      <c r="O11152" s="24"/>
      <c r="P11152"/>
      <c r="Q11152" s="24"/>
      <c r="R11152"/>
      <c r="S11152"/>
      <c r="T11152"/>
      <c r="U11152"/>
      <c r="X11152" s="60"/>
    </row>
    <row r="11153" spans="7:24" ht="15" customHeight="1">
      <c r="G11153"/>
      <c r="I11153"/>
      <c r="N11153"/>
      <c r="O11153" s="24"/>
      <c r="P11153"/>
      <c r="Q11153" s="24"/>
      <c r="R11153"/>
      <c r="S11153"/>
      <c r="T11153"/>
      <c r="U11153"/>
      <c r="X11153" s="60"/>
    </row>
    <row r="11154" spans="7:24" ht="15" customHeight="1">
      <c r="G11154"/>
      <c r="I11154"/>
      <c r="N11154"/>
      <c r="O11154" s="24"/>
      <c r="P11154"/>
      <c r="Q11154" s="24"/>
      <c r="R11154"/>
      <c r="S11154"/>
      <c r="T11154"/>
      <c r="U11154"/>
      <c r="X11154" s="60"/>
    </row>
    <row r="11155" spans="7:24" ht="15" customHeight="1">
      <c r="G11155"/>
      <c r="I11155"/>
      <c r="N11155"/>
      <c r="O11155" s="24"/>
      <c r="P11155"/>
      <c r="Q11155" s="24"/>
      <c r="R11155"/>
      <c r="S11155"/>
      <c r="T11155"/>
      <c r="U11155"/>
      <c r="X11155" s="60"/>
    </row>
    <row r="11156" spans="7:24" ht="15" customHeight="1">
      <c r="G11156"/>
      <c r="I11156"/>
      <c r="N11156"/>
      <c r="O11156" s="24"/>
      <c r="P11156"/>
      <c r="Q11156" s="24"/>
      <c r="R11156"/>
      <c r="S11156"/>
      <c r="T11156"/>
      <c r="U11156"/>
      <c r="X11156" s="60"/>
    </row>
    <row r="11157" spans="7:24" ht="15" customHeight="1">
      <c r="G11157"/>
      <c r="I11157"/>
      <c r="N11157"/>
      <c r="O11157" s="24"/>
      <c r="P11157"/>
      <c r="Q11157" s="24"/>
      <c r="R11157"/>
      <c r="S11157"/>
      <c r="T11157"/>
      <c r="U11157"/>
      <c r="X11157" s="60"/>
    </row>
    <row r="11158" spans="7:24" ht="15" customHeight="1">
      <c r="G11158"/>
      <c r="I11158"/>
      <c r="N11158"/>
      <c r="O11158" s="24"/>
      <c r="P11158"/>
      <c r="Q11158" s="24"/>
      <c r="R11158"/>
      <c r="S11158"/>
      <c r="T11158"/>
      <c r="U11158"/>
      <c r="X11158" s="60"/>
    </row>
    <row r="11159" spans="7:24" ht="15" customHeight="1">
      <c r="G11159"/>
      <c r="I11159"/>
      <c r="N11159"/>
      <c r="O11159" s="24"/>
      <c r="P11159"/>
      <c r="Q11159" s="24"/>
      <c r="R11159"/>
      <c r="S11159"/>
      <c r="T11159"/>
      <c r="U11159"/>
      <c r="X11159" s="60"/>
    </row>
    <row r="11160" spans="7:24" ht="15" customHeight="1">
      <c r="G11160"/>
      <c r="I11160"/>
      <c r="N11160"/>
      <c r="O11160" s="24"/>
      <c r="P11160"/>
      <c r="Q11160" s="24"/>
      <c r="R11160"/>
      <c r="S11160"/>
      <c r="T11160"/>
      <c r="U11160"/>
      <c r="X11160" s="60"/>
    </row>
    <row r="11161" spans="7:24" ht="15" customHeight="1">
      <c r="G11161"/>
      <c r="I11161"/>
      <c r="N11161"/>
      <c r="O11161" s="24"/>
      <c r="P11161"/>
      <c r="Q11161" s="24"/>
      <c r="R11161"/>
      <c r="S11161"/>
      <c r="T11161"/>
      <c r="U11161"/>
      <c r="X11161" s="60"/>
    </row>
    <row r="11162" spans="7:24" ht="15" customHeight="1">
      <c r="G11162"/>
      <c r="I11162"/>
      <c r="N11162"/>
      <c r="O11162" s="24"/>
      <c r="P11162"/>
      <c r="Q11162" s="24"/>
      <c r="R11162"/>
      <c r="S11162"/>
      <c r="T11162"/>
      <c r="U11162"/>
      <c r="X11162" s="60"/>
    </row>
    <row r="11163" spans="7:24" ht="15" customHeight="1">
      <c r="G11163"/>
      <c r="I11163"/>
      <c r="N11163"/>
      <c r="O11163" s="24"/>
      <c r="P11163"/>
      <c r="Q11163" s="24"/>
      <c r="R11163"/>
      <c r="S11163"/>
      <c r="T11163"/>
      <c r="U11163"/>
      <c r="X11163" s="60"/>
    </row>
    <row r="11164" spans="7:24" ht="15" customHeight="1">
      <c r="G11164"/>
      <c r="I11164"/>
      <c r="N11164"/>
      <c r="O11164" s="24"/>
      <c r="P11164"/>
      <c r="Q11164" s="24"/>
      <c r="R11164"/>
      <c r="S11164"/>
      <c r="T11164"/>
      <c r="U11164"/>
      <c r="X11164" s="60"/>
    </row>
    <row r="11165" spans="7:24" ht="15" customHeight="1">
      <c r="G11165"/>
      <c r="I11165"/>
      <c r="N11165"/>
      <c r="O11165" s="24"/>
      <c r="P11165"/>
      <c r="Q11165" s="24"/>
      <c r="R11165"/>
      <c r="S11165"/>
      <c r="T11165"/>
      <c r="U11165"/>
      <c r="X11165" s="60"/>
    </row>
    <row r="11166" spans="7:24" ht="15" customHeight="1">
      <c r="G11166"/>
      <c r="I11166"/>
      <c r="N11166"/>
      <c r="O11166" s="24"/>
      <c r="P11166"/>
      <c r="Q11166" s="24"/>
      <c r="R11166"/>
      <c r="S11166"/>
      <c r="T11166"/>
      <c r="U11166"/>
      <c r="X11166" s="60"/>
    </row>
    <row r="11167" spans="7:24" ht="15" customHeight="1">
      <c r="G11167"/>
      <c r="I11167"/>
      <c r="N11167"/>
      <c r="O11167" s="24"/>
      <c r="P11167"/>
      <c r="Q11167" s="24"/>
      <c r="R11167"/>
      <c r="S11167"/>
      <c r="T11167"/>
      <c r="U11167"/>
      <c r="X11167" s="60"/>
    </row>
    <row r="11168" spans="7:24" ht="15" customHeight="1">
      <c r="G11168"/>
      <c r="I11168"/>
      <c r="N11168"/>
      <c r="O11168" s="24"/>
      <c r="P11168"/>
      <c r="Q11168" s="24"/>
      <c r="R11168"/>
      <c r="S11168"/>
      <c r="T11168"/>
      <c r="U11168"/>
      <c r="X11168" s="60"/>
    </row>
    <row r="11169" spans="7:24" ht="15" customHeight="1">
      <c r="G11169"/>
      <c r="I11169"/>
      <c r="N11169"/>
      <c r="O11169" s="24"/>
      <c r="P11169"/>
      <c r="Q11169" s="24"/>
      <c r="R11169"/>
      <c r="S11169"/>
      <c r="T11169"/>
      <c r="U11169"/>
      <c r="X11169" s="60"/>
    </row>
    <row r="11170" spans="7:24" ht="15" customHeight="1">
      <c r="G11170"/>
      <c r="I11170"/>
      <c r="N11170"/>
      <c r="O11170" s="24"/>
      <c r="P11170"/>
      <c r="Q11170" s="24"/>
      <c r="R11170"/>
      <c r="S11170"/>
      <c r="T11170"/>
      <c r="U11170"/>
      <c r="X11170" s="60"/>
    </row>
    <row r="11171" spans="7:24" ht="15" customHeight="1">
      <c r="G11171"/>
      <c r="I11171"/>
      <c r="N11171"/>
      <c r="O11171" s="24"/>
      <c r="P11171"/>
      <c r="Q11171" s="24"/>
      <c r="R11171"/>
      <c r="S11171"/>
      <c r="T11171"/>
      <c r="U11171"/>
      <c r="X11171" s="60"/>
    </row>
    <row r="11172" spans="7:24" ht="15" customHeight="1">
      <c r="G11172"/>
      <c r="I11172"/>
      <c r="N11172"/>
      <c r="O11172" s="24"/>
      <c r="P11172"/>
      <c r="Q11172" s="24"/>
      <c r="R11172"/>
      <c r="S11172"/>
      <c r="T11172"/>
      <c r="U11172"/>
      <c r="X11172" s="60"/>
    </row>
    <row r="11173" spans="7:24" ht="15" customHeight="1">
      <c r="G11173"/>
      <c r="I11173"/>
      <c r="N11173"/>
      <c r="O11173" s="24"/>
      <c r="P11173"/>
      <c r="Q11173" s="24"/>
      <c r="R11173"/>
      <c r="S11173"/>
      <c r="T11173"/>
      <c r="U11173"/>
      <c r="X11173" s="60"/>
    </row>
    <row r="11174" spans="7:24" ht="15" customHeight="1">
      <c r="G11174"/>
      <c r="I11174"/>
      <c r="N11174"/>
      <c r="O11174" s="24"/>
      <c r="P11174"/>
      <c r="Q11174" s="24"/>
      <c r="R11174"/>
      <c r="S11174"/>
      <c r="T11174"/>
      <c r="U11174"/>
      <c r="X11174" s="60"/>
    </row>
    <row r="11175" spans="7:24" ht="15" customHeight="1">
      <c r="G11175"/>
      <c r="I11175"/>
      <c r="N11175"/>
      <c r="O11175" s="24"/>
      <c r="P11175"/>
      <c r="Q11175" s="24"/>
      <c r="R11175"/>
      <c r="S11175"/>
      <c r="T11175"/>
      <c r="U11175"/>
      <c r="X11175" s="60"/>
    </row>
    <row r="11176" spans="7:24" ht="15" customHeight="1">
      <c r="G11176"/>
      <c r="I11176"/>
      <c r="N11176"/>
      <c r="O11176" s="24"/>
      <c r="P11176"/>
      <c r="Q11176" s="24"/>
      <c r="R11176"/>
      <c r="S11176"/>
      <c r="T11176"/>
      <c r="U11176"/>
      <c r="X11176" s="60"/>
    </row>
    <row r="11177" spans="7:24" ht="15" customHeight="1">
      <c r="G11177"/>
      <c r="I11177"/>
      <c r="N11177"/>
      <c r="O11177" s="24"/>
      <c r="P11177"/>
      <c r="Q11177" s="24"/>
      <c r="R11177"/>
      <c r="S11177"/>
      <c r="T11177"/>
      <c r="U11177"/>
      <c r="X11177" s="60"/>
    </row>
    <row r="11178" spans="7:24" ht="15" customHeight="1">
      <c r="G11178"/>
      <c r="I11178"/>
      <c r="N11178"/>
      <c r="O11178" s="24"/>
      <c r="P11178"/>
      <c r="Q11178" s="24"/>
      <c r="R11178"/>
      <c r="S11178"/>
      <c r="T11178"/>
      <c r="U11178"/>
      <c r="X11178" s="60"/>
    </row>
    <row r="11179" spans="7:24" ht="15" customHeight="1">
      <c r="G11179"/>
      <c r="I11179"/>
      <c r="N11179"/>
      <c r="O11179" s="24"/>
      <c r="P11179"/>
      <c r="Q11179" s="24"/>
      <c r="R11179"/>
      <c r="S11179"/>
      <c r="T11179"/>
      <c r="U11179"/>
      <c r="X11179" s="60"/>
    </row>
    <row r="11180" spans="7:24" ht="15" customHeight="1">
      <c r="G11180"/>
      <c r="I11180"/>
      <c r="N11180"/>
      <c r="O11180" s="24"/>
      <c r="P11180"/>
      <c r="Q11180" s="24"/>
      <c r="R11180"/>
      <c r="S11180"/>
      <c r="T11180"/>
      <c r="U11180"/>
      <c r="X11180" s="60"/>
    </row>
    <row r="11181" spans="7:24" ht="15" customHeight="1">
      <c r="G11181"/>
      <c r="I11181"/>
      <c r="N11181"/>
      <c r="O11181" s="24"/>
      <c r="P11181"/>
      <c r="Q11181" s="24"/>
      <c r="R11181"/>
      <c r="S11181"/>
      <c r="T11181"/>
      <c r="U11181"/>
      <c r="X11181" s="60"/>
    </row>
    <row r="11182" spans="7:24" ht="15" customHeight="1">
      <c r="G11182"/>
      <c r="I11182"/>
      <c r="N11182"/>
      <c r="O11182" s="24"/>
      <c r="P11182"/>
      <c r="Q11182" s="24"/>
      <c r="R11182"/>
      <c r="S11182"/>
      <c r="T11182"/>
      <c r="U11182"/>
      <c r="X11182" s="60"/>
    </row>
    <row r="11183" spans="7:24" ht="15" customHeight="1">
      <c r="G11183"/>
      <c r="I11183"/>
      <c r="N11183"/>
      <c r="O11183" s="24"/>
      <c r="P11183"/>
      <c r="Q11183" s="24"/>
      <c r="R11183"/>
      <c r="S11183"/>
      <c r="T11183"/>
      <c r="U11183"/>
      <c r="X11183" s="60"/>
    </row>
    <row r="11184" spans="7:24" ht="15" customHeight="1">
      <c r="G11184"/>
      <c r="I11184"/>
      <c r="N11184"/>
      <c r="O11184" s="24"/>
      <c r="P11184"/>
      <c r="Q11184" s="24"/>
      <c r="R11184"/>
      <c r="S11184"/>
      <c r="T11184"/>
      <c r="U11184"/>
      <c r="X11184" s="60"/>
    </row>
    <row r="11185" spans="7:24" ht="15" customHeight="1">
      <c r="G11185"/>
      <c r="I11185"/>
      <c r="N11185"/>
      <c r="O11185" s="24"/>
      <c r="P11185"/>
      <c r="Q11185" s="24"/>
      <c r="R11185"/>
      <c r="S11185"/>
      <c r="T11185"/>
      <c r="U11185"/>
      <c r="X11185" s="60"/>
    </row>
    <row r="11186" spans="7:24" ht="15" customHeight="1">
      <c r="G11186"/>
      <c r="I11186"/>
      <c r="N11186"/>
      <c r="O11186" s="24"/>
      <c r="P11186"/>
      <c r="Q11186" s="24"/>
      <c r="R11186"/>
      <c r="S11186"/>
      <c r="T11186"/>
      <c r="U11186"/>
      <c r="X11186" s="60"/>
    </row>
    <row r="11187" spans="7:24" ht="15" customHeight="1">
      <c r="G11187"/>
      <c r="I11187"/>
      <c r="N11187"/>
      <c r="O11187" s="24"/>
      <c r="P11187"/>
      <c r="Q11187" s="24"/>
      <c r="R11187"/>
      <c r="S11187"/>
      <c r="T11187"/>
      <c r="U11187"/>
      <c r="X11187" s="60"/>
    </row>
    <row r="11188" spans="7:24" ht="15" customHeight="1">
      <c r="G11188"/>
      <c r="I11188"/>
      <c r="N11188"/>
      <c r="O11188" s="24"/>
      <c r="P11188"/>
      <c r="Q11188" s="24"/>
      <c r="R11188"/>
      <c r="S11188"/>
      <c r="T11188"/>
      <c r="U11188"/>
      <c r="X11188" s="60"/>
    </row>
    <row r="11189" spans="7:24" ht="15" customHeight="1">
      <c r="G11189"/>
      <c r="I11189"/>
      <c r="N11189"/>
      <c r="O11189" s="24"/>
      <c r="P11189"/>
      <c r="Q11189" s="24"/>
      <c r="R11189"/>
      <c r="S11189"/>
      <c r="T11189"/>
      <c r="U11189"/>
      <c r="X11189" s="60"/>
    </row>
    <row r="11190" spans="7:24" ht="15" customHeight="1">
      <c r="G11190"/>
      <c r="I11190"/>
      <c r="N11190"/>
      <c r="O11190" s="24"/>
      <c r="P11190"/>
      <c r="Q11190" s="24"/>
      <c r="R11190"/>
      <c r="S11190"/>
      <c r="T11190"/>
      <c r="U11190"/>
      <c r="X11190" s="60"/>
    </row>
    <row r="11191" spans="7:24" ht="15" customHeight="1">
      <c r="G11191"/>
      <c r="I11191"/>
      <c r="N11191"/>
      <c r="O11191" s="24"/>
      <c r="P11191"/>
      <c r="Q11191" s="24"/>
      <c r="R11191"/>
      <c r="S11191"/>
      <c r="T11191"/>
      <c r="U11191"/>
      <c r="X11191" s="60"/>
    </row>
    <row r="11192" spans="7:24" ht="15" customHeight="1">
      <c r="G11192"/>
      <c r="I11192"/>
      <c r="N11192"/>
      <c r="O11192" s="24"/>
      <c r="P11192"/>
      <c r="Q11192" s="24"/>
      <c r="R11192"/>
      <c r="S11192"/>
      <c r="T11192"/>
      <c r="U11192"/>
      <c r="X11192" s="60"/>
    </row>
    <row r="11193" spans="7:24" ht="15" customHeight="1">
      <c r="G11193"/>
      <c r="I11193"/>
      <c r="N11193"/>
      <c r="O11193" s="24"/>
      <c r="P11193"/>
      <c r="Q11193" s="24"/>
      <c r="R11193"/>
      <c r="S11193"/>
      <c r="T11193"/>
      <c r="U11193"/>
      <c r="X11193" s="60"/>
    </row>
    <row r="11194" spans="7:24" ht="15" customHeight="1">
      <c r="G11194"/>
      <c r="I11194"/>
      <c r="N11194"/>
      <c r="O11194" s="24"/>
      <c r="P11194"/>
      <c r="Q11194" s="24"/>
      <c r="R11194"/>
      <c r="S11194"/>
      <c r="T11194"/>
      <c r="U11194"/>
      <c r="X11194" s="60"/>
    </row>
    <row r="11195" spans="7:24" ht="15" customHeight="1">
      <c r="G11195"/>
      <c r="I11195"/>
      <c r="N11195"/>
      <c r="O11195" s="24"/>
      <c r="P11195"/>
      <c r="Q11195" s="24"/>
      <c r="R11195"/>
      <c r="S11195"/>
      <c r="T11195"/>
      <c r="U11195"/>
      <c r="X11195" s="60"/>
    </row>
    <row r="11196" spans="7:24" ht="15" customHeight="1">
      <c r="G11196"/>
      <c r="I11196"/>
      <c r="N11196"/>
      <c r="O11196" s="24"/>
      <c r="P11196"/>
      <c r="Q11196" s="24"/>
      <c r="R11196"/>
      <c r="S11196"/>
      <c r="T11196"/>
      <c r="U11196"/>
      <c r="X11196" s="60"/>
    </row>
    <row r="11197" spans="7:24" ht="15" customHeight="1">
      <c r="G11197"/>
      <c r="I11197"/>
      <c r="N11197"/>
      <c r="O11197" s="24"/>
      <c r="P11197"/>
      <c r="Q11197" s="24"/>
      <c r="R11197"/>
      <c r="S11197"/>
      <c r="T11197"/>
      <c r="U11197"/>
      <c r="X11197" s="60"/>
    </row>
    <row r="11198" spans="7:24" ht="15" customHeight="1">
      <c r="G11198"/>
      <c r="I11198"/>
      <c r="N11198"/>
      <c r="O11198" s="24"/>
      <c r="P11198"/>
      <c r="Q11198" s="24"/>
      <c r="R11198"/>
      <c r="S11198"/>
      <c r="T11198"/>
      <c r="U11198"/>
      <c r="X11198" s="60"/>
    </row>
    <row r="11199" spans="7:24" ht="15" customHeight="1">
      <c r="G11199"/>
      <c r="I11199"/>
      <c r="N11199"/>
      <c r="O11199" s="24"/>
      <c r="P11199"/>
      <c r="Q11199" s="24"/>
      <c r="R11199"/>
      <c r="S11199"/>
      <c r="T11199"/>
      <c r="U11199"/>
      <c r="X11199" s="60"/>
    </row>
    <row r="11200" spans="7:24" ht="15" customHeight="1">
      <c r="G11200"/>
      <c r="I11200"/>
      <c r="N11200"/>
      <c r="O11200" s="24"/>
      <c r="P11200"/>
      <c r="Q11200" s="24"/>
      <c r="R11200"/>
      <c r="S11200"/>
      <c r="T11200"/>
      <c r="U11200"/>
      <c r="X11200" s="60"/>
    </row>
    <row r="11201" spans="7:24" ht="15" customHeight="1">
      <c r="G11201"/>
      <c r="I11201"/>
      <c r="N11201"/>
      <c r="O11201" s="24"/>
      <c r="P11201"/>
      <c r="Q11201" s="24"/>
      <c r="R11201"/>
      <c r="S11201"/>
      <c r="T11201"/>
      <c r="U11201"/>
      <c r="X11201" s="60"/>
    </row>
    <row r="11202" spans="7:24" ht="15" customHeight="1">
      <c r="G11202"/>
      <c r="I11202"/>
      <c r="N11202"/>
      <c r="O11202" s="24"/>
      <c r="P11202"/>
      <c r="Q11202" s="24"/>
      <c r="R11202"/>
      <c r="S11202"/>
      <c r="T11202"/>
      <c r="U11202"/>
      <c r="X11202" s="60"/>
    </row>
    <row r="11203" spans="7:24" ht="15" customHeight="1">
      <c r="G11203"/>
      <c r="I11203"/>
      <c r="N11203"/>
      <c r="O11203" s="24"/>
      <c r="P11203"/>
      <c r="Q11203" s="24"/>
      <c r="R11203"/>
      <c r="S11203"/>
      <c r="T11203"/>
      <c r="U11203"/>
      <c r="X11203" s="60"/>
    </row>
    <row r="11204" spans="7:24" ht="15" customHeight="1">
      <c r="G11204"/>
      <c r="I11204"/>
      <c r="N11204"/>
      <c r="O11204" s="24"/>
      <c r="P11204"/>
      <c r="Q11204" s="24"/>
      <c r="R11204"/>
      <c r="S11204"/>
      <c r="T11204"/>
      <c r="U11204"/>
      <c r="X11204" s="60"/>
    </row>
    <row r="11205" spans="7:24" ht="15" customHeight="1">
      <c r="G11205"/>
      <c r="I11205"/>
      <c r="N11205"/>
      <c r="O11205" s="24"/>
      <c r="P11205"/>
      <c r="Q11205" s="24"/>
      <c r="R11205"/>
      <c r="S11205"/>
      <c r="T11205"/>
      <c r="U11205"/>
      <c r="X11205" s="60"/>
    </row>
    <row r="11206" spans="7:24" ht="15" customHeight="1">
      <c r="G11206"/>
      <c r="I11206"/>
      <c r="N11206"/>
      <c r="O11206" s="24"/>
      <c r="P11206"/>
      <c r="Q11206" s="24"/>
      <c r="R11206"/>
      <c r="S11206"/>
      <c r="T11206"/>
      <c r="U11206"/>
      <c r="X11206" s="60"/>
    </row>
    <row r="11207" spans="7:24" ht="15" customHeight="1">
      <c r="G11207"/>
      <c r="I11207"/>
      <c r="N11207"/>
      <c r="O11207" s="24"/>
      <c r="P11207"/>
      <c r="Q11207" s="24"/>
      <c r="R11207"/>
      <c r="S11207"/>
      <c r="T11207"/>
      <c r="U11207"/>
      <c r="X11207" s="60"/>
    </row>
    <row r="11208" spans="7:24" ht="15" customHeight="1">
      <c r="G11208"/>
      <c r="I11208"/>
      <c r="N11208"/>
      <c r="O11208" s="24"/>
      <c r="P11208"/>
      <c r="Q11208" s="24"/>
      <c r="R11208"/>
      <c r="S11208"/>
      <c r="T11208"/>
      <c r="U11208"/>
      <c r="X11208" s="60"/>
    </row>
    <row r="11209" spans="7:24" ht="15" customHeight="1">
      <c r="G11209"/>
      <c r="I11209"/>
      <c r="N11209"/>
      <c r="O11209" s="24"/>
      <c r="P11209"/>
      <c r="Q11209" s="24"/>
      <c r="R11209"/>
      <c r="S11209"/>
      <c r="T11209"/>
      <c r="U11209"/>
      <c r="X11209" s="60"/>
    </row>
    <row r="11210" spans="7:24" ht="15" customHeight="1">
      <c r="G11210"/>
      <c r="I11210"/>
      <c r="N11210"/>
      <c r="O11210" s="24"/>
      <c r="P11210"/>
      <c r="Q11210" s="24"/>
      <c r="R11210"/>
      <c r="S11210"/>
      <c r="T11210"/>
      <c r="U11210"/>
      <c r="X11210" s="60"/>
    </row>
    <row r="11211" spans="7:24" ht="15" customHeight="1">
      <c r="G11211"/>
      <c r="I11211"/>
      <c r="N11211"/>
      <c r="O11211" s="24"/>
      <c r="P11211"/>
      <c r="Q11211" s="24"/>
      <c r="R11211"/>
      <c r="S11211"/>
      <c r="T11211"/>
      <c r="U11211"/>
      <c r="X11211" s="60"/>
    </row>
    <row r="11212" spans="7:24" ht="15" customHeight="1">
      <c r="G11212"/>
      <c r="I11212"/>
      <c r="N11212"/>
      <c r="O11212" s="24"/>
      <c r="P11212"/>
      <c r="Q11212" s="24"/>
      <c r="R11212"/>
      <c r="S11212"/>
      <c r="T11212"/>
      <c r="U11212"/>
      <c r="X11212" s="60"/>
    </row>
    <row r="11213" spans="7:24" ht="15" customHeight="1">
      <c r="G11213"/>
      <c r="I11213"/>
      <c r="N11213"/>
      <c r="O11213" s="24"/>
      <c r="P11213"/>
      <c r="Q11213" s="24"/>
      <c r="R11213"/>
      <c r="S11213"/>
      <c r="T11213"/>
      <c r="U11213"/>
      <c r="X11213" s="60"/>
    </row>
    <row r="11214" spans="7:24" ht="15" customHeight="1">
      <c r="G11214"/>
      <c r="I11214"/>
      <c r="N11214"/>
      <c r="O11214" s="24"/>
      <c r="P11214"/>
      <c r="Q11214" s="24"/>
      <c r="R11214"/>
      <c r="S11214"/>
      <c r="T11214"/>
      <c r="U11214"/>
      <c r="X11214" s="60"/>
    </row>
    <row r="11215" spans="7:24" ht="15" customHeight="1">
      <c r="G11215"/>
      <c r="I11215"/>
      <c r="N11215"/>
      <c r="O11215" s="24"/>
      <c r="P11215"/>
      <c r="Q11215" s="24"/>
      <c r="R11215"/>
      <c r="S11215"/>
      <c r="T11215"/>
      <c r="U11215"/>
      <c r="X11215" s="60"/>
    </row>
    <row r="11216" spans="7:24" ht="15" customHeight="1">
      <c r="G11216"/>
      <c r="I11216"/>
      <c r="N11216"/>
      <c r="O11216" s="24"/>
      <c r="P11216"/>
      <c r="Q11216" s="24"/>
      <c r="R11216"/>
      <c r="S11216"/>
      <c r="T11216"/>
      <c r="U11216"/>
      <c r="X11216" s="60"/>
    </row>
    <row r="11217" spans="7:24" ht="15" customHeight="1">
      <c r="G11217"/>
      <c r="I11217"/>
      <c r="N11217"/>
      <c r="O11217" s="24"/>
      <c r="P11217"/>
      <c r="Q11217" s="24"/>
      <c r="R11217"/>
      <c r="S11217"/>
      <c r="T11217"/>
      <c r="U11217"/>
      <c r="X11217" s="60"/>
    </row>
    <row r="11218" spans="7:24" ht="15" customHeight="1">
      <c r="G11218"/>
      <c r="I11218"/>
      <c r="N11218"/>
      <c r="O11218" s="24"/>
      <c r="P11218"/>
      <c r="Q11218" s="24"/>
      <c r="R11218"/>
      <c r="S11218"/>
      <c r="T11218"/>
      <c r="U11218"/>
      <c r="X11218" s="60"/>
    </row>
    <row r="11219" spans="7:24" ht="15" customHeight="1">
      <c r="G11219"/>
      <c r="I11219"/>
      <c r="N11219"/>
      <c r="O11219" s="24"/>
      <c r="P11219"/>
      <c r="Q11219" s="24"/>
      <c r="R11219"/>
      <c r="S11219"/>
      <c r="T11219"/>
      <c r="U11219"/>
      <c r="X11219" s="60"/>
    </row>
    <row r="11220" spans="7:24" ht="15" customHeight="1">
      <c r="G11220"/>
      <c r="I11220"/>
      <c r="N11220"/>
      <c r="O11220" s="24"/>
      <c r="P11220"/>
      <c r="Q11220" s="24"/>
      <c r="R11220"/>
      <c r="S11220"/>
      <c r="T11220"/>
      <c r="U11220"/>
      <c r="X11220" s="60"/>
    </row>
    <row r="11221" spans="7:24" ht="15" customHeight="1">
      <c r="G11221"/>
      <c r="I11221"/>
      <c r="N11221"/>
      <c r="O11221" s="24"/>
      <c r="P11221"/>
      <c r="Q11221" s="24"/>
      <c r="R11221"/>
      <c r="S11221"/>
      <c r="T11221"/>
      <c r="U11221"/>
      <c r="X11221" s="60"/>
    </row>
    <row r="11222" spans="7:24" ht="15" customHeight="1">
      <c r="G11222"/>
      <c r="I11222"/>
      <c r="N11222"/>
      <c r="O11222" s="24"/>
      <c r="P11222"/>
      <c r="Q11222" s="24"/>
      <c r="R11222"/>
      <c r="S11222"/>
      <c r="T11222"/>
      <c r="U11222"/>
      <c r="X11222" s="60"/>
    </row>
    <row r="11223" spans="7:24" ht="15" customHeight="1">
      <c r="G11223"/>
      <c r="I11223"/>
      <c r="N11223"/>
      <c r="O11223" s="24"/>
      <c r="P11223"/>
      <c r="Q11223" s="24"/>
      <c r="R11223"/>
      <c r="S11223"/>
      <c r="T11223"/>
      <c r="U11223"/>
      <c r="X11223" s="60"/>
    </row>
    <row r="11224" spans="7:24" ht="15" customHeight="1">
      <c r="G11224"/>
      <c r="I11224"/>
      <c r="N11224"/>
      <c r="O11224" s="24"/>
      <c r="P11224"/>
      <c r="Q11224" s="24"/>
      <c r="R11224"/>
      <c r="S11224"/>
      <c r="T11224"/>
      <c r="U11224"/>
      <c r="X11224" s="60"/>
    </row>
    <row r="11225" spans="7:24" ht="15" customHeight="1">
      <c r="G11225"/>
      <c r="I11225"/>
      <c r="N11225"/>
      <c r="O11225" s="24"/>
      <c r="P11225"/>
      <c r="Q11225" s="24"/>
      <c r="R11225"/>
      <c r="S11225"/>
      <c r="T11225"/>
      <c r="U11225"/>
      <c r="X11225" s="60"/>
    </row>
    <row r="11226" spans="7:24" ht="15" customHeight="1">
      <c r="G11226"/>
      <c r="I11226"/>
      <c r="N11226"/>
      <c r="O11226" s="24"/>
      <c r="P11226"/>
      <c r="Q11226" s="24"/>
      <c r="R11226"/>
      <c r="S11226"/>
      <c r="T11226"/>
      <c r="U11226"/>
      <c r="X11226" s="60"/>
    </row>
    <row r="11227" spans="7:24" ht="15" customHeight="1">
      <c r="G11227"/>
      <c r="I11227"/>
      <c r="N11227"/>
      <c r="O11227" s="24"/>
      <c r="P11227"/>
      <c r="Q11227" s="24"/>
      <c r="R11227"/>
      <c r="S11227"/>
      <c r="T11227"/>
      <c r="U11227"/>
      <c r="X11227" s="60"/>
    </row>
    <row r="11228" spans="7:24" ht="15" customHeight="1">
      <c r="G11228"/>
      <c r="I11228"/>
      <c r="N11228"/>
      <c r="O11228" s="24"/>
      <c r="P11228"/>
      <c r="Q11228" s="24"/>
      <c r="R11228"/>
      <c r="S11228"/>
      <c r="T11228"/>
      <c r="U11228"/>
      <c r="X11228" s="60"/>
    </row>
    <row r="11229" spans="7:24" ht="15" customHeight="1">
      <c r="G11229"/>
      <c r="I11229"/>
      <c r="N11229"/>
      <c r="O11229" s="24"/>
      <c r="P11229"/>
      <c r="Q11229" s="24"/>
      <c r="R11229"/>
      <c r="S11229"/>
      <c r="T11229"/>
      <c r="U11229"/>
      <c r="X11229" s="60"/>
    </row>
    <row r="11230" spans="7:24" ht="15" customHeight="1">
      <c r="G11230"/>
      <c r="I11230"/>
      <c r="N11230"/>
      <c r="O11230" s="24"/>
      <c r="P11230"/>
      <c r="Q11230" s="24"/>
      <c r="R11230"/>
      <c r="S11230"/>
      <c r="T11230"/>
      <c r="U11230"/>
      <c r="X11230" s="60"/>
    </row>
    <row r="11231" spans="7:24" ht="15" customHeight="1">
      <c r="G11231"/>
      <c r="I11231"/>
      <c r="N11231"/>
      <c r="O11231" s="24"/>
      <c r="P11231"/>
      <c r="Q11231" s="24"/>
      <c r="R11231"/>
      <c r="S11231"/>
      <c r="T11231"/>
      <c r="U11231"/>
      <c r="X11231" s="60"/>
    </row>
    <row r="11232" spans="7:24" ht="15" customHeight="1">
      <c r="G11232"/>
      <c r="I11232"/>
      <c r="N11232"/>
      <c r="O11232" s="24"/>
      <c r="P11232"/>
      <c r="Q11232" s="24"/>
      <c r="R11232"/>
      <c r="S11232"/>
      <c r="T11232"/>
      <c r="U11232"/>
      <c r="X11232" s="60"/>
    </row>
    <row r="11233" spans="7:24" ht="15" customHeight="1">
      <c r="G11233"/>
      <c r="I11233"/>
      <c r="N11233"/>
      <c r="O11233" s="24"/>
      <c r="P11233"/>
      <c r="Q11233" s="24"/>
      <c r="R11233"/>
      <c r="S11233"/>
      <c r="T11233"/>
      <c r="U11233"/>
      <c r="X11233" s="60"/>
    </row>
    <row r="11234" spans="7:24" ht="15" customHeight="1">
      <c r="G11234"/>
      <c r="I11234"/>
      <c r="N11234"/>
      <c r="O11234" s="24"/>
      <c r="P11234"/>
      <c r="Q11234" s="24"/>
      <c r="R11234"/>
      <c r="S11234"/>
      <c r="T11234"/>
      <c r="U11234"/>
      <c r="X11234" s="60"/>
    </row>
    <row r="11235" spans="7:24" ht="15" customHeight="1">
      <c r="G11235"/>
      <c r="I11235"/>
      <c r="N11235"/>
      <c r="O11235" s="24"/>
      <c r="P11235"/>
      <c r="Q11235" s="24"/>
      <c r="R11235"/>
      <c r="S11235"/>
      <c r="T11235"/>
      <c r="U11235"/>
      <c r="X11235" s="60"/>
    </row>
    <row r="11236" spans="7:24" ht="15" customHeight="1">
      <c r="G11236"/>
      <c r="I11236"/>
      <c r="N11236"/>
      <c r="O11236" s="24"/>
      <c r="P11236"/>
      <c r="Q11236" s="24"/>
      <c r="R11236"/>
      <c r="S11236"/>
      <c r="T11236"/>
      <c r="U11236"/>
      <c r="X11236" s="60"/>
    </row>
    <row r="11237" spans="7:24" ht="15" customHeight="1">
      <c r="G11237"/>
      <c r="I11237"/>
      <c r="N11237"/>
      <c r="O11237" s="24"/>
      <c r="P11237"/>
      <c r="Q11237" s="24"/>
      <c r="R11237"/>
      <c r="S11237"/>
      <c r="T11237"/>
      <c r="U11237"/>
      <c r="X11237" s="60"/>
    </row>
    <row r="11238" spans="7:24" ht="15" customHeight="1">
      <c r="G11238"/>
      <c r="I11238"/>
      <c r="N11238"/>
      <c r="O11238" s="24"/>
      <c r="P11238"/>
      <c r="Q11238" s="24"/>
      <c r="R11238"/>
      <c r="S11238"/>
      <c r="T11238"/>
      <c r="U11238"/>
      <c r="X11238" s="60"/>
    </row>
    <row r="11239" spans="7:24" ht="15" customHeight="1">
      <c r="G11239"/>
      <c r="I11239"/>
      <c r="N11239"/>
      <c r="O11239" s="24"/>
      <c r="P11239"/>
      <c r="Q11239" s="24"/>
      <c r="R11239"/>
      <c r="S11239"/>
      <c r="T11239"/>
      <c r="U11239"/>
      <c r="X11239" s="60"/>
    </row>
    <row r="11240" spans="7:24" ht="15" customHeight="1">
      <c r="G11240"/>
      <c r="I11240"/>
      <c r="N11240"/>
      <c r="O11240" s="24"/>
      <c r="P11240"/>
      <c r="Q11240" s="24"/>
      <c r="R11240"/>
      <c r="S11240"/>
      <c r="T11240"/>
      <c r="U11240"/>
      <c r="X11240" s="60"/>
    </row>
    <row r="11241" spans="7:24" ht="15" customHeight="1">
      <c r="G11241"/>
      <c r="I11241"/>
      <c r="N11241"/>
      <c r="O11241" s="24"/>
      <c r="P11241"/>
      <c r="Q11241" s="24"/>
      <c r="R11241"/>
      <c r="S11241"/>
      <c r="T11241"/>
      <c r="U11241"/>
      <c r="X11241" s="60"/>
    </row>
    <row r="11242" spans="7:24" ht="15" customHeight="1">
      <c r="G11242"/>
      <c r="I11242"/>
      <c r="N11242"/>
      <c r="O11242" s="24"/>
      <c r="P11242"/>
      <c r="Q11242" s="24"/>
      <c r="R11242"/>
      <c r="S11242"/>
      <c r="T11242"/>
      <c r="U11242"/>
      <c r="X11242" s="60"/>
    </row>
    <row r="11243" spans="7:24" ht="15" customHeight="1">
      <c r="G11243"/>
      <c r="I11243"/>
      <c r="N11243"/>
      <c r="O11243" s="24"/>
      <c r="P11243"/>
      <c r="Q11243" s="24"/>
      <c r="R11243"/>
      <c r="S11243"/>
      <c r="T11243"/>
      <c r="U11243"/>
      <c r="X11243" s="60"/>
    </row>
    <row r="11244" spans="7:24" ht="15" customHeight="1">
      <c r="G11244"/>
      <c r="I11244"/>
      <c r="N11244"/>
      <c r="O11244" s="24"/>
      <c r="P11244"/>
      <c r="Q11244" s="24"/>
      <c r="R11244"/>
      <c r="S11244"/>
      <c r="T11244"/>
      <c r="U11244"/>
      <c r="X11244" s="60"/>
    </row>
    <row r="11245" spans="7:24" ht="15" customHeight="1">
      <c r="G11245"/>
      <c r="I11245"/>
      <c r="N11245"/>
      <c r="O11245" s="24"/>
      <c r="P11245"/>
      <c r="Q11245" s="24"/>
      <c r="R11245"/>
      <c r="S11245"/>
      <c r="T11245"/>
      <c r="U11245"/>
      <c r="X11245" s="60"/>
    </row>
    <row r="11246" spans="7:24" ht="15" customHeight="1">
      <c r="G11246"/>
      <c r="I11246"/>
      <c r="N11246"/>
      <c r="O11246" s="24"/>
      <c r="P11246"/>
      <c r="Q11246" s="24"/>
      <c r="R11246"/>
      <c r="S11246"/>
      <c r="T11246"/>
      <c r="U11246"/>
      <c r="X11246" s="60"/>
    </row>
    <row r="11247" spans="7:24" ht="15" customHeight="1">
      <c r="G11247"/>
      <c r="I11247"/>
      <c r="N11247"/>
      <c r="O11247" s="24"/>
      <c r="P11247"/>
      <c r="Q11247" s="24"/>
      <c r="R11247"/>
      <c r="S11247"/>
      <c r="T11247"/>
      <c r="U11247"/>
      <c r="X11247" s="60"/>
    </row>
    <row r="11248" spans="7:24" ht="15" customHeight="1">
      <c r="G11248"/>
      <c r="I11248"/>
      <c r="N11248"/>
      <c r="O11248" s="24"/>
      <c r="P11248"/>
      <c r="Q11248" s="24"/>
      <c r="R11248"/>
      <c r="S11248"/>
      <c r="T11248"/>
      <c r="U11248"/>
      <c r="X11248" s="60"/>
    </row>
    <row r="11249" spans="7:24" ht="15" customHeight="1">
      <c r="G11249"/>
      <c r="I11249"/>
      <c r="N11249"/>
      <c r="O11249" s="24"/>
      <c r="P11249"/>
      <c r="Q11249" s="24"/>
      <c r="R11249"/>
      <c r="S11249"/>
      <c r="T11249"/>
      <c r="U11249"/>
      <c r="X11249" s="60"/>
    </row>
    <row r="11250" spans="7:24" ht="15" customHeight="1">
      <c r="G11250"/>
      <c r="I11250"/>
      <c r="N11250"/>
      <c r="O11250" s="24"/>
      <c r="P11250"/>
      <c r="Q11250" s="24"/>
      <c r="R11250"/>
      <c r="S11250"/>
      <c r="T11250"/>
      <c r="U11250"/>
      <c r="X11250" s="60"/>
    </row>
    <row r="11251" spans="7:24" ht="15" customHeight="1">
      <c r="G11251"/>
      <c r="I11251"/>
      <c r="N11251"/>
      <c r="O11251" s="24"/>
      <c r="P11251"/>
      <c r="Q11251" s="24"/>
      <c r="R11251"/>
      <c r="S11251"/>
      <c r="T11251"/>
      <c r="U11251"/>
      <c r="X11251" s="60"/>
    </row>
    <row r="11252" spans="7:24" ht="15" customHeight="1">
      <c r="G11252"/>
      <c r="I11252"/>
      <c r="N11252"/>
      <c r="O11252" s="24"/>
      <c r="P11252"/>
      <c r="Q11252" s="24"/>
      <c r="R11252"/>
      <c r="S11252"/>
      <c r="T11252"/>
      <c r="U11252"/>
      <c r="X11252" s="60"/>
    </row>
    <row r="11253" spans="7:24" ht="15" customHeight="1">
      <c r="G11253"/>
      <c r="I11253"/>
      <c r="N11253"/>
      <c r="O11253" s="24"/>
      <c r="P11253"/>
      <c r="Q11253" s="24"/>
      <c r="R11253"/>
      <c r="S11253"/>
      <c r="T11253"/>
      <c r="U11253"/>
      <c r="X11253" s="60"/>
    </row>
    <row r="11254" spans="7:24" ht="15" customHeight="1">
      <c r="G11254"/>
      <c r="I11254"/>
      <c r="N11254"/>
      <c r="O11254" s="24"/>
      <c r="P11254"/>
      <c r="Q11254" s="24"/>
      <c r="R11254"/>
      <c r="S11254"/>
      <c r="T11254"/>
      <c r="U11254"/>
      <c r="X11254" s="60"/>
    </row>
    <row r="11255" spans="7:24" ht="15" customHeight="1">
      <c r="G11255"/>
      <c r="I11255"/>
      <c r="N11255"/>
      <c r="O11255" s="24"/>
      <c r="P11255"/>
      <c r="Q11255" s="24"/>
      <c r="R11255"/>
      <c r="S11255"/>
      <c r="T11255"/>
      <c r="U11255"/>
      <c r="X11255" s="60"/>
    </row>
    <row r="11256" spans="7:24" ht="15" customHeight="1">
      <c r="G11256"/>
      <c r="I11256"/>
      <c r="N11256"/>
      <c r="O11256" s="24"/>
      <c r="P11256"/>
      <c r="Q11256" s="24"/>
      <c r="R11256"/>
      <c r="S11256"/>
      <c r="T11256"/>
      <c r="U11256"/>
      <c r="X11256" s="60"/>
    </row>
    <row r="11257" spans="7:24" ht="15" customHeight="1">
      <c r="G11257"/>
      <c r="I11257"/>
      <c r="N11257"/>
      <c r="O11257" s="24"/>
      <c r="P11257"/>
      <c r="Q11257" s="24"/>
      <c r="R11257"/>
      <c r="S11257"/>
      <c r="T11257"/>
      <c r="U11257"/>
      <c r="X11257" s="60"/>
    </row>
    <row r="11258" spans="7:24" ht="15" customHeight="1">
      <c r="G11258"/>
      <c r="I11258"/>
      <c r="N11258"/>
      <c r="O11258" s="24"/>
      <c r="P11258"/>
      <c r="Q11258" s="24"/>
      <c r="R11258"/>
      <c r="S11258"/>
      <c r="T11258"/>
      <c r="U11258"/>
      <c r="X11258" s="60"/>
    </row>
    <row r="11259" spans="7:24" ht="15" customHeight="1">
      <c r="G11259"/>
      <c r="I11259"/>
      <c r="N11259"/>
      <c r="O11259" s="24"/>
      <c r="P11259"/>
      <c r="Q11259" s="24"/>
      <c r="R11259"/>
      <c r="S11259"/>
      <c r="T11259"/>
      <c r="U11259"/>
      <c r="X11259" s="60"/>
    </row>
    <row r="11260" spans="7:24" ht="15" customHeight="1">
      <c r="G11260"/>
      <c r="I11260"/>
      <c r="N11260"/>
      <c r="O11260" s="24"/>
      <c r="P11260"/>
      <c r="Q11260" s="24"/>
      <c r="R11260"/>
      <c r="S11260"/>
      <c r="T11260"/>
      <c r="U11260"/>
      <c r="X11260" s="60"/>
    </row>
    <row r="11261" spans="7:24" ht="15" customHeight="1">
      <c r="G11261"/>
      <c r="I11261"/>
      <c r="N11261"/>
      <c r="O11261" s="24"/>
      <c r="P11261"/>
      <c r="Q11261" s="24"/>
      <c r="R11261"/>
      <c r="S11261"/>
      <c r="T11261"/>
      <c r="U11261"/>
      <c r="X11261" s="60"/>
    </row>
    <row r="11262" spans="7:24" ht="15" customHeight="1">
      <c r="G11262"/>
      <c r="I11262"/>
      <c r="N11262"/>
      <c r="O11262" s="24"/>
      <c r="P11262"/>
      <c r="Q11262" s="24"/>
      <c r="R11262"/>
      <c r="S11262"/>
      <c r="T11262"/>
      <c r="U11262"/>
      <c r="X11262" s="60"/>
    </row>
    <row r="11263" spans="7:24" ht="15" customHeight="1">
      <c r="G11263"/>
      <c r="I11263"/>
      <c r="N11263"/>
      <c r="O11263" s="24"/>
      <c r="P11263"/>
      <c r="Q11263" s="24"/>
      <c r="R11263"/>
      <c r="S11263"/>
      <c r="T11263"/>
      <c r="U11263"/>
      <c r="X11263" s="60"/>
    </row>
    <row r="11264" spans="7:24" ht="15" customHeight="1">
      <c r="G11264"/>
      <c r="I11264"/>
      <c r="N11264"/>
      <c r="O11264" s="24"/>
      <c r="P11264"/>
      <c r="Q11264" s="24"/>
      <c r="R11264"/>
      <c r="S11264"/>
      <c r="T11264"/>
      <c r="U11264"/>
      <c r="X11264" s="60"/>
    </row>
    <row r="11265" spans="7:24" ht="15" customHeight="1">
      <c r="G11265"/>
      <c r="I11265"/>
      <c r="N11265"/>
      <c r="O11265" s="24"/>
      <c r="P11265"/>
      <c r="Q11265" s="24"/>
      <c r="R11265"/>
      <c r="S11265"/>
      <c r="T11265"/>
      <c r="U11265"/>
      <c r="X11265" s="60"/>
    </row>
    <row r="11266" spans="7:24" ht="15" customHeight="1">
      <c r="G11266"/>
      <c r="I11266"/>
      <c r="N11266"/>
      <c r="O11266" s="24"/>
      <c r="P11266"/>
      <c r="Q11266" s="24"/>
      <c r="R11266"/>
      <c r="S11266"/>
      <c r="T11266"/>
      <c r="U11266"/>
      <c r="X11266" s="60"/>
    </row>
    <row r="11267" spans="7:24" ht="15" customHeight="1">
      <c r="G11267"/>
      <c r="I11267"/>
      <c r="N11267"/>
      <c r="O11267" s="24"/>
      <c r="P11267"/>
      <c r="Q11267" s="24"/>
      <c r="R11267"/>
      <c r="S11267"/>
      <c r="T11267"/>
      <c r="U11267"/>
      <c r="X11267" s="60"/>
    </row>
    <row r="11268" spans="7:24" ht="15" customHeight="1">
      <c r="G11268"/>
      <c r="I11268"/>
      <c r="N11268"/>
      <c r="O11268" s="24"/>
      <c r="P11268"/>
      <c r="Q11268" s="24"/>
      <c r="R11268"/>
      <c r="S11268"/>
      <c r="T11268"/>
      <c r="U11268"/>
      <c r="X11268" s="60"/>
    </row>
    <row r="11269" spans="7:24" ht="15" customHeight="1">
      <c r="G11269"/>
      <c r="I11269"/>
      <c r="N11269"/>
      <c r="O11269" s="24"/>
      <c r="P11269"/>
      <c r="Q11269" s="24"/>
      <c r="R11269"/>
      <c r="S11269"/>
      <c r="T11269"/>
      <c r="U11269"/>
      <c r="X11269" s="60"/>
    </row>
    <row r="11270" spans="7:24" ht="15" customHeight="1">
      <c r="G11270"/>
      <c r="I11270"/>
      <c r="N11270"/>
      <c r="O11270" s="24"/>
      <c r="P11270"/>
      <c r="Q11270" s="24"/>
      <c r="R11270"/>
      <c r="S11270"/>
      <c r="T11270"/>
      <c r="U11270"/>
      <c r="X11270" s="60"/>
    </row>
    <row r="11271" spans="7:24" ht="15" customHeight="1">
      <c r="G11271"/>
      <c r="I11271"/>
      <c r="N11271"/>
      <c r="O11271" s="24"/>
      <c r="P11271"/>
      <c r="Q11271" s="24"/>
      <c r="R11271"/>
      <c r="S11271"/>
      <c r="T11271"/>
      <c r="U11271"/>
      <c r="X11271" s="60"/>
    </row>
    <row r="11272" spans="7:24" ht="15" customHeight="1">
      <c r="G11272"/>
      <c r="I11272"/>
      <c r="N11272"/>
      <c r="O11272" s="24"/>
      <c r="P11272"/>
      <c r="Q11272" s="24"/>
      <c r="R11272"/>
      <c r="S11272"/>
      <c r="T11272"/>
      <c r="U11272"/>
      <c r="X11272" s="60"/>
    </row>
    <row r="11273" spans="7:24" ht="15" customHeight="1">
      <c r="G11273"/>
      <c r="I11273"/>
      <c r="N11273"/>
      <c r="O11273" s="24"/>
      <c r="P11273"/>
      <c r="Q11273" s="24"/>
      <c r="R11273"/>
      <c r="S11273"/>
      <c r="T11273"/>
      <c r="U11273"/>
      <c r="X11273" s="60"/>
    </row>
    <row r="11274" spans="7:24" ht="15" customHeight="1">
      <c r="G11274"/>
      <c r="I11274"/>
      <c r="N11274"/>
      <c r="O11274" s="24"/>
      <c r="P11274"/>
      <c r="Q11274" s="24"/>
      <c r="R11274"/>
      <c r="S11274"/>
      <c r="T11274"/>
      <c r="U11274"/>
      <c r="X11274" s="60"/>
    </row>
    <row r="11275" spans="7:24" ht="15" customHeight="1">
      <c r="G11275"/>
      <c r="I11275"/>
      <c r="N11275"/>
      <c r="O11275" s="24"/>
      <c r="P11275"/>
      <c r="Q11275" s="24"/>
      <c r="R11275"/>
      <c r="S11275"/>
      <c r="T11275"/>
      <c r="U11275"/>
      <c r="X11275" s="60"/>
    </row>
    <row r="11276" spans="7:24" ht="15" customHeight="1">
      <c r="G11276"/>
      <c r="I11276"/>
      <c r="N11276"/>
      <c r="O11276" s="24"/>
      <c r="P11276"/>
      <c r="Q11276" s="24"/>
      <c r="R11276"/>
      <c r="S11276"/>
      <c r="T11276"/>
      <c r="U11276"/>
      <c r="X11276" s="60"/>
    </row>
    <row r="11277" spans="7:24" ht="15" customHeight="1">
      <c r="G11277"/>
      <c r="I11277"/>
      <c r="N11277"/>
      <c r="O11277" s="24"/>
      <c r="P11277"/>
      <c r="Q11277" s="24"/>
      <c r="R11277"/>
      <c r="S11277"/>
      <c r="T11277"/>
      <c r="U11277"/>
      <c r="X11277" s="60"/>
    </row>
    <row r="11278" spans="7:24" ht="15" customHeight="1">
      <c r="G11278"/>
      <c r="I11278"/>
      <c r="N11278"/>
      <c r="O11278" s="24"/>
      <c r="P11278"/>
      <c r="Q11278" s="24"/>
      <c r="R11278"/>
      <c r="S11278"/>
      <c r="T11278"/>
      <c r="U11278"/>
      <c r="X11278" s="60"/>
    </row>
    <row r="11279" spans="7:24" ht="15" customHeight="1">
      <c r="G11279"/>
      <c r="I11279"/>
      <c r="N11279"/>
      <c r="O11279" s="24"/>
      <c r="P11279"/>
      <c r="Q11279" s="24"/>
      <c r="R11279"/>
      <c r="S11279"/>
      <c r="T11279"/>
      <c r="U11279"/>
      <c r="X11279" s="60"/>
    </row>
    <row r="11280" spans="7:24" ht="15" customHeight="1">
      <c r="G11280"/>
      <c r="I11280"/>
      <c r="N11280"/>
      <c r="O11280" s="24"/>
      <c r="P11280"/>
      <c r="Q11280" s="24"/>
      <c r="R11280"/>
      <c r="S11280"/>
      <c r="T11280"/>
      <c r="U11280"/>
      <c r="X11280" s="60"/>
    </row>
    <row r="11281" spans="7:24" ht="15" customHeight="1">
      <c r="G11281"/>
      <c r="I11281"/>
      <c r="N11281"/>
      <c r="O11281" s="24"/>
      <c r="P11281"/>
      <c r="Q11281" s="24"/>
      <c r="R11281"/>
      <c r="S11281"/>
      <c r="T11281"/>
      <c r="U11281"/>
      <c r="X11281" s="60"/>
    </row>
    <row r="11282" spans="7:24" ht="15" customHeight="1">
      <c r="G11282"/>
      <c r="I11282"/>
      <c r="N11282"/>
      <c r="O11282" s="24"/>
      <c r="P11282"/>
      <c r="Q11282" s="24"/>
      <c r="R11282"/>
      <c r="S11282"/>
      <c r="T11282"/>
      <c r="U11282"/>
      <c r="X11282" s="60"/>
    </row>
    <row r="11283" spans="7:24" ht="15" customHeight="1">
      <c r="G11283"/>
      <c r="I11283"/>
      <c r="N11283"/>
      <c r="O11283" s="24"/>
      <c r="P11283"/>
      <c r="Q11283" s="24"/>
      <c r="R11283"/>
      <c r="S11283"/>
      <c r="T11283"/>
      <c r="U11283"/>
      <c r="X11283" s="60"/>
    </row>
    <row r="11284" spans="7:24" ht="15" customHeight="1">
      <c r="G11284"/>
      <c r="I11284"/>
      <c r="N11284"/>
      <c r="O11284" s="24"/>
      <c r="P11284"/>
      <c r="Q11284" s="24"/>
      <c r="R11284"/>
      <c r="S11284"/>
      <c r="T11284"/>
      <c r="U11284"/>
      <c r="X11284" s="60"/>
    </row>
    <row r="11285" spans="7:24" ht="15" customHeight="1">
      <c r="G11285"/>
      <c r="I11285"/>
      <c r="N11285"/>
      <c r="O11285" s="24"/>
      <c r="P11285"/>
      <c r="Q11285" s="24"/>
      <c r="R11285"/>
      <c r="S11285"/>
      <c r="T11285"/>
      <c r="U11285"/>
      <c r="X11285" s="60"/>
    </row>
    <row r="11286" spans="7:24" ht="15" customHeight="1">
      <c r="G11286"/>
      <c r="I11286"/>
      <c r="N11286"/>
      <c r="O11286" s="24"/>
      <c r="P11286"/>
      <c r="Q11286" s="24"/>
      <c r="R11286"/>
      <c r="S11286"/>
      <c r="T11286"/>
      <c r="U11286"/>
      <c r="X11286" s="60"/>
    </row>
    <row r="11287" spans="7:24" ht="15" customHeight="1">
      <c r="G11287"/>
      <c r="I11287"/>
      <c r="N11287"/>
      <c r="O11287" s="24"/>
      <c r="P11287"/>
      <c r="Q11287" s="24"/>
      <c r="R11287"/>
      <c r="S11287"/>
      <c r="T11287"/>
      <c r="U11287"/>
      <c r="X11287" s="60"/>
    </row>
    <row r="11288" spans="7:24" ht="15" customHeight="1">
      <c r="G11288"/>
      <c r="I11288"/>
      <c r="N11288"/>
      <c r="O11288" s="24"/>
      <c r="P11288"/>
      <c r="Q11288" s="24"/>
      <c r="R11288"/>
      <c r="S11288"/>
      <c r="T11288"/>
      <c r="U11288"/>
      <c r="X11288" s="60"/>
    </row>
    <row r="11289" spans="7:24" ht="15" customHeight="1">
      <c r="G11289"/>
      <c r="I11289"/>
      <c r="N11289"/>
      <c r="O11289" s="24"/>
      <c r="P11289"/>
      <c r="Q11289" s="24"/>
      <c r="R11289"/>
      <c r="S11289"/>
      <c r="T11289"/>
      <c r="U11289"/>
      <c r="X11289" s="60"/>
    </row>
    <row r="11290" spans="7:24" ht="15" customHeight="1">
      <c r="G11290"/>
      <c r="I11290"/>
      <c r="N11290"/>
      <c r="O11290" s="24"/>
      <c r="P11290"/>
      <c r="Q11290" s="24"/>
      <c r="R11290"/>
      <c r="S11290"/>
      <c r="T11290"/>
      <c r="U11290"/>
      <c r="X11290" s="60"/>
    </row>
    <row r="11291" spans="7:24" ht="15" customHeight="1">
      <c r="G11291"/>
      <c r="I11291"/>
      <c r="N11291"/>
      <c r="O11291" s="24"/>
      <c r="P11291"/>
      <c r="Q11291" s="24"/>
      <c r="R11291"/>
      <c r="S11291"/>
      <c r="T11291"/>
      <c r="U11291"/>
      <c r="X11291" s="60"/>
    </row>
    <row r="11292" spans="7:24" ht="15" customHeight="1">
      <c r="G11292"/>
      <c r="I11292"/>
      <c r="N11292"/>
      <c r="O11292" s="24"/>
      <c r="P11292"/>
      <c r="Q11292" s="24"/>
      <c r="R11292"/>
      <c r="S11292"/>
      <c r="T11292"/>
      <c r="U11292"/>
      <c r="X11292" s="60"/>
    </row>
    <row r="11293" spans="7:24" ht="15" customHeight="1">
      <c r="G11293"/>
      <c r="I11293"/>
      <c r="N11293"/>
      <c r="O11293" s="24"/>
      <c r="P11293"/>
      <c r="Q11293" s="24"/>
      <c r="R11293"/>
      <c r="S11293"/>
      <c r="T11293"/>
      <c r="U11293"/>
      <c r="X11293" s="60"/>
    </row>
    <row r="11294" spans="7:24" ht="15" customHeight="1">
      <c r="G11294"/>
      <c r="I11294"/>
      <c r="N11294"/>
      <c r="O11294" s="24"/>
      <c r="P11294"/>
      <c r="Q11294" s="24"/>
      <c r="R11294"/>
      <c r="S11294"/>
      <c r="T11294"/>
      <c r="U11294"/>
      <c r="X11294" s="60"/>
    </row>
    <row r="11295" spans="7:24" ht="15" customHeight="1">
      <c r="G11295"/>
      <c r="I11295"/>
      <c r="N11295"/>
      <c r="O11295" s="24"/>
      <c r="P11295"/>
      <c r="Q11295" s="24"/>
      <c r="R11295"/>
      <c r="S11295"/>
      <c r="T11295"/>
      <c r="U11295"/>
      <c r="X11295" s="60"/>
    </row>
    <row r="11296" spans="7:24" ht="15" customHeight="1">
      <c r="G11296"/>
      <c r="I11296"/>
      <c r="N11296"/>
      <c r="O11296" s="24"/>
      <c r="P11296"/>
      <c r="Q11296" s="24"/>
      <c r="R11296"/>
      <c r="S11296"/>
      <c r="T11296"/>
      <c r="U11296"/>
      <c r="X11296" s="60"/>
    </row>
    <row r="11297" spans="7:24" ht="15" customHeight="1">
      <c r="G11297"/>
      <c r="I11297"/>
      <c r="N11297"/>
      <c r="O11297" s="24"/>
      <c r="P11297"/>
      <c r="Q11297" s="24"/>
      <c r="R11297"/>
      <c r="S11297"/>
      <c r="T11297"/>
      <c r="U11297"/>
      <c r="X11297" s="60"/>
    </row>
    <row r="11298" spans="7:24" ht="15" customHeight="1">
      <c r="G11298"/>
      <c r="I11298"/>
      <c r="N11298"/>
      <c r="O11298" s="24"/>
      <c r="P11298"/>
      <c r="Q11298" s="24"/>
      <c r="R11298"/>
      <c r="S11298"/>
      <c r="T11298"/>
      <c r="U11298"/>
      <c r="X11298" s="60"/>
    </row>
    <row r="11299" spans="7:24" ht="15" customHeight="1">
      <c r="G11299"/>
      <c r="I11299"/>
      <c r="N11299"/>
      <c r="O11299" s="24"/>
      <c r="P11299"/>
      <c r="Q11299" s="24"/>
      <c r="R11299"/>
      <c r="S11299"/>
      <c r="T11299"/>
      <c r="U11299"/>
      <c r="X11299" s="60"/>
    </row>
    <row r="11300" spans="7:24" ht="15" customHeight="1">
      <c r="G11300"/>
      <c r="I11300"/>
      <c r="N11300"/>
      <c r="O11300" s="24"/>
      <c r="P11300"/>
      <c r="Q11300" s="24"/>
      <c r="R11300"/>
      <c r="S11300"/>
      <c r="T11300"/>
      <c r="U11300"/>
      <c r="X11300" s="60"/>
    </row>
    <row r="11301" spans="7:24" ht="15" customHeight="1">
      <c r="G11301"/>
      <c r="I11301"/>
      <c r="N11301"/>
      <c r="O11301" s="24"/>
      <c r="P11301"/>
      <c r="Q11301" s="24"/>
      <c r="R11301"/>
      <c r="S11301"/>
      <c r="T11301"/>
      <c r="U11301"/>
      <c r="X11301" s="60"/>
    </row>
    <row r="11302" spans="7:24" ht="15" customHeight="1">
      <c r="G11302"/>
      <c r="I11302"/>
      <c r="N11302"/>
      <c r="O11302" s="24"/>
      <c r="P11302"/>
      <c r="Q11302" s="24"/>
      <c r="R11302"/>
      <c r="S11302"/>
      <c r="T11302"/>
      <c r="U11302"/>
      <c r="X11302" s="60"/>
    </row>
    <row r="11303" spans="7:24" ht="15" customHeight="1">
      <c r="G11303"/>
      <c r="I11303"/>
      <c r="N11303"/>
      <c r="O11303" s="24"/>
      <c r="P11303"/>
      <c r="Q11303" s="24"/>
      <c r="R11303"/>
      <c r="S11303"/>
      <c r="T11303"/>
      <c r="U11303"/>
      <c r="X11303" s="60"/>
    </row>
    <row r="11304" spans="7:24" ht="15" customHeight="1">
      <c r="G11304"/>
      <c r="I11304"/>
      <c r="N11304"/>
      <c r="O11304" s="24"/>
      <c r="P11304"/>
      <c r="Q11304" s="24"/>
      <c r="R11304"/>
      <c r="S11304"/>
      <c r="T11304"/>
      <c r="U11304"/>
      <c r="X11304" s="60"/>
    </row>
    <row r="11305" spans="7:24" ht="15" customHeight="1">
      <c r="G11305"/>
      <c r="I11305"/>
      <c r="N11305"/>
      <c r="O11305" s="24"/>
      <c r="P11305"/>
      <c r="Q11305" s="24"/>
      <c r="R11305"/>
      <c r="S11305"/>
      <c r="T11305"/>
      <c r="U11305"/>
      <c r="X11305" s="60"/>
    </row>
    <row r="11306" spans="7:24" ht="15" customHeight="1">
      <c r="G11306"/>
      <c r="I11306"/>
      <c r="N11306"/>
      <c r="O11306" s="24"/>
      <c r="P11306"/>
      <c r="Q11306" s="24"/>
      <c r="R11306"/>
      <c r="S11306"/>
      <c r="T11306"/>
      <c r="U11306"/>
      <c r="X11306" s="60"/>
    </row>
    <row r="11307" spans="7:24" ht="15" customHeight="1">
      <c r="G11307"/>
      <c r="I11307"/>
      <c r="N11307"/>
      <c r="O11307" s="24"/>
      <c r="P11307"/>
      <c r="Q11307" s="24"/>
      <c r="R11307"/>
      <c r="S11307"/>
      <c r="T11307"/>
      <c r="U11307"/>
      <c r="X11307" s="60"/>
    </row>
    <row r="11308" spans="7:24" ht="15" customHeight="1">
      <c r="G11308"/>
      <c r="I11308"/>
      <c r="N11308"/>
      <c r="O11308" s="24"/>
      <c r="P11308"/>
      <c r="Q11308" s="24"/>
      <c r="R11308"/>
      <c r="S11308"/>
      <c r="T11308"/>
      <c r="U11308"/>
      <c r="X11308" s="60"/>
    </row>
    <row r="11309" spans="7:24" ht="15" customHeight="1">
      <c r="G11309"/>
      <c r="I11309"/>
      <c r="N11309"/>
      <c r="O11309" s="24"/>
      <c r="P11309"/>
      <c r="Q11309" s="24"/>
      <c r="R11309"/>
      <c r="S11309"/>
      <c r="T11309"/>
      <c r="U11309"/>
      <c r="X11309" s="60"/>
    </row>
    <row r="11310" spans="7:24" ht="15" customHeight="1">
      <c r="G11310"/>
      <c r="I11310"/>
      <c r="N11310"/>
      <c r="O11310" s="24"/>
      <c r="P11310"/>
      <c r="Q11310" s="24"/>
      <c r="R11310"/>
      <c r="S11310"/>
      <c r="T11310"/>
      <c r="U11310"/>
      <c r="X11310" s="60"/>
    </row>
    <row r="11311" spans="7:24" ht="15" customHeight="1">
      <c r="G11311"/>
      <c r="I11311"/>
      <c r="N11311"/>
      <c r="O11311" s="24"/>
      <c r="P11311"/>
      <c r="Q11311" s="24"/>
      <c r="R11311"/>
      <c r="S11311"/>
      <c r="T11311"/>
      <c r="U11311"/>
      <c r="X11311" s="60"/>
    </row>
    <row r="11312" spans="7:24" ht="15" customHeight="1">
      <c r="G11312"/>
      <c r="I11312"/>
      <c r="N11312"/>
      <c r="O11312" s="24"/>
      <c r="P11312"/>
      <c r="Q11312" s="24"/>
      <c r="R11312"/>
      <c r="S11312"/>
      <c r="T11312"/>
      <c r="U11312"/>
      <c r="X11312" s="60"/>
    </row>
    <row r="11313" spans="7:24" ht="15" customHeight="1">
      <c r="G11313"/>
      <c r="I11313"/>
      <c r="N11313"/>
      <c r="O11313" s="24"/>
      <c r="P11313"/>
      <c r="Q11313" s="24"/>
      <c r="R11313"/>
      <c r="S11313"/>
      <c r="T11313"/>
      <c r="U11313"/>
      <c r="X11313" s="60"/>
    </row>
    <row r="11314" spans="7:24" ht="15" customHeight="1">
      <c r="G11314"/>
      <c r="I11314"/>
      <c r="N11314"/>
      <c r="O11314" s="24"/>
      <c r="P11314"/>
      <c r="Q11314" s="24"/>
      <c r="R11314"/>
      <c r="S11314"/>
      <c r="T11314"/>
      <c r="U11314"/>
      <c r="X11314" s="60"/>
    </row>
    <row r="11315" spans="7:24" ht="15" customHeight="1">
      <c r="G11315"/>
      <c r="I11315"/>
      <c r="N11315"/>
      <c r="O11315" s="24"/>
      <c r="P11315"/>
      <c r="Q11315" s="24"/>
      <c r="R11315"/>
      <c r="S11315"/>
      <c r="T11315"/>
      <c r="U11315"/>
      <c r="X11315" s="60"/>
    </row>
    <row r="11316" spans="7:24" ht="15" customHeight="1">
      <c r="G11316"/>
      <c r="I11316"/>
      <c r="N11316"/>
      <c r="O11316" s="24"/>
      <c r="P11316"/>
      <c r="Q11316" s="24"/>
      <c r="R11316"/>
      <c r="S11316"/>
      <c r="T11316"/>
      <c r="U11316"/>
      <c r="X11316" s="60"/>
    </row>
    <row r="11317" spans="7:24" ht="15" customHeight="1">
      <c r="G11317"/>
      <c r="I11317"/>
      <c r="N11317"/>
      <c r="O11317" s="24"/>
      <c r="P11317"/>
      <c r="Q11317" s="24"/>
      <c r="R11317"/>
      <c r="S11317"/>
      <c r="T11317"/>
      <c r="U11317"/>
      <c r="X11317" s="60"/>
    </row>
    <row r="11318" spans="7:24" ht="15" customHeight="1">
      <c r="G11318"/>
      <c r="I11318"/>
      <c r="N11318"/>
      <c r="O11318" s="24"/>
      <c r="P11318"/>
      <c r="Q11318" s="24"/>
      <c r="R11318"/>
      <c r="S11318"/>
      <c r="T11318"/>
      <c r="U11318"/>
      <c r="X11318" s="60"/>
    </row>
    <row r="11319" spans="7:24" ht="15" customHeight="1">
      <c r="G11319"/>
      <c r="I11319"/>
      <c r="N11319"/>
      <c r="O11319" s="24"/>
      <c r="P11319"/>
      <c r="Q11319" s="24"/>
      <c r="R11319"/>
      <c r="S11319"/>
      <c r="T11319"/>
      <c r="U11319"/>
      <c r="X11319" s="60"/>
    </row>
    <row r="11320" spans="7:24" ht="15" customHeight="1">
      <c r="G11320"/>
      <c r="I11320"/>
      <c r="N11320"/>
      <c r="O11320" s="24"/>
      <c r="P11320"/>
      <c r="Q11320" s="24"/>
      <c r="R11320"/>
      <c r="S11320"/>
      <c r="T11320"/>
      <c r="U11320"/>
      <c r="X11320" s="60"/>
    </row>
    <row r="11321" spans="7:24" ht="15" customHeight="1">
      <c r="G11321"/>
      <c r="I11321"/>
      <c r="N11321"/>
      <c r="O11321" s="24"/>
      <c r="P11321"/>
      <c r="Q11321" s="24"/>
      <c r="R11321"/>
      <c r="S11321"/>
      <c r="T11321"/>
      <c r="U11321"/>
      <c r="X11321" s="60"/>
    </row>
    <row r="11322" spans="7:24" ht="15" customHeight="1">
      <c r="G11322"/>
      <c r="I11322"/>
      <c r="N11322"/>
      <c r="O11322" s="24"/>
      <c r="P11322"/>
      <c r="Q11322" s="24"/>
      <c r="R11322"/>
      <c r="S11322"/>
      <c r="T11322"/>
      <c r="U11322"/>
      <c r="X11322" s="60"/>
    </row>
    <row r="11323" spans="7:24" ht="15" customHeight="1">
      <c r="G11323"/>
      <c r="I11323"/>
      <c r="N11323"/>
      <c r="O11323" s="24"/>
      <c r="P11323"/>
      <c r="Q11323" s="24"/>
      <c r="R11323"/>
      <c r="S11323"/>
      <c r="T11323"/>
      <c r="U11323"/>
      <c r="X11323" s="60"/>
    </row>
    <row r="11324" spans="7:24" ht="15" customHeight="1">
      <c r="G11324"/>
      <c r="I11324"/>
      <c r="N11324"/>
      <c r="O11324" s="24"/>
      <c r="P11324"/>
      <c r="Q11324" s="24"/>
      <c r="R11324"/>
      <c r="S11324"/>
      <c r="T11324"/>
      <c r="U11324"/>
      <c r="X11324" s="60"/>
    </row>
    <row r="11325" spans="7:24" ht="15" customHeight="1">
      <c r="G11325"/>
      <c r="I11325"/>
      <c r="N11325"/>
      <c r="O11325" s="24"/>
      <c r="P11325"/>
      <c r="Q11325" s="24"/>
      <c r="R11325"/>
      <c r="S11325"/>
      <c r="T11325"/>
      <c r="U11325"/>
      <c r="X11325" s="60"/>
    </row>
    <row r="11326" spans="7:24" ht="15" customHeight="1">
      <c r="G11326"/>
      <c r="I11326"/>
      <c r="N11326"/>
      <c r="O11326" s="24"/>
      <c r="P11326"/>
      <c r="Q11326" s="24"/>
      <c r="R11326"/>
      <c r="S11326"/>
      <c r="T11326"/>
      <c r="U11326"/>
      <c r="X11326" s="60"/>
    </row>
    <row r="11327" spans="7:24" ht="15" customHeight="1">
      <c r="G11327"/>
      <c r="I11327"/>
      <c r="N11327"/>
      <c r="O11327" s="24"/>
      <c r="P11327"/>
      <c r="Q11327" s="24"/>
      <c r="R11327"/>
      <c r="S11327"/>
      <c r="T11327"/>
      <c r="U11327"/>
      <c r="X11327" s="60"/>
    </row>
    <row r="11328" spans="7:24" ht="15" customHeight="1">
      <c r="G11328"/>
      <c r="I11328"/>
      <c r="N11328"/>
      <c r="O11328" s="24"/>
      <c r="P11328"/>
      <c r="Q11328" s="24"/>
      <c r="R11328"/>
      <c r="S11328"/>
      <c r="T11328"/>
      <c r="U11328"/>
      <c r="X11328" s="60"/>
    </row>
    <row r="11329" spans="7:24" ht="15" customHeight="1">
      <c r="G11329"/>
      <c r="I11329"/>
      <c r="N11329"/>
      <c r="O11329" s="24"/>
      <c r="P11329"/>
      <c r="Q11329" s="24"/>
      <c r="R11329"/>
      <c r="S11329"/>
      <c r="T11329"/>
      <c r="U11329"/>
      <c r="X11329" s="60"/>
    </row>
    <row r="11330" spans="7:24" ht="15" customHeight="1">
      <c r="G11330"/>
      <c r="I11330"/>
      <c r="N11330"/>
      <c r="O11330" s="24"/>
      <c r="P11330"/>
      <c r="Q11330" s="24"/>
      <c r="R11330"/>
      <c r="S11330"/>
      <c r="T11330"/>
      <c r="U11330"/>
      <c r="X11330" s="60"/>
    </row>
    <row r="11331" spans="7:24" ht="15" customHeight="1">
      <c r="G11331"/>
      <c r="I11331"/>
      <c r="N11331"/>
      <c r="O11331" s="24"/>
      <c r="P11331"/>
      <c r="Q11331" s="24"/>
      <c r="R11331"/>
      <c r="S11331"/>
      <c r="T11331"/>
      <c r="U11331"/>
      <c r="X11331" s="60"/>
    </row>
    <row r="11332" spans="7:24" ht="15" customHeight="1">
      <c r="G11332"/>
      <c r="I11332"/>
      <c r="N11332"/>
      <c r="O11332" s="24"/>
      <c r="P11332"/>
      <c r="Q11332" s="24"/>
      <c r="R11332"/>
      <c r="S11332"/>
      <c r="T11332"/>
      <c r="U11332"/>
      <c r="X11332" s="60"/>
    </row>
    <row r="11333" spans="7:24" ht="15" customHeight="1">
      <c r="G11333"/>
      <c r="I11333"/>
      <c r="N11333"/>
      <c r="O11333" s="24"/>
      <c r="P11333"/>
      <c r="Q11333" s="24"/>
      <c r="R11333"/>
      <c r="S11333"/>
      <c r="T11333"/>
      <c r="U11333"/>
      <c r="X11333" s="60"/>
    </row>
    <row r="11334" spans="7:24" ht="15" customHeight="1">
      <c r="G11334"/>
      <c r="I11334"/>
      <c r="N11334"/>
      <c r="O11334" s="24"/>
      <c r="P11334"/>
      <c r="Q11334" s="24"/>
      <c r="R11334"/>
      <c r="S11334"/>
      <c r="T11334"/>
      <c r="U11334"/>
      <c r="X11334" s="60"/>
    </row>
    <row r="11335" spans="7:24" ht="15" customHeight="1">
      <c r="G11335"/>
      <c r="I11335"/>
      <c r="N11335"/>
      <c r="O11335" s="24"/>
      <c r="P11335"/>
      <c r="Q11335" s="24"/>
      <c r="R11335"/>
      <c r="S11335"/>
      <c r="T11335"/>
      <c r="U11335"/>
      <c r="X11335" s="60"/>
    </row>
    <row r="11336" spans="7:24" ht="15" customHeight="1">
      <c r="G11336"/>
      <c r="I11336"/>
      <c r="N11336"/>
      <c r="O11336" s="24"/>
      <c r="P11336"/>
      <c r="Q11336" s="24"/>
      <c r="R11336"/>
      <c r="S11336"/>
      <c r="T11336"/>
      <c r="U11336"/>
      <c r="X11336" s="60"/>
    </row>
    <row r="11337" spans="7:24" ht="15" customHeight="1">
      <c r="G11337"/>
      <c r="I11337"/>
      <c r="N11337"/>
      <c r="O11337" s="24"/>
      <c r="P11337"/>
      <c r="Q11337" s="24"/>
      <c r="R11337"/>
      <c r="S11337"/>
      <c r="T11337"/>
      <c r="U11337"/>
      <c r="X11337" s="60"/>
    </row>
    <row r="11338" spans="7:24" ht="15" customHeight="1">
      <c r="G11338"/>
      <c r="I11338"/>
      <c r="N11338"/>
      <c r="O11338" s="24"/>
      <c r="P11338"/>
      <c r="Q11338" s="24"/>
      <c r="R11338"/>
      <c r="S11338"/>
      <c r="T11338"/>
      <c r="U11338"/>
      <c r="X11338" s="60"/>
    </row>
    <row r="11339" spans="7:24" ht="15" customHeight="1">
      <c r="G11339"/>
      <c r="I11339"/>
      <c r="N11339"/>
      <c r="O11339" s="24"/>
      <c r="P11339"/>
      <c r="Q11339" s="24"/>
      <c r="R11339"/>
      <c r="S11339"/>
      <c r="T11339"/>
      <c r="U11339"/>
      <c r="X11339" s="60"/>
    </row>
    <row r="11340" spans="7:24" ht="15" customHeight="1">
      <c r="G11340"/>
      <c r="I11340"/>
      <c r="N11340"/>
      <c r="O11340" s="24"/>
      <c r="P11340"/>
      <c r="Q11340" s="24"/>
      <c r="R11340"/>
      <c r="S11340"/>
      <c r="T11340"/>
      <c r="U11340"/>
      <c r="X11340" s="60"/>
    </row>
    <row r="11341" spans="7:24" ht="15" customHeight="1">
      <c r="G11341"/>
      <c r="I11341"/>
      <c r="N11341"/>
      <c r="O11341" s="24"/>
      <c r="P11341"/>
      <c r="Q11341" s="24"/>
      <c r="R11341"/>
      <c r="S11341"/>
      <c r="T11341"/>
      <c r="U11341"/>
      <c r="X11341" s="60"/>
    </row>
    <row r="11342" spans="7:24" ht="15" customHeight="1">
      <c r="G11342"/>
      <c r="I11342"/>
      <c r="N11342"/>
      <c r="O11342" s="24"/>
      <c r="P11342"/>
      <c r="Q11342" s="24"/>
      <c r="R11342"/>
      <c r="S11342"/>
      <c r="T11342"/>
      <c r="U11342"/>
      <c r="X11342" s="60"/>
    </row>
    <row r="11343" spans="7:24" ht="15" customHeight="1">
      <c r="G11343"/>
      <c r="I11343"/>
      <c r="N11343"/>
      <c r="O11343" s="24"/>
      <c r="P11343"/>
      <c r="Q11343" s="24"/>
      <c r="R11343"/>
      <c r="S11343"/>
      <c r="T11343"/>
      <c r="U11343"/>
      <c r="X11343" s="60"/>
    </row>
    <row r="11344" spans="7:24" ht="15" customHeight="1">
      <c r="G11344"/>
      <c r="I11344"/>
      <c r="N11344"/>
      <c r="O11344" s="24"/>
      <c r="P11344"/>
      <c r="Q11344" s="24"/>
      <c r="R11344"/>
      <c r="S11344"/>
      <c r="T11344"/>
      <c r="U11344"/>
      <c r="X11344" s="60"/>
    </row>
    <row r="11345" spans="7:24" ht="15" customHeight="1">
      <c r="G11345"/>
      <c r="I11345"/>
      <c r="N11345"/>
      <c r="O11345" s="24"/>
      <c r="P11345"/>
      <c r="Q11345" s="24"/>
      <c r="R11345"/>
      <c r="S11345"/>
      <c r="T11345"/>
      <c r="U11345"/>
      <c r="X11345" s="60"/>
    </row>
    <row r="11346" spans="7:24" ht="15" customHeight="1">
      <c r="G11346"/>
      <c r="I11346"/>
      <c r="N11346"/>
      <c r="O11346" s="24"/>
      <c r="P11346"/>
      <c r="Q11346" s="24"/>
      <c r="R11346"/>
      <c r="S11346"/>
      <c r="T11346"/>
      <c r="U11346"/>
      <c r="X11346" s="60"/>
    </row>
    <row r="11347" spans="7:24" ht="15" customHeight="1">
      <c r="G11347"/>
      <c r="I11347"/>
      <c r="N11347"/>
      <c r="O11347" s="24"/>
      <c r="P11347"/>
      <c r="Q11347" s="24"/>
      <c r="R11347"/>
      <c r="S11347"/>
      <c r="T11347"/>
      <c r="U11347"/>
      <c r="X11347" s="60"/>
    </row>
    <row r="11348" spans="7:24" ht="15" customHeight="1">
      <c r="G11348"/>
      <c r="I11348"/>
      <c r="N11348"/>
      <c r="O11348" s="24"/>
      <c r="P11348"/>
      <c r="Q11348" s="24"/>
      <c r="R11348"/>
      <c r="S11348"/>
      <c r="T11348"/>
      <c r="U11348"/>
      <c r="X11348" s="60"/>
    </row>
    <row r="11349" spans="7:24" ht="15" customHeight="1">
      <c r="G11349"/>
      <c r="I11349"/>
      <c r="N11349"/>
      <c r="O11349" s="24"/>
      <c r="P11349"/>
      <c r="Q11349" s="24"/>
      <c r="R11349"/>
      <c r="S11349"/>
      <c r="T11349"/>
      <c r="U11349"/>
      <c r="X11349" s="60"/>
    </row>
    <row r="11350" spans="7:24" ht="15" customHeight="1">
      <c r="G11350"/>
      <c r="I11350"/>
      <c r="N11350"/>
      <c r="O11350" s="24"/>
      <c r="P11350"/>
      <c r="Q11350" s="24"/>
      <c r="R11350"/>
      <c r="S11350"/>
      <c r="T11350"/>
      <c r="U11350"/>
      <c r="X11350" s="60"/>
    </row>
    <row r="11351" spans="7:24" ht="15" customHeight="1">
      <c r="G11351"/>
      <c r="I11351"/>
      <c r="N11351"/>
      <c r="O11351" s="24"/>
      <c r="P11351"/>
      <c r="Q11351" s="24"/>
      <c r="R11351"/>
      <c r="S11351"/>
      <c r="T11351"/>
      <c r="U11351"/>
      <c r="X11351" s="60"/>
    </row>
    <row r="11352" spans="7:24" ht="15" customHeight="1">
      <c r="G11352"/>
      <c r="I11352"/>
      <c r="N11352"/>
      <c r="O11352" s="24"/>
      <c r="P11352"/>
      <c r="Q11352" s="24"/>
      <c r="R11352"/>
      <c r="S11352"/>
      <c r="T11352"/>
      <c r="U11352"/>
      <c r="X11352" s="60"/>
    </row>
    <row r="11353" spans="7:24" ht="15" customHeight="1">
      <c r="G11353"/>
      <c r="I11353"/>
      <c r="N11353"/>
      <c r="O11353" s="24"/>
      <c r="P11353"/>
      <c r="Q11353" s="24"/>
      <c r="R11353"/>
      <c r="S11353"/>
      <c r="T11353"/>
      <c r="U11353"/>
      <c r="X11353" s="60"/>
    </row>
    <row r="11354" spans="7:24" ht="15" customHeight="1">
      <c r="G11354"/>
      <c r="I11354"/>
      <c r="N11354"/>
      <c r="O11354" s="24"/>
      <c r="P11354"/>
      <c r="Q11354" s="24"/>
      <c r="R11354"/>
      <c r="S11354"/>
      <c r="T11354"/>
      <c r="U11354"/>
      <c r="X11354" s="60"/>
    </row>
    <row r="11355" spans="7:24" ht="15" customHeight="1">
      <c r="G11355"/>
      <c r="I11355"/>
      <c r="N11355"/>
      <c r="O11355" s="24"/>
      <c r="P11355"/>
      <c r="Q11355" s="24"/>
      <c r="R11355"/>
      <c r="S11355"/>
      <c r="T11355"/>
      <c r="U11355"/>
      <c r="X11355" s="60"/>
    </row>
    <row r="11356" spans="7:24" ht="15" customHeight="1">
      <c r="G11356"/>
      <c r="I11356"/>
      <c r="N11356"/>
      <c r="O11356" s="24"/>
      <c r="P11356"/>
      <c r="Q11356" s="24"/>
      <c r="R11356"/>
      <c r="S11356"/>
      <c r="T11356"/>
      <c r="U11356"/>
      <c r="X11356" s="60"/>
    </row>
    <row r="11357" spans="7:24" ht="15" customHeight="1">
      <c r="G11357"/>
      <c r="I11357"/>
      <c r="N11357"/>
      <c r="O11357" s="24"/>
      <c r="P11357"/>
      <c r="Q11357" s="24"/>
      <c r="R11357"/>
      <c r="S11357"/>
      <c r="T11357"/>
      <c r="U11357"/>
      <c r="X11357" s="60"/>
    </row>
    <row r="11358" spans="7:24" ht="15" customHeight="1">
      <c r="G11358"/>
      <c r="I11358"/>
      <c r="N11358"/>
      <c r="O11358" s="24"/>
      <c r="P11358"/>
      <c r="Q11358" s="24"/>
      <c r="R11358"/>
      <c r="S11358"/>
      <c r="T11358"/>
      <c r="U11358"/>
      <c r="X11358" s="60"/>
    </row>
    <row r="11359" spans="7:24" ht="15" customHeight="1">
      <c r="G11359"/>
      <c r="I11359"/>
      <c r="N11359"/>
      <c r="O11359" s="24"/>
      <c r="P11359"/>
      <c r="Q11359" s="24"/>
      <c r="R11359"/>
      <c r="S11359"/>
      <c r="T11359"/>
      <c r="U11359"/>
      <c r="X11359" s="60"/>
    </row>
    <row r="11360" spans="7:24" ht="15" customHeight="1">
      <c r="G11360"/>
      <c r="I11360"/>
      <c r="N11360"/>
      <c r="O11360" s="24"/>
      <c r="P11360"/>
      <c r="Q11360" s="24"/>
      <c r="R11360"/>
      <c r="S11360"/>
      <c r="T11360"/>
      <c r="U11360"/>
      <c r="X11360" s="60"/>
    </row>
    <row r="11361" spans="7:24" ht="15" customHeight="1">
      <c r="G11361"/>
      <c r="I11361"/>
      <c r="N11361"/>
      <c r="O11361" s="24"/>
      <c r="P11361"/>
      <c r="Q11361" s="24"/>
      <c r="R11361"/>
      <c r="S11361"/>
      <c r="T11361"/>
      <c r="U11361"/>
      <c r="X11361" s="60"/>
    </row>
    <row r="11362" spans="7:24" ht="15" customHeight="1">
      <c r="G11362"/>
      <c r="I11362"/>
      <c r="N11362"/>
      <c r="O11362" s="24"/>
      <c r="P11362"/>
      <c r="Q11362" s="24"/>
      <c r="R11362"/>
      <c r="S11362"/>
      <c r="T11362"/>
      <c r="U11362"/>
      <c r="X11362" s="60"/>
    </row>
    <row r="11363" spans="7:24" ht="15" customHeight="1">
      <c r="G11363"/>
      <c r="I11363"/>
      <c r="N11363"/>
      <c r="O11363" s="24"/>
      <c r="P11363"/>
      <c r="Q11363" s="24"/>
      <c r="R11363"/>
      <c r="S11363"/>
      <c r="T11363"/>
      <c r="U11363"/>
      <c r="X11363" s="60"/>
    </row>
    <row r="11364" spans="7:24" ht="15" customHeight="1">
      <c r="G11364"/>
      <c r="I11364"/>
      <c r="N11364"/>
      <c r="O11364" s="24"/>
      <c r="P11364"/>
      <c r="Q11364" s="24"/>
      <c r="R11364"/>
      <c r="S11364"/>
      <c r="T11364"/>
      <c r="U11364"/>
      <c r="X11364" s="60"/>
    </row>
    <row r="11365" spans="7:24" ht="15" customHeight="1">
      <c r="G11365"/>
      <c r="I11365"/>
      <c r="N11365"/>
      <c r="O11365" s="24"/>
      <c r="P11365"/>
      <c r="Q11365" s="24"/>
      <c r="R11365"/>
      <c r="S11365"/>
      <c r="T11365"/>
      <c r="U11365"/>
      <c r="X11365" s="60"/>
    </row>
    <row r="11366" spans="7:24" ht="15" customHeight="1">
      <c r="G11366"/>
      <c r="I11366"/>
      <c r="N11366"/>
      <c r="O11366" s="24"/>
      <c r="P11366"/>
      <c r="Q11366" s="24"/>
      <c r="R11366"/>
      <c r="S11366"/>
      <c r="T11366"/>
      <c r="U11366"/>
      <c r="X11366" s="60"/>
    </row>
    <row r="11367" spans="7:24" ht="15" customHeight="1">
      <c r="G11367"/>
      <c r="I11367"/>
      <c r="N11367"/>
      <c r="O11367" s="24"/>
      <c r="P11367"/>
      <c r="Q11367" s="24"/>
      <c r="R11367"/>
      <c r="S11367"/>
      <c r="T11367"/>
      <c r="U11367"/>
      <c r="X11367" s="60"/>
    </row>
    <row r="11368" spans="7:24" ht="15" customHeight="1">
      <c r="G11368"/>
      <c r="I11368"/>
      <c r="N11368"/>
      <c r="O11368" s="24"/>
      <c r="P11368"/>
      <c r="Q11368" s="24"/>
      <c r="R11368"/>
      <c r="S11368"/>
      <c r="T11368"/>
      <c r="U11368"/>
      <c r="X11368" s="60"/>
    </row>
    <row r="11369" spans="7:24" ht="15" customHeight="1">
      <c r="G11369"/>
      <c r="I11369"/>
      <c r="N11369"/>
      <c r="O11369" s="24"/>
      <c r="P11369"/>
      <c r="Q11369" s="24"/>
      <c r="R11369"/>
      <c r="S11369"/>
      <c r="T11369"/>
      <c r="U11369"/>
      <c r="X11369" s="60"/>
    </row>
    <row r="11370" spans="7:24" ht="15" customHeight="1">
      <c r="G11370"/>
      <c r="I11370"/>
      <c r="N11370"/>
      <c r="O11370" s="24"/>
      <c r="P11370"/>
      <c r="Q11370" s="24"/>
      <c r="R11370"/>
      <c r="S11370"/>
      <c r="T11370"/>
      <c r="U11370"/>
      <c r="X11370" s="60"/>
    </row>
    <row r="11371" spans="7:24" ht="15" customHeight="1">
      <c r="G11371"/>
      <c r="I11371"/>
      <c r="N11371"/>
      <c r="O11371" s="24"/>
      <c r="P11371"/>
      <c r="Q11371" s="24"/>
      <c r="R11371"/>
      <c r="S11371"/>
      <c r="T11371"/>
      <c r="U11371"/>
      <c r="X11371" s="60"/>
    </row>
    <row r="11372" spans="7:24" ht="15" customHeight="1">
      <c r="G11372"/>
      <c r="I11372"/>
      <c r="N11372"/>
      <c r="O11372" s="24"/>
      <c r="P11372"/>
      <c r="Q11372" s="24"/>
      <c r="R11372"/>
      <c r="S11372"/>
      <c r="T11372"/>
      <c r="U11372"/>
      <c r="X11372" s="60"/>
    </row>
    <row r="11373" spans="7:24" ht="15" customHeight="1">
      <c r="G11373"/>
      <c r="I11373"/>
      <c r="N11373"/>
      <c r="O11373" s="24"/>
      <c r="P11373"/>
      <c r="Q11373" s="24"/>
      <c r="R11373"/>
      <c r="S11373"/>
      <c r="T11373"/>
      <c r="U11373"/>
      <c r="X11373" s="60"/>
    </row>
    <row r="11374" spans="7:24" ht="15" customHeight="1">
      <c r="G11374"/>
      <c r="I11374"/>
      <c r="N11374"/>
      <c r="O11374" s="24"/>
      <c r="P11374"/>
      <c r="Q11374" s="24"/>
      <c r="R11374"/>
      <c r="S11374"/>
      <c r="T11374"/>
      <c r="U11374"/>
      <c r="X11374" s="60"/>
    </row>
    <row r="11375" spans="7:24" ht="15" customHeight="1">
      <c r="G11375"/>
      <c r="I11375"/>
      <c r="N11375"/>
      <c r="O11375" s="24"/>
      <c r="P11375"/>
      <c r="Q11375" s="24"/>
      <c r="R11375"/>
      <c r="S11375"/>
      <c r="T11375"/>
      <c r="U11375"/>
      <c r="X11375" s="60"/>
    </row>
    <row r="11376" spans="7:24" ht="15" customHeight="1">
      <c r="G11376"/>
      <c r="I11376"/>
      <c r="N11376"/>
      <c r="O11376" s="24"/>
      <c r="P11376"/>
      <c r="Q11376" s="24"/>
      <c r="R11376"/>
      <c r="S11376"/>
      <c r="T11376"/>
      <c r="U11376"/>
      <c r="X11376" s="60"/>
    </row>
    <row r="11377" spans="7:24" ht="15" customHeight="1">
      <c r="G11377"/>
      <c r="I11377"/>
      <c r="N11377"/>
      <c r="O11377" s="24"/>
      <c r="P11377"/>
      <c r="Q11377" s="24"/>
      <c r="R11377"/>
      <c r="S11377"/>
      <c r="T11377"/>
      <c r="U11377"/>
      <c r="X11377" s="60"/>
    </row>
    <row r="11378" spans="7:24" ht="15" customHeight="1">
      <c r="G11378"/>
      <c r="I11378"/>
      <c r="N11378"/>
      <c r="O11378" s="24"/>
      <c r="P11378"/>
      <c r="Q11378" s="24"/>
      <c r="R11378"/>
      <c r="S11378"/>
      <c r="T11378"/>
      <c r="U11378"/>
      <c r="X11378" s="60"/>
    </row>
    <row r="11379" spans="7:24" ht="15" customHeight="1">
      <c r="G11379"/>
      <c r="I11379"/>
      <c r="N11379"/>
      <c r="O11379" s="24"/>
      <c r="P11379"/>
      <c r="Q11379" s="24"/>
      <c r="R11379"/>
      <c r="S11379"/>
      <c r="T11379"/>
      <c r="U11379"/>
      <c r="X11379" s="60"/>
    </row>
    <row r="11380" spans="7:24" ht="15" customHeight="1">
      <c r="G11380"/>
      <c r="I11380"/>
      <c r="N11380"/>
      <c r="O11380" s="24"/>
      <c r="P11380"/>
      <c r="Q11380" s="24"/>
      <c r="R11380"/>
      <c r="S11380"/>
      <c r="T11380"/>
      <c r="U11380"/>
      <c r="X11380" s="60"/>
    </row>
    <row r="11381" spans="7:24" ht="15" customHeight="1">
      <c r="G11381"/>
      <c r="I11381"/>
      <c r="N11381"/>
      <c r="O11381" s="24"/>
      <c r="P11381"/>
      <c r="Q11381" s="24"/>
      <c r="R11381"/>
      <c r="S11381"/>
      <c r="T11381"/>
      <c r="U11381"/>
      <c r="X11381" s="60"/>
    </row>
    <row r="11382" spans="7:24" ht="15" customHeight="1">
      <c r="G11382"/>
      <c r="I11382"/>
      <c r="N11382"/>
      <c r="O11382" s="24"/>
      <c r="P11382"/>
      <c r="Q11382" s="24"/>
      <c r="R11382"/>
      <c r="S11382"/>
      <c r="T11382"/>
      <c r="U11382"/>
      <c r="X11382" s="60"/>
    </row>
    <row r="11383" spans="7:24" ht="15" customHeight="1">
      <c r="G11383"/>
      <c r="I11383"/>
      <c r="N11383"/>
      <c r="O11383" s="24"/>
      <c r="P11383"/>
      <c r="Q11383" s="24"/>
      <c r="R11383"/>
      <c r="S11383"/>
      <c r="T11383"/>
      <c r="U11383"/>
      <c r="X11383" s="60"/>
    </row>
    <row r="11384" spans="7:24" ht="15" customHeight="1">
      <c r="G11384"/>
      <c r="I11384"/>
      <c r="N11384"/>
      <c r="O11384" s="24"/>
      <c r="P11384"/>
      <c r="Q11384" s="24"/>
      <c r="R11384"/>
      <c r="S11384"/>
      <c r="T11384"/>
      <c r="U11384"/>
      <c r="X11384" s="60"/>
    </row>
    <row r="11385" spans="7:24" ht="15" customHeight="1">
      <c r="G11385"/>
      <c r="I11385"/>
      <c r="N11385"/>
      <c r="O11385" s="24"/>
      <c r="P11385"/>
      <c r="Q11385" s="24"/>
      <c r="R11385"/>
      <c r="S11385"/>
      <c r="T11385"/>
      <c r="U11385"/>
      <c r="X11385" s="60"/>
    </row>
    <row r="11386" spans="7:24" ht="15" customHeight="1">
      <c r="G11386"/>
      <c r="I11386"/>
      <c r="N11386"/>
      <c r="O11386" s="24"/>
      <c r="P11386"/>
      <c r="Q11386" s="24"/>
      <c r="R11386"/>
      <c r="S11386"/>
      <c r="T11386"/>
      <c r="U11386"/>
      <c r="X11386" s="60"/>
    </row>
    <row r="11387" spans="7:24" ht="15" customHeight="1">
      <c r="G11387"/>
      <c r="I11387"/>
      <c r="N11387"/>
      <c r="O11387" s="24"/>
      <c r="P11387"/>
      <c r="Q11387" s="24"/>
      <c r="R11387"/>
      <c r="S11387"/>
      <c r="T11387"/>
      <c r="U11387"/>
      <c r="X11387" s="60"/>
    </row>
    <row r="11388" spans="7:24" ht="15" customHeight="1">
      <c r="G11388"/>
      <c r="I11388"/>
      <c r="N11388"/>
      <c r="O11388" s="24"/>
      <c r="P11388"/>
      <c r="Q11388" s="24"/>
      <c r="R11388"/>
      <c r="S11388"/>
      <c r="T11388"/>
      <c r="U11388"/>
      <c r="X11388" s="60"/>
    </row>
    <row r="11389" spans="7:24" ht="15" customHeight="1">
      <c r="G11389"/>
      <c r="I11389"/>
      <c r="N11389"/>
      <c r="O11389" s="24"/>
      <c r="P11389"/>
      <c r="Q11389" s="24"/>
      <c r="R11389"/>
      <c r="S11389"/>
      <c r="T11389"/>
      <c r="U11389"/>
      <c r="X11389" s="60"/>
    </row>
    <row r="11390" spans="7:24" ht="15" customHeight="1">
      <c r="G11390"/>
      <c r="I11390"/>
      <c r="N11390"/>
      <c r="O11390" s="24"/>
      <c r="P11390"/>
      <c r="Q11390" s="24"/>
      <c r="R11390"/>
      <c r="S11390"/>
      <c r="T11390"/>
      <c r="U11390"/>
      <c r="X11390" s="60"/>
    </row>
    <row r="11391" spans="7:24" ht="15" customHeight="1">
      <c r="G11391"/>
      <c r="I11391"/>
      <c r="N11391"/>
      <c r="O11391" s="24"/>
      <c r="P11391"/>
      <c r="Q11391" s="24"/>
      <c r="R11391"/>
      <c r="S11391"/>
      <c r="T11391"/>
      <c r="U11391"/>
      <c r="X11391" s="60"/>
    </row>
    <row r="11392" spans="7:24" ht="15" customHeight="1">
      <c r="G11392"/>
      <c r="I11392"/>
      <c r="N11392"/>
      <c r="O11392" s="24"/>
      <c r="P11392"/>
      <c r="Q11392" s="24"/>
      <c r="R11392"/>
      <c r="S11392"/>
      <c r="T11392"/>
      <c r="U11392"/>
      <c r="X11392" s="60"/>
    </row>
    <row r="11393" spans="7:24" ht="15" customHeight="1">
      <c r="G11393"/>
      <c r="I11393"/>
      <c r="N11393"/>
      <c r="O11393" s="24"/>
      <c r="P11393"/>
      <c r="Q11393" s="24"/>
      <c r="R11393"/>
      <c r="S11393"/>
      <c r="T11393"/>
      <c r="U11393"/>
      <c r="X11393" s="60"/>
    </row>
    <row r="11394" spans="7:24" ht="15" customHeight="1">
      <c r="G11394"/>
      <c r="I11394"/>
      <c r="N11394"/>
      <c r="O11394" s="24"/>
      <c r="P11394"/>
      <c r="Q11394" s="24"/>
      <c r="R11394"/>
      <c r="S11394"/>
      <c r="T11394"/>
      <c r="U11394"/>
      <c r="X11394" s="60"/>
    </row>
    <row r="11395" spans="7:24" ht="15" customHeight="1">
      <c r="G11395"/>
      <c r="I11395"/>
      <c r="N11395"/>
      <c r="O11395" s="24"/>
      <c r="P11395"/>
      <c r="Q11395" s="24"/>
      <c r="R11395"/>
      <c r="S11395"/>
      <c r="T11395"/>
      <c r="U11395"/>
      <c r="X11395" s="60"/>
    </row>
    <row r="11396" spans="7:24" ht="15" customHeight="1">
      <c r="G11396"/>
      <c r="I11396"/>
      <c r="N11396"/>
      <c r="O11396" s="24"/>
      <c r="P11396"/>
      <c r="Q11396" s="24"/>
      <c r="R11396"/>
      <c r="S11396"/>
      <c r="T11396"/>
      <c r="U11396"/>
      <c r="X11396" s="60"/>
    </row>
    <row r="11397" spans="7:24" ht="15" customHeight="1">
      <c r="G11397"/>
      <c r="I11397"/>
      <c r="N11397"/>
      <c r="O11397" s="24"/>
      <c r="P11397"/>
      <c r="Q11397" s="24"/>
      <c r="R11397"/>
      <c r="S11397"/>
      <c r="T11397"/>
      <c r="U11397"/>
      <c r="X11397" s="60"/>
    </row>
    <row r="11398" spans="7:24" ht="15" customHeight="1">
      <c r="G11398"/>
      <c r="I11398"/>
      <c r="N11398"/>
      <c r="O11398" s="24"/>
      <c r="P11398"/>
      <c r="Q11398" s="24"/>
      <c r="R11398"/>
      <c r="S11398"/>
      <c r="T11398"/>
      <c r="U11398"/>
      <c r="X11398" s="60"/>
    </row>
    <row r="11399" spans="7:24" ht="15" customHeight="1">
      <c r="G11399"/>
      <c r="I11399"/>
      <c r="N11399"/>
      <c r="O11399" s="24"/>
      <c r="P11399"/>
      <c r="Q11399" s="24"/>
      <c r="R11399"/>
      <c r="S11399"/>
      <c r="T11399"/>
      <c r="U11399"/>
      <c r="X11399" s="60"/>
    </row>
    <row r="11400" spans="7:24" ht="15" customHeight="1">
      <c r="G11400"/>
      <c r="I11400"/>
      <c r="N11400"/>
      <c r="O11400" s="24"/>
      <c r="P11400"/>
      <c r="Q11400" s="24"/>
      <c r="R11400"/>
      <c r="S11400"/>
      <c r="T11400"/>
      <c r="U11400"/>
      <c r="X11400" s="60"/>
    </row>
    <row r="11401" spans="7:24" ht="15" customHeight="1">
      <c r="G11401"/>
      <c r="I11401"/>
      <c r="N11401"/>
      <c r="O11401" s="24"/>
      <c r="P11401"/>
      <c r="Q11401" s="24"/>
      <c r="R11401"/>
      <c r="S11401"/>
      <c r="T11401"/>
      <c r="U11401"/>
      <c r="X11401" s="60"/>
    </row>
    <row r="11402" spans="7:24" ht="15" customHeight="1">
      <c r="G11402"/>
      <c r="I11402"/>
      <c r="N11402"/>
      <c r="O11402" s="24"/>
      <c r="P11402"/>
      <c r="Q11402" s="24"/>
      <c r="R11402"/>
      <c r="S11402"/>
      <c r="T11402"/>
      <c r="U11402"/>
      <c r="X11402" s="60"/>
    </row>
    <row r="11403" spans="7:24" ht="15" customHeight="1">
      <c r="G11403"/>
      <c r="I11403"/>
      <c r="N11403"/>
      <c r="O11403" s="24"/>
      <c r="P11403"/>
      <c r="Q11403" s="24"/>
      <c r="R11403"/>
      <c r="S11403"/>
      <c r="T11403"/>
      <c r="U11403"/>
      <c r="X11403" s="60"/>
    </row>
    <row r="11404" spans="7:24" ht="15" customHeight="1">
      <c r="G11404"/>
      <c r="I11404"/>
      <c r="N11404"/>
      <c r="O11404" s="24"/>
      <c r="P11404"/>
      <c r="Q11404" s="24"/>
      <c r="R11404"/>
      <c r="S11404"/>
      <c r="T11404"/>
      <c r="U11404"/>
      <c r="X11404" s="60"/>
    </row>
    <row r="11405" spans="7:24" ht="15" customHeight="1">
      <c r="G11405"/>
      <c r="I11405"/>
      <c r="N11405"/>
      <c r="O11405" s="24"/>
      <c r="P11405"/>
      <c r="Q11405" s="24"/>
      <c r="R11405"/>
      <c r="S11405"/>
      <c r="T11405"/>
      <c r="U11405"/>
      <c r="X11405" s="60"/>
    </row>
    <row r="11406" spans="7:24" ht="15" customHeight="1">
      <c r="G11406"/>
      <c r="I11406"/>
      <c r="N11406"/>
      <c r="O11406" s="24"/>
      <c r="P11406"/>
      <c r="Q11406" s="24"/>
      <c r="R11406"/>
      <c r="S11406"/>
      <c r="T11406"/>
      <c r="U11406"/>
      <c r="X11406" s="60"/>
    </row>
    <row r="11407" spans="7:24" ht="15" customHeight="1">
      <c r="G11407"/>
      <c r="I11407"/>
      <c r="N11407"/>
      <c r="O11407" s="24"/>
      <c r="P11407"/>
      <c r="Q11407" s="24"/>
      <c r="R11407"/>
      <c r="S11407"/>
      <c r="T11407"/>
      <c r="U11407"/>
      <c r="X11407" s="60"/>
    </row>
    <row r="11408" spans="7:24" ht="15" customHeight="1">
      <c r="G11408"/>
      <c r="I11408"/>
      <c r="N11408"/>
      <c r="O11408" s="24"/>
      <c r="P11408"/>
      <c r="Q11408" s="24"/>
      <c r="R11408"/>
      <c r="S11408"/>
      <c r="T11408"/>
      <c r="U11408"/>
      <c r="X11408" s="60"/>
    </row>
    <row r="11409" spans="7:24" ht="15" customHeight="1">
      <c r="G11409"/>
      <c r="I11409"/>
      <c r="N11409"/>
      <c r="O11409" s="24"/>
      <c r="P11409"/>
      <c r="Q11409" s="24"/>
      <c r="R11409"/>
      <c r="S11409"/>
      <c r="T11409"/>
      <c r="U11409"/>
      <c r="X11409" s="60"/>
    </row>
    <row r="11410" spans="7:24" ht="15" customHeight="1">
      <c r="G11410"/>
      <c r="I11410"/>
      <c r="N11410"/>
      <c r="O11410" s="24"/>
      <c r="P11410"/>
      <c r="Q11410" s="24"/>
      <c r="R11410"/>
      <c r="S11410"/>
      <c r="T11410"/>
      <c r="U11410"/>
      <c r="X11410" s="60"/>
    </row>
    <row r="11411" spans="7:24" ht="15" customHeight="1">
      <c r="G11411"/>
      <c r="I11411"/>
      <c r="N11411"/>
      <c r="O11411" s="24"/>
      <c r="P11411"/>
      <c r="Q11411" s="24"/>
      <c r="R11411"/>
      <c r="S11411"/>
      <c r="T11411"/>
      <c r="U11411"/>
      <c r="X11411" s="60"/>
    </row>
    <row r="11412" spans="7:24" ht="15" customHeight="1">
      <c r="G11412"/>
      <c r="I11412"/>
      <c r="N11412"/>
      <c r="O11412" s="24"/>
      <c r="P11412"/>
      <c r="Q11412" s="24"/>
      <c r="R11412"/>
      <c r="S11412"/>
      <c r="T11412"/>
      <c r="U11412"/>
      <c r="X11412" s="60"/>
    </row>
    <row r="11413" spans="7:24" ht="15" customHeight="1">
      <c r="G11413"/>
      <c r="I11413"/>
      <c r="N11413"/>
      <c r="O11413" s="24"/>
      <c r="P11413"/>
      <c r="Q11413" s="24"/>
      <c r="R11413"/>
      <c r="S11413"/>
      <c r="T11413"/>
      <c r="U11413"/>
      <c r="X11413" s="60"/>
    </row>
    <row r="11414" spans="7:24" ht="15" customHeight="1">
      <c r="G11414"/>
      <c r="I11414"/>
      <c r="N11414"/>
      <c r="O11414" s="24"/>
      <c r="P11414"/>
      <c r="Q11414" s="24"/>
      <c r="R11414"/>
      <c r="S11414"/>
      <c r="T11414"/>
      <c r="U11414"/>
      <c r="X11414" s="60"/>
    </row>
    <row r="11415" spans="7:24" ht="15" customHeight="1">
      <c r="G11415"/>
      <c r="I11415"/>
      <c r="N11415"/>
      <c r="O11415" s="24"/>
      <c r="P11415"/>
      <c r="Q11415" s="24"/>
      <c r="R11415"/>
      <c r="S11415"/>
      <c r="T11415"/>
      <c r="U11415"/>
      <c r="X11415" s="60"/>
    </row>
    <row r="11416" spans="7:24" ht="15" customHeight="1">
      <c r="G11416"/>
      <c r="I11416"/>
      <c r="N11416"/>
      <c r="O11416" s="24"/>
      <c r="P11416"/>
      <c r="Q11416" s="24"/>
      <c r="R11416"/>
      <c r="S11416"/>
      <c r="T11416"/>
      <c r="U11416"/>
      <c r="X11416" s="60"/>
    </row>
    <row r="11417" spans="7:24" ht="15" customHeight="1">
      <c r="G11417"/>
      <c r="I11417"/>
      <c r="N11417"/>
      <c r="O11417" s="24"/>
      <c r="P11417"/>
      <c r="Q11417" s="24"/>
      <c r="R11417"/>
      <c r="S11417"/>
      <c r="T11417"/>
      <c r="U11417"/>
      <c r="X11417" s="60"/>
    </row>
    <row r="11418" spans="7:24" ht="15" customHeight="1">
      <c r="G11418"/>
      <c r="I11418"/>
      <c r="N11418"/>
      <c r="O11418" s="24"/>
      <c r="P11418"/>
      <c r="Q11418" s="24"/>
      <c r="R11418"/>
      <c r="S11418"/>
      <c r="T11418"/>
      <c r="U11418"/>
      <c r="X11418" s="60"/>
    </row>
    <row r="11419" spans="7:24" ht="15" customHeight="1">
      <c r="G11419"/>
      <c r="I11419"/>
      <c r="N11419"/>
      <c r="O11419" s="24"/>
      <c r="P11419"/>
      <c r="Q11419" s="24"/>
      <c r="R11419"/>
      <c r="S11419"/>
      <c r="T11419"/>
      <c r="U11419"/>
      <c r="X11419" s="60"/>
    </row>
    <row r="11420" spans="7:24" ht="15" customHeight="1">
      <c r="G11420"/>
      <c r="I11420"/>
      <c r="N11420"/>
      <c r="O11420" s="24"/>
      <c r="P11420"/>
      <c r="Q11420" s="24"/>
      <c r="R11420"/>
      <c r="S11420"/>
      <c r="T11420"/>
      <c r="U11420"/>
      <c r="X11420" s="60"/>
    </row>
    <row r="11421" spans="7:24" ht="15" customHeight="1">
      <c r="G11421"/>
      <c r="I11421"/>
      <c r="N11421"/>
      <c r="O11421" s="24"/>
      <c r="P11421"/>
      <c r="Q11421" s="24"/>
      <c r="R11421"/>
      <c r="S11421"/>
      <c r="T11421"/>
      <c r="U11421"/>
      <c r="X11421" s="60"/>
    </row>
    <row r="11422" spans="7:24" ht="15" customHeight="1">
      <c r="G11422"/>
      <c r="I11422"/>
      <c r="N11422"/>
      <c r="O11422" s="24"/>
      <c r="P11422"/>
      <c r="Q11422" s="24"/>
      <c r="R11422"/>
      <c r="S11422"/>
      <c r="T11422"/>
      <c r="U11422"/>
      <c r="X11422" s="60"/>
    </row>
    <row r="11423" spans="7:24" ht="15" customHeight="1">
      <c r="G11423"/>
      <c r="I11423"/>
      <c r="N11423"/>
      <c r="O11423" s="24"/>
      <c r="P11423"/>
      <c r="Q11423" s="24"/>
      <c r="R11423"/>
      <c r="S11423"/>
      <c r="T11423"/>
      <c r="U11423"/>
      <c r="X11423" s="60"/>
    </row>
    <row r="11424" spans="7:24" ht="15" customHeight="1">
      <c r="G11424"/>
      <c r="I11424"/>
      <c r="N11424"/>
      <c r="O11424" s="24"/>
      <c r="P11424"/>
      <c r="Q11424" s="24"/>
      <c r="R11424"/>
      <c r="S11424"/>
      <c r="T11424"/>
      <c r="U11424"/>
      <c r="X11424" s="60"/>
    </row>
    <row r="11425" spans="7:24" ht="15" customHeight="1">
      <c r="G11425"/>
      <c r="I11425"/>
      <c r="N11425"/>
      <c r="O11425" s="24"/>
      <c r="P11425"/>
      <c r="Q11425" s="24"/>
      <c r="R11425"/>
      <c r="S11425"/>
      <c r="T11425"/>
      <c r="U11425"/>
      <c r="X11425" s="60"/>
    </row>
    <row r="11426" spans="7:24" ht="15" customHeight="1">
      <c r="G11426"/>
      <c r="I11426"/>
      <c r="N11426"/>
      <c r="O11426" s="24"/>
      <c r="P11426"/>
      <c r="Q11426" s="24"/>
      <c r="R11426"/>
      <c r="S11426"/>
      <c r="T11426"/>
      <c r="U11426"/>
      <c r="X11426" s="60"/>
    </row>
    <row r="11427" spans="7:24" ht="15" customHeight="1">
      <c r="G11427"/>
      <c r="I11427"/>
      <c r="N11427"/>
      <c r="O11427" s="24"/>
      <c r="P11427"/>
      <c r="Q11427" s="24"/>
      <c r="R11427"/>
      <c r="S11427"/>
      <c r="T11427"/>
      <c r="U11427"/>
      <c r="X11427" s="60"/>
    </row>
    <row r="11428" spans="7:24" ht="15" customHeight="1">
      <c r="G11428"/>
      <c r="I11428"/>
      <c r="N11428"/>
      <c r="O11428" s="24"/>
      <c r="P11428"/>
      <c r="Q11428" s="24"/>
      <c r="R11428"/>
      <c r="S11428"/>
      <c r="T11428"/>
      <c r="U11428"/>
      <c r="X11428" s="60"/>
    </row>
    <row r="11429" spans="7:24" ht="15" customHeight="1">
      <c r="G11429"/>
      <c r="I11429"/>
      <c r="N11429"/>
      <c r="O11429" s="24"/>
      <c r="P11429"/>
      <c r="Q11429" s="24"/>
      <c r="R11429"/>
      <c r="S11429"/>
      <c r="T11429"/>
      <c r="U11429"/>
      <c r="X11429" s="60"/>
    </row>
    <row r="11430" spans="7:24" ht="15" customHeight="1">
      <c r="G11430"/>
      <c r="I11430"/>
      <c r="N11430"/>
      <c r="O11430" s="24"/>
      <c r="P11430"/>
      <c r="Q11430" s="24"/>
      <c r="R11430"/>
      <c r="S11430"/>
      <c r="T11430"/>
      <c r="U11430"/>
      <c r="X11430" s="60"/>
    </row>
    <row r="11431" spans="7:24" ht="15" customHeight="1">
      <c r="G11431"/>
      <c r="I11431"/>
      <c r="N11431"/>
      <c r="O11431" s="24"/>
      <c r="P11431"/>
      <c r="Q11431" s="24"/>
      <c r="R11431"/>
      <c r="S11431"/>
      <c r="T11431"/>
      <c r="U11431"/>
      <c r="X11431" s="60"/>
    </row>
    <row r="11432" spans="7:24" ht="15" customHeight="1">
      <c r="G11432"/>
      <c r="I11432"/>
      <c r="N11432"/>
      <c r="O11432" s="24"/>
      <c r="P11432"/>
      <c r="Q11432" s="24"/>
      <c r="R11432"/>
      <c r="S11432"/>
      <c r="T11432"/>
      <c r="U11432"/>
      <c r="X11432" s="60"/>
    </row>
    <row r="11433" spans="7:24" ht="15" customHeight="1">
      <c r="G11433"/>
      <c r="I11433"/>
      <c r="N11433"/>
      <c r="O11433" s="24"/>
      <c r="P11433"/>
      <c r="Q11433" s="24"/>
      <c r="R11433"/>
      <c r="S11433"/>
      <c r="T11433"/>
      <c r="U11433"/>
      <c r="X11433" s="60"/>
    </row>
    <row r="11434" spans="7:24" ht="15" customHeight="1">
      <c r="G11434"/>
      <c r="I11434"/>
      <c r="N11434"/>
      <c r="O11434" s="24"/>
      <c r="P11434"/>
      <c r="Q11434" s="24"/>
      <c r="R11434"/>
      <c r="S11434"/>
      <c r="T11434"/>
      <c r="U11434"/>
      <c r="X11434" s="60"/>
    </row>
    <row r="11435" spans="7:24" ht="15" customHeight="1">
      <c r="G11435"/>
      <c r="I11435"/>
      <c r="N11435"/>
      <c r="O11435" s="24"/>
      <c r="P11435"/>
      <c r="Q11435" s="24"/>
      <c r="R11435"/>
      <c r="S11435"/>
      <c r="T11435"/>
      <c r="U11435"/>
      <c r="X11435" s="60"/>
    </row>
    <row r="11436" spans="7:24" ht="15" customHeight="1">
      <c r="G11436"/>
      <c r="I11436"/>
      <c r="N11436"/>
      <c r="O11436" s="24"/>
      <c r="P11436"/>
      <c r="Q11436" s="24"/>
      <c r="R11436"/>
      <c r="S11436"/>
      <c r="T11436"/>
      <c r="U11436"/>
      <c r="X11436" s="60"/>
    </row>
    <row r="11437" spans="7:24" ht="15" customHeight="1">
      <c r="G11437"/>
      <c r="I11437"/>
      <c r="N11437"/>
      <c r="O11437" s="24"/>
      <c r="P11437"/>
      <c r="Q11437" s="24"/>
      <c r="R11437"/>
      <c r="S11437"/>
      <c r="T11437"/>
      <c r="U11437"/>
      <c r="X11437" s="60"/>
    </row>
    <row r="11438" spans="7:24" ht="15" customHeight="1">
      <c r="G11438"/>
      <c r="I11438"/>
      <c r="N11438"/>
      <c r="O11438" s="24"/>
      <c r="P11438"/>
      <c r="Q11438" s="24"/>
      <c r="R11438"/>
      <c r="S11438"/>
      <c r="T11438"/>
      <c r="U11438"/>
      <c r="X11438" s="60"/>
    </row>
    <row r="11439" spans="7:24" ht="15" customHeight="1">
      <c r="G11439"/>
      <c r="I11439"/>
      <c r="N11439"/>
      <c r="O11439" s="24"/>
      <c r="P11439"/>
      <c r="Q11439" s="24"/>
      <c r="R11439"/>
      <c r="S11439"/>
      <c r="T11439"/>
      <c r="U11439"/>
      <c r="X11439" s="60"/>
    </row>
    <row r="11440" spans="7:24" ht="15" customHeight="1">
      <c r="G11440"/>
      <c r="I11440"/>
      <c r="N11440"/>
      <c r="O11440" s="24"/>
      <c r="P11440"/>
      <c r="Q11440" s="24"/>
      <c r="R11440"/>
      <c r="S11440"/>
      <c r="T11440"/>
      <c r="U11440"/>
      <c r="X11440" s="60"/>
    </row>
    <row r="11441" spans="7:24" ht="15" customHeight="1">
      <c r="G11441"/>
      <c r="I11441"/>
      <c r="N11441"/>
      <c r="O11441" s="24"/>
      <c r="P11441"/>
      <c r="Q11441" s="24"/>
      <c r="R11441"/>
      <c r="S11441"/>
      <c r="T11441"/>
      <c r="U11441"/>
      <c r="X11441" s="60"/>
    </row>
    <row r="11442" spans="7:24" ht="15" customHeight="1">
      <c r="G11442"/>
      <c r="I11442"/>
      <c r="N11442"/>
      <c r="O11442" s="24"/>
      <c r="P11442"/>
      <c r="Q11442" s="24"/>
      <c r="R11442"/>
      <c r="S11442"/>
      <c r="T11442"/>
      <c r="U11442"/>
      <c r="X11442" s="60"/>
    </row>
    <row r="11443" spans="7:24" ht="15" customHeight="1">
      <c r="G11443"/>
      <c r="I11443"/>
      <c r="N11443"/>
      <c r="O11443" s="24"/>
      <c r="P11443"/>
      <c r="Q11443" s="24"/>
      <c r="R11443"/>
      <c r="S11443"/>
      <c r="T11443"/>
      <c r="U11443"/>
      <c r="X11443" s="60"/>
    </row>
    <row r="11444" spans="7:24" ht="15" customHeight="1">
      <c r="G11444"/>
      <c r="I11444"/>
      <c r="N11444"/>
      <c r="O11444" s="24"/>
      <c r="P11444"/>
      <c r="Q11444" s="24"/>
      <c r="R11444"/>
      <c r="S11444"/>
      <c r="T11444"/>
      <c r="U11444"/>
      <c r="X11444" s="60"/>
    </row>
    <row r="11445" spans="7:24" ht="15" customHeight="1">
      <c r="G11445"/>
      <c r="I11445"/>
      <c r="N11445"/>
      <c r="O11445" s="24"/>
      <c r="P11445"/>
      <c r="Q11445" s="24"/>
      <c r="R11445"/>
      <c r="S11445"/>
      <c r="T11445"/>
      <c r="U11445"/>
      <c r="X11445" s="60"/>
    </row>
    <row r="11446" spans="7:24" ht="15" customHeight="1">
      <c r="G11446"/>
      <c r="I11446"/>
      <c r="N11446"/>
      <c r="O11446" s="24"/>
      <c r="P11446"/>
      <c r="Q11446" s="24"/>
      <c r="R11446"/>
      <c r="S11446"/>
      <c r="T11446"/>
      <c r="U11446"/>
      <c r="X11446" s="60"/>
    </row>
    <row r="11447" spans="7:24" ht="15" customHeight="1">
      <c r="G11447"/>
      <c r="I11447"/>
      <c r="N11447"/>
      <c r="O11447" s="24"/>
      <c r="P11447"/>
      <c r="Q11447" s="24"/>
      <c r="R11447"/>
      <c r="S11447"/>
      <c r="T11447"/>
      <c r="U11447"/>
      <c r="X11447" s="60"/>
    </row>
    <row r="11448" spans="7:24" ht="15" customHeight="1">
      <c r="G11448"/>
      <c r="I11448"/>
      <c r="N11448"/>
      <c r="O11448" s="24"/>
      <c r="P11448"/>
      <c r="Q11448" s="24"/>
      <c r="R11448"/>
      <c r="S11448"/>
      <c r="T11448"/>
      <c r="U11448"/>
      <c r="X11448" s="60"/>
    </row>
    <row r="11449" spans="7:24" ht="15" customHeight="1">
      <c r="G11449"/>
      <c r="I11449"/>
      <c r="N11449"/>
      <c r="O11449" s="24"/>
      <c r="P11449"/>
      <c r="Q11449" s="24"/>
      <c r="R11449"/>
      <c r="S11449"/>
      <c r="T11449"/>
      <c r="U11449"/>
      <c r="X11449" s="60"/>
    </row>
    <row r="11450" spans="7:24" ht="15" customHeight="1">
      <c r="G11450"/>
      <c r="I11450"/>
      <c r="N11450"/>
      <c r="O11450" s="24"/>
      <c r="P11450"/>
      <c r="Q11450" s="24"/>
      <c r="R11450"/>
      <c r="S11450"/>
      <c r="T11450"/>
      <c r="U11450"/>
      <c r="X11450" s="60"/>
    </row>
    <row r="11451" spans="7:24" ht="15" customHeight="1">
      <c r="G11451"/>
      <c r="I11451"/>
      <c r="N11451"/>
      <c r="O11451" s="24"/>
      <c r="P11451"/>
      <c r="Q11451" s="24"/>
      <c r="R11451"/>
      <c r="S11451"/>
      <c r="T11451"/>
      <c r="U11451"/>
      <c r="X11451" s="60"/>
    </row>
    <row r="11452" spans="7:24" ht="15" customHeight="1">
      <c r="G11452"/>
      <c r="I11452"/>
      <c r="N11452"/>
      <c r="O11452" s="24"/>
      <c r="P11452"/>
      <c r="Q11452" s="24"/>
      <c r="R11452"/>
      <c r="S11452"/>
      <c r="T11452"/>
      <c r="U11452"/>
      <c r="X11452" s="60"/>
    </row>
    <row r="11453" spans="7:24" ht="15" customHeight="1">
      <c r="G11453"/>
      <c r="I11453"/>
      <c r="N11453"/>
      <c r="O11453" s="24"/>
      <c r="P11453"/>
      <c r="Q11453" s="24"/>
      <c r="R11453"/>
      <c r="S11453"/>
      <c r="T11453"/>
      <c r="U11453"/>
      <c r="X11453" s="60"/>
    </row>
    <row r="11454" spans="7:24" ht="15" customHeight="1">
      <c r="G11454"/>
      <c r="I11454"/>
      <c r="N11454"/>
      <c r="O11454" s="24"/>
      <c r="P11454"/>
      <c r="Q11454" s="24"/>
      <c r="R11454"/>
      <c r="S11454"/>
      <c r="T11454"/>
      <c r="U11454"/>
      <c r="X11454" s="60"/>
    </row>
    <row r="11455" spans="7:24" ht="15" customHeight="1">
      <c r="G11455"/>
      <c r="I11455"/>
      <c r="N11455"/>
      <c r="O11455" s="24"/>
      <c r="P11455"/>
      <c r="Q11455" s="24"/>
      <c r="R11455"/>
      <c r="S11455"/>
      <c r="T11455"/>
      <c r="U11455"/>
      <c r="X11455" s="60"/>
    </row>
    <row r="11456" spans="7:24" ht="15" customHeight="1">
      <c r="G11456"/>
      <c r="I11456"/>
      <c r="N11456"/>
      <c r="O11456" s="24"/>
      <c r="P11456"/>
      <c r="Q11456" s="24"/>
      <c r="R11456"/>
      <c r="S11456"/>
      <c r="T11456"/>
      <c r="U11456"/>
      <c r="X11456" s="60"/>
    </row>
    <row r="11457" spans="7:24" ht="15" customHeight="1">
      <c r="G11457"/>
      <c r="I11457"/>
      <c r="N11457"/>
      <c r="O11457" s="24"/>
      <c r="P11457"/>
      <c r="Q11457" s="24"/>
      <c r="R11457"/>
      <c r="S11457"/>
      <c r="T11457"/>
      <c r="U11457"/>
      <c r="X11457" s="60"/>
    </row>
    <row r="11458" spans="7:24" ht="15" customHeight="1">
      <c r="G11458"/>
      <c r="I11458"/>
      <c r="N11458"/>
      <c r="O11458" s="24"/>
      <c r="P11458"/>
      <c r="Q11458" s="24"/>
      <c r="R11458"/>
      <c r="S11458"/>
      <c r="T11458"/>
      <c r="U11458"/>
      <c r="X11458" s="60"/>
    </row>
    <row r="11459" spans="7:24" ht="15" customHeight="1">
      <c r="G11459"/>
      <c r="I11459"/>
      <c r="N11459"/>
      <c r="O11459" s="24"/>
      <c r="P11459"/>
      <c r="Q11459" s="24"/>
      <c r="R11459"/>
      <c r="S11459"/>
      <c r="T11459"/>
      <c r="U11459"/>
      <c r="X11459" s="60"/>
    </row>
    <row r="11460" spans="7:24" ht="15" customHeight="1">
      <c r="G11460"/>
      <c r="I11460"/>
      <c r="N11460"/>
      <c r="O11460" s="24"/>
      <c r="P11460"/>
      <c r="Q11460" s="24"/>
      <c r="R11460"/>
      <c r="S11460"/>
      <c r="T11460"/>
      <c r="U11460"/>
      <c r="X11460" s="60"/>
    </row>
    <row r="11461" spans="7:24" ht="15" customHeight="1">
      <c r="G11461"/>
      <c r="I11461"/>
      <c r="N11461"/>
      <c r="O11461" s="24"/>
      <c r="P11461"/>
      <c r="Q11461" s="24"/>
      <c r="R11461"/>
      <c r="S11461"/>
      <c r="T11461"/>
      <c r="U11461"/>
      <c r="X11461" s="60"/>
    </row>
    <row r="11462" spans="7:24" ht="15" customHeight="1">
      <c r="G11462"/>
      <c r="I11462"/>
      <c r="N11462"/>
      <c r="O11462" s="24"/>
      <c r="P11462"/>
      <c r="Q11462" s="24"/>
      <c r="R11462"/>
      <c r="S11462"/>
      <c r="T11462"/>
      <c r="U11462"/>
      <c r="X11462" s="60"/>
    </row>
    <row r="11463" spans="7:24" ht="15" customHeight="1">
      <c r="G11463"/>
      <c r="I11463"/>
      <c r="N11463"/>
      <c r="O11463" s="24"/>
      <c r="P11463"/>
      <c r="Q11463" s="24"/>
      <c r="R11463"/>
      <c r="S11463"/>
      <c r="T11463"/>
      <c r="U11463"/>
      <c r="X11463" s="60"/>
    </row>
    <row r="11464" spans="7:24" ht="15" customHeight="1">
      <c r="G11464"/>
      <c r="I11464"/>
      <c r="N11464"/>
      <c r="O11464" s="24"/>
      <c r="P11464"/>
      <c r="Q11464" s="24"/>
      <c r="R11464"/>
      <c r="S11464"/>
      <c r="T11464"/>
      <c r="U11464"/>
      <c r="X11464" s="60"/>
    </row>
    <row r="11465" spans="7:24" ht="15" customHeight="1">
      <c r="G11465"/>
      <c r="I11465"/>
      <c r="N11465"/>
      <c r="O11465" s="24"/>
      <c r="P11465"/>
      <c r="Q11465" s="24"/>
      <c r="R11465"/>
      <c r="S11465"/>
      <c r="T11465"/>
      <c r="U11465"/>
      <c r="X11465" s="60"/>
    </row>
    <row r="11466" spans="7:24" ht="15" customHeight="1">
      <c r="G11466"/>
      <c r="I11466"/>
      <c r="N11466"/>
      <c r="O11466" s="24"/>
      <c r="P11466"/>
      <c r="Q11466" s="24"/>
      <c r="R11466"/>
      <c r="S11466"/>
      <c r="T11466"/>
      <c r="U11466"/>
      <c r="X11466" s="60"/>
    </row>
    <row r="11467" spans="7:24" ht="15" customHeight="1">
      <c r="G11467"/>
      <c r="I11467"/>
      <c r="N11467"/>
      <c r="O11467" s="24"/>
      <c r="P11467"/>
      <c r="Q11467" s="24"/>
      <c r="R11467"/>
      <c r="S11467"/>
      <c r="T11467"/>
      <c r="U11467"/>
      <c r="X11467" s="60"/>
    </row>
    <row r="11468" spans="7:24" ht="15" customHeight="1">
      <c r="G11468"/>
      <c r="I11468"/>
      <c r="N11468"/>
      <c r="O11468" s="24"/>
      <c r="P11468"/>
      <c r="Q11468" s="24"/>
      <c r="R11468"/>
      <c r="S11468"/>
      <c r="T11468"/>
      <c r="U11468"/>
      <c r="X11468" s="60"/>
    </row>
    <row r="11469" spans="7:24" ht="15" customHeight="1">
      <c r="G11469"/>
      <c r="I11469"/>
      <c r="N11469"/>
      <c r="O11469" s="24"/>
      <c r="P11469"/>
      <c r="Q11469" s="24"/>
      <c r="R11469"/>
      <c r="S11469"/>
      <c r="T11469"/>
      <c r="U11469"/>
      <c r="X11469" s="60"/>
    </row>
    <row r="11470" spans="7:24" ht="15" customHeight="1">
      <c r="G11470"/>
      <c r="I11470"/>
      <c r="N11470"/>
      <c r="O11470" s="24"/>
      <c r="P11470"/>
      <c r="Q11470" s="24"/>
      <c r="R11470"/>
      <c r="S11470"/>
      <c r="T11470"/>
      <c r="U11470"/>
      <c r="X11470" s="60"/>
    </row>
    <row r="11471" spans="7:24" ht="15" customHeight="1">
      <c r="G11471"/>
      <c r="I11471"/>
      <c r="N11471"/>
      <c r="O11471" s="24"/>
      <c r="P11471"/>
      <c r="Q11471" s="24"/>
      <c r="R11471"/>
      <c r="S11471"/>
      <c r="T11471"/>
      <c r="U11471"/>
      <c r="X11471" s="60"/>
    </row>
    <row r="11472" spans="7:24" ht="15" customHeight="1">
      <c r="G11472"/>
      <c r="I11472"/>
      <c r="N11472"/>
      <c r="O11472" s="24"/>
      <c r="P11472"/>
      <c r="Q11472" s="24"/>
      <c r="R11472"/>
      <c r="S11472"/>
      <c r="T11472"/>
      <c r="U11472"/>
      <c r="X11472" s="60"/>
    </row>
    <row r="11473" spans="7:24" ht="15" customHeight="1">
      <c r="G11473"/>
      <c r="I11473"/>
      <c r="N11473"/>
      <c r="O11473" s="24"/>
      <c r="P11473"/>
      <c r="Q11473" s="24"/>
      <c r="R11473"/>
      <c r="S11473"/>
      <c r="T11473"/>
      <c r="U11473"/>
      <c r="X11473" s="60"/>
    </row>
    <row r="11474" spans="7:24" ht="15" customHeight="1">
      <c r="G11474"/>
      <c r="I11474"/>
      <c r="N11474"/>
      <c r="O11474" s="24"/>
      <c r="P11474"/>
      <c r="Q11474" s="24"/>
      <c r="R11474"/>
      <c r="S11474"/>
      <c r="T11474"/>
      <c r="U11474"/>
      <c r="X11474" s="60"/>
    </row>
    <row r="11475" spans="7:24" ht="15" customHeight="1">
      <c r="G11475"/>
      <c r="I11475"/>
      <c r="N11475"/>
      <c r="O11475" s="24"/>
      <c r="P11475"/>
      <c r="Q11475" s="24"/>
      <c r="R11475"/>
      <c r="S11475"/>
      <c r="T11475"/>
      <c r="U11475"/>
      <c r="X11475" s="60"/>
    </row>
    <row r="11476" spans="7:24" ht="15" customHeight="1">
      <c r="G11476"/>
      <c r="I11476"/>
      <c r="N11476"/>
      <c r="O11476" s="24"/>
      <c r="P11476"/>
      <c r="Q11476" s="24"/>
      <c r="R11476"/>
      <c r="S11476"/>
      <c r="T11476"/>
      <c r="U11476"/>
      <c r="X11476" s="60"/>
    </row>
    <row r="11477" spans="7:24" ht="15" customHeight="1">
      <c r="G11477"/>
      <c r="I11477"/>
      <c r="N11477"/>
      <c r="O11477" s="24"/>
      <c r="P11477"/>
      <c r="Q11477" s="24"/>
      <c r="R11477"/>
      <c r="S11477"/>
      <c r="T11477"/>
      <c r="U11477"/>
      <c r="X11477" s="60"/>
    </row>
    <row r="11478" spans="7:24" ht="15" customHeight="1">
      <c r="G11478"/>
      <c r="I11478"/>
      <c r="N11478"/>
      <c r="O11478" s="24"/>
      <c r="P11478"/>
      <c r="Q11478" s="24"/>
      <c r="R11478"/>
      <c r="S11478"/>
      <c r="T11478"/>
      <c r="U11478"/>
      <c r="X11478" s="60"/>
    </row>
    <row r="11479" spans="7:24" ht="15" customHeight="1">
      <c r="G11479"/>
      <c r="I11479"/>
      <c r="N11479"/>
      <c r="O11479" s="24"/>
      <c r="P11479"/>
      <c r="Q11479" s="24"/>
      <c r="R11479"/>
      <c r="S11479"/>
      <c r="T11479"/>
      <c r="U11479"/>
      <c r="X11479" s="60"/>
    </row>
    <row r="11480" spans="7:24" ht="15" customHeight="1">
      <c r="G11480"/>
      <c r="I11480"/>
      <c r="N11480"/>
      <c r="O11480" s="24"/>
      <c r="P11480"/>
      <c r="Q11480" s="24"/>
      <c r="R11480"/>
      <c r="S11480"/>
      <c r="T11480"/>
      <c r="U11480"/>
      <c r="X11480" s="60"/>
    </row>
    <row r="11481" spans="7:24" ht="15" customHeight="1">
      <c r="G11481"/>
      <c r="I11481"/>
      <c r="N11481"/>
      <c r="O11481" s="24"/>
      <c r="P11481"/>
      <c r="Q11481" s="24"/>
      <c r="R11481"/>
      <c r="S11481"/>
      <c r="T11481"/>
      <c r="U11481"/>
      <c r="X11481" s="60"/>
    </row>
    <row r="11482" spans="7:24" ht="15" customHeight="1">
      <c r="G11482"/>
      <c r="I11482"/>
      <c r="N11482"/>
      <c r="O11482" s="24"/>
      <c r="P11482"/>
      <c r="Q11482" s="24"/>
      <c r="R11482"/>
      <c r="S11482"/>
      <c r="T11482"/>
      <c r="U11482"/>
      <c r="X11482" s="60"/>
    </row>
    <row r="11483" spans="7:24" ht="15" customHeight="1">
      <c r="G11483"/>
      <c r="I11483"/>
      <c r="N11483"/>
      <c r="O11483" s="24"/>
      <c r="P11483"/>
      <c r="Q11483" s="24"/>
      <c r="R11483"/>
      <c r="S11483"/>
      <c r="T11483"/>
      <c r="U11483"/>
      <c r="X11483" s="60"/>
    </row>
    <row r="11484" spans="7:24" ht="15" customHeight="1">
      <c r="G11484"/>
      <c r="I11484"/>
      <c r="N11484"/>
      <c r="O11484" s="24"/>
      <c r="P11484"/>
      <c r="Q11484" s="24"/>
      <c r="R11484"/>
      <c r="S11484"/>
      <c r="T11484"/>
      <c r="U11484"/>
      <c r="X11484" s="60"/>
    </row>
    <row r="11485" spans="7:24" ht="15" customHeight="1">
      <c r="G11485"/>
      <c r="I11485"/>
      <c r="N11485"/>
      <c r="O11485" s="24"/>
      <c r="P11485"/>
      <c r="Q11485" s="24"/>
      <c r="R11485"/>
      <c r="S11485"/>
      <c r="T11485"/>
      <c r="U11485"/>
      <c r="X11485" s="60"/>
    </row>
    <row r="11486" spans="7:24" ht="15" customHeight="1">
      <c r="G11486"/>
      <c r="I11486"/>
      <c r="N11486"/>
      <c r="O11486" s="24"/>
      <c r="P11486"/>
      <c r="Q11486" s="24"/>
      <c r="R11486"/>
      <c r="S11486"/>
      <c r="T11486"/>
      <c r="U11486"/>
      <c r="X11486" s="60"/>
    </row>
    <row r="11487" spans="7:24" ht="15" customHeight="1">
      <c r="G11487"/>
      <c r="I11487"/>
      <c r="N11487"/>
      <c r="O11487" s="24"/>
      <c r="P11487"/>
      <c r="Q11487" s="24"/>
      <c r="R11487"/>
      <c r="S11487"/>
      <c r="T11487"/>
      <c r="U11487"/>
      <c r="X11487" s="60"/>
    </row>
    <row r="11488" spans="7:24" ht="15" customHeight="1">
      <c r="G11488"/>
      <c r="I11488"/>
      <c r="N11488"/>
      <c r="O11488" s="24"/>
      <c r="P11488"/>
      <c r="Q11488" s="24"/>
      <c r="R11488"/>
      <c r="S11488"/>
      <c r="T11488"/>
      <c r="U11488"/>
      <c r="X11488" s="60"/>
    </row>
    <row r="11489" spans="7:24" ht="15" customHeight="1">
      <c r="G11489"/>
      <c r="I11489"/>
      <c r="N11489"/>
      <c r="O11489" s="24"/>
      <c r="P11489"/>
      <c r="Q11489" s="24"/>
      <c r="R11489"/>
      <c r="S11489"/>
      <c r="T11489"/>
      <c r="U11489"/>
      <c r="X11489" s="60"/>
    </row>
    <row r="11490" spans="7:24" ht="15" customHeight="1">
      <c r="G11490"/>
      <c r="I11490"/>
      <c r="N11490"/>
      <c r="O11490" s="24"/>
      <c r="P11490"/>
      <c r="Q11490" s="24"/>
      <c r="R11490"/>
      <c r="S11490"/>
      <c r="T11490"/>
      <c r="U11490"/>
      <c r="X11490" s="60"/>
    </row>
    <row r="11491" spans="7:24" ht="15" customHeight="1">
      <c r="G11491"/>
      <c r="I11491"/>
      <c r="N11491"/>
      <c r="O11491" s="24"/>
      <c r="P11491"/>
      <c r="Q11491" s="24"/>
      <c r="R11491"/>
      <c r="S11491"/>
      <c r="T11491"/>
      <c r="U11491"/>
      <c r="X11491" s="60"/>
    </row>
    <row r="11492" spans="7:24" ht="15" customHeight="1">
      <c r="G11492"/>
      <c r="I11492"/>
      <c r="N11492"/>
      <c r="O11492" s="24"/>
      <c r="P11492"/>
      <c r="Q11492" s="24"/>
      <c r="R11492"/>
      <c r="S11492"/>
      <c r="T11492"/>
      <c r="U11492"/>
      <c r="X11492" s="60"/>
    </row>
    <row r="11493" spans="7:24" ht="15" customHeight="1">
      <c r="G11493"/>
      <c r="I11493"/>
      <c r="N11493"/>
      <c r="O11493" s="24"/>
      <c r="P11493"/>
      <c r="Q11493" s="24"/>
      <c r="R11493"/>
      <c r="S11493"/>
      <c r="T11493"/>
      <c r="U11493"/>
      <c r="X11493" s="60"/>
    </row>
    <row r="11494" spans="7:24" ht="15" customHeight="1">
      <c r="G11494"/>
      <c r="I11494"/>
      <c r="N11494"/>
      <c r="O11494" s="24"/>
      <c r="P11494"/>
      <c r="Q11494" s="24"/>
      <c r="R11494"/>
      <c r="S11494"/>
      <c r="T11494"/>
      <c r="U11494"/>
      <c r="X11494" s="60"/>
    </row>
    <row r="11495" spans="7:24" ht="15" customHeight="1">
      <c r="G11495"/>
      <c r="I11495"/>
      <c r="N11495"/>
      <c r="O11495" s="24"/>
      <c r="P11495"/>
      <c r="Q11495" s="24"/>
      <c r="R11495"/>
      <c r="S11495"/>
      <c r="T11495"/>
      <c r="U11495"/>
      <c r="X11495" s="60"/>
    </row>
    <row r="11496" spans="7:24" ht="15" customHeight="1">
      <c r="G11496"/>
      <c r="I11496"/>
      <c r="N11496"/>
      <c r="O11496" s="24"/>
      <c r="P11496"/>
      <c r="Q11496" s="24"/>
      <c r="R11496"/>
      <c r="S11496"/>
      <c r="T11496"/>
      <c r="U11496"/>
      <c r="X11496" s="60"/>
    </row>
    <row r="11497" spans="7:24" ht="15" customHeight="1">
      <c r="G11497"/>
      <c r="I11497"/>
      <c r="N11497"/>
      <c r="O11497" s="24"/>
      <c r="P11497"/>
      <c r="Q11497" s="24"/>
      <c r="R11497"/>
      <c r="S11497"/>
      <c r="T11497"/>
      <c r="U11497"/>
      <c r="X11497" s="60"/>
    </row>
    <row r="11498" spans="7:24" ht="15" customHeight="1">
      <c r="G11498"/>
      <c r="I11498"/>
      <c r="N11498"/>
      <c r="O11498" s="24"/>
      <c r="P11498"/>
      <c r="Q11498" s="24"/>
      <c r="R11498"/>
      <c r="S11498"/>
      <c r="T11498"/>
      <c r="U11498"/>
      <c r="X11498" s="60"/>
    </row>
    <row r="11499" spans="7:24" ht="15" customHeight="1">
      <c r="G11499"/>
      <c r="I11499"/>
      <c r="N11499"/>
      <c r="O11499" s="24"/>
      <c r="P11499"/>
      <c r="Q11499" s="24"/>
      <c r="R11499"/>
      <c r="S11499"/>
      <c r="T11499"/>
      <c r="U11499"/>
      <c r="X11499" s="60"/>
    </row>
    <row r="11500" spans="7:24" ht="15" customHeight="1">
      <c r="G11500"/>
      <c r="I11500"/>
      <c r="N11500"/>
      <c r="O11500" s="24"/>
      <c r="P11500"/>
      <c r="Q11500" s="24"/>
      <c r="R11500"/>
      <c r="S11500"/>
      <c r="T11500"/>
      <c r="U11500"/>
      <c r="X11500" s="60"/>
    </row>
    <row r="11501" spans="7:24" ht="15" customHeight="1">
      <c r="G11501"/>
      <c r="I11501"/>
      <c r="N11501"/>
      <c r="O11501" s="24"/>
      <c r="P11501"/>
      <c r="Q11501" s="24"/>
      <c r="R11501"/>
      <c r="S11501"/>
      <c r="T11501"/>
      <c r="U11501"/>
      <c r="X11501" s="60"/>
    </row>
    <row r="11502" spans="7:24" ht="15" customHeight="1">
      <c r="G11502"/>
      <c r="I11502"/>
      <c r="N11502"/>
      <c r="O11502" s="24"/>
      <c r="P11502"/>
      <c r="Q11502" s="24"/>
      <c r="R11502"/>
      <c r="S11502"/>
      <c r="T11502"/>
      <c r="U11502"/>
      <c r="X11502" s="60"/>
    </row>
    <row r="11503" spans="7:24" ht="15" customHeight="1">
      <c r="G11503"/>
      <c r="I11503"/>
      <c r="N11503"/>
      <c r="O11503" s="24"/>
      <c r="P11503"/>
      <c r="Q11503" s="24"/>
      <c r="R11503"/>
      <c r="S11503"/>
      <c r="T11503"/>
      <c r="U11503"/>
      <c r="X11503" s="60"/>
    </row>
    <row r="11504" spans="7:24" ht="15" customHeight="1">
      <c r="G11504"/>
      <c r="I11504"/>
      <c r="N11504"/>
      <c r="O11504" s="24"/>
      <c r="P11504"/>
      <c r="Q11504" s="24"/>
      <c r="R11504"/>
      <c r="S11504"/>
      <c r="T11504"/>
      <c r="U11504"/>
      <c r="X11504" s="60"/>
    </row>
    <row r="11505" spans="7:24" ht="15" customHeight="1">
      <c r="G11505"/>
      <c r="I11505"/>
      <c r="N11505"/>
      <c r="O11505" s="24"/>
      <c r="P11505"/>
      <c r="Q11505" s="24"/>
      <c r="R11505"/>
      <c r="S11505"/>
      <c r="T11505"/>
      <c r="U11505"/>
      <c r="X11505" s="60"/>
    </row>
    <row r="11506" spans="7:24" ht="15" customHeight="1">
      <c r="G11506"/>
      <c r="I11506"/>
      <c r="N11506"/>
      <c r="O11506" s="24"/>
      <c r="P11506"/>
      <c r="Q11506" s="24"/>
      <c r="R11506"/>
      <c r="S11506"/>
      <c r="T11506"/>
      <c r="U11506"/>
      <c r="X11506" s="60"/>
    </row>
    <row r="11507" spans="7:24" ht="15" customHeight="1">
      <c r="G11507"/>
      <c r="I11507"/>
      <c r="N11507"/>
      <c r="O11507" s="24"/>
      <c r="P11507"/>
      <c r="Q11507" s="24"/>
      <c r="R11507"/>
      <c r="S11507"/>
      <c r="T11507"/>
      <c r="U11507"/>
      <c r="X11507" s="60"/>
    </row>
    <row r="11508" spans="7:24" ht="15" customHeight="1">
      <c r="G11508"/>
      <c r="I11508"/>
      <c r="N11508"/>
      <c r="O11508" s="24"/>
      <c r="P11508"/>
      <c r="Q11508" s="24"/>
      <c r="R11508"/>
      <c r="S11508"/>
      <c r="T11508"/>
      <c r="U11508"/>
      <c r="X11508" s="60"/>
    </row>
    <row r="11509" spans="7:24" ht="15" customHeight="1">
      <c r="G11509"/>
      <c r="I11509"/>
      <c r="N11509"/>
      <c r="O11509" s="24"/>
      <c r="P11509"/>
      <c r="Q11509" s="24"/>
      <c r="R11509"/>
      <c r="S11509"/>
      <c r="T11509"/>
      <c r="U11509"/>
      <c r="X11509" s="60"/>
    </row>
    <row r="11510" spans="7:24" ht="15" customHeight="1">
      <c r="G11510"/>
      <c r="I11510"/>
      <c r="N11510"/>
      <c r="O11510" s="24"/>
      <c r="P11510"/>
      <c r="Q11510" s="24"/>
      <c r="R11510"/>
      <c r="S11510"/>
      <c r="T11510"/>
      <c r="U11510"/>
      <c r="X11510" s="60"/>
    </row>
    <row r="11511" spans="7:24" ht="15" customHeight="1">
      <c r="G11511"/>
      <c r="I11511"/>
      <c r="N11511"/>
      <c r="O11511" s="24"/>
      <c r="P11511"/>
      <c r="Q11511" s="24"/>
      <c r="R11511"/>
      <c r="S11511"/>
      <c r="T11511"/>
      <c r="U11511"/>
      <c r="X11511" s="60"/>
    </row>
    <row r="11512" spans="7:24" ht="15" customHeight="1">
      <c r="G11512"/>
      <c r="I11512"/>
      <c r="N11512"/>
      <c r="O11512" s="24"/>
      <c r="P11512"/>
      <c r="Q11512" s="24"/>
      <c r="R11512"/>
      <c r="S11512"/>
      <c r="T11512"/>
      <c r="U11512"/>
      <c r="X11512" s="60"/>
    </row>
    <row r="11513" spans="7:24" ht="15" customHeight="1">
      <c r="G11513"/>
      <c r="I11513"/>
      <c r="N11513"/>
      <c r="O11513" s="24"/>
      <c r="P11513"/>
      <c r="Q11513" s="24"/>
      <c r="R11513"/>
      <c r="S11513"/>
      <c r="T11513"/>
      <c r="U11513"/>
      <c r="X11513" s="60"/>
    </row>
    <row r="11514" spans="7:24" ht="15" customHeight="1">
      <c r="G11514"/>
      <c r="I11514"/>
      <c r="N11514"/>
      <c r="O11514" s="24"/>
      <c r="P11514"/>
      <c r="Q11514" s="24"/>
      <c r="R11514"/>
      <c r="S11514"/>
      <c r="T11514"/>
      <c r="U11514"/>
      <c r="X11514" s="60"/>
    </row>
    <row r="11515" spans="7:24" ht="15" customHeight="1">
      <c r="G11515"/>
      <c r="I11515"/>
      <c r="N11515"/>
      <c r="O11515" s="24"/>
      <c r="P11515"/>
      <c r="Q11515" s="24"/>
      <c r="R11515"/>
      <c r="S11515"/>
      <c r="T11515"/>
      <c r="U11515"/>
      <c r="X11515" s="60"/>
    </row>
    <row r="11516" spans="7:24" ht="15" customHeight="1">
      <c r="G11516"/>
      <c r="I11516"/>
      <c r="N11516"/>
      <c r="O11516" s="24"/>
      <c r="P11516"/>
      <c r="Q11516" s="24"/>
      <c r="R11516"/>
      <c r="S11516"/>
      <c r="T11516"/>
      <c r="U11516"/>
      <c r="X11516" s="60"/>
    </row>
    <row r="11517" spans="7:24" ht="15" customHeight="1">
      <c r="G11517"/>
      <c r="I11517"/>
      <c r="N11517"/>
      <c r="O11517" s="24"/>
      <c r="P11517"/>
      <c r="Q11517" s="24"/>
      <c r="R11517"/>
      <c r="S11517"/>
      <c r="T11517"/>
      <c r="U11517"/>
      <c r="X11517" s="60"/>
    </row>
    <row r="11518" spans="7:24" ht="15" customHeight="1">
      <c r="G11518"/>
      <c r="I11518"/>
      <c r="N11518"/>
      <c r="O11518" s="24"/>
      <c r="P11518"/>
      <c r="Q11518" s="24"/>
      <c r="R11518"/>
      <c r="S11518"/>
      <c r="T11518"/>
      <c r="U11518"/>
      <c r="X11518" s="60"/>
    </row>
    <row r="11519" spans="7:24" ht="15" customHeight="1">
      <c r="G11519"/>
      <c r="I11519"/>
      <c r="N11519"/>
      <c r="O11519" s="24"/>
      <c r="P11519"/>
      <c r="Q11519" s="24"/>
      <c r="R11519"/>
      <c r="S11519"/>
      <c r="T11519"/>
      <c r="U11519"/>
      <c r="X11519" s="60"/>
    </row>
    <row r="11520" spans="7:24" ht="15" customHeight="1">
      <c r="G11520"/>
      <c r="I11520"/>
      <c r="N11520"/>
      <c r="O11520" s="24"/>
      <c r="P11520"/>
      <c r="Q11520" s="24"/>
      <c r="R11520"/>
      <c r="S11520"/>
      <c r="T11520"/>
      <c r="U11520"/>
      <c r="X11520" s="60"/>
    </row>
    <row r="11521" spans="7:24" ht="15" customHeight="1">
      <c r="G11521"/>
      <c r="I11521"/>
      <c r="N11521"/>
      <c r="O11521" s="24"/>
      <c r="P11521"/>
      <c r="Q11521" s="24"/>
      <c r="R11521"/>
      <c r="S11521"/>
      <c r="T11521"/>
      <c r="U11521"/>
      <c r="X11521" s="60"/>
    </row>
    <row r="11522" spans="7:24" ht="15" customHeight="1">
      <c r="G11522"/>
      <c r="I11522"/>
      <c r="N11522"/>
      <c r="O11522" s="24"/>
      <c r="P11522"/>
      <c r="Q11522" s="24"/>
      <c r="R11522"/>
      <c r="S11522"/>
      <c r="T11522"/>
      <c r="U11522"/>
      <c r="X11522" s="60"/>
    </row>
    <row r="11523" spans="7:24" ht="15" customHeight="1">
      <c r="G11523"/>
      <c r="I11523"/>
      <c r="N11523"/>
      <c r="O11523" s="24"/>
      <c r="P11523"/>
      <c r="Q11523" s="24"/>
      <c r="R11523"/>
      <c r="S11523"/>
      <c r="T11523"/>
      <c r="U11523"/>
      <c r="X11523" s="60"/>
    </row>
    <row r="11524" spans="7:24" ht="15" customHeight="1">
      <c r="G11524"/>
      <c r="I11524"/>
      <c r="N11524"/>
      <c r="O11524" s="24"/>
      <c r="P11524"/>
      <c r="Q11524" s="24"/>
      <c r="R11524"/>
      <c r="S11524"/>
      <c r="T11524"/>
      <c r="U11524"/>
      <c r="X11524" s="60"/>
    </row>
    <row r="11525" spans="7:24" ht="15" customHeight="1">
      <c r="G11525"/>
      <c r="I11525"/>
      <c r="N11525"/>
      <c r="O11525" s="24"/>
      <c r="P11525"/>
      <c r="Q11525" s="24"/>
      <c r="R11525"/>
      <c r="S11525"/>
      <c r="T11525"/>
      <c r="U11525"/>
      <c r="X11525" s="60"/>
    </row>
    <row r="11526" spans="7:24" ht="15" customHeight="1">
      <c r="G11526"/>
      <c r="I11526"/>
      <c r="N11526"/>
      <c r="O11526" s="24"/>
      <c r="P11526"/>
      <c r="Q11526" s="24"/>
      <c r="R11526"/>
      <c r="S11526"/>
      <c r="T11526"/>
      <c r="U11526"/>
      <c r="X11526" s="60"/>
    </row>
    <row r="11527" spans="7:24" ht="15" customHeight="1">
      <c r="G11527"/>
      <c r="I11527"/>
      <c r="N11527"/>
      <c r="O11527" s="24"/>
      <c r="P11527"/>
      <c r="Q11527" s="24"/>
      <c r="R11527"/>
      <c r="S11527"/>
      <c r="T11527"/>
      <c r="U11527"/>
      <c r="X11527" s="60"/>
    </row>
    <row r="11528" spans="7:24" ht="15" customHeight="1">
      <c r="G11528"/>
      <c r="I11528"/>
      <c r="N11528"/>
      <c r="O11528" s="24"/>
      <c r="P11528"/>
      <c r="Q11528" s="24"/>
      <c r="R11528"/>
      <c r="S11528"/>
      <c r="T11528"/>
      <c r="U11528"/>
      <c r="X11528" s="60"/>
    </row>
    <row r="11529" spans="7:24" ht="15" customHeight="1">
      <c r="G11529"/>
      <c r="I11529"/>
      <c r="N11529"/>
      <c r="O11529" s="24"/>
      <c r="P11529"/>
      <c r="Q11529" s="24"/>
      <c r="R11529"/>
      <c r="S11529"/>
      <c r="T11529"/>
      <c r="U11529"/>
      <c r="X11529" s="60"/>
    </row>
    <row r="11530" spans="7:24" ht="15" customHeight="1">
      <c r="G11530"/>
      <c r="I11530"/>
      <c r="N11530"/>
      <c r="O11530" s="24"/>
      <c r="P11530"/>
      <c r="Q11530" s="24"/>
      <c r="R11530"/>
      <c r="S11530"/>
      <c r="T11530"/>
      <c r="U11530"/>
      <c r="X11530" s="60"/>
    </row>
    <row r="11531" spans="7:24" ht="15" customHeight="1">
      <c r="G11531"/>
      <c r="I11531"/>
      <c r="N11531"/>
      <c r="O11531" s="24"/>
      <c r="P11531"/>
      <c r="Q11531" s="24"/>
      <c r="R11531"/>
      <c r="S11531"/>
      <c r="T11531"/>
      <c r="U11531"/>
      <c r="X11531" s="60"/>
    </row>
    <row r="11532" spans="7:24" ht="15" customHeight="1">
      <c r="G11532"/>
      <c r="I11532"/>
      <c r="N11532"/>
      <c r="O11532" s="24"/>
      <c r="P11532"/>
      <c r="Q11532" s="24"/>
      <c r="R11532"/>
      <c r="S11532"/>
      <c r="T11532"/>
      <c r="U11532"/>
      <c r="X11532" s="60"/>
    </row>
    <row r="11533" spans="7:24" ht="15" customHeight="1">
      <c r="G11533"/>
      <c r="I11533"/>
      <c r="N11533"/>
      <c r="O11533" s="24"/>
      <c r="P11533"/>
      <c r="Q11533" s="24"/>
      <c r="R11533"/>
      <c r="S11533"/>
      <c r="T11533"/>
      <c r="U11533"/>
      <c r="X11533" s="60"/>
    </row>
    <row r="11534" spans="7:24" ht="15" customHeight="1">
      <c r="G11534"/>
      <c r="I11534"/>
      <c r="N11534"/>
      <c r="O11534" s="24"/>
      <c r="P11534"/>
      <c r="Q11534" s="24"/>
      <c r="R11534"/>
      <c r="S11534"/>
      <c r="T11534"/>
      <c r="U11534"/>
      <c r="X11534" s="60"/>
    </row>
    <row r="11535" spans="7:24" ht="15" customHeight="1">
      <c r="G11535"/>
      <c r="I11535"/>
      <c r="N11535"/>
      <c r="O11535" s="24"/>
      <c r="P11535"/>
      <c r="Q11535" s="24"/>
      <c r="R11535"/>
      <c r="S11535"/>
      <c r="T11535"/>
      <c r="U11535"/>
      <c r="X11535" s="60"/>
    </row>
    <row r="11536" spans="7:24" ht="15" customHeight="1">
      <c r="G11536"/>
      <c r="I11536"/>
      <c r="N11536"/>
      <c r="O11536" s="24"/>
      <c r="P11536"/>
      <c r="Q11536" s="24"/>
      <c r="R11536"/>
      <c r="S11536"/>
      <c r="T11536"/>
      <c r="U11536"/>
      <c r="X11536" s="60"/>
    </row>
    <row r="11537" spans="7:24" ht="15" customHeight="1">
      <c r="G11537"/>
      <c r="I11537"/>
      <c r="N11537"/>
      <c r="O11537" s="24"/>
      <c r="P11537"/>
      <c r="Q11537" s="24"/>
      <c r="R11537"/>
      <c r="S11537"/>
      <c r="T11537"/>
      <c r="U11537"/>
      <c r="X11537" s="60"/>
    </row>
    <row r="11538" spans="7:24" ht="15" customHeight="1">
      <c r="G11538"/>
      <c r="I11538"/>
      <c r="N11538"/>
      <c r="O11538" s="24"/>
      <c r="P11538"/>
      <c r="Q11538" s="24"/>
      <c r="R11538"/>
      <c r="S11538"/>
      <c r="T11538"/>
      <c r="U11538"/>
      <c r="X11538" s="60"/>
    </row>
    <row r="11539" spans="7:24" ht="15" customHeight="1">
      <c r="G11539"/>
      <c r="I11539"/>
      <c r="N11539"/>
      <c r="O11539" s="24"/>
      <c r="P11539"/>
      <c r="Q11539" s="24"/>
      <c r="R11539"/>
      <c r="S11539"/>
      <c r="T11539"/>
      <c r="U11539"/>
      <c r="X11539" s="60"/>
    </row>
    <row r="11540" spans="7:24" ht="15" customHeight="1">
      <c r="G11540"/>
      <c r="I11540"/>
      <c r="N11540"/>
      <c r="O11540" s="24"/>
      <c r="P11540"/>
      <c r="Q11540" s="24"/>
      <c r="R11540"/>
      <c r="S11540"/>
      <c r="T11540"/>
      <c r="U11540"/>
      <c r="X11540" s="60"/>
    </row>
    <row r="11541" spans="7:24" ht="15" customHeight="1">
      <c r="G11541"/>
      <c r="I11541"/>
      <c r="N11541"/>
      <c r="O11541" s="24"/>
      <c r="P11541"/>
      <c r="Q11541" s="24"/>
      <c r="R11541"/>
      <c r="S11541"/>
      <c r="T11541"/>
      <c r="U11541"/>
      <c r="X11541" s="60"/>
    </row>
    <row r="11542" spans="7:24" ht="15" customHeight="1">
      <c r="G11542"/>
      <c r="I11542"/>
      <c r="N11542"/>
      <c r="O11542" s="24"/>
      <c r="P11542"/>
      <c r="Q11542" s="24"/>
      <c r="R11542"/>
      <c r="S11542"/>
      <c r="T11542"/>
      <c r="U11542"/>
      <c r="X11542" s="60"/>
    </row>
    <row r="11543" spans="7:24" ht="15" customHeight="1">
      <c r="G11543"/>
      <c r="I11543"/>
      <c r="N11543"/>
      <c r="O11543" s="24"/>
      <c r="P11543"/>
      <c r="Q11543" s="24"/>
      <c r="R11543"/>
      <c r="S11543"/>
      <c r="T11543"/>
      <c r="U11543"/>
      <c r="X11543" s="60"/>
    </row>
    <row r="11544" spans="7:24" ht="15" customHeight="1">
      <c r="G11544"/>
      <c r="I11544"/>
      <c r="N11544"/>
      <c r="O11544" s="24"/>
      <c r="P11544"/>
      <c r="Q11544" s="24"/>
      <c r="R11544"/>
      <c r="S11544"/>
      <c r="T11544"/>
      <c r="U11544"/>
      <c r="X11544" s="60"/>
    </row>
    <row r="11545" spans="7:24" ht="15" customHeight="1">
      <c r="G11545"/>
      <c r="I11545"/>
      <c r="N11545"/>
      <c r="O11545" s="24"/>
      <c r="P11545"/>
      <c r="Q11545" s="24"/>
      <c r="R11545"/>
      <c r="S11545"/>
      <c r="T11545"/>
      <c r="U11545"/>
      <c r="X11545" s="60"/>
    </row>
    <row r="11546" spans="7:24" ht="15" customHeight="1">
      <c r="G11546"/>
      <c r="I11546"/>
      <c r="N11546"/>
      <c r="O11546" s="24"/>
      <c r="P11546"/>
      <c r="Q11546" s="24"/>
      <c r="R11546"/>
      <c r="S11546"/>
      <c r="T11546"/>
      <c r="U11546"/>
      <c r="X11546" s="60"/>
    </row>
    <row r="11547" spans="7:24" ht="15" customHeight="1">
      <c r="G11547"/>
      <c r="I11547"/>
      <c r="N11547"/>
      <c r="O11547" s="24"/>
      <c r="P11547"/>
      <c r="Q11547" s="24"/>
      <c r="R11547"/>
      <c r="S11547"/>
      <c r="T11547"/>
      <c r="U11547"/>
      <c r="X11547" s="60"/>
    </row>
    <row r="11548" spans="7:24" ht="15" customHeight="1">
      <c r="G11548"/>
      <c r="I11548"/>
      <c r="N11548"/>
      <c r="O11548" s="24"/>
      <c r="P11548"/>
      <c r="Q11548" s="24"/>
      <c r="R11548"/>
      <c r="S11548"/>
      <c r="T11548"/>
      <c r="U11548"/>
      <c r="X11548" s="60"/>
    </row>
    <row r="11549" spans="7:24" ht="15" customHeight="1">
      <c r="G11549"/>
      <c r="I11549"/>
      <c r="N11549"/>
      <c r="O11549" s="24"/>
      <c r="P11549"/>
      <c r="Q11549" s="24"/>
      <c r="R11549"/>
      <c r="S11549"/>
      <c r="T11549"/>
      <c r="U11549"/>
      <c r="X11549" s="60"/>
    </row>
    <row r="11550" spans="7:24" ht="15" customHeight="1">
      <c r="G11550"/>
      <c r="I11550"/>
      <c r="N11550"/>
      <c r="O11550" s="24"/>
      <c r="P11550"/>
      <c r="Q11550" s="24"/>
      <c r="R11550"/>
      <c r="S11550"/>
      <c r="T11550"/>
      <c r="U11550"/>
      <c r="X11550" s="60"/>
    </row>
    <row r="11551" spans="7:24" ht="15" customHeight="1">
      <c r="G11551"/>
      <c r="I11551"/>
      <c r="N11551"/>
      <c r="O11551" s="24"/>
      <c r="P11551"/>
      <c r="Q11551" s="24"/>
      <c r="R11551"/>
      <c r="S11551"/>
      <c r="T11551"/>
      <c r="U11551"/>
      <c r="X11551" s="60"/>
    </row>
    <row r="11552" spans="7:24" ht="15" customHeight="1">
      <c r="G11552"/>
      <c r="I11552"/>
      <c r="N11552"/>
      <c r="O11552" s="24"/>
      <c r="P11552"/>
      <c r="Q11552" s="24"/>
      <c r="R11552"/>
      <c r="S11552"/>
      <c r="T11552"/>
      <c r="U11552"/>
      <c r="X11552" s="60"/>
    </row>
    <row r="11553" spans="7:24" ht="15" customHeight="1">
      <c r="G11553"/>
      <c r="I11553"/>
      <c r="N11553"/>
      <c r="O11553" s="24"/>
      <c r="P11553"/>
      <c r="Q11553" s="24"/>
      <c r="R11553"/>
      <c r="S11553"/>
      <c r="T11553"/>
      <c r="U11553"/>
      <c r="X11553" s="60"/>
    </row>
    <row r="11554" spans="7:24" ht="15" customHeight="1">
      <c r="G11554"/>
      <c r="I11554"/>
      <c r="N11554"/>
      <c r="O11554" s="24"/>
      <c r="P11554"/>
      <c r="Q11554" s="24"/>
      <c r="R11554"/>
      <c r="S11554"/>
      <c r="T11554"/>
      <c r="U11554"/>
      <c r="X11554" s="60"/>
    </row>
    <row r="11555" spans="7:24" ht="15" customHeight="1">
      <c r="G11555"/>
      <c r="I11555"/>
      <c r="N11555"/>
      <c r="O11555" s="24"/>
      <c r="P11555"/>
      <c r="Q11555" s="24"/>
      <c r="R11555"/>
      <c r="S11555"/>
      <c r="T11555"/>
      <c r="U11555"/>
      <c r="X11555" s="60"/>
    </row>
    <row r="11556" spans="7:24" ht="15" customHeight="1">
      <c r="G11556"/>
      <c r="I11556"/>
      <c r="N11556"/>
      <c r="O11556" s="24"/>
      <c r="P11556"/>
      <c r="Q11556" s="24"/>
      <c r="R11556"/>
      <c r="S11556"/>
      <c r="T11556"/>
      <c r="U11556"/>
      <c r="X11556" s="60"/>
    </row>
    <row r="11557" spans="7:24" ht="15" customHeight="1">
      <c r="G11557"/>
      <c r="I11557"/>
      <c r="N11557"/>
      <c r="O11557" s="24"/>
      <c r="P11557"/>
      <c r="Q11557" s="24"/>
      <c r="R11557"/>
      <c r="S11557"/>
      <c r="T11557"/>
      <c r="U11557"/>
      <c r="X11557" s="60"/>
    </row>
    <row r="11558" spans="7:24" ht="15" customHeight="1">
      <c r="G11558"/>
      <c r="I11558"/>
      <c r="N11558"/>
      <c r="O11558" s="24"/>
      <c r="P11558"/>
      <c r="Q11558" s="24"/>
      <c r="R11558"/>
      <c r="S11558"/>
      <c r="T11558"/>
      <c r="U11558"/>
      <c r="X11558" s="60"/>
    </row>
    <row r="11559" spans="7:24" ht="15" customHeight="1">
      <c r="G11559"/>
      <c r="I11559"/>
      <c r="N11559"/>
      <c r="O11559" s="24"/>
      <c r="P11559"/>
      <c r="Q11559" s="24"/>
      <c r="R11559"/>
      <c r="S11559"/>
      <c r="T11559"/>
      <c r="U11559"/>
      <c r="X11559" s="60"/>
    </row>
    <row r="11560" spans="7:24" ht="15" customHeight="1">
      <c r="G11560"/>
      <c r="I11560"/>
      <c r="N11560"/>
      <c r="O11560" s="24"/>
      <c r="P11560"/>
      <c r="Q11560" s="24"/>
      <c r="R11560"/>
      <c r="S11560"/>
      <c r="T11560"/>
      <c r="U11560"/>
      <c r="X11560" s="60"/>
    </row>
    <row r="11561" spans="7:24" ht="15" customHeight="1">
      <c r="G11561"/>
      <c r="I11561"/>
      <c r="N11561"/>
      <c r="O11561" s="24"/>
      <c r="P11561"/>
      <c r="Q11561" s="24"/>
      <c r="R11561"/>
      <c r="S11561"/>
      <c r="T11561"/>
      <c r="U11561"/>
      <c r="X11561" s="60"/>
    </row>
    <row r="11562" spans="7:24" ht="15" customHeight="1">
      <c r="G11562"/>
      <c r="I11562"/>
      <c r="N11562"/>
      <c r="O11562" s="24"/>
      <c r="P11562"/>
      <c r="Q11562" s="24"/>
      <c r="R11562"/>
      <c r="S11562"/>
      <c r="T11562"/>
      <c r="U11562"/>
      <c r="X11562" s="60"/>
    </row>
    <row r="11563" spans="7:24" ht="15" customHeight="1">
      <c r="G11563"/>
      <c r="I11563"/>
      <c r="N11563"/>
      <c r="O11563" s="24"/>
      <c r="P11563"/>
      <c r="Q11563" s="24"/>
      <c r="R11563"/>
      <c r="S11563"/>
      <c r="T11563"/>
      <c r="U11563"/>
      <c r="X11563" s="60"/>
    </row>
    <row r="11564" spans="7:24" ht="15" customHeight="1">
      <c r="G11564"/>
      <c r="I11564"/>
      <c r="N11564"/>
      <c r="O11564" s="24"/>
      <c r="P11564"/>
      <c r="Q11564" s="24"/>
      <c r="R11564"/>
      <c r="S11564"/>
      <c r="T11564"/>
      <c r="U11564"/>
      <c r="X11564" s="60"/>
    </row>
    <row r="11565" spans="7:24" ht="15" customHeight="1">
      <c r="G11565"/>
      <c r="I11565"/>
      <c r="N11565"/>
      <c r="O11565" s="24"/>
      <c r="P11565"/>
      <c r="Q11565" s="24"/>
      <c r="R11565"/>
      <c r="S11565"/>
      <c r="T11565"/>
      <c r="U11565"/>
      <c r="X11565" s="60"/>
    </row>
    <row r="11566" spans="7:24" ht="15" customHeight="1">
      <c r="G11566"/>
      <c r="I11566"/>
      <c r="N11566"/>
      <c r="O11566" s="24"/>
      <c r="P11566"/>
      <c r="Q11566" s="24"/>
      <c r="R11566"/>
      <c r="S11566"/>
      <c r="T11566"/>
      <c r="U11566"/>
      <c r="X11566" s="60"/>
    </row>
    <row r="11567" spans="7:24" ht="15" customHeight="1">
      <c r="G11567"/>
      <c r="I11567"/>
      <c r="N11567"/>
      <c r="O11567" s="24"/>
      <c r="P11567"/>
      <c r="Q11567" s="24"/>
      <c r="R11567"/>
      <c r="S11567"/>
      <c r="T11567"/>
      <c r="U11567"/>
      <c r="X11567" s="60"/>
    </row>
    <row r="11568" spans="7:24" ht="15" customHeight="1">
      <c r="G11568"/>
      <c r="I11568"/>
      <c r="N11568"/>
      <c r="O11568" s="24"/>
      <c r="P11568"/>
      <c r="Q11568" s="24"/>
      <c r="R11568"/>
      <c r="S11568"/>
      <c r="T11568"/>
      <c r="U11568"/>
      <c r="X11568" s="60"/>
    </row>
    <row r="11569" spans="7:24" ht="15" customHeight="1">
      <c r="G11569"/>
      <c r="I11569"/>
      <c r="N11569"/>
      <c r="O11569" s="24"/>
      <c r="P11569"/>
      <c r="Q11569" s="24"/>
      <c r="R11569"/>
      <c r="S11569"/>
      <c r="T11569"/>
      <c r="U11569"/>
      <c r="X11569" s="60"/>
    </row>
    <row r="11570" spans="7:24" ht="15" customHeight="1">
      <c r="G11570"/>
      <c r="I11570"/>
      <c r="N11570"/>
      <c r="O11570" s="24"/>
      <c r="P11570"/>
      <c r="Q11570" s="24"/>
      <c r="R11570"/>
      <c r="S11570"/>
      <c r="T11570"/>
      <c r="U11570"/>
      <c r="X11570" s="60"/>
    </row>
    <row r="11571" spans="7:24" ht="15" customHeight="1">
      <c r="G11571"/>
      <c r="I11571"/>
      <c r="N11571"/>
      <c r="O11571" s="24"/>
      <c r="P11571"/>
      <c r="Q11571" s="24"/>
      <c r="R11571"/>
      <c r="S11571"/>
      <c r="T11571"/>
      <c r="U11571"/>
      <c r="X11571" s="60"/>
    </row>
    <row r="11572" spans="7:24" ht="15" customHeight="1">
      <c r="G11572"/>
      <c r="I11572"/>
      <c r="N11572"/>
      <c r="O11572" s="24"/>
      <c r="P11572"/>
      <c r="Q11572" s="24"/>
      <c r="R11572"/>
      <c r="S11572"/>
      <c r="T11572"/>
      <c r="U11572"/>
      <c r="X11572" s="60"/>
    </row>
    <row r="11573" spans="7:24" ht="15" customHeight="1">
      <c r="G11573"/>
      <c r="I11573"/>
      <c r="N11573"/>
      <c r="O11573" s="24"/>
      <c r="P11573"/>
      <c r="Q11573" s="24"/>
      <c r="R11573"/>
      <c r="S11573"/>
      <c r="T11573"/>
      <c r="U11573"/>
      <c r="X11573" s="60"/>
    </row>
    <row r="11574" spans="7:24" ht="15" customHeight="1">
      <c r="G11574"/>
      <c r="I11574"/>
      <c r="N11574"/>
      <c r="O11574" s="24"/>
      <c r="P11574"/>
      <c r="Q11574" s="24"/>
      <c r="R11574"/>
      <c r="S11574"/>
      <c r="T11574"/>
      <c r="U11574"/>
      <c r="X11574" s="60"/>
    </row>
    <row r="11575" spans="7:24" ht="15" customHeight="1">
      <c r="G11575"/>
      <c r="I11575"/>
      <c r="N11575"/>
      <c r="O11575" s="24"/>
      <c r="P11575"/>
      <c r="Q11575" s="24"/>
      <c r="R11575"/>
      <c r="S11575"/>
      <c r="T11575"/>
      <c r="U11575"/>
      <c r="X11575" s="60"/>
    </row>
    <row r="11576" spans="7:24" ht="15" customHeight="1">
      <c r="G11576"/>
      <c r="I11576"/>
      <c r="N11576"/>
      <c r="O11576" s="24"/>
      <c r="P11576"/>
      <c r="Q11576" s="24"/>
      <c r="R11576"/>
      <c r="S11576"/>
      <c r="T11576"/>
      <c r="U11576"/>
      <c r="X11576" s="60"/>
    </row>
    <row r="11577" spans="7:24" ht="15" customHeight="1">
      <c r="G11577"/>
      <c r="I11577"/>
      <c r="N11577"/>
      <c r="O11577" s="24"/>
      <c r="P11577"/>
      <c r="Q11577" s="24"/>
      <c r="R11577"/>
      <c r="S11577"/>
      <c r="T11577"/>
      <c r="U11577"/>
      <c r="X11577" s="60"/>
    </row>
    <row r="11578" spans="7:24" ht="15" customHeight="1">
      <c r="G11578"/>
      <c r="I11578"/>
      <c r="N11578"/>
      <c r="O11578" s="24"/>
      <c r="P11578"/>
      <c r="Q11578" s="24"/>
      <c r="R11578"/>
      <c r="S11578"/>
      <c r="T11578"/>
      <c r="U11578"/>
      <c r="X11578" s="60"/>
    </row>
    <row r="11579" spans="7:24" ht="15" customHeight="1">
      <c r="G11579"/>
      <c r="I11579"/>
      <c r="N11579"/>
      <c r="O11579" s="24"/>
      <c r="P11579"/>
      <c r="Q11579" s="24"/>
      <c r="R11579"/>
      <c r="S11579"/>
      <c r="T11579"/>
      <c r="U11579"/>
      <c r="X11579" s="60"/>
    </row>
    <row r="11580" spans="7:24" ht="15" customHeight="1">
      <c r="G11580"/>
      <c r="I11580"/>
      <c r="N11580"/>
      <c r="O11580" s="24"/>
      <c r="P11580"/>
      <c r="Q11580" s="24"/>
      <c r="R11580"/>
      <c r="S11580"/>
      <c r="T11580"/>
      <c r="U11580"/>
      <c r="X11580" s="60"/>
    </row>
    <row r="11581" spans="7:24" ht="15" customHeight="1">
      <c r="G11581"/>
      <c r="I11581"/>
      <c r="N11581"/>
      <c r="O11581" s="24"/>
      <c r="P11581"/>
      <c r="Q11581" s="24"/>
      <c r="R11581"/>
      <c r="S11581"/>
      <c r="T11581"/>
      <c r="U11581"/>
      <c r="X11581" s="60"/>
    </row>
    <row r="11582" spans="7:24" ht="15" customHeight="1">
      <c r="G11582"/>
      <c r="I11582"/>
      <c r="N11582"/>
      <c r="O11582" s="24"/>
      <c r="P11582"/>
      <c r="Q11582" s="24"/>
      <c r="R11582"/>
      <c r="S11582"/>
      <c r="T11582"/>
      <c r="U11582"/>
      <c r="X11582" s="60"/>
    </row>
    <row r="11583" spans="7:24" ht="15" customHeight="1">
      <c r="G11583"/>
      <c r="I11583"/>
      <c r="N11583"/>
      <c r="O11583" s="24"/>
      <c r="P11583"/>
      <c r="Q11583" s="24"/>
      <c r="R11583"/>
      <c r="S11583"/>
      <c r="T11583"/>
      <c r="U11583"/>
      <c r="X11583" s="60"/>
    </row>
    <row r="11584" spans="7:24" ht="15" customHeight="1">
      <c r="G11584"/>
      <c r="I11584"/>
      <c r="N11584"/>
      <c r="O11584" s="24"/>
      <c r="P11584"/>
      <c r="Q11584" s="24"/>
      <c r="R11584"/>
      <c r="S11584"/>
      <c r="T11584"/>
      <c r="U11584"/>
      <c r="X11584" s="60"/>
    </row>
    <row r="11585" spans="7:24" ht="15" customHeight="1">
      <c r="G11585"/>
      <c r="I11585"/>
      <c r="N11585"/>
      <c r="O11585" s="24"/>
      <c r="P11585"/>
      <c r="Q11585" s="24"/>
      <c r="R11585"/>
      <c r="S11585"/>
      <c r="T11585"/>
      <c r="U11585"/>
      <c r="X11585" s="60"/>
    </row>
    <row r="11586" spans="7:24" ht="15" customHeight="1">
      <c r="G11586"/>
      <c r="I11586"/>
      <c r="N11586"/>
      <c r="O11586" s="24"/>
      <c r="P11586"/>
      <c r="Q11586" s="24"/>
      <c r="R11586"/>
      <c r="S11586"/>
      <c r="T11586"/>
      <c r="U11586"/>
      <c r="X11586" s="60"/>
    </row>
    <row r="11587" spans="7:24" ht="15" customHeight="1">
      <c r="G11587"/>
      <c r="I11587"/>
      <c r="N11587"/>
      <c r="O11587" s="24"/>
      <c r="P11587"/>
      <c r="Q11587" s="24"/>
      <c r="R11587"/>
      <c r="S11587"/>
      <c r="T11587"/>
      <c r="U11587"/>
      <c r="X11587" s="60"/>
    </row>
    <row r="11588" spans="7:24" ht="15" customHeight="1">
      <c r="G11588"/>
      <c r="I11588"/>
      <c r="N11588"/>
      <c r="O11588" s="24"/>
      <c r="P11588"/>
      <c r="Q11588" s="24"/>
      <c r="R11588"/>
      <c r="S11588"/>
      <c r="T11588"/>
      <c r="U11588"/>
      <c r="X11588" s="60"/>
    </row>
    <row r="11589" spans="7:24" ht="15" customHeight="1">
      <c r="G11589"/>
      <c r="I11589"/>
      <c r="N11589"/>
      <c r="O11589" s="24"/>
      <c r="P11589"/>
      <c r="Q11589" s="24"/>
      <c r="R11589"/>
      <c r="S11589"/>
      <c r="T11589"/>
      <c r="U11589"/>
      <c r="X11589" s="60"/>
    </row>
    <row r="11590" spans="7:24" ht="15" customHeight="1">
      <c r="G11590"/>
      <c r="I11590"/>
      <c r="N11590"/>
      <c r="O11590" s="24"/>
      <c r="P11590"/>
      <c r="Q11590" s="24"/>
      <c r="R11590"/>
      <c r="S11590"/>
      <c r="T11590"/>
      <c r="U11590"/>
      <c r="X11590" s="60"/>
    </row>
    <row r="11591" spans="7:24" ht="15" customHeight="1">
      <c r="G11591"/>
      <c r="I11591"/>
      <c r="N11591"/>
      <c r="O11591" s="24"/>
      <c r="P11591"/>
      <c r="Q11591" s="24"/>
      <c r="R11591"/>
      <c r="S11591"/>
      <c r="T11591"/>
      <c r="U11591"/>
      <c r="X11591" s="60"/>
    </row>
    <row r="11592" spans="7:24" ht="15" customHeight="1">
      <c r="G11592"/>
      <c r="I11592"/>
      <c r="N11592"/>
      <c r="O11592" s="24"/>
      <c r="P11592"/>
      <c r="Q11592" s="24"/>
      <c r="R11592"/>
      <c r="S11592"/>
      <c r="T11592"/>
      <c r="U11592"/>
      <c r="X11592" s="60"/>
    </row>
    <row r="11593" spans="7:24" ht="15" customHeight="1">
      <c r="G11593"/>
      <c r="I11593"/>
      <c r="N11593"/>
      <c r="O11593" s="24"/>
      <c r="P11593"/>
      <c r="Q11593" s="24"/>
      <c r="R11593"/>
      <c r="S11593"/>
      <c r="T11593"/>
      <c r="U11593"/>
      <c r="X11593" s="60"/>
    </row>
    <row r="11594" spans="7:24" ht="15" customHeight="1">
      <c r="G11594"/>
      <c r="I11594"/>
      <c r="N11594"/>
      <c r="O11594" s="24"/>
      <c r="P11594"/>
      <c r="Q11594" s="24"/>
      <c r="R11594"/>
      <c r="S11594"/>
      <c r="T11594"/>
      <c r="U11594"/>
      <c r="X11594" s="60"/>
    </row>
    <row r="11595" spans="7:24" ht="15" customHeight="1">
      <c r="G11595"/>
      <c r="I11595"/>
      <c r="N11595"/>
      <c r="O11595" s="24"/>
      <c r="P11595"/>
      <c r="Q11595" s="24"/>
      <c r="R11595"/>
      <c r="S11595"/>
      <c r="T11595"/>
      <c r="U11595"/>
      <c r="X11595" s="60"/>
    </row>
    <row r="11596" spans="7:24" ht="15" customHeight="1">
      <c r="G11596"/>
      <c r="I11596"/>
      <c r="N11596"/>
      <c r="O11596" s="24"/>
      <c r="P11596"/>
      <c r="Q11596" s="24"/>
      <c r="R11596"/>
      <c r="S11596"/>
      <c r="T11596"/>
      <c r="U11596"/>
      <c r="X11596" s="60"/>
    </row>
    <row r="11597" spans="7:24" ht="15" customHeight="1">
      <c r="G11597"/>
      <c r="I11597"/>
      <c r="N11597"/>
      <c r="O11597" s="24"/>
      <c r="P11597"/>
      <c r="Q11597" s="24"/>
      <c r="R11597"/>
      <c r="S11597"/>
      <c r="T11597"/>
      <c r="U11597"/>
      <c r="X11597" s="60"/>
    </row>
    <row r="11598" spans="7:24" ht="15" customHeight="1">
      <c r="G11598"/>
      <c r="I11598"/>
      <c r="N11598"/>
      <c r="O11598" s="24"/>
      <c r="P11598"/>
      <c r="Q11598" s="24"/>
      <c r="R11598"/>
      <c r="S11598"/>
      <c r="T11598"/>
      <c r="U11598"/>
      <c r="X11598" s="60"/>
    </row>
    <row r="11599" spans="7:24" ht="15" customHeight="1">
      <c r="G11599"/>
      <c r="I11599"/>
      <c r="N11599"/>
      <c r="O11599" s="24"/>
      <c r="P11599"/>
      <c r="Q11599" s="24"/>
      <c r="R11599"/>
      <c r="S11599"/>
      <c r="T11599"/>
      <c r="U11599"/>
      <c r="X11599" s="60"/>
    </row>
    <row r="11600" spans="7:24" ht="15" customHeight="1">
      <c r="G11600"/>
      <c r="I11600"/>
      <c r="N11600"/>
      <c r="O11600" s="24"/>
      <c r="P11600"/>
      <c r="Q11600" s="24"/>
      <c r="R11600"/>
      <c r="S11600"/>
      <c r="T11600"/>
      <c r="U11600"/>
      <c r="X11600" s="60"/>
    </row>
    <row r="11601" spans="7:24" ht="15" customHeight="1">
      <c r="G11601"/>
      <c r="I11601"/>
      <c r="N11601"/>
      <c r="O11601" s="24"/>
      <c r="P11601"/>
      <c r="Q11601" s="24"/>
      <c r="R11601"/>
      <c r="S11601"/>
      <c r="T11601"/>
      <c r="U11601"/>
      <c r="X11601" s="60"/>
    </row>
    <row r="11602" spans="7:24" ht="15" customHeight="1">
      <c r="G11602"/>
      <c r="I11602"/>
      <c r="N11602"/>
      <c r="O11602" s="24"/>
      <c r="P11602"/>
      <c r="Q11602" s="24"/>
      <c r="R11602"/>
      <c r="S11602"/>
      <c r="T11602"/>
      <c r="U11602"/>
      <c r="X11602" s="60"/>
    </row>
    <row r="11603" spans="7:24" ht="15" customHeight="1">
      <c r="G11603"/>
      <c r="I11603"/>
      <c r="N11603"/>
      <c r="O11603" s="24"/>
      <c r="P11603"/>
      <c r="Q11603" s="24"/>
      <c r="R11603"/>
      <c r="S11603"/>
      <c r="T11603"/>
      <c r="U11603"/>
      <c r="X11603" s="60"/>
    </row>
    <row r="11604" spans="7:24" ht="15" customHeight="1">
      <c r="G11604"/>
      <c r="I11604"/>
      <c r="N11604"/>
      <c r="O11604" s="24"/>
      <c r="P11604"/>
      <c r="Q11604" s="24"/>
      <c r="R11604"/>
      <c r="S11604"/>
      <c r="T11604"/>
      <c r="U11604"/>
      <c r="X11604" s="60"/>
    </row>
    <row r="11605" spans="7:24" ht="15" customHeight="1">
      <c r="G11605"/>
      <c r="I11605"/>
      <c r="N11605"/>
      <c r="O11605" s="24"/>
      <c r="P11605"/>
      <c r="Q11605" s="24"/>
      <c r="R11605"/>
      <c r="S11605"/>
      <c r="T11605"/>
      <c r="U11605"/>
      <c r="X11605" s="60"/>
    </row>
    <row r="11606" spans="7:24" ht="15" customHeight="1">
      <c r="G11606"/>
      <c r="I11606"/>
      <c r="N11606"/>
      <c r="O11606" s="24"/>
      <c r="P11606"/>
      <c r="Q11606" s="24"/>
      <c r="R11606"/>
      <c r="S11606"/>
      <c r="T11606"/>
      <c r="U11606"/>
      <c r="X11606" s="60"/>
    </row>
    <row r="11607" spans="7:24" ht="15" customHeight="1">
      <c r="G11607"/>
      <c r="I11607"/>
      <c r="N11607"/>
      <c r="O11607" s="24"/>
      <c r="P11607"/>
      <c r="Q11607" s="24"/>
      <c r="R11607"/>
      <c r="S11607"/>
      <c r="T11607"/>
      <c r="U11607"/>
      <c r="X11607" s="60"/>
    </row>
    <row r="11608" spans="7:24" ht="15" customHeight="1">
      <c r="G11608"/>
      <c r="I11608"/>
      <c r="N11608"/>
      <c r="O11608" s="24"/>
      <c r="P11608"/>
      <c r="Q11608" s="24"/>
      <c r="R11608"/>
      <c r="S11608"/>
      <c r="T11608"/>
      <c r="U11608"/>
      <c r="X11608" s="60"/>
    </row>
    <row r="11609" spans="7:24" ht="15" customHeight="1">
      <c r="G11609"/>
      <c r="I11609"/>
      <c r="N11609"/>
      <c r="O11609" s="24"/>
      <c r="P11609"/>
      <c r="Q11609" s="24"/>
      <c r="R11609"/>
      <c r="S11609"/>
      <c r="T11609"/>
      <c r="U11609"/>
      <c r="X11609" s="60"/>
    </row>
    <row r="11610" spans="7:24" ht="15" customHeight="1">
      <c r="G11610"/>
      <c r="I11610"/>
      <c r="N11610"/>
      <c r="O11610" s="24"/>
      <c r="P11610"/>
      <c r="Q11610" s="24"/>
      <c r="R11610"/>
      <c r="S11610"/>
      <c r="T11610"/>
      <c r="U11610"/>
      <c r="X11610" s="60"/>
    </row>
    <row r="11611" spans="7:24" ht="15" customHeight="1">
      <c r="G11611"/>
      <c r="I11611"/>
      <c r="N11611"/>
      <c r="O11611" s="24"/>
      <c r="P11611"/>
      <c r="Q11611" s="24"/>
      <c r="R11611"/>
      <c r="S11611"/>
      <c r="T11611"/>
      <c r="U11611"/>
      <c r="X11611" s="60"/>
    </row>
    <row r="11612" spans="7:24" ht="15" customHeight="1">
      <c r="G11612"/>
      <c r="I11612"/>
      <c r="N11612"/>
      <c r="O11612" s="24"/>
      <c r="P11612"/>
      <c r="Q11612" s="24"/>
      <c r="R11612"/>
      <c r="S11612"/>
      <c r="T11612"/>
      <c r="U11612"/>
      <c r="X11612" s="60"/>
    </row>
    <row r="11613" spans="7:24" ht="15" customHeight="1">
      <c r="G11613"/>
      <c r="I11613"/>
      <c r="N11613"/>
      <c r="O11613" s="24"/>
      <c r="P11613"/>
      <c r="Q11613" s="24"/>
      <c r="R11613"/>
      <c r="S11613"/>
      <c r="T11613"/>
      <c r="U11613"/>
      <c r="X11613" s="60"/>
    </row>
    <row r="11614" spans="7:24" ht="15" customHeight="1">
      <c r="G11614"/>
      <c r="I11614"/>
      <c r="N11614"/>
      <c r="O11614" s="24"/>
      <c r="P11614"/>
      <c r="Q11614" s="24"/>
      <c r="R11614"/>
      <c r="S11614"/>
      <c r="T11614"/>
      <c r="U11614"/>
      <c r="X11614" s="60"/>
    </row>
    <row r="11615" spans="7:24" ht="15" customHeight="1">
      <c r="G11615"/>
      <c r="I11615"/>
      <c r="N11615"/>
      <c r="O11615" s="24"/>
      <c r="P11615"/>
      <c r="Q11615" s="24"/>
      <c r="R11615"/>
      <c r="S11615"/>
      <c r="T11615"/>
      <c r="U11615"/>
      <c r="X11615" s="60"/>
    </row>
    <row r="11616" spans="7:24" ht="15" customHeight="1">
      <c r="G11616"/>
      <c r="I11616"/>
      <c r="N11616"/>
      <c r="O11616" s="24"/>
      <c r="P11616"/>
      <c r="Q11616" s="24"/>
      <c r="R11616"/>
      <c r="S11616"/>
      <c r="T11616"/>
      <c r="U11616"/>
      <c r="X11616" s="60"/>
    </row>
    <row r="11617" spans="7:24" ht="15" customHeight="1">
      <c r="G11617"/>
      <c r="I11617"/>
      <c r="N11617"/>
      <c r="O11617" s="24"/>
      <c r="P11617"/>
      <c r="Q11617" s="24"/>
      <c r="R11617"/>
      <c r="S11617"/>
      <c r="T11617"/>
      <c r="U11617"/>
      <c r="X11617" s="60"/>
    </row>
    <row r="11618" spans="7:24" ht="15" customHeight="1">
      <c r="G11618"/>
      <c r="I11618"/>
      <c r="N11618"/>
      <c r="O11618" s="24"/>
      <c r="P11618"/>
      <c r="Q11618" s="24"/>
      <c r="R11618"/>
      <c r="S11618"/>
      <c r="T11618"/>
      <c r="U11618"/>
      <c r="X11618" s="60"/>
    </row>
    <row r="11619" spans="7:24" ht="15" customHeight="1">
      <c r="G11619"/>
      <c r="I11619"/>
      <c r="N11619"/>
      <c r="O11619" s="24"/>
      <c r="P11619"/>
      <c r="Q11619" s="24"/>
      <c r="R11619"/>
      <c r="S11619"/>
      <c r="T11619"/>
      <c r="U11619"/>
      <c r="X11619" s="60"/>
    </row>
    <row r="11620" spans="7:24" ht="15" customHeight="1">
      <c r="G11620"/>
      <c r="I11620"/>
      <c r="N11620"/>
      <c r="O11620" s="24"/>
      <c r="P11620"/>
      <c r="Q11620" s="24"/>
      <c r="R11620"/>
      <c r="S11620"/>
      <c r="T11620"/>
      <c r="U11620"/>
      <c r="X11620" s="60"/>
    </row>
    <row r="11621" spans="7:24" ht="15" customHeight="1">
      <c r="G11621"/>
      <c r="I11621"/>
      <c r="N11621"/>
      <c r="O11621" s="24"/>
      <c r="P11621"/>
      <c r="Q11621" s="24"/>
      <c r="R11621"/>
      <c r="S11621"/>
      <c r="T11621"/>
      <c r="U11621"/>
      <c r="X11621" s="60"/>
    </row>
    <row r="11622" spans="7:24" ht="15" customHeight="1">
      <c r="G11622"/>
      <c r="I11622"/>
      <c r="N11622"/>
      <c r="O11622" s="24"/>
      <c r="P11622"/>
      <c r="Q11622" s="24"/>
      <c r="R11622"/>
      <c r="S11622"/>
      <c r="T11622"/>
      <c r="U11622"/>
      <c r="X11622" s="60"/>
    </row>
    <row r="11623" spans="7:24" ht="15" customHeight="1">
      <c r="G11623"/>
      <c r="I11623"/>
      <c r="N11623"/>
      <c r="O11623" s="24"/>
      <c r="P11623"/>
      <c r="Q11623" s="24"/>
      <c r="R11623"/>
      <c r="S11623"/>
      <c r="T11623"/>
      <c r="U11623"/>
      <c r="X11623" s="60"/>
    </row>
    <row r="11624" spans="7:24" ht="15" customHeight="1">
      <c r="G11624"/>
      <c r="I11624"/>
      <c r="N11624"/>
      <c r="O11624" s="24"/>
      <c r="P11624"/>
      <c r="Q11624" s="24"/>
      <c r="R11624"/>
      <c r="S11624"/>
      <c r="T11624"/>
      <c r="U11624"/>
      <c r="X11624" s="60"/>
    </row>
    <row r="11625" spans="7:24" ht="15" customHeight="1">
      <c r="G11625"/>
      <c r="I11625"/>
      <c r="N11625"/>
      <c r="O11625" s="24"/>
      <c r="P11625"/>
      <c r="Q11625" s="24"/>
      <c r="R11625"/>
      <c r="S11625"/>
      <c r="T11625"/>
      <c r="U11625"/>
      <c r="X11625" s="60"/>
    </row>
    <row r="11626" spans="7:24" ht="15" customHeight="1">
      <c r="G11626"/>
      <c r="I11626"/>
      <c r="N11626"/>
      <c r="O11626" s="24"/>
      <c r="P11626"/>
      <c r="Q11626" s="24"/>
      <c r="R11626"/>
      <c r="S11626"/>
      <c r="T11626"/>
      <c r="U11626"/>
      <c r="X11626" s="60"/>
    </row>
    <row r="11627" spans="7:24" ht="15" customHeight="1">
      <c r="G11627"/>
      <c r="I11627"/>
      <c r="N11627"/>
      <c r="O11627" s="24"/>
      <c r="P11627"/>
      <c r="Q11627" s="24"/>
      <c r="R11627"/>
      <c r="S11627"/>
      <c r="T11627"/>
      <c r="U11627"/>
      <c r="X11627" s="60"/>
    </row>
    <row r="11628" spans="7:24" ht="15" customHeight="1">
      <c r="G11628"/>
      <c r="I11628"/>
      <c r="N11628"/>
      <c r="O11628" s="24"/>
      <c r="P11628"/>
      <c r="Q11628" s="24"/>
      <c r="R11628"/>
      <c r="S11628"/>
      <c r="T11628"/>
      <c r="U11628"/>
      <c r="X11628" s="60"/>
    </row>
    <row r="11629" spans="7:24" ht="15" customHeight="1">
      <c r="G11629"/>
      <c r="I11629"/>
      <c r="N11629"/>
      <c r="O11629" s="24"/>
      <c r="P11629"/>
      <c r="Q11629" s="24"/>
      <c r="R11629"/>
      <c r="S11629"/>
      <c r="T11629"/>
      <c r="U11629"/>
      <c r="X11629" s="60"/>
    </row>
    <row r="11630" spans="7:24" ht="15" customHeight="1">
      <c r="G11630"/>
      <c r="I11630"/>
      <c r="N11630"/>
      <c r="O11630" s="24"/>
      <c r="P11630"/>
      <c r="Q11630" s="24"/>
      <c r="R11630"/>
      <c r="S11630"/>
      <c r="T11630"/>
      <c r="U11630"/>
      <c r="X11630" s="60"/>
    </row>
    <row r="11631" spans="7:24" ht="15" customHeight="1">
      <c r="G11631"/>
      <c r="I11631"/>
      <c r="N11631"/>
      <c r="O11631" s="24"/>
      <c r="P11631"/>
      <c r="Q11631" s="24"/>
      <c r="R11631"/>
      <c r="S11631"/>
      <c r="T11631"/>
      <c r="U11631"/>
      <c r="X11631" s="60"/>
    </row>
    <row r="11632" spans="7:24" ht="15" customHeight="1">
      <c r="G11632"/>
      <c r="I11632"/>
      <c r="N11632"/>
      <c r="O11632" s="24"/>
      <c r="P11632"/>
      <c r="Q11632" s="24"/>
      <c r="R11632"/>
      <c r="S11632"/>
      <c r="T11632"/>
      <c r="U11632"/>
      <c r="X11632" s="60"/>
    </row>
    <row r="11633" spans="7:24" ht="15" customHeight="1">
      <c r="G11633"/>
      <c r="I11633"/>
      <c r="N11633"/>
      <c r="O11633" s="24"/>
      <c r="P11633"/>
      <c r="Q11633" s="24"/>
      <c r="R11633"/>
      <c r="S11633"/>
      <c r="T11633"/>
      <c r="U11633"/>
      <c r="X11633" s="60"/>
    </row>
    <row r="11634" spans="7:24" ht="15" customHeight="1">
      <c r="G11634"/>
      <c r="I11634"/>
      <c r="N11634"/>
      <c r="O11634" s="24"/>
      <c r="P11634"/>
      <c r="Q11634" s="24"/>
      <c r="R11634"/>
      <c r="S11634"/>
      <c r="T11634"/>
      <c r="U11634"/>
      <c r="X11634" s="60"/>
    </row>
    <row r="11635" spans="7:24" ht="15" customHeight="1">
      <c r="G11635"/>
      <c r="I11635"/>
      <c r="N11635"/>
      <c r="O11635" s="24"/>
      <c r="P11635"/>
      <c r="Q11635" s="24"/>
      <c r="R11635"/>
      <c r="S11635"/>
      <c r="T11635"/>
      <c r="U11635"/>
      <c r="X11635" s="60"/>
    </row>
    <row r="11636" spans="7:24" ht="15" customHeight="1">
      <c r="G11636"/>
      <c r="I11636"/>
      <c r="N11636"/>
      <c r="O11636" s="24"/>
      <c r="P11636"/>
      <c r="Q11636" s="24"/>
      <c r="R11636"/>
      <c r="S11636"/>
      <c r="T11636"/>
      <c r="U11636"/>
      <c r="X11636" s="60"/>
    </row>
    <row r="11637" spans="7:24" ht="15" customHeight="1">
      <c r="G11637"/>
      <c r="I11637"/>
      <c r="N11637"/>
      <c r="O11637" s="24"/>
      <c r="P11637"/>
      <c r="Q11637" s="24"/>
      <c r="R11637"/>
      <c r="S11637"/>
      <c r="T11637"/>
      <c r="U11637"/>
      <c r="X11637" s="60"/>
    </row>
    <row r="11638" spans="7:24" ht="15" customHeight="1">
      <c r="G11638"/>
      <c r="I11638"/>
      <c r="N11638"/>
      <c r="O11638" s="24"/>
      <c r="P11638"/>
      <c r="Q11638" s="24"/>
      <c r="R11638"/>
      <c r="S11638"/>
      <c r="T11638"/>
      <c r="U11638"/>
      <c r="X11638" s="60"/>
    </row>
    <row r="11639" spans="7:24" ht="15" customHeight="1">
      <c r="G11639"/>
      <c r="I11639"/>
      <c r="N11639"/>
      <c r="O11639" s="24"/>
      <c r="P11639"/>
      <c r="Q11639" s="24"/>
      <c r="R11639"/>
      <c r="S11639"/>
      <c r="T11639"/>
      <c r="U11639"/>
      <c r="X11639" s="60"/>
    </row>
    <row r="11640" spans="7:24" ht="15" customHeight="1">
      <c r="G11640"/>
      <c r="I11640"/>
      <c r="N11640"/>
      <c r="O11640" s="24"/>
      <c r="P11640"/>
      <c r="Q11640" s="24"/>
      <c r="R11640"/>
      <c r="S11640"/>
      <c r="T11640"/>
      <c r="U11640"/>
      <c r="X11640" s="60"/>
    </row>
    <row r="11641" spans="7:24" ht="15" customHeight="1">
      <c r="G11641"/>
      <c r="I11641"/>
      <c r="N11641"/>
      <c r="O11641" s="24"/>
      <c r="P11641"/>
      <c r="Q11641" s="24"/>
      <c r="R11641"/>
      <c r="S11641"/>
      <c r="T11641"/>
      <c r="U11641"/>
      <c r="X11641" s="60"/>
    </row>
    <row r="11642" spans="7:24" ht="15" customHeight="1">
      <c r="G11642"/>
      <c r="I11642"/>
      <c r="N11642"/>
      <c r="O11642" s="24"/>
      <c r="P11642"/>
      <c r="Q11642" s="24"/>
      <c r="R11642"/>
      <c r="S11642"/>
      <c r="T11642"/>
      <c r="U11642"/>
      <c r="X11642" s="60"/>
    </row>
    <row r="11643" spans="7:24" ht="15" customHeight="1">
      <c r="G11643"/>
      <c r="I11643"/>
      <c r="N11643"/>
      <c r="O11643" s="24"/>
      <c r="P11643"/>
      <c r="Q11643" s="24"/>
      <c r="R11643"/>
      <c r="S11643"/>
      <c r="T11643"/>
      <c r="U11643"/>
      <c r="X11643" s="60"/>
    </row>
    <row r="11644" spans="7:24" ht="15" customHeight="1">
      <c r="G11644"/>
      <c r="I11644"/>
      <c r="N11644"/>
      <c r="O11644" s="24"/>
      <c r="P11644"/>
      <c r="Q11644" s="24"/>
      <c r="R11644"/>
      <c r="S11644"/>
      <c r="T11644"/>
      <c r="U11644"/>
      <c r="X11644" s="60"/>
    </row>
    <row r="11645" spans="7:24" ht="15" customHeight="1">
      <c r="G11645"/>
      <c r="I11645"/>
      <c r="N11645"/>
      <c r="O11645" s="24"/>
      <c r="P11645"/>
      <c r="Q11645" s="24"/>
      <c r="R11645"/>
      <c r="S11645"/>
      <c r="T11645"/>
      <c r="U11645"/>
      <c r="X11645" s="60"/>
    </row>
    <row r="11646" spans="7:24" ht="15" customHeight="1">
      <c r="G11646"/>
      <c r="I11646"/>
      <c r="N11646"/>
      <c r="O11646" s="24"/>
      <c r="P11646"/>
      <c r="Q11646" s="24"/>
      <c r="R11646"/>
      <c r="S11646"/>
      <c r="T11646"/>
      <c r="U11646"/>
      <c r="X11646" s="60"/>
    </row>
    <row r="11647" spans="7:24" ht="15" customHeight="1">
      <c r="G11647"/>
      <c r="I11647"/>
      <c r="N11647"/>
      <c r="O11647" s="24"/>
      <c r="P11647"/>
      <c r="Q11647" s="24"/>
      <c r="R11647"/>
      <c r="S11647"/>
      <c r="T11647"/>
      <c r="U11647"/>
      <c r="X11647" s="60"/>
    </row>
    <row r="11648" spans="7:24" ht="15" customHeight="1">
      <c r="G11648"/>
      <c r="I11648"/>
      <c r="N11648"/>
      <c r="O11648" s="24"/>
      <c r="P11648"/>
      <c r="Q11648" s="24"/>
      <c r="R11648"/>
      <c r="S11648"/>
      <c r="T11648"/>
      <c r="U11648"/>
      <c r="X11648" s="60"/>
    </row>
    <row r="11649" spans="7:24" ht="15" customHeight="1">
      <c r="G11649"/>
      <c r="I11649"/>
      <c r="N11649"/>
      <c r="O11649" s="24"/>
      <c r="P11649"/>
      <c r="Q11649" s="24"/>
      <c r="R11649"/>
      <c r="S11649"/>
      <c r="T11649"/>
      <c r="U11649"/>
      <c r="X11649" s="60"/>
    </row>
    <row r="11650" spans="7:24" ht="15" customHeight="1">
      <c r="G11650"/>
      <c r="I11650"/>
      <c r="N11650"/>
      <c r="O11650" s="24"/>
      <c r="P11650"/>
      <c r="Q11650" s="24"/>
      <c r="R11650"/>
      <c r="S11650"/>
      <c r="T11650"/>
      <c r="U11650"/>
      <c r="X11650" s="60"/>
    </row>
    <row r="11651" spans="7:24" ht="15" customHeight="1">
      <c r="G11651"/>
      <c r="I11651"/>
      <c r="N11651"/>
      <c r="O11651" s="24"/>
      <c r="P11651"/>
      <c r="Q11651" s="24"/>
      <c r="R11651"/>
      <c r="S11651"/>
      <c r="T11651"/>
      <c r="U11651"/>
      <c r="X11651" s="60"/>
    </row>
    <row r="11652" spans="7:24" ht="15" customHeight="1">
      <c r="G11652"/>
      <c r="I11652"/>
      <c r="N11652"/>
      <c r="O11652" s="24"/>
      <c r="P11652"/>
      <c r="Q11652" s="24"/>
      <c r="R11652"/>
      <c r="S11652"/>
      <c r="T11652"/>
      <c r="U11652"/>
      <c r="X11652" s="60"/>
    </row>
    <row r="11653" spans="7:24" ht="15" customHeight="1">
      <c r="G11653"/>
      <c r="I11653"/>
      <c r="N11653"/>
      <c r="O11653" s="24"/>
      <c r="P11653"/>
      <c r="Q11653" s="24"/>
      <c r="R11653"/>
      <c r="S11653"/>
      <c r="T11653"/>
      <c r="U11653"/>
      <c r="X11653" s="60"/>
    </row>
    <row r="11654" spans="7:24" ht="15" customHeight="1">
      <c r="G11654"/>
      <c r="I11654"/>
      <c r="N11654"/>
      <c r="O11654" s="24"/>
      <c r="P11654"/>
      <c r="Q11654" s="24"/>
      <c r="R11654"/>
      <c r="S11654"/>
      <c r="T11654"/>
      <c r="U11654"/>
      <c r="X11654" s="60"/>
    </row>
    <row r="11655" spans="7:24" ht="15" customHeight="1">
      <c r="G11655"/>
      <c r="I11655"/>
      <c r="N11655"/>
      <c r="O11655" s="24"/>
      <c r="P11655"/>
      <c r="Q11655" s="24"/>
      <c r="R11655"/>
      <c r="S11655"/>
      <c r="T11655"/>
      <c r="U11655"/>
      <c r="X11655" s="60"/>
    </row>
    <row r="11656" spans="7:24" ht="15" customHeight="1">
      <c r="G11656"/>
      <c r="I11656"/>
      <c r="N11656"/>
      <c r="O11656" s="24"/>
      <c r="P11656"/>
      <c r="Q11656" s="24"/>
      <c r="R11656"/>
      <c r="S11656"/>
      <c r="T11656"/>
      <c r="U11656"/>
      <c r="X11656" s="60"/>
    </row>
    <row r="11657" spans="7:24" ht="15" customHeight="1">
      <c r="G11657"/>
      <c r="I11657"/>
      <c r="N11657"/>
      <c r="O11657" s="24"/>
      <c r="P11657"/>
      <c r="Q11657" s="24"/>
      <c r="R11657"/>
      <c r="S11657"/>
      <c r="T11657"/>
      <c r="U11657"/>
      <c r="X11657" s="60"/>
    </row>
    <row r="11658" spans="7:24" ht="15" customHeight="1">
      <c r="G11658"/>
      <c r="I11658"/>
      <c r="N11658"/>
      <c r="O11658" s="24"/>
      <c r="P11658"/>
      <c r="Q11658" s="24"/>
      <c r="R11658"/>
      <c r="S11658"/>
      <c r="T11658"/>
      <c r="U11658"/>
      <c r="X11658" s="60"/>
    </row>
    <row r="11659" spans="7:24" ht="15" customHeight="1">
      <c r="G11659"/>
      <c r="I11659"/>
      <c r="N11659"/>
      <c r="O11659" s="24"/>
      <c r="P11659"/>
      <c r="Q11659" s="24"/>
      <c r="R11659"/>
      <c r="S11659"/>
      <c r="T11659"/>
      <c r="U11659"/>
      <c r="X11659" s="60"/>
    </row>
    <row r="11660" spans="7:24" ht="15" customHeight="1">
      <c r="G11660"/>
      <c r="I11660"/>
      <c r="N11660"/>
      <c r="O11660" s="24"/>
      <c r="P11660"/>
      <c r="Q11660" s="24"/>
      <c r="R11660"/>
      <c r="S11660"/>
      <c r="T11660"/>
      <c r="U11660"/>
      <c r="X11660" s="60"/>
    </row>
    <row r="11661" spans="7:24" ht="15" customHeight="1">
      <c r="G11661"/>
      <c r="I11661"/>
      <c r="N11661"/>
      <c r="O11661" s="24"/>
      <c r="P11661"/>
      <c r="Q11661" s="24"/>
      <c r="R11661"/>
      <c r="S11661"/>
      <c r="T11661"/>
      <c r="U11661"/>
      <c r="X11661" s="60"/>
    </row>
    <row r="11662" spans="7:24" ht="15" customHeight="1">
      <c r="G11662"/>
      <c r="I11662"/>
      <c r="N11662"/>
      <c r="O11662" s="24"/>
      <c r="P11662"/>
      <c r="Q11662" s="24"/>
      <c r="R11662"/>
      <c r="S11662"/>
      <c r="T11662"/>
      <c r="U11662"/>
      <c r="X11662" s="60"/>
    </row>
    <row r="11663" spans="7:24" ht="15" customHeight="1">
      <c r="G11663"/>
      <c r="I11663"/>
      <c r="N11663"/>
      <c r="O11663" s="24"/>
      <c r="P11663"/>
      <c r="Q11663" s="24"/>
      <c r="R11663"/>
      <c r="S11663"/>
      <c r="T11663"/>
      <c r="U11663"/>
      <c r="X11663" s="60"/>
    </row>
    <row r="11664" spans="7:24" ht="15" customHeight="1">
      <c r="G11664"/>
      <c r="I11664"/>
      <c r="N11664"/>
      <c r="O11664" s="24"/>
      <c r="P11664"/>
      <c r="Q11664" s="24"/>
      <c r="R11664"/>
      <c r="S11664"/>
      <c r="T11664"/>
      <c r="U11664"/>
      <c r="X11664" s="60"/>
    </row>
    <row r="11665" spans="7:24" ht="15" customHeight="1">
      <c r="G11665"/>
      <c r="I11665"/>
      <c r="N11665"/>
      <c r="O11665" s="24"/>
      <c r="P11665"/>
      <c r="Q11665" s="24"/>
      <c r="R11665"/>
      <c r="S11665"/>
      <c r="T11665"/>
      <c r="U11665"/>
      <c r="X11665" s="60"/>
    </row>
    <row r="11666" spans="7:24" ht="15" customHeight="1">
      <c r="G11666"/>
      <c r="I11666"/>
      <c r="N11666"/>
      <c r="O11666" s="24"/>
      <c r="P11666"/>
      <c r="Q11666" s="24"/>
      <c r="R11666"/>
      <c r="S11666"/>
      <c r="T11666"/>
      <c r="U11666"/>
      <c r="X11666" s="60"/>
    </row>
    <row r="11667" spans="7:24" ht="15" customHeight="1">
      <c r="G11667"/>
      <c r="I11667"/>
      <c r="N11667"/>
      <c r="O11667" s="24"/>
      <c r="P11667"/>
      <c r="Q11667" s="24"/>
      <c r="R11667"/>
      <c r="S11667"/>
      <c r="T11667"/>
      <c r="U11667"/>
      <c r="X11667" s="60"/>
    </row>
    <row r="11668" spans="7:24" ht="15" customHeight="1">
      <c r="G11668"/>
      <c r="I11668"/>
      <c r="N11668"/>
      <c r="O11668" s="24"/>
      <c r="P11668"/>
      <c r="Q11668" s="24"/>
      <c r="R11668"/>
      <c r="S11668"/>
      <c r="T11668"/>
      <c r="U11668"/>
      <c r="X11668" s="60"/>
    </row>
    <row r="11669" spans="7:24" ht="15" customHeight="1">
      <c r="G11669"/>
      <c r="I11669"/>
      <c r="N11669"/>
      <c r="O11669" s="24"/>
      <c r="P11669"/>
      <c r="Q11669" s="24"/>
      <c r="R11669"/>
      <c r="S11669"/>
      <c r="T11669"/>
      <c r="U11669"/>
      <c r="X11669" s="60"/>
    </row>
    <row r="11670" spans="7:24" ht="15" customHeight="1">
      <c r="G11670"/>
      <c r="I11670"/>
      <c r="N11670"/>
      <c r="O11670" s="24"/>
      <c r="P11670"/>
      <c r="Q11670" s="24"/>
      <c r="R11670"/>
      <c r="S11670"/>
      <c r="T11670"/>
      <c r="U11670"/>
      <c r="X11670" s="60"/>
    </row>
    <row r="11671" spans="7:24" ht="15" customHeight="1">
      <c r="G11671"/>
      <c r="I11671"/>
      <c r="N11671"/>
      <c r="O11671" s="24"/>
      <c r="P11671"/>
      <c r="Q11671" s="24"/>
      <c r="R11671"/>
      <c r="S11671"/>
      <c r="T11671"/>
      <c r="U11671"/>
      <c r="X11671" s="60"/>
    </row>
    <row r="11672" spans="7:24" ht="15" customHeight="1">
      <c r="G11672"/>
      <c r="I11672"/>
      <c r="N11672"/>
      <c r="O11672" s="24"/>
      <c r="P11672"/>
      <c r="Q11672" s="24"/>
      <c r="R11672"/>
      <c r="S11672"/>
      <c r="T11672"/>
      <c r="U11672"/>
      <c r="X11672" s="60"/>
    </row>
    <row r="11673" spans="7:24" ht="15" customHeight="1">
      <c r="G11673"/>
      <c r="I11673"/>
      <c r="N11673"/>
      <c r="O11673" s="24"/>
      <c r="P11673"/>
      <c r="Q11673" s="24"/>
      <c r="R11673"/>
      <c r="S11673"/>
      <c r="T11673"/>
      <c r="U11673"/>
      <c r="X11673" s="60"/>
    </row>
    <row r="11674" spans="7:24" ht="15" customHeight="1">
      <c r="G11674"/>
      <c r="I11674"/>
      <c r="N11674"/>
      <c r="O11674" s="24"/>
      <c r="P11674"/>
      <c r="Q11674" s="24"/>
      <c r="R11674"/>
      <c r="S11674"/>
      <c r="T11674"/>
      <c r="U11674"/>
      <c r="X11674" s="60"/>
    </row>
    <row r="11675" spans="7:24" ht="15" customHeight="1">
      <c r="G11675"/>
      <c r="I11675"/>
      <c r="N11675"/>
      <c r="O11675" s="24"/>
      <c r="P11675"/>
      <c r="Q11675" s="24"/>
      <c r="R11675"/>
      <c r="S11675"/>
      <c r="T11675"/>
      <c r="U11675"/>
      <c r="X11675" s="60"/>
    </row>
    <row r="11676" spans="7:24" ht="15" customHeight="1">
      <c r="G11676"/>
      <c r="I11676"/>
      <c r="N11676"/>
      <c r="O11676" s="24"/>
      <c r="P11676"/>
      <c r="Q11676" s="24"/>
      <c r="R11676"/>
      <c r="S11676"/>
      <c r="T11676"/>
      <c r="U11676"/>
      <c r="X11676" s="60"/>
    </row>
    <row r="11677" spans="7:24" ht="15" customHeight="1">
      <c r="G11677"/>
      <c r="I11677"/>
      <c r="N11677"/>
      <c r="O11677" s="24"/>
      <c r="P11677"/>
      <c r="Q11677" s="24"/>
      <c r="R11677"/>
      <c r="S11677"/>
      <c r="T11677"/>
      <c r="U11677"/>
      <c r="X11677" s="60"/>
    </row>
    <row r="11678" spans="7:24" ht="15" customHeight="1">
      <c r="G11678"/>
      <c r="I11678"/>
      <c r="N11678"/>
      <c r="O11678" s="24"/>
      <c r="P11678"/>
      <c r="Q11678" s="24"/>
      <c r="R11678"/>
      <c r="S11678"/>
      <c r="T11678"/>
      <c r="U11678"/>
      <c r="X11678" s="60"/>
    </row>
    <row r="11679" spans="7:24" ht="15" customHeight="1">
      <c r="G11679"/>
      <c r="I11679"/>
      <c r="N11679"/>
      <c r="O11679" s="24"/>
      <c r="P11679"/>
      <c r="Q11679" s="24"/>
      <c r="R11679"/>
      <c r="S11679"/>
      <c r="T11679"/>
      <c r="U11679"/>
      <c r="X11679" s="60"/>
    </row>
    <row r="11680" spans="7:24" ht="15" customHeight="1">
      <c r="G11680"/>
      <c r="I11680"/>
      <c r="N11680"/>
      <c r="O11680" s="24"/>
      <c r="P11680"/>
      <c r="Q11680" s="24"/>
      <c r="R11680"/>
      <c r="S11680"/>
      <c r="T11680"/>
      <c r="U11680"/>
      <c r="X11680" s="60"/>
    </row>
    <row r="11681" spans="7:24" ht="15" customHeight="1">
      <c r="G11681"/>
      <c r="I11681"/>
      <c r="N11681"/>
      <c r="O11681" s="24"/>
      <c r="P11681"/>
      <c r="Q11681" s="24"/>
      <c r="R11681"/>
      <c r="S11681"/>
      <c r="T11681"/>
      <c r="U11681"/>
      <c r="X11681" s="60"/>
    </row>
    <row r="11682" spans="7:24" ht="15" customHeight="1">
      <c r="G11682"/>
      <c r="I11682"/>
      <c r="N11682"/>
      <c r="O11682" s="24"/>
      <c r="P11682"/>
      <c r="Q11682" s="24"/>
      <c r="R11682"/>
      <c r="S11682"/>
      <c r="T11682"/>
      <c r="U11682"/>
      <c r="X11682" s="60"/>
    </row>
    <row r="11683" spans="7:24" ht="15" customHeight="1">
      <c r="G11683"/>
      <c r="I11683"/>
      <c r="N11683"/>
      <c r="O11683" s="24"/>
      <c r="P11683"/>
      <c r="Q11683" s="24"/>
      <c r="R11683"/>
      <c r="S11683"/>
      <c r="T11683"/>
      <c r="U11683"/>
      <c r="X11683" s="60"/>
    </row>
    <row r="11684" spans="7:24" ht="15" customHeight="1">
      <c r="G11684"/>
      <c r="I11684"/>
      <c r="N11684"/>
      <c r="O11684" s="24"/>
      <c r="P11684"/>
      <c r="Q11684" s="24"/>
      <c r="R11684"/>
      <c r="S11684"/>
      <c r="T11684"/>
      <c r="U11684"/>
      <c r="X11684" s="60"/>
    </row>
    <row r="11685" spans="7:24" ht="15" customHeight="1">
      <c r="G11685"/>
      <c r="I11685"/>
      <c r="N11685"/>
      <c r="O11685" s="24"/>
      <c r="P11685"/>
      <c r="Q11685" s="24"/>
      <c r="R11685"/>
      <c r="S11685"/>
      <c r="T11685"/>
      <c r="U11685"/>
      <c r="X11685" s="60"/>
    </row>
    <row r="11686" spans="7:24" ht="15" customHeight="1">
      <c r="G11686"/>
      <c r="I11686"/>
      <c r="N11686"/>
      <c r="O11686" s="24"/>
      <c r="P11686"/>
      <c r="Q11686" s="24"/>
      <c r="R11686"/>
      <c r="S11686"/>
      <c r="T11686"/>
      <c r="U11686"/>
      <c r="X11686" s="60"/>
    </row>
    <row r="11687" spans="7:24" ht="15" customHeight="1">
      <c r="G11687"/>
      <c r="I11687"/>
      <c r="N11687"/>
      <c r="O11687" s="24"/>
      <c r="P11687"/>
      <c r="Q11687" s="24"/>
      <c r="R11687"/>
      <c r="S11687"/>
      <c r="T11687"/>
      <c r="U11687"/>
      <c r="X11687" s="60"/>
    </row>
    <row r="11688" spans="7:24" ht="15" customHeight="1">
      <c r="G11688"/>
      <c r="I11688"/>
      <c r="N11688"/>
      <c r="O11688" s="24"/>
      <c r="P11688"/>
      <c r="Q11688" s="24"/>
      <c r="R11688"/>
      <c r="S11688"/>
      <c r="T11688"/>
      <c r="U11688"/>
      <c r="X11688" s="60"/>
    </row>
    <row r="11689" spans="7:24" ht="15" customHeight="1">
      <c r="G11689"/>
      <c r="I11689"/>
      <c r="N11689"/>
      <c r="O11689" s="24"/>
      <c r="P11689"/>
      <c r="Q11689" s="24"/>
      <c r="R11689"/>
      <c r="S11689"/>
      <c r="T11689"/>
      <c r="U11689"/>
      <c r="X11689" s="60"/>
    </row>
    <row r="11690" spans="7:24" ht="15" customHeight="1">
      <c r="G11690"/>
      <c r="I11690"/>
      <c r="N11690"/>
      <c r="O11690" s="24"/>
      <c r="P11690"/>
      <c r="Q11690" s="24"/>
      <c r="R11690"/>
      <c r="S11690"/>
      <c r="T11690"/>
      <c r="U11690"/>
      <c r="X11690" s="60"/>
    </row>
    <row r="11691" spans="7:24" ht="15" customHeight="1">
      <c r="G11691"/>
      <c r="I11691"/>
      <c r="N11691"/>
      <c r="O11691" s="24"/>
      <c r="P11691"/>
      <c r="Q11691" s="24"/>
      <c r="R11691"/>
      <c r="S11691"/>
      <c r="T11691"/>
      <c r="U11691"/>
      <c r="X11691" s="60"/>
    </row>
    <row r="11692" spans="7:24" ht="15" customHeight="1">
      <c r="G11692"/>
      <c r="I11692"/>
      <c r="N11692"/>
      <c r="O11692" s="24"/>
      <c r="P11692"/>
      <c r="Q11692" s="24"/>
      <c r="R11692"/>
      <c r="S11692"/>
      <c r="T11692"/>
      <c r="U11692"/>
      <c r="X11692" s="60"/>
    </row>
    <row r="11693" spans="7:24" ht="15" customHeight="1">
      <c r="G11693"/>
      <c r="I11693"/>
      <c r="N11693"/>
      <c r="O11693" s="24"/>
      <c r="P11693"/>
      <c r="Q11693" s="24"/>
      <c r="R11693"/>
      <c r="S11693"/>
      <c r="T11693"/>
      <c r="U11693"/>
      <c r="X11693" s="60"/>
    </row>
    <row r="11694" spans="7:24" ht="15" customHeight="1">
      <c r="G11694"/>
      <c r="I11694"/>
      <c r="N11694"/>
      <c r="O11694" s="24"/>
      <c r="P11694"/>
      <c r="Q11694" s="24"/>
      <c r="R11694"/>
      <c r="S11694"/>
      <c r="T11694"/>
      <c r="U11694"/>
      <c r="X11694" s="60"/>
    </row>
    <row r="11695" spans="7:24" ht="15" customHeight="1">
      <c r="G11695"/>
      <c r="I11695"/>
      <c r="N11695"/>
      <c r="O11695" s="24"/>
      <c r="P11695"/>
      <c r="Q11695" s="24"/>
      <c r="R11695"/>
      <c r="S11695"/>
      <c r="T11695"/>
      <c r="U11695"/>
      <c r="X11695" s="60"/>
    </row>
    <row r="11696" spans="7:24" ht="15" customHeight="1">
      <c r="G11696"/>
      <c r="I11696"/>
      <c r="N11696"/>
      <c r="O11696" s="24"/>
      <c r="P11696"/>
      <c r="Q11696" s="24"/>
      <c r="R11696"/>
      <c r="S11696"/>
      <c r="T11696"/>
      <c r="U11696"/>
      <c r="X11696" s="60"/>
    </row>
    <row r="11697" spans="7:24" ht="15" customHeight="1">
      <c r="G11697"/>
      <c r="I11697"/>
      <c r="N11697"/>
      <c r="O11697" s="24"/>
      <c r="P11697"/>
      <c r="Q11697" s="24"/>
      <c r="R11697"/>
      <c r="S11697"/>
      <c r="T11697"/>
      <c r="U11697"/>
      <c r="X11697" s="60"/>
    </row>
    <row r="11698" spans="7:24" ht="15" customHeight="1">
      <c r="G11698"/>
      <c r="I11698"/>
      <c r="N11698"/>
      <c r="O11698" s="24"/>
      <c r="P11698"/>
      <c r="Q11698" s="24"/>
      <c r="R11698"/>
      <c r="S11698"/>
      <c r="T11698"/>
      <c r="U11698"/>
      <c r="X11698" s="60"/>
    </row>
    <row r="11699" spans="7:24" ht="15" customHeight="1">
      <c r="G11699"/>
      <c r="I11699"/>
      <c r="N11699"/>
      <c r="O11699" s="24"/>
      <c r="P11699"/>
      <c r="Q11699" s="24"/>
      <c r="R11699"/>
      <c r="S11699"/>
      <c r="T11699"/>
      <c r="U11699"/>
      <c r="X11699" s="60"/>
    </row>
    <row r="11700" spans="7:24" ht="15" customHeight="1">
      <c r="G11700"/>
      <c r="I11700"/>
      <c r="N11700"/>
      <c r="O11700" s="24"/>
      <c r="P11700"/>
      <c r="Q11700" s="24"/>
      <c r="R11700"/>
      <c r="S11700"/>
      <c r="T11700"/>
      <c r="U11700"/>
      <c r="X11700" s="60"/>
    </row>
    <row r="11701" spans="7:24" ht="15" customHeight="1">
      <c r="G11701"/>
      <c r="I11701"/>
      <c r="N11701"/>
      <c r="O11701" s="24"/>
      <c r="P11701"/>
      <c r="Q11701" s="24"/>
      <c r="R11701"/>
      <c r="S11701"/>
      <c r="T11701"/>
      <c r="U11701"/>
      <c r="X11701" s="60"/>
    </row>
    <row r="11702" spans="7:24" ht="15" customHeight="1">
      <c r="G11702"/>
      <c r="I11702"/>
      <c r="N11702"/>
      <c r="O11702" s="24"/>
      <c r="P11702"/>
      <c r="Q11702" s="24"/>
      <c r="R11702"/>
      <c r="S11702"/>
      <c r="T11702"/>
      <c r="U11702"/>
      <c r="X11702" s="60"/>
    </row>
    <row r="11703" spans="7:24" ht="15" customHeight="1">
      <c r="G11703"/>
      <c r="I11703"/>
      <c r="N11703"/>
      <c r="O11703" s="24"/>
      <c r="P11703"/>
      <c r="Q11703" s="24"/>
      <c r="R11703"/>
      <c r="S11703"/>
      <c r="T11703"/>
      <c r="U11703"/>
      <c r="X11703" s="60"/>
    </row>
    <row r="11704" spans="7:24" ht="15" customHeight="1">
      <c r="G11704"/>
      <c r="I11704"/>
      <c r="N11704"/>
      <c r="O11704" s="24"/>
      <c r="P11704"/>
      <c r="Q11704" s="24"/>
      <c r="R11704"/>
      <c r="S11704"/>
      <c r="T11704"/>
      <c r="U11704"/>
      <c r="X11704" s="60"/>
    </row>
    <row r="11705" spans="7:24" ht="15" customHeight="1">
      <c r="G11705"/>
      <c r="I11705"/>
      <c r="N11705"/>
      <c r="O11705" s="24"/>
      <c r="P11705"/>
      <c r="Q11705" s="24"/>
      <c r="R11705"/>
      <c r="S11705"/>
      <c r="T11705"/>
      <c r="U11705"/>
      <c r="X11705" s="60"/>
    </row>
    <row r="11706" spans="7:24" ht="15" customHeight="1">
      <c r="G11706"/>
      <c r="I11706"/>
      <c r="N11706"/>
      <c r="O11706" s="24"/>
      <c r="P11706"/>
      <c r="Q11706" s="24"/>
      <c r="R11706"/>
      <c r="S11706"/>
      <c r="T11706"/>
      <c r="U11706"/>
      <c r="X11706" s="60"/>
    </row>
    <row r="11707" spans="7:24" ht="15" customHeight="1">
      <c r="G11707"/>
      <c r="I11707"/>
      <c r="N11707"/>
      <c r="O11707" s="24"/>
      <c r="P11707"/>
      <c r="Q11707" s="24"/>
      <c r="R11707"/>
      <c r="S11707"/>
      <c r="T11707"/>
      <c r="U11707"/>
      <c r="X11707" s="60"/>
    </row>
    <row r="11708" spans="7:24" ht="15" customHeight="1">
      <c r="G11708"/>
      <c r="I11708"/>
      <c r="N11708"/>
      <c r="O11708" s="24"/>
      <c r="P11708"/>
      <c r="Q11708" s="24"/>
      <c r="R11708"/>
      <c r="S11708"/>
      <c r="T11708"/>
      <c r="U11708"/>
      <c r="X11708" s="60"/>
    </row>
    <row r="11709" spans="7:24" ht="15" customHeight="1">
      <c r="G11709"/>
      <c r="I11709"/>
      <c r="N11709"/>
      <c r="O11709" s="24"/>
      <c r="P11709"/>
      <c r="Q11709" s="24"/>
      <c r="R11709"/>
      <c r="S11709"/>
      <c r="T11709"/>
      <c r="U11709"/>
      <c r="X11709" s="60"/>
    </row>
    <row r="11710" spans="7:24" ht="15" customHeight="1">
      <c r="G11710"/>
      <c r="I11710"/>
      <c r="N11710"/>
      <c r="O11710" s="24"/>
      <c r="P11710"/>
      <c r="Q11710" s="24"/>
      <c r="R11710"/>
      <c r="S11710"/>
      <c r="T11710"/>
      <c r="U11710"/>
      <c r="X11710" s="60"/>
    </row>
    <row r="11711" spans="7:24" ht="15" customHeight="1">
      <c r="G11711"/>
      <c r="I11711"/>
      <c r="N11711"/>
      <c r="O11711" s="24"/>
      <c r="P11711"/>
      <c r="Q11711" s="24"/>
      <c r="R11711"/>
      <c r="S11711"/>
      <c r="T11711"/>
      <c r="U11711"/>
      <c r="X11711" s="60"/>
    </row>
    <row r="11712" spans="7:24" ht="15" customHeight="1">
      <c r="G11712"/>
      <c r="I11712"/>
      <c r="N11712"/>
      <c r="O11712" s="24"/>
      <c r="P11712"/>
      <c r="Q11712" s="24"/>
      <c r="R11712"/>
      <c r="S11712"/>
      <c r="T11712"/>
      <c r="U11712"/>
      <c r="X11712" s="60"/>
    </row>
    <row r="11713" spans="7:24" ht="15" customHeight="1">
      <c r="G11713"/>
      <c r="I11713"/>
      <c r="N11713"/>
      <c r="O11713" s="24"/>
      <c r="P11713"/>
      <c r="Q11713" s="24"/>
      <c r="R11713"/>
      <c r="S11713"/>
      <c r="T11713"/>
      <c r="U11713"/>
      <c r="X11713" s="60"/>
    </row>
    <row r="11714" spans="7:24" ht="15" customHeight="1">
      <c r="G11714"/>
      <c r="I11714"/>
      <c r="N11714"/>
      <c r="O11714" s="24"/>
      <c r="P11714"/>
      <c r="Q11714" s="24"/>
      <c r="R11714"/>
      <c r="S11714"/>
      <c r="T11714"/>
      <c r="U11714"/>
      <c r="X11714" s="60"/>
    </row>
    <row r="11715" spans="7:24" ht="15" customHeight="1">
      <c r="G11715"/>
      <c r="I11715"/>
      <c r="N11715"/>
      <c r="O11715" s="24"/>
      <c r="P11715"/>
      <c r="Q11715" s="24"/>
      <c r="R11715"/>
      <c r="S11715"/>
      <c r="T11715"/>
      <c r="U11715"/>
      <c r="X11715" s="60"/>
    </row>
    <row r="11716" spans="7:24" ht="15" customHeight="1">
      <c r="G11716"/>
      <c r="I11716"/>
      <c r="N11716"/>
      <c r="O11716" s="24"/>
      <c r="P11716"/>
      <c r="Q11716" s="24"/>
      <c r="R11716"/>
      <c r="S11716"/>
      <c r="T11716"/>
      <c r="U11716"/>
      <c r="X11716" s="60"/>
    </row>
    <row r="11717" spans="7:24" ht="15" customHeight="1">
      <c r="G11717"/>
      <c r="I11717"/>
      <c r="N11717"/>
      <c r="O11717" s="24"/>
      <c r="P11717"/>
      <c r="Q11717" s="24"/>
      <c r="R11717"/>
      <c r="S11717"/>
      <c r="T11717"/>
      <c r="U11717"/>
      <c r="X11717" s="60"/>
    </row>
    <row r="11718" spans="7:24" ht="15" customHeight="1">
      <c r="G11718"/>
      <c r="I11718"/>
      <c r="N11718"/>
      <c r="O11718" s="24"/>
      <c r="P11718"/>
      <c r="Q11718" s="24"/>
      <c r="R11718"/>
      <c r="S11718"/>
      <c r="T11718"/>
      <c r="U11718"/>
      <c r="X11718" s="60"/>
    </row>
    <row r="11719" spans="7:24" ht="15" customHeight="1">
      <c r="G11719"/>
      <c r="I11719"/>
      <c r="N11719"/>
      <c r="O11719" s="24"/>
      <c r="P11719"/>
      <c r="Q11719" s="24"/>
      <c r="R11719"/>
      <c r="S11719"/>
      <c r="T11719"/>
      <c r="U11719"/>
      <c r="X11719" s="60"/>
    </row>
    <row r="11720" spans="7:24" ht="15" customHeight="1">
      <c r="G11720"/>
      <c r="I11720"/>
      <c r="N11720"/>
      <c r="O11720" s="24"/>
      <c r="P11720"/>
      <c r="Q11720" s="24"/>
      <c r="R11720"/>
      <c r="S11720"/>
      <c r="T11720"/>
      <c r="U11720"/>
      <c r="X11720" s="60"/>
    </row>
    <row r="11721" spans="7:24" ht="15" customHeight="1">
      <c r="G11721"/>
      <c r="I11721"/>
      <c r="N11721"/>
      <c r="O11721" s="24"/>
      <c r="P11721"/>
      <c r="Q11721" s="24"/>
      <c r="R11721"/>
      <c r="S11721"/>
      <c r="T11721"/>
      <c r="U11721"/>
      <c r="X11721" s="60"/>
    </row>
    <row r="11722" spans="7:24" ht="15" customHeight="1">
      <c r="G11722"/>
      <c r="I11722"/>
      <c r="N11722"/>
      <c r="O11722" s="24"/>
      <c r="P11722"/>
      <c r="Q11722" s="24"/>
      <c r="R11722"/>
      <c r="S11722"/>
      <c r="T11722"/>
      <c r="U11722"/>
      <c r="X11722" s="60"/>
    </row>
    <row r="11723" spans="7:24" ht="15" customHeight="1">
      <c r="G11723"/>
      <c r="I11723"/>
      <c r="N11723"/>
      <c r="O11723" s="24"/>
      <c r="P11723"/>
      <c r="Q11723" s="24"/>
      <c r="R11723"/>
      <c r="S11723"/>
      <c r="T11723"/>
      <c r="U11723"/>
      <c r="X11723" s="60"/>
    </row>
    <row r="11724" spans="7:24" ht="15" customHeight="1">
      <c r="G11724"/>
      <c r="I11724"/>
      <c r="N11724"/>
      <c r="O11724" s="24"/>
      <c r="P11724"/>
      <c r="Q11724" s="24"/>
      <c r="R11724"/>
      <c r="S11724"/>
      <c r="T11724"/>
      <c r="U11724"/>
      <c r="X11724" s="60"/>
    </row>
    <row r="11725" spans="7:24" ht="15" customHeight="1">
      <c r="G11725"/>
      <c r="I11725"/>
      <c r="N11725"/>
      <c r="O11725" s="24"/>
      <c r="P11725"/>
      <c r="Q11725" s="24"/>
      <c r="R11725"/>
      <c r="S11725"/>
      <c r="T11725"/>
      <c r="U11725"/>
      <c r="X11725" s="60"/>
    </row>
    <row r="11726" spans="7:24" ht="15" customHeight="1">
      <c r="G11726"/>
      <c r="I11726"/>
      <c r="N11726"/>
      <c r="O11726" s="24"/>
      <c r="P11726"/>
      <c r="Q11726" s="24"/>
      <c r="R11726"/>
      <c r="S11726"/>
      <c r="T11726"/>
      <c r="U11726"/>
      <c r="X11726" s="60"/>
    </row>
    <row r="11727" spans="7:24" ht="15" customHeight="1">
      <c r="G11727"/>
      <c r="I11727"/>
      <c r="N11727"/>
      <c r="O11727" s="24"/>
      <c r="P11727"/>
      <c r="Q11727" s="24"/>
      <c r="R11727"/>
      <c r="S11727"/>
      <c r="T11727"/>
      <c r="U11727"/>
      <c r="X11727" s="60"/>
    </row>
    <row r="11728" spans="7:24" ht="15" customHeight="1">
      <c r="G11728"/>
      <c r="I11728"/>
      <c r="N11728"/>
      <c r="O11728" s="24"/>
      <c r="P11728"/>
      <c r="Q11728" s="24"/>
      <c r="R11728"/>
      <c r="S11728"/>
      <c r="T11728"/>
      <c r="U11728"/>
      <c r="X11728" s="60"/>
    </row>
    <row r="11729" spans="7:24" ht="15" customHeight="1">
      <c r="G11729"/>
      <c r="I11729"/>
      <c r="N11729"/>
      <c r="O11729" s="24"/>
      <c r="P11729"/>
      <c r="Q11729" s="24"/>
      <c r="R11729"/>
      <c r="S11729"/>
      <c r="T11729"/>
      <c r="U11729"/>
      <c r="X11729" s="60"/>
    </row>
    <row r="11730" spans="7:24" ht="15" customHeight="1">
      <c r="G11730"/>
      <c r="I11730"/>
      <c r="N11730"/>
      <c r="O11730" s="24"/>
      <c r="P11730"/>
      <c r="Q11730" s="24"/>
      <c r="R11730"/>
      <c r="S11730"/>
      <c r="T11730"/>
      <c r="U11730"/>
      <c r="X11730" s="60"/>
    </row>
    <row r="11731" spans="7:24" ht="15" customHeight="1">
      <c r="G11731"/>
      <c r="I11731"/>
      <c r="N11731"/>
      <c r="O11731" s="24"/>
      <c r="P11731"/>
      <c r="Q11731" s="24"/>
      <c r="R11731"/>
      <c r="S11731"/>
      <c r="T11731"/>
      <c r="U11731"/>
      <c r="X11731" s="60"/>
    </row>
    <row r="11732" spans="7:24" ht="15" customHeight="1">
      <c r="G11732"/>
      <c r="I11732"/>
      <c r="N11732"/>
      <c r="O11732" s="24"/>
      <c r="P11732"/>
      <c r="Q11732" s="24"/>
      <c r="R11732"/>
      <c r="S11732"/>
      <c r="T11732"/>
      <c r="U11732"/>
      <c r="X11732" s="60"/>
    </row>
    <row r="11733" spans="7:24" ht="15" customHeight="1">
      <c r="G11733"/>
      <c r="I11733"/>
      <c r="N11733"/>
      <c r="O11733" s="24"/>
      <c r="P11733"/>
      <c r="Q11733" s="24"/>
      <c r="R11733"/>
      <c r="S11733"/>
      <c r="T11733"/>
      <c r="U11733"/>
      <c r="X11733" s="60"/>
    </row>
    <row r="11734" spans="7:24" ht="15" customHeight="1">
      <c r="G11734"/>
      <c r="I11734"/>
      <c r="N11734"/>
      <c r="O11734" s="24"/>
      <c r="P11734"/>
      <c r="Q11734" s="24"/>
      <c r="R11734"/>
      <c r="S11734"/>
      <c r="T11734"/>
      <c r="U11734"/>
      <c r="X11734" s="60"/>
    </row>
    <row r="11735" spans="7:24" ht="15" customHeight="1">
      <c r="G11735"/>
      <c r="I11735"/>
      <c r="N11735"/>
      <c r="O11735" s="24"/>
      <c r="P11735"/>
      <c r="Q11735" s="24"/>
      <c r="R11735"/>
      <c r="S11735"/>
      <c r="T11735"/>
      <c r="U11735"/>
      <c r="X11735" s="60"/>
    </row>
    <row r="11736" spans="7:24" ht="15" customHeight="1">
      <c r="G11736"/>
      <c r="I11736"/>
      <c r="N11736"/>
      <c r="O11736" s="24"/>
      <c r="P11736"/>
      <c r="Q11736" s="24"/>
      <c r="R11736"/>
      <c r="S11736"/>
      <c r="T11736"/>
      <c r="U11736"/>
      <c r="X11736" s="60"/>
    </row>
    <row r="11737" spans="7:24" ht="15" customHeight="1">
      <c r="G11737"/>
      <c r="I11737"/>
      <c r="N11737"/>
      <c r="O11737" s="24"/>
      <c r="P11737"/>
      <c r="Q11737" s="24"/>
      <c r="R11737"/>
      <c r="S11737"/>
      <c r="T11737"/>
      <c r="U11737"/>
      <c r="X11737" s="60"/>
    </row>
    <row r="11738" spans="7:24" ht="15" customHeight="1">
      <c r="G11738"/>
      <c r="I11738"/>
      <c r="N11738"/>
      <c r="O11738" s="24"/>
      <c r="P11738"/>
      <c r="Q11738" s="24"/>
      <c r="R11738"/>
      <c r="S11738"/>
      <c r="T11738"/>
      <c r="U11738"/>
      <c r="X11738" s="60"/>
    </row>
    <row r="11739" spans="7:24" ht="15" customHeight="1">
      <c r="G11739"/>
      <c r="I11739"/>
      <c r="N11739"/>
      <c r="O11739" s="24"/>
      <c r="P11739"/>
      <c r="Q11739" s="24"/>
      <c r="R11739"/>
      <c r="S11739"/>
      <c r="T11739"/>
      <c r="U11739"/>
      <c r="X11739" s="60"/>
    </row>
    <row r="11740" spans="7:24" ht="15" customHeight="1">
      <c r="G11740"/>
      <c r="I11740"/>
      <c r="N11740"/>
      <c r="O11740" s="24"/>
      <c r="P11740"/>
      <c r="Q11740" s="24"/>
      <c r="R11740"/>
      <c r="S11740"/>
      <c r="T11740"/>
      <c r="U11740"/>
      <c r="X11740" s="60"/>
    </row>
    <row r="11741" spans="7:24" ht="15" customHeight="1">
      <c r="G11741"/>
      <c r="I11741"/>
      <c r="N11741"/>
      <c r="O11741" s="24"/>
      <c r="P11741"/>
      <c r="Q11741" s="24"/>
      <c r="R11741"/>
      <c r="S11741"/>
      <c r="T11741"/>
      <c r="U11741"/>
      <c r="X11741" s="60"/>
    </row>
    <row r="11742" spans="7:24" ht="15" customHeight="1">
      <c r="G11742"/>
      <c r="I11742"/>
      <c r="N11742"/>
      <c r="O11742" s="24"/>
      <c r="P11742"/>
      <c r="Q11742" s="24"/>
      <c r="R11742"/>
      <c r="S11742"/>
      <c r="T11742"/>
      <c r="U11742"/>
      <c r="X11742" s="60"/>
    </row>
    <row r="11743" spans="7:24" ht="15" customHeight="1">
      <c r="G11743"/>
      <c r="I11743"/>
      <c r="N11743"/>
      <c r="O11743" s="24"/>
      <c r="P11743"/>
      <c r="Q11743" s="24"/>
      <c r="R11743"/>
      <c r="S11743"/>
      <c r="T11743"/>
      <c r="U11743"/>
      <c r="X11743" s="60"/>
    </row>
    <row r="11744" spans="7:24" ht="15" customHeight="1">
      <c r="G11744"/>
      <c r="I11744"/>
      <c r="N11744"/>
      <c r="O11744" s="24"/>
      <c r="P11744"/>
      <c r="Q11744" s="24"/>
      <c r="R11744"/>
      <c r="S11744"/>
      <c r="T11744"/>
      <c r="U11744"/>
      <c r="X11744" s="60"/>
    </row>
    <row r="11745" spans="7:24" ht="15" customHeight="1">
      <c r="G11745"/>
      <c r="I11745"/>
      <c r="N11745"/>
      <c r="O11745" s="24"/>
      <c r="P11745"/>
      <c r="Q11745" s="24"/>
      <c r="R11745"/>
      <c r="S11745"/>
      <c r="T11745"/>
      <c r="U11745"/>
      <c r="X11745" s="60"/>
    </row>
    <row r="11746" spans="7:24" ht="15" customHeight="1">
      <c r="G11746"/>
      <c r="I11746"/>
      <c r="N11746"/>
      <c r="O11746" s="24"/>
      <c r="P11746"/>
      <c r="Q11746" s="24"/>
      <c r="R11746"/>
      <c r="S11746"/>
      <c r="T11746"/>
      <c r="U11746"/>
      <c r="X11746" s="60"/>
    </row>
    <row r="11747" spans="7:24" ht="15" customHeight="1">
      <c r="G11747"/>
      <c r="I11747"/>
      <c r="N11747"/>
      <c r="O11747" s="24"/>
      <c r="P11747"/>
      <c r="Q11747" s="24"/>
      <c r="R11747"/>
      <c r="S11747"/>
      <c r="T11747"/>
      <c r="U11747"/>
      <c r="X11747" s="60"/>
    </row>
    <row r="11748" spans="7:24" ht="15" customHeight="1">
      <c r="G11748"/>
      <c r="I11748"/>
      <c r="N11748"/>
      <c r="O11748" s="24"/>
      <c r="P11748"/>
      <c r="Q11748" s="24"/>
      <c r="R11748"/>
      <c r="S11748"/>
      <c r="T11748"/>
      <c r="U11748"/>
      <c r="X11748" s="60"/>
    </row>
    <row r="11749" spans="7:24" ht="15" customHeight="1">
      <c r="G11749"/>
      <c r="I11749"/>
      <c r="N11749"/>
      <c r="O11749" s="24"/>
      <c r="P11749"/>
      <c r="Q11749" s="24"/>
      <c r="R11749"/>
      <c r="S11749"/>
      <c r="T11749"/>
      <c r="U11749"/>
      <c r="X11749" s="60"/>
    </row>
    <row r="11750" spans="7:24" ht="15" customHeight="1">
      <c r="G11750"/>
      <c r="I11750"/>
      <c r="N11750"/>
      <c r="O11750" s="24"/>
      <c r="P11750"/>
      <c r="Q11750" s="24"/>
      <c r="R11750"/>
      <c r="S11750"/>
      <c r="T11750"/>
      <c r="U11750"/>
      <c r="X11750" s="60"/>
    </row>
    <row r="11751" spans="7:24" ht="15" customHeight="1">
      <c r="G11751"/>
      <c r="I11751"/>
      <c r="N11751"/>
      <c r="O11751" s="24"/>
      <c r="P11751"/>
      <c r="Q11751" s="24"/>
      <c r="R11751"/>
      <c r="S11751"/>
      <c r="T11751"/>
      <c r="U11751"/>
      <c r="X11751" s="60"/>
    </row>
    <row r="11752" spans="7:24" ht="15" customHeight="1">
      <c r="G11752"/>
      <c r="I11752"/>
      <c r="N11752"/>
      <c r="O11752" s="24"/>
      <c r="P11752"/>
      <c r="Q11752" s="24"/>
      <c r="R11752"/>
      <c r="S11752"/>
      <c r="T11752"/>
      <c r="U11752"/>
      <c r="X11752" s="60"/>
    </row>
    <row r="11753" spans="7:24" ht="15" customHeight="1">
      <c r="G11753"/>
      <c r="I11753"/>
      <c r="N11753"/>
      <c r="O11753" s="24"/>
      <c r="P11753"/>
      <c r="Q11753" s="24"/>
      <c r="R11753"/>
      <c r="S11753"/>
      <c r="T11753"/>
      <c r="U11753"/>
      <c r="X11753" s="60"/>
    </row>
    <row r="11754" spans="7:24" ht="15" customHeight="1">
      <c r="G11754"/>
      <c r="I11754"/>
      <c r="N11754"/>
      <c r="O11754" s="24"/>
      <c r="P11754"/>
      <c r="Q11754" s="24"/>
      <c r="R11754"/>
      <c r="S11754"/>
      <c r="T11754"/>
      <c r="U11754"/>
      <c r="X11754" s="60"/>
    </row>
    <row r="11755" spans="7:24" ht="15" customHeight="1">
      <c r="G11755"/>
      <c r="I11755"/>
      <c r="N11755"/>
      <c r="O11755" s="24"/>
      <c r="P11755"/>
      <c r="Q11755" s="24"/>
      <c r="R11755"/>
      <c r="S11755"/>
      <c r="T11755"/>
      <c r="U11755"/>
      <c r="X11755" s="60"/>
    </row>
    <row r="11756" spans="7:24" ht="15" customHeight="1">
      <c r="G11756"/>
      <c r="I11756"/>
      <c r="N11756"/>
      <c r="O11756" s="24"/>
      <c r="P11756"/>
      <c r="Q11756" s="24"/>
      <c r="R11756"/>
      <c r="S11756"/>
      <c r="T11756"/>
      <c r="U11756"/>
      <c r="X11756" s="60"/>
    </row>
    <row r="11757" spans="7:24" ht="15" customHeight="1">
      <c r="G11757"/>
      <c r="I11757"/>
      <c r="N11757"/>
      <c r="O11757" s="24"/>
      <c r="P11757"/>
      <c r="Q11757" s="24"/>
      <c r="R11757"/>
      <c r="S11757"/>
      <c r="T11757"/>
      <c r="U11757"/>
      <c r="X11757" s="60"/>
    </row>
    <row r="11758" spans="7:24" ht="15" customHeight="1">
      <c r="G11758"/>
      <c r="I11758"/>
      <c r="N11758"/>
      <c r="O11758" s="24"/>
      <c r="P11758"/>
      <c r="Q11758" s="24"/>
      <c r="R11758"/>
      <c r="S11758"/>
      <c r="T11758"/>
      <c r="U11758"/>
      <c r="X11758" s="60"/>
    </row>
    <row r="11759" spans="7:24" ht="15" customHeight="1">
      <c r="G11759"/>
      <c r="I11759"/>
      <c r="N11759"/>
      <c r="O11759" s="24"/>
      <c r="P11759"/>
      <c r="Q11759" s="24"/>
      <c r="R11759"/>
      <c r="S11759"/>
      <c r="T11759"/>
      <c r="U11759"/>
      <c r="X11759" s="60"/>
    </row>
    <row r="11760" spans="7:24" ht="15" customHeight="1">
      <c r="G11760"/>
      <c r="I11760"/>
      <c r="N11760"/>
      <c r="O11760" s="24"/>
      <c r="P11760"/>
      <c r="Q11760" s="24"/>
      <c r="R11760"/>
      <c r="S11760"/>
      <c r="T11760"/>
      <c r="U11760"/>
      <c r="X11760" s="60"/>
    </row>
    <row r="11761" spans="7:24" ht="15" customHeight="1">
      <c r="G11761"/>
      <c r="I11761"/>
      <c r="N11761"/>
      <c r="O11761" s="24"/>
      <c r="P11761"/>
      <c r="Q11761" s="24"/>
      <c r="R11761"/>
      <c r="S11761"/>
      <c r="T11761"/>
      <c r="U11761"/>
      <c r="X11761" s="60"/>
    </row>
    <row r="11762" spans="7:24" ht="15" customHeight="1">
      <c r="G11762"/>
      <c r="I11762"/>
      <c r="N11762"/>
      <c r="O11762" s="24"/>
      <c r="P11762"/>
      <c r="Q11762" s="24"/>
      <c r="R11762"/>
      <c r="S11762"/>
      <c r="T11762"/>
      <c r="U11762"/>
      <c r="X11762" s="60"/>
    </row>
    <row r="11763" spans="7:24" ht="15" customHeight="1">
      <c r="G11763"/>
      <c r="I11763"/>
      <c r="N11763"/>
      <c r="O11763" s="24"/>
      <c r="P11763"/>
      <c r="Q11763" s="24"/>
      <c r="R11763"/>
      <c r="S11763"/>
      <c r="T11763"/>
      <c r="U11763"/>
      <c r="X11763" s="60"/>
    </row>
    <row r="11764" spans="7:24" ht="15" customHeight="1">
      <c r="G11764"/>
      <c r="I11764"/>
      <c r="N11764"/>
      <c r="O11764" s="24"/>
      <c r="P11764"/>
      <c r="Q11764" s="24"/>
      <c r="R11764"/>
      <c r="S11764"/>
      <c r="T11764"/>
      <c r="U11764"/>
      <c r="X11764" s="60"/>
    </row>
    <row r="11765" spans="7:24" ht="15" customHeight="1">
      <c r="G11765"/>
      <c r="I11765"/>
      <c r="N11765"/>
      <c r="O11765" s="24"/>
      <c r="P11765"/>
      <c r="Q11765" s="24"/>
      <c r="R11765"/>
      <c r="S11765"/>
      <c r="T11765"/>
      <c r="U11765"/>
      <c r="X11765" s="60"/>
    </row>
    <row r="11766" spans="7:24" ht="15" customHeight="1">
      <c r="G11766"/>
      <c r="I11766"/>
      <c r="N11766"/>
      <c r="O11766" s="24"/>
      <c r="P11766"/>
      <c r="Q11766" s="24"/>
      <c r="R11766"/>
      <c r="S11766"/>
      <c r="T11766"/>
      <c r="U11766"/>
      <c r="X11766" s="60"/>
    </row>
    <row r="11767" spans="7:24" ht="15" customHeight="1">
      <c r="G11767"/>
      <c r="I11767"/>
      <c r="N11767"/>
      <c r="O11767" s="24"/>
      <c r="P11767"/>
      <c r="Q11767" s="24"/>
      <c r="R11767"/>
      <c r="S11767"/>
      <c r="T11767"/>
      <c r="U11767"/>
      <c r="X11767" s="60"/>
    </row>
    <row r="11768" spans="7:24" ht="15" customHeight="1">
      <c r="G11768"/>
      <c r="I11768"/>
      <c r="N11768"/>
      <c r="O11768" s="24"/>
      <c r="P11768"/>
      <c r="Q11768" s="24"/>
      <c r="R11768"/>
      <c r="S11768"/>
      <c r="T11768"/>
      <c r="U11768"/>
      <c r="X11768" s="60"/>
    </row>
    <row r="11769" spans="7:24" ht="15" customHeight="1">
      <c r="G11769"/>
      <c r="I11769"/>
      <c r="N11769"/>
      <c r="O11769" s="24"/>
      <c r="P11769"/>
      <c r="Q11769" s="24"/>
      <c r="R11769"/>
      <c r="S11769"/>
      <c r="T11769"/>
      <c r="U11769"/>
      <c r="X11769" s="60"/>
    </row>
    <row r="11770" spans="7:24" ht="15" customHeight="1">
      <c r="G11770"/>
      <c r="I11770"/>
      <c r="N11770"/>
      <c r="O11770" s="24"/>
      <c r="P11770"/>
      <c r="Q11770" s="24"/>
      <c r="R11770"/>
      <c r="S11770"/>
      <c r="T11770"/>
      <c r="U11770"/>
      <c r="X11770" s="60"/>
    </row>
    <row r="11771" spans="7:24" ht="15" customHeight="1">
      <c r="G11771"/>
      <c r="I11771"/>
      <c r="N11771"/>
      <c r="O11771" s="24"/>
      <c r="P11771"/>
      <c r="Q11771" s="24"/>
      <c r="R11771"/>
      <c r="S11771"/>
      <c r="T11771"/>
      <c r="U11771"/>
      <c r="X11771" s="60"/>
    </row>
    <row r="11772" spans="7:24" ht="15" customHeight="1">
      <c r="G11772"/>
      <c r="I11772"/>
      <c r="N11772"/>
      <c r="O11772" s="24"/>
      <c r="P11772"/>
      <c r="Q11772" s="24"/>
      <c r="R11772"/>
      <c r="S11772"/>
      <c r="T11772"/>
      <c r="U11772"/>
      <c r="X11772" s="60"/>
    </row>
    <row r="11773" spans="7:24" ht="15" customHeight="1">
      <c r="G11773"/>
      <c r="I11773"/>
      <c r="N11773"/>
      <c r="O11773" s="24"/>
      <c r="P11773"/>
      <c r="Q11773" s="24"/>
      <c r="R11773"/>
      <c r="S11773"/>
      <c r="T11773"/>
      <c r="U11773"/>
      <c r="X11773" s="60"/>
    </row>
    <row r="11774" spans="7:24" ht="15" customHeight="1">
      <c r="G11774"/>
      <c r="I11774"/>
      <c r="N11774"/>
      <c r="O11774" s="24"/>
      <c r="P11774"/>
      <c r="Q11774" s="24"/>
      <c r="R11774"/>
      <c r="S11774"/>
      <c r="T11774"/>
      <c r="U11774"/>
      <c r="X11774" s="60"/>
    </row>
    <row r="11775" spans="7:24" ht="15" customHeight="1">
      <c r="G11775"/>
      <c r="I11775"/>
      <c r="N11775"/>
      <c r="O11775" s="24"/>
      <c r="P11775"/>
      <c r="Q11775" s="24"/>
      <c r="R11775"/>
      <c r="S11775"/>
      <c r="T11775"/>
      <c r="U11775"/>
      <c r="X11775" s="60"/>
    </row>
    <row r="11776" spans="7:24" ht="15" customHeight="1">
      <c r="G11776"/>
      <c r="I11776"/>
      <c r="N11776"/>
      <c r="O11776" s="24"/>
      <c r="P11776"/>
      <c r="Q11776" s="24"/>
      <c r="R11776"/>
      <c r="S11776"/>
      <c r="T11776"/>
      <c r="U11776"/>
      <c r="X11776" s="60"/>
    </row>
    <row r="11777" spans="7:24" ht="15" customHeight="1">
      <c r="G11777"/>
      <c r="I11777"/>
      <c r="N11777"/>
      <c r="O11777" s="24"/>
      <c r="P11777"/>
      <c r="Q11777" s="24"/>
      <c r="R11777"/>
      <c r="S11777"/>
      <c r="T11777"/>
      <c r="U11777"/>
      <c r="X11777" s="60"/>
    </row>
    <row r="11778" spans="7:24" ht="15" customHeight="1">
      <c r="G11778"/>
      <c r="I11778"/>
      <c r="N11778"/>
      <c r="O11778" s="24"/>
      <c r="P11778"/>
      <c r="Q11778" s="24"/>
      <c r="R11778"/>
      <c r="S11778"/>
      <c r="T11778"/>
      <c r="U11778"/>
      <c r="X11778" s="60"/>
    </row>
    <row r="11779" spans="7:24" ht="15" customHeight="1">
      <c r="G11779"/>
      <c r="I11779"/>
      <c r="N11779"/>
      <c r="O11779" s="24"/>
      <c r="P11779"/>
      <c r="Q11779" s="24"/>
      <c r="R11779"/>
      <c r="S11779"/>
      <c r="T11779"/>
      <c r="U11779"/>
      <c r="X11779" s="60"/>
    </row>
    <row r="11780" spans="7:24" ht="15" customHeight="1">
      <c r="G11780"/>
      <c r="I11780"/>
      <c r="N11780"/>
      <c r="O11780" s="24"/>
      <c r="P11780"/>
      <c r="Q11780" s="24"/>
      <c r="R11780"/>
      <c r="S11780"/>
      <c r="T11780"/>
      <c r="U11780"/>
      <c r="X11780" s="60"/>
    </row>
    <row r="11781" spans="7:24" ht="15" customHeight="1">
      <c r="G11781"/>
      <c r="I11781"/>
      <c r="N11781"/>
      <c r="O11781" s="24"/>
      <c r="P11781"/>
      <c r="Q11781" s="24"/>
      <c r="R11781"/>
      <c r="S11781"/>
      <c r="T11781"/>
      <c r="U11781"/>
      <c r="X11781" s="60"/>
    </row>
    <row r="11782" spans="7:24" ht="15" customHeight="1">
      <c r="G11782"/>
      <c r="I11782"/>
      <c r="N11782"/>
      <c r="O11782" s="24"/>
      <c r="P11782"/>
      <c r="Q11782" s="24"/>
      <c r="R11782"/>
      <c r="S11782"/>
      <c r="T11782"/>
      <c r="U11782"/>
      <c r="X11782" s="60"/>
    </row>
    <row r="11783" spans="7:24" ht="15" customHeight="1">
      <c r="G11783"/>
      <c r="I11783"/>
      <c r="N11783"/>
      <c r="O11783" s="24"/>
      <c r="P11783"/>
      <c r="Q11783" s="24"/>
      <c r="R11783"/>
      <c r="S11783"/>
      <c r="T11783"/>
      <c r="U11783"/>
      <c r="X11783" s="60"/>
    </row>
    <row r="11784" spans="7:24" ht="15" customHeight="1">
      <c r="G11784"/>
      <c r="I11784"/>
      <c r="N11784"/>
      <c r="O11784" s="24"/>
      <c r="P11784"/>
      <c r="Q11784" s="24"/>
      <c r="R11784"/>
      <c r="S11784"/>
      <c r="T11784"/>
      <c r="U11784"/>
      <c r="X11784" s="60"/>
    </row>
    <row r="11785" spans="7:24" ht="15" customHeight="1">
      <c r="G11785"/>
      <c r="I11785"/>
      <c r="N11785"/>
      <c r="O11785" s="24"/>
      <c r="P11785"/>
      <c r="Q11785" s="24"/>
      <c r="R11785"/>
      <c r="S11785"/>
      <c r="T11785"/>
      <c r="U11785"/>
      <c r="X11785" s="60"/>
    </row>
    <row r="11786" spans="7:24" ht="15" customHeight="1">
      <c r="G11786"/>
      <c r="I11786"/>
      <c r="N11786"/>
      <c r="O11786" s="24"/>
      <c r="P11786"/>
      <c r="Q11786" s="24"/>
      <c r="R11786"/>
      <c r="S11786"/>
      <c r="T11786"/>
      <c r="U11786"/>
      <c r="X11786" s="60"/>
    </row>
    <row r="11787" spans="7:24" ht="15" customHeight="1">
      <c r="G11787"/>
      <c r="I11787"/>
      <c r="N11787"/>
      <c r="O11787" s="24"/>
      <c r="P11787"/>
      <c r="Q11787" s="24"/>
      <c r="R11787"/>
      <c r="S11787"/>
      <c r="T11787"/>
      <c r="U11787"/>
      <c r="X11787" s="60"/>
    </row>
    <row r="11788" spans="7:24" ht="15" customHeight="1">
      <c r="G11788"/>
      <c r="I11788"/>
      <c r="N11788"/>
      <c r="O11788" s="24"/>
      <c r="P11788"/>
      <c r="Q11788" s="24"/>
      <c r="R11788"/>
      <c r="S11788"/>
      <c r="T11788"/>
      <c r="U11788"/>
      <c r="X11788" s="60"/>
    </row>
    <row r="11789" spans="7:24" ht="15" customHeight="1">
      <c r="G11789"/>
      <c r="I11789"/>
      <c r="N11789"/>
      <c r="O11789" s="24"/>
      <c r="P11789"/>
      <c r="Q11789" s="24"/>
      <c r="R11789"/>
      <c r="S11789"/>
      <c r="T11789"/>
      <c r="U11789"/>
      <c r="X11789" s="60"/>
    </row>
    <row r="11790" spans="7:24" ht="15" customHeight="1">
      <c r="G11790"/>
      <c r="I11790"/>
      <c r="N11790"/>
      <c r="O11790" s="24"/>
      <c r="P11790"/>
      <c r="Q11790" s="24"/>
      <c r="R11790"/>
      <c r="S11790"/>
      <c r="T11790"/>
      <c r="U11790"/>
      <c r="X11790" s="60"/>
    </row>
    <row r="11791" spans="7:24" ht="15" customHeight="1">
      <c r="G11791"/>
      <c r="I11791"/>
      <c r="N11791"/>
      <c r="O11791" s="24"/>
      <c r="P11791"/>
      <c r="Q11791" s="24"/>
      <c r="R11791"/>
      <c r="S11791"/>
      <c r="T11791"/>
      <c r="U11791"/>
      <c r="X11791" s="60"/>
    </row>
    <row r="11792" spans="7:24" ht="15" customHeight="1">
      <c r="G11792"/>
      <c r="I11792"/>
      <c r="N11792"/>
      <c r="O11792" s="24"/>
      <c r="P11792"/>
      <c r="Q11792" s="24"/>
      <c r="R11792"/>
      <c r="S11792"/>
      <c r="T11792"/>
      <c r="U11792"/>
      <c r="X11792" s="60"/>
    </row>
    <row r="11793" spans="7:24" ht="15" customHeight="1">
      <c r="G11793"/>
      <c r="I11793"/>
      <c r="N11793"/>
      <c r="O11793" s="24"/>
      <c r="P11793"/>
      <c r="Q11793" s="24"/>
      <c r="R11793"/>
      <c r="S11793"/>
      <c r="T11793"/>
      <c r="U11793"/>
      <c r="X11793" s="60"/>
    </row>
    <row r="11794" spans="7:24" ht="15" customHeight="1">
      <c r="G11794"/>
      <c r="I11794"/>
      <c r="N11794"/>
      <c r="O11794" s="24"/>
      <c r="P11794"/>
      <c r="Q11794" s="24"/>
      <c r="R11794"/>
      <c r="S11794"/>
      <c r="T11794"/>
      <c r="U11794"/>
      <c r="X11794" s="60"/>
    </row>
    <row r="11795" spans="7:24" ht="15" customHeight="1">
      <c r="G11795"/>
      <c r="I11795"/>
      <c r="N11795"/>
      <c r="O11795" s="24"/>
      <c r="P11795"/>
      <c r="Q11795" s="24"/>
      <c r="R11795"/>
      <c r="S11795"/>
      <c r="T11795"/>
      <c r="U11795"/>
      <c r="X11795" s="60"/>
    </row>
    <row r="11796" spans="7:24" ht="15" customHeight="1">
      <c r="G11796"/>
      <c r="I11796"/>
      <c r="N11796"/>
      <c r="O11796" s="24"/>
      <c r="P11796"/>
      <c r="Q11796" s="24"/>
      <c r="R11796"/>
      <c r="S11796"/>
      <c r="T11796"/>
      <c r="U11796"/>
      <c r="X11796" s="60"/>
    </row>
    <row r="11797" spans="7:24" ht="15" customHeight="1">
      <c r="G11797"/>
      <c r="I11797"/>
      <c r="N11797"/>
      <c r="O11797" s="24"/>
      <c r="P11797"/>
      <c r="Q11797" s="24"/>
      <c r="R11797"/>
      <c r="S11797"/>
      <c r="T11797"/>
      <c r="U11797"/>
      <c r="X11797" s="60"/>
    </row>
    <row r="11798" spans="7:24" ht="15" customHeight="1">
      <c r="G11798"/>
      <c r="I11798"/>
      <c r="N11798"/>
      <c r="O11798" s="24"/>
      <c r="P11798"/>
      <c r="Q11798" s="24"/>
      <c r="R11798"/>
      <c r="S11798"/>
      <c r="T11798"/>
      <c r="U11798"/>
      <c r="X11798" s="60"/>
    </row>
    <row r="11799" spans="7:24" ht="15" customHeight="1">
      <c r="G11799"/>
      <c r="I11799"/>
      <c r="N11799"/>
      <c r="O11799" s="24"/>
      <c r="P11799"/>
      <c r="Q11799" s="24"/>
      <c r="R11799"/>
      <c r="S11799"/>
      <c r="T11799"/>
      <c r="U11799"/>
      <c r="X11799" s="60"/>
    </row>
    <row r="11800" spans="7:24" ht="15" customHeight="1">
      <c r="G11800"/>
      <c r="I11800"/>
      <c r="N11800"/>
      <c r="O11800" s="24"/>
      <c r="P11800"/>
      <c r="Q11800" s="24"/>
      <c r="R11800"/>
      <c r="S11800"/>
      <c r="T11800"/>
      <c r="U11800"/>
      <c r="X11800" s="60"/>
    </row>
    <row r="11801" spans="7:24" ht="15" customHeight="1">
      <c r="G11801"/>
      <c r="I11801"/>
      <c r="N11801"/>
      <c r="O11801" s="24"/>
      <c r="P11801"/>
      <c r="Q11801" s="24"/>
      <c r="R11801"/>
      <c r="S11801"/>
      <c r="T11801"/>
      <c r="U11801"/>
      <c r="X11801" s="60"/>
    </row>
    <row r="11802" spans="7:24" ht="15" customHeight="1">
      <c r="G11802"/>
      <c r="I11802"/>
      <c r="N11802"/>
      <c r="O11802" s="24"/>
      <c r="P11802"/>
      <c r="Q11802" s="24"/>
      <c r="R11802"/>
      <c r="S11802"/>
      <c r="T11802"/>
      <c r="U11802"/>
      <c r="X11802" s="60"/>
    </row>
    <row r="11803" spans="7:24" ht="15" customHeight="1">
      <c r="G11803"/>
      <c r="I11803"/>
      <c r="N11803"/>
      <c r="O11803" s="24"/>
      <c r="P11803"/>
      <c r="Q11803" s="24"/>
      <c r="R11803"/>
      <c r="S11803"/>
      <c r="T11803"/>
      <c r="U11803"/>
      <c r="X11803" s="60"/>
    </row>
    <row r="11804" spans="7:24" ht="15" customHeight="1">
      <c r="G11804"/>
      <c r="I11804"/>
      <c r="N11804"/>
      <c r="O11804" s="24"/>
      <c r="P11804"/>
      <c r="Q11804" s="24"/>
      <c r="R11804"/>
      <c r="S11804"/>
      <c r="T11804"/>
      <c r="U11804"/>
      <c r="X11804" s="60"/>
    </row>
    <row r="11805" spans="7:24" ht="15" customHeight="1">
      <c r="G11805"/>
      <c r="I11805"/>
      <c r="N11805"/>
      <c r="O11805" s="24"/>
      <c r="P11805"/>
      <c r="Q11805" s="24"/>
      <c r="R11805"/>
      <c r="S11805"/>
      <c r="T11805"/>
      <c r="U11805"/>
      <c r="X11805" s="60"/>
    </row>
    <row r="11806" spans="7:24" ht="15" customHeight="1">
      <c r="G11806"/>
      <c r="I11806"/>
      <c r="N11806"/>
      <c r="O11806" s="24"/>
      <c r="P11806"/>
      <c r="Q11806" s="24"/>
      <c r="R11806"/>
      <c r="S11806"/>
      <c r="T11806"/>
      <c r="U11806"/>
      <c r="X11806" s="60"/>
    </row>
    <row r="11807" spans="7:24" ht="15" customHeight="1">
      <c r="G11807"/>
      <c r="I11807"/>
      <c r="N11807"/>
      <c r="O11807" s="24"/>
      <c r="P11807"/>
      <c r="Q11807" s="24"/>
      <c r="R11807"/>
      <c r="S11807"/>
      <c r="T11807"/>
      <c r="U11807"/>
      <c r="X11807" s="60"/>
    </row>
    <row r="11808" spans="7:24" ht="15" customHeight="1">
      <c r="G11808"/>
      <c r="I11808"/>
      <c r="N11808"/>
      <c r="O11808" s="24"/>
      <c r="P11808"/>
      <c r="Q11808" s="24"/>
      <c r="R11808"/>
      <c r="S11808"/>
      <c r="T11808"/>
      <c r="U11808"/>
      <c r="X11808" s="60"/>
    </row>
    <row r="11809" spans="7:24" ht="15" customHeight="1">
      <c r="G11809"/>
      <c r="I11809"/>
      <c r="N11809"/>
      <c r="O11809" s="24"/>
      <c r="P11809"/>
      <c r="Q11809" s="24"/>
      <c r="R11809"/>
      <c r="S11809"/>
      <c r="T11809"/>
      <c r="U11809"/>
      <c r="X11809" s="60"/>
    </row>
    <row r="11810" spans="7:24" ht="15" customHeight="1">
      <c r="G11810"/>
      <c r="I11810"/>
      <c r="N11810"/>
      <c r="O11810" s="24"/>
      <c r="P11810"/>
      <c r="Q11810" s="24"/>
      <c r="R11810"/>
      <c r="S11810"/>
      <c r="T11810"/>
      <c r="U11810"/>
      <c r="X11810" s="60"/>
    </row>
    <row r="11811" spans="7:24" ht="15" customHeight="1">
      <c r="G11811"/>
      <c r="I11811"/>
      <c r="N11811"/>
      <c r="O11811" s="24"/>
      <c r="P11811"/>
      <c r="Q11811" s="24"/>
      <c r="R11811"/>
      <c r="S11811"/>
      <c r="T11811"/>
      <c r="U11811"/>
      <c r="X11811" s="60"/>
    </row>
    <row r="11812" spans="7:24" ht="15" customHeight="1">
      <c r="G11812"/>
      <c r="I11812"/>
      <c r="N11812"/>
      <c r="O11812" s="24"/>
      <c r="P11812"/>
      <c r="Q11812" s="24"/>
      <c r="R11812"/>
      <c r="S11812"/>
      <c r="T11812"/>
      <c r="U11812"/>
      <c r="X11812" s="60"/>
    </row>
    <row r="11813" spans="7:24" ht="15" customHeight="1">
      <c r="G11813"/>
      <c r="I11813"/>
      <c r="N11813"/>
      <c r="O11813" s="24"/>
      <c r="P11813"/>
      <c r="Q11813" s="24"/>
      <c r="R11813"/>
      <c r="S11813"/>
      <c r="T11813"/>
      <c r="U11813"/>
      <c r="X11813" s="60"/>
    </row>
    <row r="11814" spans="7:24" ht="15" customHeight="1">
      <c r="G11814"/>
      <c r="I11814"/>
      <c r="N11814"/>
      <c r="O11814" s="24"/>
      <c r="P11814"/>
      <c r="Q11814" s="24"/>
      <c r="R11814"/>
      <c r="S11814"/>
      <c r="T11814"/>
      <c r="U11814"/>
      <c r="X11814" s="60"/>
    </row>
    <row r="11815" spans="7:24" ht="15" customHeight="1">
      <c r="G11815"/>
      <c r="I11815"/>
      <c r="N11815"/>
      <c r="O11815" s="24"/>
      <c r="P11815"/>
      <c r="Q11815" s="24"/>
      <c r="R11815"/>
      <c r="S11815"/>
      <c r="T11815"/>
      <c r="U11815"/>
      <c r="X11815" s="60"/>
    </row>
    <row r="11816" spans="7:24" ht="15" customHeight="1">
      <c r="G11816"/>
      <c r="I11816"/>
      <c r="N11816"/>
      <c r="O11816" s="24"/>
      <c r="P11816"/>
      <c r="Q11816" s="24"/>
      <c r="R11816"/>
      <c r="S11816"/>
      <c r="T11816"/>
      <c r="U11816"/>
      <c r="X11816" s="60"/>
    </row>
    <row r="11817" spans="7:24" ht="15" customHeight="1">
      <c r="G11817"/>
      <c r="I11817"/>
      <c r="N11817"/>
      <c r="O11817" s="24"/>
      <c r="P11817"/>
      <c r="Q11817" s="24"/>
      <c r="R11817"/>
      <c r="S11817"/>
      <c r="T11817"/>
      <c r="U11817"/>
      <c r="X11817" s="60"/>
    </row>
    <row r="11818" spans="7:24" ht="15" customHeight="1">
      <c r="G11818"/>
      <c r="I11818"/>
      <c r="N11818"/>
      <c r="O11818" s="24"/>
      <c r="P11818"/>
      <c r="Q11818" s="24"/>
      <c r="R11818"/>
      <c r="S11818"/>
      <c r="T11818"/>
      <c r="U11818"/>
      <c r="X11818" s="60"/>
    </row>
    <row r="11819" spans="7:24" ht="15" customHeight="1">
      <c r="G11819"/>
      <c r="I11819"/>
      <c r="N11819"/>
      <c r="O11819" s="24"/>
      <c r="P11819"/>
      <c r="Q11819" s="24"/>
      <c r="R11819"/>
      <c r="S11819"/>
      <c r="T11819"/>
      <c r="U11819"/>
      <c r="X11819" s="60"/>
    </row>
    <row r="11820" spans="7:24" ht="15" customHeight="1">
      <c r="G11820"/>
      <c r="I11820"/>
      <c r="N11820"/>
      <c r="O11820" s="24"/>
      <c r="P11820"/>
      <c r="Q11820" s="24"/>
      <c r="R11820"/>
      <c r="S11820"/>
      <c r="T11820"/>
      <c r="U11820"/>
      <c r="X11820" s="60"/>
    </row>
    <row r="11821" spans="7:24" ht="15" customHeight="1">
      <c r="G11821"/>
      <c r="I11821"/>
      <c r="N11821"/>
      <c r="O11821" s="24"/>
      <c r="P11821"/>
      <c r="Q11821" s="24"/>
      <c r="R11821"/>
      <c r="S11821"/>
      <c r="T11821"/>
      <c r="U11821"/>
      <c r="X11821" s="60"/>
    </row>
    <row r="11822" spans="7:24" ht="15" customHeight="1">
      <c r="G11822"/>
      <c r="I11822"/>
      <c r="N11822"/>
      <c r="O11822" s="24"/>
      <c r="P11822"/>
      <c r="Q11822" s="24"/>
      <c r="R11822"/>
      <c r="S11822"/>
      <c r="T11822"/>
      <c r="U11822"/>
      <c r="X11822" s="60"/>
    </row>
    <row r="11823" spans="7:24" ht="15" customHeight="1">
      <c r="G11823"/>
      <c r="I11823"/>
      <c r="N11823"/>
      <c r="O11823" s="24"/>
      <c r="P11823"/>
      <c r="Q11823" s="24"/>
      <c r="R11823"/>
      <c r="S11823"/>
      <c r="T11823"/>
      <c r="U11823"/>
      <c r="X11823" s="60"/>
    </row>
    <row r="11824" spans="7:24" ht="15" customHeight="1">
      <c r="G11824"/>
      <c r="I11824"/>
      <c r="N11824"/>
      <c r="O11824" s="24"/>
      <c r="P11824"/>
      <c r="Q11824" s="24"/>
      <c r="R11824"/>
      <c r="S11824"/>
      <c r="T11824"/>
      <c r="U11824"/>
      <c r="X11824" s="60"/>
    </row>
    <row r="11825" spans="7:24" ht="15" customHeight="1">
      <c r="G11825"/>
      <c r="I11825"/>
      <c r="N11825"/>
      <c r="O11825" s="24"/>
      <c r="P11825"/>
      <c r="Q11825" s="24"/>
      <c r="R11825"/>
      <c r="S11825"/>
      <c r="T11825"/>
      <c r="U11825"/>
      <c r="X11825" s="60"/>
    </row>
    <row r="11826" spans="7:24" ht="15" customHeight="1">
      <c r="G11826"/>
      <c r="I11826"/>
      <c r="N11826"/>
      <c r="O11826" s="24"/>
      <c r="P11826"/>
      <c r="Q11826" s="24"/>
      <c r="R11826"/>
      <c r="S11826"/>
      <c r="T11826"/>
      <c r="U11826"/>
      <c r="X11826" s="60"/>
    </row>
    <row r="11827" spans="7:24" ht="15" customHeight="1">
      <c r="G11827"/>
      <c r="I11827"/>
      <c r="N11827"/>
      <c r="O11827" s="24"/>
      <c r="P11827"/>
      <c r="Q11827" s="24"/>
      <c r="R11827"/>
      <c r="S11827"/>
      <c r="T11827"/>
      <c r="U11827"/>
      <c r="X11827" s="60"/>
    </row>
    <row r="11828" spans="7:24" ht="15" customHeight="1">
      <c r="G11828"/>
      <c r="I11828"/>
      <c r="N11828"/>
      <c r="O11828" s="24"/>
      <c r="P11828"/>
      <c r="Q11828" s="24"/>
      <c r="R11828"/>
      <c r="S11828"/>
      <c r="T11828"/>
      <c r="U11828"/>
      <c r="X11828" s="60"/>
    </row>
    <row r="11829" spans="7:24" ht="15" customHeight="1">
      <c r="G11829"/>
      <c r="I11829"/>
      <c r="N11829"/>
      <c r="O11829" s="24"/>
      <c r="P11829"/>
      <c r="Q11829" s="24"/>
      <c r="R11829"/>
      <c r="S11829"/>
      <c r="T11829"/>
      <c r="U11829"/>
      <c r="X11829" s="60"/>
    </row>
    <row r="11830" spans="7:24" ht="15" customHeight="1">
      <c r="G11830"/>
      <c r="I11830"/>
      <c r="N11830"/>
      <c r="O11830" s="24"/>
      <c r="P11830"/>
      <c r="Q11830" s="24"/>
      <c r="R11830"/>
      <c r="S11830"/>
      <c r="T11830"/>
      <c r="U11830"/>
      <c r="X11830" s="60"/>
    </row>
    <row r="11831" spans="7:24" ht="15" customHeight="1">
      <c r="G11831"/>
      <c r="I11831"/>
      <c r="N11831"/>
      <c r="O11831" s="24"/>
      <c r="P11831"/>
      <c r="Q11831" s="24"/>
      <c r="R11831"/>
      <c r="S11831"/>
      <c r="T11831"/>
      <c r="U11831"/>
      <c r="X11831" s="60"/>
    </row>
    <row r="11832" spans="7:24" ht="15" customHeight="1">
      <c r="G11832"/>
      <c r="I11832"/>
      <c r="N11832"/>
      <c r="O11832" s="24"/>
      <c r="P11832"/>
      <c r="Q11832" s="24"/>
      <c r="R11832"/>
      <c r="S11832"/>
      <c r="T11832"/>
      <c r="U11832"/>
      <c r="X11832" s="60"/>
    </row>
    <row r="11833" spans="7:24" ht="15" customHeight="1">
      <c r="G11833"/>
      <c r="I11833"/>
      <c r="N11833"/>
      <c r="O11833" s="24"/>
      <c r="P11833"/>
      <c r="Q11833" s="24"/>
      <c r="R11833"/>
      <c r="S11833"/>
      <c r="T11833"/>
      <c r="U11833"/>
      <c r="X11833" s="60"/>
    </row>
    <row r="11834" spans="7:24" ht="15" customHeight="1">
      <c r="G11834"/>
      <c r="I11834"/>
      <c r="N11834"/>
      <c r="O11834" s="24"/>
      <c r="P11834"/>
      <c r="Q11834" s="24"/>
      <c r="R11834"/>
      <c r="S11834"/>
      <c r="T11834"/>
      <c r="U11834"/>
      <c r="X11834" s="60"/>
    </row>
    <row r="11835" spans="7:24" ht="15" customHeight="1">
      <c r="G11835"/>
      <c r="I11835"/>
      <c r="N11835"/>
      <c r="O11835" s="24"/>
      <c r="P11835"/>
      <c r="Q11835" s="24"/>
      <c r="R11835"/>
      <c r="S11835"/>
      <c r="T11835"/>
      <c r="U11835"/>
      <c r="X11835" s="60"/>
    </row>
    <row r="11836" spans="7:24" ht="15" customHeight="1">
      <c r="G11836"/>
      <c r="I11836"/>
      <c r="N11836"/>
      <c r="O11836" s="24"/>
      <c r="P11836"/>
      <c r="Q11836" s="24"/>
      <c r="R11836"/>
      <c r="S11836"/>
      <c r="T11836"/>
      <c r="U11836"/>
      <c r="X11836" s="60"/>
    </row>
    <row r="11837" spans="7:24" ht="15" customHeight="1">
      <c r="G11837"/>
      <c r="I11837"/>
      <c r="N11837"/>
      <c r="O11837" s="24"/>
      <c r="P11837"/>
      <c r="Q11837" s="24"/>
      <c r="R11837"/>
      <c r="S11837"/>
      <c r="T11837"/>
      <c r="U11837"/>
      <c r="X11837" s="60"/>
    </row>
    <row r="11838" spans="7:24" ht="15" customHeight="1">
      <c r="G11838"/>
      <c r="I11838"/>
      <c r="N11838"/>
      <c r="O11838" s="24"/>
      <c r="P11838"/>
      <c r="Q11838" s="24"/>
      <c r="R11838"/>
      <c r="S11838"/>
      <c r="T11838"/>
      <c r="U11838"/>
      <c r="X11838" s="60"/>
    </row>
    <row r="11839" spans="7:24" ht="15" customHeight="1">
      <c r="G11839"/>
      <c r="I11839"/>
      <c r="N11839"/>
      <c r="O11839" s="24"/>
      <c r="P11839"/>
      <c r="Q11839" s="24"/>
      <c r="R11839"/>
      <c r="S11839"/>
      <c r="T11839"/>
      <c r="U11839"/>
      <c r="X11839" s="60"/>
    </row>
    <row r="11840" spans="7:24" ht="15" customHeight="1">
      <c r="G11840"/>
      <c r="I11840"/>
      <c r="N11840"/>
      <c r="O11840" s="24"/>
      <c r="P11840"/>
      <c r="Q11840" s="24"/>
      <c r="R11840"/>
      <c r="S11840"/>
      <c r="T11840"/>
      <c r="U11840"/>
      <c r="X11840" s="60"/>
    </row>
    <row r="11841" spans="7:24" ht="15" customHeight="1">
      <c r="G11841"/>
      <c r="I11841"/>
      <c r="N11841"/>
      <c r="O11841" s="24"/>
      <c r="P11841"/>
      <c r="Q11841" s="24"/>
      <c r="R11841"/>
      <c r="S11841"/>
      <c r="T11841"/>
      <c r="U11841"/>
      <c r="X11841" s="60"/>
    </row>
    <row r="11842" spans="7:24" ht="15" customHeight="1">
      <c r="G11842"/>
      <c r="I11842"/>
      <c r="N11842"/>
      <c r="O11842" s="24"/>
      <c r="P11842"/>
      <c r="Q11842" s="24"/>
      <c r="R11842"/>
      <c r="S11842"/>
      <c r="T11842"/>
      <c r="U11842"/>
      <c r="X11842" s="60"/>
    </row>
    <row r="11843" spans="7:24" ht="15" customHeight="1">
      <c r="G11843"/>
      <c r="I11843"/>
      <c r="N11843"/>
      <c r="O11843" s="24"/>
      <c r="P11843"/>
      <c r="Q11843" s="24"/>
      <c r="R11843"/>
      <c r="S11843"/>
      <c r="T11843"/>
      <c r="U11843"/>
      <c r="X11843" s="60"/>
    </row>
    <row r="11844" spans="7:24" ht="15" customHeight="1">
      <c r="G11844"/>
      <c r="I11844"/>
      <c r="N11844"/>
      <c r="O11844" s="24"/>
      <c r="P11844"/>
      <c r="Q11844" s="24"/>
      <c r="R11844"/>
      <c r="S11844"/>
      <c r="T11844"/>
      <c r="U11844"/>
      <c r="X11844" s="60"/>
    </row>
    <row r="11845" spans="7:24" ht="15" customHeight="1">
      <c r="G11845"/>
      <c r="I11845"/>
      <c r="N11845"/>
      <c r="O11845" s="24"/>
      <c r="P11845"/>
      <c r="Q11845" s="24"/>
      <c r="R11845"/>
      <c r="S11845"/>
      <c r="T11845"/>
      <c r="U11845"/>
      <c r="X11845" s="60"/>
    </row>
    <row r="11846" spans="7:24" ht="15" customHeight="1">
      <c r="G11846"/>
      <c r="I11846"/>
      <c r="N11846"/>
      <c r="O11846" s="24"/>
      <c r="P11846"/>
      <c r="Q11846" s="24"/>
      <c r="R11846"/>
      <c r="S11846"/>
      <c r="T11846"/>
      <c r="U11846"/>
      <c r="X11846" s="60"/>
    </row>
    <row r="11847" spans="7:24" ht="15" customHeight="1">
      <c r="G11847"/>
      <c r="I11847"/>
      <c r="N11847"/>
      <c r="O11847" s="24"/>
      <c r="P11847"/>
      <c r="Q11847" s="24"/>
      <c r="R11847"/>
      <c r="S11847"/>
      <c r="T11847"/>
      <c r="U11847"/>
      <c r="X11847" s="60"/>
    </row>
    <row r="11848" spans="7:24" ht="15" customHeight="1">
      <c r="G11848"/>
      <c r="I11848"/>
      <c r="N11848"/>
      <c r="O11848" s="24"/>
      <c r="P11848"/>
      <c r="Q11848" s="24"/>
      <c r="R11848"/>
      <c r="S11848"/>
      <c r="T11848"/>
      <c r="U11848"/>
      <c r="X11848" s="60"/>
    </row>
    <row r="11849" spans="7:24" ht="15" customHeight="1">
      <c r="G11849"/>
      <c r="I11849"/>
      <c r="N11849"/>
      <c r="O11849" s="24"/>
      <c r="P11849"/>
      <c r="Q11849" s="24"/>
      <c r="R11849"/>
      <c r="S11849"/>
      <c r="T11849"/>
      <c r="U11849"/>
      <c r="X11849" s="60"/>
    </row>
    <row r="11850" spans="7:24" ht="15" customHeight="1">
      <c r="G11850"/>
      <c r="I11850"/>
      <c r="N11850"/>
      <c r="O11850" s="24"/>
      <c r="P11850"/>
      <c r="Q11850" s="24"/>
      <c r="R11850"/>
      <c r="S11850"/>
      <c r="T11850"/>
      <c r="U11850"/>
      <c r="X11850" s="60"/>
    </row>
    <row r="11851" spans="7:24" ht="15" customHeight="1">
      <c r="G11851"/>
      <c r="I11851"/>
      <c r="N11851"/>
      <c r="O11851" s="24"/>
      <c r="P11851"/>
      <c r="Q11851" s="24"/>
      <c r="R11851"/>
      <c r="S11851"/>
      <c r="T11851"/>
      <c r="U11851"/>
      <c r="X11851" s="60"/>
    </row>
    <row r="11852" spans="7:24" ht="15" customHeight="1">
      <c r="G11852"/>
      <c r="I11852"/>
      <c r="N11852"/>
      <c r="O11852" s="24"/>
      <c r="P11852"/>
      <c r="Q11852" s="24"/>
      <c r="R11852"/>
      <c r="S11852"/>
      <c r="T11852"/>
      <c r="U11852"/>
      <c r="X11852" s="60"/>
    </row>
    <row r="11853" spans="7:24" ht="15" customHeight="1">
      <c r="G11853"/>
      <c r="I11853"/>
      <c r="N11853"/>
      <c r="O11853" s="24"/>
      <c r="P11853"/>
      <c r="Q11853" s="24"/>
      <c r="R11853"/>
      <c r="S11853"/>
      <c r="T11853"/>
      <c r="U11853"/>
      <c r="X11853" s="60"/>
    </row>
    <row r="11854" spans="7:24" ht="15" customHeight="1">
      <c r="G11854"/>
      <c r="I11854"/>
      <c r="N11854"/>
      <c r="O11854" s="24"/>
      <c r="P11854"/>
      <c r="Q11854" s="24"/>
      <c r="R11854"/>
      <c r="S11854"/>
      <c r="T11854"/>
      <c r="U11854"/>
      <c r="X11854" s="60"/>
    </row>
    <row r="11855" spans="7:24" ht="15" customHeight="1">
      <c r="G11855"/>
      <c r="I11855"/>
      <c r="N11855"/>
      <c r="O11855" s="24"/>
      <c r="P11855"/>
      <c r="Q11855" s="24"/>
      <c r="R11855"/>
      <c r="S11855"/>
      <c r="T11855"/>
      <c r="U11855"/>
      <c r="X11855" s="60"/>
    </row>
    <row r="11856" spans="7:24" ht="15" customHeight="1">
      <c r="G11856"/>
      <c r="I11856"/>
      <c r="N11856"/>
      <c r="O11856" s="24"/>
      <c r="P11856"/>
      <c r="Q11856" s="24"/>
      <c r="R11856"/>
      <c r="S11856"/>
      <c r="T11856"/>
      <c r="U11856"/>
      <c r="X11856" s="60"/>
    </row>
    <row r="11857" spans="7:24" ht="15" customHeight="1">
      <c r="G11857"/>
      <c r="I11857"/>
      <c r="N11857"/>
      <c r="O11857" s="24"/>
      <c r="P11857"/>
      <c r="Q11857" s="24"/>
      <c r="R11857"/>
      <c r="S11857"/>
      <c r="T11857"/>
      <c r="U11857"/>
      <c r="X11857" s="60"/>
    </row>
    <row r="11858" spans="7:24" ht="15" customHeight="1">
      <c r="G11858"/>
      <c r="I11858"/>
      <c r="N11858"/>
      <c r="O11858" s="24"/>
      <c r="P11858"/>
      <c r="Q11858" s="24"/>
      <c r="R11858"/>
      <c r="S11858"/>
      <c r="T11858"/>
      <c r="U11858"/>
      <c r="X11858" s="60"/>
    </row>
    <row r="11859" spans="7:24" ht="15" customHeight="1">
      <c r="G11859"/>
      <c r="I11859"/>
      <c r="N11859"/>
      <c r="O11859" s="24"/>
      <c r="P11859"/>
      <c r="Q11859" s="24"/>
      <c r="R11859"/>
      <c r="S11859"/>
      <c r="T11859"/>
      <c r="U11859"/>
      <c r="X11859" s="60"/>
    </row>
    <row r="11860" spans="7:24" ht="15" customHeight="1">
      <c r="G11860"/>
      <c r="I11860"/>
      <c r="N11860"/>
      <c r="O11860" s="24"/>
      <c r="P11860"/>
      <c r="Q11860" s="24"/>
      <c r="R11860"/>
      <c r="S11860"/>
      <c r="T11860"/>
      <c r="U11860"/>
      <c r="X11860" s="60"/>
    </row>
    <row r="11861" spans="7:24" ht="15" customHeight="1">
      <c r="G11861"/>
      <c r="I11861"/>
      <c r="N11861"/>
      <c r="O11861" s="24"/>
      <c r="P11861"/>
      <c r="Q11861" s="24"/>
      <c r="R11861"/>
      <c r="S11861"/>
      <c r="T11861"/>
      <c r="U11861"/>
      <c r="X11861" s="60"/>
    </row>
    <row r="11862" spans="7:24" ht="15" customHeight="1">
      <c r="G11862"/>
      <c r="I11862"/>
      <c r="N11862"/>
      <c r="O11862" s="24"/>
      <c r="P11862"/>
      <c r="Q11862" s="24"/>
      <c r="R11862"/>
      <c r="S11862"/>
      <c r="T11862"/>
      <c r="U11862"/>
      <c r="X11862" s="60"/>
    </row>
    <row r="11863" spans="7:24" ht="15" customHeight="1">
      <c r="G11863"/>
      <c r="I11863"/>
      <c r="N11863"/>
      <c r="O11863" s="24"/>
      <c r="P11863"/>
      <c r="Q11863" s="24"/>
      <c r="R11863"/>
      <c r="S11863"/>
      <c r="T11863"/>
      <c r="U11863"/>
      <c r="X11863" s="60"/>
    </row>
    <row r="11864" spans="7:24" ht="15" customHeight="1">
      <c r="G11864"/>
      <c r="I11864"/>
      <c r="N11864"/>
      <c r="O11864" s="24"/>
      <c r="P11864"/>
      <c r="Q11864" s="24"/>
      <c r="R11864"/>
      <c r="S11864"/>
      <c r="T11864"/>
      <c r="U11864"/>
      <c r="X11864" s="60"/>
    </row>
    <row r="11865" spans="7:24" ht="15" customHeight="1">
      <c r="G11865"/>
      <c r="I11865"/>
      <c r="N11865"/>
      <c r="O11865" s="24"/>
      <c r="P11865"/>
      <c r="Q11865" s="24"/>
      <c r="R11865"/>
      <c r="S11865"/>
      <c r="T11865"/>
      <c r="U11865"/>
      <c r="X11865" s="60"/>
    </row>
    <row r="11866" spans="7:24" ht="15" customHeight="1">
      <c r="G11866"/>
      <c r="I11866"/>
      <c r="N11866"/>
      <c r="O11866" s="24"/>
      <c r="P11866"/>
      <c r="Q11866" s="24"/>
      <c r="R11866"/>
      <c r="S11866"/>
      <c r="T11866"/>
      <c r="U11866"/>
      <c r="X11866" s="60"/>
    </row>
    <row r="11867" spans="7:24" ht="15" customHeight="1">
      <c r="G11867"/>
      <c r="I11867"/>
      <c r="N11867"/>
      <c r="O11867" s="24"/>
      <c r="P11867"/>
      <c r="Q11867" s="24"/>
      <c r="R11867"/>
      <c r="S11867"/>
      <c r="T11867"/>
      <c r="U11867"/>
      <c r="X11867" s="60"/>
    </row>
    <row r="11868" spans="7:24" ht="15" customHeight="1">
      <c r="G11868"/>
      <c r="I11868"/>
      <c r="N11868"/>
      <c r="O11868" s="24"/>
      <c r="P11868"/>
      <c r="Q11868" s="24"/>
      <c r="R11868"/>
      <c r="S11868"/>
      <c r="T11868"/>
      <c r="U11868"/>
      <c r="X11868" s="60"/>
    </row>
    <row r="11869" spans="7:24" ht="15" customHeight="1">
      <c r="G11869"/>
      <c r="I11869"/>
      <c r="N11869"/>
      <c r="O11869" s="24"/>
      <c r="P11869"/>
      <c r="Q11869" s="24"/>
      <c r="R11869"/>
      <c r="S11869"/>
      <c r="T11869"/>
      <c r="U11869"/>
      <c r="X11869" s="60"/>
    </row>
    <row r="11870" spans="7:24" ht="15" customHeight="1">
      <c r="G11870"/>
      <c r="I11870"/>
      <c r="N11870"/>
      <c r="O11870" s="24"/>
      <c r="P11870"/>
      <c r="Q11870" s="24"/>
      <c r="R11870"/>
      <c r="S11870"/>
      <c r="T11870"/>
      <c r="U11870"/>
      <c r="X11870" s="60"/>
    </row>
    <row r="11871" spans="7:24" ht="15" customHeight="1">
      <c r="G11871"/>
      <c r="I11871"/>
      <c r="N11871"/>
      <c r="O11871" s="24"/>
      <c r="P11871"/>
      <c r="Q11871" s="24"/>
      <c r="R11871"/>
      <c r="S11871"/>
      <c r="T11871"/>
      <c r="U11871"/>
      <c r="X11871" s="60"/>
    </row>
    <row r="11872" spans="7:24" ht="15" customHeight="1">
      <c r="G11872"/>
      <c r="I11872"/>
      <c r="N11872"/>
      <c r="O11872" s="24"/>
      <c r="P11872"/>
      <c r="Q11872" s="24"/>
      <c r="R11872"/>
      <c r="S11872"/>
      <c r="T11872"/>
      <c r="U11872"/>
      <c r="X11872" s="60"/>
    </row>
    <row r="11873" spans="7:24" ht="15" customHeight="1">
      <c r="G11873"/>
      <c r="I11873"/>
      <c r="N11873"/>
      <c r="O11873" s="24"/>
      <c r="P11873"/>
      <c r="Q11873" s="24"/>
      <c r="R11873"/>
      <c r="S11873"/>
      <c r="T11873"/>
      <c r="U11873"/>
      <c r="X11873" s="60"/>
    </row>
    <row r="11874" spans="7:24" ht="15" customHeight="1">
      <c r="G11874"/>
      <c r="I11874"/>
      <c r="N11874"/>
      <c r="O11874" s="24"/>
      <c r="P11874"/>
      <c r="Q11874" s="24"/>
      <c r="R11874"/>
      <c r="S11874"/>
      <c r="T11874"/>
      <c r="U11874"/>
      <c r="X11874" s="60"/>
    </row>
    <row r="11875" spans="7:24" ht="15" customHeight="1">
      <c r="G11875"/>
      <c r="I11875"/>
      <c r="N11875"/>
      <c r="O11875" s="24"/>
      <c r="P11875"/>
      <c r="Q11875" s="24"/>
      <c r="R11875"/>
      <c r="S11875"/>
      <c r="T11875"/>
      <c r="U11875"/>
      <c r="X11875" s="60"/>
    </row>
    <row r="11876" spans="7:24" ht="15" customHeight="1">
      <c r="G11876"/>
      <c r="I11876"/>
      <c r="N11876"/>
      <c r="O11876" s="24"/>
      <c r="P11876"/>
      <c r="Q11876" s="24"/>
      <c r="R11876"/>
      <c r="S11876"/>
      <c r="T11876"/>
      <c r="U11876"/>
      <c r="X11876" s="60"/>
    </row>
    <row r="11877" spans="7:24" ht="15" customHeight="1">
      <c r="G11877"/>
      <c r="I11877"/>
      <c r="N11877"/>
      <c r="O11877" s="24"/>
      <c r="P11877"/>
      <c r="Q11877" s="24"/>
      <c r="R11877"/>
      <c r="S11877"/>
      <c r="T11877"/>
      <c r="U11877"/>
      <c r="X11877" s="60"/>
    </row>
    <row r="11878" spans="7:24" ht="15" customHeight="1">
      <c r="G11878"/>
      <c r="I11878"/>
      <c r="N11878"/>
      <c r="O11878" s="24"/>
      <c r="P11878"/>
      <c r="Q11878" s="24"/>
      <c r="R11878"/>
      <c r="S11878"/>
      <c r="T11878"/>
      <c r="U11878"/>
      <c r="X11878" s="60"/>
    </row>
    <row r="11879" spans="7:24" ht="15" customHeight="1">
      <c r="G11879"/>
      <c r="I11879"/>
      <c r="N11879"/>
      <c r="O11879" s="24"/>
      <c r="P11879"/>
      <c r="Q11879" s="24"/>
      <c r="R11879"/>
      <c r="S11879"/>
      <c r="T11879"/>
      <c r="U11879"/>
      <c r="X11879" s="60"/>
    </row>
    <row r="11880" spans="7:24" ht="15" customHeight="1">
      <c r="G11880"/>
      <c r="I11880"/>
      <c r="N11880"/>
      <c r="O11880" s="24"/>
      <c r="P11880"/>
      <c r="Q11880" s="24"/>
      <c r="R11880"/>
      <c r="S11880"/>
      <c r="T11880"/>
      <c r="U11880"/>
      <c r="X11880" s="60"/>
    </row>
    <row r="11881" spans="7:24" ht="15" customHeight="1">
      <c r="G11881"/>
      <c r="I11881"/>
      <c r="N11881"/>
      <c r="O11881" s="24"/>
      <c r="P11881"/>
      <c r="Q11881" s="24"/>
      <c r="R11881"/>
      <c r="S11881"/>
      <c r="T11881"/>
      <c r="U11881"/>
      <c r="X11881" s="60"/>
    </row>
    <row r="11882" spans="7:24" ht="15" customHeight="1">
      <c r="G11882"/>
      <c r="I11882"/>
      <c r="N11882"/>
      <c r="O11882" s="24"/>
      <c r="P11882"/>
      <c r="Q11882" s="24"/>
      <c r="R11882"/>
      <c r="S11882"/>
      <c r="T11882"/>
      <c r="U11882"/>
      <c r="X11882" s="60"/>
    </row>
    <row r="11883" spans="7:24" ht="15" customHeight="1">
      <c r="G11883"/>
      <c r="I11883"/>
      <c r="N11883"/>
      <c r="O11883" s="24"/>
      <c r="P11883"/>
      <c r="Q11883" s="24"/>
      <c r="R11883"/>
      <c r="S11883"/>
      <c r="T11883"/>
      <c r="U11883"/>
      <c r="X11883" s="60"/>
    </row>
    <row r="11884" spans="7:24" ht="15" customHeight="1">
      <c r="G11884"/>
      <c r="I11884"/>
      <c r="N11884"/>
      <c r="O11884" s="24"/>
      <c r="P11884"/>
      <c r="Q11884" s="24"/>
      <c r="R11884"/>
      <c r="S11884"/>
      <c r="T11884"/>
      <c r="U11884"/>
      <c r="X11884" s="60"/>
    </row>
    <row r="11885" spans="7:24" ht="15" customHeight="1">
      <c r="G11885"/>
      <c r="I11885"/>
      <c r="N11885"/>
      <c r="O11885" s="24"/>
      <c r="P11885"/>
      <c r="Q11885" s="24"/>
      <c r="R11885"/>
      <c r="S11885"/>
      <c r="T11885"/>
      <c r="U11885"/>
      <c r="X11885" s="60"/>
    </row>
    <row r="11886" spans="7:24" ht="15" customHeight="1">
      <c r="G11886"/>
      <c r="I11886"/>
      <c r="N11886"/>
      <c r="O11886" s="24"/>
      <c r="P11886"/>
      <c r="Q11886" s="24"/>
      <c r="R11886"/>
      <c r="S11886"/>
      <c r="T11886"/>
      <c r="U11886"/>
      <c r="X11886" s="60"/>
    </row>
    <row r="11887" spans="7:24" ht="15" customHeight="1">
      <c r="G11887"/>
      <c r="I11887"/>
      <c r="N11887"/>
      <c r="O11887" s="24"/>
      <c r="P11887"/>
      <c r="Q11887" s="24"/>
      <c r="R11887"/>
      <c r="S11887"/>
      <c r="T11887"/>
      <c r="U11887"/>
      <c r="X11887" s="60"/>
    </row>
    <row r="11888" spans="7:24" ht="15" customHeight="1">
      <c r="G11888"/>
      <c r="I11888"/>
      <c r="N11888"/>
      <c r="O11888" s="24"/>
      <c r="P11888"/>
      <c r="Q11888" s="24"/>
      <c r="R11888"/>
      <c r="S11888"/>
      <c r="T11888"/>
      <c r="U11888"/>
      <c r="X11888" s="60"/>
    </row>
    <row r="11889" spans="7:24" ht="15" customHeight="1">
      <c r="G11889"/>
      <c r="I11889"/>
      <c r="N11889"/>
      <c r="O11889" s="24"/>
      <c r="P11889"/>
      <c r="Q11889" s="24"/>
      <c r="R11889"/>
      <c r="S11889"/>
      <c r="T11889"/>
      <c r="U11889"/>
      <c r="X11889" s="60"/>
    </row>
    <row r="11890" spans="7:24" ht="15" customHeight="1">
      <c r="G11890"/>
      <c r="I11890"/>
      <c r="N11890"/>
      <c r="O11890" s="24"/>
      <c r="P11890"/>
      <c r="Q11890" s="24"/>
      <c r="R11890"/>
      <c r="S11890"/>
      <c r="T11890"/>
      <c r="U11890"/>
      <c r="X11890" s="60"/>
    </row>
    <row r="11891" spans="7:24" ht="15" customHeight="1">
      <c r="G11891"/>
      <c r="I11891"/>
      <c r="N11891"/>
      <c r="O11891" s="24"/>
      <c r="P11891"/>
      <c r="Q11891" s="24"/>
      <c r="R11891"/>
      <c r="S11891"/>
      <c r="T11891"/>
      <c r="U11891"/>
      <c r="X11891" s="60"/>
    </row>
    <row r="11892" spans="7:24" ht="15" customHeight="1">
      <c r="G11892"/>
      <c r="I11892"/>
      <c r="N11892"/>
      <c r="O11892" s="24"/>
      <c r="P11892"/>
      <c r="Q11892" s="24"/>
      <c r="R11892"/>
      <c r="S11892"/>
      <c r="T11892"/>
      <c r="U11892"/>
      <c r="X11892" s="60"/>
    </row>
    <row r="11893" spans="7:24" ht="15" customHeight="1">
      <c r="G11893"/>
      <c r="I11893"/>
      <c r="N11893"/>
      <c r="O11893" s="24"/>
      <c r="P11893"/>
      <c r="Q11893" s="24"/>
      <c r="R11893"/>
      <c r="S11893"/>
      <c r="T11893"/>
      <c r="U11893"/>
      <c r="X11893" s="60"/>
    </row>
    <row r="11894" spans="7:24" ht="15" customHeight="1">
      <c r="G11894"/>
      <c r="I11894"/>
      <c r="N11894"/>
      <c r="O11894" s="24"/>
      <c r="P11894"/>
      <c r="Q11894" s="24"/>
      <c r="R11894"/>
      <c r="S11894"/>
      <c r="T11894"/>
      <c r="U11894"/>
      <c r="X11894" s="60"/>
    </row>
    <row r="11895" spans="7:24" ht="15" customHeight="1">
      <c r="G11895"/>
      <c r="I11895"/>
      <c r="N11895"/>
      <c r="O11895" s="24"/>
      <c r="P11895"/>
      <c r="Q11895" s="24"/>
      <c r="R11895"/>
      <c r="S11895"/>
      <c r="T11895"/>
      <c r="U11895"/>
      <c r="X11895" s="60"/>
    </row>
    <row r="11896" spans="7:24" ht="15" customHeight="1">
      <c r="G11896"/>
      <c r="I11896"/>
      <c r="N11896"/>
      <c r="O11896" s="24"/>
      <c r="P11896"/>
      <c r="Q11896" s="24"/>
      <c r="R11896"/>
      <c r="S11896"/>
      <c r="T11896"/>
      <c r="U11896"/>
      <c r="X11896" s="60"/>
    </row>
    <row r="11897" spans="7:24" ht="15" customHeight="1">
      <c r="G11897"/>
      <c r="I11897"/>
      <c r="N11897"/>
      <c r="O11897" s="24"/>
      <c r="P11897"/>
      <c r="Q11897" s="24"/>
      <c r="R11897"/>
      <c r="S11897"/>
      <c r="T11897"/>
      <c r="U11897"/>
      <c r="X11897" s="60"/>
    </row>
    <row r="11898" spans="7:24" ht="15" customHeight="1">
      <c r="G11898"/>
      <c r="I11898"/>
      <c r="N11898"/>
      <c r="O11898" s="24"/>
      <c r="P11898"/>
      <c r="Q11898" s="24"/>
      <c r="R11898"/>
      <c r="S11898"/>
      <c r="T11898"/>
      <c r="U11898"/>
      <c r="X11898" s="60"/>
    </row>
    <row r="11899" spans="7:24" ht="15" customHeight="1">
      <c r="G11899"/>
      <c r="I11899"/>
      <c r="N11899"/>
      <c r="O11899" s="24"/>
      <c r="P11899"/>
      <c r="Q11899" s="24"/>
      <c r="R11899"/>
      <c r="S11899"/>
      <c r="T11899"/>
      <c r="U11899"/>
      <c r="X11899" s="60"/>
    </row>
    <row r="11900" spans="7:24" ht="15" customHeight="1">
      <c r="G11900"/>
      <c r="I11900"/>
      <c r="N11900"/>
      <c r="O11900" s="24"/>
      <c r="P11900"/>
      <c r="Q11900" s="24"/>
      <c r="R11900"/>
      <c r="S11900"/>
      <c r="T11900"/>
      <c r="U11900"/>
      <c r="X11900" s="60"/>
    </row>
    <row r="11901" spans="7:24" ht="15" customHeight="1">
      <c r="G11901"/>
      <c r="I11901"/>
      <c r="N11901"/>
      <c r="O11901" s="24"/>
      <c r="P11901"/>
      <c r="Q11901" s="24"/>
      <c r="R11901"/>
      <c r="S11901"/>
      <c r="T11901"/>
      <c r="U11901"/>
      <c r="X11901" s="60"/>
    </row>
    <row r="11902" spans="7:24" ht="15" customHeight="1">
      <c r="G11902"/>
      <c r="I11902"/>
      <c r="N11902"/>
      <c r="O11902" s="24"/>
      <c r="P11902"/>
      <c r="Q11902" s="24"/>
      <c r="R11902"/>
      <c r="S11902"/>
      <c r="T11902"/>
      <c r="U11902"/>
      <c r="X11902" s="60"/>
    </row>
    <row r="11903" spans="7:24" ht="15" customHeight="1">
      <c r="G11903"/>
      <c r="I11903"/>
      <c r="N11903"/>
      <c r="O11903" s="24"/>
      <c r="P11903"/>
      <c r="Q11903" s="24"/>
      <c r="R11903"/>
      <c r="S11903"/>
      <c r="T11903"/>
      <c r="U11903"/>
      <c r="X11903" s="60"/>
    </row>
    <row r="11904" spans="7:24" ht="15" customHeight="1">
      <c r="G11904"/>
      <c r="I11904"/>
      <c r="N11904"/>
      <c r="O11904" s="24"/>
      <c r="P11904"/>
      <c r="Q11904" s="24"/>
      <c r="R11904"/>
      <c r="S11904"/>
      <c r="T11904"/>
      <c r="U11904"/>
      <c r="X11904" s="60"/>
    </row>
    <row r="11905" spans="7:24" ht="15" customHeight="1">
      <c r="G11905"/>
      <c r="I11905"/>
      <c r="N11905"/>
      <c r="O11905" s="24"/>
      <c r="P11905"/>
      <c r="Q11905" s="24"/>
      <c r="R11905"/>
      <c r="S11905"/>
      <c r="T11905"/>
      <c r="U11905"/>
      <c r="X11905" s="60"/>
    </row>
    <row r="11906" spans="7:24" ht="15" customHeight="1">
      <c r="G11906"/>
      <c r="I11906"/>
      <c r="N11906"/>
      <c r="O11906" s="24"/>
      <c r="P11906"/>
      <c r="Q11906" s="24"/>
      <c r="R11906"/>
      <c r="S11906"/>
      <c r="T11906"/>
      <c r="U11906"/>
      <c r="X11906" s="60"/>
    </row>
    <row r="11907" spans="7:24" ht="15" customHeight="1">
      <c r="G11907"/>
      <c r="I11907"/>
      <c r="N11907"/>
      <c r="O11907" s="24"/>
      <c r="P11907"/>
      <c r="Q11907" s="24"/>
      <c r="R11907"/>
      <c r="S11907"/>
      <c r="T11907"/>
      <c r="U11907"/>
      <c r="X11907" s="60"/>
    </row>
    <row r="11908" spans="7:24" ht="15" customHeight="1">
      <c r="G11908"/>
      <c r="I11908"/>
      <c r="N11908"/>
      <c r="O11908" s="24"/>
      <c r="P11908"/>
      <c r="Q11908" s="24"/>
      <c r="R11908"/>
      <c r="S11908"/>
      <c r="T11908"/>
      <c r="U11908"/>
      <c r="X11908" s="60"/>
    </row>
    <row r="11909" spans="7:24" ht="15" customHeight="1">
      <c r="G11909"/>
      <c r="I11909"/>
      <c r="N11909"/>
      <c r="O11909" s="24"/>
      <c r="P11909"/>
      <c r="Q11909" s="24"/>
      <c r="R11909"/>
      <c r="S11909"/>
      <c r="T11909"/>
      <c r="U11909"/>
      <c r="X11909" s="60"/>
    </row>
    <row r="11910" spans="7:24" ht="15" customHeight="1">
      <c r="G11910"/>
      <c r="I11910"/>
      <c r="N11910"/>
      <c r="O11910" s="24"/>
      <c r="P11910"/>
      <c r="Q11910" s="24"/>
      <c r="R11910"/>
      <c r="S11910"/>
      <c r="T11910"/>
      <c r="U11910"/>
      <c r="X11910" s="60"/>
    </row>
    <row r="11911" spans="7:24" ht="15" customHeight="1">
      <c r="G11911"/>
      <c r="I11911"/>
      <c r="N11911"/>
      <c r="O11911" s="24"/>
      <c r="P11911"/>
      <c r="Q11911" s="24"/>
      <c r="R11911"/>
      <c r="S11911"/>
      <c r="T11911"/>
      <c r="U11911"/>
      <c r="X11911" s="60"/>
    </row>
    <row r="11912" spans="7:24" ht="15" customHeight="1">
      <c r="G11912"/>
      <c r="I11912"/>
      <c r="N11912"/>
      <c r="O11912" s="24"/>
      <c r="P11912"/>
      <c r="Q11912" s="24"/>
      <c r="R11912"/>
      <c r="S11912"/>
      <c r="T11912"/>
      <c r="U11912"/>
      <c r="X11912" s="60"/>
    </row>
    <row r="11913" spans="7:24" ht="15" customHeight="1">
      <c r="G11913"/>
      <c r="I11913"/>
      <c r="N11913"/>
      <c r="O11913" s="24"/>
      <c r="P11913"/>
      <c r="Q11913" s="24"/>
      <c r="R11913"/>
      <c r="S11913"/>
      <c r="T11913"/>
      <c r="U11913"/>
      <c r="X11913" s="60"/>
    </row>
    <row r="11914" spans="7:24" ht="15" customHeight="1">
      <c r="G11914"/>
      <c r="I11914"/>
      <c r="N11914"/>
      <c r="O11914" s="24"/>
      <c r="P11914"/>
      <c r="Q11914" s="24"/>
      <c r="R11914"/>
      <c r="S11914"/>
      <c r="T11914"/>
      <c r="U11914"/>
      <c r="X11914" s="60"/>
    </row>
    <row r="11915" spans="7:24" ht="15" customHeight="1">
      <c r="G11915"/>
      <c r="I11915"/>
      <c r="N11915"/>
      <c r="O11915" s="24"/>
      <c r="P11915"/>
      <c r="Q11915" s="24"/>
      <c r="R11915"/>
      <c r="S11915"/>
      <c r="T11915"/>
      <c r="U11915"/>
      <c r="X11915" s="60"/>
    </row>
    <row r="11916" spans="7:24" ht="15" customHeight="1">
      <c r="G11916"/>
      <c r="I11916"/>
      <c r="N11916"/>
      <c r="O11916" s="24"/>
      <c r="P11916"/>
      <c r="Q11916" s="24"/>
      <c r="R11916"/>
      <c r="S11916"/>
      <c r="T11916"/>
      <c r="U11916"/>
      <c r="X11916" s="60"/>
    </row>
    <row r="11917" spans="7:24" ht="15" customHeight="1">
      <c r="G11917"/>
      <c r="I11917"/>
      <c r="N11917"/>
      <c r="O11917" s="24"/>
      <c r="P11917"/>
      <c r="Q11917" s="24"/>
      <c r="R11917"/>
      <c r="S11917"/>
      <c r="T11917"/>
      <c r="U11917"/>
      <c r="X11917" s="60"/>
    </row>
    <row r="11918" spans="7:24" ht="15" customHeight="1">
      <c r="G11918"/>
      <c r="I11918"/>
      <c r="N11918"/>
      <c r="O11918" s="24"/>
      <c r="P11918"/>
      <c r="Q11918" s="24"/>
      <c r="R11918"/>
      <c r="S11918"/>
      <c r="T11918"/>
      <c r="U11918"/>
      <c r="X11918" s="60"/>
    </row>
    <row r="11919" spans="7:24" ht="15" customHeight="1">
      <c r="G11919"/>
      <c r="I11919"/>
      <c r="N11919"/>
      <c r="O11919" s="24"/>
      <c r="P11919"/>
      <c r="Q11919" s="24"/>
      <c r="R11919"/>
      <c r="S11919"/>
      <c r="T11919"/>
      <c r="U11919"/>
      <c r="X11919" s="60"/>
    </row>
    <row r="11920" spans="7:24" ht="15" customHeight="1">
      <c r="G11920"/>
      <c r="I11920"/>
      <c r="N11920"/>
      <c r="O11920" s="24"/>
      <c r="P11920"/>
      <c r="Q11920" s="24"/>
      <c r="R11920"/>
      <c r="S11920"/>
      <c r="T11920"/>
      <c r="U11920"/>
      <c r="X11920" s="60"/>
    </row>
    <row r="11921" spans="7:24" ht="15" customHeight="1">
      <c r="G11921"/>
      <c r="I11921"/>
      <c r="N11921"/>
      <c r="O11921" s="24"/>
      <c r="P11921"/>
      <c r="Q11921" s="24"/>
      <c r="R11921"/>
      <c r="S11921"/>
      <c r="T11921"/>
      <c r="U11921"/>
      <c r="X11921" s="60"/>
    </row>
    <row r="11922" spans="7:24" ht="15" customHeight="1">
      <c r="G11922"/>
      <c r="I11922"/>
      <c r="N11922"/>
      <c r="O11922" s="24"/>
      <c r="P11922"/>
      <c r="Q11922" s="24"/>
      <c r="R11922"/>
      <c r="S11922"/>
      <c r="T11922"/>
      <c r="U11922"/>
      <c r="X11922" s="60"/>
    </row>
    <row r="11923" spans="7:24" ht="15" customHeight="1">
      <c r="G11923"/>
      <c r="I11923"/>
      <c r="N11923"/>
      <c r="O11923" s="24"/>
      <c r="P11923"/>
      <c r="Q11923" s="24"/>
      <c r="R11923"/>
      <c r="S11923"/>
      <c r="T11923"/>
      <c r="U11923"/>
      <c r="X11923" s="60"/>
    </row>
    <row r="11924" spans="7:24" ht="15" customHeight="1">
      <c r="G11924"/>
      <c r="I11924"/>
      <c r="N11924"/>
      <c r="O11924" s="24"/>
      <c r="P11924"/>
      <c r="Q11924" s="24"/>
      <c r="R11924"/>
      <c r="S11924"/>
      <c r="T11924"/>
      <c r="U11924"/>
      <c r="X11924" s="60"/>
    </row>
    <row r="11925" spans="7:24" ht="15" customHeight="1">
      <c r="G11925"/>
      <c r="I11925"/>
      <c r="N11925"/>
      <c r="O11925" s="24"/>
      <c r="P11925"/>
      <c r="Q11925" s="24"/>
      <c r="R11925"/>
      <c r="S11925"/>
      <c r="T11925"/>
      <c r="U11925"/>
      <c r="X11925" s="60"/>
    </row>
    <row r="11926" spans="7:24" ht="15" customHeight="1">
      <c r="G11926"/>
      <c r="I11926"/>
      <c r="N11926"/>
      <c r="O11926" s="24"/>
      <c r="P11926"/>
      <c r="Q11926" s="24"/>
      <c r="R11926"/>
      <c r="S11926"/>
      <c r="T11926"/>
      <c r="U11926"/>
      <c r="X11926" s="60"/>
    </row>
    <row r="11927" spans="7:24" ht="15" customHeight="1">
      <c r="G11927"/>
      <c r="I11927"/>
      <c r="N11927"/>
      <c r="O11927" s="24"/>
      <c r="P11927"/>
      <c r="Q11927" s="24"/>
      <c r="R11927"/>
      <c r="S11927"/>
      <c r="T11927"/>
      <c r="U11927"/>
      <c r="X11927" s="60"/>
    </row>
    <row r="11928" spans="7:24" ht="15" customHeight="1">
      <c r="G11928"/>
      <c r="I11928"/>
      <c r="N11928"/>
      <c r="O11928" s="24"/>
      <c r="P11928"/>
      <c r="Q11928" s="24"/>
      <c r="R11928"/>
      <c r="S11928"/>
      <c r="T11928"/>
      <c r="U11928"/>
      <c r="X11928" s="60"/>
    </row>
    <row r="11929" spans="7:24" ht="15" customHeight="1">
      <c r="G11929"/>
      <c r="I11929"/>
      <c r="N11929"/>
      <c r="O11929" s="24"/>
      <c r="P11929"/>
      <c r="Q11929" s="24"/>
      <c r="R11929"/>
      <c r="S11929"/>
      <c r="T11929"/>
      <c r="U11929"/>
      <c r="X11929" s="60"/>
    </row>
    <row r="11930" spans="7:24" ht="15" customHeight="1">
      <c r="G11930"/>
      <c r="I11930"/>
      <c r="N11930"/>
      <c r="O11930" s="24"/>
      <c r="P11930"/>
      <c r="Q11930" s="24"/>
      <c r="R11930"/>
      <c r="S11930"/>
      <c r="T11930"/>
      <c r="U11930"/>
      <c r="X11930" s="60"/>
    </row>
    <row r="11931" spans="7:24" ht="15" customHeight="1">
      <c r="G11931"/>
      <c r="I11931"/>
      <c r="N11931"/>
      <c r="O11931" s="24"/>
      <c r="P11931"/>
      <c r="Q11931" s="24"/>
      <c r="R11931"/>
      <c r="S11931"/>
      <c r="T11931"/>
      <c r="U11931"/>
      <c r="X11931" s="60"/>
    </row>
    <row r="11932" spans="7:24" ht="15" customHeight="1">
      <c r="G11932"/>
      <c r="I11932"/>
      <c r="N11932"/>
      <c r="O11932" s="24"/>
      <c r="P11932"/>
      <c r="Q11932" s="24"/>
      <c r="R11932"/>
      <c r="S11932"/>
      <c r="T11932"/>
      <c r="U11932"/>
      <c r="X11932" s="60"/>
    </row>
    <row r="11933" spans="7:24" ht="15" customHeight="1">
      <c r="G11933"/>
      <c r="I11933"/>
      <c r="N11933"/>
      <c r="O11933" s="24"/>
      <c r="P11933"/>
      <c r="Q11933" s="24"/>
      <c r="R11933"/>
      <c r="S11933"/>
      <c r="T11933"/>
      <c r="U11933"/>
      <c r="X11933" s="60"/>
    </row>
    <row r="11934" spans="7:24" ht="15" customHeight="1">
      <c r="G11934"/>
      <c r="I11934"/>
      <c r="N11934"/>
      <c r="O11934" s="24"/>
      <c r="P11934"/>
      <c r="Q11934" s="24"/>
      <c r="R11934"/>
      <c r="S11934"/>
      <c r="T11934"/>
      <c r="U11934"/>
      <c r="X11934" s="60"/>
    </row>
    <row r="11935" spans="7:24" ht="15" customHeight="1">
      <c r="G11935"/>
      <c r="I11935"/>
      <c r="N11935"/>
      <c r="O11935" s="24"/>
      <c r="P11935"/>
      <c r="Q11935" s="24"/>
      <c r="R11935"/>
      <c r="S11935"/>
      <c r="T11935"/>
      <c r="U11935"/>
      <c r="X11935" s="60"/>
    </row>
    <row r="11936" spans="7:24" ht="15" customHeight="1">
      <c r="G11936"/>
      <c r="I11936"/>
      <c r="N11936"/>
      <c r="O11936" s="24"/>
      <c r="P11936"/>
      <c r="Q11936" s="24"/>
      <c r="R11936"/>
      <c r="S11936"/>
      <c r="T11936"/>
      <c r="U11936"/>
      <c r="X11936" s="60"/>
    </row>
    <row r="11937" spans="7:24" ht="15" customHeight="1">
      <c r="G11937"/>
      <c r="I11937"/>
      <c r="N11937"/>
      <c r="O11937" s="24"/>
      <c r="P11937"/>
      <c r="Q11937" s="24"/>
      <c r="R11937"/>
      <c r="S11937"/>
      <c r="T11937"/>
      <c r="U11937"/>
      <c r="X11937" s="60"/>
    </row>
    <row r="11938" spans="7:24" ht="15" customHeight="1">
      <c r="G11938"/>
      <c r="I11938"/>
      <c r="N11938"/>
      <c r="O11938" s="24"/>
      <c r="P11938"/>
      <c r="Q11938" s="24"/>
      <c r="R11938"/>
      <c r="S11938"/>
      <c r="T11938"/>
      <c r="U11938"/>
      <c r="X11938" s="60"/>
    </row>
    <row r="11939" spans="7:24" ht="15" customHeight="1">
      <c r="G11939"/>
      <c r="I11939"/>
      <c r="N11939"/>
      <c r="O11939" s="24"/>
      <c r="P11939"/>
      <c r="Q11939" s="24"/>
      <c r="R11939"/>
      <c r="S11939"/>
      <c r="T11939"/>
      <c r="U11939"/>
      <c r="X11939" s="60"/>
    </row>
    <row r="11940" spans="7:24" ht="15" customHeight="1">
      <c r="G11940"/>
      <c r="I11940"/>
      <c r="N11940"/>
      <c r="O11940" s="24"/>
      <c r="P11940"/>
      <c r="Q11940" s="24"/>
      <c r="R11940"/>
      <c r="S11940"/>
      <c r="T11940"/>
      <c r="U11940"/>
      <c r="X11940" s="60"/>
    </row>
    <row r="11941" spans="7:24" ht="15" customHeight="1">
      <c r="G11941"/>
      <c r="I11941"/>
      <c r="N11941"/>
      <c r="O11941" s="24"/>
      <c r="P11941"/>
      <c r="Q11941" s="24"/>
      <c r="R11941"/>
      <c r="S11941"/>
      <c r="T11941"/>
      <c r="U11941"/>
      <c r="X11941" s="60"/>
    </row>
    <row r="11942" spans="7:24" ht="15" customHeight="1">
      <c r="G11942"/>
      <c r="I11942"/>
      <c r="N11942"/>
      <c r="O11942" s="24"/>
      <c r="P11942"/>
      <c r="Q11942" s="24"/>
      <c r="R11942"/>
      <c r="S11942"/>
      <c r="T11942"/>
      <c r="U11942"/>
      <c r="X11942" s="60"/>
    </row>
    <row r="11943" spans="7:24" ht="15" customHeight="1">
      <c r="G11943"/>
      <c r="I11943"/>
      <c r="N11943"/>
      <c r="O11943" s="24"/>
      <c r="P11943"/>
      <c r="Q11943" s="24"/>
      <c r="R11943"/>
      <c r="S11943"/>
      <c r="T11943"/>
      <c r="U11943"/>
      <c r="X11943" s="60"/>
    </row>
    <row r="11944" spans="7:24" ht="15" customHeight="1">
      <c r="G11944"/>
      <c r="I11944"/>
      <c r="N11944"/>
      <c r="O11944" s="24"/>
      <c r="P11944"/>
      <c r="Q11944" s="24"/>
      <c r="R11944"/>
      <c r="S11944"/>
      <c r="T11944"/>
      <c r="U11944"/>
      <c r="X11944" s="60"/>
    </row>
    <row r="11945" spans="7:24" ht="15" customHeight="1">
      <c r="G11945"/>
      <c r="I11945"/>
      <c r="N11945"/>
      <c r="O11945" s="24"/>
      <c r="P11945"/>
      <c r="Q11945" s="24"/>
      <c r="R11945"/>
      <c r="S11945"/>
      <c r="T11945"/>
      <c r="U11945"/>
      <c r="X11945" s="60"/>
    </row>
    <row r="11946" spans="7:24" ht="15" customHeight="1">
      <c r="G11946"/>
      <c r="I11946"/>
      <c r="N11946"/>
      <c r="O11946" s="24"/>
      <c r="P11946"/>
      <c r="Q11946" s="24"/>
      <c r="R11946"/>
      <c r="S11946"/>
      <c r="T11946"/>
      <c r="U11946"/>
      <c r="X11946" s="60"/>
    </row>
    <row r="11947" spans="7:24" ht="15" customHeight="1">
      <c r="G11947"/>
      <c r="I11947"/>
      <c r="N11947"/>
      <c r="O11947" s="24"/>
      <c r="P11947"/>
      <c r="Q11947" s="24"/>
      <c r="R11947"/>
      <c r="S11947"/>
      <c r="T11947"/>
      <c r="U11947"/>
      <c r="X11947" s="60"/>
    </row>
    <row r="11948" spans="7:24" ht="15" customHeight="1">
      <c r="G11948"/>
      <c r="I11948"/>
      <c r="N11948"/>
      <c r="O11948" s="24"/>
      <c r="P11948"/>
      <c r="Q11948" s="24"/>
      <c r="R11948"/>
      <c r="S11948"/>
      <c r="T11948"/>
      <c r="U11948"/>
      <c r="X11948" s="60"/>
    </row>
    <row r="11949" spans="7:24" ht="15" customHeight="1">
      <c r="G11949"/>
      <c r="I11949"/>
      <c r="N11949"/>
      <c r="O11949" s="24"/>
      <c r="P11949"/>
      <c r="Q11949" s="24"/>
      <c r="R11949"/>
      <c r="S11949"/>
      <c r="T11949"/>
      <c r="U11949"/>
      <c r="X11949" s="60"/>
    </row>
    <row r="11950" spans="7:24" ht="15" customHeight="1">
      <c r="G11950"/>
      <c r="I11950"/>
      <c r="N11950"/>
      <c r="O11950" s="24"/>
      <c r="P11950"/>
      <c r="Q11950" s="24"/>
      <c r="R11950"/>
      <c r="S11950"/>
      <c r="T11950"/>
      <c r="U11950"/>
      <c r="X11950" s="60"/>
    </row>
    <row r="11951" spans="7:24" ht="15" customHeight="1">
      <c r="G11951"/>
      <c r="I11951"/>
      <c r="N11951"/>
      <c r="O11951" s="24"/>
      <c r="P11951"/>
      <c r="Q11951" s="24"/>
      <c r="R11951"/>
      <c r="S11951"/>
      <c r="T11951"/>
      <c r="U11951"/>
      <c r="X11951" s="60"/>
    </row>
    <row r="11952" spans="7:24" ht="15" customHeight="1">
      <c r="G11952"/>
      <c r="I11952"/>
      <c r="N11952"/>
      <c r="O11952" s="24"/>
      <c r="P11952"/>
      <c r="Q11952" s="24"/>
      <c r="R11952"/>
      <c r="S11952"/>
      <c r="T11952"/>
      <c r="U11952"/>
      <c r="X11952" s="60"/>
    </row>
    <row r="11953" spans="7:24" ht="15" customHeight="1">
      <c r="G11953"/>
      <c r="I11953"/>
      <c r="N11953"/>
      <c r="O11953" s="24"/>
      <c r="P11953"/>
      <c r="Q11953" s="24"/>
      <c r="R11953"/>
      <c r="S11953"/>
      <c r="T11953"/>
      <c r="U11953"/>
      <c r="X11953" s="60"/>
    </row>
    <row r="11954" spans="7:24" ht="15" customHeight="1">
      <c r="G11954"/>
      <c r="I11954"/>
      <c r="N11954"/>
      <c r="O11954" s="24"/>
      <c r="P11954"/>
      <c r="Q11954" s="24"/>
      <c r="R11954"/>
      <c r="S11954"/>
      <c r="T11954"/>
      <c r="U11954"/>
      <c r="X11954" s="60"/>
    </row>
    <row r="11955" spans="7:24" ht="15" customHeight="1">
      <c r="G11955"/>
      <c r="I11955"/>
      <c r="N11955"/>
      <c r="O11955" s="24"/>
      <c r="P11955"/>
      <c r="Q11955" s="24"/>
      <c r="R11955"/>
      <c r="S11955"/>
      <c r="T11955"/>
      <c r="U11955"/>
      <c r="X11955" s="60"/>
    </row>
    <row r="11956" spans="7:24" ht="15" customHeight="1">
      <c r="G11956"/>
      <c r="I11956"/>
      <c r="N11956"/>
      <c r="O11956" s="24"/>
      <c r="P11956"/>
      <c r="Q11956" s="24"/>
      <c r="R11956"/>
      <c r="S11956"/>
      <c r="T11956"/>
      <c r="U11956"/>
      <c r="X11956" s="60"/>
    </row>
    <row r="11957" spans="7:24" ht="15" customHeight="1">
      <c r="G11957"/>
      <c r="I11957"/>
      <c r="N11957"/>
      <c r="O11957" s="24"/>
      <c r="P11957"/>
      <c r="Q11957" s="24"/>
      <c r="R11957"/>
      <c r="S11957"/>
      <c r="T11957"/>
      <c r="U11957"/>
      <c r="X11957" s="60"/>
    </row>
    <row r="11958" spans="7:24" ht="15" customHeight="1">
      <c r="G11958"/>
      <c r="I11958"/>
      <c r="N11958"/>
      <c r="O11958" s="24"/>
      <c r="P11958"/>
      <c r="Q11958" s="24"/>
      <c r="R11958"/>
      <c r="S11958"/>
      <c r="T11958"/>
      <c r="U11958"/>
      <c r="X11958" s="60"/>
    </row>
    <row r="11959" spans="7:24" ht="15" customHeight="1">
      <c r="G11959"/>
      <c r="I11959"/>
      <c r="N11959"/>
      <c r="O11959" s="24"/>
      <c r="P11959"/>
      <c r="Q11959" s="24"/>
      <c r="R11959"/>
      <c r="S11959"/>
      <c r="T11959"/>
      <c r="U11959"/>
      <c r="X11959" s="60"/>
    </row>
    <row r="11960" spans="7:24" ht="15" customHeight="1">
      <c r="G11960"/>
      <c r="I11960"/>
      <c r="N11960"/>
      <c r="O11960" s="24"/>
      <c r="P11960"/>
      <c r="Q11960" s="24"/>
      <c r="R11960"/>
      <c r="S11960"/>
      <c r="T11960"/>
      <c r="U11960"/>
      <c r="X11960" s="60"/>
    </row>
    <row r="11961" spans="7:24" ht="15" customHeight="1">
      <c r="G11961"/>
      <c r="I11961"/>
      <c r="N11961"/>
      <c r="O11961" s="24"/>
      <c r="P11961"/>
      <c r="Q11961" s="24"/>
      <c r="R11961"/>
      <c r="S11961"/>
      <c r="T11961"/>
      <c r="U11961"/>
      <c r="X11961" s="60"/>
    </row>
    <row r="11962" spans="7:24" ht="15" customHeight="1">
      <c r="G11962"/>
      <c r="I11962"/>
      <c r="N11962"/>
      <c r="O11962" s="24"/>
      <c r="P11962"/>
      <c r="Q11962" s="24"/>
      <c r="R11962"/>
      <c r="S11962"/>
      <c r="T11962"/>
      <c r="U11962"/>
      <c r="X11962" s="60"/>
    </row>
    <row r="11963" spans="7:24" ht="15" customHeight="1">
      <c r="G11963"/>
      <c r="I11963"/>
      <c r="N11963"/>
      <c r="O11963" s="24"/>
      <c r="P11963"/>
      <c r="Q11963" s="24"/>
      <c r="R11963"/>
      <c r="S11963"/>
      <c r="T11963"/>
      <c r="U11963"/>
      <c r="X11963" s="60"/>
    </row>
    <row r="11964" spans="7:24" ht="15" customHeight="1">
      <c r="G11964"/>
      <c r="I11964"/>
      <c r="N11964"/>
      <c r="O11964" s="24"/>
      <c r="P11964"/>
      <c r="Q11964" s="24"/>
      <c r="R11964"/>
      <c r="S11964"/>
      <c r="T11964"/>
      <c r="U11964"/>
      <c r="X11964" s="60"/>
    </row>
    <row r="11965" spans="7:24" ht="15" customHeight="1">
      <c r="G11965"/>
      <c r="I11965"/>
      <c r="N11965"/>
      <c r="O11965" s="24"/>
      <c r="P11965"/>
      <c r="Q11965" s="24"/>
      <c r="R11965"/>
      <c r="S11965"/>
      <c r="T11965"/>
      <c r="U11965"/>
      <c r="X11965" s="60"/>
    </row>
    <row r="11966" spans="7:24" ht="15" customHeight="1">
      <c r="G11966"/>
      <c r="I11966"/>
      <c r="N11966"/>
      <c r="O11966" s="24"/>
      <c r="P11966"/>
      <c r="Q11966" s="24"/>
      <c r="R11966"/>
      <c r="S11966"/>
      <c r="T11966"/>
      <c r="U11966"/>
      <c r="X11966" s="60"/>
    </row>
    <row r="11967" spans="7:24" ht="15" customHeight="1">
      <c r="G11967"/>
      <c r="I11967"/>
      <c r="N11967"/>
      <c r="O11967" s="24"/>
      <c r="P11967"/>
      <c r="Q11967" s="24"/>
      <c r="R11967"/>
      <c r="S11967"/>
      <c r="T11967"/>
      <c r="U11967"/>
      <c r="X11967" s="60"/>
    </row>
    <row r="11968" spans="7:24" ht="15" customHeight="1">
      <c r="G11968"/>
      <c r="I11968"/>
      <c r="N11968"/>
      <c r="O11968" s="24"/>
      <c r="P11968"/>
      <c r="Q11968" s="24"/>
      <c r="R11968"/>
      <c r="S11968"/>
      <c r="T11968"/>
      <c r="U11968"/>
      <c r="X11968" s="60"/>
    </row>
    <row r="11969" spans="7:24" ht="15" customHeight="1">
      <c r="G11969"/>
      <c r="I11969"/>
      <c r="N11969"/>
      <c r="O11969" s="24"/>
      <c r="P11969"/>
      <c r="Q11969" s="24"/>
      <c r="R11969"/>
      <c r="S11969"/>
      <c r="T11969"/>
      <c r="U11969"/>
      <c r="X11969" s="60"/>
    </row>
    <row r="11970" spans="7:24" ht="15" customHeight="1">
      <c r="G11970"/>
      <c r="I11970"/>
      <c r="N11970"/>
      <c r="O11970" s="24"/>
      <c r="P11970"/>
      <c r="Q11970" s="24"/>
      <c r="R11970"/>
      <c r="S11970"/>
      <c r="T11970"/>
      <c r="U11970"/>
      <c r="X11970" s="60"/>
    </row>
    <row r="11971" spans="7:24" ht="15" customHeight="1">
      <c r="G11971"/>
      <c r="I11971"/>
      <c r="N11971"/>
      <c r="O11971" s="24"/>
      <c r="P11971"/>
      <c r="Q11971" s="24"/>
      <c r="R11971"/>
      <c r="S11971"/>
      <c r="T11971"/>
      <c r="U11971"/>
      <c r="X11971" s="60"/>
    </row>
    <row r="11972" spans="7:24" ht="15" customHeight="1">
      <c r="G11972"/>
      <c r="I11972"/>
      <c r="N11972"/>
      <c r="O11972" s="24"/>
      <c r="P11972"/>
      <c r="Q11972" s="24"/>
      <c r="R11972"/>
      <c r="S11972"/>
      <c r="T11972"/>
      <c r="U11972"/>
      <c r="X11972" s="60"/>
    </row>
    <row r="11973" spans="7:24" ht="15" customHeight="1">
      <c r="G11973"/>
      <c r="I11973"/>
      <c r="N11973"/>
      <c r="O11973" s="24"/>
      <c r="P11973"/>
      <c r="Q11973" s="24"/>
      <c r="R11973"/>
      <c r="S11973"/>
      <c r="T11973"/>
      <c r="U11973"/>
      <c r="X11973" s="60"/>
    </row>
    <row r="11974" spans="7:24" ht="15" customHeight="1">
      <c r="G11974"/>
      <c r="I11974"/>
      <c r="N11974"/>
      <c r="O11974" s="24"/>
      <c r="P11974"/>
      <c r="Q11974" s="24"/>
      <c r="R11974"/>
      <c r="S11974"/>
      <c r="T11974"/>
      <c r="U11974"/>
      <c r="X11974" s="60"/>
    </row>
    <row r="11975" spans="7:24" ht="15" customHeight="1">
      <c r="G11975"/>
      <c r="I11975"/>
      <c r="N11975"/>
      <c r="O11975" s="24"/>
      <c r="P11975"/>
      <c r="Q11975" s="24"/>
      <c r="R11975"/>
      <c r="S11975"/>
      <c r="T11975"/>
      <c r="U11975"/>
      <c r="X11975" s="60"/>
    </row>
    <row r="11976" spans="7:24" ht="15" customHeight="1">
      <c r="G11976"/>
      <c r="I11976"/>
      <c r="N11976"/>
      <c r="O11976" s="24"/>
      <c r="P11976"/>
      <c r="Q11976" s="24"/>
      <c r="R11976"/>
      <c r="S11976"/>
      <c r="T11976"/>
      <c r="U11976"/>
      <c r="X11976" s="60"/>
    </row>
    <row r="11977" spans="7:24" ht="15" customHeight="1">
      <c r="G11977"/>
      <c r="I11977"/>
      <c r="N11977"/>
      <c r="O11977" s="24"/>
      <c r="P11977"/>
      <c r="Q11977" s="24"/>
      <c r="R11977"/>
      <c r="S11977"/>
      <c r="T11977"/>
      <c r="U11977"/>
      <c r="X11977" s="60"/>
    </row>
    <row r="11978" spans="7:24" ht="15" customHeight="1">
      <c r="G11978"/>
      <c r="I11978"/>
      <c r="N11978"/>
      <c r="O11978" s="24"/>
      <c r="P11978"/>
      <c r="Q11978" s="24"/>
      <c r="R11978"/>
      <c r="S11978"/>
      <c r="T11978"/>
      <c r="U11978"/>
      <c r="X11978" s="60"/>
    </row>
    <row r="11979" spans="7:24" ht="15" customHeight="1">
      <c r="G11979"/>
      <c r="I11979"/>
      <c r="N11979"/>
      <c r="O11979" s="24"/>
      <c r="P11979"/>
      <c r="Q11979" s="24"/>
      <c r="R11979"/>
      <c r="S11979"/>
      <c r="T11979"/>
      <c r="U11979"/>
      <c r="X11979" s="60"/>
    </row>
    <row r="11980" spans="7:24" ht="15" customHeight="1">
      <c r="G11980"/>
      <c r="I11980"/>
      <c r="N11980"/>
      <c r="O11980" s="24"/>
      <c r="P11980"/>
      <c r="Q11980" s="24"/>
      <c r="R11980"/>
      <c r="S11980"/>
      <c r="T11980"/>
      <c r="U11980"/>
      <c r="X11980" s="60"/>
    </row>
    <row r="11981" spans="7:24" ht="15" customHeight="1">
      <c r="G11981"/>
      <c r="I11981"/>
      <c r="N11981"/>
      <c r="O11981" s="24"/>
      <c r="P11981"/>
      <c r="Q11981" s="24"/>
      <c r="R11981"/>
      <c r="S11981"/>
      <c r="T11981"/>
      <c r="U11981"/>
      <c r="X11981" s="60"/>
    </row>
    <row r="11982" spans="7:24" ht="15" customHeight="1">
      <c r="G11982"/>
      <c r="I11982"/>
      <c r="N11982"/>
      <c r="O11982" s="24"/>
      <c r="P11982"/>
      <c r="Q11982" s="24"/>
      <c r="R11982"/>
      <c r="S11982"/>
      <c r="T11982"/>
      <c r="U11982"/>
      <c r="X11982" s="60"/>
    </row>
    <row r="11983" spans="7:24" ht="15" customHeight="1">
      <c r="G11983"/>
      <c r="I11983"/>
      <c r="N11983"/>
      <c r="O11983" s="24"/>
      <c r="P11983"/>
      <c r="Q11983" s="24"/>
      <c r="R11983"/>
      <c r="S11983"/>
      <c r="T11983"/>
      <c r="U11983"/>
      <c r="X11983" s="60"/>
    </row>
    <row r="11984" spans="7:24" ht="15" customHeight="1">
      <c r="G11984"/>
      <c r="I11984"/>
      <c r="N11984"/>
      <c r="O11984" s="24"/>
      <c r="P11984"/>
      <c r="Q11984" s="24"/>
      <c r="R11984"/>
      <c r="S11984"/>
      <c r="T11984"/>
      <c r="U11984"/>
      <c r="X11984" s="60"/>
    </row>
    <row r="11985" spans="7:24" ht="15" customHeight="1">
      <c r="G11985"/>
      <c r="I11985"/>
      <c r="N11985"/>
      <c r="O11985" s="24"/>
      <c r="P11985"/>
      <c r="Q11985" s="24"/>
      <c r="R11985"/>
      <c r="S11985"/>
      <c r="T11985"/>
      <c r="U11985"/>
      <c r="X11985" s="60"/>
    </row>
    <row r="11986" spans="7:24" ht="15" customHeight="1">
      <c r="G11986"/>
      <c r="I11986"/>
      <c r="N11986"/>
      <c r="O11986" s="24"/>
      <c r="P11986"/>
      <c r="Q11986" s="24"/>
      <c r="R11986"/>
      <c r="S11986"/>
      <c r="T11986"/>
      <c r="U11986"/>
      <c r="X11986" s="60"/>
    </row>
    <row r="11987" spans="7:24" ht="15" customHeight="1">
      <c r="G11987"/>
      <c r="I11987"/>
      <c r="N11987"/>
      <c r="O11987" s="24"/>
      <c r="P11987"/>
      <c r="Q11987" s="24"/>
      <c r="R11987"/>
      <c r="S11987"/>
      <c r="T11987"/>
      <c r="U11987"/>
      <c r="X11987" s="60"/>
    </row>
    <row r="11988" spans="7:24" ht="15" customHeight="1">
      <c r="G11988"/>
      <c r="I11988"/>
      <c r="N11988"/>
      <c r="O11988" s="24"/>
      <c r="P11988"/>
      <c r="Q11988" s="24"/>
      <c r="R11988"/>
      <c r="S11988"/>
      <c r="T11988"/>
      <c r="U11988"/>
      <c r="X11988" s="60"/>
    </row>
    <row r="11989" spans="7:24" ht="15" customHeight="1">
      <c r="G11989"/>
      <c r="I11989"/>
      <c r="N11989"/>
      <c r="O11989" s="24"/>
      <c r="P11989"/>
      <c r="Q11989" s="24"/>
      <c r="R11989"/>
      <c r="S11989"/>
      <c r="T11989"/>
      <c r="U11989"/>
      <c r="X11989" s="60"/>
    </row>
    <row r="11990" spans="7:24" ht="15" customHeight="1">
      <c r="G11990"/>
      <c r="I11990"/>
      <c r="N11990"/>
      <c r="O11990" s="24"/>
      <c r="P11990"/>
      <c r="Q11990" s="24"/>
      <c r="R11990"/>
      <c r="S11990"/>
      <c r="T11990"/>
      <c r="U11990"/>
      <c r="X11990" s="60"/>
    </row>
    <row r="11991" spans="7:24" ht="15" customHeight="1">
      <c r="G11991"/>
      <c r="I11991"/>
      <c r="N11991"/>
      <c r="O11991" s="24"/>
      <c r="P11991"/>
      <c r="Q11991" s="24"/>
      <c r="R11991"/>
      <c r="S11991"/>
      <c r="T11991"/>
      <c r="U11991"/>
      <c r="X11991" s="60"/>
    </row>
    <row r="11992" spans="7:24" ht="15" customHeight="1">
      <c r="G11992"/>
      <c r="I11992"/>
      <c r="N11992"/>
      <c r="O11992" s="24"/>
      <c r="P11992"/>
      <c r="Q11992" s="24"/>
      <c r="R11992"/>
      <c r="S11992"/>
      <c r="T11992"/>
      <c r="U11992"/>
      <c r="X11992" s="60"/>
    </row>
    <row r="11993" spans="7:24" ht="15" customHeight="1">
      <c r="G11993"/>
      <c r="I11993"/>
      <c r="N11993"/>
      <c r="O11993" s="24"/>
      <c r="P11993"/>
      <c r="Q11993" s="24"/>
      <c r="R11993"/>
      <c r="S11993"/>
      <c r="T11993"/>
      <c r="U11993"/>
      <c r="X11993" s="60"/>
    </row>
    <row r="11994" spans="7:24" ht="15" customHeight="1">
      <c r="G11994"/>
      <c r="I11994"/>
      <c r="N11994"/>
      <c r="O11994" s="24"/>
      <c r="P11994"/>
      <c r="Q11994" s="24"/>
      <c r="R11994"/>
      <c r="S11994"/>
      <c r="T11994"/>
      <c r="U11994"/>
      <c r="X11994" s="60"/>
    </row>
    <row r="11995" spans="7:24" ht="15" customHeight="1">
      <c r="G11995"/>
      <c r="I11995"/>
      <c r="N11995"/>
      <c r="O11995" s="24"/>
      <c r="P11995"/>
      <c r="Q11995" s="24"/>
      <c r="R11995"/>
      <c r="S11995"/>
      <c r="T11995"/>
      <c r="U11995"/>
      <c r="X11995" s="60"/>
    </row>
    <row r="11996" spans="7:24" ht="15" customHeight="1">
      <c r="G11996"/>
      <c r="I11996"/>
      <c r="N11996"/>
      <c r="O11996" s="24"/>
      <c r="P11996"/>
      <c r="Q11996" s="24"/>
      <c r="R11996"/>
      <c r="S11996"/>
      <c r="T11996"/>
      <c r="U11996"/>
      <c r="X11996" s="60"/>
    </row>
    <row r="11997" spans="7:24" ht="15" customHeight="1">
      <c r="G11997"/>
      <c r="I11997"/>
      <c r="N11997"/>
      <c r="O11997" s="24"/>
      <c r="P11997"/>
      <c r="Q11997" s="24"/>
      <c r="R11997"/>
      <c r="S11997"/>
      <c r="T11997"/>
      <c r="U11997"/>
      <c r="X11997" s="60"/>
    </row>
    <row r="11998" spans="7:24" ht="15" customHeight="1">
      <c r="G11998"/>
      <c r="I11998"/>
      <c r="N11998"/>
      <c r="O11998" s="24"/>
      <c r="P11998"/>
      <c r="Q11998" s="24"/>
      <c r="R11998"/>
      <c r="S11998"/>
      <c r="T11998"/>
      <c r="U11998"/>
      <c r="X11998" s="60"/>
    </row>
    <row r="11999" spans="7:24" ht="15" customHeight="1">
      <c r="G11999"/>
      <c r="I11999"/>
      <c r="N11999"/>
      <c r="O11999" s="24"/>
      <c r="P11999"/>
      <c r="Q11999" s="24"/>
      <c r="R11999"/>
      <c r="S11999"/>
      <c r="T11999"/>
      <c r="U11999"/>
      <c r="X11999" s="60"/>
    </row>
    <row r="12000" spans="7:24" ht="15" customHeight="1">
      <c r="G12000"/>
      <c r="I12000"/>
      <c r="N12000"/>
      <c r="O12000" s="24"/>
      <c r="P12000"/>
      <c r="Q12000" s="24"/>
      <c r="R12000"/>
      <c r="S12000"/>
      <c r="T12000"/>
      <c r="U12000"/>
      <c r="X12000" s="60"/>
    </row>
    <row r="12001" spans="7:24" ht="15" customHeight="1">
      <c r="G12001"/>
      <c r="I12001"/>
      <c r="N12001"/>
      <c r="O12001" s="24"/>
      <c r="P12001"/>
      <c r="Q12001" s="24"/>
      <c r="R12001"/>
      <c r="S12001"/>
      <c r="T12001"/>
      <c r="U12001"/>
      <c r="X12001" s="60"/>
    </row>
    <row r="12002" spans="7:24" ht="15" customHeight="1">
      <c r="G12002"/>
      <c r="I12002"/>
      <c r="N12002"/>
      <c r="O12002" s="24"/>
      <c r="P12002"/>
      <c r="Q12002" s="24"/>
      <c r="R12002"/>
      <c r="S12002"/>
      <c r="T12002"/>
      <c r="U12002"/>
      <c r="X12002" s="60"/>
    </row>
    <row r="12003" spans="7:24" ht="15" customHeight="1">
      <c r="G12003"/>
      <c r="I12003"/>
      <c r="N12003"/>
      <c r="O12003" s="24"/>
      <c r="P12003"/>
      <c r="Q12003" s="24"/>
      <c r="R12003"/>
      <c r="S12003"/>
      <c r="T12003"/>
      <c r="U12003"/>
      <c r="X12003" s="60"/>
    </row>
    <row r="12004" spans="7:24" ht="15" customHeight="1">
      <c r="G12004"/>
      <c r="I12004"/>
      <c r="N12004"/>
      <c r="O12004" s="24"/>
      <c r="P12004"/>
      <c r="Q12004" s="24"/>
      <c r="R12004"/>
      <c r="S12004"/>
      <c r="T12004"/>
      <c r="U12004"/>
      <c r="X12004" s="60"/>
    </row>
    <row r="12005" spans="7:24" ht="15" customHeight="1">
      <c r="G12005"/>
      <c r="I12005"/>
      <c r="N12005"/>
      <c r="O12005" s="24"/>
      <c r="P12005"/>
      <c r="Q12005" s="24"/>
      <c r="R12005"/>
      <c r="S12005"/>
      <c r="T12005"/>
      <c r="U12005"/>
      <c r="X12005" s="60"/>
    </row>
    <row r="12006" spans="7:24" ht="15" customHeight="1">
      <c r="G12006"/>
      <c r="I12006"/>
      <c r="N12006"/>
      <c r="O12006" s="24"/>
      <c r="P12006"/>
      <c r="Q12006" s="24"/>
      <c r="R12006"/>
      <c r="S12006"/>
      <c r="T12006"/>
      <c r="U12006"/>
      <c r="X12006" s="60"/>
    </row>
    <row r="12007" spans="7:24" ht="15" customHeight="1">
      <c r="G12007"/>
      <c r="I12007"/>
      <c r="N12007"/>
      <c r="O12007" s="24"/>
      <c r="P12007"/>
      <c r="Q12007" s="24"/>
      <c r="R12007"/>
      <c r="S12007"/>
      <c r="T12007"/>
      <c r="U12007"/>
      <c r="X12007" s="60"/>
    </row>
    <row r="12008" spans="7:24" ht="15" customHeight="1">
      <c r="G12008"/>
      <c r="I12008"/>
      <c r="N12008"/>
      <c r="O12008" s="24"/>
      <c r="P12008"/>
      <c r="Q12008" s="24"/>
      <c r="R12008"/>
      <c r="S12008"/>
      <c r="T12008"/>
      <c r="U12008"/>
      <c r="X12008" s="60"/>
    </row>
    <row r="12009" spans="7:24" ht="15" customHeight="1">
      <c r="G12009"/>
      <c r="I12009"/>
      <c r="N12009"/>
      <c r="O12009" s="24"/>
      <c r="P12009"/>
      <c r="Q12009" s="24"/>
      <c r="R12009"/>
      <c r="S12009"/>
      <c r="T12009"/>
      <c r="U12009"/>
      <c r="X12009" s="60"/>
    </row>
    <row r="12010" spans="7:24" ht="15" customHeight="1">
      <c r="G12010"/>
      <c r="I12010"/>
      <c r="N12010"/>
      <c r="O12010" s="24"/>
      <c r="P12010"/>
      <c r="Q12010" s="24"/>
      <c r="R12010"/>
      <c r="S12010"/>
      <c r="T12010"/>
      <c r="U12010"/>
      <c r="X12010" s="60"/>
    </row>
    <row r="12011" spans="7:24" ht="15" customHeight="1">
      <c r="G12011"/>
      <c r="I12011"/>
      <c r="N12011"/>
      <c r="O12011" s="24"/>
      <c r="P12011"/>
      <c r="Q12011" s="24"/>
      <c r="R12011"/>
      <c r="S12011"/>
      <c r="T12011"/>
      <c r="U12011"/>
      <c r="X12011" s="60"/>
    </row>
    <row r="12012" spans="7:24" ht="15" customHeight="1">
      <c r="G12012"/>
      <c r="I12012"/>
      <c r="N12012"/>
      <c r="O12012" s="24"/>
      <c r="P12012"/>
      <c r="Q12012" s="24"/>
      <c r="R12012"/>
      <c r="S12012"/>
      <c r="T12012"/>
      <c r="U12012"/>
      <c r="X12012" s="60"/>
    </row>
    <row r="12013" spans="7:24" ht="15" customHeight="1">
      <c r="G12013"/>
      <c r="I12013"/>
      <c r="N12013"/>
      <c r="O12013" s="24"/>
      <c r="P12013"/>
      <c r="Q12013" s="24"/>
      <c r="R12013"/>
      <c r="S12013"/>
      <c r="T12013"/>
      <c r="U12013"/>
      <c r="X12013" s="60"/>
    </row>
    <row r="12014" spans="7:24" ht="15" customHeight="1">
      <c r="G12014"/>
      <c r="I12014"/>
      <c r="N12014"/>
      <c r="O12014" s="24"/>
      <c r="P12014"/>
      <c r="Q12014" s="24"/>
      <c r="R12014"/>
      <c r="S12014"/>
      <c r="T12014"/>
      <c r="U12014"/>
      <c r="X12014" s="60"/>
    </row>
    <row r="12015" spans="7:24" ht="15" customHeight="1">
      <c r="G12015"/>
      <c r="I12015"/>
      <c r="N12015"/>
      <c r="O12015" s="24"/>
      <c r="P12015"/>
      <c r="Q12015" s="24"/>
      <c r="R12015"/>
      <c r="S12015"/>
      <c r="T12015"/>
      <c r="U12015"/>
      <c r="X12015" s="60"/>
    </row>
    <row r="12016" spans="7:24" ht="15" customHeight="1">
      <c r="G12016"/>
      <c r="I12016"/>
      <c r="N12016"/>
      <c r="O12016" s="24"/>
      <c r="P12016"/>
      <c r="Q12016" s="24"/>
      <c r="R12016"/>
      <c r="S12016"/>
      <c r="T12016"/>
      <c r="U12016"/>
      <c r="X12016" s="60"/>
    </row>
    <row r="12017" spans="7:24" ht="15" customHeight="1">
      <c r="G12017"/>
      <c r="I12017"/>
      <c r="N12017"/>
      <c r="O12017" s="24"/>
      <c r="P12017"/>
      <c r="Q12017" s="24"/>
      <c r="R12017"/>
      <c r="S12017"/>
      <c r="T12017"/>
      <c r="U12017"/>
      <c r="X12017" s="60"/>
    </row>
    <row r="12018" spans="7:24" ht="15" customHeight="1">
      <c r="G12018"/>
      <c r="I12018"/>
      <c r="N12018"/>
      <c r="O12018" s="24"/>
      <c r="P12018"/>
      <c r="Q12018" s="24"/>
      <c r="R12018"/>
      <c r="S12018"/>
      <c r="T12018"/>
      <c r="U12018"/>
      <c r="X12018" s="60"/>
    </row>
    <row r="12019" spans="7:24" ht="15" customHeight="1">
      <c r="G12019"/>
      <c r="I12019"/>
      <c r="N12019"/>
      <c r="O12019" s="24"/>
      <c r="P12019"/>
      <c r="Q12019" s="24"/>
      <c r="R12019"/>
      <c r="S12019"/>
      <c r="T12019"/>
      <c r="U12019"/>
      <c r="X12019" s="60"/>
    </row>
    <row r="12020" spans="7:24" ht="15" customHeight="1">
      <c r="G12020"/>
      <c r="I12020"/>
      <c r="N12020"/>
      <c r="O12020" s="24"/>
      <c r="P12020"/>
      <c r="Q12020" s="24"/>
      <c r="R12020"/>
      <c r="S12020"/>
      <c r="T12020"/>
      <c r="U12020"/>
      <c r="X12020" s="60"/>
    </row>
    <row r="12021" spans="7:24" ht="15" customHeight="1">
      <c r="G12021"/>
      <c r="I12021"/>
      <c r="N12021"/>
      <c r="O12021" s="24"/>
      <c r="P12021"/>
      <c r="Q12021" s="24"/>
      <c r="R12021"/>
      <c r="S12021"/>
      <c r="T12021"/>
      <c r="U12021"/>
      <c r="X12021" s="60"/>
    </row>
    <row r="12022" spans="7:24" ht="15" customHeight="1">
      <c r="G12022"/>
      <c r="I12022"/>
      <c r="N12022"/>
      <c r="O12022" s="24"/>
      <c r="P12022"/>
      <c r="Q12022" s="24"/>
      <c r="R12022"/>
      <c r="S12022"/>
      <c r="T12022"/>
      <c r="U12022"/>
      <c r="X12022" s="60"/>
    </row>
    <row r="12023" spans="7:24" ht="15" customHeight="1">
      <c r="G12023"/>
      <c r="I12023"/>
      <c r="N12023"/>
      <c r="O12023" s="24"/>
      <c r="P12023"/>
      <c r="Q12023" s="24"/>
      <c r="R12023"/>
      <c r="S12023"/>
      <c r="T12023"/>
      <c r="U12023"/>
      <c r="X12023" s="60"/>
    </row>
    <row r="12024" spans="7:24" ht="15" customHeight="1">
      <c r="G12024"/>
      <c r="I12024"/>
      <c r="N12024"/>
      <c r="O12024" s="24"/>
      <c r="P12024"/>
      <c r="Q12024" s="24"/>
      <c r="R12024"/>
      <c r="S12024"/>
      <c r="T12024"/>
      <c r="U12024"/>
      <c r="X12024" s="60"/>
    </row>
    <row r="12025" spans="7:24" ht="15" customHeight="1">
      <c r="G12025"/>
      <c r="I12025"/>
      <c r="N12025"/>
      <c r="O12025" s="24"/>
      <c r="P12025"/>
      <c r="Q12025" s="24"/>
      <c r="R12025"/>
      <c r="S12025"/>
      <c r="T12025"/>
      <c r="U12025"/>
      <c r="X12025" s="60"/>
    </row>
    <row r="12026" spans="7:24" ht="15" customHeight="1">
      <c r="G12026"/>
      <c r="I12026"/>
      <c r="N12026"/>
      <c r="O12026" s="24"/>
      <c r="P12026"/>
      <c r="Q12026" s="24"/>
      <c r="R12026"/>
      <c r="S12026"/>
      <c r="T12026"/>
      <c r="U12026"/>
      <c r="X12026" s="60"/>
    </row>
    <row r="12027" spans="7:24" ht="15" customHeight="1">
      <c r="G12027"/>
      <c r="I12027"/>
      <c r="N12027"/>
      <c r="O12027" s="24"/>
      <c r="P12027"/>
      <c r="Q12027" s="24"/>
      <c r="R12027"/>
      <c r="S12027"/>
      <c r="T12027"/>
      <c r="U12027"/>
      <c r="X12027" s="60"/>
    </row>
    <row r="12028" spans="7:24" ht="15" customHeight="1">
      <c r="G12028"/>
      <c r="I12028"/>
      <c r="N12028"/>
      <c r="O12028" s="24"/>
      <c r="P12028"/>
      <c r="Q12028" s="24"/>
      <c r="R12028"/>
      <c r="S12028"/>
      <c r="T12028"/>
      <c r="U12028"/>
      <c r="X12028" s="60"/>
    </row>
    <row r="12029" spans="7:24" ht="15" customHeight="1">
      <c r="G12029"/>
      <c r="I12029"/>
      <c r="N12029"/>
      <c r="O12029" s="24"/>
      <c r="P12029"/>
      <c r="Q12029" s="24"/>
      <c r="R12029"/>
      <c r="S12029"/>
      <c r="T12029"/>
      <c r="U12029"/>
      <c r="X12029" s="60"/>
    </row>
    <row r="12030" spans="7:24" ht="15" customHeight="1">
      <c r="G12030"/>
      <c r="I12030"/>
      <c r="N12030"/>
      <c r="O12030" s="24"/>
      <c r="P12030"/>
      <c r="Q12030" s="24"/>
      <c r="R12030"/>
      <c r="S12030"/>
      <c r="T12030"/>
      <c r="U12030"/>
      <c r="X12030" s="60"/>
    </row>
    <row r="12031" spans="7:24" ht="15" customHeight="1">
      <c r="G12031"/>
      <c r="I12031"/>
      <c r="N12031"/>
      <c r="O12031" s="24"/>
      <c r="P12031"/>
      <c r="Q12031" s="24"/>
      <c r="R12031"/>
      <c r="S12031"/>
      <c r="T12031"/>
      <c r="U12031"/>
      <c r="X12031" s="60"/>
    </row>
    <row r="12032" spans="7:24" ht="15" customHeight="1">
      <c r="G12032"/>
      <c r="I12032"/>
      <c r="N12032"/>
      <c r="O12032" s="24"/>
      <c r="P12032"/>
      <c r="Q12032" s="24"/>
      <c r="R12032"/>
      <c r="S12032"/>
      <c r="T12032"/>
      <c r="U12032"/>
      <c r="X12032" s="60"/>
    </row>
    <row r="12033" spans="7:24" ht="15" customHeight="1">
      <c r="G12033"/>
      <c r="I12033"/>
      <c r="N12033"/>
      <c r="O12033" s="24"/>
      <c r="P12033"/>
      <c r="Q12033" s="24"/>
      <c r="R12033"/>
      <c r="S12033"/>
      <c r="T12033"/>
      <c r="U12033"/>
      <c r="X12033" s="60"/>
    </row>
    <row r="12034" spans="7:24" ht="15" customHeight="1">
      <c r="G12034"/>
      <c r="I12034"/>
      <c r="N12034"/>
      <c r="O12034" s="24"/>
      <c r="P12034"/>
      <c r="Q12034" s="24"/>
      <c r="R12034"/>
      <c r="S12034"/>
      <c r="T12034"/>
      <c r="U12034"/>
      <c r="X12034" s="60"/>
    </row>
    <row r="12035" spans="7:24" ht="15" customHeight="1">
      <c r="G12035"/>
      <c r="I12035"/>
      <c r="N12035"/>
      <c r="O12035" s="24"/>
      <c r="P12035"/>
      <c r="Q12035" s="24"/>
      <c r="R12035"/>
      <c r="S12035"/>
      <c r="T12035"/>
      <c r="U12035"/>
      <c r="X12035" s="60"/>
    </row>
    <row r="12036" spans="7:24" ht="15" customHeight="1">
      <c r="G12036"/>
      <c r="I12036"/>
      <c r="N12036"/>
      <c r="O12036" s="24"/>
      <c r="P12036"/>
      <c r="Q12036" s="24"/>
      <c r="R12036"/>
      <c r="S12036"/>
      <c r="T12036"/>
      <c r="U12036"/>
      <c r="X12036" s="60"/>
    </row>
    <row r="12037" spans="7:24" ht="15" customHeight="1">
      <c r="G12037"/>
      <c r="I12037"/>
      <c r="N12037"/>
      <c r="O12037" s="24"/>
      <c r="P12037"/>
      <c r="Q12037" s="24"/>
      <c r="R12037"/>
      <c r="S12037"/>
      <c r="T12037"/>
      <c r="U12037"/>
      <c r="X12037" s="60"/>
    </row>
    <row r="12038" spans="7:24" ht="15" customHeight="1">
      <c r="G12038"/>
      <c r="I12038"/>
      <c r="N12038"/>
      <c r="O12038" s="24"/>
      <c r="P12038"/>
      <c r="Q12038" s="24"/>
      <c r="R12038"/>
      <c r="S12038"/>
      <c r="T12038"/>
      <c r="U12038"/>
      <c r="X12038" s="60"/>
    </row>
    <row r="12039" spans="7:24" ht="15" customHeight="1">
      <c r="G12039"/>
      <c r="I12039"/>
      <c r="N12039"/>
      <c r="O12039" s="24"/>
      <c r="P12039"/>
      <c r="Q12039" s="24"/>
      <c r="R12039"/>
      <c r="S12039"/>
      <c r="T12039"/>
      <c r="U12039"/>
      <c r="X12039" s="60"/>
    </row>
    <row r="12040" spans="7:24" ht="15" customHeight="1">
      <c r="G12040"/>
      <c r="I12040"/>
      <c r="N12040"/>
      <c r="O12040" s="24"/>
      <c r="P12040"/>
      <c r="Q12040" s="24"/>
      <c r="R12040"/>
      <c r="S12040"/>
      <c r="T12040"/>
      <c r="U12040"/>
      <c r="X12040" s="60"/>
    </row>
    <row r="12041" spans="7:24" ht="15" customHeight="1">
      <c r="G12041"/>
      <c r="I12041"/>
      <c r="N12041"/>
      <c r="O12041" s="24"/>
      <c r="P12041"/>
      <c r="Q12041" s="24"/>
      <c r="R12041"/>
      <c r="S12041"/>
      <c r="T12041"/>
      <c r="U12041"/>
      <c r="X12041" s="60"/>
    </row>
    <row r="12042" spans="7:24" ht="15" customHeight="1">
      <c r="G12042"/>
      <c r="I12042"/>
      <c r="N12042"/>
      <c r="O12042" s="24"/>
      <c r="P12042"/>
      <c r="Q12042" s="24"/>
      <c r="R12042"/>
      <c r="S12042"/>
      <c r="T12042"/>
      <c r="U12042"/>
      <c r="X12042" s="60"/>
    </row>
    <row r="12043" spans="7:24" ht="15" customHeight="1">
      <c r="G12043"/>
      <c r="I12043"/>
      <c r="N12043"/>
      <c r="O12043" s="24"/>
      <c r="P12043"/>
      <c r="Q12043" s="24"/>
      <c r="R12043"/>
      <c r="S12043"/>
      <c r="T12043"/>
      <c r="U12043"/>
      <c r="X12043" s="60"/>
    </row>
    <row r="12044" spans="7:24" ht="15" customHeight="1">
      <c r="G12044"/>
      <c r="I12044"/>
      <c r="N12044"/>
      <c r="O12044" s="24"/>
      <c r="P12044"/>
      <c r="Q12044" s="24"/>
      <c r="R12044"/>
      <c r="S12044"/>
      <c r="T12044"/>
      <c r="U12044"/>
      <c r="X12044" s="60"/>
    </row>
    <row r="12045" spans="7:24" ht="15" customHeight="1">
      <c r="G12045"/>
      <c r="I12045"/>
      <c r="N12045"/>
      <c r="O12045" s="24"/>
      <c r="P12045"/>
      <c r="Q12045" s="24"/>
      <c r="R12045"/>
      <c r="S12045"/>
      <c r="T12045"/>
      <c r="U12045"/>
      <c r="X12045" s="60"/>
    </row>
    <row r="12046" spans="7:24" ht="15" customHeight="1">
      <c r="G12046"/>
      <c r="I12046"/>
      <c r="N12046"/>
      <c r="O12046" s="24"/>
      <c r="P12046"/>
      <c r="Q12046" s="24"/>
      <c r="R12046"/>
      <c r="S12046"/>
      <c r="T12046"/>
      <c r="U12046"/>
      <c r="X12046" s="60"/>
    </row>
    <row r="12047" spans="7:24" ht="15" customHeight="1">
      <c r="G12047"/>
      <c r="I12047"/>
      <c r="N12047"/>
      <c r="O12047" s="24"/>
      <c r="P12047"/>
      <c r="Q12047" s="24"/>
      <c r="R12047"/>
      <c r="S12047"/>
      <c r="T12047"/>
      <c r="U12047"/>
      <c r="X12047" s="60"/>
    </row>
    <row r="12048" spans="7:24" ht="15" customHeight="1">
      <c r="G12048"/>
      <c r="I12048"/>
      <c r="N12048"/>
      <c r="O12048" s="24"/>
      <c r="P12048"/>
      <c r="Q12048" s="24"/>
      <c r="R12048"/>
      <c r="S12048"/>
      <c r="T12048"/>
      <c r="U12048"/>
      <c r="X12048" s="60"/>
    </row>
    <row r="12049" spans="7:24" ht="15" customHeight="1">
      <c r="G12049"/>
      <c r="I12049"/>
      <c r="N12049"/>
      <c r="O12049" s="24"/>
      <c r="P12049"/>
      <c r="Q12049" s="24"/>
      <c r="R12049"/>
      <c r="S12049"/>
      <c r="T12049"/>
      <c r="U12049"/>
      <c r="X12049" s="60"/>
    </row>
    <row r="12050" spans="7:24" ht="15" customHeight="1">
      <c r="G12050"/>
      <c r="I12050"/>
      <c r="N12050"/>
      <c r="O12050" s="24"/>
      <c r="P12050"/>
      <c r="Q12050" s="24"/>
      <c r="R12050"/>
      <c r="S12050"/>
      <c r="T12050"/>
      <c r="U12050"/>
      <c r="X12050" s="60"/>
    </row>
    <row r="12051" spans="7:24" ht="15" customHeight="1">
      <c r="G12051"/>
      <c r="I12051"/>
      <c r="N12051"/>
      <c r="O12051" s="24"/>
      <c r="P12051"/>
      <c r="Q12051" s="24"/>
      <c r="R12051"/>
      <c r="S12051"/>
      <c r="T12051"/>
      <c r="U12051"/>
      <c r="X12051" s="60"/>
    </row>
    <row r="12052" spans="7:24" ht="15" customHeight="1">
      <c r="G12052"/>
      <c r="I12052"/>
      <c r="N12052"/>
      <c r="O12052" s="24"/>
      <c r="P12052"/>
      <c r="Q12052" s="24"/>
      <c r="R12052"/>
      <c r="S12052"/>
      <c r="T12052"/>
      <c r="U12052"/>
      <c r="X12052" s="60"/>
    </row>
    <row r="12053" spans="7:24" ht="15" customHeight="1">
      <c r="G12053"/>
      <c r="I12053"/>
      <c r="N12053"/>
      <c r="O12053" s="24"/>
      <c r="P12053"/>
      <c r="Q12053" s="24"/>
      <c r="R12053"/>
      <c r="S12053"/>
      <c r="T12053"/>
      <c r="U12053"/>
      <c r="X12053" s="60"/>
    </row>
    <row r="12054" spans="7:24" ht="15" customHeight="1">
      <c r="G12054"/>
      <c r="I12054"/>
      <c r="N12054"/>
      <c r="O12054" s="24"/>
      <c r="P12054"/>
      <c r="Q12054" s="24"/>
      <c r="R12054"/>
      <c r="S12054"/>
      <c r="T12054"/>
      <c r="U12054"/>
      <c r="X12054" s="60"/>
    </row>
    <row r="12055" spans="7:24" ht="15" customHeight="1">
      <c r="G12055"/>
      <c r="I12055"/>
      <c r="N12055"/>
      <c r="O12055" s="24"/>
      <c r="P12055"/>
      <c r="Q12055" s="24"/>
      <c r="R12055"/>
      <c r="S12055"/>
      <c r="T12055"/>
      <c r="U12055"/>
      <c r="X12055" s="60"/>
    </row>
    <row r="12056" spans="7:24" ht="15" customHeight="1">
      <c r="G12056"/>
      <c r="I12056"/>
      <c r="N12056"/>
      <c r="O12056" s="24"/>
      <c r="P12056"/>
      <c r="Q12056" s="24"/>
      <c r="R12056"/>
      <c r="S12056"/>
      <c r="T12056"/>
      <c r="U12056"/>
      <c r="X12056" s="60"/>
    </row>
    <row r="12057" spans="7:24" ht="15" customHeight="1">
      <c r="G12057"/>
      <c r="I12057"/>
      <c r="N12057"/>
      <c r="O12057" s="24"/>
      <c r="P12057"/>
      <c r="Q12057" s="24"/>
      <c r="R12057"/>
      <c r="S12057"/>
      <c r="T12057"/>
      <c r="U12057"/>
      <c r="X12057" s="60"/>
    </row>
    <row r="12058" spans="7:24" ht="15" customHeight="1">
      <c r="G12058"/>
      <c r="I12058"/>
      <c r="N12058"/>
      <c r="O12058" s="24"/>
      <c r="P12058"/>
      <c r="Q12058" s="24"/>
      <c r="R12058"/>
      <c r="S12058"/>
      <c r="T12058"/>
      <c r="U12058"/>
      <c r="X12058" s="60"/>
    </row>
    <row r="12059" spans="7:24" ht="15" customHeight="1">
      <c r="G12059"/>
      <c r="I12059"/>
      <c r="N12059"/>
      <c r="O12059" s="24"/>
      <c r="P12059"/>
      <c r="Q12059" s="24"/>
      <c r="R12059"/>
      <c r="S12059"/>
      <c r="T12059"/>
      <c r="U12059"/>
      <c r="X12059" s="60"/>
    </row>
    <row r="12060" spans="7:24" ht="15" customHeight="1">
      <c r="G12060"/>
      <c r="I12060"/>
      <c r="N12060"/>
      <c r="O12060" s="24"/>
      <c r="P12060"/>
      <c r="Q12060" s="24"/>
      <c r="R12060"/>
      <c r="S12060"/>
      <c r="T12060"/>
      <c r="U12060"/>
      <c r="X12060" s="60"/>
    </row>
    <row r="12061" spans="7:24" ht="15" customHeight="1">
      <c r="G12061"/>
      <c r="I12061"/>
      <c r="N12061"/>
      <c r="O12061" s="24"/>
      <c r="P12061"/>
      <c r="Q12061" s="24"/>
      <c r="R12061"/>
      <c r="S12061"/>
      <c r="T12061"/>
      <c r="U12061"/>
      <c r="X12061" s="60"/>
    </row>
    <row r="12062" spans="7:24" ht="15" customHeight="1">
      <c r="G12062"/>
      <c r="I12062"/>
      <c r="N12062"/>
      <c r="O12062" s="24"/>
      <c r="P12062"/>
      <c r="Q12062" s="24"/>
      <c r="R12062"/>
      <c r="S12062"/>
      <c r="T12062"/>
      <c r="U12062"/>
      <c r="X12062" s="60"/>
    </row>
    <row r="12063" spans="7:24" ht="15" customHeight="1">
      <c r="G12063"/>
      <c r="I12063"/>
      <c r="N12063"/>
      <c r="O12063" s="24"/>
      <c r="P12063"/>
      <c r="Q12063" s="24"/>
      <c r="R12063"/>
      <c r="S12063"/>
      <c r="T12063"/>
      <c r="U12063"/>
      <c r="X12063" s="60"/>
    </row>
    <row r="12064" spans="7:24" ht="15" customHeight="1">
      <c r="G12064"/>
      <c r="I12064"/>
      <c r="N12064"/>
      <c r="O12064" s="24"/>
      <c r="P12064"/>
      <c r="Q12064" s="24"/>
      <c r="R12064"/>
      <c r="S12064"/>
      <c r="T12064"/>
      <c r="U12064"/>
      <c r="X12064" s="60"/>
    </row>
    <row r="12065" spans="7:24" ht="15" customHeight="1">
      <c r="G12065"/>
      <c r="I12065"/>
      <c r="N12065"/>
      <c r="O12065" s="24"/>
      <c r="P12065"/>
      <c r="Q12065" s="24"/>
      <c r="R12065"/>
      <c r="S12065"/>
      <c r="T12065"/>
      <c r="U12065"/>
      <c r="X12065" s="60"/>
    </row>
    <row r="12066" spans="7:24" ht="15" customHeight="1">
      <c r="G12066"/>
      <c r="I12066"/>
      <c r="N12066"/>
      <c r="O12066" s="24"/>
      <c r="P12066"/>
      <c r="Q12066" s="24"/>
      <c r="R12066"/>
      <c r="S12066"/>
      <c r="T12066"/>
      <c r="U12066"/>
      <c r="X12066" s="60"/>
    </row>
    <row r="12067" spans="7:24" ht="15" customHeight="1">
      <c r="G12067"/>
      <c r="I12067"/>
      <c r="N12067"/>
      <c r="O12067" s="24"/>
      <c r="P12067"/>
      <c r="Q12067" s="24"/>
      <c r="R12067"/>
      <c r="S12067"/>
      <c r="T12067"/>
      <c r="U12067"/>
      <c r="X12067" s="60"/>
    </row>
    <row r="12068" spans="7:24" ht="15" customHeight="1">
      <c r="G12068"/>
      <c r="I12068"/>
      <c r="N12068"/>
      <c r="O12068" s="24"/>
      <c r="P12068"/>
      <c r="Q12068" s="24"/>
      <c r="R12068"/>
      <c r="S12068"/>
      <c r="T12068"/>
      <c r="U12068"/>
      <c r="X12068" s="60"/>
    </row>
    <row r="12069" spans="7:24" ht="15" customHeight="1">
      <c r="G12069"/>
      <c r="I12069"/>
      <c r="N12069"/>
      <c r="O12069" s="24"/>
      <c r="P12069"/>
      <c r="Q12069" s="24"/>
      <c r="R12069"/>
      <c r="S12069"/>
      <c r="T12069"/>
      <c r="U12069"/>
      <c r="X12069" s="60"/>
    </row>
    <row r="12070" spans="7:24" ht="15" customHeight="1">
      <c r="G12070"/>
      <c r="I12070"/>
      <c r="N12070"/>
      <c r="O12070" s="24"/>
      <c r="P12070"/>
      <c r="Q12070" s="24"/>
      <c r="R12070"/>
      <c r="S12070"/>
      <c r="T12070"/>
      <c r="U12070"/>
      <c r="X12070" s="60"/>
    </row>
    <row r="12071" spans="7:24" ht="15" customHeight="1">
      <c r="G12071"/>
      <c r="I12071"/>
      <c r="N12071"/>
      <c r="O12071" s="24"/>
      <c r="P12071"/>
      <c r="Q12071" s="24"/>
      <c r="R12071"/>
      <c r="S12071"/>
      <c r="T12071"/>
      <c r="U12071"/>
      <c r="X12071" s="60"/>
    </row>
    <row r="12072" spans="7:24" ht="15" customHeight="1">
      <c r="G12072"/>
      <c r="I12072"/>
      <c r="N12072"/>
      <c r="O12072" s="24"/>
      <c r="P12072"/>
      <c r="Q12072" s="24"/>
      <c r="R12072"/>
      <c r="S12072"/>
      <c r="T12072"/>
      <c r="U12072"/>
      <c r="X12072" s="60"/>
    </row>
    <row r="12073" spans="7:24" ht="15" customHeight="1">
      <c r="G12073"/>
      <c r="I12073"/>
      <c r="N12073"/>
      <c r="O12073" s="24"/>
      <c r="P12073"/>
      <c r="Q12073" s="24"/>
      <c r="R12073"/>
      <c r="S12073"/>
      <c r="T12073"/>
      <c r="U12073"/>
      <c r="X12073" s="60"/>
    </row>
    <row r="12074" spans="7:24" ht="15" customHeight="1">
      <c r="G12074"/>
      <c r="I12074"/>
      <c r="N12074"/>
      <c r="O12074" s="24"/>
      <c r="P12074"/>
      <c r="Q12074" s="24"/>
      <c r="R12074"/>
      <c r="S12074"/>
      <c r="T12074"/>
      <c r="U12074"/>
      <c r="X12074" s="60"/>
    </row>
    <row r="12075" spans="7:24" ht="15" customHeight="1">
      <c r="G12075"/>
      <c r="I12075"/>
      <c r="N12075"/>
      <c r="O12075" s="24"/>
      <c r="P12075"/>
      <c r="Q12075" s="24"/>
      <c r="R12075"/>
      <c r="S12075"/>
      <c r="T12075"/>
      <c r="U12075"/>
      <c r="X12075" s="60"/>
    </row>
    <row r="12076" spans="7:24" ht="15" customHeight="1">
      <c r="G12076"/>
      <c r="I12076"/>
      <c r="N12076"/>
      <c r="O12076" s="24"/>
      <c r="P12076"/>
      <c r="Q12076" s="24"/>
      <c r="R12076"/>
      <c r="S12076"/>
      <c r="T12076"/>
      <c r="U12076"/>
      <c r="X12076" s="60"/>
    </row>
    <row r="12077" spans="7:24" ht="15" customHeight="1">
      <c r="G12077"/>
      <c r="I12077"/>
      <c r="N12077"/>
      <c r="O12077" s="24"/>
      <c r="P12077"/>
      <c r="Q12077" s="24"/>
      <c r="R12077"/>
      <c r="S12077"/>
      <c r="T12077"/>
      <c r="U12077"/>
      <c r="X12077" s="60"/>
    </row>
    <row r="12078" spans="7:24" ht="15" customHeight="1">
      <c r="G12078"/>
      <c r="I12078"/>
      <c r="N12078"/>
      <c r="O12078" s="24"/>
      <c r="P12078"/>
      <c r="Q12078" s="24"/>
      <c r="R12078"/>
      <c r="S12078"/>
      <c r="T12078"/>
      <c r="U12078"/>
      <c r="X12078" s="60"/>
    </row>
    <row r="12079" spans="7:24" ht="15" customHeight="1">
      <c r="G12079"/>
      <c r="I12079"/>
      <c r="N12079"/>
      <c r="O12079" s="24"/>
      <c r="P12079"/>
      <c r="Q12079" s="24"/>
      <c r="R12079"/>
      <c r="S12079"/>
      <c r="T12079"/>
      <c r="U12079"/>
      <c r="X12079" s="60"/>
    </row>
    <row r="12080" spans="7:24" ht="15" customHeight="1">
      <c r="G12080"/>
      <c r="I12080"/>
      <c r="N12080"/>
      <c r="O12080" s="24"/>
      <c r="P12080"/>
      <c r="Q12080" s="24"/>
      <c r="R12080"/>
      <c r="S12080"/>
      <c r="T12080"/>
      <c r="U12080"/>
      <c r="X12080" s="60"/>
    </row>
    <row r="12081" spans="7:24" ht="15" customHeight="1">
      <c r="G12081"/>
      <c r="I12081"/>
      <c r="N12081"/>
      <c r="O12081" s="24"/>
      <c r="P12081"/>
      <c r="Q12081" s="24"/>
      <c r="R12081"/>
      <c r="S12081"/>
      <c r="T12081"/>
      <c r="U12081"/>
      <c r="X12081" s="60"/>
    </row>
    <row r="12082" spans="7:24" ht="15" customHeight="1">
      <c r="G12082"/>
      <c r="I12082"/>
      <c r="N12082"/>
      <c r="O12082" s="24"/>
      <c r="P12082"/>
      <c r="Q12082" s="24"/>
      <c r="R12082"/>
      <c r="S12082"/>
      <c r="T12082"/>
      <c r="U12082"/>
      <c r="X12082" s="60"/>
    </row>
    <row r="12083" spans="7:24" ht="15" customHeight="1">
      <c r="G12083"/>
      <c r="I12083"/>
      <c r="N12083"/>
      <c r="O12083" s="24"/>
      <c r="P12083"/>
      <c r="Q12083" s="24"/>
      <c r="R12083"/>
      <c r="S12083"/>
      <c r="T12083"/>
      <c r="U12083"/>
      <c r="X12083" s="60"/>
    </row>
    <row r="12084" spans="7:24" ht="15" customHeight="1">
      <c r="G12084"/>
      <c r="I12084"/>
      <c r="N12084"/>
      <c r="O12084" s="24"/>
      <c r="P12084"/>
      <c r="Q12084" s="24"/>
      <c r="R12084"/>
      <c r="S12084"/>
      <c r="T12084"/>
      <c r="U12084"/>
      <c r="X12084" s="60"/>
    </row>
    <row r="12085" spans="7:24" ht="15" customHeight="1">
      <c r="G12085"/>
      <c r="I12085"/>
      <c r="N12085"/>
      <c r="O12085" s="24"/>
      <c r="P12085"/>
      <c r="Q12085" s="24"/>
      <c r="R12085"/>
      <c r="S12085"/>
      <c r="T12085"/>
      <c r="U12085"/>
      <c r="X12085" s="60"/>
    </row>
    <row r="12086" spans="7:24" ht="15" customHeight="1">
      <c r="G12086"/>
      <c r="I12086"/>
      <c r="N12086"/>
      <c r="O12086" s="24"/>
      <c r="P12086"/>
      <c r="Q12086" s="24"/>
      <c r="R12086"/>
      <c r="S12086"/>
      <c r="T12086"/>
      <c r="U12086"/>
      <c r="X12086" s="60"/>
    </row>
    <row r="12087" spans="7:24" ht="15" customHeight="1">
      <c r="G12087"/>
      <c r="I12087"/>
      <c r="N12087"/>
      <c r="O12087" s="24"/>
      <c r="P12087"/>
      <c r="Q12087" s="24"/>
      <c r="R12087"/>
      <c r="S12087"/>
      <c r="T12087"/>
      <c r="U12087"/>
      <c r="X12087" s="60"/>
    </row>
    <row r="12088" spans="7:24" ht="15" customHeight="1">
      <c r="G12088"/>
      <c r="I12088"/>
      <c r="N12088"/>
      <c r="O12088" s="24"/>
      <c r="P12088"/>
      <c r="Q12088" s="24"/>
      <c r="R12088"/>
      <c r="S12088"/>
      <c r="T12088"/>
      <c r="U12088"/>
      <c r="X12088" s="60"/>
    </row>
    <row r="12089" spans="7:24" ht="15" customHeight="1">
      <c r="G12089"/>
      <c r="I12089"/>
      <c r="N12089"/>
      <c r="O12089" s="24"/>
      <c r="P12089"/>
      <c r="Q12089" s="24"/>
      <c r="R12089"/>
      <c r="S12089"/>
      <c r="T12089"/>
      <c r="U12089"/>
      <c r="X12089" s="60"/>
    </row>
    <row r="12090" spans="7:24" ht="15" customHeight="1">
      <c r="G12090"/>
      <c r="I12090"/>
      <c r="N12090"/>
      <c r="O12090" s="24"/>
      <c r="P12090"/>
      <c r="Q12090" s="24"/>
      <c r="R12090"/>
      <c r="S12090"/>
      <c r="T12090"/>
      <c r="U12090"/>
      <c r="X12090" s="60"/>
    </row>
    <row r="12091" spans="7:24" ht="15" customHeight="1">
      <c r="G12091"/>
      <c r="I12091"/>
      <c r="N12091"/>
      <c r="O12091" s="24"/>
      <c r="P12091"/>
      <c r="Q12091" s="24"/>
      <c r="R12091"/>
      <c r="S12091"/>
      <c r="T12091"/>
      <c r="U12091"/>
      <c r="X12091" s="60"/>
    </row>
    <row r="12092" spans="7:24" ht="15" customHeight="1">
      <c r="G12092"/>
      <c r="I12092"/>
      <c r="N12092"/>
      <c r="O12092" s="24"/>
      <c r="P12092"/>
      <c r="Q12092" s="24"/>
      <c r="R12092"/>
      <c r="S12092"/>
      <c r="T12092"/>
      <c r="U12092"/>
      <c r="X12092" s="60"/>
    </row>
    <row r="12093" spans="7:24" ht="15" customHeight="1">
      <c r="G12093"/>
      <c r="I12093"/>
      <c r="N12093"/>
      <c r="O12093" s="24"/>
      <c r="P12093"/>
      <c r="Q12093" s="24"/>
      <c r="R12093"/>
      <c r="S12093"/>
      <c r="T12093"/>
      <c r="U12093"/>
      <c r="X12093" s="60"/>
    </row>
    <row r="12094" spans="7:24" ht="15" customHeight="1">
      <c r="G12094"/>
      <c r="I12094"/>
      <c r="N12094"/>
      <c r="O12094" s="24"/>
      <c r="P12094"/>
      <c r="Q12094" s="24"/>
      <c r="R12094"/>
      <c r="S12094"/>
      <c r="T12094"/>
      <c r="U12094"/>
      <c r="X12094" s="60"/>
    </row>
    <row r="12095" spans="7:24" ht="15" customHeight="1">
      <c r="G12095"/>
      <c r="I12095"/>
      <c r="N12095"/>
      <c r="O12095" s="24"/>
      <c r="P12095"/>
      <c r="Q12095" s="24"/>
      <c r="R12095"/>
      <c r="S12095"/>
      <c r="T12095"/>
      <c r="U12095"/>
      <c r="X12095" s="60"/>
    </row>
    <row r="12096" spans="7:24" ht="15" customHeight="1">
      <c r="G12096"/>
      <c r="I12096"/>
      <c r="N12096"/>
      <c r="O12096" s="24"/>
      <c r="P12096"/>
      <c r="Q12096" s="24"/>
      <c r="R12096"/>
      <c r="S12096"/>
      <c r="T12096"/>
      <c r="U12096"/>
      <c r="X12096" s="60"/>
    </row>
    <row r="12097" spans="7:24" ht="15" customHeight="1">
      <c r="G12097"/>
      <c r="I12097"/>
      <c r="N12097"/>
      <c r="O12097" s="24"/>
      <c r="P12097"/>
      <c r="Q12097" s="24"/>
      <c r="R12097"/>
      <c r="S12097"/>
      <c r="T12097"/>
      <c r="U12097"/>
      <c r="X12097" s="60"/>
    </row>
    <row r="12098" spans="7:24" ht="15" customHeight="1">
      <c r="G12098"/>
      <c r="I12098"/>
      <c r="N12098"/>
      <c r="O12098" s="24"/>
      <c r="P12098"/>
      <c r="Q12098" s="24"/>
      <c r="R12098"/>
      <c r="S12098"/>
      <c r="T12098"/>
      <c r="U12098"/>
      <c r="X12098" s="60"/>
    </row>
    <row r="12099" spans="7:24" ht="15" customHeight="1">
      <c r="G12099"/>
      <c r="I12099"/>
      <c r="N12099"/>
      <c r="O12099" s="24"/>
      <c r="P12099"/>
      <c r="Q12099" s="24"/>
      <c r="R12099"/>
      <c r="S12099"/>
      <c r="T12099"/>
      <c r="U12099"/>
      <c r="X12099" s="60"/>
    </row>
    <row r="12100" spans="7:24" ht="15" customHeight="1">
      <c r="G12100"/>
      <c r="I12100"/>
      <c r="N12100"/>
      <c r="O12100" s="24"/>
      <c r="P12100"/>
      <c r="Q12100" s="24"/>
      <c r="R12100"/>
      <c r="S12100"/>
      <c r="T12100"/>
      <c r="U12100"/>
      <c r="X12100" s="60"/>
    </row>
    <row r="12101" spans="7:24" ht="15" customHeight="1">
      <c r="G12101"/>
      <c r="I12101"/>
      <c r="N12101"/>
      <c r="O12101" s="24"/>
      <c r="P12101"/>
      <c r="Q12101" s="24"/>
      <c r="R12101"/>
      <c r="S12101"/>
      <c r="T12101"/>
      <c r="U12101"/>
      <c r="X12101" s="60"/>
    </row>
    <row r="12102" spans="7:24" ht="15" customHeight="1">
      <c r="G12102"/>
      <c r="I12102"/>
      <c r="N12102"/>
      <c r="O12102" s="24"/>
      <c r="P12102"/>
      <c r="Q12102" s="24"/>
      <c r="R12102"/>
      <c r="S12102"/>
      <c r="T12102"/>
      <c r="U12102"/>
      <c r="X12102" s="60"/>
    </row>
    <row r="12103" spans="7:24" ht="15" customHeight="1">
      <c r="G12103"/>
      <c r="I12103"/>
      <c r="N12103"/>
      <c r="O12103" s="24"/>
      <c r="P12103"/>
      <c r="Q12103" s="24"/>
      <c r="R12103"/>
      <c r="S12103"/>
      <c r="T12103"/>
      <c r="U12103"/>
      <c r="X12103" s="60"/>
    </row>
    <row r="12104" spans="7:24" ht="15" customHeight="1">
      <c r="G12104"/>
      <c r="I12104"/>
      <c r="N12104"/>
      <c r="O12104" s="24"/>
      <c r="P12104"/>
      <c r="Q12104" s="24"/>
      <c r="R12104"/>
      <c r="S12104"/>
      <c r="T12104"/>
      <c r="U12104"/>
      <c r="X12104" s="60"/>
    </row>
    <row r="12105" spans="7:24" ht="15" customHeight="1">
      <c r="G12105"/>
      <c r="I12105"/>
      <c r="N12105"/>
      <c r="O12105" s="24"/>
      <c r="P12105"/>
      <c r="Q12105" s="24"/>
      <c r="R12105"/>
      <c r="S12105"/>
      <c r="T12105"/>
      <c r="U12105"/>
      <c r="X12105" s="60"/>
    </row>
    <row r="12106" spans="7:24" ht="15" customHeight="1">
      <c r="G12106"/>
      <c r="I12106"/>
      <c r="N12106"/>
      <c r="O12106" s="24"/>
      <c r="P12106"/>
      <c r="Q12106" s="24"/>
      <c r="R12106"/>
      <c r="S12106"/>
      <c r="T12106"/>
      <c r="U12106"/>
      <c r="X12106" s="60"/>
    </row>
    <row r="12107" spans="7:24" ht="15" customHeight="1">
      <c r="G12107"/>
      <c r="I12107"/>
      <c r="N12107"/>
      <c r="O12107" s="24"/>
      <c r="P12107"/>
      <c r="Q12107" s="24"/>
      <c r="R12107"/>
      <c r="S12107"/>
      <c r="T12107"/>
      <c r="U12107"/>
      <c r="X12107" s="60"/>
    </row>
    <row r="12108" spans="7:24" ht="15" customHeight="1">
      <c r="G12108"/>
      <c r="I12108"/>
      <c r="N12108"/>
      <c r="O12108" s="24"/>
      <c r="P12108"/>
      <c r="Q12108" s="24"/>
      <c r="R12108"/>
      <c r="S12108"/>
      <c r="T12108"/>
      <c r="U12108"/>
      <c r="X12108" s="60"/>
    </row>
    <row r="12109" spans="7:24" ht="15" customHeight="1">
      <c r="G12109"/>
      <c r="I12109"/>
      <c r="N12109"/>
      <c r="O12109" s="24"/>
      <c r="P12109"/>
      <c r="Q12109" s="24"/>
      <c r="R12109"/>
      <c r="S12109"/>
      <c r="T12109"/>
      <c r="U12109"/>
      <c r="X12109" s="60"/>
    </row>
    <row r="12110" spans="7:24" ht="15" customHeight="1">
      <c r="G12110"/>
      <c r="I12110"/>
      <c r="N12110"/>
      <c r="O12110" s="24"/>
      <c r="P12110"/>
      <c r="Q12110" s="24"/>
      <c r="R12110"/>
      <c r="S12110"/>
      <c r="T12110"/>
      <c r="U12110"/>
      <c r="X12110" s="60"/>
    </row>
    <row r="12111" spans="7:24" ht="15" customHeight="1">
      <c r="G12111"/>
      <c r="I12111"/>
      <c r="N12111"/>
      <c r="O12111" s="24"/>
      <c r="P12111"/>
      <c r="Q12111" s="24"/>
      <c r="R12111"/>
      <c r="S12111"/>
      <c r="T12111"/>
      <c r="U12111"/>
      <c r="X12111" s="60"/>
    </row>
    <row r="12112" spans="7:24" ht="15" customHeight="1">
      <c r="G12112"/>
      <c r="I12112"/>
      <c r="N12112"/>
      <c r="O12112" s="24"/>
      <c r="P12112"/>
      <c r="Q12112" s="24"/>
      <c r="R12112"/>
      <c r="S12112"/>
      <c r="T12112"/>
      <c r="U12112"/>
      <c r="X12112" s="60"/>
    </row>
    <row r="12113" spans="7:24" ht="15" customHeight="1">
      <c r="G12113"/>
      <c r="I12113"/>
      <c r="N12113"/>
      <c r="O12113" s="24"/>
      <c r="P12113"/>
      <c r="Q12113" s="24"/>
      <c r="R12113"/>
      <c r="S12113"/>
      <c r="T12113"/>
      <c r="U12113"/>
      <c r="X12113" s="60"/>
    </row>
    <row r="12114" spans="7:24" ht="15" customHeight="1">
      <c r="G12114"/>
      <c r="I12114"/>
      <c r="N12114"/>
      <c r="O12114" s="24"/>
      <c r="P12114"/>
      <c r="Q12114" s="24"/>
      <c r="R12114"/>
      <c r="S12114"/>
      <c r="T12114"/>
      <c r="U12114"/>
      <c r="X12114" s="60"/>
    </row>
    <row r="12115" spans="7:24" ht="15" customHeight="1">
      <c r="G12115"/>
      <c r="I12115"/>
      <c r="N12115"/>
      <c r="O12115" s="24"/>
      <c r="P12115"/>
      <c r="Q12115" s="24"/>
      <c r="R12115"/>
      <c r="S12115"/>
      <c r="T12115"/>
      <c r="U12115"/>
      <c r="X12115" s="60"/>
    </row>
    <row r="12116" spans="7:24" ht="15" customHeight="1">
      <c r="G12116"/>
      <c r="I12116"/>
      <c r="N12116"/>
      <c r="O12116" s="24"/>
      <c r="P12116"/>
      <c r="Q12116" s="24"/>
      <c r="R12116"/>
      <c r="S12116"/>
      <c r="T12116"/>
      <c r="U12116"/>
      <c r="X12116" s="60"/>
    </row>
    <row r="12117" spans="7:24" ht="15" customHeight="1">
      <c r="G12117"/>
      <c r="I12117"/>
      <c r="N12117"/>
      <c r="O12117" s="24"/>
      <c r="P12117"/>
      <c r="Q12117" s="24"/>
      <c r="R12117"/>
      <c r="S12117"/>
      <c r="T12117"/>
      <c r="U12117"/>
      <c r="X12117" s="60"/>
    </row>
    <row r="12118" spans="7:24" ht="15" customHeight="1">
      <c r="G12118"/>
      <c r="I12118"/>
      <c r="N12118"/>
      <c r="O12118" s="24"/>
      <c r="P12118"/>
      <c r="Q12118" s="24"/>
      <c r="R12118"/>
      <c r="S12118"/>
      <c r="T12118"/>
      <c r="U12118"/>
      <c r="X12118" s="60"/>
    </row>
    <row r="12119" spans="7:24" ht="15" customHeight="1">
      <c r="G12119"/>
      <c r="I12119"/>
      <c r="N12119"/>
      <c r="O12119" s="24"/>
      <c r="P12119"/>
      <c r="Q12119" s="24"/>
      <c r="R12119"/>
      <c r="S12119"/>
      <c r="T12119"/>
      <c r="U12119"/>
      <c r="X12119" s="60"/>
    </row>
    <row r="12120" spans="7:24" ht="15" customHeight="1">
      <c r="G12120"/>
      <c r="I12120"/>
      <c r="N12120"/>
      <c r="O12120" s="24"/>
      <c r="P12120"/>
      <c r="Q12120" s="24"/>
      <c r="R12120"/>
      <c r="S12120"/>
      <c r="T12120"/>
      <c r="U12120"/>
      <c r="X12120" s="60"/>
    </row>
    <row r="12121" spans="7:24" ht="15" customHeight="1">
      <c r="G12121"/>
      <c r="I12121"/>
      <c r="N12121"/>
      <c r="O12121" s="24"/>
      <c r="P12121"/>
      <c r="Q12121" s="24"/>
      <c r="R12121"/>
      <c r="S12121"/>
      <c r="T12121"/>
      <c r="U12121"/>
      <c r="X12121" s="60"/>
    </row>
    <row r="12122" spans="7:24" ht="15" customHeight="1">
      <c r="G12122"/>
      <c r="I12122"/>
      <c r="N12122"/>
      <c r="O12122" s="24"/>
      <c r="P12122"/>
      <c r="Q12122" s="24"/>
      <c r="R12122"/>
      <c r="S12122"/>
      <c r="T12122"/>
      <c r="U12122"/>
      <c r="X12122" s="60"/>
    </row>
    <row r="12123" spans="7:24" ht="15" customHeight="1">
      <c r="G12123"/>
      <c r="I12123"/>
      <c r="N12123"/>
      <c r="O12123" s="24"/>
      <c r="P12123"/>
      <c r="Q12123" s="24"/>
      <c r="R12123"/>
      <c r="S12123"/>
      <c r="T12123"/>
      <c r="U12123"/>
      <c r="X12123" s="60"/>
    </row>
    <row r="12124" spans="7:24" ht="15" customHeight="1">
      <c r="G12124"/>
      <c r="I12124"/>
      <c r="N12124"/>
      <c r="O12124" s="24"/>
      <c r="P12124"/>
      <c r="Q12124" s="24"/>
      <c r="R12124"/>
      <c r="S12124"/>
      <c r="T12124"/>
      <c r="U12124"/>
      <c r="X12124" s="60"/>
    </row>
    <row r="12125" spans="7:24" ht="15" customHeight="1">
      <c r="G12125"/>
      <c r="I12125"/>
      <c r="N12125"/>
      <c r="O12125" s="24"/>
      <c r="P12125"/>
      <c r="Q12125" s="24"/>
      <c r="R12125"/>
      <c r="S12125"/>
      <c r="T12125"/>
      <c r="U12125"/>
      <c r="X12125" s="60"/>
    </row>
    <row r="12126" spans="7:24" ht="15" customHeight="1">
      <c r="G12126"/>
      <c r="I12126"/>
      <c r="N12126"/>
      <c r="O12126" s="24"/>
      <c r="P12126"/>
      <c r="Q12126" s="24"/>
      <c r="R12126"/>
      <c r="S12126"/>
      <c r="T12126"/>
      <c r="U12126"/>
      <c r="X12126" s="60"/>
    </row>
    <row r="12127" spans="7:24" ht="15" customHeight="1">
      <c r="G12127"/>
      <c r="I12127"/>
      <c r="N12127"/>
      <c r="O12127" s="24"/>
      <c r="P12127"/>
      <c r="Q12127" s="24"/>
      <c r="R12127"/>
      <c r="S12127"/>
      <c r="T12127"/>
      <c r="U12127"/>
      <c r="X12127" s="60"/>
    </row>
    <row r="12128" spans="7:24" ht="15" customHeight="1">
      <c r="G12128"/>
      <c r="I12128"/>
      <c r="N12128"/>
      <c r="O12128" s="24"/>
      <c r="P12128"/>
      <c r="Q12128" s="24"/>
      <c r="R12128"/>
      <c r="S12128"/>
      <c r="T12128"/>
      <c r="U12128"/>
      <c r="X12128" s="60"/>
    </row>
    <row r="12129" spans="7:24" ht="15" customHeight="1">
      <c r="G12129"/>
      <c r="I12129"/>
      <c r="N12129"/>
      <c r="O12129" s="24"/>
      <c r="P12129"/>
      <c r="Q12129" s="24"/>
      <c r="R12129"/>
      <c r="S12129"/>
      <c r="T12129"/>
      <c r="U12129"/>
      <c r="X12129" s="60"/>
    </row>
    <row r="12130" spans="7:24" ht="15" customHeight="1">
      <c r="G12130"/>
      <c r="I12130"/>
      <c r="N12130"/>
      <c r="O12130" s="24"/>
      <c r="P12130"/>
      <c r="Q12130" s="24"/>
      <c r="R12130"/>
      <c r="S12130"/>
      <c r="T12130"/>
      <c r="U12130"/>
      <c r="X12130" s="60"/>
    </row>
    <row r="12131" spans="7:24" ht="15" customHeight="1">
      <c r="G12131"/>
      <c r="I12131"/>
      <c r="N12131"/>
      <c r="O12131" s="24"/>
      <c r="P12131"/>
      <c r="Q12131" s="24"/>
      <c r="R12131"/>
      <c r="S12131"/>
      <c r="T12131"/>
      <c r="U12131"/>
      <c r="X12131" s="60"/>
    </row>
    <row r="12132" spans="7:24" ht="15" customHeight="1">
      <c r="G12132"/>
      <c r="I12132"/>
      <c r="N12132"/>
      <c r="O12132" s="24"/>
      <c r="P12132"/>
      <c r="Q12132" s="24"/>
      <c r="R12132"/>
      <c r="S12132"/>
      <c r="T12132"/>
      <c r="U12132"/>
      <c r="X12132" s="60"/>
    </row>
    <row r="12133" spans="7:24" ht="15" customHeight="1">
      <c r="G12133"/>
      <c r="I12133"/>
      <c r="N12133"/>
      <c r="O12133" s="24"/>
      <c r="P12133"/>
      <c r="Q12133" s="24"/>
      <c r="R12133"/>
      <c r="S12133"/>
      <c r="T12133"/>
      <c r="U12133"/>
      <c r="X12133" s="60"/>
    </row>
    <row r="12134" spans="7:24" ht="15" customHeight="1">
      <c r="G12134"/>
      <c r="I12134"/>
      <c r="N12134"/>
      <c r="O12134" s="24"/>
      <c r="P12134"/>
      <c r="Q12134" s="24"/>
      <c r="R12134"/>
      <c r="S12134"/>
      <c r="T12134"/>
      <c r="U12134"/>
      <c r="X12134" s="60"/>
    </row>
    <row r="12135" spans="7:24" ht="15" customHeight="1">
      <c r="G12135"/>
      <c r="I12135"/>
      <c r="N12135"/>
      <c r="O12135" s="24"/>
      <c r="P12135"/>
      <c r="Q12135" s="24"/>
      <c r="R12135"/>
      <c r="S12135"/>
      <c r="T12135"/>
      <c r="U12135"/>
      <c r="X12135" s="60"/>
    </row>
    <row r="12136" spans="7:24" ht="15" customHeight="1">
      <c r="G12136"/>
      <c r="I12136"/>
      <c r="N12136"/>
      <c r="O12136" s="24"/>
      <c r="P12136"/>
      <c r="Q12136" s="24"/>
      <c r="R12136"/>
      <c r="S12136"/>
      <c r="T12136"/>
      <c r="U12136"/>
      <c r="X12136" s="60"/>
    </row>
    <row r="12137" spans="7:24" ht="15" customHeight="1">
      <c r="G12137"/>
      <c r="I12137"/>
      <c r="N12137"/>
      <c r="O12137" s="24"/>
      <c r="P12137"/>
      <c r="Q12137" s="24"/>
      <c r="R12137"/>
      <c r="S12137"/>
      <c r="T12137"/>
      <c r="U12137"/>
      <c r="X12137" s="60"/>
    </row>
    <row r="12138" spans="7:24" ht="15" customHeight="1">
      <c r="G12138"/>
      <c r="I12138"/>
      <c r="N12138"/>
      <c r="O12138" s="24"/>
      <c r="P12138"/>
      <c r="Q12138" s="24"/>
      <c r="R12138"/>
      <c r="S12138"/>
      <c r="T12138"/>
      <c r="U12138"/>
      <c r="X12138" s="60"/>
    </row>
    <row r="12139" spans="7:24" ht="15" customHeight="1">
      <c r="G12139"/>
      <c r="I12139"/>
      <c r="N12139"/>
      <c r="O12139" s="24"/>
      <c r="P12139"/>
      <c r="Q12139" s="24"/>
      <c r="R12139"/>
      <c r="S12139"/>
      <c r="T12139"/>
      <c r="U12139"/>
      <c r="X12139" s="60"/>
    </row>
    <row r="12140" spans="7:24" ht="15" customHeight="1">
      <c r="G12140"/>
      <c r="I12140"/>
      <c r="N12140"/>
      <c r="O12140" s="24"/>
      <c r="P12140"/>
      <c r="Q12140" s="24"/>
      <c r="R12140"/>
      <c r="S12140"/>
      <c r="T12140"/>
      <c r="U12140"/>
      <c r="X12140" s="60"/>
    </row>
    <row r="12141" spans="7:24" ht="15" customHeight="1">
      <c r="G12141"/>
      <c r="I12141"/>
      <c r="N12141"/>
      <c r="O12141" s="24"/>
      <c r="P12141"/>
      <c r="Q12141" s="24"/>
      <c r="R12141"/>
      <c r="S12141"/>
      <c r="T12141"/>
      <c r="U12141"/>
      <c r="X12141" s="60"/>
    </row>
    <row r="12142" spans="7:24" ht="15" customHeight="1">
      <c r="G12142"/>
      <c r="I12142"/>
      <c r="N12142"/>
      <c r="O12142" s="24"/>
      <c r="P12142"/>
      <c r="Q12142" s="24"/>
      <c r="R12142"/>
      <c r="S12142"/>
      <c r="T12142"/>
      <c r="U12142"/>
      <c r="X12142" s="60"/>
    </row>
    <row r="12143" spans="7:24" ht="15" customHeight="1">
      <c r="G12143"/>
      <c r="I12143"/>
      <c r="N12143"/>
      <c r="O12143" s="24"/>
      <c r="P12143"/>
      <c r="Q12143" s="24"/>
      <c r="R12143"/>
      <c r="S12143"/>
      <c r="T12143"/>
      <c r="U12143"/>
      <c r="X12143" s="60"/>
    </row>
    <row r="12144" spans="7:24" ht="15" customHeight="1">
      <c r="G12144"/>
      <c r="I12144"/>
      <c r="N12144"/>
      <c r="O12144" s="24"/>
      <c r="P12144"/>
      <c r="Q12144" s="24"/>
      <c r="R12144"/>
      <c r="S12144"/>
      <c r="T12144"/>
      <c r="U12144"/>
      <c r="X12144" s="60"/>
    </row>
    <row r="12145" spans="7:24" ht="15" customHeight="1">
      <c r="G12145"/>
      <c r="I12145"/>
      <c r="N12145"/>
      <c r="O12145" s="24"/>
      <c r="P12145"/>
      <c r="Q12145" s="24"/>
      <c r="R12145"/>
      <c r="S12145"/>
      <c r="T12145"/>
      <c r="U12145"/>
      <c r="X12145" s="60"/>
    </row>
    <row r="12146" spans="7:24" ht="15" customHeight="1">
      <c r="G12146"/>
      <c r="I12146"/>
      <c r="N12146"/>
      <c r="O12146" s="24"/>
      <c r="P12146"/>
      <c r="Q12146" s="24"/>
      <c r="R12146"/>
      <c r="S12146"/>
      <c r="T12146"/>
      <c r="U12146"/>
      <c r="X12146" s="60"/>
    </row>
    <row r="12147" spans="7:24" ht="15" customHeight="1">
      <c r="G12147"/>
      <c r="I12147"/>
      <c r="N12147"/>
      <c r="O12147" s="24"/>
      <c r="P12147"/>
      <c r="Q12147" s="24"/>
      <c r="R12147"/>
      <c r="S12147"/>
      <c r="T12147"/>
      <c r="U12147"/>
      <c r="X12147" s="60"/>
    </row>
    <row r="12148" spans="7:24" ht="15" customHeight="1">
      <c r="G12148"/>
      <c r="I12148"/>
      <c r="N12148"/>
      <c r="O12148" s="24"/>
      <c r="P12148"/>
      <c r="Q12148" s="24"/>
      <c r="R12148"/>
      <c r="S12148"/>
      <c r="T12148"/>
      <c r="U12148"/>
      <c r="X12148" s="60"/>
    </row>
    <row r="12149" spans="7:24" ht="15" customHeight="1">
      <c r="G12149"/>
      <c r="I12149"/>
      <c r="N12149"/>
      <c r="O12149" s="24"/>
      <c r="P12149"/>
      <c r="Q12149" s="24"/>
      <c r="R12149"/>
      <c r="S12149"/>
      <c r="T12149"/>
      <c r="U12149"/>
      <c r="X12149" s="60"/>
    </row>
    <row r="12150" spans="7:24" ht="15" customHeight="1">
      <c r="G12150"/>
      <c r="I12150"/>
      <c r="N12150"/>
      <c r="O12150" s="24"/>
      <c r="P12150"/>
      <c r="Q12150" s="24"/>
      <c r="R12150"/>
      <c r="S12150"/>
      <c r="T12150"/>
      <c r="U12150"/>
      <c r="X12150" s="60"/>
    </row>
    <row r="12151" spans="7:24" ht="15" customHeight="1">
      <c r="G12151"/>
      <c r="I12151"/>
      <c r="N12151"/>
      <c r="O12151" s="24"/>
      <c r="P12151"/>
      <c r="Q12151" s="24"/>
      <c r="R12151"/>
      <c r="S12151"/>
      <c r="T12151"/>
      <c r="U12151"/>
      <c r="X12151" s="60"/>
    </row>
    <row r="12152" spans="7:24" ht="15" customHeight="1">
      <c r="G12152"/>
      <c r="I12152"/>
      <c r="N12152"/>
      <c r="O12152" s="24"/>
      <c r="P12152"/>
      <c r="Q12152" s="24"/>
      <c r="R12152"/>
      <c r="S12152"/>
      <c r="T12152"/>
      <c r="U12152"/>
      <c r="X12152" s="60"/>
    </row>
    <row r="12153" spans="7:24" ht="15" customHeight="1">
      <c r="G12153"/>
      <c r="I12153"/>
      <c r="N12153"/>
      <c r="O12153" s="24"/>
      <c r="P12153"/>
      <c r="Q12153" s="24"/>
      <c r="R12153"/>
      <c r="S12153"/>
      <c r="T12153"/>
      <c r="U12153"/>
      <c r="X12153" s="60"/>
    </row>
    <row r="12154" spans="7:24" ht="15" customHeight="1">
      <c r="G12154"/>
      <c r="I12154"/>
      <c r="N12154"/>
      <c r="O12154" s="24"/>
      <c r="P12154"/>
      <c r="Q12154" s="24"/>
      <c r="R12154"/>
      <c r="S12154"/>
      <c r="T12154"/>
      <c r="U12154"/>
      <c r="X12154" s="60"/>
    </row>
    <row r="12155" spans="7:24" ht="15" customHeight="1">
      <c r="G12155"/>
      <c r="I12155"/>
      <c r="N12155"/>
      <c r="O12155" s="24"/>
      <c r="P12155"/>
      <c r="Q12155" s="24"/>
      <c r="R12155"/>
      <c r="S12155"/>
      <c r="T12155"/>
      <c r="U12155"/>
      <c r="X12155" s="60"/>
    </row>
    <row r="12156" spans="7:24" ht="15" customHeight="1">
      <c r="G12156"/>
      <c r="I12156"/>
      <c r="N12156"/>
      <c r="O12156" s="24"/>
      <c r="P12156"/>
      <c r="Q12156" s="24"/>
      <c r="R12156"/>
      <c r="S12156"/>
      <c r="T12156"/>
      <c r="U12156"/>
      <c r="X12156" s="60"/>
    </row>
    <row r="12157" spans="7:24" ht="15" customHeight="1">
      <c r="G12157"/>
      <c r="I12157"/>
      <c r="N12157"/>
      <c r="O12157" s="24"/>
      <c r="P12157"/>
      <c r="Q12157" s="24"/>
      <c r="R12157"/>
      <c r="S12157"/>
      <c r="T12157"/>
      <c r="U12157"/>
      <c r="X12157" s="60"/>
    </row>
    <row r="12158" spans="7:24" ht="15" customHeight="1">
      <c r="G12158"/>
      <c r="I12158"/>
      <c r="N12158"/>
      <c r="O12158" s="24"/>
      <c r="P12158"/>
      <c r="Q12158" s="24"/>
      <c r="R12158"/>
      <c r="S12158"/>
      <c r="T12158"/>
      <c r="U12158"/>
      <c r="X12158" s="60"/>
    </row>
    <row r="12159" spans="7:24" ht="15" customHeight="1">
      <c r="G12159"/>
      <c r="I12159"/>
      <c r="N12159"/>
      <c r="O12159" s="24"/>
      <c r="P12159"/>
      <c r="Q12159" s="24"/>
      <c r="R12159"/>
      <c r="S12159"/>
      <c r="T12159"/>
      <c r="U12159"/>
      <c r="X12159" s="60"/>
    </row>
    <row r="12160" spans="7:24" ht="15" customHeight="1">
      <c r="G12160"/>
      <c r="I12160"/>
      <c r="N12160"/>
      <c r="O12160" s="24"/>
      <c r="P12160"/>
      <c r="Q12160" s="24"/>
      <c r="R12160"/>
      <c r="S12160"/>
      <c r="T12160"/>
      <c r="U12160"/>
      <c r="X12160" s="60"/>
    </row>
    <row r="12161" spans="7:24" ht="15" customHeight="1">
      <c r="G12161"/>
      <c r="I12161"/>
      <c r="N12161"/>
      <c r="O12161" s="24"/>
      <c r="P12161"/>
      <c r="Q12161" s="24"/>
      <c r="R12161"/>
      <c r="S12161"/>
      <c r="T12161"/>
      <c r="U12161"/>
      <c r="X12161" s="60"/>
    </row>
    <row r="12162" spans="7:24" ht="15" customHeight="1">
      <c r="G12162"/>
      <c r="I12162"/>
      <c r="N12162"/>
      <c r="O12162" s="24"/>
      <c r="P12162"/>
      <c r="Q12162" s="24"/>
      <c r="R12162"/>
      <c r="S12162"/>
      <c r="T12162"/>
      <c r="U12162"/>
      <c r="X12162" s="60"/>
    </row>
    <row r="12163" spans="7:24" ht="15" customHeight="1">
      <c r="G12163"/>
      <c r="I12163"/>
      <c r="N12163"/>
      <c r="O12163" s="24"/>
      <c r="P12163"/>
      <c r="Q12163" s="24"/>
      <c r="R12163"/>
      <c r="S12163"/>
      <c r="T12163"/>
      <c r="U12163"/>
      <c r="X12163" s="60"/>
    </row>
    <row r="12164" spans="7:24" ht="15" customHeight="1">
      <c r="G12164"/>
      <c r="I12164"/>
      <c r="N12164"/>
      <c r="O12164" s="24"/>
      <c r="P12164"/>
      <c r="Q12164" s="24"/>
      <c r="R12164"/>
      <c r="S12164"/>
      <c r="T12164"/>
      <c r="U12164"/>
      <c r="X12164" s="60"/>
    </row>
    <row r="12165" spans="7:24" ht="15" customHeight="1">
      <c r="G12165"/>
      <c r="I12165"/>
      <c r="N12165"/>
      <c r="O12165" s="24"/>
      <c r="P12165"/>
      <c r="Q12165" s="24"/>
      <c r="R12165"/>
      <c r="S12165"/>
      <c r="T12165"/>
      <c r="U12165"/>
      <c r="X12165" s="60"/>
    </row>
    <row r="12166" spans="7:24" ht="15" customHeight="1">
      <c r="G12166"/>
      <c r="I12166"/>
      <c r="N12166"/>
      <c r="O12166" s="24"/>
      <c r="P12166"/>
      <c r="Q12166" s="24"/>
      <c r="R12166"/>
      <c r="S12166"/>
      <c r="T12166"/>
      <c r="U12166"/>
      <c r="X12166" s="60"/>
    </row>
    <row r="12167" spans="7:24" ht="15" customHeight="1">
      <c r="G12167"/>
      <c r="I12167"/>
      <c r="N12167"/>
      <c r="O12167" s="24"/>
      <c r="P12167"/>
      <c r="Q12167" s="24"/>
      <c r="R12167"/>
      <c r="S12167"/>
      <c r="T12167"/>
      <c r="U12167"/>
      <c r="X12167" s="60"/>
    </row>
    <row r="12168" spans="7:24" ht="15" customHeight="1">
      <c r="G12168"/>
      <c r="I12168"/>
      <c r="N12168"/>
      <c r="O12168" s="24"/>
      <c r="P12168"/>
      <c r="Q12168" s="24"/>
      <c r="R12168"/>
      <c r="S12168"/>
      <c r="T12168"/>
      <c r="U12168"/>
      <c r="X12168" s="60"/>
    </row>
    <row r="12169" spans="7:24" ht="15" customHeight="1">
      <c r="G12169"/>
      <c r="I12169"/>
      <c r="N12169"/>
      <c r="O12169" s="24"/>
      <c r="P12169"/>
      <c r="Q12169" s="24"/>
      <c r="R12169"/>
      <c r="S12169"/>
      <c r="T12169"/>
      <c r="U12169"/>
      <c r="X12169" s="60"/>
    </row>
    <row r="12170" spans="7:24" ht="15" customHeight="1">
      <c r="G12170"/>
      <c r="I12170"/>
      <c r="N12170"/>
      <c r="O12170" s="24"/>
      <c r="P12170"/>
      <c r="Q12170" s="24"/>
      <c r="R12170"/>
      <c r="S12170"/>
      <c r="T12170"/>
      <c r="U12170"/>
      <c r="X12170" s="60"/>
    </row>
    <row r="12171" spans="7:24" ht="15" customHeight="1">
      <c r="G12171"/>
      <c r="I12171"/>
      <c r="N12171"/>
      <c r="O12171" s="24"/>
      <c r="P12171"/>
      <c r="Q12171" s="24"/>
      <c r="R12171"/>
      <c r="S12171"/>
      <c r="T12171"/>
      <c r="U12171"/>
      <c r="X12171" s="60"/>
    </row>
    <row r="12172" spans="7:24" ht="15" customHeight="1">
      <c r="G12172"/>
      <c r="I12172"/>
      <c r="N12172"/>
      <c r="O12172" s="24"/>
      <c r="P12172"/>
      <c r="Q12172" s="24"/>
      <c r="R12172"/>
      <c r="S12172"/>
      <c r="T12172"/>
      <c r="U12172"/>
      <c r="X12172" s="60"/>
    </row>
    <row r="12173" spans="7:24" ht="15" customHeight="1">
      <c r="G12173"/>
      <c r="I12173"/>
      <c r="N12173"/>
      <c r="O12173" s="24"/>
      <c r="P12173"/>
      <c r="Q12173" s="24"/>
      <c r="R12173"/>
      <c r="S12173"/>
      <c r="T12173"/>
      <c r="U12173"/>
      <c r="X12173" s="60"/>
    </row>
    <row r="12174" spans="7:24" ht="15" customHeight="1">
      <c r="G12174"/>
      <c r="I12174"/>
      <c r="N12174"/>
      <c r="O12174" s="24"/>
      <c r="P12174"/>
      <c r="Q12174" s="24"/>
      <c r="R12174"/>
      <c r="S12174"/>
      <c r="T12174"/>
      <c r="U12174"/>
      <c r="X12174" s="60"/>
    </row>
    <row r="12175" spans="7:24" ht="15" customHeight="1">
      <c r="G12175"/>
      <c r="I12175"/>
      <c r="N12175"/>
      <c r="O12175" s="24"/>
      <c r="P12175"/>
      <c r="Q12175" s="24"/>
      <c r="R12175"/>
      <c r="S12175"/>
      <c r="T12175"/>
      <c r="U12175"/>
      <c r="X12175" s="60"/>
    </row>
    <row r="12176" spans="7:24" ht="15" customHeight="1">
      <c r="G12176"/>
      <c r="I12176"/>
      <c r="N12176"/>
      <c r="O12176" s="24"/>
      <c r="P12176"/>
      <c r="Q12176" s="24"/>
      <c r="R12176"/>
      <c r="S12176"/>
      <c r="T12176"/>
      <c r="U12176"/>
      <c r="X12176" s="60"/>
    </row>
    <row r="12177" spans="7:24" ht="15" customHeight="1">
      <c r="G12177"/>
      <c r="I12177"/>
      <c r="N12177"/>
      <c r="O12177" s="24"/>
      <c r="P12177"/>
      <c r="Q12177" s="24"/>
      <c r="R12177"/>
      <c r="S12177"/>
      <c r="T12177"/>
      <c r="U12177"/>
      <c r="X12177" s="60"/>
    </row>
    <row r="12178" spans="7:24" ht="15" customHeight="1">
      <c r="G12178"/>
      <c r="I12178"/>
      <c r="N12178"/>
      <c r="O12178" s="24"/>
      <c r="P12178"/>
      <c r="Q12178" s="24"/>
      <c r="R12178"/>
      <c r="S12178"/>
      <c r="T12178"/>
      <c r="U12178"/>
      <c r="X12178" s="60"/>
    </row>
    <row r="12179" spans="7:24" ht="15" customHeight="1">
      <c r="G12179"/>
      <c r="I12179"/>
      <c r="N12179"/>
      <c r="O12179" s="24"/>
      <c r="P12179"/>
      <c r="Q12179" s="24"/>
      <c r="R12179"/>
      <c r="S12179"/>
      <c r="T12179"/>
      <c r="U12179"/>
      <c r="X12179" s="60"/>
    </row>
    <row r="12180" spans="7:24" ht="15" customHeight="1">
      <c r="G12180"/>
      <c r="I12180"/>
      <c r="N12180"/>
      <c r="O12180" s="24"/>
      <c r="P12180"/>
      <c r="Q12180" s="24"/>
      <c r="R12180"/>
      <c r="S12180"/>
      <c r="T12180"/>
      <c r="U12180"/>
      <c r="X12180" s="60"/>
    </row>
    <row r="12181" spans="7:24" ht="15" customHeight="1">
      <c r="G12181"/>
      <c r="I12181"/>
      <c r="N12181"/>
      <c r="O12181" s="24"/>
      <c r="P12181"/>
      <c r="Q12181" s="24"/>
      <c r="R12181"/>
      <c r="S12181"/>
      <c r="T12181"/>
      <c r="U12181"/>
      <c r="X12181" s="60"/>
    </row>
    <row r="12182" spans="7:24" ht="15" customHeight="1">
      <c r="G12182"/>
      <c r="I12182"/>
      <c r="N12182"/>
      <c r="O12182" s="24"/>
      <c r="P12182"/>
      <c r="Q12182" s="24"/>
      <c r="R12182"/>
      <c r="S12182"/>
      <c r="T12182"/>
      <c r="U12182"/>
      <c r="X12182" s="60"/>
    </row>
    <row r="12183" spans="7:24" ht="15" customHeight="1">
      <c r="G12183"/>
      <c r="I12183"/>
      <c r="N12183"/>
      <c r="O12183" s="24"/>
      <c r="P12183"/>
      <c r="Q12183" s="24"/>
      <c r="R12183"/>
      <c r="S12183"/>
      <c r="T12183"/>
      <c r="U12183"/>
      <c r="X12183" s="60"/>
    </row>
    <row r="12184" spans="7:24" ht="15" customHeight="1">
      <c r="G12184"/>
      <c r="I12184"/>
      <c r="N12184"/>
      <c r="O12184" s="24"/>
      <c r="P12184"/>
      <c r="Q12184" s="24"/>
      <c r="R12184"/>
      <c r="S12184"/>
      <c r="T12184"/>
      <c r="U12184"/>
      <c r="X12184" s="60"/>
    </row>
    <row r="12185" spans="7:24" ht="15" customHeight="1">
      <c r="G12185"/>
      <c r="I12185"/>
      <c r="N12185"/>
      <c r="O12185" s="24"/>
      <c r="P12185"/>
      <c r="Q12185" s="24"/>
      <c r="R12185"/>
      <c r="S12185"/>
      <c r="T12185"/>
      <c r="U12185"/>
      <c r="X12185" s="60"/>
    </row>
    <row r="12186" spans="7:24" ht="15" customHeight="1">
      <c r="G12186"/>
      <c r="I12186"/>
      <c r="N12186"/>
      <c r="O12186" s="24"/>
      <c r="P12186"/>
      <c r="Q12186" s="24"/>
      <c r="R12186"/>
      <c r="S12186"/>
      <c r="T12186"/>
      <c r="U12186"/>
      <c r="X12186" s="60"/>
    </row>
    <row r="12187" spans="7:24" ht="15" customHeight="1">
      <c r="G12187"/>
      <c r="I12187"/>
      <c r="N12187"/>
      <c r="O12187" s="24"/>
      <c r="P12187"/>
      <c r="Q12187" s="24"/>
      <c r="R12187"/>
      <c r="S12187"/>
      <c r="T12187"/>
      <c r="U12187"/>
      <c r="X12187" s="60"/>
    </row>
    <row r="12188" spans="7:24" ht="15" customHeight="1">
      <c r="G12188"/>
      <c r="I12188"/>
      <c r="N12188"/>
      <c r="O12188" s="24"/>
      <c r="P12188"/>
      <c r="Q12188" s="24"/>
      <c r="R12188"/>
      <c r="S12188"/>
      <c r="T12188"/>
      <c r="U12188"/>
      <c r="X12188" s="60"/>
    </row>
    <row r="12189" spans="7:24" ht="15" customHeight="1">
      <c r="G12189"/>
      <c r="I12189"/>
      <c r="N12189"/>
      <c r="O12189" s="24"/>
      <c r="P12189"/>
      <c r="Q12189" s="24"/>
      <c r="R12189"/>
      <c r="S12189"/>
      <c r="T12189"/>
      <c r="U12189"/>
      <c r="X12189" s="60"/>
    </row>
    <row r="12190" spans="7:24" ht="15" customHeight="1">
      <c r="G12190"/>
      <c r="I12190"/>
      <c r="N12190"/>
      <c r="O12190" s="24"/>
      <c r="P12190"/>
      <c r="Q12190" s="24"/>
      <c r="R12190"/>
      <c r="S12190"/>
      <c r="T12190"/>
      <c r="U12190"/>
      <c r="X12190" s="60"/>
    </row>
    <row r="12191" spans="7:24" ht="15" customHeight="1">
      <c r="G12191"/>
      <c r="I12191"/>
      <c r="N12191"/>
      <c r="O12191" s="24"/>
      <c r="P12191"/>
      <c r="Q12191" s="24"/>
      <c r="R12191"/>
      <c r="S12191"/>
      <c r="T12191"/>
      <c r="U12191"/>
      <c r="X12191" s="60"/>
    </row>
    <row r="12192" spans="7:24" ht="15" customHeight="1">
      <c r="G12192"/>
      <c r="I12192"/>
      <c r="N12192"/>
      <c r="O12192" s="24"/>
      <c r="P12192"/>
      <c r="Q12192" s="24"/>
      <c r="R12192"/>
      <c r="S12192"/>
      <c r="T12192"/>
      <c r="U12192"/>
      <c r="X12192" s="60"/>
    </row>
    <row r="12193" spans="7:24" ht="15" customHeight="1">
      <c r="G12193"/>
      <c r="I12193"/>
      <c r="N12193"/>
      <c r="O12193" s="24"/>
      <c r="P12193"/>
      <c r="Q12193" s="24"/>
      <c r="R12193"/>
      <c r="S12193"/>
      <c r="T12193"/>
      <c r="U12193"/>
      <c r="X12193" s="60"/>
    </row>
    <row r="12194" spans="7:24" ht="15" customHeight="1">
      <c r="G12194"/>
      <c r="I12194"/>
      <c r="N12194"/>
      <c r="O12194" s="24"/>
      <c r="P12194"/>
      <c r="Q12194" s="24"/>
      <c r="R12194"/>
      <c r="S12194"/>
      <c r="T12194"/>
      <c r="U12194"/>
      <c r="X12194" s="60"/>
    </row>
    <row r="12195" spans="7:24" ht="15" customHeight="1">
      <c r="G12195"/>
      <c r="I12195"/>
      <c r="N12195"/>
      <c r="O12195" s="24"/>
      <c r="P12195"/>
      <c r="Q12195" s="24"/>
      <c r="R12195"/>
      <c r="S12195"/>
      <c r="T12195"/>
      <c r="U12195"/>
      <c r="X12195" s="60"/>
    </row>
    <row r="12196" spans="7:24" ht="15" customHeight="1">
      <c r="G12196"/>
      <c r="I12196"/>
      <c r="N12196"/>
      <c r="O12196" s="24"/>
      <c r="P12196"/>
      <c r="Q12196" s="24"/>
      <c r="R12196"/>
      <c r="S12196"/>
      <c r="T12196"/>
      <c r="U12196"/>
      <c r="X12196" s="60"/>
    </row>
    <row r="12197" spans="7:24" ht="15" customHeight="1">
      <c r="G12197"/>
      <c r="I12197"/>
      <c r="N12197"/>
      <c r="O12197" s="24"/>
      <c r="P12197"/>
      <c r="Q12197" s="24"/>
      <c r="R12197"/>
      <c r="S12197"/>
      <c r="T12197"/>
      <c r="U12197"/>
      <c r="X12197" s="60"/>
    </row>
    <row r="12198" spans="7:24" ht="15" customHeight="1">
      <c r="G12198"/>
      <c r="I12198"/>
      <c r="N12198"/>
      <c r="O12198" s="24"/>
      <c r="P12198"/>
      <c r="Q12198" s="24"/>
      <c r="R12198"/>
      <c r="S12198"/>
      <c r="T12198"/>
      <c r="U12198"/>
      <c r="X12198" s="60"/>
    </row>
    <row r="12199" spans="7:24" ht="15" customHeight="1">
      <c r="G12199"/>
      <c r="I12199"/>
      <c r="N12199"/>
      <c r="O12199" s="24"/>
      <c r="P12199"/>
      <c r="Q12199" s="24"/>
      <c r="R12199"/>
      <c r="S12199"/>
      <c r="T12199"/>
      <c r="U12199"/>
      <c r="X12199" s="60"/>
    </row>
    <row r="12200" spans="7:24" ht="15" customHeight="1">
      <c r="G12200"/>
      <c r="I12200"/>
      <c r="N12200"/>
      <c r="O12200" s="24"/>
      <c r="P12200"/>
      <c r="Q12200" s="24"/>
      <c r="R12200"/>
      <c r="S12200"/>
      <c r="T12200"/>
      <c r="U12200"/>
      <c r="X12200" s="60"/>
    </row>
    <row r="12201" spans="7:24" ht="15" customHeight="1">
      <c r="G12201"/>
      <c r="I12201"/>
      <c r="N12201"/>
      <c r="O12201" s="24"/>
      <c r="P12201"/>
      <c r="Q12201" s="24"/>
      <c r="R12201"/>
      <c r="S12201"/>
      <c r="T12201"/>
      <c r="U12201"/>
      <c r="X12201" s="60"/>
    </row>
    <row r="12202" spans="7:24" ht="15" customHeight="1">
      <c r="G12202"/>
      <c r="I12202"/>
      <c r="N12202"/>
      <c r="O12202" s="24"/>
      <c r="P12202"/>
      <c r="Q12202" s="24"/>
      <c r="R12202"/>
      <c r="S12202"/>
      <c r="T12202"/>
      <c r="U12202"/>
      <c r="X12202" s="60"/>
    </row>
    <row r="12203" spans="7:24" ht="15" customHeight="1">
      <c r="G12203"/>
      <c r="I12203"/>
      <c r="N12203"/>
      <c r="O12203" s="24"/>
      <c r="P12203"/>
      <c r="Q12203" s="24"/>
      <c r="R12203"/>
      <c r="S12203"/>
      <c r="T12203"/>
      <c r="U12203"/>
      <c r="X12203" s="60"/>
    </row>
    <row r="12204" spans="7:24" ht="15" customHeight="1">
      <c r="G12204"/>
      <c r="I12204"/>
      <c r="N12204"/>
      <c r="O12204" s="24"/>
      <c r="P12204"/>
      <c r="Q12204" s="24"/>
      <c r="R12204"/>
      <c r="S12204"/>
      <c r="T12204"/>
      <c r="U12204"/>
      <c r="X12204" s="60"/>
    </row>
    <row r="12205" spans="7:24" ht="15" customHeight="1">
      <c r="G12205"/>
      <c r="I12205"/>
      <c r="N12205"/>
      <c r="O12205" s="24"/>
      <c r="P12205"/>
      <c r="Q12205" s="24"/>
      <c r="R12205"/>
      <c r="S12205"/>
      <c r="T12205"/>
      <c r="U12205"/>
      <c r="X12205" s="60"/>
    </row>
    <row r="12206" spans="7:24" ht="15" customHeight="1">
      <c r="G12206"/>
      <c r="I12206"/>
      <c r="N12206"/>
      <c r="O12206" s="24"/>
      <c r="P12206"/>
      <c r="Q12206" s="24"/>
      <c r="R12206"/>
      <c r="S12206"/>
      <c r="T12206"/>
      <c r="U12206"/>
      <c r="X12206" s="60"/>
    </row>
    <row r="12207" spans="7:24" ht="15" customHeight="1">
      <c r="G12207"/>
      <c r="I12207"/>
      <c r="N12207"/>
      <c r="O12207" s="24"/>
      <c r="P12207"/>
      <c r="Q12207" s="24"/>
      <c r="R12207"/>
      <c r="S12207"/>
      <c r="T12207"/>
      <c r="U12207"/>
      <c r="X12207" s="60"/>
    </row>
    <row r="12208" spans="7:24" ht="15" customHeight="1">
      <c r="G12208"/>
      <c r="I12208"/>
      <c r="N12208"/>
      <c r="O12208" s="24"/>
      <c r="P12208"/>
      <c r="Q12208" s="24"/>
      <c r="R12208"/>
      <c r="S12208"/>
      <c r="T12208"/>
      <c r="U12208"/>
      <c r="X12208" s="60"/>
    </row>
    <row r="12209" spans="7:24" ht="15" customHeight="1">
      <c r="G12209"/>
      <c r="I12209"/>
      <c r="N12209"/>
      <c r="O12209" s="24"/>
      <c r="P12209"/>
      <c r="Q12209" s="24"/>
      <c r="R12209"/>
      <c r="S12209"/>
      <c r="T12209"/>
      <c r="U12209"/>
      <c r="X12209" s="60"/>
    </row>
    <row r="12210" spans="7:24" ht="15" customHeight="1">
      <c r="G12210"/>
      <c r="I12210"/>
      <c r="N12210"/>
      <c r="O12210" s="24"/>
      <c r="P12210"/>
      <c r="Q12210" s="24"/>
      <c r="R12210"/>
      <c r="S12210"/>
      <c r="T12210"/>
      <c r="U12210"/>
      <c r="X12210" s="60"/>
    </row>
    <row r="12211" spans="7:24" ht="15" customHeight="1">
      <c r="G12211"/>
      <c r="I12211"/>
      <c r="N12211"/>
      <c r="O12211" s="24"/>
      <c r="P12211"/>
      <c r="Q12211" s="24"/>
      <c r="R12211"/>
      <c r="S12211"/>
      <c r="T12211"/>
      <c r="U12211"/>
      <c r="X12211" s="60"/>
    </row>
    <row r="12212" spans="7:24" ht="15" customHeight="1">
      <c r="G12212"/>
      <c r="I12212"/>
      <c r="N12212"/>
      <c r="O12212" s="24"/>
      <c r="P12212"/>
      <c r="Q12212" s="24"/>
      <c r="R12212"/>
      <c r="S12212"/>
      <c r="T12212"/>
      <c r="U12212"/>
      <c r="X12212" s="60"/>
    </row>
    <row r="12213" spans="7:24" ht="15" customHeight="1">
      <c r="G12213"/>
      <c r="I12213"/>
      <c r="N12213"/>
      <c r="O12213" s="24"/>
      <c r="P12213"/>
      <c r="Q12213" s="24"/>
      <c r="R12213"/>
      <c r="S12213"/>
      <c r="T12213"/>
      <c r="U12213"/>
      <c r="X12213" s="60"/>
    </row>
    <row r="12214" spans="7:24" ht="15" customHeight="1">
      <c r="G12214"/>
      <c r="I12214"/>
      <c r="N12214"/>
      <c r="O12214" s="24"/>
      <c r="P12214"/>
      <c r="Q12214" s="24"/>
      <c r="R12214"/>
      <c r="S12214"/>
      <c r="T12214"/>
      <c r="U12214"/>
      <c r="X12214" s="60"/>
    </row>
    <row r="12215" spans="7:24" ht="15" customHeight="1">
      <c r="G12215"/>
      <c r="I12215"/>
      <c r="N12215"/>
      <c r="O12215" s="24"/>
      <c r="P12215"/>
      <c r="Q12215" s="24"/>
      <c r="R12215"/>
      <c r="S12215"/>
      <c r="T12215"/>
      <c r="U12215"/>
      <c r="X12215" s="60"/>
    </row>
    <row r="12216" spans="7:24" ht="15" customHeight="1">
      <c r="G12216"/>
      <c r="I12216"/>
      <c r="N12216"/>
      <c r="O12216" s="24"/>
      <c r="P12216"/>
      <c r="Q12216" s="24"/>
      <c r="R12216"/>
      <c r="S12216"/>
      <c r="T12216"/>
      <c r="U12216"/>
      <c r="X12216" s="60"/>
    </row>
    <row r="12217" spans="7:24" ht="15" customHeight="1">
      <c r="G12217"/>
      <c r="I12217"/>
      <c r="N12217"/>
      <c r="O12217" s="24"/>
      <c r="P12217"/>
      <c r="Q12217" s="24"/>
      <c r="R12217"/>
      <c r="S12217"/>
      <c r="T12217"/>
      <c r="U12217"/>
      <c r="X12217" s="60"/>
    </row>
    <row r="12218" spans="7:24" ht="15" customHeight="1">
      <c r="G12218"/>
      <c r="I12218"/>
      <c r="N12218"/>
      <c r="O12218" s="24"/>
      <c r="P12218"/>
      <c r="Q12218" s="24"/>
      <c r="R12218"/>
      <c r="S12218"/>
      <c r="T12218"/>
      <c r="U12218"/>
      <c r="X12218" s="60"/>
    </row>
    <row r="12219" spans="7:24" ht="15" customHeight="1">
      <c r="G12219"/>
      <c r="I12219"/>
      <c r="N12219"/>
      <c r="O12219" s="24"/>
      <c r="P12219"/>
      <c r="Q12219" s="24"/>
      <c r="R12219"/>
      <c r="S12219"/>
      <c r="T12219"/>
      <c r="U12219"/>
      <c r="X12219" s="60"/>
    </row>
    <row r="12220" spans="7:24" ht="15" customHeight="1">
      <c r="G12220"/>
      <c r="I12220"/>
      <c r="N12220"/>
      <c r="O12220" s="24"/>
      <c r="P12220"/>
      <c r="Q12220" s="24"/>
      <c r="R12220"/>
      <c r="S12220"/>
      <c r="T12220"/>
      <c r="U12220"/>
      <c r="X12220" s="60"/>
    </row>
    <row r="12221" spans="7:24" ht="15" customHeight="1">
      <c r="G12221"/>
      <c r="I12221"/>
      <c r="N12221"/>
      <c r="O12221" s="24"/>
      <c r="P12221"/>
      <c r="Q12221" s="24"/>
      <c r="R12221"/>
      <c r="S12221"/>
      <c r="T12221"/>
      <c r="U12221"/>
      <c r="X12221" s="60"/>
    </row>
    <row r="12222" spans="7:24" ht="15" customHeight="1">
      <c r="G12222"/>
      <c r="I12222"/>
      <c r="N12222"/>
      <c r="O12222" s="24"/>
      <c r="P12222"/>
      <c r="Q12222" s="24"/>
      <c r="R12222"/>
      <c r="S12222"/>
      <c r="T12222"/>
      <c r="U12222"/>
      <c r="X12222" s="60"/>
    </row>
    <row r="12223" spans="7:24" ht="15" customHeight="1">
      <c r="G12223"/>
      <c r="I12223"/>
      <c r="N12223"/>
      <c r="O12223" s="24"/>
      <c r="P12223"/>
      <c r="Q12223" s="24"/>
      <c r="R12223"/>
      <c r="S12223"/>
      <c r="T12223"/>
      <c r="U12223"/>
      <c r="X12223" s="60"/>
    </row>
    <row r="12224" spans="7:24" ht="15" customHeight="1">
      <c r="G12224"/>
      <c r="I12224"/>
      <c r="N12224"/>
      <c r="O12224" s="24"/>
      <c r="P12224"/>
      <c r="Q12224" s="24"/>
      <c r="R12224"/>
      <c r="S12224"/>
      <c r="T12224"/>
      <c r="U12224"/>
      <c r="X12224" s="60"/>
    </row>
    <row r="12225" spans="7:24" ht="15" customHeight="1">
      <c r="G12225"/>
      <c r="I12225"/>
      <c r="N12225"/>
      <c r="O12225" s="24"/>
      <c r="P12225"/>
      <c r="Q12225" s="24"/>
      <c r="R12225"/>
      <c r="S12225"/>
      <c r="T12225"/>
      <c r="U12225"/>
      <c r="X12225" s="60"/>
    </row>
    <row r="12226" spans="7:24" ht="15" customHeight="1">
      <c r="G12226"/>
      <c r="I12226"/>
      <c r="N12226"/>
      <c r="O12226" s="24"/>
      <c r="P12226"/>
      <c r="Q12226" s="24"/>
      <c r="R12226"/>
      <c r="S12226"/>
      <c r="T12226"/>
      <c r="U12226"/>
      <c r="X12226" s="60"/>
    </row>
    <row r="12227" spans="7:24" ht="15" customHeight="1">
      <c r="G12227"/>
      <c r="I12227"/>
      <c r="N12227"/>
      <c r="O12227" s="24"/>
      <c r="P12227"/>
      <c r="Q12227" s="24"/>
      <c r="R12227"/>
      <c r="S12227"/>
      <c r="T12227"/>
      <c r="U12227"/>
      <c r="X12227" s="60"/>
    </row>
    <row r="12228" spans="7:24" ht="15" customHeight="1">
      <c r="G12228"/>
      <c r="I12228"/>
      <c r="N12228"/>
      <c r="O12228" s="24"/>
      <c r="P12228"/>
      <c r="Q12228" s="24"/>
      <c r="R12228"/>
      <c r="S12228"/>
      <c r="T12228"/>
      <c r="U12228"/>
      <c r="X12228" s="60"/>
    </row>
    <row r="12229" spans="7:24" ht="15" customHeight="1">
      <c r="G12229"/>
      <c r="I12229"/>
      <c r="N12229"/>
      <c r="O12229" s="24"/>
      <c r="P12229"/>
      <c r="Q12229" s="24"/>
      <c r="R12229"/>
      <c r="S12229"/>
      <c r="T12229"/>
      <c r="U12229"/>
      <c r="X12229" s="60"/>
    </row>
    <row r="12230" spans="7:24" ht="15" customHeight="1">
      <c r="G12230"/>
      <c r="I12230"/>
      <c r="N12230"/>
      <c r="O12230" s="24"/>
      <c r="P12230"/>
      <c r="Q12230" s="24"/>
      <c r="R12230"/>
      <c r="S12230"/>
      <c r="T12230"/>
      <c r="U12230"/>
      <c r="X12230" s="60"/>
    </row>
    <row r="12231" spans="7:24" ht="15" customHeight="1">
      <c r="G12231"/>
      <c r="I12231"/>
      <c r="N12231"/>
      <c r="O12231" s="24"/>
      <c r="P12231"/>
      <c r="Q12231" s="24"/>
      <c r="R12231"/>
      <c r="S12231"/>
      <c r="T12231"/>
      <c r="U12231"/>
      <c r="X12231" s="60"/>
    </row>
    <row r="12232" spans="7:24" ht="15" customHeight="1">
      <c r="G12232"/>
      <c r="I12232"/>
      <c r="N12232"/>
      <c r="O12232" s="24"/>
      <c r="P12232"/>
      <c r="Q12232" s="24"/>
      <c r="R12232"/>
      <c r="S12232"/>
      <c r="T12232"/>
      <c r="U12232"/>
      <c r="X12232" s="60"/>
    </row>
    <row r="12233" spans="7:24" ht="15" customHeight="1">
      <c r="G12233"/>
      <c r="I12233"/>
      <c r="N12233"/>
      <c r="O12233" s="24"/>
      <c r="P12233"/>
      <c r="Q12233" s="24"/>
      <c r="R12233"/>
      <c r="S12233"/>
      <c r="T12233"/>
      <c r="U12233"/>
      <c r="X12233" s="60"/>
    </row>
    <row r="12234" spans="7:24" ht="15" customHeight="1">
      <c r="G12234"/>
      <c r="I12234"/>
      <c r="N12234"/>
      <c r="O12234" s="24"/>
      <c r="P12234"/>
      <c r="Q12234" s="24"/>
      <c r="R12234"/>
      <c r="S12234"/>
      <c r="T12234"/>
      <c r="U12234"/>
      <c r="X12234" s="60"/>
    </row>
    <row r="12235" spans="7:24" ht="15" customHeight="1">
      <c r="G12235"/>
      <c r="I12235"/>
      <c r="N12235"/>
      <c r="O12235" s="24"/>
      <c r="P12235"/>
      <c r="Q12235" s="24"/>
      <c r="R12235"/>
      <c r="S12235"/>
      <c r="T12235"/>
      <c r="U12235"/>
      <c r="X12235" s="60"/>
    </row>
    <row r="12236" spans="7:24" ht="15" customHeight="1">
      <c r="G12236"/>
      <c r="I12236"/>
      <c r="N12236"/>
      <c r="O12236" s="24"/>
      <c r="P12236"/>
      <c r="Q12236" s="24"/>
      <c r="R12236"/>
      <c r="S12236"/>
      <c r="T12236"/>
      <c r="U12236"/>
      <c r="X12236" s="60"/>
    </row>
    <row r="12237" spans="7:24" ht="15" customHeight="1">
      <c r="G12237"/>
      <c r="I12237"/>
      <c r="N12237"/>
      <c r="O12237" s="24"/>
      <c r="P12237"/>
      <c r="Q12237" s="24"/>
      <c r="R12237"/>
      <c r="S12237"/>
      <c r="T12237"/>
      <c r="U12237"/>
      <c r="X12237" s="60"/>
    </row>
    <row r="12238" spans="7:24" ht="15" customHeight="1">
      <c r="G12238"/>
      <c r="I12238"/>
      <c r="N12238"/>
      <c r="O12238" s="24"/>
      <c r="P12238"/>
      <c r="Q12238" s="24"/>
      <c r="R12238"/>
      <c r="S12238"/>
      <c r="T12238"/>
      <c r="U12238"/>
      <c r="X12238" s="60"/>
    </row>
    <row r="12239" spans="7:24" ht="15" customHeight="1">
      <c r="G12239"/>
      <c r="I12239"/>
      <c r="N12239"/>
      <c r="O12239" s="24"/>
      <c r="P12239"/>
      <c r="Q12239" s="24"/>
      <c r="R12239"/>
      <c r="S12239"/>
      <c r="T12239"/>
      <c r="U12239"/>
      <c r="X12239" s="60"/>
    </row>
    <row r="12240" spans="7:24" ht="15" customHeight="1">
      <c r="G12240"/>
      <c r="I12240"/>
      <c r="N12240"/>
      <c r="O12240" s="24"/>
      <c r="P12240"/>
      <c r="Q12240" s="24"/>
      <c r="R12240"/>
      <c r="S12240"/>
      <c r="T12240"/>
      <c r="U12240"/>
      <c r="X12240" s="60"/>
    </row>
    <row r="12241" spans="7:24" ht="15" customHeight="1">
      <c r="G12241"/>
      <c r="I12241"/>
      <c r="N12241"/>
      <c r="O12241" s="24"/>
      <c r="P12241"/>
      <c r="Q12241" s="24"/>
      <c r="R12241"/>
      <c r="S12241"/>
      <c r="T12241"/>
      <c r="U12241"/>
      <c r="X12241" s="60"/>
    </row>
    <row r="12242" spans="7:24" ht="15" customHeight="1">
      <c r="G12242"/>
      <c r="I12242"/>
      <c r="N12242"/>
      <c r="O12242" s="24"/>
      <c r="P12242"/>
      <c r="Q12242" s="24"/>
      <c r="R12242"/>
      <c r="S12242"/>
      <c r="T12242"/>
      <c r="U12242"/>
      <c r="X12242" s="60"/>
    </row>
    <row r="12243" spans="7:24" ht="15" customHeight="1">
      <c r="G12243"/>
      <c r="I12243"/>
      <c r="N12243"/>
      <c r="O12243" s="24"/>
      <c r="P12243"/>
      <c r="Q12243" s="24"/>
      <c r="R12243"/>
      <c r="S12243"/>
      <c r="T12243"/>
      <c r="U12243"/>
      <c r="X12243" s="60"/>
    </row>
    <row r="12244" spans="7:24" ht="15" customHeight="1">
      <c r="G12244"/>
      <c r="I12244"/>
      <c r="N12244"/>
      <c r="O12244" s="24"/>
      <c r="P12244"/>
      <c r="Q12244" s="24"/>
      <c r="R12244"/>
      <c r="S12244"/>
      <c r="T12244"/>
      <c r="U12244"/>
      <c r="X12244" s="60"/>
    </row>
    <row r="12245" spans="7:24" ht="15" customHeight="1">
      <c r="G12245"/>
      <c r="I12245"/>
      <c r="N12245"/>
      <c r="O12245" s="24"/>
      <c r="P12245"/>
      <c r="Q12245" s="24"/>
      <c r="R12245"/>
      <c r="S12245"/>
      <c r="T12245"/>
      <c r="U12245"/>
      <c r="X12245" s="60"/>
    </row>
    <row r="12246" spans="7:24" ht="15" customHeight="1">
      <c r="G12246"/>
      <c r="I12246"/>
      <c r="N12246"/>
      <c r="O12246" s="24"/>
      <c r="P12246"/>
      <c r="Q12246" s="24"/>
      <c r="R12246"/>
      <c r="S12246"/>
      <c r="T12246"/>
      <c r="U12246"/>
      <c r="X12246" s="60"/>
    </row>
    <row r="12247" spans="7:24" ht="15" customHeight="1">
      <c r="G12247"/>
      <c r="I12247"/>
      <c r="N12247"/>
      <c r="O12247" s="24"/>
      <c r="P12247"/>
      <c r="Q12247" s="24"/>
      <c r="R12247"/>
      <c r="S12247"/>
      <c r="T12247"/>
      <c r="U12247"/>
      <c r="X12247" s="60"/>
    </row>
    <row r="12248" spans="7:24" ht="15" customHeight="1">
      <c r="G12248"/>
      <c r="I12248"/>
      <c r="N12248"/>
      <c r="O12248" s="24"/>
      <c r="P12248"/>
      <c r="Q12248" s="24"/>
      <c r="R12248"/>
      <c r="S12248"/>
      <c r="T12248"/>
      <c r="U12248"/>
      <c r="X12248" s="60"/>
    </row>
    <row r="12249" spans="7:24" ht="15" customHeight="1">
      <c r="G12249"/>
      <c r="I12249"/>
      <c r="N12249"/>
      <c r="O12249" s="24"/>
      <c r="P12249"/>
      <c r="Q12249" s="24"/>
      <c r="R12249"/>
      <c r="S12249"/>
      <c r="T12249"/>
      <c r="U12249"/>
      <c r="X12249" s="60"/>
    </row>
    <row r="12250" spans="7:24" ht="15" customHeight="1">
      <c r="G12250"/>
      <c r="I12250"/>
      <c r="N12250"/>
      <c r="O12250" s="24"/>
      <c r="P12250"/>
      <c r="Q12250" s="24"/>
      <c r="R12250"/>
      <c r="S12250"/>
      <c r="T12250"/>
      <c r="U12250"/>
      <c r="X12250" s="60"/>
    </row>
    <row r="12251" spans="7:24" ht="15" customHeight="1">
      <c r="G12251"/>
      <c r="I12251"/>
      <c r="N12251"/>
      <c r="O12251" s="24"/>
      <c r="P12251"/>
      <c r="Q12251" s="24"/>
      <c r="R12251"/>
      <c r="S12251"/>
      <c r="T12251"/>
      <c r="U12251"/>
      <c r="X12251" s="60"/>
    </row>
    <row r="12252" spans="7:24" ht="15" customHeight="1">
      <c r="G12252"/>
      <c r="I12252"/>
      <c r="N12252"/>
      <c r="O12252" s="24"/>
      <c r="P12252"/>
      <c r="Q12252" s="24"/>
      <c r="R12252"/>
      <c r="S12252"/>
      <c r="T12252"/>
      <c r="U12252"/>
      <c r="X12252" s="60"/>
    </row>
    <row r="12253" spans="7:24" ht="15" customHeight="1">
      <c r="G12253"/>
      <c r="I12253"/>
      <c r="N12253"/>
      <c r="O12253" s="24"/>
      <c r="P12253"/>
      <c r="Q12253" s="24"/>
      <c r="R12253"/>
      <c r="S12253"/>
      <c r="T12253"/>
      <c r="U12253"/>
      <c r="X12253" s="60"/>
    </row>
    <row r="12254" spans="7:24" ht="15" customHeight="1">
      <c r="G12254"/>
      <c r="I12254"/>
      <c r="N12254"/>
      <c r="O12254" s="24"/>
      <c r="P12254"/>
      <c r="Q12254" s="24"/>
      <c r="R12254"/>
      <c r="S12254"/>
      <c r="T12254"/>
      <c r="U12254"/>
      <c r="X12254" s="60"/>
    </row>
    <row r="12255" spans="7:24" ht="15" customHeight="1">
      <c r="G12255"/>
      <c r="I12255"/>
      <c r="N12255"/>
      <c r="O12255" s="24"/>
      <c r="P12255"/>
      <c r="Q12255" s="24"/>
      <c r="R12255"/>
      <c r="S12255"/>
      <c r="T12255"/>
      <c r="U12255"/>
      <c r="X12255" s="60"/>
    </row>
    <row r="12256" spans="7:24" ht="15" customHeight="1">
      <c r="G12256"/>
      <c r="I12256"/>
      <c r="N12256"/>
      <c r="O12256" s="24"/>
      <c r="P12256"/>
      <c r="Q12256" s="24"/>
      <c r="R12256"/>
      <c r="S12256"/>
      <c r="T12256"/>
      <c r="U12256"/>
      <c r="X12256" s="60"/>
    </row>
    <row r="12257" spans="7:24" ht="15" customHeight="1">
      <c r="G12257"/>
      <c r="I12257"/>
      <c r="N12257"/>
      <c r="O12257" s="24"/>
      <c r="P12257"/>
      <c r="Q12257" s="24"/>
      <c r="R12257"/>
      <c r="S12257"/>
      <c r="T12257"/>
      <c r="U12257"/>
      <c r="X12257" s="60"/>
    </row>
    <row r="12258" spans="7:24" ht="15" customHeight="1">
      <c r="G12258"/>
      <c r="I12258"/>
      <c r="N12258"/>
      <c r="O12258" s="24"/>
      <c r="P12258"/>
      <c r="Q12258" s="24"/>
      <c r="R12258"/>
      <c r="S12258"/>
      <c r="T12258"/>
      <c r="U12258"/>
      <c r="X12258" s="60"/>
    </row>
    <row r="12259" spans="7:24" ht="15" customHeight="1">
      <c r="G12259"/>
      <c r="I12259"/>
      <c r="N12259"/>
      <c r="O12259" s="24"/>
      <c r="P12259"/>
      <c r="Q12259" s="24"/>
      <c r="R12259"/>
      <c r="S12259"/>
      <c r="T12259"/>
      <c r="U12259"/>
      <c r="X12259" s="60"/>
    </row>
    <row r="12260" spans="7:24" ht="15" customHeight="1">
      <c r="G12260"/>
      <c r="I12260"/>
      <c r="N12260"/>
      <c r="O12260" s="24"/>
      <c r="P12260"/>
      <c r="Q12260" s="24"/>
      <c r="R12260"/>
      <c r="S12260"/>
      <c r="T12260"/>
      <c r="U12260"/>
      <c r="X12260" s="60"/>
    </row>
    <row r="12261" spans="7:24" ht="15" customHeight="1">
      <c r="G12261"/>
      <c r="I12261"/>
      <c r="N12261"/>
      <c r="O12261" s="24"/>
      <c r="P12261"/>
      <c r="Q12261" s="24"/>
      <c r="R12261"/>
      <c r="S12261"/>
      <c r="T12261"/>
      <c r="U12261"/>
      <c r="X12261" s="60"/>
    </row>
    <row r="12262" spans="7:24" ht="15" customHeight="1">
      <c r="G12262"/>
      <c r="I12262"/>
      <c r="N12262"/>
      <c r="O12262" s="24"/>
      <c r="P12262"/>
      <c r="Q12262" s="24"/>
      <c r="R12262"/>
      <c r="S12262"/>
      <c r="T12262"/>
      <c r="U12262"/>
      <c r="X12262" s="60"/>
    </row>
    <row r="12263" spans="7:24" ht="15" customHeight="1">
      <c r="G12263"/>
      <c r="I12263"/>
      <c r="N12263"/>
      <c r="O12263" s="24"/>
      <c r="P12263"/>
      <c r="Q12263" s="24"/>
      <c r="R12263"/>
      <c r="S12263"/>
      <c r="T12263"/>
      <c r="U12263"/>
      <c r="X12263" s="60"/>
    </row>
    <row r="12264" spans="7:24" ht="15" customHeight="1">
      <c r="G12264"/>
      <c r="I12264"/>
      <c r="N12264"/>
      <c r="O12264" s="24"/>
      <c r="P12264"/>
      <c r="Q12264" s="24"/>
      <c r="R12264"/>
      <c r="S12264"/>
      <c r="T12264"/>
      <c r="U12264"/>
      <c r="X12264" s="60"/>
    </row>
    <row r="12265" spans="7:24" ht="15" customHeight="1">
      <c r="G12265"/>
      <c r="I12265"/>
      <c r="N12265"/>
      <c r="O12265" s="24"/>
      <c r="P12265"/>
      <c r="Q12265" s="24"/>
      <c r="R12265"/>
      <c r="S12265"/>
      <c r="T12265"/>
      <c r="U12265"/>
      <c r="X12265" s="60"/>
    </row>
    <row r="12266" spans="7:24" ht="15" customHeight="1">
      <c r="G12266"/>
      <c r="I12266"/>
      <c r="N12266"/>
      <c r="O12266" s="24"/>
      <c r="P12266"/>
      <c r="Q12266" s="24"/>
      <c r="R12266"/>
      <c r="S12266"/>
      <c r="T12266"/>
      <c r="U12266"/>
      <c r="X12266" s="60"/>
    </row>
    <row r="12267" spans="7:24" ht="15" customHeight="1">
      <c r="G12267"/>
      <c r="I12267"/>
      <c r="N12267"/>
      <c r="O12267" s="24"/>
      <c r="P12267"/>
      <c r="Q12267" s="24"/>
      <c r="R12267"/>
      <c r="S12267"/>
      <c r="T12267"/>
      <c r="U12267"/>
      <c r="X12267" s="60"/>
    </row>
    <row r="12268" spans="7:24" ht="15" customHeight="1">
      <c r="G12268"/>
      <c r="I12268"/>
      <c r="N12268"/>
      <c r="O12268" s="24"/>
      <c r="P12268"/>
      <c r="Q12268" s="24"/>
      <c r="R12268"/>
      <c r="S12268"/>
      <c r="T12268"/>
      <c r="U12268"/>
      <c r="X12268" s="60"/>
    </row>
    <row r="12269" spans="7:24" ht="15" customHeight="1">
      <c r="G12269"/>
      <c r="I12269"/>
      <c r="N12269"/>
      <c r="O12269" s="24"/>
      <c r="P12269"/>
      <c r="Q12269" s="24"/>
      <c r="R12269"/>
      <c r="S12269"/>
      <c r="T12269"/>
      <c r="U12269"/>
      <c r="X12269" s="60"/>
    </row>
    <row r="12270" spans="7:24" ht="15" customHeight="1">
      <c r="G12270"/>
      <c r="I12270"/>
      <c r="N12270"/>
      <c r="O12270" s="24"/>
      <c r="P12270"/>
      <c r="Q12270" s="24"/>
      <c r="R12270"/>
      <c r="S12270"/>
      <c r="T12270"/>
      <c r="U12270"/>
      <c r="X12270" s="60"/>
    </row>
    <row r="12271" spans="7:24" ht="15" customHeight="1">
      <c r="G12271"/>
      <c r="I12271"/>
      <c r="N12271"/>
      <c r="O12271" s="24"/>
      <c r="P12271"/>
      <c r="Q12271" s="24"/>
      <c r="R12271"/>
      <c r="S12271"/>
      <c r="T12271"/>
      <c r="U12271"/>
      <c r="X12271" s="60"/>
    </row>
    <row r="12272" spans="7:24" ht="15" customHeight="1">
      <c r="G12272"/>
      <c r="I12272"/>
      <c r="N12272"/>
      <c r="O12272" s="24"/>
      <c r="P12272"/>
      <c r="Q12272" s="24"/>
      <c r="R12272"/>
      <c r="S12272"/>
      <c r="T12272"/>
      <c r="U12272"/>
      <c r="X12272" s="60"/>
    </row>
    <row r="12273" spans="7:24" ht="15" customHeight="1">
      <c r="G12273"/>
      <c r="I12273"/>
      <c r="N12273"/>
      <c r="O12273" s="24"/>
      <c r="P12273"/>
      <c r="Q12273" s="24"/>
      <c r="R12273"/>
      <c r="S12273"/>
      <c r="T12273"/>
      <c r="U12273"/>
      <c r="X12273" s="60"/>
    </row>
    <row r="12274" spans="7:24" ht="15" customHeight="1">
      <c r="G12274"/>
      <c r="I12274"/>
      <c r="N12274"/>
      <c r="O12274" s="24"/>
      <c r="P12274"/>
      <c r="Q12274" s="24"/>
      <c r="R12274"/>
      <c r="S12274"/>
      <c r="T12274"/>
      <c r="U12274"/>
      <c r="X12274" s="60"/>
    </row>
    <row r="12275" spans="7:24" ht="15" customHeight="1">
      <c r="G12275"/>
      <c r="I12275"/>
      <c r="N12275"/>
      <c r="O12275" s="24"/>
      <c r="P12275"/>
      <c r="Q12275" s="24"/>
      <c r="R12275"/>
      <c r="S12275"/>
      <c r="T12275"/>
      <c r="U12275"/>
      <c r="X12275" s="60"/>
    </row>
    <row r="12276" spans="7:24" ht="15" customHeight="1">
      <c r="G12276"/>
      <c r="I12276"/>
      <c r="N12276"/>
      <c r="O12276" s="24"/>
      <c r="P12276"/>
      <c r="Q12276" s="24"/>
      <c r="R12276"/>
      <c r="S12276"/>
      <c r="T12276"/>
      <c r="U12276"/>
      <c r="X12276" s="60"/>
    </row>
    <row r="12277" spans="7:24" ht="15" customHeight="1">
      <c r="G12277"/>
      <c r="I12277"/>
      <c r="N12277"/>
      <c r="O12277" s="24"/>
      <c r="P12277"/>
      <c r="Q12277" s="24"/>
      <c r="R12277"/>
      <c r="S12277"/>
      <c r="T12277"/>
      <c r="U12277"/>
      <c r="X12277" s="60"/>
    </row>
    <row r="12278" spans="7:24" ht="15" customHeight="1">
      <c r="G12278"/>
      <c r="I12278"/>
      <c r="N12278"/>
      <c r="O12278" s="24"/>
      <c r="P12278"/>
      <c r="Q12278" s="24"/>
      <c r="R12278"/>
      <c r="S12278"/>
      <c r="T12278"/>
      <c r="U12278"/>
      <c r="X12278" s="60"/>
    </row>
    <row r="12279" spans="7:24" ht="15" customHeight="1">
      <c r="G12279"/>
      <c r="I12279"/>
      <c r="N12279"/>
      <c r="O12279" s="24"/>
      <c r="P12279"/>
      <c r="Q12279" s="24"/>
      <c r="R12279"/>
      <c r="S12279"/>
      <c r="T12279"/>
      <c r="U12279"/>
      <c r="X12279" s="60"/>
    </row>
    <row r="12280" spans="7:24" ht="15" customHeight="1">
      <c r="G12280"/>
      <c r="I12280"/>
      <c r="N12280"/>
      <c r="O12280" s="24"/>
      <c r="P12280"/>
      <c r="Q12280" s="24"/>
      <c r="R12280"/>
      <c r="S12280"/>
      <c r="T12280"/>
      <c r="U12280"/>
      <c r="X12280" s="60"/>
    </row>
    <row r="12281" spans="7:24" ht="15" customHeight="1">
      <c r="G12281"/>
      <c r="I12281"/>
      <c r="N12281"/>
      <c r="O12281" s="24"/>
      <c r="P12281"/>
      <c r="Q12281" s="24"/>
      <c r="R12281"/>
      <c r="S12281"/>
      <c r="T12281"/>
      <c r="U12281"/>
      <c r="X12281" s="60"/>
    </row>
    <row r="12282" spans="7:24" ht="15" customHeight="1">
      <c r="G12282"/>
      <c r="I12282"/>
      <c r="N12282"/>
      <c r="O12282" s="24"/>
      <c r="P12282"/>
      <c r="Q12282" s="24"/>
      <c r="R12282"/>
      <c r="S12282"/>
      <c r="T12282"/>
      <c r="U12282"/>
      <c r="X12282" s="60"/>
    </row>
    <row r="12283" spans="7:24" ht="15" customHeight="1">
      <c r="G12283"/>
      <c r="I12283"/>
      <c r="N12283"/>
      <c r="O12283" s="24"/>
      <c r="P12283"/>
      <c r="Q12283" s="24"/>
      <c r="R12283"/>
      <c r="S12283"/>
      <c r="T12283"/>
      <c r="U12283"/>
      <c r="X12283" s="60"/>
    </row>
    <row r="12284" spans="7:24" ht="15" customHeight="1">
      <c r="G12284"/>
      <c r="I12284"/>
      <c r="N12284"/>
      <c r="O12284" s="24"/>
      <c r="P12284"/>
      <c r="Q12284" s="24"/>
      <c r="R12284"/>
      <c r="S12284"/>
      <c r="T12284"/>
      <c r="U12284"/>
      <c r="X12284" s="60"/>
    </row>
    <row r="12285" spans="7:24" ht="15" customHeight="1">
      <c r="G12285"/>
      <c r="I12285"/>
      <c r="N12285"/>
      <c r="O12285" s="24"/>
      <c r="P12285"/>
      <c r="Q12285" s="24"/>
      <c r="R12285"/>
      <c r="S12285"/>
      <c r="T12285"/>
      <c r="U12285"/>
      <c r="X12285" s="60"/>
    </row>
    <row r="12286" spans="7:24" ht="15" customHeight="1">
      <c r="G12286"/>
      <c r="I12286"/>
      <c r="N12286"/>
      <c r="O12286" s="24"/>
      <c r="P12286"/>
      <c r="Q12286" s="24"/>
      <c r="R12286"/>
      <c r="S12286"/>
      <c r="T12286"/>
      <c r="U12286"/>
      <c r="X12286" s="60"/>
    </row>
    <row r="12287" spans="7:24" ht="15" customHeight="1">
      <c r="G12287"/>
      <c r="I12287"/>
      <c r="N12287"/>
      <c r="O12287" s="24"/>
      <c r="P12287"/>
      <c r="Q12287" s="24"/>
      <c r="R12287"/>
      <c r="S12287"/>
      <c r="T12287"/>
      <c r="U12287"/>
      <c r="X12287" s="60"/>
    </row>
    <row r="12288" spans="7:24" ht="15" customHeight="1">
      <c r="G12288"/>
      <c r="I12288"/>
      <c r="N12288"/>
      <c r="O12288" s="24"/>
      <c r="P12288"/>
      <c r="Q12288" s="24"/>
      <c r="R12288"/>
      <c r="S12288"/>
      <c r="T12288"/>
      <c r="U12288"/>
      <c r="X12288" s="60"/>
    </row>
    <row r="12289" spans="7:24" ht="15" customHeight="1">
      <c r="G12289"/>
      <c r="I12289"/>
      <c r="N12289"/>
      <c r="O12289" s="24"/>
      <c r="P12289"/>
      <c r="Q12289" s="24"/>
      <c r="R12289"/>
      <c r="S12289"/>
      <c r="T12289"/>
      <c r="U12289"/>
      <c r="X12289" s="60"/>
    </row>
    <row r="12290" spans="7:24" ht="15" customHeight="1">
      <c r="G12290"/>
      <c r="I12290"/>
      <c r="N12290"/>
      <c r="O12290" s="24"/>
      <c r="P12290"/>
      <c r="Q12290" s="24"/>
      <c r="R12290"/>
      <c r="S12290"/>
      <c r="T12290"/>
      <c r="U12290"/>
      <c r="X12290" s="60"/>
    </row>
    <row r="12291" spans="7:24" ht="15" customHeight="1">
      <c r="G12291"/>
      <c r="I12291"/>
      <c r="N12291"/>
      <c r="O12291" s="24"/>
      <c r="P12291"/>
      <c r="Q12291" s="24"/>
      <c r="R12291"/>
      <c r="S12291"/>
      <c r="T12291"/>
      <c r="U12291"/>
      <c r="X12291" s="60"/>
    </row>
    <row r="12292" spans="7:24" ht="15" customHeight="1">
      <c r="G12292"/>
      <c r="I12292"/>
      <c r="N12292"/>
      <c r="O12292" s="24"/>
      <c r="P12292"/>
      <c r="Q12292" s="24"/>
      <c r="R12292"/>
      <c r="S12292"/>
      <c r="T12292"/>
      <c r="U12292"/>
      <c r="X12292" s="60"/>
    </row>
    <row r="12293" spans="7:24" ht="15" customHeight="1">
      <c r="G12293"/>
      <c r="I12293"/>
      <c r="N12293"/>
      <c r="O12293" s="24"/>
      <c r="P12293"/>
      <c r="Q12293" s="24"/>
      <c r="R12293"/>
      <c r="S12293"/>
      <c r="T12293"/>
      <c r="U12293"/>
      <c r="X12293" s="60"/>
    </row>
    <row r="12294" spans="7:24" ht="15" customHeight="1">
      <c r="G12294"/>
      <c r="I12294"/>
      <c r="N12294"/>
      <c r="O12294" s="24"/>
      <c r="P12294"/>
      <c r="Q12294" s="24"/>
      <c r="R12294"/>
      <c r="S12294"/>
      <c r="T12294"/>
      <c r="U12294"/>
      <c r="X12294" s="60"/>
    </row>
    <row r="12295" spans="7:24" ht="15" customHeight="1">
      <c r="G12295"/>
      <c r="I12295"/>
      <c r="N12295"/>
      <c r="O12295" s="24"/>
      <c r="P12295"/>
      <c r="Q12295" s="24"/>
      <c r="R12295"/>
      <c r="S12295"/>
      <c r="T12295"/>
      <c r="U12295"/>
      <c r="X12295" s="60"/>
    </row>
    <row r="12296" spans="7:24" ht="15" customHeight="1">
      <c r="G12296"/>
      <c r="I12296"/>
      <c r="N12296"/>
      <c r="O12296" s="24"/>
      <c r="P12296"/>
      <c r="Q12296" s="24"/>
      <c r="R12296"/>
      <c r="S12296"/>
      <c r="T12296"/>
      <c r="U12296"/>
      <c r="X12296" s="60"/>
    </row>
    <row r="12297" spans="7:24" ht="15" customHeight="1">
      <c r="G12297"/>
      <c r="I12297"/>
      <c r="N12297"/>
      <c r="O12297" s="24"/>
      <c r="P12297"/>
      <c r="Q12297" s="24"/>
      <c r="R12297"/>
      <c r="S12297"/>
      <c r="T12297"/>
      <c r="U12297"/>
      <c r="X12297" s="60"/>
    </row>
    <row r="12298" spans="7:24" ht="15" customHeight="1">
      <c r="G12298"/>
      <c r="I12298"/>
      <c r="N12298"/>
      <c r="O12298" s="24"/>
      <c r="P12298"/>
      <c r="Q12298" s="24"/>
      <c r="R12298"/>
      <c r="S12298"/>
      <c r="T12298"/>
      <c r="U12298"/>
      <c r="X12298" s="60"/>
    </row>
    <row r="12299" spans="7:24" ht="15" customHeight="1">
      <c r="G12299"/>
      <c r="I12299"/>
      <c r="N12299"/>
      <c r="O12299" s="24"/>
      <c r="P12299"/>
      <c r="Q12299" s="24"/>
      <c r="R12299"/>
      <c r="S12299"/>
      <c r="T12299"/>
      <c r="U12299"/>
      <c r="X12299" s="60"/>
    </row>
    <row r="12300" spans="7:24" ht="15" customHeight="1">
      <c r="G12300"/>
      <c r="I12300"/>
      <c r="N12300"/>
      <c r="O12300" s="24"/>
      <c r="P12300"/>
      <c r="Q12300" s="24"/>
      <c r="R12300"/>
      <c r="S12300"/>
      <c r="T12300"/>
      <c r="U12300"/>
      <c r="X12300" s="60"/>
    </row>
    <row r="12301" spans="7:24" ht="15" customHeight="1">
      <c r="G12301"/>
      <c r="I12301"/>
      <c r="N12301"/>
      <c r="O12301" s="24"/>
      <c r="P12301"/>
      <c r="Q12301" s="24"/>
      <c r="R12301"/>
      <c r="S12301"/>
      <c r="T12301"/>
      <c r="U12301"/>
      <c r="X12301" s="60"/>
    </row>
    <row r="12302" spans="7:24" ht="15" customHeight="1">
      <c r="G12302"/>
      <c r="I12302"/>
      <c r="N12302"/>
      <c r="O12302" s="24"/>
      <c r="P12302"/>
      <c r="Q12302" s="24"/>
      <c r="R12302"/>
      <c r="S12302"/>
      <c r="T12302"/>
      <c r="U12302"/>
      <c r="X12302" s="60"/>
    </row>
    <row r="12303" spans="7:24" ht="15" customHeight="1">
      <c r="G12303"/>
      <c r="I12303"/>
      <c r="N12303"/>
      <c r="O12303" s="24"/>
      <c r="P12303"/>
      <c r="Q12303" s="24"/>
      <c r="R12303"/>
      <c r="S12303"/>
      <c r="T12303"/>
      <c r="U12303"/>
      <c r="X12303" s="60"/>
    </row>
    <row r="12304" spans="7:24" ht="15" customHeight="1">
      <c r="G12304"/>
      <c r="I12304"/>
      <c r="N12304"/>
      <c r="O12304" s="24"/>
      <c r="P12304"/>
      <c r="Q12304" s="24"/>
      <c r="R12304"/>
      <c r="S12304"/>
      <c r="T12304"/>
      <c r="U12304"/>
      <c r="X12304" s="60"/>
    </row>
    <row r="12305" spans="7:24" ht="15" customHeight="1">
      <c r="G12305"/>
      <c r="I12305"/>
      <c r="N12305"/>
      <c r="O12305" s="24"/>
      <c r="P12305"/>
      <c r="Q12305" s="24"/>
      <c r="R12305"/>
      <c r="S12305"/>
      <c r="T12305"/>
      <c r="U12305"/>
      <c r="X12305" s="60"/>
    </row>
    <row r="12306" spans="7:24" ht="15" customHeight="1">
      <c r="G12306"/>
      <c r="I12306"/>
      <c r="N12306"/>
      <c r="O12306" s="24"/>
      <c r="P12306"/>
      <c r="Q12306" s="24"/>
      <c r="R12306"/>
      <c r="S12306"/>
      <c r="T12306"/>
      <c r="U12306"/>
      <c r="X12306" s="60"/>
    </row>
    <row r="12307" spans="7:24" ht="15" customHeight="1">
      <c r="G12307"/>
      <c r="I12307"/>
      <c r="N12307"/>
      <c r="O12307" s="24"/>
      <c r="P12307"/>
      <c r="Q12307" s="24"/>
      <c r="R12307"/>
      <c r="S12307"/>
      <c r="T12307"/>
      <c r="U12307"/>
      <c r="X12307" s="60"/>
    </row>
    <row r="12308" spans="7:24" ht="15" customHeight="1">
      <c r="G12308"/>
      <c r="I12308"/>
      <c r="N12308"/>
      <c r="O12308" s="24"/>
      <c r="P12308"/>
      <c r="Q12308" s="24"/>
      <c r="R12308"/>
      <c r="S12308"/>
      <c r="T12308"/>
      <c r="U12308"/>
      <c r="X12308" s="60"/>
    </row>
    <row r="12309" spans="7:24" ht="15" customHeight="1">
      <c r="G12309"/>
      <c r="I12309"/>
      <c r="N12309"/>
      <c r="O12309" s="24"/>
      <c r="P12309"/>
      <c r="Q12309" s="24"/>
      <c r="R12309"/>
      <c r="S12309"/>
      <c r="T12309"/>
      <c r="U12309"/>
      <c r="X12309" s="60"/>
    </row>
    <row r="12310" spans="7:24" ht="15" customHeight="1">
      <c r="G12310"/>
      <c r="I12310"/>
      <c r="N12310"/>
      <c r="O12310" s="24"/>
      <c r="P12310"/>
      <c r="Q12310" s="24"/>
      <c r="R12310"/>
      <c r="S12310"/>
      <c r="T12310"/>
      <c r="U12310"/>
      <c r="X12310" s="60"/>
    </row>
    <row r="12311" spans="7:24" ht="15" customHeight="1">
      <c r="G12311"/>
      <c r="I12311"/>
      <c r="N12311"/>
      <c r="O12311" s="24"/>
      <c r="P12311"/>
      <c r="Q12311" s="24"/>
      <c r="R12311"/>
      <c r="S12311"/>
      <c r="T12311"/>
      <c r="U12311"/>
      <c r="X12311" s="60"/>
    </row>
    <row r="12312" spans="7:24" ht="15" customHeight="1">
      <c r="G12312"/>
      <c r="I12312"/>
      <c r="N12312"/>
      <c r="O12312" s="24"/>
      <c r="P12312"/>
      <c r="Q12312" s="24"/>
      <c r="R12312"/>
      <c r="S12312"/>
      <c r="T12312"/>
      <c r="U12312"/>
      <c r="X12312" s="60"/>
    </row>
    <row r="12313" spans="7:24" ht="15" customHeight="1">
      <c r="G12313"/>
      <c r="I12313"/>
      <c r="N12313"/>
      <c r="O12313" s="24"/>
      <c r="P12313"/>
      <c r="Q12313" s="24"/>
      <c r="R12313"/>
      <c r="S12313"/>
      <c r="T12313"/>
      <c r="U12313"/>
      <c r="X12313" s="60"/>
    </row>
    <row r="12314" spans="7:24" ht="15" customHeight="1">
      <c r="G12314"/>
      <c r="I12314"/>
      <c r="N12314"/>
      <c r="O12314" s="24"/>
      <c r="P12314"/>
      <c r="Q12314" s="24"/>
      <c r="R12314"/>
      <c r="S12314"/>
      <c r="T12314"/>
      <c r="U12314"/>
      <c r="X12314" s="60"/>
    </row>
    <row r="12315" spans="7:24" ht="15" customHeight="1">
      <c r="G12315"/>
      <c r="I12315"/>
      <c r="N12315"/>
      <c r="O12315" s="24"/>
      <c r="P12315"/>
      <c r="Q12315" s="24"/>
      <c r="R12315"/>
      <c r="S12315"/>
      <c r="T12315"/>
      <c r="U12315"/>
      <c r="X12315" s="60"/>
    </row>
    <row r="12316" spans="7:24" ht="15" customHeight="1">
      <c r="G12316"/>
      <c r="I12316"/>
      <c r="N12316"/>
      <c r="O12316" s="24"/>
      <c r="P12316"/>
      <c r="Q12316" s="24"/>
      <c r="R12316"/>
      <c r="S12316"/>
      <c r="T12316"/>
      <c r="U12316"/>
      <c r="X12316" s="60"/>
    </row>
    <row r="12317" spans="7:24" ht="15" customHeight="1">
      <c r="G12317"/>
      <c r="I12317"/>
      <c r="N12317"/>
      <c r="O12317" s="24"/>
      <c r="P12317"/>
      <c r="Q12317" s="24"/>
      <c r="R12317"/>
      <c r="S12317"/>
      <c r="T12317"/>
      <c r="U12317"/>
      <c r="X12317" s="60"/>
    </row>
    <row r="12318" spans="7:24" ht="15" customHeight="1">
      <c r="G12318"/>
      <c r="I12318"/>
      <c r="N12318"/>
      <c r="O12318" s="24"/>
      <c r="P12318"/>
      <c r="Q12318" s="24"/>
      <c r="R12318"/>
      <c r="S12318"/>
      <c r="T12318"/>
      <c r="U12318"/>
      <c r="X12318" s="60"/>
    </row>
    <row r="12319" spans="7:24" ht="15" customHeight="1">
      <c r="G12319"/>
      <c r="I12319"/>
      <c r="N12319"/>
      <c r="O12319" s="24"/>
      <c r="P12319"/>
      <c r="Q12319" s="24"/>
      <c r="R12319"/>
      <c r="S12319"/>
      <c r="T12319"/>
      <c r="U12319"/>
      <c r="X12319" s="60"/>
    </row>
    <row r="12320" spans="7:24" ht="15" customHeight="1">
      <c r="G12320"/>
      <c r="I12320"/>
      <c r="N12320"/>
      <c r="O12320" s="24"/>
      <c r="P12320"/>
      <c r="Q12320" s="24"/>
      <c r="R12320"/>
      <c r="S12320"/>
      <c r="T12320"/>
      <c r="U12320"/>
      <c r="X12320" s="60"/>
    </row>
    <row r="12321" spans="7:24" ht="15" customHeight="1">
      <c r="G12321"/>
      <c r="I12321"/>
      <c r="N12321"/>
      <c r="O12321" s="24"/>
      <c r="P12321"/>
      <c r="Q12321" s="24"/>
      <c r="R12321"/>
      <c r="S12321"/>
      <c r="T12321"/>
      <c r="U12321"/>
      <c r="X12321" s="60"/>
    </row>
    <row r="12322" spans="7:24" ht="15" customHeight="1">
      <c r="G12322"/>
      <c r="I12322"/>
      <c r="N12322"/>
      <c r="O12322" s="24"/>
      <c r="P12322"/>
      <c r="Q12322" s="24"/>
      <c r="R12322"/>
      <c r="S12322"/>
      <c r="T12322"/>
      <c r="U12322"/>
      <c r="X12322" s="60"/>
    </row>
    <row r="12323" spans="7:24" ht="15" customHeight="1">
      <c r="G12323"/>
      <c r="I12323"/>
      <c r="N12323"/>
      <c r="O12323" s="24"/>
      <c r="P12323"/>
      <c r="Q12323" s="24"/>
      <c r="R12323"/>
      <c r="S12323"/>
      <c r="T12323"/>
      <c r="U12323"/>
      <c r="X12323" s="60"/>
    </row>
    <row r="12324" spans="7:24" ht="15" customHeight="1">
      <c r="G12324"/>
      <c r="I12324"/>
      <c r="N12324"/>
      <c r="O12324" s="24"/>
      <c r="P12324"/>
      <c r="Q12324" s="24"/>
      <c r="R12324"/>
      <c r="S12324"/>
      <c r="T12324"/>
      <c r="U12324"/>
      <c r="X12324" s="60"/>
    </row>
    <row r="12325" spans="7:24" ht="15" customHeight="1">
      <c r="G12325"/>
      <c r="I12325"/>
      <c r="N12325"/>
      <c r="O12325" s="24"/>
      <c r="P12325"/>
      <c r="Q12325" s="24"/>
      <c r="R12325"/>
      <c r="S12325"/>
      <c r="T12325"/>
      <c r="U12325"/>
      <c r="X12325" s="60"/>
    </row>
    <row r="12326" spans="7:24" ht="15" customHeight="1">
      <c r="G12326"/>
      <c r="I12326"/>
      <c r="N12326"/>
      <c r="O12326" s="24"/>
      <c r="P12326"/>
      <c r="Q12326" s="24"/>
      <c r="R12326"/>
      <c r="S12326"/>
      <c r="T12326"/>
      <c r="U12326"/>
      <c r="X12326" s="60"/>
    </row>
    <row r="12327" spans="7:24" ht="15" customHeight="1">
      <c r="G12327"/>
      <c r="I12327"/>
      <c r="N12327"/>
      <c r="O12327" s="24"/>
      <c r="P12327"/>
      <c r="Q12327" s="24"/>
      <c r="R12327"/>
      <c r="S12327"/>
      <c r="T12327"/>
      <c r="U12327"/>
      <c r="X12327" s="60"/>
    </row>
    <row r="12328" spans="7:24" ht="15" customHeight="1">
      <c r="G12328"/>
      <c r="I12328"/>
      <c r="N12328"/>
      <c r="O12328" s="24"/>
      <c r="P12328"/>
      <c r="Q12328" s="24"/>
      <c r="R12328"/>
      <c r="S12328"/>
      <c r="T12328"/>
      <c r="U12328"/>
      <c r="X12328" s="60"/>
    </row>
    <row r="12329" spans="7:24" ht="15" customHeight="1">
      <c r="G12329"/>
      <c r="I12329"/>
      <c r="N12329"/>
      <c r="O12329" s="24"/>
      <c r="P12329"/>
      <c r="Q12329" s="24"/>
      <c r="R12329"/>
      <c r="S12329"/>
      <c r="T12329"/>
      <c r="U12329"/>
      <c r="X12329" s="60"/>
    </row>
    <row r="12330" spans="7:24" ht="15" customHeight="1">
      <c r="G12330"/>
      <c r="I12330"/>
      <c r="N12330"/>
      <c r="O12330" s="24"/>
      <c r="P12330"/>
      <c r="Q12330" s="24"/>
      <c r="R12330"/>
      <c r="S12330"/>
      <c r="T12330"/>
      <c r="U12330"/>
      <c r="X12330" s="60"/>
    </row>
    <row r="12331" spans="7:24" ht="15" customHeight="1">
      <c r="G12331"/>
      <c r="I12331"/>
      <c r="N12331"/>
      <c r="O12331" s="24"/>
      <c r="P12331"/>
      <c r="Q12331" s="24"/>
      <c r="R12331"/>
      <c r="S12331"/>
      <c r="T12331"/>
      <c r="U12331"/>
      <c r="X12331" s="60"/>
    </row>
    <row r="12332" spans="7:24" ht="15" customHeight="1">
      <c r="G12332"/>
      <c r="I12332"/>
      <c r="N12332"/>
      <c r="O12332" s="24"/>
      <c r="P12332"/>
      <c r="Q12332" s="24"/>
      <c r="R12332"/>
      <c r="S12332"/>
      <c r="T12332"/>
      <c r="U12332"/>
      <c r="X12332" s="60"/>
    </row>
    <row r="12333" spans="7:24" ht="15" customHeight="1">
      <c r="G12333"/>
      <c r="I12333"/>
      <c r="N12333"/>
      <c r="O12333" s="24"/>
      <c r="P12333"/>
      <c r="Q12333" s="24"/>
      <c r="R12333"/>
      <c r="S12333"/>
      <c r="T12333"/>
      <c r="U12333"/>
      <c r="X12333" s="60"/>
    </row>
    <row r="12334" spans="7:24" ht="15" customHeight="1">
      <c r="G12334"/>
      <c r="I12334"/>
      <c r="N12334"/>
      <c r="O12334" s="24"/>
      <c r="P12334"/>
      <c r="Q12334" s="24"/>
      <c r="R12334"/>
      <c r="S12334"/>
      <c r="T12334"/>
      <c r="U12334"/>
      <c r="X12334" s="60"/>
    </row>
    <row r="12335" spans="7:24" ht="15" customHeight="1">
      <c r="G12335"/>
      <c r="I12335"/>
      <c r="N12335"/>
      <c r="O12335" s="24"/>
      <c r="P12335"/>
      <c r="Q12335" s="24"/>
      <c r="R12335"/>
      <c r="S12335"/>
      <c r="T12335"/>
      <c r="U12335"/>
      <c r="X12335" s="60"/>
    </row>
    <row r="12336" spans="7:24" ht="15" customHeight="1">
      <c r="G12336"/>
      <c r="I12336"/>
      <c r="N12336"/>
      <c r="O12336" s="24"/>
      <c r="P12336"/>
      <c r="Q12336" s="24"/>
      <c r="R12336"/>
      <c r="S12336"/>
      <c r="T12336"/>
      <c r="U12336"/>
      <c r="X12336" s="60"/>
    </row>
    <row r="12337" spans="7:24" ht="15" customHeight="1">
      <c r="G12337"/>
      <c r="I12337"/>
      <c r="N12337"/>
      <c r="O12337" s="24"/>
      <c r="P12337"/>
      <c r="Q12337" s="24"/>
      <c r="R12337"/>
      <c r="S12337"/>
      <c r="T12337"/>
      <c r="U12337"/>
      <c r="X12337" s="60"/>
    </row>
    <row r="12338" spans="7:24" ht="15" customHeight="1">
      <c r="G12338"/>
      <c r="I12338"/>
      <c r="N12338"/>
      <c r="O12338" s="24"/>
      <c r="P12338"/>
      <c r="Q12338" s="24"/>
      <c r="R12338"/>
      <c r="S12338"/>
      <c r="T12338"/>
      <c r="U12338"/>
      <c r="X12338" s="60"/>
    </row>
    <row r="12339" spans="7:24" ht="15" customHeight="1">
      <c r="G12339"/>
      <c r="I12339"/>
      <c r="N12339"/>
      <c r="O12339" s="24"/>
      <c r="P12339"/>
      <c r="Q12339" s="24"/>
      <c r="R12339"/>
      <c r="S12339"/>
      <c r="T12339"/>
      <c r="U12339"/>
      <c r="X12339" s="60"/>
    </row>
    <row r="12340" spans="7:24" ht="15" customHeight="1">
      <c r="G12340"/>
      <c r="I12340"/>
      <c r="N12340"/>
      <c r="O12340" s="24"/>
      <c r="P12340"/>
      <c r="Q12340" s="24"/>
      <c r="R12340"/>
      <c r="S12340"/>
      <c r="T12340"/>
      <c r="U12340"/>
      <c r="X12340" s="60"/>
    </row>
    <row r="12341" spans="7:24" ht="15" customHeight="1">
      <c r="G12341"/>
      <c r="I12341"/>
      <c r="N12341"/>
      <c r="O12341" s="24"/>
      <c r="P12341"/>
      <c r="Q12341" s="24"/>
      <c r="R12341"/>
      <c r="S12341"/>
      <c r="T12341"/>
      <c r="U12341"/>
      <c r="X12341" s="60"/>
    </row>
    <row r="12342" spans="7:24" ht="15" customHeight="1">
      <c r="G12342"/>
      <c r="I12342"/>
      <c r="N12342"/>
      <c r="O12342" s="24"/>
      <c r="P12342"/>
      <c r="Q12342" s="24"/>
      <c r="R12342"/>
      <c r="S12342"/>
      <c r="T12342"/>
      <c r="U12342"/>
      <c r="X12342" s="60"/>
    </row>
    <row r="12343" spans="7:24" ht="15" customHeight="1">
      <c r="G12343"/>
      <c r="I12343"/>
      <c r="N12343"/>
      <c r="O12343" s="24"/>
      <c r="P12343"/>
      <c r="Q12343" s="24"/>
      <c r="R12343"/>
      <c r="S12343"/>
      <c r="T12343"/>
      <c r="U12343"/>
      <c r="X12343" s="60"/>
    </row>
    <row r="12344" spans="7:24" ht="15" customHeight="1">
      <c r="G12344"/>
      <c r="I12344"/>
      <c r="N12344"/>
      <c r="O12344" s="24"/>
      <c r="P12344"/>
      <c r="Q12344" s="24"/>
      <c r="R12344"/>
      <c r="S12344"/>
      <c r="T12344"/>
      <c r="U12344"/>
      <c r="X12344" s="60"/>
    </row>
    <row r="12345" spans="7:24" ht="15" customHeight="1">
      <c r="G12345"/>
      <c r="I12345"/>
      <c r="N12345"/>
      <c r="O12345" s="24"/>
      <c r="P12345"/>
      <c r="Q12345" s="24"/>
      <c r="R12345"/>
      <c r="S12345"/>
      <c r="T12345"/>
      <c r="U12345"/>
      <c r="X12345" s="60"/>
    </row>
    <row r="12346" spans="7:24" ht="15" customHeight="1">
      <c r="G12346"/>
      <c r="I12346"/>
      <c r="N12346"/>
      <c r="O12346" s="24"/>
      <c r="P12346"/>
      <c r="Q12346" s="24"/>
      <c r="R12346"/>
      <c r="S12346"/>
      <c r="T12346"/>
      <c r="U12346"/>
      <c r="X12346" s="60"/>
    </row>
    <row r="12347" spans="7:24" ht="15" customHeight="1">
      <c r="G12347"/>
      <c r="I12347"/>
      <c r="N12347"/>
      <c r="O12347" s="24"/>
      <c r="P12347"/>
      <c r="Q12347" s="24"/>
      <c r="R12347"/>
      <c r="S12347"/>
      <c r="T12347"/>
      <c r="U12347"/>
      <c r="X12347" s="60"/>
    </row>
    <row r="12348" spans="7:24" ht="15" customHeight="1">
      <c r="G12348"/>
      <c r="I12348"/>
      <c r="N12348"/>
      <c r="O12348" s="24"/>
      <c r="P12348"/>
      <c r="Q12348" s="24"/>
      <c r="R12348"/>
      <c r="S12348"/>
      <c r="T12348"/>
      <c r="U12348"/>
      <c r="X12348" s="60"/>
    </row>
    <row r="12349" spans="7:24" ht="15" customHeight="1">
      <c r="G12349"/>
      <c r="I12349"/>
      <c r="N12349"/>
      <c r="O12349" s="24"/>
      <c r="P12349"/>
      <c r="Q12349" s="24"/>
      <c r="R12349"/>
      <c r="S12349"/>
      <c r="T12349"/>
      <c r="U12349"/>
      <c r="X12349" s="60"/>
    </row>
    <row r="12350" spans="7:24" ht="15" customHeight="1">
      <c r="G12350"/>
      <c r="I12350"/>
      <c r="N12350"/>
      <c r="O12350" s="24"/>
      <c r="P12350"/>
      <c r="Q12350" s="24"/>
      <c r="R12350"/>
      <c r="S12350"/>
      <c r="T12350"/>
      <c r="U12350"/>
      <c r="X12350" s="60"/>
    </row>
    <row r="12351" spans="7:24" ht="15" customHeight="1">
      <c r="G12351"/>
      <c r="I12351"/>
      <c r="N12351"/>
      <c r="O12351" s="24"/>
      <c r="P12351"/>
      <c r="Q12351" s="24"/>
      <c r="R12351"/>
      <c r="S12351"/>
      <c r="T12351"/>
      <c r="U12351"/>
      <c r="X12351" s="60"/>
    </row>
    <row r="12352" spans="7:24" ht="15" customHeight="1">
      <c r="G12352"/>
      <c r="I12352"/>
      <c r="N12352"/>
      <c r="O12352" s="24"/>
      <c r="P12352"/>
      <c r="Q12352" s="24"/>
      <c r="R12352"/>
      <c r="S12352"/>
      <c r="T12352"/>
      <c r="U12352"/>
      <c r="X12352" s="60"/>
    </row>
    <row r="12353" spans="7:24" ht="15" customHeight="1">
      <c r="G12353"/>
      <c r="I12353"/>
      <c r="N12353"/>
      <c r="O12353" s="24"/>
      <c r="P12353"/>
      <c r="Q12353" s="24"/>
      <c r="R12353"/>
      <c r="S12353"/>
      <c r="T12353"/>
      <c r="U12353"/>
      <c r="X12353" s="60"/>
    </row>
    <row r="12354" spans="7:24" ht="15" customHeight="1">
      <c r="G12354"/>
      <c r="I12354"/>
      <c r="N12354"/>
      <c r="O12354" s="24"/>
      <c r="P12354"/>
      <c r="Q12354" s="24"/>
      <c r="R12354"/>
      <c r="S12354"/>
      <c r="T12354"/>
      <c r="U12354"/>
      <c r="X12354" s="60"/>
    </row>
    <row r="12355" spans="7:24" ht="15" customHeight="1">
      <c r="G12355"/>
      <c r="I12355"/>
      <c r="N12355"/>
      <c r="O12355" s="24"/>
      <c r="P12355"/>
      <c r="Q12355" s="24"/>
      <c r="R12355"/>
      <c r="S12355"/>
      <c r="T12355"/>
      <c r="U12355"/>
      <c r="X12355" s="60"/>
    </row>
    <row r="12356" spans="7:24" ht="15" customHeight="1">
      <c r="G12356"/>
      <c r="I12356"/>
      <c r="N12356"/>
      <c r="O12356" s="24"/>
      <c r="P12356"/>
      <c r="Q12356" s="24"/>
      <c r="R12356"/>
      <c r="S12356"/>
      <c r="T12356"/>
      <c r="U12356"/>
      <c r="X12356" s="60"/>
    </row>
    <row r="12357" spans="7:24" ht="15" customHeight="1">
      <c r="G12357"/>
      <c r="I12357"/>
      <c r="N12357"/>
      <c r="O12357" s="24"/>
      <c r="P12357"/>
      <c r="Q12357" s="24"/>
      <c r="R12357"/>
      <c r="S12357"/>
      <c r="T12357"/>
      <c r="U12357"/>
      <c r="X12357" s="60"/>
    </row>
    <row r="12358" spans="7:24" ht="15" customHeight="1">
      <c r="G12358"/>
      <c r="I12358"/>
      <c r="N12358"/>
      <c r="O12358" s="24"/>
      <c r="P12358"/>
      <c r="Q12358" s="24"/>
      <c r="R12358"/>
      <c r="S12358"/>
      <c r="T12358"/>
      <c r="U12358"/>
      <c r="X12358" s="60"/>
    </row>
    <row r="12359" spans="7:24" ht="15" customHeight="1">
      <c r="G12359"/>
      <c r="I12359"/>
      <c r="N12359"/>
      <c r="O12359" s="24"/>
      <c r="P12359"/>
      <c r="Q12359" s="24"/>
      <c r="R12359"/>
      <c r="S12359"/>
      <c r="T12359"/>
      <c r="U12359"/>
      <c r="X12359" s="60"/>
    </row>
    <row r="12360" spans="7:24" ht="15" customHeight="1">
      <c r="G12360"/>
      <c r="I12360"/>
      <c r="N12360"/>
      <c r="O12360" s="24"/>
      <c r="P12360"/>
      <c r="Q12360" s="24"/>
      <c r="R12360"/>
      <c r="S12360"/>
      <c r="T12360"/>
      <c r="U12360"/>
      <c r="X12360" s="60"/>
    </row>
    <row r="12361" spans="7:24" ht="15" customHeight="1">
      <c r="G12361"/>
      <c r="I12361"/>
      <c r="N12361"/>
      <c r="O12361" s="24"/>
      <c r="P12361"/>
      <c r="Q12361" s="24"/>
      <c r="R12361"/>
      <c r="S12361"/>
      <c r="T12361"/>
      <c r="U12361"/>
      <c r="X12361" s="60"/>
    </row>
    <row r="12362" spans="7:24" ht="15" customHeight="1">
      <c r="G12362"/>
      <c r="I12362"/>
      <c r="N12362"/>
      <c r="O12362" s="24"/>
      <c r="P12362"/>
      <c r="Q12362" s="24"/>
      <c r="R12362"/>
      <c r="S12362"/>
      <c r="T12362"/>
      <c r="U12362"/>
      <c r="X12362" s="60"/>
    </row>
    <row r="12363" spans="7:24" ht="15" customHeight="1">
      <c r="G12363"/>
      <c r="I12363"/>
      <c r="N12363"/>
      <c r="O12363" s="24"/>
      <c r="P12363"/>
      <c r="Q12363" s="24"/>
      <c r="R12363"/>
      <c r="S12363"/>
      <c r="T12363"/>
      <c r="U12363"/>
      <c r="X12363" s="60"/>
    </row>
    <row r="12364" spans="7:24" ht="15" customHeight="1">
      <c r="G12364"/>
      <c r="I12364"/>
      <c r="N12364"/>
      <c r="O12364" s="24"/>
      <c r="P12364"/>
      <c r="Q12364" s="24"/>
      <c r="R12364"/>
      <c r="S12364"/>
      <c r="T12364"/>
      <c r="U12364"/>
      <c r="X12364" s="60"/>
    </row>
    <row r="12365" spans="7:24" ht="15" customHeight="1">
      <c r="G12365"/>
      <c r="I12365"/>
      <c r="N12365"/>
      <c r="O12365" s="24"/>
      <c r="P12365"/>
      <c r="Q12365" s="24"/>
      <c r="R12365"/>
      <c r="S12365"/>
      <c r="T12365"/>
      <c r="U12365"/>
      <c r="X12365" s="60"/>
    </row>
    <row r="12366" spans="7:24" ht="15" customHeight="1">
      <c r="G12366"/>
      <c r="I12366"/>
      <c r="N12366"/>
      <c r="O12366" s="24"/>
      <c r="P12366"/>
      <c r="Q12366" s="24"/>
      <c r="R12366"/>
      <c r="S12366"/>
      <c r="T12366"/>
      <c r="U12366"/>
      <c r="X12366" s="60"/>
    </row>
    <row r="12367" spans="7:24" ht="15" customHeight="1">
      <c r="G12367"/>
      <c r="I12367"/>
      <c r="N12367"/>
      <c r="O12367" s="24"/>
      <c r="P12367"/>
      <c r="Q12367" s="24"/>
      <c r="R12367"/>
      <c r="S12367"/>
      <c r="T12367"/>
      <c r="U12367"/>
      <c r="X12367" s="60"/>
    </row>
    <row r="12368" spans="7:24" ht="15" customHeight="1">
      <c r="G12368"/>
      <c r="I12368"/>
      <c r="N12368"/>
      <c r="O12368" s="24"/>
      <c r="P12368"/>
      <c r="Q12368" s="24"/>
      <c r="R12368"/>
      <c r="S12368"/>
      <c r="T12368"/>
      <c r="U12368"/>
      <c r="X12368" s="60"/>
    </row>
    <row r="12369" spans="7:24" ht="15" customHeight="1">
      <c r="G12369"/>
      <c r="I12369"/>
      <c r="N12369"/>
      <c r="O12369" s="24"/>
      <c r="P12369"/>
      <c r="Q12369" s="24"/>
      <c r="R12369"/>
      <c r="S12369"/>
      <c r="T12369"/>
      <c r="U12369"/>
      <c r="X12369" s="60"/>
    </row>
    <row r="12370" spans="7:24" ht="15" customHeight="1">
      <c r="G12370"/>
      <c r="I12370"/>
      <c r="N12370"/>
      <c r="O12370" s="24"/>
      <c r="P12370"/>
      <c r="Q12370" s="24"/>
      <c r="R12370"/>
      <c r="S12370"/>
      <c r="T12370"/>
      <c r="U12370"/>
      <c r="X12370" s="60"/>
    </row>
    <row r="12371" spans="7:24" ht="15" customHeight="1">
      <c r="G12371"/>
      <c r="I12371"/>
      <c r="N12371"/>
      <c r="O12371" s="24"/>
      <c r="P12371"/>
      <c r="Q12371" s="24"/>
      <c r="R12371"/>
      <c r="S12371"/>
      <c r="T12371"/>
      <c r="U12371"/>
      <c r="X12371" s="60"/>
    </row>
    <row r="12372" spans="7:24" ht="15" customHeight="1">
      <c r="G12372"/>
      <c r="I12372"/>
      <c r="N12372"/>
      <c r="O12372" s="24"/>
      <c r="P12372"/>
      <c r="Q12372" s="24"/>
      <c r="R12372"/>
      <c r="S12372"/>
      <c r="T12372"/>
      <c r="U12372"/>
      <c r="X12372" s="60"/>
    </row>
    <row r="12373" spans="7:24" ht="15" customHeight="1">
      <c r="G12373"/>
      <c r="I12373"/>
      <c r="N12373"/>
      <c r="O12373" s="24"/>
      <c r="P12373"/>
      <c r="Q12373" s="24"/>
      <c r="R12373"/>
      <c r="S12373"/>
      <c r="T12373"/>
      <c r="U12373"/>
      <c r="X12373" s="60"/>
    </row>
    <row r="12374" spans="7:24" ht="15" customHeight="1">
      <c r="G12374"/>
      <c r="I12374"/>
      <c r="N12374"/>
      <c r="O12374" s="24"/>
      <c r="P12374"/>
      <c r="Q12374" s="24"/>
      <c r="R12374"/>
      <c r="S12374"/>
      <c r="T12374"/>
      <c r="U12374"/>
      <c r="X12374" s="60"/>
    </row>
    <row r="12375" spans="7:24" ht="15" customHeight="1">
      <c r="G12375"/>
      <c r="I12375"/>
      <c r="N12375"/>
      <c r="O12375" s="24"/>
      <c r="P12375"/>
      <c r="Q12375" s="24"/>
      <c r="R12375"/>
      <c r="S12375"/>
      <c r="T12375"/>
      <c r="U12375"/>
      <c r="X12375" s="60"/>
    </row>
    <row r="12376" spans="7:24" ht="15" customHeight="1">
      <c r="G12376"/>
      <c r="I12376"/>
      <c r="N12376"/>
      <c r="O12376" s="24"/>
      <c r="P12376"/>
      <c r="Q12376" s="24"/>
      <c r="R12376"/>
      <c r="S12376"/>
      <c r="T12376"/>
      <c r="U12376"/>
      <c r="X12376" s="60"/>
    </row>
    <row r="12377" spans="7:24" ht="15" customHeight="1">
      <c r="G12377"/>
      <c r="I12377"/>
      <c r="N12377"/>
      <c r="O12377" s="24"/>
      <c r="P12377"/>
      <c r="Q12377" s="24"/>
      <c r="R12377"/>
      <c r="S12377"/>
      <c r="T12377"/>
      <c r="U12377"/>
      <c r="X12377" s="60"/>
    </row>
    <row r="12378" spans="7:24" ht="15" customHeight="1">
      <c r="G12378"/>
      <c r="I12378"/>
      <c r="N12378"/>
      <c r="O12378" s="24"/>
      <c r="P12378"/>
      <c r="Q12378" s="24"/>
      <c r="R12378"/>
      <c r="S12378"/>
      <c r="T12378"/>
      <c r="U12378"/>
      <c r="X12378" s="60"/>
    </row>
    <row r="12379" spans="7:24" ht="15" customHeight="1">
      <c r="G12379"/>
      <c r="I12379"/>
      <c r="N12379"/>
      <c r="O12379" s="24"/>
      <c r="P12379"/>
      <c r="Q12379" s="24"/>
      <c r="R12379"/>
      <c r="S12379"/>
      <c r="T12379"/>
      <c r="U12379"/>
      <c r="X12379" s="60"/>
    </row>
    <row r="12380" spans="7:24" ht="15" customHeight="1">
      <c r="G12380"/>
      <c r="I12380"/>
      <c r="N12380"/>
      <c r="O12380" s="24"/>
      <c r="P12380"/>
      <c r="Q12380" s="24"/>
      <c r="R12380"/>
      <c r="S12380"/>
      <c r="T12380"/>
      <c r="U12380"/>
      <c r="X12380" s="60"/>
    </row>
    <row r="12381" spans="7:24" ht="15" customHeight="1">
      <c r="G12381"/>
      <c r="I12381"/>
      <c r="N12381"/>
      <c r="O12381" s="24"/>
      <c r="P12381"/>
      <c r="Q12381" s="24"/>
      <c r="R12381"/>
      <c r="S12381"/>
      <c r="T12381"/>
      <c r="U12381"/>
      <c r="X12381" s="60"/>
    </row>
    <row r="12382" spans="7:24" ht="15" customHeight="1">
      <c r="G12382"/>
      <c r="I12382"/>
      <c r="N12382"/>
      <c r="O12382" s="24"/>
      <c r="P12382"/>
      <c r="Q12382" s="24"/>
      <c r="R12382"/>
      <c r="S12382"/>
      <c r="T12382"/>
      <c r="U12382"/>
      <c r="X12382" s="60"/>
    </row>
    <row r="12383" spans="7:24" ht="15" customHeight="1">
      <c r="G12383"/>
      <c r="I12383"/>
      <c r="N12383"/>
      <c r="O12383" s="24"/>
      <c r="P12383"/>
      <c r="Q12383" s="24"/>
      <c r="R12383"/>
      <c r="S12383"/>
      <c r="T12383"/>
      <c r="U12383"/>
      <c r="X12383" s="60"/>
    </row>
    <row r="12384" spans="7:24" ht="15" customHeight="1">
      <c r="G12384"/>
      <c r="I12384"/>
      <c r="N12384"/>
      <c r="O12384" s="24"/>
      <c r="P12384"/>
      <c r="Q12384" s="24"/>
      <c r="R12384"/>
      <c r="S12384"/>
      <c r="T12384"/>
      <c r="U12384"/>
      <c r="X12384" s="60"/>
    </row>
    <row r="12385" spans="7:24" ht="15" customHeight="1">
      <c r="G12385"/>
      <c r="I12385"/>
      <c r="N12385"/>
      <c r="O12385" s="24"/>
      <c r="P12385"/>
      <c r="Q12385" s="24"/>
      <c r="R12385"/>
      <c r="S12385"/>
      <c r="T12385"/>
      <c r="U12385"/>
      <c r="X12385" s="60"/>
    </row>
    <row r="12386" spans="7:24" ht="15" customHeight="1">
      <c r="G12386"/>
      <c r="I12386"/>
      <c r="N12386"/>
      <c r="O12386" s="24"/>
      <c r="P12386"/>
      <c r="Q12386" s="24"/>
      <c r="R12386"/>
      <c r="S12386"/>
      <c r="T12386"/>
      <c r="U12386"/>
      <c r="X12386" s="60"/>
    </row>
    <row r="12387" spans="7:24" ht="15" customHeight="1">
      <c r="G12387"/>
      <c r="I12387"/>
      <c r="N12387"/>
      <c r="O12387" s="24"/>
      <c r="P12387"/>
      <c r="Q12387" s="24"/>
      <c r="R12387"/>
      <c r="S12387"/>
      <c r="T12387"/>
      <c r="U12387"/>
      <c r="X12387" s="60"/>
    </row>
    <row r="12388" spans="7:24" ht="15" customHeight="1">
      <c r="G12388"/>
      <c r="I12388"/>
      <c r="N12388"/>
      <c r="O12388" s="24"/>
      <c r="P12388"/>
      <c r="Q12388" s="24"/>
      <c r="R12388"/>
      <c r="S12388"/>
      <c r="T12388"/>
      <c r="U12388"/>
      <c r="X12388" s="60"/>
    </row>
    <row r="12389" spans="7:24" ht="15" customHeight="1">
      <c r="G12389"/>
      <c r="I12389"/>
      <c r="N12389"/>
      <c r="O12389" s="24"/>
      <c r="P12389"/>
      <c r="Q12389" s="24"/>
      <c r="R12389"/>
      <c r="S12389"/>
      <c r="T12389"/>
      <c r="U12389"/>
      <c r="X12389" s="60"/>
    </row>
    <row r="12390" spans="7:24" ht="15" customHeight="1">
      <c r="G12390"/>
      <c r="I12390"/>
      <c r="N12390"/>
      <c r="O12390" s="24"/>
      <c r="P12390"/>
      <c r="Q12390" s="24"/>
      <c r="R12390"/>
      <c r="S12390"/>
      <c r="T12390"/>
      <c r="U12390"/>
      <c r="X12390" s="60"/>
    </row>
    <row r="12391" spans="7:24" ht="15" customHeight="1">
      <c r="G12391"/>
      <c r="I12391"/>
      <c r="N12391"/>
      <c r="O12391" s="24"/>
      <c r="P12391"/>
      <c r="Q12391" s="24"/>
      <c r="R12391"/>
      <c r="S12391"/>
      <c r="T12391"/>
      <c r="U12391"/>
      <c r="X12391" s="60"/>
    </row>
    <row r="12392" spans="7:24" ht="15" customHeight="1">
      <c r="G12392"/>
      <c r="I12392"/>
      <c r="N12392"/>
      <c r="O12392" s="24"/>
      <c r="P12392"/>
      <c r="Q12392" s="24"/>
      <c r="R12392"/>
      <c r="S12392"/>
      <c r="T12392"/>
      <c r="U12392"/>
      <c r="X12392" s="60"/>
    </row>
    <row r="12393" spans="7:24" ht="15" customHeight="1">
      <c r="G12393"/>
      <c r="I12393"/>
      <c r="N12393"/>
      <c r="O12393" s="24"/>
      <c r="P12393"/>
      <c r="Q12393" s="24"/>
      <c r="R12393"/>
      <c r="S12393"/>
      <c r="T12393"/>
      <c r="U12393"/>
      <c r="X12393" s="60"/>
    </row>
    <row r="12394" spans="7:24" ht="15" customHeight="1">
      <c r="G12394"/>
      <c r="I12394"/>
      <c r="N12394"/>
      <c r="O12394" s="24"/>
      <c r="P12394"/>
      <c r="Q12394" s="24"/>
      <c r="R12394"/>
      <c r="S12394"/>
      <c r="T12394"/>
      <c r="U12394"/>
      <c r="X12394" s="60"/>
    </row>
    <row r="12395" spans="7:24" ht="15" customHeight="1">
      <c r="G12395"/>
      <c r="I12395"/>
      <c r="N12395"/>
      <c r="O12395" s="24"/>
      <c r="P12395"/>
      <c r="Q12395" s="24"/>
      <c r="R12395"/>
      <c r="S12395"/>
      <c r="T12395"/>
      <c r="U12395"/>
      <c r="X12395" s="60"/>
    </row>
    <row r="12396" spans="7:24" ht="15" customHeight="1">
      <c r="G12396"/>
      <c r="I12396"/>
      <c r="N12396"/>
      <c r="O12396" s="24"/>
      <c r="P12396"/>
      <c r="Q12396" s="24"/>
      <c r="R12396"/>
      <c r="S12396"/>
      <c r="T12396"/>
      <c r="U12396"/>
      <c r="X12396" s="60"/>
    </row>
    <row r="12397" spans="7:24" ht="15" customHeight="1">
      <c r="G12397"/>
      <c r="I12397"/>
      <c r="N12397"/>
      <c r="O12397" s="24"/>
      <c r="P12397"/>
      <c r="Q12397" s="24"/>
      <c r="R12397"/>
      <c r="S12397"/>
      <c r="T12397"/>
      <c r="U12397"/>
      <c r="X12397" s="60"/>
    </row>
    <row r="12398" spans="7:24" ht="15" customHeight="1">
      <c r="G12398"/>
      <c r="I12398"/>
      <c r="N12398"/>
      <c r="O12398" s="24"/>
      <c r="P12398"/>
      <c r="Q12398" s="24"/>
      <c r="R12398"/>
      <c r="S12398"/>
      <c r="T12398"/>
      <c r="U12398"/>
      <c r="X12398" s="60"/>
    </row>
    <row r="12399" spans="7:24" ht="15" customHeight="1">
      <c r="G12399"/>
      <c r="I12399"/>
      <c r="N12399"/>
      <c r="O12399" s="24"/>
      <c r="P12399"/>
      <c r="Q12399" s="24"/>
      <c r="R12399"/>
      <c r="S12399"/>
      <c r="T12399"/>
      <c r="U12399"/>
      <c r="X12399" s="60"/>
    </row>
    <row r="12400" spans="7:24" ht="15" customHeight="1">
      <c r="G12400"/>
      <c r="I12400"/>
      <c r="N12400"/>
      <c r="O12400" s="24"/>
      <c r="P12400"/>
      <c r="Q12400" s="24"/>
      <c r="R12400"/>
      <c r="S12400"/>
      <c r="T12400"/>
      <c r="U12400"/>
      <c r="X12400" s="60"/>
    </row>
    <row r="12401" spans="7:24" ht="15" customHeight="1">
      <c r="G12401"/>
      <c r="I12401"/>
      <c r="N12401"/>
      <c r="O12401" s="24"/>
      <c r="P12401"/>
      <c r="Q12401" s="24"/>
      <c r="R12401"/>
      <c r="S12401"/>
      <c r="T12401"/>
      <c r="U12401"/>
      <c r="X12401" s="60"/>
    </row>
    <row r="12402" spans="7:24" ht="15" customHeight="1">
      <c r="G12402"/>
      <c r="I12402"/>
      <c r="N12402"/>
      <c r="O12402" s="24"/>
      <c r="P12402"/>
      <c r="Q12402" s="24"/>
      <c r="R12402"/>
      <c r="S12402"/>
      <c r="T12402"/>
      <c r="U12402"/>
      <c r="X12402" s="60"/>
    </row>
    <row r="12403" spans="7:24" ht="15" customHeight="1">
      <c r="G12403"/>
      <c r="I12403"/>
      <c r="N12403"/>
      <c r="O12403" s="24"/>
      <c r="P12403"/>
      <c r="Q12403" s="24"/>
      <c r="R12403"/>
      <c r="S12403"/>
      <c r="T12403"/>
      <c r="U12403"/>
      <c r="X12403" s="60"/>
    </row>
    <row r="12404" spans="7:24" ht="15" customHeight="1">
      <c r="G12404"/>
      <c r="I12404"/>
      <c r="N12404"/>
      <c r="O12404" s="24"/>
      <c r="P12404"/>
      <c r="Q12404" s="24"/>
      <c r="R12404"/>
      <c r="S12404"/>
      <c r="T12404"/>
      <c r="U12404"/>
      <c r="X12404" s="60"/>
    </row>
    <row r="12405" spans="7:24" ht="15" customHeight="1">
      <c r="G12405"/>
      <c r="I12405"/>
      <c r="N12405"/>
      <c r="O12405" s="24"/>
      <c r="P12405"/>
      <c r="Q12405" s="24"/>
      <c r="R12405"/>
      <c r="S12405"/>
      <c r="T12405"/>
      <c r="U12405"/>
      <c r="X12405" s="60"/>
    </row>
    <row r="12406" spans="7:24" ht="15" customHeight="1">
      <c r="G12406"/>
      <c r="I12406"/>
      <c r="N12406"/>
      <c r="O12406" s="24"/>
      <c r="P12406"/>
      <c r="Q12406" s="24"/>
      <c r="R12406"/>
      <c r="S12406"/>
      <c r="T12406"/>
      <c r="U12406"/>
      <c r="X12406" s="60"/>
    </row>
    <row r="12407" spans="7:24" ht="15" customHeight="1">
      <c r="G12407"/>
      <c r="I12407"/>
      <c r="N12407"/>
      <c r="O12407" s="24"/>
      <c r="P12407"/>
      <c r="Q12407" s="24"/>
      <c r="R12407"/>
      <c r="S12407"/>
      <c r="T12407"/>
      <c r="U12407"/>
      <c r="X12407" s="60"/>
    </row>
    <row r="12408" spans="7:24" ht="15" customHeight="1">
      <c r="G12408"/>
      <c r="I12408"/>
      <c r="N12408"/>
      <c r="O12408" s="24"/>
      <c r="P12408"/>
      <c r="Q12408" s="24"/>
      <c r="R12408"/>
      <c r="S12408"/>
      <c r="T12408"/>
      <c r="U12408"/>
      <c r="X12408" s="60"/>
    </row>
    <row r="12409" spans="7:24" ht="15" customHeight="1">
      <c r="G12409"/>
      <c r="I12409"/>
      <c r="N12409"/>
      <c r="O12409" s="24"/>
      <c r="P12409"/>
      <c r="Q12409" s="24"/>
      <c r="R12409"/>
      <c r="S12409"/>
      <c r="T12409"/>
      <c r="U12409"/>
      <c r="X12409" s="60"/>
    </row>
    <row r="12410" spans="7:24" ht="15" customHeight="1">
      <c r="G12410"/>
      <c r="I12410"/>
      <c r="N12410"/>
      <c r="O12410" s="24"/>
      <c r="P12410"/>
      <c r="Q12410" s="24"/>
      <c r="R12410"/>
      <c r="S12410"/>
      <c r="T12410"/>
      <c r="U12410"/>
      <c r="X12410" s="60"/>
    </row>
    <row r="12411" spans="7:24" ht="15" customHeight="1">
      <c r="G12411"/>
      <c r="I12411"/>
      <c r="N12411"/>
      <c r="O12411" s="24"/>
      <c r="P12411"/>
      <c r="Q12411" s="24"/>
      <c r="R12411"/>
      <c r="S12411"/>
      <c r="T12411"/>
      <c r="U12411"/>
      <c r="X12411" s="60"/>
    </row>
    <row r="12412" spans="7:24" ht="15" customHeight="1">
      <c r="G12412"/>
      <c r="I12412"/>
      <c r="N12412"/>
      <c r="O12412" s="24"/>
      <c r="P12412"/>
      <c r="Q12412" s="24"/>
      <c r="R12412"/>
      <c r="S12412"/>
      <c r="T12412"/>
      <c r="U12412"/>
      <c r="X12412" s="60"/>
    </row>
    <row r="12413" spans="7:24" ht="15" customHeight="1">
      <c r="G12413"/>
      <c r="I12413"/>
      <c r="N12413"/>
      <c r="O12413" s="24"/>
      <c r="P12413"/>
      <c r="Q12413" s="24"/>
      <c r="R12413"/>
      <c r="S12413"/>
      <c r="T12413"/>
      <c r="U12413"/>
      <c r="X12413" s="60"/>
    </row>
    <row r="12414" spans="7:24" ht="15" customHeight="1">
      <c r="G12414"/>
      <c r="I12414"/>
      <c r="N12414"/>
      <c r="O12414" s="24"/>
      <c r="P12414"/>
      <c r="Q12414" s="24"/>
      <c r="R12414"/>
      <c r="S12414"/>
      <c r="T12414"/>
      <c r="U12414"/>
      <c r="X12414" s="60"/>
    </row>
    <row r="12415" spans="7:24" ht="15" customHeight="1">
      <c r="G12415"/>
      <c r="I12415"/>
      <c r="N12415"/>
      <c r="O12415" s="24"/>
      <c r="P12415"/>
      <c r="Q12415" s="24"/>
      <c r="R12415"/>
      <c r="S12415"/>
      <c r="T12415"/>
      <c r="U12415"/>
      <c r="X12415" s="60"/>
    </row>
    <row r="12416" spans="7:24" ht="15" customHeight="1">
      <c r="G12416"/>
      <c r="I12416"/>
      <c r="N12416"/>
      <c r="O12416" s="24"/>
      <c r="P12416"/>
      <c r="Q12416" s="24"/>
      <c r="R12416"/>
      <c r="S12416"/>
      <c r="T12416"/>
      <c r="U12416"/>
      <c r="X12416" s="60"/>
    </row>
    <row r="12417" spans="7:24" ht="15" customHeight="1">
      <c r="G12417"/>
      <c r="I12417"/>
      <c r="N12417"/>
      <c r="O12417" s="24"/>
      <c r="P12417"/>
      <c r="Q12417" s="24"/>
      <c r="R12417"/>
      <c r="S12417"/>
      <c r="T12417"/>
      <c r="U12417"/>
      <c r="X12417" s="60"/>
    </row>
    <row r="12418" spans="7:24" ht="15" customHeight="1">
      <c r="G12418"/>
      <c r="I12418"/>
      <c r="N12418"/>
      <c r="O12418" s="24"/>
      <c r="P12418"/>
      <c r="Q12418" s="24"/>
      <c r="R12418"/>
      <c r="S12418"/>
      <c r="T12418"/>
      <c r="U12418"/>
      <c r="X12418" s="60"/>
    </row>
    <row r="12419" spans="7:24" ht="15" customHeight="1">
      <c r="G12419"/>
      <c r="I12419"/>
      <c r="N12419"/>
      <c r="O12419" s="24"/>
      <c r="P12419"/>
      <c r="Q12419" s="24"/>
      <c r="R12419"/>
      <c r="S12419"/>
      <c r="T12419"/>
      <c r="U12419"/>
      <c r="X12419" s="60"/>
    </row>
    <row r="12420" spans="7:24" ht="15" customHeight="1">
      <c r="G12420"/>
      <c r="I12420"/>
      <c r="N12420"/>
      <c r="O12420" s="24"/>
      <c r="P12420"/>
      <c r="Q12420" s="24"/>
      <c r="R12420"/>
      <c r="S12420"/>
      <c r="T12420"/>
      <c r="U12420"/>
      <c r="X12420" s="60"/>
    </row>
    <row r="12421" spans="7:24" ht="15" customHeight="1">
      <c r="G12421"/>
      <c r="I12421"/>
      <c r="N12421"/>
      <c r="O12421" s="24"/>
      <c r="P12421"/>
      <c r="Q12421" s="24"/>
      <c r="R12421"/>
      <c r="S12421"/>
      <c r="T12421"/>
      <c r="U12421"/>
      <c r="X12421" s="60"/>
    </row>
    <row r="12422" spans="7:24" ht="15" customHeight="1">
      <c r="G12422"/>
      <c r="I12422"/>
      <c r="N12422"/>
      <c r="O12422" s="24"/>
      <c r="P12422"/>
      <c r="Q12422" s="24"/>
      <c r="R12422"/>
      <c r="S12422"/>
      <c r="T12422"/>
      <c r="U12422"/>
      <c r="X12422" s="60"/>
    </row>
    <row r="12423" spans="7:24" ht="15" customHeight="1">
      <c r="G12423"/>
      <c r="I12423"/>
      <c r="N12423"/>
      <c r="O12423" s="24"/>
      <c r="P12423"/>
      <c r="Q12423" s="24"/>
      <c r="R12423"/>
      <c r="S12423"/>
      <c r="T12423"/>
      <c r="U12423"/>
      <c r="X12423" s="60"/>
    </row>
    <row r="12424" spans="7:24" ht="15" customHeight="1">
      <c r="G12424"/>
      <c r="I12424"/>
      <c r="N12424"/>
      <c r="O12424" s="24"/>
      <c r="P12424"/>
      <c r="Q12424" s="24"/>
      <c r="R12424"/>
      <c r="S12424"/>
      <c r="T12424"/>
      <c r="U12424"/>
      <c r="X12424" s="60"/>
    </row>
    <row r="12425" spans="7:24" ht="15" customHeight="1">
      <c r="G12425"/>
      <c r="I12425"/>
      <c r="N12425"/>
      <c r="O12425" s="24"/>
      <c r="P12425"/>
      <c r="Q12425" s="24"/>
      <c r="R12425"/>
      <c r="S12425"/>
      <c r="T12425"/>
      <c r="U12425"/>
      <c r="X12425" s="60"/>
    </row>
    <row r="12426" spans="7:24" ht="15" customHeight="1">
      <c r="G12426"/>
      <c r="I12426"/>
      <c r="N12426"/>
      <c r="O12426" s="24"/>
      <c r="P12426"/>
      <c r="Q12426" s="24"/>
      <c r="R12426"/>
      <c r="S12426"/>
      <c r="T12426"/>
      <c r="U12426"/>
      <c r="X12426" s="60"/>
    </row>
    <row r="12427" spans="7:24" ht="15" customHeight="1">
      <c r="G12427"/>
      <c r="I12427"/>
      <c r="N12427"/>
      <c r="O12427" s="24"/>
      <c r="P12427"/>
      <c r="Q12427" s="24"/>
      <c r="R12427"/>
      <c r="S12427"/>
      <c r="T12427"/>
      <c r="U12427"/>
      <c r="X12427" s="60"/>
    </row>
    <row r="12428" spans="7:24" ht="15" customHeight="1">
      <c r="G12428"/>
      <c r="I12428"/>
      <c r="N12428"/>
      <c r="O12428" s="24"/>
      <c r="P12428"/>
      <c r="Q12428" s="24"/>
      <c r="R12428"/>
      <c r="S12428"/>
      <c r="T12428"/>
      <c r="U12428"/>
      <c r="X12428" s="60"/>
    </row>
    <row r="12429" spans="7:24" ht="15" customHeight="1">
      <c r="G12429"/>
      <c r="I12429"/>
      <c r="N12429"/>
      <c r="O12429" s="24"/>
      <c r="P12429"/>
      <c r="Q12429" s="24"/>
      <c r="R12429"/>
      <c r="S12429"/>
      <c r="T12429"/>
      <c r="U12429"/>
      <c r="X12429" s="60"/>
    </row>
    <row r="12430" spans="7:24" ht="15" customHeight="1">
      <c r="G12430"/>
      <c r="I12430"/>
      <c r="N12430"/>
      <c r="O12430" s="24"/>
      <c r="P12430"/>
      <c r="Q12430" s="24"/>
      <c r="R12430"/>
      <c r="S12430"/>
      <c r="T12430"/>
      <c r="U12430"/>
      <c r="X12430" s="60"/>
    </row>
    <row r="12431" spans="7:24" ht="15" customHeight="1">
      <c r="G12431"/>
      <c r="I12431"/>
      <c r="N12431"/>
      <c r="O12431" s="24"/>
      <c r="P12431"/>
      <c r="Q12431" s="24"/>
      <c r="R12431"/>
      <c r="S12431"/>
      <c r="T12431"/>
      <c r="U12431"/>
      <c r="X12431" s="60"/>
    </row>
    <row r="12432" spans="7:24" ht="15" customHeight="1">
      <c r="G12432"/>
      <c r="I12432"/>
      <c r="N12432"/>
      <c r="O12432" s="24"/>
      <c r="P12432"/>
      <c r="Q12432" s="24"/>
      <c r="R12432"/>
      <c r="S12432"/>
      <c r="T12432"/>
      <c r="U12432"/>
      <c r="X12432" s="60"/>
    </row>
    <row r="12433" spans="7:24" ht="15" customHeight="1">
      <c r="G12433"/>
      <c r="I12433"/>
      <c r="N12433"/>
      <c r="O12433" s="24"/>
      <c r="P12433"/>
      <c r="Q12433" s="24"/>
      <c r="R12433"/>
      <c r="S12433"/>
      <c r="T12433"/>
      <c r="U12433"/>
      <c r="X12433" s="60"/>
    </row>
    <row r="12434" spans="7:24" ht="15" customHeight="1">
      <c r="G12434"/>
      <c r="I12434"/>
      <c r="N12434"/>
      <c r="O12434" s="24"/>
      <c r="P12434"/>
      <c r="Q12434" s="24"/>
      <c r="R12434"/>
      <c r="S12434"/>
      <c r="T12434"/>
      <c r="U12434"/>
      <c r="X12434" s="60"/>
    </row>
    <row r="12435" spans="7:24" ht="15" customHeight="1">
      <c r="G12435"/>
      <c r="I12435"/>
      <c r="N12435"/>
      <c r="O12435" s="24"/>
      <c r="P12435"/>
      <c r="Q12435" s="24"/>
      <c r="R12435"/>
      <c r="S12435"/>
      <c r="T12435"/>
      <c r="U12435"/>
      <c r="X12435" s="60"/>
    </row>
    <row r="12436" spans="7:24" ht="15" customHeight="1">
      <c r="G12436"/>
      <c r="I12436"/>
      <c r="N12436"/>
      <c r="O12436" s="24"/>
      <c r="P12436"/>
      <c r="Q12436" s="24"/>
      <c r="R12436"/>
      <c r="S12436"/>
      <c r="T12436"/>
      <c r="U12436"/>
      <c r="X12436" s="60"/>
    </row>
    <row r="12437" spans="7:24" ht="15" customHeight="1">
      <c r="G12437"/>
      <c r="I12437"/>
      <c r="N12437"/>
      <c r="O12437" s="24"/>
      <c r="P12437"/>
      <c r="Q12437" s="24"/>
      <c r="R12437"/>
      <c r="S12437"/>
      <c r="T12437"/>
      <c r="U12437"/>
      <c r="X12437" s="60"/>
    </row>
    <row r="12438" spans="7:24" ht="15" customHeight="1">
      <c r="G12438"/>
      <c r="I12438"/>
      <c r="N12438"/>
      <c r="O12438" s="24"/>
      <c r="P12438"/>
      <c r="Q12438" s="24"/>
      <c r="R12438"/>
      <c r="S12438"/>
      <c r="T12438"/>
      <c r="U12438"/>
      <c r="X12438" s="60"/>
    </row>
    <row r="12439" spans="7:24" ht="15" customHeight="1">
      <c r="G12439"/>
      <c r="I12439"/>
      <c r="N12439"/>
      <c r="O12439" s="24"/>
      <c r="P12439"/>
      <c r="Q12439" s="24"/>
      <c r="R12439"/>
      <c r="S12439"/>
      <c r="T12439"/>
      <c r="U12439"/>
      <c r="X12439" s="60"/>
    </row>
    <row r="12440" spans="7:24" ht="15" customHeight="1">
      <c r="G12440"/>
      <c r="I12440"/>
      <c r="N12440"/>
      <c r="O12440" s="24"/>
      <c r="P12440"/>
      <c r="Q12440" s="24"/>
      <c r="R12440"/>
      <c r="S12440"/>
      <c r="T12440"/>
      <c r="U12440"/>
      <c r="X12440" s="60"/>
    </row>
    <row r="12441" spans="7:24" ht="15" customHeight="1">
      <c r="G12441"/>
      <c r="I12441"/>
      <c r="N12441"/>
      <c r="O12441" s="24"/>
      <c r="P12441"/>
      <c r="Q12441" s="24"/>
      <c r="R12441"/>
      <c r="S12441"/>
      <c r="T12441"/>
      <c r="U12441"/>
      <c r="X12441" s="60"/>
    </row>
    <row r="12442" spans="7:24" ht="15" customHeight="1">
      <c r="G12442"/>
      <c r="I12442"/>
      <c r="N12442"/>
      <c r="O12442" s="24"/>
      <c r="P12442"/>
      <c r="Q12442" s="24"/>
      <c r="R12442"/>
      <c r="S12442"/>
      <c r="T12442"/>
      <c r="U12442"/>
      <c r="X12442" s="60"/>
    </row>
    <row r="12443" spans="7:24" ht="15" customHeight="1">
      <c r="G12443"/>
      <c r="I12443"/>
      <c r="N12443"/>
      <c r="O12443" s="24"/>
      <c r="P12443"/>
      <c r="Q12443" s="24"/>
      <c r="R12443"/>
      <c r="S12443"/>
      <c r="T12443"/>
      <c r="U12443"/>
      <c r="X12443" s="60"/>
    </row>
    <row r="12444" spans="7:24" ht="15" customHeight="1">
      <c r="G12444"/>
      <c r="I12444"/>
      <c r="N12444"/>
      <c r="O12444" s="24"/>
      <c r="P12444"/>
      <c r="Q12444" s="24"/>
      <c r="R12444"/>
      <c r="S12444"/>
      <c r="T12444"/>
      <c r="U12444"/>
      <c r="X12444" s="60"/>
    </row>
    <row r="12445" spans="7:24" ht="15" customHeight="1">
      <c r="G12445"/>
      <c r="I12445"/>
      <c r="N12445"/>
      <c r="O12445" s="24"/>
      <c r="P12445"/>
      <c r="Q12445" s="24"/>
      <c r="R12445"/>
      <c r="S12445"/>
      <c r="T12445"/>
      <c r="U12445"/>
      <c r="X12445" s="60"/>
    </row>
    <row r="12446" spans="7:24" ht="15" customHeight="1">
      <c r="G12446"/>
      <c r="I12446"/>
      <c r="N12446"/>
      <c r="O12446" s="24"/>
      <c r="P12446"/>
      <c r="Q12446" s="24"/>
      <c r="R12446"/>
      <c r="S12446"/>
      <c r="T12446"/>
      <c r="U12446"/>
      <c r="X12446" s="60"/>
    </row>
    <row r="12447" spans="7:24" ht="15" customHeight="1">
      <c r="G12447"/>
      <c r="I12447"/>
      <c r="N12447"/>
      <c r="O12447" s="24"/>
      <c r="P12447"/>
      <c r="Q12447" s="24"/>
      <c r="R12447"/>
      <c r="S12447"/>
      <c r="T12447"/>
      <c r="U12447"/>
      <c r="X12447" s="60"/>
    </row>
    <row r="12448" spans="7:24" ht="15" customHeight="1">
      <c r="G12448"/>
      <c r="I12448"/>
      <c r="N12448"/>
      <c r="O12448" s="24"/>
      <c r="P12448"/>
      <c r="Q12448" s="24"/>
      <c r="R12448"/>
      <c r="S12448"/>
      <c r="T12448"/>
      <c r="U12448"/>
      <c r="X12448" s="60"/>
    </row>
    <row r="12449" spans="7:24" ht="15" customHeight="1">
      <c r="G12449"/>
      <c r="I12449"/>
      <c r="N12449"/>
      <c r="O12449" s="24"/>
      <c r="P12449"/>
      <c r="Q12449" s="24"/>
      <c r="R12449"/>
      <c r="S12449"/>
      <c r="T12449"/>
      <c r="U12449"/>
      <c r="X12449" s="60"/>
    </row>
    <row r="12450" spans="7:24" ht="15" customHeight="1">
      <c r="G12450"/>
      <c r="I12450"/>
      <c r="N12450"/>
      <c r="O12450" s="24"/>
      <c r="P12450"/>
      <c r="Q12450" s="24"/>
      <c r="R12450"/>
      <c r="S12450"/>
      <c r="T12450"/>
      <c r="U12450"/>
      <c r="X12450" s="60"/>
    </row>
    <row r="12451" spans="7:24" ht="15" customHeight="1">
      <c r="G12451"/>
      <c r="I12451"/>
      <c r="N12451"/>
      <c r="O12451" s="24"/>
      <c r="P12451"/>
      <c r="Q12451" s="24"/>
      <c r="R12451"/>
      <c r="S12451"/>
      <c r="T12451"/>
      <c r="U12451"/>
      <c r="X12451" s="60"/>
    </row>
    <row r="12452" spans="7:24" ht="15" customHeight="1">
      <c r="G12452"/>
      <c r="I12452"/>
      <c r="N12452"/>
      <c r="O12452" s="24"/>
      <c r="P12452"/>
      <c r="Q12452" s="24"/>
      <c r="R12452"/>
      <c r="S12452"/>
      <c r="T12452"/>
      <c r="U12452"/>
      <c r="X12452" s="60"/>
    </row>
    <row r="12453" spans="7:24" ht="15" customHeight="1">
      <c r="G12453"/>
      <c r="I12453"/>
      <c r="N12453"/>
      <c r="O12453" s="24"/>
      <c r="P12453"/>
      <c r="Q12453" s="24"/>
      <c r="R12453"/>
      <c r="S12453"/>
      <c r="T12453"/>
      <c r="U12453"/>
      <c r="X12453" s="60"/>
    </row>
    <row r="12454" spans="7:24" ht="15" customHeight="1">
      <c r="G12454"/>
      <c r="I12454"/>
      <c r="N12454"/>
      <c r="O12454" s="24"/>
      <c r="P12454"/>
      <c r="Q12454" s="24"/>
      <c r="R12454"/>
      <c r="S12454"/>
      <c r="T12454"/>
      <c r="U12454"/>
      <c r="X12454" s="60"/>
    </row>
    <row r="12455" spans="7:24" ht="15" customHeight="1">
      <c r="G12455"/>
      <c r="I12455"/>
      <c r="N12455"/>
      <c r="O12455" s="24"/>
      <c r="P12455"/>
      <c r="Q12455" s="24"/>
      <c r="R12455"/>
      <c r="S12455"/>
      <c r="T12455"/>
      <c r="U12455"/>
      <c r="X12455" s="60"/>
    </row>
    <row r="12456" spans="7:24" ht="15" customHeight="1">
      <c r="G12456"/>
      <c r="I12456"/>
      <c r="N12456"/>
      <c r="O12456" s="24"/>
      <c r="P12456"/>
      <c r="Q12456" s="24"/>
      <c r="R12456"/>
      <c r="S12456"/>
      <c r="T12456"/>
      <c r="U12456"/>
      <c r="X12456" s="60"/>
    </row>
    <row r="12457" spans="7:24" ht="15" customHeight="1">
      <c r="G12457"/>
      <c r="I12457"/>
      <c r="N12457"/>
      <c r="O12457" s="24"/>
      <c r="P12457"/>
      <c r="Q12457" s="24"/>
      <c r="R12457"/>
      <c r="S12457"/>
      <c r="T12457"/>
      <c r="U12457"/>
      <c r="X12457" s="60"/>
    </row>
    <row r="12458" spans="7:24" ht="15" customHeight="1">
      <c r="G12458"/>
      <c r="I12458"/>
      <c r="N12458"/>
      <c r="O12458" s="24"/>
      <c r="P12458"/>
      <c r="Q12458" s="24"/>
      <c r="R12458"/>
      <c r="S12458"/>
      <c r="T12458"/>
      <c r="U12458"/>
      <c r="X12458" s="60"/>
    </row>
    <row r="12459" spans="7:24" ht="15" customHeight="1">
      <c r="G12459"/>
      <c r="I12459"/>
      <c r="N12459"/>
      <c r="O12459" s="24"/>
      <c r="P12459"/>
      <c r="Q12459" s="24"/>
      <c r="R12459"/>
      <c r="S12459"/>
      <c r="T12459"/>
      <c r="U12459"/>
      <c r="X12459" s="60"/>
    </row>
    <row r="12460" spans="7:24" ht="15" customHeight="1">
      <c r="G12460"/>
      <c r="I12460"/>
      <c r="N12460"/>
      <c r="O12460" s="24"/>
      <c r="P12460"/>
      <c r="Q12460" s="24"/>
      <c r="R12460"/>
      <c r="S12460"/>
      <c r="T12460"/>
      <c r="U12460"/>
      <c r="X12460" s="60"/>
    </row>
    <row r="12461" spans="7:24" ht="15" customHeight="1">
      <c r="G12461"/>
      <c r="I12461"/>
      <c r="N12461"/>
      <c r="O12461" s="24"/>
      <c r="P12461"/>
      <c r="Q12461" s="24"/>
      <c r="R12461"/>
      <c r="S12461"/>
      <c r="T12461"/>
      <c r="U12461"/>
      <c r="X12461" s="60"/>
    </row>
    <row r="12462" spans="7:24" ht="15" customHeight="1">
      <c r="G12462"/>
      <c r="I12462"/>
      <c r="N12462"/>
      <c r="O12462" s="24"/>
      <c r="P12462"/>
      <c r="Q12462" s="24"/>
      <c r="R12462"/>
      <c r="S12462"/>
      <c r="T12462"/>
      <c r="U12462"/>
      <c r="X12462" s="60"/>
    </row>
    <row r="12463" spans="7:24" ht="15" customHeight="1">
      <c r="G12463"/>
      <c r="I12463"/>
      <c r="N12463"/>
      <c r="O12463" s="24"/>
      <c r="P12463"/>
      <c r="Q12463" s="24"/>
      <c r="R12463"/>
      <c r="S12463"/>
      <c r="T12463"/>
      <c r="U12463"/>
      <c r="X12463" s="60"/>
    </row>
    <row r="12464" spans="7:24" ht="15" customHeight="1">
      <c r="G12464"/>
      <c r="I12464"/>
      <c r="N12464"/>
      <c r="O12464" s="24"/>
      <c r="P12464"/>
      <c r="Q12464" s="24"/>
      <c r="R12464"/>
      <c r="S12464"/>
      <c r="T12464"/>
      <c r="U12464"/>
      <c r="X12464" s="60"/>
    </row>
    <row r="12465" spans="7:24" ht="15" customHeight="1">
      <c r="G12465"/>
      <c r="I12465"/>
      <c r="N12465"/>
      <c r="O12465" s="24"/>
      <c r="P12465"/>
      <c r="Q12465" s="24"/>
      <c r="R12465"/>
      <c r="S12465"/>
      <c r="T12465"/>
      <c r="U12465"/>
      <c r="X12465" s="60"/>
    </row>
    <row r="12466" spans="7:24" ht="15" customHeight="1">
      <c r="G12466"/>
      <c r="I12466"/>
      <c r="N12466"/>
      <c r="O12466" s="24"/>
      <c r="P12466"/>
      <c r="Q12466" s="24"/>
      <c r="R12466"/>
      <c r="S12466"/>
      <c r="T12466"/>
      <c r="U12466"/>
      <c r="X12466" s="60"/>
    </row>
    <row r="12467" spans="7:24" ht="15" customHeight="1">
      <c r="G12467"/>
      <c r="I12467"/>
      <c r="N12467"/>
      <c r="O12467" s="24"/>
      <c r="P12467"/>
      <c r="Q12467" s="24"/>
      <c r="R12467"/>
      <c r="S12467"/>
      <c r="T12467"/>
      <c r="U12467"/>
      <c r="X12467" s="60"/>
    </row>
    <row r="12468" spans="7:24" ht="15" customHeight="1">
      <c r="G12468"/>
      <c r="I12468"/>
      <c r="N12468"/>
      <c r="O12468" s="24"/>
      <c r="P12468"/>
      <c r="Q12468" s="24"/>
      <c r="R12468"/>
      <c r="S12468"/>
      <c r="T12468"/>
      <c r="U12468"/>
      <c r="X12468" s="60"/>
    </row>
    <row r="12469" spans="7:24" ht="15" customHeight="1">
      <c r="G12469"/>
      <c r="I12469"/>
      <c r="N12469"/>
      <c r="O12469" s="24"/>
      <c r="P12469"/>
      <c r="Q12469" s="24"/>
      <c r="R12469"/>
      <c r="S12469"/>
      <c r="T12469"/>
      <c r="U12469"/>
      <c r="X12469" s="60"/>
    </row>
    <row r="12470" spans="7:24" ht="15" customHeight="1">
      <c r="G12470"/>
      <c r="I12470"/>
      <c r="N12470"/>
      <c r="O12470" s="24"/>
      <c r="P12470"/>
      <c r="Q12470" s="24"/>
      <c r="R12470"/>
      <c r="S12470"/>
      <c r="T12470"/>
      <c r="U12470"/>
      <c r="X12470" s="60"/>
    </row>
    <row r="12471" spans="7:24" ht="15" customHeight="1">
      <c r="G12471"/>
      <c r="I12471"/>
      <c r="N12471"/>
      <c r="O12471" s="24"/>
      <c r="P12471"/>
      <c r="Q12471" s="24"/>
      <c r="R12471"/>
      <c r="S12471"/>
      <c r="T12471"/>
      <c r="U12471"/>
      <c r="X12471" s="60"/>
    </row>
    <row r="12472" spans="7:24" ht="15" customHeight="1">
      <c r="G12472"/>
      <c r="I12472"/>
      <c r="N12472"/>
      <c r="O12472" s="24"/>
      <c r="P12472"/>
      <c r="Q12472" s="24"/>
      <c r="R12472"/>
      <c r="S12472"/>
      <c r="T12472"/>
      <c r="U12472"/>
      <c r="X12472" s="60"/>
    </row>
    <row r="12473" spans="7:24" ht="15" customHeight="1">
      <c r="G12473"/>
      <c r="I12473"/>
      <c r="N12473"/>
      <c r="O12473" s="24"/>
      <c r="P12473"/>
      <c r="Q12473" s="24"/>
      <c r="R12473"/>
      <c r="S12473"/>
      <c r="T12473"/>
      <c r="U12473"/>
      <c r="X12473" s="60"/>
    </row>
    <row r="12474" spans="7:24" ht="15" customHeight="1">
      <c r="G12474"/>
      <c r="I12474"/>
      <c r="N12474"/>
      <c r="O12474" s="24"/>
      <c r="P12474"/>
      <c r="Q12474" s="24"/>
      <c r="R12474"/>
      <c r="S12474"/>
      <c r="T12474"/>
      <c r="U12474"/>
      <c r="X12474" s="60"/>
    </row>
    <row r="12475" spans="7:24" ht="15" customHeight="1">
      <c r="G12475"/>
      <c r="I12475"/>
      <c r="N12475"/>
      <c r="O12475" s="24"/>
      <c r="P12475"/>
      <c r="Q12475" s="24"/>
      <c r="R12475"/>
      <c r="S12475"/>
      <c r="T12475"/>
      <c r="U12475"/>
      <c r="X12475" s="60"/>
    </row>
    <row r="12476" spans="7:24" ht="15" customHeight="1">
      <c r="G12476"/>
      <c r="I12476"/>
      <c r="N12476"/>
      <c r="O12476" s="24"/>
      <c r="P12476"/>
      <c r="Q12476" s="24"/>
      <c r="R12476"/>
      <c r="S12476"/>
      <c r="T12476"/>
      <c r="U12476"/>
      <c r="X12476" s="60"/>
    </row>
    <row r="12477" spans="7:24" ht="15" customHeight="1">
      <c r="G12477"/>
      <c r="I12477"/>
      <c r="N12477"/>
      <c r="O12477" s="24"/>
      <c r="P12477"/>
      <c r="Q12477" s="24"/>
      <c r="R12477"/>
      <c r="S12477"/>
      <c r="T12477"/>
      <c r="U12477"/>
      <c r="X12477" s="60"/>
    </row>
    <row r="12478" spans="7:24" ht="15" customHeight="1">
      <c r="G12478"/>
      <c r="I12478"/>
      <c r="N12478"/>
      <c r="O12478" s="24"/>
      <c r="P12478"/>
      <c r="Q12478" s="24"/>
      <c r="R12478"/>
      <c r="S12478"/>
      <c r="T12478"/>
      <c r="U12478"/>
      <c r="X12478" s="60"/>
    </row>
    <row r="12479" spans="7:24" ht="15" customHeight="1">
      <c r="G12479"/>
      <c r="I12479"/>
      <c r="N12479"/>
      <c r="O12479" s="24"/>
      <c r="P12479"/>
      <c r="Q12479" s="24"/>
      <c r="R12479"/>
      <c r="S12479"/>
      <c r="T12479"/>
      <c r="U12479"/>
      <c r="X12479" s="60"/>
    </row>
    <row r="12480" spans="7:24" ht="15" customHeight="1">
      <c r="G12480"/>
      <c r="I12480"/>
      <c r="N12480"/>
      <c r="O12480" s="24"/>
      <c r="P12480"/>
      <c r="Q12480" s="24"/>
      <c r="R12480"/>
      <c r="S12480"/>
      <c r="T12480"/>
      <c r="U12480"/>
      <c r="X12480" s="60"/>
    </row>
    <row r="12481" spans="7:24" ht="15" customHeight="1">
      <c r="G12481"/>
      <c r="I12481"/>
      <c r="N12481"/>
      <c r="O12481" s="24"/>
      <c r="P12481"/>
      <c r="Q12481" s="24"/>
      <c r="R12481"/>
      <c r="S12481"/>
      <c r="T12481"/>
      <c r="U12481"/>
      <c r="X12481" s="60"/>
    </row>
    <row r="12482" spans="7:24" ht="15" customHeight="1">
      <c r="G12482"/>
      <c r="I12482"/>
      <c r="N12482"/>
      <c r="O12482" s="24"/>
      <c r="P12482"/>
      <c r="Q12482" s="24"/>
      <c r="R12482"/>
      <c r="S12482"/>
      <c r="T12482"/>
      <c r="U12482"/>
      <c r="X12482" s="60"/>
    </row>
    <row r="12483" spans="7:24" ht="15" customHeight="1">
      <c r="G12483"/>
      <c r="I12483"/>
      <c r="N12483"/>
      <c r="O12483" s="24"/>
      <c r="P12483"/>
      <c r="Q12483" s="24"/>
      <c r="R12483"/>
      <c r="S12483"/>
      <c r="T12483"/>
      <c r="U12483"/>
      <c r="X12483" s="60"/>
    </row>
    <row r="12484" spans="7:24" ht="15" customHeight="1">
      <c r="G12484"/>
      <c r="I12484"/>
      <c r="N12484"/>
      <c r="O12484" s="24"/>
      <c r="P12484"/>
      <c r="Q12484" s="24"/>
      <c r="R12484"/>
      <c r="S12484"/>
      <c r="T12484"/>
      <c r="U12484"/>
      <c r="X12484" s="60"/>
    </row>
    <row r="12485" spans="7:24" ht="15" customHeight="1">
      <c r="G12485"/>
      <c r="I12485"/>
      <c r="N12485"/>
      <c r="O12485" s="24"/>
      <c r="P12485"/>
      <c r="Q12485" s="24"/>
      <c r="R12485"/>
      <c r="S12485"/>
      <c r="T12485"/>
      <c r="U12485"/>
      <c r="X12485" s="60"/>
    </row>
    <row r="12486" spans="7:24" ht="15" customHeight="1">
      <c r="G12486"/>
      <c r="I12486"/>
      <c r="N12486"/>
      <c r="O12486" s="24"/>
      <c r="P12486"/>
      <c r="Q12486" s="24"/>
      <c r="R12486"/>
      <c r="S12486"/>
      <c r="T12486"/>
      <c r="U12486"/>
      <c r="X12486" s="60"/>
    </row>
    <row r="12487" spans="7:24" ht="15" customHeight="1">
      <c r="G12487"/>
      <c r="I12487"/>
      <c r="N12487"/>
      <c r="O12487" s="24"/>
      <c r="P12487"/>
      <c r="Q12487" s="24"/>
      <c r="R12487"/>
      <c r="S12487"/>
      <c r="T12487"/>
      <c r="U12487"/>
      <c r="X12487" s="60"/>
    </row>
    <row r="12488" spans="7:24" ht="15" customHeight="1">
      <c r="G12488"/>
      <c r="I12488"/>
      <c r="N12488"/>
      <c r="O12488" s="24"/>
      <c r="P12488"/>
      <c r="Q12488" s="24"/>
      <c r="R12488"/>
      <c r="S12488"/>
      <c r="T12488"/>
      <c r="U12488"/>
      <c r="X12488" s="60"/>
    </row>
    <row r="12489" spans="7:24" ht="15" customHeight="1">
      <c r="G12489"/>
      <c r="I12489"/>
      <c r="N12489"/>
      <c r="O12489" s="24"/>
      <c r="P12489"/>
      <c r="Q12489" s="24"/>
      <c r="R12489"/>
      <c r="S12489"/>
      <c r="T12489"/>
      <c r="U12489"/>
      <c r="X12489" s="60"/>
    </row>
    <row r="12490" spans="7:24" ht="15" customHeight="1">
      <c r="G12490"/>
      <c r="I12490"/>
      <c r="N12490"/>
      <c r="O12490" s="24"/>
      <c r="P12490"/>
      <c r="Q12490" s="24"/>
      <c r="R12490"/>
      <c r="S12490"/>
      <c r="T12490"/>
      <c r="U12490"/>
      <c r="X12490" s="60"/>
    </row>
    <row r="12491" spans="7:24" ht="15" customHeight="1">
      <c r="G12491"/>
      <c r="I12491"/>
      <c r="N12491"/>
      <c r="O12491" s="24"/>
      <c r="P12491"/>
      <c r="Q12491" s="24"/>
      <c r="R12491"/>
      <c r="S12491"/>
      <c r="T12491"/>
      <c r="U12491"/>
      <c r="X12491" s="60"/>
    </row>
    <row r="12492" spans="7:24" ht="15" customHeight="1">
      <c r="G12492"/>
      <c r="I12492"/>
      <c r="N12492"/>
      <c r="O12492" s="24"/>
      <c r="P12492"/>
      <c r="Q12492" s="24"/>
      <c r="R12492"/>
      <c r="S12492"/>
      <c r="T12492"/>
      <c r="U12492"/>
      <c r="X12492" s="60"/>
    </row>
    <row r="12493" spans="7:24" ht="15" customHeight="1">
      <c r="G12493"/>
      <c r="I12493"/>
      <c r="N12493"/>
      <c r="O12493" s="24"/>
      <c r="P12493"/>
      <c r="Q12493" s="24"/>
      <c r="R12493"/>
      <c r="S12493"/>
      <c r="T12493"/>
      <c r="U12493"/>
      <c r="X12493" s="60"/>
    </row>
    <row r="12494" spans="7:24" ht="15" customHeight="1">
      <c r="G12494"/>
      <c r="I12494"/>
      <c r="N12494"/>
      <c r="O12494" s="24"/>
      <c r="P12494"/>
      <c r="Q12494" s="24"/>
      <c r="R12494"/>
      <c r="S12494"/>
      <c r="T12494"/>
      <c r="U12494"/>
      <c r="X12494" s="60"/>
    </row>
    <row r="12495" spans="7:24" ht="15" customHeight="1">
      <c r="G12495"/>
      <c r="I12495"/>
      <c r="N12495"/>
      <c r="O12495" s="24"/>
      <c r="P12495"/>
      <c r="Q12495" s="24"/>
      <c r="R12495"/>
      <c r="S12495"/>
      <c r="T12495"/>
      <c r="U12495"/>
      <c r="X12495" s="60"/>
    </row>
    <row r="12496" spans="7:24" ht="15" customHeight="1">
      <c r="G12496"/>
      <c r="I12496"/>
      <c r="N12496"/>
      <c r="O12496" s="24"/>
      <c r="P12496"/>
      <c r="Q12496" s="24"/>
      <c r="R12496"/>
      <c r="S12496"/>
      <c r="T12496"/>
      <c r="U12496"/>
      <c r="X12496" s="60"/>
    </row>
    <row r="12497" spans="7:24" ht="15" customHeight="1">
      <c r="G12497"/>
      <c r="I12497"/>
      <c r="N12497"/>
      <c r="O12497" s="24"/>
      <c r="P12497"/>
      <c r="Q12497" s="24"/>
      <c r="R12497"/>
      <c r="S12497"/>
      <c r="T12497"/>
      <c r="U12497"/>
      <c r="X12497" s="60"/>
    </row>
    <row r="12498" spans="7:24" ht="15" customHeight="1">
      <c r="G12498"/>
      <c r="I12498"/>
      <c r="N12498"/>
      <c r="O12498" s="24"/>
      <c r="P12498"/>
      <c r="Q12498" s="24"/>
      <c r="R12498"/>
      <c r="S12498"/>
      <c r="T12498"/>
      <c r="U12498"/>
      <c r="X12498" s="60"/>
    </row>
    <row r="12499" spans="7:24" ht="15" customHeight="1">
      <c r="G12499"/>
      <c r="I12499"/>
      <c r="N12499"/>
      <c r="O12499" s="24"/>
      <c r="P12499"/>
      <c r="Q12499" s="24"/>
      <c r="R12499"/>
      <c r="S12499"/>
      <c r="T12499"/>
      <c r="U12499"/>
      <c r="X12499" s="60"/>
    </row>
    <row r="12500" spans="7:24" ht="15" customHeight="1">
      <c r="G12500"/>
      <c r="I12500"/>
      <c r="N12500"/>
      <c r="O12500" s="24"/>
      <c r="P12500"/>
      <c r="Q12500" s="24"/>
      <c r="R12500"/>
      <c r="S12500"/>
      <c r="T12500"/>
      <c r="U12500"/>
      <c r="X12500" s="60"/>
    </row>
    <row r="12501" spans="7:24" ht="15" customHeight="1">
      <c r="G12501"/>
      <c r="I12501"/>
      <c r="N12501"/>
      <c r="O12501" s="24"/>
      <c r="P12501"/>
      <c r="Q12501" s="24"/>
      <c r="R12501"/>
      <c r="S12501"/>
      <c r="T12501"/>
      <c r="U12501"/>
      <c r="X12501" s="60"/>
    </row>
    <row r="12502" spans="7:24" ht="15" customHeight="1">
      <c r="G12502"/>
      <c r="I12502"/>
      <c r="N12502"/>
      <c r="O12502" s="24"/>
      <c r="P12502"/>
      <c r="Q12502" s="24"/>
      <c r="R12502"/>
      <c r="S12502"/>
      <c r="T12502"/>
      <c r="U12502"/>
      <c r="X12502" s="60"/>
    </row>
    <row r="12503" spans="7:24" ht="15" customHeight="1">
      <c r="G12503"/>
      <c r="I12503"/>
      <c r="N12503"/>
      <c r="O12503" s="24"/>
      <c r="P12503"/>
      <c r="Q12503" s="24"/>
      <c r="R12503"/>
      <c r="S12503"/>
      <c r="T12503"/>
      <c r="U12503"/>
      <c r="X12503" s="60"/>
    </row>
    <row r="12504" spans="7:24" ht="15" customHeight="1">
      <c r="G12504"/>
      <c r="I12504"/>
      <c r="N12504"/>
      <c r="O12504" s="24"/>
      <c r="P12504"/>
      <c r="Q12504" s="24"/>
      <c r="R12504"/>
      <c r="S12504"/>
      <c r="T12504"/>
      <c r="U12504"/>
      <c r="X12504" s="60"/>
    </row>
    <row r="12505" spans="7:24" ht="15" customHeight="1">
      <c r="G12505"/>
      <c r="I12505"/>
      <c r="N12505"/>
      <c r="O12505" s="24"/>
      <c r="P12505"/>
      <c r="Q12505" s="24"/>
      <c r="R12505"/>
      <c r="S12505"/>
      <c r="T12505"/>
      <c r="U12505"/>
      <c r="X12505" s="60"/>
    </row>
    <row r="12506" spans="7:24" ht="15" customHeight="1">
      <c r="G12506"/>
      <c r="I12506"/>
      <c r="N12506"/>
      <c r="O12506" s="24"/>
      <c r="P12506"/>
      <c r="Q12506" s="24"/>
      <c r="R12506"/>
      <c r="S12506"/>
      <c r="T12506"/>
      <c r="U12506"/>
      <c r="X12506" s="60"/>
    </row>
    <row r="12507" spans="7:24" ht="15" customHeight="1">
      <c r="G12507"/>
      <c r="I12507"/>
      <c r="N12507"/>
      <c r="O12507" s="24"/>
      <c r="P12507"/>
      <c r="Q12507" s="24"/>
      <c r="R12507"/>
      <c r="S12507"/>
      <c r="T12507"/>
      <c r="U12507"/>
      <c r="X12507" s="60"/>
    </row>
    <row r="12508" spans="7:24" ht="15" customHeight="1">
      <c r="G12508"/>
      <c r="I12508"/>
      <c r="N12508"/>
      <c r="O12508" s="24"/>
      <c r="P12508"/>
      <c r="Q12508" s="24"/>
      <c r="R12508"/>
      <c r="S12508"/>
      <c r="T12508"/>
      <c r="U12508"/>
      <c r="X12508" s="60"/>
    </row>
    <row r="12509" spans="7:24" ht="15" customHeight="1">
      <c r="G12509"/>
      <c r="I12509"/>
      <c r="N12509"/>
      <c r="O12509" s="24"/>
      <c r="P12509"/>
      <c r="Q12509" s="24"/>
      <c r="R12509"/>
      <c r="S12509"/>
      <c r="T12509"/>
      <c r="U12509"/>
      <c r="X12509" s="60"/>
    </row>
    <row r="12510" spans="7:24" ht="15" customHeight="1">
      <c r="G12510"/>
      <c r="I12510"/>
      <c r="N12510"/>
      <c r="O12510" s="24"/>
      <c r="P12510"/>
      <c r="Q12510" s="24"/>
      <c r="R12510"/>
      <c r="S12510"/>
      <c r="T12510"/>
      <c r="U12510"/>
      <c r="X12510" s="60"/>
    </row>
    <row r="12511" spans="7:24" ht="15" customHeight="1">
      <c r="G12511"/>
      <c r="I12511"/>
      <c r="N12511"/>
      <c r="O12511" s="24"/>
      <c r="P12511"/>
      <c r="Q12511" s="24"/>
      <c r="R12511"/>
      <c r="S12511"/>
      <c r="T12511"/>
      <c r="U12511"/>
      <c r="X12511" s="60"/>
    </row>
    <row r="12512" spans="7:24" ht="15" customHeight="1">
      <c r="G12512"/>
      <c r="I12512"/>
      <c r="N12512"/>
      <c r="O12512" s="24"/>
      <c r="P12512"/>
      <c r="Q12512" s="24"/>
      <c r="R12512"/>
      <c r="S12512"/>
      <c r="T12512"/>
      <c r="U12512"/>
      <c r="X12512" s="60"/>
    </row>
    <row r="12513" spans="7:24" ht="15" customHeight="1">
      <c r="G12513"/>
      <c r="I12513"/>
      <c r="N12513"/>
      <c r="O12513" s="24"/>
      <c r="P12513"/>
      <c r="Q12513" s="24"/>
      <c r="R12513"/>
      <c r="S12513"/>
      <c r="T12513"/>
      <c r="U12513"/>
      <c r="X12513" s="60"/>
    </row>
    <row r="12514" spans="7:24" ht="15" customHeight="1">
      <c r="G12514"/>
      <c r="I12514"/>
      <c r="N12514"/>
      <c r="O12514" s="24"/>
      <c r="P12514"/>
      <c r="Q12514" s="24"/>
      <c r="R12514"/>
      <c r="S12514"/>
      <c r="T12514"/>
      <c r="U12514"/>
      <c r="X12514" s="60"/>
    </row>
    <row r="12515" spans="7:24" ht="15" customHeight="1">
      <c r="G12515"/>
      <c r="I12515"/>
      <c r="N12515"/>
      <c r="O12515" s="24"/>
      <c r="P12515"/>
      <c r="Q12515" s="24"/>
      <c r="R12515"/>
      <c r="S12515"/>
      <c r="T12515"/>
      <c r="U12515"/>
      <c r="X12515" s="60"/>
    </row>
    <row r="12516" spans="7:24" ht="15" customHeight="1">
      <c r="G12516"/>
      <c r="I12516"/>
      <c r="N12516"/>
      <c r="O12516" s="24"/>
      <c r="P12516"/>
      <c r="Q12516" s="24"/>
      <c r="R12516"/>
      <c r="S12516"/>
      <c r="T12516"/>
      <c r="U12516"/>
      <c r="X12516" s="60"/>
    </row>
    <row r="12517" spans="7:24" ht="15" customHeight="1">
      <c r="G12517"/>
      <c r="I12517"/>
      <c r="N12517"/>
      <c r="O12517" s="24"/>
      <c r="P12517"/>
      <c r="Q12517" s="24"/>
      <c r="R12517"/>
      <c r="S12517"/>
      <c r="T12517"/>
      <c r="U12517"/>
      <c r="X12517" s="60"/>
    </row>
    <row r="12518" spans="7:24" ht="15" customHeight="1">
      <c r="G12518"/>
      <c r="I12518"/>
      <c r="N12518"/>
      <c r="O12518" s="24"/>
      <c r="P12518"/>
      <c r="Q12518" s="24"/>
      <c r="R12518"/>
      <c r="S12518"/>
      <c r="T12518"/>
      <c r="U12518"/>
      <c r="X12518" s="60"/>
    </row>
    <row r="12519" spans="7:24" ht="15" customHeight="1">
      <c r="G12519"/>
      <c r="I12519"/>
      <c r="N12519"/>
      <c r="O12519" s="24"/>
      <c r="P12519"/>
      <c r="Q12519" s="24"/>
      <c r="R12519"/>
      <c r="S12519"/>
      <c r="T12519"/>
      <c r="U12519"/>
      <c r="X12519" s="60"/>
    </row>
    <row r="12520" spans="7:24" ht="15" customHeight="1">
      <c r="G12520"/>
      <c r="I12520"/>
      <c r="N12520"/>
      <c r="O12520" s="24"/>
      <c r="P12520"/>
      <c r="Q12520" s="24"/>
      <c r="R12520"/>
      <c r="S12520"/>
      <c r="T12520"/>
      <c r="U12520"/>
      <c r="X12520" s="60"/>
    </row>
    <row r="12521" spans="7:24" ht="15" customHeight="1">
      <c r="G12521"/>
      <c r="I12521"/>
      <c r="N12521"/>
      <c r="O12521" s="24"/>
      <c r="P12521"/>
      <c r="Q12521" s="24"/>
      <c r="R12521"/>
      <c r="S12521"/>
      <c r="T12521"/>
      <c r="U12521"/>
      <c r="X12521" s="60"/>
    </row>
    <row r="12522" spans="7:24" ht="15" customHeight="1">
      <c r="G12522"/>
      <c r="I12522"/>
      <c r="N12522"/>
      <c r="O12522" s="24"/>
      <c r="P12522"/>
      <c r="Q12522" s="24"/>
      <c r="R12522"/>
      <c r="S12522"/>
      <c r="T12522"/>
      <c r="U12522"/>
      <c r="X12522" s="60"/>
    </row>
    <row r="12523" spans="7:24" ht="15" customHeight="1">
      <c r="G12523"/>
      <c r="I12523"/>
      <c r="N12523"/>
      <c r="O12523" s="24"/>
      <c r="P12523"/>
      <c r="Q12523" s="24"/>
      <c r="R12523"/>
      <c r="S12523"/>
      <c r="T12523"/>
      <c r="U12523"/>
      <c r="X12523" s="60"/>
    </row>
    <row r="12524" spans="7:24" ht="15" customHeight="1">
      <c r="G12524"/>
      <c r="I12524"/>
      <c r="N12524"/>
      <c r="O12524" s="24"/>
      <c r="P12524"/>
      <c r="Q12524" s="24"/>
      <c r="R12524"/>
      <c r="S12524"/>
      <c r="T12524"/>
      <c r="U12524"/>
      <c r="X12524" s="60"/>
    </row>
    <row r="12525" spans="7:24" ht="15" customHeight="1">
      <c r="G12525"/>
      <c r="I12525"/>
      <c r="N12525"/>
      <c r="O12525" s="24"/>
      <c r="P12525"/>
      <c r="Q12525" s="24"/>
      <c r="R12525"/>
      <c r="S12525"/>
      <c r="T12525"/>
      <c r="U12525"/>
      <c r="X12525" s="60"/>
    </row>
    <row r="12526" spans="7:24" ht="15" customHeight="1">
      <c r="G12526"/>
      <c r="I12526"/>
      <c r="N12526"/>
      <c r="O12526" s="24"/>
      <c r="P12526"/>
      <c r="Q12526" s="24"/>
      <c r="R12526"/>
      <c r="S12526"/>
      <c r="T12526"/>
      <c r="U12526"/>
      <c r="X12526" s="60"/>
    </row>
    <row r="12527" spans="7:24" ht="15" customHeight="1">
      <c r="G12527"/>
      <c r="I12527"/>
      <c r="N12527"/>
      <c r="O12527" s="24"/>
      <c r="P12527"/>
      <c r="Q12527" s="24"/>
      <c r="R12527"/>
      <c r="S12527"/>
      <c r="T12527"/>
      <c r="U12527"/>
      <c r="X12527" s="60"/>
    </row>
    <row r="12528" spans="7:24" ht="15" customHeight="1">
      <c r="G12528"/>
      <c r="I12528"/>
      <c r="N12528"/>
      <c r="O12528" s="24"/>
      <c r="P12528"/>
      <c r="Q12528" s="24"/>
      <c r="R12528"/>
      <c r="S12528"/>
      <c r="T12528"/>
      <c r="U12528"/>
      <c r="X12528" s="60"/>
    </row>
    <row r="12529" spans="7:24" ht="15" customHeight="1">
      <c r="G12529"/>
      <c r="I12529"/>
      <c r="N12529"/>
      <c r="O12529" s="24"/>
      <c r="P12529"/>
      <c r="Q12529" s="24"/>
      <c r="R12529"/>
      <c r="S12529"/>
      <c r="T12529"/>
      <c r="U12529"/>
      <c r="X12529" s="60"/>
    </row>
    <row r="12530" spans="7:24" ht="15" customHeight="1">
      <c r="G12530"/>
      <c r="I12530"/>
      <c r="N12530"/>
      <c r="O12530" s="24"/>
      <c r="P12530"/>
      <c r="Q12530" s="24"/>
      <c r="R12530"/>
      <c r="S12530"/>
      <c r="T12530"/>
      <c r="U12530"/>
      <c r="X12530" s="60"/>
    </row>
    <row r="12531" spans="7:24" ht="15" customHeight="1">
      <c r="G12531"/>
      <c r="I12531"/>
      <c r="N12531"/>
      <c r="O12531" s="24"/>
      <c r="P12531"/>
      <c r="Q12531" s="24"/>
      <c r="R12531"/>
      <c r="S12531"/>
      <c r="T12531"/>
      <c r="U12531"/>
      <c r="X12531" s="60"/>
    </row>
    <row r="12532" spans="7:24" ht="15" customHeight="1">
      <c r="G12532"/>
      <c r="I12532"/>
      <c r="N12532"/>
      <c r="O12532" s="24"/>
      <c r="P12532"/>
      <c r="Q12532" s="24"/>
      <c r="R12532"/>
      <c r="S12532"/>
      <c r="T12532"/>
      <c r="U12532"/>
      <c r="X12532" s="60"/>
    </row>
    <row r="12533" spans="7:24" ht="15" customHeight="1">
      <c r="G12533"/>
      <c r="I12533"/>
      <c r="N12533"/>
      <c r="O12533" s="24"/>
      <c r="P12533"/>
      <c r="Q12533" s="24"/>
      <c r="R12533"/>
      <c r="S12533"/>
      <c r="T12533"/>
      <c r="U12533"/>
      <c r="X12533" s="60"/>
    </row>
    <row r="12534" spans="7:24" ht="15" customHeight="1">
      <c r="G12534"/>
      <c r="I12534"/>
      <c r="N12534"/>
      <c r="O12534" s="24"/>
      <c r="P12534"/>
      <c r="Q12534" s="24"/>
      <c r="R12534"/>
      <c r="S12534"/>
      <c r="T12534"/>
      <c r="U12534"/>
      <c r="X12534" s="60"/>
    </row>
    <row r="12535" spans="7:24" ht="15" customHeight="1">
      <c r="G12535"/>
      <c r="I12535"/>
      <c r="N12535"/>
      <c r="O12535" s="24"/>
      <c r="P12535"/>
      <c r="Q12535" s="24"/>
      <c r="R12535"/>
      <c r="S12535"/>
      <c r="T12535"/>
      <c r="U12535"/>
      <c r="X12535" s="60"/>
    </row>
    <row r="12536" spans="7:24" ht="15" customHeight="1">
      <c r="G12536"/>
      <c r="I12536"/>
      <c r="N12536"/>
      <c r="O12536" s="24"/>
      <c r="P12536"/>
      <c r="Q12536" s="24"/>
      <c r="R12536"/>
      <c r="S12536"/>
      <c r="T12536"/>
      <c r="U12536"/>
      <c r="X12536" s="60"/>
    </row>
    <row r="12537" spans="7:24" ht="15" customHeight="1">
      <c r="G12537"/>
      <c r="I12537"/>
      <c r="N12537"/>
      <c r="O12537" s="24"/>
      <c r="P12537"/>
      <c r="Q12537" s="24"/>
      <c r="R12537"/>
      <c r="S12537"/>
      <c r="T12537"/>
      <c r="U12537"/>
      <c r="X12537" s="60"/>
    </row>
    <row r="12538" spans="7:24" ht="15" customHeight="1">
      <c r="G12538"/>
      <c r="I12538"/>
      <c r="N12538"/>
      <c r="O12538" s="24"/>
      <c r="P12538"/>
      <c r="Q12538" s="24"/>
      <c r="R12538"/>
      <c r="S12538"/>
      <c r="T12538"/>
      <c r="U12538"/>
      <c r="X12538" s="60"/>
    </row>
    <row r="12539" spans="7:24" ht="15" customHeight="1">
      <c r="G12539"/>
      <c r="I12539"/>
      <c r="N12539"/>
      <c r="O12539" s="24"/>
      <c r="P12539"/>
      <c r="Q12539" s="24"/>
      <c r="R12539"/>
      <c r="S12539"/>
      <c r="T12539"/>
      <c r="U12539"/>
      <c r="X12539" s="60"/>
    </row>
    <row r="12540" spans="7:24" ht="15" customHeight="1">
      <c r="G12540"/>
      <c r="I12540"/>
      <c r="N12540"/>
      <c r="O12540" s="24"/>
      <c r="P12540"/>
      <c r="Q12540" s="24"/>
      <c r="R12540"/>
      <c r="S12540"/>
      <c r="T12540"/>
      <c r="U12540"/>
      <c r="X12540" s="60"/>
    </row>
    <row r="12541" spans="7:24" ht="15" customHeight="1">
      <c r="G12541"/>
      <c r="I12541"/>
      <c r="N12541"/>
      <c r="O12541" s="24"/>
      <c r="P12541"/>
      <c r="Q12541" s="24"/>
      <c r="R12541"/>
      <c r="S12541"/>
      <c r="T12541"/>
      <c r="U12541"/>
      <c r="X12541" s="60"/>
    </row>
    <row r="12542" spans="7:24" ht="15" customHeight="1">
      <c r="G12542"/>
      <c r="I12542"/>
      <c r="N12542"/>
      <c r="O12542" s="24"/>
      <c r="P12542"/>
      <c r="Q12542" s="24"/>
      <c r="R12542"/>
      <c r="S12542"/>
      <c r="T12542"/>
      <c r="U12542"/>
      <c r="X12542" s="60"/>
    </row>
    <row r="12543" spans="7:24" ht="15" customHeight="1">
      <c r="G12543"/>
      <c r="I12543"/>
      <c r="N12543"/>
      <c r="O12543" s="24"/>
      <c r="P12543"/>
      <c r="Q12543" s="24"/>
      <c r="R12543"/>
      <c r="S12543"/>
      <c r="T12543"/>
      <c r="U12543"/>
      <c r="X12543" s="60"/>
    </row>
    <row r="12544" spans="7:24" ht="15" customHeight="1">
      <c r="G12544"/>
      <c r="I12544"/>
      <c r="N12544"/>
      <c r="O12544" s="24"/>
      <c r="P12544"/>
      <c r="Q12544" s="24"/>
      <c r="R12544"/>
      <c r="S12544"/>
      <c r="T12544"/>
      <c r="U12544"/>
      <c r="X12544" s="60"/>
    </row>
    <row r="12545" spans="7:24" ht="15" customHeight="1">
      <c r="G12545"/>
      <c r="I12545"/>
      <c r="N12545"/>
      <c r="O12545" s="24"/>
      <c r="P12545"/>
      <c r="Q12545" s="24"/>
      <c r="R12545"/>
      <c r="S12545"/>
      <c r="T12545"/>
      <c r="U12545"/>
      <c r="X12545" s="60"/>
    </row>
    <row r="12546" spans="7:24" ht="15" customHeight="1">
      <c r="G12546"/>
      <c r="I12546"/>
      <c r="N12546"/>
      <c r="O12546" s="24"/>
      <c r="P12546"/>
      <c r="Q12546" s="24"/>
      <c r="R12546"/>
      <c r="S12546"/>
      <c r="T12546"/>
      <c r="U12546"/>
      <c r="X12546" s="60"/>
    </row>
    <row r="12547" spans="7:24" ht="15" customHeight="1">
      <c r="G12547"/>
      <c r="I12547"/>
      <c r="N12547"/>
      <c r="O12547" s="24"/>
      <c r="P12547"/>
      <c r="Q12547" s="24"/>
      <c r="R12547"/>
      <c r="S12547"/>
      <c r="T12547"/>
      <c r="U12547"/>
      <c r="X12547" s="60"/>
    </row>
    <row r="12548" spans="7:24" ht="15" customHeight="1">
      <c r="G12548"/>
      <c r="I12548"/>
      <c r="N12548"/>
      <c r="O12548" s="24"/>
      <c r="P12548"/>
      <c r="Q12548" s="24"/>
      <c r="R12548"/>
      <c r="S12548"/>
      <c r="T12548"/>
      <c r="U12548"/>
      <c r="X12548" s="60"/>
    </row>
    <row r="12549" spans="7:24" ht="15" customHeight="1">
      <c r="G12549"/>
      <c r="I12549"/>
      <c r="N12549"/>
      <c r="O12549" s="24"/>
      <c r="P12549"/>
      <c r="Q12549" s="24"/>
      <c r="R12549"/>
      <c r="S12549"/>
      <c r="T12549"/>
      <c r="U12549"/>
      <c r="X12549" s="60"/>
    </row>
    <row r="12550" spans="7:24" ht="15" customHeight="1">
      <c r="G12550"/>
      <c r="I12550"/>
      <c r="N12550"/>
      <c r="O12550" s="24"/>
      <c r="P12550"/>
      <c r="Q12550" s="24"/>
      <c r="R12550"/>
      <c r="S12550"/>
      <c r="T12550"/>
      <c r="U12550"/>
      <c r="X12550" s="60"/>
    </row>
    <row r="12551" spans="7:24" ht="15" customHeight="1">
      <c r="G12551"/>
      <c r="I12551"/>
      <c r="N12551"/>
      <c r="O12551" s="24"/>
      <c r="P12551"/>
      <c r="Q12551" s="24"/>
      <c r="R12551"/>
      <c r="S12551"/>
      <c r="T12551"/>
      <c r="U12551"/>
      <c r="X12551" s="60"/>
    </row>
    <row r="12552" spans="7:24" ht="15" customHeight="1">
      <c r="G12552"/>
      <c r="I12552"/>
      <c r="N12552"/>
      <c r="O12552" s="24"/>
      <c r="P12552"/>
      <c r="Q12552" s="24"/>
      <c r="R12552"/>
      <c r="S12552"/>
      <c r="T12552"/>
      <c r="U12552"/>
      <c r="X12552" s="60"/>
    </row>
    <row r="12553" spans="7:24" ht="15" customHeight="1">
      <c r="G12553"/>
      <c r="I12553"/>
      <c r="N12553"/>
      <c r="O12553" s="24"/>
      <c r="P12553"/>
      <c r="Q12553" s="24"/>
      <c r="R12553"/>
      <c r="S12553"/>
      <c r="T12553"/>
      <c r="U12553"/>
      <c r="X12553" s="60"/>
    </row>
    <row r="12554" spans="7:24" ht="15" customHeight="1">
      <c r="G12554"/>
      <c r="I12554"/>
      <c r="N12554"/>
      <c r="O12554" s="24"/>
      <c r="P12554"/>
      <c r="Q12554" s="24"/>
      <c r="R12554"/>
      <c r="S12554"/>
      <c r="T12554"/>
      <c r="U12554"/>
      <c r="X12554" s="60"/>
    </row>
    <row r="12555" spans="7:24" ht="15" customHeight="1">
      <c r="G12555"/>
      <c r="I12555"/>
      <c r="N12555"/>
      <c r="O12555" s="24"/>
      <c r="P12555"/>
      <c r="Q12555" s="24"/>
      <c r="R12555"/>
      <c r="S12555"/>
      <c r="T12555"/>
      <c r="U12555"/>
      <c r="X12555" s="60"/>
    </row>
    <row r="12556" spans="7:24" ht="15" customHeight="1">
      <c r="G12556"/>
      <c r="I12556"/>
      <c r="N12556"/>
      <c r="O12556" s="24"/>
      <c r="P12556"/>
      <c r="Q12556" s="24"/>
      <c r="R12556"/>
      <c r="S12556"/>
      <c r="T12556"/>
      <c r="U12556"/>
      <c r="X12556" s="60"/>
    </row>
    <row r="12557" spans="7:24" ht="15" customHeight="1">
      <c r="G12557"/>
      <c r="I12557"/>
      <c r="N12557"/>
      <c r="O12557" s="24"/>
      <c r="P12557"/>
      <c r="Q12557" s="24"/>
      <c r="R12557"/>
      <c r="S12557"/>
      <c r="T12557"/>
      <c r="U12557"/>
      <c r="X12557" s="60"/>
    </row>
    <row r="12558" spans="7:24" ht="15" customHeight="1">
      <c r="G12558"/>
      <c r="I12558"/>
      <c r="N12558"/>
      <c r="O12558" s="24"/>
      <c r="P12558"/>
      <c r="Q12558" s="24"/>
      <c r="R12558"/>
      <c r="S12558"/>
      <c r="T12558"/>
      <c r="U12558"/>
      <c r="X12558" s="60"/>
    </row>
    <row r="12559" spans="7:24" ht="15" customHeight="1">
      <c r="G12559"/>
      <c r="I12559"/>
      <c r="N12559"/>
      <c r="O12559" s="24"/>
      <c r="P12559"/>
      <c r="Q12559" s="24"/>
      <c r="R12559"/>
      <c r="S12559"/>
      <c r="T12559"/>
      <c r="U12559"/>
      <c r="X12559" s="60"/>
    </row>
    <row r="12560" spans="7:24" ht="15" customHeight="1">
      <c r="G12560"/>
      <c r="I12560"/>
      <c r="N12560"/>
      <c r="O12560" s="24"/>
      <c r="P12560"/>
      <c r="Q12560" s="24"/>
      <c r="R12560"/>
      <c r="S12560"/>
      <c r="T12560"/>
      <c r="U12560"/>
      <c r="X12560" s="60"/>
    </row>
    <row r="12561" spans="7:24" ht="15" customHeight="1">
      <c r="G12561"/>
      <c r="I12561"/>
      <c r="N12561"/>
      <c r="O12561" s="24"/>
      <c r="P12561"/>
      <c r="Q12561" s="24"/>
      <c r="R12561"/>
      <c r="S12561"/>
      <c r="T12561"/>
      <c r="U12561"/>
      <c r="X12561" s="60"/>
    </row>
    <row r="12562" spans="7:24" ht="15" customHeight="1">
      <c r="G12562"/>
      <c r="I12562"/>
      <c r="N12562"/>
      <c r="O12562" s="24"/>
      <c r="P12562"/>
      <c r="Q12562" s="24"/>
      <c r="R12562"/>
      <c r="S12562"/>
      <c r="T12562"/>
      <c r="U12562"/>
      <c r="X12562" s="60"/>
    </row>
    <row r="12563" spans="7:24" ht="15" customHeight="1">
      <c r="G12563"/>
      <c r="I12563"/>
      <c r="N12563"/>
      <c r="O12563" s="24"/>
      <c r="P12563"/>
      <c r="Q12563" s="24"/>
      <c r="R12563"/>
      <c r="S12563"/>
      <c r="T12563"/>
      <c r="U12563"/>
      <c r="X12563" s="60"/>
    </row>
    <row r="12564" spans="7:24" ht="15" customHeight="1">
      <c r="G12564"/>
      <c r="I12564"/>
      <c r="N12564"/>
      <c r="O12564" s="24"/>
      <c r="P12564"/>
      <c r="Q12564" s="24"/>
      <c r="R12564"/>
      <c r="S12564"/>
      <c r="T12564"/>
      <c r="U12564"/>
      <c r="X12564" s="60"/>
    </row>
    <row r="12565" spans="7:24" ht="15" customHeight="1">
      <c r="G12565"/>
      <c r="I12565"/>
      <c r="N12565"/>
      <c r="O12565" s="24"/>
      <c r="P12565"/>
      <c r="Q12565" s="24"/>
      <c r="R12565"/>
      <c r="S12565"/>
      <c r="T12565"/>
      <c r="U12565"/>
      <c r="X12565" s="60"/>
    </row>
    <row r="12566" spans="7:24" ht="15" customHeight="1">
      <c r="G12566"/>
      <c r="I12566"/>
      <c r="N12566"/>
      <c r="O12566" s="24"/>
      <c r="P12566"/>
      <c r="Q12566" s="24"/>
      <c r="R12566"/>
      <c r="S12566"/>
      <c r="T12566"/>
      <c r="U12566"/>
      <c r="X12566" s="60"/>
    </row>
    <row r="12567" spans="7:24" ht="15" customHeight="1">
      <c r="G12567"/>
      <c r="I12567"/>
      <c r="N12567"/>
      <c r="O12567" s="24"/>
      <c r="P12567"/>
      <c r="Q12567" s="24"/>
      <c r="R12567"/>
      <c r="S12567"/>
      <c r="T12567"/>
      <c r="U12567"/>
      <c r="X12567" s="60"/>
    </row>
    <row r="12568" spans="7:24" ht="15" customHeight="1">
      <c r="G12568"/>
      <c r="I12568"/>
      <c r="N12568"/>
      <c r="O12568" s="24"/>
      <c r="P12568"/>
      <c r="Q12568" s="24"/>
      <c r="R12568"/>
      <c r="S12568"/>
      <c r="T12568"/>
      <c r="U12568"/>
      <c r="X12568" s="60"/>
    </row>
    <row r="12569" spans="7:24" ht="15" customHeight="1">
      <c r="G12569"/>
      <c r="I12569"/>
      <c r="N12569"/>
      <c r="O12569" s="24"/>
      <c r="P12569"/>
      <c r="Q12569" s="24"/>
      <c r="R12569"/>
      <c r="S12569"/>
      <c r="T12569"/>
      <c r="U12569"/>
      <c r="X12569" s="60"/>
    </row>
    <row r="12570" spans="7:24" ht="15" customHeight="1">
      <c r="G12570"/>
      <c r="I12570"/>
      <c r="N12570"/>
      <c r="O12570" s="24"/>
      <c r="P12570"/>
      <c r="Q12570" s="24"/>
      <c r="R12570"/>
      <c r="S12570"/>
      <c r="T12570"/>
      <c r="U12570"/>
      <c r="X12570" s="60"/>
    </row>
    <row r="12571" spans="7:24" ht="15" customHeight="1">
      <c r="G12571"/>
      <c r="I12571"/>
      <c r="N12571"/>
      <c r="O12571" s="24"/>
      <c r="P12571"/>
      <c r="Q12571" s="24"/>
      <c r="R12571"/>
      <c r="S12571"/>
      <c r="T12571"/>
      <c r="U12571"/>
      <c r="X12571" s="60"/>
    </row>
    <row r="12572" spans="7:24" ht="15" customHeight="1">
      <c r="G12572"/>
      <c r="I12572"/>
      <c r="N12572"/>
      <c r="O12572" s="24"/>
      <c r="P12572"/>
      <c r="Q12572" s="24"/>
      <c r="R12572"/>
      <c r="S12572"/>
      <c r="T12572"/>
      <c r="U12572"/>
      <c r="X12572" s="60"/>
    </row>
    <row r="12573" spans="7:24" ht="15" customHeight="1">
      <c r="G12573"/>
      <c r="I12573"/>
      <c r="N12573"/>
      <c r="O12573" s="24"/>
      <c r="P12573"/>
      <c r="Q12573" s="24"/>
      <c r="R12573"/>
      <c r="S12573"/>
      <c r="T12573"/>
      <c r="U12573"/>
      <c r="X12573" s="60"/>
    </row>
    <row r="12574" spans="7:24" ht="15" customHeight="1">
      <c r="G12574"/>
      <c r="I12574"/>
      <c r="N12574"/>
      <c r="O12574" s="24"/>
      <c r="P12574"/>
      <c r="Q12574" s="24"/>
      <c r="R12574"/>
      <c r="S12574"/>
      <c r="T12574"/>
      <c r="U12574"/>
      <c r="X12574" s="60"/>
    </row>
    <row r="12575" spans="7:24" ht="15" customHeight="1">
      <c r="G12575"/>
      <c r="I12575"/>
      <c r="N12575"/>
      <c r="O12575" s="24"/>
      <c r="P12575"/>
      <c r="Q12575" s="24"/>
      <c r="R12575"/>
      <c r="S12575"/>
      <c r="T12575"/>
      <c r="U12575"/>
      <c r="X12575" s="60"/>
    </row>
    <row r="12576" spans="7:24" ht="15" customHeight="1">
      <c r="G12576"/>
      <c r="I12576"/>
      <c r="N12576"/>
      <c r="O12576" s="24"/>
      <c r="P12576"/>
      <c r="Q12576" s="24"/>
      <c r="R12576"/>
      <c r="S12576"/>
      <c r="T12576"/>
      <c r="U12576"/>
      <c r="X12576" s="60"/>
    </row>
    <row r="12577" spans="7:24" ht="15" customHeight="1">
      <c r="G12577"/>
      <c r="I12577"/>
      <c r="N12577"/>
      <c r="O12577" s="24"/>
      <c r="P12577"/>
      <c r="Q12577" s="24"/>
      <c r="R12577"/>
      <c r="S12577"/>
      <c r="T12577"/>
      <c r="U12577"/>
      <c r="X12577" s="60"/>
    </row>
    <row r="12578" spans="7:24" ht="15" customHeight="1">
      <c r="G12578"/>
      <c r="I12578"/>
      <c r="N12578"/>
      <c r="O12578" s="24"/>
      <c r="P12578"/>
      <c r="Q12578" s="24"/>
      <c r="R12578"/>
      <c r="S12578"/>
      <c r="T12578"/>
      <c r="U12578"/>
      <c r="X12578" s="60"/>
    </row>
    <row r="12579" spans="7:24" ht="15" customHeight="1">
      <c r="G12579"/>
      <c r="I12579"/>
      <c r="N12579"/>
      <c r="O12579" s="24"/>
      <c r="P12579"/>
      <c r="Q12579" s="24"/>
      <c r="R12579"/>
      <c r="S12579"/>
      <c r="T12579"/>
      <c r="U12579"/>
      <c r="X12579" s="60"/>
    </row>
    <row r="12580" spans="7:24" ht="15" customHeight="1">
      <c r="G12580"/>
      <c r="I12580"/>
      <c r="N12580"/>
      <c r="O12580" s="24"/>
      <c r="P12580"/>
      <c r="Q12580" s="24"/>
      <c r="R12580"/>
      <c r="S12580"/>
      <c r="T12580"/>
      <c r="U12580"/>
      <c r="X12580" s="60"/>
    </row>
    <row r="12581" spans="7:24" ht="15" customHeight="1">
      <c r="G12581"/>
      <c r="I12581"/>
      <c r="N12581"/>
      <c r="O12581" s="24"/>
      <c r="P12581"/>
      <c r="Q12581" s="24"/>
      <c r="R12581"/>
      <c r="S12581"/>
      <c r="T12581"/>
      <c r="U12581"/>
      <c r="X12581" s="60"/>
    </row>
    <row r="12582" spans="7:24" ht="15" customHeight="1">
      <c r="G12582"/>
      <c r="I12582"/>
      <c r="N12582"/>
      <c r="O12582" s="24"/>
      <c r="P12582"/>
      <c r="Q12582" s="24"/>
      <c r="R12582"/>
      <c r="S12582"/>
      <c r="T12582"/>
      <c r="U12582"/>
      <c r="X12582" s="60"/>
    </row>
    <row r="12583" spans="7:24" ht="15" customHeight="1">
      <c r="G12583"/>
      <c r="I12583"/>
      <c r="N12583"/>
      <c r="O12583" s="24"/>
      <c r="P12583"/>
      <c r="Q12583" s="24"/>
      <c r="R12583"/>
      <c r="S12583"/>
      <c r="T12583"/>
      <c r="U12583"/>
      <c r="X12583" s="60"/>
    </row>
    <row r="12584" spans="7:24" ht="15" customHeight="1">
      <c r="G12584"/>
      <c r="I12584"/>
      <c r="N12584"/>
      <c r="O12584" s="24"/>
      <c r="P12584"/>
      <c r="Q12584" s="24"/>
      <c r="R12584"/>
      <c r="S12584"/>
      <c r="T12584"/>
      <c r="U12584"/>
      <c r="X12584" s="60"/>
    </row>
    <row r="12585" spans="7:24" ht="15" customHeight="1">
      <c r="G12585"/>
      <c r="I12585"/>
      <c r="N12585"/>
      <c r="O12585" s="24"/>
      <c r="P12585"/>
      <c r="Q12585" s="24"/>
      <c r="R12585"/>
      <c r="S12585"/>
      <c r="T12585"/>
      <c r="U12585"/>
      <c r="X12585" s="60"/>
    </row>
    <row r="12586" spans="7:24" ht="15" customHeight="1">
      <c r="G12586"/>
      <c r="I12586"/>
      <c r="N12586"/>
      <c r="O12586" s="24"/>
      <c r="P12586"/>
      <c r="Q12586" s="24"/>
      <c r="R12586"/>
      <c r="S12586"/>
      <c r="T12586"/>
      <c r="U12586"/>
      <c r="X12586" s="60"/>
    </row>
    <row r="12587" spans="7:24" ht="15" customHeight="1">
      <c r="G12587"/>
      <c r="I12587"/>
      <c r="N12587"/>
      <c r="O12587" s="24"/>
      <c r="P12587"/>
      <c r="Q12587" s="24"/>
      <c r="R12587"/>
      <c r="S12587"/>
      <c r="T12587"/>
      <c r="U12587"/>
      <c r="X12587" s="60"/>
    </row>
    <row r="12588" spans="7:24" ht="15" customHeight="1">
      <c r="G12588"/>
      <c r="I12588"/>
      <c r="N12588"/>
      <c r="O12588" s="24"/>
      <c r="P12588"/>
      <c r="Q12588" s="24"/>
      <c r="R12588"/>
      <c r="S12588"/>
      <c r="T12588"/>
      <c r="U12588"/>
      <c r="X12588" s="60"/>
    </row>
    <row r="12589" spans="7:24" ht="15" customHeight="1">
      <c r="G12589"/>
      <c r="I12589"/>
      <c r="N12589"/>
      <c r="O12589" s="24"/>
      <c r="P12589"/>
      <c r="Q12589" s="24"/>
      <c r="R12589"/>
      <c r="S12589"/>
      <c r="T12589"/>
      <c r="U12589"/>
      <c r="X12589" s="60"/>
    </row>
    <row r="12590" spans="7:24" ht="15" customHeight="1">
      <c r="G12590"/>
      <c r="I12590"/>
      <c r="N12590"/>
      <c r="O12590" s="24"/>
      <c r="P12590"/>
      <c r="Q12590" s="24"/>
      <c r="R12590"/>
      <c r="S12590"/>
      <c r="T12590"/>
      <c r="U12590"/>
      <c r="X12590" s="60"/>
    </row>
    <row r="12591" spans="7:24" ht="15" customHeight="1">
      <c r="G12591"/>
      <c r="I12591"/>
      <c r="N12591"/>
      <c r="O12591" s="24"/>
      <c r="P12591"/>
      <c r="Q12591" s="24"/>
      <c r="R12591"/>
      <c r="S12591"/>
      <c r="T12591"/>
      <c r="U12591"/>
      <c r="X12591" s="60"/>
    </row>
    <row r="12592" spans="7:24" ht="15" customHeight="1">
      <c r="G12592"/>
      <c r="I12592"/>
      <c r="N12592"/>
      <c r="O12592" s="24"/>
      <c r="P12592"/>
      <c r="Q12592" s="24"/>
      <c r="R12592"/>
      <c r="S12592"/>
      <c r="T12592"/>
      <c r="U12592"/>
      <c r="X12592" s="60"/>
    </row>
    <row r="12593" spans="7:24" ht="15" customHeight="1">
      <c r="G12593"/>
      <c r="I12593"/>
      <c r="N12593"/>
      <c r="O12593" s="24"/>
      <c r="P12593"/>
      <c r="Q12593" s="24"/>
      <c r="R12593"/>
      <c r="S12593"/>
      <c r="T12593"/>
      <c r="U12593"/>
      <c r="X12593" s="60"/>
    </row>
    <row r="12594" spans="7:24" ht="15" customHeight="1">
      <c r="G12594"/>
      <c r="I12594"/>
      <c r="N12594"/>
      <c r="O12594" s="24"/>
      <c r="P12594"/>
      <c r="Q12594" s="24"/>
      <c r="R12594"/>
      <c r="S12594"/>
      <c r="T12594"/>
      <c r="U12594"/>
      <c r="X12594" s="60"/>
    </row>
    <row r="12595" spans="7:24" ht="15" customHeight="1">
      <c r="G12595"/>
      <c r="I12595"/>
      <c r="N12595"/>
      <c r="O12595" s="24"/>
      <c r="P12595"/>
      <c r="Q12595" s="24"/>
      <c r="R12595"/>
      <c r="S12595"/>
      <c r="T12595"/>
      <c r="U12595"/>
      <c r="X12595" s="60"/>
    </row>
    <row r="12596" spans="7:24" ht="15" customHeight="1">
      <c r="G12596"/>
      <c r="I12596"/>
      <c r="N12596"/>
      <c r="O12596" s="24"/>
      <c r="P12596"/>
      <c r="Q12596" s="24"/>
      <c r="R12596"/>
      <c r="S12596"/>
      <c r="T12596"/>
      <c r="U12596"/>
      <c r="X12596" s="60"/>
    </row>
    <row r="12597" spans="7:24" ht="15" customHeight="1">
      <c r="G12597"/>
      <c r="I12597"/>
      <c r="N12597"/>
      <c r="O12597" s="24"/>
      <c r="P12597"/>
      <c r="Q12597" s="24"/>
      <c r="R12597"/>
      <c r="S12597"/>
      <c r="T12597"/>
      <c r="U12597"/>
      <c r="X12597" s="60"/>
    </row>
    <row r="12598" spans="7:24" ht="15" customHeight="1">
      <c r="G12598"/>
      <c r="I12598"/>
      <c r="N12598"/>
      <c r="O12598" s="24"/>
      <c r="P12598"/>
      <c r="Q12598" s="24"/>
      <c r="R12598"/>
      <c r="S12598"/>
      <c r="T12598"/>
      <c r="U12598"/>
      <c r="X12598" s="60"/>
    </row>
    <row r="12599" spans="7:24" ht="15" customHeight="1">
      <c r="G12599"/>
      <c r="I12599"/>
      <c r="N12599"/>
      <c r="O12599" s="24"/>
      <c r="P12599"/>
      <c r="Q12599" s="24"/>
      <c r="R12599"/>
      <c r="S12599"/>
      <c r="T12599"/>
      <c r="U12599"/>
      <c r="X12599" s="60"/>
    </row>
    <row r="12600" spans="7:24" ht="15" customHeight="1">
      <c r="G12600"/>
      <c r="I12600"/>
      <c r="N12600"/>
      <c r="O12600" s="24"/>
      <c r="P12600"/>
      <c r="Q12600" s="24"/>
      <c r="R12600"/>
      <c r="S12600"/>
      <c r="T12600"/>
      <c r="U12600"/>
      <c r="X12600" s="60"/>
    </row>
    <row r="12601" spans="7:24" ht="15" customHeight="1">
      <c r="G12601"/>
      <c r="I12601"/>
      <c r="N12601"/>
      <c r="O12601" s="24"/>
      <c r="P12601"/>
      <c r="Q12601" s="24"/>
      <c r="R12601"/>
      <c r="S12601"/>
      <c r="T12601"/>
      <c r="U12601"/>
      <c r="X12601" s="60"/>
    </row>
    <row r="12602" spans="7:24" ht="15" customHeight="1">
      <c r="G12602"/>
      <c r="I12602"/>
      <c r="N12602"/>
      <c r="O12602" s="24"/>
      <c r="P12602"/>
      <c r="Q12602" s="24"/>
      <c r="R12602"/>
      <c r="S12602"/>
      <c r="T12602"/>
      <c r="U12602"/>
      <c r="X12602" s="60"/>
    </row>
    <row r="12603" spans="7:24" ht="15" customHeight="1">
      <c r="G12603"/>
      <c r="I12603"/>
      <c r="N12603"/>
      <c r="O12603" s="24"/>
      <c r="P12603"/>
      <c r="Q12603" s="24"/>
      <c r="R12603"/>
      <c r="S12603"/>
      <c r="T12603"/>
      <c r="U12603"/>
      <c r="X12603" s="60"/>
    </row>
    <row r="12604" spans="7:24" ht="15" customHeight="1">
      <c r="G12604"/>
      <c r="I12604"/>
      <c r="N12604"/>
      <c r="O12604" s="24"/>
      <c r="P12604"/>
      <c r="Q12604" s="24"/>
      <c r="R12604"/>
      <c r="S12604"/>
      <c r="T12604"/>
      <c r="U12604"/>
      <c r="X12604" s="60"/>
    </row>
    <row r="12605" spans="7:24" ht="15" customHeight="1">
      <c r="G12605"/>
      <c r="I12605"/>
      <c r="N12605"/>
      <c r="O12605" s="24"/>
      <c r="P12605"/>
      <c r="Q12605" s="24"/>
      <c r="R12605"/>
      <c r="S12605"/>
      <c r="T12605"/>
      <c r="U12605"/>
      <c r="X12605" s="60"/>
    </row>
    <row r="12606" spans="7:24" ht="15" customHeight="1">
      <c r="G12606"/>
      <c r="I12606"/>
      <c r="N12606"/>
      <c r="O12606" s="24"/>
      <c r="P12606"/>
      <c r="Q12606" s="24"/>
      <c r="R12606"/>
      <c r="S12606"/>
      <c r="T12606"/>
      <c r="U12606"/>
      <c r="X12606" s="60"/>
    </row>
    <row r="12607" spans="7:24" ht="15" customHeight="1">
      <c r="G12607"/>
      <c r="I12607"/>
      <c r="N12607"/>
      <c r="O12607" s="24"/>
      <c r="P12607"/>
      <c r="Q12607" s="24"/>
      <c r="R12607"/>
      <c r="S12607"/>
      <c r="T12607"/>
      <c r="U12607"/>
      <c r="X12607" s="60"/>
    </row>
    <row r="12608" spans="7:24" ht="15" customHeight="1">
      <c r="G12608"/>
      <c r="I12608"/>
      <c r="N12608"/>
      <c r="O12608" s="24"/>
      <c r="P12608"/>
      <c r="Q12608" s="24"/>
      <c r="R12608"/>
      <c r="S12608"/>
      <c r="T12608"/>
      <c r="U12608"/>
      <c r="X12608" s="60"/>
    </row>
    <row r="12609" spans="7:24" ht="15" customHeight="1">
      <c r="G12609"/>
      <c r="I12609"/>
      <c r="N12609"/>
      <c r="O12609" s="24"/>
      <c r="P12609"/>
      <c r="Q12609" s="24"/>
      <c r="R12609"/>
      <c r="S12609"/>
      <c r="T12609"/>
      <c r="U12609"/>
      <c r="X12609" s="60"/>
    </row>
    <row r="12610" spans="7:24" ht="15" customHeight="1">
      <c r="G12610"/>
      <c r="I12610"/>
      <c r="N12610"/>
      <c r="O12610" s="24"/>
      <c r="P12610"/>
      <c r="Q12610" s="24"/>
      <c r="R12610"/>
      <c r="S12610"/>
      <c r="T12610"/>
      <c r="U12610"/>
      <c r="X12610" s="60"/>
    </row>
    <row r="12611" spans="7:24" ht="15" customHeight="1">
      <c r="G12611"/>
      <c r="I12611"/>
      <c r="N12611"/>
      <c r="O12611" s="24"/>
      <c r="P12611"/>
      <c r="Q12611" s="24"/>
      <c r="R12611"/>
      <c r="S12611"/>
      <c r="T12611"/>
      <c r="U12611"/>
      <c r="X12611" s="60"/>
    </row>
    <row r="12612" spans="7:24" ht="15" customHeight="1">
      <c r="G12612"/>
      <c r="I12612"/>
      <c r="N12612"/>
      <c r="O12612" s="24"/>
      <c r="P12612"/>
      <c r="Q12612" s="24"/>
      <c r="R12612"/>
      <c r="S12612"/>
      <c r="T12612"/>
      <c r="U12612"/>
      <c r="X12612" s="60"/>
    </row>
    <row r="12613" spans="7:24" ht="15" customHeight="1">
      <c r="G12613"/>
      <c r="I12613"/>
      <c r="N12613"/>
      <c r="O12613" s="24"/>
      <c r="P12613"/>
      <c r="Q12613" s="24"/>
      <c r="R12613"/>
      <c r="S12613"/>
      <c r="T12613"/>
      <c r="U12613"/>
      <c r="X12613" s="60"/>
    </row>
    <row r="12614" spans="7:24" ht="15" customHeight="1">
      <c r="G12614"/>
      <c r="I12614"/>
      <c r="N12614"/>
      <c r="O12614" s="24"/>
      <c r="P12614"/>
      <c r="Q12614" s="24"/>
      <c r="R12614"/>
      <c r="S12614"/>
      <c r="T12614"/>
      <c r="U12614"/>
      <c r="X12614" s="60"/>
    </row>
    <row r="12615" spans="7:24" ht="15" customHeight="1">
      <c r="G12615"/>
      <c r="I12615"/>
      <c r="N12615"/>
      <c r="O12615" s="24"/>
      <c r="P12615"/>
      <c r="Q12615" s="24"/>
      <c r="R12615"/>
      <c r="S12615"/>
      <c r="T12615"/>
      <c r="U12615"/>
      <c r="X12615" s="60"/>
    </row>
    <row r="12616" spans="7:24" ht="15" customHeight="1">
      <c r="G12616"/>
      <c r="I12616"/>
      <c r="N12616"/>
      <c r="O12616" s="24"/>
      <c r="P12616"/>
      <c r="Q12616" s="24"/>
      <c r="R12616"/>
      <c r="S12616"/>
      <c r="T12616"/>
      <c r="U12616"/>
      <c r="X12616" s="60"/>
    </row>
    <row r="12617" spans="7:24" ht="15" customHeight="1">
      <c r="G12617"/>
      <c r="I12617"/>
      <c r="N12617"/>
      <c r="O12617" s="24"/>
      <c r="P12617"/>
      <c r="Q12617" s="24"/>
      <c r="R12617"/>
      <c r="S12617"/>
      <c r="T12617"/>
      <c r="U12617"/>
      <c r="X12617" s="60"/>
    </row>
    <row r="12618" spans="7:24" ht="15" customHeight="1">
      <c r="G12618"/>
      <c r="I12618"/>
      <c r="N12618"/>
      <c r="O12618" s="24"/>
      <c r="P12618"/>
      <c r="Q12618" s="24"/>
      <c r="R12618"/>
      <c r="S12618"/>
      <c r="T12618"/>
      <c r="U12618"/>
      <c r="X12618" s="60"/>
    </row>
    <row r="12619" spans="7:24" ht="15" customHeight="1">
      <c r="G12619"/>
      <c r="I12619"/>
      <c r="N12619"/>
      <c r="O12619" s="24"/>
      <c r="P12619"/>
      <c r="Q12619" s="24"/>
      <c r="R12619"/>
      <c r="S12619"/>
      <c r="T12619"/>
      <c r="U12619"/>
      <c r="X12619" s="60"/>
    </row>
    <row r="12620" spans="7:24" ht="15" customHeight="1">
      <c r="G12620"/>
      <c r="I12620"/>
      <c r="N12620"/>
      <c r="O12620" s="24"/>
      <c r="P12620"/>
      <c r="Q12620" s="24"/>
      <c r="R12620"/>
      <c r="S12620"/>
      <c r="T12620"/>
      <c r="U12620"/>
      <c r="X12620" s="60"/>
    </row>
    <row r="12621" spans="7:24" ht="15" customHeight="1">
      <c r="G12621"/>
      <c r="I12621"/>
      <c r="N12621"/>
      <c r="O12621" s="24"/>
      <c r="P12621"/>
      <c r="Q12621" s="24"/>
      <c r="R12621"/>
      <c r="S12621"/>
      <c r="T12621"/>
      <c r="U12621"/>
      <c r="X12621" s="60"/>
    </row>
    <row r="12622" spans="7:24" ht="15" customHeight="1">
      <c r="G12622"/>
      <c r="I12622"/>
      <c r="N12622"/>
      <c r="O12622" s="24"/>
      <c r="P12622"/>
      <c r="Q12622" s="24"/>
      <c r="R12622"/>
      <c r="S12622"/>
      <c r="T12622"/>
      <c r="U12622"/>
      <c r="X12622" s="60"/>
    </row>
    <row r="12623" spans="7:24" ht="15" customHeight="1">
      <c r="G12623"/>
      <c r="I12623"/>
      <c r="N12623"/>
      <c r="O12623" s="24"/>
      <c r="P12623"/>
      <c r="Q12623" s="24"/>
      <c r="R12623"/>
      <c r="S12623"/>
      <c r="T12623"/>
      <c r="U12623"/>
      <c r="X12623" s="60"/>
    </row>
    <row r="12624" spans="7:24" ht="15" customHeight="1">
      <c r="G12624"/>
      <c r="I12624"/>
      <c r="N12624"/>
      <c r="O12624" s="24"/>
      <c r="P12624"/>
      <c r="Q12624" s="24"/>
      <c r="R12624"/>
      <c r="S12624"/>
      <c r="T12624"/>
      <c r="U12624"/>
      <c r="X12624" s="60"/>
    </row>
    <row r="12625" spans="7:24" ht="15" customHeight="1">
      <c r="G12625"/>
      <c r="I12625"/>
      <c r="N12625"/>
      <c r="O12625" s="24"/>
      <c r="P12625"/>
      <c r="Q12625" s="24"/>
      <c r="R12625"/>
      <c r="S12625"/>
      <c r="T12625"/>
      <c r="U12625"/>
      <c r="X12625" s="60"/>
    </row>
    <row r="12626" spans="7:24" ht="15" customHeight="1">
      <c r="G12626"/>
      <c r="I12626"/>
      <c r="N12626"/>
      <c r="O12626" s="24"/>
      <c r="P12626"/>
      <c r="Q12626" s="24"/>
      <c r="R12626"/>
      <c r="S12626"/>
      <c r="T12626"/>
      <c r="U12626"/>
      <c r="X12626" s="60"/>
    </row>
    <row r="12627" spans="7:24" ht="15" customHeight="1">
      <c r="G12627"/>
      <c r="I12627"/>
      <c r="N12627"/>
      <c r="O12627" s="24"/>
      <c r="P12627"/>
      <c r="Q12627" s="24"/>
      <c r="R12627"/>
      <c r="S12627"/>
      <c r="T12627"/>
      <c r="U12627"/>
      <c r="X12627" s="60"/>
    </row>
    <row r="12628" spans="7:24" ht="15" customHeight="1">
      <c r="G12628"/>
      <c r="I12628"/>
      <c r="N12628"/>
      <c r="O12628" s="24"/>
      <c r="P12628"/>
      <c r="Q12628" s="24"/>
      <c r="R12628"/>
      <c r="S12628"/>
      <c r="T12628"/>
      <c r="U12628"/>
      <c r="X12628" s="60"/>
    </row>
    <row r="12629" spans="7:24" ht="15" customHeight="1">
      <c r="G12629"/>
      <c r="I12629"/>
      <c r="N12629"/>
      <c r="O12629" s="24"/>
      <c r="P12629"/>
      <c r="Q12629" s="24"/>
      <c r="R12629"/>
      <c r="S12629"/>
      <c r="T12629"/>
      <c r="U12629"/>
      <c r="X12629" s="60"/>
    </row>
    <row r="12630" spans="7:24" ht="15" customHeight="1">
      <c r="G12630"/>
      <c r="I12630"/>
      <c r="N12630"/>
      <c r="O12630" s="24"/>
      <c r="P12630"/>
      <c r="Q12630" s="24"/>
      <c r="R12630"/>
      <c r="S12630"/>
      <c r="T12630"/>
      <c r="U12630"/>
      <c r="X12630" s="60"/>
    </row>
    <row r="12631" spans="7:24" ht="15" customHeight="1">
      <c r="G12631"/>
      <c r="I12631"/>
      <c r="N12631"/>
      <c r="O12631" s="24"/>
      <c r="P12631"/>
      <c r="Q12631" s="24"/>
      <c r="R12631"/>
      <c r="S12631"/>
      <c r="T12631"/>
      <c r="U12631"/>
      <c r="X12631" s="60"/>
    </row>
    <row r="12632" spans="7:24" ht="15" customHeight="1">
      <c r="G12632"/>
      <c r="I12632"/>
      <c r="N12632"/>
      <c r="O12632" s="24"/>
      <c r="P12632"/>
      <c r="Q12632" s="24"/>
      <c r="R12632"/>
      <c r="S12632"/>
      <c r="T12632"/>
      <c r="U12632"/>
      <c r="X12632" s="60"/>
    </row>
    <row r="12633" spans="7:24" ht="15" customHeight="1">
      <c r="G12633"/>
      <c r="I12633"/>
      <c r="N12633"/>
      <c r="O12633" s="24"/>
      <c r="P12633"/>
      <c r="Q12633" s="24"/>
      <c r="R12633"/>
      <c r="S12633"/>
      <c r="T12633"/>
      <c r="U12633"/>
      <c r="X12633" s="60"/>
    </row>
    <row r="12634" spans="7:24" ht="15" customHeight="1">
      <c r="G12634"/>
      <c r="I12634"/>
      <c r="N12634"/>
      <c r="O12634" s="24"/>
      <c r="P12634"/>
      <c r="Q12634" s="24"/>
      <c r="R12634"/>
      <c r="S12634"/>
      <c r="T12634"/>
      <c r="U12634"/>
      <c r="X12634" s="60"/>
    </row>
    <row r="12635" spans="7:24" ht="15" customHeight="1">
      <c r="G12635"/>
      <c r="I12635"/>
      <c r="N12635"/>
      <c r="O12635" s="24"/>
      <c r="P12635"/>
      <c r="Q12635" s="24"/>
      <c r="R12635"/>
      <c r="S12635"/>
      <c r="T12635"/>
      <c r="U12635"/>
      <c r="X12635" s="60"/>
    </row>
    <row r="12636" spans="7:24" ht="15" customHeight="1">
      <c r="G12636"/>
      <c r="I12636"/>
      <c r="N12636"/>
      <c r="O12636" s="24"/>
      <c r="P12636"/>
      <c r="Q12636" s="24"/>
      <c r="R12636"/>
      <c r="S12636"/>
      <c r="T12636"/>
      <c r="U12636"/>
      <c r="X12636" s="60"/>
    </row>
    <row r="12637" spans="7:24" ht="15" customHeight="1">
      <c r="G12637"/>
      <c r="I12637"/>
      <c r="N12637"/>
      <c r="O12637" s="24"/>
      <c r="P12637"/>
      <c r="Q12637" s="24"/>
      <c r="R12637"/>
      <c r="S12637"/>
      <c r="T12637"/>
      <c r="U12637"/>
      <c r="X12637" s="60"/>
    </row>
    <row r="12638" spans="7:24" ht="15" customHeight="1">
      <c r="G12638"/>
      <c r="I12638"/>
      <c r="N12638"/>
      <c r="O12638" s="24"/>
      <c r="P12638"/>
      <c r="Q12638" s="24"/>
      <c r="R12638"/>
      <c r="S12638"/>
      <c r="T12638"/>
      <c r="U12638"/>
      <c r="X12638" s="60"/>
    </row>
    <row r="12639" spans="7:24" ht="15" customHeight="1">
      <c r="G12639"/>
      <c r="I12639"/>
      <c r="N12639"/>
      <c r="O12639" s="24"/>
      <c r="P12639"/>
      <c r="Q12639" s="24"/>
      <c r="R12639"/>
      <c r="S12639"/>
      <c r="T12639"/>
      <c r="U12639"/>
      <c r="X12639" s="60"/>
    </row>
    <row r="12640" spans="7:24" ht="15" customHeight="1">
      <c r="G12640"/>
      <c r="I12640"/>
      <c r="N12640"/>
      <c r="O12640" s="24"/>
      <c r="P12640"/>
      <c r="Q12640" s="24"/>
      <c r="R12640"/>
      <c r="S12640"/>
      <c r="T12640"/>
      <c r="U12640"/>
      <c r="X12640" s="60"/>
    </row>
    <row r="12641" spans="7:24" ht="15" customHeight="1">
      <c r="G12641"/>
      <c r="I12641"/>
      <c r="N12641"/>
      <c r="O12641" s="24"/>
      <c r="P12641"/>
      <c r="Q12641" s="24"/>
      <c r="R12641"/>
      <c r="S12641"/>
      <c r="T12641"/>
      <c r="U12641"/>
      <c r="X12641" s="60"/>
    </row>
    <row r="12642" spans="7:24" ht="15" customHeight="1">
      <c r="G12642"/>
      <c r="I12642"/>
      <c r="N12642"/>
      <c r="O12642" s="24"/>
      <c r="P12642"/>
      <c r="Q12642" s="24"/>
      <c r="R12642"/>
      <c r="S12642"/>
      <c r="T12642"/>
      <c r="U12642"/>
      <c r="X12642" s="60"/>
    </row>
    <row r="12643" spans="7:24" ht="15" customHeight="1">
      <c r="G12643"/>
      <c r="I12643"/>
      <c r="N12643"/>
      <c r="O12643" s="24"/>
      <c r="P12643"/>
      <c r="Q12643" s="24"/>
      <c r="R12643"/>
      <c r="S12643"/>
      <c r="T12643"/>
      <c r="U12643"/>
      <c r="X12643" s="60"/>
    </row>
    <row r="12644" spans="7:24" ht="15" customHeight="1">
      <c r="G12644"/>
      <c r="I12644"/>
      <c r="N12644"/>
      <c r="O12644" s="24"/>
      <c r="P12644"/>
      <c r="Q12644" s="24"/>
      <c r="R12644"/>
      <c r="S12644"/>
      <c r="T12644"/>
      <c r="U12644"/>
      <c r="X12644" s="60"/>
    </row>
    <row r="12645" spans="7:24" ht="15" customHeight="1">
      <c r="G12645"/>
      <c r="I12645"/>
      <c r="N12645"/>
      <c r="O12645" s="24"/>
      <c r="P12645"/>
      <c r="Q12645" s="24"/>
      <c r="R12645"/>
      <c r="S12645"/>
      <c r="T12645"/>
      <c r="U12645"/>
      <c r="X12645" s="60"/>
    </row>
    <row r="12646" spans="7:24" ht="15" customHeight="1">
      <c r="G12646"/>
      <c r="I12646"/>
      <c r="N12646"/>
      <c r="O12646" s="24"/>
      <c r="P12646"/>
      <c r="Q12646" s="24"/>
      <c r="R12646"/>
      <c r="S12646"/>
      <c r="T12646"/>
      <c r="U12646"/>
      <c r="X12646" s="60"/>
    </row>
    <row r="12647" spans="7:24" ht="15" customHeight="1">
      <c r="G12647"/>
      <c r="I12647"/>
      <c r="N12647"/>
      <c r="O12647" s="24"/>
      <c r="P12647"/>
      <c r="Q12647" s="24"/>
      <c r="R12647"/>
      <c r="S12647"/>
      <c r="T12647"/>
      <c r="U12647"/>
      <c r="X12647" s="60"/>
    </row>
    <row r="12648" spans="7:24" ht="15" customHeight="1">
      <c r="G12648"/>
      <c r="I12648"/>
      <c r="N12648"/>
      <c r="O12648" s="24"/>
      <c r="P12648"/>
      <c r="Q12648" s="24"/>
      <c r="R12648"/>
      <c r="S12648"/>
      <c r="T12648"/>
      <c r="U12648"/>
      <c r="X12648" s="60"/>
    </row>
    <row r="12649" spans="7:24" ht="15" customHeight="1">
      <c r="G12649"/>
      <c r="I12649"/>
      <c r="N12649"/>
      <c r="O12649" s="24"/>
      <c r="P12649"/>
      <c r="Q12649" s="24"/>
      <c r="R12649"/>
      <c r="S12649"/>
      <c r="T12649"/>
      <c r="U12649"/>
      <c r="X12649" s="60"/>
    </row>
    <row r="12650" spans="7:24" ht="15" customHeight="1">
      <c r="G12650"/>
      <c r="I12650"/>
      <c r="N12650"/>
      <c r="O12650" s="24"/>
      <c r="P12650"/>
      <c r="Q12650" s="24"/>
      <c r="R12650"/>
      <c r="S12650"/>
      <c r="T12650"/>
      <c r="U12650"/>
      <c r="X12650" s="60"/>
    </row>
    <row r="12651" spans="7:24" ht="15" customHeight="1">
      <c r="G12651"/>
      <c r="I12651"/>
      <c r="N12651"/>
      <c r="O12651" s="24"/>
      <c r="P12651"/>
      <c r="Q12651" s="24"/>
      <c r="R12651"/>
      <c r="S12651"/>
      <c r="T12651"/>
      <c r="U12651"/>
      <c r="X12651" s="60"/>
    </row>
    <row r="12652" spans="7:24" ht="15" customHeight="1">
      <c r="G12652"/>
      <c r="I12652"/>
      <c r="N12652"/>
      <c r="O12652" s="24"/>
      <c r="P12652"/>
      <c r="Q12652" s="24"/>
      <c r="R12652"/>
      <c r="S12652"/>
      <c r="T12652"/>
      <c r="U12652"/>
      <c r="X12652" s="60"/>
    </row>
    <row r="12653" spans="7:24" ht="15" customHeight="1">
      <c r="G12653"/>
      <c r="I12653"/>
      <c r="N12653"/>
      <c r="O12653" s="24"/>
      <c r="P12653"/>
      <c r="Q12653" s="24"/>
      <c r="R12653"/>
      <c r="S12653"/>
      <c r="T12653"/>
      <c r="U12653"/>
      <c r="X12653" s="60"/>
    </row>
    <row r="12654" spans="7:24" ht="15" customHeight="1">
      <c r="G12654"/>
      <c r="I12654"/>
      <c r="N12654"/>
      <c r="O12654" s="24"/>
      <c r="P12654"/>
      <c r="Q12654" s="24"/>
      <c r="R12654"/>
      <c r="S12654"/>
      <c r="T12654"/>
      <c r="U12654"/>
      <c r="X12654" s="60"/>
    </row>
    <row r="12655" spans="7:24" ht="15" customHeight="1">
      <c r="G12655"/>
      <c r="I12655"/>
      <c r="N12655"/>
      <c r="O12655" s="24"/>
      <c r="P12655"/>
      <c r="Q12655" s="24"/>
      <c r="R12655"/>
      <c r="S12655"/>
      <c r="T12655"/>
      <c r="U12655"/>
      <c r="X12655" s="60"/>
    </row>
    <row r="12656" spans="7:24" ht="15" customHeight="1">
      <c r="G12656"/>
      <c r="I12656"/>
      <c r="N12656"/>
      <c r="O12656" s="24"/>
      <c r="P12656"/>
      <c r="Q12656" s="24"/>
      <c r="R12656"/>
      <c r="S12656"/>
      <c r="T12656"/>
      <c r="U12656"/>
      <c r="X12656" s="60"/>
    </row>
    <row r="12657" spans="7:24" ht="15" customHeight="1">
      <c r="G12657"/>
      <c r="I12657"/>
      <c r="N12657"/>
      <c r="O12657" s="24"/>
      <c r="P12657"/>
      <c r="Q12657" s="24"/>
      <c r="R12657"/>
      <c r="S12657"/>
      <c r="T12657"/>
      <c r="U12657"/>
      <c r="X12657" s="60"/>
    </row>
    <row r="12658" spans="7:24" ht="15" customHeight="1">
      <c r="G12658"/>
      <c r="I12658"/>
      <c r="N12658"/>
      <c r="O12658" s="24"/>
      <c r="P12658"/>
      <c r="Q12658" s="24"/>
      <c r="R12658"/>
      <c r="S12658"/>
      <c r="T12658"/>
      <c r="U12658"/>
      <c r="X12658" s="60"/>
    </row>
    <row r="12659" spans="7:24" ht="15" customHeight="1">
      <c r="G12659"/>
      <c r="I12659"/>
      <c r="N12659"/>
      <c r="O12659" s="24"/>
      <c r="P12659"/>
      <c r="Q12659" s="24"/>
      <c r="R12659"/>
      <c r="S12659"/>
      <c r="T12659"/>
      <c r="U12659"/>
      <c r="X12659" s="60"/>
    </row>
    <row r="12660" spans="7:24" ht="15" customHeight="1">
      <c r="G12660"/>
      <c r="I12660"/>
      <c r="N12660"/>
      <c r="O12660" s="24"/>
      <c r="P12660"/>
      <c r="Q12660" s="24"/>
      <c r="R12660"/>
      <c r="S12660"/>
      <c r="T12660"/>
      <c r="U12660"/>
      <c r="X12660" s="60"/>
    </row>
    <row r="12661" spans="7:24" ht="15" customHeight="1">
      <c r="G12661"/>
      <c r="I12661"/>
      <c r="N12661"/>
      <c r="O12661" s="24"/>
      <c r="P12661"/>
      <c r="Q12661" s="24"/>
      <c r="R12661"/>
      <c r="S12661"/>
      <c r="T12661"/>
      <c r="U12661"/>
      <c r="X12661" s="60"/>
    </row>
    <row r="12662" spans="7:24" ht="15" customHeight="1">
      <c r="G12662"/>
      <c r="I12662"/>
      <c r="N12662"/>
      <c r="O12662" s="24"/>
      <c r="P12662"/>
      <c r="Q12662" s="24"/>
      <c r="R12662"/>
      <c r="S12662"/>
      <c r="T12662"/>
      <c r="U12662"/>
      <c r="X12662" s="60"/>
    </row>
    <row r="12663" spans="7:24" ht="15" customHeight="1">
      <c r="G12663"/>
      <c r="I12663"/>
      <c r="N12663"/>
      <c r="O12663" s="24"/>
      <c r="P12663"/>
      <c r="Q12663" s="24"/>
      <c r="R12663"/>
      <c r="S12663"/>
      <c r="T12663"/>
      <c r="U12663"/>
      <c r="X12663" s="60"/>
    </row>
    <row r="12664" spans="7:24" ht="15" customHeight="1">
      <c r="G12664"/>
      <c r="I12664"/>
      <c r="N12664"/>
      <c r="O12664" s="24"/>
      <c r="P12664"/>
      <c r="Q12664" s="24"/>
      <c r="R12664"/>
      <c r="S12664"/>
      <c r="T12664"/>
      <c r="U12664"/>
      <c r="X12664" s="60"/>
    </row>
    <row r="12665" spans="7:24" ht="15" customHeight="1">
      <c r="G12665"/>
      <c r="I12665"/>
      <c r="N12665"/>
      <c r="O12665" s="24"/>
      <c r="P12665"/>
      <c r="Q12665" s="24"/>
      <c r="R12665"/>
      <c r="S12665"/>
      <c r="T12665"/>
      <c r="U12665"/>
      <c r="X12665" s="60"/>
    </row>
    <row r="12666" spans="7:24" ht="15" customHeight="1">
      <c r="G12666"/>
      <c r="I12666"/>
      <c r="N12666"/>
      <c r="O12666" s="24"/>
      <c r="P12666"/>
      <c r="Q12666" s="24"/>
      <c r="R12666"/>
      <c r="S12666"/>
      <c r="T12666"/>
      <c r="U12666"/>
      <c r="X12666" s="60"/>
    </row>
    <row r="12667" spans="7:24" ht="15" customHeight="1">
      <c r="G12667"/>
      <c r="I12667"/>
      <c r="N12667"/>
      <c r="O12667" s="24"/>
      <c r="P12667"/>
      <c r="Q12667" s="24"/>
      <c r="R12667"/>
      <c r="S12667"/>
      <c r="T12667"/>
      <c r="U12667"/>
      <c r="X12667" s="60"/>
    </row>
    <row r="12668" spans="7:24" ht="15" customHeight="1">
      <c r="G12668"/>
      <c r="I12668"/>
      <c r="N12668"/>
      <c r="O12668" s="24"/>
      <c r="P12668"/>
      <c r="Q12668" s="24"/>
      <c r="R12668"/>
      <c r="S12668"/>
      <c r="T12668"/>
      <c r="U12668"/>
      <c r="X12668" s="60"/>
    </row>
    <row r="12669" spans="7:24" ht="15" customHeight="1">
      <c r="G12669"/>
      <c r="I12669"/>
      <c r="N12669"/>
      <c r="O12669" s="24"/>
      <c r="P12669"/>
      <c r="Q12669" s="24"/>
      <c r="R12669"/>
      <c r="S12669"/>
      <c r="T12669"/>
      <c r="U12669"/>
      <c r="X12669" s="60"/>
    </row>
    <row r="12670" spans="7:24" ht="15" customHeight="1">
      <c r="G12670"/>
      <c r="I12670"/>
      <c r="N12670"/>
      <c r="O12670" s="24"/>
      <c r="P12670"/>
      <c r="Q12670" s="24"/>
      <c r="R12670"/>
      <c r="S12670"/>
      <c r="T12670"/>
      <c r="U12670"/>
      <c r="X12670" s="60"/>
    </row>
    <row r="12671" spans="7:24" ht="15" customHeight="1">
      <c r="G12671"/>
      <c r="I12671"/>
      <c r="N12671"/>
      <c r="O12671" s="24"/>
      <c r="P12671"/>
      <c r="Q12671" s="24"/>
      <c r="R12671"/>
      <c r="S12671"/>
      <c r="T12671"/>
      <c r="U12671"/>
      <c r="X12671" s="60"/>
    </row>
    <row r="12672" spans="7:24" ht="15" customHeight="1">
      <c r="G12672"/>
      <c r="I12672"/>
      <c r="N12672"/>
      <c r="O12672" s="24"/>
      <c r="P12672"/>
      <c r="Q12672" s="24"/>
      <c r="R12672"/>
      <c r="S12672"/>
      <c r="T12672"/>
      <c r="U12672"/>
      <c r="X12672" s="60"/>
    </row>
    <row r="12673" spans="7:24" ht="15" customHeight="1">
      <c r="G12673"/>
      <c r="I12673"/>
      <c r="N12673"/>
      <c r="O12673" s="24"/>
      <c r="P12673"/>
      <c r="Q12673" s="24"/>
      <c r="R12673"/>
      <c r="S12673"/>
      <c r="T12673"/>
      <c r="U12673"/>
      <c r="X12673" s="60"/>
    </row>
    <row r="12674" spans="7:24" ht="15" customHeight="1">
      <c r="G12674"/>
      <c r="I12674"/>
      <c r="N12674"/>
      <c r="O12674" s="24"/>
      <c r="P12674"/>
      <c r="Q12674" s="24"/>
      <c r="R12674"/>
      <c r="S12674"/>
      <c r="T12674"/>
      <c r="U12674"/>
      <c r="X12674" s="60"/>
    </row>
    <row r="12675" spans="7:24" ht="15" customHeight="1">
      <c r="G12675"/>
      <c r="I12675"/>
      <c r="N12675"/>
      <c r="O12675" s="24"/>
      <c r="P12675"/>
      <c r="Q12675" s="24"/>
      <c r="R12675"/>
      <c r="S12675"/>
      <c r="T12675"/>
      <c r="U12675"/>
      <c r="X12675" s="60"/>
    </row>
    <row r="12676" spans="7:24" ht="15" customHeight="1">
      <c r="G12676"/>
      <c r="I12676"/>
      <c r="N12676"/>
      <c r="O12676" s="24"/>
      <c r="P12676"/>
      <c r="Q12676" s="24"/>
      <c r="R12676"/>
      <c r="S12676"/>
      <c r="T12676"/>
      <c r="U12676"/>
      <c r="X12676" s="60"/>
    </row>
    <row r="12677" spans="7:24" ht="15" customHeight="1">
      <c r="G12677"/>
      <c r="I12677"/>
      <c r="N12677"/>
      <c r="O12677" s="24"/>
      <c r="P12677"/>
      <c r="Q12677" s="24"/>
      <c r="R12677"/>
      <c r="S12677"/>
      <c r="T12677"/>
      <c r="U12677"/>
      <c r="X12677" s="60"/>
    </row>
    <row r="12678" spans="7:24" ht="15" customHeight="1">
      <c r="G12678"/>
      <c r="I12678"/>
      <c r="N12678"/>
      <c r="O12678" s="24"/>
      <c r="P12678"/>
      <c r="Q12678" s="24"/>
      <c r="R12678"/>
      <c r="S12678"/>
      <c r="T12678"/>
      <c r="U12678"/>
      <c r="X12678" s="60"/>
    </row>
    <row r="12679" spans="7:24" ht="15" customHeight="1">
      <c r="G12679"/>
      <c r="I12679"/>
      <c r="N12679"/>
      <c r="O12679" s="24"/>
      <c r="P12679"/>
      <c r="Q12679" s="24"/>
      <c r="R12679"/>
      <c r="S12679"/>
      <c r="T12679"/>
      <c r="U12679"/>
      <c r="X12679" s="60"/>
    </row>
    <row r="12680" spans="7:24" ht="15" customHeight="1">
      <c r="G12680"/>
      <c r="I12680"/>
      <c r="N12680"/>
      <c r="O12680" s="24"/>
      <c r="P12680"/>
      <c r="Q12680" s="24"/>
      <c r="R12680"/>
      <c r="S12680"/>
      <c r="T12680"/>
      <c r="U12680"/>
      <c r="X12680" s="60"/>
    </row>
    <row r="12681" spans="7:24" ht="15" customHeight="1">
      <c r="G12681"/>
      <c r="I12681"/>
      <c r="N12681"/>
      <c r="O12681" s="24"/>
      <c r="P12681"/>
      <c r="Q12681" s="24"/>
      <c r="R12681"/>
      <c r="S12681"/>
      <c r="T12681"/>
      <c r="U12681"/>
      <c r="X12681" s="60"/>
    </row>
    <row r="12682" spans="7:24" ht="15" customHeight="1">
      <c r="G12682"/>
      <c r="I12682"/>
      <c r="N12682"/>
      <c r="O12682" s="24"/>
      <c r="P12682"/>
      <c r="Q12682" s="24"/>
      <c r="R12682"/>
      <c r="S12682"/>
      <c r="T12682"/>
      <c r="U12682"/>
      <c r="X12682" s="60"/>
    </row>
    <row r="12683" spans="7:24" ht="15" customHeight="1">
      <c r="G12683"/>
      <c r="I12683"/>
      <c r="N12683"/>
      <c r="O12683" s="24"/>
      <c r="P12683"/>
      <c r="Q12683" s="24"/>
      <c r="R12683"/>
      <c r="S12683"/>
      <c r="T12683"/>
      <c r="U12683"/>
      <c r="X12683" s="60"/>
    </row>
    <row r="12684" spans="7:24" ht="15" customHeight="1">
      <c r="G12684"/>
      <c r="I12684"/>
      <c r="N12684"/>
      <c r="O12684" s="24"/>
      <c r="P12684"/>
      <c r="Q12684" s="24"/>
      <c r="R12684"/>
      <c r="S12684"/>
      <c r="T12684"/>
      <c r="U12684"/>
      <c r="X12684" s="60"/>
    </row>
    <row r="12685" spans="7:24" ht="15" customHeight="1">
      <c r="G12685"/>
      <c r="I12685"/>
      <c r="N12685"/>
      <c r="O12685" s="24"/>
      <c r="P12685"/>
      <c r="Q12685" s="24"/>
      <c r="R12685"/>
      <c r="S12685"/>
      <c r="T12685"/>
      <c r="U12685"/>
      <c r="X12685" s="60"/>
    </row>
    <row r="12686" spans="7:24" ht="15" customHeight="1">
      <c r="G12686"/>
      <c r="I12686"/>
      <c r="N12686"/>
      <c r="O12686" s="24"/>
      <c r="P12686"/>
      <c r="Q12686" s="24"/>
      <c r="R12686"/>
      <c r="S12686"/>
      <c r="T12686"/>
      <c r="U12686"/>
      <c r="X12686" s="60"/>
    </row>
    <row r="12687" spans="7:24" ht="15" customHeight="1">
      <c r="G12687"/>
      <c r="I12687"/>
      <c r="N12687"/>
      <c r="O12687" s="24"/>
      <c r="P12687"/>
      <c r="Q12687" s="24"/>
      <c r="R12687"/>
      <c r="S12687"/>
      <c r="T12687"/>
      <c r="U12687"/>
      <c r="X12687" s="60"/>
    </row>
    <row r="12688" spans="7:24" ht="15" customHeight="1">
      <c r="G12688"/>
      <c r="I12688"/>
      <c r="N12688"/>
      <c r="O12688" s="24"/>
      <c r="P12688"/>
      <c r="Q12688" s="24"/>
      <c r="R12688"/>
      <c r="S12688"/>
      <c r="T12688"/>
      <c r="U12688"/>
      <c r="X12688" s="60"/>
    </row>
    <row r="12689" spans="7:24" ht="15" customHeight="1">
      <c r="G12689"/>
      <c r="I12689"/>
      <c r="N12689"/>
      <c r="O12689" s="24"/>
      <c r="P12689"/>
      <c r="Q12689" s="24"/>
      <c r="R12689"/>
      <c r="S12689"/>
      <c r="T12689"/>
      <c r="U12689"/>
      <c r="X12689" s="60"/>
    </row>
    <row r="12690" spans="7:24" ht="15" customHeight="1">
      <c r="G12690"/>
      <c r="I12690"/>
      <c r="N12690"/>
      <c r="O12690" s="24"/>
      <c r="P12690"/>
      <c r="Q12690" s="24"/>
      <c r="R12690"/>
      <c r="S12690"/>
      <c r="T12690"/>
      <c r="U12690"/>
      <c r="X12690" s="60"/>
    </row>
    <row r="12691" spans="7:24" ht="15" customHeight="1">
      <c r="G12691"/>
      <c r="I12691"/>
      <c r="N12691"/>
      <c r="O12691" s="24"/>
      <c r="P12691"/>
      <c r="Q12691" s="24"/>
      <c r="R12691"/>
      <c r="S12691"/>
      <c r="T12691"/>
      <c r="U12691"/>
      <c r="X12691" s="60"/>
    </row>
    <row r="12692" spans="7:24" ht="15" customHeight="1">
      <c r="G12692"/>
      <c r="I12692"/>
      <c r="N12692"/>
      <c r="O12692" s="24"/>
      <c r="P12692"/>
      <c r="Q12692" s="24"/>
      <c r="R12692"/>
      <c r="S12692"/>
      <c r="T12692"/>
      <c r="U12692"/>
      <c r="X12692" s="60"/>
    </row>
    <row r="12693" spans="7:24" ht="15" customHeight="1">
      <c r="G12693"/>
      <c r="I12693"/>
      <c r="N12693"/>
      <c r="O12693" s="24"/>
      <c r="P12693"/>
      <c r="Q12693" s="24"/>
      <c r="R12693"/>
      <c r="S12693"/>
      <c r="T12693"/>
      <c r="U12693"/>
      <c r="X12693" s="60"/>
    </row>
    <row r="12694" spans="7:24" ht="15" customHeight="1">
      <c r="G12694"/>
      <c r="I12694"/>
      <c r="N12694"/>
      <c r="O12694" s="24"/>
      <c r="P12694"/>
      <c r="Q12694" s="24"/>
      <c r="R12694"/>
      <c r="S12694"/>
      <c r="T12694"/>
      <c r="U12694"/>
      <c r="X12694" s="60"/>
    </row>
    <row r="12695" spans="7:24" ht="15" customHeight="1">
      <c r="G12695"/>
      <c r="I12695"/>
      <c r="N12695"/>
      <c r="O12695" s="24"/>
      <c r="P12695"/>
      <c r="Q12695" s="24"/>
      <c r="R12695"/>
      <c r="S12695"/>
      <c r="T12695"/>
      <c r="U12695"/>
      <c r="X12695" s="60"/>
    </row>
    <row r="12696" spans="7:24" ht="15" customHeight="1">
      <c r="G12696"/>
      <c r="I12696"/>
      <c r="N12696"/>
      <c r="O12696" s="24"/>
      <c r="P12696"/>
      <c r="Q12696" s="24"/>
      <c r="R12696"/>
      <c r="S12696"/>
      <c r="T12696"/>
      <c r="U12696"/>
      <c r="X12696" s="60"/>
    </row>
    <row r="12697" spans="7:24" ht="15" customHeight="1">
      <c r="G12697"/>
      <c r="I12697"/>
      <c r="N12697"/>
      <c r="O12697" s="24"/>
      <c r="P12697"/>
      <c r="Q12697" s="24"/>
      <c r="R12697"/>
      <c r="S12697"/>
      <c r="T12697"/>
      <c r="U12697"/>
      <c r="X12697" s="60"/>
    </row>
    <row r="12698" spans="7:24" ht="15" customHeight="1">
      <c r="G12698"/>
      <c r="I12698"/>
      <c r="N12698"/>
      <c r="O12698" s="24"/>
      <c r="P12698"/>
      <c r="Q12698" s="24"/>
      <c r="R12698"/>
      <c r="S12698"/>
      <c r="T12698"/>
      <c r="U12698"/>
      <c r="X12698" s="60"/>
    </row>
    <row r="12699" spans="7:24" ht="15" customHeight="1">
      <c r="G12699"/>
      <c r="I12699"/>
      <c r="N12699"/>
      <c r="O12699" s="24"/>
      <c r="P12699"/>
      <c r="Q12699" s="24"/>
      <c r="R12699"/>
      <c r="S12699"/>
      <c r="T12699"/>
      <c r="U12699"/>
      <c r="X12699" s="60"/>
    </row>
    <row r="12700" spans="7:24" ht="15" customHeight="1">
      <c r="G12700"/>
      <c r="I12700"/>
      <c r="N12700"/>
      <c r="O12700" s="24"/>
      <c r="P12700"/>
      <c r="Q12700" s="24"/>
      <c r="R12700"/>
      <c r="S12700"/>
      <c r="T12700"/>
      <c r="U12700"/>
      <c r="X12700" s="60"/>
    </row>
    <row r="12701" spans="7:24" ht="15" customHeight="1">
      <c r="G12701"/>
      <c r="I12701"/>
      <c r="N12701"/>
      <c r="O12701" s="24"/>
      <c r="P12701"/>
      <c r="Q12701" s="24"/>
      <c r="R12701"/>
      <c r="S12701"/>
      <c r="T12701"/>
      <c r="U12701"/>
      <c r="X12701" s="60"/>
    </row>
    <row r="12702" spans="7:24" ht="15" customHeight="1">
      <c r="G12702"/>
      <c r="I12702"/>
      <c r="N12702"/>
      <c r="O12702" s="24"/>
      <c r="P12702"/>
      <c r="Q12702" s="24"/>
      <c r="R12702"/>
      <c r="S12702"/>
      <c r="T12702"/>
      <c r="U12702"/>
      <c r="X12702" s="60"/>
    </row>
    <row r="12703" spans="7:24" ht="15" customHeight="1">
      <c r="G12703"/>
      <c r="I12703"/>
      <c r="N12703"/>
      <c r="O12703" s="24"/>
      <c r="P12703"/>
      <c r="Q12703" s="24"/>
      <c r="R12703"/>
      <c r="S12703"/>
      <c r="T12703"/>
      <c r="U12703"/>
      <c r="X12703" s="60"/>
    </row>
    <row r="12704" spans="7:24" ht="15" customHeight="1">
      <c r="G12704"/>
      <c r="I12704"/>
      <c r="N12704"/>
      <c r="O12704" s="24"/>
      <c r="P12704"/>
      <c r="Q12704" s="24"/>
      <c r="R12704"/>
      <c r="S12704"/>
      <c r="T12704"/>
      <c r="U12704"/>
      <c r="X12704" s="60"/>
    </row>
    <row r="12705" spans="7:24" ht="15" customHeight="1">
      <c r="G12705"/>
      <c r="I12705"/>
      <c r="N12705"/>
      <c r="O12705" s="24"/>
      <c r="P12705"/>
      <c r="Q12705" s="24"/>
      <c r="R12705"/>
      <c r="S12705"/>
      <c r="T12705"/>
      <c r="U12705"/>
      <c r="X12705" s="60"/>
    </row>
    <row r="12706" spans="7:24" ht="15" customHeight="1">
      <c r="G12706"/>
      <c r="I12706"/>
      <c r="N12706"/>
      <c r="O12706" s="24"/>
      <c r="P12706"/>
      <c r="Q12706" s="24"/>
      <c r="R12706"/>
      <c r="S12706"/>
      <c r="T12706"/>
      <c r="U12706"/>
      <c r="X12706" s="60"/>
    </row>
    <row r="12707" spans="7:24" ht="15" customHeight="1">
      <c r="G12707"/>
      <c r="I12707"/>
      <c r="N12707"/>
      <c r="O12707" s="24"/>
      <c r="P12707"/>
      <c r="Q12707" s="24"/>
      <c r="R12707"/>
      <c r="S12707"/>
      <c r="T12707"/>
      <c r="U12707"/>
      <c r="X12707" s="60"/>
    </row>
    <row r="12708" spans="7:24" ht="15" customHeight="1">
      <c r="G12708"/>
      <c r="I12708"/>
      <c r="N12708"/>
      <c r="O12708" s="24"/>
      <c r="P12708"/>
      <c r="Q12708" s="24"/>
      <c r="R12708"/>
      <c r="S12708"/>
      <c r="T12708"/>
      <c r="U12708"/>
      <c r="X12708" s="60"/>
    </row>
    <row r="12709" spans="7:24" ht="15" customHeight="1">
      <c r="G12709"/>
      <c r="I12709"/>
      <c r="N12709"/>
      <c r="O12709" s="24"/>
      <c r="P12709"/>
      <c r="Q12709" s="24"/>
      <c r="R12709"/>
      <c r="S12709"/>
      <c r="T12709"/>
      <c r="U12709"/>
      <c r="X12709" s="60"/>
    </row>
    <row r="12710" spans="7:24" ht="15" customHeight="1">
      <c r="G12710"/>
      <c r="I12710"/>
      <c r="N12710"/>
      <c r="O12710" s="24"/>
      <c r="P12710"/>
      <c r="Q12710" s="24"/>
      <c r="R12710"/>
      <c r="S12710"/>
      <c r="T12710"/>
      <c r="U12710"/>
      <c r="X12710" s="60"/>
    </row>
    <row r="12711" spans="7:24" ht="15" customHeight="1">
      <c r="G12711"/>
      <c r="I12711"/>
      <c r="N12711"/>
      <c r="O12711" s="24"/>
      <c r="P12711"/>
      <c r="Q12711" s="24"/>
      <c r="R12711"/>
      <c r="S12711"/>
      <c r="T12711"/>
      <c r="U12711"/>
      <c r="X12711" s="60"/>
    </row>
    <row r="12712" spans="7:24" ht="15" customHeight="1">
      <c r="G12712"/>
      <c r="I12712"/>
      <c r="N12712"/>
      <c r="O12712" s="24"/>
      <c r="P12712"/>
      <c r="Q12712" s="24"/>
      <c r="R12712"/>
      <c r="S12712"/>
      <c r="T12712"/>
      <c r="U12712"/>
      <c r="X12712" s="60"/>
    </row>
    <row r="12713" spans="7:24" ht="15" customHeight="1">
      <c r="G12713"/>
      <c r="I12713"/>
      <c r="N12713"/>
      <c r="O12713" s="24"/>
      <c r="P12713"/>
      <c r="Q12713" s="24"/>
      <c r="R12713"/>
      <c r="S12713"/>
      <c r="T12713"/>
      <c r="U12713"/>
      <c r="X12713" s="60"/>
    </row>
    <row r="12714" spans="7:24" ht="15" customHeight="1">
      <c r="G12714"/>
      <c r="I12714"/>
      <c r="N12714"/>
      <c r="O12714" s="24"/>
      <c r="P12714"/>
      <c r="Q12714" s="24"/>
      <c r="R12714"/>
      <c r="S12714"/>
      <c r="T12714"/>
      <c r="U12714"/>
      <c r="X12714" s="60"/>
    </row>
    <row r="12715" spans="7:24" ht="15" customHeight="1">
      <c r="G12715"/>
      <c r="I12715"/>
      <c r="N12715"/>
      <c r="O12715" s="24"/>
      <c r="P12715"/>
      <c r="Q12715" s="24"/>
      <c r="R12715"/>
      <c r="S12715"/>
      <c r="T12715"/>
      <c r="U12715"/>
      <c r="X12715" s="60"/>
    </row>
    <row r="12716" spans="7:24" ht="15" customHeight="1">
      <c r="G12716"/>
      <c r="I12716"/>
      <c r="N12716"/>
      <c r="O12716" s="24"/>
      <c r="P12716"/>
      <c r="Q12716" s="24"/>
      <c r="R12716"/>
      <c r="S12716"/>
      <c r="T12716"/>
      <c r="U12716"/>
      <c r="X12716" s="60"/>
    </row>
    <row r="12717" spans="7:24" ht="15" customHeight="1">
      <c r="G12717"/>
      <c r="I12717"/>
      <c r="N12717"/>
      <c r="O12717" s="24"/>
      <c r="P12717"/>
      <c r="Q12717" s="24"/>
      <c r="R12717"/>
      <c r="S12717"/>
      <c r="T12717"/>
      <c r="U12717"/>
      <c r="X12717" s="60"/>
    </row>
    <row r="12718" spans="7:24" ht="15" customHeight="1">
      <c r="G12718"/>
      <c r="I12718"/>
      <c r="N12718"/>
      <c r="O12718" s="24"/>
      <c r="P12718"/>
      <c r="Q12718" s="24"/>
      <c r="R12718"/>
      <c r="S12718"/>
      <c r="T12718"/>
      <c r="U12718"/>
      <c r="X12718" s="60"/>
    </row>
    <row r="12719" spans="7:24" ht="15" customHeight="1">
      <c r="G12719"/>
      <c r="I12719"/>
      <c r="N12719"/>
      <c r="O12719" s="24"/>
      <c r="P12719"/>
      <c r="Q12719" s="24"/>
      <c r="R12719"/>
      <c r="S12719"/>
      <c r="T12719"/>
      <c r="U12719"/>
      <c r="X12719" s="60"/>
    </row>
    <row r="12720" spans="7:24" ht="15" customHeight="1">
      <c r="G12720"/>
      <c r="I12720"/>
      <c r="N12720"/>
      <c r="O12720" s="24"/>
      <c r="P12720"/>
      <c r="Q12720" s="24"/>
      <c r="R12720"/>
      <c r="S12720"/>
      <c r="T12720"/>
      <c r="U12720"/>
      <c r="X12720" s="60"/>
    </row>
    <row r="12721" spans="7:24" ht="15" customHeight="1">
      <c r="G12721"/>
      <c r="I12721"/>
      <c r="N12721"/>
      <c r="O12721" s="24"/>
      <c r="P12721"/>
      <c r="Q12721" s="24"/>
      <c r="R12721"/>
      <c r="S12721"/>
      <c r="T12721"/>
      <c r="U12721"/>
      <c r="X12721" s="60"/>
    </row>
    <row r="12722" spans="7:24" ht="15" customHeight="1">
      <c r="G12722"/>
      <c r="I12722"/>
      <c r="N12722"/>
      <c r="O12722" s="24"/>
      <c r="P12722"/>
      <c r="Q12722" s="24"/>
      <c r="R12722"/>
      <c r="S12722"/>
      <c r="T12722"/>
      <c r="U12722"/>
      <c r="X12722" s="60"/>
    </row>
    <row r="12723" spans="7:24" ht="15" customHeight="1">
      <c r="G12723"/>
      <c r="I12723"/>
      <c r="N12723"/>
      <c r="O12723" s="24"/>
      <c r="P12723"/>
      <c r="Q12723" s="24"/>
      <c r="R12723"/>
      <c r="S12723"/>
      <c r="T12723"/>
      <c r="U12723"/>
      <c r="X12723" s="60"/>
    </row>
    <row r="12724" spans="7:24" ht="15" customHeight="1">
      <c r="G12724"/>
      <c r="I12724"/>
      <c r="N12724"/>
      <c r="O12724" s="24"/>
      <c r="P12724"/>
      <c r="Q12724" s="24"/>
      <c r="R12724"/>
      <c r="S12724"/>
      <c r="T12724"/>
      <c r="U12724"/>
      <c r="X12724" s="60"/>
    </row>
    <row r="12725" spans="7:24" ht="15" customHeight="1">
      <c r="G12725"/>
      <c r="I12725"/>
      <c r="N12725"/>
      <c r="O12725" s="24"/>
      <c r="P12725"/>
      <c r="Q12725" s="24"/>
      <c r="R12725"/>
      <c r="S12725"/>
      <c r="T12725"/>
      <c r="U12725"/>
      <c r="X12725" s="60"/>
    </row>
    <row r="12726" spans="7:24" ht="15" customHeight="1">
      <c r="G12726"/>
      <c r="I12726"/>
      <c r="N12726"/>
      <c r="O12726" s="24"/>
      <c r="P12726"/>
      <c r="Q12726" s="24"/>
      <c r="R12726"/>
      <c r="S12726"/>
      <c r="T12726"/>
      <c r="U12726"/>
      <c r="X12726" s="60"/>
    </row>
    <row r="12727" spans="7:24" ht="15" customHeight="1">
      <c r="G12727"/>
      <c r="I12727"/>
      <c r="N12727"/>
      <c r="O12727" s="24"/>
      <c r="P12727"/>
      <c r="Q12727" s="24"/>
      <c r="R12727"/>
      <c r="S12727"/>
      <c r="T12727"/>
      <c r="U12727"/>
      <c r="X12727" s="60"/>
    </row>
    <row r="12728" spans="7:24" ht="15" customHeight="1">
      <c r="G12728"/>
      <c r="I12728"/>
      <c r="N12728"/>
      <c r="O12728" s="24"/>
      <c r="P12728"/>
      <c r="Q12728" s="24"/>
      <c r="R12728"/>
      <c r="S12728"/>
      <c r="T12728"/>
      <c r="U12728"/>
      <c r="X12728" s="60"/>
    </row>
    <row r="12729" spans="7:24" ht="15" customHeight="1">
      <c r="G12729"/>
      <c r="I12729"/>
      <c r="N12729"/>
      <c r="O12729" s="24"/>
      <c r="P12729"/>
      <c r="Q12729" s="24"/>
      <c r="R12729"/>
      <c r="S12729"/>
      <c r="T12729"/>
      <c r="U12729"/>
      <c r="X12729" s="60"/>
    </row>
    <row r="12730" spans="7:24" ht="15" customHeight="1">
      <c r="G12730"/>
      <c r="I12730"/>
      <c r="N12730"/>
      <c r="O12730" s="24"/>
      <c r="P12730"/>
      <c r="Q12730" s="24"/>
      <c r="R12730"/>
      <c r="S12730"/>
      <c r="T12730"/>
      <c r="U12730"/>
      <c r="X12730" s="60"/>
    </row>
    <row r="12731" spans="7:24" ht="15" customHeight="1">
      <c r="G12731"/>
      <c r="I12731"/>
      <c r="N12731"/>
      <c r="O12731" s="24"/>
      <c r="P12731"/>
      <c r="Q12731" s="24"/>
      <c r="R12731"/>
      <c r="S12731"/>
      <c r="T12731"/>
      <c r="U12731"/>
      <c r="X12731" s="60"/>
    </row>
    <row r="12732" spans="7:24" ht="15" customHeight="1">
      <c r="G12732"/>
      <c r="I12732"/>
      <c r="N12732"/>
      <c r="O12732" s="24"/>
      <c r="P12732"/>
      <c r="Q12732" s="24"/>
      <c r="R12732"/>
      <c r="S12732"/>
      <c r="T12732"/>
      <c r="U12732"/>
      <c r="X12732" s="60"/>
    </row>
    <row r="12733" spans="7:24" ht="15" customHeight="1">
      <c r="G12733"/>
      <c r="I12733"/>
      <c r="N12733"/>
      <c r="O12733" s="24"/>
      <c r="P12733"/>
      <c r="Q12733" s="24"/>
      <c r="R12733"/>
      <c r="S12733"/>
      <c r="T12733"/>
      <c r="U12733"/>
      <c r="X12733" s="60"/>
    </row>
    <row r="12734" spans="7:24" ht="15" customHeight="1">
      <c r="G12734"/>
      <c r="I12734"/>
      <c r="N12734"/>
      <c r="O12734" s="24"/>
      <c r="P12734"/>
      <c r="Q12734" s="24"/>
      <c r="R12734"/>
      <c r="S12734"/>
      <c r="T12734"/>
      <c r="U12734"/>
      <c r="X12734" s="60"/>
    </row>
    <row r="12735" spans="7:24" ht="15" customHeight="1">
      <c r="G12735"/>
      <c r="I12735"/>
      <c r="N12735"/>
      <c r="O12735" s="24"/>
      <c r="P12735"/>
      <c r="Q12735" s="24"/>
      <c r="R12735"/>
      <c r="S12735"/>
      <c r="T12735"/>
      <c r="U12735"/>
      <c r="X12735" s="60"/>
    </row>
    <row r="12736" spans="7:24" ht="15" customHeight="1">
      <c r="G12736"/>
      <c r="I12736"/>
      <c r="N12736"/>
      <c r="O12736" s="24"/>
      <c r="P12736"/>
      <c r="Q12736" s="24"/>
      <c r="R12736"/>
      <c r="S12736"/>
      <c r="T12736"/>
      <c r="U12736"/>
      <c r="X12736" s="60"/>
    </row>
    <row r="12737" spans="7:24" ht="15" customHeight="1">
      <c r="G12737"/>
      <c r="I12737"/>
      <c r="N12737"/>
      <c r="O12737" s="24"/>
      <c r="P12737"/>
      <c r="Q12737" s="24"/>
      <c r="R12737"/>
      <c r="S12737"/>
      <c r="T12737"/>
      <c r="U12737"/>
      <c r="X12737" s="60"/>
    </row>
    <row r="12738" spans="7:24" ht="15" customHeight="1">
      <c r="G12738"/>
      <c r="I12738"/>
      <c r="N12738"/>
      <c r="O12738" s="24"/>
      <c r="P12738"/>
      <c r="Q12738" s="24"/>
      <c r="R12738"/>
      <c r="S12738"/>
      <c r="T12738"/>
      <c r="U12738"/>
      <c r="X12738" s="60"/>
    </row>
    <row r="12739" spans="7:24" ht="15" customHeight="1">
      <c r="G12739"/>
      <c r="I12739"/>
      <c r="N12739"/>
      <c r="O12739" s="24"/>
      <c r="P12739"/>
      <c r="Q12739" s="24"/>
      <c r="R12739"/>
      <c r="S12739"/>
      <c r="T12739"/>
      <c r="U12739"/>
      <c r="X12739" s="60"/>
    </row>
    <row r="12740" spans="7:24" ht="15" customHeight="1">
      <c r="G12740"/>
      <c r="I12740"/>
      <c r="N12740"/>
      <c r="O12740" s="24"/>
      <c r="P12740"/>
      <c r="Q12740" s="24"/>
      <c r="R12740"/>
      <c r="S12740"/>
      <c r="T12740"/>
      <c r="U12740"/>
      <c r="X12740" s="60"/>
    </row>
    <row r="12741" spans="7:24" ht="15" customHeight="1">
      <c r="G12741"/>
      <c r="I12741"/>
      <c r="N12741"/>
      <c r="O12741" s="24"/>
      <c r="P12741"/>
      <c r="Q12741" s="24"/>
      <c r="R12741"/>
      <c r="S12741"/>
      <c r="T12741"/>
      <c r="U12741"/>
      <c r="X12741" s="60"/>
    </row>
    <row r="12742" spans="7:24" ht="15" customHeight="1">
      <c r="G12742"/>
      <c r="I12742"/>
      <c r="N12742"/>
      <c r="O12742" s="24"/>
      <c r="P12742"/>
      <c r="Q12742" s="24"/>
      <c r="R12742"/>
      <c r="S12742"/>
      <c r="T12742"/>
      <c r="U12742"/>
      <c r="X12742" s="60"/>
    </row>
    <row r="12743" spans="7:24" ht="15" customHeight="1">
      <c r="G12743"/>
      <c r="I12743"/>
      <c r="N12743"/>
      <c r="O12743" s="24"/>
      <c r="P12743"/>
      <c r="Q12743" s="24"/>
      <c r="R12743"/>
      <c r="S12743"/>
      <c r="T12743"/>
      <c r="U12743"/>
      <c r="X12743" s="60"/>
    </row>
    <row r="12744" spans="7:24" ht="15" customHeight="1">
      <c r="G12744"/>
      <c r="I12744"/>
      <c r="N12744"/>
      <c r="O12744" s="24"/>
      <c r="P12744"/>
      <c r="Q12744" s="24"/>
      <c r="R12744"/>
      <c r="S12744"/>
      <c r="T12744"/>
      <c r="U12744"/>
      <c r="X12744" s="60"/>
    </row>
    <row r="12745" spans="7:24" ht="15" customHeight="1">
      <c r="G12745"/>
      <c r="I12745"/>
      <c r="N12745"/>
      <c r="O12745" s="24"/>
      <c r="P12745"/>
      <c r="Q12745" s="24"/>
      <c r="R12745"/>
      <c r="S12745"/>
      <c r="T12745"/>
      <c r="U12745"/>
      <c r="X12745" s="60"/>
    </row>
    <row r="12746" spans="7:24" ht="15" customHeight="1">
      <c r="G12746"/>
      <c r="I12746"/>
      <c r="N12746"/>
      <c r="O12746" s="24"/>
      <c r="P12746"/>
      <c r="Q12746" s="24"/>
      <c r="R12746"/>
      <c r="S12746"/>
      <c r="T12746"/>
      <c r="U12746"/>
      <c r="X12746" s="60"/>
    </row>
    <row r="12747" spans="7:24" ht="15" customHeight="1">
      <c r="G12747"/>
      <c r="I12747"/>
      <c r="N12747"/>
      <c r="O12747" s="24"/>
      <c r="P12747"/>
      <c r="Q12747" s="24"/>
      <c r="R12747"/>
      <c r="S12747"/>
      <c r="T12747"/>
      <c r="U12747"/>
      <c r="X12747" s="60"/>
    </row>
    <row r="12748" spans="7:24" ht="15" customHeight="1">
      <c r="G12748"/>
      <c r="I12748"/>
      <c r="N12748"/>
      <c r="O12748" s="24"/>
      <c r="P12748"/>
      <c r="Q12748" s="24"/>
      <c r="R12748"/>
      <c r="S12748"/>
      <c r="T12748"/>
      <c r="U12748"/>
      <c r="X12748" s="60"/>
    </row>
    <row r="12749" spans="7:24" ht="15" customHeight="1">
      <c r="G12749"/>
      <c r="I12749"/>
      <c r="N12749"/>
      <c r="O12749" s="24"/>
      <c r="P12749"/>
      <c r="Q12749" s="24"/>
      <c r="R12749"/>
      <c r="S12749"/>
      <c r="T12749"/>
      <c r="U12749"/>
      <c r="X12749" s="60"/>
    </row>
    <row r="12750" spans="7:24" ht="15" customHeight="1">
      <c r="G12750"/>
      <c r="I12750"/>
      <c r="N12750"/>
      <c r="O12750" s="24"/>
      <c r="P12750"/>
      <c r="Q12750" s="24"/>
      <c r="R12750"/>
      <c r="S12750"/>
      <c r="T12750"/>
      <c r="U12750"/>
      <c r="X12750" s="60"/>
    </row>
    <row r="12751" spans="7:24" ht="15" customHeight="1">
      <c r="G12751"/>
      <c r="I12751"/>
      <c r="N12751"/>
      <c r="O12751" s="24"/>
      <c r="P12751"/>
      <c r="Q12751" s="24"/>
      <c r="R12751"/>
      <c r="S12751"/>
      <c r="T12751"/>
      <c r="U12751"/>
      <c r="X12751" s="60"/>
    </row>
    <row r="12752" spans="7:24" ht="15" customHeight="1">
      <c r="G12752"/>
      <c r="I12752"/>
      <c r="N12752"/>
      <c r="O12752" s="24"/>
      <c r="P12752"/>
      <c r="Q12752" s="24"/>
      <c r="R12752"/>
      <c r="S12752"/>
      <c r="T12752"/>
      <c r="U12752"/>
      <c r="X12752" s="60"/>
    </row>
    <row r="12753" spans="7:24" ht="15" customHeight="1">
      <c r="G12753"/>
      <c r="I12753"/>
      <c r="N12753"/>
      <c r="O12753" s="24"/>
      <c r="P12753"/>
      <c r="Q12753" s="24"/>
      <c r="R12753"/>
      <c r="S12753"/>
      <c r="T12753"/>
      <c r="U12753"/>
      <c r="X12753" s="60"/>
    </row>
    <row r="12754" spans="7:24" ht="15" customHeight="1">
      <c r="G12754"/>
      <c r="I12754"/>
      <c r="N12754"/>
      <c r="O12754" s="24"/>
      <c r="P12754"/>
      <c r="Q12754" s="24"/>
      <c r="R12754"/>
      <c r="S12754"/>
      <c r="T12754"/>
      <c r="U12754"/>
      <c r="X12754" s="60"/>
    </row>
    <row r="12755" spans="7:24" ht="15" customHeight="1">
      <c r="G12755"/>
      <c r="I12755"/>
      <c r="N12755"/>
      <c r="O12755" s="24"/>
      <c r="P12755"/>
      <c r="Q12755" s="24"/>
      <c r="R12755"/>
      <c r="S12755"/>
      <c r="T12755"/>
      <c r="U12755"/>
      <c r="X12755" s="60"/>
    </row>
    <row r="12756" spans="7:24" ht="15" customHeight="1">
      <c r="G12756"/>
      <c r="I12756"/>
      <c r="N12756"/>
      <c r="O12756" s="24"/>
      <c r="P12756"/>
      <c r="Q12756" s="24"/>
      <c r="R12756"/>
      <c r="S12756"/>
      <c r="T12756"/>
      <c r="U12756"/>
      <c r="X12756" s="60"/>
    </row>
    <row r="12757" spans="7:24" ht="15" customHeight="1">
      <c r="G12757"/>
      <c r="I12757"/>
      <c r="N12757"/>
      <c r="O12757" s="24"/>
      <c r="P12757"/>
      <c r="Q12757" s="24"/>
      <c r="R12757"/>
      <c r="S12757"/>
      <c r="T12757"/>
      <c r="U12757"/>
      <c r="X12757" s="60"/>
    </row>
    <row r="12758" spans="7:24" ht="15" customHeight="1">
      <c r="G12758"/>
      <c r="I12758"/>
      <c r="N12758"/>
      <c r="O12758" s="24"/>
      <c r="P12758"/>
      <c r="Q12758" s="24"/>
      <c r="R12758"/>
      <c r="S12758"/>
      <c r="T12758"/>
      <c r="U12758"/>
      <c r="X12758" s="60"/>
    </row>
    <row r="12759" spans="7:24" ht="15" customHeight="1">
      <c r="G12759"/>
      <c r="I12759"/>
      <c r="N12759"/>
      <c r="O12759" s="24"/>
      <c r="P12759"/>
      <c r="Q12759" s="24"/>
      <c r="R12759"/>
      <c r="S12759"/>
      <c r="T12759"/>
      <c r="U12759"/>
      <c r="X12759" s="60"/>
    </row>
    <row r="12760" spans="7:24" ht="15" customHeight="1">
      <c r="G12760"/>
      <c r="I12760"/>
      <c r="N12760"/>
      <c r="O12760" s="24"/>
      <c r="P12760"/>
      <c r="Q12760" s="24"/>
      <c r="R12760"/>
      <c r="S12760"/>
      <c r="T12760"/>
      <c r="U12760"/>
      <c r="X12760" s="60"/>
    </row>
    <row r="12761" spans="7:24" ht="15" customHeight="1">
      <c r="G12761"/>
      <c r="I12761"/>
      <c r="N12761"/>
      <c r="O12761" s="24"/>
      <c r="P12761"/>
      <c r="Q12761" s="24"/>
      <c r="R12761"/>
      <c r="S12761"/>
      <c r="T12761"/>
      <c r="U12761"/>
      <c r="X12761" s="60"/>
    </row>
    <row r="12762" spans="7:24" ht="15" customHeight="1">
      <c r="G12762"/>
      <c r="I12762"/>
      <c r="N12762"/>
      <c r="O12762" s="24"/>
      <c r="P12762"/>
      <c r="Q12762" s="24"/>
      <c r="R12762"/>
      <c r="S12762"/>
      <c r="T12762"/>
      <c r="U12762"/>
      <c r="X12762" s="60"/>
    </row>
    <row r="12763" spans="7:24" ht="15" customHeight="1">
      <c r="G12763"/>
      <c r="I12763"/>
      <c r="N12763"/>
      <c r="O12763" s="24"/>
      <c r="P12763"/>
      <c r="Q12763" s="24"/>
      <c r="R12763"/>
      <c r="S12763"/>
      <c r="T12763"/>
      <c r="U12763"/>
      <c r="X12763" s="60"/>
    </row>
    <row r="12764" spans="7:24" ht="15" customHeight="1">
      <c r="G12764"/>
      <c r="I12764"/>
      <c r="N12764"/>
      <c r="O12764" s="24"/>
      <c r="P12764"/>
      <c r="Q12764" s="24"/>
      <c r="R12764"/>
      <c r="S12764"/>
      <c r="T12764"/>
      <c r="U12764"/>
      <c r="X12764" s="60"/>
    </row>
    <row r="12765" spans="7:24" ht="15" customHeight="1">
      <c r="G12765"/>
      <c r="I12765"/>
      <c r="N12765"/>
      <c r="O12765" s="24"/>
      <c r="P12765"/>
      <c r="Q12765" s="24"/>
      <c r="R12765"/>
      <c r="S12765"/>
      <c r="T12765"/>
      <c r="U12765"/>
      <c r="X12765" s="60"/>
    </row>
    <row r="12766" spans="7:24" ht="15" customHeight="1">
      <c r="G12766"/>
      <c r="I12766"/>
      <c r="N12766"/>
      <c r="O12766" s="24"/>
      <c r="P12766"/>
      <c r="Q12766" s="24"/>
      <c r="R12766"/>
      <c r="S12766"/>
      <c r="T12766"/>
      <c r="U12766"/>
      <c r="X12766" s="60"/>
    </row>
    <row r="12767" spans="7:24" ht="15" customHeight="1">
      <c r="G12767"/>
      <c r="I12767"/>
      <c r="N12767"/>
      <c r="O12767" s="24"/>
      <c r="P12767"/>
      <c r="Q12767" s="24"/>
      <c r="R12767"/>
      <c r="S12767"/>
      <c r="T12767"/>
      <c r="U12767"/>
      <c r="X12767" s="60"/>
    </row>
    <row r="12768" spans="7:24" ht="15" customHeight="1">
      <c r="G12768"/>
      <c r="I12768"/>
      <c r="N12768"/>
      <c r="O12768" s="24"/>
      <c r="P12768"/>
      <c r="Q12768" s="24"/>
      <c r="R12768"/>
      <c r="S12768"/>
      <c r="T12768"/>
      <c r="U12768"/>
      <c r="X12768" s="60"/>
    </row>
    <row r="12769" spans="7:24" ht="15" customHeight="1">
      <c r="G12769"/>
      <c r="I12769"/>
      <c r="N12769"/>
      <c r="O12769" s="24"/>
      <c r="P12769"/>
      <c r="Q12769" s="24"/>
      <c r="R12769"/>
      <c r="S12769"/>
      <c r="T12769"/>
      <c r="U12769"/>
      <c r="X12769" s="60"/>
    </row>
    <row r="12770" spans="7:24" ht="15" customHeight="1">
      <c r="G12770"/>
      <c r="I12770"/>
      <c r="N12770"/>
      <c r="O12770" s="24"/>
      <c r="P12770"/>
      <c r="Q12770" s="24"/>
      <c r="R12770"/>
      <c r="S12770"/>
      <c r="T12770"/>
      <c r="U12770"/>
      <c r="X12770" s="60"/>
    </row>
    <row r="12771" spans="7:24" ht="15" customHeight="1">
      <c r="G12771"/>
      <c r="I12771"/>
      <c r="N12771"/>
      <c r="O12771" s="24"/>
      <c r="P12771"/>
      <c r="Q12771" s="24"/>
      <c r="R12771"/>
      <c r="S12771"/>
      <c r="T12771"/>
      <c r="U12771"/>
      <c r="X12771" s="60"/>
    </row>
    <row r="12772" spans="7:24" ht="15" customHeight="1">
      <c r="G12772"/>
      <c r="I12772"/>
      <c r="N12772"/>
      <c r="O12772" s="24"/>
      <c r="P12772"/>
      <c r="Q12772" s="24"/>
      <c r="R12772"/>
      <c r="S12772"/>
      <c r="T12772"/>
      <c r="U12772"/>
      <c r="X12772" s="60"/>
    </row>
    <row r="12773" spans="7:24" ht="15" customHeight="1">
      <c r="G12773"/>
      <c r="I12773"/>
      <c r="N12773"/>
      <c r="O12773" s="24"/>
      <c r="P12773"/>
      <c r="Q12773" s="24"/>
      <c r="R12773"/>
      <c r="S12773"/>
      <c r="T12773"/>
      <c r="U12773"/>
      <c r="X12773" s="60"/>
    </row>
    <row r="12774" spans="7:24" ht="15" customHeight="1">
      <c r="G12774"/>
      <c r="I12774"/>
      <c r="N12774"/>
      <c r="O12774" s="24"/>
      <c r="P12774"/>
      <c r="Q12774" s="24"/>
      <c r="R12774"/>
      <c r="S12774"/>
      <c r="T12774"/>
      <c r="U12774"/>
      <c r="X12774" s="60"/>
    </row>
    <row r="12775" spans="7:24" ht="15" customHeight="1">
      <c r="G12775"/>
      <c r="I12775"/>
      <c r="N12775"/>
      <c r="O12775" s="24"/>
      <c r="P12775"/>
      <c r="Q12775" s="24"/>
      <c r="R12775"/>
      <c r="S12775"/>
      <c r="T12775"/>
      <c r="U12775"/>
      <c r="X12775" s="60"/>
    </row>
    <row r="12776" spans="7:24" ht="15" customHeight="1">
      <c r="G12776"/>
      <c r="I12776"/>
      <c r="N12776"/>
      <c r="O12776" s="24"/>
      <c r="P12776"/>
      <c r="Q12776" s="24"/>
      <c r="R12776"/>
      <c r="S12776"/>
      <c r="T12776"/>
      <c r="U12776"/>
      <c r="X12776" s="60"/>
    </row>
    <row r="12777" spans="7:24" ht="15" customHeight="1">
      <c r="G12777"/>
      <c r="I12777"/>
      <c r="N12777"/>
      <c r="O12777" s="24"/>
      <c r="P12777"/>
      <c r="Q12777" s="24"/>
      <c r="R12777"/>
      <c r="S12777"/>
      <c r="T12777"/>
      <c r="U12777"/>
      <c r="X12777" s="60"/>
    </row>
    <row r="12778" spans="7:24" ht="15" customHeight="1">
      <c r="G12778"/>
      <c r="I12778"/>
      <c r="N12778"/>
      <c r="O12778" s="24"/>
      <c r="P12778"/>
      <c r="Q12778" s="24"/>
      <c r="R12778"/>
      <c r="S12778"/>
      <c r="T12778"/>
      <c r="U12778"/>
      <c r="X12778" s="60"/>
    </row>
    <row r="12779" spans="7:24" ht="15" customHeight="1">
      <c r="G12779"/>
      <c r="I12779"/>
      <c r="N12779"/>
      <c r="O12779" s="24"/>
      <c r="P12779"/>
      <c r="Q12779" s="24"/>
      <c r="R12779"/>
      <c r="S12779"/>
      <c r="T12779"/>
      <c r="U12779"/>
      <c r="X12779" s="60"/>
    </row>
    <row r="12780" spans="7:24" ht="15" customHeight="1">
      <c r="G12780"/>
      <c r="I12780"/>
      <c r="N12780"/>
      <c r="O12780" s="24"/>
      <c r="P12780"/>
      <c r="Q12780" s="24"/>
      <c r="R12780"/>
      <c r="S12780"/>
      <c r="T12780"/>
      <c r="U12780"/>
      <c r="X12780" s="60"/>
    </row>
    <row r="12781" spans="7:24" ht="15" customHeight="1">
      <c r="G12781"/>
      <c r="I12781"/>
      <c r="N12781"/>
      <c r="O12781" s="24"/>
      <c r="P12781"/>
      <c r="Q12781" s="24"/>
      <c r="R12781"/>
      <c r="S12781"/>
      <c r="T12781"/>
      <c r="U12781"/>
      <c r="X12781" s="60"/>
    </row>
    <row r="12782" spans="7:24" ht="15" customHeight="1">
      <c r="G12782"/>
      <c r="I12782"/>
      <c r="N12782"/>
      <c r="O12782" s="24"/>
      <c r="P12782"/>
      <c r="Q12782" s="24"/>
      <c r="R12782"/>
      <c r="S12782"/>
      <c r="T12782"/>
      <c r="U12782"/>
      <c r="X12782" s="60"/>
    </row>
    <row r="12783" spans="7:24" ht="15" customHeight="1">
      <c r="G12783"/>
      <c r="I12783"/>
      <c r="N12783"/>
      <c r="O12783" s="24"/>
      <c r="P12783"/>
      <c r="Q12783" s="24"/>
      <c r="R12783"/>
      <c r="S12783"/>
      <c r="T12783"/>
      <c r="U12783"/>
      <c r="X12783" s="60"/>
    </row>
    <row r="12784" spans="7:24" ht="15" customHeight="1">
      <c r="G12784"/>
      <c r="I12784"/>
      <c r="N12784"/>
      <c r="O12784" s="24"/>
      <c r="P12784"/>
      <c r="Q12784" s="24"/>
      <c r="R12784"/>
      <c r="S12784"/>
      <c r="T12784"/>
      <c r="U12784"/>
      <c r="X12784" s="60"/>
    </row>
    <row r="12785" spans="7:24" ht="15" customHeight="1">
      <c r="G12785"/>
      <c r="I12785"/>
      <c r="N12785"/>
      <c r="O12785" s="24"/>
      <c r="P12785"/>
      <c r="Q12785" s="24"/>
      <c r="R12785"/>
      <c r="S12785"/>
      <c r="T12785"/>
      <c r="U12785"/>
      <c r="X12785" s="60"/>
    </row>
    <row r="12786" spans="7:24" ht="15" customHeight="1">
      <c r="G12786"/>
      <c r="I12786"/>
      <c r="N12786"/>
      <c r="O12786" s="24"/>
      <c r="P12786"/>
      <c r="Q12786" s="24"/>
      <c r="R12786"/>
      <c r="S12786"/>
      <c r="T12786"/>
      <c r="U12786"/>
      <c r="X12786" s="60"/>
    </row>
    <row r="12787" spans="7:24" ht="15" customHeight="1">
      <c r="G12787"/>
      <c r="I12787"/>
      <c r="N12787"/>
      <c r="O12787" s="24"/>
      <c r="P12787"/>
      <c r="Q12787" s="24"/>
      <c r="R12787"/>
      <c r="S12787"/>
      <c r="T12787"/>
      <c r="U12787"/>
      <c r="X12787" s="60"/>
    </row>
    <row r="12788" spans="7:24" ht="15" customHeight="1">
      <c r="G12788"/>
      <c r="I12788"/>
      <c r="N12788"/>
      <c r="O12788" s="24"/>
      <c r="P12788"/>
      <c r="Q12788" s="24"/>
      <c r="R12788"/>
      <c r="S12788"/>
      <c r="T12788"/>
      <c r="U12788"/>
      <c r="X12788" s="60"/>
    </row>
    <row r="12789" spans="7:24" ht="15" customHeight="1">
      <c r="G12789"/>
      <c r="I12789"/>
      <c r="N12789"/>
      <c r="O12789" s="24"/>
      <c r="P12789"/>
      <c r="Q12789" s="24"/>
      <c r="R12789"/>
      <c r="S12789"/>
      <c r="T12789"/>
      <c r="U12789"/>
      <c r="X12789" s="60"/>
    </row>
    <row r="12790" spans="7:24" ht="15" customHeight="1">
      <c r="G12790"/>
      <c r="I12790"/>
      <c r="N12790"/>
      <c r="O12790" s="24"/>
      <c r="P12790"/>
      <c r="Q12790" s="24"/>
      <c r="R12790"/>
      <c r="S12790"/>
      <c r="T12790"/>
      <c r="U12790"/>
      <c r="X12790" s="60"/>
    </row>
    <row r="12791" spans="7:24" ht="15" customHeight="1">
      <c r="G12791"/>
      <c r="I12791"/>
      <c r="N12791"/>
      <c r="O12791" s="24"/>
      <c r="P12791"/>
      <c r="Q12791" s="24"/>
      <c r="R12791"/>
      <c r="S12791"/>
      <c r="T12791"/>
      <c r="U12791"/>
      <c r="X12791" s="60"/>
    </row>
    <row r="12792" spans="7:24" ht="15" customHeight="1">
      <c r="G12792"/>
      <c r="I12792"/>
      <c r="N12792"/>
      <c r="O12792" s="24"/>
      <c r="P12792"/>
      <c r="Q12792" s="24"/>
      <c r="R12792"/>
      <c r="S12792"/>
      <c r="T12792"/>
      <c r="U12792"/>
      <c r="X12792" s="60"/>
    </row>
    <row r="12793" spans="7:24" ht="15" customHeight="1">
      <c r="G12793"/>
      <c r="I12793"/>
      <c r="N12793"/>
      <c r="O12793" s="24"/>
      <c r="P12793"/>
      <c r="Q12793" s="24"/>
      <c r="R12793"/>
      <c r="S12793"/>
      <c r="T12793"/>
      <c r="U12793"/>
      <c r="X12793" s="60"/>
    </row>
    <row r="12794" spans="7:24" ht="15" customHeight="1">
      <c r="G12794"/>
      <c r="I12794"/>
      <c r="N12794"/>
      <c r="O12794" s="24"/>
      <c r="P12794"/>
      <c r="Q12794" s="24"/>
      <c r="R12794"/>
      <c r="S12794"/>
      <c r="T12794"/>
      <c r="U12794"/>
      <c r="X12794" s="60"/>
    </row>
    <row r="12795" spans="7:24" ht="15" customHeight="1">
      <c r="G12795"/>
      <c r="I12795"/>
      <c r="N12795"/>
      <c r="O12795" s="24"/>
      <c r="P12795"/>
      <c r="Q12795" s="24"/>
      <c r="R12795"/>
      <c r="S12795"/>
      <c r="T12795"/>
      <c r="U12795"/>
      <c r="X12795" s="60"/>
    </row>
    <row r="12796" spans="7:24" ht="15" customHeight="1">
      <c r="G12796"/>
      <c r="I12796"/>
      <c r="N12796"/>
      <c r="O12796" s="24"/>
      <c r="P12796"/>
      <c r="Q12796" s="24"/>
      <c r="R12796"/>
      <c r="S12796"/>
      <c r="T12796"/>
      <c r="U12796"/>
      <c r="X12796" s="60"/>
    </row>
    <row r="12797" spans="7:24" ht="15" customHeight="1">
      <c r="G12797"/>
      <c r="I12797"/>
      <c r="N12797"/>
      <c r="O12797" s="24"/>
      <c r="P12797"/>
      <c r="Q12797" s="24"/>
      <c r="R12797"/>
      <c r="S12797"/>
      <c r="T12797"/>
      <c r="U12797"/>
      <c r="X12797" s="60"/>
    </row>
    <row r="12798" spans="7:24" ht="15" customHeight="1">
      <c r="G12798"/>
      <c r="I12798"/>
      <c r="N12798"/>
      <c r="O12798" s="24"/>
      <c r="P12798"/>
      <c r="Q12798" s="24"/>
      <c r="R12798"/>
      <c r="S12798"/>
      <c r="T12798"/>
      <c r="U12798"/>
      <c r="X12798" s="60"/>
    </row>
    <row r="12799" spans="7:24" ht="15" customHeight="1">
      <c r="G12799"/>
      <c r="I12799"/>
      <c r="N12799"/>
      <c r="O12799" s="24"/>
      <c r="P12799"/>
      <c r="Q12799" s="24"/>
      <c r="R12799"/>
      <c r="S12799"/>
      <c r="T12799"/>
      <c r="U12799"/>
      <c r="X12799" s="60"/>
    </row>
    <row r="12800" spans="7:24" ht="15" customHeight="1">
      <c r="G12800"/>
      <c r="I12800"/>
      <c r="N12800"/>
      <c r="O12800" s="24"/>
      <c r="P12800"/>
      <c r="Q12800" s="24"/>
      <c r="R12800"/>
      <c r="S12800"/>
      <c r="T12800"/>
      <c r="U12800"/>
      <c r="X12800" s="60"/>
    </row>
    <row r="12801" spans="7:24" ht="15" customHeight="1">
      <c r="G12801"/>
      <c r="I12801"/>
      <c r="N12801"/>
      <c r="O12801" s="24"/>
      <c r="P12801"/>
      <c r="Q12801" s="24"/>
      <c r="R12801"/>
      <c r="S12801"/>
      <c r="T12801"/>
      <c r="U12801"/>
      <c r="X12801" s="60"/>
    </row>
    <row r="12802" spans="7:24" ht="15" customHeight="1">
      <c r="G12802"/>
      <c r="I12802"/>
      <c r="N12802"/>
      <c r="O12802" s="24"/>
      <c r="P12802"/>
      <c r="Q12802" s="24"/>
      <c r="R12802"/>
      <c r="S12802"/>
      <c r="T12802"/>
      <c r="U12802"/>
      <c r="X12802" s="60"/>
    </row>
    <row r="12803" spans="7:24" ht="15" customHeight="1">
      <c r="G12803"/>
      <c r="I12803"/>
      <c r="N12803"/>
      <c r="O12803" s="24"/>
      <c r="P12803"/>
      <c r="Q12803" s="24"/>
      <c r="R12803"/>
      <c r="S12803"/>
      <c r="T12803"/>
      <c r="U12803"/>
      <c r="X12803" s="60"/>
    </row>
    <row r="12804" spans="7:24" ht="15" customHeight="1">
      <c r="G12804"/>
      <c r="I12804"/>
      <c r="N12804"/>
      <c r="O12804" s="24"/>
      <c r="P12804"/>
      <c r="Q12804" s="24"/>
      <c r="R12804"/>
      <c r="S12804"/>
      <c r="T12804"/>
      <c r="U12804"/>
      <c r="X12804" s="60"/>
    </row>
    <row r="12805" spans="7:24" ht="15" customHeight="1">
      <c r="G12805"/>
      <c r="I12805"/>
      <c r="N12805"/>
      <c r="O12805" s="24"/>
      <c r="P12805"/>
      <c r="Q12805" s="24"/>
      <c r="R12805"/>
      <c r="S12805"/>
      <c r="T12805"/>
      <c r="U12805"/>
      <c r="X12805" s="60"/>
    </row>
    <row r="12806" spans="7:24" ht="15" customHeight="1">
      <c r="G12806"/>
      <c r="I12806"/>
      <c r="N12806"/>
      <c r="O12806" s="24"/>
      <c r="P12806"/>
      <c r="Q12806" s="24"/>
      <c r="R12806"/>
      <c r="S12806"/>
      <c r="T12806"/>
      <c r="U12806"/>
      <c r="X12806" s="60"/>
    </row>
    <row r="12807" spans="7:24" ht="15" customHeight="1">
      <c r="G12807"/>
      <c r="I12807"/>
      <c r="N12807"/>
      <c r="O12807" s="24"/>
      <c r="P12807"/>
      <c r="Q12807" s="24"/>
      <c r="R12807"/>
      <c r="S12807"/>
      <c r="T12807"/>
      <c r="U12807"/>
      <c r="X12807" s="60"/>
    </row>
    <row r="12808" spans="7:24" ht="15" customHeight="1">
      <c r="G12808"/>
      <c r="I12808"/>
      <c r="N12808"/>
      <c r="O12808" s="24"/>
      <c r="P12808"/>
      <c r="Q12808" s="24"/>
      <c r="R12808"/>
      <c r="S12808"/>
      <c r="T12808"/>
      <c r="U12808"/>
      <c r="X12808" s="60"/>
    </row>
    <row r="12809" spans="7:24" ht="15" customHeight="1">
      <c r="G12809"/>
      <c r="I12809"/>
      <c r="N12809"/>
      <c r="O12809" s="24"/>
      <c r="P12809"/>
      <c r="Q12809" s="24"/>
      <c r="R12809"/>
      <c r="S12809"/>
      <c r="T12809"/>
      <c r="U12809"/>
      <c r="X12809" s="60"/>
    </row>
    <row r="12810" spans="7:24" ht="15" customHeight="1">
      <c r="G12810"/>
      <c r="I12810"/>
      <c r="N12810"/>
      <c r="O12810" s="24"/>
      <c r="P12810"/>
      <c r="Q12810" s="24"/>
      <c r="R12810"/>
      <c r="S12810"/>
      <c r="T12810"/>
      <c r="U12810"/>
      <c r="X12810" s="60"/>
    </row>
    <row r="12811" spans="7:24" ht="15" customHeight="1">
      <c r="G12811"/>
      <c r="I12811"/>
      <c r="N12811"/>
      <c r="O12811" s="24"/>
      <c r="P12811"/>
      <c r="Q12811" s="24"/>
      <c r="R12811"/>
      <c r="S12811"/>
      <c r="T12811"/>
      <c r="U12811"/>
      <c r="X12811" s="60"/>
    </row>
    <row r="12812" spans="7:24" ht="15" customHeight="1">
      <c r="G12812"/>
      <c r="I12812"/>
      <c r="N12812"/>
      <c r="O12812" s="24"/>
      <c r="P12812"/>
      <c r="Q12812" s="24"/>
      <c r="R12812"/>
      <c r="S12812"/>
      <c r="T12812"/>
      <c r="U12812"/>
      <c r="X12812" s="60"/>
    </row>
    <row r="12813" spans="7:24" ht="15" customHeight="1">
      <c r="G12813"/>
      <c r="I12813"/>
      <c r="N12813"/>
      <c r="O12813" s="24"/>
      <c r="P12813"/>
      <c r="Q12813" s="24"/>
      <c r="R12813"/>
      <c r="S12813"/>
      <c r="T12813"/>
      <c r="U12813"/>
      <c r="X12813" s="60"/>
    </row>
    <row r="12814" spans="7:24" ht="15" customHeight="1">
      <c r="G12814"/>
      <c r="I12814"/>
      <c r="N12814"/>
      <c r="O12814" s="24"/>
      <c r="P12814"/>
      <c r="Q12814" s="24"/>
      <c r="R12814"/>
      <c r="S12814"/>
      <c r="T12814"/>
      <c r="U12814"/>
      <c r="X12814" s="60"/>
    </row>
    <row r="12815" spans="7:24" ht="15" customHeight="1">
      <c r="G12815"/>
      <c r="I12815"/>
      <c r="N12815"/>
      <c r="O12815" s="24"/>
      <c r="P12815"/>
      <c r="Q12815" s="24"/>
      <c r="R12815"/>
      <c r="S12815"/>
      <c r="T12815"/>
      <c r="U12815"/>
      <c r="X12815" s="60"/>
    </row>
    <row r="12816" spans="7:24" ht="15" customHeight="1">
      <c r="G12816"/>
      <c r="I12816"/>
      <c r="N12816"/>
      <c r="O12816" s="24"/>
      <c r="P12816"/>
      <c r="Q12816" s="24"/>
      <c r="R12816"/>
      <c r="S12816"/>
      <c r="T12816"/>
      <c r="U12816"/>
      <c r="X12816" s="60"/>
    </row>
    <row r="12817" spans="7:24" ht="15" customHeight="1">
      <c r="G12817"/>
      <c r="I12817"/>
      <c r="N12817"/>
      <c r="O12817" s="24"/>
      <c r="P12817"/>
      <c r="Q12817" s="24"/>
      <c r="R12817"/>
      <c r="S12817"/>
      <c r="T12817"/>
      <c r="U12817"/>
      <c r="X12817" s="60"/>
    </row>
    <row r="12818" spans="7:24" ht="15" customHeight="1">
      <c r="G12818"/>
      <c r="I12818"/>
      <c r="N12818"/>
      <c r="O12818" s="24"/>
      <c r="P12818"/>
      <c r="Q12818" s="24"/>
      <c r="R12818"/>
      <c r="S12818"/>
      <c r="T12818"/>
      <c r="U12818"/>
      <c r="X12818" s="60"/>
    </row>
    <row r="12819" spans="7:24" ht="15" customHeight="1">
      <c r="G12819"/>
      <c r="I12819"/>
      <c r="N12819"/>
      <c r="O12819" s="24"/>
      <c r="P12819"/>
      <c r="Q12819" s="24"/>
      <c r="R12819"/>
      <c r="S12819"/>
      <c r="T12819"/>
      <c r="U12819"/>
      <c r="X12819" s="60"/>
    </row>
    <row r="12820" spans="7:24" ht="15" customHeight="1">
      <c r="G12820"/>
      <c r="I12820"/>
      <c r="N12820"/>
      <c r="O12820" s="24"/>
      <c r="P12820"/>
      <c r="Q12820" s="24"/>
      <c r="R12820"/>
      <c r="S12820"/>
      <c r="T12820"/>
      <c r="U12820"/>
      <c r="X12820" s="60"/>
    </row>
    <row r="12821" spans="7:24" ht="15" customHeight="1">
      <c r="G12821"/>
      <c r="I12821"/>
      <c r="N12821"/>
      <c r="O12821" s="24"/>
      <c r="P12821"/>
      <c r="Q12821" s="24"/>
      <c r="R12821"/>
      <c r="S12821"/>
      <c r="T12821"/>
      <c r="U12821"/>
      <c r="X12821" s="60"/>
    </row>
    <row r="12822" spans="7:24" ht="15" customHeight="1">
      <c r="G12822"/>
      <c r="I12822"/>
      <c r="N12822"/>
      <c r="O12822" s="24"/>
      <c r="P12822"/>
      <c r="Q12822" s="24"/>
      <c r="R12822"/>
      <c r="S12822"/>
      <c r="T12822"/>
      <c r="U12822"/>
      <c r="X12822" s="60"/>
    </row>
    <row r="12823" spans="7:24" ht="15" customHeight="1">
      <c r="G12823"/>
      <c r="I12823"/>
      <c r="N12823"/>
      <c r="O12823" s="24"/>
      <c r="P12823"/>
      <c r="Q12823" s="24"/>
      <c r="R12823"/>
      <c r="S12823"/>
      <c r="T12823"/>
      <c r="U12823"/>
      <c r="X12823" s="60"/>
    </row>
    <row r="12824" spans="7:24" ht="15" customHeight="1">
      <c r="G12824"/>
      <c r="I12824"/>
      <c r="N12824"/>
      <c r="O12824" s="24"/>
      <c r="P12824"/>
      <c r="Q12824" s="24"/>
      <c r="R12824"/>
      <c r="S12824"/>
      <c r="T12824"/>
      <c r="U12824"/>
      <c r="X12824" s="60"/>
    </row>
    <row r="12825" spans="7:24" ht="15" customHeight="1">
      <c r="G12825"/>
      <c r="I12825"/>
      <c r="N12825"/>
      <c r="O12825" s="24"/>
      <c r="P12825"/>
      <c r="Q12825" s="24"/>
      <c r="R12825"/>
      <c r="S12825"/>
      <c r="T12825"/>
      <c r="U12825"/>
      <c r="X12825" s="60"/>
    </row>
    <row r="12826" spans="7:24" ht="15" customHeight="1">
      <c r="G12826"/>
      <c r="I12826"/>
      <c r="N12826"/>
      <c r="O12826" s="24"/>
      <c r="P12826"/>
      <c r="Q12826" s="24"/>
      <c r="R12826"/>
      <c r="S12826"/>
      <c r="T12826"/>
      <c r="U12826"/>
      <c r="X12826" s="60"/>
    </row>
    <row r="12827" spans="7:24" ht="15" customHeight="1">
      <c r="G12827"/>
      <c r="I12827"/>
      <c r="N12827"/>
      <c r="O12827" s="24"/>
      <c r="P12827"/>
      <c r="Q12827" s="24"/>
      <c r="R12827"/>
      <c r="S12827"/>
      <c r="T12827"/>
      <c r="U12827"/>
      <c r="X12827" s="60"/>
    </row>
    <row r="12828" spans="7:24" ht="15" customHeight="1">
      <c r="G12828"/>
      <c r="I12828"/>
      <c r="N12828"/>
      <c r="O12828" s="24"/>
      <c r="P12828"/>
      <c r="Q12828" s="24"/>
      <c r="R12828"/>
      <c r="S12828"/>
      <c r="T12828"/>
      <c r="U12828"/>
      <c r="X12828" s="60"/>
    </row>
    <row r="12829" spans="7:24" ht="15" customHeight="1">
      <c r="G12829"/>
      <c r="I12829"/>
      <c r="N12829"/>
      <c r="O12829" s="24"/>
      <c r="P12829"/>
      <c r="Q12829" s="24"/>
      <c r="R12829"/>
      <c r="S12829"/>
      <c r="T12829"/>
      <c r="U12829"/>
      <c r="X12829" s="60"/>
    </row>
    <row r="12830" spans="7:24" ht="15" customHeight="1">
      <c r="G12830"/>
      <c r="I12830"/>
      <c r="N12830"/>
      <c r="O12830" s="24"/>
      <c r="P12830"/>
      <c r="Q12830" s="24"/>
      <c r="R12830"/>
      <c r="S12830"/>
      <c r="T12830"/>
      <c r="U12830"/>
      <c r="X12830" s="60"/>
    </row>
    <row r="12831" spans="7:24" ht="15" customHeight="1">
      <c r="G12831"/>
      <c r="I12831"/>
      <c r="N12831"/>
      <c r="O12831" s="24"/>
      <c r="P12831"/>
      <c r="Q12831" s="24"/>
      <c r="R12831"/>
      <c r="S12831"/>
      <c r="T12831"/>
      <c r="U12831"/>
      <c r="X12831" s="60"/>
    </row>
    <row r="12832" spans="7:24" ht="15" customHeight="1">
      <c r="G12832"/>
      <c r="I12832"/>
      <c r="N12832"/>
      <c r="O12832" s="24"/>
      <c r="P12832"/>
      <c r="Q12832" s="24"/>
      <c r="R12832"/>
      <c r="S12832"/>
      <c r="T12832"/>
      <c r="U12832"/>
      <c r="X12832" s="60"/>
    </row>
    <row r="12833" spans="7:24" ht="15" customHeight="1">
      <c r="G12833"/>
      <c r="I12833"/>
      <c r="N12833"/>
      <c r="O12833" s="24"/>
      <c r="P12833"/>
      <c r="Q12833" s="24"/>
      <c r="R12833"/>
      <c r="S12833"/>
      <c r="T12833"/>
      <c r="U12833"/>
      <c r="X12833" s="60"/>
    </row>
    <row r="12834" spans="7:24" ht="15" customHeight="1">
      <c r="G12834"/>
      <c r="I12834"/>
      <c r="N12834"/>
      <c r="O12834" s="24"/>
      <c r="P12834"/>
      <c r="Q12834" s="24"/>
      <c r="R12834"/>
      <c r="S12834"/>
      <c r="T12834"/>
      <c r="U12834"/>
      <c r="X12834" s="60"/>
    </row>
    <row r="12835" spans="7:24" ht="15" customHeight="1">
      <c r="G12835"/>
      <c r="I12835"/>
      <c r="N12835"/>
      <c r="O12835" s="24"/>
      <c r="P12835"/>
      <c r="Q12835" s="24"/>
      <c r="R12835"/>
      <c r="S12835"/>
      <c r="T12835"/>
      <c r="U12835"/>
      <c r="X12835" s="60"/>
    </row>
    <row r="12836" spans="7:24" ht="15" customHeight="1">
      <c r="G12836"/>
      <c r="I12836"/>
      <c r="N12836"/>
      <c r="O12836" s="24"/>
      <c r="P12836"/>
      <c r="Q12836" s="24"/>
      <c r="R12836"/>
      <c r="S12836"/>
      <c r="T12836"/>
      <c r="U12836"/>
      <c r="X12836" s="60"/>
    </row>
    <row r="12837" spans="7:24" ht="15" customHeight="1">
      <c r="G12837"/>
      <c r="I12837"/>
      <c r="N12837"/>
      <c r="O12837" s="24"/>
      <c r="P12837"/>
      <c r="Q12837" s="24"/>
      <c r="R12837"/>
      <c r="S12837"/>
      <c r="T12837"/>
      <c r="U12837"/>
      <c r="X12837" s="60"/>
    </row>
    <row r="12838" spans="7:24" ht="15" customHeight="1">
      <c r="G12838"/>
      <c r="I12838"/>
      <c r="N12838"/>
      <c r="O12838" s="24"/>
      <c r="P12838"/>
      <c r="Q12838" s="24"/>
      <c r="R12838"/>
      <c r="S12838"/>
      <c r="T12838"/>
      <c r="U12838"/>
      <c r="X12838" s="60"/>
    </row>
    <row r="12839" spans="7:24" ht="15" customHeight="1">
      <c r="G12839"/>
      <c r="I12839"/>
      <c r="N12839"/>
      <c r="O12839" s="24"/>
      <c r="P12839"/>
      <c r="Q12839" s="24"/>
      <c r="R12839"/>
      <c r="S12839"/>
      <c r="T12839"/>
      <c r="U12839"/>
      <c r="X12839" s="60"/>
    </row>
    <row r="12840" spans="7:24" ht="15" customHeight="1">
      <c r="G12840"/>
      <c r="I12840"/>
      <c r="N12840"/>
      <c r="O12840" s="24"/>
      <c r="P12840"/>
      <c r="Q12840" s="24"/>
      <c r="R12840"/>
      <c r="S12840"/>
      <c r="T12840"/>
      <c r="U12840"/>
      <c r="X12840" s="60"/>
    </row>
    <row r="12841" spans="7:24" ht="15" customHeight="1">
      <c r="G12841"/>
      <c r="I12841"/>
      <c r="N12841"/>
      <c r="O12841" s="24"/>
      <c r="P12841"/>
      <c r="Q12841" s="24"/>
      <c r="R12841"/>
      <c r="S12841"/>
      <c r="T12841"/>
      <c r="U12841"/>
      <c r="X12841" s="60"/>
    </row>
    <row r="12842" spans="7:24" ht="15" customHeight="1">
      <c r="G12842"/>
      <c r="I12842"/>
      <c r="N12842"/>
      <c r="O12842" s="24"/>
      <c r="P12842"/>
      <c r="Q12842" s="24"/>
      <c r="R12842"/>
      <c r="S12842"/>
      <c r="T12842"/>
      <c r="U12842"/>
      <c r="X12842" s="60"/>
    </row>
    <row r="12843" spans="7:24" ht="15" customHeight="1">
      <c r="G12843"/>
      <c r="I12843"/>
      <c r="N12843"/>
      <c r="O12843" s="24"/>
      <c r="P12843"/>
      <c r="Q12843" s="24"/>
      <c r="R12843"/>
      <c r="S12843"/>
      <c r="T12843"/>
      <c r="U12843"/>
      <c r="X12843" s="60"/>
    </row>
    <row r="12844" spans="7:24" ht="15" customHeight="1">
      <c r="G12844"/>
      <c r="I12844"/>
      <c r="N12844"/>
      <c r="O12844" s="24"/>
      <c r="P12844"/>
      <c r="Q12844" s="24"/>
      <c r="R12844"/>
      <c r="S12844"/>
      <c r="T12844"/>
      <c r="U12844"/>
      <c r="X12844" s="60"/>
    </row>
    <row r="12845" spans="7:24" ht="15" customHeight="1">
      <c r="G12845"/>
      <c r="I12845"/>
      <c r="N12845"/>
      <c r="O12845" s="24"/>
      <c r="P12845"/>
      <c r="Q12845" s="24"/>
      <c r="R12845"/>
      <c r="S12845"/>
      <c r="T12845"/>
      <c r="U12845"/>
      <c r="X12845" s="60"/>
    </row>
    <row r="12846" spans="7:24" ht="15" customHeight="1">
      <c r="G12846"/>
      <c r="I12846"/>
      <c r="N12846"/>
      <c r="O12846" s="24"/>
      <c r="P12846"/>
      <c r="Q12846" s="24"/>
      <c r="R12846"/>
      <c r="S12846"/>
      <c r="T12846"/>
      <c r="U12846"/>
      <c r="X12846" s="60"/>
    </row>
    <row r="12847" spans="7:24" ht="15" customHeight="1">
      <c r="G12847"/>
      <c r="I12847"/>
      <c r="N12847"/>
      <c r="O12847" s="24"/>
      <c r="P12847"/>
      <c r="Q12847" s="24"/>
      <c r="R12847"/>
      <c r="S12847"/>
      <c r="T12847"/>
      <c r="U12847"/>
      <c r="X12847" s="60"/>
    </row>
    <row r="12848" spans="7:24" ht="15" customHeight="1">
      <c r="G12848"/>
      <c r="I12848"/>
      <c r="N12848"/>
      <c r="O12848" s="24"/>
      <c r="P12848"/>
      <c r="Q12848" s="24"/>
      <c r="R12848"/>
      <c r="S12848"/>
      <c r="T12848"/>
      <c r="U12848"/>
      <c r="X12848" s="60"/>
    </row>
    <row r="12849" spans="7:24" ht="15" customHeight="1">
      <c r="G12849"/>
      <c r="I12849"/>
      <c r="N12849"/>
      <c r="O12849" s="24"/>
      <c r="P12849"/>
      <c r="Q12849" s="24"/>
      <c r="R12849"/>
      <c r="S12849"/>
      <c r="T12849"/>
      <c r="U12849"/>
      <c r="X12849" s="60"/>
    </row>
    <row r="12850" spans="7:24" ht="15" customHeight="1">
      <c r="G12850"/>
      <c r="I12850"/>
      <c r="N12850"/>
      <c r="O12850" s="24"/>
      <c r="P12850"/>
      <c r="Q12850" s="24"/>
      <c r="R12850"/>
      <c r="S12850"/>
      <c r="T12850"/>
      <c r="U12850"/>
      <c r="X12850" s="60"/>
    </row>
    <row r="12851" spans="7:24" ht="15" customHeight="1">
      <c r="G12851"/>
      <c r="I12851"/>
      <c r="N12851"/>
      <c r="O12851" s="24"/>
      <c r="P12851"/>
      <c r="Q12851" s="24"/>
      <c r="R12851"/>
      <c r="S12851"/>
      <c r="T12851"/>
      <c r="U12851"/>
      <c r="X12851" s="60"/>
    </row>
    <row r="12852" spans="7:24" ht="15" customHeight="1">
      <c r="G12852"/>
      <c r="I12852"/>
      <c r="N12852"/>
      <c r="O12852" s="24"/>
      <c r="P12852"/>
      <c r="Q12852" s="24"/>
      <c r="R12852"/>
      <c r="S12852"/>
      <c r="T12852"/>
      <c r="U12852"/>
      <c r="X12852" s="60"/>
    </row>
    <row r="12853" spans="7:24" ht="15" customHeight="1">
      <c r="G12853"/>
      <c r="I12853"/>
      <c r="N12853"/>
      <c r="O12853" s="24"/>
      <c r="P12853"/>
      <c r="Q12853" s="24"/>
      <c r="R12853"/>
      <c r="S12853"/>
      <c r="T12853"/>
      <c r="U12853"/>
      <c r="X12853" s="60"/>
    </row>
    <row r="12854" spans="7:24" ht="15" customHeight="1">
      <c r="G12854"/>
      <c r="I12854"/>
      <c r="N12854"/>
      <c r="O12854" s="24"/>
      <c r="P12854"/>
      <c r="Q12854" s="24"/>
      <c r="R12854"/>
      <c r="S12854"/>
      <c r="T12854"/>
      <c r="U12854"/>
      <c r="X12854" s="60"/>
    </row>
    <row r="12855" spans="7:24" ht="15" customHeight="1">
      <c r="G12855"/>
      <c r="I12855"/>
      <c r="N12855"/>
      <c r="O12855" s="24"/>
      <c r="P12855"/>
      <c r="Q12855" s="24"/>
      <c r="R12855"/>
      <c r="S12855"/>
      <c r="T12855"/>
      <c r="U12855"/>
      <c r="X12855" s="60"/>
    </row>
    <row r="12856" spans="7:24" ht="15" customHeight="1">
      <c r="G12856"/>
      <c r="I12856"/>
      <c r="N12856"/>
      <c r="O12856" s="24"/>
      <c r="P12856"/>
      <c r="Q12856" s="24"/>
      <c r="R12856"/>
      <c r="S12856"/>
      <c r="T12856"/>
      <c r="U12856"/>
      <c r="X12856" s="60"/>
    </row>
    <row r="12857" spans="7:24" ht="15" customHeight="1">
      <c r="G12857"/>
      <c r="I12857"/>
      <c r="N12857"/>
      <c r="O12857" s="24"/>
      <c r="P12857"/>
      <c r="Q12857" s="24"/>
      <c r="R12857"/>
      <c r="S12857"/>
      <c r="T12857"/>
      <c r="U12857"/>
      <c r="X12857" s="60"/>
    </row>
    <row r="12858" spans="7:24" ht="15" customHeight="1">
      <c r="G12858"/>
      <c r="I12858"/>
      <c r="N12858"/>
      <c r="O12858" s="24"/>
      <c r="P12858"/>
      <c r="Q12858" s="24"/>
      <c r="R12858"/>
      <c r="S12858"/>
      <c r="T12858"/>
      <c r="U12858"/>
      <c r="X12858" s="60"/>
    </row>
    <row r="12859" spans="7:24" ht="15" customHeight="1">
      <c r="G12859"/>
      <c r="I12859"/>
      <c r="N12859"/>
      <c r="O12859" s="24"/>
      <c r="P12859"/>
      <c r="Q12859" s="24"/>
      <c r="R12859"/>
      <c r="S12859"/>
      <c r="T12859"/>
      <c r="U12859"/>
      <c r="X12859" s="60"/>
    </row>
    <row r="12860" spans="7:24" ht="15" customHeight="1">
      <c r="G12860"/>
      <c r="I12860"/>
      <c r="N12860"/>
      <c r="O12860" s="24"/>
      <c r="P12860"/>
      <c r="Q12860" s="24"/>
      <c r="R12860"/>
      <c r="S12860"/>
      <c r="T12860"/>
      <c r="U12860"/>
      <c r="X12860" s="60"/>
    </row>
    <row r="12861" spans="7:24" ht="15" customHeight="1">
      <c r="G12861"/>
      <c r="I12861"/>
      <c r="N12861"/>
      <c r="O12861" s="24"/>
      <c r="P12861"/>
      <c r="Q12861" s="24"/>
      <c r="R12861"/>
      <c r="S12861"/>
      <c r="T12861"/>
      <c r="U12861"/>
      <c r="X12861" s="60"/>
    </row>
    <row r="12862" spans="7:24" ht="15" customHeight="1">
      <c r="G12862"/>
      <c r="I12862"/>
      <c r="N12862"/>
      <c r="O12862" s="24"/>
      <c r="P12862"/>
      <c r="Q12862" s="24"/>
      <c r="R12862"/>
      <c r="S12862"/>
      <c r="T12862"/>
      <c r="U12862"/>
      <c r="X12862" s="60"/>
    </row>
    <row r="12863" spans="7:24" ht="15" customHeight="1">
      <c r="G12863"/>
      <c r="I12863"/>
      <c r="N12863"/>
      <c r="O12863" s="24"/>
      <c r="P12863"/>
      <c r="Q12863" s="24"/>
      <c r="R12863"/>
      <c r="S12863"/>
      <c r="T12863"/>
      <c r="U12863"/>
      <c r="X12863" s="60"/>
    </row>
    <row r="12864" spans="7:24" ht="15" customHeight="1">
      <c r="G12864"/>
      <c r="I12864"/>
      <c r="N12864"/>
      <c r="O12864" s="24"/>
      <c r="P12864"/>
      <c r="Q12864" s="24"/>
      <c r="R12864"/>
      <c r="S12864"/>
      <c r="T12864"/>
      <c r="U12864"/>
      <c r="X12864" s="60"/>
    </row>
    <row r="12865" spans="7:24" ht="15" customHeight="1">
      <c r="G12865"/>
      <c r="I12865"/>
      <c r="N12865"/>
      <c r="O12865" s="24"/>
      <c r="P12865"/>
      <c r="Q12865" s="24"/>
      <c r="R12865"/>
      <c r="S12865"/>
      <c r="T12865"/>
      <c r="U12865"/>
      <c r="X12865" s="60"/>
    </row>
    <row r="12866" spans="7:24" ht="15" customHeight="1">
      <c r="G12866"/>
      <c r="I12866"/>
      <c r="N12866"/>
      <c r="O12866" s="24"/>
      <c r="P12866"/>
      <c r="Q12866" s="24"/>
      <c r="R12866"/>
      <c r="S12866"/>
      <c r="T12866"/>
      <c r="U12866"/>
      <c r="X12866" s="60"/>
    </row>
    <row r="12867" spans="7:24" ht="15" customHeight="1">
      <c r="G12867"/>
      <c r="I12867"/>
      <c r="N12867"/>
      <c r="O12867" s="24"/>
      <c r="P12867"/>
      <c r="Q12867" s="24"/>
      <c r="R12867"/>
      <c r="S12867"/>
      <c r="T12867"/>
      <c r="U12867"/>
      <c r="X12867" s="60"/>
    </row>
    <row r="12868" spans="7:24" ht="15" customHeight="1">
      <c r="G12868"/>
      <c r="I12868"/>
      <c r="N12868"/>
      <c r="O12868" s="24"/>
      <c r="P12868"/>
      <c r="Q12868" s="24"/>
      <c r="R12868"/>
      <c r="S12868"/>
      <c r="T12868"/>
      <c r="U12868"/>
      <c r="X12868" s="60"/>
    </row>
    <row r="12869" spans="7:24" ht="15" customHeight="1">
      <c r="G12869"/>
      <c r="I12869"/>
      <c r="N12869"/>
      <c r="O12869" s="24"/>
      <c r="P12869"/>
      <c r="Q12869" s="24"/>
      <c r="R12869"/>
      <c r="S12869"/>
      <c r="T12869"/>
      <c r="U12869"/>
      <c r="X12869" s="60"/>
    </row>
    <row r="12870" spans="7:24" ht="15" customHeight="1">
      <c r="G12870"/>
      <c r="I12870"/>
      <c r="N12870"/>
      <c r="O12870" s="24"/>
      <c r="P12870"/>
      <c r="Q12870" s="24"/>
      <c r="R12870"/>
      <c r="S12870"/>
      <c r="T12870"/>
      <c r="U12870"/>
      <c r="X12870" s="60"/>
    </row>
    <row r="12871" spans="7:24" ht="15" customHeight="1">
      <c r="G12871"/>
      <c r="I12871"/>
      <c r="N12871"/>
      <c r="O12871" s="24"/>
      <c r="P12871"/>
      <c r="Q12871" s="24"/>
      <c r="R12871"/>
      <c r="S12871"/>
      <c r="T12871"/>
      <c r="U12871"/>
      <c r="X12871" s="60"/>
    </row>
    <row r="12872" spans="7:24" ht="15" customHeight="1">
      <c r="G12872"/>
      <c r="I12872"/>
      <c r="N12872"/>
      <c r="O12872" s="24"/>
      <c r="P12872"/>
      <c r="Q12872" s="24"/>
      <c r="R12872"/>
      <c r="S12872"/>
      <c r="T12872"/>
      <c r="U12872"/>
      <c r="X12872" s="60"/>
    </row>
    <row r="12873" spans="7:24" ht="15" customHeight="1">
      <c r="G12873"/>
      <c r="I12873"/>
      <c r="N12873"/>
      <c r="O12873" s="24"/>
      <c r="P12873"/>
      <c r="Q12873" s="24"/>
      <c r="R12873"/>
      <c r="S12873"/>
      <c r="T12873"/>
      <c r="U12873"/>
      <c r="X12873" s="60"/>
    </row>
    <row r="12874" spans="7:24" ht="15" customHeight="1">
      <c r="G12874"/>
      <c r="I12874"/>
      <c r="N12874"/>
      <c r="O12874" s="24"/>
      <c r="P12874"/>
      <c r="Q12874" s="24"/>
      <c r="R12874"/>
      <c r="S12874"/>
      <c r="T12874"/>
      <c r="U12874"/>
      <c r="X12874" s="60"/>
    </row>
    <row r="12875" spans="7:24" ht="15" customHeight="1">
      <c r="G12875"/>
      <c r="I12875"/>
      <c r="N12875"/>
      <c r="O12875" s="24"/>
      <c r="P12875"/>
      <c r="Q12875" s="24"/>
      <c r="R12875"/>
      <c r="S12875"/>
      <c r="T12875"/>
      <c r="U12875"/>
      <c r="X12875" s="60"/>
    </row>
    <row r="12876" spans="7:24" ht="15" customHeight="1">
      <c r="G12876"/>
      <c r="I12876"/>
      <c r="N12876"/>
      <c r="O12876" s="24"/>
      <c r="P12876"/>
      <c r="Q12876" s="24"/>
      <c r="R12876"/>
      <c r="S12876"/>
      <c r="T12876"/>
      <c r="U12876"/>
      <c r="X12876" s="60"/>
    </row>
    <row r="12877" spans="7:24" ht="15" customHeight="1">
      <c r="G12877"/>
      <c r="I12877"/>
      <c r="N12877"/>
      <c r="O12877" s="24"/>
      <c r="P12877"/>
      <c r="Q12877" s="24"/>
      <c r="R12877"/>
      <c r="S12877"/>
      <c r="T12877"/>
      <c r="U12877"/>
      <c r="X12877" s="60"/>
    </row>
    <row r="12878" spans="7:24" ht="15" customHeight="1">
      <c r="G12878"/>
      <c r="I12878"/>
      <c r="N12878"/>
      <c r="O12878" s="24"/>
      <c r="P12878"/>
      <c r="Q12878" s="24"/>
      <c r="R12878"/>
      <c r="S12878"/>
      <c r="T12878"/>
      <c r="U12878"/>
      <c r="X12878" s="60"/>
    </row>
    <row r="12879" spans="7:24" ht="15" customHeight="1">
      <c r="G12879"/>
      <c r="I12879"/>
      <c r="N12879"/>
      <c r="O12879" s="24"/>
      <c r="P12879"/>
      <c r="Q12879" s="24"/>
      <c r="R12879"/>
      <c r="S12879"/>
      <c r="T12879"/>
      <c r="U12879"/>
      <c r="X12879" s="60"/>
    </row>
    <row r="12880" spans="7:24" ht="15" customHeight="1">
      <c r="G12880"/>
      <c r="I12880"/>
      <c r="N12880"/>
      <c r="O12880" s="24"/>
      <c r="P12880"/>
      <c r="Q12880" s="24"/>
      <c r="R12880"/>
      <c r="S12880"/>
      <c r="T12880"/>
      <c r="U12880"/>
      <c r="X12880" s="60"/>
    </row>
    <row r="12881" spans="7:24" ht="15" customHeight="1">
      <c r="G12881"/>
      <c r="I12881"/>
      <c r="N12881"/>
      <c r="O12881" s="24"/>
      <c r="P12881"/>
      <c r="Q12881" s="24"/>
      <c r="R12881"/>
      <c r="S12881"/>
      <c r="T12881"/>
      <c r="U12881"/>
      <c r="X12881" s="60"/>
    </row>
    <row r="12882" spans="7:24" ht="15" customHeight="1">
      <c r="G12882"/>
      <c r="I12882"/>
      <c r="N12882"/>
      <c r="O12882" s="24"/>
      <c r="P12882"/>
      <c r="Q12882" s="24"/>
      <c r="R12882"/>
      <c r="S12882"/>
      <c r="T12882"/>
      <c r="U12882"/>
      <c r="X12882" s="60"/>
    </row>
    <row r="12883" spans="7:24" ht="15" customHeight="1">
      <c r="G12883"/>
      <c r="I12883"/>
      <c r="N12883"/>
      <c r="O12883" s="24"/>
      <c r="P12883"/>
      <c r="Q12883" s="24"/>
      <c r="R12883"/>
      <c r="S12883"/>
      <c r="T12883"/>
      <c r="U12883"/>
      <c r="X12883" s="60"/>
    </row>
    <row r="12884" spans="7:24" ht="15" customHeight="1">
      <c r="G12884"/>
      <c r="I12884"/>
      <c r="N12884"/>
      <c r="O12884" s="24"/>
      <c r="P12884"/>
      <c r="Q12884" s="24"/>
      <c r="R12884"/>
      <c r="S12884"/>
      <c r="T12884"/>
      <c r="U12884"/>
      <c r="X12884" s="60"/>
    </row>
    <row r="12885" spans="7:24" ht="15" customHeight="1">
      <c r="G12885"/>
      <c r="I12885"/>
      <c r="N12885"/>
      <c r="O12885" s="24"/>
      <c r="P12885"/>
      <c r="Q12885" s="24"/>
      <c r="R12885"/>
      <c r="S12885"/>
      <c r="T12885"/>
      <c r="U12885"/>
      <c r="X12885" s="60"/>
    </row>
    <row r="12886" spans="7:24" ht="15" customHeight="1">
      <c r="G12886"/>
      <c r="I12886"/>
      <c r="N12886"/>
      <c r="O12886" s="24"/>
      <c r="P12886"/>
      <c r="Q12886" s="24"/>
      <c r="R12886"/>
      <c r="S12886"/>
      <c r="T12886"/>
      <c r="U12886"/>
      <c r="X12886" s="60"/>
    </row>
    <row r="12887" spans="7:24" ht="15" customHeight="1">
      <c r="G12887"/>
      <c r="I12887"/>
      <c r="N12887"/>
      <c r="O12887" s="24"/>
      <c r="P12887"/>
      <c r="Q12887" s="24"/>
      <c r="R12887"/>
      <c r="S12887"/>
      <c r="T12887"/>
      <c r="U12887"/>
      <c r="X12887" s="60"/>
    </row>
    <row r="12888" spans="7:24" ht="15" customHeight="1">
      <c r="G12888"/>
      <c r="I12888"/>
      <c r="N12888"/>
      <c r="O12888" s="24"/>
      <c r="P12888"/>
      <c r="Q12888" s="24"/>
      <c r="R12888"/>
      <c r="S12888"/>
      <c r="T12888"/>
      <c r="U12888"/>
      <c r="X12888" s="60"/>
    </row>
    <row r="12889" spans="7:24" ht="15" customHeight="1">
      <c r="G12889"/>
      <c r="I12889"/>
      <c r="N12889"/>
      <c r="O12889" s="24"/>
      <c r="P12889"/>
      <c r="Q12889" s="24"/>
      <c r="R12889"/>
      <c r="S12889"/>
      <c r="T12889"/>
      <c r="U12889"/>
      <c r="X12889" s="60"/>
    </row>
    <row r="12890" spans="7:24" ht="15" customHeight="1">
      <c r="G12890"/>
      <c r="I12890"/>
      <c r="N12890"/>
      <c r="O12890" s="24"/>
      <c r="P12890"/>
      <c r="Q12890" s="24"/>
      <c r="R12890"/>
      <c r="S12890"/>
      <c r="T12890"/>
      <c r="U12890"/>
      <c r="X12890" s="60"/>
    </row>
    <row r="12891" spans="7:24" ht="15" customHeight="1">
      <c r="G12891"/>
      <c r="I12891"/>
      <c r="N12891"/>
      <c r="O12891" s="24"/>
      <c r="P12891"/>
      <c r="Q12891" s="24"/>
      <c r="R12891"/>
      <c r="S12891"/>
      <c r="T12891"/>
      <c r="U12891"/>
      <c r="X12891" s="60"/>
    </row>
    <row r="12892" spans="7:24" ht="15" customHeight="1">
      <c r="G12892"/>
      <c r="I12892"/>
      <c r="N12892"/>
      <c r="O12892" s="24"/>
      <c r="P12892"/>
      <c r="Q12892" s="24"/>
      <c r="R12892"/>
      <c r="S12892"/>
      <c r="T12892"/>
      <c r="U12892"/>
      <c r="X12892" s="60"/>
    </row>
    <row r="12893" spans="7:24" ht="15" customHeight="1">
      <c r="G12893"/>
      <c r="I12893"/>
      <c r="N12893"/>
      <c r="O12893" s="24"/>
      <c r="P12893"/>
      <c r="Q12893" s="24"/>
      <c r="R12893"/>
      <c r="S12893"/>
      <c r="T12893"/>
      <c r="U12893"/>
      <c r="X12893" s="60"/>
    </row>
    <row r="12894" spans="7:24" ht="15" customHeight="1">
      <c r="G12894"/>
      <c r="I12894"/>
      <c r="N12894"/>
      <c r="O12894" s="24"/>
      <c r="P12894"/>
      <c r="Q12894" s="24"/>
      <c r="R12894"/>
      <c r="S12894"/>
      <c r="T12894"/>
      <c r="U12894"/>
      <c r="X12894" s="60"/>
    </row>
    <row r="12895" spans="7:24" ht="15" customHeight="1">
      <c r="G12895"/>
      <c r="I12895"/>
      <c r="N12895"/>
      <c r="O12895" s="24"/>
      <c r="P12895"/>
      <c r="Q12895" s="24"/>
      <c r="R12895"/>
      <c r="S12895"/>
      <c r="T12895"/>
      <c r="U12895"/>
      <c r="X12895" s="60"/>
    </row>
    <row r="12896" spans="7:24" ht="15" customHeight="1">
      <c r="G12896"/>
      <c r="I12896"/>
      <c r="N12896"/>
      <c r="O12896" s="24"/>
      <c r="P12896"/>
      <c r="Q12896" s="24"/>
      <c r="R12896"/>
      <c r="S12896"/>
      <c r="T12896"/>
      <c r="U12896"/>
      <c r="X12896" s="60"/>
    </row>
    <row r="12897" spans="7:24" ht="15" customHeight="1">
      <c r="G12897"/>
      <c r="I12897"/>
      <c r="N12897"/>
      <c r="O12897" s="24"/>
      <c r="P12897"/>
      <c r="Q12897" s="24"/>
      <c r="R12897"/>
      <c r="S12897"/>
      <c r="T12897"/>
      <c r="U12897"/>
      <c r="X12897" s="60"/>
    </row>
    <row r="12898" spans="7:24" ht="15" customHeight="1">
      <c r="G12898"/>
      <c r="I12898"/>
      <c r="N12898"/>
      <c r="O12898" s="24"/>
      <c r="P12898"/>
      <c r="Q12898" s="24"/>
      <c r="R12898"/>
      <c r="S12898"/>
      <c r="T12898"/>
      <c r="U12898"/>
      <c r="X12898" s="60"/>
    </row>
    <row r="12899" spans="7:24" ht="15" customHeight="1">
      <c r="G12899"/>
      <c r="I12899"/>
      <c r="N12899"/>
      <c r="O12899" s="24"/>
      <c r="P12899"/>
      <c r="Q12899" s="24"/>
      <c r="R12899"/>
      <c r="S12899"/>
      <c r="T12899"/>
      <c r="U12899"/>
      <c r="X12899" s="60"/>
    </row>
    <row r="12900" spans="7:24" ht="15" customHeight="1">
      <c r="G12900"/>
      <c r="I12900"/>
      <c r="N12900"/>
      <c r="O12900" s="24"/>
      <c r="P12900"/>
      <c r="Q12900" s="24"/>
      <c r="R12900"/>
      <c r="S12900"/>
      <c r="T12900"/>
      <c r="U12900"/>
      <c r="X12900" s="60"/>
    </row>
    <row r="12901" spans="7:24" ht="15" customHeight="1">
      <c r="G12901"/>
      <c r="I12901"/>
      <c r="N12901"/>
      <c r="O12901" s="24"/>
      <c r="P12901"/>
      <c r="Q12901" s="24"/>
      <c r="R12901"/>
      <c r="S12901"/>
      <c r="T12901"/>
      <c r="U12901"/>
      <c r="X12901" s="60"/>
    </row>
    <row r="12902" spans="7:24" ht="15" customHeight="1">
      <c r="G12902"/>
      <c r="I12902"/>
      <c r="N12902"/>
      <c r="O12902" s="24"/>
      <c r="P12902"/>
      <c r="Q12902" s="24"/>
      <c r="R12902"/>
      <c r="S12902"/>
      <c r="T12902"/>
      <c r="U12902"/>
      <c r="X12902" s="60"/>
    </row>
    <row r="12903" spans="7:24" ht="15" customHeight="1">
      <c r="G12903"/>
      <c r="I12903"/>
      <c r="N12903"/>
      <c r="O12903" s="24"/>
      <c r="P12903"/>
      <c r="Q12903" s="24"/>
      <c r="R12903"/>
      <c r="S12903"/>
      <c r="T12903"/>
      <c r="U12903"/>
      <c r="X12903" s="60"/>
    </row>
    <row r="12904" spans="7:24" ht="15" customHeight="1">
      <c r="G12904"/>
      <c r="I12904"/>
      <c r="N12904"/>
      <c r="O12904" s="24"/>
      <c r="P12904"/>
      <c r="Q12904" s="24"/>
      <c r="R12904"/>
      <c r="S12904"/>
      <c r="T12904"/>
      <c r="U12904"/>
      <c r="X12904" s="60"/>
    </row>
    <row r="12905" spans="7:24" ht="15" customHeight="1">
      <c r="G12905"/>
      <c r="I12905"/>
      <c r="N12905"/>
      <c r="O12905" s="24"/>
      <c r="P12905"/>
      <c r="Q12905" s="24"/>
      <c r="R12905"/>
      <c r="S12905"/>
      <c r="T12905"/>
      <c r="U12905"/>
      <c r="X12905" s="60"/>
    </row>
    <row r="12906" spans="7:24" ht="15" customHeight="1">
      <c r="G12906"/>
      <c r="I12906"/>
      <c r="N12906"/>
      <c r="O12906" s="24"/>
      <c r="P12906"/>
      <c r="Q12906" s="24"/>
      <c r="R12906"/>
      <c r="S12906"/>
      <c r="T12906"/>
      <c r="U12906"/>
      <c r="X12906" s="60"/>
    </row>
    <row r="12907" spans="7:24" ht="15" customHeight="1">
      <c r="G12907"/>
      <c r="I12907"/>
      <c r="N12907"/>
      <c r="O12907" s="24"/>
      <c r="P12907"/>
      <c r="Q12907" s="24"/>
      <c r="R12907"/>
      <c r="S12907"/>
      <c r="T12907"/>
      <c r="U12907"/>
      <c r="X12907" s="60"/>
    </row>
    <row r="12908" spans="7:24" ht="15" customHeight="1">
      <c r="G12908"/>
      <c r="I12908"/>
      <c r="N12908"/>
      <c r="O12908" s="24"/>
      <c r="P12908"/>
      <c r="Q12908" s="24"/>
      <c r="R12908"/>
      <c r="S12908"/>
      <c r="T12908"/>
      <c r="U12908"/>
      <c r="X12908" s="60"/>
    </row>
    <row r="12909" spans="7:24" ht="15" customHeight="1">
      <c r="G12909"/>
      <c r="I12909"/>
      <c r="N12909"/>
      <c r="O12909" s="24"/>
      <c r="P12909"/>
      <c r="Q12909" s="24"/>
      <c r="R12909"/>
      <c r="S12909"/>
      <c r="T12909"/>
      <c r="U12909"/>
      <c r="X12909" s="60"/>
    </row>
    <row r="12910" spans="7:24" ht="15" customHeight="1">
      <c r="G12910"/>
      <c r="I12910"/>
      <c r="N12910"/>
      <c r="O12910" s="24"/>
      <c r="P12910"/>
      <c r="Q12910" s="24"/>
      <c r="R12910"/>
      <c r="S12910"/>
      <c r="T12910"/>
      <c r="U12910"/>
      <c r="X12910" s="60"/>
    </row>
    <row r="12911" spans="7:24" ht="15" customHeight="1">
      <c r="G12911"/>
      <c r="I12911"/>
      <c r="N12911"/>
      <c r="O12911" s="24"/>
      <c r="P12911"/>
      <c r="Q12911" s="24"/>
      <c r="R12911"/>
      <c r="S12911"/>
      <c r="T12911"/>
      <c r="U12911"/>
      <c r="X12911" s="60"/>
    </row>
    <row r="12912" spans="7:24" ht="15" customHeight="1">
      <c r="G12912"/>
      <c r="I12912"/>
      <c r="N12912"/>
      <c r="O12912" s="24"/>
      <c r="P12912"/>
      <c r="Q12912" s="24"/>
      <c r="R12912"/>
      <c r="S12912"/>
      <c r="T12912"/>
      <c r="U12912"/>
      <c r="X12912" s="60"/>
    </row>
    <row r="12913" spans="7:24" ht="15" customHeight="1">
      <c r="G12913"/>
      <c r="I12913"/>
      <c r="N12913"/>
      <c r="O12913" s="24"/>
      <c r="P12913"/>
      <c r="Q12913" s="24"/>
      <c r="R12913"/>
      <c r="S12913"/>
      <c r="T12913"/>
      <c r="U12913"/>
      <c r="X12913" s="60"/>
    </row>
    <row r="12914" spans="7:24" ht="15" customHeight="1">
      <c r="G12914"/>
      <c r="I12914"/>
      <c r="N12914"/>
      <c r="O12914" s="24"/>
      <c r="P12914"/>
      <c r="Q12914" s="24"/>
      <c r="R12914"/>
      <c r="S12914"/>
      <c r="T12914"/>
      <c r="U12914"/>
      <c r="X12914" s="60"/>
    </row>
    <row r="12915" spans="7:24" ht="15" customHeight="1">
      <c r="G12915"/>
      <c r="I12915"/>
      <c r="N12915"/>
      <c r="O12915" s="24"/>
      <c r="P12915"/>
      <c r="Q12915" s="24"/>
      <c r="R12915"/>
      <c r="S12915"/>
      <c r="T12915"/>
      <c r="U12915"/>
      <c r="X12915" s="60"/>
    </row>
    <row r="12916" spans="7:24" ht="15" customHeight="1">
      <c r="G12916"/>
      <c r="I12916"/>
      <c r="N12916"/>
      <c r="O12916" s="24"/>
      <c r="P12916"/>
      <c r="Q12916" s="24"/>
      <c r="R12916"/>
      <c r="S12916"/>
      <c r="T12916"/>
      <c r="U12916"/>
      <c r="X12916" s="60"/>
    </row>
    <row r="12917" spans="7:24" ht="15" customHeight="1">
      <c r="G12917"/>
      <c r="I12917"/>
      <c r="N12917"/>
      <c r="O12917" s="24"/>
      <c r="P12917"/>
      <c r="Q12917" s="24"/>
      <c r="R12917"/>
      <c r="S12917"/>
      <c r="T12917"/>
      <c r="U12917"/>
      <c r="X12917" s="60"/>
    </row>
    <row r="12918" spans="7:24" ht="15" customHeight="1">
      <c r="G12918"/>
      <c r="I12918"/>
      <c r="N12918"/>
      <c r="O12918" s="24"/>
      <c r="P12918"/>
      <c r="Q12918" s="24"/>
      <c r="R12918"/>
      <c r="S12918"/>
      <c r="T12918"/>
      <c r="U12918"/>
      <c r="X12918" s="60"/>
    </row>
    <row r="12919" spans="7:24" ht="15" customHeight="1">
      <c r="G12919"/>
      <c r="I12919"/>
      <c r="N12919"/>
      <c r="O12919" s="24"/>
      <c r="P12919"/>
      <c r="Q12919" s="24"/>
      <c r="R12919"/>
      <c r="S12919"/>
      <c r="T12919"/>
      <c r="U12919"/>
      <c r="X12919" s="60"/>
    </row>
    <row r="12920" spans="7:24" ht="15" customHeight="1">
      <c r="G12920"/>
      <c r="I12920"/>
      <c r="N12920"/>
      <c r="O12920" s="24"/>
      <c r="P12920"/>
      <c r="Q12920" s="24"/>
      <c r="R12920"/>
      <c r="S12920"/>
      <c r="T12920"/>
      <c r="U12920"/>
      <c r="X12920" s="60"/>
    </row>
    <row r="12921" spans="7:24" ht="15" customHeight="1">
      <c r="G12921"/>
      <c r="I12921"/>
      <c r="N12921"/>
      <c r="O12921" s="24"/>
      <c r="P12921"/>
      <c r="Q12921" s="24"/>
      <c r="R12921"/>
      <c r="S12921"/>
      <c r="T12921"/>
      <c r="U12921"/>
      <c r="X12921" s="60"/>
    </row>
    <row r="12922" spans="7:24" ht="15" customHeight="1">
      <c r="G12922"/>
      <c r="I12922"/>
      <c r="N12922"/>
      <c r="O12922" s="24"/>
      <c r="P12922"/>
      <c r="Q12922" s="24"/>
      <c r="R12922"/>
      <c r="S12922"/>
      <c r="T12922"/>
      <c r="U12922"/>
      <c r="X12922" s="60"/>
    </row>
    <row r="12923" spans="7:24" ht="15" customHeight="1">
      <c r="G12923"/>
      <c r="I12923"/>
      <c r="N12923"/>
      <c r="O12923" s="24"/>
      <c r="P12923"/>
      <c r="Q12923" s="24"/>
      <c r="R12923"/>
      <c r="S12923"/>
      <c r="T12923"/>
      <c r="U12923"/>
      <c r="X12923" s="60"/>
    </row>
    <row r="12924" spans="7:24" ht="15" customHeight="1">
      <c r="G12924"/>
      <c r="I12924"/>
      <c r="N12924"/>
      <c r="O12924" s="24"/>
      <c r="P12924"/>
      <c r="Q12924" s="24"/>
      <c r="R12924"/>
      <c r="S12924"/>
      <c r="T12924"/>
      <c r="U12924"/>
      <c r="X12924" s="60"/>
    </row>
    <row r="12925" spans="7:24" ht="15" customHeight="1">
      <c r="G12925"/>
      <c r="I12925"/>
      <c r="N12925"/>
      <c r="O12925" s="24"/>
      <c r="P12925"/>
      <c r="Q12925" s="24"/>
      <c r="R12925"/>
      <c r="S12925"/>
      <c r="T12925"/>
      <c r="U12925"/>
      <c r="X12925" s="60"/>
    </row>
    <row r="12926" spans="7:24" ht="15" customHeight="1">
      <c r="G12926"/>
      <c r="I12926"/>
      <c r="N12926"/>
      <c r="O12926" s="24"/>
      <c r="P12926"/>
      <c r="Q12926" s="24"/>
      <c r="R12926"/>
      <c r="S12926"/>
      <c r="T12926"/>
      <c r="U12926"/>
      <c r="X12926" s="60"/>
    </row>
    <row r="12927" spans="7:24" ht="15" customHeight="1">
      <c r="G12927"/>
      <c r="I12927"/>
      <c r="N12927"/>
      <c r="O12927" s="24"/>
      <c r="P12927"/>
      <c r="Q12927" s="24"/>
      <c r="R12927"/>
      <c r="S12927"/>
      <c r="T12927"/>
      <c r="U12927"/>
      <c r="X12927" s="60"/>
    </row>
    <row r="12928" spans="7:24" ht="15" customHeight="1">
      <c r="G12928"/>
      <c r="I12928"/>
      <c r="N12928"/>
      <c r="O12928" s="24"/>
      <c r="P12928"/>
      <c r="Q12928" s="24"/>
      <c r="R12928"/>
      <c r="S12928"/>
      <c r="T12928"/>
      <c r="U12928"/>
      <c r="X12928" s="60"/>
    </row>
    <row r="12929" spans="7:24" ht="15" customHeight="1">
      <c r="G12929"/>
      <c r="I12929"/>
      <c r="N12929"/>
      <c r="O12929" s="24"/>
      <c r="P12929"/>
      <c r="Q12929" s="24"/>
      <c r="R12929"/>
      <c r="S12929"/>
      <c r="T12929"/>
      <c r="U12929"/>
      <c r="X12929" s="60"/>
    </row>
    <row r="12930" spans="7:24" ht="15" customHeight="1">
      <c r="G12930"/>
      <c r="I12930"/>
      <c r="N12930"/>
      <c r="O12930" s="24"/>
      <c r="P12930"/>
      <c r="Q12930" s="24"/>
      <c r="R12930"/>
      <c r="S12930"/>
      <c r="T12930"/>
      <c r="U12930"/>
      <c r="X12930" s="60"/>
    </row>
    <row r="12931" spans="7:24" ht="15" customHeight="1">
      <c r="G12931"/>
      <c r="I12931"/>
      <c r="N12931"/>
      <c r="O12931" s="24"/>
      <c r="P12931"/>
      <c r="Q12931" s="24"/>
      <c r="R12931"/>
      <c r="S12931"/>
      <c r="T12931"/>
      <c r="U12931"/>
      <c r="X12931" s="60"/>
    </row>
    <row r="12932" spans="7:24" ht="15" customHeight="1">
      <c r="G12932"/>
      <c r="I12932"/>
      <c r="N12932"/>
      <c r="O12932" s="24"/>
      <c r="P12932"/>
      <c r="Q12932" s="24"/>
      <c r="R12932"/>
      <c r="S12932"/>
      <c r="T12932"/>
      <c r="U12932"/>
      <c r="X12932" s="60"/>
    </row>
    <row r="12933" spans="7:24" ht="15" customHeight="1">
      <c r="G12933"/>
      <c r="I12933"/>
      <c r="N12933"/>
      <c r="O12933" s="24"/>
      <c r="P12933"/>
      <c r="Q12933" s="24"/>
      <c r="R12933"/>
      <c r="S12933"/>
      <c r="T12933"/>
      <c r="U12933"/>
      <c r="X12933" s="60"/>
    </row>
    <row r="12934" spans="7:24" ht="15" customHeight="1">
      <c r="G12934"/>
      <c r="I12934"/>
      <c r="N12934"/>
      <c r="O12934" s="24"/>
      <c r="P12934"/>
      <c r="Q12934" s="24"/>
      <c r="R12934"/>
      <c r="S12934"/>
      <c r="T12934"/>
      <c r="U12934"/>
      <c r="X12934" s="60"/>
    </row>
    <row r="12935" spans="7:24" ht="15" customHeight="1">
      <c r="G12935"/>
      <c r="I12935"/>
      <c r="N12935"/>
      <c r="O12935" s="24"/>
      <c r="P12935"/>
      <c r="Q12935" s="24"/>
      <c r="R12935"/>
      <c r="S12935"/>
      <c r="T12935"/>
      <c r="U12935"/>
      <c r="X12935" s="60"/>
    </row>
    <row r="12936" spans="7:24" ht="15" customHeight="1">
      <c r="G12936"/>
      <c r="I12936"/>
      <c r="N12936"/>
      <c r="O12936" s="24"/>
      <c r="P12936"/>
      <c r="Q12936" s="24"/>
      <c r="R12936"/>
      <c r="S12936"/>
      <c r="T12936"/>
      <c r="U12936"/>
      <c r="X12936" s="60"/>
    </row>
    <row r="12937" spans="7:24" ht="15" customHeight="1">
      <c r="G12937"/>
      <c r="I12937"/>
      <c r="N12937"/>
      <c r="O12937" s="24"/>
      <c r="P12937"/>
      <c r="Q12937" s="24"/>
      <c r="R12937"/>
      <c r="S12937"/>
      <c r="T12937"/>
      <c r="U12937"/>
      <c r="X12937" s="60"/>
    </row>
    <row r="12938" spans="7:24" ht="15" customHeight="1">
      <c r="G12938"/>
      <c r="I12938"/>
      <c r="N12938"/>
      <c r="O12938" s="24"/>
      <c r="P12938"/>
      <c r="Q12938" s="24"/>
      <c r="R12938"/>
      <c r="S12938"/>
      <c r="T12938"/>
      <c r="U12938"/>
      <c r="X12938" s="60"/>
    </row>
    <row r="12939" spans="7:24" ht="15" customHeight="1">
      <c r="G12939"/>
      <c r="I12939"/>
      <c r="N12939"/>
      <c r="O12939" s="24"/>
      <c r="P12939"/>
      <c r="Q12939" s="24"/>
      <c r="R12939"/>
      <c r="S12939"/>
      <c r="T12939"/>
      <c r="U12939"/>
      <c r="X12939" s="60"/>
    </row>
    <row r="12940" spans="7:24" ht="15" customHeight="1">
      <c r="G12940"/>
      <c r="I12940"/>
      <c r="N12940"/>
      <c r="O12940" s="24"/>
      <c r="P12940"/>
      <c r="Q12940" s="24"/>
      <c r="R12940"/>
      <c r="S12940"/>
      <c r="T12940"/>
      <c r="U12940"/>
      <c r="X12940" s="60"/>
    </row>
    <row r="12941" spans="7:24" ht="15" customHeight="1">
      <c r="G12941"/>
      <c r="I12941"/>
      <c r="N12941"/>
      <c r="O12941" s="24"/>
      <c r="P12941"/>
      <c r="Q12941" s="24"/>
      <c r="R12941"/>
      <c r="S12941"/>
      <c r="T12941"/>
      <c r="U12941"/>
      <c r="X12941" s="60"/>
    </row>
    <row r="12942" spans="7:24" ht="15" customHeight="1">
      <c r="G12942"/>
      <c r="I12942"/>
      <c r="N12942"/>
      <c r="O12942" s="24"/>
      <c r="P12942"/>
      <c r="Q12942" s="24"/>
      <c r="R12942"/>
      <c r="S12942"/>
      <c r="T12942"/>
      <c r="U12942"/>
      <c r="X12942" s="60"/>
    </row>
    <row r="12943" spans="7:24" ht="15" customHeight="1">
      <c r="G12943"/>
      <c r="I12943"/>
      <c r="N12943"/>
      <c r="O12943" s="24"/>
      <c r="P12943"/>
      <c r="Q12943" s="24"/>
      <c r="R12943"/>
      <c r="S12943"/>
      <c r="T12943"/>
      <c r="U12943"/>
      <c r="X12943" s="60"/>
    </row>
    <row r="12944" spans="7:24" ht="15" customHeight="1">
      <c r="G12944"/>
      <c r="I12944"/>
      <c r="N12944"/>
      <c r="O12944" s="24"/>
      <c r="P12944"/>
      <c r="Q12944" s="24"/>
      <c r="R12944"/>
      <c r="S12944"/>
      <c r="T12944"/>
      <c r="U12944"/>
      <c r="X12944" s="60"/>
    </row>
    <row r="12945" spans="7:24" ht="15" customHeight="1">
      <c r="G12945"/>
      <c r="I12945"/>
      <c r="N12945"/>
      <c r="O12945" s="24"/>
      <c r="P12945"/>
      <c r="Q12945" s="24"/>
      <c r="R12945"/>
      <c r="S12945"/>
      <c r="T12945"/>
      <c r="U12945"/>
      <c r="X12945" s="60"/>
    </row>
    <row r="12946" spans="7:24" ht="15" customHeight="1">
      <c r="G12946"/>
      <c r="I12946"/>
      <c r="N12946"/>
      <c r="O12946" s="24"/>
      <c r="P12946"/>
      <c r="Q12946" s="24"/>
      <c r="R12946"/>
      <c r="S12946"/>
      <c r="T12946"/>
      <c r="U12946"/>
      <c r="X12946" s="60"/>
    </row>
    <row r="12947" spans="7:24" ht="15" customHeight="1">
      <c r="G12947"/>
      <c r="I12947"/>
      <c r="N12947"/>
      <c r="O12947" s="24"/>
      <c r="P12947"/>
      <c r="Q12947" s="24"/>
      <c r="R12947"/>
      <c r="S12947"/>
      <c r="T12947"/>
      <c r="U12947"/>
      <c r="X12947" s="60"/>
    </row>
    <row r="12948" spans="7:24" ht="15" customHeight="1">
      <c r="G12948"/>
      <c r="I12948"/>
      <c r="N12948"/>
      <c r="O12948" s="24"/>
      <c r="P12948"/>
      <c r="Q12948" s="24"/>
      <c r="R12948"/>
      <c r="S12948"/>
      <c r="T12948"/>
      <c r="U12948"/>
      <c r="X12948" s="60"/>
    </row>
    <row r="12949" spans="7:24" ht="15" customHeight="1">
      <c r="G12949"/>
      <c r="I12949"/>
      <c r="N12949"/>
      <c r="O12949" s="24"/>
      <c r="P12949"/>
      <c r="Q12949" s="24"/>
      <c r="R12949"/>
      <c r="S12949"/>
      <c r="T12949"/>
      <c r="U12949"/>
      <c r="X12949" s="60"/>
    </row>
    <row r="12950" spans="7:24" ht="15" customHeight="1">
      <c r="G12950"/>
      <c r="I12950"/>
      <c r="N12950"/>
      <c r="O12950" s="24"/>
      <c r="P12950"/>
      <c r="Q12950" s="24"/>
      <c r="R12950"/>
      <c r="S12950"/>
      <c r="T12950"/>
      <c r="U12950"/>
      <c r="X12950" s="60"/>
    </row>
    <row r="12951" spans="7:24" ht="15" customHeight="1">
      <c r="G12951"/>
      <c r="I12951"/>
      <c r="N12951"/>
      <c r="O12951" s="24"/>
      <c r="P12951"/>
      <c r="Q12951" s="24"/>
      <c r="R12951"/>
      <c r="S12951"/>
      <c r="T12951"/>
      <c r="U12951"/>
      <c r="X12951" s="60"/>
    </row>
    <row r="12952" spans="7:24" ht="15" customHeight="1">
      <c r="G12952"/>
      <c r="I12952"/>
      <c r="N12952"/>
      <c r="O12952" s="24"/>
      <c r="P12952"/>
      <c r="Q12952" s="24"/>
      <c r="R12952"/>
      <c r="S12952"/>
      <c r="T12952"/>
      <c r="U12952"/>
      <c r="X12952" s="60"/>
    </row>
    <row r="12953" spans="7:24" ht="15" customHeight="1">
      <c r="G12953"/>
      <c r="I12953"/>
      <c r="N12953"/>
      <c r="O12953" s="24"/>
      <c r="P12953"/>
      <c r="Q12953" s="24"/>
      <c r="R12953"/>
      <c r="S12953"/>
      <c r="T12953"/>
      <c r="U12953"/>
      <c r="X12953" s="60"/>
    </row>
    <row r="12954" spans="7:24" ht="15" customHeight="1">
      <c r="G12954"/>
      <c r="I12954"/>
      <c r="N12954"/>
      <c r="O12954" s="24"/>
      <c r="P12954"/>
      <c r="Q12954" s="24"/>
      <c r="R12954"/>
      <c r="S12954"/>
      <c r="T12954"/>
      <c r="U12954"/>
      <c r="X12954" s="60"/>
    </row>
    <row r="12955" spans="7:24" ht="15" customHeight="1">
      <c r="G12955"/>
      <c r="I12955"/>
      <c r="N12955"/>
      <c r="O12955" s="24"/>
      <c r="P12955"/>
      <c r="Q12955" s="24"/>
      <c r="R12955"/>
      <c r="S12955"/>
      <c r="T12955"/>
      <c r="U12955"/>
      <c r="X12955" s="60"/>
    </row>
    <row r="12956" spans="7:24" ht="15" customHeight="1">
      <c r="G12956"/>
      <c r="I12956"/>
      <c r="N12956"/>
      <c r="O12956" s="24"/>
      <c r="P12956"/>
      <c r="Q12956" s="24"/>
      <c r="R12956"/>
      <c r="S12956"/>
      <c r="T12956"/>
      <c r="U12956"/>
      <c r="X12956" s="60"/>
    </row>
    <row r="12957" spans="7:24" ht="15" customHeight="1">
      <c r="G12957"/>
      <c r="I12957"/>
      <c r="N12957"/>
      <c r="O12957" s="24"/>
      <c r="P12957"/>
      <c r="Q12957" s="24"/>
      <c r="R12957"/>
      <c r="S12957"/>
      <c r="T12957"/>
      <c r="U12957"/>
      <c r="X12957" s="60"/>
    </row>
    <row r="12958" spans="7:24" ht="15" customHeight="1">
      <c r="G12958"/>
      <c r="I12958"/>
      <c r="N12958"/>
      <c r="O12958" s="24"/>
      <c r="P12958"/>
      <c r="Q12958" s="24"/>
      <c r="R12958"/>
      <c r="S12958"/>
      <c r="T12958"/>
      <c r="U12958"/>
      <c r="X12958" s="60"/>
    </row>
    <row r="12959" spans="7:24" ht="15" customHeight="1">
      <c r="G12959"/>
      <c r="I12959"/>
      <c r="N12959"/>
      <c r="O12959" s="24"/>
      <c r="P12959"/>
      <c r="Q12959" s="24"/>
      <c r="R12959"/>
      <c r="S12959"/>
      <c r="T12959"/>
      <c r="U12959"/>
      <c r="X12959" s="60"/>
    </row>
    <row r="12960" spans="7:24" ht="15" customHeight="1">
      <c r="G12960"/>
      <c r="I12960"/>
      <c r="N12960"/>
      <c r="O12960" s="24"/>
      <c r="P12960"/>
      <c r="Q12960" s="24"/>
      <c r="R12960"/>
      <c r="S12960"/>
      <c r="T12960"/>
      <c r="U12960"/>
      <c r="X12960" s="60"/>
    </row>
    <row r="12961" spans="7:24" ht="15" customHeight="1">
      <c r="G12961"/>
      <c r="I12961"/>
      <c r="N12961"/>
      <c r="O12961" s="24"/>
      <c r="P12961"/>
      <c r="Q12961" s="24"/>
      <c r="R12961"/>
      <c r="S12961"/>
      <c r="T12961"/>
      <c r="U12961"/>
      <c r="X12961" s="60"/>
    </row>
    <row r="12962" spans="7:24" ht="15" customHeight="1">
      <c r="G12962"/>
      <c r="I12962"/>
      <c r="N12962"/>
      <c r="O12962" s="24"/>
      <c r="P12962"/>
      <c r="Q12962" s="24"/>
      <c r="R12962"/>
      <c r="S12962"/>
      <c r="T12962"/>
      <c r="U12962"/>
      <c r="X12962" s="60"/>
    </row>
    <row r="12963" spans="7:24" ht="15" customHeight="1">
      <c r="G12963"/>
      <c r="I12963"/>
      <c r="N12963"/>
      <c r="O12963" s="24"/>
      <c r="P12963"/>
      <c r="Q12963" s="24"/>
      <c r="R12963"/>
      <c r="S12963"/>
      <c r="T12963"/>
      <c r="U12963"/>
      <c r="X12963" s="60"/>
    </row>
    <row r="12964" spans="7:24" ht="15" customHeight="1">
      <c r="G12964"/>
      <c r="I12964"/>
      <c r="N12964"/>
      <c r="O12964" s="24"/>
      <c r="P12964"/>
      <c r="Q12964" s="24"/>
      <c r="R12964"/>
      <c r="S12964"/>
      <c r="T12964"/>
      <c r="U12964"/>
      <c r="X12964" s="60"/>
    </row>
    <row r="12965" spans="7:24" ht="15" customHeight="1">
      <c r="G12965"/>
      <c r="I12965"/>
      <c r="N12965"/>
      <c r="O12965" s="24"/>
      <c r="P12965"/>
      <c r="Q12965" s="24"/>
      <c r="R12965"/>
      <c r="S12965"/>
      <c r="T12965"/>
      <c r="U12965"/>
      <c r="X12965" s="60"/>
    </row>
    <row r="12966" spans="7:24" ht="15" customHeight="1">
      <c r="G12966"/>
      <c r="I12966"/>
      <c r="N12966"/>
      <c r="O12966" s="24"/>
      <c r="P12966"/>
      <c r="Q12966" s="24"/>
      <c r="R12966"/>
      <c r="S12966"/>
      <c r="T12966"/>
      <c r="U12966"/>
      <c r="X12966" s="60"/>
    </row>
    <row r="12967" spans="7:24" ht="15" customHeight="1">
      <c r="G12967"/>
      <c r="I12967"/>
      <c r="N12967"/>
      <c r="O12967" s="24"/>
      <c r="P12967"/>
      <c r="Q12967" s="24"/>
      <c r="R12967"/>
      <c r="S12967"/>
      <c r="T12967"/>
      <c r="U12967"/>
      <c r="X12967" s="60"/>
    </row>
    <row r="12968" spans="7:24" ht="15" customHeight="1">
      <c r="G12968"/>
      <c r="I12968"/>
      <c r="N12968"/>
      <c r="O12968" s="24"/>
      <c r="P12968"/>
      <c r="Q12968" s="24"/>
      <c r="R12968"/>
      <c r="S12968"/>
      <c r="T12968"/>
      <c r="U12968"/>
      <c r="X12968" s="60"/>
    </row>
    <row r="12969" spans="7:24" ht="15" customHeight="1">
      <c r="G12969"/>
      <c r="I12969"/>
      <c r="N12969"/>
      <c r="O12969" s="24"/>
      <c r="P12969"/>
      <c r="Q12969" s="24"/>
      <c r="R12969"/>
      <c r="S12969"/>
      <c r="T12969"/>
      <c r="U12969"/>
      <c r="X12969" s="60"/>
    </row>
    <row r="12970" spans="7:24" ht="15" customHeight="1">
      <c r="G12970"/>
      <c r="I12970"/>
      <c r="N12970"/>
      <c r="O12970" s="24"/>
      <c r="P12970"/>
      <c r="Q12970" s="24"/>
      <c r="R12970"/>
      <c r="S12970"/>
      <c r="T12970"/>
      <c r="U12970"/>
      <c r="X12970" s="60"/>
    </row>
    <row r="12971" spans="7:24" ht="15" customHeight="1">
      <c r="G12971"/>
      <c r="I12971"/>
      <c r="N12971"/>
      <c r="O12971" s="24"/>
      <c r="P12971"/>
      <c r="Q12971" s="24"/>
      <c r="R12971"/>
      <c r="S12971"/>
      <c r="T12971"/>
      <c r="U12971"/>
      <c r="X12971" s="60"/>
    </row>
    <row r="12972" spans="7:24" ht="15" customHeight="1">
      <c r="G12972"/>
      <c r="I12972"/>
      <c r="N12972"/>
      <c r="O12972" s="24"/>
      <c r="P12972"/>
      <c r="Q12972" s="24"/>
      <c r="R12972"/>
      <c r="S12972"/>
      <c r="T12972"/>
      <c r="U12972"/>
      <c r="X12972" s="60"/>
    </row>
    <row r="12973" spans="7:24" ht="15" customHeight="1">
      <c r="G12973"/>
      <c r="I12973"/>
      <c r="N12973"/>
      <c r="O12973" s="24"/>
      <c r="P12973"/>
      <c r="Q12973" s="24"/>
      <c r="R12973"/>
      <c r="S12973"/>
      <c r="T12973"/>
      <c r="U12973"/>
      <c r="X12973" s="60"/>
    </row>
    <row r="12974" spans="7:24" ht="15" customHeight="1">
      <c r="G12974"/>
      <c r="I12974"/>
      <c r="N12974"/>
      <c r="O12974" s="24"/>
      <c r="P12974"/>
      <c r="Q12974" s="24"/>
      <c r="R12974"/>
      <c r="S12974"/>
      <c r="T12974"/>
      <c r="U12974"/>
      <c r="X12974" s="60"/>
    </row>
    <row r="12975" spans="7:24" ht="15" customHeight="1">
      <c r="G12975"/>
      <c r="I12975"/>
      <c r="N12975"/>
      <c r="O12975" s="24"/>
      <c r="P12975"/>
      <c r="Q12975" s="24"/>
      <c r="R12975"/>
      <c r="S12975"/>
      <c r="T12975"/>
      <c r="U12975"/>
      <c r="X12975" s="60"/>
    </row>
    <row r="12976" spans="7:24" ht="15" customHeight="1">
      <c r="G12976"/>
      <c r="I12976"/>
      <c r="N12976"/>
      <c r="O12976" s="24"/>
      <c r="P12976"/>
      <c r="Q12976" s="24"/>
      <c r="R12976"/>
      <c r="S12976"/>
      <c r="T12976"/>
      <c r="U12976"/>
      <c r="X12976" s="60"/>
    </row>
    <row r="12977" spans="7:24" ht="15" customHeight="1">
      <c r="G12977"/>
      <c r="I12977"/>
      <c r="N12977"/>
      <c r="O12977" s="24"/>
      <c r="P12977"/>
      <c r="Q12977" s="24"/>
      <c r="R12977"/>
      <c r="S12977"/>
      <c r="T12977"/>
      <c r="U12977"/>
      <c r="X12977" s="60"/>
    </row>
    <row r="12978" spans="7:24" ht="15" customHeight="1">
      <c r="G12978"/>
      <c r="I12978"/>
      <c r="N12978"/>
      <c r="O12978" s="24"/>
      <c r="P12978"/>
      <c r="Q12978" s="24"/>
      <c r="R12978"/>
      <c r="S12978"/>
      <c r="T12978"/>
      <c r="U12978"/>
      <c r="X12978" s="60"/>
    </row>
    <row r="12979" spans="7:24" ht="15" customHeight="1">
      <c r="G12979"/>
      <c r="I12979"/>
      <c r="N12979"/>
      <c r="O12979" s="24"/>
      <c r="P12979"/>
      <c r="Q12979" s="24"/>
      <c r="R12979"/>
      <c r="S12979"/>
      <c r="T12979"/>
      <c r="U12979"/>
      <c r="X12979" s="60"/>
    </row>
    <row r="12980" spans="7:24" ht="15" customHeight="1">
      <c r="G12980"/>
      <c r="I12980"/>
      <c r="N12980"/>
      <c r="O12980" s="24"/>
      <c r="P12980"/>
      <c r="Q12980" s="24"/>
      <c r="R12980"/>
      <c r="S12980"/>
      <c r="T12980"/>
      <c r="U12980"/>
      <c r="X12980" s="60"/>
    </row>
    <row r="12981" spans="7:24" ht="15" customHeight="1">
      <c r="G12981"/>
      <c r="I12981"/>
      <c r="N12981"/>
      <c r="O12981" s="24"/>
      <c r="P12981"/>
      <c r="Q12981" s="24"/>
      <c r="R12981"/>
      <c r="S12981"/>
      <c r="T12981"/>
      <c r="U12981"/>
      <c r="X12981" s="60"/>
    </row>
    <row r="12982" spans="7:24" ht="15" customHeight="1">
      <c r="G12982"/>
      <c r="I12982"/>
      <c r="N12982"/>
      <c r="O12982" s="24"/>
      <c r="P12982"/>
      <c r="Q12982" s="24"/>
      <c r="R12982"/>
      <c r="S12982"/>
      <c r="T12982"/>
      <c r="U12982"/>
      <c r="X12982" s="60"/>
    </row>
    <row r="12983" spans="7:24" ht="15" customHeight="1">
      <c r="G12983"/>
      <c r="I12983"/>
      <c r="N12983"/>
      <c r="O12983" s="24"/>
      <c r="P12983"/>
      <c r="Q12983" s="24"/>
      <c r="R12983"/>
      <c r="S12983"/>
      <c r="T12983"/>
      <c r="U12983"/>
      <c r="X12983" s="60"/>
    </row>
    <row r="12984" spans="7:24" ht="15" customHeight="1">
      <c r="G12984"/>
      <c r="I12984"/>
      <c r="N12984"/>
      <c r="O12984" s="24"/>
      <c r="P12984"/>
      <c r="Q12984" s="24"/>
      <c r="R12984"/>
      <c r="S12984"/>
      <c r="T12984"/>
      <c r="U12984"/>
      <c r="X12984" s="60"/>
    </row>
    <row r="12985" spans="7:24" ht="15" customHeight="1">
      <c r="G12985"/>
      <c r="I12985"/>
      <c r="N12985"/>
      <c r="O12985" s="24"/>
      <c r="P12985"/>
      <c r="Q12985" s="24"/>
      <c r="R12985"/>
      <c r="S12985"/>
      <c r="T12985"/>
      <c r="U12985"/>
      <c r="X12985" s="60"/>
    </row>
    <row r="12986" spans="7:24" ht="15" customHeight="1">
      <c r="G12986"/>
      <c r="I12986"/>
      <c r="N12986"/>
      <c r="O12986" s="24"/>
      <c r="P12986"/>
      <c r="Q12986" s="24"/>
      <c r="R12986"/>
      <c r="S12986"/>
      <c r="T12986"/>
      <c r="U12986"/>
      <c r="X12986" s="60"/>
    </row>
    <row r="12987" spans="7:24" ht="15" customHeight="1">
      <c r="G12987"/>
      <c r="I12987"/>
      <c r="N12987"/>
      <c r="O12987" s="24"/>
      <c r="P12987"/>
      <c r="Q12987" s="24"/>
      <c r="R12987"/>
      <c r="S12987"/>
      <c r="T12987"/>
      <c r="U12987"/>
      <c r="X12987" s="60"/>
    </row>
    <row r="12988" spans="7:24" ht="15" customHeight="1">
      <c r="G12988"/>
      <c r="I12988"/>
      <c r="N12988"/>
      <c r="O12988" s="24"/>
      <c r="P12988"/>
      <c r="Q12988" s="24"/>
      <c r="R12988"/>
      <c r="S12988"/>
      <c r="T12988"/>
      <c r="U12988"/>
      <c r="X12988" s="60"/>
    </row>
    <row r="12989" spans="7:24" ht="15" customHeight="1">
      <c r="G12989"/>
      <c r="I12989"/>
      <c r="N12989"/>
      <c r="O12989" s="24"/>
      <c r="P12989"/>
      <c r="Q12989" s="24"/>
      <c r="R12989"/>
      <c r="S12989"/>
      <c r="T12989"/>
      <c r="U12989"/>
      <c r="X12989" s="60"/>
    </row>
    <row r="12990" spans="7:24" ht="15" customHeight="1">
      <c r="G12990"/>
      <c r="I12990"/>
      <c r="N12990"/>
      <c r="O12990" s="24"/>
      <c r="P12990"/>
      <c r="Q12990" s="24"/>
      <c r="R12990"/>
      <c r="S12990"/>
      <c r="T12990"/>
      <c r="U12990"/>
      <c r="X12990" s="60"/>
    </row>
    <row r="12991" spans="7:24" ht="15" customHeight="1">
      <c r="G12991"/>
      <c r="I12991"/>
      <c r="N12991"/>
      <c r="O12991" s="24"/>
      <c r="P12991"/>
      <c r="Q12991" s="24"/>
      <c r="R12991"/>
      <c r="S12991"/>
      <c r="T12991"/>
      <c r="U12991"/>
      <c r="X12991" s="60"/>
    </row>
    <row r="12992" spans="7:24" ht="15" customHeight="1">
      <c r="G12992"/>
      <c r="I12992"/>
      <c r="N12992"/>
      <c r="O12992" s="24"/>
      <c r="P12992"/>
      <c r="Q12992" s="24"/>
      <c r="R12992"/>
      <c r="S12992"/>
      <c r="T12992"/>
      <c r="U12992"/>
      <c r="X12992" s="60"/>
    </row>
    <row r="12993" spans="7:24" ht="15" customHeight="1">
      <c r="G12993"/>
      <c r="I12993"/>
      <c r="N12993"/>
      <c r="O12993" s="24"/>
      <c r="P12993"/>
      <c r="Q12993" s="24"/>
      <c r="R12993"/>
      <c r="S12993"/>
      <c r="T12993"/>
      <c r="U12993"/>
      <c r="X12993" s="60"/>
    </row>
    <row r="12994" spans="7:24" ht="15" customHeight="1">
      <c r="G12994"/>
      <c r="I12994"/>
      <c r="N12994"/>
      <c r="O12994" s="24"/>
      <c r="P12994"/>
      <c r="Q12994" s="24"/>
      <c r="R12994"/>
      <c r="S12994"/>
      <c r="T12994"/>
      <c r="U12994"/>
      <c r="X12994" s="60"/>
    </row>
    <row r="12995" spans="7:24" ht="15" customHeight="1">
      <c r="G12995"/>
      <c r="I12995"/>
      <c r="N12995"/>
      <c r="O12995" s="24"/>
      <c r="P12995"/>
      <c r="Q12995" s="24"/>
      <c r="R12995"/>
      <c r="S12995"/>
      <c r="T12995"/>
      <c r="U12995"/>
      <c r="X12995" s="60"/>
    </row>
    <row r="12996" spans="7:24" ht="15" customHeight="1">
      <c r="G12996"/>
      <c r="I12996"/>
      <c r="N12996"/>
      <c r="O12996" s="24"/>
      <c r="P12996"/>
      <c r="Q12996" s="24"/>
      <c r="R12996"/>
      <c r="S12996"/>
      <c r="T12996"/>
      <c r="U12996"/>
      <c r="X12996" s="60"/>
    </row>
    <row r="12997" spans="7:24" ht="15" customHeight="1">
      <c r="G12997"/>
      <c r="I12997"/>
      <c r="N12997"/>
      <c r="O12997" s="24"/>
      <c r="P12997"/>
      <c r="Q12997" s="24"/>
      <c r="R12997"/>
      <c r="S12997"/>
      <c r="T12997"/>
      <c r="U12997"/>
      <c r="X12997" s="60"/>
    </row>
    <row r="12998" spans="7:24" ht="15" customHeight="1">
      <c r="G12998"/>
      <c r="I12998"/>
      <c r="N12998"/>
      <c r="O12998" s="24"/>
      <c r="P12998"/>
      <c r="Q12998" s="24"/>
      <c r="R12998"/>
      <c r="S12998"/>
      <c r="T12998"/>
      <c r="U12998"/>
      <c r="X12998" s="60"/>
    </row>
    <row r="12999" spans="7:24" ht="15" customHeight="1">
      <c r="G12999"/>
      <c r="I12999"/>
      <c r="N12999"/>
      <c r="O12999" s="24"/>
      <c r="P12999"/>
      <c r="Q12999" s="24"/>
      <c r="R12999"/>
      <c r="S12999"/>
      <c r="T12999"/>
      <c r="U12999"/>
      <c r="X12999" s="60"/>
    </row>
    <row r="13000" spans="7:24" ht="15" customHeight="1">
      <c r="G13000"/>
      <c r="I13000"/>
      <c r="N13000"/>
      <c r="O13000" s="24"/>
      <c r="P13000"/>
      <c r="Q13000" s="24"/>
      <c r="R13000"/>
      <c r="S13000"/>
      <c r="T13000"/>
      <c r="U13000"/>
      <c r="X13000" s="60"/>
    </row>
    <row r="13001" spans="7:24" ht="15" customHeight="1">
      <c r="G13001"/>
      <c r="I13001"/>
      <c r="N13001"/>
      <c r="O13001" s="24"/>
      <c r="P13001"/>
      <c r="Q13001" s="24"/>
      <c r="R13001"/>
      <c r="S13001"/>
      <c r="T13001"/>
      <c r="U13001"/>
      <c r="X13001" s="60"/>
    </row>
    <row r="13002" spans="7:24" ht="15" customHeight="1">
      <c r="G13002"/>
      <c r="I13002"/>
      <c r="N13002"/>
      <c r="O13002" s="24"/>
      <c r="P13002"/>
      <c r="Q13002" s="24"/>
      <c r="R13002"/>
      <c r="S13002"/>
      <c r="T13002"/>
      <c r="U13002"/>
      <c r="X13002" s="60"/>
    </row>
    <row r="13003" spans="7:24" ht="15" customHeight="1">
      <c r="G13003"/>
      <c r="I13003"/>
      <c r="N13003"/>
      <c r="O13003" s="24"/>
      <c r="P13003"/>
      <c r="Q13003" s="24"/>
      <c r="R13003"/>
      <c r="S13003"/>
      <c r="T13003"/>
      <c r="U13003"/>
      <c r="X13003" s="60"/>
    </row>
    <row r="13004" spans="7:24" ht="15" customHeight="1">
      <c r="G13004"/>
      <c r="I13004"/>
      <c r="N13004"/>
      <c r="O13004" s="24"/>
      <c r="P13004"/>
      <c r="Q13004" s="24"/>
      <c r="R13004"/>
      <c r="S13004"/>
      <c r="T13004"/>
      <c r="U13004"/>
      <c r="X13004" s="60"/>
    </row>
    <row r="13005" spans="7:24" ht="15" customHeight="1">
      <c r="G13005"/>
      <c r="I13005"/>
      <c r="N13005"/>
      <c r="O13005" s="24"/>
      <c r="P13005"/>
      <c r="Q13005" s="24"/>
      <c r="R13005"/>
      <c r="S13005"/>
      <c r="T13005"/>
      <c r="U13005"/>
      <c r="X13005" s="60"/>
    </row>
    <row r="13006" spans="7:24" ht="15" customHeight="1">
      <c r="G13006"/>
      <c r="I13006"/>
      <c r="N13006"/>
      <c r="O13006" s="24"/>
      <c r="P13006"/>
      <c r="Q13006" s="24"/>
      <c r="R13006"/>
      <c r="S13006"/>
      <c r="T13006"/>
      <c r="U13006"/>
      <c r="X13006" s="60"/>
    </row>
    <row r="13007" spans="7:24" ht="15" customHeight="1">
      <c r="G13007"/>
      <c r="I13007"/>
      <c r="N13007"/>
      <c r="O13007" s="24"/>
      <c r="P13007"/>
      <c r="Q13007" s="24"/>
      <c r="R13007"/>
      <c r="S13007"/>
      <c r="T13007"/>
      <c r="U13007"/>
      <c r="X13007" s="60"/>
    </row>
    <row r="13008" spans="7:24" ht="15" customHeight="1">
      <c r="G13008"/>
      <c r="I13008"/>
      <c r="N13008"/>
      <c r="O13008" s="24"/>
      <c r="P13008"/>
      <c r="Q13008" s="24"/>
      <c r="R13008"/>
      <c r="S13008"/>
      <c r="T13008"/>
      <c r="U13008"/>
      <c r="X13008" s="60"/>
    </row>
    <row r="13009" spans="7:24" ht="15" customHeight="1">
      <c r="G13009"/>
      <c r="I13009"/>
      <c r="N13009"/>
      <c r="O13009" s="24"/>
      <c r="P13009"/>
      <c r="Q13009" s="24"/>
      <c r="R13009"/>
      <c r="S13009"/>
      <c r="T13009"/>
      <c r="U13009"/>
      <c r="X13009" s="60"/>
    </row>
    <row r="13010" spans="7:24" ht="15" customHeight="1">
      <c r="G13010"/>
      <c r="I13010"/>
      <c r="N13010"/>
      <c r="O13010" s="24"/>
      <c r="P13010"/>
      <c r="Q13010" s="24"/>
      <c r="R13010"/>
      <c r="S13010"/>
      <c r="T13010"/>
      <c r="U13010"/>
      <c r="X13010" s="60"/>
    </row>
    <row r="13011" spans="7:24" ht="15" customHeight="1">
      <c r="G13011"/>
      <c r="I13011"/>
      <c r="N13011"/>
      <c r="O13011" s="24"/>
      <c r="P13011"/>
      <c r="Q13011" s="24"/>
      <c r="R13011"/>
      <c r="S13011"/>
      <c r="T13011"/>
      <c r="U13011"/>
      <c r="X13011" s="60"/>
    </row>
    <row r="13012" spans="7:24" ht="15" customHeight="1">
      <c r="G13012"/>
      <c r="I13012"/>
      <c r="N13012"/>
      <c r="O13012" s="24"/>
      <c r="P13012"/>
      <c r="Q13012" s="24"/>
      <c r="R13012"/>
      <c r="S13012"/>
      <c r="T13012"/>
      <c r="U13012"/>
      <c r="X13012" s="60"/>
    </row>
    <row r="13013" spans="7:24" ht="15" customHeight="1">
      <c r="G13013"/>
      <c r="I13013"/>
      <c r="N13013"/>
      <c r="O13013" s="24"/>
      <c r="P13013"/>
      <c r="Q13013" s="24"/>
      <c r="R13013"/>
      <c r="S13013"/>
      <c r="T13013"/>
      <c r="U13013"/>
      <c r="X13013" s="60"/>
    </row>
    <row r="13014" spans="7:24" ht="15" customHeight="1">
      <c r="G13014"/>
      <c r="I13014"/>
      <c r="N13014"/>
      <c r="O13014" s="24"/>
      <c r="P13014"/>
      <c r="Q13014" s="24"/>
      <c r="R13014"/>
      <c r="S13014"/>
      <c r="T13014"/>
      <c r="U13014"/>
      <c r="X13014" s="60"/>
    </row>
    <row r="13015" spans="7:24" ht="15" customHeight="1">
      <c r="G13015"/>
      <c r="I13015"/>
      <c r="N13015"/>
      <c r="O13015" s="24"/>
      <c r="P13015"/>
      <c r="Q13015" s="24"/>
      <c r="R13015"/>
      <c r="S13015"/>
      <c r="T13015"/>
      <c r="U13015"/>
      <c r="X13015" s="60"/>
    </row>
    <row r="13016" spans="7:24" ht="15" customHeight="1">
      <c r="G13016"/>
      <c r="I13016"/>
      <c r="N13016"/>
      <c r="O13016" s="24"/>
      <c r="P13016"/>
      <c r="Q13016" s="24"/>
      <c r="R13016"/>
      <c r="S13016"/>
      <c r="T13016"/>
      <c r="U13016"/>
      <c r="X13016" s="60"/>
    </row>
    <row r="13017" spans="7:24" ht="15" customHeight="1">
      <c r="G13017"/>
      <c r="I13017"/>
      <c r="N13017"/>
      <c r="O13017" s="24"/>
      <c r="P13017"/>
      <c r="Q13017" s="24"/>
      <c r="R13017"/>
      <c r="S13017"/>
      <c r="T13017"/>
      <c r="U13017"/>
      <c r="X13017" s="60"/>
    </row>
    <row r="13018" spans="7:24" ht="15" customHeight="1">
      <c r="G13018"/>
      <c r="I13018"/>
      <c r="N13018"/>
      <c r="O13018" s="24"/>
      <c r="P13018"/>
      <c r="Q13018" s="24"/>
      <c r="R13018"/>
      <c r="S13018"/>
      <c r="T13018"/>
      <c r="U13018"/>
      <c r="X13018" s="60"/>
    </row>
    <row r="13019" spans="7:24" ht="15" customHeight="1">
      <c r="G13019"/>
      <c r="I13019"/>
      <c r="N13019"/>
      <c r="O13019" s="24"/>
      <c r="P13019"/>
      <c r="Q13019" s="24"/>
      <c r="R13019"/>
      <c r="S13019"/>
      <c r="T13019"/>
      <c r="U13019"/>
      <c r="X13019" s="60"/>
    </row>
    <row r="13020" spans="7:24" ht="15" customHeight="1">
      <c r="G13020"/>
      <c r="I13020"/>
      <c r="N13020"/>
      <c r="O13020" s="24"/>
      <c r="P13020"/>
      <c r="Q13020" s="24"/>
      <c r="R13020"/>
      <c r="S13020"/>
      <c r="T13020"/>
      <c r="U13020"/>
      <c r="X13020" s="60"/>
    </row>
    <row r="13021" spans="7:24" ht="15" customHeight="1">
      <c r="G13021"/>
      <c r="I13021"/>
      <c r="N13021"/>
      <c r="O13021" s="24"/>
      <c r="P13021"/>
      <c r="Q13021" s="24"/>
      <c r="R13021"/>
      <c r="S13021"/>
      <c r="T13021"/>
      <c r="U13021"/>
      <c r="X13021" s="60"/>
    </row>
    <row r="13022" spans="7:24" ht="15" customHeight="1">
      <c r="G13022"/>
      <c r="I13022"/>
      <c r="N13022"/>
      <c r="O13022" s="24"/>
      <c r="P13022"/>
      <c r="Q13022" s="24"/>
      <c r="R13022"/>
      <c r="S13022"/>
      <c r="T13022"/>
      <c r="U13022"/>
      <c r="X13022" s="60"/>
    </row>
    <row r="13023" spans="7:24" ht="15" customHeight="1">
      <c r="G13023"/>
      <c r="I13023"/>
      <c r="N13023"/>
      <c r="O13023" s="24"/>
      <c r="P13023"/>
      <c r="Q13023" s="24"/>
      <c r="R13023"/>
      <c r="S13023"/>
      <c r="T13023"/>
      <c r="U13023"/>
      <c r="X13023" s="60"/>
    </row>
    <row r="13024" spans="7:24" ht="15" customHeight="1">
      <c r="G13024"/>
      <c r="I13024"/>
      <c r="N13024"/>
      <c r="O13024" s="24"/>
      <c r="P13024"/>
      <c r="Q13024" s="24"/>
      <c r="R13024"/>
      <c r="S13024"/>
      <c r="T13024"/>
      <c r="U13024"/>
      <c r="X13024" s="60"/>
    </row>
    <row r="13025" spans="7:24" ht="15" customHeight="1">
      <c r="G13025"/>
      <c r="I13025"/>
      <c r="N13025"/>
      <c r="O13025" s="24"/>
      <c r="P13025"/>
      <c r="Q13025" s="24"/>
      <c r="R13025"/>
      <c r="S13025"/>
      <c r="T13025"/>
      <c r="U13025"/>
      <c r="X13025" s="60"/>
    </row>
    <row r="13026" spans="7:24" ht="15" customHeight="1">
      <c r="G13026"/>
      <c r="I13026"/>
      <c r="N13026"/>
      <c r="O13026" s="24"/>
      <c r="P13026"/>
      <c r="Q13026" s="24"/>
      <c r="R13026"/>
      <c r="S13026"/>
      <c r="T13026"/>
      <c r="U13026"/>
      <c r="X13026" s="60"/>
    </row>
    <row r="13027" spans="7:24" ht="15" customHeight="1">
      <c r="G13027"/>
      <c r="I13027"/>
      <c r="N13027"/>
      <c r="O13027" s="24"/>
      <c r="P13027"/>
      <c r="Q13027" s="24"/>
      <c r="R13027"/>
      <c r="S13027"/>
      <c r="T13027"/>
      <c r="U13027"/>
      <c r="X13027" s="60"/>
    </row>
    <row r="13028" spans="7:24" ht="15" customHeight="1">
      <c r="G13028"/>
      <c r="I13028"/>
      <c r="N13028"/>
      <c r="O13028" s="24"/>
      <c r="P13028"/>
      <c r="Q13028" s="24"/>
      <c r="R13028"/>
      <c r="S13028"/>
      <c r="T13028"/>
      <c r="U13028"/>
      <c r="X13028" s="60"/>
    </row>
    <row r="13029" spans="7:24" ht="15" customHeight="1">
      <c r="G13029"/>
      <c r="I13029"/>
      <c r="N13029"/>
      <c r="O13029" s="24"/>
      <c r="P13029"/>
      <c r="Q13029" s="24"/>
      <c r="R13029"/>
      <c r="S13029"/>
      <c r="T13029"/>
      <c r="U13029"/>
      <c r="X13029" s="60"/>
    </row>
    <row r="13030" spans="7:24" ht="15" customHeight="1">
      <c r="G13030"/>
      <c r="I13030"/>
      <c r="N13030"/>
      <c r="O13030" s="24"/>
      <c r="P13030"/>
      <c r="Q13030" s="24"/>
      <c r="R13030"/>
      <c r="S13030"/>
      <c r="T13030"/>
      <c r="U13030"/>
      <c r="X13030" s="60"/>
    </row>
    <row r="13031" spans="7:24" ht="15" customHeight="1">
      <c r="G13031"/>
      <c r="I13031"/>
      <c r="N13031"/>
      <c r="O13031" s="24"/>
      <c r="P13031"/>
      <c r="Q13031" s="24"/>
      <c r="R13031"/>
      <c r="S13031"/>
      <c r="T13031"/>
      <c r="U13031"/>
      <c r="X13031" s="60"/>
    </row>
    <row r="13032" spans="7:24" ht="15" customHeight="1">
      <c r="G13032"/>
      <c r="I13032"/>
      <c r="N13032"/>
      <c r="O13032" s="24"/>
      <c r="P13032"/>
      <c r="Q13032" s="24"/>
      <c r="R13032"/>
      <c r="S13032"/>
      <c r="T13032"/>
      <c r="U13032"/>
      <c r="X13032" s="60"/>
    </row>
    <row r="13033" spans="7:24" ht="15" customHeight="1">
      <c r="G13033"/>
      <c r="I13033"/>
      <c r="N13033"/>
      <c r="O13033" s="24"/>
      <c r="P13033"/>
      <c r="Q13033" s="24"/>
      <c r="R13033"/>
      <c r="S13033"/>
      <c r="T13033"/>
      <c r="U13033"/>
      <c r="X13033" s="60"/>
    </row>
    <row r="13034" spans="7:24" ht="15" customHeight="1">
      <c r="G13034"/>
      <c r="I13034"/>
      <c r="N13034"/>
      <c r="O13034" s="24"/>
      <c r="P13034"/>
      <c r="Q13034" s="24"/>
      <c r="R13034"/>
      <c r="S13034"/>
      <c r="T13034"/>
      <c r="U13034"/>
      <c r="X13034" s="60"/>
    </row>
    <row r="13035" spans="7:24" ht="15" customHeight="1">
      <c r="G13035"/>
      <c r="I13035"/>
      <c r="N13035"/>
      <c r="O13035" s="24"/>
      <c r="P13035"/>
      <c r="Q13035" s="24"/>
      <c r="R13035"/>
      <c r="S13035"/>
      <c r="T13035"/>
      <c r="U13035"/>
      <c r="X13035" s="60"/>
    </row>
    <row r="13036" spans="7:24" ht="15" customHeight="1">
      <c r="G13036"/>
      <c r="I13036"/>
      <c r="N13036"/>
      <c r="O13036" s="24"/>
      <c r="P13036"/>
      <c r="Q13036" s="24"/>
      <c r="R13036"/>
      <c r="S13036"/>
      <c r="T13036"/>
      <c r="U13036"/>
      <c r="X13036" s="60"/>
    </row>
    <row r="13037" spans="7:24" ht="15" customHeight="1">
      <c r="G13037"/>
      <c r="I13037"/>
      <c r="N13037"/>
      <c r="O13037" s="24"/>
      <c r="P13037"/>
      <c r="Q13037" s="24"/>
      <c r="R13037"/>
      <c r="S13037"/>
      <c r="T13037"/>
      <c r="U13037"/>
      <c r="X13037" s="60"/>
    </row>
    <row r="13038" spans="7:24" ht="15" customHeight="1">
      <c r="G13038"/>
      <c r="I13038"/>
      <c r="N13038"/>
      <c r="O13038" s="24"/>
      <c r="P13038"/>
      <c r="Q13038" s="24"/>
      <c r="R13038"/>
      <c r="S13038"/>
      <c r="T13038"/>
      <c r="U13038"/>
      <c r="X13038" s="60"/>
    </row>
    <row r="13039" spans="7:24" ht="15" customHeight="1">
      <c r="G13039"/>
      <c r="I13039"/>
      <c r="N13039"/>
      <c r="O13039" s="24"/>
      <c r="P13039"/>
      <c r="Q13039" s="24"/>
      <c r="R13039"/>
      <c r="S13039"/>
      <c r="T13039"/>
      <c r="U13039"/>
      <c r="X13039" s="60"/>
    </row>
    <row r="13040" spans="7:24" ht="15" customHeight="1">
      <c r="G13040"/>
      <c r="I13040"/>
      <c r="N13040"/>
      <c r="O13040" s="24"/>
      <c r="P13040"/>
      <c r="Q13040" s="24"/>
      <c r="R13040"/>
      <c r="S13040"/>
      <c r="T13040"/>
      <c r="U13040"/>
      <c r="X13040" s="60"/>
    </row>
    <row r="13041" spans="7:24" ht="15" customHeight="1">
      <c r="G13041"/>
      <c r="I13041"/>
      <c r="N13041"/>
      <c r="O13041" s="24"/>
      <c r="P13041"/>
      <c r="Q13041" s="24"/>
      <c r="R13041"/>
      <c r="S13041"/>
      <c r="T13041"/>
      <c r="U13041"/>
      <c r="X13041" s="60"/>
    </row>
    <row r="13042" spans="7:24" ht="15" customHeight="1">
      <c r="G13042"/>
      <c r="I13042"/>
      <c r="N13042"/>
      <c r="O13042" s="24"/>
      <c r="P13042"/>
      <c r="Q13042" s="24"/>
      <c r="R13042"/>
      <c r="S13042"/>
      <c r="T13042"/>
      <c r="U13042"/>
      <c r="X13042" s="60"/>
    </row>
    <row r="13043" spans="7:24" ht="15" customHeight="1">
      <c r="G13043"/>
      <c r="I13043"/>
      <c r="N13043"/>
      <c r="O13043" s="24"/>
      <c r="P13043"/>
      <c r="Q13043" s="24"/>
      <c r="R13043"/>
      <c r="S13043"/>
      <c r="T13043"/>
      <c r="U13043"/>
      <c r="X13043" s="60"/>
    </row>
    <row r="13044" spans="7:24" ht="15" customHeight="1">
      <c r="G13044"/>
      <c r="I13044"/>
      <c r="N13044"/>
      <c r="O13044" s="24"/>
      <c r="P13044"/>
      <c r="Q13044" s="24"/>
      <c r="R13044"/>
      <c r="S13044"/>
      <c r="T13044"/>
      <c r="U13044"/>
      <c r="X13044" s="60"/>
    </row>
    <row r="13045" spans="7:24" ht="15" customHeight="1">
      <c r="G13045"/>
      <c r="I13045"/>
      <c r="N13045"/>
      <c r="O13045" s="24"/>
      <c r="P13045"/>
      <c r="Q13045" s="24"/>
      <c r="R13045"/>
      <c r="S13045"/>
      <c r="T13045"/>
      <c r="U13045"/>
      <c r="X13045" s="60"/>
    </row>
    <row r="13046" spans="7:24" ht="15" customHeight="1">
      <c r="G13046"/>
      <c r="I13046"/>
      <c r="N13046"/>
      <c r="O13046" s="24"/>
      <c r="P13046"/>
      <c r="Q13046" s="24"/>
      <c r="R13046"/>
      <c r="S13046"/>
      <c r="T13046"/>
      <c r="U13046"/>
      <c r="X13046" s="60"/>
    </row>
    <row r="13047" spans="7:24" ht="15" customHeight="1">
      <c r="G13047"/>
      <c r="I13047"/>
      <c r="N13047"/>
      <c r="O13047" s="24"/>
      <c r="P13047"/>
      <c r="Q13047" s="24"/>
      <c r="R13047"/>
      <c r="S13047"/>
      <c r="T13047"/>
      <c r="U13047"/>
      <c r="X13047" s="60"/>
    </row>
    <row r="13048" spans="7:24" ht="15" customHeight="1">
      <c r="G13048"/>
      <c r="I13048"/>
      <c r="N13048"/>
      <c r="O13048" s="24"/>
      <c r="P13048"/>
      <c r="Q13048" s="24"/>
      <c r="R13048"/>
      <c r="S13048"/>
      <c r="T13048"/>
      <c r="U13048"/>
      <c r="X13048" s="60"/>
    </row>
    <row r="13049" spans="7:24" ht="15" customHeight="1">
      <c r="G13049"/>
      <c r="I13049"/>
      <c r="N13049"/>
      <c r="O13049" s="24"/>
      <c r="P13049"/>
      <c r="Q13049" s="24"/>
      <c r="R13049"/>
      <c r="S13049"/>
      <c r="T13049"/>
      <c r="U13049"/>
      <c r="X13049" s="60"/>
    </row>
    <row r="13050" spans="7:24" ht="15" customHeight="1">
      <c r="G13050"/>
      <c r="I13050"/>
      <c r="N13050"/>
      <c r="O13050" s="24"/>
      <c r="P13050"/>
      <c r="Q13050" s="24"/>
      <c r="R13050"/>
      <c r="S13050"/>
      <c r="T13050"/>
      <c r="U13050"/>
      <c r="X13050" s="60"/>
    </row>
    <row r="13051" spans="7:24" ht="15" customHeight="1">
      <c r="G13051"/>
      <c r="I13051"/>
      <c r="N13051"/>
      <c r="O13051" s="24"/>
      <c r="P13051"/>
      <c r="Q13051" s="24"/>
      <c r="R13051"/>
      <c r="S13051"/>
      <c r="T13051"/>
      <c r="U13051"/>
      <c r="X13051" s="60"/>
    </row>
    <row r="13052" spans="7:24" ht="15" customHeight="1">
      <c r="G13052"/>
      <c r="I13052"/>
      <c r="N13052"/>
      <c r="O13052" s="24"/>
      <c r="P13052"/>
      <c r="Q13052" s="24"/>
      <c r="R13052"/>
      <c r="S13052"/>
      <c r="T13052"/>
      <c r="U13052"/>
      <c r="X13052" s="60"/>
    </row>
    <row r="13053" spans="7:24" ht="15" customHeight="1">
      <c r="G13053"/>
      <c r="I13053"/>
      <c r="N13053"/>
      <c r="O13053" s="24"/>
      <c r="P13053"/>
      <c r="Q13053" s="24"/>
      <c r="R13053"/>
      <c r="S13053"/>
      <c r="T13053"/>
      <c r="U13053"/>
      <c r="X13053" s="60"/>
    </row>
    <row r="13054" spans="7:24" ht="15" customHeight="1">
      <c r="G13054"/>
      <c r="I13054"/>
      <c r="N13054"/>
      <c r="O13054" s="24"/>
      <c r="P13054"/>
      <c r="Q13054" s="24"/>
      <c r="R13054"/>
      <c r="S13054"/>
      <c r="T13054"/>
      <c r="U13054"/>
      <c r="X13054" s="60"/>
    </row>
    <row r="13055" spans="7:24" ht="15" customHeight="1">
      <c r="G13055"/>
      <c r="I13055"/>
      <c r="N13055"/>
      <c r="O13055" s="24"/>
      <c r="P13055"/>
      <c r="Q13055" s="24"/>
      <c r="R13055"/>
      <c r="S13055"/>
      <c r="T13055"/>
      <c r="U13055"/>
      <c r="X13055" s="60"/>
    </row>
    <row r="13056" spans="7:24" ht="15" customHeight="1">
      <c r="G13056"/>
      <c r="I13056"/>
      <c r="N13056"/>
      <c r="O13056" s="24"/>
      <c r="P13056"/>
      <c r="Q13056" s="24"/>
      <c r="R13056"/>
      <c r="S13056"/>
      <c r="T13056"/>
      <c r="U13056"/>
      <c r="X13056" s="60"/>
    </row>
    <row r="13057" spans="7:24" ht="15" customHeight="1">
      <c r="G13057"/>
      <c r="I13057"/>
      <c r="N13057"/>
      <c r="O13057" s="24"/>
      <c r="P13057"/>
      <c r="Q13057" s="24"/>
      <c r="R13057"/>
      <c r="S13057"/>
      <c r="T13057"/>
      <c r="U13057"/>
      <c r="X13057" s="60"/>
    </row>
    <row r="13058" spans="7:24" ht="15" customHeight="1">
      <c r="G13058"/>
      <c r="I13058"/>
      <c r="N13058"/>
      <c r="O13058" s="24"/>
      <c r="P13058"/>
      <c r="Q13058" s="24"/>
      <c r="R13058"/>
      <c r="S13058"/>
      <c r="T13058"/>
      <c r="U13058"/>
      <c r="X13058" s="60"/>
    </row>
    <row r="13059" spans="7:24" ht="15" customHeight="1">
      <c r="G13059"/>
      <c r="I13059"/>
      <c r="N13059"/>
      <c r="O13059" s="24"/>
      <c r="P13059"/>
      <c r="Q13059" s="24"/>
      <c r="R13059"/>
      <c r="S13059"/>
      <c r="T13059"/>
      <c r="U13059"/>
      <c r="X13059" s="60"/>
    </row>
    <row r="13060" spans="7:24" ht="15" customHeight="1">
      <c r="G13060"/>
      <c r="I13060"/>
      <c r="N13060"/>
      <c r="O13060" s="24"/>
      <c r="P13060"/>
      <c r="Q13060" s="24"/>
      <c r="R13060"/>
      <c r="S13060"/>
      <c r="T13060"/>
      <c r="U13060"/>
      <c r="X13060" s="60"/>
    </row>
    <row r="13061" spans="7:24" ht="15" customHeight="1">
      <c r="G13061"/>
      <c r="I13061"/>
      <c r="N13061"/>
      <c r="O13061" s="24"/>
      <c r="P13061"/>
      <c r="Q13061" s="24"/>
      <c r="R13061"/>
      <c r="S13061"/>
      <c r="T13061"/>
      <c r="U13061"/>
      <c r="X13061" s="60"/>
    </row>
    <row r="13062" spans="7:24" ht="15" customHeight="1">
      <c r="G13062"/>
      <c r="I13062"/>
      <c r="N13062"/>
      <c r="O13062" s="24"/>
      <c r="P13062"/>
      <c r="Q13062" s="24"/>
      <c r="R13062"/>
      <c r="S13062"/>
      <c r="T13062"/>
      <c r="U13062"/>
      <c r="X13062" s="60"/>
    </row>
    <row r="13063" spans="7:24" ht="15" customHeight="1">
      <c r="G13063"/>
      <c r="I13063"/>
      <c r="N13063"/>
      <c r="O13063" s="24"/>
      <c r="P13063"/>
      <c r="Q13063" s="24"/>
      <c r="R13063"/>
      <c r="S13063"/>
      <c r="T13063"/>
      <c r="U13063"/>
      <c r="X13063" s="60"/>
    </row>
    <row r="13064" spans="7:24" ht="15" customHeight="1">
      <c r="G13064"/>
      <c r="I13064"/>
      <c r="N13064"/>
      <c r="O13064" s="24"/>
      <c r="P13064"/>
      <c r="Q13064" s="24"/>
      <c r="R13064"/>
      <c r="S13064"/>
      <c r="T13064"/>
      <c r="U13064"/>
      <c r="X13064" s="60"/>
    </row>
    <row r="13065" spans="7:24" ht="15" customHeight="1">
      <c r="G13065"/>
      <c r="I13065"/>
      <c r="N13065"/>
      <c r="O13065" s="24"/>
      <c r="P13065"/>
      <c r="Q13065" s="24"/>
      <c r="R13065"/>
      <c r="S13065"/>
      <c r="T13065"/>
      <c r="U13065"/>
      <c r="X13065" s="60"/>
    </row>
    <row r="13066" spans="7:24" ht="15" customHeight="1">
      <c r="G13066"/>
      <c r="I13066"/>
      <c r="N13066"/>
      <c r="O13066" s="24"/>
      <c r="P13066"/>
      <c r="Q13066" s="24"/>
      <c r="R13066"/>
      <c r="S13066"/>
      <c r="T13066"/>
      <c r="U13066"/>
      <c r="X13066" s="60"/>
    </row>
    <row r="13067" spans="7:24" ht="15" customHeight="1">
      <c r="G13067"/>
      <c r="I13067"/>
      <c r="N13067"/>
      <c r="O13067" s="24"/>
      <c r="P13067"/>
      <c r="Q13067" s="24"/>
      <c r="R13067"/>
      <c r="S13067"/>
      <c r="T13067"/>
      <c r="U13067"/>
      <c r="X13067" s="60"/>
    </row>
    <row r="13068" spans="7:24" ht="15" customHeight="1">
      <c r="G13068"/>
      <c r="I13068"/>
      <c r="N13068"/>
      <c r="O13068" s="24"/>
      <c r="P13068"/>
      <c r="Q13068" s="24"/>
      <c r="R13068"/>
      <c r="S13068"/>
      <c r="T13068"/>
      <c r="U13068"/>
      <c r="X13068" s="60"/>
    </row>
    <row r="13069" spans="7:24" ht="15" customHeight="1">
      <c r="G13069"/>
      <c r="I13069"/>
      <c r="N13069"/>
      <c r="O13069" s="24"/>
      <c r="P13069"/>
      <c r="Q13069" s="24"/>
      <c r="R13069"/>
      <c r="S13069"/>
      <c r="T13069"/>
      <c r="U13069"/>
      <c r="X13069" s="60"/>
    </row>
    <row r="13070" spans="7:24" ht="15" customHeight="1">
      <c r="G13070"/>
      <c r="I13070"/>
      <c r="N13070"/>
      <c r="O13070" s="24"/>
      <c r="P13070"/>
      <c r="Q13070" s="24"/>
      <c r="R13070"/>
      <c r="S13070"/>
      <c r="T13070"/>
      <c r="U13070"/>
      <c r="X13070" s="60"/>
    </row>
    <row r="13071" spans="7:24" ht="15" customHeight="1">
      <c r="G13071"/>
      <c r="I13071"/>
      <c r="N13071"/>
      <c r="O13071" s="24"/>
      <c r="P13071"/>
      <c r="Q13071" s="24"/>
      <c r="R13071"/>
      <c r="S13071"/>
      <c r="T13071"/>
      <c r="U13071"/>
      <c r="X13071" s="60"/>
    </row>
    <row r="13072" spans="7:24" ht="15" customHeight="1">
      <c r="G13072"/>
      <c r="I13072"/>
      <c r="N13072"/>
      <c r="O13072" s="24"/>
      <c r="P13072"/>
      <c r="Q13072" s="24"/>
      <c r="R13072"/>
      <c r="S13072"/>
      <c r="T13072"/>
      <c r="U13072"/>
      <c r="X13072" s="60"/>
    </row>
    <row r="13073" spans="7:24" ht="15" customHeight="1">
      <c r="G13073"/>
      <c r="I13073"/>
      <c r="N13073"/>
      <c r="O13073" s="24"/>
      <c r="P13073"/>
      <c r="Q13073" s="24"/>
      <c r="R13073"/>
      <c r="S13073"/>
      <c r="T13073"/>
      <c r="U13073"/>
      <c r="X13073" s="60"/>
    </row>
    <row r="13074" spans="7:24" ht="15" customHeight="1">
      <c r="G13074"/>
      <c r="I13074"/>
      <c r="N13074"/>
      <c r="O13074" s="24"/>
      <c r="P13074"/>
      <c r="Q13074" s="24"/>
      <c r="R13074"/>
      <c r="S13074"/>
      <c r="T13074"/>
      <c r="U13074"/>
      <c r="X13074" s="60"/>
    </row>
    <row r="13075" spans="7:24" ht="15" customHeight="1">
      <c r="G13075"/>
      <c r="I13075"/>
      <c r="N13075"/>
      <c r="O13075" s="24"/>
      <c r="P13075"/>
      <c r="Q13075" s="24"/>
      <c r="R13075"/>
      <c r="S13075"/>
      <c r="T13075"/>
      <c r="U13075"/>
      <c r="X13075" s="60"/>
    </row>
    <row r="13076" spans="7:24" ht="15" customHeight="1">
      <c r="G13076"/>
      <c r="I13076"/>
      <c r="N13076"/>
      <c r="O13076" s="24"/>
      <c r="P13076"/>
      <c r="Q13076" s="24"/>
      <c r="R13076"/>
      <c r="S13076"/>
      <c r="T13076"/>
      <c r="U13076"/>
      <c r="X13076" s="60"/>
    </row>
    <row r="13077" spans="7:24" ht="15" customHeight="1">
      <c r="G13077"/>
      <c r="I13077"/>
      <c r="N13077"/>
      <c r="O13077" s="24"/>
      <c r="P13077"/>
      <c r="Q13077" s="24"/>
      <c r="R13077"/>
      <c r="S13077"/>
      <c r="T13077"/>
      <c r="U13077"/>
      <c r="X13077" s="60"/>
    </row>
    <row r="13078" spans="7:24" ht="15" customHeight="1">
      <c r="G13078"/>
      <c r="I13078"/>
      <c r="N13078"/>
      <c r="O13078" s="24"/>
      <c r="P13078"/>
      <c r="Q13078" s="24"/>
      <c r="R13078"/>
      <c r="S13078"/>
      <c r="T13078"/>
      <c r="U13078"/>
      <c r="X13078" s="60"/>
    </row>
    <row r="13079" spans="7:24" ht="15" customHeight="1">
      <c r="G13079"/>
      <c r="I13079"/>
      <c r="N13079"/>
      <c r="O13079" s="24"/>
      <c r="P13079"/>
      <c r="Q13079" s="24"/>
      <c r="R13079"/>
      <c r="S13079"/>
      <c r="T13079"/>
      <c r="U13079"/>
      <c r="X13079" s="60"/>
    </row>
    <row r="13080" spans="7:24" ht="15" customHeight="1">
      <c r="G13080"/>
      <c r="I13080"/>
      <c r="N13080"/>
      <c r="O13080" s="24"/>
      <c r="P13080"/>
      <c r="Q13080" s="24"/>
      <c r="R13080"/>
      <c r="S13080"/>
      <c r="T13080"/>
      <c r="U13080"/>
      <c r="X13080" s="60"/>
    </row>
    <row r="13081" spans="7:24" ht="15" customHeight="1">
      <c r="G13081"/>
      <c r="I13081"/>
      <c r="N13081"/>
      <c r="O13081" s="24"/>
      <c r="P13081"/>
      <c r="Q13081" s="24"/>
      <c r="R13081"/>
      <c r="S13081"/>
      <c r="T13081"/>
      <c r="U13081"/>
      <c r="X13081" s="60"/>
    </row>
    <row r="13082" spans="7:24" ht="15" customHeight="1">
      <c r="G13082"/>
      <c r="I13082"/>
      <c r="N13082"/>
      <c r="O13082" s="24"/>
      <c r="P13082"/>
      <c r="Q13082" s="24"/>
      <c r="R13082"/>
      <c r="S13082"/>
      <c r="T13082"/>
      <c r="U13082"/>
      <c r="X13082" s="60"/>
    </row>
    <row r="13083" spans="7:24" ht="15" customHeight="1">
      <c r="G13083"/>
      <c r="I13083"/>
      <c r="N13083"/>
      <c r="O13083" s="24"/>
      <c r="P13083"/>
      <c r="Q13083" s="24"/>
      <c r="R13083"/>
      <c r="S13083"/>
      <c r="T13083"/>
      <c r="U13083"/>
      <c r="X13083" s="60"/>
    </row>
    <row r="13084" spans="7:24" ht="15" customHeight="1">
      <c r="G13084"/>
      <c r="I13084"/>
      <c r="N13084"/>
      <c r="O13084" s="24"/>
      <c r="P13084"/>
      <c r="Q13084" s="24"/>
      <c r="R13084"/>
      <c r="S13084"/>
      <c r="T13084"/>
      <c r="U13084"/>
      <c r="X13084" s="60"/>
    </row>
    <row r="13085" spans="7:24" ht="15" customHeight="1">
      <c r="G13085"/>
      <c r="I13085"/>
      <c r="N13085"/>
      <c r="O13085" s="24"/>
      <c r="P13085"/>
      <c r="Q13085" s="24"/>
      <c r="R13085"/>
      <c r="S13085"/>
      <c r="T13085"/>
      <c r="U13085"/>
      <c r="X13085" s="60"/>
    </row>
    <row r="13086" spans="7:24" ht="15" customHeight="1">
      <c r="G13086"/>
      <c r="I13086"/>
      <c r="N13086"/>
      <c r="O13086" s="24"/>
      <c r="P13086"/>
      <c r="Q13086" s="24"/>
      <c r="R13086"/>
      <c r="S13086"/>
      <c r="T13086"/>
      <c r="U13086"/>
      <c r="X13086" s="60"/>
    </row>
    <row r="13087" spans="7:24" ht="15" customHeight="1">
      <c r="G13087"/>
      <c r="I13087"/>
      <c r="N13087"/>
      <c r="O13087" s="24"/>
      <c r="P13087"/>
      <c r="Q13087" s="24"/>
      <c r="R13087"/>
      <c r="S13087"/>
      <c r="T13087"/>
      <c r="U13087"/>
      <c r="X13087" s="60"/>
    </row>
    <row r="13088" spans="7:24" ht="15" customHeight="1">
      <c r="G13088"/>
      <c r="I13088"/>
      <c r="N13088"/>
      <c r="O13088" s="24"/>
      <c r="P13088"/>
      <c r="Q13088" s="24"/>
      <c r="R13088"/>
      <c r="S13088"/>
      <c r="T13088"/>
      <c r="U13088"/>
      <c r="X13088" s="60"/>
    </row>
    <row r="13089" spans="7:24" ht="15" customHeight="1">
      <c r="G13089"/>
      <c r="I13089"/>
      <c r="N13089"/>
      <c r="O13089" s="24"/>
      <c r="P13089"/>
      <c r="Q13089" s="24"/>
      <c r="R13089"/>
      <c r="S13089"/>
      <c r="T13089"/>
      <c r="U13089"/>
      <c r="X13089" s="60"/>
    </row>
    <row r="13090" spans="7:24" ht="15" customHeight="1">
      <c r="G13090"/>
      <c r="I13090"/>
      <c r="N13090"/>
      <c r="O13090" s="24"/>
      <c r="P13090"/>
      <c r="Q13090" s="24"/>
      <c r="R13090"/>
      <c r="S13090"/>
      <c r="T13090"/>
      <c r="U13090"/>
      <c r="X13090" s="60"/>
    </row>
    <row r="13091" spans="7:24" ht="15" customHeight="1">
      <c r="G13091"/>
      <c r="I13091"/>
      <c r="N13091"/>
      <c r="O13091" s="24"/>
      <c r="P13091"/>
      <c r="Q13091" s="24"/>
      <c r="R13091"/>
      <c r="S13091"/>
      <c r="T13091"/>
      <c r="U13091"/>
      <c r="X13091" s="60"/>
    </row>
    <row r="13092" spans="7:24" ht="15" customHeight="1">
      <c r="G13092"/>
      <c r="I13092"/>
      <c r="N13092"/>
      <c r="O13092" s="24"/>
      <c r="P13092"/>
      <c r="Q13092" s="24"/>
      <c r="R13092"/>
      <c r="S13092"/>
      <c r="T13092"/>
      <c r="U13092"/>
      <c r="X13092" s="60"/>
    </row>
    <row r="13093" spans="7:24" ht="15" customHeight="1">
      <c r="G13093"/>
      <c r="I13093"/>
      <c r="N13093"/>
      <c r="O13093" s="24"/>
      <c r="P13093"/>
      <c r="Q13093" s="24"/>
      <c r="R13093"/>
      <c r="S13093"/>
      <c r="T13093"/>
      <c r="U13093"/>
      <c r="X13093" s="60"/>
    </row>
    <row r="13094" spans="7:24" ht="15" customHeight="1">
      <c r="G13094"/>
      <c r="I13094"/>
      <c r="N13094"/>
      <c r="O13094" s="24"/>
      <c r="P13094"/>
      <c r="Q13094" s="24"/>
      <c r="R13094"/>
      <c r="S13094"/>
      <c r="T13094"/>
      <c r="U13094"/>
      <c r="X13094" s="60"/>
    </row>
    <row r="13095" spans="7:24" ht="15" customHeight="1">
      <c r="G13095"/>
      <c r="I13095"/>
      <c r="N13095"/>
      <c r="O13095" s="24"/>
      <c r="P13095"/>
      <c r="Q13095" s="24"/>
      <c r="R13095"/>
      <c r="S13095"/>
      <c r="T13095"/>
      <c r="U13095"/>
      <c r="X13095" s="60"/>
    </row>
    <row r="13096" spans="7:24" ht="15" customHeight="1">
      <c r="G13096"/>
      <c r="I13096"/>
      <c r="N13096"/>
      <c r="O13096" s="24"/>
      <c r="P13096"/>
      <c r="Q13096" s="24"/>
      <c r="R13096"/>
      <c r="S13096"/>
      <c r="T13096"/>
      <c r="U13096"/>
      <c r="X13096" s="60"/>
    </row>
    <row r="13097" spans="7:24" ht="15" customHeight="1">
      <c r="G13097"/>
      <c r="I13097"/>
      <c r="N13097"/>
      <c r="O13097" s="24"/>
      <c r="P13097"/>
      <c r="Q13097" s="24"/>
      <c r="R13097"/>
      <c r="S13097"/>
      <c r="T13097"/>
      <c r="U13097"/>
      <c r="X13097" s="60"/>
    </row>
    <row r="13098" spans="7:24" ht="15" customHeight="1">
      <c r="G13098"/>
      <c r="I13098"/>
      <c r="N13098"/>
      <c r="O13098" s="24"/>
      <c r="P13098"/>
      <c r="Q13098" s="24"/>
      <c r="R13098"/>
      <c r="S13098"/>
      <c r="T13098"/>
      <c r="U13098"/>
      <c r="X13098" s="60"/>
    </row>
    <row r="13099" spans="7:24" ht="15" customHeight="1">
      <c r="G13099"/>
      <c r="I13099"/>
      <c r="N13099"/>
      <c r="O13099" s="24"/>
      <c r="P13099"/>
      <c r="Q13099" s="24"/>
      <c r="R13099"/>
      <c r="S13099"/>
      <c r="T13099"/>
      <c r="U13099"/>
      <c r="X13099" s="60"/>
    </row>
    <row r="13100" spans="7:24" ht="15" customHeight="1">
      <c r="G13100"/>
      <c r="I13100"/>
      <c r="N13100"/>
      <c r="O13100" s="24"/>
      <c r="P13100"/>
      <c r="Q13100" s="24"/>
      <c r="R13100"/>
      <c r="S13100"/>
      <c r="T13100"/>
      <c r="U13100"/>
      <c r="X13100" s="60"/>
    </row>
    <row r="13101" spans="7:24" ht="15" customHeight="1">
      <c r="G13101"/>
      <c r="I13101"/>
      <c r="N13101"/>
      <c r="O13101" s="24"/>
      <c r="P13101"/>
      <c r="Q13101" s="24"/>
      <c r="R13101"/>
      <c r="S13101"/>
      <c r="T13101"/>
      <c r="U13101"/>
      <c r="X13101" s="60"/>
    </row>
    <row r="13102" spans="7:24" ht="15" customHeight="1">
      <c r="G13102"/>
      <c r="I13102"/>
      <c r="N13102"/>
      <c r="O13102" s="24"/>
      <c r="P13102"/>
      <c r="Q13102" s="24"/>
      <c r="R13102"/>
      <c r="S13102"/>
      <c r="T13102"/>
      <c r="U13102"/>
      <c r="X13102" s="60"/>
    </row>
    <row r="13103" spans="7:24" ht="15" customHeight="1">
      <c r="G13103"/>
      <c r="I13103"/>
      <c r="N13103"/>
      <c r="O13103" s="24"/>
      <c r="P13103"/>
      <c r="Q13103" s="24"/>
      <c r="R13103"/>
      <c r="S13103"/>
      <c r="T13103"/>
      <c r="U13103"/>
      <c r="X13103" s="60"/>
    </row>
    <row r="13104" spans="7:24" ht="15" customHeight="1">
      <c r="G13104"/>
      <c r="I13104"/>
      <c r="N13104"/>
      <c r="O13104" s="24"/>
      <c r="P13104"/>
      <c r="Q13104" s="24"/>
      <c r="R13104"/>
      <c r="S13104"/>
      <c r="T13104"/>
      <c r="U13104"/>
      <c r="X13104" s="60"/>
    </row>
    <row r="13105" spans="7:24" ht="15" customHeight="1">
      <c r="G13105"/>
      <c r="I13105"/>
      <c r="N13105"/>
      <c r="O13105" s="24"/>
      <c r="P13105"/>
      <c r="Q13105" s="24"/>
      <c r="R13105"/>
      <c r="S13105"/>
      <c r="T13105"/>
      <c r="U13105"/>
      <c r="X13105" s="60"/>
    </row>
    <row r="13106" spans="7:24" ht="15" customHeight="1">
      <c r="G13106"/>
      <c r="I13106"/>
      <c r="N13106"/>
      <c r="O13106" s="24"/>
      <c r="P13106"/>
      <c r="Q13106" s="24"/>
      <c r="R13106"/>
      <c r="S13106"/>
      <c r="T13106"/>
      <c r="U13106"/>
      <c r="X13106" s="60"/>
    </row>
    <row r="13107" spans="7:24" ht="15" customHeight="1">
      <c r="G13107"/>
      <c r="I13107"/>
      <c r="N13107"/>
      <c r="O13107" s="24"/>
      <c r="P13107"/>
      <c r="Q13107" s="24"/>
      <c r="R13107"/>
      <c r="S13107"/>
      <c r="T13107"/>
      <c r="U13107"/>
      <c r="X13107" s="60"/>
    </row>
    <row r="13108" spans="7:24" ht="15" customHeight="1">
      <c r="G13108"/>
      <c r="I13108"/>
      <c r="N13108"/>
      <c r="O13108" s="24"/>
      <c r="P13108"/>
      <c r="Q13108" s="24"/>
      <c r="R13108"/>
      <c r="S13108"/>
      <c r="T13108"/>
      <c r="U13108"/>
      <c r="X13108" s="60"/>
    </row>
    <row r="13109" spans="7:24" ht="15" customHeight="1">
      <c r="G13109"/>
      <c r="I13109"/>
      <c r="N13109"/>
      <c r="O13109" s="24"/>
      <c r="P13109"/>
      <c r="Q13109" s="24"/>
      <c r="R13109"/>
      <c r="S13109"/>
      <c r="T13109"/>
      <c r="U13109"/>
      <c r="X13109" s="60"/>
    </row>
    <row r="13110" spans="7:24" ht="15" customHeight="1">
      <c r="G13110"/>
      <c r="I13110"/>
      <c r="N13110"/>
      <c r="O13110" s="24"/>
      <c r="P13110"/>
      <c r="Q13110" s="24"/>
      <c r="R13110"/>
      <c r="S13110"/>
      <c r="T13110"/>
      <c r="U13110"/>
      <c r="X13110" s="60"/>
    </row>
    <row r="13111" spans="7:24" ht="15" customHeight="1">
      <c r="G13111"/>
      <c r="I13111"/>
      <c r="N13111"/>
      <c r="O13111" s="24"/>
      <c r="P13111"/>
      <c r="Q13111" s="24"/>
      <c r="R13111"/>
      <c r="S13111"/>
      <c r="T13111"/>
      <c r="U13111"/>
      <c r="X13111" s="60"/>
    </row>
    <row r="13112" spans="7:24" ht="15" customHeight="1">
      <c r="G13112"/>
      <c r="I13112"/>
      <c r="N13112"/>
      <c r="O13112" s="24"/>
      <c r="P13112"/>
      <c r="Q13112" s="24"/>
      <c r="R13112"/>
      <c r="S13112"/>
      <c r="T13112"/>
      <c r="U13112"/>
      <c r="X13112" s="60"/>
    </row>
    <row r="13113" spans="7:24" ht="15" customHeight="1">
      <c r="G13113"/>
      <c r="I13113"/>
      <c r="N13113"/>
      <c r="O13113" s="24"/>
      <c r="P13113"/>
      <c r="Q13113" s="24"/>
      <c r="R13113"/>
      <c r="S13113"/>
      <c r="T13113"/>
      <c r="U13113"/>
      <c r="X13113" s="60"/>
    </row>
    <row r="13114" spans="7:24" ht="15" customHeight="1">
      <c r="G13114"/>
      <c r="I13114"/>
      <c r="N13114"/>
      <c r="O13114" s="24"/>
      <c r="P13114"/>
      <c r="Q13114" s="24"/>
      <c r="R13114"/>
      <c r="S13114"/>
      <c r="T13114"/>
      <c r="U13114"/>
      <c r="X13114" s="60"/>
    </row>
    <row r="13115" spans="7:24" ht="15" customHeight="1">
      <c r="G13115"/>
      <c r="I13115"/>
      <c r="N13115"/>
      <c r="O13115" s="24"/>
      <c r="P13115"/>
      <c r="Q13115" s="24"/>
      <c r="R13115"/>
      <c r="S13115"/>
      <c r="T13115"/>
      <c r="U13115"/>
      <c r="X13115" s="60"/>
    </row>
    <row r="13116" spans="7:24" ht="15" customHeight="1">
      <c r="G13116"/>
      <c r="I13116"/>
      <c r="N13116"/>
      <c r="O13116" s="24"/>
      <c r="P13116"/>
      <c r="Q13116" s="24"/>
      <c r="R13116"/>
      <c r="S13116"/>
      <c r="T13116"/>
      <c r="U13116"/>
      <c r="X13116" s="60"/>
    </row>
    <row r="13117" spans="7:24" ht="15" customHeight="1">
      <c r="G13117"/>
      <c r="I13117"/>
      <c r="N13117"/>
      <c r="O13117" s="24"/>
      <c r="P13117"/>
      <c r="Q13117" s="24"/>
      <c r="R13117"/>
      <c r="S13117"/>
      <c r="T13117"/>
      <c r="U13117"/>
      <c r="X13117" s="60"/>
    </row>
    <row r="13118" spans="7:24" ht="15" customHeight="1">
      <c r="G13118"/>
      <c r="I13118"/>
      <c r="N13118"/>
      <c r="O13118" s="24"/>
      <c r="P13118"/>
      <c r="Q13118" s="24"/>
      <c r="R13118"/>
      <c r="S13118"/>
      <c r="T13118"/>
      <c r="U13118"/>
      <c r="X13118" s="60"/>
    </row>
    <row r="13119" spans="7:24" ht="15" customHeight="1">
      <c r="G13119"/>
      <c r="I13119"/>
      <c r="N13119"/>
      <c r="O13119" s="24"/>
      <c r="P13119"/>
      <c r="Q13119" s="24"/>
      <c r="R13119"/>
      <c r="S13119"/>
      <c r="T13119"/>
      <c r="U13119"/>
      <c r="X13119" s="60"/>
    </row>
    <row r="13120" spans="7:24" ht="15" customHeight="1">
      <c r="G13120"/>
      <c r="I13120"/>
      <c r="N13120"/>
      <c r="O13120" s="24"/>
      <c r="P13120"/>
      <c r="Q13120" s="24"/>
      <c r="R13120"/>
      <c r="S13120"/>
      <c r="T13120"/>
      <c r="U13120"/>
      <c r="X13120" s="60"/>
    </row>
    <row r="13121" spans="7:24" ht="15" customHeight="1">
      <c r="G13121"/>
      <c r="I13121"/>
      <c r="N13121"/>
      <c r="O13121" s="24"/>
      <c r="P13121"/>
      <c r="Q13121" s="24"/>
      <c r="R13121"/>
      <c r="S13121"/>
      <c r="T13121"/>
      <c r="U13121"/>
      <c r="X13121" s="60"/>
    </row>
    <row r="13122" spans="7:24" ht="15" customHeight="1">
      <c r="G13122"/>
      <c r="I13122"/>
      <c r="N13122"/>
      <c r="O13122" s="24"/>
      <c r="P13122"/>
      <c r="Q13122" s="24"/>
      <c r="R13122"/>
      <c r="S13122"/>
      <c r="T13122"/>
      <c r="U13122"/>
      <c r="X13122" s="60"/>
    </row>
    <row r="13123" spans="7:24" ht="15" customHeight="1">
      <c r="G13123"/>
      <c r="I13123"/>
      <c r="N13123"/>
      <c r="O13123" s="24"/>
      <c r="P13123"/>
      <c r="Q13123" s="24"/>
      <c r="R13123"/>
      <c r="S13123"/>
      <c r="T13123"/>
      <c r="U13123"/>
      <c r="X13123" s="60"/>
    </row>
    <row r="13124" spans="7:24" ht="15" customHeight="1">
      <c r="G13124"/>
      <c r="I13124"/>
      <c r="N13124"/>
      <c r="O13124" s="24"/>
      <c r="P13124"/>
      <c r="Q13124" s="24"/>
      <c r="R13124"/>
      <c r="S13124"/>
      <c r="T13124"/>
      <c r="U13124"/>
      <c r="X13124" s="60"/>
    </row>
    <row r="13125" spans="7:24" ht="15" customHeight="1">
      <c r="G13125"/>
      <c r="I13125"/>
      <c r="N13125"/>
      <c r="O13125" s="24"/>
      <c r="P13125"/>
      <c r="Q13125" s="24"/>
      <c r="R13125"/>
      <c r="S13125"/>
      <c r="T13125"/>
      <c r="U13125"/>
      <c r="X13125" s="60"/>
    </row>
    <row r="13126" spans="7:24" ht="15" customHeight="1">
      <c r="G13126"/>
      <c r="I13126"/>
      <c r="N13126"/>
      <c r="O13126" s="24"/>
      <c r="P13126"/>
      <c r="Q13126" s="24"/>
      <c r="R13126"/>
      <c r="S13126"/>
      <c r="T13126"/>
      <c r="U13126"/>
      <c r="X13126" s="60"/>
    </row>
    <row r="13127" spans="7:24" ht="15" customHeight="1">
      <c r="G13127"/>
      <c r="I13127"/>
      <c r="N13127"/>
      <c r="O13127" s="24"/>
      <c r="P13127"/>
      <c r="Q13127" s="24"/>
      <c r="R13127"/>
      <c r="S13127"/>
      <c r="T13127"/>
      <c r="U13127"/>
      <c r="X13127" s="60"/>
    </row>
    <row r="13128" spans="7:24" ht="15" customHeight="1">
      <c r="G13128"/>
      <c r="I13128"/>
      <c r="N13128"/>
      <c r="O13128" s="24"/>
      <c r="P13128"/>
      <c r="Q13128" s="24"/>
      <c r="R13128"/>
      <c r="S13128"/>
      <c r="T13128"/>
      <c r="U13128"/>
      <c r="X13128" s="60"/>
    </row>
    <row r="13129" spans="7:24" ht="15" customHeight="1">
      <c r="G13129"/>
      <c r="I13129"/>
      <c r="N13129"/>
      <c r="O13129" s="24"/>
      <c r="P13129"/>
      <c r="Q13129" s="24"/>
      <c r="R13129"/>
      <c r="S13129"/>
      <c r="T13129"/>
      <c r="U13129"/>
      <c r="X13129" s="60"/>
    </row>
    <row r="13130" spans="7:24" ht="15" customHeight="1">
      <c r="G13130"/>
      <c r="I13130"/>
      <c r="N13130"/>
      <c r="O13130" s="24"/>
      <c r="P13130"/>
      <c r="Q13130" s="24"/>
      <c r="R13130"/>
      <c r="S13130"/>
      <c r="T13130"/>
      <c r="U13130"/>
      <c r="X13130" s="60"/>
    </row>
    <row r="13131" spans="7:24" ht="15" customHeight="1">
      <c r="G13131"/>
      <c r="I13131"/>
      <c r="N13131"/>
      <c r="O13131" s="24"/>
      <c r="P13131"/>
      <c r="Q13131" s="24"/>
      <c r="R13131"/>
      <c r="S13131"/>
      <c r="T13131"/>
      <c r="U13131"/>
      <c r="X13131" s="60"/>
    </row>
    <row r="13132" spans="7:24" ht="15" customHeight="1">
      <c r="G13132"/>
      <c r="I13132"/>
      <c r="N13132"/>
      <c r="O13132" s="24"/>
      <c r="P13132"/>
      <c r="Q13132" s="24"/>
      <c r="R13132"/>
      <c r="S13132"/>
      <c r="T13132"/>
      <c r="U13132"/>
      <c r="X13132" s="60"/>
    </row>
    <row r="13133" spans="7:24" ht="15" customHeight="1">
      <c r="G13133"/>
      <c r="I13133"/>
      <c r="N13133"/>
      <c r="O13133" s="24"/>
      <c r="P13133"/>
      <c r="Q13133" s="24"/>
      <c r="R13133"/>
      <c r="S13133"/>
      <c r="T13133"/>
      <c r="U13133"/>
      <c r="X13133" s="60"/>
    </row>
    <row r="13134" spans="7:24" ht="15" customHeight="1">
      <c r="G13134"/>
      <c r="I13134"/>
      <c r="N13134"/>
      <c r="O13134" s="24"/>
      <c r="P13134"/>
      <c r="Q13134" s="24"/>
      <c r="R13134"/>
      <c r="S13134"/>
      <c r="T13134"/>
      <c r="U13134"/>
      <c r="X13134" s="60"/>
    </row>
    <row r="13135" spans="7:24" ht="15" customHeight="1">
      <c r="G13135"/>
      <c r="I13135"/>
      <c r="N13135"/>
      <c r="O13135" s="24"/>
      <c r="P13135"/>
      <c r="Q13135" s="24"/>
      <c r="R13135"/>
      <c r="S13135"/>
      <c r="T13135"/>
      <c r="U13135"/>
      <c r="X13135" s="60"/>
    </row>
    <row r="13136" spans="7:24" ht="15" customHeight="1">
      <c r="G13136"/>
      <c r="I13136"/>
      <c r="N13136"/>
      <c r="O13136" s="24"/>
      <c r="P13136"/>
      <c r="Q13136" s="24"/>
      <c r="R13136"/>
      <c r="S13136"/>
      <c r="T13136"/>
      <c r="U13136"/>
      <c r="X13136" s="60"/>
    </row>
    <row r="13137" spans="7:24" ht="15" customHeight="1">
      <c r="G13137"/>
      <c r="I13137"/>
      <c r="N13137"/>
      <c r="O13137" s="24"/>
      <c r="P13137"/>
      <c r="Q13137" s="24"/>
      <c r="R13137"/>
      <c r="S13137"/>
      <c r="T13137"/>
      <c r="U13137"/>
      <c r="X13137" s="60"/>
    </row>
    <row r="13138" spans="7:24" ht="15" customHeight="1">
      <c r="G13138"/>
      <c r="I13138"/>
      <c r="N13138"/>
      <c r="O13138" s="24"/>
      <c r="P13138"/>
      <c r="Q13138" s="24"/>
      <c r="R13138"/>
      <c r="S13138"/>
      <c r="T13138"/>
      <c r="U13138"/>
      <c r="X13138" s="60"/>
    </row>
    <row r="13139" spans="7:24" ht="15" customHeight="1">
      <c r="G13139"/>
      <c r="I13139"/>
      <c r="N13139"/>
      <c r="O13139" s="24"/>
      <c r="P13139"/>
      <c r="Q13139" s="24"/>
      <c r="R13139"/>
      <c r="S13139"/>
      <c r="T13139"/>
      <c r="U13139"/>
      <c r="X13139" s="60"/>
    </row>
    <row r="13140" spans="7:24" ht="15" customHeight="1">
      <c r="G13140"/>
      <c r="I13140"/>
      <c r="N13140"/>
      <c r="O13140" s="24"/>
      <c r="P13140"/>
      <c r="Q13140" s="24"/>
      <c r="R13140"/>
      <c r="S13140"/>
      <c r="T13140"/>
      <c r="U13140"/>
      <c r="X13140" s="60"/>
    </row>
    <row r="13141" spans="7:24" ht="15" customHeight="1">
      <c r="G13141"/>
      <c r="I13141"/>
      <c r="N13141"/>
      <c r="O13141" s="24"/>
      <c r="P13141"/>
      <c r="Q13141" s="24"/>
      <c r="R13141"/>
      <c r="S13141"/>
      <c r="T13141"/>
      <c r="U13141"/>
      <c r="X13141" s="60"/>
    </row>
    <row r="13142" spans="7:24" ht="15" customHeight="1">
      <c r="G13142"/>
      <c r="I13142"/>
      <c r="N13142"/>
      <c r="O13142" s="24"/>
      <c r="P13142"/>
      <c r="Q13142" s="24"/>
      <c r="R13142"/>
      <c r="S13142"/>
      <c r="T13142"/>
      <c r="U13142"/>
      <c r="X13142" s="60"/>
    </row>
    <row r="13143" spans="7:24" ht="15" customHeight="1">
      <c r="G13143"/>
      <c r="I13143"/>
      <c r="N13143"/>
      <c r="O13143" s="24"/>
      <c r="P13143"/>
      <c r="Q13143" s="24"/>
      <c r="R13143"/>
      <c r="S13143"/>
      <c r="T13143"/>
      <c r="U13143"/>
      <c r="X13143" s="60"/>
    </row>
    <row r="13144" spans="7:24" ht="15" customHeight="1">
      <c r="G13144"/>
      <c r="I13144"/>
      <c r="N13144"/>
      <c r="O13144" s="24"/>
      <c r="P13144"/>
      <c r="Q13144" s="24"/>
      <c r="R13144"/>
      <c r="S13144"/>
      <c r="T13144"/>
      <c r="U13144"/>
      <c r="X13144" s="60"/>
    </row>
    <row r="13145" spans="7:24" ht="15" customHeight="1">
      <c r="G13145"/>
      <c r="I13145"/>
      <c r="N13145"/>
      <c r="O13145" s="24"/>
      <c r="P13145"/>
      <c r="Q13145" s="24"/>
      <c r="R13145"/>
      <c r="S13145"/>
      <c r="T13145"/>
      <c r="U13145"/>
      <c r="X13145" s="60"/>
    </row>
    <row r="13146" spans="7:24" ht="15" customHeight="1">
      <c r="G13146"/>
      <c r="I13146"/>
      <c r="N13146"/>
      <c r="O13146" s="24"/>
      <c r="P13146"/>
      <c r="Q13146" s="24"/>
      <c r="R13146"/>
      <c r="S13146"/>
      <c r="T13146"/>
      <c r="U13146"/>
      <c r="X13146" s="60"/>
    </row>
    <row r="13147" spans="7:24" ht="15" customHeight="1">
      <c r="G13147"/>
      <c r="I13147"/>
      <c r="N13147"/>
      <c r="O13147" s="24"/>
      <c r="P13147"/>
      <c r="Q13147" s="24"/>
      <c r="R13147"/>
      <c r="S13147"/>
      <c r="T13147"/>
      <c r="U13147"/>
      <c r="X13147" s="60"/>
    </row>
    <row r="13148" spans="7:24" ht="15" customHeight="1">
      <c r="G13148"/>
      <c r="I13148"/>
      <c r="N13148"/>
      <c r="O13148" s="24"/>
      <c r="P13148"/>
      <c r="Q13148" s="24"/>
      <c r="R13148"/>
      <c r="S13148"/>
      <c r="T13148"/>
      <c r="U13148"/>
      <c r="X13148" s="60"/>
    </row>
    <row r="13149" spans="7:24" ht="15" customHeight="1">
      <c r="G13149"/>
      <c r="I13149"/>
      <c r="N13149"/>
      <c r="O13149" s="24"/>
      <c r="P13149"/>
      <c r="Q13149" s="24"/>
      <c r="R13149"/>
      <c r="S13149"/>
      <c r="T13149"/>
      <c r="U13149"/>
      <c r="X13149" s="60"/>
    </row>
    <row r="13150" spans="7:24" ht="15" customHeight="1">
      <c r="G13150"/>
      <c r="I13150"/>
      <c r="N13150"/>
      <c r="O13150" s="24"/>
      <c r="P13150"/>
      <c r="Q13150" s="24"/>
      <c r="R13150"/>
      <c r="S13150"/>
      <c r="T13150"/>
      <c r="U13150"/>
      <c r="X13150" s="60"/>
    </row>
    <row r="13151" spans="7:24" ht="15" customHeight="1">
      <c r="G13151"/>
      <c r="I13151"/>
      <c r="N13151"/>
      <c r="O13151" s="24"/>
      <c r="P13151"/>
      <c r="Q13151" s="24"/>
      <c r="R13151"/>
      <c r="S13151"/>
      <c r="T13151"/>
      <c r="U13151"/>
      <c r="X13151" s="60"/>
    </row>
    <row r="13152" spans="7:24" ht="15" customHeight="1">
      <c r="G13152"/>
      <c r="I13152"/>
      <c r="N13152"/>
      <c r="O13152" s="24"/>
      <c r="P13152"/>
      <c r="Q13152" s="24"/>
      <c r="R13152"/>
      <c r="S13152"/>
      <c r="T13152"/>
      <c r="U13152"/>
      <c r="X13152" s="60"/>
    </row>
    <row r="13153" spans="7:24" ht="15" customHeight="1">
      <c r="G13153"/>
      <c r="I13153"/>
      <c r="N13153"/>
      <c r="O13153" s="24"/>
      <c r="P13153"/>
      <c r="Q13153" s="24"/>
      <c r="R13153"/>
      <c r="S13153"/>
      <c r="T13153"/>
      <c r="U13153"/>
      <c r="X13153" s="60"/>
    </row>
    <row r="13154" spans="7:24" ht="15" customHeight="1">
      <c r="G13154"/>
      <c r="I13154"/>
      <c r="N13154"/>
      <c r="O13154" s="24"/>
      <c r="P13154"/>
      <c r="Q13154" s="24"/>
      <c r="R13154"/>
      <c r="S13154"/>
      <c r="T13154"/>
      <c r="U13154"/>
      <c r="X13154" s="60"/>
    </row>
    <row r="13155" spans="7:24" ht="15" customHeight="1">
      <c r="G13155"/>
      <c r="I13155"/>
      <c r="N13155"/>
      <c r="O13155" s="24"/>
      <c r="P13155"/>
      <c r="Q13155" s="24"/>
      <c r="R13155"/>
      <c r="S13155"/>
      <c r="T13155"/>
      <c r="U13155"/>
      <c r="X13155" s="60"/>
    </row>
    <row r="13156" spans="7:24" ht="15" customHeight="1">
      <c r="G13156"/>
      <c r="I13156"/>
      <c r="N13156"/>
      <c r="O13156" s="24"/>
      <c r="P13156"/>
      <c r="Q13156" s="24"/>
      <c r="R13156"/>
      <c r="S13156"/>
      <c r="T13156"/>
      <c r="U13156"/>
      <c r="X13156" s="60"/>
    </row>
    <row r="13157" spans="7:24" ht="15" customHeight="1">
      <c r="G13157"/>
      <c r="I13157"/>
      <c r="N13157"/>
      <c r="O13157" s="24"/>
      <c r="P13157"/>
      <c r="Q13157" s="24"/>
      <c r="R13157"/>
      <c r="S13157"/>
      <c r="T13157"/>
      <c r="U13157"/>
      <c r="X13157" s="60"/>
    </row>
    <row r="13158" spans="7:24" ht="15" customHeight="1">
      <c r="G13158"/>
      <c r="I13158"/>
      <c r="N13158"/>
      <c r="O13158" s="24"/>
      <c r="P13158"/>
      <c r="Q13158" s="24"/>
      <c r="R13158"/>
      <c r="S13158"/>
      <c r="T13158"/>
      <c r="U13158"/>
      <c r="X13158" s="60"/>
    </row>
    <row r="13159" spans="7:24" ht="15" customHeight="1">
      <c r="G13159"/>
      <c r="I13159"/>
      <c r="N13159"/>
      <c r="O13159" s="24"/>
      <c r="P13159"/>
      <c r="Q13159" s="24"/>
      <c r="R13159"/>
      <c r="S13159"/>
      <c r="T13159"/>
      <c r="U13159"/>
      <c r="X13159" s="60"/>
    </row>
    <row r="13160" spans="7:24" ht="15" customHeight="1">
      <c r="G13160"/>
      <c r="I13160"/>
      <c r="N13160"/>
      <c r="O13160" s="24"/>
      <c r="P13160"/>
      <c r="Q13160" s="24"/>
      <c r="R13160"/>
      <c r="S13160"/>
      <c r="T13160"/>
      <c r="U13160"/>
      <c r="X13160" s="60"/>
    </row>
    <row r="13161" spans="7:24" ht="15" customHeight="1">
      <c r="G13161"/>
      <c r="I13161"/>
      <c r="N13161"/>
      <c r="O13161" s="24"/>
      <c r="P13161"/>
      <c r="Q13161" s="24"/>
      <c r="R13161"/>
      <c r="S13161"/>
      <c r="T13161"/>
      <c r="U13161"/>
      <c r="X13161" s="60"/>
    </row>
    <row r="13162" spans="7:24" ht="15" customHeight="1">
      <c r="G13162"/>
      <c r="I13162"/>
      <c r="N13162"/>
      <c r="O13162" s="24"/>
      <c r="P13162"/>
      <c r="Q13162" s="24"/>
      <c r="R13162"/>
      <c r="S13162"/>
      <c r="T13162"/>
      <c r="U13162"/>
      <c r="X13162" s="60"/>
    </row>
    <row r="13163" spans="7:24" ht="15" customHeight="1">
      <c r="G13163"/>
      <c r="I13163"/>
      <c r="N13163"/>
      <c r="O13163" s="24"/>
      <c r="P13163"/>
      <c r="Q13163" s="24"/>
      <c r="R13163"/>
      <c r="S13163"/>
      <c r="T13163"/>
      <c r="U13163"/>
      <c r="X13163" s="60"/>
    </row>
    <row r="13164" spans="7:24" ht="15" customHeight="1">
      <c r="G13164"/>
      <c r="I13164"/>
      <c r="N13164"/>
      <c r="O13164" s="24"/>
      <c r="P13164"/>
      <c r="Q13164" s="24"/>
      <c r="R13164"/>
      <c r="S13164"/>
      <c r="T13164"/>
      <c r="U13164"/>
      <c r="X13164" s="60"/>
    </row>
    <row r="13165" spans="7:24" ht="15" customHeight="1">
      <c r="G13165"/>
      <c r="I13165"/>
      <c r="N13165"/>
      <c r="O13165" s="24"/>
      <c r="P13165"/>
      <c r="Q13165" s="24"/>
      <c r="R13165"/>
      <c r="S13165"/>
      <c r="T13165"/>
      <c r="U13165"/>
      <c r="X13165" s="60"/>
    </row>
    <row r="13166" spans="7:24" ht="15" customHeight="1">
      <c r="G13166"/>
      <c r="I13166"/>
      <c r="N13166"/>
      <c r="O13166" s="24"/>
      <c r="P13166"/>
      <c r="Q13166" s="24"/>
      <c r="R13166"/>
      <c r="S13166"/>
      <c r="T13166"/>
      <c r="U13166"/>
      <c r="X13166" s="60"/>
    </row>
    <row r="13167" spans="7:24" ht="15" customHeight="1">
      <c r="G13167"/>
      <c r="I13167"/>
      <c r="N13167"/>
      <c r="O13167" s="24"/>
      <c r="P13167"/>
      <c r="Q13167" s="24"/>
      <c r="R13167"/>
      <c r="S13167"/>
      <c r="T13167"/>
      <c r="U13167"/>
      <c r="X13167" s="60"/>
    </row>
    <row r="13168" spans="7:24" ht="15" customHeight="1">
      <c r="G13168"/>
      <c r="I13168"/>
      <c r="N13168"/>
      <c r="O13168" s="24"/>
      <c r="P13168"/>
      <c r="Q13168" s="24"/>
      <c r="R13168"/>
      <c r="S13168"/>
      <c r="T13168"/>
      <c r="U13168"/>
      <c r="X13168" s="60"/>
    </row>
    <row r="13169" spans="7:24" ht="15" customHeight="1">
      <c r="G13169"/>
      <c r="I13169"/>
      <c r="N13169"/>
      <c r="O13169" s="24"/>
      <c r="P13169"/>
      <c r="Q13169" s="24"/>
      <c r="R13169"/>
      <c r="S13169"/>
      <c r="T13169"/>
      <c r="U13169"/>
      <c r="X13169" s="60"/>
    </row>
    <row r="13170" spans="7:24" ht="15" customHeight="1">
      <c r="G13170"/>
      <c r="I13170"/>
      <c r="N13170"/>
      <c r="O13170" s="24"/>
      <c r="P13170"/>
      <c r="Q13170" s="24"/>
      <c r="R13170"/>
      <c r="S13170"/>
      <c r="T13170"/>
      <c r="U13170"/>
      <c r="X13170" s="60"/>
    </row>
    <row r="13171" spans="7:24" ht="15" customHeight="1">
      <c r="G13171"/>
      <c r="I13171"/>
      <c r="N13171"/>
      <c r="O13171" s="24"/>
      <c r="P13171"/>
      <c r="Q13171" s="24"/>
      <c r="R13171"/>
      <c r="S13171"/>
      <c r="T13171"/>
      <c r="U13171"/>
      <c r="X13171" s="60"/>
    </row>
    <row r="13172" spans="7:24" ht="15" customHeight="1">
      <c r="G13172"/>
      <c r="I13172"/>
      <c r="N13172"/>
      <c r="O13172" s="24"/>
      <c r="P13172"/>
      <c r="Q13172" s="24"/>
      <c r="R13172"/>
      <c r="S13172"/>
      <c r="T13172"/>
      <c r="U13172"/>
      <c r="X13172" s="60"/>
    </row>
    <row r="13173" spans="7:24" ht="15" customHeight="1">
      <c r="G13173"/>
      <c r="I13173"/>
      <c r="N13173"/>
      <c r="O13173" s="24"/>
      <c r="P13173"/>
      <c r="Q13173" s="24"/>
      <c r="R13173"/>
      <c r="S13173"/>
      <c r="T13173"/>
      <c r="U13173"/>
      <c r="X13173" s="60"/>
    </row>
    <row r="13174" spans="7:24" ht="15" customHeight="1">
      <c r="G13174"/>
      <c r="I13174"/>
      <c r="N13174"/>
      <c r="O13174" s="24"/>
      <c r="P13174"/>
      <c r="Q13174" s="24"/>
      <c r="R13174"/>
      <c r="S13174"/>
      <c r="T13174"/>
      <c r="U13174"/>
      <c r="X13174" s="60"/>
    </row>
    <row r="13175" spans="7:24" ht="15" customHeight="1">
      <c r="G13175"/>
      <c r="I13175"/>
      <c r="N13175"/>
      <c r="O13175" s="24"/>
      <c r="P13175"/>
      <c r="Q13175" s="24"/>
      <c r="R13175"/>
      <c r="S13175"/>
      <c r="T13175"/>
      <c r="U13175"/>
      <c r="X13175" s="60"/>
    </row>
    <row r="13176" spans="7:24" ht="15" customHeight="1">
      <c r="G13176"/>
      <c r="I13176"/>
      <c r="N13176"/>
      <c r="O13176" s="24"/>
      <c r="P13176"/>
      <c r="Q13176" s="24"/>
      <c r="R13176"/>
      <c r="S13176"/>
      <c r="T13176"/>
      <c r="U13176"/>
      <c r="X13176" s="60"/>
    </row>
    <row r="13177" spans="7:24" ht="15" customHeight="1">
      <c r="G13177"/>
      <c r="I13177"/>
      <c r="N13177"/>
      <c r="O13177" s="24"/>
      <c r="P13177"/>
      <c r="Q13177" s="24"/>
      <c r="R13177"/>
      <c r="S13177"/>
      <c r="T13177"/>
      <c r="U13177"/>
      <c r="X13177" s="60"/>
    </row>
    <row r="13178" spans="7:24" ht="15" customHeight="1">
      <c r="G13178"/>
      <c r="I13178"/>
      <c r="N13178"/>
      <c r="O13178" s="24"/>
      <c r="P13178"/>
      <c r="Q13178" s="24"/>
      <c r="R13178"/>
      <c r="S13178"/>
      <c r="T13178"/>
      <c r="U13178"/>
      <c r="X13178" s="60"/>
    </row>
    <row r="13179" spans="7:24" ht="15" customHeight="1">
      <c r="G13179"/>
      <c r="I13179"/>
      <c r="N13179"/>
      <c r="O13179" s="24"/>
      <c r="P13179"/>
      <c r="Q13179" s="24"/>
      <c r="R13179"/>
      <c r="S13179"/>
      <c r="T13179"/>
      <c r="U13179"/>
      <c r="X13179" s="60"/>
    </row>
    <row r="13180" spans="7:24" ht="15" customHeight="1">
      <c r="G13180"/>
      <c r="I13180"/>
      <c r="N13180"/>
      <c r="O13180" s="24"/>
      <c r="P13180"/>
      <c r="Q13180" s="24"/>
      <c r="R13180"/>
      <c r="S13180"/>
      <c r="T13180"/>
      <c r="U13180"/>
      <c r="X13180" s="60"/>
    </row>
    <row r="13181" spans="7:24" ht="15" customHeight="1">
      <c r="G13181"/>
      <c r="I13181"/>
      <c r="N13181"/>
      <c r="O13181" s="24"/>
      <c r="P13181"/>
      <c r="Q13181" s="24"/>
      <c r="R13181"/>
      <c r="S13181"/>
      <c r="T13181"/>
      <c r="U13181"/>
      <c r="X13181" s="60"/>
    </row>
    <row r="13182" spans="7:24" ht="15" customHeight="1">
      <c r="G13182"/>
      <c r="I13182"/>
      <c r="N13182"/>
      <c r="O13182" s="24"/>
      <c r="P13182"/>
      <c r="Q13182" s="24"/>
      <c r="R13182"/>
      <c r="S13182"/>
      <c r="T13182"/>
      <c r="U13182"/>
      <c r="X13182" s="60"/>
    </row>
    <row r="13183" spans="7:24" ht="15" customHeight="1">
      <c r="G13183"/>
      <c r="I13183"/>
      <c r="N13183"/>
      <c r="O13183" s="24"/>
      <c r="P13183"/>
      <c r="Q13183" s="24"/>
      <c r="R13183"/>
      <c r="S13183"/>
      <c r="T13183"/>
      <c r="U13183"/>
      <c r="X13183" s="60"/>
    </row>
    <row r="13184" spans="7:24" ht="15" customHeight="1">
      <c r="G13184"/>
      <c r="I13184"/>
      <c r="N13184"/>
      <c r="O13184" s="24"/>
      <c r="P13184"/>
      <c r="Q13184" s="24"/>
      <c r="R13184"/>
      <c r="S13184"/>
      <c r="T13184"/>
      <c r="U13184"/>
      <c r="X13184" s="60"/>
    </row>
    <row r="13185" spans="7:24" ht="15" customHeight="1">
      <c r="G13185"/>
      <c r="I13185"/>
      <c r="N13185"/>
      <c r="O13185" s="24"/>
      <c r="P13185"/>
      <c r="Q13185" s="24"/>
      <c r="R13185"/>
      <c r="S13185"/>
      <c r="T13185"/>
      <c r="U13185"/>
      <c r="X13185" s="60"/>
    </row>
    <row r="13186" spans="7:24" ht="15" customHeight="1">
      <c r="G13186"/>
      <c r="I13186"/>
      <c r="N13186"/>
      <c r="O13186" s="24"/>
      <c r="P13186"/>
      <c r="Q13186" s="24"/>
      <c r="R13186"/>
      <c r="S13186"/>
      <c r="T13186"/>
      <c r="U13186"/>
      <c r="X13186" s="60"/>
    </row>
    <row r="13187" spans="7:24" ht="15" customHeight="1">
      <c r="G13187"/>
      <c r="I13187"/>
      <c r="N13187"/>
      <c r="O13187" s="24"/>
      <c r="P13187"/>
      <c r="Q13187" s="24"/>
      <c r="R13187"/>
      <c r="S13187"/>
      <c r="T13187"/>
      <c r="U13187"/>
      <c r="X13187" s="60"/>
    </row>
    <row r="13188" spans="7:24" ht="15" customHeight="1">
      <c r="G13188"/>
      <c r="I13188"/>
      <c r="N13188"/>
      <c r="O13188" s="24"/>
      <c r="P13188"/>
      <c r="Q13188" s="24"/>
      <c r="R13188"/>
      <c r="S13188"/>
      <c r="T13188"/>
      <c r="U13188"/>
      <c r="X13188" s="60"/>
    </row>
    <row r="13189" spans="7:24" ht="15" customHeight="1">
      <c r="G13189"/>
      <c r="I13189"/>
      <c r="N13189"/>
      <c r="O13189" s="24"/>
      <c r="P13189"/>
      <c r="Q13189" s="24"/>
      <c r="R13189"/>
      <c r="S13189"/>
      <c r="T13189"/>
      <c r="U13189"/>
      <c r="X13189" s="60"/>
    </row>
    <row r="13190" spans="7:24" ht="15" customHeight="1">
      <c r="G13190"/>
      <c r="I13190"/>
      <c r="N13190"/>
      <c r="O13190" s="24"/>
      <c r="P13190"/>
      <c r="Q13190" s="24"/>
      <c r="R13190"/>
      <c r="S13190"/>
      <c r="T13190"/>
      <c r="U13190"/>
      <c r="X13190" s="60"/>
    </row>
    <row r="13191" spans="7:24" ht="15" customHeight="1">
      <c r="G13191"/>
      <c r="I13191"/>
      <c r="N13191"/>
      <c r="O13191" s="24"/>
      <c r="P13191"/>
      <c r="Q13191" s="24"/>
      <c r="R13191"/>
      <c r="S13191"/>
      <c r="T13191"/>
      <c r="U13191"/>
      <c r="X13191" s="60"/>
    </row>
    <row r="13192" spans="7:24" ht="15" customHeight="1">
      <c r="G13192"/>
      <c r="I13192"/>
      <c r="N13192"/>
      <c r="O13192" s="24"/>
      <c r="P13192"/>
      <c r="Q13192" s="24"/>
      <c r="R13192"/>
      <c r="S13192"/>
      <c r="T13192"/>
      <c r="U13192"/>
      <c r="X13192" s="60"/>
    </row>
    <row r="13193" spans="7:24" ht="15" customHeight="1">
      <c r="G13193"/>
      <c r="I13193"/>
      <c r="N13193"/>
      <c r="O13193" s="24"/>
      <c r="P13193"/>
      <c r="Q13193" s="24"/>
      <c r="R13193"/>
      <c r="S13193"/>
      <c r="T13193"/>
      <c r="U13193"/>
      <c r="X13193" s="60"/>
    </row>
    <row r="13194" spans="7:24" ht="15" customHeight="1">
      <c r="G13194"/>
      <c r="I13194"/>
      <c r="N13194"/>
      <c r="O13194" s="24"/>
      <c r="P13194"/>
      <c r="Q13194" s="24"/>
      <c r="R13194"/>
      <c r="S13194"/>
      <c r="T13194"/>
      <c r="U13194"/>
      <c r="X13194" s="60"/>
    </row>
    <row r="13195" spans="7:24" ht="15" customHeight="1">
      <c r="G13195"/>
      <c r="I13195"/>
      <c r="N13195"/>
      <c r="O13195" s="24"/>
      <c r="P13195"/>
      <c r="Q13195" s="24"/>
      <c r="R13195"/>
      <c r="S13195"/>
      <c r="T13195"/>
      <c r="U13195"/>
      <c r="X13195" s="60"/>
    </row>
    <row r="13196" spans="7:24" ht="15" customHeight="1">
      <c r="G13196"/>
      <c r="I13196"/>
      <c r="N13196"/>
      <c r="O13196" s="24"/>
      <c r="P13196"/>
      <c r="Q13196" s="24"/>
      <c r="R13196"/>
      <c r="S13196"/>
      <c r="T13196"/>
      <c r="U13196"/>
      <c r="X13196" s="60"/>
    </row>
    <row r="13197" spans="7:24" ht="15" customHeight="1">
      <c r="G13197"/>
      <c r="I13197"/>
      <c r="N13197"/>
      <c r="O13197" s="24"/>
      <c r="P13197"/>
      <c r="Q13197" s="24"/>
      <c r="R13197"/>
      <c r="S13197"/>
      <c r="T13197"/>
      <c r="U13197"/>
      <c r="X13197" s="60"/>
    </row>
    <row r="13198" spans="7:24" ht="15" customHeight="1">
      <c r="G13198"/>
      <c r="I13198"/>
      <c r="N13198"/>
      <c r="O13198" s="24"/>
      <c r="P13198"/>
      <c r="Q13198" s="24"/>
      <c r="R13198"/>
      <c r="S13198"/>
      <c r="T13198"/>
      <c r="U13198"/>
      <c r="X13198" s="60"/>
    </row>
    <row r="13199" spans="7:24" ht="15" customHeight="1">
      <c r="G13199"/>
      <c r="I13199"/>
      <c r="N13199"/>
      <c r="O13199" s="24"/>
      <c r="P13199"/>
      <c r="Q13199" s="24"/>
      <c r="R13199"/>
      <c r="S13199"/>
      <c r="T13199"/>
      <c r="U13199"/>
      <c r="X13199" s="60"/>
    </row>
    <row r="13200" spans="7:24" ht="15" customHeight="1">
      <c r="G13200"/>
      <c r="I13200"/>
      <c r="N13200"/>
      <c r="O13200" s="24"/>
      <c r="P13200"/>
      <c r="Q13200" s="24"/>
      <c r="R13200"/>
      <c r="S13200"/>
      <c r="T13200"/>
      <c r="U13200"/>
      <c r="X13200" s="60"/>
    </row>
    <row r="13201" spans="7:24" ht="15" customHeight="1">
      <c r="G13201"/>
      <c r="I13201"/>
      <c r="N13201"/>
      <c r="O13201" s="24"/>
      <c r="P13201"/>
      <c r="Q13201" s="24"/>
      <c r="R13201"/>
      <c r="S13201"/>
      <c r="T13201"/>
      <c r="U13201"/>
      <c r="X13201" s="60"/>
    </row>
    <row r="13202" spans="7:24" ht="15" customHeight="1">
      <c r="G13202"/>
      <c r="I13202"/>
      <c r="N13202"/>
      <c r="O13202" s="24"/>
      <c r="P13202"/>
      <c r="Q13202" s="24"/>
      <c r="R13202"/>
      <c r="S13202"/>
      <c r="T13202"/>
      <c r="U13202"/>
      <c r="X13202" s="60"/>
    </row>
    <row r="13203" spans="7:24" ht="15" customHeight="1">
      <c r="G13203"/>
      <c r="I13203"/>
      <c r="N13203"/>
      <c r="O13203" s="24"/>
      <c r="P13203"/>
      <c r="Q13203" s="24"/>
      <c r="R13203"/>
      <c r="S13203"/>
      <c r="T13203"/>
      <c r="U13203"/>
      <c r="X13203" s="60"/>
    </row>
    <row r="13204" spans="7:24" ht="15" customHeight="1">
      <c r="G13204"/>
      <c r="I13204"/>
      <c r="N13204"/>
      <c r="O13204" s="24"/>
      <c r="P13204"/>
      <c r="Q13204" s="24"/>
      <c r="R13204"/>
      <c r="S13204"/>
      <c r="T13204"/>
      <c r="U13204"/>
      <c r="X13204" s="60"/>
    </row>
    <row r="13205" spans="7:24" ht="15" customHeight="1">
      <c r="G13205"/>
      <c r="I13205"/>
      <c r="N13205"/>
      <c r="O13205" s="24"/>
      <c r="P13205"/>
      <c r="Q13205" s="24"/>
      <c r="R13205"/>
      <c r="S13205"/>
      <c r="T13205"/>
      <c r="U13205"/>
      <c r="X13205" s="60"/>
    </row>
    <row r="13206" spans="7:24" ht="15" customHeight="1">
      <c r="G13206"/>
      <c r="I13206"/>
      <c r="N13206"/>
      <c r="O13206" s="24"/>
      <c r="P13206"/>
      <c r="Q13206" s="24"/>
      <c r="R13206"/>
      <c r="S13206"/>
      <c r="T13206"/>
      <c r="U13206"/>
      <c r="X13206" s="60"/>
    </row>
    <row r="13207" spans="7:24" ht="15" customHeight="1">
      <c r="G13207"/>
      <c r="I13207"/>
      <c r="N13207"/>
      <c r="O13207" s="24"/>
      <c r="P13207"/>
      <c r="Q13207" s="24"/>
      <c r="R13207"/>
      <c r="S13207"/>
      <c r="T13207"/>
      <c r="U13207"/>
      <c r="X13207" s="60"/>
    </row>
    <row r="13208" spans="7:24" ht="15" customHeight="1">
      <c r="G13208"/>
      <c r="I13208"/>
      <c r="N13208"/>
      <c r="O13208" s="24"/>
      <c r="P13208"/>
      <c r="Q13208" s="24"/>
      <c r="R13208"/>
      <c r="S13208"/>
      <c r="T13208"/>
      <c r="U13208"/>
      <c r="X13208" s="60"/>
    </row>
    <row r="13209" spans="7:24" ht="15" customHeight="1">
      <c r="G13209"/>
      <c r="I13209"/>
      <c r="N13209"/>
      <c r="O13209" s="24"/>
      <c r="P13209"/>
      <c r="Q13209" s="24"/>
      <c r="R13209"/>
      <c r="S13209"/>
      <c r="T13209"/>
      <c r="U13209"/>
      <c r="X13209" s="60"/>
    </row>
    <row r="13210" spans="7:24" ht="15" customHeight="1">
      <c r="G13210"/>
      <c r="I13210"/>
      <c r="N13210"/>
      <c r="O13210" s="24"/>
      <c r="P13210"/>
      <c r="Q13210" s="24"/>
      <c r="R13210"/>
      <c r="S13210"/>
      <c r="T13210"/>
      <c r="U13210"/>
      <c r="X13210" s="60"/>
    </row>
    <row r="13211" spans="7:24" ht="15" customHeight="1">
      <c r="G13211"/>
      <c r="I13211"/>
      <c r="N13211"/>
      <c r="O13211" s="24"/>
      <c r="P13211"/>
      <c r="Q13211" s="24"/>
      <c r="R13211"/>
      <c r="S13211"/>
      <c r="T13211"/>
      <c r="U13211"/>
      <c r="X13211" s="60"/>
    </row>
    <row r="13212" spans="7:24" ht="15" customHeight="1">
      <c r="G13212"/>
      <c r="I13212"/>
      <c r="N13212"/>
      <c r="O13212" s="24"/>
      <c r="P13212"/>
      <c r="Q13212" s="24"/>
      <c r="R13212"/>
      <c r="S13212"/>
      <c r="T13212"/>
      <c r="U13212"/>
      <c r="X13212" s="60"/>
    </row>
    <row r="13213" spans="7:24" ht="15" customHeight="1">
      <c r="G13213"/>
      <c r="I13213"/>
      <c r="N13213"/>
      <c r="O13213" s="24"/>
      <c r="P13213"/>
      <c r="Q13213" s="24"/>
      <c r="R13213"/>
      <c r="S13213"/>
      <c r="T13213"/>
      <c r="U13213"/>
      <c r="X13213" s="60"/>
    </row>
    <row r="13214" spans="7:24" ht="15" customHeight="1">
      <c r="G13214"/>
      <c r="I13214"/>
      <c r="N13214"/>
      <c r="O13214" s="24"/>
      <c r="P13214"/>
      <c r="Q13214" s="24"/>
      <c r="R13214"/>
      <c r="S13214"/>
      <c r="T13214"/>
      <c r="U13214"/>
      <c r="X13214" s="60"/>
    </row>
    <row r="13215" spans="7:24" ht="15" customHeight="1">
      <c r="G13215"/>
      <c r="I13215"/>
      <c r="N13215"/>
      <c r="O13215" s="24"/>
      <c r="P13215"/>
      <c r="Q13215" s="24"/>
      <c r="R13215"/>
      <c r="S13215"/>
      <c r="T13215"/>
      <c r="U13215"/>
      <c r="X13215" s="60"/>
    </row>
    <row r="13216" spans="7:24" ht="15" customHeight="1">
      <c r="G13216"/>
      <c r="I13216"/>
      <c r="N13216"/>
      <c r="O13216" s="24"/>
      <c r="P13216"/>
      <c r="Q13216" s="24"/>
      <c r="R13216"/>
      <c r="S13216"/>
      <c r="T13216"/>
      <c r="U13216"/>
      <c r="X13216" s="60"/>
    </row>
    <row r="13217" spans="7:24" ht="15" customHeight="1">
      <c r="G13217"/>
      <c r="I13217"/>
      <c r="N13217"/>
      <c r="O13217" s="24"/>
      <c r="P13217"/>
      <c r="Q13217" s="24"/>
      <c r="R13217"/>
      <c r="S13217"/>
      <c r="T13217"/>
      <c r="U13217"/>
      <c r="X13217" s="60"/>
    </row>
    <row r="13218" spans="7:24" ht="15" customHeight="1">
      <c r="G13218"/>
      <c r="I13218"/>
      <c r="N13218"/>
      <c r="O13218" s="24"/>
      <c r="P13218"/>
      <c r="Q13218" s="24"/>
      <c r="R13218"/>
      <c r="S13218"/>
      <c r="T13218"/>
      <c r="U13218"/>
      <c r="X13218" s="60"/>
    </row>
    <row r="13219" spans="7:24" ht="15" customHeight="1">
      <c r="G13219"/>
      <c r="I13219"/>
      <c r="N13219"/>
      <c r="O13219" s="24"/>
      <c r="P13219"/>
      <c r="Q13219" s="24"/>
      <c r="R13219"/>
      <c r="S13219"/>
      <c r="T13219"/>
      <c r="U13219"/>
      <c r="X13219" s="60"/>
    </row>
    <row r="13220" spans="7:24" ht="15" customHeight="1">
      <c r="G13220"/>
      <c r="I13220"/>
      <c r="N13220"/>
      <c r="O13220" s="24"/>
      <c r="P13220"/>
      <c r="Q13220" s="24"/>
      <c r="R13220"/>
      <c r="S13220"/>
      <c r="T13220"/>
      <c r="U13220"/>
      <c r="X13220" s="60"/>
    </row>
    <row r="13221" spans="7:24" ht="15" customHeight="1">
      <c r="G13221"/>
      <c r="I13221"/>
      <c r="N13221"/>
      <c r="O13221" s="24"/>
      <c r="P13221"/>
      <c r="Q13221" s="24"/>
      <c r="R13221"/>
      <c r="S13221"/>
      <c r="T13221"/>
      <c r="U13221"/>
      <c r="X13221" s="60"/>
    </row>
    <row r="13222" spans="7:24" ht="15" customHeight="1">
      <c r="G13222"/>
      <c r="I13222"/>
      <c r="N13222"/>
      <c r="O13222" s="24"/>
      <c r="P13222"/>
      <c r="Q13222" s="24"/>
      <c r="R13222"/>
      <c r="S13222"/>
      <c r="T13222"/>
      <c r="U13222"/>
      <c r="X13222" s="60"/>
    </row>
    <row r="13223" spans="7:24" ht="15" customHeight="1">
      <c r="G13223"/>
      <c r="I13223"/>
      <c r="N13223"/>
      <c r="O13223" s="24"/>
      <c r="P13223"/>
      <c r="Q13223" s="24"/>
      <c r="R13223"/>
      <c r="S13223"/>
      <c r="T13223"/>
      <c r="U13223"/>
      <c r="X13223" s="60"/>
    </row>
    <row r="13224" spans="7:24" ht="15" customHeight="1">
      <c r="G13224"/>
      <c r="I13224"/>
      <c r="N13224"/>
      <c r="O13224" s="24"/>
      <c r="P13224"/>
      <c r="Q13224" s="24"/>
      <c r="R13224"/>
      <c r="S13224"/>
      <c r="T13224"/>
      <c r="U13224"/>
      <c r="X13224" s="60"/>
    </row>
    <row r="13225" spans="7:24" ht="15" customHeight="1">
      <c r="G13225"/>
      <c r="I13225"/>
      <c r="N13225"/>
      <c r="O13225" s="24"/>
      <c r="P13225"/>
      <c r="Q13225" s="24"/>
      <c r="R13225"/>
      <c r="S13225"/>
      <c r="T13225"/>
      <c r="U13225"/>
      <c r="X13225" s="60"/>
    </row>
    <row r="13226" spans="7:24" ht="15" customHeight="1">
      <c r="G13226"/>
      <c r="I13226"/>
      <c r="N13226"/>
      <c r="O13226" s="24"/>
      <c r="P13226"/>
      <c r="Q13226" s="24"/>
      <c r="R13226"/>
      <c r="S13226"/>
      <c r="T13226"/>
      <c r="U13226"/>
      <c r="X13226" s="60"/>
    </row>
    <row r="13227" spans="7:24" ht="15" customHeight="1">
      <c r="G13227"/>
      <c r="I13227"/>
      <c r="N13227"/>
      <c r="O13227" s="24"/>
      <c r="P13227"/>
      <c r="Q13227" s="24"/>
      <c r="R13227"/>
      <c r="S13227"/>
      <c r="T13227"/>
      <c r="U13227"/>
      <c r="X13227" s="60"/>
    </row>
    <row r="13228" spans="7:24" ht="15" customHeight="1">
      <c r="G13228"/>
      <c r="I13228"/>
      <c r="N13228"/>
      <c r="O13228" s="24"/>
      <c r="P13228"/>
      <c r="Q13228" s="24"/>
      <c r="R13228"/>
      <c r="S13228"/>
      <c r="T13228"/>
      <c r="U13228"/>
      <c r="X13228" s="60"/>
    </row>
    <row r="13229" spans="7:24" ht="15" customHeight="1">
      <c r="G13229"/>
      <c r="I13229"/>
      <c r="N13229"/>
      <c r="O13229" s="24"/>
      <c r="P13229"/>
      <c r="Q13229" s="24"/>
      <c r="R13229"/>
      <c r="S13229"/>
      <c r="T13229"/>
      <c r="U13229"/>
      <c r="X13229" s="60"/>
    </row>
    <row r="13230" spans="7:24" ht="15" customHeight="1">
      <c r="G13230"/>
      <c r="I13230"/>
      <c r="N13230"/>
      <c r="O13230" s="24"/>
      <c r="P13230"/>
      <c r="Q13230" s="24"/>
      <c r="R13230"/>
      <c r="S13230"/>
      <c r="T13230"/>
      <c r="U13230"/>
      <c r="X13230" s="60"/>
    </row>
    <row r="13231" spans="7:24" ht="15" customHeight="1">
      <c r="G13231"/>
      <c r="I13231"/>
      <c r="N13231"/>
      <c r="O13231" s="24"/>
      <c r="P13231"/>
      <c r="Q13231" s="24"/>
      <c r="R13231"/>
      <c r="S13231"/>
      <c r="T13231"/>
      <c r="U13231"/>
      <c r="X13231" s="60"/>
    </row>
    <row r="13232" spans="7:24" ht="15" customHeight="1">
      <c r="G13232"/>
      <c r="I13232"/>
      <c r="N13232"/>
      <c r="O13232" s="24"/>
      <c r="P13232"/>
      <c r="Q13232" s="24"/>
      <c r="R13232"/>
      <c r="S13232"/>
      <c r="T13232"/>
      <c r="U13232"/>
      <c r="X13232" s="60"/>
    </row>
    <row r="13233" spans="7:24" ht="15" customHeight="1">
      <c r="G13233"/>
      <c r="I13233"/>
      <c r="N13233"/>
      <c r="O13233" s="24"/>
      <c r="P13233"/>
      <c r="Q13233" s="24"/>
      <c r="R13233"/>
      <c r="S13233"/>
      <c r="T13233"/>
      <c r="U13233"/>
      <c r="X13233" s="60"/>
    </row>
    <row r="13234" spans="7:24" ht="15" customHeight="1">
      <c r="G13234"/>
      <c r="I13234"/>
      <c r="N13234"/>
      <c r="O13234" s="24"/>
      <c r="P13234"/>
      <c r="Q13234" s="24"/>
      <c r="R13234"/>
      <c r="S13234"/>
      <c r="T13234"/>
      <c r="U13234"/>
      <c r="X13234" s="60"/>
    </row>
    <row r="13235" spans="7:24" ht="15" customHeight="1">
      <c r="G13235"/>
      <c r="I13235"/>
      <c r="N13235"/>
      <c r="O13235" s="24"/>
      <c r="P13235"/>
      <c r="Q13235" s="24"/>
      <c r="R13235"/>
      <c r="S13235"/>
      <c r="T13235"/>
      <c r="U13235"/>
      <c r="X13235" s="60"/>
    </row>
    <row r="13236" spans="7:24" ht="15" customHeight="1">
      <c r="G13236"/>
      <c r="I13236"/>
      <c r="N13236"/>
      <c r="O13236" s="24"/>
      <c r="P13236"/>
      <c r="Q13236" s="24"/>
      <c r="R13236"/>
      <c r="S13236"/>
      <c r="T13236"/>
      <c r="U13236"/>
      <c r="X13236" s="60"/>
    </row>
    <row r="13237" spans="7:24" ht="15" customHeight="1">
      <c r="G13237"/>
      <c r="I13237"/>
      <c r="N13237"/>
      <c r="O13237" s="24"/>
      <c r="P13237"/>
      <c r="Q13237" s="24"/>
      <c r="R13237"/>
      <c r="S13237"/>
      <c r="T13237"/>
      <c r="U13237"/>
      <c r="X13237" s="60"/>
    </row>
    <row r="13238" spans="7:24" ht="15" customHeight="1">
      <c r="G13238"/>
      <c r="I13238"/>
      <c r="N13238"/>
      <c r="O13238" s="24"/>
      <c r="P13238"/>
      <c r="Q13238" s="24"/>
      <c r="R13238"/>
      <c r="S13238"/>
      <c r="T13238"/>
      <c r="U13238"/>
      <c r="X13238" s="60"/>
    </row>
    <row r="13239" spans="7:24" ht="15" customHeight="1">
      <c r="G13239"/>
      <c r="I13239"/>
      <c r="N13239"/>
      <c r="O13239" s="24"/>
      <c r="P13239"/>
      <c r="Q13239" s="24"/>
      <c r="R13239"/>
      <c r="S13239"/>
      <c r="T13239"/>
      <c r="U13239"/>
      <c r="X13239" s="60"/>
    </row>
    <row r="13240" spans="7:24" ht="15" customHeight="1">
      <c r="G13240"/>
      <c r="I13240"/>
      <c r="N13240"/>
      <c r="O13240" s="24"/>
      <c r="P13240"/>
      <c r="Q13240" s="24"/>
      <c r="R13240"/>
      <c r="S13240"/>
      <c r="T13240"/>
      <c r="U13240"/>
      <c r="X13240" s="60"/>
    </row>
    <row r="13241" spans="7:24" ht="15" customHeight="1">
      <c r="G13241"/>
      <c r="I13241"/>
      <c r="N13241"/>
      <c r="O13241" s="24"/>
      <c r="P13241"/>
      <c r="Q13241" s="24"/>
      <c r="R13241"/>
      <c r="S13241"/>
      <c r="T13241"/>
      <c r="U13241"/>
      <c r="X13241" s="60"/>
    </row>
    <row r="13242" spans="7:24" ht="15" customHeight="1">
      <c r="G13242"/>
      <c r="I13242"/>
      <c r="N13242"/>
      <c r="O13242" s="24"/>
      <c r="P13242"/>
      <c r="Q13242" s="24"/>
      <c r="R13242"/>
      <c r="S13242"/>
      <c r="T13242"/>
      <c r="U13242"/>
      <c r="X13242" s="60"/>
    </row>
    <row r="13243" spans="7:24" ht="15" customHeight="1">
      <c r="G13243"/>
      <c r="I13243"/>
      <c r="N13243"/>
      <c r="O13243" s="24"/>
      <c r="P13243"/>
      <c r="Q13243" s="24"/>
      <c r="R13243"/>
      <c r="S13243"/>
      <c r="T13243"/>
      <c r="U13243"/>
      <c r="X13243" s="60"/>
    </row>
    <row r="13244" spans="7:24" ht="15" customHeight="1">
      <c r="G13244"/>
      <c r="I13244"/>
      <c r="N13244"/>
      <c r="O13244" s="24"/>
      <c r="P13244"/>
      <c r="Q13244" s="24"/>
      <c r="R13244"/>
      <c r="S13244"/>
      <c r="T13244"/>
      <c r="U13244"/>
      <c r="X13244" s="60"/>
    </row>
    <row r="13245" spans="7:24" ht="15" customHeight="1">
      <c r="G13245"/>
      <c r="I13245"/>
      <c r="N13245"/>
      <c r="O13245" s="24"/>
      <c r="P13245"/>
      <c r="Q13245" s="24"/>
      <c r="R13245"/>
      <c r="S13245"/>
      <c r="T13245"/>
      <c r="U13245"/>
      <c r="X13245" s="60"/>
    </row>
    <row r="13246" spans="7:24" ht="15" customHeight="1">
      <c r="G13246"/>
      <c r="I13246"/>
      <c r="N13246"/>
      <c r="O13246" s="24"/>
      <c r="P13246"/>
      <c r="Q13246" s="24"/>
      <c r="R13246"/>
      <c r="S13246"/>
      <c r="T13246"/>
      <c r="U13246"/>
      <c r="X13246" s="60"/>
    </row>
    <row r="13247" spans="7:24" ht="15" customHeight="1">
      <c r="G13247"/>
      <c r="I13247"/>
      <c r="N13247"/>
      <c r="O13247" s="24"/>
      <c r="P13247"/>
      <c r="Q13247" s="24"/>
      <c r="R13247"/>
      <c r="S13247"/>
      <c r="T13247"/>
      <c r="U13247"/>
      <c r="X13247" s="60"/>
    </row>
    <row r="13248" spans="7:24" ht="15" customHeight="1">
      <c r="G13248"/>
      <c r="I13248"/>
      <c r="N13248"/>
      <c r="O13248" s="24"/>
      <c r="P13248"/>
      <c r="Q13248" s="24"/>
      <c r="R13248"/>
      <c r="S13248"/>
      <c r="T13248"/>
      <c r="U13248"/>
      <c r="X13248" s="60"/>
    </row>
    <row r="13249" spans="7:24" ht="15" customHeight="1">
      <c r="G13249"/>
      <c r="I13249"/>
      <c r="N13249"/>
      <c r="O13249" s="24"/>
      <c r="P13249"/>
      <c r="Q13249" s="24"/>
      <c r="R13249"/>
      <c r="S13249"/>
      <c r="T13249"/>
      <c r="U13249"/>
      <c r="X13249" s="60"/>
    </row>
    <row r="13250" spans="7:24" ht="15" customHeight="1">
      <c r="G13250"/>
      <c r="I13250"/>
      <c r="N13250"/>
      <c r="O13250" s="24"/>
      <c r="P13250"/>
      <c r="Q13250" s="24"/>
      <c r="R13250"/>
      <c r="S13250"/>
      <c r="T13250"/>
      <c r="U13250"/>
      <c r="X13250" s="60"/>
    </row>
    <row r="13251" spans="7:24" ht="15" customHeight="1">
      <c r="G13251"/>
      <c r="I13251"/>
      <c r="N13251"/>
      <c r="O13251" s="24"/>
      <c r="P13251"/>
      <c r="Q13251" s="24"/>
      <c r="R13251"/>
      <c r="S13251"/>
      <c r="T13251"/>
      <c r="U13251"/>
      <c r="X13251" s="60"/>
    </row>
    <row r="13252" spans="7:24" ht="15" customHeight="1">
      <c r="G13252"/>
      <c r="I13252"/>
      <c r="N13252"/>
      <c r="O13252" s="24"/>
      <c r="P13252"/>
      <c r="Q13252" s="24"/>
      <c r="R13252"/>
      <c r="S13252"/>
      <c r="T13252"/>
      <c r="U13252"/>
      <c r="X13252" s="60"/>
    </row>
    <row r="13253" spans="7:24" ht="15" customHeight="1">
      <c r="G13253"/>
      <c r="I13253"/>
      <c r="N13253"/>
      <c r="O13253" s="24"/>
      <c r="P13253"/>
      <c r="Q13253" s="24"/>
      <c r="R13253"/>
      <c r="S13253"/>
      <c r="T13253"/>
      <c r="U13253"/>
      <c r="X13253" s="60"/>
    </row>
    <row r="13254" spans="7:24" ht="15" customHeight="1">
      <c r="G13254"/>
      <c r="I13254"/>
      <c r="N13254"/>
      <c r="O13254" s="24"/>
      <c r="P13254"/>
      <c r="Q13254" s="24"/>
      <c r="R13254"/>
      <c r="S13254"/>
      <c r="T13254"/>
      <c r="U13254"/>
      <c r="X13254" s="60"/>
    </row>
    <row r="13255" spans="7:24" ht="15" customHeight="1">
      <c r="G13255"/>
      <c r="I13255"/>
      <c r="N13255"/>
      <c r="O13255" s="24"/>
      <c r="P13255"/>
      <c r="Q13255" s="24"/>
      <c r="R13255"/>
      <c r="S13255"/>
      <c r="T13255"/>
      <c r="U13255"/>
      <c r="X13255" s="60"/>
    </row>
    <row r="13256" spans="7:24" ht="15" customHeight="1">
      <c r="G13256"/>
      <c r="I13256"/>
      <c r="N13256"/>
      <c r="O13256" s="24"/>
      <c r="P13256"/>
      <c r="Q13256" s="24"/>
      <c r="R13256"/>
      <c r="S13256"/>
      <c r="T13256"/>
      <c r="U13256"/>
      <c r="X13256" s="60"/>
    </row>
    <row r="13257" spans="7:24" ht="15" customHeight="1">
      <c r="G13257"/>
      <c r="I13257"/>
      <c r="N13257"/>
      <c r="O13257" s="24"/>
      <c r="P13257"/>
      <c r="Q13257" s="24"/>
      <c r="R13257"/>
      <c r="S13257"/>
      <c r="T13257"/>
      <c r="U13257"/>
      <c r="X13257" s="60"/>
    </row>
    <row r="13258" spans="7:24" ht="15" customHeight="1">
      <c r="G13258"/>
      <c r="I13258"/>
      <c r="N13258"/>
      <c r="O13258" s="24"/>
      <c r="P13258"/>
      <c r="Q13258" s="24"/>
      <c r="R13258"/>
      <c r="S13258"/>
      <c r="T13258"/>
      <c r="U13258"/>
      <c r="X13258" s="60"/>
    </row>
    <row r="13259" spans="7:24" ht="15" customHeight="1">
      <c r="G13259"/>
      <c r="I13259"/>
      <c r="N13259"/>
      <c r="O13259" s="24"/>
      <c r="P13259"/>
      <c r="Q13259" s="24"/>
      <c r="R13259"/>
      <c r="S13259"/>
      <c r="T13259"/>
      <c r="U13259"/>
      <c r="X13259" s="60"/>
    </row>
    <row r="13260" spans="7:24" ht="15" customHeight="1">
      <c r="G13260"/>
      <c r="I13260"/>
      <c r="N13260"/>
      <c r="O13260" s="24"/>
      <c r="P13260"/>
      <c r="Q13260" s="24"/>
      <c r="R13260"/>
      <c r="S13260"/>
      <c r="T13260"/>
      <c r="U13260"/>
      <c r="X13260" s="60"/>
    </row>
    <row r="13261" spans="7:24" ht="15" customHeight="1">
      <c r="G13261"/>
      <c r="I13261"/>
      <c r="N13261"/>
      <c r="O13261" s="24"/>
      <c r="P13261"/>
      <c r="Q13261" s="24"/>
      <c r="R13261"/>
      <c r="S13261"/>
      <c r="T13261"/>
      <c r="U13261"/>
      <c r="X13261" s="60"/>
    </row>
    <row r="13262" spans="7:24" ht="15" customHeight="1">
      <c r="G13262"/>
      <c r="I13262"/>
      <c r="N13262"/>
      <c r="O13262" s="24"/>
      <c r="P13262"/>
      <c r="Q13262" s="24"/>
      <c r="R13262"/>
      <c r="S13262"/>
      <c r="T13262"/>
      <c r="U13262"/>
      <c r="X13262" s="60"/>
    </row>
    <row r="13263" spans="7:24" ht="15" customHeight="1">
      <c r="G13263"/>
      <c r="I13263"/>
      <c r="N13263"/>
      <c r="O13263" s="24"/>
      <c r="P13263"/>
      <c r="Q13263" s="24"/>
      <c r="R13263"/>
      <c r="S13263"/>
      <c r="T13263"/>
      <c r="U13263"/>
      <c r="X13263" s="60"/>
    </row>
    <row r="13264" spans="7:24" ht="15" customHeight="1">
      <c r="G13264"/>
      <c r="I13264"/>
      <c r="N13264"/>
      <c r="O13264" s="24"/>
      <c r="P13264"/>
      <c r="Q13264" s="24"/>
      <c r="R13264"/>
      <c r="S13264"/>
      <c r="T13264"/>
      <c r="U13264"/>
      <c r="X13264" s="60"/>
    </row>
    <row r="13265" spans="7:24" ht="15" customHeight="1">
      <c r="G13265"/>
      <c r="I13265"/>
      <c r="N13265"/>
      <c r="O13265" s="24"/>
      <c r="P13265"/>
      <c r="Q13265" s="24"/>
      <c r="R13265"/>
      <c r="S13265"/>
      <c r="T13265"/>
      <c r="U13265"/>
      <c r="X13265" s="60"/>
    </row>
    <row r="13266" spans="7:24" ht="15" customHeight="1">
      <c r="G13266"/>
      <c r="I13266"/>
      <c r="N13266"/>
      <c r="O13266" s="24"/>
      <c r="P13266"/>
      <c r="Q13266" s="24"/>
      <c r="R13266"/>
      <c r="S13266"/>
      <c r="T13266"/>
      <c r="U13266"/>
      <c r="X13266" s="60"/>
    </row>
    <row r="13267" spans="7:24" ht="15" customHeight="1">
      <c r="G13267"/>
      <c r="I13267"/>
      <c r="N13267"/>
      <c r="O13267" s="24"/>
      <c r="P13267"/>
      <c r="Q13267" s="24"/>
      <c r="R13267"/>
      <c r="S13267"/>
      <c r="T13267"/>
      <c r="U13267"/>
      <c r="X13267" s="60"/>
    </row>
    <row r="13268" spans="7:24" ht="15" customHeight="1">
      <c r="G13268"/>
      <c r="I13268"/>
      <c r="N13268"/>
      <c r="O13268" s="24"/>
      <c r="P13268"/>
      <c r="Q13268" s="24"/>
      <c r="R13268"/>
      <c r="S13268"/>
      <c r="T13268"/>
      <c r="U13268"/>
      <c r="X13268" s="60"/>
    </row>
    <row r="13269" spans="7:24" ht="15" customHeight="1">
      <c r="G13269"/>
      <c r="I13269"/>
      <c r="N13269"/>
      <c r="O13269" s="24"/>
      <c r="P13269"/>
      <c r="Q13269" s="24"/>
      <c r="R13269"/>
      <c r="S13269"/>
      <c r="T13269"/>
      <c r="U13269"/>
      <c r="X13269" s="60"/>
    </row>
    <row r="13270" spans="7:24" ht="15" customHeight="1">
      <c r="G13270"/>
      <c r="I13270"/>
      <c r="N13270"/>
      <c r="O13270" s="24"/>
      <c r="P13270"/>
      <c r="Q13270" s="24"/>
      <c r="R13270"/>
      <c r="S13270"/>
      <c r="T13270"/>
      <c r="U13270"/>
      <c r="X13270" s="60"/>
    </row>
    <row r="13271" spans="7:24" ht="15" customHeight="1">
      <c r="G13271"/>
      <c r="I13271"/>
      <c r="N13271"/>
      <c r="O13271" s="24"/>
      <c r="P13271"/>
      <c r="Q13271" s="24"/>
      <c r="R13271"/>
      <c r="S13271"/>
      <c r="T13271"/>
      <c r="U13271"/>
      <c r="X13271" s="60"/>
    </row>
    <row r="13272" spans="7:24" ht="15" customHeight="1">
      <c r="G13272"/>
      <c r="I13272"/>
      <c r="N13272"/>
      <c r="O13272" s="24"/>
      <c r="P13272"/>
      <c r="Q13272" s="24"/>
      <c r="R13272"/>
      <c r="S13272"/>
      <c r="T13272"/>
      <c r="U13272"/>
      <c r="X13272" s="60"/>
    </row>
    <row r="13273" spans="7:24" ht="15" customHeight="1">
      <c r="G13273"/>
      <c r="I13273"/>
      <c r="N13273"/>
      <c r="O13273" s="24"/>
      <c r="P13273"/>
      <c r="Q13273" s="24"/>
      <c r="R13273"/>
      <c r="S13273"/>
      <c r="T13273"/>
      <c r="U13273"/>
      <c r="X13273" s="60"/>
    </row>
    <row r="13274" spans="7:24" ht="15" customHeight="1">
      <c r="G13274"/>
      <c r="I13274"/>
      <c r="N13274"/>
      <c r="O13274" s="24"/>
      <c r="P13274"/>
      <c r="Q13274" s="24"/>
      <c r="R13274"/>
      <c r="S13274"/>
      <c r="T13274"/>
      <c r="U13274"/>
      <c r="X13274" s="60"/>
    </row>
    <row r="13275" spans="7:24" ht="15" customHeight="1">
      <c r="G13275"/>
      <c r="I13275"/>
      <c r="N13275"/>
      <c r="O13275" s="24"/>
      <c r="P13275"/>
      <c r="Q13275" s="24"/>
      <c r="R13275"/>
      <c r="S13275"/>
      <c r="T13275"/>
      <c r="U13275"/>
      <c r="X13275" s="60"/>
    </row>
    <row r="13276" spans="7:24" ht="15" customHeight="1">
      <c r="G13276"/>
      <c r="I13276"/>
      <c r="N13276"/>
      <c r="O13276" s="24"/>
      <c r="P13276"/>
      <c r="Q13276" s="24"/>
      <c r="R13276"/>
      <c r="S13276"/>
      <c r="T13276"/>
      <c r="U13276"/>
      <c r="X13276" s="60"/>
    </row>
    <row r="13277" spans="7:24" ht="15" customHeight="1">
      <c r="G13277"/>
      <c r="I13277"/>
      <c r="N13277"/>
      <c r="O13277" s="24"/>
      <c r="P13277"/>
      <c r="Q13277" s="24"/>
      <c r="R13277"/>
      <c r="S13277"/>
      <c r="T13277"/>
      <c r="U13277"/>
      <c r="X13277" s="60"/>
    </row>
    <row r="13278" spans="7:24" ht="15" customHeight="1">
      <c r="G13278"/>
      <c r="I13278"/>
      <c r="N13278"/>
      <c r="O13278" s="24"/>
      <c r="P13278"/>
      <c r="Q13278" s="24"/>
      <c r="R13278"/>
      <c r="S13278"/>
      <c r="T13278"/>
      <c r="U13278"/>
      <c r="X13278" s="60"/>
    </row>
    <row r="13279" spans="7:24" ht="15" customHeight="1">
      <c r="G13279"/>
      <c r="I13279"/>
      <c r="N13279"/>
      <c r="O13279" s="24"/>
      <c r="P13279"/>
      <c r="Q13279" s="24"/>
      <c r="R13279"/>
      <c r="S13279"/>
      <c r="T13279"/>
      <c r="U13279"/>
      <c r="X13279" s="60"/>
    </row>
    <row r="13280" spans="7:24" ht="15" customHeight="1">
      <c r="G13280"/>
      <c r="I13280"/>
      <c r="N13280"/>
      <c r="O13280" s="24"/>
      <c r="P13280"/>
      <c r="Q13280" s="24"/>
      <c r="R13280"/>
      <c r="S13280"/>
      <c r="T13280"/>
      <c r="U13280"/>
      <c r="X13280" s="60"/>
    </row>
    <row r="13281" spans="7:24" ht="15" customHeight="1">
      <c r="G13281"/>
      <c r="I13281"/>
      <c r="N13281"/>
      <c r="O13281" s="24"/>
      <c r="P13281"/>
      <c r="Q13281" s="24"/>
      <c r="R13281"/>
      <c r="S13281"/>
      <c r="T13281"/>
      <c r="U13281"/>
      <c r="X13281" s="60"/>
    </row>
    <row r="13282" spans="7:24" ht="15" customHeight="1">
      <c r="G13282"/>
      <c r="I13282"/>
      <c r="N13282"/>
      <c r="O13282" s="24"/>
      <c r="P13282"/>
      <c r="Q13282" s="24"/>
      <c r="R13282"/>
      <c r="S13282"/>
      <c r="T13282"/>
      <c r="U13282"/>
      <c r="X13282" s="60"/>
    </row>
    <row r="13283" spans="7:24" ht="15" customHeight="1">
      <c r="G13283"/>
      <c r="I13283"/>
      <c r="N13283"/>
      <c r="O13283" s="24"/>
      <c r="P13283"/>
      <c r="Q13283" s="24"/>
      <c r="R13283"/>
      <c r="S13283"/>
      <c r="T13283"/>
      <c r="U13283"/>
      <c r="X13283" s="60"/>
    </row>
    <row r="13284" spans="7:24" ht="15" customHeight="1">
      <c r="G13284"/>
      <c r="I13284"/>
      <c r="N13284"/>
      <c r="O13284" s="24"/>
      <c r="P13284"/>
      <c r="Q13284" s="24"/>
      <c r="R13284"/>
      <c r="S13284"/>
      <c r="T13284"/>
      <c r="U13284"/>
      <c r="X13284" s="60"/>
    </row>
    <row r="13285" spans="7:24" ht="15" customHeight="1">
      <c r="G13285"/>
      <c r="I13285"/>
      <c r="N13285"/>
      <c r="O13285" s="24"/>
      <c r="P13285"/>
      <c r="Q13285" s="24"/>
      <c r="R13285"/>
      <c r="S13285"/>
      <c r="T13285"/>
      <c r="U13285"/>
      <c r="X13285" s="60"/>
    </row>
    <row r="13286" spans="7:24" ht="15" customHeight="1">
      <c r="G13286"/>
      <c r="I13286"/>
      <c r="N13286"/>
      <c r="O13286" s="24"/>
      <c r="P13286"/>
      <c r="Q13286" s="24"/>
      <c r="R13286"/>
      <c r="S13286"/>
      <c r="T13286"/>
      <c r="U13286"/>
      <c r="X13286" s="60"/>
    </row>
    <row r="13287" spans="7:24" ht="15" customHeight="1">
      <c r="G13287"/>
      <c r="I13287"/>
      <c r="N13287"/>
      <c r="O13287" s="24"/>
      <c r="P13287"/>
      <c r="Q13287" s="24"/>
      <c r="R13287"/>
      <c r="S13287"/>
      <c r="T13287"/>
      <c r="U13287"/>
      <c r="X13287" s="60"/>
    </row>
    <row r="13288" spans="7:24" ht="15" customHeight="1">
      <c r="G13288"/>
      <c r="I13288"/>
      <c r="N13288"/>
      <c r="O13288" s="24"/>
      <c r="P13288"/>
      <c r="Q13288" s="24"/>
      <c r="R13288"/>
      <c r="S13288"/>
      <c r="T13288"/>
      <c r="U13288"/>
      <c r="X13288" s="60"/>
    </row>
    <row r="13289" spans="7:24" ht="15" customHeight="1">
      <c r="G13289"/>
      <c r="I13289"/>
      <c r="N13289"/>
      <c r="O13289" s="24"/>
      <c r="P13289"/>
      <c r="Q13289" s="24"/>
      <c r="R13289"/>
      <c r="S13289"/>
      <c r="T13289"/>
      <c r="U13289"/>
      <c r="X13289" s="60"/>
    </row>
    <row r="13290" spans="7:24" ht="15" customHeight="1">
      <c r="G13290"/>
      <c r="I13290"/>
      <c r="N13290"/>
      <c r="O13290" s="24"/>
      <c r="P13290"/>
      <c r="Q13290" s="24"/>
      <c r="R13290"/>
      <c r="S13290"/>
      <c r="T13290"/>
      <c r="U13290"/>
      <c r="X13290" s="60"/>
    </row>
    <row r="13291" spans="7:24" ht="15" customHeight="1">
      <c r="G13291"/>
      <c r="I13291"/>
      <c r="N13291"/>
      <c r="O13291" s="24"/>
      <c r="P13291"/>
      <c r="Q13291" s="24"/>
      <c r="R13291"/>
      <c r="S13291"/>
      <c r="T13291"/>
      <c r="U13291"/>
      <c r="X13291" s="60"/>
    </row>
    <row r="13292" spans="7:24" ht="15" customHeight="1">
      <c r="G13292"/>
      <c r="I13292"/>
      <c r="N13292"/>
      <c r="O13292" s="24"/>
      <c r="P13292"/>
      <c r="Q13292" s="24"/>
      <c r="R13292"/>
      <c r="S13292"/>
      <c r="T13292"/>
      <c r="U13292"/>
      <c r="X13292" s="60"/>
    </row>
    <row r="13293" spans="7:24" ht="15" customHeight="1">
      <c r="G13293"/>
      <c r="I13293"/>
      <c r="N13293"/>
      <c r="O13293" s="24"/>
      <c r="P13293"/>
      <c r="Q13293" s="24"/>
      <c r="R13293"/>
      <c r="S13293"/>
      <c r="T13293"/>
      <c r="U13293"/>
      <c r="X13293" s="60"/>
    </row>
    <row r="13294" spans="7:24" ht="15" customHeight="1">
      <c r="G13294"/>
      <c r="I13294"/>
      <c r="N13294"/>
      <c r="O13294" s="24"/>
      <c r="P13294"/>
      <c r="Q13294" s="24"/>
      <c r="R13294"/>
      <c r="S13294"/>
      <c r="T13294"/>
      <c r="U13294"/>
      <c r="X13294" s="60"/>
    </row>
    <row r="13295" spans="7:24" ht="15" customHeight="1">
      <c r="G13295"/>
      <c r="I13295"/>
      <c r="N13295"/>
      <c r="O13295" s="24"/>
      <c r="P13295"/>
      <c r="Q13295" s="24"/>
      <c r="R13295"/>
      <c r="S13295"/>
      <c r="T13295"/>
      <c r="U13295"/>
      <c r="X13295" s="60"/>
    </row>
    <row r="13296" spans="7:24" ht="15" customHeight="1">
      <c r="G13296"/>
      <c r="I13296"/>
      <c r="N13296"/>
      <c r="O13296" s="24"/>
      <c r="P13296"/>
      <c r="Q13296" s="24"/>
      <c r="R13296"/>
      <c r="S13296"/>
      <c r="T13296"/>
      <c r="U13296"/>
      <c r="X13296" s="60"/>
    </row>
    <row r="13297" spans="7:24" ht="15" customHeight="1">
      <c r="G13297"/>
      <c r="I13297"/>
      <c r="N13297"/>
      <c r="O13297" s="24"/>
      <c r="P13297"/>
      <c r="Q13297" s="24"/>
      <c r="R13297"/>
      <c r="S13297"/>
      <c r="T13297"/>
      <c r="U13297"/>
      <c r="X13297" s="60"/>
    </row>
    <row r="13298" spans="7:24" ht="15" customHeight="1">
      <c r="G13298"/>
      <c r="I13298"/>
      <c r="N13298"/>
      <c r="O13298" s="24"/>
      <c r="P13298"/>
      <c r="Q13298" s="24"/>
      <c r="R13298"/>
      <c r="S13298"/>
      <c r="T13298"/>
      <c r="U13298"/>
      <c r="X13298" s="60"/>
    </row>
    <row r="13299" spans="7:24" ht="15" customHeight="1">
      <c r="G13299"/>
      <c r="I13299"/>
      <c r="N13299"/>
      <c r="O13299" s="24"/>
      <c r="P13299"/>
      <c r="Q13299" s="24"/>
      <c r="R13299"/>
      <c r="S13299"/>
      <c r="T13299"/>
      <c r="U13299"/>
      <c r="X13299" s="60"/>
    </row>
    <row r="13300" spans="7:24" ht="15" customHeight="1">
      <c r="G13300"/>
      <c r="I13300"/>
      <c r="N13300"/>
      <c r="O13300" s="24"/>
      <c r="P13300"/>
      <c r="Q13300" s="24"/>
      <c r="R13300"/>
      <c r="S13300"/>
      <c r="T13300"/>
      <c r="U13300"/>
      <c r="X13300" s="60"/>
    </row>
    <row r="13301" spans="7:24" ht="15" customHeight="1">
      <c r="G13301"/>
      <c r="I13301"/>
      <c r="N13301"/>
      <c r="O13301" s="24"/>
      <c r="P13301"/>
      <c r="Q13301" s="24"/>
      <c r="R13301"/>
      <c r="S13301"/>
      <c r="T13301"/>
      <c r="U13301"/>
      <c r="X13301" s="60"/>
    </row>
    <row r="13302" spans="7:24" ht="15" customHeight="1">
      <c r="G13302"/>
      <c r="I13302"/>
      <c r="N13302"/>
      <c r="O13302" s="24"/>
      <c r="P13302"/>
      <c r="Q13302" s="24"/>
      <c r="R13302"/>
      <c r="S13302"/>
      <c r="T13302"/>
      <c r="U13302"/>
      <c r="X13302" s="60"/>
    </row>
    <row r="13303" spans="7:24" ht="15" customHeight="1">
      <c r="G13303"/>
      <c r="I13303"/>
      <c r="N13303"/>
      <c r="O13303" s="24"/>
      <c r="P13303"/>
      <c r="Q13303" s="24"/>
      <c r="R13303"/>
      <c r="S13303"/>
      <c r="T13303"/>
      <c r="U13303"/>
      <c r="X13303" s="60"/>
    </row>
    <row r="13304" spans="7:24" ht="15" customHeight="1">
      <c r="G13304"/>
      <c r="I13304"/>
      <c r="N13304"/>
      <c r="O13304" s="24"/>
      <c r="P13304"/>
      <c r="Q13304" s="24"/>
      <c r="R13304"/>
      <c r="S13304"/>
      <c r="T13304"/>
      <c r="U13304"/>
      <c r="X13304" s="60"/>
    </row>
    <row r="13305" spans="7:24" ht="15" customHeight="1">
      <c r="G13305"/>
      <c r="I13305"/>
      <c r="N13305"/>
      <c r="O13305" s="24"/>
      <c r="P13305"/>
      <c r="Q13305" s="24"/>
      <c r="R13305"/>
      <c r="S13305"/>
      <c r="T13305"/>
      <c r="U13305"/>
      <c r="X13305" s="60"/>
    </row>
    <row r="13306" spans="7:24" ht="15" customHeight="1">
      <c r="G13306"/>
      <c r="I13306"/>
      <c r="N13306"/>
      <c r="O13306" s="24"/>
      <c r="P13306"/>
      <c r="Q13306" s="24"/>
      <c r="R13306"/>
      <c r="S13306"/>
      <c r="T13306"/>
      <c r="U13306"/>
      <c r="X13306" s="60"/>
    </row>
    <row r="13307" spans="7:24" ht="15" customHeight="1">
      <c r="G13307"/>
      <c r="I13307"/>
      <c r="N13307"/>
      <c r="O13307" s="24"/>
      <c r="P13307"/>
      <c r="Q13307" s="24"/>
      <c r="R13307"/>
      <c r="S13307"/>
      <c r="T13307"/>
      <c r="U13307"/>
      <c r="X13307" s="60"/>
    </row>
    <row r="13308" spans="7:24" ht="15" customHeight="1">
      <c r="G13308"/>
      <c r="I13308"/>
      <c r="N13308"/>
      <c r="O13308" s="24"/>
      <c r="P13308"/>
      <c r="Q13308" s="24"/>
      <c r="R13308"/>
      <c r="S13308"/>
      <c r="T13308"/>
      <c r="U13308"/>
      <c r="X13308" s="60"/>
    </row>
    <row r="13309" spans="7:24" ht="15" customHeight="1">
      <c r="G13309"/>
      <c r="I13309"/>
      <c r="N13309"/>
      <c r="O13309" s="24"/>
      <c r="P13309"/>
      <c r="Q13309" s="24"/>
      <c r="R13309"/>
      <c r="S13309"/>
      <c r="T13309"/>
      <c r="U13309"/>
      <c r="X13309" s="60"/>
    </row>
    <row r="13310" spans="7:24" ht="15" customHeight="1">
      <c r="G13310"/>
      <c r="I13310"/>
      <c r="N13310"/>
      <c r="O13310" s="24"/>
      <c r="P13310"/>
      <c r="Q13310" s="24"/>
      <c r="R13310"/>
      <c r="S13310"/>
      <c r="T13310"/>
      <c r="U13310"/>
      <c r="X13310" s="60"/>
    </row>
    <row r="13311" spans="7:24" ht="15" customHeight="1">
      <c r="G13311"/>
      <c r="I13311"/>
      <c r="N13311"/>
      <c r="O13311" s="24"/>
      <c r="P13311"/>
      <c r="Q13311" s="24"/>
      <c r="R13311"/>
      <c r="S13311"/>
      <c r="T13311"/>
      <c r="U13311"/>
      <c r="X13311" s="60"/>
    </row>
    <row r="13312" spans="7:24" ht="15" customHeight="1">
      <c r="G13312"/>
      <c r="I13312"/>
      <c r="N13312"/>
      <c r="O13312" s="24"/>
      <c r="P13312"/>
      <c r="Q13312" s="24"/>
      <c r="R13312"/>
      <c r="S13312"/>
      <c r="T13312"/>
      <c r="U13312"/>
      <c r="X13312" s="60"/>
    </row>
    <row r="13313" spans="7:24" ht="15" customHeight="1">
      <c r="G13313"/>
      <c r="I13313"/>
      <c r="N13313"/>
      <c r="O13313" s="24"/>
      <c r="P13313"/>
      <c r="Q13313" s="24"/>
      <c r="R13313"/>
      <c r="S13313"/>
      <c r="T13313"/>
      <c r="U13313"/>
      <c r="X13313" s="60"/>
    </row>
    <row r="13314" spans="7:24" ht="15" customHeight="1">
      <c r="G13314"/>
      <c r="I13314"/>
      <c r="N13314"/>
      <c r="O13314" s="24"/>
      <c r="P13314"/>
      <c r="Q13314" s="24"/>
      <c r="R13314"/>
      <c r="S13314"/>
      <c r="T13314"/>
      <c r="U13314"/>
      <c r="X13314" s="60"/>
    </row>
    <row r="13315" spans="7:24" ht="15" customHeight="1">
      <c r="G13315"/>
      <c r="I13315"/>
      <c r="N13315"/>
      <c r="O13315" s="24"/>
      <c r="P13315"/>
      <c r="Q13315" s="24"/>
      <c r="R13315"/>
      <c r="S13315"/>
      <c r="T13315"/>
      <c r="U13315"/>
      <c r="X13315" s="60"/>
    </row>
    <row r="13316" spans="7:24" ht="15" customHeight="1">
      <c r="G13316"/>
      <c r="I13316"/>
      <c r="N13316"/>
      <c r="O13316" s="24"/>
      <c r="P13316"/>
      <c r="Q13316" s="24"/>
      <c r="R13316"/>
      <c r="S13316"/>
      <c r="T13316"/>
      <c r="U13316"/>
      <c r="X13316" s="60"/>
    </row>
    <row r="13317" spans="7:24" ht="15" customHeight="1">
      <c r="G13317"/>
      <c r="I13317"/>
      <c r="N13317"/>
      <c r="O13317" s="24"/>
      <c r="P13317"/>
      <c r="Q13317" s="24"/>
      <c r="R13317"/>
      <c r="S13317"/>
      <c r="T13317"/>
      <c r="U13317"/>
      <c r="X13317" s="60"/>
    </row>
    <row r="13318" spans="7:24" ht="15" customHeight="1">
      <c r="G13318"/>
      <c r="I13318"/>
      <c r="N13318"/>
      <c r="O13318" s="24"/>
      <c r="P13318"/>
      <c r="Q13318" s="24"/>
      <c r="R13318"/>
      <c r="S13318"/>
      <c r="T13318"/>
      <c r="U13318"/>
      <c r="X13318" s="60"/>
    </row>
    <row r="13319" spans="7:24" ht="15" customHeight="1">
      <c r="G13319"/>
      <c r="I13319"/>
      <c r="N13319"/>
      <c r="O13319" s="24"/>
      <c r="P13319"/>
      <c r="Q13319" s="24"/>
      <c r="R13319"/>
      <c r="S13319"/>
      <c r="T13319"/>
      <c r="U13319"/>
      <c r="X13319" s="60"/>
    </row>
    <row r="13320" spans="7:24" ht="15" customHeight="1">
      <c r="G13320"/>
      <c r="I13320"/>
      <c r="N13320"/>
      <c r="O13320" s="24"/>
      <c r="P13320"/>
      <c r="Q13320" s="24"/>
      <c r="R13320"/>
      <c r="S13320"/>
      <c r="T13320"/>
      <c r="U13320"/>
      <c r="X13320" s="60"/>
    </row>
    <row r="13321" spans="7:24" ht="15" customHeight="1">
      <c r="G13321"/>
      <c r="I13321"/>
      <c r="N13321"/>
      <c r="O13321" s="24"/>
      <c r="P13321"/>
      <c r="Q13321" s="24"/>
      <c r="R13321"/>
      <c r="S13321"/>
      <c r="T13321"/>
      <c r="U13321"/>
      <c r="X13321" s="60"/>
    </row>
    <row r="13322" spans="7:24" ht="15" customHeight="1">
      <c r="G13322"/>
      <c r="I13322"/>
      <c r="N13322"/>
      <c r="O13322" s="24"/>
      <c r="P13322"/>
      <c r="Q13322" s="24"/>
      <c r="R13322"/>
      <c r="S13322"/>
      <c r="T13322"/>
      <c r="U13322"/>
      <c r="X13322" s="60"/>
    </row>
    <row r="13323" spans="7:24" ht="15" customHeight="1">
      <c r="G13323"/>
      <c r="I13323"/>
      <c r="N13323"/>
      <c r="O13323" s="24"/>
      <c r="P13323"/>
      <c r="Q13323" s="24"/>
      <c r="R13323"/>
      <c r="S13323"/>
      <c r="T13323"/>
      <c r="U13323"/>
      <c r="X13323" s="60"/>
    </row>
    <row r="13324" spans="7:24" ht="15" customHeight="1">
      <c r="G13324"/>
      <c r="I13324"/>
      <c r="N13324"/>
      <c r="O13324" s="24"/>
      <c r="P13324"/>
      <c r="Q13324" s="24"/>
      <c r="R13324"/>
      <c r="S13324"/>
      <c r="T13324"/>
      <c r="U13324"/>
      <c r="X13324" s="60"/>
    </row>
    <row r="13325" spans="7:24" ht="15" customHeight="1">
      <c r="G13325"/>
      <c r="I13325"/>
      <c r="N13325"/>
      <c r="O13325" s="24"/>
      <c r="P13325"/>
      <c r="Q13325" s="24"/>
      <c r="R13325"/>
      <c r="S13325"/>
      <c r="T13325"/>
      <c r="U13325"/>
      <c r="X13325" s="60"/>
    </row>
    <row r="13326" spans="7:24" ht="15" customHeight="1">
      <c r="G13326"/>
      <c r="I13326"/>
      <c r="N13326"/>
      <c r="O13326" s="24"/>
      <c r="P13326"/>
      <c r="Q13326" s="24"/>
      <c r="R13326"/>
      <c r="S13326"/>
      <c r="T13326"/>
      <c r="U13326"/>
      <c r="X13326" s="60"/>
    </row>
    <row r="13327" spans="7:24" ht="15" customHeight="1">
      <c r="G13327"/>
      <c r="I13327"/>
      <c r="N13327"/>
      <c r="O13327" s="24"/>
      <c r="P13327"/>
      <c r="Q13327" s="24"/>
      <c r="R13327"/>
      <c r="S13327"/>
      <c r="T13327"/>
      <c r="U13327"/>
      <c r="X13327" s="60"/>
    </row>
    <row r="13328" spans="7:24" ht="15" customHeight="1">
      <c r="G13328"/>
      <c r="I13328"/>
      <c r="N13328"/>
      <c r="O13328" s="24"/>
      <c r="P13328"/>
      <c r="Q13328" s="24"/>
      <c r="R13328"/>
      <c r="S13328"/>
      <c r="T13328"/>
      <c r="U13328"/>
      <c r="X13328" s="60"/>
    </row>
    <row r="13329" spans="7:24" ht="15" customHeight="1">
      <c r="G13329"/>
      <c r="I13329"/>
      <c r="N13329"/>
      <c r="O13329" s="24"/>
      <c r="P13329"/>
      <c r="Q13329" s="24"/>
      <c r="R13329"/>
      <c r="S13329"/>
      <c r="T13329"/>
      <c r="U13329"/>
      <c r="X13329" s="60"/>
    </row>
    <row r="13330" spans="7:24" ht="15" customHeight="1">
      <c r="G13330"/>
      <c r="I13330"/>
      <c r="N13330"/>
      <c r="O13330" s="24"/>
      <c r="P13330"/>
      <c r="Q13330" s="24"/>
      <c r="R13330"/>
      <c r="S13330"/>
      <c r="T13330"/>
      <c r="U13330"/>
      <c r="X13330" s="60"/>
    </row>
    <row r="13331" spans="7:24" ht="15" customHeight="1">
      <c r="G13331"/>
      <c r="I13331"/>
      <c r="N13331"/>
      <c r="O13331" s="24"/>
      <c r="P13331"/>
      <c r="Q13331" s="24"/>
      <c r="R13331"/>
      <c r="S13331"/>
      <c r="T13331"/>
      <c r="U13331"/>
      <c r="X13331" s="60"/>
    </row>
    <row r="13332" spans="7:24" ht="15" customHeight="1">
      <c r="G13332"/>
      <c r="I13332"/>
      <c r="N13332"/>
      <c r="O13332" s="24"/>
      <c r="P13332"/>
      <c r="Q13332" s="24"/>
      <c r="R13332"/>
      <c r="S13332"/>
      <c r="T13332"/>
      <c r="U13332"/>
      <c r="X13332" s="60"/>
    </row>
    <row r="13333" spans="7:24" ht="15" customHeight="1">
      <c r="G13333"/>
      <c r="I13333"/>
      <c r="N13333"/>
      <c r="O13333" s="24"/>
      <c r="P13333"/>
      <c r="Q13333" s="24"/>
      <c r="R13333"/>
      <c r="S13333"/>
      <c r="T13333"/>
      <c r="U13333"/>
      <c r="X13333" s="60"/>
    </row>
    <row r="13334" spans="7:24" ht="15" customHeight="1">
      <c r="G13334"/>
      <c r="I13334"/>
      <c r="N13334"/>
      <c r="O13334" s="24"/>
      <c r="P13334"/>
      <c r="Q13334" s="24"/>
      <c r="R13334"/>
      <c r="S13334"/>
      <c r="T13334"/>
      <c r="U13334"/>
      <c r="X13334" s="60"/>
    </row>
    <row r="13335" spans="7:24" ht="15" customHeight="1">
      <c r="G13335"/>
      <c r="I13335"/>
      <c r="N13335"/>
      <c r="O13335" s="24"/>
      <c r="P13335"/>
      <c r="Q13335" s="24"/>
      <c r="R13335"/>
      <c r="S13335"/>
      <c r="T13335"/>
      <c r="U13335"/>
      <c r="X13335" s="60"/>
    </row>
    <row r="13336" spans="7:24" ht="15" customHeight="1">
      <c r="G13336"/>
      <c r="I13336"/>
      <c r="N13336"/>
      <c r="O13336" s="24"/>
      <c r="P13336"/>
      <c r="Q13336" s="24"/>
      <c r="R13336"/>
      <c r="S13336"/>
      <c r="T13336"/>
      <c r="U13336"/>
      <c r="X13336" s="60"/>
    </row>
    <row r="13337" spans="7:24" ht="15" customHeight="1">
      <c r="G13337"/>
      <c r="I13337"/>
      <c r="N13337"/>
      <c r="O13337" s="24"/>
      <c r="P13337"/>
      <c r="Q13337" s="24"/>
      <c r="R13337"/>
      <c r="S13337"/>
      <c r="T13337"/>
      <c r="U13337"/>
      <c r="X13337" s="60"/>
    </row>
    <row r="13338" spans="7:24" ht="15" customHeight="1">
      <c r="G13338"/>
      <c r="I13338"/>
      <c r="N13338"/>
      <c r="O13338" s="24"/>
      <c r="P13338"/>
      <c r="Q13338" s="24"/>
      <c r="R13338"/>
      <c r="S13338"/>
      <c r="T13338"/>
      <c r="U13338"/>
      <c r="X13338" s="60"/>
    </row>
    <row r="13339" spans="7:24" ht="15" customHeight="1">
      <c r="G13339"/>
      <c r="I13339"/>
      <c r="N13339"/>
      <c r="O13339" s="24"/>
      <c r="P13339"/>
      <c r="Q13339" s="24"/>
      <c r="R13339"/>
      <c r="S13339"/>
      <c r="T13339"/>
      <c r="U13339"/>
      <c r="X13339" s="60"/>
    </row>
    <row r="13340" spans="7:24" ht="15" customHeight="1">
      <c r="G13340"/>
      <c r="I13340"/>
      <c r="N13340"/>
      <c r="O13340" s="24"/>
      <c r="P13340"/>
      <c r="Q13340" s="24"/>
      <c r="R13340"/>
      <c r="S13340"/>
      <c r="T13340"/>
      <c r="U13340"/>
      <c r="X13340" s="60"/>
    </row>
    <row r="13341" spans="7:24" ht="15" customHeight="1">
      <c r="G13341"/>
      <c r="I13341"/>
      <c r="N13341"/>
      <c r="O13341" s="24"/>
      <c r="P13341"/>
      <c r="Q13341" s="24"/>
      <c r="R13341"/>
      <c r="S13341"/>
      <c r="T13341"/>
      <c r="U13341"/>
      <c r="X13341" s="60"/>
    </row>
    <row r="13342" spans="7:24" ht="15" customHeight="1">
      <c r="G13342"/>
      <c r="I13342"/>
      <c r="N13342"/>
      <c r="O13342" s="24"/>
      <c r="P13342"/>
      <c r="Q13342" s="24"/>
      <c r="R13342"/>
      <c r="S13342"/>
      <c r="T13342"/>
      <c r="U13342"/>
      <c r="X13342" s="60"/>
    </row>
    <row r="13343" spans="7:24" ht="15" customHeight="1">
      <c r="G13343"/>
      <c r="I13343"/>
      <c r="N13343"/>
      <c r="O13343" s="24"/>
      <c r="P13343"/>
      <c r="Q13343" s="24"/>
      <c r="R13343"/>
      <c r="S13343"/>
      <c r="T13343"/>
      <c r="U13343"/>
      <c r="X13343" s="60"/>
    </row>
    <row r="13344" spans="7:24" ht="15" customHeight="1">
      <c r="G13344"/>
      <c r="I13344"/>
      <c r="N13344"/>
      <c r="O13344" s="24"/>
      <c r="P13344"/>
      <c r="Q13344" s="24"/>
      <c r="R13344"/>
      <c r="S13344"/>
      <c r="T13344"/>
      <c r="U13344"/>
      <c r="X13344" s="60"/>
    </row>
    <row r="13345" spans="7:24" ht="15" customHeight="1">
      <c r="G13345"/>
      <c r="I13345"/>
      <c r="N13345"/>
      <c r="O13345" s="24"/>
      <c r="P13345"/>
      <c r="Q13345" s="24"/>
      <c r="R13345"/>
      <c r="S13345"/>
      <c r="T13345"/>
      <c r="U13345"/>
      <c r="X13345" s="60"/>
    </row>
    <row r="13346" spans="7:24" ht="15" customHeight="1">
      <c r="G13346"/>
      <c r="I13346"/>
      <c r="N13346"/>
      <c r="O13346" s="24"/>
      <c r="P13346"/>
      <c r="Q13346" s="24"/>
      <c r="R13346"/>
      <c r="S13346"/>
      <c r="T13346"/>
      <c r="U13346"/>
      <c r="X13346" s="60"/>
    </row>
    <row r="13347" spans="7:24" ht="15" customHeight="1">
      <c r="G13347"/>
      <c r="I13347"/>
      <c r="N13347"/>
      <c r="O13347" s="24"/>
      <c r="P13347"/>
      <c r="Q13347" s="24"/>
      <c r="R13347"/>
      <c r="S13347"/>
      <c r="T13347"/>
      <c r="U13347"/>
      <c r="X13347" s="60"/>
    </row>
    <row r="13348" spans="7:24" ht="15" customHeight="1">
      <c r="G13348"/>
      <c r="I13348"/>
      <c r="N13348"/>
      <c r="O13348" s="24"/>
      <c r="P13348"/>
      <c r="Q13348" s="24"/>
      <c r="R13348"/>
      <c r="S13348"/>
      <c r="T13348"/>
      <c r="U13348"/>
      <c r="X13348" s="60"/>
    </row>
    <row r="13349" spans="7:24" ht="15" customHeight="1">
      <c r="G13349"/>
      <c r="I13349"/>
      <c r="N13349"/>
      <c r="O13349" s="24"/>
      <c r="P13349"/>
      <c r="Q13349" s="24"/>
      <c r="R13349"/>
      <c r="S13349"/>
      <c r="T13349"/>
      <c r="U13349"/>
      <c r="X13349" s="60"/>
    </row>
    <row r="13350" spans="7:24" ht="15" customHeight="1">
      <c r="G13350"/>
      <c r="I13350"/>
      <c r="N13350"/>
      <c r="O13350" s="24"/>
      <c r="P13350"/>
      <c r="Q13350" s="24"/>
      <c r="R13350"/>
      <c r="S13350"/>
      <c r="T13350"/>
      <c r="U13350"/>
      <c r="X13350" s="60"/>
    </row>
    <row r="13351" spans="7:24" ht="15" customHeight="1">
      <c r="G13351"/>
      <c r="I13351"/>
      <c r="N13351"/>
      <c r="O13351" s="24"/>
      <c r="P13351"/>
      <c r="Q13351" s="24"/>
      <c r="R13351"/>
      <c r="S13351"/>
      <c r="T13351"/>
      <c r="U13351"/>
      <c r="X13351" s="60"/>
    </row>
    <row r="13352" spans="7:24" ht="15" customHeight="1">
      <c r="G13352"/>
      <c r="I13352"/>
      <c r="N13352"/>
      <c r="O13352" s="24"/>
      <c r="P13352"/>
      <c r="Q13352" s="24"/>
      <c r="R13352"/>
      <c r="S13352"/>
      <c r="T13352"/>
      <c r="U13352"/>
      <c r="X13352" s="60"/>
    </row>
    <row r="13353" spans="7:24" ht="15" customHeight="1">
      <c r="G13353"/>
      <c r="I13353"/>
      <c r="N13353"/>
      <c r="O13353" s="24"/>
      <c r="P13353"/>
      <c r="Q13353" s="24"/>
      <c r="R13353"/>
      <c r="S13353"/>
      <c r="T13353"/>
      <c r="U13353"/>
      <c r="X13353" s="60"/>
    </row>
    <row r="13354" spans="7:24" ht="15" customHeight="1">
      <c r="G13354"/>
      <c r="I13354"/>
      <c r="N13354"/>
      <c r="O13354" s="24"/>
      <c r="P13354"/>
      <c r="Q13354" s="24"/>
      <c r="R13354"/>
      <c r="S13354"/>
      <c r="T13354"/>
      <c r="U13354"/>
      <c r="X13354" s="60"/>
    </row>
    <row r="13355" spans="7:24" ht="15" customHeight="1">
      <c r="G13355"/>
      <c r="I13355"/>
      <c r="N13355"/>
      <c r="O13355" s="24"/>
      <c r="P13355"/>
      <c r="Q13355" s="24"/>
      <c r="R13355"/>
      <c r="S13355"/>
      <c r="T13355"/>
      <c r="U13355"/>
      <c r="X13355" s="60"/>
    </row>
    <row r="13356" spans="7:24" ht="15" customHeight="1">
      <c r="G13356"/>
      <c r="I13356"/>
      <c r="N13356"/>
      <c r="O13356" s="24"/>
      <c r="P13356"/>
      <c r="Q13356" s="24"/>
      <c r="R13356"/>
      <c r="S13356"/>
      <c r="T13356"/>
      <c r="U13356"/>
      <c r="X13356" s="60"/>
    </row>
    <row r="13357" spans="7:24" ht="15" customHeight="1">
      <c r="G13357"/>
      <c r="I13357"/>
      <c r="N13357"/>
      <c r="O13357" s="24"/>
      <c r="P13357"/>
      <c r="Q13357" s="24"/>
      <c r="R13357"/>
      <c r="S13357"/>
      <c r="T13357"/>
      <c r="U13357"/>
      <c r="X13357" s="60"/>
    </row>
    <row r="13358" spans="7:24" ht="15" customHeight="1">
      <c r="G13358"/>
      <c r="I13358"/>
      <c r="N13358"/>
      <c r="O13358" s="24"/>
      <c r="P13358"/>
      <c r="Q13358" s="24"/>
      <c r="R13358"/>
      <c r="S13358"/>
      <c r="T13358"/>
      <c r="U13358"/>
      <c r="X13358" s="60"/>
    </row>
    <row r="13359" spans="7:24" ht="15" customHeight="1">
      <c r="G13359"/>
      <c r="I13359"/>
      <c r="N13359"/>
      <c r="O13359" s="24"/>
      <c r="P13359"/>
      <c r="Q13359" s="24"/>
      <c r="R13359"/>
      <c r="S13359"/>
      <c r="T13359"/>
      <c r="U13359"/>
      <c r="X13359" s="60"/>
    </row>
    <row r="13360" spans="7:24" ht="15" customHeight="1">
      <c r="G13360"/>
      <c r="I13360"/>
      <c r="N13360"/>
      <c r="O13360" s="24"/>
      <c r="P13360"/>
      <c r="Q13360" s="24"/>
      <c r="R13360"/>
      <c r="S13360"/>
      <c r="T13360"/>
      <c r="U13360"/>
      <c r="X13360" s="60"/>
    </row>
    <row r="13361" spans="7:24" ht="15" customHeight="1">
      <c r="G13361"/>
      <c r="I13361"/>
      <c r="N13361"/>
      <c r="O13361" s="24"/>
      <c r="P13361"/>
      <c r="Q13361" s="24"/>
      <c r="R13361"/>
      <c r="S13361"/>
      <c r="T13361"/>
      <c r="U13361"/>
      <c r="X13361" s="60"/>
    </row>
    <row r="13362" spans="7:24" ht="15" customHeight="1">
      <c r="G13362"/>
      <c r="I13362"/>
      <c r="N13362"/>
      <c r="O13362" s="24"/>
      <c r="P13362"/>
      <c r="Q13362" s="24"/>
      <c r="R13362"/>
      <c r="S13362"/>
      <c r="T13362"/>
      <c r="U13362"/>
      <c r="X13362" s="60"/>
    </row>
    <row r="13363" spans="7:24" ht="15" customHeight="1">
      <c r="G13363"/>
      <c r="I13363"/>
      <c r="N13363"/>
      <c r="O13363" s="24"/>
      <c r="P13363"/>
      <c r="Q13363" s="24"/>
      <c r="R13363"/>
      <c r="S13363"/>
      <c r="T13363"/>
      <c r="U13363"/>
      <c r="X13363" s="60"/>
    </row>
    <row r="13364" spans="7:24" ht="15" customHeight="1">
      <c r="G13364"/>
      <c r="I13364"/>
      <c r="N13364"/>
      <c r="O13364" s="24"/>
      <c r="P13364"/>
      <c r="Q13364" s="24"/>
      <c r="R13364"/>
      <c r="S13364"/>
      <c r="T13364"/>
      <c r="U13364"/>
      <c r="X13364" s="60"/>
    </row>
    <row r="13365" spans="7:24" ht="15" customHeight="1">
      <c r="G13365"/>
      <c r="I13365"/>
      <c r="N13365"/>
      <c r="O13365" s="24"/>
      <c r="P13365"/>
      <c r="Q13365" s="24"/>
      <c r="R13365"/>
      <c r="S13365"/>
      <c r="T13365"/>
      <c r="U13365"/>
      <c r="X13365" s="60"/>
    </row>
    <row r="13366" spans="7:24" ht="15" customHeight="1">
      <c r="G13366"/>
      <c r="I13366"/>
      <c r="N13366"/>
      <c r="O13366" s="24"/>
      <c r="P13366"/>
      <c r="Q13366" s="24"/>
      <c r="R13366"/>
      <c r="S13366"/>
      <c r="T13366"/>
      <c r="U13366"/>
      <c r="X13366" s="60"/>
    </row>
    <row r="13367" spans="7:24" ht="15" customHeight="1">
      <c r="G13367"/>
      <c r="I13367"/>
      <c r="N13367"/>
      <c r="O13367" s="24"/>
      <c r="P13367"/>
      <c r="Q13367" s="24"/>
      <c r="R13367"/>
      <c r="S13367"/>
      <c r="T13367"/>
      <c r="U13367"/>
      <c r="X13367" s="60"/>
    </row>
    <row r="13368" spans="7:24" ht="15" customHeight="1">
      <c r="G13368"/>
      <c r="I13368"/>
      <c r="N13368"/>
      <c r="O13368" s="24"/>
      <c r="P13368"/>
      <c r="Q13368" s="24"/>
      <c r="R13368"/>
      <c r="S13368"/>
      <c r="T13368"/>
      <c r="U13368"/>
      <c r="X13368" s="60"/>
    </row>
    <row r="13369" spans="7:24" ht="15" customHeight="1">
      <c r="G13369"/>
      <c r="I13369"/>
      <c r="N13369"/>
      <c r="O13369" s="24"/>
      <c r="P13369"/>
      <c r="Q13369" s="24"/>
      <c r="R13369"/>
      <c r="S13369"/>
      <c r="T13369"/>
      <c r="U13369"/>
      <c r="X13369" s="60"/>
    </row>
    <row r="13370" spans="7:24" ht="15" customHeight="1">
      <c r="G13370"/>
      <c r="I13370"/>
      <c r="N13370"/>
      <c r="O13370" s="24"/>
      <c r="P13370"/>
      <c r="Q13370" s="24"/>
      <c r="R13370"/>
      <c r="S13370"/>
      <c r="T13370"/>
      <c r="U13370"/>
      <c r="X13370" s="60"/>
    </row>
    <row r="13371" spans="7:24" ht="15" customHeight="1">
      <c r="G13371"/>
      <c r="I13371"/>
      <c r="N13371"/>
      <c r="O13371" s="24"/>
      <c r="P13371"/>
      <c r="Q13371" s="24"/>
      <c r="R13371"/>
      <c r="S13371"/>
      <c r="T13371"/>
      <c r="U13371"/>
      <c r="X13371" s="60"/>
    </row>
    <row r="13372" spans="7:24" ht="15" customHeight="1">
      <c r="G13372"/>
      <c r="I13372"/>
      <c r="N13372"/>
      <c r="O13372" s="24"/>
      <c r="P13372"/>
      <c r="Q13372" s="24"/>
      <c r="R13372"/>
      <c r="S13372"/>
      <c r="T13372"/>
      <c r="U13372"/>
      <c r="X13372" s="60"/>
    </row>
    <row r="13373" spans="7:24" ht="15" customHeight="1">
      <c r="G13373"/>
      <c r="I13373"/>
      <c r="N13373"/>
      <c r="O13373" s="24"/>
      <c r="P13373"/>
      <c r="Q13373" s="24"/>
      <c r="R13373"/>
      <c r="S13373"/>
      <c r="T13373"/>
      <c r="U13373"/>
      <c r="X13373" s="60"/>
    </row>
    <row r="13374" spans="7:24" ht="15" customHeight="1">
      <c r="G13374"/>
      <c r="I13374"/>
      <c r="N13374"/>
      <c r="O13374" s="24"/>
      <c r="P13374"/>
      <c r="Q13374" s="24"/>
      <c r="R13374"/>
      <c r="S13374"/>
      <c r="T13374"/>
      <c r="U13374"/>
      <c r="X13374" s="60"/>
    </row>
    <row r="13375" spans="7:24" ht="15" customHeight="1">
      <c r="G13375"/>
      <c r="I13375"/>
      <c r="N13375"/>
      <c r="O13375" s="24"/>
      <c r="P13375"/>
      <c r="Q13375" s="24"/>
      <c r="R13375"/>
      <c r="S13375"/>
      <c r="T13375"/>
      <c r="U13375"/>
      <c r="X13375" s="60"/>
    </row>
    <row r="13376" spans="7:24" ht="15" customHeight="1">
      <c r="G13376"/>
      <c r="I13376"/>
      <c r="N13376"/>
      <c r="O13376" s="24"/>
      <c r="P13376"/>
      <c r="Q13376" s="24"/>
      <c r="R13376"/>
      <c r="S13376"/>
      <c r="T13376"/>
      <c r="U13376"/>
      <c r="X13376" s="60"/>
    </row>
    <row r="13377" spans="7:24" ht="15" customHeight="1">
      <c r="G13377"/>
      <c r="I13377"/>
      <c r="N13377"/>
      <c r="O13377" s="24"/>
      <c r="P13377"/>
      <c r="Q13377" s="24"/>
      <c r="R13377"/>
      <c r="S13377"/>
      <c r="T13377"/>
      <c r="U13377"/>
      <c r="X13377" s="60"/>
    </row>
    <row r="13378" spans="7:24" ht="15" customHeight="1">
      <c r="G13378"/>
      <c r="I13378"/>
      <c r="N13378"/>
      <c r="O13378" s="24"/>
      <c r="P13378"/>
      <c r="Q13378" s="24"/>
      <c r="R13378"/>
      <c r="S13378"/>
      <c r="T13378"/>
      <c r="U13378"/>
      <c r="X13378" s="60"/>
    </row>
    <row r="13379" spans="7:24" ht="15" customHeight="1">
      <c r="G13379"/>
      <c r="I13379"/>
      <c r="N13379"/>
      <c r="O13379" s="24"/>
      <c r="P13379"/>
      <c r="Q13379" s="24"/>
      <c r="R13379"/>
      <c r="S13379"/>
      <c r="T13379"/>
      <c r="U13379"/>
      <c r="X13379" s="60"/>
    </row>
    <row r="13380" spans="7:24" ht="15" customHeight="1">
      <c r="G13380"/>
      <c r="I13380"/>
      <c r="N13380"/>
      <c r="O13380" s="24"/>
      <c r="P13380"/>
      <c r="Q13380" s="24"/>
      <c r="R13380"/>
      <c r="S13380"/>
      <c r="T13380"/>
      <c r="U13380"/>
      <c r="X13380" s="60"/>
    </row>
    <row r="13381" spans="7:24" ht="15" customHeight="1">
      <c r="G13381"/>
      <c r="I13381"/>
      <c r="N13381"/>
      <c r="O13381" s="24"/>
      <c r="P13381"/>
      <c r="Q13381" s="24"/>
      <c r="R13381"/>
      <c r="S13381"/>
      <c r="T13381"/>
      <c r="U13381"/>
      <c r="X13381" s="60"/>
    </row>
    <row r="13382" spans="7:24" ht="15" customHeight="1">
      <c r="G13382"/>
      <c r="I13382"/>
      <c r="N13382"/>
      <c r="O13382" s="24"/>
      <c r="P13382"/>
      <c r="Q13382" s="24"/>
      <c r="R13382"/>
      <c r="S13382"/>
      <c r="T13382"/>
      <c r="U13382"/>
      <c r="X13382" s="60"/>
    </row>
    <row r="13383" spans="7:24" ht="15" customHeight="1">
      <c r="G13383"/>
      <c r="I13383"/>
      <c r="N13383"/>
      <c r="O13383" s="24"/>
      <c r="P13383"/>
      <c r="Q13383" s="24"/>
      <c r="R13383"/>
      <c r="S13383"/>
      <c r="T13383"/>
      <c r="U13383"/>
      <c r="X13383" s="60"/>
    </row>
    <row r="13384" spans="7:24" ht="15" customHeight="1">
      <c r="G13384"/>
      <c r="I13384"/>
      <c r="N13384"/>
      <c r="O13384" s="24"/>
      <c r="P13384"/>
      <c r="Q13384" s="24"/>
      <c r="R13384"/>
      <c r="S13384"/>
      <c r="T13384"/>
      <c r="U13384"/>
      <c r="X13384" s="60"/>
    </row>
    <row r="13385" spans="7:24" ht="15" customHeight="1">
      <c r="G13385"/>
      <c r="I13385"/>
      <c r="N13385"/>
      <c r="O13385" s="24"/>
      <c r="P13385"/>
      <c r="Q13385" s="24"/>
      <c r="R13385"/>
      <c r="S13385"/>
      <c r="T13385"/>
      <c r="U13385"/>
      <c r="X13385" s="60"/>
    </row>
    <row r="13386" spans="7:24" ht="15" customHeight="1">
      <c r="G13386"/>
      <c r="I13386"/>
      <c r="N13386"/>
      <c r="O13386" s="24"/>
      <c r="P13386"/>
      <c r="Q13386" s="24"/>
      <c r="R13386"/>
      <c r="S13386"/>
      <c r="T13386"/>
      <c r="U13386"/>
      <c r="X13386" s="60"/>
    </row>
    <row r="13387" spans="7:24" ht="15" customHeight="1">
      <c r="G13387"/>
      <c r="I13387"/>
      <c r="N13387"/>
      <c r="O13387" s="24"/>
      <c r="P13387"/>
      <c r="Q13387" s="24"/>
      <c r="R13387"/>
      <c r="S13387"/>
      <c r="T13387"/>
      <c r="U13387"/>
      <c r="X13387" s="60"/>
    </row>
    <row r="13388" spans="7:24" ht="15" customHeight="1">
      <c r="G13388"/>
      <c r="I13388"/>
      <c r="N13388"/>
      <c r="O13388" s="24"/>
      <c r="P13388"/>
      <c r="Q13388" s="24"/>
      <c r="R13388"/>
      <c r="S13388"/>
      <c r="T13388"/>
      <c r="U13388"/>
      <c r="X13388" s="60"/>
    </row>
    <row r="13389" spans="7:24" ht="15" customHeight="1">
      <c r="G13389"/>
      <c r="I13389"/>
      <c r="N13389"/>
      <c r="O13389" s="24"/>
      <c r="P13389"/>
      <c r="Q13389" s="24"/>
      <c r="R13389"/>
      <c r="S13389"/>
      <c r="T13389"/>
      <c r="U13389"/>
      <c r="X13389" s="60"/>
    </row>
    <row r="13390" spans="7:24" ht="15" customHeight="1">
      <c r="G13390"/>
      <c r="I13390"/>
      <c r="N13390"/>
      <c r="O13390" s="24"/>
      <c r="P13390"/>
      <c r="Q13390" s="24"/>
      <c r="R13390"/>
      <c r="S13390"/>
      <c r="T13390"/>
      <c r="U13390"/>
      <c r="X13390" s="60"/>
    </row>
    <row r="13391" spans="7:24" ht="15" customHeight="1">
      <c r="G13391"/>
      <c r="I13391"/>
      <c r="N13391"/>
      <c r="O13391" s="24"/>
      <c r="P13391"/>
      <c r="Q13391" s="24"/>
      <c r="R13391"/>
      <c r="S13391"/>
      <c r="T13391"/>
      <c r="U13391"/>
      <c r="X13391" s="60"/>
    </row>
    <row r="13392" spans="7:24" ht="15" customHeight="1">
      <c r="G13392"/>
      <c r="I13392"/>
      <c r="N13392"/>
      <c r="O13392" s="24"/>
      <c r="P13392"/>
      <c r="Q13392" s="24"/>
      <c r="R13392"/>
      <c r="S13392"/>
      <c r="T13392"/>
      <c r="U13392"/>
      <c r="X13392" s="60"/>
    </row>
    <row r="13393" spans="7:24" ht="15" customHeight="1">
      <c r="G13393"/>
      <c r="I13393"/>
      <c r="N13393"/>
      <c r="O13393" s="24"/>
      <c r="P13393"/>
      <c r="Q13393" s="24"/>
      <c r="R13393"/>
      <c r="S13393"/>
      <c r="T13393"/>
      <c r="U13393"/>
      <c r="X13393" s="60"/>
    </row>
    <row r="13394" spans="7:24" ht="15" customHeight="1">
      <c r="G13394"/>
      <c r="I13394"/>
      <c r="N13394"/>
      <c r="O13394" s="24"/>
      <c r="P13394"/>
      <c r="Q13394" s="24"/>
      <c r="R13394"/>
      <c r="S13394"/>
      <c r="T13394"/>
      <c r="U13394"/>
      <c r="X13394" s="60"/>
    </row>
    <row r="13395" spans="7:24" ht="15" customHeight="1">
      <c r="G13395"/>
      <c r="I13395"/>
      <c r="N13395"/>
      <c r="O13395" s="24"/>
      <c r="P13395"/>
      <c r="Q13395" s="24"/>
      <c r="R13395"/>
      <c r="S13395"/>
      <c r="T13395"/>
      <c r="U13395"/>
      <c r="X13395" s="60"/>
    </row>
    <row r="13396" spans="7:24" ht="15" customHeight="1">
      <c r="G13396"/>
      <c r="I13396"/>
      <c r="N13396"/>
      <c r="O13396" s="24"/>
      <c r="P13396"/>
      <c r="Q13396" s="24"/>
      <c r="R13396"/>
      <c r="S13396"/>
      <c r="T13396"/>
      <c r="U13396"/>
      <c r="X13396" s="60"/>
    </row>
    <row r="13397" spans="7:24" ht="15" customHeight="1">
      <c r="G13397"/>
      <c r="I13397"/>
      <c r="N13397"/>
      <c r="O13397" s="24"/>
      <c r="P13397"/>
      <c r="Q13397" s="24"/>
      <c r="R13397"/>
      <c r="S13397"/>
      <c r="T13397"/>
      <c r="U13397"/>
      <c r="X13397" s="60"/>
    </row>
    <row r="13398" spans="7:24" ht="15" customHeight="1">
      <c r="G13398"/>
      <c r="I13398"/>
      <c r="N13398"/>
      <c r="O13398" s="24"/>
      <c r="P13398"/>
      <c r="Q13398" s="24"/>
      <c r="R13398"/>
      <c r="S13398"/>
      <c r="T13398"/>
      <c r="U13398"/>
      <c r="X13398" s="60"/>
    </row>
    <row r="13399" spans="7:24" ht="15" customHeight="1">
      <c r="G13399"/>
      <c r="I13399"/>
      <c r="N13399"/>
      <c r="O13399" s="24"/>
      <c r="P13399"/>
      <c r="Q13399" s="24"/>
      <c r="R13399"/>
      <c r="S13399"/>
      <c r="T13399"/>
      <c r="U13399"/>
      <c r="X13399" s="60"/>
    </row>
    <row r="13400" spans="7:24" ht="15" customHeight="1">
      <c r="G13400"/>
      <c r="I13400"/>
      <c r="N13400"/>
      <c r="O13400" s="24"/>
      <c r="P13400"/>
      <c r="Q13400" s="24"/>
      <c r="R13400"/>
      <c r="S13400"/>
      <c r="T13400"/>
      <c r="U13400"/>
      <c r="X13400" s="60"/>
    </row>
    <row r="13401" spans="7:24" ht="15" customHeight="1">
      <c r="G13401"/>
      <c r="I13401"/>
      <c r="N13401"/>
      <c r="O13401" s="24"/>
      <c r="P13401"/>
      <c r="Q13401" s="24"/>
      <c r="R13401"/>
      <c r="S13401"/>
      <c r="T13401"/>
      <c r="U13401"/>
      <c r="X13401" s="60"/>
    </row>
    <row r="13402" spans="7:24" ht="15" customHeight="1">
      <c r="G13402"/>
      <c r="I13402"/>
      <c r="N13402"/>
      <c r="O13402" s="24"/>
      <c r="P13402"/>
      <c r="Q13402" s="24"/>
      <c r="R13402"/>
      <c r="S13402"/>
      <c r="T13402"/>
      <c r="U13402"/>
      <c r="X13402" s="60"/>
    </row>
    <row r="13403" spans="7:24" ht="15" customHeight="1">
      <c r="G13403"/>
      <c r="I13403"/>
      <c r="N13403"/>
      <c r="O13403" s="24"/>
      <c r="P13403"/>
      <c r="Q13403" s="24"/>
      <c r="R13403"/>
      <c r="S13403"/>
      <c r="T13403"/>
      <c r="U13403"/>
      <c r="X13403" s="60"/>
    </row>
    <row r="13404" spans="7:24" ht="15" customHeight="1">
      <c r="G13404"/>
      <c r="I13404"/>
      <c r="N13404"/>
      <c r="O13404" s="24"/>
      <c r="P13404"/>
      <c r="Q13404" s="24"/>
      <c r="R13404"/>
      <c r="S13404"/>
      <c r="T13404"/>
      <c r="U13404"/>
      <c r="X13404" s="60"/>
    </row>
    <row r="13405" spans="7:24" ht="15" customHeight="1">
      <c r="G13405"/>
      <c r="I13405"/>
      <c r="N13405"/>
      <c r="O13405" s="24"/>
      <c r="P13405"/>
      <c r="Q13405" s="24"/>
      <c r="R13405"/>
      <c r="S13405"/>
      <c r="T13405"/>
      <c r="U13405"/>
      <c r="X13405" s="60"/>
    </row>
    <row r="13406" spans="7:24" ht="15" customHeight="1">
      <c r="G13406"/>
      <c r="I13406"/>
      <c r="N13406"/>
      <c r="O13406" s="24"/>
      <c r="P13406"/>
      <c r="Q13406" s="24"/>
      <c r="R13406"/>
      <c r="S13406"/>
      <c r="T13406"/>
      <c r="U13406"/>
      <c r="X13406" s="60"/>
    </row>
    <row r="13407" spans="7:24" ht="15" customHeight="1">
      <c r="G13407"/>
      <c r="I13407"/>
      <c r="N13407"/>
      <c r="O13407" s="24"/>
      <c r="P13407"/>
      <c r="Q13407" s="24"/>
      <c r="R13407"/>
      <c r="S13407"/>
      <c r="T13407"/>
      <c r="U13407"/>
      <c r="X13407" s="60"/>
    </row>
    <row r="13408" spans="7:24" ht="15" customHeight="1">
      <c r="G13408"/>
      <c r="I13408"/>
      <c r="N13408"/>
      <c r="O13408" s="24"/>
      <c r="P13408"/>
      <c r="Q13408" s="24"/>
      <c r="R13408"/>
      <c r="S13408"/>
      <c r="T13408"/>
      <c r="U13408"/>
      <c r="X13408" s="60"/>
    </row>
    <row r="13409" spans="7:24" ht="15" customHeight="1">
      <c r="G13409"/>
      <c r="I13409"/>
      <c r="N13409"/>
      <c r="O13409" s="24"/>
      <c r="P13409"/>
      <c r="Q13409" s="24"/>
      <c r="R13409"/>
      <c r="S13409"/>
      <c r="T13409"/>
      <c r="U13409"/>
      <c r="X13409" s="60"/>
    </row>
    <row r="13410" spans="7:24" ht="15" customHeight="1">
      <c r="G13410"/>
      <c r="I13410"/>
      <c r="N13410"/>
      <c r="O13410" s="24"/>
      <c r="P13410"/>
      <c r="Q13410" s="24"/>
      <c r="R13410"/>
      <c r="S13410"/>
      <c r="T13410"/>
      <c r="U13410"/>
      <c r="X13410" s="60"/>
    </row>
    <row r="13411" spans="7:24" ht="15" customHeight="1">
      <c r="G13411"/>
      <c r="I13411"/>
      <c r="N13411"/>
      <c r="O13411" s="24"/>
      <c r="P13411"/>
      <c r="Q13411" s="24"/>
      <c r="R13411"/>
      <c r="S13411"/>
      <c r="T13411"/>
      <c r="U13411"/>
      <c r="X13411" s="60"/>
    </row>
    <row r="13412" spans="7:24" ht="15" customHeight="1">
      <c r="G13412"/>
      <c r="I13412"/>
      <c r="N13412"/>
      <c r="O13412" s="24"/>
      <c r="P13412"/>
      <c r="Q13412" s="24"/>
      <c r="R13412"/>
      <c r="S13412"/>
      <c r="T13412"/>
      <c r="U13412"/>
      <c r="X13412" s="60"/>
    </row>
    <row r="13413" spans="7:24" ht="15" customHeight="1">
      <c r="G13413"/>
      <c r="I13413"/>
      <c r="N13413"/>
      <c r="O13413" s="24"/>
      <c r="P13413"/>
      <c r="Q13413" s="24"/>
      <c r="R13413"/>
      <c r="S13413"/>
      <c r="T13413"/>
      <c r="U13413"/>
      <c r="X13413" s="60"/>
    </row>
    <row r="13414" spans="7:24" ht="15" customHeight="1">
      <c r="G13414"/>
      <c r="I13414"/>
      <c r="N13414"/>
      <c r="O13414" s="24"/>
      <c r="P13414"/>
      <c r="Q13414" s="24"/>
      <c r="R13414"/>
      <c r="S13414"/>
      <c r="T13414"/>
      <c r="U13414"/>
      <c r="X13414" s="60"/>
    </row>
    <row r="13415" spans="7:24" ht="15" customHeight="1">
      <c r="G13415"/>
      <c r="I13415"/>
      <c r="N13415"/>
      <c r="O13415" s="24"/>
      <c r="P13415"/>
      <c r="Q13415" s="24"/>
      <c r="R13415"/>
      <c r="S13415"/>
      <c r="T13415"/>
      <c r="U13415"/>
      <c r="X13415" s="60"/>
    </row>
    <row r="13416" spans="7:24" ht="15" customHeight="1">
      <c r="G13416"/>
      <c r="I13416"/>
      <c r="N13416"/>
      <c r="O13416" s="24"/>
      <c r="P13416"/>
      <c r="Q13416" s="24"/>
      <c r="R13416"/>
      <c r="S13416"/>
      <c r="T13416"/>
      <c r="U13416"/>
      <c r="X13416" s="60"/>
    </row>
    <row r="13417" spans="7:24" ht="15" customHeight="1">
      <c r="G13417"/>
      <c r="I13417"/>
      <c r="N13417"/>
      <c r="O13417" s="24"/>
      <c r="P13417"/>
      <c r="Q13417" s="24"/>
      <c r="R13417"/>
      <c r="S13417"/>
      <c r="T13417"/>
      <c r="U13417"/>
      <c r="X13417" s="60"/>
    </row>
    <row r="13418" spans="7:24" ht="15" customHeight="1">
      <c r="G13418"/>
      <c r="I13418"/>
      <c r="N13418"/>
      <c r="O13418" s="24"/>
      <c r="P13418"/>
      <c r="Q13418" s="24"/>
      <c r="R13418"/>
      <c r="S13418"/>
      <c r="T13418"/>
      <c r="U13418"/>
      <c r="X13418" s="60"/>
    </row>
    <row r="13419" spans="7:24" ht="15" customHeight="1">
      <c r="G13419"/>
      <c r="I13419"/>
      <c r="N13419"/>
      <c r="O13419" s="24"/>
      <c r="P13419"/>
      <c r="Q13419" s="24"/>
      <c r="R13419"/>
      <c r="S13419"/>
      <c r="T13419"/>
      <c r="U13419"/>
      <c r="X13419" s="60"/>
    </row>
    <row r="13420" spans="7:24" ht="15" customHeight="1">
      <c r="G13420"/>
      <c r="I13420"/>
      <c r="N13420"/>
      <c r="O13420" s="24"/>
      <c r="P13420"/>
      <c r="Q13420" s="24"/>
      <c r="R13420"/>
      <c r="S13420"/>
      <c r="T13420"/>
      <c r="U13420"/>
      <c r="X13420" s="60"/>
    </row>
    <row r="13421" spans="7:24" ht="15" customHeight="1">
      <c r="G13421"/>
      <c r="I13421"/>
      <c r="N13421"/>
      <c r="O13421" s="24"/>
      <c r="P13421"/>
      <c r="Q13421" s="24"/>
      <c r="R13421"/>
      <c r="S13421"/>
      <c r="T13421"/>
      <c r="U13421"/>
      <c r="X13421" s="60"/>
    </row>
    <row r="13422" spans="7:24" ht="15" customHeight="1">
      <c r="G13422"/>
      <c r="I13422"/>
      <c r="N13422"/>
      <c r="O13422" s="24"/>
      <c r="P13422"/>
      <c r="Q13422" s="24"/>
      <c r="R13422"/>
      <c r="S13422"/>
      <c r="T13422"/>
      <c r="U13422"/>
      <c r="X13422" s="60"/>
    </row>
    <row r="13423" spans="7:24" ht="15" customHeight="1">
      <c r="G13423"/>
      <c r="I13423"/>
      <c r="N13423"/>
      <c r="O13423" s="24"/>
      <c r="P13423"/>
      <c r="Q13423" s="24"/>
      <c r="R13423"/>
      <c r="S13423"/>
      <c r="T13423"/>
      <c r="U13423"/>
      <c r="X13423" s="60"/>
    </row>
    <row r="13424" spans="7:24" ht="15" customHeight="1">
      <c r="G13424"/>
      <c r="I13424"/>
      <c r="N13424"/>
      <c r="O13424" s="24"/>
      <c r="P13424"/>
      <c r="Q13424" s="24"/>
      <c r="R13424"/>
      <c r="S13424"/>
      <c r="T13424"/>
      <c r="U13424"/>
      <c r="X13424" s="60"/>
    </row>
    <row r="13425" spans="7:24" ht="15" customHeight="1">
      <c r="G13425"/>
      <c r="I13425"/>
      <c r="N13425"/>
      <c r="O13425" s="24"/>
      <c r="P13425"/>
      <c r="Q13425" s="24"/>
      <c r="R13425"/>
      <c r="S13425"/>
      <c r="T13425"/>
      <c r="U13425"/>
      <c r="X13425" s="60"/>
    </row>
    <row r="13426" spans="7:24" ht="15" customHeight="1">
      <c r="G13426"/>
      <c r="I13426"/>
      <c r="N13426"/>
      <c r="O13426" s="24"/>
      <c r="P13426"/>
      <c r="Q13426" s="24"/>
      <c r="R13426"/>
      <c r="S13426"/>
      <c r="T13426"/>
      <c r="U13426"/>
      <c r="X13426" s="60"/>
    </row>
    <row r="13427" spans="7:24" ht="15" customHeight="1">
      <c r="G13427"/>
      <c r="I13427"/>
      <c r="N13427"/>
      <c r="O13427" s="24"/>
      <c r="P13427"/>
      <c r="Q13427" s="24"/>
      <c r="R13427"/>
      <c r="S13427"/>
      <c r="T13427"/>
      <c r="U13427"/>
      <c r="X13427" s="60"/>
    </row>
    <row r="13428" spans="7:24" ht="15" customHeight="1">
      <c r="G13428"/>
      <c r="I13428"/>
      <c r="N13428"/>
      <c r="O13428" s="24"/>
      <c r="P13428"/>
      <c r="Q13428" s="24"/>
      <c r="R13428"/>
      <c r="S13428"/>
      <c r="T13428"/>
      <c r="U13428"/>
      <c r="X13428" s="60"/>
    </row>
    <row r="13429" spans="7:24" ht="15" customHeight="1">
      <c r="G13429"/>
      <c r="I13429"/>
      <c r="N13429"/>
      <c r="O13429" s="24"/>
      <c r="P13429"/>
      <c r="Q13429" s="24"/>
      <c r="R13429"/>
      <c r="S13429"/>
      <c r="T13429"/>
      <c r="U13429"/>
      <c r="X13429" s="60"/>
    </row>
    <row r="13430" spans="7:24" ht="15" customHeight="1">
      <c r="G13430"/>
      <c r="I13430"/>
      <c r="N13430"/>
      <c r="O13430" s="24"/>
      <c r="P13430"/>
      <c r="Q13430" s="24"/>
      <c r="R13430"/>
      <c r="S13430"/>
      <c r="T13430"/>
      <c r="U13430"/>
      <c r="X13430" s="60"/>
    </row>
    <row r="13431" spans="7:24" ht="15" customHeight="1">
      <c r="G13431"/>
      <c r="I13431"/>
      <c r="N13431"/>
      <c r="O13431" s="24"/>
      <c r="P13431"/>
      <c r="Q13431" s="24"/>
      <c r="R13431"/>
      <c r="S13431"/>
      <c r="T13431"/>
      <c r="U13431"/>
      <c r="X13431" s="60"/>
    </row>
    <row r="13432" spans="7:24" ht="15" customHeight="1">
      <c r="G13432"/>
      <c r="I13432"/>
      <c r="N13432"/>
      <c r="O13432" s="24"/>
      <c r="P13432"/>
      <c r="Q13432" s="24"/>
      <c r="R13432"/>
      <c r="S13432"/>
      <c r="T13432"/>
      <c r="U13432"/>
      <c r="X13432" s="60"/>
    </row>
    <row r="13433" spans="7:24" ht="15" customHeight="1">
      <c r="G13433"/>
      <c r="I13433"/>
      <c r="N13433"/>
      <c r="O13433" s="24"/>
      <c r="P13433"/>
      <c r="Q13433" s="24"/>
      <c r="R13433"/>
      <c r="S13433"/>
      <c r="T13433"/>
      <c r="U13433"/>
      <c r="X13433" s="60"/>
    </row>
    <row r="13434" spans="7:24" ht="15" customHeight="1">
      <c r="G13434"/>
      <c r="I13434"/>
      <c r="N13434"/>
      <c r="O13434" s="24"/>
      <c r="P13434"/>
      <c r="Q13434" s="24"/>
      <c r="R13434"/>
      <c r="S13434"/>
      <c r="T13434"/>
      <c r="U13434"/>
      <c r="X13434" s="60"/>
    </row>
    <row r="13435" spans="7:24" ht="15" customHeight="1">
      <c r="G13435"/>
      <c r="I13435"/>
      <c r="N13435"/>
      <c r="O13435" s="24"/>
      <c r="P13435"/>
      <c r="Q13435" s="24"/>
      <c r="R13435"/>
      <c r="S13435"/>
      <c r="T13435"/>
      <c r="U13435"/>
      <c r="X13435" s="60"/>
    </row>
    <row r="13436" spans="7:24" ht="15" customHeight="1">
      <c r="G13436"/>
      <c r="I13436"/>
      <c r="N13436"/>
      <c r="O13436" s="24"/>
      <c r="P13436"/>
      <c r="Q13436" s="24"/>
      <c r="R13436"/>
      <c r="S13436"/>
      <c r="T13436"/>
      <c r="U13436"/>
      <c r="X13436" s="60"/>
    </row>
    <row r="13437" spans="7:24" ht="15" customHeight="1">
      <c r="G13437"/>
      <c r="I13437"/>
      <c r="N13437"/>
      <c r="O13437" s="24"/>
      <c r="P13437"/>
      <c r="Q13437" s="24"/>
      <c r="R13437"/>
      <c r="S13437"/>
      <c r="T13437"/>
      <c r="U13437"/>
      <c r="X13437" s="60"/>
    </row>
    <row r="13438" spans="7:24" ht="15" customHeight="1">
      <c r="G13438"/>
      <c r="I13438"/>
      <c r="N13438"/>
      <c r="O13438" s="24"/>
      <c r="P13438"/>
      <c r="Q13438" s="24"/>
      <c r="R13438"/>
      <c r="S13438"/>
      <c r="T13438"/>
      <c r="U13438"/>
      <c r="X13438" s="60"/>
    </row>
    <row r="13439" spans="7:24" ht="15" customHeight="1">
      <c r="G13439"/>
      <c r="I13439"/>
      <c r="N13439"/>
      <c r="O13439" s="24"/>
      <c r="P13439"/>
      <c r="Q13439" s="24"/>
      <c r="R13439"/>
      <c r="S13439"/>
      <c r="T13439"/>
      <c r="U13439"/>
      <c r="X13439" s="60"/>
    </row>
    <row r="13440" spans="7:24" ht="15" customHeight="1">
      <c r="G13440"/>
      <c r="I13440"/>
      <c r="N13440"/>
      <c r="O13440" s="24"/>
      <c r="P13440"/>
      <c r="Q13440" s="24"/>
      <c r="R13440"/>
      <c r="S13440"/>
      <c r="T13440"/>
      <c r="U13440"/>
      <c r="X13440" s="60"/>
    </row>
    <row r="13441" spans="7:24" ht="15" customHeight="1">
      <c r="G13441"/>
      <c r="I13441"/>
      <c r="N13441"/>
      <c r="O13441" s="24"/>
      <c r="P13441"/>
      <c r="Q13441" s="24"/>
      <c r="R13441"/>
      <c r="S13441"/>
      <c r="T13441"/>
      <c r="U13441"/>
      <c r="X13441" s="60"/>
    </row>
    <row r="13442" spans="7:24" ht="15" customHeight="1">
      <c r="G13442"/>
      <c r="I13442"/>
      <c r="N13442"/>
      <c r="O13442" s="24"/>
      <c r="P13442"/>
      <c r="Q13442" s="24"/>
      <c r="R13442"/>
      <c r="S13442"/>
      <c r="T13442"/>
      <c r="U13442"/>
      <c r="X13442" s="60"/>
    </row>
    <row r="13443" spans="7:24" ht="15" customHeight="1">
      <c r="G13443"/>
      <c r="I13443"/>
      <c r="N13443"/>
      <c r="O13443" s="24"/>
      <c r="P13443"/>
      <c r="Q13443" s="24"/>
      <c r="R13443"/>
      <c r="S13443"/>
      <c r="T13443"/>
      <c r="U13443"/>
      <c r="X13443" s="60"/>
    </row>
    <row r="13444" spans="7:24" ht="15" customHeight="1">
      <c r="G13444"/>
      <c r="I13444"/>
      <c r="N13444"/>
      <c r="O13444" s="24"/>
      <c r="P13444"/>
      <c r="Q13444" s="24"/>
      <c r="R13444"/>
      <c r="S13444"/>
      <c r="T13444"/>
      <c r="U13444"/>
      <c r="X13444" s="60"/>
    </row>
    <row r="13445" spans="7:24" ht="15" customHeight="1">
      <c r="G13445"/>
      <c r="I13445"/>
      <c r="N13445"/>
      <c r="O13445" s="24"/>
      <c r="P13445"/>
      <c r="Q13445" s="24"/>
      <c r="R13445"/>
      <c r="S13445"/>
      <c r="T13445"/>
      <c r="U13445"/>
      <c r="X13445" s="60"/>
    </row>
    <row r="13446" spans="7:24" ht="15" customHeight="1">
      <c r="G13446"/>
      <c r="I13446"/>
      <c r="N13446"/>
      <c r="O13446" s="24"/>
      <c r="P13446"/>
      <c r="Q13446" s="24"/>
      <c r="R13446"/>
      <c r="S13446"/>
      <c r="T13446"/>
      <c r="U13446"/>
      <c r="X13446" s="60"/>
    </row>
    <row r="13447" spans="7:24" ht="15" customHeight="1">
      <c r="G13447"/>
      <c r="I13447"/>
      <c r="N13447"/>
      <c r="O13447" s="24"/>
      <c r="P13447"/>
      <c r="Q13447" s="24"/>
      <c r="R13447"/>
      <c r="S13447"/>
      <c r="T13447"/>
      <c r="U13447"/>
      <c r="X13447" s="60"/>
    </row>
    <row r="13448" spans="7:24" ht="15" customHeight="1">
      <c r="G13448"/>
      <c r="I13448"/>
      <c r="N13448"/>
      <c r="O13448" s="24"/>
      <c r="P13448"/>
      <c r="Q13448" s="24"/>
      <c r="R13448"/>
      <c r="S13448"/>
      <c r="T13448"/>
      <c r="U13448"/>
      <c r="X13448" s="60"/>
    </row>
    <row r="13449" spans="7:24" ht="15" customHeight="1">
      <c r="G13449"/>
      <c r="I13449"/>
      <c r="N13449"/>
      <c r="O13449" s="24"/>
      <c r="P13449"/>
      <c r="Q13449" s="24"/>
      <c r="R13449"/>
      <c r="S13449"/>
      <c r="T13449"/>
      <c r="U13449"/>
      <c r="X13449" s="60"/>
    </row>
    <row r="13450" spans="7:24" ht="15" customHeight="1">
      <c r="G13450"/>
      <c r="I13450"/>
      <c r="N13450"/>
      <c r="O13450" s="24"/>
      <c r="P13450"/>
      <c r="Q13450" s="24"/>
      <c r="R13450"/>
      <c r="S13450"/>
      <c r="T13450"/>
      <c r="U13450"/>
      <c r="X13450" s="60"/>
    </row>
    <row r="13451" spans="7:24" ht="15" customHeight="1">
      <c r="G13451"/>
      <c r="I13451"/>
      <c r="N13451"/>
      <c r="O13451" s="24"/>
      <c r="P13451"/>
      <c r="Q13451" s="24"/>
      <c r="R13451"/>
      <c r="S13451"/>
      <c r="T13451"/>
      <c r="U13451"/>
      <c r="X13451" s="60"/>
    </row>
    <row r="13452" spans="7:24" ht="15" customHeight="1">
      <c r="G13452"/>
      <c r="I13452"/>
      <c r="N13452"/>
      <c r="O13452" s="24"/>
      <c r="P13452"/>
      <c r="Q13452" s="24"/>
      <c r="R13452"/>
      <c r="S13452"/>
      <c r="T13452"/>
      <c r="U13452"/>
      <c r="X13452" s="60"/>
    </row>
    <row r="13453" spans="7:24" ht="15" customHeight="1">
      <c r="G13453"/>
      <c r="I13453"/>
      <c r="N13453"/>
      <c r="O13453" s="24"/>
      <c r="P13453"/>
      <c r="Q13453" s="24"/>
      <c r="R13453"/>
      <c r="S13453"/>
      <c r="T13453"/>
      <c r="U13453"/>
      <c r="X13453" s="60"/>
    </row>
    <row r="13454" spans="7:24" ht="15" customHeight="1">
      <c r="G13454"/>
      <c r="I13454"/>
      <c r="N13454"/>
      <c r="O13454" s="24"/>
      <c r="P13454"/>
      <c r="Q13454" s="24"/>
      <c r="R13454"/>
      <c r="S13454"/>
      <c r="T13454"/>
      <c r="U13454"/>
      <c r="X13454" s="60"/>
    </row>
    <row r="13455" spans="7:24" ht="15" customHeight="1">
      <c r="G13455"/>
      <c r="I13455"/>
      <c r="N13455"/>
      <c r="O13455" s="24"/>
      <c r="P13455"/>
      <c r="Q13455" s="24"/>
      <c r="R13455"/>
      <c r="S13455"/>
      <c r="T13455"/>
      <c r="U13455"/>
      <c r="X13455" s="60"/>
    </row>
    <row r="13456" spans="7:24" ht="15" customHeight="1">
      <c r="G13456"/>
      <c r="I13456"/>
      <c r="N13456"/>
      <c r="O13456" s="24"/>
      <c r="P13456"/>
      <c r="Q13456" s="24"/>
      <c r="R13456"/>
      <c r="S13456"/>
      <c r="T13456"/>
      <c r="U13456"/>
      <c r="X13456" s="60"/>
    </row>
    <row r="13457" spans="7:24" ht="15" customHeight="1">
      <c r="G13457"/>
      <c r="I13457"/>
      <c r="N13457"/>
      <c r="O13457" s="24"/>
      <c r="P13457"/>
      <c r="Q13457" s="24"/>
      <c r="R13457"/>
      <c r="S13457"/>
      <c r="T13457"/>
      <c r="U13457"/>
      <c r="X13457" s="60"/>
    </row>
    <row r="13458" spans="7:24" ht="15" customHeight="1">
      <c r="G13458"/>
      <c r="I13458"/>
      <c r="N13458"/>
      <c r="O13458" s="24"/>
      <c r="P13458"/>
      <c r="Q13458" s="24"/>
      <c r="R13458"/>
      <c r="S13458"/>
      <c r="T13458"/>
      <c r="U13458"/>
      <c r="X13458" s="60"/>
    </row>
    <row r="13459" spans="7:24" ht="15" customHeight="1">
      <c r="G13459"/>
      <c r="I13459"/>
      <c r="N13459"/>
      <c r="O13459" s="24"/>
      <c r="P13459"/>
      <c r="Q13459" s="24"/>
      <c r="R13459"/>
      <c r="S13459"/>
      <c r="T13459"/>
      <c r="U13459"/>
      <c r="X13459" s="60"/>
    </row>
    <row r="13460" spans="7:24" ht="15" customHeight="1">
      <c r="G13460"/>
      <c r="I13460"/>
      <c r="N13460"/>
      <c r="O13460" s="24"/>
      <c r="P13460"/>
      <c r="Q13460" s="24"/>
      <c r="R13460"/>
      <c r="S13460"/>
      <c r="T13460"/>
      <c r="U13460"/>
      <c r="X13460" s="60"/>
    </row>
    <row r="13461" spans="7:24" ht="15" customHeight="1">
      <c r="G13461"/>
      <c r="I13461"/>
      <c r="N13461"/>
      <c r="O13461" s="24"/>
      <c r="P13461"/>
      <c r="Q13461" s="24"/>
      <c r="R13461"/>
      <c r="S13461"/>
      <c r="T13461"/>
      <c r="U13461"/>
      <c r="X13461" s="60"/>
    </row>
    <row r="13462" spans="7:24" ht="15" customHeight="1">
      <c r="G13462"/>
      <c r="I13462"/>
      <c r="N13462"/>
      <c r="O13462" s="24"/>
      <c r="P13462"/>
      <c r="Q13462" s="24"/>
      <c r="R13462"/>
      <c r="S13462"/>
      <c r="T13462"/>
      <c r="U13462"/>
      <c r="X13462" s="60"/>
    </row>
    <row r="13463" spans="7:24" ht="15" customHeight="1">
      <c r="G13463"/>
      <c r="I13463"/>
      <c r="N13463"/>
      <c r="O13463" s="24"/>
      <c r="P13463"/>
      <c r="Q13463" s="24"/>
      <c r="R13463"/>
      <c r="S13463"/>
      <c r="T13463"/>
      <c r="U13463"/>
      <c r="X13463" s="60"/>
    </row>
    <row r="13464" spans="7:24" ht="15" customHeight="1">
      <c r="G13464"/>
      <c r="I13464"/>
      <c r="N13464"/>
      <c r="O13464" s="24"/>
      <c r="P13464"/>
      <c r="Q13464" s="24"/>
      <c r="R13464"/>
      <c r="S13464"/>
      <c r="T13464"/>
      <c r="U13464"/>
      <c r="X13464" s="60"/>
    </row>
    <row r="13465" spans="7:24" ht="15" customHeight="1">
      <c r="G13465"/>
      <c r="I13465"/>
      <c r="N13465"/>
      <c r="O13465" s="24"/>
      <c r="P13465"/>
      <c r="Q13465" s="24"/>
      <c r="R13465"/>
      <c r="S13465"/>
      <c r="T13465"/>
      <c r="U13465"/>
      <c r="X13465" s="60"/>
    </row>
    <row r="13466" spans="7:24" ht="15" customHeight="1">
      <c r="G13466"/>
      <c r="I13466"/>
      <c r="N13466"/>
      <c r="O13466" s="24"/>
      <c r="P13466"/>
      <c r="Q13466" s="24"/>
      <c r="R13466"/>
      <c r="S13466"/>
      <c r="T13466"/>
      <c r="U13466"/>
      <c r="X13466" s="60"/>
    </row>
    <row r="13467" spans="7:24" ht="15" customHeight="1">
      <c r="G13467"/>
      <c r="I13467"/>
      <c r="N13467"/>
      <c r="O13467" s="24"/>
      <c r="P13467"/>
      <c r="Q13467" s="24"/>
      <c r="R13467"/>
      <c r="S13467"/>
      <c r="T13467"/>
      <c r="U13467"/>
      <c r="X13467" s="60"/>
    </row>
    <row r="13468" spans="7:24" ht="15" customHeight="1">
      <c r="G13468"/>
      <c r="I13468"/>
      <c r="N13468"/>
      <c r="O13468" s="24"/>
      <c r="P13468"/>
      <c r="Q13468" s="24"/>
      <c r="R13468"/>
      <c r="S13468"/>
      <c r="T13468"/>
      <c r="U13468"/>
      <c r="X13468" s="60"/>
    </row>
    <row r="13469" spans="7:24" ht="15" customHeight="1">
      <c r="G13469"/>
      <c r="I13469"/>
      <c r="N13469"/>
      <c r="O13469" s="24"/>
      <c r="P13469"/>
      <c r="Q13469" s="24"/>
      <c r="R13469"/>
      <c r="S13469"/>
      <c r="T13469"/>
      <c r="U13469"/>
      <c r="X13469" s="60"/>
    </row>
    <row r="13470" spans="7:24" ht="15" customHeight="1">
      <c r="G13470"/>
      <c r="I13470"/>
      <c r="N13470"/>
      <c r="O13470" s="24"/>
      <c r="P13470"/>
      <c r="Q13470" s="24"/>
      <c r="R13470"/>
      <c r="S13470"/>
      <c r="T13470"/>
      <c r="U13470"/>
      <c r="X13470" s="60"/>
    </row>
    <row r="13471" spans="7:24" ht="15" customHeight="1">
      <c r="G13471"/>
      <c r="I13471"/>
      <c r="N13471"/>
      <c r="O13471" s="24"/>
      <c r="P13471"/>
      <c r="Q13471" s="24"/>
      <c r="R13471"/>
      <c r="S13471"/>
      <c r="T13471"/>
      <c r="U13471"/>
      <c r="X13471" s="60"/>
    </row>
    <row r="13472" spans="7:24" ht="15" customHeight="1">
      <c r="G13472"/>
      <c r="I13472"/>
      <c r="N13472"/>
      <c r="O13472" s="24"/>
      <c r="P13472"/>
      <c r="Q13472" s="24"/>
      <c r="R13472"/>
      <c r="S13472"/>
      <c r="T13472"/>
      <c r="U13472"/>
      <c r="X13472" s="60"/>
    </row>
    <row r="13473" spans="7:24" ht="15" customHeight="1">
      <c r="G13473"/>
      <c r="I13473"/>
      <c r="N13473"/>
      <c r="O13473" s="24"/>
      <c r="P13473"/>
      <c r="Q13473" s="24"/>
      <c r="R13473"/>
      <c r="S13473"/>
      <c r="T13473"/>
      <c r="U13473"/>
      <c r="X13473" s="60"/>
    </row>
    <row r="13474" spans="7:24" ht="15" customHeight="1">
      <c r="G13474"/>
      <c r="I13474"/>
      <c r="N13474"/>
      <c r="O13474" s="24"/>
      <c r="P13474"/>
      <c r="Q13474" s="24"/>
      <c r="R13474"/>
      <c r="S13474"/>
      <c r="T13474"/>
      <c r="U13474"/>
      <c r="X13474" s="60"/>
    </row>
    <row r="13475" spans="7:24" ht="15" customHeight="1">
      <c r="G13475"/>
      <c r="I13475"/>
      <c r="N13475"/>
      <c r="O13475" s="24"/>
      <c r="P13475"/>
      <c r="Q13475" s="24"/>
      <c r="R13475"/>
      <c r="S13475"/>
      <c r="T13475"/>
      <c r="U13475"/>
      <c r="X13475" s="60"/>
    </row>
    <row r="13476" spans="7:24" ht="15" customHeight="1">
      <c r="G13476"/>
      <c r="I13476"/>
      <c r="N13476"/>
      <c r="O13476" s="24"/>
      <c r="P13476"/>
      <c r="Q13476" s="24"/>
      <c r="R13476"/>
      <c r="S13476"/>
      <c r="T13476"/>
      <c r="U13476"/>
      <c r="X13476" s="60"/>
    </row>
    <row r="13477" spans="7:24" ht="15" customHeight="1">
      <c r="G13477"/>
      <c r="I13477"/>
      <c r="N13477"/>
      <c r="O13477" s="24"/>
      <c r="P13477"/>
      <c r="Q13477" s="24"/>
      <c r="R13477"/>
      <c r="S13477"/>
      <c r="T13477"/>
      <c r="U13477"/>
      <c r="X13477" s="60"/>
    </row>
    <row r="13478" spans="7:24" ht="15" customHeight="1">
      <c r="G13478"/>
      <c r="I13478"/>
      <c r="N13478"/>
      <c r="O13478" s="24"/>
      <c r="P13478"/>
      <c r="Q13478" s="24"/>
      <c r="R13478"/>
      <c r="S13478"/>
      <c r="T13478"/>
      <c r="U13478"/>
      <c r="X13478" s="60"/>
    </row>
    <row r="13479" spans="7:24" ht="15" customHeight="1">
      <c r="G13479"/>
      <c r="I13479"/>
      <c r="N13479"/>
      <c r="O13479" s="24"/>
      <c r="P13479"/>
      <c r="Q13479" s="24"/>
      <c r="R13479"/>
      <c r="S13479"/>
      <c r="T13479"/>
      <c r="U13479"/>
      <c r="X13479" s="60"/>
    </row>
    <row r="13480" spans="7:24" ht="15" customHeight="1">
      <c r="G13480"/>
      <c r="I13480"/>
      <c r="N13480"/>
      <c r="O13480" s="24"/>
      <c r="P13480"/>
      <c r="Q13480" s="24"/>
      <c r="R13480"/>
      <c r="S13480"/>
      <c r="T13480"/>
      <c r="U13480"/>
      <c r="X13480" s="60"/>
    </row>
    <row r="13481" spans="7:24" ht="15" customHeight="1">
      <c r="G13481"/>
      <c r="I13481"/>
      <c r="N13481"/>
      <c r="O13481" s="24"/>
      <c r="P13481"/>
      <c r="Q13481" s="24"/>
      <c r="R13481"/>
      <c r="S13481"/>
      <c r="T13481"/>
      <c r="U13481"/>
      <c r="X13481" s="60"/>
    </row>
    <row r="13482" spans="7:24" ht="15" customHeight="1">
      <c r="G13482"/>
      <c r="I13482"/>
      <c r="N13482"/>
      <c r="O13482" s="24"/>
      <c r="P13482"/>
      <c r="Q13482" s="24"/>
      <c r="R13482"/>
      <c r="S13482"/>
      <c r="T13482"/>
      <c r="U13482"/>
      <c r="X13482" s="60"/>
    </row>
    <row r="13483" spans="7:24" ht="15" customHeight="1">
      <c r="G13483"/>
      <c r="I13483"/>
      <c r="N13483"/>
      <c r="O13483" s="24"/>
      <c r="P13483"/>
      <c r="Q13483" s="24"/>
      <c r="R13483"/>
      <c r="S13483"/>
      <c r="T13483"/>
      <c r="U13483"/>
      <c r="X13483" s="60"/>
    </row>
    <row r="13484" spans="7:24" ht="15" customHeight="1">
      <c r="G13484"/>
      <c r="I13484"/>
      <c r="N13484"/>
      <c r="O13484" s="24"/>
      <c r="P13484"/>
      <c r="Q13484" s="24"/>
      <c r="R13484"/>
      <c r="S13484"/>
      <c r="T13484"/>
      <c r="U13484"/>
      <c r="X13484" s="60"/>
    </row>
    <row r="13485" spans="7:24" ht="15" customHeight="1">
      <c r="G13485"/>
      <c r="I13485"/>
      <c r="N13485"/>
      <c r="O13485" s="24"/>
      <c r="P13485"/>
      <c r="Q13485" s="24"/>
      <c r="R13485"/>
      <c r="S13485"/>
      <c r="T13485"/>
      <c r="U13485"/>
      <c r="X13485" s="60"/>
    </row>
    <row r="13486" spans="7:24" ht="15" customHeight="1">
      <c r="G13486"/>
      <c r="I13486"/>
      <c r="N13486"/>
      <c r="O13486" s="24"/>
      <c r="P13486"/>
      <c r="Q13486" s="24"/>
      <c r="R13486"/>
      <c r="S13486"/>
      <c r="T13486"/>
      <c r="U13486"/>
      <c r="X13486" s="60"/>
    </row>
    <row r="13487" spans="7:24" ht="15" customHeight="1">
      <c r="G13487"/>
      <c r="I13487"/>
      <c r="N13487"/>
      <c r="O13487" s="24"/>
      <c r="P13487"/>
      <c r="Q13487" s="24"/>
      <c r="R13487"/>
      <c r="S13487"/>
      <c r="T13487"/>
      <c r="U13487"/>
      <c r="X13487" s="60"/>
    </row>
    <row r="13488" spans="7:24" ht="15" customHeight="1">
      <c r="G13488"/>
      <c r="I13488"/>
      <c r="N13488"/>
      <c r="O13488" s="24"/>
      <c r="P13488"/>
      <c r="Q13488" s="24"/>
      <c r="R13488"/>
      <c r="S13488"/>
      <c r="T13488"/>
      <c r="U13488"/>
      <c r="X13488" s="60"/>
    </row>
    <row r="13489" spans="7:24" ht="15" customHeight="1">
      <c r="G13489"/>
      <c r="I13489"/>
      <c r="N13489"/>
      <c r="O13489" s="24"/>
      <c r="P13489"/>
      <c r="Q13489" s="24"/>
      <c r="R13489"/>
      <c r="S13489"/>
      <c r="T13489"/>
      <c r="U13489"/>
      <c r="X13489" s="60"/>
    </row>
    <row r="13490" spans="7:24" ht="15" customHeight="1">
      <c r="G13490"/>
      <c r="I13490"/>
      <c r="N13490"/>
      <c r="O13490" s="24"/>
      <c r="P13490"/>
      <c r="Q13490" s="24"/>
      <c r="R13490"/>
      <c r="S13490"/>
      <c r="T13490"/>
      <c r="U13490"/>
      <c r="X13490" s="60"/>
    </row>
    <row r="13491" spans="7:24" ht="15" customHeight="1">
      <c r="G13491"/>
      <c r="I13491"/>
      <c r="N13491"/>
      <c r="O13491" s="24"/>
      <c r="P13491"/>
      <c r="Q13491" s="24"/>
      <c r="R13491"/>
      <c r="S13491"/>
      <c r="T13491"/>
      <c r="U13491"/>
      <c r="X13491" s="60"/>
    </row>
    <row r="13492" spans="7:24" ht="15" customHeight="1">
      <c r="G13492"/>
      <c r="I13492"/>
      <c r="N13492"/>
      <c r="O13492" s="24"/>
      <c r="P13492"/>
      <c r="Q13492" s="24"/>
      <c r="R13492"/>
      <c r="S13492"/>
      <c r="T13492"/>
      <c r="U13492"/>
      <c r="X13492" s="60"/>
    </row>
    <row r="13493" spans="7:24" ht="15" customHeight="1">
      <c r="G13493"/>
      <c r="I13493"/>
      <c r="N13493"/>
      <c r="O13493" s="24"/>
      <c r="P13493"/>
      <c r="Q13493" s="24"/>
      <c r="R13493"/>
      <c r="S13493"/>
      <c r="T13493"/>
      <c r="U13493"/>
      <c r="X13493" s="60"/>
    </row>
    <row r="13494" spans="7:24" ht="15" customHeight="1">
      <c r="G13494"/>
      <c r="I13494"/>
      <c r="N13494"/>
      <c r="O13494" s="24"/>
      <c r="P13494"/>
      <c r="Q13494" s="24"/>
      <c r="R13494"/>
      <c r="S13494"/>
      <c r="T13494"/>
      <c r="U13494"/>
      <c r="X13494" s="60"/>
    </row>
    <row r="13495" spans="7:24" ht="15" customHeight="1">
      <c r="G13495"/>
      <c r="I13495"/>
      <c r="N13495"/>
      <c r="O13495" s="24"/>
      <c r="P13495"/>
      <c r="Q13495" s="24"/>
      <c r="R13495"/>
      <c r="S13495"/>
      <c r="T13495"/>
      <c r="U13495"/>
      <c r="X13495" s="60"/>
    </row>
    <row r="13496" spans="7:24" ht="15" customHeight="1">
      <c r="G13496"/>
      <c r="I13496"/>
      <c r="N13496"/>
      <c r="O13496" s="24"/>
      <c r="P13496"/>
      <c r="Q13496" s="24"/>
      <c r="R13496"/>
      <c r="S13496"/>
      <c r="T13496"/>
      <c r="U13496"/>
      <c r="X13496" s="60"/>
    </row>
    <row r="13497" spans="7:24" ht="15" customHeight="1">
      <c r="G13497"/>
      <c r="I13497"/>
      <c r="N13497"/>
      <c r="O13497" s="24"/>
      <c r="P13497"/>
      <c r="Q13497" s="24"/>
      <c r="R13497"/>
      <c r="S13497"/>
      <c r="T13497"/>
      <c r="U13497"/>
      <c r="X13497" s="60"/>
    </row>
    <row r="13498" spans="7:24" ht="15" customHeight="1">
      <c r="G13498"/>
      <c r="I13498"/>
      <c r="N13498"/>
      <c r="O13498" s="24"/>
      <c r="P13498"/>
      <c r="Q13498" s="24"/>
      <c r="R13498"/>
      <c r="S13498"/>
      <c r="T13498"/>
      <c r="U13498"/>
      <c r="X13498" s="60"/>
    </row>
    <row r="13499" spans="7:24" ht="15" customHeight="1">
      <c r="G13499"/>
      <c r="I13499"/>
      <c r="N13499"/>
      <c r="O13499" s="24"/>
      <c r="P13499"/>
      <c r="Q13499" s="24"/>
      <c r="R13499"/>
      <c r="S13499"/>
      <c r="T13499"/>
      <c r="U13499"/>
      <c r="X13499" s="60"/>
    </row>
    <row r="13500" spans="7:24" ht="15" customHeight="1">
      <c r="G13500"/>
      <c r="I13500"/>
      <c r="N13500"/>
      <c r="O13500" s="24"/>
      <c r="P13500"/>
      <c r="Q13500" s="24"/>
      <c r="R13500"/>
      <c r="S13500"/>
      <c r="T13500"/>
      <c r="U13500"/>
      <c r="X13500" s="60"/>
    </row>
    <row r="13501" spans="7:24" ht="15" customHeight="1">
      <c r="G13501"/>
      <c r="I13501"/>
      <c r="N13501"/>
      <c r="O13501" s="24"/>
      <c r="P13501"/>
      <c r="Q13501" s="24"/>
      <c r="R13501"/>
      <c r="S13501"/>
      <c r="T13501"/>
      <c r="U13501"/>
      <c r="X13501" s="60"/>
    </row>
    <row r="13502" spans="7:24" ht="15" customHeight="1">
      <c r="G13502"/>
      <c r="I13502"/>
      <c r="N13502"/>
      <c r="O13502" s="24"/>
      <c r="P13502"/>
      <c r="Q13502" s="24"/>
      <c r="R13502"/>
      <c r="S13502"/>
      <c r="T13502"/>
      <c r="U13502"/>
      <c r="X13502" s="60"/>
    </row>
    <row r="13503" spans="7:24" ht="15" customHeight="1">
      <c r="G13503"/>
      <c r="I13503"/>
      <c r="N13503"/>
      <c r="O13503" s="24"/>
      <c r="P13503"/>
      <c r="Q13503" s="24"/>
      <c r="R13503"/>
      <c r="S13503"/>
      <c r="T13503"/>
      <c r="U13503"/>
      <c r="X13503" s="60"/>
    </row>
    <row r="13504" spans="7:24" ht="15" customHeight="1">
      <c r="G13504"/>
      <c r="I13504"/>
      <c r="N13504"/>
      <c r="O13504" s="24"/>
      <c r="P13504"/>
      <c r="Q13504" s="24"/>
      <c r="R13504"/>
      <c r="S13504"/>
      <c r="T13504"/>
      <c r="U13504"/>
      <c r="X13504" s="60"/>
    </row>
    <row r="13505" spans="7:24" ht="15" customHeight="1">
      <c r="G13505"/>
      <c r="I13505"/>
      <c r="N13505"/>
      <c r="O13505" s="24"/>
      <c r="P13505"/>
      <c r="Q13505" s="24"/>
      <c r="R13505"/>
      <c r="S13505"/>
      <c r="T13505"/>
      <c r="U13505"/>
      <c r="X13505" s="60"/>
    </row>
    <row r="13506" spans="7:24" ht="15" customHeight="1">
      <c r="G13506"/>
      <c r="I13506"/>
      <c r="N13506"/>
      <c r="O13506" s="24"/>
      <c r="P13506"/>
      <c r="Q13506" s="24"/>
      <c r="R13506"/>
      <c r="S13506"/>
      <c r="T13506"/>
      <c r="U13506"/>
      <c r="X13506" s="60"/>
    </row>
    <row r="13507" spans="7:24" ht="15" customHeight="1">
      <c r="G13507"/>
      <c r="I13507"/>
      <c r="N13507"/>
      <c r="O13507" s="24"/>
      <c r="P13507"/>
      <c r="Q13507" s="24"/>
      <c r="R13507"/>
      <c r="S13507"/>
      <c r="T13507"/>
      <c r="U13507"/>
      <c r="X13507" s="60"/>
    </row>
    <row r="13508" spans="7:24" ht="15" customHeight="1">
      <c r="G13508"/>
      <c r="I13508"/>
      <c r="N13508"/>
      <c r="O13508" s="24"/>
      <c r="P13508"/>
      <c r="Q13508" s="24"/>
      <c r="R13508"/>
      <c r="S13508"/>
      <c r="T13508"/>
      <c r="U13508"/>
      <c r="X13508" s="60"/>
    </row>
    <row r="13509" spans="7:24" ht="15" customHeight="1">
      <c r="G13509"/>
      <c r="I13509"/>
      <c r="N13509"/>
      <c r="O13509" s="24"/>
      <c r="P13509"/>
      <c r="Q13509" s="24"/>
      <c r="R13509"/>
      <c r="S13509"/>
      <c r="T13509"/>
      <c r="U13509"/>
      <c r="X13509" s="60"/>
    </row>
    <row r="13510" spans="7:24" ht="15" customHeight="1">
      <c r="G13510"/>
      <c r="I13510"/>
      <c r="N13510"/>
      <c r="O13510" s="24"/>
      <c r="P13510"/>
      <c r="Q13510" s="24"/>
      <c r="R13510"/>
      <c r="S13510"/>
      <c r="T13510"/>
      <c r="U13510"/>
      <c r="X13510" s="60"/>
    </row>
    <row r="13511" spans="7:24" ht="15" customHeight="1">
      <c r="G13511"/>
      <c r="I13511"/>
      <c r="N13511"/>
      <c r="O13511" s="24"/>
      <c r="P13511"/>
      <c r="Q13511" s="24"/>
      <c r="R13511"/>
      <c r="S13511"/>
      <c r="T13511"/>
      <c r="U13511"/>
      <c r="X13511" s="60"/>
    </row>
    <row r="13512" spans="7:24" ht="15" customHeight="1">
      <c r="G13512"/>
      <c r="I13512"/>
      <c r="N13512"/>
      <c r="O13512" s="24"/>
      <c r="P13512"/>
      <c r="Q13512" s="24"/>
      <c r="R13512"/>
      <c r="S13512"/>
      <c r="T13512"/>
      <c r="U13512"/>
      <c r="X13512" s="60"/>
    </row>
    <row r="13513" spans="7:24" ht="15" customHeight="1">
      <c r="G13513"/>
      <c r="I13513"/>
      <c r="N13513"/>
      <c r="O13513" s="24"/>
      <c r="P13513"/>
      <c r="Q13513" s="24"/>
      <c r="R13513"/>
      <c r="S13513"/>
      <c r="T13513"/>
      <c r="U13513"/>
      <c r="X13513" s="60"/>
    </row>
    <row r="13514" spans="7:24" ht="15" customHeight="1">
      <c r="G13514"/>
      <c r="I13514"/>
      <c r="N13514"/>
      <c r="O13514" s="24"/>
      <c r="P13514"/>
      <c r="Q13514" s="24"/>
      <c r="R13514"/>
      <c r="S13514"/>
      <c r="T13514"/>
      <c r="U13514"/>
      <c r="X13514" s="60"/>
    </row>
    <row r="13515" spans="7:24" ht="15" customHeight="1">
      <c r="G13515"/>
      <c r="I13515"/>
      <c r="N13515"/>
      <c r="O13515" s="24"/>
      <c r="P13515"/>
      <c r="Q13515" s="24"/>
      <c r="R13515"/>
      <c r="S13515"/>
      <c r="T13515"/>
      <c r="U13515"/>
      <c r="X13515" s="60"/>
    </row>
    <row r="13516" spans="7:24" ht="15" customHeight="1">
      <c r="G13516"/>
      <c r="I13516"/>
      <c r="N13516"/>
      <c r="O13516" s="24"/>
      <c r="P13516"/>
      <c r="Q13516" s="24"/>
      <c r="R13516"/>
      <c r="S13516"/>
      <c r="T13516"/>
      <c r="U13516"/>
      <c r="X13516" s="60"/>
    </row>
    <row r="13517" spans="7:24" ht="15" customHeight="1">
      <c r="G13517"/>
      <c r="I13517"/>
      <c r="N13517"/>
      <c r="O13517" s="24"/>
      <c r="P13517"/>
      <c r="Q13517" s="24"/>
      <c r="R13517"/>
      <c r="S13517"/>
      <c r="T13517"/>
      <c r="U13517"/>
      <c r="X13517" s="60"/>
    </row>
    <row r="13518" spans="7:24" ht="15" customHeight="1">
      <c r="G13518"/>
      <c r="I13518"/>
      <c r="N13518"/>
      <c r="O13518" s="24"/>
      <c r="P13518"/>
      <c r="Q13518" s="24"/>
      <c r="R13518"/>
      <c r="S13518"/>
      <c r="T13518"/>
      <c r="U13518"/>
      <c r="X13518" s="60"/>
    </row>
    <row r="13519" spans="7:24" ht="15" customHeight="1">
      <c r="G13519"/>
      <c r="I13519"/>
      <c r="N13519"/>
      <c r="O13519" s="24"/>
      <c r="P13519"/>
      <c r="Q13519" s="24"/>
      <c r="R13519"/>
      <c r="S13519"/>
      <c r="T13519"/>
      <c r="U13519"/>
      <c r="X13519" s="60"/>
    </row>
    <row r="13520" spans="7:24" ht="15" customHeight="1">
      <c r="G13520"/>
      <c r="I13520"/>
      <c r="N13520"/>
      <c r="O13520" s="24"/>
      <c r="P13520"/>
      <c r="Q13520" s="24"/>
      <c r="R13520"/>
      <c r="S13520"/>
      <c r="T13520"/>
      <c r="U13520"/>
      <c r="X13520" s="60"/>
    </row>
    <row r="13521" spans="7:24" ht="15" customHeight="1">
      <c r="G13521"/>
      <c r="I13521"/>
      <c r="N13521"/>
      <c r="O13521" s="24"/>
      <c r="P13521"/>
      <c r="Q13521" s="24"/>
      <c r="R13521"/>
      <c r="S13521"/>
      <c r="T13521"/>
      <c r="U13521"/>
      <c r="X13521" s="60"/>
    </row>
    <row r="13522" spans="7:24" ht="15" customHeight="1">
      <c r="G13522"/>
      <c r="I13522"/>
      <c r="N13522"/>
      <c r="O13522" s="24"/>
      <c r="P13522"/>
      <c r="Q13522" s="24"/>
      <c r="R13522"/>
      <c r="S13522"/>
      <c r="T13522"/>
      <c r="U13522"/>
      <c r="X13522" s="60"/>
    </row>
    <row r="13523" spans="7:24" ht="15" customHeight="1">
      <c r="G13523"/>
      <c r="I13523"/>
      <c r="N13523"/>
      <c r="O13523" s="24"/>
      <c r="P13523"/>
      <c r="Q13523" s="24"/>
      <c r="R13523"/>
      <c r="S13523"/>
      <c r="T13523"/>
      <c r="U13523"/>
      <c r="X13523" s="60"/>
    </row>
    <row r="13524" spans="7:24" ht="15" customHeight="1">
      <c r="G13524"/>
      <c r="I13524"/>
      <c r="N13524"/>
      <c r="O13524" s="24"/>
      <c r="P13524"/>
      <c r="Q13524" s="24"/>
      <c r="R13524"/>
      <c r="S13524"/>
      <c r="T13524"/>
      <c r="U13524"/>
      <c r="X13524" s="60"/>
    </row>
    <row r="13525" spans="7:24" ht="15" customHeight="1">
      <c r="G13525"/>
      <c r="I13525"/>
      <c r="N13525"/>
      <c r="O13525" s="24"/>
      <c r="P13525"/>
      <c r="Q13525" s="24"/>
      <c r="R13525"/>
      <c r="S13525"/>
      <c r="T13525"/>
      <c r="U13525"/>
      <c r="X13525" s="60"/>
    </row>
    <row r="13526" spans="7:24" ht="15" customHeight="1">
      <c r="G13526"/>
      <c r="I13526"/>
      <c r="N13526"/>
      <c r="O13526" s="24"/>
      <c r="P13526"/>
      <c r="Q13526" s="24"/>
      <c r="R13526"/>
      <c r="S13526"/>
      <c r="T13526"/>
      <c r="U13526"/>
      <c r="X13526" s="60"/>
    </row>
    <row r="13527" spans="7:24" ht="15" customHeight="1">
      <c r="G13527"/>
      <c r="I13527"/>
      <c r="N13527"/>
      <c r="O13527" s="24"/>
      <c r="P13527"/>
      <c r="Q13527" s="24"/>
      <c r="R13527"/>
      <c r="S13527"/>
      <c r="T13527"/>
      <c r="U13527"/>
      <c r="X13527" s="60"/>
    </row>
    <row r="13528" spans="7:24" ht="15" customHeight="1">
      <c r="G13528"/>
      <c r="I13528"/>
      <c r="N13528"/>
      <c r="O13528" s="24"/>
      <c r="P13528"/>
      <c r="Q13528" s="24"/>
      <c r="R13528"/>
      <c r="S13528"/>
      <c r="T13528"/>
      <c r="U13528"/>
      <c r="X13528" s="60"/>
    </row>
    <row r="13529" spans="7:24" ht="15" customHeight="1">
      <c r="G13529"/>
      <c r="I13529"/>
      <c r="N13529"/>
      <c r="O13529" s="24"/>
      <c r="P13529"/>
      <c r="Q13529" s="24"/>
      <c r="R13529"/>
      <c r="S13529"/>
      <c r="T13529"/>
      <c r="U13529"/>
      <c r="X13529" s="60"/>
    </row>
    <row r="13530" spans="7:24" ht="15" customHeight="1">
      <c r="G13530"/>
      <c r="I13530"/>
      <c r="N13530"/>
      <c r="O13530" s="24"/>
      <c r="P13530"/>
      <c r="Q13530" s="24"/>
      <c r="R13530"/>
      <c r="S13530"/>
      <c r="T13530"/>
      <c r="U13530"/>
      <c r="X13530" s="60"/>
    </row>
    <row r="13531" spans="7:24" ht="15" customHeight="1">
      <c r="G13531"/>
      <c r="I13531"/>
      <c r="N13531"/>
      <c r="O13531" s="24"/>
      <c r="P13531"/>
      <c r="Q13531" s="24"/>
      <c r="R13531"/>
      <c r="S13531"/>
      <c r="T13531"/>
      <c r="U13531"/>
      <c r="X13531" s="60"/>
    </row>
    <row r="13532" spans="7:24" ht="15" customHeight="1">
      <c r="G13532"/>
      <c r="I13532"/>
      <c r="N13532"/>
      <c r="O13532" s="24"/>
      <c r="P13532"/>
      <c r="Q13532" s="24"/>
      <c r="R13532"/>
      <c r="S13532"/>
      <c r="T13532"/>
      <c r="U13532"/>
      <c r="X13532" s="60"/>
    </row>
    <row r="13533" spans="7:24" ht="15" customHeight="1">
      <c r="G13533"/>
      <c r="I13533"/>
      <c r="N13533"/>
      <c r="O13533" s="24"/>
      <c r="P13533"/>
      <c r="Q13533" s="24"/>
      <c r="R13533"/>
      <c r="S13533"/>
      <c r="T13533"/>
      <c r="U13533"/>
      <c r="X13533" s="60"/>
    </row>
    <row r="13534" spans="7:24" ht="15" customHeight="1">
      <c r="G13534"/>
      <c r="I13534"/>
      <c r="N13534"/>
      <c r="O13534" s="24"/>
      <c r="P13534"/>
      <c r="Q13534" s="24"/>
      <c r="R13534"/>
      <c r="S13534"/>
      <c r="T13534"/>
      <c r="U13534"/>
      <c r="X13534" s="60"/>
    </row>
    <row r="13535" spans="7:24" ht="15" customHeight="1">
      <c r="G13535"/>
      <c r="I13535"/>
      <c r="N13535"/>
      <c r="O13535" s="24"/>
      <c r="P13535"/>
      <c r="Q13535" s="24"/>
      <c r="R13535"/>
      <c r="S13535"/>
      <c r="T13535"/>
      <c r="U13535"/>
      <c r="X13535" s="60"/>
    </row>
    <row r="13536" spans="7:24" ht="15" customHeight="1">
      <c r="G13536"/>
      <c r="I13536"/>
      <c r="N13536"/>
      <c r="O13536" s="24"/>
      <c r="P13536"/>
      <c r="Q13536" s="24"/>
      <c r="R13536"/>
      <c r="S13536"/>
      <c r="T13536"/>
      <c r="U13536"/>
      <c r="X13536" s="60"/>
    </row>
    <row r="13537" spans="7:24" ht="15" customHeight="1">
      <c r="G13537"/>
      <c r="I13537"/>
      <c r="N13537"/>
      <c r="O13537" s="24"/>
      <c r="P13537"/>
      <c r="Q13537" s="24"/>
      <c r="R13537"/>
      <c r="S13537"/>
      <c r="T13537"/>
      <c r="U13537"/>
      <c r="X13537" s="60"/>
    </row>
    <row r="13538" spans="7:24" ht="15" customHeight="1">
      <c r="G13538"/>
      <c r="I13538"/>
      <c r="N13538"/>
      <c r="O13538" s="24"/>
      <c r="P13538"/>
      <c r="Q13538" s="24"/>
      <c r="R13538"/>
      <c r="S13538"/>
      <c r="T13538"/>
      <c r="U13538"/>
      <c r="X13538" s="60"/>
    </row>
    <row r="13539" spans="7:24" ht="15" customHeight="1">
      <c r="G13539"/>
      <c r="I13539"/>
      <c r="N13539"/>
      <c r="O13539" s="24"/>
      <c r="P13539"/>
      <c r="Q13539" s="24"/>
      <c r="R13539"/>
      <c r="S13539"/>
      <c r="T13539"/>
      <c r="U13539"/>
      <c r="X13539" s="60"/>
    </row>
    <row r="13540" spans="7:24" ht="15" customHeight="1">
      <c r="G13540"/>
      <c r="I13540"/>
      <c r="N13540"/>
      <c r="O13540" s="24"/>
      <c r="P13540"/>
      <c r="Q13540" s="24"/>
      <c r="R13540"/>
      <c r="S13540"/>
      <c r="T13540"/>
      <c r="U13540"/>
      <c r="X13540" s="60"/>
    </row>
    <row r="13541" spans="7:24" ht="15" customHeight="1">
      <c r="G13541"/>
      <c r="I13541"/>
      <c r="N13541"/>
      <c r="O13541" s="24"/>
      <c r="P13541"/>
      <c r="Q13541" s="24"/>
      <c r="R13541"/>
      <c r="S13541"/>
      <c r="T13541"/>
      <c r="U13541"/>
      <c r="X13541" s="60"/>
    </row>
    <row r="13542" spans="7:24" ht="15" customHeight="1">
      <c r="G13542"/>
      <c r="I13542"/>
      <c r="N13542"/>
      <c r="O13542" s="24"/>
      <c r="P13542"/>
      <c r="Q13542" s="24"/>
      <c r="R13542"/>
      <c r="S13542"/>
      <c r="T13542"/>
      <c r="U13542"/>
      <c r="X13542" s="60"/>
    </row>
    <row r="13543" spans="7:24" ht="15" customHeight="1">
      <c r="G13543"/>
      <c r="I13543"/>
      <c r="N13543"/>
      <c r="O13543" s="24"/>
      <c r="P13543"/>
      <c r="Q13543" s="24"/>
      <c r="R13543"/>
      <c r="S13543"/>
      <c r="T13543"/>
      <c r="U13543"/>
      <c r="X13543" s="60"/>
    </row>
    <row r="13544" spans="7:24" ht="15" customHeight="1">
      <c r="G13544"/>
      <c r="I13544"/>
      <c r="N13544"/>
      <c r="O13544" s="24"/>
      <c r="P13544"/>
      <c r="Q13544" s="24"/>
      <c r="R13544"/>
      <c r="S13544"/>
      <c r="T13544"/>
      <c r="U13544"/>
      <c r="X13544" s="60"/>
    </row>
    <row r="13545" spans="7:24" ht="15" customHeight="1">
      <c r="G13545"/>
      <c r="I13545"/>
      <c r="N13545"/>
      <c r="O13545" s="24"/>
      <c r="P13545"/>
      <c r="Q13545" s="24"/>
      <c r="R13545"/>
      <c r="S13545"/>
      <c r="T13545"/>
      <c r="U13545"/>
      <c r="X13545" s="60"/>
    </row>
    <row r="13546" spans="7:24" ht="15" customHeight="1">
      <c r="G13546"/>
      <c r="I13546"/>
      <c r="N13546"/>
      <c r="O13546" s="24"/>
      <c r="P13546"/>
      <c r="Q13546" s="24"/>
      <c r="R13546"/>
      <c r="S13546"/>
      <c r="T13546"/>
      <c r="U13546"/>
      <c r="X13546" s="60"/>
    </row>
    <row r="13547" spans="7:24" ht="15" customHeight="1">
      <c r="G13547"/>
      <c r="I13547"/>
      <c r="N13547"/>
      <c r="O13547" s="24"/>
      <c r="P13547"/>
      <c r="Q13547" s="24"/>
      <c r="R13547"/>
      <c r="S13547"/>
      <c r="T13547"/>
      <c r="U13547"/>
      <c r="X13547" s="60"/>
    </row>
    <row r="13548" spans="7:24" ht="15" customHeight="1">
      <c r="G13548"/>
      <c r="I13548"/>
      <c r="N13548"/>
      <c r="O13548" s="24"/>
      <c r="P13548"/>
      <c r="Q13548" s="24"/>
      <c r="R13548"/>
      <c r="S13548"/>
      <c r="T13548"/>
      <c r="U13548"/>
      <c r="X13548" s="60"/>
    </row>
    <row r="13549" spans="7:24" ht="15" customHeight="1">
      <c r="G13549"/>
      <c r="I13549"/>
      <c r="N13549"/>
      <c r="O13549" s="24"/>
      <c r="P13549"/>
      <c r="Q13549" s="24"/>
      <c r="R13549"/>
      <c r="S13549"/>
      <c r="T13549"/>
      <c r="U13549"/>
      <c r="X13549" s="60"/>
    </row>
    <row r="13550" spans="7:24" ht="15" customHeight="1">
      <c r="G13550"/>
      <c r="I13550"/>
      <c r="N13550"/>
      <c r="O13550" s="24"/>
      <c r="P13550"/>
      <c r="Q13550" s="24"/>
      <c r="R13550"/>
      <c r="S13550"/>
      <c r="T13550"/>
      <c r="U13550"/>
      <c r="X13550" s="60"/>
    </row>
    <row r="13551" spans="7:24" ht="15" customHeight="1">
      <c r="G13551"/>
      <c r="I13551"/>
      <c r="N13551"/>
      <c r="O13551" s="24"/>
      <c r="P13551"/>
      <c r="Q13551" s="24"/>
      <c r="R13551"/>
      <c r="S13551"/>
      <c r="T13551"/>
      <c r="U13551"/>
      <c r="X13551" s="60"/>
    </row>
    <row r="13552" spans="7:24" ht="15" customHeight="1">
      <c r="G13552"/>
      <c r="I13552"/>
      <c r="N13552"/>
      <c r="O13552" s="24"/>
      <c r="P13552"/>
      <c r="Q13552" s="24"/>
      <c r="R13552"/>
      <c r="S13552"/>
      <c r="T13552"/>
      <c r="U13552"/>
      <c r="X13552" s="60"/>
    </row>
    <row r="13553" spans="7:24" ht="15" customHeight="1">
      <c r="G13553"/>
      <c r="I13553"/>
      <c r="N13553"/>
      <c r="O13553" s="24"/>
      <c r="P13553"/>
      <c r="Q13553" s="24"/>
      <c r="R13553"/>
      <c r="S13553"/>
      <c r="T13553"/>
      <c r="U13553"/>
      <c r="X13553" s="60"/>
    </row>
    <row r="13554" spans="7:24" ht="15" customHeight="1">
      <c r="G13554"/>
      <c r="I13554"/>
      <c r="N13554"/>
      <c r="O13554" s="24"/>
      <c r="P13554"/>
      <c r="Q13554" s="24"/>
      <c r="R13554"/>
      <c r="S13554"/>
      <c r="T13554"/>
      <c r="U13554"/>
      <c r="X13554" s="60"/>
    </row>
    <row r="13555" spans="7:24" ht="15" customHeight="1">
      <c r="G13555"/>
      <c r="I13555"/>
      <c r="N13555"/>
      <c r="O13555" s="24"/>
      <c r="P13555"/>
      <c r="Q13555" s="24"/>
      <c r="R13555"/>
      <c r="S13555"/>
      <c r="T13555"/>
      <c r="U13555"/>
      <c r="X13555" s="60"/>
    </row>
    <row r="13556" spans="7:24" ht="15" customHeight="1">
      <c r="G13556"/>
      <c r="I13556"/>
      <c r="N13556"/>
      <c r="O13556" s="24"/>
      <c r="P13556"/>
      <c r="Q13556" s="24"/>
      <c r="R13556"/>
      <c r="S13556"/>
      <c r="T13556"/>
      <c r="U13556"/>
      <c r="X13556" s="60"/>
    </row>
    <row r="13557" spans="7:24" ht="15" customHeight="1">
      <c r="G13557"/>
      <c r="I13557"/>
      <c r="N13557"/>
      <c r="O13557" s="24"/>
      <c r="P13557"/>
      <c r="Q13557" s="24"/>
      <c r="R13557"/>
      <c r="S13557"/>
      <c r="T13557"/>
      <c r="U13557"/>
      <c r="X13557" s="60"/>
    </row>
    <row r="13558" spans="7:24" ht="15" customHeight="1">
      <c r="G13558"/>
      <c r="I13558"/>
      <c r="N13558"/>
      <c r="O13558" s="24"/>
      <c r="P13558"/>
      <c r="Q13558" s="24"/>
      <c r="R13558"/>
      <c r="S13558"/>
      <c r="T13558"/>
      <c r="U13558"/>
      <c r="X13558" s="60"/>
    </row>
    <row r="13559" spans="7:24" ht="15" customHeight="1">
      <c r="G13559"/>
      <c r="I13559"/>
      <c r="N13559"/>
      <c r="O13559" s="24"/>
      <c r="P13559"/>
      <c r="Q13559" s="24"/>
      <c r="R13559"/>
      <c r="S13559"/>
      <c r="T13559"/>
      <c r="U13559"/>
      <c r="X13559" s="60"/>
    </row>
    <row r="13560" spans="7:24" ht="15" customHeight="1">
      <c r="G13560"/>
      <c r="I13560"/>
      <c r="N13560"/>
      <c r="O13560" s="24"/>
      <c r="P13560"/>
      <c r="Q13560" s="24"/>
      <c r="R13560"/>
      <c r="S13560"/>
      <c r="T13560"/>
      <c r="U13560"/>
      <c r="X13560" s="60"/>
    </row>
    <row r="13561" spans="7:24" ht="15" customHeight="1">
      <c r="G13561"/>
      <c r="I13561"/>
      <c r="N13561"/>
      <c r="O13561" s="24"/>
      <c r="P13561"/>
      <c r="Q13561" s="24"/>
      <c r="R13561"/>
      <c r="S13561"/>
      <c r="T13561"/>
      <c r="U13561"/>
      <c r="X13561" s="60"/>
    </row>
    <row r="13562" spans="7:24" ht="15" customHeight="1">
      <c r="G13562"/>
      <c r="I13562"/>
      <c r="N13562"/>
      <c r="O13562" s="24"/>
      <c r="P13562"/>
      <c r="Q13562" s="24"/>
      <c r="R13562"/>
      <c r="S13562"/>
      <c r="T13562"/>
      <c r="U13562"/>
      <c r="X13562" s="60"/>
    </row>
    <row r="13563" spans="7:24" ht="15" customHeight="1">
      <c r="G13563"/>
      <c r="I13563"/>
      <c r="N13563"/>
      <c r="O13563" s="24"/>
      <c r="P13563"/>
      <c r="Q13563" s="24"/>
      <c r="R13563"/>
      <c r="S13563"/>
      <c r="T13563"/>
      <c r="U13563"/>
      <c r="X13563" s="60"/>
    </row>
    <row r="13564" spans="7:24" ht="15" customHeight="1">
      <c r="G13564"/>
      <c r="I13564"/>
      <c r="N13564"/>
      <c r="O13564" s="24"/>
      <c r="P13564"/>
      <c r="Q13564" s="24"/>
      <c r="R13564"/>
      <c r="S13564"/>
      <c r="T13564"/>
      <c r="U13564"/>
      <c r="X13564" s="60"/>
    </row>
    <row r="13565" spans="7:24" ht="15" customHeight="1">
      <c r="G13565"/>
      <c r="I13565"/>
      <c r="N13565"/>
      <c r="O13565" s="24"/>
      <c r="P13565"/>
      <c r="Q13565" s="24"/>
      <c r="R13565"/>
      <c r="S13565"/>
      <c r="T13565"/>
      <c r="U13565"/>
      <c r="X13565" s="60"/>
    </row>
    <row r="13566" spans="7:24" ht="15" customHeight="1">
      <c r="G13566"/>
      <c r="I13566"/>
      <c r="N13566"/>
      <c r="O13566" s="24"/>
      <c r="P13566"/>
      <c r="Q13566" s="24"/>
      <c r="R13566"/>
      <c r="S13566"/>
      <c r="T13566"/>
      <c r="U13566"/>
      <c r="X13566" s="60"/>
    </row>
    <row r="13567" spans="7:24" ht="15" customHeight="1">
      <c r="G13567"/>
      <c r="I13567"/>
      <c r="N13567"/>
      <c r="O13567" s="24"/>
      <c r="P13567"/>
      <c r="Q13567" s="24"/>
      <c r="R13567"/>
      <c r="S13567"/>
      <c r="T13567"/>
      <c r="U13567"/>
      <c r="X13567" s="60"/>
    </row>
    <row r="13568" spans="7:24" ht="15" customHeight="1">
      <c r="G13568"/>
      <c r="I13568"/>
      <c r="N13568"/>
      <c r="O13568" s="24"/>
      <c r="P13568"/>
      <c r="Q13568" s="24"/>
      <c r="R13568"/>
      <c r="S13568"/>
      <c r="T13568"/>
      <c r="U13568"/>
      <c r="X13568" s="60"/>
    </row>
    <row r="13569" spans="7:24" ht="15" customHeight="1">
      <c r="G13569"/>
      <c r="I13569"/>
      <c r="N13569"/>
      <c r="O13569" s="24"/>
      <c r="P13569"/>
      <c r="Q13569" s="24"/>
      <c r="R13569"/>
      <c r="S13569"/>
      <c r="T13569"/>
      <c r="U13569"/>
      <c r="X13569" s="60"/>
    </row>
    <row r="13570" spans="7:24" ht="15" customHeight="1">
      <c r="G13570"/>
      <c r="I13570"/>
      <c r="N13570"/>
      <c r="O13570" s="24"/>
      <c r="P13570"/>
      <c r="Q13570" s="24"/>
      <c r="R13570"/>
      <c r="S13570"/>
      <c r="T13570"/>
      <c r="U13570"/>
      <c r="X13570" s="60"/>
    </row>
    <row r="13571" spans="7:24" ht="15" customHeight="1">
      <c r="G13571"/>
      <c r="I13571"/>
      <c r="N13571"/>
      <c r="O13571" s="24"/>
      <c r="P13571"/>
      <c r="Q13571" s="24"/>
      <c r="R13571"/>
      <c r="S13571"/>
      <c r="T13571"/>
      <c r="U13571"/>
      <c r="X13571" s="60"/>
    </row>
    <row r="13572" spans="7:24" ht="15" customHeight="1">
      <c r="G13572"/>
      <c r="I13572"/>
      <c r="N13572"/>
      <c r="O13572" s="24"/>
      <c r="P13572"/>
      <c r="Q13572" s="24"/>
      <c r="R13572"/>
      <c r="S13572"/>
      <c r="T13572"/>
      <c r="U13572"/>
      <c r="X13572" s="60"/>
    </row>
    <row r="13573" spans="7:24" ht="15" customHeight="1">
      <c r="G13573"/>
      <c r="I13573"/>
      <c r="N13573"/>
      <c r="O13573" s="24"/>
      <c r="P13573"/>
      <c r="Q13573" s="24"/>
      <c r="R13573"/>
      <c r="S13573"/>
      <c r="T13573"/>
      <c r="U13573"/>
      <c r="X13573" s="60"/>
    </row>
    <row r="13574" spans="7:24" ht="15" customHeight="1">
      <c r="G13574"/>
      <c r="I13574"/>
      <c r="N13574"/>
      <c r="O13574" s="24"/>
      <c r="P13574"/>
      <c r="Q13574" s="24"/>
      <c r="R13574"/>
      <c r="S13574"/>
      <c r="T13574"/>
      <c r="U13574"/>
      <c r="X13574" s="60"/>
    </row>
    <row r="13575" spans="7:24" ht="15" customHeight="1">
      <c r="G13575"/>
      <c r="I13575"/>
      <c r="N13575"/>
      <c r="O13575" s="24"/>
      <c r="P13575"/>
      <c r="Q13575" s="24"/>
      <c r="R13575"/>
      <c r="S13575"/>
      <c r="T13575"/>
      <c r="U13575"/>
      <c r="X13575" s="60"/>
    </row>
    <row r="13576" spans="7:24" ht="15" customHeight="1">
      <c r="G13576"/>
      <c r="I13576"/>
      <c r="N13576"/>
      <c r="O13576" s="24"/>
      <c r="P13576"/>
      <c r="Q13576" s="24"/>
      <c r="R13576"/>
      <c r="S13576"/>
      <c r="T13576"/>
      <c r="U13576"/>
      <c r="X13576" s="60"/>
    </row>
    <row r="13577" spans="7:24" ht="15" customHeight="1">
      <c r="G13577"/>
      <c r="I13577"/>
      <c r="N13577"/>
      <c r="O13577" s="24"/>
      <c r="P13577"/>
      <c r="Q13577" s="24"/>
      <c r="R13577"/>
      <c r="S13577"/>
      <c r="T13577"/>
      <c r="U13577"/>
      <c r="X13577" s="60"/>
    </row>
    <row r="13578" spans="7:24" ht="15" customHeight="1">
      <c r="G13578"/>
      <c r="I13578"/>
      <c r="N13578"/>
      <c r="O13578" s="24"/>
      <c r="P13578"/>
      <c r="Q13578" s="24"/>
      <c r="R13578"/>
      <c r="S13578"/>
      <c r="T13578"/>
      <c r="U13578"/>
      <c r="X13578" s="60"/>
    </row>
    <row r="13579" spans="7:24" ht="15" customHeight="1">
      <c r="G13579"/>
      <c r="I13579"/>
      <c r="N13579"/>
      <c r="O13579" s="24"/>
      <c r="P13579"/>
      <c r="Q13579" s="24"/>
      <c r="R13579"/>
      <c r="S13579"/>
      <c r="T13579"/>
      <c r="U13579"/>
      <c r="X13579" s="60"/>
    </row>
    <row r="13580" spans="7:24" ht="15" customHeight="1">
      <c r="G13580"/>
      <c r="I13580"/>
      <c r="N13580"/>
      <c r="O13580" s="24"/>
      <c r="P13580"/>
      <c r="Q13580" s="24"/>
      <c r="R13580"/>
      <c r="S13580"/>
      <c r="T13580"/>
      <c r="U13580"/>
      <c r="X13580" s="60"/>
    </row>
    <row r="13581" spans="7:24" ht="15" customHeight="1">
      <c r="G13581"/>
      <c r="I13581"/>
      <c r="N13581"/>
      <c r="O13581" s="24"/>
      <c r="P13581"/>
      <c r="Q13581" s="24"/>
      <c r="R13581"/>
      <c r="S13581"/>
      <c r="T13581"/>
      <c r="U13581"/>
      <c r="X13581" s="60"/>
    </row>
    <row r="13582" spans="7:24" ht="15" customHeight="1">
      <c r="G13582"/>
      <c r="I13582"/>
      <c r="N13582"/>
      <c r="O13582" s="24"/>
      <c r="P13582"/>
      <c r="Q13582" s="24"/>
      <c r="R13582"/>
      <c r="S13582"/>
      <c r="T13582"/>
      <c r="U13582"/>
      <c r="X13582" s="60"/>
    </row>
    <row r="13583" spans="7:24" ht="15" customHeight="1">
      <c r="G13583"/>
      <c r="I13583"/>
      <c r="N13583"/>
      <c r="O13583" s="24"/>
      <c r="P13583"/>
      <c r="Q13583" s="24"/>
      <c r="R13583"/>
      <c r="S13583"/>
      <c r="T13583"/>
      <c r="U13583"/>
      <c r="X13583" s="60"/>
    </row>
    <row r="13584" spans="7:24" ht="15" customHeight="1">
      <c r="G13584"/>
      <c r="I13584"/>
      <c r="N13584"/>
      <c r="O13584" s="24"/>
      <c r="P13584"/>
      <c r="Q13584" s="24"/>
      <c r="R13584"/>
      <c r="S13584"/>
      <c r="T13584"/>
      <c r="U13584"/>
      <c r="X13584" s="60"/>
    </row>
    <row r="13585" spans="7:24" ht="15" customHeight="1">
      <c r="G13585"/>
      <c r="I13585"/>
      <c r="N13585"/>
      <c r="O13585" s="24"/>
      <c r="P13585"/>
      <c r="Q13585" s="24"/>
      <c r="R13585"/>
      <c r="S13585"/>
      <c r="T13585"/>
      <c r="U13585"/>
      <c r="X13585" s="60"/>
    </row>
    <row r="13586" spans="7:24" ht="15" customHeight="1">
      <c r="G13586"/>
      <c r="I13586"/>
      <c r="N13586"/>
      <c r="O13586" s="24"/>
      <c r="P13586"/>
      <c r="Q13586" s="24"/>
      <c r="R13586"/>
      <c r="S13586"/>
      <c r="T13586"/>
      <c r="U13586"/>
      <c r="X13586" s="60"/>
    </row>
    <row r="13587" spans="7:24" ht="15" customHeight="1">
      <c r="G13587"/>
      <c r="I13587"/>
      <c r="N13587"/>
      <c r="O13587" s="24"/>
      <c r="P13587"/>
      <c r="Q13587" s="24"/>
      <c r="R13587"/>
      <c r="S13587"/>
      <c r="T13587"/>
      <c r="U13587"/>
      <c r="X13587" s="60"/>
    </row>
    <row r="13588" spans="7:24" ht="15" customHeight="1">
      <c r="G13588"/>
      <c r="I13588"/>
      <c r="N13588"/>
      <c r="O13588" s="24"/>
      <c r="P13588"/>
      <c r="Q13588" s="24"/>
      <c r="R13588"/>
      <c r="S13588"/>
      <c r="T13588"/>
      <c r="U13588"/>
      <c r="X13588" s="60"/>
    </row>
    <row r="13589" spans="7:24" ht="15" customHeight="1">
      <c r="G13589"/>
      <c r="I13589"/>
      <c r="N13589"/>
      <c r="O13589" s="24"/>
      <c r="P13589"/>
      <c r="Q13589" s="24"/>
      <c r="R13589"/>
      <c r="S13589"/>
      <c r="T13589"/>
      <c r="U13589"/>
      <c r="X13589" s="60"/>
    </row>
    <row r="13590" spans="7:24" ht="15" customHeight="1">
      <c r="G13590"/>
      <c r="I13590"/>
      <c r="N13590"/>
      <c r="O13590" s="24"/>
      <c r="P13590"/>
      <c r="Q13590" s="24"/>
      <c r="R13590"/>
      <c r="S13590"/>
      <c r="T13590"/>
      <c r="U13590"/>
      <c r="X13590" s="60"/>
    </row>
    <row r="13591" spans="7:24" ht="15" customHeight="1">
      <c r="G13591"/>
      <c r="I13591"/>
      <c r="N13591"/>
      <c r="O13591" s="24"/>
      <c r="P13591"/>
      <c r="Q13591" s="24"/>
      <c r="R13591"/>
      <c r="S13591"/>
      <c r="T13591"/>
      <c r="U13591"/>
      <c r="X13591" s="60"/>
    </row>
    <row r="13592" spans="7:24" ht="15" customHeight="1">
      <c r="G13592"/>
      <c r="I13592"/>
      <c r="N13592"/>
      <c r="O13592" s="24"/>
      <c r="P13592"/>
      <c r="Q13592" s="24"/>
      <c r="R13592"/>
      <c r="S13592"/>
      <c r="T13592"/>
      <c r="U13592"/>
      <c r="X13592" s="60"/>
    </row>
    <row r="13593" spans="7:24" ht="15" customHeight="1">
      <c r="G13593"/>
      <c r="I13593"/>
      <c r="N13593"/>
      <c r="O13593" s="24"/>
      <c r="P13593"/>
      <c r="Q13593" s="24"/>
      <c r="R13593"/>
      <c r="S13593"/>
      <c r="T13593"/>
      <c r="U13593"/>
      <c r="X13593" s="60"/>
    </row>
    <row r="13594" spans="7:24" ht="15" customHeight="1">
      <c r="G13594"/>
      <c r="I13594"/>
      <c r="N13594"/>
      <c r="O13594" s="24"/>
      <c r="P13594"/>
      <c r="Q13594" s="24"/>
      <c r="R13594"/>
      <c r="S13594"/>
      <c r="T13594"/>
      <c r="U13594"/>
      <c r="X13594" s="60"/>
    </row>
    <row r="13595" spans="7:24" ht="15" customHeight="1">
      <c r="G13595"/>
      <c r="I13595"/>
      <c r="N13595"/>
      <c r="O13595" s="24"/>
      <c r="P13595"/>
      <c r="Q13595" s="24"/>
      <c r="R13595"/>
      <c r="S13595"/>
      <c r="T13595"/>
      <c r="U13595"/>
      <c r="X13595" s="60"/>
    </row>
    <row r="13596" spans="7:24" ht="15" customHeight="1">
      <c r="G13596"/>
      <c r="I13596"/>
      <c r="N13596"/>
      <c r="O13596" s="24"/>
      <c r="P13596"/>
      <c r="Q13596" s="24"/>
      <c r="R13596"/>
      <c r="S13596"/>
      <c r="T13596"/>
      <c r="U13596"/>
      <c r="X13596" s="60"/>
    </row>
    <row r="13597" spans="7:24" ht="15" customHeight="1">
      <c r="G13597"/>
      <c r="I13597"/>
      <c r="N13597"/>
      <c r="O13597" s="24"/>
      <c r="P13597"/>
      <c r="Q13597" s="24"/>
      <c r="R13597"/>
      <c r="S13597"/>
      <c r="T13597"/>
      <c r="U13597"/>
      <c r="X13597" s="60"/>
    </row>
    <row r="13598" spans="7:24" ht="15" customHeight="1">
      <c r="G13598"/>
      <c r="I13598"/>
      <c r="N13598"/>
      <c r="O13598" s="24"/>
      <c r="P13598"/>
      <c r="Q13598" s="24"/>
      <c r="R13598"/>
      <c r="S13598"/>
      <c r="T13598"/>
      <c r="U13598"/>
      <c r="X13598" s="60"/>
    </row>
    <row r="13599" spans="7:24" ht="15" customHeight="1">
      <c r="G13599"/>
      <c r="I13599"/>
      <c r="N13599"/>
      <c r="O13599" s="24"/>
      <c r="P13599"/>
      <c r="Q13599" s="24"/>
      <c r="R13599"/>
      <c r="S13599"/>
      <c r="T13599"/>
      <c r="U13599"/>
      <c r="X13599" s="60"/>
    </row>
    <row r="13600" spans="7:24" ht="15" customHeight="1">
      <c r="G13600"/>
      <c r="I13600"/>
      <c r="N13600"/>
      <c r="O13600" s="24"/>
      <c r="P13600"/>
      <c r="Q13600" s="24"/>
      <c r="R13600"/>
      <c r="S13600"/>
      <c r="T13600"/>
      <c r="U13600"/>
      <c r="X13600" s="60"/>
    </row>
    <row r="13601" spans="7:24" ht="15" customHeight="1">
      <c r="G13601"/>
      <c r="I13601"/>
      <c r="N13601"/>
      <c r="O13601" s="24"/>
      <c r="P13601"/>
      <c r="Q13601" s="24"/>
      <c r="R13601"/>
      <c r="S13601"/>
      <c r="T13601"/>
      <c r="U13601"/>
      <c r="X13601" s="60"/>
    </row>
    <row r="13602" spans="7:24" ht="15" customHeight="1">
      <c r="G13602"/>
      <c r="I13602"/>
      <c r="N13602"/>
      <c r="O13602" s="24"/>
      <c r="P13602"/>
      <c r="Q13602" s="24"/>
      <c r="R13602"/>
      <c r="S13602"/>
      <c r="T13602"/>
      <c r="U13602"/>
      <c r="X13602" s="60"/>
    </row>
    <row r="13603" spans="7:24" ht="15" customHeight="1">
      <c r="G13603"/>
      <c r="I13603"/>
      <c r="N13603"/>
      <c r="O13603" s="24"/>
      <c r="P13603"/>
      <c r="Q13603" s="24"/>
      <c r="R13603"/>
      <c r="S13603"/>
      <c r="T13603"/>
      <c r="U13603"/>
      <c r="X13603" s="60"/>
    </row>
    <row r="13604" spans="7:24" ht="15" customHeight="1">
      <c r="G13604"/>
      <c r="I13604"/>
      <c r="N13604"/>
      <c r="O13604" s="24"/>
      <c r="P13604"/>
      <c r="Q13604" s="24"/>
      <c r="R13604"/>
      <c r="S13604"/>
      <c r="T13604"/>
      <c r="U13604"/>
      <c r="X13604" s="60"/>
    </row>
    <row r="13605" spans="7:24" ht="15" customHeight="1">
      <c r="G13605"/>
      <c r="I13605"/>
      <c r="N13605"/>
      <c r="O13605" s="24"/>
      <c r="P13605"/>
      <c r="Q13605" s="24"/>
      <c r="R13605"/>
      <c r="S13605"/>
      <c r="T13605"/>
      <c r="U13605"/>
      <c r="X13605" s="60"/>
    </row>
    <row r="13606" spans="7:24" ht="15" customHeight="1">
      <c r="G13606"/>
      <c r="I13606"/>
      <c r="N13606"/>
      <c r="O13606" s="24"/>
      <c r="P13606"/>
      <c r="Q13606" s="24"/>
      <c r="R13606"/>
      <c r="S13606"/>
      <c r="T13606"/>
      <c r="U13606"/>
      <c r="X13606" s="60"/>
    </row>
    <row r="13607" spans="7:24" ht="15" customHeight="1">
      <c r="G13607"/>
      <c r="I13607"/>
      <c r="N13607"/>
      <c r="O13607" s="24"/>
      <c r="P13607"/>
      <c r="Q13607" s="24"/>
      <c r="R13607"/>
      <c r="S13607"/>
      <c r="T13607"/>
      <c r="U13607"/>
      <c r="X13607" s="60"/>
    </row>
    <row r="13608" spans="7:24" ht="15" customHeight="1">
      <c r="G13608"/>
      <c r="I13608"/>
      <c r="N13608"/>
      <c r="O13608" s="24"/>
      <c r="P13608"/>
      <c r="Q13608" s="24"/>
      <c r="R13608"/>
      <c r="S13608"/>
      <c r="T13608"/>
      <c r="U13608"/>
      <c r="X13608" s="60"/>
    </row>
    <row r="13609" spans="7:24" ht="15" customHeight="1">
      <c r="G13609"/>
      <c r="I13609"/>
      <c r="N13609"/>
      <c r="O13609" s="24"/>
      <c r="P13609"/>
      <c r="Q13609" s="24"/>
      <c r="R13609"/>
      <c r="S13609"/>
      <c r="T13609"/>
      <c r="U13609"/>
      <c r="X13609" s="60"/>
    </row>
    <row r="13610" spans="7:24" ht="15" customHeight="1">
      <c r="G13610"/>
      <c r="I13610"/>
      <c r="N13610"/>
      <c r="O13610" s="24"/>
      <c r="P13610"/>
      <c r="Q13610" s="24"/>
      <c r="R13610"/>
      <c r="S13610"/>
      <c r="T13610"/>
      <c r="U13610"/>
      <c r="X13610" s="60"/>
    </row>
    <row r="13611" spans="7:24" ht="15" customHeight="1">
      <c r="G13611"/>
      <c r="I13611"/>
      <c r="N13611"/>
      <c r="O13611" s="24"/>
      <c r="P13611"/>
      <c r="Q13611" s="24"/>
      <c r="R13611"/>
      <c r="S13611"/>
      <c r="T13611"/>
      <c r="U13611"/>
      <c r="X13611" s="60"/>
    </row>
    <row r="13612" spans="7:24" ht="15" customHeight="1">
      <c r="G13612"/>
      <c r="I13612"/>
      <c r="N13612"/>
      <c r="O13612" s="24"/>
      <c r="P13612"/>
      <c r="Q13612" s="24"/>
      <c r="R13612"/>
      <c r="S13612"/>
      <c r="T13612"/>
      <c r="U13612"/>
      <c r="X13612" s="60"/>
    </row>
    <row r="13613" spans="7:24" ht="15" customHeight="1">
      <c r="G13613"/>
      <c r="I13613"/>
      <c r="N13613"/>
      <c r="O13613" s="24"/>
      <c r="P13613"/>
      <c r="Q13613" s="24"/>
      <c r="R13613"/>
      <c r="S13613"/>
      <c r="T13613"/>
      <c r="U13613"/>
      <c r="X13613" s="60"/>
    </row>
    <row r="13614" spans="7:24" ht="15" customHeight="1">
      <c r="G13614"/>
      <c r="I13614"/>
      <c r="N13614"/>
      <c r="O13614" s="24"/>
      <c r="P13614"/>
      <c r="Q13614" s="24"/>
      <c r="R13614"/>
      <c r="S13614"/>
      <c r="T13614"/>
      <c r="U13614"/>
      <c r="X13614" s="60"/>
    </row>
    <row r="13615" spans="7:24" ht="15" customHeight="1">
      <c r="G13615"/>
      <c r="I13615"/>
      <c r="N13615"/>
      <c r="O13615" s="24"/>
      <c r="P13615"/>
      <c r="Q13615" s="24"/>
      <c r="R13615"/>
      <c r="S13615"/>
      <c r="T13615"/>
      <c r="U13615"/>
      <c r="X13615" s="60"/>
    </row>
    <row r="13616" spans="7:24" ht="15" customHeight="1">
      <c r="G13616"/>
      <c r="I13616"/>
      <c r="N13616"/>
      <c r="O13616" s="24"/>
      <c r="P13616"/>
      <c r="Q13616" s="24"/>
      <c r="R13616"/>
      <c r="S13616"/>
      <c r="T13616"/>
      <c r="U13616"/>
      <c r="X13616" s="60"/>
    </row>
    <row r="13617" spans="7:24" ht="15" customHeight="1">
      <c r="G13617"/>
      <c r="I13617"/>
      <c r="N13617"/>
      <c r="O13617" s="24"/>
      <c r="P13617"/>
      <c r="Q13617" s="24"/>
      <c r="R13617"/>
      <c r="S13617"/>
      <c r="T13617"/>
      <c r="U13617"/>
      <c r="X13617" s="60"/>
    </row>
    <row r="13618" spans="7:24" ht="15" customHeight="1">
      <c r="G13618"/>
      <c r="I13618"/>
      <c r="N13618"/>
      <c r="O13618" s="24"/>
      <c r="P13618"/>
      <c r="Q13618" s="24"/>
      <c r="R13618"/>
      <c r="S13618"/>
      <c r="T13618"/>
      <c r="U13618"/>
      <c r="X13618" s="60"/>
    </row>
    <row r="13619" spans="7:24" ht="15" customHeight="1">
      <c r="G13619"/>
      <c r="I13619"/>
      <c r="N13619"/>
      <c r="O13619" s="24"/>
      <c r="P13619"/>
      <c r="Q13619" s="24"/>
      <c r="R13619"/>
      <c r="S13619"/>
      <c r="T13619"/>
      <c r="U13619"/>
      <c r="X13619" s="60"/>
    </row>
    <row r="13620" spans="7:24" ht="15" customHeight="1">
      <c r="G13620"/>
      <c r="I13620"/>
      <c r="N13620"/>
      <c r="O13620" s="24"/>
      <c r="P13620"/>
      <c r="Q13620" s="24"/>
      <c r="R13620"/>
      <c r="S13620"/>
      <c r="T13620"/>
      <c r="U13620"/>
      <c r="X13620" s="60"/>
    </row>
    <row r="13621" spans="7:24" ht="15" customHeight="1">
      <c r="G13621"/>
      <c r="I13621"/>
      <c r="N13621"/>
      <c r="O13621" s="24"/>
      <c r="P13621"/>
      <c r="Q13621" s="24"/>
      <c r="R13621"/>
      <c r="S13621"/>
      <c r="T13621"/>
      <c r="U13621"/>
      <c r="X13621" s="60"/>
    </row>
    <row r="13622" spans="7:24" ht="15" customHeight="1">
      <c r="G13622"/>
      <c r="I13622"/>
      <c r="N13622"/>
      <c r="O13622" s="24"/>
      <c r="P13622"/>
      <c r="Q13622" s="24"/>
      <c r="R13622"/>
      <c r="S13622"/>
      <c r="T13622"/>
      <c r="U13622"/>
      <c r="X13622" s="60"/>
    </row>
    <row r="13623" spans="7:24" ht="15" customHeight="1">
      <c r="G13623"/>
      <c r="I13623"/>
      <c r="N13623"/>
      <c r="O13623" s="24"/>
      <c r="P13623"/>
      <c r="Q13623" s="24"/>
      <c r="R13623"/>
      <c r="S13623"/>
      <c r="T13623"/>
      <c r="U13623"/>
      <c r="X13623" s="60"/>
    </row>
    <row r="13624" spans="7:24" ht="15" customHeight="1">
      <c r="G13624"/>
      <c r="I13624"/>
      <c r="N13624"/>
      <c r="O13624" s="24"/>
      <c r="P13624"/>
      <c r="Q13624" s="24"/>
      <c r="R13624"/>
      <c r="S13624"/>
      <c r="T13624"/>
      <c r="U13624"/>
      <c r="X13624" s="60"/>
    </row>
    <row r="13625" spans="7:24" ht="15" customHeight="1">
      <c r="G13625"/>
      <c r="I13625"/>
      <c r="N13625"/>
      <c r="O13625" s="24"/>
      <c r="P13625"/>
      <c r="Q13625" s="24"/>
      <c r="R13625"/>
      <c r="S13625"/>
      <c r="T13625"/>
      <c r="U13625"/>
      <c r="X13625" s="60"/>
    </row>
    <row r="13626" spans="7:24" ht="15" customHeight="1">
      <c r="G13626"/>
      <c r="I13626"/>
      <c r="N13626"/>
      <c r="O13626" s="24"/>
      <c r="P13626"/>
      <c r="Q13626" s="24"/>
      <c r="R13626"/>
      <c r="S13626"/>
      <c r="T13626"/>
      <c r="U13626"/>
      <c r="X13626" s="60"/>
    </row>
    <row r="13627" spans="7:24" ht="15" customHeight="1">
      <c r="G13627"/>
      <c r="I13627"/>
      <c r="N13627"/>
      <c r="O13627" s="24"/>
      <c r="P13627"/>
      <c r="Q13627" s="24"/>
      <c r="R13627"/>
      <c r="S13627"/>
      <c r="T13627"/>
      <c r="U13627"/>
      <c r="X13627" s="60"/>
    </row>
    <row r="13628" spans="7:24" ht="15" customHeight="1">
      <c r="G13628"/>
      <c r="I13628"/>
      <c r="N13628"/>
      <c r="O13628" s="24"/>
      <c r="P13628"/>
      <c r="Q13628" s="24"/>
      <c r="R13628"/>
      <c r="S13628"/>
      <c r="T13628"/>
      <c r="U13628"/>
      <c r="X13628" s="60"/>
    </row>
    <row r="13629" spans="7:24" ht="15" customHeight="1">
      <c r="G13629"/>
      <c r="I13629"/>
      <c r="N13629"/>
      <c r="O13629" s="24"/>
      <c r="P13629"/>
      <c r="Q13629" s="24"/>
      <c r="R13629"/>
      <c r="S13629"/>
      <c r="T13629"/>
      <c r="U13629"/>
      <c r="X13629" s="60"/>
    </row>
    <row r="13630" spans="7:24" ht="15" customHeight="1">
      <c r="G13630"/>
      <c r="I13630"/>
      <c r="N13630"/>
      <c r="O13630" s="24"/>
      <c r="P13630"/>
      <c r="Q13630" s="24"/>
      <c r="R13630"/>
      <c r="S13630"/>
      <c r="T13630"/>
      <c r="U13630"/>
      <c r="X13630" s="60"/>
    </row>
    <row r="13631" spans="7:24" ht="15" customHeight="1">
      <c r="G13631"/>
      <c r="I13631"/>
      <c r="N13631"/>
      <c r="O13631" s="24"/>
      <c r="P13631"/>
      <c r="Q13631" s="24"/>
      <c r="R13631"/>
      <c r="S13631"/>
      <c r="T13631"/>
      <c r="U13631"/>
      <c r="X13631" s="60"/>
    </row>
    <row r="13632" spans="7:24" ht="15" customHeight="1">
      <c r="G13632"/>
      <c r="I13632"/>
      <c r="N13632"/>
      <c r="O13632" s="24"/>
      <c r="P13632"/>
      <c r="Q13632" s="24"/>
      <c r="R13632"/>
      <c r="S13632"/>
      <c r="T13632"/>
      <c r="U13632"/>
      <c r="X13632" s="60"/>
    </row>
    <row r="13633" spans="7:24" ht="15" customHeight="1">
      <c r="G13633"/>
      <c r="I13633"/>
      <c r="N13633"/>
      <c r="O13633" s="24"/>
      <c r="P13633"/>
      <c r="Q13633" s="24"/>
      <c r="R13633"/>
      <c r="S13633"/>
      <c r="T13633"/>
      <c r="U13633"/>
      <c r="X13633" s="60"/>
    </row>
    <row r="13634" spans="7:24" ht="15" customHeight="1">
      <c r="G13634"/>
      <c r="I13634"/>
      <c r="N13634"/>
      <c r="O13634" s="24"/>
      <c r="P13634"/>
      <c r="Q13634" s="24"/>
      <c r="R13634"/>
      <c r="S13634"/>
      <c r="T13634"/>
      <c r="U13634"/>
      <c r="X13634" s="60"/>
    </row>
    <row r="13635" spans="7:24" ht="15" customHeight="1">
      <c r="G13635"/>
      <c r="I13635"/>
      <c r="N13635"/>
      <c r="O13635" s="24"/>
      <c r="P13635"/>
      <c r="Q13635" s="24"/>
      <c r="R13635"/>
      <c r="S13635"/>
      <c r="T13635"/>
      <c r="U13635"/>
      <c r="X13635" s="60"/>
    </row>
    <row r="13636" spans="7:24" ht="15" customHeight="1">
      <c r="G13636"/>
      <c r="I13636"/>
      <c r="N13636"/>
      <c r="O13636" s="24"/>
      <c r="P13636"/>
      <c r="Q13636" s="24"/>
      <c r="R13636"/>
      <c r="S13636"/>
      <c r="T13636"/>
      <c r="U13636"/>
      <c r="X13636" s="60"/>
    </row>
    <row r="13637" spans="7:24" ht="15" customHeight="1">
      <c r="G13637"/>
      <c r="I13637"/>
      <c r="N13637"/>
      <c r="O13637" s="24"/>
      <c r="P13637"/>
      <c r="Q13637" s="24"/>
      <c r="R13637"/>
      <c r="S13637"/>
      <c r="T13637"/>
      <c r="U13637"/>
      <c r="X13637" s="60"/>
    </row>
    <row r="13638" spans="7:24" ht="15" customHeight="1">
      <c r="G13638"/>
      <c r="I13638"/>
      <c r="N13638"/>
      <c r="O13638" s="24"/>
      <c r="P13638"/>
      <c r="Q13638" s="24"/>
      <c r="R13638"/>
      <c r="S13638"/>
      <c r="T13638"/>
      <c r="U13638"/>
      <c r="X13638" s="60"/>
    </row>
    <row r="13639" spans="7:24" ht="15" customHeight="1">
      <c r="G13639"/>
      <c r="I13639"/>
      <c r="N13639"/>
      <c r="O13639" s="24"/>
      <c r="P13639"/>
      <c r="Q13639" s="24"/>
      <c r="R13639"/>
      <c r="S13639"/>
      <c r="T13639"/>
      <c r="U13639"/>
      <c r="X13639" s="60"/>
    </row>
    <row r="13640" spans="7:24" ht="15" customHeight="1">
      <c r="G13640"/>
      <c r="I13640"/>
      <c r="N13640"/>
      <c r="O13640" s="24"/>
      <c r="P13640"/>
      <c r="Q13640" s="24"/>
      <c r="R13640"/>
      <c r="S13640"/>
      <c r="T13640"/>
      <c r="U13640"/>
      <c r="X13640" s="60"/>
    </row>
    <row r="13641" spans="7:24" ht="15" customHeight="1">
      <c r="G13641"/>
      <c r="I13641"/>
      <c r="N13641"/>
      <c r="O13641" s="24"/>
      <c r="P13641"/>
      <c r="Q13641" s="24"/>
      <c r="R13641"/>
      <c r="S13641"/>
      <c r="T13641"/>
      <c r="U13641"/>
      <c r="X13641" s="60"/>
    </row>
    <row r="13642" spans="7:24" ht="15" customHeight="1">
      <c r="G13642"/>
      <c r="I13642"/>
      <c r="N13642"/>
      <c r="O13642" s="24"/>
      <c r="P13642"/>
      <c r="Q13642" s="24"/>
      <c r="R13642"/>
      <c r="S13642"/>
      <c r="T13642"/>
      <c r="U13642"/>
      <c r="X13642" s="60"/>
    </row>
    <row r="13643" spans="7:24" ht="15" customHeight="1">
      <c r="G13643"/>
      <c r="I13643"/>
      <c r="N13643"/>
      <c r="O13643" s="24"/>
      <c r="P13643"/>
      <c r="Q13643" s="24"/>
      <c r="R13643"/>
      <c r="S13643"/>
      <c r="T13643"/>
      <c r="U13643"/>
      <c r="X13643" s="60"/>
    </row>
    <row r="13644" spans="7:24" ht="15" customHeight="1">
      <c r="G13644"/>
      <c r="I13644"/>
      <c r="N13644"/>
      <c r="O13644" s="24"/>
      <c r="P13644"/>
      <c r="Q13644" s="24"/>
      <c r="R13644"/>
      <c r="S13644"/>
      <c r="T13644"/>
      <c r="U13644"/>
      <c r="X13644" s="60"/>
    </row>
    <row r="13645" spans="7:24" ht="15" customHeight="1">
      <c r="G13645"/>
      <c r="I13645"/>
      <c r="N13645"/>
      <c r="O13645" s="24"/>
      <c r="P13645"/>
      <c r="Q13645" s="24"/>
      <c r="R13645"/>
      <c r="S13645"/>
      <c r="T13645"/>
      <c r="U13645"/>
      <c r="X13645" s="60"/>
    </row>
    <row r="13646" spans="7:24" ht="15" customHeight="1">
      <c r="G13646"/>
      <c r="I13646"/>
      <c r="N13646"/>
      <c r="O13646" s="24"/>
      <c r="P13646"/>
      <c r="Q13646" s="24"/>
      <c r="R13646"/>
      <c r="S13646"/>
      <c r="T13646"/>
      <c r="U13646"/>
      <c r="X13646" s="60"/>
    </row>
    <row r="13647" spans="7:24" ht="15" customHeight="1">
      <c r="G13647"/>
      <c r="I13647"/>
      <c r="N13647"/>
      <c r="O13647" s="24"/>
      <c r="P13647"/>
      <c r="Q13647" s="24"/>
      <c r="R13647"/>
      <c r="S13647"/>
      <c r="T13647"/>
      <c r="U13647"/>
      <c r="X13647" s="60"/>
    </row>
    <row r="13648" spans="7:24" ht="15" customHeight="1">
      <c r="G13648"/>
      <c r="I13648"/>
      <c r="N13648"/>
      <c r="O13648" s="24"/>
      <c r="P13648"/>
      <c r="Q13648" s="24"/>
      <c r="R13648"/>
      <c r="S13648"/>
      <c r="T13648"/>
      <c r="U13648"/>
      <c r="X13648" s="60"/>
    </row>
    <row r="13649" spans="7:24" ht="15" customHeight="1">
      <c r="G13649"/>
      <c r="I13649"/>
      <c r="N13649"/>
      <c r="O13649" s="24"/>
      <c r="P13649"/>
      <c r="Q13649" s="24"/>
      <c r="R13649"/>
      <c r="S13649"/>
      <c r="T13649"/>
      <c r="U13649"/>
      <c r="X13649" s="60"/>
    </row>
    <row r="13650" spans="7:24" ht="15" customHeight="1">
      <c r="G13650"/>
      <c r="I13650"/>
      <c r="N13650"/>
      <c r="O13650" s="24"/>
      <c r="P13650"/>
      <c r="Q13650" s="24"/>
      <c r="R13650"/>
      <c r="S13650"/>
      <c r="T13650"/>
      <c r="U13650"/>
      <c r="X13650" s="60"/>
    </row>
    <row r="13651" spans="7:24" ht="15" customHeight="1">
      <c r="G13651"/>
      <c r="I13651"/>
      <c r="N13651"/>
      <c r="O13651" s="24"/>
      <c r="P13651"/>
      <c r="Q13651" s="24"/>
      <c r="R13651"/>
      <c r="S13651"/>
      <c r="T13651"/>
      <c r="U13651"/>
      <c r="X13651" s="60"/>
    </row>
    <row r="13652" spans="7:24" ht="15" customHeight="1">
      <c r="G13652"/>
      <c r="I13652"/>
      <c r="N13652"/>
      <c r="O13652" s="24"/>
      <c r="P13652"/>
      <c r="Q13652" s="24"/>
      <c r="R13652"/>
      <c r="S13652"/>
      <c r="T13652"/>
      <c r="U13652"/>
      <c r="X13652" s="60"/>
    </row>
    <row r="13653" spans="7:24" ht="15" customHeight="1">
      <c r="G13653"/>
      <c r="I13653"/>
      <c r="N13653"/>
      <c r="O13653" s="24"/>
      <c r="P13653"/>
      <c r="Q13653" s="24"/>
      <c r="R13653"/>
      <c r="S13653"/>
      <c r="T13653"/>
      <c r="U13653"/>
      <c r="X13653" s="60"/>
    </row>
    <row r="13654" spans="7:24" ht="15" customHeight="1">
      <c r="G13654"/>
      <c r="I13654"/>
      <c r="N13654"/>
      <c r="O13654" s="24"/>
      <c r="P13654"/>
      <c r="Q13654" s="24"/>
      <c r="R13654"/>
      <c r="S13654"/>
      <c r="T13654"/>
      <c r="U13654"/>
      <c r="X13654" s="60"/>
    </row>
    <row r="13655" spans="7:24" ht="15" customHeight="1">
      <c r="G13655"/>
      <c r="I13655"/>
      <c r="N13655"/>
      <c r="O13655" s="24"/>
      <c r="P13655"/>
      <c r="Q13655" s="24"/>
      <c r="R13655"/>
      <c r="S13655"/>
      <c r="T13655"/>
      <c r="U13655"/>
      <c r="X13655" s="60"/>
    </row>
    <row r="13656" spans="7:24" ht="15" customHeight="1">
      <c r="G13656"/>
      <c r="I13656"/>
      <c r="N13656"/>
      <c r="O13656" s="24"/>
      <c r="P13656"/>
      <c r="Q13656" s="24"/>
      <c r="R13656"/>
      <c r="S13656"/>
      <c r="T13656"/>
      <c r="U13656"/>
      <c r="X13656" s="60"/>
    </row>
    <row r="13657" spans="7:24" ht="15" customHeight="1">
      <c r="G13657"/>
      <c r="I13657"/>
      <c r="N13657"/>
      <c r="O13657" s="24"/>
      <c r="P13657"/>
      <c r="Q13657" s="24"/>
      <c r="R13657"/>
      <c r="S13657"/>
      <c r="T13657"/>
      <c r="U13657"/>
      <c r="X13657" s="60"/>
    </row>
    <row r="13658" spans="7:24" ht="15" customHeight="1">
      <c r="G13658"/>
      <c r="I13658"/>
      <c r="N13658"/>
      <c r="O13658" s="24"/>
      <c r="P13658"/>
      <c r="Q13658" s="24"/>
      <c r="R13658"/>
      <c r="S13658"/>
      <c r="T13658"/>
      <c r="U13658"/>
      <c r="X13658" s="60"/>
    </row>
    <row r="13659" spans="7:24" ht="15" customHeight="1">
      <c r="G13659"/>
      <c r="I13659"/>
      <c r="N13659"/>
      <c r="O13659" s="24"/>
      <c r="P13659"/>
      <c r="Q13659" s="24"/>
      <c r="R13659"/>
      <c r="S13659"/>
      <c r="T13659"/>
      <c r="U13659"/>
      <c r="X13659" s="60"/>
    </row>
    <row r="13660" spans="7:24" ht="15" customHeight="1">
      <c r="G13660"/>
      <c r="I13660"/>
      <c r="N13660"/>
      <c r="O13660" s="24"/>
      <c r="P13660"/>
      <c r="Q13660" s="24"/>
      <c r="R13660"/>
      <c r="S13660"/>
      <c r="T13660"/>
      <c r="U13660"/>
      <c r="X13660" s="60"/>
    </row>
    <row r="13661" spans="7:24" ht="15" customHeight="1">
      <c r="G13661"/>
      <c r="I13661"/>
      <c r="N13661"/>
      <c r="O13661" s="24"/>
      <c r="P13661"/>
      <c r="Q13661" s="24"/>
      <c r="R13661"/>
      <c r="S13661"/>
      <c r="T13661"/>
      <c r="U13661"/>
      <c r="X13661" s="60"/>
    </row>
    <row r="13662" spans="7:24" ht="15" customHeight="1">
      <c r="G13662"/>
      <c r="I13662"/>
      <c r="N13662"/>
      <c r="O13662" s="24"/>
      <c r="P13662"/>
      <c r="Q13662" s="24"/>
      <c r="R13662"/>
      <c r="S13662"/>
      <c r="T13662"/>
      <c r="U13662"/>
      <c r="X13662" s="60"/>
    </row>
    <row r="13663" spans="7:24" ht="15" customHeight="1">
      <c r="G13663"/>
      <c r="I13663"/>
      <c r="N13663"/>
      <c r="O13663" s="24"/>
      <c r="P13663"/>
      <c r="Q13663" s="24"/>
      <c r="R13663"/>
      <c r="S13663"/>
      <c r="T13663"/>
      <c r="U13663"/>
      <c r="X13663" s="60"/>
    </row>
    <row r="13664" spans="7:24" ht="15" customHeight="1">
      <c r="G13664"/>
      <c r="I13664"/>
      <c r="N13664"/>
      <c r="O13664" s="24"/>
      <c r="P13664"/>
      <c r="Q13664" s="24"/>
      <c r="R13664"/>
      <c r="S13664"/>
      <c r="T13664"/>
      <c r="U13664"/>
      <c r="X13664" s="60"/>
    </row>
    <row r="13665" spans="7:24" ht="15" customHeight="1">
      <c r="G13665"/>
      <c r="I13665"/>
      <c r="N13665"/>
      <c r="O13665" s="24"/>
      <c r="P13665"/>
      <c r="Q13665" s="24"/>
      <c r="R13665"/>
      <c r="S13665"/>
      <c r="T13665"/>
      <c r="U13665"/>
      <c r="X13665" s="60"/>
    </row>
    <row r="13666" spans="7:24" ht="15" customHeight="1">
      <c r="G13666"/>
      <c r="I13666"/>
      <c r="N13666"/>
      <c r="O13666" s="24"/>
      <c r="P13666"/>
      <c r="Q13666" s="24"/>
      <c r="R13666"/>
      <c r="S13666"/>
      <c r="T13666"/>
      <c r="U13666"/>
      <c r="X13666" s="60"/>
    </row>
    <row r="13667" spans="7:24" ht="15" customHeight="1">
      <c r="G13667"/>
      <c r="I13667"/>
      <c r="N13667"/>
      <c r="O13667" s="24"/>
      <c r="P13667"/>
      <c r="Q13667" s="24"/>
      <c r="R13667"/>
      <c r="S13667"/>
      <c r="T13667"/>
      <c r="U13667"/>
      <c r="X13667" s="60"/>
    </row>
    <row r="13668" spans="7:24" ht="15" customHeight="1">
      <c r="G13668"/>
      <c r="I13668"/>
      <c r="N13668"/>
      <c r="O13668" s="24"/>
      <c r="P13668"/>
      <c r="Q13668" s="24"/>
      <c r="R13668"/>
      <c r="S13668"/>
      <c r="T13668"/>
      <c r="U13668"/>
      <c r="X13668" s="60"/>
    </row>
    <row r="13669" spans="7:24" ht="15" customHeight="1">
      <c r="G13669"/>
      <c r="I13669"/>
      <c r="N13669"/>
      <c r="O13669" s="24"/>
      <c r="P13669"/>
      <c r="Q13669" s="24"/>
      <c r="R13669"/>
      <c r="S13669"/>
      <c r="T13669"/>
      <c r="U13669"/>
      <c r="X13669" s="60"/>
    </row>
    <row r="13670" spans="7:24" ht="15" customHeight="1">
      <c r="G13670"/>
      <c r="I13670"/>
      <c r="N13670"/>
      <c r="O13670" s="24"/>
      <c r="P13670"/>
      <c r="Q13670" s="24"/>
      <c r="R13670"/>
      <c r="S13670"/>
      <c r="T13670"/>
      <c r="U13670"/>
      <c r="X13670" s="60"/>
    </row>
    <row r="13671" spans="7:24" ht="15" customHeight="1">
      <c r="G13671"/>
      <c r="I13671"/>
      <c r="N13671"/>
      <c r="O13671" s="24"/>
      <c r="P13671"/>
      <c r="Q13671" s="24"/>
      <c r="R13671"/>
      <c r="S13671"/>
      <c r="T13671"/>
      <c r="U13671"/>
      <c r="X13671" s="60"/>
    </row>
    <row r="13672" spans="7:24" ht="15" customHeight="1">
      <c r="G13672"/>
      <c r="I13672"/>
      <c r="N13672"/>
      <c r="O13672" s="24"/>
      <c r="P13672"/>
      <c r="Q13672" s="24"/>
      <c r="R13672"/>
      <c r="S13672"/>
      <c r="T13672"/>
      <c r="U13672"/>
      <c r="X13672" s="60"/>
    </row>
    <row r="13673" spans="7:24" ht="15" customHeight="1">
      <c r="G13673"/>
      <c r="I13673"/>
      <c r="N13673"/>
      <c r="O13673" s="24"/>
      <c r="P13673"/>
      <c r="Q13673" s="24"/>
      <c r="R13673"/>
      <c r="S13673"/>
      <c r="T13673"/>
      <c r="U13673"/>
      <c r="X13673" s="60"/>
    </row>
    <row r="13674" spans="7:24" ht="15" customHeight="1">
      <c r="G13674"/>
      <c r="I13674"/>
      <c r="N13674"/>
      <c r="O13674" s="24"/>
      <c r="P13674"/>
      <c r="Q13674" s="24"/>
      <c r="R13674"/>
      <c r="S13674"/>
      <c r="T13674"/>
      <c r="U13674"/>
      <c r="X13674" s="60"/>
    </row>
    <row r="13675" spans="7:24" ht="15" customHeight="1">
      <c r="G13675"/>
      <c r="I13675"/>
      <c r="N13675"/>
      <c r="O13675" s="24"/>
      <c r="P13675"/>
      <c r="Q13675" s="24"/>
      <c r="R13675"/>
      <c r="S13675"/>
      <c r="T13675"/>
      <c r="U13675"/>
      <c r="X13675" s="60"/>
    </row>
    <row r="13676" spans="7:24" ht="15" customHeight="1">
      <c r="G13676"/>
      <c r="I13676"/>
      <c r="N13676"/>
      <c r="O13676" s="24"/>
      <c r="P13676"/>
      <c r="Q13676" s="24"/>
      <c r="R13676"/>
      <c r="S13676"/>
      <c r="T13676"/>
      <c r="U13676"/>
      <c r="X13676" s="60"/>
    </row>
    <row r="13677" spans="7:24" ht="15" customHeight="1">
      <c r="G13677"/>
      <c r="I13677"/>
      <c r="N13677"/>
      <c r="O13677" s="24"/>
      <c r="P13677"/>
      <c r="Q13677" s="24"/>
      <c r="R13677"/>
      <c r="S13677"/>
      <c r="T13677"/>
      <c r="U13677"/>
      <c r="X13677" s="60"/>
    </row>
    <row r="13678" spans="7:24" ht="15" customHeight="1">
      <c r="G13678"/>
      <c r="I13678"/>
      <c r="N13678"/>
      <c r="O13678" s="24"/>
      <c r="P13678"/>
      <c r="Q13678" s="24"/>
      <c r="R13678"/>
      <c r="S13678"/>
      <c r="T13678"/>
      <c r="U13678"/>
      <c r="X13678" s="60"/>
    </row>
    <row r="13679" spans="7:24" ht="15" customHeight="1">
      <c r="G13679"/>
      <c r="I13679"/>
      <c r="N13679"/>
      <c r="O13679" s="24"/>
      <c r="P13679"/>
      <c r="Q13679" s="24"/>
      <c r="R13679"/>
      <c r="S13679"/>
      <c r="T13679"/>
      <c r="U13679"/>
      <c r="X13679" s="60"/>
    </row>
    <row r="13680" spans="7:24" ht="15" customHeight="1">
      <c r="G13680"/>
      <c r="I13680"/>
      <c r="N13680"/>
      <c r="O13680" s="24"/>
      <c r="P13680"/>
      <c r="Q13680" s="24"/>
      <c r="R13680"/>
      <c r="S13680"/>
      <c r="T13680"/>
      <c r="U13680"/>
      <c r="X13680" s="60"/>
    </row>
    <row r="13681" spans="7:24" ht="15" customHeight="1">
      <c r="G13681"/>
      <c r="I13681"/>
      <c r="N13681"/>
      <c r="O13681" s="24"/>
      <c r="P13681"/>
      <c r="Q13681" s="24"/>
      <c r="R13681"/>
      <c r="S13681"/>
      <c r="T13681"/>
      <c r="U13681"/>
      <c r="X13681" s="60"/>
    </row>
    <row r="13682" spans="7:24" ht="15" customHeight="1">
      <c r="G13682"/>
      <c r="I13682"/>
      <c r="N13682"/>
      <c r="O13682" s="24"/>
      <c r="P13682"/>
      <c r="Q13682" s="24"/>
      <c r="R13682"/>
      <c r="S13682"/>
      <c r="T13682"/>
      <c r="U13682"/>
      <c r="X13682" s="60"/>
    </row>
    <row r="13683" spans="7:24" ht="15" customHeight="1">
      <c r="G13683"/>
      <c r="I13683"/>
      <c r="N13683"/>
      <c r="O13683" s="24"/>
      <c r="P13683"/>
      <c r="Q13683" s="24"/>
      <c r="R13683"/>
      <c r="S13683"/>
      <c r="T13683"/>
      <c r="U13683"/>
      <c r="X13683" s="60"/>
    </row>
    <row r="13684" spans="7:24" ht="15" customHeight="1">
      <c r="G13684"/>
      <c r="I13684"/>
      <c r="N13684"/>
      <c r="O13684" s="24"/>
      <c r="P13684"/>
      <c r="Q13684" s="24"/>
      <c r="R13684"/>
      <c r="S13684"/>
      <c r="T13684"/>
      <c r="U13684"/>
      <c r="X13684" s="60"/>
    </row>
    <row r="13685" spans="7:24" ht="15" customHeight="1">
      <c r="G13685"/>
      <c r="I13685"/>
      <c r="N13685"/>
      <c r="O13685" s="24"/>
      <c r="P13685"/>
      <c r="Q13685" s="24"/>
      <c r="R13685"/>
      <c r="S13685"/>
      <c r="T13685"/>
      <c r="U13685"/>
      <c r="X13685" s="60"/>
    </row>
    <row r="13686" spans="7:24" ht="15" customHeight="1">
      <c r="G13686"/>
      <c r="I13686"/>
      <c r="N13686"/>
      <c r="O13686" s="24"/>
      <c r="P13686"/>
      <c r="Q13686" s="24"/>
      <c r="R13686"/>
      <c r="S13686"/>
      <c r="T13686"/>
      <c r="U13686"/>
      <c r="X13686" s="60"/>
    </row>
    <row r="13687" spans="7:24" ht="15" customHeight="1">
      <c r="G13687"/>
      <c r="I13687"/>
      <c r="N13687"/>
      <c r="O13687" s="24"/>
      <c r="P13687"/>
      <c r="Q13687" s="24"/>
      <c r="R13687"/>
      <c r="S13687"/>
      <c r="T13687"/>
      <c r="U13687"/>
      <c r="X13687" s="60"/>
    </row>
    <row r="13688" spans="7:24" ht="15" customHeight="1">
      <c r="G13688"/>
      <c r="I13688"/>
      <c r="N13688"/>
      <c r="O13688" s="24"/>
      <c r="P13688"/>
      <c r="Q13688" s="24"/>
      <c r="R13688"/>
      <c r="S13688"/>
      <c r="T13688"/>
      <c r="U13688"/>
      <c r="X13688" s="60"/>
    </row>
    <row r="13689" spans="7:24" ht="15" customHeight="1">
      <c r="G13689"/>
      <c r="I13689"/>
      <c r="N13689"/>
      <c r="O13689" s="24"/>
      <c r="P13689"/>
      <c r="Q13689" s="24"/>
      <c r="R13689"/>
      <c r="S13689"/>
      <c r="T13689"/>
      <c r="U13689"/>
      <c r="X13689" s="60"/>
    </row>
    <row r="13690" spans="7:24" ht="15" customHeight="1">
      <c r="G13690"/>
      <c r="I13690"/>
      <c r="N13690"/>
      <c r="O13690" s="24"/>
      <c r="P13690"/>
      <c r="Q13690" s="24"/>
      <c r="R13690"/>
      <c r="S13690"/>
      <c r="T13690"/>
      <c r="U13690"/>
      <c r="X13690" s="60"/>
    </row>
    <row r="13691" spans="7:24" ht="15" customHeight="1">
      <c r="G13691"/>
      <c r="I13691"/>
      <c r="N13691"/>
      <c r="O13691" s="24"/>
      <c r="P13691"/>
      <c r="Q13691" s="24"/>
      <c r="R13691"/>
      <c r="S13691"/>
      <c r="T13691"/>
      <c r="U13691"/>
      <c r="X13691" s="60"/>
    </row>
    <row r="13692" spans="7:24" ht="15" customHeight="1">
      <c r="G13692"/>
      <c r="I13692"/>
      <c r="N13692"/>
      <c r="O13692" s="24"/>
      <c r="P13692"/>
      <c r="Q13692" s="24"/>
      <c r="R13692"/>
      <c r="S13692"/>
      <c r="T13692"/>
      <c r="U13692"/>
      <c r="X13692" s="60"/>
    </row>
    <row r="13693" spans="7:24" ht="15" customHeight="1">
      <c r="G13693"/>
      <c r="I13693"/>
      <c r="N13693"/>
      <c r="O13693" s="24"/>
      <c r="P13693"/>
      <c r="Q13693" s="24"/>
      <c r="R13693"/>
      <c r="S13693"/>
      <c r="T13693"/>
      <c r="U13693"/>
      <c r="X13693" s="60"/>
    </row>
    <row r="13694" spans="7:24" ht="15" customHeight="1">
      <c r="G13694"/>
      <c r="I13694"/>
      <c r="N13694"/>
      <c r="O13694" s="24"/>
      <c r="P13694"/>
      <c r="Q13694" s="24"/>
      <c r="R13694"/>
      <c r="S13694"/>
      <c r="T13694"/>
      <c r="U13694"/>
      <c r="X13694" s="60"/>
    </row>
    <row r="13695" spans="7:24" ht="15" customHeight="1">
      <c r="G13695"/>
      <c r="I13695"/>
      <c r="N13695"/>
      <c r="O13695" s="24"/>
      <c r="P13695"/>
      <c r="Q13695" s="24"/>
      <c r="R13695"/>
      <c r="S13695"/>
      <c r="T13695"/>
      <c r="U13695"/>
      <c r="X13695" s="60"/>
    </row>
    <row r="13696" spans="7:24" ht="15" customHeight="1">
      <c r="G13696"/>
      <c r="I13696"/>
      <c r="N13696"/>
      <c r="O13696" s="24"/>
      <c r="P13696"/>
      <c r="Q13696" s="24"/>
      <c r="R13696"/>
      <c r="S13696"/>
      <c r="T13696"/>
      <c r="U13696"/>
      <c r="X13696" s="60"/>
    </row>
    <row r="13697" spans="7:24" ht="15" customHeight="1">
      <c r="G13697"/>
      <c r="I13697"/>
      <c r="N13697"/>
      <c r="O13697" s="24"/>
      <c r="P13697"/>
      <c r="Q13697" s="24"/>
      <c r="R13697"/>
      <c r="S13697"/>
      <c r="T13697"/>
      <c r="U13697"/>
      <c r="X13697" s="60"/>
    </row>
    <row r="13698" spans="7:24" ht="15" customHeight="1">
      <c r="G13698"/>
      <c r="I13698"/>
      <c r="N13698"/>
      <c r="O13698" s="24"/>
      <c r="P13698"/>
      <c r="Q13698" s="24"/>
      <c r="R13698"/>
      <c r="S13698"/>
      <c r="T13698"/>
      <c r="U13698"/>
      <c r="X13698" s="60"/>
    </row>
    <row r="13699" spans="7:24" ht="15" customHeight="1">
      <c r="G13699"/>
      <c r="I13699"/>
      <c r="N13699"/>
      <c r="O13699" s="24"/>
      <c r="P13699"/>
      <c r="Q13699" s="24"/>
      <c r="R13699"/>
      <c r="S13699"/>
      <c r="T13699"/>
      <c r="U13699"/>
      <c r="X13699" s="60"/>
    </row>
    <row r="13700" spans="7:24" ht="15" customHeight="1">
      <c r="G13700"/>
      <c r="I13700"/>
      <c r="N13700"/>
      <c r="O13700" s="24"/>
      <c r="P13700"/>
      <c r="Q13700" s="24"/>
      <c r="R13700"/>
      <c r="S13700"/>
      <c r="T13700"/>
      <c r="U13700"/>
      <c r="X13700" s="60"/>
    </row>
    <row r="13701" spans="7:24" ht="15" customHeight="1">
      <c r="G13701"/>
      <c r="I13701"/>
      <c r="N13701"/>
      <c r="O13701" s="24"/>
      <c r="P13701"/>
      <c r="Q13701" s="24"/>
      <c r="R13701"/>
      <c r="S13701"/>
      <c r="T13701"/>
      <c r="U13701"/>
      <c r="X13701" s="60"/>
    </row>
    <row r="13702" spans="7:24" ht="15" customHeight="1">
      <c r="G13702"/>
      <c r="I13702"/>
      <c r="N13702"/>
      <c r="O13702" s="24"/>
      <c r="P13702"/>
      <c r="Q13702" s="24"/>
      <c r="R13702"/>
      <c r="S13702"/>
      <c r="T13702"/>
      <c r="U13702"/>
      <c r="X13702" s="60"/>
    </row>
    <row r="13703" spans="7:24" ht="15" customHeight="1">
      <c r="G13703"/>
      <c r="I13703"/>
      <c r="N13703"/>
      <c r="O13703" s="24"/>
      <c r="P13703"/>
      <c r="Q13703" s="24"/>
      <c r="R13703"/>
      <c r="S13703"/>
      <c r="T13703"/>
      <c r="U13703"/>
      <c r="X13703" s="60"/>
    </row>
    <row r="13704" spans="7:24" ht="15" customHeight="1">
      <c r="G13704"/>
      <c r="I13704"/>
      <c r="N13704"/>
      <c r="O13704" s="24"/>
      <c r="P13704"/>
      <c r="Q13704" s="24"/>
      <c r="R13704"/>
      <c r="S13704"/>
      <c r="T13704"/>
      <c r="U13704"/>
      <c r="X13704" s="60"/>
    </row>
    <row r="13705" spans="7:24" ht="15" customHeight="1">
      <c r="G13705"/>
      <c r="I13705"/>
      <c r="N13705"/>
      <c r="O13705" s="24"/>
      <c r="P13705"/>
      <c r="Q13705" s="24"/>
      <c r="R13705"/>
      <c r="S13705"/>
      <c r="T13705"/>
      <c r="U13705"/>
      <c r="X13705" s="60"/>
    </row>
    <row r="13706" spans="7:24" ht="15" customHeight="1">
      <c r="G13706"/>
      <c r="I13706"/>
      <c r="N13706"/>
      <c r="O13706" s="24"/>
      <c r="P13706"/>
      <c r="Q13706" s="24"/>
      <c r="R13706"/>
      <c r="S13706"/>
      <c r="T13706"/>
      <c r="U13706"/>
      <c r="X13706" s="60"/>
    </row>
    <row r="13707" spans="7:24" ht="15" customHeight="1">
      <c r="G13707"/>
      <c r="I13707"/>
      <c r="N13707"/>
      <c r="O13707" s="24"/>
      <c r="P13707"/>
      <c r="Q13707" s="24"/>
      <c r="R13707"/>
      <c r="S13707"/>
      <c r="T13707"/>
      <c r="U13707"/>
      <c r="X13707" s="60"/>
    </row>
    <row r="13708" spans="7:24" ht="15" customHeight="1">
      <c r="G13708"/>
      <c r="I13708"/>
      <c r="N13708"/>
      <c r="O13708" s="24"/>
      <c r="P13708"/>
      <c r="Q13708" s="24"/>
      <c r="R13708"/>
      <c r="S13708"/>
      <c r="T13708"/>
      <c r="U13708"/>
      <c r="X13708" s="60"/>
    </row>
    <row r="13709" spans="7:24" ht="15" customHeight="1">
      <c r="G13709"/>
      <c r="I13709"/>
      <c r="N13709"/>
      <c r="O13709" s="24"/>
      <c r="P13709"/>
      <c r="Q13709" s="24"/>
      <c r="R13709"/>
      <c r="S13709"/>
      <c r="T13709"/>
      <c r="U13709"/>
      <c r="X13709" s="60"/>
    </row>
    <row r="13710" spans="7:24" ht="15" customHeight="1">
      <c r="G13710"/>
      <c r="I13710"/>
      <c r="N13710"/>
      <c r="O13710" s="24"/>
      <c r="P13710"/>
      <c r="Q13710" s="24"/>
      <c r="R13710"/>
      <c r="S13710"/>
      <c r="T13710"/>
      <c r="U13710"/>
      <c r="X13710" s="60"/>
    </row>
    <row r="13711" spans="7:24" ht="15" customHeight="1">
      <c r="G13711"/>
      <c r="I13711"/>
      <c r="N13711"/>
      <c r="O13711" s="24"/>
      <c r="P13711"/>
      <c r="Q13711" s="24"/>
      <c r="R13711"/>
      <c r="S13711"/>
      <c r="T13711"/>
      <c r="U13711"/>
      <c r="X13711" s="60"/>
    </row>
    <row r="13712" spans="7:24" ht="15" customHeight="1">
      <c r="G13712"/>
      <c r="I13712"/>
      <c r="N13712"/>
      <c r="O13712" s="24"/>
      <c r="P13712"/>
      <c r="Q13712" s="24"/>
      <c r="R13712"/>
      <c r="S13712"/>
      <c r="T13712"/>
      <c r="U13712"/>
      <c r="X13712" s="60"/>
    </row>
    <row r="13713" spans="7:24" ht="15" customHeight="1">
      <c r="G13713"/>
      <c r="I13713"/>
      <c r="N13713"/>
      <c r="O13713" s="24"/>
      <c r="P13713"/>
      <c r="Q13713" s="24"/>
      <c r="R13713"/>
      <c r="S13713"/>
      <c r="T13713"/>
      <c r="U13713"/>
      <c r="X13713" s="60"/>
    </row>
    <row r="13714" spans="7:24" ht="15" customHeight="1">
      <c r="G13714"/>
      <c r="I13714"/>
      <c r="N13714"/>
      <c r="O13714" s="24"/>
      <c r="P13714"/>
      <c r="Q13714" s="24"/>
      <c r="R13714"/>
      <c r="S13714"/>
      <c r="T13714"/>
      <c r="U13714"/>
      <c r="X13714" s="60"/>
    </row>
    <row r="13715" spans="7:24" ht="15" customHeight="1">
      <c r="G13715"/>
      <c r="I13715"/>
      <c r="N13715"/>
      <c r="O13715" s="24"/>
      <c r="P13715"/>
      <c r="Q13715" s="24"/>
      <c r="R13715"/>
      <c r="S13715"/>
      <c r="T13715"/>
      <c r="U13715"/>
      <c r="X13715" s="60"/>
    </row>
    <row r="13716" spans="7:24" ht="15" customHeight="1">
      <c r="G13716"/>
      <c r="I13716"/>
      <c r="N13716"/>
      <c r="O13716" s="24"/>
      <c r="P13716"/>
      <c r="Q13716" s="24"/>
      <c r="R13716"/>
      <c r="S13716"/>
      <c r="T13716"/>
      <c r="U13716"/>
      <c r="X13716" s="60"/>
    </row>
    <row r="13717" spans="7:24" ht="15" customHeight="1">
      <c r="G13717"/>
      <c r="I13717"/>
      <c r="N13717"/>
      <c r="O13717" s="24"/>
      <c r="P13717"/>
      <c r="Q13717" s="24"/>
      <c r="R13717"/>
      <c r="S13717"/>
      <c r="T13717"/>
      <c r="U13717"/>
      <c r="X13717" s="60"/>
    </row>
    <row r="13718" spans="7:24" ht="15" customHeight="1">
      <c r="G13718"/>
      <c r="I13718"/>
      <c r="N13718"/>
      <c r="O13718" s="24"/>
      <c r="P13718"/>
      <c r="Q13718" s="24"/>
      <c r="R13718"/>
      <c r="S13718"/>
      <c r="T13718"/>
      <c r="U13718"/>
      <c r="X13718" s="60"/>
    </row>
    <row r="13719" spans="7:24" ht="15" customHeight="1">
      <c r="G13719"/>
      <c r="I13719"/>
      <c r="N13719"/>
      <c r="O13719" s="24"/>
      <c r="P13719"/>
      <c r="Q13719" s="24"/>
      <c r="R13719"/>
      <c r="S13719"/>
      <c r="T13719"/>
      <c r="U13719"/>
      <c r="X13719" s="60"/>
    </row>
    <row r="13720" spans="7:24" ht="15" customHeight="1">
      <c r="G13720"/>
      <c r="I13720"/>
      <c r="N13720"/>
      <c r="O13720" s="24"/>
      <c r="P13720"/>
      <c r="Q13720" s="24"/>
      <c r="R13720"/>
      <c r="S13720"/>
      <c r="T13720"/>
      <c r="U13720"/>
      <c r="X13720" s="60"/>
    </row>
    <row r="13721" spans="7:24" ht="15" customHeight="1">
      <c r="G13721"/>
      <c r="I13721"/>
      <c r="N13721"/>
      <c r="O13721" s="24"/>
      <c r="P13721"/>
      <c r="Q13721" s="24"/>
      <c r="R13721"/>
      <c r="S13721"/>
      <c r="T13721"/>
      <c r="U13721"/>
      <c r="X13721" s="60"/>
    </row>
    <row r="13722" spans="7:24" ht="15" customHeight="1">
      <c r="G13722"/>
      <c r="I13722"/>
      <c r="N13722"/>
      <c r="O13722" s="24"/>
      <c r="P13722"/>
      <c r="Q13722" s="24"/>
      <c r="R13722"/>
      <c r="S13722"/>
      <c r="T13722"/>
      <c r="U13722"/>
      <c r="X13722" s="60"/>
    </row>
    <row r="13723" spans="7:24" ht="15" customHeight="1">
      <c r="G13723"/>
      <c r="I13723"/>
      <c r="N13723"/>
      <c r="O13723" s="24"/>
      <c r="P13723"/>
      <c r="Q13723" s="24"/>
      <c r="R13723"/>
      <c r="S13723"/>
      <c r="T13723"/>
      <c r="U13723"/>
      <c r="X13723" s="60"/>
    </row>
    <row r="13724" spans="7:24" ht="15" customHeight="1">
      <c r="G13724"/>
      <c r="I13724"/>
      <c r="N13724"/>
      <c r="O13724" s="24"/>
      <c r="P13724"/>
      <c r="Q13724" s="24"/>
      <c r="R13724"/>
      <c r="S13724"/>
      <c r="T13724"/>
      <c r="U13724"/>
      <c r="X13724" s="60"/>
    </row>
    <row r="13725" spans="7:24" ht="15" customHeight="1">
      <c r="G13725"/>
      <c r="I13725"/>
      <c r="N13725"/>
      <c r="O13725" s="24"/>
      <c r="P13725"/>
      <c r="Q13725" s="24"/>
      <c r="R13725"/>
      <c r="S13725"/>
      <c r="T13725"/>
      <c r="U13725"/>
      <c r="X13725" s="60"/>
    </row>
    <row r="13726" spans="7:24" ht="15" customHeight="1">
      <c r="G13726"/>
      <c r="I13726"/>
      <c r="N13726"/>
      <c r="O13726" s="24"/>
      <c r="P13726"/>
      <c r="Q13726" s="24"/>
      <c r="R13726"/>
      <c r="S13726"/>
      <c r="T13726"/>
      <c r="U13726"/>
      <c r="X13726" s="60"/>
    </row>
    <row r="13727" spans="7:24" ht="15" customHeight="1">
      <c r="G13727"/>
      <c r="I13727"/>
      <c r="N13727"/>
      <c r="O13727" s="24"/>
      <c r="P13727"/>
      <c r="Q13727" s="24"/>
      <c r="R13727"/>
      <c r="S13727"/>
      <c r="T13727"/>
      <c r="U13727"/>
      <c r="X13727" s="60"/>
    </row>
    <row r="13728" spans="7:24" ht="15" customHeight="1">
      <c r="G13728"/>
      <c r="I13728"/>
      <c r="N13728"/>
      <c r="O13728" s="24"/>
      <c r="P13728"/>
      <c r="Q13728" s="24"/>
      <c r="R13728"/>
      <c r="S13728"/>
      <c r="T13728"/>
      <c r="U13728"/>
      <c r="X13728" s="60"/>
    </row>
    <row r="13729" spans="7:24" ht="15" customHeight="1">
      <c r="G13729"/>
      <c r="I13729"/>
      <c r="N13729"/>
      <c r="O13729" s="24"/>
      <c r="P13729"/>
      <c r="Q13729" s="24"/>
      <c r="R13729"/>
      <c r="S13729"/>
      <c r="T13729"/>
      <c r="U13729"/>
      <c r="X13729" s="60"/>
    </row>
    <row r="13730" spans="7:24" ht="15" customHeight="1">
      <c r="G13730"/>
      <c r="I13730"/>
      <c r="N13730"/>
      <c r="O13730" s="24"/>
      <c r="P13730"/>
      <c r="Q13730" s="24"/>
      <c r="R13730"/>
      <c r="S13730"/>
      <c r="T13730"/>
      <c r="U13730"/>
      <c r="X13730" s="60"/>
    </row>
    <row r="13731" spans="7:24" ht="15" customHeight="1">
      <c r="G13731"/>
      <c r="I13731"/>
      <c r="N13731"/>
      <c r="O13731" s="24"/>
      <c r="P13731"/>
      <c r="Q13731" s="24"/>
      <c r="R13731"/>
      <c r="S13731"/>
      <c r="T13731"/>
      <c r="U13731"/>
      <c r="X13731" s="60"/>
    </row>
    <row r="13732" spans="7:24" ht="15" customHeight="1">
      <c r="G13732"/>
      <c r="I13732"/>
      <c r="N13732"/>
      <c r="O13732" s="24"/>
      <c r="P13732"/>
      <c r="Q13732" s="24"/>
      <c r="R13732"/>
      <c r="S13732"/>
      <c r="T13732"/>
      <c r="U13732"/>
      <c r="X13732" s="60"/>
    </row>
    <row r="13733" spans="7:24" ht="15" customHeight="1">
      <c r="G13733"/>
      <c r="I13733"/>
      <c r="N13733"/>
      <c r="O13733" s="24"/>
      <c r="P13733"/>
      <c r="Q13733" s="24"/>
      <c r="R13733"/>
      <c r="S13733"/>
      <c r="T13733"/>
      <c r="U13733"/>
      <c r="X13733" s="60"/>
    </row>
    <row r="13734" spans="7:24" ht="15" customHeight="1">
      <c r="G13734"/>
      <c r="I13734"/>
      <c r="N13734"/>
      <c r="O13734" s="24"/>
      <c r="P13734"/>
      <c r="Q13734" s="24"/>
      <c r="R13734"/>
      <c r="S13734"/>
      <c r="T13734"/>
      <c r="U13734"/>
      <c r="X13734" s="60"/>
    </row>
    <row r="13735" spans="7:24" ht="15" customHeight="1">
      <c r="G13735"/>
      <c r="I13735"/>
      <c r="N13735"/>
      <c r="O13735" s="24"/>
      <c r="P13735"/>
      <c r="Q13735" s="24"/>
      <c r="R13735"/>
      <c r="S13735"/>
      <c r="T13735"/>
      <c r="U13735"/>
      <c r="X13735" s="60"/>
    </row>
    <row r="13736" spans="7:24" ht="15" customHeight="1">
      <c r="G13736"/>
      <c r="I13736"/>
      <c r="N13736"/>
      <c r="O13736" s="24"/>
      <c r="P13736"/>
      <c r="Q13736" s="24"/>
      <c r="R13736"/>
      <c r="S13736"/>
      <c r="T13736"/>
      <c r="U13736"/>
      <c r="X13736" s="60"/>
    </row>
    <row r="13737" spans="7:24" ht="15" customHeight="1">
      <c r="G13737"/>
      <c r="I13737"/>
      <c r="N13737"/>
      <c r="O13737" s="24"/>
      <c r="P13737"/>
      <c r="Q13737" s="24"/>
      <c r="R13737"/>
      <c r="S13737"/>
      <c r="T13737"/>
      <c r="U13737"/>
      <c r="X13737" s="60"/>
    </row>
    <row r="13738" spans="7:24" ht="15" customHeight="1">
      <c r="G13738"/>
      <c r="I13738"/>
      <c r="N13738"/>
      <c r="O13738" s="24"/>
      <c r="P13738"/>
      <c r="Q13738" s="24"/>
      <c r="R13738"/>
      <c r="S13738"/>
      <c r="T13738"/>
      <c r="U13738"/>
      <c r="X13738" s="60"/>
    </row>
    <row r="13739" spans="7:24" ht="15" customHeight="1">
      <c r="G13739"/>
      <c r="I13739"/>
      <c r="N13739"/>
      <c r="O13739" s="24"/>
      <c r="P13739"/>
      <c r="Q13739" s="24"/>
      <c r="R13739"/>
      <c r="S13739"/>
      <c r="T13739"/>
      <c r="U13739"/>
      <c r="X13739" s="60"/>
    </row>
    <row r="13740" spans="7:24" ht="15" customHeight="1">
      <c r="G13740"/>
      <c r="I13740"/>
      <c r="N13740"/>
      <c r="O13740" s="24"/>
      <c r="P13740"/>
      <c r="Q13740" s="24"/>
      <c r="R13740"/>
      <c r="S13740"/>
      <c r="T13740"/>
      <c r="U13740"/>
      <c r="X13740" s="60"/>
    </row>
    <row r="13741" spans="7:24" ht="15" customHeight="1">
      <c r="G13741"/>
      <c r="I13741"/>
      <c r="N13741"/>
      <c r="O13741" s="24"/>
      <c r="P13741"/>
      <c r="Q13741" s="24"/>
      <c r="R13741"/>
      <c r="S13741"/>
      <c r="T13741"/>
      <c r="U13741"/>
      <c r="X13741" s="60"/>
    </row>
    <row r="13742" spans="7:24" ht="15" customHeight="1">
      <c r="G13742"/>
      <c r="I13742"/>
      <c r="N13742"/>
      <c r="O13742" s="24"/>
      <c r="P13742"/>
      <c r="Q13742" s="24"/>
      <c r="R13742"/>
      <c r="S13742"/>
      <c r="T13742"/>
      <c r="U13742"/>
      <c r="X13742" s="60"/>
    </row>
    <row r="13743" spans="7:24" ht="15" customHeight="1">
      <c r="G13743"/>
      <c r="I13743"/>
      <c r="N13743"/>
      <c r="O13743" s="24"/>
      <c r="P13743"/>
      <c r="Q13743" s="24"/>
      <c r="R13743"/>
      <c r="S13743"/>
      <c r="T13743"/>
      <c r="U13743"/>
      <c r="X13743" s="60"/>
    </row>
    <row r="13744" spans="7:24" ht="15" customHeight="1">
      <c r="G13744"/>
      <c r="I13744"/>
      <c r="N13744"/>
      <c r="O13744" s="24"/>
      <c r="P13744"/>
      <c r="Q13744" s="24"/>
      <c r="R13744"/>
      <c r="S13744"/>
      <c r="T13744"/>
      <c r="U13744"/>
      <c r="X13744" s="60"/>
    </row>
    <row r="13745" spans="7:24" ht="15" customHeight="1">
      <c r="G13745"/>
      <c r="I13745"/>
      <c r="N13745"/>
      <c r="O13745" s="24"/>
      <c r="P13745"/>
      <c r="Q13745" s="24"/>
      <c r="R13745"/>
      <c r="S13745"/>
      <c r="T13745"/>
      <c r="U13745"/>
      <c r="X13745" s="60"/>
    </row>
    <row r="13746" spans="7:24" ht="15" customHeight="1">
      <c r="G13746"/>
      <c r="I13746"/>
      <c r="N13746"/>
      <c r="O13746" s="24"/>
      <c r="P13746"/>
      <c r="Q13746" s="24"/>
      <c r="R13746"/>
      <c r="S13746"/>
      <c r="T13746"/>
      <c r="U13746"/>
      <c r="X13746" s="60"/>
    </row>
    <row r="13747" spans="7:24" ht="15" customHeight="1">
      <c r="G13747"/>
      <c r="I13747"/>
      <c r="N13747"/>
      <c r="O13747" s="24"/>
      <c r="P13747"/>
      <c r="Q13747" s="24"/>
      <c r="R13747"/>
      <c r="S13747"/>
      <c r="T13747"/>
      <c r="U13747"/>
      <c r="X13747" s="60"/>
    </row>
    <row r="13748" spans="7:24" ht="15" customHeight="1">
      <c r="G13748"/>
      <c r="I13748"/>
      <c r="N13748"/>
      <c r="O13748" s="24"/>
      <c r="P13748"/>
      <c r="Q13748" s="24"/>
      <c r="R13748"/>
      <c r="S13748"/>
      <c r="T13748"/>
      <c r="U13748"/>
      <c r="X13748" s="60"/>
    </row>
    <row r="13749" spans="7:24" ht="15" customHeight="1">
      <c r="G13749"/>
      <c r="I13749"/>
      <c r="N13749"/>
      <c r="O13749" s="24"/>
      <c r="P13749"/>
      <c r="Q13749" s="24"/>
      <c r="R13749"/>
      <c r="S13749"/>
      <c r="T13749"/>
      <c r="U13749"/>
      <c r="X13749" s="60"/>
    </row>
    <row r="13750" spans="7:24" ht="15" customHeight="1">
      <c r="G13750"/>
      <c r="I13750"/>
      <c r="N13750"/>
      <c r="O13750" s="24"/>
      <c r="P13750"/>
      <c r="Q13750" s="24"/>
      <c r="R13750"/>
      <c r="S13750"/>
      <c r="T13750"/>
      <c r="U13750"/>
      <c r="X13750" s="60"/>
    </row>
    <row r="13751" spans="7:24" ht="15" customHeight="1">
      <c r="G13751"/>
      <c r="I13751"/>
      <c r="N13751"/>
      <c r="O13751" s="24"/>
      <c r="P13751"/>
      <c r="Q13751" s="24"/>
      <c r="R13751"/>
      <c r="S13751"/>
      <c r="T13751"/>
      <c r="U13751"/>
      <c r="X13751" s="60"/>
    </row>
    <row r="13752" spans="7:24" ht="15" customHeight="1">
      <c r="G13752"/>
      <c r="I13752"/>
      <c r="N13752"/>
      <c r="O13752" s="24"/>
      <c r="P13752"/>
      <c r="Q13752" s="24"/>
      <c r="R13752"/>
      <c r="S13752"/>
      <c r="T13752"/>
      <c r="U13752"/>
      <c r="X13752" s="60"/>
    </row>
    <row r="13753" spans="7:24" ht="15" customHeight="1">
      <c r="G13753"/>
      <c r="I13753"/>
      <c r="N13753"/>
      <c r="O13753" s="24"/>
      <c r="P13753"/>
      <c r="Q13753" s="24"/>
      <c r="R13753"/>
      <c r="S13753"/>
      <c r="T13753"/>
      <c r="U13753"/>
      <c r="X13753" s="60"/>
    </row>
    <row r="13754" spans="7:24" ht="15" customHeight="1">
      <c r="G13754"/>
      <c r="I13754"/>
      <c r="N13754"/>
      <c r="O13754" s="24"/>
      <c r="P13754"/>
      <c r="Q13754" s="24"/>
      <c r="R13754"/>
      <c r="S13754"/>
      <c r="T13754"/>
      <c r="U13754"/>
      <c r="X13754" s="60"/>
    </row>
    <row r="13755" spans="7:24" ht="15" customHeight="1">
      <c r="G13755"/>
      <c r="I13755"/>
      <c r="N13755"/>
      <c r="O13755" s="24"/>
      <c r="P13755"/>
      <c r="Q13755" s="24"/>
      <c r="R13755"/>
      <c r="S13755"/>
      <c r="T13755"/>
      <c r="U13755"/>
      <c r="X13755" s="60"/>
    </row>
    <row r="13756" spans="7:24" ht="15" customHeight="1">
      <c r="G13756"/>
      <c r="I13756"/>
      <c r="N13756"/>
      <c r="O13756" s="24"/>
      <c r="P13756"/>
      <c r="Q13756" s="24"/>
      <c r="R13756"/>
      <c r="S13756"/>
      <c r="T13756"/>
      <c r="U13756"/>
      <c r="X13756" s="60"/>
    </row>
    <row r="13757" spans="7:24" ht="15" customHeight="1">
      <c r="G13757"/>
      <c r="I13757"/>
      <c r="N13757"/>
      <c r="O13757" s="24"/>
      <c r="P13757"/>
      <c r="Q13757" s="24"/>
      <c r="R13757"/>
      <c r="S13757"/>
      <c r="T13757"/>
      <c r="U13757"/>
      <c r="X13757" s="60"/>
    </row>
    <row r="13758" spans="7:24" ht="15" customHeight="1">
      <c r="G13758"/>
      <c r="I13758"/>
      <c r="N13758"/>
      <c r="O13758" s="24"/>
      <c r="P13758"/>
      <c r="Q13758" s="24"/>
      <c r="R13758"/>
      <c r="S13758"/>
      <c r="T13758"/>
      <c r="U13758"/>
      <c r="X13758" s="60"/>
    </row>
    <row r="13759" spans="7:24" ht="15" customHeight="1">
      <c r="G13759"/>
      <c r="I13759"/>
      <c r="N13759"/>
      <c r="O13759" s="24"/>
      <c r="P13759"/>
      <c r="Q13759" s="24"/>
      <c r="R13759"/>
      <c r="S13759"/>
      <c r="T13759"/>
      <c r="U13759"/>
      <c r="X13759" s="60"/>
    </row>
    <row r="13760" spans="7:24" ht="15" customHeight="1">
      <c r="G13760"/>
      <c r="I13760"/>
      <c r="N13760"/>
      <c r="O13760" s="24"/>
      <c r="P13760"/>
      <c r="Q13760" s="24"/>
      <c r="R13760"/>
      <c r="S13760"/>
      <c r="T13760"/>
      <c r="U13760"/>
      <c r="X13760" s="60"/>
    </row>
    <row r="13761" spans="7:24" ht="15" customHeight="1">
      <c r="G13761"/>
      <c r="I13761"/>
      <c r="N13761"/>
      <c r="O13761" s="24"/>
      <c r="P13761"/>
      <c r="Q13761" s="24"/>
      <c r="R13761"/>
      <c r="S13761"/>
      <c r="T13761"/>
      <c r="U13761"/>
      <c r="X13761" s="60"/>
    </row>
    <row r="13762" spans="7:24" ht="15" customHeight="1">
      <c r="G13762"/>
      <c r="I13762"/>
      <c r="N13762"/>
      <c r="O13762" s="24"/>
      <c r="P13762"/>
      <c r="Q13762" s="24"/>
      <c r="R13762"/>
      <c r="S13762"/>
      <c r="T13762"/>
      <c r="U13762"/>
      <c r="X13762" s="60"/>
    </row>
    <row r="13763" spans="7:24" ht="15" customHeight="1">
      <c r="G13763"/>
      <c r="I13763"/>
      <c r="N13763"/>
      <c r="O13763" s="24"/>
      <c r="P13763"/>
      <c r="Q13763" s="24"/>
      <c r="R13763"/>
      <c r="S13763"/>
      <c r="T13763"/>
      <c r="U13763"/>
      <c r="X13763" s="60"/>
    </row>
    <row r="13764" spans="7:24" ht="15" customHeight="1">
      <c r="G13764"/>
      <c r="I13764"/>
      <c r="N13764"/>
      <c r="O13764" s="24"/>
      <c r="P13764"/>
      <c r="Q13764" s="24"/>
      <c r="R13764"/>
      <c r="S13764"/>
      <c r="T13764"/>
      <c r="U13764"/>
      <c r="X13764" s="60"/>
    </row>
    <row r="13765" spans="7:24" ht="15" customHeight="1">
      <c r="G13765"/>
      <c r="I13765"/>
      <c r="N13765"/>
      <c r="O13765" s="24"/>
      <c r="P13765"/>
      <c r="Q13765" s="24"/>
      <c r="R13765"/>
      <c r="S13765"/>
      <c r="T13765"/>
      <c r="U13765"/>
      <c r="X13765" s="60"/>
    </row>
    <row r="13766" spans="7:24" ht="15" customHeight="1">
      <c r="G13766"/>
      <c r="I13766"/>
      <c r="N13766"/>
      <c r="O13766" s="24"/>
      <c r="P13766"/>
      <c r="Q13766" s="24"/>
      <c r="R13766"/>
      <c r="S13766"/>
      <c r="T13766"/>
      <c r="U13766"/>
      <c r="X13766" s="60"/>
    </row>
    <row r="13767" spans="7:24" ht="15" customHeight="1">
      <c r="G13767"/>
      <c r="I13767"/>
      <c r="N13767"/>
      <c r="O13767" s="24"/>
      <c r="P13767"/>
      <c r="Q13767" s="24"/>
      <c r="R13767"/>
      <c r="S13767"/>
      <c r="T13767"/>
      <c r="U13767"/>
      <c r="X13767" s="60"/>
    </row>
    <row r="13768" spans="7:24" ht="15" customHeight="1">
      <c r="G13768"/>
      <c r="I13768"/>
      <c r="N13768"/>
      <c r="O13768" s="24"/>
      <c r="P13768"/>
      <c r="Q13768" s="24"/>
      <c r="R13768"/>
      <c r="S13768"/>
      <c r="T13768"/>
      <c r="U13768"/>
      <c r="X13768" s="60"/>
    </row>
    <row r="13769" spans="7:24" ht="15" customHeight="1">
      <c r="G13769"/>
      <c r="I13769"/>
      <c r="N13769"/>
      <c r="O13769" s="24"/>
      <c r="P13769"/>
      <c r="Q13769" s="24"/>
      <c r="R13769"/>
      <c r="S13769"/>
      <c r="T13769"/>
      <c r="U13769"/>
      <c r="X13769" s="60"/>
    </row>
    <row r="13770" spans="7:24" ht="15" customHeight="1">
      <c r="G13770"/>
      <c r="I13770"/>
      <c r="N13770"/>
      <c r="O13770" s="24"/>
      <c r="P13770"/>
      <c r="Q13770" s="24"/>
      <c r="R13770"/>
      <c r="S13770"/>
      <c r="T13770"/>
      <c r="U13770"/>
      <c r="X13770" s="60"/>
    </row>
    <row r="13771" spans="7:24" ht="15" customHeight="1">
      <c r="G13771"/>
      <c r="I13771"/>
      <c r="N13771"/>
      <c r="O13771" s="24"/>
      <c r="P13771"/>
      <c r="Q13771" s="24"/>
      <c r="R13771"/>
      <c r="S13771"/>
      <c r="T13771"/>
      <c r="U13771"/>
      <c r="X13771" s="60"/>
    </row>
    <row r="13772" spans="7:24" ht="15" customHeight="1">
      <c r="G13772"/>
      <c r="I13772"/>
      <c r="N13772"/>
      <c r="O13772" s="24"/>
      <c r="P13772"/>
      <c r="Q13772" s="24"/>
      <c r="R13772"/>
      <c r="S13772"/>
      <c r="T13772"/>
      <c r="U13772"/>
      <c r="X13772" s="60"/>
    </row>
    <row r="13773" spans="7:24" ht="15" customHeight="1">
      <c r="G13773"/>
      <c r="I13773"/>
      <c r="N13773"/>
      <c r="O13773" s="24"/>
      <c r="P13773"/>
      <c r="Q13773" s="24"/>
      <c r="R13773"/>
      <c r="S13773"/>
      <c r="T13773"/>
      <c r="U13773"/>
      <c r="X13773" s="60"/>
    </row>
    <row r="13774" spans="7:24" ht="15" customHeight="1">
      <c r="G13774"/>
      <c r="I13774"/>
      <c r="N13774"/>
      <c r="O13774" s="24"/>
      <c r="P13774"/>
      <c r="Q13774" s="24"/>
      <c r="R13774"/>
      <c r="S13774"/>
      <c r="T13774"/>
      <c r="U13774"/>
      <c r="X13774" s="60"/>
    </row>
    <row r="13775" spans="7:24" ht="15" customHeight="1">
      <c r="G13775"/>
      <c r="I13775"/>
      <c r="N13775"/>
      <c r="O13775" s="24"/>
      <c r="P13775"/>
      <c r="Q13775" s="24"/>
      <c r="R13775"/>
      <c r="S13775"/>
      <c r="T13775"/>
      <c r="U13775"/>
      <c r="X13775" s="60"/>
    </row>
    <row r="13776" spans="7:24" ht="15" customHeight="1">
      <c r="G13776"/>
      <c r="I13776"/>
      <c r="N13776"/>
      <c r="O13776" s="24"/>
      <c r="P13776"/>
      <c r="Q13776" s="24"/>
      <c r="R13776"/>
      <c r="S13776"/>
      <c r="T13776"/>
      <c r="U13776"/>
      <c r="X13776" s="60"/>
    </row>
    <row r="13777" spans="7:24" ht="15" customHeight="1">
      <c r="G13777"/>
      <c r="I13777"/>
      <c r="N13777"/>
      <c r="O13777" s="24"/>
      <c r="P13777"/>
      <c r="Q13777" s="24"/>
      <c r="R13777"/>
      <c r="S13777"/>
      <c r="T13777"/>
      <c r="U13777"/>
      <c r="X13777" s="60"/>
    </row>
    <row r="13778" spans="7:24" ht="15" customHeight="1">
      <c r="G13778"/>
      <c r="I13778"/>
      <c r="N13778"/>
      <c r="O13778" s="24"/>
      <c r="P13778"/>
      <c r="Q13778" s="24"/>
      <c r="R13778"/>
      <c r="S13778"/>
      <c r="T13778"/>
      <c r="U13778"/>
      <c r="X13778" s="60"/>
    </row>
    <row r="13779" spans="7:24" ht="15" customHeight="1">
      <c r="G13779"/>
      <c r="I13779"/>
      <c r="N13779"/>
      <c r="O13779" s="24"/>
      <c r="P13779"/>
      <c r="Q13779" s="24"/>
      <c r="R13779"/>
      <c r="S13779"/>
      <c r="T13779"/>
      <c r="U13779"/>
      <c r="X13779" s="60"/>
    </row>
    <row r="13780" spans="7:24" ht="15" customHeight="1">
      <c r="G13780"/>
      <c r="I13780"/>
      <c r="N13780"/>
      <c r="O13780" s="24"/>
      <c r="P13780"/>
      <c r="Q13780" s="24"/>
      <c r="R13780"/>
      <c r="S13780"/>
      <c r="T13780"/>
      <c r="U13780"/>
      <c r="X13780" s="60"/>
    </row>
    <row r="13781" spans="7:24" ht="15" customHeight="1">
      <c r="G13781"/>
      <c r="I13781"/>
      <c r="N13781"/>
      <c r="O13781" s="24"/>
      <c r="P13781"/>
      <c r="Q13781" s="24"/>
      <c r="R13781"/>
      <c r="S13781"/>
      <c r="T13781"/>
      <c r="U13781"/>
      <c r="X13781" s="60"/>
    </row>
    <row r="13782" spans="7:24" ht="15" customHeight="1">
      <c r="G13782"/>
      <c r="I13782"/>
      <c r="N13782"/>
      <c r="O13782" s="24"/>
      <c r="P13782"/>
      <c r="Q13782" s="24"/>
      <c r="R13782"/>
      <c r="S13782"/>
      <c r="T13782"/>
      <c r="U13782"/>
      <c r="X13782" s="60"/>
    </row>
    <row r="13783" spans="7:24" ht="15" customHeight="1">
      <c r="G13783"/>
      <c r="I13783"/>
      <c r="N13783"/>
      <c r="O13783" s="24"/>
      <c r="P13783"/>
      <c r="Q13783" s="24"/>
      <c r="R13783"/>
      <c r="S13783"/>
      <c r="T13783"/>
      <c r="U13783"/>
      <c r="X13783" s="60"/>
    </row>
    <row r="13784" spans="7:24" ht="15" customHeight="1">
      <c r="G13784"/>
      <c r="I13784"/>
      <c r="N13784"/>
      <c r="O13784" s="24"/>
      <c r="P13784"/>
      <c r="Q13784" s="24"/>
      <c r="R13784"/>
      <c r="S13784"/>
      <c r="T13784"/>
      <c r="U13784"/>
      <c r="X13784" s="60"/>
    </row>
    <row r="13785" spans="7:24" ht="15" customHeight="1">
      <c r="G13785"/>
      <c r="I13785"/>
      <c r="N13785"/>
      <c r="O13785" s="24"/>
      <c r="P13785"/>
      <c r="Q13785" s="24"/>
      <c r="R13785"/>
      <c r="S13785"/>
      <c r="T13785"/>
      <c r="U13785"/>
      <c r="X13785" s="60"/>
    </row>
    <row r="13786" spans="7:24" ht="15" customHeight="1">
      <c r="G13786"/>
      <c r="I13786"/>
      <c r="N13786"/>
      <c r="O13786" s="24"/>
      <c r="P13786"/>
      <c r="Q13786" s="24"/>
      <c r="R13786"/>
      <c r="S13786"/>
      <c r="T13786"/>
      <c r="U13786"/>
      <c r="X13786" s="60"/>
    </row>
    <row r="13787" spans="7:24" ht="15" customHeight="1">
      <c r="G13787"/>
      <c r="I13787"/>
      <c r="N13787"/>
      <c r="O13787" s="24"/>
      <c r="P13787"/>
      <c r="Q13787" s="24"/>
      <c r="R13787"/>
      <c r="S13787"/>
      <c r="T13787"/>
      <c r="U13787"/>
      <c r="X13787" s="60"/>
    </row>
    <row r="13788" spans="7:24" ht="15" customHeight="1">
      <c r="G13788"/>
      <c r="I13788"/>
      <c r="N13788"/>
      <c r="O13788" s="24"/>
      <c r="P13788"/>
      <c r="Q13788" s="24"/>
      <c r="R13788"/>
      <c r="S13788"/>
      <c r="T13788"/>
      <c r="U13788"/>
      <c r="X13788" s="60"/>
    </row>
    <row r="13789" spans="7:24" ht="15" customHeight="1">
      <c r="G13789"/>
      <c r="I13789"/>
      <c r="N13789"/>
      <c r="O13789" s="24"/>
      <c r="P13789"/>
      <c r="Q13789" s="24"/>
      <c r="R13789"/>
      <c r="S13789"/>
      <c r="T13789"/>
      <c r="U13789"/>
      <c r="X13789" s="60"/>
    </row>
    <row r="13790" spans="7:24" ht="15" customHeight="1">
      <c r="G13790"/>
      <c r="I13790"/>
      <c r="N13790"/>
      <c r="O13790" s="24"/>
      <c r="P13790"/>
      <c r="Q13790" s="24"/>
      <c r="R13790"/>
      <c r="S13790"/>
      <c r="T13790"/>
      <c r="U13790"/>
      <c r="X13790" s="60"/>
    </row>
    <row r="13791" spans="7:24" ht="15" customHeight="1">
      <c r="G13791"/>
      <c r="I13791"/>
      <c r="N13791"/>
      <c r="O13791" s="24"/>
      <c r="P13791"/>
      <c r="Q13791" s="24"/>
      <c r="R13791"/>
      <c r="S13791"/>
      <c r="T13791"/>
      <c r="U13791"/>
      <c r="X13791" s="60"/>
    </row>
    <row r="13792" spans="7:24" ht="15" customHeight="1">
      <c r="G13792"/>
      <c r="I13792"/>
      <c r="N13792"/>
      <c r="O13792" s="24"/>
      <c r="P13792"/>
      <c r="Q13792" s="24"/>
      <c r="R13792"/>
      <c r="S13792"/>
      <c r="T13792"/>
      <c r="U13792"/>
      <c r="X13792" s="60"/>
    </row>
    <row r="13793" spans="7:24" ht="15" customHeight="1">
      <c r="G13793"/>
      <c r="I13793"/>
      <c r="N13793"/>
      <c r="O13793" s="24"/>
      <c r="P13793"/>
      <c r="Q13793" s="24"/>
      <c r="R13793"/>
      <c r="S13793"/>
      <c r="T13793"/>
      <c r="U13793"/>
      <c r="X13793" s="60"/>
    </row>
    <row r="13794" spans="7:24" ht="15" customHeight="1">
      <c r="G13794"/>
      <c r="I13794"/>
      <c r="N13794"/>
      <c r="O13794" s="24"/>
      <c r="P13794"/>
      <c r="Q13794" s="24"/>
      <c r="R13794"/>
      <c r="S13794"/>
      <c r="T13794"/>
      <c r="U13794"/>
      <c r="X13794" s="60"/>
    </row>
    <row r="13795" spans="7:24" ht="15" customHeight="1">
      <c r="G13795"/>
      <c r="I13795"/>
      <c r="N13795"/>
      <c r="O13795" s="24"/>
      <c r="P13795"/>
      <c r="Q13795" s="24"/>
      <c r="R13795"/>
      <c r="S13795"/>
      <c r="T13795"/>
      <c r="U13795"/>
      <c r="X13795" s="60"/>
    </row>
    <row r="13796" spans="7:24" ht="15" customHeight="1">
      <c r="G13796"/>
      <c r="I13796"/>
      <c r="N13796"/>
      <c r="O13796" s="24"/>
      <c r="P13796"/>
      <c r="Q13796" s="24"/>
      <c r="R13796"/>
      <c r="S13796"/>
      <c r="T13796"/>
      <c r="U13796"/>
      <c r="X13796" s="60"/>
    </row>
    <row r="13797" spans="7:24" ht="15" customHeight="1">
      <c r="G13797"/>
      <c r="I13797"/>
      <c r="N13797"/>
      <c r="O13797" s="24"/>
      <c r="P13797"/>
      <c r="Q13797" s="24"/>
      <c r="R13797"/>
      <c r="S13797"/>
      <c r="T13797"/>
      <c r="U13797"/>
      <c r="X13797" s="60"/>
    </row>
    <row r="13798" spans="7:24" ht="15" customHeight="1">
      <c r="G13798"/>
      <c r="I13798"/>
      <c r="N13798"/>
      <c r="O13798" s="24"/>
      <c r="P13798"/>
      <c r="Q13798" s="24"/>
      <c r="R13798"/>
      <c r="S13798"/>
      <c r="T13798"/>
      <c r="U13798"/>
      <c r="X13798" s="60"/>
    </row>
    <row r="13799" spans="7:24" ht="15" customHeight="1">
      <c r="G13799"/>
      <c r="I13799"/>
      <c r="N13799"/>
      <c r="O13799" s="24"/>
      <c r="P13799"/>
      <c r="Q13799" s="24"/>
      <c r="R13799"/>
      <c r="S13799"/>
      <c r="T13799"/>
      <c r="U13799"/>
      <c r="X13799" s="60"/>
    </row>
    <row r="13800" spans="7:24" ht="15" customHeight="1">
      <c r="G13800"/>
      <c r="I13800"/>
      <c r="N13800"/>
      <c r="O13800" s="24"/>
      <c r="P13800"/>
      <c r="Q13800" s="24"/>
      <c r="R13800"/>
      <c r="S13800"/>
      <c r="T13800"/>
      <c r="U13800"/>
      <c r="X13800" s="60"/>
    </row>
    <row r="13801" spans="7:24" ht="15" customHeight="1">
      <c r="G13801"/>
      <c r="I13801"/>
      <c r="N13801"/>
      <c r="O13801" s="24"/>
      <c r="P13801"/>
      <c r="Q13801" s="24"/>
      <c r="R13801"/>
      <c r="S13801"/>
      <c r="T13801"/>
      <c r="U13801"/>
      <c r="X13801" s="60"/>
    </row>
    <row r="13802" spans="7:24" ht="15" customHeight="1">
      <c r="G13802"/>
      <c r="I13802"/>
      <c r="N13802"/>
      <c r="O13802" s="24"/>
      <c r="P13802"/>
      <c r="Q13802" s="24"/>
      <c r="R13802"/>
      <c r="S13802"/>
      <c r="T13802"/>
      <c r="U13802"/>
      <c r="X13802" s="60"/>
    </row>
    <row r="13803" spans="7:24" ht="15" customHeight="1">
      <c r="G13803"/>
      <c r="I13803"/>
      <c r="N13803"/>
      <c r="O13803" s="24"/>
      <c r="P13803"/>
      <c r="Q13803" s="24"/>
      <c r="R13803"/>
      <c r="S13803"/>
      <c r="T13803"/>
      <c r="U13803"/>
      <c r="X13803" s="60"/>
    </row>
    <row r="13804" spans="7:24" ht="15" customHeight="1">
      <c r="G13804"/>
      <c r="I13804"/>
      <c r="N13804"/>
      <c r="O13804" s="24"/>
      <c r="P13804"/>
      <c r="Q13804" s="24"/>
      <c r="R13804"/>
      <c r="S13804"/>
      <c r="T13804"/>
      <c r="U13804"/>
      <c r="X13804" s="60"/>
    </row>
    <row r="13805" spans="7:24" ht="15" customHeight="1">
      <c r="G13805"/>
      <c r="I13805"/>
      <c r="N13805"/>
      <c r="O13805" s="24"/>
      <c r="P13805"/>
      <c r="Q13805" s="24"/>
      <c r="R13805"/>
      <c r="S13805"/>
      <c r="T13805"/>
      <c r="U13805"/>
      <c r="X13805" s="60"/>
    </row>
    <row r="13806" spans="7:24" ht="15" customHeight="1">
      <c r="G13806"/>
      <c r="I13806"/>
      <c r="N13806"/>
      <c r="O13806" s="24"/>
      <c r="P13806"/>
      <c r="Q13806" s="24"/>
      <c r="R13806"/>
      <c r="S13806"/>
      <c r="T13806"/>
      <c r="U13806"/>
      <c r="X13806" s="60"/>
    </row>
    <row r="13807" spans="7:24" ht="15" customHeight="1">
      <c r="G13807"/>
      <c r="I13807"/>
      <c r="N13807"/>
      <c r="O13807" s="24"/>
      <c r="P13807"/>
      <c r="Q13807" s="24"/>
      <c r="R13807"/>
      <c r="S13807"/>
      <c r="T13807"/>
      <c r="U13807"/>
      <c r="X13807" s="60"/>
    </row>
    <row r="13808" spans="7:24" ht="15" customHeight="1">
      <c r="G13808"/>
      <c r="I13808"/>
      <c r="N13808"/>
      <c r="O13808" s="24"/>
      <c r="P13808"/>
      <c r="Q13808" s="24"/>
      <c r="R13808"/>
      <c r="S13808"/>
      <c r="T13808"/>
      <c r="U13808"/>
      <c r="X13808" s="60"/>
    </row>
    <row r="13809" spans="7:24" ht="15" customHeight="1">
      <c r="G13809"/>
      <c r="I13809"/>
      <c r="N13809"/>
      <c r="O13809" s="24"/>
      <c r="P13809"/>
      <c r="Q13809" s="24"/>
      <c r="R13809"/>
      <c r="S13809"/>
      <c r="T13809"/>
      <c r="U13809"/>
      <c r="X13809" s="60"/>
    </row>
    <row r="13810" spans="7:24" ht="15" customHeight="1">
      <c r="G13810"/>
      <c r="I13810"/>
      <c r="N13810"/>
      <c r="O13810" s="24"/>
      <c r="P13810"/>
      <c r="Q13810" s="24"/>
      <c r="R13810"/>
      <c r="S13810"/>
      <c r="T13810"/>
      <c r="U13810"/>
      <c r="X13810" s="60"/>
    </row>
    <row r="13811" spans="7:24" ht="15" customHeight="1">
      <c r="G13811"/>
      <c r="I13811"/>
      <c r="N13811"/>
      <c r="O13811" s="24"/>
      <c r="P13811"/>
      <c r="Q13811" s="24"/>
      <c r="R13811"/>
      <c r="S13811"/>
      <c r="T13811"/>
      <c r="U13811"/>
      <c r="X13811" s="60"/>
    </row>
    <row r="13812" spans="7:24" ht="15" customHeight="1">
      <c r="G13812"/>
      <c r="I13812"/>
      <c r="N13812"/>
      <c r="O13812" s="24"/>
      <c r="P13812"/>
      <c r="Q13812" s="24"/>
      <c r="R13812"/>
      <c r="S13812"/>
      <c r="T13812"/>
      <c r="U13812"/>
      <c r="X13812" s="60"/>
    </row>
    <row r="13813" spans="7:24" ht="15" customHeight="1">
      <c r="G13813"/>
      <c r="I13813"/>
      <c r="N13813"/>
      <c r="O13813" s="24"/>
      <c r="P13813"/>
      <c r="Q13813" s="24"/>
      <c r="R13813"/>
      <c r="S13813"/>
      <c r="T13813"/>
      <c r="U13813"/>
      <c r="X13813" s="60"/>
    </row>
    <row r="13814" spans="7:24" ht="15" customHeight="1">
      <c r="G13814"/>
      <c r="I13814"/>
      <c r="N13814"/>
      <c r="O13814" s="24"/>
      <c r="P13814"/>
      <c r="Q13814" s="24"/>
      <c r="R13814"/>
      <c r="S13814"/>
      <c r="T13814"/>
      <c r="U13814"/>
      <c r="X13814" s="60"/>
    </row>
    <row r="13815" spans="7:24" ht="15" customHeight="1">
      <c r="G13815"/>
      <c r="I13815"/>
      <c r="N13815"/>
      <c r="O13815" s="24"/>
      <c r="P13815"/>
      <c r="Q13815" s="24"/>
      <c r="R13815"/>
      <c r="S13815"/>
      <c r="T13815"/>
      <c r="U13815"/>
      <c r="X13815" s="60"/>
    </row>
    <row r="13816" spans="7:24" ht="15" customHeight="1">
      <c r="G13816"/>
      <c r="I13816"/>
      <c r="N13816"/>
      <c r="O13816" s="24"/>
      <c r="P13816"/>
      <c r="Q13816" s="24"/>
      <c r="R13816"/>
      <c r="S13816"/>
      <c r="T13816"/>
      <c r="U13816"/>
      <c r="X13816" s="60"/>
    </row>
    <row r="13817" spans="7:24" ht="15" customHeight="1">
      <c r="G13817"/>
      <c r="I13817"/>
      <c r="N13817"/>
      <c r="O13817" s="24"/>
      <c r="P13817"/>
      <c r="Q13817" s="24"/>
      <c r="R13817"/>
      <c r="S13817"/>
      <c r="T13817"/>
      <c r="U13817"/>
      <c r="X13817" s="60"/>
    </row>
    <row r="13818" spans="7:24" ht="15" customHeight="1">
      <c r="G13818"/>
      <c r="I13818"/>
      <c r="N13818"/>
      <c r="O13818" s="24"/>
      <c r="P13818"/>
      <c r="Q13818" s="24"/>
      <c r="R13818"/>
      <c r="S13818"/>
      <c r="T13818"/>
      <c r="U13818"/>
      <c r="X13818" s="60"/>
    </row>
    <row r="13819" spans="7:24" ht="15" customHeight="1">
      <c r="G13819"/>
      <c r="I13819"/>
      <c r="N13819"/>
      <c r="O13819" s="24"/>
      <c r="P13819"/>
      <c r="Q13819" s="24"/>
      <c r="R13819"/>
      <c r="S13819"/>
      <c r="T13819"/>
      <c r="U13819"/>
      <c r="X13819" s="60"/>
    </row>
    <row r="13820" spans="7:24" ht="15" customHeight="1">
      <c r="G13820"/>
      <c r="I13820"/>
      <c r="N13820"/>
      <c r="O13820" s="24"/>
      <c r="P13820"/>
      <c r="Q13820" s="24"/>
      <c r="R13820"/>
      <c r="S13820"/>
      <c r="T13820"/>
      <c r="U13820"/>
      <c r="X13820" s="60"/>
    </row>
    <row r="13821" spans="7:24" ht="15" customHeight="1">
      <c r="G13821"/>
      <c r="I13821"/>
      <c r="N13821"/>
      <c r="O13821" s="24"/>
      <c r="P13821"/>
      <c r="Q13821" s="24"/>
      <c r="R13821"/>
      <c r="S13821"/>
      <c r="T13821"/>
      <c r="U13821"/>
      <c r="X13821" s="60"/>
    </row>
    <row r="13822" spans="7:24" ht="15" customHeight="1">
      <c r="G13822"/>
      <c r="I13822"/>
      <c r="N13822"/>
      <c r="O13822" s="24"/>
      <c r="P13822"/>
      <c r="Q13822" s="24"/>
      <c r="R13822"/>
      <c r="S13822"/>
      <c r="T13822"/>
      <c r="U13822"/>
      <c r="X13822" s="60"/>
    </row>
    <row r="13823" spans="7:24" ht="15" customHeight="1">
      <c r="G13823"/>
      <c r="I13823"/>
      <c r="N13823"/>
      <c r="O13823" s="24"/>
      <c r="P13823"/>
      <c r="Q13823" s="24"/>
      <c r="R13823"/>
      <c r="S13823"/>
      <c r="T13823"/>
      <c r="U13823"/>
      <c r="X13823" s="60"/>
    </row>
    <row r="13824" spans="7:24" ht="15" customHeight="1">
      <c r="G13824"/>
      <c r="I13824"/>
      <c r="N13824"/>
      <c r="O13824" s="24"/>
      <c r="P13824"/>
      <c r="Q13824" s="24"/>
      <c r="R13824"/>
      <c r="S13824"/>
      <c r="T13824"/>
      <c r="U13824"/>
      <c r="X13824" s="60"/>
    </row>
    <row r="13825" spans="7:24" ht="15" customHeight="1">
      <c r="G13825"/>
      <c r="I13825"/>
      <c r="N13825"/>
      <c r="O13825" s="24"/>
      <c r="P13825"/>
      <c r="Q13825" s="24"/>
      <c r="R13825"/>
      <c r="S13825"/>
      <c r="T13825"/>
      <c r="U13825"/>
      <c r="X13825" s="60"/>
    </row>
    <row r="13826" spans="7:24" ht="15" customHeight="1">
      <c r="G13826"/>
      <c r="I13826"/>
      <c r="N13826"/>
      <c r="O13826" s="24"/>
      <c r="P13826"/>
      <c r="Q13826" s="24"/>
      <c r="R13826"/>
      <c r="S13826"/>
      <c r="T13826"/>
      <c r="U13826"/>
      <c r="X13826" s="60"/>
    </row>
    <row r="13827" spans="7:24" ht="15" customHeight="1">
      <c r="G13827"/>
      <c r="I13827"/>
      <c r="N13827"/>
      <c r="O13827" s="24"/>
      <c r="P13827"/>
      <c r="Q13827" s="24"/>
      <c r="R13827"/>
      <c r="S13827"/>
      <c r="T13827"/>
      <c r="U13827"/>
      <c r="X13827" s="60"/>
    </row>
    <row r="13828" spans="7:24" ht="15" customHeight="1">
      <c r="G13828"/>
      <c r="I13828"/>
      <c r="N13828"/>
      <c r="O13828" s="24"/>
      <c r="P13828"/>
      <c r="Q13828" s="24"/>
      <c r="R13828"/>
      <c r="S13828"/>
      <c r="T13828"/>
      <c r="U13828"/>
      <c r="X13828" s="60"/>
    </row>
    <row r="13829" spans="7:24" ht="15" customHeight="1">
      <c r="G13829"/>
      <c r="I13829"/>
      <c r="N13829"/>
      <c r="O13829" s="24"/>
      <c r="P13829"/>
      <c r="Q13829" s="24"/>
      <c r="R13829"/>
      <c r="S13829"/>
      <c r="T13829"/>
      <c r="U13829"/>
      <c r="X13829" s="60"/>
    </row>
    <row r="13830" spans="7:24" ht="15" customHeight="1">
      <c r="G13830"/>
      <c r="I13830"/>
      <c r="N13830"/>
      <c r="O13830" s="24"/>
      <c r="P13830"/>
      <c r="Q13830" s="24"/>
      <c r="R13830"/>
      <c r="S13830"/>
      <c r="T13830"/>
      <c r="U13830"/>
      <c r="X13830" s="60"/>
    </row>
    <row r="13831" spans="7:24" ht="15" customHeight="1">
      <c r="G13831"/>
      <c r="I13831"/>
      <c r="N13831"/>
      <c r="O13831" s="24"/>
      <c r="P13831"/>
      <c r="Q13831" s="24"/>
      <c r="R13831"/>
      <c r="S13831"/>
      <c r="T13831"/>
      <c r="U13831"/>
      <c r="X13831" s="60"/>
    </row>
    <row r="13832" spans="7:24" ht="15" customHeight="1">
      <c r="G13832"/>
      <c r="I13832"/>
      <c r="N13832"/>
      <c r="O13832" s="24"/>
      <c r="P13832"/>
      <c r="Q13832" s="24"/>
      <c r="R13832"/>
      <c r="S13832"/>
      <c r="T13832"/>
      <c r="U13832"/>
      <c r="X13832" s="60"/>
    </row>
    <row r="13833" spans="7:24" ht="15" customHeight="1">
      <c r="G13833"/>
      <c r="I13833"/>
      <c r="N13833"/>
      <c r="O13833" s="24"/>
      <c r="P13833"/>
      <c r="Q13833" s="24"/>
      <c r="R13833"/>
      <c r="S13833"/>
      <c r="T13833"/>
      <c r="U13833"/>
      <c r="X13833" s="60"/>
    </row>
    <row r="13834" spans="7:24" ht="15" customHeight="1">
      <c r="G13834"/>
      <c r="I13834"/>
      <c r="N13834"/>
      <c r="O13834" s="24"/>
      <c r="P13834"/>
      <c r="Q13834" s="24"/>
      <c r="R13834"/>
      <c r="S13834"/>
      <c r="T13834"/>
      <c r="U13834"/>
      <c r="X13834" s="60"/>
    </row>
    <row r="13835" spans="7:24" ht="15" customHeight="1">
      <c r="G13835"/>
      <c r="I13835"/>
      <c r="N13835"/>
      <c r="O13835" s="24"/>
      <c r="P13835"/>
      <c r="Q13835" s="24"/>
      <c r="R13835"/>
      <c r="S13835"/>
      <c r="T13835"/>
      <c r="U13835"/>
      <c r="X13835" s="60"/>
    </row>
    <row r="13836" spans="7:24" ht="15" customHeight="1">
      <c r="G13836"/>
      <c r="I13836"/>
      <c r="N13836"/>
      <c r="O13836" s="24"/>
      <c r="P13836"/>
      <c r="Q13836" s="24"/>
      <c r="R13836"/>
      <c r="S13836"/>
      <c r="T13836"/>
      <c r="U13836"/>
      <c r="X13836" s="60"/>
    </row>
    <row r="13837" spans="7:24" ht="15" customHeight="1">
      <c r="G13837"/>
      <c r="I13837"/>
      <c r="N13837"/>
      <c r="O13837" s="24"/>
      <c r="P13837"/>
      <c r="Q13837" s="24"/>
      <c r="R13837"/>
      <c r="S13837"/>
      <c r="T13837"/>
      <c r="U13837"/>
      <c r="X13837" s="60"/>
    </row>
    <row r="13838" spans="7:24" ht="15" customHeight="1">
      <c r="G13838"/>
      <c r="I13838"/>
      <c r="N13838"/>
      <c r="O13838" s="24"/>
      <c r="P13838"/>
      <c r="Q13838" s="24"/>
      <c r="R13838"/>
      <c r="S13838"/>
      <c r="T13838"/>
      <c r="U13838"/>
      <c r="X13838" s="60"/>
    </row>
    <row r="13839" spans="7:24" ht="15" customHeight="1">
      <c r="G13839"/>
      <c r="I13839"/>
      <c r="N13839"/>
      <c r="O13839" s="24"/>
      <c r="P13839"/>
      <c r="Q13839" s="24"/>
      <c r="R13839"/>
      <c r="S13839"/>
      <c r="T13839"/>
      <c r="U13839"/>
      <c r="X13839" s="60"/>
    </row>
    <row r="13840" spans="7:24" ht="15" customHeight="1">
      <c r="G13840"/>
      <c r="I13840"/>
      <c r="N13840"/>
      <c r="O13840" s="24"/>
      <c r="P13840"/>
      <c r="Q13840" s="24"/>
      <c r="R13840"/>
      <c r="S13840"/>
      <c r="T13840"/>
      <c r="U13840"/>
      <c r="X13840" s="60"/>
    </row>
    <row r="13841" spans="7:24" ht="15" customHeight="1">
      <c r="G13841"/>
      <c r="I13841"/>
      <c r="N13841"/>
      <c r="O13841" s="24"/>
      <c r="P13841"/>
      <c r="Q13841" s="24"/>
      <c r="R13841"/>
      <c r="S13841"/>
      <c r="T13841"/>
      <c r="U13841"/>
      <c r="X13841" s="60"/>
    </row>
    <row r="13842" spans="7:24" ht="15" customHeight="1">
      <c r="G13842"/>
      <c r="I13842"/>
      <c r="N13842"/>
      <c r="O13842" s="24"/>
      <c r="P13842"/>
      <c r="Q13842" s="24"/>
      <c r="R13842"/>
      <c r="S13842"/>
      <c r="T13842"/>
      <c r="U13842"/>
      <c r="X13842" s="60"/>
    </row>
    <row r="13843" spans="7:24" ht="15" customHeight="1">
      <c r="G13843"/>
      <c r="I13843"/>
      <c r="N13843"/>
      <c r="O13843" s="24"/>
      <c r="P13843"/>
      <c r="Q13843" s="24"/>
      <c r="R13843"/>
      <c r="S13843"/>
      <c r="T13843"/>
      <c r="U13843"/>
      <c r="X13843" s="60"/>
    </row>
    <row r="13844" spans="7:24" ht="15" customHeight="1">
      <c r="G13844"/>
      <c r="I13844"/>
      <c r="N13844"/>
      <c r="O13844" s="24"/>
      <c r="P13844"/>
      <c r="Q13844" s="24"/>
      <c r="R13844"/>
      <c r="S13844"/>
      <c r="T13844"/>
      <c r="U13844"/>
      <c r="X13844" s="60"/>
    </row>
    <row r="13845" spans="7:24" ht="15" customHeight="1">
      <c r="G13845"/>
      <c r="I13845"/>
      <c r="N13845"/>
      <c r="O13845" s="24"/>
      <c r="P13845"/>
      <c r="Q13845" s="24"/>
      <c r="R13845"/>
      <c r="S13845"/>
      <c r="T13845"/>
      <c r="U13845"/>
      <c r="X13845" s="60"/>
    </row>
    <row r="13846" spans="7:24" ht="15" customHeight="1">
      <c r="G13846"/>
      <c r="I13846"/>
      <c r="N13846"/>
      <c r="O13846" s="24"/>
      <c r="P13846"/>
      <c r="Q13846" s="24"/>
      <c r="R13846"/>
      <c r="S13846"/>
      <c r="T13846"/>
      <c r="U13846"/>
      <c r="X13846" s="60"/>
    </row>
    <row r="13847" spans="7:24" ht="15" customHeight="1">
      <c r="G13847"/>
      <c r="I13847"/>
      <c r="N13847"/>
      <c r="O13847" s="24"/>
      <c r="P13847"/>
      <c r="Q13847" s="24"/>
      <c r="R13847"/>
      <c r="S13847"/>
      <c r="T13847"/>
      <c r="U13847"/>
      <c r="X13847" s="60"/>
    </row>
    <row r="13848" spans="7:24" ht="15" customHeight="1">
      <c r="G13848"/>
      <c r="I13848"/>
      <c r="N13848"/>
      <c r="O13848" s="24"/>
      <c r="P13848"/>
      <c r="Q13848" s="24"/>
      <c r="R13848"/>
      <c r="S13848"/>
      <c r="T13848"/>
      <c r="U13848"/>
      <c r="X13848" s="60"/>
    </row>
    <row r="13849" spans="7:24" ht="15" customHeight="1">
      <c r="G13849"/>
      <c r="I13849"/>
      <c r="N13849"/>
      <c r="O13849" s="24"/>
      <c r="P13849"/>
      <c r="Q13849" s="24"/>
      <c r="R13849"/>
      <c r="S13849"/>
      <c r="T13849"/>
      <c r="U13849"/>
      <c r="X13849" s="60"/>
    </row>
    <row r="13850" spans="7:24" ht="15" customHeight="1">
      <c r="G13850"/>
      <c r="I13850"/>
      <c r="N13850"/>
      <c r="O13850" s="24"/>
      <c r="P13850"/>
      <c r="Q13850" s="24"/>
      <c r="R13850"/>
      <c r="S13850"/>
      <c r="T13850"/>
      <c r="U13850"/>
      <c r="X13850" s="60"/>
    </row>
    <row r="13851" spans="7:24" ht="15" customHeight="1">
      <c r="G13851"/>
      <c r="I13851"/>
      <c r="N13851"/>
      <c r="O13851" s="24"/>
      <c r="P13851"/>
      <c r="Q13851" s="24"/>
      <c r="R13851"/>
      <c r="S13851"/>
      <c r="T13851"/>
      <c r="U13851"/>
      <c r="X13851" s="60"/>
    </row>
    <row r="13852" spans="7:24" ht="15" customHeight="1">
      <c r="G13852"/>
      <c r="I13852"/>
      <c r="N13852"/>
      <c r="O13852" s="24"/>
      <c r="P13852"/>
      <c r="Q13852" s="24"/>
      <c r="R13852"/>
      <c r="S13852"/>
      <c r="T13852"/>
      <c r="U13852"/>
      <c r="X13852" s="60"/>
    </row>
    <row r="13853" spans="7:24" ht="15" customHeight="1">
      <c r="G13853"/>
      <c r="I13853"/>
      <c r="N13853"/>
      <c r="O13853" s="24"/>
      <c r="P13853"/>
      <c r="Q13853" s="24"/>
      <c r="R13853"/>
      <c r="S13853"/>
      <c r="T13853"/>
      <c r="U13853"/>
      <c r="X13853" s="60"/>
    </row>
    <row r="13854" spans="7:24" ht="15" customHeight="1">
      <c r="G13854"/>
      <c r="I13854"/>
      <c r="N13854"/>
      <c r="O13854" s="24"/>
      <c r="P13854"/>
      <c r="Q13854" s="24"/>
      <c r="R13854"/>
      <c r="S13854"/>
      <c r="T13854"/>
      <c r="U13854"/>
      <c r="X13854" s="60"/>
    </row>
    <row r="13855" spans="7:24" ht="15" customHeight="1">
      <c r="G13855"/>
      <c r="I13855"/>
      <c r="N13855"/>
      <c r="O13855" s="24"/>
      <c r="P13855"/>
      <c r="Q13855" s="24"/>
      <c r="R13855"/>
      <c r="S13855"/>
      <c r="T13855"/>
      <c r="U13855"/>
      <c r="X13855" s="60"/>
    </row>
    <row r="13856" spans="7:24" ht="15" customHeight="1">
      <c r="G13856"/>
      <c r="I13856"/>
      <c r="N13856"/>
      <c r="O13856" s="24"/>
      <c r="P13856"/>
      <c r="Q13856" s="24"/>
      <c r="R13856"/>
      <c r="S13856"/>
      <c r="T13856"/>
      <c r="U13856"/>
      <c r="X13856" s="60"/>
    </row>
    <row r="13857" spans="7:24" ht="15" customHeight="1">
      <c r="G13857"/>
      <c r="I13857"/>
      <c r="N13857"/>
      <c r="O13857" s="24"/>
      <c r="P13857"/>
      <c r="Q13857" s="24"/>
      <c r="R13857"/>
      <c r="S13857"/>
      <c r="T13857"/>
      <c r="U13857"/>
      <c r="X13857" s="60"/>
    </row>
    <row r="13858" spans="7:24" ht="15" customHeight="1">
      <c r="G13858"/>
      <c r="I13858"/>
      <c r="N13858"/>
      <c r="O13858" s="24"/>
      <c r="P13858"/>
      <c r="Q13858" s="24"/>
      <c r="R13858"/>
      <c r="S13858"/>
      <c r="T13858"/>
      <c r="U13858"/>
      <c r="X13858" s="60"/>
    </row>
    <row r="13859" spans="7:24" ht="15" customHeight="1">
      <c r="G13859"/>
      <c r="I13859"/>
      <c r="N13859"/>
      <c r="O13859" s="24"/>
      <c r="P13859"/>
      <c r="Q13859" s="24"/>
      <c r="R13859"/>
      <c r="S13859"/>
      <c r="T13859"/>
      <c r="U13859"/>
      <c r="X13859" s="60"/>
    </row>
    <row r="13860" spans="7:24" ht="15" customHeight="1">
      <c r="G13860"/>
      <c r="I13860"/>
      <c r="N13860"/>
      <c r="O13860" s="24"/>
      <c r="P13860"/>
      <c r="Q13860" s="24"/>
      <c r="R13860"/>
      <c r="S13860"/>
      <c r="T13860"/>
      <c r="U13860"/>
      <c r="X13860" s="60"/>
    </row>
    <row r="13861" spans="7:24" ht="15" customHeight="1">
      <c r="G13861"/>
      <c r="I13861"/>
      <c r="N13861"/>
      <c r="O13861" s="24"/>
      <c r="P13861"/>
      <c r="Q13861" s="24"/>
      <c r="R13861"/>
      <c r="S13861"/>
      <c r="T13861"/>
      <c r="U13861"/>
      <c r="X13861" s="60"/>
    </row>
    <row r="13862" spans="7:24" ht="15" customHeight="1">
      <c r="G13862"/>
      <c r="I13862"/>
      <c r="N13862"/>
      <c r="O13862" s="24"/>
      <c r="P13862"/>
      <c r="Q13862" s="24"/>
      <c r="R13862"/>
      <c r="S13862"/>
      <c r="T13862"/>
      <c r="U13862"/>
      <c r="X13862" s="60"/>
    </row>
    <row r="13863" spans="7:24" ht="15" customHeight="1">
      <c r="G13863"/>
      <c r="I13863"/>
      <c r="N13863"/>
      <c r="O13863" s="24"/>
      <c r="P13863"/>
      <c r="Q13863" s="24"/>
      <c r="R13863"/>
      <c r="S13863"/>
      <c r="T13863"/>
      <c r="U13863"/>
      <c r="X13863" s="60"/>
    </row>
    <row r="13864" spans="7:24" ht="15" customHeight="1">
      <c r="G13864"/>
      <c r="I13864"/>
      <c r="N13864"/>
      <c r="O13864" s="24"/>
      <c r="P13864"/>
      <c r="Q13864" s="24"/>
      <c r="R13864"/>
      <c r="S13864"/>
      <c r="T13864"/>
      <c r="U13864"/>
      <c r="X13864" s="60"/>
    </row>
    <row r="13865" spans="7:24" ht="15" customHeight="1">
      <c r="G13865"/>
      <c r="I13865"/>
      <c r="N13865"/>
      <c r="O13865" s="24"/>
      <c r="P13865"/>
      <c r="Q13865" s="24"/>
      <c r="R13865"/>
      <c r="S13865"/>
      <c r="T13865"/>
      <c r="U13865"/>
      <c r="X13865" s="60"/>
    </row>
    <row r="13866" spans="7:24" ht="15" customHeight="1">
      <c r="G13866"/>
      <c r="I13866"/>
      <c r="N13866"/>
      <c r="O13866" s="24"/>
      <c r="P13866"/>
      <c r="Q13866" s="24"/>
      <c r="R13866"/>
      <c r="S13866"/>
      <c r="T13866"/>
      <c r="U13866"/>
      <c r="X13866" s="60"/>
    </row>
    <row r="13867" spans="7:24" ht="15" customHeight="1">
      <c r="G13867"/>
      <c r="I13867"/>
      <c r="N13867"/>
      <c r="O13867" s="24"/>
      <c r="P13867"/>
      <c r="Q13867" s="24"/>
      <c r="R13867"/>
      <c r="S13867"/>
      <c r="T13867"/>
      <c r="U13867"/>
      <c r="X13867" s="60"/>
    </row>
    <row r="13868" spans="7:24" ht="15" customHeight="1">
      <c r="G13868"/>
      <c r="I13868"/>
      <c r="N13868"/>
      <c r="O13868" s="24"/>
      <c r="P13868"/>
      <c r="Q13868" s="24"/>
      <c r="R13868"/>
      <c r="S13868"/>
      <c r="T13868"/>
      <c r="U13868"/>
      <c r="X13868" s="60"/>
    </row>
    <row r="13869" spans="7:24" ht="15" customHeight="1">
      <c r="G13869"/>
      <c r="I13869"/>
      <c r="N13869"/>
      <c r="O13869" s="24"/>
      <c r="P13869"/>
      <c r="Q13869" s="24"/>
      <c r="R13869"/>
      <c r="S13869"/>
      <c r="T13869"/>
      <c r="U13869"/>
      <c r="X13869" s="60"/>
    </row>
    <row r="13870" spans="7:24" ht="15" customHeight="1">
      <c r="G13870"/>
      <c r="I13870"/>
      <c r="N13870"/>
      <c r="O13870" s="24"/>
      <c r="P13870"/>
      <c r="Q13870" s="24"/>
      <c r="R13870"/>
      <c r="S13870"/>
      <c r="T13870"/>
      <c r="U13870"/>
      <c r="X13870" s="60"/>
    </row>
    <row r="13871" spans="7:24" ht="15" customHeight="1">
      <c r="G13871"/>
      <c r="I13871"/>
      <c r="N13871"/>
      <c r="O13871" s="24"/>
      <c r="P13871"/>
      <c r="Q13871" s="24"/>
      <c r="R13871"/>
      <c r="S13871"/>
      <c r="T13871"/>
      <c r="U13871"/>
      <c r="X13871" s="60"/>
    </row>
    <row r="13872" spans="7:24" ht="15" customHeight="1">
      <c r="G13872"/>
      <c r="I13872"/>
      <c r="N13872"/>
      <c r="O13872" s="24"/>
      <c r="P13872"/>
      <c r="Q13872" s="24"/>
      <c r="R13872"/>
      <c r="S13872"/>
      <c r="T13872"/>
      <c r="U13872"/>
      <c r="X13872" s="60"/>
    </row>
    <row r="13873" spans="7:24" ht="15" customHeight="1">
      <c r="G13873"/>
      <c r="I13873"/>
      <c r="N13873"/>
      <c r="O13873" s="24"/>
      <c r="P13873"/>
      <c r="Q13873" s="24"/>
      <c r="R13873"/>
      <c r="S13873"/>
      <c r="T13873"/>
      <c r="U13873"/>
      <c r="X13873" s="60"/>
    </row>
    <row r="13874" spans="7:24" ht="15" customHeight="1">
      <c r="G13874"/>
      <c r="I13874"/>
      <c r="N13874"/>
      <c r="O13874" s="24"/>
      <c r="P13874"/>
      <c r="Q13874" s="24"/>
      <c r="R13874"/>
      <c r="S13874"/>
      <c r="T13874"/>
      <c r="U13874"/>
      <c r="X13874" s="60"/>
    </row>
    <row r="13875" spans="7:24" ht="15" customHeight="1">
      <c r="G13875"/>
      <c r="I13875"/>
      <c r="N13875"/>
      <c r="O13875" s="24"/>
      <c r="P13875"/>
      <c r="Q13875" s="24"/>
      <c r="R13875"/>
      <c r="S13875"/>
      <c r="T13875"/>
      <c r="U13875"/>
      <c r="X13875" s="60"/>
    </row>
    <row r="13876" spans="7:24" ht="15" customHeight="1">
      <c r="G13876"/>
      <c r="I13876"/>
      <c r="N13876"/>
      <c r="O13876" s="24"/>
      <c r="P13876"/>
      <c r="Q13876" s="24"/>
      <c r="R13876"/>
      <c r="S13876"/>
      <c r="T13876"/>
      <c r="U13876"/>
      <c r="X13876" s="60"/>
    </row>
    <row r="13877" spans="7:24" ht="15" customHeight="1">
      <c r="G13877"/>
      <c r="I13877"/>
      <c r="N13877"/>
      <c r="O13877" s="24"/>
      <c r="P13877"/>
      <c r="Q13877" s="24"/>
      <c r="R13877"/>
      <c r="S13877"/>
      <c r="T13877"/>
      <c r="U13877"/>
      <c r="X13877" s="60"/>
    </row>
    <row r="13878" spans="7:24" ht="15" customHeight="1">
      <c r="G13878"/>
      <c r="I13878"/>
      <c r="N13878"/>
      <c r="O13878" s="24"/>
      <c r="P13878"/>
      <c r="Q13878" s="24"/>
      <c r="R13878"/>
      <c r="S13878"/>
      <c r="T13878"/>
      <c r="U13878"/>
      <c r="X13878" s="60"/>
    </row>
    <row r="13879" spans="7:24" ht="15" customHeight="1">
      <c r="G13879"/>
      <c r="I13879"/>
      <c r="N13879"/>
      <c r="O13879" s="24"/>
      <c r="P13879"/>
      <c r="Q13879" s="24"/>
      <c r="R13879"/>
      <c r="S13879"/>
      <c r="T13879"/>
      <c r="U13879"/>
      <c r="X13879" s="60"/>
    </row>
    <row r="13880" spans="7:24" ht="15" customHeight="1">
      <c r="G13880"/>
      <c r="I13880"/>
      <c r="N13880"/>
      <c r="O13880" s="24"/>
      <c r="P13880"/>
      <c r="Q13880" s="24"/>
      <c r="R13880"/>
      <c r="S13880"/>
      <c r="T13880"/>
      <c r="U13880"/>
      <c r="X13880" s="60"/>
    </row>
    <row r="13881" spans="7:24" ht="15" customHeight="1">
      <c r="G13881"/>
      <c r="I13881"/>
      <c r="N13881"/>
      <c r="O13881" s="24"/>
      <c r="P13881"/>
      <c r="Q13881" s="24"/>
      <c r="R13881"/>
      <c r="S13881"/>
      <c r="T13881"/>
      <c r="U13881"/>
      <c r="X13881" s="60"/>
    </row>
    <row r="13882" spans="7:24" ht="15" customHeight="1">
      <c r="G13882"/>
      <c r="I13882"/>
      <c r="N13882"/>
      <c r="O13882" s="24"/>
      <c r="P13882"/>
      <c r="Q13882" s="24"/>
      <c r="R13882"/>
      <c r="S13882"/>
      <c r="T13882"/>
      <c r="U13882"/>
      <c r="X13882" s="60"/>
    </row>
    <row r="13883" spans="7:24" ht="15" customHeight="1">
      <c r="G13883"/>
      <c r="I13883"/>
      <c r="N13883"/>
      <c r="O13883" s="24"/>
      <c r="P13883"/>
      <c r="Q13883" s="24"/>
      <c r="R13883"/>
      <c r="S13883"/>
      <c r="T13883"/>
      <c r="U13883"/>
      <c r="X13883" s="60"/>
    </row>
    <row r="13884" spans="7:24" ht="15" customHeight="1">
      <c r="G13884"/>
      <c r="I13884"/>
      <c r="N13884"/>
      <c r="O13884" s="24"/>
      <c r="P13884"/>
      <c r="Q13884" s="24"/>
      <c r="R13884"/>
      <c r="S13884"/>
      <c r="T13884"/>
      <c r="U13884"/>
      <c r="X13884" s="60"/>
    </row>
    <row r="13885" spans="7:24" ht="15" customHeight="1">
      <c r="G13885"/>
      <c r="I13885"/>
      <c r="N13885"/>
      <c r="O13885" s="24"/>
      <c r="P13885"/>
      <c r="Q13885" s="24"/>
      <c r="R13885"/>
      <c r="S13885"/>
      <c r="T13885"/>
      <c r="U13885"/>
      <c r="X13885" s="60"/>
    </row>
    <row r="13886" spans="7:24" ht="15" customHeight="1">
      <c r="G13886"/>
      <c r="I13886"/>
      <c r="N13886"/>
      <c r="O13886" s="24"/>
      <c r="P13886"/>
      <c r="Q13886" s="24"/>
      <c r="R13886"/>
      <c r="S13886"/>
      <c r="T13886"/>
      <c r="U13886"/>
      <c r="X13886" s="60"/>
    </row>
    <row r="13887" spans="7:24" ht="15" customHeight="1">
      <c r="G13887"/>
      <c r="I13887"/>
      <c r="N13887"/>
      <c r="O13887" s="24"/>
      <c r="P13887"/>
      <c r="Q13887" s="24"/>
      <c r="R13887"/>
      <c r="S13887"/>
      <c r="T13887"/>
      <c r="U13887"/>
      <c r="X13887" s="60"/>
    </row>
    <row r="13888" spans="7:24" ht="15" customHeight="1">
      <c r="G13888"/>
      <c r="I13888"/>
      <c r="N13888"/>
      <c r="O13888" s="24"/>
      <c r="P13888"/>
      <c r="Q13888" s="24"/>
      <c r="R13888"/>
      <c r="S13888"/>
      <c r="T13888"/>
      <c r="U13888"/>
      <c r="X13888" s="60"/>
    </row>
    <row r="13889" spans="7:24" ht="15" customHeight="1">
      <c r="G13889"/>
      <c r="I13889"/>
      <c r="N13889"/>
      <c r="O13889" s="24"/>
      <c r="P13889"/>
      <c r="Q13889" s="24"/>
      <c r="R13889"/>
      <c r="S13889"/>
      <c r="T13889"/>
      <c r="U13889"/>
      <c r="X13889" s="60"/>
    </row>
    <row r="13890" spans="7:24" ht="15" customHeight="1">
      <c r="G13890"/>
      <c r="I13890"/>
      <c r="N13890"/>
      <c r="O13890" s="24"/>
      <c r="P13890"/>
      <c r="Q13890" s="24"/>
      <c r="R13890"/>
      <c r="S13890"/>
      <c r="T13890"/>
      <c r="U13890"/>
      <c r="X13890" s="60"/>
    </row>
    <row r="13891" spans="7:24" ht="15" customHeight="1">
      <c r="G13891"/>
      <c r="I13891"/>
      <c r="N13891"/>
      <c r="O13891" s="24"/>
      <c r="P13891"/>
      <c r="Q13891" s="24"/>
      <c r="R13891"/>
      <c r="S13891"/>
      <c r="T13891"/>
      <c r="U13891"/>
      <c r="X13891" s="60"/>
    </row>
    <row r="13892" spans="7:24" ht="15" customHeight="1">
      <c r="G13892"/>
      <c r="I13892"/>
      <c r="N13892"/>
      <c r="O13892" s="24"/>
      <c r="P13892"/>
      <c r="Q13892" s="24"/>
      <c r="R13892"/>
      <c r="S13892"/>
      <c r="T13892"/>
      <c r="U13892"/>
      <c r="X13892" s="60"/>
    </row>
    <row r="13893" spans="7:24" ht="15" customHeight="1">
      <c r="G13893"/>
      <c r="I13893"/>
      <c r="N13893"/>
      <c r="O13893" s="24"/>
      <c r="P13893"/>
      <c r="Q13893" s="24"/>
      <c r="R13893"/>
      <c r="S13893"/>
      <c r="T13893"/>
      <c r="U13893"/>
      <c r="X13893" s="60"/>
    </row>
    <row r="13894" spans="7:24" ht="15" customHeight="1">
      <c r="G13894"/>
      <c r="I13894"/>
      <c r="N13894"/>
      <c r="O13894" s="24"/>
      <c r="P13894"/>
      <c r="Q13894" s="24"/>
      <c r="R13894"/>
      <c r="S13894"/>
      <c r="T13894"/>
      <c r="U13894"/>
      <c r="X13894" s="60"/>
    </row>
    <row r="13895" spans="7:24" ht="15" customHeight="1">
      <c r="G13895"/>
      <c r="I13895"/>
      <c r="N13895"/>
      <c r="O13895" s="24"/>
      <c r="P13895"/>
      <c r="Q13895" s="24"/>
      <c r="R13895"/>
      <c r="S13895"/>
      <c r="T13895"/>
      <c r="U13895"/>
      <c r="X13895" s="60"/>
    </row>
    <row r="13896" spans="7:24" ht="15" customHeight="1">
      <c r="G13896"/>
      <c r="I13896"/>
      <c r="N13896"/>
      <c r="O13896" s="24"/>
      <c r="P13896"/>
      <c r="Q13896" s="24"/>
      <c r="R13896"/>
      <c r="S13896"/>
      <c r="T13896"/>
      <c r="U13896"/>
      <c r="X13896" s="60"/>
    </row>
    <row r="13897" spans="7:24" ht="15" customHeight="1">
      <c r="G13897"/>
      <c r="I13897"/>
      <c r="N13897"/>
      <c r="O13897" s="24"/>
      <c r="P13897"/>
      <c r="Q13897" s="24"/>
      <c r="R13897"/>
      <c r="S13897"/>
      <c r="T13897"/>
      <c r="U13897"/>
      <c r="X13897" s="60"/>
    </row>
    <row r="13898" spans="7:24" ht="15" customHeight="1">
      <c r="G13898"/>
      <c r="I13898"/>
      <c r="N13898"/>
      <c r="O13898" s="24"/>
      <c r="P13898"/>
      <c r="Q13898" s="24"/>
      <c r="R13898"/>
      <c r="S13898"/>
      <c r="T13898"/>
      <c r="U13898"/>
      <c r="X13898" s="60"/>
    </row>
    <row r="13899" spans="7:24" ht="15" customHeight="1">
      <c r="G13899"/>
      <c r="I13899"/>
      <c r="N13899"/>
      <c r="O13899" s="24"/>
      <c r="P13899"/>
      <c r="Q13899" s="24"/>
      <c r="R13899"/>
      <c r="S13899"/>
      <c r="T13899"/>
      <c r="U13899"/>
      <c r="X13899" s="60"/>
    </row>
    <row r="13900" spans="7:24" ht="15" customHeight="1">
      <c r="G13900"/>
      <c r="I13900"/>
      <c r="N13900"/>
      <c r="O13900" s="24"/>
      <c r="P13900"/>
      <c r="Q13900" s="24"/>
      <c r="R13900"/>
      <c r="S13900"/>
      <c r="T13900"/>
      <c r="U13900"/>
      <c r="X13900" s="60"/>
    </row>
    <row r="13901" spans="7:24" ht="15" customHeight="1">
      <c r="G13901"/>
      <c r="I13901"/>
      <c r="N13901"/>
      <c r="O13901" s="24"/>
      <c r="P13901"/>
      <c r="Q13901" s="24"/>
      <c r="R13901"/>
      <c r="S13901"/>
      <c r="T13901"/>
      <c r="U13901"/>
      <c r="X13901" s="60"/>
    </row>
    <row r="13902" spans="7:24" ht="15" customHeight="1">
      <c r="G13902"/>
      <c r="I13902"/>
      <c r="N13902"/>
      <c r="O13902" s="24"/>
      <c r="P13902"/>
      <c r="Q13902" s="24"/>
      <c r="R13902"/>
      <c r="S13902"/>
      <c r="T13902"/>
      <c r="U13902"/>
      <c r="X13902" s="60"/>
    </row>
    <row r="13903" spans="7:24" ht="15" customHeight="1">
      <c r="G13903"/>
      <c r="I13903"/>
      <c r="N13903"/>
      <c r="O13903" s="24"/>
      <c r="P13903"/>
      <c r="Q13903" s="24"/>
      <c r="R13903"/>
      <c r="S13903"/>
      <c r="T13903"/>
      <c r="U13903"/>
      <c r="X13903" s="60"/>
    </row>
    <row r="13904" spans="7:24" ht="15" customHeight="1">
      <c r="G13904"/>
      <c r="I13904"/>
      <c r="N13904"/>
      <c r="O13904" s="24"/>
      <c r="P13904"/>
      <c r="Q13904" s="24"/>
      <c r="R13904"/>
      <c r="S13904"/>
      <c r="T13904"/>
      <c r="U13904"/>
      <c r="X13904" s="60"/>
    </row>
    <row r="13905" spans="7:24" ht="15" customHeight="1">
      <c r="G13905"/>
      <c r="I13905"/>
      <c r="N13905"/>
      <c r="O13905" s="24"/>
      <c r="P13905"/>
      <c r="Q13905" s="24"/>
      <c r="R13905"/>
      <c r="S13905"/>
      <c r="T13905"/>
      <c r="U13905"/>
      <c r="X13905" s="60"/>
    </row>
    <row r="13906" spans="7:24" ht="15" customHeight="1">
      <c r="G13906"/>
      <c r="I13906"/>
      <c r="N13906"/>
      <c r="O13906" s="24"/>
      <c r="P13906"/>
      <c r="Q13906" s="24"/>
      <c r="R13906"/>
      <c r="S13906"/>
      <c r="T13906"/>
      <c r="U13906"/>
      <c r="X13906" s="60"/>
    </row>
    <row r="13907" spans="7:24" ht="15" customHeight="1">
      <c r="G13907"/>
      <c r="I13907"/>
      <c r="N13907"/>
      <c r="O13907" s="24"/>
      <c r="P13907"/>
      <c r="Q13907" s="24"/>
      <c r="R13907"/>
      <c r="S13907"/>
      <c r="T13907"/>
      <c r="U13907"/>
      <c r="X13907" s="60"/>
    </row>
    <row r="13908" spans="7:24" ht="15" customHeight="1">
      <c r="G13908"/>
      <c r="I13908"/>
      <c r="N13908"/>
      <c r="O13908" s="24"/>
      <c r="P13908"/>
      <c r="Q13908" s="24"/>
      <c r="R13908"/>
      <c r="S13908"/>
      <c r="T13908"/>
      <c r="U13908"/>
      <c r="X13908" s="60"/>
    </row>
    <row r="13909" spans="7:24" ht="15" customHeight="1">
      <c r="G13909"/>
      <c r="I13909"/>
      <c r="N13909"/>
      <c r="O13909" s="24"/>
      <c r="P13909"/>
      <c r="Q13909" s="24"/>
      <c r="R13909"/>
      <c r="S13909"/>
      <c r="T13909"/>
      <c r="U13909"/>
      <c r="X13909" s="60"/>
    </row>
    <row r="13910" spans="7:24" ht="15" customHeight="1">
      <c r="G13910"/>
      <c r="I13910"/>
      <c r="N13910"/>
      <c r="O13910" s="24"/>
      <c r="P13910"/>
      <c r="Q13910" s="24"/>
      <c r="R13910"/>
      <c r="S13910"/>
      <c r="T13910"/>
      <c r="U13910"/>
      <c r="X13910" s="60"/>
    </row>
    <row r="13911" spans="7:24" ht="15" customHeight="1">
      <c r="G13911"/>
      <c r="I13911"/>
      <c r="N13911"/>
      <c r="O13911" s="24"/>
      <c r="P13911"/>
      <c r="Q13911" s="24"/>
      <c r="R13911"/>
      <c r="S13911"/>
      <c r="T13911"/>
      <c r="U13911"/>
      <c r="X13911" s="60"/>
    </row>
    <row r="13912" spans="7:24" ht="15" customHeight="1">
      <c r="G13912"/>
      <c r="I13912"/>
      <c r="N13912"/>
      <c r="O13912" s="24"/>
      <c r="P13912"/>
      <c r="Q13912" s="24"/>
      <c r="R13912"/>
      <c r="S13912"/>
      <c r="T13912"/>
      <c r="U13912"/>
      <c r="X13912" s="60"/>
    </row>
    <row r="13913" spans="7:24" ht="15" customHeight="1">
      <c r="G13913"/>
      <c r="I13913"/>
      <c r="N13913"/>
      <c r="O13913" s="24"/>
      <c r="P13913"/>
      <c r="Q13913" s="24"/>
      <c r="R13913"/>
      <c r="S13913"/>
      <c r="T13913"/>
      <c r="U13913"/>
      <c r="X13913" s="60"/>
    </row>
    <row r="13914" spans="7:24" ht="15" customHeight="1">
      <c r="G13914"/>
      <c r="I13914"/>
      <c r="N13914"/>
      <c r="O13914" s="24"/>
      <c r="P13914"/>
      <c r="Q13914" s="24"/>
      <c r="R13914"/>
      <c r="S13914"/>
      <c r="T13914"/>
      <c r="U13914"/>
      <c r="X13914" s="60"/>
    </row>
    <row r="13915" spans="7:24" ht="15" customHeight="1">
      <c r="G13915"/>
      <c r="I13915"/>
      <c r="N13915"/>
      <c r="O13915" s="24"/>
      <c r="P13915"/>
      <c r="Q13915" s="24"/>
      <c r="R13915"/>
      <c r="S13915"/>
      <c r="T13915"/>
      <c r="U13915"/>
      <c r="X13915" s="60"/>
    </row>
    <row r="13916" spans="7:24" ht="15" customHeight="1">
      <c r="G13916"/>
      <c r="I13916"/>
      <c r="N13916"/>
      <c r="O13916" s="24"/>
      <c r="P13916"/>
      <c r="Q13916" s="24"/>
      <c r="R13916"/>
      <c r="S13916"/>
      <c r="T13916"/>
      <c r="U13916"/>
      <c r="X13916" s="60"/>
    </row>
    <row r="13917" spans="7:24" ht="15" customHeight="1">
      <c r="G13917"/>
      <c r="I13917"/>
      <c r="N13917"/>
      <c r="O13917" s="24"/>
      <c r="P13917"/>
      <c r="Q13917" s="24"/>
      <c r="R13917"/>
      <c r="S13917"/>
      <c r="T13917"/>
      <c r="U13917"/>
      <c r="X13917" s="60"/>
    </row>
    <row r="13918" spans="7:24" ht="15" customHeight="1">
      <c r="G13918"/>
      <c r="I13918"/>
      <c r="N13918"/>
      <c r="O13918" s="24"/>
      <c r="P13918"/>
      <c r="Q13918" s="24"/>
      <c r="R13918"/>
      <c r="S13918"/>
      <c r="T13918"/>
      <c r="U13918"/>
      <c r="X13918" s="60"/>
    </row>
    <row r="13919" spans="7:24" ht="15" customHeight="1">
      <c r="G13919"/>
      <c r="I13919"/>
      <c r="N13919"/>
      <c r="O13919" s="24"/>
      <c r="P13919"/>
      <c r="Q13919" s="24"/>
      <c r="R13919"/>
      <c r="S13919"/>
      <c r="T13919"/>
      <c r="U13919"/>
      <c r="X13919" s="60"/>
    </row>
    <row r="13920" spans="7:24" ht="15" customHeight="1">
      <c r="G13920"/>
      <c r="I13920"/>
      <c r="N13920"/>
      <c r="O13920" s="24"/>
      <c r="P13920"/>
      <c r="Q13920" s="24"/>
      <c r="R13920"/>
      <c r="S13920"/>
      <c r="T13920"/>
      <c r="U13920"/>
      <c r="X13920" s="60"/>
    </row>
    <row r="13921" spans="7:24" ht="15" customHeight="1">
      <c r="G13921"/>
      <c r="I13921"/>
      <c r="N13921"/>
      <c r="O13921" s="24"/>
      <c r="P13921"/>
      <c r="Q13921" s="24"/>
      <c r="R13921"/>
      <c r="S13921"/>
      <c r="T13921"/>
      <c r="U13921"/>
      <c r="X13921" s="60"/>
    </row>
    <row r="13922" spans="7:24" ht="15" customHeight="1">
      <c r="G13922"/>
      <c r="I13922"/>
      <c r="N13922"/>
      <c r="O13922" s="24"/>
      <c r="P13922"/>
      <c r="Q13922" s="24"/>
      <c r="R13922"/>
      <c r="S13922"/>
      <c r="T13922"/>
      <c r="U13922"/>
      <c r="X13922" s="60"/>
    </row>
    <row r="13923" spans="7:24" ht="15" customHeight="1">
      <c r="G13923"/>
      <c r="I13923"/>
      <c r="N13923"/>
      <c r="O13923" s="24"/>
      <c r="P13923"/>
      <c r="Q13923" s="24"/>
      <c r="R13923"/>
      <c r="S13923"/>
      <c r="T13923"/>
      <c r="U13923"/>
      <c r="X13923" s="60"/>
    </row>
    <row r="13924" spans="7:24" ht="15" customHeight="1">
      <c r="G13924"/>
      <c r="I13924"/>
      <c r="N13924"/>
      <c r="O13924" s="24"/>
      <c r="P13924"/>
      <c r="Q13924" s="24"/>
      <c r="R13924"/>
      <c r="S13924"/>
      <c r="T13924"/>
      <c r="U13924"/>
      <c r="X13924" s="60"/>
    </row>
    <row r="13925" spans="7:24" ht="15" customHeight="1">
      <c r="G13925"/>
      <c r="I13925"/>
      <c r="N13925"/>
      <c r="O13925" s="24"/>
      <c r="P13925"/>
      <c r="Q13925" s="24"/>
      <c r="R13925"/>
      <c r="S13925"/>
      <c r="T13925"/>
      <c r="U13925"/>
      <c r="X13925" s="60"/>
    </row>
    <row r="13926" spans="7:24" ht="15" customHeight="1">
      <c r="G13926"/>
      <c r="I13926"/>
      <c r="N13926"/>
      <c r="O13926" s="24"/>
      <c r="P13926"/>
      <c r="Q13926" s="24"/>
      <c r="R13926"/>
      <c r="S13926"/>
      <c r="T13926"/>
      <c r="U13926"/>
      <c r="X13926" s="60"/>
    </row>
    <row r="13927" spans="7:24" ht="15" customHeight="1">
      <c r="G13927"/>
      <c r="I13927"/>
      <c r="N13927"/>
      <c r="O13927" s="24"/>
      <c r="P13927"/>
      <c r="Q13927" s="24"/>
      <c r="R13927"/>
      <c r="S13927"/>
      <c r="T13927"/>
      <c r="U13927"/>
      <c r="X13927" s="60"/>
    </row>
    <row r="13928" spans="7:24" ht="15" customHeight="1">
      <c r="G13928"/>
      <c r="I13928"/>
      <c r="N13928"/>
      <c r="O13928" s="24"/>
      <c r="P13928"/>
      <c r="Q13928" s="24"/>
      <c r="R13928"/>
      <c r="S13928"/>
      <c r="T13928"/>
      <c r="U13928"/>
      <c r="X13928" s="60"/>
    </row>
    <row r="13929" spans="7:24" ht="15" customHeight="1">
      <c r="G13929"/>
      <c r="I13929"/>
      <c r="N13929"/>
      <c r="O13929" s="24"/>
      <c r="P13929"/>
      <c r="Q13929" s="24"/>
      <c r="R13929"/>
      <c r="S13929"/>
      <c r="T13929"/>
      <c r="U13929"/>
      <c r="X13929" s="60"/>
    </row>
    <row r="13930" spans="7:24" ht="15" customHeight="1">
      <c r="G13930"/>
      <c r="I13930"/>
      <c r="N13930"/>
      <c r="O13930" s="24"/>
      <c r="P13930"/>
      <c r="Q13930" s="24"/>
      <c r="R13930"/>
      <c r="S13930"/>
      <c r="T13930"/>
      <c r="U13930"/>
      <c r="X13930" s="60"/>
    </row>
    <row r="13931" spans="7:24" ht="15" customHeight="1">
      <c r="G13931"/>
      <c r="I13931"/>
      <c r="N13931"/>
      <c r="O13931" s="24"/>
      <c r="P13931"/>
      <c r="Q13931" s="24"/>
      <c r="R13931"/>
      <c r="S13931"/>
      <c r="T13931"/>
      <c r="U13931"/>
      <c r="X13931" s="60"/>
    </row>
    <row r="13932" spans="7:24" ht="15" customHeight="1">
      <c r="G13932"/>
      <c r="I13932"/>
      <c r="N13932"/>
      <c r="O13932" s="24"/>
      <c r="P13932"/>
      <c r="Q13932" s="24"/>
      <c r="R13932"/>
      <c r="S13932"/>
      <c r="T13932"/>
      <c r="U13932"/>
      <c r="X13932" s="60"/>
    </row>
    <row r="13933" spans="7:24" ht="15" customHeight="1">
      <c r="G13933"/>
      <c r="I13933"/>
      <c r="N13933"/>
      <c r="O13933" s="24"/>
      <c r="P13933"/>
      <c r="Q13933" s="24"/>
      <c r="R13933"/>
      <c r="S13933"/>
      <c r="T13933"/>
      <c r="U13933"/>
      <c r="X13933" s="60"/>
    </row>
    <row r="13934" spans="7:24" ht="15" customHeight="1">
      <c r="G13934"/>
      <c r="I13934"/>
      <c r="N13934"/>
      <c r="O13934" s="24"/>
      <c r="P13934"/>
      <c r="Q13934" s="24"/>
      <c r="R13934"/>
      <c r="S13934"/>
      <c r="T13934"/>
      <c r="U13934"/>
      <c r="X13934" s="60"/>
    </row>
    <row r="13935" spans="7:24" ht="15" customHeight="1">
      <c r="G13935"/>
      <c r="I13935"/>
      <c r="N13935"/>
      <c r="O13935" s="24"/>
      <c r="P13935"/>
      <c r="Q13935" s="24"/>
      <c r="R13935"/>
      <c r="S13935"/>
      <c r="T13935"/>
      <c r="U13935"/>
      <c r="X13935" s="60"/>
    </row>
    <row r="13936" spans="7:24" ht="15" customHeight="1">
      <c r="G13936"/>
      <c r="I13936"/>
      <c r="N13936"/>
      <c r="O13936" s="24"/>
      <c r="P13936"/>
      <c r="Q13936" s="24"/>
      <c r="R13936"/>
      <c r="S13936"/>
      <c r="T13936"/>
      <c r="U13936"/>
      <c r="X13936" s="60"/>
    </row>
    <row r="13937" spans="7:24" ht="15" customHeight="1">
      <c r="G13937"/>
      <c r="I13937"/>
      <c r="N13937"/>
      <c r="O13937" s="24"/>
      <c r="P13937"/>
      <c r="Q13937" s="24"/>
      <c r="R13937"/>
      <c r="S13937"/>
      <c r="T13937"/>
      <c r="U13937"/>
      <c r="X13937" s="60"/>
    </row>
    <row r="13938" spans="7:24" ht="15" customHeight="1">
      <c r="G13938"/>
      <c r="I13938"/>
      <c r="N13938"/>
      <c r="O13938" s="24"/>
      <c r="P13938"/>
      <c r="Q13938" s="24"/>
      <c r="R13938"/>
      <c r="S13938"/>
      <c r="T13938"/>
      <c r="U13938"/>
      <c r="X13938" s="60"/>
    </row>
    <row r="13939" spans="7:24" ht="15" customHeight="1">
      <c r="G13939"/>
      <c r="I13939"/>
      <c r="N13939"/>
      <c r="O13939" s="24"/>
      <c r="P13939"/>
      <c r="Q13939" s="24"/>
      <c r="R13939"/>
      <c r="S13939"/>
      <c r="T13939"/>
      <c r="U13939"/>
      <c r="X13939" s="60"/>
    </row>
    <row r="13940" spans="7:24" ht="15" customHeight="1">
      <c r="G13940"/>
      <c r="I13940"/>
      <c r="N13940"/>
      <c r="O13940" s="24"/>
      <c r="P13940"/>
      <c r="Q13940" s="24"/>
      <c r="R13940"/>
      <c r="S13940"/>
      <c r="T13940"/>
      <c r="U13940"/>
      <c r="X13940" s="60"/>
    </row>
    <row r="13941" spans="7:24" ht="15" customHeight="1">
      <c r="G13941"/>
      <c r="I13941"/>
      <c r="N13941"/>
      <c r="O13941" s="24"/>
      <c r="P13941"/>
      <c r="Q13941" s="24"/>
      <c r="R13941"/>
      <c r="S13941"/>
      <c r="T13941"/>
      <c r="U13941"/>
      <c r="X13941" s="60"/>
    </row>
    <row r="13942" spans="7:24" ht="15" customHeight="1">
      <c r="G13942"/>
      <c r="I13942"/>
      <c r="N13942"/>
      <c r="O13942" s="24"/>
      <c r="P13942"/>
      <c r="Q13942" s="24"/>
      <c r="R13942"/>
      <c r="S13942"/>
      <c r="T13942"/>
      <c r="U13942"/>
      <c r="X13942" s="60"/>
    </row>
    <row r="13943" spans="7:24" ht="15" customHeight="1">
      <c r="G13943"/>
      <c r="I13943"/>
      <c r="N13943"/>
      <c r="O13943" s="24"/>
      <c r="P13943"/>
      <c r="Q13943" s="24"/>
      <c r="R13943"/>
      <c r="S13943"/>
      <c r="T13943"/>
      <c r="U13943"/>
      <c r="X13943" s="60"/>
    </row>
    <row r="13944" spans="7:24" ht="15" customHeight="1">
      <c r="G13944"/>
      <c r="I13944"/>
      <c r="N13944"/>
      <c r="O13944" s="24"/>
      <c r="P13944"/>
      <c r="Q13944" s="24"/>
      <c r="R13944"/>
      <c r="S13944"/>
      <c r="T13944"/>
      <c r="U13944"/>
      <c r="X13944" s="60"/>
    </row>
    <row r="13945" spans="7:24" ht="15" customHeight="1">
      <c r="G13945"/>
      <c r="I13945"/>
      <c r="N13945"/>
      <c r="O13945" s="24"/>
      <c r="P13945"/>
      <c r="Q13945" s="24"/>
      <c r="R13945"/>
      <c r="S13945"/>
      <c r="T13945"/>
      <c r="U13945"/>
      <c r="X13945" s="60"/>
    </row>
    <row r="13946" spans="7:24" ht="15" customHeight="1">
      <c r="G13946"/>
      <c r="I13946"/>
      <c r="N13946"/>
      <c r="O13946" s="24"/>
      <c r="P13946"/>
      <c r="Q13946" s="24"/>
      <c r="R13946"/>
      <c r="S13946"/>
      <c r="T13946"/>
      <c r="U13946"/>
      <c r="X13946" s="60"/>
    </row>
    <row r="13947" spans="7:24" ht="15" customHeight="1">
      <c r="G13947"/>
      <c r="I13947"/>
      <c r="N13947"/>
      <c r="O13947" s="24"/>
      <c r="P13947"/>
      <c r="Q13947" s="24"/>
      <c r="R13947"/>
      <c r="S13947"/>
      <c r="T13947"/>
      <c r="U13947"/>
      <c r="X13947" s="60"/>
    </row>
    <row r="13948" spans="7:24" ht="15" customHeight="1">
      <c r="G13948"/>
      <c r="I13948"/>
      <c r="N13948"/>
      <c r="O13948" s="24"/>
      <c r="P13948"/>
      <c r="Q13948" s="24"/>
      <c r="R13948"/>
      <c r="S13948"/>
      <c r="T13948"/>
      <c r="U13948"/>
      <c r="X13948" s="60"/>
    </row>
    <row r="13949" spans="7:24" ht="15" customHeight="1">
      <c r="G13949"/>
      <c r="I13949"/>
      <c r="N13949"/>
      <c r="O13949" s="24"/>
      <c r="P13949"/>
      <c r="Q13949" s="24"/>
      <c r="R13949"/>
      <c r="S13949"/>
      <c r="T13949"/>
      <c r="U13949"/>
      <c r="X13949" s="60"/>
    </row>
    <row r="13950" spans="7:24" ht="15" customHeight="1">
      <c r="G13950"/>
      <c r="I13950"/>
      <c r="N13950"/>
      <c r="O13950" s="24"/>
      <c r="P13950"/>
      <c r="Q13950" s="24"/>
      <c r="R13950"/>
      <c r="S13950"/>
      <c r="T13950"/>
      <c r="U13950"/>
      <c r="X13950" s="60"/>
    </row>
    <row r="13951" spans="7:24" ht="15" customHeight="1">
      <c r="G13951"/>
      <c r="I13951"/>
      <c r="N13951"/>
      <c r="O13951" s="24"/>
      <c r="P13951"/>
      <c r="Q13951" s="24"/>
      <c r="R13951"/>
      <c r="S13951"/>
      <c r="T13951"/>
      <c r="U13951"/>
      <c r="X13951" s="60"/>
    </row>
    <row r="13952" spans="7:24" ht="15" customHeight="1">
      <c r="G13952"/>
      <c r="I13952"/>
      <c r="N13952"/>
      <c r="O13952" s="24"/>
      <c r="P13952"/>
      <c r="Q13952" s="24"/>
      <c r="R13952"/>
      <c r="S13952"/>
      <c r="T13952"/>
      <c r="U13952"/>
      <c r="X13952" s="60"/>
    </row>
    <row r="13953" spans="7:24" ht="15" customHeight="1">
      <c r="G13953"/>
      <c r="I13953"/>
      <c r="N13953"/>
      <c r="O13953" s="24"/>
      <c r="P13953"/>
      <c r="Q13953" s="24"/>
      <c r="R13953"/>
      <c r="S13953"/>
      <c r="T13953"/>
      <c r="U13953"/>
      <c r="X13953" s="60"/>
    </row>
    <row r="13954" spans="7:24" ht="15" customHeight="1">
      <c r="G13954"/>
      <c r="I13954"/>
      <c r="N13954"/>
      <c r="O13954" s="24"/>
      <c r="P13954"/>
      <c r="Q13954" s="24"/>
      <c r="R13954"/>
      <c r="S13954"/>
      <c r="T13954"/>
      <c r="U13954"/>
      <c r="X13954" s="60"/>
    </row>
    <row r="13955" spans="7:24" ht="15" customHeight="1">
      <c r="G13955"/>
      <c r="I13955"/>
      <c r="N13955"/>
      <c r="O13955" s="24"/>
      <c r="P13955"/>
      <c r="Q13955" s="24"/>
      <c r="R13955"/>
      <c r="S13955"/>
      <c r="T13955"/>
      <c r="U13955"/>
      <c r="X13955" s="60"/>
    </row>
    <row r="13956" spans="7:24" ht="15" customHeight="1">
      <c r="G13956"/>
      <c r="I13956"/>
      <c r="N13956"/>
      <c r="O13956" s="24"/>
      <c r="P13956"/>
      <c r="Q13956" s="24"/>
      <c r="R13956"/>
      <c r="S13956"/>
      <c r="T13956"/>
      <c r="U13956"/>
      <c r="X13956" s="60"/>
    </row>
    <row r="13957" spans="7:24" ht="15" customHeight="1">
      <c r="G13957"/>
      <c r="I13957"/>
      <c r="N13957"/>
      <c r="O13957" s="24"/>
      <c r="P13957"/>
      <c r="Q13957" s="24"/>
      <c r="R13957"/>
      <c r="S13957"/>
      <c r="T13957"/>
      <c r="U13957"/>
      <c r="X13957" s="60"/>
    </row>
    <row r="13958" spans="7:24" ht="15" customHeight="1">
      <c r="G13958"/>
      <c r="I13958"/>
      <c r="N13958"/>
      <c r="O13958" s="24"/>
      <c r="P13958"/>
      <c r="Q13958" s="24"/>
      <c r="R13958"/>
      <c r="S13958"/>
      <c r="T13958"/>
      <c r="U13958"/>
      <c r="X13958" s="60"/>
    </row>
    <row r="13959" spans="7:24" ht="15" customHeight="1">
      <c r="G13959"/>
      <c r="I13959"/>
      <c r="N13959"/>
      <c r="O13959" s="24"/>
      <c r="P13959"/>
      <c r="Q13959" s="24"/>
      <c r="R13959"/>
      <c r="S13959"/>
      <c r="T13959"/>
      <c r="U13959"/>
      <c r="X13959" s="60"/>
    </row>
    <row r="13960" spans="7:24" ht="15" customHeight="1">
      <c r="G13960"/>
      <c r="I13960"/>
      <c r="N13960"/>
      <c r="O13960" s="24"/>
      <c r="P13960"/>
      <c r="Q13960" s="24"/>
      <c r="R13960"/>
      <c r="S13960"/>
      <c r="T13960"/>
      <c r="U13960"/>
      <c r="X13960" s="60"/>
    </row>
    <row r="13961" spans="7:24" ht="15" customHeight="1">
      <c r="G13961"/>
      <c r="I13961"/>
      <c r="N13961"/>
      <c r="O13961" s="24"/>
      <c r="P13961"/>
      <c r="Q13961" s="24"/>
      <c r="R13961"/>
      <c r="S13961"/>
      <c r="T13961"/>
      <c r="U13961"/>
      <c r="X13961" s="60"/>
    </row>
    <row r="13962" spans="7:24" ht="15" customHeight="1">
      <c r="G13962"/>
      <c r="I13962"/>
      <c r="N13962"/>
      <c r="O13962" s="24"/>
      <c r="P13962"/>
      <c r="Q13962" s="24"/>
      <c r="R13962"/>
      <c r="S13962"/>
      <c r="T13962"/>
      <c r="U13962"/>
      <c r="X13962" s="60"/>
    </row>
    <row r="13963" spans="7:24" ht="15" customHeight="1">
      <c r="G13963"/>
      <c r="I13963"/>
      <c r="N13963"/>
      <c r="O13963" s="24"/>
      <c r="P13963"/>
      <c r="Q13963" s="24"/>
      <c r="R13963"/>
      <c r="S13963"/>
      <c r="T13963"/>
      <c r="U13963"/>
      <c r="X13963" s="60"/>
    </row>
    <row r="13964" spans="7:24" ht="15" customHeight="1">
      <c r="G13964"/>
      <c r="I13964"/>
      <c r="N13964"/>
      <c r="O13964" s="24"/>
      <c r="P13964"/>
      <c r="Q13964" s="24"/>
      <c r="R13964"/>
      <c r="S13964"/>
      <c r="T13964"/>
      <c r="U13964"/>
      <c r="X13964" s="60"/>
    </row>
    <row r="13965" spans="7:24" ht="15" customHeight="1">
      <c r="G13965"/>
      <c r="I13965"/>
      <c r="N13965"/>
      <c r="O13965" s="24"/>
      <c r="P13965"/>
      <c r="Q13965" s="24"/>
      <c r="R13965"/>
      <c r="S13965"/>
      <c r="T13965"/>
      <c r="U13965"/>
      <c r="X13965" s="60"/>
    </row>
    <row r="13966" spans="7:24" ht="15" customHeight="1">
      <c r="G13966"/>
      <c r="I13966"/>
      <c r="N13966"/>
      <c r="O13966" s="24"/>
      <c r="P13966"/>
      <c r="Q13966" s="24"/>
      <c r="R13966"/>
      <c r="S13966"/>
      <c r="T13966"/>
      <c r="U13966"/>
      <c r="X13966" s="60"/>
    </row>
    <row r="13967" spans="7:24" ht="15" customHeight="1">
      <c r="G13967"/>
      <c r="I13967"/>
      <c r="N13967"/>
      <c r="O13967" s="24"/>
      <c r="P13967"/>
      <c r="Q13967" s="24"/>
      <c r="R13967"/>
      <c r="S13967"/>
      <c r="T13967"/>
      <c r="U13967"/>
      <c r="X13967" s="60"/>
    </row>
    <row r="13968" spans="7:24" ht="15" customHeight="1">
      <c r="G13968"/>
      <c r="I13968"/>
      <c r="N13968"/>
      <c r="O13968" s="24"/>
      <c r="P13968"/>
      <c r="Q13968" s="24"/>
      <c r="R13968"/>
      <c r="S13968"/>
      <c r="T13968"/>
      <c r="U13968"/>
      <c r="X13968" s="60"/>
    </row>
    <row r="13969" spans="7:24" ht="15" customHeight="1">
      <c r="G13969"/>
      <c r="I13969"/>
      <c r="N13969"/>
      <c r="O13969" s="24"/>
      <c r="P13969"/>
      <c r="Q13969" s="24"/>
      <c r="R13969"/>
      <c r="S13969"/>
      <c r="T13969"/>
      <c r="U13969"/>
      <c r="X13969" s="60"/>
    </row>
    <row r="13970" spans="7:24" ht="15" customHeight="1">
      <c r="G13970"/>
      <c r="I13970"/>
      <c r="N13970"/>
      <c r="O13970" s="24"/>
      <c r="P13970"/>
      <c r="Q13970" s="24"/>
      <c r="R13970"/>
      <c r="S13970"/>
      <c r="T13970"/>
      <c r="U13970"/>
      <c r="X13970" s="60"/>
    </row>
    <row r="13971" spans="7:24" ht="15" customHeight="1">
      <c r="G13971"/>
      <c r="I13971"/>
      <c r="N13971"/>
      <c r="O13971" s="24"/>
      <c r="P13971"/>
      <c r="Q13971" s="24"/>
      <c r="R13971"/>
      <c r="S13971"/>
      <c r="T13971"/>
      <c r="U13971"/>
      <c r="X13971" s="60"/>
    </row>
    <row r="13972" spans="7:24" ht="15" customHeight="1">
      <c r="G13972"/>
      <c r="I13972"/>
      <c r="N13972"/>
      <c r="O13972" s="24"/>
      <c r="P13972"/>
      <c r="Q13972" s="24"/>
      <c r="R13972"/>
      <c r="S13972"/>
      <c r="T13972"/>
      <c r="U13972"/>
      <c r="X13972" s="60"/>
    </row>
    <row r="13973" spans="7:24" ht="15" customHeight="1">
      <c r="G13973"/>
      <c r="I13973"/>
      <c r="N13973"/>
      <c r="O13973" s="24"/>
      <c r="P13973"/>
      <c r="Q13973" s="24"/>
      <c r="R13973"/>
      <c r="S13973"/>
      <c r="T13973"/>
      <c r="U13973"/>
      <c r="X13973" s="60"/>
    </row>
    <row r="13974" spans="7:24" ht="15" customHeight="1">
      <c r="G13974"/>
      <c r="I13974"/>
      <c r="N13974"/>
      <c r="O13974" s="24"/>
      <c r="P13974"/>
      <c r="Q13974" s="24"/>
      <c r="R13974"/>
      <c r="S13974"/>
      <c r="T13974"/>
      <c r="U13974"/>
      <c r="X13974" s="60"/>
    </row>
    <row r="13975" spans="7:24" ht="15" customHeight="1">
      <c r="G13975"/>
      <c r="I13975"/>
      <c r="N13975"/>
      <c r="O13975" s="24"/>
      <c r="P13975"/>
      <c r="Q13975" s="24"/>
      <c r="R13975"/>
      <c r="S13975"/>
      <c r="T13975"/>
      <c r="U13975"/>
      <c r="X13975" s="60"/>
    </row>
    <row r="13976" spans="7:24" ht="15" customHeight="1">
      <c r="G13976"/>
      <c r="I13976"/>
      <c r="N13976"/>
      <c r="O13976" s="24"/>
      <c r="P13976"/>
      <c r="Q13976" s="24"/>
      <c r="R13976"/>
      <c r="S13976"/>
      <c r="T13976"/>
      <c r="U13976"/>
      <c r="X13976" s="60"/>
    </row>
    <row r="13977" spans="7:24" ht="15" customHeight="1">
      <c r="G13977"/>
      <c r="I13977"/>
      <c r="N13977"/>
      <c r="O13977" s="24"/>
      <c r="P13977"/>
      <c r="Q13977" s="24"/>
      <c r="R13977"/>
      <c r="S13977"/>
      <c r="T13977"/>
      <c r="U13977"/>
      <c r="X13977" s="60"/>
    </row>
    <row r="13978" spans="7:24" ht="15" customHeight="1">
      <c r="G13978"/>
      <c r="I13978"/>
      <c r="N13978"/>
      <c r="O13978" s="24"/>
      <c r="P13978"/>
      <c r="Q13978" s="24"/>
      <c r="R13978"/>
      <c r="S13978"/>
      <c r="T13978"/>
      <c r="U13978"/>
      <c r="X13978" s="60"/>
    </row>
    <row r="13979" spans="7:24" ht="15" customHeight="1">
      <c r="G13979"/>
      <c r="I13979"/>
      <c r="N13979"/>
      <c r="O13979" s="24"/>
      <c r="P13979"/>
      <c r="Q13979" s="24"/>
      <c r="R13979"/>
      <c r="S13979"/>
      <c r="T13979"/>
      <c r="U13979"/>
      <c r="X13979" s="60"/>
    </row>
    <row r="13980" spans="7:24" ht="15" customHeight="1">
      <c r="G13980"/>
      <c r="I13980"/>
      <c r="N13980"/>
      <c r="O13980" s="24"/>
      <c r="P13980"/>
      <c r="Q13980" s="24"/>
      <c r="R13980"/>
      <c r="S13980"/>
      <c r="T13980"/>
      <c r="U13980"/>
      <c r="X13980" s="60"/>
    </row>
    <row r="13981" spans="7:24" ht="15" customHeight="1">
      <c r="G13981"/>
      <c r="I13981"/>
      <c r="N13981"/>
      <c r="O13981" s="24"/>
      <c r="P13981"/>
      <c r="Q13981" s="24"/>
      <c r="R13981"/>
      <c r="S13981"/>
      <c r="T13981"/>
      <c r="U13981"/>
      <c r="X13981" s="60"/>
    </row>
    <row r="13982" spans="7:24" ht="15" customHeight="1">
      <c r="G13982"/>
      <c r="I13982"/>
      <c r="N13982"/>
      <c r="O13982" s="24"/>
      <c r="P13982"/>
      <c r="Q13982" s="24"/>
      <c r="R13982"/>
      <c r="S13982"/>
      <c r="T13982"/>
      <c r="U13982"/>
      <c r="X13982" s="60"/>
    </row>
    <row r="13983" spans="7:24" ht="15" customHeight="1">
      <c r="G13983"/>
      <c r="I13983"/>
      <c r="N13983"/>
      <c r="O13983" s="24"/>
      <c r="P13983"/>
      <c r="Q13983" s="24"/>
      <c r="R13983"/>
      <c r="S13983"/>
      <c r="T13983"/>
      <c r="U13983"/>
      <c r="X13983" s="60"/>
    </row>
    <row r="13984" spans="7:24" ht="15" customHeight="1">
      <c r="G13984"/>
      <c r="I13984"/>
      <c r="N13984"/>
      <c r="O13984" s="24"/>
      <c r="P13984"/>
      <c r="Q13984" s="24"/>
      <c r="R13984"/>
      <c r="S13984"/>
      <c r="T13984"/>
      <c r="U13984"/>
      <c r="X13984" s="60"/>
    </row>
    <row r="13985" spans="7:24" ht="15" customHeight="1">
      <c r="G13985"/>
      <c r="I13985"/>
      <c r="N13985"/>
      <c r="O13985" s="24"/>
      <c r="P13985"/>
      <c r="Q13985" s="24"/>
      <c r="R13985"/>
      <c r="S13985"/>
      <c r="T13985"/>
      <c r="U13985"/>
      <c r="X13985" s="60"/>
    </row>
    <row r="13986" spans="7:24" ht="15" customHeight="1">
      <c r="G13986"/>
      <c r="I13986"/>
      <c r="N13986"/>
      <c r="O13986" s="24"/>
      <c r="P13986"/>
      <c r="Q13986" s="24"/>
      <c r="R13986"/>
      <c r="S13986"/>
      <c r="T13986"/>
      <c r="U13986"/>
      <c r="X13986" s="60"/>
    </row>
    <row r="13987" spans="7:24" ht="15" customHeight="1">
      <c r="G13987"/>
      <c r="I13987"/>
      <c r="N13987"/>
      <c r="O13987" s="24"/>
      <c r="P13987"/>
      <c r="Q13987" s="24"/>
      <c r="R13987"/>
      <c r="S13987"/>
      <c r="T13987"/>
      <c r="U13987"/>
      <c r="X13987" s="60"/>
    </row>
    <row r="13988" spans="7:24" ht="15" customHeight="1">
      <c r="G13988"/>
      <c r="I13988"/>
      <c r="N13988"/>
      <c r="O13988" s="24"/>
      <c r="P13988"/>
      <c r="Q13988" s="24"/>
      <c r="R13988"/>
      <c r="S13988"/>
      <c r="T13988"/>
      <c r="U13988"/>
      <c r="X13988" s="60"/>
    </row>
    <row r="13989" spans="7:24" ht="15" customHeight="1">
      <c r="G13989"/>
      <c r="I13989"/>
      <c r="N13989"/>
      <c r="O13989" s="24"/>
      <c r="P13989"/>
      <c r="Q13989" s="24"/>
      <c r="R13989"/>
      <c r="S13989"/>
      <c r="T13989"/>
      <c r="U13989"/>
      <c r="X13989" s="60"/>
    </row>
    <row r="13990" spans="7:24" ht="15" customHeight="1">
      <c r="G13990"/>
      <c r="I13990"/>
      <c r="N13990"/>
      <c r="O13990" s="24"/>
      <c r="P13990"/>
      <c r="Q13990" s="24"/>
      <c r="R13990"/>
      <c r="S13990"/>
      <c r="T13990"/>
      <c r="U13990"/>
      <c r="X13990" s="60"/>
    </row>
    <row r="13991" spans="7:24" ht="15" customHeight="1">
      <c r="G13991"/>
      <c r="I13991"/>
      <c r="N13991"/>
      <c r="O13991" s="24"/>
      <c r="P13991"/>
      <c r="Q13991" s="24"/>
      <c r="R13991"/>
      <c r="S13991"/>
      <c r="T13991"/>
      <c r="U13991"/>
      <c r="X13991" s="60"/>
    </row>
    <row r="13992" spans="7:24" ht="15" customHeight="1">
      <c r="G13992"/>
      <c r="I13992"/>
      <c r="N13992"/>
      <c r="O13992" s="24"/>
      <c r="P13992"/>
      <c r="Q13992" s="24"/>
      <c r="R13992"/>
      <c r="S13992"/>
      <c r="T13992"/>
      <c r="U13992"/>
      <c r="X13992" s="60"/>
    </row>
    <row r="13993" spans="7:24" ht="15" customHeight="1">
      <c r="G13993"/>
      <c r="I13993"/>
      <c r="N13993"/>
      <c r="O13993" s="24"/>
      <c r="P13993"/>
      <c r="Q13993" s="24"/>
      <c r="R13993"/>
      <c r="S13993"/>
      <c r="T13993"/>
      <c r="U13993"/>
      <c r="X13993" s="60"/>
    </row>
    <row r="13994" spans="7:24" ht="15" customHeight="1">
      <c r="G13994"/>
      <c r="I13994"/>
      <c r="N13994"/>
      <c r="O13994" s="24"/>
      <c r="P13994"/>
      <c r="Q13994" s="24"/>
      <c r="R13994"/>
      <c r="S13994"/>
      <c r="T13994"/>
      <c r="U13994"/>
      <c r="X13994" s="60"/>
    </row>
    <row r="13995" spans="7:24" ht="15" customHeight="1">
      <c r="G13995"/>
      <c r="I13995"/>
      <c r="N13995"/>
      <c r="O13995" s="24"/>
      <c r="P13995"/>
      <c r="Q13995" s="24"/>
      <c r="R13995"/>
      <c r="S13995"/>
      <c r="T13995"/>
      <c r="U13995"/>
      <c r="X13995" s="60"/>
    </row>
    <row r="13996" spans="7:24" ht="15" customHeight="1">
      <c r="G13996"/>
      <c r="I13996"/>
      <c r="N13996"/>
      <c r="O13996" s="24"/>
      <c r="P13996"/>
      <c r="Q13996" s="24"/>
      <c r="R13996"/>
      <c r="S13996"/>
      <c r="T13996"/>
      <c r="U13996"/>
      <c r="X13996" s="60"/>
    </row>
    <row r="13997" spans="7:24" ht="15" customHeight="1">
      <c r="G13997"/>
      <c r="I13997"/>
      <c r="N13997"/>
      <c r="O13997" s="24"/>
      <c r="P13997"/>
      <c r="Q13997" s="24"/>
      <c r="R13997"/>
      <c r="S13997"/>
      <c r="T13997"/>
      <c r="U13997"/>
      <c r="X13997" s="60"/>
    </row>
    <row r="13998" spans="7:24" ht="15" customHeight="1">
      <c r="G13998"/>
      <c r="I13998"/>
      <c r="N13998"/>
      <c r="O13998" s="24"/>
      <c r="P13998"/>
      <c r="Q13998" s="24"/>
      <c r="R13998"/>
      <c r="S13998"/>
      <c r="T13998"/>
      <c r="U13998"/>
      <c r="X13998" s="60"/>
    </row>
    <row r="13999" spans="7:24" ht="15" customHeight="1">
      <c r="G13999"/>
      <c r="I13999"/>
      <c r="N13999"/>
      <c r="O13999" s="24"/>
      <c r="P13999"/>
      <c r="Q13999" s="24"/>
      <c r="R13999"/>
      <c r="S13999"/>
      <c r="T13999"/>
      <c r="U13999"/>
      <c r="X13999" s="60"/>
    </row>
    <row r="14000" spans="7:24" ht="15" customHeight="1">
      <c r="G14000"/>
      <c r="I14000"/>
      <c r="N14000"/>
      <c r="O14000" s="24"/>
      <c r="P14000"/>
      <c r="Q14000" s="24"/>
      <c r="R14000"/>
      <c r="S14000"/>
      <c r="T14000"/>
      <c r="U14000"/>
      <c r="X14000" s="60"/>
    </row>
    <row r="14001" spans="7:24" ht="15" customHeight="1">
      <c r="G14001"/>
      <c r="I14001"/>
      <c r="N14001"/>
      <c r="O14001" s="24"/>
      <c r="P14001"/>
      <c r="Q14001" s="24"/>
      <c r="R14001"/>
      <c r="S14001"/>
      <c r="T14001"/>
      <c r="U14001"/>
      <c r="X14001" s="60"/>
    </row>
    <row r="14002" spans="7:24" ht="15" customHeight="1">
      <c r="G14002"/>
      <c r="I14002"/>
      <c r="N14002"/>
      <c r="O14002" s="24"/>
      <c r="P14002"/>
      <c r="Q14002" s="24"/>
      <c r="R14002"/>
      <c r="S14002"/>
      <c r="T14002"/>
      <c r="U14002"/>
      <c r="X14002" s="60"/>
    </row>
    <row r="14003" spans="7:24" ht="15" customHeight="1">
      <c r="G14003"/>
      <c r="I14003"/>
      <c r="N14003"/>
      <c r="O14003" s="24"/>
      <c r="P14003"/>
      <c r="Q14003" s="24"/>
      <c r="R14003"/>
      <c r="S14003"/>
      <c r="T14003"/>
      <c r="U14003"/>
      <c r="X14003" s="60"/>
    </row>
    <row r="14004" spans="7:24" ht="15" customHeight="1">
      <c r="G14004"/>
      <c r="I14004"/>
      <c r="N14004"/>
      <c r="O14004" s="24"/>
      <c r="P14004"/>
      <c r="Q14004" s="24"/>
      <c r="R14004"/>
      <c r="S14004"/>
      <c r="T14004"/>
      <c r="U14004"/>
      <c r="X14004" s="60"/>
    </row>
    <row r="14005" spans="7:24" ht="15" customHeight="1">
      <c r="G14005"/>
      <c r="I14005"/>
      <c r="N14005"/>
      <c r="O14005" s="24"/>
      <c r="P14005"/>
      <c r="Q14005" s="24"/>
      <c r="R14005"/>
      <c r="S14005"/>
      <c r="T14005"/>
      <c r="U14005"/>
      <c r="X14005" s="60"/>
    </row>
    <row r="14006" spans="7:24" ht="15" customHeight="1">
      <c r="G14006"/>
      <c r="I14006"/>
      <c r="N14006"/>
      <c r="O14006" s="24"/>
      <c r="P14006"/>
      <c r="Q14006" s="24"/>
      <c r="R14006"/>
      <c r="S14006"/>
      <c r="T14006"/>
      <c r="U14006"/>
      <c r="X14006" s="60"/>
    </row>
    <row r="14007" spans="7:24" ht="15" customHeight="1">
      <c r="G14007"/>
      <c r="I14007"/>
      <c r="N14007"/>
      <c r="O14007" s="24"/>
      <c r="P14007"/>
      <c r="Q14007" s="24"/>
      <c r="R14007"/>
      <c r="S14007"/>
      <c r="T14007"/>
      <c r="U14007"/>
      <c r="X14007" s="60"/>
    </row>
    <row r="14008" spans="7:24" ht="15" customHeight="1">
      <c r="G14008"/>
      <c r="I14008"/>
      <c r="N14008"/>
      <c r="O14008" s="24"/>
      <c r="P14008"/>
      <c r="Q14008" s="24"/>
      <c r="R14008"/>
      <c r="S14008"/>
      <c r="T14008"/>
      <c r="U14008"/>
      <c r="X14008" s="60"/>
    </row>
    <row r="14009" spans="7:24" ht="15" customHeight="1">
      <c r="G14009"/>
      <c r="I14009"/>
      <c r="N14009"/>
      <c r="O14009" s="24"/>
      <c r="P14009"/>
      <c r="Q14009" s="24"/>
      <c r="R14009"/>
      <c r="S14009"/>
      <c r="T14009"/>
      <c r="U14009"/>
      <c r="X14009" s="60"/>
    </row>
    <row r="14010" spans="7:24" ht="15" customHeight="1">
      <c r="G14010"/>
      <c r="I14010"/>
      <c r="N14010"/>
      <c r="O14010" s="24"/>
      <c r="P14010"/>
      <c r="Q14010" s="24"/>
      <c r="R14010"/>
      <c r="S14010"/>
      <c r="T14010"/>
      <c r="U14010"/>
      <c r="X14010" s="60"/>
    </row>
    <row r="14011" spans="7:24" ht="15" customHeight="1">
      <c r="G14011"/>
      <c r="I14011"/>
      <c r="N14011"/>
      <c r="O14011" s="24"/>
      <c r="P14011"/>
      <c r="Q14011" s="24"/>
      <c r="R14011"/>
      <c r="S14011"/>
      <c r="T14011"/>
      <c r="U14011"/>
      <c r="X14011" s="60"/>
    </row>
    <row r="14012" spans="7:24" ht="15" customHeight="1">
      <c r="G14012"/>
      <c r="I14012"/>
      <c r="N14012"/>
      <c r="O14012" s="24"/>
      <c r="P14012"/>
      <c r="Q14012" s="24"/>
      <c r="R14012"/>
      <c r="S14012"/>
      <c r="T14012"/>
      <c r="U14012"/>
      <c r="X14012" s="60"/>
    </row>
    <row r="14013" spans="7:24" ht="15" customHeight="1">
      <c r="G14013"/>
      <c r="I14013"/>
      <c r="N14013"/>
      <c r="O14013" s="24"/>
      <c r="P14013"/>
      <c r="Q14013" s="24"/>
      <c r="R14013"/>
      <c r="S14013"/>
      <c r="T14013"/>
      <c r="U14013"/>
      <c r="X14013" s="60"/>
    </row>
    <row r="14014" spans="7:24" ht="15" customHeight="1">
      <c r="G14014"/>
      <c r="I14014"/>
      <c r="N14014"/>
      <c r="O14014" s="24"/>
      <c r="P14014"/>
      <c r="Q14014" s="24"/>
      <c r="R14014"/>
      <c r="S14014"/>
      <c r="T14014"/>
      <c r="U14014"/>
      <c r="X14014" s="60"/>
    </row>
    <row r="14015" spans="7:24" ht="15" customHeight="1">
      <c r="G14015"/>
      <c r="I14015"/>
      <c r="N14015"/>
      <c r="O14015" s="24"/>
      <c r="P14015"/>
      <c r="Q14015" s="24"/>
      <c r="R14015"/>
      <c r="S14015"/>
      <c r="T14015"/>
      <c r="U14015"/>
      <c r="X14015" s="60"/>
    </row>
    <row r="14016" spans="7:24" ht="15" customHeight="1">
      <c r="G14016"/>
      <c r="I14016"/>
      <c r="N14016"/>
      <c r="O14016" s="24"/>
      <c r="P14016"/>
      <c r="Q14016" s="24"/>
      <c r="R14016"/>
      <c r="S14016"/>
      <c r="T14016"/>
      <c r="U14016"/>
      <c r="X14016" s="60"/>
    </row>
    <row r="14017" spans="7:24" ht="15" customHeight="1">
      <c r="G14017"/>
      <c r="I14017"/>
      <c r="N14017"/>
      <c r="O14017" s="24"/>
      <c r="P14017"/>
      <c r="Q14017" s="24"/>
      <c r="R14017"/>
      <c r="S14017"/>
      <c r="T14017"/>
      <c r="U14017"/>
      <c r="X14017" s="60"/>
    </row>
    <row r="14018" spans="7:24" ht="15" customHeight="1">
      <c r="G14018"/>
      <c r="I14018"/>
      <c r="N14018"/>
      <c r="O14018" s="24"/>
      <c r="P14018"/>
      <c r="Q14018" s="24"/>
      <c r="R14018"/>
      <c r="S14018"/>
      <c r="T14018"/>
      <c r="U14018"/>
      <c r="X14018" s="60"/>
    </row>
    <row r="14019" spans="7:24" ht="15" customHeight="1">
      <c r="G14019"/>
      <c r="I14019"/>
      <c r="N14019"/>
      <c r="O14019" s="24"/>
      <c r="P14019"/>
      <c r="Q14019" s="24"/>
      <c r="R14019"/>
      <c r="S14019"/>
      <c r="T14019"/>
      <c r="U14019"/>
      <c r="X14019" s="60"/>
    </row>
    <row r="14020" spans="7:24" ht="15" customHeight="1">
      <c r="G14020"/>
      <c r="I14020"/>
      <c r="N14020"/>
      <c r="O14020" s="24"/>
      <c r="P14020"/>
      <c r="Q14020" s="24"/>
      <c r="R14020"/>
      <c r="S14020"/>
      <c r="T14020"/>
      <c r="U14020"/>
      <c r="X14020" s="60"/>
    </row>
    <row r="14021" spans="7:24" ht="15" customHeight="1">
      <c r="G14021"/>
      <c r="I14021"/>
      <c r="N14021"/>
      <c r="O14021" s="24"/>
      <c r="P14021"/>
      <c r="Q14021" s="24"/>
      <c r="R14021"/>
      <c r="S14021"/>
      <c r="T14021"/>
      <c r="U14021"/>
      <c r="X14021" s="60"/>
    </row>
    <row r="14022" spans="7:24" ht="15" customHeight="1">
      <c r="G14022"/>
      <c r="I14022"/>
      <c r="N14022"/>
      <c r="O14022" s="24"/>
      <c r="P14022"/>
      <c r="Q14022" s="24"/>
      <c r="R14022"/>
      <c r="S14022"/>
      <c r="T14022"/>
      <c r="U14022"/>
      <c r="X14022" s="60"/>
    </row>
    <row r="14023" spans="7:24" ht="15" customHeight="1">
      <c r="G14023"/>
      <c r="I14023"/>
      <c r="N14023"/>
      <c r="O14023" s="24"/>
      <c r="P14023"/>
      <c r="Q14023" s="24"/>
      <c r="R14023"/>
      <c r="S14023"/>
      <c r="T14023"/>
      <c r="U14023"/>
      <c r="X14023" s="60"/>
    </row>
    <row r="14024" spans="7:24" ht="15" customHeight="1">
      <c r="G14024"/>
      <c r="I14024"/>
      <c r="N14024"/>
      <c r="O14024" s="24"/>
      <c r="P14024"/>
      <c r="Q14024" s="24"/>
      <c r="R14024"/>
      <c r="S14024"/>
      <c r="T14024"/>
      <c r="U14024"/>
      <c r="X14024" s="60"/>
    </row>
    <row r="14025" spans="7:24" ht="15" customHeight="1">
      <c r="G14025"/>
      <c r="I14025"/>
      <c r="N14025"/>
      <c r="O14025" s="24"/>
      <c r="P14025"/>
      <c r="Q14025" s="24"/>
      <c r="R14025"/>
      <c r="S14025"/>
      <c r="T14025"/>
      <c r="U14025"/>
      <c r="X14025" s="60"/>
    </row>
    <row r="14026" spans="7:24" ht="15" customHeight="1">
      <c r="G14026"/>
      <c r="I14026"/>
      <c r="N14026"/>
      <c r="O14026" s="24"/>
      <c r="P14026"/>
      <c r="Q14026" s="24"/>
      <c r="R14026"/>
      <c r="S14026"/>
      <c r="T14026"/>
      <c r="U14026"/>
      <c r="X14026" s="60"/>
    </row>
    <row r="14027" spans="7:24" ht="15" customHeight="1">
      <c r="G14027"/>
      <c r="I14027"/>
      <c r="N14027"/>
      <c r="O14027" s="24"/>
      <c r="P14027"/>
      <c r="Q14027" s="24"/>
      <c r="R14027"/>
      <c r="S14027"/>
      <c r="T14027"/>
      <c r="U14027"/>
      <c r="X14027" s="60"/>
    </row>
    <row r="14028" spans="7:24" ht="15" customHeight="1">
      <c r="G14028"/>
      <c r="I14028"/>
      <c r="N14028"/>
      <c r="O14028" s="24"/>
      <c r="P14028"/>
      <c r="Q14028" s="24"/>
      <c r="R14028"/>
      <c r="S14028"/>
      <c r="T14028"/>
      <c r="U14028"/>
      <c r="X14028" s="60"/>
    </row>
    <row r="14029" spans="7:24" ht="15" customHeight="1">
      <c r="G14029"/>
      <c r="I14029"/>
      <c r="N14029"/>
      <c r="O14029" s="24"/>
      <c r="P14029"/>
      <c r="Q14029" s="24"/>
      <c r="R14029"/>
      <c r="S14029"/>
      <c r="T14029"/>
      <c r="U14029"/>
      <c r="X14029" s="60"/>
    </row>
    <row r="14030" spans="7:24" ht="15" customHeight="1">
      <c r="G14030"/>
      <c r="I14030"/>
      <c r="N14030"/>
      <c r="O14030" s="24"/>
      <c r="P14030"/>
      <c r="Q14030" s="24"/>
      <c r="R14030"/>
      <c r="S14030"/>
      <c r="T14030"/>
      <c r="U14030"/>
      <c r="X14030" s="60"/>
    </row>
    <row r="14031" spans="7:24" ht="15" customHeight="1">
      <c r="G14031"/>
      <c r="I14031"/>
      <c r="N14031"/>
      <c r="O14031" s="24"/>
      <c r="P14031"/>
      <c r="Q14031" s="24"/>
      <c r="R14031"/>
      <c r="S14031"/>
      <c r="T14031"/>
      <c r="U14031"/>
      <c r="X14031" s="60"/>
    </row>
    <row r="14032" spans="7:24" ht="15" customHeight="1">
      <c r="G14032"/>
      <c r="I14032"/>
      <c r="N14032"/>
      <c r="O14032" s="24"/>
      <c r="P14032"/>
      <c r="Q14032" s="24"/>
      <c r="R14032"/>
      <c r="S14032"/>
      <c r="T14032"/>
      <c r="U14032"/>
      <c r="X14032" s="60"/>
    </row>
    <row r="14033" spans="7:24" ht="15" customHeight="1">
      <c r="G14033"/>
      <c r="I14033"/>
      <c r="N14033"/>
      <c r="O14033" s="24"/>
      <c r="P14033"/>
      <c r="Q14033" s="24"/>
      <c r="R14033"/>
      <c r="S14033"/>
      <c r="T14033"/>
      <c r="U14033"/>
      <c r="X14033" s="60"/>
    </row>
    <row r="14034" spans="7:24" ht="15" customHeight="1">
      <c r="G14034"/>
      <c r="I14034"/>
      <c r="N14034"/>
      <c r="O14034" s="24"/>
      <c r="P14034"/>
      <c r="Q14034" s="24"/>
      <c r="R14034"/>
      <c r="S14034"/>
      <c r="T14034"/>
      <c r="U14034"/>
      <c r="X14034" s="60"/>
    </row>
    <row r="14035" spans="7:24" ht="15" customHeight="1">
      <c r="G14035"/>
      <c r="I14035"/>
      <c r="N14035"/>
      <c r="O14035" s="24"/>
      <c r="P14035"/>
      <c r="Q14035" s="24"/>
      <c r="R14035"/>
      <c r="S14035"/>
      <c r="T14035"/>
      <c r="U14035"/>
      <c r="X14035" s="60"/>
    </row>
    <row r="14036" spans="7:24" ht="15" customHeight="1">
      <c r="G14036"/>
      <c r="I14036"/>
      <c r="N14036"/>
      <c r="O14036" s="24"/>
      <c r="P14036"/>
      <c r="Q14036" s="24"/>
      <c r="R14036"/>
      <c r="S14036"/>
      <c r="T14036"/>
      <c r="U14036"/>
      <c r="X14036" s="60"/>
    </row>
    <row r="14037" spans="7:24" ht="15" customHeight="1">
      <c r="G14037"/>
      <c r="I14037"/>
      <c r="N14037"/>
      <c r="O14037" s="24"/>
      <c r="P14037"/>
      <c r="Q14037" s="24"/>
      <c r="R14037"/>
      <c r="S14037"/>
      <c r="T14037"/>
      <c r="U14037"/>
      <c r="X14037" s="60"/>
    </row>
    <row r="14038" spans="7:24" ht="15" customHeight="1">
      <c r="G14038"/>
      <c r="I14038"/>
      <c r="N14038"/>
      <c r="O14038" s="24"/>
      <c r="P14038"/>
      <c r="Q14038" s="24"/>
      <c r="R14038"/>
      <c r="S14038"/>
      <c r="T14038"/>
      <c r="U14038"/>
      <c r="X14038" s="60"/>
    </row>
    <row r="14039" spans="7:24" ht="15" customHeight="1">
      <c r="G14039"/>
      <c r="I14039"/>
      <c r="N14039"/>
      <c r="O14039" s="24"/>
      <c r="P14039"/>
      <c r="Q14039" s="24"/>
      <c r="R14039"/>
      <c r="S14039"/>
      <c r="T14039"/>
      <c r="U14039"/>
      <c r="X14039" s="60"/>
    </row>
    <row r="14040" spans="7:24" ht="15" customHeight="1">
      <c r="G14040"/>
      <c r="I14040"/>
      <c r="N14040"/>
      <c r="O14040" s="24"/>
      <c r="P14040"/>
      <c r="Q14040" s="24"/>
      <c r="R14040"/>
      <c r="S14040"/>
      <c r="T14040"/>
      <c r="U14040"/>
      <c r="X14040" s="60"/>
    </row>
    <row r="14041" spans="7:24" ht="15" customHeight="1">
      <c r="G14041"/>
      <c r="I14041"/>
      <c r="N14041"/>
      <c r="O14041" s="24"/>
      <c r="P14041"/>
      <c r="Q14041" s="24"/>
      <c r="R14041"/>
      <c r="S14041"/>
      <c r="T14041"/>
      <c r="U14041"/>
      <c r="X14041" s="60"/>
    </row>
    <row r="14042" spans="7:24" ht="15" customHeight="1">
      <c r="G14042"/>
      <c r="I14042"/>
      <c r="N14042"/>
      <c r="O14042" s="24"/>
      <c r="P14042"/>
      <c r="Q14042" s="24"/>
      <c r="R14042"/>
      <c r="S14042"/>
      <c r="T14042"/>
      <c r="U14042"/>
      <c r="X14042" s="60"/>
    </row>
    <row r="14043" spans="7:24" ht="15" customHeight="1">
      <c r="G14043"/>
      <c r="I14043"/>
      <c r="N14043"/>
      <c r="O14043" s="24"/>
      <c r="P14043"/>
      <c r="Q14043" s="24"/>
      <c r="R14043"/>
      <c r="S14043"/>
      <c r="T14043"/>
      <c r="U14043"/>
      <c r="X14043" s="60"/>
    </row>
    <row r="14044" spans="7:24" ht="15" customHeight="1">
      <c r="G14044"/>
      <c r="I14044"/>
      <c r="N14044"/>
      <c r="O14044" s="24"/>
      <c r="P14044"/>
      <c r="Q14044" s="24"/>
      <c r="R14044"/>
      <c r="S14044"/>
      <c r="T14044"/>
      <c r="U14044"/>
      <c r="X14044" s="60"/>
    </row>
    <row r="14045" spans="7:24" ht="15" customHeight="1">
      <c r="G14045"/>
      <c r="I14045"/>
      <c r="N14045"/>
      <c r="O14045" s="24"/>
      <c r="P14045"/>
      <c r="Q14045" s="24"/>
      <c r="R14045"/>
      <c r="S14045"/>
      <c r="T14045"/>
      <c r="U14045"/>
      <c r="X14045" s="60"/>
    </row>
    <row r="14046" spans="7:24" ht="15" customHeight="1">
      <c r="G14046"/>
      <c r="I14046"/>
      <c r="N14046"/>
      <c r="O14046" s="24"/>
      <c r="P14046"/>
      <c r="Q14046" s="24"/>
      <c r="R14046"/>
      <c r="S14046"/>
      <c r="T14046"/>
      <c r="U14046"/>
      <c r="X14046" s="60"/>
    </row>
    <row r="14047" spans="7:24" ht="15" customHeight="1">
      <c r="G14047"/>
      <c r="I14047"/>
      <c r="N14047"/>
      <c r="O14047" s="24"/>
      <c r="P14047"/>
      <c r="Q14047" s="24"/>
      <c r="R14047"/>
      <c r="S14047"/>
      <c r="T14047"/>
      <c r="U14047"/>
      <c r="X14047" s="60"/>
    </row>
    <row r="14048" spans="7:24" ht="15" customHeight="1">
      <c r="G14048"/>
      <c r="I14048"/>
      <c r="N14048"/>
      <c r="O14048" s="24"/>
      <c r="P14048"/>
      <c r="Q14048" s="24"/>
      <c r="R14048"/>
      <c r="S14048"/>
      <c r="T14048"/>
      <c r="U14048"/>
      <c r="X14048" s="60"/>
    </row>
    <row r="14049" spans="7:24" ht="15" customHeight="1">
      <c r="G14049"/>
      <c r="I14049"/>
      <c r="N14049"/>
      <c r="O14049" s="24"/>
      <c r="P14049"/>
      <c r="Q14049" s="24"/>
      <c r="R14049"/>
      <c r="S14049"/>
      <c r="T14049"/>
      <c r="U14049"/>
      <c r="X14049" s="60"/>
    </row>
    <row r="14050" spans="7:24" ht="15" customHeight="1">
      <c r="G14050"/>
      <c r="I14050"/>
      <c r="N14050"/>
      <c r="O14050" s="24"/>
      <c r="P14050"/>
      <c r="Q14050" s="24"/>
      <c r="R14050"/>
      <c r="S14050"/>
      <c r="T14050"/>
      <c r="U14050"/>
      <c r="X14050" s="60"/>
    </row>
    <row r="14051" spans="7:24" ht="15" customHeight="1">
      <c r="G14051"/>
      <c r="I14051"/>
      <c r="N14051"/>
      <c r="O14051" s="24"/>
      <c r="P14051"/>
      <c r="Q14051" s="24"/>
      <c r="R14051"/>
      <c r="S14051"/>
      <c r="T14051"/>
      <c r="U14051"/>
      <c r="X14051" s="60"/>
    </row>
    <row r="14052" spans="7:24" ht="15" customHeight="1">
      <c r="G14052"/>
      <c r="I14052"/>
      <c r="N14052"/>
      <c r="O14052" s="24"/>
      <c r="P14052"/>
      <c r="Q14052" s="24"/>
      <c r="R14052"/>
      <c r="S14052"/>
      <c r="T14052"/>
      <c r="U14052"/>
      <c r="X14052" s="60"/>
    </row>
    <row r="14053" spans="7:24" ht="15" customHeight="1">
      <c r="G14053"/>
      <c r="I14053"/>
      <c r="N14053"/>
      <c r="O14053" s="24"/>
      <c r="P14053"/>
      <c r="Q14053" s="24"/>
      <c r="R14053"/>
      <c r="S14053"/>
      <c r="T14053"/>
      <c r="U14053"/>
      <c r="X14053" s="60"/>
    </row>
    <row r="14054" spans="7:24" ht="15" customHeight="1">
      <c r="G14054"/>
      <c r="I14054"/>
      <c r="N14054"/>
      <c r="O14054" s="24"/>
      <c r="P14054"/>
      <c r="Q14054" s="24"/>
      <c r="R14054"/>
      <c r="S14054"/>
      <c r="T14054"/>
      <c r="U14054"/>
      <c r="X14054" s="60"/>
    </row>
    <row r="14055" spans="7:24" ht="15" customHeight="1">
      <c r="G14055"/>
      <c r="I14055"/>
      <c r="N14055"/>
      <c r="O14055" s="24"/>
      <c r="P14055"/>
      <c r="Q14055" s="24"/>
      <c r="R14055"/>
      <c r="S14055"/>
      <c r="T14055"/>
      <c r="U14055"/>
      <c r="X14055" s="60"/>
    </row>
    <row r="14056" spans="7:24" ht="15" customHeight="1">
      <c r="G14056"/>
      <c r="I14056"/>
      <c r="N14056"/>
      <c r="O14056" s="24"/>
      <c r="P14056"/>
      <c r="Q14056" s="24"/>
      <c r="R14056"/>
      <c r="S14056"/>
      <c r="T14056"/>
      <c r="U14056"/>
      <c r="X14056" s="60"/>
    </row>
    <row r="14057" spans="7:24" ht="15" customHeight="1">
      <c r="G14057"/>
      <c r="I14057"/>
      <c r="N14057"/>
      <c r="O14057" s="24"/>
      <c r="P14057"/>
      <c r="Q14057" s="24"/>
      <c r="R14057"/>
      <c r="S14057"/>
      <c r="T14057"/>
      <c r="U14057"/>
      <c r="X14057" s="60"/>
    </row>
    <row r="14058" spans="7:24" ht="15" customHeight="1">
      <c r="G14058"/>
      <c r="I14058"/>
      <c r="N14058"/>
      <c r="O14058" s="24"/>
      <c r="P14058"/>
      <c r="Q14058" s="24"/>
      <c r="R14058"/>
      <c r="S14058"/>
      <c r="T14058"/>
      <c r="U14058"/>
      <c r="X14058" s="60"/>
    </row>
    <row r="14059" spans="7:24" ht="15" customHeight="1">
      <c r="G14059"/>
      <c r="I14059"/>
      <c r="N14059"/>
      <c r="O14059" s="24"/>
      <c r="P14059"/>
      <c r="Q14059" s="24"/>
      <c r="R14059"/>
      <c r="S14059"/>
      <c r="T14059"/>
      <c r="U14059"/>
      <c r="X14059" s="60"/>
    </row>
    <row r="14060" spans="7:24" ht="15" customHeight="1">
      <c r="G14060"/>
      <c r="I14060"/>
      <c r="N14060"/>
      <c r="O14060" s="24"/>
      <c r="P14060"/>
      <c r="Q14060" s="24"/>
      <c r="R14060"/>
      <c r="S14060"/>
      <c r="T14060"/>
      <c r="U14060"/>
      <c r="X14060" s="60"/>
    </row>
    <row r="14061" spans="7:24" ht="15" customHeight="1">
      <c r="G14061"/>
      <c r="I14061"/>
      <c r="N14061"/>
      <c r="O14061" s="24"/>
      <c r="P14061"/>
      <c r="Q14061" s="24"/>
      <c r="R14061"/>
      <c r="S14061"/>
      <c r="T14061"/>
      <c r="U14061"/>
      <c r="X14061" s="60"/>
    </row>
    <row r="14062" spans="7:24" ht="15" customHeight="1">
      <c r="G14062"/>
      <c r="I14062"/>
      <c r="N14062"/>
      <c r="O14062" s="24"/>
      <c r="P14062"/>
      <c r="Q14062" s="24"/>
      <c r="R14062"/>
      <c r="S14062"/>
      <c r="T14062"/>
      <c r="U14062"/>
      <c r="X14062" s="60"/>
    </row>
    <row r="14063" spans="7:24" ht="15" customHeight="1">
      <c r="G14063"/>
      <c r="I14063"/>
      <c r="N14063"/>
      <c r="O14063" s="24"/>
      <c r="P14063"/>
      <c r="Q14063" s="24"/>
      <c r="R14063"/>
      <c r="S14063"/>
      <c r="T14063"/>
      <c r="U14063"/>
      <c r="X14063" s="60"/>
    </row>
    <row r="14064" spans="7:24" ht="15" customHeight="1">
      <c r="G14064"/>
      <c r="I14064"/>
      <c r="N14064"/>
      <c r="O14064" s="24"/>
      <c r="P14064"/>
      <c r="Q14064" s="24"/>
      <c r="R14064"/>
      <c r="S14064"/>
      <c r="T14064"/>
      <c r="U14064"/>
      <c r="X14064" s="60"/>
    </row>
    <row r="14065" spans="7:24" ht="15" customHeight="1">
      <c r="G14065"/>
      <c r="I14065"/>
      <c r="N14065"/>
      <c r="O14065" s="24"/>
      <c r="P14065"/>
      <c r="Q14065" s="24"/>
      <c r="R14065"/>
      <c r="S14065"/>
      <c r="T14065"/>
      <c r="U14065"/>
      <c r="X14065" s="60"/>
    </row>
    <row r="14066" spans="7:24" ht="15" customHeight="1">
      <c r="G14066"/>
      <c r="I14066"/>
      <c r="N14066"/>
      <c r="O14066" s="24"/>
      <c r="P14066"/>
      <c r="Q14066" s="24"/>
      <c r="R14066"/>
      <c r="S14066"/>
      <c r="T14066"/>
      <c r="U14066"/>
      <c r="X14066" s="60"/>
    </row>
    <row r="14067" spans="7:24" ht="15" customHeight="1">
      <c r="G14067"/>
      <c r="I14067"/>
      <c r="N14067"/>
      <c r="O14067" s="24"/>
      <c r="P14067"/>
      <c r="Q14067" s="24"/>
      <c r="R14067"/>
      <c r="S14067"/>
      <c r="T14067"/>
      <c r="U14067"/>
      <c r="X14067" s="60"/>
    </row>
    <row r="14068" spans="7:24" ht="15" customHeight="1">
      <c r="G14068"/>
      <c r="I14068"/>
      <c r="N14068"/>
      <c r="O14068" s="24"/>
      <c r="P14068"/>
      <c r="Q14068" s="24"/>
      <c r="R14068"/>
      <c r="S14068"/>
      <c r="T14068"/>
      <c r="U14068"/>
      <c r="X14068" s="60"/>
    </row>
    <row r="14069" spans="7:24" ht="15" customHeight="1">
      <c r="G14069"/>
      <c r="I14069"/>
      <c r="N14069"/>
      <c r="O14069" s="24"/>
      <c r="P14069"/>
      <c r="Q14069" s="24"/>
      <c r="R14069"/>
      <c r="S14069"/>
      <c r="T14069"/>
      <c r="U14069"/>
      <c r="X14069" s="60"/>
    </row>
    <row r="14070" spans="7:24" ht="15" customHeight="1">
      <c r="G14070"/>
      <c r="I14070"/>
      <c r="N14070"/>
      <c r="O14070" s="24"/>
      <c r="P14070"/>
      <c r="Q14070" s="24"/>
      <c r="R14070"/>
      <c r="S14070"/>
      <c r="T14070"/>
      <c r="U14070"/>
      <c r="X14070" s="60"/>
    </row>
    <row r="14071" spans="7:24" ht="15" customHeight="1">
      <c r="G14071"/>
      <c r="I14071"/>
      <c r="N14071"/>
      <c r="O14071" s="24"/>
      <c r="P14071"/>
      <c r="Q14071" s="24"/>
      <c r="R14071"/>
      <c r="S14071"/>
      <c r="T14071"/>
      <c r="U14071"/>
      <c r="X14071" s="60"/>
    </row>
    <row r="14072" spans="7:24" ht="15" customHeight="1">
      <c r="G14072"/>
      <c r="I14072"/>
      <c r="N14072"/>
      <c r="O14072" s="24"/>
      <c r="P14072"/>
      <c r="Q14072" s="24"/>
      <c r="R14072"/>
      <c r="S14072"/>
      <c r="T14072"/>
      <c r="U14072"/>
      <c r="X14072" s="60"/>
    </row>
    <row r="14073" spans="7:24" ht="15" customHeight="1">
      <c r="G14073"/>
      <c r="I14073"/>
      <c r="N14073"/>
      <c r="O14073" s="24"/>
      <c r="P14073"/>
      <c r="Q14073" s="24"/>
      <c r="R14073"/>
      <c r="S14073"/>
      <c r="T14073"/>
      <c r="U14073"/>
      <c r="X14073" s="60"/>
    </row>
    <row r="14074" spans="7:24" ht="15" customHeight="1">
      <c r="G14074"/>
      <c r="I14074"/>
      <c r="N14074"/>
      <c r="O14074" s="24"/>
      <c r="P14074"/>
      <c r="Q14074" s="24"/>
      <c r="R14074"/>
      <c r="S14074"/>
      <c r="T14074"/>
      <c r="U14074"/>
      <c r="X14074" s="60"/>
    </row>
    <row r="14075" spans="7:24" ht="15" customHeight="1">
      <c r="G14075"/>
      <c r="I14075"/>
      <c r="N14075"/>
      <c r="O14075" s="24"/>
      <c r="P14075"/>
      <c r="Q14075" s="24"/>
      <c r="R14075"/>
      <c r="S14075"/>
      <c r="T14075"/>
      <c r="U14075"/>
      <c r="X14075" s="60"/>
    </row>
    <row r="14076" spans="7:24" ht="15" customHeight="1">
      <c r="G14076"/>
      <c r="I14076"/>
      <c r="N14076"/>
      <c r="O14076" s="24"/>
      <c r="P14076"/>
      <c r="Q14076" s="24"/>
      <c r="R14076"/>
      <c r="S14076"/>
      <c r="T14076"/>
      <c r="U14076"/>
      <c r="X14076" s="60"/>
    </row>
    <row r="14077" spans="7:24" ht="15" customHeight="1">
      <c r="G14077"/>
      <c r="I14077"/>
      <c r="N14077"/>
      <c r="O14077" s="24"/>
      <c r="P14077"/>
      <c r="Q14077" s="24"/>
      <c r="R14077"/>
      <c r="S14077"/>
      <c r="T14077"/>
      <c r="U14077"/>
      <c r="X14077" s="60"/>
    </row>
    <row r="14078" spans="7:24" ht="15" customHeight="1">
      <c r="G14078"/>
      <c r="I14078"/>
      <c r="N14078"/>
      <c r="O14078" s="24"/>
      <c r="P14078"/>
      <c r="Q14078" s="24"/>
      <c r="R14078"/>
      <c r="S14078"/>
      <c r="T14078"/>
      <c r="U14078"/>
      <c r="X14078" s="60"/>
    </row>
    <row r="14079" spans="7:24" ht="15" customHeight="1">
      <c r="G14079"/>
      <c r="I14079"/>
      <c r="N14079"/>
      <c r="O14079" s="24"/>
      <c r="P14079"/>
      <c r="Q14079" s="24"/>
      <c r="R14079"/>
      <c r="S14079"/>
      <c r="T14079"/>
      <c r="U14079"/>
      <c r="X14079" s="60"/>
    </row>
    <row r="14080" spans="7:24" ht="15" customHeight="1">
      <c r="G14080"/>
      <c r="I14080"/>
      <c r="N14080"/>
      <c r="O14080" s="24"/>
      <c r="P14080"/>
      <c r="Q14080" s="24"/>
      <c r="R14080"/>
      <c r="S14080"/>
      <c r="T14080"/>
      <c r="U14080"/>
      <c r="X14080" s="60"/>
    </row>
    <row r="14081" spans="7:24" ht="15" customHeight="1">
      <c r="G14081"/>
      <c r="I14081"/>
      <c r="N14081"/>
      <c r="O14081" s="24"/>
      <c r="P14081"/>
      <c r="Q14081" s="24"/>
      <c r="R14081"/>
      <c r="S14081"/>
      <c r="T14081"/>
      <c r="U14081"/>
      <c r="X14081" s="60"/>
    </row>
    <row r="14082" spans="7:24" ht="15" customHeight="1">
      <c r="G14082"/>
      <c r="I14082"/>
      <c r="N14082"/>
      <c r="O14082" s="24"/>
      <c r="P14082"/>
      <c r="Q14082" s="24"/>
      <c r="R14082"/>
      <c r="S14082"/>
      <c r="T14082"/>
      <c r="U14082"/>
      <c r="X14082" s="60"/>
    </row>
    <row r="14083" spans="7:24" ht="15" customHeight="1">
      <c r="G14083"/>
      <c r="I14083"/>
      <c r="N14083"/>
      <c r="O14083" s="24"/>
      <c r="P14083"/>
      <c r="Q14083" s="24"/>
      <c r="R14083"/>
      <c r="S14083"/>
      <c r="T14083"/>
      <c r="U14083"/>
      <c r="X14083" s="60"/>
    </row>
    <row r="14084" spans="7:24" ht="15" customHeight="1">
      <c r="G14084"/>
      <c r="I14084"/>
      <c r="N14084"/>
      <c r="O14084" s="24"/>
      <c r="P14084"/>
      <c r="Q14084" s="24"/>
      <c r="R14084"/>
      <c r="S14084"/>
      <c r="T14084"/>
      <c r="U14084"/>
      <c r="X14084" s="60"/>
    </row>
    <row r="14085" spans="7:24" ht="15" customHeight="1">
      <c r="G14085"/>
      <c r="I14085"/>
      <c r="N14085"/>
      <c r="O14085" s="24"/>
      <c r="P14085"/>
      <c r="Q14085" s="24"/>
      <c r="R14085"/>
      <c r="S14085"/>
      <c r="T14085"/>
      <c r="U14085"/>
      <c r="X14085" s="60"/>
    </row>
    <row r="14086" spans="7:24" ht="15" customHeight="1">
      <c r="G14086"/>
      <c r="I14086"/>
      <c r="N14086"/>
      <c r="O14086" s="24"/>
      <c r="P14086"/>
      <c r="Q14086" s="24"/>
      <c r="R14086"/>
      <c r="S14086"/>
      <c r="T14086"/>
      <c r="U14086"/>
      <c r="X14086" s="60"/>
    </row>
    <row r="14087" spans="7:24" ht="15" customHeight="1">
      <c r="G14087"/>
      <c r="I14087"/>
      <c r="N14087"/>
      <c r="O14087" s="24"/>
      <c r="P14087"/>
      <c r="Q14087" s="24"/>
      <c r="R14087"/>
      <c r="S14087"/>
      <c r="T14087"/>
      <c r="U14087"/>
      <c r="X14087" s="60"/>
    </row>
    <row r="14088" spans="7:24" ht="15" customHeight="1">
      <c r="G14088"/>
      <c r="I14088"/>
      <c r="N14088"/>
      <c r="O14088" s="24"/>
      <c r="P14088"/>
      <c r="Q14088" s="24"/>
      <c r="R14088"/>
      <c r="S14088"/>
      <c r="T14088"/>
      <c r="U14088"/>
      <c r="X14088" s="60"/>
    </row>
    <row r="14089" spans="7:24" ht="15" customHeight="1">
      <c r="G14089"/>
      <c r="I14089"/>
      <c r="N14089"/>
      <c r="O14089" s="24"/>
      <c r="P14089"/>
      <c r="Q14089" s="24"/>
      <c r="R14089"/>
      <c r="S14089"/>
      <c r="T14089"/>
      <c r="U14089"/>
      <c r="X14089" s="60"/>
    </row>
    <row r="14090" spans="7:24" ht="15" customHeight="1">
      <c r="G14090"/>
      <c r="I14090"/>
      <c r="N14090"/>
      <c r="O14090" s="24"/>
      <c r="P14090"/>
      <c r="Q14090" s="24"/>
      <c r="R14090"/>
      <c r="S14090"/>
      <c r="T14090"/>
      <c r="U14090"/>
      <c r="X14090" s="60"/>
    </row>
    <row r="14091" spans="7:24" ht="15" customHeight="1">
      <c r="G14091"/>
      <c r="I14091"/>
      <c r="N14091"/>
      <c r="O14091" s="24"/>
      <c r="P14091"/>
      <c r="Q14091" s="24"/>
      <c r="R14091"/>
      <c r="S14091"/>
      <c r="T14091"/>
      <c r="U14091"/>
      <c r="X14091" s="60"/>
    </row>
    <row r="14092" spans="7:24" ht="15" customHeight="1">
      <c r="G14092"/>
      <c r="I14092"/>
      <c r="N14092"/>
      <c r="O14092" s="24"/>
      <c r="P14092"/>
      <c r="Q14092" s="24"/>
      <c r="R14092"/>
      <c r="S14092"/>
      <c r="T14092"/>
      <c r="U14092"/>
      <c r="X14092" s="60"/>
    </row>
    <row r="14093" spans="7:24" ht="15" customHeight="1">
      <c r="G14093"/>
      <c r="I14093"/>
      <c r="N14093"/>
      <c r="O14093" s="24"/>
      <c r="P14093"/>
      <c r="Q14093" s="24"/>
      <c r="R14093"/>
      <c r="S14093"/>
      <c r="T14093"/>
      <c r="U14093"/>
      <c r="X14093" s="60"/>
    </row>
    <row r="14094" spans="7:24" ht="15" customHeight="1">
      <c r="G14094"/>
      <c r="I14094"/>
      <c r="N14094"/>
      <c r="O14094" s="24"/>
      <c r="P14094"/>
      <c r="Q14094" s="24"/>
      <c r="R14094"/>
      <c r="S14094"/>
      <c r="T14094"/>
      <c r="U14094"/>
      <c r="X14094" s="60"/>
    </row>
    <row r="14095" spans="7:24" ht="15" customHeight="1">
      <c r="G14095"/>
      <c r="I14095"/>
      <c r="N14095"/>
      <c r="O14095" s="24"/>
      <c r="P14095"/>
      <c r="Q14095" s="24"/>
      <c r="R14095"/>
      <c r="S14095"/>
      <c r="T14095"/>
      <c r="U14095"/>
      <c r="X14095" s="60"/>
    </row>
    <row r="14096" spans="7:24" ht="15" customHeight="1">
      <c r="G14096"/>
      <c r="I14096"/>
      <c r="N14096"/>
      <c r="O14096" s="24"/>
      <c r="P14096"/>
      <c r="Q14096" s="24"/>
      <c r="R14096"/>
      <c r="S14096"/>
      <c r="T14096"/>
      <c r="U14096"/>
      <c r="X14096" s="60"/>
    </row>
    <row r="14097" spans="7:24" ht="15" customHeight="1">
      <c r="G14097"/>
      <c r="I14097"/>
      <c r="N14097"/>
      <c r="O14097" s="24"/>
      <c r="P14097"/>
      <c r="Q14097" s="24"/>
      <c r="R14097"/>
      <c r="S14097"/>
      <c r="T14097"/>
      <c r="U14097"/>
      <c r="X14097" s="60"/>
    </row>
    <row r="14098" spans="7:24" ht="15" customHeight="1">
      <c r="G14098"/>
      <c r="I14098"/>
      <c r="N14098"/>
      <c r="O14098" s="24"/>
      <c r="P14098"/>
      <c r="Q14098" s="24"/>
      <c r="R14098"/>
      <c r="S14098"/>
      <c r="T14098"/>
      <c r="U14098"/>
      <c r="X14098" s="60"/>
    </row>
    <row r="14099" spans="7:24" ht="15" customHeight="1">
      <c r="G14099"/>
      <c r="I14099"/>
      <c r="N14099"/>
      <c r="O14099" s="24"/>
      <c r="P14099"/>
      <c r="Q14099" s="24"/>
      <c r="R14099"/>
      <c r="S14099"/>
      <c r="T14099"/>
      <c r="U14099"/>
      <c r="X14099" s="60"/>
    </row>
    <row r="14100" spans="7:24" ht="15" customHeight="1">
      <c r="G14100"/>
      <c r="I14100"/>
      <c r="N14100"/>
      <c r="O14100" s="24"/>
      <c r="P14100"/>
      <c r="Q14100" s="24"/>
      <c r="R14100"/>
      <c r="S14100"/>
      <c r="T14100"/>
      <c r="U14100"/>
      <c r="X14100" s="60"/>
    </row>
    <row r="14101" spans="7:24" ht="15" customHeight="1">
      <c r="G14101"/>
      <c r="I14101"/>
      <c r="N14101"/>
      <c r="O14101" s="24"/>
      <c r="P14101"/>
      <c r="Q14101" s="24"/>
      <c r="R14101"/>
      <c r="S14101"/>
      <c r="T14101"/>
      <c r="U14101"/>
      <c r="X14101" s="60"/>
    </row>
    <row r="14102" spans="7:24" ht="15" customHeight="1">
      <c r="G14102"/>
      <c r="I14102"/>
      <c r="N14102"/>
      <c r="O14102" s="24"/>
      <c r="P14102"/>
      <c r="Q14102" s="24"/>
      <c r="R14102"/>
      <c r="S14102"/>
      <c r="T14102"/>
      <c r="U14102"/>
      <c r="X14102" s="60"/>
    </row>
    <row r="14103" spans="7:24" ht="15" customHeight="1">
      <c r="G14103"/>
      <c r="I14103"/>
      <c r="N14103"/>
      <c r="O14103" s="24"/>
      <c r="P14103"/>
      <c r="Q14103" s="24"/>
      <c r="R14103"/>
      <c r="S14103"/>
      <c r="T14103"/>
      <c r="U14103"/>
      <c r="X14103" s="60"/>
    </row>
    <row r="14104" spans="7:24" ht="15" customHeight="1">
      <c r="G14104"/>
      <c r="I14104"/>
      <c r="N14104"/>
      <c r="O14104" s="24"/>
      <c r="P14104"/>
      <c r="Q14104" s="24"/>
      <c r="R14104"/>
      <c r="S14104"/>
      <c r="T14104"/>
      <c r="U14104"/>
      <c r="X14104" s="60"/>
    </row>
    <row r="14105" spans="7:24" ht="15" customHeight="1">
      <c r="G14105"/>
      <c r="I14105"/>
      <c r="N14105"/>
      <c r="O14105" s="24"/>
      <c r="P14105"/>
      <c r="Q14105" s="24"/>
      <c r="R14105"/>
      <c r="S14105"/>
      <c r="T14105"/>
      <c r="U14105"/>
      <c r="X14105" s="60"/>
    </row>
    <row r="14106" spans="7:24" ht="15" customHeight="1">
      <c r="G14106"/>
      <c r="I14106"/>
      <c r="N14106"/>
      <c r="O14106" s="24"/>
      <c r="P14106"/>
      <c r="Q14106" s="24"/>
      <c r="R14106"/>
      <c r="S14106"/>
      <c r="T14106"/>
      <c r="U14106"/>
      <c r="X14106" s="60"/>
    </row>
    <row r="14107" spans="7:24" ht="15" customHeight="1">
      <c r="G14107"/>
      <c r="I14107"/>
      <c r="N14107"/>
      <c r="O14107" s="24"/>
      <c r="P14107"/>
      <c r="Q14107" s="24"/>
      <c r="R14107"/>
      <c r="S14107"/>
      <c r="T14107"/>
      <c r="U14107"/>
      <c r="X14107" s="60"/>
    </row>
    <row r="14108" spans="7:24" ht="15" customHeight="1">
      <c r="G14108"/>
      <c r="I14108"/>
      <c r="N14108"/>
      <c r="O14108" s="24"/>
      <c r="P14108"/>
      <c r="Q14108" s="24"/>
      <c r="R14108"/>
      <c r="S14108"/>
      <c r="T14108"/>
      <c r="U14108"/>
      <c r="X14108" s="60"/>
    </row>
    <row r="14109" spans="7:24" ht="15" customHeight="1">
      <c r="G14109"/>
      <c r="I14109"/>
      <c r="N14109"/>
      <c r="O14109" s="24"/>
      <c r="P14109"/>
      <c r="Q14109" s="24"/>
      <c r="R14109"/>
      <c r="S14109"/>
      <c r="T14109"/>
      <c r="U14109"/>
      <c r="X14109" s="60"/>
    </row>
    <row r="14110" spans="7:24" ht="15" customHeight="1">
      <c r="G14110"/>
      <c r="I14110"/>
      <c r="N14110"/>
      <c r="O14110" s="24"/>
      <c r="P14110"/>
      <c r="Q14110" s="24"/>
      <c r="R14110"/>
      <c r="S14110"/>
      <c r="T14110"/>
      <c r="U14110"/>
      <c r="X14110" s="60"/>
    </row>
    <row r="14111" spans="7:24" ht="15" customHeight="1">
      <c r="G14111"/>
      <c r="I14111"/>
      <c r="N14111"/>
      <c r="O14111" s="24"/>
      <c r="P14111"/>
      <c r="Q14111" s="24"/>
      <c r="R14111"/>
      <c r="S14111"/>
      <c r="T14111"/>
      <c r="U14111"/>
      <c r="X14111" s="60"/>
    </row>
    <row r="14112" spans="7:24" ht="15" customHeight="1">
      <c r="G14112"/>
      <c r="I14112"/>
      <c r="N14112"/>
      <c r="O14112" s="24"/>
      <c r="P14112"/>
      <c r="Q14112" s="24"/>
      <c r="R14112"/>
      <c r="S14112"/>
      <c r="T14112"/>
      <c r="U14112"/>
      <c r="X14112" s="60"/>
    </row>
    <row r="14113" spans="7:24" ht="15" customHeight="1">
      <c r="G14113"/>
      <c r="I14113"/>
      <c r="N14113"/>
      <c r="O14113" s="24"/>
      <c r="P14113"/>
      <c r="Q14113" s="24"/>
      <c r="R14113"/>
      <c r="S14113"/>
      <c r="T14113"/>
      <c r="U14113"/>
      <c r="X14113" s="60"/>
    </row>
    <row r="14114" spans="7:24" ht="15" customHeight="1">
      <c r="G14114"/>
      <c r="I14114"/>
      <c r="N14114"/>
      <c r="O14114" s="24"/>
      <c r="P14114"/>
      <c r="Q14114" s="24"/>
      <c r="R14114"/>
      <c r="S14114"/>
      <c r="T14114"/>
      <c r="U14114"/>
      <c r="X14114" s="60"/>
    </row>
    <row r="14115" spans="7:24" ht="15" customHeight="1">
      <c r="G14115"/>
      <c r="I14115"/>
      <c r="N14115"/>
      <c r="O14115" s="24"/>
      <c r="P14115"/>
      <c r="Q14115" s="24"/>
      <c r="R14115"/>
      <c r="S14115"/>
      <c r="T14115"/>
      <c r="U14115"/>
      <c r="X14115" s="60"/>
    </row>
    <row r="14116" spans="7:24" ht="15" customHeight="1">
      <c r="G14116"/>
      <c r="I14116"/>
      <c r="N14116"/>
      <c r="O14116" s="24"/>
      <c r="P14116"/>
      <c r="Q14116" s="24"/>
      <c r="R14116"/>
      <c r="S14116"/>
      <c r="T14116"/>
      <c r="U14116"/>
      <c r="X14116" s="60"/>
    </row>
    <row r="14117" spans="7:24" ht="15" customHeight="1">
      <c r="G14117"/>
      <c r="I14117"/>
      <c r="N14117"/>
      <c r="O14117" s="24"/>
      <c r="P14117"/>
      <c r="Q14117" s="24"/>
      <c r="R14117"/>
      <c r="S14117"/>
      <c r="T14117"/>
      <c r="U14117"/>
      <c r="X14117" s="60"/>
    </row>
    <row r="14118" spans="7:24" ht="15" customHeight="1">
      <c r="G14118"/>
      <c r="I14118"/>
      <c r="N14118"/>
      <c r="O14118" s="24"/>
      <c r="P14118"/>
      <c r="Q14118" s="24"/>
      <c r="R14118"/>
      <c r="S14118"/>
      <c r="T14118"/>
      <c r="U14118"/>
      <c r="X14118" s="60"/>
    </row>
    <row r="14119" spans="7:24" ht="15" customHeight="1">
      <c r="G14119"/>
      <c r="I14119"/>
      <c r="N14119"/>
      <c r="O14119" s="24"/>
      <c r="P14119"/>
      <c r="Q14119" s="24"/>
      <c r="R14119"/>
      <c r="S14119"/>
      <c r="T14119"/>
      <c r="U14119"/>
      <c r="X14119" s="60"/>
    </row>
    <row r="14120" spans="7:24" ht="15" customHeight="1">
      <c r="G14120"/>
      <c r="I14120"/>
      <c r="N14120"/>
      <c r="O14120" s="24"/>
      <c r="P14120"/>
      <c r="Q14120" s="24"/>
      <c r="R14120"/>
      <c r="S14120"/>
      <c r="T14120"/>
      <c r="U14120"/>
      <c r="X14120" s="60"/>
    </row>
    <row r="14121" spans="7:24" ht="15" customHeight="1">
      <c r="G14121"/>
      <c r="I14121"/>
      <c r="N14121"/>
      <c r="O14121" s="24"/>
      <c r="P14121"/>
      <c r="Q14121" s="24"/>
      <c r="R14121"/>
      <c r="S14121"/>
      <c r="T14121"/>
      <c r="U14121"/>
      <c r="X14121" s="60"/>
    </row>
    <row r="14122" spans="7:24" ht="15" customHeight="1">
      <c r="G14122"/>
      <c r="I14122"/>
      <c r="N14122"/>
      <c r="O14122" s="24"/>
      <c r="P14122"/>
      <c r="Q14122" s="24"/>
      <c r="R14122"/>
      <c r="S14122"/>
      <c r="T14122"/>
      <c r="U14122"/>
      <c r="X14122" s="60"/>
    </row>
    <row r="14123" spans="7:24" ht="15" customHeight="1">
      <c r="G14123"/>
      <c r="I14123"/>
      <c r="N14123"/>
      <c r="O14123" s="24"/>
      <c r="P14123"/>
      <c r="Q14123" s="24"/>
      <c r="R14123"/>
      <c r="S14123"/>
      <c r="T14123"/>
      <c r="U14123"/>
      <c r="X14123" s="60"/>
    </row>
    <row r="14124" spans="7:24" ht="15" customHeight="1">
      <c r="G14124"/>
      <c r="I14124"/>
      <c r="N14124"/>
      <c r="O14124" s="24"/>
      <c r="P14124"/>
      <c r="Q14124" s="24"/>
      <c r="R14124"/>
      <c r="S14124"/>
      <c r="T14124"/>
      <c r="U14124"/>
      <c r="X14124" s="60"/>
    </row>
    <row r="14125" spans="7:24" ht="15" customHeight="1">
      <c r="G14125"/>
      <c r="I14125"/>
      <c r="N14125"/>
      <c r="O14125" s="24"/>
      <c r="P14125"/>
      <c r="Q14125" s="24"/>
      <c r="R14125"/>
      <c r="S14125"/>
      <c r="T14125"/>
      <c r="U14125"/>
      <c r="X14125" s="60"/>
    </row>
    <row r="14126" spans="7:24" ht="15" customHeight="1">
      <c r="G14126"/>
      <c r="I14126"/>
      <c r="N14126"/>
      <c r="O14126" s="24"/>
      <c r="P14126"/>
      <c r="Q14126" s="24"/>
      <c r="R14126"/>
      <c r="S14126"/>
      <c r="T14126"/>
      <c r="U14126"/>
      <c r="X14126" s="60"/>
    </row>
    <row r="14127" spans="7:24" ht="15" customHeight="1">
      <c r="G14127"/>
      <c r="I14127"/>
      <c r="N14127"/>
      <c r="O14127" s="24"/>
      <c r="P14127"/>
      <c r="Q14127" s="24"/>
      <c r="R14127"/>
      <c r="S14127"/>
      <c r="T14127"/>
      <c r="U14127"/>
      <c r="X14127" s="60"/>
    </row>
    <row r="14128" spans="7:24" ht="15" customHeight="1">
      <c r="G14128"/>
      <c r="I14128"/>
      <c r="N14128"/>
      <c r="O14128" s="24"/>
      <c r="P14128"/>
      <c r="Q14128" s="24"/>
      <c r="R14128"/>
      <c r="S14128"/>
      <c r="T14128"/>
      <c r="U14128"/>
      <c r="X14128" s="60"/>
    </row>
    <row r="14129" spans="7:24" ht="15" customHeight="1">
      <c r="G14129"/>
      <c r="I14129"/>
      <c r="N14129"/>
      <c r="O14129" s="24"/>
      <c r="P14129"/>
      <c r="Q14129" s="24"/>
      <c r="R14129"/>
      <c r="S14129"/>
      <c r="T14129"/>
      <c r="U14129"/>
      <c r="X14129" s="60"/>
    </row>
    <row r="14130" spans="7:24" ht="15" customHeight="1">
      <c r="G14130"/>
      <c r="I14130"/>
      <c r="N14130"/>
      <c r="O14130" s="24"/>
      <c r="P14130"/>
      <c r="Q14130" s="24"/>
      <c r="R14130"/>
      <c r="S14130"/>
      <c r="T14130"/>
      <c r="U14130"/>
      <c r="X14130" s="60"/>
    </row>
    <row r="14131" spans="7:24" ht="15" customHeight="1">
      <c r="G14131"/>
      <c r="I14131"/>
      <c r="N14131"/>
      <c r="O14131" s="24"/>
      <c r="P14131"/>
      <c r="Q14131" s="24"/>
      <c r="R14131"/>
      <c r="S14131"/>
      <c r="T14131"/>
      <c r="U14131"/>
      <c r="X14131" s="60"/>
    </row>
    <row r="14132" spans="7:24" ht="15" customHeight="1">
      <c r="G14132"/>
      <c r="I14132"/>
      <c r="N14132"/>
      <c r="O14132" s="24"/>
      <c r="P14132"/>
      <c r="Q14132" s="24"/>
      <c r="R14132"/>
      <c r="S14132"/>
      <c r="T14132"/>
      <c r="U14132"/>
      <c r="X14132" s="60"/>
    </row>
    <row r="14133" spans="7:24" ht="15" customHeight="1">
      <c r="G14133"/>
      <c r="I14133"/>
      <c r="N14133"/>
      <c r="O14133" s="24"/>
      <c r="P14133"/>
      <c r="Q14133" s="24"/>
      <c r="R14133"/>
      <c r="S14133"/>
      <c r="T14133"/>
      <c r="U14133"/>
      <c r="X14133" s="60"/>
    </row>
    <row r="14134" spans="7:24" ht="15" customHeight="1">
      <c r="G14134"/>
      <c r="I14134"/>
      <c r="N14134"/>
      <c r="O14134" s="24"/>
      <c r="P14134"/>
      <c r="Q14134" s="24"/>
      <c r="R14134"/>
      <c r="S14134"/>
      <c r="T14134"/>
      <c r="U14134"/>
      <c r="X14134" s="60"/>
    </row>
    <row r="14135" spans="7:24" ht="15" customHeight="1">
      <c r="G14135"/>
      <c r="I14135"/>
      <c r="N14135"/>
      <c r="O14135" s="24"/>
      <c r="P14135"/>
      <c r="Q14135" s="24"/>
      <c r="R14135"/>
      <c r="S14135"/>
      <c r="T14135"/>
      <c r="U14135"/>
      <c r="X14135" s="60"/>
    </row>
    <row r="14136" spans="7:24" ht="15" customHeight="1">
      <c r="G14136"/>
      <c r="I14136"/>
      <c r="N14136"/>
      <c r="O14136" s="24"/>
      <c r="P14136"/>
      <c r="Q14136" s="24"/>
      <c r="R14136"/>
      <c r="S14136"/>
      <c r="T14136"/>
      <c r="U14136"/>
      <c r="X14136" s="60"/>
    </row>
    <row r="14137" spans="7:24" ht="15" customHeight="1">
      <c r="G14137"/>
      <c r="I14137"/>
      <c r="N14137"/>
      <c r="O14137" s="24"/>
      <c r="P14137"/>
      <c r="Q14137" s="24"/>
      <c r="R14137"/>
      <c r="S14137"/>
      <c r="T14137"/>
      <c r="U14137"/>
      <c r="X14137" s="60"/>
    </row>
    <row r="14138" spans="7:24" ht="15" customHeight="1">
      <c r="G14138"/>
      <c r="I14138"/>
      <c r="N14138"/>
      <c r="O14138" s="24"/>
      <c r="P14138"/>
      <c r="Q14138" s="24"/>
      <c r="R14138"/>
      <c r="S14138"/>
      <c r="T14138"/>
      <c r="U14138"/>
      <c r="X14138" s="60"/>
    </row>
    <row r="14139" spans="7:24" ht="15" customHeight="1">
      <c r="G14139"/>
      <c r="I14139"/>
      <c r="N14139"/>
      <c r="O14139" s="24"/>
      <c r="P14139"/>
      <c r="Q14139" s="24"/>
      <c r="R14139"/>
      <c r="S14139"/>
      <c r="T14139"/>
      <c r="U14139"/>
      <c r="X14139" s="60"/>
    </row>
    <row r="14140" spans="7:24" ht="15" customHeight="1">
      <c r="G14140"/>
      <c r="I14140"/>
      <c r="N14140"/>
      <c r="O14140" s="24"/>
      <c r="P14140"/>
      <c r="Q14140" s="24"/>
      <c r="R14140"/>
      <c r="S14140"/>
      <c r="T14140"/>
      <c r="U14140"/>
      <c r="X14140" s="60"/>
    </row>
    <row r="14141" spans="7:24" ht="15" customHeight="1">
      <c r="G14141"/>
      <c r="I14141"/>
      <c r="N14141"/>
      <c r="O14141" s="24"/>
      <c r="P14141"/>
      <c r="Q14141" s="24"/>
      <c r="R14141"/>
      <c r="S14141"/>
      <c r="T14141"/>
      <c r="U14141"/>
      <c r="X14141" s="60"/>
    </row>
    <row r="14142" spans="7:24" ht="15" customHeight="1">
      <c r="G14142"/>
      <c r="I14142"/>
      <c r="N14142"/>
      <c r="O14142" s="24"/>
      <c r="P14142"/>
      <c r="Q14142" s="24"/>
      <c r="R14142"/>
      <c r="S14142"/>
      <c r="T14142"/>
      <c r="U14142"/>
      <c r="X14142" s="60"/>
    </row>
    <row r="14143" spans="7:24" ht="15" customHeight="1">
      <c r="G14143"/>
      <c r="I14143"/>
      <c r="N14143"/>
      <c r="O14143" s="24"/>
      <c r="P14143"/>
      <c r="Q14143" s="24"/>
      <c r="R14143"/>
      <c r="S14143"/>
      <c r="T14143"/>
      <c r="U14143"/>
      <c r="X14143" s="60"/>
    </row>
    <row r="14144" spans="7:24" ht="15" customHeight="1">
      <c r="G14144"/>
      <c r="I14144"/>
      <c r="N14144"/>
      <c r="O14144" s="24"/>
      <c r="P14144"/>
      <c r="Q14144" s="24"/>
      <c r="R14144"/>
      <c r="S14144"/>
      <c r="T14144"/>
      <c r="U14144"/>
      <c r="X14144" s="60"/>
    </row>
    <row r="14145" spans="7:24" ht="15" customHeight="1">
      <c r="G14145"/>
      <c r="I14145"/>
      <c r="N14145"/>
      <c r="O14145" s="24"/>
      <c r="P14145"/>
      <c r="Q14145" s="24"/>
      <c r="R14145"/>
      <c r="S14145"/>
      <c r="T14145"/>
      <c r="U14145"/>
      <c r="X14145" s="60"/>
    </row>
    <row r="14146" spans="7:24" ht="15" customHeight="1">
      <c r="G14146"/>
      <c r="I14146"/>
      <c r="N14146"/>
      <c r="O14146" s="24"/>
      <c r="P14146"/>
      <c r="Q14146" s="24"/>
      <c r="R14146"/>
      <c r="S14146"/>
      <c r="T14146"/>
      <c r="U14146"/>
      <c r="X14146" s="60"/>
    </row>
    <row r="14147" spans="7:24" ht="15" customHeight="1">
      <c r="G14147"/>
      <c r="I14147"/>
      <c r="N14147"/>
      <c r="O14147" s="24"/>
      <c r="P14147"/>
      <c r="Q14147" s="24"/>
      <c r="R14147"/>
      <c r="S14147"/>
      <c r="T14147"/>
      <c r="U14147"/>
      <c r="X14147" s="60"/>
    </row>
    <row r="14148" spans="7:24" ht="15" customHeight="1">
      <c r="G14148"/>
      <c r="I14148"/>
      <c r="N14148"/>
      <c r="O14148" s="24"/>
      <c r="P14148"/>
      <c r="Q14148" s="24"/>
      <c r="R14148"/>
      <c r="S14148"/>
      <c r="T14148"/>
      <c r="U14148"/>
      <c r="X14148" s="60"/>
    </row>
    <row r="14149" spans="7:24" ht="15" customHeight="1">
      <c r="G14149"/>
      <c r="I14149"/>
      <c r="N14149"/>
      <c r="O14149" s="24"/>
      <c r="P14149"/>
      <c r="Q14149" s="24"/>
      <c r="R14149"/>
      <c r="S14149"/>
      <c r="T14149"/>
      <c r="U14149"/>
      <c r="X14149" s="60"/>
    </row>
    <row r="14150" spans="7:24" ht="15" customHeight="1">
      <c r="G14150"/>
      <c r="I14150"/>
      <c r="N14150"/>
      <c r="O14150" s="24"/>
      <c r="P14150"/>
      <c r="Q14150" s="24"/>
      <c r="R14150"/>
      <c r="S14150"/>
      <c r="T14150"/>
      <c r="U14150"/>
      <c r="X14150" s="60"/>
    </row>
    <row r="14151" spans="7:24" ht="15" customHeight="1">
      <c r="G14151"/>
      <c r="I14151"/>
      <c r="N14151"/>
      <c r="O14151" s="24"/>
      <c r="P14151"/>
      <c r="Q14151" s="24"/>
      <c r="R14151"/>
      <c r="S14151"/>
      <c r="T14151"/>
      <c r="U14151"/>
      <c r="X14151" s="60"/>
    </row>
    <row r="14152" spans="7:24" ht="15" customHeight="1">
      <c r="G14152"/>
      <c r="I14152"/>
      <c r="N14152"/>
      <c r="O14152" s="24"/>
      <c r="P14152"/>
      <c r="Q14152" s="24"/>
      <c r="R14152"/>
      <c r="S14152"/>
      <c r="T14152"/>
      <c r="U14152"/>
      <c r="X14152" s="60"/>
    </row>
    <row r="14153" spans="7:24" ht="15" customHeight="1">
      <c r="G14153"/>
      <c r="I14153"/>
      <c r="N14153"/>
      <c r="O14153" s="24"/>
      <c r="P14153"/>
      <c r="Q14153" s="24"/>
      <c r="R14153"/>
      <c r="S14153"/>
      <c r="T14153"/>
      <c r="U14153"/>
      <c r="X14153" s="60"/>
    </row>
    <row r="14154" spans="7:24" ht="15" customHeight="1">
      <c r="G14154"/>
      <c r="I14154"/>
      <c r="N14154"/>
      <c r="O14154" s="24"/>
      <c r="P14154"/>
      <c r="Q14154" s="24"/>
      <c r="R14154"/>
      <c r="S14154"/>
      <c r="T14154"/>
      <c r="U14154"/>
      <c r="X14154" s="60"/>
    </row>
    <row r="14155" spans="7:24" ht="15" customHeight="1">
      <c r="G14155"/>
      <c r="I14155"/>
      <c r="N14155"/>
      <c r="O14155" s="24"/>
      <c r="P14155"/>
      <c r="Q14155" s="24"/>
      <c r="R14155"/>
      <c r="S14155"/>
      <c r="T14155"/>
      <c r="U14155"/>
      <c r="X14155" s="60"/>
    </row>
    <row r="14156" spans="7:24" ht="15" customHeight="1">
      <c r="G14156"/>
      <c r="I14156"/>
      <c r="N14156"/>
      <c r="O14156" s="24"/>
      <c r="P14156"/>
      <c r="Q14156" s="24"/>
      <c r="R14156"/>
      <c r="S14156"/>
      <c r="T14156"/>
      <c r="U14156"/>
      <c r="X14156" s="60"/>
    </row>
    <row r="14157" spans="7:24" ht="15" customHeight="1">
      <c r="G14157"/>
      <c r="I14157"/>
      <c r="N14157"/>
      <c r="O14157" s="24"/>
      <c r="P14157"/>
      <c r="Q14157" s="24"/>
      <c r="R14157"/>
      <c r="S14157"/>
      <c r="T14157"/>
      <c r="U14157"/>
      <c r="X14157" s="60"/>
    </row>
    <row r="14158" spans="7:24" ht="15" customHeight="1">
      <c r="G14158"/>
      <c r="I14158"/>
      <c r="N14158"/>
      <c r="O14158" s="24"/>
      <c r="P14158"/>
      <c r="Q14158" s="24"/>
      <c r="R14158"/>
      <c r="S14158"/>
      <c r="T14158"/>
      <c r="U14158"/>
      <c r="X14158" s="60"/>
    </row>
    <row r="14159" spans="7:24" ht="15" customHeight="1">
      <c r="G14159"/>
      <c r="I14159"/>
      <c r="N14159"/>
      <c r="O14159" s="24"/>
      <c r="P14159"/>
      <c r="Q14159" s="24"/>
      <c r="R14159"/>
      <c r="S14159"/>
      <c r="T14159"/>
      <c r="U14159"/>
      <c r="X14159" s="60"/>
    </row>
    <row r="14160" spans="7:24" ht="15" customHeight="1">
      <c r="G14160"/>
      <c r="I14160"/>
      <c r="N14160"/>
      <c r="O14160" s="24"/>
      <c r="P14160"/>
      <c r="Q14160" s="24"/>
      <c r="R14160"/>
      <c r="S14160"/>
      <c r="T14160"/>
      <c r="U14160"/>
      <c r="X14160" s="60"/>
    </row>
    <row r="14161" spans="7:24" ht="15" customHeight="1">
      <c r="G14161"/>
      <c r="I14161"/>
      <c r="N14161"/>
      <c r="O14161" s="24"/>
      <c r="P14161"/>
      <c r="Q14161" s="24"/>
      <c r="R14161"/>
      <c r="S14161"/>
      <c r="T14161"/>
      <c r="U14161"/>
      <c r="X14161" s="60"/>
    </row>
    <row r="14162" spans="7:24" ht="15" customHeight="1">
      <c r="G14162"/>
      <c r="I14162"/>
      <c r="N14162"/>
      <c r="O14162" s="24"/>
      <c r="P14162"/>
      <c r="Q14162" s="24"/>
      <c r="R14162"/>
      <c r="S14162"/>
      <c r="T14162"/>
      <c r="U14162"/>
      <c r="X14162" s="60"/>
    </row>
    <row r="14163" spans="7:24" ht="15" customHeight="1">
      <c r="G14163"/>
      <c r="I14163"/>
      <c r="N14163"/>
      <c r="O14163" s="24"/>
      <c r="P14163"/>
      <c r="Q14163" s="24"/>
      <c r="R14163"/>
      <c r="S14163"/>
      <c r="T14163"/>
      <c r="U14163"/>
      <c r="X14163" s="60"/>
    </row>
    <row r="14164" spans="7:24" ht="15" customHeight="1">
      <c r="G14164"/>
      <c r="I14164"/>
      <c r="N14164"/>
      <c r="O14164" s="24"/>
      <c r="P14164"/>
      <c r="Q14164" s="24"/>
      <c r="R14164"/>
      <c r="S14164"/>
      <c r="T14164"/>
      <c r="U14164"/>
      <c r="X14164" s="60"/>
    </row>
    <row r="14165" spans="7:24" ht="15" customHeight="1">
      <c r="G14165"/>
      <c r="I14165"/>
      <c r="N14165"/>
      <c r="O14165" s="24"/>
      <c r="P14165"/>
      <c r="Q14165" s="24"/>
      <c r="R14165"/>
      <c r="S14165"/>
      <c r="T14165"/>
      <c r="U14165"/>
      <c r="X14165" s="60"/>
    </row>
    <row r="14166" spans="7:24" ht="15" customHeight="1">
      <c r="G14166"/>
      <c r="I14166"/>
      <c r="N14166"/>
      <c r="O14166" s="24"/>
      <c r="P14166"/>
      <c r="Q14166" s="24"/>
      <c r="R14166"/>
      <c r="S14166"/>
      <c r="T14166"/>
      <c r="U14166"/>
      <c r="X14166" s="60"/>
    </row>
    <row r="14167" spans="7:24" ht="15" customHeight="1">
      <c r="G14167"/>
      <c r="I14167"/>
      <c r="N14167"/>
      <c r="O14167" s="24"/>
      <c r="P14167"/>
      <c r="Q14167" s="24"/>
      <c r="R14167"/>
      <c r="S14167"/>
      <c r="T14167"/>
      <c r="U14167"/>
      <c r="X14167" s="60"/>
    </row>
    <row r="14168" spans="7:24" ht="15" customHeight="1">
      <c r="G14168"/>
      <c r="I14168"/>
      <c r="N14168"/>
      <c r="O14168" s="24"/>
      <c r="P14168"/>
      <c r="Q14168" s="24"/>
      <c r="R14168"/>
      <c r="S14168"/>
      <c r="T14168"/>
      <c r="U14168"/>
      <c r="X14168" s="60"/>
    </row>
    <row r="14169" spans="7:24" ht="15" customHeight="1">
      <c r="G14169"/>
      <c r="I14169"/>
      <c r="N14169"/>
      <c r="O14169" s="24"/>
      <c r="P14169"/>
      <c r="Q14169" s="24"/>
      <c r="R14169"/>
      <c r="S14169"/>
      <c r="T14169"/>
      <c r="U14169"/>
      <c r="X14169" s="60"/>
    </row>
    <row r="14170" spans="7:24" ht="15" customHeight="1">
      <c r="G14170"/>
      <c r="I14170"/>
      <c r="N14170"/>
      <c r="O14170" s="24"/>
      <c r="P14170"/>
      <c r="Q14170" s="24"/>
      <c r="R14170"/>
      <c r="S14170"/>
      <c r="T14170"/>
      <c r="U14170"/>
      <c r="X14170" s="60"/>
    </row>
    <row r="14171" spans="7:24" ht="15" customHeight="1">
      <c r="G14171"/>
      <c r="I14171"/>
      <c r="N14171"/>
      <c r="O14171" s="24"/>
      <c r="P14171"/>
      <c r="Q14171" s="24"/>
      <c r="R14171"/>
      <c r="S14171"/>
      <c r="T14171"/>
      <c r="U14171"/>
      <c r="X14171" s="60"/>
    </row>
    <row r="14172" spans="7:24" ht="15" customHeight="1">
      <c r="G14172"/>
      <c r="I14172"/>
      <c r="N14172"/>
      <c r="O14172" s="24"/>
      <c r="P14172"/>
      <c r="Q14172" s="24"/>
      <c r="R14172"/>
      <c r="S14172"/>
      <c r="T14172"/>
      <c r="U14172"/>
      <c r="X14172" s="60"/>
    </row>
    <row r="14173" spans="7:24" ht="15" customHeight="1">
      <c r="G14173"/>
      <c r="I14173"/>
      <c r="N14173"/>
      <c r="O14173" s="24"/>
      <c r="P14173"/>
      <c r="Q14173" s="24"/>
      <c r="R14173"/>
      <c r="S14173"/>
      <c r="T14173"/>
      <c r="U14173"/>
      <c r="X14173" s="60"/>
    </row>
    <row r="14174" spans="7:24" ht="15" customHeight="1">
      <c r="G14174"/>
      <c r="I14174"/>
      <c r="N14174"/>
      <c r="O14174" s="24"/>
      <c r="P14174"/>
      <c r="Q14174" s="24"/>
      <c r="R14174"/>
      <c r="S14174"/>
      <c r="T14174"/>
      <c r="U14174"/>
      <c r="X14174" s="60"/>
    </row>
    <row r="14175" spans="7:24" ht="15" customHeight="1">
      <c r="G14175"/>
      <c r="I14175"/>
      <c r="N14175"/>
      <c r="O14175" s="24"/>
      <c r="P14175"/>
      <c r="Q14175" s="24"/>
      <c r="R14175"/>
      <c r="S14175"/>
      <c r="T14175"/>
      <c r="U14175"/>
      <c r="X14175" s="60"/>
    </row>
    <row r="14176" spans="7:24" ht="15" customHeight="1">
      <c r="G14176"/>
      <c r="I14176"/>
      <c r="N14176"/>
      <c r="O14176" s="24"/>
      <c r="P14176"/>
      <c r="Q14176" s="24"/>
      <c r="R14176"/>
      <c r="S14176"/>
      <c r="T14176"/>
      <c r="U14176"/>
      <c r="X14176" s="60"/>
    </row>
    <row r="14177" spans="7:24" ht="15" customHeight="1">
      <c r="G14177"/>
      <c r="I14177"/>
      <c r="N14177"/>
      <c r="O14177" s="24"/>
      <c r="P14177"/>
      <c r="Q14177" s="24"/>
      <c r="R14177"/>
      <c r="S14177"/>
      <c r="T14177"/>
      <c r="U14177"/>
      <c r="X14177" s="60"/>
    </row>
    <row r="14178" spans="7:24" ht="15" customHeight="1">
      <c r="G14178"/>
      <c r="I14178"/>
      <c r="N14178"/>
      <c r="O14178" s="24"/>
      <c r="P14178"/>
      <c r="Q14178" s="24"/>
      <c r="R14178"/>
      <c r="S14178"/>
      <c r="T14178"/>
      <c r="U14178"/>
      <c r="X14178" s="60"/>
    </row>
    <row r="14179" spans="7:24" ht="15" customHeight="1">
      <c r="G14179"/>
      <c r="I14179"/>
      <c r="N14179"/>
      <c r="O14179" s="24"/>
      <c r="P14179"/>
      <c r="Q14179" s="24"/>
      <c r="R14179"/>
      <c r="S14179"/>
      <c r="T14179"/>
      <c r="U14179"/>
      <c r="X14179" s="60"/>
    </row>
    <row r="14180" spans="7:24" ht="15" customHeight="1">
      <c r="G14180"/>
      <c r="I14180"/>
      <c r="N14180"/>
      <c r="O14180" s="24"/>
      <c r="P14180"/>
      <c r="Q14180" s="24"/>
      <c r="R14180"/>
      <c r="S14180"/>
      <c r="T14180"/>
      <c r="U14180"/>
      <c r="X14180" s="60"/>
    </row>
    <row r="14181" spans="7:24" ht="15" customHeight="1">
      <c r="G14181"/>
      <c r="I14181"/>
      <c r="N14181"/>
      <c r="O14181" s="24"/>
      <c r="P14181"/>
      <c r="Q14181" s="24"/>
      <c r="R14181"/>
      <c r="S14181"/>
      <c r="T14181"/>
      <c r="U14181"/>
      <c r="X14181" s="60"/>
    </row>
    <row r="14182" spans="7:24" ht="15" customHeight="1">
      <c r="G14182"/>
      <c r="I14182"/>
      <c r="N14182"/>
      <c r="O14182" s="24"/>
      <c r="P14182"/>
      <c r="Q14182" s="24"/>
      <c r="R14182"/>
      <c r="S14182"/>
      <c r="T14182"/>
      <c r="U14182"/>
      <c r="X14182" s="60"/>
    </row>
    <row r="14183" spans="7:24" ht="15" customHeight="1">
      <c r="G14183"/>
      <c r="I14183"/>
      <c r="N14183"/>
      <c r="O14183" s="24"/>
      <c r="P14183"/>
      <c r="Q14183" s="24"/>
      <c r="R14183"/>
      <c r="S14183"/>
      <c r="T14183"/>
      <c r="U14183"/>
      <c r="X14183" s="60"/>
    </row>
    <row r="14184" spans="7:24" ht="15" customHeight="1">
      <c r="G14184"/>
      <c r="I14184"/>
      <c r="N14184"/>
      <c r="O14184" s="24"/>
      <c r="P14184"/>
      <c r="Q14184" s="24"/>
      <c r="R14184"/>
      <c r="S14184"/>
      <c r="T14184"/>
      <c r="U14184"/>
      <c r="X14184" s="60"/>
    </row>
    <row r="14185" spans="7:24" ht="15" customHeight="1">
      <c r="G14185"/>
      <c r="I14185"/>
      <c r="N14185"/>
      <c r="O14185" s="24"/>
      <c r="P14185"/>
      <c r="Q14185" s="24"/>
      <c r="R14185"/>
      <c r="S14185"/>
      <c r="T14185"/>
      <c r="U14185"/>
      <c r="X14185" s="60"/>
    </row>
    <row r="14186" spans="7:24" ht="15" customHeight="1">
      <c r="G14186"/>
      <c r="I14186"/>
      <c r="N14186"/>
      <c r="O14186" s="24"/>
      <c r="P14186"/>
      <c r="Q14186" s="24"/>
      <c r="R14186"/>
      <c r="S14186"/>
      <c r="T14186"/>
      <c r="U14186"/>
      <c r="X14186" s="60"/>
    </row>
    <row r="14187" spans="7:24" ht="15" customHeight="1">
      <c r="G14187"/>
      <c r="I14187"/>
      <c r="N14187"/>
      <c r="O14187" s="24"/>
      <c r="P14187"/>
      <c r="Q14187" s="24"/>
      <c r="R14187"/>
      <c r="S14187"/>
      <c r="T14187"/>
      <c r="U14187"/>
      <c r="X14187" s="60"/>
    </row>
    <row r="14188" spans="7:24" ht="15" customHeight="1">
      <c r="G14188"/>
      <c r="I14188"/>
      <c r="N14188"/>
      <c r="O14188" s="24"/>
      <c r="P14188"/>
      <c r="Q14188" s="24"/>
      <c r="R14188"/>
      <c r="S14188"/>
      <c r="T14188"/>
      <c r="U14188"/>
      <c r="X14188" s="60"/>
    </row>
    <row r="14189" spans="7:24" ht="15" customHeight="1">
      <c r="G14189"/>
      <c r="I14189"/>
      <c r="N14189"/>
      <c r="O14189" s="24"/>
      <c r="P14189"/>
      <c r="Q14189" s="24"/>
      <c r="R14189"/>
      <c r="S14189"/>
      <c r="T14189"/>
      <c r="U14189"/>
      <c r="X14189" s="60"/>
    </row>
    <row r="14190" spans="7:24" ht="15" customHeight="1">
      <c r="G14190"/>
      <c r="I14190"/>
      <c r="N14190"/>
      <c r="O14190" s="24"/>
      <c r="P14190"/>
      <c r="Q14190" s="24"/>
      <c r="R14190"/>
      <c r="S14190"/>
      <c r="T14190"/>
      <c r="U14190"/>
      <c r="X14190" s="60"/>
    </row>
    <row r="14191" spans="7:24" ht="15" customHeight="1">
      <c r="G14191"/>
      <c r="I14191"/>
      <c r="N14191"/>
      <c r="O14191" s="24"/>
      <c r="P14191"/>
      <c r="Q14191" s="24"/>
      <c r="R14191"/>
      <c r="S14191"/>
      <c r="T14191"/>
      <c r="U14191"/>
      <c r="X14191" s="60"/>
    </row>
    <row r="14192" spans="7:24" ht="15" customHeight="1">
      <c r="G14192"/>
      <c r="I14192"/>
      <c r="N14192"/>
      <c r="O14192" s="24"/>
      <c r="P14192"/>
      <c r="Q14192" s="24"/>
      <c r="R14192"/>
      <c r="S14192"/>
      <c r="T14192"/>
      <c r="U14192"/>
      <c r="X14192" s="60"/>
    </row>
    <row r="14193" spans="7:24" ht="15" customHeight="1">
      <c r="G14193"/>
      <c r="I14193"/>
      <c r="N14193"/>
      <c r="O14193" s="24"/>
      <c r="P14193"/>
      <c r="Q14193" s="24"/>
      <c r="R14193"/>
      <c r="S14193"/>
      <c r="T14193"/>
      <c r="U14193"/>
      <c r="X14193" s="60"/>
    </row>
    <row r="14194" spans="7:24" ht="15" customHeight="1">
      <c r="G14194"/>
      <c r="I14194"/>
      <c r="N14194"/>
      <c r="O14194" s="24"/>
      <c r="P14194"/>
      <c r="Q14194" s="24"/>
      <c r="R14194"/>
      <c r="S14194"/>
      <c r="T14194"/>
      <c r="U14194"/>
      <c r="X14194" s="60"/>
    </row>
    <row r="14195" spans="7:24" ht="15" customHeight="1">
      <c r="G14195"/>
      <c r="I14195"/>
      <c r="N14195"/>
      <c r="O14195" s="24"/>
      <c r="P14195"/>
      <c r="Q14195" s="24"/>
      <c r="R14195"/>
      <c r="S14195"/>
      <c r="T14195"/>
      <c r="U14195"/>
      <c r="X14195" s="60"/>
    </row>
    <row r="14196" spans="7:24" ht="15" customHeight="1">
      <c r="G14196"/>
      <c r="I14196"/>
      <c r="N14196"/>
      <c r="O14196" s="24"/>
      <c r="P14196"/>
      <c r="Q14196" s="24"/>
      <c r="R14196"/>
      <c r="S14196"/>
      <c r="T14196"/>
      <c r="U14196"/>
      <c r="X14196" s="60"/>
    </row>
    <row r="14197" spans="7:24" ht="15" customHeight="1">
      <c r="G14197"/>
      <c r="I14197"/>
      <c r="N14197"/>
      <c r="O14197" s="24"/>
      <c r="P14197"/>
      <c r="Q14197" s="24"/>
      <c r="R14197"/>
      <c r="S14197"/>
      <c r="T14197"/>
      <c r="U14197"/>
      <c r="X14197" s="60"/>
    </row>
    <row r="14198" spans="7:24" ht="15" customHeight="1">
      <c r="G14198"/>
      <c r="I14198"/>
      <c r="N14198"/>
      <c r="O14198" s="24"/>
      <c r="P14198"/>
      <c r="Q14198" s="24"/>
      <c r="R14198"/>
      <c r="S14198"/>
      <c r="T14198"/>
      <c r="U14198"/>
      <c r="X14198" s="60"/>
    </row>
    <row r="14199" spans="7:24" ht="15" customHeight="1">
      <c r="G14199"/>
      <c r="I14199"/>
      <c r="N14199"/>
      <c r="O14199" s="24"/>
      <c r="P14199"/>
      <c r="Q14199" s="24"/>
      <c r="R14199"/>
      <c r="S14199"/>
      <c r="T14199"/>
      <c r="U14199"/>
      <c r="X14199" s="60"/>
    </row>
    <row r="14200" spans="7:24" ht="15" customHeight="1">
      <c r="G14200"/>
      <c r="I14200"/>
      <c r="N14200"/>
      <c r="O14200" s="24"/>
      <c r="P14200"/>
      <c r="Q14200" s="24"/>
      <c r="R14200"/>
      <c r="S14200"/>
      <c r="T14200"/>
      <c r="U14200"/>
      <c r="X14200" s="60"/>
    </row>
    <row r="14201" spans="7:24" ht="15" customHeight="1">
      <c r="G14201"/>
      <c r="I14201"/>
      <c r="N14201"/>
      <c r="O14201" s="24"/>
      <c r="P14201"/>
      <c r="Q14201" s="24"/>
      <c r="R14201"/>
      <c r="S14201"/>
      <c r="T14201"/>
      <c r="U14201"/>
      <c r="X14201" s="60"/>
    </row>
    <row r="14202" spans="7:24" ht="15" customHeight="1">
      <c r="G14202"/>
      <c r="I14202"/>
      <c r="N14202"/>
      <c r="O14202" s="24"/>
      <c r="P14202"/>
      <c r="Q14202" s="24"/>
      <c r="R14202"/>
      <c r="S14202"/>
      <c r="T14202"/>
      <c r="U14202"/>
      <c r="X14202" s="60"/>
    </row>
    <row r="14203" spans="7:24" ht="15" customHeight="1">
      <c r="G14203"/>
      <c r="I14203"/>
      <c r="N14203"/>
      <c r="O14203" s="24"/>
      <c r="P14203"/>
      <c r="Q14203" s="24"/>
      <c r="R14203"/>
      <c r="S14203"/>
      <c r="T14203"/>
      <c r="U14203"/>
      <c r="X14203" s="60"/>
    </row>
    <row r="14204" spans="7:24" ht="15" customHeight="1">
      <c r="G14204"/>
      <c r="I14204"/>
      <c r="N14204"/>
      <c r="O14204" s="24"/>
      <c r="P14204"/>
      <c r="Q14204" s="24"/>
      <c r="R14204"/>
      <c r="S14204"/>
      <c r="T14204"/>
      <c r="U14204"/>
      <c r="X14204" s="60"/>
    </row>
    <row r="14205" spans="7:24" ht="15" customHeight="1">
      <c r="G14205"/>
      <c r="I14205"/>
      <c r="N14205"/>
      <c r="O14205" s="24"/>
      <c r="P14205"/>
      <c r="Q14205" s="24"/>
      <c r="R14205"/>
      <c r="S14205"/>
      <c r="T14205"/>
      <c r="U14205"/>
      <c r="X14205" s="60"/>
    </row>
    <row r="14206" spans="7:24" ht="15" customHeight="1">
      <c r="G14206"/>
      <c r="I14206"/>
      <c r="N14206"/>
      <c r="O14206" s="24"/>
      <c r="P14206"/>
      <c r="Q14206" s="24"/>
      <c r="R14206"/>
      <c r="S14206"/>
      <c r="T14206"/>
      <c r="U14206"/>
      <c r="X14206" s="60"/>
    </row>
    <row r="14207" spans="7:24" ht="15" customHeight="1">
      <c r="G14207"/>
      <c r="I14207"/>
      <c r="N14207"/>
      <c r="O14207" s="24"/>
      <c r="P14207"/>
      <c r="Q14207" s="24"/>
      <c r="R14207"/>
      <c r="S14207"/>
      <c r="T14207"/>
      <c r="U14207"/>
      <c r="X14207" s="60"/>
    </row>
    <row r="14208" spans="7:24" ht="15" customHeight="1">
      <c r="G14208"/>
      <c r="I14208"/>
      <c r="N14208"/>
      <c r="O14208" s="24"/>
      <c r="P14208"/>
      <c r="Q14208" s="24"/>
      <c r="R14208"/>
      <c r="S14208"/>
      <c r="T14208"/>
      <c r="U14208"/>
      <c r="X14208" s="60"/>
    </row>
    <row r="14209" spans="7:24" ht="15" customHeight="1">
      <c r="G14209"/>
      <c r="I14209"/>
      <c r="N14209"/>
      <c r="O14209" s="24"/>
      <c r="P14209"/>
      <c r="Q14209" s="24"/>
      <c r="R14209"/>
      <c r="S14209"/>
      <c r="T14209"/>
      <c r="U14209"/>
      <c r="X14209" s="60"/>
    </row>
    <row r="14210" spans="7:24" ht="15" customHeight="1">
      <c r="G14210"/>
      <c r="I14210"/>
      <c r="N14210"/>
      <c r="O14210" s="24"/>
      <c r="P14210"/>
      <c r="Q14210" s="24"/>
      <c r="R14210"/>
      <c r="S14210"/>
      <c r="T14210"/>
      <c r="U14210"/>
      <c r="X14210" s="60"/>
    </row>
    <row r="14211" spans="7:24" ht="15" customHeight="1">
      <c r="G14211"/>
      <c r="I14211"/>
      <c r="N14211"/>
      <c r="O14211" s="24"/>
      <c r="P14211"/>
      <c r="Q14211" s="24"/>
      <c r="R14211"/>
      <c r="S14211"/>
      <c r="T14211"/>
      <c r="U14211"/>
      <c r="X14211" s="60"/>
    </row>
    <row r="14212" spans="7:24" ht="15" customHeight="1">
      <c r="G14212"/>
      <c r="I14212"/>
      <c r="N14212"/>
      <c r="O14212" s="24"/>
      <c r="P14212"/>
      <c r="Q14212" s="24"/>
      <c r="R14212"/>
      <c r="S14212"/>
      <c r="T14212"/>
      <c r="U14212"/>
      <c r="X14212" s="60"/>
    </row>
    <row r="14213" spans="7:24" ht="15" customHeight="1">
      <c r="G14213"/>
      <c r="I14213"/>
      <c r="N14213"/>
      <c r="O14213" s="24"/>
      <c r="P14213"/>
      <c r="Q14213" s="24"/>
      <c r="R14213"/>
      <c r="S14213"/>
      <c r="T14213"/>
      <c r="U14213"/>
      <c r="X14213" s="60"/>
    </row>
    <row r="14214" spans="7:24" ht="15" customHeight="1">
      <c r="G14214"/>
      <c r="I14214"/>
      <c r="N14214"/>
      <c r="O14214" s="24"/>
      <c r="P14214"/>
      <c r="Q14214" s="24"/>
      <c r="R14214"/>
      <c r="S14214"/>
      <c r="T14214"/>
      <c r="U14214"/>
      <c r="X14214" s="60"/>
    </row>
    <row r="14215" spans="7:24" ht="15" customHeight="1">
      <c r="G14215"/>
      <c r="I14215"/>
      <c r="N14215"/>
      <c r="O14215" s="24"/>
      <c r="P14215"/>
      <c r="Q14215" s="24"/>
      <c r="R14215"/>
      <c r="S14215"/>
      <c r="T14215"/>
      <c r="U14215"/>
      <c r="X14215" s="60"/>
    </row>
    <row r="14216" spans="7:24" ht="15" customHeight="1">
      <c r="G14216"/>
      <c r="I14216"/>
      <c r="N14216"/>
      <c r="O14216" s="24"/>
      <c r="P14216"/>
      <c r="Q14216" s="24"/>
      <c r="R14216"/>
      <c r="S14216"/>
      <c r="T14216"/>
      <c r="U14216"/>
      <c r="X14216" s="60"/>
    </row>
    <row r="14217" spans="7:24" ht="15" customHeight="1">
      <c r="G14217"/>
      <c r="I14217"/>
      <c r="N14217"/>
      <c r="O14217" s="24"/>
      <c r="P14217"/>
      <c r="Q14217" s="24"/>
      <c r="R14217"/>
      <c r="S14217"/>
      <c r="T14217"/>
      <c r="U14217"/>
      <c r="X14217" s="60"/>
    </row>
    <row r="14218" spans="7:24" ht="15" customHeight="1">
      <c r="G14218"/>
      <c r="I14218"/>
      <c r="N14218"/>
      <c r="O14218" s="24"/>
      <c r="P14218"/>
      <c r="Q14218" s="24"/>
      <c r="R14218"/>
      <c r="S14218"/>
      <c r="T14218"/>
      <c r="U14218"/>
      <c r="X14218" s="60"/>
    </row>
    <row r="14219" spans="7:24" ht="15" customHeight="1">
      <c r="G14219"/>
      <c r="I14219"/>
      <c r="N14219"/>
      <c r="O14219" s="24"/>
      <c r="P14219"/>
      <c r="Q14219" s="24"/>
      <c r="R14219"/>
      <c r="S14219"/>
      <c r="T14219"/>
      <c r="U14219"/>
      <c r="X14219" s="60"/>
    </row>
    <row r="14220" spans="7:24" ht="15" customHeight="1">
      <c r="G14220"/>
      <c r="I14220"/>
      <c r="N14220"/>
      <c r="O14220" s="24"/>
      <c r="P14220"/>
      <c r="Q14220" s="24"/>
      <c r="R14220"/>
      <c r="S14220"/>
      <c r="T14220"/>
      <c r="U14220"/>
      <c r="X14220" s="60"/>
    </row>
    <row r="14221" spans="7:24" ht="15" customHeight="1">
      <c r="G14221"/>
      <c r="I14221"/>
      <c r="N14221"/>
      <c r="O14221" s="24"/>
      <c r="P14221"/>
      <c r="Q14221" s="24"/>
      <c r="R14221"/>
      <c r="S14221"/>
      <c r="T14221"/>
      <c r="U14221"/>
      <c r="X14221" s="60"/>
    </row>
    <row r="14222" spans="7:24" ht="15" customHeight="1">
      <c r="G14222"/>
      <c r="I14222"/>
      <c r="N14222"/>
      <c r="O14222" s="24"/>
      <c r="P14222"/>
      <c r="Q14222" s="24"/>
      <c r="R14222"/>
      <c r="S14222"/>
      <c r="T14222"/>
      <c r="U14222"/>
      <c r="X14222" s="60"/>
    </row>
    <row r="14223" spans="7:24" ht="15" customHeight="1">
      <c r="G14223"/>
      <c r="I14223"/>
      <c r="N14223"/>
      <c r="O14223" s="24"/>
      <c r="P14223"/>
      <c r="Q14223" s="24"/>
      <c r="R14223"/>
      <c r="S14223"/>
      <c r="T14223"/>
      <c r="U14223"/>
      <c r="X14223" s="60"/>
    </row>
    <row r="14224" spans="7:24" ht="15" customHeight="1">
      <c r="G14224"/>
      <c r="I14224"/>
      <c r="N14224"/>
      <c r="O14224" s="24"/>
      <c r="P14224"/>
      <c r="Q14224" s="24"/>
      <c r="R14224"/>
      <c r="S14224"/>
      <c r="T14224"/>
      <c r="U14224"/>
      <c r="X14224" s="60"/>
    </row>
    <row r="14225" spans="7:24" ht="15" customHeight="1">
      <c r="G14225"/>
      <c r="I14225"/>
      <c r="N14225"/>
      <c r="O14225" s="24"/>
      <c r="P14225"/>
      <c r="Q14225" s="24"/>
      <c r="R14225"/>
      <c r="S14225"/>
      <c r="T14225"/>
      <c r="U14225"/>
      <c r="X14225" s="60"/>
    </row>
    <row r="14226" spans="7:24" ht="15" customHeight="1">
      <c r="G14226"/>
      <c r="I14226"/>
      <c r="N14226"/>
      <c r="O14226" s="24"/>
      <c r="P14226"/>
      <c r="Q14226" s="24"/>
      <c r="R14226"/>
      <c r="S14226"/>
      <c r="T14226"/>
      <c r="U14226"/>
      <c r="X14226" s="60"/>
    </row>
    <row r="14227" spans="7:24" ht="15" customHeight="1">
      <c r="G14227"/>
      <c r="I14227"/>
      <c r="N14227"/>
      <c r="O14227" s="24"/>
      <c r="P14227"/>
      <c r="Q14227" s="24"/>
      <c r="R14227"/>
      <c r="S14227"/>
      <c r="T14227"/>
      <c r="U14227"/>
      <c r="X14227" s="60"/>
    </row>
    <row r="14228" spans="7:24" ht="15" customHeight="1">
      <c r="G14228"/>
      <c r="I14228"/>
      <c r="N14228"/>
      <c r="O14228" s="24"/>
      <c r="P14228"/>
      <c r="Q14228" s="24"/>
      <c r="R14228"/>
      <c r="S14228"/>
      <c r="T14228"/>
      <c r="U14228"/>
      <c r="X14228" s="60"/>
    </row>
    <row r="14229" spans="7:24" ht="15" customHeight="1">
      <c r="G14229"/>
      <c r="I14229"/>
      <c r="N14229"/>
      <c r="O14229" s="24"/>
      <c r="P14229"/>
      <c r="Q14229" s="24"/>
      <c r="R14229"/>
      <c r="S14229"/>
      <c r="T14229"/>
      <c r="U14229"/>
      <c r="X14229" s="60"/>
    </row>
    <row r="14230" spans="7:24" ht="15" customHeight="1">
      <c r="G14230"/>
      <c r="I14230"/>
      <c r="N14230"/>
      <c r="O14230" s="24"/>
      <c r="P14230"/>
      <c r="Q14230" s="24"/>
      <c r="R14230"/>
      <c r="S14230"/>
      <c r="T14230"/>
      <c r="U14230"/>
      <c r="X14230" s="60"/>
    </row>
    <row r="14231" spans="7:24" ht="15" customHeight="1">
      <c r="G14231"/>
      <c r="I14231"/>
      <c r="N14231"/>
      <c r="O14231" s="24"/>
      <c r="P14231"/>
      <c r="Q14231" s="24"/>
      <c r="R14231"/>
      <c r="S14231"/>
      <c r="T14231"/>
      <c r="U14231"/>
      <c r="X14231" s="60"/>
    </row>
    <row r="14232" spans="7:24" ht="15" customHeight="1">
      <c r="G14232"/>
      <c r="I14232"/>
      <c r="N14232"/>
      <c r="O14232" s="24"/>
      <c r="P14232"/>
      <c r="Q14232" s="24"/>
      <c r="R14232"/>
      <c r="S14232"/>
      <c r="T14232"/>
      <c r="U14232"/>
      <c r="X14232" s="60"/>
    </row>
    <row r="14233" spans="7:24" ht="15" customHeight="1">
      <c r="G14233"/>
      <c r="I14233"/>
      <c r="N14233"/>
      <c r="O14233" s="24"/>
      <c r="P14233"/>
      <c r="Q14233" s="24"/>
      <c r="R14233"/>
      <c r="S14233"/>
      <c r="T14233"/>
      <c r="U14233"/>
      <c r="X14233" s="60"/>
    </row>
    <row r="14234" spans="7:24" ht="15" customHeight="1">
      <c r="G14234"/>
      <c r="I14234"/>
      <c r="N14234"/>
      <c r="O14234" s="24"/>
      <c r="P14234"/>
      <c r="Q14234" s="24"/>
      <c r="R14234"/>
      <c r="S14234"/>
      <c r="T14234"/>
      <c r="U14234"/>
      <c r="X14234" s="60"/>
    </row>
    <row r="14235" spans="7:24" ht="15" customHeight="1">
      <c r="G14235"/>
      <c r="I14235"/>
      <c r="N14235"/>
      <c r="O14235" s="24"/>
      <c r="P14235"/>
      <c r="Q14235" s="24"/>
      <c r="R14235"/>
      <c r="S14235"/>
      <c r="T14235"/>
      <c r="U14235"/>
      <c r="X14235" s="60"/>
    </row>
    <row r="14236" spans="7:24" ht="15" customHeight="1">
      <c r="G14236"/>
      <c r="I14236"/>
      <c r="N14236"/>
      <c r="O14236" s="24"/>
      <c r="P14236"/>
      <c r="Q14236" s="24"/>
      <c r="R14236"/>
      <c r="S14236"/>
      <c r="T14236"/>
      <c r="U14236"/>
      <c r="X14236" s="60"/>
    </row>
    <row r="14237" spans="7:24" ht="15" customHeight="1">
      <c r="G14237"/>
      <c r="I14237"/>
      <c r="N14237"/>
      <c r="O14237" s="24"/>
      <c r="P14237"/>
      <c r="Q14237" s="24"/>
      <c r="R14237"/>
      <c r="S14237"/>
      <c r="T14237"/>
      <c r="U14237"/>
      <c r="X14237" s="60"/>
    </row>
    <row r="14238" spans="7:24" ht="15" customHeight="1">
      <c r="G14238"/>
      <c r="I14238"/>
      <c r="N14238"/>
      <c r="O14238" s="24"/>
      <c r="P14238"/>
      <c r="Q14238" s="24"/>
      <c r="R14238"/>
      <c r="S14238"/>
      <c r="T14238"/>
      <c r="U14238"/>
      <c r="X14238" s="60"/>
    </row>
    <row r="14239" spans="7:24" ht="15" customHeight="1">
      <c r="G14239"/>
      <c r="I14239"/>
      <c r="N14239"/>
      <c r="O14239" s="24"/>
      <c r="P14239"/>
      <c r="Q14239" s="24"/>
      <c r="R14239"/>
      <c r="S14239"/>
      <c r="T14239"/>
      <c r="U14239"/>
      <c r="X14239" s="60"/>
    </row>
    <row r="14240" spans="7:24" ht="15" customHeight="1">
      <c r="G14240"/>
      <c r="I14240"/>
      <c r="N14240"/>
      <c r="O14240" s="24"/>
      <c r="P14240"/>
      <c r="Q14240" s="24"/>
      <c r="R14240"/>
      <c r="S14240"/>
      <c r="T14240"/>
      <c r="U14240"/>
      <c r="X14240" s="60"/>
    </row>
    <row r="14241" spans="7:24" ht="15" customHeight="1">
      <c r="G14241"/>
      <c r="I14241"/>
      <c r="N14241"/>
      <c r="O14241" s="24"/>
      <c r="P14241"/>
      <c r="Q14241" s="24"/>
      <c r="R14241"/>
      <c r="S14241"/>
      <c r="T14241"/>
      <c r="U14241"/>
      <c r="X14241" s="60"/>
    </row>
    <row r="14242" spans="7:24" ht="15" customHeight="1">
      <c r="G14242"/>
      <c r="I14242"/>
      <c r="N14242"/>
      <c r="O14242" s="24"/>
      <c r="P14242"/>
      <c r="Q14242" s="24"/>
      <c r="R14242"/>
      <c r="S14242"/>
      <c r="T14242"/>
      <c r="U14242"/>
      <c r="X14242" s="60"/>
    </row>
    <row r="14243" spans="7:24" ht="15" customHeight="1">
      <c r="G14243"/>
      <c r="I14243"/>
      <c r="N14243"/>
      <c r="O14243" s="24"/>
      <c r="P14243"/>
      <c r="Q14243" s="24"/>
      <c r="R14243"/>
      <c r="S14243"/>
      <c r="T14243"/>
      <c r="U14243"/>
      <c r="X14243" s="60"/>
    </row>
    <row r="14244" spans="7:24" ht="15" customHeight="1">
      <c r="G14244"/>
      <c r="I14244"/>
      <c r="N14244"/>
      <c r="O14244" s="24"/>
      <c r="P14244"/>
      <c r="Q14244" s="24"/>
      <c r="R14244"/>
      <c r="S14244"/>
      <c r="T14244"/>
      <c r="U14244"/>
      <c r="X14244" s="60"/>
    </row>
    <row r="14245" spans="7:24" ht="15" customHeight="1">
      <c r="G14245"/>
      <c r="I14245"/>
      <c r="N14245"/>
      <c r="O14245" s="24"/>
      <c r="P14245"/>
      <c r="Q14245" s="24"/>
      <c r="R14245"/>
      <c r="S14245"/>
      <c r="T14245"/>
      <c r="U14245"/>
      <c r="X14245" s="60"/>
    </row>
    <row r="14246" spans="7:24" ht="15" customHeight="1">
      <c r="G14246"/>
      <c r="I14246"/>
      <c r="N14246"/>
      <c r="O14246" s="24"/>
      <c r="P14246"/>
      <c r="Q14246" s="24"/>
      <c r="R14246"/>
      <c r="S14246"/>
      <c r="T14246"/>
      <c r="U14246"/>
      <c r="X14246" s="60"/>
    </row>
    <row r="14247" spans="7:24" ht="15" customHeight="1">
      <c r="G14247"/>
      <c r="I14247"/>
      <c r="N14247"/>
      <c r="O14247" s="24"/>
      <c r="P14247"/>
      <c r="Q14247" s="24"/>
      <c r="R14247"/>
      <c r="S14247"/>
      <c r="T14247"/>
      <c r="U14247"/>
      <c r="X14247" s="60"/>
    </row>
    <row r="14248" spans="7:24" ht="15" customHeight="1">
      <c r="G14248"/>
      <c r="I14248"/>
      <c r="N14248"/>
      <c r="O14248" s="24"/>
      <c r="P14248"/>
      <c r="Q14248" s="24"/>
      <c r="R14248"/>
      <c r="S14248"/>
      <c r="T14248"/>
      <c r="U14248"/>
      <c r="X14248" s="60"/>
    </row>
    <row r="14249" spans="7:24" ht="15" customHeight="1">
      <c r="G14249"/>
      <c r="I14249"/>
      <c r="N14249"/>
      <c r="O14249" s="24"/>
      <c r="P14249"/>
      <c r="Q14249" s="24"/>
      <c r="R14249"/>
      <c r="S14249"/>
      <c r="T14249"/>
      <c r="U14249"/>
      <c r="X14249" s="60"/>
    </row>
    <row r="14250" spans="7:24" ht="15" customHeight="1">
      <c r="G14250"/>
      <c r="I14250"/>
      <c r="N14250"/>
      <c r="O14250" s="24"/>
      <c r="P14250"/>
      <c r="Q14250" s="24"/>
      <c r="R14250"/>
      <c r="S14250"/>
      <c r="T14250"/>
      <c r="U14250"/>
      <c r="X14250" s="60"/>
    </row>
    <row r="14251" spans="7:24" ht="15" customHeight="1">
      <c r="G14251"/>
      <c r="I14251"/>
      <c r="N14251"/>
      <c r="O14251" s="24"/>
      <c r="P14251"/>
      <c r="Q14251" s="24"/>
      <c r="R14251"/>
      <c r="S14251"/>
      <c r="T14251"/>
      <c r="U14251"/>
      <c r="X14251" s="60"/>
    </row>
    <row r="14252" spans="7:24" ht="15" customHeight="1">
      <c r="G14252"/>
      <c r="I14252"/>
      <c r="N14252"/>
      <c r="O14252" s="24"/>
      <c r="P14252"/>
      <c r="Q14252" s="24"/>
      <c r="R14252"/>
      <c r="S14252"/>
      <c r="T14252"/>
      <c r="U14252"/>
      <c r="X14252" s="60"/>
    </row>
    <row r="14253" spans="7:24" ht="15" customHeight="1">
      <c r="G14253"/>
      <c r="I14253"/>
      <c r="N14253"/>
      <c r="O14253" s="24"/>
      <c r="P14253"/>
      <c r="Q14253" s="24"/>
      <c r="R14253"/>
      <c r="S14253"/>
      <c r="T14253"/>
      <c r="U14253"/>
      <c r="X14253" s="60"/>
    </row>
    <row r="14254" spans="7:24" ht="15" customHeight="1">
      <c r="G14254"/>
      <c r="I14254"/>
      <c r="N14254"/>
      <c r="O14254" s="24"/>
      <c r="P14254"/>
      <c r="Q14254" s="24"/>
      <c r="R14254"/>
      <c r="S14254"/>
      <c r="T14254"/>
      <c r="U14254"/>
      <c r="X14254" s="60"/>
    </row>
    <row r="14255" spans="7:24" ht="15" customHeight="1">
      <c r="G14255"/>
      <c r="I14255"/>
      <c r="N14255"/>
      <c r="O14255" s="24"/>
      <c r="P14255"/>
      <c r="Q14255" s="24"/>
      <c r="R14255"/>
      <c r="S14255"/>
      <c r="T14255"/>
      <c r="U14255"/>
      <c r="X14255" s="60"/>
    </row>
    <row r="14256" spans="7:24" ht="15" customHeight="1">
      <c r="G14256"/>
      <c r="I14256"/>
      <c r="N14256"/>
      <c r="O14256" s="24"/>
      <c r="P14256"/>
      <c r="Q14256" s="24"/>
      <c r="R14256"/>
      <c r="S14256"/>
      <c r="T14256"/>
      <c r="U14256"/>
      <c r="X14256" s="60"/>
    </row>
    <row r="14257" spans="7:24" ht="15" customHeight="1">
      <c r="G14257"/>
      <c r="I14257"/>
      <c r="N14257"/>
      <c r="O14257" s="24"/>
      <c r="P14257"/>
      <c r="Q14257" s="24"/>
      <c r="R14257"/>
      <c r="S14257"/>
      <c r="T14257"/>
      <c r="U14257"/>
      <c r="X14257" s="60"/>
    </row>
    <row r="14258" spans="7:24" ht="15" customHeight="1">
      <c r="G14258"/>
      <c r="I14258"/>
      <c r="N14258"/>
      <c r="O14258" s="24"/>
      <c r="P14258"/>
      <c r="Q14258" s="24"/>
      <c r="R14258"/>
      <c r="S14258"/>
      <c r="T14258"/>
      <c r="U14258"/>
      <c r="X14258" s="60"/>
    </row>
    <row r="14259" spans="7:24" ht="15" customHeight="1">
      <c r="G14259"/>
      <c r="I14259"/>
      <c r="N14259"/>
      <c r="O14259" s="24"/>
      <c r="P14259"/>
      <c r="Q14259" s="24"/>
      <c r="R14259"/>
      <c r="S14259"/>
      <c r="T14259"/>
      <c r="U14259"/>
      <c r="X14259" s="60"/>
    </row>
    <row r="14260" spans="7:24" ht="15" customHeight="1">
      <c r="G14260"/>
      <c r="I14260"/>
      <c r="N14260"/>
      <c r="O14260" s="24"/>
      <c r="P14260"/>
      <c r="Q14260" s="24"/>
      <c r="R14260"/>
      <c r="S14260"/>
      <c r="T14260"/>
      <c r="U14260"/>
      <c r="X14260" s="60"/>
    </row>
    <row r="14261" spans="7:24" ht="15" customHeight="1">
      <c r="G14261"/>
      <c r="I14261"/>
      <c r="N14261"/>
      <c r="O14261" s="24"/>
      <c r="P14261"/>
      <c r="Q14261" s="24"/>
      <c r="R14261"/>
      <c r="S14261"/>
      <c r="T14261"/>
      <c r="U14261"/>
      <c r="X14261" s="60"/>
    </row>
    <row r="14262" spans="7:24" ht="15" customHeight="1">
      <c r="G14262"/>
      <c r="I14262"/>
      <c r="N14262"/>
      <c r="O14262" s="24"/>
      <c r="P14262"/>
      <c r="Q14262" s="24"/>
      <c r="R14262"/>
      <c r="S14262"/>
      <c r="T14262"/>
      <c r="U14262"/>
      <c r="X14262" s="60"/>
    </row>
    <row r="14263" spans="7:24" ht="15" customHeight="1">
      <c r="G14263"/>
      <c r="I14263"/>
      <c r="N14263"/>
      <c r="O14263" s="24"/>
      <c r="P14263"/>
      <c r="Q14263" s="24"/>
      <c r="R14263"/>
      <c r="S14263"/>
      <c r="T14263"/>
      <c r="U14263"/>
      <c r="X14263" s="60"/>
    </row>
    <row r="14264" spans="7:24" ht="15" customHeight="1">
      <c r="G14264"/>
      <c r="I14264"/>
      <c r="N14264"/>
      <c r="O14264" s="24"/>
      <c r="P14264"/>
      <c r="Q14264" s="24"/>
      <c r="R14264"/>
      <c r="S14264"/>
      <c r="T14264"/>
      <c r="U14264"/>
      <c r="X14264" s="60"/>
    </row>
    <row r="14265" spans="7:24" ht="15" customHeight="1">
      <c r="G14265"/>
      <c r="I14265"/>
      <c r="N14265"/>
      <c r="O14265" s="24"/>
      <c r="P14265"/>
      <c r="Q14265" s="24"/>
      <c r="R14265"/>
      <c r="S14265"/>
      <c r="T14265"/>
      <c r="U14265"/>
      <c r="X14265" s="60"/>
    </row>
    <row r="14266" spans="7:24" ht="15" customHeight="1">
      <c r="G14266"/>
      <c r="I14266"/>
      <c r="N14266"/>
      <c r="O14266" s="24"/>
      <c r="P14266"/>
      <c r="Q14266" s="24"/>
      <c r="R14266"/>
      <c r="S14266"/>
      <c r="T14266"/>
      <c r="U14266"/>
      <c r="X14266" s="60"/>
    </row>
    <row r="14267" spans="7:24" ht="15" customHeight="1">
      <c r="G14267"/>
      <c r="I14267"/>
      <c r="N14267"/>
      <c r="O14267" s="24"/>
      <c r="P14267"/>
      <c r="Q14267" s="24"/>
      <c r="R14267"/>
      <c r="S14267"/>
      <c r="T14267"/>
      <c r="U14267"/>
      <c r="X14267" s="60"/>
    </row>
    <row r="14268" spans="7:24" ht="15" customHeight="1">
      <c r="G14268"/>
      <c r="I14268"/>
      <c r="N14268"/>
      <c r="O14268" s="24"/>
      <c r="P14268"/>
      <c r="Q14268" s="24"/>
      <c r="R14268"/>
      <c r="S14268"/>
      <c r="T14268"/>
      <c r="U14268"/>
      <c r="X14268" s="60"/>
    </row>
    <row r="14269" spans="7:24" ht="15" customHeight="1">
      <c r="G14269"/>
      <c r="I14269"/>
      <c r="N14269"/>
      <c r="O14269" s="24"/>
      <c r="P14269"/>
      <c r="Q14269" s="24"/>
      <c r="R14269"/>
      <c r="S14269"/>
      <c r="T14269"/>
      <c r="U14269"/>
      <c r="X14269" s="60"/>
    </row>
    <row r="14270" spans="7:24" ht="15" customHeight="1">
      <c r="G14270"/>
      <c r="I14270"/>
      <c r="N14270"/>
      <c r="O14270" s="24"/>
      <c r="P14270"/>
      <c r="Q14270" s="24"/>
      <c r="R14270"/>
      <c r="S14270"/>
      <c r="T14270"/>
      <c r="U14270"/>
      <c r="X14270" s="60"/>
    </row>
    <row r="14271" spans="7:24" ht="15" customHeight="1">
      <c r="G14271"/>
      <c r="I14271"/>
      <c r="N14271"/>
      <c r="O14271" s="24"/>
      <c r="P14271"/>
      <c r="Q14271" s="24"/>
      <c r="R14271"/>
      <c r="S14271"/>
      <c r="T14271"/>
      <c r="U14271"/>
      <c r="X14271" s="60"/>
    </row>
    <row r="14272" spans="7:24" ht="15" customHeight="1">
      <c r="G14272"/>
      <c r="I14272"/>
      <c r="N14272"/>
      <c r="O14272" s="24"/>
      <c r="P14272"/>
      <c r="Q14272" s="24"/>
      <c r="R14272"/>
      <c r="S14272"/>
      <c r="T14272"/>
      <c r="U14272"/>
      <c r="X14272" s="60"/>
    </row>
    <row r="14273" spans="7:24" ht="15" customHeight="1">
      <c r="G14273"/>
      <c r="I14273"/>
      <c r="N14273"/>
      <c r="O14273" s="24"/>
      <c r="P14273"/>
      <c r="Q14273" s="24"/>
      <c r="R14273"/>
      <c r="S14273"/>
      <c r="T14273"/>
      <c r="U14273"/>
      <c r="X14273" s="60"/>
    </row>
    <row r="14274" spans="7:24" ht="15" customHeight="1">
      <c r="G14274"/>
      <c r="I14274"/>
      <c r="N14274"/>
      <c r="O14274" s="24"/>
      <c r="P14274"/>
      <c r="Q14274" s="24"/>
      <c r="R14274"/>
      <c r="S14274"/>
      <c r="T14274"/>
      <c r="U14274"/>
      <c r="X14274" s="60"/>
    </row>
    <row r="14275" spans="7:24" ht="15" customHeight="1">
      <c r="G14275"/>
      <c r="I14275"/>
      <c r="N14275"/>
      <c r="O14275" s="24"/>
      <c r="P14275"/>
      <c r="Q14275" s="24"/>
      <c r="R14275"/>
      <c r="S14275"/>
      <c r="T14275"/>
      <c r="U14275"/>
      <c r="X14275" s="60"/>
    </row>
    <row r="14276" spans="7:24" ht="15" customHeight="1">
      <c r="G14276"/>
      <c r="I14276"/>
      <c r="N14276"/>
      <c r="O14276" s="24"/>
      <c r="P14276"/>
      <c r="Q14276" s="24"/>
      <c r="R14276"/>
      <c r="S14276"/>
      <c r="T14276"/>
      <c r="U14276"/>
      <c r="X14276" s="60"/>
    </row>
    <row r="14277" spans="7:24" ht="15" customHeight="1">
      <c r="G14277"/>
      <c r="I14277"/>
      <c r="N14277"/>
      <c r="O14277" s="24"/>
      <c r="P14277"/>
      <c r="Q14277" s="24"/>
      <c r="R14277"/>
      <c r="S14277"/>
      <c r="T14277"/>
      <c r="U14277"/>
      <c r="X14277" s="60"/>
    </row>
    <row r="14278" spans="7:24" ht="15" customHeight="1">
      <c r="G14278"/>
      <c r="I14278"/>
      <c r="N14278"/>
      <c r="O14278" s="24"/>
      <c r="P14278"/>
      <c r="Q14278" s="24"/>
      <c r="R14278"/>
      <c r="S14278"/>
      <c r="T14278"/>
      <c r="U14278"/>
      <c r="X14278" s="60"/>
    </row>
    <row r="14279" spans="7:24" ht="15" customHeight="1">
      <c r="G14279"/>
      <c r="I14279"/>
      <c r="N14279"/>
      <c r="O14279" s="24"/>
      <c r="P14279"/>
      <c r="Q14279" s="24"/>
      <c r="R14279"/>
      <c r="S14279"/>
      <c r="T14279"/>
      <c r="U14279"/>
      <c r="X14279" s="60"/>
    </row>
    <row r="14280" spans="7:24" ht="15" customHeight="1">
      <c r="G14280"/>
      <c r="I14280"/>
      <c r="N14280"/>
      <c r="O14280" s="24"/>
      <c r="P14280"/>
      <c r="Q14280" s="24"/>
      <c r="R14280"/>
      <c r="S14280"/>
      <c r="T14280"/>
      <c r="U14280"/>
      <c r="X14280" s="60"/>
    </row>
    <row r="14281" spans="7:24" ht="15" customHeight="1">
      <c r="G14281"/>
      <c r="I14281"/>
      <c r="N14281"/>
      <c r="O14281" s="24"/>
      <c r="P14281"/>
      <c r="Q14281" s="24"/>
      <c r="R14281"/>
      <c r="S14281"/>
      <c r="T14281"/>
      <c r="U14281"/>
      <c r="X14281" s="60"/>
    </row>
    <row r="14282" spans="7:24" ht="15" customHeight="1">
      <c r="G14282"/>
      <c r="I14282"/>
      <c r="N14282"/>
      <c r="O14282" s="24"/>
      <c r="P14282"/>
      <c r="Q14282" s="24"/>
      <c r="R14282"/>
      <c r="S14282"/>
      <c r="T14282"/>
      <c r="U14282"/>
      <c r="X14282" s="60"/>
    </row>
    <row r="14283" spans="7:24" ht="15" customHeight="1">
      <c r="G14283"/>
      <c r="I14283"/>
      <c r="N14283"/>
      <c r="O14283" s="24"/>
      <c r="P14283"/>
      <c r="Q14283" s="24"/>
      <c r="R14283"/>
      <c r="S14283"/>
      <c r="T14283"/>
      <c r="U14283"/>
      <c r="X14283" s="60"/>
    </row>
    <row r="14284" spans="7:24" ht="15" customHeight="1">
      <c r="G14284"/>
      <c r="I14284"/>
      <c r="N14284"/>
      <c r="O14284" s="24"/>
      <c r="P14284"/>
      <c r="Q14284" s="24"/>
      <c r="R14284"/>
      <c r="S14284"/>
      <c r="T14284"/>
      <c r="U14284"/>
      <c r="X14284" s="60"/>
    </row>
    <row r="14285" spans="7:24" ht="15" customHeight="1">
      <c r="G14285"/>
      <c r="I14285"/>
      <c r="N14285"/>
      <c r="O14285" s="24"/>
      <c r="P14285"/>
      <c r="Q14285" s="24"/>
      <c r="R14285"/>
      <c r="S14285"/>
      <c r="T14285"/>
      <c r="U14285"/>
      <c r="X14285" s="60"/>
    </row>
    <row r="14286" spans="7:24" ht="15" customHeight="1">
      <c r="G14286"/>
      <c r="I14286"/>
      <c r="N14286"/>
      <c r="O14286" s="24"/>
      <c r="P14286"/>
      <c r="Q14286" s="24"/>
      <c r="R14286"/>
      <c r="S14286"/>
      <c r="T14286"/>
      <c r="U14286"/>
      <c r="X14286" s="60"/>
    </row>
    <row r="14287" spans="7:24" ht="15" customHeight="1">
      <c r="G14287"/>
      <c r="I14287"/>
      <c r="N14287"/>
      <c r="O14287" s="24"/>
      <c r="P14287"/>
      <c r="Q14287" s="24"/>
      <c r="R14287"/>
      <c r="S14287"/>
      <c r="T14287"/>
      <c r="U14287"/>
      <c r="X14287" s="60"/>
    </row>
    <row r="14288" spans="7:24" ht="15" customHeight="1">
      <c r="G14288"/>
      <c r="I14288"/>
      <c r="N14288"/>
      <c r="O14288" s="24"/>
      <c r="P14288"/>
      <c r="Q14288" s="24"/>
      <c r="R14288"/>
      <c r="S14288"/>
      <c r="T14288"/>
      <c r="U14288"/>
      <c r="X14288" s="60"/>
    </row>
    <row r="14289" spans="7:24" ht="15" customHeight="1">
      <c r="G14289"/>
      <c r="I14289"/>
      <c r="N14289"/>
      <c r="O14289" s="24"/>
      <c r="P14289"/>
      <c r="Q14289" s="24"/>
      <c r="R14289"/>
      <c r="S14289"/>
      <c r="T14289"/>
      <c r="U14289"/>
      <c r="X14289" s="60"/>
    </row>
    <row r="14290" spans="7:24" ht="15" customHeight="1">
      <c r="G14290"/>
      <c r="I14290"/>
      <c r="N14290"/>
      <c r="O14290" s="24"/>
      <c r="P14290"/>
      <c r="Q14290" s="24"/>
      <c r="R14290"/>
      <c r="S14290"/>
      <c r="T14290"/>
      <c r="U14290"/>
      <c r="X14290" s="60"/>
    </row>
    <row r="14291" spans="7:24" ht="15" customHeight="1">
      <c r="G14291"/>
      <c r="I14291"/>
      <c r="N14291"/>
      <c r="O14291" s="24"/>
      <c r="P14291"/>
      <c r="Q14291" s="24"/>
      <c r="R14291"/>
      <c r="S14291"/>
      <c r="T14291"/>
      <c r="U14291"/>
      <c r="X14291" s="60"/>
    </row>
    <row r="14292" spans="7:24" ht="15" customHeight="1">
      <c r="G14292"/>
      <c r="I14292"/>
      <c r="N14292"/>
      <c r="O14292" s="24"/>
      <c r="P14292"/>
      <c r="Q14292" s="24"/>
      <c r="R14292"/>
      <c r="S14292"/>
      <c r="T14292"/>
      <c r="U14292"/>
      <c r="X14292" s="60"/>
    </row>
    <row r="14293" spans="7:24" ht="15" customHeight="1">
      <c r="G14293"/>
      <c r="I14293"/>
      <c r="N14293"/>
      <c r="O14293" s="24"/>
      <c r="P14293"/>
      <c r="Q14293" s="24"/>
      <c r="R14293"/>
      <c r="S14293"/>
      <c r="T14293"/>
      <c r="U14293"/>
      <c r="X14293" s="60"/>
    </row>
    <row r="14294" spans="7:24" ht="15" customHeight="1">
      <c r="G14294"/>
      <c r="I14294"/>
      <c r="N14294"/>
      <c r="O14294" s="24"/>
      <c r="P14294"/>
      <c r="Q14294" s="24"/>
      <c r="R14294"/>
      <c r="S14294"/>
      <c r="T14294"/>
      <c r="U14294"/>
      <c r="X14294" s="60"/>
    </row>
    <row r="14295" spans="7:24" ht="15" customHeight="1">
      <c r="G14295"/>
      <c r="I14295"/>
      <c r="N14295"/>
      <c r="O14295" s="24"/>
      <c r="P14295"/>
      <c r="Q14295" s="24"/>
      <c r="R14295"/>
      <c r="S14295"/>
      <c r="T14295"/>
      <c r="U14295"/>
      <c r="X14295" s="60"/>
    </row>
    <row r="14296" spans="7:24" ht="15" customHeight="1">
      <c r="G14296"/>
      <c r="I14296"/>
      <c r="N14296"/>
      <c r="O14296" s="24"/>
      <c r="P14296"/>
      <c r="Q14296" s="24"/>
      <c r="R14296"/>
      <c r="S14296"/>
      <c r="T14296"/>
      <c r="U14296"/>
      <c r="X14296" s="60"/>
    </row>
    <row r="14297" spans="7:24" ht="15" customHeight="1">
      <c r="G14297"/>
      <c r="I14297"/>
      <c r="N14297"/>
      <c r="O14297" s="24"/>
      <c r="P14297"/>
      <c r="Q14297" s="24"/>
      <c r="R14297"/>
      <c r="S14297"/>
      <c r="T14297"/>
      <c r="U14297"/>
      <c r="X14297" s="60"/>
    </row>
    <row r="14298" spans="7:24" ht="15" customHeight="1">
      <c r="G14298"/>
      <c r="I14298"/>
      <c r="N14298"/>
      <c r="O14298" s="24"/>
      <c r="P14298"/>
      <c r="Q14298" s="24"/>
      <c r="R14298"/>
      <c r="S14298"/>
      <c r="T14298"/>
      <c r="U14298"/>
      <c r="X14298" s="60"/>
    </row>
    <row r="14299" spans="7:24" ht="15" customHeight="1">
      <c r="G14299"/>
      <c r="I14299"/>
      <c r="N14299"/>
      <c r="O14299" s="24"/>
      <c r="P14299"/>
      <c r="Q14299" s="24"/>
      <c r="R14299"/>
      <c r="S14299"/>
      <c r="T14299"/>
      <c r="U14299"/>
      <c r="X14299" s="60"/>
    </row>
    <row r="14300" spans="7:24" ht="15" customHeight="1">
      <c r="G14300"/>
      <c r="I14300"/>
      <c r="N14300"/>
      <c r="O14300" s="24"/>
      <c r="P14300"/>
      <c r="Q14300" s="24"/>
      <c r="R14300"/>
      <c r="S14300"/>
      <c r="T14300"/>
      <c r="U14300"/>
      <c r="X14300" s="60"/>
    </row>
    <row r="14301" spans="7:24" ht="15" customHeight="1">
      <c r="G14301"/>
      <c r="I14301"/>
      <c r="N14301"/>
      <c r="O14301" s="24"/>
      <c r="P14301"/>
      <c r="Q14301" s="24"/>
      <c r="R14301"/>
      <c r="S14301"/>
      <c r="T14301"/>
      <c r="U14301"/>
      <c r="X14301" s="60"/>
    </row>
    <row r="14302" spans="7:24" ht="15" customHeight="1">
      <c r="G14302"/>
      <c r="I14302"/>
      <c r="N14302"/>
      <c r="O14302" s="24"/>
      <c r="P14302"/>
      <c r="Q14302" s="24"/>
      <c r="R14302"/>
      <c r="S14302"/>
      <c r="T14302"/>
      <c r="U14302"/>
      <c r="X14302" s="60"/>
    </row>
    <row r="14303" spans="7:24" ht="15" customHeight="1">
      <c r="G14303"/>
      <c r="I14303"/>
      <c r="N14303"/>
      <c r="O14303" s="24"/>
      <c r="P14303"/>
      <c r="Q14303" s="24"/>
      <c r="R14303"/>
      <c r="S14303"/>
      <c r="T14303"/>
      <c r="U14303"/>
      <c r="X14303" s="60"/>
    </row>
    <row r="14304" spans="7:24" ht="15" customHeight="1">
      <c r="G14304"/>
      <c r="I14304"/>
      <c r="N14304"/>
      <c r="O14304" s="24"/>
      <c r="P14304"/>
      <c r="Q14304" s="24"/>
      <c r="R14304"/>
      <c r="S14304"/>
      <c r="T14304"/>
      <c r="U14304"/>
      <c r="X14304" s="60"/>
    </row>
    <row r="14305" spans="7:24" ht="15" customHeight="1">
      <c r="G14305"/>
      <c r="I14305"/>
      <c r="N14305"/>
      <c r="O14305" s="24"/>
      <c r="P14305"/>
      <c r="Q14305" s="24"/>
      <c r="R14305"/>
      <c r="S14305"/>
      <c r="T14305"/>
      <c r="U14305"/>
      <c r="X14305" s="60"/>
    </row>
    <row r="14306" spans="7:24" ht="15" customHeight="1">
      <c r="G14306"/>
      <c r="I14306"/>
      <c r="N14306"/>
      <c r="O14306" s="24"/>
      <c r="P14306"/>
      <c r="Q14306" s="24"/>
      <c r="R14306"/>
      <c r="S14306"/>
      <c r="T14306"/>
      <c r="U14306"/>
      <c r="X14306" s="60"/>
    </row>
    <row r="14307" spans="7:24" ht="15" customHeight="1">
      <c r="G14307"/>
      <c r="I14307"/>
      <c r="N14307"/>
      <c r="O14307" s="24"/>
      <c r="P14307"/>
      <c r="Q14307" s="24"/>
      <c r="R14307"/>
      <c r="S14307"/>
      <c r="T14307"/>
      <c r="U14307"/>
      <c r="X14307" s="60"/>
    </row>
    <row r="14308" spans="7:24" ht="15" customHeight="1">
      <c r="G14308"/>
      <c r="I14308"/>
      <c r="N14308"/>
      <c r="O14308" s="24"/>
      <c r="P14308"/>
      <c r="Q14308" s="24"/>
      <c r="R14308"/>
      <c r="S14308"/>
      <c r="T14308"/>
      <c r="U14308"/>
      <c r="X14308" s="60"/>
    </row>
    <row r="14309" spans="7:24" ht="15" customHeight="1">
      <c r="G14309"/>
      <c r="I14309"/>
      <c r="N14309"/>
      <c r="O14309" s="24"/>
      <c r="P14309"/>
      <c r="Q14309" s="24"/>
      <c r="R14309"/>
      <c r="S14309"/>
      <c r="T14309"/>
      <c r="U14309"/>
      <c r="X14309" s="60"/>
    </row>
    <row r="14310" spans="7:24" ht="15" customHeight="1">
      <c r="G14310"/>
      <c r="I14310"/>
      <c r="N14310"/>
      <c r="O14310" s="24"/>
      <c r="P14310"/>
      <c r="Q14310" s="24"/>
      <c r="R14310"/>
      <c r="S14310"/>
      <c r="T14310"/>
      <c r="U14310"/>
      <c r="X14310" s="60"/>
    </row>
    <row r="14311" spans="7:24" ht="15" customHeight="1">
      <c r="G14311"/>
      <c r="I14311"/>
      <c r="N14311"/>
      <c r="O14311" s="24"/>
      <c r="P14311"/>
      <c r="Q14311" s="24"/>
      <c r="R14311"/>
      <c r="S14311"/>
      <c r="T14311"/>
      <c r="U14311"/>
      <c r="X14311" s="60"/>
    </row>
    <row r="14312" spans="7:24" ht="15" customHeight="1">
      <c r="G14312"/>
      <c r="I14312"/>
      <c r="N14312"/>
      <c r="O14312" s="24"/>
      <c r="P14312"/>
      <c r="Q14312" s="24"/>
      <c r="R14312"/>
      <c r="S14312"/>
      <c r="T14312"/>
      <c r="U14312"/>
      <c r="X14312" s="60"/>
    </row>
    <row r="14313" spans="7:24" ht="15" customHeight="1">
      <c r="G14313"/>
      <c r="I14313"/>
      <c r="N14313"/>
      <c r="O14313" s="24"/>
      <c r="P14313"/>
      <c r="Q14313" s="24"/>
      <c r="R14313"/>
      <c r="S14313"/>
      <c r="T14313"/>
      <c r="U14313"/>
      <c r="X14313" s="60"/>
    </row>
    <row r="14314" spans="7:24" ht="15" customHeight="1">
      <c r="G14314"/>
      <c r="I14314"/>
      <c r="N14314"/>
      <c r="O14314" s="24"/>
      <c r="P14314"/>
      <c r="Q14314" s="24"/>
      <c r="R14314"/>
      <c r="S14314"/>
      <c r="T14314"/>
      <c r="U14314"/>
      <c r="X14314" s="60"/>
    </row>
    <row r="14315" spans="7:24" ht="15" customHeight="1">
      <c r="G14315"/>
      <c r="I14315"/>
      <c r="N14315"/>
      <c r="O14315" s="24"/>
      <c r="P14315"/>
      <c r="Q14315" s="24"/>
      <c r="R14315"/>
      <c r="S14315"/>
      <c r="T14315"/>
      <c r="U14315"/>
      <c r="X14315" s="60"/>
    </row>
    <row r="14316" spans="7:24" ht="15" customHeight="1">
      <c r="G14316"/>
      <c r="I14316"/>
      <c r="N14316"/>
      <c r="O14316" s="24"/>
      <c r="P14316"/>
      <c r="Q14316" s="24"/>
      <c r="R14316"/>
      <c r="S14316"/>
      <c r="T14316"/>
      <c r="U14316"/>
      <c r="X14316" s="60"/>
    </row>
    <row r="14317" spans="7:24" ht="15" customHeight="1">
      <c r="G14317"/>
      <c r="I14317"/>
      <c r="N14317"/>
      <c r="O14317" s="24"/>
      <c r="P14317"/>
      <c r="Q14317" s="24"/>
      <c r="R14317"/>
      <c r="S14317"/>
      <c r="T14317"/>
      <c r="U14317"/>
      <c r="X14317" s="60"/>
    </row>
    <row r="14318" spans="7:24" ht="15" customHeight="1">
      <c r="G14318"/>
      <c r="I14318"/>
      <c r="N14318"/>
      <c r="O14318" s="24"/>
      <c r="P14318"/>
      <c r="Q14318" s="24"/>
      <c r="R14318"/>
      <c r="S14318"/>
      <c r="T14318"/>
      <c r="U14318"/>
      <c r="X14318" s="60"/>
    </row>
    <row r="14319" spans="7:24" ht="15" customHeight="1">
      <c r="G14319"/>
      <c r="I14319"/>
      <c r="N14319"/>
      <c r="O14319" s="24"/>
      <c r="P14319"/>
      <c r="Q14319" s="24"/>
      <c r="R14319"/>
      <c r="S14319"/>
      <c r="T14319"/>
      <c r="U14319"/>
      <c r="X14319" s="60"/>
    </row>
    <row r="14320" spans="7:24" ht="15" customHeight="1">
      <c r="G14320"/>
      <c r="I14320"/>
      <c r="N14320"/>
      <c r="O14320" s="24"/>
      <c r="P14320"/>
      <c r="Q14320" s="24"/>
      <c r="R14320"/>
      <c r="S14320"/>
      <c r="T14320"/>
      <c r="U14320"/>
      <c r="X14320" s="60"/>
    </row>
    <row r="14321" spans="7:24" ht="15" customHeight="1">
      <c r="G14321"/>
      <c r="I14321"/>
      <c r="N14321"/>
      <c r="O14321" s="24"/>
      <c r="P14321"/>
      <c r="Q14321" s="24"/>
      <c r="R14321"/>
      <c r="S14321"/>
      <c r="T14321"/>
      <c r="U14321"/>
      <c r="X14321" s="60"/>
    </row>
    <row r="14322" spans="7:24" ht="15" customHeight="1">
      <c r="G14322"/>
      <c r="I14322"/>
      <c r="N14322"/>
      <c r="O14322" s="24"/>
      <c r="P14322"/>
      <c r="Q14322" s="24"/>
      <c r="R14322"/>
      <c r="S14322"/>
      <c r="T14322"/>
      <c r="U14322"/>
      <c r="X14322" s="60"/>
    </row>
    <row r="14323" spans="7:24" ht="15" customHeight="1">
      <c r="G14323"/>
      <c r="I14323"/>
      <c r="N14323"/>
      <c r="O14323" s="24"/>
      <c r="P14323"/>
      <c r="Q14323" s="24"/>
      <c r="R14323"/>
      <c r="S14323"/>
      <c r="T14323"/>
      <c r="U14323"/>
      <c r="X14323" s="60"/>
    </row>
    <row r="14324" spans="7:24" ht="15" customHeight="1">
      <c r="G14324"/>
      <c r="I14324"/>
      <c r="N14324"/>
      <c r="O14324" s="24"/>
      <c r="P14324"/>
      <c r="Q14324" s="24"/>
      <c r="R14324"/>
      <c r="S14324"/>
      <c r="T14324"/>
      <c r="U14324"/>
      <c r="X14324" s="60"/>
    </row>
    <row r="14325" spans="7:24" ht="15" customHeight="1">
      <c r="G14325"/>
      <c r="I14325"/>
      <c r="N14325"/>
      <c r="O14325" s="24"/>
      <c r="P14325"/>
      <c r="Q14325" s="24"/>
      <c r="R14325"/>
      <c r="S14325"/>
      <c r="T14325"/>
      <c r="U14325"/>
      <c r="X14325" s="60"/>
    </row>
    <row r="14326" spans="7:24" ht="15" customHeight="1">
      <c r="G14326"/>
      <c r="I14326"/>
      <c r="N14326"/>
      <c r="O14326" s="24"/>
      <c r="P14326"/>
      <c r="Q14326" s="24"/>
      <c r="R14326"/>
      <c r="S14326"/>
      <c r="T14326"/>
      <c r="U14326"/>
      <c r="X14326" s="60"/>
    </row>
    <row r="14327" spans="7:24" ht="15" customHeight="1">
      <c r="G14327"/>
      <c r="I14327"/>
      <c r="N14327"/>
      <c r="O14327" s="24"/>
      <c r="P14327"/>
      <c r="Q14327" s="24"/>
      <c r="R14327"/>
      <c r="S14327"/>
      <c r="T14327"/>
      <c r="U14327"/>
      <c r="X14327" s="60"/>
    </row>
    <row r="14328" spans="7:24" ht="15" customHeight="1">
      <c r="G14328"/>
      <c r="I14328"/>
      <c r="N14328"/>
      <c r="O14328" s="24"/>
      <c r="P14328"/>
      <c r="Q14328" s="24"/>
      <c r="R14328"/>
      <c r="S14328"/>
      <c r="T14328"/>
      <c r="U14328"/>
      <c r="X14328" s="60"/>
    </row>
    <row r="14329" spans="7:24" ht="15" customHeight="1">
      <c r="G14329"/>
      <c r="I14329"/>
      <c r="N14329"/>
      <c r="O14329" s="24"/>
      <c r="P14329"/>
      <c r="Q14329" s="24"/>
      <c r="R14329"/>
      <c r="S14329"/>
      <c r="T14329"/>
      <c r="U14329"/>
      <c r="X14329" s="60"/>
    </row>
    <row r="14330" spans="7:24" ht="15" customHeight="1">
      <c r="G14330"/>
      <c r="I14330"/>
      <c r="N14330"/>
      <c r="O14330" s="24"/>
      <c r="P14330"/>
      <c r="Q14330" s="24"/>
      <c r="R14330"/>
      <c r="S14330"/>
      <c r="T14330"/>
      <c r="U14330"/>
      <c r="X14330" s="60"/>
    </row>
    <row r="14331" spans="7:24" ht="15" customHeight="1">
      <c r="G14331"/>
      <c r="I14331"/>
      <c r="N14331"/>
      <c r="O14331" s="24"/>
      <c r="P14331"/>
      <c r="Q14331" s="24"/>
      <c r="R14331"/>
      <c r="S14331"/>
      <c r="T14331"/>
      <c r="U14331"/>
      <c r="X14331" s="60"/>
    </row>
    <row r="14332" spans="7:24" ht="15" customHeight="1">
      <c r="G14332"/>
      <c r="I14332"/>
      <c r="N14332"/>
      <c r="O14332" s="24"/>
      <c r="P14332"/>
      <c r="Q14332" s="24"/>
      <c r="R14332"/>
      <c r="S14332"/>
      <c r="T14332"/>
      <c r="U14332"/>
      <c r="X14332" s="60"/>
    </row>
    <row r="14333" spans="7:24" ht="15" customHeight="1">
      <c r="G14333"/>
      <c r="I14333"/>
      <c r="N14333"/>
      <c r="O14333" s="24"/>
      <c r="P14333"/>
      <c r="Q14333" s="24"/>
      <c r="R14333"/>
      <c r="S14333"/>
      <c r="T14333"/>
      <c r="U14333"/>
      <c r="X14333" s="60"/>
    </row>
    <row r="14334" spans="7:24" ht="15" customHeight="1">
      <c r="G14334"/>
      <c r="I14334"/>
      <c r="N14334"/>
      <c r="O14334" s="24"/>
      <c r="P14334"/>
      <c r="Q14334" s="24"/>
      <c r="R14334"/>
      <c r="S14334"/>
      <c r="T14334"/>
      <c r="U14334"/>
      <c r="X14334" s="60"/>
    </row>
    <row r="14335" spans="7:24" ht="15" customHeight="1">
      <c r="G14335"/>
      <c r="I14335"/>
      <c r="N14335"/>
      <c r="O14335" s="24"/>
      <c r="P14335"/>
      <c r="Q14335" s="24"/>
      <c r="R14335"/>
      <c r="S14335"/>
      <c r="T14335"/>
      <c r="U14335"/>
      <c r="X14335" s="60"/>
    </row>
    <row r="14336" spans="7:24" ht="15" customHeight="1">
      <c r="G14336"/>
      <c r="I14336"/>
      <c r="N14336"/>
      <c r="O14336" s="24"/>
      <c r="P14336"/>
      <c r="Q14336" s="24"/>
      <c r="R14336"/>
      <c r="S14336"/>
      <c r="T14336"/>
      <c r="U14336"/>
      <c r="X14336" s="60"/>
    </row>
    <row r="14337" spans="7:24" ht="15" customHeight="1">
      <c r="G14337"/>
      <c r="I14337"/>
      <c r="N14337"/>
      <c r="O14337" s="24"/>
      <c r="P14337"/>
      <c r="Q14337" s="24"/>
      <c r="R14337"/>
      <c r="S14337"/>
      <c r="T14337"/>
      <c r="U14337"/>
      <c r="X14337" s="60"/>
    </row>
    <row r="14338" spans="7:24" ht="15" customHeight="1">
      <c r="G14338"/>
      <c r="I14338"/>
      <c r="N14338"/>
      <c r="O14338" s="24"/>
      <c r="P14338"/>
      <c r="Q14338" s="24"/>
      <c r="R14338"/>
      <c r="S14338"/>
      <c r="T14338"/>
      <c r="U14338"/>
      <c r="X14338" s="60"/>
    </row>
    <row r="14339" spans="7:24" ht="15" customHeight="1">
      <c r="G14339"/>
      <c r="I14339"/>
      <c r="N14339"/>
      <c r="O14339" s="24"/>
      <c r="P14339"/>
      <c r="Q14339" s="24"/>
      <c r="R14339"/>
      <c r="S14339"/>
      <c r="T14339"/>
      <c r="U14339"/>
      <c r="X14339" s="60"/>
    </row>
    <row r="14340" spans="7:24" ht="15" customHeight="1">
      <c r="G14340"/>
      <c r="I14340"/>
      <c r="N14340"/>
      <c r="O14340" s="24"/>
      <c r="P14340"/>
      <c r="Q14340" s="24"/>
      <c r="R14340"/>
      <c r="S14340"/>
      <c r="T14340"/>
      <c r="U14340"/>
      <c r="X14340" s="60"/>
    </row>
    <row r="14341" spans="7:24" ht="15" customHeight="1">
      <c r="G14341"/>
      <c r="I14341"/>
      <c r="N14341"/>
      <c r="O14341" s="24"/>
      <c r="P14341"/>
      <c r="Q14341" s="24"/>
      <c r="R14341"/>
      <c r="S14341"/>
      <c r="T14341"/>
      <c r="U14341"/>
      <c r="X14341" s="60"/>
    </row>
    <row r="14342" spans="7:24" ht="15" customHeight="1">
      <c r="G14342"/>
      <c r="I14342"/>
      <c r="N14342"/>
      <c r="O14342" s="24"/>
      <c r="P14342"/>
      <c r="Q14342" s="24"/>
      <c r="R14342"/>
      <c r="S14342"/>
      <c r="T14342"/>
      <c r="U14342"/>
      <c r="X14342" s="60"/>
    </row>
    <row r="14343" spans="7:24" ht="15" customHeight="1">
      <c r="G14343"/>
      <c r="I14343"/>
      <c r="N14343"/>
      <c r="O14343" s="24"/>
      <c r="P14343"/>
      <c r="Q14343" s="24"/>
      <c r="R14343"/>
      <c r="S14343"/>
      <c r="T14343"/>
      <c r="U14343"/>
      <c r="X14343" s="60"/>
    </row>
    <row r="14344" spans="7:24" ht="15" customHeight="1">
      <c r="G14344"/>
      <c r="I14344"/>
      <c r="N14344"/>
      <c r="O14344" s="24"/>
      <c r="P14344"/>
      <c r="Q14344" s="24"/>
      <c r="R14344"/>
      <c r="S14344"/>
      <c r="T14344"/>
      <c r="U14344"/>
      <c r="X14344" s="60"/>
    </row>
    <row r="14345" spans="7:24" ht="15" customHeight="1">
      <c r="G14345"/>
      <c r="I14345"/>
      <c r="N14345"/>
      <c r="O14345" s="24"/>
      <c r="P14345"/>
      <c r="Q14345" s="24"/>
      <c r="R14345"/>
      <c r="S14345"/>
      <c r="T14345"/>
      <c r="U14345"/>
      <c r="X14345" s="60"/>
    </row>
    <row r="14346" spans="7:24" ht="15" customHeight="1">
      <c r="G14346"/>
      <c r="I14346"/>
      <c r="N14346"/>
      <c r="O14346" s="24"/>
      <c r="P14346"/>
      <c r="Q14346" s="24"/>
      <c r="R14346"/>
      <c r="S14346"/>
      <c r="T14346"/>
      <c r="U14346"/>
      <c r="X14346" s="60"/>
    </row>
    <row r="14347" spans="7:24" ht="15" customHeight="1">
      <c r="G14347"/>
      <c r="I14347"/>
      <c r="N14347"/>
      <c r="O14347" s="24"/>
      <c r="P14347"/>
      <c r="Q14347" s="24"/>
      <c r="R14347"/>
      <c r="S14347"/>
      <c r="T14347"/>
      <c r="U14347"/>
      <c r="X14347" s="60"/>
    </row>
    <row r="14348" spans="7:24" ht="15" customHeight="1">
      <c r="G14348"/>
      <c r="I14348"/>
      <c r="N14348"/>
      <c r="O14348" s="24"/>
      <c r="P14348"/>
      <c r="Q14348" s="24"/>
      <c r="R14348"/>
      <c r="S14348"/>
      <c r="T14348"/>
      <c r="U14348"/>
      <c r="X14348" s="60"/>
    </row>
    <row r="14349" spans="7:24" ht="15" customHeight="1">
      <c r="G14349"/>
      <c r="I14349"/>
      <c r="N14349"/>
      <c r="O14349" s="24"/>
      <c r="P14349"/>
      <c r="Q14349" s="24"/>
      <c r="R14349"/>
      <c r="S14349"/>
      <c r="T14349"/>
      <c r="U14349"/>
      <c r="X14349" s="60"/>
    </row>
    <row r="14350" spans="7:24" ht="15" customHeight="1">
      <c r="G14350"/>
      <c r="I14350"/>
      <c r="N14350"/>
      <c r="O14350" s="24"/>
      <c r="P14350"/>
      <c r="Q14350" s="24"/>
      <c r="R14350"/>
      <c r="S14350"/>
      <c r="T14350"/>
      <c r="U14350"/>
      <c r="X14350" s="60"/>
    </row>
    <row r="14351" spans="7:24" ht="15" customHeight="1">
      <c r="G14351"/>
      <c r="I14351"/>
      <c r="N14351"/>
      <c r="O14351" s="24"/>
      <c r="P14351"/>
      <c r="Q14351" s="24"/>
      <c r="R14351"/>
      <c r="S14351"/>
      <c r="T14351"/>
      <c r="U14351"/>
      <c r="X14351" s="60"/>
    </row>
    <row r="14352" spans="7:24" ht="15" customHeight="1">
      <c r="G14352"/>
      <c r="I14352"/>
      <c r="N14352"/>
      <c r="O14352" s="24"/>
      <c r="P14352"/>
      <c r="Q14352" s="24"/>
      <c r="R14352"/>
      <c r="S14352"/>
      <c r="T14352"/>
      <c r="U14352"/>
      <c r="X14352" s="60"/>
    </row>
    <row r="14353" spans="7:24" ht="15" customHeight="1">
      <c r="G14353"/>
      <c r="I14353"/>
      <c r="N14353"/>
      <c r="O14353" s="24"/>
      <c r="P14353"/>
      <c r="Q14353" s="24"/>
      <c r="R14353"/>
      <c r="S14353"/>
      <c r="T14353"/>
      <c r="U14353"/>
      <c r="X14353" s="60"/>
    </row>
    <row r="14354" spans="7:24" ht="15" customHeight="1">
      <c r="G14354"/>
      <c r="I14354"/>
      <c r="N14354"/>
      <c r="O14354" s="24"/>
      <c r="P14354"/>
      <c r="Q14354" s="24"/>
      <c r="R14354"/>
      <c r="S14354"/>
      <c r="T14354"/>
      <c r="U14354"/>
      <c r="X14354" s="60"/>
    </row>
    <row r="14355" spans="7:24" ht="15" customHeight="1">
      <c r="G14355"/>
      <c r="I14355"/>
      <c r="N14355"/>
      <c r="O14355" s="24"/>
      <c r="P14355"/>
      <c r="Q14355" s="24"/>
      <c r="R14355"/>
      <c r="S14355"/>
      <c r="T14355"/>
      <c r="U14355"/>
      <c r="X14355" s="60"/>
    </row>
    <row r="14356" spans="7:24" ht="15" customHeight="1">
      <c r="G14356"/>
      <c r="I14356"/>
      <c r="N14356"/>
      <c r="O14356" s="24"/>
      <c r="P14356"/>
      <c r="Q14356" s="24"/>
      <c r="R14356"/>
      <c r="S14356"/>
      <c r="T14356"/>
      <c r="U14356"/>
      <c r="X14356" s="60"/>
    </row>
    <row r="14357" spans="7:24" ht="15" customHeight="1">
      <c r="G14357"/>
      <c r="I14357"/>
      <c r="N14357"/>
      <c r="O14357" s="24"/>
      <c r="P14357"/>
      <c r="Q14357" s="24"/>
      <c r="R14357"/>
      <c r="S14357"/>
      <c r="T14357"/>
      <c r="U14357"/>
      <c r="X14357" s="60"/>
    </row>
    <row r="14358" spans="7:24" ht="15" customHeight="1">
      <c r="G14358"/>
      <c r="I14358"/>
      <c r="N14358"/>
      <c r="O14358" s="24"/>
      <c r="P14358"/>
      <c r="Q14358" s="24"/>
      <c r="R14358"/>
      <c r="S14358"/>
      <c r="T14358"/>
      <c r="U14358"/>
      <c r="X14358" s="60"/>
    </row>
    <row r="14359" spans="7:24" ht="15" customHeight="1">
      <c r="G14359"/>
      <c r="I14359"/>
      <c r="N14359"/>
      <c r="O14359" s="24"/>
      <c r="P14359"/>
      <c r="Q14359" s="24"/>
      <c r="R14359"/>
      <c r="S14359"/>
      <c r="T14359"/>
      <c r="U14359"/>
      <c r="X14359" s="60"/>
    </row>
    <row r="14360" spans="7:24" ht="15" customHeight="1">
      <c r="G14360"/>
      <c r="I14360"/>
      <c r="N14360"/>
      <c r="O14360" s="24"/>
      <c r="P14360"/>
      <c r="Q14360" s="24"/>
      <c r="R14360"/>
      <c r="S14360"/>
      <c r="T14360"/>
      <c r="U14360"/>
      <c r="X14360" s="60"/>
    </row>
    <row r="14361" spans="7:24" ht="15" customHeight="1">
      <c r="G14361"/>
      <c r="I14361"/>
      <c r="N14361"/>
      <c r="O14361" s="24"/>
      <c r="P14361"/>
      <c r="Q14361" s="24"/>
      <c r="R14361"/>
      <c r="S14361"/>
      <c r="T14361"/>
      <c r="U14361"/>
      <c r="X14361" s="60"/>
    </row>
    <row r="14362" spans="7:24" ht="15" customHeight="1">
      <c r="G14362"/>
      <c r="I14362"/>
      <c r="N14362"/>
      <c r="O14362" s="24"/>
      <c r="P14362"/>
      <c r="Q14362" s="24"/>
      <c r="R14362"/>
      <c r="S14362"/>
      <c r="T14362"/>
      <c r="U14362"/>
      <c r="X14362" s="60"/>
    </row>
    <row r="14363" spans="7:24" ht="15" customHeight="1">
      <c r="G14363"/>
      <c r="I14363"/>
      <c r="N14363"/>
      <c r="O14363" s="24"/>
      <c r="P14363"/>
      <c r="Q14363" s="24"/>
      <c r="R14363"/>
      <c r="S14363"/>
      <c r="T14363"/>
      <c r="U14363"/>
      <c r="X14363" s="60"/>
    </row>
    <row r="14364" spans="7:24" ht="15" customHeight="1">
      <c r="G14364"/>
      <c r="I14364"/>
      <c r="N14364"/>
      <c r="O14364" s="24"/>
      <c r="P14364"/>
      <c r="Q14364" s="24"/>
      <c r="R14364"/>
      <c r="S14364"/>
      <c r="T14364"/>
      <c r="U14364"/>
      <c r="X14364" s="60"/>
    </row>
    <row r="14365" spans="7:24" ht="15" customHeight="1">
      <c r="G14365"/>
      <c r="I14365"/>
      <c r="N14365"/>
      <c r="O14365" s="24"/>
      <c r="P14365"/>
      <c r="Q14365" s="24"/>
      <c r="R14365"/>
      <c r="S14365"/>
      <c r="T14365"/>
      <c r="U14365"/>
      <c r="X14365" s="60"/>
    </row>
    <row r="14366" spans="7:24" ht="15" customHeight="1">
      <c r="G14366"/>
      <c r="I14366"/>
      <c r="N14366"/>
      <c r="O14366" s="24"/>
      <c r="P14366"/>
      <c r="Q14366" s="24"/>
      <c r="R14366"/>
      <c r="S14366"/>
      <c r="T14366"/>
      <c r="U14366"/>
      <c r="X14366" s="60"/>
    </row>
    <row r="14367" spans="7:24" ht="15" customHeight="1">
      <c r="G14367"/>
      <c r="I14367"/>
      <c r="N14367"/>
      <c r="O14367" s="24"/>
      <c r="P14367"/>
      <c r="Q14367" s="24"/>
      <c r="R14367"/>
      <c r="S14367"/>
      <c r="T14367"/>
      <c r="U14367"/>
      <c r="X14367" s="60"/>
    </row>
    <row r="14368" spans="7:24" ht="15" customHeight="1">
      <c r="G14368"/>
      <c r="I14368"/>
      <c r="N14368"/>
      <c r="O14368" s="24"/>
      <c r="P14368"/>
      <c r="Q14368" s="24"/>
      <c r="R14368"/>
      <c r="S14368"/>
      <c r="T14368"/>
      <c r="U14368"/>
      <c r="X14368" s="60"/>
    </row>
    <row r="14369" spans="7:24" ht="15" customHeight="1">
      <c r="G14369"/>
      <c r="I14369"/>
      <c r="N14369"/>
      <c r="O14369" s="24"/>
      <c r="P14369"/>
      <c r="Q14369" s="24"/>
      <c r="R14369"/>
      <c r="S14369"/>
      <c r="T14369"/>
      <c r="U14369"/>
      <c r="X14369" s="60"/>
    </row>
    <row r="14370" spans="7:24" ht="15" customHeight="1">
      <c r="G14370"/>
      <c r="I14370"/>
      <c r="N14370"/>
      <c r="O14370" s="24"/>
      <c r="P14370"/>
      <c r="Q14370" s="24"/>
      <c r="R14370"/>
      <c r="S14370"/>
      <c r="T14370"/>
      <c r="U14370"/>
      <c r="X14370" s="60"/>
    </row>
    <row r="14371" spans="7:24" ht="15" customHeight="1">
      <c r="G14371"/>
      <c r="I14371"/>
      <c r="N14371"/>
      <c r="O14371" s="24"/>
      <c r="P14371"/>
      <c r="Q14371" s="24"/>
      <c r="R14371"/>
      <c r="S14371"/>
      <c r="T14371"/>
      <c r="U14371"/>
      <c r="X14371" s="60"/>
    </row>
    <row r="14372" spans="7:24" ht="15" customHeight="1">
      <c r="G14372"/>
      <c r="I14372"/>
      <c r="N14372"/>
      <c r="O14372" s="24"/>
      <c r="P14372"/>
      <c r="Q14372" s="24"/>
      <c r="R14372"/>
      <c r="S14372"/>
      <c r="T14372"/>
      <c r="U14372"/>
      <c r="X14372" s="60"/>
    </row>
    <row r="14373" spans="7:24" ht="15" customHeight="1">
      <c r="G14373"/>
      <c r="I14373"/>
      <c r="N14373"/>
      <c r="O14373" s="24"/>
      <c r="P14373"/>
      <c r="Q14373" s="24"/>
      <c r="R14373"/>
      <c r="S14373"/>
      <c r="T14373"/>
      <c r="U14373"/>
      <c r="X14373" s="60"/>
    </row>
    <row r="14374" spans="7:24" ht="15" customHeight="1">
      <c r="G14374"/>
      <c r="I14374"/>
      <c r="N14374"/>
      <c r="O14374" s="24"/>
      <c r="P14374"/>
      <c r="Q14374" s="24"/>
      <c r="R14374"/>
      <c r="S14374"/>
      <c r="T14374"/>
      <c r="U14374"/>
      <c r="X14374" s="60"/>
    </row>
    <row r="14375" spans="7:24" ht="15" customHeight="1">
      <c r="G14375"/>
      <c r="I14375"/>
      <c r="N14375"/>
      <c r="O14375" s="24"/>
      <c r="P14375"/>
      <c r="Q14375" s="24"/>
      <c r="R14375"/>
      <c r="S14375"/>
      <c r="T14375"/>
      <c r="U14375"/>
      <c r="X14375" s="60"/>
    </row>
    <row r="14376" spans="7:24" ht="15" customHeight="1">
      <c r="G14376"/>
      <c r="I14376"/>
      <c r="N14376"/>
      <c r="O14376" s="24"/>
      <c r="P14376"/>
      <c r="Q14376" s="24"/>
      <c r="R14376"/>
      <c r="S14376"/>
      <c r="T14376"/>
      <c r="U14376"/>
      <c r="X14376" s="60"/>
    </row>
    <row r="14377" spans="7:24" ht="15" customHeight="1">
      <c r="G14377"/>
      <c r="I14377"/>
      <c r="N14377"/>
      <c r="O14377" s="24"/>
      <c r="P14377"/>
      <c r="Q14377" s="24"/>
      <c r="R14377"/>
      <c r="S14377"/>
      <c r="T14377"/>
      <c r="U14377"/>
      <c r="X14377" s="60"/>
    </row>
    <row r="14378" spans="7:24" ht="15" customHeight="1">
      <c r="G14378"/>
      <c r="I14378"/>
      <c r="N14378"/>
      <c r="O14378" s="24"/>
      <c r="P14378"/>
      <c r="Q14378" s="24"/>
      <c r="R14378"/>
      <c r="S14378"/>
      <c r="T14378"/>
      <c r="U14378"/>
      <c r="X14378" s="60"/>
    </row>
    <row r="14379" spans="7:24" ht="15" customHeight="1">
      <c r="G14379"/>
      <c r="I14379"/>
      <c r="N14379"/>
      <c r="O14379" s="24"/>
      <c r="P14379"/>
      <c r="Q14379" s="24"/>
      <c r="R14379"/>
      <c r="S14379"/>
      <c r="T14379"/>
      <c r="U14379"/>
      <c r="X14379" s="60"/>
    </row>
    <row r="14380" spans="7:24" ht="15" customHeight="1">
      <c r="G14380"/>
      <c r="I14380"/>
      <c r="N14380"/>
      <c r="O14380" s="24"/>
      <c r="P14380"/>
      <c r="Q14380" s="24"/>
      <c r="R14380"/>
      <c r="S14380"/>
      <c r="T14380"/>
      <c r="U14380"/>
      <c r="X14380" s="60"/>
    </row>
    <row r="14381" spans="7:24" ht="15" customHeight="1">
      <c r="G14381"/>
      <c r="I14381"/>
      <c r="N14381"/>
      <c r="O14381" s="24"/>
      <c r="P14381"/>
      <c r="Q14381" s="24"/>
      <c r="R14381"/>
      <c r="S14381"/>
      <c r="T14381"/>
      <c r="U14381"/>
      <c r="X14381" s="60"/>
    </row>
    <row r="14382" spans="7:24" ht="15" customHeight="1">
      <c r="G14382"/>
      <c r="I14382"/>
      <c r="N14382"/>
      <c r="O14382" s="24"/>
      <c r="P14382"/>
      <c r="Q14382" s="24"/>
      <c r="R14382"/>
      <c r="S14382"/>
      <c r="T14382"/>
      <c r="U14382"/>
      <c r="X14382" s="60"/>
    </row>
    <row r="14383" spans="7:24" ht="15" customHeight="1">
      <c r="G14383"/>
      <c r="I14383"/>
      <c r="N14383"/>
      <c r="O14383" s="24"/>
      <c r="P14383"/>
      <c r="Q14383" s="24"/>
      <c r="R14383"/>
      <c r="S14383"/>
      <c r="T14383"/>
      <c r="U14383"/>
      <c r="X14383" s="60"/>
    </row>
    <row r="14384" spans="7:24" ht="15" customHeight="1">
      <c r="G14384"/>
      <c r="I14384"/>
      <c r="N14384"/>
      <c r="O14384" s="24"/>
      <c r="P14384"/>
      <c r="Q14384" s="24"/>
      <c r="R14384"/>
      <c r="S14384"/>
      <c r="T14384"/>
      <c r="U14384"/>
      <c r="X14384" s="60"/>
    </row>
    <row r="14385" spans="7:24" ht="15" customHeight="1">
      <c r="G14385"/>
      <c r="I14385"/>
      <c r="N14385"/>
      <c r="O14385" s="24"/>
      <c r="P14385"/>
      <c r="Q14385" s="24"/>
      <c r="R14385"/>
      <c r="S14385"/>
      <c r="T14385"/>
      <c r="U14385"/>
      <c r="X14385" s="60"/>
    </row>
    <row r="14386" spans="7:24" ht="15" customHeight="1">
      <c r="G14386"/>
      <c r="I14386"/>
      <c r="N14386"/>
      <c r="O14386" s="24"/>
      <c r="P14386"/>
      <c r="Q14386" s="24"/>
      <c r="R14386"/>
      <c r="S14386"/>
      <c r="T14386"/>
      <c r="U14386"/>
      <c r="X14386" s="60"/>
    </row>
    <row r="14387" spans="7:24" ht="15" customHeight="1">
      <c r="G14387"/>
      <c r="I14387"/>
      <c r="N14387"/>
      <c r="O14387" s="24"/>
      <c r="P14387"/>
      <c r="Q14387" s="24"/>
      <c r="R14387"/>
      <c r="S14387"/>
      <c r="T14387"/>
      <c r="U14387"/>
      <c r="X14387" s="60"/>
    </row>
    <row r="14388" spans="7:24" ht="15" customHeight="1">
      <c r="G14388"/>
      <c r="I14388"/>
      <c r="N14388"/>
      <c r="O14388" s="24"/>
      <c r="P14388"/>
      <c r="Q14388" s="24"/>
      <c r="R14388"/>
      <c r="S14388"/>
      <c r="T14388"/>
      <c r="U14388"/>
      <c r="X14388" s="60"/>
    </row>
    <row r="14389" spans="7:24" ht="15" customHeight="1">
      <c r="G14389"/>
      <c r="I14389"/>
      <c r="N14389"/>
      <c r="O14389" s="24"/>
      <c r="P14389"/>
      <c r="Q14389" s="24"/>
      <c r="R14389"/>
      <c r="S14389"/>
      <c r="T14389"/>
      <c r="U14389"/>
      <c r="X14389" s="60"/>
    </row>
    <row r="14390" spans="7:24" ht="15" customHeight="1">
      <c r="G14390"/>
      <c r="I14390"/>
      <c r="N14390"/>
      <c r="O14390" s="24"/>
      <c r="P14390"/>
      <c r="Q14390" s="24"/>
      <c r="R14390"/>
      <c r="S14390"/>
      <c r="T14390"/>
      <c r="U14390"/>
      <c r="X14390" s="60"/>
    </row>
    <row r="14391" spans="7:24" ht="15" customHeight="1">
      <c r="G14391"/>
      <c r="I14391"/>
      <c r="N14391"/>
      <c r="O14391" s="24"/>
      <c r="P14391"/>
      <c r="Q14391" s="24"/>
      <c r="R14391"/>
      <c r="S14391"/>
      <c r="T14391"/>
      <c r="U14391"/>
      <c r="X14391" s="60"/>
    </row>
    <row r="14392" spans="7:24" ht="15" customHeight="1">
      <c r="G14392"/>
      <c r="I14392"/>
      <c r="N14392"/>
      <c r="O14392" s="24"/>
      <c r="P14392"/>
      <c r="Q14392" s="24"/>
      <c r="R14392"/>
      <c r="S14392"/>
      <c r="T14392"/>
      <c r="U14392"/>
      <c r="X14392" s="60"/>
    </row>
    <row r="14393" spans="7:24" ht="15" customHeight="1">
      <c r="G14393"/>
      <c r="I14393"/>
      <c r="N14393"/>
      <c r="O14393" s="24"/>
      <c r="P14393"/>
      <c r="Q14393" s="24"/>
      <c r="R14393"/>
      <c r="S14393"/>
      <c r="T14393"/>
      <c r="U14393"/>
      <c r="X14393" s="60"/>
    </row>
    <row r="14394" spans="7:24" ht="15" customHeight="1">
      <c r="G14394"/>
      <c r="I14394"/>
      <c r="N14394"/>
      <c r="O14394" s="24"/>
      <c r="P14394"/>
      <c r="Q14394" s="24"/>
      <c r="R14394"/>
      <c r="S14394"/>
      <c r="T14394"/>
      <c r="U14394"/>
      <c r="X14394" s="60"/>
    </row>
    <row r="14395" spans="7:24" ht="15" customHeight="1">
      <c r="G14395"/>
      <c r="I14395"/>
      <c r="N14395"/>
      <c r="O14395" s="24"/>
      <c r="P14395"/>
      <c r="Q14395" s="24"/>
      <c r="R14395"/>
      <c r="S14395"/>
      <c r="T14395"/>
      <c r="U14395"/>
      <c r="X14395" s="60"/>
    </row>
    <row r="14396" spans="7:24" ht="15" customHeight="1">
      <c r="G14396"/>
      <c r="I14396"/>
      <c r="N14396"/>
      <c r="O14396" s="24"/>
      <c r="P14396"/>
      <c r="Q14396" s="24"/>
      <c r="R14396"/>
      <c r="S14396"/>
      <c r="T14396"/>
      <c r="U14396"/>
      <c r="X14396" s="60"/>
    </row>
    <row r="14397" spans="7:24" ht="15" customHeight="1">
      <c r="G14397"/>
      <c r="I14397"/>
      <c r="N14397"/>
      <c r="O14397" s="24"/>
      <c r="P14397"/>
      <c r="Q14397" s="24"/>
      <c r="R14397"/>
      <c r="S14397"/>
      <c r="T14397"/>
      <c r="U14397"/>
      <c r="X14397" s="60"/>
    </row>
    <row r="14398" spans="7:24" ht="15" customHeight="1">
      <c r="G14398"/>
      <c r="I14398"/>
      <c r="N14398"/>
      <c r="O14398" s="24"/>
      <c r="P14398"/>
      <c r="Q14398" s="24"/>
      <c r="R14398"/>
      <c r="S14398"/>
      <c r="T14398"/>
      <c r="U14398"/>
      <c r="X14398" s="60"/>
    </row>
    <row r="14399" spans="7:24" ht="15" customHeight="1">
      <c r="G14399"/>
      <c r="I14399"/>
      <c r="N14399"/>
      <c r="O14399" s="24"/>
      <c r="P14399"/>
      <c r="Q14399" s="24"/>
      <c r="R14399"/>
      <c r="S14399"/>
      <c r="T14399"/>
      <c r="U14399"/>
      <c r="X14399" s="60"/>
    </row>
    <row r="14400" spans="7:24" ht="15" customHeight="1">
      <c r="G14400"/>
      <c r="I14400"/>
      <c r="N14400"/>
      <c r="O14400" s="24"/>
      <c r="P14400"/>
      <c r="Q14400" s="24"/>
      <c r="R14400"/>
      <c r="S14400"/>
      <c r="T14400"/>
      <c r="U14400"/>
      <c r="X14400" s="60"/>
    </row>
    <row r="14401" spans="7:24" ht="15" customHeight="1">
      <c r="G14401"/>
      <c r="I14401"/>
      <c r="N14401"/>
      <c r="O14401" s="24"/>
      <c r="P14401"/>
      <c r="Q14401" s="24"/>
      <c r="R14401"/>
      <c r="S14401"/>
      <c r="T14401"/>
      <c r="U14401"/>
      <c r="X14401" s="60"/>
    </row>
    <row r="14402" spans="7:24" ht="15" customHeight="1">
      <c r="G14402"/>
      <c r="I14402"/>
      <c r="N14402"/>
      <c r="O14402" s="24"/>
      <c r="P14402"/>
      <c r="Q14402" s="24"/>
      <c r="R14402"/>
      <c r="S14402"/>
      <c r="T14402"/>
      <c r="U14402"/>
      <c r="X14402" s="60"/>
    </row>
    <row r="14403" spans="7:24" ht="15" customHeight="1">
      <c r="G14403"/>
      <c r="I14403"/>
      <c r="N14403"/>
      <c r="O14403" s="24"/>
      <c r="P14403"/>
      <c r="Q14403" s="24"/>
      <c r="R14403"/>
      <c r="S14403"/>
      <c r="T14403"/>
      <c r="U14403"/>
      <c r="X14403" s="60"/>
    </row>
    <row r="14404" spans="7:24" ht="15" customHeight="1">
      <c r="G14404"/>
      <c r="I14404"/>
      <c r="N14404"/>
      <c r="O14404" s="24"/>
      <c r="P14404"/>
      <c r="Q14404" s="24"/>
      <c r="R14404"/>
      <c r="S14404"/>
      <c r="T14404"/>
      <c r="U14404"/>
      <c r="X14404" s="60"/>
    </row>
    <row r="14405" spans="7:24" ht="15" customHeight="1">
      <c r="G14405"/>
      <c r="I14405"/>
      <c r="N14405"/>
      <c r="O14405" s="24"/>
      <c r="P14405"/>
      <c r="Q14405" s="24"/>
      <c r="R14405"/>
      <c r="S14405"/>
      <c r="T14405"/>
      <c r="U14405"/>
      <c r="X14405" s="60"/>
    </row>
    <row r="14406" spans="7:24" ht="15" customHeight="1">
      <c r="G14406"/>
      <c r="I14406"/>
      <c r="N14406"/>
      <c r="O14406" s="24"/>
      <c r="P14406"/>
      <c r="Q14406" s="24"/>
      <c r="R14406"/>
      <c r="S14406"/>
      <c r="T14406"/>
      <c r="U14406"/>
      <c r="X14406" s="60"/>
    </row>
    <row r="14407" spans="7:24" ht="15" customHeight="1">
      <c r="G14407"/>
      <c r="I14407"/>
      <c r="N14407"/>
      <c r="O14407" s="24"/>
      <c r="P14407"/>
      <c r="Q14407" s="24"/>
      <c r="R14407"/>
      <c r="S14407"/>
      <c r="T14407"/>
      <c r="U14407"/>
      <c r="X14407" s="60"/>
    </row>
    <row r="14408" spans="7:24" ht="15" customHeight="1">
      <c r="G14408"/>
      <c r="I14408"/>
      <c r="N14408"/>
      <c r="O14408" s="24"/>
      <c r="P14408"/>
      <c r="Q14408" s="24"/>
      <c r="R14408"/>
      <c r="S14408"/>
      <c r="T14408"/>
      <c r="U14408"/>
      <c r="X14408" s="60"/>
    </row>
    <row r="14409" spans="7:24" ht="15" customHeight="1">
      <c r="G14409"/>
      <c r="I14409"/>
      <c r="N14409"/>
      <c r="O14409" s="24"/>
      <c r="P14409"/>
      <c r="Q14409" s="24"/>
      <c r="R14409"/>
      <c r="S14409"/>
      <c r="T14409"/>
      <c r="U14409"/>
      <c r="X14409" s="60"/>
    </row>
    <row r="14410" spans="7:24" ht="15" customHeight="1">
      <c r="G14410"/>
      <c r="I14410"/>
      <c r="N14410"/>
      <c r="O14410" s="24"/>
      <c r="P14410"/>
      <c r="Q14410" s="24"/>
      <c r="R14410"/>
      <c r="S14410"/>
      <c r="T14410"/>
      <c r="U14410"/>
      <c r="X14410" s="60"/>
    </row>
    <row r="14411" spans="7:24" ht="15" customHeight="1">
      <c r="G14411"/>
      <c r="I14411"/>
      <c r="N14411"/>
      <c r="O14411" s="24"/>
      <c r="P14411"/>
      <c r="Q14411" s="24"/>
      <c r="R14411"/>
      <c r="S14411"/>
      <c r="T14411"/>
      <c r="U14411"/>
      <c r="X14411" s="60"/>
    </row>
    <row r="14412" spans="7:24" ht="15" customHeight="1">
      <c r="G14412"/>
      <c r="I14412"/>
      <c r="N14412"/>
      <c r="O14412" s="24"/>
      <c r="P14412"/>
      <c r="Q14412" s="24"/>
      <c r="R14412"/>
      <c r="S14412"/>
      <c r="T14412"/>
      <c r="U14412"/>
      <c r="X14412" s="60"/>
    </row>
    <row r="14413" spans="7:24" ht="15" customHeight="1">
      <c r="G14413"/>
      <c r="I14413"/>
      <c r="N14413"/>
      <c r="O14413" s="24"/>
      <c r="P14413"/>
      <c r="Q14413" s="24"/>
      <c r="R14413"/>
      <c r="S14413"/>
      <c r="T14413"/>
      <c r="U14413"/>
      <c r="X14413" s="60"/>
    </row>
    <row r="14414" spans="7:24" ht="15" customHeight="1">
      <c r="G14414"/>
      <c r="I14414"/>
      <c r="N14414"/>
      <c r="O14414" s="24"/>
      <c r="P14414"/>
      <c r="Q14414" s="24"/>
      <c r="R14414"/>
      <c r="S14414"/>
      <c r="T14414"/>
      <c r="U14414"/>
      <c r="X14414" s="60"/>
    </row>
    <row r="14415" spans="7:24" ht="15" customHeight="1">
      <c r="G14415"/>
      <c r="I14415"/>
      <c r="N14415"/>
      <c r="O14415" s="24"/>
      <c r="P14415"/>
      <c r="Q14415" s="24"/>
      <c r="R14415"/>
      <c r="S14415"/>
      <c r="T14415"/>
      <c r="U14415"/>
      <c r="X14415" s="60"/>
    </row>
    <row r="14416" spans="7:24" ht="15" customHeight="1">
      <c r="G14416"/>
      <c r="I14416"/>
      <c r="N14416"/>
      <c r="O14416" s="24"/>
      <c r="P14416"/>
      <c r="Q14416" s="24"/>
      <c r="R14416"/>
      <c r="S14416"/>
      <c r="T14416"/>
      <c r="U14416"/>
      <c r="X14416" s="60"/>
    </row>
    <row r="14417" spans="7:24" ht="15" customHeight="1">
      <c r="G14417"/>
      <c r="I14417"/>
      <c r="N14417"/>
      <c r="O14417" s="24"/>
      <c r="P14417"/>
      <c r="Q14417" s="24"/>
      <c r="R14417"/>
      <c r="S14417"/>
      <c r="T14417"/>
      <c r="U14417"/>
      <c r="X14417" s="60"/>
    </row>
    <row r="14418" spans="7:24" ht="15" customHeight="1">
      <c r="G14418"/>
      <c r="I14418"/>
      <c r="N14418"/>
      <c r="O14418" s="24"/>
      <c r="P14418"/>
      <c r="Q14418" s="24"/>
      <c r="R14418"/>
      <c r="S14418"/>
      <c r="T14418"/>
      <c r="U14418"/>
      <c r="X14418" s="60"/>
    </row>
    <row r="14419" spans="7:24" ht="15" customHeight="1">
      <c r="G14419"/>
      <c r="I14419"/>
      <c r="N14419"/>
      <c r="O14419" s="24"/>
      <c r="P14419"/>
      <c r="Q14419" s="24"/>
      <c r="R14419"/>
      <c r="S14419"/>
      <c r="T14419"/>
      <c r="U14419"/>
      <c r="X14419" s="60"/>
    </row>
    <row r="14420" spans="7:24" ht="15" customHeight="1">
      <c r="G14420"/>
      <c r="I14420"/>
      <c r="N14420"/>
      <c r="O14420" s="24"/>
      <c r="P14420"/>
      <c r="Q14420" s="24"/>
      <c r="R14420"/>
      <c r="S14420"/>
      <c r="T14420"/>
      <c r="U14420"/>
      <c r="X14420" s="60"/>
    </row>
    <row r="14421" spans="7:24" ht="15" customHeight="1">
      <c r="G14421"/>
      <c r="I14421"/>
      <c r="N14421"/>
      <c r="O14421" s="24"/>
      <c r="P14421"/>
      <c r="Q14421" s="24"/>
      <c r="R14421"/>
      <c r="S14421"/>
      <c r="T14421"/>
      <c r="U14421"/>
      <c r="X14421" s="60"/>
    </row>
    <row r="14422" spans="7:24" ht="15" customHeight="1">
      <c r="G14422"/>
      <c r="I14422"/>
      <c r="N14422"/>
      <c r="O14422" s="24"/>
      <c r="P14422"/>
      <c r="Q14422" s="24"/>
      <c r="R14422"/>
      <c r="S14422"/>
      <c r="T14422"/>
      <c r="U14422"/>
      <c r="X14422" s="60"/>
    </row>
    <row r="14423" spans="7:24" ht="15" customHeight="1">
      <c r="G14423"/>
      <c r="I14423"/>
      <c r="N14423"/>
      <c r="O14423" s="24"/>
      <c r="P14423"/>
      <c r="Q14423" s="24"/>
      <c r="R14423"/>
      <c r="S14423"/>
      <c r="T14423"/>
      <c r="U14423"/>
      <c r="X14423" s="60"/>
    </row>
    <row r="14424" spans="7:24" ht="15" customHeight="1">
      <c r="G14424"/>
      <c r="I14424"/>
      <c r="N14424"/>
      <c r="O14424" s="24"/>
      <c r="P14424"/>
      <c r="Q14424" s="24"/>
      <c r="R14424"/>
      <c r="S14424"/>
      <c r="T14424"/>
      <c r="U14424"/>
      <c r="X14424" s="60"/>
    </row>
    <row r="14425" spans="7:24" ht="15" customHeight="1">
      <c r="G14425"/>
      <c r="I14425"/>
      <c r="N14425"/>
      <c r="O14425" s="24"/>
      <c r="P14425"/>
      <c r="Q14425" s="24"/>
      <c r="R14425"/>
      <c r="S14425"/>
      <c r="T14425"/>
      <c r="U14425"/>
      <c r="X14425" s="60"/>
    </row>
    <row r="14426" spans="7:24" ht="15" customHeight="1">
      <c r="G14426"/>
      <c r="I14426"/>
      <c r="N14426"/>
      <c r="O14426" s="24"/>
      <c r="P14426"/>
      <c r="Q14426" s="24"/>
      <c r="R14426"/>
      <c r="S14426"/>
      <c r="T14426"/>
      <c r="U14426"/>
      <c r="X14426" s="60"/>
    </row>
    <row r="14427" spans="7:24" ht="15" customHeight="1">
      <c r="G14427"/>
      <c r="I14427"/>
      <c r="N14427"/>
      <c r="O14427" s="24"/>
      <c r="P14427"/>
      <c r="Q14427" s="24"/>
      <c r="R14427"/>
      <c r="S14427"/>
      <c r="T14427"/>
      <c r="U14427"/>
      <c r="X14427" s="60"/>
    </row>
    <row r="14428" spans="7:24" ht="15" customHeight="1">
      <c r="G14428"/>
      <c r="I14428"/>
      <c r="N14428"/>
      <c r="O14428" s="24"/>
      <c r="P14428"/>
      <c r="Q14428" s="24"/>
      <c r="R14428"/>
      <c r="S14428"/>
      <c r="T14428"/>
      <c r="U14428"/>
      <c r="X14428" s="60"/>
    </row>
    <row r="14429" spans="7:24" ht="15" customHeight="1">
      <c r="G14429"/>
      <c r="I14429"/>
      <c r="N14429"/>
      <c r="O14429" s="24"/>
      <c r="P14429"/>
      <c r="Q14429" s="24"/>
      <c r="R14429"/>
      <c r="S14429"/>
      <c r="T14429"/>
      <c r="U14429"/>
      <c r="X14429" s="60"/>
    </row>
    <row r="14430" spans="7:24" ht="15" customHeight="1">
      <c r="G14430"/>
      <c r="I14430"/>
      <c r="N14430"/>
      <c r="O14430" s="24"/>
      <c r="P14430"/>
      <c r="Q14430" s="24"/>
      <c r="R14430"/>
      <c r="S14430"/>
      <c r="T14430"/>
      <c r="U14430"/>
      <c r="X14430" s="60"/>
    </row>
    <row r="14431" spans="7:24" ht="15" customHeight="1">
      <c r="G14431"/>
      <c r="I14431"/>
      <c r="N14431"/>
      <c r="O14431" s="24"/>
      <c r="P14431"/>
      <c r="Q14431" s="24"/>
      <c r="R14431"/>
      <c r="S14431"/>
      <c r="T14431"/>
      <c r="U14431"/>
      <c r="X14431" s="60"/>
    </row>
    <row r="14432" spans="7:24" ht="15" customHeight="1">
      <c r="G14432"/>
      <c r="I14432"/>
      <c r="N14432"/>
      <c r="O14432" s="24"/>
      <c r="P14432"/>
      <c r="Q14432" s="24"/>
      <c r="R14432"/>
      <c r="S14432"/>
      <c r="T14432"/>
      <c r="U14432"/>
      <c r="X14432" s="60"/>
    </row>
    <row r="14433" spans="7:24" ht="15" customHeight="1">
      <c r="G14433"/>
      <c r="I14433"/>
      <c r="N14433"/>
      <c r="O14433" s="24"/>
      <c r="P14433"/>
      <c r="Q14433" s="24"/>
      <c r="R14433"/>
      <c r="S14433"/>
      <c r="T14433"/>
      <c r="U14433"/>
      <c r="X14433" s="60"/>
    </row>
    <row r="14434" spans="7:24" ht="15" customHeight="1">
      <c r="G14434"/>
      <c r="I14434"/>
      <c r="N14434"/>
      <c r="O14434" s="24"/>
      <c r="P14434"/>
      <c r="Q14434" s="24"/>
      <c r="R14434"/>
      <c r="S14434"/>
      <c r="T14434"/>
      <c r="U14434"/>
      <c r="X14434" s="60"/>
    </row>
    <row r="14435" spans="7:24" ht="15" customHeight="1">
      <c r="G14435"/>
      <c r="I14435"/>
      <c r="N14435"/>
      <c r="O14435" s="24"/>
      <c r="P14435"/>
      <c r="Q14435" s="24"/>
      <c r="R14435"/>
      <c r="S14435"/>
      <c r="T14435"/>
      <c r="U14435"/>
      <c r="X14435" s="60"/>
    </row>
    <row r="14436" spans="7:24" ht="15" customHeight="1">
      <c r="G14436"/>
      <c r="I14436"/>
      <c r="N14436"/>
      <c r="O14436" s="24"/>
      <c r="P14436"/>
      <c r="Q14436" s="24"/>
      <c r="R14436"/>
      <c r="S14436"/>
      <c r="T14436"/>
      <c r="U14436"/>
      <c r="X14436" s="60"/>
    </row>
    <row r="14437" spans="7:24" ht="15" customHeight="1">
      <c r="G14437"/>
      <c r="I14437"/>
      <c r="N14437"/>
      <c r="O14437" s="24"/>
      <c r="P14437"/>
      <c r="Q14437" s="24"/>
      <c r="R14437"/>
      <c r="S14437"/>
      <c r="T14437"/>
      <c r="U14437"/>
      <c r="X14437" s="60"/>
    </row>
    <row r="14438" spans="7:24" ht="15" customHeight="1">
      <c r="G14438"/>
      <c r="I14438"/>
      <c r="N14438"/>
      <c r="O14438" s="24"/>
      <c r="P14438"/>
      <c r="Q14438" s="24"/>
      <c r="R14438"/>
      <c r="S14438"/>
      <c r="T14438"/>
      <c r="U14438"/>
      <c r="X14438" s="60"/>
    </row>
    <row r="14439" spans="7:24" ht="15" customHeight="1">
      <c r="G14439"/>
      <c r="I14439"/>
      <c r="N14439"/>
      <c r="O14439" s="24"/>
      <c r="P14439"/>
      <c r="Q14439" s="24"/>
      <c r="R14439"/>
      <c r="S14439"/>
      <c r="T14439"/>
      <c r="U14439"/>
      <c r="X14439" s="60"/>
    </row>
    <row r="14440" spans="7:24" ht="15" customHeight="1">
      <c r="G14440"/>
      <c r="I14440"/>
      <c r="N14440"/>
      <c r="O14440" s="24"/>
      <c r="P14440"/>
      <c r="Q14440" s="24"/>
      <c r="R14440"/>
      <c r="S14440"/>
      <c r="T14440"/>
      <c r="U14440"/>
      <c r="X14440" s="60"/>
    </row>
    <row r="14441" spans="7:24" ht="15" customHeight="1">
      <c r="G14441"/>
      <c r="I14441"/>
      <c r="N14441"/>
      <c r="O14441" s="24"/>
      <c r="P14441"/>
      <c r="Q14441" s="24"/>
      <c r="R14441"/>
      <c r="S14441"/>
      <c r="T14441"/>
      <c r="U14441"/>
      <c r="X14441" s="60"/>
    </row>
    <row r="14442" spans="7:24" ht="15" customHeight="1">
      <c r="G14442"/>
      <c r="I14442"/>
      <c r="N14442"/>
      <c r="O14442" s="24"/>
      <c r="P14442"/>
      <c r="Q14442" s="24"/>
      <c r="R14442"/>
      <c r="S14442"/>
      <c r="T14442"/>
      <c r="U14442"/>
      <c r="X14442" s="60"/>
    </row>
    <row r="14443" spans="7:24" ht="15" customHeight="1">
      <c r="G14443"/>
      <c r="I14443"/>
      <c r="N14443"/>
      <c r="O14443" s="24"/>
      <c r="P14443"/>
      <c r="Q14443" s="24"/>
      <c r="R14443"/>
      <c r="S14443"/>
      <c r="T14443"/>
      <c r="U14443"/>
      <c r="X14443" s="60"/>
    </row>
    <row r="14444" spans="7:24" ht="15" customHeight="1">
      <c r="G14444"/>
      <c r="I14444"/>
      <c r="N14444"/>
      <c r="O14444" s="24"/>
      <c r="P14444"/>
      <c r="Q14444" s="24"/>
      <c r="R14444"/>
      <c r="S14444"/>
      <c r="T14444"/>
      <c r="U14444"/>
      <c r="X14444" s="60"/>
    </row>
    <row r="14445" spans="7:24" ht="15" customHeight="1">
      <c r="G14445"/>
      <c r="I14445"/>
      <c r="N14445"/>
      <c r="O14445" s="24"/>
      <c r="P14445"/>
      <c r="Q14445" s="24"/>
      <c r="R14445"/>
      <c r="S14445"/>
      <c r="T14445"/>
      <c r="U14445"/>
      <c r="X14445" s="60"/>
    </row>
    <row r="14446" spans="7:24" ht="15" customHeight="1">
      <c r="G14446"/>
      <c r="I14446"/>
      <c r="N14446"/>
      <c r="O14446" s="24"/>
      <c r="P14446"/>
      <c r="Q14446" s="24"/>
      <c r="R14446"/>
      <c r="S14446"/>
      <c r="T14446"/>
      <c r="U14446"/>
      <c r="X14446" s="60"/>
    </row>
    <row r="14447" spans="7:24" ht="15" customHeight="1">
      <c r="G14447"/>
      <c r="I14447"/>
      <c r="N14447"/>
      <c r="O14447" s="24"/>
      <c r="P14447"/>
      <c r="Q14447" s="24"/>
      <c r="R14447"/>
      <c r="S14447"/>
      <c r="T14447"/>
      <c r="U14447"/>
      <c r="X14447" s="60"/>
    </row>
    <row r="14448" spans="7:24" ht="15" customHeight="1">
      <c r="G14448"/>
      <c r="I14448"/>
      <c r="N14448"/>
      <c r="O14448" s="24"/>
      <c r="P14448"/>
      <c r="Q14448" s="24"/>
      <c r="R14448"/>
      <c r="S14448"/>
      <c r="T14448"/>
      <c r="U14448"/>
      <c r="X14448" s="60"/>
    </row>
    <row r="14449" spans="7:24" ht="15" customHeight="1">
      <c r="G14449"/>
      <c r="I14449"/>
      <c r="N14449"/>
      <c r="O14449" s="24"/>
      <c r="P14449"/>
      <c r="Q14449" s="24"/>
      <c r="R14449"/>
      <c r="S14449"/>
      <c r="T14449"/>
      <c r="U14449"/>
      <c r="X14449" s="60"/>
    </row>
    <row r="14450" spans="7:24" ht="15" customHeight="1">
      <c r="G14450"/>
      <c r="I14450"/>
      <c r="N14450"/>
      <c r="O14450" s="24"/>
      <c r="P14450"/>
      <c r="Q14450" s="24"/>
      <c r="R14450"/>
      <c r="S14450"/>
      <c r="T14450"/>
      <c r="U14450"/>
      <c r="X14450" s="60"/>
    </row>
    <row r="14451" spans="7:24" ht="15" customHeight="1">
      <c r="G14451"/>
      <c r="I14451"/>
      <c r="N14451"/>
      <c r="O14451" s="24"/>
      <c r="P14451"/>
      <c r="Q14451" s="24"/>
      <c r="R14451"/>
      <c r="S14451"/>
      <c r="T14451"/>
      <c r="U14451"/>
      <c r="X14451" s="60"/>
    </row>
    <row r="14452" spans="7:24" ht="15" customHeight="1">
      <c r="G14452"/>
      <c r="I14452"/>
      <c r="N14452"/>
      <c r="O14452" s="24"/>
      <c r="P14452"/>
      <c r="Q14452" s="24"/>
      <c r="R14452"/>
      <c r="S14452"/>
      <c r="T14452"/>
      <c r="U14452"/>
      <c r="X14452" s="60"/>
    </row>
    <row r="14453" spans="7:24" ht="15" customHeight="1">
      <c r="G14453"/>
      <c r="I14453"/>
      <c r="N14453"/>
      <c r="O14453" s="24"/>
      <c r="P14453"/>
      <c r="Q14453" s="24"/>
      <c r="R14453"/>
      <c r="S14453"/>
      <c r="T14453"/>
      <c r="U14453"/>
      <c r="X14453" s="60"/>
    </row>
    <row r="14454" spans="7:24" ht="15" customHeight="1">
      <c r="G14454"/>
      <c r="I14454"/>
      <c r="N14454"/>
      <c r="O14454" s="24"/>
      <c r="P14454"/>
      <c r="Q14454" s="24"/>
      <c r="R14454"/>
      <c r="S14454"/>
      <c r="T14454"/>
      <c r="U14454"/>
      <c r="X14454" s="60"/>
    </row>
    <row r="14455" spans="7:24" ht="15" customHeight="1">
      <c r="G14455"/>
      <c r="I14455"/>
      <c r="N14455"/>
      <c r="O14455" s="24"/>
      <c r="P14455"/>
      <c r="Q14455" s="24"/>
      <c r="R14455"/>
      <c r="S14455"/>
      <c r="T14455"/>
      <c r="U14455"/>
      <c r="X14455" s="60"/>
    </row>
    <row r="14456" spans="7:24" ht="15" customHeight="1">
      <c r="G14456"/>
      <c r="I14456"/>
      <c r="N14456"/>
      <c r="O14456" s="24"/>
      <c r="P14456"/>
      <c r="Q14456" s="24"/>
      <c r="R14456"/>
      <c r="S14456"/>
      <c r="T14456"/>
      <c r="U14456"/>
      <c r="X14456" s="60"/>
    </row>
    <row r="14457" spans="7:24" ht="15" customHeight="1">
      <c r="G14457"/>
      <c r="I14457"/>
      <c r="N14457"/>
      <c r="O14457" s="24"/>
      <c r="P14457"/>
      <c r="Q14457" s="24"/>
      <c r="R14457"/>
      <c r="S14457"/>
      <c r="T14457"/>
      <c r="U14457"/>
      <c r="X14457" s="60"/>
    </row>
    <row r="14458" spans="7:24" ht="15" customHeight="1">
      <c r="G14458"/>
      <c r="I14458"/>
      <c r="N14458"/>
      <c r="O14458" s="24"/>
      <c r="P14458"/>
      <c r="Q14458" s="24"/>
      <c r="R14458"/>
      <c r="S14458"/>
      <c r="T14458"/>
      <c r="U14458"/>
      <c r="X14458" s="60"/>
    </row>
    <row r="14459" spans="7:24" ht="15" customHeight="1">
      <c r="G14459"/>
      <c r="I14459"/>
      <c r="N14459"/>
      <c r="O14459" s="24"/>
      <c r="P14459"/>
      <c r="Q14459" s="24"/>
      <c r="R14459"/>
      <c r="S14459"/>
      <c r="T14459"/>
      <c r="U14459"/>
      <c r="X14459" s="60"/>
    </row>
    <row r="14460" spans="7:24" ht="15" customHeight="1">
      <c r="G14460"/>
      <c r="I14460"/>
      <c r="N14460"/>
      <c r="O14460" s="24"/>
      <c r="P14460"/>
      <c r="Q14460" s="24"/>
      <c r="R14460"/>
      <c r="S14460"/>
      <c r="T14460"/>
      <c r="U14460"/>
      <c r="X14460" s="60"/>
    </row>
    <row r="14461" spans="7:24" ht="15" customHeight="1">
      <c r="G14461"/>
      <c r="I14461"/>
      <c r="N14461"/>
      <c r="O14461" s="24"/>
      <c r="P14461"/>
      <c r="Q14461" s="24"/>
      <c r="R14461"/>
      <c r="S14461"/>
      <c r="T14461"/>
      <c r="U14461"/>
      <c r="X14461" s="60"/>
    </row>
    <row r="14462" spans="7:24" ht="15" customHeight="1">
      <c r="G14462"/>
      <c r="I14462"/>
      <c r="N14462"/>
      <c r="O14462" s="24"/>
      <c r="P14462"/>
      <c r="Q14462" s="24"/>
      <c r="R14462"/>
      <c r="S14462"/>
      <c r="T14462"/>
      <c r="U14462"/>
      <c r="X14462" s="60"/>
    </row>
    <row r="14463" spans="7:24" ht="15" customHeight="1">
      <c r="G14463"/>
      <c r="I14463"/>
      <c r="N14463"/>
      <c r="O14463" s="24"/>
      <c r="P14463"/>
      <c r="Q14463" s="24"/>
      <c r="R14463"/>
      <c r="S14463"/>
      <c r="T14463"/>
      <c r="U14463"/>
      <c r="X14463" s="60"/>
    </row>
    <row r="14464" spans="7:24" ht="15" customHeight="1">
      <c r="G14464"/>
      <c r="I14464"/>
      <c r="N14464"/>
      <c r="O14464" s="24"/>
      <c r="P14464"/>
      <c r="Q14464" s="24"/>
      <c r="R14464"/>
      <c r="S14464"/>
      <c r="T14464"/>
      <c r="U14464"/>
      <c r="X14464" s="60"/>
    </row>
    <row r="14465" spans="7:24" ht="15" customHeight="1">
      <c r="G14465"/>
      <c r="I14465"/>
      <c r="N14465"/>
      <c r="O14465" s="24"/>
      <c r="P14465"/>
      <c r="Q14465" s="24"/>
      <c r="R14465"/>
      <c r="S14465"/>
      <c r="T14465"/>
      <c r="U14465"/>
      <c r="X14465" s="60"/>
    </row>
    <row r="14466" spans="7:24" ht="15" customHeight="1">
      <c r="G14466"/>
      <c r="I14466"/>
      <c r="N14466"/>
      <c r="O14466" s="24"/>
      <c r="P14466"/>
      <c r="Q14466" s="24"/>
      <c r="R14466"/>
      <c r="S14466"/>
      <c r="T14466"/>
      <c r="U14466"/>
      <c r="X14466" s="60"/>
    </row>
    <row r="14467" spans="7:24" ht="15" customHeight="1">
      <c r="G14467"/>
      <c r="I14467"/>
      <c r="N14467"/>
      <c r="O14467" s="24"/>
      <c r="P14467"/>
      <c r="Q14467" s="24"/>
      <c r="R14467"/>
      <c r="S14467"/>
      <c r="T14467"/>
      <c r="U14467"/>
      <c r="X14467" s="60"/>
    </row>
    <row r="14468" spans="7:24" ht="15" customHeight="1">
      <c r="G14468"/>
      <c r="I14468"/>
      <c r="N14468"/>
      <c r="O14468" s="24"/>
      <c r="P14468"/>
      <c r="Q14468" s="24"/>
      <c r="R14468"/>
      <c r="S14468"/>
      <c r="T14468"/>
      <c r="U14468"/>
      <c r="X14468" s="60"/>
    </row>
    <row r="14469" spans="7:24" ht="15" customHeight="1">
      <c r="G14469"/>
      <c r="I14469"/>
      <c r="N14469"/>
      <c r="O14469" s="24"/>
      <c r="P14469"/>
      <c r="Q14469" s="24"/>
      <c r="R14469"/>
      <c r="S14469"/>
      <c r="T14469"/>
      <c r="U14469"/>
      <c r="X14469" s="60"/>
    </row>
    <row r="14470" spans="7:24" ht="15" customHeight="1">
      <c r="G14470"/>
      <c r="I14470"/>
      <c r="N14470"/>
      <c r="O14470" s="24"/>
      <c r="P14470"/>
      <c r="Q14470" s="24"/>
      <c r="R14470"/>
      <c r="S14470"/>
      <c r="T14470"/>
      <c r="U14470"/>
      <c r="X14470" s="60"/>
    </row>
    <row r="14471" spans="7:24" ht="15" customHeight="1">
      <c r="G14471"/>
      <c r="I14471"/>
      <c r="N14471"/>
      <c r="O14471" s="24"/>
      <c r="P14471"/>
      <c r="Q14471" s="24"/>
      <c r="R14471"/>
      <c r="S14471"/>
      <c r="T14471"/>
      <c r="U14471"/>
      <c r="X14471" s="60"/>
    </row>
    <row r="14472" spans="7:24" ht="15" customHeight="1">
      <c r="G14472"/>
      <c r="I14472"/>
      <c r="N14472"/>
      <c r="O14472" s="24"/>
      <c r="P14472"/>
      <c r="Q14472" s="24"/>
      <c r="R14472"/>
      <c r="S14472"/>
      <c r="T14472"/>
      <c r="U14472"/>
      <c r="X14472" s="60"/>
    </row>
    <row r="14473" spans="7:24" ht="15" customHeight="1">
      <c r="G14473"/>
      <c r="I14473"/>
      <c r="N14473"/>
      <c r="O14473" s="24"/>
      <c r="P14473"/>
      <c r="Q14473" s="24"/>
      <c r="R14473"/>
      <c r="S14473"/>
      <c r="T14473"/>
      <c r="U14473"/>
      <c r="X14473" s="60"/>
    </row>
    <row r="14474" spans="7:24" ht="15" customHeight="1">
      <c r="G14474"/>
      <c r="I14474"/>
      <c r="N14474"/>
      <c r="O14474" s="24"/>
      <c r="P14474"/>
      <c r="Q14474" s="24"/>
      <c r="R14474"/>
      <c r="S14474"/>
      <c r="T14474"/>
      <c r="U14474"/>
      <c r="X14474" s="60"/>
    </row>
    <row r="14475" spans="7:24" ht="15" customHeight="1">
      <c r="G14475"/>
      <c r="I14475"/>
      <c r="N14475"/>
      <c r="O14475" s="24"/>
      <c r="P14475"/>
      <c r="Q14475" s="24"/>
      <c r="R14475"/>
      <c r="S14475"/>
      <c r="T14475"/>
      <c r="U14475"/>
      <c r="X14475" s="60"/>
    </row>
    <row r="14476" spans="7:24" ht="15" customHeight="1">
      <c r="G14476"/>
      <c r="I14476"/>
      <c r="N14476"/>
      <c r="O14476" s="24"/>
      <c r="P14476"/>
      <c r="Q14476" s="24"/>
      <c r="R14476"/>
      <c r="S14476"/>
      <c r="T14476"/>
      <c r="U14476"/>
      <c r="X14476" s="60"/>
    </row>
    <row r="14477" spans="7:24" ht="15" customHeight="1">
      <c r="G14477"/>
      <c r="I14477"/>
      <c r="N14477"/>
      <c r="O14477" s="24"/>
      <c r="P14477"/>
      <c r="Q14477" s="24"/>
      <c r="R14477"/>
      <c r="S14477"/>
      <c r="T14477"/>
      <c r="U14477"/>
      <c r="X14477" s="60"/>
    </row>
    <row r="14478" spans="7:24" ht="15" customHeight="1">
      <c r="G14478"/>
      <c r="I14478"/>
      <c r="N14478"/>
      <c r="O14478" s="24"/>
      <c r="P14478"/>
      <c r="Q14478" s="24"/>
      <c r="R14478"/>
      <c r="S14478"/>
      <c r="T14478"/>
      <c r="U14478"/>
      <c r="X14478" s="60"/>
    </row>
    <row r="14479" spans="7:24" ht="15" customHeight="1">
      <c r="G14479"/>
      <c r="I14479"/>
      <c r="N14479"/>
      <c r="O14479" s="24"/>
      <c r="P14479"/>
      <c r="Q14479" s="24"/>
      <c r="R14479"/>
      <c r="S14479"/>
      <c r="T14479"/>
      <c r="U14479"/>
      <c r="X14479" s="60"/>
    </row>
    <row r="14480" spans="7:24" ht="15" customHeight="1">
      <c r="G14480"/>
      <c r="I14480"/>
      <c r="N14480"/>
      <c r="O14480" s="24"/>
      <c r="P14480"/>
      <c r="Q14480" s="24"/>
      <c r="R14480"/>
      <c r="S14480"/>
      <c r="T14480"/>
      <c r="U14480"/>
      <c r="X14480" s="60"/>
    </row>
    <row r="14481" spans="7:24" ht="15" customHeight="1">
      <c r="G14481"/>
      <c r="I14481"/>
      <c r="N14481"/>
      <c r="O14481" s="24"/>
      <c r="P14481"/>
      <c r="Q14481" s="24"/>
      <c r="R14481"/>
      <c r="S14481"/>
      <c r="T14481"/>
      <c r="U14481"/>
      <c r="X14481" s="60"/>
    </row>
    <row r="14482" spans="7:24" ht="15" customHeight="1">
      <c r="G14482"/>
      <c r="I14482"/>
      <c r="N14482"/>
      <c r="O14482" s="24"/>
      <c r="P14482"/>
      <c r="Q14482" s="24"/>
      <c r="R14482"/>
      <c r="S14482"/>
      <c r="T14482"/>
      <c r="U14482"/>
      <c r="X14482" s="60"/>
    </row>
    <row r="14483" spans="7:24" ht="15" customHeight="1">
      <c r="G14483"/>
      <c r="I14483"/>
      <c r="N14483"/>
      <c r="O14483" s="24"/>
      <c r="P14483"/>
      <c r="Q14483" s="24"/>
      <c r="R14483"/>
      <c r="S14483"/>
      <c r="T14483"/>
      <c r="U14483"/>
      <c r="X14483" s="60"/>
    </row>
    <row r="14484" spans="7:24" ht="15" customHeight="1">
      <c r="G14484"/>
      <c r="I14484"/>
      <c r="N14484"/>
      <c r="O14484" s="24"/>
      <c r="P14484"/>
      <c r="Q14484" s="24"/>
      <c r="R14484"/>
      <c r="S14484"/>
      <c r="T14484"/>
      <c r="U14484"/>
      <c r="X14484" s="60"/>
    </row>
    <row r="14485" spans="7:24" ht="15" customHeight="1">
      <c r="G14485"/>
      <c r="I14485"/>
      <c r="N14485"/>
      <c r="O14485" s="24"/>
      <c r="P14485"/>
      <c r="Q14485" s="24"/>
      <c r="R14485"/>
      <c r="S14485"/>
      <c r="T14485"/>
      <c r="U14485"/>
      <c r="X14485" s="60"/>
    </row>
    <row r="14486" spans="7:24" ht="15" customHeight="1">
      <c r="G14486"/>
      <c r="I14486"/>
      <c r="N14486"/>
      <c r="O14486" s="24"/>
      <c r="P14486"/>
      <c r="Q14486" s="24"/>
      <c r="R14486"/>
      <c r="S14486"/>
      <c r="T14486"/>
      <c r="U14486"/>
      <c r="X14486" s="60"/>
    </row>
    <row r="14487" spans="7:24" ht="15" customHeight="1">
      <c r="G14487"/>
      <c r="I14487"/>
      <c r="N14487"/>
      <c r="O14487" s="24"/>
      <c r="P14487"/>
      <c r="Q14487" s="24"/>
      <c r="R14487"/>
      <c r="S14487"/>
      <c r="T14487"/>
      <c r="U14487"/>
      <c r="X14487" s="60"/>
    </row>
    <row r="14488" spans="7:24" ht="15" customHeight="1">
      <c r="G14488"/>
      <c r="I14488"/>
      <c r="N14488"/>
      <c r="O14488" s="24"/>
      <c r="P14488"/>
      <c r="Q14488" s="24"/>
      <c r="R14488"/>
      <c r="S14488"/>
      <c r="T14488"/>
      <c r="U14488"/>
      <c r="X14488" s="60"/>
    </row>
    <row r="14489" spans="7:24" ht="15" customHeight="1">
      <c r="G14489"/>
      <c r="I14489"/>
      <c r="N14489"/>
      <c r="O14489" s="24"/>
      <c r="P14489"/>
      <c r="Q14489" s="24"/>
      <c r="R14489"/>
      <c r="S14489"/>
      <c r="T14489"/>
      <c r="U14489"/>
      <c r="X14489" s="60"/>
    </row>
    <row r="14490" spans="7:24" ht="15" customHeight="1">
      <c r="G14490"/>
      <c r="I14490"/>
      <c r="N14490"/>
      <c r="O14490" s="24"/>
      <c r="P14490"/>
      <c r="Q14490" s="24"/>
      <c r="R14490"/>
      <c r="S14490"/>
      <c r="T14490"/>
      <c r="U14490"/>
      <c r="X14490" s="60"/>
    </row>
    <row r="14491" spans="7:24" ht="15" customHeight="1">
      <c r="G14491"/>
      <c r="I14491"/>
      <c r="N14491"/>
      <c r="O14491" s="24"/>
      <c r="P14491"/>
      <c r="Q14491" s="24"/>
      <c r="R14491"/>
      <c r="S14491"/>
      <c r="T14491"/>
      <c r="U14491"/>
      <c r="X14491" s="60"/>
    </row>
    <row r="14492" spans="7:24" ht="15" customHeight="1">
      <c r="G14492"/>
      <c r="I14492"/>
      <c r="N14492"/>
      <c r="O14492" s="24"/>
      <c r="P14492"/>
      <c r="Q14492" s="24"/>
      <c r="R14492"/>
      <c r="S14492"/>
      <c r="T14492"/>
      <c r="U14492"/>
      <c r="X14492" s="60"/>
    </row>
    <row r="14493" spans="7:24" ht="15" customHeight="1">
      <c r="G14493"/>
      <c r="I14493"/>
      <c r="N14493"/>
      <c r="O14493" s="24"/>
      <c r="P14493"/>
      <c r="Q14493" s="24"/>
      <c r="R14493"/>
      <c r="S14493"/>
      <c r="T14493"/>
      <c r="U14493"/>
      <c r="X14493" s="60"/>
    </row>
    <row r="14494" spans="7:24" ht="15" customHeight="1">
      <c r="G14494"/>
      <c r="I14494"/>
      <c r="N14494"/>
      <c r="O14494" s="24"/>
      <c r="P14494"/>
      <c r="Q14494" s="24"/>
      <c r="R14494"/>
      <c r="S14494"/>
      <c r="T14494"/>
      <c r="U14494"/>
      <c r="X14494" s="60"/>
    </row>
    <row r="14495" spans="7:24" ht="15" customHeight="1">
      <c r="G14495"/>
      <c r="I14495"/>
      <c r="N14495"/>
      <c r="O14495" s="24"/>
      <c r="P14495"/>
      <c r="Q14495" s="24"/>
      <c r="R14495"/>
      <c r="S14495"/>
      <c r="T14495"/>
      <c r="U14495"/>
      <c r="X14495" s="60"/>
    </row>
    <row r="14496" spans="7:24" ht="15" customHeight="1">
      <c r="G14496"/>
      <c r="I14496"/>
      <c r="N14496"/>
      <c r="O14496" s="24"/>
      <c r="P14496"/>
      <c r="Q14496" s="24"/>
      <c r="R14496"/>
      <c r="S14496"/>
      <c r="T14496"/>
      <c r="U14496"/>
      <c r="X14496" s="60"/>
    </row>
    <row r="14497" spans="7:24" ht="15" customHeight="1">
      <c r="G14497"/>
      <c r="I14497"/>
      <c r="N14497"/>
      <c r="O14497" s="24"/>
      <c r="P14497"/>
      <c r="Q14497" s="24"/>
      <c r="R14497"/>
      <c r="S14497"/>
      <c r="T14497"/>
      <c r="U14497"/>
      <c r="X14497" s="60"/>
    </row>
    <row r="14498" spans="7:24" ht="15" customHeight="1">
      <c r="G14498"/>
      <c r="I14498"/>
      <c r="N14498"/>
      <c r="O14498" s="24"/>
      <c r="P14498"/>
      <c r="Q14498" s="24"/>
      <c r="R14498"/>
      <c r="S14498"/>
      <c r="T14498"/>
      <c r="U14498"/>
      <c r="X14498" s="60"/>
    </row>
    <row r="14499" spans="7:24" ht="15" customHeight="1">
      <c r="G14499"/>
      <c r="I14499"/>
      <c r="N14499"/>
      <c r="O14499" s="24"/>
      <c r="P14499"/>
      <c r="Q14499" s="24"/>
      <c r="R14499"/>
      <c r="S14499"/>
      <c r="T14499"/>
      <c r="U14499"/>
      <c r="X14499" s="60"/>
    </row>
    <row r="14500" spans="7:24" ht="15" customHeight="1">
      <c r="G14500"/>
      <c r="I14500"/>
      <c r="N14500"/>
      <c r="O14500" s="24"/>
      <c r="P14500"/>
      <c r="Q14500" s="24"/>
      <c r="R14500"/>
      <c r="S14500"/>
      <c r="T14500"/>
      <c r="U14500"/>
      <c r="X14500" s="60"/>
    </row>
    <row r="14501" spans="7:24" ht="15" customHeight="1">
      <c r="G14501"/>
      <c r="I14501"/>
      <c r="N14501"/>
      <c r="O14501" s="24"/>
      <c r="P14501"/>
      <c r="Q14501" s="24"/>
      <c r="R14501"/>
      <c r="S14501"/>
      <c r="T14501"/>
      <c r="U14501"/>
      <c r="X14501" s="60"/>
    </row>
    <row r="14502" spans="7:24" ht="15" customHeight="1">
      <c r="G14502"/>
      <c r="I14502"/>
      <c r="N14502"/>
      <c r="O14502" s="24"/>
      <c r="P14502"/>
      <c r="Q14502" s="24"/>
      <c r="R14502"/>
      <c r="S14502"/>
      <c r="T14502"/>
      <c r="U14502"/>
      <c r="X14502" s="60"/>
    </row>
    <row r="14503" spans="7:24" ht="15" customHeight="1">
      <c r="G14503"/>
      <c r="I14503"/>
      <c r="N14503"/>
      <c r="O14503" s="24"/>
      <c r="P14503"/>
      <c r="Q14503" s="24"/>
      <c r="R14503"/>
      <c r="S14503"/>
      <c r="T14503"/>
      <c r="U14503"/>
      <c r="X14503" s="60"/>
    </row>
    <row r="14504" spans="7:24" ht="15" customHeight="1">
      <c r="G14504"/>
      <c r="I14504"/>
      <c r="N14504"/>
      <c r="O14504" s="24"/>
      <c r="P14504"/>
      <c r="Q14504" s="24"/>
      <c r="R14504"/>
      <c r="S14504"/>
      <c r="T14504"/>
      <c r="U14504"/>
      <c r="X14504" s="60"/>
    </row>
    <row r="14505" spans="7:24" ht="15" customHeight="1">
      <c r="G14505"/>
      <c r="I14505"/>
      <c r="N14505"/>
      <c r="O14505" s="24"/>
      <c r="P14505"/>
      <c r="Q14505" s="24"/>
      <c r="R14505"/>
      <c r="S14505"/>
      <c r="T14505"/>
      <c r="U14505"/>
      <c r="X14505" s="60"/>
    </row>
    <row r="14506" spans="7:24" ht="15" customHeight="1">
      <c r="G14506"/>
      <c r="I14506"/>
      <c r="N14506"/>
      <c r="O14506" s="24"/>
      <c r="P14506"/>
      <c r="Q14506" s="24"/>
      <c r="R14506"/>
      <c r="S14506"/>
      <c r="T14506"/>
      <c r="U14506"/>
      <c r="X14506" s="60"/>
    </row>
    <row r="14507" spans="7:24" ht="15" customHeight="1">
      <c r="G14507"/>
      <c r="I14507"/>
      <c r="N14507"/>
      <c r="O14507" s="24"/>
      <c r="P14507"/>
      <c r="Q14507" s="24"/>
      <c r="R14507"/>
      <c r="S14507"/>
      <c r="T14507"/>
      <c r="U14507"/>
      <c r="X14507" s="60"/>
    </row>
    <row r="14508" spans="7:24" ht="15" customHeight="1">
      <c r="G14508"/>
      <c r="I14508"/>
      <c r="N14508"/>
      <c r="O14508" s="24"/>
      <c r="P14508"/>
      <c r="Q14508" s="24"/>
      <c r="R14508"/>
      <c r="S14508"/>
      <c r="T14508"/>
      <c r="U14508"/>
      <c r="X14508" s="60"/>
    </row>
    <row r="14509" spans="7:24" ht="15" customHeight="1">
      <c r="G14509"/>
      <c r="I14509"/>
      <c r="N14509"/>
      <c r="O14509" s="24"/>
      <c r="P14509"/>
      <c r="Q14509" s="24"/>
      <c r="R14509"/>
      <c r="S14509"/>
      <c r="T14509"/>
      <c r="U14509"/>
      <c r="X14509" s="60"/>
    </row>
    <row r="14510" spans="7:24" ht="15" customHeight="1">
      <c r="G14510"/>
      <c r="I14510"/>
      <c r="N14510"/>
      <c r="O14510" s="24"/>
      <c r="P14510"/>
      <c r="Q14510" s="24"/>
      <c r="R14510"/>
      <c r="S14510"/>
      <c r="T14510"/>
      <c r="U14510"/>
      <c r="X14510" s="60"/>
    </row>
    <row r="14511" spans="7:24" ht="15" customHeight="1">
      <c r="G14511"/>
      <c r="I14511"/>
      <c r="N14511"/>
      <c r="O14511" s="24"/>
      <c r="P14511"/>
      <c r="Q14511" s="24"/>
      <c r="R14511"/>
      <c r="S14511"/>
      <c r="T14511"/>
      <c r="U14511"/>
      <c r="X14511" s="60"/>
    </row>
    <row r="14512" spans="7:24" ht="15" customHeight="1">
      <c r="G14512"/>
      <c r="I14512"/>
      <c r="N14512"/>
      <c r="O14512" s="24"/>
      <c r="P14512"/>
      <c r="Q14512" s="24"/>
      <c r="R14512"/>
      <c r="S14512"/>
      <c r="T14512"/>
      <c r="U14512"/>
      <c r="X14512" s="60"/>
    </row>
    <row r="14513" spans="7:24" ht="15" customHeight="1">
      <c r="G14513"/>
      <c r="I14513"/>
      <c r="N14513"/>
      <c r="O14513" s="24"/>
      <c r="P14513"/>
      <c r="Q14513" s="24"/>
      <c r="R14513"/>
      <c r="S14513"/>
      <c r="T14513"/>
      <c r="U14513"/>
      <c r="X14513" s="60"/>
    </row>
    <row r="14514" spans="7:24" ht="15" customHeight="1">
      <c r="G14514"/>
      <c r="I14514"/>
      <c r="N14514"/>
      <c r="O14514" s="24"/>
      <c r="P14514"/>
      <c r="Q14514" s="24"/>
      <c r="R14514"/>
      <c r="S14514"/>
      <c r="T14514"/>
      <c r="U14514"/>
      <c r="X14514" s="60"/>
    </row>
    <row r="14515" spans="7:24" ht="15" customHeight="1">
      <c r="G14515"/>
      <c r="I14515"/>
      <c r="N14515"/>
      <c r="O14515" s="24"/>
      <c r="P14515"/>
      <c r="Q14515" s="24"/>
      <c r="R14515"/>
      <c r="S14515"/>
      <c r="T14515"/>
      <c r="U14515"/>
      <c r="X14515" s="60"/>
    </row>
    <row r="14516" spans="7:24" ht="15" customHeight="1">
      <c r="G14516"/>
      <c r="I14516"/>
      <c r="N14516"/>
      <c r="O14516" s="24"/>
      <c r="P14516"/>
      <c r="Q14516" s="24"/>
      <c r="R14516"/>
      <c r="S14516"/>
      <c r="T14516"/>
      <c r="U14516"/>
      <c r="X14516" s="60"/>
    </row>
    <row r="14517" spans="7:24" ht="15" customHeight="1">
      <c r="G14517"/>
      <c r="I14517"/>
      <c r="N14517"/>
      <c r="O14517" s="24"/>
      <c r="P14517"/>
      <c r="Q14517" s="24"/>
      <c r="R14517"/>
      <c r="S14517"/>
      <c r="T14517"/>
      <c r="U14517"/>
      <c r="X14517" s="60"/>
    </row>
    <row r="14518" spans="7:24" ht="15" customHeight="1">
      <c r="G14518"/>
      <c r="I14518"/>
      <c r="N14518"/>
      <c r="O14518" s="24"/>
      <c r="P14518"/>
      <c r="Q14518" s="24"/>
      <c r="R14518"/>
      <c r="S14518"/>
      <c r="T14518"/>
      <c r="U14518"/>
      <c r="X14518" s="60"/>
    </row>
    <row r="14519" spans="7:24" ht="15" customHeight="1">
      <c r="G14519"/>
      <c r="I14519"/>
      <c r="N14519"/>
      <c r="O14519" s="24"/>
      <c r="P14519"/>
      <c r="Q14519" s="24"/>
      <c r="R14519"/>
      <c r="S14519"/>
      <c r="T14519"/>
      <c r="U14519"/>
      <c r="X14519" s="60"/>
    </row>
    <row r="14520" spans="7:24" ht="15" customHeight="1">
      <c r="G14520"/>
      <c r="I14520"/>
      <c r="N14520"/>
      <c r="O14520" s="24"/>
      <c r="P14520"/>
      <c r="Q14520" s="24"/>
      <c r="R14520"/>
      <c r="S14520"/>
      <c r="T14520"/>
      <c r="U14520"/>
      <c r="X14520" s="60"/>
    </row>
    <row r="14521" spans="7:24" ht="15" customHeight="1">
      <c r="G14521"/>
      <c r="I14521"/>
      <c r="N14521"/>
      <c r="O14521" s="24"/>
      <c r="P14521"/>
      <c r="Q14521" s="24"/>
      <c r="R14521"/>
      <c r="S14521"/>
      <c r="T14521"/>
      <c r="U14521"/>
      <c r="X14521" s="60"/>
    </row>
    <row r="14522" spans="7:24" ht="15" customHeight="1">
      <c r="G14522"/>
      <c r="I14522"/>
      <c r="N14522"/>
      <c r="O14522" s="24"/>
      <c r="P14522"/>
      <c r="Q14522" s="24"/>
      <c r="R14522"/>
      <c r="S14522"/>
      <c r="T14522"/>
      <c r="U14522"/>
      <c r="X14522" s="60"/>
    </row>
    <row r="14523" spans="7:24" ht="15" customHeight="1">
      <c r="G14523"/>
      <c r="I14523"/>
      <c r="N14523"/>
      <c r="O14523" s="24"/>
      <c r="P14523"/>
      <c r="Q14523" s="24"/>
      <c r="R14523"/>
      <c r="S14523"/>
      <c r="T14523"/>
      <c r="U14523"/>
      <c r="X14523" s="60"/>
    </row>
    <row r="14524" spans="7:24" ht="15" customHeight="1">
      <c r="G14524"/>
      <c r="I14524"/>
      <c r="N14524"/>
      <c r="O14524" s="24"/>
      <c r="P14524"/>
      <c r="Q14524" s="24"/>
      <c r="R14524"/>
      <c r="S14524"/>
      <c r="T14524"/>
      <c r="U14524"/>
      <c r="X14524" s="60"/>
    </row>
    <row r="14525" spans="7:24" ht="15" customHeight="1">
      <c r="G14525"/>
      <c r="I14525"/>
      <c r="N14525"/>
      <c r="O14525" s="24"/>
      <c r="P14525"/>
      <c r="Q14525" s="24"/>
      <c r="R14525"/>
      <c r="S14525"/>
      <c r="T14525"/>
      <c r="U14525"/>
      <c r="X14525" s="60"/>
    </row>
    <row r="14526" spans="7:24" ht="15" customHeight="1">
      <c r="G14526"/>
      <c r="I14526"/>
      <c r="N14526"/>
      <c r="O14526" s="24"/>
      <c r="P14526"/>
      <c r="Q14526" s="24"/>
      <c r="R14526"/>
      <c r="S14526"/>
      <c r="T14526"/>
      <c r="U14526"/>
      <c r="X14526" s="60"/>
    </row>
    <row r="14527" spans="7:24" ht="15" customHeight="1">
      <c r="G14527"/>
      <c r="I14527"/>
      <c r="N14527"/>
      <c r="O14527" s="24"/>
      <c r="P14527"/>
      <c r="Q14527" s="24"/>
      <c r="R14527"/>
      <c r="S14527"/>
      <c r="T14527"/>
      <c r="U14527"/>
      <c r="X14527" s="60"/>
    </row>
    <row r="14528" spans="7:24" ht="15" customHeight="1">
      <c r="G14528"/>
      <c r="I14528"/>
      <c r="N14528"/>
      <c r="O14528" s="24"/>
      <c r="P14528"/>
      <c r="Q14528" s="24"/>
      <c r="R14528"/>
      <c r="S14528"/>
      <c r="T14528"/>
      <c r="U14528"/>
      <c r="X14528" s="60"/>
    </row>
    <row r="14529" spans="7:24" ht="15" customHeight="1">
      <c r="G14529"/>
      <c r="I14529"/>
      <c r="N14529"/>
      <c r="O14529" s="24"/>
      <c r="P14529"/>
      <c r="Q14529" s="24"/>
      <c r="R14529"/>
      <c r="S14529"/>
      <c r="T14529"/>
      <c r="U14529"/>
      <c r="X14529" s="60"/>
    </row>
    <row r="14530" spans="7:24" ht="15" customHeight="1">
      <c r="G14530"/>
      <c r="I14530"/>
      <c r="N14530"/>
      <c r="O14530" s="24"/>
      <c r="P14530"/>
      <c r="Q14530" s="24"/>
      <c r="R14530"/>
      <c r="S14530"/>
      <c r="T14530"/>
      <c r="U14530"/>
      <c r="X14530" s="60"/>
    </row>
    <row r="14531" spans="7:24" ht="15" customHeight="1">
      <c r="G14531"/>
      <c r="I14531"/>
      <c r="N14531"/>
      <c r="O14531" s="24"/>
      <c r="P14531"/>
      <c r="Q14531" s="24"/>
      <c r="R14531"/>
      <c r="S14531"/>
      <c r="T14531"/>
      <c r="U14531"/>
      <c r="X14531" s="60"/>
    </row>
    <row r="14532" spans="7:24" ht="15" customHeight="1">
      <c r="G14532"/>
      <c r="I14532"/>
      <c r="N14532"/>
      <c r="O14532" s="24"/>
      <c r="P14532"/>
      <c r="Q14532" s="24"/>
      <c r="R14532"/>
      <c r="S14532"/>
      <c r="T14532"/>
      <c r="U14532"/>
      <c r="X14532" s="60"/>
    </row>
    <row r="14533" spans="7:24" ht="15" customHeight="1">
      <c r="G14533"/>
      <c r="I14533"/>
      <c r="N14533"/>
      <c r="O14533" s="24"/>
      <c r="P14533"/>
      <c r="Q14533" s="24"/>
      <c r="R14533"/>
      <c r="S14533"/>
      <c r="T14533"/>
      <c r="U14533"/>
      <c r="X14533" s="60"/>
    </row>
    <row r="14534" spans="7:24" ht="15" customHeight="1">
      <c r="G14534"/>
      <c r="I14534"/>
      <c r="N14534"/>
      <c r="O14534" s="24"/>
      <c r="P14534"/>
      <c r="Q14534" s="24"/>
      <c r="R14534"/>
      <c r="S14534"/>
      <c r="T14534"/>
      <c r="U14534"/>
      <c r="X14534" s="60"/>
    </row>
    <row r="14535" spans="7:24" ht="15" customHeight="1">
      <c r="G14535"/>
      <c r="I14535"/>
      <c r="N14535"/>
      <c r="O14535" s="24"/>
      <c r="P14535"/>
      <c r="Q14535" s="24"/>
      <c r="R14535"/>
      <c r="S14535"/>
      <c r="T14535"/>
      <c r="U14535"/>
      <c r="X14535" s="60"/>
    </row>
    <row r="14536" spans="7:24" ht="15" customHeight="1">
      <c r="G14536"/>
      <c r="I14536"/>
      <c r="N14536"/>
      <c r="O14536" s="24"/>
      <c r="P14536"/>
      <c r="Q14536" s="24"/>
      <c r="R14536"/>
      <c r="S14536"/>
      <c r="T14536"/>
      <c r="U14536"/>
      <c r="X14536" s="60"/>
    </row>
    <row r="14537" spans="7:24" ht="15" customHeight="1">
      <c r="G14537"/>
      <c r="I14537"/>
      <c r="N14537"/>
      <c r="O14537" s="24"/>
      <c r="P14537"/>
      <c r="Q14537" s="24"/>
      <c r="R14537"/>
      <c r="S14537"/>
      <c r="T14537"/>
      <c r="U14537"/>
      <c r="X14537" s="60"/>
    </row>
    <row r="14538" spans="7:24" ht="15" customHeight="1">
      <c r="G14538"/>
      <c r="I14538"/>
      <c r="N14538"/>
      <c r="O14538" s="24"/>
      <c r="P14538"/>
      <c r="Q14538" s="24"/>
      <c r="R14538"/>
      <c r="S14538"/>
      <c r="T14538"/>
      <c r="U14538"/>
      <c r="X14538" s="60"/>
    </row>
    <row r="14539" spans="7:24" ht="15" customHeight="1">
      <c r="G14539"/>
      <c r="I14539"/>
      <c r="N14539"/>
      <c r="O14539" s="24"/>
      <c r="P14539"/>
      <c r="Q14539" s="24"/>
      <c r="R14539"/>
      <c r="S14539"/>
      <c r="T14539"/>
      <c r="U14539"/>
      <c r="X14539" s="60"/>
    </row>
    <row r="14540" spans="7:24" ht="15" customHeight="1">
      <c r="G14540"/>
      <c r="I14540"/>
      <c r="N14540"/>
      <c r="O14540" s="24"/>
      <c r="P14540"/>
      <c r="Q14540" s="24"/>
      <c r="R14540"/>
      <c r="S14540"/>
      <c r="T14540"/>
      <c r="U14540"/>
      <c r="X14540" s="60"/>
    </row>
    <row r="14541" spans="7:24" ht="15" customHeight="1">
      <c r="G14541"/>
      <c r="I14541"/>
      <c r="N14541"/>
      <c r="O14541" s="24"/>
      <c r="P14541"/>
      <c r="Q14541" s="24"/>
      <c r="R14541"/>
      <c r="S14541"/>
      <c r="T14541"/>
      <c r="U14541"/>
      <c r="X14541" s="60"/>
    </row>
    <row r="14542" spans="7:24" ht="15" customHeight="1">
      <c r="G14542"/>
      <c r="I14542"/>
      <c r="N14542"/>
      <c r="O14542" s="24"/>
      <c r="P14542"/>
      <c r="Q14542" s="24"/>
      <c r="R14542"/>
      <c r="S14542"/>
      <c r="T14542"/>
      <c r="U14542"/>
      <c r="X14542" s="60"/>
    </row>
    <row r="14543" spans="7:24" ht="15" customHeight="1">
      <c r="G14543"/>
      <c r="I14543"/>
      <c r="N14543"/>
      <c r="O14543" s="24"/>
      <c r="P14543"/>
      <c r="Q14543" s="24"/>
      <c r="R14543"/>
      <c r="S14543"/>
      <c r="T14543"/>
      <c r="U14543"/>
      <c r="X14543" s="60"/>
    </row>
    <row r="14544" spans="7:24" ht="15" customHeight="1">
      <c r="G14544"/>
      <c r="I14544"/>
      <c r="N14544"/>
      <c r="O14544" s="24"/>
      <c r="P14544"/>
      <c r="Q14544" s="24"/>
      <c r="R14544"/>
      <c r="S14544"/>
      <c r="T14544"/>
      <c r="U14544"/>
      <c r="X14544" s="60"/>
    </row>
    <row r="14545" spans="7:24" ht="15" customHeight="1">
      <c r="G14545"/>
      <c r="I14545"/>
      <c r="N14545"/>
      <c r="O14545" s="24"/>
      <c r="P14545"/>
      <c r="Q14545" s="24"/>
      <c r="R14545"/>
      <c r="S14545"/>
      <c r="T14545"/>
      <c r="U14545"/>
      <c r="X14545" s="60"/>
    </row>
    <row r="14546" spans="7:24" ht="15" customHeight="1">
      <c r="G14546"/>
      <c r="I14546"/>
      <c r="N14546"/>
      <c r="O14546" s="24"/>
      <c r="P14546"/>
      <c r="Q14546" s="24"/>
      <c r="R14546"/>
      <c r="S14546"/>
      <c r="T14546"/>
      <c r="U14546"/>
      <c r="X14546" s="60"/>
    </row>
    <row r="14547" spans="7:24" ht="15" customHeight="1">
      <c r="G14547"/>
      <c r="I14547"/>
      <c r="N14547"/>
      <c r="O14547" s="24"/>
      <c r="P14547"/>
      <c r="Q14547" s="24"/>
      <c r="R14547"/>
      <c r="S14547"/>
      <c r="T14547"/>
      <c r="U14547"/>
      <c r="X14547" s="60"/>
    </row>
    <row r="14548" spans="7:24" ht="15" customHeight="1">
      <c r="G14548"/>
      <c r="I14548"/>
      <c r="N14548"/>
      <c r="O14548" s="24"/>
      <c r="P14548"/>
      <c r="Q14548" s="24"/>
      <c r="R14548"/>
      <c r="S14548"/>
      <c r="T14548"/>
      <c r="U14548"/>
      <c r="X14548" s="60"/>
    </row>
    <row r="14549" spans="7:24" ht="15" customHeight="1">
      <c r="G14549"/>
      <c r="I14549"/>
      <c r="N14549"/>
      <c r="O14549" s="24"/>
      <c r="P14549"/>
      <c r="Q14549" s="24"/>
      <c r="R14549"/>
      <c r="S14549"/>
      <c r="T14549"/>
      <c r="U14549"/>
      <c r="X14549" s="60"/>
    </row>
    <row r="14550" spans="7:24" ht="15" customHeight="1">
      <c r="G14550"/>
      <c r="I14550"/>
      <c r="N14550"/>
      <c r="O14550" s="24"/>
      <c r="P14550"/>
      <c r="Q14550" s="24"/>
      <c r="R14550"/>
      <c r="S14550"/>
      <c r="T14550"/>
      <c r="U14550"/>
      <c r="X14550" s="60"/>
    </row>
    <row r="14551" spans="7:24" ht="15" customHeight="1">
      <c r="G14551"/>
      <c r="I14551"/>
      <c r="N14551"/>
      <c r="O14551" s="24"/>
      <c r="P14551"/>
      <c r="Q14551" s="24"/>
      <c r="R14551"/>
      <c r="S14551"/>
      <c r="T14551"/>
      <c r="U14551"/>
      <c r="X14551" s="60"/>
    </row>
    <row r="14552" spans="7:24" ht="15" customHeight="1">
      <c r="G14552"/>
      <c r="I14552"/>
      <c r="N14552"/>
      <c r="O14552" s="24"/>
      <c r="P14552"/>
      <c r="Q14552" s="24"/>
      <c r="R14552"/>
      <c r="S14552"/>
      <c r="T14552"/>
      <c r="U14552"/>
      <c r="X14552" s="60"/>
    </row>
    <row r="14553" spans="7:24" ht="15" customHeight="1">
      <c r="G14553"/>
      <c r="I14553"/>
      <c r="N14553"/>
      <c r="O14553" s="24"/>
      <c r="P14553"/>
      <c r="Q14553" s="24"/>
      <c r="R14553"/>
      <c r="S14553"/>
      <c r="T14553"/>
      <c r="U14553"/>
      <c r="X14553" s="60"/>
    </row>
    <row r="14554" spans="7:24" ht="15" customHeight="1">
      <c r="G14554"/>
      <c r="I14554"/>
      <c r="N14554"/>
      <c r="O14554" s="24"/>
      <c r="P14554"/>
      <c r="Q14554" s="24"/>
      <c r="R14554"/>
      <c r="S14554"/>
      <c r="T14554"/>
      <c r="U14554"/>
      <c r="X14554" s="60"/>
    </row>
    <row r="14555" spans="7:24" ht="15" customHeight="1">
      <c r="G14555"/>
      <c r="I14555"/>
      <c r="N14555"/>
      <c r="O14555" s="24"/>
      <c r="P14555"/>
      <c r="Q14555" s="24"/>
      <c r="R14555"/>
      <c r="S14555"/>
      <c r="T14555"/>
      <c r="U14555"/>
      <c r="X14555" s="60"/>
    </row>
    <row r="14556" spans="7:24" ht="15" customHeight="1">
      <c r="G14556"/>
      <c r="I14556"/>
      <c r="N14556"/>
      <c r="O14556" s="24"/>
      <c r="P14556"/>
      <c r="Q14556" s="24"/>
      <c r="R14556"/>
      <c r="S14556"/>
      <c r="T14556"/>
      <c r="U14556"/>
      <c r="X14556" s="60"/>
    </row>
    <row r="14557" spans="7:24" ht="15" customHeight="1">
      <c r="G14557"/>
      <c r="I14557"/>
      <c r="N14557"/>
      <c r="O14557" s="24"/>
      <c r="P14557"/>
      <c r="Q14557" s="24"/>
      <c r="R14557"/>
      <c r="S14557"/>
      <c r="T14557"/>
      <c r="U14557"/>
      <c r="X14557" s="60"/>
    </row>
    <row r="14558" spans="7:24" ht="15" customHeight="1">
      <c r="G14558"/>
      <c r="I14558"/>
      <c r="N14558"/>
      <c r="O14558" s="24"/>
      <c r="P14558"/>
      <c r="Q14558" s="24"/>
      <c r="R14558"/>
      <c r="S14558"/>
      <c r="T14558"/>
      <c r="U14558"/>
      <c r="X14558" s="60"/>
    </row>
    <row r="14559" spans="7:24" ht="15" customHeight="1">
      <c r="G14559"/>
      <c r="I14559"/>
      <c r="N14559"/>
      <c r="O14559" s="24"/>
      <c r="P14559"/>
      <c r="Q14559" s="24"/>
      <c r="R14559"/>
      <c r="S14559"/>
      <c r="T14559"/>
      <c r="U14559"/>
      <c r="X14559" s="60"/>
    </row>
    <row r="14560" spans="7:24" ht="15" customHeight="1">
      <c r="G14560"/>
      <c r="I14560"/>
      <c r="N14560"/>
      <c r="O14560" s="24"/>
      <c r="P14560"/>
      <c r="Q14560" s="24"/>
      <c r="R14560"/>
      <c r="S14560"/>
      <c r="T14560"/>
      <c r="U14560"/>
      <c r="X14560" s="60"/>
    </row>
    <row r="14561" spans="7:24" ht="15" customHeight="1">
      <c r="G14561"/>
      <c r="I14561"/>
      <c r="N14561"/>
      <c r="O14561" s="24"/>
      <c r="P14561"/>
      <c r="Q14561" s="24"/>
      <c r="R14561"/>
      <c r="S14561"/>
      <c r="T14561"/>
      <c r="U14561"/>
      <c r="X14561" s="60"/>
    </row>
    <row r="14562" spans="7:24" ht="15" customHeight="1">
      <c r="G14562"/>
      <c r="I14562"/>
      <c r="N14562"/>
      <c r="O14562" s="24"/>
      <c r="P14562"/>
      <c r="Q14562" s="24"/>
      <c r="R14562"/>
      <c r="S14562"/>
      <c r="T14562"/>
      <c r="U14562"/>
      <c r="X14562" s="60"/>
    </row>
    <row r="14563" spans="7:24" ht="15" customHeight="1">
      <c r="G14563"/>
      <c r="I14563"/>
      <c r="N14563"/>
      <c r="O14563" s="24"/>
      <c r="P14563"/>
      <c r="Q14563" s="24"/>
      <c r="R14563"/>
      <c r="S14563"/>
      <c r="T14563"/>
      <c r="U14563"/>
      <c r="X14563" s="60"/>
    </row>
    <row r="14564" spans="7:24" ht="15" customHeight="1">
      <c r="G14564"/>
      <c r="I14564"/>
      <c r="N14564"/>
      <c r="O14564" s="24"/>
      <c r="P14564"/>
      <c r="Q14564" s="24"/>
      <c r="R14564"/>
      <c r="S14564"/>
      <c r="T14564"/>
      <c r="U14564"/>
      <c r="X14564" s="60"/>
    </row>
    <row r="14565" spans="7:24" ht="15" customHeight="1">
      <c r="G14565"/>
      <c r="I14565"/>
      <c r="N14565"/>
      <c r="O14565" s="24"/>
      <c r="P14565"/>
      <c r="Q14565" s="24"/>
      <c r="R14565"/>
      <c r="S14565"/>
      <c r="T14565"/>
      <c r="U14565"/>
      <c r="X14565" s="60"/>
    </row>
    <row r="14566" spans="7:24" ht="15" customHeight="1">
      <c r="G14566"/>
      <c r="I14566"/>
      <c r="N14566"/>
      <c r="O14566" s="24"/>
      <c r="P14566"/>
      <c r="Q14566" s="24"/>
      <c r="R14566"/>
      <c r="S14566"/>
      <c r="T14566"/>
      <c r="U14566"/>
      <c r="X14566" s="60"/>
    </row>
    <row r="14567" spans="7:24" ht="15" customHeight="1">
      <c r="G14567"/>
      <c r="I14567"/>
      <c r="N14567"/>
      <c r="O14567" s="24"/>
      <c r="P14567"/>
      <c r="Q14567" s="24"/>
      <c r="R14567"/>
      <c r="S14567"/>
      <c r="T14567"/>
      <c r="U14567"/>
      <c r="X14567" s="60"/>
    </row>
    <row r="14568" spans="7:24" ht="15" customHeight="1">
      <c r="G14568"/>
      <c r="I14568"/>
      <c r="N14568"/>
      <c r="O14568" s="24"/>
      <c r="P14568"/>
      <c r="Q14568" s="24"/>
      <c r="R14568"/>
      <c r="S14568"/>
      <c r="T14568"/>
      <c r="U14568"/>
      <c r="X14568" s="60"/>
    </row>
    <row r="14569" spans="7:24" ht="15" customHeight="1">
      <c r="G14569"/>
      <c r="I14569"/>
      <c r="N14569"/>
      <c r="O14569" s="24"/>
      <c r="P14569"/>
      <c r="Q14569" s="24"/>
      <c r="R14569"/>
      <c r="S14569"/>
      <c r="T14569"/>
      <c r="U14569"/>
      <c r="X14569" s="60"/>
    </row>
    <row r="14570" spans="7:24" ht="15" customHeight="1">
      <c r="G14570"/>
      <c r="I14570"/>
      <c r="N14570"/>
      <c r="O14570" s="24"/>
      <c r="P14570"/>
      <c r="Q14570" s="24"/>
      <c r="R14570"/>
      <c r="S14570"/>
      <c r="T14570"/>
      <c r="U14570"/>
      <c r="X14570" s="60"/>
    </row>
    <row r="14571" spans="7:24" ht="15" customHeight="1">
      <c r="G14571"/>
      <c r="I14571"/>
      <c r="N14571"/>
      <c r="O14571" s="24"/>
      <c r="P14571"/>
      <c r="Q14571" s="24"/>
      <c r="R14571"/>
      <c r="S14571"/>
      <c r="T14571"/>
      <c r="U14571"/>
      <c r="X14571" s="60"/>
    </row>
    <row r="14572" spans="7:24" ht="15" customHeight="1">
      <c r="G14572"/>
      <c r="I14572"/>
      <c r="N14572"/>
      <c r="O14572" s="24"/>
      <c r="P14572"/>
      <c r="Q14572" s="24"/>
      <c r="R14572"/>
      <c r="S14572"/>
      <c r="T14572"/>
      <c r="U14572"/>
      <c r="X14572" s="60"/>
    </row>
    <row r="14573" spans="7:24" ht="15" customHeight="1">
      <c r="G14573"/>
      <c r="I14573"/>
      <c r="N14573"/>
      <c r="O14573" s="24"/>
      <c r="P14573"/>
      <c r="Q14573" s="24"/>
      <c r="R14573"/>
      <c r="S14573"/>
      <c r="T14573"/>
      <c r="U14573"/>
      <c r="X14573" s="60"/>
    </row>
    <row r="14574" spans="7:24" ht="15" customHeight="1">
      <c r="G14574"/>
      <c r="I14574"/>
      <c r="N14574"/>
      <c r="O14574" s="24"/>
      <c r="P14574"/>
      <c r="Q14574" s="24"/>
      <c r="R14574"/>
      <c r="S14574"/>
      <c r="T14574"/>
      <c r="U14574"/>
      <c r="X14574" s="60"/>
    </row>
    <row r="14575" spans="7:24" ht="15" customHeight="1">
      <c r="G14575"/>
      <c r="I14575"/>
      <c r="N14575"/>
      <c r="O14575" s="24"/>
      <c r="P14575"/>
      <c r="Q14575" s="24"/>
      <c r="R14575"/>
      <c r="S14575"/>
      <c r="T14575"/>
      <c r="U14575"/>
      <c r="X14575" s="60"/>
    </row>
    <row r="14576" spans="7:24" ht="15" customHeight="1">
      <c r="G14576"/>
      <c r="I14576"/>
      <c r="N14576"/>
      <c r="O14576" s="24"/>
      <c r="P14576"/>
      <c r="Q14576" s="24"/>
      <c r="R14576"/>
      <c r="S14576"/>
      <c r="T14576"/>
      <c r="U14576"/>
      <c r="X14576" s="60"/>
    </row>
    <row r="14577" spans="7:24" ht="15" customHeight="1">
      <c r="G14577"/>
      <c r="I14577"/>
      <c r="N14577"/>
      <c r="O14577" s="24"/>
      <c r="P14577"/>
      <c r="Q14577" s="24"/>
      <c r="R14577"/>
      <c r="S14577"/>
      <c r="T14577"/>
      <c r="U14577"/>
      <c r="X14577" s="60"/>
    </row>
    <row r="14578" spans="7:24" ht="15" customHeight="1">
      <c r="G14578"/>
      <c r="I14578"/>
      <c r="N14578"/>
      <c r="O14578" s="24"/>
      <c r="P14578"/>
      <c r="Q14578" s="24"/>
      <c r="R14578"/>
      <c r="S14578"/>
      <c r="T14578"/>
      <c r="U14578"/>
      <c r="X14578" s="60"/>
    </row>
    <row r="14579" spans="7:24" ht="15" customHeight="1">
      <c r="G14579"/>
      <c r="I14579"/>
      <c r="N14579"/>
      <c r="O14579" s="24"/>
      <c r="P14579"/>
      <c r="Q14579" s="24"/>
      <c r="R14579"/>
      <c r="S14579"/>
      <c r="T14579"/>
      <c r="U14579"/>
      <c r="X14579" s="60"/>
    </row>
    <row r="14580" spans="7:24" ht="15" customHeight="1">
      <c r="G14580"/>
      <c r="I14580"/>
      <c r="N14580"/>
      <c r="O14580" s="24"/>
      <c r="P14580"/>
      <c r="Q14580" s="24"/>
      <c r="R14580"/>
      <c r="S14580"/>
      <c r="T14580"/>
      <c r="U14580"/>
      <c r="X14580" s="60"/>
    </row>
    <row r="14581" spans="7:24" ht="15" customHeight="1">
      <c r="G14581"/>
      <c r="I14581"/>
      <c r="N14581"/>
      <c r="O14581" s="24"/>
      <c r="P14581"/>
      <c r="Q14581" s="24"/>
      <c r="R14581"/>
      <c r="S14581"/>
      <c r="T14581"/>
      <c r="U14581"/>
      <c r="X14581" s="60"/>
    </row>
    <row r="14582" spans="7:24" ht="15" customHeight="1">
      <c r="G14582"/>
      <c r="I14582"/>
      <c r="N14582"/>
      <c r="O14582" s="24"/>
      <c r="P14582"/>
      <c r="Q14582" s="24"/>
      <c r="R14582"/>
      <c r="S14582"/>
      <c r="T14582"/>
      <c r="U14582"/>
      <c r="X14582" s="60"/>
    </row>
    <row r="14583" spans="7:24" ht="15" customHeight="1">
      <c r="G14583"/>
      <c r="I14583"/>
      <c r="N14583"/>
      <c r="O14583" s="24"/>
      <c r="P14583"/>
      <c r="Q14583" s="24"/>
      <c r="R14583"/>
      <c r="S14583"/>
      <c r="T14583"/>
      <c r="U14583"/>
      <c r="X14583" s="60"/>
    </row>
    <row r="14584" spans="7:24" ht="15" customHeight="1">
      <c r="G14584"/>
      <c r="I14584"/>
      <c r="N14584"/>
      <c r="O14584" s="24"/>
      <c r="P14584"/>
      <c r="Q14584" s="24"/>
      <c r="R14584"/>
      <c r="S14584"/>
      <c r="T14584"/>
      <c r="U14584"/>
      <c r="X14584" s="60"/>
    </row>
    <row r="14585" spans="7:24" ht="15" customHeight="1">
      <c r="G14585"/>
      <c r="I14585"/>
      <c r="N14585"/>
      <c r="O14585" s="24"/>
      <c r="P14585"/>
      <c r="Q14585" s="24"/>
      <c r="R14585"/>
      <c r="S14585"/>
      <c r="T14585"/>
      <c r="U14585"/>
      <c r="X14585" s="60"/>
    </row>
    <row r="14586" spans="7:24" ht="15" customHeight="1">
      <c r="G14586"/>
      <c r="I14586"/>
      <c r="N14586"/>
      <c r="O14586" s="24"/>
      <c r="P14586"/>
      <c r="Q14586" s="24"/>
      <c r="R14586"/>
      <c r="S14586"/>
      <c r="T14586"/>
      <c r="U14586"/>
      <c r="X14586" s="60"/>
    </row>
    <row r="14587" spans="7:24" ht="15" customHeight="1">
      <c r="G14587"/>
      <c r="I14587"/>
      <c r="N14587"/>
      <c r="O14587" s="24"/>
      <c r="P14587"/>
      <c r="Q14587" s="24"/>
      <c r="R14587"/>
      <c r="S14587"/>
      <c r="T14587"/>
      <c r="U14587"/>
      <c r="X14587" s="60"/>
    </row>
    <row r="14588" spans="7:24" ht="15" customHeight="1">
      <c r="G14588"/>
      <c r="I14588"/>
      <c r="N14588"/>
      <c r="O14588" s="24"/>
      <c r="P14588"/>
      <c r="Q14588" s="24"/>
      <c r="R14588"/>
      <c r="S14588"/>
      <c r="T14588"/>
      <c r="U14588"/>
      <c r="X14588" s="60"/>
    </row>
    <row r="14589" spans="7:24" ht="15" customHeight="1">
      <c r="G14589"/>
      <c r="I14589"/>
      <c r="N14589"/>
      <c r="O14589" s="24"/>
      <c r="P14589"/>
      <c r="Q14589" s="24"/>
      <c r="R14589"/>
      <c r="S14589"/>
      <c r="T14589"/>
      <c r="U14589"/>
      <c r="X14589" s="60"/>
    </row>
    <row r="14590" spans="7:24" ht="15" customHeight="1">
      <c r="G14590"/>
      <c r="I14590"/>
      <c r="N14590"/>
      <c r="O14590" s="24"/>
      <c r="P14590"/>
      <c r="Q14590" s="24"/>
      <c r="R14590"/>
      <c r="S14590"/>
      <c r="T14590"/>
      <c r="U14590"/>
      <c r="X14590" s="60"/>
    </row>
    <row r="14591" spans="7:24" ht="15" customHeight="1">
      <c r="G14591"/>
      <c r="I14591"/>
      <c r="N14591"/>
      <c r="O14591" s="24"/>
      <c r="P14591"/>
      <c r="Q14591" s="24"/>
      <c r="R14591"/>
      <c r="S14591"/>
      <c r="T14591"/>
      <c r="U14591"/>
      <c r="X14591" s="60"/>
    </row>
    <row r="14592" spans="7:24" ht="15" customHeight="1">
      <c r="G14592"/>
      <c r="I14592"/>
      <c r="N14592"/>
      <c r="O14592" s="24"/>
      <c r="P14592"/>
      <c r="Q14592" s="24"/>
      <c r="R14592"/>
      <c r="S14592"/>
      <c r="T14592"/>
      <c r="U14592"/>
      <c r="X14592" s="60"/>
    </row>
    <row r="14593" spans="7:24" ht="15" customHeight="1">
      <c r="G14593"/>
      <c r="I14593"/>
      <c r="N14593"/>
      <c r="O14593" s="24"/>
      <c r="P14593"/>
      <c r="Q14593" s="24"/>
      <c r="R14593"/>
      <c r="S14593"/>
      <c r="T14593"/>
      <c r="U14593"/>
      <c r="X14593" s="60"/>
    </row>
    <row r="14594" spans="7:24" ht="15" customHeight="1">
      <c r="G14594"/>
      <c r="I14594"/>
      <c r="N14594"/>
      <c r="O14594" s="24"/>
      <c r="P14594"/>
      <c r="Q14594" s="24"/>
      <c r="R14594"/>
      <c r="S14594"/>
      <c r="T14594"/>
      <c r="U14594"/>
      <c r="X14594" s="60"/>
    </row>
    <row r="14595" spans="7:24" ht="15" customHeight="1">
      <c r="G14595"/>
      <c r="I14595"/>
      <c r="N14595"/>
      <c r="O14595" s="24"/>
      <c r="P14595"/>
      <c r="Q14595" s="24"/>
      <c r="R14595"/>
      <c r="S14595"/>
      <c r="T14595"/>
      <c r="U14595"/>
      <c r="X14595" s="60"/>
    </row>
    <row r="14596" spans="7:24" ht="15" customHeight="1">
      <c r="G14596"/>
      <c r="I14596"/>
      <c r="N14596"/>
      <c r="O14596" s="24"/>
      <c r="P14596"/>
      <c r="Q14596" s="24"/>
      <c r="R14596"/>
      <c r="S14596"/>
      <c r="T14596"/>
      <c r="U14596"/>
      <c r="X14596" s="60"/>
    </row>
    <row r="14597" spans="7:24" ht="15" customHeight="1">
      <c r="G14597"/>
      <c r="I14597"/>
      <c r="N14597"/>
      <c r="O14597" s="24"/>
      <c r="P14597"/>
      <c r="Q14597" s="24"/>
      <c r="R14597"/>
      <c r="S14597"/>
      <c r="T14597"/>
      <c r="U14597"/>
      <c r="X14597" s="60"/>
    </row>
    <row r="14598" spans="7:24" ht="15" customHeight="1">
      <c r="G14598"/>
      <c r="I14598"/>
      <c r="N14598"/>
      <c r="O14598" s="24"/>
      <c r="P14598"/>
      <c r="Q14598" s="24"/>
      <c r="R14598"/>
      <c r="S14598"/>
      <c r="T14598"/>
      <c r="U14598"/>
      <c r="X14598" s="60"/>
    </row>
    <row r="14599" spans="7:24" ht="15" customHeight="1">
      <c r="G14599"/>
      <c r="I14599"/>
      <c r="N14599"/>
      <c r="O14599" s="24"/>
      <c r="P14599"/>
      <c r="Q14599" s="24"/>
      <c r="R14599"/>
      <c r="S14599"/>
      <c r="T14599"/>
      <c r="U14599"/>
      <c r="X14599" s="60"/>
    </row>
    <row r="14600" spans="7:24" ht="15" customHeight="1">
      <c r="G14600"/>
      <c r="I14600"/>
      <c r="N14600"/>
      <c r="O14600" s="24"/>
      <c r="P14600"/>
      <c r="Q14600" s="24"/>
      <c r="R14600"/>
      <c r="S14600"/>
      <c r="T14600"/>
      <c r="U14600"/>
      <c r="X14600" s="60"/>
    </row>
    <row r="14601" spans="7:24" ht="15" customHeight="1">
      <c r="G14601"/>
      <c r="I14601"/>
      <c r="N14601"/>
      <c r="O14601" s="24"/>
      <c r="P14601"/>
      <c r="Q14601" s="24"/>
      <c r="R14601"/>
      <c r="S14601"/>
      <c r="T14601"/>
      <c r="U14601"/>
      <c r="X14601" s="60"/>
    </row>
    <row r="14602" spans="7:24" ht="15" customHeight="1">
      <c r="G14602"/>
      <c r="I14602"/>
      <c r="N14602"/>
      <c r="O14602" s="24"/>
      <c r="P14602"/>
      <c r="Q14602" s="24"/>
      <c r="R14602"/>
      <c r="S14602"/>
      <c r="T14602"/>
      <c r="U14602"/>
      <c r="X14602" s="60"/>
    </row>
    <row r="14603" spans="7:24" ht="15" customHeight="1">
      <c r="G14603"/>
      <c r="I14603"/>
      <c r="N14603"/>
      <c r="O14603" s="24"/>
      <c r="P14603"/>
      <c r="Q14603" s="24"/>
      <c r="R14603"/>
      <c r="S14603"/>
      <c r="T14603"/>
      <c r="U14603"/>
      <c r="X14603" s="60"/>
    </row>
    <row r="14604" spans="7:24" ht="15" customHeight="1">
      <c r="G14604"/>
      <c r="I14604"/>
      <c r="N14604"/>
      <c r="O14604" s="24"/>
      <c r="P14604"/>
      <c r="Q14604" s="24"/>
      <c r="R14604"/>
      <c r="S14604"/>
      <c r="T14604"/>
      <c r="U14604"/>
      <c r="X14604" s="60"/>
    </row>
    <row r="14605" spans="7:24" ht="15" customHeight="1">
      <c r="G14605"/>
      <c r="I14605"/>
      <c r="N14605"/>
      <c r="O14605" s="24"/>
      <c r="P14605"/>
      <c r="Q14605" s="24"/>
      <c r="R14605"/>
      <c r="S14605"/>
      <c r="T14605"/>
      <c r="U14605"/>
      <c r="X14605" s="60"/>
    </row>
    <row r="14606" spans="7:24" ht="15" customHeight="1">
      <c r="G14606"/>
      <c r="I14606"/>
      <c r="N14606"/>
      <c r="O14606" s="24"/>
      <c r="P14606"/>
      <c r="Q14606" s="24"/>
      <c r="R14606"/>
      <c r="S14606"/>
      <c r="T14606"/>
      <c r="U14606"/>
      <c r="X14606" s="60"/>
    </row>
    <row r="14607" spans="7:24" ht="15" customHeight="1">
      <c r="G14607"/>
      <c r="I14607"/>
      <c r="N14607"/>
      <c r="O14607" s="24"/>
      <c r="P14607"/>
      <c r="Q14607" s="24"/>
      <c r="R14607"/>
      <c r="S14607"/>
      <c r="T14607"/>
      <c r="U14607"/>
      <c r="X14607" s="60"/>
    </row>
    <row r="14608" spans="7:24" ht="15" customHeight="1">
      <c r="G14608"/>
      <c r="I14608"/>
      <c r="N14608"/>
      <c r="O14608" s="24"/>
      <c r="P14608"/>
      <c r="Q14608" s="24"/>
      <c r="R14608"/>
      <c r="S14608"/>
      <c r="T14608"/>
      <c r="U14608"/>
      <c r="X14608" s="60"/>
    </row>
    <row r="14609" spans="7:24" ht="15" customHeight="1">
      <c r="G14609"/>
      <c r="I14609"/>
      <c r="N14609"/>
      <c r="O14609" s="24"/>
      <c r="P14609"/>
      <c r="Q14609" s="24"/>
      <c r="R14609"/>
      <c r="S14609"/>
      <c r="T14609"/>
      <c r="U14609"/>
      <c r="X14609" s="60"/>
    </row>
    <row r="14610" spans="7:24" ht="15" customHeight="1">
      <c r="G14610"/>
      <c r="I14610"/>
      <c r="N14610"/>
      <c r="O14610" s="24"/>
      <c r="P14610"/>
      <c r="Q14610" s="24"/>
      <c r="R14610"/>
      <c r="S14610"/>
      <c r="T14610"/>
      <c r="U14610"/>
      <c r="X14610" s="60"/>
    </row>
    <row r="14611" spans="7:24" ht="15" customHeight="1">
      <c r="G14611"/>
      <c r="I14611"/>
      <c r="N14611"/>
      <c r="O14611" s="24"/>
      <c r="P14611"/>
      <c r="Q14611" s="24"/>
      <c r="R14611"/>
      <c r="S14611"/>
      <c r="T14611"/>
      <c r="U14611"/>
      <c r="X14611" s="60"/>
    </row>
    <row r="14612" spans="7:24" ht="15" customHeight="1">
      <c r="G14612"/>
      <c r="I14612"/>
      <c r="N14612"/>
      <c r="O14612" s="24"/>
      <c r="P14612"/>
      <c r="Q14612" s="24"/>
      <c r="R14612"/>
      <c r="S14612"/>
      <c r="T14612"/>
      <c r="U14612"/>
      <c r="X14612" s="60"/>
    </row>
    <row r="14613" spans="7:24" ht="15" customHeight="1">
      <c r="G14613"/>
      <c r="I14613"/>
      <c r="N14613"/>
      <c r="O14613" s="24"/>
      <c r="P14613"/>
      <c r="Q14613" s="24"/>
      <c r="R14613"/>
      <c r="S14613"/>
      <c r="T14613"/>
      <c r="U14613"/>
      <c r="X14613" s="60"/>
    </row>
    <row r="14614" spans="7:24" ht="15" customHeight="1">
      <c r="G14614"/>
      <c r="I14614"/>
      <c r="N14614"/>
      <c r="O14614" s="24"/>
      <c r="P14614"/>
      <c r="Q14614" s="24"/>
      <c r="R14614"/>
      <c r="S14614"/>
      <c r="T14614"/>
      <c r="U14614"/>
      <c r="X14614" s="60"/>
    </row>
    <row r="14615" spans="7:24" ht="15" customHeight="1">
      <c r="G14615"/>
      <c r="I14615"/>
      <c r="N14615"/>
      <c r="O14615" s="24"/>
      <c r="P14615"/>
      <c r="Q14615" s="24"/>
      <c r="R14615"/>
      <c r="S14615"/>
      <c r="T14615"/>
      <c r="U14615"/>
      <c r="X14615" s="60"/>
    </row>
    <row r="14616" spans="7:24" ht="15" customHeight="1">
      <c r="G14616"/>
      <c r="I14616"/>
      <c r="N14616"/>
      <c r="O14616" s="24"/>
      <c r="P14616"/>
      <c r="Q14616" s="24"/>
      <c r="R14616"/>
      <c r="S14616"/>
      <c r="T14616"/>
      <c r="U14616"/>
      <c r="X14616" s="60"/>
    </row>
    <row r="14617" spans="7:24" ht="15" customHeight="1">
      <c r="G14617"/>
      <c r="I14617"/>
      <c r="N14617"/>
      <c r="O14617" s="24"/>
      <c r="P14617"/>
      <c r="Q14617" s="24"/>
      <c r="R14617"/>
      <c r="S14617"/>
      <c r="T14617"/>
      <c r="U14617"/>
      <c r="X14617" s="60"/>
    </row>
    <row r="14618" spans="7:24" ht="15" customHeight="1">
      <c r="G14618"/>
      <c r="I14618"/>
      <c r="N14618"/>
      <c r="O14618" s="24"/>
      <c r="P14618"/>
      <c r="Q14618" s="24"/>
      <c r="R14618"/>
      <c r="S14618"/>
      <c r="T14618"/>
      <c r="U14618"/>
      <c r="X14618" s="60"/>
    </row>
    <row r="14619" spans="7:24" ht="15" customHeight="1">
      <c r="G14619"/>
      <c r="I14619"/>
      <c r="N14619"/>
      <c r="O14619" s="24"/>
      <c r="P14619"/>
      <c r="Q14619" s="24"/>
      <c r="R14619"/>
      <c r="S14619"/>
      <c r="T14619"/>
      <c r="U14619"/>
      <c r="X14619" s="60"/>
    </row>
    <row r="14620" spans="7:24" ht="15" customHeight="1">
      <c r="G14620"/>
      <c r="I14620"/>
      <c r="N14620"/>
      <c r="O14620" s="24"/>
      <c r="P14620"/>
      <c r="Q14620" s="24"/>
      <c r="R14620"/>
      <c r="S14620"/>
      <c r="T14620"/>
      <c r="U14620"/>
      <c r="X14620" s="60"/>
    </row>
    <row r="14621" spans="7:24" ht="15" customHeight="1">
      <c r="G14621"/>
      <c r="I14621"/>
      <c r="N14621"/>
      <c r="O14621" s="24"/>
      <c r="P14621"/>
      <c r="Q14621" s="24"/>
      <c r="R14621"/>
      <c r="S14621"/>
      <c r="T14621"/>
      <c r="U14621"/>
      <c r="X14621" s="60"/>
    </row>
    <row r="14622" spans="7:24" ht="15" customHeight="1">
      <c r="G14622"/>
      <c r="I14622"/>
      <c r="N14622"/>
      <c r="O14622" s="24"/>
      <c r="P14622"/>
      <c r="Q14622" s="24"/>
      <c r="R14622"/>
      <c r="S14622"/>
      <c r="T14622"/>
      <c r="U14622"/>
      <c r="X14622" s="60"/>
    </row>
    <row r="14623" spans="7:24" ht="15" customHeight="1">
      <c r="G14623"/>
      <c r="I14623"/>
      <c r="N14623"/>
      <c r="O14623" s="24"/>
      <c r="P14623"/>
      <c r="Q14623" s="24"/>
      <c r="R14623"/>
      <c r="S14623"/>
      <c r="T14623"/>
      <c r="U14623"/>
      <c r="X14623" s="60"/>
    </row>
    <row r="14624" spans="7:24" ht="15" customHeight="1">
      <c r="G14624"/>
      <c r="I14624"/>
      <c r="N14624"/>
      <c r="O14624" s="24"/>
      <c r="P14624"/>
      <c r="Q14624" s="24"/>
      <c r="R14624"/>
      <c r="S14624"/>
      <c r="T14624"/>
      <c r="U14624"/>
      <c r="X14624" s="60"/>
    </row>
    <row r="14625" spans="7:24" ht="15" customHeight="1">
      <c r="G14625"/>
      <c r="I14625"/>
      <c r="N14625"/>
      <c r="O14625" s="24"/>
      <c r="P14625"/>
      <c r="Q14625" s="24"/>
      <c r="R14625"/>
      <c r="S14625"/>
      <c r="T14625"/>
      <c r="U14625"/>
      <c r="X14625" s="60"/>
    </row>
    <row r="14626" spans="7:24" ht="15" customHeight="1">
      <c r="G14626"/>
      <c r="I14626"/>
      <c r="N14626"/>
      <c r="O14626" s="24"/>
      <c r="P14626"/>
      <c r="Q14626" s="24"/>
      <c r="R14626"/>
      <c r="S14626"/>
      <c r="T14626"/>
      <c r="U14626"/>
      <c r="X14626" s="60"/>
    </row>
    <row r="14627" spans="7:24" ht="15" customHeight="1">
      <c r="G14627"/>
      <c r="I14627"/>
      <c r="N14627"/>
      <c r="O14627" s="24"/>
      <c r="P14627"/>
      <c r="Q14627" s="24"/>
      <c r="R14627"/>
      <c r="S14627"/>
      <c r="T14627"/>
      <c r="U14627"/>
      <c r="X14627" s="60"/>
    </row>
    <row r="14628" spans="7:24" ht="15" customHeight="1">
      <c r="G14628"/>
      <c r="I14628"/>
      <c r="N14628"/>
      <c r="O14628" s="24"/>
      <c r="P14628"/>
      <c r="Q14628" s="24"/>
      <c r="R14628"/>
      <c r="S14628"/>
      <c r="T14628"/>
      <c r="U14628"/>
      <c r="X14628" s="60"/>
    </row>
    <row r="14629" spans="7:24" ht="15" customHeight="1">
      <c r="G14629"/>
      <c r="I14629"/>
      <c r="N14629"/>
      <c r="O14629" s="24"/>
      <c r="P14629"/>
      <c r="Q14629" s="24"/>
      <c r="R14629"/>
      <c r="S14629"/>
      <c r="T14629"/>
      <c r="U14629"/>
      <c r="X14629" s="60"/>
    </row>
    <row r="14630" spans="7:24" ht="15" customHeight="1">
      <c r="G14630"/>
      <c r="I14630"/>
      <c r="N14630"/>
      <c r="O14630" s="24"/>
      <c r="P14630"/>
      <c r="Q14630" s="24"/>
      <c r="R14630"/>
      <c r="S14630"/>
      <c r="T14630"/>
      <c r="U14630"/>
      <c r="X14630" s="60"/>
    </row>
    <row r="14631" spans="7:24" ht="15" customHeight="1">
      <c r="G14631"/>
      <c r="I14631"/>
      <c r="N14631"/>
      <c r="O14631" s="24"/>
      <c r="P14631"/>
      <c r="Q14631" s="24"/>
      <c r="R14631"/>
      <c r="S14631"/>
      <c r="T14631"/>
      <c r="U14631"/>
      <c r="X14631" s="60"/>
    </row>
    <row r="14632" spans="7:24" ht="15" customHeight="1">
      <c r="G14632"/>
      <c r="I14632"/>
      <c r="N14632"/>
      <c r="O14632" s="24"/>
      <c r="P14632"/>
      <c r="Q14632" s="24"/>
      <c r="R14632"/>
      <c r="S14632"/>
      <c r="T14632"/>
      <c r="U14632"/>
      <c r="X14632" s="60"/>
    </row>
    <row r="14633" spans="7:24" ht="15" customHeight="1">
      <c r="G14633"/>
      <c r="I14633"/>
      <c r="N14633"/>
      <c r="O14633" s="24"/>
      <c r="P14633"/>
      <c r="Q14633" s="24"/>
      <c r="R14633"/>
      <c r="S14633"/>
      <c r="T14633"/>
      <c r="U14633"/>
      <c r="X14633" s="60"/>
    </row>
    <row r="14634" spans="7:24" ht="15" customHeight="1">
      <c r="G14634"/>
      <c r="I14634"/>
      <c r="N14634"/>
      <c r="O14634" s="24"/>
      <c r="P14634"/>
      <c r="Q14634" s="24"/>
      <c r="R14634"/>
      <c r="S14634"/>
      <c r="T14634"/>
      <c r="U14634"/>
      <c r="X14634" s="60"/>
    </row>
    <row r="14635" spans="7:24" ht="15" customHeight="1">
      <c r="G14635"/>
      <c r="I14635"/>
      <c r="N14635"/>
      <c r="O14635" s="24"/>
      <c r="P14635"/>
      <c r="Q14635" s="24"/>
      <c r="R14635"/>
      <c r="S14635"/>
      <c r="T14635"/>
      <c r="U14635"/>
      <c r="X14635" s="60"/>
    </row>
    <row r="14636" spans="7:24" ht="15" customHeight="1">
      <c r="G14636"/>
      <c r="I14636"/>
      <c r="N14636"/>
      <c r="O14636" s="24"/>
      <c r="P14636"/>
      <c r="Q14636" s="24"/>
      <c r="R14636"/>
      <c r="S14636"/>
      <c r="T14636"/>
      <c r="U14636"/>
      <c r="X14636" s="60"/>
    </row>
    <row r="14637" spans="7:24" ht="15" customHeight="1">
      <c r="G14637"/>
      <c r="I14637"/>
      <c r="N14637"/>
      <c r="O14637" s="24"/>
      <c r="P14637"/>
      <c r="Q14637" s="24"/>
      <c r="R14637"/>
      <c r="S14637"/>
      <c r="T14637"/>
      <c r="U14637"/>
      <c r="X14637" s="60"/>
    </row>
    <row r="14638" spans="7:24" ht="15" customHeight="1">
      <c r="G14638"/>
      <c r="I14638"/>
      <c r="N14638"/>
      <c r="O14638" s="24"/>
      <c r="P14638"/>
      <c r="Q14638" s="24"/>
      <c r="R14638"/>
      <c r="S14638"/>
      <c r="T14638"/>
      <c r="U14638"/>
      <c r="X14638" s="60"/>
    </row>
    <row r="14639" spans="7:24" ht="15" customHeight="1">
      <c r="G14639"/>
      <c r="I14639"/>
      <c r="N14639"/>
      <c r="O14639" s="24"/>
      <c r="P14639"/>
      <c r="Q14639" s="24"/>
      <c r="R14639"/>
      <c r="S14639"/>
      <c r="T14639"/>
      <c r="U14639"/>
      <c r="X14639" s="60"/>
    </row>
    <row r="14640" spans="7:24" ht="15" customHeight="1">
      <c r="G14640"/>
      <c r="I14640"/>
      <c r="N14640"/>
      <c r="O14640" s="24"/>
      <c r="P14640"/>
      <c r="Q14640" s="24"/>
      <c r="R14640"/>
      <c r="S14640"/>
      <c r="T14640"/>
      <c r="U14640"/>
      <c r="X14640" s="60"/>
    </row>
    <row r="14641" spans="7:24" ht="15" customHeight="1">
      <c r="G14641"/>
      <c r="I14641"/>
      <c r="N14641"/>
      <c r="O14641" s="24"/>
      <c r="P14641"/>
      <c r="Q14641" s="24"/>
      <c r="R14641"/>
      <c r="S14641"/>
      <c r="T14641"/>
      <c r="U14641"/>
      <c r="X14641" s="60"/>
    </row>
    <row r="14642" spans="7:24" ht="15" customHeight="1">
      <c r="G14642"/>
      <c r="I14642"/>
      <c r="N14642"/>
      <c r="O14642" s="24"/>
      <c r="P14642"/>
      <c r="Q14642" s="24"/>
      <c r="R14642"/>
      <c r="S14642"/>
      <c r="T14642"/>
      <c r="U14642"/>
      <c r="X14642" s="60"/>
    </row>
    <row r="14643" spans="7:24" ht="15" customHeight="1">
      <c r="G14643"/>
      <c r="I14643"/>
      <c r="N14643"/>
      <c r="O14643" s="24"/>
      <c r="P14643"/>
      <c r="Q14643" s="24"/>
      <c r="R14643"/>
      <c r="S14643"/>
      <c r="T14643"/>
      <c r="U14643"/>
      <c r="X14643" s="60"/>
    </row>
    <row r="14644" spans="7:24" ht="15" customHeight="1">
      <c r="G14644"/>
      <c r="I14644"/>
      <c r="N14644"/>
      <c r="O14644" s="24"/>
      <c r="P14644"/>
      <c r="Q14644" s="24"/>
      <c r="R14644"/>
      <c r="S14644"/>
      <c r="T14644"/>
      <c r="U14644"/>
      <c r="X14644" s="60"/>
    </row>
    <row r="14645" spans="7:24" ht="15" customHeight="1">
      <c r="G14645"/>
      <c r="I14645"/>
      <c r="N14645"/>
      <c r="O14645" s="24"/>
      <c r="P14645"/>
      <c r="Q14645" s="24"/>
      <c r="R14645"/>
      <c r="S14645"/>
      <c r="T14645"/>
      <c r="U14645"/>
      <c r="X14645" s="60"/>
    </row>
    <row r="14646" spans="7:24" ht="15" customHeight="1">
      <c r="G14646"/>
      <c r="I14646"/>
      <c r="N14646"/>
      <c r="O14646" s="24"/>
      <c r="P14646"/>
      <c r="Q14646" s="24"/>
      <c r="R14646"/>
      <c r="S14646"/>
      <c r="T14646"/>
      <c r="U14646"/>
      <c r="X14646" s="60"/>
    </row>
    <row r="14647" spans="7:24" ht="15" customHeight="1">
      <c r="G14647"/>
      <c r="I14647"/>
      <c r="N14647"/>
      <c r="O14647" s="24"/>
      <c r="P14647"/>
      <c r="Q14647" s="24"/>
      <c r="R14647"/>
      <c r="S14647"/>
      <c r="T14647"/>
      <c r="U14647"/>
      <c r="X14647" s="60"/>
    </row>
    <row r="14648" spans="7:24" ht="15" customHeight="1">
      <c r="G14648"/>
      <c r="I14648"/>
      <c r="N14648"/>
      <c r="O14648" s="24"/>
      <c r="P14648"/>
      <c r="Q14648" s="24"/>
      <c r="R14648"/>
      <c r="S14648"/>
      <c r="T14648"/>
      <c r="U14648"/>
      <c r="X14648" s="60"/>
    </row>
    <row r="14649" spans="7:24" ht="15" customHeight="1">
      <c r="G14649"/>
      <c r="I14649"/>
      <c r="N14649"/>
      <c r="O14649" s="24"/>
      <c r="P14649"/>
      <c r="Q14649" s="24"/>
      <c r="R14649"/>
      <c r="S14649"/>
      <c r="T14649"/>
      <c r="U14649"/>
      <c r="X14649" s="60"/>
    </row>
    <row r="14650" spans="7:24" ht="15" customHeight="1">
      <c r="G14650"/>
      <c r="I14650"/>
      <c r="N14650"/>
      <c r="O14650" s="24"/>
      <c r="P14650"/>
      <c r="Q14650" s="24"/>
      <c r="R14650"/>
      <c r="S14650"/>
      <c r="T14650"/>
      <c r="U14650"/>
      <c r="X14650" s="60"/>
    </row>
    <row r="14651" spans="7:24" ht="15" customHeight="1">
      <c r="G14651"/>
      <c r="I14651"/>
      <c r="N14651"/>
      <c r="O14651" s="24"/>
      <c r="P14651"/>
      <c r="Q14651" s="24"/>
      <c r="R14651"/>
      <c r="S14651"/>
      <c r="T14651"/>
      <c r="U14651"/>
      <c r="X14651" s="60"/>
    </row>
    <row r="14652" spans="7:24" ht="15" customHeight="1">
      <c r="G14652"/>
      <c r="I14652"/>
      <c r="N14652"/>
      <c r="O14652" s="24"/>
      <c r="P14652"/>
      <c r="Q14652" s="24"/>
      <c r="R14652"/>
      <c r="S14652"/>
      <c r="T14652"/>
      <c r="U14652"/>
      <c r="X14652" s="60"/>
    </row>
    <row r="14653" spans="7:24" ht="15" customHeight="1">
      <c r="G14653"/>
      <c r="I14653"/>
      <c r="N14653"/>
      <c r="O14653" s="24"/>
      <c r="P14653"/>
      <c r="Q14653" s="24"/>
      <c r="R14653"/>
      <c r="S14653"/>
      <c r="T14653"/>
      <c r="U14653"/>
      <c r="X14653" s="60"/>
    </row>
    <row r="14654" spans="7:24" ht="15" customHeight="1">
      <c r="G14654"/>
      <c r="I14654"/>
      <c r="N14654"/>
      <c r="O14654" s="24"/>
      <c r="P14654"/>
      <c r="Q14654" s="24"/>
      <c r="R14654"/>
      <c r="S14654"/>
      <c r="T14654"/>
      <c r="U14654"/>
      <c r="X14654" s="60"/>
    </row>
    <row r="14655" spans="7:24" ht="15" customHeight="1">
      <c r="G14655"/>
      <c r="I14655"/>
      <c r="N14655"/>
      <c r="O14655" s="24"/>
      <c r="P14655"/>
      <c r="Q14655" s="24"/>
      <c r="R14655"/>
      <c r="S14655"/>
      <c r="T14655"/>
      <c r="U14655"/>
      <c r="X14655" s="60"/>
    </row>
    <row r="14656" spans="7:24" ht="15" customHeight="1">
      <c r="G14656"/>
      <c r="I14656"/>
      <c r="N14656"/>
      <c r="O14656" s="24"/>
      <c r="P14656"/>
      <c r="Q14656" s="24"/>
      <c r="R14656"/>
      <c r="S14656"/>
      <c r="T14656"/>
      <c r="U14656"/>
      <c r="X14656" s="60"/>
    </row>
    <row r="14657" spans="7:24" ht="15" customHeight="1">
      <c r="G14657"/>
      <c r="I14657"/>
      <c r="N14657"/>
      <c r="O14657" s="24"/>
      <c r="P14657"/>
      <c r="Q14657" s="24"/>
      <c r="R14657"/>
      <c r="S14657"/>
      <c r="T14657"/>
      <c r="U14657"/>
      <c r="X14657" s="60"/>
    </row>
    <row r="14658" spans="7:24" ht="15" customHeight="1">
      <c r="G14658"/>
      <c r="I14658"/>
      <c r="N14658"/>
      <c r="O14658" s="24"/>
      <c r="P14658"/>
      <c r="Q14658" s="24"/>
      <c r="R14658"/>
      <c r="S14658"/>
      <c r="T14658"/>
      <c r="U14658"/>
      <c r="X14658" s="60"/>
    </row>
    <row r="14659" spans="7:24" ht="15" customHeight="1">
      <c r="G14659"/>
      <c r="I14659"/>
      <c r="N14659"/>
      <c r="O14659" s="24"/>
      <c r="P14659"/>
      <c r="Q14659" s="24"/>
      <c r="R14659"/>
      <c r="S14659"/>
      <c r="T14659"/>
      <c r="U14659"/>
      <c r="X14659" s="60"/>
    </row>
    <row r="14660" spans="7:24" ht="15" customHeight="1">
      <c r="G14660"/>
      <c r="I14660"/>
      <c r="N14660"/>
      <c r="O14660" s="24"/>
      <c r="P14660"/>
      <c r="Q14660" s="24"/>
      <c r="R14660"/>
      <c r="S14660"/>
      <c r="T14660"/>
      <c r="U14660"/>
      <c r="X14660" s="60"/>
    </row>
    <row r="14661" spans="7:24" ht="15" customHeight="1">
      <c r="G14661"/>
      <c r="I14661"/>
      <c r="N14661"/>
      <c r="O14661" s="24"/>
      <c r="P14661"/>
      <c r="Q14661" s="24"/>
      <c r="R14661"/>
      <c r="S14661"/>
      <c r="T14661"/>
      <c r="U14661"/>
      <c r="X14661" s="60"/>
    </row>
    <row r="14662" spans="7:24" ht="15" customHeight="1">
      <c r="G14662"/>
      <c r="I14662"/>
      <c r="N14662"/>
      <c r="O14662" s="24"/>
      <c r="P14662"/>
      <c r="Q14662" s="24"/>
      <c r="R14662"/>
      <c r="S14662"/>
      <c r="T14662"/>
      <c r="U14662"/>
      <c r="X14662" s="60"/>
    </row>
    <row r="14663" spans="7:24" ht="15" customHeight="1">
      <c r="G14663"/>
      <c r="I14663"/>
      <c r="N14663"/>
      <c r="O14663" s="24"/>
      <c r="P14663"/>
      <c r="Q14663" s="24"/>
      <c r="R14663"/>
      <c r="S14663"/>
      <c r="T14663"/>
      <c r="U14663"/>
      <c r="X14663" s="60"/>
    </row>
    <row r="14664" spans="7:24" ht="15" customHeight="1">
      <c r="G14664"/>
      <c r="I14664"/>
      <c r="N14664"/>
      <c r="O14664" s="24"/>
      <c r="P14664"/>
      <c r="Q14664" s="24"/>
      <c r="R14664"/>
      <c r="S14664"/>
      <c r="T14664"/>
      <c r="U14664"/>
      <c r="X14664" s="60"/>
    </row>
    <row r="14665" spans="7:24" ht="15" customHeight="1">
      <c r="G14665"/>
      <c r="I14665"/>
      <c r="N14665"/>
      <c r="O14665" s="24"/>
      <c r="P14665"/>
      <c r="Q14665" s="24"/>
      <c r="R14665"/>
      <c r="S14665"/>
      <c r="T14665"/>
      <c r="U14665"/>
      <c r="X14665" s="60"/>
    </row>
    <row r="14666" spans="7:24" ht="15" customHeight="1">
      <c r="G14666"/>
      <c r="I14666"/>
      <c r="N14666"/>
      <c r="O14666" s="24"/>
      <c r="P14666"/>
      <c r="Q14666" s="24"/>
      <c r="R14666"/>
      <c r="S14666"/>
      <c r="T14666"/>
      <c r="U14666"/>
      <c r="X14666" s="60"/>
    </row>
    <row r="14667" spans="7:24" ht="15" customHeight="1">
      <c r="G14667"/>
      <c r="I14667"/>
      <c r="N14667"/>
      <c r="O14667" s="24"/>
      <c r="P14667"/>
      <c r="Q14667" s="24"/>
      <c r="R14667"/>
      <c r="S14667"/>
      <c r="T14667"/>
      <c r="U14667"/>
      <c r="X14667" s="60"/>
    </row>
    <row r="14668" spans="7:24" ht="15" customHeight="1">
      <c r="G14668"/>
      <c r="I14668"/>
      <c r="N14668"/>
      <c r="O14668" s="24"/>
      <c r="P14668"/>
      <c r="Q14668" s="24"/>
      <c r="R14668"/>
      <c r="S14668"/>
      <c r="T14668"/>
      <c r="U14668"/>
      <c r="X14668" s="60"/>
    </row>
    <row r="14669" spans="7:24" ht="15" customHeight="1">
      <c r="G14669"/>
      <c r="I14669"/>
      <c r="N14669"/>
      <c r="O14669" s="24"/>
      <c r="P14669"/>
      <c r="Q14669" s="24"/>
      <c r="R14669"/>
      <c r="S14669"/>
      <c r="T14669"/>
      <c r="U14669"/>
      <c r="X14669" s="60"/>
    </row>
    <row r="14670" spans="7:24" ht="15" customHeight="1">
      <c r="G14670"/>
      <c r="I14670"/>
      <c r="N14670"/>
      <c r="O14670" s="24"/>
      <c r="P14670"/>
      <c r="Q14670" s="24"/>
      <c r="R14670"/>
      <c r="S14670"/>
      <c r="T14670"/>
      <c r="U14670"/>
      <c r="X14670" s="60"/>
    </row>
    <row r="14671" spans="7:24" ht="15" customHeight="1">
      <c r="G14671"/>
      <c r="I14671"/>
      <c r="N14671"/>
      <c r="O14671" s="24"/>
      <c r="P14671"/>
      <c r="Q14671" s="24"/>
      <c r="R14671"/>
      <c r="S14671"/>
      <c r="T14671"/>
      <c r="U14671"/>
      <c r="X14671" s="60"/>
    </row>
    <row r="14672" spans="7:24" ht="15" customHeight="1">
      <c r="G14672"/>
      <c r="I14672"/>
      <c r="N14672"/>
      <c r="O14672" s="24"/>
      <c r="P14672"/>
      <c r="Q14672" s="24"/>
      <c r="R14672"/>
      <c r="S14672"/>
      <c r="T14672"/>
      <c r="U14672"/>
      <c r="X14672" s="60"/>
    </row>
    <row r="14673" spans="7:24" ht="15" customHeight="1">
      <c r="G14673"/>
      <c r="I14673"/>
      <c r="N14673"/>
      <c r="O14673" s="24"/>
      <c r="P14673"/>
      <c r="Q14673" s="24"/>
      <c r="R14673"/>
      <c r="S14673"/>
      <c r="T14673"/>
      <c r="U14673"/>
      <c r="X14673" s="60"/>
    </row>
    <row r="14674" spans="7:24" ht="15" customHeight="1">
      <c r="G14674"/>
      <c r="I14674"/>
      <c r="N14674"/>
      <c r="O14674" s="24"/>
      <c r="P14674"/>
      <c r="Q14674" s="24"/>
      <c r="R14674"/>
      <c r="S14674"/>
      <c r="T14674"/>
      <c r="U14674"/>
      <c r="X14674" s="60"/>
    </row>
    <row r="14675" spans="7:24" ht="15" customHeight="1">
      <c r="G14675"/>
      <c r="I14675"/>
      <c r="N14675"/>
      <c r="O14675" s="24"/>
      <c r="P14675"/>
      <c r="Q14675" s="24"/>
      <c r="R14675"/>
      <c r="S14675"/>
      <c r="T14675"/>
      <c r="U14675"/>
      <c r="X14675" s="60"/>
    </row>
    <row r="14676" spans="7:24" ht="15" customHeight="1">
      <c r="G14676"/>
      <c r="I14676"/>
      <c r="N14676"/>
      <c r="O14676" s="24"/>
      <c r="P14676"/>
      <c r="Q14676" s="24"/>
      <c r="R14676"/>
      <c r="S14676"/>
      <c r="T14676"/>
      <c r="U14676"/>
      <c r="X14676" s="60"/>
    </row>
    <row r="14677" spans="7:24" ht="15" customHeight="1">
      <c r="G14677"/>
      <c r="I14677"/>
      <c r="N14677"/>
      <c r="O14677" s="24"/>
      <c r="P14677"/>
      <c r="Q14677" s="24"/>
      <c r="R14677"/>
      <c r="S14677"/>
      <c r="T14677"/>
      <c r="U14677"/>
      <c r="X14677" s="60"/>
    </row>
    <row r="14678" spans="7:24" ht="15" customHeight="1">
      <c r="G14678"/>
      <c r="I14678"/>
      <c r="N14678"/>
      <c r="O14678" s="24"/>
      <c r="P14678"/>
      <c r="Q14678" s="24"/>
      <c r="R14678"/>
      <c r="S14678"/>
      <c r="T14678"/>
      <c r="U14678"/>
      <c r="X14678" s="60"/>
    </row>
    <row r="14679" spans="7:24" ht="15" customHeight="1">
      <c r="G14679"/>
      <c r="I14679"/>
      <c r="N14679"/>
      <c r="O14679" s="24"/>
      <c r="P14679"/>
      <c r="Q14679" s="24"/>
      <c r="R14679"/>
      <c r="S14679"/>
      <c r="T14679"/>
      <c r="U14679"/>
      <c r="X14679" s="60"/>
    </row>
    <row r="14680" spans="7:24" ht="15" customHeight="1">
      <c r="G14680"/>
      <c r="I14680"/>
      <c r="N14680"/>
      <c r="O14680" s="24"/>
      <c r="P14680"/>
      <c r="Q14680" s="24"/>
      <c r="R14680"/>
      <c r="S14680"/>
      <c r="T14680"/>
      <c r="U14680"/>
      <c r="X14680" s="60"/>
    </row>
    <row r="14681" spans="7:24" ht="15" customHeight="1">
      <c r="G14681"/>
      <c r="I14681"/>
      <c r="N14681"/>
      <c r="O14681" s="24"/>
      <c r="P14681"/>
      <c r="Q14681" s="24"/>
      <c r="R14681"/>
      <c r="S14681"/>
      <c r="T14681"/>
      <c r="U14681"/>
      <c r="X14681" s="60"/>
    </row>
    <row r="14682" spans="7:24" ht="15" customHeight="1">
      <c r="G14682"/>
      <c r="I14682"/>
      <c r="N14682"/>
      <c r="O14682" s="24"/>
      <c r="P14682"/>
      <c r="Q14682" s="24"/>
      <c r="R14682"/>
      <c r="S14682"/>
      <c r="T14682"/>
      <c r="U14682"/>
      <c r="X14682" s="60"/>
    </row>
    <row r="14683" spans="7:24" ht="15" customHeight="1">
      <c r="G14683"/>
      <c r="I14683"/>
      <c r="N14683"/>
      <c r="O14683" s="24"/>
      <c r="P14683"/>
      <c r="Q14683" s="24"/>
      <c r="R14683"/>
      <c r="S14683"/>
      <c r="T14683"/>
      <c r="U14683"/>
      <c r="X14683" s="60"/>
    </row>
    <row r="14684" spans="7:24" ht="15" customHeight="1">
      <c r="G14684"/>
      <c r="I14684"/>
      <c r="N14684"/>
      <c r="O14684" s="24"/>
      <c r="P14684"/>
      <c r="Q14684" s="24"/>
      <c r="R14684"/>
      <c r="S14684"/>
      <c r="T14684"/>
      <c r="U14684"/>
      <c r="X14684" s="60"/>
    </row>
    <row r="14685" spans="7:24" ht="15" customHeight="1">
      <c r="G14685"/>
      <c r="I14685"/>
      <c r="N14685"/>
      <c r="O14685" s="24"/>
      <c r="P14685"/>
      <c r="Q14685" s="24"/>
      <c r="R14685"/>
      <c r="S14685"/>
      <c r="T14685"/>
      <c r="U14685"/>
      <c r="X14685" s="60"/>
    </row>
    <row r="14686" spans="7:24" ht="15" customHeight="1">
      <c r="G14686"/>
      <c r="I14686"/>
      <c r="N14686"/>
      <c r="O14686" s="24"/>
      <c r="P14686"/>
      <c r="Q14686" s="24"/>
      <c r="R14686"/>
      <c r="S14686"/>
      <c r="T14686"/>
      <c r="U14686"/>
      <c r="X14686" s="60"/>
    </row>
    <row r="14687" spans="7:24" ht="15" customHeight="1">
      <c r="G14687"/>
      <c r="I14687"/>
      <c r="N14687"/>
      <c r="O14687" s="24"/>
      <c r="P14687"/>
      <c r="Q14687" s="24"/>
      <c r="R14687"/>
      <c r="S14687"/>
      <c r="T14687"/>
      <c r="U14687"/>
      <c r="X14687" s="60"/>
    </row>
    <row r="14688" spans="7:24" ht="15" customHeight="1">
      <c r="G14688"/>
      <c r="I14688"/>
      <c r="N14688"/>
      <c r="O14688" s="24"/>
      <c r="P14688"/>
      <c r="Q14688" s="24"/>
      <c r="R14688"/>
      <c r="S14688"/>
      <c r="T14688"/>
      <c r="U14688"/>
      <c r="X14688" s="60"/>
    </row>
    <row r="14689" spans="7:24" ht="15" customHeight="1">
      <c r="G14689"/>
      <c r="I14689"/>
      <c r="N14689"/>
      <c r="O14689" s="24"/>
      <c r="P14689"/>
      <c r="Q14689" s="24"/>
      <c r="R14689"/>
      <c r="S14689"/>
      <c r="T14689"/>
      <c r="U14689"/>
      <c r="X14689" s="60"/>
    </row>
    <row r="14690" spans="7:24" ht="15" customHeight="1">
      <c r="G14690"/>
      <c r="I14690"/>
      <c r="N14690"/>
      <c r="O14690" s="24"/>
      <c r="P14690"/>
      <c r="Q14690" s="24"/>
      <c r="R14690"/>
      <c r="S14690"/>
      <c r="T14690"/>
      <c r="U14690"/>
      <c r="X14690" s="60"/>
    </row>
    <row r="14691" spans="7:24" ht="15" customHeight="1">
      <c r="G14691"/>
      <c r="I14691"/>
      <c r="N14691"/>
      <c r="O14691" s="24"/>
      <c r="P14691"/>
      <c r="Q14691" s="24"/>
      <c r="R14691"/>
      <c r="S14691"/>
      <c r="T14691"/>
      <c r="U14691"/>
      <c r="X14691" s="60"/>
    </row>
    <row r="14692" spans="7:24" ht="15" customHeight="1">
      <c r="G14692"/>
      <c r="I14692"/>
      <c r="N14692"/>
      <c r="O14692" s="24"/>
      <c r="P14692"/>
      <c r="Q14692" s="24"/>
      <c r="R14692"/>
      <c r="S14692"/>
      <c r="T14692"/>
      <c r="U14692"/>
      <c r="X14692" s="60"/>
    </row>
    <row r="14693" spans="7:24" ht="15" customHeight="1">
      <c r="G14693"/>
      <c r="I14693"/>
      <c r="N14693"/>
      <c r="O14693" s="24"/>
      <c r="P14693"/>
      <c r="Q14693" s="24"/>
      <c r="R14693"/>
      <c r="S14693"/>
      <c r="T14693"/>
      <c r="U14693"/>
      <c r="X14693" s="60"/>
    </row>
    <row r="14694" spans="7:24" ht="15" customHeight="1">
      <c r="G14694"/>
      <c r="I14694"/>
      <c r="N14694"/>
      <c r="O14694" s="24"/>
      <c r="P14694"/>
      <c r="Q14694" s="24"/>
      <c r="R14694"/>
      <c r="S14694"/>
      <c r="T14694"/>
      <c r="U14694"/>
      <c r="X14694" s="60"/>
    </row>
    <row r="14695" spans="7:24" ht="15" customHeight="1">
      <c r="G14695"/>
      <c r="I14695"/>
      <c r="N14695"/>
      <c r="O14695" s="24"/>
      <c r="P14695"/>
      <c r="Q14695" s="24"/>
      <c r="R14695"/>
      <c r="S14695"/>
      <c r="T14695"/>
      <c r="U14695"/>
      <c r="X14695" s="60"/>
    </row>
    <row r="14696" spans="7:24" ht="15" customHeight="1">
      <c r="G14696"/>
      <c r="I14696"/>
      <c r="N14696"/>
      <c r="O14696" s="24"/>
      <c r="P14696"/>
      <c r="Q14696" s="24"/>
      <c r="R14696"/>
      <c r="S14696"/>
      <c r="T14696"/>
      <c r="U14696"/>
      <c r="X14696" s="60"/>
    </row>
    <row r="14697" spans="7:24" ht="15" customHeight="1">
      <c r="G14697"/>
      <c r="I14697"/>
      <c r="N14697"/>
      <c r="O14697" s="24"/>
      <c r="P14697"/>
      <c r="Q14697" s="24"/>
      <c r="R14697"/>
      <c r="S14697"/>
      <c r="T14697"/>
      <c r="U14697"/>
      <c r="X14697" s="60"/>
    </row>
    <row r="14698" spans="7:24" ht="15" customHeight="1">
      <c r="G14698"/>
      <c r="I14698"/>
      <c r="N14698"/>
      <c r="O14698" s="24"/>
      <c r="P14698"/>
      <c r="Q14698" s="24"/>
      <c r="R14698"/>
      <c r="S14698"/>
      <c r="T14698"/>
      <c r="U14698"/>
      <c r="X14698" s="60"/>
    </row>
    <row r="14699" spans="7:24" ht="15" customHeight="1">
      <c r="G14699"/>
      <c r="I14699"/>
      <c r="N14699"/>
      <c r="O14699" s="24"/>
      <c r="P14699"/>
      <c r="Q14699" s="24"/>
      <c r="R14699"/>
      <c r="S14699"/>
      <c r="T14699"/>
      <c r="U14699"/>
      <c r="X14699" s="60"/>
    </row>
    <row r="14700" spans="7:24" ht="15" customHeight="1">
      <c r="G14700"/>
      <c r="I14700"/>
      <c r="N14700"/>
      <c r="O14700" s="24"/>
      <c r="P14700"/>
      <c r="Q14700" s="24"/>
      <c r="R14700"/>
      <c r="S14700"/>
      <c r="T14700"/>
      <c r="U14700"/>
      <c r="X14700" s="60"/>
    </row>
    <row r="14701" spans="7:24" ht="15" customHeight="1">
      <c r="G14701"/>
      <c r="I14701"/>
      <c r="N14701"/>
      <c r="O14701" s="24"/>
      <c r="P14701"/>
      <c r="Q14701" s="24"/>
      <c r="R14701"/>
      <c r="S14701"/>
      <c r="T14701"/>
      <c r="U14701"/>
      <c r="X14701" s="60"/>
    </row>
    <row r="14702" spans="7:24" ht="15" customHeight="1">
      <c r="G14702"/>
      <c r="I14702"/>
      <c r="N14702"/>
      <c r="O14702" s="24"/>
      <c r="P14702"/>
      <c r="Q14702" s="24"/>
      <c r="R14702"/>
      <c r="S14702"/>
      <c r="T14702"/>
      <c r="U14702"/>
      <c r="X14702" s="60"/>
    </row>
    <row r="14703" spans="7:24" ht="15" customHeight="1">
      <c r="G14703"/>
      <c r="I14703"/>
      <c r="N14703"/>
      <c r="O14703" s="24"/>
      <c r="P14703"/>
      <c r="Q14703" s="24"/>
      <c r="R14703"/>
      <c r="S14703"/>
      <c r="T14703"/>
      <c r="U14703"/>
      <c r="X14703" s="60"/>
    </row>
    <row r="14704" spans="7:24" ht="15" customHeight="1">
      <c r="G14704"/>
      <c r="I14704"/>
      <c r="N14704"/>
      <c r="O14704" s="24"/>
      <c r="P14704"/>
      <c r="Q14704" s="24"/>
      <c r="R14704"/>
      <c r="S14704"/>
      <c r="T14704"/>
      <c r="U14704"/>
      <c r="X14704" s="60"/>
    </row>
    <row r="14705" spans="7:24" ht="15" customHeight="1">
      <c r="G14705"/>
      <c r="I14705"/>
      <c r="N14705"/>
      <c r="O14705" s="24"/>
      <c r="P14705"/>
      <c r="Q14705" s="24"/>
      <c r="R14705"/>
      <c r="S14705"/>
      <c r="T14705"/>
      <c r="U14705"/>
      <c r="X14705" s="60"/>
    </row>
    <row r="14706" spans="7:24" ht="15" customHeight="1">
      <c r="G14706"/>
      <c r="I14706"/>
      <c r="N14706"/>
      <c r="O14706" s="24"/>
      <c r="P14706"/>
      <c r="Q14706" s="24"/>
      <c r="R14706"/>
      <c r="S14706"/>
      <c r="T14706"/>
      <c r="U14706"/>
      <c r="X14706" s="60"/>
    </row>
    <row r="14707" spans="7:24" ht="15" customHeight="1">
      <c r="G14707"/>
      <c r="I14707"/>
      <c r="N14707"/>
      <c r="O14707" s="24"/>
      <c r="P14707"/>
      <c r="Q14707" s="24"/>
      <c r="R14707"/>
      <c r="S14707"/>
      <c r="T14707"/>
      <c r="U14707"/>
      <c r="X14707" s="60"/>
    </row>
    <row r="14708" spans="7:24" ht="15" customHeight="1">
      <c r="G14708"/>
      <c r="I14708"/>
      <c r="N14708"/>
      <c r="O14708" s="24"/>
      <c r="P14708"/>
      <c r="Q14708" s="24"/>
      <c r="R14708"/>
      <c r="S14708"/>
      <c r="T14708"/>
      <c r="U14708"/>
      <c r="X14708" s="60"/>
    </row>
    <row r="14709" spans="7:24" ht="15" customHeight="1">
      <c r="G14709"/>
      <c r="I14709"/>
      <c r="N14709"/>
      <c r="O14709" s="24"/>
      <c r="P14709"/>
      <c r="Q14709" s="24"/>
      <c r="R14709"/>
      <c r="S14709"/>
      <c r="T14709"/>
      <c r="U14709"/>
      <c r="X14709" s="60"/>
    </row>
    <row r="14710" spans="7:24" ht="15" customHeight="1">
      <c r="G14710"/>
      <c r="I14710"/>
      <c r="N14710"/>
      <c r="O14710" s="24"/>
      <c r="P14710"/>
      <c r="Q14710" s="24"/>
      <c r="R14710"/>
      <c r="S14710"/>
      <c r="T14710"/>
      <c r="U14710"/>
      <c r="X14710" s="60"/>
    </row>
    <row r="14711" spans="7:24" ht="15" customHeight="1">
      <c r="G14711"/>
      <c r="I14711"/>
      <c r="N14711"/>
      <c r="O14711" s="24"/>
      <c r="P14711"/>
      <c r="Q14711" s="24"/>
      <c r="R14711"/>
      <c r="S14711"/>
      <c r="T14711"/>
      <c r="U14711"/>
      <c r="X14711" s="60"/>
    </row>
    <row r="14712" spans="7:24" ht="15" customHeight="1">
      <c r="G14712"/>
      <c r="I14712"/>
      <c r="N14712"/>
      <c r="O14712" s="24"/>
      <c r="P14712"/>
      <c r="Q14712" s="24"/>
      <c r="R14712"/>
      <c r="S14712"/>
      <c r="T14712"/>
      <c r="U14712"/>
      <c r="X14712" s="60"/>
    </row>
    <row r="14713" spans="7:24" ht="15" customHeight="1">
      <c r="G14713"/>
      <c r="I14713"/>
      <c r="N14713"/>
      <c r="O14713" s="24"/>
      <c r="P14713"/>
      <c r="Q14713" s="24"/>
      <c r="R14713"/>
      <c r="S14713"/>
      <c r="T14713"/>
      <c r="U14713"/>
      <c r="X14713" s="60"/>
    </row>
    <row r="14714" spans="7:24" ht="15" customHeight="1">
      <c r="G14714"/>
      <c r="I14714"/>
      <c r="N14714"/>
      <c r="O14714" s="24"/>
      <c r="P14714"/>
      <c r="Q14714" s="24"/>
      <c r="R14714"/>
      <c r="S14714"/>
      <c r="T14714"/>
      <c r="U14714"/>
      <c r="X14714" s="60"/>
    </row>
    <row r="14715" spans="7:24" ht="15" customHeight="1">
      <c r="G14715"/>
      <c r="I14715"/>
      <c r="N14715"/>
      <c r="O14715" s="24"/>
      <c r="P14715"/>
      <c r="Q14715" s="24"/>
      <c r="R14715"/>
      <c r="S14715"/>
      <c r="T14715"/>
      <c r="U14715"/>
      <c r="X14715" s="60"/>
    </row>
    <row r="14716" spans="7:24" ht="15" customHeight="1">
      <c r="G14716"/>
      <c r="I14716"/>
      <c r="N14716"/>
      <c r="O14716" s="24"/>
      <c r="P14716"/>
      <c r="Q14716" s="24"/>
      <c r="R14716"/>
      <c r="S14716"/>
      <c r="T14716"/>
      <c r="U14716"/>
      <c r="X14716" s="60"/>
    </row>
    <row r="14717" spans="7:24" ht="15" customHeight="1">
      <c r="G14717"/>
      <c r="I14717"/>
      <c r="N14717"/>
      <c r="O14717" s="24"/>
      <c r="P14717"/>
      <c r="Q14717" s="24"/>
      <c r="R14717"/>
      <c r="S14717"/>
      <c r="T14717"/>
      <c r="U14717"/>
      <c r="X14717" s="60"/>
    </row>
    <row r="14718" spans="7:24" ht="15" customHeight="1">
      <c r="G14718"/>
      <c r="I14718"/>
      <c r="N14718"/>
      <c r="O14718" s="24"/>
      <c r="P14718"/>
      <c r="Q14718" s="24"/>
      <c r="R14718"/>
      <c r="S14718"/>
      <c r="T14718"/>
      <c r="U14718"/>
      <c r="X14718" s="60"/>
    </row>
    <row r="14719" spans="7:24" ht="15" customHeight="1">
      <c r="G14719"/>
      <c r="I14719"/>
      <c r="N14719"/>
      <c r="O14719" s="24"/>
      <c r="P14719"/>
      <c r="Q14719" s="24"/>
      <c r="R14719"/>
      <c r="S14719"/>
      <c r="T14719"/>
      <c r="U14719"/>
      <c r="X14719" s="60"/>
    </row>
    <row r="14720" spans="7:24" ht="15" customHeight="1">
      <c r="G14720"/>
      <c r="I14720"/>
      <c r="N14720"/>
      <c r="O14720" s="24"/>
      <c r="P14720"/>
      <c r="Q14720" s="24"/>
      <c r="R14720"/>
      <c r="S14720"/>
      <c r="T14720"/>
      <c r="U14720"/>
      <c r="X14720" s="60"/>
    </row>
    <row r="14721" spans="7:24" ht="15" customHeight="1">
      <c r="G14721"/>
      <c r="I14721"/>
      <c r="N14721"/>
      <c r="O14721" s="24"/>
      <c r="P14721"/>
      <c r="Q14721" s="24"/>
      <c r="R14721"/>
      <c r="S14721"/>
      <c r="T14721"/>
      <c r="U14721"/>
      <c r="X14721" s="60"/>
    </row>
    <row r="14722" spans="7:24" ht="15" customHeight="1">
      <c r="G14722"/>
      <c r="I14722"/>
      <c r="N14722"/>
      <c r="O14722" s="24"/>
      <c r="P14722"/>
      <c r="Q14722" s="24"/>
      <c r="R14722"/>
      <c r="S14722"/>
      <c r="T14722"/>
      <c r="U14722"/>
      <c r="X14722" s="60"/>
    </row>
    <row r="14723" spans="7:24" ht="15" customHeight="1">
      <c r="G14723"/>
      <c r="I14723"/>
      <c r="N14723"/>
      <c r="O14723" s="24"/>
      <c r="P14723"/>
      <c r="Q14723" s="24"/>
      <c r="R14723"/>
      <c r="S14723"/>
      <c r="T14723"/>
      <c r="U14723"/>
      <c r="X14723" s="60"/>
    </row>
    <row r="14724" spans="7:24" ht="15" customHeight="1">
      <c r="G14724"/>
      <c r="I14724"/>
      <c r="N14724"/>
      <c r="O14724" s="24"/>
      <c r="P14724"/>
      <c r="Q14724" s="24"/>
      <c r="R14724"/>
      <c r="S14724"/>
      <c r="T14724"/>
      <c r="U14724"/>
      <c r="X14724" s="60"/>
    </row>
    <row r="14725" spans="7:24" ht="15" customHeight="1">
      <c r="G14725"/>
      <c r="I14725"/>
      <c r="N14725"/>
      <c r="O14725" s="24"/>
      <c r="P14725"/>
      <c r="Q14725" s="24"/>
      <c r="R14725"/>
      <c r="S14725"/>
      <c r="T14725"/>
      <c r="U14725"/>
      <c r="X14725" s="60"/>
    </row>
    <row r="14726" spans="7:24" ht="15" customHeight="1">
      <c r="G14726"/>
      <c r="I14726"/>
      <c r="N14726"/>
      <c r="O14726" s="24"/>
      <c r="P14726"/>
      <c r="Q14726" s="24"/>
      <c r="R14726"/>
      <c r="S14726"/>
      <c r="T14726"/>
      <c r="U14726"/>
      <c r="X14726" s="60"/>
    </row>
    <row r="14727" spans="7:24" ht="15" customHeight="1">
      <c r="G14727"/>
      <c r="I14727"/>
      <c r="N14727"/>
      <c r="O14727" s="24"/>
      <c r="P14727"/>
      <c r="Q14727" s="24"/>
      <c r="R14727"/>
      <c r="S14727"/>
      <c r="T14727"/>
      <c r="U14727"/>
      <c r="X14727" s="60"/>
    </row>
    <row r="14728" spans="7:24" ht="15" customHeight="1">
      <c r="G14728"/>
      <c r="I14728"/>
      <c r="N14728"/>
      <c r="O14728" s="24"/>
      <c r="P14728"/>
      <c r="Q14728" s="24"/>
      <c r="R14728"/>
      <c r="S14728"/>
      <c r="T14728"/>
      <c r="U14728"/>
      <c r="X14728" s="60"/>
    </row>
    <row r="14729" spans="7:24" ht="15" customHeight="1">
      <c r="G14729"/>
      <c r="I14729"/>
      <c r="N14729"/>
      <c r="O14729" s="24"/>
      <c r="P14729"/>
      <c r="Q14729" s="24"/>
      <c r="R14729"/>
      <c r="S14729"/>
      <c r="T14729"/>
      <c r="U14729"/>
      <c r="X14729" s="60"/>
    </row>
    <row r="14730" spans="7:24" ht="15" customHeight="1">
      <c r="G14730"/>
      <c r="I14730"/>
      <c r="N14730"/>
      <c r="O14730" s="24"/>
      <c r="P14730"/>
      <c r="Q14730" s="24"/>
      <c r="R14730"/>
      <c r="S14730"/>
      <c r="T14730"/>
      <c r="U14730"/>
      <c r="X14730" s="60"/>
    </row>
    <row r="14731" spans="7:24" ht="15" customHeight="1">
      <c r="G14731"/>
      <c r="I14731"/>
      <c r="N14731"/>
      <c r="O14731" s="24"/>
      <c r="P14731"/>
      <c r="Q14731" s="24"/>
      <c r="R14731"/>
      <c r="S14731"/>
      <c r="T14731"/>
      <c r="U14731"/>
      <c r="X14731" s="60"/>
    </row>
    <row r="14732" spans="7:24" ht="15" customHeight="1">
      <c r="G14732"/>
      <c r="I14732"/>
      <c r="N14732"/>
      <c r="O14732" s="24"/>
      <c r="P14732"/>
      <c r="Q14732" s="24"/>
      <c r="R14732"/>
      <c r="S14732"/>
      <c r="T14732"/>
      <c r="U14732"/>
      <c r="X14732" s="60"/>
    </row>
    <row r="14733" spans="7:24" ht="15" customHeight="1">
      <c r="G14733"/>
      <c r="I14733"/>
      <c r="N14733"/>
      <c r="O14733" s="24"/>
      <c r="P14733"/>
      <c r="Q14733" s="24"/>
      <c r="R14733"/>
      <c r="S14733"/>
      <c r="T14733"/>
      <c r="U14733"/>
      <c r="X14733" s="60"/>
    </row>
    <row r="14734" spans="7:24" ht="15" customHeight="1">
      <c r="G14734"/>
      <c r="I14734"/>
      <c r="N14734"/>
      <c r="O14734" s="24"/>
      <c r="P14734"/>
      <c r="Q14734" s="24"/>
      <c r="R14734"/>
      <c r="S14734"/>
      <c r="T14734"/>
      <c r="U14734"/>
      <c r="X14734" s="60"/>
    </row>
    <row r="14735" spans="7:24" ht="15" customHeight="1">
      <c r="G14735"/>
      <c r="I14735"/>
      <c r="N14735"/>
      <c r="O14735" s="24"/>
      <c r="P14735"/>
      <c r="Q14735" s="24"/>
      <c r="R14735"/>
      <c r="S14735"/>
      <c r="T14735"/>
      <c r="U14735"/>
      <c r="X14735" s="60"/>
    </row>
    <row r="14736" spans="7:24" ht="15" customHeight="1">
      <c r="G14736"/>
      <c r="I14736"/>
      <c r="N14736"/>
      <c r="O14736" s="24"/>
      <c r="P14736"/>
      <c r="Q14736" s="24"/>
      <c r="R14736"/>
      <c r="S14736"/>
      <c r="T14736"/>
      <c r="U14736"/>
      <c r="X14736" s="60"/>
    </row>
    <row r="14737" spans="7:24" ht="15" customHeight="1">
      <c r="G14737"/>
      <c r="I14737"/>
      <c r="N14737"/>
      <c r="O14737" s="24"/>
      <c r="P14737"/>
      <c r="Q14737" s="24"/>
      <c r="R14737"/>
      <c r="S14737"/>
      <c r="T14737"/>
      <c r="U14737"/>
      <c r="X14737" s="60"/>
    </row>
    <row r="14738" spans="7:24" ht="15" customHeight="1">
      <c r="G14738"/>
      <c r="I14738"/>
      <c r="N14738"/>
      <c r="O14738" s="24"/>
      <c r="P14738"/>
      <c r="Q14738" s="24"/>
      <c r="R14738"/>
      <c r="S14738"/>
      <c r="T14738"/>
      <c r="U14738"/>
      <c r="X14738" s="60"/>
    </row>
    <row r="14739" spans="7:24" ht="15" customHeight="1">
      <c r="G14739"/>
      <c r="I14739"/>
      <c r="N14739"/>
      <c r="O14739" s="24"/>
      <c r="P14739"/>
      <c r="Q14739" s="24"/>
      <c r="R14739"/>
      <c r="S14739"/>
      <c r="T14739"/>
      <c r="U14739"/>
      <c r="X14739" s="60"/>
    </row>
    <row r="14740" spans="7:24" ht="15" customHeight="1">
      <c r="G14740"/>
      <c r="I14740"/>
      <c r="N14740"/>
      <c r="O14740" s="24"/>
      <c r="P14740"/>
      <c r="Q14740" s="24"/>
      <c r="R14740"/>
      <c r="S14740"/>
      <c r="T14740"/>
      <c r="U14740"/>
      <c r="X14740" s="60"/>
    </row>
    <row r="14741" spans="7:24" ht="15" customHeight="1">
      <c r="G14741"/>
      <c r="I14741"/>
      <c r="N14741"/>
      <c r="O14741" s="24"/>
      <c r="P14741"/>
      <c r="Q14741" s="24"/>
      <c r="R14741"/>
      <c r="S14741"/>
      <c r="T14741"/>
      <c r="U14741"/>
      <c r="X14741" s="60"/>
    </row>
    <row r="14742" spans="7:24" ht="15" customHeight="1">
      <c r="G14742"/>
      <c r="I14742"/>
      <c r="N14742"/>
      <c r="O14742" s="24"/>
      <c r="P14742"/>
      <c r="Q14742" s="24"/>
      <c r="R14742"/>
      <c r="S14742"/>
      <c r="T14742"/>
      <c r="U14742"/>
      <c r="X14742" s="60"/>
    </row>
    <row r="14743" spans="7:24" ht="15" customHeight="1">
      <c r="G14743"/>
      <c r="I14743"/>
      <c r="N14743"/>
      <c r="O14743" s="24"/>
      <c r="P14743"/>
      <c r="Q14743" s="24"/>
      <c r="R14743"/>
      <c r="S14743"/>
      <c r="T14743"/>
      <c r="U14743"/>
      <c r="X14743" s="60"/>
    </row>
    <row r="14744" spans="7:24" ht="15" customHeight="1">
      <c r="G14744"/>
      <c r="I14744"/>
      <c r="N14744"/>
      <c r="O14744" s="24"/>
      <c r="P14744"/>
      <c r="Q14744" s="24"/>
      <c r="R14744"/>
      <c r="S14744"/>
      <c r="T14744"/>
      <c r="U14744"/>
      <c r="X14744" s="60"/>
    </row>
    <row r="14745" spans="7:24" ht="15" customHeight="1">
      <c r="G14745"/>
      <c r="I14745"/>
      <c r="N14745"/>
      <c r="O14745" s="24"/>
      <c r="P14745"/>
      <c r="Q14745" s="24"/>
      <c r="R14745"/>
      <c r="S14745"/>
      <c r="T14745"/>
      <c r="U14745"/>
      <c r="X14745" s="60"/>
    </row>
    <row r="14746" spans="7:24" ht="15" customHeight="1">
      <c r="G14746"/>
      <c r="I14746"/>
      <c r="N14746"/>
      <c r="O14746" s="24"/>
      <c r="P14746"/>
      <c r="Q14746" s="24"/>
      <c r="R14746"/>
      <c r="S14746"/>
      <c r="T14746"/>
      <c r="U14746"/>
      <c r="X14746" s="60"/>
    </row>
    <row r="14747" spans="7:24" ht="15" customHeight="1">
      <c r="G14747"/>
      <c r="I14747"/>
      <c r="N14747"/>
      <c r="O14747" s="24"/>
      <c r="P14747"/>
      <c r="Q14747" s="24"/>
      <c r="R14747"/>
      <c r="S14747"/>
      <c r="T14747"/>
      <c r="U14747"/>
      <c r="X14747" s="60"/>
    </row>
    <row r="14748" spans="7:24" ht="15" customHeight="1">
      <c r="G14748"/>
      <c r="I14748"/>
      <c r="N14748"/>
      <c r="O14748" s="24"/>
      <c r="P14748"/>
      <c r="Q14748" s="24"/>
      <c r="R14748"/>
      <c r="S14748"/>
      <c r="T14748"/>
      <c r="U14748"/>
      <c r="X14748" s="60"/>
    </row>
    <row r="14749" spans="7:24" ht="15" customHeight="1">
      <c r="G14749"/>
      <c r="I14749"/>
      <c r="N14749"/>
      <c r="O14749" s="24"/>
      <c r="P14749"/>
      <c r="Q14749" s="24"/>
      <c r="R14749"/>
      <c r="S14749"/>
      <c r="T14749"/>
      <c r="U14749"/>
      <c r="X14749" s="60"/>
    </row>
    <row r="14750" spans="7:24" ht="15" customHeight="1">
      <c r="G14750"/>
      <c r="I14750"/>
      <c r="N14750"/>
      <c r="O14750" s="24"/>
      <c r="P14750"/>
      <c r="Q14750" s="24"/>
      <c r="R14750"/>
      <c r="S14750"/>
      <c r="T14750"/>
      <c r="U14750"/>
      <c r="X14750" s="60"/>
    </row>
    <row r="14751" spans="7:24" ht="15" customHeight="1">
      <c r="G14751"/>
      <c r="I14751"/>
      <c r="N14751"/>
      <c r="O14751" s="24"/>
      <c r="P14751"/>
      <c r="Q14751" s="24"/>
      <c r="R14751"/>
      <c r="S14751"/>
      <c r="T14751"/>
      <c r="U14751"/>
      <c r="X14751" s="60"/>
    </row>
    <row r="14752" spans="7:24" ht="15" customHeight="1">
      <c r="G14752"/>
      <c r="I14752"/>
      <c r="N14752"/>
      <c r="O14752" s="24"/>
      <c r="P14752"/>
      <c r="Q14752" s="24"/>
      <c r="R14752"/>
      <c r="S14752"/>
      <c r="T14752"/>
      <c r="U14752"/>
      <c r="X14752" s="60"/>
    </row>
    <row r="14753" spans="7:24" ht="15" customHeight="1">
      <c r="G14753"/>
      <c r="I14753"/>
      <c r="N14753"/>
      <c r="O14753" s="24"/>
      <c r="P14753"/>
      <c r="Q14753" s="24"/>
      <c r="R14753"/>
      <c r="S14753"/>
      <c r="T14753"/>
      <c r="U14753"/>
      <c r="X14753" s="60"/>
    </row>
    <row r="14754" spans="7:24" ht="15" customHeight="1">
      <c r="G14754"/>
      <c r="I14754"/>
      <c r="N14754"/>
      <c r="O14754" s="24"/>
      <c r="P14754"/>
      <c r="Q14754" s="24"/>
      <c r="R14754"/>
      <c r="S14754"/>
      <c r="T14754"/>
      <c r="U14754"/>
      <c r="X14754" s="60"/>
    </row>
    <row r="14755" spans="7:24" ht="15" customHeight="1">
      <c r="G14755"/>
      <c r="I14755"/>
      <c r="N14755"/>
      <c r="O14755" s="24"/>
      <c r="P14755"/>
      <c r="Q14755" s="24"/>
      <c r="R14755"/>
      <c r="S14755"/>
      <c r="T14755"/>
      <c r="U14755"/>
      <c r="X14755" s="60"/>
    </row>
    <row r="14756" spans="7:24" ht="15" customHeight="1">
      <c r="G14756"/>
      <c r="I14756"/>
      <c r="N14756"/>
      <c r="O14756" s="24"/>
      <c r="P14756"/>
      <c r="Q14756" s="24"/>
      <c r="R14756"/>
      <c r="S14756"/>
      <c r="T14756"/>
      <c r="U14756"/>
      <c r="X14756" s="60"/>
    </row>
    <row r="14757" spans="7:24" ht="15" customHeight="1">
      <c r="G14757"/>
      <c r="I14757"/>
      <c r="N14757"/>
      <c r="O14757" s="24"/>
      <c r="P14757"/>
      <c r="Q14757" s="24"/>
      <c r="R14757"/>
      <c r="S14757"/>
      <c r="T14757"/>
      <c r="U14757"/>
      <c r="X14757" s="60"/>
    </row>
    <row r="14758" spans="7:24" ht="15" customHeight="1">
      <c r="G14758"/>
      <c r="I14758"/>
      <c r="N14758"/>
      <c r="O14758" s="24"/>
      <c r="P14758"/>
      <c r="Q14758" s="24"/>
      <c r="R14758"/>
      <c r="S14758"/>
      <c r="T14758"/>
      <c r="U14758"/>
      <c r="X14758" s="60"/>
    </row>
    <row r="14759" spans="7:24" ht="15" customHeight="1">
      <c r="G14759"/>
      <c r="I14759"/>
      <c r="N14759"/>
      <c r="O14759" s="24"/>
      <c r="P14759"/>
      <c r="Q14759" s="24"/>
      <c r="R14759"/>
      <c r="S14759"/>
      <c r="T14759"/>
      <c r="U14759"/>
      <c r="X14759" s="60"/>
    </row>
    <row r="14760" spans="7:24" ht="15" customHeight="1">
      <c r="G14760"/>
      <c r="I14760"/>
      <c r="N14760"/>
      <c r="O14760" s="24"/>
      <c r="P14760"/>
      <c r="Q14760" s="24"/>
      <c r="R14760"/>
      <c r="S14760"/>
      <c r="T14760"/>
      <c r="U14760"/>
      <c r="X14760" s="60"/>
    </row>
    <row r="14761" spans="7:24" ht="15" customHeight="1">
      <c r="G14761"/>
      <c r="I14761"/>
      <c r="N14761"/>
      <c r="O14761" s="24"/>
      <c r="P14761"/>
      <c r="Q14761" s="24"/>
      <c r="R14761"/>
      <c r="S14761"/>
      <c r="T14761"/>
      <c r="U14761"/>
      <c r="X14761" s="60"/>
    </row>
    <row r="14762" spans="7:24" ht="15" customHeight="1">
      <c r="G14762"/>
      <c r="I14762"/>
      <c r="N14762"/>
      <c r="O14762" s="24"/>
      <c r="P14762"/>
      <c r="Q14762" s="24"/>
      <c r="R14762"/>
      <c r="S14762"/>
      <c r="T14762"/>
      <c r="U14762"/>
      <c r="X14762" s="60"/>
    </row>
    <row r="14763" spans="7:24" ht="15" customHeight="1">
      <c r="G14763"/>
      <c r="I14763"/>
      <c r="N14763"/>
      <c r="O14763" s="24"/>
      <c r="P14763"/>
      <c r="Q14763" s="24"/>
      <c r="R14763"/>
      <c r="S14763"/>
      <c r="T14763"/>
      <c r="U14763"/>
      <c r="X14763" s="60"/>
    </row>
    <row r="14764" spans="7:24" ht="15" customHeight="1">
      <c r="G14764"/>
      <c r="I14764"/>
      <c r="N14764"/>
      <c r="O14764" s="24"/>
      <c r="P14764"/>
      <c r="Q14764" s="24"/>
      <c r="R14764"/>
      <c r="S14764"/>
      <c r="T14764"/>
      <c r="U14764"/>
      <c r="X14764" s="60"/>
    </row>
    <row r="14765" spans="7:24" ht="15" customHeight="1">
      <c r="G14765"/>
      <c r="I14765"/>
      <c r="N14765"/>
      <c r="O14765" s="24"/>
      <c r="P14765"/>
      <c r="Q14765" s="24"/>
      <c r="R14765"/>
      <c r="S14765"/>
      <c r="T14765"/>
      <c r="U14765"/>
      <c r="X14765" s="60"/>
    </row>
    <row r="14766" spans="7:24" ht="15" customHeight="1">
      <c r="G14766"/>
      <c r="I14766"/>
      <c r="N14766"/>
      <c r="O14766" s="24"/>
      <c r="P14766"/>
      <c r="Q14766" s="24"/>
      <c r="R14766"/>
      <c r="S14766"/>
      <c r="T14766"/>
      <c r="U14766"/>
      <c r="X14766" s="60"/>
    </row>
    <row r="14767" spans="7:24" ht="15" customHeight="1">
      <c r="G14767"/>
      <c r="I14767"/>
      <c r="N14767"/>
      <c r="O14767" s="24"/>
      <c r="P14767"/>
      <c r="Q14767" s="24"/>
      <c r="R14767"/>
      <c r="S14767"/>
      <c r="T14767"/>
      <c r="U14767"/>
      <c r="X14767" s="60"/>
    </row>
    <row r="14768" spans="7:24" ht="15" customHeight="1">
      <c r="G14768"/>
      <c r="I14768"/>
      <c r="N14768"/>
      <c r="O14768" s="24"/>
      <c r="P14768"/>
      <c r="Q14768" s="24"/>
      <c r="R14768"/>
      <c r="S14768"/>
      <c r="T14768"/>
      <c r="U14768"/>
      <c r="X14768" s="60"/>
    </row>
    <row r="14769" spans="7:24" ht="15" customHeight="1">
      <c r="G14769"/>
      <c r="I14769"/>
      <c r="N14769"/>
      <c r="O14769" s="24"/>
      <c r="P14769"/>
      <c r="Q14769" s="24"/>
      <c r="R14769"/>
      <c r="S14769"/>
      <c r="T14769"/>
      <c r="U14769"/>
      <c r="X14769" s="60"/>
    </row>
    <row r="14770" spans="7:24" ht="15" customHeight="1">
      <c r="G14770"/>
      <c r="I14770"/>
      <c r="N14770"/>
      <c r="O14770" s="24"/>
      <c r="P14770"/>
      <c r="Q14770" s="24"/>
      <c r="R14770"/>
      <c r="S14770"/>
      <c r="T14770"/>
      <c r="U14770"/>
      <c r="X14770" s="60"/>
    </row>
    <row r="14771" spans="7:24" ht="15" customHeight="1">
      <c r="G14771"/>
      <c r="I14771"/>
      <c r="N14771"/>
      <c r="O14771" s="24"/>
      <c r="P14771"/>
      <c r="Q14771" s="24"/>
      <c r="R14771"/>
      <c r="S14771"/>
      <c r="T14771"/>
      <c r="U14771"/>
      <c r="X14771" s="60"/>
    </row>
    <row r="14772" spans="7:24" ht="15" customHeight="1">
      <c r="G14772"/>
      <c r="I14772"/>
      <c r="N14772"/>
      <c r="O14772" s="24"/>
      <c r="P14772"/>
      <c r="Q14772" s="24"/>
      <c r="R14772"/>
      <c r="S14772"/>
      <c r="T14772"/>
      <c r="U14772"/>
      <c r="X14772" s="60"/>
    </row>
    <row r="14773" spans="7:24" ht="15" customHeight="1">
      <c r="G14773"/>
      <c r="I14773"/>
      <c r="N14773"/>
      <c r="O14773" s="24"/>
      <c r="P14773"/>
      <c r="Q14773" s="24"/>
      <c r="R14773"/>
      <c r="S14773"/>
      <c r="T14773"/>
      <c r="U14773"/>
      <c r="X14773" s="60"/>
    </row>
    <row r="14774" spans="7:24" ht="15" customHeight="1">
      <c r="G14774"/>
      <c r="I14774"/>
      <c r="N14774"/>
      <c r="O14774" s="24"/>
      <c r="P14774"/>
      <c r="Q14774" s="24"/>
      <c r="R14774"/>
      <c r="S14774"/>
      <c r="T14774"/>
      <c r="U14774"/>
      <c r="X14774" s="60"/>
    </row>
    <row r="14775" spans="7:24" ht="15" customHeight="1">
      <c r="G14775"/>
      <c r="I14775"/>
      <c r="N14775"/>
      <c r="O14775" s="24"/>
      <c r="P14775"/>
      <c r="Q14775" s="24"/>
      <c r="R14775"/>
      <c r="S14775"/>
      <c r="T14775"/>
      <c r="U14775"/>
      <c r="X14775" s="60"/>
    </row>
    <row r="14776" spans="7:24" ht="15" customHeight="1">
      <c r="G14776"/>
      <c r="I14776"/>
      <c r="N14776"/>
      <c r="O14776" s="24"/>
      <c r="P14776"/>
      <c r="Q14776" s="24"/>
      <c r="R14776"/>
      <c r="S14776"/>
      <c r="T14776"/>
      <c r="U14776"/>
      <c r="X14776" s="60"/>
    </row>
    <row r="14777" spans="7:24" ht="15" customHeight="1">
      <c r="G14777"/>
      <c r="I14777"/>
      <c r="N14777"/>
      <c r="O14777" s="24"/>
      <c r="P14777"/>
      <c r="Q14777" s="24"/>
      <c r="R14777"/>
      <c r="S14777"/>
      <c r="T14777"/>
      <c r="U14777"/>
      <c r="X14777" s="60"/>
    </row>
    <row r="14778" spans="7:24" ht="15" customHeight="1">
      <c r="G14778"/>
      <c r="I14778"/>
      <c r="N14778"/>
      <c r="O14778" s="24"/>
      <c r="P14778"/>
      <c r="Q14778" s="24"/>
      <c r="R14778"/>
      <c r="S14778"/>
      <c r="T14778"/>
      <c r="U14778"/>
      <c r="X14778" s="60"/>
    </row>
    <row r="14779" spans="7:24" ht="15" customHeight="1">
      <c r="G14779"/>
      <c r="I14779"/>
      <c r="N14779"/>
      <c r="O14779" s="24"/>
      <c r="P14779"/>
      <c r="Q14779" s="24"/>
      <c r="R14779"/>
      <c r="S14779"/>
      <c r="T14779"/>
      <c r="U14779"/>
      <c r="X14779" s="60"/>
    </row>
    <row r="14780" spans="7:24" ht="15" customHeight="1">
      <c r="G14780"/>
      <c r="I14780"/>
      <c r="N14780"/>
      <c r="O14780" s="24"/>
      <c r="P14780"/>
      <c r="Q14780" s="24"/>
      <c r="R14780"/>
      <c r="S14780"/>
      <c r="T14780"/>
      <c r="U14780"/>
      <c r="X14780" s="60"/>
    </row>
    <row r="14781" spans="7:24" ht="15" customHeight="1">
      <c r="G14781"/>
      <c r="I14781"/>
      <c r="N14781"/>
      <c r="O14781" s="24"/>
      <c r="P14781"/>
      <c r="Q14781" s="24"/>
      <c r="R14781"/>
      <c r="S14781"/>
      <c r="T14781"/>
      <c r="U14781"/>
      <c r="X14781" s="60"/>
    </row>
    <row r="14782" spans="7:24" ht="15" customHeight="1">
      <c r="G14782"/>
      <c r="I14782"/>
      <c r="N14782"/>
      <c r="O14782" s="24"/>
      <c r="P14782"/>
      <c r="Q14782" s="24"/>
      <c r="R14782"/>
      <c r="S14782"/>
      <c r="T14782"/>
      <c r="U14782"/>
      <c r="X14782" s="60"/>
    </row>
    <row r="14783" spans="7:24" ht="15" customHeight="1">
      <c r="G14783"/>
      <c r="I14783"/>
      <c r="N14783"/>
      <c r="O14783" s="24"/>
      <c r="P14783"/>
      <c r="Q14783" s="24"/>
      <c r="R14783"/>
      <c r="S14783"/>
      <c r="T14783"/>
      <c r="U14783"/>
      <c r="X14783" s="60"/>
    </row>
    <row r="14784" spans="7:24" ht="15" customHeight="1">
      <c r="G14784"/>
      <c r="I14784"/>
      <c r="N14784"/>
      <c r="O14784" s="24"/>
      <c r="P14784"/>
      <c r="Q14784" s="24"/>
      <c r="R14784"/>
      <c r="S14784"/>
      <c r="T14784"/>
      <c r="U14784"/>
      <c r="X14784" s="60"/>
    </row>
    <row r="14785" spans="7:24" ht="15" customHeight="1">
      <c r="G14785"/>
      <c r="I14785"/>
      <c r="N14785"/>
      <c r="O14785" s="24"/>
      <c r="P14785"/>
      <c r="Q14785" s="24"/>
      <c r="R14785"/>
      <c r="S14785"/>
      <c r="T14785"/>
      <c r="U14785"/>
      <c r="X14785" s="60"/>
    </row>
    <row r="14786" spans="7:24" ht="15" customHeight="1">
      <c r="G14786"/>
      <c r="I14786"/>
      <c r="N14786"/>
      <c r="O14786" s="24"/>
      <c r="P14786"/>
      <c r="Q14786" s="24"/>
      <c r="R14786"/>
      <c r="S14786"/>
      <c r="T14786"/>
      <c r="U14786"/>
      <c r="X14786" s="60"/>
    </row>
    <row r="14787" spans="7:24" ht="15" customHeight="1">
      <c r="G14787"/>
      <c r="I14787"/>
      <c r="N14787"/>
      <c r="O14787" s="24"/>
      <c r="P14787"/>
      <c r="Q14787" s="24"/>
      <c r="R14787"/>
      <c r="S14787"/>
      <c r="T14787"/>
      <c r="U14787"/>
      <c r="X14787" s="60"/>
    </row>
    <row r="14788" spans="7:24" ht="15" customHeight="1">
      <c r="G14788"/>
      <c r="I14788"/>
      <c r="N14788"/>
      <c r="O14788" s="24"/>
      <c r="P14788"/>
      <c r="Q14788" s="24"/>
      <c r="R14788"/>
      <c r="S14788"/>
      <c r="T14788"/>
      <c r="U14788"/>
      <c r="X14788" s="60"/>
    </row>
    <row r="14789" spans="7:24" ht="15" customHeight="1">
      <c r="G14789"/>
      <c r="I14789"/>
      <c r="N14789"/>
      <c r="O14789" s="24"/>
      <c r="P14789"/>
      <c r="Q14789" s="24"/>
      <c r="R14789"/>
      <c r="S14789"/>
      <c r="T14789"/>
      <c r="U14789"/>
      <c r="X14789" s="60"/>
    </row>
    <row r="14790" spans="7:24" ht="15" customHeight="1">
      <c r="G14790"/>
      <c r="I14790"/>
      <c r="N14790"/>
      <c r="O14790" s="24"/>
      <c r="P14790"/>
      <c r="Q14790" s="24"/>
      <c r="R14790"/>
      <c r="S14790"/>
      <c r="T14790"/>
      <c r="U14790"/>
      <c r="X14790" s="60"/>
    </row>
    <row r="14791" spans="7:24" ht="15" customHeight="1">
      <c r="G14791"/>
      <c r="I14791"/>
      <c r="N14791"/>
      <c r="O14791" s="24"/>
      <c r="P14791"/>
      <c r="Q14791" s="24"/>
      <c r="R14791"/>
      <c r="S14791"/>
      <c r="T14791"/>
      <c r="U14791"/>
      <c r="X14791" s="60"/>
    </row>
    <row r="14792" spans="7:24" ht="15" customHeight="1">
      <c r="G14792"/>
      <c r="I14792"/>
      <c r="N14792"/>
      <c r="O14792" s="24"/>
      <c r="P14792"/>
      <c r="Q14792" s="24"/>
      <c r="R14792"/>
      <c r="S14792"/>
      <c r="T14792"/>
      <c r="U14792"/>
      <c r="X14792" s="60"/>
    </row>
    <row r="14793" spans="7:24" ht="15" customHeight="1">
      <c r="G14793"/>
      <c r="I14793"/>
      <c r="N14793"/>
      <c r="O14793" s="24"/>
      <c r="P14793"/>
      <c r="Q14793" s="24"/>
      <c r="R14793"/>
      <c r="S14793"/>
      <c r="T14793"/>
      <c r="U14793"/>
      <c r="X14793" s="60"/>
    </row>
    <row r="14794" spans="7:24" ht="15" customHeight="1">
      <c r="G14794"/>
      <c r="I14794"/>
      <c r="N14794"/>
      <c r="O14794" s="24"/>
      <c r="P14794"/>
      <c r="Q14794" s="24"/>
      <c r="R14794"/>
      <c r="S14794"/>
      <c r="T14794"/>
      <c r="U14794"/>
      <c r="X14794" s="60"/>
    </row>
    <row r="14795" spans="7:24" ht="15" customHeight="1">
      <c r="G14795"/>
      <c r="I14795"/>
      <c r="N14795"/>
      <c r="O14795" s="24"/>
      <c r="P14795"/>
      <c r="Q14795" s="24"/>
      <c r="R14795"/>
      <c r="S14795"/>
      <c r="T14795"/>
      <c r="U14795"/>
      <c r="X14795" s="60"/>
    </row>
    <row r="14796" spans="7:24" ht="15" customHeight="1">
      <c r="G14796"/>
      <c r="I14796"/>
      <c r="N14796"/>
      <c r="O14796" s="24"/>
      <c r="P14796"/>
      <c r="Q14796" s="24"/>
      <c r="R14796"/>
      <c r="S14796"/>
      <c r="T14796"/>
      <c r="U14796"/>
      <c r="X14796" s="60"/>
    </row>
    <row r="14797" spans="7:24" ht="15" customHeight="1">
      <c r="G14797"/>
      <c r="I14797"/>
      <c r="N14797"/>
      <c r="O14797" s="24"/>
      <c r="P14797"/>
      <c r="Q14797" s="24"/>
      <c r="R14797"/>
      <c r="S14797"/>
      <c r="T14797"/>
      <c r="U14797"/>
      <c r="X14797" s="60"/>
    </row>
    <row r="14798" spans="7:24" ht="15" customHeight="1">
      <c r="G14798"/>
      <c r="I14798"/>
      <c r="N14798"/>
      <c r="O14798" s="24"/>
      <c r="P14798"/>
      <c r="Q14798" s="24"/>
      <c r="R14798"/>
      <c r="S14798"/>
      <c r="T14798"/>
      <c r="U14798"/>
      <c r="X14798" s="60"/>
    </row>
    <row r="14799" spans="7:24" ht="15" customHeight="1">
      <c r="G14799"/>
      <c r="I14799"/>
      <c r="N14799"/>
      <c r="O14799" s="24"/>
      <c r="P14799"/>
      <c r="Q14799" s="24"/>
      <c r="R14799"/>
      <c r="S14799"/>
      <c r="T14799"/>
      <c r="U14799"/>
      <c r="X14799" s="60"/>
    </row>
    <row r="14800" spans="7:24" ht="15" customHeight="1">
      <c r="G14800"/>
      <c r="I14800"/>
      <c r="N14800"/>
      <c r="O14800" s="24"/>
      <c r="P14800"/>
      <c r="Q14800" s="24"/>
      <c r="R14800"/>
      <c r="S14800"/>
      <c r="T14800"/>
      <c r="U14800"/>
      <c r="X14800" s="60"/>
    </row>
    <row r="14801" spans="7:24" ht="15" customHeight="1">
      <c r="G14801"/>
      <c r="I14801"/>
      <c r="N14801"/>
      <c r="O14801" s="24"/>
      <c r="P14801"/>
      <c r="Q14801" s="24"/>
      <c r="R14801"/>
      <c r="S14801"/>
      <c r="T14801"/>
      <c r="U14801"/>
      <c r="X14801" s="60"/>
    </row>
    <row r="14802" spans="7:24" ht="15" customHeight="1">
      <c r="G14802"/>
      <c r="I14802"/>
      <c r="N14802"/>
      <c r="O14802" s="24"/>
      <c r="P14802"/>
      <c r="Q14802" s="24"/>
      <c r="R14802"/>
      <c r="S14802"/>
      <c r="T14802"/>
      <c r="U14802"/>
      <c r="X14802" s="60"/>
    </row>
    <row r="14803" spans="7:24" ht="15" customHeight="1">
      <c r="G14803"/>
      <c r="I14803"/>
      <c r="N14803"/>
      <c r="O14803" s="24"/>
      <c r="P14803"/>
      <c r="Q14803" s="24"/>
      <c r="R14803"/>
      <c r="S14803"/>
      <c r="T14803"/>
      <c r="U14803"/>
      <c r="X14803" s="60"/>
    </row>
    <row r="14804" spans="7:24" ht="15" customHeight="1">
      <c r="G14804"/>
      <c r="I14804"/>
      <c r="N14804"/>
      <c r="O14804" s="24"/>
      <c r="P14804"/>
      <c r="Q14804" s="24"/>
      <c r="R14804"/>
      <c r="S14804"/>
      <c r="T14804"/>
      <c r="U14804"/>
      <c r="X14804" s="60"/>
    </row>
    <row r="14805" spans="7:24" ht="15" customHeight="1">
      <c r="G14805"/>
      <c r="I14805"/>
      <c r="N14805"/>
      <c r="O14805" s="24"/>
      <c r="P14805"/>
      <c r="Q14805" s="24"/>
      <c r="R14805"/>
      <c r="S14805"/>
      <c r="T14805"/>
      <c r="U14805"/>
      <c r="X14805" s="60"/>
    </row>
    <row r="14806" spans="7:24" ht="15" customHeight="1">
      <c r="G14806"/>
      <c r="I14806"/>
      <c r="N14806"/>
      <c r="O14806" s="24"/>
      <c r="P14806"/>
      <c r="Q14806" s="24"/>
      <c r="R14806"/>
      <c r="S14806"/>
      <c r="T14806"/>
      <c r="U14806"/>
      <c r="X14806" s="60"/>
    </row>
    <row r="14807" spans="7:24" ht="15" customHeight="1">
      <c r="G14807"/>
      <c r="I14807"/>
      <c r="N14807"/>
      <c r="O14807" s="24"/>
      <c r="P14807"/>
      <c r="Q14807" s="24"/>
      <c r="R14807"/>
      <c r="S14807"/>
      <c r="T14807"/>
      <c r="U14807"/>
      <c r="X14807" s="60"/>
    </row>
    <row r="14808" spans="7:24" ht="15" customHeight="1">
      <c r="G14808"/>
      <c r="I14808"/>
      <c r="N14808"/>
      <c r="O14808" s="24"/>
      <c r="P14808"/>
      <c r="Q14808" s="24"/>
      <c r="R14808"/>
      <c r="S14808"/>
      <c r="T14808"/>
      <c r="U14808"/>
      <c r="X14808" s="60"/>
    </row>
    <row r="14809" spans="7:24" ht="15" customHeight="1">
      <c r="G14809"/>
      <c r="I14809"/>
      <c r="N14809"/>
      <c r="O14809" s="24"/>
      <c r="P14809"/>
      <c r="Q14809" s="24"/>
      <c r="R14809"/>
      <c r="S14809"/>
      <c r="T14809"/>
      <c r="U14809"/>
      <c r="X14809" s="60"/>
    </row>
    <row r="14810" spans="7:24" ht="15" customHeight="1">
      <c r="G14810"/>
      <c r="I14810"/>
      <c r="N14810"/>
      <c r="O14810" s="24"/>
      <c r="P14810"/>
      <c r="Q14810" s="24"/>
      <c r="R14810"/>
      <c r="S14810"/>
      <c r="T14810"/>
      <c r="U14810"/>
      <c r="X14810" s="60"/>
    </row>
    <row r="14811" spans="7:24" ht="15" customHeight="1">
      <c r="G14811"/>
      <c r="I14811"/>
      <c r="N14811"/>
      <c r="O14811" s="24"/>
      <c r="P14811"/>
      <c r="Q14811" s="24"/>
      <c r="R14811"/>
      <c r="S14811"/>
      <c r="T14811"/>
      <c r="U14811"/>
      <c r="X14811" s="60"/>
    </row>
    <row r="14812" spans="7:24" ht="15" customHeight="1">
      <c r="G14812"/>
      <c r="I14812"/>
      <c r="N14812"/>
      <c r="O14812" s="24"/>
      <c r="P14812"/>
      <c r="Q14812" s="24"/>
      <c r="R14812"/>
      <c r="S14812"/>
      <c r="T14812"/>
      <c r="U14812"/>
      <c r="X14812" s="60"/>
    </row>
    <row r="14813" spans="7:24" ht="15" customHeight="1">
      <c r="G14813"/>
      <c r="I14813"/>
      <c r="N14813"/>
      <c r="O14813" s="24"/>
      <c r="P14813"/>
      <c r="Q14813" s="24"/>
      <c r="R14813"/>
      <c r="S14813"/>
      <c r="T14813"/>
      <c r="U14813"/>
      <c r="X14813" s="60"/>
    </row>
    <row r="14814" spans="7:24" ht="15" customHeight="1">
      <c r="G14814"/>
      <c r="I14814"/>
      <c r="N14814"/>
      <c r="O14814" s="24"/>
      <c r="P14814"/>
      <c r="Q14814" s="24"/>
      <c r="R14814"/>
      <c r="S14814"/>
      <c r="T14814"/>
      <c r="U14814"/>
      <c r="X14814" s="60"/>
    </row>
    <row r="14815" spans="7:24" ht="15" customHeight="1">
      <c r="G14815"/>
      <c r="I14815"/>
      <c r="N14815"/>
      <c r="O14815" s="24"/>
      <c r="P14815"/>
      <c r="Q14815" s="24"/>
      <c r="R14815"/>
      <c r="S14815"/>
      <c r="T14815"/>
      <c r="U14815"/>
      <c r="X14815" s="60"/>
    </row>
    <row r="14816" spans="7:24" ht="15" customHeight="1">
      <c r="G14816"/>
      <c r="I14816"/>
      <c r="N14816"/>
      <c r="O14816" s="24"/>
      <c r="P14816"/>
      <c r="Q14816" s="24"/>
      <c r="R14816"/>
      <c r="S14816"/>
      <c r="T14816"/>
      <c r="U14816"/>
      <c r="X14816" s="60"/>
    </row>
    <row r="14817" spans="7:24" ht="15" customHeight="1">
      <c r="G14817"/>
      <c r="I14817"/>
      <c r="N14817"/>
      <c r="O14817" s="24"/>
      <c r="P14817"/>
      <c r="Q14817" s="24"/>
      <c r="R14817"/>
      <c r="S14817"/>
      <c r="T14817"/>
      <c r="U14817"/>
      <c r="X14817" s="60"/>
    </row>
    <row r="14818" spans="7:24" ht="15" customHeight="1">
      <c r="G14818"/>
      <c r="I14818"/>
      <c r="N14818"/>
      <c r="O14818" s="24"/>
      <c r="P14818"/>
      <c r="Q14818" s="24"/>
      <c r="R14818"/>
      <c r="S14818"/>
      <c r="T14818"/>
      <c r="U14818"/>
      <c r="X14818" s="60"/>
    </row>
    <row r="14819" spans="7:24" ht="15" customHeight="1">
      <c r="G14819"/>
      <c r="I14819"/>
      <c r="N14819"/>
      <c r="O14819" s="24"/>
      <c r="P14819"/>
      <c r="Q14819" s="24"/>
      <c r="R14819"/>
      <c r="S14819"/>
      <c r="T14819"/>
      <c r="U14819"/>
      <c r="X14819" s="60"/>
    </row>
    <row r="14820" spans="7:24" ht="15" customHeight="1">
      <c r="G14820"/>
      <c r="I14820"/>
      <c r="N14820"/>
      <c r="O14820" s="24"/>
      <c r="P14820"/>
      <c r="Q14820" s="24"/>
      <c r="R14820"/>
      <c r="S14820"/>
      <c r="T14820"/>
      <c r="U14820"/>
      <c r="X14820" s="60"/>
    </row>
    <row r="14821" spans="7:24" ht="15" customHeight="1">
      <c r="G14821"/>
      <c r="I14821"/>
      <c r="N14821"/>
      <c r="O14821" s="24"/>
      <c r="P14821"/>
      <c r="Q14821" s="24"/>
      <c r="R14821"/>
      <c r="S14821"/>
      <c r="T14821"/>
      <c r="U14821"/>
      <c r="X14821" s="60"/>
    </row>
    <row r="14822" spans="7:24" ht="15" customHeight="1">
      <c r="G14822"/>
      <c r="I14822"/>
      <c r="N14822"/>
      <c r="O14822" s="24"/>
      <c r="P14822"/>
      <c r="Q14822" s="24"/>
      <c r="R14822"/>
      <c r="S14822"/>
      <c r="T14822"/>
      <c r="U14822"/>
      <c r="X14822" s="60"/>
    </row>
    <row r="14823" spans="7:24" ht="15" customHeight="1">
      <c r="G14823"/>
      <c r="I14823"/>
      <c r="N14823"/>
      <c r="O14823" s="24"/>
      <c r="P14823"/>
      <c r="Q14823" s="24"/>
      <c r="R14823"/>
      <c r="S14823"/>
      <c r="T14823"/>
      <c r="U14823"/>
      <c r="X14823" s="60"/>
    </row>
    <row r="14824" spans="7:24" ht="15" customHeight="1">
      <c r="G14824"/>
      <c r="I14824"/>
      <c r="N14824"/>
      <c r="O14824" s="24"/>
      <c r="P14824"/>
      <c r="Q14824" s="24"/>
      <c r="R14824"/>
      <c r="S14824"/>
      <c r="T14824"/>
      <c r="U14824"/>
      <c r="X14824" s="60"/>
    </row>
    <row r="14825" spans="7:24" ht="15" customHeight="1">
      <c r="G14825"/>
      <c r="I14825"/>
      <c r="N14825"/>
      <c r="O14825" s="24"/>
      <c r="P14825"/>
      <c r="Q14825" s="24"/>
      <c r="R14825"/>
      <c r="S14825"/>
      <c r="T14825"/>
      <c r="U14825"/>
      <c r="X14825" s="60"/>
    </row>
    <row r="14826" spans="7:24" ht="15" customHeight="1">
      <c r="G14826"/>
      <c r="I14826"/>
      <c r="N14826"/>
      <c r="O14826" s="24"/>
      <c r="P14826"/>
      <c r="Q14826" s="24"/>
      <c r="R14826"/>
      <c r="S14826"/>
      <c r="T14826"/>
      <c r="U14826"/>
      <c r="X14826" s="60"/>
    </row>
    <row r="14827" spans="7:24" ht="15" customHeight="1">
      <c r="G14827"/>
      <c r="I14827"/>
      <c r="N14827"/>
      <c r="O14827" s="24"/>
      <c r="P14827"/>
      <c r="Q14827" s="24"/>
      <c r="R14827"/>
      <c r="S14827"/>
      <c r="T14827"/>
      <c r="U14827"/>
      <c r="X14827" s="60"/>
    </row>
    <row r="14828" spans="7:24" ht="15" customHeight="1">
      <c r="G14828"/>
      <c r="I14828"/>
      <c r="N14828"/>
      <c r="O14828" s="24"/>
      <c r="P14828"/>
      <c r="Q14828" s="24"/>
      <c r="R14828"/>
      <c r="S14828"/>
      <c r="T14828"/>
      <c r="U14828"/>
      <c r="X14828" s="60"/>
    </row>
    <row r="14829" spans="7:24" ht="15" customHeight="1">
      <c r="G14829"/>
      <c r="I14829"/>
      <c r="N14829"/>
      <c r="O14829" s="24"/>
      <c r="P14829"/>
      <c r="Q14829" s="24"/>
      <c r="R14829"/>
      <c r="S14829"/>
      <c r="T14829"/>
      <c r="U14829"/>
      <c r="X14829" s="60"/>
    </row>
    <row r="14830" spans="7:24" ht="15" customHeight="1">
      <c r="G14830"/>
      <c r="I14830"/>
      <c r="N14830"/>
      <c r="O14830" s="24"/>
      <c r="P14830"/>
      <c r="Q14830" s="24"/>
      <c r="R14830"/>
      <c r="S14830"/>
      <c r="T14830"/>
      <c r="U14830"/>
      <c r="X14830" s="60"/>
    </row>
    <row r="14831" spans="7:24" ht="15" customHeight="1">
      <c r="G14831"/>
      <c r="I14831"/>
      <c r="N14831"/>
      <c r="O14831" s="24"/>
      <c r="P14831"/>
      <c r="Q14831" s="24"/>
      <c r="R14831"/>
      <c r="S14831"/>
      <c r="T14831"/>
      <c r="U14831"/>
      <c r="X14831" s="60"/>
    </row>
    <row r="14832" spans="7:24" ht="15" customHeight="1">
      <c r="G14832"/>
      <c r="I14832"/>
      <c r="N14832"/>
      <c r="O14832" s="24"/>
      <c r="P14832"/>
      <c r="Q14832" s="24"/>
      <c r="R14832"/>
      <c r="S14832"/>
      <c r="T14832"/>
      <c r="U14832"/>
      <c r="X14832" s="60"/>
    </row>
    <row r="14833" spans="7:24" ht="15" customHeight="1">
      <c r="G14833"/>
      <c r="I14833"/>
      <c r="N14833"/>
      <c r="O14833" s="24"/>
      <c r="P14833"/>
      <c r="Q14833" s="24"/>
      <c r="R14833"/>
      <c r="S14833"/>
      <c r="T14833"/>
      <c r="U14833"/>
      <c r="X14833" s="60"/>
    </row>
    <row r="14834" spans="7:24" ht="15" customHeight="1">
      <c r="G14834"/>
      <c r="I14834"/>
      <c r="N14834"/>
      <c r="O14834" s="24"/>
      <c r="P14834"/>
      <c r="Q14834" s="24"/>
      <c r="R14834"/>
      <c r="S14834"/>
      <c r="T14834"/>
      <c r="U14834"/>
      <c r="X14834" s="60"/>
    </row>
    <row r="14835" spans="7:24" ht="15" customHeight="1">
      <c r="G14835"/>
      <c r="I14835"/>
      <c r="N14835"/>
      <c r="O14835" s="24"/>
      <c r="P14835"/>
      <c r="Q14835" s="24"/>
      <c r="R14835"/>
      <c r="S14835"/>
      <c r="T14835"/>
      <c r="U14835"/>
      <c r="X14835" s="60"/>
    </row>
    <row r="14836" spans="7:24" ht="15" customHeight="1">
      <c r="G14836"/>
      <c r="I14836"/>
      <c r="N14836"/>
      <c r="O14836" s="24"/>
      <c r="P14836"/>
      <c r="Q14836" s="24"/>
      <c r="R14836"/>
      <c r="S14836"/>
      <c r="T14836"/>
      <c r="U14836"/>
      <c r="X14836" s="60"/>
    </row>
    <row r="14837" spans="7:24" ht="15" customHeight="1">
      <c r="G14837"/>
      <c r="I14837"/>
      <c r="N14837"/>
      <c r="O14837" s="24"/>
      <c r="P14837"/>
      <c r="Q14837" s="24"/>
      <c r="R14837"/>
      <c r="S14837"/>
      <c r="T14837"/>
      <c r="U14837"/>
      <c r="X14837" s="60"/>
    </row>
    <row r="14838" spans="7:24" ht="15" customHeight="1">
      <c r="G14838"/>
      <c r="I14838"/>
      <c r="N14838"/>
      <c r="O14838" s="24"/>
      <c r="P14838"/>
      <c r="Q14838" s="24"/>
      <c r="R14838"/>
      <c r="S14838"/>
      <c r="T14838"/>
      <c r="U14838"/>
      <c r="X14838" s="60"/>
    </row>
    <row r="14839" spans="7:24" ht="15" customHeight="1">
      <c r="G14839"/>
      <c r="I14839"/>
      <c r="N14839"/>
      <c r="O14839" s="24"/>
      <c r="P14839"/>
      <c r="Q14839" s="24"/>
      <c r="R14839"/>
      <c r="S14839"/>
      <c r="T14839"/>
      <c r="U14839"/>
      <c r="X14839" s="60"/>
    </row>
    <row r="14840" spans="7:24" ht="15" customHeight="1">
      <c r="G14840"/>
      <c r="I14840"/>
      <c r="N14840"/>
      <c r="O14840" s="24"/>
      <c r="P14840"/>
      <c r="Q14840" s="24"/>
      <c r="R14840"/>
      <c r="S14840"/>
      <c r="T14840"/>
      <c r="U14840"/>
      <c r="X14840" s="60"/>
    </row>
    <row r="14841" spans="7:24" ht="15" customHeight="1">
      <c r="G14841"/>
      <c r="I14841"/>
      <c r="N14841"/>
      <c r="O14841" s="24"/>
      <c r="P14841"/>
      <c r="Q14841" s="24"/>
      <c r="R14841"/>
      <c r="S14841"/>
      <c r="T14841"/>
      <c r="U14841"/>
      <c r="X14841" s="60"/>
    </row>
    <row r="14842" spans="7:24" ht="15" customHeight="1">
      <c r="G14842"/>
      <c r="I14842"/>
      <c r="N14842"/>
      <c r="O14842" s="24"/>
      <c r="P14842"/>
      <c r="Q14842" s="24"/>
      <c r="R14842"/>
      <c r="S14842"/>
      <c r="T14842"/>
      <c r="U14842"/>
      <c r="X14842" s="60"/>
    </row>
    <row r="14843" spans="7:24" ht="15" customHeight="1">
      <c r="G14843"/>
      <c r="I14843"/>
      <c r="N14843"/>
      <c r="O14843" s="24"/>
      <c r="P14843"/>
      <c r="Q14843" s="24"/>
      <c r="R14843"/>
      <c r="S14843"/>
      <c r="T14843"/>
      <c r="U14843"/>
      <c r="X14843" s="60"/>
    </row>
    <row r="14844" spans="7:24" ht="15" customHeight="1">
      <c r="G14844"/>
      <c r="I14844"/>
      <c r="N14844"/>
      <c r="O14844" s="24"/>
      <c r="P14844"/>
      <c r="Q14844" s="24"/>
      <c r="R14844"/>
      <c r="S14844"/>
      <c r="T14844"/>
      <c r="U14844"/>
      <c r="X14844" s="60"/>
    </row>
    <row r="14845" spans="7:24" ht="15" customHeight="1">
      <c r="G14845"/>
      <c r="I14845"/>
      <c r="N14845"/>
      <c r="O14845" s="24"/>
      <c r="P14845"/>
      <c r="Q14845" s="24"/>
      <c r="R14845"/>
      <c r="S14845"/>
      <c r="T14845"/>
      <c r="U14845"/>
      <c r="X14845" s="60"/>
    </row>
    <row r="14846" spans="7:24" ht="15" customHeight="1">
      <c r="G14846"/>
      <c r="I14846"/>
      <c r="N14846"/>
      <c r="O14846" s="24"/>
      <c r="P14846"/>
      <c r="Q14846" s="24"/>
      <c r="R14846"/>
      <c r="S14846"/>
      <c r="T14846"/>
      <c r="U14846"/>
      <c r="X14846" s="60"/>
    </row>
    <row r="14847" spans="7:24" ht="15" customHeight="1">
      <c r="G14847"/>
      <c r="I14847"/>
      <c r="N14847"/>
      <c r="O14847" s="24"/>
      <c r="P14847"/>
      <c r="Q14847" s="24"/>
      <c r="R14847"/>
      <c r="S14847"/>
      <c r="T14847"/>
      <c r="U14847"/>
      <c r="X14847" s="60"/>
    </row>
    <row r="14848" spans="7:24" ht="15" customHeight="1">
      <c r="G14848"/>
      <c r="I14848"/>
      <c r="N14848"/>
      <c r="O14848" s="24"/>
      <c r="P14848"/>
      <c r="Q14848" s="24"/>
      <c r="R14848"/>
      <c r="S14848"/>
      <c r="T14848"/>
      <c r="U14848"/>
      <c r="X14848" s="60"/>
    </row>
    <row r="14849" spans="7:24" ht="15" customHeight="1">
      <c r="G14849"/>
      <c r="I14849"/>
      <c r="N14849"/>
      <c r="O14849" s="24"/>
      <c r="P14849"/>
      <c r="Q14849" s="24"/>
      <c r="R14849"/>
      <c r="S14849"/>
      <c r="T14849"/>
      <c r="U14849"/>
      <c r="X14849" s="60"/>
    </row>
    <row r="14850" spans="7:24" ht="15" customHeight="1">
      <c r="G14850"/>
      <c r="I14850"/>
      <c r="N14850"/>
      <c r="O14850" s="24"/>
      <c r="P14850"/>
      <c r="Q14850" s="24"/>
      <c r="R14850"/>
      <c r="S14850"/>
      <c r="T14850"/>
      <c r="U14850"/>
      <c r="X14850" s="60"/>
    </row>
    <row r="14851" spans="7:24" ht="15" customHeight="1">
      <c r="G14851"/>
      <c r="I14851"/>
      <c r="N14851"/>
      <c r="O14851" s="24"/>
      <c r="P14851"/>
      <c r="Q14851" s="24"/>
      <c r="R14851"/>
      <c r="S14851"/>
      <c r="T14851"/>
      <c r="U14851"/>
      <c r="X14851" s="60"/>
    </row>
    <row r="14852" spans="7:24" ht="15" customHeight="1">
      <c r="G14852"/>
      <c r="I14852"/>
      <c r="N14852"/>
      <c r="O14852" s="24"/>
      <c r="P14852"/>
      <c r="Q14852" s="24"/>
      <c r="R14852"/>
      <c r="S14852"/>
      <c r="T14852"/>
      <c r="U14852"/>
      <c r="X14852" s="60"/>
    </row>
    <row r="14853" spans="7:24" ht="15" customHeight="1">
      <c r="G14853"/>
      <c r="I14853"/>
      <c r="N14853"/>
      <c r="O14853" s="24"/>
      <c r="P14853"/>
      <c r="Q14853" s="24"/>
      <c r="R14853"/>
      <c r="S14853"/>
      <c r="T14853"/>
      <c r="U14853"/>
      <c r="X14853" s="60"/>
    </row>
    <row r="14854" spans="7:24" ht="15" customHeight="1">
      <c r="G14854"/>
      <c r="I14854"/>
      <c r="N14854"/>
      <c r="O14854" s="24"/>
      <c r="P14854"/>
      <c r="Q14854" s="24"/>
      <c r="R14854"/>
      <c r="S14854"/>
      <c r="T14854"/>
      <c r="U14854"/>
      <c r="X14854" s="60"/>
    </row>
    <row r="14855" spans="7:24" ht="15" customHeight="1">
      <c r="G14855"/>
      <c r="I14855"/>
      <c r="N14855"/>
      <c r="O14855" s="24"/>
      <c r="P14855"/>
      <c r="Q14855" s="24"/>
      <c r="R14855"/>
      <c r="S14855"/>
      <c r="T14855"/>
      <c r="U14855"/>
      <c r="X14855" s="60"/>
    </row>
    <row r="14856" spans="7:24" ht="15" customHeight="1">
      <c r="G14856"/>
      <c r="I14856"/>
      <c r="N14856"/>
      <c r="O14856" s="24"/>
      <c r="P14856"/>
      <c r="Q14856" s="24"/>
      <c r="R14856"/>
      <c r="S14856"/>
      <c r="T14856"/>
      <c r="U14856"/>
      <c r="X14856" s="60"/>
    </row>
    <row r="14857" spans="7:24" ht="15" customHeight="1">
      <c r="G14857"/>
      <c r="I14857"/>
      <c r="N14857"/>
      <c r="O14857" s="24"/>
      <c r="P14857"/>
      <c r="Q14857" s="24"/>
      <c r="R14857"/>
      <c r="S14857"/>
      <c r="T14857"/>
      <c r="U14857"/>
      <c r="X14857" s="60"/>
    </row>
    <row r="14858" spans="7:24" ht="15" customHeight="1">
      <c r="G14858"/>
      <c r="I14858"/>
      <c r="N14858"/>
      <c r="O14858" s="24"/>
      <c r="P14858"/>
      <c r="Q14858" s="24"/>
      <c r="R14858"/>
      <c r="S14858"/>
      <c r="T14858"/>
      <c r="U14858"/>
      <c r="X14858" s="60"/>
    </row>
    <row r="14859" spans="7:24" ht="15" customHeight="1">
      <c r="G14859"/>
      <c r="I14859"/>
      <c r="N14859"/>
      <c r="O14859" s="24"/>
      <c r="P14859"/>
      <c r="Q14859" s="24"/>
      <c r="R14859"/>
      <c r="S14859"/>
      <c r="T14859"/>
      <c r="U14859"/>
      <c r="X14859" s="60"/>
    </row>
    <row r="14860" spans="7:24" ht="15" customHeight="1">
      <c r="G14860"/>
      <c r="I14860"/>
      <c r="N14860"/>
      <c r="O14860" s="24"/>
      <c r="P14860"/>
      <c r="Q14860" s="24"/>
      <c r="R14860"/>
      <c r="S14860"/>
      <c r="T14860"/>
      <c r="U14860"/>
      <c r="X14860" s="60"/>
    </row>
    <row r="14861" spans="7:24" ht="15" customHeight="1">
      <c r="G14861"/>
      <c r="I14861"/>
      <c r="N14861"/>
      <c r="O14861" s="24"/>
      <c r="P14861"/>
      <c r="Q14861" s="24"/>
      <c r="R14861"/>
      <c r="S14861"/>
      <c r="T14861"/>
      <c r="U14861"/>
      <c r="X14861" s="60"/>
    </row>
    <row r="14862" spans="7:24" ht="15" customHeight="1">
      <c r="G14862"/>
      <c r="I14862"/>
      <c r="N14862"/>
      <c r="O14862" s="24"/>
      <c r="P14862"/>
      <c r="Q14862" s="24"/>
      <c r="R14862"/>
      <c r="S14862"/>
      <c r="T14862"/>
      <c r="U14862"/>
      <c r="X14862" s="60"/>
    </row>
    <row r="14863" spans="7:24" ht="15" customHeight="1">
      <c r="G14863"/>
      <c r="I14863"/>
      <c r="N14863"/>
      <c r="O14863" s="24"/>
      <c r="P14863"/>
      <c r="Q14863" s="24"/>
      <c r="R14863"/>
      <c r="S14863"/>
      <c r="T14863"/>
      <c r="U14863"/>
      <c r="X14863" s="60"/>
    </row>
    <row r="14864" spans="7:24" ht="15" customHeight="1">
      <c r="G14864"/>
      <c r="I14864"/>
      <c r="N14864"/>
      <c r="O14864" s="24"/>
      <c r="P14864"/>
      <c r="Q14864" s="24"/>
      <c r="R14864"/>
      <c r="S14864"/>
      <c r="T14864"/>
      <c r="U14864"/>
      <c r="X14864" s="60"/>
    </row>
    <row r="14865" spans="7:24" ht="15" customHeight="1">
      <c r="G14865"/>
      <c r="I14865"/>
      <c r="N14865"/>
      <c r="O14865" s="24"/>
      <c r="P14865"/>
      <c r="Q14865" s="24"/>
      <c r="R14865"/>
      <c r="S14865"/>
      <c r="T14865"/>
      <c r="U14865"/>
      <c r="X14865" s="60"/>
    </row>
    <row r="14866" spans="7:24" ht="15" customHeight="1">
      <c r="G14866"/>
      <c r="I14866"/>
      <c r="N14866"/>
      <c r="O14866" s="24"/>
      <c r="P14866"/>
      <c r="Q14866" s="24"/>
      <c r="R14866"/>
      <c r="S14866"/>
      <c r="T14866"/>
      <c r="U14866"/>
      <c r="X14866" s="60"/>
    </row>
    <row r="14867" spans="7:24" ht="15" customHeight="1">
      <c r="G14867"/>
      <c r="I14867"/>
      <c r="N14867"/>
      <c r="O14867" s="24"/>
      <c r="P14867"/>
      <c r="Q14867" s="24"/>
      <c r="R14867"/>
      <c r="S14867"/>
      <c r="T14867"/>
      <c r="U14867"/>
      <c r="X14867" s="60"/>
    </row>
    <row r="14868" spans="7:24" ht="15" customHeight="1">
      <c r="G14868"/>
      <c r="I14868"/>
      <c r="N14868"/>
      <c r="O14868" s="24"/>
      <c r="P14868"/>
      <c r="Q14868" s="24"/>
      <c r="R14868"/>
      <c r="S14868"/>
      <c r="T14868"/>
      <c r="U14868"/>
      <c r="X14868" s="60"/>
    </row>
    <row r="14869" spans="7:24" ht="15" customHeight="1">
      <c r="G14869"/>
      <c r="I14869"/>
      <c r="N14869"/>
      <c r="O14869" s="24"/>
      <c r="P14869"/>
      <c r="Q14869" s="24"/>
      <c r="R14869"/>
      <c r="S14869"/>
      <c r="T14869"/>
      <c r="U14869"/>
      <c r="X14869" s="60"/>
    </row>
    <row r="14870" spans="7:24" ht="15" customHeight="1">
      <c r="G14870"/>
      <c r="I14870"/>
      <c r="N14870"/>
      <c r="O14870" s="24"/>
      <c r="P14870"/>
      <c r="Q14870" s="24"/>
      <c r="R14870"/>
      <c r="S14870"/>
      <c r="T14870"/>
      <c r="U14870"/>
      <c r="X14870" s="60"/>
    </row>
    <row r="14871" spans="7:24" ht="15" customHeight="1">
      <c r="G14871"/>
      <c r="I14871"/>
      <c r="N14871"/>
      <c r="O14871" s="24"/>
      <c r="P14871"/>
      <c r="Q14871" s="24"/>
      <c r="R14871"/>
      <c r="S14871"/>
      <c r="T14871"/>
      <c r="U14871"/>
      <c r="X14871" s="60"/>
    </row>
    <row r="14872" spans="7:24" ht="15" customHeight="1">
      <c r="G14872"/>
      <c r="I14872"/>
      <c r="N14872"/>
      <c r="O14872" s="24"/>
      <c r="P14872"/>
      <c r="Q14872" s="24"/>
      <c r="R14872"/>
      <c r="S14872"/>
      <c r="T14872"/>
      <c r="U14872"/>
      <c r="X14872" s="60"/>
    </row>
    <row r="14873" spans="7:24" ht="15" customHeight="1">
      <c r="G14873"/>
      <c r="I14873"/>
      <c r="N14873"/>
      <c r="O14873" s="24"/>
      <c r="P14873"/>
      <c r="Q14873" s="24"/>
      <c r="R14873"/>
      <c r="S14873"/>
      <c r="T14873"/>
      <c r="U14873"/>
      <c r="X14873" s="60"/>
    </row>
    <row r="14874" spans="7:24" ht="15" customHeight="1">
      <c r="G14874"/>
      <c r="I14874"/>
      <c r="N14874"/>
      <c r="O14874" s="24"/>
      <c r="P14874"/>
      <c r="Q14874" s="24"/>
      <c r="R14874"/>
      <c r="S14874"/>
      <c r="T14874"/>
      <c r="U14874"/>
      <c r="X14874" s="60"/>
    </row>
    <row r="14875" spans="7:24" ht="15" customHeight="1">
      <c r="G14875"/>
      <c r="I14875"/>
      <c r="N14875"/>
      <c r="O14875" s="24"/>
      <c r="P14875"/>
      <c r="Q14875" s="24"/>
      <c r="R14875"/>
      <c r="S14875"/>
      <c r="T14875"/>
      <c r="U14875"/>
      <c r="X14875" s="60"/>
    </row>
    <row r="14876" spans="7:24" ht="15" customHeight="1">
      <c r="G14876"/>
      <c r="I14876"/>
      <c r="N14876"/>
      <c r="O14876" s="24"/>
      <c r="P14876"/>
      <c r="Q14876" s="24"/>
      <c r="R14876"/>
      <c r="S14876"/>
      <c r="T14876"/>
      <c r="U14876"/>
      <c r="X14876" s="60"/>
    </row>
    <row r="14877" spans="7:24" ht="15" customHeight="1">
      <c r="G14877"/>
      <c r="I14877"/>
      <c r="N14877"/>
      <c r="O14877" s="24"/>
      <c r="P14877"/>
      <c r="Q14877" s="24"/>
      <c r="R14877"/>
      <c r="S14877"/>
      <c r="T14877"/>
      <c r="U14877"/>
      <c r="X14877" s="60"/>
    </row>
    <row r="14878" spans="7:24" ht="15" customHeight="1">
      <c r="G14878"/>
      <c r="I14878"/>
      <c r="N14878"/>
      <c r="O14878" s="24"/>
      <c r="P14878"/>
      <c r="Q14878" s="24"/>
      <c r="R14878"/>
      <c r="S14878"/>
      <c r="T14878"/>
      <c r="U14878"/>
      <c r="X14878" s="60"/>
    </row>
    <row r="14879" spans="7:24" ht="15" customHeight="1">
      <c r="G14879"/>
      <c r="I14879"/>
      <c r="N14879"/>
      <c r="O14879" s="24"/>
      <c r="P14879"/>
      <c r="Q14879" s="24"/>
      <c r="R14879"/>
      <c r="S14879"/>
      <c r="T14879"/>
      <c r="U14879"/>
      <c r="X14879" s="60"/>
    </row>
    <row r="14880" spans="7:24" ht="15" customHeight="1">
      <c r="G14880"/>
      <c r="I14880"/>
      <c r="N14880"/>
      <c r="O14880" s="24"/>
      <c r="P14880"/>
      <c r="Q14880" s="24"/>
      <c r="R14880"/>
      <c r="S14880"/>
      <c r="T14880"/>
      <c r="U14880"/>
      <c r="X14880" s="60"/>
    </row>
    <row r="14881" spans="7:24" ht="15" customHeight="1">
      <c r="G14881"/>
      <c r="I14881"/>
      <c r="N14881"/>
      <c r="O14881" s="24"/>
      <c r="P14881"/>
      <c r="Q14881" s="24"/>
      <c r="R14881"/>
      <c r="S14881"/>
      <c r="T14881"/>
      <c r="U14881"/>
      <c r="X14881" s="60"/>
    </row>
    <row r="14882" spans="7:24" ht="15" customHeight="1">
      <c r="G14882"/>
      <c r="I14882"/>
      <c r="N14882"/>
      <c r="O14882" s="24"/>
      <c r="P14882"/>
      <c r="Q14882" s="24"/>
      <c r="R14882"/>
      <c r="S14882"/>
      <c r="T14882"/>
      <c r="U14882"/>
      <c r="X14882" s="60"/>
    </row>
    <row r="14883" spans="7:24" ht="15" customHeight="1">
      <c r="G14883"/>
      <c r="I14883"/>
      <c r="N14883"/>
      <c r="O14883" s="24"/>
      <c r="P14883"/>
      <c r="Q14883" s="24"/>
      <c r="R14883"/>
      <c r="S14883"/>
      <c r="T14883"/>
      <c r="U14883"/>
      <c r="X14883" s="60"/>
    </row>
    <row r="14884" spans="7:24" ht="15" customHeight="1">
      <c r="G14884"/>
      <c r="I14884"/>
      <c r="N14884"/>
      <c r="O14884" s="24"/>
      <c r="P14884"/>
      <c r="Q14884" s="24"/>
      <c r="R14884"/>
      <c r="S14884"/>
      <c r="T14884"/>
      <c r="U14884"/>
      <c r="X14884" s="60"/>
    </row>
    <row r="14885" spans="7:24" ht="15" customHeight="1">
      <c r="G14885"/>
      <c r="I14885"/>
      <c r="N14885"/>
      <c r="O14885" s="24"/>
      <c r="P14885"/>
      <c r="Q14885" s="24"/>
      <c r="R14885"/>
      <c r="S14885"/>
      <c r="T14885"/>
      <c r="U14885"/>
      <c r="X14885" s="60"/>
    </row>
    <row r="14886" spans="7:24" ht="15" customHeight="1">
      <c r="G14886"/>
      <c r="I14886"/>
      <c r="N14886"/>
      <c r="O14886" s="24"/>
      <c r="P14886"/>
      <c r="Q14886" s="24"/>
      <c r="R14886"/>
      <c r="S14886"/>
      <c r="T14886"/>
      <c r="U14886"/>
      <c r="X14886" s="60"/>
    </row>
    <row r="14887" spans="7:24" ht="15" customHeight="1">
      <c r="G14887"/>
      <c r="I14887"/>
      <c r="N14887"/>
      <c r="O14887" s="24"/>
      <c r="P14887"/>
      <c r="Q14887" s="24"/>
      <c r="R14887"/>
      <c r="S14887"/>
      <c r="T14887"/>
      <c r="U14887"/>
      <c r="X14887" s="60"/>
    </row>
    <row r="14888" spans="7:24" ht="15" customHeight="1">
      <c r="G14888"/>
      <c r="I14888"/>
      <c r="N14888"/>
      <c r="O14888" s="24"/>
      <c r="P14888"/>
      <c r="Q14888" s="24"/>
      <c r="R14888"/>
      <c r="S14888"/>
      <c r="T14888"/>
      <c r="U14888"/>
      <c r="X14888" s="60"/>
    </row>
    <row r="14889" spans="7:24" ht="15" customHeight="1">
      <c r="G14889"/>
      <c r="I14889"/>
      <c r="N14889"/>
      <c r="O14889" s="24"/>
      <c r="P14889"/>
      <c r="Q14889" s="24"/>
      <c r="R14889"/>
      <c r="S14889"/>
      <c r="T14889"/>
      <c r="U14889"/>
      <c r="X14889" s="60"/>
    </row>
    <row r="14890" spans="7:24" ht="15" customHeight="1">
      <c r="G14890"/>
      <c r="I14890"/>
      <c r="N14890"/>
      <c r="O14890" s="24"/>
      <c r="P14890"/>
      <c r="Q14890" s="24"/>
      <c r="R14890"/>
      <c r="S14890"/>
      <c r="T14890"/>
      <c r="U14890"/>
      <c r="X14890" s="60"/>
    </row>
    <row r="14891" spans="7:24" ht="15" customHeight="1">
      <c r="G14891"/>
      <c r="I14891"/>
      <c r="N14891"/>
      <c r="O14891" s="24"/>
      <c r="P14891"/>
      <c r="Q14891" s="24"/>
      <c r="R14891"/>
      <c r="S14891"/>
      <c r="T14891"/>
      <c r="U14891"/>
      <c r="X14891" s="60"/>
    </row>
    <row r="14892" spans="7:24" ht="15" customHeight="1">
      <c r="G14892"/>
      <c r="I14892"/>
      <c r="N14892"/>
      <c r="O14892" s="24"/>
      <c r="P14892"/>
      <c r="Q14892" s="24"/>
      <c r="R14892"/>
      <c r="S14892"/>
      <c r="T14892"/>
      <c r="U14892"/>
      <c r="X14892" s="60"/>
    </row>
    <row r="14893" spans="7:24" ht="15" customHeight="1">
      <c r="G14893"/>
      <c r="I14893"/>
      <c r="N14893"/>
      <c r="O14893" s="24"/>
      <c r="P14893"/>
      <c r="Q14893" s="24"/>
      <c r="R14893"/>
      <c r="S14893"/>
      <c r="T14893"/>
      <c r="U14893"/>
      <c r="X14893" s="60"/>
    </row>
    <row r="14894" spans="7:24" ht="15" customHeight="1">
      <c r="G14894"/>
      <c r="I14894"/>
      <c r="N14894"/>
      <c r="O14894" s="24"/>
      <c r="P14894"/>
      <c r="Q14894" s="24"/>
      <c r="R14894"/>
      <c r="S14894"/>
      <c r="T14894"/>
      <c r="U14894"/>
      <c r="X14894" s="60"/>
    </row>
    <row r="14895" spans="7:24" ht="15" customHeight="1">
      <c r="G14895"/>
      <c r="I14895"/>
      <c r="N14895"/>
      <c r="O14895" s="24"/>
      <c r="P14895"/>
      <c r="Q14895" s="24"/>
      <c r="R14895"/>
      <c r="S14895"/>
      <c r="T14895"/>
      <c r="U14895"/>
      <c r="X14895" s="60"/>
    </row>
    <row r="14896" spans="7:24" ht="15" customHeight="1">
      <c r="G14896"/>
      <c r="I14896"/>
      <c r="N14896"/>
      <c r="O14896" s="24"/>
      <c r="P14896"/>
      <c r="Q14896" s="24"/>
      <c r="R14896"/>
      <c r="S14896"/>
      <c r="T14896"/>
      <c r="U14896"/>
      <c r="X14896" s="60"/>
    </row>
    <row r="14897" spans="7:24" ht="15" customHeight="1">
      <c r="G14897"/>
      <c r="I14897"/>
      <c r="N14897"/>
      <c r="O14897" s="24"/>
      <c r="P14897"/>
      <c r="Q14897" s="24"/>
      <c r="R14897"/>
      <c r="S14897"/>
      <c r="T14897"/>
      <c r="U14897"/>
      <c r="X14897" s="60"/>
    </row>
    <row r="14898" spans="7:24" ht="15" customHeight="1">
      <c r="G14898"/>
      <c r="I14898"/>
      <c r="N14898"/>
      <c r="O14898" s="24"/>
      <c r="P14898"/>
      <c r="Q14898" s="24"/>
      <c r="R14898"/>
      <c r="S14898"/>
      <c r="T14898"/>
      <c r="U14898"/>
      <c r="X14898" s="60"/>
    </row>
    <row r="14899" spans="7:24" ht="15" customHeight="1">
      <c r="G14899"/>
      <c r="I14899"/>
      <c r="N14899"/>
      <c r="O14899" s="24"/>
      <c r="P14899"/>
      <c r="Q14899" s="24"/>
      <c r="R14899"/>
      <c r="S14899"/>
      <c r="T14899"/>
      <c r="U14899"/>
      <c r="X14899" s="60"/>
    </row>
    <row r="14900" spans="7:24" ht="15" customHeight="1">
      <c r="G14900"/>
      <c r="I14900"/>
      <c r="N14900"/>
      <c r="O14900" s="24"/>
      <c r="P14900"/>
      <c r="Q14900" s="24"/>
      <c r="R14900"/>
      <c r="S14900"/>
      <c r="T14900"/>
      <c r="U14900"/>
      <c r="X14900" s="60"/>
    </row>
    <row r="14901" spans="7:24" ht="15" customHeight="1">
      <c r="G14901"/>
      <c r="I14901"/>
      <c r="N14901"/>
      <c r="O14901" s="24"/>
      <c r="P14901"/>
      <c r="Q14901" s="24"/>
      <c r="R14901"/>
      <c r="S14901"/>
      <c r="T14901"/>
      <c r="U14901"/>
      <c r="X14901" s="60"/>
    </row>
    <row r="14902" spans="7:24" ht="15" customHeight="1">
      <c r="G14902"/>
      <c r="I14902"/>
      <c r="N14902"/>
      <c r="O14902" s="24"/>
      <c r="P14902"/>
      <c r="Q14902" s="24"/>
      <c r="R14902"/>
      <c r="S14902"/>
      <c r="T14902"/>
      <c r="U14902"/>
      <c r="X14902" s="60"/>
    </row>
    <row r="14903" spans="7:24" ht="15" customHeight="1">
      <c r="G14903"/>
      <c r="I14903"/>
      <c r="N14903"/>
      <c r="O14903" s="24"/>
      <c r="P14903"/>
      <c r="Q14903" s="24"/>
      <c r="R14903"/>
      <c r="S14903"/>
      <c r="T14903"/>
      <c r="U14903"/>
      <c r="X14903" s="60"/>
    </row>
    <row r="14904" spans="7:24" ht="15" customHeight="1">
      <c r="G14904"/>
      <c r="I14904"/>
      <c r="N14904"/>
      <c r="O14904" s="24"/>
      <c r="P14904"/>
      <c r="Q14904" s="24"/>
      <c r="R14904"/>
      <c r="S14904"/>
      <c r="T14904"/>
      <c r="U14904"/>
      <c r="X14904" s="60"/>
    </row>
    <row r="14905" spans="7:24" ht="15" customHeight="1">
      <c r="G14905"/>
      <c r="I14905"/>
      <c r="N14905"/>
      <c r="O14905" s="24"/>
      <c r="P14905"/>
      <c r="Q14905" s="24"/>
      <c r="R14905"/>
      <c r="S14905"/>
      <c r="T14905"/>
      <c r="U14905"/>
      <c r="X14905" s="60"/>
    </row>
    <row r="14906" spans="7:24" ht="15" customHeight="1">
      <c r="G14906"/>
      <c r="I14906"/>
      <c r="N14906"/>
      <c r="O14906" s="24"/>
      <c r="P14906"/>
      <c r="Q14906" s="24"/>
      <c r="R14906"/>
      <c r="S14906"/>
      <c r="T14906"/>
      <c r="U14906"/>
      <c r="X14906" s="60"/>
    </row>
    <row r="14907" spans="7:24" ht="15" customHeight="1">
      <c r="G14907"/>
      <c r="I14907"/>
      <c r="N14907"/>
      <c r="O14907" s="24"/>
      <c r="P14907"/>
      <c r="Q14907" s="24"/>
      <c r="R14907"/>
      <c r="S14907"/>
      <c r="T14907"/>
      <c r="U14907"/>
      <c r="X14907" s="60"/>
    </row>
    <row r="14908" spans="7:24" ht="15" customHeight="1">
      <c r="G14908"/>
      <c r="I14908"/>
      <c r="N14908"/>
      <c r="O14908" s="24"/>
      <c r="P14908"/>
      <c r="Q14908" s="24"/>
      <c r="R14908"/>
      <c r="S14908"/>
      <c r="T14908"/>
      <c r="U14908"/>
      <c r="X14908" s="60"/>
    </row>
    <row r="14909" spans="7:24" ht="15" customHeight="1">
      <c r="G14909"/>
      <c r="I14909"/>
      <c r="N14909"/>
      <c r="O14909" s="24"/>
      <c r="P14909"/>
      <c r="Q14909" s="24"/>
      <c r="R14909"/>
      <c r="S14909"/>
      <c r="T14909"/>
      <c r="U14909"/>
      <c r="X14909" s="60"/>
    </row>
    <row r="14910" spans="7:24" ht="15" customHeight="1">
      <c r="G14910"/>
      <c r="I14910"/>
      <c r="N14910"/>
      <c r="O14910" s="24"/>
      <c r="P14910"/>
      <c r="Q14910" s="24"/>
      <c r="R14910"/>
      <c r="S14910"/>
      <c r="T14910"/>
      <c r="U14910"/>
      <c r="X14910" s="60"/>
    </row>
    <row r="14911" spans="7:24" ht="15" customHeight="1">
      <c r="G14911"/>
      <c r="I14911"/>
      <c r="N14911"/>
      <c r="O14911" s="24"/>
      <c r="P14911"/>
      <c r="Q14911" s="24"/>
      <c r="R14911"/>
      <c r="S14911"/>
      <c r="T14911"/>
      <c r="U14911"/>
      <c r="X14911" s="60"/>
    </row>
    <row r="14912" spans="7:24" ht="15" customHeight="1">
      <c r="G14912"/>
      <c r="I14912"/>
      <c r="N14912"/>
      <c r="O14912" s="24"/>
      <c r="P14912"/>
      <c r="Q14912" s="24"/>
      <c r="R14912"/>
      <c r="S14912"/>
      <c r="T14912"/>
      <c r="U14912"/>
      <c r="X14912" s="60"/>
    </row>
    <row r="14913" spans="7:24" ht="15" customHeight="1">
      <c r="G14913"/>
      <c r="I14913"/>
      <c r="N14913"/>
      <c r="O14913" s="24"/>
      <c r="P14913"/>
      <c r="Q14913" s="24"/>
      <c r="R14913"/>
      <c r="S14913"/>
      <c r="T14913"/>
      <c r="U14913"/>
      <c r="X14913" s="60"/>
    </row>
    <row r="14914" spans="7:24" ht="15" customHeight="1">
      <c r="G14914"/>
      <c r="I14914"/>
      <c r="N14914"/>
      <c r="O14914" s="24"/>
      <c r="P14914"/>
      <c r="Q14914" s="24"/>
      <c r="R14914"/>
      <c r="S14914"/>
      <c r="T14914"/>
      <c r="U14914"/>
      <c r="X14914" s="60"/>
    </row>
    <row r="14915" spans="7:24" ht="15" customHeight="1">
      <c r="G14915"/>
      <c r="I14915"/>
      <c r="N14915"/>
      <c r="O14915" s="24"/>
      <c r="P14915"/>
      <c r="Q14915" s="24"/>
      <c r="R14915"/>
      <c r="S14915"/>
      <c r="T14915"/>
      <c r="U14915"/>
      <c r="X14915" s="60"/>
    </row>
    <row r="14916" spans="7:24" ht="15" customHeight="1">
      <c r="G14916"/>
      <c r="I14916"/>
      <c r="N14916"/>
      <c r="O14916" s="24"/>
      <c r="P14916"/>
      <c r="Q14916" s="24"/>
      <c r="R14916"/>
      <c r="S14916"/>
      <c r="T14916"/>
      <c r="U14916"/>
      <c r="X14916" s="60"/>
    </row>
    <row r="14917" spans="7:24" ht="15" customHeight="1">
      <c r="G14917"/>
      <c r="I14917"/>
      <c r="N14917"/>
      <c r="O14917" s="24"/>
      <c r="P14917"/>
      <c r="Q14917" s="24"/>
      <c r="R14917"/>
      <c r="S14917"/>
      <c r="T14917"/>
      <c r="U14917"/>
      <c r="X14917" s="60"/>
    </row>
    <row r="14918" spans="7:24" ht="15" customHeight="1">
      <c r="G14918"/>
      <c r="I14918"/>
      <c r="N14918"/>
      <c r="O14918" s="24"/>
      <c r="P14918"/>
      <c r="Q14918" s="24"/>
      <c r="R14918"/>
      <c r="S14918"/>
      <c r="T14918"/>
      <c r="U14918"/>
      <c r="X14918" s="60"/>
    </row>
    <row r="14919" spans="7:24" ht="15" customHeight="1">
      <c r="G14919"/>
      <c r="I14919"/>
      <c r="N14919"/>
      <c r="O14919" s="24"/>
      <c r="P14919"/>
      <c r="Q14919" s="24"/>
      <c r="R14919"/>
      <c r="S14919"/>
      <c r="T14919"/>
      <c r="U14919"/>
      <c r="X14919" s="60"/>
    </row>
    <row r="14920" spans="7:24" ht="15" customHeight="1">
      <c r="G14920"/>
      <c r="I14920"/>
      <c r="N14920"/>
      <c r="O14920" s="24"/>
      <c r="P14920"/>
      <c r="Q14920" s="24"/>
      <c r="R14920"/>
      <c r="S14920"/>
      <c r="T14920"/>
      <c r="U14920"/>
      <c r="X14920" s="60"/>
    </row>
    <row r="14921" spans="7:24" ht="15" customHeight="1">
      <c r="G14921"/>
      <c r="I14921"/>
      <c r="N14921"/>
      <c r="O14921" s="24"/>
      <c r="P14921"/>
      <c r="Q14921" s="24"/>
      <c r="R14921"/>
      <c r="S14921"/>
      <c r="T14921"/>
      <c r="U14921"/>
      <c r="X14921" s="60"/>
    </row>
    <row r="14922" spans="7:24" ht="15" customHeight="1">
      <c r="G14922"/>
      <c r="I14922"/>
      <c r="N14922"/>
      <c r="O14922" s="24"/>
      <c r="P14922"/>
      <c r="Q14922" s="24"/>
      <c r="R14922"/>
      <c r="S14922"/>
      <c r="T14922"/>
      <c r="U14922"/>
      <c r="X14922" s="60"/>
    </row>
    <row r="14923" spans="7:24" ht="15" customHeight="1">
      <c r="G14923"/>
      <c r="I14923"/>
      <c r="N14923"/>
      <c r="O14923" s="24"/>
      <c r="P14923"/>
      <c r="Q14923" s="24"/>
      <c r="R14923"/>
      <c r="S14923"/>
      <c r="T14923"/>
      <c r="U14923"/>
      <c r="X14923" s="60"/>
    </row>
    <row r="14924" spans="7:24" ht="15" customHeight="1">
      <c r="G14924"/>
      <c r="I14924"/>
      <c r="N14924"/>
      <c r="O14924" s="24"/>
      <c r="P14924"/>
      <c r="Q14924" s="24"/>
      <c r="R14924"/>
      <c r="S14924"/>
      <c r="T14924"/>
      <c r="U14924"/>
      <c r="X14924" s="60"/>
    </row>
    <row r="14925" spans="7:24" ht="15" customHeight="1">
      <c r="G14925"/>
      <c r="I14925"/>
      <c r="N14925"/>
      <c r="O14925" s="24"/>
      <c r="P14925"/>
      <c r="Q14925" s="24"/>
      <c r="R14925"/>
      <c r="S14925"/>
      <c r="T14925"/>
      <c r="U14925"/>
      <c r="X14925" s="60"/>
    </row>
    <row r="14926" spans="7:24" ht="15" customHeight="1">
      <c r="G14926"/>
      <c r="I14926"/>
      <c r="N14926"/>
      <c r="O14926" s="24"/>
      <c r="P14926"/>
      <c r="Q14926" s="24"/>
      <c r="R14926"/>
      <c r="S14926"/>
      <c r="T14926"/>
      <c r="U14926"/>
      <c r="X14926" s="60"/>
    </row>
    <row r="14927" spans="7:24" ht="15" customHeight="1">
      <c r="G14927"/>
      <c r="I14927"/>
      <c r="N14927"/>
      <c r="O14927" s="24"/>
      <c r="P14927"/>
      <c r="Q14927" s="24"/>
      <c r="R14927"/>
      <c r="S14927"/>
      <c r="T14927"/>
      <c r="U14927"/>
      <c r="X14927" s="60"/>
    </row>
    <row r="14928" spans="7:24" ht="15" customHeight="1">
      <c r="G14928"/>
      <c r="I14928"/>
      <c r="N14928"/>
      <c r="O14928" s="24"/>
      <c r="P14928"/>
      <c r="Q14928" s="24"/>
      <c r="R14928"/>
      <c r="S14928"/>
      <c r="T14928"/>
      <c r="U14928"/>
      <c r="X14928" s="60"/>
    </row>
    <row r="14929" spans="7:24" ht="15" customHeight="1">
      <c r="G14929"/>
      <c r="I14929"/>
      <c r="N14929"/>
      <c r="O14929" s="24"/>
      <c r="P14929"/>
      <c r="Q14929" s="24"/>
      <c r="R14929"/>
      <c r="S14929"/>
      <c r="T14929"/>
      <c r="U14929"/>
      <c r="X14929" s="60"/>
    </row>
    <row r="14930" spans="7:24" ht="15" customHeight="1">
      <c r="G14930"/>
      <c r="I14930"/>
      <c r="N14930"/>
      <c r="O14930" s="24"/>
      <c r="P14930"/>
      <c r="Q14930" s="24"/>
      <c r="R14930"/>
      <c r="S14930"/>
      <c r="T14930"/>
      <c r="U14930"/>
      <c r="X14930" s="60"/>
    </row>
    <row r="14931" spans="7:24" ht="15" customHeight="1">
      <c r="G14931"/>
      <c r="I14931"/>
      <c r="N14931"/>
      <c r="O14931" s="24"/>
      <c r="P14931"/>
      <c r="Q14931" s="24"/>
      <c r="R14931"/>
      <c r="S14931"/>
      <c r="T14931"/>
      <c r="U14931"/>
      <c r="X14931" s="60"/>
    </row>
    <row r="14932" spans="7:24" ht="15" customHeight="1">
      <c r="G14932"/>
      <c r="I14932"/>
      <c r="N14932"/>
      <c r="O14932" s="24"/>
      <c r="P14932"/>
      <c r="Q14932" s="24"/>
      <c r="R14932"/>
      <c r="S14932"/>
      <c r="T14932"/>
      <c r="U14932"/>
      <c r="X14932" s="60"/>
    </row>
    <row r="14933" spans="7:24" ht="15" customHeight="1">
      <c r="G14933"/>
      <c r="I14933"/>
      <c r="N14933"/>
      <c r="O14933" s="24"/>
      <c r="P14933"/>
      <c r="Q14933" s="24"/>
      <c r="R14933"/>
      <c r="S14933"/>
      <c r="T14933"/>
      <c r="U14933"/>
      <c r="X14933" s="60"/>
    </row>
    <row r="14934" spans="7:24" ht="15" customHeight="1">
      <c r="G14934"/>
      <c r="I14934"/>
      <c r="N14934"/>
      <c r="O14934" s="24"/>
      <c r="P14934"/>
      <c r="Q14934" s="24"/>
      <c r="R14934"/>
      <c r="S14934"/>
      <c r="T14934"/>
      <c r="U14934"/>
      <c r="X14934" s="60"/>
    </row>
    <row r="14935" spans="7:24" ht="15" customHeight="1">
      <c r="G14935"/>
      <c r="I14935"/>
      <c r="N14935"/>
      <c r="O14935" s="24"/>
      <c r="P14935"/>
      <c r="Q14935" s="24"/>
      <c r="R14935"/>
      <c r="S14935"/>
      <c r="T14935"/>
      <c r="U14935"/>
      <c r="X14935" s="60"/>
    </row>
    <row r="14936" spans="7:24" ht="15" customHeight="1">
      <c r="G14936"/>
      <c r="I14936"/>
      <c r="N14936"/>
      <c r="O14936" s="24"/>
      <c r="P14936"/>
      <c r="Q14936" s="24"/>
      <c r="R14936"/>
      <c r="S14936"/>
      <c r="T14936"/>
      <c r="U14936"/>
      <c r="X14936" s="60"/>
    </row>
    <row r="14937" spans="7:24" ht="15" customHeight="1">
      <c r="G14937"/>
      <c r="I14937"/>
      <c r="N14937"/>
      <c r="O14937" s="24"/>
      <c r="P14937"/>
      <c r="Q14937" s="24"/>
      <c r="R14937"/>
      <c r="S14937"/>
      <c r="T14937"/>
      <c r="U14937"/>
      <c r="X14937" s="60"/>
    </row>
    <row r="14938" spans="7:24" ht="15" customHeight="1">
      <c r="G14938"/>
      <c r="I14938"/>
      <c r="N14938"/>
      <c r="O14938" s="24"/>
      <c r="P14938"/>
      <c r="Q14938" s="24"/>
      <c r="R14938"/>
      <c r="S14938"/>
      <c r="T14938"/>
      <c r="U14938"/>
      <c r="X14938" s="60"/>
    </row>
    <row r="14939" spans="7:24" ht="15" customHeight="1">
      <c r="G14939"/>
      <c r="I14939"/>
      <c r="N14939"/>
      <c r="O14939" s="24"/>
      <c r="P14939"/>
      <c r="Q14939" s="24"/>
      <c r="R14939"/>
      <c r="S14939"/>
      <c r="T14939"/>
      <c r="U14939"/>
      <c r="X14939" s="60"/>
    </row>
    <row r="14940" spans="7:24" ht="15" customHeight="1">
      <c r="G14940"/>
      <c r="I14940"/>
      <c r="N14940"/>
      <c r="O14940" s="24"/>
      <c r="P14940"/>
      <c r="Q14940" s="24"/>
      <c r="R14940"/>
      <c r="S14940"/>
      <c r="T14940"/>
      <c r="U14940"/>
      <c r="X14940" s="60"/>
    </row>
    <row r="14941" spans="7:24" ht="15" customHeight="1">
      <c r="G14941"/>
      <c r="I14941"/>
      <c r="N14941"/>
      <c r="O14941" s="24"/>
      <c r="P14941"/>
      <c r="Q14941" s="24"/>
      <c r="R14941"/>
      <c r="S14941"/>
      <c r="T14941"/>
      <c r="U14941"/>
      <c r="X14941" s="60"/>
    </row>
    <row r="14942" spans="7:24" ht="15" customHeight="1">
      <c r="G14942"/>
      <c r="I14942"/>
      <c r="N14942"/>
      <c r="O14942" s="24"/>
      <c r="P14942"/>
      <c r="Q14942" s="24"/>
      <c r="R14942"/>
      <c r="S14942"/>
      <c r="T14942"/>
      <c r="U14942"/>
      <c r="X14942" s="60"/>
    </row>
    <row r="14943" spans="7:24" ht="15" customHeight="1">
      <c r="G14943"/>
      <c r="I14943"/>
      <c r="N14943"/>
      <c r="O14943" s="24"/>
      <c r="P14943"/>
      <c r="Q14943" s="24"/>
      <c r="R14943"/>
      <c r="S14943"/>
      <c r="T14943"/>
      <c r="U14943"/>
      <c r="X14943" s="60"/>
    </row>
    <row r="14944" spans="7:24" ht="15" customHeight="1">
      <c r="G14944"/>
      <c r="I14944"/>
      <c r="N14944"/>
      <c r="O14944" s="24"/>
      <c r="P14944"/>
      <c r="Q14944" s="24"/>
      <c r="R14944"/>
      <c r="S14944"/>
      <c r="T14944"/>
      <c r="U14944"/>
      <c r="X14944" s="60"/>
    </row>
    <row r="14945" spans="7:24" ht="15" customHeight="1">
      <c r="G14945"/>
      <c r="I14945"/>
      <c r="N14945"/>
      <c r="O14945" s="24"/>
      <c r="P14945"/>
      <c r="Q14945" s="24"/>
      <c r="R14945"/>
      <c r="S14945"/>
      <c r="T14945"/>
      <c r="U14945"/>
      <c r="X14945" s="60"/>
    </row>
    <row r="14946" spans="7:24" ht="15" customHeight="1">
      <c r="G14946"/>
      <c r="I14946"/>
      <c r="N14946"/>
      <c r="O14946" s="24"/>
      <c r="P14946"/>
      <c r="Q14946" s="24"/>
      <c r="R14946"/>
      <c r="S14946"/>
      <c r="T14946"/>
      <c r="U14946"/>
      <c r="X14946" s="60"/>
    </row>
    <row r="14947" spans="7:24" ht="15" customHeight="1">
      <c r="G14947"/>
      <c r="I14947"/>
      <c r="N14947"/>
      <c r="O14947" s="24"/>
      <c r="P14947"/>
      <c r="Q14947" s="24"/>
      <c r="R14947"/>
      <c r="S14947"/>
      <c r="T14947"/>
      <c r="U14947"/>
      <c r="X14947" s="60"/>
    </row>
    <row r="14948" spans="7:24" ht="15" customHeight="1">
      <c r="G14948"/>
      <c r="I14948"/>
      <c r="N14948"/>
      <c r="O14948" s="24"/>
      <c r="P14948"/>
      <c r="Q14948" s="24"/>
      <c r="R14948"/>
      <c r="S14948"/>
      <c r="T14948"/>
      <c r="U14948"/>
      <c r="X14948" s="60"/>
    </row>
    <row r="14949" spans="7:24" ht="15" customHeight="1">
      <c r="G14949"/>
      <c r="I14949"/>
      <c r="N14949"/>
      <c r="O14949" s="24"/>
      <c r="P14949"/>
      <c r="Q14949" s="24"/>
      <c r="R14949"/>
      <c r="S14949"/>
      <c r="T14949"/>
      <c r="U14949"/>
      <c r="X14949" s="60"/>
    </row>
    <row r="14950" spans="7:24" ht="15" customHeight="1">
      <c r="G14950"/>
      <c r="I14950"/>
      <c r="N14950"/>
      <c r="O14950" s="24"/>
      <c r="P14950"/>
      <c r="Q14950" s="24"/>
      <c r="R14950"/>
      <c r="S14950"/>
      <c r="T14950"/>
      <c r="U14950"/>
      <c r="X14950" s="60"/>
    </row>
    <row r="14951" spans="7:24" ht="15" customHeight="1">
      <c r="G14951"/>
      <c r="I14951"/>
      <c r="N14951"/>
      <c r="O14951" s="24"/>
      <c r="P14951"/>
      <c r="Q14951" s="24"/>
      <c r="R14951"/>
      <c r="S14951"/>
      <c r="T14951"/>
      <c r="U14951"/>
      <c r="X14951" s="60"/>
    </row>
    <row r="14952" spans="7:24" ht="15" customHeight="1">
      <c r="G14952"/>
      <c r="I14952"/>
      <c r="N14952"/>
      <c r="O14952" s="24"/>
      <c r="P14952"/>
      <c r="Q14952" s="24"/>
      <c r="R14952"/>
      <c r="S14952"/>
      <c r="T14952"/>
      <c r="U14952"/>
      <c r="X14952" s="60"/>
    </row>
    <row r="14953" spans="7:24" ht="15" customHeight="1">
      <c r="G14953"/>
      <c r="I14953"/>
      <c r="N14953"/>
      <c r="O14953" s="24"/>
      <c r="P14953"/>
      <c r="Q14953" s="24"/>
      <c r="R14953"/>
      <c r="S14953"/>
      <c r="T14953"/>
      <c r="U14953"/>
      <c r="X14953" s="60"/>
    </row>
    <row r="14954" spans="7:24" ht="15" customHeight="1">
      <c r="G14954"/>
      <c r="I14954"/>
      <c r="N14954"/>
      <c r="O14954" s="24"/>
      <c r="P14954"/>
      <c r="Q14954" s="24"/>
      <c r="R14954"/>
      <c r="S14954"/>
      <c r="T14954"/>
      <c r="U14954"/>
      <c r="X14954" s="60"/>
    </row>
    <row r="14955" spans="7:24" ht="15" customHeight="1">
      <c r="G14955"/>
      <c r="I14955"/>
      <c r="N14955"/>
      <c r="O14955" s="24"/>
      <c r="P14955"/>
      <c r="Q14955" s="24"/>
      <c r="R14955"/>
      <c r="S14955"/>
      <c r="T14955"/>
      <c r="U14955"/>
      <c r="X14955" s="60"/>
    </row>
    <row r="14956" spans="7:24" ht="15" customHeight="1">
      <c r="G14956"/>
      <c r="I14956"/>
      <c r="N14956"/>
      <c r="O14956" s="24"/>
      <c r="P14956"/>
      <c r="Q14956" s="24"/>
      <c r="R14956"/>
      <c r="S14956"/>
      <c r="T14956"/>
      <c r="U14956"/>
      <c r="X14956" s="60"/>
    </row>
    <row r="14957" spans="7:24" ht="15" customHeight="1">
      <c r="G14957"/>
      <c r="I14957"/>
      <c r="N14957"/>
      <c r="O14957" s="24"/>
      <c r="P14957"/>
      <c r="Q14957" s="24"/>
      <c r="R14957"/>
      <c r="S14957"/>
      <c r="T14957"/>
      <c r="U14957"/>
      <c r="X14957" s="60"/>
    </row>
    <row r="14958" spans="7:24" ht="15" customHeight="1">
      <c r="G14958"/>
      <c r="I14958"/>
      <c r="N14958"/>
      <c r="O14958" s="24"/>
      <c r="P14958"/>
      <c r="Q14958" s="24"/>
      <c r="R14958"/>
      <c r="S14958"/>
      <c r="T14958"/>
      <c r="U14958"/>
      <c r="X14958" s="60"/>
    </row>
    <row r="14959" spans="7:24" ht="15" customHeight="1">
      <c r="G14959"/>
      <c r="I14959"/>
      <c r="N14959"/>
      <c r="O14959" s="24"/>
      <c r="P14959"/>
      <c r="Q14959" s="24"/>
      <c r="R14959"/>
      <c r="S14959"/>
      <c r="T14959"/>
      <c r="U14959"/>
      <c r="X14959" s="60"/>
    </row>
    <row r="14960" spans="7:24" ht="15" customHeight="1">
      <c r="G14960"/>
      <c r="I14960"/>
      <c r="N14960"/>
      <c r="O14960" s="24"/>
      <c r="P14960"/>
      <c r="Q14960" s="24"/>
      <c r="R14960"/>
      <c r="S14960"/>
      <c r="T14960"/>
      <c r="U14960"/>
      <c r="X14960" s="60"/>
    </row>
    <row r="14961" spans="7:24" ht="15" customHeight="1">
      <c r="G14961"/>
      <c r="I14961"/>
      <c r="N14961"/>
      <c r="O14961" s="24"/>
      <c r="P14961"/>
      <c r="Q14961" s="24"/>
      <c r="R14961"/>
      <c r="S14961"/>
      <c r="T14961"/>
      <c r="U14961"/>
      <c r="X14961" s="60"/>
    </row>
    <row r="14962" spans="7:24" ht="15" customHeight="1">
      <c r="G14962"/>
      <c r="I14962"/>
      <c r="N14962"/>
      <c r="O14962" s="24"/>
      <c r="P14962"/>
      <c r="Q14962" s="24"/>
      <c r="R14962"/>
      <c r="S14962"/>
      <c r="T14962"/>
      <c r="U14962"/>
      <c r="X14962" s="60"/>
    </row>
    <row r="14963" spans="7:24" ht="15" customHeight="1">
      <c r="G14963"/>
      <c r="I14963"/>
      <c r="N14963"/>
      <c r="O14963" s="24"/>
      <c r="P14963"/>
      <c r="Q14963" s="24"/>
      <c r="R14963"/>
      <c r="S14963"/>
      <c r="T14963"/>
      <c r="U14963"/>
      <c r="X14963" s="60"/>
    </row>
    <row r="14964" spans="7:24" ht="15" customHeight="1">
      <c r="G14964"/>
      <c r="I14964"/>
      <c r="N14964"/>
      <c r="O14964" s="24"/>
      <c r="P14964"/>
      <c r="Q14964" s="24"/>
      <c r="R14964"/>
      <c r="S14964"/>
      <c r="T14964"/>
      <c r="U14964"/>
      <c r="X14964" s="60"/>
    </row>
    <row r="14965" spans="7:24" ht="15" customHeight="1">
      <c r="G14965"/>
      <c r="I14965"/>
      <c r="N14965"/>
      <c r="O14965" s="24"/>
      <c r="P14965"/>
      <c r="Q14965" s="24"/>
      <c r="R14965"/>
      <c r="S14965"/>
      <c r="T14965"/>
      <c r="U14965"/>
      <c r="X14965" s="60"/>
    </row>
    <row r="14966" spans="7:24" ht="15" customHeight="1">
      <c r="G14966"/>
      <c r="I14966"/>
      <c r="N14966"/>
      <c r="O14966" s="24"/>
      <c r="P14966"/>
      <c r="Q14966" s="24"/>
      <c r="R14966"/>
      <c r="S14966"/>
      <c r="T14966"/>
      <c r="U14966"/>
      <c r="X14966" s="60"/>
    </row>
    <row r="14967" spans="7:24" ht="15" customHeight="1">
      <c r="G14967"/>
      <c r="I14967"/>
      <c r="N14967"/>
      <c r="O14967" s="24"/>
      <c r="P14967"/>
      <c r="Q14967" s="24"/>
      <c r="R14967"/>
      <c r="S14967"/>
      <c r="T14967"/>
      <c r="U14967"/>
      <c r="X14967" s="60"/>
    </row>
    <row r="14968" spans="7:24" ht="15" customHeight="1">
      <c r="G14968"/>
      <c r="I14968"/>
      <c r="N14968"/>
      <c r="O14968" s="24"/>
      <c r="P14968"/>
      <c r="Q14968" s="24"/>
      <c r="R14968"/>
      <c r="S14968"/>
      <c r="T14968"/>
      <c r="U14968"/>
      <c r="X14968" s="60"/>
    </row>
    <row r="14969" spans="7:24" ht="15" customHeight="1">
      <c r="G14969"/>
      <c r="I14969"/>
      <c r="N14969"/>
      <c r="O14969" s="24"/>
      <c r="P14969"/>
      <c r="Q14969" s="24"/>
      <c r="R14969"/>
      <c r="S14969"/>
      <c r="T14969"/>
      <c r="U14969"/>
      <c r="X14969" s="60"/>
    </row>
    <row r="14970" spans="7:24" ht="15" customHeight="1">
      <c r="G14970"/>
      <c r="I14970"/>
      <c r="N14970"/>
      <c r="O14970" s="24"/>
      <c r="P14970"/>
      <c r="Q14970" s="24"/>
      <c r="R14970"/>
      <c r="S14970"/>
      <c r="T14970"/>
      <c r="U14970"/>
      <c r="X14970" s="60"/>
    </row>
    <row r="14971" spans="7:24" ht="15" customHeight="1">
      <c r="G14971"/>
      <c r="I14971"/>
      <c r="N14971"/>
      <c r="O14971" s="24"/>
      <c r="P14971"/>
      <c r="Q14971" s="24"/>
      <c r="R14971"/>
      <c r="S14971"/>
      <c r="T14971"/>
      <c r="U14971"/>
      <c r="X14971" s="60"/>
    </row>
    <row r="14972" spans="7:24" ht="15" customHeight="1">
      <c r="G14972"/>
      <c r="I14972"/>
      <c r="N14972"/>
      <c r="O14972" s="24"/>
      <c r="P14972"/>
      <c r="Q14972" s="24"/>
      <c r="R14972"/>
      <c r="S14972"/>
      <c r="T14972"/>
      <c r="U14972"/>
      <c r="X14972" s="60"/>
    </row>
    <row r="14973" spans="7:24" ht="15" customHeight="1">
      <c r="G14973"/>
      <c r="I14973"/>
      <c r="N14973"/>
      <c r="O14973" s="24"/>
      <c r="P14973"/>
      <c r="Q14973" s="24"/>
      <c r="R14973"/>
      <c r="S14973"/>
      <c r="T14973"/>
      <c r="U14973"/>
      <c r="X14973" s="60"/>
    </row>
    <row r="14974" spans="7:24" ht="15" customHeight="1">
      <c r="G14974"/>
      <c r="I14974"/>
      <c r="N14974"/>
      <c r="O14974" s="24"/>
      <c r="P14974"/>
      <c r="Q14974" s="24"/>
      <c r="R14974"/>
      <c r="S14974"/>
      <c r="T14974"/>
      <c r="U14974"/>
      <c r="X14974" s="60"/>
    </row>
    <row r="14975" spans="7:24" ht="15" customHeight="1">
      <c r="G14975"/>
      <c r="I14975"/>
      <c r="N14975"/>
      <c r="O14975" s="24"/>
      <c r="P14975"/>
      <c r="Q14975" s="24"/>
      <c r="R14975"/>
      <c r="S14975"/>
      <c r="T14975"/>
      <c r="U14975"/>
      <c r="X14975" s="60"/>
    </row>
    <row r="14976" spans="7:24" ht="15" customHeight="1">
      <c r="G14976"/>
      <c r="I14976"/>
      <c r="N14976"/>
      <c r="O14976" s="24"/>
      <c r="P14976"/>
      <c r="Q14976" s="24"/>
      <c r="R14976"/>
      <c r="S14976"/>
      <c r="T14976"/>
      <c r="U14976"/>
      <c r="X14976" s="60"/>
    </row>
    <row r="14977" spans="7:24" ht="15" customHeight="1">
      <c r="G14977"/>
      <c r="I14977"/>
      <c r="N14977"/>
      <c r="O14977" s="24"/>
      <c r="P14977"/>
      <c r="Q14977" s="24"/>
      <c r="R14977"/>
      <c r="S14977"/>
      <c r="T14977"/>
      <c r="U14977"/>
      <c r="X14977" s="60"/>
    </row>
    <row r="14978" spans="7:24" ht="15" customHeight="1">
      <c r="G14978"/>
      <c r="I14978"/>
      <c r="N14978"/>
      <c r="O14978" s="24"/>
      <c r="P14978"/>
      <c r="Q14978" s="24"/>
      <c r="R14978"/>
      <c r="S14978"/>
      <c r="T14978"/>
      <c r="U14978"/>
      <c r="X14978" s="60"/>
    </row>
    <row r="14979" spans="7:24" ht="15" customHeight="1">
      <c r="G14979"/>
      <c r="I14979"/>
      <c r="N14979"/>
      <c r="O14979" s="24"/>
      <c r="P14979"/>
      <c r="Q14979" s="24"/>
      <c r="R14979"/>
      <c r="S14979"/>
      <c r="T14979"/>
      <c r="U14979"/>
      <c r="X14979" s="60"/>
    </row>
    <row r="14980" spans="7:24" ht="15" customHeight="1">
      <c r="G14980"/>
      <c r="I14980"/>
      <c r="N14980"/>
      <c r="O14980" s="24"/>
      <c r="P14980"/>
      <c r="Q14980" s="24"/>
      <c r="R14980"/>
      <c r="S14980"/>
      <c r="T14980"/>
      <c r="U14980"/>
      <c r="X14980" s="60"/>
    </row>
    <row r="14981" spans="7:24" ht="15" customHeight="1">
      <c r="G14981"/>
      <c r="I14981"/>
      <c r="N14981"/>
      <c r="O14981" s="24"/>
      <c r="P14981"/>
      <c r="Q14981" s="24"/>
      <c r="R14981"/>
      <c r="S14981"/>
      <c r="T14981"/>
      <c r="U14981"/>
      <c r="X14981" s="60"/>
    </row>
    <row r="14982" spans="7:24" ht="15" customHeight="1">
      <c r="G14982"/>
      <c r="I14982"/>
      <c r="N14982"/>
      <c r="O14982" s="24"/>
      <c r="P14982"/>
      <c r="Q14982" s="24"/>
      <c r="R14982"/>
      <c r="S14982"/>
      <c r="T14982"/>
      <c r="U14982"/>
      <c r="X14982" s="60"/>
    </row>
    <row r="14983" spans="7:24" ht="15" customHeight="1">
      <c r="G14983"/>
      <c r="I14983"/>
      <c r="N14983"/>
      <c r="O14983" s="24"/>
      <c r="P14983"/>
      <c r="Q14983" s="24"/>
      <c r="R14983"/>
      <c r="S14983"/>
      <c r="T14983"/>
      <c r="U14983"/>
      <c r="X14983" s="60"/>
    </row>
    <row r="14984" spans="7:24" ht="15" customHeight="1">
      <c r="G14984"/>
      <c r="I14984"/>
      <c r="N14984"/>
      <c r="O14984" s="24"/>
      <c r="P14984"/>
      <c r="Q14984" s="24"/>
      <c r="R14984"/>
      <c r="S14984"/>
      <c r="T14984"/>
      <c r="U14984"/>
      <c r="X14984" s="60"/>
    </row>
    <row r="14985" spans="7:24" ht="15" customHeight="1">
      <c r="G14985"/>
      <c r="I14985"/>
      <c r="N14985"/>
      <c r="O14985" s="24"/>
      <c r="P14985"/>
      <c r="Q14985" s="24"/>
      <c r="R14985"/>
      <c r="S14985"/>
      <c r="T14985"/>
      <c r="U14985"/>
      <c r="X14985" s="60"/>
    </row>
    <row r="14986" spans="7:24" ht="15" customHeight="1">
      <c r="G14986"/>
      <c r="I14986"/>
      <c r="N14986"/>
      <c r="O14986" s="24"/>
      <c r="P14986"/>
      <c r="Q14986" s="24"/>
      <c r="R14986"/>
      <c r="S14986"/>
      <c r="T14986"/>
      <c r="U14986"/>
      <c r="X14986" s="60"/>
    </row>
    <row r="14987" spans="7:24" ht="15" customHeight="1">
      <c r="G14987"/>
      <c r="I14987"/>
      <c r="N14987"/>
      <c r="O14987" s="24"/>
      <c r="P14987"/>
      <c r="Q14987" s="24"/>
      <c r="R14987"/>
      <c r="S14987"/>
      <c r="T14987"/>
      <c r="U14987"/>
      <c r="X14987" s="60"/>
    </row>
    <row r="14988" spans="7:24" ht="15" customHeight="1">
      <c r="G14988"/>
      <c r="I14988"/>
      <c r="N14988"/>
      <c r="O14988" s="24"/>
      <c r="P14988"/>
      <c r="Q14988" s="24"/>
      <c r="R14988"/>
      <c r="S14988"/>
      <c r="T14988"/>
      <c r="U14988"/>
      <c r="X14988" s="60"/>
    </row>
    <row r="14989" spans="7:24" ht="15" customHeight="1">
      <c r="G14989"/>
      <c r="I14989"/>
      <c r="N14989"/>
      <c r="O14989" s="24"/>
      <c r="P14989"/>
      <c r="Q14989" s="24"/>
      <c r="R14989"/>
      <c r="S14989"/>
      <c r="T14989"/>
      <c r="U14989"/>
      <c r="X14989" s="60"/>
    </row>
    <row r="14990" spans="7:24" ht="15" customHeight="1">
      <c r="G14990"/>
      <c r="I14990"/>
      <c r="N14990"/>
      <c r="O14990" s="24"/>
      <c r="P14990"/>
      <c r="Q14990" s="24"/>
      <c r="R14990"/>
      <c r="S14990"/>
      <c r="T14990"/>
      <c r="U14990"/>
      <c r="X14990" s="60"/>
    </row>
    <row r="14991" spans="7:24" ht="15" customHeight="1">
      <c r="G14991"/>
      <c r="I14991"/>
      <c r="N14991"/>
      <c r="O14991" s="24"/>
      <c r="P14991"/>
      <c r="Q14991" s="24"/>
      <c r="R14991"/>
      <c r="S14991"/>
      <c r="T14991"/>
      <c r="U14991"/>
      <c r="X14991" s="60"/>
    </row>
    <row r="14992" spans="7:24" ht="15" customHeight="1">
      <c r="G14992"/>
      <c r="I14992"/>
      <c r="N14992"/>
      <c r="O14992" s="24"/>
      <c r="P14992"/>
      <c r="Q14992" s="24"/>
      <c r="R14992"/>
      <c r="S14992"/>
      <c r="T14992"/>
      <c r="U14992"/>
      <c r="X14992" s="60"/>
    </row>
    <row r="14993" spans="7:24" ht="15" customHeight="1">
      <c r="G14993"/>
      <c r="I14993"/>
      <c r="N14993"/>
      <c r="O14993" s="24"/>
      <c r="P14993"/>
      <c r="Q14993" s="24"/>
      <c r="R14993"/>
      <c r="S14993"/>
      <c r="T14993"/>
      <c r="U14993"/>
      <c r="X14993" s="60"/>
    </row>
    <row r="14994" spans="7:24" ht="15" customHeight="1">
      <c r="G14994"/>
      <c r="I14994"/>
      <c r="N14994"/>
      <c r="O14994" s="24"/>
      <c r="P14994"/>
      <c r="Q14994" s="24"/>
      <c r="R14994"/>
      <c r="S14994"/>
      <c r="T14994"/>
      <c r="U14994"/>
      <c r="X14994" s="60"/>
    </row>
    <row r="14995" spans="7:24" ht="15" customHeight="1">
      <c r="G14995"/>
      <c r="I14995"/>
      <c r="N14995"/>
      <c r="O14995" s="24"/>
      <c r="P14995"/>
      <c r="Q14995" s="24"/>
      <c r="R14995"/>
      <c r="S14995"/>
      <c r="T14995"/>
      <c r="U14995"/>
      <c r="X14995" s="60"/>
    </row>
    <row r="14996" spans="7:24" ht="15" customHeight="1">
      <c r="G14996"/>
      <c r="I14996"/>
      <c r="N14996"/>
      <c r="O14996" s="24"/>
      <c r="P14996"/>
      <c r="Q14996" s="24"/>
      <c r="R14996"/>
      <c r="S14996"/>
      <c r="T14996"/>
      <c r="U14996"/>
      <c r="X14996" s="60"/>
    </row>
    <row r="14997" spans="7:24" ht="15" customHeight="1">
      <c r="G14997"/>
      <c r="I14997"/>
      <c r="N14997"/>
      <c r="O14997" s="24"/>
      <c r="P14997"/>
      <c r="Q14997" s="24"/>
      <c r="R14997"/>
      <c r="S14997"/>
      <c r="T14997"/>
      <c r="U14997"/>
      <c r="X14997" s="60"/>
    </row>
    <row r="14998" spans="7:24" ht="15" customHeight="1">
      <c r="G14998"/>
      <c r="I14998"/>
      <c r="N14998"/>
      <c r="O14998" s="24"/>
      <c r="P14998"/>
      <c r="Q14998" s="24"/>
      <c r="R14998"/>
      <c r="S14998"/>
      <c r="T14998"/>
      <c r="U14998"/>
      <c r="X14998" s="60"/>
    </row>
    <row r="14999" spans="7:24" ht="15" customHeight="1">
      <c r="G14999"/>
      <c r="I14999"/>
      <c r="N14999"/>
      <c r="O14999" s="24"/>
      <c r="P14999"/>
      <c r="Q14999" s="24"/>
      <c r="R14999"/>
      <c r="S14999"/>
      <c r="T14999"/>
      <c r="U14999"/>
      <c r="X14999" s="60"/>
    </row>
    <row r="15000" spans="7:24" ht="15" customHeight="1">
      <c r="G15000"/>
      <c r="I15000"/>
      <c r="N15000"/>
      <c r="O15000" s="24"/>
      <c r="P15000"/>
      <c r="Q15000" s="24"/>
      <c r="R15000"/>
      <c r="S15000"/>
      <c r="T15000"/>
      <c r="U15000"/>
      <c r="X15000" s="60"/>
    </row>
    <row r="15001" spans="7:24" ht="15" customHeight="1">
      <c r="G15001"/>
      <c r="I15001"/>
      <c r="N15001"/>
      <c r="O15001" s="24"/>
      <c r="P15001"/>
      <c r="Q15001" s="24"/>
      <c r="R15001"/>
      <c r="S15001"/>
      <c r="T15001"/>
      <c r="U15001"/>
      <c r="X15001" s="60"/>
    </row>
    <row r="15002" spans="7:24" ht="15" customHeight="1">
      <c r="G15002"/>
      <c r="I15002"/>
      <c r="N15002"/>
      <c r="O15002" s="24"/>
      <c r="P15002"/>
      <c r="Q15002" s="24"/>
      <c r="R15002"/>
      <c r="S15002"/>
      <c r="T15002"/>
      <c r="U15002"/>
      <c r="X15002" s="60"/>
    </row>
    <row r="15003" spans="7:24" ht="15" customHeight="1">
      <c r="G15003"/>
      <c r="I15003"/>
      <c r="N15003"/>
      <c r="O15003" s="24"/>
      <c r="P15003"/>
      <c r="Q15003" s="24"/>
      <c r="R15003"/>
      <c r="S15003"/>
      <c r="T15003"/>
      <c r="U15003"/>
      <c r="X15003" s="60"/>
    </row>
    <row r="15004" spans="7:24" ht="15" customHeight="1">
      <c r="G15004"/>
      <c r="I15004"/>
      <c r="N15004"/>
      <c r="O15004" s="24"/>
      <c r="P15004"/>
      <c r="Q15004" s="24"/>
      <c r="R15004"/>
      <c r="S15004"/>
      <c r="T15004"/>
      <c r="U15004"/>
      <c r="X15004" s="60"/>
    </row>
    <row r="15005" spans="7:24" ht="15" customHeight="1">
      <c r="G15005"/>
      <c r="I15005"/>
      <c r="N15005"/>
      <c r="O15005" s="24"/>
      <c r="P15005"/>
      <c r="Q15005" s="24"/>
      <c r="R15005"/>
      <c r="S15005"/>
      <c r="T15005"/>
      <c r="U15005"/>
      <c r="X15005" s="60"/>
    </row>
    <row r="15006" spans="7:24" ht="15" customHeight="1">
      <c r="G15006"/>
      <c r="I15006"/>
      <c r="N15006"/>
      <c r="O15006" s="24"/>
      <c r="P15006"/>
      <c r="Q15006" s="24"/>
      <c r="R15006"/>
      <c r="S15006"/>
      <c r="T15006"/>
      <c r="U15006"/>
      <c r="X15006" s="60"/>
    </row>
    <row r="15007" spans="7:24" ht="15" customHeight="1">
      <c r="G15007"/>
      <c r="I15007"/>
      <c r="N15007"/>
      <c r="O15007" s="24"/>
      <c r="P15007"/>
      <c r="Q15007" s="24"/>
      <c r="R15007"/>
      <c r="S15007"/>
      <c r="T15007"/>
      <c r="U15007"/>
      <c r="X15007" s="60"/>
    </row>
    <row r="15008" spans="7:24" ht="15" customHeight="1">
      <c r="G15008"/>
      <c r="I15008"/>
      <c r="N15008"/>
      <c r="O15008" s="24"/>
      <c r="P15008"/>
      <c r="Q15008" s="24"/>
      <c r="R15008"/>
      <c r="S15008"/>
      <c r="T15008"/>
      <c r="U15008"/>
      <c r="X15008" s="60"/>
    </row>
    <row r="15009" spans="7:24" ht="15" customHeight="1">
      <c r="G15009"/>
      <c r="I15009"/>
      <c r="N15009"/>
      <c r="O15009" s="24"/>
      <c r="P15009"/>
      <c r="Q15009" s="24"/>
      <c r="R15009"/>
      <c r="S15009"/>
      <c r="T15009"/>
      <c r="U15009"/>
      <c r="X15009" s="60"/>
    </row>
    <row r="15010" spans="7:24" ht="15" customHeight="1">
      <c r="G15010"/>
      <c r="I15010"/>
      <c r="N15010"/>
      <c r="O15010" s="24"/>
      <c r="P15010"/>
      <c r="Q15010" s="24"/>
      <c r="R15010"/>
      <c r="S15010"/>
      <c r="T15010"/>
      <c r="U15010"/>
      <c r="X15010" s="60"/>
    </row>
    <row r="15011" spans="7:24" ht="15" customHeight="1">
      <c r="G15011"/>
      <c r="I15011"/>
      <c r="N15011"/>
      <c r="O15011" s="24"/>
      <c r="P15011"/>
      <c r="Q15011" s="24"/>
      <c r="R15011"/>
      <c r="S15011"/>
      <c r="T15011"/>
      <c r="U15011"/>
      <c r="X15011" s="60"/>
    </row>
    <row r="15012" spans="7:24" ht="15" customHeight="1">
      <c r="G15012"/>
      <c r="I15012"/>
      <c r="N15012"/>
      <c r="O15012" s="24"/>
      <c r="P15012"/>
      <c r="Q15012" s="24"/>
      <c r="R15012"/>
      <c r="S15012"/>
      <c r="T15012"/>
      <c r="U15012"/>
      <c r="X15012" s="60"/>
    </row>
    <row r="15013" spans="7:24" ht="15" customHeight="1">
      <c r="G15013"/>
      <c r="I15013"/>
      <c r="N15013"/>
      <c r="O15013" s="24"/>
      <c r="P15013"/>
      <c r="Q15013" s="24"/>
      <c r="R15013"/>
      <c r="S15013"/>
      <c r="T15013"/>
      <c r="U15013"/>
      <c r="X15013" s="60"/>
    </row>
    <row r="15014" spans="7:24" ht="15" customHeight="1">
      <c r="G15014"/>
      <c r="I15014"/>
      <c r="N15014"/>
      <c r="O15014" s="24"/>
      <c r="P15014"/>
      <c r="Q15014" s="24"/>
      <c r="R15014"/>
      <c r="S15014"/>
      <c r="T15014"/>
      <c r="U15014"/>
      <c r="X15014" s="60"/>
    </row>
    <row r="15015" spans="7:24" ht="15" customHeight="1">
      <c r="G15015"/>
      <c r="I15015"/>
      <c r="N15015"/>
      <c r="O15015" s="24"/>
      <c r="P15015"/>
      <c r="Q15015" s="24"/>
      <c r="R15015"/>
      <c r="S15015"/>
      <c r="T15015"/>
      <c r="U15015"/>
      <c r="X15015" s="60"/>
    </row>
    <row r="15016" spans="7:24" ht="15" customHeight="1">
      <c r="G15016"/>
      <c r="I15016"/>
      <c r="N15016"/>
      <c r="O15016" s="24"/>
      <c r="P15016"/>
      <c r="Q15016" s="24"/>
      <c r="R15016"/>
      <c r="S15016"/>
      <c r="T15016"/>
      <c r="U15016"/>
      <c r="X15016" s="60"/>
    </row>
    <row r="15017" spans="7:24" ht="15" customHeight="1">
      <c r="G15017"/>
      <c r="I15017"/>
      <c r="N15017"/>
      <c r="O15017" s="24"/>
      <c r="P15017"/>
      <c r="Q15017" s="24"/>
      <c r="R15017"/>
      <c r="S15017"/>
      <c r="T15017"/>
      <c r="U15017"/>
      <c r="X15017" s="60"/>
    </row>
    <row r="15018" spans="7:24" ht="15" customHeight="1">
      <c r="G15018"/>
      <c r="I15018"/>
      <c r="N15018"/>
      <c r="O15018" s="24"/>
      <c r="P15018"/>
      <c r="Q15018" s="24"/>
      <c r="R15018"/>
      <c r="S15018"/>
      <c r="T15018"/>
      <c r="U15018"/>
      <c r="X15018" s="60"/>
    </row>
    <row r="15019" spans="7:24" ht="15" customHeight="1">
      <c r="G15019"/>
      <c r="I15019"/>
      <c r="N15019"/>
      <c r="O15019" s="24"/>
      <c r="P15019"/>
      <c r="Q15019" s="24"/>
      <c r="R15019"/>
      <c r="S15019"/>
      <c r="T15019"/>
      <c r="U15019"/>
      <c r="X15019" s="60"/>
    </row>
    <row r="15020" spans="7:24" ht="15" customHeight="1">
      <c r="G15020"/>
      <c r="I15020"/>
      <c r="N15020"/>
      <c r="O15020" s="24"/>
      <c r="P15020"/>
      <c r="Q15020" s="24"/>
      <c r="R15020"/>
      <c r="S15020"/>
      <c r="T15020"/>
      <c r="U15020"/>
      <c r="X15020" s="60"/>
    </row>
    <row r="15021" spans="7:24" ht="15" customHeight="1">
      <c r="G15021"/>
      <c r="I15021"/>
      <c r="N15021"/>
      <c r="O15021" s="24"/>
      <c r="P15021"/>
      <c r="Q15021" s="24"/>
      <c r="R15021"/>
      <c r="S15021"/>
      <c r="T15021"/>
      <c r="U15021"/>
      <c r="X15021" s="60"/>
    </row>
    <row r="15022" spans="7:24" ht="15" customHeight="1">
      <c r="G15022"/>
      <c r="I15022"/>
      <c r="N15022"/>
      <c r="O15022" s="24"/>
      <c r="P15022"/>
      <c r="Q15022" s="24"/>
      <c r="R15022"/>
      <c r="S15022"/>
      <c r="T15022"/>
      <c r="U15022"/>
      <c r="X15022" s="60"/>
    </row>
    <row r="15023" spans="7:24" ht="15" customHeight="1">
      <c r="G15023"/>
      <c r="I15023"/>
      <c r="N15023"/>
      <c r="O15023" s="24"/>
      <c r="P15023"/>
      <c r="Q15023" s="24"/>
      <c r="R15023"/>
      <c r="S15023"/>
      <c r="T15023"/>
      <c r="U15023"/>
      <c r="X15023" s="60"/>
    </row>
    <row r="15024" spans="7:24" ht="15" customHeight="1">
      <c r="G15024"/>
      <c r="I15024"/>
      <c r="N15024"/>
      <c r="O15024" s="24"/>
      <c r="P15024"/>
      <c r="Q15024" s="24"/>
      <c r="R15024"/>
      <c r="S15024"/>
      <c r="T15024"/>
      <c r="U15024"/>
      <c r="X15024" s="60"/>
    </row>
    <row r="15025" spans="7:24" ht="15" customHeight="1">
      <c r="G15025"/>
      <c r="I15025"/>
      <c r="N15025"/>
      <c r="O15025" s="24"/>
      <c r="P15025"/>
      <c r="Q15025" s="24"/>
      <c r="R15025"/>
      <c r="S15025"/>
      <c r="T15025"/>
      <c r="U15025"/>
      <c r="X15025" s="60"/>
    </row>
    <row r="15026" spans="7:24" ht="15" customHeight="1">
      <c r="G15026"/>
      <c r="I15026"/>
      <c r="N15026"/>
      <c r="O15026" s="24"/>
      <c r="P15026"/>
      <c r="Q15026" s="24"/>
      <c r="R15026"/>
      <c r="S15026"/>
      <c r="T15026"/>
      <c r="U15026"/>
      <c r="X15026" s="60"/>
    </row>
    <row r="15027" spans="7:24" ht="15" customHeight="1">
      <c r="G15027"/>
      <c r="I15027"/>
      <c r="N15027"/>
      <c r="O15027" s="24"/>
      <c r="P15027"/>
      <c r="Q15027" s="24"/>
      <c r="R15027"/>
      <c r="S15027"/>
      <c r="T15027"/>
      <c r="U15027"/>
      <c r="X15027" s="60"/>
    </row>
    <row r="15028" spans="7:24" ht="15" customHeight="1">
      <c r="G15028"/>
      <c r="I15028"/>
      <c r="N15028"/>
      <c r="O15028" s="24"/>
      <c r="P15028"/>
      <c r="Q15028" s="24"/>
      <c r="R15028"/>
      <c r="S15028"/>
      <c r="T15028"/>
      <c r="U15028"/>
      <c r="X15028" s="60"/>
    </row>
    <row r="15029" spans="7:24" ht="15" customHeight="1">
      <c r="G15029"/>
      <c r="I15029"/>
      <c r="N15029"/>
      <c r="O15029" s="24"/>
      <c r="P15029"/>
      <c r="Q15029" s="24"/>
      <c r="R15029"/>
      <c r="S15029"/>
      <c r="T15029"/>
      <c r="U15029"/>
      <c r="X15029" s="60"/>
    </row>
    <row r="15030" spans="7:24" ht="15" customHeight="1">
      <c r="G15030"/>
      <c r="I15030"/>
      <c r="N15030"/>
      <c r="O15030" s="24"/>
      <c r="P15030"/>
      <c r="Q15030" s="24"/>
      <c r="R15030"/>
      <c r="S15030"/>
      <c r="T15030"/>
      <c r="U15030"/>
      <c r="X15030" s="60"/>
    </row>
    <row r="15031" spans="7:24" ht="15" customHeight="1">
      <c r="G15031"/>
      <c r="I15031"/>
      <c r="N15031"/>
      <c r="O15031" s="24"/>
      <c r="P15031"/>
      <c r="Q15031" s="24"/>
      <c r="R15031"/>
      <c r="S15031"/>
      <c r="T15031"/>
      <c r="U15031"/>
      <c r="X15031" s="60"/>
    </row>
    <row r="15032" spans="7:24" ht="15" customHeight="1">
      <c r="G15032"/>
      <c r="I15032"/>
      <c r="N15032"/>
      <c r="O15032" s="24"/>
      <c r="P15032"/>
      <c r="Q15032" s="24"/>
      <c r="R15032"/>
      <c r="S15032"/>
      <c r="T15032"/>
      <c r="U15032"/>
      <c r="X15032" s="60"/>
    </row>
    <row r="15033" spans="7:24" ht="15" customHeight="1">
      <c r="G15033"/>
      <c r="I15033"/>
      <c r="N15033"/>
      <c r="O15033" s="24"/>
      <c r="P15033"/>
      <c r="Q15033" s="24"/>
      <c r="R15033"/>
      <c r="S15033"/>
      <c r="T15033"/>
      <c r="U15033"/>
      <c r="X15033" s="60"/>
    </row>
    <row r="15034" spans="7:24" ht="15" customHeight="1">
      <c r="G15034"/>
      <c r="I15034"/>
      <c r="N15034"/>
      <c r="O15034" s="24"/>
      <c r="P15034"/>
      <c r="Q15034" s="24"/>
      <c r="R15034"/>
      <c r="S15034"/>
      <c r="T15034"/>
      <c r="U15034"/>
      <c r="X15034" s="60"/>
    </row>
    <row r="15035" spans="7:24" ht="15" customHeight="1">
      <c r="G15035"/>
      <c r="I15035"/>
      <c r="N15035"/>
      <c r="O15035" s="24"/>
      <c r="P15035"/>
      <c r="Q15035" s="24"/>
      <c r="R15035"/>
      <c r="S15035"/>
      <c r="T15035"/>
      <c r="U15035"/>
      <c r="X15035" s="60"/>
    </row>
    <row r="15036" spans="7:24" ht="15" customHeight="1">
      <c r="G15036"/>
      <c r="I15036"/>
      <c r="N15036"/>
      <c r="O15036" s="24"/>
      <c r="P15036"/>
      <c r="Q15036" s="24"/>
      <c r="R15036"/>
      <c r="S15036"/>
      <c r="T15036"/>
      <c r="U15036"/>
      <c r="X15036" s="60"/>
    </row>
    <row r="15037" spans="7:24" ht="15" customHeight="1">
      <c r="G15037"/>
      <c r="I15037"/>
      <c r="N15037"/>
      <c r="O15037" s="24"/>
      <c r="P15037"/>
      <c r="Q15037" s="24"/>
      <c r="R15037"/>
      <c r="S15037"/>
      <c r="T15037"/>
      <c r="U15037"/>
      <c r="X15037" s="60"/>
    </row>
    <row r="15038" spans="7:24" ht="15" customHeight="1">
      <c r="G15038"/>
      <c r="I15038"/>
      <c r="N15038"/>
      <c r="O15038" s="24"/>
      <c r="P15038"/>
      <c r="Q15038" s="24"/>
      <c r="R15038"/>
      <c r="S15038"/>
      <c r="T15038"/>
      <c r="U15038"/>
      <c r="X15038" s="60"/>
    </row>
    <row r="15039" spans="7:24" ht="15" customHeight="1">
      <c r="G15039"/>
      <c r="I15039"/>
      <c r="N15039"/>
      <c r="O15039" s="24"/>
      <c r="P15039"/>
      <c r="Q15039" s="24"/>
      <c r="R15039"/>
      <c r="S15039"/>
      <c r="T15039"/>
      <c r="U15039"/>
      <c r="X15039" s="60"/>
    </row>
    <row r="15040" spans="7:24" ht="15" customHeight="1">
      <c r="G15040"/>
      <c r="I15040"/>
      <c r="N15040"/>
      <c r="O15040" s="24"/>
      <c r="P15040"/>
      <c r="Q15040" s="24"/>
      <c r="R15040"/>
      <c r="S15040"/>
      <c r="T15040"/>
      <c r="U15040"/>
      <c r="X15040" s="60"/>
    </row>
    <row r="15041" spans="7:24" ht="15" customHeight="1">
      <c r="G15041"/>
      <c r="I15041"/>
      <c r="N15041"/>
      <c r="O15041" s="24"/>
      <c r="P15041"/>
      <c r="Q15041" s="24"/>
      <c r="R15041"/>
      <c r="S15041"/>
      <c r="T15041"/>
      <c r="U15041"/>
      <c r="X15041" s="60"/>
    </row>
    <row r="15042" spans="7:24" ht="15" customHeight="1">
      <c r="G15042"/>
      <c r="I15042"/>
      <c r="N15042"/>
      <c r="O15042" s="24"/>
      <c r="P15042"/>
      <c r="Q15042" s="24"/>
      <c r="R15042"/>
      <c r="S15042"/>
      <c r="T15042"/>
      <c r="U15042"/>
      <c r="X15042" s="60"/>
    </row>
    <row r="15043" spans="7:24" ht="15" customHeight="1">
      <c r="G15043"/>
      <c r="I15043"/>
      <c r="N15043"/>
      <c r="O15043" s="24"/>
      <c r="P15043"/>
      <c r="Q15043" s="24"/>
      <c r="R15043"/>
      <c r="S15043"/>
      <c r="T15043"/>
      <c r="U15043"/>
      <c r="X15043" s="60"/>
    </row>
    <row r="15044" spans="7:24" ht="15" customHeight="1">
      <c r="G15044"/>
      <c r="I15044"/>
      <c r="N15044"/>
      <c r="O15044" s="24"/>
      <c r="P15044"/>
      <c r="Q15044" s="24"/>
      <c r="R15044"/>
      <c r="S15044"/>
      <c r="T15044"/>
      <c r="U15044"/>
      <c r="X15044" s="60"/>
    </row>
    <row r="15045" spans="7:24" ht="15" customHeight="1">
      <c r="G15045"/>
      <c r="I15045"/>
      <c r="N15045"/>
      <c r="O15045" s="24"/>
      <c r="P15045"/>
      <c r="Q15045" s="24"/>
      <c r="R15045"/>
      <c r="S15045"/>
      <c r="T15045"/>
      <c r="U15045"/>
      <c r="X15045" s="60"/>
    </row>
    <row r="15046" spans="7:24" ht="15" customHeight="1">
      <c r="G15046"/>
      <c r="I15046"/>
      <c r="N15046"/>
      <c r="O15046" s="24"/>
      <c r="P15046"/>
      <c r="Q15046" s="24"/>
      <c r="R15046"/>
      <c r="S15046"/>
      <c r="T15046"/>
      <c r="U15046"/>
      <c r="X15046" s="60"/>
    </row>
    <row r="15047" spans="7:24" ht="15" customHeight="1">
      <c r="G15047"/>
      <c r="I15047"/>
      <c r="N15047"/>
      <c r="O15047" s="24"/>
      <c r="P15047"/>
      <c r="Q15047" s="24"/>
      <c r="R15047"/>
      <c r="S15047"/>
      <c r="T15047"/>
      <c r="U15047"/>
      <c r="X15047" s="60"/>
    </row>
    <row r="15048" spans="7:24" ht="15" customHeight="1">
      <c r="G15048"/>
      <c r="I15048"/>
      <c r="N15048"/>
      <c r="O15048" s="24"/>
      <c r="P15048"/>
      <c r="Q15048" s="24"/>
      <c r="R15048"/>
      <c r="S15048"/>
      <c r="T15048"/>
      <c r="U15048"/>
      <c r="X15048" s="60"/>
    </row>
    <row r="15049" spans="7:24" ht="15" customHeight="1">
      <c r="G15049"/>
      <c r="I15049"/>
      <c r="N15049"/>
      <c r="O15049" s="24"/>
      <c r="P15049"/>
      <c r="Q15049" s="24"/>
      <c r="R15049"/>
      <c r="S15049"/>
      <c r="T15049"/>
      <c r="U15049"/>
      <c r="X15049" s="60"/>
    </row>
    <row r="15050" spans="7:24" ht="15" customHeight="1">
      <c r="G15050"/>
      <c r="I15050"/>
      <c r="N15050"/>
      <c r="O15050" s="24"/>
      <c r="P15050"/>
      <c r="Q15050" s="24"/>
      <c r="R15050"/>
      <c r="S15050"/>
      <c r="T15050"/>
      <c r="U15050"/>
      <c r="X15050" s="60"/>
    </row>
    <row r="15051" spans="7:24" ht="15" customHeight="1">
      <c r="G15051"/>
      <c r="I15051"/>
      <c r="N15051"/>
      <c r="O15051" s="24"/>
      <c r="P15051"/>
      <c r="Q15051" s="24"/>
      <c r="R15051"/>
      <c r="S15051"/>
      <c r="T15051"/>
      <c r="U15051"/>
      <c r="X15051" s="60"/>
    </row>
    <row r="15052" spans="7:24" ht="15" customHeight="1">
      <c r="G15052"/>
      <c r="I15052"/>
      <c r="N15052"/>
      <c r="O15052" s="24"/>
      <c r="P15052"/>
      <c r="Q15052" s="24"/>
      <c r="R15052"/>
      <c r="S15052"/>
      <c r="T15052"/>
      <c r="U15052"/>
      <c r="X15052" s="60"/>
    </row>
    <row r="15053" spans="7:24" ht="15" customHeight="1">
      <c r="G15053"/>
      <c r="I15053"/>
      <c r="N15053"/>
      <c r="O15053" s="24"/>
      <c r="P15053"/>
      <c r="Q15053" s="24"/>
      <c r="R15053"/>
      <c r="S15053"/>
      <c r="T15053"/>
      <c r="U15053"/>
      <c r="X15053" s="60"/>
    </row>
    <row r="15054" spans="7:24" ht="15" customHeight="1">
      <c r="G15054"/>
      <c r="I15054"/>
      <c r="N15054"/>
      <c r="O15054" s="24"/>
      <c r="P15054"/>
      <c r="Q15054" s="24"/>
      <c r="R15054"/>
      <c r="S15054"/>
      <c r="T15054"/>
      <c r="U15054"/>
      <c r="X15054" s="60"/>
    </row>
    <row r="15055" spans="7:24" ht="15" customHeight="1">
      <c r="G15055"/>
      <c r="I15055"/>
      <c r="N15055"/>
      <c r="O15055" s="24"/>
      <c r="P15055"/>
      <c r="Q15055" s="24"/>
      <c r="R15055"/>
      <c r="S15055"/>
      <c r="T15055"/>
      <c r="U15055"/>
      <c r="X15055" s="60"/>
    </row>
    <row r="15056" spans="7:24" ht="15" customHeight="1">
      <c r="G15056"/>
      <c r="I15056"/>
      <c r="N15056"/>
      <c r="O15056" s="24"/>
      <c r="P15056"/>
      <c r="Q15056" s="24"/>
      <c r="R15056"/>
      <c r="S15056"/>
      <c r="T15056"/>
      <c r="U15056"/>
      <c r="X15056" s="60"/>
    </row>
    <row r="15057" spans="7:24" ht="15" customHeight="1">
      <c r="G15057"/>
      <c r="I15057"/>
      <c r="N15057"/>
      <c r="O15057" s="24"/>
      <c r="P15057"/>
      <c r="Q15057" s="24"/>
      <c r="R15057"/>
      <c r="S15057"/>
      <c r="T15057"/>
      <c r="U15057"/>
      <c r="X15057" s="60"/>
    </row>
    <row r="15058" spans="7:24" ht="15" customHeight="1">
      <c r="G15058"/>
      <c r="I15058"/>
      <c r="N15058"/>
      <c r="O15058" s="24"/>
      <c r="P15058"/>
      <c r="Q15058" s="24"/>
      <c r="R15058"/>
      <c r="S15058"/>
      <c r="T15058"/>
      <c r="U15058"/>
      <c r="X15058" s="60"/>
    </row>
    <row r="15059" spans="7:24" ht="15" customHeight="1">
      <c r="G15059"/>
      <c r="I15059"/>
      <c r="N15059"/>
      <c r="O15059" s="24"/>
      <c r="P15059"/>
      <c r="Q15059" s="24"/>
      <c r="R15059"/>
      <c r="S15059"/>
      <c r="T15059"/>
      <c r="U15059"/>
      <c r="X15059" s="60"/>
    </row>
    <row r="15060" spans="7:24" ht="15" customHeight="1">
      <c r="G15060"/>
      <c r="I15060"/>
      <c r="N15060"/>
      <c r="O15060" s="24"/>
      <c r="P15060"/>
      <c r="Q15060" s="24"/>
      <c r="R15060"/>
      <c r="S15060"/>
      <c r="T15060"/>
      <c r="U15060"/>
      <c r="X15060" s="60"/>
    </row>
    <row r="15061" spans="7:24" ht="15" customHeight="1">
      <c r="G15061"/>
      <c r="I15061"/>
      <c r="N15061"/>
      <c r="O15061" s="24"/>
      <c r="P15061"/>
      <c r="Q15061" s="24"/>
      <c r="R15061"/>
      <c r="S15061"/>
      <c r="T15061"/>
      <c r="U15061"/>
      <c r="X15061" s="60"/>
    </row>
    <row r="15062" spans="7:24" ht="15" customHeight="1">
      <c r="G15062"/>
      <c r="I15062"/>
      <c r="N15062"/>
      <c r="O15062" s="24"/>
      <c r="P15062"/>
      <c r="Q15062" s="24"/>
      <c r="R15062"/>
      <c r="S15062"/>
      <c r="T15062"/>
      <c r="U15062"/>
      <c r="X15062" s="60"/>
    </row>
    <row r="15063" spans="7:24" ht="15" customHeight="1">
      <c r="G15063"/>
      <c r="I15063"/>
      <c r="N15063"/>
      <c r="O15063" s="24"/>
      <c r="P15063"/>
      <c r="Q15063" s="24"/>
      <c r="R15063"/>
      <c r="S15063"/>
      <c r="T15063"/>
      <c r="U15063"/>
      <c r="X15063" s="60"/>
    </row>
    <row r="15064" spans="7:24" ht="15" customHeight="1">
      <c r="G15064"/>
      <c r="I15064"/>
      <c r="N15064"/>
      <c r="O15064" s="24"/>
      <c r="P15064"/>
      <c r="Q15064" s="24"/>
      <c r="R15064"/>
      <c r="S15064"/>
      <c r="T15064"/>
      <c r="U15064"/>
      <c r="X15064" s="60"/>
    </row>
    <row r="15065" spans="7:24" ht="15" customHeight="1">
      <c r="G15065"/>
      <c r="I15065"/>
      <c r="N15065"/>
      <c r="O15065" s="24"/>
      <c r="P15065"/>
      <c r="Q15065" s="24"/>
      <c r="R15065"/>
      <c r="S15065"/>
      <c r="T15065"/>
      <c r="U15065"/>
      <c r="X15065" s="60"/>
    </row>
    <row r="15066" spans="7:24" ht="15" customHeight="1">
      <c r="G15066"/>
      <c r="I15066"/>
      <c r="N15066"/>
      <c r="O15066" s="24"/>
      <c r="P15066"/>
      <c r="Q15066" s="24"/>
      <c r="R15066"/>
      <c r="S15066"/>
      <c r="T15066"/>
      <c r="U15066"/>
      <c r="X15066" s="60"/>
    </row>
    <row r="15067" spans="7:24" ht="15" customHeight="1">
      <c r="G15067"/>
      <c r="I15067"/>
      <c r="N15067"/>
      <c r="O15067" s="24"/>
      <c r="P15067"/>
      <c r="Q15067" s="24"/>
      <c r="R15067"/>
      <c r="S15067"/>
      <c r="T15067"/>
      <c r="U15067"/>
      <c r="X15067" s="60"/>
    </row>
    <row r="15068" spans="7:24" ht="15" customHeight="1">
      <c r="G15068"/>
      <c r="I15068"/>
      <c r="N15068"/>
      <c r="O15068" s="24"/>
      <c r="P15068"/>
      <c r="Q15068" s="24"/>
      <c r="R15068"/>
      <c r="S15068"/>
      <c r="T15068"/>
      <c r="U15068"/>
      <c r="X15068" s="60"/>
    </row>
    <row r="15069" spans="7:24" ht="15" customHeight="1">
      <c r="G15069"/>
      <c r="I15069"/>
      <c r="N15069"/>
      <c r="O15069" s="24"/>
      <c r="P15069"/>
      <c r="Q15069" s="24"/>
      <c r="R15069"/>
      <c r="S15069"/>
      <c r="T15069"/>
      <c r="U15069"/>
      <c r="X15069" s="60"/>
    </row>
    <row r="15070" spans="7:24" ht="15" customHeight="1">
      <c r="G15070"/>
      <c r="I15070"/>
      <c r="N15070"/>
      <c r="O15070" s="24"/>
      <c r="P15070"/>
      <c r="Q15070" s="24"/>
      <c r="R15070"/>
      <c r="S15070"/>
      <c r="T15070"/>
      <c r="U15070"/>
      <c r="X15070" s="60"/>
    </row>
    <row r="15071" spans="7:24" ht="15" customHeight="1">
      <c r="G15071"/>
      <c r="I15071"/>
      <c r="N15071"/>
      <c r="O15071" s="24"/>
      <c r="P15071"/>
      <c r="Q15071" s="24"/>
      <c r="R15071"/>
      <c r="S15071"/>
      <c r="T15071"/>
      <c r="U15071"/>
      <c r="X15071" s="60"/>
    </row>
    <row r="15072" spans="7:24" ht="15" customHeight="1">
      <c r="G15072"/>
      <c r="I15072"/>
      <c r="N15072"/>
      <c r="O15072" s="24"/>
      <c r="P15072"/>
      <c r="Q15072" s="24"/>
      <c r="R15072"/>
      <c r="S15072"/>
      <c r="T15072"/>
      <c r="U15072"/>
      <c r="X15072" s="60"/>
    </row>
    <row r="15073" spans="7:24" ht="15" customHeight="1">
      <c r="G15073"/>
      <c r="I15073"/>
      <c r="N15073"/>
      <c r="O15073" s="24"/>
      <c r="P15073"/>
      <c r="Q15073" s="24"/>
      <c r="R15073"/>
      <c r="S15073"/>
      <c r="T15073"/>
      <c r="U15073"/>
      <c r="X15073" s="60"/>
    </row>
    <row r="15074" spans="7:24" ht="15" customHeight="1">
      <c r="G15074"/>
      <c r="I15074"/>
      <c r="N15074"/>
      <c r="O15074" s="24"/>
      <c r="P15074"/>
      <c r="Q15074" s="24"/>
      <c r="R15074"/>
      <c r="S15074"/>
      <c r="T15074"/>
      <c r="U15074"/>
      <c r="X15074" s="60"/>
    </row>
    <row r="15075" spans="7:24" ht="15" customHeight="1">
      <c r="G15075"/>
      <c r="I15075"/>
      <c r="N15075"/>
      <c r="O15075" s="24"/>
      <c r="P15075"/>
      <c r="Q15075" s="24"/>
      <c r="R15075"/>
      <c r="S15075"/>
      <c r="T15075"/>
      <c r="U15075"/>
      <c r="X15075" s="60"/>
    </row>
    <row r="15076" spans="7:24" ht="15" customHeight="1">
      <c r="G15076"/>
      <c r="I15076"/>
      <c r="N15076"/>
      <c r="O15076" s="24"/>
      <c r="P15076"/>
      <c r="Q15076" s="24"/>
      <c r="R15076"/>
      <c r="S15076"/>
      <c r="T15076"/>
      <c r="U15076"/>
      <c r="X15076" s="60"/>
    </row>
    <row r="15077" spans="7:24" ht="15" customHeight="1">
      <c r="G15077"/>
      <c r="I15077"/>
      <c r="N15077"/>
      <c r="O15077" s="24"/>
      <c r="P15077"/>
      <c r="Q15077" s="24"/>
      <c r="R15077"/>
      <c r="S15077"/>
      <c r="T15077"/>
      <c r="U15077"/>
      <c r="X15077" s="60"/>
    </row>
    <row r="15078" spans="7:24" ht="15" customHeight="1">
      <c r="G15078"/>
      <c r="I15078"/>
      <c r="N15078"/>
      <c r="O15078" s="24"/>
      <c r="P15078"/>
      <c r="Q15078" s="24"/>
      <c r="R15078"/>
      <c r="S15078"/>
      <c r="T15078"/>
      <c r="U15078"/>
      <c r="X15078" s="60"/>
    </row>
    <row r="15079" spans="7:24" ht="15" customHeight="1">
      <c r="G15079"/>
      <c r="I15079"/>
      <c r="N15079"/>
      <c r="O15079" s="24"/>
      <c r="P15079"/>
      <c r="Q15079" s="24"/>
      <c r="R15079"/>
      <c r="S15079"/>
      <c r="T15079"/>
      <c r="U15079"/>
      <c r="X15079" s="60"/>
    </row>
    <row r="15080" spans="7:24" ht="15" customHeight="1">
      <c r="G15080"/>
      <c r="I15080"/>
      <c r="N15080"/>
      <c r="O15080" s="24"/>
      <c r="P15080"/>
      <c r="Q15080" s="24"/>
      <c r="R15080"/>
      <c r="S15080"/>
      <c r="T15080"/>
      <c r="U15080"/>
      <c r="X15080" s="60"/>
    </row>
    <row r="15081" spans="7:24" ht="15" customHeight="1">
      <c r="G15081"/>
      <c r="I15081"/>
      <c r="N15081"/>
      <c r="O15081" s="24"/>
      <c r="P15081"/>
      <c r="Q15081" s="24"/>
      <c r="R15081"/>
      <c r="S15081"/>
      <c r="T15081"/>
      <c r="U15081"/>
      <c r="X15081" s="60"/>
    </row>
    <row r="15082" spans="7:24" ht="15" customHeight="1">
      <c r="G15082"/>
      <c r="I15082"/>
      <c r="N15082"/>
      <c r="O15082" s="24"/>
      <c r="P15082"/>
      <c r="Q15082" s="24"/>
      <c r="R15082"/>
      <c r="S15082"/>
      <c r="T15082"/>
      <c r="U15082"/>
      <c r="X15082" s="60"/>
    </row>
    <row r="15083" spans="7:24" ht="15" customHeight="1">
      <c r="G15083"/>
      <c r="I15083"/>
      <c r="N15083"/>
      <c r="O15083" s="24"/>
      <c r="P15083"/>
      <c r="Q15083" s="24"/>
      <c r="R15083"/>
      <c r="S15083"/>
      <c r="T15083"/>
      <c r="U15083"/>
      <c r="X15083" s="60"/>
    </row>
    <row r="15084" spans="7:24" ht="15" customHeight="1">
      <c r="G15084"/>
      <c r="I15084"/>
      <c r="N15084"/>
      <c r="O15084" s="24"/>
      <c r="P15084"/>
      <c r="Q15084" s="24"/>
      <c r="R15084"/>
      <c r="S15084"/>
      <c r="T15084"/>
      <c r="U15084"/>
      <c r="X15084" s="60"/>
    </row>
    <row r="15085" spans="7:24" ht="15" customHeight="1">
      <c r="G15085"/>
      <c r="I15085"/>
      <c r="N15085"/>
      <c r="O15085" s="24"/>
      <c r="P15085"/>
      <c r="Q15085" s="24"/>
      <c r="R15085"/>
      <c r="S15085"/>
      <c r="T15085"/>
      <c r="U15085"/>
      <c r="X15085" s="60"/>
    </row>
    <row r="15086" spans="7:24" ht="15" customHeight="1">
      <c r="G15086"/>
      <c r="I15086"/>
      <c r="N15086"/>
      <c r="O15086" s="24"/>
      <c r="P15086"/>
      <c r="Q15086" s="24"/>
      <c r="R15086"/>
      <c r="S15086"/>
      <c r="T15086"/>
      <c r="U15086"/>
      <c r="X15086" s="60"/>
    </row>
    <row r="15087" spans="7:24" ht="15" customHeight="1">
      <c r="G15087"/>
      <c r="I15087"/>
      <c r="N15087"/>
      <c r="O15087" s="24"/>
      <c r="P15087"/>
      <c r="Q15087" s="24"/>
      <c r="R15087"/>
      <c r="S15087"/>
      <c r="T15087"/>
      <c r="U15087"/>
      <c r="X15087" s="60"/>
    </row>
    <row r="15088" spans="7:24" ht="15" customHeight="1">
      <c r="G15088"/>
      <c r="I15088"/>
      <c r="N15088"/>
      <c r="O15088" s="24"/>
      <c r="P15088"/>
      <c r="Q15088" s="24"/>
      <c r="R15088"/>
      <c r="S15088"/>
      <c r="T15088"/>
      <c r="U15088"/>
      <c r="X15088" s="60"/>
    </row>
    <row r="15089" spans="7:24" ht="15" customHeight="1">
      <c r="G15089"/>
      <c r="I15089"/>
      <c r="N15089"/>
      <c r="O15089" s="24"/>
      <c r="P15089"/>
      <c r="Q15089" s="24"/>
      <c r="R15089"/>
      <c r="S15089"/>
      <c r="T15089"/>
      <c r="U15089"/>
      <c r="X15089" s="60"/>
    </row>
    <row r="15090" spans="7:24" ht="15" customHeight="1">
      <c r="G15090"/>
      <c r="I15090"/>
      <c r="N15090"/>
      <c r="O15090" s="24"/>
      <c r="P15090"/>
      <c r="Q15090" s="24"/>
      <c r="R15090"/>
      <c r="S15090"/>
      <c r="T15090"/>
      <c r="U15090"/>
      <c r="X15090" s="60"/>
    </row>
    <row r="15091" spans="7:24" ht="15" customHeight="1">
      <c r="G15091"/>
      <c r="I15091"/>
      <c r="N15091"/>
      <c r="O15091" s="24"/>
      <c r="P15091"/>
      <c r="Q15091" s="24"/>
      <c r="R15091"/>
      <c r="S15091"/>
      <c r="T15091"/>
      <c r="U15091"/>
      <c r="X15091" s="60"/>
    </row>
    <row r="15092" spans="7:24" ht="15" customHeight="1">
      <c r="G15092"/>
      <c r="I15092"/>
      <c r="N15092"/>
      <c r="O15092" s="24"/>
      <c r="P15092"/>
      <c r="Q15092" s="24"/>
      <c r="R15092"/>
      <c r="S15092"/>
      <c r="T15092"/>
      <c r="U15092"/>
      <c r="X15092" s="60"/>
    </row>
    <row r="15093" spans="7:24" ht="15" customHeight="1">
      <c r="G15093"/>
      <c r="I15093"/>
      <c r="N15093"/>
      <c r="O15093" s="24"/>
      <c r="P15093"/>
      <c r="Q15093" s="24"/>
      <c r="R15093"/>
      <c r="S15093"/>
      <c r="T15093"/>
      <c r="U15093"/>
      <c r="X15093" s="60"/>
    </row>
    <row r="15094" spans="7:24" ht="15" customHeight="1">
      <c r="G15094"/>
      <c r="I15094"/>
      <c r="N15094"/>
      <c r="O15094" s="24"/>
      <c r="P15094"/>
      <c r="Q15094" s="24"/>
      <c r="R15094"/>
      <c r="S15094"/>
      <c r="T15094"/>
      <c r="U15094"/>
      <c r="X15094" s="60"/>
    </row>
    <row r="15095" spans="7:24" ht="15" customHeight="1">
      <c r="G15095"/>
      <c r="I15095"/>
      <c r="N15095"/>
      <c r="O15095" s="24"/>
      <c r="P15095"/>
      <c r="Q15095" s="24"/>
      <c r="R15095"/>
      <c r="S15095"/>
      <c r="T15095"/>
      <c r="U15095"/>
      <c r="X15095" s="60"/>
    </row>
    <row r="15096" spans="7:24" ht="15" customHeight="1">
      <c r="G15096"/>
      <c r="I15096"/>
      <c r="N15096"/>
      <c r="O15096" s="24"/>
      <c r="P15096"/>
      <c r="Q15096" s="24"/>
      <c r="R15096"/>
      <c r="S15096"/>
      <c r="T15096"/>
      <c r="U15096"/>
      <c r="X15096" s="60"/>
    </row>
    <row r="15097" spans="7:24" ht="15" customHeight="1">
      <c r="G15097"/>
      <c r="I15097"/>
      <c r="N15097"/>
      <c r="O15097" s="24"/>
      <c r="P15097"/>
      <c r="Q15097" s="24"/>
      <c r="R15097"/>
      <c r="S15097"/>
      <c r="T15097"/>
      <c r="U15097"/>
      <c r="X15097" s="60"/>
    </row>
    <row r="15098" spans="7:24" ht="15" customHeight="1">
      <c r="G15098"/>
      <c r="I15098"/>
      <c r="N15098"/>
      <c r="O15098" s="24"/>
      <c r="P15098"/>
      <c r="Q15098" s="24"/>
      <c r="R15098"/>
      <c r="S15098"/>
      <c r="T15098"/>
      <c r="U15098"/>
      <c r="X15098" s="60"/>
    </row>
    <row r="15099" spans="7:24" ht="15" customHeight="1">
      <c r="G15099"/>
      <c r="I15099"/>
      <c r="N15099"/>
      <c r="O15099" s="24"/>
      <c r="P15099"/>
      <c r="Q15099" s="24"/>
      <c r="R15099"/>
      <c r="S15099"/>
      <c r="T15099"/>
      <c r="U15099"/>
      <c r="X15099" s="60"/>
    </row>
    <row r="15100" spans="7:24" ht="15" customHeight="1">
      <c r="G15100"/>
      <c r="I15100"/>
      <c r="N15100"/>
      <c r="O15100" s="24"/>
      <c r="P15100"/>
      <c r="Q15100" s="24"/>
      <c r="R15100"/>
      <c r="S15100"/>
      <c r="T15100"/>
      <c r="U15100"/>
      <c r="X15100" s="60"/>
    </row>
    <row r="15101" spans="7:24" ht="15" customHeight="1">
      <c r="G15101"/>
      <c r="I15101"/>
      <c r="N15101"/>
      <c r="O15101" s="24"/>
      <c r="P15101"/>
      <c r="Q15101" s="24"/>
      <c r="R15101"/>
      <c r="S15101"/>
      <c r="T15101"/>
      <c r="U15101"/>
      <c r="X15101" s="60"/>
    </row>
    <row r="15102" spans="7:24" ht="15" customHeight="1">
      <c r="G15102"/>
      <c r="I15102"/>
      <c r="N15102"/>
      <c r="O15102" s="24"/>
      <c r="P15102"/>
      <c r="Q15102" s="24"/>
      <c r="R15102"/>
      <c r="S15102"/>
      <c r="T15102"/>
      <c r="U15102"/>
      <c r="X15102" s="60"/>
    </row>
    <row r="15103" spans="7:24" ht="15" customHeight="1">
      <c r="G15103"/>
      <c r="I15103"/>
      <c r="N15103"/>
      <c r="O15103" s="24"/>
      <c r="P15103"/>
      <c r="Q15103" s="24"/>
      <c r="R15103"/>
      <c r="S15103"/>
      <c r="T15103"/>
      <c r="U15103"/>
      <c r="X15103" s="60"/>
    </row>
    <row r="15104" spans="7:24" ht="15" customHeight="1">
      <c r="G15104"/>
      <c r="I15104"/>
      <c r="N15104"/>
      <c r="O15104" s="24"/>
      <c r="P15104"/>
      <c r="Q15104" s="24"/>
      <c r="R15104"/>
      <c r="S15104"/>
      <c r="T15104"/>
      <c r="U15104"/>
      <c r="X15104" s="60"/>
    </row>
    <row r="15105" spans="7:24" ht="15" customHeight="1">
      <c r="G15105"/>
      <c r="I15105"/>
      <c r="N15105"/>
      <c r="O15105" s="24"/>
      <c r="P15105"/>
      <c r="Q15105" s="24"/>
      <c r="R15105"/>
      <c r="S15105"/>
      <c r="T15105"/>
      <c r="U15105"/>
      <c r="X15105" s="60"/>
    </row>
    <row r="15106" spans="7:24" ht="15" customHeight="1">
      <c r="G15106"/>
      <c r="I15106"/>
      <c r="N15106"/>
      <c r="O15106" s="24"/>
      <c r="P15106"/>
      <c r="Q15106" s="24"/>
      <c r="R15106"/>
      <c r="S15106"/>
      <c r="T15106"/>
      <c r="U15106"/>
      <c r="X15106" s="60"/>
    </row>
    <row r="15107" spans="7:24" ht="15" customHeight="1">
      <c r="G15107"/>
      <c r="I15107"/>
      <c r="N15107"/>
      <c r="O15107" s="24"/>
      <c r="P15107"/>
      <c r="Q15107" s="24"/>
      <c r="R15107"/>
      <c r="S15107"/>
      <c r="T15107"/>
      <c r="U15107"/>
      <c r="X15107" s="60"/>
    </row>
    <row r="15108" spans="7:24" ht="15" customHeight="1">
      <c r="G15108"/>
      <c r="I15108"/>
      <c r="N15108"/>
      <c r="O15108" s="24"/>
      <c r="P15108"/>
      <c r="Q15108" s="24"/>
      <c r="R15108"/>
      <c r="S15108"/>
      <c r="T15108"/>
      <c r="U15108"/>
      <c r="X15108" s="60"/>
    </row>
    <row r="15109" spans="7:24" ht="15" customHeight="1">
      <c r="G15109"/>
      <c r="I15109"/>
      <c r="N15109"/>
      <c r="O15109" s="24"/>
      <c r="P15109"/>
      <c r="Q15109" s="24"/>
      <c r="R15109"/>
      <c r="S15109"/>
      <c r="T15109"/>
      <c r="U15109"/>
      <c r="X15109" s="60"/>
    </row>
    <row r="15110" spans="7:24" ht="15" customHeight="1">
      <c r="G15110"/>
      <c r="I15110"/>
      <c r="N15110"/>
      <c r="O15110" s="24"/>
      <c r="P15110"/>
      <c r="Q15110" s="24"/>
      <c r="R15110"/>
      <c r="S15110"/>
      <c r="T15110"/>
      <c r="U15110"/>
      <c r="X15110" s="60"/>
    </row>
    <row r="15111" spans="7:24" ht="15" customHeight="1">
      <c r="G15111"/>
      <c r="I15111"/>
      <c r="N15111"/>
      <c r="O15111" s="24"/>
      <c r="P15111"/>
      <c r="Q15111" s="24"/>
      <c r="R15111"/>
      <c r="S15111"/>
      <c r="T15111"/>
      <c r="U15111"/>
      <c r="X15111" s="60"/>
    </row>
    <row r="15112" spans="7:24" ht="15" customHeight="1">
      <c r="G15112"/>
      <c r="I15112"/>
      <c r="N15112"/>
      <c r="O15112" s="24"/>
      <c r="P15112"/>
      <c r="Q15112" s="24"/>
      <c r="R15112"/>
      <c r="S15112"/>
      <c r="T15112"/>
      <c r="U15112"/>
      <c r="X15112" s="60"/>
    </row>
    <row r="15113" spans="7:24" ht="15" customHeight="1">
      <c r="G15113"/>
      <c r="I15113"/>
      <c r="N15113"/>
      <c r="O15113" s="24"/>
      <c r="P15113"/>
      <c r="Q15113" s="24"/>
      <c r="R15113"/>
      <c r="S15113"/>
      <c r="T15113"/>
      <c r="U15113"/>
      <c r="X15113" s="60"/>
    </row>
    <row r="15114" spans="7:24" ht="15" customHeight="1">
      <c r="G15114"/>
      <c r="I15114"/>
      <c r="N15114"/>
      <c r="O15114" s="24"/>
      <c r="P15114"/>
      <c r="Q15114" s="24"/>
      <c r="R15114"/>
      <c r="S15114"/>
      <c r="T15114"/>
      <c r="U15114"/>
      <c r="X15114" s="60"/>
    </row>
    <row r="15115" spans="7:24" ht="15" customHeight="1">
      <c r="G15115"/>
      <c r="I15115"/>
      <c r="N15115"/>
      <c r="O15115" s="24"/>
      <c r="P15115"/>
      <c r="Q15115" s="24"/>
      <c r="R15115"/>
      <c r="S15115"/>
      <c r="T15115"/>
      <c r="U15115"/>
      <c r="X15115" s="60"/>
    </row>
    <row r="15116" spans="7:24" ht="15" customHeight="1">
      <c r="G15116"/>
      <c r="I15116"/>
      <c r="N15116"/>
      <c r="O15116" s="24"/>
      <c r="P15116"/>
      <c r="Q15116" s="24"/>
      <c r="R15116"/>
      <c r="S15116"/>
      <c r="T15116"/>
      <c r="U15116"/>
      <c r="X15116" s="60"/>
    </row>
    <row r="15117" spans="7:24" ht="15" customHeight="1">
      <c r="G15117"/>
      <c r="I15117"/>
      <c r="N15117"/>
      <c r="O15117" s="24"/>
      <c r="P15117"/>
      <c r="Q15117" s="24"/>
      <c r="R15117"/>
      <c r="S15117"/>
      <c r="T15117"/>
      <c r="U15117"/>
      <c r="X15117" s="60"/>
    </row>
    <row r="15118" spans="7:24" ht="15" customHeight="1">
      <c r="G15118"/>
      <c r="I15118"/>
      <c r="N15118"/>
      <c r="O15118" s="24"/>
      <c r="P15118"/>
      <c r="Q15118" s="24"/>
      <c r="R15118"/>
      <c r="S15118"/>
      <c r="T15118"/>
      <c r="U15118"/>
      <c r="X15118" s="60"/>
    </row>
    <row r="15119" spans="7:24" ht="15" customHeight="1">
      <c r="G15119"/>
      <c r="I15119"/>
      <c r="N15119"/>
      <c r="O15119" s="24"/>
      <c r="P15119"/>
      <c r="Q15119" s="24"/>
      <c r="R15119"/>
      <c r="S15119"/>
      <c r="T15119"/>
      <c r="U15119"/>
      <c r="X15119" s="60"/>
    </row>
    <row r="15120" spans="7:24" ht="15" customHeight="1">
      <c r="G15120"/>
      <c r="I15120"/>
      <c r="N15120"/>
      <c r="O15120" s="24"/>
      <c r="P15120"/>
      <c r="Q15120" s="24"/>
      <c r="R15120"/>
      <c r="S15120"/>
      <c r="T15120"/>
      <c r="U15120"/>
      <c r="X15120" s="60"/>
    </row>
    <row r="15121" spans="7:24" ht="15" customHeight="1">
      <c r="G15121"/>
      <c r="I15121"/>
      <c r="N15121"/>
      <c r="O15121" s="24"/>
      <c r="P15121"/>
      <c r="Q15121" s="24"/>
      <c r="R15121"/>
      <c r="S15121"/>
      <c r="T15121"/>
      <c r="U15121"/>
      <c r="X15121" s="60"/>
    </row>
    <row r="15122" spans="7:24" ht="15" customHeight="1">
      <c r="G15122"/>
      <c r="I15122"/>
      <c r="N15122"/>
      <c r="O15122" s="24"/>
      <c r="P15122"/>
      <c r="Q15122" s="24"/>
      <c r="R15122"/>
      <c r="S15122"/>
      <c r="T15122"/>
      <c r="U15122"/>
      <c r="X15122" s="60"/>
    </row>
    <row r="15123" spans="7:24" ht="15" customHeight="1">
      <c r="G15123"/>
      <c r="I15123"/>
      <c r="N15123"/>
      <c r="O15123" s="24"/>
      <c r="P15123"/>
      <c r="Q15123" s="24"/>
      <c r="R15123"/>
      <c r="S15123"/>
      <c r="T15123"/>
      <c r="U15123"/>
      <c r="X15123" s="60"/>
    </row>
    <row r="15124" spans="7:24" ht="15" customHeight="1">
      <c r="G15124"/>
      <c r="I15124"/>
      <c r="N15124"/>
      <c r="O15124" s="24"/>
      <c r="P15124"/>
      <c r="Q15124" s="24"/>
      <c r="R15124"/>
      <c r="S15124"/>
      <c r="T15124"/>
      <c r="U15124"/>
      <c r="X15124" s="60"/>
    </row>
    <row r="15125" spans="7:24" ht="15" customHeight="1">
      <c r="G15125"/>
      <c r="I15125"/>
      <c r="N15125"/>
      <c r="O15125" s="24"/>
      <c r="P15125"/>
      <c r="Q15125" s="24"/>
      <c r="R15125"/>
      <c r="S15125"/>
      <c r="T15125"/>
      <c r="U15125"/>
      <c r="X15125" s="60"/>
    </row>
    <row r="15126" spans="7:24" ht="15" customHeight="1">
      <c r="G15126"/>
      <c r="I15126"/>
      <c r="N15126"/>
      <c r="O15126" s="24"/>
      <c r="P15126"/>
      <c r="Q15126" s="24"/>
      <c r="R15126"/>
      <c r="S15126"/>
      <c r="T15126"/>
      <c r="U15126"/>
      <c r="X15126" s="60"/>
    </row>
    <row r="15127" spans="7:24" ht="15" customHeight="1">
      <c r="G15127"/>
      <c r="I15127"/>
      <c r="N15127"/>
      <c r="O15127" s="24"/>
      <c r="P15127"/>
      <c r="Q15127" s="24"/>
      <c r="R15127"/>
      <c r="S15127"/>
      <c r="T15127"/>
      <c r="U15127"/>
      <c r="X15127" s="60"/>
    </row>
    <row r="15128" spans="7:24" ht="15" customHeight="1">
      <c r="G15128"/>
      <c r="I15128"/>
      <c r="N15128"/>
      <c r="O15128" s="24"/>
      <c r="P15128"/>
      <c r="Q15128" s="24"/>
      <c r="R15128"/>
      <c r="S15128"/>
      <c r="T15128"/>
      <c r="U15128"/>
      <c r="X15128" s="60"/>
    </row>
    <row r="15129" spans="7:24" ht="15" customHeight="1">
      <c r="G15129"/>
      <c r="I15129"/>
      <c r="N15129"/>
      <c r="O15129" s="24"/>
      <c r="P15129"/>
      <c r="Q15129" s="24"/>
      <c r="R15129"/>
      <c r="S15129"/>
      <c r="T15129"/>
      <c r="U15129"/>
      <c r="X15129" s="60"/>
    </row>
    <row r="15130" spans="7:24" ht="15" customHeight="1">
      <c r="G15130"/>
      <c r="I15130"/>
      <c r="N15130"/>
      <c r="O15130" s="24"/>
      <c r="P15130"/>
      <c r="Q15130" s="24"/>
      <c r="R15130"/>
      <c r="S15130"/>
      <c r="T15130"/>
      <c r="U15130"/>
      <c r="X15130" s="60"/>
    </row>
    <row r="15131" spans="7:24" ht="15" customHeight="1">
      <c r="G15131"/>
      <c r="I15131"/>
      <c r="N15131"/>
      <c r="O15131" s="24"/>
      <c r="P15131"/>
      <c r="Q15131" s="24"/>
      <c r="R15131"/>
      <c r="S15131"/>
      <c r="T15131"/>
      <c r="U15131"/>
      <c r="X15131" s="60"/>
    </row>
    <row r="15132" spans="7:24" ht="15" customHeight="1">
      <c r="G15132"/>
      <c r="I15132"/>
      <c r="N15132"/>
      <c r="O15132" s="24"/>
      <c r="P15132"/>
      <c r="Q15132" s="24"/>
      <c r="R15132"/>
      <c r="S15132"/>
      <c r="T15132"/>
      <c r="U15132"/>
      <c r="X15132" s="60"/>
    </row>
    <row r="15133" spans="7:24" ht="15" customHeight="1">
      <c r="G15133"/>
      <c r="I15133"/>
      <c r="N15133"/>
      <c r="O15133" s="24"/>
      <c r="P15133"/>
      <c r="Q15133" s="24"/>
      <c r="R15133"/>
      <c r="S15133"/>
      <c r="T15133"/>
      <c r="U15133"/>
      <c r="X15133" s="60"/>
    </row>
    <row r="15134" spans="7:24" ht="15" customHeight="1">
      <c r="G15134"/>
      <c r="I15134"/>
      <c r="N15134"/>
      <c r="O15134" s="24"/>
      <c r="P15134"/>
      <c r="Q15134" s="24"/>
      <c r="R15134"/>
      <c r="S15134"/>
      <c r="T15134"/>
      <c r="U15134"/>
      <c r="X15134" s="60"/>
    </row>
    <row r="15135" spans="7:24" ht="15" customHeight="1">
      <c r="G15135"/>
      <c r="I15135"/>
      <c r="N15135"/>
      <c r="O15135" s="24"/>
      <c r="P15135"/>
      <c r="Q15135" s="24"/>
      <c r="R15135"/>
      <c r="S15135"/>
      <c r="T15135"/>
      <c r="U15135"/>
      <c r="X15135" s="60"/>
    </row>
    <row r="15136" spans="7:24" ht="15" customHeight="1">
      <c r="G15136"/>
      <c r="I15136"/>
      <c r="N15136"/>
      <c r="O15136" s="24"/>
      <c r="P15136"/>
      <c r="Q15136" s="24"/>
      <c r="R15136"/>
      <c r="S15136"/>
      <c r="T15136"/>
      <c r="U15136"/>
      <c r="X15136" s="60"/>
    </row>
    <row r="15137" spans="7:24" ht="15" customHeight="1">
      <c r="G15137"/>
      <c r="I15137"/>
      <c r="N15137"/>
      <c r="O15137" s="24"/>
      <c r="P15137"/>
      <c r="Q15137" s="24"/>
      <c r="R15137"/>
      <c r="S15137"/>
      <c r="T15137"/>
      <c r="U15137"/>
      <c r="X15137" s="60"/>
    </row>
    <row r="15138" spans="7:24" ht="15" customHeight="1">
      <c r="G15138"/>
      <c r="I15138"/>
      <c r="N15138"/>
      <c r="O15138" s="24"/>
      <c r="P15138"/>
      <c r="Q15138" s="24"/>
      <c r="R15138"/>
      <c r="S15138"/>
      <c r="T15138"/>
      <c r="U15138"/>
      <c r="X15138" s="60"/>
    </row>
    <row r="15139" spans="7:24" ht="15" customHeight="1">
      <c r="G15139"/>
      <c r="I15139"/>
      <c r="N15139"/>
      <c r="O15139" s="24"/>
      <c r="P15139"/>
      <c r="Q15139" s="24"/>
      <c r="R15139"/>
      <c r="S15139"/>
      <c r="T15139"/>
      <c r="U15139"/>
      <c r="X15139" s="60"/>
    </row>
    <row r="15140" spans="7:24" ht="15" customHeight="1">
      <c r="G15140"/>
      <c r="I15140"/>
      <c r="N15140"/>
      <c r="O15140" s="24"/>
      <c r="P15140"/>
      <c r="Q15140" s="24"/>
      <c r="R15140"/>
      <c r="S15140"/>
      <c r="T15140"/>
      <c r="U15140"/>
      <c r="X15140" s="60"/>
    </row>
    <row r="15141" spans="7:24" ht="15" customHeight="1">
      <c r="G15141"/>
      <c r="I15141"/>
      <c r="N15141"/>
      <c r="O15141" s="24"/>
      <c r="P15141"/>
      <c r="Q15141" s="24"/>
      <c r="R15141"/>
      <c r="S15141"/>
      <c r="T15141"/>
      <c r="U15141"/>
      <c r="X15141" s="60"/>
    </row>
    <row r="15142" spans="7:24" ht="15" customHeight="1">
      <c r="G15142"/>
      <c r="I15142"/>
      <c r="N15142"/>
      <c r="O15142" s="24"/>
      <c r="P15142"/>
      <c r="Q15142" s="24"/>
      <c r="R15142"/>
      <c r="S15142"/>
      <c r="T15142"/>
      <c r="U15142"/>
      <c r="X15142" s="60"/>
    </row>
    <row r="15143" spans="7:24" ht="15" customHeight="1">
      <c r="G15143"/>
      <c r="I15143"/>
      <c r="N15143"/>
      <c r="O15143" s="24"/>
      <c r="P15143"/>
      <c r="Q15143" s="24"/>
      <c r="R15143"/>
      <c r="S15143"/>
      <c r="T15143"/>
      <c r="U15143"/>
      <c r="X15143" s="60"/>
    </row>
    <row r="15144" spans="7:24" ht="15" customHeight="1">
      <c r="G15144"/>
      <c r="I15144"/>
      <c r="N15144"/>
      <c r="O15144" s="24"/>
      <c r="P15144"/>
      <c r="Q15144" s="24"/>
      <c r="R15144"/>
      <c r="S15144"/>
      <c r="T15144"/>
      <c r="U15144"/>
      <c r="X15144" s="60"/>
    </row>
    <row r="15145" spans="7:24" ht="15" customHeight="1">
      <c r="G15145"/>
      <c r="I15145"/>
      <c r="N15145"/>
      <c r="O15145" s="24"/>
      <c r="P15145"/>
      <c r="Q15145" s="24"/>
      <c r="R15145"/>
      <c r="S15145"/>
      <c r="T15145"/>
      <c r="U15145"/>
      <c r="X15145" s="60"/>
    </row>
    <row r="15146" spans="7:24" ht="15" customHeight="1">
      <c r="G15146"/>
      <c r="I15146"/>
      <c r="N15146"/>
      <c r="O15146" s="24"/>
      <c r="P15146"/>
      <c r="Q15146" s="24"/>
      <c r="R15146"/>
      <c r="S15146"/>
      <c r="T15146"/>
      <c r="U15146"/>
      <c r="X15146" s="60"/>
    </row>
    <row r="15147" spans="7:24" ht="15" customHeight="1">
      <c r="G15147"/>
      <c r="I15147"/>
      <c r="N15147"/>
      <c r="O15147" s="24"/>
      <c r="P15147"/>
      <c r="Q15147" s="24"/>
      <c r="R15147"/>
      <c r="S15147"/>
      <c r="T15147"/>
      <c r="U15147"/>
      <c r="X15147" s="60"/>
    </row>
    <row r="15148" spans="7:24" ht="15" customHeight="1">
      <c r="G15148"/>
      <c r="I15148"/>
      <c r="N15148"/>
      <c r="O15148" s="24"/>
      <c r="P15148"/>
      <c r="Q15148" s="24"/>
      <c r="R15148"/>
      <c r="S15148"/>
      <c r="T15148"/>
      <c r="U15148"/>
      <c r="X15148" s="60"/>
    </row>
    <row r="15149" spans="7:24" ht="15" customHeight="1">
      <c r="G15149"/>
      <c r="I15149"/>
      <c r="N15149"/>
      <c r="O15149" s="24"/>
      <c r="P15149"/>
      <c r="Q15149" s="24"/>
      <c r="R15149"/>
      <c r="S15149"/>
      <c r="T15149"/>
      <c r="U15149"/>
      <c r="X15149" s="60"/>
    </row>
    <row r="15150" spans="7:24" ht="15" customHeight="1">
      <c r="G15150"/>
      <c r="I15150"/>
      <c r="N15150"/>
      <c r="O15150" s="24"/>
      <c r="P15150"/>
      <c r="Q15150" s="24"/>
      <c r="R15150"/>
      <c r="S15150"/>
      <c r="T15150"/>
      <c r="U15150"/>
      <c r="X15150" s="60"/>
    </row>
    <row r="15151" spans="7:24" ht="15" customHeight="1">
      <c r="G15151"/>
      <c r="I15151"/>
      <c r="N15151"/>
      <c r="O15151" s="24"/>
      <c r="P15151"/>
      <c r="Q15151" s="24"/>
      <c r="R15151"/>
      <c r="S15151"/>
      <c r="T15151"/>
      <c r="U15151"/>
      <c r="X15151" s="60"/>
    </row>
    <row r="15152" spans="7:24" ht="15" customHeight="1">
      <c r="G15152"/>
      <c r="I15152"/>
      <c r="N15152"/>
      <c r="O15152" s="24"/>
      <c r="P15152"/>
      <c r="Q15152" s="24"/>
      <c r="R15152"/>
      <c r="S15152"/>
      <c r="T15152"/>
      <c r="U15152"/>
      <c r="X15152" s="60"/>
    </row>
    <row r="15153" spans="7:24" ht="15" customHeight="1">
      <c r="G15153"/>
      <c r="I15153"/>
      <c r="N15153"/>
      <c r="O15153" s="24"/>
      <c r="P15153"/>
      <c r="Q15153" s="24"/>
      <c r="R15153"/>
      <c r="S15153"/>
      <c r="T15153"/>
      <c r="U15153"/>
      <c r="X15153" s="60"/>
    </row>
    <row r="15154" spans="7:24" ht="15" customHeight="1">
      <c r="G15154"/>
      <c r="I15154"/>
      <c r="N15154"/>
      <c r="O15154" s="24"/>
      <c r="P15154"/>
      <c r="Q15154" s="24"/>
      <c r="R15154"/>
      <c r="S15154"/>
      <c r="T15154"/>
      <c r="U15154"/>
      <c r="X15154" s="60"/>
    </row>
    <row r="15155" spans="7:24" ht="15" customHeight="1">
      <c r="G15155"/>
      <c r="I15155"/>
      <c r="N15155"/>
      <c r="O15155" s="24"/>
      <c r="P15155"/>
      <c r="Q15155" s="24"/>
      <c r="R15155"/>
      <c r="S15155"/>
      <c r="T15155"/>
      <c r="U15155"/>
      <c r="X15155" s="60"/>
    </row>
    <row r="15156" spans="7:24" ht="15" customHeight="1">
      <c r="G15156"/>
      <c r="I15156"/>
      <c r="N15156"/>
      <c r="O15156" s="24"/>
      <c r="P15156"/>
      <c r="Q15156" s="24"/>
      <c r="R15156"/>
      <c r="S15156"/>
      <c r="T15156"/>
      <c r="U15156"/>
      <c r="X15156" s="60"/>
    </row>
    <row r="15157" spans="7:24" ht="15" customHeight="1">
      <c r="G15157"/>
      <c r="I15157"/>
      <c r="N15157"/>
      <c r="O15157" s="24"/>
      <c r="P15157"/>
      <c r="Q15157" s="24"/>
      <c r="R15157"/>
      <c r="S15157"/>
      <c r="T15157"/>
      <c r="U15157"/>
      <c r="X15157" s="60"/>
    </row>
    <row r="15158" spans="7:24" ht="15" customHeight="1">
      <c r="G15158"/>
      <c r="I15158"/>
      <c r="N15158"/>
      <c r="O15158" s="24"/>
      <c r="P15158"/>
      <c r="Q15158" s="24"/>
      <c r="R15158"/>
      <c r="S15158"/>
      <c r="T15158"/>
      <c r="U15158"/>
      <c r="X15158" s="60"/>
    </row>
    <row r="15159" spans="7:24" ht="15" customHeight="1">
      <c r="G15159"/>
      <c r="I15159"/>
      <c r="N15159"/>
      <c r="O15159" s="24"/>
      <c r="P15159"/>
      <c r="Q15159" s="24"/>
      <c r="R15159"/>
      <c r="S15159"/>
      <c r="T15159"/>
      <c r="U15159"/>
      <c r="X15159" s="60"/>
    </row>
    <row r="15160" spans="7:24" ht="15" customHeight="1">
      <c r="G15160"/>
      <c r="I15160"/>
      <c r="N15160"/>
      <c r="O15160" s="24"/>
      <c r="P15160"/>
      <c r="Q15160" s="24"/>
      <c r="R15160"/>
      <c r="S15160"/>
      <c r="T15160"/>
      <c r="U15160"/>
      <c r="X15160" s="60"/>
    </row>
    <row r="15161" spans="7:24" ht="15" customHeight="1">
      <c r="G15161"/>
      <c r="I15161"/>
      <c r="N15161"/>
      <c r="O15161" s="24"/>
      <c r="P15161"/>
      <c r="Q15161" s="24"/>
      <c r="R15161"/>
      <c r="S15161"/>
      <c r="T15161"/>
      <c r="U15161"/>
      <c r="X15161" s="60"/>
    </row>
    <row r="15162" spans="7:24" ht="15" customHeight="1">
      <c r="G15162"/>
      <c r="I15162"/>
      <c r="N15162"/>
      <c r="O15162" s="24"/>
      <c r="P15162"/>
      <c r="Q15162" s="24"/>
      <c r="R15162"/>
      <c r="S15162"/>
      <c r="T15162"/>
      <c r="U15162"/>
      <c r="X15162" s="60"/>
    </row>
    <row r="15163" spans="7:24" ht="15" customHeight="1">
      <c r="G15163"/>
      <c r="I15163"/>
      <c r="N15163"/>
      <c r="O15163" s="24"/>
      <c r="P15163"/>
      <c r="Q15163" s="24"/>
      <c r="R15163"/>
      <c r="S15163"/>
      <c r="T15163"/>
      <c r="U15163"/>
      <c r="X15163" s="60"/>
    </row>
    <row r="15164" spans="7:24" ht="15" customHeight="1">
      <c r="G15164"/>
      <c r="I15164"/>
      <c r="N15164"/>
      <c r="O15164" s="24"/>
      <c r="P15164"/>
      <c r="Q15164" s="24"/>
      <c r="R15164"/>
      <c r="S15164"/>
      <c r="T15164"/>
      <c r="U15164"/>
      <c r="X15164" s="60"/>
    </row>
    <row r="15165" spans="7:24" ht="15" customHeight="1">
      <c r="G15165"/>
      <c r="I15165"/>
      <c r="N15165"/>
      <c r="O15165" s="24"/>
      <c r="P15165"/>
      <c r="Q15165" s="24"/>
      <c r="R15165"/>
      <c r="S15165"/>
      <c r="T15165"/>
      <c r="U15165"/>
      <c r="X15165" s="60"/>
    </row>
    <row r="15166" spans="7:24" ht="15" customHeight="1">
      <c r="G15166"/>
      <c r="I15166"/>
      <c r="N15166"/>
      <c r="O15166" s="24"/>
      <c r="P15166"/>
      <c r="Q15166" s="24"/>
      <c r="R15166"/>
      <c r="S15166"/>
      <c r="T15166"/>
      <c r="U15166"/>
      <c r="X15166" s="60"/>
    </row>
    <row r="15167" spans="7:24" ht="15" customHeight="1">
      <c r="G15167"/>
      <c r="I15167"/>
      <c r="N15167"/>
      <c r="O15167" s="24"/>
      <c r="P15167"/>
      <c r="Q15167" s="24"/>
      <c r="R15167"/>
      <c r="S15167"/>
      <c r="T15167"/>
      <c r="U15167"/>
      <c r="X15167" s="60"/>
    </row>
    <row r="15168" spans="7:24" ht="15" customHeight="1">
      <c r="G15168"/>
      <c r="I15168"/>
      <c r="N15168"/>
      <c r="O15168" s="24"/>
      <c r="P15168"/>
      <c r="Q15168" s="24"/>
      <c r="R15168"/>
      <c r="S15168"/>
      <c r="T15168"/>
      <c r="U15168"/>
      <c r="X15168" s="60"/>
    </row>
    <row r="15169" spans="7:24" ht="15" customHeight="1">
      <c r="G15169"/>
      <c r="I15169"/>
      <c r="N15169"/>
      <c r="O15169" s="24"/>
      <c r="P15169"/>
      <c r="Q15169" s="24"/>
      <c r="R15169"/>
      <c r="S15169"/>
      <c r="T15169"/>
      <c r="U15169"/>
      <c r="X15169" s="60"/>
    </row>
    <row r="15170" spans="7:24" ht="15" customHeight="1">
      <c r="G15170"/>
      <c r="I15170"/>
      <c r="N15170"/>
      <c r="O15170" s="24"/>
      <c r="P15170"/>
      <c r="Q15170" s="24"/>
      <c r="R15170"/>
      <c r="S15170"/>
      <c r="T15170"/>
      <c r="U15170"/>
      <c r="X15170" s="60"/>
    </row>
    <row r="15171" spans="7:24" ht="15" customHeight="1">
      <c r="G15171"/>
      <c r="I15171"/>
      <c r="N15171"/>
      <c r="O15171" s="24"/>
      <c r="P15171"/>
      <c r="Q15171" s="24"/>
      <c r="R15171"/>
      <c r="S15171"/>
      <c r="T15171"/>
      <c r="U15171"/>
      <c r="X15171" s="60"/>
    </row>
    <row r="15172" spans="7:24" ht="15" customHeight="1">
      <c r="G15172"/>
      <c r="I15172"/>
      <c r="N15172"/>
      <c r="O15172" s="24"/>
      <c r="P15172"/>
      <c r="Q15172" s="24"/>
      <c r="R15172"/>
      <c r="S15172"/>
      <c r="T15172"/>
      <c r="U15172"/>
      <c r="X15172" s="60"/>
    </row>
    <row r="15173" spans="7:24" ht="15" customHeight="1">
      <c r="G15173"/>
      <c r="I15173"/>
      <c r="N15173"/>
      <c r="O15173" s="24"/>
      <c r="P15173"/>
      <c r="Q15173" s="24"/>
      <c r="R15173"/>
      <c r="S15173"/>
      <c r="T15173"/>
      <c r="U15173"/>
      <c r="X15173" s="60"/>
    </row>
    <row r="15174" spans="7:24" ht="15" customHeight="1">
      <c r="G15174"/>
      <c r="I15174"/>
      <c r="N15174"/>
      <c r="O15174" s="24"/>
      <c r="P15174"/>
      <c r="Q15174" s="24"/>
      <c r="R15174"/>
      <c r="S15174"/>
      <c r="T15174"/>
      <c r="U15174"/>
      <c r="X15174" s="60"/>
    </row>
    <row r="15175" spans="7:24" ht="15" customHeight="1">
      <c r="G15175"/>
      <c r="I15175"/>
      <c r="N15175"/>
      <c r="O15175" s="24"/>
      <c r="P15175"/>
      <c r="Q15175" s="24"/>
      <c r="R15175"/>
      <c r="S15175"/>
      <c r="T15175"/>
      <c r="U15175"/>
      <c r="X15175" s="60"/>
    </row>
    <row r="15176" spans="7:24" ht="15" customHeight="1">
      <c r="G15176"/>
      <c r="I15176"/>
      <c r="N15176"/>
      <c r="O15176" s="24"/>
      <c r="P15176"/>
      <c r="Q15176" s="24"/>
      <c r="R15176"/>
      <c r="S15176"/>
      <c r="T15176"/>
      <c r="U15176"/>
      <c r="X15176" s="60"/>
    </row>
    <row r="15177" spans="7:24" ht="15" customHeight="1">
      <c r="G15177"/>
      <c r="I15177"/>
      <c r="N15177"/>
      <c r="O15177" s="24"/>
      <c r="P15177"/>
      <c r="Q15177" s="24"/>
      <c r="R15177"/>
      <c r="S15177"/>
      <c r="T15177"/>
      <c r="U15177"/>
      <c r="X15177" s="60"/>
    </row>
    <row r="15178" spans="7:24" ht="15" customHeight="1">
      <c r="G15178"/>
      <c r="I15178"/>
      <c r="N15178"/>
      <c r="O15178" s="24"/>
      <c r="P15178"/>
      <c r="Q15178" s="24"/>
      <c r="R15178"/>
      <c r="S15178"/>
      <c r="T15178"/>
      <c r="U15178"/>
      <c r="X15178" s="60"/>
    </row>
    <row r="15179" spans="7:24" ht="15" customHeight="1">
      <c r="G15179"/>
      <c r="I15179"/>
      <c r="N15179"/>
      <c r="O15179" s="24"/>
      <c r="P15179"/>
      <c r="Q15179" s="24"/>
      <c r="R15179"/>
      <c r="S15179"/>
      <c r="T15179"/>
      <c r="U15179"/>
      <c r="X15179" s="60"/>
    </row>
    <row r="15180" spans="7:24" ht="15" customHeight="1">
      <c r="G15180"/>
      <c r="I15180"/>
      <c r="N15180"/>
      <c r="O15180" s="24"/>
      <c r="P15180"/>
      <c r="Q15180" s="24"/>
      <c r="R15180"/>
      <c r="S15180"/>
      <c r="T15180"/>
      <c r="U15180"/>
      <c r="X15180" s="60"/>
    </row>
    <row r="15181" spans="7:24" ht="15" customHeight="1">
      <c r="G15181"/>
      <c r="I15181"/>
      <c r="N15181"/>
      <c r="O15181" s="24"/>
      <c r="P15181"/>
      <c r="Q15181" s="24"/>
      <c r="R15181"/>
      <c r="S15181"/>
      <c r="T15181"/>
      <c r="U15181"/>
      <c r="X15181" s="60"/>
    </row>
    <row r="15182" spans="7:24" ht="15" customHeight="1">
      <c r="G15182"/>
      <c r="I15182"/>
      <c r="N15182"/>
      <c r="O15182" s="24"/>
      <c r="P15182"/>
      <c r="Q15182" s="24"/>
      <c r="R15182"/>
      <c r="S15182"/>
      <c r="T15182"/>
      <c r="U15182"/>
      <c r="X15182" s="60"/>
    </row>
    <row r="15183" spans="7:24" ht="15" customHeight="1">
      <c r="G15183"/>
      <c r="I15183"/>
      <c r="N15183"/>
      <c r="O15183" s="24"/>
      <c r="P15183"/>
      <c r="Q15183" s="24"/>
      <c r="R15183"/>
      <c r="S15183"/>
      <c r="T15183"/>
      <c r="U15183"/>
      <c r="X15183" s="60"/>
    </row>
    <row r="15184" spans="7:24" ht="15" customHeight="1">
      <c r="G15184"/>
      <c r="I15184"/>
      <c r="N15184"/>
      <c r="O15184" s="24"/>
      <c r="P15184"/>
      <c r="Q15184" s="24"/>
      <c r="R15184"/>
      <c r="S15184"/>
      <c r="T15184"/>
      <c r="U15184"/>
      <c r="X15184" s="60"/>
    </row>
    <row r="15185" spans="7:24" ht="15" customHeight="1">
      <c r="G15185"/>
      <c r="I15185"/>
      <c r="N15185"/>
      <c r="O15185" s="24"/>
      <c r="P15185"/>
      <c r="Q15185" s="24"/>
      <c r="R15185"/>
      <c r="S15185"/>
      <c r="T15185"/>
      <c r="U15185"/>
      <c r="X15185" s="60"/>
    </row>
    <row r="15186" spans="7:24" ht="15" customHeight="1">
      <c r="G15186"/>
      <c r="I15186"/>
      <c r="N15186"/>
      <c r="O15186" s="24"/>
      <c r="P15186"/>
      <c r="Q15186" s="24"/>
      <c r="R15186"/>
      <c r="S15186"/>
      <c r="T15186"/>
      <c r="U15186"/>
      <c r="X15186" s="60"/>
    </row>
    <row r="15187" spans="7:24" ht="15" customHeight="1">
      <c r="G15187"/>
      <c r="I15187"/>
      <c r="N15187"/>
      <c r="O15187" s="24"/>
      <c r="P15187"/>
      <c r="Q15187" s="24"/>
      <c r="R15187"/>
      <c r="S15187"/>
      <c r="T15187"/>
      <c r="U15187"/>
      <c r="X15187" s="60"/>
    </row>
    <row r="15188" spans="7:24" ht="15" customHeight="1">
      <c r="G15188"/>
      <c r="I15188"/>
      <c r="N15188"/>
      <c r="O15188" s="24"/>
      <c r="P15188"/>
      <c r="Q15188" s="24"/>
      <c r="R15188"/>
      <c r="S15188"/>
      <c r="T15188"/>
      <c r="U15188"/>
      <c r="X15188" s="60"/>
    </row>
    <row r="15189" spans="7:24" ht="15" customHeight="1">
      <c r="G15189"/>
      <c r="I15189"/>
      <c r="N15189"/>
      <c r="O15189" s="24"/>
      <c r="P15189"/>
      <c r="Q15189" s="24"/>
      <c r="R15189"/>
      <c r="S15189"/>
      <c r="T15189"/>
      <c r="U15189"/>
      <c r="X15189" s="60"/>
    </row>
    <row r="15190" spans="7:24" ht="15" customHeight="1">
      <c r="G15190"/>
      <c r="I15190"/>
      <c r="N15190"/>
      <c r="O15190" s="24"/>
      <c r="P15190"/>
      <c r="Q15190" s="24"/>
      <c r="R15190"/>
      <c r="S15190"/>
      <c r="T15190"/>
      <c r="U15190"/>
      <c r="X15190" s="60"/>
    </row>
    <row r="15191" spans="7:24" ht="15" customHeight="1">
      <c r="G15191"/>
      <c r="I15191"/>
      <c r="N15191"/>
      <c r="O15191" s="24"/>
      <c r="P15191"/>
      <c r="Q15191" s="24"/>
      <c r="R15191"/>
      <c r="S15191"/>
      <c r="T15191"/>
      <c r="U15191"/>
      <c r="X15191" s="60"/>
    </row>
    <row r="15192" spans="7:24" ht="15" customHeight="1">
      <c r="G15192"/>
      <c r="I15192"/>
      <c r="N15192"/>
      <c r="O15192" s="24"/>
      <c r="P15192"/>
      <c r="Q15192" s="24"/>
      <c r="R15192"/>
      <c r="S15192"/>
      <c r="T15192"/>
      <c r="U15192"/>
      <c r="X15192" s="60"/>
    </row>
    <row r="15193" spans="7:24" ht="15" customHeight="1">
      <c r="G15193"/>
      <c r="I15193"/>
      <c r="N15193"/>
      <c r="O15193" s="24"/>
      <c r="P15193"/>
      <c r="Q15193" s="24"/>
      <c r="R15193"/>
      <c r="S15193"/>
      <c r="T15193"/>
      <c r="U15193"/>
      <c r="X15193" s="60"/>
    </row>
    <row r="15194" spans="7:24" ht="15" customHeight="1">
      <c r="G15194"/>
      <c r="I15194"/>
      <c r="N15194"/>
      <c r="O15194" s="24"/>
      <c r="P15194"/>
      <c r="Q15194" s="24"/>
      <c r="R15194"/>
      <c r="S15194"/>
      <c r="T15194"/>
      <c r="U15194"/>
      <c r="X15194" s="60"/>
    </row>
    <row r="15195" spans="7:24" ht="15" customHeight="1">
      <c r="G15195"/>
      <c r="I15195"/>
      <c r="N15195"/>
      <c r="O15195" s="24"/>
      <c r="P15195"/>
      <c r="Q15195" s="24"/>
      <c r="R15195"/>
      <c r="S15195"/>
      <c r="T15195"/>
      <c r="U15195"/>
      <c r="X15195" s="60"/>
    </row>
    <row r="15196" spans="7:24" ht="15" customHeight="1">
      <c r="G15196"/>
      <c r="I15196"/>
      <c r="N15196"/>
      <c r="O15196" s="24"/>
      <c r="P15196"/>
      <c r="Q15196" s="24"/>
      <c r="R15196"/>
      <c r="S15196"/>
      <c r="T15196"/>
      <c r="U15196"/>
      <c r="X15196" s="60"/>
    </row>
    <row r="15197" spans="7:24" ht="15" customHeight="1">
      <c r="G15197"/>
      <c r="I15197"/>
      <c r="N15197"/>
      <c r="O15197" s="24"/>
      <c r="P15197"/>
      <c r="Q15197" s="24"/>
      <c r="R15197"/>
      <c r="S15197"/>
      <c r="T15197"/>
      <c r="U15197"/>
      <c r="X15197" s="60"/>
    </row>
    <row r="15198" spans="7:24" ht="15" customHeight="1">
      <c r="G15198"/>
      <c r="I15198"/>
      <c r="N15198"/>
      <c r="O15198" s="24"/>
      <c r="P15198"/>
      <c r="Q15198" s="24"/>
      <c r="R15198"/>
      <c r="S15198"/>
      <c r="T15198"/>
      <c r="U15198"/>
      <c r="X15198" s="60"/>
    </row>
    <row r="15199" spans="7:24" ht="15" customHeight="1">
      <c r="G15199"/>
      <c r="I15199"/>
      <c r="N15199"/>
      <c r="O15199" s="24"/>
      <c r="P15199"/>
      <c r="Q15199" s="24"/>
      <c r="R15199"/>
      <c r="S15199"/>
      <c r="T15199"/>
      <c r="U15199"/>
      <c r="X15199" s="60"/>
    </row>
    <row r="15200" spans="7:24" ht="15" customHeight="1">
      <c r="G15200"/>
      <c r="I15200"/>
      <c r="N15200"/>
      <c r="O15200" s="24"/>
      <c r="P15200"/>
      <c r="Q15200" s="24"/>
      <c r="R15200"/>
      <c r="S15200"/>
      <c r="T15200"/>
      <c r="U15200"/>
      <c r="X15200" s="60"/>
    </row>
    <row r="15201" spans="7:24" ht="15" customHeight="1">
      <c r="G15201"/>
      <c r="I15201"/>
      <c r="N15201"/>
      <c r="O15201" s="24"/>
      <c r="P15201"/>
      <c r="Q15201" s="24"/>
      <c r="R15201"/>
      <c r="S15201"/>
      <c r="T15201"/>
      <c r="U15201"/>
      <c r="X15201" s="60"/>
    </row>
    <row r="15202" spans="7:24" ht="15" customHeight="1">
      <c r="G15202"/>
      <c r="I15202"/>
      <c r="N15202"/>
      <c r="O15202" s="24"/>
      <c r="P15202"/>
      <c r="Q15202" s="24"/>
      <c r="R15202"/>
      <c r="S15202"/>
      <c r="T15202"/>
      <c r="U15202"/>
      <c r="X15202" s="60"/>
    </row>
    <row r="15203" spans="7:24" ht="15" customHeight="1">
      <c r="G15203"/>
      <c r="I15203"/>
      <c r="N15203"/>
      <c r="O15203" s="24"/>
      <c r="P15203"/>
      <c r="Q15203" s="24"/>
      <c r="R15203"/>
      <c r="S15203"/>
      <c r="T15203"/>
      <c r="U15203"/>
      <c r="X15203" s="60"/>
    </row>
    <row r="15204" spans="7:24" ht="15" customHeight="1">
      <c r="G15204"/>
      <c r="I15204"/>
      <c r="N15204"/>
      <c r="O15204" s="24"/>
      <c r="P15204"/>
      <c r="Q15204" s="24"/>
      <c r="R15204"/>
      <c r="S15204"/>
      <c r="T15204"/>
      <c r="U15204"/>
      <c r="X15204" s="60"/>
    </row>
    <row r="15205" spans="7:24" ht="15" customHeight="1">
      <c r="G15205"/>
      <c r="I15205"/>
      <c r="N15205"/>
      <c r="O15205" s="24"/>
      <c r="P15205"/>
      <c r="Q15205" s="24"/>
      <c r="R15205"/>
      <c r="S15205"/>
      <c r="T15205"/>
      <c r="U15205"/>
      <c r="X15205" s="60"/>
    </row>
    <row r="15206" spans="7:24" ht="15" customHeight="1">
      <c r="G15206"/>
      <c r="I15206"/>
      <c r="N15206"/>
      <c r="O15206" s="24"/>
      <c r="P15206"/>
      <c r="Q15206" s="24"/>
      <c r="R15206"/>
      <c r="S15206"/>
      <c r="T15206"/>
      <c r="U15206"/>
      <c r="X15206" s="60"/>
    </row>
    <row r="15207" spans="7:24" ht="15" customHeight="1">
      <c r="G15207"/>
      <c r="I15207"/>
      <c r="N15207"/>
      <c r="O15207" s="24"/>
      <c r="P15207"/>
      <c r="Q15207" s="24"/>
      <c r="R15207"/>
      <c r="S15207"/>
      <c r="T15207"/>
      <c r="U15207"/>
      <c r="X15207" s="60"/>
    </row>
    <row r="15208" spans="7:24" ht="15" customHeight="1">
      <c r="G15208"/>
      <c r="I15208"/>
      <c r="N15208"/>
      <c r="O15208" s="24"/>
      <c r="P15208"/>
      <c r="Q15208" s="24"/>
      <c r="R15208"/>
      <c r="S15208"/>
      <c r="T15208"/>
      <c r="U15208"/>
      <c r="X15208" s="60"/>
    </row>
    <row r="15209" spans="7:24" ht="15" customHeight="1">
      <c r="G15209"/>
      <c r="I15209"/>
      <c r="N15209"/>
      <c r="O15209" s="24"/>
      <c r="P15209"/>
      <c r="Q15209" s="24"/>
      <c r="R15209"/>
      <c r="S15209"/>
      <c r="T15209"/>
      <c r="U15209"/>
      <c r="X15209" s="60"/>
    </row>
    <row r="15210" spans="7:24" ht="15" customHeight="1">
      <c r="G15210"/>
      <c r="I15210"/>
      <c r="N15210"/>
      <c r="O15210" s="24"/>
      <c r="P15210"/>
      <c r="Q15210" s="24"/>
      <c r="R15210"/>
      <c r="S15210"/>
      <c r="T15210"/>
      <c r="U15210"/>
      <c r="X15210" s="60"/>
    </row>
    <row r="15211" spans="7:24" ht="15" customHeight="1">
      <c r="G15211"/>
      <c r="I15211"/>
      <c r="N15211"/>
      <c r="O15211" s="24"/>
      <c r="P15211"/>
      <c r="Q15211" s="24"/>
      <c r="R15211"/>
      <c r="S15211"/>
      <c r="T15211"/>
      <c r="U15211"/>
      <c r="X15211" s="60"/>
    </row>
    <row r="15212" spans="7:24" ht="15" customHeight="1">
      <c r="G15212"/>
      <c r="I15212"/>
      <c r="N15212"/>
      <c r="O15212" s="24"/>
      <c r="P15212"/>
      <c r="Q15212" s="24"/>
      <c r="R15212"/>
      <c r="S15212"/>
      <c r="T15212"/>
      <c r="U15212"/>
      <c r="X15212" s="60"/>
    </row>
    <row r="15213" spans="7:24" ht="15" customHeight="1">
      <c r="G15213"/>
      <c r="I15213"/>
      <c r="N15213"/>
      <c r="O15213" s="24"/>
      <c r="P15213"/>
      <c r="Q15213" s="24"/>
      <c r="R15213"/>
      <c r="S15213"/>
      <c r="T15213"/>
      <c r="U15213"/>
      <c r="X15213" s="60"/>
    </row>
    <row r="15214" spans="7:24" ht="15" customHeight="1">
      <c r="G15214"/>
      <c r="I15214"/>
      <c r="N15214"/>
      <c r="O15214" s="24"/>
      <c r="P15214"/>
      <c r="Q15214" s="24"/>
      <c r="R15214"/>
      <c r="S15214"/>
      <c r="T15214"/>
      <c r="U15214"/>
      <c r="X15214" s="60"/>
    </row>
    <row r="15215" spans="7:24" ht="15" customHeight="1">
      <c r="G15215"/>
      <c r="I15215"/>
      <c r="N15215"/>
      <c r="O15215" s="24"/>
      <c r="P15215"/>
      <c r="Q15215" s="24"/>
      <c r="R15215"/>
      <c r="S15215"/>
      <c r="T15215"/>
      <c r="U15215"/>
      <c r="X15215" s="60"/>
    </row>
    <row r="15216" spans="7:24" ht="15" customHeight="1">
      <c r="G15216"/>
      <c r="I15216"/>
      <c r="N15216"/>
      <c r="O15216" s="24"/>
      <c r="P15216"/>
      <c r="Q15216" s="24"/>
      <c r="R15216"/>
      <c r="S15216"/>
      <c r="T15216"/>
      <c r="U15216"/>
      <c r="X15216" s="60"/>
    </row>
    <row r="15217" spans="7:24" ht="15" customHeight="1">
      <c r="G15217"/>
      <c r="I15217"/>
      <c r="N15217"/>
      <c r="O15217" s="24"/>
      <c r="P15217"/>
      <c r="Q15217" s="24"/>
      <c r="R15217"/>
      <c r="S15217"/>
      <c r="T15217"/>
      <c r="U15217"/>
      <c r="X15217" s="60"/>
    </row>
    <row r="15218" spans="7:24" ht="15" customHeight="1">
      <c r="G15218"/>
      <c r="I15218"/>
      <c r="N15218"/>
      <c r="O15218" s="24"/>
      <c r="P15218"/>
      <c r="Q15218" s="24"/>
      <c r="R15218"/>
      <c r="S15218"/>
      <c r="T15218"/>
      <c r="U15218"/>
      <c r="X15218" s="60"/>
    </row>
    <row r="15219" spans="7:24" ht="15" customHeight="1">
      <c r="G15219"/>
      <c r="I15219"/>
      <c r="N15219"/>
      <c r="O15219" s="24"/>
      <c r="P15219"/>
      <c r="Q15219" s="24"/>
      <c r="R15219"/>
      <c r="S15219"/>
      <c r="T15219"/>
      <c r="U15219"/>
      <c r="X15219" s="60"/>
    </row>
    <row r="15220" spans="7:24" ht="15" customHeight="1">
      <c r="G15220"/>
      <c r="I15220"/>
      <c r="N15220"/>
      <c r="O15220" s="24"/>
      <c r="P15220"/>
      <c r="Q15220" s="24"/>
      <c r="R15220"/>
      <c r="S15220"/>
      <c r="T15220"/>
      <c r="U15220"/>
      <c r="X15220" s="60"/>
    </row>
    <row r="15221" spans="7:24" ht="15" customHeight="1">
      <c r="G15221"/>
      <c r="I15221"/>
      <c r="N15221"/>
      <c r="O15221" s="24"/>
      <c r="P15221"/>
      <c r="Q15221" s="24"/>
      <c r="R15221"/>
      <c r="S15221"/>
      <c r="T15221"/>
      <c r="U15221"/>
      <c r="X15221" s="60"/>
    </row>
    <row r="15222" spans="7:24" ht="15" customHeight="1">
      <c r="G15222"/>
      <c r="I15222"/>
      <c r="N15222"/>
      <c r="O15222" s="24"/>
      <c r="P15222"/>
      <c r="Q15222" s="24"/>
      <c r="R15222"/>
      <c r="S15222"/>
      <c r="T15222"/>
      <c r="U15222"/>
      <c r="X15222" s="60"/>
    </row>
    <row r="15223" spans="7:24" ht="15" customHeight="1">
      <c r="G15223"/>
      <c r="I15223"/>
      <c r="N15223"/>
      <c r="O15223" s="24"/>
      <c r="P15223"/>
      <c r="Q15223" s="24"/>
      <c r="R15223"/>
      <c r="S15223"/>
      <c r="T15223"/>
      <c r="U15223"/>
      <c r="X15223" s="60"/>
    </row>
    <row r="15224" spans="7:24" ht="15" customHeight="1">
      <c r="G15224"/>
      <c r="I15224"/>
      <c r="N15224"/>
      <c r="O15224" s="24"/>
      <c r="P15224"/>
      <c r="Q15224" s="24"/>
      <c r="R15224"/>
      <c r="S15224"/>
      <c r="T15224"/>
      <c r="U15224"/>
      <c r="X15224" s="60"/>
    </row>
    <row r="15225" spans="7:24" ht="15" customHeight="1">
      <c r="G15225"/>
      <c r="I15225"/>
      <c r="N15225"/>
      <c r="O15225" s="24"/>
      <c r="P15225"/>
      <c r="Q15225" s="24"/>
      <c r="R15225"/>
      <c r="S15225"/>
      <c r="T15225"/>
      <c r="U15225"/>
      <c r="X15225" s="60"/>
    </row>
    <row r="15226" spans="7:24" ht="15" customHeight="1">
      <c r="G15226"/>
      <c r="I15226"/>
      <c r="N15226"/>
      <c r="O15226" s="24"/>
      <c r="P15226"/>
      <c r="Q15226" s="24"/>
      <c r="R15226"/>
      <c r="S15226"/>
      <c r="T15226"/>
      <c r="U15226"/>
      <c r="X15226" s="60"/>
    </row>
    <row r="15227" spans="7:24" ht="15" customHeight="1">
      <c r="G15227"/>
      <c r="I15227"/>
      <c r="N15227"/>
      <c r="O15227" s="24"/>
      <c r="P15227"/>
      <c r="Q15227" s="24"/>
      <c r="R15227"/>
      <c r="S15227"/>
      <c r="T15227"/>
      <c r="U15227"/>
      <c r="X15227" s="60"/>
    </row>
    <row r="15228" spans="7:24" ht="15" customHeight="1">
      <c r="G15228"/>
      <c r="I15228"/>
      <c r="N15228"/>
      <c r="O15228" s="24"/>
      <c r="P15228"/>
      <c r="Q15228" s="24"/>
      <c r="R15228"/>
      <c r="S15228"/>
      <c r="T15228"/>
      <c r="U15228"/>
      <c r="X15228" s="60"/>
    </row>
    <row r="15229" spans="7:24" ht="15" customHeight="1">
      <c r="G15229"/>
      <c r="I15229"/>
      <c r="N15229"/>
      <c r="O15229" s="24"/>
      <c r="P15229"/>
      <c r="Q15229" s="24"/>
      <c r="R15229"/>
      <c r="S15229"/>
      <c r="T15229"/>
      <c r="U15229"/>
      <c r="X15229" s="60"/>
    </row>
    <row r="15230" spans="7:24" ht="15" customHeight="1">
      <c r="G15230"/>
      <c r="I15230"/>
      <c r="N15230"/>
      <c r="O15230" s="24"/>
      <c r="P15230"/>
      <c r="Q15230" s="24"/>
      <c r="R15230"/>
      <c r="S15230"/>
      <c r="T15230"/>
      <c r="U15230"/>
      <c r="X15230" s="60"/>
    </row>
    <row r="15231" spans="7:24" ht="15" customHeight="1">
      <c r="G15231"/>
      <c r="I15231"/>
      <c r="N15231"/>
      <c r="O15231" s="24"/>
      <c r="P15231"/>
      <c r="Q15231" s="24"/>
      <c r="R15231"/>
      <c r="S15231"/>
      <c r="T15231"/>
      <c r="U15231"/>
      <c r="X15231" s="60"/>
    </row>
    <row r="15232" spans="7:24" ht="15" customHeight="1">
      <c r="G15232"/>
      <c r="I15232"/>
      <c r="N15232"/>
      <c r="O15232" s="24"/>
      <c r="P15232"/>
      <c r="Q15232" s="24"/>
      <c r="R15232"/>
      <c r="S15232"/>
      <c r="T15232"/>
      <c r="U15232"/>
      <c r="X15232" s="60"/>
    </row>
    <row r="15233" spans="7:24" ht="15" customHeight="1">
      <c r="G15233"/>
      <c r="I15233"/>
      <c r="N15233"/>
      <c r="O15233" s="24"/>
      <c r="P15233"/>
      <c r="Q15233" s="24"/>
      <c r="R15233"/>
      <c r="S15233"/>
      <c r="T15233"/>
      <c r="U15233"/>
      <c r="X15233" s="60"/>
    </row>
    <row r="15234" spans="7:24" ht="15" customHeight="1">
      <c r="G15234"/>
      <c r="I15234"/>
      <c r="N15234"/>
      <c r="O15234" s="24"/>
      <c r="P15234"/>
      <c r="Q15234" s="24"/>
      <c r="R15234"/>
      <c r="S15234"/>
      <c r="T15234"/>
      <c r="U15234"/>
      <c r="X15234" s="60"/>
    </row>
    <row r="15235" spans="7:24" ht="15" customHeight="1">
      <c r="G15235"/>
      <c r="I15235"/>
      <c r="N15235"/>
      <c r="O15235" s="24"/>
      <c r="P15235"/>
      <c r="Q15235" s="24"/>
      <c r="R15235"/>
      <c r="S15235"/>
      <c r="T15235"/>
      <c r="U15235"/>
      <c r="X15235" s="60"/>
    </row>
    <row r="15236" spans="7:24" ht="15" customHeight="1">
      <c r="G15236"/>
      <c r="I15236"/>
      <c r="N15236"/>
      <c r="O15236" s="24"/>
      <c r="P15236"/>
      <c r="Q15236" s="24"/>
      <c r="R15236"/>
      <c r="S15236"/>
      <c r="T15236"/>
      <c r="U15236"/>
      <c r="X15236" s="60"/>
    </row>
    <row r="15237" spans="7:24" ht="15" customHeight="1">
      <c r="G15237"/>
      <c r="I15237"/>
      <c r="N15237"/>
      <c r="O15237" s="24"/>
      <c r="P15237"/>
      <c r="Q15237" s="24"/>
      <c r="R15237"/>
      <c r="S15237"/>
      <c r="T15237"/>
      <c r="U15237"/>
      <c r="X15237" s="60"/>
    </row>
    <row r="15238" spans="7:24" ht="15" customHeight="1">
      <c r="G15238"/>
      <c r="I15238"/>
      <c r="N15238"/>
      <c r="O15238" s="24"/>
      <c r="P15238"/>
      <c r="Q15238" s="24"/>
      <c r="R15238"/>
      <c r="S15238"/>
      <c r="T15238"/>
      <c r="U15238"/>
      <c r="X15238" s="60"/>
    </row>
    <row r="15239" spans="7:24" ht="15" customHeight="1">
      <c r="G15239"/>
      <c r="I15239"/>
      <c r="N15239"/>
      <c r="O15239" s="24"/>
      <c r="P15239"/>
      <c r="Q15239" s="24"/>
      <c r="R15239"/>
      <c r="S15239"/>
      <c r="T15239"/>
      <c r="U15239"/>
      <c r="X15239" s="60"/>
    </row>
    <row r="15240" spans="7:24" ht="15" customHeight="1">
      <c r="G15240"/>
      <c r="I15240"/>
      <c r="N15240"/>
      <c r="O15240" s="24"/>
      <c r="P15240"/>
      <c r="Q15240" s="24"/>
      <c r="R15240"/>
      <c r="S15240"/>
      <c r="T15240"/>
      <c r="U15240"/>
      <c r="X15240" s="60"/>
    </row>
    <row r="15241" spans="7:24" ht="15" customHeight="1">
      <c r="G15241"/>
      <c r="I15241"/>
      <c r="N15241"/>
      <c r="O15241" s="24"/>
      <c r="P15241"/>
      <c r="Q15241" s="24"/>
      <c r="R15241"/>
      <c r="S15241"/>
      <c r="T15241"/>
      <c r="U15241"/>
      <c r="X15241" s="60"/>
    </row>
    <row r="15242" spans="7:24" ht="15" customHeight="1">
      <c r="G15242"/>
      <c r="I15242"/>
      <c r="N15242"/>
      <c r="O15242" s="24"/>
      <c r="P15242"/>
      <c r="Q15242" s="24"/>
      <c r="R15242"/>
      <c r="S15242"/>
      <c r="T15242"/>
      <c r="U15242"/>
      <c r="X15242" s="60"/>
    </row>
    <row r="15243" spans="7:24" ht="15" customHeight="1">
      <c r="G15243"/>
      <c r="I15243"/>
      <c r="N15243"/>
      <c r="O15243" s="24"/>
      <c r="P15243"/>
      <c r="Q15243" s="24"/>
      <c r="R15243"/>
      <c r="S15243"/>
      <c r="T15243"/>
      <c r="U15243"/>
      <c r="X15243" s="60"/>
    </row>
    <row r="15244" spans="7:24" ht="15" customHeight="1">
      <c r="G15244"/>
      <c r="I15244"/>
      <c r="N15244"/>
      <c r="O15244" s="24"/>
      <c r="P15244"/>
      <c r="Q15244" s="24"/>
      <c r="R15244"/>
      <c r="S15244"/>
      <c r="T15244"/>
      <c r="U15244"/>
      <c r="X15244" s="60"/>
    </row>
    <row r="15245" spans="7:24" ht="15" customHeight="1">
      <c r="G15245"/>
      <c r="I15245"/>
      <c r="N15245"/>
      <c r="O15245" s="24"/>
      <c r="P15245"/>
      <c r="Q15245" s="24"/>
      <c r="R15245"/>
      <c r="S15245"/>
      <c r="T15245"/>
      <c r="U15245"/>
      <c r="X15245" s="60"/>
    </row>
    <row r="15246" spans="7:24" ht="15" customHeight="1">
      <c r="G15246"/>
      <c r="I15246"/>
      <c r="N15246"/>
      <c r="O15246" s="24"/>
      <c r="P15246"/>
      <c r="Q15246" s="24"/>
      <c r="R15246"/>
      <c r="S15246"/>
      <c r="T15246"/>
      <c r="U15246"/>
      <c r="X15246" s="60"/>
    </row>
    <row r="15247" spans="7:24" ht="15" customHeight="1">
      <c r="G15247"/>
      <c r="I15247"/>
      <c r="N15247"/>
      <c r="O15247" s="24"/>
      <c r="P15247"/>
      <c r="Q15247" s="24"/>
      <c r="R15247"/>
      <c r="S15247"/>
      <c r="T15247"/>
      <c r="U15247"/>
      <c r="X15247" s="60"/>
    </row>
    <row r="15248" spans="7:24" ht="15" customHeight="1">
      <c r="G15248"/>
      <c r="I15248"/>
      <c r="N15248"/>
      <c r="O15248" s="24"/>
      <c r="P15248"/>
      <c r="Q15248" s="24"/>
      <c r="R15248"/>
      <c r="S15248"/>
      <c r="T15248"/>
      <c r="U15248"/>
      <c r="X15248" s="60"/>
    </row>
    <row r="15249" spans="7:24" ht="15" customHeight="1">
      <c r="G15249"/>
      <c r="I15249"/>
      <c r="N15249"/>
      <c r="O15249" s="24"/>
      <c r="P15249"/>
      <c r="Q15249" s="24"/>
      <c r="R15249"/>
      <c r="S15249"/>
      <c r="T15249"/>
      <c r="U15249"/>
      <c r="X15249" s="60"/>
    </row>
    <row r="15250" spans="7:24" ht="15" customHeight="1">
      <c r="G15250"/>
      <c r="I15250"/>
      <c r="N15250"/>
      <c r="O15250" s="24"/>
      <c r="P15250"/>
      <c r="Q15250" s="24"/>
      <c r="R15250"/>
      <c r="S15250"/>
      <c r="T15250"/>
      <c r="U15250"/>
      <c r="X15250" s="60"/>
    </row>
    <row r="15251" spans="7:24" ht="15" customHeight="1">
      <c r="G15251"/>
      <c r="I15251"/>
      <c r="N15251"/>
      <c r="O15251" s="24"/>
      <c r="P15251"/>
      <c r="Q15251" s="24"/>
      <c r="R15251"/>
      <c r="S15251"/>
      <c r="T15251"/>
      <c r="U15251"/>
      <c r="X15251" s="60"/>
    </row>
    <row r="15252" spans="7:24" ht="15" customHeight="1">
      <c r="G15252"/>
      <c r="I15252"/>
      <c r="N15252"/>
      <c r="O15252" s="24"/>
      <c r="P15252"/>
      <c r="Q15252" s="24"/>
      <c r="R15252"/>
      <c r="S15252"/>
      <c r="T15252"/>
      <c r="U15252"/>
      <c r="X15252" s="60"/>
    </row>
    <row r="15253" spans="7:24" ht="15" customHeight="1">
      <c r="G15253"/>
      <c r="I15253"/>
      <c r="N15253"/>
      <c r="O15253" s="24"/>
      <c r="P15253"/>
      <c r="Q15253" s="24"/>
      <c r="R15253"/>
      <c r="S15253"/>
      <c r="T15253"/>
      <c r="U15253"/>
      <c r="X15253" s="60"/>
    </row>
    <row r="15254" spans="7:24" ht="15" customHeight="1">
      <c r="G15254"/>
      <c r="I15254"/>
      <c r="N15254"/>
      <c r="O15254" s="24"/>
      <c r="P15254"/>
      <c r="Q15254" s="24"/>
      <c r="R15254"/>
      <c r="S15254"/>
      <c r="T15254"/>
      <c r="U15254"/>
      <c r="X15254" s="60"/>
    </row>
    <row r="15255" spans="7:24" ht="15" customHeight="1">
      <c r="G15255"/>
      <c r="I15255"/>
      <c r="N15255"/>
      <c r="O15255" s="24"/>
      <c r="P15255"/>
      <c r="Q15255" s="24"/>
      <c r="R15255"/>
      <c r="S15255"/>
      <c r="T15255"/>
      <c r="U15255"/>
      <c r="X15255" s="60"/>
    </row>
    <row r="15256" spans="7:24" ht="15" customHeight="1">
      <c r="G15256"/>
      <c r="I15256"/>
      <c r="N15256"/>
      <c r="O15256" s="24"/>
      <c r="P15256"/>
      <c r="Q15256" s="24"/>
      <c r="R15256"/>
      <c r="S15256"/>
      <c r="T15256"/>
      <c r="U15256"/>
      <c r="X15256" s="60"/>
    </row>
    <row r="15257" spans="7:24" ht="15" customHeight="1">
      <c r="G15257"/>
      <c r="I15257"/>
      <c r="N15257"/>
      <c r="O15257" s="24"/>
      <c r="P15257"/>
      <c r="Q15257" s="24"/>
      <c r="R15257"/>
      <c r="S15257"/>
      <c r="T15257"/>
      <c r="U15257"/>
      <c r="X15257" s="60"/>
    </row>
    <row r="15258" spans="7:24" ht="15" customHeight="1">
      <c r="G15258"/>
      <c r="I15258"/>
      <c r="N15258"/>
      <c r="O15258" s="24"/>
      <c r="P15258"/>
      <c r="Q15258" s="24"/>
      <c r="R15258"/>
      <c r="S15258"/>
      <c r="T15258"/>
      <c r="U15258"/>
      <c r="X15258" s="60"/>
    </row>
    <row r="15259" spans="7:24" ht="15" customHeight="1">
      <c r="G15259"/>
      <c r="I15259"/>
      <c r="N15259"/>
      <c r="O15259" s="24"/>
      <c r="P15259"/>
      <c r="Q15259" s="24"/>
      <c r="R15259"/>
      <c r="S15259"/>
      <c r="T15259"/>
      <c r="U15259"/>
      <c r="X15259" s="60"/>
    </row>
    <row r="15260" spans="7:24" ht="15" customHeight="1">
      <c r="G15260"/>
      <c r="I15260"/>
      <c r="N15260"/>
      <c r="O15260" s="24"/>
      <c r="P15260"/>
      <c r="Q15260" s="24"/>
      <c r="R15260"/>
      <c r="S15260"/>
      <c r="T15260"/>
      <c r="U15260"/>
      <c r="X15260" s="60"/>
    </row>
    <row r="15261" spans="7:24" ht="15" customHeight="1">
      <c r="G15261"/>
      <c r="I15261"/>
      <c r="N15261"/>
      <c r="O15261" s="24"/>
      <c r="P15261"/>
      <c r="Q15261" s="24"/>
      <c r="R15261"/>
      <c r="S15261"/>
      <c r="T15261"/>
      <c r="U15261"/>
      <c r="X15261" s="60"/>
    </row>
    <row r="15262" spans="7:24" ht="15" customHeight="1">
      <c r="G15262"/>
      <c r="I15262"/>
      <c r="N15262"/>
      <c r="O15262" s="24"/>
      <c r="P15262"/>
      <c r="Q15262" s="24"/>
      <c r="R15262"/>
      <c r="S15262"/>
      <c r="T15262"/>
      <c r="U15262"/>
      <c r="X15262" s="60"/>
    </row>
    <row r="15263" spans="7:24" ht="15" customHeight="1">
      <c r="G15263"/>
      <c r="I15263"/>
      <c r="N15263"/>
      <c r="O15263" s="24"/>
      <c r="P15263"/>
      <c r="Q15263" s="24"/>
      <c r="R15263"/>
      <c r="S15263"/>
      <c r="T15263"/>
      <c r="U15263"/>
      <c r="X15263" s="60"/>
    </row>
    <row r="15264" spans="7:24" ht="15" customHeight="1">
      <c r="G15264"/>
      <c r="I15264"/>
      <c r="N15264"/>
      <c r="O15264" s="24"/>
      <c r="P15264"/>
      <c r="Q15264" s="24"/>
      <c r="R15264"/>
      <c r="S15264"/>
      <c r="T15264"/>
      <c r="U15264"/>
      <c r="X15264" s="60"/>
    </row>
    <row r="15265" spans="7:24" ht="15" customHeight="1">
      <c r="G15265"/>
      <c r="I15265"/>
      <c r="N15265"/>
      <c r="O15265" s="24"/>
      <c r="P15265"/>
      <c r="Q15265" s="24"/>
      <c r="R15265"/>
      <c r="S15265"/>
      <c r="T15265"/>
      <c r="U15265"/>
      <c r="X15265" s="60"/>
    </row>
    <row r="15266" spans="7:24" ht="15" customHeight="1">
      <c r="G15266"/>
      <c r="I15266"/>
      <c r="N15266"/>
      <c r="O15266" s="24"/>
      <c r="P15266"/>
      <c r="Q15266" s="24"/>
      <c r="R15266"/>
      <c r="S15266"/>
      <c r="T15266"/>
      <c r="U15266"/>
      <c r="X15266" s="60"/>
    </row>
    <row r="15267" spans="7:24" ht="15" customHeight="1">
      <c r="G15267"/>
      <c r="I15267"/>
      <c r="N15267"/>
      <c r="O15267" s="24"/>
      <c r="P15267"/>
      <c r="Q15267" s="24"/>
      <c r="R15267"/>
      <c r="S15267"/>
      <c r="T15267"/>
      <c r="U15267"/>
      <c r="X15267" s="60"/>
    </row>
    <row r="15268" spans="7:24" ht="15" customHeight="1">
      <c r="G15268"/>
      <c r="I15268"/>
      <c r="N15268"/>
      <c r="O15268" s="24"/>
      <c r="P15268"/>
      <c r="Q15268" s="24"/>
      <c r="R15268"/>
      <c r="S15268"/>
      <c r="T15268"/>
      <c r="U15268"/>
      <c r="X15268" s="60"/>
    </row>
    <row r="15269" spans="7:24" ht="15" customHeight="1">
      <c r="G15269"/>
      <c r="I15269"/>
      <c r="N15269"/>
      <c r="O15269" s="24"/>
      <c r="P15269"/>
      <c r="Q15269" s="24"/>
      <c r="R15269"/>
      <c r="S15269"/>
      <c r="T15269"/>
      <c r="U15269"/>
      <c r="X15269" s="60"/>
    </row>
    <row r="15270" spans="7:24" ht="15" customHeight="1">
      <c r="G15270"/>
      <c r="I15270"/>
      <c r="N15270"/>
      <c r="O15270" s="24"/>
      <c r="P15270"/>
      <c r="Q15270" s="24"/>
      <c r="R15270"/>
      <c r="S15270"/>
      <c r="T15270"/>
      <c r="U15270"/>
      <c r="X15270" s="60"/>
    </row>
    <row r="15271" spans="7:24" ht="15" customHeight="1">
      <c r="G15271"/>
      <c r="I15271"/>
      <c r="N15271"/>
      <c r="O15271" s="24"/>
      <c r="P15271"/>
      <c r="Q15271" s="24"/>
      <c r="R15271"/>
      <c r="S15271"/>
      <c r="T15271"/>
      <c r="U15271"/>
      <c r="X15271" s="60"/>
    </row>
    <row r="15272" spans="7:24" ht="15" customHeight="1">
      <c r="G15272"/>
      <c r="I15272"/>
      <c r="N15272"/>
      <c r="O15272" s="24"/>
      <c r="P15272"/>
      <c r="Q15272" s="24"/>
      <c r="R15272"/>
      <c r="S15272"/>
      <c r="T15272"/>
      <c r="U15272"/>
      <c r="X15272" s="60"/>
    </row>
    <row r="15273" spans="7:24" ht="15" customHeight="1">
      <c r="G15273"/>
      <c r="I15273"/>
      <c r="N15273"/>
      <c r="O15273" s="24"/>
      <c r="P15273"/>
      <c r="Q15273" s="24"/>
      <c r="R15273"/>
      <c r="S15273"/>
      <c r="T15273"/>
      <c r="U15273"/>
      <c r="X15273" s="60"/>
    </row>
    <row r="15274" spans="7:24" ht="15" customHeight="1">
      <c r="G15274"/>
      <c r="I15274"/>
      <c r="N15274"/>
      <c r="O15274" s="24"/>
      <c r="P15274"/>
      <c r="Q15274" s="24"/>
      <c r="R15274"/>
      <c r="S15274"/>
      <c r="T15274"/>
      <c r="U15274"/>
      <c r="X15274" s="60"/>
    </row>
    <row r="15275" spans="7:24" ht="15" customHeight="1">
      <c r="G15275"/>
      <c r="I15275"/>
      <c r="N15275"/>
      <c r="O15275" s="24"/>
      <c r="P15275"/>
      <c r="Q15275" s="24"/>
      <c r="R15275"/>
      <c r="S15275"/>
      <c r="T15275"/>
      <c r="U15275"/>
      <c r="X15275" s="60"/>
    </row>
    <row r="15276" spans="7:24" ht="15" customHeight="1">
      <c r="G15276"/>
      <c r="I15276"/>
      <c r="N15276"/>
      <c r="O15276" s="24"/>
      <c r="P15276"/>
      <c r="Q15276" s="24"/>
      <c r="R15276"/>
      <c r="S15276"/>
      <c r="T15276"/>
      <c r="U15276"/>
      <c r="X15276" s="60"/>
    </row>
    <row r="15277" spans="7:24" ht="15" customHeight="1">
      <c r="G15277"/>
      <c r="I15277"/>
      <c r="N15277"/>
      <c r="O15277" s="24"/>
      <c r="P15277"/>
      <c r="Q15277" s="24"/>
      <c r="R15277"/>
      <c r="S15277"/>
      <c r="T15277"/>
      <c r="U15277"/>
      <c r="X15277" s="60"/>
    </row>
    <row r="15278" spans="7:24" ht="15" customHeight="1">
      <c r="G15278"/>
      <c r="I15278"/>
      <c r="N15278"/>
      <c r="O15278" s="24"/>
      <c r="P15278"/>
      <c r="Q15278" s="24"/>
      <c r="R15278"/>
      <c r="S15278"/>
      <c r="T15278"/>
      <c r="U15278"/>
      <c r="X15278" s="60"/>
    </row>
    <row r="15279" spans="7:24" ht="15" customHeight="1">
      <c r="G15279"/>
      <c r="I15279"/>
      <c r="N15279"/>
      <c r="O15279" s="24"/>
      <c r="P15279"/>
      <c r="Q15279" s="24"/>
      <c r="R15279"/>
      <c r="S15279"/>
      <c r="T15279"/>
      <c r="U15279"/>
      <c r="X15279" s="60"/>
    </row>
    <row r="15280" spans="7:24" ht="15" customHeight="1">
      <c r="G15280"/>
      <c r="I15280"/>
      <c r="N15280"/>
      <c r="O15280" s="24"/>
      <c r="P15280"/>
      <c r="Q15280" s="24"/>
      <c r="R15280"/>
      <c r="S15280"/>
      <c r="T15280"/>
      <c r="U15280"/>
      <c r="X15280" s="60"/>
    </row>
    <row r="15281" spans="7:24" ht="15" customHeight="1">
      <c r="G15281"/>
      <c r="I15281"/>
      <c r="N15281"/>
      <c r="O15281" s="24"/>
      <c r="P15281"/>
      <c r="Q15281" s="24"/>
      <c r="R15281"/>
      <c r="S15281"/>
      <c r="T15281"/>
      <c r="U15281"/>
      <c r="X15281" s="60"/>
    </row>
    <row r="15282" spans="7:24" ht="15" customHeight="1">
      <c r="G15282"/>
      <c r="I15282"/>
      <c r="N15282"/>
      <c r="O15282" s="24"/>
      <c r="P15282"/>
      <c r="Q15282" s="24"/>
      <c r="R15282"/>
      <c r="S15282"/>
      <c r="T15282"/>
      <c r="U15282"/>
      <c r="X15282" s="60"/>
    </row>
    <row r="15283" spans="7:24" ht="15" customHeight="1">
      <c r="G15283"/>
      <c r="I15283"/>
      <c r="N15283"/>
      <c r="O15283" s="24"/>
      <c r="P15283"/>
      <c r="Q15283" s="24"/>
      <c r="R15283"/>
      <c r="S15283"/>
      <c r="T15283"/>
      <c r="U15283"/>
      <c r="X15283" s="60"/>
    </row>
    <row r="15284" spans="7:24" ht="15" customHeight="1">
      <c r="G15284"/>
      <c r="I15284"/>
      <c r="N15284"/>
      <c r="O15284" s="24"/>
      <c r="P15284"/>
      <c r="Q15284" s="24"/>
      <c r="R15284"/>
      <c r="S15284"/>
      <c r="T15284"/>
      <c r="U15284"/>
      <c r="X15284" s="60"/>
    </row>
    <row r="15285" spans="7:24" ht="15" customHeight="1">
      <c r="G15285"/>
      <c r="I15285"/>
      <c r="N15285"/>
      <c r="O15285" s="24"/>
      <c r="P15285"/>
      <c r="Q15285" s="24"/>
      <c r="R15285"/>
      <c r="S15285"/>
      <c r="T15285"/>
      <c r="U15285"/>
      <c r="X15285" s="60"/>
    </row>
    <row r="15286" spans="7:24" ht="15" customHeight="1">
      <c r="G15286"/>
      <c r="I15286"/>
      <c r="N15286"/>
      <c r="O15286" s="24"/>
      <c r="P15286"/>
      <c r="Q15286" s="24"/>
      <c r="R15286"/>
      <c r="S15286"/>
      <c r="T15286"/>
      <c r="U15286"/>
      <c r="X15286" s="60"/>
    </row>
    <row r="15287" spans="7:24" ht="15" customHeight="1">
      <c r="G15287"/>
      <c r="I15287"/>
      <c r="N15287"/>
      <c r="O15287" s="24"/>
      <c r="P15287"/>
      <c r="Q15287" s="24"/>
      <c r="R15287"/>
      <c r="S15287"/>
      <c r="T15287"/>
      <c r="U15287"/>
      <c r="X15287" s="60"/>
    </row>
    <row r="15288" spans="7:24" ht="15" customHeight="1">
      <c r="G15288"/>
      <c r="I15288"/>
      <c r="N15288"/>
      <c r="O15288" s="24"/>
      <c r="P15288"/>
      <c r="Q15288" s="24"/>
      <c r="R15288"/>
      <c r="S15288"/>
      <c r="T15288"/>
      <c r="U15288"/>
      <c r="X15288" s="60"/>
    </row>
    <row r="15289" spans="7:24" ht="15" customHeight="1">
      <c r="G15289"/>
      <c r="I15289"/>
      <c r="N15289"/>
      <c r="O15289" s="24"/>
      <c r="P15289"/>
      <c r="Q15289" s="24"/>
      <c r="R15289"/>
      <c r="S15289"/>
      <c r="T15289"/>
      <c r="U15289"/>
      <c r="X15289" s="60"/>
    </row>
    <row r="15290" spans="7:24" ht="15" customHeight="1">
      <c r="G15290"/>
      <c r="I15290"/>
      <c r="N15290"/>
      <c r="O15290" s="24"/>
      <c r="P15290"/>
      <c r="Q15290" s="24"/>
      <c r="R15290"/>
      <c r="S15290"/>
      <c r="T15290"/>
      <c r="U15290"/>
      <c r="X15290" s="60"/>
    </row>
    <row r="15291" spans="7:24" ht="15" customHeight="1">
      <c r="G15291"/>
      <c r="I15291"/>
      <c r="N15291"/>
      <c r="O15291" s="24"/>
      <c r="P15291"/>
      <c r="Q15291" s="24"/>
      <c r="R15291"/>
      <c r="S15291"/>
      <c r="T15291"/>
      <c r="U15291"/>
      <c r="X15291" s="60"/>
    </row>
    <row r="15292" spans="7:24" ht="15" customHeight="1">
      <c r="G15292"/>
      <c r="I15292"/>
      <c r="N15292"/>
      <c r="O15292" s="24"/>
      <c r="P15292"/>
      <c r="Q15292" s="24"/>
      <c r="R15292"/>
      <c r="S15292"/>
      <c r="T15292"/>
      <c r="U15292"/>
      <c r="X15292" s="60"/>
    </row>
    <row r="15293" spans="7:24" ht="15" customHeight="1">
      <c r="G15293"/>
      <c r="I15293"/>
      <c r="N15293"/>
      <c r="O15293" s="24"/>
      <c r="P15293"/>
      <c r="Q15293" s="24"/>
      <c r="R15293"/>
      <c r="S15293"/>
      <c r="T15293"/>
      <c r="U15293"/>
      <c r="X15293" s="60"/>
    </row>
    <row r="15294" spans="7:24" ht="15" customHeight="1">
      <c r="G15294"/>
      <c r="I15294"/>
      <c r="N15294"/>
      <c r="O15294" s="24"/>
      <c r="P15294"/>
      <c r="Q15294" s="24"/>
      <c r="R15294"/>
      <c r="S15294"/>
      <c r="T15294"/>
      <c r="U15294"/>
      <c r="X15294" s="60"/>
    </row>
    <row r="15295" spans="7:24" ht="15" customHeight="1">
      <c r="G15295"/>
      <c r="I15295"/>
      <c r="N15295"/>
      <c r="O15295" s="24"/>
      <c r="P15295"/>
      <c r="Q15295" s="24"/>
      <c r="R15295"/>
      <c r="S15295"/>
      <c r="T15295"/>
      <c r="U15295"/>
      <c r="X15295" s="60"/>
    </row>
    <row r="15296" spans="7:24" ht="15" customHeight="1">
      <c r="G15296"/>
      <c r="I15296"/>
      <c r="N15296"/>
      <c r="O15296" s="24"/>
      <c r="P15296"/>
      <c r="Q15296" s="24"/>
      <c r="R15296"/>
      <c r="S15296"/>
      <c r="T15296"/>
      <c r="U15296"/>
      <c r="X15296" s="60"/>
    </row>
    <row r="15297" spans="7:24" ht="15" customHeight="1">
      <c r="G15297"/>
      <c r="I15297"/>
      <c r="N15297"/>
      <c r="O15297" s="24"/>
      <c r="P15297"/>
      <c r="Q15297" s="24"/>
      <c r="R15297"/>
      <c r="S15297"/>
      <c r="T15297"/>
      <c r="U15297"/>
      <c r="X15297" s="60"/>
    </row>
    <row r="15298" spans="7:24" ht="15" customHeight="1">
      <c r="G15298"/>
      <c r="I15298"/>
      <c r="N15298"/>
      <c r="O15298" s="24"/>
      <c r="P15298"/>
      <c r="Q15298" s="24"/>
      <c r="R15298"/>
      <c r="S15298"/>
      <c r="T15298"/>
      <c r="U15298"/>
      <c r="X15298" s="60"/>
    </row>
    <row r="15299" spans="7:24" ht="15" customHeight="1">
      <c r="G15299"/>
      <c r="I15299"/>
      <c r="N15299"/>
      <c r="O15299" s="24"/>
      <c r="P15299"/>
      <c r="Q15299" s="24"/>
      <c r="R15299"/>
      <c r="S15299"/>
      <c r="T15299"/>
      <c r="U15299"/>
      <c r="X15299" s="60"/>
    </row>
    <row r="15300" spans="7:24" ht="15" customHeight="1">
      <c r="G15300"/>
      <c r="I15300"/>
      <c r="N15300"/>
      <c r="O15300" s="24"/>
      <c r="P15300"/>
      <c r="Q15300" s="24"/>
      <c r="R15300"/>
      <c r="S15300"/>
      <c r="T15300"/>
      <c r="U15300"/>
      <c r="X15300" s="60"/>
    </row>
    <row r="15301" spans="7:24" ht="15" customHeight="1">
      <c r="G15301"/>
      <c r="I15301"/>
      <c r="N15301"/>
      <c r="O15301" s="24"/>
      <c r="P15301"/>
      <c r="Q15301" s="24"/>
      <c r="R15301"/>
      <c r="S15301"/>
      <c r="T15301"/>
      <c r="U15301"/>
      <c r="X15301" s="60"/>
    </row>
    <row r="15302" spans="7:24" ht="15" customHeight="1">
      <c r="G15302"/>
      <c r="I15302"/>
      <c r="N15302"/>
      <c r="O15302" s="24"/>
      <c r="P15302"/>
      <c r="Q15302" s="24"/>
      <c r="R15302"/>
      <c r="S15302"/>
      <c r="T15302"/>
      <c r="U15302"/>
      <c r="X15302" s="60"/>
    </row>
    <row r="15303" spans="7:24" ht="15" customHeight="1">
      <c r="G15303"/>
      <c r="I15303"/>
      <c r="N15303"/>
      <c r="O15303" s="24"/>
      <c r="P15303"/>
      <c r="Q15303" s="24"/>
      <c r="R15303"/>
      <c r="S15303"/>
      <c r="T15303"/>
      <c r="U15303"/>
      <c r="X15303" s="60"/>
    </row>
    <row r="15304" spans="7:24" ht="15" customHeight="1">
      <c r="G15304"/>
      <c r="I15304"/>
      <c r="N15304"/>
      <c r="O15304" s="24"/>
      <c r="P15304"/>
      <c r="Q15304" s="24"/>
      <c r="R15304"/>
      <c r="S15304"/>
      <c r="T15304"/>
      <c r="U15304"/>
      <c r="X15304" s="60"/>
    </row>
    <row r="15305" spans="7:24" ht="15" customHeight="1">
      <c r="G15305"/>
      <c r="I15305"/>
      <c r="N15305"/>
      <c r="O15305" s="24"/>
      <c r="P15305"/>
      <c r="Q15305" s="24"/>
      <c r="R15305"/>
      <c r="S15305"/>
      <c r="T15305"/>
      <c r="U15305"/>
      <c r="X15305" s="60"/>
    </row>
    <row r="15306" spans="7:24" ht="15" customHeight="1">
      <c r="G15306"/>
      <c r="I15306"/>
      <c r="N15306"/>
      <c r="O15306" s="24"/>
      <c r="P15306"/>
      <c r="Q15306" s="24"/>
      <c r="R15306"/>
      <c r="S15306"/>
      <c r="T15306"/>
      <c r="U15306"/>
      <c r="X15306" s="60"/>
    </row>
    <row r="15307" spans="7:24" ht="15" customHeight="1">
      <c r="G15307"/>
      <c r="I15307"/>
      <c r="N15307"/>
      <c r="O15307" s="24"/>
      <c r="P15307"/>
      <c r="Q15307" s="24"/>
      <c r="R15307"/>
      <c r="S15307"/>
      <c r="T15307"/>
      <c r="U15307"/>
      <c r="X15307" s="60"/>
    </row>
    <row r="15308" spans="7:24" ht="15" customHeight="1">
      <c r="G15308"/>
      <c r="I15308"/>
      <c r="N15308"/>
      <c r="O15308" s="24"/>
      <c r="P15308"/>
      <c r="Q15308" s="24"/>
      <c r="R15308"/>
      <c r="S15308"/>
      <c r="T15308"/>
      <c r="U15308"/>
      <c r="X15308" s="60"/>
    </row>
    <row r="15309" spans="7:24" ht="15" customHeight="1">
      <c r="G15309"/>
      <c r="I15309"/>
      <c r="N15309"/>
      <c r="O15309" s="24"/>
      <c r="P15309"/>
      <c r="Q15309" s="24"/>
      <c r="R15309"/>
      <c r="S15309"/>
      <c r="T15309"/>
      <c r="U15309"/>
      <c r="X15309" s="60"/>
    </row>
    <row r="15310" spans="7:24" ht="15" customHeight="1">
      <c r="G15310"/>
      <c r="I15310"/>
      <c r="N15310"/>
      <c r="O15310" s="24"/>
      <c r="P15310"/>
      <c r="Q15310" s="24"/>
      <c r="R15310"/>
      <c r="S15310"/>
      <c r="T15310"/>
      <c r="U15310"/>
      <c r="X15310" s="60"/>
    </row>
    <row r="15311" spans="7:24" ht="15" customHeight="1">
      <c r="G15311"/>
      <c r="I15311"/>
      <c r="N15311"/>
      <c r="O15311" s="24"/>
      <c r="P15311"/>
      <c r="Q15311" s="24"/>
      <c r="R15311"/>
      <c r="S15311"/>
      <c r="T15311"/>
      <c r="U15311"/>
      <c r="X15311" s="60"/>
    </row>
    <row r="15312" spans="7:24" ht="15" customHeight="1">
      <c r="G15312"/>
      <c r="I15312"/>
      <c r="N15312"/>
      <c r="O15312" s="24"/>
      <c r="P15312"/>
      <c r="Q15312" s="24"/>
      <c r="R15312"/>
      <c r="S15312"/>
      <c r="T15312"/>
      <c r="U15312"/>
      <c r="X15312" s="60"/>
    </row>
    <row r="15313" spans="7:24" ht="15" customHeight="1">
      <c r="G15313"/>
      <c r="I15313"/>
      <c r="N15313"/>
      <c r="O15313" s="24"/>
      <c r="P15313"/>
      <c r="Q15313" s="24"/>
      <c r="R15313"/>
      <c r="S15313"/>
      <c r="T15313"/>
      <c r="U15313"/>
      <c r="X15313" s="60"/>
    </row>
    <row r="15314" spans="7:24" ht="15" customHeight="1">
      <c r="G15314"/>
      <c r="I15314"/>
      <c r="N15314"/>
      <c r="O15314" s="24"/>
      <c r="P15314"/>
      <c r="Q15314" s="24"/>
      <c r="R15314"/>
      <c r="S15314"/>
      <c r="T15314"/>
      <c r="U15314"/>
      <c r="X15314" s="60"/>
    </row>
    <row r="15315" spans="7:24" ht="15" customHeight="1">
      <c r="G15315"/>
      <c r="I15315"/>
      <c r="N15315"/>
      <c r="O15315" s="24"/>
      <c r="P15315"/>
      <c r="Q15315" s="24"/>
      <c r="R15315"/>
      <c r="S15315"/>
      <c r="T15315"/>
      <c r="U15315"/>
      <c r="X15315" s="60"/>
    </row>
    <row r="15316" spans="7:24" ht="15" customHeight="1">
      <c r="G15316"/>
      <c r="I15316"/>
      <c r="N15316"/>
      <c r="O15316" s="24"/>
      <c r="P15316"/>
      <c r="Q15316" s="24"/>
      <c r="R15316"/>
      <c r="S15316"/>
      <c r="T15316"/>
      <c r="U15316"/>
      <c r="X15316" s="60"/>
    </row>
    <row r="15317" spans="7:24" ht="15" customHeight="1">
      <c r="G15317"/>
      <c r="I15317"/>
      <c r="N15317"/>
      <c r="O15317" s="24"/>
      <c r="P15317"/>
      <c r="Q15317" s="24"/>
      <c r="R15317"/>
      <c r="S15317"/>
      <c r="T15317"/>
      <c r="U15317"/>
      <c r="X15317" s="60"/>
    </row>
    <row r="15318" spans="7:24" ht="15" customHeight="1">
      <c r="G15318"/>
      <c r="I15318"/>
      <c r="N15318"/>
      <c r="O15318" s="24"/>
      <c r="P15318"/>
      <c r="Q15318" s="24"/>
      <c r="R15318"/>
      <c r="S15318"/>
      <c r="T15318"/>
      <c r="U15318"/>
      <c r="X15318" s="60"/>
    </row>
    <row r="15319" spans="7:24" ht="15" customHeight="1">
      <c r="G15319"/>
      <c r="I15319"/>
      <c r="N15319"/>
      <c r="O15319" s="24"/>
      <c r="P15319"/>
      <c r="Q15319" s="24"/>
      <c r="R15319"/>
      <c r="S15319"/>
      <c r="T15319"/>
      <c r="U15319"/>
      <c r="X15319" s="60"/>
    </row>
    <row r="15320" spans="7:24" ht="15" customHeight="1">
      <c r="G15320"/>
      <c r="I15320"/>
      <c r="N15320"/>
      <c r="O15320" s="24"/>
      <c r="P15320"/>
      <c r="Q15320" s="24"/>
      <c r="R15320"/>
      <c r="S15320"/>
      <c r="T15320"/>
      <c r="U15320"/>
      <c r="X15320" s="60"/>
    </row>
    <row r="15321" spans="7:24" ht="15" customHeight="1">
      <c r="G15321"/>
      <c r="I15321"/>
      <c r="N15321"/>
      <c r="O15321" s="24"/>
      <c r="P15321"/>
      <c r="Q15321" s="24"/>
      <c r="R15321"/>
      <c r="S15321"/>
      <c r="T15321"/>
      <c r="U15321"/>
      <c r="X15321" s="60"/>
    </row>
    <row r="15322" spans="7:24" ht="15" customHeight="1">
      <c r="G15322"/>
      <c r="I15322"/>
      <c r="N15322"/>
      <c r="O15322" s="24"/>
      <c r="P15322"/>
      <c r="Q15322" s="24"/>
      <c r="R15322"/>
      <c r="S15322"/>
      <c r="T15322"/>
      <c r="U15322"/>
      <c r="X15322" s="60"/>
    </row>
    <row r="15323" spans="7:24" ht="15" customHeight="1">
      <c r="G15323"/>
      <c r="I15323"/>
      <c r="N15323"/>
      <c r="O15323" s="24"/>
      <c r="P15323"/>
      <c r="Q15323" s="24"/>
      <c r="R15323"/>
      <c r="S15323"/>
      <c r="T15323"/>
      <c r="U15323"/>
      <c r="X15323" s="60"/>
    </row>
    <row r="15324" spans="7:24" ht="15" customHeight="1">
      <c r="G15324"/>
      <c r="I15324"/>
      <c r="N15324"/>
      <c r="O15324" s="24"/>
      <c r="P15324"/>
      <c r="Q15324" s="24"/>
      <c r="R15324"/>
      <c r="S15324"/>
      <c r="T15324"/>
      <c r="U15324"/>
      <c r="X15324" s="60"/>
    </row>
    <row r="15325" spans="7:24" ht="15" customHeight="1">
      <c r="G15325"/>
      <c r="I15325"/>
      <c r="N15325"/>
      <c r="O15325" s="24"/>
      <c r="P15325"/>
      <c r="Q15325" s="24"/>
      <c r="R15325"/>
      <c r="S15325"/>
      <c r="T15325"/>
      <c r="U15325"/>
      <c r="X15325" s="60"/>
    </row>
    <row r="15326" spans="7:24" ht="15" customHeight="1">
      <c r="G15326"/>
      <c r="I15326"/>
      <c r="N15326"/>
      <c r="O15326" s="24"/>
      <c r="P15326"/>
      <c r="Q15326" s="24"/>
      <c r="R15326"/>
      <c r="S15326"/>
      <c r="T15326"/>
      <c r="U15326"/>
      <c r="X15326" s="60"/>
    </row>
    <row r="15327" spans="7:24" ht="15" customHeight="1">
      <c r="G15327"/>
      <c r="I15327"/>
      <c r="N15327"/>
      <c r="O15327" s="24"/>
      <c r="P15327"/>
      <c r="Q15327" s="24"/>
      <c r="R15327"/>
      <c r="S15327"/>
      <c r="T15327"/>
      <c r="U15327"/>
      <c r="X15327" s="60"/>
    </row>
    <row r="15328" spans="7:24" ht="15" customHeight="1">
      <c r="G15328"/>
      <c r="I15328"/>
      <c r="N15328"/>
      <c r="O15328" s="24"/>
      <c r="P15328"/>
      <c r="Q15328" s="24"/>
      <c r="R15328"/>
      <c r="S15328"/>
      <c r="T15328"/>
      <c r="U15328"/>
      <c r="X15328" s="60"/>
    </row>
    <row r="15329" spans="7:24" ht="15" customHeight="1">
      <c r="G15329"/>
      <c r="I15329"/>
      <c r="N15329"/>
      <c r="O15329" s="24"/>
      <c r="P15329"/>
      <c r="Q15329" s="24"/>
      <c r="R15329"/>
      <c r="S15329"/>
      <c r="T15329"/>
      <c r="U15329"/>
      <c r="X15329" s="60"/>
    </row>
    <row r="15330" spans="7:24" ht="15" customHeight="1">
      <c r="G15330"/>
      <c r="I15330"/>
      <c r="N15330"/>
      <c r="O15330" s="24"/>
      <c r="P15330"/>
      <c r="Q15330" s="24"/>
      <c r="R15330"/>
      <c r="S15330"/>
      <c r="T15330"/>
      <c r="U15330"/>
      <c r="X15330" s="60"/>
    </row>
    <row r="15331" spans="7:24" ht="15" customHeight="1">
      <c r="G15331"/>
      <c r="I15331"/>
      <c r="N15331"/>
      <c r="O15331" s="24"/>
      <c r="P15331"/>
      <c r="Q15331" s="24"/>
      <c r="R15331"/>
      <c r="S15331"/>
      <c r="T15331"/>
      <c r="U15331"/>
      <c r="X15331" s="60"/>
    </row>
    <row r="15332" spans="7:24" ht="15" customHeight="1">
      <c r="G15332"/>
      <c r="I15332"/>
      <c r="N15332"/>
      <c r="O15332" s="24"/>
      <c r="P15332"/>
      <c r="Q15332" s="24"/>
      <c r="R15332"/>
      <c r="S15332"/>
      <c r="T15332"/>
      <c r="U15332"/>
      <c r="X15332" s="60"/>
    </row>
    <row r="15333" spans="7:24" ht="15" customHeight="1">
      <c r="G15333"/>
      <c r="I15333"/>
      <c r="N15333"/>
      <c r="O15333" s="24"/>
      <c r="P15333"/>
      <c r="Q15333" s="24"/>
      <c r="R15333"/>
      <c r="S15333"/>
      <c r="T15333"/>
      <c r="U15333"/>
      <c r="X15333" s="60"/>
    </row>
    <row r="15334" spans="7:24" ht="15" customHeight="1">
      <c r="G15334"/>
      <c r="I15334"/>
      <c r="N15334"/>
      <c r="O15334" s="24"/>
      <c r="P15334"/>
      <c r="Q15334" s="24"/>
      <c r="R15334"/>
      <c r="S15334"/>
      <c r="T15334"/>
      <c r="U15334"/>
      <c r="X15334" s="60"/>
    </row>
    <row r="15335" spans="7:24" ht="15" customHeight="1">
      <c r="G15335"/>
      <c r="I15335"/>
      <c r="N15335"/>
      <c r="O15335" s="24"/>
      <c r="P15335"/>
      <c r="Q15335" s="24"/>
      <c r="R15335"/>
      <c r="S15335"/>
      <c r="T15335"/>
      <c r="U15335"/>
      <c r="X15335" s="60"/>
    </row>
    <row r="15336" spans="7:24" ht="15" customHeight="1">
      <c r="G15336"/>
      <c r="I15336"/>
      <c r="N15336"/>
      <c r="O15336" s="24"/>
      <c r="P15336"/>
      <c r="Q15336" s="24"/>
      <c r="R15336"/>
      <c r="S15336"/>
      <c r="T15336"/>
      <c r="U15336"/>
      <c r="X15336" s="60"/>
    </row>
    <row r="15337" spans="7:24" ht="15" customHeight="1">
      <c r="G15337"/>
      <c r="I15337"/>
      <c r="N15337"/>
      <c r="O15337" s="24"/>
      <c r="P15337"/>
      <c r="Q15337" s="24"/>
      <c r="R15337"/>
      <c r="S15337"/>
      <c r="T15337"/>
      <c r="U15337"/>
      <c r="X15337" s="60"/>
    </row>
    <row r="15338" spans="7:24" ht="15" customHeight="1">
      <c r="G15338"/>
      <c r="I15338"/>
      <c r="N15338"/>
      <c r="O15338" s="24"/>
      <c r="P15338"/>
      <c r="Q15338" s="24"/>
      <c r="R15338"/>
      <c r="S15338"/>
      <c r="T15338"/>
      <c r="U15338"/>
      <c r="X15338" s="60"/>
    </row>
    <row r="15339" spans="7:24" ht="15" customHeight="1">
      <c r="G15339"/>
      <c r="I15339"/>
      <c r="N15339"/>
      <c r="O15339" s="24"/>
      <c r="P15339"/>
      <c r="Q15339" s="24"/>
      <c r="R15339"/>
      <c r="S15339"/>
      <c r="T15339"/>
      <c r="U15339"/>
      <c r="X15339" s="60"/>
    </row>
    <row r="15340" spans="7:24" ht="15" customHeight="1">
      <c r="G15340"/>
      <c r="I15340"/>
      <c r="N15340"/>
      <c r="O15340" s="24"/>
      <c r="P15340"/>
      <c r="Q15340" s="24"/>
      <c r="R15340"/>
      <c r="S15340"/>
      <c r="T15340"/>
      <c r="U15340"/>
      <c r="X15340" s="60"/>
    </row>
    <row r="15341" spans="7:24" ht="15" customHeight="1">
      <c r="G15341"/>
      <c r="I15341"/>
      <c r="N15341"/>
      <c r="O15341" s="24"/>
      <c r="P15341"/>
      <c r="Q15341" s="24"/>
      <c r="R15341"/>
      <c r="S15341"/>
      <c r="T15341"/>
      <c r="U15341"/>
      <c r="X15341" s="60"/>
    </row>
    <row r="15342" spans="7:24" ht="15" customHeight="1">
      <c r="G15342"/>
      <c r="I15342"/>
      <c r="N15342"/>
      <c r="O15342" s="24"/>
      <c r="P15342"/>
      <c r="Q15342" s="24"/>
      <c r="R15342"/>
      <c r="S15342"/>
      <c r="T15342"/>
      <c r="U15342"/>
      <c r="X15342" s="60"/>
    </row>
    <row r="15343" spans="7:24" ht="15" customHeight="1">
      <c r="G15343"/>
      <c r="I15343"/>
      <c r="N15343"/>
      <c r="O15343" s="24"/>
      <c r="P15343"/>
      <c r="Q15343" s="24"/>
      <c r="R15343"/>
      <c r="S15343"/>
      <c r="T15343"/>
      <c r="U15343"/>
      <c r="X15343" s="60"/>
    </row>
    <row r="15344" spans="7:24" ht="15" customHeight="1">
      <c r="G15344"/>
      <c r="I15344"/>
      <c r="N15344"/>
      <c r="O15344" s="24"/>
      <c r="P15344"/>
      <c r="Q15344" s="24"/>
      <c r="R15344"/>
      <c r="S15344"/>
      <c r="T15344"/>
      <c r="U15344"/>
      <c r="X15344" s="60"/>
    </row>
    <row r="15345" spans="7:24" ht="15" customHeight="1">
      <c r="G15345"/>
      <c r="I15345"/>
      <c r="N15345"/>
      <c r="O15345" s="24"/>
      <c r="P15345"/>
      <c r="Q15345" s="24"/>
      <c r="R15345"/>
      <c r="S15345"/>
      <c r="T15345"/>
      <c r="U15345"/>
      <c r="X15345" s="60"/>
    </row>
    <row r="15346" spans="7:24" ht="15" customHeight="1">
      <c r="G15346"/>
      <c r="I15346"/>
      <c r="N15346"/>
      <c r="O15346" s="24"/>
      <c r="P15346"/>
      <c r="Q15346" s="24"/>
      <c r="R15346"/>
      <c r="S15346"/>
      <c r="T15346"/>
      <c r="U15346"/>
      <c r="X15346" s="60"/>
    </row>
    <row r="15347" spans="7:24" ht="15" customHeight="1">
      <c r="G15347"/>
      <c r="I15347"/>
      <c r="N15347"/>
      <c r="O15347" s="24"/>
      <c r="P15347"/>
      <c r="Q15347" s="24"/>
      <c r="R15347"/>
      <c r="S15347"/>
      <c r="T15347"/>
      <c r="U15347"/>
      <c r="X15347" s="60"/>
    </row>
    <row r="15348" spans="7:24" ht="15" customHeight="1">
      <c r="G15348"/>
      <c r="I15348"/>
      <c r="N15348"/>
      <c r="O15348" s="24"/>
      <c r="P15348"/>
      <c r="Q15348" s="24"/>
      <c r="R15348"/>
      <c r="S15348"/>
      <c r="T15348"/>
      <c r="U15348"/>
      <c r="X15348" s="60"/>
    </row>
    <row r="15349" spans="7:24" ht="15" customHeight="1">
      <c r="G15349"/>
      <c r="I15349"/>
      <c r="N15349"/>
      <c r="O15349" s="24"/>
      <c r="P15349"/>
      <c r="Q15349" s="24"/>
      <c r="R15349"/>
      <c r="S15349"/>
      <c r="T15349"/>
      <c r="U15349"/>
      <c r="X15349" s="60"/>
    </row>
    <row r="15350" spans="7:24" ht="15" customHeight="1">
      <c r="G15350"/>
      <c r="I15350"/>
      <c r="N15350"/>
      <c r="O15350" s="24"/>
      <c r="P15350"/>
      <c r="Q15350" s="24"/>
      <c r="R15350"/>
      <c r="S15350"/>
      <c r="T15350"/>
      <c r="U15350"/>
      <c r="X15350" s="60"/>
    </row>
    <row r="15351" spans="7:24" ht="15" customHeight="1">
      <c r="G15351"/>
      <c r="I15351"/>
      <c r="N15351"/>
      <c r="O15351" s="24"/>
      <c r="P15351"/>
      <c r="Q15351" s="24"/>
      <c r="R15351"/>
      <c r="S15351"/>
      <c r="T15351"/>
      <c r="U15351"/>
      <c r="X15351" s="60"/>
    </row>
    <row r="15352" spans="7:24" ht="15" customHeight="1">
      <c r="G15352"/>
      <c r="I15352"/>
      <c r="N15352"/>
      <c r="O15352" s="24"/>
      <c r="P15352"/>
      <c r="Q15352" s="24"/>
      <c r="R15352"/>
      <c r="S15352"/>
      <c r="T15352"/>
      <c r="U15352"/>
      <c r="X15352" s="60"/>
    </row>
    <row r="15353" spans="7:24" ht="15" customHeight="1">
      <c r="G15353"/>
      <c r="I15353"/>
      <c r="N15353"/>
      <c r="O15353" s="24"/>
      <c r="P15353"/>
      <c r="Q15353" s="24"/>
      <c r="R15353"/>
      <c r="S15353"/>
      <c r="T15353"/>
      <c r="U15353"/>
      <c r="X15353" s="60"/>
    </row>
    <row r="15354" spans="7:24" ht="15" customHeight="1">
      <c r="G15354"/>
      <c r="I15354"/>
      <c r="N15354"/>
      <c r="O15354" s="24"/>
      <c r="P15354"/>
      <c r="Q15354" s="24"/>
      <c r="R15354"/>
      <c r="S15354"/>
      <c r="T15354"/>
      <c r="U15354"/>
      <c r="X15354" s="60"/>
    </row>
    <row r="15355" spans="7:24" ht="15" customHeight="1">
      <c r="G15355"/>
      <c r="I15355"/>
      <c r="N15355"/>
      <c r="O15355" s="24"/>
      <c r="P15355"/>
      <c r="Q15355" s="24"/>
      <c r="R15355"/>
      <c r="S15355"/>
      <c r="T15355"/>
      <c r="U15355"/>
      <c r="X15355" s="60"/>
    </row>
    <row r="15356" spans="7:24" ht="15" customHeight="1">
      <c r="G15356"/>
      <c r="I15356"/>
      <c r="N15356"/>
      <c r="O15356" s="24"/>
      <c r="P15356"/>
      <c r="Q15356" s="24"/>
      <c r="R15356"/>
      <c r="S15356"/>
      <c r="T15356"/>
      <c r="U15356"/>
      <c r="X15356" s="60"/>
    </row>
    <row r="15357" spans="7:24" ht="15" customHeight="1">
      <c r="G15357"/>
      <c r="I15357"/>
      <c r="N15357"/>
      <c r="O15357" s="24"/>
      <c r="P15357"/>
      <c r="Q15357" s="24"/>
      <c r="R15357"/>
      <c r="S15357"/>
      <c r="T15357"/>
      <c r="U15357"/>
      <c r="X15357" s="60"/>
    </row>
    <row r="15358" spans="7:24" ht="15" customHeight="1">
      <c r="G15358"/>
      <c r="I15358"/>
      <c r="N15358"/>
      <c r="O15358" s="24"/>
      <c r="P15358"/>
      <c r="Q15358" s="24"/>
      <c r="R15358"/>
      <c r="S15358"/>
      <c r="T15358"/>
      <c r="U15358"/>
      <c r="X15358" s="60"/>
    </row>
    <row r="15359" spans="7:24" ht="15" customHeight="1">
      <c r="G15359"/>
      <c r="I15359"/>
      <c r="N15359"/>
      <c r="O15359" s="24"/>
      <c r="P15359"/>
      <c r="Q15359" s="24"/>
      <c r="R15359"/>
      <c r="S15359"/>
      <c r="T15359"/>
      <c r="U15359"/>
      <c r="X15359" s="60"/>
    </row>
    <row r="15360" spans="7:24" ht="15" customHeight="1">
      <c r="G15360"/>
      <c r="I15360"/>
      <c r="N15360"/>
      <c r="O15360" s="24"/>
      <c r="P15360"/>
      <c r="Q15360" s="24"/>
      <c r="R15360"/>
      <c r="S15360"/>
      <c r="T15360"/>
      <c r="U15360"/>
      <c r="X15360" s="60"/>
    </row>
    <row r="15361" spans="7:24" ht="15" customHeight="1">
      <c r="G15361"/>
      <c r="I15361"/>
      <c r="N15361"/>
      <c r="O15361" s="24"/>
      <c r="P15361"/>
      <c r="Q15361" s="24"/>
      <c r="R15361"/>
      <c r="S15361"/>
      <c r="T15361"/>
      <c r="U15361"/>
      <c r="X15361" s="60"/>
    </row>
    <row r="15362" spans="7:24" ht="15" customHeight="1">
      <c r="G15362"/>
      <c r="I15362"/>
      <c r="N15362"/>
      <c r="O15362" s="24"/>
      <c r="P15362"/>
      <c r="Q15362" s="24"/>
      <c r="R15362"/>
      <c r="S15362"/>
      <c r="T15362"/>
      <c r="U15362"/>
      <c r="X15362" s="60"/>
    </row>
    <row r="15363" spans="7:24" ht="15" customHeight="1">
      <c r="G15363"/>
      <c r="I15363"/>
      <c r="N15363"/>
      <c r="O15363" s="24"/>
      <c r="P15363"/>
      <c r="Q15363" s="24"/>
      <c r="R15363"/>
      <c r="S15363"/>
      <c r="T15363"/>
      <c r="U15363"/>
      <c r="X15363" s="60"/>
    </row>
    <row r="15364" spans="7:24" ht="15" customHeight="1">
      <c r="G15364"/>
      <c r="I15364"/>
      <c r="N15364"/>
      <c r="O15364" s="24"/>
      <c r="P15364"/>
      <c r="Q15364" s="24"/>
      <c r="R15364"/>
      <c r="S15364"/>
      <c r="T15364"/>
      <c r="U15364"/>
      <c r="X15364" s="60"/>
    </row>
    <row r="15365" spans="7:24" ht="15" customHeight="1">
      <c r="G15365"/>
      <c r="I15365"/>
      <c r="N15365"/>
      <c r="O15365" s="24"/>
      <c r="P15365"/>
      <c r="Q15365" s="24"/>
      <c r="R15365"/>
      <c r="S15365"/>
      <c r="T15365"/>
      <c r="U15365"/>
      <c r="X15365" s="60"/>
    </row>
    <row r="15366" spans="7:24" ht="15" customHeight="1">
      <c r="G15366"/>
      <c r="I15366"/>
      <c r="N15366"/>
      <c r="O15366" s="24"/>
      <c r="P15366"/>
      <c r="Q15366" s="24"/>
      <c r="R15366"/>
      <c r="S15366"/>
      <c r="T15366"/>
      <c r="U15366"/>
      <c r="X15366" s="60"/>
    </row>
    <row r="15367" spans="7:24" ht="15" customHeight="1">
      <c r="G15367"/>
      <c r="I15367"/>
      <c r="N15367"/>
      <c r="O15367" s="24"/>
      <c r="P15367"/>
      <c r="Q15367" s="24"/>
      <c r="R15367"/>
      <c r="S15367"/>
      <c r="T15367"/>
      <c r="U15367"/>
      <c r="X15367" s="60"/>
    </row>
    <row r="15368" spans="7:24" ht="15" customHeight="1">
      <c r="G15368"/>
      <c r="I15368"/>
      <c r="N15368"/>
      <c r="O15368" s="24"/>
      <c r="P15368"/>
      <c r="Q15368" s="24"/>
      <c r="R15368"/>
      <c r="S15368"/>
      <c r="T15368"/>
      <c r="U15368"/>
      <c r="X15368" s="60"/>
    </row>
    <row r="15369" spans="7:24" ht="15" customHeight="1">
      <c r="G15369"/>
      <c r="I15369"/>
      <c r="N15369"/>
      <c r="O15369" s="24"/>
      <c r="P15369"/>
      <c r="Q15369" s="24"/>
      <c r="R15369"/>
      <c r="S15369"/>
      <c r="T15369"/>
      <c r="U15369"/>
      <c r="X15369" s="60"/>
    </row>
    <row r="15370" spans="7:24" ht="15" customHeight="1">
      <c r="G15370"/>
      <c r="I15370"/>
      <c r="N15370"/>
      <c r="O15370" s="24"/>
      <c r="P15370"/>
      <c r="Q15370" s="24"/>
      <c r="R15370"/>
      <c r="S15370"/>
      <c r="T15370"/>
      <c r="U15370"/>
      <c r="X15370" s="60"/>
    </row>
    <row r="15371" spans="7:24" ht="15" customHeight="1">
      <c r="G15371"/>
      <c r="I15371"/>
      <c r="N15371"/>
      <c r="O15371" s="24"/>
      <c r="P15371"/>
      <c r="Q15371" s="24"/>
      <c r="R15371"/>
      <c r="S15371"/>
      <c r="T15371"/>
      <c r="U15371"/>
      <c r="X15371" s="60"/>
    </row>
    <row r="15372" spans="7:24" ht="15" customHeight="1">
      <c r="G15372"/>
      <c r="I15372"/>
      <c r="N15372"/>
      <c r="O15372" s="24"/>
      <c r="P15372"/>
      <c r="Q15372" s="24"/>
      <c r="R15372"/>
      <c r="S15372"/>
      <c r="T15372"/>
      <c r="U15372"/>
      <c r="X15372" s="60"/>
    </row>
    <row r="15373" spans="7:24" ht="15" customHeight="1">
      <c r="G15373"/>
      <c r="I15373"/>
      <c r="N15373"/>
      <c r="O15373" s="24"/>
      <c r="P15373"/>
      <c r="Q15373" s="24"/>
      <c r="R15373"/>
      <c r="S15373"/>
      <c r="T15373"/>
      <c r="U15373"/>
      <c r="X15373" s="60"/>
    </row>
    <row r="15374" spans="7:24" ht="15" customHeight="1">
      <c r="G15374"/>
      <c r="I15374"/>
      <c r="N15374"/>
      <c r="O15374" s="24"/>
      <c r="P15374"/>
      <c r="Q15374" s="24"/>
      <c r="R15374"/>
      <c r="S15374"/>
      <c r="T15374"/>
      <c r="U15374"/>
      <c r="X15374" s="60"/>
    </row>
    <row r="15375" spans="7:24" ht="15" customHeight="1">
      <c r="G15375"/>
      <c r="I15375"/>
      <c r="N15375"/>
      <c r="O15375" s="24"/>
      <c r="P15375"/>
      <c r="Q15375" s="24"/>
      <c r="R15375"/>
      <c r="S15375"/>
      <c r="T15375"/>
      <c r="U15375"/>
      <c r="X15375" s="60"/>
    </row>
    <row r="15376" spans="7:24" ht="15" customHeight="1">
      <c r="G15376"/>
      <c r="I15376"/>
      <c r="N15376"/>
      <c r="O15376" s="24"/>
      <c r="P15376"/>
      <c r="Q15376" s="24"/>
      <c r="R15376"/>
      <c r="S15376"/>
      <c r="T15376"/>
      <c r="U15376"/>
      <c r="X15376" s="60"/>
    </row>
    <row r="15377" spans="7:24" ht="15" customHeight="1">
      <c r="G15377"/>
      <c r="I15377"/>
      <c r="N15377"/>
      <c r="O15377" s="24"/>
      <c r="P15377"/>
      <c r="Q15377" s="24"/>
      <c r="R15377"/>
      <c r="S15377"/>
      <c r="T15377"/>
      <c r="U15377"/>
      <c r="X15377" s="60"/>
    </row>
    <row r="15378" spans="7:24" ht="15" customHeight="1">
      <c r="G15378"/>
      <c r="I15378"/>
      <c r="N15378"/>
      <c r="O15378" s="24"/>
      <c r="P15378"/>
      <c r="Q15378" s="24"/>
      <c r="R15378"/>
      <c r="S15378"/>
      <c r="T15378"/>
      <c r="U15378"/>
      <c r="X15378" s="60"/>
    </row>
    <row r="15379" spans="7:24" ht="15" customHeight="1">
      <c r="G15379"/>
      <c r="I15379"/>
      <c r="N15379"/>
      <c r="O15379" s="24"/>
      <c r="P15379"/>
      <c r="Q15379" s="24"/>
      <c r="R15379"/>
      <c r="S15379"/>
      <c r="T15379"/>
      <c r="U15379"/>
      <c r="X15379" s="60"/>
    </row>
    <row r="15380" spans="7:24" ht="15" customHeight="1">
      <c r="G15380"/>
      <c r="I15380"/>
      <c r="N15380"/>
      <c r="O15380" s="24"/>
      <c r="P15380"/>
      <c r="Q15380" s="24"/>
      <c r="R15380"/>
      <c r="S15380"/>
      <c r="T15380"/>
      <c r="U15380"/>
      <c r="X15380" s="60"/>
    </row>
    <row r="15381" spans="7:24" ht="15" customHeight="1">
      <c r="G15381"/>
      <c r="I15381"/>
      <c r="N15381"/>
      <c r="O15381" s="24"/>
      <c r="P15381"/>
      <c r="Q15381" s="24"/>
      <c r="R15381"/>
      <c r="S15381"/>
      <c r="T15381"/>
      <c r="U15381"/>
      <c r="X15381" s="60"/>
    </row>
    <row r="15382" spans="7:24" ht="15" customHeight="1">
      <c r="G15382"/>
      <c r="I15382"/>
      <c r="N15382"/>
      <c r="O15382" s="24"/>
      <c r="P15382"/>
      <c r="Q15382" s="24"/>
      <c r="R15382"/>
      <c r="S15382"/>
      <c r="T15382"/>
      <c r="U15382"/>
      <c r="X15382" s="60"/>
    </row>
    <row r="15383" spans="7:24" ht="15" customHeight="1">
      <c r="G15383"/>
      <c r="I15383"/>
      <c r="N15383"/>
      <c r="O15383" s="24"/>
      <c r="P15383"/>
      <c r="Q15383" s="24"/>
      <c r="R15383"/>
      <c r="S15383"/>
      <c r="T15383"/>
      <c r="U15383"/>
      <c r="X15383" s="60"/>
    </row>
    <row r="15384" spans="7:24" ht="15" customHeight="1">
      <c r="G15384"/>
      <c r="I15384"/>
      <c r="N15384"/>
      <c r="O15384" s="24"/>
      <c r="P15384"/>
      <c r="Q15384" s="24"/>
      <c r="R15384"/>
      <c r="S15384"/>
      <c r="T15384"/>
      <c r="U15384"/>
      <c r="X15384" s="60"/>
    </row>
    <row r="15385" spans="7:24" ht="15" customHeight="1">
      <c r="G15385"/>
      <c r="I15385"/>
      <c r="N15385"/>
      <c r="O15385" s="24"/>
      <c r="P15385"/>
      <c r="Q15385" s="24"/>
      <c r="R15385"/>
      <c r="S15385"/>
      <c r="T15385"/>
      <c r="U15385"/>
      <c r="X15385" s="60"/>
    </row>
    <row r="15386" spans="7:24" ht="15" customHeight="1">
      <c r="G15386"/>
      <c r="I15386"/>
      <c r="N15386"/>
      <c r="O15386" s="24"/>
      <c r="P15386"/>
      <c r="Q15386" s="24"/>
      <c r="R15386"/>
      <c r="S15386"/>
      <c r="T15386"/>
      <c r="U15386"/>
      <c r="X15386" s="60"/>
    </row>
    <row r="15387" spans="7:24" ht="15" customHeight="1">
      <c r="G15387"/>
      <c r="I15387"/>
      <c r="N15387"/>
      <c r="O15387" s="24"/>
      <c r="P15387"/>
      <c r="Q15387" s="24"/>
      <c r="R15387"/>
      <c r="S15387"/>
      <c r="T15387"/>
      <c r="U15387"/>
      <c r="X15387" s="60"/>
    </row>
    <row r="15388" spans="7:24" ht="15" customHeight="1">
      <c r="G15388"/>
      <c r="I15388"/>
      <c r="N15388"/>
      <c r="O15388" s="24"/>
      <c r="P15388"/>
      <c r="Q15388" s="24"/>
      <c r="R15388"/>
      <c r="S15388"/>
      <c r="T15388"/>
      <c r="U15388"/>
      <c r="X15388" s="60"/>
    </row>
    <row r="15389" spans="7:24" ht="15" customHeight="1">
      <c r="G15389"/>
      <c r="I15389"/>
      <c r="N15389"/>
      <c r="O15389" s="24"/>
      <c r="P15389"/>
      <c r="Q15389" s="24"/>
      <c r="R15389"/>
      <c r="S15389"/>
      <c r="T15389"/>
      <c r="U15389"/>
      <c r="X15389" s="60"/>
    </row>
    <row r="15390" spans="7:24" ht="15" customHeight="1">
      <c r="G15390"/>
      <c r="I15390"/>
      <c r="N15390"/>
      <c r="O15390" s="24"/>
      <c r="P15390"/>
      <c r="Q15390" s="24"/>
      <c r="R15390"/>
      <c r="S15390"/>
      <c r="T15390"/>
      <c r="U15390"/>
      <c r="X15390" s="60"/>
    </row>
    <row r="15391" spans="7:24" ht="15" customHeight="1">
      <c r="G15391"/>
      <c r="I15391"/>
      <c r="N15391"/>
      <c r="O15391" s="24"/>
      <c r="P15391"/>
      <c r="Q15391" s="24"/>
      <c r="R15391"/>
      <c r="S15391"/>
      <c r="T15391"/>
      <c r="U15391"/>
      <c r="X15391" s="60"/>
    </row>
    <row r="15392" spans="7:24" ht="15" customHeight="1">
      <c r="G15392"/>
      <c r="I15392"/>
      <c r="N15392"/>
      <c r="O15392" s="24"/>
      <c r="P15392"/>
      <c r="Q15392" s="24"/>
      <c r="R15392"/>
      <c r="S15392"/>
      <c r="T15392"/>
      <c r="U15392"/>
      <c r="X15392" s="60"/>
    </row>
    <row r="15393" spans="7:24" ht="15" customHeight="1">
      <c r="G15393"/>
      <c r="I15393"/>
      <c r="N15393"/>
      <c r="O15393" s="24"/>
      <c r="P15393"/>
      <c r="Q15393" s="24"/>
      <c r="R15393"/>
      <c r="S15393"/>
      <c r="T15393"/>
      <c r="U15393"/>
      <c r="X15393" s="60"/>
    </row>
    <row r="15394" spans="7:24" ht="15" customHeight="1">
      <c r="G15394"/>
      <c r="I15394"/>
      <c r="N15394"/>
      <c r="O15394" s="24"/>
      <c r="P15394"/>
      <c r="Q15394" s="24"/>
      <c r="R15394"/>
      <c r="S15394"/>
      <c r="T15394"/>
      <c r="U15394"/>
      <c r="X15394" s="60"/>
    </row>
    <row r="15395" spans="7:24" ht="15" customHeight="1">
      <c r="G15395"/>
      <c r="I15395"/>
      <c r="N15395"/>
      <c r="O15395" s="24"/>
      <c r="P15395"/>
      <c r="Q15395" s="24"/>
      <c r="R15395"/>
      <c r="S15395"/>
      <c r="T15395"/>
      <c r="U15395"/>
      <c r="X15395" s="60"/>
    </row>
    <row r="15396" spans="7:24" ht="15" customHeight="1">
      <c r="G15396"/>
      <c r="I15396"/>
      <c r="N15396"/>
      <c r="O15396" s="24"/>
      <c r="P15396"/>
      <c r="Q15396" s="24"/>
      <c r="R15396"/>
      <c r="S15396"/>
      <c r="T15396"/>
      <c r="U15396"/>
      <c r="X15396" s="60"/>
    </row>
    <row r="15397" spans="7:24" ht="15" customHeight="1">
      <c r="G15397"/>
      <c r="I15397"/>
      <c r="N15397"/>
      <c r="O15397" s="24"/>
      <c r="P15397"/>
      <c r="Q15397" s="24"/>
      <c r="R15397"/>
      <c r="S15397"/>
      <c r="T15397"/>
      <c r="U15397"/>
      <c r="X15397" s="60"/>
    </row>
    <row r="15398" spans="7:24" ht="15" customHeight="1">
      <c r="G15398"/>
      <c r="I15398"/>
      <c r="N15398"/>
      <c r="O15398" s="24"/>
      <c r="P15398"/>
      <c r="Q15398" s="24"/>
      <c r="R15398"/>
      <c r="S15398"/>
      <c r="T15398"/>
      <c r="U15398"/>
      <c r="X15398" s="60"/>
    </row>
    <row r="15399" spans="7:24" ht="15" customHeight="1">
      <c r="G15399"/>
      <c r="I15399"/>
      <c r="N15399"/>
      <c r="O15399" s="24"/>
      <c r="P15399"/>
      <c r="Q15399" s="24"/>
      <c r="R15399"/>
      <c r="S15399"/>
      <c r="T15399"/>
      <c r="U15399"/>
      <c r="X15399" s="60"/>
    </row>
    <row r="15400" spans="7:24" ht="15" customHeight="1">
      <c r="G15400"/>
      <c r="I15400"/>
      <c r="N15400"/>
      <c r="O15400" s="24"/>
      <c r="P15400"/>
      <c r="Q15400" s="24"/>
      <c r="R15400"/>
      <c r="S15400"/>
      <c r="T15400"/>
      <c r="U15400"/>
      <c r="X15400" s="60"/>
    </row>
    <row r="15401" spans="7:24" ht="15" customHeight="1">
      <c r="G15401"/>
      <c r="I15401"/>
      <c r="N15401"/>
      <c r="O15401" s="24"/>
      <c r="P15401"/>
      <c r="Q15401" s="24"/>
      <c r="R15401"/>
      <c r="S15401"/>
      <c r="T15401"/>
      <c r="U15401"/>
      <c r="X15401" s="60"/>
    </row>
    <row r="15402" spans="7:24" ht="15" customHeight="1">
      <c r="G15402"/>
      <c r="I15402"/>
      <c r="N15402"/>
      <c r="O15402" s="24"/>
      <c r="P15402"/>
      <c r="Q15402" s="24"/>
      <c r="R15402"/>
      <c r="S15402"/>
      <c r="T15402"/>
      <c r="U15402"/>
      <c r="X15402" s="60"/>
    </row>
    <row r="15403" spans="7:24" ht="15" customHeight="1">
      <c r="G15403"/>
      <c r="I15403"/>
      <c r="N15403"/>
      <c r="O15403" s="24"/>
      <c r="P15403"/>
      <c r="Q15403" s="24"/>
      <c r="R15403"/>
      <c r="S15403"/>
      <c r="T15403"/>
      <c r="U15403"/>
      <c r="X15403" s="60"/>
    </row>
    <row r="15404" spans="7:24" ht="15" customHeight="1">
      <c r="G15404"/>
      <c r="I15404"/>
      <c r="N15404"/>
      <c r="O15404" s="24"/>
      <c r="P15404"/>
      <c r="Q15404" s="24"/>
      <c r="R15404"/>
      <c r="S15404"/>
      <c r="T15404"/>
      <c r="U15404"/>
      <c r="X15404" s="60"/>
    </row>
    <row r="15405" spans="7:24" ht="15" customHeight="1">
      <c r="G15405"/>
      <c r="I15405"/>
      <c r="N15405"/>
      <c r="O15405" s="24"/>
      <c r="P15405"/>
      <c r="Q15405" s="24"/>
      <c r="R15405"/>
      <c r="S15405"/>
      <c r="T15405"/>
      <c r="U15405"/>
      <c r="X15405" s="60"/>
    </row>
    <row r="15406" spans="7:24" ht="15" customHeight="1">
      <c r="G15406"/>
      <c r="I15406"/>
      <c r="N15406"/>
      <c r="O15406" s="24"/>
      <c r="P15406"/>
      <c r="Q15406" s="24"/>
      <c r="R15406"/>
      <c r="S15406"/>
      <c r="T15406"/>
      <c r="U15406"/>
      <c r="X15406" s="60"/>
    </row>
    <row r="15407" spans="7:24" ht="15" customHeight="1">
      <c r="G15407"/>
      <c r="I15407"/>
      <c r="N15407"/>
      <c r="O15407" s="24"/>
      <c r="P15407"/>
      <c r="Q15407" s="24"/>
      <c r="R15407"/>
      <c r="S15407"/>
      <c r="T15407"/>
      <c r="U15407"/>
      <c r="X15407" s="60"/>
    </row>
    <row r="15408" spans="7:24" ht="15" customHeight="1">
      <c r="G15408"/>
      <c r="I15408"/>
      <c r="N15408"/>
      <c r="O15408" s="24"/>
      <c r="P15408"/>
      <c r="Q15408" s="24"/>
      <c r="R15408"/>
      <c r="S15408"/>
      <c r="T15408"/>
      <c r="U15408"/>
      <c r="X15408" s="60"/>
    </row>
    <row r="15409" spans="7:24" ht="15" customHeight="1">
      <c r="G15409"/>
      <c r="I15409"/>
      <c r="N15409"/>
      <c r="O15409" s="24"/>
      <c r="P15409"/>
      <c r="Q15409" s="24"/>
      <c r="R15409"/>
      <c r="S15409"/>
      <c r="T15409"/>
      <c r="U15409"/>
      <c r="X15409" s="60"/>
    </row>
    <row r="15410" spans="7:24" ht="15" customHeight="1">
      <c r="G15410"/>
      <c r="I15410"/>
      <c r="N15410"/>
      <c r="O15410" s="24"/>
      <c r="P15410"/>
      <c r="Q15410" s="24"/>
      <c r="R15410"/>
      <c r="S15410"/>
      <c r="T15410"/>
      <c r="U15410"/>
      <c r="X15410" s="60"/>
    </row>
    <row r="15411" spans="7:24" ht="15" customHeight="1">
      <c r="G15411"/>
      <c r="I15411"/>
      <c r="N15411"/>
      <c r="O15411" s="24"/>
      <c r="P15411"/>
      <c r="Q15411" s="24"/>
      <c r="R15411"/>
      <c r="S15411"/>
      <c r="T15411"/>
      <c r="U15411"/>
      <c r="X15411" s="60"/>
    </row>
    <row r="15412" spans="7:24" ht="15" customHeight="1">
      <c r="G15412"/>
      <c r="I15412"/>
      <c r="N15412"/>
      <c r="O15412" s="24"/>
      <c r="P15412"/>
      <c r="Q15412" s="24"/>
      <c r="R15412"/>
      <c r="S15412"/>
      <c r="T15412"/>
      <c r="U15412"/>
      <c r="X15412" s="60"/>
    </row>
    <row r="15413" spans="7:24" ht="15" customHeight="1">
      <c r="G15413"/>
      <c r="I15413"/>
      <c r="N15413"/>
      <c r="O15413" s="24"/>
      <c r="P15413"/>
      <c r="Q15413" s="24"/>
      <c r="R15413"/>
      <c r="S15413"/>
      <c r="T15413"/>
      <c r="U15413"/>
      <c r="X15413" s="60"/>
    </row>
    <row r="15414" spans="7:24" ht="15" customHeight="1">
      <c r="G15414"/>
      <c r="I15414"/>
      <c r="N15414"/>
      <c r="O15414" s="24"/>
      <c r="P15414"/>
      <c r="Q15414" s="24"/>
      <c r="R15414"/>
      <c r="S15414"/>
      <c r="T15414"/>
      <c r="U15414"/>
      <c r="X15414" s="60"/>
    </row>
    <row r="15415" spans="7:24" ht="15" customHeight="1">
      <c r="G15415"/>
      <c r="I15415"/>
      <c r="N15415"/>
      <c r="O15415" s="24"/>
      <c r="P15415"/>
      <c r="Q15415" s="24"/>
      <c r="R15415"/>
      <c r="S15415"/>
      <c r="T15415"/>
      <c r="U15415"/>
      <c r="X15415" s="60"/>
    </row>
    <row r="15416" spans="7:24" ht="15" customHeight="1">
      <c r="G15416"/>
      <c r="I15416"/>
      <c r="N15416"/>
      <c r="O15416" s="24"/>
      <c r="P15416"/>
      <c r="Q15416" s="24"/>
      <c r="R15416"/>
      <c r="S15416"/>
      <c r="T15416"/>
      <c r="U15416"/>
      <c r="X15416" s="60"/>
    </row>
    <row r="15417" spans="7:24" ht="15" customHeight="1">
      <c r="G15417"/>
      <c r="I15417"/>
      <c r="N15417"/>
      <c r="O15417" s="24"/>
      <c r="P15417"/>
      <c r="Q15417" s="24"/>
      <c r="R15417"/>
      <c r="S15417"/>
      <c r="T15417"/>
      <c r="U15417"/>
      <c r="X15417" s="60"/>
    </row>
    <row r="15418" spans="7:24" ht="15" customHeight="1">
      <c r="G15418"/>
      <c r="I15418"/>
      <c r="N15418"/>
      <c r="O15418" s="24"/>
      <c r="P15418"/>
      <c r="Q15418" s="24"/>
      <c r="R15418"/>
      <c r="S15418"/>
      <c r="T15418"/>
      <c r="U15418"/>
      <c r="X15418" s="60"/>
    </row>
    <row r="15419" spans="7:24" ht="15" customHeight="1">
      <c r="G15419"/>
      <c r="I15419"/>
      <c r="N15419"/>
      <c r="O15419" s="24"/>
      <c r="P15419"/>
      <c r="Q15419" s="24"/>
      <c r="R15419"/>
      <c r="S15419"/>
      <c r="T15419"/>
      <c r="U15419"/>
      <c r="X15419" s="60"/>
    </row>
    <row r="15420" spans="7:24" ht="15" customHeight="1">
      <c r="G15420"/>
      <c r="I15420"/>
      <c r="N15420"/>
      <c r="O15420" s="24"/>
      <c r="P15420"/>
      <c r="Q15420" s="24"/>
      <c r="R15420"/>
      <c r="S15420"/>
      <c r="T15420"/>
      <c r="U15420"/>
      <c r="X15420" s="60"/>
    </row>
    <row r="15421" spans="7:24" ht="15" customHeight="1">
      <c r="G15421"/>
      <c r="I15421"/>
      <c r="N15421"/>
      <c r="O15421" s="24"/>
      <c r="P15421"/>
      <c r="Q15421" s="24"/>
      <c r="R15421"/>
      <c r="S15421"/>
      <c r="T15421"/>
      <c r="U15421"/>
      <c r="X15421" s="60"/>
    </row>
    <row r="15422" spans="7:24" ht="15" customHeight="1">
      <c r="G15422"/>
      <c r="I15422"/>
      <c r="N15422"/>
      <c r="O15422" s="24"/>
      <c r="P15422"/>
      <c r="Q15422" s="24"/>
      <c r="R15422"/>
      <c r="S15422"/>
      <c r="T15422"/>
      <c r="U15422"/>
      <c r="X15422" s="60"/>
    </row>
    <row r="15423" spans="7:24" ht="15" customHeight="1">
      <c r="G15423"/>
      <c r="I15423"/>
      <c r="N15423"/>
      <c r="O15423" s="24"/>
      <c r="P15423"/>
      <c r="Q15423" s="24"/>
      <c r="R15423"/>
      <c r="S15423"/>
      <c r="T15423"/>
      <c r="U15423"/>
      <c r="X15423" s="60"/>
    </row>
    <row r="15424" spans="7:24" ht="15" customHeight="1">
      <c r="G15424"/>
      <c r="I15424"/>
      <c r="N15424"/>
      <c r="O15424" s="24"/>
      <c r="P15424"/>
      <c r="Q15424" s="24"/>
      <c r="R15424"/>
      <c r="S15424"/>
      <c r="T15424"/>
      <c r="U15424"/>
      <c r="X15424" s="60"/>
    </row>
    <row r="15425" spans="7:24" ht="15" customHeight="1">
      <c r="G15425"/>
      <c r="I15425"/>
      <c r="N15425"/>
      <c r="O15425" s="24"/>
      <c r="P15425"/>
      <c r="Q15425" s="24"/>
      <c r="R15425"/>
      <c r="S15425"/>
      <c r="T15425"/>
      <c r="U15425"/>
      <c r="X15425" s="60"/>
    </row>
    <row r="15426" spans="7:24" ht="15" customHeight="1">
      <c r="G15426"/>
      <c r="I15426"/>
      <c r="N15426"/>
      <c r="O15426" s="24"/>
      <c r="P15426"/>
      <c r="Q15426" s="24"/>
      <c r="R15426"/>
      <c r="S15426"/>
      <c r="T15426"/>
      <c r="U15426"/>
      <c r="X15426" s="60"/>
    </row>
    <row r="15427" spans="7:24" ht="15" customHeight="1">
      <c r="G15427"/>
      <c r="I15427"/>
      <c r="N15427"/>
      <c r="O15427" s="24"/>
      <c r="P15427"/>
      <c r="Q15427" s="24"/>
      <c r="R15427"/>
      <c r="S15427"/>
      <c r="T15427"/>
      <c r="U15427"/>
      <c r="X15427" s="60"/>
    </row>
    <row r="15428" spans="7:24" ht="15" customHeight="1">
      <c r="G15428"/>
      <c r="I15428"/>
      <c r="N15428"/>
      <c r="O15428" s="24"/>
      <c r="P15428"/>
      <c r="Q15428" s="24"/>
      <c r="R15428"/>
      <c r="S15428"/>
      <c r="T15428"/>
      <c r="U15428"/>
      <c r="X15428" s="60"/>
    </row>
    <row r="15429" spans="7:24" ht="15" customHeight="1">
      <c r="G15429"/>
      <c r="I15429"/>
      <c r="N15429"/>
      <c r="O15429" s="24"/>
      <c r="P15429"/>
      <c r="Q15429" s="24"/>
      <c r="R15429"/>
      <c r="S15429"/>
      <c r="T15429"/>
      <c r="U15429"/>
      <c r="X15429" s="60"/>
    </row>
    <row r="15430" spans="7:24" ht="15" customHeight="1">
      <c r="G15430"/>
      <c r="I15430"/>
      <c r="N15430"/>
      <c r="O15430" s="24"/>
      <c r="P15430"/>
      <c r="Q15430" s="24"/>
      <c r="R15430"/>
      <c r="S15430"/>
      <c r="T15430"/>
      <c r="U15430"/>
      <c r="X15430" s="60"/>
    </row>
    <row r="15431" spans="7:24" ht="15" customHeight="1">
      <c r="G15431"/>
      <c r="I15431"/>
      <c r="N15431"/>
      <c r="O15431" s="24"/>
      <c r="P15431"/>
      <c r="Q15431" s="24"/>
      <c r="R15431"/>
      <c r="S15431"/>
      <c r="T15431"/>
      <c r="U15431"/>
      <c r="X15431" s="60"/>
    </row>
    <row r="15432" spans="7:24" ht="15" customHeight="1">
      <c r="G15432"/>
      <c r="I15432"/>
      <c r="N15432"/>
      <c r="O15432" s="24"/>
      <c r="P15432"/>
      <c r="Q15432" s="24"/>
      <c r="R15432"/>
      <c r="S15432"/>
      <c r="T15432"/>
      <c r="U15432"/>
      <c r="X15432" s="60"/>
    </row>
    <row r="15433" spans="7:24" ht="15" customHeight="1">
      <c r="G15433"/>
      <c r="I15433"/>
      <c r="N15433"/>
      <c r="O15433" s="24"/>
      <c r="P15433"/>
      <c r="Q15433" s="24"/>
      <c r="R15433"/>
      <c r="S15433"/>
      <c r="T15433"/>
      <c r="U15433"/>
      <c r="X15433" s="60"/>
    </row>
    <row r="15434" spans="7:24" ht="15" customHeight="1">
      <c r="G15434"/>
      <c r="I15434"/>
      <c r="N15434"/>
      <c r="O15434" s="24"/>
      <c r="P15434"/>
      <c r="Q15434" s="24"/>
      <c r="R15434"/>
      <c r="S15434"/>
      <c r="T15434"/>
      <c r="U15434"/>
      <c r="X15434" s="60"/>
    </row>
    <row r="15435" spans="7:24" ht="15" customHeight="1">
      <c r="G15435"/>
      <c r="I15435"/>
      <c r="N15435"/>
      <c r="O15435" s="24"/>
      <c r="P15435"/>
      <c r="Q15435" s="24"/>
      <c r="R15435"/>
      <c r="S15435"/>
      <c r="T15435"/>
      <c r="U15435"/>
      <c r="X15435" s="60"/>
    </row>
    <row r="15436" spans="7:24" ht="15" customHeight="1">
      <c r="G15436"/>
      <c r="I15436"/>
      <c r="N15436"/>
      <c r="O15436" s="24"/>
      <c r="P15436"/>
      <c r="Q15436" s="24"/>
      <c r="R15436"/>
      <c r="S15436"/>
      <c r="T15436"/>
      <c r="U15436"/>
      <c r="X15436" s="60"/>
    </row>
    <row r="15437" spans="7:24" ht="15" customHeight="1">
      <c r="G15437"/>
      <c r="I15437"/>
      <c r="N15437"/>
      <c r="O15437" s="24"/>
      <c r="P15437"/>
      <c r="Q15437" s="24"/>
      <c r="R15437"/>
      <c r="S15437"/>
      <c r="T15437"/>
      <c r="U15437"/>
      <c r="X15437" s="60"/>
    </row>
    <row r="15438" spans="7:24" ht="15" customHeight="1">
      <c r="G15438"/>
      <c r="I15438"/>
      <c r="N15438"/>
      <c r="O15438" s="24"/>
      <c r="P15438"/>
      <c r="Q15438" s="24"/>
      <c r="R15438"/>
      <c r="S15438"/>
      <c r="T15438"/>
      <c r="U15438"/>
      <c r="X15438" s="60"/>
    </row>
    <row r="15439" spans="7:24" ht="15" customHeight="1">
      <c r="G15439"/>
      <c r="I15439"/>
      <c r="N15439"/>
      <c r="O15439" s="24"/>
      <c r="P15439"/>
      <c r="Q15439" s="24"/>
      <c r="R15439"/>
      <c r="S15439"/>
      <c r="T15439"/>
      <c r="U15439"/>
      <c r="X15439" s="60"/>
    </row>
    <row r="15440" spans="7:24" ht="15" customHeight="1">
      <c r="G15440"/>
      <c r="I15440"/>
      <c r="N15440"/>
      <c r="O15440" s="24"/>
      <c r="P15440"/>
      <c r="Q15440" s="24"/>
      <c r="R15440"/>
      <c r="S15440"/>
      <c r="T15440"/>
      <c r="U15440"/>
      <c r="X15440" s="60"/>
    </row>
    <row r="15441" spans="7:24" ht="15" customHeight="1">
      <c r="G15441"/>
      <c r="I15441"/>
      <c r="N15441"/>
      <c r="O15441" s="24"/>
      <c r="P15441"/>
      <c r="Q15441" s="24"/>
      <c r="R15441"/>
      <c r="S15441"/>
      <c r="T15441"/>
      <c r="U15441"/>
      <c r="X15441" s="60"/>
    </row>
    <row r="15442" spans="7:24" ht="15" customHeight="1">
      <c r="G15442"/>
      <c r="I15442"/>
      <c r="N15442"/>
      <c r="O15442" s="24"/>
      <c r="P15442"/>
      <c r="Q15442" s="24"/>
      <c r="R15442"/>
      <c r="S15442"/>
      <c r="T15442"/>
      <c r="U15442"/>
      <c r="X15442" s="60"/>
    </row>
    <row r="15443" spans="7:24" ht="15" customHeight="1">
      <c r="G15443"/>
      <c r="I15443"/>
      <c r="N15443"/>
      <c r="O15443" s="24"/>
      <c r="P15443"/>
      <c r="Q15443" s="24"/>
      <c r="R15443"/>
      <c r="S15443"/>
      <c r="T15443"/>
      <c r="U15443"/>
      <c r="X15443" s="60"/>
    </row>
    <row r="15444" spans="7:24" ht="15" customHeight="1">
      <c r="G15444"/>
      <c r="I15444"/>
      <c r="N15444"/>
      <c r="O15444" s="24"/>
      <c r="P15444"/>
      <c r="Q15444" s="24"/>
      <c r="R15444"/>
      <c r="S15444"/>
      <c r="T15444"/>
      <c r="U15444"/>
      <c r="X15444" s="60"/>
    </row>
    <row r="15445" spans="7:24" ht="15" customHeight="1">
      <c r="G15445"/>
      <c r="I15445"/>
      <c r="N15445"/>
      <c r="O15445" s="24"/>
      <c r="P15445"/>
      <c r="Q15445" s="24"/>
      <c r="R15445"/>
      <c r="S15445"/>
      <c r="T15445"/>
      <c r="U15445"/>
      <c r="X15445" s="60"/>
    </row>
    <row r="15446" spans="7:24" ht="15" customHeight="1">
      <c r="G15446"/>
      <c r="I15446"/>
      <c r="N15446"/>
      <c r="O15446" s="24"/>
      <c r="P15446"/>
      <c r="Q15446" s="24"/>
      <c r="R15446"/>
      <c r="S15446"/>
      <c r="T15446"/>
      <c r="U15446"/>
      <c r="X15446" s="60"/>
    </row>
    <row r="15447" spans="7:24" ht="15" customHeight="1">
      <c r="G15447"/>
      <c r="I15447"/>
      <c r="N15447"/>
      <c r="O15447" s="24"/>
      <c r="P15447"/>
      <c r="Q15447" s="24"/>
      <c r="R15447"/>
      <c r="S15447"/>
      <c r="T15447"/>
      <c r="U15447"/>
      <c r="X15447" s="60"/>
    </row>
    <row r="15448" spans="7:24" ht="15" customHeight="1">
      <c r="G15448"/>
      <c r="I15448"/>
      <c r="N15448"/>
      <c r="O15448" s="24"/>
      <c r="P15448"/>
      <c r="Q15448" s="24"/>
      <c r="R15448"/>
      <c r="S15448"/>
      <c r="T15448"/>
      <c r="U15448"/>
      <c r="X15448" s="60"/>
    </row>
    <row r="15449" spans="7:24" ht="15" customHeight="1">
      <c r="G15449"/>
      <c r="I15449"/>
      <c r="N15449"/>
      <c r="O15449" s="24"/>
      <c r="P15449"/>
      <c r="Q15449" s="24"/>
      <c r="R15449"/>
      <c r="S15449"/>
      <c r="T15449"/>
      <c r="U15449"/>
      <c r="X15449" s="60"/>
    </row>
    <row r="15450" spans="7:24" ht="15" customHeight="1">
      <c r="G15450"/>
      <c r="I15450"/>
      <c r="N15450"/>
      <c r="O15450" s="24"/>
      <c r="P15450"/>
      <c r="Q15450" s="24"/>
      <c r="R15450"/>
      <c r="S15450"/>
      <c r="T15450"/>
      <c r="U15450"/>
      <c r="X15450" s="60"/>
    </row>
    <row r="15451" spans="7:24" ht="15" customHeight="1">
      <c r="G15451"/>
      <c r="I15451"/>
      <c r="N15451"/>
      <c r="O15451" s="24"/>
      <c r="P15451"/>
      <c r="Q15451" s="24"/>
      <c r="R15451"/>
      <c r="S15451"/>
      <c r="T15451"/>
      <c r="U15451"/>
      <c r="X15451" s="60"/>
    </row>
    <row r="15452" spans="7:24" ht="15" customHeight="1">
      <c r="G15452"/>
      <c r="I15452"/>
      <c r="N15452"/>
      <c r="O15452" s="24"/>
      <c r="P15452"/>
      <c r="Q15452" s="24"/>
      <c r="R15452"/>
      <c r="S15452"/>
      <c r="T15452"/>
      <c r="U15452"/>
      <c r="X15452" s="60"/>
    </row>
    <row r="15453" spans="7:24" ht="15" customHeight="1">
      <c r="G15453"/>
      <c r="I15453"/>
      <c r="N15453"/>
      <c r="O15453" s="24"/>
      <c r="P15453"/>
      <c r="Q15453" s="24"/>
      <c r="R15453"/>
      <c r="S15453"/>
      <c r="T15453"/>
      <c r="U15453"/>
      <c r="X15453" s="60"/>
    </row>
    <row r="15454" spans="7:24" ht="15" customHeight="1">
      <c r="G15454"/>
      <c r="I15454"/>
      <c r="N15454"/>
      <c r="O15454" s="24"/>
      <c r="P15454"/>
      <c r="Q15454" s="24"/>
      <c r="R15454"/>
      <c r="S15454"/>
      <c r="T15454"/>
      <c r="U15454"/>
      <c r="X15454" s="60"/>
    </row>
    <row r="15455" spans="7:24" ht="15" customHeight="1">
      <c r="G15455"/>
      <c r="I15455"/>
      <c r="N15455"/>
      <c r="O15455" s="24"/>
      <c r="P15455"/>
      <c r="Q15455" s="24"/>
      <c r="R15455"/>
      <c r="S15455"/>
      <c r="T15455"/>
      <c r="U15455"/>
      <c r="X15455" s="60"/>
    </row>
    <row r="15456" spans="7:24" ht="15" customHeight="1">
      <c r="G15456"/>
      <c r="I15456"/>
      <c r="N15456"/>
      <c r="O15456" s="24"/>
      <c r="P15456"/>
      <c r="Q15456" s="24"/>
      <c r="R15456"/>
      <c r="S15456"/>
      <c r="T15456"/>
      <c r="U15456"/>
      <c r="X15456" s="60"/>
    </row>
    <row r="15457" spans="7:24" ht="15" customHeight="1">
      <c r="G15457"/>
      <c r="I15457"/>
      <c r="N15457"/>
      <c r="O15457" s="24"/>
      <c r="P15457"/>
      <c r="Q15457" s="24"/>
      <c r="R15457"/>
      <c r="S15457"/>
      <c r="T15457"/>
      <c r="U15457"/>
      <c r="X15457" s="60"/>
    </row>
    <row r="15458" spans="7:24" ht="15" customHeight="1">
      <c r="G15458"/>
      <c r="I15458"/>
      <c r="N15458"/>
      <c r="O15458" s="24"/>
      <c r="P15458"/>
      <c r="Q15458" s="24"/>
      <c r="R15458"/>
      <c r="S15458"/>
      <c r="T15458"/>
      <c r="U15458"/>
      <c r="X15458" s="60"/>
    </row>
    <row r="15459" spans="7:24" ht="15" customHeight="1">
      <c r="G15459"/>
      <c r="I15459"/>
      <c r="N15459"/>
      <c r="O15459" s="24"/>
      <c r="P15459"/>
      <c r="Q15459" s="24"/>
      <c r="R15459"/>
      <c r="S15459"/>
      <c r="T15459"/>
      <c r="U15459"/>
      <c r="X15459" s="60"/>
    </row>
    <row r="15460" spans="7:24" ht="15" customHeight="1">
      <c r="G15460"/>
      <c r="I15460"/>
      <c r="N15460"/>
      <c r="O15460" s="24"/>
      <c r="P15460"/>
      <c r="Q15460" s="24"/>
      <c r="R15460"/>
      <c r="S15460"/>
      <c r="T15460"/>
      <c r="U15460"/>
      <c r="X15460" s="60"/>
    </row>
    <row r="15461" spans="7:24" ht="15" customHeight="1">
      <c r="G15461"/>
      <c r="I15461"/>
      <c r="N15461"/>
      <c r="O15461" s="24"/>
      <c r="P15461"/>
      <c r="Q15461" s="24"/>
      <c r="R15461"/>
      <c r="S15461"/>
      <c r="T15461"/>
      <c r="U15461"/>
      <c r="X15461" s="60"/>
    </row>
    <row r="15462" spans="7:24" ht="15" customHeight="1">
      <c r="G15462"/>
      <c r="I15462"/>
      <c r="N15462"/>
      <c r="O15462" s="24"/>
      <c r="P15462"/>
      <c r="Q15462" s="24"/>
      <c r="R15462"/>
      <c r="S15462"/>
      <c r="T15462"/>
      <c r="U15462"/>
      <c r="X15462" s="60"/>
    </row>
    <row r="15463" spans="7:24" ht="15" customHeight="1">
      <c r="G15463"/>
      <c r="I15463"/>
      <c r="N15463"/>
      <c r="O15463" s="24"/>
      <c r="P15463"/>
      <c r="Q15463" s="24"/>
      <c r="R15463"/>
      <c r="S15463"/>
      <c r="T15463"/>
      <c r="U15463"/>
      <c r="X15463" s="60"/>
    </row>
    <row r="15464" spans="7:24" ht="15" customHeight="1">
      <c r="G15464"/>
      <c r="I15464"/>
      <c r="N15464"/>
      <c r="O15464" s="24"/>
      <c r="P15464"/>
      <c r="Q15464" s="24"/>
      <c r="R15464"/>
      <c r="S15464"/>
      <c r="T15464"/>
      <c r="U15464"/>
      <c r="X15464" s="60"/>
    </row>
    <row r="15465" spans="7:24" ht="15" customHeight="1">
      <c r="G15465"/>
      <c r="I15465"/>
      <c r="N15465"/>
      <c r="O15465" s="24"/>
      <c r="P15465"/>
      <c r="Q15465" s="24"/>
      <c r="R15465"/>
      <c r="S15465"/>
      <c r="T15465"/>
      <c r="U15465"/>
      <c r="X15465" s="60"/>
    </row>
    <row r="15466" spans="7:24" ht="15" customHeight="1">
      <c r="G15466"/>
      <c r="I15466"/>
      <c r="N15466"/>
      <c r="O15466" s="24"/>
      <c r="P15466"/>
      <c r="Q15466" s="24"/>
      <c r="R15466"/>
      <c r="S15466"/>
      <c r="T15466"/>
      <c r="U15466"/>
      <c r="X15466" s="60"/>
    </row>
    <row r="15467" spans="7:24" ht="15" customHeight="1">
      <c r="G15467"/>
      <c r="I15467"/>
      <c r="N15467"/>
      <c r="O15467" s="24"/>
      <c r="P15467"/>
      <c r="Q15467" s="24"/>
      <c r="R15467"/>
      <c r="S15467"/>
      <c r="T15467"/>
      <c r="U15467"/>
      <c r="X15467" s="60"/>
    </row>
    <row r="15468" spans="7:24" ht="15" customHeight="1">
      <c r="G15468"/>
      <c r="I15468"/>
      <c r="N15468"/>
      <c r="O15468" s="24"/>
      <c r="P15468"/>
      <c r="Q15468" s="24"/>
      <c r="R15468"/>
      <c r="S15468"/>
      <c r="T15468"/>
      <c r="U15468"/>
      <c r="X15468" s="60"/>
    </row>
    <row r="15469" spans="7:24" ht="15" customHeight="1">
      <c r="G15469"/>
      <c r="I15469"/>
      <c r="N15469"/>
      <c r="O15469" s="24"/>
      <c r="P15469"/>
      <c r="Q15469" s="24"/>
      <c r="R15469"/>
      <c r="S15469"/>
      <c r="T15469"/>
      <c r="U15469"/>
      <c r="X15469" s="60"/>
    </row>
    <row r="15470" spans="7:24" ht="15" customHeight="1">
      <c r="G15470"/>
      <c r="I15470"/>
      <c r="N15470"/>
      <c r="O15470" s="24"/>
      <c r="P15470"/>
      <c r="Q15470" s="24"/>
      <c r="R15470"/>
      <c r="S15470"/>
      <c r="T15470"/>
      <c r="U15470"/>
      <c r="X15470" s="60"/>
    </row>
    <row r="15471" spans="7:24" ht="15" customHeight="1">
      <c r="G15471"/>
      <c r="I15471"/>
      <c r="N15471"/>
      <c r="O15471" s="24"/>
      <c r="P15471"/>
      <c r="Q15471" s="24"/>
      <c r="R15471"/>
      <c r="S15471"/>
      <c r="T15471"/>
      <c r="U15471"/>
      <c r="X15471" s="60"/>
    </row>
    <row r="15472" spans="7:24" ht="15" customHeight="1">
      <c r="G15472"/>
      <c r="I15472"/>
      <c r="N15472"/>
      <c r="O15472" s="24"/>
      <c r="P15472"/>
      <c r="Q15472" s="24"/>
      <c r="R15472"/>
      <c r="S15472"/>
      <c r="T15472"/>
      <c r="U15472"/>
      <c r="X15472" s="60"/>
    </row>
    <row r="15473" spans="7:24" ht="15" customHeight="1">
      <c r="G15473"/>
      <c r="I15473"/>
      <c r="N15473"/>
      <c r="O15473" s="24"/>
      <c r="P15473"/>
      <c r="Q15473" s="24"/>
      <c r="R15473"/>
      <c r="S15473"/>
      <c r="T15473"/>
      <c r="U15473"/>
      <c r="X15473" s="60"/>
    </row>
    <row r="15474" spans="7:24" ht="15" customHeight="1">
      <c r="G15474"/>
      <c r="I15474"/>
      <c r="N15474"/>
      <c r="O15474" s="24"/>
      <c r="P15474"/>
      <c r="Q15474" s="24"/>
      <c r="R15474"/>
      <c r="S15474"/>
      <c r="T15474"/>
      <c r="U15474"/>
      <c r="X15474" s="60"/>
    </row>
    <row r="15475" spans="7:24" ht="15" customHeight="1">
      <c r="G15475"/>
      <c r="I15475"/>
      <c r="N15475"/>
      <c r="O15475" s="24"/>
      <c r="P15475"/>
      <c r="Q15475" s="24"/>
      <c r="R15475"/>
      <c r="S15475"/>
      <c r="T15475"/>
      <c r="U15475"/>
      <c r="X15475" s="60"/>
    </row>
    <row r="15476" spans="7:24" ht="15" customHeight="1">
      <c r="G15476"/>
      <c r="I15476"/>
      <c r="N15476"/>
      <c r="O15476" s="24"/>
      <c r="P15476"/>
      <c r="Q15476" s="24"/>
      <c r="R15476"/>
      <c r="S15476"/>
      <c r="T15476"/>
      <c r="U15476"/>
      <c r="X15476" s="60"/>
    </row>
    <row r="15477" spans="7:24" ht="15" customHeight="1">
      <c r="G15477"/>
      <c r="I15477"/>
      <c r="N15477"/>
      <c r="O15477" s="24"/>
      <c r="P15477"/>
      <c r="Q15477" s="24"/>
      <c r="R15477"/>
      <c r="S15477"/>
      <c r="T15477"/>
      <c r="U15477"/>
      <c r="X15477" s="60"/>
    </row>
    <row r="15478" spans="7:24" ht="15" customHeight="1">
      <c r="G15478"/>
      <c r="I15478"/>
      <c r="N15478"/>
      <c r="O15478" s="24"/>
      <c r="P15478"/>
      <c r="Q15478" s="24"/>
      <c r="R15478"/>
      <c r="S15478"/>
      <c r="T15478"/>
      <c r="U15478"/>
      <c r="X15478" s="60"/>
    </row>
    <row r="15479" spans="7:24" ht="15" customHeight="1">
      <c r="G15479"/>
      <c r="I15479"/>
      <c r="N15479"/>
      <c r="O15479" s="24"/>
      <c r="P15479"/>
      <c r="Q15479" s="24"/>
      <c r="R15479"/>
      <c r="S15479"/>
      <c r="T15479"/>
      <c r="U15479"/>
      <c r="X15479" s="60"/>
    </row>
    <row r="15480" spans="7:24" ht="15" customHeight="1">
      <c r="G15480"/>
      <c r="I15480"/>
      <c r="N15480"/>
      <c r="O15480" s="24"/>
      <c r="P15480"/>
      <c r="Q15480" s="24"/>
      <c r="R15480"/>
      <c r="S15480"/>
      <c r="T15480"/>
      <c r="U15480"/>
      <c r="X15480" s="60"/>
    </row>
    <row r="15481" spans="7:24" ht="15" customHeight="1">
      <c r="G15481"/>
      <c r="I15481"/>
      <c r="N15481"/>
      <c r="O15481" s="24"/>
      <c r="P15481"/>
      <c r="Q15481" s="24"/>
      <c r="R15481"/>
      <c r="S15481"/>
      <c r="T15481"/>
      <c r="U15481"/>
      <c r="X15481" s="60"/>
    </row>
    <row r="15482" spans="7:24" ht="15" customHeight="1">
      <c r="G15482"/>
      <c r="I15482"/>
      <c r="N15482"/>
      <c r="O15482" s="24"/>
      <c r="P15482"/>
      <c r="Q15482" s="24"/>
      <c r="R15482"/>
      <c r="S15482"/>
      <c r="T15482"/>
      <c r="U15482"/>
      <c r="X15482" s="60"/>
    </row>
    <row r="15483" spans="7:24" ht="15" customHeight="1">
      <c r="G15483"/>
      <c r="I15483"/>
      <c r="N15483"/>
      <c r="O15483" s="24"/>
      <c r="P15483"/>
      <c r="Q15483" s="24"/>
      <c r="R15483"/>
      <c r="S15483"/>
      <c r="T15483"/>
      <c r="U15483"/>
      <c r="X15483" s="60"/>
    </row>
    <row r="15484" spans="7:24" ht="15" customHeight="1">
      <c r="G15484"/>
      <c r="I15484"/>
      <c r="N15484"/>
      <c r="O15484" s="24"/>
      <c r="P15484"/>
      <c r="Q15484" s="24"/>
      <c r="R15484"/>
      <c r="S15484"/>
      <c r="T15484"/>
      <c r="U15484"/>
      <c r="X15484" s="60"/>
    </row>
    <row r="15485" spans="7:24" ht="15" customHeight="1">
      <c r="G15485"/>
      <c r="I15485"/>
      <c r="N15485"/>
      <c r="O15485" s="24"/>
      <c r="P15485"/>
      <c r="Q15485" s="24"/>
      <c r="R15485"/>
      <c r="S15485"/>
      <c r="T15485"/>
      <c r="U15485"/>
      <c r="X15485" s="60"/>
    </row>
    <row r="15486" spans="7:24" ht="15" customHeight="1">
      <c r="G15486"/>
      <c r="I15486"/>
      <c r="N15486"/>
      <c r="O15486" s="24"/>
      <c r="P15486"/>
      <c r="Q15486" s="24"/>
      <c r="R15486"/>
      <c r="S15486"/>
      <c r="T15486"/>
      <c r="U15486"/>
      <c r="X15486" s="60"/>
    </row>
    <row r="15487" spans="7:24" ht="15" customHeight="1">
      <c r="G15487"/>
      <c r="I15487"/>
      <c r="N15487"/>
      <c r="O15487" s="24"/>
      <c r="P15487"/>
      <c r="Q15487" s="24"/>
      <c r="R15487"/>
      <c r="S15487"/>
      <c r="T15487"/>
      <c r="U15487"/>
      <c r="X15487" s="60"/>
    </row>
    <row r="15488" spans="7:24" ht="15" customHeight="1">
      <c r="G15488"/>
      <c r="I15488"/>
      <c r="N15488"/>
      <c r="O15488" s="24"/>
      <c r="P15488"/>
      <c r="Q15488" s="24"/>
      <c r="R15488"/>
      <c r="S15488"/>
      <c r="T15488"/>
      <c r="U15488"/>
      <c r="X15488" s="60"/>
    </row>
    <row r="15489" spans="7:24" ht="15" customHeight="1">
      <c r="G15489"/>
      <c r="I15489"/>
      <c r="N15489"/>
      <c r="O15489" s="24"/>
      <c r="P15489"/>
      <c r="Q15489" s="24"/>
      <c r="R15489"/>
      <c r="S15489"/>
      <c r="T15489"/>
      <c r="U15489"/>
      <c r="X15489" s="60"/>
    </row>
    <row r="15490" spans="7:24" ht="15" customHeight="1">
      <c r="G15490"/>
      <c r="I15490"/>
      <c r="N15490"/>
      <c r="O15490" s="24"/>
      <c r="P15490"/>
      <c r="Q15490" s="24"/>
      <c r="R15490"/>
      <c r="S15490"/>
      <c r="T15490"/>
      <c r="U15490"/>
      <c r="X15490" s="60"/>
    </row>
    <row r="15491" spans="7:24" ht="15" customHeight="1">
      <c r="G15491"/>
      <c r="I15491"/>
      <c r="N15491"/>
      <c r="O15491" s="24"/>
      <c r="P15491"/>
      <c r="Q15491" s="24"/>
      <c r="R15491"/>
      <c r="S15491"/>
      <c r="T15491"/>
      <c r="U15491"/>
      <c r="X15491" s="60"/>
    </row>
    <row r="15492" spans="7:24" ht="15" customHeight="1">
      <c r="G15492"/>
      <c r="I15492"/>
      <c r="N15492"/>
      <c r="O15492" s="24"/>
      <c r="P15492"/>
      <c r="Q15492" s="24"/>
      <c r="R15492"/>
      <c r="S15492"/>
      <c r="T15492"/>
      <c r="U15492"/>
      <c r="X15492" s="60"/>
    </row>
    <row r="15493" spans="7:24" ht="15" customHeight="1">
      <c r="G15493"/>
      <c r="I15493"/>
      <c r="N15493"/>
      <c r="O15493" s="24"/>
      <c r="P15493"/>
      <c r="Q15493" s="24"/>
      <c r="R15493"/>
      <c r="S15493"/>
      <c r="T15493"/>
      <c r="U15493"/>
      <c r="X15493" s="60"/>
    </row>
    <row r="15494" spans="7:24" ht="15" customHeight="1">
      <c r="G15494"/>
      <c r="I15494"/>
      <c r="N15494"/>
      <c r="O15494" s="24"/>
      <c r="P15494"/>
      <c r="Q15494" s="24"/>
      <c r="R15494"/>
      <c r="S15494"/>
      <c r="T15494"/>
      <c r="U15494"/>
      <c r="X15494" s="60"/>
    </row>
    <row r="15495" spans="7:24" ht="15" customHeight="1">
      <c r="G15495"/>
      <c r="I15495"/>
      <c r="N15495"/>
      <c r="O15495" s="24"/>
      <c r="P15495"/>
      <c r="Q15495" s="24"/>
      <c r="R15495"/>
      <c r="S15495"/>
      <c r="T15495"/>
      <c r="U15495"/>
      <c r="X15495" s="60"/>
    </row>
    <row r="15496" spans="7:24" ht="15" customHeight="1">
      <c r="G15496"/>
      <c r="I15496"/>
      <c r="N15496"/>
      <c r="O15496" s="24"/>
      <c r="P15496"/>
      <c r="Q15496" s="24"/>
      <c r="R15496"/>
      <c r="S15496"/>
      <c r="T15496"/>
      <c r="U15496"/>
      <c r="X15496" s="60"/>
    </row>
    <row r="15497" spans="7:24" ht="15" customHeight="1">
      <c r="G15497"/>
      <c r="I15497"/>
      <c r="N15497"/>
      <c r="O15497" s="24"/>
      <c r="P15497"/>
      <c r="Q15497" s="24"/>
      <c r="R15497"/>
      <c r="S15497"/>
      <c r="T15497"/>
      <c r="U15497"/>
      <c r="X15497" s="60"/>
    </row>
    <row r="15498" spans="7:24" ht="15" customHeight="1">
      <c r="G15498"/>
      <c r="I15498"/>
      <c r="N15498"/>
      <c r="O15498" s="24"/>
      <c r="P15498"/>
      <c r="Q15498" s="24"/>
      <c r="R15498"/>
      <c r="S15498"/>
      <c r="T15498"/>
      <c r="U15498"/>
      <c r="X15498" s="60"/>
    </row>
    <row r="15499" spans="7:24" ht="15" customHeight="1">
      <c r="G15499"/>
      <c r="I15499"/>
      <c r="N15499"/>
      <c r="O15499" s="24"/>
      <c r="P15499"/>
      <c r="Q15499" s="24"/>
      <c r="R15499"/>
      <c r="S15499"/>
      <c r="T15499"/>
      <c r="U15499"/>
      <c r="X15499" s="60"/>
    </row>
    <row r="15500" spans="7:24" ht="15" customHeight="1">
      <c r="G15500"/>
      <c r="I15500"/>
      <c r="N15500"/>
      <c r="O15500" s="24"/>
      <c r="P15500"/>
      <c r="Q15500" s="24"/>
      <c r="R15500"/>
      <c r="S15500"/>
      <c r="T15500"/>
      <c r="U15500"/>
      <c r="X15500" s="60"/>
    </row>
    <row r="15501" spans="7:24" ht="15" customHeight="1">
      <c r="G15501"/>
      <c r="I15501"/>
      <c r="N15501"/>
      <c r="O15501" s="24"/>
      <c r="P15501"/>
      <c r="Q15501" s="24"/>
      <c r="R15501"/>
      <c r="S15501"/>
      <c r="T15501"/>
      <c r="U15501"/>
      <c r="X15501" s="60"/>
    </row>
    <row r="15502" spans="7:24" ht="15" customHeight="1">
      <c r="G15502"/>
      <c r="I15502"/>
      <c r="N15502"/>
      <c r="O15502" s="24"/>
      <c r="P15502"/>
      <c r="Q15502" s="24"/>
      <c r="R15502"/>
      <c r="S15502"/>
      <c r="T15502"/>
      <c r="U15502"/>
      <c r="X15502" s="60"/>
    </row>
    <row r="15503" spans="7:24" ht="15" customHeight="1">
      <c r="G15503"/>
      <c r="I15503"/>
      <c r="N15503"/>
      <c r="O15503" s="24"/>
      <c r="P15503"/>
      <c r="Q15503" s="24"/>
      <c r="R15503"/>
      <c r="S15503"/>
      <c r="T15503"/>
      <c r="U15503"/>
      <c r="X15503" s="60"/>
    </row>
    <row r="15504" spans="7:24" ht="15" customHeight="1">
      <c r="G15504"/>
      <c r="I15504"/>
      <c r="N15504"/>
      <c r="O15504" s="24"/>
      <c r="P15504"/>
      <c r="Q15504" s="24"/>
      <c r="R15504"/>
      <c r="S15504"/>
      <c r="T15504"/>
      <c r="U15504"/>
      <c r="X15504" s="60"/>
    </row>
    <row r="15505" spans="7:24" ht="15" customHeight="1">
      <c r="G15505"/>
      <c r="I15505"/>
      <c r="N15505"/>
      <c r="O15505" s="24"/>
      <c r="P15505"/>
      <c r="Q15505" s="24"/>
      <c r="R15505"/>
      <c r="S15505"/>
      <c r="T15505"/>
      <c r="U15505"/>
      <c r="X15505" s="60"/>
    </row>
    <row r="15506" spans="7:24" ht="15" customHeight="1">
      <c r="G15506"/>
      <c r="I15506"/>
      <c r="N15506"/>
      <c r="O15506" s="24"/>
      <c r="P15506"/>
      <c r="Q15506" s="24"/>
      <c r="R15506"/>
      <c r="S15506"/>
      <c r="T15506"/>
      <c r="U15506"/>
      <c r="X15506" s="60"/>
    </row>
    <row r="15507" spans="7:24" ht="15" customHeight="1">
      <c r="G15507"/>
      <c r="I15507"/>
      <c r="N15507"/>
      <c r="O15507" s="24"/>
      <c r="P15507"/>
      <c r="Q15507" s="24"/>
      <c r="R15507"/>
      <c r="S15507"/>
      <c r="T15507"/>
      <c r="U15507"/>
      <c r="X15507" s="60"/>
    </row>
    <row r="15508" spans="7:24" ht="15" customHeight="1">
      <c r="G15508"/>
      <c r="I15508"/>
      <c r="N15508"/>
      <c r="O15508" s="24"/>
      <c r="P15508"/>
      <c r="Q15508" s="24"/>
      <c r="R15508"/>
      <c r="S15508"/>
      <c r="T15508"/>
      <c r="U15508"/>
      <c r="X15508" s="60"/>
    </row>
    <row r="15509" spans="7:24" ht="15" customHeight="1">
      <c r="G15509"/>
      <c r="I15509"/>
      <c r="N15509"/>
      <c r="O15509" s="24"/>
      <c r="P15509"/>
      <c r="Q15509" s="24"/>
      <c r="R15509"/>
      <c r="S15509"/>
      <c r="T15509"/>
      <c r="U15509"/>
      <c r="X15509" s="60"/>
    </row>
    <row r="15510" spans="7:24" ht="15" customHeight="1">
      <c r="G15510"/>
      <c r="I15510"/>
      <c r="N15510"/>
      <c r="O15510" s="24"/>
      <c r="P15510"/>
      <c r="Q15510" s="24"/>
      <c r="R15510"/>
      <c r="S15510"/>
      <c r="T15510"/>
      <c r="U15510"/>
      <c r="X15510" s="60"/>
    </row>
    <row r="15511" spans="7:24" ht="15" customHeight="1">
      <c r="G15511"/>
      <c r="I15511"/>
      <c r="N15511"/>
      <c r="O15511" s="24"/>
      <c r="P15511"/>
      <c r="Q15511" s="24"/>
      <c r="R15511"/>
      <c r="S15511"/>
      <c r="T15511"/>
      <c r="U15511"/>
      <c r="X15511" s="60"/>
    </row>
    <row r="15512" spans="7:24" ht="15" customHeight="1">
      <c r="G15512"/>
      <c r="I15512"/>
      <c r="N15512"/>
      <c r="O15512" s="24"/>
      <c r="P15512"/>
      <c r="Q15512" s="24"/>
      <c r="R15512"/>
      <c r="S15512"/>
      <c r="T15512"/>
      <c r="U15512"/>
      <c r="X15512" s="60"/>
    </row>
    <row r="15513" spans="7:24" ht="15" customHeight="1">
      <c r="G15513"/>
      <c r="I15513"/>
      <c r="N15513"/>
      <c r="O15513" s="24"/>
      <c r="P15513"/>
      <c r="Q15513" s="24"/>
      <c r="R15513"/>
      <c r="S15513"/>
      <c r="T15513"/>
      <c r="U15513"/>
      <c r="X15513" s="60"/>
    </row>
    <row r="15514" spans="7:24" ht="15" customHeight="1">
      <c r="G15514"/>
      <c r="I15514"/>
      <c r="N15514"/>
      <c r="O15514" s="24"/>
      <c r="P15514"/>
      <c r="Q15514" s="24"/>
      <c r="R15514"/>
      <c r="S15514"/>
      <c r="T15514"/>
      <c r="U15514"/>
      <c r="X15514" s="60"/>
    </row>
    <row r="15515" spans="7:24" ht="15" customHeight="1">
      <c r="G15515"/>
      <c r="I15515"/>
      <c r="N15515"/>
      <c r="O15515" s="24"/>
      <c r="P15515"/>
      <c r="Q15515" s="24"/>
      <c r="R15515"/>
      <c r="S15515"/>
      <c r="T15515"/>
      <c r="U15515"/>
      <c r="X15515" s="60"/>
    </row>
    <row r="15516" spans="7:24" ht="15" customHeight="1">
      <c r="G15516"/>
      <c r="I15516"/>
      <c r="N15516"/>
      <c r="O15516" s="24"/>
      <c r="P15516"/>
      <c r="Q15516" s="24"/>
      <c r="R15516"/>
      <c r="S15516"/>
      <c r="T15516"/>
      <c r="U15516"/>
      <c r="X15516" s="60"/>
    </row>
    <row r="15517" spans="7:24" ht="15" customHeight="1">
      <c r="G15517"/>
      <c r="I15517"/>
      <c r="N15517"/>
      <c r="O15517" s="24"/>
      <c r="P15517"/>
      <c r="Q15517" s="24"/>
      <c r="R15517"/>
      <c r="S15517"/>
      <c r="T15517"/>
      <c r="U15517"/>
      <c r="X15517" s="60"/>
    </row>
    <row r="15518" spans="7:24" ht="15" customHeight="1">
      <c r="G15518"/>
      <c r="I15518"/>
      <c r="N15518"/>
      <c r="O15518" s="24"/>
      <c r="P15518"/>
      <c r="Q15518" s="24"/>
      <c r="R15518"/>
      <c r="S15518"/>
      <c r="T15518"/>
      <c r="U15518"/>
      <c r="X15518" s="60"/>
    </row>
    <row r="15519" spans="7:24" ht="15" customHeight="1">
      <c r="G15519"/>
      <c r="I15519"/>
      <c r="N15519"/>
      <c r="O15519" s="24"/>
      <c r="P15519"/>
      <c r="Q15519" s="24"/>
      <c r="R15519"/>
      <c r="S15519"/>
      <c r="T15519"/>
      <c r="U15519"/>
      <c r="X15519" s="60"/>
    </row>
    <row r="15520" spans="7:24" ht="15" customHeight="1">
      <c r="G15520"/>
      <c r="I15520"/>
      <c r="N15520"/>
      <c r="O15520" s="24"/>
      <c r="P15520"/>
      <c r="Q15520" s="24"/>
      <c r="R15520"/>
      <c r="S15520"/>
      <c r="T15520"/>
      <c r="U15520"/>
      <c r="X15520" s="60"/>
    </row>
    <row r="15521" spans="7:24" ht="15" customHeight="1">
      <c r="G15521"/>
      <c r="I15521"/>
      <c r="N15521"/>
      <c r="O15521" s="24"/>
      <c r="P15521"/>
      <c r="Q15521" s="24"/>
      <c r="R15521"/>
      <c r="S15521"/>
      <c r="T15521"/>
      <c r="U15521"/>
      <c r="X15521" s="60"/>
    </row>
    <row r="15522" spans="7:24" ht="15" customHeight="1">
      <c r="G15522"/>
      <c r="I15522"/>
      <c r="N15522"/>
      <c r="O15522" s="24"/>
      <c r="P15522"/>
      <c r="Q15522" s="24"/>
      <c r="R15522"/>
      <c r="S15522"/>
      <c r="T15522"/>
      <c r="U15522"/>
      <c r="X15522" s="60"/>
    </row>
    <row r="15523" spans="7:24" ht="15" customHeight="1">
      <c r="G15523"/>
      <c r="I15523"/>
      <c r="N15523"/>
      <c r="O15523" s="24"/>
      <c r="P15523"/>
      <c r="Q15523" s="24"/>
      <c r="R15523"/>
      <c r="S15523"/>
      <c r="T15523"/>
      <c r="U15523"/>
      <c r="X15523" s="60"/>
    </row>
    <row r="15524" spans="7:24" ht="15" customHeight="1">
      <c r="G15524"/>
      <c r="I15524"/>
      <c r="N15524"/>
      <c r="O15524" s="24"/>
      <c r="P15524"/>
      <c r="Q15524" s="24"/>
      <c r="R15524"/>
      <c r="S15524"/>
      <c r="T15524"/>
      <c r="U15524"/>
      <c r="X15524" s="60"/>
    </row>
    <row r="15525" spans="7:24" ht="15" customHeight="1">
      <c r="G15525"/>
      <c r="I15525"/>
      <c r="N15525"/>
      <c r="O15525" s="24"/>
      <c r="P15525"/>
      <c r="Q15525" s="24"/>
      <c r="R15525"/>
      <c r="S15525"/>
      <c r="T15525"/>
      <c r="U15525"/>
      <c r="X15525" s="60"/>
    </row>
    <row r="15526" spans="7:24" ht="15" customHeight="1">
      <c r="G15526"/>
      <c r="I15526"/>
      <c r="N15526"/>
      <c r="O15526" s="24"/>
      <c r="P15526"/>
      <c r="Q15526" s="24"/>
      <c r="R15526"/>
      <c r="S15526"/>
      <c r="T15526"/>
      <c r="U15526"/>
      <c r="X15526" s="60"/>
    </row>
    <row r="15527" spans="7:24" ht="15" customHeight="1">
      <c r="G15527"/>
      <c r="I15527"/>
      <c r="N15527"/>
      <c r="O15527" s="24"/>
      <c r="P15527"/>
      <c r="Q15527" s="24"/>
      <c r="R15527"/>
      <c r="S15527"/>
      <c r="T15527"/>
      <c r="U15527"/>
      <c r="X15527" s="60"/>
    </row>
    <row r="15528" spans="7:24" ht="15" customHeight="1">
      <c r="G15528"/>
      <c r="I15528"/>
      <c r="N15528"/>
      <c r="O15528" s="24"/>
      <c r="P15528"/>
      <c r="Q15528" s="24"/>
      <c r="R15528"/>
      <c r="S15528"/>
      <c r="T15528"/>
      <c r="U15528"/>
      <c r="X15528" s="60"/>
    </row>
    <row r="15529" spans="7:24" ht="15" customHeight="1">
      <c r="G15529"/>
      <c r="I15529"/>
      <c r="N15529"/>
      <c r="O15529" s="24"/>
      <c r="P15529"/>
      <c r="Q15529" s="24"/>
      <c r="R15529"/>
      <c r="S15529"/>
      <c r="T15529"/>
      <c r="U15529"/>
      <c r="X15529" s="60"/>
    </row>
    <row r="15530" spans="7:24" ht="15" customHeight="1">
      <c r="G15530"/>
      <c r="I15530"/>
      <c r="N15530"/>
      <c r="O15530" s="24"/>
      <c r="P15530"/>
      <c r="Q15530" s="24"/>
      <c r="R15530"/>
      <c r="S15530"/>
      <c r="T15530"/>
      <c r="U15530"/>
      <c r="X15530" s="60"/>
    </row>
    <row r="15531" spans="7:24" ht="15" customHeight="1">
      <c r="G15531"/>
      <c r="I15531"/>
      <c r="N15531"/>
      <c r="O15531" s="24"/>
      <c r="P15531"/>
      <c r="Q15531" s="24"/>
      <c r="R15531"/>
      <c r="S15531"/>
      <c r="T15531"/>
      <c r="U15531"/>
      <c r="X15531" s="60"/>
    </row>
    <row r="15532" spans="7:24" ht="15" customHeight="1">
      <c r="G15532"/>
      <c r="I15532"/>
      <c r="N15532"/>
      <c r="O15532" s="24"/>
      <c r="P15532"/>
      <c r="Q15532" s="24"/>
      <c r="R15532"/>
      <c r="S15532"/>
      <c r="T15532"/>
      <c r="U15532"/>
      <c r="X15532" s="60"/>
    </row>
    <row r="15533" spans="7:24" ht="15" customHeight="1">
      <c r="G15533"/>
      <c r="I15533"/>
      <c r="N15533"/>
      <c r="O15533" s="24"/>
      <c r="P15533"/>
      <c r="Q15533" s="24"/>
      <c r="R15533"/>
      <c r="S15533"/>
      <c r="T15533"/>
      <c r="U15533"/>
      <c r="X15533" s="60"/>
    </row>
    <row r="15534" spans="7:24" ht="15" customHeight="1">
      <c r="G15534"/>
      <c r="I15534"/>
      <c r="N15534"/>
      <c r="O15534" s="24"/>
      <c r="P15534"/>
      <c r="Q15534" s="24"/>
      <c r="R15534"/>
      <c r="S15534"/>
      <c r="T15534"/>
      <c r="U15534"/>
      <c r="X15534" s="60"/>
    </row>
    <row r="15535" spans="7:24" ht="15" customHeight="1">
      <c r="G15535"/>
      <c r="I15535"/>
      <c r="N15535"/>
      <c r="O15535" s="24"/>
      <c r="P15535"/>
      <c r="Q15535" s="24"/>
      <c r="R15535"/>
      <c r="S15535"/>
      <c r="T15535"/>
      <c r="U15535"/>
      <c r="X15535" s="60"/>
    </row>
    <row r="15536" spans="7:24" ht="15" customHeight="1">
      <c r="G15536"/>
      <c r="I15536"/>
      <c r="N15536"/>
      <c r="O15536" s="24"/>
      <c r="P15536"/>
      <c r="Q15536" s="24"/>
      <c r="R15536"/>
      <c r="S15536"/>
      <c r="T15536"/>
      <c r="U15536"/>
      <c r="X15536" s="60"/>
    </row>
    <row r="15537" spans="7:24" ht="15" customHeight="1">
      <c r="G15537"/>
      <c r="I15537"/>
      <c r="N15537"/>
      <c r="O15537" s="24"/>
      <c r="P15537"/>
      <c r="Q15537" s="24"/>
      <c r="R15537"/>
      <c r="S15537"/>
      <c r="T15537"/>
      <c r="U15537"/>
      <c r="X15537" s="60"/>
    </row>
    <row r="15538" spans="7:24" ht="15" customHeight="1">
      <c r="G15538"/>
      <c r="I15538"/>
      <c r="N15538"/>
      <c r="O15538" s="24"/>
      <c r="P15538"/>
      <c r="Q15538" s="24"/>
      <c r="R15538"/>
      <c r="S15538"/>
      <c r="T15538"/>
      <c r="U15538"/>
      <c r="X15538" s="60"/>
    </row>
    <row r="15539" spans="7:24" ht="15" customHeight="1">
      <c r="G15539"/>
      <c r="I15539"/>
      <c r="N15539"/>
      <c r="O15539" s="24"/>
      <c r="P15539"/>
      <c r="Q15539" s="24"/>
      <c r="R15539"/>
      <c r="S15539"/>
      <c r="T15539"/>
      <c r="U15539"/>
      <c r="X15539" s="60"/>
    </row>
    <row r="15540" spans="7:24" ht="15" customHeight="1">
      <c r="G15540"/>
      <c r="I15540"/>
      <c r="N15540"/>
      <c r="O15540" s="24"/>
      <c r="P15540"/>
      <c r="Q15540" s="24"/>
      <c r="R15540"/>
      <c r="S15540"/>
      <c r="T15540"/>
      <c r="U15540"/>
      <c r="X15540" s="60"/>
    </row>
    <row r="15541" spans="7:24" ht="15" customHeight="1">
      <c r="G15541"/>
      <c r="I15541"/>
      <c r="N15541"/>
      <c r="O15541" s="24"/>
      <c r="P15541"/>
      <c r="Q15541" s="24"/>
      <c r="R15541"/>
      <c r="S15541"/>
      <c r="T15541"/>
      <c r="U15541"/>
      <c r="X15541" s="60"/>
    </row>
    <row r="15542" spans="7:24" ht="15" customHeight="1">
      <c r="G15542"/>
      <c r="I15542"/>
      <c r="N15542"/>
      <c r="O15542" s="24"/>
      <c r="P15542"/>
      <c r="Q15542" s="24"/>
      <c r="R15542"/>
      <c r="S15542"/>
      <c r="T15542"/>
      <c r="U15542"/>
      <c r="X15542" s="60"/>
    </row>
    <row r="15543" spans="7:24" ht="15" customHeight="1">
      <c r="G15543"/>
      <c r="I15543"/>
      <c r="N15543"/>
      <c r="O15543" s="24"/>
      <c r="P15543"/>
      <c r="Q15543" s="24"/>
      <c r="R15543"/>
      <c r="S15543"/>
      <c r="T15543"/>
      <c r="U15543"/>
      <c r="X15543" s="60"/>
    </row>
    <row r="15544" spans="7:24" ht="15" customHeight="1">
      <c r="G15544"/>
      <c r="I15544"/>
      <c r="N15544"/>
      <c r="O15544" s="24"/>
      <c r="P15544"/>
      <c r="Q15544" s="24"/>
      <c r="R15544"/>
      <c r="S15544"/>
      <c r="T15544"/>
      <c r="U15544"/>
      <c r="X15544" s="60"/>
    </row>
    <row r="15545" spans="7:24" ht="15" customHeight="1">
      <c r="G15545"/>
      <c r="I15545"/>
      <c r="N15545"/>
      <c r="O15545" s="24"/>
      <c r="P15545"/>
      <c r="Q15545" s="24"/>
      <c r="R15545"/>
      <c r="S15545"/>
      <c r="T15545"/>
      <c r="U15545"/>
      <c r="X15545" s="60"/>
    </row>
    <row r="15546" spans="7:24" ht="15" customHeight="1">
      <c r="G15546"/>
      <c r="I15546"/>
      <c r="N15546"/>
      <c r="O15546" s="24"/>
      <c r="P15546"/>
      <c r="Q15546" s="24"/>
      <c r="R15546"/>
      <c r="S15546"/>
      <c r="T15546"/>
      <c r="U15546"/>
      <c r="X15546" s="60"/>
    </row>
    <row r="15547" spans="7:24" ht="15" customHeight="1">
      <c r="G15547"/>
      <c r="I15547"/>
      <c r="N15547"/>
      <c r="O15547" s="24"/>
      <c r="P15547"/>
      <c r="Q15547" s="24"/>
      <c r="R15547"/>
      <c r="S15547"/>
      <c r="T15547"/>
      <c r="U15547"/>
      <c r="X15547" s="60"/>
    </row>
    <row r="15548" spans="7:24" ht="15" customHeight="1">
      <c r="G15548"/>
      <c r="I15548"/>
      <c r="N15548"/>
      <c r="O15548" s="24"/>
      <c r="P15548"/>
      <c r="Q15548" s="24"/>
      <c r="R15548"/>
      <c r="S15548"/>
      <c r="T15548"/>
      <c r="U15548"/>
      <c r="X15548" s="60"/>
    </row>
    <row r="15549" spans="7:24" ht="15" customHeight="1">
      <c r="G15549"/>
      <c r="I15549"/>
      <c r="N15549"/>
      <c r="O15549" s="24"/>
      <c r="P15549"/>
      <c r="Q15549" s="24"/>
      <c r="R15549"/>
      <c r="S15549"/>
      <c r="T15549"/>
      <c r="U15549"/>
      <c r="X15549" s="60"/>
    </row>
    <row r="15550" spans="7:24" ht="15" customHeight="1">
      <c r="G15550"/>
      <c r="I15550"/>
      <c r="N15550"/>
      <c r="O15550" s="24"/>
      <c r="P15550"/>
      <c r="Q15550" s="24"/>
      <c r="R15550"/>
      <c r="S15550"/>
      <c r="T15550"/>
      <c r="U15550"/>
      <c r="X15550" s="60"/>
    </row>
    <row r="15551" spans="7:24" ht="15" customHeight="1">
      <c r="G15551"/>
      <c r="I15551"/>
      <c r="N15551"/>
      <c r="O15551" s="24"/>
      <c r="P15551"/>
      <c r="Q15551" s="24"/>
      <c r="R15551"/>
      <c r="S15551"/>
      <c r="T15551"/>
      <c r="U15551"/>
      <c r="X15551" s="60"/>
    </row>
    <row r="15552" spans="7:24" ht="15" customHeight="1">
      <c r="G15552"/>
      <c r="I15552"/>
      <c r="N15552"/>
      <c r="O15552" s="24"/>
      <c r="P15552"/>
      <c r="Q15552" s="24"/>
      <c r="R15552"/>
      <c r="S15552"/>
      <c r="T15552"/>
      <c r="U15552"/>
      <c r="X15552" s="60"/>
    </row>
    <row r="15553" spans="7:24" ht="15" customHeight="1">
      <c r="G15553"/>
      <c r="I15553"/>
      <c r="N15553"/>
      <c r="O15553" s="24"/>
      <c r="P15553"/>
      <c r="Q15553" s="24"/>
      <c r="R15553"/>
      <c r="S15553"/>
      <c r="T15553"/>
      <c r="U15553"/>
      <c r="X15553" s="60"/>
    </row>
    <row r="15554" spans="7:24" ht="15" customHeight="1">
      <c r="G15554"/>
      <c r="I15554"/>
      <c r="N15554"/>
      <c r="O15554" s="24"/>
      <c r="P15554"/>
      <c r="Q15554" s="24"/>
      <c r="R15554"/>
      <c r="S15554"/>
      <c r="T15554"/>
      <c r="U15554"/>
      <c r="X15554" s="60"/>
    </row>
    <row r="15555" spans="7:24" ht="15" customHeight="1">
      <c r="G15555"/>
      <c r="I15555"/>
      <c r="N15555"/>
      <c r="O15555" s="24"/>
      <c r="P15555"/>
      <c r="Q15555" s="24"/>
      <c r="R15555"/>
      <c r="S15555"/>
      <c r="T15555"/>
      <c r="U15555"/>
      <c r="X15555" s="60"/>
    </row>
    <row r="15556" spans="7:24" ht="15" customHeight="1">
      <c r="G15556"/>
      <c r="I15556"/>
      <c r="N15556"/>
      <c r="O15556" s="24"/>
      <c r="P15556"/>
      <c r="Q15556" s="24"/>
      <c r="R15556"/>
      <c r="S15556"/>
      <c r="T15556"/>
      <c r="U15556"/>
      <c r="X15556" s="60"/>
    </row>
    <row r="15557" spans="7:24" ht="15" customHeight="1">
      <c r="G15557"/>
      <c r="I15557"/>
      <c r="N15557"/>
      <c r="O15557" s="24"/>
      <c r="P15557"/>
      <c r="Q15557" s="24"/>
      <c r="R15557"/>
      <c r="S15557"/>
      <c r="T15557"/>
      <c r="U15557"/>
      <c r="X15557" s="60"/>
    </row>
    <row r="15558" spans="7:24" ht="15" customHeight="1">
      <c r="G15558"/>
      <c r="I15558"/>
      <c r="N15558"/>
      <c r="O15558" s="24"/>
      <c r="P15558"/>
      <c r="Q15558" s="24"/>
      <c r="R15558"/>
      <c r="S15558"/>
      <c r="T15558"/>
      <c r="U15558"/>
      <c r="X15558" s="60"/>
    </row>
    <row r="15559" spans="7:24" ht="15" customHeight="1">
      <c r="G15559"/>
      <c r="I15559"/>
      <c r="N15559"/>
      <c r="O15559" s="24"/>
      <c r="P15559"/>
      <c r="Q15559" s="24"/>
      <c r="R15559"/>
      <c r="S15559"/>
      <c r="T15559"/>
      <c r="U15559"/>
      <c r="X15559" s="60"/>
    </row>
    <row r="15560" spans="7:24" ht="15" customHeight="1">
      <c r="G15560"/>
      <c r="I15560"/>
      <c r="N15560"/>
      <c r="O15560" s="24"/>
      <c r="P15560"/>
      <c r="Q15560" s="24"/>
      <c r="R15560"/>
      <c r="S15560"/>
      <c r="T15560"/>
      <c r="U15560"/>
      <c r="X15560" s="60"/>
    </row>
    <row r="15561" spans="7:24" ht="15" customHeight="1">
      <c r="G15561"/>
      <c r="I15561"/>
      <c r="N15561"/>
      <c r="O15561" s="24"/>
      <c r="P15561"/>
      <c r="Q15561" s="24"/>
      <c r="R15561"/>
      <c r="S15561"/>
      <c r="T15561"/>
      <c r="U15561"/>
      <c r="X15561" s="60"/>
    </row>
    <row r="15562" spans="7:24" ht="15" customHeight="1">
      <c r="G15562"/>
      <c r="I15562"/>
      <c r="N15562"/>
      <c r="O15562" s="24"/>
      <c r="P15562"/>
      <c r="Q15562" s="24"/>
      <c r="R15562"/>
      <c r="S15562"/>
      <c r="T15562"/>
      <c r="U15562"/>
      <c r="X15562" s="60"/>
    </row>
    <row r="15563" spans="7:24" ht="15" customHeight="1">
      <c r="G15563"/>
      <c r="I15563"/>
      <c r="N15563"/>
      <c r="O15563" s="24"/>
      <c r="P15563"/>
      <c r="Q15563" s="24"/>
      <c r="R15563"/>
      <c r="S15563"/>
      <c r="T15563"/>
      <c r="U15563"/>
      <c r="X15563" s="60"/>
    </row>
    <row r="15564" spans="7:24" ht="15" customHeight="1">
      <c r="G15564"/>
      <c r="I15564"/>
      <c r="N15564"/>
      <c r="O15564" s="24"/>
      <c r="P15564"/>
      <c r="Q15564" s="24"/>
      <c r="R15564"/>
      <c r="S15564"/>
      <c r="T15564"/>
      <c r="U15564"/>
      <c r="X15564" s="60"/>
    </row>
    <row r="15565" spans="7:24" ht="15" customHeight="1">
      <c r="G15565"/>
      <c r="I15565"/>
      <c r="N15565"/>
      <c r="O15565" s="24"/>
      <c r="P15565"/>
      <c r="Q15565" s="24"/>
      <c r="R15565"/>
      <c r="S15565"/>
      <c r="T15565"/>
      <c r="U15565"/>
      <c r="X15565" s="60"/>
    </row>
    <row r="15566" spans="7:24" ht="15" customHeight="1">
      <c r="G15566"/>
      <c r="I15566"/>
      <c r="N15566"/>
      <c r="O15566" s="24"/>
      <c r="P15566"/>
      <c r="Q15566" s="24"/>
      <c r="R15566"/>
      <c r="S15566"/>
      <c r="T15566"/>
      <c r="U15566"/>
      <c r="X15566" s="60"/>
    </row>
    <row r="15567" spans="7:24" ht="15" customHeight="1">
      <c r="G15567"/>
      <c r="I15567"/>
      <c r="N15567"/>
      <c r="O15567" s="24"/>
      <c r="P15567"/>
      <c r="Q15567" s="24"/>
      <c r="R15567"/>
      <c r="S15567"/>
      <c r="T15567"/>
      <c r="U15567"/>
      <c r="X15567" s="60"/>
    </row>
    <row r="15568" spans="7:24" ht="15" customHeight="1">
      <c r="G15568"/>
      <c r="I15568"/>
      <c r="N15568"/>
      <c r="O15568" s="24"/>
      <c r="P15568"/>
      <c r="Q15568" s="24"/>
      <c r="R15568"/>
      <c r="S15568"/>
      <c r="T15568"/>
      <c r="U15568"/>
      <c r="X15568" s="60"/>
    </row>
    <row r="15569" spans="7:24" ht="15" customHeight="1">
      <c r="G15569"/>
      <c r="I15569"/>
      <c r="N15569"/>
      <c r="O15569" s="24"/>
      <c r="P15569"/>
      <c r="Q15569" s="24"/>
      <c r="R15569"/>
      <c r="S15569"/>
      <c r="T15569"/>
      <c r="U15569"/>
      <c r="X15569" s="60"/>
    </row>
    <row r="15570" spans="7:24" ht="15" customHeight="1">
      <c r="G15570"/>
      <c r="I15570"/>
      <c r="N15570"/>
      <c r="O15570" s="24"/>
      <c r="P15570"/>
      <c r="Q15570" s="24"/>
      <c r="R15570"/>
      <c r="S15570"/>
      <c r="T15570"/>
      <c r="U15570"/>
      <c r="X15570" s="60"/>
    </row>
    <row r="15571" spans="7:24" ht="15" customHeight="1">
      <c r="G15571"/>
      <c r="I15571"/>
      <c r="N15571"/>
      <c r="O15571" s="24"/>
      <c r="P15571"/>
      <c r="Q15571" s="24"/>
      <c r="R15571"/>
      <c r="S15571"/>
      <c r="T15571"/>
      <c r="U15571"/>
      <c r="X15571" s="60"/>
    </row>
    <row r="15572" spans="7:24" ht="15" customHeight="1">
      <c r="G15572"/>
      <c r="I15572"/>
      <c r="N15572"/>
      <c r="O15572" s="24"/>
      <c r="P15572"/>
      <c r="Q15572" s="24"/>
      <c r="R15572"/>
      <c r="S15572"/>
      <c r="T15572"/>
      <c r="U15572"/>
      <c r="X15572" s="60"/>
    </row>
    <row r="15573" spans="7:24" ht="15" customHeight="1">
      <c r="G15573"/>
      <c r="I15573"/>
      <c r="N15573"/>
      <c r="O15573" s="24"/>
      <c r="P15573"/>
      <c r="Q15573" s="24"/>
      <c r="R15573"/>
      <c r="S15573"/>
      <c r="T15573"/>
      <c r="U15573"/>
      <c r="X15573" s="60"/>
    </row>
    <row r="15574" spans="7:24" ht="15" customHeight="1">
      <c r="G15574"/>
      <c r="I15574"/>
      <c r="N15574"/>
      <c r="O15574" s="24"/>
      <c r="P15574"/>
      <c r="Q15574" s="24"/>
      <c r="R15574"/>
      <c r="S15574"/>
      <c r="T15574"/>
      <c r="U15574"/>
      <c r="X15574" s="60"/>
    </row>
    <row r="15575" spans="7:24" ht="15" customHeight="1">
      <c r="G15575"/>
      <c r="I15575"/>
      <c r="N15575"/>
      <c r="O15575" s="24"/>
      <c r="P15575"/>
      <c r="Q15575" s="24"/>
      <c r="R15575"/>
      <c r="S15575"/>
      <c r="T15575"/>
      <c r="U15575"/>
      <c r="X15575" s="60"/>
    </row>
    <row r="15576" spans="7:24" ht="15" customHeight="1">
      <c r="G15576"/>
      <c r="I15576"/>
      <c r="N15576"/>
      <c r="O15576" s="24"/>
      <c r="P15576"/>
      <c r="Q15576" s="24"/>
      <c r="R15576"/>
      <c r="S15576"/>
      <c r="T15576"/>
      <c r="U15576"/>
      <c r="X15576" s="60"/>
    </row>
    <row r="15577" spans="7:24" ht="15" customHeight="1">
      <c r="G15577"/>
      <c r="I15577"/>
      <c r="N15577"/>
      <c r="O15577" s="24"/>
      <c r="P15577"/>
      <c r="Q15577" s="24"/>
      <c r="R15577"/>
      <c r="S15577"/>
      <c r="T15577"/>
      <c r="U15577"/>
      <c r="X15577" s="60"/>
    </row>
    <row r="15578" spans="7:24" ht="15" customHeight="1">
      <c r="G15578"/>
      <c r="I15578"/>
      <c r="N15578"/>
      <c r="O15578" s="24"/>
      <c r="P15578"/>
      <c r="Q15578" s="24"/>
      <c r="R15578"/>
      <c r="S15578"/>
      <c r="T15578"/>
      <c r="U15578"/>
      <c r="X15578" s="60"/>
    </row>
    <row r="15579" spans="7:24" ht="15" customHeight="1">
      <c r="G15579"/>
      <c r="I15579"/>
      <c r="N15579"/>
      <c r="O15579" s="24"/>
      <c r="P15579"/>
      <c r="Q15579" s="24"/>
      <c r="R15579"/>
      <c r="S15579"/>
      <c r="T15579"/>
      <c r="U15579"/>
      <c r="X15579" s="60"/>
    </row>
    <row r="15580" spans="7:24" ht="15" customHeight="1">
      <c r="G15580"/>
      <c r="I15580"/>
      <c r="N15580"/>
      <c r="O15580" s="24"/>
      <c r="P15580"/>
      <c r="Q15580" s="24"/>
      <c r="R15580"/>
      <c r="S15580"/>
      <c r="T15580"/>
      <c r="U15580"/>
      <c r="X15580" s="60"/>
    </row>
    <row r="15581" spans="7:24" ht="15" customHeight="1">
      <c r="G15581"/>
      <c r="I15581"/>
      <c r="N15581"/>
      <c r="O15581" s="24"/>
      <c r="P15581"/>
      <c r="Q15581" s="24"/>
      <c r="R15581"/>
      <c r="S15581"/>
      <c r="T15581"/>
      <c r="U15581"/>
      <c r="X15581" s="60"/>
    </row>
    <row r="15582" spans="7:24" ht="15" customHeight="1">
      <c r="G15582"/>
      <c r="I15582"/>
      <c r="N15582"/>
      <c r="O15582" s="24"/>
      <c r="P15582"/>
      <c r="Q15582" s="24"/>
      <c r="R15582"/>
      <c r="S15582"/>
      <c r="T15582"/>
      <c r="U15582"/>
      <c r="X15582" s="60"/>
    </row>
    <row r="15583" spans="7:24" ht="15" customHeight="1">
      <c r="G15583"/>
      <c r="I15583"/>
      <c r="N15583"/>
      <c r="O15583" s="24"/>
      <c r="P15583"/>
      <c r="Q15583" s="24"/>
      <c r="R15583"/>
      <c r="S15583"/>
      <c r="T15583"/>
      <c r="U15583"/>
      <c r="X15583" s="60"/>
    </row>
    <row r="15584" spans="7:24" ht="15" customHeight="1">
      <c r="G15584"/>
      <c r="I15584"/>
      <c r="N15584"/>
      <c r="O15584" s="24"/>
      <c r="P15584"/>
      <c r="Q15584" s="24"/>
      <c r="R15584"/>
      <c r="S15584"/>
      <c r="T15584"/>
      <c r="U15584"/>
      <c r="X15584" s="60"/>
    </row>
    <row r="15585" spans="7:24" ht="15" customHeight="1">
      <c r="G15585"/>
      <c r="I15585"/>
      <c r="N15585"/>
      <c r="O15585" s="24"/>
      <c r="P15585"/>
      <c r="Q15585" s="24"/>
      <c r="R15585"/>
      <c r="S15585"/>
      <c r="T15585"/>
      <c r="U15585"/>
      <c r="X15585" s="60"/>
    </row>
    <row r="15586" spans="7:24" ht="15" customHeight="1">
      <c r="G15586"/>
      <c r="I15586"/>
      <c r="N15586"/>
      <c r="O15586" s="24"/>
      <c r="P15586"/>
      <c r="Q15586" s="24"/>
      <c r="R15586"/>
      <c r="S15586"/>
      <c r="T15586"/>
      <c r="U15586"/>
      <c r="X15586" s="60"/>
    </row>
    <row r="15587" spans="7:24" ht="15" customHeight="1">
      <c r="G15587"/>
      <c r="I15587"/>
      <c r="N15587"/>
      <c r="O15587" s="24"/>
      <c r="P15587"/>
      <c r="Q15587" s="24"/>
      <c r="R15587"/>
      <c r="S15587"/>
      <c r="T15587"/>
      <c r="U15587"/>
      <c r="X15587" s="60"/>
    </row>
    <row r="15588" spans="7:24" ht="15" customHeight="1">
      <c r="G15588"/>
      <c r="I15588"/>
      <c r="N15588"/>
      <c r="O15588" s="24"/>
      <c r="P15588"/>
      <c r="Q15588" s="24"/>
      <c r="R15588"/>
      <c r="S15588"/>
      <c r="T15588"/>
      <c r="U15588"/>
      <c r="X15588" s="60"/>
    </row>
    <row r="15589" spans="7:24" ht="15" customHeight="1">
      <c r="G15589"/>
      <c r="I15589"/>
      <c r="N15589"/>
      <c r="O15589" s="24"/>
      <c r="P15589"/>
      <c r="Q15589" s="24"/>
      <c r="R15589"/>
      <c r="S15589"/>
      <c r="T15589"/>
      <c r="U15589"/>
      <c r="X15589" s="60"/>
    </row>
    <row r="15590" spans="7:24" ht="15" customHeight="1">
      <c r="G15590"/>
      <c r="I15590"/>
      <c r="N15590"/>
      <c r="O15590" s="24"/>
      <c r="P15590"/>
      <c r="Q15590" s="24"/>
      <c r="R15590"/>
      <c r="S15590"/>
      <c r="T15590"/>
      <c r="U15590"/>
      <c r="X15590" s="60"/>
    </row>
    <row r="15591" spans="7:24" ht="15" customHeight="1">
      <c r="G15591"/>
      <c r="I15591"/>
      <c r="N15591"/>
      <c r="O15591" s="24"/>
      <c r="P15591"/>
      <c r="Q15591" s="24"/>
      <c r="R15591"/>
      <c r="S15591"/>
      <c r="T15591"/>
      <c r="U15591"/>
      <c r="X15591" s="60"/>
    </row>
    <row r="15592" spans="7:24" ht="15" customHeight="1">
      <c r="G15592"/>
      <c r="I15592"/>
      <c r="N15592"/>
      <c r="O15592" s="24"/>
      <c r="P15592"/>
      <c r="Q15592" s="24"/>
      <c r="R15592"/>
      <c r="S15592"/>
      <c r="T15592"/>
      <c r="U15592"/>
      <c r="X15592" s="60"/>
    </row>
    <row r="15593" spans="7:24" ht="15" customHeight="1">
      <c r="G15593"/>
      <c r="I15593"/>
      <c r="N15593"/>
      <c r="O15593" s="24"/>
      <c r="P15593"/>
      <c r="Q15593" s="24"/>
      <c r="R15593"/>
      <c r="S15593"/>
      <c r="T15593"/>
      <c r="U15593"/>
      <c r="X15593" s="60"/>
    </row>
    <row r="15594" spans="7:24" ht="15" customHeight="1">
      <c r="G15594"/>
      <c r="I15594"/>
      <c r="N15594"/>
      <c r="O15594" s="24"/>
      <c r="P15594"/>
      <c r="Q15594" s="24"/>
      <c r="R15594"/>
      <c r="S15594"/>
      <c r="T15594"/>
      <c r="U15594"/>
      <c r="X15594" s="60"/>
    </row>
    <row r="15595" spans="7:24" ht="15" customHeight="1">
      <c r="G15595"/>
      <c r="I15595"/>
      <c r="N15595"/>
      <c r="O15595" s="24"/>
      <c r="P15595"/>
      <c r="Q15595" s="24"/>
      <c r="R15595"/>
      <c r="S15595"/>
      <c r="T15595"/>
      <c r="U15595"/>
      <c r="X15595" s="60"/>
    </row>
    <row r="15596" spans="7:24" ht="15" customHeight="1">
      <c r="G15596"/>
      <c r="I15596"/>
      <c r="N15596"/>
      <c r="O15596" s="24"/>
      <c r="P15596"/>
      <c r="Q15596" s="24"/>
      <c r="R15596"/>
      <c r="S15596"/>
      <c r="T15596"/>
      <c r="U15596"/>
      <c r="X15596" s="60"/>
    </row>
    <row r="15597" spans="7:24" ht="15" customHeight="1">
      <c r="G15597"/>
      <c r="I15597"/>
      <c r="N15597"/>
      <c r="O15597" s="24"/>
      <c r="P15597"/>
      <c r="Q15597" s="24"/>
      <c r="R15597"/>
      <c r="S15597"/>
      <c r="T15597"/>
      <c r="U15597"/>
      <c r="X15597" s="60"/>
    </row>
    <row r="15598" spans="7:24" ht="15" customHeight="1">
      <c r="G15598"/>
      <c r="I15598"/>
      <c r="N15598"/>
      <c r="O15598" s="24"/>
      <c r="P15598"/>
      <c r="Q15598" s="24"/>
      <c r="R15598"/>
      <c r="S15598"/>
      <c r="T15598"/>
      <c r="U15598"/>
      <c r="X15598" s="60"/>
    </row>
    <row r="15599" spans="7:24" ht="15" customHeight="1">
      <c r="G15599"/>
      <c r="I15599"/>
      <c r="N15599"/>
      <c r="O15599" s="24"/>
      <c r="P15599"/>
      <c r="Q15599" s="24"/>
      <c r="R15599"/>
      <c r="S15599"/>
      <c r="T15599"/>
      <c r="U15599"/>
      <c r="X15599" s="60"/>
    </row>
    <row r="15600" spans="7:24" ht="15" customHeight="1">
      <c r="G15600"/>
      <c r="I15600"/>
      <c r="N15600"/>
      <c r="O15600" s="24"/>
      <c r="P15600"/>
      <c r="Q15600" s="24"/>
      <c r="R15600"/>
      <c r="S15600"/>
      <c r="T15600"/>
      <c r="U15600"/>
      <c r="X15600" s="60"/>
    </row>
    <row r="15601" spans="7:24" ht="15" customHeight="1">
      <c r="G15601"/>
      <c r="I15601"/>
      <c r="N15601"/>
      <c r="O15601" s="24"/>
      <c r="P15601"/>
      <c r="Q15601" s="24"/>
      <c r="R15601"/>
      <c r="S15601"/>
      <c r="T15601"/>
      <c r="U15601"/>
      <c r="X15601" s="60"/>
    </row>
    <row r="15602" spans="7:24" ht="15" customHeight="1">
      <c r="G15602"/>
      <c r="I15602"/>
      <c r="N15602"/>
      <c r="O15602" s="24"/>
      <c r="P15602"/>
      <c r="Q15602" s="24"/>
      <c r="R15602"/>
      <c r="S15602"/>
      <c r="T15602"/>
      <c r="U15602"/>
      <c r="X15602" s="60"/>
    </row>
    <row r="15603" spans="7:24" ht="15" customHeight="1">
      <c r="G15603"/>
      <c r="I15603"/>
      <c r="N15603"/>
      <c r="O15603" s="24"/>
      <c r="P15603"/>
      <c r="Q15603" s="24"/>
      <c r="R15603"/>
      <c r="S15603"/>
      <c r="T15603"/>
      <c r="U15603"/>
      <c r="X15603" s="60"/>
    </row>
    <row r="15604" spans="7:24" ht="15" customHeight="1">
      <c r="G15604"/>
      <c r="I15604"/>
      <c r="N15604"/>
      <c r="O15604" s="24"/>
      <c r="P15604"/>
      <c r="Q15604" s="24"/>
      <c r="R15604"/>
      <c r="S15604"/>
      <c r="T15604"/>
      <c r="U15604"/>
      <c r="X15604" s="60"/>
    </row>
    <row r="15605" spans="7:24" ht="15" customHeight="1">
      <c r="G15605"/>
      <c r="I15605"/>
      <c r="N15605"/>
      <c r="O15605" s="24"/>
      <c r="P15605"/>
      <c r="Q15605" s="24"/>
      <c r="R15605"/>
      <c r="S15605"/>
      <c r="T15605"/>
      <c r="U15605"/>
      <c r="X15605" s="60"/>
    </row>
    <row r="15606" spans="7:24" ht="15" customHeight="1">
      <c r="G15606"/>
      <c r="I15606"/>
      <c r="N15606"/>
      <c r="O15606" s="24"/>
      <c r="P15606"/>
      <c r="Q15606" s="24"/>
      <c r="R15606"/>
      <c r="S15606"/>
      <c r="T15606"/>
      <c r="U15606"/>
      <c r="X15606" s="60"/>
    </row>
    <row r="15607" spans="7:24" ht="15" customHeight="1">
      <c r="G15607"/>
      <c r="I15607"/>
      <c r="N15607"/>
      <c r="O15607" s="24"/>
      <c r="P15607"/>
      <c r="Q15607" s="24"/>
      <c r="R15607"/>
      <c r="S15607"/>
      <c r="T15607"/>
      <c r="U15607"/>
      <c r="X15607" s="60"/>
    </row>
    <row r="15608" spans="7:24" ht="15" customHeight="1">
      <c r="G15608"/>
      <c r="I15608"/>
      <c r="N15608"/>
      <c r="O15608" s="24"/>
      <c r="P15608"/>
      <c r="Q15608" s="24"/>
      <c r="R15608"/>
      <c r="S15608"/>
      <c r="T15608"/>
      <c r="U15608"/>
      <c r="X15608" s="60"/>
    </row>
    <row r="15609" spans="7:24" ht="15" customHeight="1">
      <c r="G15609"/>
      <c r="I15609"/>
      <c r="N15609"/>
      <c r="O15609" s="24"/>
      <c r="P15609"/>
      <c r="Q15609" s="24"/>
      <c r="R15609"/>
      <c r="S15609"/>
      <c r="T15609"/>
      <c r="U15609"/>
      <c r="X15609" s="60"/>
    </row>
    <row r="15610" spans="7:24" ht="15" customHeight="1">
      <c r="G15610"/>
      <c r="I15610"/>
      <c r="N15610"/>
      <c r="O15610" s="24"/>
      <c r="P15610"/>
      <c r="Q15610" s="24"/>
      <c r="R15610"/>
      <c r="S15610"/>
      <c r="T15610"/>
      <c r="U15610"/>
      <c r="X15610" s="60"/>
    </row>
    <row r="15611" spans="7:24" ht="15" customHeight="1">
      <c r="G15611"/>
      <c r="I15611"/>
      <c r="N15611"/>
      <c r="O15611" s="24"/>
      <c r="P15611"/>
      <c r="Q15611" s="24"/>
      <c r="R15611"/>
      <c r="S15611"/>
      <c r="T15611"/>
      <c r="U15611"/>
      <c r="X15611" s="60"/>
    </row>
    <row r="15612" spans="7:24" ht="15" customHeight="1">
      <c r="G15612"/>
      <c r="I15612"/>
      <c r="N15612"/>
      <c r="O15612" s="24"/>
      <c r="P15612"/>
      <c r="Q15612" s="24"/>
      <c r="R15612"/>
      <c r="S15612"/>
      <c r="T15612"/>
      <c r="U15612"/>
      <c r="X15612" s="60"/>
    </row>
    <row r="15613" spans="7:24" ht="15" customHeight="1">
      <c r="G15613"/>
      <c r="I15613"/>
      <c r="N15613"/>
      <c r="O15613" s="24"/>
      <c r="P15613"/>
      <c r="Q15613" s="24"/>
      <c r="R15613"/>
      <c r="S15613"/>
      <c r="T15613"/>
      <c r="U15613"/>
      <c r="X15613" s="60"/>
    </row>
    <row r="15614" spans="7:24" ht="15" customHeight="1">
      <c r="G15614"/>
      <c r="I15614"/>
      <c r="N15614"/>
      <c r="O15614" s="24"/>
      <c r="P15614"/>
      <c r="Q15614" s="24"/>
      <c r="R15614"/>
      <c r="S15614"/>
      <c r="T15614"/>
      <c r="U15614"/>
      <c r="X15614" s="60"/>
    </row>
    <row r="15615" spans="7:24" ht="15" customHeight="1">
      <c r="G15615"/>
      <c r="I15615"/>
      <c r="N15615"/>
      <c r="O15615" s="24"/>
      <c r="P15615"/>
      <c r="Q15615" s="24"/>
      <c r="R15615"/>
      <c r="S15615"/>
      <c r="T15615"/>
      <c r="U15615"/>
      <c r="X15615" s="60"/>
    </row>
    <row r="15616" spans="7:24" ht="15" customHeight="1">
      <c r="G15616"/>
      <c r="I15616"/>
      <c r="N15616"/>
      <c r="O15616" s="24"/>
      <c r="P15616"/>
      <c r="Q15616" s="24"/>
      <c r="R15616"/>
      <c r="S15616"/>
      <c r="T15616"/>
      <c r="U15616"/>
      <c r="X15616" s="60"/>
    </row>
    <row r="15617" spans="7:24" ht="15" customHeight="1">
      <c r="G15617"/>
      <c r="I15617"/>
      <c r="N15617"/>
      <c r="O15617" s="24"/>
      <c r="P15617"/>
      <c r="Q15617" s="24"/>
      <c r="R15617"/>
      <c r="S15617"/>
      <c r="T15617"/>
      <c r="U15617"/>
      <c r="X15617" s="60"/>
    </row>
    <row r="15618" spans="7:24" ht="15" customHeight="1">
      <c r="G15618"/>
      <c r="I15618"/>
      <c r="N15618"/>
      <c r="O15618" s="24"/>
      <c r="P15618"/>
      <c r="Q15618" s="24"/>
      <c r="R15618"/>
      <c r="S15618"/>
      <c r="T15618"/>
      <c r="U15618"/>
      <c r="X15618" s="60"/>
    </row>
    <row r="15619" spans="7:24" ht="15" customHeight="1">
      <c r="G15619"/>
      <c r="I15619"/>
      <c r="N15619"/>
      <c r="O15619" s="24"/>
      <c r="P15619"/>
      <c r="Q15619" s="24"/>
      <c r="R15619"/>
      <c r="S15619"/>
      <c r="T15619"/>
      <c r="U15619"/>
      <c r="X15619" s="60"/>
    </row>
    <row r="15620" spans="7:24" ht="15" customHeight="1">
      <c r="G15620"/>
      <c r="I15620"/>
      <c r="N15620"/>
      <c r="O15620" s="24"/>
      <c r="P15620"/>
      <c r="Q15620" s="24"/>
      <c r="R15620"/>
      <c r="S15620"/>
      <c r="T15620"/>
      <c r="U15620"/>
      <c r="X15620" s="60"/>
    </row>
    <row r="15621" spans="7:24" ht="15" customHeight="1">
      <c r="G15621"/>
      <c r="I15621"/>
      <c r="N15621"/>
      <c r="O15621" s="24"/>
      <c r="P15621"/>
      <c r="Q15621" s="24"/>
      <c r="R15621"/>
      <c r="S15621"/>
      <c r="T15621"/>
      <c r="U15621"/>
      <c r="X15621" s="60"/>
    </row>
    <row r="15622" spans="7:24" ht="15" customHeight="1">
      <c r="G15622"/>
      <c r="I15622"/>
      <c r="N15622"/>
      <c r="O15622" s="24"/>
      <c r="P15622"/>
      <c r="Q15622" s="24"/>
      <c r="R15622"/>
      <c r="S15622"/>
      <c r="T15622"/>
      <c r="U15622"/>
      <c r="X15622" s="60"/>
    </row>
    <row r="15623" spans="7:24" ht="15" customHeight="1">
      <c r="G15623"/>
      <c r="I15623"/>
      <c r="N15623"/>
      <c r="O15623" s="24"/>
      <c r="P15623"/>
      <c r="Q15623" s="24"/>
      <c r="R15623"/>
      <c r="S15623"/>
      <c r="T15623"/>
      <c r="U15623"/>
      <c r="X15623" s="60"/>
    </row>
    <row r="15624" spans="7:24" ht="15" customHeight="1">
      <c r="G15624"/>
      <c r="I15624"/>
      <c r="N15624"/>
      <c r="O15624" s="24"/>
      <c r="P15624"/>
      <c r="Q15624" s="24"/>
      <c r="R15624"/>
      <c r="S15624"/>
      <c r="T15624"/>
      <c r="U15624"/>
      <c r="X15624" s="60"/>
    </row>
    <row r="15625" spans="7:24" ht="15" customHeight="1">
      <c r="G15625"/>
      <c r="I15625"/>
      <c r="N15625"/>
      <c r="O15625" s="24"/>
      <c r="P15625"/>
      <c r="Q15625" s="24"/>
      <c r="R15625"/>
      <c r="S15625"/>
      <c r="T15625"/>
      <c r="U15625"/>
      <c r="X15625" s="60"/>
    </row>
    <row r="15626" spans="7:24" ht="15" customHeight="1">
      <c r="G15626"/>
      <c r="I15626"/>
      <c r="N15626"/>
      <c r="O15626" s="24"/>
      <c r="P15626"/>
      <c r="Q15626" s="24"/>
      <c r="R15626"/>
      <c r="S15626"/>
      <c r="T15626"/>
      <c r="U15626"/>
      <c r="X15626" s="60"/>
    </row>
    <row r="15627" spans="7:24" ht="15" customHeight="1">
      <c r="G15627"/>
      <c r="I15627"/>
      <c r="N15627"/>
      <c r="O15627" s="24"/>
      <c r="P15627"/>
      <c r="Q15627" s="24"/>
      <c r="R15627"/>
      <c r="S15627"/>
      <c r="T15627"/>
      <c r="U15627"/>
      <c r="X15627" s="60"/>
    </row>
    <row r="15628" spans="7:24" ht="15" customHeight="1">
      <c r="G15628"/>
      <c r="I15628"/>
      <c r="N15628"/>
      <c r="O15628" s="24"/>
      <c r="P15628"/>
      <c r="Q15628" s="24"/>
      <c r="R15628"/>
      <c r="S15628"/>
      <c r="T15628"/>
      <c r="U15628"/>
      <c r="X15628" s="60"/>
    </row>
    <row r="15629" spans="7:24" ht="15" customHeight="1">
      <c r="G15629"/>
      <c r="I15629"/>
      <c r="N15629"/>
      <c r="O15629" s="24"/>
      <c r="P15629"/>
      <c r="Q15629" s="24"/>
      <c r="R15629"/>
      <c r="S15629"/>
      <c r="T15629"/>
      <c r="U15629"/>
      <c r="X15629" s="60"/>
    </row>
    <row r="15630" spans="7:24" ht="15" customHeight="1">
      <c r="G15630"/>
      <c r="I15630"/>
      <c r="N15630"/>
      <c r="O15630" s="24"/>
      <c r="P15630"/>
      <c r="Q15630" s="24"/>
      <c r="R15630"/>
      <c r="S15630"/>
      <c r="T15630"/>
      <c r="U15630"/>
      <c r="X15630" s="60"/>
    </row>
    <row r="15631" spans="7:24" ht="15" customHeight="1">
      <c r="G15631"/>
      <c r="I15631"/>
      <c r="N15631"/>
      <c r="O15631" s="24"/>
      <c r="P15631"/>
      <c r="Q15631" s="24"/>
      <c r="R15631"/>
      <c r="S15631"/>
      <c r="T15631"/>
      <c r="U15631"/>
      <c r="X15631" s="60"/>
    </row>
    <row r="15632" spans="7:24" ht="15" customHeight="1">
      <c r="G15632"/>
      <c r="I15632"/>
      <c r="N15632"/>
      <c r="O15632" s="24"/>
      <c r="P15632"/>
      <c r="Q15632" s="24"/>
      <c r="R15632"/>
      <c r="S15632"/>
      <c r="T15632"/>
      <c r="U15632"/>
      <c r="X15632" s="60"/>
    </row>
    <row r="15633" spans="7:24" ht="15" customHeight="1">
      <c r="G15633"/>
      <c r="I15633"/>
      <c r="N15633"/>
      <c r="O15633" s="24"/>
      <c r="P15633"/>
      <c r="Q15633" s="24"/>
      <c r="R15633"/>
      <c r="S15633"/>
      <c r="T15633"/>
      <c r="U15633"/>
      <c r="X15633" s="60"/>
    </row>
    <row r="15634" spans="7:24" ht="15" customHeight="1">
      <c r="G15634"/>
      <c r="I15634"/>
      <c r="N15634"/>
      <c r="O15634" s="24"/>
      <c r="P15634"/>
      <c r="Q15634" s="24"/>
      <c r="R15634"/>
      <c r="S15634"/>
      <c r="T15634"/>
      <c r="U15634"/>
      <c r="X15634" s="60"/>
    </row>
    <row r="15635" spans="7:24" ht="15" customHeight="1">
      <c r="G15635"/>
      <c r="I15635"/>
      <c r="N15635"/>
      <c r="O15635" s="24"/>
      <c r="P15635"/>
      <c r="Q15635" s="24"/>
      <c r="R15635"/>
      <c r="S15635"/>
      <c r="T15635"/>
      <c r="U15635"/>
      <c r="X15635" s="60"/>
    </row>
    <row r="15636" spans="7:24" ht="15" customHeight="1">
      <c r="G15636"/>
      <c r="I15636"/>
      <c r="N15636"/>
      <c r="O15636" s="24"/>
      <c r="P15636"/>
      <c r="Q15636" s="24"/>
      <c r="R15636"/>
      <c r="S15636"/>
      <c r="T15636"/>
      <c r="U15636"/>
      <c r="X15636" s="60"/>
    </row>
    <row r="15637" spans="7:24" ht="15" customHeight="1">
      <c r="G15637"/>
      <c r="I15637"/>
      <c r="N15637"/>
      <c r="O15637" s="24"/>
      <c r="P15637"/>
      <c r="Q15637" s="24"/>
      <c r="R15637"/>
      <c r="S15637"/>
      <c r="T15637"/>
      <c r="U15637"/>
      <c r="X15637" s="60"/>
    </row>
    <row r="15638" spans="7:24" ht="15" customHeight="1">
      <c r="G15638"/>
      <c r="I15638"/>
      <c r="N15638"/>
      <c r="O15638" s="24"/>
      <c r="P15638"/>
      <c r="Q15638" s="24"/>
      <c r="R15638"/>
      <c r="S15638"/>
      <c r="T15638"/>
      <c r="U15638"/>
      <c r="X15638" s="60"/>
    </row>
    <row r="15639" spans="7:24" ht="15" customHeight="1">
      <c r="G15639"/>
      <c r="I15639"/>
      <c r="N15639"/>
      <c r="O15639" s="24"/>
      <c r="P15639"/>
      <c r="Q15639" s="24"/>
      <c r="R15639"/>
      <c r="S15639"/>
      <c r="T15639"/>
      <c r="U15639"/>
      <c r="X15639" s="60"/>
    </row>
    <row r="15640" spans="7:24" ht="15" customHeight="1">
      <c r="G15640"/>
      <c r="I15640"/>
      <c r="N15640"/>
      <c r="O15640" s="24"/>
      <c r="P15640"/>
      <c r="Q15640" s="24"/>
      <c r="R15640"/>
      <c r="S15640"/>
      <c r="T15640"/>
      <c r="U15640"/>
      <c r="X15640" s="60"/>
    </row>
    <row r="15641" spans="7:24" ht="15" customHeight="1">
      <c r="G15641"/>
      <c r="I15641"/>
      <c r="N15641"/>
      <c r="O15641" s="24"/>
      <c r="P15641"/>
      <c r="Q15641" s="24"/>
      <c r="R15641"/>
      <c r="S15641"/>
      <c r="T15641"/>
      <c r="U15641"/>
      <c r="X15641" s="60"/>
    </row>
    <row r="15642" spans="7:24" ht="15" customHeight="1">
      <c r="G15642"/>
      <c r="I15642"/>
      <c r="N15642"/>
      <c r="O15642" s="24"/>
      <c r="P15642"/>
      <c r="Q15642" s="24"/>
      <c r="R15642"/>
      <c r="S15642"/>
      <c r="T15642"/>
      <c r="U15642"/>
      <c r="X15642" s="60"/>
    </row>
    <row r="15643" spans="7:24" ht="15" customHeight="1">
      <c r="G15643"/>
      <c r="I15643"/>
      <c r="N15643"/>
      <c r="O15643" s="24"/>
      <c r="P15643"/>
      <c r="Q15643" s="24"/>
      <c r="R15643"/>
      <c r="S15643"/>
      <c r="T15643"/>
      <c r="U15643"/>
      <c r="X15643" s="60"/>
    </row>
    <row r="15644" spans="7:24" ht="15" customHeight="1">
      <c r="G15644"/>
      <c r="I15644"/>
      <c r="N15644"/>
      <c r="O15644" s="24"/>
      <c r="P15644"/>
      <c r="Q15644" s="24"/>
      <c r="R15644"/>
      <c r="S15644"/>
      <c r="T15644"/>
      <c r="U15644"/>
      <c r="X15644" s="60"/>
    </row>
    <row r="15645" spans="7:24" ht="15" customHeight="1">
      <c r="G15645"/>
      <c r="I15645"/>
      <c r="N15645"/>
      <c r="O15645" s="24"/>
      <c r="P15645"/>
      <c r="Q15645" s="24"/>
      <c r="R15645"/>
      <c r="S15645"/>
      <c r="T15645"/>
      <c r="U15645"/>
      <c r="X15645" s="60"/>
    </row>
    <row r="15646" spans="7:24" ht="15" customHeight="1">
      <c r="G15646"/>
      <c r="I15646"/>
      <c r="N15646"/>
      <c r="O15646" s="24"/>
      <c r="P15646"/>
      <c r="Q15646" s="24"/>
      <c r="R15646"/>
      <c r="S15646"/>
      <c r="T15646"/>
      <c r="U15646"/>
      <c r="X15646" s="60"/>
    </row>
    <row r="15647" spans="7:24" ht="15" customHeight="1">
      <c r="G15647"/>
      <c r="I15647"/>
      <c r="N15647"/>
      <c r="O15647" s="24"/>
      <c r="P15647"/>
      <c r="Q15647" s="24"/>
      <c r="R15647"/>
      <c r="S15647"/>
      <c r="T15647"/>
      <c r="U15647"/>
      <c r="X15647" s="60"/>
    </row>
    <row r="15648" spans="7:24" ht="15" customHeight="1">
      <c r="G15648"/>
      <c r="I15648"/>
      <c r="N15648"/>
      <c r="O15648" s="24"/>
      <c r="P15648"/>
      <c r="Q15648" s="24"/>
      <c r="R15648"/>
      <c r="S15648"/>
      <c r="T15648"/>
      <c r="U15648"/>
      <c r="X15648" s="60"/>
    </row>
    <row r="15649" spans="7:24" ht="15" customHeight="1">
      <c r="G15649"/>
      <c r="I15649"/>
      <c r="N15649"/>
      <c r="O15649" s="24"/>
      <c r="P15649"/>
      <c r="Q15649" s="24"/>
      <c r="R15649"/>
      <c r="S15649"/>
      <c r="T15649"/>
      <c r="U15649"/>
      <c r="X15649" s="60"/>
    </row>
    <row r="15650" spans="7:24" ht="15" customHeight="1">
      <c r="G15650"/>
      <c r="I15650"/>
      <c r="N15650"/>
      <c r="O15650" s="24"/>
      <c r="P15650"/>
      <c r="Q15650" s="24"/>
      <c r="R15650"/>
      <c r="S15650"/>
      <c r="T15650"/>
      <c r="U15650"/>
      <c r="X15650" s="60"/>
    </row>
    <row r="15651" spans="7:24" ht="15" customHeight="1">
      <c r="G15651"/>
      <c r="I15651"/>
      <c r="N15651"/>
      <c r="O15651" s="24"/>
      <c r="P15651"/>
      <c r="Q15651" s="24"/>
      <c r="R15651"/>
      <c r="S15651"/>
      <c r="T15651"/>
      <c r="U15651"/>
      <c r="X15651" s="60"/>
    </row>
    <row r="15652" spans="7:24" ht="15" customHeight="1">
      <c r="G15652"/>
      <c r="I15652"/>
      <c r="N15652"/>
      <c r="O15652" s="24"/>
      <c r="P15652"/>
      <c r="Q15652" s="24"/>
      <c r="R15652"/>
      <c r="S15652"/>
      <c r="T15652"/>
      <c r="U15652"/>
      <c r="X15652" s="60"/>
    </row>
    <row r="15653" spans="7:24" ht="15" customHeight="1">
      <c r="G15653"/>
      <c r="I15653"/>
      <c r="N15653"/>
      <c r="O15653" s="24"/>
      <c r="P15653"/>
      <c r="Q15653" s="24"/>
      <c r="R15653"/>
      <c r="S15653"/>
      <c r="T15653"/>
      <c r="U15653"/>
      <c r="X15653" s="60"/>
    </row>
    <row r="15654" spans="7:24" ht="15" customHeight="1">
      <c r="G15654"/>
      <c r="I15654"/>
      <c r="N15654"/>
      <c r="O15654" s="24"/>
      <c r="P15654"/>
      <c r="Q15654" s="24"/>
      <c r="R15654"/>
      <c r="S15654"/>
      <c r="T15654"/>
      <c r="U15654"/>
      <c r="X15654" s="60"/>
    </row>
    <row r="15655" spans="7:24" ht="15" customHeight="1">
      <c r="G15655"/>
      <c r="I15655"/>
      <c r="N15655"/>
      <c r="O15655" s="24"/>
      <c r="P15655"/>
      <c r="Q15655" s="24"/>
      <c r="R15655"/>
      <c r="S15655"/>
      <c r="T15655"/>
      <c r="U15655"/>
      <c r="X15655" s="60"/>
    </row>
    <row r="15656" spans="7:24" ht="15" customHeight="1">
      <c r="G15656"/>
      <c r="I15656"/>
      <c r="N15656"/>
      <c r="O15656" s="24"/>
      <c r="P15656"/>
      <c r="Q15656" s="24"/>
      <c r="R15656"/>
      <c r="S15656"/>
      <c r="T15656"/>
      <c r="U15656"/>
      <c r="X15656" s="60"/>
    </row>
    <row r="15657" spans="7:24" ht="15" customHeight="1">
      <c r="G15657"/>
      <c r="I15657"/>
      <c r="N15657"/>
      <c r="O15657" s="24"/>
      <c r="P15657"/>
      <c r="Q15657" s="24"/>
      <c r="R15657"/>
      <c r="S15657"/>
      <c r="T15657"/>
      <c r="U15657"/>
      <c r="X15657" s="60"/>
    </row>
    <row r="15658" spans="7:24" ht="15" customHeight="1">
      <c r="G15658"/>
      <c r="I15658"/>
      <c r="N15658"/>
      <c r="O15658" s="24"/>
      <c r="P15658"/>
      <c r="Q15658" s="24"/>
      <c r="R15658"/>
      <c r="S15658"/>
      <c r="T15658"/>
      <c r="U15658"/>
      <c r="X15658" s="60"/>
    </row>
    <row r="15659" spans="7:24" ht="15" customHeight="1">
      <c r="G15659"/>
      <c r="I15659"/>
      <c r="N15659"/>
      <c r="O15659" s="24"/>
      <c r="P15659"/>
      <c r="Q15659" s="24"/>
      <c r="R15659"/>
      <c r="S15659"/>
      <c r="T15659"/>
      <c r="U15659"/>
      <c r="X15659" s="60"/>
    </row>
    <row r="15660" spans="7:24" ht="15" customHeight="1">
      <c r="G15660"/>
      <c r="I15660"/>
      <c r="N15660"/>
      <c r="O15660" s="24"/>
      <c r="P15660"/>
      <c r="Q15660" s="24"/>
      <c r="R15660"/>
      <c r="S15660"/>
      <c r="T15660"/>
      <c r="U15660"/>
      <c r="X15660" s="60"/>
    </row>
    <row r="15661" spans="7:24" ht="15" customHeight="1">
      <c r="G15661"/>
      <c r="I15661"/>
      <c r="N15661"/>
      <c r="O15661" s="24"/>
      <c r="P15661"/>
      <c r="Q15661" s="24"/>
      <c r="R15661"/>
      <c r="S15661"/>
      <c r="T15661"/>
      <c r="U15661"/>
      <c r="X15661" s="60"/>
    </row>
    <row r="15662" spans="7:24" ht="15" customHeight="1">
      <c r="G15662"/>
      <c r="I15662"/>
      <c r="N15662"/>
      <c r="O15662" s="24"/>
      <c r="P15662"/>
      <c r="Q15662" s="24"/>
      <c r="R15662"/>
      <c r="S15662"/>
      <c r="T15662"/>
      <c r="U15662"/>
      <c r="X15662" s="60"/>
    </row>
    <row r="15663" spans="7:24" ht="15" customHeight="1">
      <c r="G15663"/>
      <c r="I15663"/>
      <c r="N15663"/>
      <c r="O15663" s="24"/>
      <c r="P15663"/>
      <c r="Q15663" s="24"/>
      <c r="R15663"/>
      <c r="S15663"/>
      <c r="T15663"/>
      <c r="U15663"/>
      <c r="X15663" s="60"/>
    </row>
    <row r="15664" spans="7:24" ht="15" customHeight="1">
      <c r="G15664"/>
      <c r="I15664"/>
      <c r="N15664"/>
      <c r="O15664" s="24"/>
      <c r="P15664"/>
      <c r="Q15664" s="24"/>
      <c r="R15664"/>
      <c r="S15664"/>
      <c r="T15664"/>
      <c r="U15664"/>
      <c r="X15664" s="60"/>
    </row>
    <row r="15665" spans="7:24" ht="15" customHeight="1">
      <c r="G15665"/>
      <c r="I15665"/>
      <c r="N15665"/>
      <c r="O15665" s="24"/>
      <c r="P15665"/>
      <c r="Q15665" s="24"/>
      <c r="R15665"/>
      <c r="S15665"/>
      <c r="T15665"/>
      <c r="U15665"/>
      <c r="X15665" s="60"/>
    </row>
    <row r="15666" spans="7:24" ht="15" customHeight="1">
      <c r="G15666"/>
      <c r="I15666"/>
      <c r="N15666"/>
      <c r="O15666" s="24"/>
      <c r="P15666"/>
      <c r="Q15666" s="24"/>
      <c r="R15666"/>
      <c r="S15666"/>
      <c r="T15666"/>
      <c r="U15666"/>
      <c r="X15666" s="60"/>
    </row>
    <row r="15667" spans="7:24" ht="15" customHeight="1">
      <c r="G15667"/>
      <c r="I15667"/>
      <c r="N15667"/>
      <c r="O15667" s="24"/>
      <c r="P15667"/>
      <c r="Q15667" s="24"/>
      <c r="R15667"/>
      <c r="S15667"/>
      <c r="T15667"/>
      <c r="U15667"/>
      <c r="X15667" s="60"/>
    </row>
    <row r="15668" spans="7:24" ht="15" customHeight="1">
      <c r="G15668"/>
      <c r="I15668"/>
      <c r="N15668"/>
      <c r="O15668" s="24"/>
      <c r="P15668"/>
      <c r="Q15668" s="24"/>
      <c r="R15668"/>
      <c r="S15668"/>
      <c r="T15668"/>
      <c r="U15668"/>
      <c r="X15668" s="60"/>
    </row>
    <row r="15669" spans="7:24" ht="15" customHeight="1">
      <c r="G15669"/>
      <c r="I15669"/>
      <c r="N15669"/>
      <c r="O15669" s="24"/>
      <c r="P15669"/>
      <c r="Q15669" s="24"/>
      <c r="R15669"/>
      <c r="S15669"/>
      <c r="T15669"/>
      <c r="U15669"/>
      <c r="X15669" s="60"/>
    </row>
    <row r="15670" spans="7:24" ht="15" customHeight="1">
      <c r="G15670"/>
      <c r="I15670"/>
      <c r="N15670"/>
      <c r="O15670" s="24"/>
      <c r="P15670"/>
      <c r="Q15670" s="24"/>
      <c r="R15670"/>
      <c r="S15670"/>
      <c r="T15670"/>
      <c r="U15670"/>
      <c r="X15670" s="60"/>
    </row>
    <row r="15671" spans="7:24" ht="15" customHeight="1">
      <c r="G15671"/>
      <c r="I15671"/>
      <c r="N15671"/>
      <c r="O15671" s="24"/>
      <c r="P15671"/>
      <c r="Q15671" s="24"/>
      <c r="R15671"/>
      <c r="S15671"/>
      <c r="T15671"/>
      <c r="U15671"/>
      <c r="X15671" s="60"/>
    </row>
    <row r="15672" spans="7:24" ht="15" customHeight="1">
      <c r="G15672"/>
      <c r="I15672"/>
      <c r="N15672"/>
      <c r="O15672" s="24"/>
      <c r="P15672"/>
      <c r="Q15672" s="24"/>
      <c r="R15672"/>
      <c r="S15672"/>
      <c r="T15672"/>
      <c r="U15672"/>
      <c r="X15672" s="60"/>
    </row>
    <row r="15673" spans="7:24" ht="15" customHeight="1">
      <c r="G15673"/>
      <c r="I15673"/>
      <c r="N15673"/>
      <c r="O15673" s="24"/>
      <c r="P15673"/>
      <c r="Q15673" s="24"/>
      <c r="R15673"/>
      <c r="S15673"/>
      <c r="T15673"/>
      <c r="U15673"/>
      <c r="X15673" s="60"/>
    </row>
    <row r="15674" spans="7:24" ht="15" customHeight="1">
      <c r="G15674"/>
      <c r="I15674"/>
      <c r="N15674"/>
      <c r="O15674" s="24"/>
      <c r="P15674"/>
      <c r="Q15674" s="24"/>
      <c r="R15674"/>
      <c r="S15674"/>
      <c r="T15674"/>
      <c r="U15674"/>
      <c r="X15674" s="60"/>
    </row>
    <row r="15675" spans="7:24" ht="15" customHeight="1">
      <c r="G15675"/>
      <c r="I15675"/>
      <c r="N15675"/>
      <c r="O15675" s="24"/>
      <c r="P15675"/>
      <c r="Q15675" s="24"/>
      <c r="R15675"/>
      <c r="S15675"/>
      <c r="T15675"/>
      <c r="U15675"/>
      <c r="X15675" s="60"/>
    </row>
    <row r="15676" spans="7:24" ht="15" customHeight="1">
      <c r="G15676"/>
      <c r="I15676"/>
      <c r="N15676"/>
      <c r="O15676" s="24"/>
      <c r="P15676"/>
      <c r="Q15676" s="24"/>
      <c r="R15676"/>
      <c r="S15676"/>
      <c r="T15676"/>
      <c r="U15676"/>
      <c r="X15676" s="60"/>
    </row>
    <row r="15677" spans="7:24" ht="15" customHeight="1">
      <c r="G15677"/>
      <c r="I15677"/>
      <c r="N15677"/>
      <c r="O15677" s="24"/>
      <c r="P15677"/>
      <c r="Q15677" s="24"/>
      <c r="R15677"/>
      <c r="S15677"/>
      <c r="T15677"/>
      <c r="U15677"/>
      <c r="X15677" s="60"/>
    </row>
    <row r="15678" spans="7:24" ht="15" customHeight="1">
      <c r="G15678"/>
      <c r="I15678"/>
      <c r="N15678"/>
      <c r="O15678" s="24"/>
      <c r="P15678"/>
      <c r="Q15678" s="24"/>
      <c r="R15678"/>
      <c r="S15678"/>
      <c r="T15678"/>
      <c r="U15678"/>
      <c r="X15678" s="60"/>
    </row>
    <row r="15679" spans="7:24" ht="15" customHeight="1">
      <c r="G15679"/>
      <c r="I15679"/>
      <c r="N15679"/>
      <c r="O15679" s="24"/>
      <c r="P15679"/>
      <c r="Q15679" s="24"/>
      <c r="R15679"/>
      <c r="S15679"/>
      <c r="T15679"/>
      <c r="U15679"/>
      <c r="X15679" s="60"/>
    </row>
    <row r="15680" spans="7:24" ht="15" customHeight="1">
      <c r="G15680"/>
      <c r="I15680"/>
      <c r="N15680"/>
      <c r="O15680" s="24"/>
      <c r="P15680"/>
      <c r="Q15680" s="24"/>
      <c r="R15680"/>
      <c r="S15680"/>
      <c r="T15680"/>
      <c r="U15680"/>
      <c r="X15680" s="60"/>
    </row>
    <row r="15681" spans="7:24" ht="15" customHeight="1">
      <c r="G15681"/>
      <c r="I15681"/>
      <c r="N15681"/>
      <c r="O15681" s="24"/>
      <c r="P15681"/>
      <c r="Q15681" s="24"/>
      <c r="R15681"/>
      <c r="S15681"/>
      <c r="T15681"/>
      <c r="U15681"/>
      <c r="X15681" s="60"/>
    </row>
    <row r="15682" spans="7:24" ht="15" customHeight="1">
      <c r="G15682"/>
      <c r="I15682"/>
      <c r="N15682"/>
      <c r="O15682" s="24"/>
      <c r="P15682"/>
      <c r="Q15682" s="24"/>
      <c r="R15682"/>
      <c r="S15682"/>
      <c r="T15682"/>
      <c r="U15682"/>
      <c r="X15682" s="60"/>
    </row>
    <row r="15683" spans="7:24" ht="15" customHeight="1">
      <c r="G15683"/>
      <c r="I15683"/>
      <c r="N15683"/>
      <c r="O15683" s="24"/>
      <c r="P15683"/>
      <c r="Q15683" s="24"/>
      <c r="R15683"/>
      <c r="S15683"/>
      <c r="T15683"/>
      <c r="U15683"/>
      <c r="X15683" s="60"/>
    </row>
    <row r="15684" spans="7:24" ht="15" customHeight="1">
      <c r="G15684"/>
      <c r="I15684"/>
      <c r="N15684"/>
      <c r="O15684" s="24"/>
      <c r="P15684"/>
      <c r="Q15684" s="24"/>
      <c r="R15684"/>
      <c r="S15684"/>
      <c r="T15684"/>
      <c r="U15684"/>
      <c r="X15684" s="60"/>
    </row>
    <row r="15685" spans="7:24" ht="15" customHeight="1">
      <c r="G15685"/>
      <c r="I15685"/>
      <c r="N15685"/>
      <c r="O15685" s="24"/>
      <c r="P15685"/>
      <c r="Q15685" s="24"/>
      <c r="R15685"/>
      <c r="S15685"/>
      <c r="T15685"/>
      <c r="U15685"/>
      <c r="X15685" s="60"/>
    </row>
    <row r="15686" spans="7:24" ht="15" customHeight="1">
      <c r="G15686"/>
      <c r="I15686"/>
      <c r="N15686"/>
      <c r="O15686" s="24"/>
      <c r="P15686"/>
      <c r="Q15686" s="24"/>
      <c r="R15686"/>
      <c r="S15686"/>
      <c r="T15686"/>
      <c r="U15686"/>
      <c r="X15686" s="60"/>
    </row>
    <row r="15687" spans="7:24" ht="15" customHeight="1">
      <c r="G15687"/>
      <c r="I15687"/>
      <c r="N15687"/>
      <c r="O15687" s="24"/>
      <c r="P15687"/>
      <c r="Q15687" s="24"/>
      <c r="R15687"/>
      <c r="S15687"/>
      <c r="T15687"/>
      <c r="U15687"/>
      <c r="X15687" s="60"/>
    </row>
    <row r="15688" spans="7:24" ht="15" customHeight="1">
      <c r="G15688"/>
      <c r="I15688"/>
      <c r="N15688"/>
      <c r="O15688" s="24"/>
      <c r="P15688"/>
      <c r="Q15688" s="24"/>
      <c r="R15688"/>
      <c r="S15688"/>
      <c r="T15688"/>
      <c r="U15688"/>
      <c r="X15688" s="60"/>
    </row>
    <row r="15689" spans="7:24" ht="15" customHeight="1">
      <c r="G15689"/>
      <c r="I15689"/>
      <c r="N15689"/>
      <c r="O15689" s="24"/>
      <c r="P15689"/>
      <c r="Q15689" s="24"/>
      <c r="R15689"/>
      <c r="S15689"/>
      <c r="T15689"/>
      <c r="U15689"/>
      <c r="X15689" s="60"/>
    </row>
    <row r="15690" spans="7:24" ht="15" customHeight="1">
      <c r="G15690"/>
      <c r="I15690"/>
      <c r="N15690"/>
      <c r="O15690" s="24"/>
      <c r="P15690"/>
      <c r="Q15690" s="24"/>
      <c r="R15690"/>
      <c r="S15690"/>
      <c r="T15690"/>
      <c r="U15690"/>
      <c r="X15690" s="60"/>
    </row>
    <row r="15691" spans="7:24" ht="15" customHeight="1">
      <c r="G15691"/>
      <c r="I15691"/>
      <c r="N15691"/>
      <c r="O15691" s="24"/>
      <c r="P15691"/>
      <c r="Q15691" s="24"/>
      <c r="R15691"/>
      <c r="S15691"/>
      <c r="T15691"/>
      <c r="U15691"/>
      <c r="X15691" s="60"/>
    </row>
    <row r="15692" spans="7:24" ht="15" customHeight="1">
      <c r="G15692"/>
      <c r="I15692"/>
      <c r="N15692"/>
      <c r="O15692" s="24"/>
      <c r="P15692"/>
      <c r="Q15692" s="24"/>
      <c r="R15692"/>
      <c r="S15692"/>
      <c r="T15692"/>
      <c r="U15692"/>
      <c r="X15692" s="60"/>
    </row>
    <row r="15693" spans="7:24" ht="15" customHeight="1">
      <c r="G15693"/>
      <c r="I15693"/>
      <c r="N15693"/>
      <c r="O15693" s="24"/>
      <c r="P15693"/>
      <c r="Q15693" s="24"/>
      <c r="R15693"/>
      <c r="S15693"/>
      <c r="T15693"/>
      <c r="U15693"/>
      <c r="X15693" s="60"/>
    </row>
    <row r="15694" spans="7:24" ht="15" customHeight="1">
      <c r="G15694"/>
      <c r="I15694"/>
      <c r="N15694"/>
      <c r="O15694" s="24"/>
      <c r="P15694"/>
      <c r="Q15694" s="24"/>
      <c r="R15694"/>
      <c r="S15694"/>
      <c r="T15694"/>
      <c r="U15694"/>
      <c r="X15694" s="60"/>
    </row>
    <row r="15695" spans="7:24" ht="15" customHeight="1">
      <c r="G15695"/>
      <c r="I15695"/>
      <c r="N15695"/>
      <c r="O15695" s="24"/>
      <c r="P15695"/>
      <c r="Q15695" s="24"/>
      <c r="R15695"/>
      <c r="S15695"/>
      <c r="T15695"/>
      <c r="U15695"/>
      <c r="X15695" s="60"/>
    </row>
    <row r="15696" spans="7:24" ht="15" customHeight="1">
      <c r="G15696"/>
      <c r="I15696"/>
      <c r="N15696"/>
      <c r="O15696" s="24"/>
      <c r="P15696"/>
      <c r="Q15696" s="24"/>
      <c r="R15696"/>
      <c r="S15696"/>
      <c r="T15696"/>
      <c r="U15696"/>
      <c r="X15696" s="60"/>
    </row>
    <row r="15697" spans="7:24" ht="15" customHeight="1">
      <c r="G15697"/>
      <c r="I15697"/>
      <c r="N15697"/>
      <c r="O15697" s="24"/>
      <c r="P15697"/>
      <c r="Q15697" s="24"/>
      <c r="R15697"/>
      <c r="S15697"/>
      <c r="T15697"/>
      <c r="U15697"/>
      <c r="X15697" s="60"/>
    </row>
    <row r="15698" spans="7:24" ht="15" customHeight="1">
      <c r="G15698"/>
      <c r="I15698"/>
      <c r="N15698"/>
      <c r="O15698" s="24"/>
      <c r="P15698"/>
      <c r="Q15698" s="24"/>
      <c r="R15698"/>
      <c r="S15698"/>
      <c r="T15698"/>
      <c r="U15698"/>
      <c r="X15698" s="60"/>
    </row>
    <row r="15699" spans="7:24" ht="15" customHeight="1">
      <c r="G15699"/>
      <c r="I15699"/>
      <c r="N15699"/>
      <c r="O15699" s="24"/>
      <c r="P15699"/>
      <c r="Q15699" s="24"/>
      <c r="R15699"/>
      <c r="S15699"/>
      <c r="T15699"/>
      <c r="U15699"/>
      <c r="X15699" s="60"/>
    </row>
    <row r="15700" spans="7:24" ht="15" customHeight="1">
      <c r="G15700"/>
      <c r="I15700"/>
      <c r="N15700"/>
      <c r="O15700" s="24"/>
      <c r="P15700"/>
      <c r="Q15700" s="24"/>
      <c r="R15700"/>
      <c r="S15700"/>
      <c r="T15700"/>
      <c r="U15700"/>
      <c r="X15700" s="60"/>
    </row>
    <row r="15701" spans="7:24" ht="15" customHeight="1">
      <c r="G15701"/>
      <c r="I15701"/>
      <c r="N15701"/>
      <c r="O15701" s="24"/>
      <c r="P15701"/>
      <c r="Q15701" s="24"/>
      <c r="R15701"/>
      <c r="S15701"/>
      <c r="T15701"/>
      <c r="U15701"/>
      <c r="X15701" s="60"/>
    </row>
    <row r="15702" spans="7:24" ht="15" customHeight="1">
      <c r="G15702"/>
      <c r="I15702"/>
      <c r="N15702"/>
      <c r="O15702" s="24"/>
      <c r="P15702"/>
      <c r="Q15702" s="24"/>
      <c r="R15702"/>
      <c r="S15702"/>
      <c r="T15702"/>
      <c r="U15702"/>
      <c r="X15702" s="60"/>
    </row>
    <row r="15703" spans="7:24" ht="15" customHeight="1">
      <c r="G15703"/>
      <c r="I15703"/>
      <c r="N15703"/>
      <c r="O15703" s="24"/>
      <c r="P15703"/>
      <c r="Q15703" s="24"/>
      <c r="R15703"/>
      <c r="S15703"/>
      <c r="T15703"/>
      <c r="U15703"/>
      <c r="X15703" s="60"/>
    </row>
    <row r="15704" spans="7:24" ht="15" customHeight="1">
      <c r="G15704"/>
      <c r="I15704"/>
      <c r="N15704"/>
      <c r="O15704" s="24"/>
      <c r="P15704"/>
      <c r="Q15704" s="24"/>
      <c r="R15704"/>
      <c r="S15704"/>
      <c r="T15704"/>
      <c r="U15704"/>
      <c r="X15704" s="60"/>
    </row>
    <row r="15705" spans="7:24" ht="15" customHeight="1">
      <c r="G15705"/>
      <c r="I15705"/>
      <c r="N15705"/>
      <c r="O15705" s="24"/>
      <c r="P15705"/>
      <c r="Q15705" s="24"/>
      <c r="R15705"/>
      <c r="S15705"/>
      <c r="T15705"/>
      <c r="U15705"/>
      <c r="X15705" s="60"/>
    </row>
    <row r="15706" spans="7:24" ht="15" customHeight="1">
      <c r="G15706"/>
      <c r="I15706"/>
      <c r="N15706"/>
      <c r="O15706" s="24"/>
      <c r="P15706"/>
      <c r="Q15706" s="24"/>
      <c r="R15706"/>
      <c r="S15706"/>
      <c r="T15706"/>
      <c r="U15706"/>
      <c r="X15706" s="60"/>
    </row>
    <row r="15707" spans="7:24" ht="15" customHeight="1">
      <c r="G15707"/>
      <c r="I15707"/>
      <c r="N15707"/>
      <c r="O15707" s="24"/>
      <c r="P15707"/>
      <c r="Q15707" s="24"/>
      <c r="R15707"/>
      <c r="S15707"/>
      <c r="T15707"/>
      <c r="U15707"/>
      <c r="X15707" s="60"/>
    </row>
    <row r="15708" spans="7:24" ht="15" customHeight="1">
      <c r="G15708"/>
      <c r="I15708"/>
      <c r="N15708"/>
      <c r="O15708" s="24"/>
      <c r="P15708"/>
      <c r="Q15708" s="24"/>
      <c r="R15708"/>
      <c r="S15708"/>
      <c r="T15708"/>
      <c r="U15708"/>
      <c r="X15708" s="60"/>
    </row>
    <row r="15709" spans="7:24" ht="15" customHeight="1">
      <c r="G15709"/>
      <c r="I15709"/>
      <c r="N15709"/>
      <c r="O15709" s="24"/>
      <c r="P15709"/>
      <c r="Q15709" s="24"/>
      <c r="R15709"/>
      <c r="S15709"/>
      <c r="T15709"/>
      <c r="U15709"/>
      <c r="X15709" s="60"/>
    </row>
    <row r="15710" spans="7:24" ht="15" customHeight="1">
      <c r="G15710"/>
      <c r="I15710"/>
      <c r="N15710"/>
      <c r="O15710" s="24"/>
      <c r="P15710"/>
      <c r="Q15710" s="24"/>
      <c r="R15710"/>
      <c r="S15710"/>
      <c r="T15710"/>
      <c r="U15710"/>
      <c r="X15710" s="60"/>
    </row>
    <row r="15711" spans="7:24" ht="15" customHeight="1">
      <c r="G15711"/>
      <c r="I15711"/>
      <c r="N15711"/>
      <c r="O15711" s="24"/>
      <c r="P15711"/>
      <c r="Q15711" s="24"/>
      <c r="R15711"/>
      <c r="S15711"/>
      <c r="T15711"/>
      <c r="U15711"/>
      <c r="X15711" s="60"/>
    </row>
    <row r="15712" spans="7:24" ht="15" customHeight="1">
      <c r="G15712"/>
      <c r="I15712"/>
      <c r="N15712"/>
      <c r="O15712" s="24"/>
      <c r="P15712"/>
      <c r="Q15712" s="24"/>
      <c r="R15712"/>
      <c r="S15712"/>
      <c r="T15712"/>
      <c r="U15712"/>
      <c r="X15712" s="60"/>
    </row>
    <row r="15713" spans="7:24" ht="15" customHeight="1">
      <c r="G15713"/>
      <c r="I15713"/>
      <c r="N15713"/>
      <c r="O15713" s="24"/>
      <c r="P15713"/>
      <c r="Q15713" s="24"/>
      <c r="R15713"/>
      <c r="S15713"/>
      <c r="T15713"/>
      <c r="U15713"/>
      <c r="X15713" s="60"/>
    </row>
    <row r="15714" spans="7:24" ht="15" customHeight="1">
      <c r="G15714"/>
      <c r="I15714"/>
      <c r="N15714"/>
      <c r="O15714" s="24"/>
      <c r="P15714"/>
      <c r="Q15714" s="24"/>
      <c r="R15714"/>
      <c r="S15714"/>
      <c r="T15714"/>
      <c r="U15714"/>
      <c r="X15714" s="60"/>
    </row>
    <row r="15715" spans="7:24" ht="15" customHeight="1">
      <c r="G15715"/>
      <c r="I15715"/>
      <c r="N15715"/>
      <c r="O15715" s="24"/>
      <c r="P15715"/>
      <c r="Q15715" s="24"/>
      <c r="R15715"/>
      <c r="S15715"/>
      <c r="T15715"/>
      <c r="U15715"/>
      <c r="X15715" s="60"/>
    </row>
    <row r="15716" spans="7:24" ht="15" customHeight="1">
      <c r="G15716"/>
      <c r="I15716"/>
      <c r="N15716"/>
      <c r="O15716" s="24"/>
      <c r="P15716"/>
      <c r="Q15716" s="24"/>
      <c r="R15716"/>
      <c r="S15716"/>
      <c r="T15716"/>
      <c r="U15716"/>
      <c r="X15716" s="60"/>
    </row>
    <row r="15717" spans="7:24" ht="15" customHeight="1">
      <c r="G15717"/>
      <c r="I15717"/>
      <c r="N15717"/>
      <c r="O15717" s="24"/>
      <c r="P15717"/>
      <c r="Q15717" s="24"/>
      <c r="R15717"/>
      <c r="S15717"/>
      <c r="T15717"/>
      <c r="U15717"/>
      <c r="X15717" s="60"/>
    </row>
    <row r="15718" spans="7:24" ht="15" customHeight="1">
      <c r="G15718"/>
      <c r="I15718"/>
      <c r="N15718"/>
      <c r="O15718" s="24"/>
      <c r="P15718"/>
      <c r="Q15718" s="24"/>
      <c r="R15718"/>
      <c r="S15718"/>
      <c r="T15718"/>
      <c r="U15718"/>
      <c r="X15718" s="60"/>
    </row>
    <row r="15719" spans="7:24" ht="15" customHeight="1">
      <c r="G15719"/>
      <c r="I15719"/>
      <c r="N15719"/>
      <c r="O15719" s="24"/>
      <c r="P15719"/>
      <c r="Q15719" s="24"/>
      <c r="R15719"/>
      <c r="S15719"/>
      <c r="T15719"/>
      <c r="U15719"/>
      <c r="X15719" s="60"/>
    </row>
    <row r="15720" spans="7:24" ht="15" customHeight="1">
      <c r="G15720"/>
      <c r="I15720"/>
      <c r="N15720"/>
      <c r="O15720" s="24"/>
      <c r="P15720"/>
      <c r="Q15720" s="24"/>
      <c r="R15720"/>
      <c r="S15720"/>
      <c r="T15720"/>
      <c r="U15720"/>
      <c r="X15720" s="60"/>
    </row>
    <row r="15721" spans="7:24" ht="15" customHeight="1">
      <c r="G15721"/>
      <c r="I15721"/>
      <c r="N15721"/>
      <c r="O15721" s="24"/>
      <c r="P15721"/>
      <c r="Q15721" s="24"/>
      <c r="R15721"/>
      <c r="S15721"/>
      <c r="T15721"/>
      <c r="U15721"/>
      <c r="X15721" s="60"/>
    </row>
    <row r="15722" spans="7:24" ht="15" customHeight="1">
      <c r="G15722"/>
      <c r="I15722"/>
      <c r="N15722"/>
      <c r="O15722" s="24"/>
      <c r="P15722"/>
      <c r="Q15722" s="24"/>
      <c r="R15722"/>
      <c r="S15722"/>
      <c r="T15722"/>
      <c r="U15722"/>
      <c r="X15722" s="60"/>
    </row>
    <row r="15723" spans="7:24" ht="15" customHeight="1">
      <c r="G15723"/>
      <c r="I15723"/>
      <c r="N15723"/>
      <c r="O15723" s="24"/>
      <c r="P15723"/>
      <c r="Q15723" s="24"/>
      <c r="R15723"/>
      <c r="S15723"/>
      <c r="T15723"/>
      <c r="U15723"/>
      <c r="X15723" s="60"/>
    </row>
    <row r="15724" spans="7:24" ht="15" customHeight="1">
      <c r="G15724"/>
      <c r="I15724"/>
      <c r="N15724"/>
      <c r="O15724" s="24"/>
      <c r="P15724"/>
      <c r="Q15724" s="24"/>
      <c r="R15724"/>
      <c r="S15724"/>
      <c r="T15724"/>
      <c r="U15724"/>
      <c r="X15724" s="60"/>
    </row>
    <row r="15725" spans="7:24" ht="15" customHeight="1">
      <c r="G15725"/>
      <c r="I15725"/>
      <c r="N15725"/>
      <c r="O15725" s="24"/>
      <c r="P15725"/>
      <c r="Q15725" s="24"/>
      <c r="R15725"/>
      <c r="S15725"/>
      <c r="T15725"/>
      <c r="U15725"/>
      <c r="X15725" s="60"/>
    </row>
    <row r="15726" spans="7:24" ht="15" customHeight="1">
      <c r="G15726"/>
      <c r="I15726"/>
      <c r="N15726"/>
      <c r="O15726" s="24"/>
      <c r="P15726"/>
      <c r="Q15726" s="24"/>
      <c r="R15726"/>
      <c r="S15726"/>
      <c r="T15726"/>
      <c r="U15726"/>
      <c r="X15726" s="60"/>
    </row>
    <row r="15727" spans="7:24" ht="15" customHeight="1">
      <c r="G15727"/>
      <c r="I15727"/>
      <c r="N15727"/>
      <c r="O15727" s="24"/>
      <c r="P15727"/>
      <c r="Q15727" s="24"/>
      <c r="R15727"/>
      <c r="S15727"/>
      <c r="T15727"/>
      <c r="U15727"/>
      <c r="X15727" s="60"/>
    </row>
    <row r="15728" spans="7:24" ht="15" customHeight="1">
      <c r="G15728"/>
      <c r="I15728"/>
      <c r="N15728"/>
      <c r="O15728" s="24"/>
      <c r="P15728"/>
      <c r="Q15728" s="24"/>
      <c r="R15728"/>
      <c r="S15728"/>
      <c r="T15728"/>
      <c r="U15728"/>
      <c r="X15728" s="60"/>
    </row>
    <row r="15729" spans="7:24" ht="15" customHeight="1">
      <c r="G15729"/>
      <c r="I15729"/>
      <c r="N15729"/>
      <c r="O15729" s="24"/>
      <c r="P15729"/>
      <c r="Q15729" s="24"/>
      <c r="R15729"/>
      <c r="S15729"/>
      <c r="T15729"/>
      <c r="U15729"/>
      <c r="X15729" s="60"/>
    </row>
    <row r="15730" spans="7:24" ht="15" customHeight="1">
      <c r="G15730"/>
      <c r="I15730"/>
      <c r="N15730"/>
      <c r="O15730" s="24"/>
      <c r="P15730"/>
      <c r="Q15730" s="24"/>
      <c r="R15730"/>
      <c r="S15730"/>
      <c r="T15730"/>
      <c r="U15730"/>
      <c r="X15730" s="60"/>
    </row>
    <row r="15731" spans="7:24" ht="15" customHeight="1">
      <c r="G15731"/>
      <c r="I15731"/>
      <c r="N15731"/>
      <c r="O15731" s="24"/>
      <c r="P15731"/>
      <c r="Q15731" s="24"/>
      <c r="R15731"/>
      <c r="S15731"/>
      <c r="T15731"/>
      <c r="U15731"/>
      <c r="X15731" s="60"/>
    </row>
    <row r="15732" spans="7:24" ht="15" customHeight="1">
      <c r="G15732"/>
      <c r="I15732"/>
      <c r="N15732"/>
      <c r="O15732" s="24"/>
      <c r="P15732"/>
      <c r="Q15732" s="24"/>
      <c r="R15732"/>
      <c r="S15732"/>
      <c r="T15732"/>
      <c r="U15732"/>
      <c r="X15732" s="60"/>
    </row>
    <row r="15733" spans="7:24" ht="15" customHeight="1">
      <c r="G15733"/>
      <c r="I15733"/>
      <c r="N15733"/>
      <c r="O15733" s="24"/>
      <c r="P15733"/>
      <c r="Q15733" s="24"/>
      <c r="R15733"/>
      <c r="S15733"/>
      <c r="T15733"/>
      <c r="U15733"/>
      <c r="X15733" s="60"/>
    </row>
    <row r="15734" spans="7:24" ht="15" customHeight="1">
      <c r="G15734"/>
      <c r="I15734"/>
      <c r="N15734"/>
      <c r="O15734" s="24"/>
      <c r="P15734"/>
      <c r="Q15734" s="24"/>
      <c r="R15734"/>
      <c r="S15734"/>
      <c r="T15734"/>
      <c r="U15734"/>
      <c r="X15734" s="60"/>
    </row>
    <row r="15735" spans="7:24" ht="15" customHeight="1">
      <c r="G15735"/>
      <c r="I15735"/>
      <c r="N15735"/>
      <c r="O15735" s="24"/>
      <c r="P15735"/>
      <c r="Q15735" s="24"/>
      <c r="R15735"/>
      <c r="S15735"/>
      <c r="T15735"/>
      <c r="U15735"/>
      <c r="X15735" s="60"/>
    </row>
    <row r="15736" spans="7:24" ht="15" customHeight="1">
      <c r="G15736"/>
      <c r="I15736"/>
      <c r="N15736"/>
      <c r="O15736" s="24"/>
      <c r="P15736"/>
      <c r="Q15736" s="24"/>
      <c r="R15736"/>
      <c r="S15736"/>
      <c r="T15736"/>
      <c r="U15736"/>
      <c r="X15736" s="60"/>
    </row>
    <row r="15737" spans="7:24" ht="15" customHeight="1">
      <c r="G15737"/>
      <c r="I15737"/>
      <c r="N15737"/>
      <c r="O15737" s="24"/>
      <c r="P15737"/>
      <c r="Q15737" s="24"/>
      <c r="R15737"/>
      <c r="S15737"/>
      <c r="T15737"/>
      <c r="U15737"/>
      <c r="X15737" s="60"/>
    </row>
    <row r="15738" spans="7:24" ht="15" customHeight="1">
      <c r="G15738"/>
      <c r="I15738"/>
      <c r="N15738"/>
      <c r="O15738" s="24"/>
      <c r="P15738"/>
      <c r="Q15738" s="24"/>
      <c r="R15738"/>
      <c r="S15738"/>
      <c r="T15738"/>
      <c r="U15738"/>
      <c r="X15738" s="60"/>
    </row>
    <row r="15739" spans="7:24" ht="15" customHeight="1">
      <c r="G15739"/>
      <c r="I15739"/>
      <c r="N15739"/>
      <c r="O15739" s="24"/>
      <c r="P15739"/>
      <c r="Q15739" s="24"/>
      <c r="R15739"/>
      <c r="S15739"/>
      <c r="T15739"/>
      <c r="U15739"/>
      <c r="X15739" s="60"/>
    </row>
    <row r="15740" spans="7:24" ht="15" customHeight="1">
      <c r="G15740"/>
      <c r="I15740"/>
      <c r="N15740"/>
      <c r="O15740" s="24"/>
      <c r="P15740"/>
      <c r="Q15740" s="24"/>
      <c r="R15740"/>
      <c r="S15740"/>
      <c r="T15740"/>
      <c r="U15740"/>
      <c r="X15740" s="60"/>
    </row>
    <row r="15741" spans="7:24" ht="15" customHeight="1">
      <c r="G15741"/>
      <c r="I15741"/>
      <c r="N15741"/>
      <c r="O15741" s="24"/>
      <c r="P15741"/>
      <c r="Q15741" s="24"/>
      <c r="R15741"/>
      <c r="S15741"/>
      <c r="T15741"/>
      <c r="U15741"/>
      <c r="X15741" s="60"/>
    </row>
    <row r="15742" spans="7:24" ht="15" customHeight="1">
      <c r="G15742"/>
      <c r="I15742"/>
      <c r="N15742"/>
      <c r="O15742" s="24"/>
      <c r="P15742"/>
      <c r="Q15742" s="24"/>
      <c r="R15742"/>
      <c r="S15742"/>
      <c r="T15742"/>
      <c r="U15742"/>
      <c r="X15742" s="60"/>
    </row>
    <row r="15743" spans="7:24" ht="15" customHeight="1">
      <c r="G15743"/>
      <c r="I15743"/>
      <c r="N15743"/>
      <c r="O15743" s="24"/>
      <c r="P15743"/>
      <c r="Q15743" s="24"/>
      <c r="R15743"/>
      <c r="S15743"/>
      <c r="T15743"/>
      <c r="U15743"/>
      <c r="X15743" s="60"/>
    </row>
    <row r="15744" spans="7:24" ht="15" customHeight="1">
      <c r="G15744"/>
      <c r="I15744"/>
      <c r="N15744"/>
      <c r="O15744" s="24"/>
      <c r="P15744"/>
      <c r="Q15744" s="24"/>
      <c r="R15744"/>
      <c r="S15744"/>
      <c r="T15744"/>
      <c r="U15744"/>
      <c r="X15744" s="60"/>
    </row>
    <row r="15745" spans="7:24" ht="15" customHeight="1">
      <c r="G15745"/>
      <c r="I15745"/>
      <c r="N15745"/>
      <c r="O15745" s="24"/>
      <c r="P15745"/>
      <c r="Q15745" s="24"/>
      <c r="R15745"/>
      <c r="S15745"/>
      <c r="T15745"/>
      <c r="U15745"/>
      <c r="X15745" s="60"/>
    </row>
    <row r="15746" spans="7:24" ht="15" customHeight="1">
      <c r="G15746"/>
      <c r="I15746"/>
      <c r="N15746"/>
      <c r="O15746" s="24"/>
      <c r="P15746"/>
      <c r="Q15746" s="24"/>
      <c r="R15746"/>
      <c r="S15746"/>
      <c r="T15746"/>
      <c r="U15746"/>
      <c r="X15746" s="60"/>
    </row>
    <row r="15747" spans="7:24" ht="15" customHeight="1">
      <c r="G15747"/>
      <c r="I15747"/>
      <c r="N15747"/>
      <c r="O15747" s="24"/>
      <c r="P15747"/>
      <c r="Q15747" s="24"/>
      <c r="R15747"/>
      <c r="S15747"/>
      <c r="T15747"/>
      <c r="U15747"/>
      <c r="X15747" s="60"/>
    </row>
    <row r="15748" spans="7:24" ht="15" customHeight="1">
      <c r="G15748"/>
      <c r="I15748"/>
      <c r="N15748"/>
      <c r="O15748" s="24"/>
      <c r="P15748"/>
      <c r="Q15748" s="24"/>
      <c r="R15748"/>
      <c r="S15748"/>
      <c r="T15748"/>
      <c r="U15748"/>
      <c r="X15748" s="60"/>
    </row>
    <row r="15749" spans="7:24" ht="15" customHeight="1">
      <c r="G15749"/>
      <c r="I15749"/>
      <c r="N15749"/>
      <c r="O15749" s="24"/>
      <c r="P15749"/>
      <c r="Q15749" s="24"/>
      <c r="R15749"/>
      <c r="S15749"/>
      <c r="T15749"/>
      <c r="U15749"/>
      <c r="X15749" s="60"/>
    </row>
    <row r="15750" spans="7:24" ht="15" customHeight="1">
      <c r="G15750"/>
      <c r="I15750"/>
      <c r="N15750"/>
      <c r="O15750" s="24"/>
      <c r="P15750"/>
      <c r="Q15750" s="24"/>
      <c r="R15750"/>
      <c r="S15750"/>
      <c r="T15750"/>
      <c r="U15750"/>
      <c r="X15750" s="60"/>
    </row>
    <row r="15751" spans="7:24" ht="15" customHeight="1">
      <c r="G15751"/>
      <c r="I15751"/>
      <c r="N15751"/>
      <c r="O15751" s="24"/>
      <c r="P15751"/>
      <c r="Q15751" s="24"/>
      <c r="R15751"/>
      <c r="S15751"/>
      <c r="T15751"/>
      <c r="U15751"/>
      <c r="X15751" s="60"/>
    </row>
    <row r="15752" spans="7:24" ht="15" customHeight="1">
      <c r="G15752"/>
      <c r="I15752"/>
      <c r="N15752"/>
      <c r="O15752" s="24"/>
      <c r="P15752"/>
      <c r="Q15752" s="24"/>
      <c r="R15752"/>
      <c r="S15752"/>
      <c r="T15752"/>
      <c r="U15752"/>
      <c r="X15752" s="60"/>
    </row>
    <row r="15753" spans="7:24" ht="15" customHeight="1">
      <c r="G15753"/>
      <c r="I15753"/>
      <c r="N15753"/>
      <c r="O15753" s="24"/>
      <c r="P15753"/>
      <c r="Q15753" s="24"/>
      <c r="R15753"/>
      <c r="S15753"/>
      <c r="T15753"/>
      <c r="U15753"/>
      <c r="X15753" s="60"/>
    </row>
    <row r="15754" spans="7:24" ht="15" customHeight="1">
      <c r="G15754"/>
      <c r="I15754"/>
      <c r="N15754"/>
      <c r="O15754" s="24"/>
      <c r="P15754"/>
      <c r="Q15754" s="24"/>
      <c r="R15754"/>
      <c r="S15754"/>
      <c r="T15754"/>
      <c r="U15754"/>
      <c r="X15754" s="60"/>
    </row>
    <row r="15755" spans="7:24" ht="15" customHeight="1">
      <c r="G15755"/>
      <c r="I15755"/>
      <c r="N15755"/>
      <c r="O15755" s="24"/>
      <c r="P15755"/>
      <c r="Q15755" s="24"/>
      <c r="R15755"/>
      <c r="S15755"/>
      <c r="T15755"/>
      <c r="U15755"/>
      <c r="X15755" s="60"/>
    </row>
    <row r="15756" spans="7:24" ht="15" customHeight="1">
      <c r="G15756"/>
      <c r="I15756"/>
      <c r="N15756"/>
      <c r="O15756" s="24"/>
      <c r="P15756"/>
      <c r="Q15756" s="24"/>
      <c r="R15756"/>
      <c r="S15756"/>
      <c r="T15756"/>
      <c r="U15756"/>
      <c r="X15756" s="60"/>
    </row>
    <row r="15757" spans="7:24" ht="15" customHeight="1">
      <c r="G15757"/>
      <c r="I15757"/>
      <c r="N15757"/>
      <c r="O15757" s="24"/>
      <c r="P15757"/>
      <c r="Q15757" s="24"/>
      <c r="R15757"/>
      <c r="S15757"/>
      <c r="T15757"/>
      <c r="U15757"/>
      <c r="X15757" s="60"/>
    </row>
    <row r="15758" spans="7:24" ht="15" customHeight="1">
      <c r="G15758"/>
      <c r="I15758"/>
      <c r="N15758"/>
      <c r="O15758" s="24"/>
      <c r="P15758"/>
      <c r="Q15758" s="24"/>
      <c r="R15758"/>
      <c r="S15758"/>
      <c r="T15758"/>
      <c r="U15758"/>
      <c r="X15758" s="60"/>
    </row>
    <row r="15759" spans="7:24" ht="15" customHeight="1">
      <c r="G15759"/>
      <c r="I15759"/>
      <c r="N15759"/>
      <c r="O15759" s="24"/>
      <c r="P15759"/>
      <c r="Q15759" s="24"/>
      <c r="R15759"/>
      <c r="S15759"/>
      <c r="T15759"/>
      <c r="U15759"/>
      <c r="X15759" s="60"/>
    </row>
    <row r="15760" spans="7:24" ht="15" customHeight="1">
      <c r="G15760"/>
      <c r="I15760"/>
      <c r="N15760"/>
      <c r="O15760" s="24"/>
      <c r="P15760"/>
      <c r="Q15760" s="24"/>
      <c r="R15760"/>
      <c r="S15760"/>
      <c r="T15760"/>
      <c r="U15760"/>
      <c r="X15760" s="60"/>
    </row>
    <row r="15761" spans="7:24" ht="15" customHeight="1">
      <c r="G15761"/>
      <c r="I15761"/>
      <c r="N15761"/>
      <c r="O15761" s="24"/>
      <c r="P15761"/>
      <c r="Q15761" s="24"/>
      <c r="R15761"/>
      <c r="S15761"/>
      <c r="T15761"/>
      <c r="U15761"/>
      <c r="X15761" s="60"/>
    </row>
    <row r="15762" spans="7:24" ht="15" customHeight="1">
      <c r="G15762"/>
      <c r="I15762"/>
      <c r="N15762"/>
      <c r="O15762" s="24"/>
      <c r="P15762"/>
      <c r="Q15762" s="24"/>
      <c r="R15762"/>
      <c r="S15762"/>
      <c r="T15762"/>
      <c r="U15762"/>
      <c r="X15762" s="60"/>
    </row>
    <row r="15763" spans="7:24" ht="15" customHeight="1">
      <c r="G15763"/>
      <c r="I15763"/>
      <c r="N15763"/>
      <c r="O15763" s="24"/>
      <c r="P15763"/>
      <c r="Q15763" s="24"/>
      <c r="R15763"/>
      <c r="S15763"/>
      <c r="T15763"/>
      <c r="U15763"/>
      <c r="X15763" s="60"/>
    </row>
    <row r="15764" spans="7:24" ht="15" customHeight="1">
      <c r="G15764"/>
      <c r="I15764"/>
      <c r="N15764"/>
      <c r="O15764" s="24"/>
      <c r="P15764"/>
      <c r="Q15764" s="24"/>
      <c r="R15764"/>
      <c r="S15764"/>
      <c r="T15764"/>
      <c r="U15764"/>
      <c r="X15764" s="60"/>
    </row>
    <row r="15765" spans="7:24" ht="15" customHeight="1">
      <c r="G15765"/>
      <c r="I15765"/>
      <c r="N15765"/>
      <c r="O15765" s="24"/>
      <c r="P15765"/>
      <c r="Q15765" s="24"/>
      <c r="R15765"/>
      <c r="S15765"/>
      <c r="T15765"/>
      <c r="U15765"/>
      <c r="X15765" s="60"/>
    </row>
    <row r="15766" spans="7:24" ht="15" customHeight="1">
      <c r="G15766"/>
      <c r="I15766"/>
      <c r="N15766"/>
      <c r="O15766" s="24"/>
      <c r="P15766"/>
      <c r="Q15766" s="24"/>
      <c r="R15766"/>
      <c r="S15766"/>
      <c r="T15766"/>
      <c r="U15766"/>
      <c r="X15766" s="60"/>
    </row>
    <row r="15767" spans="7:24" ht="15" customHeight="1">
      <c r="G15767"/>
      <c r="I15767"/>
      <c r="N15767"/>
      <c r="O15767" s="24"/>
      <c r="P15767"/>
      <c r="Q15767" s="24"/>
      <c r="R15767"/>
      <c r="S15767"/>
      <c r="T15767"/>
      <c r="U15767"/>
      <c r="X15767" s="60"/>
    </row>
    <row r="15768" spans="7:24" ht="15" customHeight="1">
      <c r="G15768"/>
      <c r="I15768"/>
      <c r="N15768"/>
      <c r="O15768" s="24"/>
      <c r="P15768"/>
      <c r="Q15768" s="24"/>
      <c r="R15768"/>
      <c r="S15768"/>
      <c r="T15768"/>
      <c r="U15768"/>
      <c r="X15768" s="60"/>
    </row>
    <row r="15769" spans="7:24" ht="15" customHeight="1">
      <c r="G15769"/>
      <c r="I15769"/>
      <c r="N15769"/>
      <c r="O15769" s="24"/>
      <c r="P15769"/>
      <c r="Q15769" s="24"/>
      <c r="R15769"/>
      <c r="S15769"/>
      <c r="T15769"/>
      <c r="U15769"/>
      <c r="X15769" s="60"/>
    </row>
    <row r="15770" spans="7:24" ht="15" customHeight="1">
      <c r="G15770"/>
      <c r="I15770"/>
      <c r="N15770"/>
      <c r="O15770" s="24"/>
      <c r="P15770"/>
      <c r="Q15770" s="24"/>
      <c r="R15770"/>
      <c r="S15770"/>
      <c r="T15770"/>
      <c r="U15770"/>
      <c r="X15770" s="60"/>
    </row>
    <row r="15771" spans="7:24" ht="15" customHeight="1">
      <c r="G15771"/>
      <c r="I15771"/>
      <c r="N15771"/>
      <c r="O15771" s="24"/>
      <c r="P15771"/>
      <c r="Q15771" s="24"/>
      <c r="R15771"/>
      <c r="S15771"/>
      <c r="T15771"/>
      <c r="U15771"/>
      <c r="X15771" s="60"/>
    </row>
    <row r="15772" spans="7:24" ht="15" customHeight="1">
      <c r="G15772"/>
      <c r="I15772"/>
      <c r="N15772"/>
      <c r="O15772" s="24"/>
      <c r="P15772"/>
      <c r="Q15772" s="24"/>
      <c r="R15772"/>
      <c r="S15772"/>
      <c r="T15772"/>
      <c r="U15772"/>
      <c r="X15772" s="60"/>
    </row>
    <row r="15773" spans="7:24" ht="15" customHeight="1">
      <c r="G15773"/>
      <c r="I15773"/>
      <c r="N15773"/>
      <c r="O15773" s="24"/>
      <c r="P15773"/>
      <c r="Q15773" s="24"/>
      <c r="R15773"/>
      <c r="S15773"/>
      <c r="T15773"/>
      <c r="U15773"/>
      <c r="X15773" s="60"/>
    </row>
    <row r="15774" spans="7:24" ht="15" customHeight="1">
      <c r="G15774"/>
      <c r="I15774"/>
      <c r="N15774"/>
      <c r="O15774" s="24"/>
      <c r="P15774"/>
      <c r="Q15774" s="24"/>
      <c r="R15774"/>
      <c r="S15774"/>
      <c r="T15774"/>
      <c r="U15774"/>
      <c r="X15774" s="60"/>
    </row>
    <row r="15775" spans="7:24" ht="15" customHeight="1">
      <c r="G15775"/>
      <c r="I15775"/>
      <c r="N15775"/>
      <c r="O15775" s="24"/>
      <c r="P15775"/>
      <c r="Q15775" s="24"/>
      <c r="R15775"/>
      <c r="S15775"/>
      <c r="T15775"/>
      <c r="U15775"/>
      <c r="X15775" s="60"/>
    </row>
    <row r="15776" spans="7:24" ht="15" customHeight="1">
      <c r="G15776"/>
      <c r="I15776"/>
      <c r="N15776"/>
      <c r="O15776" s="24"/>
      <c r="P15776"/>
      <c r="Q15776" s="24"/>
      <c r="R15776"/>
      <c r="S15776"/>
      <c r="T15776"/>
      <c r="U15776"/>
      <c r="X15776" s="60"/>
    </row>
    <row r="15777" spans="7:24" ht="15" customHeight="1">
      <c r="G15777"/>
      <c r="I15777"/>
      <c r="N15777"/>
      <c r="O15777" s="24"/>
      <c r="P15777"/>
      <c r="Q15777" s="24"/>
      <c r="R15777"/>
      <c r="S15777"/>
      <c r="T15777"/>
      <c r="U15777"/>
      <c r="X15777" s="60"/>
    </row>
    <row r="15778" spans="7:24" ht="15" customHeight="1">
      <c r="G15778"/>
      <c r="I15778"/>
      <c r="N15778"/>
      <c r="O15778" s="24"/>
      <c r="P15778"/>
      <c r="Q15778" s="24"/>
      <c r="R15778"/>
      <c r="S15778"/>
      <c r="T15778"/>
      <c r="U15778"/>
      <c r="X15778" s="60"/>
    </row>
    <row r="15779" spans="7:24" ht="15" customHeight="1">
      <c r="G15779"/>
      <c r="I15779"/>
      <c r="N15779"/>
      <c r="O15779" s="24"/>
      <c r="P15779"/>
      <c r="Q15779" s="24"/>
      <c r="R15779"/>
      <c r="S15779"/>
      <c r="T15779"/>
      <c r="U15779"/>
      <c r="X15779" s="60"/>
    </row>
    <row r="15780" spans="7:24" ht="15" customHeight="1">
      <c r="G15780"/>
      <c r="I15780"/>
      <c r="N15780"/>
      <c r="O15780" s="24"/>
      <c r="P15780"/>
      <c r="Q15780" s="24"/>
      <c r="R15780"/>
      <c r="S15780"/>
      <c r="T15780"/>
      <c r="U15780"/>
      <c r="X15780" s="60"/>
    </row>
    <row r="15781" spans="7:24" ht="15" customHeight="1">
      <c r="G15781"/>
      <c r="I15781"/>
      <c r="N15781"/>
      <c r="O15781" s="24"/>
      <c r="P15781"/>
      <c r="Q15781" s="24"/>
      <c r="R15781"/>
      <c r="S15781"/>
      <c r="T15781"/>
      <c r="U15781"/>
      <c r="X15781" s="60"/>
    </row>
    <row r="15782" spans="7:24" ht="15" customHeight="1">
      <c r="G15782"/>
      <c r="I15782"/>
      <c r="N15782"/>
      <c r="O15782" s="24"/>
      <c r="P15782"/>
      <c r="Q15782" s="24"/>
      <c r="R15782"/>
      <c r="S15782"/>
      <c r="T15782"/>
      <c r="U15782"/>
      <c r="X15782" s="60"/>
    </row>
    <row r="15783" spans="7:24" ht="15" customHeight="1">
      <c r="G15783"/>
      <c r="I15783"/>
      <c r="N15783"/>
      <c r="O15783" s="24"/>
      <c r="P15783"/>
      <c r="Q15783" s="24"/>
      <c r="R15783"/>
      <c r="S15783"/>
      <c r="T15783"/>
      <c r="U15783"/>
      <c r="X15783" s="60"/>
    </row>
    <row r="15784" spans="7:24" ht="15" customHeight="1">
      <c r="G15784"/>
      <c r="I15784"/>
      <c r="N15784"/>
      <c r="O15784" s="24"/>
      <c r="P15784"/>
      <c r="Q15784" s="24"/>
      <c r="R15784"/>
      <c r="S15784"/>
      <c r="T15784"/>
      <c r="U15784"/>
      <c r="X15784" s="60"/>
    </row>
    <row r="15785" spans="7:24" ht="15" customHeight="1">
      <c r="G15785"/>
      <c r="I15785"/>
      <c r="N15785"/>
      <c r="O15785" s="24"/>
      <c r="P15785"/>
      <c r="Q15785" s="24"/>
      <c r="R15785"/>
      <c r="S15785"/>
      <c r="T15785"/>
      <c r="U15785"/>
      <c r="X15785" s="60"/>
    </row>
    <row r="15786" spans="7:24" ht="15" customHeight="1">
      <c r="G15786"/>
      <c r="I15786"/>
      <c r="N15786"/>
      <c r="O15786" s="24"/>
      <c r="P15786"/>
      <c r="Q15786" s="24"/>
      <c r="R15786"/>
      <c r="S15786"/>
      <c r="T15786"/>
      <c r="U15786"/>
      <c r="X15786" s="60"/>
    </row>
    <row r="15787" spans="7:24" ht="15" customHeight="1">
      <c r="G15787"/>
      <c r="I15787"/>
      <c r="N15787"/>
      <c r="O15787" s="24"/>
      <c r="P15787"/>
      <c r="Q15787" s="24"/>
      <c r="R15787"/>
      <c r="S15787"/>
      <c r="T15787"/>
      <c r="U15787"/>
      <c r="X15787" s="60"/>
    </row>
    <row r="15788" spans="7:24" ht="15" customHeight="1">
      <c r="G15788"/>
      <c r="I15788"/>
      <c r="N15788"/>
      <c r="O15788" s="24"/>
      <c r="P15788"/>
      <c r="Q15788" s="24"/>
      <c r="R15788"/>
      <c r="S15788"/>
      <c r="T15788"/>
      <c r="U15788"/>
      <c r="X15788" s="60"/>
    </row>
    <row r="15789" spans="7:24" ht="15" customHeight="1">
      <c r="G15789"/>
      <c r="I15789"/>
      <c r="N15789"/>
      <c r="O15789" s="24"/>
      <c r="P15789"/>
      <c r="Q15789" s="24"/>
      <c r="R15789"/>
      <c r="S15789"/>
      <c r="T15789"/>
      <c r="U15789"/>
      <c r="X15789" s="60"/>
    </row>
    <row r="15790" spans="7:24" ht="15" customHeight="1">
      <c r="G15790"/>
      <c r="I15790"/>
      <c r="N15790"/>
      <c r="O15790" s="24"/>
      <c r="P15790"/>
      <c r="Q15790" s="24"/>
      <c r="R15790"/>
      <c r="S15790"/>
      <c r="T15790"/>
      <c r="U15790"/>
      <c r="X15790" s="60"/>
    </row>
    <row r="15791" spans="7:24" ht="15" customHeight="1">
      <c r="G15791"/>
      <c r="I15791"/>
      <c r="N15791"/>
      <c r="O15791" s="24"/>
      <c r="P15791"/>
      <c r="Q15791" s="24"/>
      <c r="R15791"/>
      <c r="S15791"/>
      <c r="T15791"/>
      <c r="U15791"/>
      <c r="X15791" s="60"/>
    </row>
    <row r="15792" spans="7:24" ht="15" customHeight="1">
      <c r="G15792"/>
      <c r="I15792"/>
      <c r="N15792"/>
      <c r="O15792" s="24"/>
      <c r="P15792"/>
      <c r="Q15792" s="24"/>
      <c r="R15792"/>
      <c r="S15792"/>
      <c r="T15792"/>
      <c r="U15792"/>
      <c r="X15792" s="60"/>
    </row>
    <row r="15793" spans="7:24" ht="15" customHeight="1">
      <c r="G15793"/>
      <c r="I15793"/>
      <c r="N15793"/>
      <c r="O15793" s="24"/>
      <c r="P15793"/>
      <c r="Q15793" s="24"/>
      <c r="R15793"/>
      <c r="S15793"/>
      <c r="T15793"/>
      <c r="U15793"/>
      <c r="X15793" s="60"/>
    </row>
    <row r="15794" spans="7:24" ht="15" customHeight="1">
      <c r="G15794"/>
      <c r="I15794"/>
      <c r="N15794"/>
      <c r="O15794" s="24"/>
      <c r="P15794"/>
      <c r="Q15794" s="24"/>
      <c r="R15794"/>
      <c r="S15794"/>
      <c r="T15794"/>
      <c r="U15794"/>
      <c r="X15794" s="60"/>
    </row>
    <row r="15795" spans="7:24" ht="15" customHeight="1">
      <c r="G15795"/>
      <c r="I15795"/>
      <c r="N15795"/>
      <c r="O15795" s="24"/>
      <c r="P15795"/>
      <c r="Q15795" s="24"/>
      <c r="R15795"/>
      <c r="S15795"/>
      <c r="T15795"/>
      <c r="U15795"/>
      <c r="X15795" s="60"/>
    </row>
    <row r="15796" spans="7:24" ht="15" customHeight="1">
      <c r="G15796"/>
      <c r="I15796"/>
      <c r="N15796"/>
      <c r="O15796" s="24"/>
      <c r="P15796"/>
      <c r="Q15796" s="24"/>
      <c r="R15796"/>
      <c r="S15796"/>
      <c r="T15796"/>
      <c r="U15796"/>
      <c r="X15796" s="60"/>
    </row>
    <row r="15797" spans="7:24" ht="15" customHeight="1">
      <c r="G15797"/>
      <c r="I15797"/>
      <c r="N15797"/>
      <c r="O15797" s="24"/>
      <c r="P15797"/>
      <c r="Q15797" s="24"/>
      <c r="R15797"/>
      <c r="S15797"/>
      <c r="T15797"/>
      <c r="U15797"/>
      <c r="X15797" s="60"/>
    </row>
    <row r="15798" spans="7:24" ht="15" customHeight="1">
      <c r="G15798"/>
      <c r="I15798"/>
      <c r="N15798"/>
      <c r="O15798" s="24"/>
      <c r="P15798"/>
      <c r="Q15798" s="24"/>
      <c r="R15798"/>
      <c r="S15798"/>
      <c r="T15798"/>
      <c r="U15798"/>
      <c r="X15798" s="60"/>
    </row>
    <row r="15799" spans="7:24" ht="15" customHeight="1">
      <c r="G15799"/>
      <c r="I15799"/>
      <c r="N15799"/>
      <c r="O15799" s="24"/>
      <c r="P15799"/>
      <c r="Q15799" s="24"/>
      <c r="R15799"/>
      <c r="S15799"/>
      <c r="T15799"/>
      <c r="U15799"/>
      <c r="X15799" s="60"/>
    </row>
    <row r="15800" spans="7:24" ht="15" customHeight="1">
      <c r="G15800"/>
      <c r="I15800"/>
      <c r="N15800"/>
      <c r="O15800" s="24"/>
      <c r="P15800"/>
      <c r="Q15800" s="24"/>
      <c r="R15800"/>
      <c r="S15800"/>
      <c r="T15800"/>
      <c r="U15800"/>
      <c r="X15800" s="60"/>
    </row>
    <row r="15801" spans="7:24" ht="15" customHeight="1">
      <c r="G15801"/>
      <c r="I15801"/>
      <c r="N15801"/>
      <c r="O15801" s="24"/>
      <c r="P15801"/>
      <c r="Q15801" s="24"/>
      <c r="R15801"/>
      <c r="S15801"/>
      <c r="T15801"/>
      <c r="U15801"/>
      <c r="X15801" s="60"/>
    </row>
    <row r="15802" spans="7:24" ht="15" customHeight="1">
      <c r="G15802"/>
      <c r="I15802"/>
      <c r="N15802"/>
      <c r="O15802" s="24"/>
      <c r="P15802"/>
      <c r="Q15802" s="24"/>
      <c r="R15802"/>
      <c r="S15802"/>
      <c r="T15802"/>
      <c r="U15802"/>
      <c r="X15802" s="60"/>
    </row>
    <row r="15803" spans="7:24" ht="15" customHeight="1">
      <c r="G15803"/>
      <c r="I15803"/>
      <c r="N15803"/>
      <c r="O15803" s="24"/>
      <c r="P15803"/>
      <c r="Q15803" s="24"/>
      <c r="R15803"/>
      <c r="S15803"/>
      <c r="T15803"/>
      <c r="U15803"/>
      <c r="X15803" s="60"/>
    </row>
    <row r="15804" spans="7:24" ht="15" customHeight="1">
      <c r="G15804"/>
      <c r="I15804"/>
      <c r="N15804"/>
      <c r="O15804" s="24"/>
      <c r="P15804"/>
      <c r="Q15804" s="24"/>
      <c r="R15804"/>
      <c r="S15804"/>
      <c r="T15804"/>
      <c r="U15804"/>
      <c r="X15804" s="60"/>
    </row>
    <row r="15805" spans="7:24" ht="15" customHeight="1">
      <c r="G15805"/>
      <c r="I15805"/>
      <c r="N15805"/>
      <c r="O15805" s="24"/>
      <c r="P15805"/>
      <c r="Q15805" s="24"/>
      <c r="R15805"/>
      <c r="S15805"/>
      <c r="T15805"/>
      <c r="U15805"/>
      <c r="X15805" s="60"/>
    </row>
    <row r="15806" spans="7:24" ht="15" customHeight="1">
      <c r="G15806"/>
      <c r="I15806"/>
      <c r="N15806"/>
      <c r="O15806" s="24"/>
      <c r="P15806"/>
      <c r="Q15806" s="24"/>
      <c r="R15806"/>
      <c r="S15806"/>
      <c r="T15806"/>
      <c r="U15806"/>
      <c r="X15806" s="60"/>
    </row>
    <row r="15807" spans="7:24" ht="15" customHeight="1">
      <c r="G15807"/>
      <c r="I15807"/>
      <c r="N15807"/>
      <c r="O15807" s="24"/>
      <c r="P15807"/>
      <c r="Q15807" s="24"/>
      <c r="R15807"/>
      <c r="S15807"/>
      <c r="T15807"/>
      <c r="U15807"/>
      <c r="X15807" s="60"/>
    </row>
    <row r="15808" spans="7:24" ht="15" customHeight="1">
      <c r="G15808"/>
      <c r="I15808"/>
      <c r="N15808"/>
      <c r="O15808" s="24"/>
      <c r="P15808"/>
      <c r="Q15808" s="24"/>
      <c r="R15808"/>
      <c r="S15808"/>
      <c r="T15808"/>
      <c r="U15808"/>
      <c r="X15808" s="60"/>
    </row>
    <row r="15809" spans="7:24" ht="15" customHeight="1">
      <c r="G15809"/>
      <c r="I15809"/>
      <c r="N15809"/>
      <c r="O15809" s="24"/>
      <c r="P15809"/>
      <c r="Q15809" s="24"/>
      <c r="R15809"/>
      <c r="S15809"/>
      <c r="T15809"/>
      <c r="U15809"/>
      <c r="X15809" s="60"/>
    </row>
    <row r="15810" spans="7:24" ht="15" customHeight="1">
      <c r="G15810"/>
      <c r="I15810"/>
      <c r="N15810"/>
      <c r="O15810" s="24"/>
      <c r="P15810"/>
      <c r="Q15810" s="24"/>
      <c r="R15810"/>
      <c r="S15810"/>
      <c r="T15810"/>
      <c r="U15810"/>
      <c r="X15810" s="60"/>
    </row>
    <row r="15811" spans="7:24" ht="15" customHeight="1">
      <c r="G15811"/>
      <c r="I15811"/>
      <c r="N15811"/>
      <c r="O15811" s="24"/>
      <c r="P15811"/>
      <c r="Q15811" s="24"/>
      <c r="R15811"/>
      <c r="S15811"/>
      <c r="T15811"/>
      <c r="U15811"/>
      <c r="X15811" s="60"/>
    </row>
    <row r="15812" spans="7:24" ht="15" customHeight="1">
      <c r="G15812"/>
      <c r="I15812"/>
      <c r="N15812"/>
      <c r="O15812" s="24"/>
      <c r="P15812"/>
      <c r="Q15812" s="24"/>
      <c r="R15812"/>
      <c r="S15812"/>
      <c r="T15812"/>
      <c r="U15812"/>
      <c r="X15812" s="60"/>
    </row>
    <row r="15813" spans="7:24" ht="15" customHeight="1">
      <c r="G15813"/>
      <c r="I15813"/>
      <c r="N15813"/>
      <c r="O15813" s="24"/>
      <c r="P15813"/>
      <c r="Q15813" s="24"/>
      <c r="R15813"/>
      <c r="S15813"/>
      <c r="T15813"/>
      <c r="U15813"/>
      <c r="X15813" s="60"/>
    </row>
    <row r="15814" spans="7:24" ht="15" customHeight="1">
      <c r="G15814"/>
      <c r="I15814"/>
      <c r="N15814"/>
      <c r="O15814" s="24"/>
      <c r="P15814"/>
      <c r="Q15814" s="24"/>
      <c r="R15814"/>
      <c r="S15814"/>
      <c r="T15814"/>
      <c r="U15814"/>
      <c r="X15814" s="60"/>
    </row>
    <row r="15815" spans="7:24" ht="15" customHeight="1">
      <c r="G15815"/>
      <c r="I15815"/>
      <c r="N15815"/>
      <c r="O15815" s="24"/>
      <c r="P15815"/>
      <c r="Q15815" s="24"/>
      <c r="R15815"/>
      <c r="S15815"/>
      <c r="T15815"/>
      <c r="U15815"/>
      <c r="X15815" s="60"/>
    </row>
    <row r="15816" spans="7:24" ht="15" customHeight="1">
      <c r="G15816"/>
      <c r="I15816"/>
      <c r="N15816"/>
      <c r="O15816" s="24"/>
      <c r="P15816"/>
      <c r="Q15816" s="24"/>
      <c r="R15816"/>
      <c r="S15816"/>
      <c r="T15816"/>
      <c r="U15816"/>
      <c r="X15816" s="60"/>
    </row>
    <row r="15817" spans="7:24" ht="15" customHeight="1">
      <c r="G15817"/>
      <c r="I15817"/>
      <c r="N15817"/>
      <c r="O15817" s="24"/>
      <c r="P15817"/>
      <c r="Q15817" s="24"/>
      <c r="R15817"/>
      <c r="S15817"/>
      <c r="T15817"/>
      <c r="U15817"/>
      <c r="X15817" s="60"/>
    </row>
    <row r="15818" spans="7:24" ht="15" customHeight="1">
      <c r="G15818"/>
      <c r="I15818"/>
      <c r="N15818"/>
      <c r="O15818" s="24"/>
      <c r="P15818"/>
      <c r="Q15818" s="24"/>
      <c r="R15818"/>
      <c r="S15818"/>
      <c r="T15818"/>
      <c r="U15818"/>
      <c r="X15818" s="60"/>
    </row>
    <row r="15819" spans="7:24" ht="15" customHeight="1">
      <c r="G15819"/>
      <c r="I15819"/>
      <c r="N15819"/>
      <c r="O15819" s="24"/>
      <c r="P15819"/>
      <c r="Q15819" s="24"/>
      <c r="R15819"/>
      <c r="S15819"/>
      <c r="T15819"/>
      <c r="U15819"/>
      <c r="X15819" s="60"/>
    </row>
    <row r="15820" spans="7:24" ht="15" customHeight="1">
      <c r="G15820"/>
      <c r="I15820"/>
      <c r="N15820"/>
      <c r="O15820" s="24"/>
      <c r="P15820"/>
      <c r="Q15820" s="24"/>
      <c r="R15820"/>
      <c r="S15820"/>
      <c r="T15820"/>
      <c r="U15820"/>
      <c r="X15820" s="60"/>
    </row>
    <row r="15821" spans="7:24" ht="15" customHeight="1">
      <c r="G15821"/>
      <c r="I15821"/>
      <c r="N15821"/>
      <c r="O15821" s="24"/>
      <c r="P15821"/>
      <c r="Q15821" s="24"/>
      <c r="R15821"/>
      <c r="S15821"/>
      <c r="T15821"/>
      <c r="U15821"/>
      <c r="X15821" s="60"/>
    </row>
    <row r="15822" spans="7:24" ht="15" customHeight="1">
      <c r="G15822"/>
      <c r="I15822"/>
      <c r="N15822"/>
      <c r="O15822" s="24"/>
      <c r="P15822"/>
      <c r="Q15822" s="24"/>
      <c r="R15822"/>
      <c r="S15822"/>
      <c r="T15822"/>
      <c r="U15822"/>
      <c r="X15822" s="60"/>
    </row>
    <row r="15823" spans="7:24" ht="15" customHeight="1">
      <c r="G15823"/>
      <c r="I15823"/>
      <c r="N15823"/>
      <c r="O15823" s="24"/>
      <c r="P15823"/>
      <c r="Q15823" s="24"/>
      <c r="R15823"/>
      <c r="S15823"/>
      <c r="T15823"/>
      <c r="U15823"/>
      <c r="X15823" s="60"/>
    </row>
    <row r="15824" spans="7:24" ht="15" customHeight="1">
      <c r="G15824"/>
      <c r="I15824"/>
      <c r="N15824"/>
      <c r="O15824" s="24"/>
      <c r="P15824"/>
      <c r="Q15824" s="24"/>
      <c r="R15824"/>
      <c r="S15824"/>
      <c r="T15824"/>
      <c r="U15824"/>
      <c r="X15824" s="60"/>
    </row>
    <row r="15825" spans="7:24" ht="15" customHeight="1">
      <c r="G15825"/>
      <c r="I15825"/>
      <c r="N15825"/>
      <c r="O15825" s="24"/>
      <c r="P15825"/>
      <c r="Q15825" s="24"/>
      <c r="R15825"/>
      <c r="S15825"/>
      <c r="T15825"/>
      <c r="U15825"/>
      <c r="X15825" s="60"/>
    </row>
    <row r="15826" spans="7:24" ht="15" customHeight="1">
      <c r="G15826"/>
      <c r="I15826"/>
      <c r="N15826"/>
      <c r="O15826" s="24"/>
      <c r="P15826"/>
      <c r="Q15826" s="24"/>
      <c r="R15826"/>
      <c r="S15826"/>
      <c r="T15826"/>
      <c r="U15826"/>
      <c r="X15826" s="60"/>
    </row>
    <row r="15827" spans="7:24" ht="15" customHeight="1">
      <c r="G15827"/>
      <c r="I15827"/>
      <c r="N15827"/>
      <c r="O15827" s="24"/>
      <c r="P15827"/>
      <c r="Q15827" s="24"/>
      <c r="R15827"/>
      <c r="S15827"/>
      <c r="T15827"/>
      <c r="U15827"/>
      <c r="X15827" s="60"/>
    </row>
    <row r="15828" spans="7:24" ht="15" customHeight="1">
      <c r="G15828"/>
      <c r="I15828"/>
      <c r="N15828"/>
      <c r="O15828" s="24"/>
      <c r="P15828"/>
      <c r="Q15828" s="24"/>
      <c r="R15828"/>
      <c r="S15828"/>
      <c r="T15828"/>
      <c r="U15828"/>
      <c r="X15828" s="60"/>
    </row>
    <row r="15829" spans="7:24" ht="15" customHeight="1">
      <c r="G15829"/>
      <c r="I15829"/>
      <c r="N15829"/>
      <c r="O15829" s="24"/>
      <c r="P15829"/>
      <c r="Q15829" s="24"/>
      <c r="R15829"/>
      <c r="S15829"/>
      <c r="T15829"/>
      <c r="U15829"/>
      <c r="X15829" s="60"/>
    </row>
    <row r="15830" spans="7:24" ht="15" customHeight="1">
      <c r="G15830"/>
      <c r="I15830"/>
      <c r="N15830"/>
      <c r="O15830" s="24"/>
      <c r="P15830"/>
      <c r="Q15830" s="24"/>
      <c r="R15830"/>
      <c r="S15830"/>
      <c r="T15830"/>
      <c r="U15830"/>
      <c r="X15830" s="60"/>
    </row>
    <row r="15831" spans="7:24" ht="15" customHeight="1">
      <c r="G15831"/>
      <c r="I15831"/>
      <c r="N15831"/>
      <c r="O15831" s="24"/>
      <c r="P15831"/>
      <c r="Q15831" s="24"/>
      <c r="R15831"/>
      <c r="S15831"/>
      <c r="T15831"/>
      <c r="U15831"/>
      <c r="X15831" s="60"/>
    </row>
    <row r="15832" spans="7:24" ht="15" customHeight="1">
      <c r="G15832"/>
      <c r="I15832"/>
      <c r="N15832"/>
      <c r="O15832" s="24"/>
      <c r="P15832"/>
      <c r="Q15832" s="24"/>
      <c r="R15832"/>
      <c r="S15832"/>
      <c r="T15832"/>
      <c r="U15832"/>
      <c r="X15832" s="60"/>
    </row>
    <row r="15833" spans="7:24" ht="15" customHeight="1">
      <c r="G15833"/>
      <c r="I15833"/>
      <c r="N15833"/>
      <c r="O15833" s="24"/>
      <c r="P15833"/>
      <c r="Q15833" s="24"/>
      <c r="R15833"/>
      <c r="S15833"/>
      <c r="T15833"/>
      <c r="U15833"/>
      <c r="X15833" s="60"/>
    </row>
    <row r="15834" spans="7:24" ht="15" customHeight="1">
      <c r="G15834"/>
      <c r="I15834"/>
      <c r="N15834"/>
      <c r="O15834" s="24"/>
      <c r="P15834"/>
      <c r="Q15834" s="24"/>
      <c r="R15834"/>
      <c r="S15834"/>
      <c r="T15834"/>
      <c r="U15834"/>
      <c r="X15834" s="60"/>
    </row>
    <row r="15835" spans="7:24" ht="15" customHeight="1">
      <c r="G15835"/>
      <c r="I15835"/>
      <c r="N15835"/>
      <c r="O15835" s="24"/>
      <c r="P15835"/>
      <c r="Q15835" s="24"/>
      <c r="R15835"/>
      <c r="S15835"/>
      <c r="T15835"/>
      <c r="U15835"/>
      <c r="X15835" s="60"/>
    </row>
    <row r="15836" spans="7:24" ht="15" customHeight="1">
      <c r="G15836"/>
      <c r="I15836"/>
      <c r="N15836"/>
      <c r="O15836" s="24"/>
      <c r="P15836"/>
      <c r="Q15836" s="24"/>
      <c r="R15836"/>
      <c r="S15836"/>
      <c r="T15836"/>
      <c r="U15836"/>
      <c r="X15836" s="60"/>
    </row>
    <row r="15837" spans="7:24" ht="15" customHeight="1">
      <c r="G15837"/>
      <c r="I15837"/>
      <c r="N15837"/>
      <c r="O15837" s="24"/>
      <c r="P15837"/>
      <c r="Q15837" s="24"/>
      <c r="R15837"/>
      <c r="S15837"/>
      <c r="T15837"/>
      <c r="U15837"/>
      <c r="X15837" s="60"/>
    </row>
    <row r="15838" spans="7:24" ht="15" customHeight="1">
      <c r="G15838"/>
      <c r="I15838"/>
      <c r="N15838"/>
      <c r="O15838" s="24"/>
      <c r="P15838"/>
      <c r="Q15838" s="24"/>
      <c r="R15838"/>
      <c r="S15838"/>
      <c r="T15838"/>
      <c r="U15838"/>
      <c r="X15838" s="60"/>
    </row>
    <row r="15839" spans="7:24" ht="15" customHeight="1">
      <c r="G15839"/>
      <c r="I15839"/>
      <c r="N15839"/>
      <c r="O15839" s="24"/>
      <c r="P15839"/>
      <c r="Q15839" s="24"/>
      <c r="R15839"/>
      <c r="S15839"/>
      <c r="T15839"/>
      <c r="U15839"/>
      <c r="X15839" s="60"/>
    </row>
    <row r="15840" spans="7:24" ht="15" customHeight="1">
      <c r="G15840"/>
      <c r="I15840"/>
      <c r="N15840"/>
      <c r="O15840" s="24"/>
      <c r="P15840"/>
      <c r="Q15840" s="24"/>
      <c r="R15840"/>
      <c r="S15840"/>
      <c r="T15840"/>
      <c r="U15840"/>
      <c r="X15840" s="60"/>
    </row>
    <row r="15841" spans="7:24" ht="15" customHeight="1">
      <c r="G15841"/>
      <c r="I15841"/>
      <c r="N15841"/>
      <c r="O15841" s="24"/>
      <c r="P15841"/>
      <c r="Q15841" s="24"/>
      <c r="R15841"/>
      <c r="S15841"/>
      <c r="T15841"/>
      <c r="U15841"/>
      <c r="X15841" s="60"/>
    </row>
    <row r="15842" spans="7:24" ht="15" customHeight="1">
      <c r="G15842"/>
      <c r="I15842"/>
      <c r="N15842"/>
      <c r="O15842" s="24"/>
      <c r="P15842"/>
      <c r="Q15842" s="24"/>
      <c r="R15842"/>
      <c r="S15842"/>
      <c r="T15842"/>
      <c r="U15842"/>
      <c r="X15842" s="60"/>
    </row>
    <row r="15843" spans="7:24" ht="15" customHeight="1">
      <c r="G15843"/>
      <c r="I15843"/>
      <c r="N15843"/>
      <c r="O15843" s="24"/>
      <c r="P15843"/>
      <c r="Q15843" s="24"/>
      <c r="R15843"/>
      <c r="S15843"/>
      <c r="T15843"/>
      <c r="U15843"/>
      <c r="X15843" s="60"/>
    </row>
    <row r="15844" spans="7:24" ht="15" customHeight="1">
      <c r="G15844"/>
      <c r="I15844"/>
      <c r="N15844"/>
      <c r="O15844" s="24"/>
      <c r="P15844"/>
      <c r="Q15844" s="24"/>
      <c r="R15844"/>
      <c r="S15844"/>
      <c r="T15844"/>
      <c r="U15844"/>
      <c r="X15844" s="60"/>
    </row>
    <row r="15845" spans="7:24" ht="15" customHeight="1">
      <c r="G15845"/>
      <c r="I15845"/>
      <c r="N15845"/>
      <c r="O15845" s="24"/>
      <c r="P15845"/>
      <c r="Q15845" s="24"/>
      <c r="R15845"/>
      <c r="S15845"/>
      <c r="T15845"/>
      <c r="U15845"/>
      <c r="X15845" s="60"/>
    </row>
    <row r="15846" spans="7:24" ht="15" customHeight="1">
      <c r="G15846"/>
      <c r="I15846"/>
      <c r="N15846"/>
      <c r="O15846" s="24"/>
      <c r="P15846"/>
      <c r="Q15846" s="24"/>
      <c r="R15846"/>
      <c r="S15846"/>
      <c r="T15846"/>
      <c r="U15846"/>
      <c r="X15846" s="60"/>
    </row>
    <row r="15847" spans="7:24" ht="15" customHeight="1">
      <c r="G15847"/>
      <c r="I15847"/>
      <c r="N15847"/>
      <c r="O15847" s="24"/>
      <c r="P15847"/>
      <c r="Q15847" s="24"/>
      <c r="R15847"/>
      <c r="S15847"/>
      <c r="T15847"/>
      <c r="U15847"/>
      <c r="X15847" s="60"/>
    </row>
    <row r="15848" spans="7:24" ht="15" customHeight="1">
      <c r="G15848"/>
      <c r="I15848"/>
      <c r="N15848"/>
      <c r="O15848" s="24"/>
      <c r="P15848"/>
      <c r="Q15848" s="24"/>
      <c r="R15848"/>
      <c r="S15848"/>
      <c r="T15848"/>
      <c r="U15848"/>
      <c r="X15848" s="60"/>
    </row>
    <row r="15849" spans="7:24" ht="15" customHeight="1">
      <c r="G15849"/>
      <c r="I15849"/>
      <c r="N15849"/>
      <c r="O15849" s="24"/>
      <c r="P15849"/>
      <c r="Q15849" s="24"/>
      <c r="R15849"/>
      <c r="S15849"/>
      <c r="T15849"/>
      <c r="U15849"/>
      <c r="X15849" s="60"/>
    </row>
    <row r="15850" spans="7:24" ht="15" customHeight="1">
      <c r="G15850"/>
      <c r="I15850"/>
      <c r="N15850"/>
      <c r="O15850" s="24"/>
      <c r="P15850"/>
      <c r="Q15850" s="24"/>
      <c r="R15850"/>
      <c r="S15850"/>
      <c r="T15850"/>
      <c r="U15850"/>
      <c r="X15850" s="60"/>
    </row>
    <row r="15851" spans="7:24" ht="15" customHeight="1">
      <c r="G15851"/>
      <c r="I15851"/>
      <c r="N15851"/>
      <c r="O15851" s="24"/>
      <c r="P15851"/>
      <c r="Q15851" s="24"/>
      <c r="R15851"/>
      <c r="S15851"/>
      <c r="T15851"/>
      <c r="U15851"/>
      <c r="X15851" s="60"/>
    </row>
    <row r="15852" spans="7:24" ht="15" customHeight="1">
      <c r="G15852"/>
      <c r="I15852"/>
      <c r="N15852"/>
      <c r="O15852" s="24"/>
      <c r="P15852"/>
      <c r="Q15852" s="24"/>
      <c r="R15852"/>
      <c r="S15852"/>
      <c r="T15852"/>
      <c r="U15852"/>
      <c r="X15852" s="60"/>
    </row>
    <row r="15853" spans="7:24" ht="15" customHeight="1">
      <c r="G15853"/>
      <c r="I15853"/>
      <c r="N15853"/>
      <c r="O15853" s="24"/>
      <c r="P15853"/>
      <c r="Q15853" s="24"/>
      <c r="R15853"/>
      <c r="S15853"/>
      <c r="T15853"/>
      <c r="U15853"/>
      <c r="X15853" s="60"/>
    </row>
    <row r="15854" spans="7:24" ht="15" customHeight="1">
      <c r="G15854"/>
      <c r="I15854"/>
      <c r="N15854"/>
      <c r="O15854" s="24"/>
      <c r="P15854"/>
      <c r="Q15854" s="24"/>
      <c r="R15854"/>
      <c r="S15854"/>
      <c r="T15854"/>
      <c r="U15854"/>
      <c r="X15854" s="60"/>
    </row>
    <row r="15855" spans="7:24" ht="15" customHeight="1">
      <c r="G15855"/>
      <c r="I15855"/>
      <c r="N15855"/>
      <c r="O15855" s="24"/>
      <c r="P15855"/>
      <c r="Q15855" s="24"/>
      <c r="R15855"/>
      <c r="S15855"/>
      <c r="T15855"/>
      <c r="U15855"/>
      <c r="X15855" s="60"/>
    </row>
    <row r="15856" spans="7:24" ht="15" customHeight="1">
      <c r="G15856"/>
      <c r="I15856"/>
      <c r="N15856"/>
      <c r="O15856" s="24"/>
      <c r="P15856"/>
      <c r="Q15856" s="24"/>
      <c r="R15856"/>
      <c r="S15856"/>
      <c r="T15856"/>
      <c r="U15856"/>
      <c r="X15856" s="60"/>
    </row>
    <row r="15857" spans="7:24" ht="15" customHeight="1">
      <c r="G15857"/>
      <c r="I15857"/>
      <c r="N15857"/>
      <c r="O15857" s="24"/>
      <c r="P15857"/>
      <c r="Q15857" s="24"/>
      <c r="R15857"/>
      <c r="S15857"/>
      <c r="T15857"/>
      <c r="U15857"/>
      <c r="X15857" s="60"/>
    </row>
    <row r="15858" spans="7:24" ht="15" customHeight="1">
      <c r="G15858"/>
      <c r="I15858"/>
      <c r="N15858"/>
      <c r="O15858" s="24"/>
      <c r="P15858"/>
      <c r="Q15858" s="24"/>
      <c r="R15858"/>
      <c r="S15858"/>
      <c r="T15858"/>
      <c r="U15858"/>
      <c r="X15858" s="60"/>
    </row>
    <row r="15859" spans="7:24" ht="15" customHeight="1">
      <c r="G15859"/>
      <c r="I15859"/>
      <c r="N15859"/>
      <c r="O15859" s="24"/>
      <c r="P15859"/>
      <c r="Q15859" s="24"/>
      <c r="R15859"/>
      <c r="S15859"/>
      <c r="T15859"/>
      <c r="U15859"/>
      <c r="X15859" s="60"/>
    </row>
    <row r="15860" spans="7:24" ht="15" customHeight="1">
      <c r="G15860"/>
      <c r="I15860"/>
      <c r="N15860"/>
      <c r="O15860" s="24"/>
      <c r="P15860"/>
      <c r="Q15860" s="24"/>
      <c r="R15860"/>
      <c r="S15860"/>
      <c r="T15860"/>
      <c r="U15860"/>
      <c r="X15860" s="60"/>
    </row>
    <row r="15861" spans="7:24" ht="15" customHeight="1">
      <c r="G15861"/>
      <c r="I15861"/>
      <c r="N15861"/>
      <c r="O15861" s="24"/>
      <c r="P15861"/>
      <c r="Q15861" s="24"/>
      <c r="R15861"/>
      <c r="S15861"/>
      <c r="T15861"/>
      <c r="U15861"/>
      <c r="X15861" s="60"/>
    </row>
    <row r="15862" spans="7:24" ht="15" customHeight="1">
      <c r="G15862"/>
      <c r="I15862"/>
      <c r="N15862"/>
      <c r="O15862" s="24"/>
      <c r="P15862"/>
      <c r="Q15862" s="24"/>
      <c r="R15862"/>
      <c r="S15862"/>
      <c r="T15862"/>
      <c r="U15862"/>
      <c r="X15862" s="60"/>
    </row>
    <row r="15863" spans="7:24" ht="15" customHeight="1">
      <c r="G15863"/>
      <c r="I15863"/>
      <c r="N15863"/>
      <c r="O15863" s="24"/>
      <c r="P15863"/>
      <c r="Q15863" s="24"/>
      <c r="R15863"/>
      <c r="S15863"/>
      <c r="T15863"/>
      <c r="U15863"/>
      <c r="X15863" s="60"/>
    </row>
    <row r="15864" spans="7:24" ht="15" customHeight="1">
      <c r="G15864"/>
      <c r="I15864"/>
      <c r="N15864"/>
      <c r="O15864" s="24"/>
      <c r="P15864"/>
      <c r="Q15864" s="24"/>
      <c r="R15864"/>
      <c r="S15864"/>
      <c r="T15864"/>
      <c r="U15864"/>
      <c r="X15864" s="60"/>
    </row>
    <row r="15865" spans="7:24" ht="15" customHeight="1">
      <c r="G15865"/>
      <c r="I15865"/>
      <c r="N15865"/>
      <c r="O15865" s="24"/>
      <c r="P15865"/>
      <c r="Q15865" s="24"/>
      <c r="R15865"/>
      <c r="S15865"/>
      <c r="T15865"/>
      <c r="U15865"/>
      <c r="X15865" s="60"/>
    </row>
    <row r="15866" spans="7:24" ht="15" customHeight="1">
      <c r="G15866"/>
      <c r="I15866"/>
      <c r="N15866"/>
      <c r="O15866" s="24"/>
      <c r="P15866"/>
      <c r="Q15866" s="24"/>
      <c r="R15866"/>
      <c r="S15866"/>
      <c r="T15866"/>
      <c r="U15866"/>
      <c r="X15866" s="60"/>
    </row>
    <row r="15867" spans="7:24" ht="15" customHeight="1">
      <c r="G15867"/>
      <c r="I15867"/>
      <c r="N15867"/>
      <c r="O15867" s="24"/>
      <c r="P15867"/>
      <c r="Q15867" s="24"/>
      <c r="R15867"/>
      <c r="S15867"/>
      <c r="T15867"/>
      <c r="U15867"/>
      <c r="X15867" s="60"/>
    </row>
    <row r="15868" spans="7:24" ht="15" customHeight="1">
      <c r="G15868"/>
      <c r="I15868"/>
      <c r="N15868"/>
      <c r="O15868" s="24"/>
      <c r="P15868"/>
      <c r="Q15868" s="24"/>
      <c r="R15868"/>
      <c r="S15868"/>
      <c r="T15868"/>
      <c r="U15868"/>
      <c r="X15868" s="60"/>
    </row>
    <row r="15869" spans="7:24" ht="15" customHeight="1">
      <c r="G15869"/>
      <c r="I15869"/>
      <c r="N15869"/>
      <c r="O15869" s="24"/>
      <c r="P15869"/>
      <c r="Q15869" s="24"/>
      <c r="R15869"/>
      <c r="S15869"/>
      <c r="T15869"/>
      <c r="U15869"/>
      <c r="X15869" s="60"/>
    </row>
    <row r="15870" spans="7:24" ht="15" customHeight="1">
      <c r="G15870"/>
      <c r="I15870"/>
      <c r="N15870"/>
      <c r="O15870" s="24"/>
      <c r="P15870"/>
      <c r="Q15870" s="24"/>
      <c r="R15870"/>
      <c r="S15870"/>
      <c r="T15870"/>
      <c r="U15870"/>
      <c r="X15870" s="60"/>
    </row>
    <row r="15871" spans="7:24" ht="15" customHeight="1">
      <c r="G15871"/>
      <c r="I15871"/>
      <c r="N15871"/>
      <c r="O15871" s="24"/>
      <c r="P15871"/>
      <c r="Q15871" s="24"/>
      <c r="R15871"/>
      <c r="S15871"/>
      <c r="T15871"/>
      <c r="U15871"/>
      <c r="X15871" s="60"/>
    </row>
    <row r="15872" spans="7:24" ht="15" customHeight="1">
      <c r="G15872"/>
      <c r="I15872"/>
      <c r="N15872"/>
      <c r="O15872" s="24"/>
      <c r="P15872"/>
      <c r="Q15872" s="24"/>
      <c r="R15872"/>
      <c r="S15872"/>
      <c r="T15872"/>
      <c r="U15872"/>
      <c r="X15872" s="60"/>
    </row>
    <row r="15873" spans="7:24" ht="15" customHeight="1">
      <c r="G15873"/>
      <c r="I15873"/>
      <c r="N15873"/>
      <c r="O15873" s="24"/>
      <c r="P15873"/>
      <c r="Q15873" s="24"/>
      <c r="R15873"/>
      <c r="S15873"/>
      <c r="T15873"/>
      <c r="U15873"/>
      <c r="X15873" s="60"/>
    </row>
    <row r="15874" spans="7:24" ht="15" customHeight="1">
      <c r="G15874"/>
      <c r="I15874"/>
      <c r="N15874"/>
      <c r="O15874" s="24"/>
      <c r="P15874"/>
      <c r="Q15874" s="24"/>
      <c r="R15874"/>
      <c r="S15874"/>
      <c r="T15874"/>
      <c r="U15874"/>
      <c r="X15874" s="60"/>
    </row>
    <row r="15875" spans="7:24" ht="15" customHeight="1">
      <c r="G15875"/>
      <c r="I15875"/>
      <c r="N15875"/>
      <c r="O15875" s="24"/>
      <c r="P15875"/>
      <c r="Q15875" s="24"/>
      <c r="R15875"/>
      <c r="S15875"/>
      <c r="T15875"/>
      <c r="U15875"/>
      <c r="X15875" s="60"/>
    </row>
    <row r="15876" spans="7:24" ht="15" customHeight="1">
      <c r="G15876"/>
      <c r="I15876"/>
      <c r="N15876"/>
      <c r="O15876" s="24"/>
      <c r="P15876"/>
      <c r="Q15876" s="24"/>
      <c r="R15876"/>
      <c r="S15876"/>
      <c r="T15876"/>
      <c r="U15876"/>
      <c r="X15876" s="60"/>
    </row>
    <row r="15877" spans="7:24" ht="15" customHeight="1">
      <c r="G15877"/>
      <c r="I15877"/>
      <c r="N15877"/>
      <c r="O15877" s="24"/>
      <c r="P15877"/>
      <c r="Q15877" s="24"/>
      <c r="R15877"/>
      <c r="S15877"/>
      <c r="T15877"/>
      <c r="U15877"/>
      <c r="X15877" s="60"/>
    </row>
    <row r="15878" spans="7:24" ht="15" customHeight="1">
      <c r="G15878"/>
      <c r="I15878"/>
      <c r="N15878"/>
      <c r="O15878" s="24"/>
      <c r="P15878"/>
      <c r="Q15878" s="24"/>
      <c r="R15878"/>
      <c r="S15878"/>
      <c r="T15878"/>
      <c r="U15878"/>
      <c r="X15878" s="60"/>
    </row>
    <row r="15879" spans="7:24" ht="15" customHeight="1">
      <c r="G15879"/>
      <c r="I15879"/>
      <c r="N15879"/>
      <c r="O15879" s="24"/>
      <c r="P15879"/>
      <c r="Q15879" s="24"/>
      <c r="R15879"/>
      <c r="S15879"/>
      <c r="T15879"/>
      <c r="U15879"/>
      <c r="X15879" s="60"/>
    </row>
    <row r="15880" spans="7:24" ht="15" customHeight="1">
      <c r="G15880"/>
      <c r="I15880"/>
      <c r="N15880"/>
      <c r="O15880" s="24"/>
      <c r="P15880"/>
      <c r="Q15880" s="24"/>
      <c r="R15880"/>
      <c r="S15880"/>
      <c r="T15880"/>
      <c r="U15880"/>
      <c r="X15880" s="60"/>
    </row>
    <row r="15881" spans="7:24" ht="15" customHeight="1">
      <c r="G15881"/>
      <c r="I15881"/>
      <c r="N15881"/>
      <c r="O15881" s="24"/>
      <c r="P15881"/>
      <c r="Q15881" s="24"/>
      <c r="R15881"/>
      <c r="S15881"/>
      <c r="T15881"/>
      <c r="U15881"/>
      <c r="X15881" s="60"/>
    </row>
    <row r="15882" spans="7:24" ht="15" customHeight="1">
      <c r="G15882"/>
      <c r="I15882"/>
      <c r="N15882"/>
      <c r="O15882" s="24"/>
      <c r="P15882"/>
      <c r="Q15882" s="24"/>
      <c r="R15882"/>
      <c r="S15882"/>
      <c r="T15882"/>
      <c r="U15882"/>
      <c r="X15882" s="60"/>
    </row>
    <row r="15883" spans="7:24" ht="15" customHeight="1">
      <c r="G15883"/>
      <c r="I15883"/>
      <c r="N15883"/>
      <c r="O15883" s="24"/>
      <c r="P15883"/>
      <c r="Q15883" s="24"/>
      <c r="R15883"/>
      <c r="S15883"/>
      <c r="T15883"/>
      <c r="U15883"/>
      <c r="X15883" s="60"/>
    </row>
    <row r="15884" spans="7:24" ht="15" customHeight="1">
      <c r="G15884"/>
      <c r="I15884"/>
      <c r="N15884"/>
      <c r="O15884" s="24"/>
      <c r="P15884"/>
      <c r="Q15884" s="24"/>
      <c r="R15884"/>
      <c r="S15884"/>
      <c r="T15884"/>
      <c r="U15884"/>
      <c r="X15884" s="60"/>
    </row>
    <row r="15885" spans="7:24" ht="15" customHeight="1">
      <c r="G15885"/>
      <c r="I15885"/>
      <c r="N15885"/>
      <c r="O15885" s="24"/>
      <c r="P15885"/>
      <c r="Q15885" s="24"/>
      <c r="R15885"/>
      <c r="S15885"/>
      <c r="T15885"/>
      <c r="U15885"/>
      <c r="X15885" s="60"/>
    </row>
    <row r="15886" spans="7:24" ht="15" customHeight="1">
      <c r="G15886"/>
      <c r="I15886"/>
      <c r="N15886"/>
      <c r="O15886" s="24"/>
      <c r="P15886"/>
      <c r="Q15886" s="24"/>
      <c r="R15886"/>
      <c r="S15886"/>
      <c r="T15886"/>
      <c r="U15886"/>
      <c r="X15886" s="60"/>
    </row>
    <row r="15887" spans="7:24" ht="15" customHeight="1">
      <c r="G15887"/>
      <c r="I15887"/>
      <c r="N15887"/>
      <c r="O15887" s="24"/>
      <c r="P15887"/>
      <c r="Q15887" s="24"/>
      <c r="R15887"/>
      <c r="S15887"/>
      <c r="T15887"/>
      <c r="U15887"/>
      <c r="X15887" s="60"/>
    </row>
    <row r="15888" spans="7:24" ht="15" customHeight="1">
      <c r="G15888"/>
      <c r="I15888"/>
      <c r="N15888"/>
      <c r="O15888" s="24"/>
      <c r="P15888"/>
      <c r="Q15888" s="24"/>
      <c r="R15888"/>
      <c r="S15888"/>
      <c r="T15888"/>
      <c r="U15888"/>
      <c r="X15888" s="60"/>
    </row>
    <row r="15889" spans="7:24" ht="15" customHeight="1">
      <c r="G15889"/>
      <c r="I15889"/>
      <c r="N15889"/>
      <c r="O15889" s="24"/>
      <c r="P15889"/>
      <c r="Q15889" s="24"/>
      <c r="R15889"/>
      <c r="S15889"/>
      <c r="T15889"/>
      <c r="U15889"/>
      <c r="X15889" s="60"/>
    </row>
    <row r="15890" spans="7:24" ht="15" customHeight="1">
      <c r="G15890"/>
      <c r="I15890"/>
      <c r="N15890"/>
      <c r="O15890" s="24"/>
      <c r="P15890"/>
      <c r="Q15890" s="24"/>
      <c r="R15890"/>
      <c r="S15890"/>
      <c r="T15890"/>
      <c r="U15890"/>
      <c r="X15890" s="60"/>
    </row>
    <row r="15891" spans="7:24" ht="15" customHeight="1">
      <c r="G15891"/>
      <c r="I15891"/>
      <c r="N15891"/>
      <c r="O15891" s="24"/>
      <c r="P15891"/>
      <c r="Q15891" s="24"/>
      <c r="R15891"/>
      <c r="S15891"/>
      <c r="T15891"/>
      <c r="U15891"/>
      <c r="X15891" s="60"/>
    </row>
    <row r="15892" spans="7:24" ht="15" customHeight="1">
      <c r="G15892"/>
      <c r="I15892"/>
      <c r="N15892"/>
      <c r="O15892" s="24"/>
      <c r="P15892"/>
      <c r="Q15892" s="24"/>
      <c r="R15892"/>
      <c r="S15892"/>
      <c r="T15892"/>
      <c r="U15892"/>
      <c r="X15892" s="60"/>
    </row>
    <row r="15893" spans="7:24" ht="15" customHeight="1">
      <c r="G15893"/>
      <c r="I15893"/>
      <c r="N15893"/>
      <c r="O15893" s="24"/>
      <c r="P15893"/>
      <c r="Q15893" s="24"/>
      <c r="R15893"/>
      <c r="S15893"/>
      <c r="T15893"/>
      <c r="U15893"/>
      <c r="X15893" s="60"/>
    </row>
    <row r="15894" spans="7:24" ht="15" customHeight="1">
      <c r="G15894"/>
      <c r="I15894"/>
      <c r="N15894"/>
      <c r="O15894" s="24"/>
      <c r="P15894"/>
      <c r="Q15894" s="24"/>
      <c r="R15894"/>
      <c r="S15894"/>
      <c r="T15894"/>
      <c r="U15894"/>
      <c r="X15894" s="60"/>
    </row>
    <row r="15895" spans="7:24" ht="15" customHeight="1">
      <c r="G15895"/>
      <c r="I15895"/>
      <c r="N15895"/>
      <c r="O15895" s="24"/>
      <c r="P15895"/>
      <c r="Q15895" s="24"/>
      <c r="R15895"/>
      <c r="S15895"/>
      <c r="T15895"/>
      <c r="U15895"/>
      <c r="X15895" s="60"/>
    </row>
    <row r="15896" spans="7:24" ht="15" customHeight="1">
      <c r="G15896"/>
      <c r="I15896"/>
      <c r="N15896"/>
      <c r="O15896" s="24"/>
      <c r="P15896"/>
      <c r="Q15896" s="24"/>
      <c r="R15896"/>
      <c r="S15896"/>
      <c r="T15896"/>
      <c r="U15896"/>
      <c r="X15896" s="60"/>
    </row>
    <row r="15897" spans="7:24" ht="15" customHeight="1">
      <c r="G15897"/>
      <c r="I15897"/>
      <c r="N15897"/>
      <c r="O15897" s="24"/>
      <c r="P15897"/>
      <c r="Q15897" s="24"/>
      <c r="R15897"/>
      <c r="S15897"/>
      <c r="T15897"/>
      <c r="U15897"/>
      <c r="X15897" s="60"/>
    </row>
    <row r="15898" spans="7:24" ht="15" customHeight="1">
      <c r="G15898"/>
      <c r="I15898"/>
      <c r="N15898"/>
      <c r="O15898" s="24"/>
      <c r="P15898"/>
      <c r="Q15898" s="24"/>
      <c r="R15898"/>
      <c r="S15898"/>
      <c r="T15898"/>
      <c r="U15898"/>
      <c r="X15898" s="60"/>
    </row>
    <row r="15899" spans="7:24" ht="15" customHeight="1">
      <c r="G15899"/>
      <c r="I15899"/>
      <c r="N15899"/>
      <c r="O15899" s="24"/>
      <c r="P15899"/>
      <c r="Q15899" s="24"/>
      <c r="R15899"/>
      <c r="S15899"/>
      <c r="T15899"/>
      <c r="U15899"/>
      <c r="X15899" s="60"/>
    </row>
    <row r="15900" spans="7:24" ht="15" customHeight="1">
      <c r="G15900"/>
      <c r="I15900"/>
      <c r="N15900"/>
      <c r="O15900" s="24"/>
      <c r="P15900"/>
      <c r="Q15900" s="24"/>
      <c r="R15900"/>
      <c r="S15900"/>
      <c r="T15900"/>
      <c r="U15900"/>
      <c r="X15900" s="60"/>
    </row>
    <row r="15901" spans="7:24" ht="15" customHeight="1">
      <c r="G15901"/>
      <c r="I15901"/>
      <c r="N15901"/>
      <c r="O15901" s="24"/>
      <c r="P15901"/>
      <c r="Q15901" s="24"/>
      <c r="R15901"/>
      <c r="S15901"/>
      <c r="T15901"/>
      <c r="U15901"/>
      <c r="X15901" s="60"/>
    </row>
    <row r="15902" spans="7:24" ht="15" customHeight="1">
      <c r="G15902"/>
      <c r="I15902"/>
      <c r="N15902"/>
      <c r="O15902" s="24"/>
      <c r="P15902"/>
      <c r="Q15902" s="24"/>
      <c r="R15902"/>
      <c r="S15902"/>
      <c r="T15902"/>
      <c r="U15902"/>
      <c r="X15902" s="60"/>
    </row>
    <row r="15903" spans="7:24" ht="15" customHeight="1">
      <c r="G15903"/>
      <c r="I15903"/>
      <c r="N15903"/>
      <c r="O15903" s="24"/>
      <c r="P15903"/>
      <c r="Q15903" s="24"/>
      <c r="R15903"/>
      <c r="S15903"/>
      <c r="T15903"/>
      <c r="U15903"/>
      <c r="X15903" s="60"/>
    </row>
    <row r="15904" spans="7:24" ht="15" customHeight="1">
      <c r="G15904"/>
      <c r="I15904"/>
      <c r="N15904"/>
      <c r="O15904" s="24"/>
      <c r="P15904"/>
      <c r="Q15904" s="24"/>
      <c r="R15904"/>
      <c r="S15904"/>
      <c r="T15904"/>
      <c r="U15904"/>
      <c r="X15904" s="60"/>
    </row>
    <row r="15905" spans="7:24" ht="15" customHeight="1">
      <c r="G15905"/>
      <c r="I15905"/>
      <c r="N15905"/>
      <c r="O15905" s="24"/>
      <c r="P15905"/>
      <c r="Q15905" s="24"/>
      <c r="R15905"/>
      <c r="S15905"/>
      <c r="T15905"/>
      <c r="U15905"/>
      <c r="X15905" s="60"/>
    </row>
    <row r="15906" spans="7:24" ht="15" customHeight="1">
      <c r="G15906"/>
      <c r="I15906"/>
      <c r="N15906"/>
      <c r="O15906" s="24"/>
      <c r="P15906"/>
      <c r="Q15906" s="24"/>
      <c r="R15906"/>
      <c r="S15906"/>
      <c r="T15906"/>
      <c r="U15906"/>
      <c r="X15906" s="60"/>
    </row>
    <row r="15907" spans="7:24" ht="15" customHeight="1">
      <c r="G15907"/>
      <c r="I15907"/>
      <c r="N15907"/>
      <c r="O15907" s="24"/>
      <c r="P15907"/>
      <c r="Q15907" s="24"/>
      <c r="R15907"/>
      <c r="S15907"/>
      <c r="T15907"/>
      <c r="U15907"/>
      <c r="X15907" s="60"/>
    </row>
    <row r="15908" spans="7:24" ht="15" customHeight="1">
      <c r="G15908"/>
      <c r="I15908"/>
      <c r="N15908"/>
      <c r="O15908" s="24"/>
      <c r="P15908"/>
      <c r="Q15908" s="24"/>
      <c r="R15908"/>
      <c r="S15908"/>
      <c r="T15908"/>
      <c r="U15908"/>
      <c r="X15908" s="60"/>
    </row>
    <row r="15909" spans="7:24" ht="15" customHeight="1">
      <c r="G15909"/>
      <c r="I15909"/>
      <c r="N15909"/>
      <c r="O15909" s="24"/>
      <c r="P15909"/>
      <c r="Q15909" s="24"/>
      <c r="R15909"/>
      <c r="S15909"/>
      <c r="T15909"/>
      <c r="U15909"/>
      <c r="X15909" s="60"/>
    </row>
    <row r="15910" spans="7:24" ht="15" customHeight="1">
      <c r="G15910"/>
      <c r="I15910"/>
      <c r="N15910"/>
      <c r="O15910" s="24"/>
      <c r="P15910"/>
      <c r="Q15910" s="24"/>
      <c r="R15910"/>
      <c r="S15910"/>
      <c r="T15910"/>
      <c r="U15910"/>
      <c r="X15910" s="60"/>
    </row>
    <row r="15911" spans="7:24" ht="15" customHeight="1">
      <c r="G15911"/>
      <c r="I15911"/>
      <c r="N15911"/>
      <c r="O15911" s="24"/>
      <c r="P15911"/>
      <c r="Q15911" s="24"/>
      <c r="R15911"/>
      <c r="S15911"/>
      <c r="T15911"/>
      <c r="U15911"/>
      <c r="X15911" s="60"/>
    </row>
    <row r="15912" spans="7:24" ht="15" customHeight="1">
      <c r="G15912"/>
      <c r="I15912"/>
      <c r="N15912"/>
      <c r="O15912" s="24"/>
      <c r="P15912"/>
      <c r="Q15912" s="24"/>
      <c r="R15912"/>
      <c r="S15912"/>
      <c r="T15912"/>
      <c r="U15912"/>
      <c r="X15912" s="60"/>
    </row>
    <row r="15913" spans="7:24" ht="15" customHeight="1">
      <c r="G15913"/>
      <c r="I15913"/>
      <c r="N15913"/>
      <c r="O15913" s="24"/>
      <c r="P15913"/>
      <c r="Q15913" s="24"/>
      <c r="R15913"/>
      <c r="S15913"/>
      <c r="T15913"/>
      <c r="U15913"/>
      <c r="X15913" s="60"/>
    </row>
    <row r="15914" spans="7:24" ht="15" customHeight="1">
      <c r="G15914"/>
      <c r="I15914"/>
      <c r="N15914"/>
      <c r="O15914" s="24"/>
      <c r="P15914"/>
      <c r="Q15914" s="24"/>
      <c r="R15914"/>
      <c r="S15914"/>
      <c r="T15914"/>
      <c r="U15914"/>
      <c r="X15914" s="60"/>
    </row>
    <row r="15915" spans="7:24" ht="15" customHeight="1">
      <c r="G15915"/>
      <c r="I15915"/>
      <c r="N15915"/>
      <c r="O15915" s="24"/>
      <c r="P15915"/>
      <c r="Q15915" s="24"/>
      <c r="R15915"/>
      <c r="S15915"/>
      <c r="T15915"/>
      <c r="U15915"/>
      <c r="X15915" s="60"/>
    </row>
    <row r="15916" spans="7:24" ht="15" customHeight="1">
      <c r="G15916"/>
      <c r="I15916"/>
      <c r="N15916"/>
      <c r="O15916" s="24"/>
      <c r="P15916"/>
      <c r="Q15916" s="24"/>
      <c r="R15916"/>
      <c r="S15916"/>
      <c r="T15916"/>
      <c r="U15916"/>
      <c r="X15916" s="60"/>
    </row>
    <row r="15917" spans="7:24" ht="15" customHeight="1">
      <c r="G15917"/>
      <c r="I15917"/>
      <c r="N15917"/>
      <c r="O15917" s="24"/>
      <c r="P15917"/>
      <c r="Q15917" s="24"/>
      <c r="R15917"/>
      <c r="S15917"/>
      <c r="T15917"/>
      <c r="U15917"/>
      <c r="X15917" s="60"/>
    </row>
    <row r="15918" spans="7:24" ht="15" customHeight="1">
      <c r="G15918"/>
      <c r="I15918"/>
      <c r="N15918"/>
      <c r="O15918" s="24"/>
      <c r="P15918"/>
      <c r="Q15918" s="24"/>
      <c r="R15918"/>
      <c r="S15918"/>
      <c r="T15918"/>
      <c r="U15918"/>
      <c r="X15918" s="60"/>
    </row>
    <row r="15919" spans="7:24" ht="15" customHeight="1">
      <c r="G15919"/>
      <c r="I15919"/>
      <c r="N15919"/>
      <c r="O15919" s="24"/>
      <c r="P15919"/>
      <c r="Q15919" s="24"/>
      <c r="R15919"/>
      <c r="S15919"/>
      <c r="T15919"/>
      <c r="U15919"/>
      <c r="X15919" s="60"/>
    </row>
    <row r="15920" spans="7:24" ht="15" customHeight="1">
      <c r="G15920"/>
      <c r="I15920"/>
      <c r="N15920"/>
      <c r="O15920" s="24"/>
      <c r="P15920"/>
      <c r="Q15920" s="24"/>
      <c r="R15920"/>
      <c r="S15920"/>
      <c r="T15920"/>
      <c r="U15920"/>
      <c r="X15920" s="60"/>
    </row>
    <row r="15921" spans="7:24" ht="15" customHeight="1">
      <c r="G15921"/>
      <c r="I15921"/>
      <c r="N15921"/>
      <c r="O15921" s="24"/>
      <c r="P15921"/>
      <c r="Q15921" s="24"/>
      <c r="R15921"/>
      <c r="S15921"/>
      <c r="T15921"/>
      <c r="U15921"/>
      <c r="X15921" s="60"/>
    </row>
    <row r="15922" spans="7:24" ht="15" customHeight="1">
      <c r="G15922"/>
      <c r="I15922"/>
      <c r="N15922"/>
      <c r="O15922" s="24"/>
      <c r="P15922"/>
      <c r="Q15922" s="24"/>
      <c r="R15922"/>
      <c r="S15922"/>
      <c r="T15922"/>
      <c r="U15922"/>
      <c r="X15922" s="60"/>
    </row>
    <row r="15923" spans="7:24" ht="15" customHeight="1">
      <c r="G15923"/>
      <c r="I15923"/>
      <c r="N15923"/>
      <c r="O15923" s="24"/>
      <c r="P15923"/>
      <c r="Q15923" s="24"/>
      <c r="R15923"/>
      <c r="S15923"/>
      <c r="T15923"/>
      <c r="U15923"/>
      <c r="X15923" s="60"/>
    </row>
    <row r="15924" spans="7:24" ht="15" customHeight="1">
      <c r="G15924"/>
      <c r="I15924"/>
      <c r="N15924"/>
      <c r="O15924" s="24"/>
      <c r="P15924"/>
      <c r="Q15924" s="24"/>
      <c r="R15924"/>
      <c r="S15924"/>
      <c r="T15924"/>
      <c r="U15924"/>
      <c r="X15924" s="60"/>
    </row>
    <row r="15925" spans="7:24" ht="15" customHeight="1">
      <c r="G15925"/>
      <c r="I15925"/>
      <c r="N15925"/>
      <c r="O15925" s="24"/>
      <c r="P15925"/>
      <c r="Q15925" s="24"/>
      <c r="R15925"/>
      <c r="S15925"/>
      <c r="T15925"/>
      <c r="U15925"/>
      <c r="X15925" s="60"/>
    </row>
    <row r="15926" spans="7:24" ht="15" customHeight="1">
      <c r="G15926"/>
      <c r="I15926"/>
      <c r="N15926"/>
      <c r="O15926" s="24"/>
      <c r="P15926"/>
      <c r="Q15926" s="24"/>
      <c r="R15926"/>
      <c r="S15926"/>
      <c r="T15926"/>
      <c r="U15926"/>
      <c r="X15926" s="60"/>
    </row>
    <row r="15927" spans="7:24" ht="15" customHeight="1">
      <c r="G15927"/>
      <c r="I15927"/>
      <c r="N15927"/>
      <c r="O15927" s="24"/>
      <c r="P15927"/>
      <c r="Q15927" s="24"/>
      <c r="R15927"/>
      <c r="S15927"/>
      <c r="T15927"/>
      <c r="U15927"/>
      <c r="X15927" s="60"/>
    </row>
    <row r="15928" spans="7:24" ht="15" customHeight="1">
      <c r="G15928"/>
      <c r="I15928"/>
      <c r="N15928"/>
      <c r="O15928" s="24"/>
      <c r="P15928"/>
      <c r="Q15928" s="24"/>
      <c r="R15928"/>
      <c r="S15928"/>
      <c r="T15928"/>
      <c r="U15928"/>
      <c r="X15928" s="60"/>
    </row>
    <row r="15929" spans="7:24" ht="15" customHeight="1">
      <c r="G15929"/>
      <c r="I15929"/>
      <c r="N15929"/>
      <c r="O15929" s="24"/>
      <c r="P15929"/>
      <c r="Q15929" s="24"/>
      <c r="R15929"/>
      <c r="S15929"/>
      <c r="T15929"/>
      <c r="U15929"/>
      <c r="X15929" s="60"/>
    </row>
    <row r="15930" spans="7:24" ht="15" customHeight="1">
      <c r="G15930"/>
      <c r="I15930"/>
      <c r="N15930"/>
      <c r="O15930" s="24"/>
      <c r="P15930"/>
      <c r="Q15930" s="24"/>
      <c r="R15930"/>
      <c r="S15930"/>
      <c r="T15930"/>
      <c r="U15930"/>
      <c r="X15930" s="60"/>
    </row>
    <row r="15931" spans="7:24" ht="15" customHeight="1">
      <c r="G15931"/>
      <c r="I15931"/>
      <c r="N15931"/>
      <c r="O15931" s="24"/>
      <c r="P15931"/>
      <c r="Q15931" s="24"/>
      <c r="R15931"/>
      <c r="S15931"/>
      <c r="T15931"/>
      <c r="U15931"/>
      <c r="X15931" s="60"/>
    </row>
    <row r="15932" spans="7:24" ht="15" customHeight="1">
      <c r="G15932"/>
      <c r="I15932"/>
      <c r="N15932"/>
      <c r="O15932" s="24"/>
      <c r="P15932"/>
      <c r="Q15932" s="24"/>
      <c r="R15932"/>
      <c r="S15932"/>
      <c r="T15932"/>
      <c r="U15932"/>
      <c r="X15932" s="60"/>
    </row>
    <row r="15933" spans="7:24" ht="15" customHeight="1">
      <c r="G15933"/>
      <c r="I15933"/>
      <c r="N15933"/>
      <c r="O15933" s="24"/>
      <c r="P15933"/>
      <c r="Q15933" s="24"/>
      <c r="R15933"/>
      <c r="S15933"/>
      <c r="T15933"/>
      <c r="U15933"/>
      <c r="X15933" s="60"/>
    </row>
    <row r="15934" spans="7:24" ht="15" customHeight="1">
      <c r="G15934"/>
      <c r="I15934"/>
      <c r="N15934"/>
      <c r="O15934" s="24"/>
      <c r="P15934"/>
      <c r="Q15934" s="24"/>
      <c r="R15934"/>
      <c r="S15934"/>
      <c r="T15934"/>
      <c r="U15934"/>
      <c r="X15934" s="60"/>
    </row>
    <row r="15935" spans="7:24" ht="15" customHeight="1">
      <c r="G15935"/>
      <c r="I15935"/>
      <c r="N15935"/>
      <c r="O15935" s="24"/>
      <c r="P15935"/>
      <c r="Q15935" s="24"/>
      <c r="R15935"/>
      <c r="S15935"/>
      <c r="T15935"/>
      <c r="U15935"/>
      <c r="X15935" s="60"/>
    </row>
    <row r="15936" spans="7:24" ht="15" customHeight="1">
      <c r="G15936"/>
      <c r="I15936"/>
      <c r="N15936"/>
      <c r="O15936" s="24"/>
      <c r="P15936"/>
      <c r="Q15936" s="24"/>
      <c r="R15936"/>
      <c r="S15936"/>
      <c r="T15936"/>
      <c r="U15936"/>
      <c r="X15936" s="60"/>
    </row>
    <row r="15937" spans="7:24" ht="15" customHeight="1">
      <c r="G15937"/>
      <c r="I15937"/>
      <c r="N15937"/>
      <c r="O15937" s="24"/>
      <c r="P15937"/>
      <c r="Q15937" s="24"/>
      <c r="R15937"/>
      <c r="S15937"/>
      <c r="T15937"/>
      <c r="U15937"/>
      <c r="X15937" s="60"/>
    </row>
    <row r="15938" spans="7:24" ht="15" customHeight="1">
      <c r="G15938"/>
      <c r="I15938"/>
      <c r="N15938"/>
      <c r="O15938" s="24"/>
      <c r="P15938"/>
      <c r="Q15938" s="24"/>
      <c r="R15938"/>
      <c r="S15938"/>
      <c r="T15938"/>
      <c r="U15938"/>
      <c r="X15938" s="60"/>
    </row>
    <row r="15939" spans="7:24" ht="15" customHeight="1">
      <c r="G15939"/>
      <c r="I15939"/>
      <c r="N15939"/>
      <c r="O15939" s="24"/>
      <c r="P15939"/>
      <c r="Q15939" s="24"/>
      <c r="R15939"/>
      <c r="S15939"/>
      <c r="T15939"/>
      <c r="U15939"/>
      <c r="X15939" s="60"/>
    </row>
    <row r="15940" spans="7:24" ht="15" customHeight="1">
      <c r="G15940"/>
      <c r="I15940"/>
      <c r="N15940"/>
      <c r="O15940" s="24"/>
      <c r="P15940"/>
      <c r="Q15940" s="24"/>
      <c r="R15940"/>
      <c r="S15940"/>
      <c r="T15940"/>
      <c r="U15940"/>
      <c r="X15940" s="60"/>
    </row>
    <row r="15941" spans="7:24" ht="15" customHeight="1">
      <c r="G15941"/>
      <c r="I15941"/>
      <c r="N15941"/>
      <c r="O15941" s="24"/>
      <c r="P15941"/>
      <c r="Q15941" s="24"/>
      <c r="R15941"/>
      <c r="S15941"/>
      <c r="T15941"/>
      <c r="U15941"/>
      <c r="X15941" s="60"/>
    </row>
    <row r="15942" spans="7:24" ht="15" customHeight="1">
      <c r="G15942"/>
      <c r="I15942"/>
      <c r="N15942"/>
      <c r="O15942" s="24"/>
      <c r="P15942"/>
      <c r="Q15942" s="24"/>
      <c r="R15942"/>
      <c r="S15942"/>
      <c r="T15942"/>
      <c r="U15942"/>
      <c r="X15942" s="60"/>
    </row>
    <row r="15943" spans="7:24" ht="15" customHeight="1">
      <c r="G15943"/>
      <c r="I15943"/>
      <c r="N15943"/>
      <c r="O15943" s="24"/>
      <c r="P15943"/>
      <c r="Q15943" s="24"/>
      <c r="R15943"/>
      <c r="S15943"/>
      <c r="T15943"/>
      <c r="U15943"/>
      <c r="X15943" s="60"/>
    </row>
    <row r="15944" spans="7:24" ht="15" customHeight="1">
      <c r="G15944"/>
      <c r="I15944"/>
      <c r="N15944"/>
      <c r="O15944" s="24"/>
      <c r="P15944"/>
      <c r="Q15944" s="24"/>
      <c r="R15944"/>
      <c r="S15944"/>
      <c r="T15944"/>
      <c r="U15944"/>
      <c r="X15944" s="60"/>
    </row>
    <row r="15945" spans="7:24" ht="15" customHeight="1">
      <c r="G15945"/>
      <c r="I15945"/>
      <c r="N15945"/>
      <c r="O15945" s="24"/>
      <c r="P15945"/>
      <c r="Q15945" s="24"/>
      <c r="R15945"/>
      <c r="S15945"/>
      <c r="T15945"/>
      <c r="U15945"/>
      <c r="X15945" s="60"/>
    </row>
    <row r="15946" spans="7:24" ht="15" customHeight="1">
      <c r="G15946"/>
      <c r="I15946"/>
      <c r="N15946"/>
      <c r="O15946" s="24"/>
      <c r="P15946"/>
      <c r="Q15946" s="24"/>
      <c r="R15946"/>
      <c r="S15946"/>
      <c r="T15946"/>
      <c r="U15946"/>
      <c r="X15946" s="60"/>
    </row>
    <row r="15947" spans="7:24" ht="15" customHeight="1">
      <c r="G15947"/>
      <c r="I15947"/>
      <c r="N15947"/>
      <c r="O15947" s="24"/>
      <c r="P15947"/>
      <c r="Q15947" s="24"/>
      <c r="R15947"/>
      <c r="S15947"/>
      <c r="T15947"/>
      <c r="U15947"/>
      <c r="X15947" s="60"/>
    </row>
    <row r="15948" spans="7:24" ht="15" customHeight="1">
      <c r="G15948"/>
      <c r="I15948"/>
      <c r="N15948"/>
      <c r="O15948" s="24"/>
      <c r="P15948"/>
      <c r="Q15948" s="24"/>
      <c r="R15948"/>
      <c r="S15948"/>
      <c r="T15948"/>
      <c r="U15948"/>
      <c r="X15948" s="60"/>
    </row>
    <row r="15949" spans="7:24" ht="15" customHeight="1">
      <c r="G15949"/>
      <c r="I15949"/>
      <c r="N15949"/>
      <c r="O15949" s="24"/>
      <c r="P15949"/>
      <c r="Q15949" s="24"/>
      <c r="R15949"/>
      <c r="S15949"/>
      <c r="T15949"/>
      <c r="U15949"/>
      <c r="X15949" s="60"/>
    </row>
    <row r="15950" spans="7:24" ht="15" customHeight="1">
      <c r="G15950"/>
      <c r="I15950"/>
      <c r="N15950"/>
      <c r="O15950" s="24"/>
      <c r="P15950"/>
      <c r="Q15950" s="24"/>
      <c r="R15950"/>
      <c r="S15950"/>
      <c r="T15950"/>
      <c r="U15950"/>
      <c r="X15950" s="60"/>
    </row>
    <row r="15951" spans="7:24" ht="15" customHeight="1">
      <c r="G15951"/>
      <c r="I15951"/>
      <c r="N15951"/>
      <c r="O15951" s="24"/>
      <c r="P15951"/>
      <c r="Q15951" s="24"/>
      <c r="R15951"/>
      <c r="S15951"/>
      <c r="T15951"/>
      <c r="U15951"/>
      <c r="X15951" s="60"/>
    </row>
    <row r="15952" spans="7:24" ht="15" customHeight="1">
      <c r="G15952"/>
      <c r="I15952"/>
      <c r="N15952"/>
      <c r="O15952" s="24"/>
      <c r="P15952"/>
      <c r="Q15952" s="24"/>
      <c r="R15952"/>
      <c r="S15952"/>
      <c r="T15952"/>
      <c r="U15952"/>
      <c r="X15952" s="60"/>
    </row>
    <row r="15953" spans="7:24" ht="15" customHeight="1">
      <c r="G15953"/>
      <c r="I15953"/>
      <c r="N15953"/>
      <c r="O15953" s="24"/>
      <c r="P15953"/>
      <c r="Q15953" s="24"/>
      <c r="R15953"/>
      <c r="S15953"/>
      <c r="T15953"/>
      <c r="U15953"/>
      <c r="X15953" s="60"/>
    </row>
    <row r="15954" spans="7:24" ht="15" customHeight="1">
      <c r="G15954"/>
      <c r="I15954"/>
      <c r="N15954"/>
      <c r="O15954" s="24"/>
      <c r="P15954"/>
      <c r="Q15954" s="24"/>
      <c r="R15954"/>
      <c r="S15954"/>
      <c r="T15954"/>
      <c r="U15954"/>
      <c r="X15954" s="60"/>
    </row>
    <row r="15955" spans="7:24" ht="15" customHeight="1">
      <c r="G15955"/>
      <c r="I15955"/>
      <c r="N15955"/>
      <c r="O15955" s="24"/>
      <c r="P15955"/>
      <c r="Q15955" s="24"/>
      <c r="R15955"/>
      <c r="S15955"/>
      <c r="T15955"/>
      <c r="U15955"/>
      <c r="X15955" s="60"/>
    </row>
    <row r="15956" spans="7:24" ht="15" customHeight="1">
      <c r="G15956"/>
      <c r="I15956"/>
      <c r="N15956"/>
      <c r="O15956" s="24"/>
      <c r="P15956"/>
      <c r="Q15956" s="24"/>
      <c r="R15956"/>
      <c r="S15956"/>
      <c r="T15956"/>
      <c r="U15956"/>
      <c r="X15956" s="60"/>
    </row>
    <row r="15957" spans="7:24" ht="15" customHeight="1">
      <c r="G15957"/>
      <c r="I15957"/>
      <c r="N15957"/>
      <c r="O15957" s="24"/>
      <c r="P15957"/>
      <c r="Q15957" s="24"/>
      <c r="R15957"/>
      <c r="S15957"/>
      <c r="T15957"/>
      <c r="U15957"/>
      <c r="X15957" s="60"/>
    </row>
    <row r="15958" spans="7:24" ht="15" customHeight="1">
      <c r="G15958"/>
      <c r="I15958"/>
      <c r="N15958"/>
      <c r="O15958" s="24"/>
      <c r="P15958"/>
      <c r="Q15958" s="24"/>
      <c r="R15958"/>
      <c r="S15958"/>
      <c r="T15958"/>
      <c r="U15958"/>
      <c r="X15958" s="60"/>
    </row>
    <row r="15959" spans="7:24" ht="15" customHeight="1">
      <c r="G15959"/>
      <c r="I15959"/>
      <c r="N15959"/>
      <c r="O15959" s="24"/>
      <c r="P15959"/>
      <c r="Q15959" s="24"/>
      <c r="R15959"/>
      <c r="S15959"/>
      <c r="T15959"/>
      <c r="U15959"/>
      <c r="X15959" s="60"/>
    </row>
    <row r="15960" spans="7:24" ht="15" customHeight="1">
      <c r="G15960"/>
      <c r="I15960"/>
      <c r="N15960"/>
      <c r="O15960" s="24"/>
      <c r="P15960"/>
      <c r="Q15960" s="24"/>
      <c r="R15960"/>
      <c r="S15960"/>
      <c r="T15960"/>
      <c r="U15960"/>
      <c r="X15960" s="60"/>
    </row>
    <row r="15961" spans="7:24" ht="15" customHeight="1">
      <c r="G15961"/>
      <c r="I15961"/>
      <c r="N15961"/>
      <c r="O15961" s="24"/>
      <c r="P15961"/>
      <c r="Q15961" s="24"/>
      <c r="R15961"/>
      <c r="S15961"/>
      <c r="T15961"/>
      <c r="U15961"/>
      <c r="X15961" s="60"/>
    </row>
    <row r="15962" spans="7:24" ht="15" customHeight="1">
      <c r="G15962"/>
      <c r="I15962"/>
      <c r="N15962"/>
      <c r="O15962" s="24"/>
      <c r="P15962"/>
      <c r="Q15962" s="24"/>
      <c r="R15962"/>
      <c r="S15962"/>
      <c r="T15962"/>
      <c r="U15962"/>
      <c r="X15962" s="60"/>
    </row>
    <row r="15963" spans="7:24" ht="15" customHeight="1">
      <c r="G15963"/>
      <c r="I15963"/>
      <c r="N15963"/>
      <c r="O15963" s="24"/>
      <c r="P15963"/>
      <c r="Q15963" s="24"/>
      <c r="R15963"/>
      <c r="S15963"/>
      <c r="T15963"/>
      <c r="U15963"/>
      <c r="X15963" s="60"/>
    </row>
    <row r="15964" spans="7:24" ht="15" customHeight="1">
      <c r="G15964"/>
      <c r="I15964"/>
      <c r="N15964"/>
      <c r="O15964" s="24"/>
      <c r="P15964"/>
      <c r="Q15964" s="24"/>
      <c r="R15964"/>
      <c r="S15964"/>
      <c r="T15964"/>
      <c r="U15964"/>
      <c r="X15964" s="60"/>
    </row>
    <row r="15965" spans="7:24" ht="15" customHeight="1">
      <c r="G15965"/>
      <c r="I15965"/>
      <c r="N15965"/>
      <c r="O15965" s="24"/>
      <c r="P15965"/>
      <c r="Q15965" s="24"/>
      <c r="R15965"/>
      <c r="S15965"/>
      <c r="T15965"/>
      <c r="U15965"/>
      <c r="X15965" s="60"/>
    </row>
    <row r="15966" spans="7:24" ht="15" customHeight="1">
      <c r="G15966"/>
      <c r="I15966"/>
      <c r="N15966"/>
      <c r="O15966" s="24"/>
      <c r="P15966"/>
      <c r="Q15966" s="24"/>
      <c r="R15966"/>
      <c r="S15966"/>
      <c r="T15966"/>
      <c r="U15966"/>
      <c r="X15966" s="60"/>
    </row>
    <row r="15967" spans="7:24" ht="15" customHeight="1">
      <c r="G15967"/>
      <c r="I15967"/>
      <c r="N15967"/>
      <c r="O15967" s="24"/>
      <c r="P15967"/>
      <c r="Q15967" s="24"/>
      <c r="R15967"/>
      <c r="S15967"/>
      <c r="T15967"/>
      <c r="U15967"/>
      <c r="X15967" s="60"/>
    </row>
    <row r="15968" spans="7:24" ht="15" customHeight="1">
      <c r="G15968"/>
      <c r="I15968"/>
      <c r="N15968"/>
      <c r="O15968" s="24"/>
      <c r="P15968"/>
      <c r="Q15968" s="24"/>
      <c r="R15968"/>
      <c r="S15968"/>
      <c r="T15968"/>
      <c r="U15968"/>
      <c r="X15968" s="60"/>
    </row>
    <row r="15969" spans="7:24" ht="15" customHeight="1">
      <c r="G15969"/>
      <c r="I15969"/>
      <c r="N15969"/>
      <c r="O15969" s="24"/>
      <c r="P15969"/>
      <c r="Q15969" s="24"/>
      <c r="R15969"/>
      <c r="S15969"/>
      <c r="T15969"/>
      <c r="U15969"/>
      <c r="X15969" s="60"/>
    </row>
    <row r="15970" spans="7:24" ht="15" customHeight="1">
      <c r="G15970"/>
      <c r="I15970"/>
      <c r="N15970"/>
      <c r="O15970" s="24"/>
      <c r="P15970"/>
      <c r="Q15970" s="24"/>
      <c r="R15970"/>
      <c r="S15970"/>
      <c r="T15970"/>
      <c r="U15970"/>
      <c r="X15970" s="60"/>
    </row>
    <row r="15971" spans="7:24" ht="15" customHeight="1">
      <c r="G15971"/>
      <c r="I15971"/>
      <c r="N15971"/>
      <c r="O15971" s="24"/>
      <c r="P15971"/>
      <c r="Q15971" s="24"/>
      <c r="R15971"/>
      <c r="S15971"/>
      <c r="T15971"/>
      <c r="U15971"/>
      <c r="X15971" s="60"/>
    </row>
    <row r="15972" spans="7:24" ht="15" customHeight="1">
      <c r="G15972"/>
      <c r="I15972"/>
      <c r="N15972"/>
      <c r="O15972" s="24"/>
      <c r="P15972"/>
      <c r="Q15972" s="24"/>
      <c r="R15972"/>
      <c r="S15972"/>
      <c r="T15972"/>
      <c r="U15972"/>
      <c r="X15972" s="60"/>
    </row>
    <row r="15973" spans="7:24" ht="15" customHeight="1">
      <c r="G15973"/>
      <c r="I15973"/>
      <c r="N15973"/>
      <c r="O15973" s="24"/>
      <c r="P15973"/>
      <c r="Q15973" s="24"/>
      <c r="R15973"/>
      <c r="S15973"/>
      <c r="T15973"/>
      <c r="U15973"/>
      <c r="X15973" s="60"/>
    </row>
    <row r="15974" spans="7:24" ht="15" customHeight="1">
      <c r="G15974"/>
      <c r="I15974"/>
      <c r="N15974"/>
      <c r="O15974" s="24"/>
      <c r="P15974"/>
      <c r="Q15974" s="24"/>
      <c r="R15974"/>
      <c r="S15974"/>
      <c r="T15974"/>
      <c r="U15974"/>
      <c r="X15974" s="60"/>
    </row>
    <row r="15975" spans="7:24" ht="15" customHeight="1">
      <c r="G15975"/>
      <c r="I15975"/>
      <c r="N15975"/>
      <c r="O15975" s="24"/>
      <c r="P15975"/>
      <c r="Q15975" s="24"/>
      <c r="R15975"/>
      <c r="S15975"/>
      <c r="T15975"/>
      <c r="U15975"/>
      <c r="X15975" s="60"/>
    </row>
    <row r="15976" spans="7:24" ht="15" customHeight="1">
      <c r="G15976"/>
      <c r="I15976"/>
      <c r="N15976"/>
      <c r="O15976" s="24"/>
      <c r="P15976"/>
      <c r="Q15976" s="24"/>
      <c r="R15976"/>
      <c r="S15976"/>
      <c r="T15976"/>
      <c r="U15976"/>
      <c r="X15976" s="60"/>
    </row>
    <row r="15977" spans="7:24" ht="15" customHeight="1">
      <c r="G15977"/>
      <c r="I15977"/>
      <c r="N15977"/>
      <c r="O15977" s="24"/>
      <c r="P15977"/>
      <c r="Q15977" s="24"/>
      <c r="R15977"/>
      <c r="S15977"/>
      <c r="T15977"/>
      <c r="U15977"/>
      <c r="X15977" s="60"/>
    </row>
    <row r="15978" spans="7:24" ht="15" customHeight="1">
      <c r="G15978"/>
      <c r="I15978"/>
      <c r="N15978"/>
      <c r="O15978" s="24"/>
      <c r="P15978"/>
      <c r="Q15978" s="24"/>
      <c r="R15978"/>
      <c r="S15978"/>
      <c r="T15978"/>
      <c r="U15978"/>
      <c r="X15978" s="60"/>
    </row>
    <row r="15979" spans="7:24" ht="15" customHeight="1">
      <c r="G15979"/>
      <c r="I15979"/>
      <c r="N15979"/>
      <c r="O15979" s="24"/>
      <c r="P15979"/>
      <c r="Q15979" s="24"/>
      <c r="R15979"/>
      <c r="S15979"/>
      <c r="T15979"/>
      <c r="U15979"/>
      <c r="X15979" s="60"/>
    </row>
    <row r="15980" spans="7:24" ht="15" customHeight="1">
      <c r="G15980"/>
      <c r="I15980"/>
      <c r="N15980"/>
      <c r="O15980" s="24"/>
      <c r="P15980"/>
      <c r="Q15980" s="24"/>
      <c r="R15980"/>
      <c r="S15980"/>
      <c r="T15980"/>
      <c r="U15980"/>
      <c r="X15980" s="60"/>
    </row>
    <row r="15981" spans="7:24" ht="15" customHeight="1">
      <c r="G15981"/>
      <c r="I15981"/>
      <c r="N15981"/>
      <c r="O15981" s="24"/>
      <c r="P15981"/>
      <c r="Q15981" s="24"/>
      <c r="R15981"/>
      <c r="S15981"/>
      <c r="T15981"/>
      <c r="U15981"/>
      <c r="X15981" s="60"/>
    </row>
    <row r="15982" spans="7:24" ht="15" customHeight="1">
      <c r="G15982"/>
      <c r="I15982"/>
      <c r="N15982"/>
      <c r="O15982" s="24"/>
      <c r="P15982"/>
      <c r="Q15982" s="24"/>
      <c r="R15982"/>
      <c r="S15982"/>
      <c r="T15982"/>
      <c r="U15982"/>
      <c r="X15982" s="60"/>
    </row>
    <row r="15983" spans="7:24" ht="15" customHeight="1">
      <c r="G15983"/>
      <c r="I15983"/>
      <c r="N15983"/>
      <c r="O15983" s="24"/>
      <c r="P15983"/>
      <c r="Q15983" s="24"/>
      <c r="R15983"/>
      <c r="S15983"/>
      <c r="T15983"/>
      <c r="U15983"/>
      <c r="X15983" s="60"/>
    </row>
    <row r="15984" spans="7:24" ht="15" customHeight="1">
      <c r="G15984"/>
      <c r="I15984"/>
      <c r="N15984"/>
      <c r="O15984" s="24"/>
      <c r="P15984"/>
      <c r="Q15984" s="24"/>
      <c r="R15984"/>
      <c r="S15984"/>
      <c r="T15984"/>
      <c r="U15984"/>
      <c r="X15984" s="60"/>
    </row>
    <row r="15985" spans="7:24" ht="15" customHeight="1">
      <c r="G15985"/>
      <c r="I15985"/>
      <c r="N15985"/>
      <c r="O15985" s="24"/>
      <c r="P15985"/>
      <c r="Q15985" s="24"/>
      <c r="R15985"/>
      <c r="S15985"/>
      <c r="T15985"/>
      <c r="U15985"/>
      <c r="X15985" s="60"/>
    </row>
    <row r="15986" spans="7:24" ht="15" customHeight="1">
      <c r="G15986"/>
      <c r="I15986"/>
      <c r="N15986"/>
      <c r="O15986" s="24"/>
      <c r="P15986"/>
      <c r="Q15986" s="24"/>
      <c r="R15986"/>
      <c r="S15986"/>
      <c r="T15986"/>
      <c r="U15986"/>
      <c r="X15986" s="60"/>
    </row>
    <row r="15987" spans="7:24" ht="15" customHeight="1">
      <c r="G15987"/>
      <c r="I15987"/>
      <c r="N15987"/>
      <c r="O15987" s="24"/>
      <c r="P15987"/>
      <c r="Q15987" s="24"/>
      <c r="R15987"/>
      <c r="S15987"/>
      <c r="T15987"/>
      <c r="U15987"/>
      <c r="X15987" s="60"/>
    </row>
    <row r="15988" spans="7:24" ht="15" customHeight="1">
      <c r="G15988"/>
      <c r="I15988"/>
      <c r="N15988"/>
      <c r="O15988" s="24"/>
      <c r="P15988"/>
      <c r="Q15988" s="24"/>
      <c r="R15988"/>
      <c r="S15988"/>
      <c r="T15988"/>
      <c r="U15988"/>
      <c r="X15988" s="60"/>
    </row>
    <row r="15989" spans="7:24" ht="15" customHeight="1">
      <c r="G15989"/>
      <c r="I15989"/>
      <c r="N15989"/>
      <c r="O15989" s="24"/>
      <c r="P15989"/>
      <c r="Q15989" s="24"/>
      <c r="R15989"/>
      <c r="S15989"/>
      <c r="T15989"/>
      <c r="U15989"/>
      <c r="X15989" s="60"/>
    </row>
    <row r="15990" spans="7:24" ht="15" customHeight="1">
      <c r="G15990"/>
      <c r="I15990"/>
      <c r="N15990"/>
      <c r="O15990" s="24"/>
      <c r="P15990"/>
      <c r="Q15990" s="24"/>
      <c r="R15990"/>
      <c r="S15990"/>
      <c r="T15990"/>
      <c r="U15990"/>
      <c r="X15990" s="60"/>
    </row>
    <row r="15991" spans="7:24" ht="15" customHeight="1">
      <c r="G15991"/>
      <c r="I15991"/>
      <c r="N15991"/>
      <c r="O15991" s="24"/>
      <c r="P15991"/>
      <c r="Q15991" s="24"/>
      <c r="R15991"/>
      <c r="S15991"/>
      <c r="T15991"/>
      <c r="U15991"/>
      <c r="X15991" s="60"/>
    </row>
    <row r="15992" spans="7:24" ht="15" customHeight="1">
      <c r="G15992"/>
      <c r="I15992"/>
      <c r="N15992"/>
      <c r="O15992" s="24"/>
      <c r="P15992"/>
      <c r="Q15992" s="24"/>
      <c r="R15992"/>
      <c r="S15992"/>
      <c r="T15992"/>
      <c r="U15992"/>
      <c r="X15992" s="60"/>
    </row>
    <row r="15993" spans="7:24" ht="15" customHeight="1">
      <c r="G15993"/>
      <c r="I15993"/>
      <c r="N15993"/>
      <c r="O15993" s="24"/>
      <c r="P15993"/>
      <c r="Q15993" s="24"/>
      <c r="R15993"/>
      <c r="S15993"/>
      <c r="T15993"/>
      <c r="U15993"/>
      <c r="X15993" s="60"/>
    </row>
    <row r="15994" spans="7:24" ht="15" customHeight="1">
      <c r="G15994"/>
      <c r="I15994"/>
      <c r="N15994"/>
      <c r="O15994" s="24"/>
      <c r="P15994"/>
      <c r="Q15994" s="24"/>
      <c r="R15994"/>
      <c r="S15994"/>
      <c r="T15994"/>
      <c r="U15994"/>
      <c r="X15994" s="60"/>
    </row>
    <row r="15995" spans="7:24" ht="15" customHeight="1">
      <c r="G15995"/>
      <c r="I15995"/>
      <c r="N15995"/>
      <c r="O15995" s="24"/>
      <c r="P15995"/>
      <c r="Q15995" s="24"/>
      <c r="R15995"/>
      <c r="S15995"/>
      <c r="T15995"/>
      <c r="U15995"/>
      <c r="X15995" s="60"/>
    </row>
    <row r="15996" spans="7:24" ht="15" customHeight="1">
      <c r="G15996"/>
      <c r="I15996"/>
      <c r="N15996"/>
      <c r="O15996" s="24"/>
      <c r="P15996"/>
      <c r="Q15996" s="24"/>
      <c r="R15996"/>
      <c r="S15996"/>
      <c r="T15996"/>
      <c r="U15996"/>
      <c r="X15996" s="60"/>
    </row>
    <row r="15997" spans="7:24" ht="15" customHeight="1">
      <c r="G15997"/>
      <c r="I15997"/>
      <c r="N15997"/>
      <c r="O15997" s="24"/>
      <c r="P15997"/>
      <c r="Q15997" s="24"/>
      <c r="R15997"/>
      <c r="S15997"/>
      <c r="T15997"/>
      <c r="U15997"/>
      <c r="X15997" s="60"/>
    </row>
    <row r="15998" spans="7:24" ht="15" customHeight="1">
      <c r="G15998"/>
      <c r="I15998"/>
      <c r="N15998"/>
      <c r="O15998" s="24"/>
      <c r="P15998"/>
      <c r="Q15998" s="24"/>
      <c r="R15998"/>
      <c r="S15998"/>
      <c r="T15998"/>
      <c r="U15998"/>
      <c r="X15998" s="60"/>
    </row>
    <row r="15999" spans="7:24" ht="15" customHeight="1">
      <c r="G15999"/>
      <c r="I15999"/>
      <c r="N15999"/>
      <c r="O15999" s="24"/>
      <c r="P15999"/>
      <c r="Q15999" s="24"/>
      <c r="R15999"/>
      <c r="S15999"/>
      <c r="T15999"/>
      <c r="U15999"/>
      <c r="X15999" s="60"/>
    </row>
    <row r="16000" spans="7:24" ht="15" customHeight="1">
      <c r="G16000"/>
      <c r="I16000"/>
      <c r="N16000"/>
      <c r="O16000" s="24"/>
      <c r="P16000"/>
      <c r="Q16000" s="24"/>
      <c r="R16000"/>
      <c r="S16000"/>
      <c r="T16000"/>
      <c r="U16000"/>
      <c r="X16000" s="60"/>
    </row>
    <row r="16001" spans="7:24" ht="15" customHeight="1">
      <c r="G16001"/>
      <c r="I16001"/>
      <c r="N16001"/>
      <c r="O16001" s="24"/>
      <c r="P16001"/>
      <c r="Q16001" s="24"/>
      <c r="R16001"/>
      <c r="S16001"/>
      <c r="T16001"/>
      <c r="U16001"/>
      <c r="X16001" s="60"/>
    </row>
    <row r="16002" spans="7:24" ht="15" customHeight="1">
      <c r="G16002"/>
      <c r="I16002"/>
      <c r="N16002"/>
      <c r="O16002" s="24"/>
      <c r="P16002"/>
      <c r="Q16002" s="24"/>
      <c r="R16002"/>
      <c r="S16002"/>
      <c r="T16002"/>
      <c r="U16002"/>
      <c r="X16002" s="60"/>
    </row>
    <row r="16003" spans="7:24" ht="15" customHeight="1">
      <c r="G16003"/>
      <c r="I16003"/>
      <c r="N16003"/>
      <c r="O16003" s="24"/>
      <c r="P16003"/>
      <c r="Q16003" s="24"/>
      <c r="R16003"/>
      <c r="S16003"/>
      <c r="T16003"/>
      <c r="U16003"/>
      <c r="X16003" s="60"/>
    </row>
    <row r="16004" spans="7:24" ht="15" customHeight="1">
      <c r="G16004"/>
      <c r="I16004"/>
      <c r="N16004"/>
      <c r="O16004" s="24"/>
      <c r="P16004"/>
      <c r="Q16004" s="24"/>
      <c r="R16004"/>
      <c r="S16004"/>
      <c r="T16004"/>
      <c r="U16004"/>
      <c r="X16004" s="60"/>
    </row>
    <row r="16005" spans="7:24" ht="15" customHeight="1">
      <c r="G16005"/>
      <c r="I16005"/>
      <c r="N16005"/>
      <c r="O16005" s="24"/>
      <c r="P16005"/>
      <c r="Q16005" s="24"/>
      <c r="R16005"/>
      <c r="S16005"/>
      <c r="T16005"/>
      <c r="U16005"/>
      <c r="X16005" s="60"/>
    </row>
    <row r="16006" spans="7:24" ht="15" customHeight="1">
      <c r="G16006"/>
      <c r="I16006"/>
      <c r="N16006"/>
      <c r="O16006" s="24"/>
      <c r="P16006"/>
      <c r="Q16006" s="24"/>
      <c r="R16006"/>
      <c r="S16006"/>
      <c r="T16006"/>
      <c r="U16006"/>
      <c r="X16006" s="60"/>
    </row>
    <row r="16007" spans="7:24" ht="15" customHeight="1">
      <c r="G16007"/>
      <c r="I16007"/>
      <c r="N16007"/>
      <c r="O16007" s="24"/>
      <c r="P16007"/>
      <c r="Q16007" s="24"/>
      <c r="R16007"/>
      <c r="S16007"/>
      <c r="T16007"/>
      <c r="U16007"/>
      <c r="X16007" s="60"/>
    </row>
    <row r="16008" spans="7:24" ht="15" customHeight="1">
      <c r="G16008"/>
      <c r="I16008"/>
      <c r="N16008"/>
      <c r="O16008" s="24"/>
      <c r="P16008"/>
      <c r="Q16008" s="24"/>
      <c r="R16008"/>
      <c r="S16008"/>
      <c r="T16008"/>
      <c r="U16008"/>
      <c r="X16008" s="60"/>
    </row>
    <row r="16009" spans="7:24" ht="15" customHeight="1">
      <c r="G16009"/>
      <c r="I16009"/>
      <c r="N16009"/>
      <c r="O16009" s="24"/>
      <c r="P16009"/>
      <c r="Q16009" s="24"/>
      <c r="R16009"/>
      <c r="S16009"/>
      <c r="T16009"/>
      <c r="U16009"/>
      <c r="X16009" s="60"/>
    </row>
    <row r="16010" spans="7:24" ht="15" customHeight="1">
      <c r="G16010"/>
      <c r="I16010"/>
      <c r="N16010"/>
      <c r="O16010" s="24"/>
      <c r="P16010"/>
      <c r="Q16010" s="24"/>
      <c r="R16010"/>
      <c r="S16010"/>
      <c r="T16010"/>
      <c r="U16010"/>
      <c r="X16010" s="60"/>
    </row>
    <row r="16011" spans="7:24" ht="15" customHeight="1">
      <c r="G16011"/>
      <c r="I16011"/>
      <c r="N16011"/>
      <c r="O16011" s="24"/>
      <c r="P16011"/>
      <c r="Q16011" s="24"/>
      <c r="R16011"/>
      <c r="S16011"/>
      <c r="T16011"/>
      <c r="U16011"/>
      <c r="X16011" s="60"/>
    </row>
    <row r="16012" spans="7:24" ht="15" customHeight="1">
      <c r="G16012"/>
      <c r="I16012"/>
      <c r="N16012"/>
      <c r="O16012" s="24"/>
      <c r="P16012"/>
      <c r="Q16012" s="24"/>
      <c r="R16012"/>
      <c r="S16012"/>
      <c r="T16012"/>
      <c r="U16012"/>
      <c r="X16012" s="60"/>
    </row>
    <row r="16013" spans="7:24" ht="15" customHeight="1">
      <c r="G16013"/>
      <c r="I16013"/>
      <c r="N16013"/>
      <c r="O16013" s="24"/>
      <c r="P16013"/>
      <c r="Q16013" s="24"/>
      <c r="R16013"/>
      <c r="S16013"/>
      <c r="T16013"/>
      <c r="U16013"/>
      <c r="X16013" s="60"/>
    </row>
    <row r="16014" spans="7:24" ht="15" customHeight="1">
      <c r="G16014"/>
      <c r="I16014"/>
      <c r="N16014"/>
      <c r="O16014" s="24"/>
      <c r="P16014"/>
      <c r="Q16014" s="24"/>
      <c r="R16014"/>
      <c r="S16014"/>
      <c r="T16014"/>
      <c r="U16014"/>
      <c r="X16014" s="60"/>
    </row>
    <row r="16015" spans="7:24" ht="15" customHeight="1">
      <c r="G16015"/>
      <c r="I16015"/>
      <c r="N16015"/>
      <c r="O16015" s="24"/>
      <c r="P16015"/>
      <c r="Q16015" s="24"/>
      <c r="R16015"/>
      <c r="S16015"/>
      <c r="T16015"/>
      <c r="U16015"/>
      <c r="X16015" s="60"/>
    </row>
    <row r="16016" spans="7:24" ht="15" customHeight="1">
      <c r="G16016"/>
      <c r="I16016"/>
      <c r="N16016"/>
      <c r="O16016" s="24"/>
      <c r="P16016"/>
      <c r="Q16016" s="24"/>
      <c r="R16016"/>
      <c r="S16016"/>
      <c r="T16016"/>
      <c r="U16016"/>
      <c r="X16016" s="60"/>
    </row>
    <row r="16017" spans="7:24" ht="15" customHeight="1">
      <c r="G16017"/>
      <c r="I16017"/>
      <c r="N16017"/>
      <c r="O16017" s="24"/>
      <c r="P16017"/>
      <c r="Q16017" s="24"/>
      <c r="R16017"/>
      <c r="S16017"/>
      <c r="T16017"/>
      <c r="U16017"/>
      <c r="X16017" s="60"/>
    </row>
    <row r="16018" spans="7:24" ht="15" customHeight="1">
      <c r="G16018"/>
      <c r="I16018"/>
      <c r="N16018"/>
      <c r="O16018" s="24"/>
      <c r="P16018"/>
      <c r="Q16018" s="24"/>
      <c r="R16018"/>
      <c r="S16018"/>
      <c r="T16018"/>
      <c r="U16018"/>
      <c r="X16018" s="60"/>
    </row>
    <row r="16019" spans="7:24" ht="15" customHeight="1">
      <c r="G16019"/>
      <c r="I16019"/>
      <c r="N16019"/>
      <c r="O16019" s="24"/>
      <c r="P16019"/>
      <c r="Q16019" s="24"/>
      <c r="R16019"/>
      <c r="S16019"/>
      <c r="T16019"/>
      <c r="U16019"/>
      <c r="X16019" s="60"/>
    </row>
    <row r="16020" spans="7:24" ht="15" customHeight="1">
      <c r="G16020"/>
      <c r="I16020"/>
      <c r="N16020"/>
      <c r="O16020" s="24"/>
      <c r="P16020"/>
      <c r="Q16020" s="24"/>
      <c r="R16020"/>
      <c r="S16020"/>
      <c r="T16020"/>
      <c r="U16020"/>
      <c r="X16020" s="60"/>
    </row>
    <row r="16021" spans="7:24" ht="15" customHeight="1">
      <c r="G16021"/>
      <c r="I16021"/>
      <c r="N16021"/>
      <c r="O16021" s="24"/>
      <c r="P16021"/>
      <c r="Q16021" s="24"/>
      <c r="R16021"/>
      <c r="S16021"/>
      <c r="T16021"/>
      <c r="U16021"/>
      <c r="X16021" s="60"/>
    </row>
    <row r="16022" spans="7:24" ht="15" customHeight="1">
      <c r="G16022"/>
      <c r="I16022"/>
      <c r="N16022"/>
      <c r="O16022" s="24"/>
      <c r="P16022"/>
      <c r="Q16022" s="24"/>
      <c r="R16022"/>
      <c r="S16022"/>
      <c r="T16022"/>
      <c r="U16022"/>
      <c r="X16022" s="60"/>
    </row>
    <row r="16023" spans="7:24" ht="15" customHeight="1">
      <c r="G16023"/>
      <c r="I16023"/>
      <c r="N16023"/>
      <c r="O16023" s="24"/>
      <c r="P16023"/>
      <c r="Q16023" s="24"/>
      <c r="R16023"/>
      <c r="S16023"/>
      <c r="T16023"/>
      <c r="U16023"/>
      <c r="X16023" s="60"/>
    </row>
    <row r="16024" spans="7:24" ht="15" customHeight="1">
      <c r="G16024"/>
      <c r="I16024"/>
      <c r="N16024"/>
      <c r="O16024" s="24"/>
      <c r="P16024"/>
      <c r="Q16024" s="24"/>
      <c r="R16024"/>
      <c r="S16024"/>
      <c r="T16024"/>
      <c r="U16024"/>
      <c r="X16024" s="60"/>
    </row>
    <row r="16025" spans="7:24" ht="15" customHeight="1">
      <c r="G16025"/>
      <c r="I16025"/>
      <c r="N16025"/>
      <c r="O16025" s="24"/>
      <c r="P16025"/>
      <c r="Q16025" s="24"/>
      <c r="R16025"/>
      <c r="S16025"/>
      <c r="T16025"/>
      <c r="U16025"/>
      <c r="X16025" s="60"/>
    </row>
    <row r="16026" spans="7:24" ht="15" customHeight="1">
      <c r="G16026"/>
      <c r="I16026"/>
      <c r="N16026"/>
      <c r="O16026" s="24"/>
      <c r="P16026"/>
      <c r="Q16026" s="24"/>
      <c r="R16026"/>
      <c r="S16026"/>
      <c r="T16026"/>
      <c r="U16026"/>
      <c r="X16026" s="60"/>
    </row>
    <row r="16027" spans="7:24" ht="15" customHeight="1">
      <c r="G16027"/>
      <c r="I16027"/>
      <c r="N16027"/>
      <c r="O16027" s="24"/>
      <c r="P16027"/>
      <c r="Q16027" s="24"/>
      <c r="R16027"/>
      <c r="S16027"/>
      <c r="T16027"/>
      <c r="U16027"/>
      <c r="X16027" s="60"/>
    </row>
    <row r="16028" spans="7:24" ht="15" customHeight="1">
      <c r="G16028"/>
      <c r="I16028"/>
      <c r="N16028"/>
      <c r="O16028" s="24"/>
      <c r="P16028"/>
      <c r="Q16028" s="24"/>
      <c r="R16028"/>
      <c r="S16028"/>
      <c r="T16028"/>
      <c r="U16028"/>
      <c r="X16028" s="60"/>
    </row>
    <row r="16029" spans="7:24" ht="15" customHeight="1">
      <c r="G16029"/>
      <c r="I16029"/>
      <c r="N16029"/>
      <c r="O16029" s="24"/>
      <c r="P16029"/>
      <c r="Q16029" s="24"/>
      <c r="R16029"/>
      <c r="S16029"/>
      <c r="T16029"/>
      <c r="U16029"/>
      <c r="X16029" s="60"/>
    </row>
    <row r="16030" spans="7:24" ht="15" customHeight="1">
      <c r="G16030"/>
      <c r="I16030"/>
      <c r="N16030"/>
      <c r="O16030" s="24"/>
      <c r="P16030"/>
      <c r="Q16030" s="24"/>
      <c r="R16030"/>
      <c r="S16030"/>
      <c r="T16030"/>
      <c r="U16030"/>
      <c r="X16030" s="60"/>
    </row>
    <row r="16031" spans="7:24" ht="15" customHeight="1">
      <c r="G16031"/>
      <c r="I16031"/>
      <c r="N16031"/>
      <c r="O16031" s="24"/>
      <c r="P16031"/>
      <c r="Q16031" s="24"/>
      <c r="R16031"/>
      <c r="S16031"/>
      <c r="T16031"/>
      <c r="U16031"/>
      <c r="X16031" s="60"/>
    </row>
    <row r="16032" spans="7:24" ht="15" customHeight="1">
      <c r="G16032"/>
      <c r="I16032"/>
      <c r="N16032"/>
      <c r="O16032" s="24"/>
      <c r="P16032"/>
      <c r="Q16032" s="24"/>
      <c r="R16032"/>
      <c r="S16032"/>
      <c r="T16032"/>
      <c r="U16032"/>
      <c r="X16032" s="60"/>
    </row>
    <row r="16033" spans="7:24" ht="15" customHeight="1">
      <c r="G16033"/>
      <c r="I16033"/>
      <c r="N16033"/>
      <c r="O16033" s="24"/>
      <c r="P16033"/>
      <c r="Q16033" s="24"/>
      <c r="R16033"/>
      <c r="S16033"/>
      <c r="T16033"/>
      <c r="U16033"/>
      <c r="X16033" s="60"/>
    </row>
    <row r="16034" spans="7:24" ht="15" customHeight="1">
      <c r="G16034"/>
      <c r="I16034"/>
      <c r="N16034"/>
      <c r="O16034" s="24"/>
      <c r="P16034"/>
      <c r="Q16034" s="24"/>
      <c r="R16034"/>
      <c r="S16034"/>
      <c r="T16034"/>
      <c r="U16034"/>
      <c r="X16034" s="60"/>
    </row>
    <row r="16035" spans="7:24" ht="15" customHeight="1">
      <c r="G16035"/>
      <c r="I16035"/>
      <c r="N16035"/>
      <c r="O16035" s="24"/>
      <c r="P16035"/>
      <c r="Q16035" s="24"/>
      <c r="R16035"/>
      <c r="S16035"/>
      <c r="T16035"/>
      <c r="U16035"/>
      <c r="X16035" s="60"/>
    </row>
    <row r="16036" spans="7:24" ht="15" customHeight="1">
      <c r="G16036"/>
      <c r="I16036"/>
      <c r="N16036"/>
      <c r="O16036" s="24"/>
      <c r="P16036"/>
      <c r="Q16036" s="24"/>
      <c r="R16036"/>
      <c r="S16036"/>
      <c r="T16036"/>
      <c r="U16036"/>
      <c r="X16036" s="60"/>
    </row>
    <row r="16037" spans="7:24" ht="15" customHeight="1">
      <c r="G16037"/>
      <c r="I16037"/>
      <c r="N16037"/>
      <c r="O16037" s="24"/>
      <c r="P16037"/>
      <c r="Q16037" s="24"/>
      <c r="R16037"/>
      <c r="S16037"/>
      <c r="T16037"/>
      <c r="U16037"/>
      <c r="X16037" s="60"/>
    </row>
    <row r="16038" spans="7:24" ht="15" customHeight="1">
      <c r="G16038"/>
      <c r="I16038"/>
      <c r="N16038"/>
      <c r="O16038" s="24"/>
      <c r="P16038"/>
      <c r="Q16038" s="24"/>
      <c r="R16038"/>
      <c r="S16038"/>
      <c r="T16038"/>
      <c r="U16038"/>
      <c r="X16038" s="60"/>
    </row>
    <row r="16039" spans="7:24" ht="15" customHeight="1">
      <c r="G16039"/>
      <c r="I16039"/>
      <c r="N16039"/>
      <c r="O16039" s="24"/>
      <c r="P16039"/>
      <c r="Q16039" s="24"/>
      <c r="R16039"/>
      <c r="S16039"/>
      <c r="T16039"/>
      <c r="U16039"/>
      <c r="X16039" s="60"/>
    </row>
    <row r="16040" spans="7:24" ht="15" customHeight="1">
      <c r="G16040"/>
      <c r="I16040"/>
      <c r="N16040"/>
      <c r="O16040" s="24"/>
      <c r="P16040"/>
      <c r="Q16040" s="24"/>
      <c r="R16040"/>
      <c r="S16040"/>
      <c r="T16040"/>
      <c r="U16040"/>
      <c r="X16040" s="60"/>
    </row>
    <row r="16041" spans="7:24" ht="15" customHeight="1">
      <c r="G16041"/>
      <c r="I16041"/>
      <c r="N16041"/>
      <c r="O16041" s="24"/>
      <c r="P16041"/>
      <c r="Q16041" s="24"/>
      <c r="R16041"/>
      <c r="S16041"/>
      <c r="T16041"/>
      <c r="U16041"/>
      <c r="X16041" s="60"/>
    </row>
    <row r="16042" spans="7:24" ht="15" customHeight="1">
      <c r="G16042"/>
      <c r="I16042"/>
      <c r="N16042"/>
      <c r="O16042" s="24"/>
      <c r="P16042"/>
      <c r="Q16042" s="24"/>
      <c r="R16042"/>
      <c r="S16042"/>
      <c r="T16042"/>
      <c r="U16042"/>
      <c r="X16042" s="60"/>
    </row>
    <row r="16043" spans="7:24" ht="15" customHeight="1">
      <c r="G16043"/>
      <c r="I16043"/>
      <c r="N16043"/>
      <c r="O16043" s="24"/>
      <c r="P16043"/>
      <c r="Q16043" s="24"/>
      <c r="R16043"/>
      <c r="S16043"/>
      <c r="T16043"/>
      <c r="U16043"/>
      <c r="X16043" s="60"/>
    </row>
    <row r="16044" spans="7:24" ht="15" customHeight="1">
      <c r="G16044"/>
      <c r="I16044"/>
      <c r="N16044"/>
      <c r="O16044" s="24"/>
      <c r="P16044"/>
      <c r="Q16044" s="24"/>
      <c r="R16044"/>
      <c r="S16044"/>
      <c r="T16044"/>
      <c r="U16044"/>
      <c r="X16044" s="60"/>
    </row>
    <row r="16045" spans="7:24" ht="15" customHeight="1">
      <c r="G16045"/>
      <c r="I16045"/>
      <c r="N16045"/>
      <c r="O16045" s="24"/>
      <c r="P16045"/>
      <c r="Q16045" s="24"/>
      <c r="R16045"/>
      <c r="S16045"/>
      <c r="T16045"/>
      <c r="U16045"/>
      <c r="X16045" s="60"/>
    </row>
    <row r="16046" spans="7:24" ht="15" customHeight="1">
      <c r="G16046"/>
      <c r="I16046"/>
      <c r="N16046"/>
      <c r="O16046" s="24"/>
      <c r="P16046"/>
      <c r="Q16046" s="24"/>
      <c r="R16046"/>
      <c r="S16046"/>
      <c r="T16046"/>
      <c r="U16046"/>
      <c r="X16046" s="60"/>
    </row>
    <row r="16047" spans="7:24" ht="15" customHeight="1">
      <c r="G16047"/>
      <c r="I16047"/>
      <c r="N16047"/>
      <c r="O16047" s="24"/>
      <c r="P16047"/>
      <c r="Q16047" s="24"/>
      <c r="R16047"/>
      <c r="S16047"/>
      <c r="T16047"/>
      <c r="U16047"/>
      <c r="X16047" s="60"/>
    </row>
    <row r="16048" spans="7:24" ht="15" customHeight="1">
      <c r="G16048"/>
      <c r="I16048"/>
      <c r="N16048"/>
      <c r="O16048" s="24"/>
      <c r="P16048"/>
      <c r="Q16048" s="24"/>
      <c r="R16048"/>
      <c r="S16048"/>
      <c r="T16048"/>
      <c r="U16048"/>
      <c r="X16048" s="60"/>
    </row>
    <row r="16049" spans="7:24" ht="15" customHeight="1">
      <c r="G16049"/>
      <c r="I16049"/>
      <c r="N16049"/>
      <c r="O16049" s="24"/>
      <c r="P16049"/>
      <c r="Q16049" s="24"/>
      <c r="R16049"/>
      <c r="S16049"/>
      <c r="T16049"/>
      <c r="U16049"/>
      <c r="X16049" s="60"/>
    </row>
    <row r="16050" spans="7:24" ht="15" customHeight="1">
      <c r="G16050"/>
      <c r="I16050"/>
      <c r="N16050"/>
      <c r="O16050" s="24"/>
      <c r="P16050"/>
      <c r="Q16050" s="24"/>
      <c r="R16050"/>
      <c r="S16050"/>
      <c r="T16050"/>
      <c r="U16050"/>
      <c r="X16050" s="60"/>
    </row>
    <row r="16051" spans="7:24" ht="15" customHeight="1">
      <c r="G16051"/>
      <c r="I16051"/>
      <c r="N16051"/>
      <c r="O16051" s="24"/>
      <c r="P16051"/>
      <c r="Q16051" s="24"/>
      <c r="R16051"/>
      <c r="S16051"/>
      <c r="T16051"/>
      <c r="U16051"/>
      <c r="X16051" s="60"/>
    </row>
    <row r="16052" spans="7:24" ht="15" customHeight="1">
      <c r="G16052"/>
      <c r="I16052"/>
      <c r="N16052"/>
      <c r="O16052" s="24"/>
      <c r="P16052"/>
      <c r="Q16052" s="24"/>
      <c r="R16052"/>
      <c r="S16052"/>
      <c r="T16052"/>
      <c r="U16052"/>
      <c r="X16052" s="60"/>
    </row>
    <row r="16053" spans="7:24" ht="15" customHeight="1">
      <c r="G16053"/>
      <c r="I16053"/>
      <c r="N16053"/>
      <c r="O16053" s="24"/>
      <c r="P16053"/>
      <c r="Q16053" s="24"/>
      <c r="R16053"/>
      <c r="S16053"/>
      <c r="T16053"/>
      <c r="U16053"/>
      <c r="X16053" s="60"/>
    </row>
    <row r="16054" spans="7:24" ht="15" customHeight="1">
      <c r="G16054"/>
      <c r="I16054"/>
      <c r="N16054"/>
      <c r="O16054" s="24"/>
      <c r="P16054"/>
      <c r="Q16054" s="24"/>
      <c r="R16054"/>
      <c r="S16054"/>
      <c r="T16054"/>
      <c r="U16054"/>
      <c r="X16054" s="60"/>
    </row>
    <row r="16055" spans="7:24" ht="15" customHeight="1">
      <c r="G16055"/>
      <c r="I16055"/>
      <c r="N16055"/>
      <c r="O16055" s="24"/>
      <c r="P16055"/>
      <c r="Q16055" s="24"/>
      <c r="R16055"/>
      <c r="S16055"/>
      <c r="T16055"/>
      <c r="U16055"/>
      <c r="X16055" s="60"/>
    </row>
    <row r="16056" spans="7:24" ht="15" customHeight="1">
      <c r="G16056"/>
      <c r="I16056"/>
      <c r="N16056"/>
      <c r="O16056" s="24"/>
      <c r="P16056"/>
      <c r="Q16056" s="24"/>
      <c r="R16056"/>
      <c r="S16056"/>
      <c r="T16056"/>
      <c r="U16056"/>
      <c r="X16056" s="60"/>
    </row>
    <row r="16057" spans="7:24" ht="15" customHeight="1">
      <c r="G16057"/>
      <c r="I16057"/>
      <c r="N16057"/>
      <c r="O16057" s="24"/>
      <c r="P16057"/>
      <c r="Q16057" s="24"/>
      <c r="R16057"/>
      <c r="S16057"/>
      <c r="T16057"/>
      <c r="U16057"/>
      <c r="X16057" s="60"/>
    </row>
    <row r="16058" spans="7:24" ht="15" customHeight="1">
      <c r="G16058"/>
      <c r="I16058"/>
      <c r="N16058"/>
      <c r="O16058" s="24"/>
      <c r="P16058"/>
      <c r="Q16058" s="24"/>
      <c r="R16058"/>
      <c r="S16058"/>
      <c r="T16058"/>
      <c r="U16058"/>
      <c r="X16058" s="60"/>
    </row>
    <row r="16059" spans="7:24" ht="15" customHeight="1">
      <c r="G16059"/>
      <c r="I16059"/>
      <c r="N16059"/>
      <c r="O16059" s="24"/>
      <c r="P16059"/>
      <c r="Q16059" s="24"/>
      <c r="R16059"/>
      <c r="S16059"/>
      <c r="T16059"/>
      <c r="U16059"/>
      <c r="X16059" s="60"/>
    </row>
    <row r="16060" spans="7:24" ht="15" customHeight="1">
      <c r="G16060"/>
      <c r="I16060"/>
      <c r="N16060"/>
      <c r="O16060" s="24"/>
      <c r="P16060"/>
      <c r="Q16060" s="24"/>
      <c r="R16060"/>
      <c r="S16060"/>
      <c r="T16060"/>
      <c r="U16060"/>
      <c r="X16060" s="60"/>
    </row>
    <row r="16061" spans="7:24" ht="15" customHeight="1">
      <c r="G16061"/>
      <c r="I16061"/>
      <c r="N16061"/>
      <c r="O16061" s="24"/>
      <c r="P16061"/>
      <c r="Q16061" s="24"/>
      <c r="R16061"/>
      <c r="S16061"/>
      <c r="T16061"/>
      <c r="U16061"/>
      <c r="X16061" s="60"/>
    </row>
    <row r="16062" spans="7:24" ht="15" customHeight="1">
      <c r="G16062"/>
      <c r="I16062"/>
      <c r="N16062"/>
      <c r="O16062" s="24"/>
      <c r="P16062"/>
      <c r="Q16062" s="24"/>
      <c r="R16062"/>
      <c r="S16062"/>
      <c r="T16062"/>
      <c r="U16062"/>
      <c r="X16062" s="60"/>
    </row>
    <row r="16063" spans="7:24" ht="15" customHeight="1">
      <c r="G16063"/>
      <c r="I16063"/>
      <c r="N16063"/>
      <c r="O16063" s="24"/>
      <c r="P16063"/>
      <c r="Q16063" s="24"/>
      <c r="R16063"/>
      <c r="S16063"/>
      <c r="T16063"/>
      <c r="U16063"/>
      <c r="X16063" s="60"/>
    </row>
    <row r="16064" spans="7:24" ht="15" customHeight="1">
      <c r="G16064"/>
      <c r="I16064"/>
      <c r="N16064"/>
      <c r="O16064" s="24"/>
      <c r="P16064"/>
      <c r="Q16064" s="24"/>
      <c r="R16064"/>
      <c r="S16064"/>
      <c r="T16064"/>
      <c r="U16064"/>
      <c r="X16064" s="60"/>
    </row>
    <row r="16065" spans="7:24" ht="15" customHeight="1">
      <c r="G16065"/>
      <c r="I16065"/>
      <c r="N16065"/>
      <c r="O16065" s="24"/>
      <c r="P16065"/>
      <c r="Q16065" s="24"/>
      <c r="R16065"/>
      <c r="S16065"/>
      <c r="T16065"/>
      <c r="U16065"/>
      <c r="X16065" s="60"/>
    </row>
    <row r="16066" spans="7:24" ht="15" customHeight="1">
      <c r="G16066"/>
      <c r="I16066"/>
      <c r="N16066"/>
      <c r="O16066" s="24"/>
      <c r="P16066"/>
      <c r="Q16066" s="24"/>
      <c r="R16066"/>
      <c r="S16066"/>
      <c r="T16066"/>
      <c r="U16066"/>
      <c r="X16066" s="60"/>
    </row>
    <row r="16067" spans="7:24" ht="15" customHeight="1">
      <c r="G16067"/>
      <c r="I16067"/>
      <c r="N16067"/>
      <c r="O16067" s="24"/>
      <c r="P16067"/>
      <c r="Q16067" s="24"/>
      <c r="R16067"/>
      <c r="S16067"/>
      <c r="T16067"/>
      <c r="U16067"/>
      <c r="X16067" s="60"/>
    </row>
    <row r="16068" spans="7:24" ht="15" customHeight="1">
      <c r="G16068"/>
      <c r="I16068"/>
      <c r="N16068"/>
      <c r="O16068" s="24"/>
      <c r="P16068"/>
      <c r="Q16068" s="24"/>
      <c r="R16068"/>
      <c r="S16068"/>
      <c r="T16068"/>
      <c r="U16068"/>
      <c r="X16068" s="60"/>
    </row>
    <row r="16069" spans="7:24" ht="15" customHeight="1">
      <c r="G16069"/>
      <c r="I16069"/>
      <c r="N16069"/>
      <c r="O16069" s="24"/>
      <c r="P16069"/>
      <c r="Q16069" s="24"/>
      <c r="R16069"/>
      <c r="S16069"/>
      <c r="T16069"/>
      <c r="U16069"/>
      <c r="X16069" s="60"/>
    </row>
    <row r="16070" spans="7:24" ht="15" customHeight="1">
      <c r="G16070"/>
      <c r="I16070"/>
      <c r="N16070"/>
      <c r="O16070" s="24"/>
      <c r="P16070"/>
      <c r="Q16070" s="24"/>
      <c r="R16070"/>
      <c r="S16070"/>
      <c r="T16070"/>
      <c r="U16070"/>
      <c r="X16070" s="60"/>
    </row>
    <row r="16071" spans="7:24" ht="15" customHeight="1">
      <c r="G16071"/>
      <c r="I16071"/>
      <c r="N16071"/>
      <c r="O16071" s="24"/>
      <c r="P16071"/>
      <c r="Q16071" s="24"/>
      <c r="R16071"/>
      <c r="S16071"/>
      <c r="T16071"/>
      <c r="U16071"/>
      <c r="X16071" s="60"/>
    </row>
    <row r="16072" spans="7:24" ht="15" customHeight="1">
      <c r="G16072"/>
      <c r="I16072"/>
      <c r="N16072"/>
      <c r="O16072" s="24"/>
      <c r="P16072"/>
      <c r="Q16072" s="24"/>
      <c r="R16072"/>
      <c r="S16072"/>
      <c r="T16072"/>
      <c r="U16072"/>
      <c r="X16072" s="60"/>
    </row>
    <row r="16073" spans="7:24" ht="15" customHeight="1">
      <c r="G16073"/>
      <c r="I16073"/>
      <c r="N16073"/>
      <c r="O16073" s="24"/>
      <c r="P16073"/>
      <c r="Q16073" s="24"/>
      <c r="R16073"/>
      <c r="S16073"/>
      <c r="T16073"/>
      <c r="U16073"/>
      <c r="X16073" s="60"/>
    </row>
    <row r="16074" spans="7:24" ht="15" customHeight="1">
      <c r="G16074"/>
      <c r="I16074"/>
      <c r="N16074"/>
      <c r="O16074" s="24"/>
      <c r="P16074"/>
      <c r="Q16074" s="24"/>
      <c r="R16074"/>
      <c r="S16074"/>
      <c r="T16074"/>
      <c r="U16074"/>
      <c r="X16074" s="60"/>
    </row>
    <row r="16075" spans="7:24" ht="15" customHeight="1">
      <c r="G16075"/>
      <c r="I16075"/>
      <c r="N16075"/>
      <c r="O16075" s="24"/>
      <c r="P16075"/>
      <c r="Q16075" s="24"/>
      <c r="R16075"/>
      <c r="S16075"/>
      <c r="T16075"/>
      <c r="U16075"/>
      <c r="X16075" s="60"/>
    </row>
    <row r="16076" spans="7:24" ht="15" customHeight="1">
      <c r="G16076"/>
      <c r="I16076"/>
      <c r="N16076"/>
      <c r="O16076" s="24"/>
      <c r="P16076"/>
      <c r="Q16076" s="24"/>
      <c r="R16076"/>
      <c r="S16076"/>
      <c r="T16076"/>
      <c r="U16076"/>
      <c r="X16076" s="60"/>
    </row>
    <row r="16077" spans="7:24" ht="15" customHeight="1">
      <c r="G16077"/>
      <c r="I16077"/>
      <c r="N16077"/>
      <c r="O16077" s="24"/>
      <c r="P16077"/>
      <c r="Q16077" s="24"/>
      <c r="R16077"/>
      <c r="S16077"/>
      <c r="T16077"/>
      <c r="U16077"/>
      <c r="X16077" s="60"/>
    </row>
    <row r="16078" spans="7:24" ht="15" customHeight="1">
      <c r="G16078"/>
      <c r="I16078"/>
      <c r="N16078"/>
      <c r="O16078" s="24"/>
      <c r="P16078"/>
      <c r="Q16078" s="24"/>
      <c r="R16078"/>
      <c r="S16078"/>
      <c r="T16078"/>
      <c r="U16078"/>
      <c r="X16078" s="60"/>
    </row>
    <row r="16079" spans="7:24" ht="15" customHeight="1">
      <c r="G16079"/>
      <c r="I16079"/>
      <c r="N16079"/>
      <c r="O16079" s="24"/>
      <c r="P16079"/>
      <c r="Q16079" s="24"/>
      <c r="R16079"/>
      <c r="S16079"/>
      <c r="T16079"/>
      <c r="U16079"/>
      <c r="X16079" s="60"/>
    </row>
    <row r="16080" spans="7:24" ht="15" customHeight="1">
      <c r="G16080"/>
      <c r="I16080"/>
      <c r="N16080"/>
      <c r="O16080" s="24"/>
      <c r="P16080"/>
      <c r="Q16080" s="24"/>
      <c r="R16080"/>
      <c r="S16080"/>
      <c r="T16080"/>
      <c r="U16080"/>
      <c r="X16080" s="60"/>
    </row>
    <row r="16081" spans="7:24" ht="15" customHeight="1">
      <c r="G16081"/>
      <c r="I16081"/>
      <c r="N16081"/>
      <c r="O16081" s="24"/>
      <c r="P16081"/>
      <c r="Q16081" s="24"/>
      <c r="R16081"/>
      <c r="S16081"/>
      <c r="T16081"/>
      <c r="U16081"/>
      <c r="X16081" s="60"/>
    </row>
    <row r="16082" spans="7:24" ht="15" customHeight="1">
      <c r="G16082"/>
      <c r="I16082"/>
      <c r="N16082"/>
      <c r="O16082" s="24"/>
      <c r="P16082"/>
      <c r="Q16082" s="24"/>
      <c r="R16082"/>
      <c r="S16082"/>
      <c r="T16082"/>
      <c r="U16082"/>
      <c r="X16082" s="60"/>
    </row>
    <row r="16083" spans="7:24" ht="15" customHeight="1">
      <c r="G16083"/>
      <c r="I16083"/>
      <c r="N16083"/>
      <c r="O16083" s="24"/>
      <c r="P16083"/>
      <c r="Q16083" s="24"/>
      <c r="R16083"/>
      <c r="S16083"/>
      <c r="T16083"/>
      <c r="U16083"/>
      <c r="X16083" s="60"/>
    </row>
    <row r="16084" spans="7:24" ht="15" customHeight="1">
      <c r="G16084"/>
      <c r="I16084"/>
      <c r="N16084"/>
      <c r="O16084" s="24"/>
      <c r="P16084"/>
      <c r="Q16084" s="24"/>
      <c r="R16084"/>
      <c r="S16084"/>
      <c r="T16084"/>
      <c r="U16084"/>
      <c r="X16084" s="60"/>
    </row>
    <row r="16085" spans="7:24" ht="15" customHeight="1">
      <c r="G16085"/>
      <c r="I16085"/>
      <c r="N16085"/>
      <c r="O16085" s="24"/>
      <c r="P16085"/>
      <c r="Q16085" s="24"/>
      <c r="R16085"/>
      <c r="S16085"/>
      <c r="T16085"/>
      <c r="U16085"/>
      <c r="X16085" s="60"/>
    </row>
    <row r="16086" spans="7:24" ht="15" customHeight="1">
      <c r="G16086"/>
      <c r="I16086"/>
      <c r="N16086"/>
      <c r="O16086" s="24"/>
      <c r="P16086"/>
      <c r="Q16086" s="24"/>
      <c r="R16086"/>
      <c r="S16086"/>
      <c r="T16086"/>
      <c r="U16086"/>
      <c r="X16086" s="60"/>
    </row>
    <row r="16087" spans="7:24" ht="15" customHeight="1">
      <c r="G16087"/>
      <c r="I16087"/>
      <c r="N16087"/>
      <c r="O16087" s="24"/>
      <c r="P16087"/>
      <c r="Q16087" s="24"/>
      <c r="R16087"/>
      <c r="S16087"/>
      <c r="T16087"/>
      <c r="U16087"/>
      <c r="X16087" s="60"/>
    </row>
    <row r="16088" spans="7:24" ht="15" customHeight="1">
      <c r="G16088"/>
      <c r="I16088"/>
      <c r="N16088"/>
      <c r="O16088" s="24"/>
      <c r="P16088"/>
      <c r="Q16088" s="24"/>
      <c r="R16088"/>
      <c r="S16088"/>
      <c r="T16088"/>
      <c r="U16088"/>
      <c r="X16088" s="60"/>
    </row>
    <row r="16089" spans="7:24" ht="15" customHeight="1">
      <c r="G16089"/>
      <c r="I16089"/>
      <c r="N16089"/>
      <c r="O16089" s="24"/>
      <c r="P16089"/>
      <c r="Q16089" s="24"/>
      <c r="R16089"/>
      <c r="S16089"/>
      <c r="T16089"/>
      <c r="U16089"/>
      <c r="X16089" s="60"/>
    </row>
    <row r="16090" spans="7:24" ht="15" customHeight="1">
      <c r="G16090"/>
      <c r="I16090"/>
      <c r="N16090"/>
      <c r="O16090" s="24"/>
      <c r="P16090"/>
      <c r="Q16090" s="24"/>
      <c r="R16090"/>
      <c r="S16090"/>
      <c r="T16090"/>
      <c r="U16090"/>
      <c r="X16090" s="60"/>
    </row>
    <row r="16091" spans="7:24" ht="15" customHeight="1">
      <c r="G16091"/>
      <c r="I16091"/>
      <c r="N16091"/>
      <c r="O16091" s="24"/>
      <c r="P16091"/>
      <c r="Q16091" s="24"/>
      <c r="R16091"/>
      <c r="S16091"/>
      <c r="T16091"/>
      <c r="U16091"/>
      <c r="X16091" s="60"/>
    </row>
    <row r="16092" spans="7:24" ht="15" customHeight="1">
      <c r="G16092"/>
      <c r="I16092"/>
      <c r="N16092"/>
      <c r="O16092" s="24"/>
      <c r="P16092"/>
      <c r="Q16092" s="24"/>
      <c r="R16092"/>
      <c r="S16092"/>
      <c r="T16092"/>
      <c r="U16092"/>
      <c r="X16092" s="60"/>
    </row>
    <row r="16093" spans="7:24" ht="15" customHeight="1">
      <c r="G16093"/>
      <c r="I16093"/>
      <c r="N16093"/>
      <c r="O16093" s="24"/>
      <c r="P16093"/>
      <c r="Q16093" s="24"/>
      <c r="R16093"/>
      <c r="S16093"/>
      <c r="T16093"/>
      <c r="U16093"/>
      <c r="X16093" s="60"/>
    </row>
    <row r="16094" spans="7:24" ht="15" customHeight="1">
      <c r="G16094"/>
      <c r="I16094"/>
      <c r="N16094"/>
      <c r="O16094" s="24"/>
      <c r="P16094"/>
      <c r="Q16094" s="24"/>
      <c r="R16094"/>
      <c r="S16094"/>
      <c r="T16094"/>
      <c r="U16094"/>
      <c r="X16094" s="60"/>
    </row>
    <row r="16095" spans="7:24" ht="15" customHeight="1">
      <c r="G16095"/>
      <c r="I16095"/>
      <c r="N16095"/>
      <c r="O16095" s="24"/>
      <c r="P16095"/>
      <c r="Q16095" s="24"/>
      <c r="R16095"/>
      <c r="S16095"/>
      <c r="T16095"/>
      <c r="U16095"/>
      <c r="X16095" s="60"/>
    </row>
    <row r="16096" spans="7:24" ht="15" customHeight="1">
      <c r="G16096"/>
      <c r="I16096"/>
      <c r="N16096"/>
      <c r="O16096" s="24"/>
      <c r="P16096"/>
      <c r="Q16096" s="24"/>
      <c r="R16096"/>
      <c r="S16096"/>
      <c r="T16096"/>
      <c r="U16096"/>
      <c r="X16096" s="60"/>
    </row>
    <row r="16097" spans="7:24" ht="15" customHeight="1">
      <c r="G16097"/>
      <c r="I16097"/>
      <c r="N16097"/>
      <c r="O16097" s="24"/>
      <c r="P16097"/>
      <c r="Q16097" s="24"/>
      <c r="R16097"/>
      <c r="S16097"/>
      <c r="T16097"/>
      <c r="U16097"/>
      <c r="X16097" s="60"/>
    </row>
    <row r="16098" spans="7:24" ht="15" customHeight="1">
      <c r="G16098"/>
      <c r="I16098"/>
      <c r="N16098"/>
      <c r="O16098" s="24"/>
      <c r="P16098"/>
      <c r="Q16098" s="24"/>
      <c r="R16098"/>
      <c r="S16098"/>
      <c r="T16098"/>
      <c r="U16098"/>
      <c r="X16098" s="60"/>
    </row>
    <row r="16099" spans="7:24" ht="15" customHeight="1">
      <c r="G16099"/>
      <c r="I16099"/>
      <c r="N16099"/>
      <c r="O16099" s="24"/>
      <c r="P16099"/>
      <c r="Q16099" s="24"/>
      <c r="R16099"/>
      <c r="S16099"/>
      <c r="T16099"/>
      <c r="U16099"/>
      <c r="X16099" s="60"/>
    </row>
    <row r="16100" spans="7:24" ht="15" customHeight="1">
      <c r="G16100"/>
      <c r="I16100"/>
      <c r="N16100"/>
      <c r="O16100" s="24"/>
      <c r="P16100"/>
      <c r="Q16100" s="24"/>
      <c r="R16100"/>
      <c r="S16100"/>
      <c r="T16100"/>
      <c r="U16100"/>
      <c r="X16100" s="60"/>
    </row>
    <row r="16101" spans="7:24" ht="15" customHeight="1">
      <c r="G16101"/>
      <c r="I16101"/>
      <c r="N16101"/>
      <c r="O16101" s="24"/>
      <c r="P16101"/>
      <c r="Q16101" s="24"/>
      <c r="R16101"/>
      <c r="S16101"/>
      <c r="T16101"/>
      <c r="U16101"/>
      <c r="X16101" s="60"/>
    </row>
    <row r="16102" spans="7:24" ht="15" customHeight="1">
      <c r="G16102"/>
      <c r="I16102"/>
      <c r="N16102"/>
      <c r="O16102" s="24"/>
      <c r="P16102"/>
      <c r="Q16102" s="24"/>
      <c r="R16102"/>
      <c r="S16102"/>
      <c r="T16102"/>
      <c r="U16102"/>
      <c r="X16102" s="60"/>
    </row>
    <row r="16103" spans="7:24" ht="15" customHeight="1">
      <c r="G16103"/>
      <c r="I16103"/>
      <c r="N16103"/>
      <c r="O16103" s="24"/>
      <c r="P16103"/>
      <c r="Q16103" s="24"/>
      <c r="R16103"/>
      <c r="S16103"/>
      <c r="T16103"/>
      <c r="U16103"/>
      <c r="X16103" s="60"/>
    </row>
    <row r="16104" spans="7:24" ht="15" customHeight="1">
      <c r="G16104"/>
      <c r="I16104"/>
      <c r="N16104"/>
      <c r="O16104" s="24"/>
      <c r="P16104"/>
      <c r="Q16104" s="24"/>
      <c r="R16104"/>
      <c r="S16104"/>
      <c r="T16104"/>
      <c r="U16104"/>
      <c r="X16104" s="60"/>
    </row>
    <row r="16105" spans="7:24" ht="15" customHeight="1">
      <c r="G16105"/>
      <c r="I16105"/>
      <c r="N16105"/>
      <c r="O16105" s="24"/>
      <c r="P16105"/>
      <c r="Q16105" s="24"/>
      <c r="R16105"/>
      <c r="S16105"/>
      <c r="T16105"/>
      <c r="U16105"/>
      <c r="X16105" s="60"/>
    </row>
    <row r="16106" spans="7:24" ht="15" customHeight="1">
      <c r="G16106"/>
      <c r="I16106"/>
      <c r="N16106"/>
      <c r="O16106" s="24"/>
      <c r="P16106"/>
      <c r="Q16106" s="24"/>
      <c r="R16106"/>
      <c r="S16106"/>
      <c r="T16106"/>
      <c r="U16106"/>
      <c r="X16106" s="60"/>
    </row>
    <row r="16107" spans="7:24" ht="15" customHeight="1">
      <c r="G16107"/>
      <c r="I16107"/>
      <c r="N16107"/>
      <c r="O16107" s="24"/>
      <c r="P16107"/>
      <c r="Q16107" s="24"/>
      <c r="R16107"/>
      <c r="S16107"/>
      <c r="T16107"/>
      <c r="U16107"/>
      <c r="X16107" s="60"/>
    </row>
    <row r="16108" spans="7:24" ht="15" customHeight="1">
      <c r="G16108"/>
      <c r="I16108"/>
      <c r="N16108"/>
      <c r="O16108" s="24"/>
      <c r="P16108"/>
      <c r="Q16108" s="24"/>
      <c r="R16108"/>
      <c r="S16108"/>
      <c r="T16108"/>
      <c r="U16108"/>
      <c r="X16108" s="60"/>
    </row>
    <row r="16109" spans="7:24" ht="15" customHeight="1">
      <c r="G16109"/>
      <c r="I16109"/>
      <c r="N16109"/>
      <c r="O16109" s="24"/>
      <c r="P16109"/>
      <c r="Q16109" s="24"/>
      <c r="R16109"/>
      <c r="S16109"/>
      <c r="T16109"/>
      <c r="U16109"/>
      <c r="X16109" s="60"/>
    </row>
    <row r="16110" spans="7:24" ht="15" customHeight="1">
      <c r="G16110"/>
      <c r="I16110"/>
      <c r="N16110"/>
      <c r="O16110" s="24"/>
      <c r="P16110"/>
      <c r="Q16110" s="24"/>
      <c r="R16110"/>
      <c r="S16110"/>
      <c r="T16110"/>
      <c r="U16110"/>
      <c r="X16110" s="60"/>
    </row>
    <row r="16111" spans="7:24" ht="15" customHeight="1">
      <c r="G16111"/>
      <c r="I16111"/>
      <c r="N16111"/>
      <c r="O16111" s="24"/>
      <c r="P16111"/>
      <c r="Q16111" s="24"/>
      <c r="R16111"/>
      <c r="S16111"/>
      <c r="T16111"/>
      <c r="U16111"/>
      <c r="X16111" s="60"/>
    </row>
    <row r="16112" spans="7:24" ht="15" customHeight="1">
      <c r="G16112"/>
      <c r="I16112"/>
      <c r="N16112"/>
      <c r="O16112" s="24"/>
      <c r="P16112"/>
      <c r="Q16112" s="24"/>
      <c r="R16112"/>
      <c r="S16112"/>
      <c r="T16112"/>
      <c r="U16112"/>
      <c r="X16112" s="60"/>
    </row>
    <row r="16113" spans="7:24" ht="15" customHeight="1">
      <c r="G16113"/>
      <c r="I16113"/>
      <c r="N16113"/>
      <c r="O16113" s="24"/>
      <c r="P16113"/>
      <c r="Q16113" s="24"/>
      <c r="R16113"/>
      <c r="S16113"/>
      <c r="T16113"/>
      <c r="U16113"/>
      <c r="X16113" s="60"/>
    </row>
    <row r="16114" spans="7:24" ht="15" customHeight="1">
      <c r="G16114"/>
      <c r="I16114"/>
      <c r="N16114"/>
      <c r="O16114" s="24"/>
      <c r="P16114"/>
      <c r="Q16114" s="24"/>
      <c r="R16114"/>
      <c r="S16114"/>
      <c r="T16114"/>
      <c r="U16114"/>
      <c r="X16114" s="60"/>
    </row>
    <row r="16115" spans="7:24" ht="15" customHeight="1">
      <c r="G16115"/>
      <c r="I16115"/>
      <c r="N16115"/>
      <c r="O16115" s="24"/>
      <c r="P16115"/>
      <c r="Q16115" s="24"/>
      <c r="R16115"/>
      <c r="S16115"/>
      <c r="T16115"/>
      <c r="U16115"/>
      <c r="X16115" s="60"/>
    </row>
    <row r="16116" spans="7:24" ht="15" customHeight="1">
      <c r="G16116"/>
      <c r="I16116"/>
      <c r="N16116"/>
      <c r="O16116" s="24"/>
      <c r="P16116"/>
      <c r="Q16116" s="24"/>
      <c r="R16116"/>
      <c r="S16116"/>
      <c r="T16116"/>
      <c r="U16116"/>
      <c r="X16116" s="60"/>
    </row>
    <row r="16117" spans="7:24" ht="15" customHeight="1">
      <c r="G16117"/>
      <c r="I16117"/>
      <c r="N16117"/>
      <c r="O16117" s="24"/>
      <c r="P16117"/>
      <c r="Q16117" s="24"/>
      <c r="R16117"/>
      <c r="S16117"/>
      <c r="T16117"/>
      <c r="U16117"/>
      <c r="X16117" s="60"/>
    </row>
    <row r="16118" spans="7:24" ht="15" customHeight="1">
      <c r="G16118"/>
      <c r="I16118"/>
      <c r="N16118"/>
      <c r="O16118" s="24"/>
      <c r="P16118"/>
      <c r="Q16118" s="24"/>
      <c r="R16118"/>
      <c r="S16118"/>
      <c r="T16118"/>
      <c r="U16118"/>
      <c r="X16118" s="60"/>
    </row>
    <row r="16119" spans="7:24" ht="15" customHeight="1">
      <c r="G16119"/>
      <c r="I16119"/>
      <c r="N16119"/>
      <c r="O16119" s="24"/>
      <c r="P16119"/>
      <c r="Q16119" s="24"/>
      <c r="R16119"/>
      <c r="S16119"/>
      <c r="T16119"/>
      <c r="U16119"/>
      <c r="X16119" s="60"/>
    </row>
    <row r="16120" spans="7:24" ht="15" customHeight="1">
      <c r="G16120"/>
      <c r="I16120"/>
      <c r="N16120"/>
      <c r="O16120" s="24"/>
      <c r="P16120"/>
      <c r="Q16120" s="24"/>
      <c r="R16120"/>
      <c r="S16120"/>
      <c r="T16120"/>
      <c r="U16120"/>
      <c r="X16120" s="60"/>
    </row>
    <row r="16121" spans="7:24" ht="15" customHeight="1">
      <c r="G16121"/>
      <c r="I16121"/>
      <c r="N16121"/>
      <c r="O16121" s="24"/>
      <c r="P16121"/>
      <c r="Q16121" s="24"/>
      <c r="R16121"/>
      <c r="S16121"/>
      <c r="T16121"/>
      <c r="U16121"/>
      <c r="X16121" s="60"/>
    </row>
    <row r="16122" spans="7:24" ht="15" customHeight="1">
      <c r="G16122"/>
      <c r="I16122"/>
      <c r="N16122"/>
      <c r="O16122" s="24"/>
      <c r="P16122"/>
      <c r="Q16122" s="24"/>
      <c r="R16122"/>
      <c r="S16122"/>
      <c r="T16122"/>
      <c r="U16122"/>
      <c r="X16122" s="60"/>
    </row>
    <row r="16123" spans="7:24" ht="15" customHeight="1">
      <c r="G16123"/>
      <c r="I16123"/>
      <c r="N16123"/>
      <c r="O16123" s="24"/>
      <c r="P16123"/>
      <c r="Q16123" s="24"/>
      <c r="R16123"/>
      <c r="S16123"/>
      <c r="T16123"/>
      <c r="U16123"/>
      <c r="X16123" s="60"/>
    </row>
    <row r="16124" spans="7:24" ht="15" customHeight="1">
      <c r="G16124"/>
      <c r="I16124"/>
      <c r="N16124"/>
      <c r="O16124" s="24"/>
      <c r="P16124"/>
      <c r="Q16124" s="24"/>
      <c r="R16124"/>
      <c r="S16124"/>
      <c r="T16124"/>
      <c r="U16124"/>
      <c r="X16124" s="60"/>
    </row>
    <row r="16125" spans="7:24" ht="15" customHeight="1">
      <c r="G16125"/>
      <c r="I16125"/>
      <c r="N16125"/>
      <c r="O16125" s="24"/>
      <c r="P16125"/>
      <c r="Q16125" s="24"/>
      <c r="R16125"/>
      <c r="S16125"/>
      <c r="T16125"/>
      <c r="U16125"/>
      <c r="X16125" s="60"/>
    </row>
    <row r="16126" spans="7:24" ht="15" customHeight="1">
      <c r="G16126"/>
      <c r="I16126"/>
      <c r="N16126"/>
      <c r="O16126" s="24"/>
      <c r="P16126"/>
      <c r="Q16126" s="24"/>
      <c r="R16126"/>
      <c r="S16126"/>
      <c r="T16126"/>
      <c r="U16126"/>
      <c r="X16126" s="60"/>
    </row>
    <row r="16127" spans="7:24" ht="15" customHeight="1">
      <c r="G16127"/>
      <c r="I16127"/>
      <c r="N16127"/>
      <c r="O16127" s="24"/>
      <c r="P16127"/>
      <c r="Q16127" s="24"/>
      <c r="R16127"/>
      <c r="S16127"/>
      <c r="T16127"/>
      <c r="U16127"/>
      <c r="X16127" s="60"/>
    </row>
    <row r="16128" spans="7:24" ht="15" customHeight="1">
      <c r="G16128"/>
      <c r="I16128"/>
      <c r="N16128"/>
      <c r="O16128" s="24"/>
      <c r="P16128"/>
      <c r="Q16128" s="24"/>
      <c r="R16128"/>
      <c r="S16128"/>
      <c r="T16128"/>
      <c r="U16128"/>
      <c r="X16128" s="60"/>
    </row>
    <row r="16129" spans="7:24" ht="15" customHeight="1">
      <c r="G16129"/>
      <c r="I16129"/>
      <c r="N16129"/>
      <c r="O16129" s="24"/>
      <c r="P16129"/>
      <c r="Q16129" s="24"/>
      <c r="R16129"/>
      <c r="S16129"/>
      <c r="T16129"/>
      <c r="U16129"/>
      <c r="X16129" s="60"/>
    </row>
    <row r="16130" spans="7:24" ht="15" customHeight="1">
      <c r="G16130"/>
      <c r="I16130"/>
      <c r="N16130"/>
      <c r="O16130" s="24"/>
      <c r="P16130"/>
      <c r="Q16130" s="24"/>
      <c r="R16130"/>
      <c r="S16130"/>
      <c r="T16130"/>
      <c r="U16130"/>
      <c r="X16130" s="60"/>
    </row>
    <row r="16131" spans="7:24" ht="15" customHeight="1">
      <c r="G16131"/>
      <c r="I16131"/>
      <c r="N16131"/>
      <c r="O16131" s="24"/>
      <c r="P16131"/>
      <c r="Q16131" s="24"/>
      <c r="R16131"/>
      <c r="S16131"/>
      <c r="T16131"/>
      <c r="U16131"/>
      <c r="X16131" s="60"/>
    </row>
    <row r="16132" spans="7:24" ht="15" customHeight="1">
      <c r="G16132"/>
      <c r="I16132"/>
      <c r="N16132"/>
      <c r="O16132" s="24"/>
      <c r="P16132"/>
      <c r="Q16132" s="24"/>
      <c r="R16132"/>
      <c r="S16132"/>
      <c r="T16132"/>
      <c r="U16132"/>
      <c r="X16132" s="60"/>
    </row>
    <row r="16133" spans="7:24" ht="15" customHeight="1">
      <c r="G16133"/>
      <c r="I16133"/>
      <c r="N16133"/>
      <c r="O16133" s="24"/>
      <c r="P16133"/>
      <c r="Q16133" s="24"/>
      <c r="R16133"/>
      <c r="S16133"/>
      <c r="T16133"/>
      <c r="U16133"/>
      <c r="X16133" s="60"/>
    </row>
    <row r="16134" spans="7:24" ht="15" customHeight="1">
      <c r="G16134"/>
      <c r="I16134"/>
      <c r="N16134"/>
      <c r="O16134" s="24"/>
      <c r="P16134"/>
      <c r="Q16134" s="24"/>
      <c r="R16134"/>
      <c r="S16134"/>
      <c r="T16134"/>
      <c r="U16134"/>
      <c r="X16134" s="60"/>
    </row>
    <row r="16135" spans="7:24" ht="15" customHeight="1">
      <c r="G16135"/>
      <c r="I16135"/>
      <c r="N16135"/>
      <c r="O16135" s="24"/>
      <c r="P16135"/>
      <c r="Q16135" s="24"/>
      <c r="R16135"/>
      <c r="S16135"/>
      <c r="T16135"/>
      <c r="U16135"/>
      <c r="X16135" s="60"/>
    </row>
    <row r="16136" spans="7:24" ht="15" customHeight="1">
      <c r="G16136"/>
      <c r="I16136"/>
      <c r="N16136"/>
      <c r="O16136" s="24"/>
      <c r="P16136"/>
      <c r="Q16136" s="24"/>
      <c r="R16136"/>
      <c r="S16136"/>
      <c r="T16136"/>
      <c r="U16136"/>
      <c r="X16136" s="60"/>
    </row>
    <row r="16137" spans="7:24" ht="15" customHeight="1">
      <c r="G16137"/>
      <c r="I16137"/>
      <c r="N16137"/>
      <c r="O16137" s="24"/>
      <c r="P16137"/>
      <c r="Q16137" s="24"/>
      <c r="R16137"/>
      <c r="S16137"/>
      <c r="T16137"/>
      <c r="U16137"/>
      <c r="X16137" s="60"/>
    </row>
    <row r="16138" spans="7:24" ht="15" customHeight="1">
      <c r="G16138"/>
      <c r="I16138"/>
      <c r="N16138"/>
      <c r="O16138" s="24"/>
      <c r="P16138"/>
      <c r="Q16138" s="24"/>
      <c r="R16138"/>
      <c r="S16138"/>
      <c r="T16138"/>
      <c r="U16138"/>
      <c r="X16138" s="60"/>
    </row>
    <row r="16139" spans="7:24" ht="15" customHeight="1">
      <c r="G16139"/>
      <c r="I16139"/>
      <c r="N16139"/>
      <c r="O16139" s="24"/>
      <c r="P16139"/>
      <c r="Q16139" s="24"/>
      <c r="R16139"/>
      <c r="S16139"/>
      <c r="T16139"/>
      <c r="U16139"/>
      <c r="X16139" s="60"/>
    </row>
    <row r="16140" spans="7:24" ht="15" customHeight="1">
      <c r="G16140"/>
      <c r="I16140"/>
      <c r="N16140"/>
      <c r="O16140" s="24"/>
      <c r="P16140"/>
      <c r="Q16140" s="24"/>
      <c r="R16140"/>
      <c r="S16140"/>
      <c r="T16140"/>
      <c r="U16140"/>
      <c r="X16140" s="60"/>
    </row>
    <row r="16141" spans="7:24" ht="15" customHeight="1">
      <c r="G16141"/>
      <c r="I16141"/>
      <c r="N16141"/>
      <c r="O16141" s="24"/>
      <c r="P16141"/>
      <c r="Q16141" s="24"/>
      <c r="R16141"/>
      <c r="S16141"/>
      <c r="T16141"/>
      <c r="U16141"/>
      <c r="X16141" s="60"/>
    </row>
    <row r="16142" spans="7:24" ht="15" customHeight="1">
      <c r="G16142"/>
      <c r="I16142"/>
      <c r="N16142"/>
      <c r="O16142" s="24"/>
      <c r="P16142"/>
      <c r="Q16142" s="24"/>
      <c r="R16142"/>
      <c r="S16142"/>
      <c r="T16142"/>
      <c r="U16142"/>
      <c r="X16142" s="60"/>
    </row>
    <row r="16143" spans="7:24" ht="15" customHeight="1">
      <c r="G16143"/>
      <c r="I16143"/>
      <c r="N16143"/>
      <c r="O16143" s="24"/>
      <c r="P16143"/>
      <c r="Q16143" s="24"/>
      <c r="R16143"/>
      <c r="S16143"/>
      <c r="T16143"/>
      <c r="U16143"/>
      <c r="X16143" s="60"/>
    </row>
    <row r="16144" spans="7:24" ht="15" customHeight="1">
      <c r="G16144"/>
      <c r="I16144"/>
      <c r="N16144"/>
      <c r="O16144" s="24"/>
      <c r="P16144"/>
      <c r="Q16144" s="24"/>
      <c r="R16144"/>
      <c r="S16144"/>
      <c r="T16144"/>
      <c r="U16144"/>
      <c r="X16144" s="60"/>
    </row>
    <row r="16145" spans="7:24" ht="15" customHeight="1">
      <c r="G16145"/>
      <c r="I16145"/>
      <c r="N16145"/>
      <c r="O16145" s="24"/>
      <c r="P16145"/>
      <c r="Q16145" s="24"/>
      <c r="R16145"/>
      <c r="S16145"/>
      <c r="T16145"/>
      <c r="U16145"/>
      <c r="X16145" s="60"/>
    </row>
    <row r="16146" spans="7:24" ht="15" customHeight="1">
      <c r="G16146"/>
      <c r="I16146"/>
      <c r="N16146"/>
      <c r="O16146" s="24"/>
      <c r="P16146"/>
      <c r="Q16146" s="24"/>
      <c r="R16146"/>
      <c r="S16146"/>
      <c r="T16146"/>
      <c r="U16146"/>
      <c r="X16146" s="60"/>
    </row>
    <row r="16147" spans="7:24" ht="15" customHeight="1">
      <c r="G16147"/>
      <c r="I16147"/>
      <c r="N16147"/>
      <c r="O16147" s="24"/>
      <c r="P16147"/>
      <c r="Q16147" s="24"/>
      <c r="R16147"/>
      <c r="S16147"/>
      <c r="T16147"/>
      <c r="U16147"/>
      <c r="X16147" s="60"/>
    </row>
    <row r="16148" spans="7:24" ht="15" customHeight="1">
      <c r="G16148"/>
      <c r="I16148"/>
      <c r="N16148"/>
      <c r="O16148" s="24"/>
      <c r="P16148"/>
      <c r="Q16148" s="24"/>
      <c r="R16148"/>
      <c r="S16148"/>
      <c r="T16148"/>
      <c r="U16148"/>
      <c r="X16148" s="60"/>
    </row>
    <row r="16149" spans="7:24" ht="15" customHeight="1">
      <c r="G16149"/>
      <c r="I16149"/>
      <c r="N16149"/>
      <c r="O16149" s="24"/>
      <c r="P16149"/>
      <c r="Q16149" s="24"/>
      <c r="R16149"/>
      <c r="S16149"/>
      <c r="T16149"/>
      <c r="U16149"/>
      <c r="X16149" s="60"/>
    </row>
    <row r="16150" spans="7:24" ht="15" customHeight="1">
      <c r="G16150"/>
      <c r="I16150"/>
      <c r="N16150"/>
      <c r="O16150" s="24"/>
      <c r="P16150"/>
      <c r="Q16150" s="24"/>
      <c r="R16150"/>
      <c r="S16150"/>
      <c r="T16150"/>
      <c r="U16150"/>
      <c r="X16150" s="60"/>
    </row>
    <row r="16151" spans="7:24" ht="15" customHeight="1">
      <c r="G16151"/>
      <c r="I16151"/>
      <c r="N16151"/>
      <c r="O16151" s="24"/>
      <c r="P16151"/>
      <c r="Q16151" s="24"/>
      <c r="R16151"/>
      <c r="S16151"/>
      <c r="T16151"/>
      <c r="U16151"/>
      <c r="X16151" s="60"/>
    </row>
    <row r="16152" spans="7:24" ht="15" customHeight="1">
      <c r="G16152"/>
      <c r="I16152"/>
      <c r="N16152"/>
      <c r="O16152" s="24"/>
      <c r="P16152"/>
      <c r="Q16152" s="24"/>
      <c r="R16152"/>
      <c r="S16152"/>
      <c r="T16152"/>
      <c r="U16152"/>
      <c r="X16152" s="60"/>
    </row>
    <row r="16153" spans="7:24" ht="15" customHeight="1">
      <c r="G16153"/>
      <c r="I16153"/>
      <c r="N16153"/>
      <c r="O16153" s="24"/>
      <c r="P16153"/>
      <c r="Q16153" s="24"/>
      <c r="R16153"/>
      <c r="S16153"/>
      <c r="T16153"/>
      <c r="U16153"/>
      <c r="X16153" s="60"/>
    </row>
    <row r="16154" spans="7:24" ht="15" customHeight="1">
      <c r="G16154"/>
      <c r="I16154"/>
      <c r="N16154"/>
      <c r="O16154" s="24"/>
      <c r="P16154"/>
      <c r="Q16154" s="24"/>
      <c r="R16154"/>
      <c r="S16154"/>
      <c r="T16154"/>
      <c r="U16154"/>
      <c r="X16154" s="60"/>
    </row>
    <row r="16155" spans="7:24" ht="15" customHeight="1">
      <c r="G16155"/>
      <c r="I16155"/>
      <c r="N16155"/>
      <c r="O16155" s="24"/>
      <c r="P16155"/>
      <c r="Q16155" s="24"/>
      <c r="R16155"/>
      <c r="S16155"/>
      <c r="T16155"/>
      <c r="U16155"/>
      <c r="X16155" s="60"/>
    </row>
    <row r="16156" spans="7:24" ht="15" customHeight="1">
      <c r="G16156"/>
      <c r="I16156"/>
      <c r="N16156"/>
      <c r="O16156" s="24"/>
      <c r="P16156"/>
      <c r="Q16156" s="24"/>
      <c r="R16156"/>
      <c r="S16156"/>
      <c r="T16156"/>
      <c r="U16156"/>
      <c r="X16156" s="60"/>
    </row>
    <row r="16157" spans="7:24" ht="15" customHeight="1">
      <c r="G16157"/>
      <c r="I16157"/>
      <c r="N16157"/>
      <c r="O16157" s="24"/>
      <c r="P16157"/>
      <c r="Q16157" s="24"/>
      <c r="R16157"/>
      <c r="S16157"/>
      <c r="T16157"/>
      <c r="U16157"/>
      <c r="X16157" s="60"/>
    </row>
    <row r="16158" spans="7:24" ht="15" customHeight="1">
      <c r="G16158"/>
      <c r="I16158"/>
      <c r="N16158"/>
      <c r="O16158" s="24"/>
      <c r="P16158"/>
      <c r="Q16158" s="24"/>
      <c r="R16158"/>
      <c r="S16158"/>
      <c r="T16158"/>
      <c r="U16158"/>
      <c r="X16158" s="60"/>
    </row>
    <row r="16159" spans="7:24" ht="15" customHeight="1">
      <c r="G16159"/>
      <c r="I16159"/>
      <c r="N16159"/>
      <c r="O16159" s="24"/>
      <c r="P16159"/>
      <c r="Q16159" s="24"/>
      <c r="R16159"/>
      <c r="S16159"/>
      <c r="T16159"/>
      <c r="U16159"/>
      <c r="X16159" s="60"/>
    </row>
    <row r="16160" spans="7:24" ht="15" customHeight="1">
      <c r="G16160"/>
      <c r="I16160"/>
      <c r="N16160"/>
      <c r="O16160" s="24"/>
      <c r="P16160"/>
      <c r="Q16160" s="24"/>
      <c r="R16160"/>
      <c r="S16160"/>
      <c r="T16160"/>
      <c r="U16160"/>
      <c r="X16160" s="60"/>
    </row>
    <row r="16161" spans="7:24" ht="15" customHeight="1">
      <c r="G16161"/>
      <c r="I16161"/>
      <c r="N16161"/>
      <c r="O16161" s="24"/>
      <c r="P16161"/>
      <c r="Q16161" s="24"/>
      <c r="R16161"/>
      <c r="S16161"/>
      <c r="T16161"/>
      <c r="U16161"/>
      <c r="X16161" s="60"/>
    </row>
    <row r="16162" spans="7:24" ht="15" customHeight="1">
      <c r="G16162"/>
      <c r="I16162"/>
      <c r="N16162"/>
      <c r="O16162" s="24"/>
      <c r="P16162"/>
      <c r="Q16162" s="24"/>
      <c r="R16162"/>
      <c r="S16162"/>
      <c r="T16162"/>
      <c r="U16162"/>
      <c r="X16162" s="60"/>
    </row>
    <row r="16163" spans="7:24" ht="15" customHeight="1">
      <c r="G16163"/>
      <c r="I16163"/>
      <c r="N16163"/>
      <c r="O16163" s="24"/>
      <c r="P16163"/>
      <c r="Q16163" s="24"/>
      <c r="R16163"/>
      <c r="S16163"/>
      <c r="T16163"/>
      <c r="U16163"/>
      <c r="X16163" s="60"/>
    </row>
    <row r="16164" spans="7:24" ht="15" customHeight="1">
      <c r="G16164"/>
      <c r="I16164"/>
      <c r="N16164"/>
      <c r="O16164" s="24"/>
      <c r="P16164"/>
      <c r="Q16164" s="24"/>
      <c r="R16164"/>
      <c r="S16164"/>
      <c r="T16164"/>
      <c r="U16164"/>
      <c r="X16164" s="60"/>
    </row>
    <row r="16165" spans="7:24" ht="15" customHeight="1">
      <c r="G16165"/>
      <c r="I16165"/>
      <c r="N16165"/>
      <c r="O16165" s="24"/>
      <c r="P16165"/>
      <c r="Q16165" s="24"/>
      <c r="R16165"/>
      <c r="S16165"/>
      <c r="T16165"/>
      <c r="U16165"/>
      <c r="X16165" s="60"/>
    </row>
    <row r="16166" spans="7:24" ht="15" customHeight="1">
      <c r="G16166"/>
      <c r="I16166"/>
      <c r="N16166"/>
      <c r="O16166" s="24"/>
      <c r="P16166"/>
      <c r="Q16166" s="24"/>
      <c r="R16166"/>
      <c r="S16166"/>
      <c r="T16166"/>
      <c r="U16166"/>
      <c r="X16166" s="60"/>
    </row>
    <row r="16167" spans="7:24" ht="15" customHeight="1">
      <c r="G16167"/>
      <c r="I16167"/>
      <c r="N16167"/>
      <c r="O16167" s="24"/>
      <c r="P16167"/>
      <c r="Q16167" s="24"/>
      <c r="R16167"/>
      <c r="S16167"/>
      <c r="T16167"/>
      <c r="U16167"/>
      <c r="X16167" s="60"/>
    </row>
    <row r="16168" spans="7:24" ht="15" customHeight="1">
      <c r="G16168"/>
      <c r="I16168"/>
      <c r="N16168"/>
      <c r="O16168" s="24"/>
      <c r="P16168"/>
      <c r="Q16168" s="24"/>
      <c r="R16168"/>
      <c r="S16168"/>
      <c r="T16168"/>
      <c r="U16168"/>
      <c r="X16168" s="60"/>
    </row>
    <row r="16169" spans="7:24" ht="15" customHeight="1">
      <c r="G16169"/>
      <c r="I16169"/>
      <c r="N16169"/>
      <c r="O16169" s="24"/>
      <c r="P16169"/>
      <c r="Q16169" s="24"/>
      <c r="R16169"/>
      <c r="S16169"/>
      <c r="T16169"/>
      <c r="U16169"/>
      <c r="X16169" s="60"/>
    </row>
    <row r="16170" spans="7:24" ht="15" customHeight="1">
      <c r="G16170"/>
      <c r="I16170"/>
      <c r="N16170"/>
      <c r="O16170" s="24"/>
      <c r="P16170"/>
      <c r="Q16170" s="24"/>
      <c r="R16170"/>
      <c r="S16170"/>
      <c r="T16170"/>
      <c r="U16170"/>
      <c r="X16170" s="60"/>
    </row>
    <row r="16171" spans="7:24" ht="15" customHeight="1">
      <c r="G16171"/>
      <c r="I16171"/>
      <c r="N16171"/>
      <c r="O16171" s="24"/>
      <c r="P16171"/>
      <c r="Q16171" s="24"/>
      <c r="R16171"/>
      <c r="S16171"/>
      <c r="T16171"/>
      <c r="U16171"/>
      <c r="X16171" s="60"/>
    </row>
    <row r="16172" spans="7:24" ht="15" customHeight="1">
      <c r="G16172"/>
      <c r="I16172"/>
      <c r="N16172"/>
      <c r="O16172" s="24"/>
      <c r="P16172"/>
      <c r="Q16172" s="24"/>
      <c r="R16172"/>
      <c r="S16172"/>
      <c r="T16172"/>
      <c r="U16172"/>
      <c r="X16172" s="60"/>
    </row>
    <row r="16173" spans="7:24" ht="15" customHeight="1">
      <c r="G16173"/>
      <c r="I16173"/>
      <c r="N16173"/>
      <c r="O16173" s="24"/>
      <c r="P16173"/>
      <c r="Q16173" s="24"/>
      <c r="R16173"/>
      <c r="S16173"/>
      <c r="T16173"/>
      <c r="U16173"/>
      <c r="X16173" s="60"/>
    </row>
    <row r="16174" spans="7:24" ht="15" customHeight="1">
      <c r="G16174"/>
      <c r="I16174"/>
      <c r="N16174"/>
      <c r="O16174" s="24"/>
      <c r="P16174"/>
      <c r="Q16174" s="24"/>
      <c r="R16174"/>
      <c r="S16174"/>
      <c r="T16174"/>
      <c r="U16174"/>
      <c r="X16174" s="60"/>
    </row>
    <row r="16175" spans="7:24" ht="15" customHeight="1">
      <c r="G16175"/>
      <c r="I16175"/>
      <c r="N16175"/>
      <c r="O16175" s="24"/>
      <c r="P16175"/>
      <c r="Q16175" s="24"/>
      <c r="R16175"/>
      <c r="S16175"/>
      <c r="T16175"/>
      <c r="U16175"/>
      <c r="X16175" s="60"/>
    </row>
    <row r="16176" spans="7:24" ht="15" customHeight="1">
      <c r="G16176"/>
      <c r="I16176"/>
      <c r="N16176"/>
      <c r="O16176" s="24"/>
      <c r="P16176"/>
      <c r="Q16176" s="24"/>
      <c r="R16176"/>
      <c r="S16176"/>
      <c r="T16176"/>
      <c r="U16176"/>
      <c r="X16176" s="60"/>
    </row>
    <row r="16177" spans="7:24" ht="15" customHeight="1">
      <c r="G16177"/>
      <c r="I16177"/>
      <c r="N16177"/>
      <c r="O16177" s="24"/>
      <c r="P16177"/>
      <c r="Q16177" s="24"/>
      <c r="R16177"/>
      <c r="S16177"/>
      <c r="T16177"/>
      <c r="U16177"/>
      <c r="X16177" s="60"/>
    </row>
    <row r="16178" spans="7:24" ht="15" customHeight="1">
      <c r="G16178"/>
      <c r="I16178"/>
      <c r="N16178"/>
      <c r="O16178" s="24"/>
      <c r="P16178"/>
      <c r="Q16178" s="24"/>
      <c r="R16178"/>
      <c r="S16178"/>
      <c r="T16178"/>
      <c r="U16178"/>
      <c r="X16178" s="60"/>
    </row>
    <row r="16179" spans="7:24" ht="15" customHeight="1">
      <c r="G16179"/>
      <c r="I16179"/>
      <c r="N16179"/>
      <c r="O16179" s="24"/>
      <c r="P16179"/>
      <c r="Q16179" s="24"/>
      <c r="R16179"/>
      <c r="S16179"/>
      <c r="T16179"/>
      <c r="U16179"/>
      <c r="X16179" s="60"/>
    </row>
    <row r="16180" spans="7:24" ht="15" customHeight="1">
      <c r="G16180"/>
      <c r="I16180"/>
      <c r="N16180"/>
      <c r="O16180" s="24"/>
      <c r="P16180"/>
      <c r="Q16180" s="24"/>
      <c r="R16180"/>
      <c r="S16180"/>
      <c r="T16180"/>
      <c r="U16180"/>
      <c r="X16180" s="60"/>
    </row>
    <row r="16181" spans="7:24" ht="15" customHeight="1">
      <c r="G16181"/>
      <c r="I16181"/>
      <c r="N16181"/>
      <c r="O16181" s="24"/>
      <c r="P16181"/>
      <c r="Q16181" s="24"/>
      <c r="R16181"/>
      <c r="S16181"/>
      <c r="T16181"/>
      <c r="U16181"/>
      <c r="X16181" s="60"/>
    </row>
    <row r="16182" spans="7:24" ht="15" customHeight="1">
      <c r="G16182"/>
      <c r="I16182"/>
      <c r="N16182"/>
      <c r="O16182" s="24"/>
      <c r="P16182"/>
      <c r="Q16182" s="24"/>
      <c r="R16182"/>
      <c r="S16182"/>
      <c r="T16182"/>
      <c r="U16182"/>
      <c r="X16182" s="60"/>
    </row>
    <row r="16183" spans="7:24" ht="15" customHeight="1">
      <c r="G16183"/>
      <c r="I16183"/>
      <c r="N16183"/>
      <c r="O16183" s="24"/>
      <c r="P16183"/>
      <c r="Q16183" s="24"/>
      <c r="R16183"/>
      <c r="S16183"/>
      <c r="T16183"/>
      <c r="U16183"/>
      <c r="X16183" s="60"/>
    </row>
    <row r="16184" spans="7:24" ht="15" customHeight="1">
      <c r="G16184"/>
      <c r="I16184"/>
      <c r="N16184"/>
      <c r="O16184" s="24"/>
      <c r="P16184"/>
      <c r="Q16184" s="24"/>
      <c r="R16184"/>
      <c r="S16184"/>
      <c r="T16184"/>
      <c r="U16184"/>
      <c r="X16184" s="60"/>
    </row>
    <row r="16185" spans="7:24" ht="15" customHeight="1">
      <c r="G16185"/>
      <c r="I16185"/>
      <c r="N16185"/>
      <c r="O16185" s="24"/>
      <c r="P16185"/>
      <c r="Q16185" s="24"/>
      <c r="R16185"/>
      <c r="S16185"/>
      <c r="T16185"/>
      <c r="U16185"/>
      <c r="X16185" s="60"/>
    </row>
    <row r="16186" spans="7:24" ht="15" customHeight="1">
      <c r="G16186"/>
      <c r="I16186"/>
      <c r="N16186"/>
      <c r="O16186" s="24"/>
      <c r="P16186"/>
      <c r="Q16186" s="24"/>
      <c r="R16186"/>
      <c r="S16186"/>
      <c r="T16186"/>
      <c r="U16186"/>
      <c r="X16186" s="60"/>
    </row>
    <row r="16187" spans="7:24" ht="15" customHeight="1">
      <c r="G16187"/>
      <c r="I16187"/>
      <c r="N16187"/>
      <c r="O16187" s="24"/>
      <c r="P16187"/>
      <c r="Q16187" s="24"/>
      <c r="R16187"/>
      <c r="S16187"/>
      <c r="T16187"/>
      <c r="U16187"/>
      <c r="X16187" s="60"/>
    </row>
    <row r="16188" spans="7:24" ht="15" customHeight="1">
      <c r="G16188"/>
      <c r="I16188"/>
      <c r="N16188"/>
      <c r="O16188" s="24"/>
      <c r="P16188"/>
      <c r="Q16188" s="24"/>
      <c r="R16188"/>
      <c r="S16188"/>
      <c r="T16188"/>
      <c r="U16188"/>
      <c r="X16188" s="60"/>
    </row>
    <row r="16189" spans="7:24" ht="15" customHeight="1">
      <c r="G16189"/>
      <c r="I16189"/>
      <c r="N16189"/>
      <c r="O16189" s="24"/>
      <c r="P16189"/>
      <c r="Q16189" s="24"/>
      <c r="R16189"/>
      <c r="S16189"/>
      <c r="T16189"/>
      <c r="U16189"/>
      <c r="X16189" s="60"/>
    </row>
    <row r="16190" spans="7:24" ht="15" customHeight="1">
      <c r="G16190"/>
      <c r="I16190"/>
      <c r="N16190"/>
      <c r="O16190" s="24"/>
      <c r="P16190"/>
      <c r="Q16190" s="24"/>
      <c r="R16190"/>
      <c r="S16190"/>
      <c r="T16190"/>
      <c r="U16190"/>
      <c r="X16190" s="60"/>
    </row>
    <row r="16191" spans="7:24" ht="15" customHeight="1">
      <c r="G16191"/>
      <c r="I16191"/>
      <c r="N16191"/>
      <c r="O16191" s="24"/>
      <c r="P16191"/>
      <c r="Q16191" s="24"/>
      <c r="R16191"/>
      <c r="S16191"/>
      <c r="T16191"/>
      <c r="U16191"/>
      <c r="X16191" s="60"/>
    </row>
    <row r="16192" spans="7:24" ht="15" customHeight="1">
      <c r="G16192"/>
      <c r="I16192"/>
      <c r="N16192"/>
      <c r="O16192" s="24"/>
      <c r="P16192"/>
      <c r="Q16192" s="24"/>
      <c r="R16192"/>
      <c r="S16192"/>
      <c r="T16192"/>
      <c r="U16192"/>
      <c r="X16192" s="60"/>
    </row>
    <row r="16193" spans="7:24" ht="15" customHeight="1">
      <c r="G16193"/>
      <c r="I16193"/>
      <c r="N16193"/>
      <c r="O16193" s="24"/>
      <c r="P16193"/>
      <c r="Q16193" s="24"/>
      <c r="R16193"/>
      <c r="S16193"/>
      <c r="T16193"/>
      <c r="U16193"/>
      <c r="X16193" s="60"/>
    </row>
    <row r="16194" spans="7:24" ht="15" customHeight="1">
      <c r="G16194"/>
      <c r="I16194"/>
      <c r="N16194"/>
      <c r="O16194" s="24"/>
      <c r="P16194"/>
      <c r="Q16194" s="24"/>
      <c r="R16194"/>
      <c r="S16194"/>
      <c r="T16194"/>
      <c r="U16194"/>
      <c r="X16194" s="60"/>
    </row>
    <row r="16195" spans="7:24" ht="15" customHeight="1">
      <c r="G16195"/>
      <c r="I16195"/>
      <c r="N16195"/>
      <c r="O16195" s="24"/>
      <c r="P16195"/>
      <c r="Q16195" s="24"/>
      <c r="R16195"/>
      <c r="S16195"/>
      <c r="T16195"/>
      <c r="U16195"/>
      <c r="X16195" s="60"/>
    </row>
    <row r="16196" spans="7:24" ht="15" customHeight="1">
      <c r="G16196"/>
      <c r="I16196"/>
      <c r="N16196"/>
      <c r="O16196" s="24"/>
      <c r="P16196"/>
      <c r="Q16196" s="24"/>
      <c r="R16196"/>
      <c r="S16196"/>
      <c r="T16196"/>
      <c r="U16196"/>
      <c r="X16196" s="60"/>
    </row>
    <row r="16197" spans="7:24" ht="15" customHeight="1">
      <c r="G16197"/>
      <c r="I16197"/>
      <c r="N16197"/>
      <c r="O16197" s="24"/>
      <c r="P16197"/>
      <c r="Q16197" s="24"/>
      <c r="R16197"/>
      <c r="S16197"/>
      <c r="T16197"/>
      <c r="U16197"/>
      <c r="X16197" s="60"/>
    </row>
    <row r="16198" spans="7:24" ht="15" customHeight="1">
      <c r="G16198"/>
      <c r="I16198"/>
      <c r="N16198"/>
      <c r="O16198" s="24"/>
      <c r="P16198"/>
      <c r="Q16198" s="24"/>
      <c r="R16198"/>
      <c r="S16198"/>
      <c r="T16198"/>
      <c r="U16198"/>
      <c r="X16198" s="60"/>
    </row>
    <row r="16199" spans="7:24" ht="15" customHeight="1">
      <c r="G16199"/>
      <c r="I16199"/>
      <c r="N16199"/>
      <c r="O16199" s="24"/>
      <c r="P16199"/>
      <c r="Q16199" s="24"/>
      <c r="R16199"/>
      <c r="S16199"/>
      <c r="T16199"/>
      <c r="U16199"/>
      <c r="X16199" s="60"/>
    </row>
    <row r="16200" spans="7:24" ht="15" customHeight="1">
      <c r="G16200"/>
      <c r="I16200"/>
      <c r="N16200"/>
      <c r="O16200" s="24"/>
      <c r="P16200"/>
      <c r="Q16200" s="24"/>
      <c r="R16200"/>
      <c r="S16200"/>
      <c r="T16200"/>
      <c r="U16200"/>
      <c r="X16200" s="60"/>
    </row>
    <row r="16201" spans="7:24" ht="15" customHeight="1">
      <c r="G16201"/>
      <c r="I16201"/>
      <c r="N16201"/>
      <c r="O16201" s="24"/>
      <c r="P16201"/>
      <c r="Q16201" s="24"/>
      <c r="R16201"/>
      <c r="S16201"/>
      <c r="T16201"/>
      <c r="U16201"/>
      <c r="X16201" s="60"/>
    </row>
    <row r="16202" spans="7:24" ht="15" customHeight="1">
      <c r="G16202"/>
      <c r="I16202"/>
      <c r="N16202"/>
      <c r="O16202" s="24"/>
      <c r="P16202"/>
      <c r="Q16202" s="24"/>
      <c r="R16202"/>
      <c r="S16202"/>
      <c r="T16202"/>
      <c r="U16202"/>
      <c r="X16202" s="60"/>
    </row>
    <row r="16203" spans="7:24" ht="15" customHeight="1">
      <c r="G16203"/>
      <c r="I16203"/>
      <c r="N16203"/>
      <c r="O16203" s="24"/>
      <c r="P16203"/>
      <c r="Q16203" s="24"/>
      <c r="R16203"/>
      <c r="S16203"/>
      <c r="T16203"/>
      <c r="U16203"/>
      <c r="X16203" s="60"/>
    </row>
    <row r="16204" spans="7:24" ht="15" customHeight="1">
      <c r="G16204"/>
      <c r="I16204"/>
      <c r="N16204"/>
      <c r="O16204" s="24"/>
      <c r="P16204"/>
      <c r="Q16204" s="24"/>
      <c r="R16204"/>
      <c r="S16204"/>
      <c r="T16204"/>
      <c r="U16204"/>
      <c r="X16204" s="60"/>
    </row>
    <row r="16205" spans="7:24" ht="15" customHeight="1">
      <c r="G16205"/>
      <c r="I16205"/>
      <c r="N16205"/>
      <c r="O16205" s="24"/>
      <c r="P16205"/>
      <c r="Q16205" s="24"/>
      <c r="R16205"/>
      <c r="S16205"/>
      <c r="T16205"/>
      <c r="U16205"/>
      <c r="X16205" s="60"/>
    </row>
    <row r="16206" spans="7:24" ht="15" customHeight="1">
      <c r="G16206"/>
      <c r="I16206"/>
      <c r="N16206"/>
      <c r="O16206" s="24"/>
      <c r="P16206"/>
      <c r="Q16206" s="24"/>
      <c r="R16206"/>
      <c r="S16206"/>
      <c r="T16206"/>
      <c r="U16206"/>
      <c r="X16206" s="60"/>
    </row>
    <row r="16207" spans="7:24" ht="15" customHeight="1">
      <c r="G16207"/>
      <c r="I16207"/>
      <c r="N16207"/>
      <c r="O16207" s="24"/>
      <c r="P16207"/>
      <c r="Q16207" s="24"/>
      <c r="R16207"/>
      <c r="S16207"/>
      <c r="T16207"/>
      <c r="U16207"/>
      <c r="X16207" s="60"/>
    </row>
    <row r="16208" spans="7:24" ht="15" customHeight="1">
      <c r="G16208"/>
      <c r="I16208"/>
      <c r="N16208"/>
      <c r="O16208" s="24"/>
      <c r="P16208"/>
      <c r="Q16208" s="24"/>
      <c r="R16208"/>
      <c r="S16208"/>
      <c r="T16208"/>
      <c r="U16208"/>
      <c r="X16208" s="60"/>
    </row>
    <row r="16209" spans="7:24" ht="15" customHeight="1">
      <c r="G16209"/>
      <c r="I16209"/>
      <c r="N16209"/>
      <c r="O16209" s="24"/>
      <c r="P16209"/>
      <c r="Q16209" s="24"/>
      <c r="R16209"/>
      <c r="S16209"/>
      <c r="T16209"/>
      <c r="U16209"/>
      <c r="X16209" s="60"/>
    </row>
    <row r="16210" spans="7:24" ht="15" customHeight="1">
      <c r="G16210"/>
      <c r="I16210"/>
      <c r="N16210"/>
      <c r="O16210" s="24"/>
      <c r="P16210"/>
      <c r="Q16210" s="24"/>
      <c r="R16210"/>
      <c r="S16210"/>
      <c r="T16210"/>
      <c r="U16210"/>
      <c r="X16210" s="60"/>
    </row>
    <row r="16211" spans="7:24" ht="15" customHeight="1">
      <c r="G16211"/>
      <c r="I16211"/>
      <c r="N16211"/>
      <c r="O16211" s="24"/>
      <c r="P16211"/>
      <c r="Q16211" s="24"/>
      <c r="R16211"/>
      <c r="S16211"/>
      <c r="T16211"/>
      <c r="U16211"/>
      <c r="X16211" s="60"/>
    </row>
    <row r="16212" spans="7:24" ht="15" customHeight="1">
      <c r="G16212"/>
      <c r="I16212"/>
      <c r="N16212"/>
      <c r="O16212" s="24"/>
      <c r="P16212"/>
      <c r="Q16212" s="24"/>
      <c r="R16212"/>
      <c r="S16212"/>
      <c r="T16212"/>
      <c r="U16212"/>
      <c r="X16212" s="60"/>
    </row>
    <row r="16213" spans="7:24" ht="15" customHeight="1">
      <c r="G16213"/>
      <c r="I16213"/>
      <c r="N16213"/>
      <c r="O16213" s="24"/>
      <c r="P16213"/>
      <c r="Q16213" s="24"/>
      <c r="R16213"/>
      <c r="S16213"/>
      <c r="T16213"/>
      <c r="U16213"/>
      <c r="X16213" s="60"/>
    </row>
    <row r="16214" spans="7:24" ht="15" customHeight="1">
      <c r="G16214"/>
      <c r="I16214"/>
      <c r="N16214"/>
      <c r="O16214" s="24"/>
      <c r="P16214"/>
      <c r="Q16214" s="24"/>
      <c r="R16214"/>
      <c r="S16214"/>
      <c r="T16214"/>
      <c r="U16214"/>
      <c r="X16214" s="60"/>
    </row>
    <row r="16215" spans="7:24" ht="15" customHeight="1">
      <c r="G16215"/>
      <c r="I16215"/>
      <c r="N16215"/>
      <c r="O16215" s="24"/>
      <c r="P16215"/>
      <c r="Q16215" s="24"/>
      <c r="R16215"/>
      <c r="S16215"/>
      <c r="T16215"/>
      <c r="U16215"/>
      <c r="X16215" s="60"/>
    </row>
    <row r="16216" spans="7:24" ht="15" customHeight="1">
      <c r="G16216"/>
      <c r="I16216"/>
      <c r="N16216"/>
      <c r="O16216" s="24"/>
      <c r="P16216"/>
      <c r="Q16216" s="24"/>
      <c r="R16216"/>
      <c r="S16216"/>
      <c r="T16216"/>
      <c r="U16216"/>
      <c r="X16216" s="60"/>
    </row>
    <row r="16217" spans="7:24" ht="15" customHeight="1">
      <c r="G16217"/>
      <c r="I16217"/>
      <c r="N16217"/>
      <c r="O16217" s="24"/>
      <c r="P16217"/>
      <c r="Q16217" s="24"/>
      <c r="R16217"/>
      <c r="S16217"/>
      <c r="T16217"/>
      <c r="U16217"/>
      <c r="X16217" s="60"/>
    </row>
    <row r="16218" spans="7:24" ht="15" customHeight="1">
      <c r="G16218"/>
      <c r="I16218"/>
      <c r="N16218"/>
      <c r="O16218" s="24"/>
      <c r="P16218"/>
      <c r="Q16218" s="24"/>
      <c r="R16218"/>
      <c r="S16218"/>
      <c r="T16218"/>
      <c r="U16218"/>
      <c r="X16218" s="60"/>
    </row>
    <row r="16219" spans="7:24" ht="15" customHeight="1">
      <c r="G16219"/>
      <c r="I16219"/>
      <c r="N16219"/>
      <c r="O16219" s="24"/>
      <c r="P16219"/>
      <c r="Q16219" s="24"/>
      <c r="R16219"/>
      <c r="S16219"/>
      <c r="T16219"/>
      <c r="U16219"/>
      <c r="X16219" s="60"/>
    </row>
    <row r="16220" spans="7:24" ht="15" customHeight="1">
      <c r="G16220"/>
      <c r="I16220"/>
      <c r="N16220"/>
      <c r="O16220" s="24"/>
      <c r="P16220"/>
      <c r="Q16220" s="24"/>
      <c r="R16220"/>
      <c r="S16220"/>
      <c r="T16220"/>
      <c r="U16220"/>
      <c r="X16220" s="60"/>
    </row>
    <row r="16221" spans="7:24" ht="15" customHeight="1">
      <c r="G16221"/>
      <c r="I16221"/>
      <c r="N16221"/>
      <c r="O16221" s="24"/>
      <c r="P16221"/>
      <c r="Q16221" s="24"/>
      <c r="R16221"/>
      <c r="S16221"/>
      <c r="T16221"/>
      <c r="U16221"/>
      <c r="X16221" s="60"/>
    </row>
    <row r="16222" spans="7:24" ht="15" customHeight="1">
      <c r="G16222"/>
      <c r="I16222"/>
      <c r="N16222"/>
      <c r="O16222" s="24"/>
      <c r="P16222"/>
      <c r="Q16222" s="24"/>
      <c r="R16222"/>
      <c r="S16222"/>
      <c r="T16222"/>
      <c r="U16222"/>
      <c r="X16222" s="60"/>
    </row>
    <row r="16223" spans="7:24" ht="15" customHeight="1">
      <c r="G16223"/>
      <c r="I16223"/>
      <c r="N16223"/>
      <c r="O16223" s="24"/>
      <c r="P16223"/>
      <c r="Q16223" s="24"/>
      <c r="R16223"/>
      <c r="S16223"/>
      <c r="T16223"/>
      <c r="U16223"/>
      <c r="X16223" s="60"/>
    </row>
    <row r="16224" spans="7:24" ht="15" customHeight="1">
      <c r="G16224"/>
      <c r="I16224"/>
      <c r="N16224"/>
      <c r="O16224" s="24"/>
      <c r="P16224"/>
      <c r="Q16224" s="24"/>
      <c r="R16224"/>
      <c r="S16224"/>
      <c r="T16224"/>
      <c r="U16224"/>
      <c r="X16224" s="60"/>
    </row>
    <row r="16225" spans="7:24" ht="15" customHeight="1">
      <c r="G16225"/>
      <c r="I16225"/>
      <c r="N16225"/>
      <c r="O16225" s="24"/>
      <c r="P16225"/>
      <c r="Q16225" s="24"/>
      <c r="R16225"/>
      <c r="S16225"/>
      <c r="T16225"/>
      <c r="U16225"/>
      <c r="X16225" s="60"/>
    </row>
    <row r="16226" spans="7:24" ht="15" customHeight="1">
      <c r="G16226"/>
      <c r="I16226"/>
      <c r="N16226"/>
      <c r="O16226" s="24"/>
      <c r="P16226"/>
      <c r="Q16226" s="24"/>
      <c r="R16226"/>
      <c r="S16226"/>
      <c r="T16226"/>
      <c r="U16226"/>
      <c r="X16226" s="60"/>
    </row>
    <row r="16227" spans="7:24" ht="15" customHeight="1">
      <c r="G16227"/>
      <c r="I16227"/>
      <c r="N16227"/>
      <c r="O16227" s="24"/>
      <c r="P16227"/>
      <c r="Q16227" s="24"/>
      <c r="R16227"/>
      <c r="S16227"/>
      <c r="T16227"/>
      <c r="U16227"/>
      <c r="X16227" s="60"/>
    </row>
    <row r="16228" spans="7:24" ht="15" customHeight="1">
      <c r="G16228"/>
      <c r="I16228"/>
      <c r="N16228"/>
      <c r="O16228" s="24"/>
      <c r="P16228"/>
      <c r="Q16228" s="24"/>
      <c r="R16228"/>
      <c r="S16228"/>
      <c r="T16228"/>
      <c r="U16228"/>
      <c r="X16228" s="60"/>
    </row>
    <row r="16229" spans="7:24" ht="15" customHeight="1">
      <c r="G16229"/>
      <c r="I16229"/>
      <c r="N16229"/>
      <c r="O16229" s="24"/>
      <c r="P16229"/>
      <c r="Q16229" s="24"/>
      <c r="R16229"/>
      <c r="S16229"/>
      <c r="T16229"/>
      <c r="U16229"/>
      <c r="X16229" s="60"/>
    </row>
    <row r="16230" spans="7:24" ht="15" customHeight="1">
      <c r="G16230"/>
      <c r="I16230"/>
      <c r="N16230"/>
      <c r="O16230" s="24"/>
      <c r="P16230"/>
      <c r="Q16230" s="24"/>
      <c r="R16230"/>
      <c r="S16230"/>
      <c r="T16230"/>
      <c r="U16230"/>
      <c r="X16230" s="60"/>
    </row>
    <row r="16231" spans="7:24" ht="15" customHeight="1">
      <c r="G16231"/>
      <c r="I16231"/>
      <c r="N16231"/>
      <c r="O16231" s="24"/>
      <c r="P16231"/>
      <c r="Q16231" s="24"/>
      <c r="R16231"/>
      <c r="S16231"/>
      <c r="T16231"/>
      <c r="U16231"/>
      <c r="X16231" s="60"/>
    </row>
    <row r="16232" spans="7:24" ht="15" customHeight="1">
      <c r="G16232"/>
      <c r="I16232"/>
      <c r="N16232"/>
      <c r="O16232" s="24"/>
      <c r="P16232"/>
      <c r="Q16232" s="24"/>
      <c r="R16232"/>
      <c r="S16232"/>
      <c r="T16232"/>
      <c r="U16232"/>
      <c r="X16232" s="60"/>
    </row>
    <row r="16233" spans="7:24" ht="15" customHeight="1">
      <c r="G16233"/>
      <c r="I16233"/>
      <c r="N16233"/>
      <c r="O16233" s="24"/>
      <c r="P16233"/>
      <c r="Q16233" s="24"/>
      <c r="R16233"/>
      <c r="S16233"/>
      <c r="T16233"/>
      <c r="U16233"/>
      <c r="X16233" s="60"/>
    </row>
    <row r="16234" spans="7:24" ht="15" customHeight="1">
      <c r="G16234"/>
      <c r="I16234"/>
      <c r="N16234"/>
      <c r="O16234" s="24"/>
      <c r="P16234"/>
      <c r="Q16234" s="24"/>
      <c r="R16234"/>
      <c r="S16234"/>
      <c r="T16234"/>
      <c r="U16234"/>
      <c r="X16234" s="60"/>
    </row>
    <row r="16235" spans="7:24" ht="15" customHeight="1">
      <c r="G16235"/>
      <c r="I16235"/>
      <c r="N16235"/>
      <c r="O16235" s="24"/>
      <c r="P16235"/>
      <c r="Q16235" s="24"/>
      <c r="R16235"/>
      <c r="S16235"/>
      <c r="T16235"/>
      <c r="U16235"/>
      <c r="X16235" s="60"/>
    </row>
    <row r="16236" spans="7:24" ht="15" customHeight="1">
      <c r="G16236"/>
      <c r="I16236"/>
      <c r="N16236"/>
      <c r="O16236" s="24"/>
      <c r="P16236"/>
      <c r="Q16236" s="24"/>
      <c r="R16236"/>
      <c r="S16236"/>
      <c r="T16236"/>
      <c r="U16236"/>
      <c r="X16236" s="60"/>
    </row>
    <row r="16237" spans="7:24" ht="15" customHeight="1">
      <c r="G16237"/>
      <c r="I16237"/>
      <c r="N16237"/>
      <c r="O16237" s="24"/>
      <c r="P16237"/>
      <c r="Q16237" s="24"/>
      <c r="R16237"/>
      <c r="S16237"/>
      <c r="T16237"/>
      <c r="U16237"/>
      <c r="X16237" s="60"/>
    </row>
    <row r="16238" spans="7:24" ht="15" customHeight="1">
      <c r="G16238"/>
      <c r="I16238"/>
      <c r="N16238"/>
      <c r="O16238" s="24"/>
      <c r="P16238"/>
      <c r="Q16238" s="24"/>
      <c r="R16238"/>
      <c r="S16238"/>
      <c r="T16238"/>
      <c r="U16238"/>
      <c r="X16238" s="60"/>
    </row>
    <row r="16239" spans="7:24" ht="15" customHeight="1">
      <c r="G16239"/>
      <c r="I16239"/>
      <c r="N16239"/>
      <c r="O16239" s="24"/>
      <c r="P16239"/>
      <c r="Q16239" s="24"/>
      <c r="R16239"/>
      <c r="S16239"/>
      <c r="T16239"/>
      <c r="U16239"/>
      <c r="X16239" s="60"/>
    </row>
    <row r="16240" spans="7:24" ht="15" customHeight="1">
      <c r="G16240"/>
      <c r="I16240"/>
      <c r="N16240"/>
      <c r="O16240" s="24"/>
      <c r="P16240"/>
      <c r="Q16240" s="24"/>
      <c r="R16240"/>
      <c r="S16240"/>
      <c r="T16240"/>
      <c r="U16240"/>
      <c r="X16240" s="60"/>
    </row>
    <row r="16241" spans="7:24" ht="15" customHeight="1">
      <c r="G16241"/>
      <c r="I16241"/>
      <c r="N16241"/>
      <c r="O16241" s="24"/>
      <c r="P16241"/>
      <c r="Q16241" s="24"/>
      <c r="R16241"/>
      <c r="S16241"/>
      <c r="T16241"/>
      <c r="U16241"/>
      <c r="X16241" s="60"/>
    </row>
    <row r="16242" spans="7:24" ht="15" customHeight="1">
      <c r="G16242"/>
      <c r="I16242"/>
      <c r="N16242"/>
      <c r="O16242" s="24"/>
      <c r="P16242"/>
      <c r="Q16242" s="24"/>
      <c r="R16242"/>
      <c r="S16242"/>
      <c r="T16242"/>
      <c r="U16242"/>
      <c r="X16242" s="60"/>
    </row>
    <row r="16243" spans="7:24" ht="15" customHeight="1">
      <c r="G16243"/>
      <c r="I16243"/>
      <c r="N16243"/>
      <c r="O16243" s="24"/>
      <c r="P16243"/>
      <c r="Q16243" s="24"/>
      <c r="R16243"/>
      <c r="S16243"/>
      <c r="T16243"/>
      <c r="U16243"/>
      <c r="X16243" s="60"/>
    </row>
    <row r="16244" spans="7:24" ht="15" customHeight="1">
      <c r="G16244"/>
      <c r="I16244"/>
      <c r="N16244"/>
      <c r="O16244" s="24"/>
      <c r="P16244"/>
      <c r="Q16244" s="24"/>
      <c r="R16244"/>
      <c r="S16244"/>
      <c r="T16244"/>
      <c r="U16244"/>
      <c r="X16244" s="60"/>
    </row>
    <row r="16245" spans="7:24" ht="15" customHeight="1">
      <c r="G16245"/>
      <c r="I16245"/>
      <c r="N16245"/>
      <c r="O16245" s="24"/>
      <c r="P16245"/>
      <c r="Q16245" s="24"/>
      <c r="R16245"/>
      <c r="S16245"/>
      <c r="T16245"/>
      <c r="U16245"/>
      <c r="X16245" s="60"/>
    </row>
    <row r="16246" spans="7:24" ht="15" customHeight="1">
      <c r="G16246"/>
      <c r="I16246"/>
      <c r="N16246"/>
      <c r="O16246" s="24"/>
      <c r="P16246"/>
      <c r="Q16246" s="24"/>
      <c r="R16246"/>
      <c r="S16246"/>
      <c r="T16246"/>
      <c r="U16246"/>
      <c r="X16246" s="60"/>
    </row>
    <row r="16247" spans="7:24" ht="15" customHeight="1">
      <c r="G16247"/>
      <c r="I16247"/>
      <c r="N16247"/>
      <c r="O16247" s="24"/>
      <c r="P16247"/>
      <c r="Q16247" s="24"/>
      <c r="R16247"/>
      <c r="S16247"/>
      <c r="T16247"/>
      <c r="U16247"/>
      <c r="X16247" s="60"/>
    </row>
    <row r="16248" spans="7:24" ht="15" customHeight="1">
      <c r="G16248"/>
      <c r="I16248"/>
      <c r="N16248"/>
      <c r="O16248" s="24"/>
      <c r="P16248"/>
      <c r="Q16248" s="24"/>
      <c r="R16248"/>
      <c r="S16248"/>
      <c r="T16248"/>
      <c r="U16248"/>
      <c r="X16248" s="60"/>
    </row>
    <row r="16249" spans="7:24" ht="15" customHeight="1">
      <c r="G16249"/>
      <c r="I16249"/>
      <c r="N16249"/>
      <c r="O16249" s="24"/>
      <c r="P16249"/>
      <c r="Q16249" s="24"/>
      <c r="R16249"/>
      <c r="S16249"/>
      <c r="T16249"/>
      <c r="U16249"/>
      <c r="X16249" s="60"/>
    </row>
    <row r="16250" spans="7:24" ht="15" customHeight="1">
      <c r="G16250"/>
      <c r="I16250"/>
      <c r="N16250"/>
      <c r="O16250" s="24"/>
      <c r="P16250"/>
      <c r="Q16250" s="24"/>
      <c r="R16250"/>
      <c r="S16250"/>
      <c r="T16250"/>
      <c r="U16250"/>
      <c r="X16250" s="60"/>
    </row>
    <row r="16251" spans="7:24" ht="15" customHeight="1">
      <c r="G16251"/>
      <c r="I16251"/>
      <c r="N16251"/>
      <c r="O16251" s="24"/>
      <c r="P16251"/>
      <c r="Q16251" s="24"/>
      <c r="R16251"/>
      <c r="S16251"/>
      <c r="T16251"/>
      <c r="U16251"/>
      <c r="X16251" s="60"/>
    </row>
    <row r="16252" spans="7:24" ht="15" customHeight="1">
      <c r="G16252"/>
      <c r="I16252"/>
      <c r="N16252"/>
      <c r="O16252" s="24"/>
      <c r="P16252"/>
      <c r="Q16252" s="24"/>
      <c r="R16252"/>
      <c r="S16252"/>
      <c r="T16252"/>
      <c r="U16252"/>
      <c r="X16252" s="60"/>
    </row>
    <row r="16253" spans="7:24" ht="15" customHeight="1">
      <c r="G16253"/>
      <c r="I16253"/>
      <c r="N16253"/>
      <c r="O16253" s="24"/>
      <c r="P16253"/>
      <c r="Q16253" s="24"/>
      <c r="R16253"/>
      <c r="S16253"/>
      <c r="T16253"/>
      <c r="U16253"/>
      <c r="X16253" s="60"/>
    </row>
    <row r="16254" spans="7:24" ht="15" customHeight="1">
      <c r="G16254"/>
      <c r="I16254"/>
      <c r="N16254"/>
      <c r="O16254" s="24"/>
      <c r="P16254"/>
      <c r="Q16254" s="24"/>
      <c r="R16254"/>
      <c r="S16254"/>
      <c r="T16254"/>
      <c r="U16254"/>
      <c r="X16254" s="60"/>
    </row>
    <row r="16255" spans="7:24" ht="15" customHeight="1">
      <c r="G16255"/>
      <c r="I16255"/>
      <c r="N16255"/>
      <c r="O16255" s="24"/>
      <c r="P16255"/>
      <c r="Q16255" s="24"/>
      <c r="R16255"/>
      <c r="S16255"/>
      <c r="T16255"/>
      <c r="U16255"/>
      <c r="X16255" s="60"/>
    </row>
    <row r="16256" spans="7:24" ht="15" customHeight="1">
      <c r="G16256"/>
      <c r="I16256"/>
      <c r="N16256"/>
      <c r="O16256" s="24"/>
      <c r="P16256"/>
      <c r="Q16256" s="24"/>
      <c r="R16256"/>
      <c r="S16256"/>
      <c r="T16256"/>
      <c r="U16256"/>
      <c r="X16256" s="60"/>
    </row>
    <row r="16257" spans="7:24" ht="15" customHeight="1">
      <c r="G16257"/>
      <c r="I16257"/>
      <c r="N16257"/>
      <c r="O16257" s="24"/>
      <c r="P16257"/>
      <c r="Q16257" s="24"/>
      <c r="R16257"/>
      <c r="S16257"/>
      <c r="T16257"/>
      <c r="U16257"/>
      <c r="X16257" s="60"/>
    </row>
    <row r="16258" spans="7:24" ht="15" customHeight="1">
      <c r="G16258"/>
      <c r="I16258"/>
      <c r="N16258"/>
      <c r="O16258" s="24"/>
      <c r="P16258"/>
      <c r="Q16258" s="24"/>
      <c r="R16258"/>
      <c r="S16258"/>
      <c r="T16258"/>
      <c r="U16258"/>
      <c r="X16258" s="60"/>
    </row>
    <row r="16259" spans="7:24" ht="15" customHeight="1">
      <c r="G16259"/>
      <c r="I16259"/>
      <c r="N16259"/>
      <c r="O16259" s="24"/>
      <c r="P16259"/>
      <c r="Q16259" s="24"/>
      <c r="R16259"/>
      <c r="S16259"/>
      <c r="T16259"/>
      <c r="U16259"/>
      <c r="X16259" s="60"/>
    </row>
    <row r="16260" spans="7:24" ht="15" customHeight="1">
      <c r="G16260"/>
      <c r="I16260"/>
      <c r="N16260"/>
      <c r="O16260" s="24"/>
      <c r="P16260"/>
      <c r="Q16260" s="24"/>
      <c r="R16260"/>
      <c r="S16260"/>
      <c r="T16260"/>
      <c r="U16260"/>
      <c r="X16260" s="60"/>
    </row>
    <row r="16261" spans="7:24" ht="15" customHeight="1">
      <c r="G16261"/>
      <c r="I16261"/>
      <c r="N16261"/>
      <c r="O16261" s="24"/>
      <c r="P16261"/>
      <c r="Q16261" s="24"/>
      <c r="R16261"/>
      <c r="S16261"/>
      <c r="T16261"/>
      <c r="U16261"/>
      <c r="X16261" s="60"/>
    </row>
    <row r="16262" spans="7:24" ht="15" customHeight="1">
      <c r="G16262"/>
      <c r="I16262"/>
      <c r="N16262"/>
      <c r="O16262" s="24"/>
      <c r="P16262"/>
      <c r="Q16262" s="24"/>
      <c r="R16262"/>
      <c r="S16262"/>
      <c r="T16262"/>
      <c r="U16262"/>
      <c r="X16262" s="60"/>
    </row>
    <row r="16263" spans="7:24" ht="15" customHeight="1">
      <c r="G16263"/>
      <c r="I16263"/>
      <c r="N16263"/>
      <c r="O16263" s="24"/>
      <c r="P16263"/>
      <c r="Q16263" s="24"/>
      <c r="R16263"/>
      <c r="S16263"/>
      <c r="T16263"/>
      <c r="U16263"/>
      <c r="X16263" s="60"/>
    </row>
    <row r="16264" spans="7:24" ht="15" customHeight="1">
      <c r="G16264"/>
      <c r="I16264"/>
      <c r="N16264"/>
      <c r="O16264" s="24"/>
      <c r="P16264"/>
      <c r="Q16264" s="24"/>
      <c r="R16264"/>
      <c r="S16264"/>
      <c r="T16264"/>
      <c r="U16264"/>
      <c r="X16264" s="60"/>
    </row>
    <row r="16265" spans="7:24" ht="15" customHeight="1">
      <c r="G16265"/>
      <c r="I16265"/>
      <c r="N16265"/>
      <c r="O16265" s="24"/>
      <c r="P16265"/>
      <c r="Q16265" s="24"/>
      <c r="R16265"/>
      <c r="S16265"/>
      <c r="T16265"/>
      <c r="U16265"/>
      <c r="X16265" s="60"/>
    </row>
    <row r="16266" spans="7:24" ht="15" customHeight="1">
      <c r="G16266"/>
      <c r="I16266"/>
      <c r="N16266"/>
      <c r="O16266" s="24"/>
      <c r="P16266"/>
      <c r="Q16266" s="24"/>
      <c r="R16266"/>
      <c r="S16266"/>
      <c r="T16266"/>
      <c r="U16266"/>
      <c r="X16266" s="60"/>
    </row>
    <row r="16267" spans="7:24" ht="15" customHeight="1">
      <c r="G16267"/>
      <c r="I16267"/>
      <c r="N16267"/>
      <c r="O16267" s="24"/>
      <c r="P16267"/>
      <c r="Q16267" s="24"/>
      <c r="R16267"/>
      <c r="S16267"/>
      <c r="T16267"/>
      <c r="U16267"/>
      <c r="X16267" s="60"/>
    </row>
    <row r="16268" spans="7:24" ht="15" customHeight="1">
      <c r="G16268"/>
      <c r="I16268"/>
      <c r="N16268"/>
      <c r="O16268" s="24"/>
      <c r="P16268"/>
      <c r="Q16268" s="24"/>
      <c r="R16268"/>
      <c r="S16268"/>
      <c r="T16268"/>
      <c r="U16268"/>
      <c r="X16268" s="60"/>
    </row>
    <row r="16269" spans="7:24" ht="15" customHeight="1">
      <c r="G16269"/>
      <c r="I16269"/>
      <c r="N16269"/>
      <c r="O16269" s="24"/>
      <c r="P16269"/>
      <c r="Q16269" s="24"/>
      <c r="R16269"/>
      <c r="S16269"/>
      <c r="T16269"/>
      <c r="U16269"/>
      <c r="X16269" s="60"/>
    </row>
    <row r="16270" spans="7:24" ht="15" customHeight="1">
      <c r="G16270"/>
      <c r="I16270"/>
      <c r="N16270"/>
      <c r="O16270" s="24"/>
      <c r="P16270"/>
      <c r="Q16270" s="24"/>
      <c r="R16270"/>
      <c r="S16270"/>
      <c r="T16270"/>
      <c r="U16270"/>
      <c r="X16270" s="60"/>
    </row>
    <row r="16271" spans="7:24" ht="15" customHeight="1">
      <c r="G16271"/>
      <c r="I16271"/>
      <c r="N16271"/>
      <c r="O16271" s="24"/>
      <c r="P16271"/>
      <c r="Q16271" s="24"/>
      <c r="R16271"/>
      <c r="S16271"/>
      <c r="T16271"/>
      <c r="U16271"/>
      <c r="X16271" s="60"/>
    </row>
    <row r="16272" spans="7:24" ht="15" customHeight="1">
      <c r="G16272"/>
      <c r="I16272"/>
      <c r="N16272"/>
      <c r="O16272" s="24"/>
      <c r="P16272"/>
      <c r="Q16272" s="24"/>
      <c r="R16272"/>
      <c r="S16272"/>
      <c r="T16272"/>
      <c r="U16272"/>
      <c r="X16272" s="60"/>
    </row>
    <row r="16273" spans="7:24" ht="15" customHeight="1">
      <c r="G16273"/>
      <c r="I16273"/>
      <c r="N16273"/>
      <c r="O16273" s="24"/>
      <c r="P16273"/>
      <c r="Q16273" s="24"/>
      <c r="R16273"/>
      <c r="S16273"/>
      <c r="T16273"/>
      <c r="U16273"/>
      <c r="X16273" s="60"/>
    </row>
    <row r="16274" spans="7:24" ht="15" customHeight="1">
      <c r="G16274"/>
      <c r="I16274"/>
      <c r="N16274"/>
      <c r="O16274" s="24"/>
      <c r="P16274"/>
      <c r="Q16274" s="24"/>
      <c r="R16274"/>
      <c r="S16274"/>
      <c r="T16274"/>
      <c r="U16274"/>
      <c r="X16274" s="60"/>
    </row>
    <row r="16275" spans="7:24" ht="15" customHeight="1">
      <c r="G16275"/>
      <c r="I16275"/>
      <c r="N16275"/>
      <c r="O16275" s="24"/>
      <c r="P16275"/>
      <c r="Q16275" s="24"/>
      <c r="R16275"/>
      <c r="S16275"/>
      <c r="T16275"/>
      <c r="U16275"/>
      <c r="X16275" s="60"/>
    </row>
    <row r="16276" spans="7:24" ht="15" customHeight="1">
      <c r="G16276"/>
      <c r="I16276"/>
      <c r="N16276"/>
      <c r="O16276" s="24"/>
      <c r="P16276"/>
      <c r="Q16276" s="24"/>
      <c r="R16276"/>
      <c r="S16276"/>
      <c r="T16276"/>
      <c r="U16276"/>
      <c r="X16276" s="60"/>
    </row>
    <row r="16277" spans="7:24" ht="15" customHeight="1">
      <c r="G16277"/>
      <c r="I16277"/>
      <c r="N16277"/>
      <c r="O16277" s="24"/>
      <c r="P16277"/>
      <c r="Q16277" s="24"/>
      <c r="R16277"/>
      <c r="S16277"/>
      <c r="T16277"/>
      <c r="U16277"/>
      <c r="X16277" s="60"/>
    </row>
    <row r="16278" spans="7:24" ht="15" customHeight="1">
      <c r="G16278"/>
      <c r="I16278"/>
      <c r="N16278"/>
      <c r="O16278" s="24"/>
      <c r="P16278"/>
      <c r="Q16278" s="24"/>
      <c r="R16278"/>
      <c r="S16278"/>
      <c r="T16278"/>
      <c r="U16278"/>
      <c r="X16278" s="60"/>
    </row>
    <row r="16279" spans="7:24" ht="15" customHeight="1">
      <c r="G16279"/>
      <c r="I16279"/>
      <c r="N16279"/>
      <c r="O16279" s="24"/>
      <c r="P16279"/>
      <c r="Q16279" s="24"/>
      <c r="R16279"/>
      <c r="S16279"/>
      <c r="T16279"/>
      <c r="U16279"/>
      <c r="X16279" s="60"/>
    </row>
    <row r="16280" spans="7:24" ht="15" customHeight="1">
      <c r="G16280"/>
      <c r="I16280"/>
      <c r="N16280"/>
      <c r="O16280" s="24"/>
      <c r="P16280"/>
      <c r="Q16280" s="24"/>
      <c r="R16280"/>
      <c r="S16280"/>
      <c r="T16280"/>
      <c r="U16280"/>
      <c r="X16280" s="60"/>
    </row>
    <row r="16281" spans="7:24" ht="15" customHeight="1">
      <c r="G16281"/>
      <c r="I16281"/>
      <c r="N16281"/>
      <c r="O16281" s="24"/>
      <c r="P16281"/>
      <c r="Q16281" s="24"/>
      <c r="R16281"/>
      <c r="S16281"/>
      <c r="T16281"/>
      <c r="U16281"/>
      <c r="X16281" s="60"/>
    </row>
    <row r="16282" spans="7:24" ht="15" customHeight="1">
      <c r="G16282"/>
      <c r="I16282"/>
      <c r="N16282"/>
      <c r="O16282" s="24"/>
      <c r="P16282"/>
      <c r="Q16282" s="24"/>
      <c r="R16282"/>
      <c r="S16282"/>
      <c r="T16282"/>
      <c r="U16282"/>
      <c r="X16282" s="60"/>
    </row>
    <row r="16283" spans="7:24" ht="15" customHeight="1">
      <c r="G16283"/>
      <c r="I16283"/>
      <c r="N16283"/>
      <c r="O16283" s="24"/>
      <c r="P16283"/>
      <c r="Q16283" s="24"/>
      <c r="R16283"/>
      <c r="S16283"/>
      <c r="T16283"/>
      <c r="U16283"/>
      <c r="X16283" s="60"/>
    </row>
    <row r="16284" spans="7:24" ht="15" customHeight="1">
      <c r="G16284"/>
      <c r="I16284"/>
      <c r="N16284"/>
      <c r="O16284" s="24"/>
      <c r="P16284"/>
      <c r="Q16284" s="24"/>
      <c r="R16284"/>
      <c r="S16284"/>
      <c r="T16284"/>
      <c r="U16284"/>
      <c r="X16284" s="60"/>
    </row>
    <row r="16285" spans="7:24" ht="15" customHeight="1">
      <c r="G16285"/>
      <c r="I16285"/>
      <c r="N16285"/>
      <c r="O16285" s="24"/>
      <c r="P16285"/>
      <c r="Q16285" s="24"/>
      <c r="R16285"/>
      <c r="S16285"/>
      <c r="T16285"/>
      <c r="U16285"/>
      <c r="X16285" s="60"/>
    </row>
    <row r="16286" spans="7:24" ht="15" customHeight="1">
      <c r="G16286"/>
      <c r="I16286"/>
      <c r="N16286"/>
      <c r="O16286" s="24"/>
      <c r="P16286"/>
      <c r="Q16286" s="24"/>
      <c r="R16286"/>
      <c r="S16286"/>
      <c r="T16286"/>
      <c r="U16286"/>
      <c r="X16286" s="60"/>
    </row>
    <row r="16287" spans="7:24" ht="15" customHeight="1">
      <c r="G16287"/>
      <c r="I16287"/>
      <c r="N16287"/>
      <c r="O16287" s="24"/>
      <c r="P16287"/>
      <c r="Q16287" s="24"/>
      <c r="R16287"/>
      <c r="S16287"/>
      <c r="T16287"/>
      <c r="U16287"/>
      <c r="X16287" s="60"/>
    </row>
    <row r="16288" spans="7:24" ht="15" customHeight="1">
      <c r="G16288"/>
      <c r="I16288"/>
      <c r="N16288"/>
      <c r="O16288" s="24"/>
      <c r="P16288"/>
      <c r="Q16288" s="24"/>
      <c r="R16288"/>
      <c r="S16288"/>
      <c r="T16288"/>
      <c r="U16288"/>
      <c r="X16288" s="60"/>
    </row>
    <row r="16289" spans="7:24" ht="15" customHeight="1">
      <c r="G16289"/>
      <c r="I16289"/>
      <c r="N16289"/>
      <c r="O16289" s="24"/>
      <c r="P16289"/>
      <c r="Q16289" s="24"/>
      <c r="R16289"/>
      <c r="S16289"/>
      <c r="T16289"/>
      <c r="U16289"/>
      <c r="X16289" s="60"/>
    </row>
    <row r="16290" spans="7:24" ht="15" customHeight="1">
      <c r="G16290"/>
      <c r="I16290"/>
      <c r="N16290"/>
      <c r="O16290" s="24"/>
      <c r="P16290"/>
      <c r="Q16290" s="24"/>
      <c r="R16290"/>
      <c r="S16290"/>
      <c r="T16290"/>
      <c r="U16290"/>
      <c r="X16290" s="60"/>
    </row>
    <row r="16291" spans="7:24" ht="15" customHeight="1">
      <c r="G16291"/>
      <c r="I16291"/>
      <c r="N16291"/>
      <c r="O16291" s="24"/>
      <c r="P16291"/>
      <c r="Q16291" s="24"/>
      <c r="R16291"/>
      <c r="S16291"/>
      <c r="T16291"/>
      <c r="U16291"/>
      <c r="X16291" s="60"/>
    </row>
    <row r="16292" spans="7:24" ht="15" customHeight="1">
      <c r="G16292"/>
      <c r="I16292"/>
      <c r="N16292"/>
      <c r="O16292" s="24"/>
      <c r="P16292"/>
      <c r="Q16292" s="24"/>
      <c r="R16292"/>
      <c r="S16292"/>
      <c r="T16292"/>
      <c r="U16292"/>
      <c r="X16292" s="60"/>
    </row>
    <row r="16293" spans="7:24" ht="15" customHeight="1">
      <c r="G16293"/>
      <c r="I16293"/>
      <c r="N16293"/>
      <c r="O16293" s="24"/>
      <c r="P16293"/>
      <c r="Q16293" s="24"/>
      <c r="R16293"/>
      <c r="S16293"/>
      <c r="T16293"/>
      <c r="U16293"/>
      <c r="X16293" s="60"/>
    </row>
    <row r="16294" spans="7:24" ht="15" customHeight="1">
      <c r="G16294"/>
      <c r="I16294"/>
      <c r="N16294"/>
      <c r="O16294" s="24"/>
      <c r="P16294"/>
      <c r="Q16294" s="24"/>
      <c r="R16294"/>
      <c r="S16294"/>
      <c r="T16294"/>
      <c r="U16294"/>
      <c r="X16294" s="60"/>
    </row>
    <row r="16295" spans="7:24" ht="15" customHeight="1">
      <c r="G16295"/>
      <c r="I16295"/>
      <c r="N16295"/>
      <c r="O16295" s="24"/>
      <c r="P16295"/>
      <c r="Q16295" s="24"/>
      <c r="R16295"/>
      <c r="S16295"/>
      <c r="T16295"/>
      <c r="U16295"/>
      <c r="X16295" s="60"/>
    </row>
    <row r="16296" spans="7:24" ht="15" customHeight="1">
      <c r="G16296"/>
      <c r="I16296"/>
      <c r="N16296"/>
      <c r="O16296" s="24"/>
      <c r="P16296"/>
      <c r="Q16296" s="24"/>
      <c r="R16296"/>
      <c r="S16296"/>
      <c r="T16296"/>
      <c r="U16296"/>
      <c r="X16296" s="60"/>
    </row>
    <row r="16297" spans="7:24" ht="15" customHeight="1">
      <c r="G16297"/>
      <c r="I16297"/>
      <c r="N16297"/>
      <c r="O16297" s="24"/>
      <c r="P16297"/>
      <c r="Q16297" s="24"/>
      <c r="R16297"/>
      <c r="S16297"/>
      <c r="T16297"/>
      <c r="U16297"/>
      <c r="X16297" s="60"/>
    </row>
    <row r="16298" spans="7:24" ht="15" customHeight="1">
      <c r="G16298"/>
      <c r="I16298"/>
      <c r="N16298"/>
      <c r="O16298" s="24"/>
      <c r="P16298"/>
      <c r="Q16298" s="24"/>
      <c r="R16298"/>
      <c r="S16298"/>
      <c r="T16298"/>
      <c r="U16298"/>
      <c r="X16298" s="60"/>
    </row>
    <row r="16299" spans="7:24" ht="15" customHeight="1">
      <c r="G16299"/>
      <c r="I16299"/>
      <c r="N16299"/>
      <c r="O16299" s="24"/>
      <c r="P16299"/>
      <c r="Q16299" s="24"/>
      <c r="R16299"/>
      <c r="S16299"/>
      <c r="T16299"/>
      <c r="U16299"/>
      <c r="X16299" s="60"/>
    </row>
    <row r="16300" spans="7:24" ht="15" customHeight="1">
      <c r="G16300"/>
      <c r="I16300"/>
      <c r="N16300"/>
      <c r="O16300" s="24"/>
      <c r="P16300"/>
      <c r="Q16300" s="24"/>
      <c r="R16300"/>
      <c r="S16300"/>
      <c r="T16300"/>
      <c r="U16300"/>
      <c r="X16300" s="60"/>
    </row>
    <row r="16301" spans="7:24" ht="15" customHeight="1">
      <c r="G16301"/>
      <c r="I16301"/>
      <c r="N16301"/>
      <c r="O16301" s="24"/>
      <c r="P16301"/>
      <c r="Q16301" s="24"/>
      <c r="R16301"/>
      <c r="S16301"/>
      <c r="T16301"/>
      <c r="U16301"/>
      <c r="X16301" s="60"/>
    </row>
    <row r="16302" spans="7:24" ht="15" customHeight="1">
      <c r="G16302"/>
      <c r="I16302"/>
      <c r="N16302"/>
      <c r="O16302" s="24"/>
      <c r="P16302"/>
      <c r="Q16302" s="24"/>
      <c r="R16302"/>
      <c r="S16302"/>
      <c r="T16302"/>
      <c r="U16302"/>
      <c r="X16302" s="60"/>
    </row>
    <row r="16303" spans="7:24" ht="15" customHeight="1">
      <c r="G16303"/>
      <c r="I16303"/>
      <c r="N16303"/>
      <c r="O16303" s="24"/>
      <c r="P16303"/>
      <c r="Q16303" s="24"/>
      <c r="R16303"/>
      <c r="S16303"/>
      <c r="T16303"/>
      <c r="U16303"/>
      <c r="X16303" s="60"/>
    </row>
    <row r="16304" spans="7:24" ht="15" customHeight="1">
      <c r="G16304"/>
      <c r="I16304"/>
      <c r="N16304"/>
      <c r="O16304" s="24"/>
      <c r="P16304"/>
      <c r="Q16304" s="24"/>
      <c r="R16304"/>
      <c r="S16304"/>
      <c r="T16304"/>
      <c r="U16304"/>
      <c r="X16304" s="60"/>
    </row>
    <row r="16305" spans="7:24" ht="15" customHeight="1">
      <c r="G16305"/>
      <c r="I16305"/>
      <c r="N16305"/>
      <c r="O16305" s="24"/>
      <c r="P16305"/>
      <c r="Q16305" s="24"/>
      <c r="R16305"/>
      <c r="S16305"/>
      <c r="T16305"/>
      <c r="U16305"/>
      <c r="X16305" s="60"/>
    </row>
    <row r="16306" spans="7:24" ht="15" customHeight="1">
      <c r="G16306"/>
      <c r="I16306"/>
      <c r="N16306"/>
      <c r="O16306" s="24"/>
      <c r="P16306"/>
      <c r="Q16306" s="24"/>
      <c r="R16306"/>
      <c r="S16306"/>
      <c r="T16306"/>
      <c r="U16306"/>
      <c r="X16306" s="60"/>
    </row>
    <row r="16307" spans="7:24" ht="15" customHeight="1">
      <c r="G16307"/>
      <c r="I16307"/>
      <c r="N16307"/>
      <c r="O16307" s="24"/>
      <c r="P16307"/>
      <c r="Q16307" s="24"/>
      <c r="R16307"/>
      <c r="S16307"/>
      <c r="T16307"/>
      <c r="U16307"/>
      <c r="X16307" s="60"/>
    </row>
    <row r="16308" spans="7:24" ht="15" customHeight="1">
      <c r="G16308"/>
      <c r="I16308"/>
      <c r="N16308"/>
      <c r="O16308" s="24"/>
      <c r="P16308"/>
      <c r="Q16308" s="24"/>
      <c r="R16308"/>
      <c r="S16308"/>
      <c r="T16308"/>
      <c r="U16308"/>
      <c r="X16308" s="60"/>
    </row>
    <row r="16309" spans="7:24" ht="15" customHeight="1">
      <c r="G16309"/>
      <c r="I16309"/>
      <c r="N16309"/>
      <c r="O16309" s="24"/>
      <c r="P16309"/>
      <c r="Q16309" s="24"/>
      <c r="R16309"/>
      <c r="S16309"/>
      <c r="T16309"/>
      <c r="U16309"/>
      <c r="X16309" s="60"/>
    </row>
    <row r="16310" spans="7:24" ht="15" customHeight="1">
      <c r="G16310"/>
      <c r="I16310"/>
      <c r="N16310"/>
      <c r="O16310" s="24"/>
      <c r="P16310"/>
      <c r="Q16310" s="24"/>
      <c r="R16310"/>
      <c r="S16310"/>
      <c r="T16310"/>
      <c r="U16310"/>
      <c r="X16310" s="60"/>
    </row>
    <row r="16311" spans="7:24" ht="15" customHeight="1">
      <c r="G16311"/>
      <c r="I16311"/>
      <c r="N16311"/>
      <c r="O16311" s="24"/>
      <c r="P16311"/>
      <c r="Q16311" s="24"/>
      <c r="R16311"/>
      <c r="S16311"/>
      <c r="T16311"/>
      <c r="U16311"/>
      <c r="X16311" s="60"/>
    </row>
    <row r="16312" spans="7:24" ht="15" customHeight="1">
      <c r="G16312"/>
      <c r="I16312"/>
      <c r="N16312"/>
      <c r="O16312" s="24"/>
      <c r="P16312"/>
      <c r="Q16312" s="24"/>
      <c r="R16312"/>
      <c r="S16312"/>
      <c r="T16312"/>
      <c r="U16312"/>
      <c r="X16312" s="60"/>
    </row>
    <row r="16313" spans="7:24" ht="15" customHeight="1">
      <c r="G16313"/>
      <c r="I16313"/>
      <c r="N16313"/>
      <c r="O16313" s="24"/>
      <c r="P16313"/>
      <c r="Q16313" s="24"/>
      <c r="R16313"/>
      <c r="S16313"/>
      <c r="T16313"/>
      <c r="U16313"/>
      <c r="X16313" s="60"/>
    </row>
    <row r="16314" spans="7:24" ht="15" customHeight="1">
      <c r="G16314"/>
      <c r="I16314"/>
      <c r="N16314"/>
      <c r="O16314" s="24"/>
      <c r="P16314"/>
      <c r="Q16314" s="24"/>
      <c r="R16314"/>
      <c r="S16314"/>
      <c r="T16314"/>
      <c r="U16314"/>
      <c r="X16314" s="60"/>
    </row>
    <row r="16315" spans="7:24" ht="15" customHeight="1">
      <c r="G16315"/>
      <c r="I16315"/>
      <c r="N16315"/>
      <c r="O16315" s="24"/>
      <c r="P16315"/>
      <c r="Q16315" s="24"/>
      <c r="R16315"/>
      <c r="S16315"/>
      <c r="T16315"/>
      <c r="U16315"/>
      <c r="X16315" s="60"/>
    </row>
    <row r="16316" spans="7:24" ht="15" customHeight="1">
      <c r="G16316"/>
      <c r="I16316"/>
      <c r="N16316"/>
      <c r="O16316" s="24"/>
      <c r="P16316"/>
      <c r="Q16316" s="24"/>
      <c r="R16316"/>
      <c r="S16316"/>
      <c r="T16316"/>
      <c r="U16316"/>
      <c r="X16316" s="60"/>
    </row>
    <row r="16317" spans="7:24" ht="15" customHeight="1">
      <c r="G16317"/>
      <c r="I16317"/>
      <c r="N16317"/>
      <c r="O16317" s="24"/>
      <c r="P16317"/>
      <c r="Q16317" s="24"/>
      <c r="R16317"/>
      <c r="S16317"/>
      <c r="T16317"/>
      <c r="U16317"/>
      <c r="X16317" s="60"/>
    </row>
    <row r="16318" spans="7:24" ht="15" customHeight="1">
      <c r="G16318"/>
      <c r="I16318"/>
      <c r="N16318"/>
      <c r="O16318" s="24"/>
      <c r="P16318"/>
      <c r="Q16318" s="24"/>
      <c r="R16318"/>
      <c r="S16318"/>
      <c r="T16318"/>
      <c r="U16318"/>
      <c r="X16318" s="60"/>
    </row>
    <row r="16319" spans="7:24" ht="15" customHeight="1">
      <c r="G16319"/>
      <c r="I16319"/>
      <c r="N16319"/>
      <c r="O16319" s="24"/>
      <c r="P16319"/>
      <c r="Q16319" s="24"/>
      <c r="R16319"/>
      <c r="S16319"/>
      <c r="T16319"/>
      <c r="U16319"/>
      <c r="X16319" s="60"/>
    </row>
    <row r="16320" spans="7:24" ht="15" customHeight="1">
      <c r="G16320"/>
      <c r="I16320"/>
      <c r="N16320"/>
      <c r="O16320" s="24"/>
      <c r="P16320"/>
      <c r="Q16320" s="24"/>
      <c r="R16320"/>
      <c r="S16320"/>
      <c r="T16320"/>
      <c r="U16320"/>
      <c r="X16320" s="60"/>
    </row>
    <row r="16321" spans="7:24" ht="15" customHeight="1">
      <c r="G16321"/>
      <c r="I16321"/>
      <c r="N16321"/>
      <c r="O16321" s="24"/>
      <c r="P16321"/>
      <c r="Q16321" s="24"/>
      <c r="R16321"/>
      <c r="S16321"/>
      <c r="T16321"/>
      <c r="U16321"/>
      <c r="X16321" s="60"/>
    </row>
    <row r="16322" spans="7:24" ht="15" customHeight="1">
      <c r="G16322"/>
      <c r="I16322"/>
      <c r="N16322"/>
      <c r="O16322" s="24"/>
      <c r="P16322"/>
      <c r="Q16322" s="24"/>
      <c r="R16322"/>
      <c r="S16322"/>
      <c r="T16322"/>
      <c r="U16322"/>
      <c r="X16322" s="60"/>
    </row>
    <row r="16323" spans="7:24" ht="15" customHeight="1">
      <c r="G16323"/>
      <c r="I16323"/>
      <c r="N16323"/>
      <c r="O16323" s="24"/>
      <c r="P16323"/>
      <c r="Q16323" s="24"/>
      <c r="R16323"/>
      <c r="S16323"/>
      <c r="T16323"/>
      <c r="U16323"/>
      <c r="X16323" s="60"/>
    </row>
    <row r="16324" spans="7:24" ht="15" customHeight="1">
      <c r="G16324"/>
      <c r="I16324"/>
      <c r="N16324"/>
      <c r="O16324" s="24"/>
      <c r="P16324"/>
      <c r="Q16324" s="24"/>
      <c r="R16324"/>
      <c r="S16324"/>
      <c r="T16324"/>
      <c r="U16324"/>
      <c r="X16324" s="60"/>
    </row>
    <row r="16325" spans="7:24" ht="15" customHeight="1">
      <c r="G16325"/>
      <c r="I16325"/>
      <c r="N16325"/>
      <c r="O16325" s="24"/>
      <c r="P16325"/>
      <c r="Q16325" s="24"/>
      <c r="R16325"/>
      <c r="S16325"/>
      <c r="T16325"/>
      <c r="U16325"/>
      <c r="X16325" s="60"/>
    </row>
    <row r="16326" spans="7:24" ht="15" customHeight="1">
      <c r="G16326"/>
      <c r="I16326"/>
      <c r="N16326"/>
      <c r="O16326" s="24"/>
      <c r="P16326"/>
      <c r="Q16326" s="24"/>
      <c r="R16326"/>
      <c r="S16326"/>
      <c r="T16326"/>
      <c r="U16326"/>
      <c r="X16326" s="60"/>
    </row>
    <row r="16327" spans="7:24" ht="15" customHeight="1">
      <c r="G16327"/>
      <c r="I16327"/>
      <c r="N16327"/>
      <c r="O16327" s="24"/>
      <c r="P16327"/>
      <c r="Q16327" s="24"/>
      <c r="R16327"/>
      <c r="S16327"/>
      <c r="T16327"/>
      <c r="U16327"/>
      <c r="X16327" s="60"/>
    </row>
    <row r="16328" spans="7:24" ht="15" customHeight="1">
      <c r="G16328"/>
      <c r="I16328"/>
      <c r="N16328"/>
      <c r="O16328" s="24"/>
      <c r="P16328"/>
      <c r="Q16328" s="24"/>
      <c r="R16328"/>
      <c r="S16328"/>
      <c r="T16328"/>
      <c r="U16328"/>
      <c r="X16328" s="60"/>
    </row>
    <row r="16329" spans="7:24" ht="15" customHeight="1">
      <c r="G16329"/>
      <c r="I16329"/>
      <c r="N16329"/>
      <c r="O16329" s="24"/>
      <c r="P16329"/>
      <c r="Q16329" s="24"/>
      <c r="R16329"/>
      <c r="S16329"/>
      <c r="T16329"/>
      <c r="U16329"/>
      <c r="X16329" s="60"/>
    </row>
    <row r="16330" spans="7:24" ht="15" customHeight="1">
      <c r="G16330"/>
      <c r="I16330"/>
      <c r="N16330"/>
      <c r="O16330" s="24"/>
      <c r="P16330"/>
      <c r="Q16330" s="24"/>
      <c r="R16330"/>
      <c r="S16330"/>
      <c r="T16330"/>
      <c r="U16330"/>
      <c r="X16330" s="60"/>
    </row>
    <row r="16331" spans="7:24" ht="15" customHeight="1">
      <c r="G16331"/>
      <c r="I16331"/>
      <c r="N16331"/>
      <c r="O16331" s="24"/>
      <c r="P16331"/>
      <c r="Q16331" s="24"/>
      <c r="R16331"/>
      <c r="S16331"/>
      <c r="T16331"/>
      <c r="U16331"/>
      <c r="X16331" s="60"/>
    </row>
    <row r="16332" spans="7:24" ht="15" customHeight="1">
      <c r="G16332"/>
      <c r="I16332"/>
      <c r="N16332"/>
      <c r="O16332" s="24"/>
      <c r="P16332"/>
      <c r="Q16332" s="24"/>
      <c r="R16332"/>
      <c r="S16332"/>
      <c r="T16332"/>
      <c r="U16332"/>
      <c r="X16332" s="60"/>
    </row>
    <row r="16333" spans="7:24" ht="15" customHeight="1">
      <c r="G16333"/>
      <c r="I16333"/>
      <c r="N16333"/>
      <c r="O16333" s="24"/>
      <c r="P16333"/>
      <c r="Q16333" s="24"/>
      <c r="R16333"/>
      <c r="S16333"/>
      <c r="T16333"/>
      <c r="U16333"/>
      <c r="X16333" s="60"/>
    </row>
    <row r="16334" spans="7:24" ht="15" customHeight="1">
      <c r="G16334"/>
      <c r="I16334"/>
      <c r="N16334"/>
      <c r="O16334" s="24"/>
      <c r="P16334"/>
      <c r="Q16334" s="24"/>
      <c r="R16334"/>
      <c r="S16334"/>
      <c r="T16334"/>
      <c r="U16334"/>
      <c r="X16334" s="60"/>
    </row>
    <row r="16335" spans="7:24" ht="15" customHeight="1">
      <c r="G16335"/>
      <c r="I16335"/>
      <c r="N16335"/>
      <c r="O16335" s="24"/>
      <c r="P16335"/>
      <c r="Q16335" s="24"/>
      <c r="R16335"/>
      <c r="S16335"/>
      <c r="T16335"/>
      <c r="U16335"/>
      <c r="X16335" s="60"/>
    </row>
    <row r="16336" spans="7:24" ht="15" customHeight="1">
      <c r="G16336"/>
      <c r="I16336"/>
      <c r="N16336"/>
      <c r="O16336" s="24"/>
      <c r="P16336"/>
      <c r="Q16336" s="24"/>
      <c r="R16336"/>
      <c r="S16336"/>
      <c r="T16336"/>
      <c r="U16336"/>
      <c r="X16336" s="60"/>
    </row>
    <row r="16337" spans="7:24" ht="15" customHeight="1">
      <c r="G16337"/>
      <c r="I16337"/>
      <c r="N16337"/>
      <c r="O16337" s="24"/>
      <c r="P16337"/>
      <c r="Q16337" s="24"/>
      <c r="R16337"/>
      <c r="S16337"/>
      <c r="T16337"/>
      <c r="U16337"/>
      <c r="X16337" s="60"/>
    </row>
    <row r="16338" spans="7:24" ht="15" customHeight="1">
      <c r="G16338"/>
      <c r="I16338"/>
      <c r="N16338"/>
      <c r="O16338" s="24"/>
      <c r="P16338"/>
      <c r="Q16338" s="24"/>
      <c r="R16338"/>
      <c r="S16338"/>
      <c r="T16338"/>
      <c r="U16338"/>
      <c r="X16338" s="60"/>
    </row>
    <row r="16339" spans="7:24" ht="15" customHeight="1">
      <c r="G16339"/>
      <c r="I16339"/>
      <c r="N16339"/>
      <c r="O16339" s="24"/>
      <c r="P16339"/>
      <c r="Q16339" s="24"/>
      <c r="R16339"/>
      <c r="S16339"/>
      <c r="T16339"/>
      <c r="U16339"/>
      <c r="X16339" s="60"/>
    </row>
    <row r="16340" spans="7:24" ht="15" customHeight="1">
      <c r="G16340"/>
      <c r="I16340"/>
      <c r="N16340"/>
      <c r="O16340" s="24"/>
      <c r="P16340"/>
      <c r="Q16340" s="24"/>
      <c r="R16340"/>
      <c r="S16340"/>
      <c r="T16340"/>
      <c r="U16340"/>
      <c r="X16340" s="60"/>
    </row>
    <row r="16341" spans="7:24" ht="15" customHeight="1">
      <c r="G16341"/>
      <c r="I16341"/>
      <c r="N16341"/>
      <c r="O16341" s="24"/>
      <c r="P16341"/>
      <c r="Q16341" s="24"/>
      <c r="R16341"/>
      <c r="S16341"/>
      <c r="T16341"/>
      <c r="U16341"/>
      <c r="X16341" s="60"/>
    </row>
    <row r="16342" spans="7:24" ht="15" customHeight="1">
      <c r="G16342"/>
      <c r="I16342"/>
      <c r="N16342"/>
      <c r="O16342" s="24"/>
      <c r="P16342"/>
      <c r="Q16342" s="24"/>
      <c r="R16342"/>
      <c r="S16342"/>
      <c r="T16342"/>
      <c r="U16342"/>
      <c r="X16342" s="60"/>
    </row>
    <row r="16343" spans="7:24" ht="15" customHeight="1">
      <c r="G16343"/>
      <c r="I16343"/>
      <c r="N16343"/>
      <c r="O16343" s="24"/>
      <c r="P16343"/>
      <c r="Q16343" s="24"/>
      <c r="R16343"/>
      <c r="S16343"/>
      <c r="T16343"/>
      <c r="U16343"/>
      <c r="X16343" s="60"/>
    </row>
    <row r="16344" spans="7:24" ht="15" customHeight="1">
      <c r="G16344"/>
      <c r="I16344"/>
      <c r="N16344"/>
      <c r="O16344" s="24"/>
      <c r="P16344"/>
      <c r="Q16344" s="24"/>
      <c r="R16344"/>
      <c r="S16344"/>
      <c r="T16344"/>
      <c r="U16344"/>
      <c r="X16344" s="60"/>
    </row>
    <row r="16345" spans="7:24" ht="15" customHeight="1">
      <c r="G16345"/>
      <c r="I16345"/>
      <c r="N16345"/>
      <c r="O16345" s="24"/>
      <c r="P16345"/>
      <c r="Q16345" s="24"/>
      <c r="R16345"/>
      <c r="S16345"/>
      <c r="T16345"/>
      <c r="U16345"/>
      <c r="X16345" s="60"/>
    </row>
    <row r="16346" spans="7:24" ht="15" customHeight="1">
      <c r="G16346"/>
      <c r="I16346"/>
      <c r="N16346"/>
      <c r="O16346" s="24"/>
      <c r="P16346"/>
      <c r="Q16346" s="24"/>
      <c r="R16346"/>
      <c r="S16346"/>
      <c r="T16346"/>
      <c r="U16346"/>
      <c r="X16346" s="60"/>
    </row>
    <row r="16347" spans="7:24" ht="15" customHeight="1">
      <c r="G16347"/>
      <c r="I16347"/>
      <c r="N16347"/>
      <c r="O16347" s="24"/>
      <c r="P16347"/>
      <c r="Q16347" s="24"/>
      <c r="R16347"/>
      <c r="S16347"/>
      <c r="T16347"/>
      <c r="U16347"/>
      <c r="X16347" s="60"/>
    </row>
    <row r="16348" spans="7:24" ht="15" customHeight="1">
      <c r="G16348"/>
      <c r="I16348"/>
      <c r="N16348"/>
      <c r="O16348" s="24"/>
      <c r="P16348"/>
      <c r="Q16348" s="24"/>
      <c r="R16348"/>
      <c r="S16348"/>
      <c r="T16348"/>
      <c r="U16348"/>
      <c r="X16348" s="60"/>
    </row>
    <row r="16349" spans="7:24" ht="15" customHeight="1">
      <c r="G16349"/>
      <c r="I16349"/>
      <c r="N16349"/>
      <c r="O16349" s="24"/>
      <c r="P16349"/>
      <c r="Q16349" s="24"/>
      <c r="R16349"/>
      <c r="S16349"/>
      <c r="T16349"/>
      <c r="U16349"/>
      <c r="X16349" s="60"/>
    </row>
    <row r="16350" spans="7:24" ht="15" customHeight="1">
      <c r="G16350"/>
      <c r="I16350"/>
      <c r="N16350"/>
      <c r="O16350" s="24"/>
      <c r="P16350"/>
      <c r="Q16350" s="24"/>
      <c r="R16350"/>
      <c r="S16350"/>
      <c r="T16350"/>
      <c r="U16350"/>
      <c r="X16350" s="60"/>
    </row>
    <row r="16351" spans="7:24" ht="15" customHeight="1">
      <c r="G16351"/>
      <c r="I16351"/>
      <c r="N16351"/>
      <c r="O16351" s="24"/>
      <c r="P16351"/>
      <c r="Q16351" s="24"/>
      <c r="R16351"/>
      <c r="S16351"/>
      <c r="T16351"/>
      <c r="U16351"/>
      <c r="X16351" s="60"/>
    </row>
    <row r="16352" spans="7:24" ht="15" customHeight="1">
      <c r="G16352"/>
      <c r="I16352"/>
      <c r="N16352"/>
      <c r="O16352" s="24"/>
      <c r="P16352"/>
      <c r="Q16352" s="24"/>
      <c r="R16352"/>
      <c r="S16352"/>
      <c r="T16352"/>
      <c r="U16352"/>
      <c r="X16352" s="60"/>
    </row>
    <row r="16353" spans="7:24" ht="15" customHeight="1">
      <c r="G16353"/>
      <c r="I16353"/>
      <c r="N16353"/>
      <c r="O16353" s="24"/>
      <c r="P16353"/>
      <c r="Q16353" s="24"/>
      <c r="R16353"/>
      <c r="S16353"/>
      <c r="T16353"/>
      <c r="U16353"/>
      <c r="X16353" s="60"/>
    </row>
    <row r="16354" spans="7:24" ht="15" customHeight="1">
      <c r="G16354"/>
      <c r="I16354"/>
      <c r="N16354"/>
      <c r="O16354" s="24"/>
      <c r="P16354"/>
      <c r="Q16354" s="24"/>
      <c r="R16354"/>
      <c r="S16354"/>
      <c r="T16354"/>
      <c r="U16354"/>
      <c r="X16354" s="60"/>
    </row>
    <row r="16355" spans="7:24" ht="15" customHeight="1">
      <c r="G16355"/>
      <c r="I16355"/>
      <c r="N16355"/>
      <c r="O16355" s="24"/>
      <c r="P16355"/>
      <c r="Q16355" s="24"/>
      <c r="R16355"/>
      <c r="S16355"/>
      <c r="T16355"/>
      <c r="U16355"/>
      <c r="X16355" s="60"/>
    </row>
    <row r="16356" spans="7:24" ht="15" customHeight="1">
      <c r="G16356"/>
      <c r="I16356"/>
      <c r="N16356"/>
      <c r="O16356" s="24"/>
      <c r="P16356"/>
      <c r="Q16356" s="24"/>
      <c r="R16356"/>
      <c r="S16356"/>
      <c r="T16356"/>
      <c r="U16356"/>
      <c r="X16356" s="60"/>
    </row>
    <row r="16357" spans="7:24" ht="15" customHeight="1">
      <c r="G16357"/>
      <c r="I16357"/>
      <c r="N16357"/>
      <c r="O16357" s="24"/>
      <c r="P16357"/>
      <c r="Q16357" s="24"/>
      <c r="R16357"/>
      <c r="S16357"/>
      <c r="T16357"/>
      <c r="U16357"/>
      <c r="X16357" s="60"/>
    </row>
    <row r="16358" spans="7:24" ht="15" customHeight="1">
      <c r="G16358"/>
      <c r="I16358"/>
      <c r="N16358"/>
      <c r="O16358" s="24"/>
      <c r="P16358"/>
      <c r="Q16358" s="24"/>
      <c r="R16358"/>
      <c r="S16358"/>
      <c r="T16358"/>
      <c r="U16358"/>
      <c r="X16358" s="60"/>
    </row>
    <row r="16359" spans="7:24" ht="15" customHeight="1">
      <c r="G16359"/>
      <c r="I16359"/>
      <c r="N16359"/>
      <c r="O16359" s="24"/>
      <c r="P16359"/>
      <c r="Q16359" s="24"/>
      <c r="R16359"/>
      <c r="S16359"/>
      <c r="T16359"/>
      <c r="U16359"/>
      <c r="X16359" s="60"/>
    </row>
    <row r="16360" spans="7:24" ht="15" customHeight="1">
      <c r="G16360"/>
      <c r="I16360"/>
      <c r="N16360"/>
      <c r="O16360" s="24"/>
      <c r="P16360"/>
      <c r="Q16360" s="24"/>
      <c r="R16360"/>
      <c r="S16360"/>
      <c r="T16360"/>
      <c r="U16360"/>
      <c r="X16360" s="60"/>
    </row>
    <row r="16361" spans="7:24" ht="15" customHeight="1">
      <c r="G16361"/>
      <c r="I16361"/>
      <c r="N16361"/>
      <c r="O16361" s="24"/>
      <c r="P16361"/>
      <c r="Q16361" s="24"/>
      <c r="R16361"/>
      <c r="S16361"/>
      <c r="T16361"/>
      <c r="U16361"/>
      <c r="X16361" s="60"/>
    </row>
    <row r="16362" spans="7:24" ht="15" customHeight="1">
      <c r="G16362"/>
      <c r="I16362"/>
      <c r="N16362"/>
      <c r="O16362" s="24"/>
      <c r="P16362"/>
      <c r="Q16362" s="24"/>
      <c r="R16362"/>
      <c r="S16362"/>
      <c r="T16362"/>
      <c r="U16362"/>
      <c r="X16362" s="60"/>
    </row>
    <row r="16363" spans="7:24" ht="15" customHeight="1">
      <c r="G16363"/>
      <c r="I16363"/>
      <c r="N16363"/>
      <c r="O16363" s="24"/>
      <c r="P16363"/>
      <c r="Q16363" s="24"/>
      <c r="R16363"/>
      <c r="S16363"/>
      <c r="T16363"/>
      <c r="U16363"/>
      <c r="X16363" s="60"/>
    </row>
    <row r="16364" spans="7:24" ht="15" customHeight="1">
      <c r="G16364"/>
      <c r="I16364"/>
      <c r="N16364"/>
      <c r="O16364" s="24"/>
      <c r="P16364"/>
      <c r="Q16364" s="24"/>
      <c r="R16364"/>
      <c r="S16364"/>
      <c r="T16364"/>
      <c r="U16364"/>
      <c r="X16364" s="60"/>
    </row>
    <row r="16365" spans="7:24" ht="15" customHeight="1">
      <c r="G16365"/>
      <c r="I16365"/>
      <c r="N16365"/>
      <c r="O16365" s="24"/>
      <c r="P16365"/>
      <c r="Q16365" s="24"/>
      <c r="R16365"/>
      <c r="S16365"/>
      <c r="T16365"/>
      <c r="U16365"/>
      <c r="X16365" s="60"/>
    </row>
    <row r="16366" spans="7:24" ht="15" customHeight="1">
      <c r="G16366"/>
      <c r="I16366"/>
      <c r="N16366"/>
      <c r="O16366" s="24"/>
      <c r="P16366"/>
      <c r="Q16366" s="24"/>
      <c r="R16366"/>
      <c r="S16366"/>
      <c r="T16366"/>
      <c r="U16366"/>
      <c r="X16366" s="60"/>
    </row>
    <row r="16367" spans="7:24" ht="15" customHeight="1">
      <c r="G16367"/>
      <c r="I16367"/>
      <c r="N16367"/>
      <c r="O16367" s="24"/>
      <c r="P16367"/>
      <c r="Q16367" s="24"/>
      <c r="R16367"/>
      <c r="S16367"/>
      <c r="T16367"/>
      <c r="U16367"/>
      <c r="X16367" s="60"/>
    </row>
    <row r="16368" spans="7:24" ht="15" customHeight="1">
      <c r="G16368"/>
      <c r="I16368"/>
      <c r="N16368"/>
      <c r="O16368" s="24"/>
      <c r="P16368"/>
      <c r="Q16368" s="24"/>
      <c r="R16368"/>
      <c r="S16368"/>
      <c r="T16368"/>
      <c r="U16368"/>
      <c r="X16368" s="60"/>
    </row>
    <row r="16369" spans="7:24" ht="15" customHeight="1">
      <c r="G16369"/>
      <c r="I16369"/>
      <c r="N16369"/>
      <c r="O16369" s="24"/>
      <c r="P16369"/>
      <c r="Q16369" s="24"/>
      <c r="R16369"/>
      <c r="S16369"/>
      <c r="T16369"/>
      <c r="U16369"/>
      <c r="X16369" s="60"/>
    </row>
    <row r="16370" spans="7:24" ht="15" customHeight="1">
      <c r="G16370"/>
      <c r="I16370"/>
      <c r="N16370"/>
      <c r="O16370" s="24"/>
      <c r="P16370"/>
      <c r="Q16370" s="24"/>
      <c r="R16370"/>
      <c r="S16370"/>
      <c r="T16370"/>
      <c r="U16370"/>
      <c r="X16370" s="60"/>
    </row>
    <row r="16371" spans="7:24" ht="15" customHeight="1">
      <c r="G16371"/>
      <c r="I16371"/>
      <c r="N16371"/>
      <c r="O16371" s="24"/>
      <c r="P16371"/>
      <c r="Q16371" s="24"/>
      <c r="R16371"/>
      <c r="S16371"/>
      <c r="T16371"/>
      <c r="U16371"/>
      <c r="X16371" s="60"/>
    </row>
    <row r="16372" spans="7:24" ht="15" customHeight="1">
      <c r="G16372"/>
      <c r="I16372"/>
      <c r="N16372"/>
      <c r="O16372" s="24"/>
      <c r="P16372"/>
      <c r="Q16372" s="24"/>
      <c r="R16372"/>
      <c r="S16372"/>
      <c r="T16372"/>
      <c r="U16372"/>
      <c r="X16372" s="60"/>
    </row>
    <row r="16373" spans="7:24" ht="15" customHeight="1">
      <c r="G16373"/>
      <c r="I16373"/>
      <c r="N16373"/>
      <c r="O16373" s="24"/>
      <c r="P16373"/>
      <c r="Q16373" s="24"/>
      <c r="R16373"/>
      <c r="S16373"/>
      <c r="T16373"/>
      <c r="U16373"/>
      <c r="X16373" s="60"/>
    </row>
    <row r="16374" spans="7:24" ht="15" customHeight="1">
      <c r="G16374"/>
      <c r="I16374"/>
      <c r="N16374"/>
      <c r="O16374" s="24"/>
      <c r="P16374"/>
      <c r="Q16374" s="24"/>
      <c r="R16374"/>
      <c r="S16374"/>
      <c r="T16374"/>
      <c r="U16374"/>
      <c r="X16374" s="60"/>
    </row>
    <row r="16375" spans="7:24" ht="15" customHeight="1">
      <c r="G16375"/>
      <c r="I16375"/>
      <c r="N16375"/>
      <c r="O16375" s="24"/>
      <c r="P16375"/>
      <c r="Q16375" s="24"/>
      <c r="R16375"/>
      <c r="S16375"/>
      <c r="T16375"/>
      <c r="U16375"/>
      <c r="X16375" s="60"/>
    </row>
    <row r="16376" spans="7:24" ht="15" customHeight="1">
      <c r="G16376"/>
      <c r="I16376"/>
      <c r="N16376"/>
      <c r="O16376" s="24"/>
      <c r="P16376"/>
      <c r="Q16376" s="24"/>
      <c r="R16376"/>
      <c r="S16376"/>
      <c r="T16376"/>
      <c r="U16376"/>
      <c r="X16376" s="60"/>
    </row>
    <row r="16377" spans="7:24" ht="15" customHeight="1">
      <c r="G16377"/>
      <c r="I16377"/>
      <c r="N16377"/>
      <c r="O16377" s="24"/>
      <c r="P16377"/>
      <c r="Q16377" s="24"/>
      <c r="R16377"/>
      <c r="S16377"/>
      <c r="T16377"/>
      <c r="U16377"/>
      <c r="X16377" s="60"/>
    </row>
    <row r="16378" spans="7:24" ht="15" customHeight="1">
      <c r="G16378"/>
      <c r="I16378"/>
      <c r="N16378"/>
      <c r="O16378" s="24"/>
      <c r="P16378"/>
      <c r="Q16378" s="24"/>
      <c r="R16378"/>
      <c r="S16378"/>
      <c r="T16378"/>
      <c r="U16378"/>
      <c r="X16378" s="60"/>
    </row>
    <row r="16379" spans="7:24" ht="15" customHeight="1">
      <c r="G16379"/>
      <c r="I16379"/>
      <c r="N16379"/>
      <c r="O16379" s="24"/>
      <c r="P16379"/>
      <c r="Q16379" s="24"/>
      <c r="R16379"/>
      <c r="S16379"/>
      <c r="T16379"/>
      <c r="U16379"/>
      <c r="X16379" s="60"/>
    </row>
    <row r="16380" spans="7:24" ht="15" customHeight="1">
      <c r="G16380"/>
      <c r="I16380"/>
      <c r="N16380"/>
      <c r="O16380" s="24"/>
      <c r="P16380"/>
      <c r="Q16380" s="24"/>
      <c r="R16380"/>
      <c r="S16380"/>
      <c r="T16380"/>
      <c r="U16380"/>
      <c r="X16380" s="60"/>
    </row>
    <row r="16381" spans="7:24" ht="15" customHeight="1">
      <c r="G16381"/>
      <c r="I16381"/>
      <c r="N16381"/>
      <c r="O16381" s="24"/>
      <c r="P16381"/>
      <c r="Q16381" s="24"/>
      <c r="R16381"/>
      <c r="S16381"/>
      <c r="T16381"/>
      <c r="U16381"/>
      <c r="X16381" s="60"/>
    </row>
    <row r="16382" spans="7:24" ht="15" customHeight="1">
      <c r="G16382"/>
      <c r="I16382"/>
      <c r="N16382"/>
      <c r="O16382" s="24"/>
      <c r="P16382"/>
      <c r="Q16382" s="24"/>
      <c r="R16382"/>
      <c r="S16382"/>
      <c r="T16382"/>
      <c r="U16382"/>
      <c r="X16382" s="60"/>
    </row>
    <row r="16383" spans="7:24" ht="15" customHeight="1">
      <c r="G16383"/>
      <c r="I16383"/>
      <c r="N16383"/>
      <c r="O16383" s="24"/>
      <c r="P16383"/>
      <c r="Q16383" s="24"/>
      <c r="R16383"/>
      <c r="S16383"/>
      <c r="T16383"/>
      <c r="U16383"/>
      <c r="X16383" s="60"/>
    </row>
    <row r="16384" spans="7:24" ht="15" customHeight="1">
      <c r="G16384"/>
      <c r="I16384"/>
      <c r="N16384"/>
      <c r="O16384" s="24"/>
      <c r="P16384"/>
      <c r="Q16384" s="24"/>
      <c r="R16384"/>
      <c r="S16384"/>
      <c r="T16384"/>
      <c r="U16384"/>
      <c r="X16384" s="60"/>
    </row>
    <row r="16385" spans="7:24" ht="15" customHeight="1">
      <c r="G16385"/>
      <c r="I16385"/>
      <c r="N16385"/>
      <c r="O16385" s="24"/>
      <c r="P16385"/>
      <c r="Q16385" s="24"/>
      <c r="R16385"/>
      <c r="S16385"/>
      <c r="T16385"/>
      <c r="U16385"/>
      <c r="X16385" s="60"/>
    </row>
    <row r="16386" spans="7:24" ht="15" customHeight="1">
      <c r="G16386"/>
      <c r="I16386"/>
      <c r="N16386"/>
      <c r="O16386" s="24"/>
      <c r="P16386"/>
      <c r="Q16386" s="24"/>
      <c r="R16386"/>
      <c r="S16386"/>
      <c r="T16386"/>
      <c r="U16386"/>
      <c r="X16386" s="60"/>
    </row>
    <row r="16387" spans="7:24" ht="15" customHeight="1">
      <c r="G16387"/>
      <c r="I16387"/>
      <c r="N16387"/>
      <c r="O16387" s="24"/>
      <c r="P16387"/>
      <c r="Q16387" s="24"/>
      <c r="R16387"/>
      <c r="S16387"/>
      <c r="T16387"/>
      <c r="U16387"/>
      <c r="X16387" s="60"/>
    </row>
    <row r="16388" spans="7:24" ht="15" customHeight="1">
      <c r="G16388"/>
      <c r="I16388"/>
      <c r="N16388"/>
      <c r="O16388" s="24"/>
      <c r="P16388"/>
      <c r="Q16388" s="24"/>
      <c r="R16388"/>
      <c r="S16388"/>
      <c r="T16388"/>
      <c r="U16388"/>
      <c r="X16388" s="60"/>
    </row>
    <row r="16389" spans="7:24" ht="15" customHeight="1">
      <c r="G16389"/>
      <c r="I16389"/>
      <c r="N16389"/>
      <c r="O16389" s="24"/>
      <c r="P16389"/>
      <c r="Q16389" s="24"/>
      <c r="R16389"/>
      <c r="S16389"/>
      <c r="T16389"/>
      <c r="U16389"/>
      <c r="X16389" s="60"/>
    </row>
    <row r="16390" spans="7:24" ht="15" customHeight="1">
      <c r="G16390"/>
      <c r="I16390"/>
      <c r="N16390"/>
      <c r="O16390" s="24"/>
      <c r="P16390"/>
      <c r="Q16390" s="24"/>
      <c r="R16390"/>
      <c r="S16390"/>
      <c r="T16390"/>
      <c r="U16390"/>
      <c r="X16390" s="60"/>
    </row>
    <row r="16391" spans="7:24" ht="15" customHeight="1">
      <c r="G16391"/>
      <c r="I16391"/>
      <c r="N16391"/>
      <c r="O16391" s="24"/>
      <c r="P16391"/>
      <c r="Q16391" s="24"/>
      <c r="R16391"/>
      <c r="S16391"/>
      <c r="T16391"/>
      <c r="U16391"/>
      <c r="X16391" s="60"/>
    </row>
    <row r="16392" spans="7:24" ht="15" customHeight="1">
      <c r="G16392"/>
      <c r="I16392"/>
      <c r="N16392"/>
      <c r="O16392" s="24"/>
      <c r="P16392"/>
      <c r="Q16392" s="24"/>
      <c r="R16392"/>
      <c r="S16392"/>
      <c r="T16392"/>
      <c r="U16392"/>
      <c r="X16392" s="60"/>
    </row>
    <row r="16393" spans="7:24" ht="15" customHeight="1">
      <c r="G16393"/>
      <c r="I16393"/>
      <c r="N16393"/>
      <c r="O16393" s="24"/>
      <c r="P16393"/>
      <c r="Q16393" s="24"/>
      <c r="R16393"/>
      <c r="S16393"/>
      <c r="T16393"/>
      <c r="U16393"/>
      <c r="X16393" s="60"/>
    </row>
    <row r="16394" spans="7:24" ht="15" customHeight="1">
      <c r="G16394"/>
      <c r="I16394"/>
      <c r="N16394"/>
      <c r="O16394" s="24"/>
      <c r="P16394"/>
      <c r="Q16394" s="24"/>
      <c r="R16394"/>
      <c r="S16394"/>
      <c r="T16394"/>
      <c r="U16394"/>
      <c r="X16394" s="60"/>
    </row>
    <row r="16395" spans="7:24" ht="15" customHeight="1">
      <c r="G16395"/>
      <c r="I16395"/>
      <c r="N16395"/>
      <c r="O16395" s="24"/>
      <c r="P16395"/>
      <c r="Q16395" s="24"/>
      <c r="R16395"/>
      <c r="S16395"/>
      <c r="T16395"/>
      <c r="U16395"/>
      <c r="X16395" s="60"/>
    </row>
    <row r="16396" spans="7:24" ht="15" customHeight="1">
      <c r="G16396"/>
      <c r="I16396"/>
      <c r="N16396"/>
      <c r="O16396" s="24"/>
      <c r="P16396"/>
      <c r="Q16396" s="24"/>
      <c r="R16396"/>
      <c r="S16396"/>
      <c r="T16396"/>
      <c r="U16396"/>
      <c r="X16396" s="60"/>
    </row>
    <row r="16397" spans="7:24" ht="15" customHeight="1">
      <c r="G16397"/>
      <c r="I16397"/>
      <c r="N16397"/>
      <c r="O16397" s="24"/>
      <c r="P16397"/>
      <c r="Q16397" s="24"/>
      <c r="R16397"/>
      <c r="S16397"/>
      <c r="T16397"/>
      <c r="U16397"/>
      <c r="X16397" s="60"/>
    </row>
    <row r="16398" spans="7:24" ht="15" customHeight="1">
      <c r="G16398"/>
      <c r="I16398"/>
      <c r="N16398"/>
      <c r="O16398" s="24"/>
      <c r="P16398"/>
      <c r="Q16398" s="24"/>
      <c r="R16398"/>
      <c r="S16398"/>
      <c r="T16398"/>
      <c r="U16398"/>
      <c r="X16398" s="60"/>
    </row>
    <row r="16399" spans="7:24" ht="15" customHeight="1">
      <c r="G16399"/>
      <c r="I16399"/>
      <c r="N16399"/>
      <c r="O16399" s="24"/>
      <c r="P16399"/>
      <c r="Q16399" s="24"/>
      <c r="R16399"/>
      <c r="S16399"/>
      <c r="T16399"/>
      <c r="U16399"/>
      <c r="X16399" s="60"/>
    </row>
    <row r="16400" spans="7:24" ht="15" customHeight="1">
      <c r="G16400"/>
      <c r="I16400"/>
      <c r="N16400"/>
      <c r="O16400" s="24"/>
      <c r="P16400"/>
      <c r="Q16400" s="24"/>
      <c r="R16400"/>
      <c r="S16400"/>
      <c r="T16400"/>
      <c r="U16400"/>
      <c r="X16400" s="60"/>
    </row>
    <row r="16401" spans="7:24" ht="15" customHeight="1">
      <c r="G16401"/>
      <c r="I16401"/>
      <c r="N16401"/>
      <c r="O16401" s="24"/>
      <c r="P16401"/>
      <c r="Q16401" s="24"/>
      <c r="R16401"/>
      <c r="S16401"/>
      <c r="T16401"/>
      <c r="U16401"/>
      <c r="X16401" s="60"/>
    </row>
    <row r="16402" spans="7:24" ht="15" customHeight="1">
      <c r="G16402"/>
      <c r="I16402"/>
      <c r="N16402"/>
      <c r="O16402" s="24"/>
      <c r="P16402"/>
      <c r="Q16402" s="24"/>
      <c r="R16402"/>
      <c r="S16402"/>
      <c r="T16402"/>
      <c r="U16402"/>
      <c r="X16402" s="60"/>
    </row>
    <row r="16403" spans="7:24" ht="15" customHeight="1">
      <c r="G16403"/>
      <c r="I16403"/>
      <c r="N16403"/>
      <c r="O16403" s="24"/>
      <c r="P16403"/>
      <c r="Q16403" s="24"/>
      <c r="R16403"/>
      <c r="S16403"/>
      <c r="T16403"/>
      <c r="U16403"/>
      <c r="X16403" s="60"/>
    </row>
    <row r="16404" spans="7:24" ht="15" customHeight="1">
      <c r="G16404"/>
      <c r="I16404"/>
      <c r="N16404"/>
      <c r="O16404" s="24"/>
      <c r="P16404"/>
      <c r="Q16404" s="24"/>
      <c r="R16404"/>
      <c r="S16404"/>
      <c r="T16404"/>
      <c r="U16404"/>
      <c r="X16404" s="60"/>
    </row>
    <row r="16405" spans="7:24" ht="15" customHeight="1">
      <c r="G16405"/>
      <c r="I16405"/>
      <c r="N16405"/>
      <c r="O16405" s="24"/>
      <c r="P16405"/>
      <c r="Q16405" s="24"/>
      <c r="R16405"/>
      <c r="S16405"/>
      <c r="T16405"/>
      <c r="U16405"/>
      <c r="X16405" s="60"/>
    </row>
    <row r="16406" spans="7:24" ht="15" customHeight="1">
      <c r="G16406"/>
      <c r="I16406"/>
      <c r="N16406"/>
      <c r="O16406" s="24"/>
      <c r="P16406"/>
      <c r="Q16406" s="24"/>
      <c r="R16406"/>
      <c r="S16406"/>
      <c r="T16406"/>
      <c r="U16406"/>
      <c r="X16406" s="60"/>
    </row>
    <row r="16407" spans="7:24" ht="15" customHeight="1">
      <c r="G16407"/>
      <c r="I16407"/>
      <c r="N16407"/>
      <c r="O16407" s="24"/>
      <c r="P16407"/>
      <c r="Q16407" s="24"/>
      <c r="R16407"/>
      <c r="S16407"/>
      <c r="T16407"/>
      <c r="U16407"/>
      <c r="X16407" s="60"/>
    </row>
    <row r="16408" spans="7:24" ht="15" customHeight="1">
      <c r="G16408"/>
      <c r="I16408"/>
      <c r="N16408"/>
      <c r="O16408" s="24"/>
      <c r="P16408"/>
      <c r="Q16408" s="24"/>
      <c r="R16408"/>
      <c r="S16408"/>
      <c r="T16408"/>
      <c r="U16408"/>
      <c r="X16408" s="60"/>
    </row>
    <row r="16409" spans="7:24" ht="15" customHeight="1">
      <c r="G16409"/>
      <c r="I16409"/>
      <c r="N16409"/>
      <c r="O16409" s="24"/>
      <c r="P16409"/>
      <c r="Q16409" s="24"/>
      <c r="R16409"/>
      <c r="S16409"/>
      <c r="T16409"/>
      <c r="U16409"/>
      <c r="X16409" s="60"/>
    </row>
    <row r="16410" spans="7:24" ht="15" customHeight="1">
      <c r="G16410"/>
      <c r="I16410"/>
      <c r="N16410"/>
      <c r="O16410" s="24"/>
      <c r="P16410"/>
      <c r="Q16410" s="24"/>
      <c r="R16410"/>
      <c r="S16410"/>
      <c r="T16410"/>
      <c r="U16410"/>
      <c r="X16410" s="60"/>
    </row>
    <row r="16411" spans="7:24" ht="15" customHeight="1">
      <c r="G16411"/>
      <c r="I16411"/>
      <c r="N16411"/>
      <c r="O16411" s="24"/>
      <c r="P16411"/>
      <c r="Q16411" s="24"/>
      <c r="R16411"/>
      <c r="S16411"/>
      <c r="T16411"/>
      <c r="U16411"/>
      <c r="X16411" s="60"/>
    </row>
    <row r="16412" spans="7:24" ht="15" customHeight="1">
      <c r="G16412"/>
      <c r="I16412"/>
      <c r="N16412"/>
      <c r="O16412" s="24"/>
      <c r="P16412"/>
      <c r="Q16412" s="24"/>
      <c r="R16412"/>
      <c r="S16412"/>
      <c r="T16412"/>
      <c r="U16412"/>
      <c r="X16412" s="60"/>
    </row>
    <row r="16413" spans="7:24" ht="15" customHeight="1">
      <c r="G16413"/>
      <c r="I16413"/>
      <c r="N16413"/>
      <c r="O16413" s="24"/>
      <c r="P16413"/>
      <c r="Q16413" s="24"/>
      <c r="R16413"/>
      <c r="S16413"/>
      <c r="T16413"/>
      <c r="U16413"/>
      <c r="X16413" s="60"/>
    </row>
    <row r="16414" spans="7:24" ht="15" customHeight="1">
      <c r="G16414"/>
      <c r="I16414"/>
      <c r="N16414"/>
      <c r="O16414" s="24"/>
      <c r="P16414"/>
      <c r="Q16414" s="24"/>
      <c r="R16414"/>
      <c r="S16414"/>
      <c r="T16414"/>
      <c r="U16414"/>
      <c r="X16414" s="60"/>
    </row>
    <row r="16415" spans="7:24" ht="15" customHeight="1">
      <c r="G16415"/>
      <c r="I16415"/>
      <c r="N16415"/>
      <c r="O16415" s="24"/>
      <c r="P16415"/>
      <c r="Q16415" s="24"/>
      <c r="R16415"/>
      <c r="S16415"/>
      <c r="T16415"/>
      <c r="U16415"/>
      <c r="X16415" s="60"/>
    </row>
    <row r="16416" spans="7:24" ht="15" customHeight="1">
      <c r="G16416"/>
      <c r="I16416"/>
      <c r="N16416"/>
      <c r="O16416" s="24"/>
      <c r="P16416"/>
      <c r="Q16416" s="24"/>
      <c r="R16416"/>
      <c r="S16416"/>
      <c r="T16416"/>
      <c r="U16416"/>
      <c r="X16416" s="60"/>
    </row>
    <row r="16417" spans="7:24" ht="15" customHeight="1">
      <c r="G16417"/>
      <c r="I16417"/>
      <c r="N16417"/>
      <c r="O16417" s="24"/>
      <c r="P16417"/>
      <c r="Q16417" s="24"/>
      <c r="R16417"/>
      <c r="S16417"/>
      <c r="T16417"/>
      <c r="U16417"/>
      <c r="X16417" s="60"/>
    </row>
    <row r="16418" spans="7:24" ht="15" customHeight="1">
      <c r="G16418"/>
      <c r="I16418"/>
      <c r="N16418"/>
      <c r="O16418" s="24"/>
      <c r="P16418"/>
      <c r="Q16418" s="24"/>
      <c r="R16418"/>
      <c r="S16418"/>
      <c r="T16418"/>
      <c r="U16418"/>
      <c r="X16418" s="60"/>
    </row>
    <row r="16419" spans="7:24" ht="15" customHeight="1">
      <c r="G16419"/>
      <c r="I16419"/>
      <c r="N16419"/>
      <c r="O16419" s="24"/>
      <c r="P16419"/>
      <c r="Q16419" s="24"/>
      <c r="R16419"/>
      <c r="S16419"/>
      <c r="T16419"/>
      <c r="U16419"/>
      <c r="X16419" s="60"/>
    </row>
    <row r="16420" spans="7:24" ht="15" customHeight="1">
      <c r="G16420"/>
      <c r="I16420"/>
      <c r="N16420"/>
      <c r="O16420" s="24"/>
      <c r="P16420"/>
      <c r="Q16420" s="24"/>
      <c r="R16420"/>
      <c r="S16420"/>
      <c r="T16420"/>
      <c r="U16420"/>
      <c r="X16420" s="60"/>
    </row>
    <row r="16421" spans="7:24" ht="15" customHeight="1">
      <c r="G16421"/>
      <c r="I16421"/>
      <c r="N16421"/>
      <c r="O16421" s="24"/>
      <c r="P16421"/>
      <c r="Q16421" s="24"/>
      <c r="R16421"/>
      <c r="S16421"/>
      <c r="T16421"/>
      <c r="U16421"/>
      <c r="X16421" s="60"/>
    </row>
    <row r="16422" spans="7:24" ht="15" customHeight="1">
      <c r="G16422"/>
      <c r="I16422"/>
      <c r="N16422"/>
      <c r="O16422" s="24"/>
      <c r="P16422"/>
      <c r="Q16422" s="24"/>
      <c r="R16422"/>
      <c r="S16422"/>
      <c r="T16422"/>
      <c r="U16422"/>
      <c r="X16422" s="60"/>
    </row>
    <row r="16423" spans="7:24" ht="15" customHeight="1">
      <c r="G16423"/>
      <c r="I16423"/>
      <c r="N16423"/>
      <c r="O16423" s="24"/>
      <c r="P16423"/>
      <c r="Q16423" s="24"/>
      <c r="R16423"/>
      <c r="S16423"/>
      <c r="T16423"/>
      <c r="U16423"/>
      <c r="X16423" s="60"/>
    </row>
    <row r="16424" spans="7:24" ht="15" customHeight="1">
      <c r="G16424"/>
      <c r="I16424"/>
      <c r="N16424"/>
      <c r="O16424" s="24"/>
      <c r="P16424"/>
      <c r="Q16424" s="24"/>
      <c r="R16424"/>
      <c r="S16424"/>
      <c r="T16424"/>
      <c r="U16424"/>
      <c r="X16424" s="60"/>
    </row>
    <row r="16425" spans="7:24" ht="15" customHeight="1">
      <c r="G16425"/>
      <c r="I16425"/>
      <c r="N16425"/>
      <c r="O16425" s="24"/>
      <c r="P16425"/>
      <c r="Q16425" s="24"/>
      <c r="R16425"/>
      <c r="S16425"/>
      <c r="T16425"/>
      <c r="U16425"/>
      <c r="X16425" s="60"/>
    </row>
    <row r="16426" spans="7:24" ht="15" customHeight="1">
      <c r="G16426"/>
      <c r="I16426"/>
      <c r="N16426"/>
      <c r="O16426" s="24"/>
      <c r="P16426"/>
      <c r="Q16426" s="24"/>
      <c r="R16426"/>
      <c r="S16426"/>
      <c r="T16426"/>
      <c r="U16426"/>
      <c r="X16426" s="60"/>
    </row>
    <row r="16427" spans="7:24" ht="15" customHeight="1">
      <c r="G16427"/>
      <c r="I16427"/>
      <c r="N16427"/>
      <c r="O16427" s="24"/>
      <c r="P16427"/>
      <c r="Q16427" s="24"/>
      <c r="R16427"/>
      <c r="S16427"/>
      <c r="T16427"/>
      <c r="U16427"/>
      <c r="X16427" s="60"/>
    </row>
    <row r="16428" spans="7:24" ht="15" customHeight="1">
      <c r="G16428"/>
      <c r="I16428"/>
      <c r="N16428"/>
      <c r="O16428" s="24"/>
      <c r="P16428"/>
      <c r="Q16428" s="24"/>
      <c r="R16428"/>
      <c r="S16428"/>
      <c r="T16428"/>
      <c r="U16428"/>
      <c r="X16428" s="60"/>
    </row>
    <row r="16429" spans="7:24" ht="15" customHeight="1">
      <c r="G16429"/>
      <c r="I16429"/>
      <c r="N16429"/>
      <c r="O16429" s="24"/>
      <c r="P16429"/>
      <c r="Q16429" s="24"/>
      <c r="R16429"/>
      <c r="S16429"/>
      <c r="T16429"/>
      <c r="U16429"/>
      <c r="X16429" s="60"/>
    </row>
    <row r="16430" spans="7:24" ht="15" customHeight="1">
      <c r="G16430"/>
      <c r="I16430"/>
      <c r="N16430"/>
      <c r="O16430" s="24"/>
      <c r="P16430"/>
      <c r="Q16430" s="24"/>
      <c r="R16430"/>
      <c r="S16430"/>
      <c r="T16430"/>
      <c r="U16430"/>
      <c r="X16430" s="60"/>
    </row>
    <row r="16431" spans="7:24" ht="15" customHeight="1">
      <c r="G16431"/>
      <c r="I16431"/>
      <c r="N16431"/>
      <c r="O16431" s="24"/>
      <c r="P16431"/>
      <c r="Q16431" s="24"/>
      <c r="R16431"/>
      <c r="S16431"/>
      <c r="T16431"/>
      <c r="U16431"/>
      <c r="X16431" s="60"/>
    </row>
    <row r="16432" spans="7:24" ht="15" customHeight="1">
      <c r="G16432"/>
      <c r="I16432"/>
      <c r="N16432"/>
      <c r="O16432" s="24"/>
      <c r="P16432"/>
      <c r="Q16432" s="24"/>
      <c r="R16432"/>
      <c r="S16432"/>
      <c r="T16432"/>
      <c r="U16432"/>
      <c r="X16432" s="60"/>
    </row>
    <row r="16433" spans="7:24" ht="15" customHeight="1">
      <c r="G16433"/>
      <c r="I16433"/>
      <c r="N16433"/>
      <c r="O16433" s="24"/>
      <c r="P16433"/>
      <c r="Q16433" s="24"/>
      <c r="R16433"/>
      <c r="S16433"/>
      <c r="T16433"/>
      <c r="U16433"/>
      <c r="X16433" s="60"/>
    </row>
    <row r="16434" spans="7:24" ht="15" customHeight="1">
      <c r="G16434"/>
      <c r="I16434"/>
      <c r="N16434"/>
      <c r="O16434" s="24"/>
      <c r="P16434"/>
      <c r="Q16434" s="24"/>
      <c r="R16434"/>
      <c r="S16434"/>
      <c r="T16434"/>
      <c r="U16434"/>
      <c r="X16434" s="60"/>
    </row>
    <row r="16435" spans="7:24" ht="15" customHeight="1">
      <c r="G16435"/>
      <c r="I16435"/>
      <c r="N16435"/>
      <c r="O16435" s="24"/>
      <c r="P16435"/>
      <c r="Q16435" s="24"/>
      <c r="R16435"/>
      <c r="S16435"/>
      <c r="T16435"/>
      <c r="U16435"/>
      <c r="X16435" s="60"/>
    </row>
    <row r="16436" spans="7:24" ht="15" customHeight="1">
      <c r="G16436"/>
      <c r="I16436"/>
      <c r="N16436"/>
      <c r="O16436" s="24"/>
      <c r="P16436"/>
      <c r="Q16436" s="24"/>
      <c r="R16436"/>
      <c r="S16436"/>
      <c r="T16436"/>
      <c r="U16436"/>
      <c r="X16436" s="60"/>
    </row>
    <row r="16437" spans="7:24" ht="15" customHeight="1">
      <c r="G16437"/>
      <c r="I16437"/>
      <c r="N16437"/>
      <c r="O16437" s="24"/>
      <c r="P16437"/>
      <c r="Q16437" s="24"/>
      <c r="R16437"/>
      <c r="S16437"/>
      <c r="T16437"/>
      <c r="U16437"/>
      <c r="X16437" s="60"/>
    </row>
    <row r="16438" spans="7:24" ht="15" customHeight="1">
      <c r="G16438"/>
      <c r="I16438"/>
      <c r="N16438"/>
      <c r="O16438" s="24"/>
      <c r="P16438"/>
      <c r="Q16438" s="24"/>
      <c r="R16438"/>
      <c r="S16438"/>
      <c r="T16438"/>
      <c r="U16438"/>
      <c r="X16438" s="60"/>
    </row>
    <row r="16439" spans="7:24" ht="15" customHeight="1">
      <c r="G16439"/>
      <c r="I16439"/>
      <c r="N16439"/>
      <c r="O16439" s="24"/>
      <c r="P16439"/>
      <c r="Q16439" s="24"/>
      <c r="R16439"/>
      <c r="S16439"/>
      <c r="T16439"/>
      <c r="U16439"/>
      <c r="X16439" s="60"/>
    </row>
    <row r="16440" spans="7:24" ht="15" customHeight="1">
      <c r="G16440"/>
      <c r="I16440"/>
      <c r="N16440"/>
      <c r="O16440" s="24"/>
      <c r="P16440"/>
      <c r="Q16440" s="24"/>
      <c r="R16440"/>
      <c r="S16440"/>
      <c r="T16440"/>
      <c r="U16440"/>
      <c r="X16440" s="60"/>
    </row>
    <row r="16441" spans="7:24" ht="15" customHeight="1">
      <c r="G16441"/>
      <c r="I16441"/>
      <c r="N16441"/>
      <c r="O16441" s="24"/>
      <c r="P16441"/>
      <c r="Q16441" s="24"/>
      <c r="R16441"/>
      <c r="S16441"/>
      <c r="T16441"/>
      <c r="U16441"/>
      <c r="X16441" s="60"/>
    </row>
    <row r="16442" spans="7:24" ht="15" customHeight="1">
      <c r="G16442"/>
      <c r="I16442"/>
      <c r="N16442"/>
      <c r="O16442" s="24"/>
      <c r="P16442"/>
      <c r="Q16442" s="24"/>
      <c r="R16442"/>
      <c r="S16442"/>
      <c r="T16442"/>
      <c r="U16442"/>
      <c r="X16442" s="60"/>
    </row>
    <row r="16443" spans="7:24" ht="15" customHeight="1">
      <c r="G16443"/>
      <c r="I16443"/>
      <c r="N16443"/>
      <c r="O16443" s="24"/>
      <c r="P16443"/>
      <c r="Q16443" s="24"/>
      <c r="R16443"/>
      <c r="S16443"/>
      <c r="T16443"/>
      <c r="U16443"/>
      <c r="X16443" s="60"/>
    </row>
    <row r="16444" spans="7:24" ht="15" customHeight="1">
      <c r="G16444"/>
      <c r="I16444"/>
      <c r="N16444"/>
      <c r="O16444" s="24"/>
      <c r="P16444"/>
      <c r="Q16444" s="24"/>
      <c r="R16444"/>
      <c r="S16444"/>
      <c r="T16444"/>
      <c r="U16444"/>
      <c r="X16444" s="60"/>
    </row>
    <row r="16445" spans="7:24" ht="15" customHeight="1">
      <c r="G16445"/>
      <c r="I16445"/>
      <c r="N16445"/>
      <c r="O16445" s="24"/>
      <c r="P16445"/>
      <c r="Q16445" s="24"/>
      <c r="R16445"/>
      <c r="S16445"/>
      <c r="T16445"/>
      <c r="U16445"/>
      <c r="X16445" s="60"/>
    </row>
    <row r="16446" spans="7:24" ht="15" customHeight="1">
      <c r="G16446"/>
      <c r="I16446"/>
      <c r="N16446"/>
      <c r="O16446" s="24"/>
      <c r="P16446"/>
      <c r="Q16446" s="24"/>
      <c r="R16446"/>
      <c r="S16446"/>
      <c r="T16446"/>
      <c r="U16446"/>
      <c r="X16446" s="60"/>
    </row>
    <row r="16447" spans="7:24" ht="15" customHeight="1">
      <c r="G16447"/>
      <c r="I16447"/>
      <c r="N16447"/>
      <c r="O16447" s="24"/>
      <c r="P16447"/>
      <c r="Q16447" s="24"/>
      <c r="R16447"/>
      <c r="S16447"/>
      <c r="T16447"/>
      <c r="U16447"/>
      <c r="X16447" s="60"/>
    </row>
    <row r="16448" spans="7:24" ht="15" customHeight="1">
      <c r="G16448"/>
      <c r="I16448"/>
      <c r="N16448"/>
      <c r="O16448" s="24"/>
      <c r="P16448"/>
      <c r="Q16448" s="24"/>
      <c r="R16448"/>
      <c r="S16448"/>
      <c r="T16448"/>
      <c r="U16448"/>
      <c r="X16448" s="60"/>
    </row>
    <row r="16449" spans="7:24" ht="15" customHeight="1">
      <c r="G16449"/>
      <c r="I16449"/>
      <c r="N16449"/>
      <c r="O16449" s="24"/>
      <c r="P16449"/>
      <c r="Q16449" s="24"/>
      <c r="R16449"/>
      <c r="S16449"/>
      <c r="T16449"/>
      <c r="U16449"/>
      <c r="X16449" s="60"/>
    </row>
    <row r="16450" spans="7:24" ht="15" customHeight="1">
      <c r="G16450"/>
      <c r="I16450"/>
      <c r="N16450"/>
      <c r="O16450" s="24"/>
      <c r="P16450"/>
      <c r="Q16450" s="24"/>
      <c r="R16450"/>
      <c r="S16450"/>
      <c r="T16450"/>
      <c r="U16450"/>
      <c r="X16450" s="60"/>
    </row>
    <row r="16451" spans="7:24" ht="15" customHeight="1">
      <c r="G16451"/>
      <c r="I16451"/>
      <c r="N16451"/>
      <c r="O16451" s="24"/>
      <c r="P16451"/>
      <c r="Q16451" s="24"/>
      <c r="R16451"/>
      <c r="S16451"/>
      <c r="T16451"/>
      <c r="U16451"/>
      <c r="X16451" s="60"/>
    </row>
    <row r="16452" spans="7:24" ht="15" customHeight="1">
      <c r="G16452"/>
      <c r="I16452"/>
      <c r="N16452"/>
      <c r="O16452" s="24"/>
      <c r="P16452"/>
      <c r="Q16452" s="24"/>
      <c r="R16452"/>
      <c r="S16452"/>
      <c r="T16452"/>
      <c r="U16452"/>
      <c r="X16452" s="60"/>
    </row>
    <row r="16453" spans="7:24" ht="15" customHeight="1">
      <c r="G16453"/>
      <c r="I16453"/>
      <c r="N16453"/>
      <c r="O16453" s="24"/>
      <c r="P16453"/>
      <c r="Q16453" s="24"/>
      <c r="R16453"/>
      <c r="S16453"/>
      <c r="T16453"/>
      <c r="U16453"/>
      <c r="X16453" s="60"/>
    </row>
    <row r="16454" spans="7:24" ht="15" customHeight="1">
      <c r="G16454"/>
      <c r="I16454"/>
      <c r="N16454"/>
      <c r="O16454" s="24"/>
      <c r="P16454"/>
      <c r="Q16454" s="24"/>
      <c r="R16454"/>
      <c r="S16454"/>
      <c r="T16454"/>
      <c r="U16454"/>
      <c r="X16454" s="60"/>
    </row>
    <row r="16455" spans="7:24" ht="15" customHeight="1">
      <c r="G16455"/>
      <c r="I16455"/>
      <c r="N16455"/>
      <c r="O16455" s="24"/>
      <c r="P16455"/>
      <c r="Q16455" s="24"/>
      <c r="R16455"/>
      <c r="S16455"/>
      <c r="T16455"/>
      <c r="U16455"/>
      <c r="X16455" s="60"/>
    </row>
    <row r="16456" spans="7:24" ht="15" customHeight="1">
      <c r="G16456"/>
      <c r="I16456"/>
      <c r="N16456"/>
      <c r="O16456" s="24"/>
      <c r="P16456"/>
      <c r="Q16456" s="24"/>
      <c r="R16456"/>
      <c r="S16456"/>
      <c r="T16456"/>
      <c r="U16456"/>
      <c r="X16456" s="60"/>
    </row>
    <row r="16457" spans="7:24" ht="15" customHeight="1">
      <c r="G16457"/>
      <c r="I16457"/>
      <c r="N16457"/>
      <c r="O16457" s="24"/>
      <c r="P16457"/>
      <c r="Q16457" s="24"/>
      <c r="R16457"/>
      <c r="S16457"/>
      <c r="T16457"/>
      <c r="U16457"/>
      <c r="X16457" s="60"/>
    </row>
    <row r="16458" spans="7:24" ht="15" customHeight="1">
      <c r="G16458"/>
      <c r="I16458"/>
      <c r="N16458"/>
      <c r="O16458" s="24"/>
      <c r="P16458"/>
      <c r="Q16458" s="24"/>
      <c r="R16458"/>
      <c r="S16458"/>
      <c r="T16458"/>
      <c r="U16458"/>
      <c r="X16458" s="60"/>
    </row>
    <row r="16459" spans="7:24" ht="15" customHeight="1">
      <c r="G16459"/>
      <c r="I16459"/>
      <c r="N16459"/>
      <c r="O16459" s="24"/>
      <c r="P16459"/>
      <c r="Q16459" s="24"/>
      <c r="R16459"/>
      <c r="S16459"/>
      <c r="T16459"/>
      <c r="U16459"/>
      <c r="X16459" s="60"/>
    </row>
    <row r="16460" spans="7:24" ht="15" customHeight="1">
      <c r="G16460"/>
      <c r="I16460"/>
      <c r="N16460"/>
      <c r="O16460" s="24"/>
      <c r="P16460"/>
      <c r="Q16460" s="24"/>
      <c r="R16460"/>
      <c r="S16460"/>
      <c r="T16460"/>
      <c r="U16460"/>
      <c r="X16460" s="60"/>
    </row>
    <row r="16461" spans="7:24" ht="15" customHeight="1">
      <c r="G16461"/>
      <c r="I16461"/>
      <c r="N16461"/>
      <c r="O16461" s="24"/>
      <c r="P16461"/>
      <c r="Q16461" s="24"/>
      <c r="R16461"/>
      <c r="S16461"/>
      <c r="T16461"/>
      <c r="U16461"/>
      <c r="X16461" s="60"/>
    </row>
    <row r="16462" spans="7:24" ht="15" customHeight="1">
      <c r="G16462"/>
      <c r="I16462"/>
      <c r="N16462"/>
      <c r="O16462" s="24"/>
      <c r="P16462"/>
      <c r="Q16462" s="24"/>
      <c r="R16462"/>
      <c r="S16462"/>
      <c r="T16462"/>
      <c r="U16462"/>
      <c r="X16462" s="60"/>
    </row>
    <row r="16463" spans="7:24" ht="15" customHeight="1">
      <c r="G16463"/>
      <c r="I16463"/>
      <c r="N16463"/>
      <c r="O16463" s="24"/>
      <c r="P16463"/>
      <c r="Q16463" s="24"/>
      <c r="R16463"/>
      <c r="S16463"/>
      <c r="T16463"/>
      <c r="U16463"/>
      <c r="X16463" s="60"/>
    </row>
    <row r="16464" spans="7:24" ht="15" customHeight="1">
      <c r="G16464"/>
      <c r="I16464"/>
      <c r="N16464"/>
      <c r="O16464" s="24"/>
      <c r="P16464"/>
      <c r="Q16464" s="24"/>
      <c r="R16464"/>
      <c r="S16464"/>
      <c r="T16464"/>
      <c r="U16464"/>
      <c r="X16464" s="60"/>
    </row>
    <row r="16465" spans="7:24" ht="15" customHeight="1">
      <c r="G16465"/>
      <c r="I16465"/>
      <c r="N16465"/>
      <c r="O16465" s="24"/>
      <c r="P16465"/>
      <c r="Q16465" s="24"/>
      <c r="R16465"/>
      <c r="S16465"/>
      <c r="T16465"/>
      <c r="U16465"/>
      <c r="X16465" s="60"/>
    </row>
    <row r="16466" spans="7:24" ht="15" customHeight="1">
      <c r="G16466"/>
      <c r="I16466"/>
      <c r="N16466"/>
      <c r="O16466" s="24"/>
      <c r="P16466"/>
      <c r="Q16466" s="24"/>
      <c r="R16466"/>
      <c r="S16466"/>
      <c r="T16466"/>
      <c r="U16466"/>
      <c r="X16466" s="60"/>
    </row>
    <row r="16467" spans="7:24" ht="15" customHeight="1">
      <c r="G16467"/>
      <c r="I16467"/>
      <c r="N16467"/>
      <c r="O16467" s="24"/>
      <c r="P16467"/>
      <c r="Q16467" s="24"/>
      <c r="R16467"/>
      <c r="S16467"/>
      <c r="T16467"/>
      <c r="U16467"/>
      <c r="X16467" s="60"/>
    </row>
    <row r="16468" spans="7:24" ht="15" customHeight="1">
      <c r="G16468"/>
      <c r="I16468"/>
      <c r="N16468"/>
      <c r="O16468" s="24"/>
      <c r="P16468"/>
      <c r="Q16468" s="24"/>
      <c r="R16468"/>
      <c r="S16468"/>
      <c r="T16468"/>
      <c r="U16468"/>
      <c r="X16468" s="60"/>
    </row>
    <row r="16469" spans="7:24" ht="15" customHeight="1">
      <c r="G16469"/>
      <c r="I16469"/>
      <c r="N16469"/>
      <c r="O16469" s="24"/>
      <c r="P16469"/>
      <c r="Q16469" s="24"/>
      <c r="R16469"/>
      <c r="S16469"/>
      <c r="T16469"/>
      <c r="U16469"/>
      <c r="X16469" s="60"/>
    </row>
    <row r="16470" spans="7:24" ht="15" customHeight="1">
      <c r="G16470"/>
      <c r="I16470"/>
      <c r="N16470"/>
      <c r="O16470" s="24"/>
      <c r="P16470"/>
      <c r="Q16470" s="24"/>
      <c r="R16470"/>
      <c r="S16470"/>
      <c r="T16470"/>
      <c r="U16470"/>
      <c r="X16470" s="60"/>
    </row>
    <row r="16471" spans="7:24" ht="15" customHeight="1">
      <c r="G16471"/>
      <c r="I16471"/>
      <c r="N16471"/>
      <c r="O16471" s="24"/>
      <c r="P16471"/>
      <c r="Q16471" s="24"/>
      <c r="R16471"/>
      <c r="S16471"/>
      <c r="T16471"/>
      <c r="U16471"/>
      <c r="X16471" s="60"/>
    </row>
    <row r="16472" spans="7:24" ht="15" customHeight="1">
      <c r="G16472"/>
      <c r="I16472"/>
      <c r="N16472"/>
      <c r="O16472" s="24"/>
      <c r="P16472"/>
      <c r="Q16472" s="24"/>
      <c r="R16472"/>
      <c r="S16472"/>
      <c r="T16472"/>
      <c r="U16472"/>
      <c r="X16472" s="60"/>
    </row>
    <row r="16473" spans="7:24" ht="15" customHeight="1">
      <c r="G16473"/>
      <c r="I16473"/>
      <c r="N16473"/>
      <c r="O16473" s="24"/>
      <c r="P16473"/>
      <c r="Q16473" s="24"/>
      <c r="R16473"/>
      <c r="S16473"/>
      <c r="T16473"/>
      <c r="U16473"/>
      <c r="X16473" s="60"/>
    </row>
    <row r="16474" spans="7:24" ht="15" customHeight="1">
      <c r="G16474"/>
      <c r="I16474"/>
      <c r="N16474"/>
      <c r="O16474" s="24"/>
      <c r="P16474"/>
      <c r="Q16474" s="24"/>
      <c r="R16474"/>
      <c r="S16474"/>
      <c r="T16474"/>
      <c r="U16474"/>
      <c r="X16474" s="60"/>
    </row>
    <row r="16475" spans="7:24" ht="15" customHeight="1">
      <c r="G16475"/>
      <c r="I16475"/>
      <c r="N16475"/>
      <c r="O16475" s="24"/>
      <c r="P16475"/>
      <c r="Q16475" s="24"/>
      <c r="R16475"/>
      <c r="S16475"/>
      <c r="T16475"/>
      <c r="U16475"/>
      <c r="X16475" s="60"/>
    </row>
    <row r="16476" spans="7:24" ht="15" customHeight="1">
      <c r="G16476"/>
      <c r="I16476"/>
      <c r="N16476"/>
      <c r="O16476" s="24"/>
      <c r="P16476"/>
      <c r="Q16476" s="24"/>
      <c r="R16476"/>
      <c r="S16476"/>
      <c r="T16476"/>
      <c r="U16476"/>
      <c r="X16476" s="60"/>
    </row>
    <row r="16477" spans="7:24" ht="15" customHeight="1">
      <c r="G16477"/>
      <c r="I16477"/>
      <c r="N16477"/>
      <c r="O16477" s="24"/>
      <c r="P16477"/>
      <c r="Q16477" s="24"/>
      <c r="R16477"/>
      <c r="S16477"/>
      <c r="T16477"/>
      <c r="U16477"/>
      <c r="X16477" s="60"/>
    </row>
    <row r="16478" spans="7:24" ht="15" customHeight="1">
      <c r="G16478"/>
      <c r="I16478"/>
      <c r="N16478"/>
      <c r="O16478" s="24"/>
      <c r="P16478"/>
      <c r="Q16478" s="24"/>
      <c r="R16478"/>
      <c r="S16478"/>
      <c r="T16478"/>
      <c r="U16478"/>
      <c r="X16478" s="60"/>
    </row>
    <row r="16479" spans="7:24" ht="15" customHeight="1">
      <c r="G16479"/>
      <c r="I16479"/>
      <c r="N16479"/>
      <c r="O16479" s="24"/>
      <c r="P16479"/>
      <c r="Q16479" s="24"/>
      <c r="R16479"/>
      <c r="S16479"/>
      <c r="T16479"/>
      <c r="U16479"/>
      <c r="X16479" s="60"/>
    </row>
    <row r="16480" spans="7:24" ht="15" customHeight="1">
      <c r="G16480"/>
      <c r="I16480"/>
      <c r="N16480"/>
      <c r="O16480" s="24"/>
      <c r="P16480"/>
      <c r="Q16480" s="24"/>
      <c r="R16480"/>
      <c r="S16480"/>
      <c r="T16480"/>
      <c r="U16480"/>
      <c r="X16480" s="60"/>
    </row>
    <row r="16481" spans="7:24" ht="15" customHeight="1">
      <c r="G16481"/>
      <c r="I16481"/>
      <c r="N16481"/>
      <c r="O16481" s="24"/>
      <c r="P16481"/>
      <c r="Q16481" s="24"/>
      <c r="R16481"/>
      <c r="S16481"/>
      <c r="T16481"/>
      <c r="U16481"/>
      <c r="X16481" s="60"/>
    </row>
    <row r="16482" spans="7:24" ht="15" customHeight="1">
      <c r="G16482"/>
      <c r="I16482"/>
      <c r="N16482"/>
      <c r="O16482" s="24"/>
      <c r="P16482"/>
      <c r="Q16482" s="24"/>
      <c r="R16482"/>
      <c r="S16482"/>
      <c r="T16482"/>
      <c r="U16482"/>
      <c r="X16482" s="60"/>
    </row>
    <row r="16483" spans="7:24" ht="15" customHeight="1">
      <c r="G16483"/>
      <c r="I16483"/>
      <c r="N16483"/>
      <c r="O16483" s="24"/>
      <c r="P16483"/>
      <c r="Q16483" s="24"/>
      <c r="R16483"/>
      <c r="S16483"/>
      <c r="T16483"/>
      <c r="U16483"/>
      <c r="X16483" s="60"/>
    </row>
    <row r="16484" spans="7:24" ht="15" customHeight="1">
      <c r="G16484"/>
      <c r="I16484"/>
      <c r="N16484"/>
      <c r="O16484" s="24"/>
      <c r="P16484"/>
      <c r="Q16484" s="24"/>
      <c r="R16484"/>
      <c r="S16484"/>
      <c r="T16484"/>
      <c r="U16484"/>
      <c r="X16484" s="60"/>
    </row>
    <row r="16485" spans="7:24" ht="15" customHeight="1">
      <c r="G16485"/>
      <c r="I16485"/>
      <c r="N16485"/>
      <c r="O16485" s="24"/>
      <c r="P16485"/>
      <c r="Q16485" s="24"/>
      <c r="R16485"/>
      <c r="S16485"/>
      <c r="T16485"/>
      <c r="U16485"/>
      <c r="X16485" s="60"/>
    </row>
    <row r="16486" spans="7:24" ht="15" customHeight="1">
      <c r="G16486"/>
      <c r="I16486"/>
      <c r="N16486"/>
      <c r="O16486" s="24"/>
      <c r="P16486"/>
      <c r="Q16486" s="24"/>
      <c r="R16486"/>
      <c r="S16486"/>
      <c r="T16486"/>
      <c r="U16486"/>
      <c r="X16486" s="60"/>
    </row>
    <row r="16487" spans="7:24" ht="15" customHeight="1">
      <c r="G16487"/>
      <c r="I16487"/>
      <c r="N16487"/>
      <c r="O16487" s="24"/>
      <c r="P16487"/>
      <c r="Q16487" s="24"/>
      <c r="R16487"/>
      <c r="S16487"/>
      <c r="T16487"/>
      <c r="U16487"/>
      <c r="X16487" s="60"/>
    </row>
    <row r="16488" spans="7:24" ht="15" customHeight="1">
      <c r="G16488"/>
      <c r="I16488"/>
      <c r="N16488"/>
      <c r="O16488" s="24"/>
      <c r="P16488"/>
      <c r="Q16488" s="24"/>
      <c r="R16488"/>
      <c r="S16488"/>
      <c r="T16488"/>
      <c r="U16488"/>
      <c r="X16488" s="60"/>
    </row>
    <row r="16489" spans="7:24" ht="15" customHeight="1">
      <c r="G16489"/>
      <c r="I16489"/>
      <c r="N16489"/>
      <c r="O16489" s="24"/>
      <c r="P16489"/>
      <c r="Q16489" s="24"/>
      <c r="R16489"/>
      <c r="S16489"/>
      <c r="T16489"/>
      <c r="U16489"/>
      <c r="X16489" s="60"/>
    </row>
    <row r="16490" spans="7:24" ht="15" customHeight="1">
      <c r="G16490"/>
      <c r="I16490"/>
      <c r="N16490"/>
      <c r="O16490" s="24"/>
      <c r="P16490"/>
      <c r="Q16490" s="24"/>
      <c r="R16490"/>
      <c r="S16490"/>
      <c r="T16490"/>
      <c r="U16490"/>
      <c r="X16490" s="60"/>
    </row>
    <row r="16491" spans="7:24" ht="15" customHeight="1">
      <c r="G16491"/>
      <c r="I16491"/>
      <c r="N16491"/>
      <c r="O16491" s="24"/>
      <c r="P16491"/>
      <c r="Q16491" s="24"/>
      <c r="R16491"/>
      <c r="S16491"/>
      <c r="T16491"/>
      <c r="U16491"/>
      <c r="X16491" s="60"/>
    </row>
    <row r="16492" spans="7:24" ht="15" customHeight="1">
      <c r="G16492"/>
      <c r="I16492"/>
      <c r="N16492"/>
      <c r="O16492" s="24"/>
      <c r="P16492"/>
      <c r="Q16492" s="24"/>
      <c r="R16492"/>
      <c r="S16492"/>
      <c r="T16492"/>
      <c r="U16492"/>
      <c r="X16492" s="60"/>
    </row>
    <row r="16493" spans="7:24" ht="15" customHeight="1">
      <c r="G16493"/>
      <c r="I16493"/>
      <c r="N16493"/>
      <c r="O16493" s="24"/>
      <c r="P16493"/>
      <c r="Q16493" s="24"/>
      <c r="R16493"/>
      <c r="S16493"/>
      <c r="T16493"/>
      <c r="U16493"/>
      <c r="X16493" s="60"/>
    </row>
    <row r="16494" spans="7:24" ht="15" customHeight="1">
      <c r="G16494"/>
      <c r="I16494"/>
      <c r="N16494"/>
      <c r="O16494" s="24"/>
      <c r="P16494"/>
      <c r="Q16494" s="24"/>
      <c r="R16494"/>
      <c r="S16494"/>
      <c r="T16494"/>
      <c r="U16494"/>
      <c r="X16494" s="60"/>
    </row>
    <row r="16495" spans="7:24" ht="15" customHeight="1">
      <c r="G16495"/>
      <c r="I16495"/>
      <c r="N16495"/>
      <c r="O16495" s="24"/>
      <c r="P16495"/>
      <c r="Q16495" s="24"/>
      <c r="R16495"/>
      <c r="S16495"/>
      <c r="T16495"/>
      <c r="U16495"/>
      <c r="X16495" s="60"/>
    </row>
    <row r="16496" spans="7:24" ht="15" customHeight="1">
      <c r="G16496"/>
      <c r="I16496"/>
      <c r="N16496"/>
      <c r="O16496" s="24"/>
      <c r="P16496"/>
      <c r="Q16496" s="24"/>
      <c r="R16496"/>
      <c r="S16496"/>
      <c r="T16496"/>
      <c r="U16496"/>
      <c r="X16496" s="60"/>
    </row>
    <row r="16497" spans="7:24" ht="15" customHeight="1">
      <c r="G16497"/>
      <c r="I16497"/>
      <c r="N16497"/>
      <c r="O16497" s="24"/>
      <c r="P16497"/>
      <c r="Q16497" s="24"/>
      <c r="R16497"/>
      <c r="S16497"/>
      <c r="T16497"/>
      <c r="U16497"/>
      <c r="X16497" s="60"/>
    </row>
    <row r="16498" spans="7:24" ht="15" customHeight="1">
      <c r="G16498"/>
      <c r="I16498"/>
      <c r="N16498"/>
      <c r="O16498" s="24"/>
      <c r="P16498"/>
      <c r="Q16498" s="24"/>
      <c r="R16498"/>
      <c r="S16498"/>
      <c r="T16498"/>
      <c r="U16498"/>
      <c r="X16498" s="60"/>
    </row>
    <row r="16499" spans="7:24" ht="15" customHeight="1">
      <c r="G16499"/>
      <c r="I16499"/>
      <c r="N16499"/>
      <c r="O16499" s="24"/>
      <c r="P16499"/>
      <c r="Q16499" s="24"/>
      <c r="R16499"/>
      <c r="S16499"/>
      <c r="T16499"/>
      <c r="U16499"/>
      <c r="X16499" s="60"/>
    </row>
    <row r="16500" spans="7:24" ht="15" customHeight="1">
      <c r="G16500"/>
      <c r="I16500"/>
      <c r="N16500"/>
      <c r="O16500" s="24"/>
      <c r="P16500"/>
      <c r="Q16500" s="24"/>
      <c r="R16500"/>
      <c r="S16500"/>
      <c r="T16500"/>
      <c r="U16500"/>
      <c r="X16500" s="60"/>
    </row>
    <row r="16501" spans="7:24" ht="15" customHeight="1">
      <c r="G16501"/>
      <c r="I16501"/>
      <c r="N16501"/>
      <c r="O16501" s="24"/>
      <c r="P16501"/>
      <c r="Q16501" s="24"/>
      <c r="R16501"/>
      <c r="S16501"/>
      <c r="T16501"/>
      <c r="U16501"/>
      <c r="X16501" s="60"/>
    </row>
    <row r="16502" spans="7:24" ht="15" customHeight="1">
      <c r="G16502"/>
      <c r="I16502"/>
      <c r="N16502"/>
      <c r="O16502" s="24"/>
      <c r="P16502"/>
      <c r="Q16502" s="24"/>
      <c r="R16502"/>
      <c r="S16502"/>
      <c r="T16502"/>
      <c r="U16502"/>
      <c r="X16502" s="60"/>
    </row>
    <row r="16503" spans="7:24" ht="15" customHeight="1">
      <c r="G16503"/>
      <c r="I16503"/>
      <c r="N16503"/>
      <c r="O16503" s="24"/>
      <c r="P16503"/>
      <c r="Q16503" s="24"/>
      <c r="R16503"/>
      <c r="S16503"/>
      <c r="T16503"/>
      <c r="U16503"/>
      <c r="X16503" s="60"/>
    </row>
    <row r="16504" spans="7:24" ht="15" customHeight="1">
      <c r="G16504"/>
      <c r="I16504"/>
      <c r="N16504"/>
      <c r="O16504" s="24"/>
      <c r="P16504"/>
      <c r="Q16504" s="24"/>
      <c r="R16504"/>
      <c r="S16504"/>
      <c r="T16504"/>
      <c r="U16504"/>
      <c r="X16504" s="60"/>
    </row>
    <row r="16505" spans="7:24" ht="15" customHeight="1">
      <c r="G16505"/>
      <c r="I16505"/>
      <c r="N16505"/>
      <c r="O16505" s="24"/>
      <c r="P16505"/>
      <c r="Q16505" s="24"/>
      <c r="R16505"/>
      <c r="S16505"/>
      <c r="T16505"/>
      <c r="U16505"/>
      <c r="X16505" s="60"/>
    </row>
    <row r="16506" spans="7:24" ht="15" customHeight="1">
      <c r="G16506"/>
      <c r="I16506"/>
      <c r="N16506"/>
      <c r="O16506" s="24"/>
      <c r="P16506"/>
      <c r="Q16506" s="24"/>
      <c r="R16506"/>
      <c r="S16506"/>
      <c r="T16506"/>
      <c r="U16506"/>
      <c r="X16506" s="60"/>
    </row>
    <row r="16507" spans="7:24" ht="15" customHeight="1">
      <c r="G16507"/>
      <c r="I16507"/>
      <c r="N16507"/>
      <c r="O16507" s="24"/>
      <c r="P16507"/>
      <c r="Q16507" s="24"/>
      <c r="R16507"/>
      <c r="S16507"/>
      <c r="T16507"/>
      <c r="U16507"/>
      <c r="X16507" s="60"/>
    </row>
    <row r="16508" spans="7:24" ht="15" customHeight="1">
      <c r="G16508"/>
      <c r="I16508"/>
      <c r="N16508"/>
      <c r="O16508" s="24"/>
      <c r="P16508"/>
      <c r="Q16508" s="24"/>
      <c r="R16508"/>
      <c r="S16508"/>
      <c r="T16508"/>
      <c r="U16508"/>
      <c r="X16508" s="60"/>
    </row>
    <row r="16509" spans="7:24" ht="15" customHeight="1">
      <c r="G16509"/>
      <c r="I16509"/>
      <c r="N16509"/>
      <c r="O16509" s="24"/>
      <c r="P16509"/>
      <c r="Q16509" s="24"/>
      <c r="R16509"/>
      <c r="S16509"/>
      <c r="T16509"/>
      <c r="U16509"/>
      <c r="X16509" s="60"/>
    </row>
    <row r="16510" spans="7:24" ht="15" customHeight="1">
      <c r="G16510"/>
      <c r="I16510"/>
      <c r="N16510"/>
      <c r="O16510" s="24"/>
      <c r="P16510"/>
      <c r="Q16510" s="24"/>
      <c r="R16510"/>
      <c r="S16510"/>
      <c r="T16510"/>
      <c r="U16510"/>
      <c r="X16510" s="60"/>
    </row>
    <row r="16511" spans="7:24" ht="15" customHeight="1">
      <c r="G16511"/>
      <c r="I16511"/>
      <c r="N16511"/>
      <c r="O16511" s="24"/>
      <c r="P16511"/>
      <c r="Q16511" s="24"/>
      <c r="R16511"/>
      <c r="S16511"/>
      <c r="T16511"/>
      <c r="U16511"/>
      <c r="X16511" s="60"/>
    </row>
    <row r="16512" spans="7:24" ht="15" customHeight="1">
      <c r="G16512"/>
      <c r="I16512"/>
      <c r="N16512"/>
      <c r="O16512" s="24"/>
      <c r="P16512"/>
      <c r="Q16512" s="24"/>
      <c r="R16512"/>
      <c r="S16512"/>
      <c r="T16512"/>
      <c r="U16512"/>
      <c r="X16512" s="60"/>
    </row>
    <row r="16513" spans="7:24" ht="15" customHeight="1">
      <c r="G16513"/>
      <c r="I16513"/>
      <c r="N16513"/>
      <c r="O16513" s="24"/>
      <c r="P16513"/>
      <c r="Q16513" s="24"/>
      <c r="R16513"/>
      <c r="S16513"/>
      <c r="T16513"/>
      <c r="U16513"/>
      <c r="X16513" s="60"/>
    </row>
    <row r="16514" spans="7:24" ht="15" customHeight="1">
      <c r="G16514"/>
      <c r="I16514"/>
      <c r="N16514"/>
      <c r="O16514" s="24"/>
      <c r="P16514"/>
      <c r="Q16514" s="24"/>
      <c r="R16514"/>
      <c r="S16514"/>
      <c r="T16514"/>
      <c r="U16514"/>
      <c r="X16514" s="60"/>
    </row>
    <row r="16515" spans="7:24" ht="15" customHeight="1">
      <c r="G16515"/>
      <c r="I16515"/>
      <c r="N16515"/>
      <c r="O16515" s="24"/>
      <c r="P16515"/>
      <c r="Q16515" s="24"/>
      <c r="R16515"/>
      <c r="S16515"/>
      <c r="T16515"/>
      <c r="U16515"/>
      <c r="X16515" s="60"/>
    </row>
    <row r="16516" spans="7:24" ht="15" customHeight="1">
      <c r="G16516"/>
      <c r="I16516"/>
      <c r="N16516"/>
      <c r="O16516" s="24"/>
      <c r="P16516"/>
      <c r="Q16516" s="24"/>
      <c r="R16516"/>
      <c r="S16516"/>
      <c r="T16516"/>
      <c r="U16516"/>
      <c r="X16516" s="60"/>
    </row>
    <row r="16517" spans="7:24" ht="15" customHeight="1">
      <c r="G16517"/>
      <c r="I16517"/>
      <c r="N16517"/>
      <c r="O16517" s="24"/>
      <c r="P16517"/>
      <c r="Q16517" s="24"/>
      <c r="R16517"/>
      <c r="S16517"/>
      <c r="T16517"/>
      <c r="U16517"/>
      <c r="X16517" s="60"/>
    </row>
    <row r="16518" spans="7:24" ht="15" customHeight="1">
      <c r="G16518"/>
      <c r="I16518"/>
      <c r="N16518"/>
      <c r="O16518" s="24"/>
      <c r="P16518"/>
      <c r="Q16518" s="24"/>
      <c r="R16518"/>
      <c r="S16518"/>
      <c r="T16518"/>
      <c r="U16518"/>
      <c r="X16518" s="60"/>
    </row>
    <row r="16519" spans="7:24" ht="15" customHeight="1">
      <c r="G16519"/>
      <c r="I16519"/>
      <c r="N16519"/>
      <c r="O16519" s="24"/>
      <c r="P16519"/>
      <c r="Q16519" s="24"/>
      <c r="R16519"/>
      <c r="S16519"/>
      <c r="T16519"/>
      <c r="U16519"/>
      <c r="X16519" s="60"/>
    </row>
    <row r="16520" spans="7:24" ht="15" customHeight="1">
      <c r="G16520"/>
      <c r="I16520"/>
      <c r="N16520"/>
      <c r="O16520" s="24"/>
      <c r="P16520"/>
      <c r="Q16520" s="24"/>
      <c r="R16520"/>
      <c r="S16520"/>
      <c r="T16520"/>
      <c r="U16520"/>
      <c r="X16520" s="60"/>
    </row>
    <row r="16521" spans="7:24" ht="15" customHeight="1">
      <c r="G16521"/>
      <c r="I16521"/>
      <c r="N16521"/>
      <c r="O16521" s="24"/>
      <c r="P16521"/>
      <c r="Q16521" s="24"/>
      <c r="R16521"/>
      <c r="S16521"/>
      <c r="T16521"/>
      <c r="U16521"/>
      <c r="X16521" s="60"/>
    </row>
    <row r="16522" spans="7:24" ht="15" customHeight="1">
      <c r="G16522"/>
      <c r="I16522"/>
      <c r="N16522"/>
      <c r="O16522" s="24"/>
      <c r="P16522"/>
      <c r="Q16522" s="24"/>
      <c r="R16522"/>
      <c r="S16522"/>
      <c r="T16522"/>
      <c r="U16522"/>
      <c r="X16522" s="60"/>
    </row>
    <row r="16523" spans="7:24" ht="15" customHeight="1">
      <c r="G16523"/>
      <c r="I16523"/>
      <c r="N16523"/>
      <c r="O16523" s="24"/>
      <c r="P16523"/>
      <c r="Q16523" s="24"/>
      <c r="R16523"/>
      <c r="S16523"/>
      <c r="T16523"/>
      <c r="U16523"/>
      <c r="X16523" s="60"/>
    </row>
    <row r="16524" spans="7:24" ht="15" customHeight="1">
      <c r="G16524"/>
      <c r="I16524"/>
      <c r="N16524"/>
      <c r="O16524" s="24"/>
      <c r="P16524"/>
      <c r="Q16524" s="24"/>
      <c r="R16524"/>
      <c r="S16524"/>
      <c r="T16524"/>
      <c r="U16524"/>
      <c r="X16524" s="60"/>
    </row>
    <row r="16525" spans="7:24" ht="15" customHeight="1">
      <c r="G16525"/>
      <c r="I16525"/>
      <c r="N16525"/>
      <c r="O16525" s="24"/>
      <c r="P16525"/>
      <c r="Q16525" s="24"/>
      <c r="R16525"/>
      <c r="S16525"/>
      <c r="T16525"/>
      <c r="U16525"/>
      <c r="X16525" s="60"/>
    </row>
    <row r="16526" spans="7:24" ht="15" customHeight="1">
      <c r="G16526"/>
      <c r="I16526"/>
      <c r="N16526"/>
      <c r="O16526" s="24"/>
      <c r="P16526"/>
      <c r="Q16526" s="24"/>
      <c r="R16526"/>
      <c r="S16526"/>
      <c r="T16526"/>
      <c r="U16526"/>
      <c r="X16526" s="60"/>
    </row>
    <row r="16527" spans="7:24" ht="15" customHeight="1">
      <c r="G16527"/>
      <c r="I16527"/>
      <c r="N16527"/>
      <c r="O16527" s="24"/>
      <c r="P16527"/>
      <c r="Q16527" s="24"/>
      <c r="R16527"/>
      <c r="S16527"/>
      <c r="T16527"/>
      <c r="U16527"/>
      <c r="X16527" s="60"/>
    </row>
    <row r="16528" spans="7:24" ht="15" customHeight="1">
      <c r="G16528"/>
      <c r="I16528"/>
      <c r="N16528"/>
      <c r="O16528" s="24"/>
      <c r="P16528"/>
      <c r="Q16528" s="24"/>
      <c r="R16528"/>
      <c r="S16528"/>
      <c r="T16528"/>
      <c r="U16528"/>
      <c r="X16528" s="60"/>
    </row>
    <row r="16529" spans="7:24" ht="15" customHeight="1">
      <c r="G16529"/>
      <c r="I16529"/>
      <c r="N16529"/>
      <c r="O16529" s="24"/>
      <c r="P16529"/>
      <c r="Q16529" s="24"/>
      <c r="R16529"/>
      <c r="S16529"/>
      <c r="T16529"/>
      <c r="U16529"/>
      <c r="X16529" s="60"/>
    </row>
    <row r="16530" spans="7:24" ht="15" customHeight="1">
      <c r="G16530"/>
      <c r="I16530"/>
      <c r="N16530"/>
      <c r="O16530" s="24"/>
      <c r="P16530"/>
      <c r="Q16530" s="24"/>
      <c r="R16530"/>
      <c r="S16530"/>
      <c r="T16530"/>
      <c r="U16530"/>
      <c r="X16530" s="60"/>
    </row>
    <row r="16531" spans="7:24" ht="15" customHeight="1">
      <c r="G16531"/>
      <c r="I16531"/>
      <c r="N16531"/>
      <c r="O16531" s="24"/>
      <c r="P16531"/>
      <c r="Q16531" s="24"/>
      <c r="R16531"/>
      <c r="S16531"/>
      <c r="T16531"/>
      <c r="U16531"/>
      <c r="X16531" s="60"/>
    </row>
    <row r="16532" spans="7:24" ht="15" customHeight="1">
      <c r="G16532"/>
      <c r="I16532"/>
      <c r="N16532"/>
      <c r="O16532" s="24"/>
      <c r="P16532"/>
      <c r="Q16532" s="24"/>
      <c r="R16532"/>
      <c r="S16532"/>
      <c r="T16532"/>
      <c r="U16532"/>
      <c r="X16532" s="60"/>
    </row>
    <row r="16533" spans="7:24" ht="15" customHeight="1">
      <c r="G16533"/>
      <c r="I16533"/>
      <c r="N16533"/>
      <c r="O16533" s="24"/>
      <c r="P16533"/>
      <c r="Q16533" s="24"/>
      <c r="R16533"/>
      <c r="S16533"/>
      <c r="T16533"/>
      <c r="U16533"/>
      <c r="X16533" s="60"/>
    </row>
    <row r="16534" spans="7:24" ht="15" customHeight="1">
      <c r="G16534"/>
      <c r="I16534"/>
      <c r="N16534"/>
      <c r="O16534" s="24"/>
      <c r="P16534"/>
      <c r="Q16534" s="24"/>
      <c r="R16534"/>
      <c r="S16534"/>
      <c r="T16534"/>
      <c r="U16534"/>
      <c r="X16534" s="60"/>
    </row>
    <row r="16535" spans="7:24" ht="15" customHeight="1">
      <c r="G16535"/>
      <c r="I16535"/>
      <c r="N16535"/>
      <c r="O16535" s="24"/>
      <c r="P16535"/>
      <c r="Q16535" s="24"/>
      <c r="R16535"/>
      <c r="S16535"/>
      <c r="T16535"/>
      <c r="U16535"/>
      <c r="X16535" s="60"/>
    </row>
    <row r="16536" spans="7:24" ht="15" customHeight="1">
      <c r="G16536"/>
      <c r="I16536"/>
      <c r="N16536"/>
      <c r="O16536" s="24"/>
      <c r="P16536"/>
      <c r="Q16536" s="24"/>
      <c r="R16536"/>
      <c r="S16536"/>
      <c r="T16536"/>
      <c r="U16536"/>
      <c r="X16536" s="60"/>
    </row>
    <row r="16537" spans="7:24" ht="15" customHeight="1">
      <c r="G16537"/>
      <c r="I16537"/>
      <c r="N16537"/>
      <c r="O16537" s="24"/>
      <c r="P16537"/>
      <c r="Q16537" s="24"/>
      <c r="R16537"/>
      <c r="S16537"/>
      <c r="T16537"/>
      <c r="U16537"/>
      <c r="X16537" s="60"/>
    </row>
    <row r="16538" spans="7:24" ht="15" customHeight="1">
      <c r="G16538"/>
      <c r="I16538"/>
      <c r="N16538"/>
      <c r="O16538" s="24"/>
      <c r="P16538"/>
      <c r="Q16538" s="24"/>
      <c r="R16538"/>
      <c r="S16538"/>
      <c r="T16538"/>
      <c r="U16538"/>
      <c r="X16538" s="60"/>
    </row>
    <row r="16539" spans="7:24" ht="15" customHeight="1">
      <c r="G16539"/>
      <c r="I16539"/>
      <c r="N16539"/>
      <c r="O16539" s="24"/>
      <c r="P16539"/>
      <c r="Q16539" s="24"/>
      <c r="R16539"/>
      <c r="S16539"/>
      <c r="T16539"/>
      <c r="U16539"/>
      <c r="X16539" s="60"/>
    </row>
    <row r="16540" spans="7:24" ht="15" customHeight="1">
      <c r="G16540"/>
      <c r="I16540"/>
      <c r="N16540"/>
      <c r="O16540" s="24"/>
      <c r="P16540"/>
      <c r="Q16540" s="24"/>
      <c r="R16540"/>
      <c r="S16540"/>
      <c r="T16540"/>
      <c r="U16540"/>
      <c r="X16540" s="60"/>
    </row>
    <row r="16541" spans="7:24" ht="15" customHeight="1">
      <c r="G16541"/>
      <c r="I16541"/>
      <c r="N16541"/>
      <c r="O16541" s="24"/>
      <c r="P16541"/>
      <c r="Q16541" s="24"/>
      <c r="R16541"/>
      <c r="S16541"/>
      <c r="T16541"/>
      <c r="U16541"/>
      <c r="X16541" s="60"/>
    </row>
    <row r="16542" spans="7:24" ht="15" customHeight="1">
      <c r="G16542"/>
      <c r="I16542"/>
      <c r="N16542"/>
      <c r="O16542" s="24"/>
      <c r="P16542"/>
      <c r="Q16542" s="24"/>
      <c r="R16542"/>
      <c r="S16542"/>
      <c r="T16542"/>
      <c r="U16542"/>
      <c r="X16542" s="60"/>
    </row>
    <row r="16543" spans="7:24" ht="15" customHeight="1">
      <c r="G16543"/>
      <c r="I16543"/>
      <c r="N16543"/>
      <c r="O16543" s="24"/>
      <c r="P16543"/>
      <c r="Q16543" s="24"/>
      <c r="R16543"/>
      <c r="S16543"/>
      <c r="T16543"/>
      <c r="U16543"/>
      <c r="X16543" s="60"/>
    </row>
    <row r="16544" spans="7:24" ht="15" customHeight="1">
      <c r="G16544"/>
      <c r="I16544"/>
      <c r="N16544"/>
      <c r="O16544" s="24"/>
      <c r="P16544"/>
      <c r="Q16544" s="24"/>
      <c r="R16544"/>
      <c r="S16544"/>
      <c r="T16544"/>
      <c r="U16544"/>
      <c r="X16544" s="60"/>
    </row>
    <row r="16545" spans="7:24" ht="15" customHeight="1">
      <c r="G16545"/>
      <c r="I16545"/>
      <c r="N16545"/>
      <c r="O16545" s="24"/>
      <c r="P16545"/>
      <c r="Q16545" s="24"/>
      <c r="R16545"/>
      <c r="S16545"/>
      <c r="T16545"/>
      <c r="U16545"/>
      <c r="X16545" s="60"/>
    </row>
    <row r="16546" spans="7:24" ht="15" customHeight="1">
      <c r="G16546"/>
      <c r="I16546"/>
      <c r="N16546"/>
      <c r="O16546" s="24"/>
      <c r="P16546"/>
      <c r="Q16546" s="24"/>
      <c r="R16546"/>
      <c r="S16546"/>
      <c r="T16546"/>
      <c r="U16546"/>
      <c r="X16546" s="60"/>
    </row>
    <row r="16547" spans="7:24" ht="15" customHeight="1">
      <c r="G16547"/>
      <c r="I16547"/>
      <c r="N16547"/>
      <c r="O16547" s="24"/>
      <c r="P16547"/>
      <c r="Q16547" s="24"/>
      <c r="R16547"/>
      <c r="S16547"/>
      <c r="T16547"/>
      <c r="U16547"/>
      <c r="X16547" s="60"/>
    </row>
    <row r="16548" spans="7:24" ht="15" customHeight="1">
      <c r="G16548"/>
      <c r="I16548"/>
      <c r="N16548"/>
      <c r="O16548" s="24"/>
      <c r="P16548"/>
      <c r="Q16548" s="24"/>
      <c r="R16548"/>
      <c r="S16548"/>
      <c r="T16548"/>
      <c r="U16548"/>
      <c r="X16548" s="60"/>
    </row>
    <row r="16549" spans="7:24" ht="15" customHeight="1">
      <c r="G16549"/>
      <c r="I16549"/>
      <c r="N16549"/>
      <c r="O16549" s="24"/>
      <c r="P16549"/>
      <c r="Q16549" s="24"/>
      <c r="R16549"/>
      <c r="S16549"/>
      <c r="T16549"/>
      <c r="U16549"/>
      <c r="X16549" s="60"/>
    </row>
    <row r="16550" spans="7:24" ht="15" customHeight="1">
      <c r="G16550"/>
      <c r="I16550"/>
      <c r="N16550"/>
      <c r="O16550" s="24"/>
      <c r="P16550"/>
      <c r="Q16550" s="24"/>
      <c r="R16550"/>
      <c r="S16550"/>
      <c r="T16550"/>
      <c r="U16550"/>
      <c r="X16550" s="60"/>
    </row>
    <row r="16551" spans="7:24" ht="15" customHeight="1">
      <c r="G16551"/>
      <c r="I16551"/>
      <c r="N16551"/>
      <c r="O16551" s="24"/>
      <c r="P16551"/>
      <c r="Q16551" s="24"/>
      <c r="R16551"/>
      <c r="S16551"/>
      <c r="T16551"/>
      <c r="U16551"/>
      <c r="X16551" s="60"/>
    </row>
    <row r="16552" spans="7:24" ht="15" customHeight="1">
      <c r="G16552"/>
      <c r="I16552"/>
      <c r="N16552"/>
      <c r="O16552" s="24"/>
      <c r="P16552"/>
      <c r="Q16552" s="24"/>
      <c r="R16552"/>
      <c r="S16552"/>
      <c r="T16552"/>
      <c r="U16552"/>
      <c r="X16552" s="60"/>
    </row>
    <row r="16553" spans="7:24" ht="15" customHeight="1">
      <c r="G16553"/>
      <c r="I16553"/>
      <c r="N16553"/>
      <c r="O16553" s="24"/>
      <c r="P16553"/>
      <c r="Q16553" s="24"/>
      <c r="R16553"/>
      <c r="S16553"/>
      <c r="T16553"/>
      <c r="U16553"/>
      <c r="X16553" s="60"/>
    </row>
    <row r="16554" spans="7:24" ht="15" customHeight="1">
      <c r="G16554"/>
      <c r="I16554"/>
      <c r="N16554"/>
      <c r="O16554" s="24"/>
      <c r="P16554"/>
      <c r="Q16554" s="24"/>
      <c r="R16554"/>
      <c r="S16554"/>
      <c r="T16554"/>
      <c r="U16554"/>
      <c r="X16554" s="60"/>
    </row>
    <row r="16555" spans="7:24" ht="15" customHeight="1">
      <c r="G16555"/>
      <c r="I16555"/>
      <c r="N16555"/>
      <c r="O16555" s="24"/>
      <c r="P16555"/>
      <c r="Q16555" s="24"/>
      <c r="R16555"/>
      <c r="S16555"/>
      <c r="T16555"/>
      <c r="U16555"/>
      <c r="X16555" s="60"/>
    </row>
    <row r="16556" spans="7:24" ht="15" customHeight="1">
      <c r="G16556"/>
      <c r="I16556"/>
      <c r="N16556"/>
      <c r="O16556" s="24"/>
      <c r="P16556"/>
      <c r="Q16556" s="24"/>
      <c r="R16556"/>
      <c r="S16556"/>
      <c r="T16556"/>
      <c r="U16556"/>
      <c r="X16556" s="60"/>
    </row>
    <row r="16557" spans="7:24" ht="15" customHeight="1">
      <c r="G16557"/>
      <c r="I16557"/>
      <c r="N16557"/>
      <c r="O16557" s="24"/>
      <c r="P16557"/>
      <c r="Q16557" s="24"/>
      <c r="R16557"/>
      <c r="S16557"/>
      <c r="T16557"/>
      <c r="U16557"/>
      <c r="X16557" s="60"/>
    </row>
    <row r="16558" spans="7:24" ht="15" customHeight="1">
      <c r="G16558"/>
      <c r="I16558"/>
      <c r="N16558"/>
      <c r="O16558" s="24"/>
      <c r="P16558"/>
      <c r="Q16558" s="24"/>
      <c r="R16558"/>
      <c r="S16558"/>
      <c r="T16558"/>
      <c r="U16558"/>
      <c r="X16558" s="60"/>
    </row>
    <row r="16559" spans="7:24" ht="15" customHeight="1">
      <c r="G16559"/>
      <c r="I16559"/>
      <c r="N16559"/>
      <c r="O16559" s="24"/>
      <c r="P16559"/>
      <c r="Q16559" s="24"/>
      <c r="R16559"/>
      <c r="S16559"/>
      <c r="T16559"/>
      <c r="U16559"/>
      <c r="X16559" s="60"/>
    </row>
    <row r="16560" spans="7:24" ht="15" customHeight="1">
      <c r="G16560"/>
      <c r="I16560"/>
      <c r="N16560"/>
      <c r="O16560" s="24"/>
      <c r="P16560"/>
      <c r="Q16560" s="24"/>
      <c r="R16560"/>
      <c r="S16560"/>
      <c r="T16560"/>
      <c r="U16560"/>
      <c r="X16560" s="60"/>
    </row>
    <row r="16561" spans="7:24" ht="15" customHeight="1">
      <c r="G16561"/>
      <c r="I16561"/>
      <c r="N16561"/>
      <c r="O16561" s="24"/>
      <c r="P16561"/>
      <c r="Q16561" s="24"/>
      <c r="R16561"/>
      <c r="S16561"/>
      <c r="T16561"/>
      <c r="U16561"/>
      <c r="X16561" s="60"/>
    </row>
    <row r="16562" spans="7:24" ht="15" customHeight="1">
      <c r="G16562"/>
      <c r="I16562"/>
      <c r="N16562"/>
      <c r="O16562" s="24"/>
      <c r="P16562"/>
      <c r="Q16562" s="24"/>
      <c r="R16562"/>
      <c r="S16562"/>
      <c r="T16562"/>
      <c r="U16562"/>
      <c r="X16562" s="60"/>
    </row>
    <row r="16563" spans="7:24" ht="15" customHeight="1">
      <c r="G16563"/>
      <c r="I16563"/>
      <c r="N16563"/>
      <c r="O16563" s="24"/>
      <c r="P16563"/>
      <c r="Q16563" s="24"/>
      <c r="R16563"/>
      <c r="S16563"/>
      <c r="T16563"/>
      <c r="U16563"/>
      <c r="X16563" s="60"/>
    </row>
    <row r="16564" spans="7:24" ht="15" customHeight="1">
      <c r="G16564"/>
      <c r="I16564"/>
      <c r="N16564"/>
      <c r="O16564" s="24"/>
      <c r="P16564"/>
      <c r="Q16564" s="24"/>
      <c r="R16564"/>
      <c r="S16564"/>
      <c r="T16564"/>
      <c r="U16564"/>
      <c r="X16564" s="60"/>
    </row>
    <row r="16565" spans="7:24" ht="15" customHeight="1">
      <c r="G16565"/>
      <c r="I16565"/>
      <c r="N16565"/>
      <c r="O16565" s="24"/>
      <c r="P16565"/>
      <c r="Q16565" s="24"/>
      <c r="R16565"/>
      <c r="S16565"/>
      <c r="T16565"/>
      <c r="U16565"/>
      <c r="X16565" s="60"/>
    </row>
    <row r="16566" spans="7:24" ht="15" customHeight="1">
      <c r="G16566"/>
      <c r="I16566"/>
      <c r="N16566"/>
      <c r="O16566" s="24"/>
      <c r="P16566"/>
      <c r="Q16566" s="24"/>
      <c r="R16566"/>
      <c r="S16566"/>
      <c r="T16566"/>
      <c r="U16566"/>
      <c r="X16566" s="60"/>
    </row>
    <row r="16567" spans="7:24" ht="15" customHeight="1">
      <c r="G16567"/>
      <c r="I16567"/>
      <c r="N16567"/>
      <c r="O16567" s="24"/>
      <c r="P16567"/>
      <c r="Q16567" s="24"/>
      <c r="R16567"/>
      <c r="S16567"/>
      <c r="T16567"/>
      <c r="U16567"/>
      <c r="X16567" s="60"/>
    </row>
    <row r="16568" spans="7:24" ht="15" customHeight="1">
      <c r="G16568"/>
      <c r="I16568"/>
      <c r="N16568"/>
      <c r="O16568" s="24"/>
      <c r="P16568"/>
      <c r="Q16568" s="24"/>
      <c r="R16568"/>
      <c r="S16568"/>
      <c r="T16568"/>
      <c r="U16568"/>
      <c r="X16568" s="60"/>
    </row>
    <row r="16569" spans="7:24" ht="15" customHeight="1">
      <c r="G16569"/>
      <c r="I16569"/>
      <c r="N16569"/>
      <c r="O16569" s="24"/>
      <c r="P16569"/>
      <c r="Q16569" s="24"/>
      <c r="R16569"/>
      <c r="S16569"/>
      <c r="T16569"/>
      <c r="U16569"/>
      <c r="X16569" s="60"/>
    </row>
    <row r="16570" spans="7:24" ht="15" customHeight="1">
      <c r="G16570"/>
      <c r="I16570"/>
      <c r="N16570"/>
      <c r="O16570" s="24"/>
      <c r="P16570"/>
      <c r="Q16570" s="24"/>
      <c r="R16570"/>
      <c r="S16570"/>
      <c r="T16570"/>
      <c r="U16570"/>
      <c r="X16570" s="60"/>
    </row>
    <row r="16571" spans="7:24" ht="15" customHeight="1">
      <c r="G16571"/>
      <c r="I16571"/>
      <c r="N16571"/>
      <c r="O16571" s="24"/>
      <c r="P16571"/>
      <c r="Q16571" s="24"/>
      <c r="R16571"/>
      <c r="S16571"/>
      <c r="T16571"/>
      <c r="U16571"/>
      <c r="X16571" s="60"/>
    </row>
    <row r="16572" spans="7:24" ht="15" customHeight="1">
      <c r="G16572"/>
      <c r="I16572"/>
      <c r="N16572"/>
      <c r="O16572" s="24"/>
      <c r="P16572"/>
      <c r="Q16572" s="24"/>
      <c r="R16572"/>
      <c r="S16572"/>
      <c r="T16572"/>
      <c r="U16572"/>
      <c r="X16572" s="60"/>
    </row>
    <row r="16573" spans="7:24" ht="15" customHeight="1">
      <c r="G16573"/>
      <c r="I16573"/>
      <c r="N16573"/>
      <c r="O16573" s="24"/>
      <c r="P16573"/>
      <c r="Q16573" s="24"/>
      <c r="R16573"/>
      <c r="S16573"/>
      <c r="T16573"/>
      <c r="U16573"/>
      <c r="X16573" s="60"/>
    </row>
    <row r="16574" spans="7:24" ht="15" customHeight="1">
      <c r="G16574"/>
      <c r="I16574"/>
      <c r="N16574"/>
      <c r="O16574" s="24"/>
      <c r="P16574"/>
      <c r="Q16574" s="24"/>
      <c r="R16574"/>
      <c r="S16574"/>
      <c r="T16574"/>
      <c r="U16574"/>
      <c r="X16574" s="60"/>
    </row>
    <row r="16575" spans="7:24" ht="15" customHeight="1">
      <c r="G16575"/>
      <c r="I16575"/>
      <c r="N16575"/>
      <c r="O16575" s="24"/>
      <c r="P16575"/>
      <c r="Q16575" s="24"/>
      <c r="R16575"/>
      <c r="S16575"/>
      <c r="T16575"/>
      <c r="U16575"/>
      <c r="X16575" s="60"/>
    </row>
    <row r="16576" spans="7:24" ht="15" customHeight="1">
      <c r="G16576"/>
      <c r="I16576"/>
      <c r="N16576"/>
      <c r="O16576" s="24"/>
      <c r="P16576"/>
      <c r="Q16576" s="24"/>
      <c r="R16576"/>
      <c r="S16576"/>
      <c r="T16576"/>
      <c r="U16576"/>
      <c r="X16576" s="60"/>
    </row>
    <row r="16577" spans="7:24" ht="15" customHeight="1">
      <c r="G16577"/>
      <c r="I16577"/>
      <c r="N16577"/>
      <c r="O16577" s="24"/>
      <c r="P16577"/>
      <c r="Q16577" s="24"/>
      <c r="R16577"/>
      <c r="S16577"/>
      <c r="T16577"/>
      <c r="U16577"/>
      <c r="X16577" s="60"/>
    </row>
    <row r="16578" spans="7:24" ht="15" customHeight="1">
      <c r="G16578"/>
      <c r="I16578"/>
      <c r="N16578"/>
      <c r="O16578" s="24"/>
      <c r="P16578"/>
      <c r="Q16578" s="24"/>
      <c r="R16578"/>
      <c r="S16578"/>
      <c r="T16578"/>
      <c r="U16578"/>
      <c r="X16578" s="60"/>
    </row>
    <row r="16579" spans="7:24" ht="15" customHeight="1">
      <c r="G16579"/>
      <c r="I16579"/>
      <c r="N16579"/>
      <c r="O16579" s="24"/>
      <c r="P16579"/>
      <c r="Q16579" s="24"/>
      <c r="R16579"/>
      <c r="S16579"/>
      <c r="T16579"/>
      <c r="U16579"/>
      <c r="X16579" s="60"/>
    </row>
    <row r="16580" spans="7:24" ht="15" customHeight="1">
      <c r="G16580"/>
      <c r="I16580"/>
      <c r="N16580"/>
      <c r="O16580" s="24"/>
      <c r="P16580"/>
      <c r="Q16580" s="24"/>
      <c r="R16580"/>
      <c r="S16580"/>
      <c r="T16580"/>
      <c r="U16580"/>
      <c r="X16580" s="60"/>
    </row>
    <row r="16581" spans="7:24" ht="15" customHeight="1">
      <c r="G16581"/>
      <c r="I16581"/>
      <c r="N16581"/>
      <c r="O16581" s="24"/>
      <c r="P16581"/>
      <c r="Q16581" s="24"/>
      <c r="R16581"/>
      <c r="S16581"/>
      <c r="T16581"/>
      <c r="U16581"/>
      <c r="X16581" s="60"/>
    </row>
    <row r="16582" spans="7:24" ht="15" customHeight="1">
      <c r="G16582"/>
      <c r="I16582"/>
      <c r="N16582"/>
      <c r="O16582" s="24"/>
      <c r="P16582"/>
      <c r="Q16582" s="24"/>
      <c r="R16582"/>
      <c r="S16582"/>
      <c r="T16582"/>
      <c r="U16582"/>
      <c r="X16582" s="60"/>
    </row>
    <row r="16583" spans="7:24" ht="15" customHeight="1">
      <c r="G16583"/>
      <c r="I16583"/>
      <c r="N16583"/>
      <c r="O16583" s="24"/>
      <c r="P16583"/>
      <c r="Q16583" s="24"/>
      <c r="R16583"/>
      <c r="S16583"/>
      <c r="T16583"/>
      <c r="U16583"/>
      <c r="X16583" s="60"/>
    </row>
    <row r="16584" spans="7:24" ht="15" customHeight="1">
      <c r="G16584"/>
      <c r="I16584"/>
      <c r="N16584"/>
      <c r="O16584" s="24"/>
      <c r="P16584"/>
      <c r="Q16584" s="24"/>
      <c r="R16584"/>
      <c r="S16584"/>
      <c r="T16584"/>
      <c r="U16584"/>
      <c r="X16584" s="60"/>
    </row>
    <row r="16585" spans="7:24" ht="15" customHeight="1">
      <c r="G16585"/>
      <c r="I16585"/>
      <c r="N16585"/>
      <c r="O16585" s="24"/>
      <c r="P16585"/>
      <c r="Q16585" s="24"/>
      <c r="R16585"/>
      <c r="S16585"/>
      <c r="T16585"/>
      <c r="U16585"/>
      <c r="X16585" s="60"/>
    </row>
    <row r="16586" spans="7:24" ht="15" customHeight="1">
      <c r="G16586"/>
      <c r="I16586"/>
      <c r="N16586"/>
      <c r="O16586" s="24"/>
      <c r="P16586"/>
      <c r="Q16586" s="24"/>
      <c r="R16586"/>
      <c r="S16586"/>
      <c r="T16586"/>
      <c r="U16586"/>
      <c r="X16586" s="60"/>
    </row>
    <row r="16587" spans="7:24" ht="15" customHeight="1">
      <c r="G16587"/>
      <c r="I16587"/>
      <c r="N16587"/>
      <c r="O16587" s="24"/>
      <c r="P16587"/>
      <c r="Q16587" s="24"/>
      <c r="R16587"/>
      <c r="S16587"/>
      <c r="T16587"/>
      <c r="U16587"/>
      <c r="X16587" s="60"/>
    </row>
    <row r="16588" spans="7:24" ht="15" customHeight="1">
      <c r="G16588"/>
      <c r="I16588"/>
      <c r="N16588"/>
      <c r="O16588" s="24"/>
      <c r="P16588"/>
      <c r="Q16588" s="24"/>
      <c r="R16588"/>
      <c r="S16588"/>
      <c r="T16588"/>
      <c r="U16588"/>
      <c r="X16588" s="60"/>
    </row>
    <row r="16589" spans="7:24" ht="15" customHeight="1">
      <c r="G16589"/>
      <c r="I16589"/>
      <c r="N16589"/>
      <c r="O16589" s="24"/>
      <c r="P16589"/>
      <c r="Q16589" s="24"/>
      <c r="R16589"/>
      <c r="S16589"/>
      <c r="T16589"/>
      <c r="U16589"/>
      <c r="X16589" s="60"/>
    </row>
    <row r="16590" spans="7:24" ht="15" customHeight="1">
      <c r="G16590"/>
      <c r="I16590"/>
      <c r="N16590"/>
      <c r="O16590" s="24"/>
      <c r="P16590"/>
      <c r="Q16590" s="24"/>
      <c r="R16590"/>
      <c r="S16590"/>
      <c r="T16590"/>
      <c r="U16590"/>
      <c r="X16590" s="60"/>
    </row>
    <row r="16591" spans="7:24" ht="15" customHeight="1">
      <c r="G16591"/>
      <c r="I16591"/>
      <c r="N16591"/>
      <c r="O16591" s="24"/>
      <c r="P16591"/>
      <c r="Q16591" s="24"/>
      <c r="R16591"/>
      <c r="S16591"/>
      <c r="T16591"/>
      <c r="U16591"/>
      <c r="X16591" s="60"/>
    </row>
    <row r="16592" spans="7:24" ht="15" customHeight="1">
      <c r="G16592"/>
      <c r="I16592"/>
      <c r="N16592"/>
      <c r="O16592" s="24"/>
      <c r="P16592"/>
      <c r="Q16592" s="24"/>
      <c r="R16592"/>
      <c r="S16592"/>
      <c r="T16592"/>
      <c r="U16592"/>
      <c r="X16592" s="60"/>
    </row>
    <row r="16593" spans="7:24" ht="15" customHeight="1">
      <c r="G16593"/>
      <c r="I16593"/>
      <c r="N16593"/>
      <c r="O16593" s="24"/>
      <c r="P16593"/>
      <c r="Q16593" s="24"/>
      <c r="R16593"/>
      <c r="S16593"/>
      <c r="T16593"/>
      <c r="U16593"/>
      <c r="X16593" s="60"/>
    </row>
    <row r="16594" spans="7:24" ht="15" customHeight="1">
      <c r="G16594"/>
      <c r="I16594"/>
      <c r="N16594"/>
      <c r="O16594" s="24"/>
      <c r="P16594"/>
      <c r="Q16594" s="24"/>
      <c r="R16594"/>
      <c r="S16594"/>
      <c r="T16594"/>
      <c r="U16594"/>
      <c r="X16594" s="60"/>
    </row>
    <row r="16595" spans="7:24" ht="15" customHeight="1">
      <c r="G16595"/>
      <c r="I16595"/>
      <c r="N16595"/>
      <c r="O16595" s="24"/>
      <c r="P16595"/>
      <c r="Q16595" s="24"/>
      <c r="R16595"/>
      <c r="S16595"/>
      <c r="T16595"/>
      <c r="U16595"/>
      <c r="X16595" s="60"/>
    </row>
    <row r="16596" spans="7:24" ht="15" customHeight="1">
      <c r="G16596"/>
      <c r="I16596"/>
      <c r="N16596"/>
      <c r="O16596" s="24"/>
      <c r="P16596"/>
      <c r="Q16596" s="24"/>
      <c r="R16596"/>
      <c r="S16596"/>
      <c r="T16596"/>
      <c r="U16596"/>
      <c r="X16596" s="60"/>
    </row>
    <row r="16597" spans="7:24" ht="15" customHeight="1">
      <c r="G16597"/>
      <c r="I16597"/>
      <c r="N16597"/>
      <c r="O16597" s="24"/>
      <c r="P16597"/>
      <c r="Q16597" s="24"/>
      <c r="R16597"/>
      <c r="S16597"/>
      <c r="T16597"/>
      <c r="U16597"/>
      <c r="X16597" s="60"/>
    </row>
    <row r="16598" spans="7:24" ht="15" customHeight="1">
      <c r="G16598"/>
      <c r="I16598"/>
      <c r="N16598"/>
      <c r="O16598" s="24"/>
      <c r="P16598"/>
      <c r="Q16598" s="24"/>
      <c r="R16598"/>
      <c r="S16598"/>
      <c r="T16598"/>
      <c r="U16598"/>
      <c r="X16598" s="60"/>
    </row>
    <row r="16599" spans="7:24" ht="15" customHeight="1">
      <c r="G16599"/>
      <c r="I16599"/>
      <c r="N16599"/>
      <c r="O16599" s="24"/>
      <c r="P16599"/>
      <c r="Q16599" s="24"/>
      <c r="R16599"/>
      <c r="S16599"/>
      <c r="T16599"/>
      <c r="U16599"/>
      <c r="X16599" s="60"/>
    </row>
    <row r="16600" spans="7:24" ht="15" customHeight="1">
      <c r="G16600"/>
      <c r="I16600"/>
      <c r="N16600"/>
      <c r="O16600" s="24"/>
      <c r="P16600"/>
      <c r="Q16600" s="24"/>
      <c r="R16600"/>
      <c r="S16600"/>
      <c r="T16600"/>
      <c r="U16600"/>
      <c r="X16600" s="60"/>
    </row>
    <row r="16601" spans="7:24" ht="15" customHeight="1">
      <c r="G16601"/>
      <c r="I16601"/>
      <c r="N16601"/>
      <c r="O16601" s="24"/>
      <c r="P16601"/>
      <c r="Q16601" s="24"/>
      <c r="R16601"/>
      <c r="S16601"/>
      <c r="T16601"/>
      <c r="U16601"/>
      <c r="X16601" s="60"/>
    </row>
    <row r="16602" spans="7:24" ht="15" customHeight="1">
      <c r="G16602"/>
      <c r="I16602"/>
      <c r="N16602"/>
      <c r="O16602" s="24"/>
      <c r="P16602"/>
      <c r="Q16602" s="24"/>
      <c r="R16602"/>
      <c r="S16602"/>
      <c r="T16602"/>
      <c r="U16602"/>
      <c r="X16602" s="60"/>
    </row>
    <row r="16603" spans="7:24" ht="15" customHeight="1">
      <c r="G16603"/>
      <c r="I16603"/>
      <c r="N16603"/>
      <c r="O16603" s="24"/>
      <c r="P16603"/>
      <c r="Q16603" s="24"/>
      <c r="R16603"/>
      <c r="S16603"/>
      <c r="T16603"/>
      <c r="U16603"/>
      <c r="X16603" s="60"/>
    </row>
    <row r="16604" spans="7:24" ht="15" customHeight="1">
      <c r="G16604"/>
      <c r="I16604"/>
      <c r="N16604"/>
      <c r="O16604" s="24"/>
      <c r="P16604"/>
      <c r="Q16604" s="24"/>
      <c r="R16604"/>
      <c r="S16604"/>
      <c r="T16604"/>
      <c r="U16604"/>
      <c r="X16604" s="60"/>
    </row>
    <row r="16605" spans="7:24" ht="15" customHeight="1">
      <c r="G16605"/>
      <c r="I16605"/>
      <c r="N16605"/>
      <c r="O16605" s="24"/>
      <c r="P16605"/>
      <c r="Q16605" s="24"/>
      <c r="R16605"/>
      <c r="S16605"/>
      <c r="T16605"/>
      <c r="U16605"/>
      <c r="X16605" s="60"/>
    </row>
    <row r="16606" spans="7:24" ht="15" customHeight="1">
      <c r="G16606"/>
      <c r="I16606"/>
      <c r="N16606"/>
      <c r="O16606" s="24"/>
      <c r="P16606"/>
      <c r="Q16606" s="24"/>
      <c r="R16606"/>
      <c r="S16606"/>
      <c r="T16606"/>
      <c r="U16606"/>
      <c r="X16606" s="60"/>
    </row>
    <row r="16607" spans="7:24" ht="15" customHeight="1">
      <c r="G16607"/>
      <c r="I16607"/>
      <c r="N16607"/>
      <c r="O16607" s="24"/>
      <c r="P16607"/>
      <c r="Q16607" s="24"/>
      <c r="R16607"/>
      <c r="S16607"/>
      <c r="T16607"/>
      <c r="U16607"/>
      <c r="X16607" s="60"/>
    </row>
    <row r="16608" spans="7:24" ht="15" customHeight="1">
      <c r="G16608"/>
      <c r="I16608"/>
      <c r="N16608"/>
      <c r="O16608" s="24"/>
      <c r="P16608"/>
      <c r="Q16608" s="24"/>
      <c r="R16608"/>
      <c r="S16608"/>
      <c r="T16608"/>
      <c r="U16608"/>
      <c r="X16608" s="60"/>
    </row>
    <row r="16609" spans="7:24" ht="15" customHeight="1">
      <c r="G16609"/>
      <c r="I16609"/>
      <c r="N16609"/>
      <c r="O16609" s="24"/>
      <c r="P16609"/>
      <c r="Q16609" s="24"/>
      <c r="R16609"/>
      <c r="S16609"/>
      <c r="T16609"/>
      <c r="U16609"/>
      <c r="X16609" s="60"/>
    </row>
    <row r="16610" spans="7:24" ht="15" customHeight="1">
      <c r="G16610"/>
      <c r="I16610"/>
      <c r="N16610"/>
      <c r="O16610" s="24"/>
      <c r="P16610"/>
      <c r="Q16610" s="24"/>
      <c r="R16610"/>
      <c r="S16610"/>
      <c r="T16610"/>
      <c r="U16610"/>
      <c r="X16610" s="60"/>
    </row>
    <row r="16611" spans="7:24" ht="15" customHeight="1">
      <c r="G16611"/>
      <c r="I16611"/>
      <c r="N16611"/>
      <c r="O16611" s="24"/>
      <c r="P16611"/>
      <c r="Q16611" s="24"/>
      <c r="R16611"/>
      <c r="S16611"/>
      <c r="T16611"/>
      <c r="U16611"/>
      <c r="X16611" s="60"/>
    </row>
    <row r="16612" spans="7:24" ht="15" customHeight="1">
      <c r="G16612"/>
      <c r="I16612"/>
      <c r="N16612"/>
      <c r="O16612" s="24"/>
      <c r="P16612"/>
      <c r="Q16612" s="24"/>
      <c r="R16612"/>
      <c r="S16612"/>
      <c r="T16612"/>
      <c r="U16612"/>
      <c r="X16612" s="60"/>
    </row>
    <row r="16613" spans="7:24" ht="15" customHeight="1">
      <c r="G16613"/>
      <c r="I16613"/>
      <c r="N16613"/>
      <c r="O16613" s="24"/>
      <c r="P16613"/>
      <c r="Q16613" s="24"/>
      <c r="R16613"/>
      <c r="S16613"/>
      <c r="T16613"/>
      <c r="U16613"/>
      <c r="X16613" s="60"/>
    </row>
    <row r="16614" spans="7:24" ht="15" customHeight="1">
      <c r="G16614"/>
      <c r="I16614"/>
      <c r="N16614"/>
      <c r="O16614" s="24"/>
      <c r="P16614"/>
      <c r="Q16614" s="24"/>
      <c r="R16614"/>
      <c r="S16614"/>
      <c r="T16614"/>
      <c r="U16614"/>
      <c r="X16614" s="60"/>
    </row>
    <row r="16615" spans="7:24" ht="15" customHeight="1">
      <c r="G16615"/>
      <c r="I16615"/>
      <c r="N16615"/>
      <c r="O16615" s="24"/>
      <c r="P16615"/>
      <c r="Q16615" s="24"/>
      <c r="R16615"/>
      <c r="S16615"/>
      <c r="T16615"/>
      <c r="U16615"/>
      <c r="X16615" s="60"/>
    </row>
    <row r="16616" spans="7:24" ht="15" customHeight="1">
      <c r="G16616"/>
      <c r="I16616"/>
      <c r="N16616"/>
      <c r="O16616" s="24"/>
      <c r="P16616"/>
      <c r="Q16616" s="24"/>
      <c r="R16616"/>
      <c r="S16616"/>
      <c r="T16616"/>
      <c r="U16616"/>
      <c r="X16616" s="60"/>
    </row>
    <row r="16617" spans="7:24" ht="15" customHeight="1">
      <c r="G16617"/>
      <c r="I16617"/>
      <c r="N16617"/>
      <c r="O16617" s="24"/>
      <c r="P16617"/>
      <c r="Q16617" s="24"/>
      <c r="R16617"/>
      <c r="S16617"/>
      <c r="T16617"/>
      <c r="U16617"/>
      <c r="X16617" s="60"/>
    </row>
    <row r="16618" spans="7:24" ht="15" customHeight="1">
      <c r="G16618"/>
      <c r="I16618"/>
      <c r="N16618"/>
      <c r="O16618" s="24"/>
      <c r="P16618"/>
      <c r="Q16618" s="24"/>
      <c r="R16618"/>
      <c r="S16618"/>
      <c r="T16618"/>
      <c r="U16618"/>
      <c r="X16618" s="60"/>
    </row>
    <row r="16619" spans="7:24" ht="15" customHeight="1">
      <c r="G16619"/>
      <c r="I16619"/>
      <c r="N16619"/>
      <c r="O16619" s="24"/>
      <c r="P16619"/>
      <c r="Q16619" s="24"/>
      <c r="R16619"/>
      <c r="S16619"/>
      <c r="T16619"/>
      <c r="U16619"/>
      <c r="X16619" s="60"/>
    </row>
    <row r="16620" spans="7:24" ht="15" customHeight="1">
      <c r="G16620"/>
      <c r="I16620"/>
      <c r="N16620"/>
      <c r="O16620" s="24"/>
      <c r="P16620"/>
      <c r="Q16620" s="24"/>
      <c r="R16620"/>
      <c r="S16620"/>
      <c r="T16620"/>
      <c r="U16620"/>
      <c r="X16620" s="60"/>
    </row>
    <row r="16621" spans="7:24" ht="15" customHeight="1">
      <c r="G16621"/>
      <c r="I16621"/>
      <c r="N16621"/>
      <c r="O16621" s="24"/>
      <c r="P16621"/>
      <c r="Q16621" s="24"/>
      <c r="R16621"/>
      <c r="S16621"/>
      <c r="T16621"/>
      <c r="U16621"/>
      <c r="X16621" s="60"/>
    </row>
    <row r="16622" spans="7:24" ht="15" customHeight="1">
      <c r="G16622"/>
      <c r="I16622"/>
      <c r="N16622"/>
      <c r="O16622" s="24"/>
      <c r="P16622"/>
      <c r="Q16622" s="24"/>
      <c r="R16622"/>
      <c r="S16622"/>
      <c r="T16622"/>
      <c r="U16622"/>
      <c r="X16622" s="60"/>
    </row>
    <row r="16623" spans="7:24" ht="15" customHeight="1">
      <c r="G16623"/>
      <c r="I16623"/>
      <c r="N16623"/>
      <c r="O16623" s="24"/>
      <c r="P16623"/>
      <c r="Q16623" s="24"/>
      <c r="R16623"/>
      <c r="S16623"/>
      <c r="T16623"/>
      <c r="U16623"/>
      <c r="X16623" s="60"/>
    </row>
    <row r="16624" spans="7:24" ht="15" customHeight="1">
      <c r="G16624"/>
      <c r="I16624"/>
      <c r="N16624"/>
      <c r="O16624" s="24"/>
      <c r="P16624"/>
      <c r="Q16624" s="24"/>
      <c r="R16624"/>
      <c r="S16624"/>
      <c r="T16624"/>
      <c r="U16624"/>
      <c r="X16624" s="60"/>
    </row>
    <row r="16625" spans="7:24" ht="15" customHeight="1">
      <c r="G16625"/>
      <c r="I16625"/>
      <c r="N16625"/>
      <c r="O16625" s="24"/>
      <c r="P16625"/>
      <c r="Q16625" s="24"/>
      <c r="R16625"/>
      <c r="S16625"/>
      <c r="T16625"/>
      <c r="U16625"/>
      <c r="X16625" s="60"/>
    </row>
    <row r="16626" spans="7:24" ht="15" customHeight="1">
      <c r="G16626"/>
      <c r="I16626"/>
      <c r="N16626"/>
      <c r="O16626" s="24"/>
      <c r="P16626"/>
      <c r="Q16626" s="24"/>
      <c r="R16626"/>
      <c r="S16626"/>
      <c r="T16626"/>
      <c r="U16626"/>
      <c r="X16626" s="60"/>
    </row>
    <row r="16627" spans="7:24" ht="15" customHeight="1">
      <c r="G16627"/>
      <c r="I16627"/>
      <c r="N16627"/>
      <c r="O16627" s="24"/>
      <c r="P16627"/>
      <c r="Q16627" s="24"/>
      <c r="R16627"/>
      <c r="S16627"/>
      <c r="T16627"/>
      <c r="U16627"/>
      <c r="X16627" s="60"/>
    </row>
    <row r="16628" spans="7:24" ht="15" customHeight="1">
      <c r="G16628"/>
      <c r="I16628"/>
      <c r="N16628"/>
      <c r="O16628" s="24"/>
      <c r="P16628"/>
      <c r="Q16628" s="24"/>
      <c r="R16628"/>
      <c r="S16628"/>
      <c r="T16628"/>
      <c r="U16628"/>
      <c r="X16628" s="60"/>
    </row>
    <row r="16629" spans="7:24" ht="15" customHeight="1">
      <c r="G16629"/>
      <c r="I16629"/>
      <c r="N16629"/>
      <c r="O16629" s="24"/>
      <c r="P16629"/>
      <c r="Q16629" s="24"/>
      <c r="R16629"/>
      <c r="S16629"/>
      <c r="T16629"/>
      <c r="U16629"/>
      <c r="X16629" s="60"/>
    </row>
    <row r="16630" spans="7:24" ht="15" customHeight="1">
      <c r="G16630"/>
      <c r="I16630"/>
      <c r="N16630"/>
      <c r="O16630" s="24"/>
      <c r="P16630"/>
      <c r="Q16630" s="24"/>
      <c r="R16630"/>
      <c r="S16630"/>
      <c r="T16630"/>
      <c r="U16630"/>
      <c r="X16630" s="60"/>
    </row>
    <row r="16631" spans="7:24" ht="15" customHeight="1">
      <c r="G16631"/>
      <c r="I16631"/>
      <c r="N16631"/>
      <c r="O16631" s="24"/>
      <c r="P16631"/>
      <c r="Q16631" s="24"/>
      <c r="R16631"/>
      <c r="S16631"/>
      <c r="T16631"/>
      <c r="U16631"/>
      <c r="X16631" s="60"/>
    </row>
    <row r="16632" spans="7:24" ht="15" customHeight="1">
      <c r="G16632"/>
      <c r="I16632"/>
      <c r="N16632"/>
      <c r="O16632" s="24"/>
      <c r="P16632"/>
      <c r="Q16632" s="24"/>
      <c r="R16632"/>
      <c r="S16632"/>
      <c r="T16632"/>
      <c r="U16632"/>
      <c r="X16632" s="60"/>
    </row>
    <row r="16633" spans="7:24" ht="15" customHeight="1">
      <c r="G16633"/>
      <c r="I16633"/>
      <c r="N16633"/>
      <c r="O16633" s="24"/>
      <c r="P16633"/>
      <c r="Q16633" s="24"/>
      <c r="R16633"/>
      <c r="S16633"/>
      <c r="T16633"/>
      <c r="U16633"/>
      <c r="X16633" s="60"/>
    </row>
    <row r="16634" spans="7:24" ht="15" customHeight="1">
      <c r="G16634"/>
      <c r="I16634"/>
      <c r="N16634"/>
      <c r="O16634" s="24"/>
      <c r="P16634"/>
      <c r="Q16634" s="24"/>
      <c r="R16634"/>
      <c r="S16634"/>
      <c r="T16634"/>
      <c r="U16634"/>
      <c r="X16634" s="60"/>
    </row>
    <row r="16635" spans="7:24" ht="15" customHeight="1">
      <c r="G16635"/>
      <c r="I16635"/>
      <c r="N16635"/>
      <c r="O16635" s="24"/>
      <c r="P16635"/>
      <c r="Q16635" s="24"/>
      <c r="R16635"/>
      <c r="S16635"/>
      <c r="T16635"/>
      <c r="U16635"/>
      <c r="X16635" s="60"/>
    </row>
    <row r="16636" spans="7:24" ht="15" customHeight="1">
      <c r="G16636"/>
      <c r="I16636"/>
      <c r="N16636"/>
      <c r="O16636" s="24"/>
      <c r="P16636"/>
      <c r="Q16636" s="24"/>
      <c r="R16636"/>
      <c r="S16636"/>
      <c r="T16636"/>
      <c r="U16636"/>
      <c r="X16636" s="60"/>
    </row>
    <row r="16637" spans="7:24" ht="15" customHeight="1">
      <c r="G16637"/>
      <c r="I16637"/>
      <c r="N16637"/>
      <c r="O16637" s="24"/>
      <c r="P16637"/>
      <c r="Q16637" s="24"/>
      <c r="R16637"/>
      <c r="S16637"/>
      <c r="T16637"/>
      <c r="U16637"/>
      <c r="X16637" s="60"/>
    </row>
    <row r="16638" spans="7:24" ht="15" customHeight="1">
      <c r="G16638"/>
      <c r="I16638"/>
      <c r="N16638"/>
      <c r="O16638" s="24"/>
      <c r="P16638"/>
      <c r="Q16638" s="24"/>
      <c r="R16638"/>
      <c r="S16638"/>
      <c r="T16638"/>
      <c r="U16638"/>
      <c r="X16638" s="60"/>
    </row>
    <row r="16639" spans="7:24" ht="15" customHeight="1">
      <c r="G16639"/>
      <c r="I16639"/>
      <c r="N16639"/>
      <c r="O16639" s="24"/>
      <c r="P16639"/>
      <c r="Q16639" s="24"/>
      <c r="R16639"/>
      <c r="S16639"/>
      <c r="T16639"/>
      <c r="U16639"/>
      <c r="X16639" s="60"/>
    </row>
    <row r="16640" spans="7:24" ht="15" customHeight="1">
      <c r="G16640"/>
      <c r="I16640"/>
      <c r="N16640"/>
      <c r="O16640" s="24"/>
      <c r="P16640"/>
      <c r="Q16640" s="24"/>
      <c r="R16640"/>
      <c r="S16640"/>
      <c r="T16640"/>
      <c r="U16640"/>
      <c r="X16640" s="60"/>
    </row>
    <row r="16641" spans="7:24" ht="15" customHeight="1">
      <c r="G16641"/>
      <c r="I16641"/>
      <c r="N16641"/>
      <c r="O16641" s="24"/>
      <c r="P16641"/>
      <c r="Q16641" s="24"/>
      <c r="R16641"/>
      <c r="S16641"/>
      <c r="T16641"/>
      <c r="U16641"/>
      <c r="X16641" s="60"/>
    </row>
    <row r="16642" spans="7:24" ht="15" customHeight="1">
      <c r="G16642"/>
      <c r="I16642"/>
      <c r="N16642"/>
      <c r="O16642" s="24"/>
      <c r="P16642"/>
      <c r="Q16642" s="24"/>
      <c r="R16642"/>
      <c r="S16642"/>
      <c r="T16642"/>
      <c r="U16642"/>
      <c r="X16642" s="60"/>
    </row>
    <row r="16643" spans="7:24" ht="15" customHeight="1">
      <c r="G16643"/>
      <c r="I16643"/>
      <c r="N16643"/>
      <c r="O16643" s="24"/>
      <c r="P16643"/>
      <c r="Q16643" s="24"/>
      <c r="R16643"/>
      <c r="S16643"/>
      <c r="T16643"/>
      <c r="U16643"/>
      <c r="X16643" s="60"/>
    </row>
    <row r="16644" spans="7:24" ht="15" customHeight="1">
      <c r="G16644"/>
      <c r="I16644"/>
      <c r="N16644"/>
      <c r="O16644" s="24"/>
      <c r="P16644"/>
      <c r="Q16644" s="24"/>
      <c r="R16644"/>
      <c r="S16644"/>
      <c r="T16644"/>
      <c r="U16644"/>
      <c r="X16644" s="60"/>
    </row>
    <row r="16645" spans="7:24" ht="15" customHeight="1">
      <c r="G16645"/>
      <c r="I16645"/>
      <c r="N16645"/>
      <c r="O16645" s="24"/>
      <c r="P16645"/>
      <c r="Q16645" s="24"/>
      <c r="R16645"/>
      <c r="S16645"/>
      <c r="T16645"/>
      <c r="U16645"/>
      <c r="X16645" s="60"/>
    </row>
    <row r="16646" spans="7:24" ht="15" customHeight="1">
      <c r="G16646"/>
      <c r="I16646"/>
      <c r="N16646"/>
      <c r="O16646" s="24"/>
      <c r="P16646"/>
      <c r="Q16646" s="24"/>
      <c r="R16646"/>
      <c r="S16646"/>
      <c r="T16646"/>
      <c r="U16646"/>
      <c r="X16646" s="60"/>
    </row>
    <row r="16647" spans="7:24" ht="15" customHeight="1">
      <c r="G16647"/>
      <c r="I16647"/>
      <c r="N16647"/>
      <c r="O16647" s="24"/>
      <c r="P16647"/>
      <c r="Q16647" s="24"/>
      <c r="R16647"/>
      <c r="S16647"/>
      <c r="T16647"/>
      <c r="U16647"/>
      <c r="X16647" s="60"/>
    </row>
    <row r="16648" spans="7:24" ht="15" customHeight="1">
      <c r="G16648"/>
      <c r="I16648"/>
      <c r="N16648"/>
      <c r="O16648" s="24"/>
      <c r="P16648"/>
      <c r="Q16648" s="24"/>
      <c r="R16648"/>
      <c r="S16648"/>
      <c r="T16648"/>
      <c r="U16648"/>
      <c r="X16648" s="60"/>
    </row>
    <row r="16649" spans="7:24" ht="15" customHeight="1">
      <c r="G16649"/>
      <c r="I16649"/>
      <c r="N16649"/>
      <c r="O16649" s="24"/>
      <c r="P16649"/>
      <c r="Q16649" s="24"/>
      <c r="R16649"/>
      <c r="S16649"/>
      <c r="T16649"/>
      <c r="U16649"/>
      <c r="X16649" s="60"/>
    </row>
    <row r="16650" spans="7:24" ht="15" customHeight="1">
      <c r="G16650"/>
      <c r="I16650"/>
      <c r="N16650"/>
      <c r="O16650" s="24"/>
      <c r="P16650"/>
      <c r="Q16650" s="24"/>
      <c r="R16650"/>
      <c r="S16650"/>
      <c r="T16650"/>
      <c r="U16650"/>
      <c r="X16650" s="60"/>
    </row>
    <row r="16651" spans="7:24" ht="15" customHeight="1">
      <c r="G16651"/>
      <c r="I16651"/>
      <c r="N16651"/>
      <c r="O16651" s="24"/>
      <c r="P16651"/>
      <c r="Q16651" s="24"/>
      <c r="R16651"/>
      <c r="S16651"/>
      <c r="T16651"/>
      <c r="U16651"/>
      <c r="X16651" s="60"/>
    </row>
    <row r="16652" spans="7:24" ht="15" customHeight="1">
      <c r="G16652"/>
      <c r="I16652"/>
      <c r="N16652"/>
      <c r="O16652" s="24"/>
      <c r="P16652"/>
      <c r="Q16652" s="24"/>
      <c r="R16652"/>
      <c r="S16652"/>
      <c r="T16652"/>
      <c r="U16652"/>
      <c r="X16652" s="60"/>
    </row>
    <row r="16653" spans="7:24" ht="15" customHeight="1">
      <c r="G16653"/>
      <c r="I16653"/>
      <c r="N16653"/>
      <c r="O16653" s="24"/>
      <c r="P16653"/>
      <c r="Q16653" s="24"/>
      <c r="R16653"/>
      <c r="S16653"/>
      <c r="T16653"/>
      <c r="U16653"/>
      <c r="X16653" s="60"/>
    </row>
    <row r="16654" spans="7:24" ht="15" customHeight="1">
      <c r="G16654"/>
      <c r="I16654"/>
      <c r="N16654"/>
      <c r="O16654" s="24"/>
      <c r="P16654"/>
      <c r="Q16654" s="24"/>
      <c r="R16654"/>
      <c r="S16654"/>
      <c r="T16654"/>
      <c r="U16654"/>
      <c r="X16654" s="60"/>
    </row>
    <row r="16655" spans="7:24" ht="15" customHeight="1">
      <c r="G16655"/>
      <c r="I16655"/>
      <c r="N16655"/>
      <c r="O16655" s="24"/>
      <c r="P16655"/>
      <c r="Q16655" s="24"/>
      <c r="R16655"/>
      <c r="S16655"/>
      <c r="T16655"/>
      <c r="U16655"/>
      <c r="X16655" s="60"/>
    </row>
    <row r="16656" spans="7:24" ht="15" customHeight="1">
      <c r="G16656"/>
      <c r="I16656"/>
      <c r="N16656"/>
      <c r="O16656" s="24"/>
      <c r="P16656"/>
      <c r="Q16656" s="24"/>
      <c r="R16656"/>
      <c r="S16656"/>
      <c r="T16656"/>
      <c r="U16656"/>
      <c r="X16656" s="60"/>
    </row>
    <row r="16657" spans="7:24" ht="15" customHeight="1">
      <c r="G16657"/>
      <c r="I16657"/>
      <c r="N16657"/>
      <c r="O16657" s="24"/>
      <c r="P16657"/>
      <c r="Q16657" s="24"/>
      <c r="R16657"/>
      <c r="S16657"/>
      <c r="T16657"/>
      <c r="U16657"/>
      <c r="X16657" s="60"/>
    </row>
    <row r="16658" spans="7:24" ht="15" customHeight="1">
      <c r="G16658"/>
      <c r="I16658"/>
      <c r="N16658"/>
      <c r="O16658" s="24"/>
      <c r="P16658"/>
      <c r="Q16658" s="24"/>
      <c r="R16658"/>
      <c r="S16658"/>
      <c r="T16658"/>
      <c r="U16658"/>
      <c r="X16658" s="60"/>
    </row>
    <row r="16659" spans="7:24" ht="15" customHeight="1">
      <c r="G16659"/>
      <c r="I16659"/>
      <c r="N16659"/>
      <c r="O16659" s="24"/>
      <c r="P16659"/>
      <c r="Q16659" s="24"/>
      <c r="R16659"/>
      <c r="S16659"/>
      <c r="T16659"/>
      <c r="U16659"/>
      <c r="X16659" s="60"/>
    </row>
    <row r="16660" spans="7:24" ht="15" customHeight="1">
      <c r="G16660"/>
      <c r="I16660"/>
      <c r="N16660"/>
      <c r="O16660" s="24"/>
      <c r="P16660"/>
      <c r="Q16660" s="24"/>
      <c r="R16660"/>
      <c r="S16660"/>
      <c r="T16660"/>
      <c r="U16660"/>
      <c r="X16660" s="60"/>
    </row>
    <row r="16661" spans="7:24" ht="15" customHeight="1">
      <c r="G16661"/>
      <c r="I16661"/>
      <c r="N16661"/>
      <c r="O16661" s="24"/>
      <c r="P16661"/>
      <c r="Q16661" s="24"/>
      <c r="R16661"/>
      <c r="S16661"/>
      <c r="T16661"/>
      <c r="U16661"/>
      <c r="X16661" s="60"/>
    </row>
    <row r="16662" spans="7:24" ht="15" customHeight="1">
      <c r="G16662"/>
      <c r="I16662"/>
      <c r="N16662"/>
      <c r="O16662" s="24"/>
      <c r="P16662"/>
      <c r="Q16662" s="24"/>
      <c r="R16662"/>
      <c r="S16662"/>
      <c r="T16662"/>
      <c r="U16662"/>
      <c r="X16662" s="60"/>
    </row>
    <row r="16663" spans="7:24" ht="15" customHeight="1">
      <c r="G16663"/>
      <c r="I16663"/>
      <c r="N16663"/>
      <c r="O16663" s="24"/>
      <c r="P16663"/>
      <c r="Q16663" s="24"/>
      <c r="R16663"/>
      <c r="S16663"/>
      <c r="T16663"/>
      <c r="U16663"/>
      <c r="X16663" s="60"/>
    </row>
    <row r="16664" spans="7:24" ht="15" customHeight="1">
      <c r="G16664"/>
      <c r="I16664"/>
      <c r="N16664"/>
      <c r="O16664" s="24"/>
      <c r="P16664"/>
      <c r="Q16664" s="24"/>
      <c r="R16664"/>
      <c r="S16664"/>
      <c r="T16664"/>
      <c r="U16664"/>
      <c r="X16664" s="60"/>
    </row>
    <row r="16665" spans="7:24" ht="15" customHeight="1">
      <c r="G16665"/>
      <c r="I16665"/>
      <c r="N16665"/>
      <c r="O16665" s="24"/>
      <c r="P16665"/>
      <c r="Q16665" s="24"/>
      <c r="R16665"/>
      <c r="S16665"/>
      <c r="T16665"/>
      <c r="U16665"/>
      <c r="X16665" s="60"/>
    </row>
    <row r="16666" spans="7:24" ht="15" customHeight="1">
      <c r="G16666"/>
      <c r="I16666"/>
      <c r="N16666"/>
      <c r="O16666" s="24"/>
      <c r="P16666"/>
      <c r="Q16666" s="24"/>
      <c r="R16666"/>
      <c r="S16666"/>
      <c r="T16666"/>
      <c r="U16666"/>
      <c r="X16666" s="60"/>
    </row>
    <row r="16667" spans="7:24" ht="15" customHeight="1">
      <c r="G16667"/>
      <c r="I16667"/>
      <c r="N16667"/>
      <c r="O16667" s="24"/>
      <c r="P16667"/>
      <c r="Q16667" s="24"/>
      <c r="R16667"/>
      <c r="S16667"/>
      <c r="T16667"/>
      <c r="U16667"/>
      <c r="X16667" s="60"/>
    </row>
    <row r="16668" spans="7:24" ht="15" customHeight="1">
      <c r="G16668"/>
      <c r="I16668"/>
      <c r="N16668"/>
      <c r="O16668" s="24"/>
      <c r="P16668"/>
      <c r="Q16668" s="24"/>
      <c r="R16668"/>
      <c r="S16668"/>
      <c r="T16668"/>
      <c r="U16668"/>
      <c r="X16668" s="60"/>
    </row>
    <row r="16669" spans="7:24" ht="15" customHeight="1">
      <c r="G16669"/>
      <c r="I16669"/>
      <c r="N16669"/>
      <c r="O16669" s="24"/>
      <c r="P16669"/>
      <c r="Q16669" s="24"/>
      <c r="R16669"/>
      <c r="S16669"/>
      <c r="T16669"/>
      <c r="U16669"/>
      <c r="X16669" s="60"/>
    </row>
    <row r="16670" spans="7:24" ht="15" customHeight="1">
      <c r="G16670"/>
      <c r="I16670"/>
      <c r="N16670"/>
      <c r="O16670" s="24"/>
      <c r="P16670"/>
      <c r="Q16670" s="24"/>
      <c r="R16670"/>
      <c r="S16670"/>
      <c r="T16670"/>
      <c r="U16670"/>
      <c r="X16670" s="60"/>
    </row>
    <row r="16671" spans="7:24" ht="15" customHeight="1">
      <c r="G16671"/>
      <c r="I16671"/>
      <c r="N16671"/>
      <c r="O16671" s="24"/>
      <c r="P16671"/>
      <c r="Q16671" s="24"/>
      <c r="R16671"/>
      <c r="S16671"/>
      <c r="T16671"/>
      <c r="U16671"/>
      <c r="X16671" s="60"/>
    </row>
    <row r="16672" spans="7:24" ht="15" customHeight="1">
      <c r="G16672"/>
      <c r="I16672"/>
      <c r="N16672"/>
      <c r="O16672" s="24"/>
      <c r="P16672"/>
      <c r="Q16672" s="24"/>
      <c r="R16672"/>
      <c r="S16672"/>
      <c r="T16672"/>
      <c r="U16672"/>
      <c r="X16672" s="60"/>
    </row>
    <row r="16673" spans="7:24" ht="15" customHeight="1">
      <c r="G16673"/>
      <c r="I16673"/>
      <c r="N16673"/>
      <c r="O16673" s="24"/>
      <c r="P16673"/>
      <c r="Q16673" s="24"/>
      <c r="R16673"/>
      <c r="S16673"/>
      <c r="T16673"/>
      <c r="U16673"/>
      <c r="X16673" s="60"/>
    </row>
    <row r="16674" spans="7:24" ht="15" customHeight="1">
      <c r="G16674"/>
      <c r="I16674"/>
      <c r="N16674"/>
      <c r="O16674" s="24"/>
      <c r="P16674"/>
      <c r="Q16674" s="24"/>
      <c r="R16674"/>
      <c r="S16674"/>
      <c r="T16674"/>
      <c r="U16674"/>
      <c r="X16674" s="60"/>
    </row>
    <row r="16675" spans="7:24" ht="15" customHeight="1">
      <c r="G16675"/>
      <c r="I16675"/>
      <c r="N16675"/>
      <c r="O16675" s="24"/>
      <c r="P16675"/>
      <c r="Q16675" s="24"/>
      <c r="R16675"/>
      <c r="S16675"/>
      <c r="T16675"/>
      <c r="U16675"/>
      <c r="X16675" s="60"/>
    </row>
    <row r="16676" spans="7:24" ht="15" customHeight="1">
      <c r="G16676"/>
      <c r="I16676"/>
      <c r="N16676"/>
      <c r="O16676" s="24"/>
      <c r="P16676"/>
      <c r="Q16676" s="24"/>
      <c r="R16676"/>
      <c r="S16676"/>
      <c r="T16676"/>
      <c r="U16676"/>
      <c r="X16676" s="60"/>
    </row>
    <row r="16677" spans="7:24" ht="15" customHeight="1">
      <c r="G16677"/>
      <c r="I16677"/>
      <c r="N16677"/>
      <c r="O16677" s="24"/>
      <c r="P16677"/>
      <c r="Q16677" s="24"/>
      <c r="R16677"/>
      <c r="S16677"/>
      <c r="T16677"/>
      <c r="U16677"/>
      <c r="X16677" s="60"/>
    </row>
    <row r="16678" spans="7:24" ht="15" customHeight="1">
      <c r="G16678"/>
      <c r="I16678"/>
      <c r="N16678"/>
      <c r="O16678" s="24"/>
      <c r="P16678"/>
      <c r="Q16678" s="24"/>
      <c r="R16678"/>
      <c r="S16678"/>
      <c r="T16678"/>
      <c r="U16678"/>
      <c r="X16678" s="60"/>
    </row>
    <row r="16679" spans="7:24" ht="15" customHeight="1">
      <c r="G16679"/>
      <c r="I16679"/>
      <c r="N16679"/>
      <c r="O16679" s="24"/>
      <c r="P16679"/>
      <c r="Q16679" s="24"/>
      <c r="R16679"/>
      <c r="S16679"/>
      <c r="T16679"/>
      <c r="U16679"/>
      <c r="X16679" s="60"/>
    </row>
    <row r="16680" spans="7:24" ht="15" customHeight="1">
      <c r="G16680"/>
      <c r="I16680"/>
      <c r="N16680"/>
      <c r="O16680" s="24"/>
      <c r="P16680"/>
      <c r="Q16680" s="24"/>
      <c r="R16680"/>
      <c r="S16680"/>
      <c r="T16680"/>
      <c r="U16680"/>
      <c r="X16680" s="60"/>
    </row>
    <row r="16681" spans="7:24" ht="15" customHeight="1">
      <c r="G16681"/>
      <c r="I16681"/>
      <c r="N16681"/>
      <c r="O16681" s="24"/>
      <c r="P16681"/>
      <c r="Q16681" s="24"/>
      <c r="R16681"/>
      <c r="S16681"/>
      <c r="T16681"/>
      <c r="U16681"/>
      <c r="X16681" s="60"/>
    </row>
    <row r="16682" spans="7:24" ht="15" customHeight="1">
      <c r="G16682"/>
      <c r="I16682"/>
      <c r="N16682"/>
      <c r="O16682" s="24"/>
      <c r="P16682"/>
      <c r="Q16682" s="24"/>
      <c r="R16682"/>
      <c r="S16682"/>
      <c r="T16682"/>
      <c r="U16682"/>
      <c r="X16682" s="60"/>
    </row>
    <row r="16683" spans="7:24" ht="15" customHeight="1">
      <c r="G16683"/>
      <c r="I16683"/>
      <c r="N16683"/>
      <c r="O16683" s="24"/>
      <c r="P16683"/>
      <c r="Q16683" s="24"/>
      <c r="R16683"/>
      <c r="S16683"/>
      <c r="T16683"/>
      <c r="U16683"/>
      <c r="X16683" s="60"/>
    </row>
    <row r="16684" spans="7:24" ht="15" customHeight="1">
      <c r="G16684"/>
      <c r="I16684"/>
      <c r="N16684"/>
      <c r="O16684" s="24"/>
      <c r="P16684"/>
      <c r="Q16684" s="24"/>
      <c r="R16684"/>
      <c r="S16684"/>
      <c r="T16684"/>
      <c r="U16684"/>
      <c r="X16684" s="60"/>
    </row>
    <row r="16685" spans="7:24" ht="15" customHeight="1">
      <c r="G16685"/>
      <c r="I16685"/>
      <c r="N16685"/>
      <c r="O16685" s="24"/>
      <c r="P16685"/>
      <c r="Q16685" s="24"/>
      <c r="R16685"/>
      <c r="S16685"/>
      <c r="T16685"/>
      <c r="U16685"/>
      <c r="X16685" s="60"/>
    </row>
    <row r="16686" spans="7:24" ht="15" customHeight="1">
      <c r="G16686"/>
      <c r="I16686"/>
      <c r="N16686"/>
      <c r="O16686" s="24"/>
      <c r="P16686"/>
      <c r="Q16686" s="24"/>
      <c r="R16686"/>
      <c r="S16686"/>
      <c r="T16686"/>
      <c r="U16686"/>
      <c r="X16686" s="60"/>
    </row>
    <row r="16687" spans="7:24" ht="15" customHeight="1">
      <c r="G16687"/>
      <c r="I16687"/>
      <c r="N16687"/>
      <c r="O16687" s="24"/>
      <c r="P16687"/>
      <c r="Q16687" s="24"/>
      <c r="R16687"/>
      <c r="S16687"/>
      <c r="T16687"/>
      <c r="U16687"/>
      <c r="X16687" s="60"/>
    </row>
    <row r="16688" spans="7:24" ht="15" customHeight="1">
      <c r="G16688"/>
      <c r="I16688"/>
      <c r="N16688"/>
      <c r="O16688" s="24"/>
      <c r="P16688"/>
      <c r="Q16688" s="24"/>
      <c r="R16688"/>
      <c r="S16688"/>
      <c r="T16688"/>
      <c r="U16688"/>
      <c r="X16688" s="60"/>
    </row>
    <row r="16689" spans="7:24" ht="15" customHeight="1">
      <c r="G16689"/>
      <c r="I16689"/>
      <c r="N16689"/>
      <c r="O16689" s="24"/>
      <c r="P16689"/>
      <c r="Q16689" s="24"/>
      <c r="R16689"/>
      <c r="S16689"/>
      <c r="T16689"/>
      <c r="U16689"/>
      <c r="X16689" s="60"/>
    </row>
    <row r="16690" spans="7:24" ht="15" customHeight="1">
      <c r="G16690"/>
      <c r="I16690"/>
      <c r="N16690"/>
      <c r="O16690" s="24"/>
      <c r="P16690"/>
      <c r="Q16690" s="24"/>
      <c r="R16690"/>
      <c r="S16690"/>
      <c r="T16690"/>
      <c r="U16690"/>
      <c r="X16690" s="60"/>
    </row>
    <row r="16691" spans="7:24" ht="15" customHeight="1">
      <c r="G16691"/>
      <c r="I16691"/>
      <c r="N16691"/>
      <c r="O16691" s="24"/>
      <c r="P16691"/>
      <c r="Q16691" s="24"/>
      <c r="R16691"/>
      <c r="S16691"/>
      <c r="T16691"/>
      <c r="U16691"/>
      <c r="X16691" s="60"/>
    </row>
    <row r="16692" spans="7:24" ht="15" customHeight="1">
      <c r="G16692"/>
      <c r="I16692"/>
      <c r="N16692"/>
      <c r="O16692" s="24"/>
      <c r="P16692"/>
      <c r="Q16692" s="24"/>
      <c r="R16692"/>
      <c r="S16692"/>
      <c r="T16692"/>
      <c r="U16692"/>
      <c r="X16692" s="60"/>
    </row>
    <row r="16693" spans="7:24" ht="15" customHeight="1">
      <c r="G16693"/>
      <c r="I16693"/>
      <c r="N16693"/>
      <c r="O16693" s="24"/>
      <c r="P16693"/>
      <c r="Q16693" s="24"/>
      <c r="R16693"/>
      <c r="S16693"/>
      <c r="T16693"/>
      <c r="U16693"/>
      <c r="X16693" s="60"/>
    </row>
    <row r="16694" spans="7:24" ht="15" customHeight="1">
      <c r="G16694"/>
      <c r="I16694"/>
      <c r="N16694"/>
      <c r="O16694" s="24"/>
      <c r="P16694"/>
      <c r="Q16694" s="24"/>
      <c r="R16694"/>
      <c r="S16694"/>
      <c r="T16694"/>
      <c r="U16694"/>
      <c r="X16694" s="60"/>
    </row>
    <row r="16695" spans="7:24" ht="15" customHeight="1">
      <c r="G16695"/>
      <c r="I16695"/>
      <c r="N16695"/>
      <c r="O16695" s="24"/>
      <c r="P16695"/>
      <c r="Q16695" s="24"/>
      <c r="R16695"/>
      <c r="S16695"/>
      <c r="T16695"/>
      <c r="U16695"/>
      <c r="X16695" s="60"/>
    </row>
    <row r="16696" spans="7:24" ht="15" customHeight="1">
      <c r="G16696"/>
      <c r="I16696"/>
      <c r="N16696"/>
      <c r="O16696" s="24"/>
      <c r="P16696"/>
      <c r="Q16696" s="24"/>
      <c r="R16696"/>
      <c r="S16696"/>
      <c r="T16696"/>
      <c r="U16696"/>
      <c r="X16696" s="60"/>
    </row>
    <row r="16697" spans="7:24" ht="15" customHeight="1">
      <c r="G16697"/>
      <c r="I16697"/>
      <c r="N16697"/>
      <c r="O16697" s="24"/>
      <c r="P16697"/>
      <c r="Q16697" s="24"/>
      <c r="R16697"/>
      <c r="S16697"/>
      <c r="T16697"/>
      <c r="U16697"/>
      <c r="X16697" s="60"/>
    </row>
    <row r="16698" spans="7:24" ht="15" customHeight="1">
      <c r="G16698"/>
      <c r="I16698"/>
      <c r="N16698"/>
      <c r="O16698" s="24"/>
      <c r="P16698"/>
      <c r="Q16698" s="24"/>
      <c r="R16698"/>
      <c r="S16698"/>
      <c r="T16698"/>
      <c r="U16698"/>
      <c r="X16698" s="60"/>
    </row>
    <row r="16699" spans="7:24" ht="15" customHeight="1">
      <c r="G16699"/>
      <c r="I16699"/>
      <c r="N16699"/>
      <c r="O16699" s="24"/>
      <c r="P16699"/>
      <c r="Q16699" s="24"/>
      <c r="R16699"/>
      <c r="S16699"/>
      <c r="T16699"/>
      <c r="U16699"/>
      <c r="X16699" s="60"/>
    </row>
    <row r="16700" spans="7:24" ht="15" customHeight="1">
      <c r="G16700"/>
      <c r="I16700"/>
      <c r="N16700"/>
      <c r="O16700" s="24"/>
      <c r="P16700"/>
      <c r="Q16700" s="24"/>
      <c r="R16700"/>
      <c r="S16700"/>
      <c r="T16700"/>
      <c r="U16700"/>
      <c r="X16700" s="60"/>
    </row>
    <row r="16701" spans="7:24" ht="15" customHeight="1">
      <c r="G16701"/>
      <c r="I16701"/>
      <c r="N16701"/>
      <c r="O16701" s="24"/>
      <c r="P16701"/>
      <c r="Q16701" s="24"/>
      <c r="R16701"/>
      <c r="S16701"/>
      <c r="T16701"/>
      <c r="U16701"/>
      <c r="X16701" s="60"/>
    </row>
    <row r="16702" spans="7:24" ht="15" customHeight="1">
      <c r="G16702"/>
      <c r="I16702"/>
      <c r="N16702"/>
      <c r="O16702" s="24"/>
      <c r="P16702"/>
      <c r="Q16702" s="24"/>
      <c r="R16702"/>
      <c r="S16702"/>
      <c r="T16702"/>
      <c r="U16702"/>
      <c r="X16702" s="60"/>
    </row>
    <row r="16703" spans="7:24" ht="15" customHeight="1">
      <c r="G16703"/>
      <c r="I16703"/>
      <c r="N16703"/>
      <c r="O16703" s="24"/>
      <c r="P16703"/>
      <c r="Q16703" s="24"/>
      <c r="R16703"/>
      <c r="S16703"/>
      <c r="T16703"/>
      <c r="U16703"/>
      <c r="X16703" s="60"/>
    </row>
    <row r="16704" spans="7:24" ht="15" customHeight="1">
      <c r="G16704"/>
      <c r="I16704"/>
      <c r="N16704"/>
      <c r="O16704" s="24"/>
      <c r="P16704"/>
      <c r="Q16704" s="24"/>
      <c r="R16704"/>
      <c r="S16704"/>
      <c r="T16704"/>
      <c r="U16704"/>
      <c r="X16704" s="60"/>
    </row>
    <row r="16705" spans="7:24" ht="15" customHeight="1">
      <c r="G16705"/>
      <c r="I16705"/>
      <c r="N16705"/>
      <c r="O16705" s="24"/>
      <c r="P16705"/>
      <c r="Q16705" s="24"/>
      <c r="R16705"/>
      <c r="S16705"/>
      <c r="T16705"/>
      <c r="U16705"/>
      <c r="X16705" s="60"/>
    </row>
    <row r="16706" spans="7:24" ht="15" customHeight="1">
      <c r="G16706"/>
      <c r="I16706"/>
      <c r="N16706"/>
      <c r="O16706" s="24"/>
      <c r="P16706"/>
      <c r="Q16706" s="24"/>
      <c r="R16706"/>
      <c r="S16706"/>
      <c r="T16706"/>
      <c r="U16706"/>
      <c r="X16706" s="60"/>
    </row>
    <row r="16707" spans="7:24" ht="15" customHeight="1">
      <c r="G16707"/>
      <c r="I16707"/>
      <c r="N16707"/>
      <c r="O16707" s="24"/>
      <c r="P16707"/>
      <c r="Q16707" s="24"/>
      <c r="R16707"/>
      <c r="S16707"/>
      <c r="T16707"/>
      <c r="U16707"/>
      <c r="X16707" s="60"/>
    </row>
    <row r="16708" spans="7:24" ht="15" customHeight="1">
      <c r="G16708"/>
      <c r="I16708"/>
      <c r="N16708"/>
      <c r="O16708" s="24"/>
      <c r="P16708"/>
      <c r="Q16708" s="24"/>
      <c r="R16708"/>
      <c r="S16708"/>
      <c r="T16708"/>
      <c r="U16708"/>
      <c r="X16708" s="60"/>
    </row>
    <row r="16709" spans="7:24" ht="15" customHeight="1">
      <c r="G16709"/>
      <c r="I16709"/>
      <c r="N16709"/>
      <c r="O16709" s="24"/>
      <c r="P16709"/>
      <c r="Q16709" s="24"/>
      <c r="R16709"/>
      <c r="S16709"/>
      <c r="T16709"/>
      <c r="U16709"/>
      <c r="X16709" s="60"/>
    </row>
    <row r="16710" spans="7:24" ht="15" customHeight="1">
      <c r="G16710"/>
      <c r="I16710"/>
      <c r="N16710"/>
      <c r="O16710" s="24"/>
      <c r="P16710"/>
      <c r="Q16710" s="24"/>
      <c r="R16710"/>
      <c r="S16710"/>
      <c r="T16710"/>
      <c r="U16710"/>
      <c r="X16710" s="60"/>
    </row>
    <row r="16711" spans="7:24" ht="15" customHeight="1">
      <c r="G16711"/>
      <c r="I16711"/>
      <c r="N16711"/>
      <c r="O16711" s="24"/>
      <c r="P16711"/>
      <c r="Q16711" s="24"/>
      <c r="R16711"/>
      <c r="S16711"/>
      <c r="T16711"/>
      <c r="U16711"/>
      <c r="X16711" s="60"/>
    </row>
    <row r="16712" spans="7:24" ht="15" customHeight="1">
      <c r="G16712"/>
      <c r="I16712"/>
      <c r="N16712"/>
      <c r="O16712" s="24"/>
      <c r="P16712"/>
      <c r="Q16712" s="24"/>
      <c r="R16712"/>
      <c r="S16712"/>
      <c r="T16712"/>
      <c r="U16712"/>
      <c r="X16712" s="60"/>
    </row>
    <row r="16713" spans="7:24" ht="15" customHeight="1">
      <c r="G16713"/>
      <c r="I16713"/>
      <c r="N16713"/>
      <c r="O16713" s="24"/>
      <c r="P16713"/>
      <c r="Q16713" s="24"/>
      <c r="R16713"/>
      <c r="S16713"/>
      <c r="T16713"/>
      <c r="U16713"/>
      <c r="X16713" s="60"/>
    </row>
    <row r="16714" spans="7:24" ht="15" customHeight="1">
      <c r="G16714"/>
      <c r="I16714"/>
      <c r="N16714"/>
      <c r="O16714" s="24"/>
      <c r="P16714"/>
      <c r="Q16714" s="24"/>
      <c r="R16714"/>
      <c r="S16714"/>
      <c r="T16714"/>
      <c r="U16714"/>
      <c r="X16714" s="60"/>
    </row>
    <row r="16715" spans="7:24" ht="15" customHeight="1">
      <c r="G16715"/>
      <c r="I16715"/>
      <c r="N16715"/>
      <c r="O16715" s="24"/>
      <c r="P16715"/>
      <c r="Q16715" s="24"/>
      <c r="R16715"/>
      <c r="S16715"/>
      <c r="T16715"/>
      <c r="U16715"/>
      <c r="X16715" s="60"/>
    </row>
    <row r="16716" spans="7:24" ht="15" customHeight="1">
      <c r="G16716"/>
      <c r="I16716"/>
      <c r="N16716"/>
      <c r="O16716" s="24"/>
      <c r="P16716"/>
      <c r="Q16716" s="24"/>
      <c r="R16716"/>
      <c r="S16716"/>
      <c r="T16716"/>
      <c r="U16716"/>
      <c r="X16716" s="60"/>
    </row>
    <row r="16717" spans="7:24" ht="15" customHeight="1">
      <c r="G16717"/>
      <c r="I16717"/>
      <c r="N16717"/>
      <c r="O16717" s="24"/>
      <c r="P16717"/>
      <c r="Q16717" s="24"/>
      <c r="R16717"/>
      <c r="S16717"/>
      <c r="T16717"/>
      <c r="U16717"/>
      <c r="X16717" s="60"/>
    </row>
    <row r="16718" spans="7:24" ht="15" customHeight="1">
      <c r="G16718"/>
      <c r="I16718"/>
      <c r="N16718"/>
      <c r="O16718" s="24"/>
      <c r="P16718"/>
      <c r="Q16718" s="24"/>
      <c r="R16718"/>
      <c r="S16718"/>
      <c r="T16718"/>
      <c r="U16718"/>
      <c r="X16718" s="60"/>
    </row>
    <row r="16719" spans="7:24" ht="15" customHeight="1">
      <c r="G16719"/>
      <c r="I16719"/>
      <c r="N16719"/>
      <c r="O16719" s="24"/>
      <c r="P16719"/>
      <c r="Q16719" s="24"/>
      <c r="R16719"/>
      <c r="S16719"/>
      <c r="T16719"/>
      <c r="U16719"/>
      <c r="X16719" s="60"/>
    </row>
    <row r="16720" spans="7:24" ht="15" customHeight="1">
      <c r="G16720"/>
      <c r="I16720"/>
      <c r="N16720"/>
      <c r="O16720" s="24"/>
      <c r="P16720"/>
      <c r="Q16720" s="24"/>
      <c r="R16720"/>
      <c r="S16720"/>
      <c r="T16720"/>
      <c r="U16720"/>
      <c r="X16720" s="60"/>
    </row>
    <row r="16721" spans="7:24" ht="15" customHeight="1">
      <c r="G16721"/>
      <c r="I16721"/>
      <c r="N16721"/>
      <c r="O16721" s="24"/>
      <c r="P16721"/>
      <c r="Q16721" s="24"/>
      <c r="R16721"/>
      <c r="S16721"/>
      <c r="T16721"/>
      <c r="U16721"/>
      <c r="X16721" s="60"/>
    </row>
    <row r="16722" spans="7:24" ht="15" customHeight="1">
      <c r="G16722"/>
      <c r="I16722"/>
      <c r="N16722"/>
      <c r="O16722" s="24"/>
      <c r="P16722"/>
      <c r="Q16722" s="24"/>
      <c r="R16722"/>
      <c r="S16722"/>
      <c r="T16722"/>
      <c r="U16722"/>
      <c r="X16722" s="60"/>
    </row>
    <row r="16723" spans="7:24" ht="15" customHeight="1">
      <c r="G16723"/>
      <c r="I16723"/>
      <c r="N16723"/>
      <c r="O16723" s="24"/>
      <c r="P16723"/>
      <c r="Q16723" s="24"/>
      <c r="R16723"/>
      <c r="S16723"/>
      <c r="T16723"/>
      <c r="U16723"/>
      <c r="X16723" s="60"/>
    </row>
    <row r="16724" spans="7:24" ht="15" customHeight="1">
      <c r="G16724"/>
      <c r="I16724"/>
      <c r="N16724"/>
      <c r="O16724" s="24"/>
      <c r="P16724"/>
      <c r="Q16724" s="24"/>
      <c r="R16724"/>
      <c r="S16724"/>
      <c r="T16724"/>
      <c r="U16724"/>
      <c r="X16724" s="60"/>
    </row>
    <row r="16725" spans="7:24" ht="15" customHeight="1">
      <c r="G16725"/>
      <c r="I16725"/>
      <c r="N16725"/>
      <c r="O16725" s="24"/>
      <c r="P16725"/>
      <c r="Q16725" s="24"/>
      <c r="R16725"/>
      <c r="S16725"/>
      <c r="T16725"/>
      <c r="U16725"/>
      <c r="X16725" s="60"/>
    </row>
    <row r="16726" spans="7:24" ht="15" customHeight="1">
      <c r="G16726"/>
      <c r="I16726"/>
      <c r="N16726"/>
      <c r="O16726" s="24"/>
      <c r="P16726"/>
      <c r="Q16726" s="24"/>
      <c r="R16726"/>
      <c r="S16726"/>
      <c r="T16726"/>
      <c r="U16726"/>
      <c r="X16726" s="60"/>
    </row>
    <row r="16727" spans="7:24" ht="15" customHeight="1">
      <c r="G16727"/>
      <c r="I16727"/>
      <c r="N16727"/>
      <c r="O16727" s="24"/>
      <c r="P16727"/>
      <c r="Q16727" s="24"/>
      <c r="R16727"/>
      <c r="S16727"/>
      <c r="T16727"/>
      <c r="U16727"/>
      <c r="X16727" s="60"/>
    </row>
    <row r="16728" spans="7:24" ht="15" customHeight="1">
      <c r="G16728"/>
      <c r="I16728"/>
      <c r="N16728"/>
      <c r="O16728" s="24"/>
      <c r="P16728"/>
      <c r="Q16728" s="24"/>
      <c r="R16728"/>
      <c r="S16728"/>
      <c r="T16728"/>
      <c r="U16728"/>
      <c r="X16728" s="60"/>
    </row>
    <row r="16729" spans="7:24" ht="15" customHeight="1">
      <c r="G16729"/>
      <c r="I16729"/>
      <c r="N16729"/>
      <c r="O16729" s="24"/>
      <c r="P16729"/>
      <c r="Q16729" s="24"/>
      <c r="R16729"/>
      <c r="S16729"/>
      <c r="T16729"/>
      <c r="U16729"/>
      <c r="X16729" s="60"/>
    </row>
    <row r="16730" spans="7:24" ht="15" customHeight="1">
      <c r="G16730"/>
      <c r="I16730"/>
      <c r="N16730"/>
      <c r="O16730" s="24"/>
      <c r="P16730"/>
      <c r="Q16730" s="24"/>
      <c r="R16730"/>
      <c r="S16730"/>
      <c r="T16730"/>
      <c r="U16730"/>
      <c r="X16730" s="60"/>
    </row>
    <row r="16731" spans="7:24" ht="15" customHeight="1">
      <c r="G16731"/>
      <c r="I16731"/>
      <c r="N16731"/>
      <c r="O16731" s="24"/>
      <c r="P16731"/>
      <c r="Q16731" s="24"/>
      <c r="R16731"/>
      <c r="S16731"/>
      <c r="T16731"/>
      <c r="U16731"/>
      <c r="X16731" s="60"/>
    </row>
    <row r="16732" spans="7:24" ht="15" customHeight="1">
      <c r="G16732"/>
      <c r="I16732"/>
      <c r="N16732"/>
      <c r="O16732" s="24"/>
      <c r="P16732"/>
      <c r="Q16732" s="24"/>
      <c r="R16732"/>
      <c r="S16732"/>
      <c r="T16732"/>
      <c r="U16732"/>
      <c r="X16732" s="60"/>
    </row>
    <row r="16733" spans="7:24" ht="15" customHeight="1">
      <c r="G16733"/>
      <c r="I16733"/>
      <c r="N16733"/>
      <c r="O16733" s="24"/>
      <c r="P16733"/>
      <c r="Q16733" s="24"/>
      <c r="R16733"/>
      <c r="S16733"/>
      <c r="T16733"/>
      <c r="U16733"/>
      <c r="X16733" s="60"/>
    </row>
    <row r="16734" spans="7:24" ht="15" customHeight="1">
      <c r="G16734"/>
      <c r="I16734"/>
      <c r="N16734"/>
      <c r="O16734" s="24"/>
      <c r="P16734"/>
      <c r="Q16734" s="24"/>
      <c r="R16734"/>
      <c r="S16734"/>
      <c r="T16734"/>
      <c r="U16734"/>
      <c r="X16734" s="60"/>
    </row>
    <row r="16735" spans="7:24" ht="15" customHeight="1">
      <c r="G16735"/>
      <c r="I16735"/>
      <c r="N16735"/>
      <c r="O16735" s="24"/>
      <c r="P16735"/>
      <c r="Q16735" s="24"/>
      <c r="R16735"/>
      <c r="S16735"/>
      <c r="T16735"/>
      <c r="U16735"/>
      <c r="X16735" s="60"/>
    </row>
    <row r="16736" spans="7:24" ht="15" customHeight="1">
      <c r="G16736"/>
      <c r="I16736"/>
      <c r="N16736"/>
      <c r="O16736" s="24"/>
      <c r="P16736"/>
      <c r="Q16736" s="24"/>
      <c r="R16736"/>
      <c r="S16736"/>
      <c r="T16736"/>
      <c r="U16736"/>
      <c r="X16736" s="60"/>
    </row>
    <row r="16737" spans="7:24" ht="15" customHeight="1">
      <c r="G16737"/>
      <c r="I16737"/>
      <c r="N16737"/>
      <c r="O16737" s="24"/>
      <c r="P16737"/>
      <c r="Q16737" s="24"/>
      <c r="R16737"/>
      <c r="S16737"/>
      <c r="T16737"/>
      <c r="U16737"/>
      <c r="X16737" s="60"/>
    </row>
    <row r="16738" spans="7:24" ht="15" customHeight="1">
      <c r="G16738"/>
      <c r="I16738"/>
      <c r="N16738"/>
      <c r="O16738" s="24"/>
      <c r="P16738"/>
      <c r="Q16738" s="24"/>
      <c r="R16738"/>
      <c r="S16738"/>
      <c r="T16738"/>
      <c r="U16738"/>
      <c r="X16738" s="60"/>
    </row>
    <row r="16739" spans="7:24" ht="15" customHeight="1">
      <c r="G16739"/>
      <c r="I16739"/>
      <c r="N16739"/>
      <c r="O16739" s="24"/>
      <c r="P16739"/>
      <c r="Q16739" s="24"/>
      <c r="R16739"/>
      <c r="S16739"/>
      <c r="T16739"/>
      <c r="U16739"/>
      <c r="X16739" s="60"/>
    </row>
    <row r="16740" spans="7:24" ht="15" customHeight="1">
      <c r="G16740"/>
      <c r="I16740"/>
      <c r="N16740"/>
      <c r="O16740" s="24"/>
      <c r="P16740"/>
      <c r="Q16740" s="24"/>
      <c r="R16740"/>
      <c r="S16740"/>
      <c r="T16740"/>
      <c r="U16740"/>
      <c r="X16740" s="60"/>
    </row>
    <row r="16741" spans="7:24" ht="15" customHeight="1">
      <c r="G16741"/>
      <c r="I16741"/>
      <c r="N16741"/>
      <c r="O16741" s="24"/>
      <c r="P16741"/>
      <c r="Q16741" s="24"/>
      <c r="R16741"/>
      <c r="S16741"/>
      <c r="T16741"/>
      <c r="U16741"/>
      <c r="X16741" s="60"/>
    </row>
    <row r="16742" spans="7:24" ht="15" customHeight="1">
      <c r="G16742"/>
      <c r="I16742"/>
      <c r="N16742"/>
      <c r="O16742" s="24"/>
      <c r="P16742"/>
      <c r="Q16742" s="24"/>
      <c r="R16742"/>
      <c r="S16742"/>
      <c r="T16742"/>
      <c r="U16742"/>
      <c r="X16742" s="60"/>
    </row>
    <row r="16743" spans="7:24" ht="15" customHeight="1">
      <c r="G16743"/>
      <c r="I16743"/>
      <c r="N16743"/>
      <c r="O16743" s="24"/>
      <c r="P16743"/>
      <c r="Q16743" s="24"/>
      <c r="R16743"/>
      <c r="S16743"/>
      <c r="T16743"/>
      <c r="U16743"/>
      <c r="X16743" s="60"/>
    </row>
    <row r="16744" spans="7:24" ht="15" customHeight="1">
      <c r="G16744"/>
      <c r="I16744"/>
      <c r="N16744"/>
      <c r="O16744" s="24"/>
      <c r="P16744"/>
      <c r="Q16744" s="24"/>
      <c r="R16744"/>
      <c r="S16744"/>
      <c r="T16744"/>
      <c r="U16744"/>
      <c r="X16744" s="60"/>
    </row>
    <row r="16745" spans="7:24" ht="15" customHeight="1">
      <c r="G16745"/>
      <c r="I16745"/>
      <c r="N16745"/>
      <c r="O16745" s="24"/>
      <c r="P16745"/>
      <c r="Q16745" s="24"/>
      <c r="R16745"/>
      <c r="S16745"/>
      <c r="T16745"/>
      <c r="U16745"/>
      <c r="X16745" s="60"/>
    </row>
    <row r="16746" spans="7:24" ht="15" customHeight="1">
      <c r="G16746"/>
      <c r="I16746"/>
      <c r="N16746"/>
      <c r="O16746" s="24"/>
      <c r="P16746"/>
      <c r="Q16746" s="24"/>
      <c r="R16746"/>
      <c r="S16746"/>
      <c r="T16746"/>
      <c r="U16746"/>
      <c r="X16746" s="60"/>
    </row>
    <row r="16747" spans="7:24" ht="15" customHeight="1">
      <c r="G16747"/>
      <c r="I16747"/>
      <c r="N16747"/>
      <c r="O16747" s="24"/>
      <c r="P16747"/>
      <c r="Q16747" s="24"/>
      <c r="R16747"/>
      <c r="S16747"/>
      <c r="T16747"/>
      <c r="U16747"/>
      <c r="X16747" s="60"/>
    </row>
    <row r="16748" spans="7:24" ht="15" customHeight="1">
      <c r="G16748"/>
      <c r="I16748"/>
      <c r="N16748"/>
      <c r="O16748" s="24"/>
      <c r="P16748"/>
      <c r="Q16748" s="24"/>
      <c r="R16748"/>
      <c r="S16748"/>
      <c r="T16748"/>
      <c r="U16748"/>
      <c r="X16748" s="60"/>
    </row>
    <row r="16749" spans="7:24" ht="15" customHeight="1">
      <c r="G16749"/>
      <c r="I16749"/>
      <c r="N16749"/>
      <c r="O16749" s="24"/>
      <c r="P16749"/>
      <c r="Q16749" s="24"/>
      <c r="R16749"/>
      <c r="S16749"/>
      <c r="T16749"/>
      <c r="U16749"/>
      <c r="X16749" s="60"/>
    </row>
    <row r="16750" spans="7:24" ht="15" customHeight="1">
      <c r="G16750"/>
      <c r="I16750"/>
      <c r="N16750"/>
      <c r="O16750" s="24"/>
      <c r="P16750"/>
      <c r="Q16750" s="24"/>
      <c r="R16750"/>
      <c r="S16750"/>
      <c r="T16750"/>
      <c r="U16750"/>
      <c r="X16750" s="60"/>
    </row>
    <row r="16751" spans="7:24" ht="15" customHeight="1">
      <c r="G16751"/>
      <c r="I16751"/>
      <c r="N16751"/>
      <c r="O16751" s="24"/>
      <c r="P16751"/>
      <c r="Q16751" s="24"/>
      <c r="R16751"/>
      <c r="S16751"/>
      <c r="T16751"/>
      <c r="U16751"/>
      <c r="X16751" s="60"/>
    </row>
    <row r="16752" spans="7:24" ht="15" customHeight="1">
      <c r="G16752"/>
      <c r="I16752"/>
      <c r="N16752"/>
      <c r="O16752" s="24"/>
      <c r="P16752"/>
      <c r="Q16752" s="24"/>
      <c r="R16752"/>
      <c r="S16752"/>
      <c r="T16752"/>
      <c r="U16752"/>
      <c r="X16752" s="60"/>
    </row>
    <row r="16753" spans="7:24" ht="15" customHeight="1">
      <c r="G16753"/>
      <c r="I16753"/>
      <c r="N16753"/>
      <c r="O16753" s="24"/>
      <c r="P16753"/>
      <c r="Q16753" s="24"/>
      <c r="R16753"/>
      <c r="S16753"/>
      <c r="T16753"/>
      <c r="U16753"/>
      <c r="X16753" s="60"/>
    </row>
    <row r="16754" spans="7:24" ht="15" customHeight="1">
      <c r="G16754"/>
      <c r="I16754"/>
      <c r="N16754"/>
      <c r="O16754" s="24"/>
      <c r="P16754"/>
      <c r="Q16754" s="24"/>
      <c r="R16754"/>
      <c r="S16754"/>
      <c r="T16754"/>
      <c r="U16754"/>
      <c r="X16754" s="60"/>
    </row>
    <row r="16755" spans="7:24" ht="15" customHeight="1">
      <c r="G16755"/>
      <c r="I16755"/>
      <c r="N16755"/>
      <c r="O16755" s="24"/>
      <c r="P16755"/>
      <c r="Q16755" s="24"/>
      <c r="R16755"/>
      <c r="S16755"/>
      <c r="T16755"/>
      <c r="U16755"/>
      <c r="X16755" s="60"/>
    </row>
    <row r="16756" spans="7:24" ht="15" customHeight="1">
      <c r="G16756"/>
      <c r="I16756"/>
      <c r="N16756"/>
      <c r="O16756" s="24"/>
      <c r="P16756"/>
      <c r="Q16756" s="24"/>
      <c r="R16756"/>
      <c r="S16756"/>
      <c r="T16756"/>
      <c r="U16756"/>
      <c r="X16756" s="60"/>
    </row>
    <row r="16757" spans="7:24" ht="15" customHeight="1">
      <c r="G16757"/>
      <c r="I16757"/>
      <c r="N16757"/>
      <c r="O16757" s="24"/>
      <c r="P16757"/>
      <c r="Q16757" s="24"/>
      <c r="R16757"/>
      <c r="S16757"/>
      <c r="T16757"/>
      <c r="U16757"/>
      <c r="X16757" s="60"/>
    </row>
    <row r="16758" spans="7:24" ht="15" customHeight="1">
      <c r="G16758"/>
      <c r="I16758"/>
      <c r="N16758"/>
      <c r="O16758" s="24"/>
      <c r="P16758"/>
      <c r="Q16758" s="24"/>
      <c r="R16758"/>
      <c r="S16758"/>
      <c r="T16758"/>
      <c r="U16758"/>
      <c r="X16758" s="60"/>
    </row>
    <row r="16759" spans="7:24" ht="15" customHeight="1">
      <c r="G16759"/>
      <c r="I16759"/>
      <c r="N16759"/>
      <c r="O16759" s="24"/>
      <c r="P16759"/>
      <c r="Q16759" s="24"/>
      <c r="R16759"/>
      <c r="S16759"/>
      <c r="T16759"/>
      <c r="U16759"/>
      <c r="X16759" s="60"/>
    </row>
    <row r="16760" spans="7:24" ht="15" customHeight="1">
      <c r="G16760"/>
      <c r="I16760"/>
      <c r="N16760"/>
      <c r="O16760" s="24"/>
      <c r="P16760"/>
      <c r="Q16760" s="24"/>
      <c r="R16760"/>
      <c r="S16760"/>
      <c r="T16760"/>
      <c r="U16760"/>
      <c r="X16760" s="60"/>
    </row>
    <row r="16761" spans="7:24" ht="15" customHeight="1">
      <c r="G16761"/>
      <c r="I16761"/>
      <c r="N16761"/>
      <c r="O16761" s="24"/>
      <c r="P16761"/>
      <c r="Q16761" s="24"/>
      <c r="R16761"/>
      <c r="S16761"/>
      <c r="T16761"/>
      <c r="U16761"/>
      <c r="X16761" s="60"/>
    </row>
    <row r="16762" spans="7:24" ht="15" customHeight="1">
      <c r="G16762"/>
      <c r="I16762"/>
      <c r="N16762"/>
      <c r="O16762" s="24"/>
      <c r="P16762"/>
      <c r="Q16762" s="24"/>
      <c r="R16762"/>
      <c r="S16762"/>
      <c r="T16762"/>
      <c r="U16762"/>
      <c r="X16762" s="60"/>
    </row>
    <row r="16763" spans="7:24" ht="15" customHeight="1">
      <c r="G16763"/>
      <c r="I16763"/>
      <c r="N16763"/>
      <c r="O16763" s="24"/>
      <c r="P16763"/>
      <c r="Q16763" s="24"/>
      <c r="R16763"/>
      <c r="S16763"/>
      <c r="T16763"/>
      <c r="U16763"/>
      <c r="X16763" s="60"/>
    </row>
    <row r="16764" spans="7:24" ht="15" customHeight="1">
      <c r="G16764"/>
      <c r="I16764"/>
      <c r="N16764"/>
      <c r="O16764" s="24"/>
      <c r="P16764"/>
      <c r="Q16764" s="24"/>
      <c r="R16764"/>
      <c r="S16764"/>
      <c r="T16764"/>
      <c r="U16764"/>
      <c r="X16764" s="60"/>
    </row>
    <row r="16765" spans="7:24" ht="15" customHeight="1">
      <c r="G16765"/>
      <c r="I16765"/>
      <c r="N16765"/>
      <c r="O16765" s="24"/>
      <c r="P16765"/>
      <c r="Q16765" s="24"/>
      <c r="R16765"/>
      <c r="S16765"/>
      <c r="T16765"/>
      <c r="U16765"/>
      <c r="X16765" s="60"/>
    </row>
    <row r="16766" spans="7:24" ht="15" customHeight="1">
      <c r="G16766"/>
      <c r="I16766"/>
      <c r="N16766"/>
      <c r="O16766" s="24"/>
      <c r="P16766"/>
      <c r="Q16766" s="24"/>
      <c r="R16766"/>
      <c r="S16766"/>
      <c r="T16766"/>
      <c r="U16766"/>
      <c r="X16766" s="60"/>
    </row>
    <row r="16767" spans="7:24" ht="15" customHeight="1">
      <c r="G16767"/>
      <c r="I16767"/>
      <c r="N16767"/>
      <c r="O16767" s="24"/>
      <c r="P16767"/>
      <c r="Q16767" s="24"/>
      <c r="R16767"/>
      <c r="S16767"/>
      <c r="T16767"/>
      <c r="U16767"/>
      <c r="X16767" s="60"/>
    </row>
    <row r="16768" spans="7:24" ht="15" customHeight="1">
      <c r="G16768"/>
      <c r="I16768"/>
      <c r="N16768"/>
      <c r="O16768" s="24"/>
      <c r="P16768"/>
      <c r="Q16768" s="24"/>
      <c r="R16768"/>
      <c r="S16768"/>
      <c r="T16768"/>
      <c r="U16768"/>
      <c r="X16768" s="60"/>
    </row>
    <row r="16769" spans="7:24" ht="15" customHeight="1">
      <c r="G16769"/>
      <c r="I16769"/>
      <c r="N16769"/>
      <c r="O16769" s="24"/>
      <c r="P16769"/>
      <c r="Q16769" s="24"/>
      <c r="R16769"/>
      <c r="S16769"/>
      <c r="T16769"/>
      <c r="U16769"/>
      <c r="X16769" s="60"/>
    </row>
    <row r="16770" spans="7:24" ht="15" customHeight="1">
      <c r="G16770"/>
      <c r="I16770"/>
      <c r="N16770"/>
      <c r="O16770" s="24"/>
      <c r="P16770"/>
      <c r="Q16770" s="24"/>
      <c r="R16770"/>
      <c r="S16770"/>
      <c r="T16770"/>
      <c r="U16770"/>
      <c r="X16770" s="60"/>
    </row>
    <row r="16771" spans="7:24" ht="15" customHeight="1">
      <c r="G16771"/>
      <c r="I16771"/>
      <c r="N16771"/>
      <c r="O16771" s="24"/>
      <c r="P16771"/>
      <c r="Q16771" s="24"/>
      <c r="R16771"/>
      <c r="S16771"/>
      <c r="T16771"/>
      <c r="U16771"/>
      <c r="X16771" s="60"/>
    </row>
    <row r="16772" spans="7:24" ht="15" customHeight="1">
      <c r="G16772"/>
      <c r="I16772"/>
      <c r="N16772"/>
      <c r="O16772" s="24"/>
      <c r="P16772"/>
      <c r="Q16772" s="24"/>
      <c r="R16772"/>
      <c r="S16772"/>
      <c r="T16772"/>
      <c r="U16772"/>
      <c r="X16772" s="60"/>
    </row>
    <row r="16773" spans="7:24" ht="15" customHeight="1">
      <c r="G16773"/>
      <c r="I16773"/>
      <c r="N16773"/>
      <c r="O16773" s="24"/>
      <c r="P16773"/>
      <c r="Q16773" s="24"/>
      <c r="R16773"/>
      <c r="S16773"/>
      <c r="T16773"/>
      <c r="U16773"/>
      <c r="X16773" s="60"/>
    </row>
    <row r="16774" spans="7:24" ht="15" customHeight="1">
      <c r="G16774"/>
      <c r="I16774"/>
      <c r="N16774"/>
      <c r="O16774" s="24"/>
      <c r="P16774"/>
      <c r="Q16774" s="24"/>
      <c r="R16774"/>
      <c r="S16774"/>
      <c r="T16774"/>
      <c r="U16774"/>
      <c r="X16774" s="60"/>
    </row>
    <row r="16775" spans="7:24" ht="15" customHeight="1">
      <c r="G16775"/>
      <c r="I16775"/>
      <c r="N16775"/>
      <c r="O16775" s="24"/>
      <c r="P16775"/>
      <c r="Q16775" s="24"/>
      <c r="R16775"/>
      <c r="S16775"/>
      <c r="T16775"/>
      <c r="U16775"/>
      <c r="X16775" s="60"/>
    </row>
    <row r="16776" spans="7:24" ht="15" customHeight="1">
      <c r="G16776"/>
      <c r="I16776"/>
      <c r="N16776"/>
      <c r="O16776" s="24"/>
      <c r="P16776"/>
      <c r="Q16776" s="24"/>
      <c r="R16776"/>
      <c r="S16776"/>
      <c r="T16776"/>
      <c r="U16776"/>
      <c r="X16776" s="60"/>
    </row>
    <row r="16777" spans="7:24" ht="15" customHeight="1">
      <c r="G16777"/>
      <c r="I16777"/>
      <c r="N16777"/>
      <c r="O16777" s="24"/>
      <c r="P16777"/>
      <c r="Q16777" s="24"/>
      <c r="R16777"/>
      <c r="S16777"/>
      <c r="T16777"/>
      <c r="U16777"/>
      <c r="X16777" s="60"/>
    </row>
    <row r="16778" spans="7:24" ht="15" customHeight="1">
      <c r="G16778"/>
      <c r="I16778"/>
      <c r="N16778"/>
      <c r="O16778" s="24"/>
      <c r="P16778"/>
      <c r="Q16778" s="24"/>
      <c r="R16778"/>
      <c r="S16778"/>
      <c r="T16778"/>
      <c r="U16778"/>
      <c r="X16778" s="60"/>
    </row>
    <row r="16779" spans="7:24" ht="15" customHeight="1">
      <c r="G16779"/>
      <c r="I16779"/>
      <c r="N16779"/>
      <c r="O16779" s="24"/>
      <c r="P16779"/>
      <c r="Q16779" s="24"/>
      <c r="R16779"/>
      <c r="S16779"/>
      <c r="T16779"/>
      <c r="U16779"/>
      <c r="X16779" s="60"/>
    </row>
    <row r="16780" spans="7:24" ht="15" customHeight="1">
      <c r="G16780"/>
      <c r="I16780"/>
      <c r="N16780"/>
      <c r="O16780" s="24"/>
      <c r="P16780"/>
      <c r="Q16780" s="24"/>
      <c r="R16780"/>
      <c r="S16780"/>
      <c r="T16780"/>
      <c r="U16780"/>
      <c r="X16780" s="60"/>
    </row>
    <row r="16781" spans="7:24" ht="15" customHeight="1">
      <c r="G16781"/>
      <c r="I16781"/>
      <c r="N16781"/>
      <c r="O16781" s="24"/>
      <c r="P16781"/>
      <c r="Q16781" s="24"/>
      <c r="R16781"/>
      <c r="S16781"/>
      <c r="T16781"/>
      <c r="U16781"/>
      <c r="X16781" s="60"/>
    </row>
    <row r="16782" spans="7:24" ht="15" customHeight="1">
      <c r="G16782"/>
      <c r="I16782"/>
      <c r="N16782"/>
      <c r="O16782" s="24"/>
      <c r="P16782"/>
      <c r="Q16782" s="24"/>
      <c r="R16782"/>
      <c r="S16782"/>
      <c r="T16782"/>
      <c r="U16782"/>
      <c r="X16782" s="60"/>
    </row>
    <row r="16783" spans="7:24" ht="15" customHeight="1">
      <c r="G16783"/>
      <c r="I16783"/>
      <c r="N16783"/>
      <c r="O16783" s="24"/>
      <c r="P16783"/>
      <c r="Q16783" s="24"/>
      <c r="R16783"/>
      <c r="S16783"/>
      <c r="T16783"/>
      <c r="U16783"/>
      <c r="X16783" s="60"/>
    </row>
    <row r="16784" spans="7:24" ht="15" customHeight="1">
      <c r="G16784"/>
      <c r="I16784"/>
      <c r="N16784"/>
      <c r="O16784" s="24"/>
      <c r="P16784"/>
      <c r="Q16784" s="24"/>
      <c r="R16784"/>
      <c r="S16784"/>
      <c r="T16784"/>
      <c r="U16784"/>
      <c r="X16784" s="60"/>
    </row>
    <row r="16785" spans="7:24" ht="15" customHeight="1">
      <c r="G16785"/>
      <c r="I16785"/>
      <c r="N16785"/>
      <c r="O16785" s="24"/>
      <c r="P16785"/>
      <c r="Q16785" s="24"/>
      <c r="R16785"/>
      <c r="S16785"/>
      <c r="T16785"/>
      <c r="U16785"/>
      <c r="X16785" s="60"/>
    </row>
    <row r="16786" spans="7:24" ht="15" customHeight="1">
      <c r="G16786"/>
      <c r="I16786"/>
      <c r="N16786"/>
      <c r="O16786" s="24"/>
      <c r="P16786"/>
      <c r="Q16786" s="24"/>
      <c r="R16786"/>
      <c r="S16786"/>
      <c r="T16786"/>
      <c r="U16786"/>
      <c r="X16786" s="60"/>
    </row>
    <row r="16787" spans="7:24" ht="15" customHeight="1">
      <c r="G16787"/>
      <c r="I16787"/>
      <c r="N16787"/>
      <c r="O16787" s="24"/>
      <c r="P16787"/>
      <c r="Q16787" s="24"/>
      <c r="R16787"/>
      <c r="S16787"/>
      <c r="T16787"/>
      <c r="U16787"/>
      <c r="X16787" s="60"/>
    </row>
    <row r="16788" spans="7:24" ht="15" customHeight="1">
      <c r="G16788"/>
      <c r="I16788"/>
      <c r="N16788"/>
      <c r="O16788" s="24"/>
      <c r="P16788"/>
      <c r="Q16788" s="24"/>
      <c r="R16788"/>
      <c r="S16788"/>
      <c r="T16788"/>
      <c r="U16788"/>
      <c r="X16788" s="60"/>
    </row>
    <row r="16789" spans="7:24" ht="15" customHeight="1">
      <c r="G16789"/>
      <c r="I16789"/>
      <c r="N16789"/>
      <c r="O16789" s="24"/>
      <c r="P16789"/>
      <c r="Q16789" s="24"/>
      <c r="R16789"/>
      <c r="S16789"/>
      <c r="T16789"/>
      <c r="U16789"/>
      <c r="X16789" s="60"/>
    </row>
    <row r="16790" spans="7:24" ht="15" customHeight="1">
      <c r="G16790"/>
      <c r="I16790"/>
      <c r="N16790"/>
      <c r="O16790" s="24"/>
      <c r="P16790"/>
      <c r="Q16790" s="24"/>
      <c r="R16790"/>
      <c r="S16790"/>
      <c r="T16790"/>
      <c r="U16790"/>
      <c r="X16790" s="60"/>
    </row>
    <row r="16791" spans="7:24" ht="15" customHeight="1">
      <c r="G16791"/>
      <c r="I16791"/>
      <c r="N16791"/>
      <c r="O16791" s="24"/>
      <c r="P16791"/>
      <c r="Q16791" s="24"/>
      <c r="R16791"/>
      <c r="S16791"/>
      <c r="T16791"/>
      <c r="U16791"/>
      <c r="X16791" s="60"/>
    </row>
    <row r="16792" spans="7:24" ht="15" customHeight="1">
      <c r="G16792"/>
      <c r="I16792"/>
      <c r="N16792"/>
      <c r="O16792" s="24"/>
      <c r="P16792"/>
      <c r="Q16792" s="24"/>
      <c r="R16792"/>
      <c r="S16792"/>
      <c r="T16792"/>
      <c r="U16792"/>
      <c r="X16792" s="60"/>
    </row>
    <row r="16793" spans="7:24" ht="15" customHeight="1">
      <c r="G16793"/>
      <c r="I16793"/>
      <c r="N16793"/>
      <c r="O16793" s="24"/>
      <c r="P16793"/>
      <c r="Q16793" s="24"/>
      <c r="R16793"/>
      <c r="S16793"/>
      <c r="T16793"/>
      <c r="U16793"/>
      <c r="X16793" s="60"/>
    </row>
    <row r="16794" spans="7:24" ht="15" customHeight="1">
      <c r="G16794"/>
      <c r="I16794"/>
      <c r="N16794"/>
      <c r="O16794" s="24"/>
      <c r="P16794"/>
      <c r="Q16794" s="24"/>
      <c r="R16794"/>
      <c r="S16794"/>
      <c r="T16794"/>
      <c r="U16794"/>
      <c r="X16794" s="60"/>
    </row>
    <row r="16795" spans="7:24" ht="15" customHeight="1">
      <c r="G16795"/>
      <c r="I16795"/>
      <c r="N16795"/>
      <c r="O16795" s="24"/>
      <c r="P16795"/>
      <c r="Q16795" s="24"/>
      <c r="R16795"/>
      <c r="S16795"/>
      <c r="T16795"/>
      <c r="U16795"/>
      <c r="X16795" s="60"/>
    </row>
    <row r="16796" spans="7:24" ht="15" customHeight="1">
      <c r="G16796"/>
      <c r="I16796"/>
      <c r="N16796"/>
      <c r="O16796" s="24"/>
      <c r="P16796"/>
      <c r="Q16796" s="24"/>
      <c r="R16796"/>
      <c r="S16796"/>
      <c r="T16796"/>
      <c r="U16796"/>
      <c r="X16796" s="60"/>
    </row>
    <row r="16797" spans="7:24" ht="15" customHeight="1">
      <c r="G16797"/>
      <c r="I16797"/>
      <c r="N16797"/>
      <c r="O16797" s="24"/>
      <c r="P16797"/>
      <c r="Q16797" s="24"/>
      <c r="R16797"/>
      <c r="S16797"/>
      <c r="T16797"/>
      <c r="U16797"/>
      <c r="X16797" s="60"/>
    </row>
    <row r="16798" spans="7:24" ht="15" customHeight="1">
      <c r="G16798"/>
      <c r="I16798"/>
      <c r="N16798"/>
      <c r="O16798" s="24"/>
      <c r="P16798"/>
      <c r="Q16798" s="24"/>
      <c r="R16798"/>
      <c r="S16798"/>
      <c r="T16798"/>
      <c r="U16798"/>
      <c r="X16798" s="60"/>
    </row>
    <row r="16799" spans="7:24" ht="15" customHeight="1">
      <c r="G16799"/>
      <c r="I16799"/>
      <c r="N16799"/>
      <c r="O16799" s="24"/>
      <c r="P16799"/>
      <c r="Q16799" s="24"/>
      <c r="R16799"/>
      <c r="S16799"/>
      <c r="T16799"/>
      <c r="U16799"/>
      <c r="X16799" s="60"/>
    </row>
    <row r="16800" spans="7:24" ht="15" customHeight="1">
      <c r="G16800"/>
      <c r="I16800"/>
      <c r="N16800"/>
      <c r="O16800" s="24"/>
      <c r="P16800"/>
      <c r="Q16800" s="24"/>
      <c r="R16800"/>
      <c r="S16800"/>
      <c r="T16800"/>
      <c r="U16800"/>
      <c r="X16800" s="60"/>
    </row>
    <row r="16801" spans="7:24" ht="15" customHeight="1">
      <c r="G16801"/>
      <c r="I16801"/>
      <c r="N16801"/>
      <c r="O16801" s="24"/>
      <c r="P16801"/>
      <c r="Q16801" s="24"/>
      <c r="R16801"/>
      <c r="S16801"/>
      <c r="T16801"/>
      <c r="U16801"/>
      <c r="X16801" s="60"/>
    </row>
    <row r="16802" spans="7:24" ht="15" customHeight="1">
      <c r="G16802"/>
      <c r="I16802"/>
      <c r="N16802"/>
      <c r="O16802" s="24"/>
      <c r="P16802"/>
      <c r="Q16802" s="24"/>
      <c r="R16802"/>
      <c r="S16802"/>
      <c r="T16802"/>
      <c r="U16802"/>
      <c r="X16802" s="60"/>
    </row>
    <row r="16803" spans="7:24" ht="15" customHeight="1">
      <c r="G16803"/>
      <c r="I16803"/>
      <c r="N16803"/>
      <c r="O16803" s="24"/>
      <c r="P16803"/>
      <c r="Q16803" s="24"/>
      <c r="R16803"/>
      <c r="S16803"/>
      <c r="T16803"/>
      <c r="U16803"/>
      <c r="X16803" s="60"/>
    </row>
    <row r="16804" spans="7:24" ht="15" customHeight="1">
      <c r="G16804"/>
      <c r="I16804"/>
      <c r="N16804"/>
      <c r="O16804" s="24"/>
      <c r="P16804"/>
      <c r="Q16804" s="24"/>
      <c r="R16804"/>
      <c r="S16804"/>
      <c r="T16804"/>
      <c r="U16804"/>
      <c r="X16804" s="60"/>
    </row>
    <row r="16805" spans="7:24" ht="15" customHeight="1">
      <c r="G16805"/>
      <c r="I16805"/>
      <c r="N16805"/>
      <c r="O16805" s="24"/>
      <c r="P16805"/>
      <c r="Q16805" s="24"/>
      <c r="R16805"/>
      <c r="S16805"/>
      <c r="T16805"/>
      <c r="U16805"/>
      <c r="X16805" s="60"/>
    </row>
    <row r="16806" spans="7:24" ht="15" customHeight="1">
      <c r="G16806"/>
      <c r="I16806"/>
      <c r="N16806"/>
      <c r="O16806" s="24"/>
      <c r="P16806"/>
      <c r="Q16806" s="24"/>
      <c r="R16806"/>
      <c r="S16806"/>
      <c r="T16806"/>
      <c r="U16806"/>
      <c r="X16806" s="60"/>
    </row>
    <row r="16807" spans="7:24" ht="15" customHeight="1">
      <c r="G16807"/>
      <c r="I16807"/>
      <c r="N16807"/>
      <c r="O16807" s="24"/>
      <c r="P16807"/>
      <c r="Q16807" s="24"/>
      <c r="R16807"/>
      <c r="S16807"/>
      <c r="T16807"/>
      <c r="U16807"/>
      <c r="X16807" s="60"/>
    </row>
    <row r="16808" spans="7:24" ht="15" customHeight="1">
      <c r="G16808"/>
      <c r="I16808"/>
      <c r="N16808"/>
      <c r="O16808" s="24"/>
      <c r="P16808"/>
      <c r="Q16808" s="24"/>
      <c r="R16808"/>
      <c r="S16808"/>
      <c r="T16808"/>
      <c r="U16808"/>
      <c r="X16808" s="60"/>
    </row>
    <row r="16809" spans="7:24" ht="15" customHeight="1">
      <c r="G16809"/>
      <c r="I16809"/>
      <c r="N16809"/>
      <c r="O16809" s="24"/>
      <c r="P16809"/>
      <c r="Q16809" s="24"/>
      <c r="R16809"/>
      <c r="S16809"/>
      <c r="T16809"/>
      <c r="U16809"/>
      <c r="X16809" s="60"/>
    </row>
    <row r="16810" spans="7:24" ht="15" customHeight="1">
      <c r="G16810"/>
      <c r="I16810"/>
      <c r="N16810"/>
      <c r="O16810" s="24"/>
      <c r="P16810"/>
      <c r="Q16810" s="24"/>
      <c r="R16810"/>
      <c r="S16810"/>
      <c r="T16810"/>
      <c r="U16810"/>
      <c r="X16810" s="60"/>
    </row>
    <row r="16811" spans="7:24" ht="15" customHeight="1">
      <c r="G16811"/>
      <c r="I16811"/>
      <c r="N16811"/>
      <c r="O16811" s="24"/>
      <c r="P16811"/>
      <c r="Q16811" s="24"/>
      <c r="R16811"/>
      <c r="S16811"/>
      <c r="T16811"/>
      <c r="U16811"/>
      <c r="X16811" s="60"/>
    </row>
    <row r="16812" spans="7:24" ht="15" customHeight="1">
      <c r="G16812"/>
      <c r="I16812"/>
      <c r="N16812"/>
      <c r="O16812" s="24"/>
      <c r="P16812"/>
      <c r="Q16812" s="24"/>
      <c r="R16812"/>
      <c r="S16812"/>
      <c r="T16812"/>
      <c r="U16812"/>
      <c r="X16812" s="60"/>
    </row>
    <row r="16813" spans="7:24" ht="15" customHeight="1">
      <c r="G16813"/>
      <c r="I16813"/>
      <c r="N16813"/>
      <c r="O16813" s="24"/>
      <c r="P16813"/>
      <c r="Q16813" s="24"/>
      <c r="R16813"/>
      <c r="S16813"/>
      <c r="T16813"/>
      <c r="U16813"/>
      <c r="X16813" s="60"/>
    </row>
    <row r="16814" spans="7:24" ht="15" customHeight="1">
      <c r="G16814"/>
      <c r="I16814"/>
      <c r="N16814"/>
      <c r="O16814" s="24"/>
      <c r="P16814"/>
      <c r="Q16814" s="24"/>
      <c r="R16814"/>
      <c r="S16814"/>
      <c r="T16814"/>
      <c r="U16814"/>
      <c r="X16814" s="60"/>
    </row>
    <row r="16815" spans="7:24" ht="15" customHeight="1">
      <c r="G16815"/>
      <c r="I16815"/>
      <c r="N16815"/>
      <c r="O16815" s="24"/>
      <c r="P16815"/>
      <c r="Q16815" s="24"/>
      <c r="R16815"/>
      <c r="S16815"/>
      <c r="T16815"/>
      <c r="U16815"/>
      <c r="X16815" s="60"/>
    </row>
    <row r="16816" spans="7:24" ht="15" customHeight="1">
      <c r="G16816"/>
      <c r="I16816"/>
      <c r="N16816"/>
      <c r="O16816" s="24"/>
      <c r="P16816"/>
      <c r="Q16816" s="24"/>
      <c r="R16816"/>
      <c r="S16816"/>
      <c r="T16816"/>
      <c r="U16816"/>
      <c r="X16816" s="60"/>
    </row>
    <row r="16817" spans="7:24" ht="15" customHeight="1">
      <c r="G16817"/>
      <c r="I16817"/>
      <c r="N16817"/>
      <c r="O16817" s="24"/>
      <c r="P16817"/>
      <c r="Q16817" s="24"/>
      <c r="R16817"/>
      <c r="S16817"/>
      <c r="T16817"/>
      <c r="U16817"/>
      <c r="X16817" s="60"/>
    </row>
    <row r="16818" spans="7:24" ht="15" customHeight="1">
      <c r="G16818"/>
      <c r="I16818"/>
      <c r="N16818"/>
      <c r="O16818" s="24"/>
      <c r="P16818"/>
      <c r="Q16818" s="24"/>
      <c r="R16818"/>
      <c r="S16818"/>
      <c r="T16818"/>
      <c r="U16818"/>
      <c r="X16818" s="60"/>
    </row>
    <row r="16819" spans="7:24" ht="15" customHeight="1">
      <c r="G16819"/>
      <c r="I16819"/>
      <c r="N16819"/>
      <c r="O16819" s="24"/>
      <c r="P16819"/>
      <c r="Q16819" s="24"/>
      <c r="R16819"/>
      <c r="S16819"/>
      <c r="T16819"/>
      <c r="U16819"/>
      <c r="X16819" s="60"/>
    </row>
    <row r="16820" spans="7:24" ht="15" customHeight="1">
      <c r="G16820"/>
      <c r="I16820"/>
      <c r="N16820"/>
      <c r="O16820" s="24"/>
      <c r="P16820"/>
      <c r="Q16820" s="24"/>
      <c r="R16820"/>
      <c r="S16820"/>
      <c r="T16820"/>
      <c r="U16820"/>
      <c r="X16820" s="60"/>
    </row>
    <row r="16821" spans="7:24" ht="15" customHeight="1">
      <c r="G16821"/>
      <c r="I16821"/>
      <c r="N16821"/>
      <c r="O16821" s="24"/>
      <c r="P16821"/>
      <c r="Q16821" s="24"/>
      <c r="R16821"/>
      <c r="S16821"/>
      <c r="T16821"/>
      <c r="U16821"/>
      <c r="X16821" s="60"/>
    </row>
    <row r="16822" spans="7:24" ht="15" customHeight="1">
      <c r="G16822"/>
      <c r="I16822"/>
      <c r="N16822"/>
      <c r="O16822" s="24"/>
      <c r="P16822"/>
      <c r="Q16822" s="24"/>
      <c r="R16822"/>
      <c r="S16822"/>
      <c r="T16822"/>
      <c r="U16822"/>
      <c r="X16822" s="60"/>
    </row>
    <row r="16823" spans="7:24" ht="15" customHeight="1">
      <c r="G16823"/>
      <c r="I16823"/>
      <c r="N16823"/>
      <c r="O16823" s="24"/>
      <c r="P16823"/>
      <c r="Q16823" s="24"/>
      <c r="R16823"/>
      <c r="S16823"/>
      <c r="T16823"/>
      <c r="U16823"/>
      <c r="X16823" s="60"/>
    </row>
    <row r="16824" spans="7:24" ht="15" customHeight="1">
      <c r="G16824"/>
      <c r="I16824"/>
      <c r="N16824"/>
      <c r="O16824" s="24"/>
      <c r="P16824"/>
      <c r="Q16824" s="24"/>
      <c r="R16824"/>
      <c r="S16824"/>
      <c r="T16824"/>
      <c r="U16824"/>
      <c r="X16824" s="60"/>
    </row>
    <row r="16825" spans="7:24" ht="15" customHeight="1">
      <c r="G16825"/>
      <c r="I16825"/>
      <c r="N16825"/>
      <c r="O16825" s="24"/>
      <c r="P16825"/>
      <c r="Q16825" s="24"/>
      <c r="R16825"/>
      <c r="S16825"/>
      <c r="T16825"/>
      <c r="U16825"/>
      <c r="X16825" s="60"/>
    </row>
    <row r="16826" spans="7:24" ht="15" customHeight="1">
      <c r="G16826"/>
      <c r="I16826"/>
      <c r="N16826"/>
      <c r="O16826" s="24"/>
      <c r="P16826"/>
      <c r="Q16826" s="24"/>
      <c r="R16826"/>
      <c r="S16826"/>
      <c r="T16826"/>
      <c r="U16826"/>
      <c r="X16826" s="60"/>
    </row>
    <row r="16827" spans="7:24" ht="15" customHeight="1">
      <c r="G16827"/>
      <c r="I16827"/>
      <c r="N16827"/>
      <c r="O16827" s="24"/>
      <c r="P16827"/>
      <c r="Q16827" s="24"/>
      <c r="R16827"/>
      <c r="S16827"/>
      <c r="T16827"/>
      <c r="U16827"/>
      <c r="X16827" s="60"/>
    </row>
    <row r="16828" spans="7:24" ht="15" customHeight="1">
      <c r="G16828"/>
      <c r="I16828"/>
      <c r="N16828"/>
      <c r="O16828" s="24"/>
      <c r="P16828"/>
      <c r="Q16828" s="24"/>
      <c r="R16828"/>
      <c r="S16828"/>
      <c r="T16828"/>
      <c r="U16828"/>
      <c r="X16828" s="60"/>
    </row>
    <row r="16829" spans="7:24" ht="15" customHeight="1">
      <c r="G16829"/>
      <c r="I16829"/>
      <c r="N16829"/>
      <c r="O16829" s="24"/>
      <c r="P16829"/>
      <c r="Q16829" s="24"/>
      <c r="R16829"/>
      <c r="S16829"/>
      <c r="T16829"/>
      <c r="U16829"/>
      <c r="X16829" s="60"/>
    </row>
    <row r="16830" spans="7:24" ht="15" customHeight="1">
      <c r="G16830"/>
      <c r="I16830"/>
      <c r="N16830"/>
      <c r="O16830" s="24"/>
      <c r="P16830"/>
      <c r="Q16830" s="24"/>
      <c r="R16830"/>
      <c r="S16830"/>
      <c r="T16830"/>
      <c r="U16830"/>
      <c r="X16830" s="60"/>
    </row>
    <row r="16831" spans="7:24" ht="15" customHeight="1">
      <c r="G16831"/>
      <c r="I16831"/>
      <c r="N16831"/>
      <c r="O16831" s="24"/>
      <c r="P16831"/>
      <c r="Q16831" s="24"/>
      <c r="R16831"/>
      <c r="S16831"/>
      <c r="T16831"/>
      <c r="U16831"/>
      <c r="X16831" s="60"/>
    </row>
    <row r="16832" spans="7:24" ht="15" customHeight="1">
      <c r="G16832"/>
      <c r="I16832"/>
      <c r="N16832"/>
      <c r="O16832" s="24"/>
      <c r="P16832"/>
      <c r="Q16832" s="24"/>
      <c r="R16832"/>
      <c r="S16832"/>
      <c r="T16832"/>
      <c r="U16832"/>
      <c r="X16832" s="60"/>
    </row>
    <row r="16833" spans="7:24" ht="15" customHeight="1">
      <c r="G16833"/>
      <c r="I16833"/>
      <c r="N16833"/>
      <c r="O16833" s="24"/>
      <c r="P16833"/>
      <c r="Q16833" s="24"/>
      <c r="R16833"/>
      <c r="S16833"/>
      <c r="T16833"/>
      <c r="U16833"/>
      <c r="X16833" s="60"/>
    </row>
    <row r="16834" spans="7:24" ht="15" customHeight="1">
      <c r="G16834"/>
      <c r="I16834"/>
      <c r="N16834"/>
      <c r="O16834" s="24"/>
      <c r="P16834"/>
      <c r="Q16834" s="24"/>
      <c r="R16834"/>
      <c r="S16834"/>
      <c r="T16834"/>
      <c r="U16834"/>
      <c r="X16834" s="60"/>
    </row>
    <row r="16835" spans="7:24" ht="15" customHeight="1">
      <c r="G16835"/>
      <c r="I16835"/>
      <c r="N16835"/>
      <c r="O16835" s="24"/>
      <c r="P16835"/>
      <c r="Q16835" s="24"/>
      <c r="R16835"/>
      <c r="S16835"/>
      <c r="T16835"/>
      <c r="U16835"/>
      <c r="X16835" s="60"/>
    </row>
    <row r="16836" spans="7:24" ht="15" customHeight="1">
      <c r="G16836"/>
      <c r="I16836"/>
      <c r="N16836"/>
      <c r="O16836" s="24"/>
      <c r="P16836"/>
      <c r="Q16836" s="24"/>
      <c r="R16836"/>
      <c r="S16836"/>
      <c r="T16836"/>
      <c r="U16836"/>
      <c r="X16836" s="60"/>
    </row>
    <row r="16837" spans="7:24" ht="15" customHeight="1">
      <c r="G16837"/>
      <c r="I16837"/>
      <c r="N16837"/>
      <c r="O16837" s="24"/>
      <c r="P16837"/>
      <c r="Q16837" s="24"/>
      <c r="R16837"/>
      <c r="S16837"/>
      <c r="T16837"/>
      <c r="U16837"/>
      <c r="X16837" s="60"/>
    </row>
    <row r="16838" spans="7:24" ht="15" customHeight="1">
      <c r="G16838"/>
      <c r="I16838"/>
      <c r="N16838"/>
      <c r="O16838" s="24"/>
      <c r="P16838"/>
      <c r="Q16838" s="24"/>
      <c r="R16838"/>
      <c r="S16838"/>
      <c r="T16838"/>
      <c r="U16838"/>
      <c r="X16838" s="60"/>
    </row>
    <row r="16839" spans="7:24" ht="15" customHeight="1">
      <c r="G16839"/>
      <c r="I16839"/>
      <c r="N16839"/>
      <c r="O16839" s="24"/>
      <c r="P16839"/>
      <c r="Q16839" s="24"/>
      <c r="R16839"/>
      <c r="S16839"/>
      <c r="T16839"/>
      <c r="U16839"/>
      <c r="X16839" s="60"/>
    </row>
    <row r="16840" spans="7:24" ht="15" customHeight="1">
      <c r="G16840"/>
      <c r="I16840"/>
      <c r="N16840"/>
      <c r="O16840" s="24"/>
      <c r="P16840"/>
      <c r="Q16840" s="24"/>
      <c r="R16840"/>
      <c r="S16840"/>
      <c r="T16840"/>
      <c r="U16840"/>
      <c r="X16840" s="60"/>
    </row>
    <row r="16841" spans="7:24" ht="15" customHeight="1">
      <c r="G16841"/>
      <c r="I16841"/>
      <c r="N16841"/>
      <c r="O16841" s="24"/>
      <c r="P16841"/>
      <c r="Q16841" s="24"/>
      <c r="R16841"/>
      <c r="S16841"/>
      <c r="T16841"/>
      <c r="U16841"/>
      <c r="X16841" s="60"/>
    </row>
    <row r="16842" spans="7:24" ht="15" customHeight="1">
      <c r="G16842"/>
      <c r="I16842"/>
      <c r="N16842"/>
      <c r="O16842" s="24"/>
      <c r="P16842"/>
      <c r="Q16842" s="24"/>
      <c r="R16842"/>
      <c r="S16842"/>
      <c r="T16842"/>
      <c r="U16842"/>
      <c r="X16842" s="60"/>
    </row>
    <row r="16843" spans="7:24" ht="15" customHeight="1">
      <c r="G16843"/>
      <c r="I16843"/>
      <c r="N16843"/>
      <c r="O16843" s="24"/>
      <c r="P16843"/>
      <c r="Q16843" s="24"/>
      <c r="R16843"/>
      <c r="S16843"/>
      <c r="T16843"/>
      <c r="U16843"/>
      <c r="X16843" s="60"/>
    </row>
    <row r="16844" spans="7:24" ht="15" customHeight="1">
      <c r="G16844"/>
      <c r="I16844"/>
      <c r="N16844"/>
      <c r="O16844" s="24"/>
      <c r="P16844"/>
      <c r="Q16844" s="24"/>
      <c r="R16844"/>
      <c r="S16844"/>
      <c r="T16844"/>
      <c r="U16844"/>
      <c r="X16844" s="60"/>
    </row>
    <row r="16845" spans="7:24" ht="15" customHeight="1">
      <c r="G16845"/>
      <c r="I16845"/>
      <c r="N16845"/>
      <c r="O16845" s="24"/>
      <c r="P16845"/>
      <c r="Q16845" s="24"/>
      <c r="R16845"/>
      <c r="S16845"/>
      <c r="T16845"/>
      <c r="U16845"/>
      <c r="X16845" s="60"/>
    </row>
    <row r="16846" spans="7:24" ht="15" customHeight="1">
      <c r="G16846"/>
      <c r="I16846"/>
      <c r="N16846"/>
      <c r="O16846" s="24"/>
      <c r="P16846"/>
      <c r="Q16846" s="24"/>
      <c r="R16846"/>
      <c r="S16846"/>
      <c r="T16846"/>
      <c r="U16846"/>
      <c r="X16846" s="60"/>
    </row>
    <row r="16847" spans="7:24" ht="15" customHeight="1">
      <c r="G16847"/>
      <c r="I16847"/>
      <c r="N16847"/>
      <c r="O16847" s="24"/>
      <c r="P16847"/>
      <c r="Q16847" s="24"/>
      <c r="R16847"/>
      <c r="S16847"/>
      <c r="T16847"/>
      <c r="U16847"/>
      <c r="X16847" s="60"/>
    </row>
    <row r="16848" spans="7:24" ht="15" customHeight="1">
      <c r="G16848"/>
      <c r="I16848"/>
      <c r="N16848"/>
      <c r="O16848" s="24"/>
      <c r="P16848"/>
      <c r="Q16848" s="24"/>
      <c r="R16848"/>
      <c r="S16848"/>
      <c r="T16848"/>
      <c r="U16848"/>
      <c r="X16848" s="60"/>
    </row>
    <row r="16849" spans="7:24" ht="15" customHeight="1">
      <c r="G16849"/>
      <c r="I16849"/>
      <c r="N16849"/>
      <c r="O16849" s="24"/>
      <c r="P16849"/>
      <c r="Q16849" s="24"/>
      <c r="R16849"/>
      <c r="S16849"/>
      <c r="T16849"/>
      <c r="U16849"/>
      <c r="X16849" s="60"/>
    </row>
    <row r="16850" spans="7:24" ht="15" customHeight="1">
      <c r="G16850"/>
      <c r="I16850"/>
      <c r="N16850"/>
      <c r="O16850" s="24"/>
      <c r="P16850"/>
      <c r="Q16850" s="24"/>
      <c r="R16850"/>
      <c r="S16850"/>
      <c r="T16850"/>
      <c r="U16850"/>
      <c r="X16850" s="60"/>
    </row>
    <row r="16851" spans="7:24" ht="15" customHeight="1">
      <c r="G16851"/>
      <c r="I16851"/>
      <c r="N16851"/>
      <c r="O16851" s="24"/>
      <c r="P16851"/>
      <c r="Q16851" s="24"/>
      <c r="R16851"/>
      <c r="S16851"/>
      <c r="T16851"/>
      <c r="U16851"/>
      <c r="X16851" s="60"/>
    </row>
    <row r="16852" spans="7:24" ht="15" customHeight="1">
      <c r="G16852"/>
      <c r="I16852"/>
      <c r="N16852"/>
      <c r="O16852" s="24"/>
      <c r="P16852"/>
      <c r="Q16852" s="24"/>
      <c r="R16852"/>
      <c r="S16852"/>
      <c r="T16852"/>
      <c r="U16852"/>
      <c r="X16852" s="60"/>
    </row>
    <row r="16853" spans="7:24" ht="15" customHeight="1">
      <c r="G16853"/>
      <c r="I16853"/>
      <c r="N16853"/>
      <c r="O16853" s="24"/>
      <c r="P16853"/>
      <c r="Q16853" s="24"/>
      <c r="R16853"/>
      <c r="S16853"/>
      <c r="T16853"/>
      <c r="U16853"/>
      <c r="X16853" s="60"/>
    </row>
    <row r="16854" spans="7:24" ht="15" customHeight="1">
      <c r="G16854"/>
      <c r="I16854"/>
      <c r="N16854"/>
      <c r="O16854" s="24"/>
      <c r="P16854"/>
      <c r="Q16854" s="24"/>
      <c r="R16854"/>
      <c r="S16854"/>
      <c r="T16854"/>
      <c r="U16854"/>
      <c r="X16854" s="60"/>
    </row>
    <row r="16855" spans="7:24" ht="15" customHeight="1">
      <c r="G16855"/>
      <c r="I16855"/>
      <c r="N16855"/>
      <c r="O16855" s="24"/>
      <c r="P16855"/>
      <c r="Q16855" s="24"/>
      <c r="R16855"/>
      <c r="S16855"/>
      <c r="T16855"/>
      <c r="U16855"/>
      <c r="X16855" s="60"/>
    </row>
    <row r="16856" spans="7:24" ht="15" customHeight="1">
      <c r="G16856"/>
      <c r="I16856"/>
      <c r="N16856"/>
      <c r="O16856" s="24"/>
      <c r="P16856"/>
      <c r="Q16856" s="24"/>
      <c r="R16856"/>
      <c r="S16856"/>
      <c r="T16856"/>
      <c r="U16856"/>
      <c r="X16856" s="60"/>
    </row>
    <row r="16857" spans="7:24" ht="15" customHeight="1">
      <c r="G16857"/>
      <c r="I16857"/>
      <c r="N16857"/>
      <c r="O16857" s="24"/>
      <c r="P16857"/>
      <c r="Q16857" s="24"/>
      <c r="R16857"/>
      <c r="S16857"/>
      <c r="T16857"/>
      <c r="U16857"/>
      <c r="X16857" s="60"/>
    </row>
    <row r="16858" spans="7:24" ht="15" customHeight="1">
      <c r="G16858"/>
      <c r="I16858"/>
      <c r="N16858"/>
      <c r="O16858" s="24"/>
      <c r="P16858"/>
      <c r="Q16858" s="24"/>
      <c r="R16858"/>
      <c r="S16858"/>
      <c r="T16858"/>
      <c r="U16858"/>
      <c r="X16858" s="60"/>
    </row>
    <row r="16859" spans="7:24" ht="15" customHeight="1">
      <c r="G16859"/>
      <c r="I16859"/>
      <c r="N16859"/>
      <c r="O16859" s="24"/>
      <c r="P16859"/>
      <c r="Q16859" s="24"/>
      <c r="R16859"/>
      <c r="S16859"/>
      <c r="T16859"/>
      <c r="U16859"/>
      <c r="X16859" s="60"/>
    </row>
    <row r="16860" spans="7:24" ht="15" customHeight="1">
      <c r="G16860"/>
      <c r="I16860"/>
      <c r="N16860"/>
      <c r="O16860" s="24"/>
      <c r="P16860"/>
      <c r="Q16860" s="24"/>
      <c r="R16860"/>
      <c r="S16860"/>
      <c r="T16860"/>
      <c r="U16860"/>
      <c r="X16860" s="60"/>
    </row>
    <row r="16861" spans="7:24" ht="15" customHeight="1">
      <c r="G16861"/>
      <c r="I16861"/>
      <c r="N16861"/>
      <c r="O16861" s="24"/>
      <c r="P16861"/>
      <c r="Q16861" s="24"/>
      <c r="R16861"/>
      <c r="S16861"/>
      <c r="T16861"/>
      <c r="U16861"/>
      <c r="X16861" s="60"/>
    </row>
    <row r="16862" spans="7:24" ht="15" customHeight="1">
      <c r="G16862"/>
      <c r="I16862"/>
      <c r="N16862"/>
      <c r="O16862" s="24"/>
      <c r="P16862"/>
      <c r="Q16862" s="24"/>
      <c r="R16862"/>
      <c r="S16862"/>
      <c r="T16862"/>
      <c r="U16862"/>
      <c r="X16862" s="60"/>
    </row>
    <row r="16863" spans="7:24" ht="15" customHeight="1">
      <c r="G16863"/>
      <c r="I16863"/>
      <c r="N16863"/>
      <c r="O16863" s="24"/>
      <c r="P16863"/>
      <c r="Q16863" s="24"/>
      <c r="R16863"/>
      <c r="S16863"/>
      <c r="T16863"/>
      <c r="U16863"/>
      <c r="X16863" s="60"/>
    </row>
    <row r="16864" spans="7:24" ht="15" customHeight="1">
      <c r="G16864"/>
      <c r="I16864"/>
      <c r="N16864"/>
      <c r="O16864" s="24"/>
      <c r="P16864"/>
      <c r="Q16864" s="24"/>
      <c r="R16864"/>
      <c r="S16864"/>
      <c r="T16864"/>
      <c r="U16864"/>
      <c r="X16864" s="60"/>
    </row>
    <row r="16865" spans="7:24" ht="15" customHeight="1">
      <c r="G16865"/>
      <c r="I16865"/>
      <c r="N16865"/>
      <c r="O16865" s="24"/>
      <c r="P16865"/>
      <c r="Q16865" s="24"/>
      <c r="R16865"/>
      <c r="S16865"/>
      <c r="T16865"/>
      <c r="U16865"/>
      <c r="X16865" s="60"/>
    </row>
    <row r="16866" spans="7:24" ht="15" customHeight="1">
      <c r="G16866"/>
      <c r="I16866"/>
      <c r="N16866"/>
      <c r="O16866" s="24"/>
      <c r="P16866"/>
      <c r="Q16866" s="24"/>
      <c r="R16866"/>
      <c r="S16866"/>
      <c r="T16866"/>
      <c r="U16866"/>
      <c r="X16866" s="60"/>
    </row>
    <row r="16867" spans="7:24" ht="15" customHeight="1">
      <c r="G16867"/>
      <c r="I16867"/>
      <c r="N16867"/>
      <c r="O16867" s="24"/>
      <c r="P16867"/>
      <c r="Q16867" s="24"/>
      <c r="R16867"/>
      <c r="S16867"/>
      <c r="T16867"/>
      <c r="U16867"/>
      <c r="X16867" s="60"/>
    </row>
    <row r="16868" spans="7:24" ht="15" customHeight="1">
      <c r="G16868"/>
      <c r="I16868"/>
      <c r="N16868"/>
      <c r="O16868" s="24"/>
      <c r="P16868"/>
      <c r="Q16868" s="24"/>
      <c r="R16868"/>
      <c r="S16868"/>
      <c r="T16868"/>
      <c r="U16868"/>
      <c r="X16868" s="60"/>
    </row>
    <row r="16869" spans="7:24" ht="15" customHeight="1">
      <c r="G16869"/>
      <c r="I16869"/>
      <c r="N16869"/>
      <c r="O16869" s="24"/>
      <c r="P16869"/>
      <c r="Q16869" s="24"/>
      <c r="R16869"/>
      <c r="S16869"/>
      <c r="T16869"/>
      <c r="U16869"/>
      <c r="X16869" s="60"/>
    </row>
    <row r="16870" spans="7:24" ht="15" customHeight="1">
      <c r="G16870"/>
      <c r="I16870"/>
      <c r="N16870"/>
      <c r="O16870" s="24"/>
      <c r="P16870"/>
      <c r="Q16870" s="24"/>
      <c r="R16870"/>
      <c r="S16870"/>
      <c r="T16870"/>
      <c r="U16870"/>
      <c r="X16870" s="60"/>
    </row>
    <row r="16871" spans="7:24" ht="15" customHeight="1">
      <c r="G16871"/>
      <c r="I16871"/>
      <c r="N16871"/>
      <c r="O16871" s="24"/>
      <c r="P16871"/>
      <c r="Q16871" s="24"/>
      <c r="R16871"/>
      <c r="S16871"/>
      <c r="T16871"/>
      <c r="U16871"/>
      <c r="X16871" s="60"/>
    </row>
    <row r="16872" spans="7:24" ht="15" customHeight="1">
      <c r="G16872"/>
      <c r="I16872"/>
      <c r="N16872"/>
      <c r="O16872" s="24"/>
      <c r="P16872"/>
      <c r="Q16872" s="24"/>
      <c r="R16872"/>
      <c r="S16872"/>
      <c r="T16872"/>
      <c r="U16872"/>
      <c r="X16872" s="60"/>
    </row>
    <row r="16873" spans="7:24" ht="15" customHeight="1">
      <c r="G16873"/>
      <c r="I16873"/>
      <c r="N16873"/>
      <c r="O16873" s="24"/>
      <c r="P16873"/>
      <c r="Q16873" s="24"/>
      <c r="R16873"/>
      <c r="S16873"/>
      <c r="T16873"/>
      <c r="U16873"/>
      <c r="X16873" s="60"/>
    </row>
    <row r="16874" spans="7:24" ht="15" customHeight="1">
      <c r="G16874"/>
      <c r="I16874"/>
      <c r="N16874"/>
      <c r="O16874" s="24"/>
      <c r="P16874"/>
      <c r="Q16874" s="24"/>
      <c r="R16874"/>
      <c r="S16874"/>
      <c r="T16874"/>
      <c r="U16874"/>
      <c r="X16874" s="60"/>
    </row>
    <row r="16875" spans="7:24" ht="15" customHeight="1">
      <c r="G16875"/>
      <c r="I16875"/>
      <c r="N16875"/>
      <c r="O16875" s="24"/>
      <c r="P16875"/>
      <c r="Q16875" s="24"/>
      <c r="R16875"/>
      <c r="S16875"/>
      <c r="T16875"/>
      <c r="U16875"/>
      <c r="X16875" s="60"/>
    </row>
    <row r="16876" spans="7:24" ht="15" customHeight="1">
      <c r="G16876"/>
      <c r="I16876"/>
      <c r="N16876"/>
      <c r="O16876" s="24"/>
      <c r="P16876"/>
      <c r="Q16876" s="24"/>
      <c r="R16876"/>
      <c r="S16876"/>
      <c r="T16876"/>
      <c r="U16876"/>
      <c r="X16876" s="60"/>
    </row>
    <row r="16877" spans="7:24" ht="15" customHeight="1">
      <c r="G16877"/>
      <c r="I16877"/>
      <c r="N16877"/>
      <c r="O16877" s="24"/>
      <c r="P16877"/>
      <c r="Q16877" s="24"/>
      <c r="R16877"/>
      <c r="S16877"/>
      <c r="T16877"/>
      <c r="U16877"/>
      <c r="X16877" s="60"/>
    </row>
    <row r="16878" spans="7:24" ht="15" customHeight="1">
      <c r="G16878"/>
      <c r="I16878"/>
      <c r="N16878"/>
      <c r="O16878" s="24"/>
      <c r="P16878"/>
      <c r="Q16878" s="24"/>
      <c r="R16878"/>
      <c r="S16878"/>
      <c r="T16878"/>
      <c r="U16878"/>
      <c r="X16878" s="60"/>
    </row>
    <row r="16879" spans="7:24" ht="15" customHeight="1">
      <c r="G16879"/>
      <c r="I16879"/>
      <c r="N16879"/>
      <c r="O16879" s="24"/>
      <c r="P16879"/>
      <c r="Q16879" s="24"/>
      <c r="R16879"/>
      <c r="S16879"/>
      <c r="T16879"/>
      <c r="U16879"/>
      <c r="X16879" s="60"/>
    </row>
    <row r="16880" spans="7:24" ht="15" customHeight="1">
      <c r="G16880"/>
      <c r="I16880"/>
      <c r="N16880"/>
      <c r="O16880" s="24"/>
      <c r="P16880"/>
      <c r="Q16880" s="24"/>
      <c r="R16880"/>
      <c r="S16880"/>
      <c r="T16880"/>
      <c r="U16880"/>
      <c r="X16880" s="60"/>
    </row>
    <row r="16881" spans="7:24" ht="15" customHeight="1">
      <c r="G16881"/>
      <c r="I16881"/>
      <c r="N16881"/>
      <c r="O16881" s="24"/>
      <c r="P16881"/>
      <c r="Q16881" s="24"/>
      <c r="R16881"/>
      <c r="S16881"/>
      <c r="T16881"/>
      <c r="U16881"/>
      <c r="X16881" s="60"/>
    </row>
    <row r="16882" spans="7:24" ht="15" customHeight="1">
      <c r="G16882"/>
      <c r="I16882"/>
      <c r="N16882"/>
      <c r="O16882" s="24"/>
      <c r="P16882"/>
      <c r="Q16882" s="24"/>
      <c r="R16882"/>
      <c r="S16882"/>
      <c r="T16882"/>
      <c r="U16882"/>
      <c r="X16882" s="60"/>
    </row>
    <row r="16883" spans="7:24" ht="15" customHeight="1">
      <c r="G16883"/>
      <c r="I16883"/>
      <c r="N16883"/>
      <c r="O16883" s="24"/>
      <c r="P16883"/>
      <c r="Q16883" s="24"/>
      <c r="R16883"/>
      <c r="S16883"/>
      <c r="T16883"/>
      <c r="U16883"/>
      <c r="X16883" s="60"/>
    </row>
    <row r="16884" spans="7:24" ht="15" customHeight="1">
      <c r="G16884"/>
      <c r="I16884"/>
      <c r="N16884"/>
      <c r="O16884" s="24"/>
      <c r="P16884"/>
      <c r="Q16884" s="24"/>
      <c r="R16884"/>
      <c r="S16884"/>
      <c r="T16884"/>
      <c r="U16884"/>
      <c r="X16884" s="60"/>
    </row>
    <row r="16885" spans="7:24" ht="15" customHeight="1">
      <c r="G16885"/>
      <c r="I16885"/>
      <c r="N16885"/>
      <c r="O16885" s="24"/>
      <c r="P16885"/>
      <c r="Q16885" s="24"/>
      <c r="R16885"/>
      <c r="S16885"/>
      <c r="T16885"/>
      <c r="U16885"/>
      <c r="X16885" s="60"/>
    </row>
    <row r="16886" spans="7:24" ht="15" customHeight="1">
      <c r="G16886"/>
      <c r="I16886"/>
      <c r="N16886"/>
      <c r="O16886" s="24"/>
      <c r="P16886"/>
      <c r="Q16886" s="24"/>
      <c r="R16886"/>
      <c r="S16886"/>
      <c r="T16886"/>
      <c r="U16886"/>
      <c r="X16886" s="60"/>
    </row>
    <row r="16887" spans="7:24" ht="15" customHeight="1">
      <c r="G16887"/>
      <c r="I16887"/>
      <c r="N16887"/>
      <c r="O16887" s="24"/>
      <c r="P16887"/>
      <c r="Q16887" s="24"/>
      <c r="R16887"/>
      <c r="S16887"/>
      <c r="T16887"/>
      <c r="U16887"/>
      <c r="X16887" s="60"/>
    </row>
    <row r="16888" spans="7:24" ht="15" customHeight="1">
      <c r="G16888"/>
      <c r="I16888"/>
      <c r="N16888"/>
      <c r="O16888" s="24"/>
      <c r="P16888"/>
      <c r="Q16888" s="24"/>
      <c r="R16888"/>
      <c r="S16888"/>
      <c r="T16888"/>
      <c r="U16888"/>
      <c r="X16888" s="60"/>
    </row>
    <row r="16889" spans="7:24" ht="15" customHeight="1">
      <c r="G16889"/>
      <c r="I16889"/>
      <c r="N16889"/>
      <c r="O16889" s="24"/>
      <c r="P16889"/>
      <c r="Q16889" s="24"/>
      <c r="R16889"/>
      <c r="S16889"/>
      <c r="T16889"/>
      <c r="U16889"/>
      <c r="X16889" s="60"/>
    </row>
    <row r="16890" spans="7:24" ht="15" customHeight="1">
      <c r="G16890"/>
      <c r="I16890"/>
      <c r="N16890"/>
      <c r="O16890" s="24"/>
      <c r="P16890"/>
      <c r="Q16890" s="24"/>
      <c r="R16890"/>
      <c r="S16890"/>
      <c r="T16890"/>
      <c r="U16890"/>
      <c r="X16890" s="60"/>
    </row>
    <row r="16891" spans="7:24" ht="15" customHeight="1">
      <c r="G16891"/>
      <c r="I16891"/>
      <c r="N16891"/>
      <c r="O16891" s="24"/>
      <c r="P16891"/>
      <c r="Q16891" s="24"/>
      <c r="R16891"/>
      <c r="S16891"/>
      <c r="T16891"/>
      <c r="U16891"/>
      <c r="X16891" s="60"/>
    </row>
    <row r="16892" spans="7:24" ht="15" customHeight="1">
      <c r="G16892"/>
      <c r="I16892"/>
      <c r="N16892"/>
      <c r="O16892" s="24"/>
      <c r="P16892"/>
      <c r="Q16892" s="24"/>
      <c r="R16892"/>
      <c r="S16892"/>
      <c r="T16892"/>
      <c r="U16892"/>
      <c r="X16892" s="60"/>
    </row>
    <row r="16893" spans="7:24" ht="15" customHeight="1">
      <c r="G16893"/>
      <c r="I16893"/>
      <c r="N16893"/>
      <c r="O16893" s="24"/>
      <c r="P16893"/>
      <c r="Q16893" s="24"/>
      <c r="R16893"/>
      <c r="S16893"/>
      <c r="T16893"/>
      <c r="U16893"/>
      <c r="X16893" s="60"/>
    </row>
    <row r="16894" spans="7:24" ht="15" customHeight="1">
      <c r="G16894"/>
      <c r="I16894"/>
      <c r="N16894"/>
      <c r="O16894" s="24"/>
      <c r="P16894"/>
      <c r="Q16894" s="24"/>
      <c r="R16894"/>
      <c r="S16894"/>
      <c r="T16894"/>
      <c r="U16894"/>
      <c r="X16894" s="60"/>
    </row>
    <row r="16895" spans="7:24" ht="15" customHeight="1">
      <c r="G16895"/>
      <c r="I16895"/>
      <c r="N16895"/>
      <c r="O16895" s="24"/>
      <c r="P16895"/>
      <c r="Q16895" s="24"/>
      <c r="R16895"/>
      <c r="S16895"/>
      <c r="T16895"/>
      <c r="U16895"/>
      <c r="X16895" s="60"/>
    </row>
    <row r="16896" spans="7:24" ht="15" customHeight="1">
      <c r="G16896"/>
      <c r="I16896"/>
      <c r="N16896"/>
      <c r="O16896" s="24"/>
      <c r="P16896"/>
      <c r="Q16896" s="24"/>
      <c r="R16896"/>
      <c r="S16896"/>
      <c r="T16896"/>
      <c r="U16896"/>
      <c r="X16896" s="60"/>
    </row>
    <row r="16897" spans="7:24" ht="15" customHeight="1">
      <c r="G16897"/>
      <c r="I16897"/>
      <c r="N16897"/>
      <c r="O16897" s="24"/>
      <c r="P16897"/>
      <c r="Q16897" s="24"/>
      <c r="R16897"/>
      <c r="S16897"/>
      <c r="T16897"/>
      <c r="U16897"/>
      <c r="X16897" s="60"/>
    </row>
    <row r="16898" spans="7:24" ht="15" customHeight="1">
      <c r="G16898"/>
      <c r="I16898"/>
      <c r="N16898"/>
      <c r="O16898" s="24"/>
      <c r="P16898"/>
      <c r="Q16898" s="24"/>
      <c r="R16898"/>
      <c r="S16898"/>
      <c r="T16898"/>
      <c r="U16898"/>
      <c r="X16898" s="60"/>
    </row>
    <row r="16899" spans="7:24" ht="15" customHeight="1">
      <c r="G16899"/>
      <c r="I16899"/>
      <c r="N16899"/>
      <c r="O16899" s="24"/>
      <c r="P16899"/>
      <c r="Q16899" s="24"/>
      <c r="R16899"/>
      <c r="S16899"/>
      <c r="T16899"/>
      <c r="U16899"/>
      <c r="X16899" s="60"/>
    </row>
    <row r="16900" spans="7:24" ht="15" customHeight="1">
      <c r="G16900"/>
      <c r="I16900"/>
      <c r="N16900"/>
      <c r="O16900" s="24"/>
      <c r="P16900"/>
      <c r="Q16900" s="24"/>
      <c r="R16900"/>
      <c r="S16900"/>
      <c r="T16900"/>
      <c r="U16900"/>
      <c r="X16900" s="60"/>
    </row>
    <row r="16901" spans="7:24" ht="15" customHeight="1">
      <c r="G16901"/>
      <c r="I16901"/>
      <c r="N16901"/>
      <c r="O16901" s="24"/>
      <c r="P16901"/>
      <c r="Q16901" s="24"/>
      <c r="R16901"/>
      <c r="S16901"/>
      <c r="T16901"/>
      <c r="U16901"/>
      <c r="X16901" s="60"/>
    </row>
    <row r="16902" spans="7:24" ht="15" customHeight="1">
      <c r="G16902"/>
      <c r="I16902"/>
      <c r="N16902"/>
      <c r="O16902" s="24"/>
      <c r="P16902"/>
      <c r="Q16902" s="24"/>
      <c r="R16902"/>
      <c r="S16902"/>
      <c r="T16902"/>
      <c r="U16902"/>
      <c r="X16902" s="60"/>
    </row>
    <row r="16903" spans="7:24" ht="15" customHeight="1">
      <c r="G16903"/>
      <c r="I16903"/>
      <c r="N16903"/>
      <c r="O16903" s="24"/>
      <c r="P16903"/>
      <c r="Q16903" s="24"/>
      <c r="R16903"/>
      <c r="S16903"/>
      <c r="T16903"/>
      <c r="U16903"/>
      <c r="X16903" s="60"/>
    </row>
    <row r="16904" spans="7:24" ht="15" customHeight="1">
      <c r="G16904"/>
      <c r="I16904"/>
      <c r="N16904"/>
      <c r="O16904" s="24"/>
      <c r="P16904"/>
      <c r="Q16904" s="24"/>
      <c r="R16904"/>
      <c r="S16904"/>
      <c r="T16904"/>
      <c r="U16904"/>
      <c r="X16904" s="60"/>
    </row>
    <row r="16905" spans="7:24" ht="15" customHeight="1">
      <c r="G16905"/>
      <c r="I16905"/>
      <c r="N16905"/>
      <c r="O16905" s="24"/>
      <c r="P16905"/>
      <c r="Q16905" s="24"/>
      <c r="R16905"/>
      <c r="S16905"/>
      <c r="T16905"/>
      <c r="U16905"/>
      <c r="X16905" s="60"/>
    </row>
    <row r="16906" spans="7:24" ht="15" customHeight="1">
      <c r="G16906"/>
      <c r="I16906"/>
      <c r="N16906"/>
      <c r="O16906" s="24"/>
      <c r="P16906"/>
      <c r="Q16906" s="24"/>
      <c r="R16906"/>
      <c r="S16906"/>
      <c r="T16906"/>
      <c r="U16906"/>
      <c r="X16906" s="60"/>
    </row>
    <row r="16907" spans="7:24" ht="15" customHeight="1">
      <c r="G16907"/>
      <c r="I16907"/>
      <c r="N16907"/>
      <c r="O16907" s="24"/>
      <c r="P16907"/>
      <c r="Q16907" s="24"/>
      <c r="R16907"/>
      <c r="S16907"/>
      <c r="T16907"/>
      <c r="U16907"/>
      <c r="X16907" s="60"/>
    </row>
    <row r="16908" spans="7:24" ht="15" customHeight="1">
      <c r="G16908"/>
      <c r="I16908"/>
      <c r="N16908"/>
      <c r="O16908" s="24"/>
      <c r="P16908"/>
      <c r="Q16908" s="24"/>
      <c r="R16908"/>
      <c r="S16908"/>
      <c r="T16908"/>
      <c r="U16908"/>
      <c r="X16908" s="60"/>
    </row>
    <row r="16909" spans="7:24" ht="15" customHeight="1">
      <c r="G16909"/>
      <c r="I16909"/>
      <c r="N16909"/>
      <c r="O16909" s="24"/>
      <c r="P16909"/>
      <c r="Q16909" s="24"/>
      <c r="R16909"/>
      <c r="S16909"/>
      <c r="T16909"/>
      <c r="U16909"/>
      <c r="X16909" s="60"/>
    </row>
    <row r="16910" spans="7:24" ht="15" customHeight="1">
      <c r="G16910"/>
      <c r="I16910"/>
      <c r="N16910"/>
      <c r="O16910" s="24"/>
      <c r="P16910"/>
      <c r="Q16910" s="24"/>
      <c r="R16910"/>
      <c r="S16910"/>
      <c r="T16910"/>
      <c r="U16910"/>
      <c r="X16910" s="60"/>
    </row>
    <row r="16911" spans="7:24" ht="15" customHeight="1">
      <c r="G16911"/>
      <c r="I16911"/>
      <c r="N16911"/>
      <c r="O16911" s="24"/>
      <c r="P16911"/>
      <c r="Q16911" s="24"/>
      <c r="R16911"/>
      <c r="S16911"/>
      <c r="T16911"/>
      <c r="U16911"/>
      <c r="X16911" s="60"/>
    </row>
    <row r="16912" spans="7:24" ht="15" customHeight="1">
      <c r="G16912"/>
      <c r="I16912"/>
      <c r="N16912"/>
      <c r="O16912" s="24"/>
      <c r="P16912"/>
      <c r="Q16912" s="24"/>
      <c r="R16912"/>
      <c r="S16912"/>
      <c r="T16912"/>
      <c r="U16912"/>
      <c r="X16912" s="60"/>
    </row>
    <row r="16913" spans="7:24" ht="15" customHeight="1">
      <c r="G16913"/>
      <c r="I16913"/>
      <c r="N16913"/>
      <c r="O16913" s="24"/>
      <c r="P16913"/>
      <c r="Q16913" s="24"/>
      <c r="R16913"/>
      <c r="S16913"/>
      <c r="T16913"/>
      <c r="U16913"/>
      <c r="X16913" s="60"/>
    </row>
    <row r="16914" spans="7:24" ht="15" customHeight="1">
      <c r="G16914"/>
      <c r="I16914"/>
      <c r="N16914"/>
      <c r="O16914" s="24"/>
      <c r="P16914"/>
      <c r="Q16914" s="24"/>
      <c r="R16914"/>
      <c r="S16914"/>
      <c r="T16914"/>
      <c r="U16914"/>
      <c r="X16914" s="60"/>
    </row>
    <row r="16915" spans="7:24" ht="15" customHeight="1">
      <c r="G16915"/>
      <c r="I16915"/>
      <c r="N16915"/>
      <c r="O16915" s="24"/>
      <c r="P16915"/>
      <c r="Q16915" s="24"/>
      <c r="R16915"/>
      <c r="S16915"/>
      <c r="T16915"/>
      <c r="U16915"/>
      <c r="X16915" s="60"/>
    </row>
    <row r="16916" spans="7:24" ht="15" customHeight="1">
      <c r="G16916"/>
      <c r="I16916"/>
      <c r="N16916"/>
      <c r="O16916" s="24"/>
      <c r="P16916"/>
      <c r="Q16916" s="24"/>
      <c r="R16916"/>
      <c r="S16916"/>
      <c r="T16916"/>
      <c r="U16916"/>
      <c r="X16916" s="60"/>
    </row>
    <row r="16917" spans="7:24" ht="15" customHeight="1">
      <c r="G16917"/>
      <c r="I16917"/>
      <c r="N16917"/>
      <c r="O16917" s="24"/>
      <c r="P16917"/>
      <c r="Q16917" s="24"/>
      <c r="R16917"/>
      <c r="S16917"/>
      <c r="T16917"/>
      <c r="U16917"/>
      <c r="X16917" s="60"/>
    </row>
    <row r="16918" spans="7:24" ht="15" customHeight="1">
      <c r="G16918"/>
      <c r="I16918"/>
      <c r="N16918"/>
      <c r="O16918" s="24"/>
      <c r="P16918"/>
      <c r="Q16918" s="24"/>
      <c r="R16918"/>
      <c r="S16918"/>
      <c r="T16918"/>
      <c r="U16918"/>
      <c r="X16918" s="60"/>
    </row>
    <row r="16919" spans="7:24" ht="15" customHeight="1">
      <c r="G16919"/>
      <c r="I16919"/>
      <c r="N16919"/>
      <c r="O16919" s="24"/>
      <c r="P16919"/>
      <c r="Q16919" s="24"/>
      <c r="R16919"/>
      <c r="S16919"/>
      <c r="T16919"/>
      <c r="U16919"/>
      <c r="X16919" s="60"/>
    </row>
    <row r="16920" spans="7:24" ht="15" customHeight="1">
      <c r="G16920"/>
      <c r="I16920"/>
      <c r="N16920"/>
      <c r="O16920" s="24"/>
      <c r="P16920"/>
      <c r="Q16920" s="24"/>
      <c r="R16920"/>
      <c r="S16920"/>
      <c r="T16920"/>
      <c r="U16920"/>
      <c r="X16920" s="60"/>
    </row>
    <row r="16921" spans="7:24" ht="15" customHeight="1">
      <c r="G16921"/>
      <c r="I16921"/>
      <c r="N16921"/>
      <c r="O16921" s="24"/>
      <c r="P16921"/>
      <c r="Q16921" s="24"/>
      <c r="R16921"/>
      <c r="S16921"/>
      <c r="T16921"/>
      <c r="U16921"/>
      <c r="X16921" s="60"/>
    </row>
    <row r="16922" spans="7:24" ht="15" customHeight="1">
      <c r="G16922"/>
      <c r="I16922"/>
      <c r="N16922"/>
      <c r="O16922" s="24"/>
      <c r="P16922"/>
      <c r="Q16922" s="24"/>
      <c r="R16922"/>
      <c r="S16922"/>
      <c r="T16922"/>
      <c r="U16922"/>
      <c r="X16922" s="60"/>
    </row>
    <row r="16923" spans="7:24" ht="15" customHeight="1">
      <c r="G16923"/>
      <c r="I16923"/>
      <c r="N16923"/>
      <c r="O16923" s="24"/>
      <c r="P16923"/>
      <c r="Q16923" s="24"/>
      <c r="R16923"/>
      <c r="S16923"/>
      <c r="T16923"/>
      <c r="U16923"/>
      <c r="X16923" s="60"/>
    </row>
    <row r="16924" spans="7:24" ht="15" customHeight="1">
      <c r="G16924"/>
      <c r="I16924"/>
      <c r="N16924"/>
      <c r="O16924" s="24"/>
      <c r="P16924"/>
      <c r="Q16924" s="24"/>
      <c r="R16924"/>
      <c r="S16924"/>
      <c r="T16924"/>
      <c r="U16924"/>
      <c r="X16924" s="60"/>
    </row>
    <row r="16925" spans="7:24" ht="15" customHeight="1">
      <c r="G16925"/>
      <c r="I16925"/>
      <c r="N16925"/>
      <c r="O16925" s="24"/>
      <c r="P16925"/>
      <c r="Q16925" s="24"/>
      <c r="R16925"/>
      <c r="S16925"/>
      <c r="T16925"/>
      <c r="U16925"/>
      <c r="X16925" s="60"/>
    </row>
    <row r="16926" spans="7:24" ht="15" customHeight="1">
      <c r="G16926"/>
      <c r="I16926"/>
      <c r="N16926"/>
      <c r="O16926" s="24"/>
      <c r="P16926"/>
      <c r="Q16926" s="24"/>
      <c r="R16926"/>
      <c r="S16926"/>
      <c r="T16926"/>
      <c r="U16926"/>
      <c r="X16926" s="60"/>
    </row>
    <row r="16927" spans="7:24" ht="15" customHeight="1">
      <c r="G16927"/>
      <c r="I16927"/>
      <c r="N16927"/>
      <c r="O16927" s="24"/>
      <c r="P16927"/>
      <c r="Q16927" s="24"/>
      <c r="R16927"/>
      <c r="S16927"/>
      <c r="T16927"/>
      <c r="U16927"/>
      <c r="X16927" s="60"/>
    </row>
    <row r="16928" spans="7:24" ht="15" customHeight="1">
      <c r="G16928"/>
      <c r="I16928"/>
      <c r="N16928"/>
      <c r="O16928" s="24"/>
      <c r="P16928"/>
      <c r="Q16928" s="24"/>
      <c r="R16928"/>
      <c r="S16928"/>
      <c r="T16928"/>
      <c r="U16928"/>
      <c r="X16928" s="60"/>
    </row>
    <row r="16929" spans="7:24" ht="15" customHeight="1">
      <c r="G16929"/>
      <c r="I16929"/>
      <c r="N16929"/>
      <c r="O16929" s="24"/>
      <c r="P16929"/>
      <c r="Q16929" s="24"/>
      <c r="R16929"/>
      <c r="S16929"/>
      <c r="T16929"/>
      <c r="U16929"/>
      <c r="X16929" s="60"/>
    </row>
    <row r="16930" spans="7:24" ht="15" customHeight="1">
      <c r="G16930"/>
      <c r="I16930"/>
      <c r="N16930"/>
      <c r="O16930" s="24"/>
      <c r="P16930"/>
      <c r="Q16930" s="24"/>
      <c r="R16930"/>
      <c r="S16930"/>
      <c r="T16930"/>
      <c r="U16930"/>
      <c r="X16930" s="60"/>
    </row>
    <row r="16931" spans="7:24" ht="15" customHeight="1">
      <c r="G16931"/>
      <c r="I16931"/>
      <c r="N16931"/>
      <c r="O16931" s="24"/>
      <c r="P16931"/>
      <c r="Q16931" s="24"/>
      <c r="R16931"/>
      <c r="S16931"/>
      <c r="T16931"/>
      <c r="U16931"/>
      <c r="X16931" s="60"/>
    </row>
    <row r="16932" spans="7:24" ht="15" customHeight="1">
      <c r="G16932"/>
      <c r="I16932"/>
      <c r="N16932"/>
      <c r="O16932" s="24"/>
      <c r="P16932"/>
      <c r="Q16932" s="24"/>
      <c r="R16932"/>
      <c r="S16932"/>
      <c r="T16932"/>
      <c r="U16932"/>
      <c r="X16932" s="60"/>
    </row>
    <row r="16933" spans="7:24" ht="15" customHeight="1">
      <c r="G16933"/>
      <c r="I16933"/>
      <c r="N16933"/>
      <c r="O16933" s="24"/>
      <c r="P16933"/>
      <c r="Q16933" s="24"/>
      <c r="R16933"/>
      <c r="S16933"/>
      <c r="T16933"/>
      <c r="U16933"/>
      <c r="X16933" s="60"/>
    </row>
    <row r="16934" spans="7:24" ht="15" customHeight="1">
      <c r="G16934"/>
      <c r="I16934"/>
      <c r="N16934"/>
      <c r="O16934" s="24"/>
      <c r="P16934"/>
      <c r="Q16934" s="24"/>
      <c r="R16934"/>
      <c r="S16934"/>
      <c r="T16934"/>
      <c r="U16934"/>
      <c r="X16934" s="60"/>
    </row>
    <row r="16935" spans="7:24" ht="15" customHeight="1">
      <c r="G16935"/>
      <c r="I16935"/>
      <c r="N16935"/>
      <c r="O16935" s="24"/>
      <c r="P16935"/>
      <c r="Q16935" s="24"/>
      <c r="R16935"/>
      <c r="S16935"/>
      <c r="T16935"/>
      <c r="U16935"/>
      <c r="X16935" s="60"/>
    </row>
    <row r="16936" spans="7:24" ht="15" customHeight="1">
      <c r="G16936"/>
      <c r="I16936"/>
      <c r="N16936"/>
      <c r="O16936" s="24"/>
      <c r="P16936"/>
      <c r="Q16936" s="24"/>
      <c r="R16936"/>
      <c r="S16936"/>
      <c r="T16936"/>
      <c r="U16936"/>
      <c r="X16936" s="60"/>
    </row>
    <row r="16937" spans="7:24" ht="15" customHeight="1">
      <c r="G16937"/>
      <c r="I16937"/>
      <c r="N16937"/>
      <c r="O16937" s="24"/>
      <c r="P16937"/>
      <c r="Q16937" s="24"/>
      <c r="R16937"/>
      <c r="S16937"/>
      <c r="T16937"/>
      <c r="U16937"/>
      <c r="X16937" s="60"/>
    </row>
    <row r="16938" spans="7:24" ht="15" customHeight="1">
      <c r="G16938"/>
      <c r="I16938"/>
      <c r="N16938"/>
      <c r="O16938" s="24"/>
      <c r="P16938"/>
      <c r="Q16938" s="24"/>
      <c r="R16938"/>
      <c r="S16938"/>
      <c r="T16938"/>
      <c r="U16938"/>
      <c r="X16938" s="60"/>
    </row>
    <row r="16939" spans="7:24" ht="15" customHeight="1">
      <c r="G16939"/>
      <c r="I16939"/>
      <c r="N16939"/>
      <c r="O16939" s="24"/>
      <c r="P16939"/>
      <c r="Q16939" s="24"/>
      <c r="R16939"/>
      <c r="S16939"/>
      <c r="T16939"/>
      <c r="U16939"/>
      <c r="X16939" s="60"/>
    </row>
    <row r="16940" spans="7:24" ht="15" customHeight="1">
      <c r="G16940"/>
      <c r="I16940"/>
      <c r="N16940"/>
      <c r="O16940" s="24"/>
      <c r="P16940"/>
      <c r="Q16940" s="24"/>
      <c r="R16940"/>
      <c r="S16940"/>
      <c r="T16940"/>
      <c r="U16940"/>
      <c r="X16940" s="60"/>
    </row>
    <row r="16941" spans="7:24" ht="15" customHeight="1">
      <c r="G16941"/>
      <c r="I16941"/>
      <c r="N16941"/>
      <c r="O16941" s="24"/>
      <c r="P16941"/>
      <c r="Q16941" s="24"/>
      <c r="R16941"/>
      <c r="S16941"/>
      <c r="T16941"/>
      <c r="U16941"/>
      <c r="X16941" s="60"/>
    </row>
    <row r="16942" spans="7:24" ht="15" customHeight="1">
      <c r="G16942"/>
      <c r="I16942"/>
      <c r="N16942"/>
      <c r="O16942" s="24"/>
      <c r="P16942"/>
      <c r="Q16942" s="24"/>
      <c r="R16942"/>
      <c r="S16942"/>
      <c r="T16942"/>
      <c r="U16942"/>
      <c r="X16942" s="60"/>
    </row>
    <row r="16943" spans="7:24" ht="15" customHeight="1">
      <c r="G16943"/>
      <c r="I16943"/>
      <c r="N16943"/>
      <c r="O16943" s="24"/>
      <c r="P16943"/>
      <c r="Q16943" s="24"/>
      <c r="R16943"/>
      <c r="S16943"/>
      <c r="T16943"/>
      <c r="U16943"/>
      <c r="X16943" s="60"/>
    </row>
    <row r="16944" spans="7:24" ht="15" customHeight="1">
      <c r="G16944"/>
      <c r="I16944"/>
      <c r="N16944"/>
      <c r="O16944" s="24"/>
      <c r="P16944"/>
      <c r="Q16944" s="24"/>
      <c r="R16944"/>
      <c r="S16944"/>
      <c r="T16944"/>
      <c r="U16944"/>
      <c r="X16944" s="60"/>
    </row>
    <row r="16945" spans="7:24" ht="15" customHeight="1">
      <c r="G16945"/>
      <c r="I16945"/>
      <c r="N16945"/>
      <c r="O16945" s="24"/>
      <c r="P16945"/>
      <c r="Q16945" s="24"/>
      <c r="R16945"/>
      <c r="S16945"/>
      <c r="T16945"/>
      <c r="U16945"/>
      <c r="X16945" s="60"/>
    </row>
    <row r="16946" spans="7:24" ht="15" customHeight="1">
      <c r="G16946"/>
      <c r="I16946"/>
      <c r="N16946"/>
      <c r="O16946" s="24"/>
      <c r="P16946"/>
      <c r="Q16946" s="24"/>
      <c r="R16946"/>
      <c r="S16946"/>
      <c r="T16946"/>
      <c r="U16946"/>
      <c r="X16946" s="60"/>
    </row>
    <row r="16947" spans="7:24" ht="15" customHeight="1">
      <c r="G16947"/>
      <c r="I16947"/>
      <c r="N16947"/>
      <c r="O16947" s="24"/>
      <c r="P16947"/>
      <c r="Q16947" s="24"/>
      <c r="R16947"/>
      <c r="S16947"/>
      <c r="T16947"/>
      <c r="U16947"/>
      <c r="X16947" s="60"/>
    </row>
    <row r="16948" spans="7:24" ht="15" customHeight="1">
      <c r="G16948"/>
      <c r="I16948"/>
      <c r="N16948"/>
      <c r="O16948" s="24"/>
      <c r="P16948"/>
      <c r="Q16948" s="24"/>
      <c r="R16948"/>
      <c r="S16948"/>
      <c r="T16948"/>
      <c r="U16948"/>
      <c r="X16948" s="60"/>
    </row>
    <row r="16949" spans="7:24" ht="15" customHeight="1">
      <c r="G16949"/>
      <c r="I16949"/>
      <c r="N16949"/>
      <c r="O16949" s="24"/>
      <c r="P16949"/>
      <c r="Q16949" s="24"/>
      <c r="R16949"/>
      <c r="S16949"/>
      <c r="T16949"/>
      <c r="U16949"/>
      <c r="X16949" s="60"/>
    </row>
    <row r="16950" spans="7:24" ht="15" customHeight="1">
      <c r="G16950"/>
      <c r="I16950"/>
      <c r="N16950"/>
      <c r="O16950" s="24"/>
      <c r="P16950"/>
      <c r="Q16950" s="24"/>
      <c r="R16950"/>
      <c r="S16950"/>
      <c r="T16950"/>
      <c r="U16950"/>
      <c r="X16950" s="60"/>
    </row>
    <row r="16951" spans="7:24" ht="15" customHeight="1">
      <c r="G16951"/>
      <c r="I16951"/>
      <c r="N16951"/>
      <c r="O16951" s="24"/>
      <c r="P16951"/>
      <c r="Q16951" s="24"/>
      <c r="R16951"/>
      <c r="S16951"/>
      <c r="T16951"/>
      <c r="U16951"/>
      <c r="X16951" s="60"/>
    </row>
    <row r="16952" spans="7:24" ht="15" customHeight="1">
      <c r="G16952"/>
      <c r="I16952"/>
      <c r="N16952"/>
      <c r="O16952" s="24"/>
      <c r="P16952"/>
      <c r="Q16952" s="24"/>
      <c r="R16952"/>
      <c r="S16952"/>
      <c r="T16952"/>
      <c r="U16952"/>
      <c r="X16952" s="60"/>
    </row>
    <row r="16953" spans="7:24" ht="15" customHeight="1">
      <c r="G16953"/>
      <c r="I16953"/>
      <c r="N16953"/>
      <c r="O16953" s="24"/>
      <c r="P16953"/>
      <c r="Q16953" s="24"/>
      <c r="R16953"/>
      <c r="S16953"/>
      <c r="T16953"/>
      <c r="U16953"/>
      <c r="X16953" s="60"/>
    </row>
    <row r="16954" spans="7:24" ht="15" customHeight="1">
      <c r="G16954"/>
      <c r="I16954"/>
      <c r="N16954"/>
      <c r="O16954" s="24"/>
      <c r="P16954"/>
      <c r="Q16954" s="24"/>
      <c r="R16954"/>
      <c r="S16954"/>
      <c r="T16954"/>
      <c r="U16954"/>
      <c r="X16954" s="60"/>
    </row>
    <row r="16955" spans="7:24" ht="15" customHeight="1">
      <c r="G16955"/>
      <c r="I16955"/>
      <c r="N16955"/>
      <c r="O16955" s="24"/>
      <c r="P16955"/>
      <c r="Q16955" s="24"/>
      <c r="R16955"/>
      <c r="S16955"/>
      <c r="T16955"/>
      <c r="U16955"/>
      <c r="X16955" s="60"/>
    </row>
    <row r="16956" spans="7:24" ht="15" customHeight="1">
      <c r="G16956"/>
      <c r="I16956"/>
      <c r="N16956"/>
      <c r="O16956" s="24"/>
      <c r="P16956"/>
      <c r="Q16956" s="24"/>
      <c r="R16956"/>
      <c r="S16956"/>
      <c r="T16956"/>
      <c r="U16956"/>
      <c r="X16956" s="60"/>
    </row>
    <row r="16957" spans="7:24" ht="15" customHeight="1">
      <c r="G16957"/>
      <c r="I16957"/>
      <c r="N16957"/>
      <c r="O16957" s="24"/>
      <c r="P16957"/>
      <c r="Q16957" s="24"/>
      <c r="R16957"/>
      <c r="S16957"/>
      <c r="T16957"/>
      <c r="U16957"/>
      <c r="X16957" s="60"/>
    </row>
    <row r="16958" spans="7:24" ht="15" customHeight="1">
      <c r="G16958"/>
      <c r="I16958"/>
      <c r="N16958"/>
      <c r="O16958" s="24"/>
      <c r="P16958"/>
      <c r="Q16958" s="24"/>
      <c r="R16958"/>
      <c r="S16958"/>
      <c r="T16958"/>
      <c r="U16958"/>
      <c r="X16958" s="60"/>
    </row>
    <row r="16959" spans="7:24" ht="15" customHeight="1">
      <c r="G16959"/>
      <c r="I16959"/>
      <c r="N16959"/>
      <c r="O16959" s="24"/>
      <c r="P16959"/>
      <c r="Q16959" s="24"/>
      <c r="R16959"/>
      <c r="S16959"/>
      <c r="T16959"/>
      <c r="U16959"/>
      <c r="X16959" s="60"/>
    </row>
    <row r="16960" spans="7:24" ht="15" customHeight="1">
      <c r="G16960"/>
      <c r="I16960"/>
      <c r="N16960"/>
      <c r="O16960" s="24"/>
      <c r="P16960"/>
      <c r="Q16960" s="24"/>
      <c r="R16960"/>
      <c r="S16960"/>
      <c r="T16960"/>
      <c r="U16960"/>
      <c r="X16960" s="60"/>
    </row>
    <row r="16961" spans="7:24" ht="15" customHeight="1">
      <c r="G16961"/>
      <c r="I16961"/>
      <c r="N16961"/>
      <c r="O16961" s="24"/>
      <c r="P16961"/>
      <c r="Q16961" s="24"/>
      <c r="R16961"/>
      <c r="S16961"/>
      <c r="T16961"/>
      <c r="U16961"/>
      <c r="X16961" s="60"/>
    </row>
    <row r="16962" spans="7:24" ht="15" customHeight="1">
      <c r="G16962"/>
      <c r="I16962"/>
      <c r="N16962"/>
      <c r="O16962" s="24"/>
      <c r="P16962"/>
      <c r="Q16962" s="24"/>
      <c r="R16962"/>
      <c r="S16962"/>
      <c r="T16962"/>
      <c r="U16962"/>
      <c r="X16962" s="60"/>
    </row>
    <row r="16963" spans="7:24" ht="15" customHeight="1">
      <c r="G16963"/>
      <c r="I16963"/>
      <c r="N16963"/>
      <c r="O16963" s="24"/>
      <c r="P16963"/>
      <c r="Q16963" s="24"/>
      <c r="R16963"/>
      <c r="S16963"/>
      <c r="T16963"/>
      <c r="U16963"/>
      <c r="X16963" s="60"/>
    </row>
    <row r="16964" spans="7:24" ht="15" customHeight="1">
      <c r="G16964"/>
      <c r="I16964"/>
      <c r="N16964"/>
      <c r="O16964" s="24"/>
      <c r="P16964"/>
      <c r="Q16964" s="24"/>
      <c r="R16964"/>
      <c r="S16964"/>
      <c r="T16964"/>
      <c r="U16964"/>
      <c r="X16964" s="60"/>
    </row>
    <row r="16965" spans="7:24" ht="15" customHeight="1">
      <c r="G16965"/>
      <c r="I16965"/>
      <c r="N16965"/>
      <c r="O16965" s="24"/>
      <c r="P16965"/>
      <c r="Q16965" s="24"/>
      <c r="R16965"/>
      <c r="S16965"/>
      <c r="T16965"/>
      <c r="U16965"/>
      <c r="X16965" s="60"/>
    </row>
    <row r="16966" spans="7:24" ht="15" customHeight="1">
      <c r="G16966"/>
      <c r="I16966"/>
      <c r="N16966"/>
      <c r="O16966" s="24"/>
      <c r="P16966"/>
      <c r="Q16966" s="24"/>
      <c r="R16966"/>
      <c r="S16966"/>
      <c r="T16966"/>
      <c r="U16966"/>
      <c r="X16966" s="60"/>
    </row>
    <row r="16967" spans="7:24" ht="15" customHeight="1">
      <c r="G16967"/>
      <c r="I16967"/>
      <c r="N16967"/>
      <c r="O16967" s="24"/>
      <c r="P16967"/>
      <c r="Q16967" s="24"/>
      <c r="R16967"/>
      <c r="S16967"/>
      <c r="T16967"/>
      <c r="U16967"/>
      <c r="X16967" s="60"/>
    </row>
    <row r="16968" spans="7:24" ht="15" customHeight="1">
      <c r="G16968"/>
      <c r="I16968"/>
      <c r="N16968"/>
      <c r="O16968" s="24"/>
      <c r="P16968"/>
      <c r="Q16968" s="24"/>
      <c r="R16968"/>
      <c r="S16968"/>
      <c r="T16968"/>
      <c r="U16968"/>
      <c r="X16968" s="60"/>
    </row>
    <row r="16969" spans="7:24" ht="15" customHeight="1">
      <c r="G16969"/>
      <c r="I16969"/>
      <c r="N16969"/>
      <c r="O16969" s="24"/>
      <c r="P16969"/>
      <c r="Q16969" s="24"/>
      <c r="R16969"/>
      <c r="S16969"/>
      <c r="T16969"/>
      <c r="U16969"/>
      <c r="X16969" s="60"/>
    </row>
    <row r="16970" spans="7:24" ht="15" customHeight="1">
      <c r="G16970"/>
      <c r="I16970"/>
      <c r="N16970"/>
      <c r="O16970" s="24"/>
      <c r="P16970"/>
      <c r="Q16970" s="24"/>
      <c r="R16970"/>
      <c r="S16970"/>
      <c r="T16970"/>
      <c r="U16970"/>
      <c r="X16970" s="60"/>
    </row>
    <row r="16971" spans="7:24" ht="15" customHeight="1">
      <c r="G16971"/>
      <c r="I16971"/>
      <c r="N16971"/>
      <c r="O16971" s="24"/>
      <c r="P16971"/>
      <c r="Q16971" s="24"/>
      <c r="R16971"/>
      <c r="S16971"/>
      <c r="T16971"/>
      <c r="U16971"/>
      <c r="X16971" s="60"/>
    </row>
    <row r="16972" spans="7:24" ht="15" customHeight="1">
      <c r="G16972"/>
      <c r="I16972"/>
      <c r="N16972"/>
      <c r="O16972" s="24"/>
      <c r="P16972"/>
      <c r="Q16972" s="24"/>
      <c r="R16972"/>
      <c r="S16972"/>
      <c r="T16972"/>
      <c r="U16972"/>
      <c r="X16972" s="60"/>
    </row>
    <row r="16973" spans="7:24" ht="15" customHeight="1">
      <c r="G16973"/>
      <c r="I16973"/>
      <c r="N16973"/>
      <c r="O16973" s="24"/>
      <c r="P16973"/>
      <c r="Q16973" s="24"/>
      <c r="R16973"/>
      <c r="S16973"/>
      <c r="T16973"/>
      <c r="U16973"/>
      <c r="X16973" s="60"/>
    </row>
    <row r="16974" spans="7:24" ht="15" customHeight="1">
      <c r="G16974"/>
      <c r="I16974"/>
      <c r="N16974"/>
      <c r="O16974" s="24"/>
      <c r="P16974"/>
      <c r="Q16974" s="24"/>
      <c r="R16974"/>
      <c r="S16974"/>
      <c r="T16974"/>
      <c r="U16974"/>
      <c r="X16974" s="60"/>
    </row>
    <row r="16975" spans="7:24" ht="15" customHeight="1">
      <c r="G16975"/>
      <c r="I16975"/>
      <c r="N16975"/>
      <c r="O16975" s="24"/>
      <c r="P16975"/>
      <c r="Q16975" s="24"/>
      <c r="R16975"/>
      <c r="S16975"/>
      <c r="T16975"/>
      <c r="U16975"/>
      <c r="X16975" s="60"/>
    </row>
    <row r="16976" spans="7:24" ht="15" customHeight="1">
      <c r="G16976"/>
      <c r="I16976"/>
      <c r="N16976"/>
      <c r="O16976" s="24"/>
      <c r="P16976"/>
      <c r="Q16976" s="24"/>
      <c r="R16976"/>
      <c r="S16976"/>
      <c r="T16976"/>
      <c r="U16976"/>
      <c r="X16976" s="60"/>
    </row>
    <row r="16977" spans="7:24" ht="15" customHeight="1">
      <c r="G16977"/>
      <c r="I16977"/>
      <c r="N16977"/>
      <c r="O16977" s="24"/>
      <c r="P16977"/>
      <c r="Q16977" s="24"/>
      <c r="R16977"/>
      <c r="S16977"/>
      <c r="T16977"/>
      <c r="U16977"/>
      <c r="X16977" s="60"/>
    </row>
    <row r="16978" spans="7:24" ht="15" customHeight="1">
      <c r="G16978"/>
      <c r="I16978"/>
      <c r="N16978"/>
      <c r="O16978" s="24"/>
      <c r="P16978"/>
      <c r="Q16978" s="24"/>
      <c r="R16978"/>
      <c r="S16978"/>
      <c r="T16978"/>
      <c r="U16978"/>
      <c r="X16978" s="60"/>
    </row>
    <row r="16979" spans="7:24" ht="15" customHeight="1">
      <c r="G16979"/>
      <c r="I16979"/>
      <c r="N16979"/>
      <c r="O16979" s="24"/>
      <c r="P16979"/>
      <c r="Q16979" s="24"/>
      <c r="R16979"/>
      <c r="S16979"/>
      <c r="T16979"/>
      <c r="U16979"/>
      <c r="X16979" s="60"/>
    </row>
    <row r="16980" spans="7:24" ht="15" customHeight="1">
      <c r="G16980"/>
      <c r="I16980"/>
      <c r="N16980"/>
      <c r="O16980" s="24"/>
      <c r="P16980"/>
      <c r="Q16980" s="24"/>
      <c r="R16980"/>
      <c r="S16980"/>
      <c r="T16980"/>
      <c r="U16980"/>
      <c r="X16980" s="60"/>
    </row>
    <row r="16981" spans="7:24" ht="15" customHeight="1">
      <c r="G16981"/>
      <c r="I16981"/>
      <c r="N16981"/>
      <c r="O16981" s="24"/>
      <c r="P16981"/>
      <c r="Q16981" s="24"/>
      <c r="R16981"/>
      <c r="S16981"/>
      <c r="T16981"/>
      <c r="U16981"/>
      <c r="X16981" s="60"/>
    </row>
    <row r="16982" spans="7:24" ht="15" customHeight="1">
      <c r="G16982"/>
      <c r="I16982"/>
      <c r="N16982"/>
      <c r="O16982" s="24"/>
      <c r="P16982"/>
      <c r="Q16982" s="24"/>
      <c r="R16982"/>
      <c r="S16982"/>
      <c r="T16982"/>
      <c r="U16982"/>
      <c r="X16982" s="60"/>
    </row>
    <row r="16983" spans="7:24" ht="15" customHeight="1">
      <c r="G16983"/>
      <c r="I16983"/>
      <c r="N16983"/>
      <c r="O16983" s="24"/>
      <c r="P16983"/>
      <c r="Q16983" s="24"/>
      <c r="R16983"/>
      <c r="S16983"/>
      <c r="T16983"/>
      <c r="U16983"/>
      <c r="X16983" s="60"/>
    </row>
    <row r="16984" spans="7:24" ht="15" customHeight="1">
      <c r="G16984"/>
      <c r="I16984"/>
      <c r="N16984"/>
      <c r="O16984" s="24"/>
      <c r="P16984"/>
      <c r="Q16984" s="24"/>
      <c r="R16984"/>
      <c r="S16984"/>
      <c r="T16984"/>
      <c r="U16984"/>
      <c r="X16984" s="60"/>
    </row>
    <row r="16985" spans="7:24" ht="15" customHeight="1">
      <c r="G16985"/>
      <c r="I16985"/>
      <c r="N16985"/>
      <c r="O16985" s="24"/>
      <c r="P16985"/>
      <c r="Q16985" s="24"/>
      <c r="R16985"/>
      <c r="S16985"/>
      <c r="T16985"/>
      <c r="U16985"/>
      <c r="X16985" s="60"/>
    </row>
    <row r="16986" spans="7:24" ht="15" customHeight="1">
      <c r="G16986"/>
      <c r="I16986"/>
      <c r="N16986"/>
      <c r="O16986" s="24"/>
      <c r="P16986"/>
      <c r="Q16986" s="24"/>
      <c r="R16986"/>
      <c r="S16986"/>
      <c r="T16986"/>
      <c r="U16986"/>
      <c r="X16986" s="60"/>
    </row>
    <row r="16987" spans="7:24" ht="15" customHeight="1">
      <c r="G16987"/>
      <c r="I16987"/>
      <c r="N16987"/>
      <c r="O16987" s="24"/>
      <c r="P16987"/>
      <c r="Q16987" s="24"/>
      <c r="R16987"/>
      <c r="S16987"/>
      <c r="T16987"/>
      <c r="U16987"/>
      <c r="X16987" s="60"/>
    </row>
    <row r="16988" spans="7:24" ht="15" customHeight="1">
      <c r="G16988"/>
      <c r="I16988"/>
      <c r="N16988"/>
      <c r="O16988" s="24"/>
      <c r="P16988"/>
      <c r="Q16988" s="24"/>
      <c r="R16988"/>
      <c r="S16988"/>
      <c r="T16988"/>
      <c r="U16988"/>
      <c r="X16988" s="60"/>
    </row>
    <row r="16989" spans="7:24" ht="15" customHeight="1">
      <c r="G16989"/>
      <c r="I16989"/>
      <c r="N16989"/>
      <c r="O16989" s="24"/>
      <c r="P16989"/>
      <c r="Q16989" s="24"/>
      <c r="R16989"/>
      <c r="S16989"/>
      <c r="T16989"/>
      <c r="U16989"/>
      <c r="X16989" s="60"/>
    </row>
    <row r="16990" spans="7:24" ht="15" customHeight="1">
      <c r="G16990"/>
      <c r="I16990"/>
      <c r="N16990"/>
      <c r="O16990" s="24"/>
      <c r="P16990"/>
      <c r="Q16990" s="24"/>
      <c r="R16990"/>
      <c r="S16990"/>
      <c r="T16990"/>
      <c r="U16990"/>
      <c r="X16990" s="60"/>
    </row>
    <row r="16991" spans="7:24" ht="15" customHeight="1">
      <c r="G16991"/>
      <c r="I16991"/>
      <c r="N16991"/>
      <c r="O16991" s="24"/>
      <c r="P16991"/>
      <c r="Q16991" s="24"/>
      <c r="R16991"/>
      <c r="S16991"/>
      <c r="T16991"/>
      <c r="U16991"/>
      <c r="X16991" s="60"/>
    </row>
    <row r="16992" spans="7:24" ht="15" customHeight="1">
      <c r="G16992"/>
      <c r="I16992"/>
      <c r="N16992"/>
      <c r="O16992" s="24"/>
      <c r="P16992"/>
      <c r="Q16992" s="24"/>
      <c r="R16992"/>
      <c r="S16992"/>
      <c r="T16992"/>
      <c r="U16992"/>
      <c r="X16992" s="60"/>
    </row>
    <row r="16993" spans="7:24" ht="15" customHeight="1">
      <c r="G16993"/>
      <c r="I16993"/>
      <c r="N16993"/>
      <c r="O16993" s="24"/>
      <c r="P16993"/>
      <c r="Q16993" s="24"/>
      <c r="R16993"/>
      <c r="S16993"/>
      <c r="T16993"/>
      <c r="U16993"/>
      <c r="X16993" s="60"/>
    </row>
    <row r="16994" spans="7:24" ht="15" customHeight="1">
      <c r="G16994"/>
      <c r="I16994"/>
      <c r="N16994"/>
      <c r="O16994" s="24"/>
      <c r="P16994"/>
      <c r="Q16994" s="24"/>
      <c r="R16994"/>
      <c r="S16994"/>
      <c r="T16994"/>
      <c r="U16994"/>
      <c r="X16994" s="60"/>
    </row>
    <row r="16995" spans="7:24" ht="15" customHeight="1">
      <c r="G16995"/>
      <c r="I16995"/>
      <c r="N16995"/>
      <c r="O16995" s="24"/>
      <c r="P16995"/>
      <c r="Q16995" s="24"/>
      <c r="R16995"/>
      <c r="S16995"/>
      <c r="T16995"/>
      <c r="U16995"/>
      <c r="X16995" s="60"/>
    </row>
    <row r="16996" spans="7:24" ht="15" customHeight="1">
      <c r="G16996"/>
      <c r="I16996"/>
      <c r="N16996"/>
      <c r="O16996" s="24"/>
      <c r="P16996"/>
      <c r="Q16996" s="24"/>
      <c r="R16996"/>
      <c r="S16996"/>
      <c r="T16996"/>
      <c r="U16996"/>
      <c r="X16996" s="60"/>
    </row>
    <row r="16997" spans="7:24" ht="15" customHeight="1">
      <c r="G16997"/>
      <c r="I16997"/>
      <c r="N16997"/>
      <c r="O16997" s="24"/>
      <c r="P16997"/>
      <c r="Q16997" s="24"/>
      <c r="R16997"/>
      <c r="S16997"/>
      <c r="T16997"/>
      <c r="U16997"/>
      <c r="X16997" s="60"/>
    </row>
    <row r="16998" spans="7:24" ht="15" customHeight="1">
      <c r="G16998"/>
      <c r="I16998"/>
      <c r="N16998"/>
      <c r="O16998" s="24"/>
      <c r="P16998"/>
      <c r="Q16998" s="24"/>
      <c r="R16998"/>
      <c r="S16998"/>
      <c r="T16998"/>
      <c r="U16998"/>
      <c r="X16998" s="60"/>
    </row>
    <row r="16999" spans="7:24" ht="15" customHeight="1">
      <c r="G16999"/>
      <c r="I16999"/>
      <c r="N16999"/>
      <c r="O16999" s="24"/>
      <c r="P16999"/>
      <c r="Q16999" s="24"/>
      <c r="R16999"/>
      <c r="S16999"/>
      <c r="T16999"/>
      <c r="U16999"/>
      <c r="X16999" s="60"/>
    </row>
    <row r="17000" spans="7:24" ht="15" customHeight="1">
      <c r="G17000"/>
      <c r="I17000"/>
      <c r="N17000"/>
      <c r="O17000" s="24"/>
      <c r="P17000"/>
      <c r="Q17000" s="24"/>
      <c r="R17000"/>
      <c r="S17000"/>
      <c r="T17000"/>
      <c r="U17000"/>
      <c r="X17000" s="60"/>
    </row>
    <row r="17001" spans="7:24" ht="15" customHeight="1">
      <c r="G17001"/>
      <c r="I17001"/>
      <c r="N17001"/>
      <c r="O17001" s="24"/>
      <c r="P17001"/>
      <c r="Q17001" s="24"/>
      <c r="R17001"/>
      <c r="S17001"/>
      <c r="T17001"/>
      <c r="U17001"/>
      <c r="X17001" s="60"/>
    </row>
    <row r="17002" spans="7:24" ht="15" customHeight="1">
      <c r="G17002"/>
      <c r="I17002"/>
      <c r="N17002"/>
      <c r="O17002" s="24"/>
      <c r="P17002"/>
      <c r="Q17002" s="24"/>
      <c r="R17002"/>
      <c r="S17002"/>
      <c r="T17002"/>
      <c r="U17002"/>
      <c r="X17002" s="60"/>
    </row>
    <row r="17003" spans="7:24" ht="15" customHeight="1">
      <c r="G17003"/>
      <c r="I17003"/>
      <c r="N17003"/>
      <c r="O17003" s="24"/>
      <c r="P17003"/>
      <c r="Q17003" s="24"/>
      <c r="R17003"/>
      <c r="S17003"/>
      <c r="T17003"/>
      <c r="U17003"/>
      <c r="X17003" s="60"/>
    </row>
    <row r="17004" spans="7:24" ht="15" customHeight="1">
      <c r="G17004"/>
      <c r="I17004"/>
      <c r="N17004"/>
      <c r="O17004" s="24"/>
      <c r="P17004"/>
      <c r="Q17004" s="24"/>
      <c r="R17004"/>
      <c r="S17004"/>
      <c r="T17004"/>
      <c r="U17004"/>
      <c r="X17004" s="60"/>
    </row>
    <row r="17005" spans="7:24" ht="15" customHeight="1">
      <c r="G17005"/>
      <c r="I17005"/>
      <c r="N17005"/>
      <c r="O17005" s="24"/>
      <c r="P17005"/>
      <c r="Q17005" s="24"/>
      <c r="R17005"/>
      <c r="S17005"/>
      <c r="T17005"/>
      <c r="U17005"/>
      <c r="X17005" s="60"/>
    </row>
    <row r="17006" spans="7:24" ht="15" customHeight="1">
      <c r="G17006"/>
      <c r="I17006"/>
      <c r="N17006"/>
      <c r="O17006" s="24"/>
      <c r="P17006"/>
      <c r="Q17006" s="24"/>
      <c r="R17006"/>
      <c r="S17006"/>
      <c r="T17006"/>
      <c r="U17006"/>
      <c r="X17006" s="60"/>
    </row>
    <row r="17007" spans="7:24" ht="15" customHeight="1">
      <c r="G17007"/>
      <c r="I17007"/>
      <c r="N17007"/>
      <c r="O17007" s="24"/>
      <c r="P17007"/>
      <c r="Q17007" s="24"/>
      <c r="R17007"/>
      <c r="S17007"/>
      <c r="T17007"/>
      <c r="U17007"/>
      <c r="X17007" s="60"/>
    </row>
    <row r="17008" spans="7:24" ht="15" customHeight="1">
      <c r="G17008"/>
      <c r="I17008"/>
      <c r="N17008"/>
      <c r="O17008" s="24"/>
      <c r="P17008"/>
      <c r="Q17008" s="24"/>
      <c r="R17008"/>
      <c r="S17008"/>
      <c r="T17008"/>
      <c r="U17008"/>
      <c r="X17008" s="60"/>
    </row>
    <row r="17009" spans="7:24" ht="15" customHeight="1">
      <c r="G17009"/>
      <c r="I17009"/>
      <c r="N17009"/>
      <c r="O17009" s="24"/>
      <c r="P17009"/>
      <c r="Q17009" s="24"/>
      <c r="R17009"/>
      <c r="S17009"/>
      <c r="T17009"/>
      <c r="U17009"/>
      <c r="X17009" s="60"/>
    </row>
    <row r="17010" spans="7:24" ht="15" customHeight="1">
      <c r="G17010"/>
      <c r="I17010"/>
      <c r="N17010"/>
      <c r="O17010" s="24"/>
      <c r="P17010"/>
      <c r="Q17010" s="24"/>
      <c r="R17010"/>
      <c r="S17010"/>
      <c r="T17010"/>
      <c r="U17010"/>
      <c r="X17010" s="60"/>
    </row>
    <row r="17011" spans="7:24" ht="15" customHeight="1">
      <c r="G17011"/>
      <c r="I17011"/>
      <c r="N17011"/>
      <c r="O17011" s="24"/>
      <c r="P17011"/>
      <c r="Q17011" s="24"/>
      <c r="R17011"/>
      <c r="S17011"/>
      <c r="T17011"/>
      <c r="U17011"/>
      <c r="X17011" s="60"/>
    </row>
    <row r="17012" spans="7:24" ht="15" customHeight="1">
      <c r="G17012"/>
      <c r="I17012"/>
      <c r="N17012"/>
      <c r="O17012" s="24"/>
      <c r="P17012"/>
      <c r="Q17012" s="24"/>
      <c r="R17012"/>
      <c r="S17012"/>
      <c r="T17012"/>
      <c r="U17012"/>
      <c r="X17012" s="60"/>
    </row>
    <row r="17013" spans="7:24" ht="15" customHeight="1">
      <c r="G17013"/>
      <c r="I17013"/>
      <c r="N17013"/>
      <c r="O17013" s="24"/>
      <c r="P17013"/>
      <c r="Q17013" s="24"/>
      <c r="R17013"/>
      <c r="S17013"/>
      <c r="T17013"/>
      <c r="U17013"/>
      <c r="X17013" s="60"/>
    </row>
    <row r="17014" spans="7:24" ht="15" customHeight="1">
      <c r="G17014"/>
      <c r="I17014"/>
      <c r="N17014"/>
      <c r="O17014" s="24"/>
      <c r="P17014"/>
      <c r="Q17014" s="24"/>
      <c r="R17014"/>
      <c r="S17014"/>
      <c r="T17014"/>
      <c r="U17014"/>
      <c r="X17014" s="60"/>
    </row>
    <row r="17015" spans="7:24" ht="15" customHeight="1">
      <c r="G17015"/>
      <c r="I17015"/>
      <c r="N17015"/>
      <c r="O17015" s="24"/>
      <c r="P17015"/>
      <c r="Q17015" s="24"/>
      <c r="R17015"/>
      <c r="S17015"/>
      <c r="T17015"/>
      <c r="U17015"/>
      <c r="X17015" s="60"/>
    </row>
    <row r="17016" spans="7:24" ht="15" customHeight="1">
      <c r="G17016"/>
      <c r="I17016"/>
      <c r="N17016"/>
      <c r="O17016" s="24"/>
      <c r="P17016"/>
      <c r="Q17016" s="24"/>
      <c r="R17016"/>
      <c r="S17016"/>
      <c r="T17016"/>
      <c r="U17016"/>
      <c r="X17016" s="60"/>
    </row>
    <row r="17017" spans="7:24" ht="15" customHeight="1">
      <c r="G17017"/>
      <c r="I17017"/>
      <c r="N17017"/>
      <c r="O17017" s="24"/>
      <c r="P17017"/>
      <c r="Q17017" s="24"/>
      <c r="R17017"/>
      <c r="S17017"/>
      <c r="T17017"/>
      <c r="U17017"/>
      <c r="X17017" s="60"/>
    </row>
    <row r="17018" spans="7:24" ht="15" customHeight="1">
      <c r="G17018"/>
      <c r="I17018"/>
      <c r="N17018"/>
      <c r="O17018" s="24"/>
      <c r="P17018"/>
      <c r="Q17018" s="24"/>
      <c r="R17018"/>
      <c r="S17018"/>
      <c r="T17018"/>
      <c r="U17018"/>
      <c r="X17018" s="60"/>
    </row>
    <row r="17019" spans="7:24" ht="15" customHeight="1">
      <c r="G17019"/>
      <c r="I17019"/>
      <c r="N17019"/>
      <c r="O17019" s="24"/>
      <c r="P17019"/>
      <c r="Q17019" s="24"/>
      <c r="R17019"/>
      <c r="S17019"/>
      <c r="T17019"/>
      <c r="U17019"/>
      <c r="X17019" s="60"/>
    </row>
    <row r="17020" spans="7:24" ht="15" customHeight="1">
      <c r="G17020"/>
      <c r="I17020"/>
      <c r="N17020"/>
      <c r="O17020" s="24"/>
      <c r="P17020"/>
      <c r="Q17020" s="24"/>
      <c r="R17020"/>
      <c r="S17020"/>
      <c r="T17020"/>
      <c r="U17020"/>
      <c r="X17020" s="60"/>
    </row>
    <row r="17021" spans="7:24" ht="15" customHeight="1">
      <c r="G17021"/>
      <c r="I17021"/>
      <c r="N17021"/>
      <c r="O17021" s="24"/>
      <c r="P17021"/>
      <c r="Q17021" s="24"/>
      <c r="R17021"/>
      <c r="S17021"/>
      <c r="T17021"/>
      <c r="U17021"/>
      <c r="X17021" s="60"/>
    </row>
    <row r="17022" spans="7:24" ht="15" customHeight="1">
      <c r="G17022"/>
      <c r="I17022"/>
      <c r="N17022"/>
      <c r="O17022" s="24"/>
      <c r="P17022"/>
      <c r="Q17022" s="24"/>
      <c r="R17022"/>
      <c r="S17022"/>
      <c r="T17022"/>
      <c r="U17022"/>
      <c r="X17022" s="60"/>
    </row>
    <row r="17023" spans="7:24" ht="15" customHeight="1">
      <c r="G17023"/>
      <c r="I17023"/>
      <c r="N17023"/>
      <c r="O17023" s="24"/>
      <c r="P17023"/>
      <c r="Q17023" s="24"/>
      <c r="R17023"/>
      <c r="S17023"/>
      <c r="T17023"/>
      <c r="U17023"/>
      <c r="X17023" s="60"/>
    </row>
    <row r="17024" spans="7:24" ht="15" customHeight="1">
      <c r="G17024"/>
      <c r="I17024"/>
      <c r="N17024"/>
      <c r="O17024" s="24"/>
      <c r="P17024"/>
      <c r="Q17024" s="24"/>
      <c r="R17024"/>
      <c r="S17024"/>
      <c r="T17024"/>
      <c r="U17024"/>
      <c r="X17024" s="60"/>
    </row>
    <row r="17025" spans="7:24" ht="15" customHeight="1">
      <c r="G17025"/>
      <c r="I17025"/>
      <c r="N17025"/>
      <c r="O17025" s="24"/>
      <c r="P17025"/>
      <c r="Q17025" s="24"/>
      <c r="R17025"/>
      <c r="S17025"/>
      <c r="T17025"/>
      <c r="U17025"/>
      <c r="X17025" s="60"/>
    </row>
    <row r="17026" spans="7:24" ht="15" customHeight="1">
      <c r="G17026"/>
      <c r="I17026"/>
      <c r="N17026"/>
      <c r="O17026" s="24"/>
      <c r="P17026"/>
      <c r="Q17026" s="24"/>
      <c r="R17026"/>
      <c r="S17026"/>
      <c r="T17026"/>
      <c r="U17026"/>
      <c r="X17026" s="60"/>
    </row>
    <row r="17027" spans="7:24" ht="15" customHeight="1">
      <c r="G17027"/>
      <c r="I17027"/>
      <c r="N17027"/>
      <c r="O17027" s="24"/>
      <c r="P17027"/>
      <c r="Q17027" s="24"/>
      <c r="R17027"/>
      <c r="S17027"/>
      <c r="T17027"/>
      <c r="U17027"/>
      <c r="X17027" s="60"/>
    </row>
    <row r="17028" spans="7:24" ht="15" customHeight="1">
      <c r="G17028"/>
      <c r="I17028"/>
      <c r="N17028"/>
      <c r="O17028" s="24"/>
      <c r="P17028"/>
      <c r="Q17028" s="24"/>
      <c r="R17028"/>
      <c r="S17028"/>
      <c r="T17028"/>
      <c r="U17028"/>
      <c r="X17028" s="60"/>
    </row>
    <row r="17029" spans="7:24" ht="15" customHeight="1">
      <c r="G17029"/>
      <c r="I17029"/>
      <c r="N17029"/>
      <c r="O17029" s="24"/>
      <c r="P17029"/>
      <c r="Q17029" s="24"/>
      <c r="R17029"/>
      <c r="S17029"/>
      <c r="T17029"/>
      <c r="U17029"/>
      <c r="X17029" s="60"/>
    </row>
    <row r="17030" spans="7:24" ht="15" customHeight="1">
      <c r="G17030"/>
      <c r="I17030"/>
      <c r="N17030"/>
      <c r="O17030" s="24"/>
      <c r="P17030"/>
      <c r="Q17030" s="24"/>
      <c r="R17030"/>
      <c r="S17030"/>
      <c r="T17030"/>
      <c r="U17030"/>
      <c r="X17030" s="60"/>
    </row>
    <row r="17031" spans="7:24" ht="15" customHeight="1">
      <c r="G17031"/>
      <c r="I17031"/>
      <c r="N17031"/>
      <c r="O17031" s="24"/>
      <c r="P17031"/>
      <c r="Q17031" s="24"/>
      <c r="R17031"/>
      <c r="S17031"/>
      <c r="T17031"/>
      <c r="U17031"/>
      <c r="X17031" s="60"/>
    </row>
    <row r="17032" spans="7:24" ht="15" customHeight="1">
      <c r="G17032"/>
      <c r="I17032"/>
      <c r="N17032"/>
      <c r="O17032" s="24"/>
      <c r="P17032"/>
      <c r="Q17032" s="24"/>
      <c r="R17032"/>
      <c r="S17032"/>
      <c r="T17032"/>
      <c r="U17032"/>
      <c r="X17032" s="60"/>
    </row>
    <row r="17033" spans="7:24" ht="15" customHeight="1">
      <c r="G17033"/>
      <c r="I17033"/>
      <c r="N17033"/>
      <c r="O17033" s="24"/>
      <c r="P17033"/>
      <c r="Q17033" s="24"/>
      <c r="R17033"/>
      <c r="S17033"/>
      <c r="T17033"/>
      <c r="U17033"/>
      <c r="X17033" s="60"/>
    </row>
    <row r="17034" spans="7:24" ht="15" customHeight="1">
      <c r="G17034"/>
      <c r="I17034"/>
      <c r="N17034"/>
      <c r="O17034" s="24"/>
      <c r="P17034"/>
      <c r="Q17034" s="24"/>
      <c r="R17034"/>
      <c r="S17034"/>
      <c r="T17034"/>
      <c r="U17034"/>
      <c r="X17034" s="60"/>
    </row>
    <row r="17035" spans="7:24" ht="15" customHeight="1">
      <c r="G17035"/>
      <c r="I17035"/>
      <c r="N17035"/>
      <c r="O17035" s="24"/>
      <c r="P17035"/>
      <c r="Q17035" s="24"/>
      <c r="R17035"/>
      <c r="S17035"/>
      <c r="T17035"/>
      <c r="U17035"/>
      <c r="X17035" s="60"/>
    </row>
    <row r="17036" spans="7:24" ht="15" customHeight="1">
      <c r="G17036"/>
      <c r="I17036"/>
      <c r="N17036"/>
      <c r="O17036" s="24"/>
      <c r="P17036"/>
      <c r="Q17036" s="24"/>
      <c r="R17036"/>
      <c r="S17036"/>
      <c r="T17036"/>
      <c r="U17036"/>
      <c r="X17036" s="60"/>
    </row>
    <row r="17037" spans="7:24" ht="15" customHeight="1">
      <c r="G17037"/>
      <c r="I17037"/>
      <c r="N17037"/>
      <c r="O17037" s="24"/>
      <c r="P17037"/>
      <c r="Q17037" s="24"/>
      <c r="R17037"/>
      <c r="S17037"/>
      <c r="T17037"/>
      <c r="U17037"/>
      <c r="X17037" s="60"/>
    </row>
    <row r="17038" spans="7:24" ht="15" customHeight="1">
      <c r="G17038"/>
      <c r="I17038"/>
      <c r="N17038"/>
      <c r="O17038" s="24"/>
      <c r="P17038"/>
      <c r="Q17038" s="24"/>
      <c r="R17038"/>
      <c r="S17038"/>
      <c r="T17038"/>
      <c r="U17038"/>
      <c r="X17038" s="60"/>
    </row>
    <row r="17039" spans="7:24" ht="15" customHeight="1">
      <c r="G17039"/>
      <c r="I17039"/>
      <c r="N17039"/>
      <c r="O17039" s="24"/>
      <c r="P17039"/>
      <c r="Q17039" s="24"/>
      <c r="R17039"/>
      <c r="S17039"/>
      <c r="T17039"/>
      <c r="U17039"/>
      <c r="X17039" s="60"/>
    </row>
    <row r="17040" spans="7:24" ht="15" customHeight="1">
      <c r="G17040"/>
      <c r="I17040"/>
      <c r="N17040"/>
      <c r="O17040" s="24"/>
      <c r="P17040"/>
      <c r="Q17040" s="24"/>
      <c r="R17040"/>
      <c r="S17040"/>
      <c r="T17040"/>
      <c r="U17040"/>
      <c r="X17040" s="60"/>
    </row>
    <row r="17041" spans="7:24" ht="15" customHeight="1">
      <c r="G17041"/>
      <c r="I17041"/>
      <c r="N17041"/>
      <c r="O17041" s="24"/>
      <c r="P17041"/>
      <c r="Q17041" s="24"/>
      <c r="R17041"/>
      <c r="S17041"/>
      <c r="T17041"/>
      <c r="U17041"/>
      <c r="X17041" s="60"/>
    </row>
    <row r="17042" spans="7:24" ht="15" customHeight="1">
      <c r="G17042"/>
      <c r="I17042"/>
      <c r="N17042"/>
      <c r="O17042" s="24"/>
      <c r="P17042"/>
      <c r="Q17042" s="24"/>
      <c r="R17042"/>
      <c r="S17042"/>
      <c r="T17042"/>
      <c r="U17042"/>
      <c r="X17042" s="60"/>
    </row>
    <row r="17043" spans="7:24" ht="15" customHeight="1">
      <c r="G17043"/>
      <c r="I17043"/>
      <c r="N17043"/>
      <c r="O17043" s="24"/>
      <c r="P17043"/>
      <c r="Q17043" s="24"/>
      <c r="R17043"/>
      <c r="S17043"/>
      <c r="T17043"/>
      <c r="U17043"/>
      <c r="X17043" s="60"/>
    </row>
    <row r="17044" spans="7:24" ht="15" customHeight="1">
      <c r="G17044"/>
      <c r="I17044"/>
      <c r="N17044"/>
      <c r="O17044" s="24"/>
      <c r="P17044"/>
      <c r="Q17044" s="24"/>
      <c r="R17044"/>
      <c r="S17044"/>
      <c r="T17044"/>
      <c r="U17044"/>
      <c r="X17044" s="60"/>
    </row>
    <row r="17045" spans="7:24" ht="15" customHeight="1">
      <c r="G17045"/>
      <c r="I17045"/>
      <c r="N17045"/>
      <c r="O17045" s="24"/>
      <c r="P17045"/>
      <c r="Q17045" s="24"/>
      <c r="R17045"/>
      <c r="S17045"/>
      <c r="T17045"/>
      <c r="U17045"/>
      <c r="X17045" s="60"/>
    </row>
    <row r="17046" spans="7:24" ht="15" customHeight="1">
      <c r="G17046"/>
      <c r="I17046"/>
      <c r="N17046"/>
      <c r="O17046" s="24"/>
      <c r="P17046"/>
      <c r="Q17046" s="24"/>
      <c r="R17046"/>
      <c r="S17046"/>
      <c r="T17046"/>
      <c r="U17046"/>
      <c r="X17046" s="60"/>
    </row>
    <row r="17047" spans="7:24" ht="15" customHeight="1">
      <c r="G17047"/>
      <c r="I17047"/>
      <c r="N17047"/>
      <c r="O17047" s="24"/>
      <c r="P17047"/>
      <c r="Q17047" s="24"/>
      <c r="R17047"/>
      <c r="S17047"/>
      <c r="T17047"/>
      <c r="U17047"/>
      <c r="X17047" s="60"/>
    </row>
    <row r="17048" spans="7:24" ht="15" customHeight="1">
      <c r="G17048"/>
      <c r="I17048"/>
      <c r="N17048"/>
      <c r="O17048" s="24"/>
      <c r="P17048"/>
      <c r="Q17048" s="24"/>
      <c r="R17048"/>
      <c r="S17048"/>
      <c r="T17048"/>
      <c r="U17048"/>
      <c r="X17048" s="60"/>
    </row>
    <row r="17049" spans="7:24" ht="15" customHeight="1">
      <c r="G17049"/>
      <c r="I17049"/>
      <c r="N17049"/>
      <c r="O17049" s="24"/>
      <c r="P17049"/>
      <c r="Q17049" s="24"/>
      <c r="R17049"/>
      <c r="S17049"/>
      <c r="T17049"/>
      <c r="U17049"/>
      <c r="X17049" s="60"/>
    </row>
    <row r="17050" spans="7:24" ht="15" customHeight="1">
      <c r="G17050"/>
      <c r="I17050"/>
      <c r="N17050"/>
      <c r="O17050" s="24"/>
      <c r="P17050"/>
      <c r="Q17050" s="24"/>
      <c r="R17050"/>
      <c r="S17050"/>
      <c r="T17050"/>
      <c r="U17050"/>
      <c r="X17050" s="60"/>
    </row>
    <row r="17051" spans="7:24" ht="15" customHeight="1">
      <c r="G17051"/>
      <c r="I17051"/>
      <c r="N17051"/>
      <c r="O17051" s="24"/>
      <c r="P17051"/>
      <c r="Q17051" s="24"/>
      <c r="R17051"/>
      <c r="S17051"/>
      <c r="T17051"/>
      <c r="U17051"/>
      <c r="X17051" s="60"/>
    </row>
    <row r="17052" spans="7:24" ht="15" customHeight="1">
      <c r="G17052"/>
      <c r="I17052"/>
      <c r="N17052"/>
      <c r="O17052" s="24"/>
      <c r="P17052"/>
      <c r="Q17052" s="24"/>
      <c r="R17052"/>
      <c r="S17052"/>
      <c r="T17052"/>
      <c r="U17052"/>
      <c r="X17052" s="60"/>
    </row>
    <row r="17053" spans="7:24" ht="15" customHeight="1">
      <c r="G17053"/>
      <c r="I17053"/>
      <c r="N17053"/>
      <c r="O17053" s="24"/>
      <c r="P17053"/>
      <c r="Q17053" s="24"/>
      <c r="R17053"/>
      <c r="S17053"/>
      <c r="T17053"/>
      <c r="U17053"/>
      <c r="X17053" s="60"/>
    </row>
    <row r="17054" spans="7:24" ht="15" customHeight="1">
      <c r="G17054"/>
      <c r="I17054"/>
      <c r="N17054"/>
      <c r="O17054" s="24"/>
      <c r="P17054"/>
      <c r="Q17054" s="24"/>
      <c r="R17054"/>
      <c r="S17054"/>
      <c r="T17054"/>
      <c r="U17054"/>
      <c r="X17054" s="60"/>
    </row>
    <row r="17055" spans="7:24" ht="15" customHeight="1">
      <c r="G17055"/>
      <c r="I17055"/>
      <c r="N17055"/>
      <c r="O17055" s="24"/>
      <c r="P17055"/>
      <c r="Q17055" s="24"/>
      <c r="R17055"/>
      <c r="S17055"/>
      <c r="T17055"/>
      <c r="U17055"/>
      <c r="X17055" s="60"/>
    </row>
    <row r="17056" spans="7:24" ht="15" customHeight="1">
      <c r="G17056"/>
      <c r="I17056"/>
      <c r="N17056"/>
      <c r="O17056" s="24"/>
      <c r="P17056"/>
      <c r="Q17056" s="24"/>
      <c r="R17056"/>
      <c r="S17056"/>
      <c r="T17056"/>
      <c r="U17056"/>
      <c r="X17056" s="60"/>
    </row>
    <row r="17057" spans="7:24" ht="15" customHeight="1">
      <c r="G17057"/>
      <c r="I17057"/>
      <c r="N17057"/>
      <c r="O17057" s="24"/>
      <c r="P17057"/>
      <c r="Q17057" s="24"/>
      <c r="R17057"/>
      <c r="S17057"/>
      <c r="T17057"/>
      <c r="U17057"/>
      <c r="X17057" s="60"/>
    </row>
    <row r="17058" spans="7:24" ht="15" customHeight="1">
      <c r="G17058"/>
      <c r="I17058"/>
      <c r="N17058"/>
      <c r="O17058" s="24"/>
      <c r="P17058"/>
      <c r="Q17058" s="24"/>
      <c r="R17058"/>
      <c r="S17058"/>
      <c r="T17058"/>
      <c r="U17058"/>
      <c r="X17058" s="60"/>
    </row>
    <row r="17059" spans="7:24" ht="15" customHeight="1">
      <c r="G17059"/>
      <c r="I17059"/>
      <c r="N17059"/>
      <c r="O17059" s="24"/>
      <c r="P17059"/>
      <c r="Q17059" s="24"/>
      <c r="R17059"/>
      <c r="S17059"/>
      <c r="T17059"/>
      <c r="U17059"/>
      <c r="X17059" s="60"/>
    </row>
    <row r="17060" spans="7:24" ht="15" customHeight="1">
      <c r="G17060"/>
      <c r="I17060"/>
      <c r="N17060"/>
      <c r="O17060" s="24"/>
      <c r="P17060"/>
      <c r="Q17060" s="24"/>
      <c r="R17060"/>
      <c r="S17060"/>
      <c r="T17060"/>
      <c r="U17060"/>
      <c r="X17060" s="60"/>
    </row>
    <row r="17061" spans="7:24" ht="15" customHeight="1">
      <c r="G17061"/>
      <c r="I17061"/>
      <c r="N17061"/>
      <c r="O17061" s="24"/>
      <c r="P17061"/>
      <c r="Q17061" s="24"/>
      <c r="R17061"/>
      <c r="S17061"/>
      <c r="T17061"/>
      <c r="U17061"/>
      <c r="X17061" s="60"/>
    </row>
    <row r="17062" spans="7:24" ht="15" customHeight="1">
      <c r="G17062"/>
      <c r="I17062"/>
      <c r="N17062"/>
      <c r="O17062" s="24"/>
      <c r="P17062"/>
      <c r="Q17062" s="24"/>
      <c r="R17062"/>
      <c r="S17062"/>
      <c r="T17062"/>
      <c r="U17062"/>
      <c r="X17062" s="60"/>
    </row>
    <row r="17063" spans="7:24" ht="15" customHeight="1">
      <c r="G17063"/>
      <c r="I17063"/>
      <c r="N17063"/>
      <c r="O17063" s="24"/>
      <c r="P17063"/>
      <c r="Q17063" s="24"/>
      <c r="R17063"/>
      <c r="S17063"/>
      <c r="T17063"/>
      <c r="U17063"/>
      <c r="X17063" s="60"/>
    </row>
    <row r="17064" spans="7:24" ht="15" customHeight="1">
      <c r="G17064"/>
      <c r="I17064"/>
      <c r="N17064"/>
      <c r="O17064" s="24"/>
      <c r="P17064"/>
      <c r="Q17064" s="24"/>
      <c r="R17064"/>
      <c r="S17064"/>
      <c r="T17064"/>
      <c r="U17064"/>
      <c r="X17064" s="60"/>
    </row>
    <row r="17065" spans="7:24" ht="15" customHeight="1">
      <c r="G17065"/>
      <c r="I17065"/>
      <c r="N17065"/>
      <c r="O17065" s="24"/>
      <c r="P17065"/>
      <c r="Q17065" s="24"/>
      <c r="R17065"/>
      <c r="S17065"/>
      <c r="T17065"/>
      <c r="U17065"/>
      <c r="X17065" s="60"/>
    </row>
    <row r="17066" spans="7:24" ht="15" customHeight="1">
      <c r="G17066"/>
      <c r="I17066"/>
      <c r="N17066"/>
      <c r="O17066" s="24"/>
      <c r="P17066"/>
      <c r="Q17066" s="24"/>
      <c r="R17066"/>
      <c r="S17066"/>
      <c r="T17066"/>
      <c r="U17066"/>
      <c r="X17066" s="60"/>
    </row>
    <row r="17067" spans="7:24" ht="15" customHeight="1">
      <c r="G17067"/>
      <c r="I17067"/>
      <c r="N17067"/>
      <c r="O17067" s="24"/>
      <c r="P17067"/>
      <c r="Q17067" s="24"/>
      <c r="R17067"/>
      <c r="S17067"/>
      <c r="T17067"/>
      <c r="U17067"/>
      <c r="X17067" s="60"/>
    </row>
    <row r="17068" spans="7:24" ht="15" customHeight="1">
      <c r="G17068"/>
      <c r="I17068"/>
      <c r="N17068"/>
      <c r="O17068" s="24"/>
      <c r="P17068"/>
      <c r="Q17068" s="24"/>
      <c r="R17068"/>
      <c r="S17068"/>
      <c r="T17068"/>
      <c r="U17068"/>
      <c r="X17068" s="60"/>
    </row>
    <row r="17069" spans="7:24" ht="15" customHeight="1">
      <c r="G17069"/>
      <c r="I17069"/>
      <c r="N17069"/>
      <c r="O17069" s="24"/>
      <c r="P17069"/>
      <c r="Q17069" s="24"/>
      <c r="R17069"/>
      <c r="S17069"/>
      <c r="T17069"/>
      <c r="U17069"/>
      <c r="X17069" s="60"/>
    </row>
    <row r="17070" spans="7:24" ht="15" customHeight="1">
      <c r="G17070"/>
      <c r="I17070"/>
      <c r="N17070"/>
      <c r="O17070" s="24"/>
      <c r="P17070"/>
      <c r="Q17070" s="24"/>
      <c r="R17070"/>
      <c r="S17070"/>
      <c r="T17070"/>
      <c r="U17070"/>
      <c r="X17070" s="60"/>
    </row>
    <row r="17071" spans="7:24" ht="15" customHeight="1">
      <c r="G17071"/>
      <c r="I17071"/>
      <c r="N17071"/>
      <c r="O17071" s="24"/>
      <c r="P17071"/>
      <c r="Q17071" s="24"/>
      <c r="R17071"/>
      <c r="S17071"/>
      <c r="T17071"/>
      <c r="U17071"/>
      <c r="X17071" s="60"/>
    </row>
    <row r="17072" spans="7:24" ht="15" customHeight="1">
      <c r="G17072"/>
      <c r="I17072"/>
      <c r="N17072"/>
      <c r="O17072" s="24"/>
      <c r="P17072"/>
      <c r="Q17072" s="24"/>
      <c r="R17072"/>
      <c r="S17072"/>
      <c r="T17072"/>
      <c r="U17072"/>
      <c r="X17072" s="60"/>
    </row>
    <row r="17073" spans="7:24" ht="15" customHeight="1">
      <c r="G17073"/>
      <c r="I17073"/>
      <c r="N17073"/>
      <c r="O17073" s="24"/>
      <c r="P17073"/>
      <c r="Q17073" s="24"/>
      <c r="R17073"/>
      <c r="S17073"/>
      <c r="T17073"/>
      <c r="U17073"/>
      <c r="X17073" s="60"/>
    </row>
    <row r="17074" spans="7:24" ht="15" customHeight="1">
      <c r="G17074"/>
      <c r="I17074"/>
      <c r="N17074"/>
      <c r="O17074" s="24"/>
      <c r="P17074"/>
      <c r="Q17074" s="24"/>
      <c r="R17074"/>
      <c r="S17074"/>
      <c r="T17074"/>
      <c r="U17074"/>
      <c r="X17074" s="60"/>
    </row>
    <row r="17075" spans="7:24" ht="15" customHeight="1">
      <c r="G17075"/>
      <c r="I17075"/>
      <c r="N17075"/>
      <c r="O17075" s="24"/>
      <c r="P17075"/>
      <c r="Q17075" s="24"/>
      <c r="R17075"/>
      <c r="S17075"/>
      <c r="T17075"/>
      <c r="U17075"/>
      <c r="X17075" s="60"/>
    </row>
    <row r="17076" spans="7:24" ht="15" customHeight="1">
      <c r="G17076"/>
      <c r="I17076"/>
      <c r="N17076"/>
      <c r="O17076" s="24"/>
      <c r="P17076"/>
      <c r="Q17076" s="24"/>
      <c r="R17076"/>
      <c r="S17076"/>
      <c r="T17076"/>
      <c r="U17076"/>
      <c r="X17076" s="60"/>
    </row>
    <row r="17077" spans="7:24" ht="15" customHeight="1">
      <c r="G17077"/>
      <c r="I17077"/>
      <c r="N17077"/>
      <c r="O17077" s="24"/>
      <c r="P17077"/>
      <c r="Q17077" s="24"/>
      <c r="R17077"/>
      <c r="S17077"/>
      <c r="T17077"/>
      <c r="U17077"/>
      <c r="X17077" s="60"/>
    </row>
    <row r="17078" spans="7:24" ht="15" customHeight="1">
      <c r="G17078"/>
      <c r="I17078"/>
      <c r="N17078"/>
      <c r="O17078" s="24"/>
      <c r="P17078"/>
      <c r="Q17078" s="24"/>
      <c r="R17078"/>
      <c r="S17078"/>
      <c r="T17078"/>
      <c r="U17078"/>
      <c r="X17078" s="60"/>
    </row>
    <row r="17079" spans="7:24" ht="15" customHeight="1">
      <c r="G17079"/>
      <c r="I17079"/>
      <c r="N17079"/>
      <c r="O17079" s="24"/>
      <c r="P17079"/>
      <c r="Q17079" s="24"/>
      <c r="R17079"/>
      <c r="S17079"/>
      <c r="T17079"/>
      <c r="U17079"/>
      <c r="X17079" s="60"/>
    </row>
    <row r="17080" spans="7:24" ht="15" customHeight="1">
      <c r="G17080"/>
      <c r="I17080"/>
      <c r="N17080"/>
      <c r="O17080" s="24"/>
      <c r="P17080"/>
      <c r="Q17080" s="24"/>
      <c r="R17080"/>
      <c r="S17080"/>
      <c r="T17080"/>
      <c r="U17080"/>
      <c r="X17080" s="60"/>
    </row>
    <row r="17081" spans="7:24" ht="15" customHeight="1">
      <c r="G17081"/>
      <c r="I17081"/>
      <c r="N17081"/>
      <c r="O17081" s="24"/>
      <c r="P17081"/>
      <c r="Q17081" s="24"/>
      <c r="R17081"/>
      <c r="S17081"/>
      <c r="T17081"/>
      <c r="U17081"/>
      <c r="X17081" s="60"/>
    </row>
    <row r="17082" spans="7:24" ht="15" customHeight="1">
      <c r="G17082"/>
      <c r="I17082"/>
      <c r="N17082"/>
      <c r="O17082" s="24"/>
      <c r="P17082"/>
      <c r="Q17082" s="24"/>
      <c r="R17082"/>
      <c r="S17082"/>
      <c r="T17082"/>
      <c r="U17082"/>
      <c r="X17082" s="60"/>
    </row>
    <row r="17083" spans="7:24" ht="15" customHeight="1">
      <c r="G17083"/>
      <c r="I17083"/>
      <c r="N17083"/>
      <c r="O17083" s="24"/>
      <c r="P17083"/>
      <c r="Q17083" s="24"/>
      <c r="R17083"/>
      <c r="S17083"/>
      <c r="T17083"/>
      <c r="U17083"/>
      <c r="X17083" s="60"/>
    </row>
    <row r="17084" spans="7:24" ht="15" customHeight="1">
      <c r="G17084"/>
      <c r="I17084"/>
      <c r="N17084"/>
      <c r="O17084" s="24"/>
      <c r="P17084"/>
      <c r="Q17084" s="24"/>
      <c r="R17084"/>
      <c r="S17084"/>
      <c r="T17084"/>
      <c r="U17084"/>
      <c r="X17084" s="60"/>
    </row>
    <row r="17085" spans="7:24" ht="15" customHeight="1">
      <c r="G17085"/>
      <c r="I17085"/>
      <c r="N17085"/>
      <c r="O17085" s="24"/>
      <c r="P17085"/>
      <c r="Q17085" s="24"/>
      <c r="R17085"/>
      <c r="S17085"/>
      <c r="T17085"/>
      <c r="U17085"/>
      <c r="X17085" s="60"/>
    </row>
    <row r="17086" spans="7:24" ht="15" customHeight="1">
      <c r="G17086"/>
      <c r="I17086"/>
      <c r="N17086"/>
      <c r="O17086" s="24"/>
      <c r="P17086"/>
      <c r="Q17086" s="24"/>
      <c r="R17086"/>
      <c r="S17086"/>
      <c r="T17086"/>
      <c r="U17086"/>
      <c r="X17086" s="60"/>
    </row>
    <row r="17087" spans="7:24" ht="15" customHeight="1">
      <c r="G17087"/>
      <c r="I17087"/>
      <c r="N17087"/>
      <c r="O17087" s="24"/>
      <c r="P17087"/>
      <c r="Q17087" s="24"/>
      <c r="R17087"/>
      <c r="S17087"/>
      <c r="T17087"/>
      <c r="U17087"/>
      <c r="X17087" s="60"/>
    </row>
    <row r="17088" spans="7:24" ht="15" customHeight="1">
      <c r="G17088"/>
      <c r="I17088"/>
      <c r="N17088"/>
      <c r="O17088" s="24"/>
      <c r="P17088"/>
      <c r="Q17088" s="24"/>
      <c r="R17088"/>
      <c r="S17088"/>
      <c r="T17088"/>
      <c r="U17088"/>
      <c r="X17088" s="60"/>
    </row>
    <row r="17089" spans="7:24" ht="15" customHeight="1">
      <c r="G17089"/>
      <c r="I17089"/>
      <c r="N17089"/>
      <c r="O17089" s="24"/>
      <c r="P17089"/>
      <c r="Q17089" s="24"/>
      <c r="R17089"/>
      <c r="S17089"/>
      <c r="T17089"/>
      <c r="U17089"/>
      <c r="X17089" s="60"/>
    </row>
    <row r="17090" spans="7:24" ht="15" customHeight="1">
      <c r="G17090"/>
      <c r="I17090"/>
      <c r="N17090"/>
      <c r="O17090" s="24"/>
      <c r="P17090"/>
      <c r="Q17090" s="24"/>
      <c r="R17090"/>
      <c r="S17090"/>
      <c r="T17090"/>
      <c r="U17090"/>
      <c r="X17090" s="60"/>
    </row>
    <row r="17091" spans="7:24" ht="15" customHeight="1">
      <c r="G17091"/>
      <c r="I17091"/>
      <c r="N17091"/>
      <c r="O17091" s="24"/>
      <c r="P17091"/>
      <c r="Q17091" s="24"/>
      <c r="R17091"/>
      <c r="S17091"/>
      <c r="T17091"/>
      <c r="U17091"/>
      <c r="X17091" s="60"/>
    </row>
    <row r="17092" spans="7:24" ht="15" customHeight="1">
      <c r="G17092"/>
      <c r="I17092"/>
      <c r="N17092"/>
      <c r="O17092" s="24"/>
      <c r="P17092"/>
      <c r="Q17092" s="24"/>
      <c r="R17092"/>
      <c r="S17092"/>
      <c r="T17092"/>
      <c r="U17092"/>
      <c r="X17092" s="60"/>
    </row>
    <row r="17093" spans="7:24" ht="15" customHeight="1">
      <c r="G17093"/>
      <c r="I17093"/>
      <c r="N17093"/>
      <c r="O17093" s="24"/>
      <c r="P17093"/>
      <c r="Q17093" s="24"/>
      <c r="R17093"/>
      <c r="S17093"/>
      <c r="T17093"/>
      <c r="U17093"/>
      <c r="X17093" s="60"/>
    </row>
    <row r="17094" spans="7:24" ht="15" customHeight="1">
      <c r="G17094"/>
      <c r="I17094"/>
      <c r="N17094"/>
      <c r="O17094" s="24"/>
      <c r="P17094"/>
      <c r="Q17094" s="24"/>
      <c r="R17094"/>
      <c r="S17094"/>
      <c r="T17094"/>
      <c r="U17094"/>
      <c r="X17094" s="60"/>
    </row>
    <row r="17095" spans="7:24" ht="15" customHeight="1">
      <c r="G17095"/>
      <c r="I17095"/>
      <c r="N17095"/>
      <c r="O17095" s="24"/>
      <c r="P17095"/>
      <c r="Q17095" s="24"/>
      <c r="R17095"/>
      <c r="S17095"/>
      <c r="T17095"/>
      <c r="U17095"/>
      <c r="X17095" s="60"/>
    </row>
    <row r="17096" spans="7:24" ht="15" customHeight="1">
      <c r="G17096"/>
      <c r="I17096"/>
      <c r="N17096"/>
      <c r="O17096" s="24"/>
      <c r="P17096"/>
      <c r="Q17096" s="24"/>
      <c r="R17096"/>
      <c r="S17096"/>
      <c r="T17096"/>
      <c r="U17096"/>
      <c r="X17096" s="60"/>
    </row>
    <row r="17097" spans="7:24" ht="15" customHeight="1">
      <c r="G17097"/>
      <c r="I17097"/>
      <c r="N17097"/>
      <c r="O17097" s="24"/>
      <c r="P17097"/>
      <c r="Q17097" s="24"/>
      <c r="R17097"/>
      <c r="S17097"/>
      <c r="T17097"/>
      <c r="U17097"/>
      <c r="X17097" s="60"/>
    </row>
    <row r="17098" spans="7:24" ht="15" customHeight="1">
      <c r="G17098"/>
      <c r="I17098"/>
      <c r="N17098"/>
      <c r="O17098" s="24"/>
      <c r="P17098"/>
      <c r="Q17098" s="24"/>
      <c r="R17098"/>
      <c r="S17098"/>
      <c r="T17098"/>
      <c r="U17098"/>
      <c r="X17098" s="60"/>
    </row>
    <row r="17099" spans="7:24" ht="15" customHeight="1">
      <c r="G17099"/>
      <c r="I17099"/>
      <c r="N17099"/>
      <c r="O17099" s="24"/>
      <c r="P17099"/>
      <c r="Q17099" s="24"/>
      <c r="R17099"/>
      <c r="S17099"/>
      <c r="T17099"/>
      <c r="U17099"/>
      <c r="X17099" s="60"/>
    </row>
    <row r="17100" spans="7:24" ht="15" customHeight="1">
      <c r="G17100"/>
      <c r="I17100"/>
      <c r="N17100"/>
      <c r="O17100" s="24"/>
      <c r="P17100"/>
      <c r="Q17100" s="24"/>
      <c r="R17100"/>
      <c r="S17100"/>
      <c r="T17100"/>
      <c r="U17100"/>
      <c r="X17100" s="60"/>
    </row>
    <row r="17101" spans="7:24" ht="15" customHeight="1">
      <c r="G17101"/>
      <c r="I17101"/>
      <c r="N17101"/>
      <c r="O17101" s="24"/>
      <c r="P17101"/>
      <c r="Q17101" s="24"/>
      <c r="R17101"/>
      <c r="S17101"/>
      <c r="T17101"/>
      <c r="U17101"/>
      <c r="X17101" s="60"/>
    </row>
    <row r="17102" spans="7:24" ht="15" customHeight="1">
      <c r="G17102"/>
      <c r="I17102"/>
      <c r="N17102"/>
      <c r="O17102" s="24"/>
      <c r="P17102"/>
      <c r="Q17102" s="24"/>
      <c r="R17102"/>
      <c r="S17102"/>
      <c r="T17102"/>
      <c r="U17102"/>
      <c r="X17102" s="60"/>
    </row>
    <row r="17103" spans="7:24" ht="15" customHeight="1">
      <c r="G17103"/>
      <c r="I17103"/>
      <c r="N17103"/>
      <c r="O17103" s="24"/>
      <c r="P17103"/>
      <c r="Q17103" s="24"/>
      <c r="R17103"/>
      <c r="S17103"/>
      <c r="T17103"/>
      <c r="U17103"/>
      <c r="X17103" s="60"/>
    </row>
    <row r="17104" spans="7:24" ht="15" customHeight="1">
      <c r="G17104"/>
      <c r="I17104"/>
      <c r="N17104"/>
      <c r="O17104" s="24"/>
      <c r="P17104"/>
      <c r="Q17104" s="24"/>
      <c r="R17104"/>
      <c r="S17104"/>
      <c r="T17104"/>
      <c r="U17104"/>
      <c r="X17104" s="60"/>
    </row>
    <row r="17105" spans="7:24" ht="15" customHeight="1">
      <c r="G17105"/>
      <c r="I17105"/>
      <c r="N17105"/>
      <c r="O17105" s="24"/>
      <c r="P17105"/>
      <c r="Q17105" s="24"/>
      <c r="R17105"/>
      <c r="S17105"/>
      <c r="T17105"/>
      <c r="U17105"/>
      <c r="X17105" s="60"/>
    </row>
    <row r="17106" spans="7:24" ht="15" customHeight="1">
      <c r="G17106"/>
      <c r="I17106"/>
      <c r="N17106"/>
      <c r="O17106" s="24"/>
      <c r="P17106"/>
      <c r="Q17106" s="24"/>
      <c r="R17106"/>
      <c r="S17106"/>
      <c r="T17106"/>
      <c r="U17106"/>
      <c r="X17106" s="60"/>
    </row>
    <row r="17107" spans="7:24" ht="15" customHeight="1">
      <c r="G17107"/>
      <c r="I17107"/>
      <c r="N17107"/>
      <c r="O17107" s="24"/>
      <c r="P17107"/>
      <c r="Q17107" s="24"/>
      <c r="R17107"/>
      <c r="S17107"/>
      <c r="T17107"/>
      <c r="U17107"/>
      <c r="X17107" s="60"/>
    </row>
    <row r="17108" spans="7:24" ht="15" customHeight="1">
      <c r="G17108"/>
      <c r="I17108"/>
      <c r="N17108"/>
      <c r="O17108" s="24"/>
      <c r="P17108"/>
      <c r="Q17108" s="24"/>
      <c r="R17108"/>
      <c r="S17108"/>
      <c r="T17108"/>
      <c r="U17108"/>
      <c r="X17108" s="60"/>
    </row>
    <row r="17109" spans="7:24" ht="15" customHeight="1">
      <c r="G17109"/>
      <c r="I17109"/>
      <c r="N17109"/>
      <c r="O17109" s="24"/>
      <c r="P17109"/>
      <c r="Q17109" s="24"/>
      <c r="R17109"/>
      <c r="S17109"/>
      <c r="T17109"/>
      <c r="U17109"/>
      <c r="X17109" s="60"/>
    </row>
    <row r="17110" spans="7:24" ht="15" customHeight="1">
      <c r="G17110"/>
      <c r="I17110"/>
      <c r="N17110"/>
      <c r="O17110" s="24"/>
      <c r="P17110"/>
      <c r="Q17110" s="24"/>
      <c r="R17110"/>
      <c r="S17110"/>
      <c r="T17110"/>
      <c r="U17110"/>
      <c r="X17110" s="60"/>
    </row>
    <row r="17111" spans="7:24" ht="15" customHeight="1">
      <c r="G17111"/>
      <c r="I17111"/>
      <c r="N17111"/>
      <c r="O17111" s="24"/>
      <c r="P17111"/>
      <c r="Q17111" s="24"/>
      <c r="R17111"/>
      <c r="S17111"/>
      <c r="T17111"/>
      <c r="U17111"/>
      <c r="X17111" s="60"/>
    </row>
    <row r="17112" spans="7:24" ht="15" customHeight="1">
      <c r="G17112"/>
      <c r="I17112"/>
      <c r="N17112"/>
      <c r="O17112" s="24"/>
      <c r="P17112"/>
      <c r="Q17112" s="24"/>
      <c r="R17112"/>
      <c r="S17112"/>
      <c r="T17112"/>
      <c r="U17112"/>
      <c r="X17112" s="60"/>
    </row>
    <row r="17113" spans="7:24" ht="15" customHeight="1">
      <c r="G17113"/>
      <c r="I17113"/>
      <c r="N17113"/>
      <c r="O17113" s="24"/>
      <c r="P17113"/>
      <c r="Q17113" s="24"/>
      <c r="R17113"/>
      <c r="S17113"/>
      <c r="T17113"/>
      <c r="U17113"/>
      <c r="X17113" s="60"/>
    </row>
    <row r="17114" spans="7:24" ht="15" customHeight="1">
      <c r="G17114"/>
      <c r="I17114"/>
      <c r="N17114"/>
      <c r="O17114" s="24"/>
      <c r="P17114"/>
      <c r="Q17114" s="24"/>
      <c r="R17114"/>
      <c r="S17114"/>
      <c r="T17114"/>
      <c r="U17114"/>
      <c r="X17114" s="60"/>
    </row>
    <row r="17115" spans="7:24" ht="15" customHeight="1">
      <c r="G17115"/>
      <c r="I17115"/>
      <c r="N17115"/>
      <c r="O17115" s="24"/>
      <c r="P17115"/>
      <c r="Q17115" s="24"/>
      <c r="R17115"/>
      <c r="S17115"/>
      <c r="T17115"/>
      <c r="U17115"/>
      <c r="X17115" s="60"/>
    </row>
    <row r="17116" spans="7:24" ht="15" customHeight="1">
      <c r="G17116"/>
      <c r="I17116"/>
      <c r="N17116"/>
      <c r="O17116" s="24"/>
      <c r="P17116"/>
      <c r="Q17116" s="24"/>
      <c r="R17116"/>
      <c r="S17116"/>
      <c r="T17116"/>
      <c r="U17116"/>
      <c r="X17116" s="60"/>
    </row>
    <row r="17117" spans="7:24" ht="15" customHeight="1">
      <c r="G17117"/>
      <c r="I17117"/>
      <c r="N17117"/>
      <c r="O17117" s="24"/>
      <c r="P17117"/>
      <c r="Q17117" s="24"/>
      <c r="R17117"/>
      <c r="S17117"/>
      <c r="T17117"/>
      <c r="U17117"/>
      <c r="X17117" s="60"/>
    </row>
    <row r="17118" spans="7:24" ht="15" customHeight="1">
      <c r="G17118"/>
      <c r="I17118"/>
      <c r="N17118"/>
      <c r="O17118" s="24"/>
      <c r="P17118"/>
      <c r="Q17118" s="24"/>
      <c r="R17118"/>
      <c r="S17118"/>
      <c r="T17118"/>
      <c r="U17118"/>
      <c r="X17118" s="60"/>
    </row>
    <row r="17119" spans="7:24" ht="15" customHeight="1">
      <c r="G17119"/>
      <c r="I17119"/>
      <c r="N17119"/>
      <c r="O17119" s="24"/>
      <c r="P17119"/>
      <c r="Q17119" s="24"/>
      <c r="R17119"/>
      <c r="S17119"/>
      <c r="T17119"/>
      <c r="U17119"/>
      <c r="X17119" s="60"/>
    </row>
    <row r="17120" spans="7:24" ht="15" customHeight="1">
      <c r="G17120"/>
      <c r="I17120"/>
      <c r="N17120"/>
      <c r="O17120" s="24"/>
      <c r="P17120"/>
      <c r="Q17120" s="24"/>
      <c r="R17120"/>
      <c r="S17120"/>
      <c r="T17120"/>
      <c r="U17120"/>
      <c r="X17120" s="60"/>
    </row>
    <row r="17121" spans="7:24" ht="15" customHeight="1">
      <c r="G17121"/>
      <c r="I17121"/>
      <c r="N17121"/>
      <c r="O17121" s="24"/>
      <c r="P17121"/>
      <c r="Q17121" s="24"/>
      <c r="R17121"/>
      <c r="S17121"/>
      <c r="T17121"/>
      <c r="U17121"/>
      <c r="X17121" s="60"/>
    </row>
    <row r="17122" spans="7:24" ht="15" customHeight="1">
      <c r="G17122"/>
      <c r="I17122"/>
      <c r="N17122"/>
      <c r="O17122" s="24"/>
      <c r="P17122"/>
      <c r="Q17122" s="24"/>
      <c r="R17122"/>
      <c r="S17122"/>
      <c r="T17122"/>
      <c r="U17122"/>
      <c r="X17122" s="60"/>
    </row>
    <row r="17123" spans="7:24" ht="15" customHeight="1">
      <c r="G17123"/>
      <c r="I17123"/>
      <c r="N17123"/>
      <c r="O17123" s="24"/>
      <c r="P17123"/>
      <c r="Q17123" s="24"/>
      <c r="R17123"/>
      <c r="S17123"/>
      <c r="T17123"/>
      <c r="U17123"/>
      <c r="X17123" s="60"/>
    </row>
    <row r="17124" spans="7:24" ht="15" customHeight="1">
      <c r="G17124"/>
      <c r="I17124"/>
      <c r="N17124"/>
      <c r="O17124" s="24"/>
      <c r="P17124"/>
      <c r="Q17124" s="24"/>
      <c r="R17124"/>
      <c r="S17124"/>
      <c r="T17124"/>
      <c r="U17124"/>
      <c r="X17124" s="60"/>
    </row>
    <row r="17125" spans="7:24" ht="15" customHeight="1">
      <c r="G17125"/>
      <c r="I17125"/>
      <c r="N17125"/>
      <c r="O17125" s="24"/>
      <c r="P17125"/>
      <c r="Q17125" s="24"/>
      <c r="R17125"/>
      <c r="S17125"/>
      <c r="T17125"/>
      <c r="U17125"/>
      <c r="X17125" s="60"/>
    </row>
    <row r="17126" spans="7:24" ht="15" customHeight="1">
      <c r="G17126"/>
      <c r="I17126"/>
      <c r="N17126"/>
      <c r="O17126" s="24"/>
      <c r="P17126"/>
      <c r="Q17126" s="24"/>
      <c r="R17126"/>
      <c r="S17126"/>
      <c r="T17126"/>
      <c r="U17126"/>
      <c r="X17126" s="60"/>
    </row>
    <row r="17127" spans="7:24" ht="15" customHeight="1">
      <c r="G17127"/>
      <c r="I17127"/>
      <c r="N17127"/>
      <c r="O17127" s="24"/>
      <c r="P17127"/>
      <c r="Q17127" s="24"/>
      <c r="R17127"/>
      <c r="S17127"/>
      <c r="T17127"/>
      <c r="U17127"/>
      <c r="X17127" s="60"/>
    </row>
    <row r="17128" spans="7:24" ht="15" customHeight="1">
      <c r="G17128"/>
      <c r="I17128"/>
      <c r="N17128"/>
      <c r="O17128" s="24"/>
      <c r="P17128"/>
      <c r="Q17128" s="24"/>
      <c r="R17128"/>
      <c r="S17128"/>
      <c r="T17128"/>
      <c r="U17128"/>
      <c r="X17128" s="60"/>
    </row>
    <row r="17129" spans="7:24" ht="15" customHeight="1">
      <c r="G17129"/>
      <c r="I17129"/>
      <c r="N17129"/>
      <c r="O17129" s="24"/>
      <c r="P17129"/>
      <c r="Q17129" s="24"/>
      <c r="R17129"/>
      <c r="S17129"/>
      <c r="T17129"/>
      <c r="U17129"/>
      <c r="X17129" s="60"/>
    </row>
    <row r="17130" spans="7:24" ht="15" customHeight="1">
      <c r="G17130"/>
      <c r="I17130"/>
      <c r="N17130"/>
      <c r="O17130" s="24"/>
      <c r="P17130"/>
      <c r="Q17130" s="24"/>
      <c r="R17130"/>
      <c r="S17130"/>
      <c r="T17130"/>
      <c r="U17130"/>
      <c r="X17130" s="60"/>
    </row>
    <row r="17131" spans="7:24" ht="15" customHeight="1">
      <c r="G17131"/>
      <c r="I17131"/>
      <c r="N17131"/>
      <c r="O17131" s="24"/>
      <c r="P17131"/>
      <c r="Q17131" s="24"/>
      <c r="R17131"/>
      <c r="S17131"/>
      <c r="T17131"/>
      <c r="U17131"/>
      <c r="X17131" s="60"/>
    </row>
    <row r="17132" spans="7:24" ht="15" customHeight="1">
      <c r="G17132"/>
      <c r="I17132"/>
      <c r="N17132"/>
      <c r="O17132" s="24"/>
      <c r="P17132"/>
      <c r="Q17132" s="24"/>
      <c r="R17132"/>
      <c r="S17132"/>
      <c r="T17132"/>
      <c r="U17132"/>
      <c r="X17132" s="60"/>
    </row>
    <row r="17133" spans="7:24" ht="15" customHeight="1">
      <c r="G17133"/>
      <c r="I17133"/>
      <c r="N17133"/>
      <c r="O17133" s="24"/>
      <c r="P17133"/>
      <c r="Q17133" s="24"/>
      <c r="R17133"/>
      <c r="S17133"/>
      <c r="T17133"/>
      <c r="U17133"/>
      <c r="X17133" s="60"/>
    </row>
    <row r="17134" spans="7:24" ht="15" customHeight="1">
      <c r="G17134"/>
      <c r="I17134"/>
      <c r="N17134"/>
      <c r="O17134" s="24"/>
      <c r="P17134"/>
      <c r="Q17134" s="24"/>
      <c r="R17134"/>
      <c r="S17134"/>
      <c r="T17134"/>
      <c r="U17134"/>
      <c r="X17134" s="60"/>
    </row>
    <row r="17135" spans="7:24" ht="15" customHeight="1">
      <c r="G17135"/>
      <c r="I17135"/>
      <c r="N17135"/>
      <c r="O17135" s="24"/>
      <c r="P17135"/>
      <c r="Q17135" s="24"/>
      <c r="R17135"/>
      <c r="S17135"/>
      <c r="T17135"/>
      <c r="U17135"/>
      <c r="X17135" s="60"/>
    </row>
    <row r="17136" spans="7:24" ht="15" customHeight="1">
      <c r="G17136"/>
      <c r="I17136"/>
      <c r="N17136"/>
      <c r="O17136" s="24"/>
      <c r="P17136"/>
      <c r="Q17136" s="24"/>
      <c r="R17136"/>
      <c r="S17136"/>
      <c r="T17136"/>
      <c r="U17136"/>
      <c r="X17136" s="60"/>
    </row>
    <row r="17137" spans="7:24" ht="15" customHeight="1">
      <c r="G17137"/>
      <c r="I17137"/>
      <c r="N17137"/>
      <c r="O17137" s="24"/>
      <c r="P17137"/>
      <c r="Q17137" s="24"/>
      <c r="R17137"/>
      <c r="S17137"/>
      <c r="T17137"/>
      <c r="U17137"/>
      <c r="X17137" s="60"/>
    </row>
    <row r="17138" spans="7:24" ht="15" customHeight="1">
      <c r="G17138"/>
      <c r="I17138"/>
      <c r="N17138"/>
      <c r="O17138" s="24"/>
      <c r="P17138"/>
      <c r="Q17138" s="24"/>
      <c r="R17138"/>
      <c r="S17138"/>
      <c r="T17138"/>
      <c r="U17138"/>
      <c r="X17138" s="60"/>
    </row>
    <row r="17139" spans="7:24" ht="15" customHeight="1">
      <c r="G17139"/>
      <c r="I17139"/>
      <c r="N17139"/>
      <c r="O17139" s="24"/>
      <c r="P17139"/>
      <c r="Q17139" s="24"/>
      <c r="R17139"/>
      <c r="S17139"/>
      <c r="T17139"/>
      <c r="U17139"/>
      <c r="X17139" s="60"/>
    </row>
    <row r="17140" spans="7:24" ht="15" customHeight="1">
      <c r="G17140"/>
      <c r="I17140"/>
      <c r="N17140"/>
      <c r="O17140" s="24"/>
      <c r="P17140"/>
      <c r="Q17140" s="24"/>
      <c r="R17140"/>
      <c r="S17140"/>
      <c r="T17140"/>
      <c r="U17140"/>
      <c r="X17140" s="60"/>
    </row>
    <row r="17141" spans="7:24" ht="15" customHeight="1">
      <c r="G17141"/>
      <c r="I17141"/>
      <c r="N17141"/>
      <c r="O17141" s="24"/>
      <c r="P17141"/>
      <c r="Q17141" s="24"/>
      <c r="R17141"/>
      <c r="S17141"/>
      <c r="T17141"/>
      <c r="U17141"/>
      <c r="X17141" s="60"/>
    </row>
    <row r="17142" spans="7:24" ht="15" customHeight="1">
      <c r="G17142"/>
      <c r="I17142"/>
      <c r="N17142"/>
      <c r="O17142" s="24"/>
      <c r="P17142"/>
      <c r="Q17142" s="24"/>
      <c r="R17142"/>
      <c r="S17142"/>
      <c r="T17142"/>
      <c r="U17142"/>
      <c r="X17142" s="60"/>
    </row>
    <row r="17143" spans="7:24" ht="15" customHeight="1">
      <c r="G17143"/>
      <c r="I17143"/>
      <c r="N17143"/>
      <c r="O17143" s="24"/>
      <c r="P17143"/>
      <c r="Q17143" s="24"/>
      <c r="R17143"/>
      <c r="S17143"/>
      <c r="T17143"/>
      <c r="U17143"/>
      <c r="X17143" s="60"/>
    </row>
    <row r="17144" spans="7:24" ht="15" customHeight="1">
      <c r="G17144"/>
      <c r="I17144"/>
      <c r="N17144"/>
      <c r="O17144" s="24"/>
      <c r="P17144"/>
      <c r="Q17144" s="24"/>
      <c r="R17144"/>
      <c r="S17144"/>
      <c r="T17144"/>
      <c r="U17144"/>
      <c r="X17144" s="60"/>
    </row>
    <row r="17145" spans="7:24" ht="15" customHeight="1">
      <c r="G17145"/>
      <c r="I17145"/>
      <c r="N17145"/>
      <c r="O17145" s="24"/>
      <c r="P17145"/>
      <c r="Q17145" s="24"/>
      <c r="R17145"/>
      <c r="S17145"/>
      <c r="T17145"/>
      <c r="U17145"/>
      <c r="X17145" s="60"/>
    </row>
    <row r="17146" spans="7:24" ht="15" customHeight="1">
      <c r="G17146"/>
      <c r="I17146"/>
      <c r="N17146"/>
      <c r="O17146" s="24"/>
      <c r="P17146"/>
      <c r="Q17146" s="24"/>
      <c r="R17146"/>
      <c r="S17146"/>
      <c r="T17146"/>
      <c r="U17146"/>
      <c r="X17146" s="60"/>
    </row>
    <row r="17147" spans="7:24" ht="15" customHeight="1">
      <c r="G17147"/>
      <c r="I17147"/>
      <c r="N17147"/>
      <c r="O17147" s="24"/>
      <c r="P17147"/>
      <c r="Q17147" s="24"/>
      <c r="R17147"/>
      <c r="S17147"/>
      <c r="T17147"/>
      <c r="U17147"/>
      <c r="X17147" s="60"/>
    </row>
    <row r="17148" spans="7:24" ht="15" customHeight="1">
      <c r="G17148"/>
      <c r="I17148"/>
      <c r="N17148"/>
      <c r="O17148" s="24"/>
      <c r="P17148"/>
      <c r="Q17148" s="24"/>
      <c r="R17148"/>
      <c r="S17148"/>
      <c r="T17148"/>
      <c r="U17148"/>
      <c r="X17148" s="60"/>
    </row>
    <row r="17149" spans="7:24" ht="15" customHeight="1">
      <c r="G17149"/>
      <c r="I17149"/>
      <c r="N17149"/>
      <c r="O17149" s="24"/>
      <c r="P17149"/>
      <c r="Q17149" s="24"/>
      <c r="R17149"/>
      <c r="S17149"/>
      <c r="T17149"/>
      <c r="U17149"/>
      <c r="X17149" s="60"/>
    </row>
    <row r="17150" spans="7:24" ht="15" customHeight="1">
      <c r="G17150"/>
      <c r="I17150"/>
      <c r="N17150"/>
      <c r="O17150" s="24"/>
      <c r="P17150"/>
      <c r="Q17150" s="24"/>
      <c r="R17150"/>
      <c r="S17150"/>
      <c r="T17150"/>
      <c r="U17150"/>
      <c r="X17150" s="60"/>
    </row>
    <row r="17151" spans="7:24" ht="15" customHeight="1">
      <c r="G17151"/>
      <c r="I17151"/>
      <c r="N17151"/>
      <c r="O17151" s="24"/>
      <c r="P17151"/>
      <c r="Q17151" s="24"/>
      <c r="R17151"/>
      <c r="S17151"/>
      <c r="T17151"/>
      <c r="U17151"/>
      <c r="X17151" s="60"/>
    </row>
    <row r="17152" spans="7:24" ht="15" customHeight="1">
      <c r="G17152"/>
      <c r="I17152"/>
      <c r="N17152"/>
      <c r="O17152" s="24"/>
      <c r="P17152"/>
      <c r="Q17152" s="24"/>
      <c r="R17152"/>
      <c r="S17152"/>
      <c r="T17152"/>
      <c r="U17152"/>
      <c r="X17152" s="60"/>
    </row>
    <row r="17153" spans="7:24" ht="15" customHeight="1">
      <c r="G17153"/>
      <c r="I17153"/>
      <c r="N17153"/>
      <c r="O17153" s="24"/>
      <c r="P17153"/>
      <c r="Q17153" s="24"/>
      <c r="R17153"/>
      <c r="S17153"/>
      <c r="T17153"/>
      <c r="U17153"/>
      <c r="X17153" s="60"/>
    </row>
    <row r="17154" spans="7:24" ht="15" customHeight="1">
      <c r="G17154"/>
      <c r="I17154"/>
      <c r="N17154"/>
      <c r="O17154" s="24"/>
      <c r="P17154"/>
      <c r="Q17154" s="24"/>
      <c r="R17154"/>
      <c r="S17154"/>
      <c r="T17154"/>
      <c r="U17154"/>
      <c r="X17154" s="60"/>
    </row>
    <row r="17155" spans="7:24" ht="15" customHeight="1">
      <c r="G17155"/>
      <c r="I17155"/>
      <c r="N17155"/>
      <c r="O17155" s="24"/>
      <c r="P17155"/>
      <c r="Q17155" s="24"/>
      <c r="R17155"/>
      <c r="S17155"/>
      <c r="T17155"/>
      <c r="U17155"/>
      <c r="X17155" s="60"/>
    </row>
    <row r="17156" spans="7:24" ht="15" customHeight="1">
      <c r="G17156"/>
      <c r="I17156"/>
      <c r="N17156"/>
      <c r="O17156" s="24"/>
      <c r="P17156"/>
      <c r="Q17156" s="24"/>
      <c r="R17156"/>
      <c r="S17156"/>
      <c r="T17156"/>
      <c r="U17156"/>
      <c r="X17156" s="60"/>
    </row>
    <row r="17157" spans="7:24" ht="15" customHeight="1">
      <c r="G17157"/>
      <c r="I17157"/>
      <c r="N17157"/>
      <c r="O17157" s="24"/>
      <c r="P17157"/>
      <c r="Q17157" s="24"/>
      <c r="R17157"/>
      <c r="S17157"/>
      <c r="T17157"/>
      <c r="U17157"/>
      <c r="X17157" s="60"/>
    </row>
    <row r="17158" spans="7:24" ht="15" customHeight="1">
      <c r="G17158"/>
      <c r="I17158"/>
      <c r="N17158"/>
      <c r="O17158" s="24"/>
      <c r="P17158"/>
      <c r="Q17158" s="24"/>
      <c r="R17158"/>
      <c r="S17158"/>
      <c r="T17158"/>
      <c r="U17158"/>
      <c r="X17158" s="60"/>
    </row>
    <row r="17159" spans="7:24" ht="15" customHeight="1">
      <c r="G17159"/>
      <c r="I17159"/>
      <c r="N17159"/>
      <c r="O17159" s="24"/>
      <c r="P17159"/>
      <c r="Q17159" s="24"/>
      <c r="R17159"/>
      <c r="S17159"/>
      <c r="T17159"/>
      <c r="U17159"/>
      <c r="X17159" s="60"/>
    </row>
    <row r="17160" spans="7:24" ht="15" customHeight="1">
      <c r="G17160"/>
      <c r="I17160"/>
      <c r="N17160"/>
      <c r="O17160" s="24"/>
      <c r="P17160"/>
      <c r="Q17160" s="24"/>
      <c r="R17160"/>
      <c r="S17160"/>
      <c r="T17160"/>
      <c r="U17160"/>
      <c r="X17160" s="60"/>
    </row>
    <row r="17161" spans="7:24" ht="15" customHeight="1">
      <c r="G17161"/>
      <c r="I17161"/>
      <c r="N17161"/>
      <c r="O17161" s="24"/>
      <c r="P17161"/>
      <c r="Q17161" s="24"/>
      <c r="R17161"/>
      <c r="S17161"/>
      <c r="T17161"/>
      <c r="U17161"/>
      <c r="X17161" s="60"/>
    </row>
    <row r="17162" spans="7:24" ht="15" customHeight="1">
      <c r="G17162"/>
      <c r="I17162"/>
      <c r="N17162"/>
      <c r="O17162" s="24"/>
      <c r="P17162"/>
      <c r="Q17162" s="24"/>
      <c r="R17162"/>
      <c r="S17162"/>
      <c r="T17162"/>
      <c r="U17162"/>
      <c r="X17162" s="60"/>
    </row>
    <row r="17163" spans="7:24" ht="15" customHeight="1">
      <c r="G17163"/>
      <c r="I17163"/>
      <c r="N17163"/>
      <c r="O17163" s="24"/>
      <c r="P17163"/>
      <c r="Q17163" s="24"/>
      <c r="R17163"/>
      <c r="S17163"/>
      <c r="T17163"/>
      <c r="U17163"/>
      <c r="X17163" s="60"/>
    </row>
    <row r="17164" spans="7:24" ht="15" customHeight="1">
      <c r="G17164"/>
      <c r="I17164"/>
      <c r="N17164"/>
      <c r="O17164" s="24"/>
      <c r="P17164"/>
      <c r="Q17164" s="24"/>
      <c r="R17164"/>
      <c r="S17164"/>
      <c r="T17164"/>
      <c r="U17164"/>
      <c r="X17164" s="60"/>
    </row>
    <row r="17165" spans="7:24" ht="15" customHeight="1">
      <c r="G17165"/>
      <c r="I17165"/>
      <c r="N17165"/>
      <c r="O17165" s="24"/>
      <c r="P17165"/>
      <c r="Q17165" s="24"/>
      <c r="R17165"/>
      <c r="S17165"/>
      <c r="T17165"/>
      <c r="U17165"/>
      <c r="X17165" s="60"/>
    </row>
    <row r="17166" spans="7:24" ht="15" customHeight="1">
      <c r="G17166"/>
      <c r="I17166"/>
      <c r="N17166"/>
      <c r="O17166" s="24"/>
      <c r="P17166"/>
      <c r="Q17166" s="24"/>
      <c r="R17166"/>
      <c r="S17166"/>
      <c r="T17166"/>
      <c r="U17166"/>
      <c r="X17166" s="60"/>
    </row>
    <row r="17167" spans="7:24" ht="15" customHeight="1">
      <c r="G17167"/>
      <c r="I17167"/>
      <c r="N17167"/>
      <c r="O17167" s="24"/>
      <c r="P17167"/>
      <c r="Q17167" s="24"/>
      <c r="R17167"/>
      <c r="S17167"/>
      <c r="T17167"/>
      <c r="U17167"/>
      <c r="X17167" s="60"/>
    </row>
    <row r="17168" spans="7:24" ht="15" customHeight="1">
      <c r="G17168"/>
      <c r="I17168"/>
      <c r="N17168"/>
      <c r="O17168" s="24"/>
      <c r="P17168"/>
      <c r="Q17168" s="24"/>
      <c r="R17168"/>
      <c r="S17168"/>
      <c r="T17168"/>
      <c r="U17168"/>
      <c r="X17168" s="60"/>
    </row>
    <row r="17169" spans="7:24" ht="15" customHeight="1">
      <c r="G17169"/>
      <c r="I17169"/>
      <c r="N17169"/>
      <c r="O17169" s="24"/>
      <c r="P17169"/>
      <c r="Q17169" s="24"/>
      <c r="R17169"/>
      <c r="S17169"/>
      <c r="T17169"/>
      <c r="U17169"/>
      <c r="X17169" s="60"/>
    </row>
    <row r="17170" spans="7:24" ht="15" customHeight="1">
      <c r="G17170"/>
      <c r="I17170"/>
      <c r="N17170"/>
      <c r="O17170" s="24"/>
      <c r="P17170"/>
      <c r="Q17170" s="24"/>
      <c r="R17170"/>
      <c r="S17170"/>
      <c r="T17170"/>
      <c r="U17170"/>
      <c r="X17170" s="60"/>
    </row>
    <row r="17171" spans="7:24" ht="15" customHeight="1">
      <c r="G17171"/>
      <c r="I17171"/>
      <c r="N17171"/>
      <c r="O17171" s="24"/>
      <c r="P17171"/>
      <c r="Q17171" s="24"/>
      <c r="R17171"/>
      <c r="S17171"/>
      <c r="T17171"/>
      <c r="U17171"/>
      <c r="X17171" s="60"/>
    </row>
    <row r="17172" spans="7:24" ht="15" customHeight="1">
      <c r="G17172"/>
      <c r="I17172"/>
      <c r="N17172"/>
      <c r="O17172" s="24"/>
      <c r="P17172"/>
      <c r="Q17172" s="24"/>
      <c r="R17172"/>
      <c r="S17172"/>
      <c r="T17172"/>
      <c r="U17172"/>
      <c r="X17172" s="60"/>
    </row>
    <row r="17173" spans="7:24" ht="15" customHeight="1">
      <c r="G17173"/>
      <c r="I17173"/>
      <c r="N17173"/>
      <c r="O17173" s="24"/>
      <c r="P17173"/>
      <c r="Q17173" s="24"/>
      <c r="R17173"/>
      <c r="S17173"/>
      <c r="T17173"/>
      <c r="U17173"/>
      <c r="X17173" s="60"/>
    </row>
    <row r="17174" spans="7:24" ht="15" customHeight="1">
      <c r="G17174"/>
      <c r="I17174"/>
      <c r="N17174"/>
      <c r="O17174" s="24"/>
      <c r="P17174"/>
      <c r="Q17174" s="24"/>
      <c r="R17174"/>
      <c r="S17174"/>
      <c r="T17174"/>
      <c r="U17174"/>
      <c r="X17174" s="60"/>
    </row>
    <row r="17175" spans="7:24" ht="15" customHeight="1">
      <c r="G17175"/>
      <c r="I17175"/>
      <c r="N17175"/>
      <c r="O17175" s="24"/>
      <c r="P17175"/>
      <c r="Q17175" s="24"/>
      <c r="R17175"/>
      <c r="S17175"/>
      <c r="T17175"/>
      <c r="U17175"/>
      <c r="X17175" s="60"/>
    </row>
    <row r="17176" spans="7:24" ht="15" customHeight="1">
      <c r="G17176"/>
      <c r="I17176"/>
      <c r="N17176"/>
      <c r="O17176" s="24"/>
      <c r="P17176"/>
      <c r="Q17176" s="24"/>
      <c r="R17176"/>
      <c r="S17176"/>
      <c r="T17176"/>
      <c r="U17176"/>
      <c r="X17176" s="60"/>
    </row>
    <row r="17177" spans="7:24" ht="15" customHeight="1">
      <c r="G17177"/>
      <c r="I17177"/>
      <c r="N17177"/>
      <c r="O17177" s="24"/>
      <c r="P17177"/>
      <c r="Q17177" s="24"/>
      <c r="R17177"/>
      <c r="S17177"/>
      <c r="T17177"/>
      <c r="U17177"/>
      <c r="X17177" s="60"/>
    </row>
    <row r="17178" spans="7:24" ht="15" customHeight="1">
      <c r="G17178"/>
      <c r="I17178"/>
      <c r="N17178"/>
      <c r="O17178" s="24"/>
      <c r="P17178"/>
      <c r="Q17178" s="24"/>
      <c r="R17178"/>
      <c r="S17178"/>
      <c r="T17178"/>
      <c r="U17178"/>
      <c r="X17178" s="60"/>
    </row>
    <row r="17179" spans="7:24" ht="15" customHeight="1">
      <c r="G17179"/>
      <c r="I17179"/>
      <c r="N17179"/>
      <c r="O17179" s="24"/>
      <c r="P17179"/>
      <c r="Q17179" s="24"/>
      <c r="R17179"/>
      <c r="S17179"/>
      <c r="T17179"/>
      <c r="U17179"/>
      <c r="X17179" s="60"/>
    </row>
    <row r="17180" spans="7:24" ht="15" customHeight="1">
      <c r="G17180"/>
      <c r="I17180"/>
      <c r="N17180"/>
      <c r="O17180" s="24"/>
      <c r="P17180"/>
      <c r="Q17180" s="24"/>
      <c r="R17180"/>
      <c r="S17180"/>
      <c r="T17180"/>
      <c r="U17180"/>
      <c r="X17180" s="60"/>
    </row>
    <row r="17181" spans="7:24" ht="15" customHeight="1">
      <c r="G17181"/>
      <c r="I17181"/>
      <c r="N17181"/>
      <c r="O17181" s="24"/>
      <c r="P17181"/>
      <c r="Q17181" s="24"/>
      <c r="R17181"/>
      <c r="S17181"/>
      <c r="T17181"/>
      <c r="U17181"/>
      <c r="X17181" s="60"/>
    </row>
    <row r="17182" spans="7:24" ht="15" customHeight="1">
      <c r="G17182"/>
      <c r="I17182"/>
      <c r="N17182"/>
      <c r="O17182" s="24"/>
      <c r="P17182"/>
      <c r="Q17182" s="24"/>
      <c r="R17182"/>
      <c r="S17182"/>
      <c r="T17182"/>
      <c r="U17182"/>
      <c r="X17182" s="60"/>
    </row>
    <row r="17183" spans="7:24" ht="15" customHeight="1">
      <c r="G17183"/>
      <c r="I17183"/>
      <c r="N17183"/>
      <c r="O17183" s="24"/>
      <c r="P17183"/>
      <c r="Q17183" s="24"/>
      <c r="R17183"/>
      <c r="S17183"/>
      <c r="T17183"/>
      <c r="U17183"/>
      <c r="X17183" s="60"/>
    </row>
    <row r="17184" spans="7:24" ht="15" customHeight="1">
      <c r="G17184"/>
      <c r="I17184"/>
      <c r="N17184"/>
      <c r="O17184" s="24"/>
      <c r="P17184"/>
      <c r="Q17184" s="24"/>
      <c r="R17184"/>
      <c r="S17184"/>
      <c r="T17184"/>
      <c r="U17184"/>
      <c r="X17184" s="60"/>
    </row>
    <row r="17185" spans="7:24" ht="15" customHeight="1">
      <c r="G17185"/>
      <c r="I17185"/>
      <c r="N17185"/>
      <c r="O17185" s="24"/>
      <c r="P17185"/>
      <c r="Q17185" s="24"/>
      <c r="R17185"/>
      <c r="S17185"/>
      <c r="T17185"/>
      <c r="U17185"/>
      <c r="X17185" s="60"/>
    </row>
    <row r="17186" spans="7:24" ht="15" customHeight="1">
      <c r="G17186"/>
      <c r="I17186"/>
      <c r="N17186"/>
      <c r="O17186" s="24"/>
      <c r="P17186"/>
      <c r="Q17186" s="24"/>
      <c r="R17186"/>
      <c r="S17186"/>
      <c r="T17186"/>
      <c r="U17186"/>
      <c r="X17186" s="60"/>
    </row>
    <row r="17187" spans="7:24" ht="15" customHeight="1">
      <c r="G17187"/>
      <c r="I17187"/>
      <c r="N17187"/>
      <c r="O17187" s="24"/>
      <c r="P17187"/>
      <c r="Q17187" s="24"/>
      <c r="R17187"/>
      <c r="S17187"/>
      <c r="T17187"/>
      <c r="U17187"/>
      <c r="X17187" s="60"/>
    </row>
    <row r="17188" spans="7:24" ht="15" customHeight="1">
      <c r="G17188"/>
      <c r="I17188"/>
      <c r="N17188"/>
      <c r="O17188" s="24"/>
      <c r="P17188"/>
      <c r="Q17188" s="24"/>
      <c r="R17188"/>
      <c r="S17188"/>
      <c r="T17188"/>
      <c r="U17188"/>
      <c r="X17188" s="60"/>
    </row>
    <row r="17189" spans="7:24" ht="15" customHeight="1">
      <c r="G17189"/>
      <c r="I17189"/>
      <c r="N17189"/>
      <c r="O17189" s="24"/>
      <c r="P17189"/>
      <c r="Q17189" s="24"/>
      <c r="R17189"/>
      <c r="S17189"/>
      <c r="T17189"/>
      <c r="U17189"/>
      <c r="X17189" s="60"/>
    </row>
    <row r="17190" spans="7:24" ht="15" customHeight="1">
      <c r="G17190"/>
      <c r="I17190"/>
      <c r="N17190"/>
      <c r="O17190" s="24"/>
      <c r="P17190"/>
      <c r="Q17190" s="24"/>
      <c r="R17190"/>
      <c r="S17190"/>
      <c r="T17190"/>
      <c r="U17190"/>
      <c r="X17190" s="60"/>
    </row>
    <row r="17191" spans="7:24" ht="15" customHeight="1">
      <c r="G17191"/>
      <c r="I17191"/>
      <c r="N17191"/>
      <c r="O17191" s="24"/>
      <c r="P17191"/>
      <c r="Q17191" s="24"/>
      <c r="R17191"/>
      <c r="S17191"/>
      <c r="T17191"/>
      <c r="U17191"/>
      <c r="X17191" s="60"/>
    </row>
    <row r="17192" spans="7:24" ht="15" customHeight="1">
      <c r="G17192"/>
      <c r="I17192"/>
      <c r="N17192"/>
      <c r="O17192" s="24"/>
      <c r="P17192"/>
      <c r="Q17192" s="24"/>
      <c r="R17192"/>
      <c r="S17192"/>
      <c r="T17192"/>
      <c r="U17192"/>
      <c r="X17192" s="60"/>
    </row>
    <row r="17193" spans="7:24" ht="15" customHeight="1">
      <c r="G17193"/>
      <c r="I17193"/>
      <c r="N17193"/>
      <c r="O17193" s="24"/>
      <c r="P17193"/>
      <c r="Q17193" s="24"/>
      <c r="R17193"/>
      <c r="S17193"/>
      <c r="T17193"/>
      <c r="U17193"/>
      <c r="X17193" s="60"/>
    </row>
    <row r="17194" spans="7:24" ht="15" customHeight="1">
      <c r="G17194"/>
      <c r="I17194"/>
      <c r="N17194"/>
      <c r="O17194" s="24"/>
      <c r="P17194"/>
      <c r="Q17194" s="24"/>
      <c r="R17194"/>
      <c r="S17194"/>
      <c r="T17194"/>
      <c r="U17194"/>
      <c r="X17194" s="60"/>
    </row>
    <row r="17195" spans="7:24" ht="15" customHeight="1">
      <c r="G17195"/>
      <c r="I17195"/>
      <c r="N17195"/>
      <c r="O17195" s="24"/>
      <c r="P17195"/>
      <c r="Q17195" s="24"/>
      <c r="R17195"/>
      <c r="S17195"/>
      <c r="T17195"/>
      <c r="U17195"/>
      <c r="X17195" s="60"/>
    </row>
    <row r="17196" spans="7:24" ht="15" customHeight="1">
      <c r="G17196"/>
      <c r="I17196"/>
      <c r="N17196"/>
      <c r="O17196" s="24"/>
      <c r="P17196"/>
      <c r="Q17196" s="24"/>
      <c r="R17196"/>
      <c r="S17196"/>
      <c r="T17196"/>
      <c r="U17196"/>
      <c r="X17196" s="60"/>
    </row>
    <row r="17197" spans="7:24" ht="15" customHeight="1">
      <c r="G17197"/>
      <c r="I17197"/>
      <c r="N17197"/>
      <c r="O17197" s="24"/>
      <c r="P17197"/>
      <c r="Q17197" s="24"/>
      <c r="R17197"/>
      <c r="S17197"/>
      <c r="T17197"/>
      <c r="U17197"/>
      <c r="X17197" s="60"/>
    </row>
    <row r="17198" spans="7:24" ht="15" customHeight="1">
      <c r="G17198"/>
      <c r="I17198"/>
      <c r="N17198"/>
      <c r="O17198" s="24"/>
      <c r="P17198"/>
      <c r="Q17198" s="24"/>
      <c r="R17198"/>
      <c r="S17198"/>
      <c r="T17198"/>
      <c r="U17198"/>
      <c r="X17198" s="60"/>
    </row>
    <row r="17199" spans="7:24" ht="15" customHeight="1">
      <c r="G17199"/>
      <c r="I17199"/>
      <c r="N17199"/>
      <c r="O17199" s="24"/>
      <c r="P17199"/>
      <c r="Q17199" s="24"/>
      <c r="R17199"/>
      <c r="S17199"/>
      <c r="T17199"/>
      <c r="U17199"/>
      <c r="X17199" s="60"/>
    </row>
    <row r="17200" spans="7:24" ht="15" customHeight="1">
      <c r="G17200"/>
      <c r="I17200"/>
      <c r="N17200"/>
      <c r="O17200" s="24"/>
      <c r="P17200"/>
      <c r="Q17200" s="24"/>
      <c r="R17200"/>
      <c r="S17200"/>
      <c r="T17200"/>
      <c r="U17200"/>
      <c r="X17200" s="60"/>
    </row>
    <row r="17201" spans="7:24" ht="15" customHeight="1">
      <c r="G17201"/>
      <c r="I17201"/>
      <c r="N17201"/>
      <c r="O17201" s="24"/>
      <c r="P17201"/>
      <c r="Q17201" s="24"/>
      <c r="R17201"/>
      <c r="S17201"/>
      <c r="T17201"/>
      <c r="U17201"/>
      <c r="X17201" s="60"/>
    </row>
    <row r="17202" spans="7:24" ht="15" customHeight="1">
      <c r="G17202"/>
      <c r="I17202"/>
      <c r="N17202"/>
      <c r="O17202" s="24"/>
      <c r="P17202"/>
      <c r="Q17202" s="24"/>
      <c r="R17202"/>
      <c r="S17202"/>
      <c r="T17202"/>
      <c r="U17202"/>
      <c r="X17202" s="60"/>
    </row>
    <row r="17203" spans="7:24" ht="15" customHeight="1">
      <c r="G17203"/>
      <c r="I17203"/>
      <c r="N17203"/>
      <c r="O17203" s="24"/>
      <c r="P17203"/>
      <c r="Q17203" s="24"/>
      <c r="R17203"/>
      <c r="S17203"/>
      <c r="T17203"/>
      <c r="U17203"/>
      <c r="X17203" s="60"/>
    </row>
    <row r="17204" spans="7:24" ht="15" customHeight="1">
      <c r="G17204"/>
      <c r="I17204"/>
      <c r="N17204"/>
      <c r="O17204" s="24"/>
      <c r="P17204"/>
      <c r="Q17204" s="24"/>
      <c r="R17204"/>
      <c r="S17204"/>
      <c r="T17204"/>
      <c r="U17204"/>
      <c r="X17204" s="60"/>
    </row>
    <row r="17205" spans="7:24" ht="15" customHeight="1">
      <c r="G17205"/>
      <c r="I17205"/>
      <c r="N17205"/>
      <c r="O17205" s="24"/>
      <c r="P17205"/>
      <c r="Q17205" s="24"/>
      <c r="R17205"/>
      <c r="S17205"/>
      <c r="T17205"/>
      <c r="U17205"/>
      <c r="X17205" s="60"/>
    </row>
    <row r="17206" spans="7:24" ht="15" customHeight="1">
      <c r="G17206"/>
      <c r="I17206"/>
      <c r="N17206"/>
      <c r="O17206" s="24"/>
      <c r="P17206"/>
      <c r="Q17206" s="24"/>
      <c r="R17206"/>
      <c r="S17206"/>
      <c r="T17206"/>
      <c r="U17206"/>
      <c r="X17206" s="60"/>
    </row>
    <row r="17207" spans="7:24" ht="15" customHeight="1">
      <c r="G17207"/>
      <c r="I17207"/>
      <c r="N17207"/>
      <c r="O17207" s="24"/>
      <c r="P17207"/>
      <c r="Q17207" s="24"/>
      <c r="R17207"/>
      <c r="S17207"/>
      <c r="T17207"/>
      <c r="U17207"/>
      <c r="X17207" s="60"/>
    </row>
    <row r="17208" spans="7:24" ht="15" customHeight="1">
      <c r="G17208"/>
      <c r="I17208"/>
      <c r="N17208"/>
      <c r="O17208" s="24"/>
      <c r="P17208"/>
      <c r="Q17208" s="24"/>
      <c r="R17208"/>
      <c r="S17208"/>
      <c r="T17208"/>
      <c r="U17208"/>
      <c r="X17208" s="60"/>
    </row>
    <row r="17209" spans="7:24" ht="15" customHeight="1">
      <c r="G17209"/>
      <c r="I17209"/>
      <c r="N17209"/>
      <c r="O17209" s="24"/>
      <c r="P17209"/>
      <c r="Q17209" s="24"/>
      <c r="R17209"/>
      <c r="S17209"/>
      <c r="T17209"/>
      <c r="U17209"/>
      <c r="X17209" s="60"/>
    </row>
    <row r="17210" spans="7:24" ht="15" customHeight="1">
      <c r="G17210"/>
      <c r="I17210"/>
      <c r="N17210"/>
      <c r="O17210" s="24"/>
      <c r="P17210"/>
      <c r="Q17210" s="24"/>
      <c r="R17210"/>
      <c r="S17210"/>
      <c r="T17210"/>
      <c r="U17210"/>
      <c r="X17210" s="60"/>
    </row>
    <row r="17211" spans="7:24" ht="15" customHeight="1">
      <c r="G17211"/>
      <c r="I17211"/>
      <c r="N17211"/>
      <c r="O17211" s="24"/>
      <c r="P17211"/>
      <c r="Q17211" s="24"/>
      <c r="R17211"/>
      <c r="S17211"/>
      <c r="T17211"/>
      <c r="U17211"/>
      <c r="X17211" s="60"/>
    </row>
    <row r="17212" spans="7:24" ht="15" customHeight="1">
      <c r="G17212"/>
      <c r="I17212"/>
      <c r="N17212"/>
      <c r="O17212" s="24"/>
      <c r="P17212"/>
      <c r="Q17212" s="24"/>
      <c r="R17212"/>
      <c r="S17212"/>
      <c r="T17212"/>
      <c r="U17212"/>
      <c r="X17212" s="60"/>
    </row>
    <row r="17213" spans="7:24" ht="15" customHeight="1">
      <c r="G17213"/>
      <c r="I17213"/>
      <c r="N17213"/>
      <c r="O17213" s="24"/>
      <c r="P17213"/>
      <c r="Q17213" s="24"/>
      <c r="R17213"/>
      <c r="S17213"/>
      <c r="T17213"/>
      <c r="U17213"/>
      <c r="X17213" s="60"/>
    </row>
    <row r="17214" spans="7:24" ht="15" customHeight="1">
      <c r="G17214"/>
      <c r="I17214"/>
      <c r="N17214"/>
      <c r="O17214" s="24"/>
      <c r="P17214"/>
      <c r="Q17214" s="24"/>
      <c r="R17214"/>
      <c r="S17214"/>
      <c r="T17214"/>
      <c r="U17214"/>
      <c r="X17214" s="60"/>
    </row>
    <row r="17215" spans="7:24" ht="15" customHeight="1">
      <c r="G17215"/>
      <c r="I17215"/>
      <c r="N17215"/>
      <c r="O17215" s="24"/>
      <c r="P17215"/>
      <c r="Q17215" s="24"/>
      <c r="R17215"/>
      <c r="S17215"/>
      <c r="T17215"/>
      <c r="U17215"/>
      <c r="X17215" s="60"/>
    </row>
    <row r="17216" spans="7:24" ht="15" customHeight="1">
      <c r="G17216"/>
      <c r="I17216"/>
      <c r="N17216"/>
      <c r="O17216" s="24"/>
      <c r="P17216"/>
      <c r="Q17216" s="24"/>
      <c r="R17216"/>
      <c r="S17216"/>
      <c r="T17216"/>
      <c r="U17216"/>
      <c r="X17216" s="60"/>
    </row>
    <row r="17217" spans="7:24" ht="15" customHeight="1">
      <c r="G17217"/>
      <c r="I17217"/>
      <c r="N17217"/>
      <c r="O17217" s="24"/>
      <c r="P17217"/>
      <c r="Q17217" s="24"/>
      <c r="R17217"/>
      <c r="S17217"/>
      <c r="T17217"/>
      <c r="U17217"/>
      <c r="X17217" s="60"/>
    </row>
    <row r="17218" spans="7:24" ht="15" customHeight="1">
      <c r="G17218"/>
      <c r="I17218"/>
      <c r="N17218"/>
      <c r="O17218" s="24"/>
      <c r="P17218"/>
      <c r="Q17218" s="24"/>
      <c r="R17218"/>
      <c r="S17218"/>
      <c r="T17218"/>
      <c r="U17218"/>
      <c r="X17218" s="60"/>
    </row>
    <row r="17219" spans="7:24" ht="15" customHeight="1">
      <c r="G17219"/>
      <c r="I17219"/>
      <c r="N17219"/>
      <c r="O17219" s="24"/>
      <c r="P17219"/>
      <c r="Q17219" s="24"/>
      <c r="R17219"/>
      <c r="S17219"/>
      <c r="T17219"/>
      <c r="U17219"/>
      <c r="X17219" s="60"/>
    </row>
    <row r="17220" spans="7:24" ht="15" customHeight="1">
      <c r="G17220"/>
      <c r="I17220"/>
      <c r="N17220"/>
      <c r="O17220" s="24"/>
      <c r="P17220"/>
      <c r="Q17220" s="24"/>
      <c r="R17220"/>
      <c r="S17220"/>
      <c r="T17220"/>
      <c r="U17220"/>
      <c r="X17220" s="60"/>
    </row>
    <row r="17221" spans="7:24" ht="15" customHeight="1">
      <c r="G17221"/>
      <c r="I17221"/>
      <c r="N17221"/>
      <c r="O17221" s="24"/>
      <c r="P17221"/>
      <c r="Q17221" s="24"/>
      <c r="R17221"/>
      <c r="S17221"/>
      <c r="T17221"/>
      <c r="U17221"/>
      <c r="X17221" s="60"/>
    </row>
    <row r="17222" spans="7:24" ht="15" customHeight="1">
      <c r="G17222"/>
      <c r="I17222"/>
      <c r="N17222"/>
      <c r="O17222" s="24"/>
      <c r="P17222"/>
      <c r="Q17222" s="24"/>
      <c r="R17222"/>
      <c r="S17222"/>
      <c r="T17222"/>
      <c r="U17222"/>
      <c r="X17222" s="60"/>
    </row>
    <row r="17223" spans="7:24" ht="15" customHeight="1">
      <c r="G17223"/>
      <c r="I17223"/>
      <c r="N17223"/>
      <c r="O17223" s="24"/>
      <c r="P17223"/>
      <c r="Q17223" s="24"/>
      <c r="R17223"/>
      <c r="S17223"/>
      <c r="T17223"/>
      <c r="U17223"/>
      <c r="X17223" s="60"/>
    </row>
    <row r="17224" spans="7:24" ht="15" customHeight="1">
      <c r="G17224"/>
      <c r="I17224"/>
      <c r="N17224"/>
      <c r="O17224" s="24"/>
      <c r="P17224"/>
      <c r="Q17224" s="24"/>
      <c r="R17224"/>
      <c r="S17224"/>
      <c r="T17224"/>
      <c r="U17224"/>
      <c r="X17224" s="60"/>
    </row>
    <row r="17225" spans="7:24" ht="15" customHeight="1">
      <c r="G17225"/>
      <c r="I17225"/>
      <c r="N17225"/>
      <c r="O17225" s="24"/>
      <c r="P17225"/>
      <c r="Q17225" s="24"/>
      <c r="R17225"/>
      <c r="S17225"/>
      <c r="T17225"/>
      <c r="U17225"/>
      <c r="X17225" s="60"/>
    </row>
    <row r="17226" spans="7:24" ht="15" customHeight="1">
      <c r="G17226"/>
      <c r="I17226"/>
      <c r="N17226"/>
      <c r="O17226" s="24"/>
      <c r="P17226"/>
      <c r="Q17226" s="24"/>
      <c r="R17226"/>
      <c r="S17226"/>
      <c r="T17226"/>
      <c r="U17226"/>
      <c r="X17226" s="60"/>
    </row>
    <row r="17227" spans="7:24" ht="15" customHeight="1">
      <c r="G17227"/>
      <c r="I17227"/>
      <c r="N17227"/>
      <c r="O17227" s="24"/>
      <c r="P17227"/>
      <c r="Q17227" s="24"/>
      <c r="R17227"/>
      <c r="S17227"/>
      <c r="T17227"/>
      <c r="U17227"/>
      <c r="X17227" s="60"/>
    </row>
    <row r="17228" spans="7:24" ht="15" customHeight="1">
      <c r="G17228"/>
      <c r="I17228"/>
      <c r="N17228"/>
      <c r="O17228" s="24"/>
      <c r="P17228"/>
      <c r="Q17228" s="24"/>
      <c r="R17228"/>
      <c r="S17228"/>
      <c r="T17228"/>
      <c r="U17228"/>
      <c r="X17228" s="60"/>
    </row>
    <row r="17229" spans="7:24" ht="15" customHeight="1">
      <c r="G17229"/>
      <c r="I17229"/>
      <c r="N17229"/>
      <c r="O17229" s="24"/>
      <c r="P17229"/>
      <c r="Q17229" s="24"/>
      <c r="R17229"/>
      <c r="S17229"/>
      <c r="T17229"/>
      <c r="U17229"/>
      <c r="X17229" s="60"/>
    </row>
    <row r="17230" spans="7:24" ht="15" customHeight="1">
      <c r="G17230"/>
      <c r="I17230"/>
      <c r="N17230"/>
      <c r="O17230" s="24"/>
      <c r="P17230"/>
      <c r="Q17230" s="24"/>
      <c r="R17230"/>
      <c r="S17230"/>
      <c r="T17230"/>
      <c r="U17230"/>
      <c r="X17230" s="60"/>
    </row>
    <row r="17231" spans="7:24" ht="15" customHeight="1">
      <c r="G17231"/>
      <c r="I17231"/>
      <c r="N17231"/>
      <c r="O17231" s="24"/>
      <c r="P17231"/>
      <c r="Q17231" s="24"/>
      <c r="R17231"/>
      <c r="S17231"/>
      <c r="T17231"/>
      <c r="U17231"/>
      <c r="X17231" s="60"/>
    </row>
    <row r="17232" spans="7:24" ht="15" customHeight="1">
      <c r="G17232"/>
      <c r="I17232"/>
      <c r="N17232"/>
      <c r="O17232" s="24"/>
      <c r="P17232"/>
      <c r="Q17232" s="24"/>
      <c r="R17232"/>
      <c r="S17232"/>
      <c r="T17232"/>
      <c r="U17232"/>
      <c r="X17232" s="60"/>
    </row>
    <row r="17233" spans="7:24" ht="15" customHeight="1">
      <c r="G17233"/>
      <c r="I17233"/>
      <c r="N17233"/>
      <c r="O17233" s="24"/>
      <c r="P17233"/>
      <c r="Q17233" s="24"/>
      <c r="R17233"/>
      <c r="S17233"/>
      <c r="T17233"/>
      <c r="U17233"/>
      <c r="X17233" s="60"/>
    </row>
    <row r="17234" spans="7:24" ht="15" customHeight="1">
      <c r="G17234"/>
      <c r="I17234"/>
      <c r="N17234"/>
      <c r="O17234" s="24"/>
      <c r="P17234"/>
      <c r="Q17234" s="24"/>
      <c r="R17234"/>
      <c r="S17234"/>
      <c r="T17234"/>
      <c r="U17234"/>
      <c r="X17234" s="60"/>
    </row>
    <row r="17235" spans="7:24" ht="15" customHeight="1">
      <c r="G17235"/>
      <c r="I17235"/>
      <c r="N17235"/>
      <c r="O17235" s="24"/>
      <c r="P17235"/>
      <c r="Q17235" s="24"/>
      <c r="R17235"/>
      <c r="S17235"/>
      <c r="T17235"/>
      <c r="U17235"/>
      <c r="X17235" s="60"/>
    </row>
    <row r="17236" spans="7:24" ht="15" customHeight="1">
      <c r="G17236"/>
      <c r="I17236"/>
      <c r="N17236"/>
      <c r="O17236" s="24"/>
      <c r="P17236"/>
      <c r="Q17236" s="24"/>
      <c r="R17236"/>
      <c r="S17236"/>
      <c r="T17236"/>
      <c r="U17236"/>
      <c r="X17236" s="60"/>
    </row>
    <row r="17237" spans="7:24" ht="15" customHeight="1">
      <c r="G17237"/>
      <c r="I17237"/>
      <c r="N17237"/>
      <c r="O17237" s="24"/>
      <c r="P17237"/>
      <c r="Q17237" s="24"/>
      <c r="R17237"/>
      <c r="S17237"/>
      <c r="T17237"/>
      <c r="U17237"/>
      <c r="X17237" s="60"/>
    </row>
    <row r="17238" spans="7:24" ht="15" customHeight="1">
      <c r="G17238"/>
      <c r="I17238"/>
      <c r="N17238"/>
      <c r="O17238" s="24"/>
      <c r="P17238"/>
      <c r="Q17238" s="24"/>
      <c r="R17238"/>
      <c r="S17238"/>
      <c r="T17238"/>
      <c r="U17238"/>
      <c r="X17238" s="60"/>
    </row>
    <row r="17239" spans="7:24" ht="15" customHeight="1">
      <c r="G17239"/>
      <c r="I17239"/>
      <c r="N17239"/>
      <c r="O17239" s="24"/>
      <c r="P17239"/>
      <c r="Q17239" s="24"/>
      <c r="R17239"/>
      <c r="S17239"/>
      <c r="T17239"/>
      <c r="U17239"/>
      <c r="X17239" s="60"/>
    </row>
    <row r="17240" spans="7:24" ht="15" customHeight="1">
      <c r="G17240"/>
      <c r="I17240"/>
      <c r="N17240"/>
      <c r="O17240" s="24"/>
      <c r="P17240"/>
      <c r="Q17240" s="24"/>
      <c r="R17240"/>
      <c r="S17240"/>
      <c r="T17240"/>
      <c r="U17240"/>
      <c r="X17240" s="60"/>
    </row>
    <row r="17241" spans="7:24" ht="15" customHeight="1">
      <c r="G17241"/>
      <c r="I17241"/>
      <c r="N17241"/>
      <c r="O17241" s="24"/>
      <c r="P17241"/>
      <c r="Q17241" s="24"/>
      <c r="R17241"/>
      <c r="S17241"/>
      <c r="T17241"/>
      <c r="U17241"/>
      <c r="X17241" s="60"/>
    </row>
    <row r="17242" spans="7:24" ht="15" customHeight="1">
      <c r="G17242"/>
      <c r="I17242"/>
      <c r="N17242"/>
      <c r="O17242" s="24"/>
      <c r="P17242"/>
      <c r="Q17242" s="24"/>
      <c r="R17242"/>
      <c r="S17242"/>
      <c r="T17242"/>
      <c r="U17242"/>
      <c r="X17242" s="60"/>
    </row>
    <row r="17243" spans="7:24" ht="15" customHeight="1">
      <c r="G17243"/>
      <c r="I17243"/>
      <c r="N17243"/>
      <c r="O17243" s="24"/>
      <c r="P17243"/>
      <c r="Q17243" s="24"/>
      <c r="R17243"/>
      <c r="S17243"/>
      <c r="T17243"/>
      <c r="U17243"/>
      <c r="X17243" s="60"/>
    </row>
    <row r="17244" spans="7:24" ht="15" customHeight="1">
      <c r="G17244"/>
      <c r="I17244"/>
      <c r="N17244"/>
      <c r="O17244" s="24"/>
      <c r="P17244"/>
      <c r="Q17244" s="24"/>
      <c r="R17244"/>
      <c r="S17244"/>
      <c r="T17244"/>
      <c r="U17244"/>
      <c r="X17244" s="60"/>
    </row>
    <row r="17245" spans="7:24" ht="15" customHeight="1">
      <c r="G17245"/>
      <c r="I17245"/>
      <c r="N17245"/>
      <c r="O17245" s="24"/>
      <c r="P17245"/>
      <c r="Q17245" s="24"/>
      <c r="R17245"/>
      <c r="S17245"/>
      <c r="T17245"/>
      <c r="U17245"/>
      <c r="X17245" s="60"/>
    </row>
    <row r="17246" spans="7:24" ht="15" customHeight="1">
      <c r="G17246"/>
      <c r="I17246"/>
      <c r="N17246"/>
      <c r="O17246" s="24"/>
      <c r="P17246"/>
      <c r="Q17246" s="24"/>
      <c r="R17246"/>
      <c r="S17246"/>
      <c r="T17246"/>
      <c r="U17246"/>
      <c r="X17246" s="60"/>
    </row>
    <row r="17247" spans="7:24" ht="15" customHeight="1">
      <c r="G17247"/>
      <c r="I17247"/>
      <c r="N17247"/>
      <c r="O17247" s="24"/>
      <c r="P17247"/>
      <c r="Q17247" s="24"/>
      <c r="R17247"/>
      <c r="S17247"/>
      <c r="T17247"/>
      <c r="U17247"/>
      <c r="X17247" s="60"/>
    </row>
    <row r="17248" spans="7:24" ht="15" customHeight="1">
      <c r="G17248"/>
      <c r="I17248"/>
      <c r="N17248"/>
      <c r="O17248" s="24"/>
      <c r="P17248"/>
      <c r="Q17248" s="24"/>
      <c r="R17248"/>
      <c r="S17248"/>
      <c r="T17248"/>
      <c r="U17248"/>
      <c r="X17248" s="60"/>
    </row>
    <row r="17249" spans="7:24" ht="15" customHeight="1">
      <c r="G17249"/>
      <c r="I17249"/>
      <c r="N17249"/>
      <c r="O17249" s="24"/>
      <c r="P17249"/>
      <c r="Q17249" s="24"/>
      <c r="R17249"/>
      <c r="S17249"/>
      <c r="T17249"/>
      <c r="U17249"/>
      <c r="X17249" s="60"/>
    </row>
    <row r="17250" spans="7:24" ht="15" customHeight="1">
      <c r="G17250"/>
      <c r="I17250"/>
      <c r="N17250"/>
      <c r="O17250" s="24"/>
      <c r="P17250"/>
      <c r="Q17250" s="24"/>
      <c r="R17250"/>
      <c r="S17250"/>
      <c r="T17250"/>
      <c r="U17250"/>
      <c r="X17250" s="60"/>
    </row>
    <row r="17251" spans="7:24" ht="15" customHeight="1">
      <c r="G17251"/>
      <c r="I17251"/>
      <c r="N17251"/>
      <c r="O17251" s="24"/>
      <c r="P17251"/>
      <c r="Q17251" s="24"/>
      <c r="R17251"/>
      <c r="S17251"/>
      <c r="T17251"/>
      <c r="U17251"/>
      <c r="X17251" s="60"/>
    </row>
    <row r="17252" spans="7:24" ht="15" customHeight="1">
      <c r="G17252"/>
      <c r="I17252"/>
      <c r="N17252"/>
      <c r="O17252" s="24"/>
      <c r="P17252"/>
      <c r="Q17252" s="24"/>
      <c r="R17252"/>
      <c r="S17252"/>
      <c r="T17252"/>
      <c r="U17252"/>
      <c r="X17252" s="60"/>
    </row>
    <row r="17253" spans="7:24" ht="15" customHeight="1">
      <c r="G17253"/>
      <c r="I17253"/>
      <c r="N17253"/>
      <c r="O17253" s="24"/>
      <c r="P17253"/>
      <c r="Q17253" s="24"/>
      <c r="R17253"/>
      <c r="S17253"/>
      <c r="T17253"/>
      <c r="U17253"/>
      <c r="X17253" s="60"/>
    </row>
    <row r="17254" spans="7:24" ht="15" customHeight="1">
      <c r="G17254"/>
      <c r="I17254"/>
      <c r="N17254"/>
      <c r="O17254" s="24"/>
      <c r="P17254"/>
      <c r="Q17254" s="24"/>
      <c r="R17254"/>
      <c r="S17254"/>
      <c r="T17254"/>
      <c r="U17254"/>
      <c r="X17254" s="60"/>
    </row>
    <row r="17255" spans="7:24" ht="15" customHeight="1">
      <c r="G17255"/>
      <c r="I17255"/>
      <c r="N17255"/>
      <c r="O17255" s="24"/>
      <c r="P17255"/>
      <c r="Q17255" s="24"/>
      <c r="R17255"/>
      <c r="S17255"/>
      <c r="T17255"/>
      <c r="U17255"/>
      <c r="X17255" s="60"/>
    </row>
    <row r="17256" spans="7:24" ht="15" customHeight="1">
      <c r="G17256"/>
      <c r="I17256"/>
      <c r="N17256"/>
      <c r="O17256" s="24"/>
      <c r="P17256"/>
      <c r="Q17256" s="24"/>
      <c r="R17256"/>
      <c r="S17256"/>
      <c r="T17256"/>
      <c r="U17256"/>
      <c r="X17256" s="60"/>
    </row>
    <row r="17257" spans="7:24" ht="15" customHeight="1">
      <c r="G17257"/>
      <c r="I17257"/>
      <c r="N17257"/>
      <c r="O17257" s="24"/>
      <c r="P17257"/>
      <c r="Q17257" s="24"/>
      <c r="R17257"/>
      <c r="S17257"/>
      <c r="T17257"/>
      <c r="U17257"/>
      <c r="X17257" s="60"/>
    </row>
    <row r="17258" spans="7:24" ht="15" customHeight="1">
      <c r="G17258"/>
      <c r="I17258"/>
      <c r="N17258"/>
      <c r="O17258" s="24"/>
      <c r="P17258"/>
      <c r="Q17258" s="24"/>
      <c r="R17258"/>
      <c r="S17258"/>
      <c r="T17258"/>
      <c r="U17258"/>
      <c r="X17258" s="60"/>
    </row>
    <row r="17259" spans="7:24" ht="15" customHeight="1">
      <c r="G17259"/>
      <c r="I17259"/>
      <c r="N17259"/>
      <c r="O17259" s="24"/>
      <c r="P17259"/>
      <c r="Q17259" s="24"/>
      <c r="R17259"/>
      <c r="S17259"/>
      <c r="T17259"/>
      <c r="U17259"/>
      <c r="X17259" s="60"/>
    </row>
    <row r="17260" spans="7:24" ht="15" customHeight="1">
      <c r="G17260"/>
      <c r="I17260"/>
      <c r="N17260"/>
      <c r="O17260" s="24"/>
      <c r="P17260"/>
      <c r="Q17260" s="24"/>
      <c r="R17260"/>
      <c r="S17260"/>
      <c r="T17260"/>
      <c r="U17260"/>
      <c r="X17260" s="60"/>
    </row>
    <row r="17261" spans="7:24" ht="15" customHeight="1">
      <c r="G17261"/>
      <c r="I17261"/>
      <c r="N17261"/>
      <c r="O17261" s="24"/>
      <c r="P17261"/>
      <c r="Q17261" s="24"/>
      <c r="R17261"/>
      <c r="S17261"/>
      <c r="T17261"/>
      <c r="U17261"/>
      <c r="X17261" s="60"/>
    </row>
    <row r="17262" spans="7:24" ht="15" customHeight="1">
      <c r="G17262"/>
      <c r="I17262"/>
      <c r="N17262"/>
      <c r="O17262" s="24"/>
      <c r="P17262"/>
      <c r="Q17262" s="24"/>
      <c r="R17262"/>
      <c r="S17262"/>
      <c r="T17262"/>
      <c r="U17262"/>
      <c r="X17262" s="60"/>
    </row>
    <row r="17263" spans="7:24" ht="15" customHeight="1">
      <c r="G17263"/>
      <c r="I17263"/>
      <c r="N17263"/>
      <c r="O17263" s="24"/>
      <c r="P17263"/>
      <c r="Q17263" s="24"/>
      <c r="R17263"/>
      <c r="S17263"/>
      <c r="T17263"/>
      <c r="U17263"/>
      <c r="X17263" s="60"/>
    </row>
    <row r="17264" spans="7:24" ht="15" customHeight="1">
      <c r="G17264"/>
      <c r="I17264"/>
      <c r="N17264"/>
      <c r="O17264" s="24"/>
      <c r="P17264"/>
      <c r="Q17264" s="24"/>
      <c r="R17264"/>
      <c r="S17264"/>
      <c r="T17264"/>
      <c r="U17264"/>
      <c r="X17264" s="60"/>
    </row>
    <row r="17265" spans="7:24" ht="15" customHeight="1">
      <c r="G17265"/>
      <c r="I17265"/>
      <c r="N17265"/>
      <c r="O17265" s="24"/>
      <c r="P17265"/>
      <c r="Q17265" s="24"/>
      <c r="R17265"/>
      <c r="S17265"/>
      <c r="T17265"/>
      <c r="U17265"/>
      <c r="X17265" s="60"/>
    </row>
    <row r="17266" spans="7:24" ht="15" customHeight="1">
      <c r="G17266"/>
      <c r="I17266"/>
      <c r="N17266"/>
      <c r="O17266" s="24"/>
      <c r="P17266"/>
      <c r="Q17266" s="24"/>
      <c r="R17266"/>
      <c r="S17266"/>
      <c r="T17266"/>
      <c r="U17266"/>
      <c r="X17266" s="60"/>
    </row>
    <row r="17267" spans="7:24" ht="15" customHeight="1">
      <c r="G17267"/>
      <c r="I17267"/>
      <c r="N17267"/>
      <c r="O17267" s="24"/>
      <c r="P17267"/>
      <c r="Q17267" s="24"/>
      <c r="R17267"/>
      <c r="S17267"/>
      <c r="T17267"/>
      <c r="U17267"/>
      <c r="X17267" s="60"/>
    </row>
    <row r="17268" spans="7:24" ht="15" customHeight="1">
      <c r="G17268"/>
      <c r="I17268"/>
      <c r="N17268"/>
      <c r="O17268" s="24"/>
      <c r="P17268"/>
      <c r="Q17268" s="24"/>
      <c r="R17268"/>
      <c r="S17268"/>
      <c r="T17268"/>
      <c r="U17268"/>
      <c r="X17268" s="60"/>
    </row>
    <row r="17269" spans="7:24" ht="15" customHeight="1">
      <c r="G17269"/>
      <c r="I17269"/>
      <c r="N17269"/>
      <c r="O17269" s="24"/>
      <c r="P17269"/>
      <c r="Q17269" s="24"/>
      <c r="R17269"/>
      <c r="S17269"/>
      <c r="T17269"/>
      <c r="U17269"/>
      <c r="X17269" s="60"/>
    </row>
    <row r="17270" spans="7:24" ht="15" customHeight="1">
      <c r="G17270"/>
      <c r="I17270"/>
      <c r="N17270"/>
      <c r="O17270" s="24"/>
      <c r="P17270"/>
      <c r="Q17270" s="24"/>
      <c r="R17270"/>
      <c r="S17270"/>
      <c r="T17270"/>
      <c r="U17270"/>
      <c r="X17270" s="60"/>
    </row>
    <row r="17271" spans="7:24" ht="15" customHeight="1">
      <c r="G17271"/>
      <c r="I17271"/>
      <c r="N17271"/>
      <c r="O17271" s="24"/>
      <c r="P17271"/>
      <c r="Q17271" s="24"/>
      <c r="R17271"/>
      <c r="S17271"/>
      <c r="T17271"/>
      <c r="U17271"/>
      <c r="X17271" s="60"/>
    </row>
    <row r="17272" spans="7:24" ht="15" customHeight="1">
      <c r="G17272"/>
      <c r="I17272"/>
      <c r="N17272"/>
      <c r="O17272" s="24"/>
      <c r="P17272"/>
      <c r="Q17272" s="24"/>
      <c r="R17272"/>
      <c r="S17272"/>
      <c r="T17272"/>
      <c r="U17272"/>
      <c r="X17272" s="60"/>
    </row>
    <row r="17273" spans="7:24" ht="15" customHeight="1">
      <c r="G17273"/>
      <c r="I17273"/>
      <c r="N17273"/>
      <c r="O17273" s="24"/>
      <c r="P17273"/>
      <c r="Q17273" s="24"/>
      <c r="R17273"/>
      <c r="S17273"/>
      <c r="T17273"/>
      <c r="U17273"/>
      <c r="X17273" s="60"/>
    </row>
    <row r="17274" spans="7:24" ht="15" customHeight="1">
      <c r="G17274"/>
      <c r="I17274"/>
      <c r="N17274"/>
      <c r="O17274" s="24"/>
      <c r="P17274"/>
      <c r="Q17274" s="24"/>
      <c r="R17274"/>
      <c r="S17274"/>
      <c r="T17274"/>
      <c r="U17274"/>
      <c r="X17274" s="60"/>
    </row>
    <row r="17275" spans="7:24" ht="15" customHeight="1">
      <c r="G17275"/>
      <c r="I17275"/>
      <c r="N17275"/>
      <c r="O17275" s="24"/>
      <c r="P17275"/>
      <c r="Q17275" s="24"/>
      <c r="R17275"/>
      <c r="S17275"/>
      <c r="T17275"/>
      <c r="U17275"/>
      <c r="X17275" s="60"/>
    </row>
    <row r="17276" spans="7:24" ht="15" customHeight="1">
      <c r="G17276"/>
      <c r="I17276"/>
      <c r="N17276"/>
      <c r="O17276" s="24"/>
      <c r="P17276"/>
      <c r="Q17276" s="24"/>
      <c r="R17276"/>
      <c r="S17276"/>
      <c r="T17276"/>
      <c r="U17276"/>
      <c r="X17276" s="60"/>
    </row>
    <row r="17277" spans="7:24" ht="15" customHeight="1">
      <c r="G17277"/>
      <c r="I17277"/>
      <c r="N17277"/>
      <c r="O17277" s="24"/>
      <c r="P17277"/>
      <c r="Q17277" s="24"/>
      <c r="R17277"/>
      <c r="S17277"/>
      <c r="T17277"/>
      <c r="U17277"/>
      <c r="X17277" s="60"/>
    </row>
    <row r="17278" spans="7:24" ht="15" customHeight="1">
      <c r="G17278"/>
      <c r="I17278"/>
      <c r="N17278"/>
      <c r="O17278" s="24"/>
      <c r="P17278"/>
      <c r="Q17278" s="24"/>
      <c r="R17278"/>
      <c r="S17278"/>
      <c r="T17278"/>
      <c r="U17278"/>
      <c r="X17278" s="60"/>
    </row>
    <row r="17279" spans="7:24" ht="15" customHeight="1">
      <c r="G17279"/>
      <c r="I17279"/>
      <c r="N17279"/>
      <c r="O17279" s="24"/>
      <c r="P17279"/>
      <c r="Q17279" s="24"/>
      <c r="R17279"/>
      <c r="S17279"/>
      <c r="T17279"/>
      <c r="U17279"/>
      <c r="X17279" s="60"/>
    </row>
    <row r="17280" spans="7:24" ht="15" customHeight="1">
      <c r="G17280"/>
      <c r="I17280"/>
      <c r="N17280"/>
      <c r="O17280" s="24"/>
      <c r="P17280"/>
      <c r="Q17280" s="24"/>
      <c r="R17280"/>
      <c r="S17280"/>
      <c r="T17280"/>
      <c r="U17280"/>
      <c r="X17280" s="60"/>
    </row>
    <row r="17281" spans="7:24" ht="15" customHeight="1">
      <c r="G17281"/>
      <c r="I17281"/>
      <c r="N17281"/>
      <c r="O17281" s="24"/>
      <c r="P17281"/>
      <c r="Q17281" s="24"/>
      <c r="R17281"/>
      <c r="S17281"/>
      <c r="T17281"/>
      <c r="U17281"/>
      <c r="X17281" s="60"/>
    </row>
    <row r="17282" spans="7:24" ht="15" customHeight="1">
      <c r="G17282"/>
      <c r="I17282"/>
      <c r="N17282"/>
      <c r="O17282" s="24"/>
      <c r="P17282"/>
      <c r="Q17282" s="24"/>
      <c r="R17282"/>
      <c r="S17282"/>
      <c r="T17282"/>
      <c r="U17282"/>
      <c r="X17282" s="60"/>
    </row>
    <row r="17283" spans="7:24" ht="15" customHeight="1">
      <c r="G17283"/>
      <c r="I17283"/>
      <c r="N17283"/>
      <c r="O17283" s="24"/>
      <c r="P17283"/>
      <c r="Q17283" s="24"/>
      <c r="R17283"/>
      <c r="S17283"/>
      <c r="T17283"/>
      <c r="U17283"/>
      <c r="X17283" s="60"/>
    </row>
    <row r="17284" spans="7:24" ht="15" customHeight="1">
      <c r="G17284"/>
      <c r="I17284"/>
      <c r="N17284"/>
      <c r="O17284" s="24"/>
      <c r="P17284"/>
      <c r="Q17284" s="24"/>
      <c r="R17284"/>
      <c r="S17284"/>
      <c r="T17284"/>
      <c r="U17284"/>
      <c r="X17284" s="60"/>
    </row>
    <row r="17285" spans="7:24" ht="15" customHeight="1">
      <c r="G17285"/>
      <c r="I17285"/>
      <c r="N17285"/>
      <c r="O17285" s="24"/>
      <c r="P17285"/>
      <c r="Q17285" s="24"/>
      <c r="R17285"/>
      <c r="S17285"/>
      <c r="T17285"/>
      <c r="U17285"/>
      <c r="X17285" s="60"/>
    </row>
    <row r="17286" spans="7:24" ht="15" customHeight="1">
      <c r="G17286"/>
      <c r="I17286"/>
      <c r="N17286"/>
      <c r="O17286" s="24"/>
      <c r="P17286"/>
      <c r="Q17286" s="24"/>
      <c r="R17286"/>
      <c r="S17286"/>
      <c r="T17286"/>
      <c r="U17286"/>
      <c r="X17286" s="60"/>
    </row>
    <row r="17287" spans="7:24" ht="15" customHeight="1">
      <c r="G17287"/>
      <c r="I17287"/>
      <c r="N17287"/>
      <c r="O17287" s="24"/>
      <c r="P17287"/>
      <c r="Q17287" s="24"/>
      <c r="R17287"/>
      <c r="S17287"/>
      <c r="T17287"/>
      <c r="U17287"/>
      <c r="X17287" s="60"/>
    </row>
    <row r="17288" spans="7:24" ht="15" customHeight="1">
      <c r="G17288"/>
      <c r="I17288"/>
      <c r="N17288"/>
      <c r="O17288" s="24"/>
      <c r="P17288"/>
      <c r="Q17288" s="24"/>
      <c r="R17288"/>
      <c r="S17288"/>
      <c r="T17288"/>
      <c r="U17288"/>
      <c r="X17288" s="60"/>
    </row>
    <row r="17289" spans="7:24" ht="15" customHeight="1">
      <c r="G17289"/>
      <c r="I17289"/>
      <c r="N17289"/>
      <c r="O17289" s="24"/>
      <c r="P17289"/>
      <c r="Q17289" s="24"/>
      <c r="R17289"/>
      <c r="S17289"/>
      <c r="T17289"/>
      <c r="U17289"/>
      <c r="X17289" s="60"/>
    </row>
    <row r="17290" spans="7:24" ht="15" customHeight="1">
      <c r="G17290"/>
      <c r="I17290"/>
      <c r="N17290"/>
      <c r="O17290" s="24"/>
      <c r="P17290"/>
      <c r="Q17290" s="24"/>
      <c r="R17290"/>
      <c r="S17290"/>
      <c r="T17290"/>
      <c r="U17290"/>
      <c r="X17290" s="60"/>
    </row>
    <row r="17291" spans="7:24" ht="15" customHeight="1">
      <c r="G17291"/>
      <c r="I17291"/>
      <c r="N17291"/>
      <c r="O17291" s="24"/>
      <c r="P17291"/>
      <c r="Q17291" s="24"/>
      <c r="R17291"/>
      <c r="S17291"/>
      <c r="T17291"/>
      <c r="U17291"/>
      <c r="X17291" s="60"/>
    </row>
    <row r="17292" spans="7:24" ht="15" customHeight="1">
      <c r="G17292"/>
      <c r="I17292"/>
      <c r="N17292"/>
      <c r="O17292" s="24"/>
      <c r="P17292"/>
      <c r="Q17292" s="24"/>
      <c r="R17292"/>
      <c r="S17292"/>
      <c r="T17292"/>
      <c r="U17292"/>
      <c r="X17292" s="60"/>
    </row>
    <row r="17293" spans="7:24" ht="15" customHeight="1">
      <c r="G17293"/>
      <c r="I17293"/>
      <c r="N17293"/>
      <c r="O17293" s="24"/>
      <c r="P17293"/>
      <c r="Q17293" s="24"/>
      <c r="R17293"/>
      <c r="S17293"/>
      <c r="T17293"/>
      <c r="U17293"/>
      <c r="X17293" s="60"/>
    </row>
    <row r="17294" spans="7:24" ht="15" customHeight="1">
      <c r="G17294"/>
      <c r="I17294"/>
      <c r="N17294"/>
      <c r="O17294" s="24"/>
      <c r="P17294"/>
      <c r="Q17294" s="24"/>
      <c r="R17294"/>
      <c r="S17294"/>
      <c r="T17294"/>
      <c r="U17294"/>
      <c r="X17294" s="60"/>
    </row>
    <row r="17295" spans="7:24" ht="15" customHeight="1">
      <c r="G17295"/>
      <c r="I17295"/>
      <c r="N17295"/>
      <c r="O17295" s="24"/>
      <c r="P17295"/>
      <c r="Q17295" s="24"/>
      <c r="R17295"/>
      <c r="S17295"/>
      <c r="T17295"/>
      <c r="U17295"/>
      <c r="X17295" s="60"/>
    </row>
    <row r="17296" spans="7:24" ht="15" customHeight="1">
      <c r="G17296"/>
      <c r="I17296"/>
      <c r="N17296"/>
      <c r="O17296" s="24"/>
      <c r="P17296"/>
      <c r="Q17296" s="24"/>
      <c r="R17296"/>
      <c r="S17296"/>
      <c r="T17296"/>
      <c r="U17296"/>
      <c r="X17296" s="60"/>
    </row>
    <row r="17297" spans="7:24" ht="15" customHeight="1">
      <c r="G17297"/>
      <c r="I17297"/>
      <c r="N17297"/>
      <c r="O17297" s="24"/>
      <c r="P17297"/>
      <c r="Q17297" s="24"/>
      <c r="R17297"/>
      <c r="S17297"/>
      <c r="T17297"/>
      <c r="U17297"/>
      <c r="X17297" s="60"/>
    </row>
    <row r="17298" spans="7:24" ht="15" customHeight="1">
      <c r="G17298"/>
      <c r="I17298"/>
      <c r="N17298"/>
      <c r="O17298" s="24"/>
      <c r="P17298"/>
      <c r="Q17298" s="24"/>
      <c r="R17298"/>
      <c r="S17298"/>
      <c r="T17298"/>
      <c r="U17298"/>
      <c r="X17298" s="60"/>
    </row>
    <row r="17299" spans="7:24" ht="15" customHeight="1">
      <c r="G17299"/>
      <c r="I17299"/>
      <c r="N17299"/>
      <c r="O17299" s="24"/>
      <c r="P17299"/>
      <c r="Q17299" s="24"/>
      <c r="R17299"/>
      <c r="S17299"/>
      <c r="T17299"/>
      <c r="U17299"/>
      <c r="X17299" s="60"/>
    </row>
    <row r="17300" spans="7:24" ht="15" customHeight="1">
      <c r="G17300"/>
      <c r="I17300"/>
      <c r="N17300"/>
      <c r="O17300" s="24"/>
      <c r="P17300"/>
      <c r="Q17300" s="24"/>
      <c r="R17300"/>
      <c r="S17300"/>
      <c r="T17300"/>
      <c r="U17300"/>
      <c r="X17300" s="60"/>
    </row>
    <row r="17301" spans="7:24" ht="15" customHeight="1">
      <c r="G17301"/>
      <c r="I17301"/>
      <c r="N17301"/>
      <c r="O17301" s="24"/>
      <c r="P17301"/>
      <c r="Q17301" s="24"/>
      <c r="R17301"/>
      <c r="S17301"/>
      <c r="T17301"/>
      <c r="U17301"/>
      <c r="X17301" s="60"/>
    </row>
    <row r="17302" spans="7:24" ht="15" customHeight="1">
      <c r="G17302"/>
      <c r="I17302"/>
      <c r="N17302"/>
      <c r="O17302" s="24"/>
      <c r="P17302"/>
      <c r="Q17302" s="24"/>
      <c r="R17302"/>
      <c r="S17302"/>
      <c r="T17302"/>
      <c r="U17302"/>
      <c r="X17302" s="60"/>
    </row>
    <row r="17303" spans="7:24" ht="15" customHeight="1">
      <c r="G17303"/>
      <c r="I17303"/>
      <c r="N17303"/>
      <c r="O17303" s="24"/>
      <c r="P17303"/>
      <c r="Q17303" s="24"/>
      <c r="R17303"/>
      <c r="S17303"/>
      <c r="T17303"/>
      <c r="U17303"/>
      <c r="X17303" s="60"/>
    </row>
    <row r="17304" spans="7:24" ht="15" customHeight="1">
      <c r="G17304"/>
      <c r="I17304"/>
      <c r="N17304"/>
      <c r="O17304" s="24"/>
      <c r="P17304"/>
      <c r="Q17304" s="24"/>
      <c r="R17304"/>
      <c r="S17304"/>
      <c r="T17304"/>
      <c r="U17304"/>
      <c r="X17304" s="60"/>
    </row>
    <row r="17305" spans="7:24" ht="15" customHeight="1">
      <c r="G17305"/>
      <c r="I17305"/>
      <c r="N17305"/>
      <c r="O17305" s="24"/>
      <c r="P17305"/>
      <c r="Q17305" s="24"/>
      <c r="R17305"/>
      <c r="S17305"/>
      <c r="T17305"/>
      <c r="U17305"/>
      <c r="X17305" s="60"/>
    </row>
    <row r="17306" spans="7:24" ht="15" customHeight="1">
      <c r="G17306"/>
      <c r="I17306"/>
      <c r="N17306"/>
      <c r="O17306" s="24"/>
      <c r="P17306"/>
      <c r="Q17306" s="24"/>
      <c r="R17306"/>
      <c r="S17306"/>
      <c r="T17306"/>
      <c r="U17306"/>
      <c r="X17306" s="60"/>
    </row>
    <row r="17307" spans="7:24" ht="15" customHeight="1">
      <c r="G17307"/>
      <c r="I17307"/>
      <c r="N17307"/>
      <c r="O17307" s="24"/>
      <c r="P17307"/>
      <c r="Q17307" s="24"/>
      <c r="R17307"/>
      <c r="S17307"/>
      <c r="T17307"/>
      <c r="U17307"/>
      <c r="X17307" s="60"/>
    </row>
    <row r="17308" spans="7:24" ht="15" customHeight="1">
      <c r="G17308"/>
      <c r="I17308"/>
      <c r="N17308"/>
      <c r="O17308" s="24"/>
      <c r="P17308"/>
      <c r="Q17308" s="24"/>
      <c r="R17308"/>
      <c r="S17308"/>
      <c r="T17308"/>
      <c r="U17308"/>
      <c r="X17308" s="60"/>
    </row>
    <row r="17309" spans="7:24" ht="15" customHeight="1">
      <c r="G17309"/>
      <c r="I17309"/>
      <c r="N17309"/>
      <c r="O17309" s="24"/>
      <c r="P17309"/>
      <c r="Q17309" s="24"/>
      <c r="R17309"/>
      <c r="S17309"/>
      <c r="T17309"/>
      <c r="U17309"/>
      <c r="X17309" s="60"/>
    </row>
    <row r="17310" spans="7:24" ht="15" customHeight="1">
      <c r="G17310"/>
      <c r="I17310"/>
      <c r="N17310"/>
      <c r="O17310" s="24"/>
      <c r="P17310"/>
      <c r="Q17310" s="24"/>
      <c r="R17310"/>
      <c r="S17310"/>
      <c r="T17310"/>
      <c r="U17310"/>
      <c r="X17310" s="60"/>
    </row>
    <row r="17311" spans="7:24" ht="15" customHeight="1">
      <c r="G17311"/>
      <c r="I17311"/>
      <c r="N17311"/>
      <c r="O17311" s="24"/>
      <c r="P17311"/>
      <c r="Q17311" s="24"/>
      <c r="R17311"/>
      <c r="S17311"/>
      <c r="T17311"/>
      <c r="U17311"/>
      <c r="X17311" s="60"/>
    </row>
    <row r="17312" spans="7:24" ht="15" customHeight="1">
      <c r="G17312"/>
      <c r="I17312"/>
      <c r="N17312"/>
      <c r="O17312" s="24"/>
      <c r="P17312"/>
      <c r="Q17312" s="24"/>
      <c r="R17312"/>
      <c r="S17312"/>
      <c r="T17312"/>
      <c r="U17312"/>
      <c r="X17312" s="60"/>
    </row>
    <row r="17313" spans="7:24" ht="15" customHeight="1">
      <c r="G17313"/>
      <c r="I17313"/>
      <c r="N17313"/>
      <c r="O17313" s="24"/>
      <c r="P17313"/>
      <c r="Q17313" s="24"/>
      <c r="R17313"/>
      <c r="S17313"/>
      <c r="T17313"/>
      <c r="U17313"/>
      <c r="X17313" s="60"/>
    </row>
    <row r="17314" spans="7:24" ht="15" customHeight="1">
      <c r="G17314"/>
      <c r="I17314"/>
      <c r="N17314"/>
      <c r="O17314" s="24"/>
      <c r="P17314"/>
      <c r="Q17314" s="24"/>
      <c r="R17314"/>
      <c r="S17314"/>
      <c r="T17314"/>
      <c r="U17314"/>
      <c r="X17314" s="60"/>
    </row>
    <row r="17315" spans="7:24" ht="15" customHeight="1">
      <c r="G17315"/>
      <c r="I17315"/>
      <c r="N17315"/>
      <c r="O17315" s="24"/>
      <c r="P17315"/>
      <c r="Q17315" s="24"/>
      <c r="R17315"/>
      <c r="S17315"/>
      <c r="T17315"/>
      <c r="U17315"/>
      <c r="X17315" s="60"/>
    </row>
    <row r="17316" spans="7:24" ht="15" customHeight="1">
      <c r="G17316"/>
      <c r="I17316"/>
      <c r="N17316"/>
      <c r="O17316" s="24"/>
      <c r="P17316"/>
      <c r="Q17316" s="24"/>
      <c r="R17316"/>
      <c r="S17316"/>
      <c r="T17316"/>
      <c r="U17316"/>
      <c r="X17316" s="60"/>
    </row>
    <row r="17317" spans="7:24" ht="15" customHeight="1">
      <c r="G17317"/>
      <c r="I17317"/>
      <c r="N17317"/>
      <c r="O17317" s="24"/>
      <c r="P17317"/>
      <c r="Q17317" s="24"/>
      <c r="R17317"/>
      <c r="S17317"/>
      <c r="T17317"/>
      <c r="U17317"/>
      <c r="X17317" s="60"/>
    </row>
    <row r="17318" spans="7:24" ht="15" customHeight="1">
      <c r="G17318"/>
      <c r="I17318"/>
      <c r="N17318"/>
      <c r="O17318" s="24"/>
      <c r="P17318"/>
      <c r="Q17318" s="24"/>
      <c r="R17318"/>
      <c r="S17318"/>
      <c r="T17318"/>
      <c r="U17318"/>
      <c r="X17318" s="60"/>
    </row>
    <row r="17319" spans="7:24" ht="15" customHeight="1">
      <c r="G17319"/>
      <c r="I17319"/>
      <c r="N17319"/>
      <c r="O17319" s="24"/>
      <c r="P17319"/>
      <c r="Q17319" s="24"/>
      <c r="R17319"/>
      <c r="S17319"/>
      <c r="T17319"/>
      <c r="U17319"/>
      <c r="X17319" s="60"/>
    </row>
    <row r="17320" spans="7:24" ht="15" customHeight="1">
      <c r="G17320"/>
      <c r="I17320"/>
      <c r="N17320"/>
      <c r="O17320" s="24"/>
      <c r="P17320"/>
      <c r="Q17320" s="24"/>
      <c r="R17320"/>
      <c r="S17320"/>
      <c r="T17320"/>
      <c r="U17320"/>
      <c r="X17320" s="60"/>
    </row>
    <row r="17321" spans="7:24" ht="15" customHeight="1">
      <c r="G17321"/>
      <c r="I17321"/>
      <c r="N17321"/>
      <c r="O17321" s="24"/>
      <c r="P17321"/>
      <c r="Q17321" s="24"/>
      <c r="R17321"/>
      <c r="S17321"/>
      <c r="T17321"/>
      <c r="U17321"/>
      <c r="X17321" s="60"/>
    </row>
    <row r="17322" spans="7:24" ht="15" customHeight="1">
      <c r="G17322"/>
      <c r="I17322"/>
      <c r="N17322"/>
      <c r="O17322" s="24"/>
      <c r="P17322"/>
      <c r="Q17322" s="24"/>
      <c r="R17322"/>
      <c r="S17322"/>
      <c r="T17322"/>
      <c r="U17322"/>
      <c r="X17322" s="60"/>
    </row>
    <row r="17323" spans="7:24" ht="15" customHeight="1">
      <c r="G17323"/>
      <c r="I17323"/>
      <c r="N17323"/>
      <c r="O17323" s="24"/>
      <c r="P17323"/>
      <c r="Q17323" s="24"/>
      <c r="R17323"/>
      <c r="S17323"/>
      <c r="T17323"/>
      <c r="U17323"/>
      <c r="X17323" s="60"/>
    </row>
    <row r="17324" spans="7:24" ht="15" customHeight="1">
      <c r="G17324"/>
      <c r="I17324"/>
      <c r="N17324"/>
      <c r="O17324" s="24"/>
      <c r="P17324"/>
      <c r="Q17324" s="24"/>
      <c r="R17324"/>
      <c r="S17324"/>
      <c r="T17324"/>
      <c r="U17324"/>
      <c r="X17324" s="60"/>
    </row>
    <row r="17325" spans="7:24" ht="15" customHeight="1">
      <c r="G17325"/>
      <c r="I17325"/>
      <c r="N17325"/>
      <c r="O17325" s="24"/>
      <c r="P17325"/>
      <c r="Q17325" s="24"/>
      <c r="R17325"/>
      <c r="S17325"/>
      <c r="T17325"/>
      <c r="U17325"/>
      <c r="X17325" s="60"/>
    </row>
    <row r="17326" spans="7:24" ht="15" customHeight="1">
      <c r="G17326"/>
      <c r="I17326"/>
      <c r="N17326"/>
      <c r="O17326" s="24"/>
      <c r="P17326"/>
      <c r="Q17326" s="24"/>
      <c r="R17326"/>
      <c r="S17326"/>
      <c r="T17326"/>
      <c r="U17326"/>
      <c r="X17326" s="60"/>
    </row>
    <row r="17327" spans="7:24" ht="15" customHeight="1">
      <c r="G17327"/>
      <c r="I17327"/>
      <c r="N17327"/>
      <c r="O17327" s="24"/>
      <c r="P17327"/>
      <c r="Q17327" s="24"/>
      <c r="R17327"/>
      <c r="S17327"/>
      <c r="T17327"/>
      <c r="U17327"/>
      <c r="X17327" s="60"/>
    </row>
    <row r="17328" spans="7:24" ht="15" customHeight="1">
      <c r="G17328"/>
      <c r="I17328"/>
      <c r="N17328"/>
      <c r="O17328" s="24"/>
      <c r="P17328"/>
      <c r="Q17328" s="24"/>
      <c r="R17328"/>
      <c r="S17328"/>
      <c r="T17328"/>
      <c r="U17328"/>
      <c r="X17328" s="60"/>
    </row>
    <row r="17329" spans="7:24" ht="15" customHeight="1">
      <c r="G17329"/>
      <c r="I17329"/>
      <c r="N17329"/>
      <c r="O17329" s="24"/>
      <c r="P17329"/>
      <c r="Q17329" s="24"/>
      <c r="R17329"/>
      <c r="S17329"/>
      <c r="T17329"/>
      <c r="U17329"/>
      <c r="X17329" s="60"/>
    </row>
    <row r="17330" spans="7:24" ht="15" customHeight="1">
      <c r="G17330"/>
      <c r="I17330"/>
      <c r="N17330"/>
      <c r="O17330" s="24"/>
      <c r="P17330"/>
      <c r="Q17330" s="24"/>
      <c r="R17330"/>
      <c r="S17330"/>
      <c r="T17330"/>
      <c r="U17330"/>
      <c r="X17330" s="60"/>
    </row>
    <row r="17331" spans="7:24" ht="15" customHeight="1">
      <c r="G17331"/>
      <c r="I17331"/>
      <c r="N17331"/>
      <c r="O17331" s="24"/>
      <c r="P17331"/>
      <c r="Q17331" s="24"/>
      <c r="R17331"/>
      <c r="S17331"/>
      <c r="T17331"/>
      <c r="U17331"/>
      <c r="X17331" s="60"/>
    </row>
    <row r="17332" spans="7:24" ht="15" customHeight="1">
      <c r="G17332"/>
      <c r="I17332"/>
      <c r="N17332"/>
      <c r="O17332" s="24"/>
      <c r="P17332"/>
      <c r="Q17332" s="24"/>
      <c r="R17332"/>
      <c r="S17332"/>
      <c r="T17332"/>
      <c r="U17332"/>
      <c r="X17332" s="60"/>
    </row>
    <row r="17333" spans="7:24" ht="15" customHeight="1">
      <c r="G17333"/>
      <c r="I17333"/>
      <c r="N17333"/>
      <c r="O17333" s="24"/>
      <c r="P17333"/>
      <c r="Q17333" s="24"/>
      <c r="R17333"/>
      <c r="S17333"/>
      <c r="T17333"/>
      <c r="U17333"/>
      <c r="X17333" s="60"/>
    </row>
    <row r="17334" spans="7:24" ht="15" customHeight="1">
      <c r="G17334"/>
      <c r="I17334"/>
      <c r="N17334"/>
      <c r="O17334" s="24"/>
      <c r="P17334"/>
      <c r="Q17334" s="24"/>
      <c r="R17334"/>
      <c r="S17334"/>
      <c r="T17334"/>
      <c r="U17334"/>
      <c r="X17334" s="60"/>
    </row>
    <row r="17335" spans="7:24" ht="15" customHeight="1">
      <c r="G17335"/>
      <c r="I17335"/>
      <c r="N17335"/>
      <c r="O17335" s="24"/>
      <c r="P17335"/>
      <c r="Q17335" s="24"/>
      <c r="R17335"/>
      <c r="S17335"/>
      <c r="T17335"/>
      <c r="U17335"/>
      <c r="X17335" s="60"/>
    </row>
    <row r="17336" spans="7:24" ht="15" customHeight="1">
      <c r="G17336"/>
      <c r="I17336"/>
      <c r="N17336"/>
      <c r="O17336" s="24"/>
      <c r="P17336"/>
      <c r="Q17336" s="24"/>
      <c r="R17336"/>
      <c r="S17336"/>
      <c r="T17336"/>
      <c r="U17336"/>
      <c r="X17336" s="60"/>
    </row>
    <row r="17337" spans="7:24" ht="15" customHeight="1">
      <c r="G17337"/>
      <c r="I17337"/>
      <c r="N17337"/>
      <c r="O17337" s="24"/>
      <c r="P17337"/>
      <c r="Q17337" s="24"/>
      <c r="R17337"/>
      <c r="S17337"/>
      <c r="T17337"/>
      <c r="U17337"/>
      <c r="X17337" s="60"/>
    </row>
    <row r="17338" spans="7:24" ht="15" customHeight="1">
      <c r="G17338"/>
      <c r="I17338"/>
      <c r="N17338"/>
      <c r="O17338" s="24"/>
      <c r="P17338"/>
      <c r="Q17338" s="24"/>
      <c r="R17338"/>
      <c r="S17338"/>
      <c r="T17338"/>
      <c r="U17338"/>
      <c r="X17338" s="60"/>
    </row>
    <row r="17339" spans="7:24" ht="15" customHeight="1">
      <c r="G17339"/>
      <c r="I17339"/>
      <c r="N17339"/>
      <c r="O17339" s="24"/>
      <c r="P17339"/>
      <c r="Q17339" s="24"/>
      <c r="R17339"/>
      <c r="S17339"/>
      <c r="T17339"/>
      <c r="U17339"/>
      <c r="X17339" s="60"/>
    </row>
    <row r="17340" spans="7:24" ht="15" customHeight="1">
      <c r="G17340"/>
      <c r="I17340"/>
      <c r="N17340"/>
      <c r="O17340" s="24"/>
      <c r="P17340"/>
      <c r="Q17340" s="24"/>
      <c r="R17340"/>
      <c r="S17340"/>
      <c r="T17340"/>
      <c r="U17340"/>
      <c r="X17340" s="60"/>
    </row>
    <row r="17341" spans="7:24" ht="15" customHeight="1">
      <c r="G17341"/>
      <c r="I17341"/>
      <c r="N17341"/>
      <c r="O17341" s="24"/>
      <c r="P17341"/>
      <c r="Q17341" s="24"/>
      <c r="R17341"/>
      <c r="S17341"/>
      <c r="T17341"/>
      <c r="U17341"/>
      <c r="X17341" s="60"/>
    </row>
    <row r="17342" spans="7:24" ht="15" customHeight="1">
      <c r="G17342"/>
      <c r="I17342"/>
      <c r="N17342"/>
      <c r="O17342" s="24"/>
      <c r="P17342"/>
      <c r="Q17342" s="24"/>
      <c r="R17342"/>
      <c r="S17342"/>
      <c r="T17342"/>
      <c r="U17342"/>
      <c r="X17342" s="60"/>
    </row>
    <row r="17343" spans="7:24" ht="15" customHeight="1">
      <c r="G17343"/>
      <c r="I17343"/>
      <c r="N17343"/>
      <c r="O17343" s="24"/>
      <c r="P17343"/>
      <c r="Q17343" s="24"/>
      <c r="R17343"/>
      <c r="S17343"/>
      <c r="T17343"/>
      <c r="U17343"/>
      <c r="X17343" s="60"/>
    </row>
    <row r="17344" spans="7:24" ht="15" customHeight="1">
      <c r="G17344"/>
      <c r="I17344"/>
      <c r="N17344"/>
      <c r="O17344" s="24"/>
      <c r="P17344"/>
      <c r="Q17344" s="24"/>
      <c r="R17344"/>
      <c r="S17344"/>
      <c r="T17344"/>
      <c r="U17344"/>
      <c r="X17344" s="60"/>
    </row>
    <row r="17345" spans="7:24" ht="15" customHeight="1">
      <c r="G17345"/>
      <c r="I17345"/>
      <c r="N17345"/>
      <c r="O17345" s="24"/>
      <c r="P17345"/>
      <c r="Q17345" s="24"/>
      <c r="R17345"/>
      <c r="S17345"/>
      <c r="T17345"/>
      <c r="U17345"/>
      <c r="X17345" s="60"/>
    </row>
    <row r="17346" spans="7:24" ht="15" customHeight="1">
      <c r="G17346"/>
      <c r="I17346"/>
      <c r="N17346"/>
      <c r="O17346" s="24"/>
      <c r="P17346"/>
      <c r="Q17346" s="24"/>
      <c r="R17346"/>
      <c r="S17346"/>
      <c r="T17346"/>
      <c r="U17346"/>
      <c r="X17346" s="60"/>
    </row>
    <row r="17347" spans="7:24" ht="15" customHeight="1">
      <c r="G17347"/>
      <c r="I17347"/>
      <c r="N17347"/>
      <c r="O17347" s="24"/>
      <c r="P17347"/>
      <c r="Q17347" s="24"/>
      <c r="R17347"/>
      <c r="S17347"/>
      <c r="T17347"/>
      <c r="U17347"/>
      <c r="X17347" s="60"/>
    </row>
    <row r="17348" spans="7:24" ht="15" customHeight="1">
      <c r="G17348"/>
      <c r="I17348"/>
      <c r="N17348"/>
      <c r="O17348" s="24"/>
      <c r="P17348"/>
      <c r="Q17348" s="24"/>
      <c r="R17348"/>
      <c r="S17348"/>
      <c r="T17348"/>
      <c r="U17348"/>
      <c r="X17348" s="60"/>
    </row>
    <row r="17349" spans="7:24" ht="15" customHeight="1">
      <c r="G17349"/>
      <c r="I17349"/>
      <c r="N17349"/>
      <c r="O17349" s="24"/>
      <c r="P17349"/>
      <c r="Q17349" s="24"/>
      <c r="R17349"/>
      <c r="S17349"/>
      <c r="T17349"/>
      <c r="U17349"/>
      <c r="X17349" s="60"/>
    </row>
    <row r="17350" spans="7:24" ht="15" customHeight="1">
      <c r="G17350"/>
      <c r="I17350"/>
      <c r="N17350"/>
      <c r="O17350" s="24"/>
      <c r="P17350"/>
      <c r="Q17350" s="24"/>
      <c r="R17350"/>
      <c r="S17350"/>
      <c r="T17350"/>
      <c r="U17350"/>
      <c r="X17350" s="60"/>
    </row>
    <row r="17351" spans="7:24" ht="15" customHeight="1">
      <c r="G17351"/>
      <c r="I17351"/>
      <c r="N17351"/>
      <c r="O17351" s="24"/>
      <c r="P17351"/>
      <c r="Q17351" s="24"/>
      <c r="R17351"/>
      <c r="S17351"/>
      <c r="T17351"/>
      <c r="U17351"/>
      <c r="X17351" s="60"/>
    </row>
    <row r="17352" spans="7:24" ht="15" customHeight="1">
      <c r="G17352"/>
      <c r="I17352"/>
      <c r="N17352"/>
      <c r="O17352" s="24"/>
      <c r="P17352"/>
      <c r="Q17352" s="24"/>
      <c r="R17352"/>
      <c r="S17352"/>
      <c r="T17352"/>
      <c r="U17352"/>
      <c r="X17352" s="60"/>
    </row>
    <row r="17353" spans="7:24" ht="15" customHeight="1">
      <c r="G17353"/>
      <c r="I17353"/>
      <c r="N17353"/>
      <c r="O17353" s="24"/>
      <c r="P17353"/>
      <c r="Q17353" s="24"/>
      <c r="R17353"/>
      <c r="S17353"/>
      <c r="T17353"/>
      <c r="U17353"/>
      <c r="X17353" s="60"/>
    </row>
    <row r="17354" spans="7:24" ht="15" customHeight="1">
      <c r="G17354"/>
      <c r="I17354"/>
      <c r="N17354"/>
      <c r="O17354" s="24"/>
      <c r="P17354"/>
      <c r="Q17354" s="24"/>
      <c r="R17354"/>
      <c r="S17354"/>
      <c r="T17354"/>
      <c r="U17354"/>
      <c r="X17354" s="60"/>
    </row>
    <row r="17355" spans="7:24" ht="15" customHeight="1">
      <c r="G17355"/>
      <c r="I17355"/>
      <c r="N17355"/>
      <c r="O17355" s="24"/>
      <c r="P17355"/>
      <c r="Q17355" s="24"/>
      <c r="R17355"/>
      <c r="S17355"/>
      <c r="T17355"/>
      <c r="U17355"/>
      <c r="X17355" s="60"/>
    </row>
    <row r="17356" spans="7:24" ht="15" customHeight="1">
      <c r="G17356"/>
      <c r="I17356"/>
      <c r="N17356"/>
      <c r="O17356" s="24"/>
      <c r="P17356"/>
      <c r="Q17356" s="24"/>
      <c r="R17356"/>
      <c r="S17356"/>
      <c r="T17356"/>
      <c r="U17356"/>
      <c r="X17356" s="60"/>
    </row>
    <row r="17357" spans="7:24" ht="15" customHeight="1">
      <c r="G17357"/>
      <c r="I17357"/>
      <c r="N17357"/>
      <c r="O17357" s="24"/>
      <c r="P17357"/>
      <c r="Q17357" s="24"/>
      <c r="R17357"/>
      <c r="S17357"/>
      <c r="T17357"/>
      <c r="U17357"/>
      <c r="X17357" s="60"/>
    </row>
    <row r="17358" spans="7:24" ht="15" customHeight="1">
      <c r="G17358"/>
      <c r="I17358"/>
      <c r="N17358"/>
      <c r="O17358" s="24"/>
      <c r="P17358"/>
      <c r="Q17358" s="24"/>
      <c r="R17358"/>
      <c r="S17358"/>
      <c r="T17358"/>
      <c r="U17358"/>
      <c r="X17358" s="60"/>
    </row>
    <row r="17359" spans="7:24" ht="15" customHeight="1">
      <c r="G17359"/>
      <c r="I17359"/>
      <c r="N17359"/>
      <c r="O17359" s="24"/>
      <c r="P17359"/>
      <c r="Q17359" s="24"/>
      <c r="R17359"/>
      <c r="S17359"/>
      <c r="T17359"/>
      <c r="U17359"/>
      <c r="X17359" s="60"/>
    </row>
    <row r="17360" spans="7:24" ht="15" customHeight="1">
      <c r="G17360"/>
      <c r="I17360"/>
      <c r="N17360"/>
      <c r="O17360" s="24"/>
      <c r="P17360"/>
      <c r="Q17360" s="24"/>
      <c r="R17360"/>
      <c r="S17360"/>
      <c r="T17360"/>
      <c r="U17360"/>
      <c r="X17360" s="60"/>
    </row>
    <row r="17361" spans="7:24" ht="15" customHeight="1">
      <c r="G17361"/>
      <c r="I17361"/>
      <c r="N17361"/>
      <c r="O17361" s="24"/>
      <c r="P17361"/>
      <c r="Q17361" s="24"/>
      <c r="R17361"/>
      <c r="S17361"/>
      <c r="T17361"/>
      <c r="U17361"/>
      <c r="X17361" s="60"/>
    </row>
    <row r="17362" spans="7:24" ht="15" customHeight="1">
      <c r="G17362"/>
      <c r="I17362"/>
      <c r="N17362"/>
      <c r="O17362" s="24"/>
      <c r="P17362"/>
      <c r="Q17362" s="24"/>
      <c r="R17362"/>
      <c r="S17362"/>
      <c r="T17362"/>
      <c r="U17362"/>
      <c r="X17362" s="60"/>
    </row>
    <row r="17363" spans="7:24" ht="15" customHeight="1">
      <c r="G17363"/>
      <c r="I17363"/>
      <c r="N17363"/>
      <c r="O17363" s="24"/>
      <c r="P17363"/>
      <c r="Q17363" s="24"/>
      <c r="R17363"/>
      <c r="S17363"/>
      <c r="T17363"/>
      <c r="U17363"/>
      <c r="X17363" s="60"/>
    </row>
    <row r="17364" spans="7:24" ht="15" customHeight="1">
      <c r="G17364"/>
      <c r="I17364"/>
      <c r="N17364"/>
      <c r="O17364" s="24"/>
      <c r="P17364"/>
      <c r="Q17364" s="24"/>
      <c r="R17364"/>
      <c r="S17364"/>
      <c r="T17364"/>
      <c r="U17364"/>
      <c r="X17364" s="60"/>
    </row>
    <row r="17365" spans="7:24" ht="15" customHeight="1">
      <c r="G17365"/>
      <c r="I17365"/>
      <c r="N17365"/>
      <c r="O17365" s="24"/>
      <c r="P17365"/>
      <c r="Q17365" s="24"/>
      <c r="R17365"/>
      <c r="S17365"/>
      <c r="T17365"/>
      <c r="U17365"/>
      <c r="X17365" s="60"/>
    </row>
    <row r="17366" spans="7:24" ht="15" customHeight="1">
      <c r="G17366"/>
      <c r="I17366"/>
      <c r="N17366"/>
      <c r="O17366" s="24"/>
      <c r="P17366"/>
      <c r="Q17366" s="24"/>
      <c r="R17366"/>
      <c r="S17366"/>
      <c r="T17366"/>
      <c r="U17366"/>
      <c r="X17366" s="60"/>
    </row>
    <row r="17367" spans="7:24" ht="15" customHeight="1">
      <c r="G17367"/>
      <c r="I17367"/>
      <c r="N17367"/>
      <c r="O17367" s="24"/>
      <c r="P17367"/>
      <c r="Q17367" s="24"/>
      <c r="R17367"/>
      <c r="S17367"/>
      <c r="T17367"/>
      <c r="U17367"/>
      <c r="X17367" s="60"/>
    </row>
    <row r="17368" spans="7:24" ht="15" customHeight="1">
      <c r="G17368"/>
      <c r="I17368"/>
      <c r="N17368"/>
      <c r="O17368" s="24"/>
      <c r="P17368"/>
      <c r="Q17368" s="24"/>
      <c r="R17368"/>
      <c r="S17368"/>
      <c r="T17368"/>
      <c r="U17368"/>
      <c r="X17368" s="60"/>
    </row>
    <row r="17369" spans="7:24" ht="15" customHeight="1">
      <c r="G17369"/>
      <c r="I17369"/>
      <c r="N17369"/>
      <c r="O17369" s="24"/>
      <c r="P17369"/>
      <c r="Q17369" s="24"/>
      <c r="R17369"/>
      <c r="S17369"/>
      <c r="T17369"/>
      <c r="U17369"/>
      <c r="X17369" s="60"/>
    </row>
    <row r="17370" spans="7:24" ht="15" customHeight="1">
      <c r="G17370"/>
      <c r="I17370"/>
      <c r="N17370"/>
      <c r="O17370" s="24"/>
      <c r="P17370"/>
      <c r="Q17370" s="24"/>
      <c r="R17370"/>
      <c r="S17370"/>
      <c r="T17370"/>
      <c r="U17370"/>
      <c r="X17370" s="60"/>
    </row>
    <row r="17371" spans="7:24" ht="15" customHeight="1">
      <c r="G17371"/>
      <c r="I17371"/>
      <c r="N17371"/>
      <c r="O17371" s="24"/>
      <c r="P17371"/>
      <c r="Q17371" s="24"/>
      <c r="R17371"/>
      <c r="S17371"/>
      <c r="T17371"/>
      <c r="U17371"/>
      <c r="X17371" s="60"/>
    </row>
    <row r="17372" spans="7:24" ht="15" customHeight="1">
      <c r="G17372"/>
      <c r="I17372"/>
      <c r="N17372"/>
      <c r="O17372" s="24"/>
      <c r="P17372"/>
      <c r="Q17372" s="24"/>
      <c r="R17372"/>
      <c r="S17372"/>
      <c r="T17372"/>
      <c r="U17372"/>
      <c r="X17372" s="60"/>
    </row>
    <row r="17373" spans="7:24" ht="15" customHeight="1">
      <c r="G17373"/>
      <c r="I17373"/>
      <c r="N17373"/>
      <c r="O17373" s="24"/>
      <c r="P17373"/>
      <c r="Q17373" s="24"/>
      <c r="R17373"/>
      <c r="S17373"/>
      <c r="T17373"/>
      <c r="U17373"/>
      <c r="X17373" s="60"/>
    </row>
    <row r="17374" spans="7:24" ht="15" customHeight="1">
      <c r="G17374"/>
      <c r="I17374"/>
      <c r="N17374"/>
      <c r="O17374" s="24"/>
      <c r="P17374"/>
      <c r="Q17374" s="24"/>
      <c r="R17374"/>
      <c r="S17374"/>
      <c r="T17374"/>
      <c r="U17374"/>
      <c r="X17374" s="60"/>
    </row>
    <row r="17375" spans="7:24" ht="15" customHeight="1">
      <c r="G17375"/>
      <c r="I17375"/>
      <c r="N17375"/>
      <c r="O17375" s="24"/>
      <c r="P17375"/>
      <c r="Q17375" s="24"/>
      <c r="R17375"/>
      <c r="S17375"/>
      <c r="T17375"/>
      <c r="U17375"/>
      <c r="X17375" s="60"/>
    </row>
    <row r="17376" spans="7:24" ht="15" customHeight="1">
      <c r="G17376"/>
      <c r="I17376"/>
      <c r="N17376"/>
      <c r="O17376" s="24"/>
      <c r="P17376"/>
      <c r="Q17376" s="24"/>
      <c r="R17376"/>
      <c r="S17376"/>
      <c r="T17376"/>
      <c r="U17376"/>
      <c r="X17376" s="60"/>
    </row>
    <row r="17377" spans="7:24" ht="15" customHeight="1">
      <c r="G17377"/>
      <c r="I17377"/>
      <c r="N17377"/>
      <c r="O17377" s="24"/>
      <c r="P17377"/>
      <c r="Q17377" s="24"/>
      <c r="R17377"/>
      <c r="S17377"/>
      <c r="T17377"/>
      <c r="U17377"/>
      <c r="X17377" s="60"/>
    </row>
    <row r="17378" spans="7:24" ht="15" customHeight="1">
      <c r="G17378"/>
      <c r="I17378"/>
      <c r="N17378"/>
      <c r="O17378" s="24"/>
      <c r="P17378"/>
      <c r="Q17378" s="24"/>
      <c r="R17378"/>
      <c r="S17378"/>
      <c r="T17378"/>
      <c r="U17378"/>
      <c r="X17378" s="60"/>
    </row>
    <row r="17379" spans="7:24" ht="15" customHeight="1">
      <c r="G17379"/>
      <c r="I17379"/>
      <c r="N17379"/>
      <c r="O17379" s="24"/>
      <c r="P17379"/>
      <c r="Q17379" s="24"/>
      <c r="R17379"/>
      <c r="S17379"/>
      <c r="T17379"/>
      <c r="U17379"/>
      <c r="X17379" s="60"/>
    </row>
    <row r="17380" spans="7:24" ht="15" customHeight="1">
      <c r="G17380"/>
      <c r="I17380"/>
      <c r="N17380"/>
      <c r="O17380" s="24"/>
      <c r="P17380"/>
      <c r="Q17380" s="24"/>
      <c r="R17380"/>
      <c r="S17380"/>
      <c r="T17380"/>
      <c r="U17380"/>
      <c r="X17380" s="60"/>
    </row>
    <row r="17381" spans="7:24" ht="15" customHeight="1">
      <c r="G17381"/>
      <c r="I17381"/>
      <c r="N17381"/>
      <c r="O17381" s="24"/>
      <c r="P17381"/>
      <c r="Q17381" s="24"/>
      <c r="R17381"/>
      <c r="S17381"/>
      <c r="T17381"/>
      <c r="U17381"/>
      <c r="X17381" s="60"/>
    </row>
    <row r="17382" spans="7:24" ht="15" customHeight="1">
      <c r="G17382"/>
      <c r="I17382"/>
      <c r="N17382"/>
      <c r="O17382" s="24"/>
      <c r="P17382"/>
      <c r="Q17382" s="24"/>
      <c r="R17382"/>
      <c r="S17382"/>
      <c r="T17382"/>
      <c r="U17382"/>
      <c r="X17382" s="60"/>
    </row>
    <row r="17383" spans="7:24" ht="15" customHeight="1">
      <c r="G17383"/>
      <c r="I17383"/>
      <c r="N17383"/>
      <c r="O17383" s="24"/>
      <c r="P17383"/>
      <c r="Q17383" s="24"/>
      <c r="R17383"/>
      <c r="S17383"/>
      <c r="T17383"/>
      <c r="U17383"/>
      <c r="X17383" s="60"/>
    </row>
    <row r="17384" spans="7:24" ht="15" customHeight="1">
      <c r="G17384"/>
      <c r="I17384"/>
      <c r="N17384"/>
      <c r="O17384" s="24"/>
      <c r="P17384"/>
      <c r="Q17384" s="24"/>
      <c r="R17384"/>
      <c r="S17384"/>
      <c r="T17384"/>
      <c r="U17384"/>
      <c r="X17384" s="60"/>
    </row>
    <row r="17385" spans="7:24" ht="15" customHeight="1">
      <c r="G17385"/>
      <c r="I17385"/>
      <c r="N17385"/>
      <c r="O17385" s="24"/>
      <c r="P17385"/>
      <c r="Q17385" s="24"/>
      <c r="R17385"/>
      <c r="S17385"/>
      <c r="T17385"/>
      <c r="U17385"/>
      <c r="X17385" s="60"/>
    </row>
    <row r="17386" spans="7:24" ht="15" customHeight="1">
      <c r="G17386"/>
      <c r="I17386"/>
      <c r="N17386"/>
      <c r="O17386" s="24"/>
      <c r="P17386"/>
      <c r="Q17386" s="24"/>
      <c r="R17386"/>
      <c r="S17386"/>
      <c r="T17386"/>
      <c r="U17386"/>
      <c r="X17386" s="60"/>
    </row>
    <row r="17387" spans="7:24" ht="15" customHeight="1">
      <c r="G17387"/>
      <c r="I17387"/>
      <c r="N17387"/>
      <c r="O17387" s="24"/>
      <c r="P17387"/>
      <c r="Q17387" s="24"/>
      <c r="R17387"/>
      <c r="S17387"/>
      <c r="T17387"/>
      <c r="U17387"/>
      <c r="X17387" s="60"/>
    </row>
    <row r="17388" spans="7:24" ht="15" customHeight="1">
      <c r="G17388"/>
      <c r="I17388"/>
      <c r="N17388"/>
      <c r="O17388" s="24"/>
      <c r="P17388"/>
      <c r="Q17388" s="24"/>
      <c r="R17388"/>
      <c r="S17388"/>
      <c r="T17388"/>
      <c r="U17388"/>
      <c r="X17388" s="60"/>
    </row>
    <row r="17389" spans="7:24" ht="15" customHeight="1">
      <c r="G17389"/>
      <c r="I17389"/>
      <c r="N17389"/>
      <c r="O17389" s="24"/>
      <c r="P17389"/>
      <c r="Q17389" s="24"/>
      <c r="R17389"/>
      <c r="S17389"/>
      <c r="T17389"/>
      <c r="U17389"/>
      <c r="X17389" s="60"/>
    </row>
    <row r="17390" spans="7:24" ht="15" customHeight="1">
      <c r="G17390"/>
      <c r="I17390"/>
      <c r="N17390"/>
      <c r="O17390" s="24"/>
      <c r="P17390"/>
      <c r="Q17390" s="24"/>
      <c r="R17390"/>
      <c r="S17390"/>
      <c r="T17390"/>
      <c r="U17390"/>
      <c r="X17390" s="60"/>
    </row>
    <row r="17391" spans="7:24" ht="15" customHeight="1">
      <c r="G17391"/>
      <c r="I17391"/>
      <c r="N17391"/>
      <c r="O17391" s="24"/>
      <c r="P17391"/>
      <c r="Q17391" s="24"/>
      <c r="R17391"/>
      <c r="S17391"/>
      <c r="T17391"/>
      <c r="U17391"/>
      <c r="X17391" s="60"/>
    </row>
    <row r="17392" spans="7:24" ht="15" customHeight="1">
      <c r="G17392"/>
      <c r="I17392"/>
      <c r="N17392"/>
      <c r="O17392" s="24"/>
      <c r="P17392"/>
      <c r="Q17392" s="24"/>
      <c r="R17392"/>
      <c r="S17392"/>
      <c r="T17392"/>
      <c r="U17392"/>
      <c r="X17392" s="60"/>
    </row>
    <row r="17393" spans="7:24" ht="15" customHeight="1">
      <c r="G17393"/>
      <c r="I17393"/>
      <c r="N17393"/>
      <c r="O17393" s="24"/>
      <c r="P17393"/>
      <c r="Q17393" s="24"/>
      <c r="R17393"/>
      <c r="S17393"/>
      <c r="T17393"/>
      <c r="U17393"/>
      <c r="X17393" s="60"/>
    </row>
    <row r="17394" spans="7:24" ht="15" customHeight="1">
      <c r="G17394"/>
      <c r="I17394"/>
      <c r="N17394"/>
      <c r="O17394" s="24"/>
      <c r="P17394"/>
      <c r="Q17394" s="24"/>
      <c r="R17394"/>
      <c r="S17394"/>
      <c r="T17394"/>
      <c r="U17394"/>
      <c r="X17394" s="60"/>
    </row>
    <row r="17395" spans="7:24" ht="15" customHeight="1">
      <c r="G17395"/>
      <c r="I17395"/>
      <c r="N17395"/>
      <c r="O17395" s="24"/>
      <c r="P17395"/>
      <c r="Q17395" s="24"/>
      <c r="R17395"/>
      <c r="S17395"/>
      <c r="T17395"/>
      <c r="U17395"/>
      <c r="X17395" s="60"/>
    </row>
    <row r="17396" spans="7:24" ht="15" customHeight="1">
      <c r="G17396"/>
      <c r="I17396"/>
      <c r="N17396"/>
      <c r="O17396" s="24"/>
      <c r="P17396"/>
      <c r="Q17396" s="24"/>
      <c r="R17396"/>
      <c r="S17396"/>
      <c r="T17396"/>
      <c r="U17396"/>
      <c r="X17396" s="60"/>
    </row>
    <row r="17397" spans="7:24" ht="15" customHeight="1">
      <c r="G17397"/>
      <c r="I17397"/>
      <c r="N17397"/>
      <c r="O17397" s="24"/>
      <c r="P17397"/>
      <c r="Q17397" s="24"/>
      <c r="R17397"/>
      <c r="S17397"/>
      <c r="T17397"/>
      <c r="U17397"/>
      <c r="X17397" s="60"/>
    </row>
    <row r="17398" spans="7:24" ht="15" customHeight="1">
      <c r="G17398"/>
      <c r="I17398"/>
      <c r="N17398"/>
      <c r="O17398" s="24"/>
      <c r="P17398"/>
      <c r="Q17398" s="24"/>
      <c r="R17398"/>
      <c r="S17398"/>
      <c r="T17398"/>
      <c r="U17398"/>
      <c r="X17398" s="60"/>
    </row>
    <row r="17399" spans="7:24" ht="15" customHeight="1">
      <c r="G17399"/>
      <c r="I17399"/>
      <c r="N17399"/>
      <c r="O17399" s="24"/>
      <c r="P17399"/>
      <c r="Q17399" s="24"/>
      <c r="R17399"/>
      <c r="S17399"/>
      <c r="T17399"/>
      <c r="U17399"/>
      <c r="X17399" s="60"/>
    </row>
    <row r="17400" spans="7:24" ht="15" customHeight="1">
      <c r="G17400"/>
      <c r="I17400"/>
      <c r="N17400"/>
      <c r="O17400" s="24"/>
      <c r="P17400"/>
      <c r="Q17400" s="24"/>
      <c r="R17400"/>
      <c r="S17400"/>
      <c r="T17400"/>
      <c r="U17400"/>
      <c r="X17400" s="60"/>
    </row>
    <row r="17401" spans="7:24" ht="15" customHeight="1">
      <c r="G17401"/>
      <c r="I17401"/>
      <c r="N17401"/>
      <c r="O17401" s="24"/>
      <c r="P17401"/>
      <c r="Q17401" s="24"/>
      <c r="R17401"/>
      <c r="S17401"/>
      <c r="T17401"/>
      <c r="U17401"/>
      <c r="X17401" s="60"/>
    </row>
    <row r="17402" spans="7:24" ht="15" customHeight="1">
      <c r="G17402"/>
      <c r="I17402"/>
      <c r="N17402"/>
      <c r="O17402" s="24"/>
      <c r="P17402"/>
      <c r="Q17402" s="24"/>
      <c r="R17402"/>
      <c r="S17402"/>
      <c r="T17402"/>
      <c r="U17402"/>
      <c r="X17402" s="60"/>
    </row>
    <row r="17403" spans="7:24" ht="15" customHeight="1">
      <c r="G17403"/>
      <c r="I17403"/>
      <c r="N17403"/>
      <c r="O17403" s="24"/>
      <c r="P17403"/>
      <c r="Q17403" s="24"/>
      <c r="R17403"/>
      <c r="S17403"/>
      <c r="T17403"/>
      <c r="U17403"/>
      <c r="X17403" s="60"/>
    </row>
    <row r="17404" spans="7:24" ht="15" customHeight="1">
      <c r="G17404"/>
      <c r="I17404"/>
      <c r="N17404"/>
      <c r="O17404" s="24"/>
      <c r="P17404"/>
      <c r="Q17404" s="24"/>
      <c r="R17404"/>
      <c r="S17404"/>
      <c r="T17404"/>
      <c r="U17404"/>
      <c r="X17404" s="60"/>
    </row>
    <row r="17405" spans="7:24" ht="15" customHeight="1">
      <c r="G17405"/>
      <c r="I17405"/>
      <c r="N17405"/>
      <c r="O17405" s="24"/>
      <c r="P17405"/>
      <c r="Q17405" s="24"/>
      <c r="R17405"/>
      <c r="S17405"/>
      <c r="T17405"/>
      <c r="U17405"/>
      <c r="X17405" s="60"/>
    </row>
    <row r="17406" spans="7:24" ht="15" customHeight="1">
      <c r="G17406"/>
      <c r="I17406"/>
      <c r="N17406"/>
      <c r="O17406" s="24"/>
      <c r="P17406"/>
      <c r="Q17406" s="24"/>
      <c r="R17406"/>
      <c r="S17406"/>
      <c r="T17406"/>
      <c r="U17406"/>
      <c r="X17406" s="60"/>
    </row>
    <row r="17407" spans="7:24" ht="15" customHeight="1">
      <c r="G17407"/>
      <c r="I17407"/>
      <c r="N17407"/>
      <c r="O17407" s="24"/>
      <c r="P17407"/>
      <c r="Q17407" s="24"/>
      <c r="R17407"/>
      <c r="S17407"/>
      <c r="T17407"/>
      <c r="U17407"/>
      <c r="X17407" s="60"/>
    </row>
    <row r="17408" spans="7:24" ht="15" customHeight="1">
      <c r="G17408"/>
      <c r="I17408"/>
      <c r="N17408"/>
      <c r="O17408" s="24"/>
      <c r="P17408"/>
      <c r="Q17408" s="24"/>
      <c r="R17408"/>
      <c r="S17408"/>
      <c r="T17408"/>
      <c r="U17408"/>
      <c r="X17408" s="60"/>
    </row>
    <row r="17409" spans="7:24" ht="15" customHeight="1">
      <c r="G17409"/>
      <c r="I17409"/>
      <c r="N17409"/>
      <c r="O17409" s="24"/>
      <c r="P17409"/>
      <c r="Q17409" s="24"/>
      <c r="R17409"/>
      <c r="S17409"/>
      <c r="T17409"/>
      <c r="U17409"/>
      <c r="X17409" s="60"/>
    </row>
    <row r="17410" spans="7:24" ht="15" customHeight="1">
      <c r="G17410"/>
      <c r="I17410"/>
      <c r="N17410"/>
      <c r="O17410" s="24"/>
      <c r="P17410"/>
      <c r="Q17410" s="24"/>
      <c r="R17410"/>
      <c r="S17410"/>
      <c r="T17410"/>
      <c r="U17410"/>
      <c r="X17410" s="60"/>
    </row>
    <row r="17411" spans="7:24" ht="15" customHeight="1">
      <c r="G17411"/>
      <c r="I17411"/>
      <c r="N17411"/>
      <c r="O17411" s="24"/>
      <c r="P17411"/>
      <c r="Q17411" s="24"/>
      <c r="R17411"/>
      <c r="S17411"/>
      <c r="T17411"/>
      <c r="U17411"/>
      <c r="X17411" s="60"/>
    </row>
    <row r="17412" spans="7:24" ht="15" customHeight="1">
      <c r="G17412"/>
      <c r="I17412"/>
      <c r="N17412"/>
      <c r="O17412" s="24"/>
      <c r="P17412"/>
      <c r="Q17412" s="24"/>
      <c r="R17412"/>
      <c r="S17412"/>
      <c r="T17412"/>
      <c r="U17412"/>
      <c r="X17412" s="60"/>
    </row>
    <row r="17413" spans="7:24" ht="15" customHeight="1">
      <c r="G17413"/>
      <c r="I17413"/>
      <c r="N17413"/>
      <c r="O17413" s="24"/>
      <c r="P17413"/>
      <c r="Q17413" s="24"/>
      <c r="R17413"/>
      <c r="S17413"/>
      <c r="T17413"/>
      <c r="U17413"/>
      <c r="X17413" s="60"/>
    </row>
    <row r="17414" spans="7:24" ht="15" customHeight="1">
      <c r="G17414"/>
      <c r="I17414"/>
      <c r="N17414"/>
      <c r="O17414" s="24"/>
      <c r="P17414"/>
      <c r="Q17414" s="24"/>
      <c r="R17414"/>
      <c r="S17414"/>
      <c r="T17414"/>
      <c r="U17414"/>
      <c r="X17414" s="60"/>
    </row>
    <row r="17415" spans="7:24" ht="15" customHeight="1">
      <c r="G17415"/>
      <c r="I17415"/>
      <c r="N17415"/>
      <c r="O17415" s="24"/>
      <c r="P17415"/>
      <c r="Q17415" s="24"/>
      <c r="R17415"/>
      <c r="S17415"/>
      <c r="T17415"/>
      <c r="U17415"/>
      <c r="X17415" s="60"/>
    </row>
    <row r="17416" spans="7:24" ht="15" customHeight="1">
      <c r="G17416"/>
      <c r="I17416"/>
      <c r="N17416"/>
      <c r="O17416" s="24"/>
      <c r="P17416"/>
      <c r="Q17416" s="24"/>
      <c r="R17416"/>
      <c r="S17416"/>
      <c r="T17416"/>
      <c r="U17416"/>
      <c r="X17416" s="60"/>
    </row>
    <row r="17417" spans="7:24" ht="15" customHeight="1">
      <c r="G17417"/>
      <c r="I17417"/>
      <c r="N17417"/>
      <c r="O17417" s="24"/>
      <c r="P17417"/>
      <c r="Q17417" s="24"/>
      <c r="R17417"/>
      <c r="S17417"/>
      <c r="T17417"/>
      <c r="U17417"/>
      <c r="X17417" s="60"/>
    </row>
    <row r="17418" spans="7:24" ht="15" customHeight="1">
      <c r="G17418"/>
      <c r="I17418"/>
      <c r="N17418"/>
      <c r="O17418" s="24"/>
      <c r="P17418"/>
      <c r="Q17418" s="24"/>
      <c r="R17418"/>
      <c r="S17418"/>
      <c r="T17418"/>
      <c r="U17418"/>
      <c r="X17418" s="60"/>
    </row>
    <row r="17419" spans="7:24" ht="15" customHeight="1">
      <c r="G17419"/>
      <c r="I17419"/>
      <c r="N17419"/>
      <c r="O17419" s="24"/>
      <c r="P17419"/>
      <c r="Q17419" s="24"/>
      <c r="R17419"/>
      <c r="S17419"/>
      <c r="T17419"/>
      <c r="U17419"/>
      <c r="X17419" s="60"/>
    </row>
    <row r="17420" spans="7:24" ht="15" customHeight="1">
      <c r="G17420"/>
      <c r="I17420"/>
      <c r="N17420"/>
      <c r="O17420" s="24"/>
      <c r="P17420"/>
      <c r="Q17420" s="24"/>
      <c r="R17420"/>
      <c r="S17420"/>
      <c r="T17420"/>
      <c r="U17420"/>
      <c r="X17420" s="60"/>
    </row>
    <row r="17421" spans="7:24" ht="15" customHeight="1">
      <c r="G17421"/>
      <c r="I17421"/>
      <c r="N17421"/>
      <c r="O17421" s="24"/>
      <c r="P17421"/>
      <c r="Q17421" s="24"/>
      <c r="R17421"/>
      <c r="S17421"/>
      <c r="T17421"/>
      <c r="U17421"/>
      <c r="X17421" s="60"/>
    </row>
    <row r="17422" spans="7:24" ht="15" customHeight="1">
      <c r="G17422"/>
      <c r="I17422"/>
      <c r="N17422"/>
      <c r="O17422" s="24"/>
      <c r="P17422"/>
      <c r="Q17422" s="24"/>
      <c r="R17422"/>
      <c r="S17422"/>
      <c r="T17422"/>
      <c r="U17422"/>
      <c r="X17422" s="60"/>
    </row>
    <row r="17423" spans="7:24" ht="15" customHeight="1">
      <c r="G17423"/>
      <c r="I17423"/>
      <c r="N17423"/>
      <c r="O17423" s="24"/>
      <c r="P17423"/>
      <c r="Q17423" s="24"/>
      <c r="R17423"/>
      <c r="S17423"/>
      <c r="T17423"/>
      <c r="U17423"/>
      <c r="X17423" s="60"/>
    </row>
    <row r="17424" spans="7:24" ht="15" customHeight="1">
      <c r="G17424"/>
      <c r="I17424"/>
      <c r="N17424"/>
      <c r="O17424" s="24"/>
      <c r="P17424"/>
      <c r="Q17424" s="24"/>
      <c r="R17424"/>
      <c r="S17424"/>
      <c r="T17424"/>
      <c r="U17424"/>
      <c r="X17424" s="60"/>
    </row>
    <row r="17425" spans="7:24" ht="15" customHeight="1">
      <c r="G17425"/>
      <c r="I17425"/>
      <c r="N17425"/>
      <c r="O17425" s="24"/>
      <c r="P17425"/>
      <c r="Q17425" s="24"/>
      <c r="R17425"/>
      <c r="S17425"/>
      <c r="T17425"/>
      <c r="U17425"/>
      <c r="X17425" s="60"/>
    </row>
    <row r="17426" spans="7:24" ht="15" customHeight="1">
      <c r="G17426"/>
      <c r="I17426"/>
      <c r="N17426"/>
      <c r="O17426" s="24"/>
      <c r="P17426"/>
      <c r="Q17426" s="24"/>
      <c r="R17426"/>
      <c r="S17426"/>
      <c r="T17426"/>
      <c r="U17426"/>
      <c r="X17426" s="60"/>
    </row>
    <row r="17427" spans="7:24" ht="15" customHeight="1">
      <c r="G17427"/>
      <c r="I17427"/>
      <c r="N17427"/>
      <c r="O17427" s="24"/>
      <c r="P17427"/>
      <c r="Q17427" s="24"/>
      <c r="R17427"/>
      <c r="S17427"/>
      <c r="T17427"/>
      <c r="U17427"/>
      <c r="X17427" s="60"/>
    </row>
    <row r="17428" spans="7:24" ht="15" customHeight="1">
      <c r="G17428"/>
      <c r="I17428"/>
      <c r="N17428"/>
      <c r="O17428" s="24"/>
      <c r="P17428"/>
      <c r="Q17428" s="24"/>
      <c r="R17428"/>
      <c r="S17428"/>
      <c r="T17428"/>
      <c r="U17428"/>
      <c r="X17428" s="60"/>
    </row>
    <row r="17429" spans="7:24" ht="15" customHeight="1">
      <c r="G17429"/>
      <c r="I17429"/>
      <c r="N17429"/>
      <c r="O17429" s="24"/>
      <c r="P17429"/>
      <c r="Q17429" s="24"/>
      <c r="R17429"/>
      <c r="S17429"/>
      <c r="T17429"/>
      <c r="U17429"/>
      <c r="X17429" s="60"/>
    </row>
    <row r="17430" spans="7:24" ht="15" customHeight="1">
      <c r="G17430"/>
      <c r="I17430"/>
      <c r="N17430"/>
      <c r="O17430" s="24"/>
      <c r="P17430"/>
      <c r="Q17430" s="24"/>
      <c r="R17430"/>
      <c r="S17430"/>
      <c r="T17430"/>
      <c r="U17430"/>
      <c r="X17430" s="60"/>
    </row>
    <row r="17431" spans="7:24" ht="15" customHeight="1">
      <c r="G17431"/>
      <c r="I17431"/>
      <c r="N17431"/>
      <c r="O17431" s="24"/>
      <c r="P17431"/>
      <c r="Q17431" s="24"/>
      <c r="R17431"/>
      <c r="S17431"/>
      <c r="T17431"/>
      <c r="U17431"/>
      <c r="X17431" s="60"/>
    </row>
    <row r="17432" spans="7:24" ht="15" customHeight="1">
      <c r="G17432"/>
      <c r="I17432"/>
      <c r="N17432"/>
      <c r="O17432" s="24"/>
      <c r="P17432"/>
      <c r="Q17432" s="24"/>
      <c r="R17432"/>
      <c r="S17432"/>
      <c r="T17432"/>
      <c r="U17432"/>
      <c r="X17432" s="60"/>
    </row>
    <row r="17433" spans="7:24" ht="15" customHeight="1">
      <c r="G17433"/>
      <c r="I17433"/>
      <c r="N17433"/>
      <c r="O17433" s="24"/>
      <c r="P17433"/>
      <c r="Q17433" s="24"/>
      <c r="R17433"/>
      <c r="S17433"/>
      <c r="T17433"/>
      <c r="U17433"/>
      <c r="X17433" s="60"/>
    </row>
    <row r="17434" spans="7:24" ht="15" customHeight="1">
      <c r="G17434"/>
      <c r="I17434"/>
      <c r="N17434"/>
      <c r="O17434" s="24"/>
      <c r="P17434"/>
      <c r="Q17434" s="24"/>
      <c r="R17434"/>
      <c r="S17434"/>
      <c r="T17434"/>
      <c r="U17434"/>
      <c r="X17434" s="60"/>
    </row>
    <row r="17435" spans="7:24" ht="15" customHeight="1">
      <c r="G17435"/>
      <c r="I17435"/>
      <c r="N17435"/>
      <c r="O17435" s="24"/>
      <c r="P17435"/>
      <c r="Q17435" s="24"/>
      <c r="R17435"/>
      <c r="S17435"/>
      <c r="T17435"/>
      <c r="U17435"/>
      <c r="X17435" s="60"/>
    </row>
    <row r="17436" spans="7:24" ht="15" customHeight="1">
      <c r="G17436"/>
      <c r="I17436"/>
      <c r="N17436"/>
      <c r="O17436" s="24"/>
      <c r="P17436"/>
      <c r="Q17436" s="24"/>
      <c r="R17436"/>
      <c r="S17436"/>
      <c r="T17436"/>
      <c r="U17436"/>
      <c r="X17436" s="60"/>
    </row>
    <row r="17437" spans="7:24" ht="15" customHeight="1">
      <c r="G17437"/>
      <c r="I17437"/>
      <c r="N17437"/>
      <c r="O17437" s="24"/>
      <c r="P17437"/>
      <c r="Q17437" s="24"/>
      <c r="R17437"/>
      <c r="S17437"/>
      <c r="T17437"/>
      <c r="U17437"/>
      <c r="X17437" s="60"/>
    </row>
    <row r="17438" spans="7:24" ht="15" customHeight="1">
      <c r="G17438"/>
      <c r="I17438"/>
      <c r="N17438"/>
      <c r="O17438" s="24"/>
      <c r="P17438"/>
      <c r="Q17438" s="24"/>
      <c r="R17438"/>
      <c r="S17438"/>
      <c r="T17438"/>
      <c r="U17438"/>
      <c r="X17438" s="60"/>
    </row>
    <row r="17439" spans="7:24" ht="15" customHeight="1">
      <c r="G17439"/>
      <c r="I17439"/>
      <c r="N17439"/>
      <c r="O17439" s="24"/>
      <c r="P17439"/>
      <c r="Q17439" s="24"/>
      <c r="R17439"/>
      <c r="S17439"/>
      <c r="T17439"/>
      <c r="U17439"/>
      <c r="X17439" s="60"/>
    </row>
    <row r="17440" spans="7:24" ht="15" customHeight="1">
      <c r="G17440"/>
      <c r="I17440"/>
      <c r="N17440"/>
      <c r="O17440" s="24"/>
      <c r="P17440"/>
      <c r="Q17440" s="24"/>
      <c r="R17440"/>
      <c r="S17440"/>
      <c r="T17440"/>
      <c r="U17440"/>
      <c r="X17440" s="60"/>
    </row>
    <row r="17441" spans="7:24" ht="15" customHeight="1">
      <c r="G17441"/>
      <c r="I17441"/>
      <c r="N17441"/>
      <c r="O17441" s="24"/>
      <c r="P17441"/>
      <c r="Q17441" s="24"/>
      <c r="R17441"/>
      <c r="S17441"/>
      <c r="T17441"/>
      <c r="U17441"/>
      <c r="X17441" s="60"/>
    </row>
    <row r="17442" spans="7:24" ht="15" customHeight="1">
      <c r="G17442"/>
      <c r="I17442"/>
      <c r="N17442"/>
      <c r="O17442" s="24"/>
      <c r="P17442"/>
      <c r="Q17442" s="24"/>
      <c r="R17442"/>
      <c r="S17442"/>
      <c r="T17442"/>
      <c r="U17442"/>
      <c r="X17442" s="60"/>
    </row>
    <row r="17443" spans="7:24" ht="15" customHeight="1">
      <c r="G17443"/>
      <c r="I17443"/>
      <c r="N17443"/>
      <c r="O17443" s="24"/>
      <c r="P17443"/>
      <c r="Q17443" s="24"/>
      <c r="R17443"/>
      <c r="S17443"/>
      <c r="T17443"/>
      <c r="U17443"/>
      <c r="X17443" s="60"/>
    </row>
    <row r="17444" spans="7:24" ht="15" customHeight="1">
      <c r="G17444"/>
      <c r="I17444"/>
      <c r="N17444"/>
      <c r="O17444" s="24"/>
      <c r="P17444"/>
      <c r="Q17444" s="24"/>
      <c r="R17444"/>
      <c r="S17444"/>
      <c r="T17444"/>
      <c r="U17444"/>
      <c r="X17444" s="60"/>
    </row>
    <row r="17445" spans="7:24" ht="15" customHeight="1">
      <c r="G17445"/>
      <c r="I17445"/>
      <c r="N17445"/>
      <c r="O17445" s="24"/>
      <c r="P17445"/>
      <c r="Q17445" s="24"/>
      <c r="R17445"/>
      <c r="S17445"/>
      <c r="T17445"/>
      <c r="U17445"/>
      <c r="X17445" s="60"/>
    </row>
    <row r="17446" spans="7:24" ht="15" customHeight="1">
      <c r="G17446"/>
      <c r="I17446"/>
      <c r="N17446"/>
      <c r="O17446" s="24"/>
      <c r="P17446"/>
      <c r="Q17446" s="24"/>
      <c r="R17446"/>
      <c r="S17446"/>
      <c r="T17446"/>
      <c r="U17446"/>
      <c r="X17446" s="60"/>
    </row>
    <row r="17447" spans="7:24" ht="15" customHeight="1">
      <c r="G17447"/>
      <c r="I17447"/>
      <c r="N17447"/>
      <c r="O17447" s="24"/>
      <c r="P17447"/>
      <c r="Q17447" s="24"/>
      <c r="R17447"/>
      <c r="S17447"/>
      <c r="T17447"/>
      <c r="U17447"/>
      <c r="X17447" s="60"/>
    </row>
    <row r="17448" spans="7:24" ht="15" customHeight="1">
      <c r="G17448"/>
      <c r="I17448"/>
      <c r="N17448"/>
      <c r="O17448" s="24"/>
      <c r="P17448"/>
      <c r="Q17448" s="24"/>
      <c r="R17448"/>
      <c r="S17448"/>
      <c r="T17448"/>
      <c r="U17448"/>
      <c r="X17448" s="60"/>
    </row>
    <row r="17449" spans="7:24" ht="15" customHeight="1">
      <c r="G17449"/>
      <c r="I17449"/>
      <c r="N17449"/>
      <c r="O17449" s="24"/>
      <c r="P17449"/>
      <c r="Q17449" s="24"/>
      <c r="R17449"/>
      <c r="S17449"/>
      <c r="T17449"/>
      <c r="U17449"/>
      <c r="X17449" s="60"/>
    </row>
    <row r="17450" spans="7:24" ht="15" customHeight="1">
      <c r="G17450"/>
      <c r="I17450"/>
      <c r="N17450"/>
      <c r="O17450" s="24"/>
      <c r="P17450"/>
      <c r="Q17450" s="24"/>
      <c r="R17450"/>
      <c r="S17450"/>
      <c r="T17450"/>
      <c r="U17450"/>
      <c r="X17450" s="60"/>
    </row>
    <row r="17451" spans="7:24" ht="15" customHeight="1">
      <c r="G17451"/>
      <c r="I17451"/>
      <c r="N17451"/>
      <c r="O17451" s="24"/>
      <c r="P17451"/>
      <c r="Q17451" s="24"/>
      <c r="R17451"/>
      <c r="S17451"/>
      <c r="T17451"/>
      <c r="U17451"/>
      <c r="X17451" s="60"/>
    </row>
    <row r="17452" spans="7:24" ht="15" customHeight="1">
      <c r="G17452"/>
      <c r="I17452"/>
      <c r="N17452"/>
      <c r="O17452" s="24"/>
      <c r="P17452"/>
      <c r="Q17452" s="24"/>
      <c r="R17452"/>
      <c r="S17452"/>
      <c r="T17452"/>
      <c r="U17452"/>
      <c r="X17452" s="60"/>
    </row>
    <row r="17453" spans="7:24" ht="15" customHeight="1">
      <c r="G17453"/>
      <c r="I17453"/>
      <c r="N17453"/>
      <c r="O17453" s="24"/>
      <c r="P17453"/>
      <c r="Q17453" s="24"/>
      <c r="R17453"/>
      <c r="S17453"/>
      <c r="T17453"/>
      <c r="U17453"/>
      <c r="X17453" s="60"/>
    </row>
    <row r="17454" spans="7:24" ht="15" customHeight="1">
      <c r="G17454"/>
      <c r="I17454"/>
      <c r="N17454"/>
      <c r="O17454" s="24"/>
      <c r="P17454"/>
      <c r="Q17454" s="24"/>
      <c r="R17454"/>
      <c r="S17454"/>
      <c r="T17454"/>
      <c r="U17454"/>
      <c r="X17454" s="60"/>
    </row>
    <row r="17455" spans="7:24" ht="15" customHeight="1">
      <c r="G17455"/>
      <c r="I17455"/>
      <c r="N17455"/>
      <c r="O17455" s="24"/>
      <c r="P17455"/>
      <c r="Q17455" s="24"/>
      <c r="R17455"/>
      <c r="S17455"/>
      <c r="T17455"/>
      <c r="U17455"/>
      <c r="X17455" s="60"/>
    </row>
    <row r="17456" spans="7:24" ht="15" customHeight="1">
      <c r="G17456"/>
      <c r="I17456"/>
      <c r="N17456"/>
      <c r="O17456" s="24"/>
      <c r="P17456"/>
      <c r="Q17456" s="24"/>
      <c r="R17456"/>
      <c r="S17456"/>
      <c r="T17456"/>
      <c r="U17456"/>
      <c r="X17456" s="60"/>
    </row>
    <row r="17457" spans="7:24" ht="15" customHeight="1">
      <c r="G17457"/>
      <c r="I17457"/>
      <c r="N17457"/>
      <c r="O17457" s="24"/>
      <c r="P17457"/>
      <c r="Q17457" s="24"/>
      <c r="R17457"/>
      <c r="S17457"/>
      <c r="T17457"/>
      <c r="U17457"/>
      <c r="X17457" s="60"/>
    </row>
    <row r="17458" spans="7:24" ht="15" customHeight="1">
      <c r="G17458"/>
      <c r="I17458"/>
      <c r="N17458"/>
      <c r="O17458" s="24"/>
      <c r="P17458"/>
      <c r="Q17458" s="24"/>
      <c r="R17458"/>
      <c r="S17458"/>
      <c r="T17458"/>
      <c r="U17458"/>
      <c r="X17458" s="60"/>
    </row>
    <row r="17459" spans="7:24" ht="15" customHeight="1">
      <c r="G17459"/>
      <c r="I17459"/>
      <c r="N17459"/>
      <c r="O17459" s="24"/>
      <c r="P17459"/>
      <c r="Q17459" s="24"/>
      <c r="R17459"/>
      <c r="S17459"/>
      <c r="T17459"/>
      <c r="U17459"/>
      <c r="X17459" s="60"/>
    </row>
    <row r="17460" spans="7:24" ht="15" customHeight="1">
      <c r="G17460"/>
      <c r="I17460"/>
      <c r="N17460"/>
      <c r="O17460" s="24"/>
      <c r="P17460"/>
      <c r="Q17460" s="24"/>
      <c r="R17460"/>
      <c r="S17460"/>
      <c r="T17460"/>
      <c r="U17460"/>
      <c r="X17460" s="60"/>
    </row>
    <row r="17461" spans="7:24" ht="15" customHeight="1">
      <c r="G17461"/>
      <c r="I17461"/>
      <c r="N17461"/>
      <c r="O17461" s="24"/>
      <c r="P17461"/>
      <c r="Q17461" s="24"/>
      <c r="R17461"/>
      <c r="S17461"/>
      <c r="T17461"/>
      <c r="U17461"/>
      <c r="X17461" s="60"/>
    </row>
    <row r="17462" spans="7:24" ht="15" customHeight="1">
      <c r="G17462"/>
      <c r="I17462"/>
      <c r="N17462"/>
      <c r="O17462" s="24"/>
      <c r="P17462"/>
      <c r="Q17462" s="24"/>
      <c r="R17462"/>
      <c r="S17462"/>
      <c r="T17462"/>
      <c r="U17462"/>
      <c r="X17462" s="60"/>
    </row>
    <row r="17463" spans="7:24" ht="15" customHeight="1">
      <c r="G17463"/>
      <c r="I17463"/>
      <c r="N17463"/>
      <c r="O17463" s="24"/>
      <c r="P17463"/>
      <c r="Q17463" s="24"/>
      <c r="R17463"/>
      <c r="S17463"/>
      <c r="T17463"/>
      <c r="U17463"/>
      <c r="X17463" s="60"/>
    </row>
    <row r="17464" spans="7:24" ht="15" customHeight="1">
      <c r="G17464"/>
      <c r="I17464"/>
      <c r="N17464"/>
      <c r="O17464" s="24"/>
      <c r="P17464"/>
      <c r="Q17464" s="24"/>
      <c r="R17464"/>
      <c r="S17464"/>
      <c r="T17464"/>
      <c r="U17464"/>
      <c r="X17464" s="60"/>
    </row>
    <row r="17465" spans="7:24" ht="15" customHeight="1">
      <c r="G17465"/>
      <c r="I17465"/>
      <c r="N17465"/>
      <c r="O17465" s="24"/>
      <c r="P17465"/>
      <c r="Q17465" s="24"/>
      <c r="R17465"/>
      <c r="S17465"/>
      <c r="T17465"/>
      <c r="U17465"/>
      <c r="X17465" s="60"/>
    </row>
    <row r="17466" spans="7:24" ht="15" customHeight="1">
      <c r="G17466"/>
      <c r="I17466"/>
      <c r="N17466"/>
      <c r="O17466" s="24"/>
      <c r="P17466"/>
      <c r="Q17466" s="24"/>
      <c r="R17466"/>
      <c r="S17466"/>
      <c r="T17466"/>
      <c r="U17466"/>
      <c r="X17466" s="60"/>
    </row>
    <row r="17467" spans="7:24" ht="15" customHeight="1">
      <c r="G17467"/>
      <c r="I17467"/>
      <c r="N17467"/>
      <c r="O17467" s="24"/>
      <c r="P17467"/>
      <c r="Q17467" s="24"/>
      <c r="R17467"/>
      <c r="S17467"/>
      <c r="T17467"/>
      <c r="U17467"/>
      <c r="X17467" s="60"/>
    </row>
    <row r="17468" spans="7:24" ht="15" customHeight="1">
      <c r="G17468"/>
      <c r="I17468"/>
      <c r="N17468"/>
      <c r="O17468" s="24"/>
      <c r="P17468"/>
      <c r="Q17468" s="24"/>
      <c r="R17468"/>
      <c r="S17468"/>
      <c r="T17468"/>
      <c r="U17468"/>
      <c r="X17468" s="60"/>
    </row>
    <row r="17469" spans="7:24" ht="15" customHeight="1">
      <c r="G17469"/>
      <c r="I17469"/>
      <c r="N17469"/>
      <c r="O17469" s="24"/>
      <c r="P17469"/>
      <c r="Q17469" s="24"/>
      <c r="R17469"/>
      <c r="S17469"/>
      <c r="T17469"/>
      <c r="U17469"/>
      <c r="X17469" s="60"/>
    </row>
    <row r="17470" spans="7:24" ht="15" customHeight="1">
      <c r="G17470"/>
      <c r="I17470"/>
      <c r="N17470"/>
      <c r="O17470" s="24"/>
      <c r="P17470"/>
      <c r="Q17470" s="24"/>
      <c r="R17470"/>
      <c r="S17470"/>
      <c r="T17470"/>
      <c r="U17470"/>
      <c r="X17470" s="60"/>
    </row>
    <row r="17471" spans="7:24" ht="15" customHeight="1">
      <c r="G17471"/>
      <c r="I17471"/>
      <c r="N17471"/>
      <c r="O17471" s="24"/>
      <c r="P17471"/>
      <c r="Q17471" s="24"/>
      <c r="R17471"/>
      <c r="S17471"/>
      <c r="T17471"/>
      <c r="U17471"/>
      <c r="X17471" s="60"/>
    </row>
    <row r="17472" spans="7:24" ht="15" customHeight="1">
      <c r="G17472"/>
      <c r="I17472"/>
      <c r="N17472"/>
      <c r="O17472" s="24"/>
      <c r="P17472"/>
      <c r="Q17472" s="24"/>
      <c r="R17472"/>
      <c r="S17472"/>
      <c r="T17472"/>
      <c r="U17472"/>
      <c r="X17472" s="60"/>
    </row>
    <row r="17473" spans="7:24" ht="15" customHeight="1">
      <c r="G17473"/>
      <c r="I17473"/>
      <c r="N17473"/>
      <c r="O17473" s="24"/>
      <c r="P17473"/>
      <c r="Q17473" s="24"/>
      <c r="R17473"/>
      <c r="S17473"/>
      <c r="T17473"/>
      <c r="U17473"/>
      <c r="X17473" s="60"/>
    </row>
    <row r="17474" spans="7:24" ht="15" customHeight="1">
      <c r="G17474"/>
      <c r="I17474"/>
      <c r="N17474"/>
      <c r="O17474" s="24"/>
      <c r="P17474"/>
      <c r="Q17474" s="24"/>
      <c r="R17474"/>
      <c r="S17474"/>
      <c r="T17474"/>
      <c r="U17474"/>
      <c r="X17474" s="60"/>
    </row>
    <row r="17475" spans="7:24" ht="15" customHeight="1">
      <c r="G17475"/>
      <c r="I17475"/>
      <c r="N17475"/>
      <c r="O17475" s="24"/>
      <c r="P17475"/>
      <c r="Q17475" s="24"/>
      <c r="R17475"/>
      <c r="S17475"/>
      <c r="T17475"/>
      <c r="U17475"/>
      <c r="X17475" s="60"/>
    </row>
    <row r="17476" spans="7:24" ht="15" customHeight="1">
      <c r="G17476"/>
      <c r="I17476"/>
      <c r="N17476"/>
      <c r="O17476" s="24"/>
      <c r="P17476"/>
      <c r="Q17476" s="24"/>
      <c r="R17476"/>
      <c r="S17476"/>
      <c r="T17476"/>
      <c r="U17476"/>
      <c r="X17476" s="60"/>
    </row>
    <row r="17477" spans="7:24" ht="15" customHeight="1">
      <c r="G17477"/>
      <c r="I17477"/>
      <c r="N17477"/>
      <c r="O17477" s="24"/>
      <c r="P17477"/>
      <c r="Q17477" s="24"/>
      <c r="R17477"/>
      <c r="S17477"/>
      <c r="T17477"/>
      <c r="U17477"/>
      <c r="X17477" s="60"/>
    </row>
    <row r="17478" spans="7:24" ht="15" customHeight="1">
      <c r="G17478"/>
      <c r="I17478"/>
      <c r="N17478"/>
      <c r="O17478" s="24"/>
      <c r="P17478"/>
      <c r="Q17478" s="24"/>
      <c r="R17478"/>
      <c r="S17478"/>
      <c r="T17478"/>
      <c r="U17478"/>
      <c r="X17478" s="60"/>
    </row>
    <row r="17479" spans="7:24" ht="15" customHeight="1">
      <c r="G17479"/>
      <c r="I17479"/>
      <c r="N17479"/>
      <c r="O17479" s="24"/>
      <c r="P17479"/>
      <c r="Q17479" s="24"/>
      <c r="R17479"/>
      <c r="S17479"/>
      <c r="T17479"/>
      <c r="U17479"/>
      <c r="X17479" s="60"/>
    </row>
    <row r="17480" spans="7:24" ht="15" customHeight="1">
      <c r="G17480"/>
      <c r="I17480"/>
      <c r="N17480"/>
      <c r="O17480" s="24"/>
      <c r="P17480"/>
      <c r="Q17480" s="24"/>
      <c r="R17480"/>
      <c r="S17480"/>
      <c r="T17480"/>
      <c r="U17480"/>
      <c r="X17480" s="60"/>
    </row>
    <row r="17481" spans="7:24" ht="15" customHeight="1">
      <c r="G17481"/>
      <c r="I17481"/>
      <c r="N17481"/>
      <c r="O17481" s="24"/>
      <c r="P17481"/>
      <c r="Q17481" s="24"/>
      <c r="R17481"/>
      <c r="S17481"/>
      <c r="T17481"/>
      <c r="U17481"/>
      <c r="X17481" s="60"/>
    </row>
    <row r="17482" spans="7:24" ht="15" customHeight="1">
      <c r="G17482"/>
      <c r="I17482"/>
      <c r="N17482"/>
      <c r="O17482" s="24"/>
      <c r="P17482"/>
      <c r="Q17482" s="24"/>
      <c r="R17482"/>
      <c r="S17482"/>
      <c r="T17482"/>
      <c r="U17482"/>
      <c r="X17482" s="60"/>
    </row>
    <row r="17483" spans="7:24" ht="15" customHeight="1">
      <c r="G17483"/>
      <c r="I17483"/>
      <c r="N17483"/>
      <c r="O17483" s="24"/>
      <c r="P17483"/>
      <c r="Q17483" s="24"/>
      <c r="R17483"/>
      <c r="S17483"/>
      <c r="T17483"/>
      <c r="U17483"/>
      <c r="X17483" s="60"/>
    </row>
    <row r="17484" spans="7:24" ht="15" customHeight="1">
      <c r="G17484"/>
      <c r="I17484"/>
      <c r="N17484"/>
      <c r="O17484" s="24"/>
      <c r="P17484"/>
      <c r="Q17484" s="24"/>
      <c r="R17484"/>
      <c r="S17484"/>
      <c r="T17484"/>
      <c r="U17484"/>
      <c r="X17484" s="60"/>
    </row>
    <row r="17485" spans="7:24" ht="15" customHeight="1">
      <c r="G17485"/>
      <c r="I17485"/>
      <c r="N17485"/>
      <c r="O17485" s="24"/>
      <c r="P17485"/>
      <c r="Q17485" s="24"/>
      <c r="R17485"/>
      <c r="S17485"/>
      <c r="T17485"/>
      <c r="U17485"/>
      <c r="X17485" s="60"/>
    </row>
    <row r="17486" spans="7:24" ht="15" customHeight="1">
      <c r="G17486"/>
      <c r="I17486"/>
      <c r="N17486"/>
      <c r="O17486" s="24"/>
      <c r="P17486"/>
      <c r="Q17486" s="24"/>
      <c r="R17486"/>
      <c r="S17486"/>
      <c r="T17486"/>
      <c r="U17486"/>
      <c r="X17486" s="60"/>
    </row>
    <row r="17487" spans="7:24" ht="15" customHeight="1">
      <c r="G17487"/>
      <c r="I17487"/>
      <c r="N17487"/>
      <c r="O17487" s="24"/>
      <c r="P17487"/>
      <c r="Q17487" s="24"/>
      <c r="R17487"/>
      <c r="S17487"/>
      <c r="T17487"/>
      <c r="U17487"/>
      <c r="X17487" s="60"/>
    </row>
    <row r="17488" spans="7:24" ht="15" customHeight="1">
      <c r="G17488"/>
      <c r="I17488"/>
      <c r="N17488"/>
      <c r="O17488" s="24"/>
      <c r="P17488"/>
      <c r="Q17488" s="24"/>
      <c r="R17488"/>
      <c r="S17488"/>
      <c r="T17488"/>
      <c r="U17488"/>
      <c r="X17488" s="60"/>
    </row>
    <row r="17489" spans="7:24" ht="15" customHeight="1">
      <c r="G17489"/>
      <c r="I17489"/>
      <c r="N17489"/>
      <c r="O17489" s="24"/>
      <c r="P17489"/>
      <c r="Q17489" s="24"/>
      <c r="R17489"/>
      <c r="S17489"/>
      <c r="T17489"/>
      <c r="U17489"/>
      <c r="X17489" s="60"/>
    </row>
    <row r="17490" spans="7:24" ht="15" customHeight="1">
      <c r="G17490"/>
      <c r="I17490"/>
      <c r="N17490"/>
      <c r="O17490" s="24"/>
      <c r="P17490"/>
      <c r="Q17490" s="24"/>
      <c r="R17490"/>
      <c r="S17490"/>
      <c r="T17490"/>
      <c r="U17490"/>
      <c r="X17490" s="60"/>
    </row>
    <row r="17491" spans="7:24" ht="15" customHeight="1">
      <c r="G17491"/>
      <c r="I17491"/>
      <c r="N17491"/>
      <c r="O17491" s="24"/>
      <c r="P17491"/>
      <c r="Q17491" s="24"/>
      <c r="R17491"/>
      <c r="S17491"/>
      <c r="T17491"/>
      <c r="U17491"/>
      <c r="X17491" s="60"/>
    </row>
    <row r="17492" spans="7:24" ht="15" customHeight="1">
      <c r="G17492"/>
      <c r="I17492"/>
      <c r="N17492"/>
      <c r="O17492" s="24"/>
      <c r="P17492"/>
      <c r="Q17492" s="24"/>
      <c r="R17492"/>
      <c r="S17492"/>
      <c r="T17492"/>
      <c r="U17492"/>
      <c r="X17492" s="60"/>
    </row>
    <row r="17493" spans="7:24" ht="15" customHeight="1">
      <c r="G17493"/>
      <c r="I17493"/>
      <c r="N17493"/>
      <c r="O17493" s="24"/>
      <c r="P17493"/>
      <c r="Q17493" s="24"/>
      <c r="R17493"/>
      <c r="S17493"/>
      <c r="T17493"/>
      <c r="U17493"/>
      <c r="X17493" s="60"/>
    </row>
    <row r="17494" spans="7:24" ht="15" customHeight="1">
      <c r="G17494"/>
      <c r="I17494"/>
      <c r="N17494"/>
      <c r="O17494" s="24"/>
      <c r="P17494"/>
      <c r="Q17494" s="24"/>
      <c r="R17494"/>
      <c r="S17494"/>
      <c r="T17494"/>
      <c r="U17494"/>
      <c r="X17494" s="60"/>
    </row>
    <row r="17495" spans="7:24" ht="15" customHeight="1">
      <c r="G17495"/>
      <c r="I17495"/>
      <c r="N17495"/>
      <c r="O17495" s="24"/>
      <c r="P17495"/>
      <c r="Q17495" s="24"/>
      <c r="R17495"/>
      <c r="S17495"/>
      <c r="T17495"/>
      <c r="U17495"/>
      <c r="X17495" s="60"/>
    </row>
    <row r="17496" spans="7:24" ht="15" customHeight="1">
      <c r="G17496"/>
      <c r="I17496"/>
      <c r="N17496"/>
      <c r="O17496" s="24"/>
      <c r="P17496"/>
      <c r="Q17496" s="24"/>
      <c r="R17496"/>
      <c r="S17496"/>
      <c r="T17496"/>
      <c r="U17496"/>
      <c r="X17496" s="60"/>
    </row>
    <row r="17497" spans="7:24" ht="15" customHeight="1">
      <c r="G17497"/>
      <c r="I17497"/>
      <c r="N17497"/>
      <c r="O17497" s="24"/>
      <c r="P17497"/>
      <c r="Q17497" s="24"/>
      <c r="R17497"/>
      <c r="S17497"/>
      <c r="T17497"/>
      <c r="U17497"/>
      <c r="X17497" s="60"/>
    </row>
    <row r="17498" spans="7:24" ht="15" customHeight="1">
      <c r="G17498"/>
      <c r="I17498"/>
      <c r="N17498"/>
      <c r="O17498" s="24"/>
      <c r="P17498"/>
      <c r="Q17498" s="24"/>
      <c r="R17498"/>
      <c r="S17498"/>
      <c r="T17498"/>
      <c r="U17498"/>
      <c r="X17498" s="60"/>
    </row>
    <row r="17499" spans="7:24" ht="15" customHeight="1">
      <c r="G17499"/>
      <c r="I17499"/>
      <c r="N17499"/>
      <c r="O17499" s="24"/>
      <c r="P17499"/>
      <c r="Q17499" s="24"/>
      <c r="R17499"/>
      <c r="S17499"/>
      <c r="T17499"/>
      <c r="U17499"/>
      <c r="X17499" s="60"/>
    </row>
    <row r="17500" spans="7:24" ht="15" customHeight="1">
      <c r="G17500"/>
      <c r="I17500"/>
      <c r="N17500"/>
      <c r="O17500" s="24"/>
      <c r="P17500"/>
      <c r="Q17500" s="24"/>
      <c r="R17500"/>
      <c r="S17500"/>
      <c r="T17500"/>
      <c r="U17500"/>
      <c r="X17500" s="60"/>
    </row>
    <row r="17501" spans="7:24" ht="15" customHeight="1">
      <c r="G17501"/>
      <c r="I17501"/>
      <c r="N17501"/>
      <c r="O17501" s="24"/>
      <c r="P17501"/>
      <c r="Q17501" s="24"/>
      <c r="R17501"/>
      <c r="S17501"/>
      <c r="T17501"/>
      <c r="U17501"/>
      <c r="X17501" s="60"/>
    </row>
    <row r="17502" spans="7:24" ht="15" customHeight="1">
      <c r="G17502"/>
      <c r="I17502"/>
      <c r="N17502"/>
      <c r="O17502" s="24"/>
      <c r="P17502"/>
      <c r="Q17502" s="24"/>
      <c r="R17502"/>
      <c r="S17502"/>
      <c r="T17502"/>
      <c r="U17502"/>
      <c r="X17502" s="60"/>
    </row>
    <row r="17503" spans="7:24" ht="15" customHeight="1">
      <c r="G17503"/>
      <c r="I17503"/>
      <c r="N17503"/>
      <c r="O17503" s="24"/>
      <c r="P17503"/>
      <c r="Q17503" s="24"/>
      <c r="R17503"/>
      <c r="S17503"/>
      <c r="T17503"/>
      <c r="U17503"/>
      <c r="X17503" s="60"/>
    </row>
    <row r="17504" spans="7:24" ht="15" customHeight="1">
      <c r="G17504"/>
      <c r="I17504"/>
      <c r="N17504"/>
      <c r="O17504" s="24"/>
      <c r="P17504"/>
      <c r="Q17504" s="24"/>
      <c r="R17504"/>
      <c r="S17504"/>
      <c r="T17504"/>
      <c r="U17504"/>
      <c r="X17504" s="60"/>
    </row>
    <row r="17505" spans="7:24" ht="15" customHeight="1">
      <c r="G17505"/>
      <c r="I17505"/>
      <c r="N17505"/>
      <c r="O17505" s="24"/>
      <c r="P17505"/>
      <c r="Q17505" s="24"/>
      <c r="R17505"/>
      <c r="S17505"/>
      <c r="T17505"/>
      <c r="U17505"/>
      <c r="X17505" s="60"/>
    </row>
    <row r="17506" spans="7:24" ht="15" customHeight="1">
      <c r="G17506"/>
      <c r="I17506"/>
      <c r="N17506"/>
      <c r="O17506" s="24"/>
      <c r="P17506"/>
      <c r="Q17506" s="24"/>
      <c r="R17506"/>
      <c r="S17506"/>
      <c r="T17506"/>
      <c r="U17506"/>
      <c r="X17506" s="60"/>
    </row>
    <row r="17507" spans="7:24" ht="15" customHeight="1">
      <c r="G17507"/>
      <c r="I17507"/>
      <c r="N17507"/>
      <c r="O17507" s="24"/>
      <c r="P17507"/>
      <c r="Q17507" s="24"/>
      <c r="R17507"/>
      <c r="S17507"/>
      <c r="T17507"/>
      <c r="U17507"/>
      <c r="X17507" s="60"/>
    </row>
    <row r="17508" spans="7:24" ht="15" customHeight="1">
      <c r="G17508"/>
      <c r="I17508"/>
      <c r="N17508"/>
      <c r="O17508" s="24"/>
      <c r="P17508"/>
      <c r="Q17508" s="24"/>
      <c r="R17508"/>
      <c r="S17508"/>
      <c r="T17508"/>
      <c r="U17508"/>
      <c r="X17508" s="60"/>
    </row>
    <row r="17509" spans="7:24" ht="15" customHeight="1">
      <c r="G17509"/>
      <c r="I17509"/>
      <c r="N17509"/>
      <c r="O17509" s="24"/>
      <c r="P17509"/>
      <c r="Q17509" s="24"/>
      <c r="R17509"/>
      <c r="S17509"/>
      <c r="T17509"/>
      <c r="U17509"/>
      <c r="X17509" s="60"/>
    </row>
    <row r="17510" spans="7:24" ht="15" customHeight="1">
      <c r="G17510"/>
      <c r="I17510"/>
      <c r="N17510"/>
      <c r="O17510" s="24"/>
      <c r="P17510"/>
      <c r="Q17510" s="24"/>
      <c r="R17510"/>
      <c r="S17510"/>
      <c r="T17510"/>
      <c r="U17510"/>
      <c r="X17510" s="60"/>
    </row>
    <row r="17511" spans="7:24" ht="15" customHeight="1">
      <c r="G17511"/>
      <c r="I17511"/>
      <c r="N17511"/>
      <c r="O17511" s="24"/>
      <c r="P17511"/>
      <c r="Q17511" s="24"/>
      <c r="R17511"/>
      <c r="S17511"/>
      <c r="T17511"/>
      <c r="U17511"/>
      <c r="X17511" s="60"/>
    </row>
    <row r="17512" spans="7:24" ht="15" customHeight="1">
      <c r="G17512"/>
      <c r="I17512"/>
      <c r="N17512"/>
      <c r="O17512" s="24"/>
      <c r="P17512"/>
      <c r="Q17512" s="24"/>
      <c r="R17512"/>
      <c r="S17512"/>
      <c r="T17512"/>
      <c r="U17512"/>
      <c r="X17512" s="60"/>
    </row>
    <row r="17513" spans="7:24" ht="15" customHeight="1">
      <c r="G17513"/>
      <c r="I17513"/>
      <c r="N17513"/>
      <c r="O17513" s="24"/>
      <c r="P17513"/>
      <c r="Q17513" s="24"/>
      <c r="R17513"/>
      <c r="S17513"/>
      <c r="T17513"/>
      <c r="U17513"/>
      <c r="X17513" s="60"/>
    </row>
    <row r="17514" spans="7:24" ht="15" customHeight="1">
      <c r="G17514"/>
      <c r="I17514"/>
      <c r="N17514"/>
      <c r="O17514" s="24"/>
      <c r="P17514"/>
      <c r="Q17514" s="24"/>
      <c r="R17514"/>
      <c r="S17514"/>
      <c r="T17514"/>
      <c r="U17514"/>
      <c r="X17514" s="60"/>
    </row>
    <row r="17515" spans="7:24" ht="15" customHeight="1">
      <c r="G17515"/>
      <c r="I17515"/>
      <c r="N17515"/>
      <c r="O17515" s="24"/>
      <c r="P17515"/>
      <c r="Q17515" s="24"/>
      <c r="R17515"/>
      <c r="S17515"/>
      <c r="T17515"/>
      <c r="U17515"/>
      <c r="X17515" s="60"/>
    </row>
    <row r="17516" spans="7:24" ht="15" customHeight="1">
      <c r="G17516"/>
      <c r="I17516"/>
      <c r="N17516"/>
      <c r="O17516" s="24"/>
      <c r="P17516"/>
      <c r="Q17516" s="24"/>
      <c r="R17516"/>
      <c r="S17516"/>
      <c r="T17516"/>
      <c r="U17516"/>
      <c r="X17516" s="60"/>
    </row>
    <row r="17517" spans="7:24" ht="15" customHeight="1">
      <c r="G17517"/>
      <c r="I17517"/>
      <c r="N17517"/>
      <c r="O17517" s="24"/>
      <c r="P17517"/>
      <c r="Q17517" s="24"/>
      <c r="R17517"/>
      <c r="S17517"/>
      <c r="T17517"/>
      <c r="U17517"/>
      <c r="X17517" s="60"/>
    </row>
    <row r="17518" spans="7:24" ht="15" customHeight="1">
      <c r="G17518"/>
      <c r="I17518"/>
      <c r="N17518"/>
      <c r="O17518" s="24"/>
      <c r="P17518"/>
      <c r="Q17518" s="24"/>
      <c r="R17518"/>
      <c r="S17518"/>
      <c r="T17518"/>
      <c r="U17518"/>
      <c r="X17518" s="60"/>
    </row>
    <row r="17519" spans="7:24" ht="15" customHeight="1">
      <c r="G17519"/>
      <c r="I17519"/>
      <c r="N17519"/>
      <c r="O17519" s="24"/>
      <c r="P17519"/>
      <c r="Q17519" s="24"/>
      <c r="R17519"/>
      <c r="S17519"/>
      <c r="T17519"/>
      <c r="U17519"/>
      <c r="X17519" s="60"/>
    </row>
    <row r="17520" spans="7:24" ht="15" customHeight="1">
      <c r="G17520"/>
      <c r="I17520"/>
      <c r="N17520"/>
      <c r="O17520" s="24"/>
      <c r="P17520"/>
      <c r="Q17520" s="24"/>
      <c r="R17520"/>
      <c r="S17520"/>
      <c r="T17520"/>
      <c r="U17520"/>
      <c r="X17520" s="60"/>
    </row>
    <row r="17521" spans="7:24" ht="15" customHeight="1">
      <c r="G17521"/>
      <c r="I17521"/>
      <c r="N17521"/>
      <c r="O17521" s="24"/>
      <c r="P17521"/>
      <c r="Q17521" s="24"/>
      <c r="R17521"/>
      <c r="S17521"/>
      <c r="T17521"/>
      <c r="U17521"/>
      <c r="X17521" s="60"/>
    </row>
    <row r="17522" spans="7:24" ht="15" customHeight="1">
      <c r="G17522"/>
      <c r="I17522"/>
      <c r="N17522"/>
      <c r="O17522" s="24"/>
      <c r="P17522"/>
      <c r="Q17522" s="24"/>
      <c r="R17522"/>
      <c r="S17522"/>
      <c r="T17522"/>
      <c r="U17522"/>
      <c r="X17522" s="60"/>
    </row>
    <row r="17523" spans="7:24" ht="15" customHeight="1">
      <c r="G17523"/>
      <c r="I17523"/>
      <c r="N17523"/>
      <c r="O17523" s="24"/>
      <c r="P17523"/>
      <c r="Q17523" s="24"/>
      <c r="R17523"/>
      <c r="S17523"/>
      <c r="T17523"/>
      <c r="U17523"/>
      <c r="X17523" s="60"/>
    </row>
    <row r="17524" spans="7:24" ht="15" customHeight="1">
      <c r="G17524"/>
      <c r="I17524"/>
      <c r="N17524"/>
      <c r="O17524" s="24"/>
      <c r="P17524"/>
      <c r="Q17524" s="24"/>
      <c r="R17524"/>
      <c r="S17524"/>
      <c r="T17524"/>
      <c r="U17524"/>
      <c r="X17524" s="60"/>
    </row>
    <row r="17525" spans="7:24" ht="15" customHeight="1">
      <c r="G17525"/>
      <c r="I17525"/>
      <c r="N17525"/>
      <c r="O17525" s="24"/>
      <c r="P17525"/>
      <c r="Q17525" s="24"/>
      <c r="R17525"/>
      <c r="S17525"/>
      <c r="T17525"/>
      <c r="U17525"/>
      <c r="X17525" s="60"/>
    </row>
    <row r="17526" spans="7:24" ht="15" customHeight="1">
      <c r="G17526"/>
      <c r="I17526"/>
      <c r="N17526"/>
      <c r="O17526" s="24"/>
      <c r="P17526"/>
      <c r="Q17526" s="24"/>
      <c r="R17526"/>
      <c r="S17526"/>
      <c r="T17526"/>
      <c r="U17526"/>
      <c r="X17526" s="60"/>
    </row>
    <row r="17527" spans="7:24" ht="15" customHeight="1">
      <c r="G17527"/>
      <c r="I17527"/>
      <c r="N17527"/>
      <c r="O17527" s="24"/>
      <c r="P17527"/>
      <c r="Q17527" s="24"/>
      <c r="R17527"/>
      <c r="S17527"/>
      <c r="T17527"/>
      <c r="U17527"/>
      <c r="X17527" s="60"/>
    </row>
    <row r="17528" spans="7:24" ht="15" customHeight="1">
      <c r="G17528"/>
      <c r="I17528"/>
      <c r="N17528"/>
      <c r="O17528" s="24"/>
      <c r="P17528"/>
      <c r="Q17528" s="24"/>
      <c r="R17528"/>
      <c r="S17528"/>
      <c r="T17528"/>
      <c r="U17528"/>
      <c r="X17528" s="60"/>
    </row>
    <row r="17529" spans="7:24" ht="15" customHeight="1">
      <c r="G17529"/>
      <c r="I17529"/>
      <c r="N17529"/>
      <c r="O17529" s="24"/>
      <c r="P17529"/>
      <c r="Q17529" s="24"/>
      <c r="R17529"/>
      <c r="S17529"/>
      <c r="T17529"/>
      <c r="U17529"/>
      <c r="X17529" s="60"/>
    </row>
    <row r="17530" spans="7:24" ht="15" customHeight="1">
      <c r="G17530"/>
      <c r="I17530"/>
      <c r="N17530"/>
      <c r="O17530" s="24"/>
      <c r="P17530"/>
      <c r="Q17530" s="24"/>
      <c r="R17530"/>
      <c r="S17530"/>
      <c r="T17530"/>
      <c r="U17530"/>
      <c r="X17530" s="60"/>
    </row>
    <row r="17531" spans="7:24" ht="15" customHeight="1">
      <c r="G17531"/>
      <c r="I17531"/>
      <c r="N17531"/>
      <c r="O17531" s="24"/>
      <c r="P17531"/>
      <c r="Q17531" s="24"/>
      <c r="R17531"/>
      <c r="S17531"/>
      <c r="T17531"/>
      <c r="U17531"/>
      <c r="X17531" s="60"/>
    </row>
    <row r="17532" spans="7:24" ht="15" customHeight="1">
      <c r="G17532"/>
      <c r="I17532"/>
      <c r="N17532"/>
      <c r="O17532" s="24"/>
      <c r="P17532"/>
      <c r="Q17532" s="24"/>
      <c r="R17532"/>
      <c r="S17532"/>
      <c r="T17532"/>
      <c r="U17532"/>
      <c r="X17532" s="60"/>
    </row>
    <row r="17533" spans="7:24" ht="15" customHeight="1">
      <c r="G17533"/>
      <c r="I17533"/>
      <c r="N17533"/>
      <c r="O17533" s="24"/>
      <c r="P17533"/>
      <c r="Q17533" s="24"/>
      <c r="R17533"/>
      <c r="S17533"/>
      <c r="T17533"/>
      <c r="U17533"/>
      <c r="X17533" s="60"/>
    </row>
    <row r="17534" spans="7:24" ht="15" customHeight="1">
      <c r="G17534"/>
      <c r="I17534"/>
      <c r="N17534"/>
      <c r="O17534" s="24"/>
      <c r="P17534"/>
      <c r="Q17534" s="24"/>
      <c r="R17534"/>
      <c r="S17534"/>
      <c r="T17534"/>
      <c r="U17534"/>
      <c r="X17534" s="60"/>
    </row>
    <row r="17535" spans="7:24" ht="15" customHeight="1">
      <c r="G17535"/>
      <c r="I17535"/>
      <c r="N17535"/>
      <c r="O17535" s="24"/>
      <c r="P17535"/>
      <c r="Q17535" s="24"/>
      <c r="R17535"/>
      <c r="S17535"/>
      <c r="T17535"/>
      <c r="U17535"/>
      <c r="X17535" s="60"/>
    </row>
    <row r="17536" spans="7:24" ht="15" customHeight="1">
      <c r="G17536"/>
      <c r="I17536"/>
      <c r="N17536"/>
      <c r="O17536" s="24"/>
      <c r="P17536"/>
      <c r="Q17536" s="24"/>
      <c r="R17536"/>
      <c r="S17536"/>
      <c r="T17536"/>
      <c r="U17536"/>
      <c r="X17536" s="60"/>
    </row>
    <row r="17537" spans="7:24" ht="15" customHeight="1">
      <c r="G17537"/>
      <c r="I17537"/>
      <c r="N17537"/>
      <c r="O17537" s="24"/>
      <c r="P17537"/>
      <c r="Q17537" s="24"/>
      <c r="R17537"/>
      <c r="S17537"/>
      <c r="T17537"/>
      <c r="U17537"/>
      <c r="X17537" s="60"/>
    </row>
    <row r="17538" spans="7:24" ht="15" customHeight="1">
      <c r="G17538"/>
      <c r="I17538"/>
      <c r="N17538"/>
      <c r="O17538" s="24"/>
      <c r="P17538"/>
      <c r="Q17538" s="24"/>
      <c r="R17538"/>
      <c r="S17538"/>
      <c r="T17538"/>
      <c r="U17538"/>
      <c r="X17538" s="60"/>
    </row>
    <row r="17539" spans="7:24" ht="15" customHeight="1">
      <c r="G17539"/>
      <c r="I17539"/>
      <c r="N17539"/>
      <c r="O17539" s="24"/>
      <c r="P17539"/>
      <c r="Q17539" s="24"/>
      <c r="R17539"/>
      <c r="S17539"/>
      <c r="T17539"/>
      <c r="U17539"/>
      <c r="X17539" s="60"/>
    </row>
    <row r="17540" spans="7:24" ht="15" customHeight="1">
      <c r="G17540"/>
      <c r="I17540"/>
      <c r="N17540"/>
      <c r="O17540" s="24"/>
      <c r="P17540"/>
      <c r="Q17540" s="24"/>
      <c r="R17540"/>
      <c r="S17540"/>
      <c r="T17540"/>
      <c r="U17540"/>
      <c r="X17540" s="60"/>
    </row>
    <row r="17541" spans="7:24" ht="15" customHeight="1">
      <c r="G17541"/>
      <c r="I17541"/>
      <c r="N17541"/>
      <c r="O17541" s="24"/>
      <c r="P17541"/>
      <c r="Q17541" s="24"/>
      <c r="R17541"/>
      <c r="S17541"/>
      <c r="T17541"/>
      <c r="U17541"/>
      <c r="X17541" s="60"/>
    </row>
    <row r="17542" spans="7:24" ht="15" customHeight="1">
      <c r="G17542"/>
      <c r="I17542"/>
      <c r="N17542"/>
      <c r="O17542" s="24"/>
      <c r="P17542"/>
      <c r="Q17542" s="24"/>
      <c r="R17542"/>
      <c r="S17542"/>
      <c r="T17542"/>
      <c r="U17542"/>
      <c r="X17542" s="60"/>
    </row>
    <row r="17543" spans="7:24" ht="15" customHeight="1">
      <c r="G17543"/>
      <c r="I17543"/>
      <c r="N17543"/>
      <c r="O17543" s="24"/>
      <c r="P17543"/>
      <c r="Q17543" s="24"/>
      <c r="R17543"/>
      <c r="S17543"/>
      <c r="T17543"/>
      <c r="U17543"/>
      <c r="X17543" s="60"/>
    </row>
    <row r="17544" spans="7:24" ht="15" customHeight="1">
      <c r="G17544"/>
      <c r="I17544"/>
      <c r="N17544"/>
      <c r="O17544" s="24"/>
      <c r="P17544"/>
      <c r="Q17544" s="24"/>
      <c r="R17544"/>
      <c r="S17544"/>
      <c r="T17544"/>
      <c r="U17544"/>
      <c r="X17544" s="60"/>
    </row>
    <row r="17545" spans="7:24" ht="15" customHeight="1">
      <c r="G17545"/>
      <c r="I17545"/>
      <c r="N17545"/>
      <c r="O17545" s="24"/>
      <c r="P17545"/>
      <c r="Q17545" s="24"/>
      <c r="R17545"/>
      <c r="S17545"/>
      <c r="T17545"/>
      <c r="U17545"/>
      <c r="X17545" s="60"/>
    </row>
    <row r="17546" spans="7:24" ht="15" customHeight="1">
      <c r="G17546"/>
      <c r="I17546"/>
      <c r="N17546"/>
      <c r="O17546" s="24"/>
      <c r="P17546"/>
      <c r="Q17546" s="24"/>
      <c r="R17546"/>
      <c r="S17546"/>
      <c r="T17546"/>
      <c r="U17546"/>
      <c r="X17546" s="60"/>
    </row>
    <row r="17547" spans="7:24" ht="15" customHeight="1">
      <c r="G17547"/>
      <c r="I17547"/>
      <c r="N17547"/>
      <c r="O17547" s="24"/>
      <c r="P17547"/>
      <c r="Q17547" s="24"/>
      <c r="R17547"/>
      <c r="S17547"/>
      <c r="T17547"/>
      <c r="U17547"/>
      <c r="X17547" s="60"/>
    </row>
    <row r="17548" spans="7:24" ht="15" customHeight="1">
      <c r="G17548"/>
      <c r="I17548"/>
      <c r="N17548"/>
      <c r="O17548" s="24"/>
      <c r="P17548"/>
      <c r="Q17548" s="24"/>
      <c r="R17548"/>
      <c r="S17548"/>
      <c r="T17548"/>
      <c r="U17548"/>
      <c r="X17548" s="60"/>
    </row>
    <row r="17549" spans="7:24" ht="15" customHeight="1">
      <c r="G17549"/>
      <c r="I17549"/>
      <c r="N17549"/>
      <c r="O17549" s="24"/>
      <c r="P17549"/>
      <c r="Q17549" s="24"/>
      <c r="R17549"/>
      <c r="S17549"/>
      <c r="T17549"/>
      <c r="U17549"/>
      <c r="X17549" s="60"/>
    </row>
    <row r="17550" spans="7:24" ht="15" customHeight="1">
      <c r="G17550"/>
      <c r="I17550"/>
      <c r="N17550"/>
      <c r="O17550" s="24"/>
      <c r="P17550"/>
      <c r="Q17550" s="24"/>
      <c r="R17550"/>
      <c r="S17550"/>
      <c r="T17550"/>
      <c r="U17550"/>
      <c r="X17550" s="60"/>
    </row>
    <row r="17551" spans="7:24" ht="15" customHeight="1">
      <c r="G17551"/>
      <c r="I17551"/>
      <c r="N17551"/>
      <c r="O17551" s="24"/>
      <c r="P17551"/>
      <c r="Q17551" s="24"/>
      <c r="R17551"/>
      <c r="S17551"/>
      <c r="T17551"/>
      <c r="U17551"/>
      <c r="X17551" s="60"/>
    </row>
    <row r="17552" spans="7:24" ht="15" customHeight="1">
      <c r="G17552"/>
      <c r="I17552"/>
      <c r="N17552"/>
      <c r="O17552" s="24"/>
      <c r="P17552"/>
      <c r="Q17552" s="24"/>
      <c r="R17552"/>
      <c r="S17552"/>
      <c r="T17552"/>
      <c r="U17552"/>
      <c r="X17552" s="60"/>
    </row>
    <row r="17553" spans="7:24" ht="15" customHeight="1">
      <c r="G17553"/>
      <c r="I17553"/>
      <c r="N17553"/>
      <c r="O17553" s="24"/>
      <c r="P17553"/>
      <c r="Q17553" s="24"/>
      <c r="R17553"/>
      <c r="S17553"/>
      <c r="T17553"/>
      <c r="U17553"/>
      <c r="X17553" s="60"/>
    </row>
    <row r="17554" spans="7:24" ht="15" customHeight="1">
      <c r="G17554"/>
      <c r="I17554"/>
      <c r="N17554"/>
      <c r="O17554" s="24"/>
      <c r="P17554"/>
      <c r="Q17554" s="24"/>
      <c r="R17554"/>
      <c r="S17554"/>
      <c r="T17554"/>
      <c r="U17554"/>
      <c r="X17554" s="60"/>
    </row>
    <row r="17555" spans="7:24" ht="15" customHeight="1">
      <c r="G17555"/>
      <c r="I17555"/>
      <c r="N17555"/>
      <c r="O17555" s="24"/>
      <c r="P17555"/>
      <c r="Q17555" s="24"/>
      <c r="R17555"/>
      <c r="S17555"/>
      <c r="T17555"/>
      <c r="U17555"/>
      <c r="X17555" s="60"/>
    </row>
    <row r="17556" spans="7:24" ht="15" customHeight="1">
      <c r="G17556"/>
      <c r="I17556"/>
      <c r="N17556"/>
      <c r="O17556" s="24"/>
      <c r="P17556"/>
      <c r="Q17556" s="24"/>
      <c r="R17556"/>
      <c r="S17556"/>
      <c r="T17556"/>
      <c r="U17556"/>
      <c r="X17556" s="60"/>
    </row>
    <row r="17557" spans="7:24" ht="15" customHeight="1">
      <c r="G17557"/>
      <c r="I17557"/>
      <c r="N17557"/>
      <c r="O17557" s="24"/>
      <c r="P17557"/>
      <c r="Q17557" s="24"/>
      <c r="R17557"/>
      <c r="S17557"/>
      <c r="T17557"/>
      <c r="U17557"/>
      <c r="X17557" s="60"/>
    </row>
    <row r="17558" spans="7:24" ht="15" customHeight="1">
      <c r="G17558"/>
      <c r="I17558"/>
      <c r="N17558"/>
      <c r="O17558" s="24"/>
      <c r="P17558"/>
      <c r="Q17558" s="24"/>
      <c r="R17558"/>
      <c r="S17558"/>
      <c r="T17558"/>
      <c r="U17558"/>
      <c r="X17558" s="60"/>
    </row>
    <row r="17559" spans="7:24" ht="15" customHeight="1">
      <c r="G17559"/>
      <c r="I17559"/>
      <c r="N17559"/>
      <c r="O17559" s="24"/>
      <c r="P17559"/>
      <c r="Q17559" s="24"/>
      <c r="R17559"/>
      <c r="S17559"/>
      <c r="T17559"/>
      <c r="U17559"/>
      <c r="X17559" s="60"/>
    </row>
    <row r="17560" spans="7:24" ht="15" customHeight="1">
      <c r="G17560"/>
      <c r="I17560"/>
      <c r="N17560"/>
      <c r="O17560" s="24"/>
      <c r="P17560"/>
      <c r="Q17560" s="24"/>
      <c r="R17560"/>
      <c r="S17560"/>
      <c r="T17560"/>
      <c r="U17560"/>
      <c r="X17560" s="60"/>
    </row>
    <row r="17561" spans="7:24" ht="15" customHeight="1">
      <c r="G17561"/>
      <c r="I17561"/>
      <c r="N17561"/>
      <c r="O17561" s="24"/>
      <c r="P17561"/>
      <c r="Q17561" s="24"/>
      <c r="R17561"/>
      <c r="S17561"/>
      <c r="T17561"/>
      <c r="U17561"/>
      <c r="X17561" s="60"/>
    </row>
    <row r="17562" spans="7:24" ht="15" customHeight="1">
      <c r="G17562"/>
      <c r="I17562"/>
      <c r="N17562"/>
      <c r="O17562" s="24"/>
      <c r="P17562"/>
      <c r="Q17562" s="24"/>
      <c r="R17562"/>
      <c r="S17562"/>
      <c r="T17562"/>
      <c r="U17562"/>
      <c r="X17562" s="60"/>
    </row>
    <row r="17563" spans="7:24" ht="15" customHeight="1">
      <c r="G17563"/>
      <c r="I17563"/>
      <c r="N17563"/>
      <c r="O17563" s="24"/>
      <c r="P17563"/>
      <c r="Q17563" s="24"/>
      <c r="R17563"/>
      <c r="S17563"/>
      <c r="T17563"/>
      <c r="U17563"/>
      <c r="X17563" s="60"/>
    </row>
    <row r="17564" spans="7:24" ht="15" customHeight="1">
      <c r="G17564"/>
      <c r="I17564"/>
      <c r="N17564"/>
      <c r="O17564" s="24"/>
      <c r="P17564"/>
      <c r="Q17564" s="24"/>
      <c r="R17564"/>
      <c r="S17564"/>
      <c r="T17564"/>
      <c r="U17564"/>
      <c r="X17564" s="60"/>
    </row>
    <row r="17565" spans="7:24" ht="15" customHeight="1">
      <c r="G17565"/>
      <c r="I17565"/>
      <c r="N17565"/>
      <c r="O17565" s="24"/>
      <c r="P17565"/>
      <c r="Q17565" s="24"/>
      <c r="R17565"/>
      <c r="S17565"/>
      <c r="T17565"/>
      <c r="U17565"/>
      <c r="X17565" s="60"/>
    </row>
    <row r="17566" spans="7:24" ht="15" customHeight="1">
      <c r="G17566"/>
      <c r="I17566"/>
      <c r="N17566"/>
      <c r="O17566" s="24"/>
      <c r="P17566"/>
      <c r="Q17566" s="24"/>
      <c r="R17566"/>
      <c r="S17566"/>
      <c r="T17566"/>
      <c r="U17566"/>
      <c r="X17566" s="60"/>
    </row>
    <row r="17567" spans="7:24" ht="15" customHeight="1">
      <c r="G17567"/>
      <c r="I17567"/>
      <c r="N17567"/>
      <c r="O17567" s="24"/>
      <c r="P17567"/>
      <c r="Q17567" s="24"/>
      <c r="R17567"/>
      <c r="S17567"/>
      <c r="T17567"/>
      <c r="U17567"/>
      <c r="X17567" s="60"/>
    </row>
    <row r="17568" spans="7:24" ht="15" customHeight="1">
      <c r="G17568"/>
      <c r="I17568"/>
      <c r="N17568"/>
      <c r="O17568" s="24"/>
      <c r="P17568"/>
      <c r="Q17568" s="24"/>
      <c r="R17568"/>
      <c r="S17568"/>
      <c r="T17568"/>
      <c r="U17568"/>
      <c r="X17568" s="60"/>
    </row>
    <row r="17569" spans="7:24" ht="15" customHeight="1">
      <c r="G17569"/>
      <c r="I17569"/>
      <c r="N17569"/>
      <c r="O17569" s="24"/>
      <c r="P17569"/>
      <c r="Q17569" s="24"/>
      <c r="R17569"/>
      <c r="S17569"/>
      <c r="T17569"/>
      <c r="U17569"/>
      <c r="X17569" s="60"/>
    </row>
    <row r="17570" spans="7:24" ht="15" customHeight="1">
      <c r="G17570"/>
      <c r="I17570"/>
      <c r="N17570"/>
      <c r="O17570" s="24"/>
      <c r="P17570"/>
      <c r="Q17570" s="24"/>
      <c r="R17570"/>
      <c r="S17570"/>
      <c r="T17570"/>
      <c r="U17570"/>
      <c r="X17570" s="60"/>
    </row>
    <row r="17571" spans="7:24" ht="15" customHeight="1">
      <c r="G17571"/>
      <c r="I17571"/>
      <c r="N17571"/>
      <c r="O17571" s="24"/>
      <c r="P17571"/>
      <c r="Q17571" s="24"/>
      <c r="R17571"/>
      <c r="S17571"/>
      <c r="T17571"/>
      <c r="U17571"/>
      <c r="X17571" s="60"/>
    </row>
    <row r="17572" spans="7:24" ht="15" customHeight="1">
      <c r="G17572"/>
      <c r="I17572"/>
      <c r="N17572"/>
      <c r="O17572" s="24"/>
      <c r="P17572"/>
      <c r="Q17572" s="24"/>
      <c r="R17572"/>
      <c r="S17572"/>
      <c r="T17572"/>
      <c r="U17572"/>
      <c r="X17572" s="60"/>
    </row>
    <row r="17573" spans="7:24" ht="15" customHeight="1">
      <c r="G17573"/>
      <c r="I17573"/>
      <c r="N17573"/>
      <c r="O17573" s="24"/>
      <c r="P17573"/>
      <c r="Q17573" s="24"/>
      <c r="R17573"/>
      <c r="S17573"/>
      <c r="T17573"/>
      <c r="U17573"/>
      <c r="X17573" s="60"/>
    </row>
    <row r="17574" spans="7:24" ht="15" customHeight="1">
      <c r="G17574"/>
      <c r="I17574"/>
      <c r="N17574"/>
      <c r="O17574" s="24"/>
      <c r="P17574"/>
      <c r="Q17574" s="24"/>
      <c r="R17574"/>
      <c r="S17574"/>
      <c r="T17574"/>
      <c r="U17574"/>
      <c r="X17574" s="60"/>
    </row>
    <row r="17575" spans="7:24" ht="15" customHeight="1">
      <c r="G17575"/>
      <c r="I17575"/>
      <c r="N17575"/>
      <c r="O17575" s="24"/>
      <c r="P17575"/>
      <c r="Q17575" s="24"/>
      <c r="R17575"/>
      <c r="S17575"/>
      <c r="T17575"/>
      <c r="U17575"/>
      <c r="X17575" s="60"/>
    </row>
    <row r="17576" spans="7:24" ht="15" customHeight="1">
      <c r="G17576"/>
      <c r="I17576"/>
      <c r="N17576"/>
      <c r="O17576" s="24"/>
      <c r="P17576"/>
      <c r="Q17576" s="24"/>
      <c r="R17576"/>
      <c r="S17576"/>
      <c r="T17576"/>
      <c r="U17576"/>
      <c r="X17576" s="60"/>
    </row>
    <row r="17577" spans="7:24" ht="15" customHeight="1">
      <c r="G17577"/>
      <c r="I17577"/>
      <c r="N17577"/>
      <c r="O17577" s="24"/>
      <c r="P17577"/>
      <c r="Q17577" s="24"/>
      <c r="R17577"/>
      <c r="S17577"/>
      <c r="T17577"/>
      <c r="U17577"/>
      <c r="X17577" s="60"/>
    </row>
    <row r="17578" spans="7:24" ht="15" customHeight="1">
      <c r="G17578"/>
      <c r="I17578"/>
      <c r="N17578"/>
      <c r="O17578" s="24"/>
      <c r="P17578"/>
      <c r="Q17578" s="24"/>
      <c r="R17578"/>
      <c r="S17578"/>
      <c r="T17578"/>
      <c r="U17578"/>
      <c r="X17578" s="60"/>
    </row>
    <row r="17579" spans="7:24" ht="15" customHeight="1">
      <c r="G17579"/>
      <c r="I17579"/>
      <c r="N17579"/>
      <c r="O17579" s="24"/>
      <c r="P17579"/>
      <c r="Q17579" s="24"/>
      <c r="R17579"/>
      <c r="S17579"/>
      <c r="T17579"/>
      <c r="U17579"/>
      <c r="X17579" s="60"/>
    </row>
    <row r="17580" spans="7:24" ht="15" customHeight="1">
      <c r="G17580"/>
      <c r="I17580"/>
      <c r="N17580"/>
      <c r="O17580" s="24"/>
      <c r="P17580"/>
      <c r="Q17580" s="24"/>
      <c r="R17580"/>
      <c r="S17580"/>
      <c r="T17580"/>
      <c r="U17580"/>
      <c r="X17580" s="60"/>
    </row>
    <row r="17581" spans="7:24" ht="15" customHeight="1">
      <c r="G17581"/>
      <c r="I17581"/>
      <c r="N17581"/>
      <c r="O17581" s="24"/>
      <c r="P17581"/>
      <c r="Q17581" s="24"/>
      <c r="R17581"/>
      <c r="S17581"/>
      <c r="T17581"/>
      <c r="U17581"/>
      <c r="X17581" s="60"/>
    </row>
    <row r="17582" spans="7:24" ht="15" customHeight="1">
      <c r="G17582"/>
      <c r="I17582"/>
      <c r="N17582"/>
      <c r="O17582" s="24"/>
      <c r="P17582"/>
      <c r="Q17582" s="24"/>
      <c r="R17582"/>
      <c r="S17582"/>
      <c r="T17582"/>
      <c r="U17582"/>
      <c r="X17582" s="60"/>
    </row>
    <row r="17583" spans="7:24" ht="15" customHeight="1">
      <c r="G17583"/>
      <c r="I17583"/>
      <c r="N17583"/>
      <c r="O17583" s="24"/>
      <c r="P17583"/>
      <c r="Q17583" s="24"/>
      <c r="R17583"/>
      <c r="S17583"/>
      <c r="T17583"/>
      <c r="U17583"/>
      <c r="X17583" s="60"/>
    </row>
    <row r="17584" spans="7:24" ht="15" customHeight="1">
      <c r="G17584"/>
      <c r="I17584"/>
      <c r="N17584"/>
      <c r="O17584" s="24"/>
      <c r="P17584"/>
      <c r="Q17584" s="24"/>
      <c r="R17584"/>
      <c r="S17584"/>
      <c r="T17584"/>
      <c r="U17584"/>
      <c r="X17584" s="60"/>
    </row>
    <row r="17585" spans="7:24" ht="15" customHeight="1">
      <c r="G17585"/>
      <c r="I17585"/>
      <c r="N17585"/>
      <c r="O17585" s="24"/>
      <c r="P17585"/>
      <c r="Q17585" s="24"/>
      <c r="R17585"/>
      <c r="S17585"/>
      <c r="T17585"/>
      <c r="U17585"/>
      <c r="X17585" s="60"/>
    </row>
    <row r="17586" spans="7:24" ht="15" customHeight="1">
      <c r="G17586"/>
      <c r="I17586"/>
      <c r="N17586"/>
      <c r="O17586" s="24"/>
      <c r="P17586"/>
      <c r="Q17586" s="24"/>
      <c r="R17586"/>
      <c r="S17586"/>
      <c r="T17586"/>
      <c r="U17586"/>
      <c r="X17586" s="60"/>
    </row>
    <row r="17587" spans="7:24" ht="15" customHeight="1">
      <c r="G17587"/>
      <c r="I17587"/>
      <c r="N17587"/>
      <c r="O17587" s="24"/>
      <c r="P17587"/>
      <c r="Q17587" s="24"/>
      <c r="R17587"/>
      <c r="S17587"/>
      <c r="T17587"/>
      <c r="U17587"/>
      <c r="X17587" s="60"/>
    </row>
    <row r="17588" spans="7:24" ht="15" customHeight="1">
      <c r="G17588"/>
      <c r="I17588"/>
      <c r="N17588"/>
      <c r="O17588" s="24"/>
      <c r="P17588"/>
      <c r="Q17588" s="24"/>
      <c r="R17588"/>
      <c r="S17588"/>
      <c r="T17588"/>
      <c r="U17588"/>
      <c r="X17588" s="60"/>
    </row>
    <row r="17589" spans="7:24" ht="15" customHeight="1">
      <c r="G17589"/>
      <c r="I17589"/>
      <c r="N17589"/>
      <c r="O17589" s="24"/>
      <c r="P17589"/>
      <c r="Q17589" s="24"/>
      <c r="R17589"/>
      <c r="S17589"/>
      <c r="T17589"/>
      <c r="U17589"/>
      <c r="X17589" s="60"/>
    </row>
    <row r="17590" spans="7:24" ht="15" customHeight="1">
      <c r="G17590"/>
      <c r="I17590"/>
      <c r="N17590"/>
      <c r="O17590" s="24"/>
      <c r="P17590"/>
      <c r="Q17590" s="24"/>
      <c r="R17590"/>
      <c r="S17590"/>
      <c r="T17590"/>
      <c r="U17590"/>
      <c r="X17590" s="60"/>
    </row>
    <row r="17591" spans="7:24" ht="15" customHeight="1">
      <c r="G17591"/>
      <c r="I17591"/>
      <c r="N17591"/>
      <c r="O17591" s="24"/>
      <c r="P17591"/>
      <c r="Q17591" s="24"/>
      <c r="R17591"/>
      <c r="S17591"/>
      <c r="T17591"/>
      <c r="U17591"/>
      <c r="X17591" s="60"/>
    </row>
    <row r="17592" spans="7:24" ht="15" customHeight="1">
      <c r="G17592"/>
      <c r="I17592"/>
      <c r="N17592"/>
      <c r="O17592" s="24"/>
      <c r="P17592"/>
      <c r="Q17592" s="24"/>
      <c r="R17592"/>
      <c r="S17592"/>
      <c r="T17592"/>
      <c r="U17592"/>
      <c r="X17592" s="60"/>
    </row>
    <row r="17593" spans="7:24" ht="15" customHeight="1">
      <c r="G17593"/>
      <c r="I17593"/>
      <c r="N17593"/>
      <c r="O17593" s="24"/>
      <c r="P17593"/>
      <c r="Q17593" s="24"/>
      <c r="R17593"/>
      <c r="S17593"/>
      <c r="T17593"/>
      <c r="U17593"/>
      <c r="X17593" s="60"/>
    </row>
    <row r="17594" spans="7:24" ht="15" customHeight="1">
      <c r="G17594"/>
      <c r="I17594"/>
      <c r="N17594"/>
      <c r="O17594" s="24"/>
      <c r="P17594"/>
      <c r="Q17594" s="24"/>
      <c r="R17594"/>
      <c r="S17594"/>
      <c r="T17594"/>
      <c r="U17594"/>
      <c r="X17594" s="60"/>
    </row>
    <row r="17595" spans="7:24" ht="15" customHeight="1">
      <c r="G17595"/>
      <c r="I17595"/>
      <c r="N17595"/>
      <c r="O17595" s="24"/>
      <c r="P17595"/>
      <c r="Q17595" s="24"/>
      <c r="R17595"/>
      <c r="S17595"/>
      <c r="T17595"/>
      <c r="U17595"/>
      <c r="X17595" s="60"/>
    </row>
    <row r="17596" spans="7:24" ht="15" customHeight="1">
      <c r="G17596"/>
      <c r="I17596"/>
      <c r="N17596"/>
      <c r="O17596" s="24"/>
      <c r="P17596"/>
      <c r="Q17596" s="24"/>
      <c r="R17596"/>
      <c r="S17596"/>
      <c r="T17596"/>
      <c r="U17596"/>
      <c r="X17596" s="60"/>
    </row>
    <row r="17597" spans="7:24" ht="15" customHeight="1">
      <c r="G17597"/>
      <c r="I17597"/>
      <c r="N17597"/>
      <c r="O17597" s="24"/>
      <c r="P17597"/>
      <c r="Q17597" s="24"/>
      <c r="R17597"/>
      <c r="S17597"/>
      <c r="T17597"/>
      <c r="U17597"/>
      <c r="X17597" s="60"/>
    </row>
    <row r="17598" spans="7:24" ht="15" customHeight="1">
      <c r="G17598"/>
      <c r="I17598"/>
      <c r="N17598"/>
      <c r="O17598" s="24"/>
      <c r="P17598"/>
      <c r="Q17598" s="24"/>
      <c r="R17598"/>
      <c r="S17598"/>
      <c r="T17598"/>
      <c r="U17598"/>
      <c r="X17598" s="60"/>
    </row>
    <row r="17599" spans="7:24" ht="15" customHeight="1">
      <c r="G17599"/>
      <c r="I17599"/>
      <c r="N17599"/>
      <c r="O17599" s="24"/>
      <c r="P17599"/>
      <c r="Q17599" s="24"/>
      <c r="R17599"/>
      <c r="S17599"/>
      <c r="T17599"/>
      <c r="U17599"/>
      <c r="X17599" s="60"/>
    </row>
    <row r="17600" spans="7:24" ht="15" customHeight="1">
      <c r="G17600"/>
      <c r="I17600"/>
      <c r="N17600"/>
      <c r="O17600" s="24"/>
      <c r="P17600"/>
      <c r="Q17600" s="24"/>
      <c r="R17600"/>
      <c r="S17600"/>
      <c r="T17600"/>
      <c r="U17600"/>
      <c r="X17600" s="60"/>
    </row>
    <row r="17601" spans="7:24" ht="15" customHeight="1">
      <c r="G17601"/>
      <c r="I17601"/>
      <c r="N17601"/>
      <c r="O17601" s="24"/>
      <c r="P17601"/>
      <c r="Q17601" s="24"/>
      <c r="R17601"/>
      <c r="S17601"/>
      <c r="T17601"/>
      <c r="U17601"/>
      <c r="X17601" s="60"/>
    </row>
    <row r="17602" spans="7:24" ht="15" customHeight="1">
      <c r="G17602"/>
      <c r="I17602"/>
      <c r="N17602"/>
      <c r="O17602" s="24"/>
      <c r="P17602"/>
      <c r="Q17602" s="24"/>
      <c r="R17602"/>
      <c r="S17602"/>
      <c r="T17602"/>
      <c r="U17602"/>
      <c r="X17602" s="60"/>
    </row>
    <row r="17603" spans="7:24" ht="15" customHeight="1">
      <c r="G17603"/>
      <c r="I17603"/>
      <c r="N17603"/>
      <c r="O17603" s="24"/>
      <c r="P17603"/>
      <c r="Q17603" s="24"/>
      <c r="R17603"/>
      <c r="S17603"/>
      <c r="T17603"/>
      <c r="U17603"/>
      <c r="X17603" s="60"/>
    </row>
    <row r="17604" spans="7:24" ht="15" customHeight="1">
      <c r="G17604"/>
      <c r="I17604"/>
      <c r="N17604"/>
      <c r="O17604" s="24"/>
      <c r="P17604"/>
      <c r="Q17604" s="24"/>
      <c r="R17604"/>
      <c r="S17604"/>
      <c r="T17604"/>
      <c r="U17604"/>
      <c r="X17604" s="60"/>
    </row>
    <row r="17605" spans="7:24" ht="15" customHeight="1">
      <c r="G17605"/>
      <c r="I17605"/>
      <c r="N17605"/>
      <c r="O17605" s="24"/>
      <c r="P17605"/>
      <c r="Q17605" s="24"/>
      <c r="R17605"/>
      <c r="S17605"/>
      <c r="T17605"/>
      <c r="U17605"/>
      <c r="X17605" s="60"/>
    </row>
    <row r="17606" spans="7:24" ht="15" customHeight="1">
      <c r="G17606"/>
      <c r="I17606"/>
      <c r="N17606"/>
      <c r="O17606" s="24"/>
      <c r="P17606"/>
      <c r="Q17606" s="24"/>
      <c r="R17606"/>
      <c r="S17606"/>
      <c r="T17606"/>
      <c r="U17606"/>
      <c r="X17606" s="60"/>
    </row>
    <row r="17607" spans="7:24" ht="15" customHeight="1">
      <c r="G17607"/>
      <c r="I17607"/>
      <c r="N17607"/>
      <c r="O17607" s="24"/>
      <c r="P17607"/>
      <c r="Q17607" s="24"/>
      <c r="R17607"/>
      <c r="S17607"/>
      <c r="T17607"/>
      <c r="U17607"/>
      <c r="X17607" s="60"/>
    </row>
    <row r="17608" spans="7:24" ht="15" customHeight="1">
      <c r="G17608"/>
      <c r="I17608"/>
      <c r="N17608"/>
      <c r="O17608" s="24"/>
      <c r="P17608"/>
      <c r="Q17608" s="24"/>
      <c r="R17608"/>
      <c r="S17608"/>
      <c r="T17608"/>
      <c r="U17608"/>
      <c r="X17608" s="60"/>
    </row>
    <row r="17609" spans="7:24" ht="15" customHeight="1">
      <c r="G17609"/>
      <c r="I17609"/>
      <c r="N17609"/>
      <c r="O17609" s="24"/>
      <c r="P17609"/>
      <c r="Q17609" s="24"/>
      <c r="R17609"/>
      <c r="S17609"/>
      <c r="T17609"/>
      <c r="U17609"/>
      <c r="X17609" s="60"/>
    </row>
    <row r="17610" spans="7:24" ht="15" customHeight="1">
      <c r="G17610"/>
      <c r="I17610"/>
      <c r="N17610"/>
      <c r="O17610" s="24"/>
      <c r="P17610"/>
      <c r="Q17610" s="24"/>
      <c r="R17610"/>
      <c r="S17610"/>
      <c r="T17610"/>
      <c r="U17610"/>
      <c r="X17610" s="60"/>
    </row>
    <row r="17611" spans="7:24" ht="15" customHeight="1">
      <c r="G17611"/>
      <c r="I17611"/>
      <c r="N17611"/>
      <c r="O17611" s="24"/>
      <c r="P17611"/>
      <c r="Q17611" s="24"/>
      <c r="R17611"/>
      <c r="S17611"/>
      <c r="T17611"/>
      <c r="U17611"/>
      <c r="X17611" s="60"/>
    </row>
    <row r="17612" spans="7:24" ht="15" customHeight="1">
      <c r="G17612"/>
      <c r="I17612"/>
      <c r="N17612"/>
      <c r="O17612" s="24"/>
      <c r="P17612"/>
      <c r="Q17612" s="24"/>
      <c r="R17612"/>
      <c r="S17612"/>
      <c r="T17612"/>
      <c r="U17612"/>
      <c r="X17612" s="60"/>
    </row>
    <row r="17613" spans="7:24" ht="15" customHeight="1">
      <c r="G17613"/>
      <c r="I17613"/>
      <c r="N17613"/>
      <c r="O17613" s="24"/>
      <c r="P17613"/>
      <c r="Q17613" s="24"/>
      <c r="R17613"/>
      <c r="S17613"/>
      <c r="T17613"/>
      <c r="U17613"/>
      <c r="X17613" s="60"/>
    </row>
    <row r="17614" spans="7:24" ht="15" customHeight="1">
      <c r="G17614"/>
      <c r="I17614"/>
      <c r="N17614"/>
      <c r="O17614" s="24"/>
      <c r="P17614"/>
      <c r="Q17614" s="24"/>
      <c r="R17614"/>
      <c r="S17614"/>
      <c r="T17614"/>
      <c r="U17614"/>
      <c r="X17614" s="60"/>
    </row>
    <row r="17615" spans="7:24" ht="15" customHeight="1">
      <c r="G17615"/>
      <c r="I17615"/>
      <c r="N17615"/>
      <c r="O17615" s="24"/>
      <c r="P17615"/>
      <c r="Q17615" s="24"/>
      <c r="R17615"/>
      <c r="S17615"/>
      <c r="T17615"/>
      <c r="U17615"/>
      <c r="X17615" s="60"/>
    </row>
    <row r="17616" spans="7:24" ht="15" customHeight="1">
      <c r="G17616"/>
      <c r="I17616"/>
      <c r="N17616"/>
      <c r="O17616" s="24"/>
      <c r="P17616"/>
      <c r="Q17616" s="24"/>
      <c r="R17616"/>
      <c r="S17616"/>
      <c r="T17616"/>
      <c r="U17616"/>
      <c r="X17616" s="60"/>
    </row>
    <row r="17617" spans="7:24" ht="15" customHeight="1">
      <c r="G17617"/>
      <c r="I17617"/>
      <c r="N17617"/>
      <c r="O17617" s="24"/>
      <c r="P17617"/>
      <c r="Q17617" s="24"/>
      <c r="R17617"/>
      <c r="S17617"/>
      <c r="T17617"/>
      <c r="U17617"/>
      <c r="X17617" s="60"/>
    </row>
    <row r="17618" spans="7:24" ht="15" customHeight="1">
      <c r="G17618"/>
      <c r="I17618"/>
      <c r="N17618"/>
      <c r="O17618" s="24"/>
      <c r="P17618"/>
      <c r="Q17618" s="24"/>
      <c r="R17618"/>
      <c r="S17618"/>
      <c r="T17618"/>
      <c r="U17618"/>
      <c r="X17618" s="60"/>
    </row>
    <row r="17619" spans="7:24" ht="15" customHeight="1">
      <c r="G17619"/>
      <c r="I17619"/>
      <c r="N17619"/>
      <c r="O17619" s="24"/>
      <c r="P17619"/>
      <c r="Q17619" s="24"/>
      <c r="R17619"/>
      <c r="S17619"/>
      <c r="T17619"/>
      <c r="U17619"/>
      <c r="X17619" s="60"/>
    </row>
    <row r="17620" spans="7:24" ht="15" customHeight="1">
      <c r="G17620"/>
      <c r="I17620"/>
      <c r="N17620"/>
      <c r="O17620" s="24"/>
      <c r="P17620"/>
      <c r="Q17620" s="24"/>
      <c r="R17620"/>
      <c r="S17620"/>
      <c r="T17620"/>
      <c r="U17620"/>
      <c r="X17620" s="60"/>
    </row>
    <row r="17621" spans="7:24" ht="15" customHeight="1">
      <c r="G17621"/>
      <c r="I17621"/>
      <c r="N17621"/>
      <c r="O17621" s="24"/>
      <c r="P17621"/>
      <c r="Q17621" s="24"/>
      <c r="R17621"/>
      <c r="S17621"/>
      <c r="T17621"/>
      <c r="U17621"/>
      <c r="X17621" s="60"/>
    </row>
    <row r="17622" spans="7:24" ht="15" customHeight="1">
      <c r="G17622"/>
      <c r="I17622"/>
      <c r="N17622"/>
      <c r="O17622" s="24"/>
      <c r="P17622"/>
      <c r="Q17622" s="24"/>
      <c r="R17622"/>
      <c r="S17622"/>
      <c r="T17622"/>
      <c r="U17622"/>
      <c r="X17622" s="60"/>
    </row>
    <row r="17623" spans="7:24" ht="15" customHeight="1">
      <c r="G17623"/>
      <c r="I17623"/>
      <c r="N17623"/>
      <c r="O17623" s="24"/>
      <c r="P17623"/>
      <c r="Q17623" s="24"/>
      <c r="R17623"/>
      <c r="S17623"/>
      <c r="T17623"/>
      <c r="U17623"/>
      <c r="X17623" s="60"/>
    </row>
    <row r="17624" spans="7:24" ht="15" customHeight="1">
      <c r="G17624"/>
      <c r="I17624"/>
      <c r="N17624"/>
      <c r="O17624" s="24"/>
      <c r="P17624"/>
      <c r="Q17624" s="24"/>
      <c r="R17624"/>
      <c r="S17624"/>
      <c r="T17624"/>
      <c r="U17624"/>
      <c r="X17624" s="60"/>
    </row>
    <row r="17625" spans="7:24" ht="15" customHeight="1">
      <c r="G17625"/>
      <c r="I17625"/>
      <c r="N17625"/>
      <c r="O17625" s="24"/>
      <c r="P17625"/>
      <c r="Q17625" s="24"/>
      <c r="R17625"/>
      <c r="S17625"/>
      <c r="T17625"/>
      <c r="U17625"/>
      <c r="X17625" s="60"/>
    </row>
    <row r="17626" spans="7:24" ht="15" customHeight="1">
      <c r="G17626"/>
      <c r="I17626"/>
      <c r="N17626"/>
      <c r="O17626" s="24"/>
      <c r="P17626"/>
      <c r="Q17626" s="24"/>
      <c r="R17626"/>
      <c r="S17626"/>
      <c r="T17626"/>
      <c r="U17626"/>
      <c r="X17626" s="60"/>
    </row>
    <row r="17627" spans="7:24" ht="15" customHeight="1">
      <c r="G17627"/>
      <c r="I17627"/>
      <c r="N17627"/>
      <c r="O17627" s="24"/>
      <c r="P17627"/>
      <c r="Q17627" s="24"/>
      <c r="R17627"/>
      <c r="S17627"/>
      <c r="T17627"/>
      <c r="U17627"/>
      <c r="X17627" s="60"/>
    </row>
    <row r="17628" spans="7:24" ht="15" customHeight="1">
      <c r="G17628"/>
      <c r="I17628"/>
      <c r="N17628"/>
      <c r="O17628" s="24"/>
      <c r="P17628"/>
      <c r="Q17628" s="24"/>
      <c r="R17628"/>
      <c r="S17628"/>
      <c r="T17628"/>
      <c r="U17628"/>
      <c r="X17628" s="60"/>
    </row>
    <row r="17629" spans="7:24" ht="15" customHeight="1">
      <c r="G17629"/>
      <c r="I17629"/>
      <c r="N17629"/>
      <c r="O17629" s="24"/>
      <c r="P17629"/>
      <c r="Q17629" s="24"/>
      <c r="R17629"/>
      <c r="S17629"/>
      <c r="T17629"/>
      <c r="U17629"/>
      <c r="X17629" s="60"/>
    </row>
    <row r="17630" spans="7:24" ht="15" customHeight="1">
      <c r="G17630"/>
      <c r="I17630"/>
      <c r="N17630"/>
      <c r="O17630" s="24"/>
      <c r="P17630"/>
      <c r="Q17630" s="24"/>
      <c r="R17630"/>
      <c r="S17630"/>
      <c r="T17630"/>
      <c r="U17630"/>
      <c r="X17630" s="60"/>
    </row>
    <row r="17631" spans="7:24" ht="15" customHeight="1">
      <c r="G17631"/>
      <c r="I17631"/>
      <c r="N17631"/>
      <c r="O17631" s="24"/>
      <c r="P17631"/>
      <c r="Q17631" s="24"/>
      <c r="R17631"/>
      <c r="S17631"/>
      <c r="T17631"/>
      <c r="U17631"/>
      <c r="X17631" s="60"/>
    </row>
    <row r="17632" spans="7:24" ht="15" customHeight="1">
      <c r="G17632"/>
      <c r="I17632"/>
      <c r="N17632"/>
      <c r="O17632" s="24"/>
      <c r="P17632"/>
      <c r="Q17632" s="24"/>
      <c r="R17632"/>
      <c r="S17632"/>
      <c r="T17632"/>
      <c r="U17632"/>
      <c r="X17632" s="60"/>
    </row>
    <row r="17633" spans="7:24" ht="15" customHeight="1">
      <c r="G17633"/>
      <c r="I17633"/>
      <c r="N17633"/>
      <c r="O17633" s="24"/>
      <c r="P17633"/>
      <c r="Q17633" s="24"/>
      <c r="R17633"/>
      <c r="S17633"/>
      <c r="T17633"/>
      <c r="U17633"/>
      <c r="X17633" s="60"/>
    </row>
    <row r="17634" spans="7:24" ht="15" customHeight="1">
      <c r="G17634"/>
      <c r="I17634"/>
      <c r="N17634"/>
      <c r="O17634" s="24"/>
      <c r="P17634"/>
      <c r="Q17634" s="24"/>
      <c r="R17634"/>
      <c r="S17634"/>
      <c r="T17634"/>
      <c r="U17634"/>
      <c r="X17634" s="60"/>
    </row>
    <row r="17635" spans="7:24" ht="15" customHeight="1">
      <c r="G17635"/>
      <c r="I17635"/>
      <c r="N17635"/>
      <c r="O17635" s="24"/>
      <c r="P17635"/>
      <c r="Q17635" s="24"/>
      <c r="R17635"/>
      <c r="S17635"/>
      <c r="T17635"/>
      <c r="U17635"/>
      <c r="X17635" s="60"/>
    </row>
    <row r="17636" spans="7:24" ht="15" customHeight="1">
      <c r="G17636"/>
      <c r="I17636"/>
      <c r="N17636"/>
      <c r="O17636" s="24"/>
      <c r="P17636"/>
      <c r="Q17636" s="24"/>
      <c r="R17636"/>
      <c r="S17636"/>
      <c r="T17636"/>
      <c r="U17636"/>
      <c r="X17636" s="60"/>
    </row>
    <row r="17637" spans="7:24" ht="15" customHeight="1">
      <c r="G17637"/>
      <c r="I17637"/>
      <c r="N17637"/>
      <c r="O17637" s="24"/>
      <c r="P17637"/>
      <c r="Q17637" s="24"/>
      <c r="R17637"/>
      <c r="S17637"/>
      <c r="T17637"/>
      <c r="U17637"/>
      <c r="X17637" s="60"/>
    </row>
    <row r="17638" spans="7:24" ht="15" customHeight="1">
      <c r="G17638"/>
      <c r="I17638"/>
      <c r="N17638"/>
      <c r="O17638" s="24"/>
      <c r="P17638"/>
      <c r="Q17638" s="24"/>
      <c r="R17638"/>
      <c r="S17638"/>
      <c r="T17638"/>
      <c r="U17638"/>
      <c r="X17638" s="60"/>
    </row>
    <row r="17639" spans="7:24" ht="15" customHeight="1">
      <c r="G17639"/>
      <c r="I17639"/>
      <c r="N17639"/>
      <c r="O17639" s="24"/>
      <c r="P17639"/>
      <c r="Q17639" s="24"/>
      <c r="R17639"/>
      <c r="S17639"/>
      <c r="T17639"/>
      <c r="U17639"/>
      <c r="X17639" s="60"/>
    </row>
    <row r="17640" spans="7:24" ht="15" customHeight="1">
      <c r="G17640"/>
      <c r="I17640"/>
      <c r="N17640"/>
      <c r="O17640" s="24"/>
      <c r="P17640"/>
      <c r="Q17640" s="24"/>
      <c r="R17640"/>
      <c r="S17640"/>
      <c r="T17640"/>
      <c r="U17640"/>
      <c r="X17640" s="60"/>
    </row>
    <row r="17641" spans="7:24" ht="15" customHeight="1">
      <c r="G17641"/>
      <c r="I17641"/>
      <c r="N17641"/>
      <c r="O17641" s="24"/>
      <c r="P17641"/>
      <c r="Q17641" s="24"/>
      <c r="R17641"/>
      <c r="S17641"/>
      <c r="T17641"/>
      <c r="U17641"/>
      <c r="X17641" s="60"/>
    </row>
    <row r="17642" spans="7:24" ht="15" customHeight="1">
      <c r="G17642"/>
      <c r="I17642"/>
      <c r="N17642"/>
      <c r="O17642" s="24"/>
      <c r="P17642"/>
      <c r="Q17642" s="24"/>
      <c r="R17642"/>
      <c r="S17642"/>
      <c r="T17642"/>
      <c r="U17642"/>
      <c r="X17642" s="60"/>
    </row>
    <row r="17643" spans="7:24" ht="15" customHeight="1">
      <c r="G17643"/>
      <c r="I17643"/>
      <c r="N17643"/>
      <c r="O17643" s="24"/>
      <c r="P17643"/>
      <c r="Q17643" s="24"/>
      <c r="R17643"/>
      <c r="S17643"/>
      <c r="T17643"/>
      <c r="U17643"/>
      <c r="X17643" s="60"/>
    </row>
    <row r="17644" spans="7:24" ht="15" customHeight="1">
      <c r="G17644"/>
      <c r="I17644"/>
      <c r="N17644"/>
      <c r="O17644" s="24"/>
      <c r="P17644"/>
      <c r="Q17644" s="24"/>
      <c r="R17644"/>
      <c r="S17644"/>
      <c r="T17644"/>
      <c r="U17644"/>
      <c r="X17644" s="60"/>
    </row>
    <row r="17645" spans="7:24" ht="15" customHeight="1">
      <c r="G17645"/>
      <c r="I17645"/>
      <c r="N17645"/>
      <c r="O17645" s="24"/>
      <c r="P17645"/>
      <c r="Q17645" s="24"/>
      <c r="R17645"/>
      <c r="S17645"/>
      <c r="T17645"/>
      <c r="U17645"/>
      <c r="X17645" s="60"/>
    </row>
    <row r="17646" spans="7:24" ht="15" customHeight="1">
      <c r="G17646"/>
      <c r="I17646"/>
      <c r="N17646"/>
      <c r="O17646" s="24"/>
      <c r="P17646"/>
      <c r="Q17646" s="24"/>
      <c r="R17646"/>
      <c r="S17646"/>
      <c r="T17646"/>
      <c r="U17646"/>
      <c r="X17646" s="60"/>
    </row>
    <row r="17647" spans="7:24" ht="15" customHeight="1">
      <c r="G17647"/>
      <c r="I17647"/>
      <c r="N17647"/>
      <c r="O17647" s="24"/>
      <c r="P17647"/>
      <c r="Q17647" s="24"/>
      <c r="R17647"/>
      <c r="S17647"/>
      <c r="T17647"/>
      <c r="U17647"/>
      <c r="X17647" s="60"/>
    </row>
    <row r="17648" spans="7:24" ht="15" customHeight="1">
      <c r="G17648"/>
      <c r="I17648"/>
      <c r="N17648"/>
      <c r="O17648" s="24"/>
      <c r="P17648"/>
      <c r="Q17648" s="24"/>
      <c r="R17648"/>
      <c r="S17648"/>
      <c r="T17648"/>
      <c r="U17648"/>
      <c r="X17648" s="60"/>
    </row>
    <row r="17649" spans="7:24" ht="15" customHeight="1">
      <c r="G17649"/>
      <c r="I17649"/>
      <c r="N17649"/>
      <c r="O17649" s="24"/>
      <c r="P17649"/>
      <c r="Q17649" s="24"/>
      <c r="R17649"/>
      <c r="S17649"/>
      <c r="T17649"/>
      <c r="U17649"/>
      <c r="X17649" s="60"/>
    </row>
    <row r="17650" spans="7:24" ht="15" customHeight="1">
      <c r="G17650"/>
      <c r="I17650"/>
      <c r="N17650"/>
      <c r="O17650" s="24"/>
      <c r="P17650"/>
      <c r="Q17650" s="24"/>
      <c r="R17650"/>
      <c r="S17650"/>
      <c r="T17650"/>
      <c r="U17650"/>
      <c r="X17650" s="60"/>
    </row>
    <row r="17651" spans="7:24" ht="15" customHeight="1">
      <c r="G17651"/>
      <c r="I17651"/>
      <c r="N17651"/>
      <c r="O17651" s="24"/>
      <c r="P17651"/>
      <c r="Q17651" s="24"/>
      <c r="R17651"/>
      <c r="S17651"/>
      <c r="T17651"/>
      <c r="U17651"/>
      <c r="X17651" s="60"/>
    </row>
    <row r="17652" spans="7:24" ht="15" customHeight="1">
      <c r="G17652"/>
      <c r="I17652"/>
      <c r="N17652"/>
      <c r="O17652" s="24"/>
      <c r="P17652"/>
      <c r="Q17652" s="24"/>
      <c r="R17652"/>
      <c r="S17652"/>
      <c r="T17652"/>
      <c r="U17652"/>
      <c r="X17652" s="60"/>
    </row>
    <row r="17653" spans="7:24" ht="15" customHeight="1">
      <c r="G17653"/>
      <c r="I17653"/>
      <c r="N17653"/>
      <c r="O17653" s="24"/>
      <c r="P17653"/>
      <c r="Q17653" s="24"/>
      <c r="R17653"/>
      <c r="S17653"/>
      <c r="T17653"/>
      <c r="U17653"/>
      <c r="X17653" s="60"/>
    </row>
    <row r="17654" spans="7:24" ht="15" customHeight="1">
      <c r="G17654"/>
      <c r="I17654"/>
      <c r="N17654"/>
      <c r="O17654" s="24"/>
      <c r="P17654"/>
      <c r="Q17654" s="24"/>
      <c r="R17654"/>
      <c r="S17654"/>
      <c r="T17654"/>
      <c r="U17654"/>
      <c r="X17654" s="60"/>
    </row>
    <row r="17655" spans="7:24" ht="15" customHeight="1">
      <c r="G17655"/>
      <c r="I17655"/>
      <c r="N17655"/>
      <c r="O17655" s="24"/>
      <c r="P17655"/>
      <c r="Q17655" s="24"/>
      <c r="R17655"/>
      <c r="S17655"/>
      <c r="T17655"/>
      <c r="U17655"/>
      <c r="X17655" s="60"/>
    </row>
    <row r="17656" spans="7:24" ht="15" customHeight="1">
      <c r="G17656"/>
      <c r="I17656"/>
      <c r="N17656"/>
      <c r="O17656" s="24"/>
      <c r="P17656"/>
      <c r="Q17656" s="24"/>
      <c r="R17656"/>
      <c r="S17656"/>
      <c r="T17656"/>
      <c r="U17656"/>
      <c r="X17656" s="60"/>
    </row>
    <row r="17657" spans="7:24" ht="15" customHeight="1">
      <c r="G17657"/>
      <c r="I17657"/>
      <c r="N17657"/>
      <c r="O17657" s="24"/>
      <c r="P17657"/>
      <c r="Q17657" s="24"/>
      <c r="R17657"/>
      <c r="S17657"/>
      <c r="T17657"/>
      <c r="U17657"/>
      <c r="X17657" s="60"/>
    </row>
    <row r="17658" spans="7:24" ht="15" customHeight="1">
      <c r="G17658"/>
      <c r="I17658"/>
      <c r="N17658"/>
      <c r="O17658" s="24"/>
      <c r="P17658"/>
      <c r="Q17658" s="24"/>
      <c r="R17658"/>
      <c r="S17658"/>
      <c r="T17658"/>
      <c r="U17658"/>
      <c r="X17658" s="60"/>
    </row>
    <row r="17659" spans="7:24" ht="15" customHeight="1">
      <c r="G17659"/>
      <c r="I17659"/>
      <c r="N17659"/>
      <c r="O17659" s="24"/>
      <c r="P17659"/>
      <c r="Q17659" s="24"/>
      <c r="R17659"/>
      <c r="S17659"/>
      <c r="T17659"/>
      <c r="U17659"/>
      <c r="X17659" s="60"/>
    </row>
    <row r="17660" spans="7:24" ht="15" customHeight="1">
      <c r="G17660"/>
      <c r="I17660"/>
      <c r="N17660"/>
      <c r="O17660" s="24"/>
      <c r="P17660"/>
      <c r="Q17660" s="24"/>
      <c r="R17660"/>
      <c r="S17660"/>
      <c r="T17660"/>
      <c r="U17660"/>
      <c r="X17660" s="60"/>
    </row>
    <row r="17661" spans="7:24" ht="15" customHeight="1">
      <c r="G17661"/>
      <c r="I17661"/>
      <c r="N17661"/>
      <c r="O17661" s="24"/>
      <c r="P17661"/>
      <c r="Q17661" s="24"/>
      <c r="R17661"/>
      <c r="S17661"/>
      <c r="T17661"/>
      <c r="U17661"/>
      <c r="X17661" s="60"/>
    </row>
    <row r="17662" spans="7:24" ht="15" customHeight="1">
      <c r="G17662"/>
      <c r="I17662"/>
      <c r="N17662"/>
      <c r="O17662" s="24"/>
      <c r="P17662"/>
      <c r="Q17662" s="24"/>
      <c r="R17662"/>
      <c r="S17662"/>
      <c r="T17662"/>
      <c r="U17662"/>
      <c r="X17662" s="60"/>
    </row>
    <row r="17663" spans="7:24" ht="15" customHeight="1">
      <c r="G17663"/>
      <c r="I17663"/>
      <c r="N17663"/>
      <c r="O17663" s="24"/>
      <c r="P17663"/>
      <c r="Q17663" s="24"/>
      <c r="R17663"/>
      <c r="S17663"/>
      <c r="T17663"/>
      <c r="U17663"/>
      <c r="X17663" s="60"/>
    </row>
    <row r="17664" spans="7:24" ht="15" customHeight="1">
      <c r="G17664"/>
      <c r="I17664"/>
      <c r="N17664"/>
      <c r="O17664" s="24"/>
      <c r="P17664"/>
      <c r="Q17664" s="24"/>
      <c r="R17664"/>
      <c r="S17664"/>
      <c r="T17664"/>
      <c r="U17664"/>
      <c r="X17664" s="60"/>
    </row>
    <row r="17665" spans="7:24" ht="15" customHeight="1">
      <c r="G17665"/>
      <c r="I17665"/>
      <c r="N17665"/>
      <c r="O17665" s="24"/>
      <c r="P17665"/>
      <c r="Q17665" s="24"/>
      <c r="R17665"/>
      <c r="S17665"/>
      <c r="T17665"/>
      <c r="U17665"/>
      <c r="X17665" s="60"/>
    </row>
    <row r="17666" spans="7:24" ht="15" customHeight="1">
      <c r="G17666"/>
      <c r="I17666"/>
      <c r="N17666"/>
      <c r="O17666" s="24"/>
      <c r="P17666"/>
      <c r="Q17666" s="24"/>
      <c r="R17666"/>
      <c r="S17666"/>
      <c r="T17666"/>
      <c r="U17666"/>
      <c r="X17666" s="60"/>
    </row>
    <row r="17667" spans="7:24" ht="15" customHeight="1">
      <c r="G17667"/>
      <c r="I17667"/>
      <c r="N17667"/>
      <c r="O17667" s="24"/>
      <c r="P17667"/>
      <c r="Q17667" s="24"/>
      <c r="R17667"/>
      <c r="S17667"/>
      <c r="T17667"/>
      <c r="U17667"/>
      <c r="X17667" s="60"/>
    </row>
    <row r="17668" spans="7:24" ht="15" customHeight="1">
      <c r="G17668"/>
      <c r="I17668"/>
      <c r="N17668"/>
      <c r="O17668" s="24"/>
      <c r="P17668"/>
      <c r="Q17668" s="24"/>
      <c r="R17668"/>
      <c r="S17668"/>
      <c r="T17668"/>
      <c r="U17668"/>
      <c r="X17668" s="60"/>
    </row>
    <row r="17669" spans="7:24" ht="15" customHeight="1">
      <c r="G17669"/>
      <c r="I17669"/>
      <c r="N17669"/>
      <c r="O17669" s="24"/>
      <c r="P17669"/>
      <c r="Q17669" s="24"/>
      <c r="R17669"/>
      <c r="S17669"/>
      <c r="T17669"/>
      <c r="U17669"/>
      <c r="X17669" s="60"/>
    </row>
    <row r="17670" spans="7:24" ht="15" customHeight="1">
      <c r="G17670"/>
      <c r="I17670"/>
      <c r="N17670"/>
      <c r="O17670" s="24"/>
      <c r="P17670"/>
      <c r="Q17670" s="24"/>
      <c r="R17670"/>
      <c r="S17670"/>
      <c r="T17670"/>
      <c r="U17670"/>
      <c r="X17670" s="60"/>
    </row>
    <row r="17671" spans="7:24" ht="15" customHeight="1">
      <c r="G17671"/>
      <c r="I17671"/>
      <c r="N17671"/>
      <c r="O17671" s="24"/>
      <c r="P17671"/>
      <c r="Q17671" s="24"/>
      <c r="R17671"/>
      <c r="S17671"/>
      <c r="T17671"/>
      <c r="U17671"/>
      <c r="X17671" s="60"/>
    </row>
    <row r="17672" spans="7:24" ht="15" customHeight="1">
      <c r="G17672"/>
      <c r="I17672"/>
      <c r="N17672"/>
      <c r="O17672" s="24"/>
      <c r="P17672"/>
      <c r="Q17672" s="24"/>
      <c r="R17672"/>
      <c r="S17672"/>
      <c r="T17672"/>
      <c r="U17672"/>
      <c r="X17672" s="60"/>
    </row>
    <row r="17673" spans="7:24" ht="15" customHeight="1">
      <c r="G17673"/>
      <c r="I17673"/>
      <c r="N17673"/>
      <c r="O17673" s="24"/>
      <c r="P17673"/>
      <c r="Q17673" s="24"/>
      <c r="R17673"/>
      <c r="S17673"/>
      <c r="T17673"/>
      <c r="U17673"/>
      <c r="X17673" s="60"/>
    </row>
    <row r="17674" spans="7:24" ht="15" customHeight="1">
      <c r="G17674"/>
      <c r="I17674"/>
      <c r="N17674"/>
      <c r="O17674" s="24"/>
      <c r="P17674"/>
      <c r="Q17674" s="24"/>
      <c r="R17674"/>
      <c r="S17674"/>
      <c r="T17674"/>
      <c r="U17674"/>
      <c r="X17674" s="60"/>
    </row>
    <row r="17675" spans="7:24" ht="15" customHeight="1">
      <c r="G17675"/>
      <c r="I17675"/>
      <c r="N17675"/>
      <c r="O17675" s="24"/>
      <c r="P17675"/>
      <c r="Q17675" s="24"/>
      <c r="R17675"/>
      <c r="S17675"/>
      <c r="T17675"/>
      <c r="U17675"/>
      <c r="X17675" s="60"/>
    </row>
    <row r="17676" spans="7:24" ht="15" customHeight="1">
      <c r="G17676"/>
      <c r="I17676"/>
      <c r="N17676"/>
      <c r="O17676" s="24"/>
      <c r="P17676"/>
      <c r="Q17676" s="24"/>
      <c r="R17676"/>
      <c r="S17676"/>
      <c r="T17676"/>
      <c r="U17676"/>
      <c r="X17676" s="60"/>
    </row>
    <row r="17677" spans="7:24" ht="15" customHeight="1">
      <c r="G17677"/>
      <c r="I17677"/>
      <c r="N17677"/>
      <c r="O17677" s="24"/>
      <c r="P17677"/>
      <c r="Q17677" s="24"/>
      <c r="R17677"/>
      <c r="S17677"/>
      <c r="T17677"/>
      <c r="U17677"/>
      <c r="X17677" s="60"/>
    </row>
    <row r="17678" spans="7:24" ht="15" customHeight="1">
      <c r="G17678"/>
      <c r="I17678"/>
      <c r="N17678"/>
      <c r="O17678" s="24"/>
      <c r="P17678"/>
      <c r="Q17678" s="24"/>
      <c r="R17678"/>
      <c r="S17678"/>
      <c r="T17678"/>
      <c r="U17678"/>
      <c r="X17678" s="60"/>
    </row>
    <row r="17679" spans="7:24" ht="15" customHeight="1">
      <c r="G17679"/>
      <c r="I17679"/>
      <c r="N17679"/>
      <c r="O17679" s="24"/>
      <c r="P17679"/>
      <c r="Q17679" s="24"/>
      <c r="R17679"/>
      <c r="S17679"/>
      <c r="T17679"/>
      <c r="U17679"/>
      <c r="X17679" s="60"/>
    </row>
    <row r="17680" spans="7:24" ht="15" customHeight="1">
      <c r="G17680"/>
      <c r="I17680"/>
      <c r="N17680"/>
      <c r="O17680" s="24"/>
      <c r="P17680"/>
      <c r="Q17680" s="24"/>
      <c r="R17680"/>
      <c r="S17680"/>
      <c r="T17680"/>
      <c r="U17680"/>
      <c r="X17680" s="60"/>
    </row>
    <row r="17681" spans="7:24" ht="15" customHeight="1">
      <c r="G17681"/>
      <c r="I17681"/>
      <c r="N17681"/>
      <c r="O17681" s="24"/>
      <c r="P17681"/>
      <c r="Q17681" s="24"/>
      <c r="R17681"/>
      <c r="S17681"/>
      <c r="T17681"/>
      <c r="U17681"/>
      <c r="X17681" s="60"/>
    </row>
    <row r="17682" spans="7:24" ht="15" customHeight="1">
      <c r="G17682"/>
      <c r="I17682"/>
      <c r="N17682"/>
      <c r="O17682" s="24"/>
      <c r="P17682"/>
      <c r="Q17682" s="24"/>
      <c r="R17682"/>
      <c r="S17682"/>
      <c r="T17682"/>
      <c r="U17682"/>
      <c r="X17682" s="60"/>
    </row>
    <row r="17683" spans="7:24" ht="15" customHeight="1">
      <c r="G17683"/>
      <c r="I17683"/>
      <c r="N17683"/>
      <c r="O17683" s="24"/>
      <c r="P17683"/>
      <c r="Q17683" s="24"/>
      <c r="R17683"/>
      <c r="S17683"/>
      <c r="T17683"/>
      <c r="U17683"/>
      <c r="X17683" s="60"/>
    </row>
    <row r="17684" spans="7:24" ht="15" customHeight="1">
      <c r="G17684"/>
      <c r="I17684"/>
      <c r="N17684"/>
      <c r="O17684" s="24"/>
      <c r="P17684"/>
      <c r="Q17684" s="24"/>
      <c r="R17684"/>
      <c r="S17684"/>
      <c r="T17684"/>
      <c r="U17684"/>
      <c r="X17684" s="60"/>
    </row>
    <row r="17685" spans="7:24" ht="15" customHeight="1">
      <c r="G17685"/>
      <c r="I17685"/>
      <c r="N17685"/>
      <c r="O17685" s="24"/>
      <c r="P17685"/>
      <c r="Q17685" s="24"/>
      <c r="R17685"/>
      <c r="S17685"/>
      <c r="T17685"/>
      <c r="U17685"/>
      <c r="X17685" s="60"/>
    </row>
    <row r="17686" spans="7:24" ht="15" customHeight="1">
      <c r="G17686"/>
      <c r="I17686"/>
      <c r="N17686"/>
      <c r="O17686" s="24"/>
      <c r="P17686"/>
      <c r="Q17686" s="24"/>
      <c r="R17686"/>
      <c r="S17686"/>
      <c r="T17686"/>
      <c r="U17686"/>
      <c r="X17686" s="60"/>
    </row>
    <row r="17687" spans="7:24" ht="15" customHeight="1">
      <c r="G17687"/>
      <c r="I17687"/>
      <c r="N17687"/>
      <c r="O17687" s="24"/>
      <c r="P17687"/>
      <c r="Q17687" s="24"/>
      <c r="R17687"/>
      <c r="S17687"/>
      <c r="T17687"/>
      <c r="U17687"/>
      <c r="X17687" s="60"/>
    </row>
    <row r="17688" spans="7:24" ht="15" customHeight="1">
      <c r="G17688"/>
      <c r="I17688"/>
      <c r="N17688"/>
      <c r="O17688" s="24"/>
      <c r="P17688"/>
      <c r="Q17688" s="24"/>
      <c r="R17688"/>
      <c r="S17688"/>
      <c r="T17688"/>
      <c r="U17688"/>
      <c r="X17688" s="60"/>
    </row>
    <row r="17689" spans="7:24" ht="15" customHeight="1">
      <c r="G17689"/>
      <c r="I17689"/>
      <c r="N17689"/>
      <c r="O17689" s="24"/>
      <c r="P17689"/>
      <c r="Q17689" s="24"/>
      <c r="R17689"/>
      <c r="S17689"/>
      <c r="T17689"/>
      <c r="U17689"/>
      <c r="X17689" s="60"/>
    </row>
    <row r="17690" spans="7:24" ht="15" customHeight="1">
      <c r="G17690"/>
      <c r="I17690"/>
      <c r="N17690"/>
      <c r="O17690" s="24"/>
      <c r="P17690"/>
      <c r="Q17690" s="24"/>
      <c r="R17690"/>
      <c r="S17690"/>
      <c r="T17690"/>
      <c r="U17690"/>
      <c r="X17690" s="60"/>
    </row>
    <row r="17691" spans="7:24" ht="15" customHeight="1">
      <c r="G17691"/>
      <c r="I17691"/>
      <c r="N17691"/>
      <c r="O17691" s="24"/>
      <c r="P17691"/>
      <c r="Q17691" s="24"/>
      <c r="R17691"/>
      <c r="S17691"/>
      <c r="T17691"/>
      <c r="U17691"/>
      <c r="X17691" s="60"/>
    </row>
    <row r="17692" spans="7:24" ht="15" customHeight="1">
      <c r="G17692"/>
      <c r="I17692"/>
      <c r="N17692"/>
      <c r="O17692" s="24"/>
      <c r="P17692"/>
      <c r="Q17692" s="24"/>
      <c r="R17692"/>
      <c r="S17692"/>
      <c r="T17692"/>
      <c r="U17692"/>
      <c r="X17692" s="60"/>
    </row>
    <row r="17693" spans="7:24" ht="15" customHeight="1">
      <c r="G17693"/>
      <c r="I17693"/>
      <c r="N17693"/>
      <c r="O17693" s="24"/>
      <c r="P17693"/>
      <c r="Q17693" s="24"/>
      <c r="R17693"/>
      <c r="S17693"/>
      <c r="T17693"/>
      <c r="U17693"/>
      <c r="X17693" s="60"/>
    </row>
    <row r="17694" spans="7:24" ht="15" customHeight="1">
      <c r="G17694"/>
      <c r="I17694"/>
      <c r="N17694"/>
      <c r="O17694" s="24"/>
      <c r="P17694"/>
      <c r="Q17694" s="24"/>
      <c r="R17694"/>
      <c r="S17694"/>
      <c r="T17694"/>
      <c r="U17694"/>
      <c r="X17694" s="60"/>
    </row>
    <row r="17695" spans="7:24" ht="15" customHeight="1">
      <c r="G17695"/>
      <c r="I17695"/>
      <c r="N17695"/>
      <c r="O17695" s="24"/>
      <c r="P17695"/>
      <c r="Q17695" s="24"/>
      <c r="R17695"/>
      <c r="S17695"/>
      <c r="T17695"/>
      <c r="U17695"/>
      <c r="X17695" s="60"/>
    </row>
    <row r="17696" spans="7:24" ht="15" customHeight="1">
      <c r="G17696"/>
      <c r="I17696"/>
      <c r="N17696"/>
      <c r="O17696" s="24"/>
      <c r="P17696"/>
      <c r="Q17696" s="24"/>
      <c r="R17696"/>
      <c r="S17696"/>
      <c r="T17696"/>
      <c r="U17696"/>
      <c r="X17696" s="60"/>
    </row>
    <row r="17697" spans="7:24" ht="15" customHeight="1">
      <c r="G17697"/>
      <c r="I17697"/>
      <c r="N17697"/>
      <c r="O17697" s="24"/>
      <c r="P17697"/>
      <c r="Q17697" s="24"/>
      <c r="R17697"/>
      <c r="S17697"/>
      <c r="T17697"/>
      <c r="U17697"/>
      <c r="X17697" s="60"/>
    </row>
    <row r="17698" spans="7:24" ht="15" customHeight="1">
      <c r="G17698"/>
      <c r="I17698"/>
      <c r="N17698"/>
      <c r="O17698" s="24"/>
      <c r="P17698"/>
      <c r="Q17698" s="24"/>
      <c r="R17698"/>
      <c r="S17698"/>
      <c r="T17698"/>
      <c r="U17698"/>
      <c r="X17698" s="60"/>
    </row>
    <row r="17699" spans="7:24" ht="15" customHeight="1">
      <c r="G17699"/>
      <c r="I17699"/>
      <c r="N17699"/>
      <c r="O17699" s="24"/>
      <c r="P17699"/>
      <c r="Q17699" s="24"/>
      <c r="R17699"/>
      <c r="S17699"/>
      <c r="T17699"/>
      <c r="U17699"/>
      <c r="X17699" s="60"/>
    </row>
    <row r="17700" spans="7:24" ht="15" customHeight="1">
      <c r="G17700"/>
      <c r="I17700"/>
      <c r="N17700"/>
      <c r="O17700" s="24"/>
      <c r="P17700"/>
      <c r="Q17700" s="24"/>
      <c r="R17700"/>
      <c r="S17700"/>
      <c r="T17700"/>
      <c r="U17700"/>
      <c r="X17700" s="60"/>
    </row>
    <row r="17701" spans="7:24" ht="15" customHeight="1">
      <c r="G17701"/>
      <c r="I17701"/>
      <c r="N17701"/>
      <c r="O17701" s="24"/>
      <c r="P17701"/>
      <c r="Q17701" s="24"/>
      <c r="R17701"/>
      <c r="S17701"/>
      <c r="T17701"/>
      <c r="U17701"/>
      <c r="X17701" s="60"/>
    </row>
    <row r="17702" spans="7:24" ht="15" customHeight="1">
      <c r="G17702"/>
      <c r="I17702"/>
      <c r="N17702"/>
      <c r="O17702" s="24"/>
      <c r="P17702"/>
      <c r="Q17702" s="24"/>
      <c r="R17702"/>
      <c r="S17702"/>
      <c r="T17702"/>
      <c r="U17702"/>
      <c r="X17702" s="60"/>
    </row>
    <row r="17703" spans="7:24" ht="15" customHeight="1">
      <c r="G17703"/>
      <c r="I17703"/>
      <c r="N17703"/>
      <c r="O17703" s="24"/>
      <c r="P17703"/>
      <c r="Q17703" s="24"/>
      <c r="R17703"/>
      <c r="S17703"/>
      <c r="T17703"/>
      <c r="U17703"/>
      <c r="X17703" s="60"/>
    </row>
    <row r="17704" spans="7:24" ht="15" customHeight="1">
      <c r="G17704"/>
      <c r="I17704"/>
      <c r="N17704"/>
      <c r="O17704" s="24"/>
      <c r="P17704"/>
      <c r="Q17704" s="24"/>
      <c r="R17704"/>
      <c r="S17704"/>
      <c r="T17704"/>
      <c r="U17704"/>
      <c r="X17704" s="60"/>
    </row>
    <row r="17705" spans="7:24" ht="15" customHeight="1">
      <c r="G17705"/>
      <c r="I17705"/>
      <c r="N17705"/>
      <c r="O17705" s="24"/>
      <c r="P17705"/>
      <c r="Q17705" s="24"/>
      <c r="R17705"/>
      <c r="S17705"/>
      <c r="T17705"/>
      <c r="U17705"/>
      <c r="X17705" s="60"/>
    </row>
    <row r="17706" spans="7:24" ht="15" customHeight="1">
      <c r="G17706"/>
      <c r="I17706"/>
      <c r="N17706"/>
      <c r="O17706" s="24"/>
      <c r="P17706"/>
      <c r="Q17706" s="24"/>
      <c r="R17706"/>
      <c r="S17706"/>
      <c r="T17706"/>
      <c r="U17706"/>
      <c r="X17706" s="60"/>
    </row>
    <row r="17707" spans="7:24" ht="15" customHeight="1">
      <c r="G17707"/>
      <c r="I17707"/>
      <c r="N17707"/>
      <c r="O17707" s="24"/>
      <c r="P17707"/>
      <c r="Q17707" s="24"/>
      <c r="R17707"/>
      <c r="S17707"/>
      <c r="T17707"/>
      <c r="U17707"/>
      <c r="X17707" s="60"/>
    </row>
    <row r="17708" spans="7:24" ht="15" customHeight="1">
      <c r="G17708"/>
      <c r="I17708"/>
      <c r="N17708"/>
      <c r="O17708" s="24"/>
      <c r="P17708"/>
      <c r="Q17708" s="24"/>
      <c r="R17708"/>
      <c r="S17708"/>
      <c r="T17708"/>
      <c r="U17708"/>
      <c r="X17708" s="60"/>
    </row>
    <row r="17709" spans="7:24" ht="15" customHeight="1">
      <c r="G17709"/>
      <c r="I17709"/>
      <c r="N17709"/>
      <c r="O17709" s="24"/>
      <c r="P17709"/>
      <c r="Q17709" s="24"/>
      <c r="R17709"/>
      <c r="S17709"/>
      <c r="T17709"/>
      <c r="U17709"/>
      <c r="X17709" s="60"/>
    </row>
    <row r="17710" spans="7:24" ht="15" customHeight="1">
      <c r="G17710"/>
      <c r="I17710"/>
      <c r="N17710"/>
      <c r="O17710" s="24"/>
      <c r="P17710"/>
      <c r="Q17710" s="24"/>
      <c r="R17710"/>
      <c r="S17710"/>
      <c r="T17710"/>
      <c r="U17710"/>
      <c r="X17710" s="60"/>
    </row>
    <row r="17711" spans="7:24" ht="15" customHeight="1">
      <c r="G17711"/>
      <c r="I17711"/>
      <c r="N17711"/>
      <c r="O17711" s="24"/>
      <c r="P17711"/>
      <c r="Q17711" s="24"/>
      <c r="R17711"/>
      <c r="S17711"/>
      <c r="T17711"/>
      <c r="U17711"/>
      <c r="X17711" s="60"/>
    </row>
    <row r="17712" spans="7:24" ht="15" customHeight="1">
      <c r="G17712"/>
      <c r="I17712"/>
      <c r="N17712"/>
      <c r="O17712" s="24"/>
      <c r="P17712"/>
      <c r="Q17712" s="24"/>
      <c r="R17712"/>
      <c r="S17712"/>
      <c r="T17712"/>
      <c r="U17712"/>
      <c r="X17712" s="60"/>
    </row>
    <row r="17713" spans="7:24" ht="15" customHeight="1">
      <c r="G17713"/>
      <c r="I17713"/>
      <c r="N17713"/>
      <c r="O17713" s="24"/>
      <c r="P17713"/>
      <c r="Q17713" s="24"/>
      <c r="R17713"/>
      <c r="S17713"/>
      <c r="T17713"/>
      <c r="U17713"/>
      <c r="X17713" s="60"/>
    </row>
    <row r="17714" spans="7:24" ht="15" customHeight="1">
      <c r="G17714"/>
      <c r="I17714"/>
      <c r="N17714"/>
      <c r="O17714" s="24"/>
      <c r="P17714"/>
      <c r="Q17714" s="24"/>
      <c r="R17714"/>
      <c r="S17714"/>
      <c r="T17714"/>
      <c r="U17714"/>
      <c r="X17714" s="60"/>
    </row>
    <row r="17715" spans="7:24" ht="15" customHeight="1">
      <c r="G17715"/>
      <c r="I17715"/>
      <c r="N17715"/>
      <c r="O17715" s="24"/>
      <c r="P17715"/>
      <c r="Q17715" s="24"/>
      <c r="R17715"/>
      <c r="S17715"/>
      <c r="T17715"/>
      <c r="U17715"/>
      <c r="X17715" s="60"/>
    </row>
    <row r="17716" spans="7:24" ht="15" customHeight="1">
      <c r="G17716"/>
      <c r="I17716"/>
      <c r="N17716"/>
      <c r="O17716" s="24"/>
      <c r="P17716"/>
      <c r="Q17716" s="24"/>
      <c r="R17716"/>
      <c r="S17716"/>
      <c r="T17716"/>
      <c r="U17716"/>
      <c r="X17716" s="60"/>
    </row>
    <row r="17717" spans="7:24" ht="15" customHeight="1">
      <c r="G17717"/>
      <c r="I17717"/>
      <c r="N17717"/>
      <c r="O17717" s="24"/>
      <c r="P17717"/>
      <c r="Q17717" s="24"/>
      <c r="R17717"/>
      <c r="S17717"/>
      <c r="T17717"/>
      <c r="U17717"/>
      <c r="X17717" s="60"/>
    </row>
    <row r="17718" spans="7:24" ht="15" customHeight="1">
      <c r="G17718"/>
      <c r="I17718"/>
      <c r="N17718"/>
      <c r="O17718" s="24"/>
      <c r="P17718"/>
      <c r="Q17718" s="24"/>
      <c r="R17718"/>
      <c r="S17718"/>
      <c r="T17718"/>
      <c r="U17718"/>
      <c r="X17718" s="60"/>
    </row>
    <row r="17719" spans="7:24" ht="15" customHeight="1">
      <c r="G17719"/>
      <c r="I17719"/>
      <c r="N17719"/>
      <c r="O17719" s="24"/>
      <c r="P17719"/>
      <c r="Q17719" s="24"/>
      <c r="R17719"/>
      <c r="S17719"/>
      <c r="T17719"/>
      <c r="U17719"/>
      <c r="X17719" s="60"/>
    </row>
    <row r="17720" spans="7:24" ht="15" customHeight="1">
      <c r="G17720"/>
      <c r="I17720"/>
      <c r="N17720"/>
      <c r="O17720" s="24"/>
      <c r="P17720"/>
      <c r="Q17720" s="24"/>
      <c r="R17720"/>
      <c r="S17720"/>
      <c r="T17720"/>
      <c r="U17720"/>
      <c r="X17720" s="60"/>
    </row>
    <row r="17721" spans="7:24" ht="15" customHeight="1">
      <c r="G17721"/>
      <c r="I17721"/>
      <c r="N17721"/>
      <c r="O17721" s="24"/>
      <c r="P17721"/>
      <c r="Q17721" s="24"/>
      <c r="R17721"/>
      <c r="S17721"/>
      <c r="T17721"/>
      <c r="U17721"/>
      <c r="X17721" s="60"/>
    </row>
    <row r="17722" spans="7:24" ht="15" customHeight="1">
      <c r="G17722"/>
      <c r="I17722"/>
      <c r="N17722"/>
      <c r="O17722" s="24"/>
      <c r="P17722"/>
      <c r="Q17722" s="24"/>
      <c r="R17722"/>
      <c r="S17722"/>
      <c r="T17722"/>
      <c r="U17722"/>
      <c r="X17722" s="60"/>
    </row>
    <row r="17723" spans="7:24" ht="15" customHeight="1">
      <c r="G17723"/>
      <c r="I17723"/>
      <c r="N17723"/>
      <c r="O17723" s="24"/>
      <c r="P17723"/>
      <c r="Q17723" s="24"/>
      <c r="R17723"/>
      <c r="S17723"/>
      <c r="T17723"/>
      <c r="U17723"/>
      <c r="X17723" s="60"/>
    </row>
    <row r="17724" spans="7:24" ht="15" customHeight="1">
      <c r="G17724"/>
      <c r="I17724"/>
      <c r="N17724"/>
      <c r="O17724" s="24"/>
      <c r="P17724"/>
      <c r="Q17724" s="24"/>
      <c r="R17724"/>
      <c r="S17724"/>
      <c r="T17724"/>
      <c r="U17724"/>
      <c r="X17724" s="60"/>
    </row>
    <row r="17725" spans="7:24" ht="15" customHeight="1">
      <c r="G17725"/>
      <c r="I17725"/>
      <c r="N17725"/>
      <c r="O17725" s="24"/>
      <c r="P17725"/>
      <c r="Q17725" s="24"/>
      <c r="R17725"/>
      <c r="S17725"/>
      <c r="T17725"/>
      <c r="U17725"/>
      <c r="X17725" s="60"/>
    </row>
    <row r="17726" spans="7:24" ht="15" customHeight="1">
      <c r="G17726"/>
      <c r="I17726"/>
      <c r="N17726"/>
      <c r="O17726" s="24"/>
      <c r="P17726"/>
      <c r="Q17726" s="24"/>
      <c r="R17726"/>
      <c r="S17726"/>
      <c r="T17726"/>
      <c r="U17726"/>
      <c r="X17726" s="60"/>
    </row>
    <row r="17727" spans="7:24" ht="15" customHeight="1">
      <c r="G17727"/>
      <c r="I17727"/>
      <c r="N17727"/>
      <c r="O17727" s="24"/>
      <c r="P17727"/>
      <c r="Q17727" s="24"/>
      <c r="R17727"/>
      <c r="S17727"/>
      <c r="T17727"/>
      <c r="U17727"/>
      <c r="X17727" s="60"/>
    </row>
    <row r="17728" spans="7:24" ht="15" customHeight="1">
      <c r="G17728"/>
      <c r="I17728"/>
      <c r="N17728"/>
      <c r="O17728" s="24"/>
      <c r="P17728"/>
      <c r="Q17728" s="24"/>
      <c r="R17728"/>
      <c r="S17728"/>
      <c r="T17728"/>
      <c r="U17728"/>
      <c r="X17728" s="60"/>
    </row>
    <row r="17729" spans="7:24" ht="15" customHeight="1">
      <c r="G17729"/>
      <c r="I17729"/>
      <c r="N17729"/>
      <c r="O17729" s="24"/>
      <c r="P17729"/>
      <c r="Q17729" s="24"/>
      <c r="R17729"/>
      <c r="S17729"/>
      <c r="T17729"/>
      <c r="U17729"/>
      <c r="X17729" s="60"/>
    </row>
    <row r="17730" spans="7:24" ht="15" customHeight="1">
      <c r="G17730"/>
      <c r="I17730"/>
      <c r="N17730"/>
      <c r="O17730" s="24"/>
      <c r="P17730"/>
      <c r="Q17730" s="24"/>
      <c r="R17730"/>
      <c r="S17730"/>
      <c r="T17730"/>
      <c r="U17730"/>
      <c r="X17730" s="60"/>
    </row>
    <row r="17731" spans="7:24" ht="15" customHeight="1">
      <c r="G17731"/>
      <c r="I17731"/>
      <c r="N17731"/>
      <c r="O17731" s="24"/>
      <c r="P17731"/>
      <c r="Q17731" s="24"/>
      <c r="R17731"/>
      <c r="S17731"/>
      <c r="T17731"/>
      <c r="U17731"/>
      <c r="X17731" s="60"/>
    </row>
    <row r="17732" spans="7:24" ht="15" customHeight="1">
      <c r="G17732"/>
      <c r="I17732"/>
      <c r="N17732"/>
      <c r="O17732" s="24"/>
      <c r="P17732"/>
      <c r="Q17732" s="24"/>
      <c r="R17732"/>
      <c r="S17732"/>
      <c r="T17732"/>
      <c r="U17732"/>
      <c r="X17732" s="60"/>
    </row>
    <row r="17733" spans="7:24" ht="15" customHeight="1">
      <c r="G17733"/>
      <c r="I17733"/>
      <c r="N17733"/>
      <c r="O17733" s="24"/>
      <c r="P17733"/>
      <c r="Q17733" s="24"/>
      <c r="R17733"/>
      <c r="S17733"/>
      <c r="T17733"/>
      <c r="U17733"/>
      <c r="X17733" s="60"/>
    </row>
    <row r="17734" spans="7:24" ht="15" customHeight="1">
      <c r="G17734"/>
      <c r="I17734"/>
      <c r="N17734"/>
      <c r="O17734" s="24"/>
      <c r="P17734"/>
      <c r="Q17734" s="24"/>
      <c r="R17734"/>
      <c r="S17734"/>
      <c r="T17734"/>
      <c r="U17734"/>
      <c r="X17734" s="60"/>
    </row>
    <row r="17735" spans="7:24" ht="15" customHeight="1">
      <c r="G17735"/>
      <c r="I17735"/>
      <c r="N17735"/>
      <c r="O17735" s="24"/>
      <c r="P17735"/>
      <c r="Q17735" s="24"/>
      <c r="R17735"/>
      <c r="S17735"/>
      <c r="T17735"/>
      <c r="U17735"/>
      <c r="X17735" s="60"/>
    </row>
    <row r="17736" spans="7:24" ht="15" customHeight="1">
      <c r="G17736"/>
      <c r="I17736"/>
      <c r="N17736"/>
      <c r="O17736" s="24"/>
      <c r="P17736"/>
      <c r="Q17736" s="24"/>
      <c r="R17736"/>
      <c r="S17736"/>
      <c r="T17736"/>
      <c r="U17736"/>
      <c r="X17736" s="60"/>
    </row>
    <row r="17737" spans="7:24" ht="15" customHeight="1">
      <c r="G17737"/>
      <c r="I17737"/>
      <c r="N17737"/>
      <c r="O17737" s="24"/>
      <c r="P17737"/>
      <c r="Q17737" s="24"/>
      <c r="R17737"/>
      <c r="S17737"/>
      <c r="T17737"/>
      <c r="U17737"/>
      <c r="X17737" s="60"/>
    </row>
    <row r="17738" spans="7:24" ht="15" customHeight="1">
      <c r="G17738"/>
      <c r="I17738"/>
      <c r="N17738"/>
      <c r="O17738" s="24"/>
      <c r="P17738"/>
      <c r="Q17738" s="24"/>
      <c r="R17738"/>
      <c r="S17738"/>
      <c r="T17738"/>
      <c r="U17738"/>
      <c r="X17738" s="60"/>
    </row>
    <row r="17739" spans="7:24" ht="15" customHeight="1">
      <c r="G17739"/>
      <c r="I17739"/>
      <c r="N17739"/>
      <c r="O17739" s="24"/>
      <c r="P17739"/>
      <c r="Q17739" s="24"/>
      <c r="R17739"/>
      <c r="S17739"/>
      <c r="T17739"/>
      <c r="U17739"/>
      <c r="X17739" s="60"/>
    </row>
    <row r="17740" spans="7:24" ht="15" customHeight="1">
      <c r="G17740"/>
      <c r="I17740"/>
      <c r="N17740"/>
      <c r="O17740" s="24"/>
      <c r="P17740"/>
      <c r="Q17740" s="24"/>
      <c r="R17740"/>
      <c r="S17740"/>
      <c r="T17740"/>
      <c r="U17740"/>
      <c r="X17740" s="60"/>
    </row>
    <row r="17741" spans="7:24" ht="15" customHeight="1">
      <c r="G17741"/>
      <c r="I17741"/>
      <c r="N17741"/>
      <c r="O17741" s="24"/>
      <c r="P17741"/>
      <c r="Q17741" s="24"/>
      <c r="R17741"/>
      <c r="S17741"/>
      <c r="T17741"/>
      <c r="U17741"/>
      <c r="X17741" s="60"/>
    </row>
    <row r="17742" spans="7:24" ht="15" customHeight="1">
      <c r="G17742"/>
      <c r="I17742"/>
      <c r="N17742"/>
      <c r="O17742" s="24"/>
      <c r="P17742"/>
      <c r="Q17742" s="24"/>
      <c r="R17742"/>
      <c r="S17742"/>
      <c r="T17742"/>
      <c r="U17742"/>
      <c r="X17742" s="60"/>
    </row>
    <row r="17743" spans="7:24" ht="15" customHeight="1">
      <c r="G17743"/>
      <c r="I17743"/>
      <c r="N17743"/>
      <c r="O17743" s="24"/>
      <c r="P17743"/>
      <c r="Q17743" s="24"/>
      <c r="R17743"/>
      <c r="S17743"/>
      <c r="T17743"/>
      <c r="U17743"/>
      <c r="X17743" s="60"/>
    </row>
    <row r="17744" spans="7:24" ht="15" customHeight="1">
      <c r="G17744"/>
      <c r="I17744"/>
      <c r="N17744"/>
      <c r="O17744" s="24"/>
      <c r="P17744"/>
      <c r="Q17744" s="24"/>
      <c r="R17744"/>
      <c r="S17744"/>
      <c r="T17744"/>
      <c r="U17744"/>
      <c r="X17744" s="60"/>
    </row>
    <row r="17745" spans="7:24" ht="15" customHeight="1">
      <c r="G17745"/>
      <c r="I17745"/>
      <c r="N17745"/>
      <c r="O17745" s="24"/>
      <c r="P17745"/>
      <c r="Q17745" s="24"/>
      <c r="R17745"/>
      <c r="S17745"/>
      <c r="T17745"/>
      <c r="U17745"/>
      <c r="X17745" s="60"/>
    </row>
    <row r="17746" spans="7:24" ht="15" customHeight="1">
      <c r="G17746"/>
      <c r="I17746"/>
      <c r="N17746"/>
      <c r="O17746" s="24"/>
      <c r="P17746"/>
      <c r="Q17746" s="24"/>
      <c r="R17746"/>
      <c r="S17746"/>
      <c r="T17746"/>
      <c r="U17746"/>
      <c r="X17746" s="60"/>
    </row>
    <row r="17747" spans="7:24" ht="15" customHeight="1">
      <c r="G17747"/>
      <c r="I17747"/>
      <c r="N17747"/>
      <c r="O17747" s="24"/>
      <c r="P17747"/>
      <c r="Q17747" s="24"/>
      <c r="R17747"/>
      <c r="S17747"/>
      <c r="T17747"/>
      <c r="U17747"/>
      <c r="X17747" s="60"/>
    </row>
    <row r="17748" spans="7:24" ht="15" customHeight="1">
      <c r="G17748"/>
      <c r="I17748"/>
      <c r="N17748"/>
      <c r="O17748" s="24"/>
      <c r="P17748"/>
      <c r="Q17748" s="24"/>
      <c r="R17748"/>
      <c r="S17748"/>
      <c r="T17748"/>
      <c r="U17748"/>
      <c r="X17748" s="60"/>
    </row>
    <row r="17749" spans="7:24" ht="15" customHeight="1">
      <c r="G17749"/>
      <c r="I17749"/>
      <c r="N17749"/>
      <c r="O17749" s="24"/>
      <c r="P17749"/>
      <c r="Q17749" s="24"/>
      <c r="R17749"/>
      <c r="S17749"/>
      <c r="T17749"/>
      <c r="U17749"/>
      <c r="X17749" s="60"/>
    </row>
    <row r="17750" spans="7:24" ht="15" customHeight="1">
      <c r="G17750"/>
      <c r="I17750"/>
      <c r="N17750"/>
      <c r="O17750" s="24"/>
      <c r="P17750"/>
      <c r="Q17750" s="24"/>
      <c r="R17750"/>
      <c r="S17750"/>
      <c r="T17750"/>
      <c r="U17750"/>
      <c r="X17750" s="60"/>
    </row>
    <row r="17751" spans="7:24" ht="15" customHeight="1">
      <c r="G17751"/>
      <c r="I17751"/>
      <c r="N17751"/>
      <c r="O17751" s="24"/>
      <c r="P17751"/>
      <c r="Q17751" s="24"/>
      <c r="R17751"/>
      <c r="S17751"/>
      <c r="T17751"/>
      <c r="U17751"/>
      <c r="X17751" s="60"/>
    </row>
    <row r="17752" spans="7:24" ht="15" customHeight="1">
      <c r="G17752"/>
      <c r="I17752"/>
      <c r="N17752"/>
      <c r="O17752" s="24"/>
      <c r="P17752"/>
      <c r="Q17752" s="24"/>
      <c r="R17752"/>
      <c r="S17752"/>
      <c r="T17752"/>
      <c r="U17752"/>
      <c r="X17752" s="60"/>
    </row>
    <row r="17753" spans="7:24" ht="15" customHeight="1">
      <c r="G17753"/>
      <c r="I17753"/>
      <c r="N17753"/>
      <c r="O17753" s="24"/>
      <c r="P17753"/>
      <c r="Q17753" s="24"/>
      <c r="R17753"/>
      <c r="S17753"/>
      <c r="T17753"/>
      <c r="U17753"/>
      <c r="X17753" s="60"/>
    </row>
    <row r="17754" spans="7:24" ht="15" customHeight="1">
      <c r="G17754"/>
      <c r="I17754"/>
      <c r="N17754"/>
      <c r="O17754" s="24"/>
      <c r="P17754"/>
      <c r="Q17754" s="24"/>
      <c r="R17754"/>
      <c r="S17754"/>
      <c r="T17754"/>
      <c r="U17754"/>
      <c r="X17754" s="60"/>
    </row>
    <row r="17755" spans="7:24" ht="15" customHeight="1">
      <c r="G17755"/>
      <c r="I17755"/>
      <c r="N17755"/>
      <c r="O17755" s="24"/>
      <c r="P17755"/>
      <c r="Q17755" s="24"/>
      <c r="R17755"/>
      <c r="S17755"/>
      <c r="T17755"/>
      <c r="U17755"/>
      <c r="X17755" s="60"/>
    </row>
    <row r="17756" spans="7:24" ht="15" customHeight="1">
      <c r="G17756"/>
      <c r="I17756"/>
      <c r="N17756"/>
      <c r="O17756" s="24"/>
      <c r="P17756"/>
      <c r="Q17756" s="24"/>
      <c r="R17756"/>
      <c r="S17756"/>
      <c r="T17756"/>
      <c r="U17756"/>
      <c r="X17756" s="60"/>
    </row>
    <row r="17757" spans="7:24" ht="15" customHeight="1">
      <c r="G17757"/>
      <c r="I17757"/>
      <c r="N17757"/>
      <c r="O17757" s="24"/>
      <c r="P17757"/>
      <c r="Q17757" s="24"/>
      <c r="R17757"/>
      <c r="S17757"/>
      <c r="T17757"/>
      <c r="U17757"/>
      <c r="X17757" s="60"/>
    </row>
    <row r="17758" spans="7:24" ht="15" customHeight="1">
      <c r="G17758"/>
      <c r="I17758"/>
      <c r="N17758"/>
      <c r="O17758" s="24"/>
      <c r="P17758"/>
      <c r="Q17758" s="24"/>
      <c r="R17758"/>
      <c r="S17758"/>
      <c r="T17758"/>
      <c r="U17758"/>
      <c r="X17758" s="60"/>
    </row>
    <row r="17759" spans="7:24" ht="15" customHeight="1">
      <c r="G17759"/>
      <c r="I17759"/>
      <c r="N17759"/>
      <c r="O17759" s="24"/>
      <c r="P17759"/>
      <c r="Q17759" s="24"/>
      <c r="R17759"/>
      <c r="S17759"/>
      <c r="T17759"/>
      <c r="U17759"/>
      <c r="X17759" s="60"/>
    </row>
    <row r="17760" spans="7:24" ht="15" customHeight="1">
      <c r="G17760"/>
      <c r="I17760"/>
      <c r="N17760"/>
      <c r="O17760" s="24"/>
      <c r="P17760"/>
      <c r="Q17760" s="24"/>
      <c r="R17760"/>
      <c r="S17760"/>
      <c r="T17760"/>
      <c r="U17760"/>
      <c r="X17760" s="60"/>
    </row>
    <row r="17761" spans="7:24" ht="15" customHeight="1">
      <c r="G17761"/>
      <c r="I17761"/>
      <c r="N17761"/>
      <c r="O17761" s="24"/>
      <c r="P17761"/>
      <c r="Q17761" s="24"/>
      <c r="R17761"/>
      <c r="S17761"/>
      <c r="T17761"/>
      <c r="U17761"/>
      <c r="X17761" s="60"/>
    </row>
    <row r="17762" spans="7:24" ht="15" customHeight="1">
      <c r="G17762"/>
      <c r="I17762"/>
      <c r="N17762"/>
      <c r="O17762" s="24"/>
      <c r="P17762"/>
      <c r="Q17762" s="24"/>
      <c r="R17762"/>
      <c r="S17762"/>
      <c r="T17762"/>
      <c r="U17762"/>
      <c r="X17762" s="60"/>
    </row>
    <row r="17763" spans="7:24" ht="15" customHeight="1">
      <c r="G17763"/>
      <c r="I17763"/>
      <c r="N17763"/>
      <c r="O17763" s="24"/>
      <c r="P17763"/>
      <c r="Q17763" s="24"/>
      <c r="R17763"/>
      <c r="S17763"/>
      <c r="T17763"/>
      <c r="U17763"/>
      <c r="X17763" s="60"/>
    </row>
    <row r="17764" spans="7:24" ht="15" customHeight="1">
      <c r="G17764"/>
      <c r="I17764"/>
      <c r="N17764"/>
      <c r="O17764" s="24"/>
      <c r="P17764"/>
      <c r="Q17764" s="24"/>
      <c r="R17764"/>
      <c r="S17764"/>
      <c r="T17764"/>
      <c r="U17764"/>
      <c r="X17764" s="60"/>
    </row>
    <row r="17765" spans="7:24" ht="15" customHeight="1">
      <c r="G17765"/>
      <c r="I17765"/>
      <c r="N17765"/>
      <c r="O17765" s="24"/>
      <c r="P17765"/>
      <c r="Q17765" s="24"/>
      <c r="R17765"/>
      <c r="S17765"/>
      <c r="T17765"/>
      <c r="U17765"/>
      <c r="X17765" s="60"/>
    </row>
    <row r="17766" spans="7:24" ht="15" customHeight="1">
      <c r="G17766"/>
      <c r="I17766"/>
      <c r="N17766"/>
      <c r="O17766" s="24"/>
      <c r="P17766"/>
      <c r="Q17766" s="24"/>
      <c r="R17766"/>
      <c r="S17766"/>
      <c r="T17766"/>
      <c r="U17766"/>
      <c r="X17766" s="60"/>
    </row>
    <row r="17767" spans="7:24" ht="15" customHeight="1">
      <c r="G17767"/>
      <c r="I17767"/>
      <c r="N17767"/>
      <c r="O17767" s="24"/>
      <c r="P17767"/>
      <c r="Q17767" s="24"/>
      <c r="R17767"/>
      <c r="S17767"/>
      <c r="T17767"/>
      <c r="U17767"/>
      <c r="X17767" s="60"/>
    </row>
    <row r="17768" spans="7:24" ht="15" customHeight="1">
      <c r="G17768"/>
      <c r="I17768"/>
      <c r="N17768"/>
      <c r="O17768" s="24"/>
      <c r="P17768"/>
      <c r="Q17768" s="24"/>
      <c r="R17768"/>
      <c r="S17768"/>
      <c r="T17768"/>
      <c r="U17768"/>
      <c r="X17768" s="60"/>
    </row>
    <row r="17769" spans="7:24" ht="15" customHeight="1">
      <c r="G17769"/>
      <c r="I17769"/>
      <c r="N17769"/>
      <c r="O17769" s="24"/>
      <c r="P17769"/>
      <c r="Q17769" s="24"/>
      <c r="R17769"/>
      <c r="S17769"/>
      <c r="T17769"/>
      <c r="U17769"/>
      <c r="X17769" s="60"/>
    </row>
    <row r="17770" spans="7:24" ht="15" customHeight="1">
      <c r="G17770"/>
      <c r="I17770"/>
      <c r="N17770"/>
      <c r="O17770" s="24"/>
      <c r="P17770"/>
      <c r="Q17770" s="24"/>
      <c r="R17770"/>
      <c r="S17770"/>
      <c r="T17770"/>
      <c r="U17770"/>
      <c r="X17770" s="60"/>
    </row>
    <row r="17771" spans="7:24" ht="15" customHeight="1">
      <c r="G17771"/>
      <c r="I17771"/>
      <c r="N17771"/>
      <c r="O17771" s="24"/>
      <c r="P17771"/>
      <c r="Q17771" s="24"/>
      <c r="R17771"/>
      <c r="S17771"/>
      <c r="T17771"/>
      <c r="U17771"/>
      <c r="X17771" s="60"/>
    </row>
    <row r="17772" spans="7:24" ht="15" customHeight="1">
      <c r="G17772"/>
      <c r="I17772"/>
      <c r="N17772"/>
      <c r="O17772" s="24"/>
      <c r="P17772"/>
      <c r="Q17772" s="24"/>
      <c r="R17772"/>
      <c r="S17772"/>
      <c r="T17772"/>
      <c r="U17772"/>
      <c r="X17772" s="60"/>
    </row>
    <row r="17773" spans="7:24" ht="15" customHeight="1">
      <c r="G17773"/>
      <c r="I17773"/>
      <c r="N17773"/>
      <c r="O17773" s="24"/>
      <c r="P17773"/>
      <c r="Q17773" s="24"/>
      <c r="R17773"/>
      <c r="S17773"/>
      <c r="T17773"/>
      <c r="U17773"/>
      <c r="X17773" s="60"/>
    </row>
    <row r="17774" spans="7:24" ht="15" customHeight="1">
      <c r="G17774"/>
      <c r="I17774"/>
      <c r="N17774"/>
      <c r="O17774" s="24"/>
      <c r="P17774"/>
      <c r="Q17774" s="24"/>
      <c r="R17774"/>
      <c r="S17774"/>
      <c r="T17774"/>
      <c r="U17774"/>
      <c r="X17774" s="60"/>
    </row>
    <row r="17775" spans="7:24" ht="15" customHeight="1">
      <c r="G17775"/>
      <c r="I17775"/>
      <c r="N17775"/>
      <c r="O17775" s="24"/>
      <c r="P17775"/>
      <c r="Q17775" s="24"/>
      <c r="R17775"/>
      <c r="S17775"/>
      <c r="T17775"/>
      <c r="U17775"/>
      <c r="X17775" s="60"/>
    </row>
    <row r="17776" spans="7:24" ht="15" customHeight="1">
      <c r="G17776"/>
      <c r="I17776"/>
      <c r="N17776"/>
      <c r="O17776" s="24"/>
      <c r="P17776"/>
      <c r="Q17776" s="24"/>
      <c r="R17776"/>
      <c r="S17776"/>
      <c r="T17776"/>
      <c r="U17776"/>
      <c r="X17776" s="60"/>
    </row>
    <row r="17777" spans="7:24" ht="15" customHeight="1">
      <c r="G17777"/>
      <c r="I17777"/>
      <c r="N17777"/>
      <c r="O17777" s="24"/>
      <c r="P17777"/>
      <c r="Q17777" s="24"/>
      <c r="R17777"/>
      <c r="S17777"/>
      <c r="T17777"/>
      <c r="U17777"/>
      <c r="X17777" s="60"/>
    </row>
    <row r="17778" spans="7:24" ht="15" customHeight="1">
      <c r="G17778"/>
      <c r="I17778"/>
      <c r="N17778"/>
      <c r="O17778" s="24"/>
      <c r="P17778"/>
      <c r="Q17778" s="24"/>
      <c r="R17778"/>
      <c r="S17778"/>
      <c r="T17778"/>
      <c r="U17778"/>
      <c r="X17778" s="60"/>
    </row>
    <row r="17779" spans="7:24" ht="15" customHeight="1">
      <c r="G17779"/>
      <c r="I17779"/>
      <c r="N17779"/>
      <c r="O17779" s="24"/>
      <c r="P17779"/>
      <c r="Q17779" s="24"/>
      <c r="R17779"/>
      <c r="S17779"/>
      <c r="T17779"/>
      <c r="U17779"/>
      <c r="X17779" s="60"/>
    </row>
    <row r="17780" spans="7:24" ht="15" customHeight="1">
      <c r="G17780"/>
      <c r="I17780"/>
      <c r="N17780"/>
      <c r="O17780" s="24"/>
      <c r="P17780"/>
      <c r="Q17780" s="24"/>
      <c r="R17780"/>
      <c r="S17780"/>
      <c r="T17780"/>
      <c r="U17780"/>
      <c r="X17780" s="60"/>
    </row>
    <row r="17781" spans="7:24" ht="15" customHeight="1">
      <c r="G17781"/>
      <c r="I17781"/>
      <c r="N17781"/>
      <c r="O17781" s="24"/>
      <c r="P17781"/>
      <c r="Q17781" s="24"/>
      <c r="R17781"/>
      <c r="S17781"/>
      <c r="T17781"/>
      <c r="U17781"/>
      <c r="X17781" s="60"/>
    </row>
    <row r="17782" spans="7:24" ht="15" customHeight="1">
      <c r="G17782"/>
      <c r="I17782"/>
      <c r="N17782"/>
      <c r="O17782" s="24"/>
      <c r="P17782"/>
      <c r="Q17782" s="24"/>
      <c r="R17782"/>
      <c r="S17782"/>
      <c r="T17782"/>
      <c r="U17782"/>
      <c r="X17782" s="60"/>
    </row>
    <row r="17783" spans="7:24" ht="15" customHeight="1">
      <c r="G17783"/>
      <c r="I17783"/>
      <c r="N17783"/>
      <c r="O17783" s="24"/>
      <c r="P17783"/>
      <c r="Q17783" s="24"/>
      <c r="R17783"/>
      <c r="S17783"/>
      <c r="T17783"/>
      <c r="U17783"/>
      <c r="X17783" s="60"/>
    </row>
    <row r="17784" spans="7:24" ht="15" customHeight="1">
      <c r="G17784"/>
      <c r="I17784"/>
      <c r="N17784"/>
      <c r="O17784" s="24"/>
      <c r="P17784"/>
      <c r="Q17784" s="24"/>
      <c r="R17784"/>
      <c r="S17784"/>
      <c r="T17784"/>
      <c r="U17784"/>
      <c r="X17784" s="60"/>
    </row>
    <row r="17785" spans="7:24" ht="15" customHeight="1">
      <c r="G17785"/>
      <c r="I17785"/>
      <c r="N17785"/>
      <c r="O17785" s="24"/>
      <c r="P17785"/>
      <c r="Q17785" s="24"/>
      <c r="R17785"/>
      <c r="S17785"/>
      <c r="T17785"/>
      <c r="U17785"/>
      <c r="X17785" s="60"/>
    </row>
    <row r="17786" spans="7:24" ht="15" customHeight="1">
      <c r="G17786"/>
      <c r="I17786"/>
      <c r="N17786"/>
      <c r="O17786" s="24"/>
      <c r="P17786"/>
      <c r="Q17786" s="24"/>
      <c r="R17786"/>
      <c r="S17786"/>
      <c r="T17786"/>
      <c r="U17786"/>
      <c r="X17786" s="60"/>
    </row>
    <row r="17787" spans="7:24" ht="15" customHeight="1">
      <c r="G17787"/>
      <c r="I17787"/>
      <c r="N17787"/>
      <c r="O17787" s="24"/>
      <c r="P17787"/>
      <c r="Q17787" s="24"/>
      <c r="R17787"/>
      <c r="S17787"/>
      <c r="T17787"/>
      <c r="U17787"/>
      <c r="X17787" s="60"/>
    </row>
    <row r="17788" spans="7:24" ht="15" customHeight="1">
      <c r="G17788"/>
      <c r="I17788"/>
      <c r="N17788"/>
      <c r="O17788" s="24"/>
      <c r="P17788"/>
      <c r="Q17788" s="24"/>
      <c r="R17788"/>
      <c r="S17788"/>
      <c r="T17788"/>
      <c r="U17788"/>
      <c r="X17788" s="60"/>
    </row>
    <row r="17789" spans="7:24" ht="15" customHeight="1">
      <c r="G17789"/>
      <c r="I17789"/>
      <c r="N17789"/>
      <c r="O17789" s="24"/>
      <c r="P17789"/>
      <c r="Q17789" s="24"/>
      <c r="R17789"/>
      <c r="S17789"/>
      <c r="T17789"/>
      <c r="U17789"/>
      <c r="X17789" s="60"/>
    </row>
    <row r="17790" spans="7:24" ht="15" customHeight="1">
      <c r="G17790"/>
      <c r="I17790"/>
      <c r="N17790"/>
      <c r="O17790" s="24"/>
      <c r="P17790"/>
      <c r="Q17790" s="24"/>
      <c r="R17790"/>
      <c r="S17790"/>
      <c r="T17790"/>
      <c r="U17790"/>
      <c r="X17790" s="60"/>
    </row>
    <row r="17791" spans="7:24" ht="15" customHeight="1">
      <c r="G17791"/>
      <c r="I17791"/>
      <c r="N17791"/>
      <c r="O17791" s="24"/>
      <c r="P17791"/>
      <c r="Q17791" s="24"/>
      <c r="R17791"/>
      <c r="S17791"/>
      <c r="T17791"/>
      <c r="U17791"/>
      <c r="X17791" s="60"/>
    </row>
    <row r="17792" spans="7:24" ht="15" customHeight="1">
      <c r="G17792"/>
      <c r="I17792"/>
      <c r="N17792"/>
      <c r="O17792" s="24"/>
      <c r="P17792"/>
      <c r="Q17792" s="24"/>
      <c r="R17792"/>
      <c r="S17792"/>
      <c r="T17792"/>
      <c r="U17792"/>
      <c r="X17792" s="60"/>
    </row>
    <row r="17793" spans="7:24" ht="15" customHeight="1">
      <c r="G17793"/>
      <c r="I17793"/>
      <c r="N17793"/>
      <c r="O17793" s="24"/>
      <c r="P17793"/>
      <c r="Q17793" s="24"/>
      <c r="R17793"/>
      <c r="S17793"/>
      <c r="T17793"/>
      <c r="U17793"/>
      <c r="X17793" s="60"/>
    </row>
    <row r="17794" spans="7:24" ht="15" customHeight="1">
      <c r="G17794"/>
      <c r="I17794"/>
      <c r="N17794"/>
      <c r="O17794" s="24"/>
      <c r="P17794"/>
      <c r="Q17794" s="24"/>
      <c r="R17794"/>
      <c r="S17794"/>
      <c r="T17794"/>
      <c r="U17794"/>
      <c r="X17794" s="60"/>
    </row>
    <row r="17795" spans="7:24" ht="15" customHeight="1">
      <c r="G17795"/>
      <c r="I17795"/>
      <c r="N17795"/>
      <c r="O17795" s="24"/>
      <c r="P17795"/>
      <c r="Q17795" s="24"/>
      <c r="R17795"/>
      <c r="S17795"/>
      <c r="T17795"/>
      <c r="U17795"/>
      <c r="X17795" s="60"/>
    </row>
    <row r="17796" spans="7:24" ht="15" customHeight="1">
      <c r="G17796"/>
      <c r="I17796"/>
      <c r="N17796"/>
      <c r="O17796" s="24"/>
      <c r="P17796"/>
      <c r="Q17796" s="24"/>
      <c r="R17796"/>
      <c r="S17796"/>
      <c r="T17796"/>
      <c r="U17796"/>
      <c r="X17796" s="60"/>
    </row>
    <row r="17797" spans="7:24" ht="15" customHeight="1">
      <c r="G17797"/>
      <c r="I17797"/>
      <c r="N17797"/>
      <c r="O17797" s="24"/>
      <c r="P17797"/>
      <c r="Q17797" s="24"/>
      <c r="R17797"/>
      <c r="S17797"/>
      <c r="T17797"/>
      <c r="U17797"/>
      <c r="X17797" s="60"/>
    </row>
    <row r="17798" spans="7:24" ht="15" customHeight="1">
      <c r="G17798"/>
      <c r="I17798"/>
      <c r="N17798"/>
      <c r="O17798" s="24"/>
      <c r="P17798"/>
      <c r="Q17798" s="24"/>
      <c r="R17798"/>
      <c r="S17798"/>
      <c r="T17798"/>
      <c r="U17798"/>
      <c r="X17798" s="60"/>
    </row>
    <row r="17799" spans="7:24" ht="15" customHeight="1">
      <c r="G17799"/>
      <c r="I17799"/>
      <c r="N17799"/>
      <c r="O17799" s="24"/>
      <c r="P17799"/>
      <c r="Q17799" s="24"/>
      <c r="R17799"/>
      <c r="S17799"/>
      <c r="T17799"/>
      <c r="U17799"/>
      <c r="X17799" s="60"/>
    </row>
    <row r="17800" spans="7:24" ht="15" customHeight="1">
      <c r="G17800"/>
      <c r="I17800"/>
      <c r="N17800"/>
      <c r="O17800" s="24"/>
      <c r="P17800"/>
      <c r="Q17800" s="24"/>
      <c r="R17800"/>
      <c r="S17800"/>
      <c r="T17800"/>
      <c r="U17800"/>
      <c r="X17800" s="60"/>
    </row>
    <row r="17801" spans="7:24" ht="15" customHeight="1">
      <c r="G17801"/>
      <c r="I17801"/>
      <c r="N17801"/>
      <c r="O17801" s="24"/>
      <c r="P17801"/>
      <c r="Q17801" s="24"/>
      <c r="R17801"/>
      <c r="S17801"/>
      <c r="T17801"/>
      <c r="U17801"/>
      <c r="X17801" s="60"/>
    </row>
    <row r="17802" spans="7:24" ht="15" customHeight="1">
      <c r="G17802"/>
      <c r="I17802"/>
      <c r="N17802"/>
      <c r="O17802" s="24"/>
      <c r="P17802"/>
      <c r="Q17802" s="24"/>
      <c r="R17802"/>
      <c r="S17802"/>
      <c r="T17802"/>
      <c r="U17802"/>
      <c r="X17802" s="60"/>
    </row>
    <row r="17803" spans="7:24" ht="15" customHeight="1">
      <c r="G17803"/>
      <c r="I17803"/>
      <c r="N17803"/>
      <c r="O17803" s="24"/>
      <c r="P17803"/>
      <c r="Q17803" s="24"/>
      <c r="R17803"/>
      <c r="S17803"/>
      <c r="T17803"/>
      <c r="U17803"/>
      <c r="X17803" s="60"/>
    </row>
    <row r="17804" spans="7:24" ht="15" customHeight="1">
      <c r="G17804"/>
      <c r="I17804"/>
      <c r="N17804"/>
      <c r="O17804" s="24"/>
      <c r="P17804"/>
      <c r="Q17804" s="24"/>
      <c r="R17804"/>
      <c r="S17804"/>
      <c r="T17804"/>
      <c r="U17804"/>
      <c r="X17804" s="60"/>
    </row>
    <row r="17805" spans="7:24" ht="15" customHeight="1">
      <c r="G17805"/>
      <c r="I17805"/>
      <c r="N17805"/>
      <c r="O17805" s="24"/>
      <c r="P17805"/>
      <c r="Q17805" s="24"/>
      <c r="R17805"/>
      <c r="S17805"/>
      <c r="T17805"/>
      <c r="U17805"/>
      <c r="X17805" s="60"/>
    </row>
    <row r="17806" spans="7:24" ht="15" customHeight="1">
      <c r="G17806"/>
      <c r="I17806"/>
      <c r="N17806"/>
      <c r="O17806" s="24"/>
      <c r="P17806"/>
      <c r="Q17806" s="24"/>
      <c r="R17806"/>
      <c r="S17806"/>
      <c r="T17806"/>
      <c r="U17806"/>
      <c r="X17806" s="60"/>
    </row>
    <row r="17807" spans="7:24" ht="15" customHeight="1">
      <c r="G17807"/>
      <c r="I17807"/>
      <c r="N17807"/>
      <c r="O17807" s="24"/>
      <c r="P17807"/>
      <c r="Q17807" s="24"/>
      <c r="R17807"/>
      <c r="S17807"/>
      <c r="T17807"/>
      <c r="U17807"/>
      <c r="X17807" s="60"/>
    </row>
    <row r="17808" spans="7:24" ht="15" customHeight="1">
      <c r="G17808"/>
      <c r="I17808"/>
      <c r="N17808"/>
      <c r="O17808" s="24"/>
      <c r="P17808"/>
      <c r="Q17808" s="24"/>
      <c r="R17808"/>
      <c r="S17808"/>
      <c r="T17808"/>
      <c r="U17808"/>
      <c r="X17808" s="60"/>
    </row>
    <row r="17809" spans="7:24" ht="15" customHeight="1">
      <c r="G17809"/>
      <c r="I17809"/>
      <c r="N17809"/>
      <c r="O17809" s="24"/>
      <c r="P17809"/>
      <c r="Q17809" s="24"/>
      <c r="R17809"/>
      <c r="S17809"/>
      <c r="T17809"/>
      <c r="U17809"/>
      <c r="X17809" s="60"/>
    </row>
    <row r="17810" spans="7:24" ht="15" customHeight="1">
      <c r="G17810"/>
      <c r="I17810"/>
      <c r="N17810"/>
      <c r="O17810" s="24"/>
      <c r="P17810"/>
      <c r="Q17810" s="24"/>
      <c r="R17810"/>
      <c r="S17810"/>
      <c r="T17810"/>
      <c r="U17810"/>
      <c r="X17810" s="60"/>
    </row>
    <row r="17811" spans="7:24" ht="15" customHeight="1">
      <c r="G17811"/>
      <c r="I17811"/>
      <c r="N17811"/>
      <c r="O17811" s="24"/>
      <c r="P17811"/>
      <c r="Q17811" s="24"/>
      <c r="R17811"/>
      <c r="S17811"/>
      <c r="T17811"/>
      <c r="U17811"/>
      <c r="X17811" s="60"/>
    </row>
    <row r="17812" spans="7:24" ht="15" customHeight="1">
      <c r="G17812"/>
      <c r="I17812"/>
      <c r="N17812"/>
      <c r="O17812" s="24"/>
      <c r="P17812"/>
      <c r="Q17812" s="24"/>
      <c r="R17812"/>
      <c r="S17812"/>
      <c r="T17812"/>
      <c r="U17812"/>
      <c r="X17812" s="60"/>
    </row>
    <row r="17813" spans="7:24" ht="15" customHeight="1">
      <c r="G17813"/>
      <c r="I17813"/>
      <c r="N17813"/>
      <c r="O17813" s="24"/>
      <c r="P17813"/>
      <c r="Q17813" s="24"/>
      <c r="R17813"/>
      <c r="S17813"/>
      <c r="T17813"/>
      <c r="U17813"/>
      <c r="X17813" s="60"/>
    </row>
    <row r="17814" spans="7:24" ht="15" customHeight="1">
      <c r="G17814"/>
      <c r="I17814"/>
      <c r="N17814"/>
      <c r="O17814" s="24"/>
      <c r="P17814"/>
      <c r="Q17814" s="24"/>
      <c r="R17814"/>
      <c r="S17814"/>
      <c r="T17814"/>
      <c r="U17814"/>
      <c r="X17814" s="60"/>
    </row>
    <row r="17815" spans="7:24" ht="15" customHeight="1">
      <c r="G17815"/>
      <c r="I17815"/>
      <c r="N17815"/>
      <c r="O17815" s="24"/>
      <c r="P17815"/>
      <c r="Q17815" s="24"/>
      <c r="R17815"/>
      <c r="S17815"/>
      <c r="T17815"/>
      <c r="U17815"/>
      <c r="X17815" s="60"/>
    </row>
    <row r="17816" spans="7:24" ht="15" customHeight="1">
      <c r="G17816"/>
      <c r="I17816"/>
      <c r="N17816"/>
      <c r="O17816" s="24"/>
      <c r="P17816"/>
      <c r="Q17816" s="24"/>
      <c r="R17816"/>
      <c r="S17816"/>
      <c r="T17816"/>
      <c r="U17816"/>
      <c r="X17816" s="60"/>
    </row>
    <row r="17817" spans="7:24" ht="15" customHeight="1">
      <c r="G17817"/>
      <c r="I17817"/>
      <c r="N17817"/>
      <c r="O17817" s="24"/>
      <c r="P17817"/>
      <c r="Q17817" s="24"/>
      <c r="R17817"/>
      <c r="S17817"/>
      <c r="T17817"/>
      <c r="U17817"/>
      <c r="X17817" s="60"/>
    </row>
    <row r="17818" spans="7:24" ht="15" customHeight="1">
      <c r="G17818"/>
      <c r="I17818"/>
      <c r="N17818"/>
      <c r="O17818" s="24"/>
      <c r="P17818"/>
      <c r="Q17818" s="24"/>
      <c r="R17818"/>
      <c r="S17818"/>
      <c r="T17818"/>
      <c r="U17818"/>
      <c r="X17818" s="60"/>
    </row>
    <row r="17819" spans="7:24" ht="15" customHeight="1">
      <c r="G17819"/>
      <c r="I17819"/>
      <c r="N17819"/>
      <c r="O17819" s="24"/>
      <c r="P17819"/>
      <c r="Q17819" s="24"/>
      <c r="R17819"/>
      <c r="S17819"/>
      <c r="T17819"/>
      <c r="U17819"/>
      <c r="X17819" s="60"/>
    </row>
    <row r="17820" spans="7:24" ht="15" customHeight="1">
      <c r="G17820"/>
      <c r="I17820"/>
      <c r="N17820"/>
      <c r="O17820" s="24"/>
      <c r="P17820"/>
      <c r="Q17820" s="24"/>
      <c r="R17820"/>
      <c r="S17820"/>
      <c r="T17820"/>
      <c r="U17820"/>
      <c r="X17820" s="60"/>
    </row>
    <row r="17821" spans="7:24" ht="15" customHeight="1">
      <c r="G17821"/>
      <c r="I17821"/>
      <c r="N17821"/>
      <c r="O17821" s="24"/>
      <c r="P17821"/>
      <c r="Q17821" s="24"/>
      <c r="R17821"/>
      <c r="S17821"/>
      <c r="T17821"/>
      <c r="U17821"/>
      <c r="X17821" s="60"/>
    </row>
    <row r="17822" spans="7:24" ht="15" customHeight="1">
      <c r="G17822"/>
      <c r="I17822"/>
      <c r="N17822"/>
      <c r="O17822" s="24"/>
      <c r="P17822"/>
      <c r="Q17822" s="24"/>
      <c r="R17822"/>
      <c r="S17822"/>
      <c r="T17822"/>
      <c r="U17822"/>
      <c r="X17822" s="60"/>
    </row>
    <row r="17823" spans="7:24" ht="15" customHeight="1">
      <c r="G17823"/>
      <c r="I17823"/>
      <c r="N17823"/>
      <c r="O17823" s="24"/>
      <c r="P17823"/>
      <c r="Q17823" s="24"/>
      <c r="R17823"/>
      <c r="S17823"/>
      <c r="T17823"/>
      <c r="U17823"/>
      <c r="X17823" s="60"/>
    </row>
    <row r="17824" spans="7:24" ht="15" customHeight="1">
      <c r="G17824"/>
      <c r="I17824"/>
      <c r="N17824"/>
      <c r="O17824" s="24"/>
      <c r="P17824"/>
      <c r="Q17824" s="24"/>
      <c r="R17824"/>
      <c r="S17824"/>
      <c r="T17824"/>
      <c r="U17824"/>
      <c r="X17824" s="60"/>
    </row>
    <row r="17825" spans="7:24" ht="15" customHeight="1">
      <c r="G17825"/>
      <c r="I17825"/>
      <c r="N17825"/>
      <c r="O17825" s="24"/>
      <c r="P17825"/>
      <c r="Q17825" s="24"/>
      <c r="R17825"/>
      <c r="S17825"/>
      <c r="T17825"/>
      <c r="U17825"/>
      <c r="X17825" s="60"/>
    </row>
    <row r="17826" spans="7:24" ht="15" customHeight="1">
      <c r="G17826"/>
      <c r="I17826"/>
      <c r="N17826"/>
      <c r="O17826" s="24"/>
      <c r="P17826"/>
      <c r="Q17826" s="24"/>
      <c r="R17826"/>
      <c r="S17826"/>
      <c r="T17826"/>
      <c r="U17826"/>
      <c r="X17826" s="60"/>
    </row>
    <row r="17827" spans="7:24" ht="15" customHeight="1">
      <c r="G17827"/>
      <c r="I17827"/>
      <c r="N17827"/>
      <c r="O17827" s="24"/>
      <c r="P17827"/>
      <c r="Q17827" s="24"/>
      <c r="R17827"/>
      <c r="S17827"/>
      <c r="T17827"/>
      <c r="U17827"/>
      <c r="X17827" s="60"/>
    </row>
    <row r="17828" spans="7:24" ht="15" customHeight="1">
      <c r="G17828"/>
      <c r="I17828"/>
      <c r="N17828"/>
      <c r="O17828" s="24"/>
      <c r="P17828"/>
      <c r="Q17828" s="24"/>
      <c r="R17828"/>
      <c r="S17828"/>
      <c r="T17828"/>
      <c r="U17828"/>
      <c r="X17828" s="60"/>
    </row>
    <row r="17829" spans="7:24" ht="15" customHeight="1">
      <c r="G17829"/>
      <c r="I17829"/>
      <c r="N17829"/>
      <c r="O17829" s="24"/>
      <c r="P17829"/>
      <c r="Q17829" s="24"/>
      <c r="R17829"/>
      <c r="S17829"/>
      <c r="T17829"/>
      <c r="U17829"/>
      <c r="X17829" s="60"/>
    </row>
    <row r="17830" spans="7:24" ht="15" customHeight="1">
      <c r="G17830"/>
      <c r="I17830"/>
      <c r="N17830"/>
      <c r="O17830" s="24"/>
      <c r="P17830"/>
      <c r="Q17830" s="24"/>
      <c r="R17830"/>
      <c r="S17830"/>
      <c r="T17830"/>
      <c r="U17830"/>
      <c r="X17830" s="60"/>
    </row>
    <row r="17831" spans="7:24" ht="15" customHeight="1">
      <c r="G17831"/>
      <c r="I17831"/>
      <c r="N17831"/>
      <c r="O17831" s="24"/>
      <c r="P17831"/>
      <c r="Q17831" s="24"/>
      <c r="R17831"/>
      <c r="S17831"/>
      <c r="T17831"/>
      <c r="U17831"/>
      <c r="X17831" s="60"/>
    </row>
    <row r="17832" spans="7:24" ht="15" customHeight="1">
      <c r="G17832"/>
      <c r="I17832"/>
      <c r="N17832"/>
      <c r="O17832" s="24"/>
      <c r="P17832"/>
      <c r="Q17832" s="24"/>
      <c r="R17832"/>
      <c r="S17832"/>
      <c r="T17832"/>
      <c r="U17832"/>
      <c r="X17832" s="60"/>
    </row>
    <row r="17833" spans="7:24" ht="15" customHeight="1">
      <c r="G17833"/>
      <c r="I17833"/>
      <c r="N17833"/>
      <c r="O17833" s="24"/>
      <c r="P17833"/>
      <c r="Q17833" s="24"/>
      <c r="R17833"/>
      <c r="S17833"/>
      <c r="T17833"/>
      <c r="U17833"/>
      <c r="X17833" s="60"/>
    </row>
    <row r="17834" spans="7:24" ht="15" customHeight="1">
      <c r="G17834"/>
      <c r="I17834"/>
      <c r="N17834"/>
      <c r="O17834" s="24"/>
      <c r="P17834"/>
      <c r="Q17834" s="24"/>
      <c r="R17834"/>
      <c r="S17834"/>
      <c r="T17834"/>
      <c r="U17834"/>
      <c r="X17834" s="60"/>
    </row>
    <row r="17835" spans="7:24" ht="15" customHeight="1">
      <c r="G17835"/>
      <c r="I17835"/>
      <c r="N17835"/>
      <c r="O17835" s="24"/>
      <c r="P17835"/>
      <c r="Q17835" s="24"/>
      <c r="R17835"/>
      <c r="S17835"/>
      <c r="T17835"/>
      <c r="U17835"/>
      <c r="X17835" s="60"/>
    </row>
    <row r="17836" spans="7:24" ht="15" customHeight="1">
      <c r="G17836"/>
      <c r="I17836"/>
      <c r="N17836"/>
      <c r="O17836" s="24"/>
      <c r="P17836"/>
      <c r="Q17836" s="24"/>
      <c r="R17836"/>
      <c r="S17836"/>
      <c r="T17836"/>
      <c r="U17836"/>
      <c r="X17836" s="60"/>
    </row>
    <row r="17837" spans="7:24" ht="15" customHeight="1">
      <c r="G17837"/>
      <c r="I17837"/>
      <c r="N17837"/>
      <c r="O17837" s="24"/>
      <c r="P17837"/>
      <c r="Q17837" s="24"/>
      <c r="R17837"/>
      <c r="S17837"/>
      <c r="T17837"/>
      <c r="U17837"/>
      <c r="X17837" s="60"/>
    </row>
    <row r="17838" spans="7:24" ht="15" customHeight="1">
      <c r="G17838"/>
      <c r="I17838"/>
      <c r="N17838"/>
      <c r="O17838" s="24"/>
      <c r="P17838"/>
      <c r="Q17838" s="24"/>
      <c r="R17838"/>
      <c r="S17838"/>
      <c r="T17838"/>
      <c r="U17838"/>
      <c r="X17838" s="60"/>
    </row>
    <row r="17839" spans="7:24" ht="15" customHeight="1">
      <c r="G17839"/>
      <c r="I17839"/>
      <c r="N17839"/>
      <c r="O17839" s="24"/>
      <c r="P17839"/>
      <c r="Q17839" s="24"/>
      <c r="R17839"/>
      <c r="S17839"/>
      <c r="T17839"/>
      <c r="U17839"/>
      <c r="X17839" s="60"/>
    </row>
    <row r="17840" spans="7:24" ht="15" customHeight="1">
      <c r="G17840"/>
      <c r="I17840"/>
      <c r="N17840"/>
      <c r="O17840" s="24"/>
      <c r="P17840"/>
      <c r="Q17840" s="24"/>
      <c r="R17840"/>
      <c r="S17840"/>
      <c r="T17840"/>
      <c r="U17840"/>
      <c r="X17840" s="60"/>
    </row>
    <row r="17841" spans="7:24" ht="15" customHeight="1">
      <c r="G17841"/>
      <c r="I17841"/>
      <c r="N17841"/>
      <c r="O17841" s="24"/>
      <c r="P17841"/>
      <c r="Q17841" s="24"/>
      <c r="R17841"/>
      <c r="S17841"/>
      <c r="T17841"/>
      <c r="U17841"/>
      <c r="X17841" s="60"/>
    </row>
    <row r="17842" spans="7:24" ht="15" customHeight="1">
      <c r="G17842"/>
      <c r="I17842"/>
      <c r="N17842"/>
      <c r="O17842" s="24"/>
      <c r="P17842"/>
      <c r="Q17842" s="24"/>
      <c r="R17842"/>
      <c r="S17842"/>
      <c r="T17842"/>
      <c r="U17842"/>
      <c r="X17842" s="60"/>
    </row>
    <row r="17843" spans="7:24" ht="15" customHeight="1">
      <c r="G17843"/>
      <c r="I17843"/>
      <c r="N17843"/>
      <c r="O17843" s="24"/>
      <c r="P17843"/>
      <c r="Q17843" s="24"/>
      <c r="R17843"/>
      <c r="S17843"/>
      <c r="T17843"/>
      <c r="U17843"/>
      <c r="X17843" s="60"/>
    </row>
    <row r="17844" spans="7:24" ht="15" customHeight="1">
      <c r="G17844"/>
      <c r="I17844"/>
      <c r="N17844"/>
      <c r="O17844" s="24"/>
      <c r="P17844"/>
      <c r="Q17844" s="24"/>
      <c r="R17844"/>
      <c r="S17844"/>
      <c r="T17844"/>
      <c r="U17844"/>
      <c r="X17844" s="60"/>
    </row>
    <row r="17845" spans="7:24" ht="15" customHeight="1">
      <c r="G17845"/>
      <c r="I17845"/>
      <c r="N17845"/>
      <c r="O17845" s="24"/>
      <c r="P17845"/>
      <c r="Q17845" s="24"/>
      <c r="R17845"/>
      <c r="S17845"/>
      <c r="T17845"/>
      <c r="U17845"/>
      <c r="X17845" s="60"/>
    </row>
    <row r="17846" spans="7:24" ht="15" customHeight="1">
      <c r="G17846"/>
      <c r="I17846"/>
      <c r="N17846"/>
      <c r="O17846" s="24"/>
      <c r="P17846"/>
      <c r="Q17846" s="24"/>
      <c r="R17846"/>
      <c r="S17846"/>
      <c r="T17846"/>
      <c r="U17846"/>
      <c r="X17846" s="60"/>
    </row>
    <row r="17847" spans="7:24" ht="15" customHeight="1">
      <c r="G17847"/>
      <c r="I17847"/>
      <c r="N17847"/>
      <c r="O17847" s="24"/>
      <c r="P17847"/>
      <c r="Q17847" s="24"/>
      <c r="R17847"/>
      <c r="S17847"/>
      <c r="T17847"/>
      <c r="U17847"/>
      <c r="X17847" s="60"/>
    </row>
    <row r="17848" spans="7:24" ht="15" customHeight="1">
      <c r="G17848"/>
      <c r="I17848"/>
      <c r="N17848"/>
      <c r="O17848" s="24"/>
      <c r="P17848"/>
      <c r="Q17848" s="24"/>
      <c r="R17848"/>
      <c r="S17848"/>
      <c r="T17848"/>
      <c r="U17848"/>
      <c r="X17848" s="60"/>
    </row>
    <row r="17849" spans="7:24" ht="15" customHeight="1">
      <c r="G17849"/>
      <c r="I17849"/>
      <c r="N17849"/>
      <c r="O17849" s="24"/>
      <c r="P17849"/>
      <c r="Q17849" s="24"/>
      <c r="R17849"/>
      <c r="S17849"/>
      <c r="T17849"/>
      <c r="U17849"/>
      <c r="X17849" s="60"/>
    </row>
    <row r="17850" spans="7:24" ht="15" customHeight="1">
      <c r="G17850"/>
      <c r="I17850"/>
      <c r="N17850"/>
      <c r="O17850" s="24"/>
      <c r="P17850"/>
      <c r="Q17850" s="24"/>
      <c r="R17850"/>
      <c r="S17850"/>
      <c r="T17850"/>
      <c r="U17850"/>
      <c r="X17850" s="60"/>
    </row>
    <row r="17851" spans="7:24" ht="15" customHeight="1">
      <c r="G17851"/>
      <c r="I17851"/>
      <c r="N17851"/>
      <c r="O17851" s="24"/>
      <c r="P17851"/>
      <c r="Q17851" s="24"/>
      <c r="R17851"/>
      <c r="S17851"/>
      <c r="T17851"/>
      <c r="U17851"/>
      <c r="X17851" s="60"/>
    </row>
    <row r="17852" spans="7:24" ht="15" customHeight="1">
      <c r="G17852"/>
      <c r="I17852"/>
      <c r="N17852"/>
      <c r="O17852" s="24"/>
      <c r="P17852"/>
      <c r="Q17852" s="24"/>
      <c r="R17852"/>
      <c r="S17852"/>
      <c r="T17852"/>
      <c r="U17852"/>
      <c r="X17852" s="60"/>
    </row>
    <row r="17853" spans="7:24" ht="15" customHeight="1">
      <c r="G17853"/>
      <c r="I17853"/>
      <c r="N17853"/>
      <c r="O17853" s="24"/>
      <c r="P17853"/>
      <c r="Q17853" s="24"/>
      <c r="R17853"/>
      <c r="S17853"/>
      <c r="T17853"/>
      <c r="U17853"/>
      <c r="X17853" s="60"/>
    </row>
    <row r="17854" spans="7:24" ht="15" customHeight="1">
      <c r="G17854"/>
      <c r="I17854"/>
      <c r="N17854"/>
      <c r="O17854" s="24"/>
      <c r="P17854"/>
      <c r="Q17854" s="24"/>
      <c r="R17854"/>
      <c r="S17854"/>
      <c r="T17854"/>
      <c r="U17854"/>
      <c r="X17854" s="60"/>
    </row>
    <row r="17855" spans="7:24" ht="15" customHeight="1">
      <c r="G17855"/>
      <c r="I17855"/>
      <c r="N17855"/>
      <c r="O17855" s="24"/>
      <c r="P17855"/>
      <c r="Q17855" s="24"/>
      <c r="R17855"/>
      <c r="S17855"/>
      <c r="T17855"/>
      <c r="U17855"/>
      <c r="X17855" s="60"/>
    </row>
    <row r="17856" spans="7:24" ht="15" customHeight="1">
      <c r="G17856"/>
      <c r="I17856"/>
      <c r="N17856"/>
      <c r="O17856" s="24"/>
      <c r="P17856"/>
      <c r="Q17856" s="24"/>
      <c r="R17856"/>
      <c r="S17856"/>
      <c r="T17856"/>
      <c r="U17856"/>
      <c r="X17856" s="60"/>
    </row>
    <row r="17857" spans="7:24" ht="15" customHeight="1">
      <c r="G17857"/>
      <c r="I17857"/>
      <c r="N17857"/>
      <c r="O17857" s="24"/>
      <c r="P17857"/>
      <c r="Q17857" s="24"/>
      <c r="R17857"/>
      <c r="S17857"/>
      <c r="T17857"/>
      <c r="U17857"/>
      <c r="X17857" s="60"/>
    </row>
    <row r="17858" spans="7:24" ht="15" customHeight="1">
      <c r="G17858"/>
      <c r="I17858"/>
      <c r="N17858"/>
      <c r="O17858" s="24"/>
      <c r="P17858"/>
      <c r="Q17858" s="24"/>
      <c r="R17858"/>
      <c r="S17858"/>
      <c r="T17858"/>
      <c r="U17858"/>
      <c r="X17858" s="60"/>
    </row>
    <row r="17859" spans="7:24" ht="15" customHeight="1">
      <c r="G17859"/>
      <c r="I17859"/>
      <c r="N17859"/>
      <c r="O17859" s="24"/>
      <c r="P17859"/>
      <c r="Q17859" s="24"/>
      <c r="R17859"/>
      <c r="S17859"/>
      <c r="T17859"/>
      <c r="U17859"/>
      <c r="X17859" s="60"/>
    </row>
    <row r="17860" spans="7:24" ht="15" customHeight="1">
      <c r="G17860"/>
      <c r="I17860"/>
      <c r="N17860"/>
      <c r="O17860" s="24"/>
      <c r="P17860"/>
      <c r="Q17860" s="24"/>
      <c r="R17860"/>
      <c r="S17860"/>
      <c r="T17860"/>
      <c r="U17860"/>
      <c r="X17860" s="60"/>
    </row>
    <row r="17861" spans="7:24" ht="15" customHeight="1">
      <c r="G17861"/>
      <c r="I17861"/>
      <c r="N17861"/>
      <c r="O17861" s="24"/>
      <c r="P17861"/>
      <c r="Q17861" s="24"/>
      <c r="R17861"/>
      <c r="S17861"/>
      <c r="T17861"/>
      <c r="U17861"/>
      <c r="X17861" s="60"/>
    </row>
    <row r="17862" spans="7:24" ht="15" customHeight="1">
      <c r="G17862"/>
      <c r="I17862"/>
      <c r="N17862"/>
      <c r="O17862" s="24"/>
      <c r="P17862"/>
      <c r="Q17862" s="24"/>
      <c r="R17862"/>
      <c r="S17862"/>
      <c r="T17862"/>
      <c r="U17862"/>
      <c r="X17862" s="60"/>
    </row>
    <row r="17863" spans="7:24" ht="15" customHeight="1">
      <c r="G17863"/>
      <c r="I17863"/>
      <c r="N17863"/>
      <c r="O17863" s="24"/>
      <c r="P17863"/>
      <c r="Q17863" s="24"/>
      <c r="R17863"/>
      <c r="S17863"/>
      <c r="T17863"/>
      <c r="U17863"/>
      <c r="X17863" s="60"/>
    </row>
    <row r="17864" spans="7:24" ht="15" customHeight="1">
      <c r="G17864"/>
      <c r="I17864"/>
      <c r="N17864"/>
      <c r="O17864" s="24"/>
      <c r="P17864"/>
      <c r="Q17864" s="24"/>
      <c r="R17864"/>
      <c r="S17864"/>
      <c r="T17864"/>
      <c r="U17864"/>
      <c r="X17864" s="60"/>
    </row>
    <row r="17865" spans="7:24" ht="15" customHeight="1">
      <c r="G17865"/>
      <c r="I17865"/>
      <c r="N17865"/>
      <c r="O17865" s="24"/>
      <c r="P17865"/>
      <c r="Q17865" s="24"/>
      <c r="R17865"/>
      <c r="S17865"/>
      <c r="T17865"/>
      <c r="U17865"/>
      <c r="X17865" s="60"/>
    </row>
    <row r="17866" spans="7:24" ht="15" customHeight="1">
      <c r="G17866"/>
      <c r="I17866"/>
      <c r="N17866"/>
      <c r="O17866" s="24"/>
      <c r="P17866"/>
      <c r="Q17866" s="24"/>
      <c r="R17866"/>
      <c r="S17866"/>
      <c r="T17866"/>
      <c r="U17866"/>
      <c r="X17866" s="60"/>
    </row>
    <row r="17867" spans="7:24" ht="15" customHeight="1">
      <c r="G17867"/>
      <c r="I17867"/>
      <c r="N17867"/>
      <c r="O17867" s="24"/>
      <c r="P17867"/>
      <c r="Q17867" s="24"/>
      <c r="R17867"/>
      <c r="S17867"/>
      <c r="T17867"/>
      <c r="U17867"/>
      <c r="X17867" s="60"/>
    </row>
    <row r="17868" spans="7:24" ht="15" customHeight="1">
      <c r="G17868"/>
      <c r="I17868"/>
      <c r="N17868"/>
      <c r="O17868" s="24"/>
      <c r="P17868"/>
      <c r="Q17868" s="24"/>
      <c r="R17868"/>
      <c r="S17868"/>
      <c r="T17868"/>
      <c r="U17868"/>
      <c r="X17868" s="60"/>
    </row>
    <row r="17869" spans="7:24" ht="15" customHeight="1">
      <c r="G17869"/>
      <c r="I17869"/>
      <c r="N17869"/>
      <c r="O17869" s="24"/>
      <c r="P17869"/>
      <c r="Q17869" s="24"/>
      <c r="R17869"/>
      <c r="S17869"/>
      <c r="T17869"/>
      <c r="U17869"/>
      <c r="X17869" s="60"/>
    </row>
    <row r="17870" spans="7:24" ht="15" customHeight="1">
      <c r="G17870"/>
      <c r="I17870"/>
      <c r="N17870"/>
      <c r="O17870" s="24"/>
      <c r="P17870"/>
      <c r="Q17870" s="24"/>
      <c r="R17870"/>
      <c r="S17870"/>
      <c r="T17870"/>
      <c r="U17870"/>
      <c r="X17870" s="60"/>
    </row>
    <row r="17871" spans="7:24" ht="15" customHeight="1">
      <c r="G17871"/>
      <c r="I17871"/>
      <c r="N17871"/>
      <c r="O17871" s="24"/>
      <c r="P17871"/>
      <c r="Q17871" s="24"/>
      <c r="R17871"/>
      <c r="S17871"/>
      <c r="T17871"/>
      <c r="U17871"/>
      <c r="X17871" s="60"/>
    </row>
    <row r="17872" spans="7:24" ht="15" customHeight="1">
      <c r="G17872"/>
      <c r="I17872"/>
      <c r="N17872"/>
      <c r="O17872" s="24"/>
      <c r="P17872"/>
      <c r="Q17872" s="24"/>
      <c r="R17872"/>
      <c r="S17872"/>
      <c r="T17872"/>
      <c r="U17872"/>
      <c r="X17872" s="60"/>
    </row>
    <row r="17873" spans="7:24" ht="15" customHeight="1">
      <c r="G17873"/>
      <c r="I17873"/>
      <c r="N17873"/>
      <c r="O17873" s="24"/>
      <c r="P17873"/>
      <c r="Q17873" s="24"/>
      <c r="R17873"/>
      <c r="S17873"/>
      <c r="T17873"/>
      <c r="U17873"/>
      <c r="X17873" s="60"/>
    </row>
    <row r="17874" spans="7:24" ht="15" customHeight="1">
      <c r="G17874"/>
      <c r="I17874"/>
      <c r="N17874"/>
      <c r="O17874" s="24"/>
      <c r="P17874"/>
      <c r="Q17874" s="24"/>
      <c r="R17874"/>
      <c r="S17874"/>
      <c r="T17874"/>
      <c r="U17874"/>
      <c r="X17874" s="60"/>
    </row>
    <row r="17875" spans="7:24" ht="15" customHeight="1">
      <c r="G17875"/>
      <c r="I17875"/>
      <c r="N17875"/>
      <c r="O17875" s="24"/>
      <c r="P17875"/>
      <c r="Q17875" s="24"/>
      <c r="R17875"/>
      <c r="S17875"/>
      <c r="T17875"/>
      <c r="U17875"/>
      <c r="X17875" s="60"/>
    </row>
    <row r="17876" spans="7:24" ht="15" customHeight="1">
      <c r="G17876"/>
      <c r="I17876"/>
      <c r="N17876"/>
      <c r="O17876" s="24"/>
      <c r="P17876"/>
      <c r="Q17876" s="24"/>
      <c r="R17876"/>
      <c r="S17876"/>
      <c r="T17876"/>
      <c r="U17876"/>
      <c r="X17876" s="60"/>
    </row>
    <row r="17877" spans="7:24" ht="15" customHeight="1">
      <c r="G17877"/>
      <c r="I17877"/>
      <c r="N17877"/>
      <c r="O17877" s="24"/>
      <c r="P17877"/>
      <c r="Q17877" s="24"/>
      <c r="R17877"/>
      <c r="S17877"/>
      <c r="T17877"/>
      <c r="U17877"/>
      <c r="X17877" s="60"/>
    </row>
    <row r="17878" spans="7:24" ht="15" customHeight="1">
      <c r="G17878"/>
      <c r="I17878"/>
      <c r="N17878"/>
      <c r="O17878" s="24"/>
      <c r="P17878"/>
      <c r="Q17878" s="24"/>
      <c r="R17878"/>
      <c r="S17878"/>
      <c r="T17878"/>
      <c r="U17878"/>
      <c r="X17878" s="60"/>
    </row>
    <row r="17879" spans="7:24" ht="15" customHeight="1">
      <c r="G17879"/>
      <c r="I17879"/>
      <c r="N17879"/>
      <c r="O17879" s="24"/>
      <c r="P17879"/>
      <c r="Q17879" s="24"/>
      <c r="R17879"/>
      <c r="S17879"/>
      <c r="T17879"/>
      <c r="U17879"/>
      <c r="X17879" s="60"/>
    </row>
    <row r="17880" spans="7:24" ht="15" customHeight="1">
      <c r="G17880"/>
      <c r="I17880"/>
      <c r="N17880"/>
      <c r="O17880" s="24"/>
      <c r="P17880"/>
      <c r="Q17880" s="24"/>
      <c r="R17880"/>
      <c r="S17880"/>
      <c r="T17880"/>
      <c r="U17880"/>
      <c r="X17880" s="60"/>
    </row>
    <row r="17881" spans="7:24" ht="15" customHeight="1">
      <c r="G17881"/>
      <c r="I17881"/>
      <c r="N17881"/>
      <c r="O17881" s="24"/>
      <c r="P17881"/>
      <c r="Q17881" s="24"/>
      <c r="R17881"/>
      <c r="S17881"/>
      <c r="T17881"/>
      <c r="U17881"/>
      <c r="X17881" s="60"/>
    </row>
    <row r="17882" spans="7:24" ht="15" customHeight="1">
      <c r="G17882"/>
      <c r="I17882"/>
      <c r="N17882"/>
      <c r="O17882" s="24"/>
      <c r="P17882"/>
      <c r="Q17882" s="24"/>
      <c r="R17882"/>
      <c r="S17882"/>
      <c r="T17882"/>
      <c r="U17882"/>
      <c r="X17882" s="60"/>
    </row>
    <row r="17883" spans="7:24" ht="15" customHeight="1">
      <c r="G17883"/>
      <c r="I17883"/>
      <c r="N17883"/>
      <c r="O17883" s="24"/>
      <c r="P17883"/>
      <c r="Q17883" s="24"/>
      <c r="R17883"/>
      <c r="S17883"/>
      <c r="T17883"/>
      <c r="U17883"/>
      <c r="X17883" s="60"/>
    </row>
    <row r="17884" spans="7:24" ht="15" customHeight="1">
      <c r="G17884"/>
      <c r="I17884"/>
      <c r="N17884"/>
      <c r="O17884" s="24"/>
      <c r="P17884"/>
      <c r="Q17884" s="24"/>
      <c r="R17884"/>
      <c r="S17884"/>
      <c r="T17884"/>
      <c r="U17884"/>
      <c r="X17884" s="60"/>
    </row>
    <row r="17885" spans="7:24" ht="15" customHeight="1">
      <c r="G17885"/>
      <c r="I17885"/>
      <c r="N17885"/>
      <c r="O17885" s="24"/>
      <c r="P17885"/>
      <c r="Q17885" s="24"/>
      <c r="R17885"/>
      <c r="S17885"/>
      <c r="T17885"/>
      <c r="U17885"/>
      <c r="X17885" s="60"/>
    </row>
    <row r="17886" spans="7:24" ht="15" customHeight="1">
      <c r="G17886"/>
      <c r="I17886"/>
      <c r="N17886"/>
      <c r="O17886" s="24"/>
      <c r="P17886"/>
      <c r="Q17886" s="24"/>
      <c r="R17886"/>
      <c r="S17886"/>
      <c r="T17886"/>
      <c r="U17886"/>
      <c r="X17886" s="60"/>
    </row>
    <row r="17887" spans="7:24" ht="15" customHeight="1">
      <c r="G17887"/>
      <c r="I17887"/>
      <c r="N17887"/>
      <c r="O17887" s="24"/>
      <c r="P17887"/>
      <c r="Q17887" s="24"/>
      <c r="R17887"/>
      <c r="S17887"/>
      <c r="T17887"/>
      <c r="U17887"/>
      <c r="X17887" s="60"/>
    </row>
    <row r="17888" spans="7:24" ht="15" customHeight="1">
      <c r="G17888"/>
      <c r="I17888"/>
      <c r="N17888"/>
      <c r="O17888" s="24"/>
      <c r="P17888"/>
      <c r="Q17888" s="24"/>
      <c r="R17888"/>
      <c r="S17888"/>
      <c r="T17888"/>
      <c r="U17888"/>
      <c r="X17888" s="60"/>
    </row>
    <row r="17889" spans="7:24" ht="15" customHeight="1">
      <c r="G17889"/>
      <c r="I17889"/>
      <c r="N17889"/>
      <c r="O17889" s="24"/>
      <c r="P17889"/>
      <c r="Q17889" s="24"/>
      <c r="R17889"/>
      <c r="S17889"/>
      <c r="T17889"/>
      <c r="U17889"/>
      <c r="X17889" s="60"/>
    </row>
    <row r="17890" spans="7:24" ht="15" customHeight="1">
      <c r="G17890"/>
      <c r="I17890"/>
      <c r="N17890"/>
      <c r="O17890" s="24"/>
      <c r="P17890"/>
      <c r="Q17890" s="24"/>
      <c r="R17890"/>
      <c r="S17890"/>
      <c r="T17890"/>
      <c r="U17890"/>
      <c r="X17890" s="60"/>
    </row>
    <row r="17891" spans="7:24" ht="15" customHeight="1">
      <c r="G17891"/>
      <c r="I17891"/>
      <c r="N17891"/>
      <c r="O17891" s="24"/>
      <c r="P17891"/>
      <c r="Q17891" s="24"/>
      <c r="R17891"/>
      <c r="S17891"/>
      <c r="T17891"/>
      <c r="U17891"/>
      <c r="X17891" s="60"/>
    </row>
    <row r="17892" spans="7:24" ht="15" customHeight="1">
      <c r="G17892"/>
      <c r="I17892"/>
      <c r="N17892"/>
      <c r="O17892" s="24"/>
      <c r="P17892"/>
      <c r="Q17892" s="24"/>
      <c r="R17892"/>
      <c r="S17892"/>
      <c r="T17892"/>
      <c r="U17892"/>
      <c r="X17892" s="60"/>
    </row>
    <row r="17893" spans="7:24" ht="15" customHeight="1">
      <c r="G17893"/>
      <c r="I17893"/>
      <c r="N17893"/>
      <c r="O17893" s="24"/>
      <c r="P17893"/>
      <c r="Q17893" s="24"/>
      <c r="R17893"/>
      <c r="S17893"/>
      <c r="T17893"/>
      <c r="U17893"/>
      <c r="X17893" s="60"/>
    </row>
    <row r="17894" spans="7:24" ht="15" customHeight="1">
      <c r="G17894"/>
      <c r="I17894"/>
      <c r="N17894"/>
      <c r="O17894" s="24"/>
      <c r="P17894"/>
      <c r="Q17894" s="24"/>
      <c r="R17894"/>
      <c r="S17894"/>
      <c r="T17894"/>
      <c r="U17894"/>
      <c r="X17894" s="60"/>
    </row>
    <row r="17895" spans="7:24" ht="15" customHeight="1">
      <c r="G17895"/>
      <c r="I17895"/>
      <c r="N17895"/>
      <c r="O17895" s="24"/>
      <c r="P17895"/>
      <c r="Q17895" s="24"/>
      <c r="R17895"/>
      <c r="S17895"/>
      <c r="T17895"/>
      <c r="U17895"/>
      <c r="X17895" s="60"/>
    </row>
    <row r="17896" spans="7:24" ht="15" customHeight="1">
      <c r="G17896"/>
      <c r="I17896"/>
      <c r="N17896"/>
      <c r="O17896" s="24"/>
      <c r="P17896"/>
      <c r="Q17896" s="24"/>
      <c r="R17896"/>
      <c r="S17896"/>
      <c r="T17896"/>
      <c r="U17896"/>
      <c r="X17896" s="60"/>
    </row>
    <row r="17897" spans="7:24" ht="15" customHeight="1">
      <c r="G17897"/>
      <c r="I17897"/>
      <c r="N17897"/>
      <c r="O17897" s="24"/>
      <c r="P17897"/>
      <c r="Q17897" s="24"/>
      <c r="R17897"/>
      <c r="S17897"/>
      <c r="T17897"/>
      <c r="U17897"/>
      <c r="X17897" s="60"/>
    </row>
    <row r="17898" spans="7:24" ht="15" customHeight="1">
      <c r="G17898"/>
      <c r="I17898"/>
      <c r="N17898"/>
      <c r="O17898" s="24"/>
      <c r="P17898"/>
      <c r="Q17898" s="24"/>
      <c r="R17898"/>
      <c r="S17898"/>
      <c r="T17898"/>
      <c r="U17898"/>
      <c r="X17898" s="60"/>
    </row>
    <row r="17899" spans="7:24" ht="15" customHeight="1">
      <c r="G17899"/>
      <c r="I17899"/>
      <c r="N17899"/>
      <c r="O17899" s="24"/>
      <c r="P17899"/>
      <c r="Q17899" s="24"/>
      <c r="R17899"/>
      <c r="S17899"/>
      <c r="T17899"/>
      <c r="U17899"/>
      <c r="X17899" s="60"/>
    </row>
    <row r="17900" spans="7:24" ht="15" customHeight="1">
      <c r="G17900"/>
      <c r="I17900"/>
      <c r="N17900"/>
      <c r="O17900" s="24"/>
      <c r="P17900"/>
      <c r="Q17900" s="24"/>
      <c r="R17900"/>
      <c r="S17900"/>
      <c r="T17900"/>
      <c r="U17900"/>
      <c r="X17900" s="60"/>
    </row>
    <row r="17901" spans="7:24" ht="15" customHeight="1">
      <c r="G17901"/>
      <c r="I17901"/>
      <c r="N17901"/>
      <c r="O17901" s="24"/>
      <c r="P17901"/>
      <c r="Q17901" s="24"/>
      <c r="R17901"/>
      <c r="S17901"/>
      <c r="T17901"/>
      <c r="U17901"/>
      <c r="X17901" s="60"/>
    </row>
    <row r="17902" spans="7:24" ht="15" customHeight="1">
      <c r="G17902"/>
      <c r="I17902"/>
      <c r="N17902"/>
      <c r="O17902" s="24"/>
      <c r="P17902"/>
      <c r="Q17902" s="24"/>
      <c r="R17902"/>
      <c r="S17902"/>
      <c r="T17902"/>
      <c r="U17902"/>
      <c r="X17902" s="60"/>
    </row>
    <row r="17903" spans="7:24" ht="15" customHeight="1">
      <c r="G17903"/>
      <c r="I17903"/>
      <c r="N17903"/>
      <c r="O17903" s="24"/>
      <c r="P17903"/>
      <c r="Q17903" s="24"/>
      <c r="R17903"/>
      <c r="S17903"/>
      <c r="T17903"/>
      <c r="U17903"/>
      <c r="X17903" s="60"/>
    </row>
    <row r="17904" spans="7:24" ht="15" customHeight="1">
      <c r="G17904"/>
      <c r="I17904"/>
      <c r="N17904"/>
      <c r="O17904" s="24"/>
      <c r="P17904"/>
      <c r="Q17904" s="24"/>
      <c r="R17904"/>
      <c r="S17904"/>
      <c r="T17904"/>
      <c r="U17904"/>
      <c r="X17904" s="60"/>
    </row>
    <row r="17905" spans="7:24" ht="15" customHeight="1">
      <c r="G17905"/>
      <c r="I17905"/>
      <c r="N17905"/>
      <c r="O17905" s="24"/>
      <c r="P17905"/>
      <c r="Q17905" s="24"/>
      <c r="R17905"/>
      <c r="S17905"/>
      <c r="T17905"/>
      <c r="U17905"/>
      <c r="X17905" s="60"/>
    </row>
    <row r="17906" spans="7:24" ht="15" customHeight="1">
      <c r="G17906"/>
      <c r="I17906"/>
      <c r="N17906"/>
      <c r="O17906" s="24"/>
      <c r="P17906"/>
      <c r="Q17906" s="24"/>
      <c r="R17906"/>
      <c r="S17906"/>
      <c r="T17906"/>
      <c r="U17906"/>
      <c r="X17906" s="60"/>
    </row>
    <row r="17907" spans="7:24" ht="15" customHeight="1">
      <c r="G17907"/>
      <c r="I17907"/>
      <c r="N17907"/>
      <c r="O17907" s="24"/>
      <c r="P17907"/>
      <c r="Q17907" s="24"/>
      <c r="R17907"/>
      <c r="S17907"/>
      <c r="T17907"/>
      <c r="U17907"/>
      <c r="X17907" s="60"/>
    </row>
    <row r="17908" spans="7:24" ht="15" customHeight="1">
      <c r="G17908"/>
      <c r="I17908"/>
      <c r="N17908"/>
      <c r="O17908" s="24"/>
      <c r="P17908"/>
      <c r="Q17908" s="24"/>
      <c r="R17908"/>
      <c r="S17908"/>
      <c r="T17908"/>
      <c r="U17908"/>
      <c r="X17908" s="60"/>
    </row>
    <row r="17909" spans="7:24" ht="15" customHeight="1">
      <c r="G17909"/>
      <c r="I17909"/>
      <c r="N17909"/>
      <c r="O17909" s="24"/>
      <c r="P17909"/>
      <c r="Q17909" s="24"/>
      <c r="R17909"/>
      <c r="S17909"/>
      <c r="T17909"/>
      <c r="U17909"/>
      <c r="X17909" s="60"/>
    </row>
    <row r="17910" spans="7:24" ht="15" customHeight="1">
      <c r="G17910"/>
      <c r="I17910"/>
      <c r="N17910"/>
      <c r="O17910" s="24"/>
      <c r="P17910"/>
      <c r="Q17910" s="24"/>
      <c r="R17910"/>
      <c r="S17910"/>
      <c r="T17910"/>
      <c r="U17910"/>
      <c r="X17910" s="60"/>
    </row>
    <row r="17911" spans="7:24" ht="15" customHeight="1">
      <c r="G17911"/>
      <c r="I17911"/>
      <c r="N17911"/>
      <c r="O17911" s="24"/>
      <c r="P17911"/>
      <c r="Q17911" s="24"/>
      <c r="R17911"/>
      <c r="S17911"/>
      <c r="T17911"/>
      <c r="U17911"/>
      <c r="X17911" s="60"/>
    </row>
    <row r="17912" spans="7:24" ht="15" customHeight="1">
      <c r="G17912"/>
      <c r="I17912"/>
      <c r="N17912"/>
      <c r="O17912" s="24"/>
      <c r="P17912"/>
      <c r="Q17912" s="24"/>
      <c r="R17912"/>
      <c r="S17912"/>
      <c r="T17912"/>
      <c r="U17912"/>
      <c r="X17912" s="60"/>
    </row>
    <row r="17913" spans="7:24" ht="15" customHeight="1">
      <c r="G17913"/>
      <c r="I17913"/>
      <c r="N17913"/>
      <c r="O17913" s="24"/>
      <c r="P17913"/>
      <c r="Q17913" s="24"/>
      <c r="R17913"/>
      <c r="S17913"/>
      <c r="T17913"/>
      <c r="U17913"/>
      <c r="X17913" s="60"/>
    </row>
    <row r="17914" spans="7:24" ht="15" customHeight="1">
      <c r="G17914"/>
      <c r="I17914"/>
      <c r="N17914"/>
      <c r="O17914" s="24"/>
      <c r="P17914"/>
      <c r="Q17914" s="24"/>
      <c r="R17914"/>
      <c r="S17914"/>
      <c r="T17914"/>
      <c r="U17914"/>
      <c r="X17914" s="60"/>
    </row>
    <row r="17915" spans="7:24" ht="15" customHeight="1">
      <c r="G17915"/>
      <c r="I17915"/>
      <c r="N17915"/>
      <c r="O17915" s="24"/>
      <c r="P17915"/>
      <c r="Q17915" s="24"/>
      <c r="R17915"/>
      <c r="S17915"/>
      <c r="T17915"/>
      <c r="U17915"/>
      <c r="X17915" s="60"/>
    </row>
    <row r="17916" spans="7:24" ht="15" customHeight="1">
      <c r="G17916"/>
      <c r="I17916"/>
      <c r="N17916"/>
      <c r="O17916" s="24"/>
      <c r="P17916"/>
      <c r="Q17916" s="24"/>
      <c r="R17916"/>
      <c r="S17916"/>
      <c r="T17916"/>
      <c r="U17916"/>
      <c r="X17916" s="60"/>
    </row>
    <row r="17917" spans="7:24" ht="15" customHeight="1">
      <c r="G17917"/>
      <c r="I17917"/>
      <c r="N17917"/>
      <c r="O17917" s="24"/>
      <c r="P17917"/>
      <c r="Q17917" s="24"/>
      <c r="R17917"/>
      <c r="S17917"/>
      <c r="T17917"/>
      <c r="U17917"/>
      <c r="X17917" s="60"/>
    </row>
    <row r="17918" spans="7:24" ht="15" customHeight="1">
      <c r="G17918"/>
      <c r="I17918"/>
      <c r="N17918"/>
      <c r="O17918" s="24"/>
      <c r="P17918"/>
      <c r="Q17918" s="24"/>
      <c r="R17918"/>
      <c r="S17918"/>
      <c r="T17918"/>
      <c r="U17918"/>
      <c r="X17918" s="60"/>
    </row>
    <row r="17919" spans="7:24" ht="15" customHeight="1">
      <c r="G17919"/>
      <c r="I17919"/>
      <c r="N17919"/>
      <c r="O17919" s="24"/>
      <c r="P17919"/>
      <c r="Q17919" s="24"/>
      <c r="R17919"/>
      <c r="S17919"/>
      <c r="T17919"/>
      <c r="U17919"/>
      <c r="X17919" s="60"/>
    </row>
    <row r="17920" spans="7:24" ht="15" customHeight="1">
      <c r="G17920"/>
      <c r="I17920"/>
      <c r="N17920"/>
      <c r="O17920" s="24"/>
      <c r="P17920"/>
      <c r="Q17920" s="24"/>
      <c r="R17920"/>
      <c r="S17920"/>
      <c r="T17920"/>
      <c r="U17920"/>
      <c r="X17920" s="60"/>
    </row>
    <row r="17921" spans="7:24" ht="15" customHeight="1">
      <c r="G17921"/>
      <c r="I17921"/>
      <c r="N17921"/>
      <c r="O17921" s="24"/>
      <c r="P17921"/>
      <c r="Q17921" s="24"/>
      <c r="R17921"/>
      <c r="S17921"/>
      <c r="T17921"/>
      <c r="U17921"/>
      <c r="X17921" s="60"/>
    </row>
    <row r="17922" spans="7:24" ht="15" customHeight="1">
      <c r="G17922"/>
      <c r="I17922"/>
      <c r="N17922"/>
      <c r="O17922" s="24"/>
      <c r="P17922"/>
      <c r="Q17922" s="24"/>
      <c r="R17922"/>
      <c r="S17922"/>
      <c r="T17922"/>
      <c r="U17922"/>
      <c r="X17922" s="60"/>
    </row>
    <row r="17923" spans="7:24" ht="15" customHeight="1">
      <c r="G17923"/>
      <c r="I17923"/>
      <c r="N17923"/>
      <c r="O17923" s="24"/>
      <c r="P17923"/>
      <c r="Q17923" s="24"/>
      <c r="R17923"/>
      <c r="S17923"/>
      <c r="T17923"/>
      <c r="U17923"/>
      <c r="X17923" s="60"/>
    </row>
    <row r="17924" spans="7:24" ht="15" customHeight="1">
      <c r="G17924"/>
      <c r="I17924"/>
      <c r="N17924"/>
      <c r="O17924" s="24"/>
      <c r="P17924"/>
      <c r="Q17924" s="24"/>
      <c r="R17924"/>
      <c r="S17924"/>
      <c r="T17924"/>
      <c r="U17924"/>
      <c r="X17924" s="60"/>
    </row>
    <row r="17925" spans="7:24" ht="15" customHeight="1">
      <c r="G17925"/>
      <c r="I17925"/>
      <c r="N17925"/>
      <c r="O17925" s="24"/>
      <c r="P17925"/>
      <c r="Q17925" s="24"/>
      <c r="R17925"/>
      <c r="S17925"/>
      <c r="T17925"/>
      <c r="U17925"/>
      <c r="X17925" s="60"/>
    </row>
    <row r="17926" spans="7:24" ht="15" customHeight="1">
      <c r="G17926"/>
      <c r="I17926"/>
      <c r="N17926"/>
      <c r="O17926" s="24"/>
      <c r="P17926"/>
      <c r="Q17926" s="24"/>
      <c r="R17926"/>
      <c r="S17926"/>
      <c r="T17926"/>
      <c r="U17926"/>
      <c r="X17926" s="60"/>
    </row>
    <row r="17927" spans="7:24" ht="15" customHeight="1">
      <c r="G17927"/>
      <c r="I17927"/>
      <c r="N17927"/>
      <c r="O17927" s="24"/>
      <c r="P17927"/>
      <c r="Q17927" s="24"/>
      <c r="R17927"/>
      <c r="S17927"/>
      <c r="T17927"/>
      <c r="U17927"/>
      <c r="X17927" s="60"/>
    </row>
    <row r="17928" spans="7:24" ht="15" customHeight="1">
      <c r="G17928"/>
      <c r="I17928"/>
      <c r="N17928"/>
      <c r="O17928" s="24"/>
      <c r="P17928"/>
      <c r="Q17928" s="24"/>
      <c r="R17928"/>
      <c r="S17928"/>
      <c r="T17928"/>
      <c r="U17928"/>
      <c r="X17928" s="60"/>
    </row>
    <row r="17929" spans="7:24" ht="15" customHeight="1">
      <c r="G17929"/>
      <c r="I17929"/>
      <c r="N17929"/>
      <c r="O17929" s="24"/>
      <c r="P17929"/>
      <c r="Q17929" s="24"/>
      <c r="R17929"/>
      <c r="S17929"/>
      <c r="T17929"/>
      <c r="U17929"/>
      <c r="X17929" s="60"/>
    </row>
    <row r="17930" spans="7:24" ht="15" customHeight="1">
      <c r="G17930"/>
      <c r="I17930"/>
      <c r="N17930"/>
      <c r="O17930" s="24"/>
      <c r="P17930"/>
      <c r="Q17930" s="24"/>
      <c r="R17930"/>
      <c r="S17930"/>
      <c r="T17930"/>
      <c r="U17930"/>
      <c r="X17930" s="60"/>
    </row>
    <row r="17931" spans="7:24" ht="15" customHeight="1">
      <c r="G17931"/>
      <c r="I17931"/>
      <c r="N17931"/>
      <c r="O17931" s="24"/>
      <c r="P17931"/>
      <c r="Q17931" s="24"/>
      <c r="R17931"/>
      <c r="S17931"/>
      <c r="T17931"/>
      <c r="U17931"/>
      <c r="X17931" s="60"/>
    </row>
    <row r="17932" spans="7:24" ht="15" customHeight="1">
      <c r="G17932"/>
      <c r="I17932"/>
      <c r="N17932"/>
      <c r="O17932" s="24"/>
      <c r="P17932"/>
      <c r="Q17932" s="24"/>
      <c r="R17932"/>
      <c r="S17932"/>
      <c r="T17932"/>
      <c r="U17932"/>
      <c r="X17932" s="60"/>
    </row>
    <row r="17933" spans="7:24" ht="15" customHeight="1">
      <c r="G17933"/>
      <c r="I17933"/>
      <c r="N17933"/>
      <c r="O17933" s="24"/>
      <c r="P17933"/>
      <c r="Q17933" s="24"/>
      <c r="R17933"/>
      <c r="S17933"/>
      <c r="T17933"/>
      <c r="U17933"/>
      <c r="X17933" s="60"/>
    </row>
    <row r="17934" spans="7:24" ht="15" customHeight="1">
      <c r="G17934"/>
      <c r="I17934"/>
      <c r="N17934"/>
      <c r="O17934" s="24"/>
      <c r="P17934"/>
      <c r="Q17934" s="24"/>
      <c r="R17934"/>
      <c r="S17934"/>
      <c r="T17934"/>
      <c r="U17934"/>
      <c r="X17934" s="60"/>
    </row>
    <row r="17935" spans="7:24" ht="15" customHeight="1">
      <c r="G17935"/>
      <c r="I17935"/>
      <c r="N17935"/>
      <c r="O17935" s="24"/>
      <c r="P17935"/>
      <c r="Q17935" s="24"/>
      <c r="R17935"/>
      <c r="S17935"/>
      <c r="T17935"/>
      <c r="U17935"/>
      <c r="X17935" s="60"/>
    </row>
    <row r="17936" spans="7:24" ht="15" customHeight="1">
      <c r="G17936"/>
      <c r="I17936"/>
      <c r="N17936"/>
      <c r="O17936" s="24"/>
      <c r="P17936"/>
      <c r="Q17936" s="24"/>
      <c r="R17936"/>
      <c r="S17936"/>
      <c r="T17936"/>
      <c r="U17936"/>
      <c r="X17936" s="60"/>
    </row>
    <row r="17937" spans="7:24" ht="15" customHeight="1">
      <c r="G17937"/>
      <c r="I17937"/>
      <c r="N17937"/>
      <c r="O17937" s="24"/>
      <c r="P17937"/>
      <c r="Q17937" s="24"/>
      <c r="R17937"/>
      <c r="S17937"/>
      <c r="T17937"/>
      <c r="U17937"/>
      <c r="X17937" s="60"/>
    </row>
    <row r="17938" spans="7:24" ht="15" customHeight="1">
      <c r="G17938"/>
      <c r="I17938"/>
      <c r="N17938"/>
      <c r="O17938" s="24"/>
      <c r="P17938"/>
      <c r="Q17938" s="24"/>
      <c r="R17938"/>
      <c r="S17938"/>
      <c r="T17938"/>
      <c r="U17938"/>
      <c r="X17938" s="60"/>
    </row>
    <row r="17939" spans="7:24" ht="15" customHeight="1">
      <c r="G17939"/>
      <c r="I17939"/>
      <c r="N17939"/>
      <c r="O17939" s="24"/>
      <c r="P17939"/>
      <c r="Q17939" s="24"/>
      <c r="R17939"/>
      <c r="S17939"/>
      <c r="T17939"/>
      <c r="U17939"/>
      <c r="X17939" s="60"/>
    </row>
    <row r="17940" spans="7:24" ht="15" customHeight="1">
      <c r="G17940"/>
      <c r="I17940"/>
      <c r="N17940"/>
      <c r="O17940" s="24"/>
      <c r="P17940"/>
      <c r="Q17940" s="24"/>
      <c r="R17940"/>
      <c r="S17940"/>
      <c r="T17940"/>
      <c r="U17940"/>
      <c r="X17940" s="60"/>
    </row>
    <row r="17941" spans="7:24" ht="15" customHeight="1">
      <c r="G17941"/>
      <c r="I17941"/>
      <c r="N17941"/>
      <c r="O17941" s="24"/>
      <c r="P17941"/>
      <c r="Q17941" s="24"/>
      <c r="R17941"/>
      <c r="S17941"/>
      <c r="T17941"/>
      <c r="U17941"/>
      <c r="X17941" s="60"/>
    </row>
    <row r="17942" spans="7:24" ht="15" customHeight="1">
      <c r="G17942"/>
      <c r="I17942"/>
      <c r="N17942"/>
      <c r="O17942" s="24"/>
      <c r="P17942"/>
      <c r="Q17942" s="24"/>
      <c r="R17942"/>
      <c r="S17942"/>
      <c r="T17942"/>
      <c r="U17942"/>
      <c r="X17942" s="60"/>
    </row>
    <row r="17943" spans="7:24" ht="15" customHeight="1">
      <c r="G17943"/>
      <c r="I17943"/>
      <c r="N17943"/>
      <c r="O17943" s="24"/>
      <c r="P17943"/>
      <c r="Q17943" s="24"/>
      <c r="R17943"/>
      <c r="S17943"/>
      <c r="T17943"/>
      <c r="U17943"/>
      <c r="X17943" s="60"/>
    </row>
    <row r="17944" spans="7:24" ht="15" customHeight="1">
      <c r="G17944"/>
      <c r="I17944"/>
      <c r="N17944"/>
      <c r="O17944" s="24"/>
      <c r="P17944"/>
      <c r="Q17944" s="24"/>
      <c r="R17944"/>
      <c r="S17944"/>
      <c r="T17944"/>
      <c r="U17944"/>
      <c r="X17944" s="60"/>
    </row>
    <row r="17945" spans="7:24" ht="15" customHeight="1">
      <c r="G17945"/>
      <c r="I17945"/>
      <c r="N17945"/>
      <c r="O17945" s="24"/>
      <c r="P17945"/>
      <c r="Q17945" s="24"/>
      <c r="R17945"/>
      <c r="S17945"/>
      <c r="T17945"/>
      <c r="U17945"/>
      <c r="X17945" s="60"/>
    </row>
    <row r="17946" spans="7:24" ht="15" customHeight="1">
      <c r="G17946"/>
      <c r="I17946"/>
      <c r="N17946"/>
      <c r="O17946" s="24"/>
      <c r="P17946"/>
      <c r="Q17946" s="24"/>
      <c r="R17946"/>
      <c r="S17946"/>
      <c r="T17946"/>
      <c r="U17946"/>
      <c r="X17946" s="60"/>
    </row>
    <row r="17947" spans="7:24" ht="15" customHeight="1">
      <c r="G17947"/>
      <c r="I17947"/>
      <c r="N17947"/>
      <c r="O17947" s="24"/>
      <c r="P17947"/>
      <c r="Q17947" s="24"/>
      <c r="R17947"/>
      <c r="S17947"/>
      <c r="T17947"/>
      <c r="U17947"/>
      <c r="X17947" s="60"/>
    </row>
    <row r="17948" spans="7:24" ht="15" customHeight="1">
      <c r="G17948"/>
      <c r="I17948"/>
      <c r="N17948"/>
      <c r="O17948" s="24"/>
      <c r="P17948"/>
      <c r="Q17948" s="24"/>
      <c r="R17948"/>
      <c r="S17948"/>
      <c r="T17948"/>
      <c r="U17948"/>
      <c r="X17948" s="60"/>
    </row>
    <row r="17949" spans="7:24" ht="15" customHeight="1">
      <c r="G17949"/>
      <c r="I17949"/>
      <c r="N17949"/>
      <c r="O17949" s="24"/>
      <c r="P17949"/>
      <c r="Q17949" s="24"/>
      <c r="R17949"/>
      <c r="S17949"/>
      <c r="T17949"/>
      <c r="U17949"/>
      <c r="X17949" s="60"/>
    </row>
    <row r="17950" spans="7:24" ht="15" customHeight="1">
      <c r="G17950"/>
      <c r="I17950"/>
      <c r="N17950"/>
      <c r="O17950" s="24"/>
      <c r="P17950"/>
      <c r="Q17950" s="24"/>
      <c r="R17950"/>
      <c r="S17950"/>
      <c r="T17950"/>
      <c r="U17950"/>
      <c r="X17950" s="60"/>
    </row>
    <row r="17951" spans="7:24" ht="15" customHeight="1">
      <c r="G17951"/>
      <c r="I17951"/>
      <c r="N17951"/>
      <c r="O17951" s="24"/>
      <c r="P17951"/>
      <c r="Q17951" s="24"/>
      <c r="R17951"/>
      <c r="S17951"/>
      <c r="T17951"/>
      <c r="U17951"/>
      <c r="X17951" s="60"/>
    </row>
    <row r="17952" spans="7:24" ht="15" customHeight="1">
      <c r="G17952"/>
      <c r="I17952"/>
      <c r="N17952"/>
      <c r="O17952" s="24"/>
      <c r="P17952"/>
      <c r="Q17952" s="24"/>
      <c r="R17952"/>
      <c r="S17952"/>
      <c r="T17952"/>
      <c r="U17952"/>
      <c r="X17952" s="60"/>
    </row>
    <row r="17953" spans="7:24" ht="15" customHeight="1">
      <c r="G17953"/>
      <c r="I17953"/>
      <c r="N17953"/>
      <c r="O17953" s="24"/>
      <c r="P17953"/>
      <c r="Q17953" s="24"/>
      <c r="R17953"/>
      <c r="S17953"/>
      <c r="T17953"/>
      <c r="U17953"/>
      <c r="X17953" s="60"/>
    </row>
    <row r="17954" spans="7:24" ht="15" customHeight="1">
      <c r="G17954"/>
      <c r="I17954"/>
      <c r="N17954"/>
      <c r="O17954" s="24"/>
      <c r="P17954"/>
      <c r="Q17954" s="24"/>
      <c r="R17954"/>
      <c r="S17954"/>
      <c r="T17954"/>
      <c r="U17954"/>
      <c r="X17954" s="60"/>
    </row>
    <row r="17955" spans="7:24" ht="15" customHeight="1">
      <c r="G17955"/>
      <c r="I17955"/>
      <c r="N17955"/>
      <c r="O17955" s="24"/>
      <c r="P17955"/>
      <c r="Q17955" s="24"/>
      <c r="R17955"/>
      <c r="S17955"/>
      <c r="T17955"/>
      <c r="U17955"/>
      <c r="X17955" s="60"/>
    </row>
    <row r="17956" spans="7:24" ht="15" customHeight="1">
      <c r="G17956"/>
      <c r="I17956"/>
      <c r="N17956"/>
      <c r="O17956" s="24"/>
      <c r="P17956"/>
      <c r="Q17956" s="24"/>
      <c r="R17956"/>
      <c r="S17956"/>
      <c r="T17956"/>
      <c r="U17956"/>
      <c r="X17956" s="60"/>
    </row>
    <row r="17957" spans="7:24" ht="15" customHeight="1">
      <c r="G17957"/>
      <c r="I17957"/>
      <c r="N17957"/>
      <c r="O17957" s="24"/>
      <c r="P17957"/>
      <c r="Q17957" s="24"/>
      <c r="R17957"/>
      <c r="S17957"/>
      <c r="T17957"/>
      <c r="U17957"/>
      <c r="X17957" s="60"/>
    </row>
    <row r="17958" spans="7:24" ht="15" customHeight="1">
      <c r="G17958"/>
      <c r="I17958"/>
      <c r="N17958"/>
      <c r="O17958" s="24"/>
      <c r="P17958"/>
      <c r="Q17958" s="24"/>
      <c r="R17958"/>
      <c r="S17958"/>
      <c r="T17958"/>
      <c r="U17958"/>
      <c r="X17958" s="60"/>
    </row>
    <row r="17959" spans="7:24" ht="15" customHeight="1">
      <c r="G17959"/>
      <c r="I17959"/>
      <c r="N17959"/>
      <c r="O17959" s="24"/>
      <c r="P17959"/>
      <c r="Q17959" s="24"/>
      <c r="R17959"/>
      <c r="S17959"/>
      <c r="T17959"/>
      <c r="U17959"/>
      <c r="X17959" s="60"/>
    </row>
    <row r="17960" spans="7:24" ht="15" customHeight="1">
      <c r="G17960"/>
      <c r="I17960"/>
      <c r="N17960"/>
      <c r="O17960" s="24"/>
      <c r="P17960"/>
      <c r="Q17960" s="24"/>
      <c r="R17960"/>
      <c r="S17960"/>
      <c r="T17960"/>
      <c r="U17960"/>
      <c r="X17960" s="60"/>
    </row>
    <row r="17961" spans="7:24" ht="15" customHeight="1">
      <c r="G17961"/>
      <c r="I17961"/>
      <c r="N17961"/>
      <c r="O17961" s="24"/>
      <c r="P17961"/>
      <c r="Q17961" s="24"/>
      <c r="R17961"/>
      <c r="S17961"/>
      <c r="T17961"/>
      <c r="U17961"/>
      <c r="X17961" s="60"/>
    </row>
    <row r="17962" spans="7:24" ht="15" customHeight="1">
      <c r="G17962"/>
      <c r="I17962"/>
      <c r="N17962"/>
      <c r="O17962" s="24"/>
      <c r="P17962"/>
      <c r="Q17962" s="24"/>
      <c r="R17962"/>
      <c r="S17962"/>
      <c r="T17962"/>
      <c r="U17962"/>
      <c r="X17962" s="60"/>
    </row>
    <row r="17963" spans="7:24" ht="15" customHeight="1">
      <c r="G17963"/>
      <c r="I17963"/>
      <c r="N17963"/>
      <c r="O17963" s="24"/>
      <c r="P17963"/>
      <c r="Q17963" s="24"/>
      <c r="R17963"/>
      <c r="S17963"/>
      <c r="T17963"/>
      <c r="U17963"/>
      <c r="X17963" s="60"/>
    </row>
    <row r="17964" spans="7:24" ht="15" customHeight="1">
      <c r="G17964"/>
      <c r="I17964"/>
      <c r="N17964"/>
      <c r="O17964" s="24"/>
      <c r="P17964"/>
      <c r="Q17964" s="24"/>
      <c r="R17964"/>
      <c r="S17964"/>
      <c r="T17964"/>
      <c r="U17964"/>
      <c r="X17964" s="60"/>
    </row>
    <row r="17965" spans="7:24" ht="15" customHeight="1">
      <c r="G17965"/>
      <c r="I17965"/>
      <c r="N17965"/>
      <c r="O17965" s="24"/>
      <c r="P17965"/>
      <c r="Q17965" s="24"/>
      <c r="R17965"/>
      <c r="S17965"/>
      <c r="T17965"/>
      <c r="U17965"/>
      <c r="X17965" s="60"/>
    </row>
    <row r="17966" spans="7:24" ht="15" customHeight="1">
      <c r="G17966"/>
      <c r="I17966"/>
      <c r="N17966"/>
      <c r="O17966" s="24"/>
      <c r="P17966"/>
      <c r="Q17966" s="24"/>
      <c r="R17966"/>
      <c r="S17966"/>
      <c r="T17966"/>
      <c r="U17966"/>
      <c r="X17966" s="60"/>
    </row>
    <row r="17967" spans="7:24" ht="15" customHeight="1">
      <c r="G17967"/>
      <c r="I17967"/>
      <c r="N17967"/>
      <c r="O17967" s="24"/>
      <c r="P17967"/>
      <c r="Q17967" s="24"/>
      <c r="R17967"/>
      <c r="S17967"/>
      <c r="T17967"/>
      <c r="U17967"/>
      <c r="X17967" s="60"/>
    </row>
    <row r="17968" spans="7:24" ht="15" customHeight="1">
      <c r="G17968"/>
      <c r="I17968"/>
      <c r="N17968"/>
      <c r="O17968" s="24"/>
      <c r="P17968"/>
      <c r="Q17968" s="24"/>
      <c r="R17968"/>
      <c r="S17968"/>
      <c r="T17968"/>
      <c r="U17968"/>
      <c r="X17968" s="60"/>
    </row>
    <row r="17969" spans="7:24" ht="15" customHeight="1">
      <c r="G17969"/>
      <c r="I17969"/>
      <c r="N17969"/>
      <c r="O17969" s="24"/>
      <c r="P17969"/>
      <c r="Q17969" s="24"/>
      <c r="R17969"/>
      <c r="S17969"/>
      <c r="T17969"/>
      <c r="U17969"/>
      <c r="X17969" s="60"/>
    </row>
    <row r="17970" spans="7:24" ht="15" customHeight="1">
      <c r="G17970"/>
      <c r="I17970"/>
      <c r="N17970"/>
      <c r="O17970" s="24"/>
      <c r="P17970"/>
      <c r="Q17970" s="24"/>
      <c r="R17970"/>
      <c r="S17970"/>
      <c r="T17970"/>
      <c r="U17970"/>
      <c r="X17970" s="60"/>
    </row>
    <row r="17971" spans="7:24" ht="15" customHeight="1">
      <c r="G17971"/>
      <c r="I17971"/>
      <c r="N17971"/>
      <c r="O17971" s="24"/>
      <c r="P17971"/>
      <c r="Q17971" s="24"/>
      <c r="R17971"/>
      <c r="S17971"/>
      <c r="T17971"/>
      <c r="U17971"/>
      <c r="X17971" s="60"/>
    </row>
    <row r="17972" spans="7:24" ht="15" customHeight="1">
      <c r="G17972"/>
      <c r="I17972"/>
      <c r="N17972"/>
      <c r="O17972" s="24"/>
      <c r="P17972"/>
      <c r="Q17972" s="24"/>
      <c r="R17972"/>
      <c r="S17972"/>
      <c r="T17972"/>
      <c r="U17972"/>
      <c r="X17972" s="60"/>
    </row>
    <row r="17973" spans="7:24" ht="15" customHeight="1">
      <c r="G17973"/>
      <c r="I17973"/>
      <c r="N17973"/>
      <c r="O17973" s="24"/>
      <c r="P17973"/>
      <c r="Q17973" s="24"/>
      <c r="R17973"/>
      <c r="S17973"/>
      <c r="T17973"/>
      <c r="U17973"/>
      <c r="X17973" s="60"/>
    </row>
    <row r="17974" spans="7:24" ht="15" customHeight="1">
      <c r="G17974"/>
      <c r="I17974"/>
      <c r="N17974"/>
      <c r="O17974" s="24"/>
      <c r="P17974"/>
      <c r="Q17974" s="24"/>
      <c r="R17974"/>
      <c r="S17974"/>
      <c r="T17974"/>
      <c r="U17974"/>
      <c r="X17974" s="60"/>
    </row>
    <row r="17975" spans="7:24" ht="15" customHeight="1">
      <c r="G17975"/>
      <c r="I17975"/>
      <c r="N17975"/>
      <c r="O17975" s="24"/>
      <c r="P17975"/>
      <c r="Q17975" s="24"/>
      <c r="R17975"/>
      <c r="S17975"/>
      <c r="T17975"/>
      <c r="U17975"/>
      <c r="X17975" s="60"/>
    </row>
    <row r="17976" spans="7:24" ht="15" customHeight="1">
      <c r="G17976"/>
      <c r="I17976"/>
      <c r="N17976"/>
      <c r="O17976" s="24"/>
      <c r="P17976"/>
      <c r="Q17976" s="24"/>
      <c r="R17976"/>
      <c r="S17976"/>
      <c r="T17976"/>
      <c r="U17976"/>
      <c r="X17976" s="60"/>
    </row>
    <row r="17977" spans="7:24" ht="15" customHeight="1">
      <c r="G17977"/>
      <c r="I17977"/>
      <c r="N17977"/>
      <c r="O17977" s="24"/>
      <c r="P17977"/>
      <c r="Q17977" s="24"/>
      <c r="R17977"/>
      <c r="S17977"/>
      <c r="T17977"/>
      <c r="U17977"/>
      <c r="X17977" s="60"/>
    </row>
    <row r="17978" spans="7:24" ht="15" customHeight="1">
      <c r="G17978"/>
      <c r="I17978"/>
      <c r="N17978"/>
      <c r="O17978" s="24"/>
      <c r="P17978"/>
      <c r="Q17978" s="24"/>
      <c r="R17978"/>
      <c r="S17978"/>
      <c r="T17978"/>
      <c r="U17978"/>
      <c r="X17978" s="60"/>
    </row>
    <row r="17979" spans="7:24" ht="15" customHeight="1">
      <c r="G17979"/>
      <c r="I17979"/>
      <c r="N17979"/>
      <c r="O17979" s="24"/>
      <c r="P17979"/>
      <c r="Q17979" s="24"/>
      <c r="R17979"/>
      <c r="S17979"/>
      <c r="T17979"/>
      <c r="U17979"/>
      <c r="X17979" s="60"/>
    </row>
    <row r="17980" spans="7:24" ht="15" customHeight="1">
      <c r="G17980"/>
      <c r="I17980"/>
      <c r="N17980"/>
      <c r="O17980" s="24"/>
      <c r="P17980"/>
      <c r="Q17980" s="24"/>
      <c r="R17980"/>
      <c r="S17980"/>
      <c r="T17980"/>
      <c r="U17980"/>
      <c r="X17980" s="60"/>
    </row>
    <row r="17981" spans="7:24" ht="15" customHeight="1">
      <c r="G17981"/>
      <c r="I17981"/>
      <c r="N17981"/>
      <c r="O17981" s="24"/>
      <c r="P17981"/>
      <c r="Q17981" s="24"/>
      <c r="R17981"/>
      <c r="S17981"/>
      <c r="T17981"/>
      <c r="U17981"/>
      <c r="X17981" s="60"/>
    </row>
    <row r="17982" spans="7:24" ht="15" customHeight="1">
      <c r="G17982"/>
      <c r="I17982"/>
      <c r="N17982"/>
      <c r="O17982" s="24"/>
      <c r="P17982"/>
      <c r="Q17982" s="24"/>
      <c r="R17982"/>
      <c r="S17982"/>
      <c r="T17982"/>
      <c r="U17982"/>
      <c r="X17982" s="60"/>
    </row>
    <row r="17983" spans="7:24" ht="15" customHeight="1">
      <c r="G17983"/>
      <c r="I17983"/>
      <c r="N17983"/>
      <c r="O17983" s="24"/>
      <c r="P17983"/>
      <c r="Q17983" s="24"/>
      <c r="R17983"/>
      <c r="S17983"/>
      <c r="T17983"/>
      <c r="U17983"/>
      <c r="X17983" s="60"/>
    </row>
    <row r="17984" spans="7:24" ht="15" customHeight="1">
      <c r="G17984"/>
      <c r="I17984"/>
      <c r="N17984"/>
      <c r="O17984" s="24"/>
      <c r="P17984"/>
      <c r="Q17984" s="24"/>
      <c r="R17984"/>
      <c r="S17984"/>
      <c r="T17984"/>
      <c r="U17984"/>
      <c r="X17984" s="60"/>
    </row>
    <row r="17985" spans="7:24" ht="15" customHeight="1">
      <c r="G17985"/>
      <c r="I17985"/>
      <c r="N17985"/>
      <c r="O17985" s="24"/>
      <c r="P17985"/>
      <c r="Q17985" s="24"/>
      <c r="R17985"/>
      <c r="S17985"/>
      <c r="T17985"/>
      <c r="U17985"/>
      <c r="X17985" s="60"/>
    </row>
    <row r="17986" spans="7:24" ht="15" customHeight="1">
      <c r="G17986"/>
      <c r="I17986"/>
      <c r="N17986"/>
      <c r="O17986" s="24"/>
      <c r="P17986"/>
      <c r="Q17986" s="24"/>
      <c r="R17986"/>
      <c r="S17986"/>
      <c r="T17986"/>
      <c r="U17986"/>
      <c r="X17986" s="60"/>
    </row>
    <row r="17987" spans="7:24" ht="15" customHeight="1">
      <c r="G17987"/>
      <c r="I17987"/>
      <c r="N17987"/>
      <c r="O17987" s="24"/>
      <c r="P17987"/>
      <c r="Q17987" s="24"/>
      <c r="R17987"/>
      <c r="S17987"/>
      <c r="T17987"/>
      <c r="U17987"/>
      <c r="X17987" s="60"/>
    </row>
    <row r="17988" spans="7:24" ht="15" customHeight="1">
      <c r="G17988"/>
      <c r="I17988"/>
      <c r="N17988"/>
      <c r="O17988" s="24"/>
      <c r="P17988"/>
      <c r="Q17988" s="24"/>
      <c r="R17988"/>
      <c r="S17988"/>
      <c r="T17988"/>
      <c r="U17988"/>
      <c r="X17988" s="60"/>
    </row>
    <row r="17989" spans="7:24" ht="15" customHeight="1">
      <c r="G17989"/>
      <c r="I17989"/>
      <c r="N17989"/>
      <c r="O17989" s="24"/>
      <c r="P17989"/>
      <c r="Q17989" s="24"/>
      <c r="R17989"/>
      <c r="S17989"/>
      <c r="T17989"/>
      <c r="U17989"/>
      <c r="X17989" s="60"/>
    </row>
    <row r="17990" spans="7:24" ht="15" customHeight="1">
      <c r="G17990"/>
      <c r="I17990"/>
      <c r="N17990"/>
      <c r="O17990" s="24"/>
      <c r="P17990"/>
      <c r="Q17990" s="24"/>
      <c r="R17990"/>
      <c r="S17990"/>
      <c r="T17990"/>
      <c r="U17990"/>
      <c r="X17990" s="60"/>
    </row>
    <row r="17991" spans="7:24" ht="15" customHeight="1">
      <c r="G17991"/>
      <c r="I17991"/>
      <c r="N17991"/>
      <c r="O17991" s="24"/>
      <c r="P17991"/>
      <c r="Q17991" s="24"/>
      <c r="R17991"/>
      <c r="S17991"/>
      <c r="T17991"/>
      <c r="U17991"/>
      <c r="X17991" s="60"/>
    </row>
    <row r="17992" spans="7:24" ht="15" customHeight="1">
      <c r="G17992"/>
      <c r="I17992"/>
      <c r="N17992"/>
      <c r="O17992" s="24"/>
      <c r="P17992"/>
      <c r="Q17992" s="24"/>
      <c r="R17992"/>
      <c r="S17992"/>
      <c r="T17992"/>
      <c r="U17992"/>
      <c r="X17992" s="60"/>
    </row>
    <row r="17993" spans="7:24" ht="15" customHeight="1">
      <c r="G17993"/>
      <c r="I17993"/>
      <c r="N17993"/>
      <c r="O17993" s="24"/>
      <c r="P17993"/>
      <c r="Q17993" s="24"/>
      <c r="R17993"/>
      <c r="S17993"/>
      <c r="T17993"/>
      <c r="U17993"/>
      <c r="X17993" s="60"/>
    </row>
    <row r="17994" spans="7:24" ht="15" customHeight="1">
      <c r="G17994"/>
      <c r="I17994"/>
      <c r="N17994"/>
      <c r="O17994" s="24"/>
      <c r="P17994"/>
      <c r="Q17994" s="24"/>
      <c r="R17994"/>
      <c r="S17994"/>
      <c r="T17994"/>
      <c r="U17994"/>
      <c r="X17994" s="60"/>
    </row>
    <row r="17995" spans="7:24" ht="15" customHeight="1">
      <c r="G17995"/>
      <c r="I17995"/>
      <c r="N17995"/>
      <c r="O17995" s="24"/>
      <c r="P17995"/>
      <c r="Q17995" s="24"/>
      <c r="R17995"/>
      <c r="S17995"/>
      <c r="T17995"/>
      <c r="U17995"/>
      <c r="X17995" s="60"/>
    </row>
    <row r="17996" spans="7:24" ht="15" customHeight="1">
      <c r="G17996"/>
      <c r="I17996"/>
      <c r="N17996"/>
      <c r="O17996" s="24"/>
      <c r="P17996"/>
      <c r="Q17996" s="24"/>
      <c r="R17996"/>
      <c r="S17996"/>
      <c r="T17996"/>
      <c r="U17996"/>
      <c r="X17996" s="60"/>
    </row>
    <row r="17997" spans="7:24" ht="15" customHeight="1">
      <c r="G17997"/>
      <c r="I17997"/>
      <c r="N17997"/>
      <c r="O17997" s="24"/>
      <c r="P17997"/>
      <c r="Q17997" s="24"/>
      <c r="R17997"/>
      <c r="S17997"/>
      <c r="T17997"/>
      <c r="U17997"/>
      <c r="X17997" s="60"/>
    </row>
    <row r="17998" spans="7:24" ht="15" customHeight="1">
      <c r="G17998"/>
      <c r="I17998"/>
      <c r="N17998"/>
      <c r="O17998" s="24"/>
      <c r="P17998"/>
      <c r="Q17998" s="24"/>
      <c r="R17998"/>
      <c r="S17998"/>
      <c r="T17998"/>
      <c r="U17998"/>
      <c r="X17998" s="60"/>
    </row>
    <row r="17999" spans="7:24" ht="15" customHeight="1">
      <c r="G17999"/>
      <c r="I17999"/>
      <c r="N17999"/>
      <c r="O17999" s="24"/>
      <c r="P17999"/>
      <c r="Q17999" s="24"/>
      <c r="R17999"/>
      <c r="S17999"/>
      <c r="T17999"/>
      <c r="U17999"/>
      <c r="X17999" s="60"/>
    </row>
    <row r="18000" spans="7:24" ht="15" customHeight="1">
      <c r="G18000"/>
      <c r="I18000"/>
      <c r="N18000"/>
      <c r="O18000" s="24"/>
      <c r="P18000"/>
      <c r="Q18000" s="24"/>
      <c r="R18000"/>
      <c r="S18000"/>
      <c r="T18000"/>
      <c r="U18000"/>
      <c r="X18000" s="60"/>
    </row>
    <row r="18001" spans="7:24" ht="15" customHeight="1">
      <c r="G18001"/>
      <c r="I18001"/>
      <c r="N18001"/>
      <c r="O18001" s="24"/>
      <c r="P18001"/>
      <c r="Q18001" s="24"/>
      <c r="R18001"/>
      <c r="S18001"/>
      <c r="T18001"/>
      <c r="U18001"/>
      <c r="X18001" s="60"/>
    </row>
    <row r="18002" spans="7:24" ht="15" customHeight="1">
      <c r="G18002"/>
      <c r="I18002"/>
      <c r="N18002"/>
      <c r="O18002" s="24"/>
      <c r="P18002"/>
      <c r="Q18002" s="24"/>
      <c r="R18002"/>
      <c r="S18002"/>
      <c r="T18002"/>
      <c r="U18002"/>
      <c r="X18002" s="60"/>
    </row>
    <row r="18003" spans="7:24" ht="15" customHeight="1">
      <c r="G18003"/>
      <c r="I18003"/>
      <c r="N18003"/>
      <c r="O18003" s="24"/>
      <c r="P18003"/>
      <c r="Q18003" s="24"/>
      <c r="R18003"/>
      <c r="S18003"/>
      <c r="T18003"/>
      <c r="U18003"/>
      <c r="X18003" s="60"/>
    </row>
    <row r="18004" spans="7:24" ht="15" customHeight="1">
      <c r="G18004"/>
      <c r="I18004"/>
      <c r="N18004"/>
      <c r="O18004" s="24"/>
      <c r="P18004"/>
      <c r="Q18004" s="24"/>
      <c r="R18004"/>
      <c r="S18004"/>
      <c r="T18004"/>
      <c r="U18004"/>
      <c r="X18004" s="60"/>
    </row>
    <row r="18005" spans="7:24" ht="15" customHeight="1">
      <c r="G18005"/>
      <c r="I18005"/>
      <c r="N18005"/>
      <c r="O18005" s="24"/>
      <c r="P18005"/>
      <c r="Q18005" s="24"/>
      <c r="R18005"/>
      <c r="S18005"/>
      <c r="T18005"/>
      <c r="U18005"/>
      <c r="X18005" s="60"/>
    </row>
    <row r="18006" spans="7:24" ht="15" customHeight="1">
      <c r="G18006"/>
      <c r="I18006"/>
      <c r="N18006"/>
      <c r="O18006" s="24"/>
      <c r="P18006"/>
      <c r="Q18006" s="24"/>
      <c r="R18006"/>
      <c r="S18006"/>
      <c r="T18006"/>
      <c r="U18006"/>
      <c r="X18006" s="60"/>
    </row>
    <row r="18007" spans="7:24" ht="15" customHeight="1">
      <c r="G18007"/>
      <c r="I18007"/>
      <c r="N18007"/>
      <c r="O18007" s="24"/>
      <c r="P18007"/>
      <c r="Q18007" s="24"/>
      <c r="R18007"/>
      <c r="S18007"/>
      <c r="T18007"/>
      <c r="U18007"/>
      <c r="X18007" s="60"/>
    </row>
    <row r="18008" spans="7:24" ht="15" customHeight="1">
      <c r="G18008"/>
      <c r="I18008"/>
      <c r="N18008"/>
      <c r="O18008" s="24"/>
      <c r="P18008"/>
      <c r="Q18008" s="24"/>
      <c r="R18008"/>
      <c r="S18008"/>
      <c r="T18008"/>
      <c r="U18008"/>
      <c r="X18008" s="60"/>
    </row>
    <row r="18009" spans="7:24" ht="15" customHeight="1">
      <c r="G18009"/>
      <c r="I18009"/>
      <c r="N18009"/>
      <c r="O18009" s="24"/>
      <c r="P18009"/>
      <c r="Q18009" s="24"/>
      <c r="R18009"/>
      <c r="S18009"/>
      <c r="T18009"/>
      <c r="U18009"/>
      <c r="X18009" s="60"/>
    </row>
    <row r="18010" spans="7:24" ht="15" customHeight="1">
      <c r="G18010"/>
      <c r="I18010"/>
      <c r="N18010"/>
      <c r="O18010" s="24"/>
      <c r="P18010"/>
      <c r="Q18010" s="24"/>
      <c r="R18010"/>
      <c r="S18010"/>
      <c r="T18010"/>
      <c r="U18010"/>
      <c r="X18010" s="60"/>
    </row>
    <row r="18011" spans="7:24" ht="15" customHeight="1">
      <c r="G18011"/>
      <c r="I18011"/>
      <c r="N18011"/>
      <c r="O18011" s="24"/>
      <c r="P18011"/>
      <c r="Q18011" s="24"/>
      <c r="R18011"/>
      <c r="S18011"/>
      <c r="T18011"/>
      <c r="U18011"/>
      <c r="X18011" s="60"/>
    </row>
    <row r="18012" spans="7:24" ht="15" customHeight="1">
      <c r="G18012"/>
      <c r="I18012"/>
      <c r="N18012"/>
      <c r="O18012" s="24"/>
      <c r="P18012"/>
      <c r="Q18012" s="24"/>
      <c r="R18012"/>
      <c r="S18012"/>
      <c r="T18012"/>
      <c r="U18012"/>
      <c r="X18012" s="60"/>
    </row>
    <row r="18013" spans="7:24" ht="15" customHeight="1">
      <c r="G18013"/>
      <c r="I18013"/>
      <c r="N18013"/>
      <c r="O18013" s="24"/>
      <c r="P18013"/>
      <c r="Q18013" s="24"/>
      <c r="R18013"/>
      <c r="S18013"/>
      <c r="T18013"/>
      <c r="U18013"/>
      <c r="X18013" s="60"/>
    </row>
    <row r="18014" spans="7:24" ht="15" customHeight="1">
      <c r="G18014"/>
      <c r="I18014"/>
      <c r="N18014"/>
      <c r="O18014" s="24"/>
      <c r="P18014"/>
      <c r="Q18014" s="24"/>
      <c r="R18014"/>
      <c r="S18014"/>
      <c r="T18014"/>
      <c r="U18014"/>
      <c r="X18014" s="60"/>
    </row>
    <row r="18015" spans="7:24" ht="15" customHeight="1">
      <c r="G18015"/>
      <c r="I18015"/>
      <c r="N18015"/>
      <c r="O18015" s="24"/>
      <c r="P18015"/>
      <c r="Q18015" s="24"/>
      <c r="R18015"/>
      <c r="S18015"/>
      <c r="T18015"/>
      <c r="U18015"/>
      <c r="X18015" s="60"/>
    </row>
    <row r="18016" spans="7:24" ht="15" customHeight="1">
      <c r="G18016"/>
      <c r="I18016"/>
      <c r="N18016"/>
      <c r="O18016" s="24"/>
      <c r="P18016"/>
      <c r="Q18016" s="24"/>
      <c r="R18016"/>
      <c r="S18016"/>
      <c r="T18016"/>
      <c r="U18016"/>
      <c r="X18016" s="60"/>
    </row>
    <row r="18017" spans="7:24" ht="15" customHeight="1">
      <c r="G18017"/>
      <c r="I18017"/>
      <c r="N18017"/>
      <c r="O18017" s="24"/>
      <c r="P18017"/>
      <c r="Q18017" s="24"/>
      <c r="R18017"/>
      <c r="S18017"/>
      <c r="T18017"/>
      <c r="U18017"/>
      <c r="X18017" s="60"/>
    </row>
    <row r="18018" spans="7:24" ht="15" customHeight="1">
      <c r="G18018"/>
      <c r="I18018"/>
      <c r="N18018"/>
      <c r="O18018" s="24"/>
      <c r="P18018"/>
      <c r="Q18018" s="24"/>
      <c r="R18018"/>
      <c r="S18018"/>
      <c r="T18018"/>
      <c r="U18018"/>
      <c r="X18018" s="60"/>
    </row>
    <row r="18019" spans="7:24" ht="15" customHeight="1">
      <c r="G18019"/>
      <c r="I18019"/>
      <c r="N18019"/>
      <c r="O18019" s="24"/>
      <c r="P18019"/>
      <c r="Q18019" s="24"/>
      <c r="R18019"/>
      <c r="S18019"/>
      <c r="T18019"/>
      <c r="U18019"/>
      <c r="X18019" s="60"/>
    </row>
    <row r="18020" spans="7:24" ht="15" customHeight="1">
      <c r="G18020"/>
      <c r="I18020"/>
      <c r="N18020"/>
      <c r="O18020" s="24"/>
      <c r="P18020"/>
      <c r="Q18020" s="24"/>
      <c r="R18020"/>
      <c r="S18020"/>
      <c r="T18020"/>
      <c r="U18020"/>
      <c r="X18020" s="60"/>
    </row>
    <row r="18021" spans="7:24" ht="15" customHeight="1">
      <c r="G18021"/>
      <c r="I18021"/>
      <c r="N18021"/>
      <c r="O18021" s="24"/>
      <c r="P18021"/>
      <c r="Q18021" s="24"/>
      <c r="R18021"/>
      <c r="S18021"/>
      <c r="T18021"/>
      <c r="U18021"/>
      <c r="X18021" s="60"/>
    </row>
    <row r="18022" spans="7:24" ht="15" customHeight="1">
      <c r="G18022"/>
      <c r="I18022"/>
      <c r="N18022"/>
      <c r="O18022" s="24"/>
      <c r="P18022"/>
      <c r="Q18022" s="24"/>
      <c r="R18022"/>
      <c r="S18022"/>
      <c r="T18022"/>
      <c r="U18022"/>
      <c r="X18022" s="60"/>
    </row>
    <row r="18023" spans="7:24" ht="15" customHeight="1">
      <c r="G18023"/>
      <c r="I18023"/>
      <c r="N18023"/>
      <c r="O18023" s="24"/>
      <c r="P18023"/>
      <c r="Q18023" s="24"/>
      <c r="R18023"/>
      <c r="S18023"/>
      <c r="T18023"/>
      <c r="U18023"/>
      <c r="X18023" s="60"/>
    </row>
    <row r="18024" spans="7:24" ht="15" customHeight="1">
      <c r="G18024"/>
      <c r="I18024"/>
      <c r="N18024"/>
      <c r="O18024" s="24"/>
      <c r="P18024"/>
      <c r="Q18024" s="24"/>
      <c r="R18024"/>
      <c r="S18024"/>
      <c r="T18024"/>
      <c r="U18024"/>
      <c r="X18024" s="60"/>
    </row>
    <row r="18025" spans="7:24" ht="15" customHeight="1">
      <c r="G18025"/>
      <c r="I18025"/>
      <c r="N18025"/>
      <c r="O18025" s="24"/>
      <c r="P18025"/>
      <c r="Q18025" s="24"/>
      <c r="R18025"/>
      <c r="S18025"/>
      <c r="T18025"/>
      <c r="U18025"/>
      <c r="X18025" s="60"/>
    </row>
    <row r="18026" spans="7:24" ht="15" customHeight="1">
      <c r="G18026"/>
      <c r="I18026"/>
      <c r="N18026"/>
      <c r="O18026" s="24"/>
      <c r="P18026"/>
      <c r="Q18026" s="24"/>
      <c r="R18026"/>
      <c r="S18026"/>
      <c r="T18026"/>
      <c r="U18026"/>
      <c r="X18026" s="60"/>
    </row>
    <row r="18027" spans="7:24" ht="15" customHeight="1">
      <c r="G18027"/>
      <c r="I18027"/>
      <c r="N18027"/>
      <c r="O18027" s="24"/>
      <c r="P18027"/>
      <c r="Q18027" s="24"/>
      <c r="R18027"/>
      <c r="S18027"/>
      <c r="T18027"/>
      <c r="U18027"/>
      <c r="X18027" s="60"/>
    </row>
    <row r="18028" spans="7:24" ht="15" customHeight="1">
      <c r="G18028"/>
      <c r="I18028"/>
      <c r="N18028"/>
      <c r="O18028" s="24"/>
      <c r="P18028"/>
      <c r="Q18028" s="24"/>
      <c r="R18028"/>
      <c r="S18028"/>
      <c r="T18028"/>
      <c r="U18028"/>
      <c r="X18028" s="60"/>
    </row>
    <row r="18029" spans="7:24" ht="15" customHeight="1">
      <c r="G18029"/>
      <c r="I18029"/>
      <c r="N18029"/>
      <c r="O18029" s="24"/>
      <c r="P18029"/>
      <c r="Q18029" s="24"/>
      <c r="R18029"/>
      <c r="S18029"/>
      <c r="T18029"/>
      <c r="U18029"/>
      <c r="X18029" s="60"/>
    </row>
    <row r="18030" spans="7:24" ht="15" customHeight="1">
      <c r="G18030"/>
      <c r="I18030"/>
      <c r="N18030"/>
      <c r="O18030" s="24"/>
      <c r="P18030"/>
      <c r="Q18030" s="24"/>
      <c r="R18030"/>
      <c r="S18030"/>
      <c r="T18030"/>
      <c r="U18030"/>
      <c r="X18030" s="60"/>
    </row>
    <row r="18031" spans="7:24" ht="15" customHeight="1">
      <c r="G18031"/>
      <c r="I18031"/>
      <c r="N18031"/>
      <c r="O18031" s="24"/>
      <c r="P18031"/>
      <c r="Q18031" s="24"/>
      <c r="R18031"/>
      <c r="S18031"/>
      <c r="T18031"/>
      <c r="U18031"/>
      <c r="X18031" s="60"/>
    </row>
    <row r="18032" spans="7:24" ht="15" customHeight="1">
      <c r="G18032"/>
      <c r="I18032"/>
      <c r="N18032"/>
      <c r="O18032" s="24"/>
      <c r="P18032"/>
      <c r="Q18032" s="24"/>
      <c r="R18032"/>
      <c r="S18032"/>
      <c r="T18032"/>
      <c r="U18032"/>
      <c r="X18032" s="60"/>
    </row>
    <row r="18033" spans="7:24" ht="15" customHeight="1">
      <c r="G18033"/>
      <c r="I18033"/>
      <c r="N18033"/>
      <c r="O18033" s="24"/>
      <c r="P18033"/>
      <c r="Q18033" s="24"/>
      <c r="R18033"/>
      <c r="S18033"/>
      <c r="T18033"/>
      <c r="U18033"/>
      <c r="X18033" s="60"/>
    </row>
    <row r="18034" spans="7:24" ht="15" customHeight="1">
      <c r="G18034"/>
      <c r="I18034"/>
      <c r="N18034"/>
      <c r="O18034" s="24"/>
      <c r="P18034"/>
      <c r="Q18034" s="24"/>
      <c r="R18034"/>
      <c r="S18034"/>
      <c r="T18034"/>
      <c r="U18034"/>
      <c r="X18034" s="60"/>
    </row>
    <row r="18035" spans="7:24" ht="15" customHeight="1">
      <c r="G18035"/>
      <c r="I18035"/>
      <c r="N18035"/>
      <c r="O18035" s="24"/>
      <c r="P18035"/>
      <c r="Q18035" s="24"/>
      <c r="R18035"/>
      <c r="S18035"/>
      <c r="T18035"/>
      <c r="U18035"/>
      <c r="X18035" s="60"/>
    </row>
    <row r="18036" spans="7:24" ht="15" customHeight="1">
      <c r="G18036"/>
      <c r="I18036"/>
      <c r="N18036"/>
      <c r="O18036" s="24"/>
      <c r="P18036"/>
      <c r="Q18036" s="24"/>
      <c r="R18036"/>
      <c r="S18036"/>
      <c r="T18036"/>
      <c r="U18036"/>
      <c r="X18036" s="60"/>
    </row>
    <row r="18037" spans="7:24" ht="15" customHeight="1">
      <c r="G18037"/>
      <c r="I18037"/>
      <c r="N18037"/>
      <c r="O18037" s="24"/>
      <c r="P18037"/>
      <c r="Q18037" s="24"/>
      <c r="R18037"/>
      <c r="S18037"/>
      <c r="T18037"/>
      <c r="U18037"/>
      <c r="X18037" s="60"/>
    </row>
    <row r="18038" spans="7:24" ht="15" customHeight="1">
      <c r="G18038"/>
      <c r="I18038"/>
      <c r="N18038"/>
      <c r="O18038" s="24"/>
      <c r="P18038"/>
      <c r="Q18038" s="24"/>
      <c r="R18038"/>
      <c r="S18038"/>
      <c r="T18038"/>
      <c r="U18038"/>
      <c r="X18038" s="60"/>
    </row>
    <row r="18039" spans="7:24" ht="15" customHeight="1">
      <c r="G18039"/>
      <c r="I18039"/>
      <c r="N18039"/>
      <c r="O18039" s="24"/>
      <c r="P18039"/>
      <c r="Q18039" s="24"/>
      <c r="R18039"/>
      <c r="S18039"/>
      <c r="T18039"/>
      <c r="U18039"/>
      <c r="X18039" s="60"/>
    </row>
    <row r="18040" spans="7:24" ht="15" customHeight="1">
      <c r="G18040"/>
      <c r="I18040"/>
      <c r="N18040"/>
      <c r="O18040" s="24"/>
      <c r="P18040"/>
      <c r="Q18040" s="24"/>
      <c r="R18040"/>
      <c r="S18040"/>
      <c r="T18040"/>
      <c r="U18040"/>
      <c r="X18040" s="60"/>
    </row>
    <row r="18041" spans="7:24" ht="15" customHeight="1">
      <c r="G18041"/>
      <c r="I18041"/>
      <c r="N18041"/>
      <c r="O18041" s="24"/>
      <c r="P18041"/>
      <c r="Q18041" s="24"/>
      <c r="R18041"/>
      <c r="S18041"/>
      <c r="T18041"/>
      <c r="U18041"/>
      <c r="X18041" s="60"/>
    </row>
    <row r="18042" spans="7:24" ht="15" customHeight="1">
      <c r="G18042"/>
      <c r="I18042"/>
      <c r="N18042"/>
      <c r="O18042" s="24"/>
      <c r="P18042"/>
      <c r="Q18042" s="24"/>
      <c r="R18042"/>
      <c r="S18042"/>
      <c r="T18042"/>
      <c r="U18042"/>
      <c r="X18042" s="60"/>
    </row>
    <row r="18043" spans="7:24" ht="15" customHeight="1">
      <c r="G18043"/>
      <c r="I18043"/>
      <c r="N18043"/>
      <c r="O18043" s="24"/>
      <c r="P18043"/>
      <c r="Q18043" s="24"/>
      <c r="R18043"/>
      <c r="S18043"/>
      <c r="T18043"/>
      <c r="U18043"/>
      <c r="X18043" s="60"/>
    </row>
    <row r="18044" spans="7:24" ht="15" customHeight="1">
      <c r="G18044"/>
      <c r="I18044"/>
      <c r="N18044"/>
      <c r="O18044" s="24"/>
      <c r="P18044"/>
      <c r="Q18044" s="24"/>
      <c r="R18044"/>
      <c r="S18044"/>
      <c r="T18044"/>
      <c r="U18044"/>
      <c r="X18044" s="60"/>
    </row>
    <row r="18045" spans="7:24" ht="15" customHeight="1">
      <c r="G18045"/>
      <c r="I18045"/>
      <c r="N18045"/>
      <c r="O18045" s="24"/>
      <c r="P18045"/>
      <c r="Q18045" s="24"/>
      <c r="R18045"/>
      <c r="S18045"/>
      <c r="T18045"/>
      <c r="U18045"/>
      <c r="X18045" s="60"/>
    </row>
    <row r="18046" spans="7:24" ht="15" customHeight="1">
      <c r="G18046"/>
      <c r="I18046"/>
      <c r="N18046"/>
      <c r="O18046" s="24"/>
      <c r="P18046"/>
      <c r="Q18046" s="24"/>
      <c r="R18046"/>
      <c r="S18046"/>
      <c r="T18046"/>
      <c r="U18046"/>
      <c r="X18046" s="60"/>
    </row>
    <row r="18047" spans="7:24" ht="15" customHeight="1">
      <c r="G18047"/>
      <c r="I18047"/>
      <c r="N18047"/>
      <c r="O18047" s="24"/>
      <c r="P18047"/>
      <c r="Q18047" s="24"/>
      <c r="R18047"/>
      <c r="S18047"/>
      <c r="T18047"/>
      <c r="U18047"/>
      <c r="X18047" s="60"/>
    </row>
    <row r="18048" spans="7:24" ht="15" customHeight="1">
      <c r="G18048"/>
      <c r="I18048"/>
      <c r="N18048"/>
      <c r="O18048" s="24"/>
      <c r="P18048"/>
      <c r="Q18048" s="24"/>
      <c r="R18048"/>
      <c r="S18048"/>
      <c r="T18048"/>
      <c r="U18048"/>
      <c r="X18048" s="60"/>
    </row>
    <row r="18049" spans="7:24" ht="15" customHeight="1">
      <c r="G18049"/>
      <c r="I18049"/>
      <c r="N18049"/>
      <c r="O18049" s="24"/>
      <c r="P18049"/>
      <c r="Q18049" s="24"/>
      <c r="R18049"/>
      <c r="S18049"/>
      <c r="T18049"/>
      <c r="U18049"/>
      <c r="X18049" s="60"/>
    </row>
    <row r="18050" spans="7:24" ht="15" customHeight="1">
      <c r="G18050"/>
      <c r="I18050"/>
      <c r="N18050"/>
      <c r="O18050" s="24"/>
      <c r="P18050"/>
      <c r="Q18050" s="24"/>
      <c r="R18050"/>
      <c r="S18050"/>
      <c r="T18050"/>
      <c r="U18050"/>
      <c r="X18050" s="60"/>
    </row>
    <row r="18051" spans="7:24" ht="15" customHeight="1">
      <c r="G18051"/>
      <c r="I18051"/>
      <c r="N18051"/>
      <c r="O18051" s="24"/>
      <c r="P18051"/>
      <c r="Q18051" s="24"/>
      <c r="R18051"/>
      <c r="S18051"/>
      <c r="T18051"/>
      <c r="U18051"/>
      <c r="X18051" s="60"/>
    </row>
    <row r="18052" spans="7:24" ht="15" customHeight="1">
      <c r="G18052"/>
      <c r="I18052"/>
      <c r="N18052"/>
      <c r="O18052" s="24"/>
      <c r="P18052"/>
      <c r="Q18052" s="24"/>
      <c r="R18052"/>
      <c r="S18052"/>
      <c r="T18052"/>
      <c r="U18052"/>
      <c r="X18052" s="60"/>
    </row>
    <row r="18053" spans="7:24" ht="15" customHeight="1">
      <c r="G18053"/>
      <c r="I18053"/>
      <c r="N18053"/>
      <c r="O18053" s="24"/>
      <c r="P18053"/>
      <c r="Q18053" s="24"/>
      <c r="R18053"/>
      <c r="S18053"/>
      <c r="T18053"/>
      <c r="U18053"/>
      <c r="X18053" s="60"/>
    </row>
    <row r="18054" spans="7:24" ht="15" customHeight="1">
      <c r="G18054"/>
      <c r="I18054"/>
      <c r="N18054"/>
      <c r="O18054" s="24"/>
      <c r="P18054"/>
      <c r="Q18054" s="24"/>
      <c r="R18054"/>
      <c r="S18054"/>
      <c r="T18054"/>
      <c r="U18054"/>
      <c r="X18054" s="60"/>
    </row>
    <row r="18055" spans="7:24" ht="15" customHeight="1">
      <c r="G18055"/>
      <c r="I18055"/>
      <c r="N18055"/>
      <c r="O18055" s="24"/>
      <c r="P18055"/>
      <c r="Q18055" s="24"/>
      <c r="R18055"/>
      <c r="S18055"/>
      <c r="T18055"/>
      <c r="U18055"/>
      <c r="X18055" s="60"/>
    </row>
    <row r="18056" spans="7:24" ht="15" customHeight="1">
      <c r="G18056"/>
      <c r="I18056"/>
      <c r="N18056"/>
      <c r="O18056" s="24"/>
      <c r="P18056"/>
      <c r="Q18056" s="24"/>
      <c r="R18056"/>
      <c r="S18056"/>
      <c r="T18056"/>
      <c r="U18056"/>
      <c r="X18056" s="60"/>
    </row>
    <row r="18057" spans="7:24" ht="15" customHeight="1">
      <c r="G18057"/>
      <c r="I18057"/>
      <c r="N18057"/>
      <c r="O18057" s="24"/>
      <c r="P18057"/>
      <c r="Q18057" s="24"/>
      <c r="R18057"/>
      <c r="S18057"/>
      <c r="T18057"/>
      <c r="U18057"/>
      <c r="X18057" s="60"/>
    </row>
    <row r="18058" spans="7:24" ht="15" customHeight="1">
      <c r="G18058"/>
      <c r="I18058"/>
      <c r="N18058"/>
      <c r="O18058" s="24"/>
      <c r="P18058"/>
      <c r="Q18058" s="24"/>
      <c r="R18058"/>
      <c r="S18058"/>
      <c r="T18058"/>
      <c r="U18058"/>
      <c r="X18058" s="60"/>
    </row>
    <row r="18059" spans="7:24" ht="15" customHeight="1">
      <c r="G18059"/>
      <c r="I18059"/>
      <c r="N18059"/>
      <c r="O18059" s="24"/>
      <c r="P18059"/>
      <c r="Q18059" s="24"/>
      <c r="R18059"/>
      <c r="S18059"/>
      <c r="T18059"/>
      <c r="U18059"/>
      <c r="X18059" s="60"/>
    </row>
    <row r="18060" spans="7:24" ht="15" customHeight="1">
      <c r="G18060"/>
      <c r="I18060"/>
      <c r="N18060"/>
      <c r="O18060" s="24"/>
      <c r="P18060"/>
      <c r="Q18060" s="24"/>
      <c r="R18060"/>
      <c r="S18060"/>
      <c r="T18060"/>
      <c r="U18060"/>
      <c r="X18060" s="60"/>
    </row>
    <row r="18061" spans="7:24" ht="15" customHeight="1">
      <c r="G18061"/>
      <c r="I18061"/>
      <c r="N18061"/>
      <c r="O18061" s="24"/>
      <c r="P18061"/>
      <c r="Q18061" s="24"/>
      <c r="R18061"/>
      <c r="S18061"/>
      <c r="T18061"/>
      <c r="U18061"/>
      <c r="X18061" s="60"/>
    </row>
    <row r="18062" spans="7:24" ht="15" customHeight="1">
      <c r="G18062"/>
      <c r="I18062"/>
      <c r="N18062"/>
      <c r="O18062" s="24"/>
      <c r="P18062"/>
      <c r="Q18062" s="24"/>
      <c r="R18062"/>
      <c r="S18062"/>
      <c r="T18062"/>
      <c r="U18062"/>
      <c r="X18062" s="60"/>
    </row>
    <row r="18063" spans="7:24" ht="15" customHeight="1">
      <c r="G18063"/>
      <c r="I18063"/>
      <c r="N18063"/>
      <c r="O18063" s="24"/>
      <c r="P18063"/>
      <c r="Q18063" s="24"/>
      <c r="R18063"/>
      <c r="S18063"/>
      <c r="T18063"/>
      <c r="U18063"/>
      <c r="X18063" s="60"/>
    </row>
    <row r="18064" spans="7:24" ht="15" customHeight="1">
      <c r="G18064"/>
      <c r="I18064"/>
      <c r="N18064"/>
      <c r="O18064" s="24"/>
      <c r="P18064"/>
      <c r="Q18064" s="24"/>
      <c r="R18064"/>
      <c r="S18064"/>
      <c r="T18064"/>
      <c r="U18064"/>
      <c r="X18064" s="60"/>
    </row>
    <row r="18065" spans="7:24" ht="15" customHeight="1">
      <c r="G18065"/>
      <c r="I18065"/>
      <c r="N18065"/>
      <c r="O18065" s="24"/>
      <c r="P18065"/>
      <c r="Q18065" s="24"/>
      <c r="R18065"/>
      <c r="S18065"/>
      <c r="T18065"/>
      <c r="U18065"/>
      <c r="X18065" s="60"/>
    </row>
    <row r="18066" spans="7:24" ht="15" customHeight="1">
      <c r="G18066"/>
      <c r="I18066"/>
      <c r="N18066"/>
      <c r="O18066" s="24"/>
      <c r="P18066"/>
      <c r="Q18066" s="24"/>
      <c r="R18066"/>
      <c r="S18066"/>
      <c r="T18066"/>
      <c r="U18066"/>
      <c r="X18066" s="60"/>
    </row>
    <row r="18067" spans="7:24" ht="15" customHeight="1">
      <c r="G18067"/>
      <c r="I18067"/>
      <c r="N18067"/>
      <c r="O18067" s="24"/>
      <c r="P18067"/>
      <c r="Q18067" s="24"/>
      <c r="R18067"/>
      <c r="S18067"/>
      <c r="T18067"/>
      <c r="U18067"/>
      <c r="X18067" s="60"/>
    </row>
    <row r="18068" spans="7:24" ht="15" customHeight="1">
      <c r="G18068"/>
      <c r="I18068"/>
      <c r="N18068"/>
      <c r="O18068" s="24"/>
      <c r="P18068"/>
      <c r="Q18068" s="24"/>
      <c r="R18068"/>
      <c r="S18068"/>
      <c r="T18068"/>
      <c r="U18068"/>
      <c r="X18068" s="60"/>
    </row>
    <row r="18069" spans="7:24" ht="15" customHeight="1">
      <c r="G18069"/>
      <c r="I18069"/>
      <c r="N18069"/>
      <c r="O18069" s="24"/>
      <c r="P18069"/>
      <c r="Q18069" s="24"/>
      <c r="R18069"/>
      <c r="S18069"/>
      <c r="T18069"/>
      <c r="U18069"/>
      <c r="X18069" s="60"/>
    </row>
    <row r="18070" spans="7:24" ht="15" customHeight="1">
      <c r="G18070"/>
      <c r="I18070"/>
      <c r="N18070"/>
      <c r="O18070" s="24"/>
      <c r="P18070"/>
      <c r="Q18070" s="24"/>
      <c r="R18070"/>
      <c r="S18070"/>
      <c r="T18070"/>
      <c r="U18070"/>
      <c r="X18070" s="60"/>
    </row>
    <row r="18071" spans="7:24" ht="15" customHeight="1">
      <c r="G18071"/>
      <c r="I18071"/>
      <c r="N18071"/>
      <c r="O18071" s="24"/>
      <c r="P18071"/>
      <c r="Q18071" s="24"/>
      <c r="R18071"/>
      <c r="S18071"/>
      <c r="T18071"/>
      <c r="U18071"/>
      <c r="X18071" s="60"/>
    </row>
    <row r="18072" spans="7:24" ht="15" customHeight="1">
      <c r="G18072"/>
      <c r="I18072"/>
      <c r="N18072"/>
      <c r="O18072" s="24"/>
      <c r="P18072"/>
      <c r="Q18072" s="24"/>
      <c r="R18072"/>
      <c r="S18072"/>
      <c r="T18072"/>
      <c r="U18072"/>
      <c r="X18072" s="60"/>
    </row>
    <row r="18073" spans="7:24" ht="15" customHeight="1">
      <c r="G18073"/>
      <c r="I18073"/>
      <c r="N18073"/>
      <c r="O18073" s="24"/>
      <c r="P18073"/>
      <c r="Q18073" s="24"/>
      <c r="R18073"/>
      <c r="S18073"/>
      <c r="T18073"/>
      <c r="U18073"/>
      <c r="X18073" s="60"/>
    </row>
    <row r="18074" spans="7:24" ht="15" customHeight="1">
      <c r="G18074"/>
      <c r="I18074"/>
      <c r="N18074"/>
      <c r="O18074" s="24"/>
      <c r="P18074"/>
      <c r="Q18074" s="24"/>
      <c r="R18074"/>
      <c r="S18074"/>
      <c r="T18074"/>
      <c r="U18074"/>
      <c r="X18074" s="60"/>
    </row>
    <row r="18075" spans="7:24" ht="15" customHeight="1">
      <c r="G18075"/>
      <c r="I18075"/>
      <c r="N18075"/>
      <c r="O18075" s="24"/>
      <c r="P18075"/>
      <c r="Q18075" s="24"/>
      <c r="R18075"/>
      <c r="S18075"/>
      <c r="T18075"/>
      <c r="U18075"/>
      <c r="X18075" s="60"/>
    </row>
    <row r="18076" spans="7:24" ht="15" customHeight="1">
      <c r="G18076"/>
      <c r="I18076"/>
      <c r="N18076"/>
      <c r="O18076" s="24"/>
      <c r="P18076"/>
      <c r="Q18076" s="24"/>
      <c r="R18076"/>
      <c r="S18076"/>
      <c r="T18076"/>
      <c r="U18076"/>
      <c r="X18076" s="60"/>
    </row>
    <row r="18077" spans="7:24" ht="15" customHeight="1">
      <c r="G18077"/>
      <c r="I18077"/>
      <c r="N18077"/>
      <c r="O18077" s="24"/>
      <c r="P18077"/>
      <c r="Q18077" s="24"/>
      <c r="R18077"/>
      <c r="S18077"/>
      <c r="T18077"/>
      <c r="U18077"/>
      <c r="X18077" s="60"/>
    </row>
    <row r="18078" spans="7:24" ht="15" customHeight="1">
      <c r="G18078"/>
      <c r="I18078"/>
      <c r="N18078"/>
      <c r="O18078" s="24"/>
      <c r="P18078"/>
      <c r="Q18078" s="24"/>
      <c r="R18078"/>
      <c r="S18078"/>
      <c r="T18078"/>
      <c r="U18078"/>
      <c r="X18078" s="60"/>
    </row>
    <row r="18079" spans="7:24" ht="15" customHeight="1">
      <c r="G18079"/>
      <c r="I18079"/>
      <c r="N18079"/>
      <c r="O18079" s="24"/>
      <c r="P18079"/>
      <c r="Q18079" s="24"/>
      <c r="R18079"/>
      <c r="S18079"/>
      <c r="T18079"/>
      <c r="U18079"/>
      <c r="X18079" s="60"/>
    </row>
    <row r="18080" spans="7:24" ht="15" customHeight="1">
      <c r="G18080"/>
      <c r="I18080"/>
      <c r="N18080"/>
      <c r="O18080" s="24"/>
      <c r="P18080"/>
      <c r="Q18080" s="24"/>
      <c r="R18080"/>
      <c r="S18080"/>
      <c r="T18080"/>
      <c r="U18080"/>
      <c r="X18080" s="60"/>
    </row>
    <row r="18081" spans="7:24" ht="15" customHeight="1">
      <c r="G18081"/>
      <c r="I18081"/>
      <c r="N18081"/>
      <c r="O18081" s="24"/>
      <c r="P18081"/>
      <c r="Q18081" s="24"/>
      <c r="R18081"/>
      <c r="S18081"/>
      <c r="T18081"/>
      <c r="U18081"/>
      <c r="X18081" s="60"/>
    </row>
    <row r="18082" spans="7:24" ht="15" customHeight="1">
      <c r="G18082"/>
      <c r="I18082"/>
      <c r="N18082"/>
      <c r="O18082" s="24"/>
      <c r="P18082"/>
      <c r="Q18082" s="24"/>
      <c r="R18082"/>
      <c r="S18082"/>
      <c r="T18082"/>
      <c r="U18082"/>
      <c r="X18082" s="60"/>
    </row>
    <row r="18083" spans="7:24" ht="15" customHeight="1">
      <c r="G18083"/>
      <c r="I18083"/>
      <c r="N18083"/>
      <c r="O18083" s="24"/>
      <c r="P18083"/>
      <c r="Q18083" s="24"/>
      <c r="R18083"/>
      <c r="S18083"/>
      <c r="T18083"/>
      <c r="U18083"/>
      <c r="X18083" s="60"/>
    </row>
    <row r="18084" spans="7:24" ht="15" customHeight="1">
      <c r="G18084"/>
      <c r="I18084"/>
      <c r="N18084"/>
      <c r="O18084" s="24"/>
      <c r="P18084"/>
      <c r="Q18084" s="24"/>
      <c r="R18084"/>
      <c r="S18084"/>
      <c r="T18084"/>
      <c r="U18084"/>
      <c r="X18084" s="60"/>
    </row>
    <row r="18085" spans="7:24" ht="15" customHeight="1">
      <c r="G18085"/>
      <c r="I18085"/>
      <c r="N18085"/>
      <c r="O18085" s="24"/>
      <c r="P18085"/>
      <c r="Q18085" s="24"/>
      <c r="R18085"/>
      <c r="S18085"/>
      <c r="T18085"/>
      <c r="U18085"/>
      <c r="X18085" s="60"/>
    </row>
    <row r="18086" spans="7:24" ht="15" customHeight="1">
      <c r="G18086"/>
      <c r="I18086"/>
      <c r="N18086"/>
      <c r="O18086" s="24"/>
      <c r="P18086"/>
      <c r="Q18086" s="24"/>
      <c r="R18086"/>
      <c r="S18086"/>
      <c r="T18086"/>
      <c r="U18086"/>
      <c r="X18086" s="60"/>
    </row>
    <row r="18087" spans="7:24" ht="15" customHeight="1">
      <c r="G18087"/>
      <c r="I18087"/>
      <c r="N18087"/>
      <c r="O18087" s="24"/>
      <c r="P18087"/>
      <c r="Q18087" s="24"/>
      <c r="R18087"/>
      <c r="S18087"/>
      <c r="T18087"/>
      <c r="U18087"/>
      <c r="X18087" s="60"/>
    </row>
    <row r="18088" spans="7:24" ht="15" customHeight="1">
      <c r="G18088"/>
      <c r="I18088"/>
      <c r="N18088"/>
      <c r="O18088" s="24"/>
      <c r="P18088"/>
      <c r="Q18088" s="24"/>
      <c r="R18088"/>
      <c r="S18088"/>
      <c r="T18088"/>
      <c r="U18088"/>
      <c r="X18088" s="60"/>
    </row>
    <row r="18089" spans="7:24" ht="15" customHeight="1">
      <c r="G18089"/>
      <c r="I18089"/>
      <c r="N18089"/>
      <c r="O18089" s="24"/>
      <c r="P18089"/>
      <c r="Q18089" s="24"/>
      <c r="R18089"/>
      <c r="S18089"/>
      <c r="T18089"/>
      <c r="U18089"/>
      <c r="X18089" s="60"/>
    </row>
    <row r="18090" spans="7:24" ht="15" customHeight="1">
      <c r="G18090"/>
      <c r="I18090"/>
      <c r="N18090"/>
      <c r="O18090" s="24"/>
      <c r="P18090"/>
      <c r="Q18090" s="24"/>
      <c r="R18090"/>
      <c r="S18090"/>
      <c r="T18090"/>
      <c r="U18090"/>
      <c r="X18090" s="60"/>
    </row>
    <row r="18091" spans="7:24" ht="15" customHeight="1">
      <c r="G18091"/>
      <c r="I18091"/>
      <c r="N18091"/>
      <c r="O18091" s="24"/>
      <c r="P18091"/>
      <c r="Q18091" s="24"/>
      <c r="R18091"/>
      <c r="S18091"/>
      <c r="T18091"/>
      <c r="U18091"/>
      <c r="X18091" s="60"/>
    </row>
    <row r="18092" spans="7:24" ht="15" customHeight="1">
      <c r="G18092"/>
      <c r="I18092"/>
      <c r="N18092"/>
      <c r="O18092" s="24"/>
      <c r="P18092"/>
      <c r="Q18092" s="24"/>
      <c r="R18092"/>
      <c r="S18092"/>
      <c r="T18092"/>
      <c r="U18092"/>
      <c r="X18092" s="60"/>
    </row>
    <row r="18093" spans="7:24" ht="15" customHeight="1">
      <c r="G18093"/>
      <c r="I18093"/>
      <c r="N18093"/>
      <c r="O18093" s="24"/>
      <c r="P18093"/>
      <c r="Q18093" s="24"/>
      <c r="R18093"/>
      <c r="S18093"/>
      <c r="T18093"/>
      <c r="U18093"/>
      <c r="X18093" s="60"/>
    </row>
    <row r="18094" spans="7:24" ht="15" customHeight="1">
      <c r="G18094"/>
      <c r="I18094"/>
      <c r="N18094"/>
      <c r="O18094" s="24"/>
      <c r="P18094"/>
      <c r="Q18094" s="24"/>
      <c r="R18094"/>
      <c r="S18094"/>
      <c r="T18094"/>
      <c r="U18094"/>
      <c r="X18094" s="60"/>
    </row>
    <row r="18095" spans="7:24" ht="15" customHeight="1">
      <c r="G18095"/>
      <c r="I18095"/>
      <c r="N18095"/>
      <c r="O18095" s="24"/>
      <c r="P18095"/>
      <c r="Q18095" s="24"/>
      <c r="R18095"/>
      <c r="S18095"/>
      <c r="T18095"/>
      <c r="U18095"/>
      <c r="X18095" s="60"/>
    </row>
    <row r="18096" spans="7:24" ht="15" customHeight="1">
      <c r="G18096"/>
      <c r="I18096"/>
      <c r="N18096"/>
      <c r="O18096" s="24"/>
      <c r="P18096"/>
      <c r="Q18096" s="24"/>
      <c r="R18096"/>
      <c r="S18096"/>
      <c r="T18096"/>
      <c r="U18096"/>
      <c r="X18096" s="60"/>
    </row>
    <row r="18097" spans="7:24" ht="15" customHeight="1">
      <c r="G18097"/>
      <c r="I18097"/>
      <c r="N18097"/>
      <c r="O18097" s="24"/>
      <c r="P18097"/>
      <c r="Q18097" s="24"/>
      <c r="R18097"/>
      <c r="S18097"/>
      <c r="T18097"/>
      <c r="U18097"/>
      <c r="X18097" s="60"/>
    </row>
    <row r="18098" spans="7:24" ht="15" customHeight="1">
      <c r="G18098"/>
      <c r="I18098"/>
      <c r="N18098"/>
      <c r="O18098" s="24"/>
      <c r="P18098"/>
      <c r="Q18098" s="24"/>
      <c r="R18098"/>
      <c r="S18098"/>
      <c r="T18098"/>
      <c r="U18098"/>
      <c r="X18098" s="60"/>
    </row>
    <row r="18099" spans="7:24" ht="15" customHeight="1">
      <c r="G18099"/>
      <c r="I18099"/>
      <c r="N18099"/>
      <c r="O18099" s="24"/>
      <c r="P18099"/>
      <c r="Q18099" s="24"/>
      <c r="R18099"/>
      <c r="S18099"/>
      <c r="T18099"/>
      <c r="U18099"/>
      <c r="X18099" s="60"/>
    </row>
    <row r="18100" spans="7:24" ht="15" customHeight="1">
      <c r="G18100"/>
      <c r="I18100"/>
      <c r="N18100"/>
      <c r="O18100" s="24"/>
      <c r="P18100"/>
      <c r="Q18100" s="24"/>
      <c r="R18100"/>
      <c r="S18100"/>
      <c r="T18100"/>
      <c r="U18100"/>
      <c r="X18100" s="60"/>
    </row>
    <row r="18101" spans="7:24" ht="15" customHeight="1">
      <c r="G18101"/>
      <c r="I18101"/>
      <c r="N18101"/>
      <c r="O18101" s="24"/>
      <c r="P18101"/>
      <c r="Q18101" s="24"/>
      <c r="R18101"/>
      <c r="S18101"/>
      <c r="T18101"/>
      <c r="U18101"/>
      <c r="X18101" s="60"/>
    </row>
    <row r="18102" spans="7:24" ht="15" customHeight="1">
      <c r="G18102"/>
      <c r="I18102"/>
      <c r="N18102"/>
      <c r="O18102" s="24"/>
      <c r="P18102"/>
      <c r="Q18102" s="24"/>
      <c r="R18102"/>
      <c r="S18102"/>
      <c r="T18102"/>
      <c r="U18102"/>
      <c r="X18102" s="60"/>
    </row>
    <row r="18103" spans="7:24" ht="15" customHeight="1">
      <c r="G18103"/>
      <c r="I18103"/>
      <c r="N18103"/>
      <c r="O18103" s="24"/>
      <c r="P18103"/>
      <c r="Q18103" s="24"/>
      <c r="R18103"/>
      <c r="S18103"/>
      <c r="T18103"/>
      <c r="U18103"/>
      <c r="X18103" s="60"/>
    </row>
    <row r="18104" spans="7:24" ht="15" customHeight="1">
      <c r="G18104"/>
      <c r="I18104"/>
      <c r="N18104"/>
      <c r="O18104" s="24"/>
      <c r="P18104"/>
      <c r="Q18104" s="24"/>
      <c r="R18104"/>
      <c r="S18104"/>
      <c r="T18104"/>
      <c r="U18104"/>
      <c r="X18104" s="60"/>
    </row>
    <row r="18105" spans="7:24" ht="15" customHeight="1">
      <c r="G18105"/>
      <c r="I18105"/>
      <c r="N18105"/>
      <c r="O18105" s="24"/>
      <c r="P18105"/>
      <c r="Q18105" s="24"/>
      <c r="R18105"/>
      <c r="S18105"/>
      <c r="T18105"/>
      <c r="U18105"/>
      <c r="X18105" s="60"/>
    </row>
    <row r="18106" spans="7:24" ht="15" customHeight="1">
      <c r="G18106"/>
      <c r="I18106"/>
      <c r="N18106"/>
      <c r="O18106" s="24"/>
      <c r="P18106"/>
      <c r="Q18106" s="24"/>
      <c r="R18106"/>
      <c r="S18106"/>
      <c r="T18106"/>
      <c r="U18106"/>
      <c r="X18106" s="60"/>
    </row>
    <row r="18107" spans="7:24" ht="15" customHeight="1">
      <c r="G18107"/>
      <c r="I18107"/>
      <c r="N18107"/>
      <c r="O18107" s="24"/>
      <c r="P18107"/>
      <c r="Q18107" s="24"/>
      <c r="R18107"/>
      <c r="S18107"/>
      <c r="T18107"/>
      <c r="U18107"/>
      <c r="X18107" s="60"/>
    </row>
    <row r="18108" spans="7:24" ht="15" customHeight="1">
      <c r="G18108"/>
      <c r="I18108"/>
      <c r="N18108"/>
      <c r="O18108" s="24"/>
      <c r="P18108"/>
      <c r="Q18108" s="24"/>
      <c r="R18108"/>
      <c r="S18108"/>
      <c r="T18108"/>
      <c r="U18108"/>
      <c r="X18108" s="60"/>
    </row>
    <row r="18109" spans="7:24" ht="15" customHeight="1">
      <c r="G18109"/>
      <c r="I18109"/>
      <c r="N18109"/>
      <c r="O18109" s="24"/>
      <c r="P18109"/>
      <c r="Q18109" s="24"/>
      <c r="R18109"/>
      <c r="S18109"/>
      <c r="T18109"/>
      <c r="U18109"/>
      <c r="X18109" s="60"/>
    </row>
    <row r="18110" spans="7:24" ht="15" customHeight="1">
      <c r="G18110"/>
      <c r="I18110"/>
      <c r="N18110"/>
      <c r="O18110" s="24"/>
      <c r="P18110"/>
      <c r="Q18110" s="24"/>
      <c r="R18110"/>
      <c r="S18110"/>
      <c r="T18110"/>
      <c r="U18110"/>
      <c r="X18110" s="60"/>
    </row>
    <row r="18111" spans="7:24" ht="15" customHeight="1">
      <c r="G18111"/>
      <c r="I18111"/>
      <c r="N18111"/>
      <c r="O18111" s="24"/>
      <c r="P18111"/>
      <c r="Q18111" s="24"/>
      <c r="R18111"/>
      <c r="S18111"/>
      <c r="T18111"/>
      <c r="U18111"/>
      <c r="X18111" s="60"/>
    </row>
    <row r="18112" spans="7:24" ht="15" customHeight="1">
      <c r="G18112"/>
      <c r="I18112"/>
      <c r="N18112"/>
      <c r="O18112" s="24"/>
      <c r="P18112"/>
      <c r="Q18112" s="24"/>
      <c r="R18112"/>
      <c r="S18112"/>
      <c r="T18112"/>
      <c r="U18112"/>
      <c r="X18112" s="60"/>
    </row>
    <row r="18113" spans="7:24" ht="15" customHeight="1">
      <c r="G18113"/>
      <c r="I18113"/>
      <c r="N18113"/>
      <c r="O18113" s="24"/>
      <c r="P18113"/>
      <c r="Q18113" s="24"/>
      <c r="R18113"/>
      <c r="S18113"/>
      <c r="T18113"/>
      <c r="U18113"/>
      <c r="X18113" s="60"/>
    </row>
    <row r="18114" spans="7:24" ht="15" customHeight="1">
      <c r="G18114"/>
      <c r="I18114"/>
      <c r="N18114"/>
      <c r="O18114" s="24"/>
      <c r="P18114"/>
      <c r="Q18114" s="24"/>
      <c r="R18114"/>
      <c r="S18114"/>
      <c r="T18114"/>
      <c r="U18114"/>
      <c r="X18114" s="60"/>
    </row>
    <row r="18115" spans="7:24" ht="15" customHeight="1">
      <c r="G18115"/>
      <c r="I18115"/>
      <c r="N18115"/>
      <c r="O18115" s="24"/>
      <c r="P18115"/>
      <c r="Q18115" s="24"/>
      <c r="R18115"/>
      <c r="S18115"/>
      <c r="T18115"/>
      <c r="U18115"/>
      <c r="X18115" s="60"/>
    </row>
    <row r="18116" spans="7:24" ht="15" customHeight="1">
      <c r="G18116"/>
      <c r="I18116"/>
      <c r="N18116"/>
      <c r="O18116" s="24"/>
      <c r="P18116"/>
      <c r="Q18116" s="24"/>
      <c r="R18116"/>
      <c r="S18116"/>
      <c r="T18116"/>
      <c r="U18116"/>
      <c r="X18116" s="60"/>
    </row>
    <row r="18117" spans="7:24" ht="15" customHeight="1">
      <c r="G18117"/>
      <c r="I18117"/>
      <c r="N18117"/>
      <c r="O18117" s="24"/>
      <c r="P18117"/>
      <c r="Q18117" s="24"/>
      <c r="R18117"/>
      <c r="S18117"/>
      <c r="T18117"/>
      <c r="U18117"/>
      <c r="X18117" s="60"/>
    </row>
    <row r="18118" spans="7:24" ht="15" customHeight="1">
      <c r="G18118"/>
      <c r="I18118"/>
      <c r="N18118"/>
      <c r="O18118" s="24"/>
      <c r="P18118"/>
      <c r="Q18118" s="24"/>
      <c r="R18118"/>
      <c r="S18118"/>
      <c r="T18118"/>
      <c r="U18118"/>
      <c r="X18118" s="60"/>
    </row>
    <row r="18119" spans="7:24" ht="15" customHeight="1">
      <c r="G18119"/>
      <c r="I18119"/>
      <c r="N18119"/>
      <c r="O18119" s="24"/>
      <c r="P18119"/>
      <c r="Q18119" s="24"/>
      <c r="R18119"/>
      <c r="S18119"/>
      <c r="T18119"/>
      <c r="U18119"/>
      <c r="X18119" s="60"/>
    </row>
    <row r="18120" spans="7:24" ht="15" customHeight="1">
      <c r="G18120"/>
      <c r="I18120"/>
      <c r="N18120"/>
      <c r="O18120" s="24"/>
      <c r="P18120"/>
      <c r="Q18120" s="24"/>
      <c r="R18120"/>
      <c r="S18120"/>
      <c r="T18120"/>
      <c r="U18120"/>
      <c r="X18120" s="60"/>
    </row>
    <row r="18121" spans="7:24" ht="15" customHeight="1">
      <c r="G18121"/>
      <c r="I18121"/>
      <c r="N18121"/>
      <c r="O18121" s="24"/>
      <c r="P18121"/>
      <c r="Q18121" s="24"/>
      <c r="R18121"/>
      <c r="S18121"/>
      <c r="T18121"/>
      <c r="U18121"/>
      <c r="X18121" s="60"/>
    </row>
    <row r="18122" spans="7:24" ht="15" customHeight="1">
      <c r="G18122"/>
      <c r="I18122"/>
      <c r="N18122"/>
      <c r="O18122" s="24"/>
      <c r="P18122"/>
      <c r="Q18122" s="24"/>
      <c r="R18122"/>
      <c r="S18122"/>
      <c r="T18122"/>
      <c r="U18122"/>
      <c r="X18122" s="60"/>
    </row>
    <row r="18123" spans="7:24" ht="15" customHeight="1">
      <c r="G18123"/>
      <c r="I18123"/>
      <c r="N18123"/>
      <c r="O18123" s="24"/>
      <c r="P18123"/>
      <c r="Q18123" s="24"/>
      <c r="R18123"/>
      <c r="S18123"/>
      <c r="T18123"/>
      <c r="U18123"/>
      <c r="X18123" s="60"/>
    </row>
    <row r="18124" spans="7:24" ht="15" customHeight="1">
      <c r="G18124"/>
      <c r="I18124"/>
      <c r="N18124"/>
      <c r="O18124" s="24"/>
      <c r="P18124"/>
      <c r="Q18124" s="24"/>
      <c r="R18124"/>
      <c r="S18124"/>
      <c r="T18124"/>
      <c r="U18124"/>
      <c r="X18124" s="60"/>
    </row>
    <row r="18125" spans="7:24" ht="15" customHeight="1">
      <c r="G18125"/>
      <c r="I18125"/>
      <c r="N18125"/>
      <c r="O18125" s="24"/>
      <c r="P18125"/>
      <c r="Q18125" s="24"/>
      <c r="R18125"/>
      <c r="S18125"/>
      <c r="T18125"/>
      <c r="U18125"/>
      <c r="X18125" s="60"/>
    </row>
    <row r="18126" spans="7:24" ht="15" customHeight="1">
      <c r="G18126"/>
      <c r="I18126"/>
      <c r="N18126"/>
      <c r="O18126" s="24"/>
      <c r="P18126"/>
      <c r="Q18126" s="24"/>
      <c r="R18126"/>
      <c r="S18126"/>
      <c r="T18126"/>
      <c r="U18126"/>
      <c r="X18126" s="60"/>
    </row>
    <row r="18127" spans="7:24" ht="15" customHeight="1">
      <c r="G18127"/>
      <c r="I18127"/>
      <c r="N18127"/>
      <c r="O18127" s="24"/>
      <c r="P18127"/>
      <c r="Q18127" s="24"/>
      <c r="R18127"/>
      <c r="S18127"/>
      <c r="T18127"/>
      <c r="U18127"/>
      <c r="X18127" s="60"/>
    </row>
    <row r="18128" spans="7:24" ht="15" customHeight="1">
      <c r="G18128"/>
      <c r="I18128"/>
      <c r="N18128"/>
      <c r="O18128" s="24"/>
      <c r="P18128"/>
      <c r="Q18128" s="24"/>
      <c r="R18128"/>
      <c r="S18128"/>
      <c r="T18128"/>
      <c r="U18128"/>
      <c r="X18128" s="60"/>
    </row>
    <row r="18129" spans="7:24" ht="15" customHeight="1">
      <c r="G18129"/>
      <c r="I18129"/>
      <c r="N18129"/>
      <c r="O18129" s="24"/>
      <c r="P18129"/>
      <c r="Q18129" s="24"/>
      <c r="R18129"/>
      <c r="S18129"/>
      <c r="T18129"/>
      <c r="U18129"/>
      <c r="X18129" s="60"/>
    </row>
    <row r="18130" spans="7:24" ht="15" customHeight="1">
      <c r="G18130"/>
      <c r="I18130"/>
      <c r="N18130"/>
      <c r="O18130" s="24"/>
      <c r="P18130"/>
      <c r="Q18130" s="24"/>
      <c r="R18130"/>
      <c r="S18130"/>
      <c r="T18130"/>
      <c r="U18130"/>
      <c r="X18130" s="60"/>
    </row>
    <row r="18131" spans="7:24" ht="15" customHeight="1">
      <c r="G18131"/>
      <c r="I18131"/>
      <c r="N18131"/>
      <c r="O18131" s="24"/>
      <c r="P18131"/>
      <c r="Q18131" s="24"/>
      <c r="R18131"/>
      <c r="S18131"/>
      <c r="T18131"/>
      <c r="U18131"/>
      <c r="X18131" s="60"/>
    </row>
    <row r="18132" spans="7:24" ht="15" customHeight="1">
      <c r="G18132"/>
      <c r="I18132"/>
      <c r="N18132"/>
      <c r="O18132" s="24"/>
      <c r="P18132"/>
      <c r="Q18132" s="24"/>
      <c r="R18132"/>
      <c r="S18132"/>
      <c r="T18132"/>
      <c r="U18132"/>
      <c r="X18132" s="60"/>
    </row>
    <row r="18133" spans="7:24" ht="15" customHeight="1">
      <c r="G18133"/>
      <c r="I18133"/>
      <c r="N18133"/>
      <c r="O18133" s="24"/>
      <c r="P18133"/>
      <c r="Q18133" s="24"/>
      <c r="R18133"/>
      <c r="S18133"/>
      <c r="T18133"/>
      <c r="U18133"/>
      <c r="X18133" s="60"/>
    </row>
    <row r="18134" spans="7:24" ht="15" customHeight="1">
      <c r="G18134"/>
      <c r="I18134"/>
      <c r="N18134"/>
      <c r="O18134" s="24"/>
      <c r="P18134"/>
      <c r="Q18134" s="24"/>
      <c r="R18134"/>
      <c r="S18134"/>
      <c r="T18134"/>
      <c r="U18134"/>
      <c r="X18134" s="60"/>
    </row>
    <row r="18135" spans="7:24" ht="15" customHeight="1">
      <c r="G18135"/>
      <c r="I18135"/>
      <c r="N18135"/>
      <c r="O18135" s="24"/>
      <c r="P18135"/>
      <c r="Q18135" s="24"/>
      <c r="R18135"/>
      <c r="S18135"/>
      <c r="T18135"/>
      <c r="U18135"/>
      <c r="X18135" s="60"/>
    </row>
    <row r="18136" spans="7:24" ht="15" customHeight="1">
      <c r="G18136"/>
      <c r="I18136"/>
      <c r="N18136"/>
      <c r="O18136" s="24"/>
      <c r="P18136"/>
      <c r="Q18136" s="24"/>
      <c r="R18136"/>
      <c r="S18136"/>
      <c r="T18136"/>
      <c r="U18136"/>
      <c r="X18136" s="60"/>
    </row>
    <row r="18137" spans="7:24" ht="15" customHeight="1">
      <c r="G18137"/>
      <c r="I18137"/>
      <c r="N18137"/>
      <c r="O18137" s="24"/>
      <c r="P18137"/>
      <c r="Q18137" s="24"/>
      <c r="R18137"/>
      <c r="S18137"/>
      <c r="T18137"/>
      <c r="U18137"/>
      <c r="X18137" s="60"/>
    </row>
    <row r="18138" spans="7:24" ht="15" customHeight="1">
      <c r="G18138"/>
      <c r="I18138"/>
      <c r="N18138"/>
      <c r="O18138" s="24"/>
      <c r="P18138"/>
      <c r="Q18138" s="24"/>
      <c r="R18138"/>
      <c r="S18138"/>
      <c r="T18138"/>
      <c r="U18138"/>
      <c r="X18138" s="60"/>
    </row>
    <row r="18139" spans="7:24" ht="15" customHeight="1">
      <c r="G18139"/>
      <c r="I18139"/>
      <c r="N18139"/>
      <c r="O18139" s="24"/>
      <c r="P18139"/>
      <c r="Q18139" s="24"/>
      <c r="R18139"/>
      <c r="S18139"/>
      <c r="T18139"/>
      <c r="U18139"/>
      <c r="X18139" s="60"/>
    </row>
    <row r="18140" spans="7:24" ht="15" customHeight="1">
      <c r="G18140"/>
      <c r="I18140"/>
      <c r="N18140"/>
      <c r="O18140" s="24"/>
      <c r="P18140"/>
      <c r="Q18140" s="24"/>
      <c r="R18140"/>
      <c r="S18140"/>
      <c r="T18140"/>
      <c r="U18140"/>
      <c r="X18140" s="60"/>
    </row>
    <row r="18141" spans="7:24" ht="15" customHeight="1">
      <c r="G18141"/>
      <c r="I18141"/>
      <c r="N18141"/>
      <c r="O18141" s="24"/>
      <c r="P18141"/>
      <c r="Q18141" s="24"/>
      <c r="R18141"/>
      <c r="S18141"/>
      <c r="T18141"/>
      <c r="U18141"/>
      <c r="X18141" s="60"/>
    </row>
    <row r="18142" spans="7:24" ht="15" customHeight="1">
      <c r="G18142"/>
      <c r="I18142"/>
      <c r="N18142"/>
      <c r="O18142" s="24"/>
      <c r="P18142"/>
      <c r="Q18142" s="24"/>
      <c r="R18142"/>
      <c r="S18142"/>
      <c r="T18142"/>
      <c r="U18142"/>
      <c r="X18142" s="60"/>
    </row>
    <row r="18143" spans="7:24" ht="15" customHeight="1">
      <c r="G18143"/>
      <c r="I18143"/>
      <c r="N18143"/>
      <c r="O18143" s="24"/>
      <c r="P18143"/>
      <c r="Q18143" s="24"/>
      <c r="R18143"/>
      <c r="S18143"/>
      <c r="T18143"/>
      <c r="U18143"/>
      <c r="X18143" s="60"/>
    </row>
    <row r="18144" spans="7:24" ht="15" customHeight="1">
      <c r="G18144"/>
      <c r="I18144"/>
      <c r="N18144"/>
      <c r="O18144" s="24"/>
      <c r="P18144"/>
      <c r="Q18144" s="24"/>
      <c r="R18144"/>
      <c r="S18144"/>
      <c r="T18144"/>
      <c r="U18144"/>
      <c r="X18144" s="60"/>
    </row>
    <row r="18145" spans="7:24" ht="15" customHeight="1">
      <c r="G18145"/>
      <c r="I18145"/>
      <c r="N18145"/>
      <c r="O18145" s="24"/>
      <c r="P18145"/>
      <c r="Q18145" s="24"/>
      <c r="R18145"/>
      <c r="S18145"/>
      <c r="T18145"/>
      <c r="U18145"/>
      <c r="X18145" s="60"/>
    </row>
    <row r="18146" spans="7:24" ht="15" customHeight="1">
      <c r="G18146"/>
      <c r="I18146"/>
      <c r="N18146"/>
      <c r="O18146" s="24"/>
      <c r="P18146"/>
      <c r="Q18146" s="24"/>
      <c r="R18146"/>
      <c r="S18146"/>
      <c r="T18146"/>
      <c r="U18146"/>
      <c r="X18146" s="60"/>
    </row>
    <row r="18147" spans="7:24" ht="15" customHeight="1">
      <c r="G18147"/>
      <c r="I18147"/>
      <c r="N18147"/>
      <c r="O18147" s="24"/>
      <c r="P18147"/>
      <c r="Q18147" s="24"/>
      <c r="R18147"/>
      <c r="S18147"/>
      <c r="T18147"/>
      <c r="U18147"/>
      <c r="X18147" s="60"/>
    </row>
    <row r="18148" spans="7:24" ht="15" customHeight="1">
      <c r="G18148"/>
      <c r="I18148"/>
      <c r="N18148"/>
      <c r="O18148" s="24"/>
      <c r="P18148"/>
      <c r="Q18148" s="24"/>
      <c r="R18148"/>
      <c r="S18148"/>
      <c r="T18148"/>
      <c r="U18148"/>
      <c r="X18148" s="60"/>
    </row>
    <row r="18149" spans="7:24" ht="15" customHeight="1">
      <c r="G18149"/>
      <c r="I18149"/>
      <c r="N18149"/>
      <c r="O18149" s="24"/>
      <c r="P18149"/>
      <c r="Q18149" s="24"/>
      <c r="R18149"/>
      <c r="S18149"/>
      <c r="T18149"/>
      <c r="U18149"/>
      <c r="X18149" s="60"/>
    </row>
    <row r="18150" spans="7:24" ht="15" customHeight="1">
      <c r="G18150"/>
      <c r="I18150"/>
      <c r="N18150"/>
      <c r="O18150" s="24"/>
      <c r="P18150"/>
      <c r="Q18150" s="24"/>
      <c r="R18150"/>
      <c r="S18150"/>
      <c r="T18150"/>
      <c r="U18150"/>
      <c r="X18150" s="60"/>
    </row>
    <row r="18151" spans="7:24" ht="15" customHeight="1">
      <c r="G18151"/>
      <c r="I18151"/>
      <c r="N18151"/>
      <c r="O18151" s="24"/>
      <c r="P18151"/>
      <c r="Q18151" s="24"/>
      <c r="R18151"/>
      <c r="S18151"/>
      <c r="T18151"/>
      <c r="U18151"/>
      <c r="X18151" s="60"/>
    </row>
    <row r="18152" spans="7:24" ht="15" customHeight="1">
      <c r="G18152"/>
      <c r="I18152"/>
      <c r="N18152"/>
      <c r="O18152" s="24"/>
      <c r="P18152"/>
      <c r="Q18152" s="24"/>
      <c r="R18152"/>
      <c r="S18152"/>
      <c r="T18152"/>
      <c r="U18152"/>
      <c r="X18152" s="60"/>
    </row>
    <row r="18153" spans="7:24" ht="15" customHeight="1">
      <c r="G18153"/>
      <c r="I18153"/>
      <c r="N18153"/>
      <c r="O18153" s="24"/>
      <c r="P18153"/>
      <c r="Q18153" s="24"/>
      <c r="R18153"/>
      <c r="S18153"/>
      <c r="T18153"/>
      <c r="U18153"/>
      <c r="X18153" s="60"/>
    </row>
    <row r="18154" spans="7:24" ht="15" customHeight="1">
      <c r="G18154"/>
      <c r="I18154"/>
      <c r="N18154"/>
      <c r="O18154" s="24"/>
      <c r="P18154"/>
      <c r="Q18154" s="24"/>
      <c r="R18154"/>
      <c r="S18154"/>
      <c r="T18154"/>
      <c r="U18154"/>
      <c r="X18154" s="60"/>
    </row>
    <row r="18155" spans="7:24" ht="15" customHeight="1">
      <c r="G18155"/>
      <c r="I18155"/>
      <c r="N18155"/>
      <c r="O18155" s="24"/>
      <c r="P18155"/>
      <c r="Q18155" s="24"/>
      <c r="R18155"/>
      <c r="S18155"/>
      <c r="T18155"/>
      <c r="U18155"/>
      <c r="X18155" s="60"/>
    </row>
    <row r="18156" spans="7:24" ht="15" customHeight="1">
      <c r="G18156"/>
      <c r="I18156"/>
      <c r="N18156"/>
      <c r="O18156" s="24"/>
      <c r="P18156"/>
      <c r="Q18156" s="24"/>
      <c r="R18156"/>
      <c r="S18156"/>
      <c r="T18156"/>
      <c r="U18156"/>
      <c r="X18156" s="60"/>
    </row>
    <row r="18157" spans="7:24" ht="15" customHeight="1">
      <c r="G18157"/>
      <c r="I18157"/>
      <c r="N18157"/>
      <c r="O18157" s="24"/>
      <c r="P18157"/>
      <c r="Q18157" s="24"/>
      <c r="R18157"/>
      <c r="S18157"/>
      <c r="T18157"/>
      <c r="U18157"/>
      <c r="X18157" s="60"/>
    </row>
    <row r="18158" spans="7:24" ht="15" customHeight="1">
      <c r="G18158"/>
      <c r="I18158"/>
      <c r="N18158"/>
      <c r="O18158" s="24"/>
      <c r="P18158"/>
      <c r="Q18158" s="24"/>
      <c r="R18158"/>
      <c r="S18158"/>
      <c r="T18158"/>
      <c r="U18158"/>
      <c r="X18158" s="60"/>
    </row>
    <row r="18159" spans="7:24" ht="15" customHeight="1">
      <c r="G18159"/>
      <c r="I18159"/>
      <c r="N18159"/>
      <c r="O18159" s="24"/>
      <c r="P18159"/>
      <c r="Q18159" s="24"/>
      <c r="R18159"/>
      <c r="S18159"/>
      <c r="T18159"/>
      <c r="U18159"/>
      <c r="X18159" s="60"/>
    </row>
    <row r="18160" spans="7:24" ht="15" customHeight="1">
      <c r="G18160"/>
      <c r="I18160"/>
      <c r="N18160"/>
      <c r="O18160" s="24"/>
      <c r="P18160"/>
      <c r="Q18160" s="24"/>
      <c r="R18160"/>
      <c r="S18160"/>
      <c r="T18160"/>
      <c r="U18160"/>
      <c r="X18160" s="60"/>
    </row>
    <row r="18161" spans="7:24" ht="15" customHeight="1">
      <c r="G18161"/>
      <c r="I18161"/>
      <c r="N18161"/>
      <c r="O18161" s="24"/>
      <c r="P18161"/>
      <c r="Q18161" s="24"/>
      <c r="R18161"/>
      <c r="S18161"/>
      <c r="T18161"/>
      <c r="U18161"/>
      <c r="X18161" s="60"/>
    </row>
    <row r="18162" spans="7:24" ht="15" customHeight="1">
      <c r="G18162"/>
      <c r="I18162"/>
      <c r="N18162"/>
      <c r="O18162" s="24"/>
      <c r="P18162"/>
      <c r="Q18162" s="24"/>
      <c r="R18162"/>
      <c r="S18162"/>
      <c r="T18162"/>
      <c r="U18162"/>
      <c r="X18162" s="60"/>
    </row>
    <row r="18163" spans="7:24" ht="15" customHeight="1">
      <c r="G18163"/>
      <c r="I18163"/>
      <c r="N18163"/>
      <c r="O18163" s="24"/>
      <c r="P18163"/>
      <c r="Q18163" s="24"/>
      <c r="R18163"/>
      <c r="S18163"/>
      <c r="T18163"/>
      <c r="U18163"/>
      <c r="X18163" s="60"/>
    </row>
    <row r="18164" spans="7:24" ht="15" customHeight="1">
      <c r="G18164"/>
      <c r="I18164"/>
      <c r="N18164"/>
      <c r="O18164" s="24"/>
      <c r="P18164"/>
      <c r="Q18164" s="24"/>
      <c r="R18164"/>
      <c r="S18164"/>
      <c r="T18164"/>
      <c r="U18164"/>
      <c r="X18164" s="60"/>
    </row>
    <row r="18165" spans="7:24" ht="15" customHeight="1">
      <c r="G18165"/>
      <c r="I18165"/>
      <c r="N18165"/>
      <c r="O18165" s="24"/>
      <c r="P18165"/>
      <c r="Q18165" s="24"/>
      <c r="R18165"/>
      <c r="S18165"/>
      <c r="T18165"/>
      <c r="U18165"/>
      <c r="X18165" s="60"/>
    </row>
    <row r="18166" spans="7:24" ht="15" customHeight="1">
      <c r="G18166"/>
      <c r="I18166"/>
      <c r="N18166"/>
      <c r="O18166" s="24"/>
      <c r="P18166"/>
      <c r="Q18166" s="24"/>
      <c r="R18166"/>
      <c r="S18166"/>
      <c r="T18166"/>
      <c r="U18166"/>
      <c r="X18166" s="60"/>
    </row>
    <row r="18167" spans="7:24" ht="15" customHeight="1">
      <c r="G18167"/>
      <c r="I18167"/>
      <c r="N18167"/>
      <c r="O18167" s="24"/>
      <c r="P18167"/>
      <c r="Q18167" s="24"/>
      <c r="R18167"/>
      <c r="S18167"/>
      <c r="T18167"/>
      <c r="U18167"/>
      <c r="X18167" s="60"/>
    </row>
    <row r="18168" spans="7:24" ht="15" customHeight="1">
      <c r="G18168"/>
      <c r="I18168"/>
      <c r="N18168"/>
      <c r="O18168" s="24"/>
      <c r="P18168"/>
      <c r="Q18168" s="24"/>
      <c r="R18168"/>
      <c r="S18168"/>
      <c r="T18168"/>
      <c r="U18168"/>
      <c r="X18168" s="60"/>
    </row>
    <row r="18169" spans="7:24" ht="15" customHeight="1">
      <c r="G18169"/>
      <c r="I18169"/>
      <c r="N18169"/>
      <c r="O18169" s="24"/>
      <c r="P18169"/>
      <c r="Q18169" s="24"/>
      <c r="R18169"/>
      <c r="S18169"/>
      <c r="T18169"/>
      <c r="U18169"/>
      <c r="X18169" s="60"/>
    </row>
    <row r="18170" spans="7:24" ht="15" customHeight="1">
      <c r="G18170"/>
      <c r="I18170"/>
      <c r="N18170"/>
      <c r="O18170" s="24"/>
      <c r="P18170"/>
      <c r="Q18170" s="24"/>
      <c r="R18170"/>
      <c r="S18170"/>
      <c r="T18170"/>
      <c r="U18170"/>
      <c r="X18170" s="60"/>
    </row>
    <row r="18171" spans="7:24" ht="15" customHeight="1">
      <c r="G18171"/>
      <c r="I18171"/>
      <c r="N18171"/>
      <c r="O18171" s="24"/>
      <c r="P18171"/>
      <c r="Q18171" s="24"/>
      <c r="R18171"/>
      <c r="S18171"/>
      <c r="T18171"/>
      <c r="U18171"/>
      <c r="X18171" s="60"/>
    </row>
    <row r="18172" spans="7:24" ht="15" customHeight="1">
      <c r="G18172"/>
      <c r="I18172"/>
      <c r="N18172"/>
      <c r="O18172" s="24"/>
      <c r="P18172"/>
      <c r="Q18172" s="24"/>
      <c r="R18172"/>
      <c r="S18172"/>
      <c r="T18172"/>
      <c r="U18172"/>
      <c r="X18172" s="60"/>
    </row>
    <row r="18173" spans="7:24" ht="15" customHeight="1">
      <c r="G18173"/>
      <c r="I18173"/>
      <c r="N18173"/>
      <c r="O18173" s="24"/>
      <c r="P18173"/>
      <c r="Q18173" s="24"/>
      <c r="R18173"/>
      <c r="S18173"/>
      <c r="T18173"/>
      <c r="U18173"/>
      <c r="X18173" s="60"/>
    </row>
    <row r="18174" spans="7:24" ht="15" customHeight="1">
      <c r="G18174"/>
      <c r="I18174"/>
      <c r="N18174"/>
      <c r="O18174" s="24"/>
      <c r="P18174"/>
      <c r="Q18174" s="24"/>
      <c r="R18174"/>
      <c r="S18174"/>
      <c r="T18174"/>
      <c r="U18174"/>
      <c r="X18174" s="60"/>
    </row>
    <row r="18175" spans="7:24" ht="15" customHeight="1">
      <c r="G18175"/>
      <c r="I18175"/>
      <c r="N18175"/>
      <c r="O18175" s="24"/>
      <c r="P18175"/>
      <c r="Q18175" s="24"/>
      <c r="R18175"/>
      <c r="S18175"/>
      <c r="T18175"/>
      <c r="U18175"/>
      <c r="X18175" s="60"/>
    </row>
    <row r="18176" spans="7:24" ht="15" customHeight="1">
      <c r="G18176"/>
      <c r="I18176"/>
      <c r="N18176"/>
      <c r="O18176" s="24"/>
      <c r="P18176"/>
      <c r="Q18176" s="24"/>
      <c r="R18176"/>
      <c r="S18176"/>
      <c r="T18176"/>
      <c r="U18176"/>
      <c r="X18176" s="60"/>
    </row>
    <row r="18177" spans="7:24" ht="15" customHeight="1">
      <c r="G18177"/>
      <c r="I18177"/>
      <c r="N18177"/>
      <c r="O18177" s="24"/>
      <c r="P18177"/>
      <c r="Q18177" s="24"/>
      <c r="R18177"/>
      <c r="S18177"/>
      <c r="T18177"/>
      <c r="U18177"/>
      <c r="X18177" s="60"/>
    </row>
    <row r="18178" spans="7:24" ht="15" customHeight="1">
      <c r="G18178"/>
      <c r="I18178"/>
      <c r="N18178"/>
      <c r="O18178" s="24"/>
      <c r="P18178"/>
      <c r="Q18178" s="24"/>
      <c r="R18178"/>
      <c r="S18178"/>
      <c r="T18178"/>
      <c r="U18178"/>
      <c r="X18178" s="60"/>
    </row>
    <row r="18179" spans="7:24" ht="15" customHeight="1">
      <c r="G18179"/>
      <c r="I18179"/>
      <c r="N18179"/>
      <c r="O18179" s="24"/>
      <c r="P18179"/>
      <c r="Q18179" s="24"/>
      <c r="R18179"/>
      <c r="S18179"/>
      <c r="T18179"/>
      <c r="U18179"/>
      <c r="X18179" s="60"/>
    </row>
    <row r="18180" spans="7:24" ht="15" customHeight="1">
      <c r="G18180"/>
      <c r="I18180"/>
      <c r="N18180"/>
      <c r="O18180" s="24"/>
      <c r="P18180"/>
      <c r="Q18180" s="24"/>
      <c r="R18180"/>
      <c r="S18180"/>
      <c r="T18180"/>
      <c r="U18180"/>
      <c r="X18180" s="60"/>
    </row>
    <row r="18181" spans="7:24" ht="15" customHeight="1">
      <c r="G18181"/>
      <c r="I18181"/>
      <c r="N18181"/>
      <c r="O18181" s="24"/>
      <c r="P18181"/>
      <c r="Q18181" s="24"/>
      <c r="R18181"/>
      <c r="S18181"/>
      <c r="T18181"/>
      <c r="U18181"/>
      <c r="X18181" s="60"/>
    </row>
    <row r="18182" spans="7:24" ht="15" customHeight="1">
      <c r="G18182"/>
      <c r="I18182"/>
      <c r="N18182"/>
      <c r="O18182" s="24"/>
      <c r="P18182"/>
      <c r="Q18182" s="24"/>
      <c r="R18182"/>
      <c r="S18182"/>
      <c r="T18182"/>
      <c r="U18182"/>
      <c r="X18182" s="60"/>
    </row>
    <row r="18183" spans="7:24" ht="15" customHeight="1">
      <c r="G18183"/>
      <c r="I18183"/>
      <c r="N18183"/>
      <c r="O18183" s="24"/>
      <c r="P18183"/>
      <c r="Q18183" s="24"/>
      <c r="R18183"/>
      <c r="S18183"/>
      <c r="T18183"/>
      <c r="U18183"/>
      <c r="X18183" s="60"/>
    </row>
    <row r="18184" spans="7:24" ht="15" customHeight="1">
      <c r="G18184"/>
      <c r="I18184"/>
      <c r="N18184"/>
      <c r="O18184" s="24"/>
      <c r="P18184"/>
      <c r="Q18184" s="24"/>
      <c r="R18184"/>
      <c r="S18184"/>
      <c r="T18184"/>
      <c r="U18184"/>
      <c r="X18184" s="60"/>
    </row>
    <row r="18185" spans="7:24" ht="15" customHeight="1">
      <c r="G18185"/>
      <c r="I18185"/>
      <c r="N18185"/>
      <c r="O18185" s="24"/>
      <c r="P18185"/>
      <c r="Q18185" s="24"/>
      <c r="R18185"/>
      <c r="S18185"/>
      <c r="T18185"/>
      <c r="U18185"/>
      <c r="X18185" s="60"/>
    </row>
    <row r="18186" spans="7:24" ht="15" customHeight="1">
      <c r="G18186"/>
      <c r="I18186"/>
      <c r="N18186"/>
      <c r="O18186" s="24"/>
      <c r="P18186"/>
      <c r="Q18186" s="24"/>
      <c r="R18186"/>
      <c r="S18186"/>
      <c r="T18186"/>
      <c r="U18186"/>
      <c r="X18186" s="60"/>
    </row>
    <row r="18187" spans="7:24" ht="15" customHeight="1">
      <c r="G18187"/>
      <c r="I18187"/>
      <c r="N18187"/>
      <c r="O18187" s="24"/>
      <c r="P18187"/>
      <c r="Q18187" s="24"/>
      <c r="R18187"/>
      <c r="S18187"/>
      <c r="T18187"/>
      <c r="U18187"/>
      <c r="X18187" s="60"/>
    </row>
    <row r="18188" spans="7:24" ht="15" customHeight="1">
      <c r="G18188"/>
      <c r="I18188"/>
      <c r="N18188"/>
      <c r="O18188" s="24"/>
      <c r="P18188"/>
      <c r="Q18188" s="24"/>
      <c r="R18188"/>
      <c r="S18188"/>
      <c r="T18188"/>
      <c r="U18188"/>
      <c r="X18188" s="60"/>
    </row>
    <row r="18189" spans="7:24" ht="15" customHeight="1">
      <c r="G18189"/>
      <c r="I18189"/>
      <c r="N18189"/>
      <c r="O18189" s="24"/>
      <c r="P18189"/>
      <c r="Q18189" s="24"/>
      <c r="R18189"/>
      <c r="S18189"/>
      <c r="T18189"/>
      <c r="U18189"/>
      <c r="X18189" s="60"/>
    </row>
    <row r="18190" spans="7:24" ht="15" customHeight="1">
      <c r="G18190"/>
      <c r="I18190"/>
      <c r="N18190"/>
      <c r="O18190" s="24"/>
      <c r="P18190"/>
      <c r="Q18190" s="24"/>
      <c r="R18190"/>
      <c r="S18190"/>
      <c r="T18190"/>
      <c r="U18190"/>
      <c r="X18190" s="60"/>
    </row>
    <row r="18191" spans="7:24" ht="15" customHeight="1">
      <c r="G18191"/>
      <c r="I18191"/>
      <c r="N18191"/>
      <c r="O18191" s="24"/>
      <c r="P18191"/>
      <c r="Q18191" s="24"/>
      <c r="R18191"/>
      <c r="S18191"/>
      <c r="T18191"/>
      <c r="U18191"/>
      <c r="X18191" s="60"/>
    </row>
    <row r="18192" spans="7:24" ht="15" customHeight="1">
      <c r="G18192"/>
      <c r="I18192"/>
      <c r="N18192"/>
      <c r="O18192" s="24"/>
      <c r="P18192"/>
      <c r="Q18192" s="24"/>
      <c r="R18192"/>
      <c r="S18192"/>
      <c r="T18192"/>
      <c r="U18192"/>
      <c r="X18192" s="60"/>
    </row>
    <row r="18193" spans="7:24" ht="15" customHeight="1">
      <c r="G18193"/>
      <c r="I18193"/>
      <c r="N18193"/>
      <c r="O18193" s="24"/>
      <c r="P18193"/>
      <c r="Q18193" s="24"/>
      <c r="R18193"/>
      <c r="S18193"/>
      <c r="T18193"/>
      <c r="U18193"/>
      <c r="X18193" s="60"/>
    </row>
    <row r="18194" spans="7:24" ht="15" customHeight="1">
      <c r="G18194"/>
      <c r="I18194"/>
      <c r="N18194"/>
      <c r="O18194" s="24"/>
      <c r="P18194"/>
      <c r="Q18194" s="24"/>
      <c r="R18194"/>
      <c r="S18194"/>
      <c r="T18194"/>
      <c r="U18194"/>
      <c r="X18194" s="60"/>
    </row>
    <row r="18195" spans="7:24" ht="15" customHeight="1">
      <c r="G18195"/>
      <c r="I18195"/>
      <c r="N18195"/>
      <c r="O18195" s="24"/>
      <c r="P18195"/>
      <c r="Q18195" s="24"/>
      <c r="R18195"/>
      <c r="S18195"/>
      <c r="T18195"/>
      <c r="U18195"/>
      <c r="X18195" s="60"/>
    </row>
    <row r="18196" spans="7:24" ht="15" customHeight="1">
      <c r="G18196"/>
      <c r="I18196"/>
      <c r="N18196"/>
      <c r="O18196" s="24"/>
      <c r="P18196"/>
      <c r="Q18196" s="24"/>
      <c r="R18196"/>
      <c r="S18196"/>
      <c r="T18196"/>
      <c r="U18196"/>
      <c r="X18196" s="60"/>
    </row>
    <row r="18197" spans="7:24" ht="15" customHeight="1">
      <c r="G18197"/>
      <c r="I18197"/>
      <c r="N18197"/>
      <c r="O18197" s="24"/>
      <c r="P18197"/>
      <c r="Q18197" s="24"/>
      <c r="R18197"/>
      <c r="S18197"/>
      <c r="T18197"/>
      <c r="U18197"/>
      <c r="X18197" s="60"/>
    </row>
    <row r="18198" spans="7:24" ht="15" customHeight="1">
      <c r="G18198"/>
      <c r="I18198"/>
      <c r="N18198"/>
      <c r="O18198" s="24"/>
      <c r="P18198"/>
      <c r="Q18198" s="24"/>
      <c r="R18198"/>
      <c r="S18198"/>
      <c r="T18198"/>
      <c r="U18198"/>
      <c r="X18198" s="60"/>
    </row>
    <row r="18199" spans="7:24" ht="15" customHeight="1">
      <c r="G18199"/>
      <c r="I18199"/>
      <c r="N18199"/>
      <c r="O18199" s="24"/>
      <c r="P18199"/>
      <c r="Q18199" s="24"/>
      <c r="R18199"/>
      <c r="S18199"/>
      <c r="T18199"/>
      <c r="U18199"/>
      <c r="X18199" s="60"/>
    </row>
    <row r="18200" spans="7:24" ht="15" customHeight="1">
      <c r="G18200"/>
      <c r="I18200"/>
      <c r="N18200"/>
      <c r="O18200" s="24"/>
      <c r="P18200"/>
      <c r="Q18200" s="24"/>
      <c r="R18200"/>
      <c r="S18200"/>
      <c r="T18200"/>
      <c r="U18200"/>
      <c r="X18200" s="60"/>
    </row>
    <row r="18201" spans="7:24" ht="15" customHeight="1">
      <c r="G18201"/>
      <c r="I18201"/>
      <c r="N18201"/>
      <c r="O18201" s="24"/>
      <c r="P18201"/>
      <c r="Q18201" s="24"/>
      <c r="R18201"/>
      <c r="S18201"/>
      <c r="T18201"/>
      <c r="U18201"/>
      <c r="X18201" s="60"/>
    </row>
    <row r="18202" spans="7:24" ht="15" customHeight="1">
      <c r="G18202"/>
      <c r="I18202"/>
      <c r="N18202"/>
      <c r="O18202" s="24"/>
      <c r="P18202"/>
      <c r="Q18202" s="24"/>
      <c r="R18202"/>
      <c r="S18202"/>
      <c r="T18202"/>
      <c r="U18202"/>
      <c r="X18202" s="60"/>
    </row>
    <row r="18203" spans="7:24" ht="15" customHeight="1">
      <c r="G18203"/>
      <c r="I18203"/>
      <c r="N18203"/>
      <c r="O18203" s="24"/>
      <c r="P18203"/>
      <c r="Q18203" s="24"/>
      <c r="R18203"/>
      <c r="S18203"/>
      <c r="T18203"/>
      <c r="U18203"/>
      <c r="X18203" s="60"/>
    </row>
    <row r="18204" spans="7:24" ht="15" customHeight="1">
      <c r="G18204"/>
      <c r="I18204"/>
      <c r="N18204"/>
      <c r="O18204" s="24"/>
      <c r="P18204"/>
      <c r="Q18204" s="24"/>
      <c r="R18204"/>
      <c r="S18204"/>
      <c r="T18204"/>
      <c r="U18204"/>
      <c r="X18204" s="60"/>
    </row>
    <row r="18205" spans="7:24" ht="15" customHeight="1">
      <c r="G18205"/>
      <c r="I18205"/>
      <c r="N18205"/>
      <c r="O18205" s="24"/>
      <c r="P18205"/>
      <c r="Q18205" s="24"/>
      <c r="R18205"/>
      <c r="S18205"/>
      <c r="T18205"/>
      <c r="U18205"/>
      <c r="X18205" s="60"/>
    </row>
    <row r="18206" spans="7:24" ht="15" customHeight="1">
      <c r="G18206"/>
      <c r="I18206"/>
      <c r="N18206"/>
      <c r="O18206" s="24"/>
      <c r="P18206"/>
      <c r="Q18206" s="24"/>
      <c r="R18206"/>
      <c r="S18206"/>
      <c r="T18206"/>
      <c r="U18206"/>
      <c r="X18206" s="60"/>
    </row>
    <row r="18207" spans="7:24" ht="15" customHeight="1">
      <c r="G18207"/>
      <c r="I18207"/>
      <c r="N18207"/>
      <c r="O18207" s="24"/>
      <c r="P18207"/>
      <c r="Q18207" s="24"/>
      <c r="R18207"/>
      <c r="S18207"/>
      <c r="T18207"/>
      <c r="U18207"/>
      <c r="X18207" s="60"/>
    </row>
    <row r="18208" spans="7:24" ht="15" customHeight="1">
      <c r="G18208"/>
      <c r="I18208"/>
      <c r="N18208"/>
      <c r="O18208" s="24"/>
      <c r="P18208"/>
      <c r="Q18208" s="24"/>
      <c r="R18208"/>
      <c r="S18208"/>
      <c r="T18208"/>
      <c r="U18208"/>
      <c r="X18208" s="60"/>
    </row>
    <row r="18209" spans="7:24" ht="15" customHeight="1">
      <c r="G18209"/>
      <c r="I18209"/>
      <c r="N18209"/>
      <c r="O18209" s="24"/>
      <c r="P18209"/>
      <c r="Q18209" s="24"/>
      <c r="R18209"/>
      <c r="S18209"/>
      <c r="T18209"/>
      <c r="U18209"/>
      <c r="X18209" s="60"/>
    </row>
    <row r="18210" spans="7:24" ht="15" customHeight="1">
      <c r="G18210"/>
      <c r="I18210"/>
      <c r="N18210"/>
      <c r="O18210" s="24"/>
      <c r="P18210"/>
      <c r="Q18210" s="24"/>
      <c r="R18210"/>
      <c r="S18210"/>
      <c r="T18210"/>
      <c r="U18210"/>
      <c r="X18210" s="60"/>
    </row>
    <row r="18211" spans="7:24" ht="15" customHeight="1">
      <c r="G18211"/>
      <c r="I18211"/>
      <c r="N18211"/>
      <c r="O18211" s="24"/>
      <c r="P18211"/>
      <c r="Q18211" s="24"/>
      <c r="R18211"/>
      <c r="S18211"/>
      <c r="T18211"/>
      <c r="U18211"/>
      <c r="X18211" s="60"/>
    </row>
    <row r="18212" spans="7:24" ht="15" customHeight="1">
      <c r="G18212"/>
      <c r="I18212"/>
      <c r="N18212"/>
      <c r="O18212" s="24"/>
      <c r="P18212"/>
      <c r="Q18212" s="24"/>
      <c r="R18212"/>
      <c r="S18212"/>
      <c r="T18212"/>
      <c r="U18212"/>
      <c r="X18212" s="60"/>
    </row>
    <row r="18213" spans="7:24" ht="15" customHeight="1">
      <c r="G18213"/>
      <c r="I18213"/>
      <c r="N18213"/>
      <c r="O18213" s="24"/>
      <c r="P18213"/>
      <c r="Q18213" s="24"/>
      <c r="R18213"/>
      <c r="S18213"/>
      <c r="T18213"/>
      <c r="U18213"/>
      <c r="X18213" s="60"/>
    </row>
    <row r="18214" spans="7:24" ht="15" customHeight="1">
      <c r="G18214"/>
      <c r="I18214"/>
      <c r="N18214"/>
      <c r="O18214" s="24"/>
      <c r="P18214"/>
      <c r="Q18214" s="24"/>
      <c r="R18214"/>
      <c r="S18214"/>
      <c r="T18214"/>
      <c r="U18214"/>
      <c r="X18214" s="60"/>
    </row>
    <row r="18215" spans="7:24" ht="15" customHeight="1">
      <c r="G18215"/>
      <c r="I18215"/>
      <c r="N18215"/>
      <c r="O18215" s="24"/>
      <c r="P18215"/>
      <c r="Q18215" s="24"/>
      <c r="R18215"/>
      <c r="S18215"/>
      <c r="T18215"/>
      <c r="U18215"/>
      <c r="X18215" s="60"/>
    </row>
    <row r="18216" spans="7:24" ht="15" customHeight="1">
      <c r="G18216"/>
      <c r="I18216"/>
      <c r="N18216"/>
      <c r="O18216" s="24"/>
      <c r="P18216"/>
      <c r="Q18216" s="24"/>
      <c r="R18216"/>
      <c r="S18216"/>
      <c r="T18216"/>
      <c r="U18216"/>
      <c r="X18216" s="60"/>
    </row>
    <row r="18217" spans="7:24" ht="15" customHeight="1">
      <c r="G18217"/>
      <c r="I18217"/>
      <c r="N18217"/>
      <c r="O18217" s="24"/>
      <c r="P18217"/>
      <c r="Q18217" s="24"/>
      <c r="R18217"/>
      <c r="S18217"/>
      <c r="T18217"/>
      <c r="U18217"/>
      <c r="X18217" s="60"/>
    </row>
    <row r="18218" spans="7:24" ht="15" customHeight="1">
      <c r="G18218"/>
      <c r="I18218"/>
      <c r="N18218"/>
      <c r="O18218" s="24"/>
      <c r="P18218"/>
      <c r="Q18218" s="24"/>
      <c r="R18218"/>
      <c r="S18218"/>
      <c r="T18218"/>
      <c r="U18218"/>
      <c r="X18218" s="60"/>
    </row>
    <row r="18219" spans="7:24" ht="15" customHeight="1">
      <c r="G18219"/>
      <c r="I18219"/>
      <c r="N18219"/>
      <c r="O18219" s="24"/>
      <c r="P18219"/>
      <c r="Q18219" s="24"/>
      <c r="R18219"/>
      <c r="S18219"/>
      <c r="T18219"/>
      <c r="U18219"/>
      <c r="X18219" s="60"/>
    </row>
    <row r="18220" spans="7:24" ht="15" customHeight="1">
      <c r="G18220"/>
      <c r="I18220"/>
      <c r="N18220"/>
      <c r="O18220" s="24"/>
      <c r="P18220"/>
      <c r="Q18220" s="24"/>
      <c r="R18220"/>
      <c r="S18220"/>
      <c r="T18220"/>
      <c r="U18220"/>
      <c r="X18220" s="60"/>
    </row>
    <row r="18221" spans="7:24" ht="15" customHeight="1">
      <c r="G18221"/>
      <c r="I18221"/>
      <c r="N18221"/>
      <c r="O18221" s="24"/>
      <c r="P18221"/>
      <c r="Q18221" s="24"/>
      <c r="R18221"/>
      <c r="S18221"/>
      <c r="T18221"/>
      <c r="U18221"/>
      <c r="X18221" s="60"/>
    </row>
    <row r="18222" spans="7:24" ht="15" customHeight="1">
      <c r="G18222"/>
      <c r="I18222"/>
      <c r="N18222"/>
      <c r="O18222" s="24"/>
      <c r="P18222"/>
      <c r="Q18222" s="24"/>
      <c r="R18222"/>
      <c r="S18222"/>
      <c r="T18222"/>
      <c r="U18222"/>
      <c r="X18222" s="60"/>
    </row>
    <row r="18223" spans="7:24" ht="15" customHeight="1">
      <c r="G18223"/>
      <c r="I18223"/>
      <c r="N18223"/>
      <c r="O18223" s="24"/>
      <c r="P18223"/>
      <c r="Q18223" s="24"/>
      <c r="R18223"/>
      <c r="S18223"/>
      <c r="T18223"/>
      <c r="U18223"/>
      <c r="X18223" s="60"/>
    </row>
    <row r="18224" spans="7:24" ht="15" customHeight="1">
      <c r="G18224"/>
      <c r="I18224"/>
      <c r="N18224"/>
      <c r="O18224" s="24"/>
      <c r="P18224"/>
      <c r="Q18224" s="24"/>
      <c r="R18224"/>
      <c r="S18224"/>
      <c r="T18224"/>
      <c r="U18224"/>
      <c r="X18224" s="60"/>
    </row>
    <row r="18225" spans="7:24" ht="15" customHeight="1">
      <c r="G18225"/>
      <c r="I18225"/>
      <c r="N18225"/>
      <c r="O18225" s="24"/>
      <c r="P18225"/>
      <c r="Q18225" s="24"/>
      <c r="R18225"/>
      <c r="S18225"/>
      <c r="T18225"/>
      <c r="U18225"/>
      <c r="X18225" s="60"/>
    </row>
    <row r="18226" spans="7:24" ht="15" customHeight="1">
      <c r="G18226"/>
      <c r="I18226"/>
      <c r="N18226"/>
      <c r="O18226" s="24"/>
      <c r="P18226"/>
      <c r="Q18226" s="24"/>
      <c r="R18226"/>
      <c r="S18226"/>
      <c r="T18226"/>
      <c r="U18226"/>
      <c r="X18226" s="60"/>
    </row>
    <row r="18227" spans="7:24" ht="15" customHeight="1">
      <c r="G18227"/>
      <c r="I18227"/>
      <c r="N18227"/>
      <c r="O18227" s="24"/>
      <c r="P18227"/>
      <c r="Q18227" s="24"/>
      <c r="R18227"/>
      <c r="S18227"/>
      <c r="T18227"/>
      <c r="U18227"/>
      <c r="X18227" s="60"/>
    </row>
    <row r="18228" spans="7:24" ht="15" customHeight="1">
      <c r="G18228"/>
      <c r="I18228"/>
      <c r="N18228"/>
      <c r="O18228" s="24"/>
      <c r="P18228"/>
      <c r="Q18228" s="24"/>
      <c r="R18228"/>
      <c r="S18228"/>
      <c r="T18228"/>
      <c r="U18228"/>
      <c r="X18228" s="60"/>
    </row>
    <row r="18229" spans="7:24" ht="15" customHeight="1">
      <c r="G18229"/>
      <c r="I18229"/>
      <c r="N18229"/>
      <c r="O18229" s="24"/>
      <c r="P18229"/>
      <c r="Q18229" s="24"/>
      <c r="R18229"/>
      <c r="S18229"/>
      <c r="T18229"/>
      <c r="U18229"/>
      <c r="X18229" s="60"/>
    </row>
    <row r="18230" spans="7:24" ht="15" customHeight="1">
      <c r="G18230"/>
      <c r="I18230"/>
      <c r="N18230"/>
      <c r="O18230" s="24"/>
      <c r="P18230"/>
      <c r="Q18230" s="24"/>
      <c r="R18230"/>
      <c r="S18230"/>
      <c r="T18230"/>
      <c r="U18230"/>
      <c r="X18230" s="60"/>
    </row>
    <row r="18231" spans="7:24" ht="15" customHeight="1">
      <c r="G18231"/>
      <c r="I18231"/>
      <c r="N18231"/>
      <c r="O18231" s="24"/>
      <c r="P18231"/>
      <c r="Q18231" s="24"/>
      <c r="R18231"/>
      <c r="S18231"/>
      <c r="T18231"/>
      <c r="U18231"/>
      <c r="X18231" s="60"/>
    </row>
    <row r="18232" spans="7:24" ht="15" customHeight="1">
      <c r="G18232"/>
      <c r="I18232"/>
      <c r="N18232"/>
      <c r="O18232" s="24"/>
      <c r="P18232"/>
      <c r="Q18232" s="24"/>
      <c r="R18232"/>
      <c r="S18232"/>
      <c r="T18232"/>
      <c r="U18232"/>
      <c r="X18232" s="60"/>
    </row>
    <row r="18233" spans="7:24" ht="15" customHeight="1">
      <c r="G18233"/>
      <c r="I18233"/>
      <c r="N18233"/>
      <c r="O18233" s="24"/>
      <c r="P18233"/>
      <c r="Q18233" s="24"/>
      <c r="R18233"/>
      <c r="S18233"/>
      <c r="T18233"/>
      <c r="U18233"/>
      <c r="X18233" s="60"/>
    </row>
    <row r="18234" spans="7:24" ht="15" customHeight="1">
      <c r="G18234"/>
      <c r="I18234"/>
      <c r="N18234"/>
      <c r="O18234" s="24"/>
      <c r="P18234"/>
      <c r="Q18234" s="24"/>
      <c r="R18234"/>
      <c r="S18234"/>
      <c r="T18234"/>
      <c r="U18234"/>
      <c r="X18234" s="60"/>
    </row>
    <row r="18235" spans="7:24" ht="15" customHeight="1">
      <c r="G18235"/>
      <c r="I18235"/>
      <c r="N18235"/>
      <c r="O18235" s="24"/>
      <c r="P18235"/>
      <c r="Q18235" s="24"/>
      <c r="R18235"/>
      <c r="S18235"/>
      <c r="T18235"/>
      <c r="U18235"/>
      <c r="X18235" s="60"/>
    </row>
    <row r="18236" spans="7:24" ht="15" customHeight="1">
      <c r="G18236"/>
      <c r="I18236"/>
      <c r="N18236"/>
      <c r="O18236" s="24"/>
      <c r="P18236"/>
      <c r="Q18236" s="24"/>
      <c r="R18236"/>
      <c r="S18236"/>
      <c r="T18236"/>
      <c r="U18236"/>
      <c r="X18236" s="60"/>
    </row>
    <row r="18237" spans="7:24" ht="15" customHeight="1">
      <c r="G18237"/>
      <c r="I18237"/>
      <c r="N18237"/>
      <c r="O18237" s="24"/>
      <c r="P18237"/>
      <c r="Q18237" s="24"/>
      <c r="R18237"/>
      <c r="S18237"/>
      <c r="T18237"/>
      <c r="U18237"/>
      <c r="X18237" s="60"/>
    </row>
    <row r="18238" spans="7:24" ht="15" customHeight="1">
      <c r="G18238"/>
      <c r="I18238"/>
      <c r="N18238"/>
      <c r="O18238" s="24"/>
      <c r="P18238"/>
      <c r="Q18238" s="24"/>
      <c r="R18238"/>
      <c r="S18238"/>
      <c r="T18238"/>
      <c r="U18238"/>
      <c r="X18238" s="60"/>
    </row>
    <row r="18239" spans="7:24" ht="15" customHeight="1">
      <c r="G18239"/>
      <c r="I18239"/>
      <c r="N18239"/>
      <c r="O18239" s="24"/>
      <c r="P18239"/>
      <c r="Q18239" s="24"/>
      <c r="R18239"/>
      <c r="S18239"/>
      <c r="T18239"/>
      <c r="U18239"/>
      <c r="X18239" s="60"/>
    </row>
    <row r="18240" spans="7:24" ht="15" customHeight="1">
      <c r="G18240"/>
      <c r="I18240"/>
      <c r="N18240"/>
      <c r="O18240" s="24"/>
      <c r="P18240"/>
      <c r="Q18240" s="24"/>
      <c r="R18240"/>
      <c r="S18240"/>
      <c r="T18240"/>
      <c r="U18240"/>
      <c r="X18240" s="60"/>
    </row>
    <row r="18241" spans="7:24" ht="15" customHeight="1">
      <c r="G18241"/>
      <c r="I18241"/>
      <c r="N18241"/>
      <c r="O18241" s="24"/>
      <c r="P18241"/>
      <c r="Q18241" s="24"/>
      <c r="R18241"/>
      <c r="S18241"/>
      <c r="T18241"/>
      <c r="U18241"/>
      <c r="X18241" s="60"/>
    </row>
    <row r="18242" spans="7:24" ht="15" customHeight="1">
      <c r="G18242"/>
      <c r="I18242"/>
      <c r="N18242"/>
      <c r="O18242" s="24"/>
      <c r="P18242"/>
      <c r="Q18242" s="24"/>
      <c r="R18242"/>
      <c r="S18242"/>
      <c r="T18242"/>
      <c r="U18242"/>
      <c r="X18242" s="60"/>
    </row>
    <row r="18243" spans="7:24" ht="15" customHeight="1">
      <c r="G18243"/>
      <c r="I18243"/>
      <c r="N18243"/>
      <c r="O18243" s="24"/>
      <c r="P18243"/>
      <c r="Q18243" s="24"/>
      <c r="R18243"/>
      <c r="S18243"/>
      <c r="T18243"/>
      <c r="U18243"/>
      <c r="X18243" s="60"/>
    </row>
    <row r="18244" spans="7:24" ht="15" customHeight="1">
      <c r="G18244"/>
      <c r="I18244"/>
      <c r="N18244"/>
      <c r="O18244" s="24"/>
      <c r="P18244"/>
      <c r="Q18244" s="24"/>
      <c r="R18244"/>
      <c r="S18244"/>
      <c r="T18244"/>
      <c r="U18244"/>
      <c r="X18244" s="60"/>
    </row>
    <row r="18245" spans="7:24" ht="15" customHeight="1">
      <c r="G18245"/>
      <c r="I18245"/>
      <c r="N18245"/>
      <c r="O18245" s="24"/>
      <c r="P18245"/>
      <c r="Q18245" s="24"/>
      <c r="R18245"/>
      <c r="S18245"/>
      <c r="T18245"/>
      <c r="U18245"/>
      <c r="X18245" s="60"/>
    </row>
    <row r="18246" spans="7:24" ht="15" customHeight="1">
      <c r="G18246"/>
      <c r="I18246"/>
      <c r="N18246"/>
      <c r="O18246" s="24"/>
      <c r="P18246"/>
      <c r="Q18246" s="24"/>
      <c r="R18246"/>
      <c r="S18246"/>
      <c r="T18246"/>
      <c r="U18246"/>
      <c r="X18246" s="60"/>
    </row>
    <row r="18247" spans="7:24" ht="15" customHeight="1">
      <c r="G18247"/>
      <c r="I18247"/>
      <c r="N18247"/>
      <c r="O18247" s="24"/>
      <c r="P18247"/>
      <c r="Q18247" s="24"/>
      <c r="R18247"/>
      <c r="S18247"/>
      <c r="T18247"/>
      <c r="U18247"/>
      <c r="X18247" s="60"/>
    </row>
    <row r="18248" spans="7:24" ht="15" customHeight="1">
      <c r="G18248"/>
      <c r="I18248"/>
      <c r="N18248"/>
      <c r="O18248" s="24"/>
      <c r="P18248"/>
      <c r="Q18248" s="24"/>
      <c r="R18248"/>
      <c r="S18248"/>
      <c r="T18248"/>
      <c r="U18248"/>
      <c r="X18248" s="60"/>
    </row>
    <row r="18249" spans="7:24" ht="15" customHeight="1">
      <c r="G18249"/>
      <c r="I18249"/>
      <c r="N18249"/>
      <c r="O18249" s="24"/>
      <c r="P18249"/>
      <c r="Q18249" s="24"/>
      <c r="R18249"/>
      <c r="S18249"/>
      <c r="T18249"/>
      <c r="U18249"/>
      <c r="X18249" s="60"/>
    </row>
    <row r="18250" spans="7:24" ht="15" customHeight="1">
      <c r="G18250"/>
      <c r="I18250"/>
      <c r="N18250"/>
      <c r="O18250" s="24"/>
      <c r="P18250"/>
      <c r="Q18250" s="24"/>
      <c r="R18250"/>
      <c r="S18250"/>
      <c r="T18250"/>
      <c r="U18250"/>
      <c r="X18250" s="60"/>
    </row>
    <row r="18251" spans="7:24" ht="15" customHeight="1">
      <c r="G18251"/>
      <c r="I18251"/>
      <c r="N18251"/>
      <c r="O18251" s="24"/>
      <c r="P18251"/>
      <c r="Q18251" s="24"/>
      <c r="R18251"/>
      <c r="S18251"/>
      <c r="T18251"/>
      <c r="U18251"/>
      <c r="X18251" s="60"/>
    </row>
    <row r="18252" spans="7:24" ht="15" customHeight="1">
      <c r="G18252"/>
      <c r="I18252"/>
      <c r="N18252"/>
      <c r="O18252" s="24"/>
      <c r="P18252"/>
      <c r="Q18252" s="24"/>
      <c r="R18252"/>
      <c r="S18252"/>
      <c r="T18252"/>
      <c r="U18252"/>
      <c r="X18252" s="60"/>
    </row>
    <row r="18253" spans="7:24" ht="15" customHeight="1">
      <c r="G18253"/>
      <c r="I18253"/>
      <c r="N18253"/>
      <c r="O18253" s="24"/>
      <c r="P18253"/>
      <c r="Q18253" s="24"/>
      <c r="R18253"/>
      <c r="S18253"/>
      <c r="T18253"/>
      <c r="U18253"/>
      <c r="X18253" s="60"/>
    </row>
    <row r="18254" spans="7:24" ht="15" customHeight="1">
      <c r="G18254"/>
      <c r="I18254"/>
      <c r="N18254"/>
      <c r="O18254" s="24"/>
      <c r="P18254"/>
      <c r="Q18254" s="24"/>
      <c r="R18254"/>
      <c r="S18254"/>
      <c r="T18254"/>
      <c r="U18254"/>
      <c r="X18254" s="60"/>
    </row>
    <row r="18255" spans="7:24" ht="15" customHeight="1">
      <c r="G18255"/>
      <c r="I18255"/>
      <c r="N18255"/>
      <c r="O18255" s="24"/>
      <c r="P18255"/>
      <c r="Q18255" s="24"/>
      <c r="R18255"/>
      <c r="S18255"/>
      <c r="T18255"/>
      <c r="U18255"/>
      <c r="X18255" s="60"/>
    </row>
    <row r="18256" spans="7:24" ht="15" customHeight="1">
      <c r="G18256"/>
      <c r="I18256"/>
      <c r="N18256"/>
      <c r="O18256" s="24"/>
      <c r="P18256"/>
      <c r="Q18256" s="24"/>
      <c r="R18256"/>
      <c r="S18256"/>
      <c r="T18256"/>
      <c r="U18256"/>
      <c r="X18256" s="60"/>
    </row>
    <row r="18257" spans="7:24" ht="15" customHeight="1">
      <c r="G18257"/>
      <c r="I18257"/>
      <c r="N18257"/>
      <c r="O18257" s="24"/>
      <c r="P18257"/>
      <c r="Q18257" s="24"/>
      <c r="R18257"/>
      <c r="S18257"/>
      <c r="T18257"/>
      <c r="U18257"/>
      <c r="X18257" s="60"/>
    </row>
    <row r="18258" spans="7:24" ht="15" customHeight="1">
      <c r="G18258"/>
      <c r="I18258"/>
      <c r="N18258"/>
      <c r="O18258" s="24"/>
      <c r="P18258"/>
      <c r="Q18258" s="24"/>
      <c r="R18258"/>
      <c r="S18258"/>
      <c r="T18258"/>
      <c r="U18258"/>
      <c r="X18258" s="60"/>
    </row>
    <row r="18259" spans="7:24" ht="15" customHeight="1">
      <c r="G18259"/>
      <c r="I18259"/>
      <c r="N18259"/>
      <c r="O18259" s="24"/>
      <c r="P18259"/>
      <c r="Q18259" s="24"/>
      <c r="R18259"/>
      <c r="S18259"/>
      <c r="T18259"/>
      <c r="U18259"/>
      <c r="X18259" s="60"/>
    </row>
    <row r="18260" spans="7:24" ht="15" customHeight="1">
      <c r="G18260"/>
      <c r="I18260"/>
      <c r="N18260"/>
      <c r="O18260" s="24"/>
      <c r="P18260"/>
      <c r="Q18260" s="24"/>
      <c r="R18260"/>
      <c r="S18260"/>
      <c r="T18260"/>
      <c r="U18260"/>
      <c r="X18260" s="60"/>
    </row>
    <row r="18261" spans="7:24" ht="15" customHeight="1">
      <c r="G18261"/>
      <c r="I18261"/>
      <c r="N18261"/>
      <c r="O18261" s="24"/>
      <c r="P18261"/>
      <c r="Q18261" s="24"/>
      <c r="R18261"/>
      <c r="S18261"/>
      <c r="T18261"/>
      <c r="U18261"/>
      <c r="X18261" s="60"/>
    </row>
    <row r="18262" spans="7:24" ht="15" customHeight="1">
      <c r="G18262"/>
      <c r="I18262"/>
      <c r="N18262"/>
      <c r="O18262" s="24"/>
      <c r="P18262"/>
      <c r="Q18262" s="24"/>
      <c r="R18262"/>
      <c r="S18262"/>
      <c r="T18262"/>
      <c r="U18262"/>
      <c r="X18262" s="60"/>
    </row>
    <row r="18263" spans="7:24" ht="15" customHeight="1">
      <c r="G18263"/>
      <c r="I18263"/>
      <c r="N18263"/>
      <c r="O18263" s="24"/>
      <c r="P18263"/>
      <c r="Q18263" s="24"/>
      <c r="R18263"/>
      <c r="S18263"/>
      <c r="T18263"/>
      <c r="U18263"/>
      <c r="X18263" s="60"/>
    </row>
    <row r="18264" spans="7:24" ht="15" customHeight="1">
      <c r="G18264"/>
      <c r="I18264"/>
      <c r="N18264"/>
      <c r="O18264" s="24"/>
      <c r="P18264"/>
      <c r="Q18264" s="24"/>
      <c r="R18264"/>
      <c r="S18264"/>
      <c r="T18264"/>
      <c r="U18264"/>
      <c r="X18264" s="60"/>
    </row>
    <row r="18265" spans="7:24" ht="15" customHeight="1">
      <c r="G18265"/>
      <c r="I18265"/>
      <c r="N18265"/>
      <c r="O18265" s="24"/>
      <c r="P18265"/>
      <c r="Q18265" s="24"/>
      <c r="R18265"/>
      <c r="S18265"/>
      <c r="T18265"/>
      <c r="U18265"/>
      <c r="X18265" s="60"/>
    </row>
    <row r="18266" spans="7:24" ht="15" customHeight="1">
      <c r="G18266"/>
      <c r="I18266"/>
      <c r="N18266"/>
      <c r="O18266" s="24"/>
      <c r="P18266"/>
      <c r="Q18266" s="24"/>
      <c r="R18266"/>
      <c r="S18266"/>
      <c r="T18266"/>
      <c r="U18266"/>
      <c r="X18266" s="60"/>
    </row>
    <row r="18267" spans="7:24" ht="15" customHeight="1">
      <c r="G18267"/>
      <c r="I18267"/>
      <c r="N18267"/>
      <c r="O18267" s="24"/>
      <c r="P18267"/>
      <c r="Q18267" s="24"/>
      <c r="R18267"/>
      <c r="S18267"/>
      <c r="T18267"/>
      <c r="U18267"/>
      <c r="X18267" s="60"/>
    </row>
    <row r="18268" spans="7:24" ht="15" customHeight="1">
      <c r="G18268"/>
      <c r="I18268"/>
      <c r="N18268"/>
      <c r="O18268" s="24"/>
      <c r="P18268"/>
      <c r="Q18268" s="24"/>
      <c r="R18268"/>
      <c r="S18268"/>
      <c r="T18268"/>
      <c r="U18268"/>
      <c r="X18268" s="60"/>
    </row>
    <row r="18269" spans="7:24" ht="15" customHeight="1">
      <c r="G18269"/>
      <c r="I18269"/>
      <c r="N18269"/>
      <c r="O18269" s="24"/>
      <c r="P18269"/>
      <c r="Q18269" s="24"/>
      <c r="R18269"/>
      <c r="S18269"/>
      <c r="T18269"/>
      <c r="U18269"/>
      <c r="X18269" s="60"/>
    </row>
    <row r="18270" spans="7:24" ht="15" customHeight="1">
      <c r="G18270"/>
      <c r="I18270"/>
      <c r="N18270"/>
      <c r="O18270" s="24"/>
      <c r="P18270"/>
      <c r="Q18270" s="24"/>
      <c r="R18270"/>
      <c r="S18270"/>
      <c r="T18270"/>
      <c r="U18270"/>
      <c r="X18270" s="60"/>
    </row>
    <row r="18271" spans="7:24" ht="15" customHeight="1">
      <c r="G18271"/>
      <c r="I18271"/>
      <c r="N18271"/>
      <c r="O18271" s="24"/>
      <c r="P18271"/>
      <c r="Q18271" s="24"/>
      <c r="R18271"/>
      <c r="S18271"/>
      <c r="T18271"/>
      <c r="U18271"/>
      <c r="X18271" s="60"/>
    </row>
    <row r="18272" spans="7:24" ht="15" customHeight="1">
      <c r="G18272"/>
      <c r="I18272"/>
      <c r="N18272"/>
      <c r="O18272" s="24"/>
      <c r="P18272"/>
      <c r="Q18272" s="24"/>
      <c r="R18272"/>
      <c r="S18272"/>
      <c r="T18272"/>
      <c r="U18272"/>
      <c r="X18272" s="60"/>
    </row>
    <row r="18273" spans="7:24" ht="15" customHeight="1">
      <c r="G18273"/>
      <c r="I18273"/>
      <c r="N18273"/>
      <c r="O18273" s="24"/>
      <c r="P18273"/>
      <c r="Q18273" s="24"/>
      <c r="R18273"/>
      <c r="S18273"/>
      <c r="T18273"/>
      <c r="U18273"/>
      <c r="X18273" s="60"/>
    </row>
    <row r="18274" spans="7:24" ht="15" customHeight="1">
      <c r="G18274"/>
      <c r="I18274"/>
      <c r="N18274"/>
      <c r="O18274" s="24"/>
      <c r="P18274"/>
      <c r="Q18274" s="24"/>
      <c r="R18274"/>
      <c r="S18274"/>
      <c r="T18274"/>
      <c r="U18274"/>
      <c r="X18274" s="60"/>
    </row>
    <row r="18275" spans="7:24" ht="15" customHeight="1">
      <c r="G18275"/>
      <c r="I18275"/>
      <c r="N18275"/>
      <c r="O18275" s="24"/>
      <c r="P18275"/>
      <c r="Q18275" s="24"/>
      <c r="R18275"/>
      <c r="S18275"/>
      <c r="T18275"/>
      <c r="U18275"/>
      <c r="X18275" s="60"/>
    </row>
    <row r="18276" spans="7:24" ht="15" customHeight="1">
      <c r="G18276"/>
      <c r="I18276"/>
      <c r="N18276"/>
      <c r="O18276" s="24"/>
      <c r="P18276"/>
      <c r="Q18276" s="24"/>
      <c r="R18276"/>
      <c r="S18276"/>
      <c r="T18276"/>
      <c r="U18276"/>
      <c r="X18276" s="60"/>
    </row>
    <row r="18277" spans="7:24" ht="15" customHeight="1">
      <c r="G18277"/>
      <c r="I18277"/>
      <c r="N18277"/>
      <c r="O18277" s="24"/>
      <c r="P18277"/>
      <c r="Q18277" s="24"/>
      <c r="R18277"/>
      <c r="S18277"/>
      <c r="T18277"/>
      <c r="U18277"/>
      <c r="X18277" s="60"/>
    </row>
    <row r="18278" spans="7:24" ht="15" customHeight="1">
      <c r="G18278"/>
      <c r="I18278"/>
      <c r="N18278"/>
      <c r="O18278" s="24"/>
      <c r="P18278"/>
      <c r="Q18278" s="24"/>
      <c r="R18278"/>
      <c r="S18278"/>
      <c r="T18278"/>
      <c r="U18278"/>
      <c r="X18278" s="60"/>
    </row>
    <row r="18279" spans="7:24" ht="15" customHeight="1">
      <c r="G18279"/>
      <c r="I18279"/>
      <c r="N18279"/>
      <c r="O18279" s="24"/>
      <c r="P18279"/>
      <c r="Q18279" s="24"/>
      <c r="R18279"/>
      <c r="S18279"/>
      <c r="T18279"/>
      <c r="U18279"/>
      <c r="X18279" s="60"/>
    </row>
    <row r="18280" spans="7:24" ht="15" customHeight="1">
      <c r="G18280"/>
      <c r="I18280"/>
      <c r="N18280"/>
      <c r="O18280" s="24"/>
      <c r="P18280"/>
      <c r="Q18280" s="24"/>
      <c r="R18280"/>
      <c r="S18280"/>
      <c r="T18280"/>
      <c r="U18280"/>
      <c r="X18280" s="60"/>
    </row>
    <row r="18281" spans="7:24" ht="15" customHeight="1">
      <c r="G18281"/>
      <c r="I18281"/>
      <c r="N18281"/>
      <c r="O18281" s="24"/>
      <c r="P18281"/>
      <c r="Q18281" s="24"/>
      <c r="R18281"/>
      <c r="S18281"/>
      <c r="T18281"/>
      <c r="U18281"/>
      <c r="X18281" s="60"/>
    </row>
    <row r="18282" spans="7:24" ht="15" customHeight="1">
      <c r="G18282"/>
      <c r="I18282"/>
      <c r="N18282"/>
      <c r="O18282" s="24"/>
      <c r="P18282"/>
      <c r="Q18282" s="24"/>
      <c r="R18282"/>
      <c r="S18282"/>
      <c r="T18282"/>
      <c r="U18282"/>
      <c r="X18282" s="60"/>
    </row>
    <row r="18283" spans="7:24" ht="15" customHeight="1">
      <c r="G18283"/>
      <c r="I18283"/>
      <c r="N18283"/>
      <c r="O18283" s="24"/>
      <c r="P18283"/>
      <c r="Q18283" s="24"/>
      <c r="R18283"/>
      <c r="S18283"/>
      <c r="T18283"/>
      <c r="U18283"/>
      <c r="X18283" s="60"/>
    </row>
    <row r="18284" spans="7:24" ht="15" customHeight="1">
      <c r="G18284"/>
      <c r="I18284"/>
      <c r="N18284"/>
      <c r="O18284" s="24"/>
      <c r="P18284"/>
      <c r="Q18284" s="24"/>
      <c r="R18284"/>
      <c r="S18284"/>
      <c r="T18284"/>
      <c r="U18284"/>
      <c r="X18284" s="60"/>
    </row>
    <row r="18285" spans="7:24" ht="15" customHeight="1">
      <c r="G18285"/>
      <c r="I18285"/>
      <c r="N18285"/>
      <c r="O18285" s="24"/>
      <c r="P18285"/>
      <c r="Q18285" s="24"/>
      <c r="R18285"/>
      <c r="S18285"/>
      <c r="T18285"/>
      <c r="U18285"/>
      <c r="X18285" s="60"/>
    </row>
    <row r="18286" spans="7:24" ht="15" customHeight="1">
      <c r="G18286"/>
      <c r="I18286"/>
      <c r="N18286"/>
      <c r="O18286" s="24"/>
      <c r="P18286"/>
      <c r="Q18286" s="24"/>
      <c r="R18286"/>
      <c r="S18286"/>
      <c r="T18286"/>
      <c r="U18286"/>
      <c r="X18286" s="60"/>
    </row>
    <row r="18287" spans="7:24" ht="15" customHeight="1">
      <c r="G18287"/>
      <c r="I18287"/>
      <c r="N18287"/>
      <c r="O18287" s="24"/>
      <c r="P18287"/>
      <c r="Q18287" s="24"/>
      <c r="R18287"/>
      <c r="S18287"/>
      <c r="T18287"/>
      <c r="U18287"/>
      <c r="X18287" s="60"/>
    </row>
    <row r="18288" spans="7:24" ht="15" customHeight="1">
      <c r="G18288"/>
      <c r="I18288"/>
      <c r="N18288"/>
      <c r="O18288" s="24"/>
      <c r="P18288"/>
      <c r="Q18288" s="24"/>
      <c r="R18288"/>
      <c r="S18288"/>
      <c r="T18288"/>
      <c r="U18288"/>
      <c r="X18288" s="60"/>
    </row>
    <row r="18289" spans="7:24" ht="15" customHeight="1">
      <c r="G18289"/>
      <c r="I18289"/>
      <c r="N18289"/>
      <c r="O18289" s="24"/>
      <c r="P18289"/>
      <c r="Q18289" s="24"/>
      <c r="R18289"/>
      <c r="S18289"/>
      <c r="T18289"/>
      <c r="U18289"/>
      <c r="X18289" s="60"/>
    </row>
    <row r="18290" spans="7:24" ht="15" customHeight="1">
      <c r="G18290"/>
      <c r="I18290"/>
      <c r="N18290"/>
      <c r="O18290" s="24"/>
      <c r="P18290"/>
      <c r="Q18290" s="24"/>
      <c r="R18290"/>
      <c r="S18290"/>
      <c r="T18290"/>
      <c r="U18290"/>
      <c r="X18290" s="60"/>
    </row>
    <row r="18291" spans="7:24" ht="15" customHeight="1">
      <c r="G18291"/>
      <c r="I18291"/>
      <c r="N18291"/>
      <c r="O18291" s="24"/>
      <c r="P18291"/>
      <c r="Q18291" s="24"/>
      <c r="R18291"/>
      <c r="S18291"/>
      <c r="T18291"/>
      <c r="U18291"/>
      <c r="X18291" s="60"/>
    </row>
    <row r="18292" spans="7:24" ht="15" customHeight="1">
      <c r="G18292"/>
      <c r="I18292"/>
      <c r="N18292"/>
      <c r="O18292" s="24"/>
      <c r="P18292"/>
      <c r="Q18292" s="24"/>
      <c r="R18292"/>
      <c r="S18292"/>
      <c r="T18292"/>
      <c r="U18292"/>
      <c r="X18292" s="60"/>
    </row>
    <row r="18293" spans="7:24" ht="15" customHeight="1">
      <c r="G18293"/>
      <c r="I18293"/>
      <c r="N18293"/>
      <c r="O18293" s="24"/>
      <c r="P18293"/>
      <c r="Q18293" s="24"/>
      <c r="R18293"/>
      <c r="S18293"/>
      <c r="T18293"/>
      <c r="U18293"/>
      <c r="X18293" s="60"/>
    </row>
    <row r="18294" spans="7:24" ht="15" customHeight="1">
      <c r="G18294"/>
      <c r="I18294"/>
      <c r="N18294"/>
      <c r="O18294" s="24"/>
      <c r="P18294"/>
      <c r="Q18294" s="24"/>
      <c r="R18294"/>
      <c r="S18294"/>
      <c r="T18294"/>
      <c r="U18294"/>
      <c r="X18294" s="60"/>
    </row>
    <row r="18295" spans="7:24" ht="15" customHeight="1">
      <c r="G18295"/>
      <c r="I18295"/>
      <c r="N18295"/>
      <c r="O18295" s="24"/>
      <c r="P18295"/>
      <c r="Q18295" s="24"/>
      <c r="R18295"/>
      <c r="S18295"/>
      <c r="T18295"/>
      <c r="U18295"/>
      <c r="X18295" s="60"/>
    </row>
    <row r="18296" spans="7:24" ht="15" customHeight="1">
      <c r="G18296"/>
      <c r="I18296"/>
      <c r="N18296"/>
      <c r="O18296" s="24"/>
      <c r="P18296"/>
      <c r="Q18296" s="24"/>
      <c r="R18296"/>
      <c r="S18296"/>
      <c r="T18296"/>
      <c r="U18296"/>
      <c r="X18296" s="60"/>
    </row>
    <row r="18297" spans="7:24" ht="15" customHeight="1">
      <c r="G18297"/>
      <c r="I18297"/>
      <c r="N18297"/>
      <c r="O18297" s="24"/>
      <c r="P18297"/>
      <c r="Q18297" s="24"/>
      <c r="R18297"/>
      <c r="S18297"/>
      <c r="T18297"/>
      <c r="U18297"/>
      <c r="X18297" s="60"/>
    </row>
    <row r="18298" spans="7:24" ht="15" customHeight="1">
      <c r="G18298"/>
      <c r="I18298"/>
      <c r="N18298"/>
      <c r="O18298" s="24"/>
      <c r="P18298"/>
      <c r="Q18298" s="24"/>
      <c r="R18298"/>
      <c r="S18298"/>
      <c r="T18298"/>
      <c r="U18298"/>
      <c r="X18298" s="60"/>
    </row>
    <row r="18299" spans="7:24" ht="15" customHeight="1">
      <c r="G18299"/>
      <c r="I18299"/>
      <c r="N18299"/>
      <c r="O18299" s="24"/>
      <c r="P18299"/>
      <c r="Q18299" s="24"/>
      <c r="R18299"/>
      <c r="S18299"/>
      <c r="T18299"/>
      <c r="U18299"/>
      <c r="X18299" s="60"/>
    </row>
    <row r="18300" spans="7:24" ht="15" customHeight="1">
      <c r="G18300"/>
      <c r="I18300"/>
      <c r="N18300"/>
      <c r="O18300" s="24"/>
      <c r="P18300"/>
      <c r="Q18300" s="24"/>
      <c r="R18300"/>
      <c r="S18300"/>
      <c r="T18300"/>
      <c r="U18300"/>
      <c r="X18300" s="60"/>
    </row>
    <row r="18301" spans="7:24" ht="15" customHeight="1">
      <c r="G18301"/>
      <c r="I18301"/>
      <c r="N18301"/>
      <c r="O18301" s="24"/>
      <c r="P18301"/>
      <c r="Q18301" s="24"/>
      <c r="R18301"/>
      <c r="S18301"/>
      <c r="T18301"/>
      <c r="U18301"/>
      <c r="X18301" s="60"/>
    </row>
    <row r="18302" spans="7:24" ht="15" customHeight="1">
      <c r="G18302"/>
      <c r="I18302"/>
      <c r="N18302"/>
      <c r="O18302" s="24"/>
      <c r="P18302"/>
      <c r="Q18302" s="24"/>
      <c r="R18302"/>
      <c r="S18302"/>
      <c r="T18302"/>
      <c r="U18302"/>
      <c r="X18302" s="60"/>
    </row>
    <row r="18303" spans="7:24" ht="15" customHeight="1">
      <c r="G18303"/>
      <c r="I18303"/>
      <c r="N18303"/>
      <c r="O18303" s="24"/>
      <c r="P18303"/>
      <c r="Q18303" s="24"/>
      <c r="R18303"/>
      <c r="S18303"/>
      <c r="T18303"/>
      <c r="U18303"/>
      <c r="X18303" s="60"/>
    </row>
    <row r="18304" spans="7:24" ht="15" customHeight="1">
      <c r="G18304"/>
      <c r="I18304"/>
      <c r="N18304"/>
      <c r="O18304" s="24"/>
      <c r="P18304"/>
      <c r="Q18304" s="24"/>
      <c r="R18304"/>
      <c r="S18304"/>
      <c r="T18304"/>
      <c r="U18304"/>
      <c r="X18304" s="60"/>
    </row>
    <row r="18305" spans="7:24" ht="15" customHeight="1">
      <c r="G18305"/>
      <c r="I18305"/>
      <c r="N18305"/>
      <c r="O18305" s="24"/>
      <c r="P18305"/>
      <c r="Q18305" s="24"/>
      <c r="R18305"/>
      <c r="S18305"/>
      <c r="T18305"/>
      <c r="U18305"/>
      <c r="X18305" s="60"/>
    </row>
    <row r="18306" spans="7:24" ht="15" customHeight="1">
      <c r="G18306"/>
      <c r="I18306"/>
      <c r="N18306"/>
      <c r="O18306" s="24"/>
      <c r="P18306"/>
      <c r="Q18306" s="24"/>
      <c r="R18306"/>
      <c r="S18306"/>
      <c r="T18306"/>
      <c r="U18306"/>
      <c r="X18306" s="60"/>
    </row>
    <row r="18307" spans="7:24" ht="15" customHeight="1">
      <c r="G18307"/>
      <c r="I18307"/>
      <c r="N18307"/>
      <c r="O18307" s="24"/>
      <c r="P18307"/>
      <c r="Q18307" s="24"/>
      <c r="R18307"/>
      <c r="S18307"/>
      <c r="T18307"/>
      <c r="U18307"/>
      <c r="X18307" s="60"/>
    </row>
    <row r="18308" spans="7:24" ht="15" customHeight="1">
      <c r="G18308"/>
      <c r="I18308"/>
      <c r="N18308"/>
      <c r="O18308" s="24"/>
      <c r="P18308"/>
      <c r="Q18308" s="24"/>
      <c r="R18308"/>
      <c r="S18308"/>
      <c r="T18308"/>
      <c r="U18308"/>
      <c r="X18308" s="60"/>
    </row>
    <row r="18309" spans="7:24" ht="15" customHeight="1">
      <c r="G18309"/>
      <c r="I18309"/>
      <c r="N18309"/>
      <c r="O18309" s="24"/>
      <c r="P18309"/>
      <c r="Q18309" s="24"/>
      <c r="R18309"/>
      <c r="S18309"/>
      <c r="T18309"/>
      <c r="U18309"/>
      <c r="X18309" s="60"/>
    </row>
    <row r="18310" spans="7:24" ht="15" customHeight="1">
      <c r="G18310"/>
      <c r="I18310"/>
      <c r="N18310"/>
      <c r="O18310" s="24"/>
      <c r="P18310"/>
      <c r="Q18310" s="24"/>
      <c r="R18310"/>
      <c r="S18310"/>
      <c r="T18310"/>
      <c r="U18310"/>
      <c r="X18310" s="60"/>
    </row>
    <row r="18311" spans="7:24" ht="15" customHeight="1">
      <c r="G18311"/>
      <c r="I18311"/>
      <c r="N18311"/>
      <c r="O18311" s="24"/>
      <c r="P18311"/>
      <c r="Q18311" s="24"/>
      <c r="R18311"/>
      <c r="S18311"/>
      <c r="T18311"/>
      <c r="U18311"/>
      <c r="X18311" s="60"/>
    </row>
    <row r="18312" spans="7:24" ht="15" customHeight="1">
      <c r="G18312"/>
      <c r="I18312"/>
      <c r="N18312"/>
      <c r="O18312" s="24"/>
      <c r="P18312"/>
      <c r="Q18312" s="24"/>
      <c r="R18312"/>
      <c r="S18312"/>
      <c r="T18312"/>
      <c r="U18312"/>
      <c r="X18312" s="60"/>
    </row>
    <row r="18313" spans="7:24" ht="15" customHeight="1">
      <c r="G18313"/>
      <c r="I18313"/>
      <c r="N18313"/>
      <c r="O18313" s="24"/>
      <c r="P18313"/>
      <c r="Q18313" s="24"/>
      <c r="R18313"/>
      <c r="S18313"/>
      <c r="T18313"/>
      <c r="U18313"/>
      <c r="X18313" s="60"/>
    </row>
    <row r="18314" spans="7:24" ht="15" customHeight="1">
      <c r="G18314"/>
      <c r="I18314"/>
      <c r="N18314"/>
      <c r="O18314" s="24"/>
      <c r="P18314"/>
      <c r="Q18314" s="24"/>
      <c r="R18314"/>
      <c r="S18314"/>
      <c r="T18314"/>
      <c r="U18314"/>
      <c r="X18314" s="60"/>
    </row>
    <row r="18315" spans="7:24" ht="15" customHeight="1">
      <c r="G18315"/>
      <c r="I18315"/>
      <c r="N18315"/>
      <c r="O18315" s="24"/>
      <c r="P18315"/>
      <c r="Q18315" s="24"/>
      <c r="R18315"/>
      <c r="S18315"/>
      <c r="T18315"/>
      <c r="U18315"/>
      <c r="X18315" s="60"/>
    </row>
    <row r="18316" spans="7:24" ht="15" customHeight="1">
      <c r="G18316"/>
      <c r="I18316"/>
      <c r="N18316"/>
      <c r="O18316" s="24"/>
      <c r="P18316"/>
      <c r="Q18316" s="24"/>
      <c r="R18316"/>
      <c r="S18316"/>
      <c r="T18316"/>
      <c r="U18316"/>
      <c r="X18316" s="60"/>
    </row>
    <row r="18317" spans="7:24" ht="15" customHeight="1">
      <c r="G18317"/>
      <c r="I18317"/>
      <c r="N18317"/>
      <c r="O18317" s="24"/>
      <c r="P18317"/>
      <c r="Q18317" s="24"/>
      <c r="R18317"/>
      <c r="S18317"/>
      <c r="T18317"/>
      <c r="U18317"/>
      <c r="X18317" s="60"/>
    </row>
    <row r="18318" spans="7:24" ht="15" customHeight="1">
      <c r="G18318"/>
      <c r="I18318"/>
      <c r="N18318"/>
      <c r="O18318" s="24"/>
      <c r="P18318"/>
      <c r="Q18318" s="24"/>
      <c r="R18318"/>
      <c r="S18318"/>
      <c r="T18318"/>
      <c r="U18318"/>
      <c r="X18318" s="60"/>
    </row>
    <row r="18319" spans="7:24" ht="15" customHeight="1">
      <c r="G18319"/>
      <c r="I18319"/>
      <c r="N18319"/>
      <c r="O18319" s="24"/>
      <c r="P18319"/>
      <c r="Q18319" s="24"/>
      <c r="R18319"/>
      <c r="S18319"/>
      <c r="T18319"/>
      <c r="U18319"/>
      <c r="X18319" s="60"/>
    </row>
    <row r="18320" spans="7:24" ht="15" customHeight="1">
      <c r="G18320"/>
      <c r="I18320"/>
      <c r="N18320"/>
      <c r="O18320" s="24"/>
      <c r="P18320"/>
      <c r="Q18320" s="24"/>
      <c r="R18320"/>
      <c r="S18320"/>
      <c r="T18320"/>
      <c r="U18320"/>
      <c r="X18320" s="60"/>
    </row>
    <row r="18321" spans="7:24" ht="15" customHeight="1">
      <c r="G18321"/>
      <c r="I18321"/>
      <c r="N18321"/>
      <c r="O18321" s="24"/>
      <c r="P18321"/>
      <c r="Q18321" s="24"/>
      <c r="R18321"/>
      <c r="S18321"/>
      <c r="T18321"/>
      <c r="U18321"/>
      <c r="X18321" s="60"/>
    </row>
    <row r="18322" spans="7:24" ht="15" customHeight="1">
      <c r="G18322"/>
      <c r="I18322"/>
      <c r="N18322"/>
      <c r="O18322" s="24"/>
      <c r="P18322"/>
      <c r="Q18322" s="24"/>
      <c r="R18322"/>
      <c r="S18322"/>
      <c r="T18322"/>
      <c r="U18322"/>
      <c r="X18322" s="60"/>
    </row>
    <row r="18323" spans="7:24" ht="15" customHeight="1">
      <c r="G18323"/>
      <c r="I18323"/>
      <c r="N18323"/>
      <c r="O18323" s="24"/>
      <c r="P18323"/>
      <c r="Q18323" s="24"/>
      <c r="R18323"/>
      <c r="S18323"/>
      <c r="T18323"/>
      <c r="U18323"/>
      <c r="X18323" s="60"/>
    </row>
    <row r="18324" spans="7:24" ht="15" customHeight="1">
      <c r="G18324"/>
      <c r="I18324"/>
      <c r="N18324"/>
      <c r="O18324" s="24"/>
      <c r="P18324"/>
      <c r="Q18324" s="24"/>
      <c r="R18324"/>
      <c r="S18324"/>
      <c r="T18324"/>
      <c r="U18324"/>
      <c r="X18324" s="60"/>
    </row>
    <row r="18325" spans="7:24" ht="15" customHeight="1">
      <c r="G18325"/>
      <c r="I18325"/>
      <c r="N18325"/>
      <c r="O18325" s="24"/>
      <c r="P18325"/>
      <c r="Q18325" s="24"/>
      <c r="R18325"/>
      <c r="S18325"/>
      <c r="T18325"/>
      <c r="U18325"/>
      <c r="X18325" s="60"/>
    </row>
    <row r="18326" spans="7:24" ht="15" customHeight="1">
      <c r="G18326"/>
      <c r="I18326"/>
      <c r="N18326"/>
      <c r="O18326" s="24"/>
      <c r="P18326"/>
      <c r="Q18326" s="24"/>
      <c r="R18326"/>
      <c r="S18326"/>
      <c r="T18326"/>
      <c r="U18326"/>
      <c r="X18326" s="60"/>
    </row>
    <row r="18327" spans="7:24" ht="15" customHeight="1">
      <c r="G18327"/>
      <c r="I18327"/>
      <c r="N18327"/>
      <c r="O18327" s="24"/>
      <c r="P18327"/>
      <c r="Q18327" s="24"/>
      <c r="R18327"/>
      <c r="S18327"/>
      <c r="T18327"/>
      <c r="U18327"/>
      <c r="X18327" s="60"/>
    </row>
    <row r="18328" spans="7:24" ht="15" customHeight="1">
      <c r="G18328"/>
      <c r="I18328"/>
      <c r="N18328"/>
      <c r="O18328" s="24"/>
      <c r="P18328"/>
      <c r="Q18328" s="24"/>
      <c r="R18328"/>
      <c r="S18328"/>
      <c r="T18328"/>
      <c r="U18328"/>
      <c r="X18328" s="60"/>
    </row>
    <row r="18329" spans="7:24" ht="15" customHeight="1">
      <c r="G18329"/>
      <c r="I18329"/>
      <c r="N18329"/>
      <c r="O18329" s="24"/>
      <c r="P18329"/>
      <c r="Q18329" s="24"/>
      <c r="R18329"/>
      <c r="S18329"/>
      <c r="T18329"/>
      <c r="U18329"/>
      <c r="X18329" s="60"/>
    </row>
    <row r="18330" spans="7:24" ht="15" customHeight="1">
      <c r="G18330"/>
      <c r="I18330"/>
      <c r="N18330"/>
      <c r="O18330" s="24"/>
      <c r="P18330"/>
      <c r="Q18330" s="24"/>
      <c r="R18330"/>
      <c r="S18330"/>
      <c r="T18330"/>
      <c r="U18330"/>
      <c r="X18330" s="60"/>
    </row>
    <row r="18331" spans="7:24" ht="15" customHeight="1">
      <c r="G18331"/>
      <c r="I18331"/>
      <c r="N18331"/>
      <c r="O18331" s="24"/>
      <c r="P18331"/>
      <c r="Q18331" s="24"/>
      <c r="R18331"/>
      <c r="S18331"/>
      <c r="T18331"/>
      <c r="U18331"/>
      <c r="X18331" s="60"/>
    </row>
    <row r="18332" spans="7:24" ht="15" customHeight="1">
      <c r="G18332"/>
      <c r="I18332"/>
      <c r="N18332"/>
      <c r="O18332" s="24"/>
      <c r="P18332"/>
      <c r="Q18332" s="24"/>
      <c r="R18332"/>
      <c r="S18332"/>
      <c r="T18332"/>
      <c r="U18332"/>
      <c r="X18332" s="60"/>
    </row>
    <row r="18333" spans="7:24" ht="15" customHeight="1">
      <c r="G18333"/>
      <c r="I18333"/>
      <c r="N18333"/>
      <c r="O18333" s="24"/>
      <c r="P18333"/>
      <c r="Q18333" s="24"/>
      <c r="R18333"/>
      <c r="S18333"/>
      <c r="T18333"/>
      <c r="U18333"/>
      <c r="X18333" s="60"/>
    </row>
    <row r="18334" spans="7:24" ht="15" customHeight="1">
      <c r="G18334"/>
      <c r="I18334"/>
      <c r="N18334"/>
      <c r="O18334" s="24"/>
      <c r="P18334"/>
      <c r="Q18334" s="24"/>
      <c r="R18334"/>
      <c r="S18334"/>
      <c r="T18334"/>
      <c r="U18334"/>
      <c r="X18334" s="60"/>
    </row>
    <row r="18335" spans="7:24" ht="15" customHeight="1">
      <c r="G18335"/>
      <c r="I18335"/>
      <c r="N18335"/>
      <c r="O18335" s="24"/>
      <c r="P18335"/>
      <c r="Q18335" s="24"/>
      <c r="R18335"/>
      <c r="S18335"/>
      <c r="T18335"/>
      <c r="U18335"/>
      <c r="X18335" s="60"/>
    </row>
    <row r="18336" spans="7:24" ht="15" customHeight="1">
      <c r="G18336"/>
      <c r="I18336"/>
      <c r="N18336"/>
      <c r="O18336" s="24"/>
      <c r="P18336"/>
      <c r="Q18336" s="24"/>
      <c r="R18336"/>
      <c r="S18336"/>
      <c r="T18336"/>
      <c r="U18336"/>
      <c r="X18336" s="60"/>
    </row>
    <row r="18337" spans="7:24" ht="15" customHeight="1">
      <c r="G18337"/>
      <c r="I18337"/>
      <c r="N18337"/>
      <c r="O18337" s="24"/>
      <c r="P18337"/>
      <c r="Q18337" s="24"/>
      <c r="R18337"/>
      <c r="S18337"/>
      <c r="T18337"/>
      <c r="U18337"/>
      <c r="X18337" s="60"/>
    </row>
    <row r="18338" spans="7:24" ht="15" customHeight="1">
      <c r="G18338"/>
      <c r="I18338"/>
      <c r="N18338"/>
      <c r="O18338" s="24"/>
      <c r="P18338"/>
      <c r="Q18338" s="24"/>
      <c r="R18338"/>
      <c r="S18338"/>
      <c r="T18338"/>
      <c r="U18338"/>
      <c r="X18338" s="60"/>
    </row>
    <row r="18339" spans="7:24" ht="15" customHeight="1">
      <c r="G18339"/>
      <c r="I18339"/>
      <c r="N18339"/>
      <c r="O18339" s="24"/>
      <c r="P18339"/>
      <c r="Q18339" s="24"/>
      <c r="R18339"/>
      <c r="S18339"/>
      <c r="T18339"/>
      <c r="U18339"/>
      <c r="X18339" s="60"/>
    </row>
    <row r="18340" spans="7:24" ht="15" customHeight="1">
      <c r="G18340"/>
      <c r="I18340"/>
      <c r="N18340"/>
      <c r="O18340" s="24"/>
      <c r="P18340"/>
      <c r="Q18340" s="24"/>
      <c r="R18340"/>
      <c r="S18340"/>
      <c r="T18340"/>
      <c r="U18340"/>
      <c r="X18340" s="60"/>
    </row>
    <row r="18341" spans="7:24" ht="15" customHeight="1">
      <c r="G18341"/>
      <c r="I18341"/>
      <c r="N18341"/>
      <c r="O18341" s="24"/>
      <c r="P18341"/>
      <c r="Q18341" s="24"/>
      <c r="R18341"/>
      <c r="S18341"/>
      <c r="T18341"/>
      <c r="U18341"/>
      <c r="X18341" s="60"/>
    </row>
    <row r="18342" spans="7:24" ht="15" customHeight="1">
      <c r="G18342"/>
      <c r="I18342"/>
      <c r="N18342"/>
      <c r="O18342" s="24"/>
      <c r="P18342"/>
      <c r="Q18342" s="24"/>
      <c r="R18342"/>
      <c r="S18342"/>
      <c r="T18342"/>
      <c r="U18342"/>
      <c r="X18342" s="60"/>
    </row>
    <row r="18343" spans="7:24" ht="15" customHeight="1">
      <c r="G18343"/>
      <c r="I18343"/>
      <c r="N18343"/>
      <c r="O18343" s="24"/>
      <c r="P18343"/>
      <c r="Q18343" s="24"/>
      <c r="R18343"/>
      <c r="S18343"/>
      <c r="T18343"/>
      <c r="U18343"/>
      <c r="X18343" s="60"/>
    </row>
    <row r="18344" spans="7:24" ht="15" customHeight="1">
      <c r="G18344"/>
      <c r="I18344"/>
      <c r="N18344"/>
      <c r="O18344" s="24"/>
      <c r="P18344"/>
      <c r="Q18344" s="24"/>
      <c r="R18344"/>
      <c r="S18344"/>
      <c r="T18344"/>
      <c r="U18344"/>
      <c r="X18344" s="60"/>
    </row>
    <row r="18345" spans="7:24" ht="15" customHeight="1">
      <c r="G18345"/>
      <c r="I18345"/>
      <c r="N18345"/>
      <c r="O18345" s="24"/>
      <c r="P18345"/>
      <c r="Q18345" s="24"/>
      <c r="R18345"/>
      <c r="S18345"/>
      <c r="T18345"/>
      <c r="U18345"/>
      <c r="X18345" s="60"/>
    </row>
    <row r="18346" spans="7:24" ht="15" customHeight="1">
      <c r="G18346"/>
      <c r="I18346"/>
      <c r="N18346"/>
      <c r="O18346" s="24"/>
      <c r="P18346"/>
      <c r="Q18346" s="24"/>
      <c r="R18346"/>
      <c r="S18346"/>
      <c r="T18346"/>
      <c r="U18346"/>
      <c r="X18346" s="60"/>
    </row>
    <row r="18347" spans="7:24" ht="15" customHeight="1">
      <c r="G18347"/>
      <c r="I18347"/>
      <c r="N18347"/>
      <c r="O18347" s="24"/>
      <c r="P18347"/>
      <c r="Q18347" s="24"/>
      <c r="R18347"/>
      <c r="S18347"/>
      <c r="T18347"/>
      <c r="U18347"/>
      <c r="X18347" s="60"/>
    </row>
    <row r="18348" spans="7:24" ht="15" customHeight="1">
      <c r="G18348"/>
      <c r="I18348"/>
      <c r="N18348"/>
      <c r="O18348" s="24"/>
      <c r="P18348"/>
      <c r="Q18348" s="24"/>
      <c r="R18348"/>
      <c r="S18348"/>
      <c r="T18348"/>
      <c r="U18348"/>
      <c r="X18348" s="60"/>
    </row>
    <row r="18349" spans="7:24" ht="15" customHeight="1">
      <c r="G18349"/>
      <c r="I18349"/>
      <c r="N18349"/>
      <c r="O18349" s="24"/>
      <c r="P18349"/>
      <c r="Q18349" s="24"/>
      <c r="R18349"/>
      <c r="S18349"/>
      <c r="T18349"/>
      <c r="U18349"/>
      <c r="X18349" s="60"/>
    </row>
    <row r="18350" spans="7:24" ht="15" customHeight="1">
      <c r="G18350"/>
      <c r="I18350"/>
      <c r="N18350"/>
      <c r="O18350" s="24"/>
      <c r="P18350"/>
      <c r="Q18350" s="24"/>
      <c r="R18350"/>
      <c r="S18350"/>
      <c r="T18350"/>
      <c r="U18350"/>
      <c r="X18350" s="60"/>
    </row>
    <row r="18351" spans="7:24" ht="15" customHeight="1">
      <c r="G18351"/>
      <c r="I18351"/>
      <c r="N18351"/>
      <c r="O18351" s="24"/>
      <c r="P18351"/>
      <c r="Q18351" s="24"/>
      <c r="R18351"/>
      <c r="S18351"/>
      <c r="T18351"/>
      <c r="U18351"/>
      <c r="X18351" s="60"/>
    </row>
    <row r="18352" spans="7:24" ht="15" customHeight="1">
      <c r="G18352"/>
      <c r="I18352"/>
      <c r="N18352"/>
      <c r="O18352" s="24"/>
      <c r="P18352"/>
      <c r="Q18352" s="24"/>
      <c r="R18352"/>
      <c r="S18352"/>
      <c r="T18352"/>
      <c r="U18352"/>
      <c r="X18352" s="60"/>
    </row>
    <row r="18353" spans="7:24" ht="15" customHeight="1">
      <c r="G18353"/>
      <c r="I18353"/>
      <c r="N18353"/>
      <c r="O18353" s="24"/>
      <c r="P18353"/>
      <c r="Q18353" s="24"/>
      <c r="R18353"/>
      <c r="S18353"/>
      <c r="T18353"/>
      <c r="U18353"/>
      <c r="X18353" s="60"/>
    </row>
    <row r="18354" spans="7:24" ht="15" customHeight="1">
      <c r="G18354"/>
      <c r="I18354"/>
      <c r="N18354"/>
      <c r="O18354" s="24"/>
      <c r="P18354"/>
      <c r="Q18354" s="24"/>
      <c r="R18354"/>
      <c r="S18354"/>
      <c r="T18354"/>
      <c r="U18354"/>
      <c r="X18354" s="60"/>
    </row>
    <row r="18355" spans="7:24" ht="15" customHeight="1">
      <c r="G18355"/>
      <c r="I18355"/>
      <c r="N18355"/>
      <c r="O18355" s="24"/>
      <c r="P18355"/>
      <c r="Q18355" s="24"/>
      <c r="R18355"/>
      <c r="S18355"/>
      <c r="T18355"/>
      <c r="U18355"/>
      <c r="X18355" s="60"/>
    </row>
    <row r="18356" spans="7:24" ht="15" customHeight="1">
      <c r="G18356"/>
      <c r="I18356"/>
      <c r="N18356"/>
      <c r="O18356" s="24"/>
      <c r="P18356"/>
      <c r="Q18356" s="24"/>
      <c r="R18356"/>
      <c r="S18356"/>
      <c r="T18356"/>
      <c r="U18356"/>
      <c r="X18356" s="60"/>
    </row>
    <row r="18357" spans="7:24" ht="15" customHeight="1">
      <c r="G18357"/>
      <c r="I18357"/>
      <c r="N18357"/>
      <c r="O18357" s="24"/>
      <c r="P18357"/>
      <c r="Q18357" s="24"/>
      <c r="R18357"/>
      <c r="S18357"/>
      <c r="T18357"/>
      <c r="U18357"/>
      <c r="X18357" s="60"/>
    </row>
    <row r="18358" spans="7:24" ht="15" customHeight="1">
      <c r="G18358"/>
      <c r="I18358"/>
      <c r="N18358"/>
      <c r="O18358" s="24"/>
      <c r="P18358"/>
      <c r="Q18358" s="24"/>
      <c r="R18358"/>
      <c r="S18358"/>
      <c r="T18358"/>
      <c r="U18358"/>
      <c r="X18358" s="60"/>
    </row>
    <row r="18359" spans="7:24" ht="15" customHeight="1">
      <c r="G18359"/>
      <c r="I18359"/>
      <c r="N18359"/>
      <c r="O18359" s="24"/>
      <c r="P18359"/>
      <c r="Q18359" s="24"/>
      <c r="R18359"/>
      <c r="S18359"/>
      <c r="T18359"/>
      <c r="U18359"/>
      <c r="X18359" s="60"/>
    </row>
    <row r="18360" spans="7:24" ht="15" customHeight="1">
      <c r="G18360"/>
      <c r="I18360"/>
      <c r="N18360"/>
      <c r="O18360" s="24"/>
      <c r="P18360"/>
      <c r="Q18360" s="24"/>
      <c r="R18360"/>
      <c r="S18360"/>
      <c r="T18360"/>
      <c r="U18360"/>
      <c r="X18360" s="60"/>
    </row>
    <row r="18361" spans="7:24" ht="15" customHeight="1">
      <c r="G18361"/>
      <c r="I18361"/>
      <c r="N18361"/>
      <c r="O18361" s="24"/>
      <c r="P18361"/>
      <c r="Q18361" s="24"/>
      <c r="R18361"/>
      <c r="S18361"/>
      <c r="T18361"/>
      <c r="U18361"/>
      <c r="X18361" s="60"/>
    </row>
    <row r="18362" spans="7:24" ht="15" customHeight="1">
      <c r="G18362"/>
      <c r="I18362"/>
      <c r="N18362"/>
      <c r="O18362" s="24"/>
      <c r="P18362"/>
      <c r="Q18362" s="24"/>
      <c r="R18362"/>
      <c r="S18362"/>
      <c r="T18362"/>
      <c r="U18362"/>
      <c r="X18362" s="60"/>
    </row>
    <row r="18363" spans="7:24" ht="15" customHeight="1">
      <c r="G18363"/>
      <c r="I18363"/>
      <c r="N18363"/>
      <c r="O18363" s="24"/>
      <c r="P18363"/>
      <c r="Q18363" s="24"/>
      <c r="R18363"/>
      <c r="S18363"/>
      <c r="T18363"/>
      <c r="U18363"/>
      <c r="X18363" s="60"/>
    </row>
    <row r="18364" spans="7:24" ht="15" customHeight="1">
      <c r="G18364"/>
      <c r="I18364"/>
      <c r="N18364"/>
      <c r="O18364" s="24"/>
      <c r="P18364"/>
      <c r="Q18364" s="24"/>
      <c r="R18364"/>
      <c r="S18364"/>
      <c r="T18364"/>
      <c r="U18364"/>
      <c r="X18364" s="60"/>
    </row>
    <row r="18365" spans="7:24" ht="15" customHeight="1">
      <c r="G18365"/>
      <c r="I18365"/>
      <c r="N18365"/>
      <c r="O18365" s="24"/>
      <c r="P18365"/>
      <c r="Q18365" s="24"/>
      <c r="R18365"/>
      <c r="S18365"/>
      <c r="T18365"/>
      <c r="U18365"/>
      <c r="X18365" s="60"/>
    </row>
    <row r="18366" spans="7:24" ht="15" customHeight="1">
      <c r="G18366"/>
      <c r="I18366"/>
      <c r="N18366"/>
      <c r="O18366" s="24"/>
      <c r="P18366"/>
      <c r="Q18366" s="24"/>
      <c r="R18366"/>
      <c r="S18366"/>
      <c r="T18366"/>
      <c r="U18366"/>
      <c r="X18366" s="60"/>
    </row>
    <row r="18367" spans="7:24" ht="15" customHeight="1">
      <c r="G18367"/>
      <c r="I18367"/>
      <c r="N18367"/>
      <c r="O18367" s="24"/>
      <c r="P18367"/>
      <c r="Q18367" s="24"/>
      <c r="R18367"/>
      <c r="S18367"/>
      <c r="T18367"/>
      <c r="U18367"/>
      <c r="X18367" s="60"/>
    </row>
    <row r="18368" spans="7:24" ht="15" customHeight="1">
      <c r="G18368"/>
      <c r="I18368"/>
      <c r="N18368"/>
      <c r="O18368" s="24"/>
      <c r="P18368"/>
      <c r="Q18368" s="24"/>
      <c r="R18368"/>
      <c r="S18368"/>
      <c r="T18368"/>
      <c r="U18368"/>
      <c r="X18368" s="60"/>
    </row>
    <row r="18369" spans="7:24" ht="15" customHeight="1">
      <c r="G18369"/>
      <c r="I18369"/>
      <c r="N18369"/>
      <c r="O18369" s="24"/>
      <c r="P18369"/>
      <c r="Q18369" s="24"/>
      <c r="R18369"/>
      <c r="S18369"/>
      <c r="T18369"/>
      <c r="U18369"/>
      <c r="X18369" s="60"/>
    </row>
    <row r="18370" spans="7:24" ht="15" customHeight="1">
      <c r="G18370"/>
      <c r="I18370"/>
      <c r="N18370"/>
      <c r="O18370" s="24"/>
      <c r="P18370"/>
      <c r="Q18370" s="24"/>
      <c r="R18370"/>
      <c r="S18370"/>
      <c r="T18370"/>
      <c r="U18370"/>
      <c r="X18370" s="60"/>
    </row>
    <row r="18371" spans="7:24" ht="15" customHeight="1">
      <c r="G18371"/>
      <c r="I18371"/>
      <c r="N18371"/>
      <c r="O18371" s="24"/>
      <c r="P18371"/>
      <c r="Q18371" s="24"/>
      <c r="R18371"/>
      <c r="S18371"/>
      <c r="T18371"/>
      <c r="U18371"/>
      <c r="X18371" s="60"/>
    </row>
    <row r="18372" spans="7:24" ht="15" customHeight="1">
      <c r="G18372"/>
      <c r="I18372"/>
      <c r="N18372"/>
      <c r="O18372" s="24"/>
      <c r="P18372"/>
      <c r="Q18372" s="24"/>
      <c r="R18372"/>
      <c r="S18372"/>
      <c r="T18372"/>
      <c r="U18372"/>
      <c r="X18372" s="60"/>
    </row>
    <row r="18373" spans="7:24" ht="15" customHeight="1">
      <c r="G18373"/>
      <c r="I18373"/>
      <c r="N18373"/>
      <c r="O18373" s="24"/>
      <c r="P18373"/>
      <c r="Q18373" s="24"/>
      <c r="R18373"/>
      <c r="S18373"/>
      <c r="T18373"/>
      <c r="U18373"/>
      <c r="X18373" s="60"/>
    </row>
    <row r="18374" spans="7:24" ht="15" customHeight="1">
      <c r="G18374"/>
      <c r="I18374"/>
      <c r="N18374"/>
      <c r="O18374" s="24"/>
      <c r="P18374"/>
      <c r="Q18374" s="24"/>
      <c r="R18374"/>
      <c r="S18374"/>
      <c r="T18374"/>
      <c r="U18374"/>
      <c r="X18374" s="60"/>
    </row>
    <row r="18375" spans="7:24" ht="15" customHeight="1">
      <c r="G18375"/>
      <c r="I18375"/>
      <c r="N18375"/>
      <c r="O18375" s="24"/>
      <c r="P18375"/>
      <c r="Q18375" s="24"/>
      <c r="R18375"/>
      <c r="S18375"/>
      <c r="T18375"/>
      <c r="U18375"/>
      <c r="X18375" s="60"/>
    </row>
    <row r="18376" spans="7:24" ht="15" customHeight="1">
      <c r="G18376"/>
      <c r="I18376"/>
      <c r="N18376"/>
      <c r="O18376" s="24"/>
      <c r="P18376"/>
      <c r="Q18376" s="24"/>
      <c r="R18376"/>
      <c r="S18376"/>
      <c r="T18376"/>
      <c r="U18376"/>
      <c r="X18376" s="60"/>
    </row>
    <row r="18377" spans="7:24" ht="15" customHeight="1">
      <c r="G18377"/>
      <c r="I18377"/>
      <c r="N18377"/>
      <c r="O18377" s="24"/>
      <c r="P18377"/>
      <c r="Q18377" s="24"/>
      <c r="R18377"/>
      <c r="S18377"/>
      <c r="T18377"/>
      <c r="U18377"/>
      <c r="X18377" s="60"/>
    </row>
    <row r="18378" spans="7:24" ht="15" customHeight="1">
      <c r="G18378"/>
      <c r="I18378"/>
      <c r="N18378"/>
      <c r="O18378" s="24"/>
      <c r="P18378"/>
      <c r="Q18378" s="24"/>
      <c r="R18378"/>
      <c r="S18378"/>
      <c r="T18378"/>
      <c r="U18378"/>
      <c r="X18378" s="60"/>
    </row>
    <row r="18379" spans="7:24" ht="15" customHeight="1">
      <c r="G18379"/>
      <c r="I18379"/>
      <c r="N18379"/>
      <c r="O18379" s="24"/>
      <c r="P18379"/>
      <c r="Q18379" s="24"/>
      <c r="R18379"/>
      <c r="S18379"/>
      <c r="T18379"/>
      <c r="U18379"/>
      <c r="X18379" s="60"/>
    </row>
    <row r="18380" spans="7:24" ht="15" customHeight="1">
      <c r="G18380"/>
      <c r="I18380"/>
      <c r="N18380"/>
      <c r="O18380" s="24"/>
      <c r="P18380"/>
      <c r="Q18380" s="24"/>
      <c r="R18380"/>
      <c r="S18380"/>
      <c r="T18380"/>
      <c r="U18380"/>
      <c r="X18380" s="60"/>
    </row>
    <row r="18381" spans="7:24" ht="15" customHeight="1">
      <c r="G18381"/>
      <c r="I18381"/>
      <c r="N18381"/>
      <c r="O18381" s="24"/>
      <c r="P18381"/>
      <c r="Q18381" s="24"/>
      <c r="R18381"/>
      <c r="S18381"/>
      <c r="T18381"/>
      <c r="U18381"/>
      <c r="X18381" s="60"/>
    </row>
    <row r="18382" spans="7:24" ht="15" customHeight="1">
      <c r="G18382"/>
      <c r="I18382"/>
      <c r="N18382"/>
      <c r="O18382" s="24"/>
      <c r="P18382"/>
      <c r="Q18382" s="24"/>
      <c r="R18382"/>
      <c r="S18382"/>
      <c r="T18382"/>
      <c r="U18382"/>
      <c r="X18382" s="60"/>
    </row>
    <row r="18383" spans="7:24" ht="15" customHeight="1">
      <c r="G18383"/>
      <c r="I18383"/>
      <c r="N18383"/>
      <c r="O18383" s="24"/>
      <c r="P18383"/>
      <c r="Q18383" s="24"/>
      <c r="R18383"/>
      <c r="S18383"/>
      <c r="T18383"/>
      <c r="U18383"/>
      <c r="X18383" s="60"/>
    </row>
    <row r="18384" spans="7:24" ht="15" customHeight="1">
      <c r="G18384"/>
      <c r="I18384"/>
      <c r="N18384"/>
      <c r="O18384" s="24"/>
      <c r="P18384"/>
      <c r="Q18384" s="24"/>
      <c r="R18384"/>
      <c r="S18384"/>
      <c r="T18384"/>
      <c r="U18384"/>
      <c r="X18384" s="60"/>
    </row>
    <row r="18385" spans="7:24" ht="15" customHeight="1">
      <c r="G18385"/>
      <c r="I18385"/>
      <c r="N18385"/>
      <c r="O18385" s="24"/>
      <c r="P18385"/>
      <c r="Q18385" s="24"/>
      <c r="R18385"/>
      <c r="S18385"/>
      <c r="T18385"/>
      <c r="U18385"/>
      <c r="X18385" s="60"/>
    </row>
    <row r="18386" spans="7:24" ht="15" customHeight="1">
      <c r="G18386"/>
      <c r="I18386"/>
      <c r="N18386"/>
      <c r="O18386" s="24"/>
      <c r="P18386"/>
      <c r="Q18386" s="24"/>
      <c r="R18386"/>
      <c r="S18386"/>
      <c r="T18386"/>
      <c r="U18386"/>
      <c r="X18386" s="60"/>
    </row>
    <row r="18387" spans="7:24" ht="15" customHeight="1">
      <c r="G18387"/>
      <c r="I18387"/>
      <c r="N18387"/>
      <c r="O18387" s="24"/>
      <c r="P18387"/>
      <c r="Q18387" s="24"/>
      <c r="R18387"/>
      <c r="S18387"/>
      <c r="T18387"/>
      <c r="U18387"/>
      <c r="X18387" s="60"/>
    </row>
    <row r="18388" spans="7:24" ht="15" customHeight="1">
      <c r="G18388"/>
      <c r="I18388"/>
      <c r="N18388"/>
      <c r="O18388" s="24"/>
      <c r="P18388"/>
      <c r="Q18388" s="24"/>
      <c r="R18388"/>
      <c r="S18388"/>
      <c r="T18388"/>
      <c r="U18388"/>
      <c r="X18388" s="60"/>
    </row>
    <row r="18389" spans="7:24" ht="15" customHeight="1">
      <c r="G18389"/>
      <c r="I18389"/>
      <c r="N18389"/>
      <c r="O18389" s="24"/>
      <c r="P18389"/>
      <c r="Q18389" s="24"/>
      <c r="R18389"/>
      <c r="S18389"/>
      <c r="T18389"/>
      <c r="U18389"/>
      <c r="X18389" s="60"/>
    </row>
    <row r="18390" spans="7:24" ht="15" customHeight="1">
      <c r="G18390"/>
      <c r="I18390"/>
      <c r="N18390"/>
      <c r="O18390" s="24"/>
      <c r="P18390"/>
      <c r="Q18390" s="24"/>
      <c r="R18390"/>
      <c r="S18390"/>
      <c r="T18390"/>
      <c r="U18390"/>
      <c r="X18390" s="60"/>
    </row>
    <row r="18391" spans="7:24" ht="15" customHeight="1">
      <c r="G18391"/>
      <c r="I18391"/>
      <c r="N18391"/>
      <c r="O18391" s="24"/>
      <c r="P18391"/>
      <c r="Q18391" s="24"/>
      <c r="R18391"/>
      <c r="S18391"/>
      <c r="T18391"/>
      <c r="U18391"/>
      <c r="X18391" s="60"/>
    </row>
    <row r="18392" spans="7:24" ht="15" customHeight="1">
      <c r="G18392"/>
      <c r="I18392"/>
      <c r="N18392"/>
      <c r="O18392" s="24"/>
      <c r="P18392"/>
      <c r="Q18392" s="24"/>
      <c r="R18392"/>
      <c r="S18392"/>
      <c r="T18392"/>
      <c r="U18392"/>
      <c r="X18392" s="60"/>
    </row>
    <row r="18393" spans="7:24" ht="15" customHeight="1">
      <c r="G18393"/>
      <c r="I18393"/>
      <c r="N18393"/>
      <c r="O18393" s="24"/>
      <c r="P18393"/>
      <c r="Q18393" s="24"/>
      <c r="R18393"/>
      <c r="S18393"/>
      <c r="T18393"/>
      <c r="U18393"/>
      <c r="X18393" s="60"/>
    </row>
    <row r="18394" spans="7:24" ht="15" customHeight="1">
      <c r="G18394"/>
      <c r="I18394"/>
      <c r="N18394"/>
      <c r="O18394" s="24"/>
      <c r="P18394"/>
      <c r="Q18394" s="24"/>
      <c r="R18394"/>
      <c r="S18394"/>
      <c r="T18394"/>
      <c r="U18394"/>
      <c r="X18394" s="60"/>
    </row>
    <row r="18395" spans="7:24" ht="15" customHeight="1">
      <c r="G18395"/>
      <c r="I18395"/>
      <c r="N18395"/>
      <c r="O18395" s="24"/>
      <c r="P18395"/>
      <c r="Q18395" s="24"/>
      <c r="R18395"/>
      <c r="S18395"/>
      <c r="T18395"/>
      <c r="U18395"/>
      <c r="X18395" s="60"/>
    </row>
    <row r="18396" spans="7:24" ht="15" customHeight="1">
      <c r="G18396"/>
      <c r="I18396"/>
      <c r="N18396"/>
      <c r="O18396" s="24"/>
      <c r="P18396"/>
      <c r="Q18396" s="24"/>
      <c r="R18396"/>
      <c r="S18396"/>
      <c r="T18396"/>
      <c r="U18396"/>
      <c r="X18396" s="60"/>
    </row>
    <row r="18397" spans="7:24" ht="15" customHeight="1">
      <c r="G18397"/>
      <c r="I18397"/>
      <c r="N18397"/>
      <c r="O18397" s="24"/>
      <c r="P18397"/>
      <c r="Q18397" s="24"/>
      <c r="R18397"/>
      <c r="S18397"/>
      <c r="T18397"/>
      <c r="U18397"/>
      <c r="X18397" s="60"/>
    </row>
    <row r="18398" spans="7:24" ht="15" customHeight="1">
      <c r="G18398"/>
      <c r="I18398"/>
      <c r="N18398"/>
      <c r="O18398" s="24"/>
      <c r="P18398"/>
      <c r="Q18398" s="24"/>
      <c r="R18398"/>
      <c r="S18398"/>
      <c r="T18398"/>
      <c r="U18398"/>
      <c r="X18398" s="60"/>
    </row>
    <row r="18399" spans="7:24" ht="15" customHeight="1">
      <c r="G18399"/>
      <c r="I18399"/>
      <c r="N18399"/>
      <c r="O18399" s="24"/>
      <c r="P18399"/>
      <c r="Q18399" s="24"/>
      <c r="R18399"/>
      <c r="S18399"/>
      <c r="T18399"/>
      <c r="U18399"/>
      <c r="X18399" s="60"/>
    </row>
    <row r="18400" spans="7:24" ht="15" customHeight="1">
      <c r="G18400"/>
      <c r="I18400"/>
      <c r="N18400"/>
      <c r="O18400" s="24"/>
      <c r="P18400"/>
      <c r="Q18400" s="24"/>
      <c r="R18400"/>
      <c r="S18400"/>
      <c r="T18400"/>
      <c r="U18400"/>
      <c r="X18400" s="60"/>
    </row>
    <row r="18401" spans="7:24" ht="15" customHeight="1">
      <c r="G18401"/>
      <c r="I18401"/>
      <c r="N18401"/>
      <c r="O18401" s="24"/>
      <c r="P18401"/>
      <c r="Q18401" s="24"/>
      <c r="R18401"/>
      <c r="S18401"/>
      <c r="T18401"/>
      <c r="U18401"/>
      <c r="X18401" s="60"/>
    </row>
    <row r="18402" spans="7:24" ht="15" customHeight="1">
      <c r="G18402"/>
      <c r="I18402"/>
      <c r="N18402"/>
      <c r="O18402" s="24"/>
      <c r="P18402"/>
      <c r="Q18402" s="24"/>
      <c r="R18402"/>
      <c r="S18402"/>
      <c r="T18402"/>
      <c r="U18402"/>
      <c r="X18402" s="60"/>
    </row>
    <row r="18403" spans="7:24" ht="15" customHeight="1">
      <c r="G18403"/>
      <c r="I18403"/>
      <c r="N18403"/>
      <c r="O18403" s="24"/>
      <c r="P18403"/>
      <c r="Q18403" s="24"/>
      <c r="R18403"/>
      <c r="S18403"/>
      <c r="T18403"/>
      <c r="U18403"/>
      <c r="X18403" s="60"/>
    </row>
    <row r="18404" spans="7:24" ht="15" customHeight="1">
      <c r="G18404"/>
      <c r="I18404"/>
      <c r="N18404"/>
      <c r="O18404" s="24"/>
      <c r="P18404"/>
      <c r="Q18404" s="24"/>
      <c r="R18404"/>
      <c r="S18404"/>
      <c r="T18404"/>
      <c r="U18404"/>
      <c r="X18404" s="60"/>
    </row>
    <row r="18405" spans="7:24" ht="15" customHeight="1">
      <c r="G18405"/>
      <c r="I18405"/>
      <c r="N18405"/>
      <c r="O18405" s="24"/>
      <c r="P18405"/>
      <c r="Q18405" s="24"/>
      <c r="R18405"/>
      <c r="S18405"/>
      <c r="T18405"/>
      <c r="U18405"/>
      <c r="X18405" s="60"/>
    </row>
    <row r="18406" spans="7:24" ht="15" customHeight="1">
      <c r="G18406"/>
      <c r="I18406"/>
      <c r="N18406"/>
      <c r="O18406" s="24"/>
      <c r="P18406"/>
      <c r="Q18406" s="24"/>
      <c r="R18406"/>
      <c r="S18406"/>
      <c r="T18406"/>
      <c r="U18406"/>
      <c r="X18406" s="60"/>
    </row>
    <row r="18407" spans="7:24" ht="15" customHeight="1">
      <c r="G18407"/>
      <c r="I18407"/>
      <c r="N18407"/>
      <c r="O18407" s="24"/>
      <c r="P18407"/>
      <c r="Q18407" s="24"/>
      <c r="R18407"/>
      <c r="S18407"/>
      <c r="T18407"/>
      <c r="U18407"/>
      <c r="X18407" s="60"/>
    </row>
    <row r="18408" spans="7:24" ht="15" customHeight="1">
      <c r="G18408"/>
      <c r="I18408"/>
      <c r="N18408"/>
      <c r="O18408" s="24"/>
      <c r="P18408"/>
      <c r="Q18408" s="24"/>
      <c r="R18408"/>
      <c r="S18408"/>
      <c r="T18408"/>
      <c r="U18408"/>
      <c r="X18408" s="60"/>
    </row>
    <row r="18409" spans="7:24" ht="15" customHeight="1">
      <c r="G18409"/>
      <c r="I18409"/>
      <c r="N18409"/>
      <c r="O18409" s="24"/>
      <c r="P18409"/>
      <c r="Q18409" s="24"/>
      <c r="R18409"/>
      <c r="S18409"/>
      <c r="T18409"/>
      <c r="U18409"/>
      <c r="X18409" s="60"/>
    </row>
    <row r="18410" spans="7:24" ht="15" customHeight="1">
      <c r="G18410"/>
      <c r="I18410"/>
      <c r="N18410"/>
      <c r="O18410" s="24"/>
      <c r="P18410"/>
      <c r="Q18410" s="24"/>
      <c r="R18410"/>
      <c r="S18410"/>
      <c r="T18410"/>
      <c r="U18410"/>
      <c r="X18410" s="60"/>
    </row>
    <row r="18411" spans="7:24" ht="15" customHeight="1">
      <c r="G18411"/>
      <c r="I18411"/>
      <c r="N18411"/>
      <c r="O18411" s="24"/>
      <c r="P18411"/>
      <c r="Q18411" s="24"/>
      <c r="R18411"/>
      <c r="S18411"/>
      <c r="T18411"/>
      <c r="U18411"/>
      <c r="X18411" s="60"/>
    </row>
    <row r="18412" spans="7:24" ht="15" customHeight="1">
      <c r="G18412"/>
      <c r="I18412"/>
      <c r="N18412"/>
      <c r="O18412" s="24"/>
      <c r="P18412"/>
      <c r="Q18412" s="24"/>
      <c r="R18412"/>
      <c r="S18412"/>
      <c r="T18412"/>
      <c r="U18412"/>
      <c r="X18412" s="60"/>
    </row>
    <row r="18413" spans="7:24" ht="15" customHeight="1">
      <c r="G18413"/>
      <c r="I18413"/>
      <c r="N18413"/>
      <c r="O18413" s="24"/>
      <c r="P18413"/>
      <c r="Q18413" s="24"/>
      <c r="R18413"/>
      <c r="S18413"/>
      <c r="T18413"/>
      <c r="U18413"/>
      <c r="X18413" s="60"/>
    </row>
    <row r="18414" spans="7:24" ht="15" customHeight="1">
      <c r="G18414"/>
      <c r="I18414"/>
      <c r="N18414"/>
      <c r="O18414" s="24"/>
      <c r="P18414"/>
      <c r="Q18414" s="24"/>
      <c r="R18414"/>
      <c r="S18414"/>
      <c r="T18414"/>
      <c r="U18414"/>
      <c r="X18414" s="60"/>
    </row>
    <row r="18415" spans="7:24" ht="15" customHeight="1">
      <c r="G18415"/>
      <c r="I18415"/>
      <c r="N18415"/>
      <c r="O18415" s="24"/>
      <c r="P18415"/>
      <c r="Q18415" s="24"/>
      <c r="R18415"/>
      <c r="S18415"/>
      <c r="T18415"/>
      <c r="U18415"/>
      <c r="X18415" s="60"/>
    </row>
    <row r="18416" spans="7:24" ht="15" customHeight="1">
      <c r="G18416"/>
      <c r="I18416"/>
      <c r="N18416"/>
      <c r="O18416" s="24"/>
      <c r="P18416"/>
      <c r="Q18416" s="24"/>
      <c r="R18416"/>
      <c r="S18416"/>
      <c r="T18416"/>
      <c r="U18416"/>
      <c r="X18416" s="60"/>
    </row>
    <row r="18417" spans="7:24" ht="15" customHeight="1">
      <c r="G18417"/>
      <c r="I18417"/>
      <c r="N18417"/>
      <c r="O18417" s="24"/>
      <c r="P18417"/>
      <c r="Q18417" s="24"/>
      <c r="R18417"/>
      <c r="S18417"/>
      <c r="T18417"/>
      <c r="U18417"/>
      <c r="X18417" s="60"/>
    </row>
    <row r="18418" spans="7:24" ht="15" customHeight="1">
      <c r="G18418"/>
      <c r="I18418"/>
      <c r="N18418"/>
      <c r="O18418" s="24"/>
      <c r="P18418"/>
      <c r="Q18418" s="24"/>
      <c r="R18418"/>
      <c r="S18418"/>
      <c r="T18418"/>
      <c r="U18418"/>
      <c r="X18418" s="60"/>
    </row>
    <row r="18419" spans="7:24" ht="15" customHeight="1">
      <c r="G18419"/>
      <c r="I18419"/>
      <c r="N18419"/>
      <c r="O18419" s="24"/>
      <c r="P18419"/>
      <c r="Q18419" s="24"/>
      <c r="R18419"/>
      <c r="S18419"/>
      <c r="T18419"/>
      <c r="U18419"/>
      <c r="X18419" s="60"/>
    </row>
    <row r="18420" spans="7:24" ht="15" customHeight="1">
      <c r="G18420"/>
      <c r="I18420"/>
      <c r="N18420"/>
      <c r="O18420" s="24"/>
      <c r="P18420"/>
      <c r="Q18420" s="24"/>
      <c r="R18420"/>
      <c r="S18420"/>
      <c r="T18420"/>
      <c r="U18420"/>
      <c r="X18420" s="60"/>
    </row>
    <row r="18421" spans="7:24" ht="15" customHeight="1">
      <c r="G18421"/>
      <c r="I18421"/>
      <c r="N18421"/>
      <c r="O18421" s="24"/>
      <c r="P18421"/>
      <c r="Q18421" s="24"/>
      <c r="R18421"/>
      <c r="S18421"/>
      <c r="T18421"/>
      <c r="U18421"/>
      <c r="X18421" s="60"/>
    </row>
    <row r="18422" spans="7:24" ht="15" customHeight="1">
      <c r="G18422"/>
      <c r="I18422"/>
      <c r="N18422"/>
      <c r="O18422" s="24"/>
      <c r="P18422"/>
      <c r="Q18422" s="24"/>
      <c r="R18422"/>
      <c r="S18422"/>
      <c r="T18422"/>
      <c r="U18422"/>
      <c r="X18422" s="60"/>
    </row>
    <row r="18423" spans="7:24" ht="15" customHeight="1">
      <c r="G18423"/>
      <c r="I18423"/>
      <c r="N18423"/>
      <c r="O18423" s="24"/>
      <c r="P18423"/>
      <c r="Q18423" s="24"/>
      <c r="R18423"/>
      <c r="S18423"/>
      <c r="T18423"/>
      <c r="U18423"/>
      <c r="X18423" s="60"/>
    </row>
    <row r="18424" spans="7:24" ht="15" customHeight="1">
      <c r="G18424"/>
      <c r="I18424"/>
      <c r="N18424"/>
      <c r="O18424" s="24"/>
      <c r="P18424"/>
      <c r="Q18424" s="24"/>
      <c r="R18424"/>
      <c r="S18424"/>
      <c r="T18424"/>
      <c r="U18424"/>
      <c r="X18424" s="60"/>
    </row>
    <row r="18425" spans="7:24" ht="15" customHeight="1">
      <c r="G18425"/>
      <c r="I18425"/>
      <c r="N18425"/>
      <c r="O18425" s="24"/>
      <c r="P18425"/>
      <c r="Q18425" s="24"/>
      <c r="R18425"/>
      <c r="S18425"/>
      <c r="T18425"/>
      <c r="U18425"/>
      <c r="X18425" s="60"/>
    </row>
    <row r="18426" spans="7:24" ht="15" customHeight="1">
      <c r="G18426"/>
      <c r="I18426"/>
      <c r="N18426"/>
      <c r="O18426" s="24"/>
      <c r="P18426"/>
      <c r="Q18426" s="24"/>
      <c r="R18426"/>
      <c r="S18426"/>
      <c r="T18426"/>
      <c r="U18426"/>
      <c r="X18426" s="60"/>
    </row>
    <row r="18427" spans="7:24" ht="15" customHeight="1">
      <c r="G18427"/>
      <c r="I18427"/>
      <c r="N18427"/>
      <c r="O18427" s="24"/>
      <c r="P18427"/>
      <c r="Q18427" s="24"/>
      <c r="R18427"/>
      <c r="S18427"/>
      <c r="T18427"/>
      <c r="U18427"/>
      <c r="X18427" s="60"/>
    </row>
    <row r="18428" spans="7:24" ht="15" customHeight="1">
      <c r="G18428"/>
      <c r="I18428"/>
      <c r="N18428"/>
      <c r="O18428" s="24"/>
      <c r="P18428"/>
      <c r="Q18428" s="24"/>
      <c r="R18428"/>
      <c r="S18428"/>
      <c r="T18428"/>
      <c r="U18428"/>
      <c r="X18428" s="60"/>
    </row>
    <row r="18429" spans="7:24" ht="15" customHeight="1">
      <c r="G18429"/>
      <c r="I18429"/>
      <c r="N18429"/>
      <c r="O18429" s="24"/>
      <c r="P18429"/>
      <c r="Q18429" s="24"/>
      <c r="R18429"/>
      <c r="S18429"/>
      <c r="T18429"/>
      <c r="U18429"/>
      <c r="X18429" s="60"/>
    </row>
    <row r="18430" spans="7:24" ht="15" customHeight="1">
      <c r="G18430"/>
      <c r="I18430"/>
      <c r="N18430"/>
      <c r="O18430" s="24"/>
      <c r="P18430"/>
      <c r="Q18430" s="24"/>
      <c r="R18430"/>
      <c r="S18430"/>
      <c r="T18430"/>
      <c r="U18430"/>
      <c r="X18430" s="60"/>
    </row>
    <row r="18431" spans="7:24" ht="15" customHeight="1">
      <c r="G18431"/>
      <c r="I18431"/>
      <c r="N18431"/>
      <c r="O18431" s="24"/>
      <c r="P18431"/>
      <c r="Q18431" s="24"/>
      <c r="R18431"/>
      <c r="S18431"/>
      <c r="T18431"/>
      <c r="U18431"/>
      <c r="X18431" s="60"/>
    </row>
    <row r="18432" spans="7:24" ht="15" customHeight="1">
      <c r="G18432"/>
      <c r="I18432"/>
      <c r="N18432"/>
      <c r="O18432" s="24"/>
      <c r="P18432"/>
      <c r="Q18432" s="24"/>
      <c r="R18432"/>
      <c r="S18432"/>
      <c r="T18432"/>
      <c r="U18432"/>
      <c r="X18432" s="60"/>
    </row>
    <row r="18433" spans="7:24" ht="15" customHeight="1">
      <c r="G18433"/>
      <c r="I18433"/>
      <c r="N18433"/>
      <c r="O18433" s="24"/>
      <c r="P18433"/>
      <c r="Q18433" s="24"/>
      <c r="R18433"/>
      <c r="S18433"/>
      <c r="T18433"/>
      <c r="U18433"/>
      <c r="X18433" s="60"/>
    </row>
    <row r="18434" spans="7:24" ht="15" customHeight="1">
      <c r="G18434"/>
      <c r="I18434"/>
      <c r="N18434"/>
      <c r="O18434" s="24"/>
      <c r="P18434"/>
      <c r="Q18434" s="24"/>
      <c r="R18434"/>
      <c r="S18434"/>
      <c r="T18434"/>
      <c r="U18434"/>
      <c r="X18434" s="60"/>
    </row>
    <row r="18435" spans="7:24" ht="15" customHeight="1">
      <c r="G18435"/>
      <c r="I18435"/>
      <c r="N18435"/>
      <c r="O18435" s="24"/>
      <c r="P18435"/>
      <c r="Q18435" s="24"/>
      <c r="R18435"/>
      <c r="S18435"/>
      <c r="T18435"/>
      <c r="U18435"/>
      <c r="X18435" s="60"/>
    </row>
    <row r="18436" spans="7:24" ht="15" customHeight="1">
      <c r="G18436"/>
      <c r="I18436"/>
      <c r="N18436"/>
      <c r="O18436" s="24"/>
      <c r="P18436"/>
      <c r="Q18436" s="24"/>
      <c r="R18436"/>
      <c r="S18436"/>
      <c r="T18436"/>
      <c r="U18436"/>
      <c r="X18436" s="60"/>
    </row>
    <row r="18437" spans="7:24" ht="15" customHeight="1">
      <c r="G18437"/>
      <c r="I18437"/>
      <c r="N18437"/>
      <c r="O18437" s="24"/>
      <c r="P18437"/>
      <c r="Q18437" s="24"/>
      <c r="R18437"/>
      <c r="S18437"/>
      <c r="T18437"/>
      <c r="U18437"/>
      <c r="X18437" s="60"/>
    </row>
    <row r="18438" spans="7:24" ht="15" customHeight="1">
      <c r="G18438"/>
      <c r="I18438"/>
      <c r="N18438"/>
      <c r="O18438" s="24"/>
      <c r="P18438"/>
      <c r="Q18438" s="24"/>
      <c r="R18438"/>
      <c r="S18438"/>
      <c r="T18438"/>
      <c r="U18438"/>
      <c r="X18438" s="60"/>
    </row>
    <row r="18439" spans="7:24" ht="15" customHeight="1">
      <c r="G18439"/>
      <c r="I18439"/>
      <c r="N18439"/>
      <c r="O18439" s="24"/>
      <c r="P18439"/>
      <c r="Q18439" s="24"/>
      <c r="R18439"/>
      <c r="S18439"/>
      <c r="T18439"/>
      <c r="U18439"/>
      <c r="X18439" s="60"/>
    </row>
    <row r="18440" spans="7:24" ht="15" customHeight="1">
      <c r="G18440"/>
      <c r="I18440"/>
      <c r="N18440"/>
      <c r="O18440" s="24"/>
      <c r="P18440"/>
      <c r="Q18440" s="24"/>
      <c r="R18440"/>
      <c r="S18440"/>
      <c r="T18440"/>
      <c r="U18440"/>
      <c r="X18440" s="60"/>
    </row>
    <row r="18441" spans="7:24" ht="15" customHeight="1">
      <c r="G18441"/>
      <c r="I18441"/>
      <c r="N18441"/>
      <c r="O18441" s="24"/>
      <c r="P18441"/>
      <c r="Q18441" s="24"/>
      <c r="R18441"/>
      <c r="S18441"/>
      <c r="T18441"/>
      <c r="U18441"/>
      <c r="X18441" s="60"/>
    </row>
    <row r="18442" spans="7:24" ht="15" customHeight="1">
      <c r="G18442"/>
      <c r="I18442"/>
      <c r="N18442"/>
      <c r="O18442" s="24"/>
      <c r="P18442"/>
      <c r="Q18442" s="24"/>
      <c r="R18442"/>
      <c r="S18442"/>
      <c r="T18442"/>
      <c r="U18442"/>
      <c r="X18442" s="60"/>
    </row>
    <row r="18443" spans="7:24" ht="15" customHeight="1">
      <c r="G18443"/>
      <c r="I18443"/>
      <c r="N18443"/>
      <c r="O18443" s="24"/>
      <c r="P18443"/>
      <c r="Q18443" s="24"/>
      <c r="R18443"/>
      <c r="S18443"/>
      <c r="T18443"/>
      <c r="U18443"/>
      <c r="X18443" s="60"/>
    </row>
    <row r="18444" spans="7:24" ht="15" customHeight="1">
      <c r="G18444"/>
      <c r="I18444"/>
      <c r="N18444"/>
      <c r="O18444" s="24"/>
      <c r="P18444"/>
      <c r="Q18444" s="24"/>
      <c r="R18444"/>
      <c r="S18444"/>
      <c r="T18444"/>
      <c r="U18444"/>
      <c r="X18444" s="60"/>
    </row>
    <row r="18445" spans="7:24" ht="15" customHeight="1">
      <c r="G18445"/>
      <c r="I18445"/>
      <c r="N18445"/>
      <c r="O18445" s="24"/>
      <c r="P18445"/>
      <c r="Q18445" s="24"/>
      <c r="R18445"/>
      <c r="S18445"/>
      <c r="T18445"/>
      <c r="U18445"/>
      <c r="X18445" s="60"/>
    </row>
    <row r="18446" spans="7:24" ht="15" customHeight="1">
      <c r="G18446"/>
      <c r="I18446"/>
      <c r="N18446"/>
      <c r="O18446" s="24"/>
      <c r="P18446"/>
      <c r="Q18446" s="24"/>
      <c r="R18446"/>
      <c r="S18446"/>
      <c r="T18446"/>
      <c r="U18446"/>
      <c r="X18446" s="60"/>
    </row>
    <row r="18447" spans="7:24" ht="15" customHeight="1">
      <c r="G18447"/>
      <c r="I18447"/>
      <c r="N18447"/>
      <c r="O18447" s="24"/>
      <c r="P18447"/>
      <c r="Q18447" s="24"/>
      <c r="R18447"/>
      <c r="S18447"/>
      <c r="T18447"/>
      <c r="U18447"/>
      <c r="X18447" s="60"/>
    </row>
    <row r="18448" spans="7:24" ht="15" customHeight="1">
      <c r="G18448"/>
      <c r="I18448"/>
      <c r="N18448"/>
      <c r="O18448" s="24"/>
      <c r="P18448"/>
      <c r="Q18448" s="24"/>
      <c r="R18448"/>
      <c r="S18448"/>
      <c r="T18448"/>
      <c r="U18448"/>
      <c r="X18448" s="60"/>
    </row>
    <row r="18449" spans="7:24" ht="15" customHeight="1">
      <c r="G18449"/>
      <c r="I18449"/>
      <c r="N18449"/>
      <c r="O18449" s="24"/>
      <c r="P18449"/>
      <c r="Q18449" s="24"/>
      <c r="R18449"/>
      <c r="S18449"/>
      <c r="T18449"/>
      <c r="U18449"/>
      <c r="X18449" s="60"/>
    </row>
    <row r="18450" spans="7:24" ht="15" customHeight="1">
      <c r="G18450"/>
      <c r="I18450"/>
      <c r="N18450"/>
      <c r="O18450" s="24"/>
      <c r="P18450"/>
      <c r="Q18450" s="24"/>
      <c r="R18450"/>
      <c r="S18450"/>
      <c r="T18450"/>
      <c r="U18450"/>
      <c r="X18450" s="60"/>
    </row>
    <row r="18451" spans="7:24" ht="15" customHeight="1">
      <c r="G18451"/>
      <c r="I18451"/>
      <c r="N18451"/>
      <c r="O18451" s="24"/>
      <c r="P18451"/>
      <c r="Q18451" s="24"/>
      <c r="R18451"/>
      <c r="S18451"/>
      <c r="T18451"/>
      <c r="U18451"/>
      <c r="X18451" s="60"/>
    </row>
    <row r="18452" spans="7:24" ht="15" customHeight="1">
      <c r="G18452"/>
      <c r="I18452"/>
      <c r="N18452"/>
      <c r="O18452" s="24"/>
      <c r="P18452"/>
      <c r="Q18452" s="24"/>
      <c r="R18452"/>
      <c r="S18452"/>
      <c r="T18452"/>
      <c r="U18452"/>
      <c r="X18452" s="60"/>
    </row>
    <row r="18453" spans="7:24" ht="15" customHeight="1">
      <c r="G18453"/>
      <c r="I18453"/>
      <c r="N18453"/>
      <c r="O18453" s="24"/>
      <c r="P18453"/>
      <c r="Q18453" s="24"/>
      <c r="R18453"/>
      <c r="S18453"/>
      <c r="T18453"/>
      <c r="U18453"/>
      <c r="X18453" s="60"/>
    </row>
    <row r="18454" spans="7:24" ht="15" customHeight="1">
      <c r="G18454"/>
      <c r="I18454"/>
      <c r="N18454"/>
      <c r="O18454" s="24"/>
      <c r="P18454"/>
      <c r="Q18454" s="24"/>
      <c r="R18454"/>
      <c r="S18454"/>
      <c r="T18454"/>
      <c r="U18454"/>
      <c r="X18454" s="60"/>
    </row>
    <row r="18455" spans="7:24" ht="15" customHeight="1">
      <c r="G18455"/>
      <c r="I18455"/>
      <c r="N18455"/>
      <c r="O18455" s="24"/>
      <c r="P18455"/>
      <c r="Q18455" s="24"/>
      <c r="R18455"/>
      <c r="S18455"/>
      <c r="T18455"/>
      <c r="U18455"/>
      <c r="X18455" s="60"/>
    </row>
    <row r="18456" spans="7:24" ht="15" customHeight="1">
      <c r="G18456"/>
      <c r="I18456"/>
      <c r="N18456"/>
      <c r="O18456" s="24"/>
      <c r="P18456"/>
      <c r="Q18456" s="24"/>
      <c r="R18456"/>
      <c r="S18456"/>
      <c r="T18456"/>
      <c r="U18456"/>
      <c r="X18456" s="60"/>
    </row>
    <row r="18457" spans="7:24" ht="15" customHeight="1">
      <c r="G18457"/>
      <c r="I18457"/>
      <c r="N18457"/>
      <c r="O18457" s="24"/>
      <c r="P18457"/>
      <c r="Q18457" s="24"/>
      <c r="R18457"/>
      <c r="S18457"/>
      <c r="T18457"/>
      <c r="U18457"/>
      <c r="X18457" s="60"/>
    </row>
    <row r="18458" spans="7:24" ht="15" customHeight="1">
      <c r="G18458"/>
      <c r="I18458"/>
      <c r="N18458"/>
      <c r="O18458" s="24"/>
      <c r="P18458"/>
      <c r="Q18458" s="24"/>
      <c r="R18458"/>
      <c r="S18458"/>
      <c r="T18458"/>
      <c r="U18458"/>
      <c r="X18458" s="60"/>
    </row>
    <row r="18459" spans="7:24" ht="15" customHeight="1">
      <c r="G18459"/>
      <c r="I18459"/>
      <c r="N18459"/>
      <c r="O18459" s="24"/>
      <c r="P18459"/>
      <c r="Q18459" s="24"/>
      <c r="R18459"/>
      <c r="S18459"/>
      <c r="T18459"/>
      <c r="U18459"/>
      <c r="X18459" s="60"/>
    </row>
    <row r="18460" spans="7:24" ht="15" customHeight="1">
      <c r="G18460"/>
      <c r="I18460"/>
      <c r="N18460"/>
      <c r="O18460" s="24"/>
      <c r="P18460"/>
      <c r="Q18460" s="24"/>
      <c r="R18460"/>
      <c r="S18460"/>
      <c r="T18460"/>
      <c r="U18460"/>
      <c r="X18460" s="60"/>
    </row>
    <row r="18461" spans="7:24" ht="15" customHeight="1">
      <c r="G18461"/>
      <c r="I18461"/>
      <c r="N18461"/>
      <c r="O18461" s="24"/>
      <c r="P18461"/>
      <c r="Q18461" s="24"/>
      <c r="R18461"/>
      <c r="S18461"/>
      <c r="T18461"/>
      <c r="U18461"/>
      <c r="X18461" s="60"/>
    </row>
    <row r="18462" spans="7:24" ht="15" customHeight="1">
      <c r="G18462"/>
      <c r="I18462"/>
      <c r="N18462"/>
      <c r="O18462" s="24"/>
      <c r="P18462"/>
      <c r="Q18462" s="24"/>
      <c r="R18462"/>
      <c r="S18462"/>
      <c r="T18462"/>
      <c r="U18462"/>
      <c r="X18462" s="60"/>
    </row>
    <row r="18463" spans="7:24" ht="15" customHeight="1">
      <c r="G18463"/>
      <c r="I18463"/>
      <c r="N18463"/>
      <c r="O18463" s="24"/>
      <c r="P18463"/>
      <c r="Q18463" s="24"/>
      <c r="R18463"/>
      <c r="S18463"/>
      <c r="T18463"/>
      <c r="U18463"/>
      <c r="X18463" s="60"/>
    </row>
    <row r="18464" spans="7:24" ht="15" customHeight="1">
      <c r="G18464"/>
      <c r="I18464"/>
      <c r="N18464"/>
      <c r="O18464" s="24"/>
      <c r="P18464"/>
      <c r="Q18464" s="24"/>
      <c r="R18464"/>
      <c r="S18464"/>
      <c r="T18464"/>
      <c r="U18464"/>
      <c r="X18464" s="60"/>
    </row>
    <row r="18465" spans="7:24" ht="15" customHeight="1">
      <c r="G18465"/>
      <c r="I18465"/>
      <c r="N18465"/>
      <c r="O18465" s="24"/>
      <c r="P18465"/>
      <c r="Q18465" s="24"/>
      <c r="R18465"/>
      <c r="S18465"/>
      <c r="T18465"/>
      <c r="U18465"/>
      <c r="X18465" s="60"/>
    </row>
    <row r="18466" spans="7:24" ht="15" customHeight="1">
      <c r="G18466"/>
      <c r="I18466"/>
      <c r="N18466"/>
      <c r="O18466" s="24"/>
      <c r="P18466"/>
      <c r="Q18466" s="24"/>
      <c r="R18466"/>
      <c r="S18466"/>
      <c r="T18466"/>
      <c r="U18466"/>
      <c r="X18466" s="60"/>
    </row>
    <row r="18467" spans="7:24" ht="15" customHeight="1">
      <c r="G18467"/>
      <c r="I18467"/>
      <c r="N18467"/>
      <c r="O18467" s="24"/>
      <c r="P18467"/>
      <c r="Q18467" s="24"/>
      <c r="R18467"/>
      <c r="S18467"/>
      <c r="T18467"/>
      <c r="U18467"/>
      <c r="X18467" s="60"/>
    </row>
    <row r="18468" spans="7:24" ht="15" customHeight="1">
      <c r="G18468"/>
      <c r="I18468"/>
      <c r="N18468"/>
      <c r="O18468" s="24"/>
      <c r="P18468"/>
      <c r="Q18468" s="24"/>
      <c r="R18468"/>
      <c r="S18468"/>
      <c r="T18468"/>
      <c r="U18468"/>
      <c r="X18468" s="60"/>
    </row>
    <row r="18469" spans="7:24" ht="15" customHeight="1">
      <c r="G18469"/>
      <c r="I18469"/>
      <c r="N18469"/>
      <c r="O18469" s="24"/>
      <c r="P18469"/>
      <c r="Q18469" s="24"/>
      <c r="R18469"/>
      <c r="S18469"/>
      <c r="T18469"/>
      <c r="U18469"/>
      <c r="X18469" s="60"/>
    </row>
    <row r="18470" spans="7:24" ht="15" customHeight="1">
      <c r="G18470"/>
      <c r="I18470"/>
      <c r="N18470"/>
      <c r="O18470" s="24"/>
      <c r="P18470"/>
      <c r="Q18470" s="24"/>
      <c r="R18470"/>
      <c r="S18470"/>
      <c r="T18470"/>
      <c r="U18470"/>
      <c r="X18470" s="60"/>
    </row>
    <row r="18471" spans="7:24" ht="15" customHeight="1">
      <c r="G18471"/>
      <c r="I18471"/>
      <c r="N18471"/>
      <c r="O18471" s="24"/>
      <c r="P18471"/>
      <c r="Q18471" s="24"/>
      <c r="R18471"/>
      <c r="S18471"/>
      <c r="T18471"/>
      <c r="U18471"/>
      <c r="X18471" s="60"/>
    </row>
    <row r="18472" spans="7:24" ht="15" customHeight="1">
      <c r="G18472"/>
      <c r="I18472"/>
      <c r="N18472"/>
      <c r="O18472" s="24"/>
      <c r="P18472"/>
      <c r="Q18472" s="24"/>
      <c r="R18472"/>
      <c r="S18472"/>
      <c r="T18472"/>
      <c r="U18472"/>
      <c r="X18472" s="60"/>
    </row>
    <row r="18473" spans="7:24" ht="15" customHeight="1">
      <c r="G18473"/>
      <c r="I18473"/>
      <c r="N18473"/>
      <c r="O18473" s="24"/>
      <c r="P18473"/>
      <c r="Q18473" s="24"/>
      <c r="R18473"/>
      <c r="S18473"/>
      <c r="T18473"/>
      <c r="U18473"/>
      <c r="X18473" s="60"/>
    </row>
    <row r="18474" spans="7:24" ht="15" customHeight="1">
      <c r="G18474"/>
      <c r="I18474"/>
      <c r="N18474"/>
      <c r="O18474" s="24"/>
      <c r="P18474"/>
      <c r="Q18474" s="24"/>
      <c r="R18474"/>
      <c r="S18474"/>
      <c r="T18474"/>
      <c r="U18474"/>
      <c r="X18474" s="60"/>
    </row>
    <row r="18475" spans="7:24" ht="15" customHeight="1">
      <c r="G18475"/>
      <c r="I18475"/>
      <c r="N18475"/>
      <c r="O18475" s="24"/>
      <c r="P18475"/>
      <c r="Q18475" s="24"/>
      <c r="R18475"/>
      <c r="S18475"/>
      <c r="T18475"/>
      <c r="U18475"/>
      <c r="X18475" s="60"/>
    </row>
    <row r="18476" spans="7:24" ht="15" customHeight="1">
      <c r="G18476"/>
      <c r="I18476"/>
      <c r="N18476"/>
      <c r="O18476" s="24"/>
      <c r="P18476"/>
      <c r="Q18476" s="24"/>
      <c r="R18476"/>
      <c r="S18476"/>
      <c r="T18476"/>
      <c r="U18476"/>
      <c r="X18476" s="60"/>
    </row>
    <row r="18477" spans="7:24" ht="15" customHeight="1">
      <c r="G18477"/>
      <c r="I18477"/>
      <c r="N18477"/>
      <c r="O18477" s="24"/>
      <c r="P18477"/>
      <c r="Q18477" s="24"/>
      <c r="R18477"/>
      <c r="S18477"/>
      <c r="T18477"/>
      <c r="U18477"/>
      <c r="X18477" s="60"/>
    </row>
    <row r="18478" spans="7:24" ht="15" customHeight="1">
      <c r="G18478"/>
      <c r="I18478"/>
      <c r="N18478"/>
      <c r="O18478" s="24"/>
      <c r="P18478"/>
      <c r="Q18478" s="24"/>
      <c r="R18478"/>
      <c r="S18478"/>
      <c r="T18478"/>
      <c r="U18478"/>
      <c r="X18478" s="60"/>
    </row>
    <row r="18479" spans="7:24" ht="15" customHeight="1">
      <c r="G18479"/>
      <c r="I18479"/>
      <c r="N18479"/>
      <c r="O18479" s="24"/>
      <c r="P18479"/>
      <c r="Q18479" s="24"/>
      <c r="R18479"/>
      <c r="S18479"/>
      <c r="T18479"/>
      <c r="U18479"/>
      <c r="X18479" s="60"/>
    </row>
    <row r="18480" spans="7:24" ht="15" customHeight="1">
      <c r="G18480"/>
      <c r="I18480"/>
      <c r="N18480"/>
      <c r="O18480" s="24"/>
      <c r="P18480"/>
      <c r="Q18480" s="24"/>
      <c r="R18480"/>
      <c r="S18480"/>
      <c r="T18480"/>
      <c r="U18480"/>
      <c r="X18480" s="60"/>
    </row>
    <row r="18481" spans="7:24" ht="15" customHeight="1">
      <c r="G18481"/>
      <c r="I18481"/>
      <c r="N18481"/>
      <c r="O18481" s="24"/>
      <c r="P18481"/>
      <c r="Q18481" s="24"/>
      <c r="R18481"/>
      <c r="S18481"/>
      <c r="T18481"/>
      <c r="U18481"/>
      <c r="X18481" s="60"/>
    </row>
    <row r="18482" spans="7:24" ht="15" customHeight="1">
      <c r="G18482"/>
      <c r="I18482"/>
      <c r="N18482"/>
      <c r="O18482" s="24"/>
      <c r="P18482"/>
      <c r="Q18482" s="24"/>
      <c r="R18482"/>
      <c r="S18482"/>
      <c r="T18482"/>
      <c r="U18482"/>
      <c r="X18482" s="60"/>
    </row>
    <row r="18483" spans="7:24" ht="15" customHeight="1">
      <c r="G18483"/>
      <c r="I18483"/>
      <c r="N18483"/>
      <c r="O18483" s="24"/>
      <c r="P18483"/>
      <c r="Q18483" s="24"/>
      <c r="R18483"/>
      <c r="S18483"/>
      <c r="T18483"/>
      <c r="U18483"/>
      <c r="X18483" s="60"/>
    </row>
    <row r="18484" spans="7:24" ht="15" customHeight="1">
      <c r="G18484"/>
      <c r="I18484"/>
      <c r="N18484"/>
      <c r="O18484" s="24"/>
      <c r="P18484"/>
      <c r="Q18484" s="24"/>
      <c r="R18484"/>
      <c r="S18484"/>
      <c r="T18484"/>
      <c r="U18484"/>
      <c r="X18484" s="60"/>
    </row>
    <row r="18485" spans="7:24" ht="15" customHeight="1">
      <c r="G18485"/>
      <c r="I18485"/>
      <c r="N18485"/>
      <c r="O18485" s="24"/>
      <c r="P18485"/>
      <c r="Q18485" s="24"/>
      <c r="R18485"/>
      <c r="S18485"/>
      <c r="T18485"/>
      <c r="U18485"/>
      <c r="X18485" s="60"/>
    </row>
    <row r="18486" spans="7:24" ht="15" customHeight="1">
      <c r="G18486"/>
      <c r="I18486"/>
      <c r="N18486"/>
      <c r="O18486" s="24"/>
      <c r="P18486"/>
      <c r="Q18486" s="24"/>
      <c r="R18486"/>
      <c r="S18486"/>
      <c r="T18486"/>
      <c r="U18486"/>
      <c r="X18486" s="60"/>
    </row>
    <row r="18487" spans="7:24" ht="15" customHeight="1">
      <c r="G18487"/>
      <c r="I18487"/>
      <c r="N18487"/>
      <c r="O18487" s="24"/>
      <c r="P18487"/>
      <c r="Q18487" s="24"/>
      <c r="R18487"/>
      <c r="S18487"/>
      <c r="T18487"/>
      <c r="U18487"/>
      <c r="X18487" s="60"/>
    </row>
    <row r="18488" spans="7:24" ht="15" customHeight="1">
      <c r="G18488"/>
      <c r="I18488"/>
      <c r="N18488"/>
      <c r="O18488" s="24"/>
      <c r="P18488"/>
      <c r="Q18488" s="24"/>
      <c r="R18488"/>
      <c r="S18488"/>
      <c r="T18488"/>
      <c r="U18488"/>
      <c r="X18488" s="60"/>
    </row>
    <row r="18489" spans="7:24" ht="15" customHeight="1">
      <c r="G18489"/>
      <c r="I18489"/>
      <c r="N18489"/>
      <c r="O18489" s="24"/>
      <c r="P18489"/>
      <c r="Q18489" s="24"/>
      <c r="R18489"/>
      <c r="S18489"/>
      <c r="T18489"/>
      <c r="U18489"/>
      <c r="X18489" s="60"/>
    </row>
    <row r="18490" spans="7:24" ht="15" customHeight="1">
      <c r="G18490"/>
      <c r="I18490"/>
      <c r="N18490"/>
      <c r="O18490" s="24"/>
      <c r="P18490"/>
      <c r="Q18490" s="24"/>
      <c r="R18490"/>
      <c r="S18490"/>
      <c r="T18490"/>
      <c r="U18490"/>
      <c r="X18490" s="60"/>
    </row>
    <row r="18491" spans="7:24" ht="15" customHeight="1">
      <c r="G18491"/>
      <c r="I18491"/>
      <c r="N18491"/>
      <c r="O18491" s="24"/>
      <c r="P18491"/>
      <c r="Q18491" s="24"/>
      <c r="R18491"/>
      <c r="S18491"/>
      <c r="T18491"/>
      <c r="U18491"/>
      <c r="X18491" s="60"/>
    </row>
    <row r="18492" spans="7:24" ht="15" customHeight="1">
      <c r="G18492"/>
      <c r="I18492"/>
      <c r="N18492"/>
      <c r="O18492" s="24"/>
      <c r="P18492"/>
      <c r="Q18492" s="24"/>
      <c r="R18492"/>
      <c r="S18492"/>
      <c r="T18492"/>
      <c r="U18492"/>
      <c r="X18492" s="60"/>
    </row>
    <row r="18493" spans="7:24" ht="15" customHeight="1">
      <c r="G18493"/>
      <c r="I18493"/>
      <c r="N18493"/>
      <c r="O18493" s="24"/>
      <c r="P18493"/>
      <c r="Q18493" s="24"/>
      <c r="R18493"/>
      <c r="S18493"/>
      <c r="T18493"/>
      <c r="U18493"/>
      <c r="X18493" s="60"/>
    </row>
    <row r="18494" spans="7:24" ht="15" customHeight="1">
      <c r="G18494"/>
      <c r="I18494"/>
      <c r="N18494"/>
      <c r="O18494" s="24"/>
      <c r="P18494"/>
      <c r="Q18494" s="24"/>
      <c r="R18494"/>
      <c r="S18494"/>
      <c r="T18494"/>
      <c r="U18494"/>
      <c r="X18494" s="60"/>
    </row>
    <row r="18495" spans="7:24" ht="15" customHeight="1">
      <c r="G18495"/>
      <c r="I18495"/>
      <c r="N18495"/>
      <c r="O18495" s="24"/>
      <c r="P18495"/>
      <c r="Q18495" s="24"/>
      <c r="R18495"/>
      <c r="S18495"/>
      <c r="T18495"/>
      <c r="U18495"/>
      <c r="X18495" s="60"/>
    </row>
    <row r="18496" spans="7:24" ht="15" customHeight="1">
      <c r="G18496"/>
      <c r="I18496"/>
      <c r="N18496"/>
      <c r="O18496" s="24"/>
      <c r="P18496"/>
      <c r="Q18496" s="24"/>
      <c r="R18496"/>
      <c r="S18496"/>
      <c r="T18496"/>
      <c r="U18496"/>
      <c r="X18496" s="60"/>
    </row>
    <row r="18497" spans="7:24" ht="15" customHeight="1">
      <c r="G18497"/>
      <c r="I18497"/>
      <c r="N18497"/>
      <c r="O18497" s="24"/>
      <c r="P18497"/>
      <c r="Q18497" s="24"/>
      <c r="R18497"/>
      <c r="S18497"/>
      <c r="T18497"/>
      <c r="U18497"/>
      <c r="X18497" s="60"/>
    </row>
    <row r="18498" spans="7:24" ht="15" customHeight="1">
      <c r="G18498"/>
      <c r="I18498"/>
      <c r="N18498"/>
      <c r="O18498" s="24"/>
      <c r="P18498"/>
      <c r="Q18498" s="24"/>
      <c r="R18498"/>
      <c r="S18498"/>
      <c r="T18498"/>
      <c r="U18498"/>
      <c r="X18498" s="60"/>
    </row>
    <row r="18499" spans="7:24" ht="15" customHeight="1">
      <c r="G18499"/>
      <c r="I18499"/>
      <c r="N18499"/>
      <c r="O18499" s="24"/>
      <c r="P18499"/>
      <c r="Q18499" s="24"/>
      <c r="R18499"/>
      <c r="S18499"/>
      <c r="T18499"/>
      <c r="U18499"/>
      <c r="X18499" s="60"/>
    </row>
    <row r="18500" spans="7:24" ht="15" customHeight="1">
      <c r="G18500"/>
      <c r="I18500"/>
      <c r="N18500"/>
      <c r="O18500" s="24"/>
      <c r="P18500"/>
      <c r="Q18500" s="24"/>
      <c r="R18500"/>
      <c r="S18500"/>
      <c r="T18500"/>
      <c r="U18500"/>
      <c r="X18500" s="60"/>
    </row>
    <row r="18501" spans="7:24" ht="15" customHeight="1">
      <c r="G18501"/>
      <c r="I18501"/>
      <c r="N18501"/>
      <c r="O18501" s="24"/>
      <c r="P18501"/>
      <c r="Q18501" s="24"/>
      <c r="R18501"/>
      <c r="S18501"/>
      <c r="T18501"/>
      <c r="U18501"/>
      <c r="X18501" s="60"/>
    </row>
    <row r="18502" spans="7:24" ht="15" customHeight="1">
      <c r="G18502"/>
      <c r="I18502"/>
      <c r="N18502"/>
      <c r="O18502" s="24"/>
      <c r="P18502"/>
      <c r="Q18502" s="24"/>
      <c r="R18502"/>
      <c r="S18502"/>
      <c r="T18502"/>
      <c r="U18502"/>
      <c r="X18502" s="60"/>
    </row>
    <row r="18503" spans="7:24" ht="15" customHeight="1">
      <c r="G18503"/>
      <c r="I18503"/>
      <c r="N18503"/>
      <c r="O18503" s="24"/>
      <c r="P18503"/>
      <c r="Q18503" s="24"/>
      <c r="R18503"/>
      <c r="S18503"/>
      <c r="T18503"/>
      <c r="U18503"/>
      <c r="X18503" s="60"/>
    </row>
    <row r="18504" spans="7:24" ht="15" customHeight="1">
      <c r="G18504"/>
      <c r="I18504"/>
      <c r="N18504"/>
      <c r="O18504" s="24"/>
      <c r="P18504"/>
      <c r="Q18504" s="24"/>
      <c r="R18504"/>
      <c r="S18504"/>
      <c r="T18504"/>
      <c r="U18504"/>
      <c r="X18504" s="60"/>
    </row>
    <row r="18505" spans="7:24" ht="15" customHeight="1">
      <c r="G18505"/>
      <c r="I18505"/>
      <c r="N18505"/>
      <c r="O18505" s="24"/>
      <c r="P18505"/>
      <c r="Q18505" s="24"/>
      <c r="R18505"/>
      <c r="S18505"/>
      <c r="T18505"/>
      <c r="U18505"/>
      <c r="X18505" s="60"/>
    </row>
    <row r="18506" spans="7:24" ht="15" customHeight="1">
      <c r="G18506"/>
      <c r="I18506"/>
      <c r="N18506"/>
      <c r="O18506" s="24"/>
      <c r="P18506"/>
      <c r="Q18506" s="24"/>
      <c r="R18506"/>
      <c r="S18506"/>
      <c r="T18506"/>
      <c r="U18506"/>
      <c r="X18506" s="60"/>
    </row>
    <row r="18507" spans="7:24" ht="15" customHeight="1">
      <c r="G18507"/>
      <c r="I18507"/>
      <c r="N18507"/>
      <c r="O18507" s="24"/>
      <c r="P18507"/>
      <c r="Q18507" s="24"/>
      <c r="R18507"/>
      <c r="S18507"/>
      <c r="T18507"/>
      <c r="U18507"/>
      <c r="X18507" s="60"/>
    </row>
    <row r="18508" spans="7:24" ht="15" customHeight="1">
      <c r="G18508"/>
      <c r="I18508"/>
      <c r="N18508"/>
      <c r="O18508" s="24"/>
      <c r="P18508"/>
      <c r="Q18508" s="24"/>
      <c r="R18508"/>
      <c r="S18508"/>
      <c r="T18508"/>
      <c r="U18508"/>
      <c r="X18508" s="60"/>
    </row>
    <row r="18509" spans="7:24" ht="15" customHeight="1">
      <c r="G18509"/>
      <c r="I18509"/>
      <c r="N18509"/>
      <c r="O18509" s="24"/>
      <c r="P18509"/>
      <c r="Q18509" s="24"/>
      <c r="R18509"/>
      <c r="S18509"/>
      <c r="T18509"/>
      <c r="U18509"/>
      <c r="X18509" s="60"/>
    </row>
    <row r="18510" spans="7:24" ht="15" customHeight="1">
      <c r="G18510"/>
      <c r="I18510"/>
      <c r="N18510"/>
      <c r="O18510" s="24"/>
      <c r="P18510"/>
      <c r="Q18510" s="24"/>
      <c r="R18510"/>
      <c r="S18510"/>
      <c r="T18510"/>
      <c r="U18510"/>
      <c r="X18510" s="60"/>
    </row>
    <row r="18511" spans="7:24" ht="15" customHeight="1">
      <c r="G18511"/>
      <c r="I18511"/>
      <c r="N18511"/>
      <c r="O18511" s="24"/>
      <c r="P18511"/>
      <c r="Q18511" s="24"/>
      <c r="R18511"/>
      <c r="S18511"/>
      <c r="T18511"/>
      <c r="U18511"/>
      <c r="X18511" s="60"/>
    </row>
    <row r="18512" spans="7:24" ht="15" customHeight="1">
      <c r="G18512"/>
      <c r="I18512"/>
      <c r="N18512"/>
      <c r="O18512" s="24"/>
      <c r="P18512"/>
      <c r="Q18512" s="24"/>
      <c r="R18512"/>
      <c r="S18512"/>
      <c r="T18512"/>
      <c r="U18512"/>
      <c r="X18512" s="60"/>
    </row>
    <row r="18513" spans="7:24" ht="15" customHeight="1">
      <c r="G18513"/>
      <c r="I18513"/>
      <c r="N18513"/>
      <c r="O18513" s="24"/>
      <c r="P18513"/>
      <c r="Q18513" s="24"/>
      <c r="R18513"/>
      <c r="S18513"/>
      <c r="T18513"/>
      <c r="U18513"/>
      <c r="X18513" s="60"/>
    </row>
    <row r="18514" spans="7:24" ht="15" customHeight="1">
      <c r="G18514"/>
      <c r="I18514"/>
      <c r="N18514"/>
      <c r="O18514" s="24"/>
      <c r="P18514"/>
      <c r="Q18514" s="24"/>
      <c r="R18514"/>
      <c r="S18514"/>
      <c r="T18514"/>
      <c r="U18514"/>
      <c r="X18514" s="60"/>
    </row>
    <row r="18515" spans="7:24" ht="15" customHeight="1">
      <c r="G18515"/>
      <c r="I18515"/>
      <c r="N18515"/>
      <c r="O18515" s="24"/>
      <c r="P18515"/>
      <c r="Q18515" s="24"/>
      <c r="R18515"/>
      <c r="S18515"/>
      <c r="T18515"/>
      <c r="U18515"/>
      <c r="X18515" s="60"/>
    </row>
    <row r="18516" spans="7:24" ht="15" customHeight="1">
      <c r="G18516"/>
      <c r="I18516"/>
      <c r="N18516"/>
      <c r="O18516" s="24"/>
      <c r="P18516"/>
      <c r="Q18516" s="24"/>
      <c r="R18516"/>
      <c r="S18516"/>
      <c r="T18516"/>
      <c r="U18516"/>
      <c r="X18516" s="60"/>
    </row>
    <row r="18517" spans="7:24" ht="15" customHeight="1">
      <c r="G18517"/>
      <c r="I18517"/>
      <c r="N18517"/>
      <c r="O18517" s="24"/>
      <c r="P18517"/>
      <c r="Q18517" s="24"/>
      <c r="R18517"/>
      <c r="S18517"/>
      <c r="T18517"/>
      <c r="U18517"/>
      <c r="X18517" s="60"/>
    </row>
    <row r="18518" spans="7:24" ht="15" customHeight="1">
      <c r="G18518"/>
      <c r="I18518"/>
      <c r="N18518"/>
      <c r="O18518" s="24"/>
      <c r="P18518"/>
      <c r="Q18518" s="24"/>
      <c r="R18518"/>
      <c r="S18518"/>
      <c r="T18518"/>
      <c r="U18518"/>
      <c r="X18518" s="60"/>
    </row>
    <row r="18519" spans="7:24" ht="15" customHeight="1">
      <c r="G18519"/>
      <c r="I18519"/>
      <c r="N18519"/>
      <c r="O18519" s="24"/>
      <c r="P18519"/>
      <c r="Q18519" s="24"/>
      <c r="R18519"/>
      <c r="S18519"/>
      <c r="T18519"/>
      <c r="U18519"/>
      <c r="X18519" s="60"/>
    </row>
    <row r="18520" spans="7:24" ht="15" customHeight="1">
      <c r="G18520"/>
      <c r="I18520"/>
      <c r="N18520"/>
      <c r="O18520" s="24"/>
      <c r="P18520"/>
      <c r="Q18520" s="24"/>
      <c r="R18520"/>
      <c r="S18520"/>
      <c r="T18520"/>
      <c r="U18520"/>
      <c r="X18520" s="60"/>
    </row>
    <row r="18521" spans="7:24" ht="15" customHeight="1">
      <c r="G18521"/>
      <c r="I18521"/>
      <c r="N18521"/>
      <c r="O18521" s="24"/>
      <c r="P18521"/>
      <c r="Q18521" s="24"/>
      <c r="R18521"/>
      <c r="S18521"/>
      <c r="T18521"/>
      <c r="U18521"/>
      <c r="X18521" s="60"/>
    </row>
    <row r="18522" spans="7:24" ht="15" customHeight="1">
      <c r="G18522"/>
      <c r="I18522"/>
      <c r="N18522"/>
      <c r="O18522" s="24"/>
      <c r="P18522"/>
      <c r="Q18522" s="24"/>
      <c r="R18522"/>
      <c r="S18522"/>
      <c r="T18522"/>
      <c r="U18522"/>
      <c r="X18522" s="60"/>
    </row>
    <row r="18523" spans="7:24" ht="15" customHeight="1">
      <c r="G18523"/>
      <c r="I18523"/>
      <c r="N18523"/>
      <c r="O18523" s="24"/>
      <c r="P18523"/>
      <c r="Q18523" s="24"/>
      <c r="R18523"/>
      <c r="S18523"/>
      <c r="T18523"/>
      <c r="U18523"/>
      <c r="X18523" s="60"/>
    </row>
    <row r="18524" spans="7:24" ht="15" customHeight="1">
      <c r="G18524"/>
      <c r="I18524"/>
      <c r="N18524"/>
      <c r="O18524" s="24"/>
      <c r="P18524"/>
      <c r="Q18524" s="24"/>
      <c r="R18524"/>
      <c r="S18524"/>
      <c r="T18524"/>
      <c r="U18524"/>
      <c r="X18524" s="60"/>
    </row>
    <row r="18525" spans="7:24" ht="15" customHeight="1">
      <c r="G18525"/>
      <c r="I18525"/>
      <c r="N18525"/>
      <c r="O18525" s="24"/>
      <c r="P18525"/>
      <c r="Q18525" s="24"/>
      <c r="R18525"/>
      <c r="S18525"/>
      <c r="T18525"/>
      <c r="U18525"/>
      <c r="X18525" s="60"/>
    </row>
    <row r="18526" spans="7:24" ht="15" customHeight="1">
      <c r="G18526"/>
      <c r="I18526"/>
      <c r="N18526"/>
      <c r="O18526" s="24"/>
      <c r="P18526"/>
      <c r="Q18526" s="24"/>
      <c r="R18526"/>
      <c r="S18526"/>
      <c r="T18526"/>
      <c r="U18526"/>
      <c r="X18526" s="60"/>
    </row>
    <row r="18527" spans="7:24" ht="15" customHeight="1">
      <c r="G18527"/>
      <c r="I18527"/>
      <c r="N18527"/>
      <c r="O18527" s="24"/>
      <c r="P18527"/>
      <c r="Q18527" s="24"/>
      <c r="R18527"/>
      <c r="S18527"/>
      <c r="T18527"/>
      <c r="U18527"/>
      <c r="X18527" s="60"/>
    </row>
    <row r="18528" spans="7:24" ht="15" customHeight="1">
      <c r="G18528"/>
      <c r="I18528"/>
      <c r="N18528"/>
      <c r="O18528" s="24"/>
      <c r="P18528"/>
      <c r="Q18528" s="24"/>
      <c r="R18528"/>
      <c r="S18528"/>
      <c r="T18528"/>
      <c r="U18528"/>
      <c r="X18528" s="60"/>
    </row>
    <row r="18529" spans="7:24" ht="15" customHeight="1">
      <c r="G18529"/>
      <c r="I18529"/>
      <c r="N18529"/>
      <c r="O18529" s="24"/>
      <c r="P18529"/>
      <c r="Q18529" s="24"/>
      <c r="R18529"/>
      <c r="S18529"/>
      <c r="T18529"/>
      <c r="U18529"/>
      <c r="X18529" s="60"/>
    </row>
    <row r="18530" spans="7:24" ht="15" customHeight="1">
      <c r="G18530"/>
      <c r="I18530"/>
      <c r="N18530"/>
      <c r="O18530" s="24"/>
      <c r="P18530"/>
      <c r="Q18530" s="24"/>
      <c r="R18530"/>
      <c r="S18530"/>
      <c r="T18530"/>
      <c r="U18530"/>
      <c r="X18530" s="60"/>
    </row>
    <row r="18531" spans="7:24" ht="15" customHeight="1">
      <c r="G18531"/>
      <c r="I18531"/>
      <c r="N18531"/>
      <c r="O18531" s="24"/>
      <c r="P18531"/>
      <c r="Q18531" s="24"/>
      <c r="R18531"/>
      <c r="S18531"/>
      <c r="T18531"/>
      <c r="U18531"/>
      <c r="X18531" s="60"/>
    </row>
    <row r="18532" spans="7:24" ht="15" customHeight="1">
      <c r="G18532"/>
      <c r="I18532"/>
      <c r="N18532"/>
      <c r="O18532" s="24"/>
      <c r="P18532"/>
      <c r="Q18532" s="24"/>
      <c r="R18532"/>
      <c r="S18532"/>
      <c r="T18532"/>
      <c r="U18532"/>
      <c r="X18532" s="60"/>
    </row>
    <row r="18533" spans="7:24" ht="15" customHeight="1">
      <c r="G18533"/>
      <c r="I18533"/>
      <c r="N18533"/>
      <c r="O18533" s="24"/>
      <c r="P18533"/>
      <c r="Q18533" s="24"/>
      <c r="R18533"/>
      <c r="S18533"/>
      <c r="T18533"/>
      <c r="U18533"/>
      <c r="X18533" s="60"/>
    </row>
    <row r="18534" spans="7:24" ht="15" customHeight="1">
      <c r="G18534"/>
      <c r="I18534"/>
      <c r="N18534"/>
      <c r="O18534" s="24"/>
      <c r="P18534"/>
      <c r="Q18534" s="24"/>
      <c r="R18534"/>
      <c r="S18534"/>
      <c r="T18534"/>
      <c r="U18534"/>
      <c r="X18534" s="60"/>
    </row>
    <row r="18535" spans="7:24" ht="15" customHeight="1">
      <c r="G18535"/>
      <c r="I18535"/>
      <c r="N18535"/>
      <c r="O18535" s="24"/>
      <c r="P18535"/>
      <c r="Q18535" s="24"/>
      <c r="R18535"/>
      <c r="S18535"/>
      <c r="T18535"/>
      <c r="U18535"/>
      <c r="X18535" s="60"/>
    </row>
    <row r="18536" spans="7:24" ht="15" customHeight="1">
      <c r="G18536"/>
      <c r="I18536"/>
      <c r="N18536"/>
      <c r="O18536" s="24"/>
      <c r="P18536"/>
      <c r="Q18536" s="24"/>
      <c r="R18536"/>
      <c r="S18536"/>
      <c r="T18536"/>
      <c r="U18536"/>
      <c r="X18536" s="60"/>
    </row>
    <row r="18537" spans="7:24" ht="15" customHeight="1">
      <c r="G18537"/>
      <c r="I18537"/>
      <c r="N18537"/>
      <c r="O18537" s="24"/>
      <c r="P18537"/>
      <c r="Q18537" s="24"/>
      <c r="R18537"/>
      <c r="S18537"/>
      <c r="T18537"/>
      <c r="U18537"/>
      <c r="X18537" s="60"/>
    </row>
    <row r="18538" spans="7:24" ht="15" customHeight="1">
      <c r="G18538"/>
      <c r="I18538"/>
      <c r="N18538"/>
      <c r="O18538" s="24"/>
      <c r="P18538"/>
      <c r="Q18538" s="24"/>
      <c r="R18538"/>
      <c r="S18538"/>
      <c r="T18538"/>
      <c r="U18538"/>
      <c r="X18538" s="60"/>
    </row>
    <row r="18539" spans="7:24" ht="15" customHeight="1">
      <c r="G18539"/>
      <c r="I18539"/>
      <c r="N18539"/>
      <c r="O18539" s="24"/>
      <c r="P18539"/>
      <c r="Q18539" s="24"/>
      <c r="R18539"/>
      <c r="S18539"/>
      <c r="T18539"/>
      <c r="U18539"/>
      <c r="X18539" s="60"/>
    </row>
    <row r="18540" spans="7:24" ht="15" customHeight="1">
      <c r="G18540"/>
      <c r="I18540"/>
      <c r="N18540"/>
      <c r="O18540" s="24"/>
      <c r="P18540"/>
      <c r="Q18540" s="24"/>
      <c r="R18540"/>
      <c r="S18540"/>
      <c r="T18540"/>
      <c r="U18540"/>
      <c r="X18540" s="60"/>
    </row>
    <row r="18541" spans="7:24" ht="15" customHeight="1">
      <c r="G18541"/>
      <c r="I18541"/>
      <c r="N18541"/>
      <c r="O18541" s="24"/>
      <c r="P18541"/>
      <c r="Q18541" s="24"/>
      <c r="R18541"/>
      <c r="S18541"/>
      <c r="T18541"/>
      <c r="U18541"/>
      <c r="X18541" s="60"/>
    </row>
    <row r="18542" spans="7:24" ht="15" customHeight="1">
      <c r="G18542"/>
      <c r="I18542"/>
      <c r="N18542"/>
      <c r="O18542" s="24"/>
      <c r="P18542"/>
      <c r="Q18542" s="24"/>
      <c r="R18542"/>
      <c r="S18542"/>
      <c r="T18542"/>
      <c r="U18542"/>
      <c r="X18542" s="60"/>
    </row>
    <row r="18543" spans="7:24" ht="15" customHeight="1">
      <c r="G18543"/>
      <c r="I18543"/>
      <c r="N18543"/>
      <c r="O18543" s="24"/>
      <c r="P18543"/>
      <c r="Q18543" s="24"/>
      <c r="R18543"/>
      <c r="S18543"/>
      <c r="T18543"/>
      <c r="U18543"/>
      <c r="X18543" s="60"/>
    </row>
    <row r="18544" spans="7:24" ht="15" customHeight="1">
      <c r="G18544"/>
      <c r="I18544"/>
      <c r="N18544"/>
      <c r="O18544" s="24"/>
      <c r="P18544"/>
      <c r="Q18544" s="24"/>
      <c r="R18544"/>
      <c r="S18544"/>
      <c r="T18544"/>
      <c r="U18544"/>
      <c r="X18544" s="60"/>
    </row>
    <row r="18545" spans="7:24" ht="15" customHeight="1">
      <c r="G18545"/>
      <c r="I18545"/>
      <c r="N18545"/>
      <c r="O18545" s="24"/>
      <c r="P18545"/>
      <c r="Q18545" s="24"/>
      <c r="R18545"/>
      <c r="S18545"/>
      <c r="T18545"/>
      <c r="U18545"/>
      <c r="X18545" s="60"/>
    </row>
    <row r="18546" spans="7:24" ht="15" customHeight="1">
      <c r="G18546"/>
      <c r="I18546"/>
      <c r="N18546"/>
      <c r="O18546" s="24"/>
      <c r="P18546"/>
      <c r="Q18546" s="24"/>
      <c r="R18546"/>
      <c r="S18546"/>
      <c r="T18546"/>
      <c r="U18546"/>
      <c r="X18546" s="60"/>
    </row>
    <row r="18547" spans="7:24" ht="15" customHeight="1">
      <c r="G18547"/>
      <c r="I18547"/>
      <c r="N18547"/>
      <c r="O18547" s="24"/>
      <c r="P18547"/>
      <c r="Q18547" s="24"/>
      <c r="R18547"/>
      <c r="S18547"/>
      <c r="T18547"/>
      <c r="U18547"/>
      <c r="X18547" s="60"/>
    </row>
    <row r="18548" spans="7:24" ht="15" customHeight="1">
      <c r="G18548"/>
      <c r="I18548"/>
      <c r="N18548"/>
      <c r="O18548" s="24"/>
      <c r="P18548"/>
      <c r="Q18548" s="24"/>
      <c r="R18548"/>
      <c r="S18548"/>
      <c r="T18548"/>
      <c r="U18548"/>
      <c r="X18548" s="60"/>
    </row>
    <row r="18549" spans="7:24" ht="15" customHeight="1">
      <c r="G18549"/>
      <c r="I18549"/>
      <c r="N18549"/>
      <c r="O18549" s="24"/>
      <c r="P18549"/>
      <c r="Q18549" s="24"/>
      <c r="R18549"/>
      <c r="S18549"/>
      <c r="T18549"/>
      <c r="U18549"/>
      <c r="X18549" s="60"/>
    </row>
    <row r="18550" spans="7:24" ht="15" customHeight="1">
      <c r="G18550"/>
      <c r="I18550"/>
      <c r="N18550"/>
      <c r="O18550" s="24"/>
      <c r="P18550"/>
      <c r="Q18550" s="24"/>
      <c r="R18550"/>
      <c r="S18550"/>
      <c r="T18550"/>
      <c r="U18550"/>
      <c r="X18550" s="60"/>
    </row>
    <row r="18551" spans="7:24" ht="15" customHeight="1">
      <c r="G18551"/>
      <c r="I18551"/>
      <c r="N18551"/>
      <c r="O18551" s="24"/>
      <c r="P18551"/>
      <c r="Q18551" s="24"/>
      <c r="R18551"/>
      <c r="S18551"/>
      <c r="T18551"/>
      <c r="U18551"/>
      <c r="X18551" s="60"/>
    </row>
    <row r="18552" spans="7:24" ht="15" customHeight="1">
      <c r="G18552"/>
      <c r="I18552"/>
      <c r="N18552"/>
      <c r="O18552" s="24"/>
      <c r="P18552"/>
      <c r="Q18552" s="24"/>
      <c r="R18552"/>
      <c r="S18552"/>
      <c r="T18552"/>
      <c r="U18552"/>
      <c r="X18552" s="60"/>
    </row>
    <row r="18553" spans="7:24" ht="15" customHeight="1">
      <c r="G18553"/>
      <c r="I18553"/>
      <c r="N18553"/>
      <c r="O18553" s="24"/>
      <c r="P18553"/>
      <c r="Q18553" s="24"/>
      <c r="R18553"/>
      <c r="S18553"/>
      <c r="T18553"/>
      <c r="U18553"/>
      <c r="X18553" s="60"/>
    </row>
    <row r="18554" spans="7:24" ht="15" customHeight="1">
      <c r="G18554"/>
      <c r="I18554"/>
      <c r="N18554"/>
      <c r="O18554" s="24"/>
      <c r="P18554"/>
      <c r="Q18554" s="24"/>
      <c r="R18554"/>
      <c r="S18554"/>
      <c r="T18554"/>
      <c r="U18554"/>
      <c r="X18554" s="60"/>
    </row>
    <row r="18555" spans="7:24" ht="15" customHeight="1">
      <c r="G18555"/>
      <c r="I18555"/>
      <c r="N18555"/>
      <c r="O18555" s="24"/>
      <c r="P18555"/>
      <c r="Q18555" s="24"/>
      <c r="R18555"/>
      <c r="S18555"/>
      <c r="T18555"/>
      <c r="U18555"/>
      <c r="X18555" s="60"/>
    </row>
    <row r="18556" spans="7:24" ht="15" customHeight="1">
      <c r="G18556"/>
      <c r="I18556"/>
      <c r="N18556"/>
      <c r="O18556" s="24"/>
      <c r="P18556"/>
      <c r="Q18556" s="24"/>
      <c r="R18556"/>
      <c r="S18556"/>
      <c r="T18556"/>
      <c r="U18556"/>
      <c r="X18556" s="60"/>
    </row>
    <row r="18557" spans="7:24" ht="15" customHeight="1">
      <c r="G18557"/>
      <c r="I18557"/>
      <c r="N18557"/>
      <c r="O18557" s="24"/>
      <c r="P18557"/>
      <c r="Q18557" s="24"/>
      <c r="R18557"/>
      <c r="S18557"/>
      <c r="T18557"/>
      <c r="U18557"/>
      <c r="X18557" s="60"/>
    </row>
    <row r="18558" spans="7:24" ht="15" customHeight="1">
      <c r="G18558"/>
      <c r="I18558"/>
      <c r="N18558"/>
      <c r="O18558" s="24"/>
      <c r="P18558"/>
      <c r="Q18558" s="24"/>
      <c r="R18558"/>
      <c r="S18558"/>
      <c r="T18558"/>
      <c r="U18558"/>
      <c r="X18558" s="60"/>
    </row>
    <row r="18559" spans="7:24" ht="15" customHeight="1">
      <c r="G18559"/>
      <c r="I18559"/>
      <c r="N18559"/>
      <c r="O18559" s="24"/>
      <c r="P18559"/>
      <c r="Q18559" s="24"/>
      <c r="R18559"/>
      <c r="S18559"/>
      <c r="T18559"/>
      <c r="U18559"/>
      <c r="X18559" s="60"/>
    </row>
    <row r="18560" spans="7:24" ht="15" customHeight="1">
      <c r="G18560"/>
      <c r="I18560"/>
      <c r="N18560"/>
      <c r="O18560" s="24"/>
      <c r="P18560"/>
      <c r="Q18560" s="24"/>
      <c r="R18560"/>
      <c r="S18560"/>
      <c r="T18560"/>
      <c r="U18560"/>
      <c r="X18560" s="60"/>
    </row>
    <row r="18561" spans="7:24" ht="15" customHeight="1">
      <c r="G18561"/>
      <c r="I18561"/>
      <c r="N18561"/>
      <c r="O18561" s="24"/>
      <c r="P18561"/>
      <c r="Q18561" s="24"/>
      <c r="R18561"/>
      <c r="S18561"/>
      <c r="T18561"/>
      <c r="U18561"/>
      <c r="X18561" s="60"/>
    </row>
    <row r="18562" spans="7:24" ht="15" customHeight="1">
      <c r="G18562"/>
      <c r="I18562"/>
      <c r="N18562"/>
      <c r="O18562" s="24"/>
      <c r="P18562"/>
      <c r="Q18562" s="24"/>
      <c r="R18562"/>
      <c r="S18562"/>
      <c r="T18562"/>
      <c r="U18562"/>
      <c r="X18562" s="60"/>
    </row>
    <row r="18563" spans="7:24" ht="15" customHeight="1">
      <c r="G18563"/>
      <c r="I18563"/>
      <c r="N18563"/>
      <c r="O18563" s="24"/>
      <c r="P18563"/>
      <c r="Q18563" s="24"/>
      <c r="R18563"/>
      <c r="S18563"/>
      <c r="T18563"/>
      <c r="U18563"/>
      <c r="X18563" s="60"/>
    </row>
    <row r="18564" spans="7:24" ht="15" customHeight="1">
      <c r="G18564"/>
      <c r="I18564"/>
      <c r="N18564"/>
      <c r="O18564" s="24"/>
      <c r="P18564"/>
      <c r="Q18564" s="24"/>
      <c r="R18564"/>
      <c r="S18564"/>
      <c r="T18564"/>
      <c r="U18564"/>
      <c r="X18564" s="60"/>
    </row>
    <row r="18565" spans="7:24" ht="15" customHeight="1">
      <c r="G18565"/>
      <c r="I18565"/>
      <c r="N18565"/>
      <c r="O18565" s="24"/>
      <c r="P18565"/>
      <c r="Q18565" s="24"/>
      <c r="R18565"/>
      <c r="S18565"/>
      <c r="T18565"/>
      <c r="U18565"/>
      <c r="X18565" s="60"/>
    </row>
    <row r="18566" spans="7:24" ht="15" customHeight="1">
      <c r="G18566"/>
      <c r="I18566"/>
      <c r="N18566"/>
      <c r="O18566" s="24"/>
      <c r="P18566"/>
      <c r="Q18566" s="24"/>
      <c r="R18566"/>
      <c r="S18566"/>
      <c r="T18566"/>
      <c r="U18566"/>
      <c r="X18566" s="60"/>
    </row>
    <row r="18567" spans="7:24" ht="15" customHeight="1">
      <c r="G18567"/>
      <c r="I18567"/>
      <c r="N18567"/>
      <c r="O18567" s="24"/>
      <c r="P18567"/>
      <c r="Q18567" s="24"/>
      <c r="R18567"/>
      <c r="S18567"/>
      <c r="T18567"/>
      <c r="U18567"/>
      <c r="X18567" s="60"/>
    </row>
    <row r="18568" spans="7:24" ht="15" customHeight="1">
      <c r="G18568"/>
      <c r="I18568"/>
      <c r="N18568"/>
      <c r="O18568" s="24"/>
      <c r="P18568"/>
      <c r="Q18568" s="24"/>
      <c r="R18568"/>
      <c r="S18568"/>
      <c r="T18568"/>
      <c r="U18568"/>
      <c r="X18568" s="60"/>
    </row>
    <row r="18569" spans="7:24" ht="15" customHeight="1">
      <c r="G18569"/>
      <c r="I18569"/>
      <c r="N18569"/>
      <c r="O18569" s="24"/>
      <c r="P18569"/>
      <c r="Q18569" s="24"/>
      <c r="R18569"/>
      <c r="S18569"/>
      <c r="T18569"/>
      <c r="U18569"/>
      <c r="X18569" s="60"/>
    </row>
    <row r="18570" spans="7:24" ht="15" customHeight="1">
      <c r="G18570"/>
      <c r="I18570"/>
      <c r="N18570"/>
      <c r="O18570" s="24"/>
      <c r="P18570"/>
      <c r="Q18570" s="24"/>
      <c r="R18570"/>
      <c r="S18570"/>
      <c r="T18570"/>
      <c r="U18570"/>
      <c r="X18570" s="60"/>
    </row>
    <row r="18571" spans="7:24" ht="15" customHeight="1">
      <c r="G18571"/>
      <c r="I18571"/>
      <c r="N18571"/>
      <c r="O18571" s="24"/>
      <c r="P18571"/>
      <c r="Q18571" s="24"/>
      <c r="R18571"/>
      <c r="S18571"/>
      <c r="T18571"/>
      <c r="U18571"/>
      <c r="X18571" s="60"/>
    </row>
    <row r="18572" spans="7:24" ht="15" customHeight="1">
      <c r="G18572"/>
      <c r="I18572"/>
      <c r="N18572"/>
      <c r="O18572" s="24"/>
      <c r="P18572"/>
      <c r="Q18572" s="24"/>
      <c r="R18572"/>
      <c r="S18572"/>
      <c r="T18572"/>
      <c r="U18572"/>
      <c r="X18572" s="60"/>
    </row>
    <row r="18573" spans="7:24" ht="15" customHeight="1">
      <c r="G18573"/>
      <c r="I18573"/>
      <c r="N18573"/>
      <c r="O18573" s="24"/>
      <c r="P18573"/>
      <c r="Q18573" s="24"/>
      <c r="R18573"/>
      <c r="S18573"/>
      <c r="T18573"/>
      <c r="U18573"/>
      <c r="X18573" s="60"/>
    </row>
    <row r="18574" spans="7:24" ht="15" customHeight="1">
      <c r="G18574"/>
      <c r="I18574"/>
      <c r="N18574"/>
      <c r="O18574" s="24"/>
      <c r="P18574"/>
      <c r="Q18574" s="24"/>
      <c r="R18574"/>
      <c r="S18574"/>
      <c r="T18574"/>
      <c r="U18574"/>
      <c r="X18574" s="60"/>
    </row>
    <row r="18575" spans="7:24" ht="15" customHeight="1">
      <c r="G18575"/>
      <c r="I18575"/>
      <c r="N18575"/>
      <c r="O18575" s="24"/>
      <c r="P18575"/>
      <c r="Q18575" s="24"/>
      <c r="R18575"/>
      <c r="S18575"/>
      <c r="T18575"/>
      <c r="U18575"/>
      <c r="X18575" s="60"/>
    </row>
    <row r="18576" spans="7:24" ht="15" customHeight="1">
      <c r="G18576"/>
      <c r="I18576"/>
      <c r="N18576"/>
      <c r="O18576" s="24"/>
      <c r="P18576"/>
      <c r="Q18576" s="24"/>
      <c r="R18576"/>
      <c r="S18576"/>
      <c r="T18576"/>
      <c r="U18576"/>
      <c r="X18576" s="60"/>
    </row>
    <row r="18577" spans="7:24" ht="15" customHeight="1">
      <c r="G18577"/>
      <c r="I18577"/>
      <c r="N18577"/>
      <c r="O18577" s="24"/>
      <c r="P18577"/>
      <c r="Q18577" s="24"/>
      <c r="R18577"/>
      <c r="S18577"/>
      <c r="T18577"/>
      <c r="U18577"/>
      <c r="X18577" s="60"/>
    </row>
    <row r="18578" spans="7:24" ht="15" customHeight="1">
      <c r="G18578"/>
      <c r="I18578"/>
      <c r="N18578"/>
      <c r="O18578" s="24"/>
      <c r="P18578"/>
      <c r="Q18578" s="24"/>
      <c r="R18578"/>
      <c r="S18578"/>
      <c r="T18578"/>
      <c r="U18578"/>
      <c r="X18578" s="60"/>
    </row>
    <row r="18579" spans="7:24" ht="15" customHeight="1">
      <c r="G18579"/>
      <c r="I18579"/>
      <c r="N18579"/>
      <c r="O18579" s="24"/>
      <c r="P18579"/>
      <c r="Q18579" s="24"/>
      <c r="R18579"/>
      <c r="S18579"/>
      <c r="T18579"/>
      <c r="U18579"/>
      <c r="X18579" s="60"/>
    </row>
    <row r="18580" spans="7:24" ht="15" customHeight="1">
      <c r="G18580"/>
      <c r="I18580"/>
      <c r="N18580"/>
      <c r="O18580" s="24"/>
      <c r="P18580"/>
      <c r="Q18580" s="24"/>
      <c r="R18580"/>
      <c r="S18580"/>
      <c r="T18580"/>
      <c r="U18580"/>
      <c r="X18580" s="60"/>
    </row>
    <row r="18581" spans="7:24" ht="15" customHeight="1">
      <c r="G18581"/>
      <c r="I18581"/>
      <c r="N18581"/>
      <c r="O18581" s="24"/>
      <c r="P18581"/>
      <c r="Q18581" s="24"/>
      <c r="R18581"/>
      <c r="S18581"/>
      <c r="T18581"/>
      <c r="U18581"/>
      <c r="X18581" s="60"/>
    </row>
    <row r="18582" spans="7:24" ht="15" customHeight="1">
      <c r="G18582"/>
      <c r="I18582"/>
      <c r="N18582"/>
      <c r="O18582" s="24"/>
      <c r="P18582"/>
      <c r="Q18582" s="24"/>
      <c r="R18582"/>
      <c r="S18582"/>
      <c r="T18582"/>
      <c r="U18582"/>
      <c r="X18582" s="60"/>
    </row>
    <row r="18583" spans="7:24" ht="15" customHeight="1">
      <c r="G18583"/>
      <c r="I18583"/>
      <c r="N18583"/>
      <c r="O18583" s="24"/>
      <c r="P18583"/>
      <c r="Q18583" s="24"/>
      <c r="R18583"/>
      <c r="S18583"/>
      <c r="T18583"/>
      <c r="U18583"/>
      <c r="X18583" s="60"/>
    </row>
    <row r="18584" spans="7:24" ht="15" customHeight="1">
      <c r="G18584"/>
      <c r="I18584"/>
      <c r="N18584"/>
      <c r="O18584" s="24"/>
      <c r="P18584"/>
      <c r="Q18584" s="24"/>
      <c r="R18584"/>
      <c r="S18584"/>
      <c r="T18584"/>
      <c r="U18584"/>
      <c r="X18584" s="60"/>
    </row>
    <row r="18585" spans="7:24" ht="15" customHeight="1">
      <c r="G18585"/>
      <c r="I18585"/>
      <c r="N18585"/>
      <c r="O18585" s="24"/>
      <c r="P18585"/>
      <c r="Q18585" s="24"/>
      <c r="R18585"/>
      <c r="S18585"/>
      <c r="T18585"/>
      <c r="U18585"/>
      <c r="X18585" s="60"/>
    </row>
    <row r="18586" spans="7:24" ht="15" customHeight="1">
      <c r="G18586"/>
      <c r="I18586"/>
      <c r="N18586"/>
      <c r="O18586" s="24"/>
      <c r="P18586"/>
      <c r="Q18586" s="24"/>
      <c r="R18586"/>
      <c r="S18586"/>
      <c r="T18586"/>
      <c r="U18586"/>
      <c r="X18586" s="60"/>
    </row>
    <row r="18587" spans="7:24" ht="15" customHeight="1">
      <c r="G18587"/>
      <c r="I18587"/>
      <c r="N18587"/>
      <c r="O18587" s="24"/>
      <c r="P18587"/>
      <c r="Q18587" s="24"/>
      <c r="R18587"/>
      <c r="S18587"/>
      <c r="T18587"/>
      <c r="U18587"/>
      <c r="X18587" s="60"/>
    </row>
    <row r="18588" spans="7:24" ht="15" customHeight="1">
      <c r="G18588"/>
      <c r="I18588"/>
      <c r="N18588"/>
      <c r="O18588" s="24"/>
      <c r="P18588"/>
      <c r="Q18588" s="24"/>
      <c r="R18588"/>
      <c r="S18588"/>
      <c r="T18588"/>
      <c r="U18588"/>
      <c r="X18588" s="60"/>
    </row>
    <row r="18589" spans="7:24" ht="15" customHeight="1">
      <c r="G18589"/>
      <c r="I18589"/>
      <c r="N18589"/>
      <c r="O18589" s="24"/>
      <c r="P18589"/>
      <c r="Q18589" s="24"/>
      <c r="R18589"/>
      <c r="S18589"/>
      <c r="T18589"/>
      <c r="U18589"/>
      <c r="X18589" s="60"/>
    </row>
    <row r="18590" spans="7:24" ht="15" customHeight="1">
      <c r="G18590"/>
      <c r="I18590"/>
      <c r="N18590"/>
      <c r="O18590" s="24"/>
      <c r="P18590"/>
      <c r="Q18590" s="24"/>
      <c r="R18590"/>
      <c r="S18590"/>
      <c r="T18590"/>
      <c r="U18590"/>
      <c r="X18590" s="60"/>
    </row>
    <row r="18591" spans="7:24" ht="15" customHeight="1">
      <c r="G18591"/>
      <c r="I18591"/>
      <c r="N18591"/>
      <c r="O18591" s="24"/>
      <c r="P18591"/>
      <c r="Q18591" s="24"/>
      <c r="R18591"/>
      <c r="S18591"/>
      <c r="T18591"/>
      <c r="U18591"/>
      <c r="X18591" s="60"/>
    </row>
    <row r="18592" spans="7:24" ht="15" customHeight="1">
      <c r="G18592"/>
      <c r="I18592"/>
      <c r="N18592"/>
      <c r="O18592" s="24"/>
      <c r="P18592"/>
      <c r="Q18592" s="24"/>
      <c r="R18592"/>
      <c r="S18592"/>
      <c r="T18592"/>
      <c r="U18592"/>
      <c r="X18592" s="60"/>
    </row>
    <row r="18593" spans="7:24" ht="15" customHeight="1">
      <c r="G18593"/>
      <c r="I18593"/>
      <c r="N18593"/>
      <c r="O18593" s="24"/>
      <c r="P18593"/>
      <c r="Q18593" s="24"/>
      <c r="R18593"/>
      <c r="S18593"/>
      <c r="T18593"/>
      <c r="U18593"/>
      <c r="X18593" s="60"/>
    </row>
    <row r="18594" spans="7:24" ht="15" customHeight="1">
      <c r="G18594"/>
      <c r="I18594"/>
      <c r="N18594"/>
      <c r="O18594" s="24"/>
      <c r="P18594"/>
      <c r="Q18594" s="24"/>
      <c r="R18594"/>
      <c r="S18594"/>
      <c r="T18594"/>
      <c r="U18594"/>
      <c r="X18594" s="60"/>
    </row>
    <row r="18595" spans="7:24" ht="15" customHeight="1">
      <c r="G18595"/>
      <c r="I18595"/>
      <c r="N18595"/>
      <c r="O18595" s="24"/>
      <c r="P18595"/>
      <c r="Q18595" s="24"/>
      <c r="R18595"/>
      <c r="S18595"/>
      <c r="T18595"/>
      <c r="U18595"/>
      <c r="X18595" s="60"/>
    </row>
    <row r="18596" spans="7:24" ht="15" customHeight="1">
      <c r="G18596"/>
      <c r="I18596"/>
      <c r="N18596"/>
      <c r="O18596" s="24"/>
      <c r="P18596"/>
      <c r="Q18596" s="24"/>
      <c r="R18596"/>
      <c r="S18596"/>
      <c r="T18596"/>
      <c r="U18596"/>
      <c r="X18596" s="60"/>
    </row>
    <row r="18597" spans="7:24" ht="15" customHeight="1">
      <c r="G18597"/>
      <c r="I18597"/>
      <c r="N18597"/>
      <c r="O18597" s="24"/>
      <c r="P18597"/>
      <c r="Q18597" s="24"/>
      <c r="R18597"/>
      <c r="S18597"/>
      <c r="T18597"/>
      <c r="U18597"/>
      <c r="X18597" s="60"/>
    </row>
    <row r="18598" spans="7:24" ht="15" customHeight="1">
      <c r="G18598"/>
      <c r="I18598"/>
      <c r="N18598"/>
      <c r="O18598" s="24"/>
      <c r="P18598"/>
      <c r="Q18598" s="24"/>
      <c r="R18598"/>
      <c r="S18598"/>
      <c r="T18598"/>
      <c r="U18598"/>
      <c r="X18598" s="60"/>
    </row>
    <row r="18599" spans="7:24" ht="15" customHeight="1">
      <c r="G18599"/>
      <c r="I18599"/>
      <c r="N18599"/>
      <c r="O18599" s="24"/>
      <c r="P18599"/>
      <c r="Q18599" s="24"/>
      <c r="R18599"/>
      <c r="S18599"/>
      <c r="T18599"/>
      <c r="U18599"/>
      <c r="X18599" s="60"/>
    </row>
    <row r="18600" spans="7:24" ht="15" customHeight="1">
      <c r="G18600"/>
      <c r="I18600"/>
      <c r="N18600"/>
      <c r="O18600" s="24"/>
      <c r="P18600"/>
      <c r="Q18600" s="24"/>
      <c r="R18600"/>
      <c r="S18600"/>
      <c r="T18600"/>
      <c r="U18600"/>
      <c r="X18600" s="60"/>
    </row>
    <row r="18601" spans="7:24" ht="15" customHeight="1">
      <c r="G18601"/>
      <c r="I18601"/>
      <c r="N18601"/>
      <c r="O18601" s="24"/>
      <c r="P18601"/>
      <c r="Q18601" s="24"/>
      <c r="R18601"/>
      <c r="S18601"/>
      <c r="T18601"/>
      <c r="U18601"/>
      <c r="X18601" s="60"/>
    </row>
    <row r="18602" spans="7:24" ht="15" customHeight="1">
      <c r="G18602"/>
      <c r="I18602"/>
      <c r="N18602"/>
      <c r="O18602" s="24"/>
      <c r="P18602"/>
      <c r="Q18602" s="24"/>
      <c r="R18602"/>
      <c r="S18602"/>
      <c r="T18602"/>
      <c r="U18602"/>
      <c r="X18602" s="60"/>
    </row>
    <row r="18603" spans="7:24" ht="15" customHeight="1">
      <c r="G18603"/>
      <c r="I18603"/>
      <c r="N18603"/>
      <c r="O18603" s="24"/>
      <c r="P18603"/>
      <c r="Q18603" s="24"/>
      <c r="R18603"/>
      <c r="S18603"/>
      <c r="T18603"/>
      <c r="U18603"/>
      <c r="X18603" s="60"/>
    </row>
    <row r="18604" spans="7:24" ht="15" customHeight="1">
      <c r="G18604"/>
      <c r="I18604"/>
      <c r="N18604"/>
      <c r="O18604" s="24"/>
      <c r="P18604"/>
      <c r="Q18604" s="24"/>
      <c r="R18604"/>
      <c r="S18604"/>
      <c r="T18604"/>
      <c r="U18604"/>
      <c r="X18604" s="60"/>
    </row>
    <row r="18605" spans="7:24" ht="15" customHeight="1">
      <c r="G18605"/>
      <c r="I18605"/>
      <c r="N18605"/>
      <c r="O18605" s="24"/>
      <c r="P18605"/>
      <c r="Q18605" s="24"/>
      <c r="R18605"/>
      <c r="S18605"/>
      <c r="T18605"/>
      <c r="U18605"/>
      <c r="X18605" s="60"/>
    </row>
    <row r="18606" spans="7:24" ht="15" customHeight="1">
      <c r="G18606"/>
      <c r="I18606"/>
      <c r="N18606"/>
      <c r="O18606" s="24"/>
      <c r="P18606"/>
      <c r="Q18606" s="24"/>
      <c r="R18606"/>
      <c r="S18606"/>
      <c r="T18606"/>
      <c r="U18606"/>
      <c r="X18606" s="60"/>
    </row>
    <row r="18607" spans="7:24" ht="15" customHeight="1">
      <c r="G18607"/>
      <c r="I18607"/>
      <c r="N18607"/>
      <c r="O18607" s="24"/>
      <c r="P18607"/>
      <c r="Q18607" s="24"/>
      <c r="R18607"/>
      <c r="S18607"/>
      <c r="T18607"/>
      <c r="U18607"/>
      <c r="X18607" s="60"/>
    </row>
    <row r="18608" spans="7:24" ht="15" customHeight="1">
      <c r="G18608"/>
      <c r="I18608"/>
      <c r="N18608"/>
      <c r="O18608" s="24"/>
      <c r="P18608"/>
      <c r="Q18608" s="24"/>
      <c r="R18608"/>
      <c r="S18608"/>
      <c r="T18608"/>
      <c r="U18608"/>
      <c r="X18608" s="60"/>
    </row>
    <row r="18609" spans="7:24" ht="15" customHeight="1">
      <c r="G18609"/>
      <c r="I18609"/>
      <c r="N18609"/>
      <c r="O18609" s="24"/>
      <c r="P18609"/>
      <c r="Q18609" s="24"/>
      <c r="R18609"/>
      <c r="S18609"/>
      <c r="T18609"/>
      <c r="U18609"/>
      <c r="X18609" s="60"/>
    </row>
    <row r="18610" spans="7:24" ht="15" customHeight="1">
      <c r="G18610"/>
      <c r="I18610"/>
      <c r="N18610"/>
      <c r="O18610" s="24"/>
      <c r="P18610"/>
      <c r="Q18610" s="24"/>
      <c r="R18610"/>
      <c r="S18610"/>
      <c r="T18610"/>
      <c r="U18610"/>
      <c r="X18610" s="60"/>
    </row>
    <row r="18611" spans="7:24" ht="15" customHeight="1">
      <c r="G18611"/>
      <c r="I18611"/>
      <c r="N18611"/>
      <c r="O18611" s="24"/>
      <c r="P18611"/>
      <c r="Q18611" s="24"/>
      <c r="R18611"/>
      <c r="S18611"/>
      <c r="T18611"/>
      <c r="U18611"/>
      <c r="X18611" s="60"/>
    </row>
    <row r="18612" spans="7:24" ht="15" customHeight="1">
      <c r="G18612"/>
      <c r="I18612"/>
      <c r="N18612"/>
      <c r="O18612" s="24"/>
      <c r="P18612"/>
      <c r="Q18612" s="24"/>
      <c r="R18612"/>
      <c r="S18612"/>
      <c r="T18612"/>
      <c r="U18612"/>
      <c r="X18612" s="60"/>
    </row>
    <row r="18613" spans="7:24" ht="15" customHeight="1">
      <c r="G18613"/>
      <c r="I18613"/>
      <c r="N18613"/>
      <c r="O18613" s="24"/>
      <c r="P18613"/>
      <c r="Q18613" s="24"/>
      <c r="R18613"/>
      <c r="S18613"/>
      <c r="T18613"/>
      <c r="U18613"/>
      <c r="X18613" s="60"/>
    </row>
    <row r="18614" spans="7:24" ht="15" customHeight="1">
      <c r="G18614"/>
      <c r="I18614"/>
      <c r="N18614"/>
      <c r="O18614" s="24"/>
      <c r="P18614"/>
      <c r="Q18614" s="24"/>
      <c r="R18614"/>
      <c r="S18614"/>
      <c r="T18614"/>
      <c r="U18614"/>
      <c r="X18614" s="60"/>
    </row>
    <row r="18615" spans="7:24" ht="15" customHeight="1">
      <c r="G18615"/>
      <c r="I18615"/>
      <c r="N18615"/>
      <c r="O18615" s="24"/>
      <c r="P18615"/>
      <c r="Q18615" s="24"/>
      <c r="R18615"/>
      <c r="S18615"/>
      <c r="T18615"/>
      <c r="U18615"/>
      <c r="X18615" s="60"/>
    </row>
    <row r="18616" spans="7:24" ht="15" customHeight="1">
      <c r="G18616"/>
      <c r="I18616"/>
      <c r="N18616"/>
      <c r="O18616" s="24"/>
      <c r="P18616"/>
      <c r="Q18616" s="24"/>
      <c r="R18616"/>
      <c r="S18616"/>
      <c r="T18616"/>
      <c r="U18616"/>
      <c r="X18616" s="60"/>
    </row>
    <row r="18617" spans="7:24" ht="15" customHeight="1">
      <c r="G18617"/>
      <c r="I18617"/>
      <c r="N18617"/>
      <c r="O18617" s="24"/>
      <c r="P18617"/>
      <c r="Q18617" s="24"/>
      <c r="R18617"/>
      <c r="S18617"/>
      <c r="T18617"/>
      <c r="U18617"/>
      <c r="X18617" s="60"/>
    </row>
    <row r="18618" spans="7:24" ht="15" customHeight="1">
      <c r="G18618"/>
      <c r="I18618"/>
      <c r="N18618"/>
      <c r="O18618" s="24"/>
      <c r="P18618"/>
      <c r="Q18618" s="24"/>
      <c r="R18618"/>
      <c r="S18618"/>
      <c r="T18618"/>
      <c r="U18618"/>
      <c r="X18618" s="60"/>
    </row>
    <row r="18619" spans="7:24" ht="15" customHeight="1">
      <c r="G18619"/>
      <c r="I18619"/>
      <c r="N18619"/>
      <c r="O18619" s="24"/>
      <c r="P18619"/>
      <c r="Q18619" s="24"/>
      <c r="R18619"/>
      <c r="S18619"/>
      <c r="T18619"/>
      <c r="U18619"/>
      <c r="X18619" s="60"/>
    </row>
    <row r="18620" spans="7:24" ht="15" customHeight="1">
      <c r="G18620"/>
      <c r="I18620"/>
      <c r="N18620"/>
      <c r="O18620" s="24"/>
      <c r="P18620"/>
      <c r="Q18620" s="24"/>
      <c r="R18620"/>
      <c r="S18620"/>
      <c r="T18620"/>
      <c r="U18620"/>
      <c r="X18620" s="60"/>
    </row>
    <row r="18621" spans="7:24" ht="15" customHeight="1">
      <c r="G18621"/>
      <c r="I18621"/>
      <c r="N18621"/>
      <c r="O18621" s="24"/>
      <c r="P18621"/>
      <c r="Q18621" s="24"/>
      <c r="R18621"/>
      <c r="S18621"/>
      <c r="T18621"/>
      <c r="U18621"/>
      <c r="X18621" s="60"/>
    </row>
    <row r="18622" spans="7:24" ht="15" customHeight="1">
      <c r="G18622"/>
      <c r="I18622"/>
      <c r="N18622"/>
      <c r="O18622" s="24"/>
      <c r="P18622"/>
      <c r="Q18622" s="24"/>
      <c r="R18622"/>
      <c r="S18622"/>
      <c r="T18622"/>
      <c r="U18622"/>
      <c r="X18622" s="60"/>
    </row>
    <row r="18623" spans="7:24" ht="15" customHeight="1">
      <c r="G18623"/>
      <c r="I18623"/>
      <c r="N18623"/>
      <c r="O18623" s="24"/>
      <c r="P18623"/>
      <c r="Q18623" s="24"/>
      <c r="R18623"/>
      <c r="S18623"/>
      <c r="T18623"/>
      <c r="U18623"/>
      <c r="X18623" s="60"/>
    </row>
    <row r="18624" spans="7:24" ht="15" customHeight="1">
      <c r="G18624"/>
      <c r="I18624"/>
      <c r="N18624"/>
      <c r="O18624" s="24"/>
      <c r="P18624"/>
      <c r="Q18624" s="24"/>
      <c r="R18624"/>
      <c r="S18624"/>
      <c r="T18624"/>
      <c r="U18624"/>
      <c r="X18624" s="60"/>
    </row>
    <row r="18625" spans="7:24" ht="15" customHeight="1">
      <c r="G18625"/>
      <c r="I18625"/>
      <c r="N18625"/>
      <c r="O18625" s="24"/>
      <c r="P18625"/>
      <c r="Q18625" s="24"/>
      <c r="R18625"/>
      <c r="S18625"/>
      <c r="T18625"/>
      <c r="U18625"/>
      <c r="X18625" s="60"/>
    </row>
    <row r="18626" spans="7:24" ht="15" customHeight="1">
      <c r="G18626"/>
      <c r="I18626"/>
      <c r="N18626"/>
      <c r="O18626" s="24"/>
      <c r="P18626"/>
      <c r="Q18626" s="24"/>
      <c r="R18626"/>
      <c r="S18626"/>
      <c r="T18626"/>
      <c r="U18626"/>
      <c r="X18626" s="60"/>
    </row>
    <row r="18627" spans="7:24" ht="15" customHeight="1">
      <c r="G18627"/>
      <c r="I18627"/>
      <c r="N18627"/>
      <c r="O18627" s="24"/>
      <c r="P18627"/>
      <c r="Q18627" s="24"/>
      <c r="R18627"/>
      <c r="S18627"/>
      <c r="T18627"/>
      <c r="U18627"/>
      <c r="X18627" s="60"/>
    </row>
    <row r="18628" spans="7:24" ht="15" customHeight="1">
      <c r="G18628"/>
      <c r="I18628"/>
      <c r="N18628"/>
      <c r="O18628" s="24"/>
      <c r="P18628"/>
      <c r="Q18628" s="24"/>
      <c r="R18628"/>
      <c r="S18628"/>
      <c r="T18628"/>
      <c r="U18628"/>
      <c r="X18628" s="60"/>
    </row>
    <row r="18629" spans="7:24" ht="15" customHeight="1">
      <c r="G18629"/>
      <c r="I18629"/>
      <c r="N18629"/>
      <c r="O18629" s="24"/>
      <c r="P18629"/>
      <c r="Q18629" s="24"/>
      <c r="R18629"/>
      <c r="S18629"/>
      <c r="T18629"/>
      <c r="U18629"/>
      <c r="X18629" s="60"/>
    </row>
    <row r="18630" spans="7:24" ht="15" customHeight="1">
      <c r="G18630"/>
      <c r="I18630"/>
      <c r="N18630"/>
      <c r="O18630" s="24"/>
      <c r="P18630"/>
      <c r="Q18630" s="24"/>
      <c r="R18630"/>
      <c r="S18630"/>
      <c r="T18630"/>
      <c r="U18630"/>
      <c r="X18630" s="60"/>
    </row>
    <row r="18631" spans="7:24" ht="15" customHeight="1">
      <c r="G18631"/>
      <c r="I18631"/>
      <c r="N18631"/>
      <c r="O18631" s="24"/>
      <c r="P18631"/>
      <c r="Q18631" s="24"/>
      <c r="R18631"/>
      <c r="S18631"/>
      <c r="T18631"/>
      <c r="U18631"/>
      <c r="X18631" s="60"/>
    </row>
    <row r="18632" spans="7:24" ht="15" customHeight="1">
      <c r="G18632"/>
      <c r="I18632"/>
      <c r="N18632"/>
      <c r="O18632" s="24"/>
      <c r="P18632"/>
      <c r="Q18632" s="24"/>
      <c r="R18632"/>
      <c r="S18632"/>
      <c r="T18632"/>
      <c r="U18632"/>
      <c r="X18632" s="60"/>
    </row>
    <row r="18633" spans="7:24" ht="15" customHeight="1">
      <c r="G18633"/>
      <c r="I18633"/>
      <c r="N18633"/>
      <c r="O18633" s="24"/>
      <c r="P18633"/>
      <c r="Q18633" s="24"/>
      <c r="R18633"/>
      <c r="S18633"/>
      <c r="T18633"/>
      <c r="U18633"/>
      <c r="X18633" s="60"/>
    </row>
    <row r="18634" spans="7:24" ht="15" customHeight="1">
      <c r="G18634"/>
      <c r="I18634"/>
      <c r="N18634"/>
      <c r="O18634" s="24"/>
      <c r="P18634"/>
      <c r="Q18634" s="24"/>
      <c r="R18634"/>
      <c r="S18634"/>
      <c r="T18634"/>
      <c r="U18634"/>
      <c r="X18634" s="60"/>
    </row>
    <row r="18635" spans="7:24" ht="15" customHeight="1">
      <c r="G18635"/>
      <c r="I18635"/>
      <c r="N18635"/>
      <c r="O18635" s="24"/>
      <c r="P18635"/>
      <c r="Q18635" s="24"/>
      <c r="R18635"/>
      <c r="S18635"/>
      <c r="T18635"/>
      <c r="U18635"/>
      <c r="X18635" s="60"/>
    </row>
    <row r="18636" spans="7:24" ht="15" customHeight="1">
      <c r="G18636"/>
      <c r="I18636"/>
      <c r="N18636"/>
      <c r="O18636" s="24"/>
      <c r="P18636"/>
      <c r="Q18636" s="24"/>
      <c r="R18636"/>
      <c r="S18636"/>
      <c r="T18636"/>
      <c r="U18636"/>
      <c r="X18636" s="60"/>
    </row>
    <row r="18637" spans="7:24" ht="15" customHeight="1">
      <c r="G18637"/>
      <c r="I18637"/>
      <c r="N18637"/>
      <c r="O18637" s="24"/>
      <c r="P18637"/>
      <c r="Q18637" s="24"/>
      <c r="R18637"/>
      <c r="S18637"/>
      <c r="T18637"/>
      <c r="U18637"/>
      <c r="X18637" s="60"/>
    </row>
    <row r="18638" spans="7:24" ht="15" customHeight="1">
      <c r="G18638"/>
      <c r="I18638"/>
      <c r="N18638"/>
      <c r="O18638" s="24"/>
      <c r="P18638"/>
      <c r="Q18638" s="24"/>
      <c r="R18638"/>
      <c r="S18638"/>
      <c r="T18638"/>
      <c r="U18638"/>
      <c r="X18638" s="60"/>
    </row>
    <row r="18639" spans="7:24" ht="15" customHeight="1">
      <c r="G18639"/>
      <c r="I18639"/>
      <c r="N18639"/>
      <c r="O18639" s="24"/>
      <c r="P18639"/>
      <c r="Q18639" s="24"/>
      <c r="R18639"/>
      <c r="S18639"/>
      <c r="T18639"/>
      <c r="U18639"/>
      <c r="X18639" s="60"/>
    </row>
    <row r="18640" spans="7:24" ht="15" customHeight="1">
      <c r="G18640"/>
      <c r="I18640"/>
      <c r="N18640"/>
      <c r="O18640" s="24"/>
      <c r="P18640"/>
      <c r="Q18640" s="24"/>
      <c r="R18640"/>
      <c r="S18640"/>
      <c r="T18640"/>
      <c r="U18640"/>
      <c r="X18640" s="60"/>
    </row>
    <row r="18641" spans="7:24" ht="15" customHeight="1">
      <c r="G18641"/>
      <c r="I18641"/>
      <c r="N18641"/>
      <c r="O18641" s="24"/>
      <c r="P18641"/>
      <c r="Q18641" s="24"/>
      <c r="R18641"/>
      <c r="S18641"/>
      <c r="T18641"/>
      <c r="U18641"/>
      <c r="X18641" s="60"/>
    </row>
    <row r="18642" spans="7:24" ht="15" customHeight="1">
      <c r="G18642"/>
      <c r="I18642"/>
      <c r="N18642"/>
      <c r="O18642" s="24"/>
      <c r="P18642"/>
      <c r="Q18642" s="24"/>
      <c r="R18642"/>
      <c r="S18642"/>
      <c r="T18642"/>
      <c r="U18642"/>
      <c r="X18642" s="60"/>
    </row>
    <row r="18643" spans="7:24" ht="15" customHeight="1">
      <c r="G18643"/>
      <c r="I18643"/>
      <c r="N18643"/>
      <c r="O18643" s="24"/>
      <c r="P18643"/>
      <c r="Q18643" s="24"/>
      <c r="R18643"/>
      <c r="S18643"/>
      <c r="T18643"/>
      <c r="U18643"/>
      <c r="X18643" s="60"/>
    </row>
    <row r="18644" spans="7:24" ht="15" customHeight="1">
      <c r="G18644"/>
      <c r="I18644"/>
      <c r="N18644"/>
      <c r="O18644" s="24"/>
      <c r="P18644"/>
      <c r="Q18644" s="24"/>
      <c r="R18644"/>
      <c r="S18644"/>
      <c r="T18644"/>
      <c r="U18644"/>
      <c r="X18644" s="60"/>
    </row>
    <row r="18645" spans="7:24" ht="15" customHeight="1">
      <c r="G18645"/>
      <c r="I18645"/>
      <c r="N18645"/>
      <c r="O18645" s="24"/>
      <c r="P18645"/>
      <c r="Q18645" s="24"/>
      <c r="R18645"/>
      <c r="S18645"/>
      <c r="T18645"/>
      <c r="U18645"/>
      <c r="X18645" s="60"/>
    </row>
    <row r="18646" spans="7:24" ht="15" customHeight="1">
      <c r="G18646"/>
      <c r="I18646"/>
      <c r="N18646"/>
      <c r="O18646" s="24"/>
      <c r="P18646"/>
      <c r="Q18646" s="24"/>
      <c r="R18646"/>
      <c r="S18646"/>
      <c r="T18646"/>
      <c r="U18646"/>
      <c r="X18646" s="60"/>
    </row>
    <row r="18647" spans="7:24" ht="15" customHeight="1">
      <c r="G18647"/>
      <c r="I18647"/>
      <c r="N18647"/>
      <c r="O18647" s="24"/>
      <c r="P18647"/>
      <c r="Q18647" s="24"/>
      <c r="R18647"/>
      <c r="S18647"/>
      <c r="T18647"/>
      <c r="U18647"/>
      <c r="X18647" s="60"/>
    </row>
    <row r="18648" spans="7:24" ht="15" customHeight="1">
      <c r="G18648"/>
      <c r="I18648"/>
      <c r="N18648"/>
      <c r="O18648" s="24"/>
      <c r="P18648"/>
      <c r="Q18648" s="24"/>
      <c r="R18648"/>
      <c r="S18648"/>
      <c r="T18648"/>
      <c r="U18648"/>
      <c r="X18648" s="60"/>
    </row>
    <row r="18649" spans="7:24" ht="15" customHeight="1">
      <c r="G18649"/>
      <c r="I18649"/>
      <c r="N18649"/>
      <c r="O18649" s="24"/>
      <c r="P18649"/>
      <c r="Q18649" s="24"/>
      <c r="R18649"/>
      <c r="S18649"/>
      <c r="T18649"/>
      <c r="U18649"/>
      <c r="X18649" s="60"/>
    </row>
    <row r="18650" spans="7:24" ht="15" customHeight="1">
      <c r="G18650"/>
      <c r="I18650"/>
      <c r="N18650"/>
      <c r="O18650" s="24"/>
      <c r="P18650"/>
      <c r="Q18650" s="24"/>
      <c r="R18650"/>
      <c r="S18650"/>
      <c r="T18650"/>
      <c r="U18650"/>
      <c r="X18650" s="60"/>
    </row>
    <row r="18651" spans="7:24" ht="15" customHeight="1">
      <c r="G18651"/>
      <c r="I18651"/>
      <c r="N18651"/>
      <c r="O18651" s="24"/>
      <c r="P18651"/>
      <c r="Q18651" s="24"/>
      <c r="R18651"/>
      <c r="S18651"/>
      <c r="T18651"/>
      <c r="U18651"/>
      <c r="X18651" s="60"/>
    </row>
    <row r="18652" spans="7:24" ht="15" customHeight="1">
      <c r="G18652"/>
      <c r="I18652"/>
      <c r="N18652"/>
      <c r="O18652" s="24"/>
      <c r="P18652"/>
      <c r="Q18652" s="24"/>
      <c r="R18652"/>
      <c r="S18652"/>
      <c r="T18652"/>
      <c r="U18652"/>
      <c r="X18652" s="60"/>
    </row>
    <row r="18653" spans="7:24" ht="15" customHeight="1">
      <c r="G18653"/>
      <c r="I18653"/>
      <c r="N18653"/>
      <c r="O18653" s="24"/>
      <c r="P18653"/>
      <c r="Q18653" s="24"/>
      <c r="R18653"/>
      <c r="S18653"/>
      <c r="T18653"/>
      <c r="U18653"/>
      <c r="X18653" s="60"/>
    </row>
    <row r="18654" spans="7:24" ht="15" customHeight="1">
      <c r="G18654"/>
      <c r="I18654"/>
      <c r="N18654"/>
      <c r="O18654" s="24"/>
      <c r="P18654"/>
      <c r="Q18654" s="24"/>
      <c r="R18654"/>
      <c r="S18654"/>
      <c r="T18654"/>
      <c r="U18654"/>
      <c r="X18654" s="60"/>
    </row>
    <row r="18655" spans="7:24" ht="15" customHeight="1">
      <c r="G18655"/>
      <c r="I18655"/>
      <c r="N18655"/>
      <c r="O18655" s="24"/>
      <c r="P18655"/>
      <c r="Q18655" s="24"/>
      <c r="R18655"/>
      <c r="S18655"/>
      <c r="T18655"/>
      <c r="U18655"/>
      <c r="X18655" s="60"/>
    </row>
    <row r="18656" spans="7:24" ht="15" customHeight="1">
      <c r="G18656"/>
      <c r="I18656"/>
      <c r="N18656"/>
      <c r="O18656" s="24"/>
      <c r="P18656"/>
      <c r="Q18656" s="24"/>
      <c r="R18656"/>
      <c r="S18656"/>
      <c r="T18656"/>
      <c r="U18656"/>
      <c r="X18656" s="60"/>
    </row>
    <row r="18657" spans="7:24" ht="15" customHeight="1">
      <c r="G18657"/>
      <c r="I18657"/>
      <c r="N18657"/>
      <c r="O18657" s="24"/>
      <c r="P18657"/>
      <c r="Q18657" s="24"/>
      <c r="R18657"/>
      <c r="S18657"/>
      <c r="T18657"/>
      <c r="U18657"/>
      <c r="X18657" s="60"/>
    </row>
    <row r="18658" spans="7:24" ht="15" customHeight="1">
      <c r="G18658"/>
      <c r="I18658"/>
      <c r="N18658"/>
      <c r="O18658" s="24"/>
      <c r="P18658"/>
      <c r="Q18658" s="24"/>
      <c r="R18658"/>
      <c r="S18658"/>
      <c r="T18658"/>
      <c r="U18658"/>
      <c r="X18658" s="60"/>
    </row>
    <row r="18659" spans="7:24" ht="15" customHeight="1">
      <c r="G18659"/>
      <c r="I18659"/>
      <c r="N18659"/>
      <c r="O18659" s="24"/>
      <c r="P18659"/>
      <c r="Q18659" s="24"/>
      <c r="R18659"/>
      <c r="S18659"/>
      <c r="T18659"/>
      <c r="U18659"/>
      <c r="X18659" s="60"/>
    </row>
    <row r="18660" spans="7:24" ht="15" customHeight="1">
      <c r="G18660"/>
      <c r="I18660"/>
      <c r="N18660"/>
      <c r="O18660" s="24"/>
      <c r="P18660"/>
      <c r="Q18660" s="24"/>
      <c r="R18660"/>
      <c r="S18660"/>
      <c r="T18660"/>
      <c r="U18660"/>
      <c r="X18660" s="60"/>
    </row>
    <row r="18661" spans="7:24" ht="15" customHeight="1">
      <c r="G18661"/>
      <c r="I18661"/>
      <c r="N18661"/>
      <c r="O18661" s="24"/>
      <c r="P18661"/>
      <c r="Q18661" s="24"/>
      <c r="R18661"/>
      <c r="S18661"/>
      <c r="T18661"/>
      <c r="U18661"/>
      <c r="X18661" s="60"/>
    </row>
    <row r="18662" spans="7:24" ht="15" customHeight="1">
      <c r="G18662"/>
      <c r="I18662"/>
      <c r="N18662"/>
      <c r="O18662" s="24"/>
      <c r="P18662"/>
      <c r="Q18662" s="24"/>
      <c r="R18662"/>
      <c r="S18662"/>
      <c r="T18662"/>
      <c r="U18662"/>
      <c r="X18662" s="60"/>
    </row>
    <row r="18663" spans="7:24" ht="15" customHeight="1">
      <c r="G18663"/>
      <c r="I18663"/>
      <c r="N18663"/>
      <c r="O18663" s="24"/>
      <c r="P18663"/>
      <c r="Q18663" s="24"/>
      <c r="R18663"/>
      <c r="S18663"/>
      <c r="T18663"/>
      <c r="U18663"/>
      <c r="X18663" s="60"/>
    </row>
    <row r="18664" spans="7:24" ht="15" customHeight="1">
      <c r="G18664"/>
      <c r="I18664"/>
      <c r="N18664"/>
      <c r="O18664" s="24"/>
      <c r="P18664"/>
      <c r="Q18664" s="24"/>
      <c r="R18664"/>
      <c r="S18664"/>
      <c r="T18664"/>
      <c r="U18664"/>
      <c r="X18664" s="60"/>
    </row>
    <row r="18665" spans="7:24" ht="15" customHeight="1">
      <c r="G18665"/>
      <c r="I18665"/>
      <c r="N18665"/>
      <c r="O18665" s="24"/>
      <c r="P18665"/>
      <c r="Q18665" s="24"/>
      <c r="R18665"/>
      <c r="S18665"/>
      <c r="T18665"/>
      <c r="U18665"/>
      <c r="X18665" s="60"/>
    </row>
    <row r="18666" spans="7:24" ht="15" customHeight="1">
      <c r="G18666"/>
      <c r="I18666"/>
      <c r="N18666"/>
      <c r="O18666" s="24"/>
      <c r="P18666"/>
      <c r="Q18666" s="24"/>
      <c r="R18666"/>
      <c r="S18666"/>
      <c r="T18666"/>
      <c r="U18666"/>
      <c r="X18666" s="60"/>
    </row>
    <row r="18667" spans="7:24" ht="15" customHeight="1">
      <c r="G18667"/>
      <c r="I18667"/>
      <c r="N18667"/>
      <c r="O18667" s="24"/>
      <c r="P18667"/>
      <c r="Q18667" s="24"/>
      <c r="R18667"/>
      <c r="S18667"/>
      <c r="T18667"/>
      <c r="U18667"/>
      <c r="X18667" s="60"/>
    </row>
    <row r="18668" spans="7:24" ht="15" customHeight="1">
      <c r="G18668"/>
      <c r="I18668"/>
      <c r="N18668"/>
      <c r="O18668" s="24"/>
      <c r="P18668"/>
      <c r="Q18668" s="24"/>
      <c r="R18668"/>
      <c r="S18668"/>
      <c r="T18668"/>
      <c r="U18668"/>
      <c r="X18668" s="60"/>
    </row>
    <row r="18669" spans="7:24" ht="15" customHeight="1">
      <c r="G18669"/>
      <c r="I18669"/>
      <c r="N18669"/>
      <c r="O18669" s="24"/>
      <c r="P18669"/>
      <c r="Q18669" s="24"/>
      <c r="R18669"/>
      <c r="S18669"/>
      <c r="T18669"/>
      <c r="U18669"/>
      <c r="X18669" s="60"/>
    </row>
    <row r="18670" spans="7:24" ht="15" customHeight="1">
      <c r="G18670"/>
      <c r="I18670"/>
      <c r="N18670"/>
      <c r="O18670" s="24"/>
      <c r="P18670"/>
      <c r="Q18670" s="24"/>
      <c r="R18670"/>
      <c r="S18670"/>
      <c r="T18670"/>
      <c r="U18670"/>
      <c r="X18670" s="60"/>
    </row>
    <row r="18671" spans="7:24" ht="15" customHeight="1">
      <c r="G18671"/>
      <c r="I18671"/>
      <c r="N18671"/>
      <c r="O18671" s="24"/>
      <c r="P18671"/>
      <c r="Q18671" s="24"/>
      <c r="R18671"/>
      <c r="S18671"/>
      <c r="T18671"/>
      <c r="U18671"/>
      <c r="X18671" s="60"/>
    </row>
    <row r="18672" spans="7:24" ht="15" customHeight="1">
      <c r="G18672"/>
      <c r="I18672"/>
      <c r="N18672"/>
      <c r="O18672" s="24"/>
      <c r="P18672"/>
      <c r="Q18672" s="24"/>
      <c r="R18672"/>
      <c r="S18672"/>
      <c r="T18672"/>
      <c r="U18672"/>
      <c r="X18672" s="60"/>
    </row>
    <row r="18673" spans="7:24" ht="15" customHeight="1">
      <c r="G18673"/>
      <c r="I18673"/>
      <c r="N18673"/>
      <c r="O18673" s="24"/>
      <c r="P18673"/>
      <c r="Q18673" s="24"/>
      <c r="R18673"/>
      <c r="S18673"/>
      <c r="T18673"/>
      <c r="U18673"/>
      <c r="X18673" s="60"/>
    </row>
    <row r="18674" spans="7:24" ht="15" customHeight="1">
      <c r="G18674"/>
      <c r="I18674"/>
      <c r="N18674"/>
      <c r="O18674" s="24"/>
      <c r="P18674"/>
      <c r="Q18674" s="24"/>
      <c r="R18674"/>
      <c r="S18674"/>
      <c r="T18674"/>
      <c r="U18674"/>
      <c r="X18674" s="60"/>
    </row>
    <row r="18675" spans="7:24" ht="15" customHeight="1">
      <c r="G18675"/>
      <c r="I18675"/>
      <c r="N18675"/>
      <c r="O18675" s="24"/>
      <c r="P18675"/>
      <c r="Q18675" s="24"/>
      <c r="R18675"/>
      <c r="S18675"/>
      <c r="T18675"/>
      <c r="U18675"/>
      <c r="X18675" s="60"/>
    </row>
    <row r="18676" spans="7:24" ht="15" customHeight="1">
      <c r="G18676"/>
      <c r="I18676"/>
      <c r="N18676"/>
      <c r="O18676" s="24"/>
      <c r="P18676"/>
      <c r="Q18676" s="24"/>
      <c r="R18676"/>
      <c r="S18676"/>
      <c r="T18676"/>
      <c r="U18676"/>
      <c r="X18676" s="60"/>
    </row>
    <row r="18677" spans="7:24" ht="15" customHeight="1">
      <c r="G18677"/>
      <c r="I18677"/>
      <c r="N18677"/>
      <c r="O18677" s="24"/>
      <c r="P18677"/>
      <c r="Q18677" s="24"/>
      <c r="R18677"/>
      <c r="S18677"/>
      <c r="T18677"/>
      <c r="U18677"/>
      <c r="X18677" s="60"/>
    </row>
    <row r="18678" spans="7:24" ht="15" customHeight="1">
      <c r="G18678"/>
      <c r="I18678"/>
      <c r="N18678"/>
      <c r="O18678" s="24"/>
      <c r="P18678"/>
      <c r="Q18678" s="24"/>
      <c r="R18678"/>
      <c r="S18678"/>
      <c r="T18678"/>
      <c r="U18678"/>
      <c r="X18678" s="60"/>
    </row>
    <row r="18679" spans="7:24" ht="15" customHeight="1">
      <c r="G18679"/>
      <c r="I18679"/>
      <c r="N18679"/>
      <c r="O18679" s="24"/>
      <c r="P18679"/>
      <c r="Q18679" s="24"/>
      <c r="R18679"/>
      <c r="S18679"/>
      <c r="T18679"/>
      <c r="U18679"/>
      <c r="X18679" s="60"/>
    </row>
    <row r="18680" spans="7:24" ht="15" customHeight="1">
      <c r="G18680"/>
      <c r="I18680"/>
      <c r="N18680"/>
      <c r="O18680" s="24"/>
      <c r="P18680"/>
      <c r="Q18680" s="24"/>
      <c r="R18680"/>
      <c r="S18680"/>
      <c r="T18680"/>
      <c r="U18680"/>
      <c r="X18680" s="60"/>
    </row>
    <row r="18681" spans="7:24" ht="15" customHeight="1">
      <c r="G18681"/>
      <c r="I18681"/>
      <c r="N18681"/>
      <c r="O18681" s="24"/>
      <c r="P18681"/>
      <c r="Q18681" s="24"/>
      <c r="R18681"/>
      <c r="S18681"/>
      <c r="T18681"/>
      <c r="U18681"/>
      <c r="X18681" s="60"/>
    </row>
    <row r="18682" spans="7:24" ht="15" customHeight="1">
      <c r="G18682"/>
      <c r="I18682"/>
      <c r="N18682"/>
      <c r="O18682" s="24"/>
      <c r="P18682"/>
      <c r="Q18682" s="24"/>
      <c r="R18682"/>
      <c r="S18682"/>
      <c r="T18682"/>
      <c r="U18682"/>
      <c r="X18682" s="60"/>
    </row>
    <row r="18683" spans="7:24" ht="15" customHeight="1">
      <c r="G18683"/>
      <c r="I18683"/>
      <c r="N18683"/>
      <c r="O18683" s="24"/>
      <c r="P18683"/>
      <c r="Q18683" s="24"/>
      <c r="R18683"/>
      <c r="S18683"/>
      <c r="T18683"/>
      <c r="U18683"/>
      <c r="X18683" s="60"/>
    </row>
    <row r="18684" spans="7:24" ht="15" customHeight="1">
      <c r="G18684"/>
      <c r="I18684"/>
      <c r="N18684"/>
      <c r="O18684" s="24"/>
      <c r="P18684"/>
      <c r="Q18684" s="24"/>
      <c r="R18684"/>
      <c r="S18684"/>
      <c r="T18684"/>
      <c r="U18684"/>
      <c r="X18684" s="60"/>
    </row>
    <row r="18685" spans="7:24" ht="15" customHeight="1">
      <c r="G18685"/>
      <c r="I18685"/>
      <c r="N18685"/>
      <c r="O18685" s="24"/>
      <c r="P18685"/>
      <c r="Q18685" s="24"/>
      <c r="R18685"/>
      <c r="S18685"/>
      <c r="T18685"/>
      <c r="U18685"/>
      <c r="X18685" s="60"/>
    </row>
    <row r="18686" spans="7:24" ht="15" customHeight="1">
      <c r="G18686"/>
      <c r="I18686"/>
      <c r="N18686"/>
      <c r="O18686" s="24"/>
      <c r="P18686"/>
      <c r="Q18686" s="24"/>
      <c r="R18686"/>
      <c r="S18686"/>
      <c r="T18686"/>
      <c r="U18686"/>
      <c r="X18686" s="60"/>
    </row>
    <row r="18687" spans="7:24" ht="15" customHeight="1">
      <c r="G18687"/>
      <c r="I18687"/>
      <c r="N18687"/>
      <c r="O18687" s="24"/>
      <c r="P18687"/>
      <c r="Q18687" s="24"/>
      <c r="R18687"/>
      <c r="S18687"/>
      <c r="T18687"/>
      <c r="U18687"/>
      <c r="X18687" s="60"/>
    </row>
    <row r="18688" spans="7:24" ht="15" customHeight="1">
      <c r="G18688"/>
      <c r="I18688"/>
      <c r="N18688"/>
      <c r="O18688" s="24"/>
      <c r="P18688"/>
      <c r="Q18688" s="24"/>
      <c r="R18688"/>
      <c r="S18688"/>
      <c r="T18688"/>
      <c r="U18688"/>
      <c r="X18688" s="60"/>
    </row>
    <row r="18689" spans="7:24" ht="15" customHeight="1">
      <c r="G18689"/>
      <c r="I18689"/>
      <c r="N18689"/>
      <c r="O18689" s="24"/>
      <c r="P18689"/>
      <c r="Q18689" s="24"/>
      <c r="R18689"/>
      <c r="S18689"/>
      <c r="T18689"/>
      <c r="U18689"/>
      <c r="X18689" s="60"/>
    </row>
    <row r="18690" spans="7:24" ht="15" customHeight="1">
      <c r="G18690"/>
      <c r="I18690"/>
      <c r="N18690"/>
      <c r="O18690" s="24"/>
      <c r="P18690"/>
      <c r="Q18690" s="24"/>
      <c r="R18690"/>
      <c r="S18690"/>
      <c r="T18690"/>
      <c r="U18690"/>
      <c r="X18690" s="60"/>
    </row>
    <row r="18691" spans="7:24" ht="15" customHeight="1">
      <c r="G18691"/>
      <c r="I18691"/>
      <c r="N18691"/>
      <c r="O18691" s="24"/>
      <c r="P18691"/>
      <c r="Q18691" s="24"/>
      <c r="R18691"/>
      <c r="S18691"/>
      <c r="T18691"/>
      <c r="U18691"/>
      <c r="X18691" s="60"/>
    </row>
    <row r="18692" spans="7:24" ht="15" customHeight="1">
      <c r="G18692"/>
      <c r="I18692"/>
      <c r="N18692"/>
      <c r="O18692" s="24"/>
      <c r="P18692"/>
      <c r="Q18692" s="24"/>
      <c r="R18692"/>
      <c r="S18692"/>
      <c r="T18692"/>
      <c r="U18692"/>
      <c r="X18692" s="60"/>
    </row>
    <row r="18693" spans="7:24" ht="15" customHeight="1">
      <c r="G18693"/>
      <c r="I18693"/>
      <c r="N18693"/>
      <c r="O18693" s="24"/>
      <c r="P18693"/>
      <c r="Q18693" s="24"/>
      <c r="R18693"/>
      <c r="S18693"/>
      <c r="T18693"/>
      <c r="U18693"/>
      <c r="X18693" s="60"/>
    </row>
    <row r="18694" spans="7:24" ht="15" customHeight="1">
      <c r="G18694"/>
      <c r="I18694"/>
      <c r="N18694"/>
      <c r="O18694" s="24"/>
      <c r="P18694"/>
      <c r="Q18694" s="24"/>
      <c r="R18694"/>
      <c r="S18694"/>
      <c r="T18694"/>
      <c r="U18694"/>
      <c r="X18694" s="60"/>
    </row>
    <row r="18695" spans="7:24" ht="15" customHeight="1">
      <c r="G18695"/>
      <c r="I18695"/>
      <c r="N18695"/>
      <c r="O18695" s="24"/>
      <c r="P18695"/>
      <c r="Q18695" s="24"/>
      <c r="R18695"/>
      <c r="S18695"/>
      <c r="T18695"/>
      <c r="U18695"/>
      <c r="X18695" s="60"/>
    </row>
    <row r="18696" spans="7:24" ht="15" customHeight="1">
      <c r="G18696"/>
      <c r="I18696"/>
      <c r="N18696"/>
      <c r="O18696" s="24"/>
      <c r="P18696"/>
      <c r="Q18696" s="24"/>
      <c r="R18696"/>
      <c r="S18696"/>
      <c r="T18696"/>
      <c r="U18696"/>
      <c r="X18696" s="60"/>
    </row>
    <row r="18697" spans="7:24" ht="15" customHeight="1">
      <c r="G18697"/>
      <c r="I18697"/>
      <c r="N18697"/>
      <c r="O18697" s="24"/>
      <c r="P18697"/>
      <c r="Q18697" s="24"/>
      <c r="R18697"/>
      <c r="S18697"/>
      <c r="T18697"/>
      <c r="U18697"/>
      <c r="X18697" s="60"/>
    </row>
    <row r="18698" spans="7:24" ht="15" customHeight="1">
      <c r="G18698"/>
      <c r="I18698"/>
      <c r="N18698"/>
      <c r="O18698" s="24"/>
      <c r="P18698"/>
      <c r="Q18698" s="24"/>
      <c r="R18698"/>
      <c r="S18698"/>
      <c r="T18698"/>
      <c r="U18698"/>
      <c r="X18698" s="60"/>
    </row>
    <row r="18699" spans="7:24" ht="15" customHeight="1">
      <c r="G18699"/>
      <c r="I18699"/>
      <c r="N18699"/>
      <c r="O18699" s="24"/>
      <c r="P18699"/>
      <c r="Q18699" s="24"/>
      <c r="R18699"/>
      <c r="S18699"/>
      <c r="T18699"/>
      <c r="U18699"/>
      <c r="X18699" s="60"/>
    </row>
    <row r="18700" spans="7:24" ht="15" customHeight="1">
      <c r="G18700"/>
      <c r="I18700"/>
      <c r="N18700"/>
      <c r="O18700" s="24"/>
      <c r="P18700"/>
      <c r="Q18700" s="24"/>
      <c r="R18700"/>
      <c r="S18700"/>
      <c r="T18700"/>
      <c r="U18700"/>
      <c r="X18700" s="60"/>
    </row>
    <row r="18701" spans="7:24" ht="15" customHeight="1">
      <c r="G18701"/>
      <c r="I18701"/>
      <c r="N18701"/>
      <c r="O18701" s="24"/>
      <c r="P18701"/>
      <c r="Q18701" s="24"/>
      <c r="R18701"/>
      <c r="S18701"/>
      <c r="T18701"/>
      <c r="U18701"/>
      <c r="X18701" s="60"/>
    </row>
    <row r="18702" spans="7:24" ht="15" customHeight="1">
      <c r="G18702"/>
      <c r="I18702"/>
      <c r="N18702"/>
      <c r="O18702" s="24"/>
      <c r="P18702"/>
      <c r="Q18702" s="24"/>
      <c r="R18702"/>
      <c r="S18702"/>
      <c r="T18702"/>
      <c r="U18702"/>
      <c r="X18702" s="60"/>
    </row>
    <row r="18703" spans="7:24" ht="15" customHeight="1">
      <c r="G18703"/>
      <c r="I18703"/>
      <c r="N18703"/>
      <c r="O18703" s="24"/>
      <c r="P18703"/>
      <c r="Q18703" s="24"/>
      <c r="R18703"/>
      <c r="S18703"/>
      <c r="T18703"/>
      <c r="U18703"/>
      <c r="X18703" s="60"/>
    </row>
    <row r="18704" spans="7:24" ht="15" customHeight="1">
      <c r="G18704"/>
      <c r="I18704"/>
      <c r="N18704"/>
      <c r="O18704" s="24"/>
      <c r="P18704"/>
      <c r="Q18704" s="24"/>
      <c r="R18704"/>
      <c r="S18704"/>
      <c r="T18704"/>
      <c r="U18704"/>
      <c r="X18704" s="60"/>
    </row>
    <row r="18705" spans="7:24" ht="15" customHeight="1">
      <c r="G18705"/>
      <c r="I18705"/>
      <c r="N18705"/>
      <c r="O18705" s="24"/>
      <c r="P18705"/>
      <c r="Q18705" s="24"/>
      <c r="R18705"/>
      <c r="S18705"/>
      <c r="T18705"/>
      <c r="U18705"/>
      <c r="X18705" s="60"/>
    </row>
    <row r="18706" spans="7:24" ht="15" customHeight="1">
      <c r="G18706"/>
      <c r="I18706"/>
      <c r="N18706"/>
      <c r="O18706" s="24"/>
      <c r="P18706"/>
      <c r="Q18706" s="24"/>
      <c r="R18706"/>
      <c r="S18706"/>
      <c r="T18706"/>
      <c r="U18706"/>
      <c r="X18706" s="60"/>
    </row>
    <row r="18707" spans="7:24" ht="15" customHeight="1">
      <c r="G18707"/>
      <c r="I18707"/>
      <c r="N18707"/>
      <c r="O18707" s="24"/>
      <c r="P18707"/>
      <c r="Q18707" s="24"/>
      <c r="R18707"/>
      <c r="S18707"/>
      <c r="T18707"/>
      <c r="U18707"/>
      <c r="X18707" s="60"/>
    </row>
    <row r="18708" spans="7:24" ht="15" customHeight="1">
      <c r="G18708"/>
      <c r="I18708"/>
      <c r="N18708"/>
      <c r="O18708" s="24"/>
      <c r="P18708"/>
      <c r="Q18708" s="24"/>
      <c r="R18708"/>
      <c r="S18708"/>
      <c r="T18708"/>
      <c r="U18708"/>
      <c r="X18708" s="60"/>
    </row>
    <row r="18709" spans="7:24" ht="15" customHeight="1">
      <c r="G18709"/>
      <c r="I18709"/>
      <c r="N18709"/>
      <c r="O18709" s="24"/>
      <c r="P18709"/>
      <c r="Q18709" s="24"/>
      <c r="R18709"/>
      <c r="S18709"/>
      <c r="T18709"/>
      <c r="U18709"/>
      <c r="X18709" s="60"/>
    </row>
    <row r="18710" spans="7:24" ht="15" customHeight="1">
      <c r="G18710"/>
      <c r="I18710"/>
      <c r="N18710"/>
      <c r="O18710" s="24"/>
      <c r="P18710"/>
      <c r="Q18710" s="24"/>
      <c r="R18710"/>
      <c r="S18710"/>
      <c r="T18710"/>
      <c r="U18710"/>
      <c r="X18710" s="60"/>
    </row>
    <row r="18711" spans="7:24" ht="15" customHeight="1">
      <c r="G18711"/>
      <c r="I18711"/>
      <c r="N18711"/>
      <c r="O18711" s="24"/>
      <c r="P18711"/>
      <c r="Q18711" s="24"/>
      <c r="R18711"/>
      <c r="S18711"/>
      <c r="T18711"/>
      <c r="U18711"/>
      <c r="X18711" s="60"/>
    </row>
    <row r="18712" spans="7:24" ht="15" customHeight="1">
      <c r="G18712"/>
      <c r="I18712"/>
      <c r="N18712"/>
      <c r="O18712" s="24"/>
      <c r="P18712"/>
      <c r="Q18712" s="24"/>
      <c r="R18712"/>
      <c r="S18712"/>
      <c r="T18712"/>
      <c r="U18712"/>
      <c r="X18712" s="60"/>
    </row>
    <row r="18713" spans="7:24" ht="15" customHeight="1">
      <c r="G18713"/>
      <c r="I18713"/>
      <c r="N18713"/>
      <c r="O18713" s="24"/>
      <c r="P18713"/>
      <c r="Q18713" s="24"/>
      <c r="R18713"/>
      <c r="S18713"/>
      <c r="T18713"/>
      <c r="U18713"/>
      <c r="X18713" s="60"/>
    </row>
    <row r="18714" spans="7:24" ht="15" customHeight="1">
      <c r="G18714"/>
      <c r="I18714"/>
      <c r="N18714"/>
      <c r="O18714" s="24"/>
      <c r="P18714"/>
      <c r="Q18714" s="24"/>
      <c r="R18714"/>
      <c r="S18714"/>
      <c r="T18714"/>
      <c r="U18714"/>
      <c r="X18714" s="60"/>
    </row>
    <row r="18715" spans="7:24" ht="15" customHeight="1">
      <c r="G18715"/>
      <c r="I18715"/>
      <c r="N18715"/>
      <c r="O18715" s="24"/>
      <c r="P18715"/>
      <c r="Q18715" s="24"/>
      <c r="R18715"/>
      <c r="S18715"/>
      <c r="T18715"/>
      <c r="U18715"/>
      <c r="X18715" s="60"/>
    </row>
    <row r="18716" spans="7:24" ht="15" customHeight="1">
      <c r="G18716"/>
      <c r="I18716"/>
      <c r="N18716"/>
      <c r="O18716" s="24"/>
      <c r="P18716"/>
      <c r="Q18716" s="24"/>
      <c r="R18716"/>
      <c r="S18716"/>
      <c r="T18716"/>
      <c r="U18716"/>
      <c r="X18716" s="60"/>
    </row>
    <row r="18717" spans="7:24" ht="15" customHeight="1">
      <c r="G18717"/>
      <c r="I18717"/>
      <c r="N18717"/>
      <c r="O18717" s="24"/>
      <c r="P18717"/>
      <c r="Q18717" s="24"/>
      <c r="R18717"/>
      <c r="S18717"/>
      <c r="T18717"/>
      <c r="U18717"/>
      <c r="X18717" s="60"/>
    </row>
    <row r="18718" spans="7:24" ht="15" customHeight="1">
      <c r="G18718"/>
      <c r="I18718"/>
      <c r="N18718"/>
      <c r="O18718" s="24"/>
      <c r="P18718"/>
      <c r="Q18718" s="24"/>
      <c r="R18718"/>
      <c r="S18718"/>
      <c r="T18718"/>
      <c r="U18718"/>
      <c r="X18718" s="60"/>
    </row>
    <row r="18719" spans="7:24" ht="15" customHeight="1">
      <c r="G18719"/>
      <c r="I18719"/>
      <c r="N18719"/>
      <c r="O18719" s="24"/>
      <c r="P18719"/>
      <c r="Q18719" s="24"/>
      <c r="R18719"/>
      <c r="S18719"/>
      <c r="T18719"/>
      <c r="U18719"/>
      <c r="X18719" s="60"/>
    </row>
    <row r="18720" spans="7:24" ht="15" customHeight="1">
      <c r="G18720"/>
      <c r="I18720"/>
      <c r="N18720"/>
      <c r="O18720" s="24"/>
      <c r="P18720"/>
      <c r="Q18720" s="24"/>
      <c r="R18720"/>
      <c r="S18720"/>
      <c r="T18720"/>
      <c r="U18720"/>
      <c r="X18720" s="60"/>
    </row>
    <row r="18721" spans="7:24" ht="15" customHeight="1">
      <c r="G18721"/>
      <c r="I18721"/>
      <c r="N18721"/>
      <c r="O18721" s="24"/>
      <c r="P18721"/>
      <c r="Q18721" s="24"/>
      <c r="R18721"/>
      <c r="S18721"/>
      <c r="T18721"/>
      <c r="U18721"/>
      <c r="X18721" s="60"/>
    </row>
    <row r="18722" spans="7:24" ht="15" customHeight="1">
      <c r="G18722"/>
      <c r="I18722"/>
      <c r="N18722"/>
      <c r="O18722" s="24"/>
      <c r="P18722"/>
      <c r="Q18722" s="24"/>
      <c r="R18722"/>
      <c r="S18722"/>
      <c r="T18722"/>
      <c r="U18722"/>
      <c r="X18722" s="60"/>
    </row>
    <row r="18723" spans="7:24" ht="15" customHeight="1">
      <c r="G18723"/>
      <c r="I18723"/>
      <c r="N18723"/>
      <c r="O18723" s="24"/>
      <c r="P18723"/>
      <c r="Q18723" s="24"/>
      <c r="R18723"/>
      <c r="S18723"/>
      <c r="T18723"/>
      <c r="U18723"/>
      <c r="X18723" s="60"/>
    </row>
    <row r="18724" spans="7:24" ht="15" customHeight="1">
      <c r="G18724"/>
      <c r="I18724"/>
      <c r="N18724"/>
      <c r="O18724" s="24"/>
      <c r="P18724"/>
      <c r="Q18724" s="24"/>
      <c r="R18724"/>
      <c r="S18724"/>
      <c r="T18724"/>
      <c r="U18724"/>
      <c r="X18724" s="60"/>
    </row>
    <row r="18725" spans="7:24" ht="15" customHeight="1">
      <c r="G18725"/>
      <c r="I18725"/>
      <c r="N18725"/>
      <c r="O18725" s="24"/>
      <c r="P18725"/>
      <c r="Q18725" s="24"/>
      <c r="R18725"/>
      <c r="S18725"/>
      <c r="T18725"/>
      <c r="U18725"/>
      <c r="X18725" s="60"/>
    </row>
    <row r="18726" spans="7:24" ht="15" customHeight="1">
      <c r="G18726"/>
      <c r="I18726"/>
      <c r="N18726"/>
      <c r="O18726" s="24"/>
      <c r="P18726"/>
      <c r="Q18726" s="24"/>
      <c r="R18726"/>
      <c r="S18726"/>
      <c r="T18726"/>
      <c r="U18726"/>
      <c r="X18726" s="60"/>
    </row>
    <row r="18727" spans="7:24" ht="15" customHeight="1">
      <c r="G18727"/>
      <c r="I18727"/>
      <c r="N18727"/>
      <c r="O18727" s="24"/>
      <c r="P18727"/>
      <c r="Q18727" s="24"/>
      <c r="R18727"/>
      <c r="S18727"/>
      <c r="T18727"/>
      <c r="U18727"/>
      <c r="X18727" s="60"/>
    </row>
    <row r="18728" spans="7:24" ht="15" customHeight="1">
      <c r="G18728"/>
      <c r="I18728"/>
      <c r="N18728"/>
      <c r="O18728" s="24"/>
      <c r="P18728"/>
      <c r="Q18728" s="24"/>
      <c r="R18728"/>
      <c r="S18728"/>
      <c r="T18728"/>
      <c r="U18728"/>
      <c r="X18728" s="60"/>
    </row>
    <row r="18729" spans="7:24" ht="15" customHeight="1">
      <c r="G18729"/>
      <c r="I18729"/>
      <c r="N18729"/>
      <c r="O18729" s="24"/>
      <c r="P18729"/>
      <c r="Q18729" s="24"/>
      <c r="R18729"/>
      <c r="S18729"/>
      <c r="T18729"/>
      <c r="U18729"/>
      <c r="X18729" s="60"/>
    </row>
    <row r="18730" spans="7:24" ht="15" customHeight="1">
      <c r="G18730"/>
      <c r="I18730"/>
      <c r="N18730"/>
      <c r="O18730" s="24"/>
      <c r="P18730"/>
      <c r="Q18730" s="24"/>
      <c r="R18730"/>
      <c r="S18730"/>
      <c r="T18730"/>
      <c r="U18730"/>
      <c r="X18730" s="60"/>
    </row>
    <row r="18731" spans="7:24" ht="15" customHeight="1">
      <c r="G18731"/>
      <c r="I18731"/>
      <c r="N18731"/>
      <c r="O18731" s="24"/>
      <c r="P18731"/>
      <c r="Q18731" s="24"/>
      <c r="R18731"/>
      <c r="S18731"/>
      <c r="T18731"/>
      <c r="U18731"/>
      <c r="X18731" s="60"/>
    </row>
    <row r="18732" spans="7:24" ht="15" customHeight="1">
      <c r="G18732"/>
      <c r="I18732"/>
      <c r="N18732"/>
      <c r="O18732" s="24"/>
      <c r="P18732"/>
      <c r="Q18732" s="24"/>
      <c r="R18732"/>
      <c r="S18732"/>
      <c r="T18732"/>
      <c r="U18732"/>
      <c r="X18732" s="60"/>
    </row>
    <row r="18733" spans="7:24" ht="15" customHeight="1">
      <c r="G18733"/>
      <c r="I18733"/>
      <c r="N18733"/>
      <c r="O18733" s="24"/>
      <c r="P18733"/>
      <c r="Q18733" s="24"/>
      <c r="R18733"/>
      <c r="S18733"/>
      <c r="T18733"/>
      <c r="U18733"/>
      <c r="X18733" s="60"/>
    </row>
    <row r="18734" spans="7:24" ht="15" customHeight="1">
      <c r="G18734"/>
      <c r="I18734"/>
      <c r="N18734"/>
      <c r="O18734" s="24"/>
      <c r="P18734"/>
      <c r="Q18734" s="24"/>
      <c r="R18734"/>
      <c r="S18734"/>
      <c r="T18734"/>
      <c r="U18734"/>
      <c r="X18734" s="60"/>
    </row>
    <row r="18735" spans="7:24" ht="15" customHeight="1">
      <c r="G18735"/>
      <c r="I18735"/>
      <c r="N18735"/>
      <c r="O18735" s="24"/>
      <c r="P18735"/>
      <c r="Q18735" s="24"/>
      <c r="R18735"/>
      <c r="S18735"/>
      <c r="T18735"/>
      <c r="U18735"/>
      <c r="X18735" s="60"/>
    </row>
    <row r="18736" spans="7:24" ht="15" customHeight="1">
      <c r="G18736"/>
      <c r="I18736"/>
      <c r="N18736"/>
      <c r="O18736" s="24"/>
      <c r="P18736"/>
      <c r="Q18736" s="24"/>
      <c r="R18736"/>
      <c r="S18736"/>
      <c r="T18736"/>
      <c r="U18736"/>
      <c r="X18736" s="60"/>
    </row>
    <row r="18737" spans="7:24" ht="15" customHeight="1">
      <c r="G18737"/>
      <c r="I18737"/>
      <c r="N18737"/>
      <c r="O18737" s="24"/>
      <c r="P18737"/>
      <c r="Q18737" s="24"/>
      <c r="R18737"/>
      <c r="S18737"/>
      <c r="T18737"/>
      <c r="U18737"/>
      <c r="X18737" s="60"/>
    </row>
    <row r="18738" spans="7:24" ht="15" customHeight="1">
      <c r="G18738"/>
      <c r="I18738"/>
      <c r="N18738"/>
      <c r="O18738" s="24"/>
      <c r="P18738"/>
      <c r="Q18738" s="24"/>
      <c r="R18738"/>
      <c r="S18738"/>
      <c r="T18738"/>
      <c r="U18738"/>
      <c r="X18738" s="60"/>
    </row>
    <row r="18739" spans="7:24" ht="15" customHeight="1">
      <c r="G18739"/>
      <c r="I18739"/>
      <c r="N18739"/>
      <c r="O18739" s="24"/>
      <c r="P18739"/>
      <c r="Q18739" s="24"/>
      <c r="R18739"/>
      <c r="S18739"/>
      <c r="T18739"/>
      <c r="U18739"/>
      <c r="X18739" s="60"/>
    </row>
    <row r="18740" spans="7:24" ht="15" customHeight="1">
      <c r="G18740"/>
      <c r="I18740"/>
      <c r="N18740"/>
      <c r="O18740" s="24"/>
      <c r="P18740"/>
      <c r="Q18740" s="24"/>
      <c r="R18740"/>
      <c r="S18740"/>
      <c r="T18740"/>
      <c r="U18740"/>
      <c r="X18740" s="60"/>
    </row>
    <row r="18741" spans="7:24" ht="15" customHeight="1">
      <c r="G18741"/>
      <c r="I18741"/>
      <c r="N18741"/>
      <c r="O18741" s="24"/>
      <c r="P18741"/>
      <c r="Q18741" s="24"/>
      <c r="R18741"/>
      <c r="S18741"/>
      <c r="T18741"/>
      <c r="U18741"/>
      <c r="X18741" s="60"/>
    </row>
    <row r="18742" spans="7:24" ht="15" customHeight="1">
      <c r="G18742"/>
      <c r="I18742"/>
      <c r="N18742"/>
      <c r="O18742" s="24"/>
      <c r="P18742"/>
      <c r="Q18742" s="24"/>
      <c r="R18742"/>
      <c r="S18742"/>
      <c r="T18742"/>
      <c r="U18742"/>
      <c r="X18742" s="60"/>
    </row>
    <row r="18743" spans="7:24" ht="15" customHeight="1">
      <c r="G18743"/>
      <c r="I18743"/>
      <c r="N18743"/>
      <c r="O18743" s="24"/>
      <c r="P18743"/>
      <c r="Q18743" s="24"/>
      <c r="R18743"/>
      <c r="S18743"/>
      <c r="T18743"/>
      <c r="U18743"/>
      <c r="X18743" s="60"/>
    </row>
    <row r="18744" spans="7:24" ht="15" customHeight="1">
      <c r="G18744"/>
      <c r="I18744"/>
      <c r="N18744"/>
      <c r="O18744" s="24"/>
      <c r="P18744"/>
      <c r="Q18744" s="24"/>
      <c r="R18744"/>
      <c r="S18744"/>
      <c r="T18744"/>
      <c r="U18744"/>
      <c r="X18744" s="60"/>
    </row>
    <row r="18745" spans="7:24" ht="15" customHeight="1">
      <c r="G18745"/>
      <c r="I18745"/>
      <c r="N18745"/>
      <c r="O18745" s="24"/>
      <c r="P18745"/>
      <c r="Q18745" s="24"/>
      <c r="R18745"/>
      <c r="S18745"/>
      <c r="T18745"/>
      <c r="U18745"/>
      <c r="X18745" s="60"/>
    </row>
    <row r="18746" spans="7:24" ht="15" customHeight="1">
      <c r="G18746"/>
      <c r="I18746"/>
      <c r="N18746"/>
      <c r="O18746" s="24"/>
      <c r="P18746"/>
      <c r="Q18746" s="24"/>
      <c r="R18746"/>
      <c r="S18746"/>
      <c r="T18746"/>
      <c r="U18746"/>
      <c r="X18746" s="60"/>
    </row>
    <row r="18747" spans="7:24" ht="15" customHeight="1">
      <c r="G18747"/>
      <c r="I18747"/>
      <c r="N18747"/>
      <c r="O18747" s="24"/>
      <c r="P18747"/>
      <c r="Q18747" s="24"/>
      <c r="R18747"/>
      <c r="S18747"/>
      <c r="T18747"/>
      <c r="U18747"/>
      <c r="X18747" s="60"/>
    </row>
    <row r="18748" spans="7:24" ht="15" customHeight="1">
      <c r="G18748"/>
      <c r="I18748"/>
      <c r="N18748"/>
      <c r="O18748" s="24"/>
      <c r="P18748"/>
      <c r="Q18748" s="24"/>
      <c r="R18748"/>
      <c r="S18748"/>
      <c r="T18748"/>
      <c r="U18748"/>
      <c r="X18748" s="60"/>
    </row>
    <row r="18749" spans="7:24" ht="15" customHeight="1">
      <c r="G18749"/>
      <c r="I18749"/>
      <c r="N18749"/>
      <c r="O18749" s="24"/>
      <c r="P18749"/>
      <c r="Q18749" s="24"/>
      <c r="R18749"/>
      <c r="S18749"/>
      <c r="T18749"/>
      <c r="U18749"/>
      <c r="X18749" s="60"/>
    </row>
    <row r="18750" spans="7:24" ht="15" customHeight="1">
      <c r="G18750"/>
      <c r="I18750"/>
      <c r="N18750"/>
      <c r="O18750" s="24"/>
      <c r="P18750"/>
      <c r="Q18750" s="24"/>
      <c r="R18750"/>
      <c r="S18750"/>
      <c r="T18750"/>
      <c r="U18750"/>
      <c r="X18750" s="60"/>
    </row>
    <row r="18751" spans="7:24" ht="15" customHeight="1">
      <c r="G18751"/>
      <c r="I18751"/>
      <c r="N18751"/>
      <c r="O18751" s="24"/>
      <c r="P18751"/>
      <c r="Q18751" s="24"/>
      <c r="R18751"/>
      <c r="S18751"/>
      <c r="T18751"/>
      <c r="U18751"/>
      <c r="X18751" s="60"/>
    </row>
    <row r="18752" spans="7:24" ht="15" customHeight="1">
      <c r="G18752"/>
      <c r="I18752"/>
      <c r="N18752"/>
      <c r="O18752" s="24"/>
      <c r="P18752"/>
      <c r="Q18752" s="24"/>
      <c r="R18752"/>
      <c r="S18752"/>
      <c r="T18752"/>
      <c r="U18752"/>
      <c r="X18752" s="60"/>
    </row>
    <row r="18753" spans="7:24" ht="15" customHeight="1">
      <c r="G18753"/>
      <c r="I18753"/>
      <c r="N18753"/>
      <c r="O18753" s="24"/>
      <c r="P18753"/>
      <c r="Q18753" s="24"/>
      <c r="R18753"/>
      <c r="S18753"/>
      <c r="T18753"/>
      <c r="U18753"/>
      <c r="X18753" s="60"/>
    </row>
    <row r="18754" spans="7:24" ht="15" customHeight="1">
      <c r="G18754"/>
      <c r="I18754"/>
      <c r="N18754"/>
      <c r="O18754" s="24"/>
      <c r="P18754"/>
      <c r="Q18754" s="24"/>
      <c r="R18754"/>
      <c r="S18754"/>
      <c r="T18754"/>
      <c r="U18754"/>
      <c r="X18754" s="60"/>
    </row>
    <row r="18755" spans="7:24" ht="15" customHeight="1">
      <c r="G18755"/>
      <c r="I18755"/>
      <c r="N18755"/>
      <c r="O18755" s="24"/>
      <c r="P18755"/>
      <c r="Q18755" s="24"/>
      <c r="R18755"/>
      <c r="S18755"/>
      <c r="T18755"/>
      <c r="U18755"/>
      <c r="X18755" s="60"/>
    </row>
    <row r="18756" spans="7:24" ht="15" customHeight="1">
      <c r="G18756"/>
      <c r="I18756"/>
      <c r="N18756"/>
      <c r="O18756" s="24"/>
      <c r="P18756"/>
      <c r="Q18756" s="24"/>
      <c r="R18756"/>
      <c r="S18756"/>
      <c r="T18756"/>
      <c r="U18756"/>
      <c r="X18756" s="60"/>
    </row>
    <row r="18757" spans="7:24" ht="15" customHeight="1">
      <c r="G18757"/>
      <c r="I18757"/>
      <c r="N18757"/>
      <c r="O18757" s="24"/>
      <c r="P18757"/>
      <c r="Q18757" s="24"/>
      <c r="R18757"/>
      <c r="S18757"/>
      <c r="T18757"/>
      <c r="U18757"/>
      <c r="X18757" s="60"/>
    </row>
    <row r="18758" spans="7:24" ht="15" customHeight="1">
      <c r="G18758"/>
      <c r="I18758"/>
      <c r="N18758"/>
      <c r="O18758" s="24"/>
      <c r="P18758"/>
      <c r="Q18758" s="24"/>
      <c r="R18758"/>
      <c r="S18758"/>
      <c r="T18758"/>
      <c r="U18758"/>
      <c r="X18758" s="60"/>
    </row>
    <row r="18759" spans="7:24" ht="15" customHeight="1">
      <c r="G18759"/>
      <c r="I18759"/>
      <c r="N18759"/>
      <c r="O18759" s="24"/>
      <c r="P18759"/>
      <c r="Q18759" s="24"/>
      <c r="R18759"/>
      <c r="S18759"/>
      <c r="T18759"/>
      <c r="U18759"/>
      <c r="X18759" s="60"/>
    </row>
    <row r="18760" spans="7:24" ht="15" customHeight="1">
      <c r="G18760"/>
      <c r="I18760"/>
      <c r="N18760"/>
      <c r="O18760" s="24"/>
      <c r="P18760"/>
      <c r="Q18760" s="24"/>
      <c r="R18760"/>
      <c r="S18760"/>
      <c r="T18760"/>
      <c r="U18760"/>
      <c r="X18760" s="60"/>
    </row>
    <row r="18761" spans="7:24" ht="15" customHeight="1">
      <c r="G18761"/>
      <c r="I18761"/>
      <c r="N18761"/>
      <c r="O18761" s="24"/>
      <c r="P18761"/>
      <c r="Q18761" s="24"/>
      <c r="R18761"/>
      <c r="S18761"/>
      <c r="T18761"/>
      <c r="U18761"/>
      <c r="X18761" s="60"/>
    </row>
    <row r="18762" spans="7:24" ht="15" customHeight="1">
      <c r="G18762"/>
      <c r="I18762"/>
      <c r="N18762"/>
      <c r="O18762" s="24"/>
      <c r="P18762"/>
      <c r="Q18762" s="24"/>
      <c r="R18762"/>
      <c r="S18762"/>
      <c r="T18762"/>
      <c r="U18762"/>
      <c r="X18762" s="60"/>
    </row>
    <row r="18763" spans="7:24" ht="15" customHeight="1">
      <c r="G18763"/>
      <c r="I18763"/>
      <c r="N18763"/>
      <c r="O18763" s="24"/>
      <c r="P18763"/>
      <c r="Q18763" s="24"/>
      <c r="R18763"/>
      <c r="S18763"/>
      <c r="T18763"/>
      <c r="U18763"/>
      <c r="X18763" s="60"/>
    </row>
    <row r="18764" spans="7:24" ht="15" customHeight="1">
      <c r="G18764"/>
      <c r="I18764"/>
      <c r="N18764"/>
      <c r="O18764" s="24"/>
      <c r="P18764"/>
      <c r="Q18764" s="24"/>
      <c r="R18764"/>
      <c r="S18764"/>
      <c r="T18764"/>
      <c r="U18764"/>
      <c r="X18764" s="60"/>
    </row>
    <row r="18765" spans="7:24" ht="15" customHeight="1">
      <c r="G18765"/>
      <c r="I18765"/>
      <c r="N18765"/>
      <c r="O18765" s="24"/>
      <c r="P18765"/>
      <c r="Q18765" s="24"/>
      <c r="R18765"/>
      <c r="S18765"/>
      <c r="T18765"/>
      <c r="U18765"/>
      <c r="X18765" s="60"/>
    </row>
    <row r="18766" spans="7:24" ht="15" customHeight="1">
      <c r="G18766"/>
      <c r="I18766"/>
      <c r="N18766"/>
      <c r="O18766" s="24"/>
      <c r="P18766"/>
      <c r="Q18766" s="24"/>
      <c r="R18766"/>
      <c r="S18766"/>
      <c r="T18766"/>
      <c r="U18766"/>
      <c r="X18766" s="60"/>
    </row>
    <row r="18767" spans="7:24" ht="15" customHeight="1">
      <c r="G18767"/>
      <c r="I18767"/>
      <c r="N18767"/>
      <c r="O18767" s="24"/>
      <c r="P18767"/>
      <c r="Q18767" s="24"/>
      <c r="R18767"/>
      <c r="S18767"/>
      <c r="T18767"/>
      <c r="U18767"/>
      <c r="X18767" s="60"/>
    </row>
    <row r="18768" spans="7:24" ht="15" customHeight="1">
      <c r="G18768"/>
      <c r="I18768"/>
      <c r="N18768"/>
      <c r="O18768" s="24"/>
      <c r="P18768"/>
      <c r="Q18768" s="24"/>
      <c r="R18768"/>
      <c r="S18768"/>
      <c r="T18768"/>
      <c r="U18768"/>
      <c r="X18768" s="60"/>
    </row>
    <row r="18769" spans="7:24" ht="15" customHeight="1">
      <c r="G18769"/>
      <c r="I18769"/>
      <c r="N18769"/>
      <c r="O18769" s="24"/>
      <c r="P18769"/>
      <c r="Q18769" s="24"/>
      <c r="R18769"/>
      <c r="S18769"/>
      <c r="T18769"/>
      <c r="U18769"/>
      <c r="X18769" s="60"/>
    </row>
    <row r="18770" spans="7:24" ht="15" customHeight="1">
      <c r="G18770"/>
      <c r="I18770"/>
      <c r="N18770"/>
      <c r="O18770" s="24"/>
      <c r="P18770"/>
      <c r="Q18770" s="24"/>
      <c r="R18770"/>
      <c r="S18770"/>
      <c r="T18770"/>
      <c r="U18770"/>
      <c r="X18770" s="60"/>
    </row>
    <row r="18771" spans="7:24" ht="15" customHeight="1">
      <c r="G18771"/>
      <c r="I18771"/>
      <c r="N18771"/>
      <c r="O18771" s="24"/>
      <c r="P18771"/>
      <c r="Q18771" s="24"/>
      <c r="R18771"/>
      <c r="S18771"/>
      <c r="T18771"/>
      <c r="U18771"/>
      <c r="X18771" s="60"/>
    </row>
    <row r="18772" spans="7:24" ht="15" customHeight="1">
      <c r="G18772"/>
      <c r="I18772"/>
      <c r="N18772"/>
      <c r="O18772" s="24"/>
      <c r="P18772"/>
      <c r="Q18772" s="24"/>
      <c r="R18772"/>
      <c r="S18772"/>
      <c r="T18772"/>
      <c r="U18772"/>
      <c r="X18772" s="60"/>
    </row>
    <row r="18773" spans="7:24" ht="15" customHeight="1">
      <c r="G18773"/>
      <c r="I18773"/>
      <c r="N18773"/>
      <c r="O18773" s="24"/>
      <c r="P18773"/>
      <c r="Q18773" s="24"/>
      <c r="R18773"/>
      <c r="S18773"/>
      <c r="T18773"/>
      <c r="U18773"/>
      <c r="X18773" s="60"/>
    </row>
    <row r="18774" spans="7:24" ht="15" customHeight="1">
      <c r="G18774"/>
      <c r="I18774"/>
      <c r="N18774"/>
      <c r="O18774" s="24"/>
      <c r="P18774"/>
      <c r="Q18774" s="24"/>
      <c r="R18774"/>
      <c r="S18774"/>
      <c r="T18774"/>
      <c r="U18774"/>
      <c r="X18774" s="60"/>
    </row>
    <row r="18775" spans="7:24" ht="15" customHeight="1">
      <c r="G18775"/>
      <c r="I18775"/>
      <c r="N18775"/>
      <c r="O18775" s="24"/>
      <c r="P18775"/>
      <c r="Q18775" s="24"/>
      <c r="R18775"/>
      <c r="S18775"/>
      <c r="T18775"/>
      <c r="U18775"/>
      <c r="X18775" s="60"/>
    </row>
    <row r="18776" spans="7:24" ht="15" customHeight="1">
      <c r="G18776"/>
      <c r="I18776"/>
      <c r="N18776"/>
      <c r="O18776" s="24"/>
      <c r="P18776"/>
      <c r="Q18776" s="24"/>
      <c r="R18776"/>
      <c r="S18776"/>
      <c r="T18776"/>
      <c r="U18776"/>
      <c r="X18776" s="60"/>
    </row>
    <row r="18777" spans="7:24" ht="15" customHeight="1">
      <c r="G18777"/>
      <c r="I18777"/>
      <c r="N18777"/>
      <c r="O18777" s="24"/>
      <c r="P18777"/>
      <c r="Q18777" s="24"/>
      <c r="R18777"/>
      <c r="S18777"/>
      <c r="T18777"/>
      <c r="U18777"/>
      <c r="X18777" s="60"/>
    </row>
    <row r="18778" spans="7:24" ht="15" customHeight="1">
      <c r="G18778"/>
      <c r="I18778"/>
      <c r="N18778"/>
      <c r="O18778" s="24"/>
      <c r="P18778"/>
      <c r="Q18778" s="24"/>
      <c r="R18778"/>
      <c r="S18778"/>
      <c r="T18778"/>
      <c r="U18778"/>
      <c r="X18778" s="60"/>
    </row>
    <row r="18779" spans="7:24" ht="15" customHeight="1">
      <c r="G18779"/>
      <c r="I18779"/>
      <c r="N18779"/>
      <c r="O18779" s="24"/>
      <c r="P18779"/>
      <c r="Q18779" s="24"/>
      <c r="R18779"/>
      <c r="S18779"/>
      <c r="T18779"/>
      <c r="U18779"/>
      <c r="X18779" s="60"/>
    </row>
    <row r="18780" spans="7:24" ht="15" customHeight="1">
      <c r="G18780"/>
      <c r="I18780"/>
      <c r="N18780"/>
      <c r="O18780" s="24"/>
      <c r="P18780"/>
      <c r="Q18780" s="24"/>
      <c r="R18780"/>
      <c r="S18780"/>
      <c r="T18780"/>
      <c r="U18780"/>
      <c r="X18780" s="60"/>
    </row>
    <row r="18781" spans="7:24" ht="15" customHeight="1">
      <c r="G18781"/>
      <c r="I18781"/>
      <c r="N18781"/>
      <c r="O18781" s="24"/>
      <c r="P18781"/>
      <c r="Q18781" s="24"/>
      <c r="R18781"/>
      <c r="S18781"/>
      <c r="T18781"/>
      <c r="U18781"/>
      <c r="X18781" s="60"/>
    </row>
    <row r="18782" spans="7:24" ht="15" customHeight="1">
      <c r="G18782"/>
      <c r="I18782"/>
      <c r="N18782"/>
      <c r="O18782" s="24"/>
      <c r="P18782"/>
      <c r="Q18782" s="24"/>
      <c r="R18782"/>
      <c r="S18782"/>
      <c r="T18782"/>
      <c r="U18782"/>
      <c r="X18782" s="60"/>
    </row>
    <row r="18783" spans="7:24" ht="15" customHeight="1">
      <c r="G18783"/>
      <c r="I18783"/>
      <c r="N18783"/>
      <c r="O18783" s="24"/>
      <c r="P18783"/>
      <c r="Q18783" s="24"/>
      <c r="R18783"/>
      <c r="S18783"/>
      <c r="T18783"/>
      <c r="U18783"/>
      <c r="X18783" s="60"/>
    </row>
    <row r="18784" spans="7:24" ht="15" customHeight="1">
      <c r="G18784"/>
      <c r="I18784"/>
      <c r="N18784"/>
      <c r="O18784" s="24"/>
      <c r="P18784"/>
      <c r="Q18784" s="24"/>
      <c r="R18784"/>
      <c r="S18784"/>
      <c r="T18784"/>
      <c r="U18784"/>
      <c r="X18784" s="60"/>
    </row>
    <row r="18785" spans="7:24" ht="15" customHeight="1">
      <c r="G18785"/>
      <c r="I18785"/>
      <c r="N18785"/>
      <c r="O18785" s="24"/>
      <c r="P18785"/>
      <c r="Q18785" s="24"/>
      <c r="R18785"/>
      <c r="S18785"/>
      <c r="T18785"/>
      <c r="U18785"/>
      <c r="X18785" s="60"/>
    </row>
    <row r="18786" spans="7:24" ht="15" customHeight="1">
      <c r="G18786"/>
      <c r="I18786"/>
      <c r="N18786"/>
      <c r="O18786" s="24"/>
      <c r="P18786"/>
      <c r="Q18786" s="24"/>
      <c r="R18786"/>
      <c r="S18786"/>
      <c r="T18786"/>
      <c r="U18786"/>
      <c r="X18786" s="60"/>
    </row>
    <row r="18787" spans="7:24" ht="15" customHeight="1">
      <c r="G18787"/>
      <c r="I18787"/>
      <c r="N18787"/>
      <c r="O18787" s="24"/>
      <c r="P18787"/>
      <c r="Q18787" s="24"/>
      <c r="R18787"/>
      <c r="S18787"/>
      <c r="T18787"/>
      <c r="U18787"/>
      <c r="X18787" s="60"/>
    </row>
    <row r="18788" spans="7:24" ht="15" customHeight="1">
      <c r="G18788"/>
      <c r="I18788"/>
      <c r="N18788"/>
      <c r="O18788" s="24"/>
      <c r="P18788"/>
      <c r="Q18788" s="24"/>
      <c r="R18788"/>
      <c r="S18788"/>
      <c r="T18788"/>
      <c r="U18788"/>
      <c r="X18788" s="60"/>
    </row>
    <row r="18789" spans="7:24" ht="15" customHeight="1">
      <c r="G18789"/>
      <c r="I18789"/>
      <c r="N18789"/>
      <c r="O18789" s="24"/>
      <c r="P18789"/>
      <c r="Q18789" s="24"/>
      <c r="R18789"/>
      <c r="S18789"/>
      <c r="T18789"/>
      <c r="U18789"/>
      <c r="X18789" s="60"/>
    </row>
    <row r="18790" spans="7:24" ht="15" customHeight="1">
      <c r="G18790"/>
      <c r="I18790"/>
      <c r="N18790"/>
      <c r="O18790" s="24"/>
      <c r="P18790"/>
      <c r="Q18790" s="24"/>
      <c r="R18790"/>
      <c r="S18790"/>
      <c r="T18790"/>
      <c r="U18790"/>
      <c r="X18790" s="60"/>
    </row>
    <row r="18791" spans="7:24" ht="15" customHeight="1">
      <c r="G18791"/>
      <c r="I18791"/>
      <c r="N18791"/>
      <c r="O18791" s="24"/>
      <c r="P18791"/>
      <c r="Q18791" s="24"/>
      <c r="R18791"/>
      <c r="S18791"/>
      <c r="T18791"/>
      <c r="U18791"/>
      <c r="X18791" s="60"/>
    </row>
    <row r="18792" spans="7:24" ht="15" customHeight="1">
      <c r="G18792"/>
      <c r="I18792"/>
      <c r="N18792"/>
      <c r="O18792" s="24"/>
      <c r="P18792"/>
      <c r="Q18792" s="24"/>
      <c r="R18792"/>
      <c r="S18792"/>
      <c r="T18792"/>
      <c r="U18792"/>
      <c r="X18792" s="60"/>
    </row>
    <row r="18793" spans="7:24" ht="15" customHeight="1">
      <c r="G18793"/>
      <c r="I18793"/>
      <c r="N18793"/>
      <c r="O18793" s="24"/>
      <c r="P18793"/>
      <c r="Q18793" s="24"/>
      <c r="R18793"/>
      <c r="S18793"/>
      <c r="T18793"/>
      <c r="U18793"/>
      <c r="X18793" s="60"/>
    </row>
    <row r="18794" spans="7:24" ht="15" customHeight="1">
      <c r="G18794"/>
      <c r="I18794"/>
      <c r="N18794"/>
      <c r="O18794" s="24"/>
      <c r="P18794"/>
      <c r="Q18794" s="24"/>
      <c r="R18794"/>
      <c r="S18794"/>
      <c r="T18794"/>
      <c r="U18794"/>
      <c r="X18794" s="60"/>
    </row>
    <row r="18795" spans="7:24" ht="15" customHeight="1">
      <c r="G18795"/>
      <c r="I18795"/>
      <c r="N18795"/>
      <c r="O18795" s="24"/>
      <c r="P18795"/>
      <c r="Q18795" s="24"/>
      <c r="R18795"/>
      <c r="S18795"/>
      <c r="T18795"/>
      <c r="U18795"/>
      <c r="X18795" s="60"/>
    </row>
    <row r="18796" spans="7:24" ht="15" customHeight="1">
      <c r="G18796"/>
      <c r="I18796"/>
      <c r="N18796"/>
      <c r="O18796" s="24"/>
      <c r="P18796"/>
      <c r="Q18796" s="24"/>
      <c r="R18796"/>
      <c r="S18796"/>
      <c r="T18796"/>
      <c r="U18796"/>
      <c r="X18796" s="60"/>
    </row>
    <row r="18797" spans="7:24" ht="15" customHeight="1">
      <c r="G18797"/>
      <c r="I18797"/>
      <c r="N18797"/>
      <c r="O18797" s="24"/>
      <c r="P18797"/>
      <c r="Q18797" s="24"/>
      <c r="R18797"/>
      <c r="S18797"/>
      <c r="T18797"/>
      <c r="U18797"/>
      <c r="X18797" s="60"/>
    </row>
    <row r="18798" spans="7:24" ht="15" customHeight="1">
      <c r="G18798"/>
      <c r="I18798"/>
      <c r="N18798"/>
      <c r="O18798" s="24"/>
      <c r="P18798"/>
      <c r="Q18798" s="24"/>
      <c r="R18798"/>
      <c r="S18798"/>
      <c r="T18798"/>
      <c r="U18798"/>
      <c r="X18798" s="60"/>
    </row>
    <row r="18799" spans="7:24" ht="15" customHeight="1">
      <c r="G18799"/>
      <c r="I18799"/>
      <c r="N18799"/>
      <c r="O18799" s="24"/>
      <c r="P18799"/>
      <c r="Q18799" s="24"/>
      <c r="R18799"/>
      <c r="S18799"/>
      <c r="T18799"/>
      <c r="U18799"/>
      <c r="X18799" s="60"/>
    </row>
    <row r="18800" spans="7:24" ht="15" customHeight="1">
      <c r="G18800"/>
      <c r="I18800"/>
      <c r="N18800"/>
      <c r="O18800" s="24"/>
      <c r="P18800"/>
      <c r="Q18800" s="24"/>
      <c r="R18800"/>
      <c r="S18800"/>
      <c r="T18800"/>
      <c r="U18800"/>
      <c r="X18800" s="60"/>
    </row>
    <row r="18801" spans="7:24" ht="15" customHeight="1">
      <c r="G18801"/>
      <c r="I18801"/>
      <c r="N18801"/>
      <c r="O18801" s="24"/>
      <c r="P18801"/>
      <c r="Q18801" s="24"/>
      <c r="R18801"/>
      <c r="S18801"/>
      <c r="T18801"/>
      <c r="U18801"/>
      <c r="X18801" s="60"/>
    </row>
    <row r="18802" spans="7:24" ht="15" customHeight="1">
      <c r="G18802"/>
      <c r="I18802"/>
      <c r="N18802"/>
      <c r="O18802" s="24"/>
      <c r="P18802"/>
      <c r="Q18802" s="24"/>
      <c r="R18802"/>
      <c r="S18802"/>
      <c r="T18802"/>
      <c r="U18802"/>
      <c r="X18802" s="60"/>
    </row>
    <row r="18803" spans="7:24" ht="15" customHeight="1">
      <c r="G18803"/>
      <c r="I18803"/>
      <c r="N18803"/>
      <c r="O18803" s="24"/>
      <c r="P18803"/>
      <c r="Q18803" s="24"/>
      <c r="R18803"/>
      <c r="S18803"/>
      <c r="T18803"/>
      <c r="U18803"/>
      <c r="X18803" s="60"/>
    </row>
    <row r="18804" spans="7:24" ht="15" customHeight="1">
      <c r="G18804"/>
      <c r="I18804"/>
      <c r="N18804"/>
      <c r="O18804" s="24"/>
      <c r="P18804"/>
      <c r="Q18804" s="24"/>
      <c r="R18804"/>
      <c r="S18804"/>
      <c r="T18804"/>
      <c r="U18804"/>
      <c r="X18804" s="60"/>
    </row>
    <row r="18805" spans="7:24" ht="15" customHeight="1">
      <c r="G18805"/>
      <c r="I18805"/>
      <c r="N18805"/>
      <c r="O18805" s="24"/>
      <c r="P18805"/>
      <c r="Q18805" s="24"/>
      <c r="R18805"/>
      <c r="S18805"/>
      <c r="T18805"/>
      <c r="U18805"/>
      <c r="X18805" s="60"/>
    </row>
    <row r="18806" spans="7:24" ht="15" customHeight="1">
      <c r="G18806"/>
      <c r="I18806"/>
      <c r="N18806"/>
      <c r="O18806" s="24"/>
      <c r="P18806"/>
      <c r="Q18806" s="24"/>
      <c r="R18806"/>
      <c r="S18806"/>
      <c r="T18806"/>
      <c r="U18806"/>
      <c r="X18806" s="60"/>
    </row>
    <row r="18807" spans="7:24" ht="15" customHeight="1">
      <c r="G18807"/>
      <c r="I18807"/>
      <c r="N18807"/>
      <c r="O18807" s="24"/>
      <c r="P18807"/>
      <c r="Q18807" s="24"/>
      <c r="R18807"/>
      <c r="S18807"/>
      <c r="T18807"/>
      <c r="U18807"/>
      <c r="X18807" s="60"/>
    </row>
    <row r="18808" spans="7:24" ht="15" customHeight="1">
      <c r="G18808"/>
      <c r="I18808"/>
      <c r="N18808"/>
      <c r="O18808" s="24"/>
      <c r="P18808"/>
      <c r="Q18808" s="24"/>
      <c r="R18808"/>
      <c r="S18808"/>
      <c r="T18808"/>
      <c r="U18808"/>
      <c r="X18808" s="60"/>
    </row>
    <row r="18809" spans="7:24" ht="15" customHeight="1">
      <c r="G18809"/>
      <c r="I18809"/>
      <c r="N18809"/>
      <c r="O18809" s="24"/>
      <c r="P18809"/>
      <c r="Q18809" s="24"/>
      <c r="R18809"/>
      <c r="S18809"/>
      <c r="T18809"/>
      <c r="U18809"/>
      <c r="X18809" s="60"/>
    </row>
    <row r="18810" spans="7:24" ht="15" customHeight="1">
      <c r="G18810"/>
      <c r="I18810"/>
      <c r="N18810"/>
      <c r="O18810" s="24"/>
      <c r="P18810"/>
      <c r="Q18810" s="24"/>
      <c r="R18810"/>
      <c r="S18810"/>
      <c r="T18810"/>
      <c r="U18810"/>
      <c r="X18810" s="60"/>
    </row>
    <row r="18811" spans="7:24" ht="15" customHeight="1">
      <c r="G18811"/>
      <c r="I18811"/>
      <c r="N18811"/>
      <c r="O18811" s="24"/>
      <c r="P18811"/>
      <c r="Q18811" s="24"/>
      <c r="R18811"/>
      <c r="S18811"/>
      <c r="T18811"/>
      <c r="U18811"/>
      <c r="X18811" s="60"/>
    </row>
    <row r="18812" spans="7:24" ht="15" customHeight="1">
      <c r="G18812"/>
      <c r="I18812"/>
      <c r="N18812"/>
      <c r="O18812" s="24"/>
      <c r="P18812"/>
      <c r="Q18812" s="24"/>
      <c r="R18812"/>
      <c r="S18812"/>
      <c r="T18812"/>
      <c r="U18812"/>
      <c r="X18812" s="60"/>
    </row>
    <row r="18813" spans="7:24" ht="15" customHeight="1">
      <c r="G18813"/>
      <c r="I18813"/>
      <c r="N18813"/>
      <c r="O18813" s="24"/>
      <c r="P18813"/>
      <c r="Q18813" s="24"/>
      <c r="R18813"/>
      <c r="S18813"/>
      <c r="T18813"/>
      <c r="U18813"/>
      <c r="X18813" s="60"/>
    </row>
    <row r="18814" spans="7:24" ht="15" customHeight="1">
      <c r="G18814"/>
      <c r="I18814"/>
      <c r="N18814"/>
      <c r="O18814" s="24"/>
      <c r="P18814"/>
      <c r="Q18814" s="24"/>
      <c r="R18814"/>
      <c r="S18814"/>
      <c r="T18814"/>
      <c r="U18814"/>
      <c r="X18814" s="60"/>
    </row>
    <row r="18815" spans="7:24" ht="15" customHeight="1">
      <c r="G18815"/>
      <c r="I18815"/>
      <c r="N18815"/>
      <c r="O18815" s="24"/>
      <c r="P18815"/>
      <c r="Q18815" s="24"/>
      <c r="R18815"/>
      <c r="S18815"/>
      <c r="T18815"/>
      <c r="U18815"/>
      <c r="X18815" s="60"/>
    </row>
    <row r="18816" spans="7:24" ht="15" customHeight="1">
      <c r="G18816"/>
      <c r="I18816"/>
      <c r="N18816"/>
      <c r="O18816" s="24"/>
      <c r="P18816"/>
      <c r="Q18816" s="24"/>
      <c r="R18816"/>
      <c r="S18816"/>
      <c r="T18816"/>
      <c r="U18816"/>
      <c r="X18816" s="60"/>
    </row>
    <row r="18817" spans="7:24" ht="15" customHeight="1">
      <c r="G18817"/>
      <c r="I18817"/>
      <c r="N18817"/>
      <c r="O18817" s="24"/>
      <c r="P18817"/>
      <c r="Q18817" s="24"/>
      <c r="R18817"/>
      <c r="S18817"/>
      <c r="T18817"/>
      <c r="U18817"/>
      <c r="X18817" s="60"/>
    </row>
    <row r="18818" spans="7:24" ht="15" customHeight="1">
      <c r="G18818"/>
      <c r="I18818"/>
      <c r="N18818"/>
      <c r="O18818" s="24"/>
      <c r="P18818"/>
      <c r="Q18818" s="24"/>
      <c r="R18818"/>
      <c r="S18818"/>
      <c r="T18818"/>
      <c r="U18818"/>
      <c r="X18818" s="60"/>
    </row>
    <row r="18819" spans="7:24" ht="15" customHeight="1">
      <c r="G18819"/>
      <c r="I18819"/>
      <c r="N18819"/>
      <c r="O18819" s="24"/>
      <c r="P18819"/>
      <c r="Q18819" s="24"/>
      <c r="R18819"/>
      <c r="S18819"/>
      <c r="T18819"/>
      <c r="U18819"/>
      <c r="X18819" s="60"/>
    </row>
    <row r="18820" spans="7:24" ht="15" customHeight="1">
      <c r="G18820"/>
      <c r="I18820"/>
      <c r="N18820"/>
      <c r="O18820" s="24"/>
      <c r="P18820"/>
      <c r="Q18820" s="24"/>
      <c r="R18820"/>
      <c r="S18820"/>
      <c r="T18820"/>
      <c r="U18820"/>
      <c r="X18820" s="60"/>
    </row>
    <row r="18821" spans="7:24" ht="15" customHeight="1">
      <c r="G18821"/>
      <c r="I18821"/>
      <c r="N18821"/>
      <c r="O18821" s="24"/>
      <c r="P18821"/>
      <c r="Q18821" s="24"/>
      <c r="R18821"/>
      <c r="S18821"/>
      <c r="T18821"/>
      <c r="U18821"/>
      <c r="X18821" s="60"/>
    </row>
    <row r="18822" spans="7:24" ht="15" customHeight="1">
      <c r="G18822"/>
      <c r="I18822"/>
      <c r="N18822"/>
      <c r="O18822" s="24"/>
      <c r="P18822"/>
      <c r="Q18822" s="24"/>
      <c r="R18822"/>
      <c r="S18822"/>
      <c r="T18822"/>
      <c r="U18822"/>
      <c r="X18822" s="60"/>
    </row>
    <row r="18823" spans="7:24" ht="15" customHeight="1">
      <c r="G18823"/>
      <c r="I18823"/>
      <c r="N18823"/>
      <c r="O18823" s="24"/>
      <c r="P18823"/>
      <c r="Q18823" s="24"/>
      <c r="R18823"/>
      <c r="S18823"/>
      <c r="T18823"/>
      <c r="U18823"/>
      <c r="X18823" s="60"/>
    </row>
    <row r="18824" spans="7:24" ht="15" customHeight="1">
      <c r="G18824"/>
      <c r="I18824"/>
      <c r="N18824"/>
      <c r="O18824" s="24"/>
      <c r="P18824"/>
      <c r="Q18824" s="24"/>
      <c r="R18824"/>
      <c r="S18824"/>
      <c r="T18824"/>
      <c r="U18824"/>
      <c r="X18824" s="60"/>
    </row>
    <row r="18825" spans="7:24" ht="15" customHeight="1">
      <c r="G18825"/>
      <c r="I18825"/>
      <c r="N18825"/>
      <c r="O18825" s="24"/>
      <c r="P18825"/>
      <c r="Q18825" s="24"/>
      <c r="R18825"/>
      <c r="S18825"/>
      <c r="T18825"/>
      <c r="U18825"/>
      <c r="X18825" s="60"/>
    </row>
    <row r="18826" spans="7:24" ht="15" customHeight="1">
      <c r="G18826"/>
      <c r="I18826"/>
      <c r="N18826"/>
      <c r="O18826" s="24"/>
      <c r="P18826"/>
      <c r="Q18826" s="24"/>
      <c r="R18826"/>
      <c r="S18826"/>
      <c r="T18826"/>
      <c r="U18826"/>
      <c r="X18826" s="60"/>
    </row>
    <row r="18827" spans="7:24" ht="15" customHeight="1">
      <c r="G18827"/>
      <c r="I18827"/>
      <c r="N18827"/>
      <c r="O18827" s="24"/>
      <c r="P18827"/>
      <c r="Q18827" s="24"/>
      <c r="R18827"/>
      <c r="S18827"/>
      <c r="T18827"/>
      <c r="U18827"/>
      <c r="X18827" s="60"/>
    </row>
    <row r="18828" spans="7:24" ht="15" customHeight="1">
      <c r="G18828"/>
      <c r="I18828"/>
      <c r="N18828"/>
      <c r="O18828" s="24"/>
      <c r="P18828"/>
      <c r="Q18828" s="24"/>
      <c r="R18828"/>
      <c r="S18828"/>
      <c r="T18828"/>
      <c r="U18828"/>
      <c r="X18828" s="60"/>
    </row>
    <row r="18829" spans="7:24" ht="15" customHeight="1">
      <c r="G18829"/>
      <c r="I18829"/>
      <c r="N18829"/>
      <c r="O18829" s="24"/>
      <c r="P18829"/>
      <c r="Q18829" s="24"/>
      <c r="R18829"/>
      <c r="S18829"/>
      <c r="T18829"/>
      <c r="U18829"/>
      <c r="X18829" s="60"/>
    </row>
    <row r="18830" spans="7:24" ht="15" customHeight="1">
      <c r="G18830"/>
      <c r="I18830"/>
      <c r="N18830"/>
      <c r="O18830" s="24"/>
      <c r="P18830"/>
      <c r="Q18830" s="24"/>
      <c r="R18830"/>
      <c r="S18830"/>
      <c r="T18830"/>
      <c r="U18830"/>
      <c r="X18830" s="60"/>
    </row>
    <row r="18831" spans="7:24" ht="15" customHeight="1">
      <c r="G18831"/>
      <c r="I18831"/>
      <c r="N18831"/>
      <c r="O18831" s="24"/>
      <c r="P18831"/>
      <c r="Q18831" s="24"/>
      <c r="R18831"/>
      <c r="S18831"/>
      <c r="T18831"/>
      <c r="U18831"/>
      <c r="X18831" s="60"/>
    </row>
    <row r="18832" spans="7:24" ht="15" customHeight="1">
      <c r="G18832"/>
      <c r="I18832"/>
      <c r="N18832"/>
      <c r="O18832" s="24"/>
      <c r="P18832"/>
      <c r="Q18832" s="24"/>
      <c r="R18832"/>
      <c r="S18832"/>
      <c r="T18832"/>
      <c r="U18832"/>
      <c r="X18832" s="60"/>
    </row>
    <row r="18833" spans="7:24" ht="15" customHeight="1">
      <c r="G18833"/>
      <c r="I18833"/>
      <c r="N18833"/>
      <c r="O18833" s="24"/>
      <c r="P18833"/>
      <c r="Q18833" s="24"/>
      <c r="R18833"/>
      <c r="S18833"/>
      <c r="T18833"/>
      <c r="U18833"/>
      <c r="X18833" s="60"/>
    </row>
    <row r="18834" spans="7:24" ht="15" customHeight="1">
      <c r="G18834"/>
      <c r="I18834"/>
      <c r="N18834"/>
      <c r="O18834" s="24"/>
      <c r="P18834"/>
      <c r="Q18834" s="24"/>
      <c r="R18834"/>
      <c r="S18834"/>
      <c r="T18834"/>
      <c r="U18834"/>
      <c r="X18834" s="60"/>
    </row>
    <row r="18835" spans="7:24" ht="15" customHeight="1">
      <c r="G18835"/>
      <c r="I18835"/>
      <c r="N18835"/>
      <c r="O18835" s="24"/>
      <c r="P18835"/>
      <c r="Q18835" s="24"/>
      <c r="R18835"/>
      <c r="S18835"/>
      <c r="T18835"/>
      <c r="U18835"/>
      <c r="X18835" s="60"/>
    </row>
    <row r="18836" spans="7:24" ht="15" customHeight="1">
      <c r="G18836"/>
      <c r="I18836"/>
      <c r="N18836"/>
      <c r="O18836" s="24"/>
      <c r="P18836"/>
      <c r="Q18836" s="24"/>
      <c r="R18836"/>
      <c r="S18836"/>
      <c r="T18836"/>
      <c r="U18836"/>
      <c r="X18836" s="60"/>
    </row>
    <row r="18837" spans="7:24" ht="15" customHeight="1">
      <c r="G18837"/>
      <c r="I18837"/>
      <c r="N18837"/>
      <c r="O18837" s="24"/>
      <c r="P18837"/>
      <c r="Q18837" s="24"/>
      <c r="R18837"/>
      <c r="S18837"/>
      <c r="T18837"/>
      <c r="U18837"/>
      <c r="X18837" s="60"/>
    </row>
    <row r="18838" spans="7:24" ht="15" customHeight="1">
      <c r="G18838"/>
      <c r="I18838"/>
      <c r="N18838"/>
      <c r="O18838" s="24"/>
      <c r="P18838"/>
      <c r="Q18838" s="24"/>
      <c r="R18838"/>
      <c r="S18838"/>
      <c r="T18838"/>
      <c r="U18838"/>
      <c r="X18838" s="60"/>
    </row>
    <row r="18839" spans="7:24" ht="15" customHeight="1">
      <c r="G18839"/>
      <c r="I18839"/>
      <c r="N18839"/>
      <c r="O18839" s="24"/>
      <c r="P18839"/>
      <c r="Q18839" s="24"/>
      <c r="R18839"/>
      <c r="S18839"/>
      <c r="T18839"/>
      <c r="U18839"/>
      <c r="X18839" s="60"/>
    </row>
    <row r="18840" spans="7:24" ht="15" customHeight="1">
      <c r="G18840"/>
      <c r="I18840"/>
      <c r="N18840"/>
      <c r="O18840" s="24"/>
      <c r="P18840"/>
      <c r="Q18840" s="24"/>
      <c r="R18840"/>
      <c r="S18840"/>
      <c r="T18840"/>
      <c r="U18840"/>
      <c r="X18840" s="60"/>
    </row>
    <row r="18841" spans="7:24" ht="15" customHeight="1">
      <c r="G18841"/>
      <c r="I18841"/>
      <c r="N18841"/>
      <c r="O18841" s="24"/>
      <c r="P18841"/>
      <c r="Q18841" s="24"/>
      <c r="R18841"/>
      <c r="S18841"/>
      <c r="T18841"/>
      <c r="U18841"/>
      <c r="X18841" s="60"/>
    </row>
    <row r="18842" spans="7:24" ht="15" customHeight="1">
      <c r="G18842"/>
      <c r="I18842"/>
      <c r="N18842"/>
      <c r="O18842" s="24"/>
      <c r="P18842"/>
      <c r="Q18842" s="24"/>
      <c r="R18842"/>
      <c r="S18842"/>
      <c r="T18842"/>
      <c r="U18842"/>
      <c r="X18842" s="60"/>
    </row>
    <row r="18843" spans="7:24" ht="15" customHeight="1">
      <c r="G18843"/>
      <c r="I18843"/>
      <c r="N18843"/>
      <c r="O18843" s="24"/>
      <c r="P18843"/>
      <c r="Q18843" s="24"/>
      <c r="R18843"/>
      <c r="S18843"/>
      <c r="T18843"/>
      <c r="U18843"/>
      <c r="X18843" s="60"/>
    </row>
    <row r="18844" spans="7:24" ht="15" customHeight="1">
      <c r="G18844"/>
      <c r="I18844"/>
      <c r="N18844"/>
      <c r="O18844" s="24"/>
      <c r="P18844"/>
      <c r="Q18844" s="24"/>
      <c r="R18844"/>
      <c r="S18844"/>
      <c r="T18844"/>
      <c r="U18844"/>
      <c r="X18844" s="60"/>
    </row>
    <row r="18845" spans="7:24" ht="15" customHeight="1">
      <c r="G18845"/>
      <c r="I18845"/>
      <c r="N18845"/>
      <c r="O18845" s="24"/>
      <c r="P18845"/>
      <c r="Q18845" s="24"/>
      <c r="R18845"/>
      <c r="S18845"/>
      <c r="T18845"/>
      <c r="U18845"/>
      <c r="X18845" s="60"/>
    </row>
    <row r="18846" spans="7:24" ht="15" customHeight="1">
      <c r="G18846"/>
      <c r="I18846"/>
      <c r="N18846"/>
      <c r="O18846" s="24"/>
      <c r="P18846"/>
      <c r="Q18846" s="24"/>
      <c r="R18846"/>
      <c r="S18846"/>
      <c r="T18846"/>
      <c r="U18846"/>
      <c r="X18846" s="60"/>
    </row>
    <row r="18847" spans="7:24" ht="15" customHeight="1">
      <c r="G18847"/>
      <c r="I18847"/>
      <c r="N18847"/>
      <c r="O18847" s="24"/>
      <c r="P18847"/>
      <c r="Q18847" s="24"/>
      <c r="R18847"/>
      <c r="S18847"/>
      <c r="T18847"/>
      <c r="U18847"/>
      <c r="X18847" s="60"/>
    </row>
    <row r="18848" spans="7:24" ht="15" customHeight="1">
      <c r="G18848"/>
      <c r="I18848"/>
      <c r="N18848"/>
      <c r="O18848" s="24"/>
      <c r="P18848"/>
      <c r="Q18848" s="24"/>
      <c r="R18848"/>
      <c r="S18848"/>
      <c r="T18848"/>
      <c r="U18848"/>
      <c r="X18848" s="60"/>
    </row>
    <row r="18849" spans="7:24" ht="15" customHeight="1">
      <c r="G18849"/>
      <c r="I18849"/>
      <c r="N18849"/>
      <c r="O18849" s="24"/>
      <c r="P18849"/>
      <c r="Q18849" s="24"/>
      <c r="R18849"/>
      <c r="S18849"/>
      <c r="T18849"/>
      <c r="U18849"/>
      <c r="X18849" s="60"/>
    </row>
    <row r="18850" spans="7:24" ht="15" customHeight="1">
      <c r="G18850"/>
      <c r="I18850"/>
      <c r="N18850"/>
      <c r="O18850" s="24"/>
      <c r="P18850"/>
      <c r="Q18850" s="24"/>
      <c r="R18850"/>
      <c r="S18850"/>
      <c r="T18850"/>
      <c r="U18850"/>
      <c r="X18850" s="60"/>
    </row>
    <row r="18851" spans="7:24" ht="15" customHeight="1">
      <c r="G18851"/>
      <c r="I18851"/>
      <c r="N18851"/>
      <c r="O18851" s="24"/>
      <c r="P18851"/>
      <c r="Q18851" s="24"/>
      <c r="R18851"/>
      <c r="S18851"/>
      <c r="T18851"/>
      <c r="U18851"/>
      <c r="X18851" s="60"/>
    </row>
    <row r="18852" spans="7:24" ht="15" customHeight="1">
      <c r="G18852"/>
      <c r="I18852"/>
      <c r="N18852"/>
      <c r="O18852" s="24"/>
      <c r="P18852"/>
      <c r="Q18852" s="24"/>
      <c r="R18852"/>
      <c r="S18852"/>
      <c r="T18852"/>
      <c r="U18852"/>
      <c r="X18852" s="60"/>
    </row>
    <row r="18853" spans="7:24" ht="15" customHeight="1">
      <c r="G18853"/>
      <c r="I18853"/>
      <c r="N18853"/>
      <c r="O18853" s="24"/>
      <c r="P18853"/>
      <c r="Q18853" s="24"/>
      <c r="R18853"/>
      <c r="S18853"/>
      <c r="T18853"/>
      <c r="U18853"/>
      <c r="X18853" s="60"/>
    </row>
    <row r="18854" spans="7:24" ht="15" customHeight="1">
      <c r="G18854"/>
      <c r="I18854"/>
      <c r="N18854"/>
      <c r="O18854" s="24"/>
      <c r="P18854"/>
      <c r="Q18854" s="24"/>
      <c r="R18854"/>
      <c r="S18854"/>
      <c r="T18854"/>
      <c r="U18854"/>
      <c r="X18854" s="60"/>
    </row>
    <row r="18855" spans="7:24" ht="15" customHeight="1">
      <c r="G18855"/>
      <c r="I18855"/>
      <c r="N18855"/>
      <c r="O18855" s="24"/>
      <c r="P18855"/>
      <c r="Q18855" s="24"/>
      <c r="R18855"/>
      <c r="S18855"/>
      <c r="T18855"/>
      <c r="U18855"/>
      <c r="X18855" s="60"/>
    </row>
    <row r="18856" spans="7:24" ht="15" customHeight="1">
      <c r="G18856"/>
      <c r="I18856"/>
      <c r="N18856"/>
      <c r="O18856" s="24"/>
      <c r="P18856"/>
      <c r="Q18856" s="24"/>
      <c r="R18856"/>
      <c r="S18856"/>
      <c r="T18856"/>
      <c r="U18856"/>
      <c r="X18856" s="60"/>
    </row>
    <row r="18857" spans="7:24" ht="15" customHeight="1">
      <c r="G18857"/>
      <c r="I18857"/>
      <c r="N18857"/>
      <c r="O18857" s="24"/>
      <c r="P18857"/>
      <c r="Q18857" s="24"/>
      <c r="R18857"/>
      <c r="S18857"/>
      <c r="T18857"/>
      <c r="U18857"/>
      <c r="X18857" s="60"/>
    </row>
    <row r="18858" spans="7:24" ht="15" customHeight="1">
      <c r="G18858"/>
      <c r="I18858"/>
      <c r="N18858"/>
      <c r="O18858" s="24"/>
      <c r="P18858"/>
      <c r="Q18858" s="24"/>
      <c r="R18858"/>
      <c r="S18858"/>
      <c r="T18858"/>
      <c r="U18858"/>
      <c r="X18858" s="60"/>
    </row>
    <row r="18859" spans="7:24" ht="15" customHeight="1">
      <c r="G18859"/>
      <c r="I18859"/>
      <c r="N18859"/>
      <c r="O18859" s="24"/>
      <c r="P18859"/>
      <c r="Q18859" s="24"/>
      <c r="R18859"/>
      <c r="S18859"/>
      <c r="T18859"/>
      <c r="U18859"/>
      <c r="X18859" s="60"/>
    </row>
    <row r="18860" spans="7:24" ht="15" customHeight="1">
      <c r="G18860"/>
      <c r="I18860"/>
      <c r="N18860"/>
      <c r="O18860" s="24"/>
      <c r="P18860"/>
      <c r="Q18860" s="24"/>
      <c r="R18860"/>
      <c r="S18860"/>
      <c r="T18860"/>
      <c r="U18860"/>
      <c r="X18860" s="60"/>
    </row>
    <row r="18861" spans="7:24" ht="15" customHeight="1">
      <c r="G18861"/>
      <c r="I18861"/>
      <c r="N18861"/>
      <c r="O18861" s="24"/>
      <c r="P18861"/>
      <c r="Q18861" s="24"/>
      <c r="R18861"/>
      <c r="S18861"/>
      <c r="T18861"/>
      <c r="U18861"/>
      <c r="X18861" s="60"/>
    </row>
    <row r="18862" spans="7:24" ht="15" customHeight="1">
      <c r="G18862"/>
      <c r="I18862"/>
      <c r="N18862"/>
      <c r="O18862" s="24"/>
      <c r="P18862"/>
      <c r="Q18862" s="24"/>
      <c r="R18862"/>
      <c r="S18862"/>
      <c r="T18862"/>
      <c r="U18862"/>
      <c r="X18862" s="60"/>
    </row>
    <row r="18863" spans="7:24" ht="15" customHeight="1">
      <c r="G18863"/>
      <c r="I18863"/>
      <c r="N18863"/>
      <c r="O18863" s="24"/>
      <c r="P18863"/>
      <c r="Q18863" s="24"/>
      <c r="R18863"/>
      <c r="S18863"/>
      <c r="T18863"/>
      <c r="U18863"/>
      <c r="X18863" s="60"/>
    </row>
    <row r="18864" spans="7:24" ht="15" customHeight="1">
      <c r="G18864"/>
      <c r="I18864"/>
      <c r="N18864"/>
      <c r="O18864" s="24"/>
      <c r="P18864"/>
      <c r="Q18864" s="24"/>
      <c r="R18864"/>
      <c r="S18864"/>
      <c r="T18864"/>
      <c r="U18864"/>
      <c r="X18864" s="60"/>
    </row>
    <row r="18865" spans="7:24" ht="15" customHeight="1">
      <c r="G18865"/>
      <c r="I18865"/>
      <c r="N18865"/>
      <c r="O18865" s="24"/>
      <c r="P18865"/>
      <c r="Q18865" s="24"/>
      <c r="R18865"/>
      <c r="S18865"/>
      <c r="T18865"/>
      <c r="U18865"/>
      <c r="X18865" s="60"/>
    </row>
    <row r="18866" spans="7:24" ht="15" customHeight="1">
      <c r="G18866"/>
      <c r="I18866"/>
      <c r="N18866"/>
      <c r="O18866" s="24"/>
      <c r="P18866"/>
      <c r="Q18866" s="24"/>
      <c r="R18866"/>
      <c r="S18866"/>
      <c r="T18866"/>
      <c r="U18866"/>
      <c r="X18866" s="60"/>
    </row>
    <row r="18867" spans="7:24" ht="15" customHeight="1">
      <c r="G18867"/>
      <c r="I18867"/>
      <c r="N18867"/>
      <c r="O18867" s="24"/>
      <c r="P18867"/>
      <c r="Q18867" s="24"/>
      <c r="R18867"/>
      <c r="S18867"/>
      <c r="T18867"/>
      <c r="U18867"/>
      <c r="X18867" s="60"/>
    </row>
    <row r="18868" spans="7:24" ht="15" customHeight="1">
      <c r="G18868"/>
      <c r="I18868"/>
      <c r="N18868"/>
      <c r="O18868" s="24"/>
      <c r="P18868"/>
      <c r="Q18868" s="24"/>
      <c r="R18868"/>
      <c r="S18868"/>
      <c r="T18868"/>
      <c r="U18868"/>
      <c r="X18868" s="60"/>
    </row>
    <row r="18869" spans="7:24" ht="15" customHeight="1">
      <c r="G18869"/>
      <c r="I18869"/>
      <c r="N18869"/>
      <c r="O18869" s="24"/>
      <c r="P18869"/>
      <c r="Q18869" s="24"/>
      <c r="R18869"/>
      <c r="S18869"/>
      <c r="T18869"/>
      <c r="U18869"/>
      <c r="X18869" s="60"/>
    </row>
    <row r="18870" spans="7:24" ht="15" customHeight="1">
      <c r="G18870"/>
      <c r="I18870"/>
      <c r="N18870"/>
      <c r="O18870" s="24"/>
      <c r="P18870"/>
      <c r="Q18870" s="24"/>
      <c r="R18870"/>
      <c r="S18870"/>
      <c r="T18870"/>
      <c r="U18870"/>
      <c r="X18870" s="60"/>
    </row>
    <row r="18871" spans="7:24" ht="15" customHeight="1">
      <c r="G18871"/>
      <c r="I18871"/>
      <c r="N18871"/>
      <c r="O18871" s="24"/>
      <c r="P18871"/>
      <c r="Q18871" s="24"/>
      <c r="R18871"/>
      <c r="S18871"/>
      <c r="T18871"/>
      <c r="U18871"/>
      <c r="X18871" s="60"/>
    </row>
    <row r="18872" spans="7:24" ht="15" customHeight="1">
      <c r="G18872"/>
      <c r="I18872"/>
      <c r="N18872"/>
      <c r="O18872" s="24"/>
      <c r="P18872"/>
      <c r="Q18872" s="24"/>
      <c r="R18872"/>
      <c r="S18872"/>
      <c r="T18872"/>
      <c r="U18872"/>
      <c r="X18872" s="60"/>
    </row>
    <row r="18873" spans="7:24" ht="15" customHeight="1">
      <c r="G18873"/>
      <c r="I18873"/>
      <c r="N18873"/>
      <c r="O18873" s="24"/>
      <c r="P18873"/>
      <c r="Q18873" s="24"/>
      <c r="R18873"/>
      <c r="S18873"/>
      <c r="T18873"/>
      <c r="U18873"/>
      <c r="X18873" s="60"/>
    </row>
    <row r="18874" spans="7:24" ht="15" customHeight="1">
      <c r="G18874"/>
      <c r="I18874"/>
      <c r="N18874"/>
      <c r="O18874" s="24"/>
      <c r="P18874"/>
      <c r="Q18874" s="24"/>
      <c r="R18874"/>
      <c r="S18874"/>
      <c r="T18874"/>
      <c r="U18874"/>
      <c r="X18874" s="60"/>
    </row>
    <row r="18875" spans="7:24" ht="15" customHeight="1">
      <c r="G18875"/>
      <c r="I18875"/>
      <c r="N18875"/>
      <c r="O18875" s="24"/>
      <c r="P18875"/>
      <c r="Q18875" s="24"/>
      <c r="R18875"/>
      <c r="S18875"/>
      <c r="T18875"/>
      <c r="U18875"/>
      <c r="X18875" s="60"/>
    </row>
    <row r="18876" spans="7:24" ht="15" customHeight="1">
      <c r="G18876"/>
      <c r="I18876"/>
      <c r="N18876"/>
      <c r="O18876" s="24"/>
      <c r="P18876"/>
      <c r="Q18876" s="24"/>
      <c r="R18876"/>
      <c r="S18876"/>
      <c r="T18876"/>
      <c r="U18876"/>
      <c r="X18876" s="60"/>
    </row>
    <row r="18877" spans="7:24" ht="15" customHeight="1">
      <c r="G18877"/>
      <c r="I18877"/>
      <c r="N18877"/>
      <c r="O18877" s="24"/>
      <c r="P18877"/>
      <c r="Q18877" s="24"/>
      <c r="R18877"/>
      <c r="S18877"/>
      <c r="T18877"/>
      <c r="U18877"/>
      <c r="X18877" s="60"/>
    </row>
    <row r="18878" spans="7:24" ht="15" customHeight="1">
      <c r="G18878"/>
      <c r="I18878"/>
      <c r="N18878"/>
      <c r="O18878" s="24"/>
      <c r="P18878"/>
      <c r="Q18878" s="24"/>
      <c r="R18878"/>
      <c r="S18878"/>
      <c r="T18878"/>
      <c r="U18878"/>
      <c r="X18878" s="60"/>
    </row>
    <row r="18879" spans="7:24" ht="15" customHeight="1">
      <c r="G18879"/>
      <c r="I18879"/>
      <c r="N18879"/>
      <c r="O18879" s="24"/>
      <c r="P18879"/>
      <c r="Q18879" s="24"/>
      <c r="R18879"/>
      <c r="S18879"/>
      <c r="T18879"/>
      <c r="U18879"/>
      <c r="X18879" s="60"/>
    </row>
    <row r="18880" spans="7:24" ht="15" customHeight="1">
      <c r="G18880"/>
      <c r="I18880"/>
      <c r="N18880"/>
      <c r="O18880" s="24"/>
      <c r="P18880"/>
      <c r="Q18880" s="24"/>
      <c r="R18880"/>
      <c r="S18880"/>
      <c r="T18880"/>
      <c r="U18880"/>
      <c r="X18880" s="60"/>
    </row>
    <row r="18881" spans="7:24" ht="15" customHeight="1">
      <c r="G18881"/>
      <c r="I18881"/>
      <c r="N18881"/>
      <c r="O18881" s="24"/>
      <c r="P18881"/>
      <c r="Q18881" s="24"/>
      <c r="R18881"/>
      <c r="S18881"/>
      <c r="T18881"/>
      <c r="U18881"/>
      <c r="X18881" s="60"/>
    </row>
    <row r="18882" spans="7:24" ht="15" customHeight="1">
      <c r="G18882"/>
      <c r="I18882"/>
      <c r="N18882"/>
      <c r="O18882" s="24"/>
      <c r="P18882"/>
      <c r="Q18882" s="24"/>
      <c r="R18882"/>
      <c r="S18882"/>
      <c r="T18882"/>
      <c r="U18882"/>
      <c r="X18882" s="60"/>
    </row>
    <row r="18883" spans="7:24" ht="15" customHeight="1">
      <c r="G18883"/>
      <c r="I18883"/>
      <c r="N18883"/>
      <c r="O18883" s="24"/>
      <c r="P18883"/>
      <c r="Q18883" s="24"/>
      <c r="R18883"/>
      <c r="S18883"/>
      <c r="T18883"/>
      <c r="U18883"/>
      <c r="X18883" s="60"/>
    </row>
    <row r="18884" spans="7:24" ht="15" customHeight="1">
      <c r="G18884"/>
      <c r="I18884"/>
      <c r="N18884"/>
      <c r="O18884" s="24"/>
      <c r="P18884"/>
      <c r="Q18884" s="24"/>
      <c r="R18884"/>
      <c r="S18884"/>
      <c r="T18884"/>
      <c r="U18884"/>
      <c r="X18884" s="60"/>
    </row>
    <row r="18885" spans="7:24" ht="15" customHeight="1">
      <c r="G18885"/>
      <c r="I18885"/>
      <c r="N18885"/>
      <c r="O18885" s="24"/>
      <c r="P18885"/>
      <c r="Q18885" s="24"/>
      <c r="R18885"/>
      <c r="S18885"/>
      <c r="T18885"/>
      <c r="U18885"/>
      <c r="X18885" s="60"/>
    </row>
    <row r="18886" spans="7:24" ht="15" customHeight="1">
      <c r="G18886"/>
      <c r="I18886"/>
      <c r="N18886"/>
      <c r="O18886" s="24"/>
      <c r="P18886"/>
      <c r="Q18886" s="24"/>
      <c r="R18886"/>
      <c r="S18886"/>
      <c r="T18886"/>
      <c r="U18886"/>
      <c r="X18886" s="60"/>
    </row>
    <row r="18887" spans="7:24" ht="15" customHeight="1">
      <c r="G18887"/>
      <c r="I18887"/>
      <c r="N18887"/>
      <c r="O18887" s="24"/>
      <c r="P18887"/>
      <c r="Q18887" s="24"/>
      <c r="R18887"/>
      <c r="S18887"/>
      <c r="T18887"/>
      <c r="U18887"/>
      <c r="X18887" s="60"/>
    </row>
    <row r="18888" spans="7:24" ht="15" customHeight="1">
      <c r="G18888"/>
      <c r="I18888"/>
      <c r="N18888"/>
      <c r="O18888" s="24"/>
      <c r="P18888"/>
      <c r="Q18888" s="24"/>
      <c r="R18888"/>
      <c r="S18888"/>
      <c r="T18888"/>
      <c r="U18888"/>
      <c r="X18888" s="60"/>
    </row>
    <row r="18889" spans="7:24" ht="15" customHeight="1">
      <c r="G18889"/>
      <c r="I18889"/>
      <c r="N18889"/>
      <c r="O18889" s="24"/>
      <c r="P18889"/>
      <c r="Q18889" s="24"/>
      <c r="R18889"/>
      <c r="S18889"/>
      <c r="T18889"/>
      <c r="U18889"/>
      <c r="X18889" s="60"/>
    </row>
    <row r="18890" spans="7:24" ht="15" customHeight="1">
      <c r="G18890"/>
      <c r="I18890"/>
      <c r="N18890"/>
      <c r="O18890" s="24"/>
      <c r="P18890"/>
      <c r="Q18890" s="24"/>
      <c r="R18890"/>
      <c r="S18890"/>
      <c r="T18890"/>
      <c r="U18890"/>
      <c r="X18890" s="60"/>
    </row>
    <row r="18891" spans="7:24" ht="15" customHeight="1">
      <c r="G18891"/>
      <c r="I18891"/>
      <c r="N18891"/>
      <c r="O18891" s="24"/>
      <c r="P18891"/>
      <c r="Q18891" s="24"/>
      <c r="R18891"/>
      <c r="S18891"/>
      <c r="T18891"/>
      <c r="U18891"/>
      <c r="X18891" s="60"/>
    </row>
    <row r="18892" spans="7:24" ht="15" customHeight="1">
      <c r="G18892"/>
      <c r="I18892"/>
      <c r="N18892"/>
      <c r="O18892" s="24"/>
      <c r="P18892"/>
      <c r="Q18892" s="24"/>
      <c r="R18892"/>
      <c r="S18892"/>
      <c r="T18892"/>
      <c r="U18892"/>
      <c r="X18892" s="60"/>
    </row>
    <row r="18893" spans="7:24" ht="15" customHeight="1">
      <c r="G18893"/>
      <c r="I18893"/>
      <c r="N18893"/>
      <c r="O18893" s="24"/>
      <c r="P18893"/>
      <c r="Q18893" s="24"/>
      <c r="R18893"/>
      <c r="S18893"/>
      <c r="T18893"/>
      <c r="U18893"/>
      <c r="X18893" s="60"/>
    </row>
    <row r="18894" spans="7:24" ht="15" customHeight="1">
      <c r="G18894"/>
      <c r="I18894"/>
      <c r="N18894"/>
      <c r="O18894" s="24"/>
      <c r="P18894"/>
      <c r="Q18894" s="24"/>
      <c r="R18894"/>
      <c r="S18894"/>
      <c r="T18894"/>
      <c r="U18894"/>
      <c r="X18894" s="60"/>
    </row>
    <row r="18895" spans="7:24" ht="15" customHeight="1">
      <c r="G18895"/>
      <c r="I18895"/>
      <c r="N18895"/>
      <c r="O18895" s="24"/>
      <c r="P18895"/>
      <c r="Q18895" s="24"/>
      <c r="R18895"/>
      <c r="S18895"/>
      <c r="T18895"/>
      <c r="U18895"/>
      <c r="X18895" s="60"/>
    </row>
    <row r="18896" spans="7:24" ht="15" customHeight="1">
      <c r="G18896"/>
      <c r="I18896"/>
      <c r="N18896"/>
      <c r="O18896" s="24"/>
      <c r="P18896"/>
      <c r="Q18896" s="24"/>
      <c r="R18896"/>
      <c r="S18896"/>
      <c r="T18896"/>
      <c r="U18896"/>
      <c r="X18896" s="60"/>
    </row>
    <row r="18897" spans="7:24" ht="15" customHeight="1">
      <c r="G18897"/>
      <c r="I18897"/>
      <c r="N18897"/>
      <c r="O18897" s="24"/>
      <c r="P18897"/>
      <c r="Q18897" s="24"/>
      <c r="R18897"/>
      <c r="S18897"/>
      <c r="T18897"/>
      <c r="U18897"/>
      <c r="X18897" s="60"/>
    </row>
    <row r="18898" spans="7:24" ht="15" customHeight="1">
      <c r="G18898"/>
      <c r="I18898"/>
      <c r="N18898"/>
      <c r="O18898" s="24"/>
      <c r="P18898"/>
      <c r="Q18898" s="24"/>
      <c r="R18898"/>
      <c r="S18898"/>
      <c r="T18898"/>
      <c r="U18898"/>
      <c r="X18898" s="60"/>
    </row>
    <row r="18899" spans="7:24" ht="15" customHeight="1">
      <c r="G18899"/>
      <c r="I18899"/>
      <c r="N18899"/>
      <c r="O18899" s="24"/>
      <c r="P18899"/>
      <c r="Q18899" s="24"/>
      <c r="R18899"/>
      <c r="S18899"/>
      <c r="T18899"/>
      <c r="U18899"/>
      <c r="X18899" s="60"/>
    </row>
    <row r="18900" spans="7:24" ht="15" customHeight="1">
      <c r="G18900"/>
      <c r="I18900"/>
      <c r="N18900"/>
      <c r="O18900" s="24"/>
      <c r="P18900"/>
      <c r="Q18900" s="24"/>
      <c r="R18900"/>
      <c r="S18900"/>
      <c r="T18900"/>
      <c r="U18900"/>
      <c r="X18900" s="60"/>
    </row>
    <row r="18901" spans="7:24" ht="15" customHeight="1">
      <c r="G18901"/>
      <c r="I18901"/>
      <c r="N18901"/>
      <c r="O18901" s="24"/>
      <c r="P18901"/>
      <c r="Q18901" s="24"/>
      <c r="R18901"/>
      <c r="S18901"/>
      <c r="T18901"/>
      <c r="U18901"/>
      <c r="X18901" s="60"/>
    </row>
    <row r="18902" spans="7:24" ht="15" customHeight="1">
      <c r="G18902"/>
      <c r="I18902"/>
      <c r="N18902"/>
      <c r="O18902" s="24"/>
      <c r="P18902"/>
      <c r="Q18902" s="24"/>
      <c r="R18902"/>
      <c r="S18902"/>
      <c r="T18902"/>
      <c r="U18902"/>
      <c r="X18902" s="60"/>
    </row>
    <row r="18903" spans="7:24" ht="15" customHeight="1">
      <c r="G18903"/>
      <c r="I18903"/>
      <c r="N18903"/>
      <c r="O18903" s="24"/>
      <c r="P18903"/>
      <c r="Q18903" s="24"/>
      <c r="R18903"/>
      <c r="S18903"/>
      <c r="T18903"/>
      <c r="U18903"/>
      <c r="X18903" s="60"/>
    </row>
    <row r="18904" spans="7:24" ht="15" customHeight="1">
      <c r="G18904"/>
      <c r="I18904"/>
      <c r="N18904"/>
      <c r="O18904" s="24"/>
      <c r="P18904"/>
      <c r="Q18904" s="24"/>
      <c r="R18904"/>
      <c r="S18904"/>
      <c r="T18904"/>
      <c r="U18904"/>
      <c r="X18904" s="60"/>
    </row>
    <row r="18905" spans="7:24" ht="15" customHeight="1">
      <c r="G18905"/>
      <c r="I18905"/>
      <c r="N18905"/>
      <c r="O18905" s="24"/>
      <c r="P18905"/>
      <c r="Q18905" s="24"/>
      <c r="R18905"/>
      <c r="S18905"/>
      <c r="T18905"/>
      <c r="U18905"/>
      <c r="X18905" s="60"/>
    </row>
    <row r="18906" spans="7:24" ht="15" customHeight="1">
      <c r="G18906"/>
      <c r="I18906"/>
      <c r="N18906"/>
      <c r="O18906" s="24"/>
      <c r="P18906"/>
      <c r="Q18906" s="24"/>
      <c r="R18906"/>
      <c r="S18906"/>
      <c r="T18906"/>
      <c r="U18906"/>
      <c r="X18906" s="60"/>
    </row>
    <row r="18907" spans="7:24" ht="15" customHeight="1">
      <c r="G18907"/>
      <c r="I18907"/>
      <c r="N18907"/>
      <c r="O18907" s="24"/>
      <c r="P18907"/>
      <c r="Q18907" s="24"/>
      <c r="R18907"/>
      <c r="S18907"/>
      <c r="T18907"/>
      <c r="U18907"/>
      <c r="X18907" s="60"/>
    </row>
    <row r="18908" spans="7:24" ht="15" customHeight="1">
      <c r="G18908"/>
      <c r="I18908"/>
      <c r="N18908"/>
      <c r="O18908" s="24"/>
      <c r="P18908"/>
      <c r="Q18908" s="24"/>
      <c r="R18908"/>
      <c r="S18908"/>
      <c r="T18908"/>
      <c r="U18908"/>
      <c r="X18908" s="60"/>
    </row>
    <row r="18909" spans="7:24" ht="15" customHeight="1">
      <c r="G18909"/>
      <c r="I18909"/>
      <c r="N18909"/>
      <c r="O18909" s="24"/>
      <c r="P18909"/>
      <c r="Q18909" s="24"/>
      <c r="R18909"/>
      <c r="S18909"/>
      <c r="T18909"/>
      <c r="U18909"/>
      <c r="X18909" s="60"/>
    </row>
    <row r="18910" spans="7:24" ht="15" customHeight="1">
      <c r="G18910"/>
      <c r="I18910"/>
      <c r="N18910"/>
      <c r="O18910" s="24"/>
      <c r="P18910"/>
      <c r="Q18910" s="24"/>
      <c r="R18910"/>
      <c r="S18910"/>
      <c r="T18910"/>
      <c r="U18910"/>
      <c r="X18910" s="60"/>
    </row>
    <row r="18911" spans="7:24" ht="15" customHeight="1">
      <c r="G18911"/>
      <c r="I18911"/>
      <c r="N18911"/>
      <c r="O18911" s="24"/>
      <c r="P18911"/>
      <c r="Q18911" s="24"/>
      <c r="R18911"/>
      <c r="S18911"/>
      <c r="T18911"/>
      <c r="U18911"/>
      <c r="X18911" s="60"/>
    </row>
    <row r="18912" spans="7:24" ht="15" customHeight="1">
      <c r="G18912"/>
      <c r="I18912"/>
      <c r="N18912"/>
      <c r="O18912" s="24"/>
      <c r="P18912"/>
      <c r="Q18912" s="24"/>
      <c r="R18912"/>
      <c r="S18912"/>
      <c r="T18912"/>
      <c r="U18912"/>
      <c r="X18912" s="60"/>
    </row>
    <row r="18913" spans="7:24" ht="15" customHeight="1">
      <c r="G18913"/>
      <c r="I18913"/>
      <c r="N18913"/>
      <c r="O18913" s="24"/>
      <c r="P18913"/>
      <c r="Q18913" s="24"/>
      <c r="R18913"/>
      <c r="S18913"/>
      <c r="T18913"/>
      <c r="U18913"/>
      <c r="X18913" s="60"/>
    </row>
    <row r="18914" spans="7:24" ht="15" customHeight="1">
      <c r="G18914"/>
      <c r="I18914"/>
      <c r="N18914"/>
      <c r="O18914" s="24"/>
      <c r="P18914"/>
      <c r="Q18914" s="24"/>
      <c r="R18914"/>
      <c r="S18914"/>
      <c r="T18914"/>
      <c r="U18914"/>
      <c r="X18914" s="60"/>
    </row>
    <row r="18915" spans="7:24" ht="15" customHeight="1">
      <c r="G18915"/>
      <c r="I18915"/>
      <c r="N18915"/>
      <c r="O18915" s="24"/>
      <c r="P18915"/>
      <c r="Q18915" s="24"/>
      <c r="R18915"/>
      <c r="S18915"/>
      <c r="T18915"/>
      <c r="U18915"/>
      <c r="X18915" s="60"/>
    </row>
    <row r="18916" spans="7:24" ht="15" customHeight="1">
      <c r="G18916"/>
      <c r="I18916"/>
      <c r="N18916"/>
      <c r="O18916" s="24"/>
      <c r="P18916"/>
      <c r="Q18916" s="24"/>
      <c r="R18916"/>
      <c r="S18916"/>
      <c r="T18916"/>
      <c r="U18916"/>
      <c r="X18916" s="60"/>
    </row>
    <row r="18917" spans="7:24" ht="15" customHeight="1">
      <c r="G18917"/>
      <c r="I18917"/>
      <c r="N18917"/>
      <c r="O18917" s="24"/>
      <c r="P18917"/>
      <c r="Q18917" s="24"/>
      <c r="R18917"/>
      <c r="S18917"/>
      <c r="T18917"/>
      <c r="U18917"/>
      <c r="X18917" s="60"/>
    </row>
    <row r="18918" spans="7:24" ht="15" customHeight="1">
      <c r="G18918"/>
      <c r="I18918"/>
      <c r="N18918"/>
      <c r="O18918" s="24"/>
      <c r="P18918"/>
      <c r="Q18918" s="24"/>
      <c r="R18918"/>
      <c r="S18918"/>
      <c r="T18918"/>
      <c r="U18918"/>
      <c r="X18918" s="60"/>
    </row>
    <row r="18919" spans="7:24" ht="15" customHeight="1">
      <c r="G18919"/>
      <c r="I18919"/>
      <c r="N18919"/>
      <c r="O18919" s="24"/>
      <c r="P18919"/>
      <c r="Q18919" s="24"/>
      <c r="R18919"/>
      <c r="S18919"/>
      <c r="T18919"/>
      <c r="U18919"/>
      <c r="X18919" s="60"/>
    </row>
    <row r="18920" spans="7:24" ht="15" customHeight="1">
      <c r="G18920"/>
      <c r="I18920"/>
      <c r="N18920"/>
      <c r="O18920" s="24"/>
      <c r="P18920"/>
      <c r="Q18920" s="24"/>
      <c r="R18920"/>
      <c r="S18920"/>
      <c r="T18920"/>
      <c r="U18920"/>
      <c r="X18920" s="60"/>
    </row>
    <row r="18921" spans="7:24" ht="15" customHeight="1">
      <c r="G18921"/>
      <c r="I18921"/>
      <c r="N18921"/>
      <c r="O18921" s="24"/>
      <c r="P18921"/>
      <c r="Q18921" s="24"/>
      <c r="R18921"/>
      <c r="S18921"/>
      <c r="T18921"/>
      <c r="U18921"/>
      <c r="X18921" s="60"/>
    </row>
    <row r="18922" spans="7:24" ht="15" customHeight="1">
      <c r="G18922"/>
      <c r="I18922"/>
      <c r="N18922"/>
      <c r="O18922" s="24"/>
      <c r="P18922"/>
      <c r="Q18922" s="24"/>
      <c r="R18922"/>
      <c r="S18922"/>
      <c r="T18922"/>
      <c r="U18922"/>
      <c r="X18922" s="60"/>
    </row>
    <row r="18923" spans="7:24" ht="15" customHeight="1">
      <c r="G18923"/>
      <c r="I18923"/>
      <c r="N18923"/>
      <c r="O18923" s="24"/>
      <c r="P18923"/>
      <c r="Q18923" s="24"/>
      <c r="R18923"/>
      <c r="S18923"/>
      <c r="T18923"/>
      <c r="U18923"/>
      <c r="X18923" s="60"/>
    </row>
    <row r="18924" spans="7:24" ht="15" customHeight="1">
      <c r="G18924"/>
      <c r="I18924"/>
      <c r="N18924"/>
      <c r="O18924" s="24"/>
      <c r="P18924"/>
      <c r="Q18924" s="24"/>
      <c r="R18924"/>
      <c r="S18924"/>
      <c r="T18924"/>
      <c r="U18924"/>
      <c r="X18924" s="60"/>
    </row>
    <row r="18925" spans="7:24" ht="15" customHeight="1">
      <c r="G18925"/>
      <c r="I18925"/>
      <c r="N18925"/>
      <c r="O18925" s="24"/>
      <c r="P18925"/>
      <c r="Q18925" s="24"/>
      <c r="R18925"/>
      <c r="S18925"/>
      <c r="T18925"/>
      <c r="U18925"/>
      <c r="X18925" s="60"/>
    </row>
    <row r="18926" spans="7:24" ht="15" customHeight="1">
      <c r="G18926"/>
      <c r="I18926"/>
      <c r="N18926"/>
      <c r="O18926" s="24"/>
      <c r="P18926"/>
      <c r="Q18926" s="24"/>
      <c r="R18926"/>
      <c r="S18926"/>
      <c r="T18926"/>
      <c r="U18926"/>
      <c r="X18926" s="60"/>
    </row>
    <row r="18927" spans="7:24" ht="15" customHeight="1">
      <c r="G18927"/>
      <c r="I18927"/>
      <c r="N18927"/>
      <c r="O18927" s="24"/>
      <c r="P18927"/>
      <c r="Q18927" s="24"/>
      <c r="R18927"/>
      <c r="S18927"/>
      <c r="T18927"/>
      <c r="U18927"/>
      <c r="X18927" s="60"/>
    </row>
    <row r="18928" spans="7:24" ht="15" customHeight="1">
      <c r="G18928"/>
      <c r="I18928"/>
      <c r="N18928"/>
      <c r="O18928" s="24"/>
      <c r="P18928"/>
      <c r="Q18928" s="24"/>
      <c r="R18928"/>
      <c r="S18928"/>
      <c r="T18928"/>
      <c r="U18928"/>
      <c r="X18928" s="60"/>
    </row>
    <row r="18929" spans="7:24" ht="15" customHeight="1">
      <c r="G18929"/>
      <c r="I18929"/>
      <c r="N18929"/>
      <c r="O18929" s="24"/>
      <c r="P18929"/>
      <c r="Q18929" s="24"/>
      <c r="R18929"/>
      <c r="S18929"/>
      <c r="T18929"/>
      <c r="U18929"/>
      <c r="X18929" s="60"/>
    </row>
    <row r="18930" spans="7:24" ht="15" customHeight="1">
      <c r="G18930"/>
      <c r="I18930"/>
      <c r="N18930"/>
      <c r="O18930" s="24"/>
      <c r="P18930"/>
      <c r="Q18930" s="24"/>
      <c r="R18930"/>
      <c r="S18930"/>
      <c r="T18930"/>
      <c r="U18930"/>
      <c r="X18930" s="60"/>
    </row>
    <row r="18931" spans="7:24" ht="15" customHeight="1">
      <c r="G18931"/>
      <c r="I18931"/>
      <c r="N18931"/>
      <c r="O18931" s="24"/>
      <c r="P18931"/>
      <c r="Q18931" s="24"/>
      <c r="R18931"/>
      <c r="S18931"/>
      <c r="T18931"/>
      <c r="U18931"/>
      <c r="X18931" s="60"/>
    </row>
    <row r="18932" spans="7:24" ht="15" customHeight="1">
      <c r="G18932"/>
      <c r="I18932"/>
      <c r="N18932"/>
      <c r="O18932" s="24"/>
      <c r="P18932"/>
      <c r="Q18932" s="24"/>
      <c r="R18932"/>
      <c r="S18932"/>
      <c r="T18932"/>
      <c r="U18932"/>
      <c r="X18932" s="60"/>
    </row>
    <row r="18933" spans="7:24" ht="15" customHeight="1">
      <c r="G18933"/>
      <c r="I18933"/>
      <c r="N18933"/>
      <c r="O18933" s="24"/>
      <c r="P18933"/>
      <c r="Q18933" s="24"/>
      <c r="R18933"/>
      <c r="S18933"/>
      <c r="T18933"/>
      <c r="U18933"/>
      <c r="X18933" s="60"/>
    </row>
    <row r="18934" spans="7:24" ht="15" customHeight="1">
      <c r="G18934"/>
      <c r="I18934"/>
      <c r="N18934"/>
      <c r="O18934" s="24"/>
      <c r="P18934"/>
      <c r="Q18934" s="24"/>
      <c r="R18934"/>
      <c r="S18934"/>
      <c r="T18934"/>
      <c r="U18934"/>
      <c r="X18934" s="60"/>
    </row>
    <row r="18935" spans="7:24" ht="15" customHeight="1">
      <c r="G18935"/>
      <c r="I18935"/>
      <c r="N18935"/>
      <c r="O18935" s="24"/>
      <c r="P18935"/>
      <c r="Q18935" s="24"/>
      <c r="R18935"/>
      <c r="S18935"/>
      <c r="T18935"/>
      <c r="U18935"/>
      <c r="X18935" s="60"/>
    </row>
    <row r="18936" spans="7:24" ht="15" customHeight="1">
      <c r="G18936"/>
      <c r="I18936"/>
      <c r="N18936"/>
      <c r="O18936" s="24"/>
      <c r="P18936"/>
      <c r="Q18936" s="24"/>
      <c r="R18936"/>
      <c r="S18936"/>
      <c r="T18936"/>
      <c r="U18936"/>
      <c r="X18936" s="60"/>
    </row>
    <row r="18937" spans="7:24" ht="15" customHeight="1">
      <c r="G18937"/>
      <c r="I18937"/>
      <c r="N18937"/>
      <c r="O18937" s="24"/>
      <c r="P18937"/>
      <c r="Q18937" s="24"/>
      <c r="R18937"/>
      <c r="S18937"/>
      <c r="T18937"/>
      <c r="U18937"/>
      <c r="X18937" s="60"/>
    </row>
    <row r="18938" spans="7:24" ht="15" customHeight="1">
      <c r="G18938"/>
      <c r="I18938"/>
      <c r="N18938"/>
      <c r="O18938" s="24"/>
      <c r="P18938"/>
      <c r="Q18938" s="24"/>
      <c r="R18938"/>
      <c r="S18938"/>
      <c r="T18938"/>
      <c r="U18938"/>
      <c r="X18938" s="60"/>
    </row>
    <row r="18939" spans="7:24" ht="15" customHeight="1">
      <c r="G18939"/>
      <c r="I18939"/>
      <c r="N18939"/>
      <c r="O18939" s="24"/>
      <c r="P18939"/>
      <c r="Q18939" s="24"/>
      <c r="R18939"/>
      <c r="S18939"/>
      <c r="T18939"/>
      <c r="U18939"/>
      <c r="X18939" s="60"/>
    </row>
    <row r="18940" spans="7:24" ht="15" customHeight="1">
      <c r="G18940"/>
      <c r="I18940"/>
      <c r="N18940"/>
      <c r="O18940" s="24"/>
      <c r="P18940"/>
      <c r="Q18940" s="24"/>
      <c r="R18940"/>
      <c r="S18940"/>
      <c r="T18940"/>
      <c r="U18940"/>
      <c r="X18940" s="60"/>
    </row>
    <row r="18941" spans="7:24" ht="15" customHeight="1">
      <c r="G18941"/>
      <c r="I18941"/>
      <c r="N18941"/>
      <c r="O18941" s="24"/>
      <c r="P18941"/>
      <c r="Q18941" s="24"/>
      <c r="R18941"/>
      <c r="S18941"/>
      <c r="T18941"/>
      <c r="U18941"/>
      <c r="X18941" s="60"/>
    </row>
    <row r="18942" spans="7:24" ht="15" customHeight="1">
      <c r="G18942"/>
      <c r="I18942"/>
      <c r="N18942"/>
      <c r="O18942" s="24"/>
      <c r="P18942"/>
      <c r="Q18942" s="24"/>
      <c r="R18942"/>
      <c r="S18942"/>
      <c r="T18942"/>
      <c r="U18942"/>
      <c r="X18942" s="60"/>
    </row>
    <row r="18943" spans="7:24" ht="15" customHeight="1">
      <c r="G18943"/>
      <c r="I18943"/>
      <c r="N18943"/>
      <c r="O18943" s="24"/>
      <c r="P18943"/>
      <c r="Q18943" s="24"/>
      <c r="R18943"/>
      <c r="S18943"/>
      <c r="T18943"/>
      <c r="U18943"/>
      <c r="X18943" s="60"/>
    </row>
    <row r="18944" spans="7:24" ht="15" customHeight="1">
      <c r="G18944"/>
      <c r="I18944"/>
      <c r="N18944"/>
      <c r="O18944" s="24"/>
      <c r="P18944"/>
      <c r="Q18944" s="24"/>
      <c r="R18944"/>
      <c r="S18944"/>
      <c r="T18944"/>
      <c r="U18944"/>
      <c r="X18944" s="60"/>
    </row>
    <row r="18945" spans="7:24" ht="15" customHeight="1">
      <c r="G18945"/>
      <c r="I18945"/>
      <c r="N18945"/>
      <c r="O18945" s="24"/>
      <c r="P18945"/>
      <c r="Q18945" s="24"/>
      <c r="R18945"/>
      <c r="S18945"/>
      <c r="T18945"/>
      <c r="U18945"/>
      <c r="X18945" s="60"/>
    </row>
    <row r="18946" spans="7:24" ht="15" customHeight="1">
      <c r="G18946"/>
      <c r="I18946"/>
      <c r="N18946"/>
      <c r="O18946" s="24"/>
      <c r="P18946"/>
      <c r="Q18946" s="24"/>
      <c r="R18946"/>
      <c r="S18946"/>
      <c r="T18946"/>
      <c r="U18946"/>
      <c r="X18946" s="60"/>
    </row>
    <row r="18947" spans="7:24" ht="15" customHeight="1">
      <c r="G18947"/>
      <c r="I18947"/>
      <c r="N18947"/>
      <c r="O18947" s="24"/>
      <c r="P18947"/>
      <c r="Q18947" s="24"/>
      <c r="R18947"/>
      <c r="S18947"/>
      <c r="T18947"/>
      <c r="U18947"/>
      <c r="X18947" s="60"/>
    </row>
    <row r="18948" spans="7:24" ht="15" customHeight="1">
      <c r="G18948"/>
      <c r="I18948"/>
      <c r="N18948"/>
      <c r="O18948" s="24"/>
      <c r="P18948"/>
      <c r="Q18948" s="24"/>
      <c r="R18948"/>
      <c r="S18948"/>
      <c r="T18948"/>
      <c r="U18948"/>
      <c r="X18948" s="60"/>
    </row>
    <row r="18949" spans="7:24" ht="15" customHeight="1">
      <c r="G18949"/>
      <c r="I18949"/>
      <c r="N18949"/>
      <c r="O18949" s="24"/>
      <c r="P18949"/>
      <c r="Q18949" s="24"/>
      <c r="R18949"/>
      <c r="S18949"/>
      <c r="T18949"/>
      <c r="U18949"/>
      <c r="X18949" s="60"/>
    </row>
    <row r="18950" spans="7:24" ht="15" customHeight="1">
      <c r="G18950"/>
      <c r="I18950"/>
      <c r="N18950"/>
      <c r="O18950" s="24"/>
      <c r="P18950"/>
      <c r="Q18950" s="24"/>
      <c r="R18950"/>
      <c r="S18950"/>
      <c r="T18950"/>
      <c r="U18950"/>
      <c r="X18950" s="60"/>
    </row>
    <row r="18951" spans="7:24" ht="15" customHeight="1">
      <c r="G18951"/>
      <c r="I18951"/>
      <c r="N18951"/>
      <c r="O18951" s="24"/>
      <c r="P18951"/>
      <c r="Q18951" s="24"/>
      <c r="R18951"/>
      <c r="S18951"/>
      <c r="T18951"/>
      <c r="U18951"/>
      <c r="X18951" s="60"/>
    </row>
    <row r="18952" spans="7:24" ht="15" customHeight="1">
      <c r="G18952"/>
      <c r="I18952"/>
      <c r="N18952"/>
      <c r="O18952" s="24"/>
      <c r="P18952"/>
      <c r="Q18952" s="24"/>
      <c r="R18952"/>
      <c r="S18952"/>
      <c r="T18952"/>
      <c r="U18952"/>
      <c r="X18952" s="60"/>
    </row>
    <row r="18953" spans="7:24" ht="15" customHeight="1">
      <c r="G18953"/>
      <c r="I18953"/>
      <c r="N18953"/>
      <c r="O18953" s="24"/>
      <c r="P18953"/>
      <c r="Q18953" s="24"/>
      <c r="R18953"/>
      <c r="S18953"/>
      <c r="T18953"/>
      <c r="U18953"/>
      <c r="X18953" s="60"/>
    </row>
    <row r="18954" spans="7:24" ht="15" customHeight="1">
      <c r="G18954"/>
      <c r="I18954"/>
      <c r="N18954"/>
      <c r="O18954" s="24"/>
      <c r="P18954"/>
      <c r="Q18954" s="24"/>
      <c r="R18954"/>
      <c r="S18954"/>
      <c r="T18954"/>
      <c r="U18954"/>
      <c r="X18954" s="60"/>
    </row>
    <row r="18955" spans="7:24" ht="15" customHeight="1">
      <c r="G18955"/>
      <c r="I18955"/>
      <c r="N18955"/>
      <c r="O18955" s="24"/>
      <c r="P18955"/>
      <c r="Q18955" s="24"/>
      <c r="R18955"/>
      <c r="S18955"/>
      <c r="T18955"/>
      <c r="U18955"/>
      <c r="X18955" s="60"/>
    </row>
    <row r="18956" spans="7:24" ht="15" customHeight="1">
      <c r="G18956"/>
      <c r="I18956"/>
      <c r="N18956"/>
      <c r="O18956" s="24"/>
      <c r="P18956"/>
      <c r="Q18956" s="24"/>
      <c r="R18956"/>
      <c r="S18956"/>
      <c r="T18956"/>
      <c r="U18956"/>
      <c r="X18956" s="60"/>
    </row>
    <row r="18957" spans="7:24" ht="15" customHeight="1">
      <c r="G18957"/>
      <c r="I18957"/>
      <c r="N18957"/>
      <c r="O18957" s="24"/>
      <c r="P18957"/>
      <c r="Q18957" s="24"/>
      <c r="R18957"/>
      <c r="S18957"/>
      <c r="T18957"/>
      <c r="U18957"/>
      <c r="X18957" s="60"/>
    </row>
    <row r="18958" spans="7:24" ht="15" customHeight="1">
      <c r="G18958"/>
      <c r="I18958"/>
      <c r="N18958"/>
      <c r="O18958" s="24"/>
      <c r="P18958"/>
      <c r="Q18958" s="24"/>
      <c r="R18958"/>
      <c r="S18958"/>
      <c r="T18958"/>
      <c r="U18958"/>
      <c r="X18958" s="60"/>
    </row>
    <row r="18959" spans="7:24" ht="15" customHeight="1">
      <c r="G18959"/>
      <c r="I18959"/>
      <c r="N18959"/>
      <c r="O18959" s="24"/>
      <c r="P18959"/>
      <c r="Q18959" s="24"/>
      <c r="R18959"/>
      <c r="S18959"/>
      <c r="T18959"/>
      <c r="U18959"/>
      <c r="X18959" s="60"/>
    </row>
    <row r="18960" spans="7:24" ht="15" customHeight="1">
      <c r="G18960"/>
      <c r="I18960"/>
      <c r="N18960"/>
      <c r="O18960" s="24"/>
      <c r="P18960"/>
      <c r="Q18960" s="24"/>
      <c r="R18960"/>
      <c r="S18960"/>
      <c r="T18960"/>
      <c r="U18960"/>
      <c r="X18960" s="60"/>
    </row>
    <row r="18961" spans="7:24" ht="15" customHeight="1">
      <c r="G18961"/>
      <c r="I18961"/>
      <c r="N18961"/>
      <c r="O18961" s="24"/>
      <c r="P18961"/>
      <c r="Q18961" s="24"/>
      <c r="R18961"/>
      <c r="S18961"/>
      <c r="T18961"/>
      <c r="U18961"/>
      <c r="X18961" s="60"/>
    </row>
    <row r="18962" spans="7:24" ht="15" customHeight="1">
      <c r="G18962"/>
      <c r="I18962"/>
      <c r="N18962"/>
      <c r="O18962" s="24"/>
      <c r="P18962"/>
      <c r="Q18962" s="24"/>
      <c r="R18962"/>
      <c r="S18962"/>
      <c r="T18962"/>
      <c r="U18962"/>
      <c r="X18962" s="60"/>
    </row>
    <row r="18963" spans="7:24" ht="15" customHeight="1">
      <c r="G18963"/>
      <c r="I18963"/>
      <c r="N18963"/>
      <c r="O18963" s="24"/>
      <c r="P18963"/>
      <c r="Q18963" s="24"/>
      <c r="R18963"/>
      <c r="S18963"/>
      <c r="T18963"/>
      <c r="U18963"/>
      <c r="X18963" s="60"/>
    </row>
    <row r="18964" spans="7:24" ht="15" customHeight="1">
      <c r="G18964"/>
      <c r="I18964"/>
      <c r="N18964"/>
      <c r="O18964" s="24"/>
      <c r="P18964"/>
      <c r="Q18964" s="24"/>
      <c r="R18964"/>
      <c r="S18964"/>
      <c r="T18964"/>
      <c r="U18964"/>
      <c r="X18964" s="60"/>
    </row>
    <row r="18965" spans="7:24" ht="15" customHeight="1">
      <c r="G18965"/>
      <c r="I18965"/>
      <c r="N18965"/>
      <c r="O18965" s="24"/>
      <c r="P18965"/>
      <c r="Q18965" s="24"/>
      <c r="R18965"/>
      <c r="S18965"/>
      <c r="T18965"/>
      <c r="U18965"/>
      <c r="X18965" s="60"/>
    </row>
    <row r="18966" spans="7:24" ht="15" customHeight="1">
      <c r="G18966"/>
      <c r="I18966"/>
      <c r="N18966"/>
      <c r="O18966" s="24"/>
      <c r="P18966"/>
      <c r="Q18966" s="24"/>
      <c r="R18966"/>
      <c r="S18966"/>
      <c r="T18966"/>
      <c r="U18966"/>
      <c r="X18966" s="60"/>
    </row>
    <row r="18967" spans="7:24" ht="15" customHeight="1">
      <c r="G18967"/>
      <c r="I18967"/>
      <c r="N18967"/>
      <c r="O18967" s="24"/>
      <c r="P18967"/>
      <c r="Q18967" s="24"/>
      <c r="R18967"/>
      <c r="S18967"/>
      <c r="T18967"/>
      <c r="U18967"/>
      <c r="X18967" s="60"/>
    </row>
    <row r="18968" spans="7:24" ht="15" customHeight="1">
      <c r="G18968"/>
      <c r="I18968"/>
      <c r="N18968"/>
      <c r="O18968" s="24"/>
      <c r="P18968"/>
      <c r="Q18968" s="24"/>
      <c r="R18968"/>
      <c r="S18968"/>
      <c r="T18968"/>
      <c r="U18968"/>
      <c r="X18968" s="60"/>
    </row>
    <row r="18969" spans="7:24" ht="15" customHeight="1">
      <c r="G18969"/>
      <c r="I18969"/>
      <c r="N18969"/>
      <c r="O18969" s="24"/>
      <c r="P18969"/>
      <c r="Q18969" s="24"/>
      <c r="R18969"/>
      <c r="S18969"/>
      <c r="T18969"/>
      <c r="U18969"/>
      <c r="X18969" s="60"/>
    </row>
    <row r="18970" spans="7:24" ht="15" customHeight="1">
      <c r="G18970"/>
      <c r="I18970"/>
      <c r="N18970"/>
      <c r="O18970" s="24"/>
      <c r="P18970"/>
      <c r="Q18970" s="24"/>
      <c r="R18970"/>
      <c r="S18970"/>
      <c r="T18970"/>
      <c r="U18970"/>
      <c r="X18970" s="60"/>
    </row>
    <row r="18971" spans="7:24" ht="15" customHeight="1">
      <c r="G18971"/>
      <c r="I18971"/>
      <c r="N18971"/>
      <c r="O18971" s="24"/>
      <c r="P18971"/>
      <c r="Q18971" s="24"/>
      <c r="R18971"/>
      <c r="S18971"/>
      <c r="T18971"/>
      <c r="U18971"/>
      <c r="X18971" s="60"/>
    </row>
    <row r="18972" spans="7:24" ht="15" customHeight="1">
      <c r="G18972"/>
      <c r="I18972"/>
      <c r="N18972"/>
      <c r="O18972" s="24"/>
      <c r="P18972"/>
      <c r="Q18972" s="24"/>
      <c r="R18972"/>
      <c r="S18972"/>
      <c r="T18972"/>
      <c r="U18972"/>
      <c r="X18972" s="60"/>
    </row>
    <row r="18973" spans="7:24" ht="15" customHeight="1">
      <c r="G18973"/>
      <c r="I18973"/>
      <c r="N18973"/>
      <c r="O18973" s="24"/>
      <c r="P18973"/>
      <c r="Q18973" s="24"/>
      <c r="R18973"/>
      <c r="S18973"/>
      <c r="T18973"/>
      <c r="U18973"/>
      <c r="X18973" s="60"/>
    </row>
    <row r="18974" spans="7:24" ht="15" customHeight="1">
      <c r="G18974"/>
      <c r="I18974"/>
      <c r="N18974"/>
      <c r="O18974" s="24"/>
      <c r="P18974"/>
      <c r="Q18974" s="24"/>
      <c r="R18974"/>
      <c r="S18974"/>
      <c r="T18974"/>
      <c r="U18974"/>
      <c r="X18974" s="60"/>
    </row>
    <row r="18975" spans="7:24" ht="15" customHeight="1">
      <c r="G18975"/>
      <c r="I18975"/>
      <c r="N18975"/>
      <c r="O18975" s="24"/>
      <c r="P18975"/>
      <c r="Q18975" s="24"/>
      <c r="R18975"/>
      <c r="S18975"/>
      <c r="T18975"/>
      <c r="U18975"/>
      <c r="X18975" s="60"/>
    </row>
    <row r="18976" spans="7:24" ht="15" customHeight="1">
      <c r="G18976"/>
      <c r="I18976"/>
      <c r="N18976"/>
      <c r="O18976" s="24"/>
      <c r="P18976"/>
      <c r="Q18976" s="24"/>
      <c r="R18976"/>
      <c r="S18976"/>
      <c r="T18976"/>
      <c r="U18976"/>
      <c r="X18976" s="60"/>
    </row>
    <row r="18977" spans="7:24" ht="15" customHeight="1">
      <c r="G18977"/>
      <c r="I18977"/>
      <c r="N18977"/>
      <c r="O18977" s="24"/>
      <c r="P18977"/>
      <c r="Q18977" s="24"/>
      <c r="R18977"/>
      <c r="S18977"/>
      <c r="T18977"/>
      <c r="U18977"/>
      <c r="X18977" s="60"/>
    </row>
    <row r="18978" spans="7:24" ht="15" customHeight="1">
      <c r="G18978"/>
      <c r="I18978"/>
      <c r="N18978"/>
      <c r="O18978" s="24"/>
      <c r="P18978"/>
      <c r="Q18978" s="24"/>
      <c r="R18978"/>
      <c r="S18978"/>
      <c r="T18978"/>
      <c r="U18978"/>
      <c r="X18978" s="60"/>
    </row>
    <row r="18979" spans="7:24" ht="15" customHeight="1">
      <c r="G18979"/>
      <c r="I18979"/>
      <c r="N18979"/>
      <c r="O18979" s="24"/>
      <c r="P18979"/>
      <c r="Q18979" s="24"/>
      <c r="R18979"/>
      <c r="S18979"/>
      <c r="T18979"/>
      <c r="U18979"/>
      <c r="X18979" s="60"/>
    </row>
    <row r="18980" spans="7:24" ht="15" customHeight="1">
      <c r="G18980"/>
      <c r="I18980"/>
      <c r="N18980"/>
      <c r="O18980" s="24"/>
      <c r="P18980"/>
      <c r="Q18980" s="24"/>
      <c r="R18980"/>
      <c r="S18980"/>
      <c r="T18980"/>
      <c r="U18980"/>
      <c r="X18980" s="60"/>
    </row>
    <row r="18981" spans="7:24" ht="15" customHeight="1">
      <c r="G18981"/>
      <c r="I18981"/>
      <c r="N18981"/>
      <c r="O18981" s="24"/>
      <c r="P18981"/>
      <c r="Q18981" s="24"/>
      <c r="R18981"/>
      <c r="S18981"/>
      <c r="T18981"/>
      <c r="U18981"/>
      <c r="X18981" s="60"/>
    </row>
    <row r="18982" spans="7:24" ht="15" customHeight="1">
      <c r="G18982"/>
      <c r="I18982"/>
      <c r="N18982"/>
      <c r="O18982" s="24"/>
      <c r="P18982"/>
      <c r="Q18982" s="24"/>
      <c r="R18982"/>
      <c r="S18982"/>
      <c r="T18982"/>
      <c r="U18982"/>
      <c r="X18982" s="60"/>
    </row>
    <row r="18983" spans="7:24" ht="15" customHeight="1">
      <c r="G18983"/>
      <c r="I18983"/>
      <c r="N18983"/>
      <c r="O18983" s="24"/>
      <c r="P18983"/>
      <c r="Q18983" s="24"/>
      <c r="R18983"/>
      <c r="S18983"/>
      <c r="T18983"/>
      <c r="U18983"/>
      <c r="X18983" s="60"/>
    </row>
    <row r="18984" spans="7:24" ht="15" customHeight="1">
      <c r="G18984"/>
      <c r="I18984"/>
      <c r="N18984"/>
      <c r="O18984" s="24"/>
      <c r="P18984"/>
      <c r="Q18984" s="24"/>
      <c r="R18984"/>
      <c r="S18984"/>
      <c r="T18984"/>
      <c r="U18984"/>
      <c r="X18984" s="60"/>
    </row>
    <row r="18985" spans="7:24" ht="15" customHeight="1">
      <c r="G18985"/>
      <c r="I18985"/>
      <c r="N18985"/>
      <c r="O18985" s="24"/>
      <c r="P18985"/>
      <c r="Q18985" s="24"/>
      <c r="R18985"/>
      <c r="S18985"/>
      <c r="T18985"/>
      <c r="U18985"/>
      <c r="X18985" s="60"/>
    </row>
    <row r="18986" spans="7:24" ht="15" customHeight="1">
      <c r="G18986"/>
      <c r="I18986"/>
      <c r="N18986"/>
      <c r="O18986" s="24"/>
      <c r="P18986"/>
      <c r="Q18986" s="24"/>
      <c r="R18986"/>
      <c r="S18986"/>
      <c r="T18986"/>
      <c r="U18986"/>
      <c r="X18986" s="60"/>
    </row>
    <row r="18987" spans="7:24" ht="15" customHeight="1">
      <c r="G18987"/>
      <c r="I18987"/>
      <c r="N18987"/>
      <c r="O18987" s="24"/>
      <c r="P18987"/>
      <c r="Q18987" s="24"/>
      <c r="R18987"/>
      <c r="S18987"/>
      <c r="T18987"/>
      <c r="U18987"/>
      <c r="X18987" s="60"/>
    </row>
    <row r="18988" spans="7:24" ht="15" customHeight="1">
      <c r="G18988"/>
      <c r="I18988"/>
      <c r="N18988"/>
      <c r="O18988" s="24"/>
      <c r="P18988"/>
      <c r="Q18988" s="24"/>
      <c r="R18988"/>
      <c r="S18988"/>
      <c r="T18988"/>
      <c r="U18988"/>
      <c r="X18988" s="60"/>
    </row>
    <row r="18989" spans="7:24" ht="15" customHeight="1">
      <c r="G18989"/>
      <c r="I18989"/>
      <c r="N18989"/>
      <c r="O18989" s="24"/>
      <c r="P18989"/>
      <c r="Q18989" s="24"/>
      <c r="R18989"/>
      <c r="S18989"/>
      <c r="T18989"/>
      <c r="U18989"/>
      <c r="X18989" s="60"/>
    </row>
    <row r="18990" spans="7:24" ht="15" customHeight="1">
      <c r="G18990"/>
      <c r="I18990"/>
      <c r="N18990"/>
      <c r="O18990" s="24"/>
      <c r="P18990"/>
      <c r="Q18990" s="24"/>
      <c r="R18990"/>
      <c r="S18990"/>
      <c r="T18990"/>
      <c r="U18990"/>
      <c r="X18990" s="60"/>
    </row>
    <row r="18991" spans="7:24" ht="15" customHeight="1">
      <c r="G18991"/>
      <c r="I18991"/>
      <c r="N18991"/>
      <c r="O18991" s="24"/>
      <c r="P18991"/>
      <c r="Q18991" s="24"/>
      <c r="R18991"/>
      <c r="S18991"/>
      <c r="T18991"/>
      <c r="U18991"/>
      <c r="X18991" s="60"/>
    </row>
    <row r="18992" spans="7:24" ht="15" customHeight="1">
      <c r="G18992"/>
      <c r="I18992"/>
      <c r="N18992"/>
      <c r="O18992" s="24"/>
      <c r="P18992"/>
      <c r="Q18992" s="24"/>
      <c r="R18992"/>
      <c r="S18992"/>
      <c r="T18992"/>
      <c r="U18992"/>
      <c r="X18992" s="60"/>
    </row>
    <row r="18993" spans="7:24" ht="15" customHeight="1">
      <c r="G18993"/>
      <c r="I18993"/>
      <c r="N18993"/>
      <c r="O18993" s="24"/>
      <c r="P18993"/>
      <c r="Q18993" s="24"/>
      <c r="R18993"/>
      <c r="S18993"/>
      <c r="T18993"/>
      <c r="U18993"/>
      <c r="X18993" s="60"/>
    </row>
    <row r="18994" spans="7:24" ht="15" customHeight="1">
      <c r="G18994"/>
      <c r="I18994"/>
      <c r="N18994"/>
      <c r="O18994" s="24"/>
      <c r="P18994"/>
      <c r="Q18994" s="24"/>
      <c r="R18994"/>
      <c r="S18994"/>
      <c r="T18994"/>
      <c r="U18994"/>
      <c r="X18994" s="60"/>
    </row>
    <row r="18995" spans="7:24" ht="15" customHeight="1">
      <c r="G18995"/>
      <c r="I18995"/>
      <c r="N18995"/>
      <c r="O18995" s="24"/>
      <c r="P18995"/>
      <c r="Q18995" s="24"/>
      <c r="R18995"/>
      <c r="S18995"/>
      <c r="T18995"/>
      <c r="U18995"/>
      <c r="X18995" s="60"/>
    </row>
    <row r="18996" spans="7:24" ht="15" customHeight="1">
      <c r="G18996"/>
      <c r="I18996"/>
      <c r="N18996"/>
      <c r="O18996" s="24"/>
      <c r="P18996"/>
      <c r="Q18996" s="24"/>
      <c r="R18996"/>
      <c r="S18996"/>
      <c r="T18996"/>
      <c r="U18996"/>
      <c r="X18996" s="60"/>
    </row>
    <row r="18997" spans="7:24" ht="15" customHeight="1">
      <c r="G18997"/>
      <c r="I18997"/>
      <c r="N18997"/>
      <c r="O18997" s="24"/>
      <c r="P18997"/>
      <c r="Q18997" s="24"/>
      <c r="R18997"/>
      <c r="S18997"/>
      <c r="T18997"/>
      <c r="U18997"/>
      <c r="X18997" s="60"/>
    </row>
    <row r="18998" spans="7:24" ht="15" customHeight="1">
      <c r="G18998"/>
      <c r="I18998"/>
      <c r="N18998"/>
      <c r="O18998" s="24"/>
      <c r="P18998"/>
      <c r="Q18998" s="24"/>
      <c r="R18998"/>
      <c r="S18998"/>
      <c r="T18998"/>
      <c r="U18998"/>
      <c r="X18998" s="60"/>
    </row>
    <row r="18999" spans="7:24" ht="15" customHeight="1">
      <c r="G18999"/>
      <c r="I18999"/>
      <c r="N18999"/>
      <c r="O18999" s="24"/>
      <c r="P18999"/>
      <c r="Q18999" s="24"/>
      <c r="R18999"/>
      <c r="S18999"/>
      <c r="T18999"/>
      <c r="U18999"/>
      <c r="X18999" s="60"/>
    </row>
    <row r="19000" spans="7:24" ht="15" customHeight="1">
      <c r="G19000"/>
      <c r="I19000"/>
      <c r="N19000"/>
      <c r="O19000" s="24"/>
      <c r="P19000"/>
      <c r="Q19000" s="24"/>
      <c r="R19000"/>
      <c r="S19000"/>
      <c r="T19000"/>
      <c r="U19000"/>
      <c r="X19000" s="60"/>
    </row>
    <row r="19001" spans="7:24" ht="15" customHeight="1">
      <c r="G19001"/>
      <c r="I19001"/>
      <c r="N19001"/>
      <c r="O19001" s="24"/>
      <c r="P19001"/>
      <c r="Q19001" s="24"/>
      <c r="R19001"/>
      <c r="S19001"/>
      <c r="T19001"/>
      <c r="U19001"/>
      <c r="X19001" s="60"/>
    </row>
    <row r="19002" spans="7:24" ht="15" customHeight="1">
      <c r="G19002"/>
      <c r="I19002"/>
      <c r="N19002"/>
      <c r="O19002" s="24"/>
      <c r="P19002"/>
      <c r="Q19002" s="24"/>
      <c r="R19002"/>
      <c r="S19002"/>
      <c r="T19002"/>
      <c r="U19002"/>
      <c r="X19002" s="60"/>
    </row>
    <row r="19003" spans="7:24" ht="15" customHeight="1">
      <c r="G19003"/>
      <c r="I19003"/>
      <c r="N19003"/>
      <c r="O19003" s="24"/>
      <c r="P19003"/>
      <c r="Q19003" s="24"/>
      <c r="R19003"/>
      <c r="S19003"/>
      <c r="T19003"/>
      <c r="U19003"/>
      <c r="X19003" s="60"/>
    </row>
    <row r="19004" spans="7:24" ht="15" customHeight="1">
      <c r="G19004"/>
      <c r="I19004"/>
      <c r="N19004"/>
      <c r="O19004" s="24"/>
      <c r="P19004"/>
      <c r="Q19004" s="24"/>
      <c r="R19004"/>
      <c r="S19004"/>
      <c r="T19004"/>
      <c r="U19004"/>
      <c r="X19004" s="60"/>
    </row>
    <row r="19005" spans="7:24" ht="15" customHeight="1">
      <c r="G19005"/>
      <c r="I19005"/>
      <c r="N19005"/>
      <c r="O19005" s="24"/>
      <c r="P19005"/>
      <c r="Q19005" s="24"/>
      <c r="R19005"/>
      <c r="S19005"/>
      <c r="T19005"/>
      <c r="U19005"/>
      <c r="X19005" s="60"/>
    </row>
    <row r="19006" spans="7:24" ht="15" customHeight="1">
      <c r="G19006"/>
      <c r="I19006"/>
      <c r="N19006"/>
      <c r="O19006" s="24"/>
      <c r="P19006"/>
      <c r="Q19006" s="24"/>
      <c r="R19006"/>
      <c r="S19006"/>
      <c r="T19006"/>
      <c r="U19006"/>
      <c r="X19006" s="60"/>
    </row>
    <row r="19007" spans="7:24" ht="15" customHeight="1">
      <c r="G19007"/>
      <c r="I19007"/>
      <c r="N19007"/>
      <c r="O19007" s="24"/>
      <c r="P19007"/>
      <c r="Q19007" s="24"/>
      <c r="R19007"/>
      <c r="S19007"/>
      <c r="T19007"/>
      <c r="U19007"/>
      <c r="X19007" s="60"/>
    </row>
    <row r="19008" spans="7:24" ht="15" customHeight="1">
      <c r="G19008"/>
      <c r="I19008"/>
      <c r="N19008"/>
      <c r="O19008" s="24"/>
      <c r="P19008"/>
      <c r="Q19008" s="24"/>
      <c r="R19008"/>
      <c r="S19008"/>
      <c r="T19008"/>
      <c r="U19008"/>
      <c r="X19008" s="60"/>
    </row>
    <row r="19009" spans="7:24" ht="15" customHeight="1">
      <c r="G19009"/>
      <c r="I19009"/>
      <c r="N19009"/>
      <c r="O19009" s="24"/>
      <c r="P19009"/>
      <c r="Q19009" s="24"/>
      <c r="R19009"/>
      <c r="S19009"/>
      <c r="T19009"/>
      <c r="U19009"/>
      <c r="X19009" s="60"/>
    </row>
    <row r="19010" spans="7:24" ht="15" customHeight="1">
      <c r="G19010"/>
      <c r="I19010"/>
      <c r="N19010"/>
      <c r="O19010" s="24"/>
      <c r="P19010"/>
      <c r="Q19010" s="24"/>
      <c r="R19010"/>
      <c r="S19010"/>
      <c r="T19010"/>
      <c r="U19010"/>
      <c r="X19010" s="60"/>
    </row>
    <row r="19011" spans="7:24" ht="15" customHeight="1">
      <c r="G19011"/>
      <c r="I19011"/>
      <c r="N19011"/>
      <c r="O19011" s="24"/>
      <c r="P19011"/>
      <c r="Q19011" s="24"/>
      <c r="R19011"/>
      <c r="S19011"/>
      <c r="T19011"/>
      <c r="U19011"/>
      <c r="X19011" s="60"/>
    </row>
    <row r="19012" spans="7:24" ht="15" customHeight="1">
      <c r="G19012"/>
      <c r="I19012"/>
      <c r="N19012"/>
      <c r="O19012" s="24"/>
      <c r="P19012"/>
      <c r="Q19012" s="24"/>
      <c r="R19012"/>
      <c r="S19012"/>
      <c r="T19012"/>
      <c r="U19012"/>
      <c r="X19012" s="60"/>
    </row>
    <row r="19013" spans="7:24" ht="15" customHeight="1">
      <c r="G19013"/>
      <c r="I19013"/>
      <c r="N19013"/>
      <c r="O19013" s="24"/>
      <c r="P19013"/>
      <c r="Q19013" s="24"/>
      <c r="R19013"/>
      <c r="S19013"/>
      <c r="T19013"/>
      <c r="U19013"/>
      <c r="X19013" s="60"/>
    </row>
    <row r="19014" spans="7:24" ht="15" customHeight="1">
      <c r="G19014"/>
      <c r="I19014"/>
      <c r="N19014"/>
      <c r="O19014" s="24"/>
      <c r="P19014"/>
      <c r="Q19014" s="24"/>
      <c r="R19014"/>
      <c r="S19014"/>
      <c r="T19014"/>
      <c r="U19014"/>
      <c r="X19014" s="60"/>
    </row>
    <row r="19015" spans="7:24" ht="15" customHeight="1">
      <c r="G19015"/>
      <c r="I19015"/>
      <c r="N19015"/>
      <c r="O19015" s="24"/>
      <c r="P19015"/>
      <c r="Q19015" s="24"/>
      <c r="R19015"/>
      <c r="S19015"/>
      <c r="T19015"/>
      <c r="U19015"/>
      <c r="X19015" s="60"/>
    </row>
    <row r="19016" spans="7:24" ht="15" customHeight="1">
      <c r="G19016"/>
      <c r="I19016"/>
      <c r="N19016"/>
      <c r="O19016" s="24"/>
      <c r="P19016"/>
      <c r="Q19016" s="24"/>
      <c r="R19016"/>
      <c r="S19016"/>
      <c r="T19016"/>
      <c r="U19016"/>
      <c r="X19016" s="60"/>
    </row>
    <row r="19017" spans="7:24" ht="15" customHeight="1">
      <c r="G19017"/>
      <c r="I19017"/>
      <c r="N19017"/>
      <c r="O19017" s="24"/>
      <c r="P19017"/>
      <c r="Q19017" s="24"/>
      <c r="R19017"/>
      <c r="S19017"/>
      <c r="T19017"/>
      <c r="U19017"/>
      <c r="X19017" s="60"/>
    </row>
    <row r="19018" spans="7:24" ht="15" customHeight="1">
      <c r="G19018"/>
      <c r="I19018"/>
      <c r="N19018"/>
      <c r="O19018" s="24"/>
      <c r="P19018"/>
      <c r="Q19018" s="24"/>
      <c r="R19018"/>
      <c r="S19018"/>
      <c r="T19018"/>
      <c r="U19018"/>
      <c r="X19018" s="60"/>
    </row>
    <row r="19019" spans="7:24" ht="15" customHeight="1">
      <c r="G19019"/>
      <c r="I19019"/>
      <c r="N19019"/>
      <c r="O19019" s="24"/>
      <c r="P19019"/>
      <c r="Q19019" s="24"/>
      <c r="R19019"/>
      <c r="S19019"/>
      <c r="T19019"/>
      <c r="U19019"/>
      <c r="X19019" s="60"/>
    </row>
    <row r="19020" spans="7:24" ht="15" customHeight="1">
      <c r="G19020"/>
      <c r="I19020"/>
      <c r="N19020"/>
      <c r="O19020" s="24"/>
      <c r="P19020"/>
      <c r="Q19020" s="24"/>
      <c r="R19020"/>
      <c r="S19020"/>
      <c r="T19020"/>
      <c r="U19020"/>
      <c r="X19020" s="60"/>
    </row>
    <row r="19021" spans="7:24" ht="15" customHeight="1">
      <c r="G19021"/>
      <c r="I19021"/>
      <c r="N19021"/>
      <c r="O19021" s="24"/>
      <c r="P19021"/>
      <c r="Q19021" s="24"/>
      <c r="R19021"/>
      <c r="S19021"/>
      <c r="T19021"/>
      <c r="U19021"/>
      <c r="X19021" s="60"/>
    </row>
    <row r="19022" spans="7:24" ht="15" customHeight="1">
      <c r="G19022"/>
      <c r="I19022"/>
      <c r="N19022"/>
      <c r="O19022" s="24"/>
      <c r="P19022"/>
      <c r="Q19022" s="24"/>
      <c r="R19022"/>
      <c r="S19022"/>
      <c r="T19022"/>
      <c r="U19022"/>
      <c r="X19022" s="60"/>
    </row>
    <row r="19023" spans="7:24" ht="15" customHeight="1">
      <c r="G19023"/>
      <c r="I19023"/>
      <c r="N19023"/>
      <c r="O19023" s="24"/>
      <c r="P19023"/>
      <c r="Q19023" s="24"/>
      <c r="R19023"/>
      <c r="S19023"/>
      <c r="T19023"/>
      <c r="U19023"/>
      <c r="X19023" s="60"/>
    </row>
    <row r="19024" spans="7:24" ht="15" customHeight="1">
      <c r="G19024"/>
      <c r="I19024"/>
      <c r="N19024"/>
      <c r="O19024" s="24"/>
      <c r="P19024"/>
      <c r="Q19024" s="24"/>
      <c r="R19024"/>
      <c r="S19024"/>
      <c r="T19024"/>
      <c r="U19024"/>
      <c r="X19024" s="60"/>
    </row>
    <row r="19025" spans="7:24" ht="15" customHeight="1">
      <c r="G19025"/>
      <c r="I19025"/>
      <c r="N19025"/>
      <c r="O19025" s="24"/>
      <c r="P19025"/>
      <c r="Q19025" s="24"/>
      <c r="R19025"/>
      <c r="S19025"/>
      <c r="T19025"/>
      <c r="U19025"/>
      <c r="X19025" s="60"/>
    </row>
    <row r="19026" spans="7:24" ht="15" customHeight="1">
      <c r="G19026"/>
      <c r="I19026"/>
      <c r="N19026"/>
      <c r="O19026" s="24"/>
      <c r="P19026"/>
      <c r="Q19026" s="24"/>
      <c r="R19026"/>
      <c r="S19026"/>
      <c r="T19026"/>
      <c r="U19026"/>
      <c r="X19026" s="60"/>
    </row>
    <row r="19027" spans="7:24" ht="15" customHeight="1">
      <c r="G19027"/>
      <c r="I19027"/>
      <c r="N19027"/>
      <c r="O19027" s="24"/>
      <c r="P19027"/>
      <c r="Q19027" s="24"/>
      <c r="R19027"/>
      <c r="S19027"/>
      <c r="T19027"/>
      <c r="U19027"/>
      <c r="X19027" s="60"/>
    </row>
    <row r="19028" spans="7:24" ht="15" customHeight="1">
      <c r="G19028"/>
      <c r="I19028"/>
      <c r="N19028"/>
      <c r="O19028" s="24"/>
      <c r="P19028"/>
      <c r="Q19028" s="24"/>
      <c r="R19028"/>
      <c r="S19028"/>
      <c r="T19028"/>
      <c r="U19028"/>
      <c r="X19028" s="60"/>
    </row>
    <row r="19029" spans="7:24" ht="15" customHeight="1">
      <c r="G19029"/>
      <c r="I19029"/>
      <c r="N19029"/>
      <c r="O19029" s="24"/>
      <c r="P19029"/>
      <c r="Q19029" s="24"/>
      <c r="R19029"/>
      <c r="S19029"/>
      <c r="T19029"/>
      <c r="U19029"/>
      <c r="X19029" s="60"/>
    </row>
    <row r="19030" spans="7:24" ht="15" customHeight="1">
      <c r="G19030"/>
      <c r="I19030"/>
      <c r="N19030"/>
      <c r="O19030" s="24"/>
      <c r="P19030"/>
      <c r="Q19030" s="24"/>
      <c r="R19030"/>
      <c r="S19030"/>
      <c r="T19030"/>
      <c r="U19030"/>
      <c r="X19030" s="60"/>
    </row>
    <row r="19031" spans="7:24" ht="15" customHeight="1">
      <c r="G19031"/>
      <c r="I19031"/>
      <c r="N19031"/>
      <c r="O19031" s="24"/>
      <c r="P19031"/>
      <c r="Q19031" s="24"/>
      <c r="R19031"/>
      <c r="S19031"/>
      <c r="T19031"/>
      <c r="U19031"/>
      <c r="X19031" s="60"/>
    </row>
    <row r="19032" spans="7:24" ht="15" customHeight="1">
      <c r="G19032"/>
      <c r="I19032"/>
      <c r="N19032"/>
      <c r="O19032" s="24"/>
      <c r="P19032"/>
      <c r="Q19032" s="24"/>
      <c r="R19032"/>
      <c r="S19032"/>
      <c r="T19032"/>
      <c r="U19032"/>
      <c r="X19032" s="60"/>
    </row>
    <row r="19033" spans="7:24" ht="15" customHeight="1">
      <c r="G19033"/>
      <c r="I19033"/>
      <c r="N19033"/>
      <c r="O19033" s="24"/>
      <c r="P19033"/>
      <c r="Q19033" s="24"/>
      <c r="R19033"/>
      <c r="S19033"/>
      <c r="T19033"/>
      <c r="U19033"/>
      <c r="X19033" s="60"/>
    </row>
    <row r="19034" spans="7:24" ht="15" customHeight="1">
      <c r="G19034"/>
      <c r="I19034"/>
      <c r="N19034"/>
      <c r="O19034" s="24"/>
      <c r="P19034"/>
      <c r="Q19034" s="24"/>
      <c r="R19034"/>
      <c r="S19034"/>
      <c r="T19034"/>
      <c r="U19034"/>
      <c r="X19034" s="60"/>
    </row>
    <row r="19035" spans="7:24" ht="15" customHeight="1">
      <c r="G19035"/>
      <c r="I19035"/>
      <c r="N19035"/>
      <c r="O19035" s="24"/>
      <c r="P19035"/>
      <c r="Q19035" s="24"/>
      <c r="R19035"/>
      <c r="S19035"/>
      <c r="T19035"/>
      <c r="U19035"/>
      <c r="X19035" s="60"/>
    </row>
    <row r="19036" spans="7:24" ht="15" customHeight="1">
      <c r="G19036"/>
      <c r="I19036"/>
      <c r="N19036"/>
      <c r="O19036" s="24"/>
      <c r="P19036"/>
      <c r="Q19036" s="24"/>
      <c r="R19036"/>
      <c r="S19036"/>
      <c r="T19036"/>
      <c r="U19036"/>
      <c r="X19036" s="60"/>
    </row>
    <row r="19037" spans="7:24" ht="15" customHeight="1">
      <c r="G19037"/>
      <c r="I19037"/>
      <c r="N19037"/>
      <c r="O19037" s="24"/>
      <c r="P19037"/>
      <c r="Q19037" s="24"/>
      <c r="R19037"/>
      <c r="S19037"/>
      <c r="T19037"/>
      <c r="U19037"/>
      <c r="X19037" s="60"/>
    </row>
    <row r="19038" spans="7:24" ht="15" customHeight="1">
      <c r="G19038"/>
      <c r="I19038"/>
      <c r="N19038"/>
      <c r="O19038" s="24"/>
      <c r="P19038"/>
      <c r="Q19038" s="24"/>
      <c r="R19038"/>
      <c r="S19038"/>
      <c r="T19038"/>
      <c r="U19038"/>
      <c r="X19038" s="60"/>
    </row>
    <row r="19039" spans="7:24" ht="15" customHeight="1">
      <c r="G19039"/>
      <c r="I19039"/>
      <c r="N19039"/>
      <c r="O19039" s="24"/>
      <c r="P19039"/>
      <c r="Q19039" s="24"/>
      <c r="R19039"/>
      <c r="S19039"/>
      <c r="T19039"/>
      <c r="U19039"/>
      <c r="X19039" s="60"/>
    </row>
    <row r="19040" spans="7:24" ht="15" customHeight="1">
      <c r="G19040"/>
      <c r="I19040"/>
      <c r="N19040"/>
      <c r="O19040" s="24"/>
      <c r="P19040"/>
      <c r="Q19040" s="24"/>
      <c r="R19040"/>
      <c r="S19040"/>
      <c r="T19040"/>
      <c r="U19040"/>
      <c r="X19040" s="60"/>
    </row>
    <row r="19041" spans="7:24" ht="15" customHeight="1">
      <c r="G19041"/>
      <c r="I19041"/>
      <c r="N19041"/>
      <c r="O19041" s="24"/>
      <c r="P19041"/>
      <c r="Q19041" s="24"/>
      <c r="R19041"/>
      <c r="S19041"/>
      <c r="T19041"/>
      <c r="U19041"/>
      <c r="X19041" s="60"/>
    </row>
    <row r="19042" spans="7:24" ht="15" customHeight="1">
      <c r="G19042"/>
      <c r="I19042"/>
      <c r="N19042"/>
      <c r="O19042" s="24"/>
      <c r="P19042"/>
      <c r="Q19042" s="24"/>
      <c r="R19042"/>
      <c r="S19042"/>
      <c r="T19042"/>
      <c r="U19042"/>
      <c r="X19042" s="60"/>
    </row>
    <row r="19043" spans="7:24" ht="15" customHeight="1">
      <c r="G19043"/>
      <c r="I19043"/>
      <c r="N19043"/>
      <c r="O19043" s="24"/>
      <c r="P19043"/>
      <c r="Q19043" s="24"/>
      <c r="R19043"/>
      <c r="S19043"/>
      <c r="T19043"/>
      <c r="U19043"/>
      <c r="X19043" s="60"/>
    </row>
    <row r="19044" spans="7:24" ht="15" customHeight="1">
      <c r="G19044"/>
      <c r="I19044"/>
      <c r="N19044"/>
      <c r="O19044" s="24"/>
      <c r="P19044"/>
      <c r="Q19044" s="24"/>
      <c r="R19044"/>
      <c r="S19044"/>
      <c r="T19044"/>
      <c r="U19044"/>
      <c r="X19044" s="60"/>
    </row>
    <row r="19045" spans="7:24" ht="15" customHeight="1">
      <c r="G19045"/>
      <c r="I19045"/>
      <c r="N19045"/>
      <c r="O19045" s="24"/>
      <c r="P19045"/>
      <c r="Q19045" s="24"/>
      <c r="R19045"/>
      <c r="S19045"/>
      <c r="T19045"/>
      <c r="U19045"/>
      <c r="X19045" s="60"/>
    </row>
    <row r="19046" spans="7:24" ht="15" customHeight="1">
      <c r="G19046"/>
      <c r="I19046"/>
      <c r="N19046"/>
      <c r="O19046" s="24"/>
      <c r="P19046"/>
      <c r="Q19046" s="24"/>
      <c r="R19046"/>
      <c r="S19046"/>
      <c r="T19046"/>
      <c r="U19046"/>
      <c r="X19046" s="60"/>
    </row>
    <row r="19047" spans="7:24" ht="15" customHeight="1">
      <c r="G19047"/>
      <c r="I19047"/>
      <c r="N19047"/>
      <c r="O19047" s="24"/>
      <c r="P19047"/>
      <c r="Q19047" s="24"/>
      <c r="R19047"/>
      <c r="S19047"/>
      <c r="T19047"/>
      <c r="U19047"/>
      <c r="X19047" s="60"/>
    </row>
    <row r="19048" spans="7:24" ht="15" customHeight="1">
      <c r="G19048"/>
      <c r="I19048"/>
      <c r="N19048"/>
      <c r="O19048" s="24"/>
      <c r="P19048"/>
      <c r="Q19048" s="24"/>
      <c r="R19048"/>
      <c r="S19048"/>
      <c r="T19048"/>
      <c r="U19048"/>
      <c r="X19048" s="60"/>
    </row>
    <row r="19049" spans="7:24" ht="15" customHeight="1">
      <c r="G19049"/>
      <c r="I19049"/>
      <c r="N19049"/>
      <c r="O19049" s="24"/>
      <c r="P19049"/>
      <c r="Q19049" s="24"/>
      <c r="R19049"/>
      <c r="S19049"/>
      <c r="T19049"/>
      <c r="U19049"/>
      <c r="X19049" s="60"/>
    </row>
    <row r="19050" spans="7:24" ht="15" customHeight="1">
      <c r="G19050"/>
      <c r="I19050"/>
      <c r="N19050"/>
      <c r="O19050" s="24"/>
      <c r="P19050"/>
      <c r="Q19050" s="24"/>
      <c r="R19050"/>
      <c r="S19050"/>
      <c r="T19050"/>
      <c r="U19050"/>
      <c r="X19050" s="60"/>
    </row>
    <row r="19051" spans="7:24" ht="15" customHeight="1">
      <c r="G19051"/>
      <c r="I19051"/>
      <c r="N19051"/>
      <c r="O19051" s="24"/>
      <c r="P19051"/>
      <c r="Q19051" s="24"/>
      <c r="R19051"/>
      <c r="S19051"/>
      <c r="T19051"/>
      <c r="U19051"/>
      <c r="X19051" s="60"/>
    </row>
    <row r="19052" spans="7:24" ht="15" customHeight="1">
      <c r="G19052"/>
      <c r="I19052"/>
      <c r="N19052"/>
      <c r="O19052" s="24"/>
      <c r="P19052"/>
      <c r="Q19052" s="24"/>
      <c r="R19052"/>
      <c r="S19052"/>
      <c r="T19052"/>
      <c r="U19052"/>
      <c r="X19052" s="60"/>
    </row>
    <row r="19053" spans="7:24" ht="15" customHeight="1">
      <c r="G19053"/>
      <c r="I19053"/>
      <c r="N19053"/>
      <c r="O19053" s="24"/>
      <c r="P19053"/>
      <c r="Q19053" s="24"/>
      <c r="R19053"/>
      <c r="S19053"/>
      <c r="T19053"/>
      <c r="U19053"/>
      <c r="X19053" s="60"/>
    </row>
    <row r="19054" spans="7:24" ht="15" customHeight="1">
      <c r="G19054"/>
      <c r="I19054"/>
      <c r="N19054"/>
      <c r="O19054" s="24"/>
      <c r="P19054"/>
      <c r="Q19054" s="24"/>
      <c r="R19054"/>
      <c r="S19054"/>
      <c r="T19054"/>
      <c r="U19054"/>
      <c r="X19054" s="60"/>
    </row>
    <row r="19055" spans="7:24" ht="15" customHeight="1">
      <c r="G19055"/>
      <c r="I19055"/>
      <c r="N19055"/>
      <c r="O19055" s="24"/>
      <c r="P19055"/>
      <c r="Q19055" s="24"/>
      <c r="R19055"/>
      <c r="S19055"/>
      <c r="T19055"/>
      <c r="U19055"/>
      <c r="X19055" s="60"/>
    </row>
    <row r="19056" spans="7:24" ht="15" customHeight="1">
      <c r="G19056"/>
      <c r="I19056"/>
      <c r="N19056"/>
      <c r="O19056" s="24"/>
      <c r="P19056"/>
      <c r="Q19056" s="24"/>
      <c r="R19056"/>
      <c r="S19056"/>
      <c r="T19056"/>
      <c r="U19056"/>
      <c r="X19056" s="60"/>
    </row>
    <row r="19057" spans="7:24" ht="15" customHeight="1">
      <c r="G19057"/>
      <c r="I19057"/>
      <c r="N19057"/>
      <c r="O19057" s="24"/>
      <c r="P19057"/>
      <c r="Q19057" s="24"/>
      <c r="R19057"/>
      <c r="S19057"/>
      <c r="T19057"/>
      <c r="U19057"/>
      <c r="X19057" s="60"/>
    </row>
    <row r="19058" spans="7:24" ht="15" customHeight="1">
      <c r="G19058"/>
      <c r="I19058"/>
      <c r="N19058"/>
      <c r="O19058" s="24"/>
      <c r="P19058"/>
      <c r="Q19058" s="24"/>
      <c r="R19058"/>
      <c r="S19058"/>
      <c r="T19058"/>
      <c r="U19058"/>
      <c r="X19058" s="60"/>
    </row>
    <row r="19059" spans="7:24" ht="15" customHeight="1">
      <c r="G19059"/>
      <c r="I19059"/>
      <c r="N19059"/>
      <c r="O19059" s="24"/>
      <c r="P19059"/>
      <c r="Q19059" s="24"/>
      <c r="R19059"/>
      <c r="S19059"/>
      <c r="T19059"/>
      <c r="U19059"/>
      <c r="X19059" s="60"/>
    </row>
    <row r="19060" spans="7:24" ht="15" customHeight="1">
      <c r="G19060"/>
      <c r="I19060"/>
      <c r="N19060"/>
      <c r="O19060" s="24"/>
      <c r="P19060"/>
      <c r="Q19060" s="24"/>
      <c r="R19060"/>
      <c r="S19060"/>
      <c r="T19060"/>
      <c r="U19060"/>
      <c r="X19060" s="60"/>
    </row>
    <row r="19061" spans="7:24" ht="15" customHeight="1">
      <c r="G19061"/>
      <c r="I19061"/>
      <c r="N19061"/>
      <c r="O19061" s="24"/>
      <c r="P19061"/>
      <c r="Q19061" s="24"/>
      <c r="R19061"/>
      <c r="S19061"/>
      <c r="T19061"/>
      <c r="U19061"/>
      <c r="X19061" s="60"/>
    </row>
    <row r="19062" spans="7:24" ht="15" customHeight="1">
      <c r="G19062"/>
      <c r="I19062"/>
      <c r="N19062"/>
      <c r="O19062" s="24"/>
      <c r="P19062"/>
      <c r="Q19062" s="24"/>
      <c r="R19062"/>
      <c r="S19062"/>
      <c r="T19062"/>
      <c r="U19062"/>
      <c r="X19062" s="60"/>
    </row>
    <row r="19063" spans="7:24" ht="15" customHeight="1">
      <c r="G19063"/>
      <c r="I19063"/>
      <c r="N19063"/>
      <c r="O19063" s="24"/>
      <c r="P19063"/>
      <c r="Q19063" s="24"/>
      <c r="R19063"/>
      <c r="S19063"/>
      <c r="T19063"/>
      <c r="U19063"/>
      <c r="X19063" s="60"/>
    </row>
    <row r="19064" spans="7:24" ht="15" customHeight="1">
      <c r="G19064"/>
      <c r="I19064"/>
      <c r="N19064"/>
      <c r="O19064" s="24"/>
      <c r="P19064"/>
      <c r="Q19064" s="24"/>
      <c r="R19064"/>
      <c r="S19064"/>
      <c r="T19064"/>
      <c r="U19064"/>
      <c r="X19064" s="60"/>
    </row>
    <row r="19065" spans="7:24" ht="15" customHeight="1">
      <c r="G19065"/>
      <c r="I19065"/>
      <c r="N19065"/>
      <c r="O19065" s="24"/>
      <c r="P19065"/>
      <c r="Q19065" s="24"/>
      <c r="R19065"/>
      <c r="S19065"/>
      <c r="T19065"/>
      <c r="U19065"/>
      <c r="X19065" s="60"/>
    </row>
    <row r="19066" spans="7:24" ht="15" customHeight="1">
      <c r="G19066"/>
      <c r="I19066"/>
      <c r="N19066"/>
      <c r="O19066" s="24"/>
      <c r="P19066"/>
      <c r="Q19066" s="24"/>
      <c r="R19066"/>
      <c r="S19066"/>
      <c r="T19066"/>
      <c r="U19066"/>
      <c r="X19066" s="60"/>
    </row>
    <row r="19067" spans="7:24" ht="15" customHeight="1">
      <c r="G19067"/>
      <c r="I19067"/>
      <c r="N19067"/>
      <c r="O19067" s="24"/>
      <c r="P19067"/>
      <c r="Q19067" s="24"/>
      <c r="R19067"/>
      <c r="S19067"/>
      <c r="T19067"/>
      <c r="U19067"/>
      <c r="X19067" s="60"/>
    </row>
    <row r="19068" spans="7:24" ht="15" customHeight="1">
      <c r="G19068"/>
      <c r="I19068"/>
      <c r="N19068"/>
      <c r="O19068" s="24"/>
      <c r="P19068"/>
      <c r="Q19068" s="24"/>
      <c r="R19068"/>
      <c r="S19068"/>
      <c r="T19068"/>
      <c r="U19068"/>
      <c r="X19068" s="60"/>
    </row>
    <row r="19069" spans="7:24" ht="15" customHeight="1">
      <c r="G19069"/>
      <c r="I19069"/>
      <c r="N19069"/>
      <c r="O19069" s="24"/>
      <c r="P19069"/>
      <c r="Q19069" s="24"/>
      <c r="R19069"/>
      <c r="S19069"/>
      <c r="T19069"/>
      <c r="U19069"/>
      <c r="X19069" s="60"/>
    </row>
    <row r="19070" spans="7:24" ht="15" customHeight="1">
      <c r="G19070"/>
      <c r="I19070"/>
      <c r="N19070"/>
      <c r="O19070" s="24"/>
      <c r="P19070"/>
      <c r="Q19070" s="24"/>
      <c r="R19070"/>
      <c r="S19070"/>
      <c r="T19070"/>
      <c r="U19070"/>
      <c r="X19070" s="60"/>
    </row>
    <row r="19071" spans="7:24" ht="15" customHeight="1">
      <c r="G19071"/>
      <c r="I19071"/>
      <c r="N19071"/>
      <c r="O19071" s="24"/>
      <c r="P19071"/>
      <c r="Q19071" s="24"/>
      <c r="R19071"/>
      <c r="S19071"/>
      <c r="T19071"/>
      <c r="U19071"/>
      <c r="X19071" s="60"/>
    </row>
    <row r="19072" spans="7:24" ht="15" customHeight="1">
      <c r="G19072"/>
      <c r="I19072"/>
      <c r="N19072"/>
      <c r="O19072" s="24"/>
      <c r="P19072"/>
      <c r="Q19072" s="24"/>
      <c r="R19072"/>
      <c r="S19072"/>
      <c r="T19072"/>
      <c r="U19072"/>
      <c r="X19072" s="60"/>
    </row>
    <row r="19073" spans="7:24" ht="15" customHeight="1">
      <c r="G19073"/>
      <c r="I19073"/>
      <c r="N19073"/>
      <c r="O19073" s="24"/>
      <c r="P19073"/>
      <c r="Q19073" s="24"/>
      <c r="R19073"/>
      <c r="S19073"/>
      <c r="T19073"/>
      <c r="U19073"/>
      <c r="X19073" s="60"/>
    </row>
    <row r="19074" spans="7:24" ht="15" customHeight="1">
      <c r="G19074"/>
      <c r="I19074"/>
      <c r="N19074"/>
      <c r="O19074" s="24"/>
      <c r="P19074"/>
      <c r="Q19074" s="24"/>
      <c r="R19074"/>
      <c r="S19074"/>
      <c r="T19074"/>
      <c r="U19074"/>
      <c r="X19074" s="60"/>
    </row>
    <row r="19075" spans="7:24" ht="15" customHeight="1">
      <c r="G19075"/>
      <c r="I19075"/>
      <c r="N19075"/>
      <c r="O19075" s="24"/>
      <c r="P19075"/>
      <c r="Q19075" s="24"/>
      <c r="R19075"/>
      <c r="S19075"/>
      <c r="T19075"/>
      <c r="U19075"/>
      <c r="X19075" s="60"/>
    </row>
    <row r="19076" spans="7:24" ht="15" customHeight="1">
      <c r="G19076"/>
      <c r="I19076"/>
      <c r="N19076"/>
      <c r="O19076" s="24"/>
      <c r="P19076"/>
      <c r="Q19076" s="24"/>
      <c r="R19076"/>
      <c r="S19076"/>
      <c r="T19076"/>
      <c r="U19076"/>
      <c r="X19076" s="60"/>
    </row>
    <row r="19077" spans="7:24" ht="15" customHeight="1">
      <c r="G19077"/>
      <c r="I19077"/>
      <c r="N19077"/>
      <c r="O19077" s="24"/>
      <c r="P19077"/>
      <c r="Q19077" s="24"/>
      <c r="R19077"/>
      <c r="S19077"/>
      <c r="T19077"/>
      <c r="U19077"/>
      <c r="X19077" s="60"/>
    </row>
    <row r="19078" spans="7:24" ht="15" customHeight="1">
      <c r="G19078"/>
      <c r="I19078"/>
      <c r="N19078"/>
      <c r="O19078" s="24"/>
      <c r="P19078"/>
      <c r="Q19078" s="24"/>
      <c r="R19078"/>
      <c r="S19078"/>
      <c r="T19078"/>
      <c r="U19078"/>
      <c r="X19078" s="60"/>
    </row>
    <row r="19079" spans="7:24" ht="15" customHeight="1">
      <c r="G19079"/>
      <c r="I19079"/>
      <c r="N19079"/>
      <c r="O19079" s="24"/>
      <c r="P19079"/>
      <c r="Q19079" s="24"/>
      <c r="R19079"/>
      <c r="S19079"/>
      <c r="T19079"/>
      <c r="U19079"/>
      <c r="X19079" s="60"/>
    </row>
    <row r="19080" spans="7:24" ht="15" customHeight="1">
      <c r="G19080"/>
      <c r="I19080"/>
      <c r="N19080"/>
      <c r="O19080" s="24"/>
      <c r="P19080"/>
      <c r="Q19080" s="24"/>
      <c r="R19080"/>
      <c r="S19080"/>
      <c r="T19080"/>
      <c r="U19080"/>
      <c r="X19080" s="60"/>
    </row>
    <row r="19081" spans="7:24" ht="15" customHeight="1">
      <c r="G19081"/>
      <c r="I19081"/>
      <c r="N19081"/>
      <c r="O19081" s="24"/>
      <c r="P19081"/>
      <c r="Q19081" s="24"/>
      <c r="R19081"/>
      <c r="S19081"/>
      <c r="T19081"/>
      <c r="U19081"/>
      <c r="X19081" s="60"/>
    </row>
    <row r="19082" spans="7:24" ht="15" customHeight="1">
      <c r="G19082"/>
      <c r="I19082"/>
      <c r="N19082"/>
      <c r="O19082" s="24"/>
      <c r="P19082"/>
      <c r="Q19082" s="24"/>
      <c r="R19082"/>
      <c r="S19082"/>
      <c r="T19082"/>
      <c r="U19082"/>
      <c r="X19082" s="60"/>
    </row>
    <row r="19083" spans="7:24" ht="15" customHeight="1">
      <c r="G19083"/>
      <c r="I19083"/>
      <c r="N19083"/>
      <c r="O19083" s="24"/>
      <c r="P19083"/>
      <c r="Q19083" s="24"/>
      <c r="R19083"/>
      <c r="S19083"/>
      <c r="T19083"/>
      <c r="U19083"/>
      <c r="X19083" s="60"/>
    </row>
    <row r="19084" spans="7:24" ht="15" customHeight="1">
      <c r="G19084"/>
      <c r="I19084"/>
      <c r="N19084"/>
      <c r="O19084" s="24"/>
      <c r="P19084"/>
      <c r="Q19084" s="24"/>
      <c r="R19084"/>
      <c r="S19084"/>
      <c r="T19084"/>
      <c r="U19084"/>
      <c r="X19084" s="60"/>
    </row>
    <row r="19085" spans="7:24" ht="15" customHeight="1">
      <c r="G19085"/>
      <c r="I19085"/>
      <c r="N19085"/>
      <c r="O19085" s="24"/>
      <c r="P19085"/>
      <c r="Q19085" s="24"/>
      <c r="R19085"/>
      <c r="S19085"/>
      <c r="T19085"/>
      <c r="U19085"/>
      <c r="X19085" s="60"/>
    </row>
    <row r="19086" spans="7:24" ht="15" customHeight="1">
      <c r="G19086"/>
      <c r="I19086"/>
      <c r="N19086"/>
      <c r="O19086" s="24"/>
      <c r="P19086"/>
      <c r="Q19086" s="24"/>
      <c r="R19086"/>
      <c r="S19086"/>
      <c r="T19086"/>
      <c r="U19086"/>
      <c r="X19086" s="60"/>
    </row>
    <row r="19087" spans="7:24" ht="15" customHeight="1">
      <c r="G19087"/>
      <c r="I19087"/>
      <c r="N19087"/>
      <c r="O19087" s="24"/>
      <c r="P19087"/>
      <c r="Q19087" s="24"/>
      <c r="R19087"/>
      <c r="S19087"/>
      <c r="T19087"/>
      <c r="U19087"/>
      <c r="X19087" s="60"/>
    </row>
    <row r="19088" spans="7:24" ht="15" customHeight="1">
      <c r="G19088"/>
      <c r="I19088"/>
      <c r="N19088"/>
      <c r="O19088" s="24"/>
      <c r="P19088"/>
      <c r="Q19088" s="24"/>
      <c r="R19088"/>
      <c r="S19088"/>
      <c r="T19088"/>
      <c r="U19088"/>
      <c r="X19088" s="60"/>
    </row>
    <row r="19089" spans="7:24" ht="15" customHeight="1">
      <c r="G19089"/>
      <c r="I19089"/>
      <c r="N19089"/>
      <c r="O19089" s="24"/>
      <c r="P19089"/>
      <c r="Q19089" s="24"/>
      <c r="R19089"/>
      <c r="S19089"/>
      <c r="T19089"/>
      <c r="U19089"/>
      <c r="X19089" s="60"/>
    </row>
    <row r="19090" spans="7:24" ht="15" customHeight="1">
      <c r="G19090"/>
      <c r="I19090"/>
      <c r="N19090"/>
      <c r="O19090" s="24"/>
      <c r="P19090"/>
      <c r="Q19090" s="24"/>
      <c r="R19090"/>
      <c r="S19090"/>
      <c r="T19090"/>
      <c r="U19090"/>
      <c r="X19090" s="60"/>
    </row>
    <row r="19091" spans="7:24" ht="15" customHeight="1">
      <c r="G19091"/>
      <c r="I19091"/>
      <c r="N19091"/>
      <c r="O19091" s="24"/>
      <c r="P19091"/>
      <c r="Q19091" s="24"/>
      <c r="R19091"/>
      <c r="S19091"/>
      <c r="T19091"/>
      <c r="U19091"/>
      <c r="X19091" s="60"/>
    </row>
    <row r="19092" spans="7:24" ht="15" customHeight="1">
      <c r="G19092"/>
      <c r="I19092"/>
      <c r="N19092"/>
      <c r="O19092" s="24"/>
      <c r="P19092"/>
      <c r="Q19092" s="24"/>
      <c r="R19092"/>
      <c r="S19092"/>
      <c r="T19092"/>
      <c r="U19092"/>
      <c r="X19092" s="60"/>
    </row>
    <row r="19093" spans="7:24" ht="15" customHeight="1">
      <c r="G19093"/>
      <c r="I19093"/>
      <c r="N19093"/>
      <c r="O19093" s="24"/>
      <c r="P19093"/>
      <c r="Q19093" s="24"/>
      <c r="R19093"/>
      <c r="S19093"/>
      <c r="T19093"/>
      <c r="U19093"/>
      <c r="X19093" s="60"/>
    </row>
    <row r="19094" spans="7:24" ht="15" customHeight="1">
      <c r="G19094"/>
      <c r="I19094"/>
      <c r="N19094"/>
      <c r="O19094" s="24"/>
      <c r="P19094"/>
      <c r="Q19094" s="24"/>
      <c r="R19094"/>
      <c r="S19094"/>
      <c r="T19094"/>
      <c r="U19094"/>
      <c r="X19094" s="60"/>
    </row>
    <row r="19095" spans="7:24" ht="15" customHeight="1">
      <c r="G19095"/>
      <c r="I19095"/>
      <c r="N19095"/>
      <c r="O19095" s="24"/>
      <c r="P19095"/>
      <c r="Q19095" s="24"/>
      <c r="R19095"/>
      <c r="S19095"/>
      <c r="T19095"/>
      <c r="U19095"/>
      <c r="X19095" s="60"/>
    </row>
    <row r="19096" spans="7:24" ht="15" customHeight="1">
      <c r="G19096"/>
      <c r="I19096"/>
      <c r="N19096"/>
      <c r="O19096" s="24"/>
      <c r="P19096"/>
      <c r="Q19096" s="24"/>
      <c r="R19096"/>
      <c r="S19096"/>
      <c r="T19096"/>
      <c r="U19096"/>
      <c r="X19096" s="60"/>
    </row>
    <row r="19097" spans="7:24" ht="15" customHeight="1">
      <c r="G19097"/>
      <c r="I19097"/>
      <c r="N19097"/>
      <c r="O19097" s="24"/>
      <c r="P19097"/>
      <c r="Q19097" s="24"/>
      <c r="R19097"/>
      <c r="S19097"/>
      <c r="T19097"/>
      <c r="U19097"/>
      <c r="X19097" s="60"/>
    </row>
    <row r="19098" spans="7:24" ht="15" customHeight="1">
      <c r="G19098"/>
      <c r="I19098"/>
      <c r="N19098"/>
      <c r="O19098" s="24"/>
      <c r="P19098"/>
      <c r="Q19098" s="24"/>
      <c r="R19098"/>
      <c r="S19098"/>
      <c r="T19098"/>
      <c r="U19098"/>
      <c r="X19098" s="60"/>
    </row>
    <row r="19099" spans="7:24" ht="15" customHeight="1">
      <c r="G19099"/>
      <c r="I19099"/>
      <c r="N19099"/>
      <c r="O19099" s="24"/>
      <c r="P19099"/>
      <c r="Q19099" s="24"/>
      <c r="R19099"/>
      <c r="S19099"/>
      <c r="T19099"/>
      <c r="U19099"/>
      <c r="X19099" s="60"/>
    </row>
    <row r="19100" spans="7:24" ht="15" customHeight="1">
      <c r="G19100"/>
      <c r="I19100"/>
      <c r="N19100"/>
      <c r="O19100" s="24"/>
      <c r="P19100"/>
      <c r="Q19100" s="24"/>
      <c r="R19100"/>
      <c r="S19100"/>
      <c r="T19100"/>
      <c r="U19100"/>
      <c r="X19100" s="60"/>
    </row>
    <row r="19101" spans="7:24" ht="15" customHeight="1">
      <c r="G19101"/>
      <c r="I19101"/>
      <c r="N19101"/>
      <c r="O19101" s="24"/>
      <c r="P19101"/>
      <c r="Q19101" s="24"/>
      <c r="R19101"/>
      <c r="S19101"/>
      <c r="T19101"/>
      <c r="U19101"/>
      <c r="X19101" s="60"/>
    </row>
    <row r="19102" spans="7:24" ht="15" customHeight="1">
      <c r="G19102"/>
      <c r="I19102"/>
      <c r="N19102"/>
      <c r="O19102" s="24"/>
      <c r="P19102"/>
      <c r="Q19102" s="24"/>
      <c r="R19102"/>
      <c r="S19102"/>
      <c r="T19102"/>
      <c r="U19102"/>
      <c r="X19102" s="60"/>
    </row>
    <row r="19103" spans="7:24" ht="15" customHeight="1">
      <c r="G19103"/>
      <c r="I19103"/>
      <c r="N19103"/>
      <c r="O19103" s="24"/>
      <c r="P19103"/>
      <c r="Q19103" s="24"/>
      <c r="R19103"/>
      <c r="S19103"/>
      <c r="T19103"/>
      <c r="U19103"/>
      <c r="X19103" s="60"/>
    </row>
    <row r="19104" spans="7:24" ht="15" customHeight="1">
      <c r="G19104"/>
      <c r="I19104"/>
      <c r="N19104"/>
      <c r="O19104" s="24"/>
      <c r="P19104"/>
      <c r="Q19104" s="24"/>
      <c r="R19104"/>
      <c r="S19104"/>
      <c r="T19104"/>
      <c r="U19104"/>
      <c r="X19104" s="60"/>
    </row>
    <row r="19105" spans="7:24" ht="15" customHeight="1">
      <c r="G19105"/>
      <c r="I19105"/>
      <c r="N19105"/>
      <c r="O19105" s="24"/>
      <c r="P19105"/>
      <c r="Q19105" s="24"/>
      <c r="R19105"/>
      <c r="S19105"/>
      <c r="T19105"/>
      <c r="U19105"/>
      <c r="X19105" s="60"/>
    </row>
    <row r="19106" spans="7:24" ht="15" customHeight="1">
      <c r="G19106"/>
      <c r="I19106"/>
      <c r="N19106"/>
      <c r="O19106" s="24"/>
      <c r="P19106"/>
      <c r="Q19106" s="24"/>
      <c r="R19106"/>
      <c r="S19106"/>
      <c r="T19106"/>
      <c r="U19106"/>
      <c r="X19106" s="60"/>
    </row>
    <row r="19107" spans="7:24" ht="15" customHeight="1">
      <c r="G19107"/>
      <c r="I19107"/>
      <c r="N19107"/>
      <c r="O19107" s="24"/>
      <c r="P19107"/>
      <c r="Q19107" s="24"/>
      <c r="R19107"/>
      <c r="S19107"/>
      <c r="T19107"/>
      <c r="U19107"/>
      <c r="X19107" s="60"/>
    </row>
    <row r="19108" spans="7:24" ht="15" customHeight="1">
      <c r="G19108"/>
      <c r="I19108"/>
      <c r="N19108"/>
      <c r="O19108" s="24"/>
      <c r="P19108"/>
      <c r="Q19108" s="24"/>
      <c r="R19108"/>
      <c r="S19108"/>
      <c r="T19108"/>
      <c r="U19108"/>
      <c r="X19108" s="60"/>
    </row>
    <row r="19109" spans="7:24" ht="15" customHeight="1">
      <c r="G19109"/>
      <c r="I19109"/>
      <c r="N19109"/>
      <c r="O19109" s="24"/>
      <c r="P19109"/>
      <c r="Q19109" s="24"/>
      <c r="R19109"/>
      <c r="S19109"/>
      <c r="T19109"/>
      <c r="U19109"/>
      <c r="X19109" s="60"/>
    </row>
    <row r="19110" spans="7:24" ht="15" customHeight="1">
      <c r="G19110"/>
      <c r="I19110"/>
      <c r="N19110"/>
      <c r="O19110" s="24"/>
      <c r="P19110"/>
      <c r="Q19110" s="24"/>
      <c r="R19110"/>
      <c r="S19110"/>
      <c r="T19110"/>
      <c r="U19110"/>
      <c r="X19110" s="60"/>
    </row>
    <row r="19111" spans="7:24" ht="15" customHeight="1">
      <c r="G19111"/>
      <c r="I19111"/>
      <c r="N19111"/>
      <c r="O19111" s="24"/>
      <c r="P19111"/>
      <c r="Q19111" s="24"/>
      <c r="R19111"/>
      <c r="S19111"/>
      <c r="T19111"/>
      <c r="U19111"/>
      <c r="X19111" s="60"/>
    </row>
    <row r="19112" spans="7:24" ht="15" customHeight="1">
      <c r="G19112"/>
      <c r="I19112"/>
      <c r="N19112"/>
      <c r="O19112" s="24"/>
      <c r="P19112"/>
      <c r="Q19112" s="24"/>
      <c r="R19112"/>
      <c r="S19112"/>
      <c r="T19112"/>
      <c r="U19112"/>
      <c r="X19112" s="60"/>
    </row>
    <row r="19113" spans="7:24" ht="15" customHeight="1">
      <c r="G19113"/>
      <c r="I19113"/>
      <c r="N19113"/>
      <c r="O19113" s="24"/>
      <c r="P19113"/>
      <c r="Q19113" s="24"/>
      <c r="R19113"/>
      <c r="S19113"/>
      <c r="T19113"/>
      <c r="U19113"/>
      <c r="X19113" s="60"/>
    </row>
    <row r="19114" spans="7:24" ht="15" customHeight="1">
      <c r="G19114"/>
      <c r="I19114"/>
      <c r="N19114"/>
      <c r="O19114" s="24"/>
      <c r="P19114"/>
      <c r="Q19114" s="24"/>
      <c r="R19114"/>
      <c r="S19114"/>
      <c r="T19114"/>
      <c r="U19114"/>
      <c r="X19114" s="60"/>
    </row>
    <row r="19115" spans="7:24" ht="15" customHeight="1">
      <c r="G19115"/>
      <c r="I19115"/>
      <c r="N19115"/>
      <c r="O19115" s="24"/>
      <c r="P19115"/>
      <c r="Q19115" s="24"/>
      <c r="R19115"/>
      <c r="S19115"/>
      <c r="T19115"/>
      <c r="U19115"/>
      <c r="X19115" s="60"/>
    </row>
    <row r="19116" spans="7:24" ht="15" customHeight="1">
      <c r="G19116"/>
      <c r="I19116"/>
      <c r="N19116"/>
      <c r="O19116" s="24"/>
      <c r="P19116"/>
      <c r="Q19116" s="24"/>
      <c r="R19116"/>
      <c r="S19116"/>
      <c r="T19116"/>
      <c r="U19116"/>
      <c r="X19116" s="60"/>
    </row>
    <row r="19117" spans="7:24" ht="15" customHeight="1">
      <c r="G19117"/>
      <c r="I19117"/>
      <c r="N19117"/>
      <c r="O19117" s="24"/>
      <c r="P19117"/>
      <c r="Q19117" s="24"/>
      <c r="R19117"/>
      <c r="S19117"/>
      <c r="T19117"/>
      <c r="U19117"/>
      <c r="X19117" s="60"/>
    </row>
    <row r="19118" spans="7:24" ht="15" customHeight="1">
      <c r="G19118"/>
      <c r="I19118"/>
      <c r="N19118"/>
      <c r="O19118" s="24"/>
      <c r="P19118"/>
      <c r="Q19118" s="24"/>
      <c r="R19118"/>
      <c r="S19118"/>
      <c r="T19118"/>
      <c r="U19118"/>
      <c r="X19118" s="60"/>
    </row>
    <row r="19119" spans="7:24" ht="15" customHeight="1">
      <c r="G19119"/>
      <c r="I19119"/>
      <c r="N19119"/>
      <c r="O19119" s="24"/>
      <c r="P19119"/>
      <c r="Q19119" s="24"/>
      <c r="R19119"/>
      <c r="S19119"/>
      <c r="T19119"/>
      <c r="U19119"/>
      <c r="X19119" s="60"/>
    </row>
    <row r="19120" spans="7:24" ht="15" customHeight="1">
      <c r="G19120"/>
      <c r="I19120"/>
      <c r="N19120"/>
      <c r="O19120" s="24"/>
      <c r="P19120"/>
      <c r="Q19120" s="24"/>
      <c r="R19120"/>
      <c r="S19120"/>
      <c r="T19120"/>
      <c r="U19120"/>
      <c r="X19120" s="60"/>
    </row>
    <row r="19121" spans="7:24" ht="15" customHeight="1">
      <c r="G19121"/>
      <c r="I19121"/>
      <c r="N19121"/>
      <c r="O19121" s="24"/>
      <c r="P19121"/>
      <c r="Q19121" s="24"/>
      <c r="R19121"/>
      <c r="S19121"/>
      <c r="T19121"/>
      <c r="U19121"/>
      <c r="X19121" s="60"/>
    </row>
    <row r="19122" spans="7:24" ht="15" customHeight="1">
      <c r="G19122"/>
      <c r="I19122"/>
      <c r="N19122"/>
      <c r="O19122" s="24"/>
      <c r="P19122"/>
      <c r="Q19122" s="24"/>
      <c r="R19122"/>
      <c r="S19122"/>
      <c r="T19122"/>
      <c r="U19122"/>
      <c r="X19122" s="60"/>
    </row>
    <row r="19123" spans="7:24" ht="15" customHeight="1">
      <c r="G19123"/>
      <c r="I19123"/>
      <c r="N19123"/>
      <c r="O19123" s="24"/>
      <c r="P19123"/>
      <c r="Q19123" s="24"/>
      <c r="R19123"/>
      <c r="S19123"/>
      <c r="T19123"/>
      <c r="U19123"/>
      <c r="X19123" s="60"/>
    </row>
    <row r="19124" spans="7:24" ht="15" customHeight="1">
      <c r="G19124"/>
      <c r="I19124"/>
      <c r="N19124"/>
      <c r="O19124" s="24"/>
      <c r="P19124"/>
      <c r="Q19124" s="24"/>
      <c r="R19124"/>
      <c r="S19124"/>
      <c r="T19124"/>
      <c r="U19124"/>
      <c r="X19124" s="60"/>
    </row>
    <row r="19125" spans="7:24" ht="15" customHeight="1">
      <c r="G19125"/>
      <c r="I19125"/>
      <c r="N19125"/>
      <c r="O19125" s="24"/>
      <c r="P19125"/>
      <c r="Q19125" s="24"/>
      <c r="R19125"/>
      <c r="S19125"/>
      <c r="T19125"/>
      <c r="U19125"/>
      <c r="X19125" s="60"/>
    </row>
    <row r="19126" spans="7:24" ht="15" customHeight="1">
      <c r="G19126"/>
      <c r="I19126"/>
      <c r="N19126"/>
      <c r="O19126" s="24"/>
      <c r="P19126"/>
      <c r="Q19126" s="24"/>
      <c r="R19126"/>
      <c r="S19126"/>
      <c r="T19126"/>
      <c r="U19126"/>
      <c r="X19126" s="60"/>
    </row>
    <row r="19127" spans="7:24" ht="15" customHeight="1">
      <c r="G19127"/>
      <c r="I19127"/>
      <c r="N19127"/>
      <c r="O19127" s="24"/>
      <c r="P19127"/>
      <c r="Q19127" s="24"/>
      <c r="R19127"/>
      <c r="S19127"/>
      <c r="T19127"/>
      <c r="U19127"/>
      <c r="X19127" s="60"/>
    </row>
    <row r="19128" spans="7:24" ht="15" customHeight="1">
      <c r="G19128"/>
      <c r="I19128"/>
      <c r="N19128"/>
      <c r="O19128" s="24"/>
      <c r="P19128"/>
      <c r="Q19128" s="24"/>
      <c r="R19128"/>
      <c r="S19128"/>
      <c r="T19128"/>
      <c r="U19128"/>
      <c r="X19128" s="60"/>
    </row>
    <row r="19129" spans="7:24" ht="15" customHeight="1">
      <c r="G19129"/>
      <c r="I19129"/>
      <c r="N19129"/>
      <c r="O19129" s="24"/>
      <c r="P19129"/>
      <c r="Q19129" s="24"/>
      <c r="R19129"/>
      <c r="S19129"/>
      <c r="T19129"/>
      <c r="U19129"/>
      <c r="X19129" s="60"/>
    </row>
    <row r="19130" spans="7:24" ht="15" customHeight="1">
      <c r="G19130"/>
      <c r="I19130"/>
      <c r="N19130"/>
      <c r="O19130" s="24"/>
      <c r="P19130"/>
      <c r="Q19130" s="24"/>
      <c r="R19130"/>
      <c r="S19130"/>
      <c r="T19130"/>
      <c r="U19130"/>
      <c r="X19130" s="60"/>
    </row>
    <row r="19131" spans="7:24" ht="15" customHeight="1">
      <c r="G19131"/>
      <c r="I19131"/>
      <c r="N19131"/>
      <c r="O19131" s="24"/>
      <c r="P19131"/>
      <c r="Q19131" s="24"/>
      <c r="R19131"/>
      <c r="S19131"/>
      <c r="T19131"/>
      <c r="U19131"/>
      <c r="X19131" s="60"/>
    </row>
    <row r="19132" spans="7:24" ht="15" customHeight="1">
      <c r="G19132"/>
      <c r="I19132"/>
      <c r="N19132"/>
      <c r="O19132" s="24"/>
      <c r="P19132"/>
      <c r="Q19132" s="24"/>
      <c r="R19132"/>
      <c r="S19132"/>
      <c r="T19132"/>
      <c r="U19132"/>
      <c r="X19132" s="60"/>
    </row>
    <row r="19133" spans="7:24" ht="15" customHeight="1">
      <c r="G19133"/>
      <c r="I19133"/>
      <c r="N19133"/>
      <c r="O19133" s="24"/>
      <c r="P19133"/>
      <c r="Q19133" s="24"/>
      <c r="R19133"/>
      <c r="S19133"/>
      <c r="T19133"/>
      <c r="U19133"/>
      <c r="X19133" s="60"/>
    </row>
    <row r="19134" spans="7:24" ht="15" customHeight="1">
      <c r="G19134"/>
      <c r="I19134"/>
      <c r="N19134"/>
      <c r="O19134" s="24"/>
      <c r="P19134"/>
      <c r="Q19134" s="24"/>
      <c r="R19134"/>
      <c r="S19134"/>
      <c r="T19134"/>
      <c r="U19134"/>
      <c r="X19134" s="60"/>
    </row>
    <row r="19135" spans="7:24" ht="15" customHeight="1">
      <c r="G19135"/>
      <c r="I19135"/>
      <c r="N19135"/>
      <c r="O19135" s="24"/>
      <c r="P19135"/>
      <c r="Q19135" s="24"/>
      <c r="R19135"/>
      <c r="S19135"/>
      <c r="T19135"/>
      <c r="U19135"/>
      <c r="X19135" s="60"/>
    </row>
    <row r="19136" spans="7:24" ht="15" customHeight="1">
      <c r="G19136"/>
      <c r="I19136"/>
      <c r="N19136"/>
      <c r="O19136" s="24"/>
      <c r="P19136"/>
      <c r="Q19136" s="24"/>
      <c r="R19136"/>
      <c r="S19136"/>
      <c r="T19136"/>
      <c r="U19136"/>
      <c r="X19136" s="60"/>
    </row>
    <row r="19137" spans="7:24" ht="15" customHeight="1">
      <c r="G19137"/>
      <c r="I19137"/>
      <c r="N19137"/>
      <c r="O19137" s="24"/>
      <c r="P19137"/>
      <c r="Q19137" s="24"/>
      <c r="R19137"/>
      <c r="S19137"/>
      <c r="T19137"/>
      <c r="U19137"/>
      <c r="X19137" s="60"/>
    </row>
    <row r="19138" spans="7:24" ht="15" customHeight="1">
      <c r="G19138"/>
      <c r="I19138"/>
      <c r="N19138"/>
      <c r="O19138" s="24"/>
      <c r="P19138"/>
      <c r="Q19138" s="24"/>
      <c r="R19138"/>
      <c r="S19138"/>
      <c r="T19138"/>
      <c r="U19138"/>
      <c r="X19138" s="60"/>
    </row>
    <row r="19139" spans="7:24" ht="15" customHeight="1">
      <c r="G19139"/>
      <c r="I19139"/>
      <c r="N19139"/>
      <c r="O19139" s="24"/>
      <c r="P19139"/>
      <c r="Q19139" s="24"/>
      <c r="R19139"/>
      <c r="S19139"/>
      <c r="T19139"/>
      <c r="U19139"/>
      <c r="X19139" s="60"/>
    </row>
    <row r="19140" spans="7:24" ht="15" customHeight="1">
      <c r="G19140"/>
      <c r="I19140"/>
      <c r="N19140"/>
      <c r="O19140" s="24"/>
      <c r="P19140"/>
      <c r="Q19140" s="24"/>
      <c r="R19140"/>
      <c r="S19140"/>
      <c r="T19140"/>
      <c r="U19140"/>
      <c r="X19140" s="60"/>
    </row>
    <row r="19141" spans="7:24" ht="15" customHeight="1">
      <c r="G19141"/>
      <c r="I19141"/>
      <c r="N19141"/>
      <c r="O19141" s="24"/>
      <c r="P19141"/>
      <c r="Q19141" s="24"/>
      <c r="R19141"/>
      <c r="S19141"/>
      <c r="T19141"/>
      <c r="U19141"/>
      <c r="X19141" s="60"/>
    </row>
    <row r="19142" spans="7:24" ht="15" customHeight="1">
      <c r="G19142"/>
      <c r="I19142"/>
      <c r="N19142"/>
      <c r="O19142" s="24"/>
      <c r="P19142"/>
      <c r="Q19142" s="24"/>
      <c r="R19142"/>
      <c r="S19142"/>
      <c r="T19142"/>
      <c r="U19142"/>
      <c r="X19142" s="60"/>
    </row>
    <row r="19143" spans="7:24" ht="15" customHeight="1">
      <c r="G19143"/>
      <c r="I19143"/>
      <c r="N19143"/>
      <c r="O19143" s="24"/>
      <c r="P19143"/>
      <c r="Q19143" s="24"/>
      <c r="R19143"/>
      <c r="S19143"/>
      <c r="T19143"/>
      <c r="U19143"/>
      <c r="X19143" s="60"/>
    </row>
    <row r="19144" spans="7:24" ht="15" customHeight="1">
      <c r="G19144"/>
      <c r="I19144"/>
      <c r="N19144"/>
      <c r="O19144" s="24"/>
      <c r="P19144"/>
      <c r="Q19144" s="24"/>
      <c r="R19144"/>
      <c r="S19144"/>
      <c r="T19144"/>
      <c r="U19144"/>
      <c r="X19144" s="60"/>
    </row>
    <row r="19145" spans="7:24" ht="15" customHeight="1">
      <c r="G19145"/>
      <c r="I19145"/>
      <c r="N19145"/>
      <c r="O19145" s="24"/>
      <c r="P19145"/>
      <c r="Q19145" s="24"/>
      <c r="R19145"/>
      <c r="S19145"/>
      <c r="T19145"/>
      <c r="U19145"/>
      <c r="X19145" s="60"/>
    </row>
    <row r="19146" spans="7:24" ht="15" customHeight="1">
      <c r="G19146"/>
      <c r="I19146"/>
      <c r="N19146"/>
      <c r="O19146" s="24"/>
      <c r="P19146"/>
      <c r="Q19146" s="24"/>
      <c r="R19146"/>
      <c r="S19146"/>
      <c r="T19146"/>
      <c r="U19146"/>
      <c r="X19146" s="60"/>
    </row>
    <row r="19147" spans="7:24" ht="15" customHeight="1">
      <c r="G19147"/>
      <c r="I19147"/>
      <c r="N19147"/>
      <c r="O19147" s="24"/>
      <c r="P19147"/>
      <c r="Q19147" s="24"/>
      <c r="R19147"/>
      <c r="S19147"/>
      <c r="T19147"/>
      <c r="U19147"/>
      <c r="X19147" s="60"/>
    </row>
    <row r="19148" spans="7:24" ht="15" customHeight="1">
      <c r="G19148"/>
      <c r="I19148"/>
      <c r="N19148"/>
      <c r="O19148" s="24"/>
      <c r="P19148"/>
      <c r="Q19148" s="24"/>
      <c r="R19148"/>
      <c r="S19148"/>
      <c r="T19148"/>
      <c r="U19148"/>
      <c r="X19148" s="60"/>
    </row>
    <row r="19149" spans="7:24" ht="15" customHeight="1">
      <c r="G19149"/>
      <c r="I19149"/>
      <c r="N19149"/>
      <c r="O19149" s="24"/>
      <c r="P19149"/>
      <c r="Q19149" s="24"/>
      <c r="R19149"/>
      <c r="S19149"/>
      <c r="T19149"/>
      <c r="U19149"/>
      <c r="X19149" s="60"/>
    </row>
    <row r="19150" spans="7:24" ht="15" customHeight="1">
      <c r="G19150"/>
      <c r="I19150"/>
      <c r="N19150"/>
      <c r="O19150" s="24"/>
      <c r="P19150"/>
      <c r="Q19150" s="24"/>
      <c r="R19150"/>
      <c r="S19150"/>
      <c r="T19150"/>
      <c r="U19150"/>
      <c r="X19150" s="60"/>
    </row>
    <row r="19151" spans="7:24" ht="15" customHeight="1">
      <c r="G19151"/>
      <c r="I19151"/>
      <c r="N19151"/>
      <c r="O19151" s="24"/>
      <c r="P19151"/>
      <c r="Q19151" s="24"/>
      <c r="R19151"/>
      <c r="S19151"/>
      <c r="T19151"/>
      <c r="U19151"/>
      <c r="X19151" s="60"/>
    </row>
    <row r="19152" spans="7:24" ht="15" customHeight="1">
      <c r="G19152"/>
      <c r="I19152"/>
      <c r="N19152"/>
      <c r="O19152" s="24"/>
      <c r="P19152"/>
      <c r="Q19152" s="24"/>
      <c r="R19152"/>
      <c r="S19152"/>
      <c r="T19152"/>
      <c r="U19152"/>
      <c r="X19152" s="60"/>
    </row>
    <row r="19153" spans="7:24" ht="15" customHeight="1">
      <c r="G19153"/>
      <c r="I19153"/>
      <c r="N19153"/>
      <c r="O19153" s="24"/>
      <c r="P19153"/>
      <c r="Q19153" s="24"/>
      <c r="R19153"/>
      <c r="S19153"/>
      <c r="T19153"/>
      <c r="U19153"/>
      <c r="X19153" s="60"/>
    </row>
    <row r="19154" spans="7:24" ht="15" customHeight="1">
      <c r="G19154"/>
      <c r="I19154"/>
      <c r="N19154"/>
      <c r="O19154" s="24"/>
      <c r="P19154"/>
      <c r="Q19154" s="24"/>
      <c r="R19154"/>
      <c r="S19154"/>
      <c r="T19154"/>
      <c r="U19154"/>
      <c r="X19154" s="60"/>
    </row>
    <row r="19155" spans="7:24" ht="15" customHeight="1">
      <c r="G19155"/>
      <c r="I19155"/>
      <c r="N19155"/>
      <c r="O19155" s="24"/>
      <c r="P19155"/>
      <c r="Q19155" s="24"/>
      <c r="R19155"/>
      <c r="S19155"/>
      <c r="T19155"/>
      <c r="U19155"/>
      <c r="X19155" s="60"/>
    </row>
    <row r="19156" spans="7:24" ht="15" customHeight="1">
      <c r="G19156"/>
      <c r="I19156"/>
      <c r="N19156"/>
      <c r="O19156" s="24"/>
      <c r="P19156"/>
      <c r="Q19156" s="24"/>
      <c r="R19156"/>
      <c r="S19156"/>
      <c r="T19156"/>
      <c r="U19156"/>
      <c r="X19156" s="60"/>
    </row>
    <row r="19157" spans="7:24" ht="15" customHeight="1">
      <c r="G19157"/>
      <c r="I19157"/>
      <c r="N19157"/>
      <c r="O19157" s="24"/>
      <c r="P19157"/>
      <c r="Q19157" s="24"/>
      <c r="R19157"/>
      <c r="S19157"/>
      <c r="T19157"/>
      <c r="U19157"/>
      <c r="X19157" s="60"/>
    </row>
    <row r="19158" spans="7:24" ht="15" customHeight="1">
      <c r="G19158"/>
      <c r="I19158"/>
      <c r="N19158"/>
      <c r="O19158" s="24"/>
      <c r="P19158"/>
      <c r="Q19158" s="24"/>
      <c r="R19158"/>
      <c r="S19158"/>
      <c r="T19158"/>
      <c r="U19158"/>
      <c r="X19158" s="60"/>
    </row>
    <row r="19159" spans="7:24" ht="15" customHeight="1">
      <c r="G19159"/>
      <c r="I19159"/>
      <c r="N19159"/>
      <c r="O19159" s="24"/>
      <c r="P19159"/>
      <c r="Q19159" s="24"/>
      <c r="R19159"/>
      <c r="S19159"/>
      <c r="T19159"/>
      <c r="U19159"/>
      <c r="X19159" s="60"/>
    </row>
    <row r="19160" spans="7:24" ht="15" customHeight="1">
      <c r="G19160"/>
      <c r="I19160"/>
      <c r="N19160"/>
      <c r="O19160" s="24"/>
      <c r="P19160"/>
      <c r="Q19160" s="24"/>
      <c r="R19160"/>
      <c r="S19160"/>
      <c r="T19160"/>
      <c r="U19160"/>
      <c r="X19160" s="60"/>
    </row>
    <row r="19161" spans="7:24" ht="15" customHeight="1">
      <c r="G19161"/>
      <c r="I19161"/>
      <c r="N19161"/>
      <c r="O19161" s="24"/>
      <c r="P19161"/>
      <c r="Q19161" s="24"/>
      <c r="R19161"/>
      <c r="S19161"/>
      <c r="T19161"/>
      <c r="U19161"/>
      <c r="X19161" s="60"/>
    </row>
    <row r="19162" spans="7:24" ht="15" customHeight="1">
      <c r="G19162"/>
      <c r="I19162"/>
      <c r="N19162"/>
      <c r="O19162" s="24"/>
      <c r="P19162"/>
      <c r="Q19162" s="24"/>
      <c r="R19162"/>
      <c r="S19162"/>
      <c r="T19162"/>
      <c r="U19162"/>
      <c r="X19162" s="60"/>
    </row>
    <row r="19163" spans="7:24" ht="15" customHeight="1">
      <c r="G19163"/>
      <c r="I19163"/>
      <c r="N19163"/>
      <c r="O19163" s="24"/>
      <c r="P19163"/>
      <c r="Q19163" s="24"/>
      <c r="R19163"/>
      <c r="S19163"/>
      <c r="T19163"/>
      <c r="U19163"/>
      <c r="X19163" s="60"/>
    </row>
    <row r="19164" spans="7:24" ht="15" customHeight="1">
      <c r="G19164"/>
      <c r="I19164"/>
      <c r="N19164"/>
      <c r="O19164" s="24"/>
      <c r="P19164"/>
      <c r="Q19164" s="24"/>
      <c r="R19164"/>
      <c r="S19164"/>
      <c r="T19164"/>
      <c r="U19164"/>
      <c r="X19164" s="60"/>
    </row>
    <row r="19165" spans="7:24" ht="15" customHeight="1">
      <c r="G19165"/>
      <c r="I19165"/>
      <c r="N19165"/>
      <c r="O19165" s="24"/>
      <c r="P19165"/>
      <c r="Q19165" s="24"/>
      <c r="R19165"/>
      <c r="S19165"/>
      <c r="T19165"/>
      <c r="U19165"/>
      <c r="X19165" s="60"/>
    </row>
    <row r="19166" spans="7:24" ht="15" customHeight="1">
      <c r="G19166"/>
      <c r="I19166"/>
      <c r="N19166"/>
      <c r="O19166" s="24"/>
      <c r="P19166"/>
      <c r="Q19166" s="24"/>
      <c r="R19166"/>
      <c r="S19166"/>
      <c r="T19166"/>
      <c r="U19166"/>
      <c r="X19166" s="60"/>
    </row>
    <row r="19167" spans="7:24" ht="15" customHeight="1">
      <c r="G19167"/>
      <c r="I19167"/>
      <c r="N19167"/>
      <c r="O19167" s="24"/>
      <c r="P19167"/>
      <c r="Q19167" s="24"/>
      <c r="R19167"/>
      <c r="S19167"/>
      <c r="T19167"/>
      <c r="U19167"/>
      <c r="X19167" s="60"/>
    </row>
    <row r="19168" spans="7:24" ht="15" customHeight="1">
      <c r="G19168"/>
      <c r="I19168"/>
      <c r="N19168"/>
      <c r="O19168" s="24"/>
      <c r="P19168"/>
      <c r="Q19168" s="24"/>
      <c r="R19168"/>
      <c r="S19168"/>
      <c r="T19168"/>
      <c r="U19168"/>
      <c r="X19168" s="60"/>
    </row>
    <row r="19169" spans="7:24" ht="15" customHeight="1">
      <c r="G19169"/>
      <c r="I19169"/>
      <c r="N19169"/>
      <c r="O19169" s="24"/>
      <c r="P19169"/>
      <c r="Q19169" s="24"/>
      <c r="R19169"/>
      <c r="S19169"/>
      <c r="T19169"/>
      <c r="U19169"/>
      <c r="X19169" s="60"/>
    </row>
    <row r="19170" spans="7:24" ht="15" customHeight="1">
      <c r="G19170"/>
      <c r="I19170"/>
      <c r="N19170"/>
      <c r="O19170" s="24"/>
      <c r="P19170"/>
      <c r="Q19170" s="24"/>
      <c r="R19170"/>
      <c r="S19170"/>
      <c r="T19170"/>
      <c r="U19170"/>
      <c r="X19170" s="60"/>
    </row>
    <row r="19171" spans="7:24" ht="15" customHeight="1">
      <c r="G19171"/>
      <c r="I19171"/>
      <c r="N19171"/>
      <c r="O19171" s="24"/>
      <c r="P19171"/>
      <c r="Q19171" s="24"/>
      <c r="R19171"/>
      <c r="S19171"/>
      <c r="T19171"/>
      <c r="U19171"/>
      <c r="X19171" s="60"/>
    </row>
    <row r="19172" spans="7:24" ht="15" customHeight="1">
      <c r="G19172"/>
      <c r="I19172"/>
      <c r="N19172"/>
      <c r="O19172" s="24"/>
      <c r="P19172"/>
      <c r="Q19172" s="24"/>
      <c r="R19172"/>
      <c r="S19172"/>
      <c r="T19172"/>
      <c r="U19172"/>
      <c r="X19172" s="60"/>
    </row>
    <row r="19173" spans="7:24" ht="15" customHeight="1">
      <c r="G19173"/>
      <c r="I19173"/>
      <c r="N19173"/>
      <c r="O19173" s="24"/>
      <c r="P19173"/>
      <c r="Q19173" s="24"/>
      <c r="R19173"/>
      <c r="S19173"/>
      <c r="T19173"/>
      <c r="U19173"/>
      <c r="X19173" s="60"/>
    </row>
    <row r="19174" spans="7:24" ht="15" customHeight="1">
      <c r="G19174"/>
      <c r="I19174"/>
      <c r="N19174"/>
      <c r="O19174" s="24"/>
      <c r="P19174"/>
      <c r="Q19174" s="24"/>
      <c r="R19174"/>
      <c r="S19174"/>
      <c r="T19174"/>
      <c r="U19174"/>
      <c r="X19174" s="60"/>
    </row>
    <row r="19175" spans="7:24" ht="15" customHeight="1">
      <c r="G19175"/>
      <c r="I19175"/>
      <c r="N19175"/>
      <c r="O19175" s="24"/>
      <c r="P19175"/>
      <c r="Q19175" s="24"/>
      <c r="R19175"/>
      <c r="S19175"/>
      <c r="T19175"/>
      <c r="U19175"/>
      <c r="X19175" s="60"/>
    </row>
    <row r="19176" spans="7:24" ht="15" customHeight="1">
      <c r="G19176"/>
      <c r="I19176"/>
      <c r="N19176"/>
      <c r="O19176" s="24"/>
      <c r="P19176"/>
      <c r="Q19176" s="24"/>
      <c r="R19176"/>
      <c r="S19176"/>
      <c r="T19176"/>
      <c r="U19176"/>
      <c r="X19176" s="60"/>
    </row>
    <row r="19177" spans="7:24" ht="15" customHeight="1">
      <c r="G19177"/>
      <c r="I19177"/>
      <c r="N19177"/>
      <c r="O19177" s="24"/>
      <c r="P19177"/>
      <c r="Q19177" s="24"/>
      <c r="R19177"/>
      <c r="S19177"/>
      <c r="T19177"/>
      <c r="U19177"/>
      <c r="X19177" s="60"/>
    </row>
    <row r="19178" spans="7:24" ht="15" customHeight="1">
      <c r="G19178"/>
      <c r="I19178"/>
      <c r="N19178"/>
      <c r="O19178" s="24"/>
      <c r="P19178"/>
      <c r="Q19178" s="24"/>
      <c r="R19178"/>
      <c r="S19178"/>
      <c r="T19178"/>
      <c r="U19178"/>
      <c r="X19178" s="60"/>
    </row>
    <row r="19179" spans="7:24" ht="15" customHeight="1">
      <c r="G19179"/>
      <c r="I19179"/>
      <c r="N19179"/>
      <c r="O19179" s="24"/>
      <c r="P19179"/>
      <c r="Q19179" s="24"/>
      <c r="R19179"/>
      <c r="S19179"/>
      <c r="T19179"/>
      <c r="U19179"/>
      <c r="X19179" s="60"/>
    </row>
    <row r="19180" spans="7:24" ht="15" customHeight="1">
      <c r="G19180"/>
      <c r="I19180"/>
      <c r="N19180"/>
      <c r="O19180" s="24"/>
      <c r="P19180"/>
      <c r="Q19180" s="24"/>
      <c r="R19180"/>
      <c r="S19180"/>
      <c r="T19180"/>
      <c r="U19180"/>
      <c r="X19180" s="60"/>
    </row>
    <row r="19181" spans="7:24" ht="15" customHeight="1">
      <c r="G19181"/>
      <c r="I19181"/>
      <c r="N19181"/>
      <c r="O19181" s="24"/>
      <c r="P19181"/>
      <c r="Q19181" s="24"/>
      <c r="R19181"/>
      <c r="S19181"/>
      <c r="T19181"/>
      <c r="U19181"/>
      <c r="X19181" s="60"/>
    </row>
    <row r="19182" spans="7:24" ht="15" customHeight="1">
      <c r="G19182"/>
      <c r="I19182"/>
      <c r="N19182"/>
      <c r="O19182" s="24"/>
      <c r="P19182"/>
      <c r="Q19182" s="24"/>
      <c r="R19182"/>
      <c r="S19182"/>
      <c r="T19182"/>
      <c r="U19182"/>
      <c r="X19182" s="60"/>
    </row>
    <row r="19183" spans="7:24" ht="15" customHeight="1">
      <c r="G19183"/>
      <c r="I19183"/>
      <c r="N19183"/>
      <c r="O19183" s="24"/>
      <c r="P19183"/>
      <c r="Q19183" s="24"/>
      <c r="R19183"/>
      <c r="S19183"/>
      <c r="T19183"/>
      <c r="U19183"/>
      <c r="X19183" s="60"/>
    </row>
    <row r="19184" spans="7:24" ht="15" customHeight="1">
      <c r="G19184"/>
      <c r="I19184"/>
      <c r="N19184"/>
      <c r="O19184" s="24"/>
      <c r="P19184"/>
      <c r="Q19184" s="24"/>
      <c r="R19184"/>
      <c r="S19184"/>
      <c r="T19184"/>
      <c r="U19184"/>
      <c r="X19184" s="60"/>
    </row>
    <row r="19185" spans="7:24" ht="15" customHeight="1">
      <c r="G19185"/>
      <c r="I19185"/>
      <c r="N19185"/>
      <c r="O19185" s="24"/>
      <c r="P19185"/>
      <c r="Q19185" s="24"/>
      <c r="R19185"/>
      <c r="S19185"/>
      <c r="T19185"/>
      <c r="U19185"/>
      <c r="X19185" s="60"/>
    </row>
    <row r="19186" spans="7:24" ht="15" customHeight="1">
      <c r="G19186"/>
      <c r="I19186"/>
      <c r="N19186"/>
      <c r="O19186" s="24"/>
      <c r="P19186"/>
      <c r="Q19186" s="24"/>
      <c r="R19186"/>
      <c r="S19186"/>
      <c r="T19186"/>
      <c r="U19186"/>
      <c r="X19186" s="60"/>
    </row>
    <row r="19187" spans="7:24" ht="15" customHeight="1">
      <c r="G19187"/>
      <c r="I19187"/>
      <c r="N19187"/>
      <c r="O19187" s="24"/>
      <c r="P19187"/>
      <c r="Q19187" s="24"/>
      <c r="R19187"/>
      <c r="S19187"/>
      <c r="T19187"/>
      <c r="U19187"/>
      <c r="X19187" s="60"/>
    </row>
    <row r="19188" spans="7:24" ht="15" customHeight="1">
      <c r="G19188"/>
      <c r="I19188"/>
      <c r="N19188"/>
      <c r="O19188" s="24"/>
      <c r="P19188"/>
      <c r="Q19188" s="24"/>
      <c r="R19188"/>
      <c r="S19188"/>
      <c r="T19188"/>
      <c r="U19188"/>
      <c r="X19188" s="60"/>
    </row>
    <row r="19189" spans="7:24" ht="15" customHeight="1">
      <c r="G19189"/>
      <c r="I19189"/>
      <c r="N19189"/>
      <c r="O19189" s="24"/>
      <c r="P19189"/>
      <c r="Q19189" s="24"/>
      <c r="R19189"/>
      <c r="S19189"/>
      <c r="T19189"/>
      <c r="U19189"/>
      <c r="X19189" s="60"/>
    </row>
    <row r="19190" spans="7:24" ht="15" customHeight="1">
      <c r="G19190"/>
      <c r="I19190"/>
      <c r="N19190"/>
      <c r="O19190" s="24"/>
      <c r="P19190"/>
      <c r="Q19190" s="24"/>
      <c r="R19190"/>
      <c r="S19190"/>
      <c r="T19190"/>
      <c r="U19190"/>
      <c r="X19190" s="60"/>
    </row>
    <row r="19191" spans="7:24" ht="15" customHeight="1">
      <c r="G19191"/>
      <c r="I19191"/>
      <c r="N19191"/>
      <c r="O19191" s="24"/>
      <c r="P19191"/>
      <c r="Q19191" s="24"/>
      <c r="R19191"/>
      <c r="S19191"/>
      <c r="T19191"/>
      <c r="U19191"/>
      <c r="X19191" s="60"/>
    </row>
    <row r="19192" spans="7:24" ht="15" customHeight="1">
      <c r="G19192"/>
      <c r="I19192"/>
      <c r="N19192"/>
      <c r="O19192" s="24"/>
      <c r="P19192"/>
      <c r="Q19192" s="24"/>
      <c r="R19192"/>
      <c r="S19192"/>
      <c r="T19192"/>
      <c r="U19192"/>
      <c r="X19192" s="60"/>
    </row>
    <row r="19193" spans="7:24" ht="15" customHeight="1">
      <c r="G19193"/>
      <c r="I19193"/>
      <c r="N19193"/>
      <c r="O19193" s="24"/>
      <c r="P19193"/>
      <c r="Q19193" s="24"/>
      <c r="R19193"/>
      <c r="S19193"/>
      <c r="T19193"/>
      <c r="U19193"/>
      <c r="X19193" s="60"/>
    </row>
    <row r="19194" spans="7:24" ht="15" customHeight="1">
      <c r="G19194"/>
      <c r="I19194"/>
      <c r="N19194"/>
      <c r="O19194" s="24"/>
      <c r="P19194"/>
      <c r="Q19194" s="24"/>
      <c r="R19194"/>
      <c r="S19194"/>
      <c r="T19194"/>
      <c r="U19194"/>
      <c r="X19194" s="60"/>
    </row>
    <row r="19195" spans="7:24" ht="15" customHeight="1">
      <c r="G19195"/>
      <c r="I19195"/>
      <c r="N19195"/>
      <c r="O19195" s="24"/>
      <c r="P19195"/>
      <c r="Q19195" s="24"/>
      <c r="R19195"/>
      <c r="S19195"/>
      <c r="T19195"/>
      <c r="U19195"/>
      <c r="X19195" s="60"/>
    </row>
    <row r="19196" spans="7:24" ht="15" customHeight="1">
      <c r="G19196"/>
      <c r="I19196"/>
      <c r="N19196"/>
      <c r="O19196" s="24"/>
      <c r="P19196"/>
      <c r="Q19196" s="24"/>
      <c r="R19196"/>
      <c r="S19196"/>
      <c r="T19196"/>
      <c r="U19196"/>
      <c r="X19196" s="60"/>
    </row>
    <row r="19197" spans="7:24" ht="15" customHeight="1">
      <c r="G19197"/>
      <c r="I19197"/>
      <c r="N19197"/>
      <c r="O19197" s="24"/>
      <c r="P19197"/>
      <c r="Q19197" s="24"/>
      <c r="R19197"/>
      <c r="S19197"/>
      <c r="T19197"/>
      <c r="U19197"/>
      <c r="X19197" s="60"/>
    </row>
    <row r="19198" spans="7:24" ht="15" customHeight="1">
      <c r="G19198"/>
      <c r="I19198"/>
      <c r="N19198"/>
      <c r="O19198" s="24"/>
      <c r="P19198"/>
      <c r="Q19198" s="24"/>
      <c r="R19198"/>
      <c r="S19198"/>
      <c r="T19198"/>
      <c r="U19198"/>
      <c r="X19198" s="60"/>
    </row>
    <row r="19199" spans="7:24" ht="15" customHeight="1">
      <c r="G19199"/>
      <c r="I19199"/>
      <c r="N19199"/>
      <c r="O19199" s="24"/>
      <c r="P19199"/>
      <c r="Q19199" s="24"/>
      <c r="R19199"/>
      <c r="S19199"/>
      <c r="T19199"/>
      <c r="U19199"/>
      <c r="X19199" s="60"/>
    </row>
    <row r="19200" spans="7:24" ht="15" customHeight="1">
      <c r="G19200"/>
      <c r="I19200"/>
      <c r="N19200"/>
      <c r="O19200" s="24"/>
      <c r="P19200"/>
      <c r="Q19200" s="24"/>
      <c r="R19200"/>
      <c r="S19200"/>
      <c r="T19200"/>
      <c r="U19200"/>
      <c r="X19200" s="60"/>
    </row>
    <row r="19201" spans="7:24" ht="15" customHeight="1">
      <c r="G19201"/>
      <c r="I19201"/>
      <c r="N19201"/>
      <c r="O19201" s="24"/>
      <c r="P19201"/>
      <c r="Q19201" s="24"/>
      <c r="R19201"/>
      <c r="S19201"/>
      <c r="T19201"/>
      <c r="U19201"/>
      <c r="X19201" s="60"/>
    </row>
    <row r="19202" spans="7:24" ht="15" customHeight="1">
      <c r="G19202"/>
      <c r="I19202"/>
      <c r="N19202"/>
      <c r="O19202" s="24"/>
      <c r="P19202"/>
      <c r="Q19202" s="24"/>
      <c r="R19202"/>
      <c r="S19202"/>
      <c r="T19202"/>
      <c r="U19202"/>
      <c r="X19202" s="60"/>
    </row>
    <row r="19203" spans="7:24" ht="15" customHeight="1">
      <c r="G19203"/>
      <c r="I19203"/>
      <c r="N19203"/>
      <c r="O19203" s="24"/>
      <c r="P19203"/>
      <c r="Q19203" s="24"/>
      <c r="R19203"/>
      <c r="S19203"/>
      <c r="T19203"/>
      <c r="U19203"/>
      <c r="X19203" s="60"/>
    </row>
    <row r="19204" spans="7:24" ht="15" customHeight="1">
      <c r="G19204"/>
      <c r="I19204"/>
      <c r="N19204"/>
      <c r="O19204" s="24"/>
      <c r="P19204"/>
      <c r="Q19204" s="24"/>
      <c r="R19204"/>
      <c r="S19204"/>
      <c r="T19204"/>
      <c r="U19204"/>
      <c r="X19204" s="60"/>
    </row>
    <row r="19205" spans="7:24" ht="15" customHeight="1">
      <c r="G19205"/>
      <c r="I19205"/>
      <c r="N19205"/>
      <c r="O19205" s="24"/>
      <c r="P19205"/>
      <c r="Q19205" s="24"/>
      <c r="R19205"/>
      <c r="S19205"/>
      <c r="T19205"/>
      <c r="U19205"/>
      <c r="X19205" s="60"/>
    </row>
    <row r="19206" spans="7:24" ht="15" customHeight="1">
      <c r="G19206"/>
      <c r="I19206"/>
      <c r="N19206"/>
      <c r="O19206" s="24"/>
      <c r="P19206"/>
      <c r="Q19206" s="24"/>
      <c r="R19206"/>
      <c r="S19206"/>
      <c r="T19206"/>
      <c r="U19206"/>
      <c r="X19206" s="60"/>
    </row>
    <row r="19207" spans="7:24" ht="15" customHeight="1">
      <c r="G19207"/>
      <c r="I19207"/>
      <c r="N19207"/>
      <c r="O19207" s="24"/>
      <c r="P19207"/>
      <c r="Q19207" s="24"/>
      <c r="R19207"/>
      <c r="S19207"/>
      <c r="T19207"/>
      <c r="U19207"/>
      <c r="X19207" s="60"/>
    </row>
    <row r="19208" spans="7:24" ht="15" customHeight="1">
      <c r="G19208"/>
      <c r="I19208"/>
      <c r="N19208"/>
      <c r="O19208" s="24"/>
      <c r="P19208"/>
      <c r="Q19208" s="24"/>
      <c r="R19208"/>
      <c r="S19208"/>
      <c r="T19208"/>
      <c r="U19208"/>
      <c r="X19208" s="60"/>
    </row>
    <row r="19209" spans="7:24" ht="15" customHeight="1">
      <c r="G19209"/>
      <c r="I19209"/>
      <c r="N19209"/>
      <c r="O19209" s="24"/>
      <c r="P19209"/>
      <c r="Q19209" s="24"/>
      <c r="R19209"/>
      <c r="S19209"/>
      <c r="T19209"/>
      <c r="U19209"/>
      <c r="X19209" s="60"/>
    </row>
    <row r="19210" spans="7:24" ht="15" customHeight="1">
      <c r="G19210"/>
      <c r="I19210"/>
      <c r="N19210"/>
      <c r="O19210" s="24"/>
      <c r="P19210"/>
      <c r="Q19210" s="24"/>
      <c r="R19210"/>
      <c r="S19210"/>
      <c r="T19210"/>
      <c r="U19210"/>
      <c r="X19210" s="60"/>
    </row>
    <row r="19211" spans="7:24" ht="15" customHeight="1">
      <c r="G19211"/>
      <c r="I19211"/>
      <c r="N19211"/>
      <c r="O19211" s="24"/>
      <c r="P19211"/>
      <c r="Q19211" s="24"/>
      <c r="R19211"/>
      <c r="S19211"/>
      <c r="T19211"/>
      <c r="U19211"/>
      <c r="X19211" s="60"/>
    </row>
    <row r="19212" spans="7:24" ht="15" customHeight="1">
      <c r="G19212"/>
      <c r="I19212"/>
      <c r="N19212"/>
      <c r="O19212" s="24"/>
      <c r="P19212"/>
      <c r="Q19212" s="24"/>
      <c r="R19212"/>
      <c r="S19212"/>
      <c r="T19212"/>
      <c r="U19212"/>
      <c r="X19212" s="60"/>
    </row>
    <row r="19213" spans="7:24" ht="15" customHeight="1">
      <c r="G19213"/>
      <c r="I19213"/>
      <c r="N19213"/>
      <c r="O19213" s="24"/>
      <c r="P19213"/>
      <c r="Q19213" s="24"/>
      <c r="R19213"/>
      <c r="S19213"/>
      <c r="T19213"/>
      <c r="U19213"/>
      <c r="X19213" s="60"/>
    </row>
    <row r="19214" spans="7:24" ht="15" customHeight="1">
      <c r="G19214"/>
      <c r="I19214"/>
      <c r="N19214"/>
      <c r="O19214" s="24"/>
      <c r="P19214"/>
      <c r="Q19214" s="24"/>
      <c r="R19214"/>
      <c r="S19214"/>
      <c r="T19214"/>
      <c r="U19214"/>
      <c r="X19214" s="60"/>
    </row>
    <row r="19215" spans="7:24" ht="15" customHeight="1">
      <c r="G19215"/>
      <c r="I19215"/>
      <c r="N19215"/>
      <c r="O19215" s="24"/>
      <c r="P19215"/>
      <c r="Q19215" s="24"/>
      <c r="R19215"/>
      <c r="S19215"/>
      <c r="T19215"/>
      <c r="U19215"/>
      <c r="X19215" s="60"/>
    </row>
    <row r="19216" spans="7:24" ht="15" customHeight="1">
      <c r="G19216"/>
      <c r="I19216"/>
      <c r="N19216"/>
      <c r="O19216" s="24"/>
      <c r="P19216"/>
      <c r="Q19216" s="24"/>
      <c r="R19216"/>
      <c r="S19216"/>
      <c r="T19216"/>
      <c r="U19216"/>
      <c r="X19216" s="60"/>
    </row>
    <row r="19217" spans="7:24" ht="15" customHeight="1">
      <c r="G19217"/>
      <c r="I19217"/>
      <c r="N19217"/>
      <c r="O19217" s="24"/>
      <c r="P19217"/>
      <c r="Q19217" s="24"/>
      <c r="R19217"/>
      <c r="S19217"/>
      <c r="T19217"/>
      <c r="U19217"/>
      <c r="X19217" s="60"/>
    </row>
    <row r="19218" spans="7:24" ht="15" customHeight="1">
      <c r="G19218"/>
      <c r="I19218"/>
      <c r="N19218"/>
      <c r="O19218" s="24"/>
      <c r="P19218"/>
      <c r="Q19218" s="24"/>
      <c r="R19218"/>
      <c r="S19218"/>
      <c r="T19218"/>
      <c r="U19218"/>
      <c r="X19218" s="60"/>
    </row>
    <row r="19219" spans="7:24" ht="15" customHeight="1">
      <c r="G19219"/>
      <c r="I19219"/>
      <c r="N19219"/>
      <c r="O19219" s="24"/>
      <c r="P19219"/>
      <c r="Q19219" s="24"/>
      <c r="R19219"/>
      <c r="S19219"/>
      <c r="T19219"/>
      <c r="U19219"/>
      <c r="X19219" s="60"/>
    </row>
    <row r="19220" spans="7:24" ht="15" customHeight="1">
      <c r="G19220"/>
      <c r="I19220"/>
      <c r="N19220"/>
      <c r="O19220" s="24"/>
      <c r="P19220"/>
      <c r="Q19220" s="24"/>
      <c r="R19220"/>
      <c r="S19220"/>
      <c r="T19220"/>
      <c r="U19220"/>
      <c r="X19220" s="60"/>
    </row>
    <row r="19221" spans="7:24" ht="15" customHeight="1">
      <c r="G19221"/>
      <c r="I19221"/>
      <c r="N19221"/>
      <c r="O19221" s="24"/>
      <c r="P19221"/>
      <c r="Q19221" s="24"/>
      <c r="R19221"/>
      <c r="S19221"/>
      <c r="T19221"/>
      <c r="U19221"/>
      <c r="X19221" s="60"/>
    </row>
    <row r="19222" spans="7:24" ht="15" customHeight="1">
      <c r="G19222"/>
      <c r="I19222"/>
      <c r="N19222"/>
      <c r="O19222" s="24"/>
      <c r="P19222"/>
      <c r="Q19222" s="24"/>
      <c r="R19222"/>
      <c r="S19222"/>
      <c r="T19222"/>
      <c r="U19222"/>
      <c r="X19222" s="60"/>
    </row>
    <row r="19223" spans="7:24" ht="15" customHeight="1">
      <c r="G19223"/>
      <c r="I19223"/>
      <c r="N19223"/>
      <c r="O19223" s="24"/>
      <c r="P19223"/>
      <c r="Q19223" s="24"/>
      <c r="R19223"/>
      <c r="S19223"/>
      <c r="T19223"/>
      <c r="U19223"/>
      <c r="X19223" s="60"/>
    </row>
    <row r="19224" spans="7:24" ht="15" customHeight="1">
      <c r="G19224"/>
      <c r="I19224"/>
      <c r="N19224"/>
      <c r="O19224" s="24"/>
      <c r="P19224"/>
      <c r="Q19224" s="24"/>
      <c r="R19224"/>
      <c r="S19224"/>
      <c r="T19224"/>
      <c r="U19224"/>
      <c r="X19224" s="60"/>
    </row>
    <row r="19225" spans="7:24" ht="15" customHeight="1">
      <c r="G19225"/>
      <c r="I19225"/>
      <c r="N19225"/>
      <c r="O19225" s="24"/>
      <c r="P19225"/>
      <c r="Q19225" s="24"/>
      <c r="R19225"/>
      <c r="S19225"/>
      <c r="T19225"/>
      <c r="U19225"/>
      <c r="X19225" s="60"/>
    </row>
    <row r="19226" spans="7:24" ht="15" customHeight="1">
      <c r="G19226"/>
      <c r="I19226"/>
      <c r="N19226"/>
      <c r="O19226" s="24"/>
      <c r="P19226"/>
      <c r="Q19226" s="24"/>
      <c r="R19226"/>
      <c r="S19226"/>
      <c r="T19226"/>
      <c r="U19226"/>
      <c r="X19226" s="60"/>
    </row>
    <row r="19227" spans="7:24" ht="15" customHeight="1">
      <c r="G19227"/>
      <c r="I19227"/>
      <c r="N19227"/>
      <c r="O19227" s="24"/>
      <c r="P19227"/>
      <c r="Q19227" s="24"/>
      <c r="R19227"/>
      <c r="S19227"/>
      <c r="T19227"/>
      <c r="U19227"/>
      <c r="X19227" s="60"/>
    </row>
    <row r="19228" spans="7:24" ht="15" customHeight="1">
      <c r="G19228"/>
      <c r="I19228"/>
      <c r="N19228"/>
      <c r="O19228" s="24"/>
      <c r="P19228"/>
      <c r="Q19228" s="24"/>
      <c r="R19228"/>
      <c r="S19228"/>
      <c r="T19228"/>
      <c r="U19228"/>
      <c r="X19228" s="60"/>
    </row>
    <row r="19229" spans="7:24" ht="15" customHeight="1">
      <c r="G19229"/>
      <c r="I19229"/>
      <c r="N19229"/>
      <c r="O19229" s="24"/>
      <c r="P19229"/>
      <c r="Q19229" s="24"/>
      <c r="R19229"/>
      <c r="S19229"/>
      <c r="T19229"/>
      <c r="U19229"/>
      <c r="X19229" s="60"/>
    </row>
    <row r="19230" spans="7:24" ht="15" customHeight="1">
      <c r="G19230"/>
      <c r="I19230"/>
      <c r="N19230"/>
      <c r="O19230" s="24"/>
      <c r="P19230"/>
      <c r="Q19230" s="24"/>
      <c r="R19230"/>
      <c r="S19230"/>
      <c r="T19230"/>
      <c r="U19230"/>
      <c r="X19230" s="60"/>
    </row>
    <row r="19231" spans="7:24" ht="15" customHeight="1">
      <c r="G19231"/>
      <c r="I19231"/>
      <c r="N19231"/>
      <c r="O19231" s="24"/>
      <c r="P19231"/>
      <c r="Q19231" s="24"/>
      <c r="R19231"/>
      <c r="S19231"/>
      <c r="T19231"/>
      <c r="U19231"/>
      <c r="X19231" s="60"/>
    </row>
    <row r="19232" spans="7:24" ht="15" customHeight="1">
      <c r="G19232"/>
      <c r="I19232"/>
      <c r="N19232"/>
      <c r="O19232" s="24"/>
      <c r="P19232"/>
      <c r="Q19232" s="24"/>
      <c r="R19232"/>
      <c r="S19232"/>
      <c r="T19232"/>
      <c r="U19232"/>
      <c r="X19232" s="60"/>
    </row>
    <row r="19233" spans="7:24" ht="15" customHeight="1">
      <c r="G19233"/>
      <c r="I19233"/>
      <c r="N19233"/>
      <c r="O19233" s="24"/>
      <c r="P19233"/>
      <c r="Q19233" s="24"/>
      <c r="R19233"/>
      <c r="S19233"/>
      <c r="T19233"/>
      <c r="U19233"/>
      <c r="X19233" s="60"/>
    </row>
    <row r="19234" spans="7:24" ht="15" customHeight="1">
      <c r="G19234"/>
      <c r="I19234"/>
      <c r="N19234"/>
      <c r="O19234" s="24"/>
      <c r="P19234"/>
      <c r="Q19234" s="24"/>
      <c r="R19234"/>
      <c r="S19234"/>
      <c r="T19234"/>
      <c r="U19234"/>
      <c r="X19234" s="60"/>
    </row>
    <row r="19235" spans="7:24" ht="15" customHeight="1">
      <c r="G19235"/>
      <c r="I19235"/>
      <c r="N19235"/>
      <c r="O19235" s="24"/>
      <c r="P19235"/>
      <c r="Q19235" s="24"/>
      <c r="R19235"/>
      <c r="S19235"/>
      <c r="T19235"/>
      <c r="U19235"/>
      <c r="X19235" s="60"/>
    </row>
    <row r="19236" spans="7:24" ht="15" customHeight="1">
      <c r="G19236"/>
      <c r="I19236"/>
      <c r="N19236"/>
      <c r="O19236" s="24"/>
      <c r="P19236"/>
      <c r="Q19236" s="24"/>
      <c r="R19236"/>
      <c r="S19236"/>
      <c r="T19236"/>
      <c r="U19236"/>
      <c r="X19236" s="60"/>
    </row>
    <row r="19237" spans="7:24" ht="15" customHeight="1">
      <c r="G19237"/>
      <c r="I19237"/>
      <c r="N19237"/>
      <c r="O19237" s="24"/>
      <c r="P19237"/>
      <c r="Q19237" s="24"/>
      <c r="R19237"/>
      <c r="S19237"/>
      <c r="T19237"/>
      <c r="U19237"/>
      <c r="X19237" s="60"/>
    </row>
    <row r="19238" spans="7:24" ht="15" customHeight="1">
      <c r="G19238"/>
      <c r="I19238"/>
      <c r="N19238"/>
      <c r="O19238" s="24"/>
      <c r="P19238"/>
      <c r="Q19238" s="24"/>
      <c r="R19238"/>
      <c r="S19238"/>
      <c r="T19238"/>
      <c r="U19238"/>
      <c r="X19238" s="60"/>
    </row>
    <row r="19239" spans="7:24" ht="15" customHeight="1">
      <c r="G19239"/>
      <c r="I19239"/>
      <c r="N19239"/>
      <c r="O19239" s="24"/>
      <c r="P19239"/>
      <c r="Q19239" s="24"/>
      <c r="R19239"/>
      <c r="S19239"/>
      <c r="T19239"/>
      <c r="U19239"/>
      <c r="X19239" s="60"/>
    </row>
    <row r="19240" spans="7:24" ht="15" customHeight="1">
      <c r="G19240"/>
      <c r="I19240"/>
      <c r="N19240"/>
      <c r="O19240" s="24"/>
      <c r="P19240"/>
      <c r="Q19240" s="24"/>
      <c r="R19240"/>
      <c r="S19240"/>
      <c r="T19240"/>
      <c r="U19240"/>
      <c r="X19240" s="60"/>
    </row>
    <row r="19241" spans="7:24" ht="15" customHeight="1">
      <c r="G19241"/>
      <c r="I19241"/>
      <c r="N19241"/>
      <c r="O19241" s="24"/>
      <c r="P19241"/>
      <c r="Q19241" s="24"/>
      <c r="R19241"/>
      <c r="S19241"/>
      <c r="T19241"/>
      <c r="U19241"/>
      <c r="X19241" s="60"/>
    </row>
    <row r="19242" spans="7:24" ht="15" customHeight="1">
      <c r="G19242"/>
      <c r="I19242"/>
      <c r="N19242"/>
      <c r="O19242" s="24"/>
      <c r="P19242"/>
      <c r="Q19242" s="24"/>
      <c r="R19242"/>
      <c r="S19242"/>
      <c r="T19242"/>
      <c r="U19242"/>
      <c r="X19242" s="60"/>
    </row>
    <row r="19243" spans="7:24" ht="15" customHeight="1">
      <c r="G19243"/>
      <c r="I19243"/>
      <c r="N19243"/>
      <c r="O19243" s="24"/>
      <c r="P19243"/>
      <c r="Q19243" s="24"/>
      <c r="R19243"/>
      <c r="S19243"/>
      <c r="T19243"/>
      <c r="U19243"/>
      <c r="X19243" s="60"/>
    </row>
    <row r="19244" spans="7:24" ht="15" customHeight="1">
      <c r="G19244"/>
      <c r="I19244"/>
      <c r="N19244"/>
      <c r="O19244" s="24"/>
      <c r="P19244"/>
      <c r="Q19244" s="24"/>
      <c r="R19244"/>
      <c r="S19244"/>
      <c r="T19244"/>
      <c r="U19244"/>
      <c r="X19244" s="60"/>
    </row>
    <row r="19245" spans="7:24" ht="15" customHeight="1">
      <c r="G19245"/>
      <c r="I19245"/>
      <c r="N19245"/>
      <c r="O19245" s="24"/>
      <c r="P19245"/>
      <c r="Q19245" s="24"/>
      <c r="R19245"/>
      <c r="S19245"/>
      <c r="T19245"/>
      <c r="U19245"/>
      <c r="X19245" s="60"/>
    </row>
    <row r="19246" spans="7:24" ht="15" customHeight="1">
      <c r="G19246"/>
      <c r="I19246"/>
      <c r="N19246"/>
      <c r="O19246" s="24"/>
      <c r="P19246"/>
      <c r="Q19246" s="24"/>
      <c r="R19246"/>
      <c r="S19246"/>
      <c r="T19246"/>
      <c r="U19246"/>
      <c r="X19246" s="60"/>
    </row>
    <row r="19247" spans="7:24" ht="15" customHeight="1">
      <c r="G19247"/>
      <c r="I19247"/>
      <c r="N19247"/>
      <c r="O19247" s="24"/>
      <c r="P19247"/>
      <c r="Q19247" s="24"/>
      <c r="R19247"/>
      <c r="S19247"/>
      <c r="T19247"/>
      <c r="U19247"/>
      <c r="X19247" s="60"/>
    </row>
    <row r="19248" spans="7:24" ht="15" customHeight="1">
      <c r="G19248"/>
      <c r="I19248"/>
      <c r="N19248"/>
      <c r="O19248" s="24"/>
      <c r="P19248"/>
      <c r="Q19248" s="24"/>
      <c r="R19248"/>
      <c r="S19248"/>
      <c r="T19248"/>
      <c r="U19248"/>
      <c r="X19248" s="60"/>
    </row>
    <row r="19249" spans="7:24" ht="15" customHeight="1">
      <c r="G19249"/>
      <c r="I19249"/>
      <c r="N19249"/>
      <c r="O19249" s="24"/>
      <c r="P19249"/>
      <c r="Q19249" s="24"/>
      <c r="R19249"/>
      <c r="S19249"/>
      <c r="T19249"/>
      <c r="U19249"/>
      <c r="X19249" s="60"/>
    </row>
    <row r="19250" spans="7:24" ht="15" customHeight="1">
      <c r="G19250"/>
      <c r="I19250"/>
      <c r="N19250"/>
      <c r="O19250" s="24"/>
      <c r="P19250"/>
      <c r="Q19250" s="24"/>
      <c r="R19250"/>
      <c r="S19250"/>
      <c r="T19250"/>
      <c r="U19250"/>
      <c r="X19250" s="60"/>
    </row>
    <row r="19251" spans="7:24" ht="15" customHeight="1">
      <c r="G19251"/>
      <c r="I19251"/>
      <c r="N19251"/>
      <c r="O19251" s="24"/>
      <c r="P19251"/>
      <c r="Q19251" s="24"/>
      <c r="R19251"/>
      <c r="S19251"/>
      <c r="T19251"/>
      <c r="U19251"/>
      <c r="X19251" s="60"/>
    </row>
    <row r="19252" spans="7:24" ht="15" customHeight="1">
      <c r="G19252"/>
      <c r="I19252"/>
      <c r="N19252"/>
      <c r="O19252" s="24"/>
      <c r="P19252"/>
      <c r="Q19252" s="24"/>
      <c r="R19252"/>
      <c r="S19252"/>
      <c r="T19252"/>
      <c r="U19252"/>
      <c r="X19252" s="60"/>
    </row>
    <row r="19253" spans="7:24" ht="15" customHeight="1">
      <c r="G19253"/>
      <c r="I19253"/>
      <c r="N19253"/>
      <c r="O19253" s="24"/>
      <c r="P19253"/>
      <c r="Q19253" s="24"/>
      <c r="R19253"/>
      <c r="S19253"/>
      <c r="T19253"/>
      <c r="U19253"/>
      <c r="X19253" s="60"/>
    </row>
    <row r="19254" spans="7:24" ht="15" customHeight="1">
      <c r="G19254"/>
      <c r="I19254"/>
      <c r="N19254"/>
      <c r="O19254" s="24"/>
      <c r="P19254"/>
      <c r="Q19254" s="24"/>
      <c r="R19254"/>
      <c r="S19254"/>
      <c r="T19254"/>
      <c r="U19254"/>
      <c r="X19254" s="60"/>
    </row>
    <row r="19255" spans="7:24" ht="15" customHeight="1">
      <c r="G19255"/>
      <c r="I19255"/>
      <c r="N19255"/>
      <c r="O19255" s="24"/>
      <c r="P19255"/>
      <c r="Q19255" s="24"/>
      <c r="R19255"/>
      <c r="S19255"/>
      <c r="T19255"/>
      <c r="U19255"/>
      <c r="X19255" s="60"/>
    </row>
    <row r="19256" spans="7:24" ht="15" customHeight="1">
      <c r="G19256"/>
      <c r="I19256"/>
      <c r="N19256"/>
      <c r="O19256" s="24"/>
      <c r="P19256"/>
      <c r="Q19256" s="24"/>
      <c r="R19256"/>
      <c r="S19256"/>
      <c r="T19256"/>
      <c r="U19256"/>
      <c r="X19256" s="60"/>
    </row>
    <row r="19257" spans="7:24" ht="15" customHeight="1">
      <c r="G19257"/>
      <c r="I19257"/>
      <c r="N19257"/>
      <c r="O19257" s="24"/>
      <c r="P19257"/>
      <c r="Q19257" s="24"/>
      <c r="R19257"/>
      <c r="S19257"/>
      <c r="T19257"/>
      <c r="U19257"/>
      <c r="X19257" s="60"/>
    </row>
    <row r="19258" spans="7:24" ht="15" customHeight="1">
      <c r="G19258"/>
      <c r="I19258"/>
      <c r="N19258"/>
      <c r="O19258" s="24"/>
      <c r="P19258"/>
      <c r="Q19258" s="24"/>
      <c r="R19258"/>
      <c r="S19258"/>
      <c r="T19258"/>
      <c r="U19258"/>
      <c r="X19258" s="60"/>
    </row>
    <row r="19259" spans="7:24" ht="15" customHeight="1">
      <c r="G19259"/>
      <c r="I19259"/>
      <c r="N19259"/>
      <c r="O19259" s="24"/>
      <c r="P19259"/>
      <c r="Q19259" s="24"/>
      <c r="R19259"/>
      <c r="S19259"/>
      <c r="T19259"/>
      <c r="U19259"/>
      <c r="X19259" s="60"/>
    </row>
    <row r="19260" spans="7:24" ht="15" customHeight="1">
      <c r="G19260"/>
      <c r="I19260"/>
      <c r="N19260"/>
      <c r="O19260" s="24"/>
      <c r="P19260"/>
      <c r="Q19260" s="24"/>
      <c r="R19260"/>
      <c r="S19260"/>
      <c r="T19260"/>
      <c r="U19260"/>
      <c r="X19260" s="60"/>
    </row>
    <row r="19261" spans="7:24" ht="15" customHeight="1">
      <c r="G19261"/>
      <c r="I19261"/>
      <c r="N19261"/>
      <c r="O19261" s="24"/>
      <c r="P19261"/>
      <c r="Q19261" s="24"/>
      <c r="R19261"/>
      <c r="S19261"/>
      <c r="T19261"/>
      <c r="U19261"/>
      <c r="X19261" s="60"/>
    </row>
    <row r="19262" spans="7:24" ht="15" customHeight="1">
      <c r="G19262"/>
      <c r="I19262"/>
      <c r="N19262"/>
      <c r="O19262" s="24"/>
      <c r="P19262"/>
      <c r="Q19262" s="24"/>
      <c r="R19262"/>
      <c r="S19262"/>
      <c r="T19262"/>
      <c r="U19262"/>
      <c r="X19262" s="60"/>
    </row>
    <row r="19263" spans="7:24" ht="15" customHeight="1">
      <c r="G19263"/>
      <c r="I19263"/>
      <c r="N19263"/>
      <c r="O19263" s="24"/>
      <c r="P19263"/>
      <c r="Q19263" s="24"/>
      <c r="R19263"/>
      <c r="S19263"/>
      <c r="T19263"/>
      <c r="U19263"/>
      <c r="X19263" s="60"/>
    </row>
    <row r="19264" spans="7:24" ht="15" customHeight="1">
      <c r="G19264"/>
      <c r="I19264"/>
      <c r="N19264"/>
      <c r="O19264" s="24"/>
      <c r="P19264"/>
      <c r="Q19264" s="24"/>
      <c r="R19264"/>
      <c r="S19264"/>
      <c r="T19264"/>
      <c r="U19264"/>
      <c r="X19264" s="60"/>
    </row>
    <row r="19265" spans="7:24" ht="15" customHeight="1">
      <c r="G19265"/>
      <c r="I19265"/>
      <c r="N19265"/>
      <c r="O19265" s="24"/>
      <c r="P19265"/>
      <c r="Q19265" s="24"/>
      <c r="R19265"/>
      <c r="S19265"/>
      <c r="T19265"/>
      <c r="U19265"/>
      <c r="X19265" s="60"/>
    </row>
    <row r="19266" spans="7:24" ht="15" customHeight="1">
      <c r="G19266"/>
      <c r="I19266"/>
      <c r="N19266"/>
      <c r="O19266" s="24"/>
      <c r="P19266"/>
      <c r="Q19266" s="24"/>
      <c r="R19266"/>
      <c r="S19266"/>
      <c r="T19266"/>
      <c r="U19266"/>
      <c r="X19266" s="60"/>
    </row>
    <row r="19267" spans="7:24" ht="15" customHeight="1">
      <c r="G19267"/>
      <c r="I19267"/>
      <c r="N19267"/>
      <c r="O19267" s="24"/>
      <c r="P19267"/>
      <c r="Q19267" s="24"/>
      <c r="R19267"/>
      <c r="S19267"/>
      <c r="T19267"/>
      <c r="U19267"/>
      <c r="X19267" s="60"/>
    </row>
    <row r="19268" spans="7:24" ht="15" customHeight="1">
      <c r="G19268"/>
      <c r="I19268"/>
      <c r="N19268"/>
      <c r="O19268" s="24"/>
      <c r="P19268"/>
      <c r="Q19268" s="24"/>
      <c r="R19268"/>
      <c r="S19268"/>
      <c r="T19268"/>
      <c r="U19268"/>
      <c r="X19268" s="60"/>
    </row>
    <row r="19269" spans="7:24" ht="15" customHeight="1">
      <c r="G19269"/>
      <c r="I19269"/>
      <c r="N19269"/>
      <c r="O19269" s="24"/>
      <c r="P19269"/>
      <c r="Q19269" s="24"/>
      <c r="R19269"/>
      <c r="S19269"/>
      <c r="T19269"/>
      <c r="U19269"/>
      <c r="X19269" s="60"/>
    </row>
    <row r="19270" spans="7:24" ht="15" customHeight="1">
      <c r="G19270"/>
      <c r="I19270"/>
      <c r="N19270"/>
      <c r="O19270" s="24"/>
      <c r="P19270"/>
      <c r="Q19270" s="24"/>
      <c r="R19270"/>
      <c r="S19270"/>
      <c r="T19270"/>
      <c r="U19270"/>
      <c r="X19270" s="60"/>
    </row>
    <row r="19271" spans="7:24" ht="15" customHeight="1">
      <c r="G19271"/>
      <c r="I19271"/>
      <c r="N19271"/>
      <c r="O19271" s="24"/>
      <c r="P19271"/>
      <c r="Q19271" s="24"/>
      <c r="R19271"/>
      <c r="S19271"/>
      <c r="T19271"/>
      <c r="U19271"/>
      <c r="X19271" s="60"/>
    </row>
    <row r="19272" spans="7:24" ht="15" customHeight="1">
      <c r="G19272"/>
      <c r="I19272"/>
      <c r="N19272"/>
      <c r="O19272" s="24"/>
      <c r="P19272"/>
      <c r="Q19272" s="24"/>
      <c r="R19272"/>
      <c r="S19272"/>
      <c r="T19272"/>
      <c r="U19272"/>
      <c r="X19272" s="60"/>
    </row>
    <row r="19273" spans="7:24" ht="15" customHeight="1">
      <c r="G19273"/>
      <c r="I19273"/>
      <c r="N19273"/>
      <c r="O19273" s="24"/>
      <c r="P19273"/>
      <c r="Q19273" s="24"/>
      <c r="R19273"/>
      <c r="S19273"/>
      <c r="T19273"/>
      <c r="U19273"/>
      <c r="X19273" s="60"/>
    </row>
    <row r="19274" spans="7:24" ht="15" customHeight="1">
      <c r="G19274"/>
      <c r="I19274"/>
      <c r="N19274"/>
      <c r="O19274" s="24"/>
      <c r="P19274"/>
      <c r="Q19274" s="24"/>
      <c r="R19274"/>
      <c r="S19274"/>
      <c r="T19274"/>
      <c r="U19274"/>
      <c r="X19274" s="60"/>
    </row>
    <row r="19275" spans="7:24" ht="15" customHeight="1">
      <c r="G19275"/>
      <c r="I19275"/>
      <c r="N19275"/>
      <c r="O19275" s="24"/>
      <c r="P19275"/>
      <c r="Q19275" s="24"/>
      <c r="R19275"/>
      <c r="S19275"/>
      <c r="T19275"/>
      <c r="U19275"/>
      <c r="X19275" s="60"/>
    </row>
    <row r="19276" spans="7:24" ht="15" customHeight="1">
      <c r="G19276"/>
      <c r="I19276"/>
      <c r="N19276"/>
      <c r="O19276" s="24"/>
      <c r="P19276"/>
      <c r="Q19276" s="24"/>
      <c r="R19276"/>
      <c r="S19276"/>
      <c r="T19276"/>
      <c r="U19276"/>
      <c r="X19276" s="60"/>
    </row>
    <row r="19277" spans="7:24" ht="15" customHeight="1">
      <c r="G19277"/>
      <c r="I19277"/>
      <c r="N19277"/>
      <c r="O19277" s="24"/>
      <c r="P19277"/>
      <c r="Q19277" s="24"/>
      <c r="R19277"/>
      <c r="S19277"/>
      <c r="T19277"/>
      <c r="U19277"/>
      <c r="X19277" s="60"/>
    </row>
    <row r="19278" spans="7:24" ht="15" customHeight="1">
      <c r="G19278"/>
      <c r="I19278"/>
      <c r="N19278"/>
      <c r="O19278" s="24"/>
      <c r="P19278"/>
      <c r="Q19278" s="24"/>
      <c r="R19278"/>
      <c r="S19278"/>
      <c r="T19278"/>
      <c r="U19278"/>
      <c r="X19278" s="60"/>
    </row>
    <row r="19279" spans="7:24" ht="15" customHeight="1">
      <c r="G19279"/>
      <c r="I19279"/>
      <c r="N19279"/>
      <c r="O19279" s="24"/>
      <c r="P19279"/>
      <c r="Q19279" s="24"/>
      <c r="R19279"/>
      <c r="S19279"/>
      <c r="T19279"/>
      <c r="U19279"/>
      <c r="X19279" s="60"/>
    </row>
    <row r="19280" spans="7:24" ht="15" customHeight="1">
      <c r="G19280"/>
      <c r="I19280"/>
      <c r="N19280"/>
      <c r="O19280" s="24"/>
      <c r="P19280"/>
      <c r="Q19280" s="24"/>
      <c r="R19280"/>
      <c r="S19280"/>
      <c r="T19280"/>
      <c r="U19280"/>
      <c r="X19280" s="60"/>
    </row>
    <row r="19281" spans="7:24" ht="15" customHeight="1">
      <c r="G19281"/>
      <c r="I19281"/>
      <c r="N19281"/>
      <c r="O19281" s="24"/>
      <c r="P19281"/>
      <c r="Q19281" s="24"/>
      <c r="R19281"/>
      <c r="S19281"/>
      <c r="T19281"/>
      <c r="U19281"/>
      <c r="X19281" s="60"/>
    </row>
    <row r="19282" spans="7:24" ht="15" customHeight="1">
      <c r="G19282"/>
      <c r="I19282"/>
      <c r="N19282"/>
      <c r="O19282" s="24"/>
      <c r="P19282"/>
      <c r="Q19282" s="24"/>
      <c r="R19282"/>
      <c r="S19282"/>
      <c r="T19282"/>
      <c r="U19282"/>
      <c r="X19282" s="60"/>
    </row>
    <row r="19283" spans="7:24" ht="15" customHeight="1">
      <c r="G19283"/>
      <c r="I19283"/>
      <c r="N19283"/>
      <c r="O19283" s="24"/>
      <c r="P19283"/>
      <c r="Q19283" s="24"/>
      <c r="R19283"/>
      <c r="S19283"/>
      <c r="T19283"/>
      <c r="U19283"/>
      <c r="X19283" s="60"/>
    </row>
    <row r="19284" spans="7:24" ht="15" customHeight="1">
      <c r="G19284"/>
      <c r="I19284"/>
      <c r="N19284"/>
      <c r="O19284" s="24"/>
      <c r="P19284"/>
      <c r="Q19284" s="24"/>
      <c r="R19284"/>
      <c r="S19284"/>
      <c r="T19284"/>
      <c r="U19284"/>
      <c r="X19284" s="60"/>
    </row>
    <row r="19285" spans="7:24" ht="15" customHeight="1">
      <c r="G19285"/>
      <c r="I19285"/>
      <c r="N19285"/>
      <c r="O19285" s="24"/>
      <c r="P19285"/>
      <c r="Q19285" s="24"/>
      <c r="R19285"/>
      <c r="S19285"/>
      <c r="T19285"/>
      <c r="U19285"/>
      <c r="X19285" s="60"/>
    </row>
    <row r="19286" spans="7:24" ht="15" customHeight="1">
      <c r="G19286"/>
      <c r="I19286"/>
      <c r="N19286"/>
      <c r="O19286" s="24"/>
      <c r="P19286"/>
      <c r="Q19286" s="24"/>
      <c r="R19286"/>
      <c r="S19286"/>
      <c r="T19286"/>
      <c r="U19286"/>
      <c r="X19286" s="60"/>
    </row>
    <row r="19287" spans="7:24" ht="15" customHeight="1">
      <c r="G19287"/>
      <c r="I19287"/>
      <c r="N19287"/>
      <c r="O19287" s="24"/>
      <c r="P19287"/>
      <c r="Q19287" s="24"/>
      <c r="R19287"/>
      <c r="S19287"/>
      <c r="T19287"/>
      <c r="U19287"/>
      <c r="X19287" s="60"/>
    </row>
    <row r="19288" spans="7:24" ht="15" customHeight="1">
      <c r="G19288"/>
      <c r="I19288"/>
      <c r="N19288"/>
      <c r="O19288" s="24"/>
      <c r="P19288"/>
      <c r="Q19288" s="24"/>
      <c r="R19288"/>
      <c r="S19288"/>
      <c r="T19288"/>
      <c r="U19288"/>
      <c r="X19288" s="60"/>
    </row>
    <row r="19289" spans="7:24" ht="15" customHeight="1">
      <c r="G19289"/>
      <c r="I19289"/>
      <c r="N19289"/>
      <c r="O19289" s="24"/>
      <c r="P19289"/>
      <c r="Q19289" s="24"/>
      <c r="R19289"/>
      <c r="S19289"/>
      <c r="T19289"/>
      <c r="U19289"/>
      <c r="X19289" s="60"/>
    </row>
    <row r="19290" spans="7:24" ht="15" customHeight="1">
      <c r="G19290"/>
      <c r="I19290"/>
      <c r="N19290"/>
      <c r="O19290" s="24"/>
      <c r="P19290"/>
      <c r="Q19290" s="24"/>
      <c r="R19290"/>
      <c r="S19290"/>
      <c r="T19290"/>
      <c r="U19290"/>
      <c r="X19290" s="60"/>
    </row>
    <row r="19291" spans="7:24" ht="15" customHeight="1">
      <c r="G19291"/>
      <c r="I19291"/>
      <c r="N19291"/>
      <c r="O19291" s="24"/>
      <c r="P19291"/>
      <c r="Q19291" s="24"/>
      <c r="R19291"/>
      <c r="S19291"/>
      <c r="T19291"/>
      <c r="U19291"/>
      <c r="X19291" s="60"/>
    </row>
    <row r="19292" spans="7:24" ht="15" customHeight="1">
      <c r="G19292"/>
      <c r="I19292"/>
      <c r="N19292"/>
      <c r="O19292" s="24"/>
      <c r="P19292"/>
      <c r="Q19292" s="24"/>
      <c r="R19292"/>
      <c r="S19292"/>
      <c r="T19292"/>
      <c r="U19292"/>
      <c r="X19292" s="60"/>
    </row>
    <row r="19293" spans="7:24" ht="15" customHeight="1">
      <c r="G19293"/>
      <c r="I19293"/>
      <c r="N19293"/>
      <c r="O19293" s="24"/>
      <c r="P19293"/>
      <c r="Q19293" s="24"/>
      <c r="R19293"/>
      <c r="S19293"/>
      <c r="T19293"/>
      <c r="U19293"/>
      <c r="X19293" s="60"/>
    </row>
    <row r="19294" spans="7:24" ht="15" customHeight="1">
      <c r="G19294"/>
      <c r="I19294"/>
      <c r="N19294"/>
      <c r="O19294" s="24"/>
      <c r="P19294"/>
      <c r="Q19294" s="24"/>
      <c r="R19294"/>
      <c r="S19294"/>
      <c r="T19294"/>
      <c r="U19294"/>
      <c r="X19294" s="60"/>
    </row>
    <row r="19295" spans="7:24" ht="15" customHeight="1">
      <c r="G19295"/>
      <c r="I19295"/>
      <c r="N19295"/>
      <c r="O19295" s="24"/>
      <c r="P19295"/>
      <c r="Q19295" s="24"/>
      <c r="R19295"/>
      <c r="S19295"/>
      <c r="T19295"/>
      <c r="U19295"/>
      <c r="X19295" s="60"/>
    </row>
    <row r="19296" spans="7:24" ht="15" customHeight="1">
      <c r="G19296"/>
      <c r="I19296"/>
      <c r="N19296"/>
      <c r="O19296" s="24"/>
      <c r="P19296"/>
      <c r="Q19296" s="24"/>
      <c r="R19296"/>
      <c r="S19296"/>
      <c r="T19296"/>
      <c r="U19296"/>
      <c r="X19296" s="60"/>
    </row>
    <row r="19297" spans="7:24" ht="15" customHeight="1">
      <c r="G19297"/>
      <c r="I19297"/>
      <c r="N19297"/>
      <c r="O19297" s="24"/>
      <c r="P19297"/>
      <c r="Q19297" s="24"/>
      <c r="R19297"/>
      <c r="S19297"/>
      <c r="T19297"/>
      <c r="U19297"/>
      <c r="X19297" s="60"/>
    </row>
    <row r="19298" spans="7:24" ht="15" customHeight="1">
      <c r="G19298"/>
      <c r="I19298"/>
      <c r="N19298"/>
      <c r="O19298" s="24"/>
      <c r="P19298"/>
      <c r="Q19298" s="24"/>
      <c r="R19298"/>
      <c r="S19298"/>
      <c r="T19298"/>
      <c r="U19298"/>
      <c r="X19298" s="60"/>
    </row>
    <row r="19299" spans="7:24" ht="15" customHeight="1">
      <c r="G19299"/>
      <c r="I19299"/>
      <c r="N19299"/>
      <c r="O19299" s="24"/>
      <c r="P19299"/>
      <c r="Q19299" s="24"/>
      <c r="R19299"/>
      <c r="S19299"/>
      <c r="T19299"/>
      <c r="U19299"/>
      <c r="X19299" s="60"/>
    </row>
    <row r="19300" spans="7:24" ht="15" customHeight="1">
      <c r="G19300"/>
      <c r="I19300"/>
      <c r="N19300"/>
      <c r="O19300" s="24"/>
      <c r="P19300"/>
      <c r="Q19300" s="24"/>
      <c r="R19300"/>
      <c r="S19300"/>
      <c r="T19300"/>
      <c r="U19300"/>
      <c r="X19300" s="60"/>
    </row>
    <row r="19301" spans="7:24" ht="15" customHeight="1">
      <c r="G19301"/>
      <c r="I19301"/>
      <c r="N19301"/>
      <c r="O19301" s="24"/>
      <c r="P19301"/>
      <c r="Q19301" s="24"/>
      <c r="R19301"/>
      <c r="S19301"/>
      <c r="T19301"/>
      <c r="U19301"/>
      <c r="X19301" s="60"/>
    </row>
    <row r="19302" spans="7:24" ht="15" customHeight="1">
      <c r="G19302"/>
      <c r="I19302"/>
      <c r="N19302"/>
      <c r="O19302" s="24"/>
      <c r="P19302"/>
      <c r="Q19302" s="24"/>
      <c r="R19302"/>
      <c r="S19302"/>
      <c r="T19302"/>
      <c r="U19302"/>
      <c r="X19302" s="60"/>
    </row>
    <row r="19303" spans="7:24" ht="15" customHeight="1">
      <c r="G19303"/>
      <c r="I19303"/>
      <c r="N19303"/>
      <c r="O19303" s="24"/>
      <c r="P19303"/>
      <c r="Q19303" s="24"/>
      <c r="R19303"/>
      <c r="S19303"/>
      <c r="T19303"/>
      <c r="U19303"/>
      <c r="X19303" s="60"/>
    </row>
    <row r="19304" spans="7:24" ht="15" customHeight="1">
      <c r="G19304"/>
      <c r="I19304"/>
      <c r="N19304"/>
      <c r="O19304" s="24"/>
      <c r="P19304"/>
      <c r="Q19304" s="24"/>
      <c r="R19304"/>
      <c r="S19304"/>
      <c r="T19304"/>
      <c r="U19304"/>
      <c r="X19304" s="60"/>
    </row>
    <row r="19305" spans="7:24" ht="15" customHeight="1">
      <c r="G19305"/>
      <c r="I19305"/>
      <c r="N19305"/>
      <c r="O19305" s="24"/>
      <c r="P19305"/>
      <c r="Q19305" s="24"/>
      <c r="R19305"/>
      <c r="S19305"/>
      <c r="T19305"/>
      <c r="U19305"/>
      <c r="X19305" s="60"/>
    </row>
    <row r="19306" spans="7:24" ht="15" customHeight="1">
      <c r="G19306"/>
      <c r="I19306"/>
      <c r="N19306"/>
      <c r="O19306" s="24"/>
      <c r="P19306"/>
      <c r="Q19306" s="24"/>
      <c r="R19306"/>
      <c r="S19306"/>
      <c r="T19306"/>
      <c r="U19306"/>
      <c r="X19306" s="60"/>
    </row>
    <row r="19307" spans="7:24" ht="15" customHeight="1">
      <c r="G19307"/>
      <c r="I19307"/>
      <c r="N19307"/>
      <c r="O19307" s="24"/>
      <c r="P19307"/>
      <c r="Q19307" s="24"/>
      <c r="R19307"/>
      <c r="S19307"/>
      <c r="T19307"/>
      <c r="U19307"/>
      <c r="X19307" s="60"/>
    </row>
    <row r="19308" spans="7:24" ht="15" customHeight="1">
      <c r="G19308"/>
      <c r="I19308"/>
      <c r="N19308"/>
      <c r="O19308" s="24"/>
      <c r="P19308"/>
      <c r="Q19308" s="24"/>
      <c r="R19308"/>
      <c r="S19308"/>
      <c r="T19308"/>
      <c r="U19308"/>
      <c r="X19308" s="60"/>
    </row>
    <row r="19309" spans="7:24" ht="15" customHeight="1">
      <c r="G19309"/>
      <c r="I19309"/>
      <c r="N19309"/>
      <c r="O19309" s="24"/>
      <c r="P19309"/>
      <c r="Q19309" s="24"/>
      <c r="R19309"/>
      <c r="S19309"/>
      <c r="T19309"/>
      <c r="U19309"/>
      <c r="X19309" s="60"/>
    </row>
    <row r="19310" spans="7:24" ht="15" customHeight="1">
      <c r="G19310"/>
      <c r="I19310"/>
      <c r="N19310"/>
      <c r="O19310" s="24"/>
      <c r="P19310"/>
      <c r="Q19310" s="24"/>
      <c r="R19310"/>
      <c r="S19310"/>
      <c r="T19310"/>
      <c r="U19310"/>
      <c r="X19310" s="60"/>
    </row>
    <row r="19311" spans="7:24" ht="15" customHeight="1">
      <c r="G19311"/>
      <c r="I19311"/>
      <c r="N19311"/>
      <c r="O19311" s="24"/>
      <c r="P19311"/>
      <c r="Q19311" s="24"/>
      <c r="R19311"/>
      <c r="S19311"/>
      <c r="T19311"/>
      <c r="U19311"/>
      <c r="X19311" s="60"/>
    </row>
    <row r="19312" spans="7:24" ht="15" customHeight="1">
      <c r="G19312"/>
      <c r="I19312"/>
      <c r="N19312"/>
      <c r="O19312" s="24"/>
      <c r="P19312"/>
      <c r="Q19312" s="24"/>
      <c r="R19312"/>
      <c r="S19312"/>
      <c r="T19312"/>
      <c r="U19312"/>
      <c r="X19312" s="60"/>
    </row>
    <row r="19313" spans="7:24" ht="15" customHeight="1">
      <c r="G19313"/>
      <c r="I19313"/>
      <c r="N19313"/>
      <c r="O19313" s="24"/>
      <c r="P19313"/>
      <c r="Q19313" s="24"/>
      <c r="R19313"/>
      <c r="S19313"/>
      <c r="T19313"/>
      <c r="U19313"/>
      <c r="X19313" s="60"/>
    </row>
    <row r="19314" spans="7:24" ht="15" customHeight="1">
      <c r="G19314"/>
      <c r="I19314"/>
      <c r="N19314"/>
      <c r="O19314" s="24"/>
      <c r="P19314"/>
      <c r="Q19314" s="24"/>
      <c r="R19314"/>
      <c r="S19314"/>
      <c r="T19314"/>
      <c r="U19314"/>
      <c r="X19314" s="60"/>
    </row>
    <row r="19315" spans="7:24" ht="15" customHeight="1">
      <c r="G19315"/>
      <c r="I19315"/>
      <c r="N19315"/>
      <c r="O19315" s="24"/>
      <c r="P19315"/>
      <c r="Q19315" s="24"/>
      <c r="R19315"/>
      <c r="S19315"/>
      <c r="T19315"/>
      <c r="U19315"/>
      <c r="X19315" s="60"/>
    </row>
    <row r="19316" spans="7:24" ht="15" customHeight="1">
      <c r="G19316"/>
      <c r="I19316"/>
      <c r="N19316"/>
      <c r="O19316" s="24"/>
      <c r="P19316"/>
      <c r="Q19316" s="24"/>
      <c r="R19316"/>
      <c r="S19316"/>
      <c r="T19316"/>
      <c r="U19316"/>
      <c r="X19316" s="60"/>
    </row>
    <row r="19317" spans="7:24" ht="15" customHeight="1">
      <c r="G19317"/>
      <c r="I19317"/>
      <c r="N19317"/>
      <c r="O19317" s="24"/>
      <c r="P19317"/>
      <c r="Q19317" s="24"/>
      <c r="R19317"/>
      <c r="S19317"/>
      <c r="T19317"/>
      <c r="U19317"/>
      <c r="X19317" s="60"/>
    </row>
    <row r="19318" spans="7:24" ht="15" customHeight="1">
      <c r="G19318"/>
      <c r="I19318"/>
      <c r="N19318"/>
      <c r="O19318" s="24"/>
      <c r="P19318"/>
      <c r="Q19318" s="24"/>
      <c r="R19318"/>
      <c r="S19318"/>
      <c r="T19318"/>
      <c r="U19318"/>
      <c r="X19318" s="60"/>
    </row>
    <row r="19319" spans="7:24" ht="15" customHeight="1">
      <c r="G19319"/>
      <c r="I19319"/>
      <c r="N19319"/>
      <c r="O19319" s="24"/>
      <c r="P19319"/>
      <c r="Q19319" s="24"/>
      <c r="R19319"/>
      <c r="S19319"/>
      <c r="T19319"/>
      <c r="U19319"/>
      <c r="X19319" s="60"/>
    </row>
    <row r="19320" spans="7:24" ht="15" customHeight="1">
      <c r="G19320"/>
      <c r="I19320"/>
      <c r="N19320"/>
      <c r="O19320" s="24"/>
      <c r="P19320"/>
      <c r="Q19320" s="24"/>
      <c r="R19320"/>
      <c r="S19320"/>
      <c r="T19320"/>
      <c r="U19320"/>
      <c r="X19320" s="60"/>
    </row>
    <row r="19321" spans="7:24" ht="15" customHeight="1">
      <c r="G19321"/>
      <c r="I19321"/>
      <c r="N19321"/>
      <c r="O19321" s="24"/>
      <c r="P19321"/>
      <c r="Q19321" s="24"/>
      <c r="R19321"/>
      <c r="S19321"/>
      <c r="T19321"/>
      <c r="U19321"/>
      <c r="X19321" s="60"/>
    </row>
    <row r="19322" spans="7:24" ht="15" customHeight="1">
      <c r="G19322"/>
      <c r="I19322"/>
      <c r="N19322"/>
      <c r="O19322" s="24"/>
      <c r="P19322"/>
      <c r="Q19322" s="24"/>
      <c r="R19322"/>
      <c r="S19322"/>
      <c r="T19322"/>
      <c r="U19322"/>
      <c r="X19322" s="60"/>
    </row>
    <row r="19323" spans="7:24" ht="15" customHeight="1">
      <c r="G19323"/>
      <c r="I19323"/>
      <c r="N19323"/>
      <c r="O19323" s="24"/>
      <c r="P19323"/>
      <c r="Q19323" s="24"/>
      <c r="R19323"/>
      <c r="S19323"/>
      <c r="T19323"/>
      <c r="U19323"/>
      <c r="X19323" s="60"/>
    </row>
    <row r="19324" spans="7:24" ht="15" customHeight="1">
      <c r="G19324"/>
      <c r="I19324"/>
      <c r="N19324"/>
      <c r="O19324" s="24"/>
      <c r="P19324"/>
      <c r="Q19324" s="24"/>
      <c r="R19324"/>
      <c r="S19324"/>
      <c r="T19324"/>
      <c r="U19324"/>
      <c r="X19324" s="60"/>
    </row>
    <row r="19325" spans="7:24" ht="15" customHeight="1">
      <c r="G19325"/>
      <c r="I19325"/>
      <c r="N19325"/>
      <c r="O19325" s="24"/>
      <c r="P19325"/>
      <c r="Q19325" s="24"/>
      <c r="R19325"/>
      <c r="S19325"/>
      <c r="T19325"/>
      <c r="U19325"/>
      <c r="X19325" s="60"/>
    </row>
    <row r="19326" spans="7:24" ht="15" customHeight="1">
      <c r="G19326"/>
      <c r="I19326"/>
      <c r="N19326"/>
      <c r="O19326" s="24"/>
      <c r="P19326"/>
      <c r="Q19326" s="24"/>
      <c r="R19326"/>
      <c r="S19326"/>
      <c r="T19326"/>
      <c r="U19326"/>
      <c r="X19326" s="60"/>
    </row>
    <row r="19327" spans="7:24" ht="15" customHeight="1">
      <c r="G19327"/>
      <c r="I19327"/>
      <c r="N19327"/>
      <c r="O19327" s="24"/>
      <c r="P19327"/>
      <c r="Q19327" s="24"/>
      <c r="R19327"/>
      <c r="S19327"/>
      <c r="T19327"/>
      <c r="U19327"/>
      <c r="X19327" s="60"/>
    </row>
    <row r="19328" spans="7:24" ht="15" customHeight="1">
      <c r="G19328"/>
      <c r="I19328"/>
      <c r="N19328"/>
      <c r="O19328" s="24"/>
      <c r="P19328"/>
      <c r="Q19328" s="24"/>
      <c r="R19328"/>
      <c r="S19328"/>
      <c r="T19328"/>
      <c r="U19328"/>
      <c r="X19328" s="60"/>
    </row>
    <row r="19329" spans="7:24" ht="15" customHeight="1">
      <c r="G19329"/>
      <c r="I19329"/>
      <c r="N19329"/>
      <c r="O19329" s="24"/>
      <c r="P19329"/>
      <c r="Q19329" s="24"/>
      <c r="R19329"/>
      <c r="S19329"/>
      <c r="T19329"/>
      <c r="U19329"/>
      <c r="X19329" s="60"/>
    </row>
    <row r="19330" spans="7:24" ht="15" customHeight="1">
      <c r="G19330"/>
      <c r="I19330"/>
      <c r="N19330"/>
      <c r="O19330" s="24"/>
      <c r="P19330"/>
      <c r="Q19330" s="24"/>
      <c r="R19330"/>
      <c r="S19330"/>
      <c r="T19330"/>
      <c r="U19330"/>
      <c r="X19330" s="60"/>
    </row>
    <row r="19331" spans="7:24" ht="15" customHeight="1">
      <c r="G19331"/>
      <c r="I19331"/>
      <c r="N19331"/>
      <c r="O19331" s="24"/>
      <c r="P19331"/>
      <c r="Q19331" s="24"/>
      <c r="R19331"/>
      <c r="S19331"/>
      <c r="T19331"/>
      <c r="U19331"/>
      <c r="X19331" s="60"/>
    </row>
    <row r="19332" spans="7:24" ht="15" customHeight="1">
      <c r="G19332"/>
      <c r="I19332"/>
      <c r="N19332"/>
      <c r="O19332" s="24"/>
      <c r="P19332"/>
      <c r="Q19332" s="24"/>
      <c r="R19332"/>
      <c r="S19332"/>
      <c r="T19332"/>
      <c r="U19332"/>
      <c r="X19332" s="60"/>
    </row>
    <row r="19333" spans="7:24" ht="15" customHeight="1">
      <c r="G19333"/>
      <c r="I19333"/>
      <c r="N19333"/>
      <c r="O19333" s="24"/>
      <c r="P19333"/>
      <c r="Q19333" s="24"/>
      <c r="R19333"/>
      <c r="S19333"/>
      <c r="T19333"/>
      <c r="U19333"/>
      <c r="X19333" s="60"/>
    </row>
    <row r="19334" spans="7:24" ht="15" customHeight="1">
      <c r="G19334"/>
      <c r="I19334"/>
      <c r="N19334"/>
      <c r="O19334" s="24"/>
      <c r="P19334"/>
      <c r="Q19334" s="24"/>
      <c r="R19334"/>
      <c r="S19334"/>
      <c r="T19334"/>
      <c r="U19334"/>
      <c r="X19334" s="60"/>
    </row>
    <row r="19335" spans="7:24" ht="15" customHeight="1">
      <c r="G19335"/>
      <c r="I19335"/>
      <c r="N19335"/>
      <c r="O19335" s="24"/>
      <c r="P19335"/>
      <c r="Q19335" s="24"/>
      <c r="R19335"/>
      <c r="S19335"/>
      <c r="T19335"/>
      <c r="U19335"/>
      <c r="X19335" s="60"/>
    </row>
    <row r="19336" spans="7:24" ht="15" customHeight="1">
      <c r="G19336"/>
      <c r="I19336"/>
      <c r="N19336"/>
      <c r="O19336" s="24"/>
      <c r="P19336"/>
      <c r="Q19336" s="24"/>
      <c r="R19336"/>
      <c r="S19336"/>
      <c r="T19336"/>
      <c r="U19336"/>
      <c r="X19336" s="60"/>
    </row>
    <row r="19337" spans="7:24" ht="15" customHeight="1">
      <c r="G19337"/>
      <c r="I19337"/>
      <c r="N19337"/>
      <c r="O19337" s="24"/>
      <c r="P19337"/>
      <c r="Q19337" s="24"/>
      <c r="R19337"/>
      <c r="S19337"/>
      <c r="T19337"/>
      <c r="U19337"/>
      <c r="X19337" s="60"/>
    </row>
    <row r="19338" spans="7:24" ht="15" customHeight="1">
      <c r="G19338"/>
      <c r="I19338"/>
      <c r="N19338"/>
      <c r="O19338" s="24"/>
      <c r="P19338"/>
      <c r="Q19338" s="24"/>
      <c r="R19338"/>
      <c r="S19338"/>
      <c r="T19338"/>
      <c r="U19338"/>
      <c r="X19338" s="60"/>
    </row>
    <row r="19339" spans="7:24" ht="15" customHeight="1">
      <c r="G19339"/>
      <c r="I19339"/>
      <c r="N19339"/>
      <c r="O19339" s="24"/>
      <c r="P19339"/>
      <c r="Q19339" s="24"/>
      <c r="R19339"/>
      <c r="S19339"/>
      <c r="T19339"/>
      <c r="U19339"/>
      <c r="X19339" s="60"/>
    </row>
    <row r="19340" spans="7:24" ht="15" customHeight="1">
      <c r="G19340"/>
      <c r="I19340"/>
      <c r="N19340"/>
      <c r="O19340" s="24"/>
      <c r="P19340"/>
      <c r="Q19340" s="24"/>
      <c r="R19340"/>
      <c r="S19340"/>
      <c r="T19340"/>
      <c r="U19340"/>
      <c r="X19340" s="60"/>
    </row>
    <row r="19341" spans="7:24" ht="15" customHeight="1">
      <c r="G19341"/>
      <c r="I19341"/>
      <c r="N19341"/>
      <c r="O19341" s="24"/>
      <c r="P19341"/>
      <c r="Q19341" s="24"/>
      <c r="R19341"/>
      <c r="S19341"/>
      <c r="T19341"/>
      <c r="U19341"/>
      <c r="X19341" s="60"/>
    </row>
    <row r="19342" spans="7:24" ht="15" customHeight="1">
      <c r="G19342"/>
      <c r="I19342"/>
      <c r="N19342"/>
      <c r="O19342" s="24"/>
      <c r="P19342"/>
      <c r="Q19342" s="24"/>
      <c r="R19342"/>
      <c r="S19342"/>
      <c r="T19342"/>
      <c r="U19342"/>
      <c r="X19342" s="60"/>
    </row>
    <row r="19343" spans="7:24" ht="15" customHeight="1">
      <c r="G19343"/>
      <c r="I19343"/>
      <c r="N19343"/>
      <c r="O19343" s="24"/>
      <c r="P19343"/>
      <c r="Q19343" s="24"/>
      <c r="R19343"/>
      <c r="S19343"/>
      <c r="T19343"/>
      <c r="U19343"/>
      <c r="X19343" s="60"/>
    </row>
    <row r="19344" spans="7:24" ht="15" customHeight="1">
      <c r="G19344"/>
      <c r="I19344"/>
      <c r="N19344"/>
      <c r="O19344" s="24"/>
      <c r="P19344"/>
      <c r="Q19344" s="24"/>
      <c r="R19344"/>
      <c r="S19344"/>
      <c r="T19344"/>
      <c r="U19344"/>
      <c r="X19344" s="60"/>
    </row>
    <row r="19345" spans="7:24" ht="15" customHeight="1">
      <c r="G19345"/>
      <c r="I19345"/>
      <c r="N19345"/>
      <c r="O19345" s="24"/>
      <c r="P19345"/>
      <c r="Q19345" s="24"/>
      <c r="R19345"/>
      <c r="S19345"/>
      <c r="T19345"/>
      <c r="U19345"/>
      <c r="X19345" s="60"/>
    </row>
    <row r="19346" spans="7:24" ht="15" customHeight="1">
      <c r="G19346"/>
      <c r="I19346"/>
      <c r="N19346"/>
      <c r="O19346" s="24"/>
      <c r="P19346"/>
      <c r="Q19346" s="24"/>
      <c r="R19346"/>
      <c r="S19346"/>
      <c r="T19346"/>
      <c r="U19346"/>
      <c r="X19346" s="60"/>
    </row>
    <row r="19347" spans="7:24" ht="15" customHeight="1">
      <c r="G19347"/>
      <c r="I19347"/>
      <c r="N19347"/>
      <c r="O19347" s="24"/>
      <c r="P19347"/>
      <c r="Q19347" s="24"/>
      <c r="R19347"/>
      <c r="S19347"/>
      <c r="T19347"/>
      <c r="U19347"/>
      <c r="X19347" s="60"/>
    </row>
    <row r="19348" spans="7:24" ht="15" customHeight="1">
      <c r="G19348"/>
      <c r="I19348"/>
      <c r="N19348"/>
      <c r="O19348" s="24"/>
      <c r="P19348"/>
      <c r="Q19348" s="24"/>
      <c r="R19348"/>
      <c r="S19348"/>
      <c r="T19348"/>
      <c r="U19348"/>
      <c r="X19348" s="60"/>
    </row>
    <row r="19349" spans="7:24" ht="15" customHeight="1">
      <c r="G19349"/>
      <c r="I19349"/>
      <c r="N19349"/>
      <c r="O19349" s="24"/>
      <c r="P19349"/>
      <c r="Q19349" s="24"/>
      <c r="R19349"/>
      <c r="S19349"/>
      <c r="T19349"/>
      <c r="U19349"/>
      <c r="X19349" s="60"/>
    </row>
    <row r="19350" spans="7:24" ht="15" customHeight="1">
      <c r="G19350"/>
      <c r="I19350"/>
      <c r="N19350"/>
      <c r="O19350" s="24"/>
      <c r="P19350"/>
      <c r="Q19350" s="24"/>
      <c r="R19350"/>
      <c r="S19350"/>
      <c r="T19350"/>
      <c r="U19350"/>
      <c r="X19350" s="60"/>
    </row>
    <row r="19351" spans="7:24" ht="15" customHeight="1">
      <c r="G19351"/>
      <c r="I19351"/>
      <c r="N19351"/>
      <c r="O19351" s="24"/>
      <c r="P19351"/>
      <c r="Q19351" s="24"/>
      <c r="R19351"/>
      <c r="S19351"/>
      <c r="T19351"/>
      <c r="U19351"/>
      <c r="X19351" s="60"/>
    </row>
    <row r="19352" spans="7:24" ht="15" customHeight="1">
      <c r="G19352"/>
      <c r="I19352"/>
      <c r="N19352"/>
      <c r="O19352" s="24"/>
      <c r="P19352"/>
      <c r="Q19352" s="24"/>
      <c r="R19352"/>
      <c r="S19352"/>
      <c r="T19352"/>
      <c r="U19352"/>
      <c r="X19352" s="60"/>
    </row>
    <row r="19353" spans="7:24" ht="15" customHeight="1">
      <c r="G19353"/>
      <c r="I19353"/>
      <c r="N19353"/>
      <c r="O19353" s="24"/>
      <c r="P19353"/>
      <c r="Q19353" s="24"/>
      <c r="R19353"/>
      <c r="S19353"/>
      <c r="T19353"/>
      <c r="U19353"/>
      <c r="X19353" s="60"/>
    </row>
    <row r="19354" spans="7:24" ht="15" customHeight="1">
      <c r="G19354"/>
      <c r="I19354"/>
      <c r="N19354"/>
      <c r="O19354" s="24"/>
      <c r="P19354"/>
      <c r="Q19354" s="24"/>
      <c r="R19354"/>
      <c r="S19354"/>
      <c r="T19354"/>
      <c r="U19354"/>
      <c r="X19354" s="60"/>
    </row>
    <row r="19355" spans="7:24" ht="15" customHeight="1">
      <c r="G19355"/>
      <c r="I19355"/>
      <c r="N19355"/>
      <c r="O19355" s="24"/>
      <c r="P19355"/>
      <c r="Q19355" s="24"/>
      <c r="R19355"/>
      <c r="S19355"/>
      <c r="T19355"/>
      <c r="U19355"/>
      <c r="X19355" s="60"/>
    </row>
    <row r="19356" spans="7:24" ht="15" customHeight="1">
      <c r="G19356"/>
      <c r="I19356"/>
      <c r="N19356"/>
      <c r="O19356" s="24"/>
      <c r="P19356"/>
      <c r="Q19356" s="24"/>
      <c r="R19356"/>
      <c r="S19356"/>
      <c r="T19356"/>
      <c r="U19356"/>
      <c r="X19356" s="60"/>
    </row>
    <row r="19357" spans="7:24" ht="15" customHeight="1">
      <c r="G19357"/>
      <c r="I19357"/>
      <c r="N19357"/>
      <c r="O19357" s="24"/>
      <c r="P19357"/>
      <c r="Q19357" s="24"/>
      <c r="R19357"/>
      <c r="S19357"/>
      <c r="T19357"/>
      <c r="U19357"/>
      <c r="X19357" s="60"/>
    </row>
    <row r="19358" spans="7:24" ht="15" customHeight="1">
      <c r="G19358"/>
      <c r="I19358"/>
      <c r="N19358"/>
      <c r="O19358" s="24"/>
      <c r="P19358"/>
      <c r="Q19358" s="24"/>
      <c r="R19358"/>
      <c r="S19358"/>
      <c r="T19358"/>
      <c r="U19358"/>
      <c r="X19358" s="60"/>
    </row>
    <row r="19359" spans="7:24" ht="15" customHeight="1">
      <c r="G19359"/>
      <c r="I19359"/>
      <c r="N19359"/>
      <c r="O19359" s="24"/>
      <c r="P19359"/>
      <c r="Q19359" s="24"/>
      <c r="R19359"/>
      <c r="S19359"/>
      <c r="T19359"/>
      <c r="U19359"/>
      <c r="X19359" s="60"/>
    </row>
    <row r="19360" spans="7:24" ht="15" customHeight="1">
      <c r="G19360"/>
      <c r="I19360"/>
      <c r="N19360"/>
      <c r="O19360" s="24"/>
      <c r="P19360"/>
      <c r="Q19360" s="24"/>
      <c r="R19360"/>
      <c r="S19360"/>
      <c r="T19360"/>
      <c r="U19360"/>
      <c r="X19360" s="60"/>
    </row>
    <row r="19361" spans="7:24" ht="15" customHeight="1">
      <c r="G19361"/>
      <c r="I19361"/>
      <c r="N19361"/>
      <c r="O19361" s="24"/>
      <c r="P19361"/>
      <c r="Q19361" s="24"/>
      <c r="R19361"/>
      <c r="S19361"/>
      <c r="T19361"/>
      <c r="U19361"/>
      <c r="X19361" s="60"/>
    </row>
    <row r="19362" spans="7:24" ht="15" customHeight="1">
      <c r="G19362"/>
      <c r="I19362"/>
      <c r="N19362"/>
      <c r="O19362" s="24"/>
      <c r="P19362"/>
      <c r="Q19362" s="24"/>
      <c r="R19362"/>
      <c r="S19362"/>
      <c r="T19362"/>
      <c r="U19362"/>
      <c r="X19362" s="60"/>
    </row>
    <row r="19363" spans="7:24" ht="15" customHeight="1">
      <c r="G19363"/>
      <c r="I19363"/>
      <c r="N19363"/>
      <c r="O19363" s="24"/>
      <c r="P19363"/>
      <c r="Q19363" s="24"/>
      <c r="R19363"/>
      <c r="S19363"/>
      <c r="T19363"/>
      <c r="U19363"/>
      <c r="X19363" s="60"/>
    </row>
    <row r="19364" spans="7:24" ht="15" customHeight="1">
      <c r="G19364"/>
      <c r="I19364"/>
      <c r="N19364"/>
      <c r="O19364" s="24"/>
      <c r="P19364"/>
      <c r="Q19364" s="24"/>
      <c r="R19364"/>
      <c r="S19364"/>
      <c r="T19364"/>
      <c r="U19364"/>
      <c r="X19364" s="60"/>
    </row>
    <row r="19365" spans="7:24" ht="15" customHeight="1">
      <c r="G19365"/>
      <c r="I19365"/>
      <c r="N19365"/>
      <c r="O19365" s="24"/>
      <c r="P19365"/>
      <c r="Q19365" s="24"/>
      <c r="R19365"/>
      <c r="S19365"/>
      <c r="T19365"/>
      <c r="U19365"/>
      <c r="X19365" s="60"/>
    </row>
    <row r="19366" spans="7:24" ht="15" customHeight="1">
      <c r="G19366"/>
      <c r="I19366"/>
      <c r="N19366"/>
      <c r="O19366" s="24"/>
      <c r="P19366"/>
      <c r="Q19366" s="24"/>
      <c r="R19366"/>
      <c r="S19366"/>
      <c r="T19366"/>
      <c r="U19366"/>
      <c r="X19366" s="60"/>
    </row>
    <row r="19367" spans="7:24" ht="15" customHeight="1">
      <c r="G19367"/>
      <c r="I19367"/>
      <c r="N19367"/>
      <c r="O19367" s="24"/>
      <c r="P19367"/>
      <c r="Q19367" s="24"/>
      <c r="R19367"/>
      <c r="S19367"/>
      <c r="T19367"/>
      <c r="U19367"/>
      <c r="X19367" s="60"/>
    </row>
    <row r="19368" spans="7:24" ht="15" customHeight="1">
      <c r="G19368"/>
      <c r="I19368"/>
      <c r="N19368"/>
      <c r="O19368" s="24"/>
      <c r="P19368"/>
      <c r="Q19368" s="24"/>
      <c r="R19368"/>
      <c r="S19368"/>
      <c r="T19368"/>
      <c r="U19368"/>
      <c r="X19368" s="60"/>
    </row>
    <row r="19369" spans="7:24" ht="15" customHeight="1">
      <c r="G19369"/>
      <c r="I19369"/>
      <c r="N19369"/>
      <c r="O19369" s="24"/>
      <c r="P19369"/>
      <c r="Q19369" s="24"/>
      <c r="R19369"/>
      <c r="S19369"/>
      <c r="T19369"/>
      <c r="U19369"/>
      <c r="X19369" s="60"/>
    </row>
    <row r="19370" spans="7:24" ht="15" customHeight="1">
      <c r="G19370"/>
      <c r="I19370"/>
      <c r="N19370"/>
      <c r="O19370" s="24"/>
      <c r="P19370"/>
      <c r="Q19370" s="24"/>
      <c r="R19370"/>
      <c r="S19370"/>
      <c r="T19370"/>
      <c r="U19370"/>
      <c r="X19370" s="60"/>
    </row>
    <row r="19371" spans="7:24" ht="15" customHeight="1">
      <c r="G19371"/>
      <c r="I19371"/>
      <c r="N19371"/>
      <c r="O19371" s="24"/>
      <c r="P19371"/>
      <c r="Q19371" s="24"/>
      <c r="R19371"/>
      <c r="S19371"/>
      <c r="T19371"/>
      <c r="U19371"/>
      <c r="X19371" s="60"/>
    </row>
    <row r="19372" spans="7:24" ht="15" customHeight="1">
      <c r="G19372"/>
      <c r="I19372"/>
      <c r="N19372"/>
      <c r="O19372" s="24"/>
      <c r="P19372"/>
      <c r="Q19372" s="24"/>
      <c r="R19372"/>
      <c r="S19372"/>
      <c r="T19372"/>
      <c r="U19372"/>
      <c r="X19372" s="60"/>
    </row>
    <row r="19373" spans="7:24" ht="15" customHeight="1">
      <c r="G19373"/>
      <c r="I19373"/>
      <c r="N19373"/>
      <c r="O19373" s="24"/>
      <c r="P19373"/>
      <c r="Q19373" s="24"/>
      <c r="R19373"/>
      <c r="S19373"/>
      <c r="T19373"/>
      <c r="U19373"/>
      <c r="X19373" s="60"/>
    </row>
    <row r="19374" spans="7:24" ht="15" customHeight="1">
      <c r="G19374"/>
      <c r="I19374"/>
      <c r="N19374"/>
      <c r="O19374" s="24"/>
      <c r="P19374"/>
      <c r="Q19374" s="24"/>
      <c r="R19374"/>
      <c r="S19374"/>
      <c r="T19374"/>
      <c r="U19374"/>
      <c r="X19374" s="60"/>
    </row>
    <row r="19375" spans="7:24" ht="15" customHeight="1">
      <c r="G19375"/>
      <c r="I19375"/>
      <c r="N19375"/>
      <c r="O19375" s="24"/>
      <c r="P19375"/>
      <c r="Q19375" s="24"/>
      <c r="R19375"/>
      <c r="S19375"/>
      <c r="T19375"/>
      <c r="U19375"/>
      <c r="X19375" s="60"/>
    </row>
    <row r="19376" spans="7:24" ht="15" customHeight="1">
      <c r="G19376"/>
      <c r="I19376"/>
      <c r="N19376"/>
      <c r="O19376" s="24"/>
      <c r="P19376"/>
      <c r="Q19376" s="24"/>
      <c r="R19376"/>
      <c r="S19376"/>
      <c r="T19376"/>
      <c r="U19376"/>
      <c r="X19376" s="60"/>
    </row>
    <row r="19377" spans="7:24" ht="15" customHeight="1">
      <c r="G19377"/>
      <c r="I19377"/>
      <c r="N19377"/>
      <c r="O19377" s="24"/>
      <c r="P19377"/>
      <c r="Q19377" s="24"/>
      <c r="R19377"/>
      <c r="S19377"/>
      <c r="T19377"/>
      <c r="U19377"/>
      <c r="X19377" s="60"/>
    </row>
    <row r="19378" spans="7:24" ht="15" customHeight="1">
      <c r="G19378"/>
      <c r="I19378"/>
      <c r="N19378"/>
      <c r="O19378" s="24"/>
      <c r="P19378"/>
      <c r="Q19378" s="24"/>
      <c r="R19378"/>
      <c r="S19378"/>
      <c r="T19378"/>
      <c r="U19378"/>
      <c r="X19378" s="60"/>
    </row>
    <row r="19379" spans="7:24" ht="15" customHeight="1">
      <c r="G19379"/>
      <c r="I19379"/>
      <c r="N19379"/>
      <c r="O19379" s="24"/>
      <c r="P19379"/>
      <c r="Q19379" s="24"/>
      <c r="R19379"/>
      <c r="S19379"/>
      <c r="T19379"/>
      <c r="U19379"/>
      <c r="X19379" s="60"/>
    </row>
    <row r="19380" spans="7:24" ht="15" customHeight="1">
      <c r="G19380"/>
      <c r="I19380"/>
      <c r="N19380"/>
      <c r="O19380" s="24"/>
      <c r="P19380"/>
      <c r="Q19380" s="24"/>
      <c r="R19380"/>
      <c r="S19380"/>
      <c r="T19380"/>
      <c r="U19380"/>
      <c r="X19380" s="60"/>
    </row>
    <row r="19381" spans="7:24" ht="15" customHeight="1">
      <c r="G19381"/>
      <c r="I19381"/>
      <c r="N19381"/>
      <c r="O19381" s="24"/>
      <c r="P19381"/>
      <c r="Q19381" s="24"/>
      <c r="R19381"/>
      <c r="S19381"/>
      <c r="T19381"/>
      <c r="U19381"/>
      <c r="X19381" s="60"/>
    </row>
    <row r="19382" spans="7:24" ht="15" customHeight="1">
      <c r="G19382"/>
      <c r="I19382"/>
      <c r="N19382"/>
      <c r="O19382" s="24"/>
      <c r="P19382"/>
      <c r="Q19382" s="24"/>
      <c r="R19382"/>
      <c r="S19382"/>
      <c r="T19382"/>
      <c r="U19382"/>
      <c r="X19382" s="60"/>
    </row>
    <row r="19383" spans="7:24" ht="15" customHeight="1">
      <c r="G19383"/>
      <c r="I19383"/>
      <c r="N19383"/>
      <c r="O19383" s="24"/>
      <c r="P19383"/>
      <c r="Q19383" s="24"/>
      <c r="R19383"/>
      <c r="S19383"/>
      <c r="T19383"/>
      <c r="U19383"/>
      <c r="X19383" s="60"/>
    </row>
    <row r="19384" spans="7:24" ht="15" customHeight="1">
      <c r="G19384"/>
      <c r="I19384"/>
      <c r="N19384"/>
      <c r="O19384" s="24"/>
      <c r="P19384"/>
      <c r="Q19384" s="24"/>
      <c r="R19384"/>
      <c r="S19384"/>
      <c r="T19384"/>
      <c r="U19384"/>
      <c r="X19384" s="60"/>
    </row>
    <row r="19385" spans="7:24" ht="15" customHeight="1">
      <c r="G19385"/>
      <c r="I19385"/>
      <c r="N19385"/>
      <c r="O19385" s="24"/>
      <c r="P19385"/>
      <c r="Q19385" s="24"/>
      <c r="R19385"/>
      <c r="S19385"/>
      <c r="T19385"/>
      <c r="U19385"/>
      <c r="X19385" s="60"/>
    </row>
    <row r="19386" spans="7:24" ht="15" customHeight="1">
      <c r="G19386"/>
      <c r="I19386"/>
      <c r="N19386"/>
      <c r="O19386" s="24"/>
      <c r="P19386"/>
      <c r="Q19386" s="24"/>
      <c r="R19386"/>
      <c r="S19386"/>
      <c r="T19386"/>
      <c r="U19386"/>
      <c r="X19386" s="60"/>
    </row>
    <row r="19387" spans="7:24" ht="15" customHeight="1">
      <c r="G19387"/>
      <c r="I19387"/>
      <c r="N19387"/>
      <c r="O19387" s="24"/>
      <c r="P19387"/>
      <c r="Q19387" s="24"/>
      <c r="R19387"/>
      <c r="S19387"/>
      <c r="T19387"/>
      <c r="U19387"/>
      <c r="X19387" s="60"/>
    </row>
    <row r="19388" spans="7:24" ht="15" customHeight="1">
      <c r="G19388"/>
      <c r="I19388"/>
      <c r="N19388"/>
      <c r="O19388" s="24"/>
      <c r="P19388"/>
      <c r="Q19388" s="24"/>
      <c r="R19388"/>
      <c r="S19388"/>
      <c r="T19388"/>
      <c r="U19388"/>
      <c r="X19388" s="60"/>
    </row>
    <row r="19389" spans="7:24" ht="15" customHeight="1">
      <c r="G19389"/>
      <c r="I19389"/>
      <c r="N19389"/>
      <c r="O19389" s="24"/>
      <c r="P19389"/>
      <c r="Q19389" s="24"/>
      <c r="R19389"/>
      <c r="S19389"/>
      <c r="T19389"/>
      <c r="U19389"/>
      <c r="X19389" s="60"/>
    </row>
    <row r="19390" spans="7:24" ht="15" customHeight="1">
      <c r="G19390"/>
      <c r="I19390"/>
      <c r="N19390"/>
      <c r="O19390" s="24"/>
      <c r="P19390"/>
      <c r="Q19390" s="24"/>
      <c r="R19390"/>
      <c r="S19390"/>
      <c r="T19390"/>
      <c r="U19390"/>
      <c r="X19390" s="60"/>
    </row>
    <row r="19391" spans="7:24" ht="15" customHeight="1">
      <c r="G19391"/>
      <c r="I19391"/>
      <c r="N19391"/>
      <c r="O19391" s="24"/>
      <c r="P19391"/>
      <c r="Q19391" s="24"/>
      <c r="R19391"/>
      <c r="S19391"/>
      <c r="T19391"/>
      <c r="U19391"/>
      <c r="X19391" s="60"/>
    </row>
    <row r="19392" spans="7:24" ht="15" customHeight="1">
      <c r="G19392"/>
      <c r="I19392"/>
      <c r="N19392"/>
      <c r="O19392" s="24"/>
      <c r="P19392"/>
      <c r="Q19392" s="24"/>
      <c r="R19392"/>
      <c r="S19392"/>
      <c r="T19392"/>
      <c r="U19392"/>
      <c r="X19392" s="60"/>
    </row>
    <row r="19393" spans="7:24" ht="15" customHeight="1">
      <c r="G19393"/>
      <c r="I19393"/>
      <c r="N19393"/>
      <c r="O19393" s="24"/>
      <c r="P19393"/>
      <c r="Q19393" s="24"/>
      <c r="R19393"/>
      <c r="S19393"/>
      <c r="T19393"/>
      <c r="U19393"/>
      <c r="X19393" s="60"/>
    </row>
    <row r="19394" spans="7:24" ht="15" customHeight="1">
      <c r="G19394"/>
      <c r="I19394"/>
      <c r="N19394"/>
      <c r="O19394" s="24"/>
      <c r="P19394"/>
      <c r="Q19394" s="24"/>
      <c r="R19394"/>
      <c r="S19394"/>
      <c r="T19394"/>
      <c r="U19394"/>
      <c r="X19394" s="60"/>
    </row>
    <row r="19395" spans="7:24" ht="15" customHeight="1">
      <c r="G19395"/>
      <c r="I19395"/>
      <c r="N19395"/>
      <c r="O19395" s="24"/>
      <c r="P19395"/>
      <c r="Q19395" s="24"/>
      <c r="R19395"/>
      <c r="S19395"/>
      <c r="T19395"/>
      <c r="U19395"/>
      <c r="X19395" s="60"/>
    </row>
    <row r="19396" spans="7:24" ht="15" customHeight="1">
      <c r="G19396"/>
      <c r="I19396"/>
      <c r="N19396"/>
      <c r="O19396" s="24"/>
      <c r="P19396"/>
      <c r="Q19396" s="24"/>
      <c r="R19396"/>
      <c r="S19396"/>
      <c r="T19396"/>
      <c r="U19396"/>
      <c r="X19396" s="60"/>
    </row>
    <row r="19397" spans="7:24" ht="15" customHeight="1">
      <c r="G19397"/>
      <c r="I19397"/>
      <c r="N19397"/>
      <c r="O19397" s="24"/>
      <c r="P19397"/>
      <c r="Q19397" s="24"/>
      <c r="R19397"/>
      <c r="S19397"/>
      <c r="T19397"/>
      <c r="U19397"/>
      <c r="X19397" s="60"/>
    </row>
    <row r="19398" spans="7:24" ht="15" customHeight="1">
      <c r="G19398"/>
      <c r="I19398"/>
      <c r="N19398"/>
      <c r="O19398" s="24"/>
      <c r="P19398"/>
      <c r="Q19398" s="24"/>
      <c r="R19398"/>
      <c r="S19398"/>
      <c r="T19398"/>
      <c r="U19398"/>
      <c r="X19398" s="60"/>
    </row>
    <row r="19399" spans="7:24" ht="15" customHeight="1">
      <c r="G19399"/>
      <c r="I19399"/>
      <c r="N19399"/>
      <c r="O19399" s="24"/>
      <c r="P19399"/>
      <c r="Q19399" s="24"/>
      <c r="R19399"/>
      <c r="S19399"/>
      <c r="T19399"/>
      <c r="U19399"/>
      <c r="X19399" s="60"/>
    </row>
    <row r="19400" spans="7:24" ht="15" customHeight="1">
      <c r="G19400"/>
      <c r="I19400"/>
      <c r="N19400"/>
      <c r="O19400" s="24"/>
      <c r="P19400"/>
      <c r="Q19400" s="24"/>
      <c r="R19400"/>
      <c r="S19400"/>
      <c r="T19400"/>
      <c r="U19400"/>
      <c r="X19400" s="60"/>
    </row>
    <row r="19401" spans="7:24" ht="15" customHeight="1">
      <c r="G19401"/>
      <c r="I19401"/>
      <c r="N19401"/>
      <c r="O19401" s="24"/>
      <c r="P19401"/>
      <c r="Q19401" s="24"/>
      <c r="R19401"/>
      <c r="S19401"/>
      <c r="T19401"/>
      <c r="U19401"/>
      <c r="X19401" s="60"/>
    </row>
    <row r="19402" spans="7:24" ht="15" customHeight="1">
      <c r="G19402"/>
      <c r="I19402"/>
      <c r="N19402"/>
      <c r="O19402" s="24"/>
      <c r="P19402"/>
      <c r="Q19402" s="24"/>
      <c r="R19402"/>
      <c r="S19402"/>
      <c r="T19402"/>
      <c r="U19402"/>
      <c r="X19402" s="60"/>
    </row>
    <row r="19403" spans="7:24" ht="15" customHeight="1">
      <c r="G19403"/>
      <c r="I19403"/>
      <c r="N19403"/>
      <c r="O19403" s="24"/>
      <c r="P19403"/>
      <c r="Q19403" s="24"/>
      <c r="R19403"/>
      <c r="S19403"/>
      <c r="T19403"/>
      <c r="U19403"/>
      <c r="X19403" s="60"/>
    </row>
    <row r="19404" spans="7:24" ht="15" customHeight="1">
      <c r="G19404"/>
      <c r="I19404"/>
      <c r="N19404"/>
      <c r="O19404" s="24"/>
      <c r="P19404"/>
      <c r="Q19404" s="24"/>
      <c r="R19404"/>
      <c r="S19404"/>
      <c r="T19404"/>
      <c r="U19404"/>
      <c r="X19404" s="60"/>
    </row>
    <row r="19405" spans="7:24" ht="15" customHeight="1">
      <c r="G19405"/>
      <c r="I19405"/>
      <c r="N19405"/>
      <c r="O19405" s="24"/>
      <c r="P19405"/>
      <c r="Q19405" s="24"/>
      <c r="R19405"/>
      <c r="S19405"/>
      <c r="T19405"/>
      <c r="U19405"/>
      <c r="X19405" s="60"/>
    </row>
    <row r="19406" spans="7:24" ht="15" customHeight="1">
      <c r="G19406"/>
      <c r="I19406"/>
      <c r="N19406"/>
      <c r="O19406" s="24"/>
      <c r="P19406"/>
      <c r="Q19406" s="24"/>
      <c r="R19406"/>
      <c r="S19406"/>
      <c r="T19406"/>
      <c r="U19406"/>
      <c r="X19406" s="60"/>
    </row>
    <row r="19407" spans="7:24" ht="15" customHeight="1">
      <c r="G19407"/>
      <c r="I19407"/>
      <c r="N19407"/>
      <c r="O19407" s="24"/>
      <c r="P19407"/>
      <c r="Q19407" s="24"/>
      <c r="R19407"/>
      <c r="S19407"/>
      <c r="T19407"/>
      <c r="U19407"/>
      <c r="X19407" s="60"/>
    </row>
    <row r="19408" spans="7:24" ht="15" customHeight="1">
      <c r="G19408"/>
      <c r="I19408"/>
      <c r="N19408"/>
      <c r="O19408" s="24"/>
      <c r="P19408"/>
      <c r="Q19408" s="24"/>
      <c r="R19408"/>
      <c r="S19408"/>
      <c r="T19408"/>
      <c r="U19408"/>
      <c r="X19408" s="60"/>
    </row>
    <row r="19409" spans="7:24" ht="15" customHeight="1">
      <c r="G19409"/>
      <c r="I19409"/>
      <c r="N19409"/>
      <c r="O19409" s="24"/>
      <c r="P19409"/>
      <c r="Q19409" s="24"/>
      <c r="R19409"/>
      <c r="S19409"/>
      <c r="T19409"/>
      <c r="U19409"/>
      <c r="X19409" s="60"/>
    </row>
    <row r="19410" spans="7:24" ht="15" customHeight="1">
      <c r="G19410"/>
      <c r="I19410"/>
      <c r="N19410"/>
      <c r="O19410" s="24"/>
      <c r="P19410"/>
      <c r="Q19410" s="24"/>
      <c r="R19410"/>
      <c r="S19410"/>
      <c r="T19410"/>
      <c r="U19410"/>
      <c r="X19410" s="60"/>
    </row>
    <row r="19411" spans="7:24" ht="15" customHeight="1">
      <c r="G19411"/>
      <c r="I19411"/>
      <c r="N19411"/>
      <c r="O19411" s="24"/>
      <c r="P19411"/>
      <c r="Q19411" s="24"/>
      <c r="R19411"/>
      <c r="S19411"/>
      <c r="T19411"/>
      <c r="U19411"/>
      <c r="X19411" s="60"/>
    </row>
    <row r="19412" spans="7:24" ht="15" customHeight="1">
      <c r="G19412"/>
      <c r="I19412"/>
      <c r="N19412"/>
      <c r="O19412" s="24"/>
      <c r="P19412"/>
      <c r="Q19412" s="24"/>
      <c r="R19412"/>
      <c r="S19412"/>
      <c r="T19412"/>
      <c r="U19412"/>
      <c r="X19412" s="60"/>
    </row>
    <row r="19413" spans="7:24" ht="15" customHeight="1">
      <c r="G19413"/>
      <c r="I19413"/>
      <c r="N19413"/>
      <c r="O19413" s="24"/>
      <c r="P19413"/>
      <c r="Q19413" s="24"/>
      <c r="R19413"/>
      <c r="S19413"/>
      <c r="T19413"/>
      <c r="U19413"/>
      <c r="X19413" s="60"/>
    </row>
    <row r="19414" spans="7:24" ht="15" customHeight="1">
      <c r="G19414"/>
      <c r="I19414"/>
      <c r="N19414"/>
      <c r="O19414" s="24"/>
      <c r="P19414"/>
      <c r="Q19414" s="24"/>
      <c r="R19414"/>
      <c r="S19414"/>
      <c r="T19414"/>
      <c r="U19414"/>
      <c r="X19414" s="60"/>
    </row>
    <row r="19415" spans="7:24" ht="15" customHeight="1">
      <c r="G19415"/>
      <c r="I19415"/>
      <c r="N19415"/>
      <c r="O19415" s="24"/>
      <c r="P19415"/>
      <c r="Q19415" s="24"/>
      <c r="R19415"/>
      <c r="S19415"/>
      <c r="T19415"/>
      <c r="U19415"/>
      <c r="X19415" s="60"/>
    </row>
    <row r="19416" spans="7:24" ht="15" customHeight="1">
      <c r="G19416"/>
      <c r="I19416"/>
      <c r="N19416"/>
      <c r="O19416" s="24"/>
      <c r="P19416"/>
      <c r="Q19416" s="24"/>
      <c r="R19416"/>
      <c r="S19416"/>
      <c r="T19416"/>
      <c r="U19416"/>
      <c r="X19416" s="60"/>
    </row>
    <row r="19417" spans="7:24" ht="15" customHeight="1">
      <c r="G19417"/>
      <c r="I19417"/>
      <c r="N19417"/>
      <c r="O19417" s="24"/>
      <c r="P19417"/>
      <c r="Q19417" s="24"/>
      <c r="R19417"/>
      <c r="S19417"/>
      <c r="T19417"/>
      <c r="U19417"/>
      <c r="X19417" s="60"/>
    </row>
    <row r="19418" spans="7:24" ht="15" customHeight="1">
      <c r="G19418"/>
      <c r="I19418"/>
      <c r="N19418"/>
      <c r="O19418" s="24"/>
      <c r="P19418"/>
      <c r="Q19418" s="24"/>
      <c r="R19418"/>
      <c r="S19418"/>
      <c r="T19418"/>
      <c r="U19418"/>
      <c r="X19418" s="60"/>
    </row>
    <row r="19419" spans="7:24" ht="15" customHeight="1">
      <c r="G19419"/>
      <c r="I19419"/>
      <c r="N19419"/>
      <c r="O19419" s="24"/>
      <c r="P19419"/>
      <c r="Q19419" s="24"/>
      <c r="R19419"/>
      <c r="S19419"/>
      <c r="T19419"/>
      <c r="U19419"/>
      <c r="X19419" s="60"/>
    </row>
    <row r="19420" spans="7:24" ht="15" customHeight="1">
      <c r="G19420"/>
      <c r="I19420"/>
      <c r="N19420"/>
      <c r="O19420" s="24"/>
      <c r="P19420"/>
      <c r="Q19420" s="24"/>
      <c r="R19420"/>
      <c r="S19420"/>
      <c r="T19420"/>
      <c r="U19420"/>
      <c r="X19420" s="60"/>
    </row>
    <row r="19421" spans="7:24" ht="15" customHeight="1">
      <c r="G19421"/>
      <c r="I19421"/>
      <c r="N19421"/>
      <c r="O19421" s="24"/>
      <c r="P19421"/>
      <c r="Q19421" s="24"/>
      <c r="R19421"/>
      <c r="S19421"/>
      <c r="T19421"/>
      <c r="U19421"/>
      <c r="X19421" s="60"/>
    </row>
    <row r="19422" spans="7:24" ht="15" customHeight="1">
      <c r="G19422"/>
      <c r="I19422"/>
      <c r="N19422"/>
      <c r="O19422" s="24"/>
      <c r="P19422"/>
      <c r="Q19422" s="24"/>
      <c r="R19422"/>
      <c r="S19422"/>
      <c r="T19422"/>
      <c r="U19422"/>
      <c r="X19422" s="60"/>
    </row>
    <row r="19423" spans="7:24" ht="15" customHeight="1">
      <c r="G19423"/>
      <c r="I19423"/>
      <c r="N19423"/>
      <c r="O19423" s="24"/>
      <c r="P19423"/>
      <c r="Q19423" s="24"/>
      <c r="R19423"/>
      <c r="S19423"/>
      <c r="T19423"/>
      <c r="U19423"/>
      <c r="X19423" s="60"/>
    </row>
    <row r="19424" spans="7:24" ht="15" customHeight="1">
      <c r="G19424"/>
      <c r="I19424"/>
      <c r="N19424"/>
      <c r="O19424" s="24"/>
      <c r="P19424"/>
      <c r="Q19424" s="24"/>
      <c r="R19424"/>
      <c r="S19424"/>
      <c r="T19424"/>
      <c r="U19424"/>
      <c r="X19424" s="60"/>
    </row>
    <row r="19425" spans="7:24" ht="15" customHeight="1">
      <c r="G19425"/>
      <c r="I19425"/>
      <c r="N19425"/>
      <c r="O19425" s="24"/>
      <c r="P19425"/>
      <c r="Q19425" s="24"/>
      <c r="R19425"/>
      <c r="S19425"/>
      <c r="T19425"/>
      <c r="U19425"/>
      <c r="X19425" s="60"/>
    </row>
    <row r="19426" spans="7:24" ht="15" customHeight="1">
      <c r="G19426"/>
      <c r="I19426"/>
      <c r="N19426"/>
      <c r="O19426" s="24"/>
      <c r="P19426"/>
      <c r="Q19426" s="24"/>
      <c r="R19426"/>
      <c r="S19426"/>
      <c r="T19426"/>
      <c r="U19426"/>
      <c r="X19426" s="60"/>
    </row>
    <row r="19427" spans="7:24" ht="15" customHeight="1">
      <c r="G19427"/>
      <c r="I19427"/>
      <c r="N19427"/>
      <c r="O19427" s="24"/>
      <c r="P19427"/>
      <c r="Q19427" s="24"/>
      <c r="R19427"/>
      <c r="S19427"/>
      <c r="T19427"/>
      <c r="U19427"/>
      <c r="X19427" s="60"/>
    </row>
    <row r="19428" spans="7:24" ht="15" customHeight="1">
      <c r="G19428"/>
      <c r="I19428"/>
      <c r="N19428"/>
      <c r="O19428" s="24"/>
      <c r="P19428"/>
      <c r="Q19428" s="24"/>
      <c r="R19428"/>
      <c r="S19428"/>
      <c r="T19428"/>
      <c r="U19428"/>
      <c r="X19428" s="60"/>
    </row>
    <row r="19429" spans="7:24" ht="15" customHeight="1">
      <c r="G19429"/>
      <c r="I19429"/>
      <c r="N19429"/>
      <c r="O19429" s="24"/>
      <c r="P19429"/>
      <c r="Q19429" s="24"/>
      <c r="R19429"/>
      <c r="S19429"/>
      <c r="T19429"/>
      <c r="U19429"/>
      <c r="X19429" s="60"/>
    </row>
    <row r="19430" spans="7:24" ht="15" customHeight="1">
      <c r="G19430"/>
      <c r="I19430"/>
      <c r="N19430"/>
      <c r="O19430" s="24"/>
      <c r="P19430"/>
      <c r="Q19430" s="24"/>
      <c r="R19430"/>
      <c r="S19430"/>
      <c r="T19430"/>
      <c r="U19430"/>
      <c r="X19430" s="60"/>
    </row>
    <row r="19431" spans="7:24" ht="15" customHeight="1">
      <c r="G19431"/>
      <c r="I19431"/>
      <c r="N19431"/>
      <c r="O19431" s="24"/>
      <c r="P19431"/>
      <c r="Q19431" s="24"/>
      <c r="R19431"/>
      <c r="S19431"/>
      <c r="T19431"/>
      <c r="U19431"/>
      <c r="X19431" s="60"/>
    </row>
    <row r="19432" spans="7:24" ht="15" customHeight="1">
      <c r="G19432"/>
      <c r="I19432"/>
      <c r="N19432"/>
      <c r="O19432" s="24"/>
      <c r="P19432"/>
      <c r="Q19432" s="24"/>
      <c r="R19432"/>
      <c r="S19432"/>
      <c r="T19432"/>
      <c r="U19432"/>
      <c r="X19432" s="60"/>
    </row>
    <row r="19433" spans="7:24" ht="15" customHeight="1">
      <c r="G19433"/>
      <c r="I19433"/>
      <c r="N19433"/>
      <c r="O19433" s="24"/>
      <c r="P19433"/>
      <c r="Q19433" s="24"/>
      <c r="R19433"/>
      <c r="S19433"/>
      <c r="T19433"/>
      <c r="U19433"/>
      <c r="X19433" s="60"/>
    </row>
    <row r="19434" spans="7:24" ht="15" customHeight="1">
      <c r="G19434"/>
      <c r="I19434"/>
      <c r="N19434"/>
      <c r="O19434" s="24"/>
      <c r="P19434"/>
      <c r="Q19434" s="24"/>
      <c r="R19434"/>
      <c r="S19434"/>
      <c r="T19434"/>
      <c r="U19434"/>
      <c r="X19434" s="60"/>
    </row>
    <row r="19435" spans="7:24" ht="15" customHeight="1">
      <c r="G19435"/>
      <c r="I19435"/>
      <c r="N19435"/>
      <c r="O19435" s="24"/>
      <c r="P19435"/>
      <c r="Q19435" s="24"/>
      <c r="R19435"/>
      <c r="S19435"/>
      <c r="T19435"/>
      <c r="U19435"/>
      <c r="X19435" s="60"/>
    </row>
    <row r="19436" spans="7:24" ht="15" customHeight="1">
      <c r="G19436"/>
      <c r="I19436"/>
      <c r="N19436"/>
      <c r="O19436" s="24"/>
      <c r="P19436"/>
      <c r="Q19436" s="24"/>
      <c r="R19436"/>
      <c r="S19436"/>
      <c r="T19436"/>
      <c r="U19436"/>
      <c r="X19436" s="60"/>
    </row>
    <row r="19437" spans="7:24" ht="15" customHeight="1">
      <c r="G19437"/>
      <c r="I19437"/>
      <c r="N19437"/>
      <c r="O19437" s="24"/>
      <c r="P19437"/>
      <c r="Q19437" s="24"/>
      <c r="R19437"/>
      <c r="S19437"/>
      <c r="T19437"/>
      <c r="U19437"/>
      <c r="X19437" s="60"/>
    </row>
    <row r="19438" spans="7:24" ht="15" customHeight="1">
      <c r="G19438"/>
      <c r="I19438"/>
      <c r="N19438"/>
      <c r="O19438" s="24"/>
      <c r="P19438"/>
      <c r="Q19438" s="24"/>
      <c r="R19438"/>
      <c r="S19438"/>
      <c r="T19438"/>
      <c r="U19438"/>
      <c r="X19438" s="60"/>
    </row>
    <row r="19439" spans="7:24" ht="15" customHeight="1">
      <c r="G19439"/>
      <c r="I19439"/>
      <c r="N19439"/>
      <c r="O19439" s="24"/>
      <c r="P19439"/>
      <c r="Q19439" s="24"/>
      <c r="R19439"/>
      <c r="S19439"/>
      <c r="T19439"/>
      <c r="U19439"/>
      <c r="X19439" s="60"/>
    </row>
    <row r="19440" spans="7:24" ht="15" customHeight="1">
      <c r="G19440"/>
      <c r="I19440"/>
      <c r="N19440"/>
      <c r="O19440" s="24"/>
      <c r="P19440"/>
      <c r="Q19440" s="24"/>
      <c r="R19440"/>
      <c r="S19440"/>
      <c r="T19440"/>
      <c r="U19440"/>
      <c r="X19440" s="60"/>
    </row>
    <row r="19441" spans="7:24" ht="15" customHeight="1">
      <c r="G19441"/>
      <c r="I19441"/>
      <c r="N19441"/>
      <c r="O19441" s="24"/>
      <c r="P19441"/>
      <c r="Q19441" s="24"/>
      <c r="R19441"/>
      <c r="S19441"/>
      <c r="T19441"/>
      <c r="U19441"/>
      <c r="X19441" s="60"/>
    </row>
    <row r="19442" spans="7:24" ht="15" customHeight="1">
      <c r="G19442"/>
      <c r="I19442"/>
      <c r="N19442"/>
      <c r="O19442" s="24"/>
      <c r="P19442"/>
      <c r="Q19442" s="24"/>
      <c r="R19442"/>
      <c r="S19442"/>
      <c r="T19442"/>
      <c r="U19442"/>
      <c r="X19442" s="60"/>
    </row>
    <row r="19443" spans="7:24" ht="15" customHeight="1">
      <c r="G19443"/>
      <c r="I19443"/>
      <c r="N19443"/>
      <c r="O19443" s="24"/>
      <c r="P19443"/>
      <c r="Q19443" s="24"/>
      <c r="R19443"/>
      <c r="S19443"/>
      <c r="T19443"/>
      <c r="U19443"/>
      <c r="X19443" s="60"/>
    </row>
    <row r="19444" spans="7:24" ht="15" customHeight="1">
      <c r="G19444"/>
      <c r="I19444"/>
      <c r="N19444"/>
      <c r="O19444" s="24"/>
      <c r="P19444"/>
      <c r="Q19444" s="24"/>
      <c r="R19444"/>
      <c r="S19444"/>
      <c r="T19444"/>
      <c r="U19444"/>
      <c r="X19444" s="60"/>
    </row>
    <row r="19445" spans="7:24" ht="15" customHeight="1">
      <c r="G19445"/>
      <c r="I19445"/>
      <c r="N19445"/>
      <c r="O19445" s="24"/>
      <c r="P19445"/>
      <c r="Q19445" s="24"/>
      <c r="R19445"/>
      <c r="S19445"/>
      <c r="T19445"/>
      <c r="U19445"/>
      <c r="X19445" s="60"/>
    </row>
    <row r="19446" spans="7:24" ht="15" customHeight="1">
      <c r="G19446"/>
      <c r="I19446"/>
      <c r="N19446"/>
      <c r="O19446" s="24"/>
      <c r="P19446"/>
      <c r="Q19446" s="24"/>
      <c r="R19446"/>
      <c r="S19446"/>
      <c r="T19446"/>
      <c r="U19446"/>
      <c r="X19446" s="60"/>
    </row>
    <row r="19447" spans="7:24" ht="15" customHeight="1">
      <c r="G19447"/>
      <c r="I19447"/>
      <c r="N19447"/>
      <c r="O19447" s="24"/>
      <c r="P19447"/>
      <c r="Q19447" s="24"/>
      <c r="R19447"/>
      <c r="S19447"/>
      <c r="T19447"/>
      <c r="U19447"/>
      <c r="X19447" s="60"/>
    </row>
    <row r="19448" spans="7:24" ht="15" customHeight="1">
      <c r="G19448"/>
      <c r="I19448"/>
      <c r="N19448"/>
      <c r="O19448" s="24"/>
      <c r="P19448"/>
      <c r="Q19448" s="24"/>
      <c r="R19448"/>
      <c r="S19448"/>
      <c r="T19448"/>
      <c r="U19448"/>
      <c r="X19448" s="60"/>
    </row>
    <row r="19449" spans="7:24" ht="15" customHeight="1">
      <c r="G19449"/>
      <c r="I19449"/>
      <c r="N19449"/>
      <c r="O19449" s="24"/>
      <c r="P19449"/>
      <c r="Q19449" s="24"/>
      <c r="R19449"/>
      <c r="S19449"/>
      <c r="T19449"/>
      <c r="U19449"/>
      <c r="X19449" s="60"/>
    </row>
    <row r="19450" spans="7:24" ht="15" customHeight="1">
      <c r="G19450"/>
      <c r="I19450"/>
      <c r="N19450"/>
      <c r="O19450" s="24"/>
      <c r="P19450"/>
      <c r="Q19450" s="24"/>
      <c r="R19450"/>
      <c r="S19450"/>
      <c r="T19450"/>
      <c r="U19450"/>
      <c r="X19450" s="60"/>
    </row>
    <row r="19451" spans="7:24" ht="15" customHeight="1">
      <c r="G19451"/>
      <c r="I19451"/>
      <c r="N19451"/>
      <c r="O19451" s="24"/>
      <c r="P19451"/>
      <c r="Q19451" s="24"/>
      <c r="R19451"/>
      <c r="S19451"/>
      <c r="T19451"/>
      <c r="U19451"/>
      <c r="X19451" s="60"/>
    </row>
    <row r="19452" spans="7:24" ht="15" customHeight="1">
      <c r="G19452"/>
      <c r="I19452"/>
      <c r="N19452"/>
      <c r="O19452" s="24"/>
      <c r="P19452"/>
      <c r="Q19452" s="24"/>
      <c r="R19452"/>
      <c r="S19452"/>
      <c r="T19452"/>
      <c r="U19452"/>
      <c r="X19452" s="60"/>
    </row>
    <row r="19453" spans="7:24" ht="15" customHeight="1">
      <c r="G19453"/>
      <c r="I19453"/>
      <c r="N19453"/>
      <c r="O19453" s="24"/>
      <c r="P19453"/>
      <c r="Q19453" s="24"/>
      <c r="R19453"/>
      <c r="S19453"/>
      <c r="T19453"/>
      <c r="U19453"/>
      <c r="X19453" s="60"/>
    </row>
    <row r="19454" spans="7:24" ht="15" customHeight="1">
      <c r="G19454"/>
      <c r="I19454"/>
      <c r="N19454"/>
      <c r="O19454" s="24"/>
      <c r="P19454"/>
      <c r="Q19454" s="24"/>
      <c r="R19454"/>
      <c r="S19454"/>
      <c r="T19454"/>
      <c r="U19454"/>
      <c r="X19454" s="60"/>
    </row>
    <row r="19455" spans="7:24" ht="15" customHeight="1">
      <c r="G19455"/>
      <c r="I19455"/>
      <c r="N19455"/>
      <c r="O19455" s="24"/>
      <c r="P19455"/>
      <c r="Q19455" s="24"/>
      <c r="R19455"/>
      <c r="S19455"/>
      <c r="T19455"/>
      <c r="U19455"/>
      <c r="X19455" s="60"/>
    </row>
    <row r="19456" spans="7:24" ht="15" customHeight="1">
      <c r="G19456"/>
      <c r="I19456"/>
      <c r="N19456"/>
      <c r="O19456" s="24"/>
      <c r="P19456"/>
      <c r="Q19456" s="24"/>
      <c r="R19456"/>
      <c r="S19456"/>
      <c r="T19456"/>
      <c r="U19456"/>
      <c r="X19456" s="60"/>
    </row>
    <row r="19457" spans="7:24" ht="15" customHeight="1">
      <c r="G19457"/>
      <c r="I19457"/>
      <c r="N19457"/>
      <c r="O19457" s="24"/>
      <c r="P19457"/>
      <c r="Q19457" s="24"/>
      <c r="R19457"/>
      <c r="S19457"/>
      <c r="T19457"/>
      <c r="U19457"/>
      <c r="X19457" s="60"/>
    </row>
    <row r="19458" spans="7:24" ht="15" customHeight="1">
      <c r="G19458"/>
      <c r="I19458"/>
      <c r="N19458"/>
      <c r="O19458" s="24"/>
      <c r="P19458"/>
      <c r="Q19458" s="24"/>
      <c r="R19458"/>
      <c r="S19458"/>
      <c r="T19458"/>
      <c r="U19458"/>
      <c r="X19458" s="60"/>
    </row>
    <row r="19459" spans="7:24" ht="15" customHeight="1">
      <c r="G19459"/>
      <c r="I19459"/>
      <c r="N19459"/>
      <c r="O19459" s="24"/>
      <c r="P19459"/>
      <c r="Q19459" s="24"/>
      <c r="R19459"/>
      <c r="S19459"/>
      <c r="T19459"/>
      <c r="U19459"/>
      <c r="X19459" s="60"/>
    </row>
    <row r="19460" spans="7:24" ht="15" customHeight="1">
      <c r="G19460"/>
      <c r="I19460"/>
      <c r="N19460"/>
      <c r="O19460" s="24"/>
      <c r="P19460"/>
      <c r="Q19460" s="24"/>
      <c r="R19460"/>
      <c r="S19460"/>
      <c r="T19460"/>
      <c r="U19460"/>
      <c r="X19460" s="60"/>
    </row>
    <row r="19461" spans="7:24" ht="15" customHeight="1">
      <c r="G19461"/>
      <c r="I19461"/>
      <c r="N19461"/>
      <c r="O19461" s="24"/>
      <c r="P19461"/>
      <c r="Q19461" s="24"/>
      <c r="R19461"/>
      <c r="S19461"/>
      <c r="T19461"/>
      <c r="U19461"/>
      <c r="X19461" s="60"/>
    </row>
    <row r="19462" spans="7:24" ht="15" customHeight="1">
      <c r="G19462"/>
      <c r="I19462"/>
      <c r="N19462"/>
      <c r="O19462" s="24"/>
      <c r="P19462"/>
      <c r="Q19462" s="24"/>
      <c r="R19462"/>
      <c r="S19462"/>
      <c r="T19462"/>
      <c r="U19462"/>
      <c r="X19462" s="60"/>
    </row>
    <row r="19463" spans="7:24" ht="15" customHeight="1">
      <c r="G19463"/>
      <c r="I19463"/>
      <c r="N19463"/>
      <c r="O19463" s="24"/>
      <c r="P19463"/>
      <c r="Q19463" s="24"/>
      <c r="R19463"/>
      <c r="S19463"/>
      <c r="T19463"/>
      <c r="U19463"/>
      <c r="X19463" s="60"/>
    </row>
    <row r="19464" spans="7:24" ht="15" customHeight="1">
      <c r="G19464"/>
      <c r="I19464"/>
      <c r="N19464"/>
      <c r="O19464" s="24"/>
      <c r="P19464"/>
      <c r="Q19464" s="24"/>
      <c r="R19464"/>
      <c r="S19464"/>
      <c r="T19464"/>
      <c r="U19464"/>
      <c r="X19464" s="60"/>
    </row>
    <row r="19465" spans="7:24" ht="15" customHeight="1">
      <c r="G19465"/>
      <c r="I19465"/>
      <c r="N19465"/>
      <c r="O19465" s="24"/>
      <c r="P19465"/>
      <c r="Q19465" s="24"/>
      <c r="R19465"/>
      <c r="S19465"/>
      <c r="T19465"/>
      <c r="U19465"/>
      <c r="X19465" s="60"/>
    </row>
    <row r="19466" spans="7:24" ht="15" customHeight="1">
      <c r="G19466"/>
      <c r="I19466"/>
      <c r="N19466"/>
      <c r="O19466" s="24"/>
      <c r="P19466"/>
      <c r="Q19466" s="24"/>
      <c r="R19466"/>
      <c r="S19466"/>
      <c r="T19466"/>
      <c r="U19466"/>
      <c r="X19466" s="60"/>
    </row>
    <row r="19467" spans="7:24" ht="15" customHeight="1">
      <c r="G19467"/>
      <c r="I19467"/>
      <c r="N19467"/>
      <c r="O19467" s="24"/>
      <c r="P19467"/>
      <c r="Q19467" s="24"/>
      <c r="R19467"/>
      <c r="S19467"/>
      <c r="T19467"/>
      <c r="U19467"/>
      <c r="X19467" s="60"/>
    </row>
    <row r="19468" spans="7:24" ht="15" customHeight="1">
      <c r="G19468"/>
      <c r="I19468"/>
      <c r="N19468"/>
      <c r="O19468" s="24"/>
      <c r="P19468"/>
      <c r="Q19468" s="24"/>
      <c r="R19468"/>
      <c r="S19468"/>
      <c r="T19468"/>
      <c r="U19468"/>
      <c r="X19468" s="60"/>
    </row>
    <row r="19469" spans="7:24" ht="15" customHeight="1">
      <c r="G19469"/>
      <c r="I19469"/>
      <c r="N19469"/>
      <c r="O19469" s="24"/>
      <c r="P19469"/>
      <c r="Q19469" s="24"/>
      <c r="R19469"/>
      <c r="S19469"/>
      <c r="T19469"/>
      <c r="U19469"/>
      <c r="X19469" s="60"/>
    </row>
    <row r="19470" spans="7:24" ht="15" customHeight="1">
      <c r="G19470"/>
      <c r="I19470"/>
      <c r="N19470"/>
      <c r="O19470" s="24"/>
      <c r="P19470"/>
      <c r="Q19470" s="24"/>
      <c r="R19470"/>
      <c r="S19470"/>
      <c r="T19470"/>
      <c r="U19470"/>
      <c r="X19470" s="60"/>
    </row>
    <row r="19471" spans="7:24" ht="15" customHeight="1">
      <c r="G19471"/>
      <c r="I19471"/>
      <c r="N19471"/>
      <c r="O19471" s="24"/>
      <c r="P19471"/>
      <c r="Q19471" s="24"/>
      <c r="R19471"/>
      <c r="S19471"/>
      <c r="T19471"/>
      <c r="U19471"/>
      <c r="X19471" s="60"/>
    </row>
    <row r="19472" spans="7:24" ht="15" customHeight="1">
      <c r="G19472"/>
      <c r="I19472"/>
      <c r="N19472"/>
      <c r="O19472" s="24"/>
      <c r="P19472"/>
      <c r="Q19472" s="24"/>
      <c r="R19472"/>
      <c r="S19472"/>
      <c r="T19472"/>
      <c r="U19472"/>
      <c r="X19472" s="60"/>
    </row>
    <row r="19473" spans="7:24" ht="15" customHeight="1">
      <c r="G19473"/>
      <c r="I19473"/>
      <c r="N19473"/>
      <c r="O19473" s="24"/>
      <c r="P19473"/>
      <c r="Q19473" s="24"/>
      <c r="R19473"/>
      <c r="S19473"/>
      <c r="T19473"/>
      <c r="U19473"/>
      <c r="X19473" s="60"/>
    </row>
    <row r="19474" spans="7:24" ht="15" customHeight="1">
      <c r="G19474"/>
      <c r="I19474"/>
      <c r="N19474"/>
      <c r="O19474" s="24"/>
      <c r="P19474"/>
      <c r="Q19474" s="24"/>
      <c r="R19474"/>
      <c r="S19474"/>
      <c r="T19474"/>
      <c r="U19474"/>
      <c r="X19474" s="60"/>
    </row>
    <row r="19475" spans="7:24" ht="15" customHeight="1">
      <c r="G19475"/>
      <c r="I19475"/>
      <c r="N19475"/>
      <c r="O19475" s="24"/>
      <c r="P19475"/>
      <c r="Q19475" s="24"/>
      <c r="R19475"/>
      <c r="S19475"/>
      <c r="T19475"/>
      <c r="U19475"/>
      <c r="X19475" s="60"/>
    </row>
    <row r="19476" spans="7:24" ht="15" customHeight="1">
      <c r="G19476"/>
      <c r="I19476"/>
      <c r="N19476"/>
      <c r="O19476" s="24"/>
      <c r="P19476"/>
      <c r="Q19476" s="24"/>
      <c r="R19476"/>
      <c r="S19476"/>
      <c r="T19476"/>
      <c r="U19476"/>
      <c r="X19476" s="60"/>
    </row>
    <row r="19477" spans="7:24" ht="15" customHeight="1">
      <c r="G19477"/>
      <c r="I19477"/>
      <c r="N19477"/>
      <c r="O19477" s="24"/>
      <c r="P19477"/>
      <c r="Q19477" s="24"/>
      <c r="R19477"/>
      <c r="S19477"/>
      <c r="T19477"/>
      <c r="U19477"/>
      <c r="X19477" s="60"/>
    </row>
    <row r="19478" spans="7:24" ht="15" customHeight="1">
      <c r="G19478"/>
      <c r="I19478"/>
      <c r="N19478"/>
      <c r="O19478" s="24"/>
      <c r="P19478"/>
      <c r="Q19478" s="24"/>
      <c r="R19478"/>
      <c r="S19478"/>
      <c r="T19478"/>
      <c r="U19478"/>
      <c r="X19478" s="60"/>
    </row>
    <row r="19479" spans="7:24" ht="15" customHeight="1">
      <c r="G19479"/>
      <c r="I19479"/>
      <c r="N19479"/>
      <c r="O19479" s="24"/>
      <c r="P19479"/>
      <c r="Q19479" s="24"/>
      <c r="R19479"/>
      <c r="S19479"/>
      <c r="T19479"/>
      <c r="U19479"/>
      <c r="X19479" s="60"/>
    </row>
    <row r="19480" spans="7:24" ht="15" customHeight="1">
      <c r="G19480"/>
      <c r="I19480"/>
      <c r="N19480"/>
      <c r="O19480" s="24"/>
      <c r="P19480"/>
      <c r="Q19480" s="24"/>
      <c r="R19480"/>
      <c r="S19480"/>
      <c r="T19480"/>
      <c r="U19480"/>
      <c r="X19480" s="60"/>
    </row>
    <row r="19481" spans="7:24" ht="15" customHeight="1">
      <c r="G19481"/>
      <c r="I19481"/>
      <c r="N19481"/>
      <c r="O19481" s="24"/>
      <c r="P19481"/>
      <c r="Q19481" s="24"/>
      <c r="R19481"/>
      <c r="S19481"/>
      <c r="T19481"/>
      <c r="U19481"/>
      <c r="X19481" s="60"/>
    </row>
    <row r="19482" spans="7:24" ht="15" customHeight="1">
      <c r="G19482"/>
      <c r="I19482"/>
      <c r="N19482"/>
      <c r="O19482" s="24"/>
      <c r="P19482"/>
      <c r="Q19482" s="24"/>
      <c r="R19482"/>
      <c r="S19482"/>
      <c r="T19482"/>
      <c r="U19482"/>
      <c r="X19482" s="60"/>
    </row>
    <row r="19483" spans="7:24" ht="15" customHeight="1">
      <c r="G19483"/>
      <c r="I19483"/>
      <c r="N19483"/>
      <c r="O19483" s="24"/>
      <c r="P19483"/>
      <c r="Q19483" s="24"/>
      <c r="R19483"/>
      <c r="S19483"/>
      <c r="T19483"/>
      <c r="U19483"/>
      <c r="X19483" s="60"/>
    </row>
    <row r="19484" spans="7:24" ht="15" customHeight="1">
      <c r="G19484"/>
      <c r="I19484"/>
      <c r="N19484"/>
      <c r="O19484" s="24"/>
      <c r="P19484"/>
      <c r="Q19484" s="24"/>
      <c r="R19484"/>
      <c r="S19484"/>
      <c r="T19484"/>
      <c r="U19484"/>
      <c r="X19484" s="60"/>
    </row>
    <row r="19485" spans="7:24" ht="15" customHeight="1">
      <c r="G19485"/>
      <c r="I19485"/>
      <c r="N19485"/>
      <c r="O19485" s="24"/>
      <c r="P19485"/>
      <c r="Q19485" s="24"/>
      <c r="R19485"/>
      <c r="S19485"/>
      <c r="T19485"/>
      <c r="U19485"/>
      <c r="X19485" s="60"/>
    </row>
    <row r="19486" spans="7:24" ht="15" customHeight="1">
      <c r="G19486"/>
      <c r="I19486"/>
      <c r="N19486"/>
      <c r="O19486" s="24"/>
      <c r="P19486"/>
      <c r="Q19486" s="24"/>
      <c r="R19486"/>
      <c r="S19486"/>
      <c r="T19486"/>
      <c r="U19486"/>
      <c r="X19486" s="60"/>
    </row>
    <row r="19487" spans="7:24" ht="15" customHeight="1">
      <c r="G19487"/>
      <c r="I19487"/>
      <c r="N19487"/>
      <c r="O19487" s="24"/>
      <c r="P19487"/>
      <c r="Q19487" s="24"/>
      <c r="R19487"/>
      <c r="S19487"/>
      <c r="T19487"/>
      <c r="U19487"/>
      <c r="X19487" s="60"/>
    </row>
    <row r="19488" spans="7:24" ht="15" customHeight="1">
      <c r="G19488"/>
      <c r="I19488"/>
      <c r="N19488"/>
      <c r="O19488" s="24"/>
      <c r="P19488"/>
      <c r="Q19488" s="24"/>
      <c r="R19488"/>
      <c r="S19488"/>
      <c r="T19488"/>
      <c r="U19488"/>
      <c r="X19488" s="60"/>
    </row>
    <row r="19489" spans="7:24" ht="15" customHeight="1">
      <c r="G19489"/>
      <c r="I19489"/>
      <c r="N19489"/>
      <c r="O19489" s="24"/>
      <c r="P19489"/>
      <c r="Q19489" s="24"/>
      <c r="R19489"/>
      <c r="S19489"/>
      <c r="T19489"/>
      <c r="U19489"/>
      <c r="X19489" s="60"/>
    </row>
    <row r="19490" spans="7:24" ht="15" customHeight="1">
      <c r="G19490"/>
      <c r="I19490"/>
      <c r="N19490"/>
      <c r="O19490" s="24"/>
      <c r="P19490"/>
      <c r="Q19490" s="24"/>
      <c r="R19490"/>
      <c r="S19490"/>
      <c r="T19490"/>
      <c r="U19490"/>
      <c r="X19490" s="60"/>
    </row>
    <row r="19491" spans="7:24" ht="15" customHeight="1">
      <c r="G19491"/>
      <c r="I19491"/>
      <c r="N19491"/>
      <c r="O19491" s="24"/>
      <c r="P19491"/>
      <c r="Q19491" s="24"/>
      <c r="R19491"/>
      <c r="S19491"/>
      <c r="T19491"/>
      <c r="U19491"/>
      <c r="X19491" s="60"/>
    </row>
    <row r="19492" spans="7:24" ht="15" customHeight="1">
      <c r="G19492"/>
      <c r="I19492"/>
      <c r="N19492"/>
      <c r="O19492" s="24"/>
      <c r="P19492"/>
      <c r="Q19492" s="24"/>
      <c r="R19492"/>
      <c r="S19492"/>
      <c r="T19492"/>
      <c r="U19492"/>
      <c r="X19492" s="60"/>
    </row>
    <row r="19493" spans="7:24" ht="15" customHeight="1">
      <c r="G19493"/>
      <c r="I19493"/>
      <c r="N19493"/>
      <c r="O19493" s="24"/>
      <c r="P19493"/>
      <c r="Q19493" s="24"/>
      <c r="R19493"/>
      <c r="S19493"/>
      <c r="T19493"/>
      <c r="U19493"/>
      <c r="X19493" s="60"/>
    </row>
    <row r="19494" spans="7:24" ht="15" customHeight="1">
      <c r="G19494"/>
      <c r="I19494"/>
      <c r="N19494"/>
      <c r="O19494" s="24"/>
      <c r="P19494"/>
      <c r="Q19494" s="24"/>
      <c r="R19494"/>
      <c r="S19494"/>
      <c r="T19494"/>
      <c r="U19494"/>
      <c r="X19494" s="60"/>
    </row>
    <row r="19495" spans="7:24" ht="15" customHeight="1">
      <c r="G19495"/>
      <c r="I19495"/>
      <c r="N19495"/>
      <c r="O19495" s="24"/>
      <c r="P19495"/>
      <c r="Q19495" s="24"/>
      <c r="R19495"/>
      <c r="S19495"/>
      <c r="T19495"/>
      <c r="U19495"/>
      <c r="X19495" s="60"/>
    </row>
    <row r="19496" spans="7:24" ht="15" customHeight="1">
      <c r="G19496"/>
      <c r="I19496"/>
      <c r="N19496"/>
      <c r="O19496" s="24"/>
      <c r="P19496"/>
      <c r="Q19496" s="24"/>
      <c r="R19496"/>
      <c r="S19496"/>
      <c r="T19496"/>
      <c r="U19496"/>
      <c r="X19496" s="60"/>
    </row>
    <row r="19497" spans="7:24" ht="15" customHeight="1">
      <c r="G19497"/>
      <c r="I19497"/>
      <c r="N19497"/>
      <c r="O19497" s="24"/>
      <c r="P19497"/>
      <c r="Q19497" s="24"/>
      <c r="R19497"/>
      <c r="S19497"/>
      <c r="T19497"/>
      <c r="U19497"/>
      <c r="X19497" s="60"/>
    </row>
    <row r="19498" spans="7:24" ht="15" customHeight="1">
      <c r="G19498"/>
      <c r="I19498"/>
      <c r="N19498"/>
      <c r="O19498" s="24"/>
      <c r="P19498"/>
      <c r="Q19498" s="24"/>
      <c r="R19498"/>
      <c r="S19498"/>
      <c r="T19498"/>
      <c r="U19498"/>
      <c r="X19498" s="60"/>
    </row>
    <row r="19499" spans="7:24" ht="15" customHeight="1">
      <c r="G19499"/>
      <c r="I19499"/>
      <c r="N19499"/>
      <c r="O19499" s="24"/>
      <c r="P19499"/>
      <c r="Q19499" s="24"/>
      <c r="R19499"/>
      <c r="S19499"/>
      <c r="T19499"/>
      <c r="U19499"/>
      <c r="X19499" s="60"/>
    </row>
    <row r="19500" spans="7:24" ht="15" customHeight="1">
      <c r="G19500"/>
      <c r="I19500"/>
      <c r="N19500"/>
      <c r="O19500" s="24"/>
      <c r="P19500"/>
      <c r="Q19500" s="24"/>
      <c r="R19500"/>
      <c r="S19500"/>
      <c r="T19500"/>
      <c r="U19500"/>
      <c r="X19500" s="60"/>
    </row>
    <row r="19501" spans="7:24" ht="15" customHeight="1">
      <c r="G19501"/>
      <c r="I19501"/>
      <c r="N19501"/>
      <c r="O19501" s="24"/>
      <c r="P19501"/>
      <c r="Q19501" s="24"/>
      <c r="R19501"/>
      <c r="S19501"/>
      <c r="T19501"/>
      <c r="U19501"/>
      <c r="X19501" s="60"/>
    </row>
    <row r="19502" spans="7:24" ht="15" customHeight="1">
      <c r="G19502"/>
      <c r="I19502"/>
      <c r="N19502"/>
      <c r="O19502" s="24"/>
      <c r="P19502"/>
      <c r="Q19502" s="24"/>
      <c r="R19502"/>
      <c r="S19502"/>
      <c r="T19502"/>
      <c r="U19502"/>
      <c r="X19502" s="60"/>
    </row>
    <row r="19503" spans="7:24" ht="15" customHeight="1">
      <c r="G19503"/>
      <c r="I19503"/>
      <c r="N19503"/>
      <c r="O19503" s="24"/>
      <c r="P19503"/>
      <c r="Q19503" s="24"/>
      <c r="R19503"/>
      <c r="S19503"/>
      <c r="T19503"/>
      <c r="U19503"/>
      <c r="X19503" s="60"/>
    </row>
    <row r="19504" spans="7:24" ht="15" customHeight="1">
      <c r="G19504"/>
      <c r="I19504"/>
      <c r="N19504"/>
      <c r="O19504" s="24"/>
      <c r="P19504"/>
      <c r="Q19504" s="24"/>
      <c r="R19504"/>
      <c r="S19504"/>
      <c r="T19504"/>
      <c r="U19504"/>
      <c r="X19504" s="60"/>
    </row>
    <row r="19505" spans="7:24" ht="15" customHeight="1">
      <c r="G19505"/>
      <c r="I19505"/>
      <c r="N19505"/>
      <c r="O19505" s="24"/>
      <c r="P19505"/>
      <c r="Q19505" s="24"/>
      <c r="R19505"/>
      <c r="S19505"/>
      <c r="T19505"/>
      <c r="U19505"/>
      <c r="X19505" s="60"/>
    </row>
    <row r="19506" spans="7:24" ht="15" customHeight="1">
      <c r="G19506"/>
      <c r="I19506"/>
      <c r="N19506"/>
      <c r="O19506" s="24"/>
      <c r="P19506"/>
      <c r="Q19506" s="24"/>
      <c r="R19506"/>
      <c r="S19506"/>
      <c r="T19506"/>
      <c r="U19506"/>
      <c r="X19506" s="60"/>
    </row>
    <row r="19507" spans="7:24" ht="15" customHeight="1">
      <c r="G19507"/>
      <c r="I19507"/>
      <c r="N19507"/>
      <c r="O19507" s="24"/>
      <c r="P19507"/>
      <c r="Q19507" s="24"/>
      <c r="R19507"/>
      <c r="S19507"/>
      <c r="T19507"/>
      <c r="U19507"/>
      <c r="X19507" s="60"/>
    </row>
    <row r="19508" spans="7:24" ht="15" customHeight="1">
      <c r="G19508"/>
      <c r="I19508"/>
      <c r="N19508"/>
      <c r="O19508" s="24"/>
      <c r="P19508"/>
      <c r="Q19508" s="24"/>
      <c r="R19508"/>
      <c r="S19508"/>
      <c r="T19508"/>
      <c r="U19508"/>
      <c r="X19508" s="60"/>
    </row>
    <row r="19509" spans="7:24" ht="15" customHeight="1">
      <c r="G19509"/>
      <c r="I19509"/>
      <c r="N19509"/>
      <c r="O19509" s="24"/>
      <c r="P19509"/>
      <c r="Q19509" s="24"/>
      <c r="R19509"/>
      <c r="S19509"/>
      <c r="T19509"/>
      <c r="U19509"/>
      <c r="X19509" s="60"/>
    </row>
    <row r="19510" spans="7:24" ht="15" customHeight="1">
      <c r="G19510"/>
      <c r="I19510"/>
      <c r="N19510"/>
      <c r="O19510" s="24"/>
      <c r="P19510"/>
      <c r="Q19510" s="24"/>
      <c r="R19510"/>
      <c r="S19510"/>
      <c r="T19510"/>
      <c r="U19510"/>
      <c r="X19510" s="60"/>
    </row>
    <row r="19511" spans="7:24" ht="15" customHeight="1">
      <c r="G19511"/>
      <c r="I19511"/>
      <c r="N19511"/>
      <c r="O19511" s="24"/>
      <c r="P19511"/>
      <c r="Q19511" s="24"/>
      <c r="R19511"/>
      <c r="S19511"/>
      <c r="T19511"/>
      <c r="U19511"/>
      <c r="X19511" s="60"/>
    </row>
    <row r="19512" spans="7:24" ht="15" customHeight="1">
      <c r="G19512"/>
      <c r="I19512"/>
      <c r="N19512"/>
      <c r="O19512" s="24"/>
      <c r="P19512"/>
      <c r="Q19512" s="24"/>
      <c r="R19512"/>
      <c r="S19512"/>
      <c r="T19512"/>
      <c r="U19512"/>
      <c r="X19512" s="60"/>
    </row>
    <row r="19513" spans="7:24" ht="15" customHeight="1">
      <c r="G19513"/>
      <c r="I19513"/>
      <c r="N19513"/>
      <c r="O19513" s="24"/>
      <c r="P19513"/>
      <c r="Q19513" s="24"/>
      <c r="R19513"/>
      <c r="S19513"/>
      <c r="T19513"/>
      <c r="U19513"/>
      <c r="X19513" s="60"/>
    </row>
    <row r="19514" spans="7:24" ht="15" customHeight="1">
      <c r="G19514"/>
      <c r="I19514"/>
      <c r="N19514"/>
      <c r="O19514" s="24"/>
      <c r="P19514"/>
      <c r="Q19514" s="24"/>
      <c r="R19514"/>
      <c r="S19514"/>
      <c r="T19514"/>
      <c r="U19514"/>
      <c r="X19514" s="60"/>
    </row>
    <row r="19515" spans="7:24" ht="15" customHeight="1">
      <c r="G19515"/>
      <c r="I19515"/>
      <c r="N19515"/>
      <c r="O19515" s="24"/>
      <c r="P19515"/>
      <c r="Q19515" s="24"/>
      <c r="R19515"/>
      <c r="S19515"/>
      <c r="T19515"/>
      <c r="U19515"/>
      <c r="X19515" s="60"/>
    </row>
    <row r="19516" spans="7:24" ht="15" customHeight="1">
      <c r="G19516"/>
      <c r="I19516"/>
      <c r="N19516"/>
      <c r="O19516" s="24"/>
      <c r="P19516"/>
      <c r="Q19516" s="24"/>
      <c r="R19516"/>
      <c r="S19516"/>
      <c r="T19516"/>
      <c r="U19516"/>
      <c r="X19516" s="60"/>
    </row>
    <row r="19517" spans="7:24" ht="15" customHeight="1">
      <c r="G19517"/>
      <c r="I19517"/>
      <c r="N19517"/>
      <c r="O19517" s="24"/>
      <c r="P19517"/>
      <c r="Q19517" s="24"/>
      <c r="R19517"/>
      <c r="S19517"/>
      <c r="T19517"/>
      <c r="U19517"/>
      <c r="X19517" s="60"/>
    </row>
    <row r="19518" spans="7:24" ht="15" customHeight="1">
      <c r="G19518"/>
      <c r="I19518"/>
      <c r="N19518"/>
      <c r="O19518" s="24"/>
      <c r="P19518"/>
      <c r="Q19518" s="24"/>
      <c r="R19518"/>
      <c r="S19518"/>
      <c r="T19518"/>
      <c r="U19518"/>
      <c r="X19518" s="60"/>
    </row>
    <row r="19519" spans="7:24" ht="15" customHeight="1">
      <c r="G19519"/>
      <c r="I19519"/>
      <c r="N19519"/>
      <c r="O19519" s="24"/>
      <c r="P19519"/>
      <c r="Q19519" s="24"/>
      <c r="R19519"/>
      <c r="S19519"/>
      <c r="T19519"/>
      <c r="U19519"/>
      <c r="X19519" s="60"/>
    </row>
    <row r="19520" spans="7:24" ht="15" customHeight="1">
      <c r="G19520"/>
      <c r="I19520"/>
      <c r="N19520"/>
      <c r="O19520" s="24"/>
      <c r="P19520"/>
      <c r="Q19520" s="24"/>
      <c r="R19520"/>
      <c r="S19520"/>
      <c r="T19520"/>
      <c r="U19520"/>
      <c r="X19520" s="60"/>
    </row>
    <row r="19521" spans="7:24" ht="15" customHeight="1">
      <c r="G19521"/>
      <c r="I19521"/>
      <c r="N19521"/>
      <c r="O19521" s="24"/>
      <c r="P19521"/>
      <c r="Q19521" s="24"/>
      <c r="R19521"/>
      <c r="S19521"/>
      <c r="T19521"/>
      <c r="U19521"/>
      <c r="X19521" s="60"/>
    </row>
    <row r="19522" spans="7:24" ht="15" customHeight="1">
      <c r="G19522"/>
      <c r="I19522"/>
      <c r="N19522"/>
      <c r="O19522" s="24"/>
      <c r="P19522"/>
      <c r="Q19522" s="24"/>
      <c r="R19522"/>
      <c r="S19522"/>
      <c r="T19522"/>
      <c r="U19522"/>
      <c r="X19522" s="60"/>
    </row>
    <row r="19523" spans="7:24" ht="15" customHeight="1">
      <c r="G19523"/>
      <c r="I19523"/>
      <c r="N19523"/>
      <c r="O19523" s="24"/>
      <c r="P19523"/>
      <c r="Q19523" s="24"/>
      <c r="R19523"/>
      <c r="S19523"/>
      <c r="T19523"/>
      <c r="U19523"/>
      <c r="X19523" s="60"/>
    </row>
    <row r="19524" spans="7:24" ht="15" customHeight="1">
      <c r="G19524"/>
      <c r="I19524"/>
      <c r="N19524"/>
      <c r="O19524" s="24"/>
      <c r="P19524"/>
      <c r="Q19524" s="24"/>
      <c r="R19524"/>
      <c r="S19524"/>
      <c r="T19524"/>
      <c r="U19524"/>
      <c r="X19524" s="60"/>
    </row>
    <row r="19525" spans="7:24" ht="15" customHeight="1">
      <c r="G19525"/>
      <c r="I19525"/>
      <c r="N19525"/>
      <c r="O19525" s="24"/>
      <c r="P19525"/>
      <c r="Q19525" s="24"/>
      <c r="R19525"/>
      <c r="S19525"/>
      <c r="T19525"/>
      <c r="U19525"/>
      <c r="X19525" s="60"/>
    </row>
    <row r="19526" spans="7:24" ht="15" customHeight="1">
      <c r="G19526"/>
      <c r="I19526"/>
      <c r="N19526"/>
      <c r="O19526" s="24"/>
      <c r="P19526"/>
      <c r="Q19526" s="24"/>
      <c r="R19526"/>
      <c r="S19526"/>
      <c r="T19526"/>
      <c r="U19526"/>
      <c r="X19526" s="60"/>
    </row>
    <row r="19527" spans="7:24" ht="15" customHeight="1">
      <c r="G19527"/>
      <c r="I19527"/>
      <c r="N19527"/>
      <c r="O19527" s="24"/>
      <c r="P19527"/>
      <c r="Q19527" s="24"/>
      <c r="R19527"/>
      <c r="S19527"/>
      <c r="T19527"/>
      <c r="U19527"/>
      <c r="X19527" s="60"/>
    </row>
    <row r="19528" spans="7:24" ht="15" customHeight="1">
      <c r="G19528"/>
      <c r="I19528"/>
      <c r="N19528"/>
      <c r="O19528" s="24"/>
      <c r="P19528"/>
      <c r="Q19528" s="24"/>
      <c r="R19528"/>
      <c r="S19528"/>
      <c r="T19528"/>
      <c r="U19528"/>
      <c r="X19528" s="60"/>
    </row>
    <row r="19529" spans="7:24" ht="15" customHeight="1">
      <c r="G19529"/>
      <c r="I19529"/>
      <c r="N19529"/>
      <c r="O19529" s="24"/>
      <c r="P19529"/>
      <c r="Q19529" s="24"/>
      <c r="R19529"/>
      <c r="S19529"/>
      <c r="T19529"/>
      <c r="U19529"/>
      <c r="X19529" s="60"/>
    </row>
    <row r="19530" spans="7:24" ht="15" customHeight="1">
      <c r="G19530"/>
      <c r="I19530"/>
      <c r="N19530"/>
      <c r="O19530" s="24"/>
      <c r="P19530"/>
      <c r="Q19530" s="24"/>
      <c r="R19530"/>
      <c r="S19530"/>
      <c r="T19530"/>
      <c r="U19530"/>
      <c r="X19530" s="60"/>
    </row>
    <row r="19531" spans="7:24" ht="15" customHeight="1">
      <c r="G19531"/>
      <c r="I19531"/>
      <c r="N19531"/>
      <c r="O19531" s="24"/>
      <c r="P19531"/>
      <c r="Q19531" s="24"/>
      <c r="R19531"/>
      <c r="S19531"/>
      <c r="T19531"/>
      <c r="U19531"/>
      <c r="X19531" s="60"/>
    </row>
    <row r="19532" spans="7:24" ht="15" customHeight="1">
      <c r="G19532"/>
      <c r="I19532"/>
      <c r="N19532"/>
      <c r="O19532" s="24"/>
      <c r="P19532"/>
      <c r="Q19532" s="24"/>
      <c r="R19532"/>
      <c r="S19532"/>
      <c r="T19532"/>
      <c r="U19532"/>
      <c r="X19532" s="60"/>
    </row>
    <row r="19533" spans="7:24" ht="15" customHeight="1">
      <c r="G19533"/>
      <c r="I19533"/>
      <c r="N19533"/>
      <c r="O19533" s="24"/>
      <c r="P19533"/>
      <c r="Q19533" s="24"/>
      <c r="R19533"/>
      <c r="S19533"/>
      <c r="T19533"/>
      <c r="U19533"/>
      <c r="X19533" s="60"/>
    </row>
    <row r="19534" spans="7:24" ht="15" customHeight="1">
      <c r="G19534"/>
      <c r="I19534"/>
      <c r="N19534"/>
      <c r="O19534" s="24"/>
      <c r="P19534"/>
      <c r="Q19534" s="24"/>
      <c r="R19534"/>
      <c r="S19534"/>
      <c r="T19534"/>
      <c r="U19534"/>
      <c r="X19534" s="60"/>
    </row>
    <row r="19535" spans="7:24" ht="15" customHeight="1">
      <c r="G19535"/>
      <c r="I19535"/>
      <c r="N19535"/>
      <c r="O19535" s="24"/>
      <c r="P19535"/>
      <c r="Q19535" s="24"/>
      <c r="R19535"/>
      <c r="S19535"/>
      <c r="T19535"/>
      <c r="U19535"/>
      <c r="X19535" s="60"/>
    </row>
    <row r="19536" spans="7:24" ht="15" customHeight="1">
      <c r="G19536"/>
      <c r="I19536"/>
      <c r="N19536"/>
      <c r="O19536" s="24"/>
      <c r="P19536"/>
      <c r="Q19536" s="24"/>
      <c r="R19536"/>
      <c r="S19536"/>
      <c r="T19536"/>
      <c r="U19536"/>
      <c r="X19536" s="60"/>
    </row>
    <row r="19537" spans="7:24" ht="15" customHeight="1">
      <c r="G19537"/>
      <c r="I19537"/>
      <c r="N19537"/>
      <c r="O19537" s="24"/>
      <c r="P19537"/>
      <c r="Q19537" s="24"/>
      <c r="R19537"/>
      <c r="S19537"/>
      <c r="T19537"/>
      <c r="U19537"/>
      <c r="X19537" s="60"/>
    </row>
    <row r="19538" spans="7:24" ht="15" customHeight="1">
      <c r="G19538"/>
      <c r="I19538"/>
      <c r="N19538"/>
      <c r="O19538" s="24"/>
      <c r="P19538"/>
      <c r="Q19538" s="24"/>
      <c r="R19538"/>
      <c r="S19538"/>
      <c r="T19538"/>
      <c r="U19538"/>
      <c r="X19538" s="60"/>
    </row>
    <row r="19539" spans="7:24" ht="15" customHeight="1">
      <c r="G19539"/>
      <c r="I19539"/>
      <c r="N19539"/>
      <c r="O19539" s="24"/>
      <c r="P19539"/>
      <c r="Q19539" s="24"/>
      <c r="R19539"/>
      <c r="S19539"/>
      <c r="T19539"/>
      <c r="U19539"/>
      <c r="X19539" s="60"/>
    </row>
    <row r="19540" spans="7:24" ht="15" customHeight="1">
      <c r="G19540"/>
      <c r="I19540"/>
      <c r="N19540"/>
      <c r="O19540" s="24"/>
      <c r="P19540"/>
      <c r="Q19540" s="24"/>
      <c r="R19540"/>
      <c r="S19540"/>
      <c r="T19540"/>
      <c r="U19540"/>
      <c r="X19540" s="60"/>
    </row>
    <row r="19541" spans="7:24" ht="15" customHeight="1">
      <c r="G19541"/>
      <c r="I19541"/>
      <c r="N19541"/>
      <c r="O19541" s="24"/>
      <c r="P19541"/>
      <c r="Q19541" s="24"/>
      <c r="R19541"/>
      <c r="S19541"/>
      <c r="T19541"/>
      <c r="U19541"/>
      <c r="X19541" s="60"/>
    </row>
    <row r="19542" spans="7:24" ht="15" customHeight="1">
      <c r="G19542"/>
      <c r="I19542"/>
      <c r="N19542"/>
      <c r="O19542" s="24"/>
      <c r="P19542"/>
      <c r="Q19542" s="24"/>
      <c r="R19542"/>
      <c r="S19542"/>
      <c r="T19542"/>
      <c r="U19542"/>
      <c r="X19542" s="60"/>
    </row>
    <row r="19543" spans="7:24" ht="15" customHeight="1">
      <c r="G19543"/>
      <c r="I19543"/>
      <c r="N19543"/>
      <c r="O19543" s="24"/>
      <c r="P19543"/>
      <c r="Q19543" s="24"/>
      <c r="R19543"/>
      <c r="S19543"/>
      <c r="T19543"/>
      <c r="U19543"/>
      <c r="X19543" s="60"/>
    </row>
    <row r="19544" spans="7:24" ht="15" customHeight="1">
      <c r="G19544"/>
      <c r="I19544"/>
      <c r="N19544"/>
      <c r="O19544" s="24"/>
      <c r="P19544"/>
      <c r="Q19544" s="24"/>
      <c r="R19544"/>
      <c r="S19544"/>
      <c r="T19544"/>
      <c r="U19544"/>
      <c r="X19544" s="60"/>
    </row>
    <row r="19545" spans="7:24" ht="15" customHeight="1">
      <c r="G19545"/>
      <c r="I19545"/>
      <c r="N19545"/>
      <c r="O19545" s="24"/>
      <c r="P19545"/>
      <c r="Q19545" s="24"/>
      <c r="R19545"/>
      <c r="S19545"/>
      <c r="T19545"/>
      <c r="U19545"/>
      <c r="X19545" s="60"/>
    </row>
    <row r="19546" spans="7:24" ht="15" customHeight="1">
      <c r="G19546"/>
      <c r="I19546"/>
      <c r="N19546"/>
      <c r="O19546" s="24"/>
      <c r="P19546"/>
      <c r="Q19546" s="24"/>
      <c r="R19546"/>
      <c r="S19546"/>
      <c r="T19546"/>
      <c r="U19546"/>
      <c r="X19546" s="60"/>
    </row>
    <row r="19547" spans="7:24" ht="15" customHeight="1">
      <c r="G19547"/>
      <c r="I19547"/>
      <c r="N19547"/>
      <c r="O19547" s="24"/>
      <c r="P19547"/>
      <c r="Q19547" s="24"/>
      <c r="R19547"/>
      <c r="S19547"/>
      <c r="T19547"/>
      <c r="U19547"/>
      <c r="X19547" s="60"/>
    </row>
    <row r="19548" spans="7:24" ht="15" customHeight="1">
      <c r="G19548"/>
      <c r="I19548"/>
      <c r="N19548"/>
      <c r="O19548" s="24"/>
      <c r="P19548"/>
      <c r="Q19548" s="24"/>
      <c r="R19548"/>
      <c r="S19548"/>
      <c r="T19548"/>
      <c r="U19548"/>
      <c r="X19548" s="60"/>
    </row>
    <row r="19549" spans="7:24" ht="15" customHeight="1">
      <c r="G19549"/>
      <c r="I19549"/>
      <c r="N19549"/>
      <c r="O19549" s="24"/>
      <c r="P19549"/>
      <c r="Q19549" s="24"/>
      <c r="R19549"/>
      <c r="S19549"/>
      <c r="T19549"/>
      <c r="U19549"/>
      <c r="X19549" s="60"/>
    </row>
    <row r="19550" spans="7:24" ht="15" customHeight="1">
      <c r="G19550"/>
      <c r="I19550"/>
      <c r="N19550"/>
      <c r="O19550" s="24"/>
      <c r="P19550"/>
      <c r="Q19550" s="24"/>
      <c r="R19550"/>
      <c r="S19550"/>
      <c r="T19550"/>
      <c r="U19550"/>
      <c r="X19550" s="60"/>
    </row>
    <row r="19551" spans="7:24" ht="15" customHeight="1">
      <c r="G19551"/>
      <c r="I19551"/>
      <c r="N19551"/>
      <c r="O19551" s="24"/>
      <c r="P19551"/>
      <c r="Q19551" s="24"/>
      <c r="R19551"/>
      <c r="S19551"/>
      <c r="T19551"/>
      <c r="U19551"/>
      <c r="X19551" s="60"/>
    </row>
    <row r="19552" spans="7:24" ht="15" customHeight="1">
      <c r="G19552"/>
      <c r="I19552"/>
      <c r="N19552"/>
      <c r="O19552" s="24"/>
      <c r="P19552"/>
      <c r="Q19552" s="24"/>
      <c r="R19552"/>
      <c r="S19552"/>
      <c r="T19552"/>
      <c r="U19552"/>
      <c r="X19552" s="60"/>
    </row>
    <row r="19553" spans="7:24" ht="15" customHeight="1">
      <c r="G19553"/>
      <c r="I19553"/>
      <c r="N19553"/>
      <c r="O19553" s="24"/>
      <c r="P19553"/>
      <c r="Q19553" s="24"/>
      <c r="R19553"/>
      <c r="S19553"/>
      <c r="T19553"/>
      <c r="U19553"/>
      <c r="X19553" s="60"/>
    </row>
    <row r="19554" spans="7:24" ht="15" customHeight="1">
      <c r="G19554"/>
      <c r="I19554"/>
      <c r="N19554"/>
      <c r="O19554" s="24"/>
      <c r="P19554"/>
      <c r="Q19554" s="24"/>
      <c r="R19554"/>
      <c r="S19554"/>
      <c r="T19554"/>
      <c r="U19554"/>
      <c r="X19554" s="60"/>
    </row>
    <row r="19555" spans="7:24" ht="15" customHeight="1">
      <c r="G19555"/>
      <c r="I19555"/>
      <c r="N19555"/>
      <c r="O19555" s="24"/>
      <c r="P19555"/>
      <c r="Q19555" s="24"/>
      <c r="R19555"/>
      <c r="S19555"/>
      <c r="T19555"/>
      <c r="U19555"/>
      <c r="X19555" s="60"/>
    </row>
    <row r="19556" spans="7:24" ht="15" customHeight="1">
      <c r="G19556"/>
      <c r="I19556"/>
      <c r="N19556"/>
      <c r="O19556" s="24"/>
      <c r="P19556"/>
      <c r="Q19556" s="24"/>
      <c r="R19556"/>
      <c r="S19556"/>
      <c r="T19556"/>
      <c r="U19556"/>
      <c r="X19556" s="60"/>
    </row>
    <row r="19557" spans="7:24" ht="15" customHeight="1">
      <c r="G19557"/>
      <c r="I19557"/>
      <c r="N19557"/>
      <c r="O19557" s="24"/>
      <c r="P19557"/>
      <c r="Q19557" s="24"/>
      <c r="R19557"/>
      <c r="S19557"/>
      <c r="T19557"/>
      <c r="U19557"/>
      <c r="X19557" s="60"/>
    </row>
    <row r="19558" spans="7:24" ht="15" customHeight="1">
      <c r="G19558"/>
      <c r="I19558"/>
      <c r="N19558"/>
      <c r="O19558" s="24"/>
      <c r="P19558"/>
      <c r="Q19558" s="24"/>
      <c r="R19558"/>
      <c r="S19558"/>
      <c r="T19558"/>
      <c r="U19558"/>
      <c r="X19558" s="60"/>
    </row>
    <row r="19559" spans="7:24" ht="15" customHeight="1">
      <c r="G19559"/>
      <c r="I19559"/>
      <c r="N19559"/>
      <c r="O19559" s="24"/>
      <c r="P19559"/>
      <c r="Q19559" s="24"/>
      <c r="R19559"/>
      <c r="S19559"/>
      <c r="T19559"/>
      <c r="U19559"/>
      <c r="X19559" s="60"/>
    </row>
    <row r="19560" spans="7:24" ht="15" customHeight="1">
      <c r="G19560"/>
      <c r="I19560"/>
      <c r="N19560"/>
      <c r="O19560" s="24"/>
      <c r="P19560"/>
      <c r="Q19560" s="24"/>
      <c r="R19560"/>
      <c r="S19560"/>
      <c r="T19560"/>
      <c r="U19560"/>
      <c r="X19560" s="60"/>
    </row>
    <row r="19561" spans="7:24" ht="15" customHeight="1">
      <c r="G19561"/>
      <c r="I19561"/>
      <c r="N19561"/>
      <c r="O19561" s="24"/>
      <c r="P19561"/>
      <c r="Q19561" s="24"/>
      <c r="R19561"/>
      <c r="S19561"/>
      <c r="T19561"/>
      <c r="U19561"/>
      <c r="X19561" s="60"/>
    </row>
    <row r="19562" spans="7:24" ht="15" customHeight="1">
      <c r="G19562"/>
      <c r="I19562"/>
      <c r="N19562"/>
      <c r="O19562" s="24"/>
      <c r="P19562"/>
      <c r="Q19562" s="24"/>
      <c r="R19562"/>
      <c r="S19562"/>
      <c r="T19562"/>
      <c r="U19562"/>
      <c r="X19562" s="60"/>
    </row>
    <row r="19563" spans="7:24" ht="15" customHeight="1">
      <c r="G19563"/>
      <c r="I19563"/>
      <c r="N19563"/>
      <c r="O19563" s="24"/>
      <c r="P19563"/>
      <c r="Q19563" s="24"/>
      <c r="R19563"/>
      <c r="S19563"/>
      <c r="T19563"/>
      <c r="U19563"/>
      <c r="X19563" s="60"/>
    </row>
    <row r="19564" spans="7:24" ht="15" customHeight="1">
      <c r="G19564"/>
      <c r="I19564"/>
      <c r="N19564"/>
      <c r="O19564" s="24"/>
      <c r="P19564"/>
      <c r="Q19564" s="24"/>
      <c r="R19564"/>
      <c r="S19564"/>
      <c r="T19564"/>
      <c r="U19564"/>
      <c r="X19564" s="60"/>
    </row>
    <row r="19565" spans="7:24" ht="15" customHeight="1">
      <c r="G19565"/>
      <c r="I19565"/>
      <c r="N19565"/>
      <c r="O19565" s="24"/>
      <c r="P19565"/>
      <c r="Q19565" s="24"/>
      <c r="R19565"/>
      <c r="S19565"/>
      <c r="T19565"/>
      <c r="U19565"/>
      <c r="X19565" s="60"/>
    </row>
    <row r="19566" spans="7:24" ht="15" customHeight="1">
      <c r="G19566"/>
      <c r="I19566"/>
      <c r="N19566"/>
      <c r="O19566" s="24"/>
      <c r="P19566"/>
      <c r="Q19566" s="24"/>
      <c r="R19566"/>
      <c r="S19566"/>
      <c r="T19566"/>
      <c r="U19566"/>
      <c r="X19566" s="60"/>
    </row>
    <row r="19567" spans="7:24" ht="15" customHeight="1">
      <c r="G19567"/>
      <c r="I19567"/>
      <c r="N19567"/>
      <c r="O19567" s="24"/>
      <c r="P19567"/>
      <c r="Q19567" s="24"/>
      <c r="R19567"/>
      <c r="S19567"/>
      <c r="T19567"/>
      <c r="U19567"/>
      <c r="X19567" s="60"/>
    </row>
    <row r="19568" spans="7:24" ht="15" customHeight="1">
      <c r="G19568"/>
      <c r="I19568"/>
      <c r="N19568"/>
      <c r="O19568" s="24"/>
      <c r="P19568"/>
      <c r="Q19568" s="24"/>
      <c r="R19568"/>
      <c r="S19568"/>
      <c r="T19568"/>
      <c r="U19568"/>
      <c r="X19568" s="60"/>
    </row>
    <row r="19569" spans="7:24" ht="15" customHeight="1">
      <c r="G19569"/>
      <c r="I19569"/>
      <c r="N19569"/>
      <c r="O19569" s="24"/>
      <c r="P19569"/>
      <c r="Q19569" s="24"/>
      <c r="R19569"/>
      <c r="S19569"/>
      <c r="T19569"/>
      <c r="U19569"/>
      <c r="X19569" s="60"/>
    </row>
    <row r="19570" spans="7:24" ht="15" customHeight="1">
      <c r="G19570"/>
      <c r="I19570"/>
      <c r="N19570"/>
      <c r="O19570" s="24"/>
      <c r="P19570"/>
      <c r="Q19570" s="24"/>
      <c r="R19570"/>
      <c r="S19570"/>
      <c r="T19570"/>
      <c r="U19570"/>
      <c r="X19570" s="60"/>
    </row>
    <row r="19571" spans="7:24" ht="15" customHeight="1">
      <c r="G19571"/>
      <c r="I19571"/>
      <c r="N19571"/>
      <c r="O19571" s="24"/>
      <c r="P19571"/>
      <c r="Q19571" s="24"/>
      <c r="R19571"/>
      <c r="S19571"/>
      <c r="T19571"/>
      <c r="U19571"/>
      <c r="X19571" s="60"/>
    </row>
    <row r="19572" spans="7:24" ht="15" customHeight="1">
      <c r="G19572"/>
      <c r="I19572"/>
      <c r="N19572"/>
      <c r="O19572" s="24"/>
      <c r="P19572"/>
      <c r="Q19572" s="24"/>
      <c r="R19572"/>
      <c r="S19572"/>
      <c r="T19572"/>
      <c r="U19572"/>
      <c r="X19572" s="60"/>
    </row>
    <row r="19573" spans="7:24" ht="15" customHeight="1">
      <c r="G19573"/>
      <c r="I19573"/>
      <c r="N19573"/>
      <c r="O19573" s="24"/>
      <c r="P19573"/>
      <c r="Q19573" s="24"/>
      <c r="R19573"/>
      <c r="S19573"/>
      <c r="T19573"/>
      <c r="U19573"/>
      <c r="X19573" s="60"/>
    </row>
    <row r="19574" spans="7:24" ht="15" customHeight="1">
      <c r="G19574"/>
      <c r="I19574"/>
      <c r="N19574"/>
      <c r="O19574" s="24"/>
      <c r="P19574"/>
      <c r="Q19574" s="24"/>
      <c r="R19574"/>
      <c r="S19574"/>
      <c r="T19574"/>
      <c r="U19574"/>
      <c r="X19574" s="60"/>
    </row>
    <row r="19575" spans="7:24" ht="15" customHeight="1">
      <c r="G19575"/>
      <c r="I19575"/>
      <c r="N19575"/>
      <c r="O19575" s="24"/>
      <c r="P19575"/>
      <c r="Q19575" s="24"/>
      <c r="R19575"/>
      <c r="S19575"/>
      <c r="T19575"/>
      <c r="U19575"/>
      <c r="X19575" s="60"/>
    </row>
    <row r="19576" spans="7:24" ht="15" customHeight="1">
      <c r="G19576"/>
      <c r="I19576"/>
      <c r="N19576"/>
      <c r="O19576" s="24"/>
      <c r="P19576"/>
      <c r="Q19576" s="24"/>
      <c r="R19576"/>
      <c r="S19576"/>
      <c r="T19576"/>
      <c r="U19576"/>
      <c r="X19576" s="60"/>
    </row>
    <row r="19577" spans="7:24" ht="15" customHeight="1">
      <c r="G19577"/>
      <c r="I19577"/>
      <c r="N19577"/>
      <c r="O19577" s="24"/>
      <c r="P19577"/>
      <c r="Q19577" s="24"/>
      <c r="R19577"/>
      <c r="S19577"/>
      <c r="T19577"/>
      <c r="U19577"/>
      <c r="X19577" s="60"/>
    </row>
    <row r="19578" spans="7:24" ht="15" customHeight="1">
      <c r="G19578"/>
      <c r="I19578"/>
      <c r="N19578"/>
      <c r="O19578" s="24"/>
      <c r="P19578"/>
      <c r="Q19578" s="24"/>
      <c r="R19578"/>
      <c r="S19578"/>
      <c r="T19578"/>
      <c r="U19578"/>
      <c r="X19578" s="60"/>
    </row>
    <row r="19579" spans="7:24" ht="15" customHeight="1">
      <c r="G19579"/>
      <c r="I19579"/>
      <c r="N19579"/>
      <c r="O19579" s="24"/>
      <c r="P19579"/>
      <c r="Q19579" s="24"/>
      <c r="R19579"/>
      <c r="S19579"/>
      <c r="T19579"/>
      <c r="U19579"/>
      <c r="X19579" s="60"/>
    </row>
    <row r="19580" spans="7:24" ht="15" customHeight="1">
      <c r="G19580"/>
      <c r="I19580"/>
      <c r="N19580"/>
      <c r="O19580" s="24"/>
      <c r="P19580"/>
      <c r="Q19580" s="24"/>
      <c r="R19580"/>
      <c r="S19580"/>
      <c r="T19580"/>
      <c r="U19580"/>
      <c r="X19580" s="60"/>
    </row>
    <row r="19581" spans="7:24" ht="15" customHeight="1">
      <c r="G19581"/>
      <c r="I19581"/>
      <c r="N19581"/>
      <c r="O19581" s="24"/>
      <c r="P19581"/>
      <c r="Q19581" s="24"/>
      <c r="R19581"/>
      <c r="S19581"/>
      <c r="T19581"/>
      <c r="U19581"/>
      <c r="X19581" s="60"/>
    </row>
    <row r="19582" spans="7:24" ht="15" customHeight="1">
      <c r="G19582"/>
      <c r="I19582"/>
      <c r="N19582"/>
      <c r="O19582" s="24"/>
      <c r="P19582"/>
      <c r="Q19582" s="24"/>
      <c r="R19582"/>
      <c r="S19582"/>
      <c r="T19582"/>
      <c r="U19582"/>
      <c r="X19582" s="60"/>
    </row>
    <row r="19583" spans="7:24" ht="15" customHeight="1">
      <c r="G19583"/>
      <c r="I19583"/>
      <c r="N19583"/>
      <c r="O19583" s="24"/>
      <c r="P19583"/>
      <c r="Q19583" s="24"/>
      <c r="R19583"/>
      <c r="S19583"/>
      <c r="T19583"/>
      <c r="U19583"/>
      <c r="X19583" s="60"/>
    </row>
    <row r="19584" spans="7:24" ht="15" customHeight="1">
      <c r="G19584"/>
      <c r="I19584"/>
      <c r="N19584"/>
      <c r="O19584" s="24"/>
      <c r="P19584"/>
      <c r="Q19584" s="24"/>
      <c r="R19584"/>
      <c r="S19584"/>
      <c r="T19584"/>
      <c r="U19584"/>
      <c r="X19584" s="60"/>
    </row>
    <row r="19585" spans="7:24" ht="15" customHeight="1">
      <c r="G19585"/>
      <c r="I19585"/>
      <c r="N19585"/>
      <c r="O19585" s="24"/>
      <c r="P19585"/>
      <c r="Q19585" s="24"/>
      <c r="R19585"/>
      <c r="S19585"/>
      <c r="T19585"/>
      <c r="U19585"/>
      <c r="X19585" s="60"/>
    </row>
    <row r="19586" spans="7:24" ht="15" customHeight="1">
      <c r="G19586"/>
      <c r="I19586"/>
      <c r="N19586"/>
      <c r="O19586" s="24"/>
      <c r="P19586"/>
      <c r="Q19586" s="24"/>
      <c r="R19586"/>
      <c r="S19586"/>
      <c r="T19586"/>
      <c r="U19586"/>
      <c r="X19586" s="60"/>
    </row>
    <row r="19587" spans="7:24" ht="15" customHeight="1">
      <c r="G19587"/>
      <c r="I19587"/>
      <c r="N19587"/>
      <c r="O19587" s="24"/>
      <c r="P19587"/>
      <c r="Q19587" s="24"/>
      <c r="R19587"/>
      <c r="S19587"/>
      <c r="T19587"/>
      <c r="U19587"/>
      <c r="X19587" s="60"/>
    </row>
    <row r="19588" spans="7:24" ht="15" customHeight="1">
      <c r="G19588"/>
      <c r="I19588"/>
      <c r="N19588"/>
      <c r="O19588" s="24"/>
      <c r="P19588"/>
      <c r="Q19588" s="24"/>
      <c r="R19588"/>
      <c r="S19588"/>
      <c r="T19588"/>
      <c r="U19588"/>
      <c r="X19588" s="60"/>
    </row>
    <row r="19589" spans="7:24" ht="15" customHeight="1">
      <c r="G19589"/>
      <c r="I19589"/>
      <c r="N19589"/>
      <c r="O19589" s="24"/>
      <c r="P19589"/>
      <c r="Q19589" s="24"/>
      <c r="R19589"/>
      <c r="S19589"/>
      <c r="T19589"/>
      <c r="U19589"/>
      <c r="X19589" s="60"/>
    </row>
    <row r="19590" spans="7:24" ht="15" customHeight="1">
      <c r="G19590"/>
      <c r="I19590"/>
      <c r="N19590"/>
      <c r="O19590" s="24"/>
      <c r="P19590"/>
      <c r="Q19590" s="24"/>
      <c r="R19590"/>
      <c r="S19590"/>
      <c r="T19590"/>
      <c r="U19590"/>
      <c r="X19590" s="60"/>
    </row>
    <row r="19591" spans="7:24" ht="15" customHeight="1">
      <c r="G19591"/>
      <c r="I19591"/>
      <c r="N19591"/>
      <c r="O19591" s="24"/>
      <c r="P19591"/>
      <c r="Q19591" s="24"/>
      <c r="R19591"/>
      <c r="S19591"/>
      <c r="T19591"/>
      <c r="U19591"/>
      <c r="X19591" s="60"/>
    </row>
    <row r="19592" spans="7:24" ht="15" customHeight="1">
      <c r="G19592"/>
      <c r="I19592"/>
      <c r="N19592"/>
      <c r="O19592" s="24"/>
      <c r="P19592"/>
      <c r="Q19592" s="24"/>
      <c r="R19592"/>
      <c r="S19592"/>
      <c r="T19592"/>
      <c r="U19592"/>
      <c r="X19592" s="60"/>
    </row>
    <row r="19593" spans="7:24" ht="15" customHeight="1">
      <c r="G19593"/>
      <c r="I19593"/>
      <c r="N19593"/>
      <c r="O19593" s="24"/>
      <c r="P19593"/>
      <c r="Q19593" s="24"/>
      <c r="R19593"/>
      <c r="S19593"/>
      <c r="T19593"/>
      <c r="U19593"/>
      <c r="X19593" s="60"/>
    </row>
    <row r="19594" spans="7:24" ht="15" customHeight="1">
      <c r="G19594"/>
      <c r="I19594"/>
      <c r="N19594"/>
      <c r="O19594" s="24"/>
      <c r="P19594"/>
      <c r="Q19594" s="24"/>
      <c r="R19594"/>
      <c r="S19594"/>
      <c r="T19594"/>
      <c r="U19594"/>
      <c r="X19594" s="60"/>
    </row>
    <row r="19595" spans="7:24" ht="15" customHeight="1">
      <c r="G19595"/>
      <c r="I19595"/>
      <c r="N19595"/>
      <c r="O19595" s="24"/>
      <c r="P19595"/>
      <c r="Q19595" s="24"/>
      <c r="R19595"/>
      <c r="S19595"/>
      <c r="T19595"/>
      <c r="U19595"/>
      <c r="X19595" s="60"/>
    </row>
    <row r="19596" spans="7:24" ht="15" customHeight="1">
      <c r="G19596"/>
      <c r="I19596"/>
      <c r="N19596"/>
      <c r="O19596" s="24"/>
      <c r="P19596"/>
      <c r="Q19596" s="24"/>
      <c r="R19596"/>
      <c r="S19596"/>
      <c r="T19596"/>
      <c r="U19596"/>
      <c r="X19596" s="60"/>
    </row>
    <row r="19597" spans="7:24" ht="15" customHeight="1">
      <c r="G19597"/>
      <c r="I19597"/>
      <c r="N19597"/>
      <c r="O19597" s="24"/>
      <c r="P19597"/>
      <c r="Q19597" s="24"/>
      <c r="R19597"/>
      <c r="S19597"/>
      <c r="T19597"/>
      <c r="U19597"/>
      <c r="X19597" s="60"/>
    </row>
    <row r="19598" spans="7:24" ht="15" customHeight="1">
      <c r="G19598"/>
      <c r="I19598"/>
      <c r="N19598"/>
      <c r="O19598" s="24"/>
      <c r="P19598"/>
      <c r="Q19598" s="24"/>
      <c r="R19598"/>
      <c r="S19598"/>
      <c r="T19598"/>
      <c r="U19598"/>
      <c r="X19598" s="60"/>
    </row>
    <row r="19599" spans="7:24" ht="15" customHeight="1">
      <c r="G19599"/>
      <c r="I19599"/>
      <c r="N19599"/>
      <c r="O19599" s="24"/>
      <c r="P19599"/>
      <c r="Q19599" s="24"/>
      <c r="R19599"/>
      <c r="S19599"/>
      <c r="T19599"/>
      <c r="U19599"/>
      <c r="X19599" s="60"/>
    </row>
    <row r="19600" spans="7:24" ht="15" customHeight="1">
      <c r="G19600"/>
      <c r="I19600"/>
      <c r="N19600"/>
      <c r="O19600" s="24"/>
      <c r="P19600"/>
      <c r="Q19600" s="24"/>
      <c r="R19600"/>
      <c r="S19600"/>
      <c r="T19600"/>
      <c r="U19600"/>
      <c r="X19600" s="60"/>
    </row>
    <row r="19601" spans="7:24" ht="15" customHeight="1">
      <c r="G19601"/>
      <c r="I19601"/>
      <c r="N19601"/>
      <c r="O19601" s="24"/>
      <c r="P19601"/>
      <c r="Q19601" s="24"/>
      <c r="R19601"/>
      <c r="S19601"/>
      <c r="T19601"/>
      <c r="U19601"/>
      <c r="X19601" s="60"/>
    </row>
    <row r="19602" spans="7:24" ht="15" customHeight="1">
      <c r="G19602"/>
      <c r="I19602"/>
      <c r="N19602"/>
      <c r="O19602" s="24"/>
      <c r="P19602"/>
      <c r="Q19602" s="24"/>
      <c r="R19602"/>
      <c r="S19602"/>
      <c r="T19602"/>
      <c r="U19602"/>
      <c r="X19602" s="60"/>
    </row>
    <row r="19603" spans="7:24" ht="15" customHeight="1">
      <c r="G19603"/>
      <c r="I19603"/>
      <c r="N19603"/>
      <c r="O19603" s="24"/>
      <c r="P19603"/>
      <c r="Q19603" s="24"/>
      <c r="R19603"/>
      <c r="S19603"/>
      <c r="T19603"/>
      <c r="U19603"/>
      <c r="X19603" s="60"/>
    </row>
    <row r="19604" spans="7:24" ht="15" customHeight="1">
      <c r="G19604"/>
      <c r="I19604"/>
      <c r="N19604"/>
      <c r="O19604" s="24"/>
      <c r="P19604"/>
      <c r="Q19604" s="24"/>
      <c r="R19604"/>
      <c r="S19604"/>
      <c r="T19604"/>
      <c r="U19604"/>
      <c r="X19604" s="60"/>
    </row>
    <row r="19605" spans="7:24" ht="15" customHeight="1">
      <c r="G19605"/>
      <c r="I19605"/>
      <c r="N19605"/>
      <c r="O19605" s="24"/>
      <c r="P19605"/>
      <c r="Q19605" s="24"/>
      <c r="R19605"/>
      <c r="S19605"/>
      <c r="T19605"/>
      <c r="U19605"/>
      <c r="X19605" s="60"/>
    </row>
    <row r="19606" spans="7:24" ht="15" customHeight="1">
      <c r="G19606"/>
      <c r="I19606"/>
      <c r="N19606"/>
      <c r="O19606" s="24"/>
      <c r="P19606"/>
      <c r="Q19606" s="24"/>
      <c r="R19606"/>
      <c r="S19606"/>
      <c r="T19606"/>
      <c r="U19606"/>
      <c r="X19606" s="60"/>
    </row>
    <row r="19607" spans="7:24" ht="15" customHeight="1">
      <c r="G19607"/>
      <c r="I19607"/>
      <c r="N19607"/>
      <c r="O19607" s="24"/>
      <c r="P19607"/>
      <c r="Q19607" s="24"/>
      <c r="R19607"/>
      <c r="S19607"/>
      <c r="T19607"/>
      <c r="U19607"/>
      <c r="X19607" s="60"/>
    </row>
    <row r="19608" spans="7:24" ht="15" customHeight="1">
      <c r="G19608"/>
      <c r="I19608"/>
      <c r="N19608"/>
      <c r="O19608" s="24"/>
      <c r="P19608"/>
      <c r="Q19608" s="24"/>
      <c r="R19608"/>
      <c r="S19608"/>
      <c r="T19608"/>
      <c r="U19608"/>
      <c r="X19608" s="60"/>
    </row>
    <row r="19609" spans="7:24" ht="15" customHeight="1">
      <c r="G19609"/>
      <c r="I19609"/>
      <c r="N19609"/>
      <c r="O19609" s="24"/>
      <c r="P19609"/>
      <c r="Q19609" s="24"/>
      <c r="R19609"/>
      <c r="S19609"/>
      <c r="T19609"/>
      <c r="U19609"/>
      <c r="X19609" s="60"/>
    </row>
    <row r="19610" spans="7:24" ht="15" customHeight="1">
      <c r="G19610"/>
      <c r="I19610"/>
      <c r="N19610"/>
      <c r="O19610" s="24"/>
      <c r="P19610"/>
      <c r="Q19610" s="24"/>
      <c r="R19610"/>
      <c r="S19610"/>
      <c r="T19610"/>
      <c r="U19610"/>
      <c r="X19610" s="60"/>
    </row>
    <row r="19611" spans="7:24" ht="15" customHeight="1">
      <c r="G19611"/>
      <c r="I19611"/>
      <c r="N19611"/>
      <c r="O19611" s="24"/>
      <c r="P19611"/>
      <c r="Q19611" s="24"/>
      <c r="R19611"/>
      <c r="S19611"/>
      <c r="T19611"/>
      <c r="U19611"/>
      <c r="X19611" s="60"/>
    </row>
    <row r="19612" spans="7:24" ht="15" customHeight="1">
      <c r="G19612"/>
      <c r="I19612"/>
      <c r="N19612"/>
      <c r="O19612" s="24"/>
      <c r="P19612"/>
      <c r="Q19612" s="24"/>
      <c r="R19612"/>
      <c r="S19612"/>
      <c r="T19612"/>
      <c r="U19612"/>
      <c r="X19612" s="60"/>
    </row>
    <row r="19613" spans="7:24" ht="15" customHeight="1">
      <c r="G19613"/>
      <c r="I19613"/>
      <c r="N19613"/>
      <c r="O19613" s="24"/>
      <c r="P19613"/>
      <c r="Q19613" s="24"/>
      <c r="R19613"/>
      <c r="S19613"/>
      <c r="T19613"/>
      <c r="U19613"/>
      <c r="X19613" s="60"/>
    </row>
    <row r="19614" spans="7:24" ht="15" customHeight="1">
      <c r="G19614"/>
      <c r="I19614"/>
      <c r="N19614"/>
      <c r="O19614" s="24"/>
      <c r="P19614"/>
      <c r="Q19614" s="24"/>
      <c r="R19614"/>
      <c r="S19614"/>
      <c r="T19614"/>
      <c r="U19614"/>
      <c r="X19614" s="60"/>
    </row>
    <row r="19615" spans="7:24" ht="15" customHeight="1">
      <c r="G19615"/>
      <c r="I19615"/>
      <c r="N19615"/>
      <c r="O19615" s="24"/>
      <c r="P19615"/>
      <c r="Q19615" s="24"/>
      <c r="R19615"/>
      <c r="S19615"/>
      <c r="T19615"/>
      <c r="U19615"/>
      <c r="X19615" s="60"/>
    </row>
    <row r="19616" spans="7:24" ht="15" customHeight="1">
      <c r="G19616"/>
      <c r="I19616"/>
      <c r="N19616"/>
      <c r="O19616" s="24"/>
      <c r="P19616"/>
      <c r="Q19616" s="24"/>
      <c r="R19616"/>
      <c r="S19616"/>
      <c r="T19616"/>
      <c r="U19616"/>
      <c r="X19616" s="60"/>
    </row>
    <row r="19617" spans="7:24" ht="15" customHeight="1">
      <c r="G19617"/>
      <c r="I19617"/>
      <c r="N19617"/>
      <c r="O19617" s="24"/>
      <c r="P19617"/>
      <c r="Q19617" s="24"/>
      <c r="R19617"/>
      <c r="S19617"/>
      <c r="T19617"/>
      <c r="U19617"/>
      <c r="X19617" s="60"/>
    </row>
    <row r="19618" spans="7:24" ht="15" customHeight="1">
      <c r="G19618"/>
      <c r="I19618"/>
      <c r="N19618"/>
      <c r="O19618" s="24"/>
      <c r="P19618"/>
      <c r="Q19618" s="24"/>
      <c r="R19618"/>
      <c r="S19618"/>
      <c r="T19618"/>
      <c r="U19618"/>
      <c r="X19618" s="60"/>
    </row>
    <row r="19619" spans="7:24" ht="15" customHeight="1">
      <c r="G19619"/>
      <c r="I19619"/>
      <c r="N19619"/>
      <c r="O19619" s="24"/>
      <c r="P19619"/>
      <c r="Q19619" s="24"/>
      <c r="R19619"/>
      <c r="S19619"/>
      <c r="T19619"/>
      <c r="U19619"/>
      <c r="X19619" s="60"/>
    </row>
    <row r="19620" spans="7:24" ht="15" customHeight="1">
      <c r="G19620"/>
      <c r="I19620"/>
      <c r="N19620"/>
      <c r="O19620" s="24"/>
      <c r="P19620"/>
      <c r="Q19620" s="24"/>
      <c r="R19620"/>
      <c r="S19620"/>
      <c r="T19620"/>
      <c r="U19620"/>
      <c r="X19620" s="60"/>
    </row>
    <row r="19621" spans="7:24" ht="15" customHeight="1">
      <c r="G19621"/>
      <c r="I19621"/>
      <c r="N19621"/>
      <c r="O19621" s="24"/>
      <c r="P19621"/>
      <c r="Q19621" s="24"/>
      <c r="R19621"/>
      <c r="S19621"/>
      <c r="T19621"/>
      <c r="U19621"/>
      <c r="X19621" s="60"/>
    </row>
    <row r="19622" spans="7:24" ht="15" customHeight="1">
      <c r="G19622"/>
      <c r="I19622"/>
      <c r="N19622"/>
      <c r="O19622" s="24"/>
      <c r="P19622"/>
      <c r="Q19622" s="24"/>
      <c r="R19622"/>
      <c r="S19622"/>
      <c r="T19622"/>
      <c r="U19622"/>
      <c r="X19622" s="60"/>
    </row>
    <row r="19623" spans="7:24" ht="15" customHeight="1">
      <c r="G19623"/>
      <c r="I19623"/>
      <c r="N19623"/>
      <c r="O19623" s="24"/>
      <c r="P19623"/>
      <c r="Q19623" s="24"/>
      <c r="R19623"/>
      <c r="S19623"/>
      <c r="T19623"/>
      <c r="U19623"/>
      <c r="X19623" s="60"/>
    </row>
    <row r="19624" spans="7:24" ht="15" customHeight="1">
      <c r="G19624"/>
      <c r="I19624"/>
      <c r="N19624"/>
      <c r="O19624" s="24"/>
      <c r="P19624"/>
      <c r="Q19624" s="24"/>
      <c r="R19624"/>
      <c r="S19624"/>
      <c r="T19624"/>
      <c r="U19624"/>
      <c r="X19624" s="60"/>
    </row>
    <row r="19625" spans="7:24" ht="15" customHeight="1">
      <c r="G19625"/>
      <c r="I19625"/>
      <c r="N19625"/>
      <c r="O19625" s="24"/>
      <c r="P19625"/>
      <c r="Q19625" s="24"/>
      <c r="R19625"/>
      <c r="S19625"/>
      <c r="T19625"/>
      <c r="U19625"/>
      <c r="X19625" s="60"/>
    </row>
    <row r="19626" spans="7:24" ht="15" customHeight="1">
      <c r="G19626"/>
      <c r="I19626"/>
      <c r="N19626"/>
      <c r="O19626" s="24"/>
      <c r="P19626"/>
      <c r="Q19626" s="24"/>
      <c r="R19626"/>
      <c r="S19626"/>
      <c r="T19626"/>
      <c r="U19626"/>
      <c r="X19626" s="60"/>
    </row>
    <row r="19627" spans="7:24" ht="15" customHeight="1">
      <c r="G19627"/>
      <c r="I19627"/>
      <c r="N19627"/>
      <c r="O19627" s="24"/>
      <c r="P19627"/>
      <c r="Q19627" s="24"/>
      <c r="R19627"/>
      <c r="S19627"/>
      <c r="T19627"/>
      <c r="U19627"/>
      <c r="X19627" s="60"/>
    </row>
    <row r="19628" spans="7:24" ht="15" customHeight="1">
      <c r="G19628"/>
      <c r="I19628"/>
      <c r="N19628"/>
      <c r="O19628" s="24"/>
      <c r="P19628"/>
      <c r="Q19628" s="24"/>
      <c r="R19628"/>
      <c r="S19628"/>
      <c r="T19628"/>
      <c r="U19628"/>
      <c r="X19628" s="60"/>
    </row>
    <row r="19629" spans="7:24" ht="15" customHeight="1">
      <c r="G19629"/>
      <c r="I19629"/>
      <c r="N19629"/>
      <c r="O19629" s="24"/>
      <c r="P19629"/>
      <c r="Q19629" s="24"/>
      <c r="R19629"/>
      <c r="S19629"/>
      <c r="T19629"/>
      <c r="U19629"/>
      <c r="X19629" s="60"/>
    </row>
    <row r="19630" spans="7:24" ht="15" customHeight="1">
      <c r="G19630"/>
      <c r="I19630"/>
      <c r="N19630"/>
      <c r="O19630" s="24"/>
      <c r="P19630"/>
      <c r="Q19630" s="24"/>
      <c r="R19630"/>
      <c r="S19630"/>
      <c r="T19630"/>
      <c r="U19630"/>
      <c r="X19630" s="60"/>
    </row>
    <row r="19631" spans="7:24" ht="15" customHeight="1">
      <c r="G19631"/>
      <c r="I19631"/>
      <c r="N19631"/>
      <c r="O19631" s="24"/>
      <c r="P19631"/>
      <c r="Q19631" s="24"/>
      <c r="R19631"/>
      <c r="S19631"/>
      <c r="T19631"/>
      <c r="U19631"/>
      <c r="X19631" s="60"/>
    </row>
    <row r="19632" spans="7:24" ht="15" customHeight="1">
      <c r="G19632"/>
      <c r="I19632"/>
      <c r="N19632"/>
      <c r="O19632" s="24"/>
      <c r="P19632"/>
      <c r="Q19632" s="24"/>
      <c r="R19632"/>
      <c r="S19632"/>
      <c r="T19632"/>
      <c r="U19632"/>
      <c r="X19632" s="60"/>
    </row>
    <row r="19633" spans="7:24" ht="15" customHeight="1">
      <c r="G19633"/>
      <c r="I19633"/>
      <c r="N19633"/>
      <c r="O19633" s="24"/>
      <c r="P19633"/>
      <c r="Q19633" s="24"/>
      <c r="R19633"/>
      <c r="S19633"/>
      <c r="T19633"/>
      <c r="U19633"/>
      <c r="X19633" s="60"/>
    </row>
    <row r="19634" spans="7:24" ht="15" customHeight="1">
      <c r="G19634"/>
      <c r="I19634"/>
      <c r="N19634"/>
      <c r="O19634" s="24"/>
      <c r="P19634"/>
      <c r="Q19634" s="24"/>
      <c r="R19634"/>
      <c r="S19634"/>
      <c r="T19634"/>
      <c r="U19634"/>
      <c r="X19634" s="60"/>
    </row>
    <row r="19635" spans="7:24" ht="15" customHeight="1">
      <c r="G19635"/>
      <c r="I19635"/>
      <c r="N19635"/>
      <c r="O19635" s="24"/>
      <c r="P19635"/>
      <c r="Q19635" s="24"/>
      <c r="R19635"/>
      <c r="S19635"/>
      <c r="T19635"/>
      <c r="U19635"/>
      <c r="X19635" s="60"/>
    </row>
    <row r="19636" spans="7:24" ht="15" customHeight="1">
      <c r="G19636"/>
      <c r="I19636"/>
      <c r="N19636"/>
      <c r="O19636" s="24"/>
      <c r="P19636"/>
      <c r="Q19636" s="24"/>
      <c r="R19636"/>
      <c r="S19636"/>
      <c r="T19636"/>
      <c r="U19636"/>
      <c r="X19636" s="60"/>
    </row>
    <row r="19637" spans="7:24" ht="15" customHeight="1">
      <c r="G19637"/>
      <c r="I19637"/>
      <c r="N19637"/>
      <c r="O19637" s="24"/>
      <c r="P19637"/>
      <c r="Q19637" s="24"/>
      <c r="R19637"/>
      <c r="S19637"/>
      <c r="T19637"/>
      <c r="U19637"/>
      <c r="X19637" s="60"/>
    </row>
    <row r="19638" spans="7:24" ht="15" customHeight="1">
      <c r="G19638"/>
      <c r="I19638"/>
      <c r="N19638"/>
      <c r="O19638" s="24"/>
      <c r="P19638"/>
      <c r="Q19638" s="24"/>
      <c r="R19638"/>
      <c r="S19638"/>
      <c r="T19638"/>
      <c r="U19638"/>
      <c r="X19638" s="60"/>
    </row>
    <row r="19639" spans="7:24" ht="15" customHeight="1">
      <c r="G19639"/>
      <c r="I19639"/>
      <c r="N19639"/>
      <c r="O19639" s="24"/>
      <c r="P19639"/>
      <c r="Q19639" s="24"/>
      <c r="R19639"/>
      <c r="S19639"/>
      <c r="T19639"/>
      <c r="U19639"/>
      <c r="X19639" s="60"/>
    </row>
    <row r="19640" spans="7:24" ht="15" customHeight="1">
      <c r="G19640"/>
      <c r="I19640"/>
      <c r="N19640"/>
      <c r="O19640" s="24"/>
      <c r="P19640"/>
      <c r="Q19640" s="24"/>
      <c r="R19640"/>
      <c r="S19640"/>
      <c r="T19640"/>
      <c r="U19640"/>
      <c r="X19640" s="60"/>
    </row>
    <row r="19641" spans="7:24" ht="15" customHeight="1">
      <c r="G19641"/>
      <c r="I19641"/>
      <c r="N19641"/>
      <c r="O19641" s="24"/>
      <c r="P19641"/>
      <c r="Q19641" s="24"/>
      <c r="R19641"/>
      <c r="S19641"/>
      <c r="T19641"/>
      <c r="U19641"/>
      <c r="X19641" s="60"/>
    </row>
    <row r="19642" spans="7:24" ht="15" customHeight="1">
      <c r="G19642"/>
      <c r="I19642"/>
      <c r="N19642"/>
      <c r="O19642" s="24"/>
      <c r="P19642"/>
      <c r="Q19642" s="24"/>
      <c r="R19642"/>
      <c r="S19642"/>
      <c r="T19642"/>
      <c r="U19642"/>
      <c r="X19642" s="60"/>
    </row>
    <row r="19643" spans="7:24" ht="15" customHeight="1">
      <c r="G19643"/>
      <c r="I19643"/>
      <c r="N19643"/>
      <c r="O19643" s="24"/>
      <c r="P19643"/>
      <c r="Q19643" s="24"/>
      <c r="R19643"/>
      <c r="S19643"/>
      <c r="T19643"/>
      <c r="U19643"/>
      <c r="X19643" s="60"/>
    </row>
    <row r="19644" spans="7:24" ht="15" customHeight="1">
      <c r="G19644"/>
      <c r="I19644"/>
      <c r="N19644"/>
      <c r="O19644" s="24"/>
      <c r="P19644"/>
      <c r="Q19644" s="24"/>
      <c r="R19644"/>
      <c r="S19644"/>
      <c r="T19644"/>
      <c r="U19644"/>
      <c r="X19644" s="60"/>
    </row>
    <row r="19645" spans="7:24" ht="15" customHeight="1">
      <c r="G19645"/>
      <c r="I19645"/>
      <c r="N19645"/>
      <c r="O19645" s="24"/>
      <c r="P19645"/>
      <c r="Q19645" s="24"/>
      <c r="R19645"/>
      <c r="S19645"/>
      <c r="T19645"/>
      <c r="U19645"/>
      <c r="X19645" s="60"/>
    </row>
    <row r="19646" spans="7:24" ht="15" customHeight="1">
      <c r="G19646"/>
      <c r="I19646"/>
      <c r="N19646"/>
      <c r="O19646" s="24"/>
      <c r="P19646"/>
      <c r="Q19646" s="24"/>
      <c r="R19646"/>
      <c r="S19646"/>
      <c r="T19646"/>
      <c r="U19646"/>
      <c r="X19646" s="60"/>
    </row>
    <row r="19647" spans="7:24" ht="15" customHeight="1">
      <c r="G19647"/>
      <c r="I19647"/>
      <c r="N19647"/>
      <c r="O19647" s="24"/>
      <c r="P19647"/>
      <c r="Q19647" s="24"/>
      <c r="R19647"/>
      <c r="S19647"/>
      <c r="T19647"/>
      <c r="U19647"/>
      <c r="X19647" s="60"/>
    </row>
    <row r="19648" spans="7:24" ht="15" customHeight="1">
      <c r="G19648"/>
      <c r="I19648"/>
      <c r="N19648"/>
      <c r="O19648" s="24"/>
      <c r="P19648"/>
      <c r="Q19648" s="24"/>
      <c r="R19648"/>
      <c r="S19648"/>
      <c r="T19648"/>
      <c r="U19648"/>
      <c r="X19648" s="60"/>
    </row>
    <row r="19649" spans="7:24" ht="15" customHeight="1">
      <c r="G19649"/>
      <c r="I19649"/>
      <c r="N19649"/>
      <c r="O19649" s="24"/>
      <c r="P19649"/>
      <c r="Q19649" s="24"/>
      <c r="R19649"/>
      <c r="S19649"/>
      <c r="T19649"/>
      <c r="U19649"/>
      <c r="X19649" s="60"/>
    </row>
    <row r="19650" spans="7:24" ht="15" customHeight="1">
      <c r="G19650"/>
      <c r="I19650"/>
      <c r="N19650"/>
      <c r="O19650" s="24"/>
      <c r="P19650"/>
      <c r="Q19650" s="24"/>
      <c r="R19650"/>
      <c r="S19650"/>
      <c r="T19650"/>
      <c r="U19650"/>
      <c r="X19650" s="60"/>
    </row>
    <row r="19651" spans="7:24" ht="15" customHeight="1">
      <c r="G19651"/>
      <c r="I19651"/>
      <c r="N19651"/>
      <c r="O19651" s="24"/>
      <c r="P19651"/>
      <c r="Q19651" s="24"/>
      <c r="R19651"/>
      <c r="S19651"/>
      <c r="T19651"/>
      <c r="U19651"/>
      <c r="X19651" s="60"/>
    </row>
    <row r="19652" spans="7:24" ht="15" customHeight="1">
      <c r="G19652"/>
      <c r="I19652"/>
      <c r="N19652"/>
      <c r="O19652" s="24"/>
      <c r="P19652"/>
      <c r="Q19652" s="24"/>
      <c r="R19652"/>
      <c r="S19652"/>
      <c r="T19652"/>
      <c r="U19652"/>
      <c r="X19652" s="60"/>
    </row>
    <row r="19653" spans="7:24" ht="15" customHeight="1">
      <c r="G19653"/>
      <c r="I19653"/>
      <c r="N19653"/>
      <c r="O19653" s="24"/>
      <c r="P19653"/>
      <c r="Q19653" s="24"/>
      <c r="R19653"/>
      <c r="S19653"/>
      <c r="T19653"/>
      <c r="U19653"/>
      <c r="X19653" s="60"/>
    </row>
    <row r="19654" spans="7:24" ht="15" customHeight="1">
      <c r="G19654"/>
      <c r="I19654"/>
      <c r="N19654"/>
      <c r="O19654" s="24"/>
      <c r="P19654"/>
      <c r="Q19654" s="24"/>
      <c r="R19654"/>
      <c r="S19654"/>
      <c r="T19654"/>
      <c r="U19654"/>
      <c r="X19654" s="60"/>
    </row>
    <row r="19655" spans="7:24" ht="15" customHeight="1">
      <c r="G19655"/>
      <c r="I19655"/>
      <c r="N19655"/>
      <c r="O19655" s="24"/>
      <c r="P19655"/>
      <c r="Q19655" s="24"/>
      <c r="R19655"/>
      <c r="S19655"/>
      <c r="T19655"/>
      <c r="U19655"/>
      <c r="X19655" s="60"/>
    </row>
    <row r="19656" spans="7:24" ht="15" customHeight="1">
      <c r="G19656"/>
      <c r="I19656"/>
      <c r="N19656"/>
      <c r="O19656" s="24"/>
      <c r="P19656"/>
      <c r="Q19656" s="24"/>
      <c r="R19656"/>
      <c r="S19656"/>
      <c r="T19656"/>
      <c r="U19656"/>
      <c r="X19656" s="60"/>
    </row>
    <row r="19657" spans="7:24" ht="15" customHeight="1">
      <c r="G19657"/>
      <c r="I19657"/>
      <c r="N19657"/>
      <c r="O19657" s="24"/>
      <c r="P19657"/>
      <c r="Q19657" s="24"/>
      <c r="R19657"/>
      <c r="S19657"/>
      <c r="T19657"/>
      <c r="U19657"/>
      <c r="X19657" s="60"/>
    </row>
    <row r="19658" spans="7:24" ht="15" customHeight="1">
      <c r="G19658"/>
      <c r="I19658"/>
      <c r="N19658"/>
      <c r="O19658" s="24"/>
      <c r="P19658"/>
      <c r="Q19658" s="24"/>
      <c r="R19658"/>
      <c r="S19658"/>
      <c r="T19658"/>
      <c r="U19658"/>
      <c r="X19658" s="60"/>
    </row>
    <row r="19659" spans="7:24" ht="15" customHeight="1">
      <c r="G19659"/>
      <c r="I19659"/>
      <c r="N19659"/>
      <c r="O19659" s="24"/>
      <c r="P19659"/>
      <c r="Q19659" s="24"/>
      <c r="R19659"/>
      <c r="S19659"/>
      <c r="T19659"/>
      <c r="U19659"/>
      <c r="X19659" s="60"/>
    </row>
    <row r="19660" spans="7:24" ht="15" customHeight="1">
      <c r="G19660"/>
      <c r="I19660"/>
      <c r="N19660"/>
      <c r="O19660" s="24"/>
      <c r="P19660"/>
      <c r="Q19660" s="24"/>
      <c r="R19660"/>
      <c r="S19660"/>
      <c r="T19660"/>
      <c r="U19660"/>
      <c r="X19660" s="60"/>
    </row>
    <row r="19661" spans="7:24" ht="15" customHeight="1">
      <c r="G19661"/>
      <c r="I19661"/>
      <c r="N19661"/>
      <c r="O19661" s="24"/>
      <c r="P19661"/>
      <c r="Q19661" s="24"/>
      <c r="R19661"/>
      <c r="S19661"/>
      <c r="T19661"/>
      <c r="U19661"/>
      <c r="X19661" s="60"/>
    </row>
    <row r="19662" spans="7:24" ht="15" customHeight="1">
      <c r="G19662"/>
      <c r="I19662"/>
      <c r="N19662"/>
      <c r="O19662" s="24"/>
      <c r="P19662"/>
      <c r="Q19662" s="24"/>
      <c r="R19662"/>
      <c r="S19662"/>
      <c r="T19662"/>
      <c r="U19662"/>
      <c r="X19662" s="60"/>
    </row>
    <row r="19663" spans="7:24" ht="15" customHeight="1">
      <c r="G19663"/>
      <c r="I19663"/>
      <c r="N19663"/>
      <c r="O19663" s="24"/>
      <c r="P19663"/>
      <c r="Q19663" s="24"/>
      <c r="R19663"/>
      <c r="S19663"/>
      <c r="T19663"/>
      <c r="U19663"/>
      <c r="X19663" s="60"/>
    </row>
    <row r="19664" spans="7:24" ht="15" customHeight="1">
      <c r="G19664"/>
      <c r="I19664"/>
      <c r="N19664"/>
      <c r="O19664" s="24"/>
      <c r="P19664"/>
      <c r="Q19664" s="24"/>
      <c r="R19664"/>
      <c r="S19664"/>
      <c r="T19664"/>
      <c r="U19664"/>
      <c r="X19664" s="60"/>
    </row>
    <row r="19665" spans="7:24" ht="15" customHeight="1">
      <c r="G19665"/>
      <c r="I19665"/>
      <c r="N19665"/>
      <c r="O19665" s="24"/>
      <c r="P19665"/>
      <c r="Q19665" s="24"/>
      <c r="R19665"/>
      <c r="S19665"/>
      <c r="T19665"/>
      <c r="U19665"/>
      <c r="X19665" s="60"/>
    </row>
    <row r="19666" spans="7:24" ht="15" customHeight="1">
      <c r="G19666"/>
      <c r="I19666"/>
      <c r="N19666"/>
      <c r="O19666" s="24"/>
      <c r="P19666"/>
      <c r="Q19666" s="24"/>
      <c r="R19666"/>
      <c r="S19666"/>
      <c r="T19666"/>
      <c r="U19666"/>
      <c r="X19666" s="60"/>
    </row>
    <row r="19667" spans="7:24" ht="15" customHeight="1">
      <c r="G19667"/>
      <c r="I19667"/>
      <c r="N19667"/>
      <c r="O19667" s="24"/>
      <c r="P19667"/>
      <c r="Q19667" s="24"/>
      <c r="R19667"/>
      <c r="S19667"/>
      <c r="T19667"/>
      <c r="U19667"/>
      <c r="X19667" s="60"/>
    </row>
    <row r="19668" spans="7:24" ht="15" customHeight="1">
      <c r="G19668"/>
      <c r="I19668"/>
      <c r="N19668"/>
      <c r="O19668" s="24"/>
      <c r="P19668"/>
      <c r="Q19668" s="24"/>
      <c r="R19668"/>
      <c r="S19668"/>
      <c r="T19668"/>
      <c r="U19668"/>
      <c r="X19668" s="60"/>
    </row>
    <row r="19669" spans="7:24" ht="15" customHeight="1">
      <c r="G19669"/>
      <c r="I19669"/>
      <c r="N19669"/>
      <c r="O19669" s="24"/>
      <c r="P19669"/>
      <c r="Q19669" s="24"/>
      <c r="R19669"/>
      <c r="S19669"/>
      <c r="T19669"/>
      <c r="U19669"/>
      <c r="X19669" s="60"/>
    </row>
    <row r="19670" spans="7:24" ht="15" customHeight="1">
      <c r="G19670"/>
      <c r="I19670"/>
      <c r="N19670"/>
      <c r="O19670" s="24"/>
      <c r="P19670"/>
      <c r="Q19670" s="24"/>
      <c r="R19670"/>
      <c r="S19670"/>
      <c r="T19670"/>
      <c r="U19670"/>
      <c r="X19670" s="60"/>
    </row>
    <row r="19671" spans="7:24" ht="15" customHeight="1">
      <c r="G19671"/>
      <c r="I19671"/>
      <c r="N19671"/>
      <c r="O19671" s="24"/>
      <c r="P19671"/>
      <c r="Q19671" s="24"/>
      <c r="R19671"/>
      <c r="S19671"/>
      <c r="T19671"/>
      <c r="U19671"/>
      <c r="X19671" s="60"/>
    </row>
    <row r="19672" spans="7:24" ht="15" customHeight="1">
      <c r="G19672"/>
      <c r="I19672"/>
      <c r="N19672"/>
      <c r="O19672" s="24"/>
      <c r="P19672"/>
      <c r="Q19672" s="24"/>
      <c r="R19672"/>
      <c r="S19672"/>
      <c r="T19672"/>
      <c r="U19672"/>
      <c r="X19672" s="60"/>
    </row>
    <row r="19673" spans="7:24" ht="15" customHeight="1">
      <c r="G19673"/>
      <c r="I19673"/>
      <c r="N19673"/>
      <c r="O19673" s="24"/>
      <c r="P19673"/>
      <c r="Q19673" s="24"/>
      <c r="R19673"/>
      <c r="S19673"/>
      <c r="T19673"/>
      <c r="U19673"/>
      <c r="X19673" s="60"/>
    </row>
    <row r="19674" spans="7:24" ht="15" customHeight="1">
      <c r="G19674"/>
      <c r="I19674"/>
      <c r="N19674"/>
      <c r="O19674" s="24"/>
      <c r="P19674"/>
      <c r="Q19674" s="24"/>
      <c r="R19674"/>
      <c r="S19674"/>
      <c r="T19674"/>
      <c r="U19674"/>
      <c r="X19674" s="60"/>
    </row>
    <row r="19675" spans="7:24" ht="15" customHeight="1">
      <c r="G19675"/>
      <c r="I19675"/>
      <c r="N19675"/>
      <c r="O19675" s="24"/>
      <c r="P19675"/>
      <c r="Q19675" s="24"/>
      <c r="R19675"/>
      <c r="S19675"/>
      <c r="T19675"/>
      <c r="U19675"/>
      <c r="X19675" s="60"/>
    </row>
    <row r="19676" spans="7:24" ht="15" customHeight="1">
      <c r="G19676"/>
      <c r="I19676"/>
      <c r="N19676"/>
      <c r="O19676" s="24"/>
      <c r="P19676"/>
      <c r="Q19676" s="24"/>
      <c r="R19676"/>
      <c r="S19676"/>
      <c r="T19676"/>
      <c r="U19676"/>
      <c r="X19676" s="60"/>
    </row>
    <row r="19677" spans="7:24" ht="15" customHeight="1">
      <c r="G19677"/>
      <c r="I19677"/>
      <c r="N19677"/>
      <c r="O19677" s="24"/>
      <c r="P19677"/>
      <c r="Q19677" s="24"/>
      <c r="R19677"/>
      <c r="S19677"/>
      <c r="T19677"/>
      <c r="U19677"/>
      <c r="X19677" s="60"/>
    </row>
    <row r="19678" spans="7:24" ht="15" customHeight="1">
      <c r="G19678"/>
      <c r="I19678"/>
      <c r="N19678"/>
      <c r="O19678" s="24"/>
      <c r="P19678"/>
      <c r="Q19678" s="24"/>
      <c r="R19678"/>
      <c r="S19678"/>
      <c r="T19678"/>
      <c r="U19678"/>
      <c r="X19678" s="60"/>
    </row>
    <row r="19679" spans="7:24" ht="15" customHeight="1">
      <c r="G19679"/>
      <c r="I19679"/>
      <c r="N19679"/>
      <c r="O19679" s="24"/>
      <c r="P19679"/>
      <c r="Q19679" s="24"/>
      <c r="R19679"/>
      <c r="S19679"/>
      <c r="T19679"/>
      <c r="U19679"/>
      <c r="X19679" s="60"/>
    </row>
    <row r="19680" spans="7:24" ht="15" customHeight="1">
      <c r="G19680"/>
      <c r="I19680"/>
      <c r="N19680"/>
      <c r="O19680" s="24"/>
      <c r="P19680"/>
      <c r="Q19680" s="24"/>
      <c r="R19680"/>
      <c r="S19680"/>
      <c r="T19680"/>
      <c r="U19680"/>
      <c r="X19680" s="60"/>
    </row>
    <row r="19681" spans="7:24" ht="15" customHeight="1">
      <c r="G19681"/>
      <c r="I19681"/>
      <c r="N19681"/>
      <c r="O19681" s="24"/>
      <c r="P19681"/>
      <c r="Q19681" s="24"/>
      <c r="R19681"/>
      <c r="S19681"/>
      <c r="T19681"/>
      <c r="U19681"/>
      <c r="X19681" s="60"/>
    </row>
    <row r="19682" spans="7:24" ht="15" customHeight="1">
      <c r="G19682"/>
      <c r="I19682"/>
      <c r="N19682"/>
      <c r="O19682" s="24"/>
      <c r="P19682"/>
      <c r="Q19682" s="24"/>
      <c r="R19682"/>
      <c r="S19682"/>
      <c r="T19682"/>
      <c r="U19682"/>
      <c r="X19682" s="60"/>
    </row>
    <row r="19683" spans="7:24" ht="15" customHeight="1">
      <c r="G19683"/>
      <c r="I19683"/>
      <c r="N19683"/>
      <c r="O19683" s="24"/>
      <c r="P19683"/>
      <c r="Q19683" s="24"/>
      <c r="R19683"/>
      <c r="S19683"/>
      <c r="T19683"/>
      <c r="U19683"/>
      <c r="X19683" s="60"/>
    </row>
    <row r="19684" spans="7:24" ht="15" customHeight="1">
      <c r="G19684"/>
      <c r="I19684"/>
      <c r="N19684"/>
      <c r="O19684" s="24"/>
      <c r="P19684"/>
      <c r="Q19684" s="24"/>
      <c r="R19684"/>
      <c r="S19684"/>
      <c r="T19684"/>
      <c r="U19684"/>
      <c r="X19684" s="60"/>
    </row>
    <row r="19685" spans="7:24" ht="15" customHeight="1">
      <c r="G19685"/>
      <c r="I19685"/>
      <c r="N19685"/>
      <c r="O19685" s="24"/>
      <c r="P19685"/>
      <c r="Q19685" s="24"/>
      <c r="R19685"/>
      <c r="S19685"/>
      <c r="T19685"/>
      <c r="U19685"/>
      <c r="X19685" s="60"/>
    </row>
    <row r="19686" spans="7:24" ht="15" customHeight="1">
      <c r="G19686"/>
      <c r="I19686"/>
      <c r="N19686"/>
      <c r="O19686" s="24"/>
      <c r="P19686"/>
      <c r="Q19686" s="24"/>
      <c r="R19686"/>
      <c r="S19686"/>
      <c r="T19686"/>
      <c r="U19686"/>
      <c r="X19686" s="60"/>
    </row>
    <row r="19687" spans="7:24" ht="15" customHeight="1">
      <c r="G19687"/>
      <c r="I19687"/>
      <c r="N19687"/>
      <c r="O19687" s="24"/>
      <c r="P19687"/>
      <c r="Q19687" s="24"/>
      <c r="R19687"/>
      <c r="S19687"/>
      <c r="T19687"/>
      <c r="U19687"/>
      <c r="X19687" s="60"/>
    </row>
    <row r="19688" spans="7:24" ht="15" customHeight="1">
      <c r="G19688"/>
      <c r="I19688"/>
      <c r="N19688"/>
      <c r="O19688" s="24"/>
      <c r="P19688"/>
      <c r="Q19688" s="24"/>
      <c r="R19688"/>
      <c r="S19688"/>
      <c r="T19688"/>
      <c r="U19688"/>
      <c r="X19688" s="60"/>
    </row>
    <row r="19689" spans="7:24" ht="15" customHeight="1">
      <c r="G19689"/>
      <c r="I19689"/>
      <c r="N19689"/>
      <c r="O19689" s="24"/>
      <c r="P19689"/>
      <c r="Q19689" s="24"/>
      <c r="R19689"/>
      <c r="S19689"/>
      <c r="T19689"/>
      <c r="U19689"/>
      <c r="X19689" s="60"/>
    </row>
    <row r="19690" spans="7:24" ht="15" customHeight="1">
      <c r="G19690"/>
      <c r="I19690"/>
      <c r="N19690"/>
      <c r="O19690" s="24"/>
      <c r="P19690"/>
      <c r="Q19690" s="24"/>
      <c r="R19690"/>
      <c r="S19690"/>
      <c r="T19690"/>
      <c r="U19690"/>
      <c r="X19690" s="60"/>
    </row>
    <row r="19691" spans="7:24" ht="15" customHeight="1">
      <c r="G19691"/>
      <c r="I19691"/>
      <c r="N19691"/>
      <c r="O19691" s="24"/>
      <c r="P19691"/>
      <c r="Q19691" s="24"/>
      <c r="R19691"/>
      <c r="S19691"/>
      <c r="T19691"/>
      <c r="U19691"/>
      <c r="X19691" s="60"/>
    </row>
    <row r="19692" spans="7:24" ht="15" customHeight="1">
      <c r="G19692"/>
      <c r="I19692"/>
      <c r="N19692"/>
      <c r="O19692" s="24"/>
      <c r="P19692"/>
      <c r="Q19692" s="24"/>
      <c r="R19692"/>
      <c r="S19692"/>
      <c r="T19692"/>
      <c r="U19692"/>
      <c r="X19692" s="60"/>
    </row>
    <row r="19693" spans="7:24" ht="15" customHeight="1">
      <c r="G19693"/>
      <c r="I19693"/>
      <c r="N19693"/>
      <c r="O19693" s="24"/>
      <c r="P19693"/>
      <c r="Q19693" s="24"/>
      <c r="R19693"/>
      <c r="S19693"/>
      <c r="T19693"/>
      <c r="U19693"/>
      <c r="X19693" s="60"/>
    </row>
    <row r="19694" spans="7:24" ht="15" customHeight="1">
      <c r="G19694"/>
      <c r="I19694"/>
      <c r="N19694"/>
      <c r="O19694" s="24"/>
      <c r="P19694"/>
      <c r="Q19694" s="24"/>
      <c r="R19694"/>
      <c r="S19694"/>
      <c r="T19694"/>
      <c r="U19694"/>
      <c r="X19694" s="60"/>
    </row>
    <row r="19695" spans="7:24" ht="15" customHeight="1">
      <c r="G19695"/>
      <c r="I19695"/>
      <c r="N19695"/>
      <c r="O19695" s="24"/>
      <c r="P19695"/>
      <c r="Q19695" s="24"/>
      <c r="R19695"/>
      <c r="S19695"/>
      <c r="T19695"/>
      <c r="U19695"/>
      <c r="X19695" s="60"/>
    </row>
    <row r="19696" spans="7:24" ht="15" customHeight="1">
      <c r="G19696"/>
      <c r="I19696"/>
      <c r="N19696"/>
      <c r="O19696" s="24"/>
      <c r="P19696"/>
      <c r="Q19696" s="24"/>
      <c r="R19696"/>
      <c r="S19696"/>
      <c r="T19696"/>
      <c r="U19696"/>
      <c r="X19696" s="60"/>
    </row>
    <row r="19697" spans="7:24" ht="15" customHeight="1">
      <c r="G19697"/>
      <c r="I19697"/>
      <c r="N19697"/>
      <c r="O19697" s="24"/>
      <c r="P19697"/>
      <c r="Q19697" s="24"/>
      <c r="R19697"/>
      <c r="S19697"/>
      <c r="T19697"/>
      <c r="U19697"/>
      <c r="X19697" s="60"/>
    </row>
    <row r="19698" spans="7:24" ht="15" customHeight="1">
      <c r="G19698"/>
      <c r="I19698"/>
      <c r="N19698"/>
      <c r="O19698" s="24"/>
      <c r="P19698"/>
      <c r="Q19698" s="24"/>
      <c r="R19698"/>
      <c r="S19698"/>
      <c r="T19698"/>
      <c r="U19698"/>
      <c r="X19698" s="60"/>
    </row>
    <row r="19699" spans="7:24" ht="15" customHeight="1">
      <c r="G19699"/>
      <c r="I19699"/>
      <c r="N19699"/>
      <c r="O19699" s="24"/>
      <c r="P19699"/>
      <c r="Q19699" s="24"/>
      <c r="R19699"/>
      <c r="S19699"/>
      <c r="T19699"/>
      <c r="U19699"/>
      <c r="X19699" s="60"/>
    </row>
    <row r="19700" spans="7:24" ht="15" customHeight="1">
      <c r="G19700"/>
      <c r="I19700"/>
      <c r="N19700"/>
      <c r="O19700" s="24"/>
      <c r="P19700"/>
      <c r="Q19700" s="24"/>
      <c r="R19700"/>
      <c r="S19700"/>
      <c r="T19700"/>
      <c r="U19700"/>
      <c r="X19700" s="60"/>
    </row>
    <row r="19701" spans="7:24" ht="15" customHeight="1">
      <c r="G19701"/>
      <c r="I19701"/>
      <c r="N19701"/>
      <c r="O19701" s="24"/>
      <c r="P19701"/>
      <c r="Q19701" s="24"/>
      <c r="R19701"/>
      <c r="S19701"/>
      <c r="T19701"/>
      <c r="U19701"/>
      <c r="X19701" s="60"/>
    </row>
    <row r="19702" spans="7:24" ht="15" customHeight="1">
      <c r="G19702"/>
      <c r="I19702"/>
      <c r="N19702"/>
      <c r="O19702" s="24"/>
      <c r="P19702"/>
      <c r="Q19702" s="24"/>
      <c r="R19702"/>
      <c r="S19702"/>
      <c r="T19702"/>
      <c r="U19702"/>
      <c r="X19702" s="60"/>
    </row>
    <row r="19703" spans="7:24" ht="15" customHeight="1">
      <c r="G19703"/>
      <c r="I19703"/>
      <c r="N19703"/>
      <c r="O19703" s="24"/>
      <c r="P19703"/>
      <c r="Q19703" s="24"/>
      <c r="R19703"/>
      <c r="S19703"/>
      <c r="T19703"/>
      <c r="U19703"/>
      <c r="X19703" s="60"/>
    </row>
    <row r="19704" spans="7:24" ht="15" customHeight="1">
      <c r="G19704"/>
      <c r="I19704"/>
      <c r="N19704"/>
      <c r="O19704" s="24"/>
      <c r="P19704"/>
      <c r="Q19704" s="24"/>
      <c r="R19704"/>
      <c r="S19704"/>
      <c r="T19704"/>
      <c r="U19704"/>
      <c r="X19704" s="60"/>
    </row>
    <row r="19705" spans="7:24" ht="15" customHeight="1">
      <c r="G19705"/>
      <c r="I19705"/>
      <c r="N19705"/>
      <c r="O19705" s="24"/>
      <c r="P19705"/>
      <c r="Q19705" s="24"/>
      <c r="R19705"/>
      <c r="S19705"/>
      <c r="T19705"/>
      <c r="U19705"/>
      <c r="X19705" s="60"/>
    </row>
    <row r="19706" spans="7:24" ht="15" customHeight="1">
      <c r="G19706"/>
      <c r="I19706"/>
      <c r="N19706"/>
      <c r="O19706" s="24"/>
      <c r="P19706"/>
      <c r="Q19706" s="24"/>
      <c r="R19706"/>
      <c r="S19706"/>
      <c r="T19706"/>
      <c r="U19706"/>
      <c r="X19706" s="60"/>
    </row>
    <row r="19707" spans="7:24" ht="15" customHeight="1">
      <c r="G19707"/>
      <c r="I19707"/>
      <c r="N19707"/>
      <c r="O19707" s="24"/>
      <c r="P19707"/>
      <c r="Q19707" s="24"/>
      <c r="R19707"/>
      <c r="S19707"/>
      <c r="T19707"/>
      <c r="U19707"/>
      <c r="X19707" s="60"/>
    </row>
    <row r="19708" spans="7:24" ht="15" customHeight="1">
      <c r="G19708"/>
      <c r="I19708"/>
      <c r="N19708"/>
      <c r="O19708" s="24"/>
      <c r="P19708"/>
      <c r="Q19708" s="24"/>
      <c r="R19708"/>
      <c r="S19708"/>
      <c r="T19708"/>
      <c r="U19708"/>
      <c r="X19708" s="60"/>
    </row>
    <row r="19709" spans="7:24" ht="15" customHeight="1">
      <c r="G19709"/>
      <c r="I19709"/>
      <c r="N19709"/>
      <c r="O19709" s="24"/>
      <c r="P19709"/>
      <c r="Q19709" s="24"/>
      <c r="R19709"/>
      <c r="S19709"/>
      <c r="T19709"/>
      <c r="U19709"/>
      <c r="X19709" s="60"/>
    </row>
    <row r="19710" spans="7:24" ht="15" customHeight="1">
      <c r="G19710"/>
      <c r="I19710"/>
      <c r="N19710"/>
      <c r="O19710" s="24"/>
      <c r="P19710"/>
      <c r="Q19710" s="24"/>
      <c r="R19710"/>
      <c r="S19710"/>
      <c r="T19710"/>
      <c r="U19710"/>
      <c r="X19710" s="60"/>
    </row>
    <row r="19711" spans="7:24" ht="15" customHeight="1">
      <c r="G19711"/>
      <c r="I19711"/>
      <c r="N19711"/>
      <c r="O19711" s="24"/>
      <c r="P19711"/>
      <c r="Q19711" s="24"/>
      <c r="R19711"/>
      <c r="S19711"/>
      <c r="T19711"/>
      <c r="U19711"/>
      <c r="X19711" s="60"/>
    </row>
    <row r="19712" spans="7:24" ht="15" customHeight="1">
      <c r="G19712"/>
      <c r="I19712"/>
      <c r="N19712"/>
      <c r="O19712" s="24"/>
      <c r="P19712"/>
      <c r="Q19712" s="24"/>
      <c r="R19712"/>
      <c r="S19712"/>
      <c r="T19712"/>
      <c r="U19712"/>
      <c r="X19712" s="60"/>
    </row>
    <row r="19713" spans="7:24" ht="15" customHeight="1">
      <c r="G19713"/>
      <c r="I19713"/>
      <c r="N19713"/>
      <c r="O19713" s="24"/>
      <c r="P19713"/>
      <c r="Q19713" s="24"/>
      <c r="R19713"/>
      <c r="S19713"/>
      <c r="T19713"/>
      <c r="U19713"/>
      <c r="X19713" s="60"/>
    </row>
    <row r="19714" spans="7:24" ht="15" customHeight="1">
      <c r="G19714"/>
      <c r="I19714"/>
      <c r="N19714"/>
      <c r="O19714" s="24"/>
      <c r="P19714"/>
      <c r="Q19714" s="24"/>
      <c r="R19714"/>
      <c r="S19714"/>
      <c r="T19714"/>
      <c r="U19714"/>
      <c r="X19714" s="60"/>
    </row>
    <row r="19715" spans="7:24" ht="15" customHeight="1">
      <c r="G19715"/>
      <c r="I19715"/>
      <c r="N19715"/>
      <c r="O19715" s="24"/>
      <c r="P19715"/>
      <c r="Q19715" s="24"/>
      <c r="R19715"/>
      <c r="S19715"/>
      <c r="T19715"/>
      <c r="U19715"/>
      <c r="X19715" s="60"/>
    </row>
    <row r="19716" spans="7:24" ht="15" customHeight="1">
      <c r="G19716"/>
      <c r="I19716"/>
      <c r="N19716"/>
      <c r="O19716" s="24"/>
      <c r="P19716"/>
      <c r="Q19716" s="24"/>
      <c r="R19716"/>
      <c r="S19716"/>
      <c r="T19716"/>
      <c r="U19716"/>
      <c r="X19716" s="60"/>
    </row>
    <row r="19717" spans="7:24" ht="15" customHeight="1">
      <c r="G19717"/>
      <c r="I19717"/>
      <c r="N19717"/>
      <c r="O19717" s="24"/>
      <c r="P19717"/>
      <c r="Q19717" s="24"/>
      <c r="R19717"/>
      <c r="S19717"/>
      <c r="T19717"/>
      <c r="U19717"/>
      <c r="X19717" s="60"/>
    </row>
    <row r="19718" spans="7:24" ht="15" customHeight="1">
      <c r="G19718"/>
      <c r="I19718"/>
      <c r="N19718"/>
      <c r="O19718" s="24"/>
      <c r="P19718"/>
      <c r="Q19718" s="24"/>
      <c r="R19718"/>
      <c r="S19718"/>
      <c r="T19718"/>
      <c r="U19718"/>
      <c r="X19718" s="60"/>
    </row>
    <row r="19719" spans="7:24" ht="15" customHeight="1">
      <c r="G19719"/>
      <c r="I19719"/>
      <c r="N19719"/>
      <c r="O19719" s="24"/>
      <c r="P19719"/>
      <c r="Q19719" s="24"/>
      <c r="R19719"/>
      <c r="S19719"/>
      <c r="T19719"/>
      <c r="U19719"/>
      <c r="X19719" s="60"/>
    </row>
    <row r="19720" spans="7:24" ht="15" customHeight="1">
      <c r="G19720"/>
      <c r="I19720"/>
      <c r="N19720"/>
      <c r="O19720" s="24"/>
      <c r="P19720"/>
      <c r="Q19720" s="24"/>
      <c r="R19720"/>
      <c r="S19720"/>
      <c r="T19720"/>
      <c r="U19720"/>
      <c r="X19720" s="60"/>
    </row>
    <row r="19721" spans="7:24" ht="15" customHeight="1">
      <c r="G19721"/>
      <c r="I19721"/>
      <c r="N19721"/>
      <c r="O19721" s="24"/>
      <c r="P19721"/>
      <c r="Q19721" s="24"/>
      <c r="R19721"/>
      <c r="S19721"/>
      <c r="T19721"/>
      <c r="U19721"/>
      <c r="X19721" s="60"/>
    </row>
    <row r="19722" spans="7:24" ht="15" customHeight="1">
      <c r="G19722"/>
      <c r="I19722"/>
      <c r="N19722"/>
      <c r="O19722" s="24"/>
      <c r="P19722"/>
      <c r="Q19722" s="24"/>
      <c r="R19722"/>
      <c r="S19722"/>
      <c r="T19722"/>
      <c r="U19722"/>
      <c r="X19722" s="60"/>
    </row>
    <row r="19723" spans="7:24" ht="15" customHeight="1">
      <c r="G19723"/>
      <c r="I19723"/>
      <c r="N19723"/>
      <c r="O19723" s="24"/>
      <c r="P19723"/>
      <c r="Q19723" s="24"/>
      <c r="R19723"/>
      <c r="S19723"/>
      <c r="T19723"/>
      <c r="U19723"/>
      <c r="X19723" s="60"/>
    </row>
    <row r="19724" spans="7:24" ht="15" customHeight="1">
      <c r="G19724"/>
      <c r="I19724"/>
      <c r="N19724"/>
      <c r="O19724" s="24"/>
      <c r="P19724"/>
      <c r="Q19724" s="24"/>
      <c r="R19724"/>
      <c r="S19724"/>
      <c r="T19724"/>
      <c r="U19724"/>
      <c r="X19724" s="60"/>
    </row>
    <row r="19725" spans="7:24" ht="15" customHeight="1">
      <c r="G19725"/>
      <c r="I19725"/>
      <c r="N19725"/>
      <c r="O19725" s="24"/>
      <c r="P19725"/>
      <c r="Q19725" s="24"/>
      <c r="R19725"/>
      <c r="S19725"/>
      <c r="T19725"/>
      <c r="U19725"/>
      <c r="X19725" s="60"/>
    </row>
    <row r="19726" spans="7:24" ht="15" customHeight="1">
      <c r="G19726"/>
      <c r="I19726"/>
      <c r="N19726"/>
      <c r="O19726" s="24"/>
      <c r="P19726"/>
      <c r="Q19726" s="24"/>
      <c r="R19726"/>
      <c r="S19726"/>
      <c r="T19726"/>
      <c r="U19726"/>
      <c r="X19726" s="60"/>
    </row>
    <row r="19727" spans="7:24" ht="15" customHeight="1">
      <c r="G19727"/>
      <c r="I19727"/>
      <c r="N19727"/>
      <c r="O19727" s="24"/>
      <c r="P19727"/>
      <c r="Q19727" s="24"/>
      <c r="R19727"/>
      <c r="S19727"/>
      <c r="T19727"/>
      <c r="U19727"/>
      <c r="X19727" s="60"/>
    </row>
    <row r="19728" spans="7:24" ht="15" customHeight="1">
      <c r="G19728"/>
      <c r="I19728"/>
      <c r="N19728"/>
      <c r="O19728" s="24"/>
      <c r="P19728"/>
      <c r="Q19728" s="24"/>
      <c r="R19728"/>
      <c r="S19728"/>
      <c r="T19728"/>
      <c r="U19728"/>
      <c r="X19728" s="60"/>
    </row>
    <row r="19729" spans="7:24" ht="15" customHeight="1">
      <c r="G19729"/>
      <c r="I19729"/>
      <c r="N19729"/>
      <c r="O19729" s="24"/>
      <c r="P19729"/>
      <c r="Q19729" s="24"/>
      <c r="R19729"/>
      <c r="S19729"/>
      <c r="T19729"/>
      <c r="U19729"/>
      <c r="X19729" s="60"/>
    </row>
    <row r="19730" spans="7:24" ht="15" customHeight="1">
      <c r="G19730"/>
      <c r="I19730"/>
      <c r="N19730"/>
      <c r="O19730" s="24"/>
      <c r="P19730"/>
      <c r="Q19730" s="24"/>
      <c r="R19730"/>
      <c r="S19730"/>
      <c r="T19730"/>
      <c r="U19730"/>
      <c r="X19730" s="60"/>
    </row>
    <row r="19731" spans="7:24" ht="15" customHeight="1">
      <c r="G19731"/>
      <c r="I19731"/>
      <c r="N19731"/>
      <c r="O19731" s="24"/>
      <c r="P19731"/>
      <c r="Q19731" s="24"/>
      <c r="R19731"/>
      <c r="S19731"/>
      <c r="T19731"/>
      <c r="U19731"/>
      <c r="X19731" s="60"/>
    </row>
    <row r="19732" spans="7:24" ht="15" customHeight="1">
      <c r="G19732"/>
      <c r="I19732"/>
      <c r="N19732"/>
      <c r="O19732" s="24"/>
      <c r="P19732"/>
      <c r="Q19732" s="24"/>
      <c r="R19732"/>
      <c r="S19732"/>
      <c r="T19732"/>
      <c r="U19732"/>
      <c r="X19732" s="60"/>
    </row>
    <row r="19733" spans="7:24" ht="15" customHeight="1">
      <c r="G19733"/>
      <c r="I19733"/>
      <c r="N19733"/>
      <c r="O19733" s="24"/>
      <c r="P19733"/>
      <c r="Q19733" s="24"/>
      <c r="R19733"/>
      <c r="S19733"/>
      <c r="T19733"/>
      <c r="U19733"/>
      <c r="X19733" s="60"/>
    </row>
    <row r="19734" spans="7:24" ht="15" customHeight="1">
      <c r="G19734"/>
      <c r="I19734"/>
      <c r="N19734"/>
      <c r="O19734" s="24"/>
      <c r="P19734"/>
      <c r="Q19734" s="24"/>
      <c r="R19734"/>
      <c r="S19734"/>
      <c r="T19734"/>
      <c r="U19734"/>
      <c r="X19734" s="60"/>
    </row>
    <row r="19735" spans="7:24" ht="15" customHeight="1">
      <c r="G19735"/>
      <c r="I19735"/>
      <c r="N19735"/>
      <c r="O19735" s="24"/>
      <c r="P19735"/>
      <c r="Q19735" s="24"/>
      <c r="R19735"/>
      <c r="S19735"/>
      <c r="T19735"/>
      <c r="U19735"/>
      <c r="X19735" s="60"/>
    </row>
    <row r="19736" spans="7:24" ht="15" customHeight="1">
      <c r="G19736"/>
      <c r="I19736"/>
      <c r="N19736"/>
      <c r="O19736" s="24"/>
      <c r="P19736"/>
      <c r="Q19736" s="24"/>
      <c r="R19736"/>
      <c r="S19736"/>
      <c r="T19736"/>
      <c r="U19736"/>
      <c r="X19736" s="60"/>
    </row>
    <row r="19737" spans="7:24" ht="15" customHeight="1">
      <c r="G19737"/>
      <c r="I19737"/>
      <c r="N19737"/>
      <c r="O19737" s="24"/>
      <c r="P19737"/>
      <c r="Q19737" s="24"/>
      <c r="R19737"/>
      <c r="S19737"/>
      <c r="T19737"/>
      <c r="U19737"/>
      <c r="X19737" s="60"/>
    </row>
    <row r="19738" spans="7:24" ht="15" customHeight="1">
      <c r="G19738"/>
      <c r="I19738"/>
      <c r="N19738"/>
      <c r="O19738" s="24"/>
      <c r="P19738"/>
      <c r="Q19738" s="24"/>
      <c r="R19738"/>
      <c r="S19738"/>
      <c r="T19738"/>
      <c r="U19738"/>
      <c r="X19738" s="60"/>
    </row>
    <row r="19739" spans="7:24" ht="15" customHeight="1">
      <c r="G19739"/>
      <c r="I19739"/>
      <c r="N19739"/>
      <c r="O19739" s="24"/>
      <c r="P19739"/>
      <c r="Q19739" s="24"/>
      <c r="R19739"/>
      <c r="S19739"/>
      <c r="T19739"/>
      <c r="U19739"/>
      <c r="X19739" s="60"/>
    </row>
    <row r="19740" spans="7:24" ht="15" customHeight="1">
      <c r="G19740"/>
      <c r="I19740"/>
      <c r="N19740"/>
      <c r="O19740" s="24"/>
      <c r="P19740"/>
      <c r="Q19740" s="24"/>
      <c r="R19740"/>
      <c r="S19740"/>
      <c r="T19740"/>
      <c r="U19740"/>
      <c r="X19740" s="60"/>
    </row>
    <row r="19741" spans="7:24" ht="15" customHeight="1">
      <c r="G19741"/>
      <c r="I19741"/>
      <c r="N19741"/>
      <c r="O19741" s="24"/>
      <c r="P19741"/>
      <c r="Q19741" s="24"/>
      <c r="R19741"/>
      <c r="S19741"/>
      <c r="T19741"/>
      <c r="U19741"/>
      <c r="X19741" s="60"/>
    </row>
    <row r="19742" spans="7:24" ht="15" customHeight="1">
      <c r="G19742"/>
      <c r="I19742"/>
      <c r="N19742"/>
      <c r="O19742" s="24"/>
      <c r="P19742"/>
      <c r="Q19742" s="24"/>
      <c r="R19742"/>
      <c r="S19742"/>
      <c r="T19742"/>
      <c r="U19742"/>
      <c r="X19742" s="60"/>
    </row>
    <row r="19743" spans="7:24" ht="15" customHeight="1">
      <c r="G19743"/>
      <c r="I19743"/>
      <c r="N19743"/>
      <c r="O19743" s="24"/>
      <c r="P19743"/>
      <c r="Q19743" s="24"/>
      <c r="R19743"/>
      <c r="S19743"/>
      <c r="T19743"/>
      <c r="U19743"/>
      <c r="X19743" s="60"/>
    </row>
    <row r="19744" spans="7:24" ht="15" customHeight="1">
      <c r="G19744"/>
      <c r="I19744"/>
      <c r="N19744"/>
      <c r="O19744" s="24"/>
      <c r="P19744"/>
      <c r="Q19744" s="24"/>
      <c r="R19744"/>
      <c r="S19744"/>
      <c r="T19744"/>
      <c r="U19744"/>
      <c r="X19744" s="60"/>
    </row>
    <row r="19745" spans="7:24" ht="15" customHeight="1">
      <c r="G19745"/>
      <c r="I19745"/>
      <c r="N19745"/>
      <c r="O19745" s="24"/>
      <c r="P19745"/>
      <c r="Q19745" s="24"/>
      <c r="R19745"/>
      <c r="S19745"/>
      <c r="T19745"/>
      <c r="U19745"/>
      <c r="X19745" s="60"/>
    </row>
    <row r="19746" spans="7:24" ht="15" customHeight="1">
      <c r="G19746"/>
      <c r="I19746"/>
      <c r="N19746"/>
      <c r="O19746" s="24"/>
      <c r="P19746"/>
      <c r="Q19746" s="24"/>
      <c r="R19746"/>
      <c r="S19746"/>
      <c r="T19746"/>
      <c r="U19746"/>
      <c r="X19746" s="60"/>
    </row>
    <row r="19747" spans="7:24" ht="15" customHeight="1">
      <c r="G19747"/>
      <c r="I19747"/>
      <c r="N19747"/>
      <c r="O19747" s="24"/>
      <c r="P19747"/>
      <c r="Q19747" s="24"/>
      <c r="R19747"/>
      <c r="S19747"/>
      <c r="T19747"/>
      <c r="U19747"/>
      <c r="X19747" s="60"/>
    </row>
    <row r="19748" spans="7:24" ht="15" customHeight="1">
      <c r="G19748"/>
      <c r="I19748"/>
      <c r="N19748"/>
      <c r="O19748" s="24"/>
      <c r="P19748"/>
      <c r="Q19748" s="24"/>
      <c r="R19748"/>
      <c r="S19748"/>
      <c r="T19748"/>
      <c r="U19748"/>
      <c r="X19748" s="60"/>
    </row>
    <row r="19749" spans="7:24" ht="15" customHeight="1">
      <c r="G19749"/>
      <c r="I19749"/>
      <c r="N19749"/>
      <c r="O19749" s="24"/>
      <c r="P19749"/>
      <c r="Q19749" s="24"/>
      <c r="R19749"/>
      <c r="S19749"/>
      <c r="T19749"/>
      <c r="U19749"/>
      <c r="X19749" s="60"/>
    </row>
    <row r="19750" spans="7:24" ht="15" customHeight="1">
      <c r="G19750"/>
      <c r="I19750"/>
      <c r="N19750"/>
      <c r="O19750" s="24"/>
      <c r="P19750"/>
      <c r="Q19750" s="24"/>
      <c r="R19750"/>
      <c r="S19750"/>
      <c r="T19750"/>
      <c r="U19750"/>
      <c r="X19750" s="60"/>
    </row>
    <row r="19751" spans="7:24" ht="15" customHeight="1">
      <c r="G19751"/>
      <c r="I19751"/>
      <c r="N19751"/>
      <c r="O19751" s="24"/>
      <c r="P19751"/>
      <c r="Q19751" s="24"/>
      <c r="R19751"/>
      <c r="S19751"/>
      <c r="T19751"/>
      <c r="U19751"/>
      <c r="X19751" s="60"/>
    </row>
    <row r="19752" spans="7:24" ht="15" customHeight="1">
      <c r="G19752"/>
      <c r="I19752"/>
      <c r="N19752"/>
      <c r="O19752" s="24"/>
      <c r="P19752"/>
      <c r="Q19752" s="24"/>
      <c r="R19752"/>
      <c r="S19752"/>
      <c r="T19752"/>
      <c r="U19752"/>
      <c r="X19752" s="60"/>
    </row>
    <row r="19753" spans="7:24" ht="15" customHeight="1">
      <c r="G19753"/>
      <c r="I19753"/>
      <c r="N19753"/>
      <c r="O19753" s="24"/>
      <c r="P19753"/>
      <c r="Q19753" s="24"/>
      <c r="R19753"/>
      <c r="S19753"/>
      <c r="T19753"/>
      <c r="U19753"/>
      <c r="X19753" s="60"/>
    </row>
    <row r="19754" spans="7:24" ht="15" customHeight="1">
      <c r="G19754"/>
      <c r="I19754"/>
      <c r="N19754"/>
      <c r="O19754" s="24"/>
      <c r="P19754"/>
      <c r="Q19754" s="24"/>
      <c r="R19754"/>
      <c r="S19754"/>
      <c r="T19754"/>
      <c r="U19754"/>
      <c r="X19754" s="60"/>
    </row>
    <row r="19755" spans="7:24" ht="15" customHeight="1">
      <c r="G19755"/>
      <c r="I19755"/>
      <c r="N19755"/>
      <c r="O19755" s="24"/>
      <c r="P19755"/>
      <c r="Q19755" s="24"/>
      <c r="R19755"/>
      <c r="S19755"/>
      <c r="T19755"/>
      <c r="U19755"/>
      <c r="X19755" s="60"/>
    </row>
    <row r="19756" spans="7:24" ht="15" customHeight="1">
      <c r="G19756"/>
      <c r="I19756"/>
      <c r="N19756"/>
      <c r="O19756" s="24"/>
      <c r="P19756"/>
      <c r="Q19756" s="24"/>
      <c r="R19756"/>
      <c r="S19756"/>
      <c r="T19756"/>
      <c r="U19756"/>
      <c r="X19756" s="60"/>
    </row>
    <row r="19757" spans="7:24" ht="15" customHeight="1">
      <c r="G19757"/>
      <c r="I19757"/>
      <c r="N19757"/>
      <c r="O19757" s="24"/>
      <c r="P19757"/>
      <c r="Q19757" s="24"/>
      <c r="R19757"/>
      <c r="S19757"/>
      <c r="T19757"/>
      <c r="U19757"/>
      <c r="X19757" s="60"/>
    </row>
    <row r="19758" spans="7:24" ht="15" customHeight="1">
      <c r="G19758"/>
      <c r="I19758"/>
      <c r="N19758"/>
      <c r="O19758" s="24"/>
      <c r="P19758"/>
      <c r="Q19758" s="24"/>
      <c r="R19758"/>
      <c r="S19758"/>
      <c r="T19758"/>
      <c r="U19758"/>
      <c r="X19758" s="60"/>
    </row>
    <row r="19759" spans="7:24" ht="15" customHeight="1">
      <c r="G19759"/>
      <c r="I19759"/>
      <c r="N19759"/>
      <c r="O19759" s="24"/>
      <c r="P19759"/>
      <c r="Q19759" s="24"/>
      <c r="R19759"/>
      <c r="S19759"/>
      <c r="T19759"/>
      <c r="U19759"/>
      <c r="X19759" s="60"/>
    </row>
    <row r="19760" spans="7:24" ht="15" customHeight="1">
      <c r="G19760"/>
      <c r="I19760"/>
      <c r="N19760"/>
      <c r="O19760" s="24"/>
      <c r="P19760"/>
      <c r="Q19760" s="24"/>
      <c r="R19760"/>
      <c r="S19760"/>
      <c r="T19760"/>
      <c r="U19760"/>
      <c r="X19760" s="60"/>
    </row>
    <row r="19761" spans="7:24" ht="15" customHeight="1">
      <c r="G19761"/>
      <c r="I19761"/>
      <c r="N19761"/>
      <c r="O19761" s="24"/>
      <c r="P19761"/>
      <c r="Q19761" s="24"/>
      <c r="R19761"/>
      <c r="S19761"/>
      <c r="T19761"/>
      <c r="U19761"/>
      <c r="X19761" s="60"/>
    </row>
    <row r="19762" spans="7:24" ht="15" customHeight="1">
      <c r="G19762"/>
      <c r="I19762"/>
      <c r="N19762"/>
      <c r="O19762" s="24"/>
      <c r="P19762"/>
      <c r="Q19762" s="24"/>
      <c r="R19762"/>
      <c r="S19762"/>
      <c r="T19762"/>
      <c r="U19762"/>
      <c r="X19762" s="60"/>
    </row>
    <row r="19763" spans="7:24" ht="15" customHeight="1">
      <c r="G19763"/>
      <c r="I19763"/>
      <c r="N19763"/>
      <c r="O19763" s="24"/>
      <c r="P19763"/>
      <c r="Q19763" s="24"/>
      <c r="R19763"/>
      <c r="S19763"/>
      <c r="T19763"/>
      <c r="U19763"/>
      <c r="X19763" s="60"/>
    </row>
    <row r="19764" spans="7:24" ht="15" customHeight="1">
      <c r="G19764"/>
      <c r="I19764"/>
      <c r="N19764"/>
      <c r="O19764" s="24"/>
      <c r="P19764"/>
      <c r="Q19764" s="24"/>
      <c r="R19764"/>
      <c r="S19764"/>
      <c r="T19764"/>
      <c r="U19764"/>
      <c r="X19764" s="60"/>
    </row>
    <row r="19765" spans="7:24" ht="15" customHeight="1">
      <c r="G19765"/>
      <c r="I19765"/>
      <c r="N19765"/>
      <c r="O19765" s="24"/>
      <c r="P19765"/>
      <c r="Q19765" s="24"/>
      <c r="R19765"/>
      <c r="S19765"/>
      <c r="T19765"/>
      <c r="U19765"/>
      <c r="X19765" s="60"/>
    </row>
    <row r="19766" spans="7:24" ht="15" customHeight="1">
      <c r="G19766"/>
      <c r="I19766"/>
      <c r="N19766"/>
      <c r="O19766" s="24"/>
      <c r="P19766"/>
      <c r="Q19766" s="24"/>
      <c r="R19766"/>
      <c r="S19766"/>
      <c r="T19766"/>
      <c r="U19766"/>
      <c r="X19766" s="60"/>
    </row>
    <row r="19767" spans="7:24" ht="15" customHeight="1">
      <c r="G19767"/>
      <c r="I19767"/>
      <c r="N19767"/>
      <c r="O19767" s="24"/>
      <c r="P19767"/>
      <c r="Q19767" s="24"/>
      <c r="R19767"/>
      <c r="S19767"/>
      <c r="T19767"/>
      <c r="U19767"/>
      <c r="X19767" s="60"/>
    </row>
    <row r="19768" spans="7:24" ht="15" customHeight="1">
      <c r="G19768"/>
      <c r="I19768"/>
      <c r="N19768"/>
      <c r="O19768" s="24"/>
      <c r="P19768"/>
      <c r="Q19768" s="24"/>
      <c r="R19768"/>
      <c r="S19768"/>
      <c r="T19768"/>
      <c r="U19768"/>
      <c r="X19768" s="60"/>
    </row>
    <row r="19769" spans="7:24" ht="15" customHeight="1">
      <c r="G19769"/>
      <c r="I19769"/>
      <c r="N19769"/>
      <c r="O19769" s="24"/>
      <c r="P19769"/>
      <c r="Q19769" s="24"/>
      <c r="R19769"/>
      <c r="S19769"/>
      <c r="T19769"/>
      <c r="U19769"/>
      <c r="X19769" s="60"/>
    </row>
    <row r="19770" spans="7:24" ht="15" customHeight="1">
      <c r="G19770"/>
      <c r="I19770"/>
      <c r="N19770"/>
      <c r="O19770" s="24"/>
      <c r="P19770"/>
      <c r="Q19770" s="24"/>
      <c r="R19770"/>
      <c r="S19770"/>
      <c r="T19770"/>
      <c r="U19770"/>
      <c r="X19770" s="60"/>
    </row>
    <row r="19771" spans="7:24" ht="15" customHeight="1">
      <c r="G19771"/>
      <c r="I19771"/>
      <c r="N19771"/>
      <c r="O19771" s="24"/>
      <c r="P19771"/>
      <c r="Q19771" s="24"/>
      <c r="R19771"/>
      <c r="S19771"/>
      <c r="T19771"/>
      <c r="U19771"/>
      <c r="X19771" s="60"/>
    </row>
    <row r="19772" spans="7:24" ht="15" customHeight="1">
      <c r="G19772"/>
      <c r="I19772"/>
      <c r="N19772"/>
      <c r="O19772" s="24"/>
      <c r="P19772"/>
      <c r="Q19772" s="24"/>
      <c r="R19772"/>
      <c r="S19772"/>
      <c r="T19772"/>
      <c r="U19772"/>
      <c r="X19772" s="60"/>
    </row>
    <row r="19773" spans="7:24" ht="15" customHeight="1">
      <c r="G19773"/>
      <c r="I19773"/>
      <c r="N19773"/>
      <c r="O19773" s="24"/>
      <c r="P19773"/>
      <c r="Q19773" s="24"/>
      <c r="R19773"/>
      <c r="S19773"/>
      <c r="T19773"/>
      <c r="U19773"/>
      <c r="X19773" s="60"/>
    </row>
    <row r="19774" spans="7:24" ht="15" customHeight="1">
      <c r="G19774"/>
      <c r="I19774"/>
      <c r="N19774"/>
      <c r="O19774" s="24"/>
      <c r="P19774"/>
      <c r="Q19774" s="24"/>
      <c r="R19774"/>
      <c r="S19774"/>
      <c r="T19774"/>
      <c r="U19774"/>
      <c r="X19774" s="60"/>
    </row>
    <row r="19775" spans="7:24" ht="15" customHeight="1">
      <c r="G19775"/>
      <c r="I19775"/>
      <c r="N19775"/>
      <c r="O19775" s="24"/>
      <c r="P19775"/>
      <c r="Q19775" s="24"/>
      <c r="R19775"/>
      <c r="S19775"/>
      <c r="T19775"/>
      <c r="U19775"/>
      <c r="X19775" s="60"/>
    </row>
    <row r="19776" spans="7:24" ht="15" customHeight="1">
      <c r="G19776"/>
      <c r="I19776"/>
      <c r="N19776"/>
      <c r="O19776" s="24"/>
      <c r="P19776"/>
      <c r="Q19776" s="24"/>
      <c r="R19776"/>
      <c r="S19776"/>
      <c r="T19776"/>
      <c r="U19776"/>
      <c r="X19776" s="60"/>
    </row>
    <row r="19777" spans="7:24" ht="15" customHeight="1">
      <c r="G19777"/>
      <c r="I19777"/>
      <c r="N19777"/>
      <c r="O19777" s="24"/>
      <c r="P19777"/>
      <c r="Q19777" s="24"/>
      <c r="R19777"/>
      <c r="S19777"/>
      <c r="T19777"/>
      <c r="U19777"/>
      <c r="X19777" s="60"/>
    </row>
    <row r="19778" spans="7:24" ht="15" customHeight="1">
      <c r="G19778"/>
      <c r="I19778"/>
      <c r="N19778"/>
      <c r="O19778" s="24"/>
      <c r="P19778"/>
      <c r="Q19778" s="24"/>
      <c r="R19778"/>
      <c r="S19778"/>
      <c r="T19778"/>
      <c r="U19778"/>
      <c r="X19778" s="60"/>
    </row>
    <row r="19779" spans="7:24" ht="15" customHeight="1">
      <c r="G19779"/>
      <c r="I19779"/>
      <c r="N19779"/>
      <c r="O19779" s="24"/>
      <c r="P19779"/>
      <c r="Q19779" s="24"/>
      <c r="R19779"/>
      <c r="S19779"/>
      <c r="T19779"/>
      <c r="U19779"/>
      <c r="X19779" s="60"/>
    </row>
    <row r="19780" spans="7:24" ht="15" customHeight="1">
      <c r="G19780"/>
      <c r="I19780"/>
      <c r="N19780"/>
      <c r="O19780" s="24"/>
      <c r="P19780"/>
      <c r="Q19780" s="24"/>
      <c r="R19780"/>
      <c r="S19780"/>
      <c r="T19780"/>
      <c r="U19780"/>
      <c r="X19780" s="60"/>
    </row>
    <row r="19781" spans="7:24" ht="15" customHeight="1">
      <c r="G19781"/>
      <c r="I19781"/>
      <c r="N19781"/>
      <c r="O19781" s="24"/>
      <c r="P19781"/>
      <c r="Q19781" s="24"/>
      <c r="R19781"/>
      <c r="S19781"/>
      <c r="T19781"/>
      <c r="U19781"/>
      <c r="X19781" s="60"/>
    </row>
    <row r="19782" spans="7:24" ht="15" customHeight="1">
      <c r="G19782"/>
      <c r="I19782"/>
      <c r="N19782"/>
      <c r="O19782" s="24"/>
      <c r="P19782"/>
      <c r="Q19782" s="24"/>
      <c r="R19782"/>
      <c r="S19782"/>
      <c r="T19782"/>
      <c r="U19782"/>
      <c r="X19782" s="60"/>
    </row>
    <row r="19783" spans="7:24" ht="15" customHeight="1">
      <c r="G19783"/>
      <c r="I19783"/>
      <c r="N19783"/>
      <c r="O19783" s="24"/>
      <c r="P19783"/>
      <c r="Q19783" s="24"/>
      <c r="R19783"/>
      <c r="S19783"/>
      <c r="T19783"/>
      <c r="U19783"/>
      <c r="X19783" s="60"/>
    </row>
    <row r="19784" spans="7:24" ht="15" customHeight="1">
      <c r="G19784"/>
      <c r="I19784"/>
      <c r="N19784"/>
      <c r="O19784" s="24"/>
      <c r="P19784"/>
      <c r="Q19784" s="24"/>
      <c r="R19784"/>
      <c r="S19784"/>
      <c r="T19784"/>
      <c r="U19784"/>
      <c r="X19784" s="60"/>
    </row>
    <row r="19785" spans="7:24" ht="15" customHeight="1">
      <c r="G19785"/>
      <c r="I19785"/>
      <c r="N19785"/>
      <c r="O19785" s="24"/>
      <c r="P19785"/>
      <c r="Q19785" s="24"/>
      <c r="R19785"/>
      <c r="S19785"/>
      <c r="T19785"/>
      <c r="U19785"/>
      <c r="X19785" s="60"/>
    </row>
    <row r="19786" spans="7:24" ht="15" customHeight="1">
      <c r="G19786"/>
      <c r="I19786"/>
      <c r="N19786"/>
      <c r="O19786" s="24"/>
      <c r="P19786"/>
      <c r="Q19786" s="24"/>
      <c r="R19786"/>
      <c r="S19786"/>
      <c r="T19786"/>
      <c r="U19786"/>
      <c r="X19786" s="60"/>
    </row>
    <row r="19787" spans="7:24" ht="15" customHeight="1">
      <c r="G19787"/>
      <c r="I19787"/>
      <c r="N19787"/>
      <c r="O19787" s="24"/>
      <c r="P19787"/>
      <c r="Q19787" s="24"/>
      <c r="R19787"/>
      <c r="S19787"/>
      <c r="T19787"/>
      <c r="U19787"/>
      <c r="X19787" s="60"/>
    </row>
    <row r="19788" spans="7:24" ht="15" customHeight="1">
      <c r="G19788"/>
      <c r="I19788"/>
      <c r="N19788"/>
      <c r="O19788" s="24"/>
      <c r="P19788"/>
      <c r="Q19788" s="24"/>
      <c r="R19788"/>
      <c r="S19788"/>
      <c r="T19788"/>
      <c r="U19788"/>
      <c r="X19788" s="60"/>
    </row>
    <row r="19789" spans="7:24" ht="15" customHeight="1">
      <c r="G19789"/>
      <c r="I19789"/>
      <c r="N19789"/>
      <c r="O19789" s="24"/>
      <c r="P19789"/>
      <c r="Q19789" s="24"/>
      <c r="R19789"/>
      <c r="S19789"/>
      <c r="T19789"/>
      <c r="U19789"/>
      <c r="X19789" s="60"/>
    </row>
    <row r="19790" spans="7:24" ht="15" customHeight="1">
      <c r="G19790"/>
      <c r="I19790"/>
      <c r="N19790"/>
      <c r="O19790" s="24"/>
      <c r="P19790"/>
      <c r="Q19790" s="24"/>
      <c r="R19790"/>
      <c r="S19790"/>
      <c r="T19790"/>
      <c r="U19790"/>
      <c r="X19790" s="60"/>
    </row>
    <row r="19791" spans="7:24" ht="15" customHeight="1">
      <c r="G19791"/>
      <c r="I19791"/>
      <c r="N19791"/>
      <c r="O19791" s="24"/>
      <c r="P19791"/>
      <c r="Q19791" s="24"/>
      <c r="R19791"/>
      <c r="S19791"/>
      <c r="T19791"/>
      <c r="U19791"/>
      <c r="X19791" s="60"/>
    </row>
    <row r="19792" spans="7:24" ht="15" customHeight="1">
      <c r="G19792"/>
      <c r="I19792"/>
      <c r="N19792"/>
      <c r="O19792" s="24"/>
      <c r="P19792"/>
      <c r="Q19792" s="24"/>
      <c r="R19792"/>
      <c r="S19792"/>
      <c r="T19792"/>
      <c r="U19792"/>
      <c r="X19792" s="60"/>
    </row>
    <row r="19793" spans="7:24" ht="15" customHeight="1">
      <c r="G19793"/>
      <c r="I19793"/>
      <c r="N19793"/>
      <c r="O19793" s="24"/>
      <c r="P19793"/>
      <c r="Q19793" s="24"/>
      <c r="R19793"/>
      <c r="S19793"/>
      <c r="T19793"/>
      <c r="U19793"/>
      <c r="X19793" s="60"/>
    </row>
    <row r="19794" spans="7:24" ht="15" customHeight="1">
      <c r="G19794"/>
      <c r="I19794"/>
      <c r="N19794"/>
      <c r="O19794" s="24"/>
      <c r="P19794"/>
      <c r="Q19794" s="24"/>
      <c r="R19794"/>
      <c r="S19794"/>
      <c r="T19794"/>
      <c r="U19794"/>
      <c r="X19794" s="60"/>
    </row>
    <row r="19795" spans="7:24" ht="15" customHeight="1">
      <c r="G19795"/>
      <c r="I19795"/>
      <c r="N19795"/>
      <c r="O19795" s="24"/>
      <c r="P19795"/>
      <c r="Q19795" s="24"/>
      <c r="R19795"/>
      <c r="S19795"/>
      <c r="T19795"/>
      <c r="U19795"/>
      <c r="X19795" s="60"/>
    </row>
    <row r="19796" spans="7:24" ht="15" customHeight="1">
      <c r="G19796"/>
      <c r="I19796"/>
      <c r="N19796"/>
      <c r="O19796" s="24"/>
      <c r="P19796"/>
      <c r="Q19796" s="24"/>
      <c r="R19796"/>
      <c r="S19796"/>
      <c r="T19796"/>
      <c r="U19796"/>
      <c r="X19796" s="60"/>
    </row>
    <row r="19797" spans="7:24" ht="15" customHeight="1">
      <c r="G19797"/>
      <c r="I19797"/>
      <c r="N19797"/>
      <c r="O19797" s="24"/>
      <c r="P19797"/>
      <c r="Q19797" s="24"/>
      <c r="R19797"/>
      <c r="S19797"/>
      <c r="T19797"/>
      <c r="U19797"/>
      <c r="X19797" s="60"/>
    </row>
    <row r="19798" spans="7:24" ht="15" customHeight="1">
      <c r="G19798"/>
      <c r="I19798"/>
      <c r="N19798"/>
      <c r="O19798" s="24"/>
      <c r="P19798"/>
      <c r="Q19798" s="24"/>
      <c r="R19798"/>
      <c r="S19798"/>
      <c r="T19798"/>
      <c r="U19798"/>
      <c r="X19798" s="60"/>
    </row>
    <row r="19799" spans="7:24" ht="15" customHeight="1">
      <c r="G19799"/>
      <c r="I19799"/>
      <c r="N19799"/>
      <c r="O19799" s="24"/>
      <c r="P19799"/>
      <c r="Q19799" s="24"/>
      <c r="R19799"/>
      <c r="S19799"/>
      <c r="T19799"/>
      <c r="U19799"/>
      <c r="X19799" s="60"/>
    </row>
    <row r="19800" spans="7:24" ht="15" customHeight="1">
      <c r="G19800"/>
      <c r="I19800"/>
      <c r="N19800"/>
      <c r="O19800" s="24"/>
      <c r="P19800"/>
      <c r="Q19800" s="24"/>
      <c r="R19800"/>
      <c r="S19800"/>
      <c r="T19800"/>
      <c r="U19800"/>
      <c r="X19800" s="60"/>
    </row>
    <row r="19801" spans="7:24" ht="15" customHeight="1">
      <c r="G19801"/>
      <c r="I19801"/>
      <c r="N19801"/>
      <c r="O19801" s="24"/>
      <c r="P19801"/>
      <c r="Q19801" s="24"/>
      <c r="R19801"/>
      <c r="S19801"/>
      <c r="T19801"/>
      <c r="U19801"/>
      <c r="X19801" s="60"/>
    </row>
    <row r="19802" spans="7:24" ht="15" customHeight="1">
      <c r="G19802"/>
      <c r="I19802"/>
      <c r="N19802"/>
      <c r="O19802" s="24"/>
      <c r="P19802"/>
      <c r="Q19802" s="24"/>
      <c r="R19802"/>
      <c r="S19802"/>
      <c r="T19802"/>
      <c r="U19802"/>
      <c r="X19802" s="60"/>
    </row>
    <row r="19803" spans="7:24" ht="15" customHeight="1">
      <c r="G19803"/>
      <c r="I19803"/>
      <c r="N19803"/>
      <c r="O19803" s="24"/>
      <c r="P19803"/>
      <c r="Q19803" s="24"/>
      <c r="R19803"/>
      <c r="S19803"/>
      <c r="T19803"/>
      <c r="U19803"/>
      <c r="X19803" s="60"/>
    </row>
    <row r="19804" spans="7:24" ht="15" customHeight="1">
      <c r="G19804"/>
      <c r="I19804"/>
      <c r="N19804"/>
      <c r="O19804" s="24"/>
      <c r="P19804"/>
      <c r="Q19804" s="24"/>
      <c r="R19804"/>
      <c r="S19804"/>
      <c r="T19804"/>
      <c r="U19804"/>
      <c r="X19804" s="60"/>
    </row>
    <row r="19805" spans="7:24" ht="15" customHeight="1">
      <c r="G19805"/>
      <c r="I19805"/>
      <c r="N19805"/>
      <c r="O19805" s="24"/>
      <c r="P19805"/>
      <c r="Q19805" s="24"/>
      <c r="R19805"/>
      <c r="S19805"/>
      <c r="T19805"/>
      <c r="U19805"/>
      <c r="X19805" s="60"/>
    </row>
    <row r="19806" spans="7:24" ht="15" customHeight="1">
      <c r="G19806"/>
      <c r="I19806"/>
      <c r="N19806"/>
      <c r="O19806" s="24"/>
      <c r="P19806"/>
      <c r="Q19806" s="24"/>
      <c r="R19806"/>
      <c r="S19806"/>
      <c r="T19806"/>
      <c r="U19806"/>
      <c r="X19806" s="60"/>
    </row>
    <row r="19807" spans="7:24" ht="15" customHeight="1">
      <c r="G19807"/>
      <c r="I19807"/>
      <c r="N19807"/>
      <c r="O19807" s="24"/>
      <c r="P19807"/>
      <c r="Q19807" s="24"/>
      <c r="R19807"/>
      <c r="S19807"/>
      <c r="T19807"/>
      <c r="U19807"/>
      <c r="X19807" s="60"/>
    </row>
    <row r="19808" spans="7:24" ht="15" customHeight="1">
      <c r="G19808"/>
      <c r="I19808"/>
      <c r="N19808"/>
      <c r="O19808" s="24"/>
      <c r="P19808"/>
      <c r="Q19808" s="24"/>
      <c r="R19808"/>
      <c r="S19808"/>
      <c r="T19808"/>
      <c r="U19808"/>
      <c r="X19808" s="60"/>
    </row>
    <row r="19809" spans="7:24" ht="15" customHeight="1">
      <c r="G19809"/>
      <c r="I19809"/>
      <c r="N19809"/>
      <c r="O19809" s="24"/>
      <c r="P19809"/>
      <c r="Q19809" s="24"/>
      <c r="R19809"/>
      <c r="S19809"/>
      <c r="T19809"/>
      <c r="U19809"/>
      <c r="X19809" s="60"/>
    </row>
    <row r="19810" spans="7:24" ht="15" customHeight="1">
      <c r="G19810"/>
      <c r="I19810"/>
      <c r="N19810"/>
      <c r="O19810" s="24"/>
      <c r="P19810"/>
      <c r="Q19810" s="24"/>
      <c r="R19810"/>
      <c r="S19810"/>
      <c r="T19810"/>
      <c r="U19810"/>
      <c r="X19810" s="60"/>
    </row>
    <row r="19811" spans="7:24" ht="15" customHeight="1">
      <c r="G19811"/>
      <c r="I19811"/>
      <c r="N19811"/>
      <c r="O19811" s="24"/>
      <c r="P19811"/>
      <c r="Q19811" s="24"/>
      <c r="R19811"/>
      <c r="S19811"/>
      <c r="T19811"/>
      <c r="U19811"/>
      <c r="X19811" s="60"/>
    </row>
    <row r="19812" spans="7:24" ht="15" customHeight="1">
      <c r="G19812"/>
      <c r="I19812"/>
      <c r="N19812"/>
      <c r="O19812" s="24"/>
      <c r="P19812"/>
      <c r="Q19812" s="24"/>
      <c r="R19812"/>
      <c r="S19812"/>
      <c r="T19812"/>
      <c r="U19812"/>
      <c r="X19812" s="60"/>
    </row>
    <row r="19813" spans="7:24" ht="15" customHeight="1">
      <c r="G19813"/>
      <c r="I19813"/>
      <c r="N19813"/>
      <c r="O19813" s="24"/>
      <c r="P19813"/>
      <c r="Q19813" s="24"/>
      <c r="R19813"/>
      <c r="S19813"/>
      <c r="T19813"/>
      <c r="U19813"/>
      <c r="X19813" s="60"/>
    </row>
    <row r="19814" spans="7:24" ht="15" customHeight="1">
      <c r="G19814"/>
      <c r="I19814"/>
      <c r="N19814"/>
      <c r="O19814" s="24"/>
      <c r="P19814"/>
      <c r="Q19814" s="24"/>
      <c r="R19814"/>
      <c r="S19814"/>
      <c r="T19814"/>
      <c r="U19814"/>
      <c r="X19814" s="60"/>
    </row>
    <row r="19815" spans="7:24" ht="15" customHeight="1">
      <c r="G19815"/>
      <c r="I19815"/>
      <c r="N19815"/>
      <c r="O19815" s="24"/>
      <c r="P19815"/>
      <c r="Q19815" s="24"/>
      <c r="R19815"/>
      <c r="S19815"/>
      <c r="T19815"/>
      <c r="U19815"/>
      <c r="X19815" s="60"/>
    </row>
    <row r="19816" spans="7:24" ht="15" customHeight="1">
      <c r="G19816"/>
      <c r="I19816"/>
      <c r="N19816"/>
      <c r="O19816" s="24"/>
      <c r="P19816"/>
      <c r="Q19816" s="24"/>
      <c r="R19816"/>
      <c r="S19816"/>
      <c r="T19816"/>
      <c r="U19816"/>
      <c r="X19816" s="60"/>
    </row>
    <row r="19817" spans="7:24" ht="15" customHeight="1">
      <c r="G19817"/>
      <c r="I19817"/>
      <c r="N19817"/>
      <c r="O19817" s="24"/>
      <c r="P19817"/>
      <c r="Q19817" s="24"/>
      <c r="R19817"/>
      <c r="S19817"/>
      <c r="T19817"/>
      <c r="U19817"/>
      <c r="X19817" s="60"/>
    </row>
    <row r="19818" spans="7:24" ht="15" customHeight="1">
      <c r="G19818"/>
      <c r="I19818"/>
      <c r="N19818"/>
      <c r="O19818" s="24"/>
      <c r="P19818"/>
      <c r="Q19818" s="24"/>
      <c r="R19818"/>
      <c r="S19818"/>
      <c r="T19818"/>
      <c r="U19818"/>
      <c r="X19818" s="60"/>
    </row>
    <row r="19819" spans="7:24" ht="15" customHeight="1">
      <c r="G19819"/>
      <c r="I19819"/>
      <c r="N19819"/>
      <c r="O19819" s="24"/>
      <c r="P19819"/>
      <c r="Q19819" s="24"/>
      <c r="R19819"/>
      <c r="S19819"/>
      <c r="T19819"/>
      <c r="U19819"/>
      <c r="X19819" s="60"/>
    </row>
    <row r="19820" spans="7:24" ht="15" customHeight="1">
      <c r="G19820"/>
      <c r="I19820"/>
      <c r="N19820"/>
      <c r="O19820" s="24"/>
      <c r="P19820"/>
      <c r="Q19820" s="24"/>
      <c r="R19820"/>
      <c r="S19820"/>
      <c r="T19820"/>
      <c r="U19820"/>
      <c r="X19820" s="60"/>
    </row>
    <row r="19821" spans="7:24" ht="15" customHeight="1">
      <c r="G19821"/>
      <c r="I19821"/>
      <c r="N19821"/>
      <c r="O19821" s="24"/>
      <c r="P19821"/>
      <c r="Q19821" s="24"/>
      <c r="R19821"/>
      <c r="S19821"/>
      <c r="T19821"/>
      <c r="U19821"/>
      <c r="X19821" s="60"/>
    </row>
    <row r="19822" spans="7:24" ht="15" customHeight="1">
      <c r="G19822"/>
      <c r="I19822"/>
      <c r="N19822"/>
      <c r="O19822" s="24"/>
      <c r="P19822"/>
      <c r="Q19822" s="24"/>
      <c r="R19822"/>
      <c r="S19822"/>
      <c r="T19822"/>
      <c r="U19822"/>
      <c r="X19822" s="60"/>
    </row>
    <row r="19823" spans="7:24" ht="15" customHeight="1">
      <c r="G19823"/>
      <c r="I19823"/>
      <c r="N19823"/>
      <c r="O19823" s="24"/>
      <c r="P19823"/>
      <c r="Q19823" s="24"/>
      <c r="R19823"/>
      <c r="S19823"/>
      <c r="T19823"/>
      <c r="U19823"/>
      <c r="X19823" s="60"/>
    </row>
    <row r="19824" spans="7:24" ht="15" customHeight="1">
      <c r="G19824"/>
      <c r="I19824"/>
      <c r="N19824"/>
      <c r="O19824" s="24"/>
      <c r="P19824"/>
      <c r="Q19824" s="24"/>
      <c r="R19824"/>
      <c r="S19824"/>
      <c r="T19824"/>
      <c r="U19824"/>
      <c r="X19824" s="60"/>
    </row>
    <row r="19825" spans="7:24" ht="15" customHeight="1">
      <c r="G19825"/>
      <c r="I19825"/>
      <c r="N19825"/>
      <c r="O19825" s="24"/>
      <c r="P19825"/>
      <c r="Q19825" s="24"/>
      <c r="R19825"/>
      <c r="S19825"/>
      <c r="T19825"/>
      <c r="U19825"/>
      <c r="X19825" s="60"/>
    </row>
    <row r="19826" spans="7:24" ht="15" customHeight="1">
      <c r="G19826"/>
      <c r="I19826"/>
      <c r="N19826"/>
      <c r="O19826" s="24"/>
      <c r="P19826"/>
      <c r="Q19826" s="24"/>
      <c r="R19826"/>
      <c r="S19826"/>
      <c r="T19826"/>
      <c r="U19826"/>
      <c r="X19826" s="60"/>
    </row>
    <row r="19827" spans="7:24" ht="15" customHeight="1">
      <c r="G19827"/>
      <c r="I19827"/>
      <c r="N19827"/>
      <c r="O19827" s="24"/>
      <c r="P19827"/>
      <c r="Q19827" s="24"/>
      <c r="R19827"/>
      <c r="S19827"/>
      <c r="T19827"/>
      <c r="U19827"/>
      <c r="X19827" s="60"/>
    </row>
    <row r="19828" spans="7:24" ht="15" customHeight="1">
      <c r="G19828"/>
      <c r="I19828"/>
      <c r="N19828"/>
      <c r="O19828" s="24"/>
      <c r="P19828"/>
      <c r="Q19828" s="24"/>
      <c r="R19828"/>
      <c r="S19828"/>
      <c r="T19828"/>
      <c r="U19828"/>
      <c r="X19828" s="60"/>
    </row>
    <row r="19829" spans="7:24" ht="15" customHeight="1">
      <c r="G19829"/>
      <c r="I19829"/>
      <c r="N19829"/>
      <c r="O19829" s="24"/>
      <c r="P19829"/>
      <c r="Q19829" s="24"/>
      <c r="R19829"/>
      <c r="S19829"/>
      <c r="T19829"/>
      <c r="U19829"/>
      <c r="X19829" s="60"/>
    </row>
    <row r="19830" spans="7:24" ht="15" customHeight="1">
      <c r="G19830"/>
      <c r="I19830"/>
      <c r="N19830"/>
      <c r="O19830" s="24"/>
      <c r="P19830"/>
      <c r="Q19830" s="24"/>
      <c r="R19830"/>
      <c r="S19830"/>
      <c r="T19830"/>
      <c r="U19830"/>
      <c r="X19830" s="60"/>
    </row>
    <row r="19831" spans="7:24" ht="15" customHeight="1">
      <c r="G19831"/>
      <c r="I19831"/>
      <c r="N19831"/>
      <c r="O19831" s="24"/>
      <c r="P19831"/>
      <c r="Q19831" s="24"/>
      <c r="R19831"/>
      <c r="S19831"/>
      <c r="T19831"/>
      <c r="U19831"/>
      <c r="X19831" s="60"/>
    </row>
    <row r="19832" spans="7:24" ht="15" customHeight="1">
      <c r="G19832"/>
      <c r="I19832"/>
      <c r="N19832"/>
      <c r="O19832" s="24"/>
      <c r="P19832"/>
      <c r="Q19832" s="24"/>
      <c r="R19832"/>
      <c r="S19832"/>
      <c r="T19832"/>
      <c r="U19832"/>
      <c r="X19832" s="60"/>
    </row>
    <row r="19833" spans="7:24" ht="15" customHeight="1">
      <c r="G19833"/>
      <c r="I19833"/>
      <c r="N19833"/>
      <c r="O19833" s="24"/>
      <c r="P19833"/>
      <c r="Q19833" s="24"/>
      <c r="R19833"/>
      <c r="S19833"/>
      <c r="T19833"/>
      <c r="U19833"/>
      <c r="X19833" s="60"/>
    </row>
    <row r="19834" spans="7:24" ht="15" customHeight="1">
      <c r="G19834"/>
      <c r="I19834"/>
      <c r="N19834"/>
      <c r="O19834" s="24"/>
      <c r="P19834"/>
      <c r="Q19834" s="24"/>
      <c r="R19834"/>
      <c r="S19834"/>
      <c r="T19834"/>
      <c r="U19834"/>
      <c r="X19834" s="60"/>
    </row>
    <row r="19835" spans="7:24" ht="15" customHeight="1">
      <c r="G19835"/>
      <c r="I19835"/>
      <c r="N19835"/>
      <c r="O19835" s="24"/>
      <c r="P19835"/>
      <c r="Q19835" s="24"/>
      <c r="R19835"/>
      <c r="S19835"/>
      <c r="T19835"/>
      <c r="U19835"/>
      <c r="X19835" s="60"/>
    </row>
    <row r="19836" spans="7:24" ht="15" customHeight="1">
      <c r="G19836"/>
      <c r="I19836"/>
      <c r="N19836"/>
      <c r="O19836" s="24"/>
      <c r="P19836"/>
      <c r="Q19836" s="24"/>
      <c r="R19836"/>
      <c r="S19836"/>
      <c r="T19836"/>
      <c r="U19836"/>
      <c r="X19836" s="60"/>
    </row>
    <row r="19837" spans="7:24" ht="15" customHeight="1">
      <c r="G19837"/>
      <c r="I19837"/>
      <c r="N19837"/>
      <c r="O19837" s="24"/>
      <c r="P19837"/>
      <c r="Q19837" s="24"/>
      <c r="R19837"/>
      <c r="S19837"/>
      <c r="T19837"/>
      <c r="U19837"/>
      <c r="X19837" s="60"/>
    </row>
    <row r="19838" spans="7:24" ht="15" customHeight="1">
      <c r="G19838"/>
      <c r="I19838"/>
      <c r="N19838"/>
      <c r="O19838" s="24"/>
      <c r="P19838"/>
      <c r="Q19838" s="24"/>
      <c r="R19838"/>
      <c r="S19838"/>
      <c r="T19838"/>
      <c r="U19838"/>
      <c r="X19838" s="60"/>
    </row>
    <row r="19839" spans="7:24" ht="15" customHeight="1">
      <c r="G19839"/>
      <c r="I19839"/>
      <c r="N19839"/>
      <c r="O19839" s="24"/>
      <c r="P19839"/>
      <c r="Q19839" s="24"/>
      <c r="R19839"/>
      <c r="S19839"/>
      <c r="T19839"/>
      <c r="U19839"/>
      <c r="X19839" s="60"/>
    </row>
    <row r="19840" spans="7:24" ht="15" customHeight="1">
      <c r="G19840"/>
      <c r="I19840"/>
      <c r="N19840"/>
      <c r="O19840" s="24"/>
      <c r="P19840"/>
      <c r="Q19840" s="24"/>
      <c r="R19840"/>
      <c r="S19840"/>
      <c r="T19840"/>
      <c r="U19840"/>
      <c r="X19840" s="60"/>
    </row>
    <row r="19841" spans="7:24" ht="15" customHeight="1">
      <c r="G19841"/>
      <c r="I19841"/>
      <c r="N19841"/>
      <c r="O19841" s="24"/>
      <c r="P19841"/>
      <c r="Q19841" s="24"/>
      <c r="R19841"/>
      <c r="S19841"/>
      <c r="T19841"/>
      <c r="U19841"/>
      <c r="X19841" s="60"/>
    </row>
    <row r="19842" spans="7:24" ht="15" customHeight="1">
      <c r="G19842"/>
      <c r="I19842"/>
      <c r="N19842"/>
      <c r="O19842" s="24"/>
      <c r="P19842"/>
      <c r="Q19842" s="24"/>
      <c r="R19842"/>
      <c r="S19842"/>
      <c r="T19842"/>
      <c r="U19842"/>
      <c r="X19842" s="60"/>
    </row>
    <row r="19843" spans="7:24" ht="15" customHeight="1">
      <c r="G19843"/>
      <c r="I19843"/>
      <c r="N19843"/>
      <c r="O19843" s="24"/>
      <c r="P19843"/>
      <c r="Q19843" s="24"/>
      <c r="R19843"/>
      <c r="S19843"/>
      <c r="T19843"/>
      <c r="U19843"/>
      <c r="X19843" s="60"/>
    </row>
    <row r="19844" spans="7:24" ht="15" customHeight="1">
      <c r="G19844"/>
      <c r="I19844"/>
      <c r="N19844"/>
      <c r="O19844" s="24"/>
      <c r="P19844"/>
      <c r="Q19844" s="24"/>
      <c r="R19844"/>
      <c r="S19844"/>
      <c r="T19844"/>
      <c r="U19844"/>
      <c r="X19844" s="60"/>
    </row>
    <row r="19845" spans="7:24" ht="15" customHeight="1">
      <c r="G19845"/>
      <c r="I19845"/>
      <c r="N19845"/>
      <c r="O19845" s="24"/>
      <c r="P19845"/>
      <c r="Q19845" s="24"/>
      <c r="R19845"/>
      <c r="S19845"/>
      <c r="T19845"/>
      <c r="U19845"/>
      <c r="X19845" s="60"/>
    </row>
    <row r="19846" spans="7:24" ht="15" customHeight="1">
      <c r="G19846"/>
      <c r="I19846"/>
      <c r="N19846"/>
      <c r="O19846" s="24"/>
      <c r="P19846"/>
      <c r="Q19846" s="24"/>
      <c r="R19846"/>
      <c r="S19846"/>
      <c r="T19846"/>
      <c r="U19846"/>
      <c r="X19846" s="60"/>
    </row>
    <row r="19847" spans="7:24" ht="15" customHeight="1">
      <c r="G19847"/>
      <c r="I19847"/>
      <c r="N19847"/>
      <c r="O19847" s="24"/>
      <c r="P19847"/>
      <c r="Q19847" s="24"/>
      <c r="R19847"/>
      <c r="S19847"/>
      <c r="T19847"/>
      <c r="U19847"/>
      <c r="X19847" s="60"/>
    </row>
    <row r="19848" spans="7:24" ht="15" customHeight="1">
      <c r="G19848"/>
      <c r="I19848"/>
      <c r="N19848"/>
      <c r="O19848" s="24"/>
      <c r="P19848"/>
      <c r="Q19848" s="24"/>
      <c r="R19848"/>
      <c r="S19848"/>
      <c r="T19848"/>
      <c r="U19848"/>
      <c r="X19848" s="60"/>
    </row>
    <row r="19849" spans="7:24" ht="15" customHeight="1">
      <c r="G19849"/>
      <c r="I19849"/>
      <c r="N19849"/>
      <c r="O19849" s="24"/>
      <c r="P19849"/>
      <c r="Q19849" s="24"/>
      <c r="R19849"/>
      <c r="S19849"/>
      <c r="T19849"/>
      <c r="U19849"/>
      <c r="X19849" s="60"/>
    </row>
    <row r="19850" spans="7:24" ht="15" customHeight="1">
      <c r="G19850"/>
      <c r="I19850"/>
      <c r="N19850"/>
      <c r="O19850" s="24"/>
      <c r="P19850"/>
      <c r="Q19850" s="24"/>
      <c r="R19850"/>
      <c r="S19850"/>
      <c r="T19850"/>
      <c r="U19850"/>
      <c r="X19850" s="60"/>
    </row>
    <row r="19851" spans="7:24" ht="15" customHeight="1">
      <c r="G19851"/>
      <c r="I19851"/>
      <c r="N19851"/>
      <c r="O19851" s="24"/>
      <c r="P19851"/>
      <c r="Q19851" s="24"/>
      <c r="R19851"/>
      <c r="S19851"/>
      <c r="T19851"/>
      <c r="U19851"/>
      <c r="X19851" s="60"/>
    </row>
    <row r="19852" spans="7:24" ht="15" customHeight="1">
      <c r="G19852"/>
      <c r="I19852"/>
      <c r="N19852"/>
      <c r="O19852" s="24"/>
      <c r="P19852"/>
      <c r="Q19852" s="24"/>
      <c r="R19852"/>
      <c r="S19852"/>
      <c r="T19852"/>
      <c r="U19852"/>
      <c r="X19852" s="60"/>
    </row>
    <row r="19853" spans="7:24" ht="15" customHeight="1">
      <c r="G19853"/>
      <c r="I19853"/>
      <c r="N19853"/>
      <c r="O19853" s="24"/>
      <c r="P19853"/>
      <c r="Q19853" s="24"/>
      <c r="R19853"/>
      <c r="S19853"/>
      <c r="T19853"/>
      <c r="U19853"/>
      <c r="X19853" s="60"/>
    </row>
    <row r="19854" spans="7:24" ht="15" customHeight="1">
      <c r="G19854"/>
      <c r="I19854"/>
      <c r="N19854"/>
      <c r="O19854" s="24"/>
      <c r="P19854"/>
      <c r="Q19854" s="24"/>
      <c r="R19854"/>
      <c r="S19854"/>
      <c r="T19854"/>
      <c r="U19854"/>
      <c r="X19854" s="60"/>
    </row>
    <row r="19855" spans="7:24" ht="15" customHeight="1">
      <c r="G19855"/>
      <c r="I19855"/>
      <c r="N19855"/>
      <c r="O19855" s="24"/>
      <c r="P19855"/>
      <c r="Q19855" s="24"/>
      <c r="R19855"/>
      <c r="S19855"/>
      <c r="T19855"/>
      <c r="U19855"/>
      <c r="X19855" s="60"/>
    </row>
    <row r="19856" spans="7:24" ht="15" customHeight="1">
      <c r="G19856"/>
      <c r="I19856"/>
      <c r="N19856"/>
      <c r="O19856" s="24"/>
      <c r="P19856"/>
      <c r="Q19856" s="24"/>
      <c r="R19856"/>
      <c r="S19856"/>
      <c r="T19856"/>
      <c r="U19856"/>
      <c r="X19856" s="60"/>
    </row>
    <row r="19857" spans="7:24" ht="15" customHeight="1">
      <c r="G19857"/>
      <c r="I19857"/>
      <c r="N19857"/>
      <c r="O19857" s="24"/>
      <c r="P19857"/>
      <c r="Q19857" s="24"/>
      <c r="R19857"/>
      <c r="S19857"/>
      <c r="T19857"/>
      <c r="U19857"/>
      <c r="X19857" s="60"/>
    </row>
    <row r="19858" spans="7:24" ht="15" customHeight="1">
      <c r="G19858"/>
      <c r="I19858"/>
      <c r="N19858"/>
      <c r="O19858" s="24"/>
      <c r="P19858"/>
      <c r="Q19858" s="24"/>
      <c r="R19858"/>
      <c r="S19858"/>
      <c r="T19858"/>
      <c r="U19858"/>
      <c r="X19858" s="60"/>
    </row>
    <row r="19859" spans="7:24" ht="15" customHeight="1">
      <c r="G19859"/>
      <c r="I19859"/>
      <c r="N19859"/>
      <c r="O19859" s="24"/>
      <c r="P19859"/>
      <c r="Q19859" s="24"/>
      <c r="R19859"/>
      <c r="S19859"/>
      <c r="T19859"/>
      <c r="U19859"/>
      <c r="X19859" s="60"/>
    </row>
    <row r="19860" spans="7:24" ht="15" customHeight="1">
      <c r="G19860"/>
      <c r="I19860"/>
      <c r="N19860"/>
      <c r="O19860" s="24"/>
      <c r="P19860"/>
      <c r="Q19860" s="24"/>
      <c r="R19860"/>
      <c r="S19860"/>
      <c r="T19860"/>
      <c r="U19860"/>
      <c r="X19860" s="60"/>
    </row>
    <row r="19861" spans="7:24" ht="15" customHeight="1">
      <c r="G19861"/>
      <c r="I19861"/>
      <c r="N19861"/>
      <c r="O19861" s="24"/>
      <c r="P19861"/>
      <c r="Q19861" s="24"/>
      <c r="R19861"/>
      <c r="S19861"/>
      <c r="T19861"/>
      <c r="U19861"/>
      <c r="X19861" s="60"/>
    </row>
    <row r="19862" spans="7:24" ht="15" customHeight="1">
      <c r="G19862"/>
      <c r="I19862"/>
      <c r="N19862"/>
      <c r="O19862" s="24"/>
      <c r="P19862"/>
      <c r="Q19862" s="24"/>
      <c r="R19862"/>
      <c r="S19862"/>
      <c r="T19862"/>
      <c r="U19862"/>
      <c r="X19862" s="60"/>
    </row>
    <row r="19863" spans="7:24" ht="15" customHeight="1">
      <c r="G19863"/>
      <c r="I19863"/>
      <c r="N19863"/>
      <c r="O19863" s="24"/>
      <c r="P19863"/>
      <c r="Q19863" s="24"/>
      <c r="R19863"/>
      <c r="S19863"/>
      <c r="T19863"/>
      <c r="U19863"/>
      <c r="X19863" s="60"/>
    </row>
    <row r="19864" spans="7:24" ht="15" customHeight="1">
      <c r="G19864"/>
      <c r="I19864"/>
      <c r="N19864"/>
      <c r="O19864" s="24"/>
      <c r="P19864"/>
      <c r="Q19864" s="24"/>
      <c r="R19864"/>
      <c r="S19864"/>
      <c r="T19864"/>
      <c r="U19864"/>
      <c r="X19864" s="60"/>
    </row>
    <row r="19865" spans="7:24" ht="15" customHeight="1">
      <c r="G19865"/>
      <c r="I19865"/>
      <c r="N19865"/>
      <c r="O19865" s="24"/>
      <c r="P19865"/>
      <c r="Q19865" s="24"/>
      <c r="R19865"/>
      <c r="S19865"/>
      <c r="T19865"/>
      <c r="U19865"/>
      <c r="X19865" s="60"/>
    </row>
    <row r="19866" spans="7:24" ht="15" customHeight="1">
      <c r="G19866"/>
      <c r="I19866"/>
      <c r="N19866"/>
      <c r="O19866" s="24"/>
      <c r="P19866"/>
      <c r="Q19866" s="24"/>
      <c r="R19866"/>
      <c r="S19866"/>
      <c r="T19866"/>
      <c r="U19866"/>
      <c r="X19866" s="60"/>
    </row>
    <row r="19867" spans="7:24" ht="15" customHeight="1">
      <c r="G19867"/>
      <c r="I19867"/>
      <c r="N19867"/>
      <c r="O19867" s="24"/>
      <c r="P19867"/>
      <c r="Q19867" s="24"/>
      <c r="R19867"/>
      <c r="S19867"/>
      <c r="T19867"/>
      <c r="U19867"/>
      <c r="X19867" s="60"/>
    </row>
    <row r="19868" spans="7:24" ht="15" customHeight="1">
      <c r="G19868"/>
      <c r="I19868"/>
      <c r="N19868"/>
      <c r="O19868" s="24"/>
      <c r="P19868"/>
      <c r="Q19868" s="24"/>
      <c r="R19868"/>
      <c r="S19868"/>
      <c r="T19868"/>
      <c r="U19868"/>
      <c r="X19868" s="60"/>
    </row>
    <row r="19869" spans="7:24" ht="15" customHeight="1">
      <c r="G19869"/>
      <c r="I19869"/>
      <c r="N19869"/>
      <c r="O19869" s="24"/>
      <c r="P19869"/>
      <c r="Q19869" s="24"/>
      <c r="R19869"/>
      <c r="S19869"/>
      <c r="T19869"/>
      <c r="U19869"/>
      <c r="X19869" s="60"/>
    </row>
    <row r="19870" spans="7:24" ht="15" customHeight="1">
      <c r="G19870"/>
      <c r="I19870"/>
      <c r="N19870"/>
      <c r="O19870" s="24"/>
      <c r="P19870"/>
      <c r="Q19870" s="24"/>
      <c r="R19870"/>
      <c r="S19870"/>
      <c r="T19870"/>
      <c r="U19870"/>
      <c r="X19870" s="60"/>
    </row>
    <row r="19871" spans="7:24" ht="15" customHeight="1">
      <c r="G19871"/>
      <c r="I19871"/>
      <c r="N19871"/>
      <c r="O19871" s="24"/>
      <c r="P19871"/>
      <c r="Q19871" s="24"/>
      <c r="R19871"/>
      <c r="S19871"/>
      <c r="T19871"/>
      <c r="U19871"/>
      <c r="X19871" s="60"/>
    </row>
    <row r="19872" spans="7:24" ht="15" customHeight="1">
      <c r="G19872"/>
      <c r="I19872"/>
      <c r="N19872"/>
      <c r="O19872" s="24"/>
      <c r="P19872"/>
      <c r="Q19872" s="24"/>
      <c r="R19872"/>
      <c r="S19872"/>
      <c r="T19872"/>
      <c r="U19872"/>
      <c r="X19872" s="60"/>
    </row>
    <row r="19873" spans="7:24" ht="15" customHeight="1">
      <c r="G19873"/>
      <c r="I19873"/>
      <c r="N19873"/>
      <c r="O19873" s="24"/>
      <c r="P19873"/>
      <c r="Q19873" s="24"/>
      <c r="R19873"/>
      <c r="S19873"/>
      <c r="T19873"/>
      <c r="U19873"/>
      <c r="X19873" s="60"/>
    </row>
    <row r="19874" spans="7:24" ht="15" customHeight="1">
      <c r="G19874"/>
      <c r="I19874"/>
      <c r="N19874"/>
      <c r="O19874" s="24"/>
      <c r="P19874"/>
      <c r="Q19874" s="24"/>
      <c r="R19874"/>
      <c r="S19874"/>
      <c r="T19874"/>
      <c r="U19874"/>
      <c r="X19874" s="60"/>
    </row>
    <row r="19875" spans="7:24" ht="15" customHeight="1">
      <c r="G19875"/>
      <c r="I19875"/>
      <c r="N19875"/>
      <c r="O19875" s="24"/>
      <c r="P19875"/>
      <c r="Q19875" s="24"/>
      <c r="R19875"/>
      <c r="S19875"/>
      <c r="T19875"/>
      <c r="U19875"/>
      <c r="X19875" s="60"/>
    </row>
    <row r="19876" spans="7:24" ht="15" customHeight="1">
      <c r="G19876"/>
      <c r="I19876"/>
      <c r="N19876"/>
      <c r="O19876" s="24"/>
      <c r="P19876"/>
      <c r="Q19876" s="24"/>
      <c r="R19876"/>
      <c r="S19876"/>
      <c r="T19876"/>
      <c r="U19876"/>
      <c r="X19876" s="60"/>
    </row>
    <row r="19877" spans="7:24" ht="15" customHeight="1">
      <c r="G19877"/>
      <c r="I19877"/>
      <c r="N19877"/>
      <c r="O19877" s="24"/>
      <c r="P19877"/>
      <c r="Q19877" s="24"/>
      <c r="R19877"/>
      <c r="S19877"/>
      <c r="T19877"/>
      <c r="U19877"/>
      <c r="X19877" s="60"/>
    </row>
    <row r="19878" spans="7:24" ht="15" customHeight="1">
      <c r="G19878"/>
      <c r="I19878"/>
      <c r="N19878"/>
      <c r="O19878" s="24"/>
      <c r="P19878"/>
      <c r="Q19878" s="24"/>
      <c r="R19878"/>
      <c r="S19878"/>
      <c r="T19878"/>
      <c r="U19878"/>
      <c r="X19878" s="60"/>
    </row>
    <row r="19879" spans="7:24" ht="15" customHeight="1">
      <c r="G19879"/>
      <c r="I19879"/>
      <c r="N19879"/>
      <c r="O19879" s="24"/>
      <c r="P19879"/>
      <c r="Q19879" s="24"/>
      <c r="R19879"/>
      <c r="S19879"/>
      <c r="T19879"/>
      <c r="U19879"/>
      <c r="X19879" s="60"/>
    </row>
    <row r="19880" spans="7:24" ht="15" customHeight="1">
      <c r="G19880"/>
      <c r="I19880"/>
      <c r="N19880"/>
      <c r="O19880" s="24"/>
      <c r="P19880"/>
      <c r="Q19880" s="24"/>
      <c r="R19880"/>
      <c r="S19880"/>
      <c r="T19880"/>
      <c r="U19880"/>
      <c r="X19880" s="60"/>
    </row>
    <row r="19881" spans="7:24" ht="15" customHeight="1">
      <c r="G19881"/>
      <c r="I19881"/>
      <c r="N19881"/>
      <c r="O19881" s="24"/>
      <c r="P19881"/>
      <c r="Q19881" s="24"/>
      <c r="R19881"/>
      <c r="S19881"/>
      <c r="T19881"/>
      <c r="U19881"/>
      <c r="X19881" s="60"/>
    </row>
    <row r="19882" spans="7:24" ht="15" customHeight="1">
      <c r="G19882"/>
      <c r="I19882"/>
      <c r="N19882"/>
      <c r="O19882" s="24"/>
      <c r="P19882"/>
      <c r="Q19882" s="24"/>
      <c r="R19882"/>
      <c r="S19882"/>
      <c r="T19882"/>
      <c r="U19882"/>
      <c r="X19882" s="60"/>
    </row>
    <row r="19883" spans="7:24" ht="15" customHeight="1">
      <c r="G19883"/>
      <c r="I19883"/>
      <c r="N19883"/>
      <c r="O19883" s="24"/>
      <c r="P19883"/>
      <c r="Q19883" s="24"/>
      <c r="R19883"/>
      <c r="S19883"/>
      <c r="T19883"/>
      <c r="U19883"/>
      <c r="X19883" s="60"/>
    </row>
    <row r="19884" spans="7:24" ht="15" customHeight="1">
      <c r="G19884"/>
      <c r="I19884"/>
      <c r="N19884"/>
      <c r="O19884" s="24"/>
      <c r="P19884"/>
      <c r="Q19884" s="24"/>
      <c r="R19884"/>
      <c r="S19884"/>
      <c r="T19884"/>
      <c r="U19884"/>
      <c r="X19884" s="60"/>
    </row>
    <row r="19885" spans="7:24" ht="15" customHeight="1">
      <c r="G19885"/>
      <c r="I19885"/>
      <c r="N19885"/>
      <c r="O19885" s="24"/>
      <c r="P19885"/>
      <c r="Q19885" s="24"/>
      <c r="R19885"/>
      <c r="S19885"/>
      <c r="T19885"/>
      <c r="U19885"/>
      <c r="X19885" s="60"/>
    </row>
    <row r="19886" spans="7:24" ht="15" customHeight="1">
      <c r="G19886"/>
      <c r="I19886"/>
      <c r="N19886"/>
      <c r="O19886" s="24"/>
      <c r="P19886"/>
      <c r="Q19886" s="24"/>
      <c r="R19886"/>
      <c r="S19886"/>
      <c r="T19886"/>
      <c r="U19886"/>
      <c r="X19886" s="60"/>
    </row>
    <row r="19887" spans="7:24" ht="15" customHeight="1">
      <c r="G19887"/>
      <c r="I19887"/>
      <c r="N19887"/>
      <c r="O19887" s="24"/>
      <c r="P19887"/>
      <c r="Q19887" s="24"/>
      <c r="R19887"/>
      <c r="S19887"/>
      <c r="T19887"/>
      <c r="U19887"/>
      <c r="X19887" s="60"/>
    </row>
    <row r="19888" spans="7:24" ht="15" customHeight="1">
      <c r="G19888"/>
      <c r="I19888"/>
      <c r="N19888"/>
      <c r="O19888" s="24"/>
      <c r="P19888"/>
      <c r="Q19888" s="24"/>
      <c r="R19888"/>
      <c r="S19888"/>
      <c r="T19888"/>
      <c r="U19888"/>
      <c r="X19888" s="60"/>
    </row>
    <row r="19889" spans="7:24" ht="15" customHeight="1">
      <c r="G19889"/>
      <c r="I19889"/>
      <c r="N19889"/>
      <c r="O19889" s="24"/>
      <c r="P19889"/>
      <c r="Q19889" s="24"/>
      <c r="R19889"/>
      <c r="S19889"/>
      <c r="T19889"/>
      <c r="U19889"/>
      <c r="X19889" s="60"/>
    </row>
    <row r="19890" spans="7:24" ht="15" customHeight="1">
      <c r="G19890"/>
      <c r="I19890"/>
      <c r="N19890"/>
      <c r="O19890" s="24"/>
      <c r="P19890"/>
      <c r="Q19890" s="24"/>
      <c r="R19890"/>
      <c r="S19890"/>
      <c r="T19890"/>
      <c r="U19890"/>
      <c r="X19890" s="60"/>
    </row>
    <row r="19891" spans="7:24" ht="15" customHeight="1">
      <c r="G19891"/>
      <c r="I19891"/>
      <c r="N19891"/>
      <c r="O19891" s="24"/>
      <c r="P19891"/>
      <c r="Q19891" s="24"/>
      <c r="R19891"/>
      <c r="S19891"/>
      <c r="T19891"/>
      <c r="U19891"/>
      <c r="X19891" s="60"/>
    </row>
    <row r="19892" spans="7:24" ht="15" customHeight="1">
      <c r="G19892"/>
      <c r="I19892"/>
      <c r="N19892"/>
      <c r="O19892" s="24"/>
      <c r="P19892"/>
      <c r="Q19892" s="24"/>
      <c r="R19892"/>
      <c r="S19892"/>
      <c r="T19892"/>
      <c r="U19892"/>
      <c r="X19892" s="60"/>
    </row>
    <row r="19893" spans="7:24" ht="15" customHeight="1">
      <c r="G19893"/>
      <c r="I19893"/>
      <c r="N19893"/>
      <c r="O19893" s="24"/>
      <c r="P19893"/>
      <c r="Q19893" s="24"/>
      <c r="R19893"/>
      <c r="S19893"/>
      <c r="T19893"/>
      <c r="U19893"/>
      <c r="X19893" s="60"/>
    </row>
    <row r="19894" spans="7:24" ht="15" customHeight="1">
      <c r="G19894"/>
      <c r="I19894"/>
      <c r="N19894"/>
      <c r="O19894" s="24"/>
      <c r="P19894"/>
      <c r="Q19894" s="24"/>
      <c r="R19894"/>
      <c r="S19894"/>
      <c r="T19894"/>
      <c r="U19894"/>
      <c r="X19894" s="60"/>
    </row>
    <row r="19895" spans="7:24" ht="15" customHeight="1">
      <c r="G19895"/>
      <c r="I19895"/>
      <c r="N19895"/>
      <c r="O19895" s="24"/>
      <c r="P19895"/>
      <c r="Q19895" s="24"/>
      <c r="R19895"/>
      <c r="S19895"/>
      <c r="T19895"/>
      <c r="U19895"/>
      <c r="X19895" s="60"/>
    </row>
    <row r="19896" spans="7:24" ht="15" customHeight="1">
      <c r="G19896"/>
      <c r="I19896"/>
      <c r="N19896"/>
      <c r="O19896" s="24"/>
      <c r="P19896"/>
      <c r="Q19896" s="24"/>
      <c r="R19896"/>
      <c r="S19896"/>
      <c r="T19896"/>
      <c r="U19896"/>
      <c r="X19896" s="60"/>
    </row>
    <row r="19897" spans="7:24" ht="15" customHeight="1">
      <c r="G19897"/>
      <c r="I19897"/>
      <c r="N19897"/>
      <c r="O19897" s="24"/>
      <c r="P19897"/>
      <c r="Q19897" s="24"/>
      <c r="R19897"/>
      <c r="S19897"/>
      <c r="T19897"/>
      <c r="U19897"/>
      <c r="X19897" s="60"/>
    </row>
    <row r="19898" spans="7:24" ht="15" customHeight="1">
      <c r="G19898"/>
      <c r="I19898"/>
      <c r="N19898"/>
      <c r="O19898" s="24"/>
      <c r="P19898"/>
      <c r="Q19898" s="24"/>
      <c r="R19898"/>
      <c r="S19898"/>
      <c r="T19898"/>
      <c r="U19898"/>
      <c r="X19898" s="60"/>
    </row>
    <row r="19899" spans="7:24" ht="15" customHeight="1">
      <c r="G19899"/>
      <c r="I19899"/>
      <c r="N19899"/>
      <c r="O19899" s="24"/>
      <c r="P19899"/>
      <c r="Q19899" s="24"/>
      <c r="R19899"/>
      <c r="S19899"/>
      <c r="T19899"/>
      <c r="U19899"/>
      <c r="X19899" s="60"/>
    </row>
    <row r="19900" spans="7:24" ht="15" customHeight="1">
      <c r="G19900"/>
      <c r="I19900"/>
      <c r="N19900"/>
      <c r="O19900" s="24"/>
      <c r="P19900"/>
      <c r="Q19900" s="24"/>
      <c r="R19900"/>
      <c r="S19900"/>
      <c r="T19900"/>
      <c r="U19900"/>
      <c r="X19900" s="60"/>
    </row>
    <row r="19901" spans="7:24" ht="15" customHeight="1">
      <c r="G19901"/>
      <c r="I19901"/>
      <c r="N19901"/>
      <c r="O19901" s="24"/>
      <c r="P19901"/>
      <c r="Q19901" s="24"/>
      <c r="R19901"/>
      <c r="S19901"/>
      <c r="T19901"/>
      <c r="U19901"/>
      <c r="X19901" s="60"/>
    </row>
    <row r="19902" spans="7:24" ht="15" customHeight="1">
      <c r="G19902"/>
      <c r="I19902"/>
      <c r="N19902"/>
      <c r="O19902" s="24"/>
      <c r="P19902"/>
      <c r="Q19902" s="24"/>
      <c r="R19902"/>
      <c r="S19902"/>
      <c r="T19902"/>
      <c r="U19902"/>
      <c r="X19902" s="60"/>
    </row>
    <row r="19903" spans="7:24" ht="15" customHeight="1">
      <c r="G19903"/>
      <c r="I19903"/>
      <c r="N19903"/>
      <c r="O19903" s="24"/>
      <c r="P19903"/>
      <c r="Q19903" s="24"/>
      <c r="R19903"/>
      <c r="S19903"/>
      <c r="T19903"/>
      <c r="U19903"/>
      <c r="X19903" s="60"/>
    </row>
    <row r="19904" spans="7:24" ht="15" customHeight="1">
      <c r="G19904"/>
      <c r="I19904"/>
      <c r="N19904"/>
      <c r="O19904" s="24"/>
      <c r="P19904"/>
      <c r="Q19904" s="24"/>
      <c r="R19904"/>
      <c r="S19904"/>
      <c r="T19904"/>
      <c r="U19904"/>
      <c r="X19904" s="60"/>
    </row>
    <row r="19905" spans="7:24" ht="15" customHeight="1">
      <c r="G19905"/>
      <c r="I19905"/>
      <c r="N19905"/>
      <c r="O19905" s="24"/>
      <c r="P19905"/>
      <c r="Q19905" s="24"/>
      <c r="R19905"/>
      <c r="S19905"/>
      <c r="T19905"/>
      <c r="U19905"/>
      <c r="X19905" s="60"/>
    </row>
    <row r="19906" spans="7:24" ht="15" customHeight="1">
      <c r="G19906"/>
      <c r="I19906"/>
      <c r="N19906"/>
      <c r="O19906" s="24"/>
      <c r="P19906"/>
      <c r="Q19906" s="24"/>
      <c r="R19906"/>
      <c r="S19906"/>
      <c r="T19906"/>
      <c r="U19906"/>
      <c r="X19906" s="60"/>
    </row>
    <row r="19907" spans="7:24" ht="15" customHeight="1">
      <c r="G19907"/>
      <c r="I19907"/>
      <c r="N19907"/>
      <c r="O19907" s="24"/>
      <c r="P19907"/>
      <c r="Q19907" s="24"/>
      <c r="R19907"/>
      <c r="S19907"/>
      <c r="T19907"/>
      <c r="U19907"/>
      <c r="X19907" s="60"/>
    </row>
    <row r="19908" spans="7:24" ht="15" customHeight="1">
      <c r="G19908"/>
      <c r="I19908"/>
      <c r="N19908"/>
      <c r="O19908" s="24"/>
      <c r="P19908"/>
      <c r="Q19908" s="24"/>
      <c r="R19908"/>
      <c r="S19908"/>
      <c r="T19908"/>
      <c r="U19908"/>
      <c r="X19908" s="60"/>
    </row>
    <row r="19909" spans="7:24" ht="15" customHeight="1">
      <c r="G19909"/>
      <c r="I19909"/>
      <c r="N19909"/>
      <c r="O19909" s="24"/>
      <c r="P19909"/>
      <c r="Q19909" s="24"/>
      <c r="R19909"/>
      <c r="S19909"/>
      <c r="T19909"/>
      <c r="U19909"/>
      <c r="X19909" s="60"/>
    </row>
    <row r="19910" spans="7:24" ht="15" customHeight="1">
      <c r="G19910"/>
      <c r="I19910"/>
      <c r="N19910"/>
      <c r="O19910" s="24"/>
      <c r="P19910"/>
      <c r="Q19910" s="24"/>
      <c r="R19910"/>
      <c r="S19910"/>
      <c r="T19910"/>
      <c r="U19910"/>
      <c r="X19910" s="60"/>
    </row>
    <row r="19911" spans="7:24" ht="15" customHeight="1">
      <c r="G19911"/>
      <c r="I19911"/>
      <c r="N19911"/>
      <c r="O19911" s="24"/>
      <c r="P19911"/>
      <c r="Q19911" s="24"/>
      <c r="R19911"/>
      <c r="S19911"/>
      <c r="T19911"/>
      <c r="U19911"/>
      <c r="X19911" s="60"/>
    </row>
    <row r="19912" spans="7:24" ht="15" customHeight="1">
      <c r="G19912"/>
      <c r="I19912"/>
      <c r="N19912"/>
      <c r="O19912" s="24"/>
      <c r="P19912"/>
      <c r="Q19912" s="24"/>
      <c r="R19912"/>
      <c r="S19912"/>
      <c r="T19912"/>
      <c r="U19912"/>
      <c r="X19912" s="60"/>
    </row>
    <row r="19913" spans="7:24" ht="15" customHeight="1">
      <c r="G19913"/>
      <c r="I19913"/>
      <c r="N19913"/>
      <c r="O19913" s="24"/>
      <c r="P19913"/>
      <c r="Q19913" s="24"/>
      <c r="R19913"/>
      <c r="S19913"/>
      <c r="T19913"/>
      <c r="U19913"/>
      <c r="X19913" s="60"/>
    </row>
    <row r="19914" spans="7:24" ht="15" customHeight="1">
      <c r="G19914"/>
      <c r="I19914"/>
      <c r="N19914"/>
      <c r="O19914" s="24"/>
      <c r="P19914"/>
      <c r="Q19914" s="24"/>
      <c r="R19914"/>
      <c r="S19914"/>
      <c r="T19914"/>
      <c r="U19914"/>
      <c r="X19914" s="60"/>
    </row>
    <row r="19915" spans="7:24" ht="15" customHeight="1">
      <c r="G19915"/>
      <c r="I19915"/>
      <c r="N19915"/>
      <c r="O19915" s="24"/>
      <c r="P19915"/>
      <c r="Q19915" s="24"/>
      <c r="R19915"/>
      <c r="S19915"/>
      <c r="T19915"/>
      <c r="U19915"/>
      <c r="X19915" s="60"/>
    </row>
    <row r="19916" spans="7:24" ht="15" customHeight="1">
      <c r="G19916"/>
      <c r="I19916"/>
      <c r="N19916"/>
      <c r="O19916" s="24"/>
      <c r="P19916"/>
      <c r="Q19916" s="24"/>
      <c r="R19916"/>
      <c r="S19916"/>
      <c r="T19916"/>
      <c r="U19916"/>
      <c r="X19916" s="60"/>
    </row>
    <row r="19917" spans="7:24" ht="15" customHeight="1">
      <c r="G19917"/>
      <c r="I19917"/>
      <c r="N19917"/>
      <c r="O19917" s="24"/>
      <c r="P19917"/>
      <c r="Q19917" s="24"/>
      <c r="R19917"/>
      <c r="S19917"/>
      <c r="T19917"/>
      <c r="U19917"/>
      <c r="X19917" s="60"/>
    </row>
    <row r="19918" spans="7:24" ht="15" customHeight="1">
      <c r="G19918"/>
      <c r="I19918"/>
      <c r="N19918"/>
      <c r="O19918" s="24"/>
      <c r="P19918"/>
      <c r="Q19918" s="24"/>
      <c r="R19918"/>
      <c r="S19918"/>
      <c r="T19918"/>
      <c r="U19918"/>
      <c r="X19918" s="60"/>
    </row>
    <row r="19919" spans="7:24" ht="15" customHeight="1">
      <c r="G19919"/>
      <c r="I19919"/>
      <c r="N19919"/>
      <c r="O19919" s="24"/>
      <c r="P19919"/>
      <c r="Q19919" s="24"/>
      <c r="R19919"/>
      <c r="S19919"/>
      <c r="T19919"/>
      <c r="U19919"/>
      <c r="X19919" s="60"/>
    </row>
    <row r="19920" spans="7:24" ht="15" customHeight="1">
      <c r="G19920"/>
      <c r="I19920"/>
      <c r="N19920"/>
      <c r="O19920" s="24"/>
      <c r="P19920"/>
      <c r="Q19920" s="24"/>
      <c r="R19920"/>
      <c r="S19920"/>
      <c r="T19920"/>
      <c r="U19920"/>
      <c r="X19920" s="60"/>
    </row>
    <row r="19921" spans="7:24" ht="15" customHeight="1">
      <c r="G19921"/>
      <c r="I19921"/>
      <c r="N19921"/>
      <c r="O19921" s="24"/>
      <c r="P19921"/>
      <c r="Q19921" s="24"/>
      <c r="R19921"/>
      <c r="S19921"/>
      <c r="T19921"/>
      <c r="U19921"/>
      <c r="X19921" s="60"/>
    </row>
    <row r="19922" spans="7:24" ht="15" customHeight="1">
      <c r="G19922"/>
      <c r="I19922"/>
      <c r="N19922"/>
      <c r="O19922" s="24"/>
      <c r="P19922"/>
      <c r="Q19922" s="24"/>
      <c r="R19922"/>
      <c r="S19922"/>
      <c r="T19922"/>
      <c r="U19922"/>
      <c r="X19922" s="60"/>
    </row>
    <row r="19923" spans="7:24" ht="15" customHeight="1">
      <c r="G19923"/>
      <c r="I19923"/>
      <c r="N19923"/>
      <c r="O19923" s="24"/>
      <c r="P19923"/>
      <c r="Q19923" s="24"/>
      <c r="R19923"/>
      <c r="S19923"/>
      <c r="T19923"/>
      <c r="U19923"/>
      <c r="X19923" s="60"/>
    </row>
    <row r="19924" spans="7:24" ht="15" customHeight="1">
      <c r="G19924"/>
      <c r="I19924"/>
      <c r="N19924"/>
      <c r="O19924" s="24"/>
      <c r="P19924"/>
      <c r="Q19924" s="24"/>
      <c r="R19924"/>
      <c r="S19924"/>
      <c r="T19924"/>
      <c r="U19924"/>
      <c r="X19924" s="60"/>
    </row>
    <row r="19925" spans="7:24" ht="15" customHeight="1">
      <c r="G19925"/>
      <c r="I19925"/>
      <c r="N19925"/>
      <c r="O19925" s="24"/>
      <c r="P19925"/>
      <c r="Q19925" s="24"/>
      <c r="R19925"/>
      <c r="S19925"/>
      <c r="T19925"/>
      <c r="U19925"/>
      <c r="X19925" s="60"/>
    </row>
    <row r="19926" spans="7:24" ht="15" customHeight="1">
      <c r="G19926"/>
      <c r="I19926"/>
      <c r="N19926"/>
      <c r="O19926" s="24"/>
      <c r="P19926"/>
      <c r="Q19926" s="24"/>
      <c r="R19926"/>
      <c r="S19926"/>
      <c r="T19926"/>
      <c r="U19926"/>
      <c r="X19926" s="60"/>
    </row>
    <row r="19927" spans="7:24" ht="15" customHeight="1">
      <c r="G19927"/>
      <c r="I19927"/>
      <c r="N19927"/>
      <c r="O19927" s="24"/>
      <c r="P19927"/>
      <c r="Q19927" s="24"/>
      <c r="R19927"/>
      <c r="S19927"/>
      <c r="T19927"/>
      <c r="U19927"/>
      <c r="X19927" s="60"/>
    </row>
    <row r="19928" spans="7:24" ht="15" customHeight="1">
      <c r="G19928"/>
      <c r="I19928"/>
      <c r="N19928"/>
      <c r="O19928" s="24"/>
      <c r="P19928"/>
      <c r="Q19928" s="24"/>
      <c r="R19928"/>
      <c r="S19928"/>
      <c r="T19928"/>
      <c r="U19928"/>
      <c r="X19928" s="60"/>
    </row>
    <row r="19929" spans="7:24" ht="15" customHeight="1">
      <c r="G19929"/>
      <c r="I19929"/>
      <c r="N19929"/>
      <c r="O19929" s="24"/>
      <c r="P19929"/>
      <c r="Q19929" s="24"/>
      <c r="R19929"/>
      <c r="S19929"/>
      <c r="T19929"/>
      <c r="U19929"/>
      <c r="X19929" s="60"/>
    </row>
    <row r="19930" spans="7:24" ht="15" customHeight="1">
      <c r="G19930"/>
      <c r="I19930"/>
      <c r="N19930"/>
      <c r="O19930" s="24"/>
      <c r="P19930"/>
      <c r="Q19930" s="24"/>
      <c r="R19930"/>
      <c r="S19930"/>
      <c r="T19930"/>
      <c r="U19930"/>
      <c r="X19930" s="60"/>
    </row>
    <row r="19931" spans="7:24" ht="15" customHeight="1">
      <c r="G19931"/>
      <c r="I19931"/>
      <c r="N19931"/>
      <c r="O19931" s="24"/>
      <c r="P19931"/>
      <c r="Q19931" s="24"/>
      <c r="R19931"/>
      <c r="S19931"/>
      <c r="T19931"/>
      <c r="U19931"/>
      <c r="X19931" s="60"/>
    </row>
    <row r="19932" spans="7:24" ht="15" customHeight="1">
      <c r="G19932"/>
      <c r="I19932"/>
      <c r="N19932"/>
      <c r="O19932" s="24"/>
      <c r="P19932"/>
      <c r="Q19932" s="24"/>
      <c r="R19932"/>
      <c r="S19932"/>
      <c r="T19932"/>
      <c r="U19932"/>
      <c r="X19932" s="60"/>
    </row>
    <row r="19933" spans="7:24" ht="15" customHeight="1">
      <c r="G19933"/>
      <c r="I19933"/>
      <c r="N19933"/>
      <c r="O19933" s="24"/>
      <c r="P19933"/>
      <c r="Q19933" s="24"/>
      <c r="R19933"/>
      <c r="S19933"/>
      <c r="T19933"/>
      <c r="U19933"/>
      <c r="X19933" s="60"/>
    </row>
    <row r="19934" spans="7:24" ht="15" customHeight="1">
      <c r="G19934"/>
      <c r="I19934"/>
      <c r="N19934"/>
      <c r="O19934" s="24"/>
      <c r="P19934"/>
      <c r="Q19934" s="24"/>
      <c r="R19934"/>
      <c r="S19934"/>
      <c r="T19934"/>
      <c r="U19934"/>
      <c r="X19934" s="60"/>
    </row>
    <row r="19935" spans="7:24" ht="15" customHeight="1">
      <c r="G19935"/>
      <c r="I19935"/>
      <c r="N19935"/>
      <c r="O19935" s="24"/>
      <c r="P19935"/>
      <c r="Q19935" s="24"/>
      <c r="R19935"/>
      <c r="S19935"/>
      <c r="T19935"/>
      <c r="U19935"/>
      <c r="X19935" s="60"/>
    </row>
    <row r="19936" spans="7:24" ht="15" customHeight="1">
      <c r="G19936"/>
      <c r="I19936"/>
      <c r="N19936"/>
      <c r="O19936" s="24"/>
      <c r="P19936"/>
      <c r="Q19936" s="24"/>
      <c r="R19936"/>
      <c r="S19936"/>
      <c r="T19936"/>
      <c r="U19936"/>
      <c r="X19936" s="60"/>
    </row>
    <row r="19937" spans="7:24" ht="15" customHeight="1">
      <c r="G19937"/>
      <c r="I19937"/>
      <c r="N19937"/>
      <c r="O19937" s="24"/>
      <c r="P19937"/>
      <c r="Q19937" s="24"/>
      <c r="R19937"/>
      <c r="S19937"/>
      <c r="T19937"/>
      <c r="U19937"/>
      <c r="X19937" s="60"/>
    </row>
    <row r="19938" spans="7:24" ht="15" customHeight="1">
      <c r="G19938"/>
      <c r="I19938"/>
      <c r="N19938"/>
      <c r="O19938" s="24"/>
      <c r="P19938"/>
      <c r="Q19938" s="24"/>
      <c r="R19938"/>
      <c r="S19938"/>
      <c r="T19938"/>
      <c r="U19938"/>
      <c r="X19938" s="60"/>
    </row>
    <row r="19939" spans="7:24" ht="15" customHeight="1">
      <c r="G19939"/>
      <c r="I19939"/>
      <c r="N19939"/>
      <c r="O19939" s="24"/>
      <c r="P19939"/>
      <c r="Q19939" s="24"/>
      <c r="R19939"/>
      <c r="S19939"/>
      <c r="T19939"/>
      <c r="U19939"/>
      <c r="X19939" s="60"/>
    </row>
    <row r="19940" spans="7:24" ht="15" customHeight="1">
      <c r="G19940"/>
      <c r="I19940"/>
      <c r="N19940"/>
      <c r="O19940" s="24"/>
      <c r="P19940"/>
      <c r="Q19940" s="24"/>
      <c r="R19940"/>
      <c r="S19940"/>
      <c r="T19940"/>
      <c r="U19940"/>
      <c r="X19940" s="60"/>
    </row>
    <row r="19941" spans="7:24" ht="15" customHeight="1">
      <c r="G19941"/>
      <c r="I19941"/>
      <c r="N19941"/>
      <c r="O19941" s="24"/>
      <c r="P19941"/>
      <c r="Q19941" s="24"/>
      <c r="R19941"/>
      <c r="S19941"/>
      <c r="T19941"/>
      <c r="U19941"/>
      <c r="X19941" s="60"/>
    </row>
    <row r="19942" spans="7:24" ht="15" customHeight="1">
      <c r="G19942"/>
      <c r="I19942"/>
      <c r="N19942"/>
      <c r="O19942" s="24"/>
      <c r="P19942"/>
      <c r="Q19942" s="24"/>
      <c r="R19942"/>
      <c r="S19942"/>
      <c r="T19942"/>
      <c r="U19942"/>
      <c r="X19942" s="60"/>
    </row>
    <row r="19943" spans="7:24" ht="15" customHeight="1">
      <c r="G19943"/>
      <c r="I19943"/>
      <c r="N19943"/>
      <c r="O19943" s="24"/>
      <c r="P19943"/>
      <c r="Q19943" s="24"/>
      <c r="R19943"/>
      <c r="S19943"/>
      <c r="T19943"/>
      <c r="U19943"/>
      <c r="X19943" s="60"/>
    </row>
    <row r="19944" spans="7:24" ht="15" customHeight="1">
      <c r="G19944"/>
      <c r="I19944"/>
      <c r="N19944"/>
      <c r="O19944" s="24"/>
      <c r="P19944"/>
      <c r="Q19944" s="24"/>
      <c r="R19944"/>
      <c r="S19944"/>
      <c r="T19944"/>
      <c r="U19944"/>
      <c r="X19944" s="60"/>
    </row>
    <row r="19945" spans="7:24" ht="15" customHeight="1">
      <c r="G19945"/>
      <c r="I19945"/>
      <c r="N19945"/>
      <c r="O19945" s="24"/>
      <c r="P19945"/>
      <c r="Q19945" s="24"/>
      <c r="R19945"/>
      <c r="S19945"/>
      <c r="T19945"/>
      <c r="U19945"/>
      <c r="X19945" s="60"/>
    </row>
    <row r="19946" spans="7:24" ht="15" customHeight="1">
      <c r="G19946"/>
      <c r="I19946"/>
      <c r="N19946"/>
      <c r="O19946" s="24"/>
      <c r="P19946"/>
      <c r="Q19946" s="24"/>
      <c r="R19946"/>
      <c r="S19946"/>
      <c r="T19946"/>
      <c r="U19946"/>
      <c r="X19946" s="60"/>
    </row>
    <row r="19947" spans="7:24" ht="15" customHeight="1">
      <c r="G19947"/>
      <c r="I19947"/>
      <c r="N19947"/>
      <c r="O19947" s="24"/>
      <c r="P19947"/>
      <c r="Q19947" s="24"/>
      <c r="R19947"/>
      <c r="S19947"/>
      <c r="T19947"/>
      <c r="U19947"/>
      <c r="X19947" s="60"/>
    </row>
    <row r="19948" spans="7:24" ht="15" customHeight="1">
      <c r="G19948"/>
      <c r="I19948"/>
      <c r="N19948"/>
      <c r="O19948" s="24"/>
      <c r="P19948"/>
      <c r="Q19948" s="24"/>
      <c r="R19948"/>
      <c r="S19948"/>
      <c r="T19948"/>
      <c r="U19948"/>
      <c r="X19948" s="60"/>
    </row>
    <row r="19949" spans="7:24" ht="15" customHeight="1">
      <c r="G19949"/>
      <c r="I19949"/>
      <c r="N19949"/>
      <c r="O19949" s="24"/>
      <c r="P19949"/>
      <c r="Q19949" s="24"/>
      <c r="R19949"/>
      <c r="S19949"/>
      <c r="T19949"/>
      <c r="U19949"/>
      <c r="X19949" s="60"/>
    </row>
    <row r="19950" spans="7:24" ht="15" customHeight="1">
      <c r="G19950"/>
      <c r="I19950"/>
      <c r="N19950"/>
      <c r="O19950" s="24"/>
      <c r="P19950"/>
      <c r="Q19950" s="24"/>
      <c r="R19950"/>
      <c r="S19950"/>
      <c r="T19950"/>
      <c r="U19950"/>
      <c r="X19950" s="60"/>
    </row>
    <row r="19951" spans="7:24" ht="15" customHeight="1">
      <c r="G19951"/>
      <c r="I19951"/>
      <c r="N19951"/>
      <c r="O19951" s="24"/>
      <c r="P19951"/>
      <c r="Q19951" s="24"/>
      <c r="R19951"/>
      <c r="S19951"/>
      <c r="T19951"/>
      <c r="U19951"/>
      <c r="X19951" s="60"/>
    </row>
    <row r="19952" spans="7:24" ht="15" customHeight="1">
      <c r="G19952"/>
      <c r="I19952"/>
      <c r="N19952"/>
      <c r="O19952" s="24"/>
      <c r="P19952"/>
      <c r="Q19952" s="24"/>
      <c r="R19952"/>
      <c r="S19952"/>
      <c r="T19952"/>
      <c r="U19952"/>
      <c r="X19952" s="60"/>
    </row>
    <row r="19953" spans="7:24" ht="15" customHeight="1">
      <c r="G19953"/>
      <c r="I19953"/>
      <c r="N19953"/>
      <c r="O19953" s="24"/>
      <c r="P19953"/>
      <c r="Q19953" s="24"/>
      <c r="R19953"/>
      <c r="S19953"/>
      <c r="T19953"/>
      <c r="U19953"/>
      <c r="X19953" s="60"/>
    </row>
    <row r="19954" spans="7:24" ht="15" customHeight="1">
      <c r="G19954"/>
      <c r="I19954"/>
      <c r="N19954"/>
      <c r="O19954" s="24"/>
      <c r="P19954"/>
      <c r="Q19954" s="24"/>
      <c r="R19954"/>
      <c r="S19954"/>
      <c r="T19954"/>
      <c r="U19954"/>
      <c r="X19954" s="60"/>
    </row>
    <row r="19955" spans="7:24" ht="15" customHeight="1">
      <c r="G19955"/>
      <c r="I19955"/>
      <c r="N19955"/>
      <c r="O19955" s="24"/>
      <c r="P19955"/>
      <c r="Q19955" s="24"/>
      <c r="R19955"/>
      <c r="S19955"/>
      <c r="T19955"/>
      <c r="U19955"/>
      <c r="X19955" s="60"/>
    </row>
    <row r="19956" spans="7:24" ht="15" customHeight="1">
      <c r="G19956"/>
      <c r="I19956"/>
      <c r="N19956"/>
      <c r="O19956" s="24"/>
      <c r="P19956"/>
      <c r="Q19956" s="24"/>
      <c r="R19956"/>
      <c r="S19956"/>
      <c r="T19956"/>
      <c r="U19956"/>
      <c r="X19956" s="60"/>
    </row>
    <row r="19957" spans="7:24" ht="15" customHeight="1">
      <c r="G19957"/>
      <c r="I19957"/>
      <c r="N19957"/>
      <c r="O19957" s="24"/>
      <c r="P19957"/>
      <c r="Q19957" s="24"/>
      <c r="R19957"/>
      <c r="S19957"/>
      <c r="T19957"/>
      <c r="U19957"/>
      <c r="X19957" s="60"/>
    </row>
    <row r="19958" spans="7:24" ht="15" customHeight="1">
      <c r="G19958"/>
      <c r="I19958"/>
      <c r="N19958"/>
      <c r="O19958" s="24"/>
      <c r="P19958"/>
      <c r="Q19958" s="24"/>
      <c r="R19958"/>
      <c r="S19958"/>
      <c r="T19958"/>
      <c r="U19958"/>
      <c r="X19958" s="60"/>
    </row>
    <row r="19959" spans="7:24" ht="15" customHeight="1">
      <c r="G19959"/>
      <c r="I19959"/>
      <c r="N19959"/>
      <c r="O19959" s="24"/>
      <c r="P19959"/>
      <c r="Q19959" s="24"/>
      <c r="R19959"/>
      <c r="S19959"/>
      <c r="T19959"/>
      <c r="U19959"/>
      <c r="X19959" s="60"/>
    </row>
    <row r="19960" spans="7:24" ht="15" customHeight="1">
      <c r="G19960"/>
      <c r="I19960"/>
      <c r="N19960"/>
      <c r="O19960" s="24"/>
      <c r="P19960"/>
      <c r="Q19960" s="24"/>
      <c r="R19960"/>
      <c r="S19960"/>
      <c r="T19960"/>
      <c r="U19960"/>
      <c r="X19960" s="60"/>
    </row>
    <row r="19961" spans="7:24" ht="15" customHeight="1">
      <c r="G19961"/>
      <c r="I19961"/>
      <c r="N19961"/>
      <c r="O19961" s="24"/>
      <c r="P19961"/>
      <c r="Q19961" s="24"/>
      <c r="R19961"/>
      <c r="S19961"/>
      <c r="T19961"/>
      <c r="U19961"/>
      <c r="X19961" s="60"/>
    </row>
    <row r="19962" spans="7:24" ht="15" customHeight="1">
      <c r="G19962"/>
      <c r="I19962"/>
      <c r="N19962"/>
      <c r="O19962" s="24"/>
      <c r="P19962"/>
      <c r="Q19962" s="24"/>
      <c r="R19962"/>
      <c r="S19962"/>
      <c r="T19962"/>
      <c r="U19962"/>
      <c r="X19962" s="60"/>
    </row>
    <row r="19963" spans="7:24" ht="15" customHeight="1">
      <c r="G19963"/>
      <c r="I19963"/>
      <c r="N19963"/>
      <c r="O19963" s="24"/>
      <c r="P19963"/>
      <c r="Q19963" s="24"/>
      <c r="R19963"/>
      <c r="S19963"/>
      <c r="T19963"/>
      <c r="U19963"/>
      <c r="X19963" s="60"/>
    </row>
    <row r="19964" spans="7:24" ht="15" customHeight="1">
      <c r="G19964"/>
      <c r="I19964"/>
      <c r="N19964"/>
      <c r="O19964" s="24"/>
      <c r="P19964"/>
      <c r="Q19964" s="24"/>
      <c r="R19964"/>
      <c r="S19964"/>
      <c r="T19964"/>
      <c r="U19964"/>
      <c r="X19964" s="60"/>
    </row>
    <row r="19965" spans="7:24" ht="15" customHeight="1">
      <c r="G19965"/>
      <c r="I19965"/>
      <c r="N19965"/>
      <c r="O19965" s="24"/>
      <c r="P19965"/>
      <c r="Q19965" s="24"/>
      <c r="R19965"/>
      <c r="S19965"/>
      <c r="T19965"/>
      <c r="U19965"/>
      <c r="X19965" s="60"/>
    </row>
    <row r="19966" spans="7:24" ht="15" customHeight="1">
      <c r="G19966"/>
      <c r="I19966"/>
      <c r="N19966"/>
      <c r="O19966" s="24"/>
      <c r="P19966"/>
      <c r="Q19966" s="24"/>
      <c r="R19966"/>
      <c r="S19966"/>
      <c r="T19966"/>
      <c r="U19966"/>
      <c r="X19966" s="60"/>
    </row>
    <row r="19967" spans="7:24" ht="15" customHeight="1">
      <c r="G19967"/>
      <c r="I19967"/>
      <c r="N19967"/>
      <c r="O19967" s="24"/>
      <c r="P19967"/>
      <c r="Q19967" s="24"/>
      <c r="R19967"/>
      <c r="S19967"/>
      <c r="T19967"/>
      <c r="U19967"/>
      <c r="X19967" s="60"/>
    </row>
    <row r="19968" spans="7:24" ht="15" customHeight="1">
      <c r="G19968"/>
      <c r="I19968"/>
      <c r="N19968"/>
      <c r="O19968" s="24"/>
      <c r="P19968"/>
      <c r="Q19968" s="24"/>
      <c r="R19968"/>
      <c r="S19968"/>
      <c r="T19968"/>
      <c r="U19968"/>
      <c r="X19968" s="60"/>
    </row>
    <row r="19969" spans="7:24" ht="15" customHeight="1">
      <c r="G19969"/>
      <c r="I19969"/>
      <c r="N19969"/>
      <c r="O19969" s="24"/>
      <c r="P19969"/>
      <c r="Q19969" s="24"/>
      <c r="R19969"/>
      <c r="S19969"/>
      <c r="T19969"/>
      <c r="U19969"/>
      <c r="X19969" s="60"/>
    </row>
    <row r="19970" spans="7:24" ht="15" customHeight="1">
      <c r="G19970"/>
      <c r="I19970"/>
      <c r="N19970"/>
      <c r="O19970" s="24"/>
      <c r="P19970"/>
      <c r="Q19970" s="24"/>
      <c r="R19970"/>
      <c r="S19970"/>
      <c r="T19970"/>
      <c r="U19970"/>
      <c r="X19970" s="60"/>
    </row>
    <row r="19971" spans="7:24" ht="15" customHeight="1">
      <c r="G19971"/>
      <c r="I19971"/>
      <c r="N19971"/>
      <c r="O19971" s="24"/>
      <c r="P19971"/>
      <c r="Q19971" s="24"/>
      <c r="R19971"/>
      <c r="S19971"/>
      <c r="T19971"/>
      <c r="U19971"/>
      <c r="X19971" s="60"/>
    </row>
    <row r="19972" spans="7:24" ht="15" customHeight="1">
      <c r="G19972"/>
      <c r="I19972"/>
      <c r="N19972"/>
      <c r="O19972" s="24"/>
      <c r="P19972"/>
      <c r="Q19972" s="24"/>
      <c r="R19972"/>
      <c r="S19972"/>
      <c r="T19972"/>
      <c r="U19972"/>
      <c r="X19972" s="60"/>
    </row>
    <row r="19973" spans="7:24" ht="15" customHeight="1">
      <c r="G19973"/>
      <c r="I19973"/>
      <c r="N19973"/>
      <c r="O19973" s="24"/>
      <c r="P19973"/>
      <c r="Q19973" s="24"/>
      <c r="R19973"/>
      <c r="S19973"/>
      <c r="T19973"/>
      <c r="U19973"/>
      <c r="X19973" s="60"/>
    </row>
    <row r="19974" spans="7:24" ht="15" customHeight="1">
      <c r="G19974"/>
      <c r="I19974"/>
      <c r="N19974"/>
      <c r="O19974" s="24"/>
      <c r="P19974"/>
      <c r="Q19974" s="24"/>
      <c r="R19974"/>
      <c r="S19974"/>
      <c r="T19974"/>
      <c r="U19974"/>
      <c r="X19974" s="60"/>
    </row>
    <row r="19975" spans="7:24" ht="15" customHeight="1">
      <c r="G19975"/>
      <c r="I19975"/>
      <c r="N19975"/>
      <c r="O19975" s="24"/>
      <c r="P19975"/>
      <c r="Q19975" s="24"/>
      <c r="R19975"/>
      <c r="S19975"/>
      <c r="T19975"/>
      <c r="U19975"/>
      <c r="X19975" s="60"/>
    </row>
    <row r="19976" spans="7:24" ht="15" customHeight="1">
      <c r="G19976"/>
      <c r="I19976"/>
      <c r="N19976"/>
      <c r="O19976" s="24"/>
      <c r="P19976"/>
      <c r="Q19976" s="24"/>
      <c r="R19976"/>
      <c r="S19976"/>
      <c r="T19976"/>
      <c r="U19976"/>
      <c r="X19976" s="60"/>
    </row>
    <row r="19977" spans="7:24" ht="15" customHeight="1">
      <c r="G19977"/>
      <c r="I19977"/>
      <c r="N19977"/>
      <c r="O19977" s="24"/>
      <c r="P19977"/>
      <c r="Q19977" s="24"/>
      <c r="R19977"/>
      <c r="S19977"/>
      <c r="T19977"/>
      <c r="U19977"/>
      <c r="X19977" s="60"/>
    </row>
    <row r="19978" spans="7:24" ht="15" customHeight="1">
      <c r="G19978"/>
      <c r="I19978"/>
      <c r="N19978"/>
      <c r="O19978" s="24"/>
      <c r="P19978"/>
      <c r="Q19978" s="24"/>
      <c r="R19978"/>
      <c r="S19978"/>
      <c r="T19978"/>
      <c r="U19978"/>
      <c r="X19978" s="60"/>
    </row>
    <row r="19979" spans="7:24" ht="15" customHeight="1">
      <c r="G19979"/>
      <c r="I19979"/>
      <c r="N19979"/>
      <c r="O19979" s="24"/>
      <c r="P19979"/>
      <c r="Q19979" s="24"/>
      <c r="R19979"/>
      <c r="S19979"/>
      <c r="T19979"/>
      <c r="U19979"/>
      <c r="X19979" s="60"/>
    </row>
    <row r="19980" spans="7:24" ht="15" customHeight="1">
      <c r="G19980"/>
      <c r="I19980"/>
      <c r="N19980"/>
      <c r="O19980" s="24"/>
      <c r="P19980"/>
      <c r="Q19980" s="24"/>
      <c r="R19980"/>
      <c r="S19980"/>
      <c r="T19980"/>
      <c r="U19980"/>
      <c r="X19980" s="60"/>
    </row>
    <row r="19981" spans="7:24" ht="15" customHeight="1">
      <c r="G19981"/>
      <c r="I19981"/>
      <c r="N19981"/>
      <c r="O19981" s="24"/>
      <c r="P19981"/>
      <c r="Q19981" s="24"/>
      <c r="R19981"/>
      <c r="S19981"/>
      <c r="T19981"/>
      <c r="U19981"/>
      <c r="X19981" s="60"/>
    </row>
    <row r="19982" spans="7:24" ht="15" customHeight="1">
      <c r="G19982"/>
      <c r="I19982"/>
      <c r="N19982"/>
      <c r="O19982" s="24"/>
      <c r="P19982"/>
      <c r="Q19982" s="24"/>
      <c r="R19982"/>
      <c r="S19982"/>
      <c r="T19982"/>
      <c r="U19982"/>
      <c r="X19982" s="60"/>
    </row>
    <row r="19983" spans="7:24" ht="15" customHeight="1">
      <c r="G19983"/>
      <c r="I19983"/>
      <c r="N19983"/>
      <c r="O19983" s="24"/>
      <c r="P19983"/>
      <c r="Q19983" s="24"/>
      <c r="R19983"/>
      <c r="S19983"/>
      <c r="T19983"/>
      <c r="U19983"/>
      <c r="X19983" s="60"/>
    </row>
    <row r="19984" spans="7:24" ht="15" customHeight="1">
      <c r="G19984"/>
      <c r="I19984"/>
      <c r="N19984"/>
      <c r="O19984" s="24"/>
      <c r="P19984"/>
      <c r="Q19984" s="24"/>
      <c r="R19984"/>
      <c r="S19984"/>
      <c r="T19984"/>
      <c r="U19984"/>
      <c r="X19984" s="60"/>
    </row>
    <row r="19985" spans="7:24" ht="15" customHeight="1">
      <c r="G19985"/>
      <c r="I19985"/>
      <c r="N19985"/>
      <c r="O19985" s="24"/>
      <c r="P19985"/>
      <c r="Q19985" s="24"/>
      <c r="R19985"/>
      <c r="S19985"/>
      <c r="T19985"/>
      <c r="U19985"/>
      <c r="X19985" s="60"/>
    </row>
    <row r="19986" spans="7:24" ht="15" customHeight="1">
      <c r="G19986"/>
      <c r="I19986"/>
      <c r="N19986"/>
      <c r="O19986" s="24"/>
      <c r="P19986"/>
      <c r="Q19986" s="24"/>
      <c r="R19986"/>
      <c r="S19986"/>
      <c r="T19986"/>
      <c r="U19986"/>
      <c r="X19986" s="60"/>
    </row>
    <row r="19987" spans="7:24" ht="15" customHeight="1">
      <c r="G19987"/>
      <c r="I19987"/>
      <c r="N19987"/>
      <c r="O19987" s="24"/>
      <c r="P19987"/>
      <c r="Q19987" s="24"/>
      <c r="R19987"/>
      <c r="S19987"/>
      <c r="T19987"/>
      <c r="U19987"/>
      <c r="X19987" s="60"/>
    </row>
    <row r="19988" spans="7:24" ht="15" customHeight="1">
      <c r="G19988"/>
      <c r="I19988"/>
      <c r="N19988"/>
      <c r="O19988" s="24"/>
      <c r="P19988"/>
      <c r="Q19988" s="24"/>
      <c r="R19988"/>
      <c r="S19988"/>
      <c r="T19988"/>
      <c r="U19988"/>
      <c r="X19988" s="60"/>
    </row>
    <row r="19989" spans="7:24" ht="15" customHeight="1">
      <c r="G19989"/>
      <c r="I19989"/>
      <c r="N19989"/>
      <c r="O19989" s="24"/>
      <c r="P19989"/>
      <c r="Q19989" s="24"/>
      <c r="R19989"/>
      <c r="S19989"/>
      <c r="T19989"/>
      <c r="U19989"/>
      <c r="X19989" s="60"/>
    </row>
    <row r="19990" spans="7:24" ht="15" customHeight="1">
      <c r="G19990"/>
      <c r="I19990"/>
      <c r="N19990"/>
      <c r="O19990" s="24"/>
      <c r="P19990"/>
      <c r="Q19990" s="24"/>
      <c r="R19990"/>
      <c r="S19990"/>
      <c r="T19990"/>
      <c r="U19990"/>
      <c r="X19990" s="60"/>
    </row>
    <row r="19991" spans="7:24" ht="15" customHeight="1">
      <c r="G19991"/>
      <c r="I19991"/>
      <c r="N19991"/>
      <c r="O19991" s="24"/>
      <c r="P19991"/>
      <c r="Q19991" s="24"/>
      <c r="R19991"/>
      <c r="S19991"/>
      <c r="T19991"/>
      <c r="U19991"/>
      <c r="X19991" s="60"/>
    </row>
    <row r="19992" spans="7:24" ht="15" customHeight="1">
      <c r="G19992"/>
      <c r="I19992"/>
      <c r="N19992"/>
      <c r="O19992" s="24"/>
      <c r="P19992"/>
      <c r="Q19992" s="24"/>
      <c r="R19992"/>
      <c r="S19992"/>
      <c r="T19992"/>
      <c r="U19992"/>
      <c r="X19992" s="60"/>
    </row>
    <row r="19993" spans="7:24" ht="15" customHeight="1">
      <c r="G19993"/>
      <c r="I19993"/>
      <c r="N19993"/>
      <c r="O19993" s="24"/>
      <c r="P19993"/>
      <c r="Q19993" s="24"/>
      <c r="R19993"/>
      <c r="S19993"/>
      <c r="T19993"/>
      <c r="U19993"/>
      <c r="X19993" s="60"/>
    </row>
    <row r="19994" spans="7:24" ht="15" customHeight="1">
      <c r="G19994"/>
      <c r="I19994"/>
      <c r="N19994"/>
      <c r="O19994" s="24"/>
      <c r="P19994"/>
      <c r="Q19994" s="24"/>
      <c r="R19994"/>
      <c r="S19994"/>
      <c r="T19994"/>
      <c r="U19994"/>
      <c r="X19994" s="60"/>
    </row>
    <row r="19995" spans="7:24" ht="15" customHeight="1">
      <c r="G19995"/>
      <c r="I19995"/>
      <c r="N19995"/>
      <c r="O19995" s="24"/>
      <c r="P19995"/>
      <c r="Q19995" s="24"/>
      <c r="R19995"/>
      <c r="S19995"/>
      <c r="T19995"/>
      <c r="U19995"/>
      <c r="X19995" s="60"/>
    </row>
    <row r="19996" spans="7:24" ht="15" customHeight="1">
      <c r="G19996"/>
      <c r="I19996"/>
      <c r="N19996"/>
      <c r="O19996" s="24"/>
      <c r="P19996"/>
      <c r="Q19996" s="24"/>
      <c r="R19996"/>
      <c r="S19996"/>
      <c r="T19996"/>
      <c r="U19996"/>
      <c r="X19996" s="60"/>
    </row>
    <row r="19997" spans="7:24" ht="15" customHeight="1">
      <c r="G19997"/>
      <c r="I19997"/>
      <c r="N19997"/>
      <c r="O19997" s="24"/>
      <c r="P19997"/>
      <c r="Q19997" s="24"/>
      <c r="R19997"/>
      <c r="S19997"/>
      <c r="T19997"/>
      <c r="U19997"/>
      <c r="X19997" s="60"/>
    </row>
    <row r="19998" spans="7:24" ht="15" customHeight="1">
      <c r="G19998"/>
      <c r="I19998"/>
      <c r="N19998"/>
      <c r="O19998" s="24"/>
      <c r="P19998"/>
      <c r="Q19998" s="24"/>
      <c r="R19998"/>
      <c r="S19998"/>
      <c r="T19998"/>
      <c r="U19998"/>
      <c r="X19998" s="60"/>
    </row>
    <row r="19999" spans="7:24" ht="15" customHeight="1">
      <c r="G19999"/>
      <c r="I19999"/>
      <c r="N19999"/>
      <c r="O19999" s="24"/>
      <c r="P19999"/>
      <c r="Q19999" s="24"/>
      <c r="R19999"/>
      <c r="S19999"/>
      <c r="T19999"/>
      <c r="U19999"/>
      <c r="X19999" s="60"/>
    </row>
    <row r="20000" spans="7:24" ht="15" customHeight="1">
      <c r="G20000"/>
      <c r="I20000"/>
      <c r="N20000"/>
      <c r="O20000" s="24"/>
      <c r="P20000"/>
      <c r="Q20000" s="24"/>
      <c r="R20000"/>
      <c r="S20000"/>
      <c r="T20000"/>
      <c r="U20000"/>
      <c r="X20000" s="60"/>
    </row>
    <row r="20001" spans="7:24" ht="15" customHeight="1">
      <c r="G20001"/>
      <c r="I20001"/>
      <c r="N20001"/>
      <c r="O20001" s="24"/>
      <c r="P20001"/>
      <c r="Q20001" s="24"/>
      <c r="R20001"/>
      <c r="S20001"/>
      <c r="T20001"/>
      <c r="U20001"/>
      <c r="X20001" s="60"/>
    </row>
    <row r="20002" spans="7:24" ht="15" customHeight="1">
      <c r="G20002"/>
      <c r="I20002"/>
      <c r="N20002"/>
      <c r="O20002" s="24"/>
      <c r="P20002"/>
      <c r="Q20002" s="24"/>
      <c r="R20002"/>
      <c r="S20002"/>
      <c r="T20002"/>
      <c r="U20002"/>
      <c r="X20002" s="60"/>
    </row>
    <row r="20003" spans="7:24" ht="15" customHeight="1">
      <c r="G20003"/>
      <c r="I20003"/>
      <c r="N20003"/>
      <c r="O20003" s="24"/>
      <c r="P20003"/>
      <c r="Q20003" s="24"/>
      <c r="R20003"/>
      <c r="S20003"/>
      <c r="T20003"/>
      <c r="U20003"/>
      <c r="X20003" s="60"/>
    </row>
    <row r="20004" spans="7:24" ht="15" customHeight="1">
      <c r="G20004"/>
      <c r="I20004"/>
      <c r="N20004"/>
      <c r="O20004" s="24"/>
      <c r="P20004"/>
      <c r="Q20004" s="24"/>
      <c r="R20004"/>
      <c r="S20004"/>
      <c r="T20004"/>
      <c r="U20004"/>
      <c r="X20004" s="60"/>
    </row>
    <row r="20005" spans="7:24" ht="15" customHeight="1">
      <c r="G20005"/>
      <c r="I20005"/>
      <c r="N20005"/>
      <c r="O20005" s="24"/>
      <c r="P20005"/>
      <c r="Q20005" s="24"/>
      <c r="R20005"/>
      <c r="S20005"/>
      <c r="T20005"/>
      <c r="U20005"/>
      <c r="X20005" s="60"/>
    </row>
    <row r="20006" spans="7:24" ht="15" customHeight="1">
      <c r="G20006"/>
      <c r="I20006"/>
      <c r="N20006"/>
      <c r="O20006" s="24"/>
      <c r="P20006"/>
      <c r="Q20006" s="24"/>
      <c r="R20006"/>
      <c r="S20006"/>
      <c r="T20006"/>
      <c r="U20006"/>
      <c r="X20006" s="60"/>
    </row>
    <row r="20007" spans="7:24" ht="15" customHeight="1">
      <c r="G20007"/>
      <c r="I20007"/>
      <c r="N20007"/>
      <c r="O20007" s="24"/>
      <c r="P20007"/>
      <c r="Q20007" s="24"/>
      <c r="R20007"/>
      <c r="S20007"/>
      <c r="T20007"/>
      <c r="U20007"/>
      <c r="X20007" s="60"/>
    </row>
    <row r="20008" spans="7:24" ht="15" customHeight="1">
      <c r="G20008"/>
      <c r="I20008"/>
      <c r="N20008"/>
      <c r="O20008" s="24"/>
      <c r="P20008"/>
      <c r="Q20008" s="24"/>
      <c r="R20008"/>
      <c r="S20008"/>
      <c r="T20008"/>
      <c r="U20008"/>
      <c r="X20008" s="60"/>
    </row>
    <row r="20009" spans="7:24" ht="15" customHeight="1">
      <c r="G20009"/>
      <c r="I20009"/>
      <c r="N20009"/>
      <c r="O20009" s="24"/>
      <c r="P20009"/>
      <c r="Q20009" s="24"/>
      <c r="R20009"/>
      <c r="S20009"/>
      <c r="T20009"/>
      <c r="U20009"/>
      <c r="X20009" s="60"/>
    </row>
    <row r="20010" spans="7:24" ht="15" customHeight="1">
      <c r="G20010"/>
      <c r="I20010"/>
      <c r="N20010"/>
      <c r="O20010" s="24"/>
      <c r="P20010"/>
      <c r="Q20010" s="24"/>
      <c r="R20010"/>
      <c r="S20010"/>
      <c r="T20010"/>
      <c r="U20010"/>
      <c r="X20010" s="60"/>
    </row>
    <row r="20011" spans="7:24" ht="15" customHeight="1">
      <c r="G20011"/>
      <c r="I20011"/>
      <c r="N20011"/>
      <c r="O20011" s="24"/>
      <c r="P20011"/>
      <c r="Q20011" s="24"/>
      <c r="R20011"/>
      <c r="S20011"/>
      <c r="T20011"/>
      <c r="U20011"/>
      <c r="X20011" s="60"/>
    </row>
    <row r="20012" spans="7:24" ht="15" customHeight="1">
      <c r="G20012"/>
      <c r="I20012"/>
      <c r="N20012"/>
      <c r="O20012" s="24"/>
      <c r="P20012"/>
      <c r="Q20012" s="24"/>
      <c r="R20012"/>
      <c r="S20012"/>
      <c r="T20012"/>
      <c r="U20012"/>
      <c r="X20012" s="60"/>
    </row>
    <row r="20013" spans="7:24" ht="15" customHeight="1">
      <c r="G20013"/>
      <c r="I20013"/>
      <c r="N20013"/>
      <c r="O20013" s="24"/>
      <c r="P20013"/>
      <c r="Q20013" s="24"/>
      <c r="R20013"/>
      <c r="S20013"/>
      <c r="T20013"/>
      <c r="U20013"/>
      <c r="X20013" s="60"/>
    </row>
    <row r="20014" spans="7:24" ht="15" customHeight="1">
      <c r="G20014"/>
      <c r="I20014"/>
      <c r="N20014"/>
      <c r="O20014" s="24"/>
      <c r="P20014"/>
      <c r="Q20014" s="24"/>
      <c r="R20014"/>
      <c r="S20014"/>
      <c r="T20014"/>
      <c r="U20014"/>
      <c r="X20014" s="60"/>
    </row>
    <row r="20015" spans="7:24" ht="15" customHeight="1">
      <c r="G20015"/>
      <c r="I20015"/>
      <c r="N20015"/>
      <c r="O20015" s="24"/>
      <c r="P20015"/>
      <c r="Q20015" s="24"/>
      <c r="R20015"/>
      <c r="S20015"/>
      <c r="T20015"/>
      <c r="U20015"/>
      <c r="X20015" s="60"/>
    </row>
    <row r="20016" spans="7:24" ht="15" customHeight="1">
      <c r="G20016"/>
      <c r="I20016"/>
      <c r="N20016"/>
      <c r="O20016" s="24"/>
      <c r="P20016"/>
      <c r="Q20016" s="24"/>
      <c r="R20016"/>
      <c r="S20016"/>
      <c r="T20016"/>
      <c r="U20016"/>
      <c r="X20016" s="60"/>
    </row>
    <row r="20017" spans="7:24" ht="15" customHeight="1">
      <c r="G20017"/>
      <c r="I20017"/>
      <c r="N20017"/>
      <c r="O20017" s="24"/>
      <c r="P20017"/>
      <c r="Q20017" s="24"/>
      <c r="R20017"/>
      <c r="S20017"/>
      <c r="T20017"/>
      <c r="U20017"/>
      <c r="X20017" s="60"/>
    </row>
    <row r="20018" spans="7:24" ht="15" customHeight="1">
      <c r="G20018"/>
      <c r="I20018"/>
      <c r="N20018"/>
      <c r="O20018" s="24"/>
      <c r="P20018"/>
      <c r="Q20018" s="24"/>
      <c r="R20018"/>
      <c r="S20018"/>
      <c r="T20018"/>
      <c r="U20018"/>
      <c r="X20018" s="60"/>
    </row>
    <row r="20019" spans="7:24" ht="15" customHeight="1">
      <c r="G20019"/>
      <c r="I20019"/>
      <c r="N20019"/>
      <c r="O20019" s="24"/>
      <c r="P20019"/>
      <c r="Q20019" s="24"/>
      <c r="R20019"/>
      <c r="S20019"/>
      <c r="T20019"/>
      <c r="U20019"/>
      <c r="X20019" s="60"/>
    </row>
    <row r="20020" spans="7:24" ht="15" customHeight="1">
      <c r="G20020"/>
      <c r="I20020"/>
      <c r="N20020"/>
      <c r="O20020" s="24"/>
      <c r="P20020"/>
      <c r="Q20020" s="24"/>
      <c r="R20020"/>
      <c r="S20020"/>
      <c r="T20020"/>
      <c r="U20020"/>
      <c r="X20020" s="60"/>
    </row>
    <row r="20021" spans="7:24" ht="15" customHeight="1">
      <c r="G20021"/>
      <c r="I20021"/>
      <c r="N20021"/>
      <c r="O20021" s="24"/>
      <c r="P20021"/>
      <c r="Q20021" s="24"/>
      <c r="R20021"/>
      <c r="S20021"/>
      <c r="T20021"/>
      <c r="U20021"/>
      <c r="X20021" s="60"/>
    </row>
    <row r="20022" spans="7:24" ht="15" customHeight="1">
      <c r="G20022"/>
      <c r="I20022"/>
      <c r="N20022"/>
      <c r="O20022" s="24"/>
      <c r="P20022"/>
      <c r="Q20022" s="24"/>
      <c r="R20022"/>
      <c r="S20022"/>
      <c r="T20022"/>
      <c r="U20022"/>
      <c r="X20022" s="60"/>
    </row>
    <row r="20023" spans="7:24" ht="15" customHeight="1">
      <c r="G20023"/>
      <c r="I20023"/>
      <c r="N20023"/>
      <c r="O20023" s="24"/>
      <c r="P20023"/>
      <c r="Q20023" s="24"/>
      <c r="R20023"/>
      <c r="S20023"/>
      <c r="T20023"/>
      <c r="U20023"/>
      <c r="X20023" s="60"/>
    </row>
    <row r="20024" spans="7:24" ht="15" customHeight="1">
      <c r="G20024"/>
      <c r="I20024"/>
      <c r="N20024"/>
      <c r="O20024" s="24"/>
      <c r="P20024"/>
      <c r="Q20024" s="24"/>
      <c r="R20024"/>
      <c r="S20024"/>
      <c r="T20024"/>
      <c r="U20024"/>
      <c r="X20024" s="60"/>
    </row>
    <row r="20025" spans="7:24" ht="15" customHeight="1">
      <c r="G20025"/>
      <c r="I20025"/>
      <c r="N20025"/>
      <c r="O20025" s="24"/>
      <c r="P20025"/>
      <c r="Q20025" s="24"/>
      <c r="R20025"/>
      <c r="S20025"/>
      <c r="T20025"/>
      <c r="U20025"/>
      <c r="X20025" s="60"/>
    </row>
    <row r="20026" spans="7:24" ht="15" customHeight="1">
      <c r="G20026"/>
      <c r="I20026"/>
      <c r="N20026"/>
      <c r="O20026" s="24"/>
      <c r="P20026"/>
      <c r="Q20026" s="24"/>
      <c r="R20026"/>
      <c r="S20026"/>
      <c r="T20026"/>
      <c r="U20026"/>
      <c r="X20026" s="60"/>
    </row>
    <row r="20027" spans="7:24" ht="15" customHeight="1">
      <c r="G20027"/>
      <c r="I20027"/>
      <c r="N20027"/>
      <c r="O20027" s="24"/>
      <c r="P20027"/>
      <c r="Q20027" s="24"/>
      <c r="R20027"/>
      <c r="S20027"/>
      <c r="T20027"/>
      <c r="U20027"/>
      <c r="X20027" s="60"/>
    </row>
    <row r="20028" spans="7:24" ht="15" customHeight="1">
      <c r="G20028"/>
      <c r="I20028"/>
      <c r="N20028"/>
      <c r="O20028" s="24"/>
      <c r="P20028"/>
      <c r="Q20028" s="24"/>
      <c r="R20028"/>
      <c r="S20028"/>
      <c r="T20028"/>
      <c r="U20028"/>
      <c r="X20028" s="60"/>
    </row>
    <row r="20029" spans="7:24" ht="15" customHeight="1">
      <c r="G20029"/>
      <c r="I20029"/>
      <c r="N20029"/>
      <c r="O20029" s="24"/>
      <c r="P20029"/>
      <c r="Q20029" s="24"/>
      <c r="R20029"/>
      <c r="S20029"/>
      <c r="T20029"/>
      <c r="U20029"/>
      <c r="X20029" s="60"/>
    </row>
    <row r="20030" spans="7:24" ht="15" customHeight="1">
      <c r="G20030"/>
      <c r="I20030"/>
      <c r="N20030"/>
      <c r="O20030" s="24"/>
      <c r="P20030"/>
      <c r="Q20030" s="24"/>
      <c r="R20030"/>
      <c r="S20030"/>
      <c r="T20030"/>
      <c r="U20030"/>
      <c r="X20030" s="60"/>
    </row>
    <row r="20031" spans="7:24" ht="15" customHeight="1">
      <c r="G20031"/>
      <c r="I20031"/>
      <c r="N20031"/>
      <c r="O20031" s="24"/>
      <c r="P20031"/>
      <c r="Q20031" s="24"/>
      <c r="R20031"/>
      <c r="S20031"/>
      <c r="T20031"/>
      <c r="U20031"/>
      <c r="X20031" s="60"/>
    </row>
    <row r="20032" spans="7:24" ht="15" customHeight="1">
      <c r="G20032"/>
      <c r="I20032"/>
      <c r="N20032"/>
      <c r="O20032" s="24"/>
      <c r="P20032"/>
      <c r="Q20032" s="24"/>
      <c r="R20032"/>
      <c r="S20032"/>
      <c r="T20032"/>
      <c r="U20032"/>
      <c r="X20032" s="60"/>
    </row>
    <row r="20033" spans="7:24" ht="15" customHeight="1">
      <c r="G20033"/>
      <c r="I20033"/>
      <c r="N20033"/>
      <c r="O20033" s="24"/>
      <c r="P20033"/>
      <c r="Q20033" s="24"/>
      <c r="R20033"/>
      <c r="S20033"/>
      <c r="T20033"/>
      <c r="U20033"/>
      <c r="X20033" s="60"/>
    </row>
    <row r="20034" spans="7:24" ht="15" customHeight="1">
      <c r="G20034"/>
      <c r="I20034"/>
      <c r="N20034"/>
      <c r="O20034" s="24"/>
      <c r="P20034"/>
      <c r="Q20034" s="24"/>
      <c r="R20034"/>
      <c r="S20034"/>
      <c r="T20034"/>
      <c r="U20034"/>
      <c r="X20034" s="60"/>
    </row>
    <row r="20035" spans="7:24" ht="15" customHeight="1">
      <c r="G20035"/>
      <c r="I20035"/>
      <c r="N20035"/>
      <c r="O20035" s="24"/>
      <c r="P20035"/>
      <c r="Q20035" s="24"/>
      <c r="R20035"/>
      <c r="S20035"/>
      <c r="T20035"/>
      <c r="U20035"/>
      <c r="X20035" s="60"/>
    </row>
    <row r="20036" spans="7:24" ht="15" customHeight="1">
      <c r="G20036"/>
      <c r="I20036"/>
      <c r="N20036"/>
      <c r="O20036" s="24"/>
      <c r="P20036"/>
      <c r="Q20036" s="24"/>
      <c r="R20036"/>
      <c r="S20036"/>
      <c r="T20036"/>
      <c r="U20036"/>
      <c r="X20036" s="60"/>
    </row>
    <row r="20037" spans="7:24" ht="15" customHeight="1">
      <c r="G20037"/>
      <c r="I20037"/>
      <c r="N20037"/>
      <c r="O20037" s="24"/>
      <c r="P20037"/>
      <c r="Q20037" s="24"/>
      <c r="R20037"/>
      <c r="S20037"/>
      <c r="T20037"/>
      <c r="U20037"/>
      <c r="X20037" s="60"/>
    </row>
    <row r="20038" spans="7:24" ht="15" customHeight="1">
      <c r="G20038"/>
      <c r="I20038"/>
      <c r="N20038"/>
      <c r="O20038" s="24"/>
      <c r="P20038"/>
      <c r="Q20038" s="24"/>
      <c r="R20038"/>
      <c r="S20038"/>
      <c r="T20038"/>
      <c r="U20038"/>
      <c r="X20038" s="60"/>
    </row>
    <row r="20039" spans="7:24" ht="15" customHeight="1">
      <c r="G20039"/>
      <c r="I20039"/>
      <c r="N20039"/>
      <c r="O20039" s="24"/>
      <c r="P20039"/>
      <c r="Q20039" s="24"/>
      <c r="R20039"/>
      <c r="S20039"/>
      <c r="T20039"/>
      <c r="U20039"/>
      <c r="X20039" s="60"/>
    </row>
    <row r="20040" spans="7:24" ht="15" customHeight="1">
      <c r="G20040"/>
      <c r="I20040"/>
      <c r="N20040"/>
      <c r="O20040" s="24"/>
      <c r="P20040"/>
      <c r="Q20040" s="24"/>
      <c r="R20040"/>
      <c r="S20040"/>
      <c r="T20040"/>
      <c r="U20040"/>
      <c r="X20040" s="60"/>
    </row>
    <row r="20041" spans="7:24" ht="15" customHeight="1">
      <c r="G20041"/>
      <c r="I20041"/>
      <c r="N20041"/>
      <c r="O20041" s="24"/>
      <c r="P20041"/>
      <c r="Q20041" s="24"/>
      <c r="R20041"/>
      <c r="S20041"/>
      <c r="T20041"/>
      <c r="U20041"/>
      <c r="X20041" s="60"/>
    </row>
    <row r="20042" spans="7:24" ht="15" customHeight="1">
      <c r="G20042"/>
      <c r="I20042"/>
      <c r="N20042"/>
      <c r="O20042" s="24"/>
      <c r="P20042"/>
      <c r="Q20042" s="24"/>
      <c r="R20042"/>
      <c r="S20042"/>
      <c r="T20042"/>
      <c r="U20042"/>
      <c r="X20042" s="60"/>
    </row>
    <row r="20043" spans="7:24" ht="15" customHeight="1">
      <c r="G20043"/>
      <c r="I20043"/>
      <c r="N20043"/>
      <c r="O20043" s="24"/>
      <c r="P20043"/>
      <c r="Q20043" s="24"/>
      <c r="R20043"/>
      <c r="S20043"/>
      <c r="T20043"/>
      <c r="U20043"/>
      <c r="X20043" s="60"/>
    </row>
    <row r="20044" spans="7:24" ht="15" customHeight="1">
      <c r="G20044"/>
      <c r="I20044"/>
      <c r="N20044"/>
      <c r="O20044" s="24"/>
      <c r="P20044"/>
      <c r="Q20044" s="24"/>
      <c r="R20044"/>
      <c r="S20044"/>
      <c r="T20044"/>
      <c r="U20044"/>
      <c r="X20044" s="60"/>
    </row>
    <row r="20045" spans="7:24" ht="15" customHeight="1">
      <c r="G20045"/>
      <c r="I20045"/>
      <c r="N20045"/>
      <c r="O20045" s="24"/>
      <c r="P20045"/>
      <c r="Q20045" s="24"/>
      <c r="R20045"/>
      <c r="S20045"/>
      <c r="T20045"/>
      <c r="U20045"/>
      <c r="X20045" s="60"/>
    </row>
    <row r="20046" spans="7:24" ht="15" customHeight="1">
      <c r="G20046"/>
      <c r="I20046"/>
      <c r="N20046"/>
      <c r="O20046" s="24"/>
      <c r="P20046"/>
      <c r="Q20046" s="24"/>
      <c r="R20046"/>
      <c r="S20046"/>
      <c r="T20046"/>
      <c r="U20046"/>
      <c r="X20046" s="60"/>
    </row>
    <row r="20047" spans="7:24" ht="15" customHeight="1">
      <c r="G20047"/>
      <c r="I20047"/>
      <c r="N20047"/>
      <c r="O20047" s="24"/>
      <c r="P20047"/>
      <c r="Q20047" s="24"/>
      <c r="R20047"/>
      <c r="S20047"/>
      <c r="T20047"/>
      <c r="U20047"/>
      <c r="X20047" s="60"/>
    </row>
    <row r="20048" spans="7:24" ht="15" customHeight="1">
      <c r="G20048"/>
      <c r="I20048"/>
      <c r="N20048"/>
      <c r="O20048" s="24"/>
      <c r="P20048"/>
      <c r="Q20048" s="24"/>
      <c r="R20048"/>
      <c r="S20048"/>
      <c r="T20048"/>
      <c r="U20048"/>
      <c r="X20048" s="60"/>
    </row>
    <row r="20049" spans="7:24" ht="15" customHeight="1">
      <c r="G20049"/>
      <c r="I20049"/>
      <c r="N20049"/>
      <c r="O20049" s="24"/>
      <c r="P20049"/>
      <c r="Q20049" s="24"/>
      <c r="R20049"/>
      <c r="S20049"/>
      <c r="T20049"/>
      <c r="U20049"/>
      <c r="X20049" s="60"/>
    </row>
    <row r="20050" spans="7:24" ht="15" customHeight="1">
      <c r="G20050"/>
      <c r="I20050"/>
      <c r="N20050"/>
      <c r="O20050" s="24"/>
      <c r="P20050"/>
      <c r="Q20050" s="24"/>
      <c r="R20050"/>
      <c r="S20050"/>
      <c r="T20050"/>
      <c r="U20050"/>
      <c r="X20050" s="60"/>
    </row>
    <row r="20051" spans="7:24" ht="15" customHeight="1">
      <c r="G20051"/>
      <c r="I20051"/>
      <c r="N20051"/>
      <c r="O20051" s="24"/>
      <c r="P20051"/>
      <c r="Q20051" s="24"/>
      <c r="R20051"/>
      <c r="S20051"/>
      <c r="T20051"/>
      <c r="U20051"/>
      <c r="X20051" s="60"/>
    </row>
    <row r="20052" spans="7:24" ht="15" customHeight="1">
      <c r="G20052"/>
      <c r="I20052"/>
      <c r="N20052"/>
      <c r="O20052" s="24"/>
      <c r="P20052"/>
      <c r="Q20052" s="24"/>
      <c r="R20052"/>
      <c r="S20052"/>
      <c r="T20052"/>
      <c r="U20052"/>
      <c r="X20052" s="60"/>
    </row>
    <row r="20053" spans="7:24" ht="15" customHeight="1">
      <c r="G20053"/>
      <c r="I20053"/>
      <c r="N20053"/>
      <c r="O20053" s="24"/>
      <c r="P20053"/>
      <c r="Q20053" s="24"/>
      <c r="R20053"/>
      <c r="S20053"/>
      <c r="T20053"/>
      <c r="U20053"/>
      <c r="X20053" s="60"/>
    </row>
    <row r="20054" spans="7:24" ht="15" customHeight="1">
      <c r="G20054"/>
      <c r="I20054"/>
      <c r="N20054"/>
      <c r="O20054" s="24"/>
      <c r="P20054"/>
      <c r="Q20054" s="24"/>
      <c r="R20054"/>
      <c r="S20054"/>
      <c r="T20054"/>
      <c r="U20054"/>
      <c r="X20054" s="60"/>
    </row>
    <row r="20055" spans="7:24" ht="15" customHeight="1">
      <c r="G20055"/>
      <c r="I20055"/>
      <c r="N20055"/>
      <c r="O20055" s="24"/>
      <c r="P20055"/>
      <c r="Q20055" s="24"/>
      <c r="R20055"/>
      <c r="S20055"/>
      <c r="T20055"/>
      <c r="U20055"/>
      <c r="X20055" s="60"/>
    </row>
    <row r="20056" spans="7:24" ht="15" customHeight="1">
      <c r="G20056"/>
      <c r="I20056"/>
      <c r="N20056"/>
      <c r="O20056" s="24"/>
      <c r="P20056"/>
      <c r="Q20056" s="24"/>
      <c r="R20056"/>
      <c r="S20056"/>
      <c r="T20056"/>
      <c r="U20056"/>
      <c r="X20056" s="60"/>
    </row>
    <row r="20057" spans="7:24" ht="15" customHeight="1">
      <c r="G20057"/>
      <c r="I20057"/>
      <c r="N20057"/>
      <c r="O20057" s="24"/>
      <c r="P20057"/>
      <c r="Q20057" s="24"/>
      <c r="R20057"/>
      <c r="S20057"/>
      <c r="T20057"/>
      <c r="U20057"/>
      <c r="X20057" s="60"/>
    </row>
    <row r="20058" spans="7:24" ht="15" customHeight="1">
      <c r="G20058"/>
      <c r="I20058"/>
      <c r="N20058"/>
      <c r="O20058" s="24"/>
      <c r="P20058"/>
      <c r="Q20058" s="24"/>
      <c r="R20058"/>
      <c r="S20058"/>
      <c r="T20058"/>
      <c r="U20058"/>
      <c r="X20058" s="60"/>
    </row>
    <row r="20059" spans="7:24" ht="15" customHeight="1">
      <c r="G20059"/>
      <c r="I20059"/>
      <c r="N20059"/>
      <c r="O20059" s="24"/>
      <c r="P20059"/>
      <c r="Q20059" s="24"/>
      <c r="R20059"/>
      <c r="S20059"/>
      <c r="T20059"/>
      <c r="U20059"/>
      <c r="X20059" s="60"/>
    </row>
    <row r="20060" spans="7:24" ht="15" customHeight="1">
      <c r="G20060"/>
      <c r="I20060"/>
      <c r="N20060"/>
      <c r="O20060" s="24"/>
      <c r="P20060"/>
      <c r="Q20060" s="24"/>
      <c r="R20060"/>
      <c r="S20060"/>
      <c r="T20060"/>
      <c r="U20060"/>
      <c r="X20060" s="60"/>
    </row>
    <row r="20061" spans="7:24" ht="15" customHeight="1">
      <c r="G20061"/>
      <c r="I20061"/>
      <c r="N20061"/>
      <c r="O20061" s="24"/>
      <c r="P20061"/>
      <c r="Q20061" s="24"/>
      <c r="R20061"/>
      <c r="S20061"/>
      <c r="T20061"/>
      <c r="U20061"/>
      <c r="X20061" s="60"/>
    </row>
    <row r="20062" spans="7:24" ht="15" customHeight="1">
      <c r="G20062"/>
      <c r="I20062"/>
      <c r="N20062"/>
      <c r="O20062" s="24"/>
      <c r="P20062"/>
      <c r="Q20062" s="24"/>
      <c r="R20062"/>
      <c r="S20062"/>
      <c r="T20062"/>
      <c r="U20062"/>
      <c r="X20062" s="60"/>
    </row>
    <row r="20063" spans="7:24" ht="15" customHeight="1">
      <c r="G20063"/>
      <c r="I20063"/>
      <c r="N20063"/>
      <c r="O20063" s="24"/>
      <c r="P20063"/>
      <c r="Q20063" s="24"/>
      <c r="R20063"/>
      <c r="S20063"/>
      <c r="T20063"/>
      <c r="U20063"/>
      <c r="X20063" s="60"/>
    </row>
    <row r="20064" spans="7:24" ht="15" customHeight="1">
      <c r="G20064"/>
      <c r="I20064"/>
      <c r="N20064"/>
      <c r="O20064" s="24"/>
      <c r="P20064"/>
      <c r="Q20064" s="24"/>
      <c r="R20064"/>
      <c r="S20064"/>
      <c r="T20064"/>
      <c r="U20064"/>
      <c r="X20064" s="60"/>
    </row>
    <row r="20065" spans="7:24" ht="15" customHeight="1">
      <c r="G20065"/>
      <c r="I20065"/>
      <c r="N20065"/>
      <c r="O20065" s="24"/>
      <c r="P20065"/>
      <c r="Q20065" s="24"/>
      <c r="R20065"/>
      <c r="S20065"/>
      <c r="T20065"/>
      <c r="U20065"/>
      <c r="X20065" s="60"/>
    </row>
    <row r="20066" spans="7:24" ht="15" customHeight="1">
      <c r="G20066"/>
      <c r="I20066"/>
      <c r="N20066"/>
      <c r="O20066" s="24"/>
      <c r="P20066"/>
      <c r="Q20066" s="24"/>
      <c r="R20066"/>
      <c r="S20066"/>
      <c r="T20066"/>
      <c r="U20066"/>
      <c r="X20066" s="60"/>
    </row>
    <row r="20067" spans="7:24" ht="15" customHeight="1">
      <c r="G20067"/>
      <c r="I20067"/>
      <c r="N20067"/>
      <c r="O20067" s="24"/>
      <c r="P20067"/>
      <c r="Q20067" s="24"/>
      <c r="R20067"/>
      <c r="S20067"/>
      <c r="T20067"/>
      <c r="U20067"/>
      <c r="X20067" s="60"/>
    </row>
    <row r="20068" spans="7:24" ht="15" customHeight="1">
      <c r="G20068"/>
      <c r="I20068"/>
      <c r="N20068"/>
      <c r="O20068" s="24"/>
      <c r="P20068"/>
      <c r="Q20068" s="24"/>
      <c r="R20068"/>
      <c r="S20068"/>
      <c r="T20068"/>
      <c r="U20068"/>
      <c r="X20068" s="60"/>
    </row>
    <row r="20069" spans="7:24" ht="15" customHeight="1">
      <c r="G20069"/>
      <c r="I20069"/>
      <c r="N20069"/>
      <c r="O20069" s="24"/>
      <c r="P20069"/>
      <c r="Q20069" s="24"/>
      <c r="R20069"/>
      <c r="S20069"/>
      <c r="T20069"/>
      <c r="U20069"/>
      <c r="X20069" s="60"/>
    </row>
    <row r="20070" spans="7:24" ht="15" customHeight="1">
      <c r="G20070"/>
      <c r="I20070"/>
      <c r="N20070"/>
      <c r="O20070" s="24"/>
      <c r="P20070"/>
      <c r="Q20070" s="24"/>
      <c r="R20070"/>
      <c r="S20070"/>
      <c r="T20070"/>
      <c r="U20070"/>
      <c r="X20070" s="60"/>
    </row>
    <row r="20071" spans="7:24" ht="15" customHeight="1">
      <c r="G20071"/>
      <c r="I20071"/>
      <c r="N20071"/>
      <c r="O20071" s="24"/>
      <c r="P20071"/>
      <c r="Q20071" s="24"/>
      <c r="R20071"/>
      <c r="S20071"/>
      <c r="T20071"/>
      <c r="U20071"/>
      <c r="X20071" s="60"/>
    </row>
    <row r="20072" spans="7:24" ht="15" customHeight="1">
      <c r="G20072"/>
      <c r="I20072"/>
      <c r="N20072"/>
      <c r="O20072" s="24"/>
      <c r="P20072"/>
      <c r="Q20072" s="24"/>
      <c r="R20072"/>
      <c r="S20072"/>
      <c r="T20072"/>
      <c r="U20072"/>
      <c r="X20072" s="60"/>
    </row>
    <row r="20073" spans="7:24" ht="15" customHeight="1">
      <c r="G20073"/>
      <c r="I20073"/>
      <c r="N20073"/>
      <c r="O20073" s="24"/>
      <c r="P20073"/>
      <c r="Q20073" s="24"/>
      <c r="R20073"/>
      <c r="S20073"/>
      <c r="T20073"/>
      <c r="U20073"/>
      <c r="X20073" s="60"/>
    </row>
    <row r="20074" spans="7:24" ht="15" customHeight="1">
      <c r="G20074"/>
      <c r="I20074"/>
      <c r="N20074"/>
      <c r="O20074" s="24"/>
      <c r="P20074"/>
      <c r="Q20074" s="24"/>
      <c r="R20074"/>
      <c r="S20074"/>
      <c r="T20074"/>
      <c r="U20074"/>
      <c r="X20074" s="60"/>
    </row>
    <row r="20075" spans="7:24" ht="15" customHeight="1">
      <c r="G20075"/>
      <c r="I20075"/>
      <c r="N20075"/>
      <c r="O20075" s="24"/>
      <c r="P20075"/>
      <c r="Q20075" s="24"/>
      <c r="R20075"/>
      <c r="S20075"/>
      <c r="T20075"/>
      <c r="U20075"/>
      <c r="X20075" s="60"/>
    </row>
    <row r="20076" spans="7:24" ht="15" customHeight="1">
      <c r="G20076"/>
      <c r="I20076"/>
      <c r="N20076"/>
      <c r="O20076" s="24"/>
      <c r="P20076"/>
      <c r="Q20076" s="24"/>
      <c r="R20076"/>
      <c r="S20076"/>
      <c r="T20076"/>
      <c r="U20076"/>
      <c r="X20076" s="60"/>
    </row>
    <row r="20077" spans="7:24" ht="15" customHeight="1">
      <c r="G20077"/>
      <c r="I20077"/>
      <c r="N20077"/>
      <c r="O20077" s="24"/>
      <c r="P20077"/>
      <c r="Q20077" s="24"/>
      <c r="R20077"/>
      <c r="S20077"/>
      <c r="T20077"/>
      <c r="U20077"/>
      <c r="X20077" s="60"/>
    </row>
    <row r="20078" spans="7:24" ht="15" customHeight="1">
      <c r="G20078"/>
      <c r="I20078"/>
      <c r="N20078"/>
      <c r="O20078" s="24"/>
      <c r="P20078"/>
      <c r="Q20078" s="24"/>
      <c r="R20078"/>
      <c r="S20078"/>
      <c r="T20078"/>
      <c r="U20078"/>
      <c r="X20078" s="60"/>
    </row>
    <row r="20079" spans="7:24" ht="15" customHeight="1">
      <c r="G20079"/>
      <c r="I20079"/>
      <c r="N20079"/>
      <c r="O20079" s="24"/>
      <c r="P20079"/>
      <c r="Q20079" s="24"/>
      <c r="R20079"/>
      <c r="S20079"/>
      <c r="T20079"/>
      <c r="U20079"/>
      <c r="X20079" s="60"/>
    </row>
    <row r="20080" spans="7:24" ht="15" customHeight="1">
      <c r="G20080"/>
      <c r="I20080"/>
      <c r="N20080"/>
      <c r="O20080" s="24"/>
      <c r="P20080"/>
      <c r="Q20080" s="24"/>
      <c r="R20080"/>
      <c r="S20080"/>
      <c r="T20080"/>
      <c r="U20080"/>
      <c r="X20080" s="60"/>
    </row>
    <row r="20081" spans="7:24" ht="15" customHeight="1">
      <c r="G20081"/>
      <c r="I20081"/>
      <c r="N20081"/>
      <c r="O20081" s="24"/>
      <c r="P20081"/>
      <c r="Q20081" s="24"/>
      <c r="R20081"/>
      <c r="S20081"/>
      <c r="T20081"/>
      <c r="U20081"/>
      <c r="X20081" s="60"/>
    </row>
    <row r="20082" spans="7:24" ht="15" customHeight="1">
      <c r="G20082"/>
      <c r="I20082"/>
      <c r="N20082"/>
      <c r="O20082" s="24"/>
      <c r="P20082"/>
      <c r="Q20082" s="24"/>
      <c r="R20082"/>
      <c r="S20082"/>
      <c r="T20082"/>
      <c r="U20082"/>
      <c r="X20082" s="60"/>
    </row>
    <row r="20083" spans="7:24" ht="15" customHeight="1">
      <c r="G20083"/>
      <c r="I20083"/>
      <c r="N20083"/>
      <c r="O20083" s="24"/>
      <c r="P20083"/>
      <c r="Q20083" s="24"/>
      <c r="R20083"/>
      <c r="S20083"/>
      <c r="T20083"/>
      <c r="U20083"/>
      <c r="X20083" s="60"/>
    </row>
    <row r="20084" spans="7:24" ht="15" customHeight="1">
      <c r="G20084"/>
      <c r="I20084"/>
      <c r="N20084"/>
      <c r="O20084" s="24"/>
      <c r="P20084"/>
      <c r="Q20084" s="24"/>
      <c r="R20084"/>
      <c r="S20084"/>
      <c r="T20084"/>
      <c r="U20084"/>
      <c r="X20084" s="60"/>
    </row>
    <row r="20085" spans="7:24" ht="15" customHeight="1">
      <c r="G20085"/>
      <c r="I20085"/>
      <c r="N20085"/>
      <c r="O20085" s="24"/>
      <c r="P20085"/>
      <c r="Q20085" s="24"/>
      <c r="R20085"/>
      <c r="S20085"/>
      <c r="T20085"/>
      <c r="U20085"/>
      <c r="X20085" s="60"/>
    </row>
    <row r="20086" spans="7:24" ht="15" customHeight="1">
      <c r="G20086"/>
      <c r="I20086"/>
      <c r="N20086"/>
      <c r="O20086" s="24"/>
      <c r="P20086"/>
      <c r="Q20086" s="24"/>
      <c r="R20086"/>
      <c r="S20086"/>
      <c r="T20086"/>
      <c r="U20086"/>
      <c r="X20086" s="60"/>
    </row>
    <row r="20087" spans="7:24" ht="15" customHeight="1">
      <c r="G20087"/>
      <c r="I20087"/>
      <c r="N20087"/>
      <c r="O20087" s="24"/>
      <c r="P20087"/>
      <c r="Q20087" s="24"/>
      <c r="R20087"/>
      <c r="S20087"/>
      <c r="T20087"/>
      <c r="U20087"/>
      <c r="X20087" s="60"/>
    </row>
    <row r="20088" spans="7:24" ht="15" customHeight="1">
      <c r="G20088"/>
      <c r="I20088"/>
      <c r="N20088"/>
      <c r="O20088" s="24"/>
      <c r="P20088"/>
      <c r="Q20088" s="24"/>
      <c r="R20088"/>
      <c r="S20088"/>
      <c r="T20088"/>
      <c r="U20088"/>
      <c r="X20088" s="60"/>
    </row>
    <row r="20089" spans="7:24" ht="15" customHeight="1">
      <c r="G20089"/>
      <c r="I20089"/>
      <c r="N20089"/>
      <c r="O20089" s="24"/>
      <c r="P20089"/>
      <c r="Q20089" s="24"/>
      <c r="R20089"/>
      <c r="S20089"/>
      <c r="T20089"/>
      <c r="U20089"/>
      <c r="X20089" s="60"/>
    </row>
    <row r="20090" spans="7:24" ht="15" customHeight="1">
      <c r="G20090"/>
      <c r="I20090"/>
      <c r="N20090"/>
      <c r="O20090" s="24"/>
      <c r="P20090"/>
      <c r="Q20090" s="24"/>
      <c r="R20090"/>
      <c r="S20090"/>
      <c r="T20090"/>
      <c r="U20090"/>
      <c r="X20090" s="60"/>
    </row>
    <row r="20091" spans="7:24" ht="15" customHeight="1">
      <c r="G20091"/>
      <c r="I20091"/>
      <c r="N20091"/>
      <c r="O20091" s="24"/>
      <c r="P20091"/>
      <c r="Q20091" s="24"/>
      <c r="R20091"/>
      <c r="S20091"/>
      <c r="T20091"/>
      <c r="U20091"/>
      <c r="X20091" s="60"/>
    </row>
    <row r="20092" spans="7:24" ht="15" customHeight="1">
      <c r="G20092"/>
      <c r="I20092"/>
      <c r="N20092"/>
      <c r="O20092" s="24"/>
      <c r="P20092"/>
      <c r="Q20092" s="24"/>
      <c r="R20092"/>
      <c r="S20092"/>
      <c r="T20092"/>
      <c r="U20092"/>
      <c r="X20092" s="60"/>
    </row>
    <row r="20093" spans="7:24" ht="15" customHeight="1">
      <c r="G20093"/>
      <c r="I20093"/>
      <c r="N20093"/>
      <c r="O20093" s="24"/>
      <c r="P20093"/>
      <c r="Q20093" s="24"/>
      <c r="R20093"/>
      <c r="S20093"/>
      <c r="T20093"/>
      <c r="U20093"/>
      <c r="X20093" s="60"/>
    </row>
    <row r="20094" spans="7:24" ht="15" customHeight="1">
      <c r="G20094"/>
      <c r="I20094"/>
      <c r="N20094"/>
      <c r="O20094" s="24"/>
      <c r="P20094"/>
      <c r="Q20094" s="24"/>
      <c r="R20094"/>
      <c r="S20094"/>
      <c r="T20094"/>
      <c r="U20094"/>
      <c r="X20094" s="60"/>
    </row>
    <row r="20095" spans="7:24" ht="15" customHeight="1">
      <c r="G20095"/>
      <c r="I20095"/>
      <c r="N20095"/>
      <c r="O20095" s="24"/>
      <c r="P20095"/>
      <c r="Q20095" s="24"/>
      <c r="R20095"/>
      <c r="S20095"/>
      <c r="T20095"/>
      <c r="U20095"/>
      <c r="X20095" s="60"/>
    </row>
    <row r="20096" spans="7:24" ht="15" customHeight="1">
      <c r="G20096"/>
      <c r="I20096"/>
      <c r="N20096"/>
      <c r="O20096" s="24"/>
      <c r="P20096"/>
      <c r="Q20096" s="24"/>
      <c r="R20096"/>
      <c r="S20096"/>
      <c r="T20096"/>
      <c r="U20096"/>
      <c r="X20096" s="60"/>
    </row>
    <row r="20097" spans="7:24" ht="15" customHeight="1">
      <c r="G20097"/>
      <c r="I20097"/>
      <c r="N20097"/>
      <c r="O20097" s="24"/>
      <c r="P20097"/>
      <c r="Q20097" s="24"/>
      <c r="R20097"/>
      <c r="S20097"/>
      <c r="T20097"/>
      <c r="U20097"/>
      <c r="X20097" s="60"/>
    </row>
    <row r="20098" spans="7:24" ht="15" customHeight="1">
      <c r="G20098"/>
      <c r="I20098"/>
      <c r="N20098"/>
      <c r="O20098" s="24"/>
      <c r="P20098"/>
      <c r="Q20098" s="24"/>
      <c r="R20098"/>
      <c r="S20098"/>
      <c r="T20098"/>
      <c r="U20098"/>
      <c r="X20098" s="60"/>
    </row>
    <row r="20099" spans="7:24" ht="15" customHeight="1">
      <c r="G20099"/>
      <c r="I20099"/>
      <c r="N20099"/>
      <c r="O20099" s="24"/>
      <c r="P20099"/>
      <c r="Q20099" s="24"/>
      <c r="R20099"/>
      <c r="S20099"/>
      <c r="T20099"/>
      <c r="U20099"/>
      <c r="X20099" s="60"/>
    </row>
    <row r="20100" spans="7:24" ht="15" customHeight="1">
      <c r="G20100"/>
      <c r="I20100"/>
      <c r="N20100"/>
      <c r="O20100" s="24"/>
      <c r="P20100"/>
      <c r="Q20100" s="24"/>
      <c r="R20100"/>
      <c r="S20100"/>
      <c r="T20100"/>
      <c r="U20100"/>
      <c r="X20100" s="60"/>
    </row>
    <row r="20101" spans="7:24" ht="15" customHeight="1">
      <c r="G20101"/>
      <c r="I20101"/>
      <c r="N20101"/>
      <c r="O20101" s="24"/>
      <c r="P20101"/>
      <c r="Q20101" s="24"/>
      <c r="R20101"/>
      <c r="S20101"/>
      <c r="T20101"/>
      <c r="U20101"/>
      <c r="X20101" s="60"/>
    </row>
    <row r="20102" spans="7:24" ht="15" customHeight="1">
      <c r="G20102"/>
      <c r="I20102"/>
      <c r="N20102"/>
      <c r="O20102" s="24"/>
      <c r="P20102"/>
      <c r="Q20102" s="24"/>
      <c r="R20102"/>
      <c r="S20102"/>
      <c r="T20102"/>
      <c r="U20102"/>
      <c r="X20102" s="60"/>
    </row>
    <row r="20103" spans="7:24" ht="15" customHeight="1">
      <c r="G20103"/>
      <c r="I20103"/>
      <c r="N20103"/>
      <c r="O20103" s="24"/>
      <c r="P20103"/>
      <c r="Q20103" s="24"/>
      <c r="R20103"/>
      <c r="S20103"/>
      <c r="T20103"/>
      <c r="U20103"/>
      <c r="X20103" s="60"/>
    </row>
    <row r="20104" spans="7:24" ht="15" customHeight="1">
      <c r="G20104"/>
      <c r="I20104"/>
      <c r="N20104"/>
      <c r="O20104" s="24"/>
      <c r="P20104"/>
      <c r="Q20104" s="24"/>
      <c r="R20104"/>
      <c r="S20104"/>
      <c r="T20104"/>
      <c r="U20104"/>
      <c r="X20104" s="60"/>
    </row>
    <row r="20105" spans="7:24" ht="15" customHeight="1">
      <c r="G20105"/>
      <c r="I20105"/>
      <c r="N20105"/>
      <c r="O20105" s="24"/>
      <c r="P20105"/>
      <c r="Q20105" s="24"/>
      <c r="R20105"/>
      <c r="S20105"/>
      <c r="T20105"/>
      <c r="U20105"/>
      <c r="X20105" s="60"/>
    </row>
    <row r="20106" spans="7:24" ht="15" customHeight="1">
      <c r="G20106"/>
      <c r="I20106"/>
      <c r="N20106"/>
      <c r="O20106" s="24"/>
      <c r="P20106"/>
      <c r="Q20106" s="24"/>
      <c r="R20106"/>
      <c r="S20106"/>
      <c r="T20106"/>
      <c r="U20106"/>
      <c r="X20106" s="60"/>
    </row>
    <row r="20107" spans="7:24" ht="15" customHeight="1">
      <c r="G20107"/>
      <c r="I20107"/>
      <c r="N20107"/>
      <c r="O20107" s="24"/>
      <c r="P20107"/>
      <c r="Q20107" s="24"/>
      <c r="R20107"/>
      <c r="S20107"/>
      <c r="T20107"/>
      <c r="U20107"/>
      <c r="X20107" s="60"/>
    </row>
    <row r="20108" spans="7:24" ht="15" customHeight="1">
      <c r="G20108"/>
      <c r="I20108"/>
      <c r="N20108"/>
      <c r="O20108" s="24"/>
      <c r="P20108"/>
      <c r="Q20108" s="24"/>
      <c r="R20108"/>
      <c r="S20108"/>
      <c r="T20108"/>
      <c r="U20108"/>
      <c r="X20108" s="60"/>
    </row>
    <row r="20109" spans="7:24" ht="15" customHeight="1">
      <c r="G20109"/>
      <c r="I20109"/>
      <c r="N20109"/>
      <c r="O20109" s="24"/>
      <c r="P20109"/>
      <c r="Q20109" s="24"/>
      <c r="R20109"/>
      <c r="S20109"/>
      <c r="T20109"/>
      <c r="U20109"/>
      <c r="X20109" s="60"/>
    </row>
    <row r="20110" spans="7:24" ht="15" customHeight="1">
      <c r="G20110"/>
      <c r="I20110"/>
      <c r="N20110"/>
      <c r="O20110" s="24"/>
      <c r="P20110"/>
      <c r="Q20110" s="24"/>
      <c r="R20110"/>
      <c r="S20110"/>
      <c r="T20110"/>
      <c r="U20110"/>
      <c r="X20110" s="60"/>
    </row>
    <row r="20111" spans="7:24" ht="15" customHeight="1">
      <c r="G20111"/>
      <c r="I20111"/>
      <c r="N20111"/>
      <c r="O20111" s="24"/>
      <c r="P20111"/>
      <c r="Q20111" s="24"/>
      <c r="R20111"/>
      <c r="S20111"/>
      <c r="T20111"/>
      <c r="U20111"/>
      <c r="X20111" s="60"/>
    </row>
    <row r="20112" spans="7:24" ht="15" customHeight="1">
      <c r="G20112"/>
      <c r="I20112"/>
      <c r="N20112"/>
      <c r="O20112" s="24"/>
      <c r="P20112"/>
      <c r="Q20112" s="24"/>
      <c r="R20112"/>
      <c r="S20112"/>
      <c r="T20112"/>
      <c r="U20112"/>
      <c r="X20112" s="60"/>
    </row>
    <row r="20113" spans="7:24" ht="15" customHeight="1">
      <c r="G20113"/>
      <c r="I20113"/>
      <c r="N20113"/>
      <c r="O20113" s="24"/>
      <c r="P20113"/>
      <c r="Q20113" s="24"/>
      <c r="R20113"/>
      <c r="S20113"/>
      <c r="T20113"/>
      <c r="U20113"/>
      <c r="X20113" s="60"/>
    </row>
    <row r="20114" spans="7:24" ht="15" customHeight="1">
      <c r="G20114"/>
      <c r="I20114"/>
      <c r="N20114"/>
      <c r="O20114" s="24"/>
      <c r="P20114"/>
      <c r="Q20114" s="24"/>
      <c r="R20114"/>
      <c r="S20114"/>
      <c r="T20114"/>
      <c r="U20114"/>
      <c r="X20114" s="60"/>
    </row>
    <row r="20115" spans="7:24" ht="15" customHeight="1">
      <c r="G20115"/>
      <c r="I20115"/>
      <c r="N20115"/>
      <c r="O20115" s="24"/>
      <c r="P20115"/>
      <c r="Q20115" s="24"/>
      <c r="R20115"/>
      <c r="S20115"/>
      <c r="T20115"/>
      <c r="U20115"/>
      <c r="X20115" s="60"/>
    </row>
    <row r="20116" spans="7:24" ht="15" customHeight="1">
      <c r="G20116"/>
      <c r="I20116"/>
      <c r="N20116"/>
      <c r="O20116" s="24"/>
      <c r="P20116"/>
      <c r="Q20116" s="24"/>
      <c r="R20116"/>
      <c r="S20116"/>
      <c r="T20116"/>
      <c r="U20116"/>
      <c r="X20116" s="60"/>
    </row>
    <row r="20117" spans="7:24" ht="15" customHeight="1">
      <c r="G20117"/>
      <c r="I20117"/>
      <c r="N20117"/>
      <c r="O20117" s="24"/>
      <c r="P20117"/>
      <c r="Q20117" s="24"/>
      <c r="R20117"/>
      <c r="S20117"/>
      <c r="T20117"/>
      <c r="U20117"/>
      <c r="X20117" s="60"/>
    </row>
    <row r="20118" spans="7:24" ht="15" customHeight="1">
      <c r="G20118"/>
      <c r="I20118"/>
      <c r="N20118"/>
      <c r="O20118" s="24"/>
      <c r="P20118"/>
      <c r="Q20118" s="24"/>
      <c r="R20118"/>
      <c r="S20118"/>
      <c r="T20118"/>
      <c r="U20118"/>
      <c r="X20118" s="60"/>
    </row>
    <row r="20119" spans="7:24" ht="15" customHeight="1">
      <c r="G20119"/>
      <c r="I20119"/>
      <c r="N20119"/>
      <c r="O20119" s="24"/>
      <c r="P20119"/>
      <c r="Q20119" s="24"/>
      <c r="R20119"/>
      <c r="S20119"/>
      <c r="T20119"/>
      <c r="U20119"/>
      <c r="X20119" s="60"/>
    </row>
    <row r="20120" spans="7:24" ht="15" customHeight="1">
      <c r="G20120"/>
      <c r="I20120"/>
      <c r="N20120"/>
      <c r="O20120" s="24"/>
      <c r="P20120"/>
      <c r="Q20120" s="24"/>
      <c r="R20120"/>
      <c r="S20120"/>
      <c r="T20120"/>
      <c r="U20120"/>
      <c r="X20120" s="60"/>
    </row>
    <row r="20121" spans="7:24" ht="15" customHeight="1">
      <c r="G20121"/>
      <c r="I20121"/>
      <c r="N20121"/>
      <c r="O20121" s="24"/>
      <c r="P20121"/>
      <c r="Q20121" s="24"/>
      <c r="R20121"/>
      <c r="S20121"/>
      <c r="T20121"/>
      <c r="U20121"/>
      <c r="X20121" s="60"/>
    </row>
    <row r="20122" spans="7:24" ht="15" customHeight="1">
      <c r="G20122"/>
      <c r="I20122"/>
      <c r="N20122"/>
      <c r="O20122" s="24"/>
      <c r="P20122"/>
      <c r="Q20122" s="24"/>
      <c r="R20122"/>
      <c r="S20122"/>
      <c r="T20122"/>
      <c r="U20122"/>
      <c r="X20122" s="60"/>
    </row>
    <row r="20123" spans="7:24" ht="15" customHeight="1">
      <c r="G20123"/>
      <c r="I20123"/>
      <c r="N20123"/>
      <c r="O20123" s="24"/>
      <c r="P20123"/>
      <c r="Q20123" s="24"/>
      <c r="R20123"/>
      <c r="S20123"/>
      <c r="T20123"/>
      <c r="U20123"/>
      <c r="X20123" s="60"/>
    </row>
    <row r="20124" spans="7:24" ht="15" customHeight="1">
      <c r="G20124"/>
      <c r="I20124"/>
      <c r="N20124"/>
      <c r="O20124" s="24"/>
      <c r="P20124"/>
      <c r="Q20124" s="24"/>
      <c r="R20124"/>
      <c r="S20124"/>
      <c r="T20124"/>
      <c r="U20124"/>
      <c r="X20124" s="60"/>
    </row>
    <row r="20125" spans="7:24" ht="15" customHeight="1">
      <c r="G20125"/>
      <c r="I20125"/>
      <c r="N20125"/>
      <c r="O20125" s="24"/>
      <c r="P20125"/>
      <c r="Q20125" s="24"/>
      <c r="R20125"/>
      <c r="S20125"/>
      <c r="T20125"/>
      <c r="U20125"/>
      <c r="X20125" s="60"/>
    </row>
    <row r="20126" spans="7:24" ht="15" customHeight="1">
      <c r="G20126"/>
      <c r="I20126"/>
      <c r="N20126"/>
      <c r="O20126" s="24"/>
      <c r="P20126"/>
      <c r="Q20126" s="24"/>
      <c r="R20126"/>
      <c r="S20126"/>
      <c r="T20126"/>
      <c r="U20126"/>
      <c r="X20126" s="60"/>
    </row>
    <row r="20127" spans="7:24" ht="15" customHeight="1">
      <c r="G20127"/>
      <c r="I20127"/>
      <c r="N20127"/>
      <c r="O20127" s="24"/>
      <c r="P20127"/>
      <c r="Q20127" s="24"/>
      <c r="R20127"/>
      <c r="S20127"/>
      <c r="T20127"/>
      <c r="U20127"/>
      <c r="X20127" s="60"/>
    </row>
    <row r="20128" spans="7:24" ht="15" customHeight="1">
      <c r="G20128"/>
      <c r="I20128"/>
      <c r="N20128"/>
      <c r="O20128" s="24"/>
      <c r="P20128"/>
      <c r="Q20128" s="24"/>
      <c r="R20128"/>
      <c r="S20128"/>
      <c r="T20128"/>
      <c r="U20128"/>
      <c r="X20128" s="60"/>
    </row>
    <row r="20129" spans="7:24" ht="15" customHeight="1">
      <c r="G20129"/>
      <c r="I20129"/>
      <c r="N20129"/>
      <c r="O20129" s="24"/>
      <c r="P20129"/>
      <c r="Q20129" s="24"/>
      <c r="R20129"/>
      <c r="S20129"/>
      <c r="T20129"/>
      <c r="U20129"/>
      <c r="X20129" s="60"/>
    </row>
    <row r="20130" spans="7:24" ht="15" customHeight="1">
      <c r="G20130"/>
      <c r="I20130"/>
      <c r="N20130"/>
      <c r="O20130" s="24"/>
      <c r="P20130"/>
      <c r="Q20130" s="24"/>
      <c r="R20130"/>
      <c r="S20130"/>
      <c r="T20130"/>
      <c r="U20130"/>
      <c r="X20130" s="60"/>
    </row>
    <row r="20131" spans="7:24" ht="15" customHeight="1">
      <c r="G20131"/>
      <c r="I20131"/>
      <c r="N20131"/>
      <c r="O20131" s="24"/>
      <c r="P20131"/>
      <c r="Q20131" s="24"/>
      <c r="R20131"/>
      <c r="S20131"/>
      <c r="T20131"/>
      <c r="U20131"/>
      <c r="X20131" s="60"/>
    </row>
    <row r="20132" spans="7:24" ht="15" customHeight="1">
      <c r="G20132"/>
      <c r="I20132"/>
      <c r="N20132"/>
      <c r="O20132" s="24"/>
      <c r="P20132"/>
      <c r="Q20132" s="24"/>
      <c r="R20132"/>
      <c r="S20132"/>
      <c r="T20132"/>
      <c r="U20132"/>
      <c r="X20132" s="60"/>
    </row>
    <row r="20133" spans="7:24" ht="15" customHeight="1">
      <c r="G20133"/>
      <c r="I20133"/>
      <c r="N20133"/>
      <c r="O20133" s="24"/>
      <c r="P20133"/>
      <c r="Q20133" s="24"/>
      <c r="R20133"/>
      <c r="S20133"/>
      <c r="T20133"/>
      <c r="U20133"/>
      <c r="X20133" s="60"/>
    </row>
    <row r="20134" spans="7:24" ht="15" customHeight="1">
      <c r="G20134"/>
      <c r="I20134"/>
      <c r="N20134"/>
      <c r="O20134" s="24"/>
      <c r="P20134"/>
      <c r="Q20134" s="24"/>
      <c r="R20134"/>
      <c r="S20134"/>
      <c r="T20134"/>
      <c r="U20134"/>
      <c r="X20134" s="60"/>
    </row>
    <row r="20135" spans="7:24" ht="15" customHeight="1">
      <c r="G20135"/>
      <c r="I20135"/>
      <c r="N20135"/>
      <c r="O20135" s="24"/>
      <c r="P20135"/>
      <c r="Q20135" s="24"/>
      <c r="R20135"/>
      <c r="S20135"/>
      <c r="T20135"/>
      <c r="U20135"/>
      <c r="X20135" s="60"/>
    </row>
    <row r="20136" spans="7:24" ht="15" customHeight="1">
      <c r="G20136"/>
      <c r="I20136"/>
      <c r="N20136"/>
      <c r="O20136" s="24"/>
      <c r="P20136"/>
      <c r="Q20136" s="24"/>
      <c r="R20136"/>
      <c r="S20136"/>
      <c r="T20136"/>
      <c r="U20136"/>
      <c r="X20136" s="60"/>
    </row>
    <row r="20137" spans="7:24" ht="15" customHeight="1">
      <c r="G20137"/>
      <c r="I20137"/>
      <c r="N20137"/>
      <c r="O20137" s="24"/>
      <c r="P20137"/>
      <c r="Q20137" s="24"/>
      <c r="R20137"/>
      <c r="S20137"/>
      <c r="T20137"/>
      <c r="U20137"/>
      <c r="X20137" s="60"/>
    </row>
    <row r="20138" spans="7:24" ht="15" customHeight="1">
      <c r="G20138"/>
      <c r="I20138"/>
      <c r="N20138"/>
      <c r="O20138" s="24"/>
      <c r="P20138"/>
      <c r="Q20138" s="24"/>
      <c r="R20138"/>
      <c r="S20138"/>
      <c r="T20138"/>
      <c r="U20138"/>
      <c r="X20138" s="60"/>
    </row>
    <row r="20139" spans="7:24" ht="15" customHeight="1">
      <c r="G20139"/>
      <c r="I20139"/>
      <c r="N20139"/>
      <c r="O20139" s="24"/>
      <c r="P20139"/>
      <c r="Q20139" s="24"/>
      <c r="R20139"/>
      <c r="S20139"/>
      <c r="T20139"/>
      <c r="U20139"/>
      <c r="X20139" s="60"/>
    </row>
    <row r="20140" spans="7:24" ht="15" customHeight="1">
      <c r="G20140"/>
      <c r="I20140"/>
      <c r="N20140"/>
      <c r="O20140" s="24"/>
      <c r="P20140"/>
      <c r="Q20140" s="24"/>
      <c r="R20140"/>
      <c r="S20140"/>
      <c r="T20140"/>
      <c r="U20140"/>
      <c r="X20140" s="60"/>
    </row>
    <row r="20141" spans="7:24" ht="15" customHeight="1">
      <c r="G20141"/>
      <c r="I20141"/>
      <c r="N20141"/>
      <c r="O20141" s="24"/>
      <c r="P20141"/>
      <c r="Q20141" s="24"/>
      <c r="R20141"/>
      <c r="S20141"/>
      <c r="T20141"/>
      <c r="U20141"/>
      <c r="X20141" s="60"/>
    </row>
    <row r="20142" spans="7:24" ht="15" customHeight="1">
      <c r="G20142"/>
      <c r="I20142"/>
      <c r="N20142"/>
      <c r="O20142" s="24"/>
      <c r="P20142"/>
      <c r="Q20142" s="24"/>
      <c r="R20142"/>
      <c r="S20142"/>
      <c r="T20142"/>
      <c r="U20142"/>
      <c r="X20142" s="60"/>
    </row>
    <row r="20143" spans="7:24" ht="15" customHeight="1">
      <c r="G20143"/>
      <c r="I20143"/>
      <c r="N20143"/>
      <c r="O20143" s="24"/>
      <c r="P20143"/>
      <c r="Q20143" s="24"/>
      <c r="R20143"/>
      <c r="S20143"/>
      <c r="T20143"/>
      <c r="U20143"/>
      <c r="X20143" s="60"/>
    </row>
    <row r="20144" spans="7:24" ht="15" customHeight="1">
      <c r="G20144"/>
      <c r="I20144"/>
      <c r="N20144"/>
      <c r="O20144" s="24"/>
      <c r="P20144"/>
      <c r="Q20144" s="24"/>
      <c r="R20144"/>
      <c r="S20144"/>
      <c r="T20144"/>
      <c r="U20144"/>
      <c r="X20144" s="60"/>
    </row>
    <row r="20145" spans="7:24" ht="15" customHeight="1">
      <c r="G20145"/>
      <c r="I20145"/>
      <c r="N20145"/>
      <c r="O20145" s="24"/>
      <c r="P20145"/>
      <c r="Q20145" s="24"/>
      <c r="R20145"/>
      <c r="S20145"/>
      <c r="T20145"/>
      <c r="U20145"/>
      <c r="X20145" s="60"/>
    </row>
    <row r="20146" spans="7:24" ht="15" customHeight="1">
      <c r="G20146"/>
      <c r="I20146"/>
      <c r="N20146"/>
      <c r="O20146" s="24"/>
      <c r="P20146"/>
      <c r="Q20146" s="24"/>
      <c r="R20146"/>
      <c r="S20146"/>
      <c r="T20146"/>
      <c r="U20146"/>
      <c r="X20146" s="60"/>
    </row>
    <row r="20147" spans="7:24" ht="15" customHeight="1">
      <c r="G20147"/>
      <c r="I20147"/>
      <c r="N20147"/>
      <c r="O20147" s="24"/>
      <c r="P20147"/>
      <c r="Q20147" s="24"/>
      <c r="R20147"/>
      <c r="S20147"/>
      <c r="T20147"/>
      <c r="U20147"/>
      <c r="X20147" s="60"/>
    </row>
    <row r="20148" spans="7:24" ht="15" customHeight="1">
      <c r="G20148"/>
      <c r="I20148"/>
      <c r="N20148"/>
      <c r="O20148" s="24"/>
      <c r="P20148"/>
      <c r="Q20148" s="24"/>
      <c r="R20148"/>
      <c r="S20148"/>
      <c r="T20148"/>
      <c r="U20148"/>
      <c r="X20148" s="60"/>
    </row>
    <row r="20149" spans="7:24" ht="15" customHeight="1">
      <c r="G20149"/>
      <c r="I20149"/>
      <c r="N20149"/>
      <c r="O20149" s="24"/>
      <c r="P20149"/>
      <c r="Q20149" s="24"/>
      <c r="R20149"/>
      <c r="S20149"/>
      <c r="T20149"/>
      <c r="U20149"/>
      <c r="X20149" s="60"/>
    </row>
    <row r="20150" spans="7:24" ht="15" customHeight="1">
      <c r="G20150"/>
      <c r="I20150"/>
      <c r="N20150"/>
      <c r="O20150" s="24"/>
      <c r="P20150"/>
      <c r="Q20150" s="24"/>
      <c r="R20150"/>
      <c r="S20150"/>
      <c r="T20150"/>
      <c r="U20150"/>
      <c r="X20150" s="60"/>
    </row>
    <row r="20151" spans="7:24" ht="15" customHeight="1">
      <c r="G20151"/>
      <c r="I20151"/>
      <c r="N20151"/>
      <c r="O20151" s="24"/>
      <c r="P20151"/>
      <c r="Q20151" s="24"/>
      <c r="R20151"/>
      <c r="S20151"/>
      <c r="T20151"/>
      <c r="U20151"/>
      <c r="X20151" s="60"/>
    </row>
    <row r="20152" spans="7:24" ht="15" customHeight="1">
      <c r="G20152"/>
      <c r="I20152"/>
      <c r="N20152"/>
      <c r="O20152" s="24"/>
      <c r="P20152"/>
      <c r="Q20152" s="24"/>
      <c r="R20152"/>
      <c r="S20152"/>
      <c r="T20152"/>
      <c r="U20152"/>
      <c r="X20152" s="60"/>
    </row>
    <row r="20153" spans="7:24" ht="15" customHeight="1">
      <c r="G20153"/>
      <c r="I20153"/>
      <c r="N20153"/>
      <c r="O20153" s="24"/>
      <c r="P20153"/>
      <c r="Q20153" s="24"/>
      <c r="R20153"/>
      <c r="S20153"/>
      <c r="T20153"/>
      <c r="U20153"/>
      <c r="X20153" s="60"/>
    </row>
    <row r="20154" spans="7:24" ht="15" customHeight="1">
      <c r="G20154"/>
      <c r="I20154"/>
      <c r="N20154"/>
      <c r="O20154" s="24"/>
      <c r="P20154"/>
      <c r="Q20154" s="24"/>
      <c r="R20154"/>
      <c r="S20154"/>
      <c r="T20154"/>
      <c r="U20154"/>
      <c r="X20154" s="60"/>
    </row>
    <row r="20155" spans="7:24" ht="15" customHeight="1">
      <c r="G20155"/>
      <c r="I20155"/>
      <c r="N20155"/>
      <c r="O20155" s="24"/>
      <c r="P20155"/>
      <c r="Q20155" s="24"/>
      <c r="R20155"/>
      <c r="S20155"/>
      <c r="T20155"/>
      <c r="U20155"/>
      <c r="X20155" s="60"/>
    </row>
    <row r="20156" spans="7:24" ht="15" customHeight="1">
      <c r="G20156"/>
      <c r="I20156"/>
      <c r="N20156"/>
      <c r="O20156" s="24"/>
      <c r="P20156"/>
      <c r="Q20156" s="24"/>
      <c r="R20156"/>
      <c r="S20156"/>
      <c r="T20156"/>
      <c r="U20156"/>
      <c r="X20156" s="60"/>
    </row>
    <row r="20157" spans="7:24" ht="15" customHeight="1">
      <c r="G20157"/>
      <c r="I20157"/>
      <c r="N20157"/>
      <c r="O20157" s="24"/>
      <c r="P20157"/>
      <c r="Q20157" s="24"/>
      <c r="R20157"/>
      <c r="S20157"/>
      <c r="T20157"/>
      <c r="U20157"/>
      <c r="X20157" s="60"/>
    </row>
    <row r="20158" spans="7:24" ht="15" customHeight="1">
      <c r="G20158"/>
      <c r="I20158"/>
      <c r="N20158"/>
      <c r="O20158" s="24"/>
      <c r="P20158"/>
      <c r="Q20158" s="24"/>
      <c r="R20158"/>
      <c r="S20158"/>
      <c r="T20158"/>
      <c r="U20158"/>
      <c r="X20158" s="60"/>
    </row>
    <row r="20159" spans="7:24" ht="15" customHeight="1">
      <c r="G20159"/>
      <c r="I20159"/>
      <c r="N20159"/>
      <c r="O20159" s="24"/>
      <c r="P20159"/>
      <c r="Q20159" s="24"/>
      <c r="R20159"/>
      <c r="S20159"/>
      <c r="T20159"/>
      <c r="U20159"/>
      <c r="X20159" s="60"/>
    </row>
    <row r="20160" spans="7:24" ht="15" customHeight="1">
      <c r="G20160"/>
      <c r="I20160"/>
      <c r="N20160"/>
      <c r="O20160" s="24"/>
      <c r="P20160"/>
      <c r="Q20160" s="24"/>
      <c r="R20160"/>
      <c r="S20160"/>
      <c r="T20160"/>
      <c r="U20160"/>
      <c r="X20160" s="60"/>
    </row>
    <row r="20161" spans="7:24" ht="15" customHeight="1">
      <c r="G20161"/>
      <c r="I20161"/>
      <c r="N20161"/>
      <c r="O20161" s="24"/>
      <c r="P20161"/>
      <c r="Q20161" s="24"/>
      <c r="R20161"/>
      <c r="S20161"/>
      <c r="T20161"/>
      <c r="U20161"/>
      <c r="X20161" s="60"/>
    </row>
    <row r="20162" spans="7:24" ht="15" customHeight="1">
      <c r="G20162"/>
      <c r="I20162"/>
      <c r="N20162"/>
      <c r="O20162" s="24"/>
      <c r="P20162"/>
      <c r="Q20162" s="24"/>
      <c r="R20162"/>
      <c r="S20162"/>
      <c r="T20162"/>
      <c r="U20162"/>
      <c r="X20162" s="60"/>
    </row>
    <row r="20163" spans="7:24" ht="15" customHeight="1">
      <c r="G20163"/>
      <c r="I20163"/>
      <c r="N20163"/>
      <c r="O20163" s="24"/>
      <c r="P20163"/>
      <c r="Q20163" s="24"/>
      <c r="R20163"/>
      <c r="S20163"/>
      <c r="T20163"/>
      <c r="U20163"/>
      <c r="X20163" s="60"/>
    </row>
    <row r="20164" spans="7:24" ht="15" customHeight="1">
      <c r="G20164"/>
      <c r="I20164"/>
      <c r="N20164"/>
      <c r="O20164" s="24"/>
      <c r="P20164"/>
      <c r="Q20164" s="24"/>
      <c r="R20164"/>
      <c r="S20164"/>
      <c r="T20164"/>
      <c r="U20164"/>
      <c r="X20164" s="60"/>
    </row>
    <row r="20165" spans="7:24" ht="15" customHeight="1">
      <c r="G20165"/>
      <c r="I20165"/>
      <c r="N20165"/>
      <c r="O20165" s="24"/>
      <c r="P20165"/>
      <c r="Q20165" s="24"/>
      <c r="R20165"/>
      <c r="S20165"/>
      <c r="T20165"/>
      <c r="U20165"/>
      <c r="X20165" s="60"/>
    </row>
    <row r="20166" spans="7:24" ht="15" customHeight="1">
      <c r="G20166"/>
      <c r="I20166"/>
      <c r="N20166"/>
      <c r="O20166" s="24"/>
      <c r="P20166"/>
      <c r="Q20166" s="24"/>
      <c r="R20166"/>
      <c r="S20166"/>
      <c r="T20166"/>
      <c r="U20166"/>
      <c r="X20166" s="60"/>
    </row>
    <row r="20167" spans="7:24" ht="15" customHeight="1">
      <c r="G20167"/>
      <c r="I20167"/>
      <c r="N20167"/>
      <c r="O20167" s="24"/>
      <c r="P20167"/>
      <c r="Q20167" s="24"/>
      <c r="R20167"/>
      <c r="S20167"/>
      <c r="T20167"/>
      <c r="U20167"/>
      <c r="X20167" s="60"/>
    </row>
    <row r="20168" spans="7:24" ht="15" customHeight="1">
      <c r="G20168"/>
      <c r="I20168"/>
      <c r="N20168"/>
      <c r="O20168" s="24"/>
      <c r="P20168"/>
      <c r="Q20168" s="24"/>
      <c r="R20168"/>
      <c r="S20168"/>
      <c r="T20168"/>
      <c r="U20168"/>
      <c r="X20168" s="60"/>
    </row>
    <row r="20169" spans="7:24" ht="15" customHeight="1">
      <c r="G20169"/>
      <c r="I20169"/>
      <c r="N20169"/>
      <c r="O20169" s="24"/>
      <c r="P20169"/>
      <c r="Q20169" s="24"/>
      <c r="R20169"/>
      <c r="S20169"/>
      <c r="T20169"/>
      <c r="U20169"/>
      <c r="X20169" s="60"/>
    </row>
    <row r="20170" spans="7:24" ht="15" customHeight="1">
      <c r="G20170"/>
      <c r="I20170"/>
      <c r="N20170"/>
      <c r="O20170" s="24"/>
      <c r="P20170"/>
      <c r="Q20170" s="24"/>
      <c r="R20170"/>
      <c r="S20170"/>
      <c r="T20170"/>
      <c r="U20170"/>
      <c r="X20170" s="60"/>
    </row>
    <row r="20171" spans="7:24" ht="15" customHeight="1">
      <c r="G20171"/>
      <c r="I20171"/>
      <c r="N20171"/>
      <c r="O20171" s="24"/>
      <c r="P20171"/>
      <c r="Q20171" s="24"/>
      <c r="R20171"/>
      <c r="S20171"/>
      <c r="T20171"/>
      <c r="U20171"/>
      <c r="X20171" s="60"/>
    </row>
    <row r="20172" spans="7:24" ht="15" customHeight="1">
      <c r="G20172"/>
      <c r="I20172"/>
      <c r="N20172"/>
      <c r="O20172" s="24"/>
      <c r="P20172"/>
      <c r="Q20172" s="24"/>
      <c r="R20172"/>
      <c r="S20172"/>
      <c r="T20172"/>
      <c r="U20172"/>
      <c r="X20172" s="60"/>
    </row>
    <row r="20173" spans="7:24" ht="15" customHeight="1">
      <c r="G20173"/>
      <c r="I20173"/>
      <c r="N20173"/>
      <c r="O20173" s="24"/>
      <c r="P20173"/>
      <c r="Q20173" s="24"/>
      <c r="R20173"/>
      <c r="S20173"/>
      <c r="T20173"/>
      <c r="U20173"/>
      <c r="X20173" s="60"/>
    </row>
    <row r="20174" spans="7:24" ht="15" customHeight="1">
      <c r="G20174"/>
      <c r="I20174"/>
      <c r="N20174"/>
      <c r="O20174" s="24"/>
      <c r="P20174"/>
      <c r="Q20174" s="24"/>
      <c r="R20174"/>
      <c r="S20174"/>
      <c r="T20174"/>
      <c r="U20174"/>
      <c r="X20174" s="60"/>
    </row>
    <row r="20175" spans="7:24" ht="15" customHeight="1">
      <c r="G20175"/>
      <c r="I20175"/>
      <c r="N20175"/>
      <c r="O20175" s="24"/>
      <c r="P20175"/>
      <c r="Q20175" s="24"/>
      <c r="R20175"/>
      <c r="S20175"/>
      <c r="T20175"/>
      <c r="U20175"/>
      <c r="X20175" s="60"/>
    </row>
    <row r="20176" spans="7:24" ht="15" customHeight="1">
      <c r="G20176"/>
      <c r="I20176"/>
      <c r="N20176"/>
      <c r="O20176" s="24"/>
      <c r="P20176"/>
      <c r="Q20176" s="24"/>
      <c r="R20176"/>
      <c r="S20176"/>
      <c r="T20176"/>
      <c r="U20176"/>
      <c r="X20176" s="60"/>
    </row>
    <row r="20177" spans="7:24" ht="15" customHeight="1">
      <c r="G20177"/>
      <c r="I20177"/>
      <c r="N20177"/>
      <c r="O20177" s="24"/>
      <c r="P20177"/>
      <c r="Q20177" s="24"/>
      <c r="R20177"/>
      <c r="S20177"/>
      <c r="T20177"/>
      <c r="U20177"/>
      <c r="X20177" s="60"/>
    </row>
    <row r="20178" spans="7:24" ht="15" customHeight="1">
      <c r="G20178"/>
      <c r="I20178"/>
      <c r="N20178"/>
      <c r="O20178" s="24"/>
      <c r="P20178"/>
      <c r="Q20178" s="24"/>
      <c r="R20178"/>
      <c r="S20178"/>
      <c r="T20178"/>
      <c r="U20178"/>
      <c r="X20178" s="60"/>
    </row>
    <row r="20179" spans="7:24" ht="15" customHeight="1">
      <c r="G20179"/>
      <c r="I20179"/>
      <c r="N20179"/>
      <c r="O20179" s="24"/>
      <c r="P20179"/>
      <c r="Q20179" s="24"/>
      <c r="R20179"/>
      <c r="S20179"/>
      <c r="T20179"/>
      <c r="U20179"/>
      <c r="X20179" s="60"/>
    </row>
    <row r="20180" spans="7:24" ht="15" customHeight="1">
      <c r="G20180"/>
      <c r="I20180"/>
      <c r="N20180"/>
      <c r="O20180" s="24"/>
      <c r="P20180"/>
      <c r="Q20180" s="24"/>
      <c r="R20180"/>
      <c r="S20180"/>
      <c r="T20180"/>
      <c r="U20180"/>
      <c r="X20180" s="60"/>
    </row>
    <row r="20181" spans="7:24" ht="15" customHeight="1">
      <c r="G20181"/>
      <c r="I20181"/>
      <c r="N20181"/>
      <c r="O20181" s="24"/>
      <c r="P20181"/>
      <c r="Q20181" s="24"/>
      <c r="R20181"/>
      <c r="S20181"/>
      <c r="T20181"/>
      <c r="U20181"/>
      <c r="X20181" s="60"/>
    </row>
    <row r="20182" spans="7:24" ht="15" customHeight="1">
      <c r="G20182"/>
      <c r="I20182"/>
      <c r="N20182"/>
      <c r="O20182" s="24"/>
      <c r="P20182"/>
      <c r="Q20182" s="24"/>
      <c r="R20182"/>
      <c r="S20182"/>
      <c r="T20182"/>
      <c r="U20182"/>
      <c r="X20182" s="60"/>
    </row>
    <row r="20183" spans="7:24" ht="15" customHeight="1">
      <c r="G20183"/>
      <c r="I20183"/>
      <c r="N20183"/>
      <c r="O20183" s="24"/>
      <c r="P20183"/>
      <c r="Q20183" s="24"/>
      <c r="R20183"/>
      <c r="S20183"/>
      <c r="T20183"/>
      <c r="U20183"/>
      <c r="X20183" s="60"/>
    </row>
    <row r="20184" spans="7:24" ht="15" customHeight="1">
      <c r="G20184"/>
      <c r="I20184"/>
      <c r="N20184"/>
      <c r="O20184" s="24"/>
      <c r="P20184"/>
      <c r="Q20184" s="24"/>
      <c r="R20184"/>
      <c r="S20184"/>
      <c r="T20184"/>
      <c r="U20184"/>
      <c r="X20184" s="60"/>
    </row>
    <row r="20185" spans="7:24" ht="15" customHeight="1">
      <c r="G20185"/>
      <c r="I20185"/>
      <c r="N20185"/>
      <c r="O20185" s="24"/>
      <c r="P20185"/>
      <c r="Q20185" s="24"/>
      <c r="R20185"/>
      <c r="S20185"/>
      <c r="T20185"/>
      <c r="U20185"/>
      <c r="X20185" s="60"/>
    </row>
    <row r="20186" spans="7:24" ht="15" customHeight="1">
      <c r="G20186"/>
      <c r="I20186"/>
      <c r="N20186"/>
      <c r="O20186" s="24"/>
      <c r="P20186"/>
      <c r="Q20186" s="24"/>
      <c r="R20186"/>
      <c r="S20186"/>
      <c r="T20186"/>
      <c r="U20186"/>
      <c r="X20186" s="60"/>
    </row>
    <row r="20187" spans="7:24" ht="15" customHeight="1">
      <c r="G20187"/>
      <c r="I20187"/>
      <c r="N20187"/>
      <c r="O20187" s="24"/>
      <c r="P20187"/>
      <c r="Q20187" s="24"/>
      <c r="R20187"/>
      <c r="S20187"/>
      <c r="T20187"/>
      <c r="U20187"/>
      <c r="X20187" s="60"/>
    </row>
    <row r="20188" spans="7:24" ht="15" customHeight="1">
      <c r="G20188"/>
      <c r="I20188"/>
      <c r="N20188"/>
      <c r="O20188" s="24"/>
      <c r="P20188"/>
      <c r="Q20188" s="24"/>
      <c r="R20188"/>
      <c r="S20188"/>
      <c r="T20188"/>
      <c r="U20188"/>
      <c r="X20188" s="60"/>
    </row>
    <row r="20189" spans="7:24" ht="15" customHeight="1">
      <c r="G20189"/>
      <c r="I20189"/>
      <c r="N20189"/>
      <c r="O20189" s="24"/>
      <c r="P20189"/>
      <c r="Q20189" s="24"/>
      <c r="R20189"/>
      <c r="S20189"/>
      <c r="T20189"/>
      <c r="U20189"/>
      <c r="X20189" s="60"/>
    </row>
    <row r="20190" spans="7:24" ht="15" customHeight="1">
      <c r="G20190"/>
      <c r="I20190"/>
      <c r="N20190"/>
      <c r="O20190" s="24"/>
      <c r="P20190"/>
      <c r="Q20190" s="24"/>
      <c r="R20190"/>
      <c r="S20190"/>
      <c r="T20190"/>
      <c r="U20190"/>
      <c r="X20190" s="60"/>
    </row>
    <row r="20191" spans="7:24" ht="15" customHeight="1">
      <c r="G20191"/>
      <c r="I20191"/>
      <c r="N20191"/>
      <c r="O20191" s="24"/>
      <c r="P20191"/>
      <c r="Q20191" s="24"/>
      <c r="R20191"/>
      <c r="S20191"/>
      <c r="T20191"/>
      <c r="U20191"/>
      <c r="X20191" s="60"/>
    </row>
    <row r="20192" spans="7:24" ht="15" customHeight="1">
      <c r="G20192"/>
      <c r="I20192"/>
      <c r="N20192"/>
      <c r="O20192" s="24"/>
      <c r="P20192"/>
      <c r="Q20192" s="24"/>
      <c r="R20192"/>
      <c r="S20192"/>
      <c r="T20192"/>
      <c r="U20192"/>
      <c r="X20192" s="60"/>
    </row>
    <row r="20193" spans="7:24" ht="15" customHeight="1">
      <c r="G20193"/>
      <c r="I20193"/>
      <c r="N20193"/>
      <c r="O20193" s="24"/>
      <c r="P20193"/>
      <c r="Q20193" s="24"/>
      <c r="R20193"/>
      <c r="S20193"/>
      <c r="T20193"/>
      <c r="U20193"/>
      <c r="X20193" s="60"/>
    </row>
    <row r="20194" spans="7:24" ht="15" customHeight="1">
      <c r="G20194"/>
      <c r="I20194"/>
      <c r="N20194"/>
      <c r="O20194" s="24"/>
      <c r="P20194"/>
      <c r="Q20194" s="24"/>
      <c r="R20194"/>
      <c r="S20194"/>
      <c r="T20194"/>
      <c r="U20194"/>
      <c r="X20194" s="60"/>
    </row>
    <row r="20195" spans="7:24" ht="15" customHeight="1">
      <c r="G20195"/>
      <c r="I20195"/>
      <c r="N20195"/>
      <c r="O20195" s="24"/>
      <c r="P20195"/>
      <c r="Q20195" s="24"/>
      <c r="R20195"/>
      <c r="S20195"/>
      <c r="T20195"/>
      <c r="U20195"/>
      <c r="X20195" s="60"/>
    </row>
    <row r="20196" spans="7:24" ht="15" customHeight="1">
      <c r="G20196"/>
      <c r="I20196"/>
      <c r="N20196"/>
      <c r="O20196" s="24"/>
      <c r="P20196"/>
      <c r="Q20196" s="24"/>
      <c r="R20196"/>
      <c r="S20196"/>
      <c r="T20196"/>
      <c r="U20196"/>
      <c r="X20196" s="60"/>
    </row>
    <row r="20197" spans="7:24" ht="15" customHeight="1">
      <c r="G20197"/>
      <c r="I20197"/>
      <c r="N20197"/>
      <c r="O20197" s="24"/>
      <c r="P20197"/>
      <c r="Q20197" s="24"/>
      <c r="R20197"/>
      <c r="S20197"/>
      <c r="T20197"/>
      <c r="U20197"/>
      <c r="X20197" s="60"/>
    </row>
    <row r="20198" spans="7:24" ht="15" customHeight="1">
      <c r="G20198"/>
      <c r="I20198"/>
      <c r="N20198"/>
      <c r="O20198" s="24"/>
      <c r="P20198"/>
      <c r="Q20198" s="24"/>
      <c r="R20198"/>
      <c r="S20198"/>
      <c r="T20198"/>
      <c r="U20198"/>
      <c r="X20198" s="60"/>
    </row>
    <row r="20199" spans="7:24" ht="15" customHeight="1">
      <c r="G20199"/>
      <c r="I20199"/>
      <c r="N20199"/>
      <c r="O20199" s="24"/>
      <c r="P20199"/>
      <c r="Q20199" s="24"/>
      <c r="R20199"/>
      <c r="S20199"/>
      <c r="T20199"/>
      <c r="U20199"/>
      <c r="X20199" s="60"/>
    </row>
    <row r="20200" spans="7:24" ht="15" customHeight="1">
      <c r="G20200"/>
      <c r="I20200"/>
      <c r="N20200"/>
      <c r="O20200" s="24"/>
      <c r="P20200"/>
      <c r="Q20200" s="24"/>
      <c r="R20200"/>
      <c r="S20200"/>
      <c r="T20200"/>
      <c r="U20200"/>
      <c r="X20200" s="60"/>
    </row>
    <row r="20201" spans="7:24" ht="15" customHeight="1">
      <c r="G20201"/>
      <c r="I20201"/>
      <c r="N20201"/>
      <c r="O20201" s="24"/>
      <c r="P20201"/>
      <c r="Q20201" s="24"/>
      <c r="R20201"/>
      <c r="S20201"/>
      <c r="T20201"/>
      <c r="U20201"/>
      <c r="X20201" s="60"/>
    </row>
    <row r="20202" spans="7:24" ht="15" customHeight="1">
      <c r="G20202"/>
      <c r="I20202"/>
      <c r="N20202"/>
      <c r="O20202" s="24"/>
      <c r="P20202"/>
      <c r="Q20202" s="24"/>
      <c r="R20202"/>
      <c r="S20202"/>
      <c r="T20202"/>
      <c r="U20202"/>
      <c r="X20202" s="60"/>
    </row>
    <row r="20203" spans="7:24" ht="15" customHeight="1">
      <c r="G20203"/>
      <c r="I20203"/>
      <c r="N20203"/>
      <c r="O20203" s="24"/>
      <c r="P20203"/>
      <c r="Q20203" s="24"/>
      <c r="R20203"/>
      <c r="S20203"/>
      <c r="T20203"/>
      <c r="U20203"/>
      <c r="X20203" s="60"/>
    </row>
    <row r="20204" spans="7:24" ht="15" customHeight="1">
      <c r="G20204"/>
      <c r="I20204"/>
      <c r="N20204"/>
      <c r="O20204" s="24"/>
      <c r="P20204"/>
      <c r="Q20204" s="24"/>
      <c r="R20204"/>
      <c r="S20204"/>
      <c r="T20204"/>
      <c r="U20204"/>
      <c r="X20204" s="60"/>
    </row>
    <row r="20205" spans="7:24" ht="15" customHeight="1">
      <c r="G20205"/>
      <c r="I20205"/>
      <c r="N20205"/>
      <c r="O20205" s="24"/>
      <c r="P20205"/>
      <c r="Q20205" s="24"/>
      <c r="R20205"/>
      <c r="S20205"/>
      <c r="T20205"/>
      <c r="U20205"/>
      <c r="X20205" s="60"/>
    </row>
    <row r="20206" spans="7:24" ht="15" customHeight="1">
      <c r="G20206"/>
      <c r="I20206"/>
      <c r="N20206"/>
      <c r="O20206" s="24"/>
      <c r="P20206"/>
      <c r="Q20206" s="24"/>
      <c r="R20206"/>
      <c r="S20206"/>
      <c r="T20206"/>
      <c r="U20206"/>
      <c r="X20206" s="60"/>
    </row>
    <row r="20207" spans="7:24" ht="15" customHeight="1">
      <c r="G20207"/>
      <c r="I20207"/>
      <c r="N20207"/>
      <c r="O20207" s="24"/>
      <c r="P20207"/>
      <c r="Q20207" s="24"/>
      <c r="R20207"/>
      <c r="S20207"/>
      <c r="T20207"/>
      <c r="U20207"/>
      <c r="X20207" s="60"/>
    </row>
    <row r="20208" spans="7:24" ht="15" customHeight="1">
      <c r="G20208"/>
      <c r="I20208"/>
      <c r="N20208"/>
      <c r="O20208" s="24"/>
      <c r="P20208"/>
      <c r="Q20208" s="24"/>
      <c r="R20208"/>
      <c r="S20208"/>
      <c r="T20208"/>
      <c r="U20208"/>
      <c r="X20208" s="60"/>
    </row>
    <row r="20209" spans="7:24" ht="15" customHeight="1">
      <c r="G20209"/>
      <c r="I20209"/>
      <c r="N20209"/>
      <c r="O20209" s="24"/>
      <c r="P20209"/>
      <c r="Q20209" s="24"/>
      <c r="R20209"/>
      <c r="S20209"/>
      <c r="T20209"/>
      <c r="U20209"/>
      <c r="X20209" s="60"/>
    </row>
    <row r="20210" spans="7:24" ht="15" customHeight="1">
      <c r="G20210"/>
      <c r="I20210"/>
      <c r="N20210"/>
      <c r="O20210" s="24"/>
      <c r="P20210"/>
      <c r="Q20210" s="24"/>
      <c r="R20210"/>
      <c r="S20210"/>
      <c r="T20210"/>
      <c r="U20210"/>
      <c r="X20210" s="60"/>
    </row>
    <row r="20211" spans="7:24" ht="15" customHeight="1">
      <c r="G20211"/>
      <c r="I20211"/>
      <c r="N20211"/>
      <c r="O20211" s="24"/>
      <c r="P20211"/>
      <c r="Q20211" s="24"/>
      <c r="R20211"/>
      <c r="S20211"/>
      <c r="T20211"/>
      <c r="U20211"/>
      <c r="X20211" s="60"/>
    </row>
    <row r="20212" spans="7:24" ht="15" customHeight="1">
      <c r="G20212"/>
      <c r="I20212"/>
      <c r="N20212"/>
      <c r="O20212" s="24"/>
      <c r="P20212"/>
      <c r="Q20212" s="24"/>
      <c r="R20212"/>
      <c r="S20212"/>
      <c r="T20212"/>
      <c r="U20212"/>
      <c r="X20212" s="60"/>
    </row>
    <row r="20213" spans="7:24" ht="15" customHeight="1">
      <c r="G20213"/>
      <c r="I20213"/>
      <c r="N20213"/>
      <c r="O20213" s="24"/>
      <c r="P20213"/>
      <c r="Q20213" s="24"/>
      <c r="R20213"/>
      <c r="S20213"/>
      <c r="T20213"/>
      <c r="U20213"/>
      <c r="X20213" s="60"/>
    </row>
    <row r="20214" spans="7:24" ht="15" customHeight="1">
      <c r="G20214"/>
      <c r="I20214"/>
      <c r="N20214"/>
      <c r="O20214" s="24"/>
      <c r="P20214"/>
      <c r="Q20214" s="24"/>
      <c r="R20214"/>
      <c r="S20214"/>
      <c r="T20214"/>
      <c r="U20214"/>
      <c r="X20214" s="60"/>
    </row>
    <row r="20215" spans="7:24" ht="15" customHeight="1">
      <c r="G20215"/>
      <c r="I20215"/>
      <c r="N20215"/>
      <c r="O20215" s="24"/>
      <c r="P20215"/>
      <c r="Q20215" s="24"/>
      <c r="R20215"/>
      <c r="S20215"/>
      <c r="T20215"/>
      <c r="U20215"/>
      <c r="X20215" s="60"/>
    </row>
    <row r="20216" spans="7:24" ht="15" customHeight="1">
      <c r="G20216"/>
      <c r="I20216"/>
      <c r="N20216"/>
      <c r="O20216" s="24"/>
      <c r="P20216"/>
      <c r="Q20216" s="24"/>
      <c r="R20216"/>
      <c r="S20216"/>
      <c r="T20216"/>
      <c r="U20216"/>
      <c r="X20216" s="60"/>
    </row>
    <row r="20217" spans="7:24" ht="15" customHeight="1">
      <c r="G20217"/>
      <c r="I20217"/>
      <c r="N20217"/>
      <c r="O20217" s="24"/>
      <c r="P20217"/>
      <c r="Q20217" s="24"/>
      <c r="R20217"/>
      <c r="S20217"/>
      <c r="T20217"/>
      <c r="U20217"/>
      <c r="X20217" s="60"/>
    </row>
    <row r="20218" spans="7:24" ht="15" customHeight="1">
      <c r="G20218"/>
      <c r="I20218"/>
      <c r="N20218"/>
      <c r="O20218" s="24"/>
      <c r="P20218"/>
      <c r="Q20218" s="24"/>
      <c r="R20218"/>
      <c r="S20218"/>
      <c r="T20218"/>
      <c r="U20218"/>
      <c r="X20218" s="60"/>
    </row>
    <row r="20219" spans="7:24" ht="15" customHeight="1">
      <c r="G20219"/>
      <c r="I20219"/>
      <c r="N20219"/>
      <c r="O20219" s="24"/>
      <c r="P20219"/>
      <c r="Q20219" s="24"/>
      <c r="R20219"/>
      <c r="S20219"/>
      <c r="T20219"/>
      <c r="U20219"/>
      <c r="X20219" s="60"/>
    </row>
    <row r="20220" spans="7:24" ht="15" customHeight="1">
      <c r="G20220"/>
      <c r="I20220"/>
      <c r="N20220"/>
      <c r="O20220" s="24"/>
      <c r="P20220"/>
      <c r="Q20220" s="24"/>
      <c r="R20220"/>
      <c r="S20220"/>
      <c r="T20220"/>
      <c r="U20220"/>
      <c r="X20220" s="60"/>
    </row>
    <row r="20221" spans="7:24" ht="15" customHeight="1">
      <c r="G20221"/>
      <c r="I20221"/>
      <c r="N20221"/>
      <c r="O20221" s="24"/>
      <c r="P20221"/>
      <c r="Q20221" s="24"/>
      <c r="R20221"/>
      <c r="S20221"/>
      <c r="T20221"/>
      <c r="U20221"/>
      <c r="X20221" s="60"/>
    </row>
    <row r="20222" spans="7:24" ht="15" customHeight="1">
      <c r="G20222"/>
      <c r="I20222"/>
      <c r="N20222"/>
      <c r="O20222" s="24"/>
      <c r="P20222"/>
      <c r="Q20222" s="24"/>
      <c r="R20222"/>
      <c r="S20222"/>
      <c r="T20222"/>
      <c r="U20222"/>
      <c r="X20222" s="60"/>
    </row>
    <row r="20223" spans="7:24" ht="15" customHeight="1">
      <c r="G20223"/>
      <c r="I20223"/>
      <c r="N20223"/>
      <c r="O20223" s="24"/>
      <c r="P20223"/>
      <c r="Q20223" s="24"/>
      <c r="R20223"/>
      <c r="S20223"/>
      <c r="T20223"/>
      <c r="U20223"/>
      <c r="X20223" s="60"/>
    </row>
    <row r="20224" spans="7:24" ht="15" customHeight="1">
      <c r="G20224"/>
      <c r="I20224"/>
      <c r="N20224"/>
      <c r="O20224" s="24"/>
      <c r="P20224"/>
      <c r="Q20224" s="24"/>
      <c r="R20224"/>
      <c r="S20224"/>
      <c r="T20224"/>
      <c r="U20224"/>
      <c r="X20224" s="60"/>
    </row>
    <row r="20225" spans="7:24" ht="15" customHeight="1">
      <c r="G20225"/>
      <c r="I20225"/>
      <c r="N20225"/>
      <c r="O20225" s="24"/>
      <c r="P20225"/>
      <c r="Q20225" s="24"/>
      <c r="R20225"/>
      <c r="S20225"/>
      <c r="T20225"/>
      <c r="U20225"/>
      <c r="X20225" s="60"/>
    </row>
    <row r="20226" spans="7:24" ht="15" customHeight="1">
      <c r="G20226"/>
      <c r="I20226"/>
      <c r="N20226"/>
      <c r="O20226" s="24"/>
      <c r="P20226"/>
      <c r="Q20226" s="24"/>
      <c r="R20226"/>
      <c r="S20226"/>
      <c r="T20226"/>
      <c r="U20226"/>
      <c r="X20226" s="60"/>
    </row>
    <row r="20227" spans="7:24" ht="15" customHeight="1">
      <c r="G20227"/>
      <c r="I20227"/>
      <c r="N20227"/>
      <c r="O20227" s="24"/>
      <c r="P20227"/>
      <c r="Q20227" s="24"/>
      <c r="R20227"/>
      <c r="S20227"/>
      <c r="T20227"/>
      <c r="U20227"/>
      <c r="X20227" s="60"/>
    </row>
    <row r="20228" spans="7:24" ht="15" customHeight="1">
      <c r="G20228"/>
      <c r="I20228"/>
      <c r="N20228"/>
      <c r="O20228" s="24"/>
      <c r="P20228"/>
      <c r="Q20228" s="24"/>
      <c r="R20228"/>
      <c r="S20228"/>
      <c r="T20228"/>
      <c r="U20228"/>
      <c r="X20228" s="60"/>
    </row>
    <row r="20229" spans="7:24" ht="15" customHeight="1">
      <c r="G20229"/>
      <c r="I20229"/>
      <c r="N20229"/>
      <c r="O20229" s="24"/>
      <c r="P20229"/>
      <c r="Q20229" s="24"/>
      <c r="R20229"/>
      <c r="S20229"/>
      <c r="T20229"/>
      <c r="U20229"/>
      <c r="X20229" s="60"/>
    </row>
    <row r="20230" spans="7:24" ht="15" customHeight="1">
      <c r="G20230"/>
      <c r="I20230"/>
      <c r="N20230"/>
      <c r="O20230" s="24"/>
      <c r="P20230"/>
      <c r="Q20230" s="24"/>
      <c r="R20230"/>
      <c r="S20230"/>
      <c r="T20230"/>
      <c r="U20230"/>
      <c r="X20230" s="60"/>
    </row>
    <row r="20231" spans="7:24" ht="15" customHeight="1">
      <c r="G20231"/>
      <c r="I20231"/>
      <c r="N20231"/>
      <c r="O20231" s="24"/>
      <c r="P20231"/>
      <c r="Q20231" s="24"/>
      <c r="R20231"/>
      <c r="S20231"/>
      <c r="T20231"/>
      <c r="U20231"/>
      <c r="X20231" s="60"/>
    </row>
    <row r="20232" spans="7:24" ht="15" customHeight="1">
      <c r="G20232"/>
      <c r="I20232"/>
      <c r="N20232"/>
      <c r="O20232" s="24"/>
      <c r="P20232"/>
      <c r="Q20232" s="24"/>
      <c r="R20232"/>
      <c r="S20232"/>
      <c r="T20232"/>
      <c r="U20232"/>
      <c r="X20232" s="60"/>
    </row>
    <row r="20233" spans="7:24" ht="15" customHeight="1">
      <c r="G20233"/>
      <c r="I20233"/>
      <c r="N20233"/>
      <c r="O20233" s="24"/>
      <c r="P20233"/>
      <c r="Q20233" s="24"/>
      <c r="R20233"/>
      <c r="S20233"/>
      <c r="T20233"/>
      <c r="U20233"/>
      <c r="X20233" s="60"/>
    </row>
    <row r="20234" spans="7:24" ht="15" customHeight="1">
      <c r="G20234"/>
      <c r="I20234"/>
      <c r="N20234"/>
      <c r="O20234" s="24"/>
      <c r="P20234"/>
      <c r="Q20234" s="24"/>
      <c r="R20234"/>
      <c r="S20234"/>
      <c r="T20234"/>
      <c r="U20234"/>
      <c r="X20234" s="60"/>
    </row>
    <row r="20235" spans="7:24" ht="15" customHeight="1">
      <c r="G20235"/>
      <c r="I20235"/>
      <c r="N20235"/>
      <c r="O20235" s="24"/>
      <c r="P20235"/>
      <c r="Q20235" s="24"/>
      <c r="R20235"/>
      <c r="S20235"/>
      <c r="T20235"/>
      <c r="U20235"/>
      <c r="X20235" s="60"/>
    </row>
    <row r="20236" spans="7:24" ht="15" customHeight="1">
      <c r="G20236"/>
      <c r="I20236"/>
      <c r="N20236"/>
      <c r="O20236" s="24"/>
      <c r="P20236"/>
      <c r="Q20236" s="24"/>
      <c r="R20236"/>
      <c r="S20236"/>
      <c r="T20236"/>
      <c r="U20236"/>
      <c r="X20236" s="60"/>
    </row>
    <row r="20237" spans="7:24" ht="15" customHeight="1">
      <c r="G20237"/>
      <c r="I20237"/>
      <c r="N20237"/>
      <c r="O20237" s="24"/>
      <c r="P20237"/>
      <c r="Q20237" s="24"/>
      <c r="R20237"/>
      <c r="S20237"/>
      <c r="T20237"/>
      <c r="U20237"/>
      <c r="X20237" s="60"/>
    </row>
    <row r="20238" spans="7:24" ht="15" customHeight="1">
      <c r="G20238"/>
      <c r="I20238"/>
      <c r="N20238"/>
      <c r="O20238" s="24"/>
      <c r="P20238"/>
      <c r="Q20238" s="24"/>
      <c r="R20238"/>
      <c r="S20238"/>
      <c r="T20238"/>
      <c r="U20238"/>
      <c r="X20238" s="60"/>
    </row>
    <row r="20239" spans="7:24" ht="15" customHeight="1">
      <c r="G20239"/>
      <c r="I20239"/>
      <c r="N20239"/>
      <c r="O20239" s="24"/>
      <c r="P20239"/>
      <c r="Q20239" s="24"/>
      <c r="R20239"/>
      <c r="S20239"/>
      <c r="T20239"/>
      <c r="U20239"/>
      <c r="X20239" s="60"/>
    </row>
    <row r="20240" spans="7:24" ht="15" customHeight="1">
      <c r="G20240"/>
      <c r="I20240"/>
      <c r="N20240"/>
      <c r="O20240" s="24"/>
      <c r="P20240"/>
      <c r="Q20240" s="24"/>
      <c r="R20240"/>
      <c r="S20240"/>
      <c r="T20240"/>
      <c r="U20240"/>
      <c r="X20240" s="60"/>
    </row>
    <row r="20241" spans="7:24" ht="15" customHeight="1">
      <c r="G20241"/>
      <c r="I20241"/>
      <c r="N20241"/>
      <c r="O20241" s="24"/>
      <c r="P20241"/>
      <c r="Q20241" s="24"/>
      <c r="R20241"/>
      <c r="S20241"/>
      <c r="T20241"/>
      <c r="U20241"/>
      <c r="X20241" s="60"/>
    </row>
    <row r="20242" spans="7:24" ht="15" customHeight="1">
      <c r="G20242"/>
      <c r="I20242"/>
      <c r="N20242"/>
      <c r="O20242" s="24"/>
      <c r="P20242"/>
      <c r="Q20242" s="24"/>
      <c r="R20242"/>
      <c r="S20242"/>
      <c r="T20242"/>
      <c r="U20242"/>
      <c r="X20242" s="60"/>
    </row>
    <row r="20243" spans="7:24" ht="15" customHeight="1">
      <c r="G20243"/>
      <c r="I20243"/>
      <c r="N20243"/>
      <c r="O20243" s="24"/>
      <c r="P20243"/>
      <c r="Q20243" s="24"/>
      <c r="R20243"/>
      <c r="S20243"/>
      <c r="T20243"/>
      <c r="U20243"/>
      <c r="X20243" s="60"/>
    </row>
    <row r="20244" spans="7:24" ht="15" customHeight="1">
      <c r="G20244"/>
      <c r="I20244"/>
      <c r="N20244"/>
      <c r="O20244" s="24"/>
      <c r="P20244"/>
      <c r="Q20244" s="24"/>
      <c r="R20244"/>
      <c r="S20244"/>
      <c r="T20244"/>
      <c r="U20244"/>
      <c r="X20244" s="60"/>
    </row>
    <row r="20245" spans="7:24" ht="15" customHeight="1">
      <c r="G20245"/>
      <c r="I20245"/>
      <c r="N20245"/>
      <c r="O20245" s="24"/>
      <c r="P20245"/>
      <c r="Q20245" s="24"/>
      <c r="R20245"/>
      <c r="S20245"/>
      <c r="T20245"/>
      <c r="U20245"/>
      <c r="X20245" s="60"/>
    </row>
    <row r="20246" spans="7:24" ht="15" customHeight="1">
      <c r="G20246"/>
      <c r="I20246"/>
      <c r="N20246"/>
      <c r="O20246" s="24"/>
      <c r="P20246"/>
      <c r="Q20246" s="24"/>
      <c r="R20246"/>
      <c r="S20246"/>
      <c r="T20246"/>
      <c r="U20246"/>
      <c r="X20246" s="60"/>
    </row>
    <row r="20247" spans="7:24" ht="15" customHeight="1">
      <c r="G20247"/>
      <c r="I20247"/>
      <c r="N20247"/>
      <c r="O20247" s="24"/>
      <c r="P20247"/>
      <c r="Q20247" s="24"/>
      <c r="R20247"/>
      <c r="S20247"/>
      <c r="T20247"/>
      <c r="U20247"/>
      <c r="X20247" s="60"/>
    </row>
    <row r="20248" spans="7:24" ht="15" customHeight="1">
      <c r="G20248"/>
      <c r="I20248"/>
      <c r="N20248"/>
      <c r="O20248" s="24"/>
      <c r="P20248"/>
      <c r="Q20248" s="24"/>
      <c r="R20248"/>
      <c r="S20248"/>
      <c r="T20248"/>
      <c r="U20248"/>
      <c r="X20248" s="60"/>
    </row>
    <row r="20249" spans="7:24" ht="15" customHeight="1">
      <c r="G20249"/>
      <c r="I20249"/>
      <c r="N20249"/>
      <c r="O20249" s="24"/>
      <c r="P20249"/>
      <c r="Q20249" s="24"/>
      <c r="R20249"/>
      <c r="S20249"/>
      <c r="T20249"/>
      <c r="U20249"/>
      <c r="X20249" s="60"/>
    </row>
    <row r="20250" spans="7:24" ht="15" customHeight="1">
      <c r="G20250"/>
      <c r="I20250"/>
      <c r="N20250"/>
      <c r="O20250" s="24"/>
      <c r="P20250"/>
      <c r="Q20250" s="24"/>
      <c r="R20250"/>
      <c r="S20250"/>
      <c r="T20250"/>
      <c r="U20250"/>
      <c r="X20250" s="60"/>
    </row>
    <row r="20251" spans="7:24" ht="15" customHeight="1">
      <c r="G20251"/>
      <c r="I20251"/>
      <c r="N20251"/>
      <c r="O20251" s="24"/>
      <c r="P20251"/>
      <c r="Q20251" s="24"/>
      <c r="R20251"/>
      <c r="S20251"/>
      <c r="T20251"/>
      <c r="U20251"/>
      <c r="X20251" s="60"/>
    </row>
    <row r="20252" spans="7:24" ht="15" customHeight="1">
      <c r="G20252"/>
      <c r="I20252"/>
      <c r="N20252"/>
      <c r="O20252" s="24"/>
      <c r="P20252"/>
      <c r="Q20252" s="24"/>
      <c r="R20252"/>
      <c r="S20252"/>
      <c r="T20252"/>
      <c r="U20252"/>
      <c r="X20252" s="60"/>
    </row>
    <row r="20253" spans="7:24" ht="15" customHeight="1">
      <c r="G20253"/>
      <c r="I20253"/>
      <c r="N20253"/>
      <c r="O20253" s="24"/>
      <c r="P20253"/>
      <c r="Q20253" s="24"/>
      <c r="R20253"/>
      <c r="S20253"/>
      <c r="T20253"/>
      <c r="U20253"/>
      <c r="X20253" s="60"/>
    </row>
    <row r="20254" spans="7:24" ht="15" customHeight="1">
      <c r="G20254"/>
      <c r="I20254"/>
      <c r="N20254"/>
      <c r="O20254" s="24"/>
      <c r="P20254"/>
      <c r="Q20254" s="24"/>
      <c r="R20254"/>
      <c r="S20254"/>
      <c r="T20254"/>
      <c r="U20254"/>
      <c r="X20254" s="60"/>
    </row>
    <row r="20255" spans="7:24" ht="15" customHeight="1">
      <c r="G20255"/>
      <c r="I20255"/>
      <c r="N20255"/>
      <c r="O20255" s="24"/>
      <c r="P20255"/>
      <c r="Q20255" s="24"/>
      <c r="R20255"/>
      <c r="S20255"/>
      <c r="T20255"/>
      <c r="U20255"/>
      <c r="X20255" s="60"/>
    </row>
    <row r="20256" spans="7:24" ht="15" customHeight="1">
      <c r="G20256"/>
      <c r="I20256"/>
      <c r="N20256"/>
      <c r="O20256" s="24"/>
      <c r="P20256"/>
      <c r="Q20256" s="24"/>
      <c r="R20256"/>
      <c r="S20256"/>
      <c r="T20256"/>
      <c r="U20256"/>
      <c r="X20256" s="60"/>
    </row>
    <row r="20257" spans="7:24" ht="15" customHeight="1">
      <c r="G20257"/>
      <c r="I20257"/>
      <c r="N20257"/>
      <c r="O20257" s="24"/>
      <c r="P20257"/>
      <c r="Q20257" s="24"/>
      <c r="R20257"/>
      <c r="S20257"/>
      <c r="T20257"/>
      <c r="U20257"/>
      <c r="X20257" s="60"/>
    </row>
    <row r="20258" spans="7:24" ht="15" customHeight="1">
      <c r="G20258"/>
      <c r="I20258"/>
      <c r="N20258"/>
      <c r="O20258" s="24"/>
      <c r="P20258"/>
      <c r="Q20258" s="24"/>
      <c r="R20258"/>
      <c r="S20258"/>
      <c r="T20258"/>
      <c r="U20258"/>
      <c r="X20258" s="60"/>
    </row>
    <row r="20259" spans="7:24" ht="15" customHeight="1">
      <c r="G20259"/>
      <c r="I20259"/>
      <c r="N20259"/>
      <c r="O20259" s="24"/>
      <c r="P20259"/>
      <c r="Q20259" s="24"/>
      <c r="R20259"/>
      <c r="S20259"/>
      <c r="T20259"/>
      <c r="U20259"/>
      <c r="X20259" s="60"/>
    </row>
    <row r="20260" spans="7:24" ht="15" customHeight="1">
      <c r="G20260"/>
      <c r="I20260"/>
      <c r="N20260"/>
      <c r="O20260" s="24"/>
      <c r="P20260"/>
      <c r="Q20260" s="24"/>
      <c r="R20260"/>
      <c r="S20260"/>
      <c r="T20260"/>
      <c r="U20260"/>
      <c r="X20260" s="60"/>
    </row>
    <row r="20261" spans="7:24" ht="15" customHeight="1">
      <c r="G20261"/>
      <c r="I20261"/>
      <c r="N20261"/>
      <c r="O20261" s="24"/>
      <c r="P20261"/>
      <c r="Q20261" s="24"/>
      <c r="R20261"/>
      <c r="S20261"/>
      <c r="T20261"/>
      <c r="U20261"/>
      <c r="X20261" s="60"/>
    </row>
    <row r="20262" spans="7:24" ht="15" customHeight="1">
      <c r="G20262"/>
      <c r="I20262"/>
      <c r="N20262"/>
      <c r="O20262" s="24"/>
      <c r="P20262"/>
      <c r="Q20262" s="24"/>
      <c r="R20262"/>
      <c r="S20262"/>
      <c r="T20262"/>
      <c r="U20262"/>
      <c r="X20262" s="60"/>
    </row>
    <row r="20263" spans="7:24" ht="15" customHeight="1">
      <c r="G20263"/>
      <c r="I20263"/>
      <c r="N20263"/>
      <c r="O20263" s="24"/>
      <c r="P20263"/>
      <c r="Q20263" s="24"/>
      <c r="R20263"/>
      <c r="S20263"/>
      <c r="T20263"/>
      <c r="U20263"/>
      <c r="X20263" s="60"/>
    </row>
    <row r="20264" spans="7:24" ht="15" customHeight="1">
      <c r="G20264"/>
      <c r="I20264"/>
      <c r="N20264"/>
      <c r="O20264" s="24"/>
      <c r="P20264"/>
      <c r="Q20264" s="24"/>
      <c r="R20264"/>
      <c r="S20264"/>
      <c r="T20264"/>
      <c r="U20264"/>
      <c r="X20264" s="60"/>
    </row>
    <row r="20265" spans="7:24" ht="15" customHeight="1">
      <c r="G20265"/>
      <c r="I20265"/>
      <c r="N20265"/>
      <c r="O20265" s="24"/>
      <c r="P20265"/>
      <c r="Q20265" s="24"/>
      <c r="R20265"/>
      <c r="S20265"/>
      <c r="T20265"/>
      <c r="U20265"/>
      <c r="X20265" s="60"/>
    </row>
    <row r="20266" spans="7:24" ht="15" customHeight="1">
      <c r="G20266"/>
      <c r="I20266"/>
      <c r="N20266"/>
      <c r="O20266" s="24"/>
      <c r="P20266"/>
      <c r="Q20266" s="24"/>
      <c r="R20266"/>
      <c r="S20266"/>
      <c r="T20266"/>
      <c r="U20266"/>
      <c r="X20266" s="60"/>
    </row>
    <row r="20267" spans="7:24" ht="15" customHeight="1">
      <c r="G20267"/>
      <c r="I20267"/>
      <c r="N20267"/>
      <c r="O20267" s="24"/>
      <c r="P20267"/>
      <c r="Q20267" s="24"/>
      <c r="R20267"/>
      <c r="S20267"/>
      <c r="T20267"/>
      <c r="U20267"/>
      <c r="X20267" s="60"/>
    </row>
    <row r="20268" spans="7:24" ht="15" customHeight="1">
      <c r="G20268"/>
      <c r="I20268"/>
      <c r="N20268"/>
      <c r="O20268" s="24"/>
      <c r="P20268"/>
      <c r="Q20268" s="24"/>
      <c r="R20268"/>
      <c r="S20268"/>
      <c r="T20268"/>
      <c r="U20268"/>
      <c r="X20268" s="60"/>
    </row>
    <row r="20269" spans="7:24" ht="15" customHeight="1">
      <c r="G20269"/>
      <c r="I20269"/>
      <c r="N20269"/>
      <c r="O20269" s="24"/>
      <c r="P20269"/>
      <c r="Q20269" s="24"/>
      <c r="R20269"/>
      <c r="S20269"/>
      <c r="T20269"/>
      <c r="U20269"/>
      <c r="X20269" s="60"/>
    </row>
    <row r="20270" spans="7:24" ht="15" customHeight="1">
      <c r="G20270"/>
      <c r="I20270"/>
      <c r="N20270"/>
      <c r="O20270" s="24"/>
      <c r="P20270"/>
      <c r="Q20270" s="24"/>
      <c r="R20270"/>
      <c r="S20270"/>
      <c r="T20270"/>
      <c r="U20270"/>
      <c r="X20270" s="60"/>
    </row>
    <row r="20271" spans="7:24" ht="15" customHeight="1">
      <c r="G20271"/>
      <c r="I20271"/>
      <c r="N20271"/>
      <c r="O20271" s="24"/>
      <c r="P20271"/>
      <c r="Q20271" s="24"/>
      <c r="R20271"/>
      <c r="S20271"/>
      <c r="T20271"/>
      <c r="U20271"/>
      <c r="X20271" s="60"/>
    </row>
    <row r="20272" spans="7:24" ht="15" customHeight="1">
      <c r="G20272"/>
      <c r="I20272"/>
      <c r="N20272"/>
      <c r="O20272" s="24"/>
      <c r="P20272"/>
      <c r="Q20272" s="24"/>
      <c r="R20272"/>
      <c r="S20272"/>
      <c r="T20272"/>
      <c r="U20272"/>
      <c r="X20272" s="60"/>
    </row>
    <row r="20273" spans="7:24" ht="15" customHeight="1">
      <c r="G20273"/>
      <c r="I20273"/>
      <c r="N20273"/>
      <c r="O20273" s="24"/>
      <c r="P20273"/>
      <c r="Q20273" s="24"/>
      <c r="R20273"/>
      <c r="S20273"/>
      <c r="T20273"/>
      <c r="U20273"/>
      <c r="X20273" s="60"/>
    </row>
    <row r="20274" spans="7:24" ht="15" customHeight="1">
      <c r="G20274"/>
      <c r="I20274"/>
      <c r="N20274"/>
      <c r="O20274" s="24"/>
      <c r="P20274"/>
      <c r="Q20274" s="24"/>
      <c r="R20274"/>
      <c r="S20274"/>
      <c r="T20274"/>
      <c r="U20274"/>
      <c r="X20274" s="60"/>
    </row>
    <row r="20275" spans="7:24" ht="15" customHeight="1">
      <c r="G20275"/>
      <c r="I20275"/>
      <c r="N20275"/>
      <c r="O20275" s="24"/>
      <c r="P20275"/>
      <c r="Q20275" s="24"/>
      <c r="R20275"/>
      <c r="S20275"/>
      <c r="T20275"/>
      <c r="U20275"/>
      <c r="X20275" s="60"/>
    </row>
    <row r="20276" spans="7:24" ht="15" customHeight="1">
      <c r="G20276"/>
      <c r="I20276"/>
      <c r="N20276"/>
      <c r="O20276" s="24"/>
      <c r="P20276"/>
      <c r="Q20276" s="24"/>
      <c r="R20276"/>
      <c r="S20276"/>
      <c r="T20276"/>
      <c r="U20276"/>
      <c r="X20276" s="60"/>
    </row>
    <row r="20277" spans="7:24" ht="15" customHeight="1">
      <c r="G20277"/>
      <c r="I20277"/>
      <c r="N20277"/>
      <c r="O20277" s="24"/>
      <c r="P20277"/>
      <c r="Q20277" s="24"/>
      <c r="R20277"/>
      <c r="S20277"/>
      <c r="T20277"/>
      <c r="U20277"/>
      <c r="X20277" s="60"/>
    </row>
    <row r="20278" spans="7:24" ht="15" customHeight="1">
      <c r="G20278"/>
      <c r="I20278"/>
      <c r="N20278"/>
      <c r="O20278" s="24"/>
      <c r="P20278"/>
      <c r="Q20278" s="24"/>
      <c r="R20278"/>
      <c r="S20278"/>
      <c r="T20278"/>
      <c r="U20278"/>
      <c r="X20278" s="60"/>
    </row>
    <row r="20279" spans="7:24" ht="15" customHeight="1">
      <c r="G20279"/>
      <c r="I20279"/>
      <c r="N20279"/>
      <c r="O20279" s="24"/>
      <c r="P20279"/>
      <c r="Q20279" s="24"/>
      <c r="R20279"/>
      <c r="S20279"/>
      <c r="T20279"/>
      <c r="U20279"/>
      <c r="X20279" s="60"/>
    </row>
    <row r="20280" spans="7:24" ht="15" customHeight="1">
      <c r="G20280"/>
      <c r="I20280"/>
      <c r="N20280"/>
      <c r="O20280" s="24"/>
      <c r="P20280"/>
      <c r="Q20280" s="24"/>
      <c r="R20280"/>
      <c r="S20280"/>
      <c r="T20280"/>
      <c r="U20280"/>
      <c r="X20280" s="60"/>
    </row>
    <row r="20281" spans="7:24" ht="15" customHeight="1">
      <c r="G20281"/>
      <c r="I20281"/>
      <c r="N20281"/>
      <c r="O20281" s="24"/>
      <c r="P20281"/>
      <c r="Q20281" s="24"/>
      <c r="R20281"/>
      <c r="S20281"/>
      <c r="T20281"/>
      <c r="U20281"/>
      <c r="X20281" s="60"/>
    </row>
    <row r="20282" spans="7:24" ht="15" customHeight="1">
      <c r="G20282"/>
      <c r="I20282"/>
      <c r="N20282"/>
      <c r="O20282" s="24"/>
      <c r="P20282"/>
      <c r="Q20282" s="24"/>
      <c r="R20282"/>
      <c r="S20282"/>
      <c r="T20282"/>
      <c r="U20282"/>
      <c r="X20282" s="60"/>
    </row>
    <row r="20283" spans="7:24" ht="15" customHeight="1">
      <c r="G20283"/>
      <c r="I20283"/>
      <c r="N20283"/>
      <c r="O20283" s="24"/>
      <c r="P20283"/>
      <c r="Q20283" s="24"/>
      <c r="R20283"/>
      <c r="S20283"/>
      <c r="T20283"/>
      <c r="U20283"/>
      <c r="X20283" s="60"/>
    </row>
    <row r="20284" spans="7:24" ht="15" customHeight="1">
      <c r="G20284"/>
      <c r="I20284"/>
      <c r="N20284"/>
      <c r="O20284" s="24"/>
      <c r="P20284"/>
      <c r="Q20284" s="24"/>
      <c r="R20284"/>
      <c r="S20284"/>
      <c r="T20284"/>
      <c r="U20284"/>
      <c r="X20284" s="60"/>
    </row>
    <row r="20285" spans="7:24" ht="15" customHeight="1">
      <c r="G20285"/>
      <c r="I20285"/>
      <c r="N20285"/>
      <c r="O20285" s="24"/>
      <c r="P20285"/>
      <c r="Q20285" s="24"/>
      <c r="R20285"/>
      <c r="S20285"/>
      <c r="T20285"/>
      <c r="U20285"/>
      <c r="X20285" s="60"/>
    </row>
    <row r="20286" spans="7:24" ht="15" customHeight="1">
      <c r="G20286"/>
      <c r="I20286"/>
      <c r="N20286"/>
      <c r="O20286" s="24"/>
      <c r="P20286"/>
      <c r="Q20286" s="24"/>
      <c r="R20286"/>
      <c r="S20286"/>
      <c r="T20286"/>
      <c r="U20286"/>
      <c r="X20286" s="60"/>
    </row>
    <row r="20287" spans="7:24" ht="15" customHeight="1">
      <c r="G20287"/>
      <c r="I20287"/>
      <c r="N20287"/>
      <c r="O20287" s="24"/>
      <c r="P20287"/>
      <c r="Q20287" s="24"/>
      <c r="R20287"/>
      <c r="S20287"/>
      <c r="T20287"/>
      <c r="U20287"/>
      <c r="X20287" s="60"/>
    </row>
    <row r="20288" spans="7:24" ht="15" customHeight="1">
      <c r="G20288"/>
      <c r="I20288"/>
      <c r="N20288"/>
      <c r="O20288" s="24"/>
      <c r="P20288"/>
      <c r="Q20288" s="24"/>
      <c r="R20288"/>
      <c r="S20288"/>
      <c r="T20288"/>
      <c r="U20288"/>
      <c r="X20288" s="60"/>
    </row>
    <row r="20289" spans="7:24" ht="15" customHeight="1">
      <c r="G20289"/>
      <c r="I20289"/>
      <c r="N20289"/>
      <c r="O20289" s="24"/>
      <c r="P20289"/>
      <c r="Q20289" s="24"/>
      <c r="R20289"/>
      <c r="S20289"/>
      <c r="T20289"/>
      <c r="U20289"/>
      <c r="X20289" s="60"/>
    </row>
    <row r="20290" spans="7:24" ht="15" customHeight="1">
      <c r="G20290"/>
      <c r="I20290"/>
      <c r="N20290"/>
      <c r="O20290" s="24"/>
      <c r="P20290"/>
      <c r="Q20290" s="24"/>
      <c r="R20290"/>
      <c r="S20290"/>
      <c r="T20290"/>
      <c r="U20290"/>
      <c r="X20290" s="60"/>
    </row>
    <row r="20291" spans="7:24" ht="15" customHeight="1">
      <c r="G20291"/>
      <c r="I20291"/>
      <c r="N20291"/>
      <c r="O20291" s="24"/>
      <c r="P20291"/>
      <c r="Q20291" s="24"/>
      <c r="R20291"/>
      <c r="S20291"/>
      <c r="T20291"/>
      <c r="U20291"/>
      <c r="X20291" s="60"/>
    </row>
    <row r="20292" spans="7:24" ht="15" customHeight="1">
      <c r="G20292"/>
      <c r="I20292"/>
      <c r="N20292"/>
      <c r="O20292" s="24"/>
      <c r="P20292"/>
      <c r="Q20292" s="24"/>
      <c r="R20292"/>
      <c r="S20292"/>
      <c r="T20292"/>
      <c r="U20292"/>
      <c r="X20292" s="60"/>
    </row>
    <row r="20293" spans="7:24" ht="15" customHeight="1">
      <c r="G20293"/>
      <c r="I20293"/>
      <c r="N20293"/>
      <c r="O20293" s="24"/>
      <c r="P20293"/>
      <c r="Q20293" s="24"/>
      <c r="R20293"/>
      <c r="S20293"/>
      <c r="T20293"/>
      <c r="U20293"/>
      <c r="X20293" s="60"/>
    </row>
    <row r="20294" spans="7:24" ht="15" customHeight="1">
      <c r="G20294"/>
      <c r="I20294"/>
      <c r="N20294"/>
      <c r="O20294" s="24"/>
      <c r="P20294"/>
      <c r="Q20294" s="24"/>
      <c r="R20294"/>
      <c r="S20294"/>
      <c r="T20294"/>
      <c r="U20294"/>
      <c r="X20294" s="60"/>
    </row>
    <row r="20295" spans="7:24" ht="15" customHeight="1">
      <c r="G20295"/>
      <c r="I20295"/>
      <c r="N20295"/>
      <c r="O20295" s="24"/>
      <c r="P20295"/>
      <c r="Q20295" s="24"/>
      <c r="R20295"/>
      <c r="S20295"/>
      <c r="T20295"/>
      <c r="U20295"/>
      <c r="X20295" s="60"/>
    </row>
    <row r="20296" spans="7:24" ht="15" customHeight="1">
      <c r="G20296"/>
      <c r="I20296"/>
      <c r="N20296"/>
      <c r="O20296" s="24"/>
      <c r="P20296"/>
      <c r="Q20296" s="24"/>
      <c r="R20296"/>
      <c r="S20296"/>
      <c r="T20296"/>
      <c r="U20296"/>
      <c r="X20296" s="60"/>
    </row>
    <row r="20297" spans="7:24" ht="15" customHeight="1">
      <c r="G20297"/>
      <c r="I20297"/>
      <c r="N20297"/>
      <c r="O20297" s="24"/>
      <c r="P20297"/>
      <c r="Q20297" s="24"/>
      <c r="R20297"/>
      <c r="S20297"/>
      <c r="T20297"/>
      <c r="U20297"/>
      <c r="X20297" s="60"/>
    </row>
    <row r="20298" spans="7:24" ht="15" customHeight="1">
      <c r="G20298"/>
      <c r="I20298"/>
      <c r="N20298"/>
      <c r="O20298" s="24"/>
      <c r="P20298"/>
      <c r="Q20298" s="24"/>
      <c r="R20298"/>
      <c r="S20298"/>
      <c r="T20298"/>
      <c r="U20298"/>
      <c r="X20298" s="60"/>
    </row>
    <row r="20299" spans="7:24" ht="15" customHeight="1">
      <c r="G20299"/>
      <c r="I20299"/>
      <c r="N20299"/>
      <c r="O20299" s="24"/>
      <c r="P20299"/>
      <c r="Q20299" s="24"/>
      <c r="R20299"/>
      <c r="S20299"/>
      <c r="T20299"/>
      <c r="U20299"/>
      <c r="X20299" s="60"/>
    </row>
    <row r="20300" spans="7:24" ht="15" customHeight="1">
      <c r="G20300"/>
      <c r="I20300"/>
      <c r="N20300"/>
      <c r="O20300" s="24"/>
      <c r="P20300"/>
      <c r="Q20300" s="24"/>
      <c r="R20300"/>
      <c r="S20300"/>
      <c r="T20300"/>
      <c r="U20300"/>
      <c r="X20300" s="60"/>
    </row>
    <row r="20301" spans="7:24" ht="15" customHeight="1">
      <c r="G20301"/>
      <c r="I20301"/>
      <c r="N20301"/>
      <c r="O20301" s="24"/>
      <c r="P20301"/>
      <c r="Q20301" s="24"/>
      <c r="R20301"/>
      <c r="S20301"/>
      <c r="T20301"/>
      <c r="U20301"/>
      <c r="X20301" s="60"/>
    </row>
    <row r="20302" spans="7:24" ht="15" customHeight="1">
      <c r="G20302"/>
      <c r="I20302"/>
      <c r="N20302"/>
      <c r="O20302" s="24"/>
      <c r="P20302"/>
      <c r="Q20302" s="24"/>
      <c r="R20302"/>
      <c r="S20302"/>
      <c r="T20302"/>
      <c r="U20302"/>
      <c r="X20302" s="60"/>
    </row>
    <row r="20303" spans="7:24" ht="15" customHeight="1">
      <c r="G20303"/>
      <c r="I20303"/>
      <c r="N20303"/>
      <c r="O20303" s="24"/>
      <c r="P20303"/>
      <c r="Q20303" s="24"/>
      <c r="R20303"/>
      <c r="S20303"/>
      <c r="T20303"/>
      <c r="U20303"/>
      <c r="X20303" s="60"/>
    </row>
    <row r="20304" spans="7:24" ht="15" customHeight="1">
      <c r="G20304"/>
      <c r="I20304"/>
      <c r="N20304"/>
      <c r="O20304" s="24"/>
      <c r="P20304"/>
      <c r="Q20304" s="24"/>
      <c r="R20304"/>
      <c r="S20304"/>
      <c r="T20304"/>
      <c r="U20304"/>
      <c r="X20304" s="60"/>
    </row>
    <row r="20305" spans="7:24" ht="15" customHeight="1">
      <c r="G20305"/>
      <c r="I20305"/>
      <c r="N20305"/>
      <c r="O20305" s="24"/>
      <c r="P20305"/>
      <c r="Q20305" s="24"/>
      <c r="R20305"/>
      <c r="S20305"/>
      <c r="T20305"/>
      <c r="U20305"/>
      <c r="X20305" s="60"/>
    </row>
    <row r="20306" spans="7:24" ht="15" customHeight="1">
      <c r="G20306"/>
      <c r="I20306"/>
      <c r="N20306"/>
      <c r="O20306" s="24"/>
      <c r="P20306"/>
      <c r="Q20306" s="24"/>
      <c r="R20306"/>
      <c r="S20306"/>
      <c r="T20306"/>
      <c r="U20306"/>
      <c r="X20306" s="60"/>
    </row>
    <row r="20307" spans="7:24" ht="15" customHeight="1">
      <c r="G20307"/>
      <c r="I20307"/>
      <c r="N20307"/>
      <c r="O20307" s="24"/>
      <c r="P20307"/>
      <c r="Q20307" s="24"/>
      <c r="R20307"/>
      <c r="S20307"/>
      <c r="T20307"/>
      <c r="U20307"/>
      <c r="X20307" s="60"/>
    </row>
    <row r="20308" spans="7:24" ht="15" customHeight="1">
      <c r="G20308"/>
      <c r="I20308"/>
      <c r="N20308"/>
      <c r="O20308" s="24"/>
      <c r="P20308"/>
      <c r="Q20308" s="24"/>
      <c r="R20308"/>
      <c r="S20308"/>
      <c r="T20308"/>
      <c r="U20308"/>
      <c r="X20308" s="60"/>
    </row>
    <row r="20309" spans="7:24" ht="15" customHeight="1">
      <c r="G20309"/>
      <c r="I20309"/>
      <c r="N20309"/>
      <c r="O20309" s="24"/>
      <c r="P20309"/>
      <c r="Q20309" s="24"/>
      <c r="R20309"/>
      <c r="S20309"/>
      <c r="T20309"/>
      <c r="U20309"/>
      <c r="X20309" s="60"/>
    </row>
    <row r="20310" spans="7:24" ht="15" customHeight="1">
      <c r="G20310"/>
      <c r="I20310"/>
      <c r="N20310"/>
      <c r="O20310" s="24"/>
      <c r="P20310"/>
      <c r="Q20310" s="24"/>
      <c r="R20310"/>
      <c r="S20310"/>
      <c r="T20310"/>
      <c r="U20310"/>
      <c r="X20310" s="60"/>
    </row>
    <row r="20311" spans="7:24" ht="15" customHeight="1">
      <c r="G20311"/>
      <c r="I20311"/>
      <c r="N20311"/>
      <c r="O20311" s="24"/>
      <c r="P20311"/>
      <c r="Q20311" s="24"/>
      <c r="R20311"/>
      <c r="S20311"/>
      <c r="T20311"/>
      <c r="U20311"/>
      <c r="X20311" s="60"/>
    </row>
    <row r="20312" spans="7:24" ht="15" customHeight="1">
      <c r="G20312"/>
      <c r="I20312"/>
      <c r="N20312"/>
      <c r="O20312" s="24"/>
      <c r="P20312"/>
      <c r="Q20312" s="24"/>
      <c r="R20312"/>
      <c r="S20312"/>
      <c r="T20312"/>
      <c r="U20312"/>
      <c r="X20312" s="60"/>
    </row>
    <row r="20313" spans="7:24" ht="15" customHeight="1">
      <c r="G20313"/>
      <c r="I20313"/>
      <c r="N20313"/>
      <c r="O20313" s="24"/>
      <c r="P20313"/>
      <c r="Q20313" s="24"/>
      <c r="R20313"/>
      <c r="S20313"/>
      <c r="T20313"/>
      <c r="U20313"/>
      <c r="X20313" s="60"/>
    </row>
    <row r="20314" spans="7:24" ht="15" customHeight="1">
      <c r="G20314"/>
      <c r="I20314"/>
      <c r="N20314"/>
      <c r="O20314" s="24"/>
      <c r="P20314"/>
      <c r="Q20314" s="24"/>
      <c r="R20314"/>
      <c r="S20314"/>
      <c r="T20314"/>
      <c r="U20314"/>
      <c r="X20314" s="60"/>
    </row>
    <row r="20315" spans="7:24" ht="15" customHeight="1">
      <c r="G20315"/>
      <c r="I20315"/>
      <c r="N20315"/>
      <c r="O20315" s="24"/>
      <c r="P20315"/>
      <c r="Q20315" s="24"/>
      <c r="R20315"/>
      <c r="S20315"/>
      <c r="T20315"/>
      <c r="U20315"/>
      <c r="X20315" s="60"/>
    </row>
    <row r="20316" spans="7:24" ht="15" customHeight="1">
      <c r="G20316"/>
      <c r="I20316"/>
      <c r="N20316"/>
      <c r="O20316" s="24"/>
      <c r="P20316"/>
      <c r="Q20316" s="24"/>
      <c r="R20316"/>
      <c r="S20316"/>
      <c r="T20316"/>
      <c r="U20316"/>
      <c r="X20316" s="60"/>
    </row>
    <row r="20317" spans="7:24" ht="15" customHeight="1">
      <c r="G20317"/>
      <c r="I20317"/>
      <c r="N20317"/>
      <c r="O20317" s="24"/>
      <c r="P20317"/>
      <c r="Q20317" s="24"/>
      <c r="R20317"/>
      <c r="S20317"/>
      <c r="T20317"/>
      <c r="U20317"/>
      <c r="X20317" s="60"/>
    </row>
    <row r="20318" spans="7:24" ht="15" customHeight="1">
      <c r="G20318"/>
      <c r="I20318"/>
      <c r="N20318"/>
      <c r="O20318" s="24"/>
      <c r="P20318"/>
      <c r="Q20318" s="24"/>
      <c r="R20318"/>
      <c r="S20318"/>
      <c r="T20318"/>
      <c r="U20318"/>
      <c r="X20318" s="60"/>
    </row>
    <row r="20319" spans="7:24" ht="15" customHeight="1">
      <c r="G20319"/>
      <c r="I20319"/>
      <c r="N20319"/>
      <c r="O20319" s="24"/>
      <c r="P20319"/>
      <c r="Q20319" s="24"/>
      <c r="R20319"/>
      <c r="S20319"/>
      <c r="T20319"/>
      <c r="U20319"/>
      <c r="X20319" s="60"/>
    </row>
    <row r="20320" spans="7:24" ht="15" customHeight="1">
      <c r="G20320"/>
      <c r="I20320"/>
      <c r="N20320"/>
      <c r="O20320" s="24"/>
      <c r="P20320"/>
      <c r="Q20320" s="24"/>
      <c r="R20320"/>
      <c r="S20320"/>
      <c r="T20320"/>
      <c r="U20320"/>
      <c r="X20320" s="60"/>
    </row>
    <row r="20321" spans="7:24" ht="15" customHeight="1">
      <c r="G20321"/>
      <c r="I20321"/>
      <c r="N20321"/>
      <c r="O20321" s="24"/>
      <c r="P20321"/>
      <c r="Q20321" s="24"/>
      <c r="R20321"/>
      <c r="S20321"/>
      <c r="T20321"/>
      <c r="U20321"/>
      <c r="X20321" s="60"/>
    </row>
    <row r="20322" spans="7:24" ht="15" customHeight="1">
      <c r="G20322"/>
      <c r="I20322"/>
      <c r="N20322"/>
      <c r="O20322" s="24"/>
      <c r="P20322"/>
      <c r="Q20322" s="24"/>
      <c r="R20322"/>
      <c r="S20322"/>
      <c r="T20322"/>
      <c r="U20322"/>
      <c r="X20322" s="60"/>
    </row>
    <row r="20323" spans="7:24" ht="15" customHeight="1">
      <c r="G20323"/>
      <c r="I20323"/>
      <c r="N20323"/>
      <c r="O20323" s="24"/>
      <c r="P20323"/>
      <c r="Q20323" s="24"/>
      <c r="R20323"/>
      <c r="S20323"/>
      <c r="T20323"/>
      <c r="U20323"/>
      <c r="X20323" s="60"/>
    </row>
    <row r="20324" spans="7:24" ht="15" customHeight="1">
      <c r="G20324"/>
      <c r="I20324"/>
      <c r="N20324"/>
      <c r="O20324" s="24"/>
      <c r="P20324"/>
      <c r="Q20324" s="24"/>
      <c r="R20324"/>
      <c r="S20324"/>
      <c r="T20324"/>
      <c r="U20324"/>
      <c r="X20324" s="60"/>
    </row>
    <row r="20325" spans="7:24" ht="15" customHeight="1">
      <c r="G20325"/>
      <c r="I20325"/>
      <c r="N20325"/>
      <c r="O20325" s="24"/>
      <c r="P20325"/>
      <c r="Q20325" s="24"/>
      <c r="R20325"/>
      <c r="S20325"/>
      <c r="T20325"/>
      <c r="U20325"/>
      <c r="X20325" s="60"/>
    </row>
    <row r="20326" spans="7:24" ht="15" customHeight="1">
      <c r="G20326"/>
      <c r="I20326"/>
      <c r="N20326"/>
      <c r="O20326" s="24"/>
      <c r="P20326"/>
      <c r="Q20326" s="24"/>
      <c r="R20326"/>
      <c r="S20326"/>
      <c r="T20326"/>
      <c r="U20326"/>
      <c r="X20326" s="60"/>
    </row>
    <row r="20327" spans="7:24" ht="15" customHeight="1">
      <c r="G20327"/>
      <c r="I20327"/>
      <c r="N20327"/>
      <c r="O20327" s="24"/>
      <c r="P20327"/>
      <c r="Q20327" s="24"/>
      <c r="R20327"/>
      <c r="S20327"/>
      <c r="T20327"/>
      <c r="U20327"/>
      <c r="X20327" s="60"/>
    </row>
    <row r="20328" spans="7:24" ht="15" customHeight="1">
      <c r="G20328"/>
      <c r="I20328"/>
      <c r="N20328"/>
      <c r="O20328" s="24"/>
      <c r="P20328"/>
      <c r="Q20328" s="24"/>
      <c r="R20328"/>
      <c r="S20328"/>
      <c r="T20328"/>
      <c r="U20328"/>
      <c r="X20328" s="60"/>
    </row>
    <row r="20329" spans="7:24" ht="15" customHeight="1">
      <c r="G20329"/>
      <c r="I20329"/>
      <c r="N20329"/>
      <c r="O20329" s="24"/>
      <c r="P20329"/>
      <c r="Q20329" s="24"/>
      <c r="R20329"/>
      <c r="S20329"/>
      <c r="T20329"/>
      <c r="U20329"/>
      <c r="X20329" s="60"/>
    </row>
    <row r="20330" spans="7:24" ht="15" customHeight="1">
      <c r="G20330"/>
      <c r="I20330"/>
      <c r="N20330"/>
      <c r="O20330" s="24"/>
      <c r="P20330"/>
      <c r="Q20330" s="24"/>
      <c r="R20330"/>
      <c r="S20330"/>
      <c r="T20330"/>
      <c r="U20330"/>
      <c r="X20330" s="60"/>
    </row>
    <row r="20331" spans="7:24" ht="15" customHeight="1">
      <c r="G20331"/>
      <c r="I20331"/>
      <c r="N20331"/>
      <c r="O20331" s="24"/>
      <c r="P20331"/>
      <c r="Q20331" s="24"/>
      <c r="R20331"/>
      <c r="S20331"/>
      <c r="T20331"/>
      <c r="U20331"/>
      <c r="X20331" s="60"/>
    </row>
    <row r="20332" spans="7:24" ht="15" customHeight="1">
      <c r="G20332"/>
      <c r="I20332"/>
      <c r="N20332"/>
      <c r="O20332" s="24"/>
      <c r="P20332"/>
      <c r="Q20332" s="24"/>
      <c r="R20332"/>
      <c r="S20332"/>
      <c r="T20332"/>
      <c r="U20332"/>
      <c r="X20332" s="60"/>
    </row>
    <row r="20333" spans="7:24" ht="15" customHeight="1">
      <c r="G20333"/>
      <c r="I20333"/>
      <c r="N20333"/>
      <c r="O20333" s="24"/>
      <c r="P20333"/>
      <c r="Q20333" s="24"/>
      <c r="R20333"/>
      <c r="S20333"/>
      <c r="T20333"/>
      <c r="U20333"/>
      <c r="X20333" s="60"/>
    </row>
    <row r="20334" spans="7:24" ht="15" customHeight="1">
      <c r="G20334"/>
      <c r="I20334"/>
      <c r="N20334"/>
      <c r="O20334" s="24"/>
      <c r="P20334"/>
      <c r="Q20334" s="24"/>
      <c r="R20334"/>
      <c r="S20334"/>
      <c r="T20334"/>
      <c r="U20334"/>
      <c r="X20334" s="60"/>
    </row>
    <row r="20335" spans="7:24" ht="15" customHeight="1">
      <c r="G20335"/>
      <c r="I20335"/>
      <c r="N20335"/>
      <c r="O20335" s="24"/>
      <c r="P20335"/>
      <c r="Q20335" s="24"/>
      <c r="R20335"/>
      <c r="S20335"/>
      <c r="T20335"/>
      <c r="U20335"/>
      <c r="X20335" s="60"/>
    </row>
    <row r="20336" spans="7:24" ht="15" customHeight="1">
      <c r="G20336"/>
      <c r="I20336"/>
      <c r="N20336"/>
      <c r="O20336" s="24"/>
      <c r="P20336"/>
      <c r="Q20336" s="24"/>
      <c r="R20336"/>
      <c r="S20336"/>
      <c r="T20336"/>
      <c r="U20336"/>
      <c r="X20336" s="60"/>
    </row>
    <row r="20337" spans="7:24" ht="15" customHeight="1">
      <c r="G20337"/>
      <c r="I20337"/>
      <c r="N20337"/>
      <c r="O20337" s="24"/>
      <c r="P20337"/>
      <c r="Q20337" s="24"/>
      <c r="R20337"/>
      <c r="S20337"/>
      <c r="T20337"/>
      <c r="U20337"/>
      <c r="X20337" s="60"/>
    </row>
    <row r="20338" spans="7:24" ht="15" customHeight="1">
      <c r="G20338"/>
      <c r="I20338"/>
      <c r="N20338"/>
      <c r="O20338" s="24"/>
      <c r="P20338"/>
      <c r="Q20338" s="24"/>
      <c r="R20338"/>
      <c r="S20338"/>
      <c r="T20338"/>
      <c r="U20338"/>
      <c r="X20338" s="60"/>
    </row>
    <row r="20339" spans="7:24" ht="15" customHeight="1">
      <c r="G20339"/>
      <c r="I20339"/>
      <c r="N20339"/>
      <c r="O20339" s="24"/>
      <c r="P20339"/>
      <c r="Q20339" s="24"/>
      <c r="R20339"/>
      <c r="S20339"/>
      <c r="T20339"/>
      <c r="U20339"/>
      <c r="X20339" s="60"/>
    </row>
    <row r="20340" spans="7:24" ht="15" customHeight="1">
      <c r="G20340"/>
      <c r="I20340"/>
      <c r="N20340"/>
      <c r="O20340" s="24"/>
      <c r="P20340"/>
      <c r="Q20340" s="24"/>
      <c r="R20340"/>
      <c r="S20340"/>
      <c r="T20340"/>
      <c r="U20340"/>
      <c r="X20340" s="60"/>
    </row>
    <row r="20341" spans="7:24" ht="15" customHeight="1">
      <c r="G20341"/>
      <c r="I20341"/>
      <c r="N20341"/>
      <c r="O20341" s="24"/>
      <c r="P20341"/>
      <c r="Q20341" s="24"/>
      <c r="R20341"/>
      <c r="S20341"/>
      <c r="T20341"/>
      <c r="U20341"/>
      <c r="X20341" s="60"/>
    </row>
    <row r="20342" spans="7:24" ht="15" customHeight="1">
      <c r="G20342"/>
      <c r="I20342"/>
      <c r="N20342"/>
      <c r="O20342" s="24"/>
      <c r="P20342"/>
      <c r="Q20342" s="24"/>
      <c r="R20342"/>
      <c r="S20342"/>
      <c r="T20342"/>
      <c r="U20342"/>
      <c r="X20342" s="60"/>
    </row>
    <row r="20343" spans="7:24" ht="15" customHeight="1">
      <c r="G20343"/>
      <c r="I20343"/>
      <c r="N20343"/>
      <c r="O20343" s="24"/>
      <c r="P20343"/>
      <c r="Q20343" s="24"/>
      <c r="R20343"/>
      <c r="S20343"/>
      <c r="T20343"/>
      <c r="U20343"/>
      <c r="X20343" s="60"/>
    </row>
    <row r="20344" spans="7:24" ht="15" customHeight="1">
      <c r="G20344"/>
      <c r="I20344"/>
      <c r="N20344"/>
      <c r="O20344" s="24"/>
      <c r="P20344"/>
      <c r="Q20344" s="24"/>
      <c r="R20344"/>
      <c r="S20344"/>
      <c r="T20344"/>
      <c r="U20344"/>
      <c r="X20344" s="60"/>
    </row>
    <row r="20345" spans="7:24" ht="15" customHeight="1">
      <c r="G20345"/>
      <c r="I20345"/>
      <c r="N20345"/>
      <c r="O20345" s="24"/>
      <c r="P20345"/>
      <c r="Q20345" s="24"/>
      <c r="R20345"/>
      <c r="S20345"/>
      <c r="T20345"/>
      <c r="U20345"/>
      <c r="X20345" s="60"/>
    </row>
    <row r="20346" spans="7:24" ht="15" customHeight="1">
      <c r="G20346"/>
      <c r="I20346"/>
      <c r="N20346"/>
      <c r="O20346" s="24"/>
      <c r="P20346"/>
      <c r="Q20346" s="24"/>
      <c r="R20346"/>
      <c r="S20346"/>
      <c r="T20346"/>
      <c r="U20346"/>
      <c r="X20346" s="60"/>
    </row>
    <row r="20347" spans="7:24" ht="15" customHeight="1">
      <c r="G20347"/>
      <c r="I20347"/>
      <c r="N20347"/>
      <c r="O20347" s="24"/>
      <c r="P20347"/>
      <c r="Q20347" s="24"/>
      <c r="R20347"/>
      <c r="S20347"/>
      <c r="T20347"/>
      <c r="U20347"/>
      <c r="X20347" s="60"/>
    </row>
    <row r="20348" spans="7:24" ht="15" customHeight="1">
      <c r="G20348"/>
      <c r="I20348"/>
      <c r="N20348"/>
      <c r="O20348" s="24"/>
      <c r="P20348"/>
      <c r="Q20348" s="24"/>
      <c r="R20348"/>
      <c r="S20348"/>
      <c r="T20348"/>
      <c r="U20348"/>
      <c r="X20348" s="60"/>
    </row>
    <row r="20349" spans="7:24" ht="15" customHeight="1">
      <c r="G20349"/>
      <c r="I20349"/>
      <c r="N20349"/>
      <c r="O20349" s="24"/>
      <c r="P20349"/>
      <c r="Q20349" s="24"/>
      <c r="R20349"/>
      <c r="S20349"/>
      <c r="T20349"/>
      <c r="U20349"/>
      <c r="X20349" s="60"/>
    </row>
    <row r="20350" spans="7:24" ht="15" customHeight="1">
      <c r="G20350"/>
      <c r="I20350"/>
      <c r="N20350"/>
      <c r="O20350" s="24"/>
      <c r="P20350"/>
      <c r="Q20350" s="24"/>
      <c r="R20350"/>
      <c r="S20350"/>
      <c r="T20350"/>
      <c r="U20350"/>
      <c r="X20350" s="60"/>
    </row>
    <row r="20351" spans="7:24" ht="15" customHeight="1">
      <c r="G20351"/>
      <c r="I20351"/>
      <c r="N20351"/>
      <c r="O20351" s="24"/>
      <c r="P20351"/>
      <c r="Q20351" s="24"/>
      <c r="R20351"/>
      <c r="S20351"/>
      <c r="T20351"/>
      <c r="U20351"/>
      <c r="X20351" s="60"/>
    </row>
    <row r="20352" spans="7:24" ht="15" customHeight="1">
      <c r="G20352"/>
      <c r="I20352"/>
      <c r="N20352"/>
      <c r="O20352" s="24"/>
      <c r="P20352"/>
      <c r="Q20352" s="24"/>
      <c r="R20352"/>
      <c r="S20352"/>
      <c r="T20352"/>
      <c r="U20352"/>
      <c r="X20352" s="60"/>
    </row>
    <row r="20353" spans="7:24" ht="15" customHeight="1">
      <c r="G20353"/>
      <c r="I20353"/>
      <c r="N20353"/>
      <c r="O20353" s="24"/>
      <c r="P20353"/>
      <c r="Q20353" s="24"/>
      <c r="R20353"/>
      <c r="S20353"/>
      <c r="T20353"/>
      <c r="U20353"/>
      <c r="X20353" s="60"/>
    </row>
    <row r="20354" spans="7:24" ht="15" customHeight="1">
      <c r="G20354"/>
      <c r="I20354"/>
      <c r="N20354"/>
      <c r="O20354" s="24"/>
      <c r="P20354"/>
      <c r="Q20354" s="24"/>
      <c r="R20354"/>
      <c r="S20354"/>
      <c r="T20354"/>
      <c r="U20354"/>
      <c r="X20354" s="60"/>
    </row>
    <row r="20355" spans="7:24" ht="15" customHeight="1">
      <c r="G20355"/>
      <c r="I20355"/>
      <c r="N20355"/>
      <c r="O20355" s="24"/>
      <c r="P20355"/>
      <c r="Q20355" s="24"/>
      <c r="R20355"/>
      <c r="S20355"/>
      <c r="T20355"/>
      <c r="U20355"/>
      <c r="X20355" s="60"/>
    </row>
    <row r="20356" spans="7:24" ht="15" customHeight="1">
      <c r="G20356"/>
      <c r="I20356"/>
      <c r="N20356"/>
      <c r="O20356" s="24"/>
      <c r="P20356"/>
      <c r="Q20356" s="24"/>
      <c r="R20356"/>
      <c r="S20356"/>
      <c r="T20356"/>
      <c r="U20356"/>
      <c r="X20356" s="60"/>
    </row>
    <row r="20357" spans="7:24" ht="15" customHeight="1">
      <c r="G20357"/>
      <c r="I20357"/>
      <c r="N20357"/>
      <c r="O20357" s="24"/>
      <c r="P20357"/>
      <c r="Q20357" s="24"/>
      <c r="R20357"/>
      <c r="S20357"/>
      <c r="T20357"/>
      <c r="U20357"/>
      <c r="X20357" s="60"/>
    </row>
    <row r="20358" spans="7:24" ht="15" customHeight="1">
      <c r="G20358"/>
      <c r="I20358"/>
      <c r="N20358"/>
      <c r="O20358" s="24"/>
      <c r="P20358"/>
      <c r="Q20358" s="24"/>
      <c r="R20358"/>
      <c r="S20358"/>
      <c r="T20358"/>
      <c r="U20358"/>
      <c r="X20358" s="60"/>
    </row>
    <row r="20359" spans="7:24" ht="15" customHeight="1">
      <c r="G20359"/>
      <c r="I20359"/>
      <c r="N20359"/>
      <c r="O20359" s="24"/>
      <c r="P20359"/>
      <c r="Q20359" s="24"/>
      <c r="R20359"/>
      <c r="S20359"/>
      <c r="T20359"/>
      <c r="U20359"/>
      <c r="X20359" s="60"/>
    </row>
    <row r="20360" spans="7:24" ht="15" customHeight="1">
      <c r="G20360"/>
      <c r="I20360"/>
      <c r="N20360"/>
      <c r="O20360" s="24"/>
      <c r="P20360"/>
      <c r="Q20360" s="24"/>
      <c r="R20360"/>
      <c r="S20360"/>
      <c r="T20360"/>
      <c r="U20360"/>
      <c r="X20360" s="60"/>
    </row>
    <row r="20361" spans="7:24" ht="15" customHeight="1">
      <c r="G20361"/>
      <c r="I20361"/>
      <c r="N20361"/>
      <c r="O20361" s="24"/>
      <c r="P20361"/>
      <c r="Q20361" s="24"/>
      <c r="R20361"/>
      <c r="S20361"/>
      <c r="T20361"/>
      <c r="U20361"/>
      <c r="X20361" s="60"/>
    </row>
    <row r="20362" spans="7:24" ht="15" customHeight="1">
      <c r="G20362"/>
      <c r="I20362"/>
      <c r="N20362"/>
      <c r="O20362" s="24"/>
      <c r="P20362"/>
      <c r="Q20362" s="24"/>
      <c r="R20362"/>
      <c r="S20362"/>
      <c r="T20362"/>
      <c r="U20362"/>
      <c r="X20362" s="60"/>
    </row>
    <row r="20363" spans="7:24" ht="15" customHeight="1">
      <c r="G20363"/>
      <c r="I20363"/>
      <c r="N20363"/>
      <c r="O20363" s="24"/>
      <c r="P20363"/>
      <c r="Q20363" s="24"/>
      <c r="R20363"/>
      <c r="S20363"/>
      <c r="T20363"/>
      <c r="U20363"/>
      <c r="X20363" s="60"/>
    </row>
    <row r="20364" spans="7:24" ht="15" customHeight="1">
      <c r="G20364"/>
      <c r="I20364"/>
      <c r="N20364"/>
      <c r="O20364" s="24"/>
      <c r="P20364"/>
      <c r="Q20364" s="24"/>
      <c r="R20364"/>
      <c r="S20364"/>
      <c r="T20364"/>
      <c r="U20364"/>
      <c r="X20364" s="60"/>
    </row>
    <row r="20365" spans="7:24" ht="15" customHeight="1">
      <c r="G20365"/>
      <c r="I20365"/>
      <c r="N20365"/>
      <c r="O20365" s="24"/>
      <c r="P20365"/>
      <c r="Q20365" s="24"/>
      <c r="R20365"/>
      <c r="S20365"/>
      <c r="T20365"/>
      <c r="U20365"/>
      <c r="X20365" s="60"/>
    </row>
    <row r="20366" spans="7:24" ht="15" customHeight="1">
      <c r="G20366"/>
      <c r="I20366"/>
      <c r="N20366"/>
      <c r="O20366" s="24"/>
      <c r="P20366"/>
      <c r="Q20366" s="24"/>
      <c r="R20366"/>
      <c r="S20366"/>
      <c r="T20366"/>
      <c r="U20366"/>
      <c r="X20366" s="60"/>
    </row>
    <row r="20367" spans="7:24" ht="15" customHeight="1">
      <c r="G20367"/>
      <c r="I20367"/>
      <c r="N20367"/>
      <c r="O20367" s="24"/>
      <c r="P20367"/>
      <c r="Q20367" s="24"/>
      <c r="R20367"/>
      <c r="S20367"/>
      <c r="T20367"/>
      <c r="U20367"/>
      <c r="X20367" s="60"/>
    </row>
    <row r="20368" spans="7:24" ht="15" customHeight="1">
      <c r="G20368"/>
      <c r="I20368"/>
      <c r="N20368"/>
      <c r="O20368" s="24"/>
      <c r="P20368"/>
      <c r="Q20368" s="24"/>
      <c r="R20368"/>
      <c r="S20368"/>
      <c r="T20368"/>
      <c r="U20368"/>
      <c r="X20368" s="60"/>
    </row>
    <row r="20369" spans="7:24" ht="15" customHeight="1">
      <c r="G20369"/>
      <c r="I20369"/>
      <c r="N20369"/>
      <c r="O20369" s="24"/>
      <c r="P20369"/>
      <c r="Q20369" s="24"/>
      <c r="R20369"/>
      <c r="S20369"/>
      <c r="T20369"/>
      <c r="U20369"/>
      <c r="X20369" s="60"/>
    </row>
    <row r="20370" spans="7:24" ht="15" customHeight="1">
      <c r="G20370"/>
      <c r="I20370"/>
      <c r="N20370"/>
      <c r="O20370" s="24"/>
      <c r="P20370"/>
      <c r="Q20370" s="24"/>
      <c r="R20370"/>
      <c r="S20370"/>
      <c r="T20370"/>
      <c r="U20370"/>
      <c r="X20370" s="60"/>
    </row>
    <row r="20371" spans="7:24" ht="15" customHeight="1">
      <c r="G20371"/>
      <c r="I20371"/>
      <c r="N20371"/>
      <c r="O20371" s="24"/>
      <c r="P20371"/>
      <c r="Q20371" s="24"/>
      <c r="R20371"/>
      <c r="S20371"/>
      <c r="T20371"/>
      <c r="U20371"/>
      <c r="X20371" s="60"/>
    </row>
    <row r="20372" spans="7:24" ht="15" customHeight="1">
      <c r="G20372"/>
      <c r="I20372"/>
      <c r="N20372"/>
      <c r="O20372" s="24"/>
      <c r="P20372"/>
      <c r="Q20372" s="24"/>
      <c r="R20372"/>
      <c r="S20372"/>
      <c r="T20372"/>
      <c r="U20372"/>
      <c r="X20372" s="60"/>
    </row>
    <row r="20373" spans="7:24" ht="15" customHeight="1">
      <c r="G20373"/>
      <c r="I20373"/>
      <c r="N20373"/>
      <c r="O20373" s="24"/>
      <c r="P20373"/>
      <c r="Q20373" s="24"/>
      <c r="R20373"/>
      <c r="S20373"/>
      <c r="T20373"/>
      <c r="U20373"/>
      <c r="X20373" s="60"/>
    </row>
    <row r="20374" spans="7:24" ht="15" customHeight="1">
      <c r="G20374"/>
      <c r="I20374"/>
      <c r="N20374"/>
      <c r="O20374" s="24"/>
      <c r="P20374"/>
      <c r="Q20374" s="24"/>
      <c r="R20374"/>
      <c r="S20374"/>
      <c r="T20374"/>
      <c r="U20374"/>
      <c r="X20374" s="60"/>
    </row>
    <row r="20375" spans="7:24" ht="15" customHeight="1">
      <c r="G20375"/>
      <c r="I20375"/>
      <c r="N20375"/>
      <c r="O20375" s="24"/>
      <c r="P20375"/>
      <c r="Q20375" s="24"/>
      <c r="R20375"/>
      <c r="S20375"/>
      <c r="T20375"/>
      <c r="U20375"/>
      <c r="X20375" s="60"/>
    </row>
    <row r="20376" spans="7:24" ht="15" customHeight="1">
      <c r="G20376"/>
      <c r="I20376"/>
      <c r="N20376"/>
      <c r="O20376" s="24"/>
      <c r="P20376"/>
      <c r="Q20376" s="24"/>
      <c r="R20376"/>
      <c r="S20376"/>
      <c r="T20376"/>
      <c r="U20376"/>
      <c r="X20376" s="60"/>
    </row>
    <row r="20377" spans="7:24" ht="15" customHeight="1">
      <c r="G20377"/>
      <c r="I20377"/>
      <c r="N20377"/>
      <c r="O20377" s="24"/>
      <c r="P20377"/>
      <c r="Q20377" s="24"/>
      <c r="R20377"/>
      <c r="S20377"/>
      <c r="T20377"/>
      <c r="U20377"/>
      <c r="X20377" s="60"/>
    </row>
    <row r="20378" spans="7:24" ht="15" customHeight="1">
      <c r="G20378"/>
      <c r="I20378"/>
      <c r="N20378"/>
      <c r="O20378" s="24"/>
      <c r="P20378"/>
      <c r="Q20378" s="24"/>
      <c r="R20378"/>
      <c r="S20378"/>
      <c r="T20378"/>
      <c r="U20378"/>
      <c r="X20378" s="60"/>
    </row>
    <row r="20379" spans="7:24" ht="15" customHeight="1">
      <c r="G20379"/>
      <c r="I20379"/>
      <c r="N20379"/>
      <c r="O20379" s="24"/>
      <c r="P20379"/>
      <c r="Q20379" s="24"/>
      <c r="R20379"/>
      <c r="S20379"/>
      <c r="T20379"/>
      <c r="U20379"/>
      <c r="X20379" s="60"/>
    </row>
    <row r="20380" spans="7:24" ht="15" customHeight="1">
      <c r="G20380"/>
      <c r="I20380"/>
      <c r="N20380"/>
      <c r="O20380" s="24"/>
      <c r="P20380"/>
      <c r="Q20380" s="24"/>
      <c r="R20380"/>
      <c r="S20380"/>
      <c r="T20380"/>
      <c r="U20380"/>
      <c r="X20380" s="60"/>
    </row>
    <row r="20381" spans="7:24" ht="15" customHeight="1">
      <c r="G20381"/>
      <c r="I20381"/>
      <c r="N20381"/>
      <c r="O20381" s="24"/>
      <c r="P20381"/>
      <c r="Q20381" s="24"/>
      <c r="R20381"/>
      <c r="S20381"/>
      <c r="T20381"/>
      <c r="U20381"/>
      <c r="X20381" s="60"/>
    </row>
    <row r="20382" spans="7:24" ht="15" customHeight="1">
      <c r="G20382"/>
      <c r="I20382"/>
      <c r="N20382"/>
      <c r="O20382" s="24"/>
      <c r="P20382"/>
      <c r="Q20382" s="24"/>
      <c r="R20382"/>
      <c r="S20382"/>
      <c r="T20382"/>
      <c r="U20382"/>
      <c r="X20382" s="60"/>
    </row>
    <row r="20383" spans="7:24" ht="15" customHeight="1">
      <c r="G20383"/>
      <c r="I20383"/>
      <c r="N20383"/>
      <c r="O20383" s="24"/>
      <c r="P20383"/>
      <c r="Q20383" s="24"/>
      <c r="R20383"/>
      <c r="S20383"/>
      <c r="T20383"/>
      <c r="U20383"/>
      <c r="X20383" s="60"/>
    </row>
    <row r="20384" spans="7:24" ht="15" customHeight="1">
      <c r="G20384"/>
      <c r="I20384"/>
      <c r="N20384"/>
      <c r="O20384" s="24"/>
      <c r="P20384"/>
      <c r="Q20384" s="24"/>
      <c r="R20384"/>
      <c r="S20384"/>
      <c r="T20384"/>
      <c r="U20384"/>
      <c r="X20384" s="60"/>
    </row>
    <row r="20385" spans="7:24" ht="15" customHeight="1">
      <c r="G20385"/>
      <c r="I20385"/>
      <c r="N20385"/>
      <c r="O20385" s="24"/>
      <c r="P20385"/>
      <c r="Q20385" s="24"/>
      <c r="R20385"/>
      <c r="S20385"/>
      <c r="T20385"/>
      <c r="U20385"/>
      <c r="X20385" s="60"/>
    </row>
    <row r="20386" spans="7:24" ht="15" customHeight="1">
      <c r="G20386"/>
      <c r="I20386"/>
      <c r="N20386"/>
      <c r="O20386" s="24"/>
      <c r="P20386"/>
      <c r="Q20386" s="24"/>
      <c r="R20386"/>
      <c r="S20386"/>
      <c r="T20386"/>
      <c r="U20386"/>
      <c r="X20386" s="60"/>
    </row>
    <row r="20387" spans="7:24" ht="15" customHeight="1">
      <c r="G20387"/>
      <c r="I20387"/>
      <c r="N20387"/>
      <c r="O20387" s="24"/>
      <c r="P20387"/>
      <c r="Q20387" s="24"/>
      <c r="R20387"/>
      <c r="S20387"/>
      <c r="T20387"/>
      <c r="U20387"/>
      <c r="X20387" s="60"/>
    </row>
    <row r="20388" spans="7:24" ht="15" customHeight="1">
      <c r="G20388"/>
      <c r="I20388"/>
      <c r="N20388"/>
      <c r="O20388" s="24"/>
      <c r="P20388"/>
      <c r="Q20388" s="24"/>
      <c r="R20388"/>
      <c r="S20388"/>
      <c r="T20388"/>
      <c r="U20388"/>
      <c r="X20388" s="60"/>
    </row>
    <row r="20389" spans="7:24" ht="15" customHeight="1">
      <c r="G20389"/>
      <c r="I20389"/>
      <c r="N20389"/>
      <c r="O20389" s="24"/>
      <c r="P20389"/>
      <c r="Q20389" s="24"/>
      <c r="R20389"/>
      <c r="S20389"/>
      <c r="T20389"/>
      <c r="U20389"/>
      <c r="X20389" s="60"/>
    </row>
    <row r="20390" spans="7:24" ht="15" customHeight="1">
      <c r="G20390"/>
      <c r="I20390"/>
      <c r="N20390"/>
      <c r="O20390" s="24"/>
      <c r="P20390"/>
      <c r="Q20390" s="24"/>
      <c r="R20390"/>
      <c r="S20390"/>
      <c r="T20390"/>
      <c r="U20390"/>
      <c r="X20390" s="60"/>
    </row>
    <row r="20391" spans="7:24" ht="15" customHeight="1">
      <c r="G20391"/>
      <c r="I20391"/>
      <c r="N20391"/>
      <c r="O20391" s="24"/>
      <c r="P20391"/>
      <c r="Q20391" s="24"/>
      <c r="R20391"/>
      <c r="S20391"/>
      <c r="T20391"/>
      <c r="U20391"/>
      <c r="X20391" s="60"/>
    </row>
    <row r="20392" spans="7:24" ht="15" customHeight="1">
      <c r="G20392"/>
      <c r="I20392"/>
      <c r="N20392"/>
      <c r="O20392" s="24"/>
      <c r="P20392"/>
      <c r="Q20392" s="24"/>
      <c r="R20392"/>
      <c r="S20392"/>
      <c r="T20392"/>
      <c r="U20392"/>
      <c r="X20392" s="60"/>
    </row>
    <row r="20393" spans="7:24" ht="15" customHeight="1">
      <c r="G20393"/>
      <c r="I20393"/>
      <c r="N20393"/>
      <c r="O20393" s="24"/>
      <c r="P20393"/>
      <c r="Q20393" s="24"/>
      <c r="R20393"/>
      <c r="S20393"/>
      <c r="T20393"/>
      <c r="U20393"/>
      <c r="X20393" s="60"/>
    </row>
    <row r="20394" spans="7:24" ht="15" customHeight="1">
      <c r="G20394"/>
      <c r="I20394"/>
      <c r="N20394"/>
      <c r="O20394" s="24"/>
      <c r="P20394"/>
      <c r="Q20394" s="24"/>
      <c r="R20394"/>
      <c r="S20394"/>
      <c r="T20394"/>
      <c r="U20394"/>
      <c r="X20394" s="60"/>
    </row>
    <row r="20395" spans="7:24" ht="15" customHeight="1">
      <c r="G20395"/>
      <c r="I20395"/>
      <c r="N20395"/>
      <c r="O20395" s="24"/>
      <c r="P20395"/>
      <c r="Q20395" s="24"/>
      <c r="R20395"/>
      <c r="S20395"/>
      <c r="T20395"/>
      <c r="U20395"/>
      <c r="X20395" s="60"/>
    </row>
    <row r="20396" spans="7:24" ht="15" customHeight="1">
      <c r="G20396"/>
      <c r="I20396"/>
      <c r="N20396"/>
      <c r="O20396" s="24"/>
      <c r="P20396"/>
      <c r="Q20396" s="24"/>
      <c r="R20396"/>
      <c r="S20396"/>
      <c r="T20396"/>
      <c r="U20396"/>
      <c r="X20396" s="60"/>
    </row>
    <row r="20397" spans="7:24" ht="15" customHeight="1">
      <c r="G20397"/>
      <c r="I20397"/>
      <c r="N20397"/>
      <c r="O20397" s="24"/>
      <c r="P20397"/>
      <c r="Q20397" s="24"/>
      <c r="R20397"/>
      <c r="S20397"/>
      <c r="T20397"/>
      <c r="U20397"/>
      <c r="X20397" s="60"/>
    </row>
    <row r="20398" spans="7:24" ht="15" customHeight="1">
      <c r="G20398"/>
      <c r="I20398"/>
      <c r="N20398"/>
      <c r="O20398" s="24"/>
      <c r="P20398"/>
      <c r="Q20398" s="24"/>
      <c r="R20398"/>
      <c r="S20398"/>
      <c r="T20398"/>
      <c r="U20398"/>
      <c r="X20398" s="60"/>
    </row>
    <row r="20399" spans="7:24" ht="15" customHeight="1">
      <c r="G20399"/>
      <c r="I20399"/>
      <c r="N20399"/>
      <c r="O20399" s="24"/>
      <c r="P20399"/>
      <c r="Q20399" s="24"/>
      <c r="R20399"/>
      <c r="S20399"/>
      <c r="T20399"/>
      <c r="U20399"/>
      <c r="X20399" s="60"/>
    </row>
    <row r="20400" spans="7:24" ht="15" customHeight="1">
      <c r="G20400"/>
      <c r="I20400"/>
      <c r="N20400"/>
      <c r="O20400" s="24"/>
      <c r="P20400"/>
      <c r="Q20400" s="24"/>
      <c r="R20400"/>
      <c r="S20400"/>
      <c r="T20400"/>
      <c r="U20400"/>
      <c r="X20400" s="60"/>
    </row>
    <row r="20401" spans="7:24" ht="15" customHeight="1">
      <c r="G20401"/>
      <c r="I20401"/>
      <c r="N20401"/>
      <c r="O20401" s="24"/>
      <c r="P20401"/>
      <c r="Q20401" s="24"/>
      <c r="R20401"/>
      <c r="S20401"/>
      <c r="T20401"/>
      <c r="U20401"/>
      <c r="X20401" s="60"/>
    </row>
    <row r="20402" spans="7:24" ht="15" customHeight="1">
      <c r="G20402"/>
      <c r="I20402"/>
      <c r="N20402"/>
      <c r="O20402" s="24"/>
      <c r="P20402"/>
      <c r="Q20402" s="24"/>
      <c r="R20402"/>
      <c r="S20402"/>
      <c r="T20402"/>
      <c r="U20402"/>
      <c r="X20402" s="60"/>
    </row>
    <row r="20403" spans="7:24" ht="15" customHeight="1">
      <c r="G20403"/>
      <c r="I20403"/>
      <c r="N20403"/>
      <c r="O20403" s="24"/>
      <c r="P20403"/>
      <c r="Q20403" s="24"/>
      <c r="R20403"/>
      <c r="S20403"/>
      <c r="T20403"/>
      <c r="U20403"/>
      <c r="X20403" s="60"/>
    </row>
    <row r="20404" spans="7:24" ht="15" customHeight="1">
      <c r="G20404"/>
      <c r="I20404"/>
      <c r="N20404"/>
      <c r="O20404" s="24"/>
      <c r="P20404"/>
      <c r="Q20404" s="24"/>
      <c r="R20404"/>
      <c r="S20404"/>
      <c r="T20404"/>
      <c r="U20404"/>
      <c r="X20404" s="60"/>
    </row>
    <row r="20405" spans="7:24" ht="15" customHeight="1">
      <c r="G20405"/>
      <c r="I20405"/>
      <c r="N20405"/>
      <c r="O20405" s="24"/>
      <c r="P20405"/>
      <c r="Q20405" s="24"/>
      <c r="R20405"/>
      <c r="S20405"/>
      <c r="T20405"/>
      <c r="U20405"/>
      <c r="X20405" s="60"/>
    </row>
    <row r="20406" spans="7:24" ht="15" customHeight="1">
      <c r="G20406"/>
      <c r="I20406"/>
      <c r="N20406"/>
      <c r="O20406" s="24"/>
      <c r="P20406"/>
      <c r="Q20406" s="24"/>
      <c r="R20406"/>
      <c r="S20406"/>
      <c r="T20406"/>
      <c r="U20406"/>
      <c r="X20406" s="60"/>
    </row>
    <row r="20407" spans="7:24" ht="15" customHeight="1">
      <c r="G20407"/>
      <c r="I20407"/>
      <c r="N20407"/>
      <c r="O20407" s="24"/>
      <c r="P20407"/>
      <c r="Q20407" s="24"/>
      <c r="R20407"/>
      <c r="S20407"/>
      <c r="T20407"/>
      <c r="U20407"/>
      <c r="X20407" s="60"/>
    </row>
    <row r="20408" spans="7:24" ht="15" customHeight="1">
      <c r="G20408"/>
      <c r="I20408"/>
      <c r="N20408"/>
      <c r="O20408" s="24"/>
      <c r="P20408"/>
      <c r="Q20408" s="24"/>
      <c r="R20408"/>
      <c r="S20408"/>
      <c r="T20408"/>
      <c r="U20408"/>
      <c r="X20408" s="60"/>
    </row>
    <row r="20409" spans="7:24" ht="15" customHeight="1">
      <c r="G20409"/>
      <c r="I20409"/>
      <c r="N20409"/>
      <c r="O20409" s="24"/>
      <c r="P20409"/>
      <c r="Q20409" s="24"/>
      <c r="R20409"/>
      <c r="S20409"/>
      <c r="T20409"/>
      <c r="U20409"/>
      <c r="X20409" s="60"/>
    </row>
    <row r="20410" spans="7:24" ht="15" customHeight="1">
      <c r="G20410"/>
      <c r="I20410"/>
      <c r="N20410"/>
      <c r="O20410" s="24"/>
      <c r="P20410"/>
      <c r="Q20410" s="24"/>
      <c r="R20410"/>
      <c r="S20410"/>
      <c r="T20410"/>
      <c r="U20410"/>
      <c r="X20410" s="60"/>
    </row>
    <row r="20411" spans="7:24" ht="15" customHeight="1">
      <c r="G20411"/>
      <c r="I20411"/>
      <c r="N20411"/>
      <c r="O20411" s="24"/>
      <c r="P20411"/>
      <c r="Q20411" s="24"/>
      <c r="R20411"/>
      <c r="S20411"/>
      <c r="T20411"/>
      <c r="U20411"/>
      <c r="X20411" s="60"/>
    </row>
    <row r="20412" spans="7:24" ht="15" customHeight="1">
      <c r="G20412"/>
      <c r="I20412"/>
      <c r="N20412"/>
      <c r="O20412" s="24"/>
      <c r="P20412"/>
      <c r="Q20412" s="24"/>
      <c r="R20412"/>
      <c r="S20412"/>
      <c r="T20412"/>
      <c r="U20412"/>
      <c r="X20412" s="60"/>
    </row>
    <row r="20413" spans="7:24" ht="15" customHeight="1">
      <c r="G20413"/>
      <c r="I20413"/>
      <c r="N20413"/>
      <c r="O20413" s="24"/>
      <c r="P20413"/>
      <c r="Q20413" s="24"/>
      <c r="R20413"/>
      <c r="S20413"/>
      <c r="T20413"/>
      <c r="U20413"/>
      <c r="X20413" s="60"/>
    </row>
    <row r="20414" spans="7:24" ht="15" customHeight="1">
      <c r="G20414"/>
      <c r="I20414"/>
      <c r="N20414"/>
      <c r="O20414" s="24"/>
      <c r="P20414"/>
      <c r="Q20414" s="24"/>
      <c r="R20414"/>
      <c r="S20414"/>
      <c r="T20414"/>
      <c r="U20414"/>
      <c r="X20414" s="60"/>
    </row>
    <row r="20415" spans="7:24" ht="15" customHeight="1">
      <c r="G20415"/>
      <c r="I20415"/>
      <c r="N20415"/>
      <c r="O20415" s="24"/>
      <c r="P20415"/>
      <c r="Q20415" s="24"/>
      <c r="R20415"/>
      <c r="S20415"/>
      <c r="T20415"/>
      <c r="U20415"/>
      <c r="X20415" s="60"/>
    </row>
    <row r="20416" spans="7:24" ht="15" customHeight="1">
      <c r="G20416"/>
      <c r="I20416"/>
      <c r="N20416"/>
      <c r="O20416" s="24"/>
      <c r="P20416"/>
      <c r="Q20416" s="24"/>
      <c r="R20416"/>
      <c r="S20416"/>
      <c r="T20416"/>
      <c r="U20416"/>
      <c r="X20416" s="60"/>
    </row>
    <row r="20417" spans="7:24" ht="15" customHeight="1">
      <c r="G20417"/>
      <c r="I20417"/>
      <c r="N20417"/>
      <c r="O20417" s="24"/>
      <c r="P20417"/>
      <c r="Q20417" s="24"/>
      <c r="R20417"/>
      <c r="S20417"/>
      <c r="T20417"/>
      <c r="U20417"/>
      <c r="X20417" s="60"/>
    </row>
    <row r="20418" spans="7:24" ht="15" customHeight="1">
      <c r="G20418"/>
      <c r="I20418"/>
      <c r="N20418"/>
      <c r="O20418" s="24"/>
      <c r="P20418"/>
      <c r="Q20418" s="24"/>
      <c r="R20418"/>
      <c r="S20418"/>
      <c r="T20418"/>
      <c r="U20418"/>
      <c r="X20418" s="60"/>
    </row>
    <row r="20419" spans="7:24" ht="15" customHeight="1">
      <c r="G20419"/>
      <c r="I20419"/>
      <c r="N20419"/>
      <c r="O20419" s="24"/>
      <c r="P20419"/>
      <c r="Q20419" s="24"/>
      <c r="R20419"/>
      <c r="S20419"/>
      <c r="T20419"/>
      <c r="U20419"/>
      <c r="X20419" s="60"/>
    </row>
    <row r="20420" spans="7:24" ht="15" customHeight="1">
      <c r="G20420"/>
      <c r="I20420"/>
      <c r="N20420"/>
      <c r="O20420" s="24"/>
      <c r="P20420"/>
      <c r="Q20420" s="24"/>
      <c r="R20420"/>
      <c r="S20420"/>
      <c r="T20420"/>
      <c r="U20420"/>
      <c r="X20420" s="60"/>
    </row>
    <row r="20421" spans="7:24" ht="15" customHeight="1">
      <c r="G20421"/>
      <c r="I20421"/>
      <c r="N20421"/>
      <c r="O20421" s="24"/>
      <c r="P20421"/>
      <c r="Q20421" s="24"/>
      <c r="R20421"/>
      <c r="S20421"/>
      <c r="T20421"/>
      <c r="U20421"/>
      <c r="X20421" s="60"/>
    </row>
    <row r="20422" spans="7:24" ht="15" customHeight="1">
      <c r="G20422"/>
      <c r="I20422"/>
      <c r="N20422"/>
      <c r="O20422" s="24"/>
      <c r="P20422"/>
      <c r="Q20422" s="24"/>
      <c r="R20422"/>
      <c r="S20422"/>
      <c r="T20422"/>
      <c r="U20422"/>
      <c r="X20422" s="60"/>
    </row>
    <row r="20423" spans="7:24" ht="15" customHeight="1">
      <c r="G20423"/>
      <c r="I20423"/>
      <c r="N20423"/>
      <c r="O20423" s="24"/>
      <c r="P20423"/>
      <c r="Q20423" s="24"/>
      <c r="R20423"/>
      <c r="S20423"/>
      <c r="T20423"/>
      <c r="U20423"/>
      <c r="X20423" s="60"/>
    </row>
    <row r="20424" spans="7:24" ht="15" customHeight="1">
      <c r="G20424"/>
      <c r="I20424"/>
      <c r="N20424"/>
      <c r="O20424" s="24"/>
      <c r="P20424"/>
      <c r="Q20424" s="24"/>
      <c r="R20424"/>
      <c r="S20424"/>
      <c r="T20424"/>
      <c r="U20424"/>
      <c r="X20424" s="60"/>
    </row>
    <row r="20425" spans="7:24" ht="15" customHeight="1">
      <c r="G20425"/>
      <c r="I20425"/>
      <c r="N20425"/>
      <c r="O20425" s="24"/>
      <c r="P20425"/>
      <c r="Q20425" s="24"/>
      <c r="R20425"/>
      <c r="S20425"/>
      <c r="T20425"/>
      <c r="U20425"/>
      <c r="X20425" s="60"/>
    </row>
    <row r="20426" spans="7:24" ht="15" customHeight="1">
      <c r="G20426"/>
      <c r="I20426"/>
      <c r="N20426"/>
      <c r="O20426" s="24"/>
      <c r="P20426"/>
      <c r="Q20426" s="24"/>
      <c r="R20426"/>
      <c r="S20426"/>
      <c r="T20426"/>
      <c r="U20426"/>
      <c r="X20426" s="60"/>
    </row>
    <row r="20427" spans="7:24" ht="15" customHeight="1">
      <c r="G20427"/>
      <c r="I20427"/>
      <c r="N20427"/>
      <c r="O20427" s="24"/>
      <c r="P20427"/>
      <c r="Q20427" s="24"/>
      <c r="R20427"/>
      <c r="S20427"/>
      <c r="T20427"/>
      <c r="U20427"/>
      <c r="X20427" s="60"/>
    </row>
    <row r="20428" spans="7:24" ht="15" customHeight="1">
      <c r="G20428"/>
      <c r="I20428"/>
      <c r="N20428"/>
      <c r="O20428" s="24"/>
      <c r="P20428"/>
      <c r="Q20428" s="24"/>
      <c r="R20428"/>
      <c r="S20428"/>
      <c r="T20428"/>
      <c r="U20428"/>
      <c r="X20428" s="60"/>
    </row>
    <row r="20429" spans="7:24" ht="15" customHeight="1">
      <c r="G20429"/>
      <c r="I20429"/>
      <c r="N20429"/>
      <c r="O20429" s="24"/>
      <c r="P20429"/>
      <c r="Q20429" s="24"/>
      <c r="R20429"/>
      <c r="S20429"/>
      <c r="T20429"/>
      <c r="U20429"/>
      <c r="X20429" s="60"/>
    </row>
    <row r="20430" spans="7:24" ht="15" customHeight="1">
      <c r="G20430"/>
      <c r="I20430"/>
      <c r="N20430"/>
      <c r="O20430" s="24"/>
      <c r="P20430"/>
      <c r="Q20430" s="24"/>
      <c r="R20430"/>
      <c r="S20430"/>
      <c r="T20430"/>
      <c r="U20430"/>
      <c r="X20430" s="60"/>
    </row>
    <row r="20431" spans="7:24" ht="15" customHeight="1">
      <c r="G20431"/>
      <c r="I20431"/>
      <c r="N20431"/>
      <c r="O20431" s="24"/>
      <c r="P20431"/>
      <c r="Q20431" s="24"/>
      <c r="R20431"/>
      <c r="S20431"/>
      <c r="T20431"/>
      <c r="U20431"/>
      <c r="X20431" s="60"/>
    </row>
    <row r="20432" spans="7:24" ht="15" customHeight="1">
      <c r="G20432"/>
      <c r="I20432"/>
      <c r="N20432"/>
      <c r="O20432" s="24"/>
      <c r="P20432"/>
      <c r="Q20432" s="24"/>
      <c r="R20432"/>
      <c r="S20432"/>
      <c r="T20432"/>
      <c r="U20432"/>
      <c r="X20432" s="60"/>
    </row>
    <row r="20433" spans="7:24" ht="15" customHeight="1">
      <c r="G20433"/>
      <c r="I20433"/>
      <c r="N20433"/>
      <c r="O20433" s="24"/>
      <c r="P20433"/>
      <c r="Q20433" s="24"/>
      <c r="R20433"/>
      <c r="S20433"/>
      <c r="T20433"/>
      <c r="U20433"/>
      <c r="X20433" s="60"/>
    </row>
    <row r="20434" spans="7:24" ht="15" customHeight="1">
      <c r="G20434"/>
      <c r="I20434"/>
      <c r="N20434"/>
      <c r="O20434" s="24"/>
      <c r="P20434"/>
      <c r="Q20434" s="24"/>
      <c r="R20434"/>
      <c r="S20434"/>
      <c r="T20434"/>
      <c r="U20434"/>
      <c r="X20434" s="60"/>
    </row>
    <row r="20435" spans="7:24" ht="15" customHeight="1">
      <c r="G20435"/>
      <c r="I20435"/>
      <c r="N20435"/>
      <c r="O20435" s="24"/>
      <c r="P20435"/>
      <c r="Q20435" s="24"/>
      <c r="R20435"/>
      <c r="S20435"/>
      <c r="T20435"/>
      <c r="U20435"/>
      <c r="X20435" s="60"/>
    </row>
    <row r="20436" spans="7:24" ht="15" customHeight="1">
      <c r="G20436"/>
      <c r="I20436"/>
      <c r="N20436"/>
      <c r="O20436" s="24"/>
      <c r="P20436"/>
      <c r="Q20436" s="24"/>
      <c r="R20436"/>
      <c r="S20436"/>
      <c r="T20436"/>
      <c r="U20436"/>
      <c r="X20436" s="60"/>
    </row>
    <row r="20437" spans="7:24" ht="15" customHeight="1">
      <c r="G20437"/>
      <c r="I20437"/>
      <c r="N20437"/>
      <c r="O20437" s="24"/>
      <c r="P20437"/>
      <c r="Q20437" s="24"/>
      <c r="R20437"/>
      <c r="S20437"/>
      <c r="T20437"/>
      <c r="U20437"/>
      <c r="X20437" s="60"/>
    </row>
    <row r="20438" spans="7:24" ht="15" customHeight="1">
      <c r="G20438"/>
      <c r="I20438"/>
      <c r="N20438"/>
      <c r="O20438" s="24"/>
      <c r="P20438"/>
      <c r="Q20438" s="24"/>
      <c r="R20438"/>
      <c r="S20438"/>
      <c r="T20438"/>
      <c r="U20438"/>
      <c r="X20438" s="60"/>
    </row>
    <row r="20439" spans="7:24" ht="15" customHeight="1">
      <c r="G20439"/>
      <c r="I20439"/>
      <c r="N20439"/>
      <c r="O20439" s="24"/>
      <c r="P20439"/>
      <c r="Q20439" s="24"/>
      <c r="R20439"/>
      <c r="S20439"/>
      <c r="T20439"/>
      <c r="U20439"/>
      <c r="X20439" s="60"/>
    </row>
    <row r="20440" spans="7:24" ht="15" customHeight="1">
      <c r="G20440"/>
      <c r="I20440"/>
      <c r="N20440"/>
      <c r="O20440" s="24"/>
      <c r="P20440"/>
      <c r="Q20440" s="24"/>
      <c r="R20440"/>
      <c r="S20440"/>
      <c r="T20440"/>
      <c r="U20440"/>
      <c r="X20440" s="60"/>
    </row>
    <row r="20441" spans="7:24" ht="15" customHeight="1">
      <c r="G20441"/>
      <c r="I20441"/>
      <c r="N20441"/>
      <c r="O20441" s="24"/>
      <c r="P20441"/>
      <c r="Q20441" s="24"/>
      <c r="R20441"/>
      <c r="S20441"/>
      <c r="T20441"/>
      <c r="U20441"/>
      <c r="X20441" s="60"/>
    </row>
    <row r="20442" spans="7:24" ht="15" customHeight="1">
      <c r="G20442"/>
      <c r="I20442"/>
      <c r="N20442"/>
      <c r="O20442" s="24"/>
      <c r="P20442"/>
      <c r="Q20442" s="24"/>
      <c r="R20442"/>
      <c r="S20442"/>
      <c r="T20442"/>
      <c r="U20442"/>
      <c r="X20442" s="60"/>
    </row>
    <row r="20443" spans="7:24" ht="15" customHeight="1">
      <c r="G20443"/>
      <c r="I20443"/>
      <c r="N20443"/>
      <c r="O20443" s="24"/>
      <c r="P20443"/>
      <c r="Q20443" s="24"/>
      <c r="R20443"/>
      <c r="S20443"/>
      <c r="T20443"/>
      <c r="U20443"/>
      <c r="X20443" s="60"/>
    </row>
    <row r="20444" spans="7:24" ht="15" customHeight="1">
      <c r="G20444"/>
      <c r="I20444"/>
      <c r="N20444"/>
      <c r="O20444" s="24"/>
      <c r="P20444"/>
      <c r="Q20444" s="24"/>
      <c r="R20444"/>
      <c r="S20444"/>
      <c r="T20444"/>
      <c r="U20444"/>
      <c r="X20444" s="60"/>
    </row>
    <row r="20445" spans="7:24" ht="15" customHeight="1">
      <c r="G20445"/>
      <c r="I20445"/>
      <c r="N20445"/>
      <c r="O20445" s="24"/>
      <c r="P20445"/>
      <c r="Q20445" s="24"/>
      <c r="R20445"/>
      <c r="S20445"/>
      <c r="T20445"/>
      <c r="U20445"/>
      <c r="X20445" s="60"/>
    </row>
    <row r="20446" spans="7:24" ht="15" customHeight="1">
      <c r="G20446"/>
      <c r="I20446"/>
      <c r="N20446"/>
      <c r="O20446" s="24"/>
      <c r="P20446"/>
      <c r="Q20446" s="24"/>
      <c r="R20446"/>
      <c r="S20446"/>
      <c r="T20446"/>
      <c r="U20446"/>
      <c r="X20446" s="60"/>
    </row>
    <row r="20447" spans="7:24" ht="15" customHeight="1">
      <c r="G20447"/>
      <c r="I20447"/>
      <c r="N20447"/>
      <c r="O20447" s="24"/>
      <c r="P20447"/>
      <c r="Q20447" s="24"/>
      <c r="R20447"/>
      <c r="S20447"/>
      <c r="T20447"/>
      <c r="U20447"/>
      <c r="X20447" s="60"/>
    </row>
    <row r="20448" spans="7:24" ht="15" customHeight="1">
      <c r="G20448"/>
      <c r="I20448"/>
      <c r="N20448"/>
      <c r="O20448" s="24"/>
      <c r="P20448"/>
      <c r="Q20448" s="24"/>
      <c r="R20448"/>
      <c r="S20448"/>
      <c r="T20448"/>
      <c r="U20448"/>
      <c r="X20448" s="60"/>
    </row>
    <row r="20449" spans="7:24" ht="15" customHeight="1">
      <c r="G20449"/>
      <c r="I20449"/>
      <c r="N20449"/>
      <c r="O20449" s="24"/>
      <c r="P20449"/>
      <c r="Q20449" s="24"/>
      <c r="R20449"/>
      <c r="S20449"/>
      <c r="T20449"/>
      <c r="U20449"/>
      <c r="X20449" s="60"/>
    </row>
    <row r="20450" spans="7:24" ht="15" customHeight="1">
      <c r="G20450"/>
      <c r="I20450"/>
      <c r="N20450"/>
      <c r="O20450" s="24"/>
      <c r="P20450"/>
      <c r="Q20450" s="24"/>
      <c r="R20450"/>
      <c r="S20450"/>
      <c r="T20450"/>
      <c r="U20450"/>
      <c r="X20450" s="60"/>
    </row>
    <row r="20451" spans="7:24" ht="15" customHeight="1">
      <c r="G20451"/>
      <c r="I20451"/>
      <c r="N20451"/>
      <c r="O20451" s="24"/>
      <c r="P20451"/>
      <c r="Q20451" s="24"/>
      <c r="R20451"/>
      <c r="S20451"/>
      <c r="T20451"/>
      <c r="U20451"/>
      <c r="X20451" s="60"/>
    </row>
    <row r="20452" spans="7:24" ht="15" customHeight="1">
      <c r="G20452"/>
      <c r="I20452"/>
      <c r="N20452"/>
      <c r="O20452" s="24"/>
      <c r="P20452"/>
      <c r="Q20452" s="24"/>
      <c r="R20452"/>
      <c r="S20452"/>
      <c r="T20452"/>
      <c r="U20452"/>
      <c r="X20452" s="60"/>
    </row>
    <row r="20453" spans="7:24" ht="15" customHeight="1">
      <c r="G20453"/>
      <c r="I20453"/>
      <c r="N20453"/>
      <c r="O20453" s="24"/>
      <c r="P20453"/>
      <c r="Q20453" s="24"/>
      <c r="R20453"/>
      <c r="S20453"/>
      <c r="T20453"/>
      <c r="U20453"/>
      <c r="X20453" s="60"/>
    </row>
    <row r="20454" spans="7:24" ht="15" customHeight="1">
      <c r="G20454"/>
      <c r="I20454"/>
      <c r="N20454"/>
      <c r="O20454" s="24"/>
      <c r="P20454"/>
      <c r="Q20454" s="24"/>
      <c r="R20454"/>
      <c r="S20454"/>
      <c r="T20454"/>
      <c r="U20454"/>
      <c r="X20454" s="60"/>
    </row>
    <row r="20455" spans="7:24" ht="15" customHeight="1">
      <c r="G20455"/>
      <c r="I20455"/>
      <c r="N20455"/>
      <c r="O20455" s="24"/>
      <c r="P20455"/>
      <c r="Q20455" s="24"/>
      <c r="R20455"/>
      <c r="S20455"/>
      <c r="T20455"/>
      <c r="U20455"/>
      <c r="X20455" s="60"/>
    </row>
    <row r="20456" spans="7:24" ht="15" customHeight="1">
      <c r="G20456"/>
      <c r="I20456"/>
      <c r="N20456"/>
      <c r="O20456" s="24"/>
      <c r="P20456"/>
      <c r="Q20456" s="24"/>
      <c r="R20456"/>
      <c r="S20456"/>
      <c r="T20456"/>
      <c r="U20456"/>
      <c r="X20456" s="60"/>
    </row>
    <row r="20457" spans="7:24" ht="15" customHeight="1">
      <c r="G20457"/>
      <c r="I20457"/>
      <c r="N20457"/>
      <c r="O20457" s="24"/>
      <c r="P20457"/>
      <c r="Q20457" s="24"/>
      <c r="R20457"/>
      <c r="S20457"/>
      <c r="T20457"/>
      <c r="U20457"/>
      <c r="X20457" s="60"/>
    </row>
    <row r="20458" spans="7:24" ht="15" customHeight="1">
      <c r="G20458"/>
      <c r="I20458"/>
      <c r="N20458"/>
      <c r="O20458" s="24"/>
      <c r="P20458"/>
      <c r="Q20458" s="24"/>
      <c r="R20458"/>
      <c r="S20458"/>
      <c r="T20458"/>
      <c r="U20458"/>
      <c r="X20458" s="60"/>
    </row>
    <row r="20459" spans="7:24" ht="15" customHeight="1">
      <c r="G20459"/>
      <c r="I20459"/>
      <c r="N20459"/>
      <c r="O20459" s="24"/>
      <c r="P20459"/>
      <c r="Q20459" s="24"/>
      <c r="R20459"/>
      <c r="S20459"/>
      <c r="T20459"/>
      <c r="U20459"/>
      <c r="X20459" s="60"/>
    </row>
    <row r="20460" spans="7:24" ht="15" customHeight="1">
      <c r="G20460"/>
      <c r="I20460"/>
      <c r="N20460"/>
      <c r="O20460" s="24"/>
      <c r="P20460"/>
      <c r="Q20460" s="24"/>
      <c r="R20460"/>
      <c r="S20460"/>
      <c r="T20460"/>
      <c r="U20460"/>
      <c r="X20460" s="60"/>
    </row>
    <row r="20461" spans="7:24" ht="15" customHeight="1">
      <c r="G20461"/>
      <c r="I20461"/>
      <c r="N20461"/>
      <c r="O20461" s="24"/>
      <c r="P20461"/>
      <c r="Q20461" s="24"/>
      <c r="R20461"/>
      <c r="S20461"/>
      <c r="T20461"/>
      <c r="U20461"/>
      <c r="X20461" s="60"/>
    </row>
    <row r="20462" spans="7:24" ht="15" customHeight="1">
      <c r="G20462"/>
      <c r="I20462"/>
      <c r="N20462"/>
      <c r="O20462" s="24"/>
      <c r="P20462"/>
      <c r="Q20462" s="24"/>
      <c r="R20462"/>
      <c r="S20462"/>
      <c r="T20462"/>
      <c r="U20462"/>
      <c r="X20462" s="60"/>
    </row>
    <row r="20463" spans="7:24" ht="15" customHeight="1">
      <c r="G20463"/>
      <c r="I20463"/>
      <c r="N20463"/>
      <c r="O20463" s="24"/>
      <c r="P20463"/>
      <c r="Q20463" s="24"/>
      <c r="R20463"/>
      <c r="S20463"/>
      <c r="T20463"/>
      <c r="U20463"/>
      <c r="X20463" s="60"/>
    </row>
    <row r="20464" spans="7:24" ht="15" customHeight="1">
      <c r="G20464"/>
      <c r="I20464"/>
      <c r="N20464"/>
      <c r="O20464" s="24"/>
      <c r="P20464"/>
      <c r="Q20464" s="24"/>
      <c r="R20464"/>
      <c r="S20464"/>
      <c r="T20464"/>
      <c r="U20464"/>
      <c r="X20464" s="60"/>
    </row>
    <row r="20465" spans="7:24" ht="15" customHeight="1">
      <c r="G20465"/>
      <c r="I20465"/>
      <c r="N20465"/>
      <c r="O20465" s="24"/>
      <c r="P20465"/>
      <c r="Q20465" s="24"/>
      <c r="R20465"/>
      <c r="S20465"/>
      <c r="T20465"/>
      <c r="U20465"/>
      <c r="X20465" s="60"/>
    </row>
    <row r="20466" spans="7:24" ht="15" customHeight="1">
      <c r="G20466"/>
      <c r="I20466"/>
      <c r="N20466"/>
      <c r="O20466" s="24"/>
      <c r="P20466"/>
      <c r="Q20466" s="24"/>
      <c r="R20466"/>
      <c r="S20466"/>
      <c r="T20466"/>
      <c r="U20466"/>
      <c r="X20466" s="60"/>
    </row>
    <row r="20467" spans="7:24" ht="15" customHeight="1">
      <c r="G20467"/>
      <c r="I20467"/>
      <c r="N20467"/>
      <c r="O20467" s="24"/>
      <c r="P20467"/>
      <c r="Q20467" s="24"/>
      <c r="R20467"/>
      <c r="S20467"/>
      <c r="T20467"/>
      <c r="U20467"/>
      <c r="X20467" s="60"/>
    </row>
    <row r="20468" spans="7:24" ht="15" customHeight="1">
      <c r="G20468"/>
      <c r="I20468"/>
      <c r="N20468"/>
      <c r="O20468" s="24"/>
      <c r="P20468"/>
      <c r="Q20468" s="24"/>
      <c r="R20468"/>
      <c r="S20468"/>
      <c r="T20468"/>
      <c r="U20468"/>
      <c r="X20468" s="60"/>
    </row>
    <row r="20469" spans="7:24" ht="15" customHeight="1">
      <c r="G20469"/>
      <c r="I20469"/>
      <c r="N20469"/>
      <c r="O20469" s="24"/>
      <c r="P20469"/>
      <c r="Q20469" s="24"/>
      <c r="R20469"/>
      <c r="S20469"/>
      <c r="T20469"/>
      <c r="U20469"/>
      <c r="X20469" s="60"/>
    </row>
    <row r="20470" spans="7:24" ht="15" customHeight="1">
      <c r="G20470"/>
      <c r="I20470"/>
      <c r="N20470"/>
      <c r="O20470" s="24"/>
      <c r="P20470"/>
      <c r="Q20470" s="24"/>
      <c r="R20470"/>
      <c r="S20470"/>
      <c r="T20470"/>
      <c r="U20470"/>
      <c r="X20470" s="60"/>
    </row>
    <row r="20471" spans="7:24" ht="15" customHeight="1">
      <c r="G20471"/>
      <c r="I20471"/>
      <c r="N20471"/>
      <c r="O20471" s="24"/>
      <c r="P20471"/>
      <c r="Q20471" s="24"/>
      <c r="R20471"/>
      <c r="S20471"/>
      <c r="T20471"/>
      <c r="U20471"/>
      <c r="X20471" s="60"/>
    </row>
    <row r="20472" spans="7:24" ht="15" customHeight="1">
      <c r="G20472"/>
      <c r="I20472"/>
      <c r="N20472"/>
      <c r="O20472" s="24"/>
      <c r="P20472"/>
      <c r="Q20472" s="24"/>
      <c r="R20472"/>
      <c r="S20472"/>
      <c r="T20472"/>
      <c r="U20472"/>
      <c r="X20472" s="60"/>
    </row>
    <row r="20473" spans="7:24" ht="15" customHeight="1">
      <c r="G20473"/>
      <c r="I20473"/>
      <c r="N20473"/>
      <c r="O20473" s="24"/>
      <c r="P20473"/>
      <c r="Q20473" s="24"/>
      <c r="R20473"/>
      <c r="S20473"/>
      <c r="T20473"/>
      <c r="U20473"/>
      <c r="X20473" s="60"/>
    </row>
    <row r="20474" spans="7:24" ht="15" customHeight="1">
      <c r="G20474"/>
      <c r="I20474"/>
      <c r="N20474"/>
      <c r="O20474" s="24"/>
      <c r="P20474"/>
      <c r="Q20474" s="24"/>
      <c r="R20474"/>
      <c r="S20474"/>
      <c r="T20474"/>
      <c r="U20474"/>
      <c r="X20474" s="60"/>
    </row>
    <row r="20475" spans="7:24" ht="15" customHeight="1">
      <c r="G20475"/>
      <c r="I20475"/>
      <c r="N20475"/>
      <c r="O20475" s="24"/>
      <c r="P20475"/>
      <c r="Q20475" s="24"/>
      <c r="R20475"/>
      <c r="S20475"/>
      <c r="T20475"/>
      <c r="U20475"/>
      <c r="X20475" s="60"/>
    </row>
    <row r="20476" spans="7:24" ht="15" customHeight="1">
      <c r="G20476"/>
      <c r="I20476"/>
      <c r="N20476"/>
      <c r="O20476" s="24"/>
      <c r="P20476"/>
      <c r="Q20476" s="24"/>
      <c r="R20476"/>
      <c r="S20476"/>
      <c r="T20476"/>
      <c r="U20476"/>
      <c r="X20476" s="60"/>
    </row>
    <row r="20477" spans="7:24" ht="15" customHeight="1">
      <c r="G20477"/>
      <c r="I20477"/>
      <c r="N20477"/>
      <c r="O20477" s="24"/>
      <c r="P20477"/>
      <c r="Q20477" s="24"/>
      <c r="R20477"/>
      <c r="S20477"/>
      <c r="T20477"/>
      <c r="U20477"/>
      <c r="X20477" s="60"/>
    </row>
    <row r="20478" spans="7:24" ht="15" customHeight="1">
      <c r="G20478"/>
      <c r="I20478"/>
      <c r="N20478"/>
      <c r="O20478" s="24"/>
      <c r="P20478"/>
      <c r="Q20478" s="24"/>
      <c r="R20478"/>
      <c r="S20478"/>
      <c r="T20478"/>
      <c r="U20478"/>
      <c r="X20478" s="60"/>
    </row>
    <row r="20479" spans="7:24" ht="15" customHeight="1">
      <c r="G20479"/>
      <c r="I20479"/>
      <c r="N20479"/>
      <c r="O20479" s="24"/>
      <c r="P20479"/>
      <c r="Q20479" s="24"/>
      <c r="R20479"/>
      <c r="S20479"/>
      <c r="T20479"/>
      <c r="U20479"/>
      <c r="X20479" s="60"/>
    </row>
    <row r="20480" spans="7:24" ht="15" customHeight="1">
      <c r="G20480"/>
      <c r="I20480"/>
      <c r="N20480"/>
      <c r="O20480" s="24"/>
      <c r="P20480"/>
      <c r="Q20480" s="24"/>
      <c r="R20480"/>
      <c r="S20480"/>
      <c r="T20480"/>
      <c r="U20480"/>
      <c r="X20480" s="60"/>
    </row>
    <row r="20481" spans="7:24" ht="15" customHeight="1">
      <c r="G20481"/>
      <c r="I20481"/>
      <c r="N20481"/>
      <c r="O20481" s="24"/>
      <c r="P20481"/>
      <c r="Q20481" s="24"/>
      <c r="R20481"/>
      <c r="S20481"/>
      <c r="T20481"/>
      <c r="U20481"/>
      <c r="X20481" s="60"/>
    </row>
    <row r="20482" spans="7:24" ht="15" customHeight="1">
      <c r="G20482"/>
      <c r="I20482"/>
      <c r="N20482"/>
      <c r="O20482" s="24"/>
      <c r="P20482"/>
      <c r="Q20482" s="24"/>
      <c r="R20482"/>
      <c r="S20482"/>
      <c r="T20482"/>
      <c r="U20482"/>
      <c r="X20482" s="60"/>
    </row>
    <row r="20483" spans="7:24" ht="15" customHeight="1">
      <c r="G20483"/>
      <c r="I20483"/>
      <c r="N20483"/>
      <c r="O20483" s="24"/>
      <c r="P20483"/>
      <c r="Q20483" s="24"/>
      <c r="R20483"/>
      <c r="S20483"/>
      <c r="T20483"/>
      <c r="U20483"/>
      <c r="X20483" s="60"/>
    </row>
    <row r="20484" spans="7:24" ht="15" customHeight="1">
      <c r="G20484"/>
      <c r="I20484"/>
      <c r="N20484"/>
      <c r="O20484" s="24"/>
      <c r="P20484"/>
      <c r="Q20484" s="24"/>
      <c r="R20484"/>
      <c r="S20484"/>
      <c r="T20484"/>
      <c r="U20484"/>
      <c r="X20484" s="60"/>
    </row>
    <row r="20485" spans="7:24" ht="15" customHeight="1">
      <c r="G20485"/>
      <c r="I20485"/>
      <c r="N20485"/>
      <c r="O20485" s="24"/>
      <c r="P20485"/>
      <c r="Q20485" s="24"/>
      <c r="R20485"/>
      <c r="S20485"/>
      <c r="T20485"/>
      <c r="U20485"/>
      <c r="X20485" s="60"/>
    </row>
    <row r="20486" spans="7:24" ht="15" customHeight="1">
      <c r="G20486"/>
      <c r="I20486"/>
      <c r="N20486"/>
      <c r="O20486" s="24"/>
      <c r="P20486"/>
      <c r="Q20486" s="24"/>
      <c r="R20486"/>
      <c r="S20486"/>
      <c r="T20486"/>
      <c r="U20486"/>
      <c r="X20486" s="60"/>
    </row>
    <row r="20487" spans="7:24" ht="15" customHeight="1">
      <c r="G20487"/>
      <c r="I20487"/>
      <c r="N20487"/>
      <c r="O20487" s="24"/>
      <c r="P20487"/>
      <c r="Q20487" s="24"/>
      <c r="R20487"/>
      <c r="S20487"/>
      <c r="T20487"/>
      <c r="U20487"/>
      <c r="X20487" s="60"/>
    </row>
    <row r="20488" spans="7:24" ht="15" customHeight="1">
      <c r="G20488"/>
      <c r="I20488"/>
      <c r="N20488"/>
      <c r="O20488" s="24"/>
      <c r="P20488"/>
      <c r="Q20488" s="24"/>
      <c r="R20488"/>
      <c r="S20488"/>
      <c r="T20488"/>
      <c r="U20488"/>
      <c r="X20488" s="60"/>
    </row>
    <row r="20489" spans="7:24" ht="15" customHeight="1">
      <c r="G20489"/>
      <c r="I20489"/>
      <c r="N20489"/>
      <c r="O20489" s="24"/>
      <c r="P20489"/>
      <c r="Q20489" s="24"/>
      <c r="R20489"/>
      <c r="S20489"/>
      <c r="T20489"/>
      <c r="U20489"/>
      <c r="X20489" s="60"/>
    </row>
    <row r="20490" spans="7:24" ht="15" customHeight="1">
      <c r="G20490"/>
      <c r="I20490"/>
      <c r="N20490"/>
      <c r="O20490" s="24"/>
      <c r="P20490"/>
      <c r="Q20490" s="24"/>
      <c r="R20490"/>
      <c r="S20490"/>
      <c r="T20490"/>
      <c r="U20490"/>
      <c r="X20490" s="60"/>
    </row>
    <row r="20491" spans="7:24" ht="15" customHeight="1">
      <c r="G20491"/>
      <c r="I20491"/>
      <c r="N20491"/>
      <c r="O20491" s="24"/>
      <c r="P20491"/>
      <c r="Q20491" s="24"/>
      <c r="R20491"/>
      <c r="S20491"/>
      <c r="T20491"/>
      <c r="U20491"/>
      <c r="X20491" s="60"/>
    </row>
    <row r="20492" spans="7:24" ht="15" customHeight="1">
      <c r="G20492"/>
      <c r="I20492"/>
      <c r="N20492"/>
      <c r="O20492" s="24"/>
      <c r="P20492"/>
      <c r="Q20492" s="24"/>
      <c r="R20492"/>
      <c r="S20492"/>
      <c r="T20492"/>
      <c r="U20492"/>
      <c r="X20492" s="60"/>
    </row>
    <row r="20493" spans="7:24" ht="15" customHeight="1">
      <c r="G20493"/>
      <c r="I20493"/>
      <c r="N20493"/>
      <c r="O20493" s="24"/>
      <c r="P20493"/>
      <c r="Q20493" s="24"/>
      <c r="R20493"/>
      <c r="S20493"/>
      <c r="T20493"/>
      <c r="U20493"/>
      <c r="X20493" s="60"/>
    </row>
    <row r="20494" spans="7:24" ht="15" customHeight="1">
      <c r="G20494"/>
      <c r="I20494"/>
      <c r="N20494"/>
      <c r="O20494" s="24"/>
      <c r="P20494"/>
      <c r="Q20494" s="24"/>
      <c r="R20494"/>
      <c r="S20494"/>
      <c r="T20494"/>
      <c r="U20494"/>
      <c r="X20494" s="60"/>
    </row>
    <row r="20495" spans="7:24" ht="15" customHeight="1">
      <c r="G20495"/>
      <c r="I20495"/>
      <c r="N20495"/>
      <c r="O20495" s="24"/>
      <c r="P20495"/>
      <c r="Q20495" s="24"/>
      <c r="R20495"/>
      <c r="S20495"/>
      <c r="T20495"/>
      <c r="U20495"/>
      <c r="X20495" s="60"/>
    </row>
    <row r="20496" spans="7:24" ht="15" customHeight="1">
      <c r="G20496"/>
      <c r="I20496"/>
      <c r="N20496"/>
      <c r="O20496" s="24"/>
      <c r="P20496"/>
      <c r="Q20496" s="24"/>
      <c r="R20496"/>
      <c r="S20496"/>
      <c r="T20496"/>
      <c r="U20496"/>
      <c r="X20496" s="60"/>
    </row>
    <row r="20497" spans="7:24" ht="15" customHeight="1">
      <c r="G20497"/>
      <c r="I20497"/>
      <c r="N20497"/>
      <c r="O20497" s="24"/>
      <c r="P20497"/>
      <c r="Q20497" s="24"/>
      <c r="R20497"/>
      <c r="S20497"/>
      <c r="T20497"/>
      <c r="U20497"/>
      <c r="X20497" s="60"/>
    </row>
    <row r="20498" spans="7:24" ht="15" customHeight="1">
      <c r="G20498"/>
      <c r="I20498"/>
      <c r="N20498"/>
      <c r="O20498" s="24"/>
      <c r="P20498"/>
      <c r="Q20498" s="24"/>
      <c r="R20498"/>
      <c r="S20498"/>
      <c r="T20498"/>
      <c r="U20498"/>
      <c r="X20498" s="60"/>
    </row>
    <row r="20499" spans="7:24" ht="15" customHeight="1">
      <c r="G20499"/>
      <c r="I20499"/>
      <c r="N20499"/>
      <c r="O20499" s="24"/>
      <c r="P20499"/>
      <c r="Q20499" s="24"/>
      <c r="R20499"/>
      <c r="S20499"/>
      <c r="T20499"/>
      <c r="U20499"/>
      <c r="X20499" s="60"/>
    </row>
    <row r="20500" spans="7:24" ht="15" customHeight="1">
      <c r="G20500"/>
      <c r="I20500"/>
      <c r="N20500"/>
      <c r="O20500" s="24"/>
      <c r="P20500"/>
      <c r="Q20500" s="24"/>
      <c r="R20500"/>
      <c r="S20500"/>
      <c r="T20500"/>
      <c r="U20500"/>
      <c r="X20500" s="60"/>
    </row>
    <row r="20501" spans="7:24" ht="15" customHeight="1">
      <c r="G20501"/>
      <c r="I20501"/>
      <c r="N20501"/>
      <c r="O20501" s="24"/>
      <c r="P20501"/>
      <c r="Q20501" s="24"/>
      <c r="R20501"/>
      <c r="S20501"/>
      <c r="T20501"/>
      <c r="U20501"/>
      <c r="X20501" s="60"/>
    </row>
    <row r="20502" spans="7:24" ht="15" customHeight="1">
      <c r="G20502"/>
      <c r="I20502"/>
      <c r="N20502"/>
      <c r="O20502" s="24"/>
      <c r="P20502"/>
      <c r="Q20502" s="24"/>
      <c r="R20502"/>
      <c r="S20502"/>
      <c r="T20502"/>
      <c r="U20502"/>
      <c r="X20502" s="60"/>
    </row>
    <row r="20503" spans="7:24" ht="15" customHeight="1">
      <c r="G20503"/>
      <c r="I20503"/>
      <c r="N20503"/>
      <c r="O20503" s="24"/>
      <c r="P20503"/>
      <c r="Q20503" s="24"/>
      <c r="R20503"/>
      <c r="S20503"/>
      <c r="T20503"/>
      <c r="U20503"/>
      <c r="X20503" s="60"/>
    </row>
    <row r="20504" spans="7:24" ht="15" customHeight="1">
      <c r="G20504"/>
      <c r="I20504"/>
      <c r="N20504"/>
      <c r="O20504" s="24"/>
      <c r="P20504"/>
      <c r="Q20504" s="24"/>
      <c r="R20504"/>
      <c r="S20504"/>
      <c r="T20504"/>
      <c r="U20504"/>
      <c r="X20504" s="60"/>
    </row>
    <row r="20505" spans="7:24" ht="15" customHeight="1">
      <c r="G20505"/>
      <c r="I20505"/>
      <c r="N20505"/>
      <c r="O20505" s="24"/>
      <c r="P20505"/>
      <c r="Q20505" s="24"/>
      <c r="R20505"/>
      <c r="S20505"/>
      <c r="T20505"/>
      <c r="U20505"/>
      <c r="X20505" s="60"/>
    </row>
    <row r="20506" spans="7:24" ht="15" customHeight="1">
      <c r="G20506"/>
      <c r="I20506"/>
      <c r="N20506"/>
      <c r="O20506" s="24"/>
      <c r="P20506"/>
      <c r="Q20506" s="24"/>
      <c r="R20506"/>
      <c r="S20506"/>
      <c r="T20506"/>
      <c r="U20506"/>
      <c r="X20506" s="60"/>
    </row>
    <row r="20507" spans="7:24" ht="15" customHeight="1">
      <c r="G20507"/>
      <c r="I20507"/>
      <c r="N20507"/>
      <c r="O20507" s="24"/>
      <c r="P20507"/>
      <c r="Q20507" s="24"/>
      <c r="R20507"/>
      <c r="S20507"/>
      <c r="T20507"/>
      <c r="U20507"/>
      <c r="X20507" s="60"/>
    </row>
    <row r="20508" spans="7:24" ht="15" customHeight="1">
      <c r="G20508"/>
      <c r="I20508"/>
      <c r="N20508"/>
      <c r="O20508" s="24"/>
      <c r="P20508"/>
      <c r="Q20508" s="24"/>
      <c r="R20508"/>
      <c r="S20508"/>
      <c r="T20508"/>
      <c r="U20508"/>
      <c r="X20508" s="60"/>
    </row>
    <row r="20509" spans="7:24" ht="15" customHeight="1">
      <c r="G20509"/>
      <c r="I20509"/>
      <c r="N20509"/>
      <c r="O20509" s="24"/>
      <c r="P20509"/>
      <c r="Q20509" s="24"/>
      <c r="R20509"/>
      <c r="S20509"/>
      <c r="T20509"/>
      <c r="U20509"/>
      <c r="X20509" s="60"/>
    </row>
    <row r="20510" spans="7:24" ht="15" customHeight="1">
      <c r="G20510"/>
      <c r="I20510"/>
      <c r="N20510"/>
      <c r="O20510" s="24"/>
      <c r="P20510"/>
      <c r="Q20510" s="24"/>
      <c r="R20510"/>
      <c r="S20510"/>
      <c r="T20510"/>
      <c r="U20510"/>
      <c r="X20510" s="60"/>
    </row>
    <row r="20511" spans="7:24" ht="15" customHeight="1">
      <c r="G20511"/>
      <c r="I20511"/>
      <c r="N20511"/>
      <c r="O20511" s="24"/>
      <c r="P20511"/>
      <c r="Q20511" s="24"/>
      <c r="R20511"/>
      <c r="S20511"/>
      <c r="T20511"/>
      <c r="U20511"/>
      <c r="X20511" s="60"/>
    </row>
    <row r="20512" spans="7:24" ht="15" customHeight="1">
      <c r="G20512"/>
      <c r="I20512"/>
      <c r="N20512"/>
      <c r="O20512" s="24"/>
      <c r="P20512"/>
      <c r="Q20512" s="24"/>
      <c r="R20512"/>
      <c r="S20512"/>
      <c r="T20512"/>
      <c r="U20512"/>
      <c r="X20512" s="60"/>
    </row>
    <row r="20513" spans="7:24" ht="15" customHeight="1">
      <c r="G20513"/>
      <c r="I20513"/>
      <c r="N20513"/>
      <c r="O20513" s="24"/>
      <c r="P20513"/>
      <c r="Q20513" s="24"/>
      <c r="R20513"/>
      <c r="S20513"/>
      <c r="T20513"/>
      <c r="U20513"/>
      <c r="X20513" s="60"/>
    </row>
    <row r="20514" spans="7:24" ht="15" customHeight="1">
      <c r="G20514"/>
      <c r="I20514"/>
      <c r="N20514"/>
      <c r="O20514" s="24"/>
      <c r="P20514"/>
      <c r="Q20514" s="24"/>
      <c r="R20514"/>
      <c r="S20514"/>
      <c r="T20514"/>
      <c r="U20514"/>
      <c r="X20514" s="60"/>
    </row>
    <row r="20515" spans="7:24" ht="15" customHeight="1">
      <c r="G20515"/>
      <c r="I20515"/>
      <c r="N20515"/>
      <c r="O20515" s="24"/>
      <c r="P20515"/>
      <c r="Q20515" s="24"/>
      <c r="R20515"/>
      <c r="S20515"/>
      <c r="T20515"/>
      <c r="U20515"/>
      <c r="X20515" s="60"/>
    </row>
    <row r="20516" spans="7:24" ht="15" customHeight="1">
      <c r="G20516"/>
      <c r="I20516"/>
      <c r="N20516"/>
      <c r="O20516" s="24"/>
      <c r="P20516"/>
      <c r="Q20516" s="24"/>
      <c r="R20516"/>
      <c r="S20516"/>
      <c r="T20516"/>
      <c r="U20516"/>
      <c r="X20516" s="60"/>
    </row>
    <row r="20517" spans="7:24" ht="15" customHeight="1">
      <c r="G20517"/>
      <c r="I20517"/>
      <c r="N20517"/>
      <c r="O20517" s="24"/>
      <c r="P20517"/>
      <c r="Q20517" s="24"/>
      <c r="R20517"/>
      <c r="S20517"/>
      <c r="T20517"/>
      <c r="U20517"/>
      <c r="X20517" s="60"/>
    </row>
    <row r="20518" spans="7:24" ht="15" customHeight="1">
      <c r="G20518"/>
      <c r="I20518"/>
      <c r="N20518"/>
      <c r="O20518" s="24"/>
      <c r="P20518"/>
      <c r="Q20518" s="24"/>
      <c r="R20518"/>
      <c r="S20518"/>
      <c r="T20518"/>
      <c r="U20518"/>
      <c r="X20518" s="60"/>
    </row>
    <row r="20519" spans="7:24" ht="15" customHeight="1">
      <c r="G20519"/>
      <c r="I20519"/>
      <c r="N20519"/>
      <c r="O20519" s="24"/>
      <c r="P20519"/>
      <c r="Q20519" s="24"/>
      <c r="R20519"/>
      <c r="S20519"/>
      <c r="T20519"/>
      <c r="U20519"/>
      <c r="X20519" s="60"/>
    </row>
    <row r="20520" spans="7:24" ht="15" customHeight="1">
      <c r="G20520"/>
      <c r="I20520"/>
      <c r="N20520"/>
      <c r="O20520" s="24"/>
      <c r="P20520"/>
      <c r="Q20520" s="24"/>
      <c r="R20520"/>
      <c r="S20520"/>
      <c r="T20520"/>
      <c r="U20520"/>
      <c r="X20520" s="60"/>
    </row>
    <row r="20521" spans="7:24" ht="15" customHeight="1">
      <c r="G20521"/>
      <c r="I20521"/>
      <c r="N20521"/>
      <c r="O20521" s="24"/>
      <c r="P20521"/>
      <c r="Q20521" s="24"/>
      <c r="R20521"/>
      <c r="S20521"/>
      <c r="T20521"/>
      <c r="U20521"/>
      <c r="X20521" s="60"/>
    </row>
    <row r="20522" spans="7:24" ht="15" customHeight="1">
      <c r="G20522"/>
      <c r="I20522"/>
      <c r="N20522"/>
      <c r="O20522" s="24"/>
      <c r="P20522"/>
      <c r="Q20522" s="24"/>
      <c r="R20522"/>
      <c r="S20522"/>
      <c r="T20522"/>
      <c r="U20522"/>
      <c r="X20522" s="60"/>
    </row>
    <row r="20523" spans="7:24" ht="15" customHeight="1">
      <c r="G20523"/>
      <c r="I20523"/>
      <c r="N20523"/>
      <c r="O20523" s="24"/>
      <c r="P20523"/>
      <c r="Q20523" s="24"/>
      <c r="R20523"/>
      <c r="S20523"/>
      <c r="T20523"/>
      <c r="U20523"/>
      <c r="X20523" s="60"/>
    </row>
    <row r="20524" spans="7:24" ht="15" customHeight="1">
      <c r="G20524"/>
      <c r="I20524"/>
      <c r="N20524"/>
      <c r="O20524" s="24"/>
      <c r="P20524"/>
      <c r="Q20524" s="24"/>
      <c r="R20524"/>
      <c r="S20524"/>
      <c r="T20524"/>
      <c r="U20524"/>
      <c r="X20524" s="60"/>
    </row>
    <row r="20525" spans="7:24" ht="15" customHeight="1">
      <c r="G20525"/>
      <c r="I20525"/>
      <c r="N20525"/>
      <c r="O20525" s="24"/>
      <c r="P20525"/>
      <c r="Q20525" s="24"/>
      <c r="R20525"/>
      <c r="S20525"/>
      <c r="T20525"/>
      <c r="U20525"/>
      <c r="X20525" s="60"/>
    </row>
    <row r="20526" spans="7:24" ht="15" customHeight="1">
      <c r="G20526"/>
      <c r="I20526"/>
      <c r="N20526"/>
      <c r="O20526" s="24"/>
      <c r="P20526"/>
      <c r="Q20526" s="24"/>
      <c r="R20526"/>
      <c r="S20526"/>
      <c r="T20526"/>
      <c r="U20526"/>
      <c r="X20526" s="60"/>
    </row>
    <row r="20527" spans="7:24" ht="15" customHeight="1">
      <c r="G20527"/>
      <c r="I20527"/>
      <c r="N20527"/>
      <c r="O20527" s="24"/>
      <c r="P20527"/>
      <c r="Q20527" s="24"/>
      <c r="R20527"/>
      <c r="S20527"/>
      <c r="T20527"/>
      <c r="U20527"/>
      <c r="X20527" s="60"/>
    </row>
    <row r="20528" spans="7:24" ht="15" customHeight="1">
      <c r="G20528"/>
      <c r="I20528"/>
      <c r="N20528"/>
      <c r="O20528" s="24"/>
      <c r="P20528"/>
      <c r="Q20528" s="24"/>
      <c r="R20528"/>
      <c r="S20528"/>
      <c r="T20528"/>
      <c r="U20528"/>
      <c r="X20528" s="60"/>
    </row>
    <row r="20529" spans="7:24" ht="15" customHeight="1">
      <c r="G20529"/>
      <c r="I20529"/>
      <c r="N20529"/>
      <c r="O20529" s="24"/>
      <c r="P20529"/>
      <c r="Q20529" s="24"/>
      <c r="R20529"/>
      <c r="S20529"/>
      <c r="T20529"/>
      <c r="U20529"/>
      <c r="X20529" s="60"/>
    </row>
    <row r="20530" spans="7:24" ht="15" customHeight="1">
      <c r="G20530"/>
      <c r="I20530"/>
      <c r="N20530"/>
      <c r="O20530" s="24"/>
      <c r="P20530"/>
      <c r="Q20530" s="24"/>
      <c r="R20530"/>
      <c r="S20530"/>
      <c r="T20530"/>
      <c r="U20530"/>
      <c r="X20530" s="60"/>
    </row>
    <row r="20531" spans="7:24" ht="15" customHeight="1">
      <c r="G20531"/>
      <c r="I20531"/>
      <c r="N20531"/>
      <c r="O20531" s="24"/>
      <c r="P20531"/>
      <c r="Q20531" s="24"/>
      <c r="R20531"/>
      <c r="S20531"/>
      <c r="T20531"/>
      <c r="U20531"/>
      <c r="X20531" s="60"/>
    </row>
    <row r="20532" spans="7:24" ht="15" customHeight="1">
      <c r="G20532"/>
      <c r="I20532"/>
      <c r="N20532"/>
      <c r="O20532" s="24"/>
      <c r="P20532"/>
      <c r="Q20532" s="24"/>
      <c r="R20532"/>
      <c r="S20532"/>
      <c r="T20532"/>
      <c r="U20532"/>
      <c r="X20532" s="60"/>
    </row>
    <row r="20533" spans="7:24" ht="15" customHeight="1">
      <c r="G20533"/>
      <c r="I20533"/>
      <c r="N20533"/>
      <c r="O20533" s="24"/>
      <c r="P20533"/>
      <c r="Q20533" s="24"/>
      <c r="R20533"/>
      <c r="S20533"/>
      <c r="T20533"/>
      <c r="U20533"/>
      <c r="X20533" s="60"/>
    </row>
    <row r="20534" spans="7:24" ht="15" customHeight="1">
      <c r="G20534"/>
      <c r="I20534"/>
      <c r="N20534"/>
      <c r="O20534" s="24"/>
      <c r="P20534"/>
      <c r="Q20534" s="24"/>
      <c r="R20534"/>
      <c r="S20534"/>
      <c r="T20534"/>
      <c r="U20534"/>
      <c r="X20534" s="60"/>
    </row>
    <row r="20535" spans="7:24" ht="15" customHeight="1">
      <c r="G20535"/>
      <c r="I20535"/>
      <c r="N20535"/>
      <c r="O20535" s="24"/>
      <c r="P20535"/>
      <c r="Q20535" s="24"/>
      <c r="R20535"/>
      <c r="S20535"/>
      <c r="T20535"/>
      <c r="U20535"/>
      <c r="X20535" s="60"/>
    </row>
    <row r="20536" spans="7:24" ht="15" customHeight="1">
      <c r="G20536"/>
      <c r="I20536"/>
      <c r="N20536"/>
      <c r="O20536" s="24"/>
      <c r="P20536"/>
      <c r="Q20536" s="24"/>
      <c r="R20536"/>
      <c r="S20536"/>
      <c r="T20536"/>
      <c r="U20536"/>
      <c r="X20536" s="60"/>
    </row>
    <row r="20537" spans="7:24" ht="15" customHeight="1">
      <c r="G20537"/>
      <c r="I20537"/>
      <c r="N20537"/>
      <c r="O20537" s="24"/>
      <c r="P20537"/>
      <c r="Q20537" s="24"/>
      <c r="R20537"/>
      <c r="S20537"/>
      <c r="T20537"/>
      <c r="U20537"/>
      <c r="X20537" s="60"/>
    </row>
    <row r="20538" spans="7:24" ht="15" customHeight="1">
      <c r="G20538"/>
      <c r="I20538"/>
      <c r="N20538"/>
      <c r="O20538" s="24"/>
      <c r="P20538"/>
      <c r="Q20538" s="24"/>
      <c r="R20538"/>
      <c r="S20538"/>
      <c r="T20538"/>
      <c r="U20538"/>
      <c r="X20538" s="60"/>
    </row>
    <row r="20539" spans="7:24" ht="15" customHeight="1">
      <c r="G20539"/>
      <c r="I20539"/>
      <c r="N20539"/>
      <c r="O20539" s="24"/>
      <c r="P20539"/>
      <c r="Q20539" s="24"/>
      <c r="R20539"/>
      <c r="S20539"/>
      <c r="T20539"/>
      <c r="U20539"/>
      <c r="X20539" s="60"/>
    </row>
    <row r="20540" spans="7:24" ht="15" customHeight="1">
      <c r="G20540"/>
      <c r="I20540"/>
      <c r="N20540"/>
      <c r="O20540" s="24"/>
      <c r="P20540"/>
      <c r="Q20540" s="24"/>
      <c r="R20540"/>
      <c r="S20540"/>
      <c r="T20540"/>
      <c r="U20540"/>
      <c r="X20540" s="60"/>
    </row>
    <row r="20541" spans="7:24" ht="15" customHeight="1">
      <c r="G20541"/>
      <c r="I20541"/>
      <c r="N20541"/>
      <c r="O20541" s="24"/>
      <c r="P20541"/>
      <c r="Q20541" s="24"/>
      <c r="R20541"/>
      <c r="S20541"/>
      <c r="T20541"/>
      <c r="U20541"/>
      <c r="X20541" s="60"/>
    </row>
    <row r="20542" spans="7:24" ht="15" customHeight="1">
      <c r="G20542"/>
      <c r="I20542"/>
      <c r="N20542"/>
      <c r="O20542" s="24"/>
      <c r="P20542"/>
      <c r="Q20542" s="24"/>
      <c r="R20542"/>
      <c r="S20542"/>
      <c r="T20542"/>
      <c r="U20542"/>
      <c r="X20542" s="60"/>
    </row>
    <row r="20543" spans="7:24" ht="15" customHeight="1">
      <c r="G20543"/>
      <c r="I20543"/>
      <c r="N20543"/>
      <c r="O20543" s="24"/>
      <c r="P20543"/>
      <c r="Q20543" s="24"/>
      <c r="R20543"/>
      <c r="S20543"/>
      <c r="T20543"/>
      <c r="U20543"/>
      <c r="X20543" s="60"/>
    </row>
    <row r="20544" spans="7:24" ht="15" customHeight="1">
      <c r="G20544"/>
      <c r="I20544"/>
      <c r="N20544"/>
      <c r="O20544" s="24"/>
      <c r="P20544"/>
      <c r="Q20544" s="24"/>
      <c r="R20544"/>
      <c r="S20544"/>
      <c r="T20544"/>
      <c r="U20544"/>
      <c r="X20544" s="60"/>
    </row>
    <row r="20545" spans="7:24" ht="15" customHeight="1">
      <c r="G20545"/>
      <c r="I20545"/>
      <c r="N20545"/>
      <c r="O20545" s="24"/>
      <c r="P20545"/>
      <c r="Q20545" s="24"/>
      <c r="R20545"/>
      <c r="S20545"/>
      <c r="T20545"/>
      <c r="U20545"/>
      <c r="X20545" s="60"/>
    </row>
    <row r="20546" spans="7:24" ht="15" customHeight="1">
      <c r="G20546"/>
      <c r="I20546"/>
      <c r="N20546"/>
      <c r="O20546" s="24"/>
      <c r="P20546"/>
      <c r="Q20546" s="24"/>
      <c r="R20546"/>
      <c r="S20546"/>
      <c r="T20546"/>
      <c r="U20546"/>
      <c r="X20546" s="60"/>
    </row>
    <row r="20547" spans="7:24" ht="15" customHeight="1">
      <c r="G20547"/>
      <c r="I20547"/>
      <c r="N20547"/>
      <c r="O20547" s="24"/>
      <c r="P20547"/>
      <c r="Q20547" s="24"/>
      <c r="R20547"/>
      <c r="S20547"/>
      <c r="T20547"/>
      <c r="U20547"/>
      <c r="X20547" s="60"/>
    </row>
    <row r="20548" spans="7:24" ht="15" customHeight="1">
      <c r="G20548"/>
      <c r="I20548"/>
      <c r="N20548"/>
      <c r="O20548" s="24"/>
      <c r="P20548"/>
      <c r="Q20548" s="24"/>
      <c r="R20548"/>
      <c r="S20548"/>
      <c r="T20548"/>
      <c r="U20548"/>
      <c r="X20548" s="60"/>
    </row>
    <row r="20549" spans="7:24" ht="15" customHeight="1">
      <c r="G20549"/>
      <c r="I20549"/>
      <c r="N20549"/>
      <c r="O20549" s="24"/>
      <c r="P20549"/>
      <c r="Q20549" s="24"/>
      <c r="R20549"/>
      <c r="S20549"/>
      <c r="T20549"/>
      <c r="U20549"/>
      <c r="X20549" s="60"/>
    </row>
    <row r="20550" spans="7:24" ht="15" customHeight="1">
      <c r="G20550"/>
      <c r="I20550"/>
      <c r="N20550"/>
      <c r="O20550" s="24"/>
      <c r="P20550"/>
      <c r="Q20550" s="24"/>
      <c r="R20550"/>
      <c r="S20550"/>
      <c r="T20550"/>
      <c r="U20550"/>
      <c r="X20550" s="60"/>
    </row>
    <row r="20551" spans="7:24" ht="15" customHeight="1">
      <c r="G20551"/>
      <c r="I20551"/>
      <c r="N20551"/>
      <c r="O20551" s="24"/>
      <c r="P20551"/>
      <c r="Q20551" s="24"/>
      <c r="R20551"/>
      <c r="S20551"/>
      <c r="T20551"/>
      <c r="U20551"/>
      <c r="X20551" s="60"/>
    </row>
    <row r="20552" spans="7:24" ht="15" customHeight="1">
      <c r="G20552"/>
      <c r="I20552"/>
      <c r="N20552"/>
      <c r="O20552" s="24"/>
      <c r="P20552"/>
      <c r="Q20552" s="24"/>
      <c r="R20552"/>
      <c r="S20552"/>
      <c r="T20552"/>
      <c r="U20552"/>
      <c r="X20552" s="60"/>
    </row>
    <row r="20553" spans="7:24" ht="15" customHeight="1">
      <c r="G20553"/>
      <c r="I20553"/>
      <c r="N20553"/>
      <c r="O20553" s="24"/>
      <c r="P20553"/>
      <c r="Q20553" s="24"/>
      <c r="R20553"/>
      <c r="S20553"/>
      <c r="T20553"/>
      <c r="U20553"/>
      <c r="X20553" s="60"/>
    </row>
    <row r="20554" spans="7:24" ht="15" customHeight="1">
      <c r="G20554"/>
      <c r="I20554"/>
      <c r="N20554"/>
      <c r="O20554" s="24"/>
      <c r="P20554"/>
      <c r="Q20554" s="24"/>
      <c r="R20554"/>
      <c r="S20554"/>
      <c r="T20554"/>
      <c r="U20554"/>
      <c r="X20554" s="60"/>
    </row>
    <row r="20555" spans="7:24" ht="15" customHeight="1">
      <c r="G20555"/>
      <c r="I20555"/>
      <c r="N20555"/>
      <c r="O20555" s="24"/>
      <c r="P20555"/>
      <c r="Q20555" s="24"/>
      <c r="R20555"/>
      <c r="S20555"/>
      <c r="T20555"/>
      <c r="U20555"/>
      <c r="X20555" s="60"/>
    </row>
    <row r="20556" spans="7:24" ht="15" customHeight="1">
      <c r="G20556"/>
      <c r="I20556"/>
      <c r="N20556"/>
      <c r="O20556" s="24"/>
      <c r="P20556"/>
      <c r="Q20556" s="24"/>
      <c r="R20556"/>
      <c r="S20556"/>
      <c r="T20556"/>
      <c r="U20556"/>
      <c r="X20556" s="60"/>
    </row>
    <row r="20557" spans="7:24" ht="15" customHeight="1">
      <c r="G20557"/>
      <c r="I20557"/>
      <c r="N20557"/>
      <c r="O20557" s="24"/>
      <c r="P20557"/>
      <c r="Q20557" s="24"/>
      <c r="R20557"/>
      <c r="S20557"/>
      <c r="T20557"/>
      <c r="U20557"/>
      <c r="X20557" s="60"/>
    </row>
    <row r="20558" spans="7:24" ht="15" customHeight="1">
      <c r="G20558"/>
      <c r="I20558"/>
      <c r="N20558"/>
      <c r="O20558" s="24"/>
      <c r="P20558"/>
      <c r="Q20558" s="24"/>
      <c r="R20558"/>
      <c r="S20558"/>
      <c r="T20558"/>
      <c r="U20558"/>
      <c r="X20558" s="60"/>
    </row>
    <row r="20559" spans="7:24" ht="15" customHeight="1">
      <c r="G20559"/>
      <c r="I20559"/>
      <c r="N20559"/>
      <c r="O20559" s="24"/>
      <c r="P20559"/>
      <c r="Q20559" s="24"/>
      <c r="R20559"/>
      <c r="S20559"/>
      <c r="T20559"/>
      <c r="U20559"/>
      <c r="X20559" s="60"/>
    </row>
    <row r="20560" spans="7:24" ht="15" customHeight="1">
      <c r="G20560"/>
      <c r="I20560"/>
      <c r="N20560"/>
      <c r="O20560" s="24"/>
      <c r="P20560"/>
      <c r="Q20560" s="24"/>
      <c r="R20560"/>
      <c r="S20560"/>
      <c r="T20560"/>
      <c r="U20560"/>
      <c r="X20560" s="60"/>
    </row>
    <row r="20561" spans="7:24" ht="15" customHeight="1">
      <c r="G20561"/>
      <c r="I20561"/>
      <c r="N20561"/>
      <c r="O20561" s="24"/>
      <c r="P20561"/>
      <c r="Q20561" s="24"/>
      <c r="R20561"/>
      <c r="S20561"/>
      <c r="T20561"/>
      <c r="U20561"/>
      <c r="X20561" s="60"/>
    </row>
    <row r="20562" spans="7:24" ht="15" customHeight="1">
      <c r="G20562"/>
      <c r="I20562"/>
      <c r="N20562"/>
      <c r="O20562" s="24"/>
      <c r="P20562"/>
      <c r="Q20562" s="24"/>
      <c r="R20562"/>
      <c r="S20562"/>
      <c r="T20562"/>
      <c r="U20562"/>
      <c r="X20562" s="60"/>
    </row>
    <row r="20563" spans="7:24" ht="15" customHeight="1">
      <c r="G20563"/>
      <c r="I20563"/>
      <c r="N20563"/>
      <c r="O20563" s="24"/>
      <c r="P20563"/>
      <c r="Q20563" s="24"/>
      <c r="R20563"/>
      <c r="S20563"/>
      <c r="T20563"/>
      <c r="U20563"/>
      <c r="X20563" s="60"/>
    </row>
    <row r="20564" spans="7:24" ht="15" customHeight="1">
      <c r="G20564"/>
      <c r="I20564"/>
      <c r="N20564"/>
      <c r="O20564" s="24"/>
      <c r="P20564"/>
      <c r="Q20564" s="24"/>
      <c r="R20564"/>
      <c r="S20564"/>
      <c r="T20564"/>
      <c r="U20564"/>
      <c r="X20564" s="60"/>
    </row>
    <row r="20565" spans="7:24" ht="15" customHeight="1">
      <c r="G20565"/>
      <c r="I20565"/>
      <c r="N20565"/>
      <c r="O20565" s="24"/>
      <c r="P20565"/>
      <c r="Q20565" s="24"/>
      <c r="R20565"/>
      <c r="S20565"/>
      <c r="T20565"/>
      <c r="U20565"/>
      <c r="X20565" s="60"/>
    </row>
    <row r="20566" spans="7:24" ht="15" customHeight="1">
      <c r="G20566"/>
      <c r="I20566"/>
      <c r="N20566"/>
      <c r="O20566" s="24"/>
      <c r="P20566"/>
      <c r="Q20566" s="24"/>
      <c r="R20566"/>
      <c r="S20566"/>
      <c r="T20566"/>
      <c r="U20566"/>
      <c r="X20566" s="60"/>
    </row>
    <row r="20567" spans="7:24" ht="15" customHeight="1">
      <c r="G20567"/>
      <c r="I20567"/>
      <c r="N20567"/>
      <c r="O20567" s="24"/>
      <c r="P20567"/>
      <c r="Q20567" s="24"/>
      <c r="R20567"/>
      <c r="S20567"/>
      <c r="T20567"/>
      <c r="U20567"/>
      <c r="X20567" s="60"/>
    </row>
    <row r="20568" spans="7:24" ht="15" customHeight="1">
      <c r="G20568"/>
      <c r="I20568"/>
      <c r="N20568"/>
      <c r="O20568" s="24"/>
      <c r="P20568"/>
      <c r="Q20568" s="24"/>
      <c r="R20568"/>
      <c r="S20568"/>
      <c r="T20568"/>
      <c r="U20568"/>
      <c r="X20568" s="60"/>
    </row>
    <row r="20569" spans="7:24" ht="15" customHeight="1">
      <c r="G20569"/>
      <c r="I20569"/>
      <c r="N20569"/>
      <c r="O20569" s="24"/>
      <c r="P20569"/>
      <c r="Q20569" s="24"/>
      <c r="R20569"/>
      <c r="S20569"/>
      <c r="T20569"/>
      <c r="U20569"/>
      <c r="X20569" s="60"/>
    </row>
    <row r="20570" spans="7:24" ht="15" customHeight="1">
      <c r="G20570"/>
      <c r="I20570"/>
      <c r="N20570"/>
      <c r="O20570" s="24"/>
      <c r="P20570"/>
      <c r="Q20570" s="24"/>
      <c r="R20570"/>
      <c r="S20570"/>
      <c r="T20570"/>
      <c r="U20570"/>
      <c r="X20570" s="60"/>
    </row>
    <row r="20571" spans="7:24" ht="15" customHeight="1">
      <c r="G20571"/>
      <c r="I20571"/>
      <c r="N20571"/>
      <c r="O20571" s="24"/>
      <c r="P20571"/>
      <c r="Q20571" s="24"/>
      <c r="R20571"/>
      <c r="S20571"/>
      <c r="T20571"/>
      <c r="U20571"/>
      <c r="X20571" s="60"/>
    </row>
    <row r="20572" spans="7:24" ht="15" customHeight="1">
      <c r="G20572"/>
      <c r="I20572"/>
      <c r="N20572"/>
      <c r="O20572" s="24"/>
      <c r="P20572"/>
      <c r="Q20572" s="24"/>
      <c r="R20572"/>
      <c r="S20572"/>
      <c r="T20572"/>
      <c r="U20572"/>
      <c r="X20572" s="60"/>
    </row>
    <row r="20573" spans="7:24" ht="15" customHeight="1">
      <c r="G20573"/>
      <c r="I20573"/>
      <c r="N20573"/>
      <c r="O20573" s="24"/>
      <c r="P20573"/>
      <c r="Q20573" s="24"/>
      <c r="R20573"/>
      <c r="S20573"/>
      <c r="T20573"/>
      <c r="U20573"/>
      <c r="X20573" s="60"/>
    </row>
    <row r="20574" spans="7:24" ht="15" customHeight="1">
      <c r="G20574"/>
      <c r="I20574"/>
      <c r="N20574"/>
      <c r="O20574" s="24"/>
      <c r="P20574"/>
      <c r="Q20574" s="24"/>
      <c r="R20574"/>
      <c r="S20574"/>
      <c r="T20574"/>
      <c r="U20574"/>
      <c r="X20574" s="60"/>
    </row>
    <row r="20575" spans="7:24" ht="15" customHeight="1">
      <c r="G20575"/>
      <c r="I20575"/>
      <c r="N20575"/>
      <c r="O20575" s="24"/>
      <c r="P20575"/>
      <c r="Q20575" s="24"/>
      <c r="R20575"/>
      <c r="S20575"/>
      <c r="T20575"/>
      <c r="U20575"/>
      <c r="X20575" s="60"/>
    </row>
    <row r="20576" spans="7:24" ht="15" customHeight="1">
      <c r="G20576"/>
      <c r="I20576"/>
      <c r="N20576"/>
      <c r="O20576" s="24"/>
      <c r="P20576"/>
      <c r="Q20576" s="24"/>
      <c r="R20576"/>
      <c r="S20576"/>
      <c r="T20576"/>
      <c r="U20576"/>
      <c r="X20576" s="60"/>
    </row>
    <row r="20577" spans="7:24" ht="15" customHeight="1">
      <c r="G20577"/>
      <c r="I20577"/>
      <c r="N20577"/>
      <c r="O20577" s="24"/>
      <c r="P20577"/>
      <c r="Q20577" s="24"/>
      <c r="R20577"/>
      <c r="S20577"/>
      <c r="T20577"/>
      <c r="U20577"/>
      <c r="X20577" s="60"/>
    </row>
    <row r="20578" spans="7:24" ht="15" customHeight="1">
      <c r="G20578"/>
      <c r="I20578"/>
      <c r="N20578"/>
      <c r="O20578" s="24"/>
      <c r="P20578"/>
      <c r="Q20578" s="24"/>
      <c r="R20578"/>
      <c r="S20578"/>
      <c r="T20578"/>
      <c r="U20578"/>
      <c r="X20578" s="60"/>
    </row>
    <row r="20579" spans="7:24" ht="15" customHeight="1">
      <c r="G20579"/>
      <c r="I20579"/>
      <c r="N20579"/>
      <c r="O20579" s="24"/>
      <c r="P20579"/>
      <c r="Q20579" s="24"/>
      <c r="R20579"/>
      <c r="S20579"/>
      <c r="T20579"/>
      <c r="U20579"/>
      <c r="X20579" s="60"/>
    </row>
    <row r="20580" spans="7:24" ht="15" customHeight="1">
      <c r="G20580"/>
      <c r="I20580"/>
      <c r="N20580"/>
      <c r="O20580" s="24"/>
      <c r="P20580"/>
      <c r="Q20580" s="24"/>
      <c r="R20580"/>
      <c r="S20580"/>
      <c r="T20580"/>
      <c r="U20580"/>
      <c r="X20580" s="60"/>
    </row>
    <row r="20581" spans="7:24" ht="15" customHeight="1">
      <c r="G20581"/>
      <c r="I20581"/>
      <c r="N20581"/>
      <c r="O20581" s="24"/>
      <c r="P20581"/>
      <c r="Q20581" s="24"/>
      <c r="R20581"/>
      <c r="S20581"/>
      <c r="T20581"/>
      <c r="U20581"/>
      <c r="X20581" s="60"/>
    </row>
    <row r="20582" spans="7:24" ht="15" customHeight="1">
      <c r="G20582"/>
      <c r="I20582"/>
      <c r="N20582"/>
      <c r="O20582" s="24"/>
      <c r="P20582"/>
      <c r="Q20582" s="24"/>
      <c r="R20582"/>
      <c r="S20582"/>
      <c r="T20582"/>
      <c r="U20582"/>
      <c r="X20582" s="60"/>
    </row>
    <row r="20583" spans="7:24" ht="15" customHeight="1">
      <c r="G20583"/>
      <c r="I20583"/>
      <c r="N20583"/>
      <c r="O20583" s="24"/>
      <c r="P20583"/>
      <c r="Q20583" s="24"/>
      <c r="R20583"/>
      <c r="S20583"/>
      <c r="T20583"/>
      <c r="U20583"/>
      <c r="X20583" s="60"/>
    </row>
    <row r="20584" spans="7:24" ht="15" customHeight="1">
      <c r="G20584"/>
      <c r="I20584"/>
      <c r="N20584"/>
      <c r="O20584" s="24"/>
      <c r="P20584"/>
      <c r="Q20584" s="24"/>
      <c r="R20584"/>
      <c r="S20584"/>
      <c r="T20584"/>
      <c r="U20584"/>
      <c r="X20584" s="60"/>
    </row>
    <row r="20585" spans="7:24" ht="15" customHeight="1">
      <c r="G20585"/>
      <c r="I20585"/>
      <c r="N20585"/>
      <c r="O20585" s="24"/>
      <c r="P20585"/>
      <c r="Q20585" s="24"/>
      <c r="R20585"/>
      <c r="S20585"/>
      <c r="T20585"/>
      <c r="U20585"/>
      <c r="X20585" s="60"/>
    </row>
    <row r="20586" spans="7:24" ht="15" customHeight="1">
      <c r="G20586"/>
      <c r="I20586"/>
      <c r="N20586"/>
      <c r="O20586" s="24"/>
      <c r="P20586"/>
      <c r="Q20586" s="24"/>
      <c r="R20586"/>
      <c r="S20586"/>
      <c r="T20586"/>
      <c r="U20586"/>
      <c r="X20586" s="60"/>
    </row>
    <row r="20587" spans="7:24" ht="15" customHeight="1">
      <c r="G20587"/>
      <c r="I20587"/>
      <c r="N20587"/>
      <c r="O20587" s="24"/>
      <c r="P20587"/>
      <c r="Q20587" s="24"/>
      <c r="R20587"/>
      <c r="S20587"/>
      <c r="T20587"/>
      <c r="U20587"/>
      <c r="X20587" s="60"/>
    </row>
    <row r="20588" spans="7:24" ht="15" customHeight="1">
      <c r="G20588"/>
      <c r="I20588"/>
      <c r="N20588"/>
      <c r="O20588" s="24"/>
      <c r="P20588"/>
      <c r="Q20588" s="24"/>
      <c r="R20588"/>
      <c r="S20588"/>
      <c r="T20588"/>
      <c r="U20588"/>
      <c r="X20588" s="60"/>
    </row>
    <row r="20589" spans="7:24" ht="15" customHeight="1">
      <c r="G20589"/>
      <c r="I20589"/>
      <c r="N20589"/>
      <c r="O20589" s="24"/>
      <c r="P20589"/>
      <c r="Q20589" s="24"/>
      <c r="R20589"/>
      <c r="S20589"/>
      <c r="T20589"/>
      <c r="U20589"/>
      <c r="X20589" s="60"/>
    </row>
    <row r="20590" spans="7:24" ht="15" customHeight="1">
      <c r="G20590"/>
      <c r="I20590"/>
      <c r="N20590"/>
      <c r="O20590" s="24"/>
      <c r="P20590"/>
      <c r="Q20590" s="24"/>
      <c r="R20590"/>
      <c r="S20590"/>
      <c r="T20590"/>
      <c r="U20590"/>
      <c r="X20590" s="60"/>
    </row>
    <row r="20591" spans="7:24" ht="15" customHeight="1">
      <c r="G20591"/>
      <c r="I20591"/>
      <c r="N20591"/>
      <c r="O20591" s="24"/>
      <c r="P20591"/>
      <c r="Q20591" s="24"/>
      <c r="R20591"/>
      <c r="S20591"/>
      <c r="T20591"/>
      <c r="U20591"/>
      <c r="X20591" s="60"/>
    </row>
    <row r="20592" spans="7:24" ht="15" customHeight="1">
      <c r="G20592"/>
      <c r="I20592"/>
      <c r="N20592"/>
      <c r="O20592" s="24"/>
      <c r="P20592"/>
      <c r="Q20592" s="24"/>
      <c r="R20592"/>
      <c r="S20592"/>
      <c r="T20592"/>
      <c r="U20592"/>
      <c r="X20592" s="60"/>
    </row>
    <row r="20593" spans="7:24" ht="15" customHeight="1">
      <c r="G20593"/>
      <c r="I20593"/>
      <c r="N20593"/>
      <c r="O20593" s="24"/>
      <c r="P20593"/>
      <c r="Q20593" s="24"/>
      <c r="R20593"/>
      <c r="S20593"/>
      <c r="T20593"/>
      <c r="U20593"/>
      <c r="X20593" s="60"/>
    </row>
    <row r="20594" spans="7:24" ht="15" customHeight="1">
      <c r="G20594"/>
      <c r="I20594"/>
      <c r="N20594"/>
      <c r="O20594" s="24"/>
      <c r="P20594"/>
      <c r="Q20594" s="24"/>
      <c r="R20594"/>
      <c r="S20594"/>
      <c r="T20594"/>
      <c r="U20594"/>
      <c r="X20594" s="60"/>
    </row>
    <row r="20595" spans="7:24" ht="15" customHeight="1">
      <c r="G20595"/>
      <c r="I20595"/>
      <c r="N20595"/>
      <c r="O20595" s="24"/>
      <c r="P20595"/>
      <c r="Q20595" s="24"/>
      <c r="R20595"/>
      <c r="S20595"/>
      <c r="T20595"/>
      <c r="U20595"/>
      <c r="X20595" s="60"/>
    </row>
    <row r="20596" spans="7:24" ht="15" customHeight="1">
      <c r="G20596"/>
      <c r="I20596"/>
      <c r="N20596"/>
      <c r="O20596" s="24"/>
      <c r="P20596"/>
      <c r="Q20596" s="24"/>
      <c r="R20596"/>
      <c r="S20596"/>
      <c r="T20596"/>
      <c r="U20596"/>
      <c r="X20596" s="60"/>
    </row>
    <row r="20597" spans="7:24" ht="15" customHeight="1">
      <c r="G20597"/>
      <c r="I20597"/>
      <c r="N20597"/>
      <c r="O20597" s="24"/>
      <c r="P20597"/>
      <c r="Q20597" s="24"/>
      <c r="R20597"/>
      <c r="S20597"/>
      <c r="T20597"/>
      <c r="U20597"/>
      <c r="X20597" s="60"/>
    </row>
    <row r="20598" spans="7:24" ht="15" customHeight="1">
      <c r="G20598"/>
      <c r="I20598"/>
      <c r="N20598"/>
      <c r="O20598" s="24"/>
      <c r="P20598"/>
      <c r="Q20598" s="24"/>
      <c r="R20598"/>
      <c r="S20598"/>
      <c r="T20598"/>
      <c r="U20598"/>
      <c r="X20598" s="60"/>
    </row>
    <row r="20599" spans="7:24" ht="15" customHeight="1">
      <c r="G20599"/>
      <c r="I20599"/>
      <c r="N20599"/>
      <c r="O20599" s="24"/>
      <c r="P20599"/>
      <c r="Q20599" s="24"/>
      <c r="R20599"/>
      <c r="S20599"/>
      <c r="T20599"/>
      <c r="U20599"/>
      <c r="X20599" s="60"/>
    </row>
    <row r="20600" spans="7:24" ht="15" customHeight="1">
      <c r="G20600"/>
      <c r="I20600"/>
      <c r="N20600"/>
      <c r="O20600" s="24"/>
      <c r="P20600"/>
      <c r="Q20600" s="24"/>
      <c r="R20600"/>
      <c r="S20600"/>
      <c r="T20600"/>
      <c r="U20600"/>
      <c r="X20600" s="60"/>
    </row>
    <row r="20601" spans="7:24" ht="15" customHeight="1">
      <c r="G20601"/>
      <c r="I20601"/>
      <c r="N20601"/>
      <c r="O20601" s="24"/>
      <c r="P20601"/>
      <c r="Q20601" s="24"/>
      <c r="R20601"/>
      <c r="S20601"/>
      <c r="T20601"/>
      <c r="U20601"/>
      <c r="X20601" s="60"/>
    </row>
    <row r="20602" spans="7:24" ht="15" customHeight="1">
      <c r="G20602"/>
      <c r="I20602"/>
      <c r="N20602"/>
      <c r="O20602" s="24"/>
      <c r="P20602"/>
      <c r="Q20602" s="24"/>
      <c r="R20602"/>
      <c r="S20602"/>
      <c r="T20602"/>
      <c r="U20602"/>
      <c r="X20602" s="60"/>
    </row>
    <row r="20603" spans="7:24" ht="15" customHeight="1">
      <c r="G20603"/>
      <c r="I20603"/>
      <c r="N20603"/>
      <c r="O20603" s="24"/>
      <c r="P20603"/>
      <c r="Q20603" s="24"/>
      <c r="R20603"/>
      <c r="S20603"/>
      <c r="T20603"/>
      <c r="U20603"/>
      <c r="X20603" s="60"/>
    </row>
    <row r="20604" spans="7:24" ht="15" customHeight="1">
      <c r="G20604"/>
      <c r="I20604"/>
      <c r="N20604"/>
      <c r="O20604" s="24"/>
      <c r="P20604"/>
      <c r="Q20604" s="24"/>
      <c r="R20604"/>
      <c r="S20604"/>
      <c r="T20604"/>
      <c r="U20604"/>
      <c r="X20604" s="60"/>
    </row>
    <row r="20605" spans="7:24" ht="15" customHeight="1">
      <c r="G20605"/>
      <c r="I20605"/>
      <c r="N20605"/>
      <c r="O20605" s="24"/>
      <c r="P20605"/>
      <c r="Q20605" s="24"/>
      <c r="R20605"/>
      <c r="S20605"/>
      <c r="T20605"/>
      <c r="U20605"/>
      <c r="X20605" s="60"/>
    </row>
    <row r="20606" spans="7:24" ht="15" customHeight="1">
      <c r="G20606"/>
      <c r="I20606"/>
      <c r="N20606"/>
      <c r="O20606" s="24"/>
      <c r="P20606"/>
      <c r="Q20606" s="24"/>
      <c r="R20606"/>
      <c r="S20606"/>
      <c r="T20606"/>
      <c r="U20606"/>
      <c r="X20606" s="60"/>
    </row>
    <row r="20607" spans="7:24" ht="15" customHeight="1">
      <c r="G20607"/>
      <c r="I20607"/>
      <c r="N20607"/>
      <c r="O20607" s="24"/>
      <c r="P20607"/>
      <c r="Q20607" s="24"/>
      <c r="R20607"/>
      <c r="S20607"/>
      <c r="T20607"/>
      <c r="U20607"/>
      <c r="X20607" s="60"/>
    </row>
    <row r="20608" spans="7:24" ht="15" customHeight="1">
      <c r="G20608"/>
      <c r="I20608"/>
      <c r="N20608"/>
      <c r="O20608" s="24"/>
      <c r="P20608"/>
      <c r="Q20608" s="24"/>
      <c r="R20608"/>
      <c r="S20608"/>
      <c r="T20608"/>
      <c r="U20608"/>
      <c r="X20608" s="60"/>
    </row>
    <row r="20609" spans="7:24" ht="15" customHeight="1">
      <c r="G20609"/>
      <c r="I20609"/>
      <c r="N20609"/>
      <c r="O20609" s="24"/>
      <c r="P20609"/>
      <c r="Q20609" s="24"/>
      <c r="R20609"/>
      <c r="S20609"/>
      <c r="T20609"/>
      <c r="U20609"/>
      <c r="X20609" s="60"/>
    </row>
    <row r="20610" spans="7:24" ht="15" customHeight="1">
      <c r="G20610"/>
      <c r="I20610"/>
      <c r="N20610"/>
      <c r="O20610" s="24"/>
      <c r="P20610"/>
      <c r="Q20610" s="24"/>
      <c r="R20610"/>
      <c r="S20610"/>
      <c r="T20610"/>
      <c r="U20610"/>
      <c r="X20610" s="60"/>
    </row>
    <row r="20611" spans="7:24" ht="15" customHeight="1">
      <c r="G20611"/>
      <c r="I20611"/>
      <c r="N20611"/>
      <c r="O20611" s="24"/>
      <c r="P20611"/>
      <c r="Q20611" s="24"/>
      <c r="R20611"/>
      <c r="S20611"/>
      <c r="T20611"/>
      <c r="U20611"/>
      <c r="X20611" s="60"/>
    </row>
    <row r="20612" spans="7:24" ht="15" customHeight="1">
      <c r="G20612"/>
      <c r="I20612"/>
      <c r="N20612"/>
      <c r="O20612" s="24"/>
      <c r="P20612"/>
      <c r="Q20612" s="24"/>
      <c r="R20612"/>
      <c r="S20612"/>
      <c r="T20612"/>
      <c r="U20612"/>
      <c r="X20612" s="60"/>
    </row>
    <row r="20613" spans="7:24" ht="15" customHeight="1">
      <c r="G20613"/>
      <c r="I20613"/>
      <c r="N20613"/>
      <c r="O20613" s="24"/>
      <c r="P20613"/>
      <c r="Q20613" s="24"/>
      <c r="R20613"/>
      <c r="S20613"/>
      <c r="T20613"/>
      <c r="U20613"/>
      <c r="X20613" s="60"/>
    </row>
    <row r="20614" spans="7:24" ht="15" customHeight="1">
      <c r="G20614"/>
      <c r="I20614"/>
      <c r="N20614"/>
      <c r="O20614" s="24"/>
      <c r="P20614"/>
      <c r="Q20614" s="24"/>
      <c r="R20614"/>
      <c r="S20614"/>
      <c r="T20614"/>
      <c r="U20614"/>
      <c r="X20614" s="60"/>
    </row>
    <row r="20615" spans="7:24" ht="15" customHeight="1">
      <c r="G20615"/>
      <c r="I20615"/>
      <c r="N20615"/>
      <c r="O20615" s="24"/>
      <c r="P20615"/>
      <c r="Q20615" s="24"/>
      <c r="R20615"/>
      <c r="S20615"/>
      <c r="T20615"/>
      <c r="U20615"/>
      <c r="X20615" s="60"/>
    </row>
    <row r="20616" spans="7:24" ht="15" customHeight="1">
      <c r="G20616"/>
      <c r="I20616"/>
      <c r="N20616"/>
      <c r="O20616" s="24"/>
      <c r="P20616"/>
      <c r="Q20616" s="24"/>
      <c r="R20616"/>
      <c r="S20616"/>
      <c r="T20616"/>
      <c r="U20616"/>
      <c r="X20616" s="60"/>
    </row>
    <row r="20617" spans="7:24" ht="15" customHeight="1">
      <c r="G20617"/>
      <c r="I20617"/>
      <c r="N20617"/>
      <c r="O20617" s="24"/>
      <c r="P20617"/>
      <c r="Q20617" s="24"/>
      <c r="R20617"/>
      <c r="S20617"/>
      <c r="T20617"/>
      <c r="U20617"/>
      <c r="X20617" s="60"/>
    </row>
    <row r="20618" spans="7:24" ht="15" customHeight="1">
      <c r="G20618"/>
      <c r="I20618"/>
      <c r="N20618"/>
      <c r="O20618" s="24"/>
      <c r="P20618"/>
      <c r="Q20618" s="24"/>
      <c r="R20618"/>
      <c r="S20618"/>
      <c r="T20618"/>
      <c r="U20618"/>
      <c r="X20618" s="60"/>
    </row>
    <row r="20619" spans="7:24" ht="15" customHeight="1">
      <c r="G20619"/>
      <c r="I20619"/>
      <c r="N20619"/>
      <c r="O20619" s="24"/>
      <c r="P20619"/>
      <c r="Q20619" s="24"/>
      <c r="R20619"/>
      <c r="S20619"/>
      <c r="T20619"/>
      <c r="U20619"/>
      <c r="X20619" s="60"/>
    </row>
    <row r="20620" spans="7:24" ht="15" customHeight="1">
      <c r="G20620"/>
      <c r="I20620"/>
      <c r="N20620"/>
      <c r="O20620" s="24"/>
      <c r="P20620"/>
      <c r="Q20620" s="24"/>
      <c r="R20620"/>
      <c r="S20620"/>
      <c r="T20620"/>
      <c r="U20620"/>
      <c r="X20620" s="60"/>
    </row>
    <row r="20621" spans="7:24" ht="15" customHeight="1">
      <c r="G20621"/>
      <c r="I20621"/>
      <c r="N20621"/>
      <c r="O20621" s="24"/>
      <c r="P20621"/>
      <c r="Q20621" s="24"/>
      <c r="R20621"/>
      <c r="S20621"/>
      <c r="T20621"/>
      <c r="U20621"/>
      <c r="X20621" s="60"/>
    </row>
    <row r="20622" spans="7:24" ht="15" customHeight="1">
      <c r="G20622"/>
      <c r="I20622"/>
      <c r="N20622"/>
      <c r="O20622" s="24"/>
      <c r="P20622"/>
      <c r="Q20622" s="24"/>
      <c r="R20622"/>
      <c r="S20622"/>
      <c r="T20622"/>
      <c r="U20622"/>
      <c r="X20622" s="60"/>
    </row>
    <row r="20623" spans="7:24" ht="15" customHeight="1">
      <c r="G20623"/>
      <c r="I20623"/>
      <c r="N20623"/>
      <c r="O20623" s="24"/>
      <c r="P20623"/>
      <c r="Q20623" s="24"/>
      <c r="R20623"/>
      <c r="S20623"/>
      <c r="T20623"/>
      <c r="U20623"/>
      <c r="X20623" s="60"/>
    </row>
    <row r="20624" spans="7:24" ht="15" customHeight="1">
      <c r="G20624"/>
      <c r="I20624"/>
      <c r="N20624"/>
      <c r="O20624" s="24"/>
      <c r="P20624"/>
      <c r="Q20624" s="24"/>
      <c r="R20624"/>
      <c r="S20624"/>
      <c r="T20624"/>
      <c r="U20624"/>
      <c r="X20624" s="60"/>
    </row>
    <row r="20625" spans="7:24" ht="15" customHeight="1">
      <c r="G20625"/>
      <c r="I20625"/>
      <c r="N20625"/>
      <c r="O20625" s="24"/>
      <c r="P20625"/>
      <c r="Q20625" s="24"/>
      <c r="R20625"/>
      <c r="S20625"/>
      <c r="T20625"/>
      <c r="U20625"/>
      <c r="X20625" s="60"/>
    </row>
    <row r="20626" spans="7:24" ht="15" customHeight="1">
      <c r="G20626"/>
      <c r="I20626"/>
      <c r="N20626"/>
      <c r="O20626" s="24"/>
      <c r="P20626"/>
      <c r="Q20626" s="24"/>
      <c r="R20626"/>
      <c r="S20626"/>
      <c r="T20626"/>
      <c r="U20626"/>
      <c r="X20626" s="60"/>
    </row>
    <row r="20627" spans="7:24" ht="15" customHeight="1">
      <c r="G20627"/>
      <c r="I20627"/>
      <c r="N20627"/>
      <c r="O20627" s="24"/>
      <c r="P20627"/>
      <c r="Q20627" s="24"/>
      <c r="R20627"/>
      <c r="S20627"/>
      <c r="T20627"/>
      <c r="U20627"/>
      <c r="X20627" s="60"/>
    </row>
    <row r="20628" spans="7:24" ht="15" customHeight="1">
      <c r="G20628"/>
      <c r="I20628"/>
      <c r="N20628"/>
      <c r="O20628" s="24"/>
      <c r="P20628"/>
      <c r="Q20628" s="24"/>
      <c r="R20628"/>
      <c r="S20628"/>
      <c r="T20628"/>
      <c r="U20628"/>
      <c r="X20628" s="60"/>
    </row>
    <row r="20629" spans="7:24" ht="15" customHeight="1">
      <c r="G20629"/>
      <c r="I20629"/>
      <c r="N20629"/>
      <c r="O20629" s="24"/>
      <c r="P20629"/>
      <c r="Q20629" s="24"/>
      <c r="R20629"/>
      <c r="S20629"/>
      <c r="T20629"/>
      <c r="U20629"/>
      <c r="X20629" s="60"/>
    </row>
    <row r="20630" spans="7:24" ht="15" customHeight="1">
      <c r="G20630"/>
      <c r="I20630"/>
      <c r="N20630"/>
      <c r="O20630" s="24"/>
      <c r="P20630"/>
      <c r="Q20630" s="24"/>
      <c r="R20630"/>
      <c r="S20630"/>
      <c r="T20630"/>
      <c r="U20630"/>
      <c r="X20630" s="60"/>
    </row>
    <row r="20631" spans="7:24" ht="15" customHeight="1">
      <c r="G20631"/>
      <c r="I20631"/>
      <c r="N20631"/>
      <c r="O20631" s="24"/>
      <c r="P20631"/>
      <c r="Q20631" s="24"/>
      <c r="R20631"/>
      <c r="S20631"/>
      <c r="T20631"/>
      <c r="U20631"/>
      <c r="X20631" s="60"/>
    </row>
    <row r="20632" spans="7:24" ht="15" customHeight="1">
      <c r="G20632"/>
      <c r="I20632"/>
      <c r="N20632"/>
      <c r="O20632" s="24"/>
      <c r="P20632"/>
      <c r="Q20632" s="24"/>
      <c r="R20632"/>
      <c r="S20632"/>
      <c r="T20632"/>
      <c r="U20632"/>
      <c r="X20632" s="60"/>
    </row>
    <row r="20633" spans="7:24" ht="15" customHeight="1">
      <c r="G20633"/>
      <c r="I20633"/>
      <c r="N20633"/>
      <c r="O20633" s="24"/>
      <c r="P20633"/>
      <c r="Q20633" s="24"/>
      <c r="R20633"/>
      <c r="S20633"/>
      <c r="T20633"/>
      <c r="U20633"/>
      <c r="X20633" s="60"/>
    </row>
    <row r="20634" spans="7:24" ht="15" customHeight="1">
      <c r="G20634"/>
      <c r="I20634"/>
      <c r="N20634"/>
      <c r="O20634" s="24"/>
      <c r="P20634"/>
      <c r="Q20634" s="24"/>
      <c r="R20634"/>
      <c r="S20634"/>
      <c r="T20634"/>
      <c r="U20634"/>
      <c r="X20634" s="60"/>
    </row>
    <row r="20635" spans="7:24" ht="15" customHeight="1">
      <c r="G20635"/>
      <c r="I20635"/>
      <c r="N20635"/>
      <c r="O20635" s="24"/>
      <c r="P20635"/>
      <c r="Q20635" s="24"/>
      <c r="R20635"/>
      <c r="S20635"/>
      <c r="T20635"/>
      <c r="U20635"/>
      <c r="X20635" s="60"/>
    </row>
    <row r="20636" spans="7:24" ht="15" customHeight="1">
      <c r="G20636"/>
      <c r="I20636"/>
      <c r="N20636"/>
      <c r="O20636" s="24"/>
      <c r="P20636"/>
      <c r="Q20636" s="24"/>
      <c r="R20636"/>
      <c r="S20636"/>
      <c r="T20636"/>
      <c r="U20636"/>
      <c r="X20636" s="60"/>
    </row>
    <row r="20637" spans="7:24" ht="15" customHeight="1">
      <c r="G20637"/>
      <c r="I20637"/>
      <c r="N20637"/>
      <c r="O20637" s="24"/>
      <c r="P20637"/>
      <c r="Q20637" s="24"/>
      <c r="R20637"/>
      <c r="S20637"/>
      <c r="T20637"/>
      <c r="U20637"/>
      <c r="X20637" s="60"/>
    </row>
    <row r="20638" spans="7:24" ht="15" customHeight="1">
      <c r="G20638"/>
      <c r="I20638"/>
      <c r="N20638"/>
      <c r="O20638" s="24"/>
      <c r="P20638"/>
      <c r="Q20638" s="24"/>
      <c r="R20638"/>
      <c r="S20638"/>
      <c r="T20638"/>
      <c r="U20638"/>
      <c r="X20638" s="60"/>
    </row>
    <row r="20639" spans="7:24" ht="15" customHeight="1">
      <c r="G20639"/>
      <c r="I20639"/>
      <c r="N20639"/>
      <c r="O20639" s="24"/>
      <c r="P20639"/>
      <c r="Q20639" s="24"/>
      <c r="R20639"/>
      <c r="S20639"/>
      <c r="T20639"/>
      <c r="U20639"/>
      <c r="X20639" s="60"/>
    </row>
    <row r="20640" spans="7:24" ht="15" customHeight="1">
      <c r="G20640"/>
      <c r="I20640"/>
      <c r="N20640"/>
      <c r="O20640" s="24"/>
      <c r="P20640"/>
      <c r="Q20640" s="24"/>
      <c r="R20640"/>
      <c r="S20640"/>
      <c r="T20640"/>
      <c r="U20640"/>
      <c r="X20640" s="60"/>
    </row>
    <row r="20641" spans="7:24" ht="15" customHeight="1">
      <c r="G20641"/>
      <c r="I20641"/>
      <c r="N20641"/>
      <c r="O20641" s="24"/>
      <c r="P20641"/>
      <c r="Q20641" s="24"/>
      <c r="R20641"/>
      <c r="S20641"/>
      <c r="T20641"/>
      <c r="U20641"/>
      <c r="X20641" s="60"/>
    </row>
    <row r="20642" spans="7:24" ht="15" customHeight="1">
      <c r="G20642"/>
      <c r="I20642"/>
      <c r="N20642"/>
      <c r="O20642" s="24"/>
      <c r="P20642"/>
      <c r="Q20642" s="24"/>
      <c r="R20642"/>
      <c r="S20642"/>
      <c r="T20642"/>
      <c r="U20642"/>
      <c r="X20642" s="60"/>
    </row>
    <row r="20643" spans="7:24" ht="15" customHeight="1">
      <c r="G20643"/>
      <c r="I20643"/>
      <c r="N20643"/>
      <c r="O20643" s="24"/>
      <c r="P20643"/>
      <c r="Q20643" s="24"/>
      <c r="R20643"/>
      <c r="S20643"/>
      <c r="T20643"/>
      <c r="U20643"/>
      <c r="X20643" s="60"/>
    </row>
    <row r="20644" spans="7:24" ht="15" customHeight="1">
      <c r="G20644"/>
      <c r="I20644"/>
      <c r="N20644"/>
      <c r="O20644" s="24"/>
      <c r="P20644"/>
      <c r="Q20644" s="24"/>
      <c r="R20644"/>
      <c r="S20644"/>
      <c r="T20644"/>
      <c r="U20644"/>
      <c r="X20644" s="60"/>
    </row>
    <row r="20645" spans="7:24" ht="15" customHeight="1">
      <c r="G20645"/>
      <c r="I20645"/>
      <c r="N20645"/>
      <c r="O20645" s="24"/>
      <c r="P20645"/>
      <c r="Q20645" s="24"/>
      <c r="R20645"/>
      <c r="S20645"/>
      <c r="T20645"/>
      <c r="U20645"/>
      <c r="X20645" s="60"/>
    </row>
    <row r="20646" spans="7:24" ht="15" customHeight="1">
      <c r="G20646"/>
      <c r="I20646"/>
      <c r="N20646"/>
      <c r="O20646" s="24"/>
      <c r="P20646"/>
      <c r="Q20646" s="24"/>
      <c r="R20646"/>
      <c r="S20646"/>
      <c r="T20646"/>
      <c r="U20646"/>
      <c r="X20646" s="60"/>
    </row>
    <row r="20647" spans="7:24" ht="15" customHeight="1">
      <c r="G20647"/>
      <c r="I20647"/>
      <c r="N20647"/>
      <c r="O20647" s="24"/>
      <c r="P20647"/>
      <c r="Q20647" s="24"/>
      <c r="R20647"/>
      <c r="S20647"/>
      <c r="T20647"/>
      <c r="U20647"/>
      <c r="X20647" s="60"/>
    </row>
    <row r="20648" spans="7:24" ht="15" customHeight="1">
      <c r="G20648"/>
      <c r="I20648"/>
      <c r="N20648"/>
      <c r="O20648" s="24"/>
      <c r="P20648"/>
      <c r="Q20648" s="24"/>
      <c r="R20648"/>
      <c r="S20648"/>
      <c r="T20648"/>
      <c r="U20648"/>
      <c r="X20648" s="60"/>
    </row>
    <row r="20649" spans="7:24" ht="15" customHeight="1">
      <c r="G20649"/>
      <c r="I20649"/>
      <c r="N20649"/>
      <c r="O20649" s="24"/>
      <c r="P20649"/>
      <c r="Q20649" s="24"/>
      <c r="R20649"/>
      <c r="S20649"/>
      <c r="T20649"/>
      <c r="U20649"/>
      <c r="X20649" s="60"/>
    </row>
    <row r="20650" spans="7:24" ht="15" customHeight="1">
      <c r="G20650"/>
      <c r="I20650"/>
      <c r="N20650"/>
      <c r="O20650" s="24"/>
      <c r="P20650"/>
      <c r="Q20650" s="24"/>
      <c r="R20650"/>
      <c r="S20650"/>
      <c r="T20650"/>
      <c r="U20650"/>
      <c r="X20650" s="60"/>
    </row>
    <row r="20651" spans="7:24" ht="15" customHeight="1">
      <c r="G20651"/>
      <c r="I20651"/>
      <c r="N20651"/>
      <c r="O20651" s="24"/>
      <c r="P20651"/>
      <c r="Q20651" s="24"/>
      <c r="R20651"/>
      <c r="S20651"/>
      <c r="T20651"/>
      <c r="U20651"/>
      <c r="X20651" s="60"/>
    </row>
    <row r="20652" spans="7:24" ht="15" customHeight="1">
      <c r="G20652"/>
      <c r="I20652"/>
      <c r="N20652"/>
      <c r="O20652" s="24"/>
      <c r="P20652"/>
      <c r="Q20652" s="24"/>
      <c r="R20652"/>
      <c r="S20652"/>
      <c r="T20652"/>
      <c r="U20652"/>
      <c r="X20652" s="60"/>
    </row>
    <row r="20653" spans="7:24" ht="15" customHeight="1">
      <c r="G20653"/>
      <c r="I20653"/>
      <c r="N20653"/>
      <c r="O20653" s="24"/>
      <c r="P20653"/>
      <c r="Q20653" s="24"/>
      <c r="R20653"/>
      <c r="S20653"/>
      <c r="T20653"/>
      <c r="U20653"/>
      <c r="X20653" s="60"/>
    </row>
    <row r="20654" spans="7:24" ht="15" customHeight="1">
      <c r="G20654"/>
      <c r="I20654"/>
      <c r="N20654"/>
      <c r="O20654" s="24"/>
      <c r="P20654"/>
      <c r="Q20654" s="24"/>
      <c r="R20654"/>
      <c r="S20654"/>
      <c r="T20654"/>
      <c r="U20654"/>
      <c r="X20654" s="60"/>
    </row>
    <row r="20655" spans="7:24" ht="15" customHeight="1">
      <c r="G20655"/>
      <c r="I20655"/>
      <c r="N20655"/>
      <c r="O20655" s="24"/>
      <c r="P20655"/>
      <c r="Q20655" s="24"/>
      <c r="R20655"/>
      <c r="S20655"/>
      <c r="T20655"/>
      <c r="U20655"/>
      <c r="X20655" s="60"/>
    </row>
    <row r="20656" spans="7:24" ht="15" customHeight="1">
      <c r="G20656"/>
      <c r="I20656"/>
      <c r="N20656"/>
      <c r="O20656" s="24"/>
      <c r="P20656"/>
      <c r="Q20656" s="24"/>
      <c r="R20656"/>
      <c r="S20656"/>
      <c r="T20656"/>
      <c r="U20656"/>
      <c r="X20656" s="60"/>
    </row>
    <row r="20657" spans="7:24" ht="15" customHeight="1">
      <c r="G20657"/>
      <c r="I20657"/>
      <c r="N20657"/>
      <c r="O20657" s="24"/>
      <c r="P20657"/>
      <c r="Q20657" s="24"/>
      <c r="R20657"/>
      <c r="S20657"/>
      <c r="T20657"/>
      <c r="U20657"/>
      <c r="X20657" s="60"/>
    </row>
    <row r="20658" spans="7:24" ht="15" customHeight="1">
      <c r="G20658"/>
      <c r="I20658"/>
      <c r="N20658"/>
      <c r="O20658" s="24"/>
      <c r="P20658"/>
      <c r="Q20658" s="24"/>
      <c r="R20658"/>
      <c r="S20658"/>
      <c r="T20658"/>
      <c r="U20658"/>
      <c r="X20658" s="60"/>
    </row>
    <row r="20659" spans="7:24" ht="15" customHeight="1">
      <c r="G20659"/>
      <c r="I20659"/>
      <c r="N20659"/>
      <c r="O20659" s="24"/>
      <c r="P20659"/>
      <c r="Q20659" s="24"/>
      <c r="R20659"/>
      <c r="S20659"/>
      <c r="T20659"/>
      <c r="U20659"/>
      <c r="X20659" s="60"/>
    </row>
    <row r="20660" spans="7:24" ht="15" customHeight="1">
      <c r="G20660"/>
      <c r="I20660"/>
      <c r="N20660"/>
      <c r="O20660" s="24"/>
      <c r="P20660"/>
      <c r="Q20660" s="24"/>
      <c r="R20660"/>
      <c r="S20660"/>
      <c r="T20660"/>
      <c r="U20660"/>
      <c r="X20660" s="60"/>
    </row>
    <row r="20661" spans="7:24" ht="15" customHeight="1">
      <c r="G20661"/>
      <c r="I20661"/>
      <c r="N20661"/>
      <c r="O20661" s="24"/>
      <c r="P20661"/>
      <c r="Q20661" s="24"/>
      <c r="R20661"/>
      <c r="S20661"/>
      <c r="T20661"/>
      <c r="U20661"/>
      <c r="X20661" s="60"/>
    </row>
    <row r="20662" spans="7:24" ht="15" customHeight="1">
      <c r="G20662"/>
      <c r="I20662"/>
      <c r="N20662"/>
      <c r="O20662" s="24"/>
      <c r="P20662"/>
      <c r="Q20662" s="24"/>
      <c r="R20662"/>
      <c r="S20662"/>
      <c r="T20662"/>
      <c r="U20662"/>
      <c r="X20662" s="60"/>
    </row>
    <row r="20663" spans="7:24" ht="15" customHeight="1">
      <c r="G20663"/>
      <c r="I20663"/>
      <c r="N20663"/>
      <c r="O20663" s="24"/>
      <c r="P20663"/>
      <c r="Q20663" s="24"/>
      <c r="R20663"/>
      <c r="S20663"/>
      <c r="T20663"/>
      <c r="U20663"/>
      <c r="X20663" s="60"/>
    </row>
    <row r="20664" spans="7:24" ht="15" customHeight="1">
      <c r="G20664"/>
      <c r="I20664"/>
      <c r="N20664"/>
      <c r="O20664" s="24"/>
      <c r="P20664"/>
      <c r="Q20664" s="24"/>
      <c r="R20664"/>
      <c r="S20664"/>
      <c r="T20664"/>
      <c r="U20664"/>
      <c r="X20664" s="60"/>
    </row>
    <row r="20665" spans="7:24" ht="15" customHeight="1">
      <c r="G20665"/>
      <c r="I20665"/>
      <c r="N20665"/>
      <c r="O20665" s="24"/>
      <c r="P20665"/>
      <c r="Q20665" s="24"/>
      <c r="R20665"/>
      <c r="S20665"/>
      <c r="T20665"/>
      <c r="U20665"/>
      <c r="X20665" s="60"/>
    </row>
    <row r="20666" spans="7:24" ht="15" customHeight="1">
      <c r="G20666"/>
      <c r="I20666"/>
      <c r="N20666"/>
      <c r="O20666" s="24"/>
      <c r="P20666"/>
      <c r="Q20666" s="24"/>
      <c r="R20666"/>
      <c r="S20666"/>
      <c r="T20666"/>
      <c r="U20666"/>
      <c r="X20666" s="60"/>
    </row>
    <row r="20667" spans="7:24" ht="15" customHeight="1">
      <c r="G20667"/>
      <c r="I20667"/>
      <c r="N20667"/>
      <c r="O20667" s="24"/>
      <c r="P20667"/>
      <c r="Q20667" s="24"/>
      <c r="R20667"/>
      <c r="S20667"/>
      <c r="T20667"/>
      <c r="U20667"/>
      <c r="X20667" s="60"/>
    </row>
    <row r="20668" spans="7:24" ht="15" customHeight="1">
      <c r="G20668"/>
      <c r="I20668"/>
      <c r="N20668"/>
      <c r="O20668" s="24"/>
      <c r="P20668"/>
      <c r="Q20668" s="24"/>
      <c r="R20668"/>
      <c r="S20668"/>
      <c r="T20668"/>
      <c r="U20668"/>
      <c r="X20668" s="60"/>
    </row>
    <row r="20669" spans="7:24" ht="15" customHeight="1">
      <c r="G20669"/>
      <c r="I20669"/>
      <c r="N20669"/>
      <c r="O20669" s="24"/>
      <c r="P20669"/>
      <c r="Q20669" s="24"/>
      <c r="R20669"/>
      <c r="S20669"/>
      <c r="T20669"/>
      <c r="U20669"/>
      <c r="X20669" s="60"/>
    </row>
    <row r="20670" spans="7:24" ht="15" customHeight="1">
      <c r="G20670"/>
      <c r="I20670"/>
      <c r="N20670"/>
      <c r="O20670" s="24"/>
      <c r="P20670"/>
      <c r="Q20670" s="24"/>
      <c r="R20670"/>
      <c r="S20670"/>
      <c r="T20670"/>
      <c r="U20670"/>
      <c r="X20670" s="60"/>
    </row>
    <row r="20671" spans="7:24" ht="15" customHeight="1">
      <c r="G20671"/>
      <c r="I20671"/>
      <c r="N20671"/>
      <c r="O20671" s="24"/>
      <c r="P20671"/>
      <c r="Q20671" s="24"/>
      <c r="R20671"/>
      <c r="S20671"/>
      <c r="T20671"/>
      <c r="U20671"/>
      <c r="X20671" s="60"/>
    </row>
    <row r="20672" spans="7:24" ht="15" customHeight="1">
      <c r="G20672"/>
      <c r="I20672"/>
      <c r="N20672"/>
      <c r="O20672" s="24"/>
      <c r="P20672"/>
      <c r="Q20672" s="24"/>
      <c r="R20672"/>
      <c r="S20672"/>
      <c r="T20672"/>
      <c r="U20672"/>
      <c r="X20672" s="60"/>
    </row>
    <row r="20673" spans="7:24" ht="15" customHeight="1">
      <c r="G20673"/>
      <c r="I20673"/>
      <c r="N20673"/>
      <c r="O20673" s="24"/>
      <c r="P20673"/>
      <c r="Q20673" s="24"/>
      <c r="R20673"/>
      <c r="S20673"/>
      <c r="T20673"/>
      <c r="U20673"/>
      <c r="X20673" s="60"/>
    </row>
    <row r="20674" spans="7:24" ht="15" customHeight="1">
      <c r="G20674"/>
      <c r="I20674"/>
      <c r="N20674"/>
      <c r="O20674" s="24"/>
      <c r="P20674"/>
      <c r="Q20674" s="24"/>
      <c r="R20674"/>
      <c r="S20674"/>
      <c r="T20674"/>
      <c r="U20674"/>
      <c r="X20674" s="60"/>
    </row>
    <row r="20675" spans="7:24" ht="15" customHeight="1">
      <c r="G20675"/>
      <c r="I20675"/>
      <c r="N20675"/>
      <c r="O20675" s="24"/>
      <c r="P20675"/>
      <c r="Q20675" s="24"/>
      <c r="R20675"/>
      <c r="S20675"/>
      <c r="T20675"/>
      <c r="U20675"/>
      <c r="X20675" s="60"/>
    </row>
    <row r="20676" spans="7:24" ht="15" customHeight="1">
      <c r="G20676"/>
      <c r="I20676"/>
      <c r="N20676"/>
      <c r="O20676" s="24"/>
      <c r="P20676"/>
      <c r="Q20676" s="24"/>
      <c r="R20676"/>
      <c r="S20676"/>
      <c r="T20676"/>
      <c r="U20676"/>
      <c r="X20676" s="60"/>
    </row>
    <row r="20677" spans="7:24" ht="15" customHeight="1">
      <c r="G20677"/>
      <c r="I20677"/>
      <c r="N20677"/>
      <c r="O20677" s="24"/>
      <c r="P20677"/>
      <c r="Q20677" s="24"/>
      <c r="R20677"/>
      <c r="S20677"/>
      <c r="T20677"/>
      <c r="U20677"/>
      <c r="X20677" s="60"/>
    </row>
    <row r="20678" spans="7:24" ht="15" customHeight="1">
      <c r="G20678"/>
      <c r="I20678"/>
      <c r="N20678"/>
      <c r="O20678" s="24"/>
      <c r="P20678"/>
      <c r="Q20678" s="24"/>
      <c r="R20678"/>
      <c r="S20678"/>
      <c r="T20678"/>
      <c r="U20678"/>
      <c r="X20678" s="60"/>
    </row>
    <row r="20679" spans="7:24" ht="15" customHeight="1">
      <c r="G20679"/>
      <c r="I20679"/>
      <c r="N20679"/>
      <c r="O20679" s="24"/>
      <c r="P20679"/>
      <c r="Q20679" s="24"/>
      <c r="R20679"/>
      <c r="S20679"/>
      <c r="T20679"/>
      <c r="U20679"/>
      <c r="X20679" s="60"/>
    </row>
    <row r="20680" spans="7:24" ht="15" customHeight="1">
      <c r="G20680"/>
      <c r="I20680"/>
      <c r="N20680"/>
      <c r="O20680" s="24"/>
      <c r="P20680"/>
      <c r="Q20680" s="24"/>
      <c r="R20680"/>
      <c r="S20680"/>
      <c r="T20680"/>
      <c r="U20680"/>
      <c r="X20680" s="60"/>
    </row>
    <row r="20681" spans="7:24" ht="15" customHeight="1">
      <c r="G20681"/>
      <c r="I20681"/>
      <c r="N20681"/>
      <c r="O20681" s="24"/>
      <c r="P20681"/>
      <c r="Q20681" s="24"/>
      <c r="R20681"/>
      <c r="S20681"/>
      <c r="T20681"/>
      <c r="U20681"/>
      <c r="X20681" s="60"/>
    </row>
    <row r="20682" spans="7:24" ht="15" customHeight="1">
      <c r="G20682"/>
      <c r="I20682"/>
      <c r="N20682"/>
      <c r="O20682" s="24"/>
      <c r="P20682"/>
      <c r="Q20682" s="24"/>
      <c r="R20682"/>
      <c r="S20682"/>
      <c r="T20682"/>
      <c r="U20682"/>
      <c r="X20682" s="60"/>
    </row>
    <row r="20683" spans="7:24" ht="15" customHeight="1">
      <c r="G20683"/>
      <c r="I20683"/>
      <c r="N20683"/>
      <c r="O20683" s="24"/>
      <c r="P20683"/>
      <c r="Q20683" s="24"/>
      <c r="R20683"/>
      <c r="S20683"/>
      <c r="T20683"/>
      <c r="U20683"/>
      <c r="X20683" s="60"/>
    </row>
    <row r="20684" spans="7:24" ht="15" customHeight="1">
      <c r="G20684"/>
      <c r="I20684"/>
      <c r="N20684"/>
      <c r="O20684" s="24"/>
      <c r="P20684"/>
      <c r="Q20684" s="24"/>
      <c r="R20684"/>
      <c r="S20684"/>
      <c r="T20684"/>
      <c r="U20684"/>
      <c r="X20684" s="60"/>
    </row>
    <row r="20685" spans="7:24" ht="15" customHeight="1">
      <c r="G20685"/>
      <c r="I20685"/>
      <c r="N20685"/>
      <c r="O20685" s="24"/>
      <c r="P20685"/>
      <c r="Q20685" s="24"/>
      <c r="R20685"/>
      <c r="S20685"/>
      <c r="T20685"/>
      <c r="U20685"/>
      <c r="X20685" s="60"/>
    </row>
    <row r="20686" spans="7:24" ht="15" customHeight="1">
      <c r="G20686"/>
      <c r="I20686"/>
      <c r="N20686"/>
      <c r="O20686" s="24"/>
      <c r="P20686"/>
      <c r="Q20686" s="24"/>
      <c r="R20686"/>
      <c r="S20686"/>
      <c r="T20686"/>
      <c r="U20686"/>
      <c r="X20686" s="60"/>
    </row>
    <row r="20687" spans="7:24" ht="15" customHeight="1">
      <c r="G20687"/>
      <c r="I20687"/>
      <c r="N20687"/>
      <c r="O20687" s="24"/>
      <c r="P20687"/>
      <c r="Q20687" s="24"/>
      <c r="R20687"/>
      <c r="S20687"/>
      <c r="T20687"/>
      <c r="U20687"/>
      <c r="X20687" s="60"/>
    </row>
    <row r="20688" spans="7:24" ht="15" customHeight="1">
      <c r="G20688"/>
      <c r="I20688"/>
      <c r="N20688"/>
      <c r="O20688" s="24"/>
      <c r="P20688"/>
      <c r="Q20688" s="24"/>
      <c r="R20688"/>
      <c r="S20688"/>
      <c r="T20688"/>
      <c r="U20688"/>
      <c r="X20688" s="60"/>
    </row>
    <row r="20689" spans="7:24" ht="15" customHeight="1">
      <c r="G20689"/>
      <c r="I20689"/>
      <c r="N20689"/>
      <c r="O20689" s="24"/>
      <c r="P20689"/>
      <c r="Q20689" s="24"/>
      <c r="R20689"/>
      <c r="S20689"/>
      <c r="T20689"/>
      <c r="U20689"/>
      <c r="X20689" s="60"/>
    </row>
    <row r="20690" spans="7:24" ht="15" customHeight="1">
      <c r="G20690"/>
      <c r="I20690"/>
      <c r="N20690"/>
      <c r="O20690" s="24"/>
      <c r="P20690"/>
      <c r="Q20690" s="24"/>
      <c r="R20690"/>
      <c r="S20690"/>
      <c r="T20690"/>
      <c r="U20690"/>
      <c r="X20690" s="60"/>
    </row>
    <row r="20691" spans="7:24" ht="15" customHeight="1">
      <c r="G20691"/>
      <c r="I20691"/>
      <c r="N20691"/>
      <c r="O20691" s="24"/>
      <c r="P20691"/>
      <c r="Q20691" s="24"/>
      <c r="R20691"/>
      <c r="S20691"/>
      <c r="T20691"/>
      <c r="U20691"/>
      <c r="X20691" s="60"/>
    </row>
    <row r="20692" spans="7:24" ht="15" customHeight="1">
      <c r="G20692"/>
      <c r="I20692"/>
      <c r="N20692"/>
      <c r="O20692" s="24"/>
      <c r="P20692"/>
      <c r="Q20692" s="24"/>
      <c r="R20692"/>
      <c r="S20692"/>
      <c r="T20692"/>
      <c r="U20692"/>
      <c r="X20692" s="60"/>
    </row>
    <row r="20693" spans="7:24" ht="15" customHeight="1">
      <c r="G20693"/>
      <c r="I20693"/>
      <c r="N20693"/>
      <c r="O20693" s="24"/>
      <c r="P20693"/>
      <c r="Q20693" s="24"/>
      <c r="R20693"/>
      <c r="S20693"/>
      <c r="T20693"/>
      <c r="U20693"/>
      <c r="X20693" s="60"/>
    </row>
    <row r="20694" spans="7:24" ht="15" customHeight="1">
      <c r="G20694"/>
      <c r="I20694"/>
      <c r="N20694"/>
      <c r="O20694" s="24"/>
      <c r="P20694"/>
      <c r="Q20694" s="24"/>
      <c r="R20694"/>
      <c r="S20694"/>
      <c r="T20694"/>
      <c r="U20694"/>
      <c r="X20694" s="60"/>
    </row>
    <row r="20695" spans="7:24" ht="15" customHeight="1">
      <c r="G20695"/>
      <c r="I20695"/>
      <c r="N20695"/>
      <c r="O20695" s="24"/>
      <c r="P20695"/>
      <c r="Q20695" s="24"/>
      <c r="R20695"/>
      <c r="S20695"/>
      <c r="T20695"/>
      <c r="U20695"/>
      <c r="X20695" s="60"/>
    </row>
    <row r="20696" spans="7:24" ht="15" customHeight="1">
      <c r="G20696"/>
      <c r="I20696"/>
      <c r="N20696"/>
      <c r="O20696" s="24"/>
      <c r="P20696"/>
      <c r="Q20696" s="24"/>
      <c r="R20696"/>
      <c r="S20696"/>
      <c r="T20696"/>
      <c r="U20696"/>
      <c r="X20696" s="60"/>
    </row>
    <row r="20697" spans="7:24" ht="15" customHeight="1">
      <c r="G20697"/>
      <c r="I20697"/>
      <c r="N20697"/>
      <c r="O20697" s="24"/>
      <c r="P20697"/>
      <c r="Q20697" s="24"/>
      <c r="R20697"/>
      <c r="S20697"/>
      <c r="T20697"/>
      <c r="U20697"/>
      <c r="X20697" s="60"/>
    </row>
    <row r="20698" spans="7:24" ht="15" customHeight="1">
      <c r="G20698"/>
      <c r="I20698"/>
      <c r="N20698"/>
      <c r="O20698" s="24"/>
      <c r="P20698"/>
      <c r="Q20698" s="24"/>
      <c r="R20698"/>
      <c r="S20698"/>
      <c r="T20698"/>
      <c r="U20698"/>
      <c r="X20698" s="60"/>
    </row>
    <row r="20699" spans="7:24" ht="15" customHeight="1">
      <c r="G20699"/>
      <c r="I20699"/>
      <c r="N20699"/>
      <c r="O20699" s="24"/>
      <c r="P20699"/>
      <c r="Q20699" s="24"/>
      <c r="R20699"/>
      <c r="S20699"/>
      <c r="T20699"/>
      <c r="U20699"/>
      <c r="X20699" s="60"/>
    </row>
    <row r="20700" spans="7:24" ht="15" customHeight="1">
      <c r="G20700"/>
      <c r="I20700"/>
      <c r="N20700"/>
      <c r="O20700" s="24"/>
      <c r="P20700"/>
      <c r="Q20700" s="24"/>
      <c r="R20700"/>
      <c r="S20700"/>
      <c r="T20700"/>
      <c r="U20700"/>
      <c r="X20700" s="60"/>
    </row>
    <row r="20701" spans="7:24" ht="15" customHeight="1">
      <c r="G20701"/>
      <c r="I20701"/>
      <c r="N20701"/>
      <c r="O20701" s="24"/>
      <c r="P20701"/>
      <c r="Q20701" s="24"/>
      <c r="R20701"/>
      <c r="S20701"/>
      <c r="T20701"/>
      <c r="U20701"/>
      <c r="X20701" s="60"/>
    </row>
    <row r="20702" spans="7:24" ht="15" customHeight="1">
      <c r="G20702"/>
      <c r="I20702"/>
      <c r="N20702"/>
      <c r="O20702" s="24"/>
      <c r="P20702"/>
      <c r="Q20702" s="24"/>
      <c r="R20702"/>
      <c r="S20702"/>
      <c r="T20702"/>
      <c r="U20702"/>
      <c r="X20702" s="60"/>
    </row>
    <row r="20703" spans="7:24" ht="15" customHeight="1">
      <c r="G20703"/>
      <c r="I20703"/>
      <c r="N20703"/>
      <c r="O20703" s="24"/>
      <c r="P20703"/>
      <c r="Q20703" s="24"/>
      <c r="R20703"/>
      <c r="S20703"/>
      <c r="T20703"/>
      <c r="U20703"/>
      <c r="X20703" s="60"/>
    </row>
    <row r="20704" spans="7:24" ht="15" customHeight="1">
      <c r="G20704"/>
      <c r="I20704"/>
      <c r="N20704"/>
      <c r="O20704" s="24"/>
      <c r="P20704"/>
      <c r="Q20704" s="24"/>
      <c r="R20704"/>
      <c r="S20704"/>
      <c r="T20704"/>
      <c r="U20704"/>
      <c r="X20704" s="60"/>
    </row>
    <row r="20705" spans="7:24" ht="15" customHeight="1">
      <c r="G20705"/>
      <c r="I20705"/>
      <c r="N20705"/>
      <c r="O20705" s="24"/>
      <c r="P20705"/>
      <c r="Q20705" s="24"/>
      <c r="R20705"/>
      <c r="S20705"/>
      <c r="T20705"/>
      <c r="U20705"/>
      <c r="X20705" s="60"/>
    </row>
    <row r="20706" spans="7:24" ht="15" customHeight="1">
      <c r="G20706"/>
      <c r="I20706"/>
      <c r="N20706"/>
      <c r="O20706" s="24"/>
      <c r="P20706"/>
      <c r="Q20706" s="24"/>
      <c r="R20706"/>
      <c r="S20706"/>
      <c r="T20706"/>
      <c r="U20706"/>
      <c r="X20706" s="60"/>
    </row>
    <row r="20707" spans="7:24" ht="15" customHeight="1">
      <c r="G20707"/>
      <c r="I20707"/>
      <c r="N20707"/>
      <c r="O20707" s="24"/>
      <c r="P20707"/>
      <c r="Q20707" s="24"/>
      <c r="R20707"/>
      <c r="S20707"/>
      <c r="T20707"/>
      <c r="U20707"/>
      <c r="X20707" s="60"/>
    </row>
    <row r="20708" spans="7:24" ht="15" customHeight="1">
      <c r="G20708"/>
      <c r="I20708"/>
      <c r="N20708"/>
      <c r="O20708" s="24"/>
      <c r="P20708"/>
      <c r="Q20708" s="24"/>
      <c r="R20708"/>
      <c r="S20708"/>
      <c r="T20708"/>
      <c r="U20708"/>
      <c r="X20708" s="60"/>
    </row>
    <row r="20709" spans="7:24" ht="15" customHeight="1">
      <c r="G20709"/>
      <c r="I20709"/>
      <c r="N20709"/>
      <c r="O20709" s="24"/>
      <c r="P20709"/>
      <c r="Q20709" s="24"/>
      <c r="R20709"/>
      <c r="S20709"/>
      <c r="T20709"/>
      <c r="U20709"/>
      <c r="X20709" s="60"/>
    </row>
    <row r="20710" spans="7:24" ht="15" customHeight="1">
      <c r="G20710"/>
      <c r="I20710"/>
      <c r="N20710"/>
      <c r="O20710" s="24"/>
      <c r="P20710"/>
      <c r="Q20710" s="24"/>
      <c r="R20710"/>
      <c r="S20710"/>
      <c r="T20710"/>
      <c r="U20710"/>
      <c r="X20710" s="60"/>
    </row>
    <row r="20711" spans="7:24" ht="15" customHeight="1">
      <c r="G20711"/>
      <c r="I20711"/>
      <c r="N20711"/>
      <c r="O20711" s="24"/>
      <c r="P20711"/>
      <c r="Q20711" s="24"/>
      <c r="R20711"/>
      <c r="S20711"/>
      <c r="T20711"/>
      <c r="U20711"/>
      <c r="X20711" s="60"/>
    </row>
    <row r="20712" spans="7:24" ht="15" customHeight="1">
      <c r="G20712"/>
      <c r="I20712"/>
      <c r="N20712"/>
      <c r="O20712" s="24"/>
      <c r="P20712"/>
      <c r="Q20712" s="24"/>
      <c r="R20712"/>
      <c r="S20712"/>
      <c r="T20712"/>
      <c r="U20712"/>
      <c r="X20712" s="60"/>
    </row>
    <row r="20713" spans="7:24" ht="15" customHeight="1">
      <c r="G20713"/>
      <c r="I20713"/>
      <c r="N20713"/>
      <c r="O20713" s="24"/>
      <c r="P20713"/>
      <c r="Q20713" s="24"/>
      <c r="R20713"/>
      <c r="S20713"/>
      <c r="T20713"/>
      <c r="U20713"/>
      <c r="X20713" s="60"/>
    </row>
    <row r="20714" spans="7:24" ht="15" customHeight="1">
      <c r="G20714"/>
      <c r="I20714"/>
      <c r="N20714"/>
      <c r="O20714" s="24"/>
      <c r="P20714"/>
      <c r="Q20714" s="24"/>
      <c r="R20714"/>
      <c r="S20714"/>
      <c r="T20714"/>
      <c r="U20714"/>
      <c r="X20714" s="60"/>
    </row>
    <row r="20715" spans="7:24" ht="15" customHeight="1">
      <c r="G20715"/>
      <c r="I20715"/>
      <c r="N20715"/>
      <c r="O20715" s="24"/>
      <c r="P20715"/>
      <c r="Q20715" s="24"/>
      <c r="R20715"/>
      <c r="S20715"/>
      <c r="T20715"/>
      <c r="U20715"/>
      <c r="X20715" s="60"/>
    </row>
    <row r="20716" spans="7:24" ht="15" customHeight="1">
      <c r="G20716"/>
      <c r="I20716"/>
      <c r="N20716"/>
      <c r="O20716" s="24"/>
      <c r="P20716"/>
      <c r="Q20716" s="24"/>
      <c r="R20716"/>
      <c r="S20716"/>
      <c r="T20716"/>
      <c r="U20716"/>
      <c r="X20716" s="60"/>
    </row>
    <row r="20717" spans="7:24" ht="15" customHeight="1">
      <c r="G20717"/>
      <c r="I20717"/>
      <c r="N20717"/>
      <c r="O20717" s="24"/>
      <c r="P20717"/>
      <c r="Q20717" s="24"/>
      <c r="R20717"/>
      <c r="S20717"/>
      <c r="T20717"/>
      <c r="U20717"/>
      <c r="X20717" s="60"/>
    </row>
    <row r="20718" spans="7:24" ht="15" customHeight="1">
      <c r="G20718"/>
      <c r="I20718"/>
      <c r="N20718"/>
      <c r="O20718" s="24"/>
      <c r="P20718"/>
      <c r="Q20718" s="24"/>
      <c r="R20718"/>
      <c r="S20718"/>
      <c r="T20718"/>
      <c r="U20718"/>
      <c r="X20718" s="60"/>
    </row>
    <row r="20719" spans="7:24" ht="15" customHeight="1">
      <c r="G20719"/>
      <c r="I20719"/>
      <c r="N20719"/>
      <c r="O20719" s="24"/>
      <c r="P20719"/>
      <c r="Q20719" s="24"/>
      <c r="R20719"/>
      <c r="S20719"/>
      <c r="T20719"/>
      <c r="U20719"/>
      <c r="X20719" s="60"/>
    </row>
    <row r="20720" spans="7:24" ht="15" customHeight="1">
      <c r="G20720"/>
      <c r="I20720"/>
      <c r="N20720"/>
      <c r="O20720" s="24"/>
      <c r="P20720"/>
      <c r="Q20720" s="24"/>
      <c r="R20720"/>
      <c r="S20720"/>
      <c r="T20720"/>
      <c r="U20720"/>
      <c r="X20720" s="60"/>
    </row>
    <row r="20721" spans="7:24" ht="15" customHeight="1">
      <c r="G20721"/>
      <c r="I20721"/>
      <c r="N20721"/>
      <c r="O20721" s="24"/>
      <c r="P20721"/>
      <c r="Q20721" s="24"/>
      <c r="R20721"/>
      <c r="S20721"/>
      <c r="T20721"/>
      <c r="U20721"/>
      <c r="X20721" s="60"/>
    </row>
    <row r="20722" spans="7:24" ht="15" customHeight="1">
      <c r="G20722"/>
      <c r="I20722"/>
      <c r="N20722"/>
      <c r="O20722" s="24"/>
      <c r="P20722"/>
      <c r="Q20722" s="24"/>
      <c r="R20722"/>
      <c r="S20722"/>
      <c r="T20722"/>
      <c r="U20722"/>
      <c r="X20722" s="60"/>
    </row>
    <row r="20723" spans="7:24" ht="15" customHeight="1">
      <c r="G20723"/>
      <c r="I20723"/>
      <c r="N20723"/>
      <c r="O20723" s="24"/>
      <c r="P20723"/>
      <c r="Q20723" s="24"/>
      <c r="R20723"/>
      <c r="S20723"/>
      <c r="T20723"/>
      <c r="U20723"/>
      <c r="X20723" s="60"/>
    </row>
    <row r="20724" spans="7:24" ht="15" customHeight="1">
      <c r="G20724"/>
      <c r="I20724"/>
      <c r="N20724"/>
      <c r="O20724" s="24"/>
      <c r="P20724"/>
      <c r="Q20724" s="24"/>
      <c r="R20724"/>
      <c r="S20724"/>
      <c r="T20724"/>
      <c r="U20724"/>
      <c r="X20724" s="60"/>
    </row>
    <row r="20725" spans="7:24" ht="15" customHeight="1">
      <c r="G20725"/>
      <c r="I20725"/>
      <c r="N20725"/>
      <c r="O20725" s="24"/>
      <c r="P20725"/>
      <c r="Q20725" s="24"/>
      <c r="R20725"/>
      <c r="S20725"/>
      <c r="T20725"/>
      <c r="U20725"/>
      <c r="X20725" s="60"/>
    </row>
    <row r="20726" spans="7:24" ht="15" customHeight="1">
      <c r="G20726"/>
      <c r="I20726"/>
      <c r="N20726"/>
      <c r="O20726" s="24"/>
      <c r="P20726"/>
      <c r="Q20726" s="24"/>
      <c r="R20726"/>
      <c r="S20726"/>
      <c r="T20726"/>
      <c r="U20726"/>
      <c r="X20726" s="60"/>
    </row>
    <row r="20727" spans="7:24" ht="15" customHeight="1">
      <c r="G20727"/>
      <c r="I20727"/>
      <c r="N20727"/>
      <c r="O20727" s="24"/>
      <c r="P20727"/>
      <c r="Q20727" s="24"/>
      <c r="R20727"/>
      <c r="S20727"/>
      <c r="T20727"/>
      <c r="U20727"/>
      <c r="X20727" s="60"/>
    </row>
    <row r="20728" spans="7:24" ht="15" customHeight="1">
      <c r="G20728"/>
      <c r="I20728"/>
      <c r="N20728"/>
      <c r="O20728" s="24"/>
      <c r="P20728"/>
      <c r="Q20728" s="24"/>
      <c r="R20728"/>
      <c r="S20728"/>
      <c r="T20728"/>
      <c r="U20728"/>
      <c r="X20728" s="60"/>
    </row>
    <row r="20729" spans="7:24" ht="15" customHeight="1">
      <c r="G20729"/>
      <c r="I20729"/>
      <c r="N20729"/>
      <c r="O20729" s="24"/>
      <c r="P20729"/>
      <c r="Q20729" s="24"/>
      <c r="R20729"/>
      <c r="S20729"/>
      <c r="T20729"/>
      <c r="U20729"/>
      <c r="X20729" s="60"/>
    </row>
    <row r="20730" spans="7:24" ht="15" customHeight="1">
      <c r="G20730"/>
      <c r="I20730"/>
      <c r="N20730"/>
      <c r="O20730" s="24"/>
      <c r="P20730"/>
      <c r="Q20730" s="24"/>
      <c r="R20730"/>
      <c r="S20730"/>
      <c r="T20730"/>
      <c r="U20730"/>
      <c r="X20730" s="60"/>
    </row>
    <row r="20731" spans="7:24" ht="15" customHeight="1">
      <c r="G20731"/>
      <c r="I20731"/>
      <c r="N20731"/>
      <c r="O20731" s="24"/>
      <c r="P20731"/>
      <c r="Q20731" s="24"/>
      <c r="R20731"/>
      <c r="S20731"/>
      <c r="T20731"/>
      <c r="U20731"/>
      <c r="X20731" s="60"/>
    </row>
    <row r="20732" spans="7:24" ht="15" customHeight="1">
      <c r="G20732"/>
      <c r="I20732"/>
      <c r="N20732"/>
      <c r="O20732" s="24"/>
      <c r="P20732"/>
      <c r="Q20732" s="24"/>
      <c r="R20732"/>
      <c r="S20732"/>
      <c r="T20732"/>
      <c r="U20732"/>
      <c r="X20732" s="60"/>
    </row>
    <row r="20733" spans="7:24" ht="15" customHeight="1">
      <c r="G20733"/>
      <c r="I20733"/>
      <c r="N20733"/>
      <c r="O20733" s="24"/>
      <c r="P20733"/>
      <c r="Q20733" s="24"/>
      <c r="R20733"/>
      <c r="S20733"/>
      <c r="T20733"/>
      <c r="U20733"/>
      <c r="X20733" s="60"/>
    </row>
    <row r="20734" spans="7:24" ht="15" customHeight="1">
      <c r="G20734"/>
      <c r="I20734"/>
      <c r="N20734"/>
      <c r="O20734" s="24"/>
      <c r="P20734"/>
      <c r="Q20734" s="24"/>
      <c r="R20734"/>
      <c r="S20734"/>
      <c r="T20734"/>
      <c r="U20734"/>
      <c r="X20734" s="60"/>
    </row>
    <row r="20735" spans="7:24" ht="15" customHeight="1">
      <c r="G20735"/>
      <c r="I20735"/>
      <c r="N20735"/>
      <c r="O20735" s="24"/>
      <c r="P20735"/>
      <c r="Q20735" s="24"/>
      <c r="R20735"/>
      <c r="S20735"/>
      <c r="T20735"/>
      <c r="U20735"/>
      <c r="X20735" s="60"/>
    </row>
    <row r="20736" spans="7:24" ht="15" customHeight="1">
      <c r="G20736"/>
      <c r="I20736"/>
      <c r="N20736"/>
      <c r="O20736" s="24"/>
      <c r="P20736"/>
      <c r="Q20736" s="24"/>
      <c r="R20736"/>
      <c r="S20736"/>
      <c r="T20736"/>
      <c r="U20736"/>
      <c r="X20736" s="60"/>
    </row>
    <row r="20737" spans="7:24" ht="15" customHeight="1">
      <c r="G20737"/>
      <c r="I20737"/>
      <c r="N20737"/>
      <c r="O20737" s="24"/>
      <c r="P20737"/>
      <c r="Q20737" s="24"/>
      <c r="R20737"/>
      <c r="S20737"/>
      <c r="T20737"/>
      <c r="U20737"/>
      <c r="X20737" s="60"/>
    </row>
    <row r="20738" spans="7:24" ht="15" customHeight="1">
      <c r="G20738"/>
      <c r="I20738"/>
      <c r="N20738"/>
      <c r="O20738" s="24"/>
      <c r="P20738"/>
      <c r="Q20738" s="24"/>
      <c r="R20738"/>
      <c r="S20738"/>
      <c r="T20738"/>
      <c r="U20738"/>
      <c r="X20738" s="60"/>
    </row>
    <row r="20739" spans="7:24" ht="15" customHeight="1">
      <c r="G20739"/>
      <c r="I20739"/>
      <c r="N20739"/>
      <c r="O20739" s="24"/>
      <c r="P20739"/>
      <c r="Q20739" s="24"/>
      <c r="R20739"/>
      <c r="S20739"/>
      <c r="T20739"/>
      <c r="U20739"/>
      <c r="X20739" s="60"/>
    </row>
    <row r="20740" spans="7:24" ht="15" customHeight="1">
      <c r="G20740"/>
      <c r="I20740"/>
      <c r="N20740"/>
      <c r="O20740" s="24"/>
      <c r="P20740"/>
      <c r="Q20740" s="24"/>
      <c r="R20740"/>
      <c r="S20740"/>
      <c r="T20740"/>
      <c r="U20740"/>
      <c r="X20740" s="60"/>
    </row>
    <row r="20741" spans="7:24" ht="15" customHeight="1">
      <c r="G20741"/>
      <c r="I20741"/>
      <c r="N20741"/>
      <c r="O20741" s="24"/>
      <c r="P20741"/>
      <c r="Q20741" s="24"/>
      <c r="R20741"/>
      <c r="S20741"/>
      <c r="T20741"/>
      <c r="U20741"/>
      <c r="X20741" s="60"/>
    </row>
    <row r="20742" spans="7:24" ht="15" customHeight="1">
      <c r="G20742"/>
      <c r="I20742"/>
      <c r="N20742"/>
      <c r="O20742" s="24"/>
      <c r="P20742"/>
      <c r="Q20742" s="24"/>
      <c r="R20742"/>
      <c r="S20742"/>
      <c r="T20742"/>
      <c r="U20742"/>
      <c r="X20742" s="60"/>
    </row>
    <row r="20743" spans="7:24" ht="15" customHeight="1">
      <c r="G20743"/>
      <c r="I20743"/>
      <c r="N20743"/>
      <c r="O20743" s="24"/>
      <c r="P20743"/>
      <c r="Q20743" s="24"/>
      <c r="R20743"/>
      <c r="S20743"/>
      <c r="T20743"/>
      <c r="U20743"/>
      <c r="X20743" s="60"/>
    </row>
    <row r="20744" spans="7:24" ht="15" customHeight="1">
      <c r="G20744"/>
      <c r="I20744"/>
      <c r="N20744"/>
      <c r="O20744" s="24"/>
      <c r="P20744"/>
      <c r="Q20744" s="24"/>
      <c r="R20744"/>
      <c r="S20744"/>
      <c r="T20744"/>
      <c r="U20744"/>
      <c r="X20744" s="60"/>
    </row>
    <row r="20745" spans="7:24" ht="15" customHeight="1">
      <c r="G20745"/>
      <c r="I20745"/>
      <c r="N20745"/>
      <c r="O20745" s="24"/>
      <c r="P20745"/>
      <c r="Q20745" s="24"/>
      <c r="R20745"/>
      <c r="S20745"/>
      <c r="T20745"/>
      <c r="U20745"/>
      <c r="X20745" s="60"/>
    </row>
    <row r="20746" spans="7:24" ht="15" customHeight="1">
      <c r="G20746"/>
      <c r="I20746"/>
      <c r="N20746"/>
      <c r="O20746" s="24"/>
      <c r="P20746"/>
      <c r="Q20746" s="24"/>
      <c r="R20746"/>
      <c r="S20746"/>
      <c r="T20746"/>
      <c r="U20746"/>
      <c r="X20746" s="60"/>
    </row>
    <row r="20747" spans="7:24" ht="15" customHeight="1">
      <c r="G20747"/>
      <c r="I20747"/>
      <c r="N20747"/>
      <c r="O20747" s="24"/>
      <c r="P20747"/>
      <c r="Q20747" s="24"/>
      <c r="R20747"/>
      <c r="S20747"/>
      <c r="T20747"/>
      <c r="U20747"/>
      <c r="X20747" s="60"/>
    </row>
    <row r="20748" spans="7:24" ht="15" customHeight="1">
      <c r="G20748"/>
      <c r="I20748"/>
      <c r="N20748"/>
      <c r="O20748" s="24"/>
      <c r="P20748"/>
      <c r="Q20748" s="24"/>
      <c r="R20748"/>
      <c r="S20748"/>
      <c r="T20748"/>
      <c r="U20748"/>
      <c r="X20748" s="60"/>
    </row>
    <row r="20749" spans="7:24" ht="15" customHeight="1">
      <c r="G20749"/>
      <c r="I20749"/>
      <c r="N20749"/>
      <c r="O20749" s="24"/>
      <c r="P20749"/>
      <c r="Q20749" s="24"/>
      <c r="R20749"/>
      <c r="S20749"/>
      <c r="T20749"/>
      <c r="U20749"/>
      <c r="X20749" s="60"/>
    </row>
    <row r="20750" spans="7:24" ht="15" customHeight="1">
      <c r="G20750"/>
      <c r="I20750"/>
      <c r="N20750"/>
      <c r="O20750" s="24"/>
      <c r="P20750"/>
      <c r="Q20750" s="24"/>
      <c r="R20750"/>
      <c r="S20750"/>
      <c r="T20750"/>
      <c r="U20750"/>
      <c r="X20750" s="60"/>
    </row>
    <row r="20751" spans="7:24" ht="15" customHeight="1">
      <c r="G20751"/>
      <c r="I20751"/>
      <c r="N20751"/>
      <c r="O20751" s="24"/>
      <c r="P20751"/>
      <c r="Q20751" s="24"/>
      <c r="R20751"/>
      <c r="S20751"/>
      <c r="T20751"/>
      <c r="U20751"/>
      <c r="X20751" s="60"/>
    </row>
    <row r="20752" spans="7:24" ht="15" customHeight="1">
      <c r="G20752"/>
      <c r="I20752"/>
      <c r="N20752"/>
      <c r="O20752" s="24"/>
      <c r="P20752"/>
      <c r="Q20752" s="24"/>
      <c r="R20752"/>
      <c r="S20752"/>
      <c r="T20752"/>
      <c r="U20752"/>
      <c r="X20752" s="60"/>
    </row>
    <row r="20753" spans="7:24" ht="15" customHeight="1">
      <c r="G20753"/>
      <c r="I20753"/>
      <c r="N20753"/>
      <c r="O20753" s="24"/>
      <c r="P20753"/>
      <c r="Q20753" s="24"/>
      <c r="R20753"/>
      <c r="S20753"/>
      <c r="T20753"/>
      <c r="U20753"/>
      <c r="X20753" s="60"/>
    </row>
    <row r="20754" spans="7:24" ht="15" customHeight="1">
      <c r="G20754"/>
      <c r="I20754"/>
      <c r="N20754"/>
      <c r="O20754" s="24"/>
      <c r="P20754"/>
      <c r="Q20754" s="24"/>
      <c r="R20754"/>
      <c r="S20754"/>
      <c r="T20754"/>
      <c r="U20754"/>
      <c r="X20754" s="60"/>
    </row>
    <row r="20755" spans="7:24" ht="15" customHeight="1">
      <c r="G20755"/>
      <c r="I20755"/>
      <c r="N20755"/>
      <c r="O20755" s="24"/>
      <c r="P20755"/>
      <c r="Q20755" s="24"/>
      <c r="R20755"/>
      <c r="S20755"/>
      <c r="T20755"/>
      <c r="U20755"/>
      <c r="X20755" s="60"/>
    </row>
    <row r="20756" spans="7:24" ht="15" customHeight="1">
      <c r="G20756"/>
      <c r="I20756"/>
      <c r="N20756"/>
      <c r="O20756" s="24"/>
      <c r="P20756"/>
      <c r="Q20756" s="24"/>
      <c r="R20756"/>
      <c r="S20756"/>
      <c r="T20756"/>
      <c r="U20756"/>
      <c r="X20756" s="60"/>
    </row>
    <row r="20757" spans="7:24" ht="15" customHeight="1">
      <c r="G20757"/>
      <c r="I20757"/>
      <c r="N20757"/>
      <c r="O20757" s="24"/>
      <c r="P20757"/>
      <c r="Q20757" s="24"/>
      <c r="R20757"/>
      <c r="S20757"/>
      <c r="T20757"/>
      <c r="U20757"/>
      <c r="X20757" s="60"/>
    </row>
    <row r="20758" spans="7:24" ht="15" customHeight="1">
      <c r="G20758"/>
      <c r="I20758"/>
      <c r="N20758"/>
      <c r="O20758" s="24"/>
      <c r="P20758"/>
      <c r="Q20758" s="24"/>
      <c r="R20758"/>
      <c r="S20758"/>
      <c r="T20758"/>
      <c r="U20758"/>
      <c r="X20758" s="60"/>
    </row>
    <row r="20759" spans="7:24" ht="15" customHeight="1">
      <c r="G20759"/>
      <c r="I20759"/>
      <c r="N20759"/>
      <c r="O20759" s="24"/>
      <c r="P20759"/>
      <c r="Q20759" s="24"/>
      <c r="R20759"/>
      <c r="S20759"/>
      <c r="T20759"/>
      <c r="U20759"/>
      <c r="X20759" s="60"/>
    </row>
    <row r="20760" spans="7:24" ht="15" customHeight="1">
      <c r="G20760"/>
      <c r="I20760"/>
      <c r="N20760"/>
      <c r="O20760" s="24"/>
      <c r="P20760"/>
      <c r="Q20760" s="24"/>
      <c r="R20760"/>
      <c r="S20760"/>
      <c r="T20760"/>
      <c r="U20760"/>
      <c r="X20760" s="60"/>
    </row>
    <row r="20761" spans="7:24" ht="15" customHeight="1">
      <c r="G20761"/>
      <c r="I20761"/>
      <c r="N20761"/>
      <c r="O20761" s="24"/>
      <c r="P20761"/>
      <c r="Q20761" s="24"/>
      <c r="R20761"/>
      <c r="S20761"/>
      <c r="T20761"/>
      <c r="U20761"/>
      <c r="X20761" s="60"/>
    </row>
    <row r="20762" spans="7:24" ht="15" customHeight="1">
      <c r="G20762"/>
      <c r="I20762"/>
      <c r="N20762"/>
      <c r="O20762" s="24"/>
      <c r="P20762"/>
      <c r="Q20762" s="24"/>
      <c r="R20762"/>
      <c r="S20762"/>
      <c r="T20762"/>
      <c r="U20762"/>
      <c r="X20762" s="60"/>
    </row>
    <row r="20763" spans="7:24" ht="15" customHeight="1">
      <c r="G20763"/>
      <c r="I20763"/>
      <c r="N20763"/>
      <c r="O20763" s="24"/>
      <c r="P20763"/>
      <c r="Q20763" s="24"/>
      <c r="R20763"/>
      <c r="S20763"/>
      <c r="T20763"/>
      <c r="U20763"/>
      <c r="X20763" s="60"/>
    </row>
    <row r="20764" spans="7:24" ht="15" customHeight="1">
      <c r="G20764"/>
      <c r="I20764"/>
      <c r="N20764"/>
      <c r="O20764" s="24"/>
      <c r="P20764"/>
      <c r="Q20764" s="24"/>
      <c r="R20764"/>
      <c r="S20764"/>
      <c r="T20764"/>
      <c r="U20764"/>
      <c r="X20764" s="60"/>
    </row>
    <row r="20765" spans="7:24" ht="15" customHeight="1">
      <c r="G20765"/>
      <c r="I20765"/>
      <c r="N20765"/>
      <c r="O20765" s="24"/>
      <c r="P20765"/>
      <c r="Q20765" s="24"/>
      <c r="R20765"/>
      <c r="S20765"/>
      <c r="T20765"/>
      <c r="U20765"/>
      <c r="X20765" s="60"/>
    </row>
    <row r="20766" spans="7:24" ht="15" customHeight="1">
      <c r="G20766"/>
      <c r="I20766"/>
      <c r="N20766"/>
      <c r="O20766" s="24"/>
      <c r="P20766"/>
      <c r="Q20766" s="24"/>
      <c r="R20766"/>
      <c r="S20766"/>
      <c r="T20766"/>
      <c r="U20766"/>
      <c r="X20766" s="60"/>
    </row>
    <row r="20767" spans="7:24" ht="15" customHeight="1">
      <c r="G20767"/>
      <c r="I20767"/>
      <c r="N20767"/>
      <c r="O20767" s="24"/>
      <c r="P20767"/>
      <c r="Q20767" s="24"/>
      <c r="R20767"/>
      <c r="S20767"/>
      <c r="T20767"/>
      <c r="U20767"/>
      <c r="X20767" s="60"/>
    </row>
    <row r="20768" spans="7:24" ht="15" customHeight="1">
      <c r="G20768"/>
      <c r="I20768"/>
      <c r="N20768"/>
      <c r="O20768" s="24"/>
      <c r="P20768"/>
      <c r="Q20768" s="24"/>
      <c r="R20768"/>
      <c r="S20768"/>
      <c r="T20768"/>
      <c r="U20768"/>
      <c r="X20768" s="60"/>
    </row>
    <row r="20769" spans="7:24" ht="15" customHeight="1">
      <c r="G20769"/>
      <c r="I20769"/>
      <c r="N20769"/>
      <c r="O20769" s="24"/>
      <c r="P20769"/>
      <c r="Q20769" s="24"/>
      <c r="R20769"/>
      <c r="S20769"/>
      <c r="T20769"/>
      <c r="U20769"/>
      <c r="X20769" s="60"/>
    </row>
    <row r="20770" spans="7:24" ht="15" customHeight="1">
      <c r="G20770"/>
      <c r="I20770"/>
      <c r="N20770"/>
      <c r="O20770" s="24"/>
      <c r="P20770"/>
      <c r="Q20770" s="24"/>
      <c r="R20770"/>
      <c r="S20770"/>
      <c r="T20770"/>
      <c r="U20770"/>
      <c r="X20770" s="60"/>
    </row>
    <row r="20771" spans="7:24" ht="15" customHeight="1">
      <c r="G20771"/>
      <c r="I20771"/>
      <c r="N20771"/>
      <c r="O20771" s="24"/>
      <c r="P20771"/>
      <c r="Q20771" s="24"/>
      <c r="R20771"/>
      <c r="S20771"/>
      <c r="T20771"/>
      <c r="U20771"/>
      <c r="X20771" s="60"/>
    </row>
    <row r="20772" spans="7:24" ht="15" customHeight="1">
      <c r="G20772"/>
      <c r="I20772"/>
      <c r="N20772"/>
      <c r="O20772" s="24"/>
      <c r="P20772"/>
      <c r="Q20772" s="24"/>
      <c r="R20772"/>
      <c r="S20772"/>
      <c r="T20772"/>
      <c r="U20772"/>
      <c r="X20772" s="60"/>
    </row>
    <row r="20773" spans="7:24" ht="15" customHeight="1">
      <c r="G20773"/>
      <c r="I20773"/>
      <c r="N20773"/>
      <c r="O20773" s="24"/>
      <c r="P20773"/>
      <c r="Q20773" s="24"/>
      <c r="R20773"/>
      <c r="S20773"/>
      <c r="T20773"/>
      <c r="U20773"/>
      <c r="X20773" s="60"/>
    </row>
    <row r="20774" spans="7:24" ht="15" customHeight="1">
      <c r="G20774"/>
      <c r="I20774"/>
      <c r="N20774"/>
      <c r="O20774" s="24"/>
      <c r="P20774"/>
      <c r="Q20774" s="24"/>
      <c r="R20774"/>
      <c r="S20774"/>
      <c r="T20774"/>
      <c r="U20774"/>
      <c r="X20774" s="60"/>
    </row>
    <row r="20775" spans="7:24" ht="15" customHeight="1">
      <c r="G20775"/>
      <c r="I20775"/>
      <c r="N20775"/>
      <c r="O20775" s="24"/>
      <c r="P20775"/>
      <c r="Q20775" s="24"/>
      <c r="R20775"/>
      <c r="S20775"/>
      <c r="T20775"/>
      <c r="U20775"/>
      <c r="X20775" s="60"/>
    </row>
    <row r="20776" spans="7:24" ht="15" customHeight="1">
      <c r="G20776"/>
      <c r="I20776"/>
      <c r="N20776"/>
      <c r="O20776" s="24"/>
      <c r="P20776"/>
      <c r="Q20776" s="24"/>
      <c r="R20776"/>
      <c r="S20776"/>
      <c r="T20776"/>
      <c r="U20776"/>
      <c r="X20776" s="60"/>
    </row>
    <row r="20777" spans="7:24" ht="15" customHeight="1">
      <c r="G20777"/>
      <c r="I20777"/>
      <c r="N20777"/>
      <c r="O20777" s="24"/>
      <c r="P20777"/>
      <c r="Q20777" s="24"/>
      <c r="R20777"/>
      <c r="S20777"/>
      <c r="T20777"/>
      <c r="U20777"/>
      <c r="X20777" s="60"/>
    </row>
    <row r="20778" spans="7:24" ht="15" customHeight="1">
      <c r="G20778"/>
      <c r="I20778"/>
      <c r="N20778"/>
      <c r="O20778" s="24"/>
      <c r="P20778"/>
      <c r="Q20778" s="24"/>
      <c r="R20778"/>
      <c r="S20778"/>
      <c r="T20778"/>
      <c r="U20778"/>
      <c r="X20778" s="60"/>
    </row>
    <row r="20779" spans="7:24" ht="15" customHeight="1">
      <c r="G20779"/>
      <c r="I20779"/>
      <c r="N20779"/>
      <c r="O20779" s="24"/>
      <c r="P20779"/>
      <c r="Q20779" s="24"/>
      <c r="R20779"/>
      <c r="S20779"/>
      <c r="T20779"/>
      <c r="U20779"/>
      <c r="X20779" s="60"/>
    </row>
    <row r="20780" spans="7:24" ht="15" customHeight="1">
      <c r="G20780"/>
      <c r="I20780"/>
      <c r="N20780"/>
      <c r="O20780" s="24"/>
      <c r="P20780"/>
      <c r="Q20780" s="24"/>
      <c r="R20780"/>
      <c r="S20780"/>
      <c r="T20780"/>
      <c r="U20780"/>
      <c r="X20780" s="60"/>
    </row>
    <row r="20781" spans="7:24" ht="15" customHeight="1">
      <c r="G20781"/>
      <c r="I20781"/>
      <c r="N20781"/>
      <c r="O20781" s="24"/>
      <c r="P20781"/>
      <c r="Q20781" s="24"/>
      <c r="R20781"/>
      <c r="S20781"/>
      <c r="T20781"/>
      <c r="U20781"/>
      <c r="X20781" s="60"/>
    </row>
    <row r="20782" spans="7:24" ht="15" customHeight="1">
      <c r="G20782"/>
      <c r="I20782"/>
      <c r="N20782"/>
      <c r="O20782" s="24"/>
      <c r="P20782"/>
      <c r="Q20782" s="24"/>
      <c r="R20782"/>
      <c r="S20782"/>
      <c r="T20782"/>
      <c r="U20782"/>
      <c r="X20782" s="60"/>
    </row>
    <row r="20783" spans="7:24" ht="15" customHeight="1">
      <c r="G20783"/>
      <c r="I20783"/>
      <c r="N20783"/>
      <c r="O20783" s="24"/>
      <c r="P20783"/>
      <c r="Q20783" s="24"/>
      <c r="R20783"/>
      <c r="S20783"/>
      <c r="T20783"/>
      <c r="U20783"/>
      <c r="X20783" s="60"/>
    </row>
    <row r="20784" spans="7:24" ht="15" customHeight="1">
      <c r="G20784"/>
      <c r="I20784"/>
      <c r="N20784"/>
      <c r="O20784" s="24"/>
      <c r="P20784"/>
      <c r="Q20784" s="24"/>
      <c r="R20784"/>
      <c r="S20784"/>
      <c r="T20784"/>
      <c r="U20784"/>
      <c r="X20784" s="60"/>
    </row>
    <row r="20785" spans="7:24" ht="15" customHeight="1">
      <c r="G20785"/>
      <c r="I20785"/>
      <c r="N20785"/>
      <c r="O20785" s="24"/>
      <c r="P20785"/>
      <c r="Q20785" s="24"/>
      <c r="R20785"/>
      <c r="S20785"/>
      <c r="T20785"/>
      <c r="U20785"/>
      <c r="X20785" s="60"/>
    </row>
    <row r="20786" spans="7:24" ht="15" customHeight="1">
      <c r="G20786"/>
      <c r="I20786"/>
      <c r="N20786"/>
      <c r="O20786" s="24"/>
      <c r="P20786"/>
      <c r="Q20786" s="24"/>
      <c r="R20786"/>
      <c r="S20786"/>
      <c r="T20786"/>
      <c r="U20786"/>
      <c r="X20786" s="60"/>
    </row>
    <row r="20787" spans="7:24" ht="15" customHeight="1">
      <c r="G20787"/>
      <c r="I20787"/>
      <c r="N20787"/>
      <c r="O20787" s="24"/>
      <c r="P20787"/>
      <c r="Q20787" s="24"/>
      <c r="R20787"/>
      <c r="S20787"/>
      <c r="T20787"/>
      <c r="U20787"/>
      <c r="X20787" s="60"/>
    </row>
    <row r="20788" spans="7:24" ht="15" customHeight="1">
      <c r="G20788"/>
      <c r="I20788"/>
      <c r="N20788"/>
      <c r="O20788" s="24"/>
      <c r="P20788"/>
      <c r="Q20788" s="24"/>
      <c r="R20788"/>
      <c r="S20788"/>
      <c r="T20788"/>
      <c r="U20788"/>
      <c r="X20788" s="60"/>
    </row>
    <row r="20789" spans="7:24" ht="15" customHeight="1">
      <c r="G20789"/>
      <c r="I20789"/>
      <c r="N20789"/>
      <c r="O20789" s="24"/>
      <c r="P20789"/>
      <c r="Q20789" s="24"/>
      <c r="R20789"/>
      <c r="S20789"/>
      <c r="T20789"/>
      <c r="U20789"/>
      <c r="X20789" s="60"/>
    </row>
    <row r="20790" spans="7:24" ht="15" customHeight="1">
      <c r="G20790"/>
      <c r="I20790"/>
      <c r="N20790"/>
      <c r="O20790" s="24"/>
      <c r="P20790"/>
      <c r="Q20790" s="24"/>
      <c r="R20790"/>
      <c r="S20790"/>
      <c r="T20790"/>
      <c r="U20790"/>
      <c r="X20790" s="60"/>
    </row>
    <row r="20791" spans="7:24" ht="15" customHeight="1">
      <c r="G20791"/>
      <c r="I20791"/>
      <c r="N20791"/>
      <c r="O20791" s="24"/>
      <c r="P20791"/>
      <c r="Q20791" s="24"/>
      <c r="R20791"/>
      <c r="S20791"/>
      <c r="T20791"/>
      <c r="U20791"/>
      <c r="X20791" s="60"/>
    </row>
    <row r="20792" spans="7:24" ht="15" customHeight="1">
      <c r="G20792"/>
      <c r="I20792"/>
      <c r="N20792"/>
      <c r="O20792" s="24"/>
      <c r="P20792"/>
      <c r="Q20792" s="24"/>
      <c r="R20792"/>
      <c r="S20792"/>
      <c r="T20792"/>
      <c r="U20792"/>
      <c r="X20792" s="60"/>
    </row>
    <row r="20793" spans="7:24" ht="15" customHeight="1">
      <c r="G20793"/>
      <c r="I20793"/>
      <c r="N20793"/>
      <c r="O20793" s="24"/>
      <c r="P20793"/>
      <c r="Q20793" s="24"/>
      <c r="R20793"/>
      <c r="S20793"/>
      <c r="T20793"/>
      <c r="U20793"/>
      <c r="X20793" s="60"/>
    </row>
    <row r="20794" spans="7:24" ht="15" customHeight="1">
      <c r="G20794"/>
      <c r="I20794"/>
      <c r="N20794"/>
      <c r="O20794" s="24"/>
      <c r="P20794"/>
      <c r="Q20794" s="24"/>
      <c r="R20794"/>
      <c r="S20794"/>
      <c r="T20794"/>
      <c r="U20794"/>
      <c r="X20794" s="60"/>
    </row>
    <row r="20795" spans="7:24" ht="15" customHeight="1">
      <c r="G20795"/>
      <c r="I20795"/>
      <c r="N20795"/>
      <c r="O20795" s="24"/>
      <c r="P20795"/>
      <c r="Q20795" s="24"/>
      <c r="R20795"/>
      <c r="S20795"/>
      <c r="T20795"/>
      <c r="U20795"/>
      <c r="X20795" s="60"/>
    </row>
    <row r="20796" spans="7:24" ht="15" customHeight="1">
      <c r="G20796"/>
      <c r="I20796"/>
      <c r="N20796"/>
      <c r="O20796" s="24"/>
      <c r="P20796"/>
      <c r="Q20796" s="24"/>
      <c r="R20796"/>
      <c r="S20796"/>
      <c r="T20796"/>
      <c r="U20796"/>
      <c r="X20796" s="60"/>
    </row>
    <row r="20797" spans="7:24" ht="15" customHeight="1">
      <c r="G20797"/>
      <c r="I20797"/>
      <c r="N20797"/>
      <c r="O20797" s="24"/>
      <c r="P20797"/>
      <c r="Q20797" s="24"/>
      <c r="R20797"/>
      <c r="S20797"/>
      <c r="T20797"/>
      <c r="U20797"/>
      <c r="X20797" s="60"/>
    </row>
    <row r="20798" spans="7:24" ht="15" customHeight="1">
      <c r="G20798"/>
      <c r="I20798"/>
      <c r="N20798"/>
      <c r="O20798" s="24"/>
      <c r="P20798"/>
      <c r="Q20798" s="24"/>
      <c r="R20798"/>
      <c r="S20798"/>
      <c r="T20798"/>
      <c r="U20798"/>
      <c r="X20798" s="60"/>
    </row>
    <row r="20799" spans="7:24" ht="15" customHeight="1">
      <c r="G20799"/>
      <c r="I20799"/>
      <c r="N20799"/>
      <c r="O20799" s="24"/>
      <c r="P20799"/>
      <c r="Q20799" s="24"/>
      <c r="R20799"/>
      <c r="S20799"/>
      <c r="T20799"/>
      <c r="U20799"/>
      <c r="X20799" s="60"/>
    </row>
    <row r="20800" spans="7:24" ht="15" customHeight="1">
      <c r="G20800"/>
      <c r="I20800"/>
      <c r="N20800"/>
      <c r="O20800" s="24"/>
      <c r="P20800"/>
      <c r="Q20800" s="24"/>
      <c r="R20800"/>
      <c r="S20800"/>
      <c r="T20800"/>
      <c r="U20800"/>
      <c r="X20800" s="60"/>
    </row>
    <row r="20801" spans="7:24" ht="15" customHeight="1">
      <c r="G20801"/>
      <c r="I20801"/>
      <c r="N20801"/>
      <c r="O20801" s="24"/>
      <c r="P20801"/>
      <c r="Q20801" s="24"/>
      <c r="R20801"/>
      <c r="S20801"/>
      <c r="T20801"/>
      <c r="U20801"/>
      <c r="X20801" s="60"/>
    </row>
    <row r="20802" spans="7:24" ht="15" customHeight="1">
      <c r="G20802"/>
      <c r="I20802"/>
      <c r="N20802"/>
      <c r="O20802" s="24"/>
      <c r="P20802"/>
      <c r="Q20802" s="24"/>
      <c r="R20802"/>
      <c r="S20802"/>
      <c r="T20802"/>
      <c r="U20802"/>
      <c r="X20802" s="60"/>
    </row>
    <row r="20803" spans="7:24" ht="15" customHeight="1">
      <c r="G20803"/>
      <c r="I20803"/>
      <c r="N20803"/>
      <c r="O20803" s="24"/>
      <c r="P20803"/>
      <c r="Q20803" s="24"/>
      <c r="R20803"/>
      <c r="S20803"/>
      <c r="T20803"/>
      <c r="U20803"/>
      <c r="X20803" s="60"/>
    </row>
    <row r="20804" spans="7:24" ht="15" customHeight="1">
      <c r="G20804"/>
      <c r="I20804"/>
      <c r="N20804"/>
      <c r="O20804" s="24"/>
      <c r="P20804"/>
      <c r="Q20804" s="24"/>
      <c r="R20804"/>
      <c r="S20804"/>
      <c r="T20804"/>
      <c r="U20804"/>
      <c r="X20804" s="60"/>
    </row>
    <row r="20805" spans="7:24" ht="15" customHeight="1">
      <c r="G20805"/>
      <c r="I20805"/>
      <c r="N20805"/>
      <c r="O20805" s="24"/>
      <c r="P20805"/>
      <c r="Q20805" s="24"/>
      <c r="R20805"/>
      <c r="S20805"/>
      <c r="T20805"/>
      <c r="U20805"/>
      <c r="X20805" s="60"/>
    </row>
    <row r="20806" spans="7:24" ht="15" customHeight="1">
      <c r="G20806"/>
      <c r="I20806"/>
      <c r="N20806"/>
      <c r="O20806" s="24"/>
      <c r="P20806"/>
      <c r="Q20806" s="24"/>
      <c r="R20806"/>
      <c r="S20806"/>
      <c r="T20806"/>
      <c r="U20806"/>
      <c r="X20806" s="60"/>
    </row>
    <row r="20807" spans="7:24" ht="15" customHeight="1">
      <c r="G20807"/>
      <c r="I20807"/>
      <c r="N20807"/>
      <c r="O20807" s="24"/>
      <c r="P20807"/>
      <c r="Q20807" s="24"/>
      <c r="R20807"/>
      <c r="S20807"/>
      <c r="T20807"/>
      <c r="U20807"/>
      <c r="X20807" s="60"/>
    </row>
    <row r="20808" spans="7:24" ht="15" customHeight="1">
      <c r="G20808"/>
      <c r="I20808"/>
      <c r="N20808"/>
      <c r="O20808" s="24"/>
      <c r="P20808"/>
      <c r="Q20808" s="24"/>
      <c r="R20808"/>
      <c r="S20808"/>
      <c r="T20808"/>
      <c r="U20808"/>
      <c r="X20808" s="60"/>
    </row>
    <row r="20809" spans="7:24" ht="15" customHeight="1">
      <c r="G20809"/>
      <c r="I20809"/>
      <c r="N20809"/>
      <c r="O20809" s="24"/>
      <c r="P20809"/>
      <c r="Q20809" s="24"/>
      <c r="R20809"/>
      <c r="S20809"/>
      <c r="T20809"/>
      <c r="U20809"/>
      <c r="X20809" s="60"/>
    </row>
    <row r="20810" spans="7:24" ht="15" customHeight="1">
      <c r="G20810"/>
      <c r="I20810"/>
      <c r="N20810"/>
      <c r="O20810" s="24"/>
      <c r="P20810"/>
      <c r="Q20810" s="24"/>
      <c r="R20810"/>
      <c r="S20810"/>
      <c r="T20810"/>
      <c r="U20810"/>
      <c r="X20810" s="60"/>
    </row>
    <row r="20811" spans="7:24" ht="15" customHeight="1">
      <c r="G20811"/>
      <c r="I20811"/>
      <c r="N20811"/>
      <c r="O20811" s="24"/>
      <c r="P20811"/>
      <c r="Q20811" s="24"/>
      <c r="R20811"/>
      <c r="S20811"/>
      <c r="T20811"/>
      <c r="U20811"/>
      <c r="X20811" s="60"/>
    </row>
    <row r="20812" spans="7:24" ht="15" customHeight="1">
      <c r="G20812"/>
      <c r="I20812"/>
      <c r="N20812"/>
      <c r="O20812" s="24"/>
      <c r="P20812"/>
      <c r="Q20812" s="24"/>
      <c r="R20812"/>
      <c r="S20812"/>
      <c r="T20812"/>
      <c r="U20812"/>
      <c r="X20812" s="60"/>
    </row>
    <row r="20813" spans="7:24" ht="15" customHeight="1">
      <c r="G20813"/>
      <c r="I20813"/>
      <c r="N20813"/>
      <c r="O20813" s="24"/>
      <c r="P20813"/>
      <c r="Q20813" s="24"/>
      <c r="R20813"/>
      <c r="S20813"/>
      <c r="T20813"/>
      <c r="U20813"/>
      <c r="X20813" s="60"/>
    </row>
    <row r="20814" spans="7:24" ht="15" customHeight="1">
      <c r="G20814"/>
      <c r="I20814"/>
      <c r="N20814"/>
      <c r="O20814" s="24"/>
      <c r="P20814"/>
      <c r="Q20814" s="24"/>
      <c r="R20814"/>
      <c r="S20814"/>
      <c r="T20814"/>
      <c r="U20814"/>
      <c r="X20814" s="60"/>
    </row>
    <row r="20815" spans="7:24" ht="15" customHeight="1">
      <c r="G20815"/>
      <c r="I20815"/>
      <c r="N20815"/>
      <c r="O20815" s="24"/>
      <c r="P20815"/>
      <c r="Q20815" s="24"/>
      <c r="R20815"/>
      <c r="S20815"/>
      <c r="T20815"/>
      <c r="U20815"/>
      <c r="X20815" s="60"/>
    </row>
    <row r="20816" spans="7:24" ht="15" customHeight="1">
      <c r="G20816"/>
      <c r="I20816"/>
      <c r="N20816"/>
      <c r="O20816" s="24"/>
      <c r="P20816"/>
      <c r="Q20816" s="24"/>
      <c r="R20816"/>
      <c r="S20816"/>
      <c r="T20816"/>
      <c r="U20816"/>
      <c r="X20816" s="60"/>
    </row>
    <row r="20817" spans="7:24" ht="15" customHeight="1">
      <c r="G20817"/>
      <c r="I20817"/>
      <c r="N20817"/>
      <c r="O20817" s="24"/>
      <c r="P20817"/>
      <c r="Q20817" s="24"/>
      <c r="R20817"/>
      <c r="S20817"/>
      <c r="T20817"/>
      <c r="U20817"/>
      <c r="X20817" s="60"/>
    </row>
    <row r="20818" spans="7:24" ht="15" customHeight="1">
      <c r="G20818"/>
      <c r="I20818"/>
      <c r="N20818"/>
      <c r="O20818" s="24"/>
      <c r="P20818"/>
      <c r="Q20818" s="24"/>
      <c r="R20818"/>
      <c r="S20818"/>
      <c r="T20818"/>
      <c r="U20818"/>
      <c r="X20818" s="60"/>
    </row>
    <row r="20819" spans="7:24" ht="15" customHeight="1">
      <c r="G20819"/>
      <c r="I20819"/>
      <c r="N20819"/>
      <c r="O20819" s="24"/>
      <c r="P20819"/>
      <c r="Q20819" s="24"/>
      <c r="R20819"/>
      <c r="S20819"/>
      <c r="T20819"/>
      <c r="U20819"/>
      <c r="X20819" s="60"/>
    </row>
    <row r="20820" spans="7:24" ht="15" customHeight="1">
      <c r="G20820"/>
      <c r="I20820"/>
      <c r="N20820"/>
      <c r="O20820" s="24"/>
      <c r="P20820"/>
      <c r="Q20820" s="24"/>
      <c r="R20820"/>
      <c r="S20820"/>
      <c r="T20820"/>
      <c r="U20820"/>
      <c r="X20820" s="60"/>
    </row>
    <row r="20821" spans="7:24" ht="15" customHeight="1">
      <c r="G20821"/>
      <c r="I20821"/>
      <c r="N20821"/>
      <c r="O20821" s="24"/>
      <c r="P20821"/>
      <c r="Q20821" s="24"/>
      <c r="R20821"/>
      <c r="S20821"/>
      <c r="T20821"/>
      <c r="U20821"/>
      <c r="X20821" s="60"/>
    </row>
    <row r="20822" spans="7:24" ht="15" customHeight="1">
      <c r="G20822"/>
      <c r="I20822"/>
      <c r="N20822"/>
      <c r="O20822" s="24"/>
      <c r="P20822"/>
      <c r="Q20822" s="24"/>
      <c r="R20822"/>
      <c r="S20822"/>
      <c r="T20822"/>
      <c r="U20822"/>
      <c r="X20822" s="60"/>
    </row>
    <row r="20823" spans="7:24" ht="15" customHeight="1">
      <c r="G20823"/>
      <c r="I20823"/>
      <c r="N20823"/>
      <c r="O20823" s="24"/>
      <c r="P20823"/>
      <c r="Q20823" s="24"/>
      <c r="R20823"/>
      <c r="S20823"/>
      <c r="T20823"/>
      <c r="U20823"/>
      <c r="X20823" s="60"/>
    </row>
    <row r="20824" spans="7:24" ht="15" customHeight="1">
      <c r="G20824"/>
      <c r="I20824"/>
      <c r="N20824"/>
      <c r="O20824" s="24"/>
      <c r="P20824"/>
      <c r="Q20824" s="24"/>
      <c r="R20824"/>
      <c r="S20824"/>
      <c r="T20824"/>
      <c r="U20824"/>
      <c r="X20824" s="60"/>
    </row>
    <row r="20825" spans="7:24" ht="15" customHeight="1">
      <c r="G20825"/>
      <c r="I20825"/>
      <c r="N20825"/>
      <c r="O20825" s="24"/>
      <c r="P20825"/>
      <c r="Q20825" s="24"/>
      <c r="R20825"/>
      <c r="S20825"/>
      <c r="T20825"/>
      <c r="U20825"/>
      <c r="X20825" s="60"/>
    </row>
    <row r="20826" spans="7:24" ht="15" customHeight="1">
      <c r="G20826"/>
      <c r="I20826"/>
      <c r="N20826"/>
      <c r="O20826" s="24"/>
      <c r="P20826"/>
      <c r="Q20826" s="24"/>
      <c r="R20826"/>
      <c r="S20826"/>
      <c r="T20826"/>
      <c r="U20826"/>
      <c r="X20826" s="60"/>
    </row>
    <row r="20827" spans="7:24" ht="15" customHeight="1">
      <c r="G20827"/>
      <c r="I20827"/>
      <c r="N20827"/>
      <c r="O20827" s="24"/>
      <c r="P20827"/>
      <c r="Q20827" s="24"/>
      <c r="R20827"/>
      <c r="S20827"/>
      <c r="T20827"/>
      <c r="U20827"/>
      <c r="X20827" s="60"/>
    </row>
    <row r="20828" spans="7:24" ht="15" customHeight="1">
      <c r="G20828"/>
      <c r="I20828"/>
      <c r="N20828"/>
      <c r="O20828" s="24"/>
      <c r="P20828"/>
      <c r="Q20828" s="24"/>
      <c r="R20828"/>
      <c r="S20828"/>
      <c r="T20828"/>
      <c r="U20828"/>
      <c r="X20828" s="60"/>
    </row>
    <row r="20829" spans="7:24" ht="15" customHeight="1">
      <c r="G20829"/>
      <c r="I20829"/>
      <c r="N20829"/>
      <c r="O20829" s="24"/>
      <c r="P20829"/>
      <c r="Q20829" s="24"/>
      <c r="R20829"/>
      <c r="S20829"/>
      <c r="T20829"/>
      <c r="U20829"/>
      <c r="X20829" s="60"/>
    </row>
    <row r="20830" spans="7:24" ht="15" customHeight="1">
      <c r="G20830"/>
      <c r="I20830"/>
      <c r="N20830"/>
      <c r="O20830" s="24"/>
      <c r="P20830"/>
      <c r="Q20830" s="24"/>
      <c r="R20830"/>
      <c r="S20830"/>
      <c r="T20830"/>
      <c r="U20830"/>
      <c r="X20830" s="60"/>
    </row>
    <row r="20831" spans="7:24" ht="15" customHeight="1">
      <c r="G20831"/>
      <c r="I20831"/>
      <c r="N20831"/>
      <c r="O20831" s="24"/>
      <c r="P20831"/>
      <c r="Q20831" s="24"/>
      <c r="R20831"/>
      <c r="S20831"/>
      <c r="T20831"/>
      <c r="U20831"/>
      <c r="X20831" s="60"/>
    </row>
    <row r="20832" spans="7:24" ht="15" customHeight="1">
      <c r="G20832"/>
      <c r="I20832"/>
      <c r="N20832"/>
      <c r="O20832" s="24"/>
      <c r="P20832"/>
      <c r="Q20832" s="24"/>
      <c r="R20832"/>
      <c r="S20832"/>
      <c r="T20832"/>
      <c r="U20832"/>
      <c r="X20832" s="60"/>
    </row>
    <row r="20833" spans="7:24" ht="15" customHeight="1">
      <c r="G20833"/>
      <c r="I20833"/>
      <c r="N20833"/>
      <c r="O20833" s="24"/>
      <c r="P20833"/>
      <c r="Q20833" s="24"/>
      <c r="R20833"/>
      <c r="S20833"/>
      <c r="T20833"/>
      <c r="U20833"/>
      <c r="X20833" s="60"/>
    </row>
    <row r="20834" spans="7:24" ht="15" customHeight="1">
      <c r="G20834"/>
      <c r="I20834"/>
      <c r="N20834"/>
      <c r="O20834" s="24"/>
      <c r="P20834"/>
      <c r="Q20834" s="24"/>
      <c r="R20834"/>
      <c r="S20834"/>
      <c r="T20834"/>
      <c r="U20834"/>
      <c r="X20834" s="60"/>
    </row>
    <row r="20835" spans="7:24" ht="15" customHeight="1">
      <c r="G20835"/>
      <c r="I20835"/>
      <c r="N20835"/>
      <c r="O20835" s="24"/>
      <c r="P20835"/>
      <c r="Q20835" s="24"/>
      <c r="R20835"/>
      <c r="S20835"/>
      <c r="T20835"/>
      <c r="U20835"/>
      <c r="X20835" s="60"/>
    </row>
    <row r="20836" spans="7:24" ht="15" customHeight="1">
      <c r="G20836"/>
      <c r="I20836"/>
      <c r="N20836"/>
      <c r="O20836" s="24"/>
      <c r="P20836"/>
      <c r="Q20836" s="24"/>
      <c r="R20836"/>
      <c r="S20836"/>
      <c r="T20836"/>
      <c r="U20836"/>
      <c r="X20836" s="60"/>
    </row>
    <row r="20837" spans="7:24" ht="15" customHeight="1">
      <c r="G20837"/>
      <c r="I20837"/>
      <c r="N20837"/>
      <c r="O20837" s="24"/>
      <c r="P20837"/>
      <c r="Q20837" s="24"/>
      <c r="R20837"/>
      <c r="S20837"/>
      <c r="T20837"/>
      <c r="U20837"/>
      <c r="X20837" s="60"/>
    </row>
    <row r="20838" spans="7:24" ht="15" customHeight="1">
      <c r="G20838"/>
      <c r="I20838"/>
      <c r="N20838"/>
      <c r="O20838" s="24"/>
      <c r="P20838"/>
      <c r="Q20838" s="24"/>
      <c r="R20838"/>
      <c r="S20838"/>
      <c r="T20838"/>
      <c r="U20838"/>
      <c r="X20838" s="60"/>
    </row>
    <row r="20839" spans="7:24" ht="15" customHeight="1">
      <c r="G20839"/>
      <c r="I20839"/>
      <c r="N20839"/>
      <c r="O20839" s="24"/>
      <c r="P20839"/>
      <c r="Q20839" s="24"/>
      <c r="R20839"/>
      <c r="S20839"/>
      <c r="T20839"/>
      <c r="U20839"/>
      <c r="X20839" s="60"/>
    </row>
    <row r="20840" spans="7:24" ht="15" customHeight="1">
      <c r="G20840"/>
      <c r="I20840"/>
      <c r="N20840"/>
      <c r="O20840" s="24"/>
      <c r="P20840"/>
      <c r="Q20840" s="24"/>
      <c r="R20840"/>
      <c r="S20840"/>
      <c r="T20840"/>
      <c r="U20840"/>
      <c r="X20840" s="60"/>
    </row>
    <row r="20841" spans="7:24" ht="15" customHeight="1">
      <c r="G20841"/>
      <c r="I20841"/>
      <c r="N20841"/>
      <c r="O20841" s="24"/>
      <c r="P20841"/>
      <c r="Q20841" s="24"/>
      <c r="R20841"/>
      <c r="S20841"/>
      <c r="T20841"/>
      <c r="U20841"/>
      <c r="X20841" s="60"/>
    </row>
    <row r="20842" spans="7:24" ht="15" customHeight="1">
      <c r="G20842"/>
      <c r="I20842"/>
      <c r="N20842"/>
      <c r="O20842" s="24"/>
      <c r="P20842"/>
      <c r="Q20842" s="24"/>
      <c r="R20842"/>
      <c r="S20842"/>
      <c r="T20842"/>
      <c r="U20842"/>
      <c r="X20842" s="60"/>
    </row>
    <row r="20843" spans="7:24" ht="15" customHeight="1">
      <c r="G20843"/>
      <c r="I20843"/>
      <c r="N20843"/>
      <c r="O20843" s="24"/>
      <c r="P20843"/>
      <c r="Q20843" s="24"/>
      <c r="R20843"/>
      <c r="S20843"/>
      <c r="T20843"/>
      <c r="U20843"/>
      <c r="X20843" s="60"/>
    </row>
    <row r="20844" spans="7:24" ht="15" customHeight="1">
      <c r="G20844"/>
      <c r="I20844"/>
      <c r="N20844"/>
      <c r="O20844" s="24"/>
      <c r="P20844"/>
      <c r="Q20844" s="24"/>
      <c r="R20844"/>
      <c r="S20844"/>
      <c r="T20844"/>
      <c r="U20844"/>
      <c r="X20844" s="60"/>
    </row>
    <row r="20845" spans="7:24" ht="15" customHeight="1">
      <c r="G20845"/>
      <c r="I20845"/>
      <c r="N20845"/>
      <c r="O20845" s="24"/>
      <c r="P20845"/>
      <c r="Q20845" s="24"/>
      <c r="R20845"/>
      <c r="S20845"/>
      <c r="T20845"/>
      <c r="U20845"/>
      <c r="X20845" s="60"/>
    </row>
    <row r="20846" spans="7:24" ht="15" customHeight="1">
      <c r="G20846"/>
      <c r="I20846"/>
      <c r="N20846"/>
      <c r="O20846" s="24"/>
      <c r="P20846"/>
      <c r="Q20846" s="24"/>
      <c r="R20846"/>
      <c r="S20846"/>
      <c r="T20846"/>
      <c r="U20846"/>
      <c r="X20846" s="60"/>
    </row>
    <row r="20847" spans="7:24" ht="15" customHeight="1">
      <c r="G20847"/>
      <c r="I20847"/>
      <c r="N20847"/>
      <c r="O20847" s="24"/>
      <c r="P20847"/>
      <c r="Q20847" s="24"/>
      <c r="R20847"/>
      <c r="S20847"/>
      <c r="T20847"/>
      <c r="U20847"/>
      <c r="X20847" s="60"/>
    </row>
    <row r="20848" spans="7:24" ht="15" customHeight="1">
      <c r="G20848"/>
      <c r="I20848"/>
      <c r="N20848"/>
      <c r="O20848" s="24"/>
      <c r="P20848"/>
      <c r="Q20848" s="24"/>
      <c r="R20848"/>
      <c r="S20848"/>
      <c r="T20848"/>
      <c r="U20848"/>
      <c r="X20848" s="60"/>
    </row>
    <row r="20849" spans="7:24" ht="15" customHeight="1">
      <c r="G20849"/>
      <c r="I20849"/>
      <c r="N20849"/>
      <c r="O20849" s="24"/>
      <c r="P20849"/>
      <c r="Q20849" s="24"/>
      <c r="R20849"/>
      <c r="S20849"/>
      <c r="T20849"/>
      <c r="U20849"/>
      <c r="X20849" s="60"/>
    </row>
    <row r="20850" spans="7:24" ht="15" customHeight="1">
      <c r="G20850"/>
      <c r="I20850"/>
      <c r="N20850"/>
      <c r="O20850" s="24"/>
      <c r="P20850"/>
      <c r="Q20850" s="24"/>
      <c r="R20850"/>
      <c r="S20850"/>
      <c r="T20850"/>
      <c r="U20850"/>
      <c r="X20850" s="60"/>
    </row>
    <row r="20851" spans="7:24" ht="15" customHeight="1">
      <c r="G20851"/>
      <c r="I20851"/>
      <c r="N20851"/>
      <c r="O20851" s="24"/>
      <c r="P20851"/>
      <c r="Q20851" s="24"/>
      <c r="R20851"/>
      <c r="S20851"/>
      <c r="T20851"/>
      <c r="U20851"/>
      <c r="X20851" s="60"/>
    </row>
    <row r="20852" spans="7:24" ht="15" customHeight="1">
      <c r="G20852"/>
      <c r="I20852"/>
      <c r="N20852"/>
      <c r="O20852" s="24"/>
      <c r="P20852"/>
      <c r="Q20852" s="24"/>
      <c r="R20852"/>
      <c r="S20852"/>
      <c r="T20852"/>
      <c r="U20852"/>
      <c r="X20852" s="60"/>
    </row>
    <row r="20853" spans="7:24" ht="15" customHeight="1">
      <c r="G20853"/>
      <c r="I20853"/>
      <c r="N20853"/>
      <c r="O20853" s="24"/>
      <c r="P20853"/>
      <c r="Q20853" s="24"/>
      <c r="R20853"/>
      <c r="S20853"/>
      <c r="T20853"/>
      <c r="U20853"/>
      <c r="X20853" s="60"/>
    </row>
    <row r="20854" spans="7:24" ht="15" customHeight="1">
      <c r="G20854"/>
      <c r="I20854"/>
      <c r="N20854"/>
      <c r="O20854" s="24"/>
      <c r="P20854"/>
      <c r="Q20854" s="24"/>
      <c r="R20854"/>
      <c r="S20854"/>
      <c r="T20854"/>
      <c r="U20854"/>
      <c r="X20854" s="60"/>
    </row>
    <row r="20855" spans="7:24" ht="15" customHeight="1">
      <c r="G20855"/>
      <c r="I20855"/>
      <c r="N20855"/>
      <c r="O20855" s="24"/>
      <c r="P20855"/>
      <c r="Q20855" s="24"/>
      <c r="R20855"/>
      <c r="S20855"/>
      <c r="T20855"/>
      <c r="U20855"/>
      <c r="X20855" s="60"/>
    </row>
    <row r="20856" spans="7:24" ht="15" customHeight="1">
      <c r="G20856"/>
      <c r="I20856"/>
      <c r="N20856"/>
      <c r="O20856" s="24"/>
      <c r="P20856"/>
      <c r="Q20856" s="24"/>
      <c r="R20856"/>
      <c r="S20856"/>
      <c r="T20856"/>
      <c r="U20856"/>
      <c r="X20856" s="60"/>
    </row>
    <row r="20857" spans="7:24" ht="15" customHeight="1">
      <c r="G20857"/>
      <c r="I20857"/>
      <c r="N20857"/>
      <c r="O20857" s="24"/>
      <c r="P20857"/>
      <c r="Q20857" s="24"/>
      <c r="R20857"/>
      <c r="S20857"/>
      <c r="T20857"/>
      <c r="U20857"/>
      <c r="X20857" s="60"/>
    </row>
    <row r="20858" spans="7:24" ht="15" customHeight="1">
      <c r="G20858"/>
      <c r="I20858"/>
      <c r="N20858"/>
      <c r="O20858" s="24"/>
      <c r="P20858"/>
      <c r="Q20858" s="24"/>
      <c r="R20858"/>
      <c r="S20858"/>
      <c r="T20858"/>
      <c r="U20858"/>
      <c r="X20858" s="60"/>
    </row>
    <row r="20859" spans="7:24" ht="15" customHeight="1">
      <c r="G20859"/>
      <c r="I20859"/>
      <c r="N20859"/>
      <c r="O20859" s="24"/>
      <c r="P20859"/>
      <c r="Q20859" s="24"/>
      <c r="R20859"/>
      <c r="S20859"/>
      <c r="T20859"/>
      <c r="U20859"/>
      <c r="X20859" s="60"/>
    </row>
    <row r="20860" spans="7:24" ht="15" customHeight="1">
      <c r="G20860"/>
      <c r="I20860"/>
      <c r="N20860"/>
      <c r="O20860" s="24"/>
      <c r="P20860"/>
      <c r="Q20860" s="24"/>
      <c r="R20860"/>
      <c r="S20860"/>
      <c r="T20860"/>
      <c r="U20860"/>
      <c r="X20860" s="60"/>
    </row>
    <row r="20861" spans="7:24" ht="15" customHeight="1">
      <c r="G20861"/>
      <c r="I20861"/>
      <c r="N20861"/>
      <c r="O20861" s="24"/>
      <c r="P20861"/>
      <c r="Q20861" s="24"/>
      <c r="R20861"/>
      <c r="S20861"/>
      <c r="T20861"/>
      <c r="U20861"/>
      <c r="X20861" s="60"/>
    </row>
    <row r="20862" spans="7:24" ht="15" customHeight="1">
      <c r="G20862"/>
      <c r="I20862"/>
      <c r="N20862"/>
      <c r="O20862" s="24"/>
      <c r="P20862"/>
      <c r="Q20862" s="24"/>
      <c r="R20862"/>
      <c r="S20862"/>
      <c r="T20862"/>
      <c r="U20862"/>
      <c r="X20862" s="60"/>
    </row>
    <row r="20863" spans="7:24" ht="15" customHeight="1">
      <c r="G20863"/>
      <c r="I20863"/>
      <c r="N20863"/>
      <c r="O20863" s="24"/>
      <c r="P20863"/>
      <c r="Q20863" s="24"/>
      <c r="R20863"/>
      <c r="S20863"/>
      <c r="T20863"/>
      <c r="U20863"/>
      <c r="X20863" s="60"/>
    </row>
    <row r="20864" spans="7:24" ht="15" customHeight="1">
      <c r="G20864"/>
      <c r="I20864"/>
      <c r="N20864"/>
      <c r="O20864" s="24"/>
      <c r="P20864"/>
      <c r="Q20864" s="24"/>
      <c r="R20864"/>
      <c r="S20864"/>
      <c r="T20864"/>
      <c r="U20864"/>
      <c r="X20864" s="60"/>
    </row>
    <row r="20865" spans="7:24" ht="15" customHeight="1">
      <c r="G20865"/>
      <c r="I20865"/>
      <c r="N20865"/>
      <c r="O20865" s="24"/>
      <c r="P20865"/>
      <c r="Q20865" s="24"/>
      <c r="R20865"/>
      <c r="S20865"/>
      <c r="T20865"/>
      <c r="U20865"/>
      <c r="X20865" s="60"/>
    </row>
    <row r="20866" spans="7:24" ht="15" customHeight="1">
      <c r="G20866"/>
      <c r="I20866"/>
      <c r="N20866"/>
      <c r="O20866" s="24"/>
      <c r="P20866"/>
      <c r="Q20866" s="24"/>
      <c r="R20866"/>
      <c r="S20866"/>
      <c r="T20866"/>
      <c r="U20866"/>
      <c r="X20866" s="60"/>
    </row>
    <row r="20867" spans="7:24" ht="15" customHeight="1">
      <c r="G20867"/>
      <c r="I20867"/>
      <c r="N20867"/>
      <c r="O20867" s="24"/>
      <c r="P20867"/>
      <c r="Q20867" s="24"/>
      <c r="R20867"/>
      <c r="S20867"/>
      <c r="T20867"/>
      <c r="U20867"/>
      <c r="X20867" s="60"/>
    </row>
    <row r="20868" spans="7:24" ht="15" customHeight="1">
      <c r="G20868"/>
      <c r="I20868"/>
      <c r="N20868"/>
      <c r="O20868" s="24"/>
      <c r="P20868"/>
      <c r="Q20868" s="24"/>
      <c r="R20868"/>
      <c r="S20868"/>
      <c r="T20868"/>
      <c r="U20868"/>
      <c r="X20868" s="60"/>
    </row>
    <row r="20869" spans="7:24" ht="15" customHeight="1">
      <c r="G20869"/>
      <c r="I20869"/>
      <c r="N20869"/>
      <c r="O20869" s="24"/>
      <c r="P20869"/>
      <c r="Q20869" s="24"/>
      <c r="R20869"/>
      <c r="S20869"/>
      <c r="T20869"/>
      <c r="U20869"/>
      <c r="X20869" s="60"/>
    </row>
    <row r="20870" spans="7:24" ht="15" customHeight="1">
      <c r="G20870"/>
      <c r="I20870"/>
      <c r="N20870"/>
      <c r="O20870" s="24"/>
      <c r="P20870"/>
      <c r="Q20870" s="24"/>
      <c r="R20870"/>
      <c r="S20870"/>
      <c r="T20870"/>
      <c r="U20870"/>
      <c r="X20870" s="60"/>
    </row>
    <row r="20871" spans="7:24" ht="15" customHeight="1">
      <c r="G20871"/>
      <c r="I20871"/>
      <c r="N20871"/>
      <c r="O20871" s="24"/>
      <c r="P20871"/>
      <c r="Q20871" s="24"/>
      <c r="R20871"/>
      <c r="S20871"/>
      <c r="T20871"/>
      <c r="U20871"/>
      <c r="X20871" s="60"/>
    </row>
    <row r="20872" spans="7:24" ht="15" customHeight="1">
      <c r="G20872"/>
      <c r="I20872"/>
      <c r="N20872"/>
      <c r="O20872" s="24"/>
      <c r="P20872"/>
      <c r="Q20872" s="24"/>
      <c r="R20872"/>
      <c r="S20872"/>
      <c r="T20872"/>
      <c r="U20872"/>
      <c r="X20872" s="60"/>
    </row>
    <row r="20873" spans="7:24" ht="15" customHeight="1">
      <c r="G20873"/>
      <c r="I20873"/>
      <c r="N20873"/>
      <c r="O20873" s="24"/>
      <c r="P20873"/>
      <c r="Q20873" s="24"/>
      <c r="R20873"/>
      <c r="S20873"/>
      <c r="T20873"/>
      <c r="U20873"/>
      <c r="X20873" s="60"/>
    </row>
    <row r="20874" spans="7:24" ht="15" customHeight="1">
      <c r="G20874"/>
      <c r="I20874"/>
      <c r="N20874"/>
      <c r="O20874" s="24"/>
      <c r="P20874"/>
      <c r="Q20874" s="24"/>
      <c r="R20874"/>
      <c r="S20874"/>
      <c r="T20874"/>
      <c r="U20874"/>
      <c r="X20874" s="60"/>
    </row>
    <row r="20875" spans="7:24" ht="15" customHeight="1">
      <c r="G20875"/>
      <c r="I20875"/>
      <c r="N20875"/>
      <c r="O20875" s="24"/>
      <c r="P20875"/>
      <c r="Q20875" s="24"/>
      <c r="R20875"/>
      <c r="S20875"/>
      <c r="T20875"/>
      <c r="U20875"/>
      <c r="X20875" s="60"/>
    </row>
    <row r="20876" spans="7:24" ht="15" customHeight="1">
      <c r="G20876"/>
      <c r="I20876"/>
      <c r="N20876"/>
      <c r="O20876" s="24"/>
      <c r="P20876"/>
      <c r="Q20876" s="24"/>
      <c r="R20876"/>
      <c r="S20876"/>
      <c r="T20876"/>
      <c r="U20876"/>
      <c r="X20876" s="60"/>
    </row>
    <row r="20877" spans="7:24" ht="15" customHeight="1">
      <c r="G20877"/>
      <c r="I20877"/>
      <c r="N20877"/>
      <c r="O20877" s="24"/>
      <c r="P20877"/>
      <c r="Q20877" s="24"/>
      <c r="R20877"/>
      <c r="S20877"/>
      <c r="T20877"/>
      <c r="U20877"/>
      <c r="X20877" s="60"/>
    </row>
    <row r="20878" spans="7:24" ht="15" customHeight="1">
      <c r="G20878"/>
      <c r="I20878"/>
      <c r="N20878"/>
      <c r="O20878" s="24"/>
      <c r="P20878"/>
      <c r="Q20878" s="24"/>
      <c r="R20878"/>
      <c r="S20878"/>
      <c r="T20878"/>
      <c r="U20878"/>
      <c r="X20878" s="60"/>
    </row>
    <row r="20879" spans="7:24" ht="15" customHeight="1">
      <c r="G20879"/>
      <c r="I20879"/>
      <c r="N20879"/>
      <c r="O20879" s="24"/>
      <c r="P20879"/>
      <c r="Q20879" s="24"/>
      <c r="R20879"/>
      <c r="S20879"/>
      <c r="T20879"/>
      <c r="U20879"/>
      <c r="X20879" s="60"/>
    </row>
    <row r="20880" spans="7:24" ht="15" customHeight="1">
      <c r="G20880"/>
      <c r="I20880"/>
      <c r="N20880"/>
      <c r="O20880" s="24"/>
      <c r="P20880"/>
      <c r="Q20880" s="24"/>
      <c r="R20880"/>
      <c r="S20880"/>
      <c r="T20880"/>
      <c r="U20880"/>
      <c r="X20880" s="60"/>
    </row>
    <row r="20881" spans="7:24" ht="15" customHeight="1">
      <c r="G20881"/>
      <c r="I20881"/>
      <c r="N20881"/>
      <c r="O20881" s="24"/>
      <c r="P20881"/>
      <c r="Q20881" s="24"/>
      <c r="R20881"/>
      <c r="S20881"/>
      <c r="T20881"/>
      <c r="U20881"/>
      <c r="X20881" s="60"/>
    </row>
    <row r="20882" spans="7:24" ht="15" customHeight="1">
      <c r="G20882"/>
      <c r="I20882"/>
      <c r="N20882"/>
      <c r="O20882" s="24"/>
      <c r="P20882"/>
      <c r="Q20882" s="24"/>
      <c r="R20882"/>
      <c r="S20882"/>
      <c r="T20882"/>
      <c r="U20882"/>
      <c r="X20882" s="60"/>
    </row>
    <row r="20883" spans="7:24" ht="15" customHeight="1">
      <c r="G20883"/>
      <c r="I20883"/>
      <c r="N20883"/>
      <c r="O20883" s="24"/>
      <c r="P20883"/>
      <c r="Q20883" s="24"/>
      <c r="R20883"/>
      <c r="S20883"/>
      <c r="T20883"/>
      <c r="U20883"/>
      <c r="X20883" s="60"/>
    </row>
    <row r="20884" spans="7:24" ht="15" customHeight="1">
      <c r="G20884"/>
      <c r="I20884"/>
      <c r="N20884"/>
      <c r="O20884" s="24"/>
      <c r="P20884"/>
      <c r="Q20884" s="24"/>
      <c r="R20884"/>
      <c r="S20884"/>
      <c r="T20884"/>
      <c r="U20884"/>
      <c r="X20884" s="60"/>
    </row>
    <row r="20885" spans="7:24" ht="15" customHeight="1">
      <c r="G20885"/>
      <c r="I20885"/>
      <c r="N20885"/>
      <c r="O20885" s="24"/>
      <c r="P20885"/>
      <c r="Q20885" s="24"/>
      <c r="R20885"/>
      <c r="S20885"/>
      <c r="T20885"/>
      <c r="U20885"/>
      <c r="X20885" s="60"/>
    </row>
    <row r="20886" spans="7:24" ht="15" customHeight="1">
      <c r="G20886"/>
      <c r="I20886"/>
      <c r="N20886"/>
      <c r="O20886" s="24"/>
      <c r="P20886"/>
      <c r="Q20886" s="24"/>
      <c r="R20886"/>
      <c r="S20886"/>
      <c r="T20886"/>
      <c r="U20886"/>
      <c r="X20886" s="60"/>
    </row>
    <row r="20887" spans="7:24" ht="15" customHeight="1">
      <c r="G20887"/>
      <c r="I20887"/>
      <c r="N20887"/>
      <c r="O20887" s="24"/>
      <c r="P20887"/>
      <c r="Q20887" s="24"/>
      <c r="R20887"/>
      <c r="S20887"/>
      <c r="T20887"/>
      <c r="U20887"/>
      <c r="X20887" s="60"/>
    </row>
    <row r="20888" spans="7:24" ht="15" customHeight="1">
      <c r="G20888"/>
      <c r="I20888"/>
      <c r="N20888"/>
      <c r="O20888" s="24"/>
      <c r="P20888"/>
      <c r="Q20888" s="24"/>
      <c r="R20888"/>
      <c r="S20888"/>
      <c r="T20888"/>
      <c r="U20888"/>
      <c r="X20888" s="60"/>
    </row>
    <row r="20889" spans="7:24" ht="15" customHeight="1">
      <c r="G20889"/>
      <c r="I20889"/>
      <c r="N20889"/>
      <c r="O20889" s="24"/>
      <c r="P20889"/>
      <c r="Q20889" s="24"/>
      <c r="R20889"/>
      <c r="S20889"/>
      <c r="T20889"/>
      <c r="U20889"/>
      <c r="X20889" s="60"/>
    </row>
    <row r="20890" spans="7:24" ht="15" customHeight="1">
      <c r="G20890"/>
      <c r="I20890"/>
      <c r="N20890"/>
      <c r="O20890" s="24"/>
      <c r="P20890"/>
      <c r="Q20890" s="24"/>
      <c r="R20890"/>
      <c r="S20890"/>
      <c r="T20890"/>
      <c r="U20890"/>
      <c r="X20890" s="60"/>
    </row>
    <row r="20891" spans="7:24" ht="15" customHeight="1">
      <c r="G20891"/>
      <c r="I20891"/>
      <c r="N20891"/>
      <c r="O20891" s="24"/>
      <c r="P20891"/>
      <c r="Q20891" s="24"/>
      <c r="R20891"/>
      <c r="S20891"/>
      <c r="T20891"/>
      <c r="U20891"/>
      <c r="X20891" s="60"/>
    </row>
    <row r="20892" spans="7:24" ht="15" customHeight="1">
      <c r="G20892"/>
      <c r="I20892"/>
      <c r="N20892"/>
      <c r="O20892" s="24"/>
      <c r="P20892"/>
      <c r="Q20892" s="24"/>
      <c r="R20892"/>
      <c r="S20892"/>
      <c r="T20892"/>
      <c r="U20892"/>
      <c r="X20892" s="60"/>
    </row>
    <row r="20893" spans="7:24" ht="15" customHeight="1">
      <c r="G20893"/>
      <c r="I20893"/>
      <c r="N20893"/>
      <c r="O20893" s="24"/>
      <c r="P20893"/>
      <c r="Q20893" s="24"/>
      <c r="R20893"/>
      <c r="S20893"/>
      <c r="T20893"/>
      <c r="U20893"/>
      <c r="X20893" s="60"/>
    </row>
    <row r="20894" spans="7:24" ht="15" customHeight="1">
      <c r="G20894"/>
      <c r="I20894"/>
      <c r="N20894"/>
      <c r="O20894" s="24"/>
      <c r="P20894"/>
      <c r="Q20894" s="24"/>
      <c r="R20894"/>
      <c r="S20894"/>
      <c r="T20894"/>
      <c r="U20894"/>
      <c r="X20894" s="60"/>
    </row>
    <row r="20895" spans="7:24" ht="15" customHeight="1">
      <c r="G20895"/>
      <c r="I20895"/>
      <c r="N20895"/>
      <c r="O20895" s="24"/>
      <c r="P20895"/>
      <c r="Q20895" s="24"/>
      <c r="R20895"/>
      <c r="S20895"/>
      <c r="T20895"/>
      <c r="U20895"/>
      <c r="X20895" s="60"/>
    </row>
    <row r="20896" spans="7:24" ht="15" customHeight="1">
      <c r="G20896"/>
      <c r="I20896"/>
      <c r="N20896"/>
      <c r="O20896" s="24"/>
      <c r="P20896"/>
      <c r="Q20896" s="24"/>
      <c r="R20896"/>
      <c r="S20896"/>
      <c r="T20896"/>
      <c r="U20896"/>
      <c r="X20896" s="60"/>
    </row>
    <row r="20897" spans="7:24" ht="15" customHeight="1">
      <c r="G20897"/>
      <c r="I20897"/>
      <c r="N20897"/>
      <c r="O20897" s="24"/>
      <c r="P20897"/>
      <c r="Q20897" s="24"/>
      <c r="R20897"/>
      <c r="S20897"/>
      <c r="T20897"/>
      <c r="U20897"/>
      <c r="X20897" s="60"/>
    </row>
    <row r="20898" spans="7:24" ht="15" customHeight="1">
      <c r="G20898"/>
      <c r="I20898"/>
      <c r="N20898"/>
      <c r="O20898" s="24"/>
      <c r="P20898"/>
      <c r="Q20898" s="24"/>
      <c r="R20898"/>
      <c r="S20898"/>
      <c r="T20898"/>
      <c r="U20898"/>
      <c r="X20898" s="60"/>
    </row>
    <row r="20899" spans="7:24" ht="15" customHeight="1">
      <c r="G20899"/>
      <c r="I20899"/>
      <c r="N20899"/>
      <c r="O20899" s="24"/>
      <c r="P20899"/>
      <c r="Q20899" s="24"/>
      <c r="R20899"/>
      <c r="S20899"/>
      <c r="T20899"/>
      <c r="U20899"/>
      <c r="X20899" s="60"/>
    </row>
    <row r="20900" spans="7:24" ht="15" customHeight="1">
      <c r="G20900"/>
      <c r="I20900"/>
      <c r="N20900"/>
      <c r="O20900" s="24"/>
      <c r="P20900"/>
      <c r="Q20900" s="24"/>
      <c r="R20900"/>
      <c r="S20900"/>
      <c r="T20900"/>
      <c r="U20900"/>
      <c r="X20900" s="60"/>
    </row>
    <row r="20901" spans="7:24" ht="15" customHeight="1">
      <c r="G20901"/>
      <c r="I20901"/>
      <c r="N20901"/>
      <c r="O20901" s="24"/>
      <c r="P20901"/>
      <c r="Q20901" s="24"/>
      <c r="R20901"/>
      <c r="S20901"/>
      <c r="T20901"/>
      <c r="U20901"/>
      <c r="X20901" s="60"/>
    </row>
    <row r="20902" spans="7:24" ht="15" customHeight="1">
      <c r="G20902"/>
      <c r="I20902"/>
      <c r="N20902"/>
      <c r="O20902" s="24"/>
      <c r="P20902"/>
      <c r="Q20902" s="24"/>
      <c r="R20902"/>
      <c r="S20902"/>
      <c r="T20902"/>
      <c r="U20902"/>
      <c r="X20902" s="60"/>
    </row>
    <row r="20903" spans="7:24" ht="15" customHeight="1">
      <c r="G20903"/>
      <c r="I20903"/>
      <c r="N20903"/>
      <c r="O20903" s="24"/>
      <c r="P20903"/>
      <c r="Q20903" s="24"/>
      <c r="R20903"/>
      <c r="S20903"/>
      <c r="T20903"/>
      <c r="U20903"/>
      <c r="X20903" s="60"/>
    </row>
    <row r="20904" spans="7:24" ht="15" customHeight="1">
      <c r="G20904"/>
      <c r="I20904"/>
      <c r="N20904"/>
      <c r="O20904" s="24"/>
      <c r="P20904"/>
      <c r="Q20904" s="24"/>
      <c r="R20904"/>
      <c r="S20904"/>
      <c r="T20904"/>
      <c r="U20904"/>
      <c r="X20904" s="60"/>
    </row>
    <row r="20905" spans="7:24" ht="15" customHeight="1">
      <c r="G20905"/>
      <c r="I20905"/>
      <c r="N20905"/>
      <c r="O20905" s="24"/>
      <c r="P20905"/>
      <c r="Q20905" s="24"/>
      <c r="R20905"/>
      <c r="S20905"/>
      <c r="T20905"/>
      <c r="U20905"/>
      <c r="X20905" s="60"/>
    </row>
    <row r="20906" spans="7:24" ht="15" customHeight="1">
      <c r="G20906"/>
      <c r="I20906"/>
      <c r="N20906"/>
      <c r="O20906" s="24"/>
      <c r="P20906"/>
      <c r="Q20906" s="24"/>
      <c r="R20906"/>
      <c r="S20906"/>
      <c r="T20906"/>
      <c r="U20906"/>
      <c r="X20906" s="60"/>
    </row>
    <row r="20907" spans="7:24" ht="15" customHeight="1">
      <c r="G20907"/>
      <c r="I20907"/>
      <c r="N20907"/>
      <c r="O20907" s="24"/>
      <c r="P20907"/>
      <c r="Q20907" s="24"/>
      <c r="R20907"/>
      <c r="S20907"/>
      <c r="T20907"/>
      <c r="U20907"/>
      <c r="X20907" s="60"/>
    </row>
    <row r="20908" spans="7:24" ht="15" customHeight="1">
      <c r="G20908"/>
      <c r="I20908"/>
      <c r="N20908"/>
      <c r="O20908" s="24"/>
      <c r="P20908"/>
      <c r="Q20908" s="24"/>
      <c r="R20908"/>
      <c r="S20908"/>
      <c r="T20908"/>
      <c r="U20908"/>
      <c r="X20908" s="60"/>
    </row>
    <row r="20909" spans="7:24" ht="15" customHeight="1">
      <c r="G20909"/>
      <c r="I20909"/>
      <c r="N20909"/>
      <c r="O20909" s="24"/>
      <c r="P20909"/>
      <c r="Q20909" s="24"/>
      <c r="R20909"/>
      <c r="S20909"/>
      <c r="T20909"/>
      <c r="U20909"/>
      <c r="X20909" s="60"/>
    </row>
    <row r="20910" spans="7:24" ht="15" customHeight="1">
      <c r="G20910"/>
      <c r="I20910"/>
      <c r="N20910"/>
      <c r="O20910" s="24"/>
      <c r="P20910"/>
      <c r="Q20910" s="24"/>
      <c r="R20910"/>
      <c r="S20910"/>
      <c r="T20910"/>
      <c r="U20910"/>
      <c r="X20910" s="60"/>
    </row>
    <row r="20911" spans="7:24" ht="15" customHeight="1">
      <c r="G20911"/>
      <c r="I20911"/>
      <c r="N20911"/>
      <c r="O20911" s="24"/>
      <c r="P20911"/>
      <c r="Q20911" s="24"/>
      <c r="R20911"/>
      <c r="S20911"/>
      <c r="T20911"/>
      <c r="U20911"/>
      <c r="X20911" s="60"/>
    </row>
    <row r="20912" spans="7:24" ht="15" customHeight="1">
      <c r="G20912"/>
      <c r="I20912"/>
      <c r="N20912"/>
      <c r="O20912" s="24"/>
      <c r="P20912"/>
      <c r="Q20912" s="24"/>
      <c r="R20912"/>
      <c r="S20912"/>
      <c r="T20912"/>
      <c r="U20912"/>
      <c r="X20912" s="60"/>
    </row>
    <row r="20913" spans="7:24" ht="15" customHeight="1">
      <c r="G20913"/>
      <c r="I20913"/>
      <c r="N20913"/>
      <c r="O20913" s="24"/>
      <c r="P20913"/>
      <c r="Q20913" s="24"/>
      <c r="R20913"/>
      <c r="S20913"/>
      <c r="T20913"/>
      <c r="U20913"/>
      <c r="X20913" s="60"/>
    </row>
    <row r="20914" spans="7:24" ht="15" customHeight="1">
      <c r="G20914"/>
      <c r="I20914"/>
      <c r="N20914"/>
      <c r="O20914" s="24"/>
      <c r="P20914"/>
      <c r="Q20914" s="24"/>
      <c r="R20914"/>
      <c r="S20914"/>
      <c r="T20914"/>
      <c r="U20914"/>
      <c r="X20914" s="60"/>
    </row>
    <row r="20915" spans="7:24" ht="15" customHeight="1">
      <c r="G20915"/>
      <c r="I20915"/>
      <c r="N20915"/>
      <c r="O20915" s="24"/>
      <c r="P20915"/>
      <c r="Q20915" s="24"/>
      <c r="R20915"/>
      <c r="S20915"/>
      <c r="T20915"/>
      <c r="U20915"/>
      <c r="X20915" s="60"/>
    </row>
    <row r="20916" spans="7:24" ht="15" customHeight="1">
      <c r="G20916"/>
      <c r="I20916"/>
      <c r="N20916"/>
      <c r="O20916" s="24"/>
      <c r="P20916"/>
      <c r="Q20916" s="24"/>
      <c r="R20916"/>
      <c r="S20916"/>
      <c r="T20916"/>
      <c r="U20916"/>
      <c r="X20916" s="60"/>
    </row>
    <row r="20917" spans="7:24" ht="15" customHeight="1">
      <c r="G20917"/>
      <c r="I20917"/>
      <c r="N20917"/>
      <c r="O20917" s="24"/>
      <c r="P20917"/>
      <c r="Q20917" s="24"/>
      <c r="R20917"/>
      <c r="S20917"/>
      <c r="T20917"/>
      <c r="U20917"/>
      <c r="X20917" s="60"/>
    </row>
    <row r="20918" spans="7:24" ht="15" customHeight="1">
      <c r="G20918"/>
      <c r="I20918"/>
      <c r="N20918"/>
      <c r="O20918" s="24"/>
      <c r="P20918"/>
      <c r="Q20918" s="24"/>
      <c r="R20918"/>
      <c r="S20918"/>
      <c r="T20918"/>
      <c r="U20918"/>
      <c r="X20918" s="60"/>
    </row>
    <row r="20919" spans="7:24" ht="15" customHeight="1">
      <c r="G20919"/>
      <c r="I20919"/>
      <c r="N20919"/>
      <c r="O20919" s="24"/>
      <c r="P20919"/>
      <c r="Q20919" s="24"/>
      <c r="R20919"/>
      <c r="S20919"/>
      <c r="T20919"/>
      <c r="U20919"/>
      <c r="X20919" s="60"/>
    </row>
    <row r="20920" spans="7:24" ht="15" customHeight="1">
      <c r="G20920"/>
      <c r="I20920"/>
      <c r="N20920"/>
      <c r="O20920" s="24"/>
      <c r="P20920"/>
      <c r="Q20920" s="24"/>
      <c r="R20920"/>
      <c r="S20920"/>
      <c r="T20920"/>
      <c r="U20920"/>
      <c r="X20920" s="60"/>
    </row>
    <row r="20921" spans="7:24" ht="15" customHeight="1">
      <c r="G20921"/>
      <c r="I20921"/>
      <c r="N20921"/>
      <c r="O20921" s="24"/>
      <c r="P20921"/>
      <c r="Q20921" s="24"/>
      <c r="R20921"/>
      <c r="S20921"/>
      <c r="T20921"/>
      <c r="U20921"/>
      <c r="X20921" s="60"/>
    </row>
    <row r="20922" spans="7:24" ht="15" customHeight="1">
      <c r="G20922"/>
      <c r="I20922"/>
      <c r="N20922"/>
      <c r="O20922" s="24"/>
      <c r="P20922"/>
      <c r="Q20922" s="24"/>
      <c r="R20922"/>
      <c r="S20922"/>
      <c r="T20922"/>
      <c r="U20922"/>
      <c r="X20922" s="60"/>
    </row>
    <row r="20923" spans="7:24" ht="15" customHeight="1">
      <c r="G20923"/>
      <c r="I20923"/>
      <c r="N20923"/>
      <c r="O20923" s="24"/>
      <c r="P20923"/>
      <c r="Q20923" s="24"/>
      <c r="R20923"/>
      <c r="S20923"/>
      <c r="T20923"/>
      <c r="U20923"/>
      <c r="X20923" s="60"/>
    </row>
    <row r="20924" spans="7:24" ht="15" customHeight="1">
      <c r="G20924"/>
      <c r="I20924"/>
      <c r="N20924"/>
      <c r="O20924" s="24"/>
      <c r="P20924"/>
      <c r="Q20924" s="24"/>
      <c r="R20924"/>
      <c r="S20924"/>
      <c r="T20924"/>
      <c r="U20924"/>
      <c r="X20924" s="60"/>
    </row>
    <row r="20925" spans="7:24" ht="15" customHeight="1">
      <c r="G20925"/>
      <c r="I20925"/>
      <c r="N20925"/>
      <c r="O20925" s="24"/>
      <c r="P20925"/>
      <c r="Q20925" s="24"/>
      <c r="R20925"/>
      <c r="S20925"/>
      <c r="T20925"/>
      <c r="U20925"/>
      <c r="X20925" s="60"/>
    </row>
    <row r="20926" spans="7:24" ht="15" customHeight="1">
      <c r="G20926"/>
      <c r="I20926"/>
      <c r="N20926"/>
      <c r="O20926" s="24"/>
      <c r="P20926"/>
      <c r="Q20926" s="24"/>
      <c r="R20926"/>
      <c r="S20926"/>
      <c r="T20926"/>
      <c r="U20926"/>
      <c r="X20926" s="60"/>
    </row>
    <row r="20927" spans="7:24" ht="15" customHeight="1">
      <c r="G20927"/>
      <c r="I20927"/>
      <c r="N20927"/>
      <c r="O20927" s="24"/>
      <c r="P20927"/>
      <c r="Q20927" s="24"/>
      <c r="R20927"/>
      <c r="S20927"/>
      <c r="T20927"/>
      <c r="U20927"/>
      <c r="X20927" s="60"/>
    </row>
    <row r="20928" spans="7:24" ht="15" customHeight="1">
      <c r="G20928"/>
      <c r="I20928"/>
      <c r="N20928"/>
      <c r="O20928" s="24"/>
      <c r="P20928"/>
      <c r="Q20928" s="24"/>
      <c r="R20928"/>
      <c r="S20928"/>
      <c r="T20928"/>
      <c r="U20928"/>
      <c r="X20928" s="60"/>
    </row>
    <row r="20929" spans="7:24" ht="15" customHeight="1">
      <c r="G20929"/>
      <c r="I20929"/>
      <c r="N20929"/>
      <c r="O20929" s="24"/>
      <c r="P20929"/>
      <c r="Q20929" s="24"/>
      <c r="R20929"/>
      <c r="S20929"/>
      <c r="T20929"/>
      <c r="U20929"/>
      <c r="X20929" s="60"/>
    </row>
    <row r="20930" spans="7:24" ht="15" customHeight="1">
      <c r="G20930"/>
      <c r="I20930"/>
      <c r="N20930"/>
      <c r="O20930" s="24"/>
      <c r="P20930"/>
      <c r="Q20930" s="24"/>
      <c r="R20930"/>
      <c r="S20930"/>
      <c r="T20930"/>
      <c r="U20930"/>
      <c r="X20930" s="60"/>
    </row>
    <row r="20931" spans="7:24" ht="15" customHeight="1">
      <c r="G20931"/>
      <c r="I20931"/>
      <c r="N20931"/>
      <c r="O20931" s="24"/>
      <c r="P20931"/>
      <c r="Q20931" s="24"/>
      <c r="R20931"/>
      <c r="S20931"/>
      <c r="T20931"/>
      <c r="U20931"/>
      <c r="X20931" s="60"/>
    </row>
    <row r="20932" spans="7:24" ht="15" customHeight="1">
      <c r="G20932"/>
      <c r="I20932"/>
      <c r="N20932"/>
      <c r="O20932" s="24"/>
      <c r="P20932"/>
      <c r="Q20932" s="24"/>
      <c r="R20932"/>
      <c r="S20932"/>
      <c r="T20932"/>
      <c r="U20932"/>
      <c r="X20932" s="60"/>
    </row>
    <row r="20933" spans="7:24" ht="15" customHeight="1">
      <c r="G20933"/>
      <c r="I20933"/>
      <c r="N20933"/>
      <c r="O20933" s="24"/>
      <c r="P20933"/>
      <c r="Q20933" s="24"/>
      <c r="R20933"/>
      <c r="S20933"/>
      <c r="T20933"/>
      <c r="U20933"/>
      <c r="X20933" s="60"/>
    </row>
    <row r="20934" spans="7:24" ht="15" customHeight="1">
      <c r="G20934"/>
      <c r="I20934"/>
      <c r="N20934"/>
      <c r="O20934" s="24"/>
      <c r="P20934"/>
      <c r="Q20934" s="24"/>
      <c r="R20934"/>
      <c r="S20934"/>
      <c r="T20934"/>
      <c r="U20934"/>
      <c r="X20934" s="60"/>
    </row>
    <row r="20935" spans="7:24" ht="15" customHeight="1">
      <c r="G20935"/>
      <c r="I20935"/>
      <c r="N20935"/>
      <c r="O20935" s="24"/>
      <c r="P20935"/>
      <c r="Q20935" s="24"/>
      <c r="R20935"/>
      <c r="S20935"/>
      <c r="T20935"/>
      <c r="U20935"/>
      <c r="X20935" s="60"/>
    </row>
    <row r="20936" spans="7:24" ht="15" customHeight="1">
      <c r="G20936"/>
      <c r="I20936"/>
      <c r="N20936"/>
      <c r="O20936" s="24"/>
      <c r="P20936"/>
      <c r="Q20936" s="24"/>
      <c r="R20936"/>
      <c r="S20936"/>
      <c r="T20936"/>
      <c r="U20936"/>
      <c r="X20936" s="60"/>
    </row>
    <row r="20937" spans="7:24" ht="15" customHeight="1">
      <c r="G20937"/>
      <c r="I20937"/>
      <c r="N20937"/>
      <c r="O20937" s="24"/>
      <c r="P20937"/>
      <c r="Q20937" s="24"/>
      <c r="R20937"/>
      <c r="S20937"/>
      <c r="T20937"/>
      <c r="U20937"/>
      <c r="X20937" s="60"/>
    </row>
    <row r="20938" spans="7:24" ht="15" customHeight="1">
      <c r="G20938"/>
      <c r="I20938"/>
      <c r="N20938"/>
      <c r="O20938" s="24"/>
      <c r="P20938"/>
      <c r="Q20938" s="24"/>
      <c r="R20938"/>
      <c r="S20938"/>
      <c r="T20938"/>
      <c r="U20938"/>
      <c r="X20938" s="60"/>
    </row>
    <row r="20939" spans="7:24" ht="15" customHeight="1">
      <c r="G20939"/>
      <c r="I20939"/>
      <c r="N20939"/>
      <c r="O20939" s="24"/>
      <c r="P20939"/>
      <c r="Q20939" s="24"/>
      <c r="R20939"/>
      <c r="S20939"/>
      <c r="T20939"/>
      <c r="U20939"/>
      <c r="X20939" s="60"/>
    </row>
    <row r="20940" spans="7:24" ht="15" customHeight="1">
      <c r="G20940"/>
      <c r="I20940"/>
      <c r="N20940"/>
      <c r="O20940" s="24"/>
      <c r="P20940"/>
      <c r="Q20940" s="24"/>
      <c r="R20940"/>
      <c r="S20940"/>
      <c r="T20940"/>
      <c r="U20940"/>
      <c r="X20940" s="60"/>
    </row>
    <row r="20941" spans="7:24" ht="15" customHeight="1">
      <c r="G20941"/>
      <c r="I20941"/>
      <c r="N20941"/>
      <c r="O20941" s="24"/>
      <c r="P20941"/>
      <c r="Q20941" s="24"/>
      <c r="R20941"/>
      <c r="S20941"/>
      <c r="T20941"/>
      <c r="U20941"/>
      <c r="X20941" s="60"/>
    </row>
    <row r="20942" spans="7:24" ht="15" customHeight="1">
      <c r="G20942"/>
      <c r="I20942"/>
      <c r="N20942"/>
      <c r="O20942" s="24"/>
      <c r="P20942"/>
      <c r="Q20942" s="24"/>
      <c r="R20942"/>
      <c r="S20942"/>
      <c r="T20942"/>
      <c r="U20942"/>
      <c r="X20942" s="60"/>
    </row>
    <row r="20943" spans="7:24" ht="15" customHeight="1">
      <c r="G20943"/>
      <c r="I20943"/>
      <c r="N20943"/>
      <c r="O20943" s="24"/>
      <c r="P20943"/>
      <c r="Q20943" s="24"/>
      <c r="R20943"/>
      <c r="S20943"/>
      <c r="T20943"/>
      <c r="U20943"/>
      <c r="X20943" s="60"/>
    </row>
    <row r="20944" spans="7:24" ht="15" customHeight="1">
      <c r="G20944"/>
      <c r="I20944"/>
      <c r="N20944"/>
      <c r="O20944" s="24"/>
      <c r="P20944"/>
      <c r="Q20944" s="24"/>
      <c r="R20944"/>
      <c r="S20944"/>
      <c r="T20944"/>
      <c r="U20944"/>
      <c r="X20944" s="60"/>
    </row>
    <row r="20945" spans="7:24" ht="15" customHeight="1">
      <c r="G20945"/>
      <c r="I20945"/>
      <c r="N20945"/>
      <c r="O20945" s="24"/>
      <c r="P20945"/>
      <c r="Q20945" s="24"/>
      <c r="R20945"/>
      <c r="S20945"/>
      <c r="T20945"/>
      <c r="U20945"/>
      <c r="X20945" s="60"/>
    </row>
    <row r="20946" spans="7:24" ht="15" customHeight="1">
      <c r="G20946"/>
      <c r="I20946"/>
      <c r="N20946"/>
      <c r="O20946" s="24"/>
      <c r="P20946"/>
      <c r="Q20946" s="24"/>
      <c r="R20946"/>
      <c r="S20946"/>
      <c r="T20946"/>
      <c r="U20946"/>
      <c r="X20946" s="60"/>
    </row>
    <row r="20947" spans="7:24" ht="15" customHeight="1">
      <c r="G20947"/>
      <c r="I20947"/>
      <c r="N20947"/>
      <c r="O20947" s="24"/>
      <c r="P20947"/>
      <c r="Q20947" s="24"/>
      <c r="R20947"/>
      <c r="S20947"/>
      <c r="T20947"/>
      <c r="U20947"/>
      <c r="X20947" s="60"/>
    </row>
    <row r="20948" spans="7:24" ht="15" customHeight="1">
      <c r="G20948"/>
      <c r="I20948"/>
      <c r="N20948"/>
      <c r="O20948" s="24"/>
      <c r="P20948"/>
      <c r="Q20948" s="24"/>
      <c r="R20948"/>
      <c r="S20948"/>
      <c r="T20948"/>
      <c r="U20948"/>
      <c r="X20948" s="60"/>
    </row>
    <row r="20949" spans="7:24" ht="15" customHeight="1">
      <c r="G20949"/>
      <c r="I20949"/>
      <c r="N20949"/>
      <c r="O20949" s="24"/>
      <c r="P20949"/>
      <c r="Q20949" s="24"/>
      <c r="R20949"/>
      <c r="S20949"/>
      <c r="T20949"/>
      <c r="U20949"/>
      <c r="X20949" s="60"/>
    </row>
    <row r="20950" spans="7:24" ht="15" customHeight="1">
      <c r="G20950"/>
      <c r="I20950"/>
      <c r="N20950"/>
      <c r="O20950" s="24"/>
      <c r="P20950"/>
      <c r="Q20950" s="24"/>
      <c r="R20950"/>
      <c r="S20950"/>
      <c r="T20950"/>
      <c r="U20950"/>
      <c r="X20950" s="60"/>
    </row>
    <row r="20951" spans="7:24" ht="15" customHeight="1">
      <c r="G20951"/>
      <c r="I20951"/>
      <c r="N20951"/>
      <c r="O20951" s="24"/>
      <c r="P20951"/>
      <c r="Q20951" s="24"/>
      <c r="R20951"/>
      <c r="S20951"/>
      <c r="T20951"/>
      <c r="U20951"/>
      <c r="X20951" s="60"/>
    </row>
    <row r="20952" spans="7:24" ht="15" customHeight="1">
      <c r="G20952"/>
      <c r="I20952"/>
      <c r="N20952"/>
      <c r="O20952" s="24"/>
      <c r="P20952"/>
      <c r="Q20952" s="24"/>
      <c r="R20952"/>
      <c r="S20952"/>
      <c r="T20952"/>
      <c r="U20952"/>
      <c r="X20952" s="60"/>
    </row>
    <row r="20953" spans="7:24" ht="15" customHeight="1">
      <c r="G20953"/>
      <c r="I20953"/>
      <c r="N20953"/>
      <c r="O20953" s="24"/>
      <c r="P20953"/>
      <c r="Q20953" s="24"/>
      <c r="R20953"/>
      <c r="S20953"/>
      <c r="T20953"/>
      <c r="U20953"/>
      <c r="X20953" s="60"/>
    </row>
    <row r="20954" spans="7:24" ht="15" customHeight="1">
      <c r="G20954"/>
      <c r="I20954"/>
      <c r="N20954"/>
      <c r="O20954" s="24"/>
      <c r="P20954"/>
      <c r="Q20954" s="24"/>
      <c r="R20954"/>
      <c r="S20954"/>
      <c r="T20954"/>
      <c r="U20954"/>
      <c r="X20954" s="60"/>
    </row>
    <row r="20955" spans="7:24" ht="15" customHeight="1">
      <c r="G20955"/>
      <c r="I20955"/>
      <c r="N20955"/>
      <c r="O20955" s="24"/>
      <c r="P20955"/>
      <c r="Q20955" s="24"/>
      <c r="R20955"/>
      <c r="S20955"/>
      <c r="T20955"/>
      <c r="U20955"/>
      <c r="X20955" s="60"/>
    </row>
    <row r="20956" spans="7:24" ht="15" customHeight="1">
      <c r="G20956"/>
      <c r="I20956"/>
      <c r="N20956"/>
      <c r="O20956" s="24"/>
      <c r="P20956"/>
      <c r="Q20956" s="24"/>
      <c r="R20956"/>
      <c r="S20956"/>
      <c r="T20956"/>
      <c r="U20956"/>
      <c r="X20956" s="60"/>
    </row>
    <row r="20957" spans="7:24" ht="15" customHeight="1">
      <c r="G20957"/>
      <c r="I20957"/>
      <c r="N20957"/>
      <c r="O20957" s="24"/>
      <c r="P20957"/>
      <c r="Q20957" s="24"/>
      <c r="R20957"/>
      <c r="S20957"/>
      <c r="T20957"/>
      <c r="U20957"/>
      <c r="X20957" s="60"/>
    </row>
    <row r="20958" spans="7:24" ht="15" customHeight="1">
      <c r="G20958"/>
      <c r="I20958"/>
      <c r="N20958"/>
      <c r="O20958" s="24"/>
      <c r="P20958"/>
      <c r="Q20958" s="24"/>
      <c r="R20958"/>
      <c r="S20958"/>
      <c r="T20958"/>
      <c r="U20958"/>
      <c r="X20958" s="60"/>
    </row>
    <row r="20959" spans="7:24" ht="15" customHeight="1">
      <c r="G20959"/>
      <c r="I20959"/>
      <c r="N20959"/>
      <c r="O20959" s="24"/>
      <c r="P20959"/>
      <c r="Q20959" s="24"/>
      <c r="R20959"/>
      <c r="S20959"/>
      <c r="T20959"/>
      <c r="U20959"/>
      <c r="X20959" s="60"/>
    </row>
    <row r="20960" spans="7:24" ht="15" customHeight="1">
      <c r="G20960"/>
      <c r="I20960"/>
      <c r="N20960"/>
      <c r="O20960" s="24"/>
      <c r="P20960"/>
      <c r="Q20960" s="24"/>
      <c r="R20960"/>
      <c r="S20960"/>
      <c r="T20960"/>
      <c r="U20960"/>
      <c r="X20960" s="60"/>
    </row>
    <row r="20961" spans="7:24" ht="15" customHeight="1">
      <c r="G20961"/>
      <c r="I20961"/>
      <c r="N20961"/>
      <c r="O20961" s="24"/>
      <c r="P20961"/>
      <c r="Q20961" s="24"/>
      <c r="R20961"/>
      <c r="S20961"/>
      <c r="T20961"/>
      <c r="U20961"/>
      <c r="X20961" s="60"/>
    </row>
    <row r="20962" spans="7:24" ht="15" customHeight="1">
      <c r="G20962"/>
      <c r="I20962"/>
      <c r="N20962"/>
      <c r="O20962" s="24"/>
      <c r="P20962"/>
      <c r="Q20962" s="24"/>
      <c r="R20962"/>
      <c r="S20962"/>
      <c r="T20962"/>
      <c r="U20962"/>
      <c r="X20962" s="60"/>
    </row>
    <row r="20963" spans="7:24" ht="15" customHeight="1">
      <c r="G20963"/>
      <c r="I20963"/>
      <c r="N20963"/>
      <c r="O20963" s="24"/>
      <c r="P20963"/>
      <c r="Q20963" s="24"/>
      <c r="R20963"/>
      <c r="S20963"/>
      <c r="T20963"/>
      <c r="U20963"/>
      <c r="X20963" s="60"/>
    </row>
    <row r="20964" spans="7:24" ht="15" customHeight="1">
      <c r="G20964"/>
      <c r="I20964"/>
      <c r="N20964"/>
      <c r="O20964" s="24"/>
      <c r="P20964"/>
      <c r="Q20964" s="24"/>
      <c r="R20964"/>
      <c r="S20964"/>
      <c r="T20964"/>
      <c r="U20964"/>
      <c r="X20964" s="60"/>
    </row>
    <row r="20965" spans="7:24" ht="15" customHeight="1">
      <c r="G20965"/>
      <c r="I20965"/>
      <c r="N20965"/>
      <c r="O20965" s="24"/>
      <c r="P20965"/>
      <c r="Q20965" s="24"/>
      <c r="R20965"/>
      <c r="S20965"/>
      <c r="T20965"/>
      <c r="U20965"/>
      <c r="X20965" s="60"/>
    </row>
    <row r="20966" spans="7:24" ht="15" customHeight="1">
      <c r="G20966"/>
      <c r="I20966"/>
      <c r="N20966"/>
      <c r="O20966" s="24"/>
      <c r="P20966"/>
      <c r="Q20966" s="24"/>
      <c r="R20966"/>
      <c r="S20966"/>
      <c r="T20966"/>
      <c r="U20966"/>
      <c r="X20966" s="60"/>
    </row>
    <row r="20967" spans="7:24" ht="15" customHeight="1">
      <c r="G20967"/>
      <c r="I20967"/>
      <c r="N20967"/>
      <c r="O20967" s="24"/>
      <c r="P20967"/>
      <c r="Q20967" s="24"/>
      <c r="R20967"/>
      <c r="S20967"/>
      <c r="T20967"/>
      <c r="U20967"/>
      <c r="X20967" s="60"/>
    </row>
    <row r="20968" spans="7:24" ht="15" customHeight="1">
      <c r="G20968"/>
      <c r="I20968"/>
      <c r="N20968"/>
      <c r="O20968" s="24"/>
      <c r="P20968"/>
      <c r="Q20968" s="24"/>
      <c r="R20968"/>
      <c r="S20968"/>
      <c r="T20968"/>
      <c r="U20968"/>
      <c r="X20968" s="60"/>
    </row>
    <row r="20969" spans="7:24" ht="15" customHeight="1">
      <c r="G20969"/>
      <c r="I20969"/>
      <c r="N20969"/>
      <c r="O20969" s="24"/>
      <c r="P20969"/>
      <c r="Q20969" s="24"/>
      <c r="R20969"/>
      <c r="S20969"/>
      <c r="T20969"/>
      <c r="U20969"/>
      <c r="X20969" s="60"/>
    </row>
    <row r="20970" spans="7:24" ht="15" customHeight="1">
      <c r="G20970"/>
      <c r="I20970"/>
      <c r="N20970"/>
      <c r="O20970" s="24"/>
      <c r="P20970"/>
      <c r="Q20970" s="24"/>
      <c r="R20970"/>
      <c r="S20970"/>
      <c r="T20970"/>
      <c r="U20970"/>
      <c r="X20970" s="60"/>
    </row>
    <row r="20971" spans="7:24" ht="15" customHeight="1">
      <c r="G20971"/>
      <c r="I20971"/>
      <c r="N20971"/>
      <c r="O20971" s="24"/>
      <c r="P20971"/>
      <c r="Q20971" s="24"/>
      <c r="R20971"/>
      <c r="S20971"/>
      <c r="T20971"/>
      <c r="U20971"/>
      <c r="X20971" s="60"/>
    </row>
    <row r="20972" spans="7:24" ht="15" customHeight="1">
      <c r="G20972"/>
      <c r="I20972"/>
      <c r="N20972"/>
      <c r="O20972" s="24"/>
      <c r="P20972"/>
      <c r="Q20972" s="24"/>
      <c r="R20972"/>
      <c r="S20972"/>
      <c r="T20972"/>
      <c r="U20972"/>
      <c r="X20972" s="60"/>
    </row>
    <row r="20973" spans="7:24" ht="15" customHeight="1">
      <c r="G20973"/>
      <c r="I20973"/>
      <c r="N20973"/>
      <c r="O20973" s="24"/>
      <c r="P20973"/>
      <c r="Q20973" s="24"/>
      <c r="R20973"/>
      <c r="S20973"/>
      <c r="T20973"/>
      <c r="U20973"/>
      <c r="X20973" s="60"/>
    </row>
    <row r="20974" spans="7:24" ht="15" customHeight="1">
      <c r="G20974"/>
      <c r="I20974"/>
      <c r="N20974"/>
      <c r="O20974" s="24"/>
      <c r="P20974"/>
      <c r="Q20974" s="24"/>
      <c r="R20974"/>
      <c r="S20974"/>
      <c r="T20974"/>
      <c r="U20974"/>
      <c r="X20974" s="60"/>
    </row>
    <row r="20975" spans="7:24" ht="15" customHeight="1">
      <c r="G20975"/>
      <c r="I20975"/>
      <c r="N20975"/>
      <c r="O20975" s="24"/>
      <c r="P20975"/>
      <c r="Q20975" s="24"/>
      <c r="R20975"/>
      <c r="S20975"/>
      <c r="T20975"/>
      <c r="U20975"/>
      <c r="X20975" s="60"/>
    </row>
    <row r="20976" spans="7:24" ht="15" customHeight="1">
      <c r="G20976"/>
      <c r="I20976"/>
      <c r="N20976"/>
      <c r="O20976" s="24"/>
      <c r="P20976"/>
      <c r="Q20976" s="24"/>
      <c r="R20976"/>
      <c r="S20976"/>
      <c r="T20976"/>
      <c r="U20976"/>
      <c r="X20976" s="60"/>
    </row>
    <row r="20977" spans="7:24" ht="15" customHeight="1">
      <c r="G20977"/>
      <c r="I20977"/>
      <c r="N20977"/>
      <c r="O20977" s="24"/>
      <c r="P20977"/>
      <c r="Q20977" s="24"/>
      <c r="R20977"/>
      <c r="S20977"/>
      <c r="T20977"/>
      <c r="U20977"/>
      <c r="X20977" s="60"/>
    </row>
    <row r="20978" spans="7:24" ht="15" customHeight="1">
      <c r="G20978"/>
      <c r="I20978"/>
      <c r="N20978"/>
      <c r="O20978" s="24"/>
      <c r="P20978"/>
      <c r="Q20978" s="24"/>
      <c r="R20978"/>
      <c r="S20978"/>
      <c r="T20978"/>
      <c r="U20978"/>
      <c r="X20978" s="60"/>
    </row>
    <row r="20979" spans="7:24" ht="15" customHeight="1">
      <c r="G20979"/>
      <c r="I20979"/>
      <c r="N20979"/>
      <c r="O20979" s="24"/>
      <c r="P20979"/>
      <c r="Q20979" s="24"/>
      <c r="R20979"/>
      <c r="S20979"/>
      <c r="T20979"/>
      <c r="U20979"/>
      <c r="X20979" s="60"/>
    </row>
    <row r="20980" spans="7:24" ht="15" customHeight="1">
      <c r="G20980"/>
      <c r="I20980"/>
      <c r="N20980"/>
      <c r="O20980" s="24"/>
      <c r="P20980"/>
      <c r="Q20980" s="24"/>
      <c r="R20980"/>
      <c r="S20980"/>
      <c r="T20980"/>
      <c r="U20980"/>
      <c r="X20980" s="60"/>
    </row>
    <row r="20981" spans="7:24" ht="15" customHeight="1">
      <c r="G20981"/>
      <c r="I20981"/>
      <c r="N20981"/>
      <c r="O20981" s="24"/>
      <c r="P20981"/>
      <c r="Q20981" s="24"/>
      <c r="R20981"/>
      <c r="S20981"/>
      <c r="T20981"/>
      <c r="U20981"/>
      <c r="X20981" s="60"/>
    </row>
    <row r="20982" spans="7:24" ht="15" customHeight="1">
      <c r="G20982"/>
      <c r="I20982"/>
      <c r="N20982"/>
      <c r="O20982" s="24"/>
      <c r="P20982"/>
      <c r="Q20982" s="24"/>
      <c r="R20982"/>
      <c r="S20982"/>
      <c r="T20982"/>
      <c r="U20982"/>
      <c r="X20982" s="60"/>
    </row>
    <row r="20983" spans="7:24" ht="15" customHeight="1">
      <c r="G20983"/>
      <c r="I20983"/>
      <c r="N20983"/>
      <c r="O20983" s="24"/>
      <c r="P20983"/>
      <c r="Q20983" s="24"/>
      <c r="R20983"/>
      <c r="S20983"/>
      <c r="T20983"/>
      <c r="U20983"/>
      <c r="X20983" s="60"/>
    </row>
    <row r="20984" spans="7:24" ht="15" customHeight="1">
      <c r="G20984"/>
      <c r="I20984"/>
      <c r="N20984"/>
      <c r="O20984" s="24"/>
      <c r="P20984"/>
      <c r="Q20984" s="24"/>
      <c r="R20984"/>
      <c r="S20984"/>
      <c r="T20984"/>
      <c r="U20984"/>
      <c r="X20984" s="60"/>
    </row>
    <row r="20985" spans="7:24" ht="15" customHeight="1">
      <c r="G20985"/>
      <c r="I20985"/>
      <c r="N20985"/>
      <c r="O20985" s="24"/>
      <c r="P20985"/>
      <c r="Q20985" s="24"/>
      <c r="R20985"/>
      <c r="S20985"/>
      <c r="T20985"/>
      <c r="U20985"/>
      <c r="X20985" s="60"/>
    </row>
    <row r="20986" spans="7:24" ht="15" customHeight="1">
      <c r="G20986"/>
      <c r="I20986"/>
      <c r="N20986"/>
      <c r="O20986" s="24"/>
      <c r="P20986"/>
      <c r="Q20986" s="24"/>
      <c r="R20986"/>
      <c r="S20986"/>
      <c r="T20986"/>
      <c r="U20986"/>
      <c r="X20986" s="60"/>
    </row>
    <row r="20987" spans="7:24" ht="15" customHeight="1">
      <c r="G20987"/>
      <c r="I20987"/>
      <c r="N20987"/>
      <c r="O20987" s="24"/>
      <c r="P20987"/>
      <c r="Q20987" s="24"/>
      <c r="R20987"/>
      <c r="S20987"/>
      <c r="T20987"/>
      <c r="U20987"/>
      <c r="X20987" s="60"/>
    </row>
    <row r="20988" spans="7:24" ht="15" customHeight="1">
      <c r="G20988"/>
      <c r="I20988"/>
      <c r="N20988"/>
      <c r="O20988" s="24"/>
      <c r="P20988"/>
      <c r="Q20988" s="24"/>
      <c r="R20988"/>
      <c r="S20988"/>
      <c r="T20988"/>
      <c r="U20988"/>
      <c r="X20988" s="60"/>
    </row>
    <row r="20989" spans="7:24" ht="15" customHeight="1">
      <c r="G20989"/>
      <c r="I20989"/>
      <c r="N20989"/>
      <c r="O20989" s="24"/>
      <c r="P20989"/>
      <c r="Q20989" s="24"/>
      <c r="R20989"/>
      <c r="S20989"/>
      <c r="T20989"/>
      <c r="U20989"/>
      <c r="X20989" s="60"/>
    </row>
    <row r="20990" spans="7:24" ht="15" customHeight="1">
      <c r="G20990"/>
      <c r="I20990"/>
      <c r="N20990"/>
      <c r="O20990" s="24"/>
      <c r="P20990"/>
      <c r="Q20990" s="24"/>
      <c r="R20990"/>
      <c r="S20990"/>
      <c r="T20990"/>
      <c r="U20990"/>
      <c r="X20990" s="60"/>
    </row>
    <row r="20991" spans="7:24" ht="15" customHeight="1">
      <c r="G20991"/>
      <c r="I20991"/>
      <c r="N20991"/>
      <c r="O20991" s="24"/>
      <c r="P20991"/>
      <c r="Q20991" s="24"/>
      <c r="R20991"/>
      <c r="S20991"/>
      <c r="T20991"/>
      <c r="U20991"/>
      <c r="X20991" s="60"/>
    </row>
    <row r="20992" spans="7:24" ht="15" customHeight="1">
      <c r="G20992"/>
      <c r="I20992"/>
      <c r="N20992"/>
      <c r="O20992" s="24"/>
      <c r="P20992"/>
      <c r="Q20992" s="24"/>
      <c r="R20992"/>
      <c r="S20992"/>
      <c r="T20992"/>
      <c r="U20992"/>
      <c r="X20992" s="60"/>
    </row>
    <row r="20993" spans="7:24" ht="15" customHeight="1">
      <c r="G20993"/>
      <c r="I20993"/>
      <c r="N20993"/>
      <c r="O20993" s="24"/>
      <c r="P20993"/>
      <c r="Q20993" s="24"/>
      <c r="R20993"/>
      <c r="S20993"/>
      <c r="T20993"/>
      <c r="U20993"/>
      <c r="X20993" s="60"/>
    </row>
    <row r="20994" spans="7:24" ht="15" customHeight="1">
      <c r="G20994"/>
      <c r="I20994"/>
      <c r="N20994"/>
      <c r="O20994" s="24"/>
      <c r="P20994"/>
      <c r="Q20994" s="24"/>
      <c r="R20994"/>
      <c r="S20994"/>
      <c r="T20994"/>
      <c r="U20994"/>
      <c r="X20994" s="60"/>
    </row>
    <row r="20995" spans="7:24" ht="15" customHeight="1">
      <c r="G20995"/>
      <c r="I20995"/>
      <c r="N20995"/>
      <c r="O20995" s="24"/>
      <c r="P20995"/>
      <c r="Q20995" s="24"/>
      <c r="R20995"/>
      <c r="S20995"/>
      <c r="T20995"/>
      <c r="U20995"/>
      <c r="X20995" s="60"/>
    </row>
    <row r="20996" spans="7:24" ht="15" customHeight="1">
      <c r="G20996"/>
      <c r="I20996"/>
      <c r="N20996"/>
      <c r="O20996" s="24"/>
      <c r="P20996"/>
      <c r="Q20996" s="24"/>
      <c r="R20996"/>
      <c r="S20996"/>
      <c r="T20996"/>
      <c r="U20996"/>
      <c r="X20996" s="60"/>
    </row>
    <row r="20997" spans="7:24" ht="15" customHeight="1">
      <c r="G20997"/>
      <c r="I20997"/>
      <c r="N20997"/>
      <c r="O20997" s="24"/>
      <c r="P20997"/>
      <c r="Q20997" s="24"/>
      <c r="R20997"/>
      <c r="S20997"/>
      <c r="T20997"/>
      <c r="U20997"/>
      <c r="X20997" s="60"/>
    </row>
    <row r="20998" spans="7:24" ht="15" customHeight="1">
      <c r="G20998"/>
      <c r="I20998"/>
      <c r="N20998"/>
      <c r="O20998" s="24"/>
      <c r="P20998"/>
      <c r="Q20998" s="24"/>
      <c r="R20998"/>
      <c r="S20998"/>
      <c r="T20998"/>
      <c r="U20998"/>
      <c r="X20998" s="60"/>
    </row>
    <row r="20999" spans="7:24" ht="15" customHeight="1">
      <c r="G20999"/>
      <c r="I20999"/>
      <c r="N20999"/>
      <c r="O20999" s="24"/>
      <c r="P20999"/>
      <c r="Q20999" s="24"/>
      <c r="R20999"/>
      <c r="S20999"/>
      <c r="T20999"/>
      <c r="U20999"/>
      <c r="X20999" s="60"/>
    </row>
    <row r="21000" spans="7:24" ht="15" customHeight="1">
      <c r="G21000"/>
      <c r="I21000"/>
      <c r="N21000"/>
      <c r="O21000" s="24"/>
      <c r="P21000"/>
      <c r="Q21000" s="24"/>
      <c r="R21000"/>
      <c r="S21000"/>
      <c r="T21000"/>
      <c r="U21000"/>
      <c r="X21000" s="60"/>
    </row>
    <row r="21001" spans="7:24" ht="15" customHeight="1">
      <c r="G21001"/>
      <c r="I21001"/>
      <c r="N21001"/>
      <c r="O21001" s="24"/>
      <c r="P21001"/>
      <c r="Q21001" s="24"/>
      <c r="R21001"/>
      <c r="S21001"/>
      <c r="T21001"/>
      <c r="U21001"/>
      <c r="X21001" s="60"/>
    </row>
    <row r="21002" spans="7:24" ht="15" customHeight="1">
      <c r="G21002"/>
      <c r="I21002"/>
      <c r="N21002"/>
      <c r="O21002" s="24"/>
      <c r="P21002"/>
      <c r="Q21002" s="24"/>
      <c r="R21002"/>
      <c r="S21002"/>
      <c r="T21002"/>
      <c r="U21002"/>
      <c r="X21002" s="60"/>
    </row>
    <row r="21003" spans="7:24" ht="15" customHeight="1">
      <c r="G21003"/>
      <c r="I21003"/>
      <c r="N21003"/>
      <c r="O21003" s="24"/>
      <c r="P21003"/>
      <c r="Q21003" s="24"/>
      <c r="R21003"/>
      <c r="S21003"/>
      <c r="T21003"/>
      <c r="U21003"/>
      <c r="X21003" s="60"/>
    </row>
    <row r="21004" spans="7:24" ht="15" customHeight="1">
      <c r="G21004"/>
      <c r="I21004"/>
      <c r="N21004"/>
      <c r="O21004" s="24"/>
      <c r="P21004"/>
      <c r="Q21004" s="24"/>
      <c r="R21004"/>
      <c r="S21004"/>
      <c r="T21004"/>
      <c r="U21004"/>
      <c r="X21004" s="60"/>
    </row>
    <row r="21005" spans="7:24" ht="15" customHeight="1">
      <c r="G21005"/>
      <c r="I21005"/>
      <c r="N21005"/>
      <c r="O21005" s="24"/>
      <c r="P21005"/>
      <c r="Q21005" s="24"/>
      <c r="R21005"/>
      <c r="S21005"/>
      <c r="T21005"/>
      <c r="U21005"/>
      <c r="X21005" s="60"/>
    </row>
    <row r="21006" spans="7:24" ht="15" customHeight="1">
      <c r="G21006"/>
      <c r="I21006"/>
      <c r="N21006"/>
      <c r="O21006" s="24"/>
      <c r="P21006"/>
      <c r="Q21006" s="24"/>
      <c r="R21006"/>
      <c r="S21006"/>
      <c r="T21006"/>
      <c r="U21006"/>
      <c r="X21006" s="60"/>
    </row>
    <row r="21007" spans="7:24" ht="15" customHeight="1">
      <c r="G21007"/>
      <c r="I21007"/>
      <c r="N21007"/>
      <c r="O21007" s="24"/>
      <c r="P21007"/>
      <c r="Q21007" s="24"/>
      <c r="R21007"/>
      <c r="S21007"/>
      <c r="T21007"/>
      <c r="U21007"/>
      <c r="X21007" s="60"/>
    </row>
    <row r="21008" spans="7:24" ht="15" customHeight="1">
      <c r="G21008"/>
      <c r="I21008"/>
      <c r="N21008"/>
      <c r="O21008" s="24"/>
      <c r="P21008"/>
      <c r="Q21008" s="24"/>
      <c r="R21008"/>
      <c r="S21008"/>
      <c r="T21008"/>
      <c r="U21008"/>
      <c r="X21008" s="60"/>
    </row>
    <row r="21009" spans="7:24" ht="15" customHeight="1">
      <c r="G21009"/>
      <c r="I21009"/>
      <c r="N21009"/>
      <c r="O21009" s="24"/>
      <c r="P21009"/>
      <c r="Q21009" s="24"/>
      <c r="R21009"/>
      <c r="S21009"/>
      <c r="T21009"/>
      <c r="U21009"/>
      <c r="X21009" s="60"/>
    </row>
    <row r="21010" spans="7:24" ht="15" customHeight="1">
      <c r="G21010"/>
      <c r="I21010"/>
      <c r="N21010"/>
      <c r="O21010" s="24"/>
      <c r="P21010"/>
      <c r="Q21010" s="24"/>
      <c r="R21010"/>
      <c r="S21010"/>
      <c r="T21010"/>
      <c r="U21010"/>
      <c r="X21010" s="60"/>
    </row>
    <row r="21011" spans="7:24" ht="15" customHeight="1">
      <c r="G21011"/>
      <c r="I21011"/>
      <c r="N21011"/>
      <c r="O21011" s="24"/>
      <c r="P21011"/>
      <c r="Q21011" s="24"/>
      <c r="R21011"/>
      <c r="S21011"/>
      <c r="T21011"/>
      <c r="U21011"/>
      <c r="X21011" s="60"/>
    </row>
    <row r="21012" spans="7:24" ht="15" customHeight="1">
      <c r="G21012"/>
      <c r="I21012"/>
      <c r="N21012"/>
      <c r="O21012" s="24"/>
      <c r="P21012"/>
      <c r="Q21012" s="24"/>
      <c r="R21012"/>
      <c r="S21012"/>
      <c r="T21012"/>
      <c r="U21012"/>
      <c r="X21012" s="60"/>
    </row>
    <row r="21013" spans="7:24" ht="15" customHeight="1">
      <c r="G21013"/>
      <c r="I21013"/>
      <c r="N21013"/>
      <c r="O21013" s="24"/>
      <c r="P21013"/>
      <c r="Q21013" s="24"/>
      <c r="R21013"/>
      <c r="S21013"/>
      <c r="T21013"/>
      <c r="U21013"/>
      <c r="X21013" s="60"/>
    </row>
    <row r="21014" spans="7:24" ht="15" customHeight="1">
      <c r="G21014"/>
      <c r="I21014"/>
      <c r="N21014"/>
      <c r="O21014" s="24"/>
      <c r="P21014"/>
      <c r="Q21014" s="24"/>
      <c r="R21014"/>
      <c r="S21014"/>
      <c r="T21014"/>
      <c r="U21014"/>
      <c r="X21014" s="60"/>
    </row>
    <row r="21015" spans="7:24" ht="15" customHeight="1">
      <c r="G21015"/>
      <c r="I21015"/>
      <c r="N21015"/>
      <c r="O21015" s="24"/>
      <c r="P21015"/>
      <c r="Q21015" s="24"/>
      <c r="R21015"/>
      <c r="S21015"/>
      <c r="T21015"/>
      <c r="U21015"/>
      <c r="X21015" s="60"/>
    </row>
    <row r="21016" spans="7:24" ht="15" customHeight="1">
      <c r="G21016"/>
      <c r="I21016"/>
      <c r="N21016"/>
      <c r="O21016" s="24"/>
      <c r="P21016"/>
      <c r="Q21016" s="24"/>
      <c r="R21016"/>
      <c r="S21016"/>
      <c r="T21016"/>
      <c r="U21016"/>
      <c r="X21016" s="60"/>
    </row>
    <row r="21017" spans="7:24" ht="15" customHeight="1">
      <c r="G21017"/>
      <c r="I21017"/>
      <c r="N21017"/>
      <c r="O21017" s="24"/>
      <c r="P21017"/>
      <c r="Q21017" s="24"/>
      <c r="R21017"/>
      <c r="S21017"/>
      <c r="T21017"/>
      <c r="U21017"/>
      <c r="X21017" s="60"/>
    </row>
    <row r="21018" spans="7:24" ht="15" customHeight="1">
      <c r="G21018"/>
      <c r="I21018"/>
      <c r="N21018"/>
      <c r="O21018" s="24"/>
      <c r="P21018"/>
      <c r="Q21018" s="24"/>
      <c r="R21018"/>
      <c r="S21018"/>
      <c r="T21018"/>
      <c r="U21018"/>
      <c r="X21018" s="60"/>
    </row>
    <row r="21019" spans="7:24" ht="15" customHeight="1">
      <c r="G21019"/>
      <c r="I21019"/>
      <c r="N21019"/>
      <c r="O21019" s="24"/>
      <c r="P21019"/>
      <c r="Q21019" s="24"/>
      <c r="R21019"/>
      <c r="S21019"/>
      <c r="T21019"/>
      <c r="U21019"/>
      <c r="X21019" s="60"/>
    </row>
    <row r="21020" spans="7:24" ht="15" customHeight="1">
      <c r="G21020"/>
      <c r="I21020"/>
      <c r="N21020"/>
      <c r="O21020" s="24"/>
      <c r="P21020"/>
      <c r="Q21020" s="24"/>
      <c r="R21020"/>
      <c r="S21020"/>
      <c r="T21020"/>
      <c r="U21020"/>
      <c r="X21020" s="60"/>
    </row>
    <row r="21021" spans="7:24" ht="15" customHeight="1">
      <c r="G21021"/>
      <c r="I21021"/>
      <c r="N21021"/>
      <c r="O21021" s="24"/>
      <c r="P21021"/>
      <c r="Q21021" s="24"/>
      <c r="R21021"/>
      <c r="S21021"/>
      <c r="T21021"/>
      <c r="U21021"/>
      <c r="X21021" s="60"/>
    </row>
    <row r="21022" spans="7:24" ht="15" customHeight="1">
      <c r="G21022"/>
      <c r="I21022"/>
      <c r="N21022"/>
      <c r="O21022" s="24"/>
      <c r="P21022"/>
      <c r="Q21022" s="24"/>
      <c r="R21022"/>
      <c r="S21022"/>
      <c r="T21022"/>
      <c r="U21022"/>
      <c r="X21022" s="60"/>
    </row>
    <row r="21023" spans="7:24" ht="15" customHeight="1">
      <c r="G21023"/>
      <c r="I21023"/>
      <c r="N21023"/>
      <c r="O21023" s="24"/>
      <c r="P21023"/>
      <c r="Q21023" s="24"/>
      <c r="R21023"/>
      <c r="S21023"/>
      <c r="T21023"/>
      <c r="U21023"/>
      <c r="X21023" s="60"/>
    </row>
    <row r="21024" spans="7:24" ht="15" customHeight="1">
      <c r="G21024"/>
      <c r="I21024"/>
      <c r="N21024"/>
      <c r="O21024" s="24"/>
      <c r="P21024"/>
      <c r="Q21024" s="24"/>
      <c r="R21024"/>
      <c r="S21024"/>
      <c r="T21024"/>
      <c r="U21024"/>
      <c r="X21024" s="60"/>
    </row>
    <row r="21025" spans="7:24" ht="15" customHeight="1">
      <c r="G21025"/>
      <c r="I21025"/>
      <c r="N21025"/>
      <c r="O21025" s="24"/>
      <c r="P21025"/>
      <c r="Q21025" s="24"/>
      <c r="R21025"/>
      <c r="S21025"/>
      <c r="T21025"/>
      <c r="U21025"/>
      <c r="X21025" s="60"/>
    </row>
    <row r="21026" spans="7:24" ht="15" customHeight="1">
      <c r="G21026"/>
      <c r="I21026"/>
      <c r="N21026"/>
      <c r="O21026" s="24"/>
      <c r="P21026"/>
      <c r="Q21026" s="24"/>
      <c r="R21026"/>
      <c r="S21026"/>
      <c r="T21026"/>
      <c r="U21026"/>
      <c r="X21026" s="60"/>
    </row>
    <row r="21027" spans="7:24" ht="15" customHeight="1">
      <c r="G21027"/>
      <c r="I21027"/>
      <c r="N21027"/>
      <c r="O21027" s="24"/>
      <c r="P21027"/>
      <c r="Q21027" s="24"/>
      <c r="R21027"/>
      <c r="S21027"/>
      <c r="T21027"/>
      <c r="U21027"/>
      <c r="X21027" s="60"/>
    </row>
    <row r="21028" spans="7:24" ht="15" customHeight="1">
      <c r="G21028"/>
      <c r="I21028"/>
      <c r="N21028"/>
      <c r="O21028" s="24"/>
      <c r="P21028"/>
      <c r="Q21028" s="24"/>
      <c r="R21028"/>
      <c r="S21028"/>
      <c r="T21028"/>
      <c r="U21028"/>
      <c r="X21028" s="60"/>
    </row>
    <row r="21029" spans="7:24" ht="15" customHeight="1">
      <c r="G21029"/>
      <c r="I21029"/>
      <c r="N21029"/>
      <c r="O21029" s="24"/>
      <c r="P21029"/>
      <c r="Q21029" s="24"/>
      <c r="R21029"/>
      <c r="S21029"/>
      <c r="T21029"/>
      <c r="U21029"/>
      <c r="X21029" s="60"/>
    </row>
    <row r="21030" spans="7:24" ht="15" customHeight="1">
      <c r="G21030"/>
      <c r="I21030"/>
      <c r="N21030"/>
      <c r="O21030" s="24"/>
      <c r="P21030"/>
      <c r="Q21030" s="24"/>
      <c r="R21030"/>
      <c r="S21030"/>
      <c r="T21030"/>
      <c r="U21030"/>
      <c r="X21030" s="60"/>
    </row>
    <row r="21031" spans="7:24" ht="15" customHeight="1">
      <c r="G21031"/>
      <c r="I21031"/>
      <c r="N21031"/>
      <c r="O21031" s="24"/>
      <c r="P21031"/>
      <c r="Q21031" s="24"/>
      <c r="R21031"/>
      <c r="S21031"/>
      <c r="T21031"/>
      <c r="U21031"/>
      <c r="X21031" s="60"/>
    </row>
    <row r="21032" spans="7:24" ht="15" customHeight="1">
      <c r="G21032"/>
      <c r="I21032"/>
      <c r="N21032"/>
      <c r="O21032" s="24"/>
      <c r="P21032"/>
      <c r="Q21032" s="24"/>
      <c r="R21032"/>
      <c r="S21032"/>
      <c r="T21032"/>
      <c r="U21032"/>
      <c r="X21032" s="60"/>
    </row>
    <row r="21033" spans="7:24" ht="15" customHeight="1">
      <c r="G21033"/>
      <c r="I21033"/>
      <c r="N21033"/>
      <c r="O21033" s="24"/>
      <c r="P21033"/>
      <c r="Q21033" s="24"/>
      <c r="R21033"/>
      <c r="S21033"/>
      <c r="T21033"/>
      <c r="U21033"/>
      <c r="X21033" s="60"/>
    </row>
    <row r="21034" spans="7:24" ht="15" customHeight="1">
      <c r="G21034"/>
      <c r="I21034"/>
      <c r="N21034"/>
      <c r="O21034" s="24"/>
      <c r="P21034"/>
      <c r="Q21034" s="24"/>
      <c r="R21034"/>
      <c r="S21034"/>
      <c r="T21034"/>
      <c r="U21034"/>
      <c r="X21034" s="60"/>
    </row>
    <row r="21035" spans="7:24" ht="15" customHeight="1">
      <c r="G21035"/>
      <c r="I21035"/>
      <c r="N21035"/>
      <c r="O21035" s="24"/>
      <c r="P21035"/>
      <c r="Q21035" s="24"/>
      <c r="R21035"/>
      <c r="S21035"/>
      <c r="T21035"/>
      <c r="U21035"/>
      <c r="X21035" s="60"/>
    </row>
    <row r="21036" spans="7:24" ht="15" customHeight="1">
      <c r="G21036"/>
      <c r="I21036"/>
      <c r="N21036"/>
      <c r="O21036" s="24"/>
      <c r="P21036"/>
      <c r="Q21036" s="24"/>
      <c r="R21036"/>
      <c r="S21036"/>
      <c r="T21036"/>
      <c r="U21036"/>
      <c r="X21036" s="60"/>
    </row>
    <row r="21037" spans="7:24" ht="15" customHeight="1">
      <c r="G21037"/>
      <c r="I21037"/>
      <c r="N21037"/>
      <c r="O21037" s="24"/>
      <c r="P21037"/>
      <c r="Q21037" s="24"/>
      <c r="R21037"/>
      <c r="S21037"/>
      <c r="T21037"/>
      <c r="U21037"/>
      <c r="X21037" s="60"/>
    </row>
    <row r="21038" spans="7:24" ht="15" customHeight="1">
      <c r="G21038"/>
      <c r="I21038"/>
      <c r="N21038"/>
      <c r="O21038" s="24"/>
      <c r="P21038"/>
      <c r="Q21038" s="24"/>
      <c r="R21038"/>
      <c r="S21038"/>
      <c r="T21038"/>
      <c r="U21038"/>
      <c r="X21038" s="60"/>
    </row>
    <row r="21039" spans="7:24" ht="15" customHeight="1">
      <c r="G21039"/>
      <c r="I21039"/>
      <c r="N21039"/>
      <c r="O21039" s="24"/>
      <c r="P21039"/>
      <c r="Q21039" s="24"/>
      <c r="R21039"/>
      <c r="S21039"/>
      <c r="T21039"/>
      <c r="U21039"/>
      <c r="X21039" s="60"/>
    </row>
    <row r="21040" spans="7:24" ht="15" customHeight="1">
      <c r="G21040"/>
      <c r="I21040"/>
      <c r="N21040"/>
      <c r="O21040" s="24"/>
      <c r="P21040"/>
      <c r="Q21040" s="24"/>
      <c r="R21040"/>
      <c r="S21040"/>
      <c r="T21040"/>
      <c r="U21040"/>
      <c r="X21040" s="60"/>
    </row>
    <row r="21041" spans="7:24" ht="15" customHeight="1">
      <c r="G21041"/>
      <c r="I21041"/>
      <c r="N21041"/>
      <c r="O21041" s="24"/>
      <c r="P21041"/>
      <c r="Q21041" s="24"/>
      <c r="R21041"/>
      <c r="S21041"/>
      <c r="T21041"/>
      <c r="U21041"/>
      <c r="X21041" s="60"/>
    </row>
    <row r="21042" spans="7:24" ht="15" customHeight="1">
      <c r="G21042"/>
      <c r="I21042"/>
      <c r="N21042"/>
      <c r="O21042" s="24"/>
      <c r="P21042"/>
      <c r="Q21042" s="24"/>
      <c r="R21042"/>
      <c r="S21042"/>
      <c r="T21042"/>
      <c r="U21042"/>
      <c r="X21042" s="60"/>
    </row>
    <row r="21043" spans="7:24" ht="15" customHeight="1">
      <c r="G21043"/>
      <c r="I21043"/>
      <c r="N21043"/>
      <c r="O21043" s="24"/>
      <c r="P21043"/>
      <c r="Q21043" s="24"/>
      <c r="R21043"/>
      <c r="S21043"/>
      <c r="T21043"/>
      <c r="U21043"/>
      <c r="X21043" s="60"/>
    </row>
    <row r="21044" spans="7:24" ht="15" customHeight="1">
      <c r="G21044"/>
      <c r="I21044"/>
      <c r="N21044"/>
      <c r="O21044" s="24"/>
      <c r="P21044"/>
      <c r="Q21044" s="24"/>
      <c r="R21044"/>
      <c r="S21044"/>
      <c r="T21044"/>
      <c r="U21044"/>
      <c r="X21044" s="60"/>
    </row>
    <row r="21045" spans="7:24" ht="15" customHeight="1">
      <c r="G21045"/>
      <c r="I21045"/>
      <c r="N21045"/>
      <c r="O21045" s="24"/>
      <c r="P21045"/>
      <c r="Q21045" s="24"/>
      <c r="R21045"/>
      <c r="S21045"/>
      <c r="T21045"/>
      <c r="U21045"/>
      <c r="X21045" s="60"/>
    </row>
    <row r="21046" spans="7:24" ht="15" customHeight="1">
      <c r="G21046"/>
      <c r="I21046"/>
      <c r="N21046"/>
      <c r="O21046" s="24"/>
      <c r="P21046"/>
      <c r="Q21046" s="24"/>
      <c r="R21046"/>
      <c r="S21046"/>
      <c r="T21046"/>
      <c r="U21046"/>
      <c r="X21046" s="60"/>
    </row>
    <row r="21047" spans="7:24" ht="15" customHeight="1">
      <c r="G21047"/>
      <c r="I21047"/>
      <c r="N21047"/>
      <c r="O21047" s="24"/>
      <c r="P21047"/>
      <c r="Q21047" s="24"/>
      <c r="R21047"/>
      <c r="S21047"/>
      <c r="T21047"/>
      <c r="U21047"/>
      <c r="X21047" s="60"/>
    </row>
    <row r="21048" spans="7:24" ht="15" customHeight="1">
      <c r="G21048"/>
      <c r="I21048"/>
      <c r="N21048"/>
      <c r="O21048" s="24"/>
      <c r="P21048"/>
      <c r="Q21048" s="24"/>
      <c r="R21048"/>
      <c r="S21048"/>
      <c r="T21048"/>
      <c r="U21048"/>
      <c r="X21048" s="60"/>
    </row>
    <row r="21049" spans="7:24" ht="15" customHeight="1">
      <c r="G21049"/>
      <c r="I21049"/>
      <c r="N21049"/>
      <c r="O21049" s="24"/>
      <c r="P21049"/>
      <c r="Q21049" s="24"/>
      <c r="R21049"/>
      <c r="S21049"/>
      <c r="T21049"/>
      <c r="U21049"/>
      <c r="X21049" s="60"/>
    </row>
    <row r="21050" spans="7:24" ht="15" customHeight="1">
      <c r="G21050"/>
      <c r="I21050"/>
      <c r="N21050"/>
      <c r="O21050" s="24"/>
      <c r="P21050"/>
      <c r="Q21050" s="24"/>
      <c r="R21050"/>
      <c r="S21050"/>
      <c r="T21050"/>
      <c r="U21050"/>
      <c r="X21050" s="60"/>
    </row>
    <row r="21051" spans="7:24" ht="15" customHeight="1">
      <c r="G21051"/>
      <c r="I21051"/>
      <c r="N21051"/>
      <c r="O21051" s="24"/>
      <c r="P21051"/>
      <c r="Q21051" s="24"/>
      <c r="R21051"/>
      <c r="S21051"/>
      <c r="T21051"/>
      <c r="U21051"/>
      <c r="X21051" s="60"/>
    </row>
    <row r="21052" spans="7:24" ht="15" customHeight="1">
      <c r="G21052"/>
      <c r="I21052"/>
      <c r="N21052"/>
      <c r="O21052" s="24"/>
      <c r="P21052"/>
      <c r="Q21052" s="24"/>
      <c r="R21052"/>
      <c r="S21052"/>
      <c r="T21052"/>
      <c r="U21052"/>
      <c r="X21052" s="60"/>
    </row>
    <row r="21053" spans="7:24" ht="15" customHeight="1">
      <c r="G21053"/>
      <c r="I21053"/>
      <c r="N21053"/>
      <c r="O21053" s="24"/>
      <c r="P21053"/>
      <c r="Q21053" s="24"/>
      <c r="R21053"/>
      <c r="S21053"/>
      <c r="T21053"/>
      <c r="U21053"/>
      <c r="X21053" s="60"/>
    </row>
    <row r="21054" spans="7:24" ht="15" customHeight="1">
      <c r="G21054"/>
      <c r="I21054"/>
      <c r="N21054"/>
      <c r="O21054" s="24"/>
      <c r="P21054"/>
      <c r="Q21054" s="24"/>
      <c r="R21054"/>
      <c r="S21054"/>
      <c r="T21054"/>
      <c r="U21054"/>
      <c r="X21054" s="60"/>
    </row>
    <row r="21055" spans="7:24" ht="15" customHeight="1">
      <c r="G21055"/>
      <c r="I21055"/>
      <c r="N21055"/>
      <c r="O21055" s="24"/>
      <c r="P21055"/>
      <c r="Q21055" s="24"/>
      <c r="R21055"/>
      <c r="S21055"/>
      <c r="T21055"/>
      <c r="U21055"/>
      <c r="X21055" s="60"/>
    </row>
    <row r="21056" spans="7:24" ht="15" customHeight="1">
      <c r="G21056"/>
      <c r="I21056"/>
      <c r="N21056"/>
      <c r="O21056" s="24"/>
      <c r="P21056"/>
      <c r="Q21056" s="24"/>
      <c r="R21056"/>
      <c r="S21056"/>
      <c r="T21056"/>
      <c r="U21056"/>
      <c r="X21056" s="60"/>
    </row>
    <row r="21057" spans="7:24" ht="15" customHeight="1">
      <c r="G21057"/>
      <c r="I21057"/>
      <c r="N21057"/>
      <c r="O21057" s="24"/>
      <c r="P21057"/>
      <c r="Q21057" s="24"/>
      <c r="R21057"/>
      <c r="S21057"/>
      <c r="T21057"/>
      <c r="U21057"/>
      <c r="X21057" s="60"/>
    </row>
    <row r="21058" spans="7:24" ht="15" customHeight="1">
      <c r="G21058"/>
      <c r="I21058"/>
      <c r="N21058"/>
      <c r="O21058" s="24"/>
      <c r="P21058"/>
      <c r="Q21058" s="24"/>
      <c r="R21058"/>
      <c r="S21058"/>
      <c r="T21058"/>
      <c r="U21058"/>
      <c r="X21058" s="60"/>
    </row>
    <row r="21059" spans="7:24" ht="15" customHeight="1">
      <c r="G21059"/>
      <c r="I21059"/>
      <c r="N21059"/>
      <c r="O21059" s="24"/>
      <c r="P21059"/>
      <c r="Q21059" s="24"/>
      <c r="R21059"/>
      <c r="S21059"/>
      <c r="T21059"/>
      <c r="U21059"/>
      <c r="X21059" s="60"/>
    </row>
    <row r="21060" spans="7:24" ht="15" customHeight="1">
      <c r="G21060"/>
      <c r="I21060"/>
      <c r="N21060"/>
      <c r="O21060" s="24"/>
      <c r="P21060"/>
      <c r="Q21060" s="24"/>
      <c r="R21060"/>
      <c r="S21060"/>
      <c r="T21060"/>
      <c r="U21060"/>
      <c r="X21060" s="60"/>
    </row>
    <row r="21061" spans="7:24" ht="15" customHeight="1">
      <c r="G21061"/>
      <c r="I21061"/>
      <c r="N21061"/>
      <c r="O21061" s="24"/>
      <c r="P21061"/>
      <c r="Q21061" s="24"/>
      <c r="R21061"/>
      <c r="S21061"/>
      <c r="T21061"/>
      <c r="U21061"/>
      <c r="X21061" s="60"/>
    </row>
    <row r="21062" spans="7:24" ht="15" customHeight="1">
      <c r="G21062"/>
      <c r="I21062"/>
      <c r="N21062"/>
      <c r="O21062" s="24"/>
      <c r="P21062"/>
      <c r="Q21062" s="24"/>
      <c r="R21062"/>
      <c r="S21062"/>
      <c r="T21062"/>
      <c r="U21062"/>
      <c r="X21062" s="60"/>
    </row>
    <row r="21063" spans="7:24" ht="15" customHeight="1">
      <c r="G21063"/>
      <c r="I21063"/>
      <c r="N21063"/>
      <c r="O21063" s="24"/>
      <c r="P21063"/>
      <c r="Q21063" s="24"/>
      <c r="R21063"/>
      <c r="S21063"/>
      <c r="T21063"/>
      <c r="U21063"/>
      <c r="X21063" s="60"/>
    </row>
    <row r="21064" spans="7:24" ht="15" customHeight="1">
      <c r="G21064"/>
      <c r="I21064"/>
      <c r="N21064"/>
      <c r="O21064" s="24"/>
      <c r="P21064"/>
      <c r="Q21064" s="24"/>
      <c r="R21064"/>
      <c r="S21064"/>
      <c r="T21064"/>
      <c r="U21064"/>
      <c r="X21064" s="60"/>
    </row>
    <row r="21065" spans="7:24" ht="15" customHeight="1">
      <c r="G21065"/>
      <c r="I21065"/>
      <c r="N21065"/>
      <c r="O21065" s="24"/>
      <c r="P21065"/>
      <c r="Q21065" s="24"/>
      <c r="R21065"/>
      <c r="S21065"/>
      <c r="T21065"/>
      <c r="U21065"/>
      <c r="X21065" s="60"/>
    </row>
    <row r="21066" spans="7:24" ht="15" customHeight="1">
      <c r="G21066"/>
      <c r="I21066"/>
      <c r="N21066"/>
      <c r="O21066" s="24"/>
      <c r="P21066"/>
      <c r="Q21066" s="24"/>
      <c r="R21066"/>
      <c r="S21066"/>
      <c r="T21066"/>
      <c r="U21066"/>
      <c r="X21066" s="60"/>
    </row>
    <row r="21067" spans="7:24" ht="15" customHeight="1">
      <c r="G21067"/>
      <c r="I21067"/>
      <c r="N21067"/>
      <c r="O21067" s="24"/>
      <c r="P21067"/>
      <c r="Q21067" s="24"/>
      <c r="R21067"/>
      <c r="S21067"/>
      <c r="T21067"/>
      <c r="U21067"/>
      <c r="X21067" s="60"/>
    </row>
    <row r="21068" spans="7:24" ht="15" customHeight="1">
      <c r="G21068"/>
      <c r="I21068"/>
      <c r="N21068"/>
      <c r="O21068" s="24"/>
      <c r="P21068"/>
      <c r="Q21068" s="24"/>
      <c r="R21068"/>
      <c r="S21068"/>
      <c r="T21068"/>
      <c r="U21068"/>
      <c r="X21068" s="60"/>
    </row>
    <row r="21069" spans="7:24" ht="15" customHeight="1">
      <c r="G21069"/>
      <c r="I21069"/>
      <c r="N21069"/>
      <c r="O21069" s="24"/>
      <c r="P21069"/>
      <c r="Q21069" s="24"/>
      <c r="R21069"/>
      <c r="S21069"/>
      <c r="T21069"/>
      <c r="U21069"/>
      <c r="X21069" s="60"/>
    </row>
    <row r="21070" spans="7:24" ht="15" customHeight="1">
      <c r="G21070"/>
      <c r="I21070"/>
      <c r="N21070"/>
      <c r="O21070" s="24"/>
      <c r="P21070"/>
      <c r="Q21070" s="24"/>
      <c r="R21070"/>
      <c r="S21070"/>
      <c r="T21070"/>
      <c r="U21070"/>
      <c r="X21070" s="60"/>
    </row>
    <row r="21071" spans="7:24" ht="15" customHeight="1">
      <c r="G21071"/>
      <c r="I21071"/>
      <c r="N21071"/>
      <c r="O21071" s="24"/>
      <c r="P21071"/>
      <c r="Q21071" s="24"/>
      <c r="R21071"/>
      <c r="S21071"/>
      <c r="T21071"/>
      <c r="U21071"/>
      <c r="X21071" s="60"/>
    </row>
    <row r="21072" spans="7:24" ht="15" customHeight="1">
      <c r="G21072"/>
      <c r="I21072"/>
      <c r="N21072"/>
      <c r="O21072" s="24"/>
      <c r="P21072"/>
      <c r="Q21072" s="24"/>
      <c r="R21072"/>
      <c r="S21072"/>
      <c r="T21072"/>
      <c r="U21072"/>
      <c r="X21072" s="60"/>
    </row>
    <row r="21073" spans="7:24" ht="15" customHeight="1">
      <c r="G21073"/>
      <c r="I21073"/>
      <c r="N21073"/>
      <c r="O21073" s="24"/>
      <c r="P21073"/>
      <c r="Q21073" s="24"/>
      <c r="R21073"/>
      <c r="S21073"/>
      <c r="T21073"/>
      <c r="U21073"/>
      <c r="X21073" s="60"/>
    </row>
    <row r="21074" spans="7:24" ht="15" customHeight="1">
      <c r="G21074"/>
      <c r="I21074"/>
      <c r="N21074"/>
      <c r="O21074" s="24"/>
      <c r="P21074"/>
      <c r="Q21074" s="24"/>
      <c r="R21074"/>
      <c r="S21074"/>
      <c r="T21074"/>
      <c r="U21074"/>
      <c r="X21074" s="60"/>
    </row>
    <row r="21075" spans="7:24" ht="15" customHeight="1">
      <c r="G21075"/>
      <c r="I21075"/>
      <c r="N21075"/>
      <c r="O21075" s="24"/>
      <c r="P21075"/>
      <c r="Q21075" s="24"/>
      <c r="R21075"/>
      <c r="S21075"/>
      <c r="T21075"/>
      <c r="U21075"/>
      <c r="X21075" s="60"/>
    </row>
    <row r="21076" spans="7:24" ht="15" customHeight="1">
      <c r="G21076"/>
      <c r="I21076"/>
      <c r="N21076"/>
      <c r="O21076" s="24"/>
      <c r="P21076"/>
      <c r="Q21076" s="24"/>
      <c r="R21076"/>
      <c r="S21076"/>
      <c r="T21076"/>
      <c r="U21076"/>
      <c r="X21076" s="60"/>
    </row>
    <row r="21077" spans="7:24" ht="15" customHeight="1">
      <c r="G21077"/>
      <c r="I21077"/>
      <c r="N21077"/>
      <c r="O21077" s="24"/>
      <c r="P21077"/>
      <c r="Q21077" s="24"/>
      <c r="R21077"/>
      <c r="S21077"/>
      <c r="T21077"/>
      <c r="U21077"/>
      <c r="X21077" s="60"/>
    </row>
    <row r="21078" spans="7:24" ht="15" customHeight="1">
      <c r="G21078"/>
      <c r="I21078"/>
      <c r="N21078"/>
      <c r="O21078" s="24"/>
      <c r="P21078"/>
      <c r="Q21078" s="24"/>
      <c r="R21078"/>
      <c r="S21078"/>
      <c r="T21078"/>
      <c r="U21078"/>
      <c r="X21078" s="60"/>
    </row>
    <row r="21079" spans="7:24" ht="15" customHeight="1">
      <c r="G21079"/>
      <c r="I21079"/>
      <c r="N21079"/>
      <c r="O21079" s="24"/>
      <c r="P21079"/>
      <c r="Q21079" s="24"/>
      <c r="R21079"/>
      <c r="S21079"/>
      <c r="T21079"/>
      <c r="U21079"/>
      <c r="X21079" s="60"/>
    </row>
    <row r="21080" spans="7:24" ht="15" customHeight="1">
      <c r="G21080"/>
      <c r="I21080"/>
      <c r="N21080"/>
      <c r="O21080" s="24"/>
      <c r="P21080"/>
      <c r="Q21080" s="24"/>
      <c r="R21080"/>
      <c r="S21080"/>
      <c r="T21080"/>
      <c r="U21080"/>
      <c r="X21080" s="60"/>
    </row>
    <row r="21081" spans="7:24" ht="15" customHeight="1">
      <c r="G21081"/>
      <c r="I21081"/>
      <c r="N21081"/>
      <c r="O21081" s="24"/>
      <c r="P21081"/>
      <c r="Q21081" s="24"/>
      <c r="R21081"/>
      <c r="S21081"/>
      <c r="T21081"/>
      <c r="U21081"/>
      <c r="X21081" s="60"/>
    </row>
    <row r="21082" spans="7:24" ht="15" customHeight="1">
      <c r="G21082"/>
      <c r="I21082"/>
      <c r="N21082"/>
      <c r="O21082" s="24"/>
      <c r="P21082"/>
      <c r="Q21082" s="24"/>
      <c r="R21082"/>
      <c r="S21082"/>
      <c r="T21082"/>
      <c r="U21082"/>
      <c r="X21082" s="60"/>
    </row>
    <row r="21083" spans="7:24" ht="15" customHeight="1">
      <c r="G21083"/>
      <c r="I21083"/>
      <c r="N21083"/>
      <c r="O21083" s="24"/>
      <c r="P21083"/>
      <c r="Q21083" s="24"/>
      <c r="R21083"/>
      <c r="S21083"/>
      <c r="T21083"/>
      <c r="U21083"/>
      <c r="X21083" s="60"/>
    </row>
    <row r="21084" spans="7:24" ht="15" customHeight="1">
      <c r="G21084"/>
      <c r="I21084"/>
      <c r="N21084"/>
      <c r="O21084" s="24"/>
      <c r="P21084"/>
      <c r="Q21084" s="24"/>
      <c r="R21084"/>
      <c r="S21084"/>
      <c r="T21084"/>
      <c r="U21084"/>
      <c r="X21084" s="60"/>
    </row>
    <row r="21085" spans="7:24" ht="15" customHeight="1">
      <c r="G21085"/>
      <c r="I21085"/>
      <c r="N21085"/>
      <c r="O21085" s="24"/>
      <c r="P21085"/>
      <c r="Q21085" s="24"/>
      <c r="R21085"/>
      <c r="S21085"/>
      <c r="T21085"/>
      <c r="U21085"/>
      <c r="X21085" s="60"/>
    </row>
    <row r="21086" spans="7:24" ht="15" customHeight="1">
      <c r="G21086"/>
      <c r="I21086"/>
      <c r="N21086"/>
      <c r="O21086" s="24"/>
      <c r="P21086"/>
      <c r="Q21086" s="24"/>
      <c r="R21086"/>
      <c r="S21086"/>
      <c r="T21086"/>
      <c r="U21086"/>
      <c r="X21086" s="60"/>
    </row>
    <row r="21087" spans="7:24" ht="15" customHeight="1">
      <c r="G21087"/>
      <c r="I21087"/>
      <c r="N21087"/>
      <c r="O21087" s="24"/>
      <c r="P21087"/>
      <c r="Q21087" s="24"/>
      <c r="R21087"/>
      <c r="S21087"/>
      <c r="T21087"/>
      <c r="U21087"/>
      <c r="X21087" s="60"/>
    </row>
    <row r="21088" spans="7:24" ht="15" customHeight="1">
      <c r="G21088"/>
      <c r="I21088"/>
      <c r="N21088"/>
      <c r="O21088" s="24"/>
      <c r="P21088"/>
      <c r="Q21088" s="24"/>
      <c r="R21088"/>
      <c r="S21088"/>
      <c r="T21088"/>
      <c r="U21088"/>
      <c r="X21088" s="60"/>
    </row>
    <row r="21089" spans="7:24" ht="15" customHeight="1">
      <c r="G21089"/>
      <c r="I21089"/>
      <c r="N21089"/>
      <c r="O21089" s="24"/>
      <c r="P21089"/>
      <c r="Q21089" s="24"/>
      <c r="R21089"/>
      <c r="S21089"/>
      <c r="T21089"/>
      <c r="U21089"/>
      <c r="X21089" s="60"/>
    </row>
    <row r="21090" spans="7:24" ht="15" customHeight="1">
      <c r="G21090"/>
      <c r="I21090"/>
      <c r="N21090"/>
      <c r="O21090" s="24"/>
      <c r="P21090"/>
      <c r="Q21090" s="24"/>
      <c r="R21090"/>
      <c r="S21090"/>
      <c r="T21090"/>
      <c r="U21090"/>
      <c r="X21090" s="60"/>
    </row>
    <row r="21091" spans="7:24" ht="15" customHeight="1">
      <c r="G21091"/>
      <c r="I21091"/>
      <c r="N21091"/>
      <c r="O21091" s="24"/>
      <c r="P21091"/>
      <c r="Q21091" s="24"/>
      <c r="R21091"/>
      <c r="S21091"/>
      <c r="T21091"/>
      <c r="U21091"/>
      <c r="X21091" s="60"/>
    </row>
    <row r="21092" spans="7:24" ht="15" customHeight="1">
      <c r="G21092"/>
      <c r="I21092"/>
      <c r="N21092"/>
      <c r="O21092" s="24"/>
      <c r="P21092"/>
      <c r="Q21092" s="24"/>
      <c r="R21092"/>
      <c r="S21092"/>
      <c r="T21092"/>
      <c r="U21092"/>
      <c r="X21092" s="60"/>
    </row>
    <row r="21093" spans="7:24" ht="15" customHeight="1">
      <c r="G21093"/>
      <c r="I21093"/>
      <c r="N21093"/>
      <c r="O21093" s="24"/>
      <c r="P21093"/>
      <c r="Q21093" s="24"/>
      <c r="R21093"/>
      <c r="S21093"/>
      <c r="T21093"/>
      <c r="U21093"/>
      <c r="X21093" s="60"/>
    </row>
    <row r="21094" spans="7:24" ht="15" customHeight="1">
      <c r="G21094"/>
      <c r="I21094"/>
      <c r="N21094"/>
      <c r="O21094" s="24"/>
      <c r="P21094"/>
      <c r="Q21094" s="24"/>
      <c r="R21094"/>
      <c r="S21094"/>
      <c r="T21094"/>
      <c r="U21094"/>
      <c r="X21094" s="60"/>
    </row>
    <row r="21095" spans="7:24" ht="15" customHeight="1">
      <c r="G21095"/>
      <c r="I21095"/>
      <c r="N21095"/>
      <c r="O21095" s="24"/>
      <c r="P21095"/>
      <c r="Q21095" s="24"/>
      <c r="R21095"/>
      <c r="S21095"/>
      <c r="T21095"/>
      <c r="U21095"/>
      <c r="X21095" s="60"/>
    </row>
    <row r="21096" spans="7:24" ht="15" customHeight="1">
      <c r="G21096"/>
      <c r="I21096"/>
      <c r="N21096"/>
      <c r="O21096" s="24"/>
      <c r="P21096"/>
      <c r="Q21096" s="24"/>
      <c r="R21096"/>
      <c r="S21096"/>
      <c r="T21096"/>
      <c r="U21096"/>
      <c r="X21096" s="60"/>
    </row>
    <row r="21097" spans="7:24" ht="15" customHeight="1">
      <c r="G21097"/>
      <c r="I21097"/>
      <c r="N21097"/>
      <c r="O21097" s="24"/>
      <c r="P21097"/>
      <c r="Q21097" s="24"/>
      <c r="R21097"/>
      <c r="S21097"/>
      <c r="T21097"/>
      <c r="U21097"/>
      <c r="X21097" s="60"/>
    </row>
    <row r="21098" spans="7:24" ht="15" customHeight="1">
      <c r="G21098"/>
      <c r="I21098"/>
      <c r="N21098"/>
      <c r="O21098" s="24"/>
      <c r="P21098"/>
      <c r="Q21098" s="24"/>
      <c r="R21098"/>
      <c r="S21098"/>
      <c r="T21098"/>
      <c r="U21098"/>
      <c r="X21098" s="60"/>
    </row>
    <row r="21099" spans="7:24" ht="15" customHeight="1">
      <c r="G21099"/>
      <c r="I21099"/>
      <c r="N21099"/>
      <c r="O21099" s="24"/>
      <c r="P21099"/>
      <c r="Q21099" s="24"/>
      <c r="R21099"/>
      <c r="S21099"/>
      <c r="T21099"/>
      <c r="U21099"/>
      <c r="X21099" s="60"/>
    </row>
    <row r="21100" spans="7:24" ht="15" customHeight="1">
      <c r="G21100"/>
      <c r="I21100"/>
      <c r="N21100"/>
      <c r="O21100" s="24"/>
      <c r="P21100"/>
      <c r="Q21100" s="24"/>
      <c r="R21100"/>
      <c r="S21100"/>
      <c r="T21100"/>
      <c r="U21100"/>
      <c r="X21100" s="60"/>
    </row>
    <row r="21101" spans="7:24" ht="15" customHeight="1">
      <c r="G21101"/>
      <c r="I21101"/>
      <c r="N21101"/>
      <c r="O21101" s="24"/>
      <c r="P21101"/>
      <c r="Q21101" s="24"/>
      <c r="R21101"/>
      <c r="S21101"/>
      <c r="T21101"/>
      <c r="U21101"/>
      <c r="X21101" s="60"/>
    </row>
    <row r="21102" spans="7:24" ht="15" customHeight="1">
      <c r="G21102"/>
      <c r="I21102"/>
      <c r="N21102"/>
      <c r="O21102" s="24"/>
      <c r="P21102"/>
      <c r="Q21102" s="24"/>
      <c r="R21102"/>
      <c r="S21102"/>
      <c r="T21102"/>
      <c r="U21102"/>
      <c r="X21102" s="60"/>
    </row>
    <row r="21103" spans="7:24" ht="15" customHeight="1">
      <c r="G21103"/>
      <c r="I21103"/>
      <c r="N21103"/>
      <c r="O21103" s="24"/>
      <c r="P21103"/>
      <c r="Q21103" s="24"/>
      <c r="R21103"/>
      <c r="S21103"/>
      <c r="T21103"/>
      <c r="U21103"/>
      <c r="X21103" s="60"/>
    </row>
    <row r="21104" spans="7:24" ht="15" customHeight="1">
      <c r="G21104"/>
      <c r="I21104"/>
      <c r="N21104"/>
      <c r="O21104" s="24"/>
      <c r="P21104"/>
      <c r="Q21104" s="24"/>
      <c r="R21104"/>
      <c r="S21104"/>
      <c r="T21104"/>
      <c r="U21104"/>
      <c r="X21104" s="60"/>
    </row>
    <row r="21105" spans="7:24" ht="15" customHeight="1">
      <c r="G21105"/>
      <c r="I21105"/>
      <c r="N21105"/>
      <c r="O21105" s="24"/>
      <c r="P21105"/>
      <c r="Q21105" s="24"/>
      <c r="R21105"/>
      <c r="S21105"/>
      <c r="T21105"/>
      <c r="U21105"/>
      <c r="X21105" s="60"/>
    </row>
    <row r="21106" spans="7:24" ht="15" customHeight="1">
      <c r="G21106"/>
      <c r="I21106"/>
      <c r="N21106"/>
      <c r="O21106" s="24"/>
      <c r="P21106"/>
      <c r="Q21106" s="24"/>
      <c r="R21106"/>
      <c r="S21106"/>
      <c r="T21106"/>
      <c r="U21106"/>
      <c r="X21106" s="60"/>
    </row>
    <row r="21107" spans="7:24" ht="15" customHeight="1">
      <c r="G21107"/>
      <c r="I21107"/>
      <c r="N21107"/>
      <c r="O21107" s="24"/>
      <c r="P21107"/>
      <c r="Q21107" s="24"/>
      <c r="R21107"/>
      <c r="S21107"/>
      <c r="T21107"/>
      <c r="U21107"/>
      <c r="X21107" s="60"/>
    </row>
    <row r="21108" spans="7:24" ht="15" customHeight="1">
      <c r="G21108"/>
      <c r="I21108"/>
      <c r="N21108"/>
      <c r="O21108" s="24"/>
      <c r="P21108"/>
      <c r="Q21108" s="24"/>
      <c r="R21108"/>
      <c r="S21108"/>
      <c r="T21108"/>
      <c r="U21108"/>
      <c r="X21108" s="60"/>
    </row>
    <row r="21109" spans="7:24" ht="15" customHeight="1">
      <c r="G21109"/>
      <c r="I21109"/>
      <c r="N21109"/>
      <c r="O21109" s="24"/>
      <c r="P21109"/>
      <c r="Q21109" s="24"/>
      <c r="R21109"/>
      <c r="S21109"/>
      <c r="T21109"/>
      <c r="U21109"/>
      <c r="X21109" s="60"/>
    </row>
    <row r="21110" spans="7:24" ht="15" customHeight="1">
      <c r="G21110"/>
      <c r="I21110"/>
      <c r="N21110"/>
      <c r="O21110" s="24"/>
      <c r="P21110"/>
      <c r="Q21110" s="24"/>
      <c r="R21110"/>
      <c r="S21110"/>
      <c r="T21110"/>
      <c r="U21110"/>
      <c r="X21110" s="60"/>
    </row>
    <row r="21111" spans="7:24" ht="15" customHeight="1">
      <c r="G21111"/>
      <c r="I21111"/>
      <c r="N21111"/>
      <c r="O21111" s="24"/>
      <c r="P21111"/>
      <c r="Q21111" s="24"/>
      <c r="R21111"/>
      <c r="S21111"/>
      <c r="T21111"/>
      <c r="U21111"/>
      <c r="X21111" s="60"/>
    </row>
    <row r="21112" spans="7:24" ht="15" customHeight="1">
      <c r="G21112"/>
      <c r="I21112"/>
      <c r="N21112"/>
      <c r="O21112" s="24"/>
      <c r="P21112"/>
      <c r="Q21112" s="24"/>
      <c r="R21112"/>
      <c r="S21112"/>
      <c r="T21112"/>
      <c r="U21112"/>
      <c r="X21112" s="60"/>
    </row>
    <row r="21113" spans="7:24" ht="15" customHeight="1">
      <c r="G21113"/>
      <c r="I21113"/>
      <c r="N21113"/>
      <c r="O21113" s="24"/>
      <c r="P21113"/>
      <c r="Q21113" s="24"/>
      <c r="R21113"/>
      <c r="S21113"/>
      <c r="T21113"/>
      <c r="U21113"/>
      <c r="X21113" s="60"/>
    </row>
    <row r="21114" spans="7:24" ht="15" customHeight="1">
      <c r="G21114"/>
      <c r="I21114"/>
      <c r="N21114"/>
      <c r="O21114" s="24"/>
      <c r="P21114"/>
      <c r="Q21114" s="24"/>
      <c r="R21114"/>
      <c r="S21114"/>
      <c r="T21114"/>
      <c r="U21114"/>
      <c r="X21114" s="60"/>
    </row>
    <row r="21115" spans="7:24" ht="15" customHeight="1">
      <c r="G21115"/>
      <c r="I21115"/>
      <c r="N21115"/>
      <c r="O21115" s="24"/>
      <c r="P21115"/>
      <c r="Q21115" s="24"/>
      <c r="R21115"/>
      <c r="S21115"/>
      <c r="T21115"/>
      <c r="U21115"/>
      <c r="X21115" s="60"/>
    </row>
    <row r="21116" spans="7:24" ht="15" customHeight="1">
      <c r="G21116"/>
      <c r="I21116"/>
      <c r="N21116"/>
      <c r="O21116" s="24"/>
      <c r="P21116"/>
      <c r="Q21116" s="24"/>
      <c r="R21116"/>
      <c r="S21116"/>
      <c r="T21116"/>
      <c r="U21116"/>
      <c r="X21116" s="60"/>
    </row>
    <row r="21117" spans="7:24" ht="15" customHeight="1">
      <c r="G21117"/>
      <c r="I21117"/>
      <c r="N21117"/>
      <c r="O21117" s="24"/>
      <c r="P21117"/>
      <c r="Q21117" s="24"/>
      <c r="R21117"/>
      <c r="S21117"/>
      <c r="T21117"/>
      <c r="U21117"/>
      <c r="X21117" s="60"/>
    </row>
    <row r="21118" spans="7:24" ht="15" customHeight="1">
      <c r="G21118"/>
      <c r="I21118"/>
      <c r="N21118"/>
      <c r="O21118" s="24"/>
      <c r="P21118"/>
      <c r="Q21118" s="24"/>
      <c r="R21118"/>
      <c r="S21118"/>
      <c r="T21118"/>
      <c r="U21118"/>
      <c r="X21118" s="60"/>
    </row>
    <row r="21119" spans="7:24" ht="15" customHeight="1">
      <c r="G21119"/>
      <c r="I21119"/>
      <c r="N21119"/>
      <c r="O21119" s="24"/>
      <c r="P21119"/>
      <c r="Q21119" s="24"/>
      <c r="R21119"/>
      <c r="S21119"/>
      <c r="T21119"/>
      <c r="U21119"/>
      <c r="X21119" s="60"/>
    </row>
    <row r="21120" spans="7:24" ht="15" customHeight="1">
      <c r="G21120"/>
      <c r="I21120"/>
      <c r="N21120"/>
      <c r="O21120" s="24"/>
      <c r="P21120"/>
      <c r="Q21120" s="24"/>
      <c r="R21120"/>
      <c r="S21120"/>
      <c r="T21120"/>
      <c r="U21120"/>
      <c r="X21120" s="60"/>
    </row>
    <row r="21121" spans="7:24" ht="15" customHeight="1">
      <c r="G21121"/>
      <c r="I21121"/>
      <c r="N21121"/>
      <c r="O21121" s="24"/>
      <c r="P21121"/>
      <c r="Q21121" s="24"/>
      <c r="R21121"/>
      <c r="S21121"/>
      <c r="T21121"/>
      <c r="U21121"/>
      <c r="X21121" s="60"/>
    </row>
    <row r="21122" spans="7:24" ht="15" customHeight="1">
      <c r="G21122"/>
      <c r="I21122"/>
      <c r="N21122"/>
      <c r="O21122" s="24"/>
      <c r="P21122"/>
      <c r="Q21122" s="24"/>
      <c r="R21122"/>
      <c r="S21122"/>
      <c r="T21122"/>
      <c r="U21122"/>
      <c r="X21122" s="60"/>
    </row>
    <row r="21123" spans="7:24" ht="15" customHeight="1">
      <c r="G21123"/>
      <c r="I21123"/>
      <c r="N21123"/>
      <c r="O21123" s="24"/>
      <c r="P21123"/>
      <c r="Q21123" s="24"/>
      <c r="R21123"/>
      <c r="S21123"/>
      <c r="T21123"/>
      <c r="U21123"/>
      <c r="X21123" s="60"/>
    </row>
    <row r="21124" spans="7:24" ht="15" customHeight="1">
      <c r="G21124"/>
      <c r="I21124"/>
      <c r="N21124"/>
      <c r="O21124" s="24"/>
      <c r="P21124"/>
      <c r="Q21124" s="24"/>
      <c r="R21124"/>
      <c r="S21124"/>
      <c r="T21124"/>
      <c r="U21124"/>
      <c r="X21124" s="60"/>
    </row>
    <row r="21125" spans="7:24" ht="15" customHeight="1">
      <c r="G21125"/>
      <c r="I21125"/>
      <c r="N21125"/>
      <c r="O21125" s="24"/>
      <c r="P21125"/>
      <c r="Q21125" s="24"/>
      <c r="R21125"/>
      <c r="S21125"/>
      <c r="T21125"/>
      <c r="U21125"/>
      <c r="X21125" s="60"/>
    </row>
    <row r="21126" spans="7:24" ht="15" customHeight="1">
      <c r="G21126"/>
      <c r="I21126"/>
      <c r="N21126"/>
      <c r="O21126" s="24"/>
      <c r="P21126"/>
      <c r="Q21126" s="24"/>
      <c r="R21126"/>
      <c r="S21126"/>
      <c r="T21126"/>
      <c r="U21126"/>
      <c r="X21126" s="60"/>
    </row>
    <row r="21127" spans="7:24" ht="15" customHeight="1">
      <c r="G21127"/>
      <c r="I21127"/>
      <c r="N21127"/>
      <c r="O21127" s="24"/>
      <c r="P21127"/>
      <c r="Q21127" s="24"/>
      <c r="R21127"/>
      <c r="S21127"/>
      <c r="T21127"/>
      <c r="U21127"/>
      <c r="X21127" s="60"/>
    </row>
    <row r="21128" spans="7:24" ht="15" customHeight="1">
      <c r="G21128"/>
      <c r="I21128"/>
      <c r="N21128"/>
      <c r="O21128" s="24"/>
      <c r="P21128"/>
      <c r="Q21128" s="24"/>
      <c r="R21128"/>
      <c r="S21128"/>
      <c r="T21128"/>
      <c r="U21128"/>
      <c r="X21128" s="60"/>
    </row>
    <row r="21129" spans="7:24" ht="15" customHeight="1">
      <c r="G21129"/>
      <c r="I21129"/>
      <c r="N21129"/>
      <c r="O21129" s="24"/>
      <c r="P21129"/>
      <c r="Q21129" s="24"/>
      <c r="R21129"/>
      <c r="S21129"/>
      <c r="T21129"/>
      <c r="U21129"/>
      <c r="X21129" s="60"/>
    </row>
    <row r="21130" spans="7:24" ht="15" customHeight="1">
      <c r="G21130"/>
      <c r="I21130"/>
      <c r="N21130"/>
      <c r="O21130" s="24"/>
      <c r="P21130"/>
      <c r="Q21130" s="24"/>
      <c r="R21130"/>
      <c r="S21130"/>
      <c r="T21130"/>
      <c r="U21130"/>
      <c r="X21130" s="60"/>
    </row>
    <row r="21131" spans="7:24" ht="15" customHeight="1">
      <c r="G21131"/>
      <c r="I21131"/>
      <c r="N21131"/>
      <c r="O21131" s="24"/>
      <c r="P21131"/>
      <c r="Q21131" s="24"/>
      <c r="R21131"/>
      <c r="S21131"/>
      <c r="T21131"/>
      <c r="U21131"/>
      <c r="X21131" s="60"/>
    </row>
    <row r="21132" spans="7:24" ht="15" customHeight="1">
      <c r="G21132"/>
      <c r="I21132"/>
      <c r="N21132"/>
      <c r="O21132" s="24"/>
      <c r="P21132"/>
      <c r="Q21132" s="24"/>
      <c r="R21132"/>
      <c r="S21132"/>
      <c r="T21132"/>
      <c r="U21132"/>
      <c r="X21132" s="60"/>
    </row>
    <row r="21133" spans="7:24" ht="15" customHeight="1">
      <c r="G21133"/>
      <c r="I21133"/>
      <c r="N21133"/>
      <c r="O21133" s="24"/>
      <c r="P21133"/>
      <c r="Q21133" s="24"/>
      <c r="R21133"/>
      <c r="S21133"/>
      <c r="T21133"/>
      <c r="U21133"/>
      <c r="X21133" s="60"/>
    </row>
    <row r="21134" spans="7:24" ht="15" customHeight="1">
      <c r="G21134"/>
      <c r="I21134"/>
      <c r="N21134"/>
      <c r="O21134" s="24"/>
      <c r="P21134"/>
      <c r="Q21134" s="24"/>
      <c r="R21134"/>
      <c r="S21134"/>
      <c r="T21134"/>
      <c r="U21134"/>
      <c r="X21134" s="60"/>
    </row>
    <row r="21135" spans="7:24" ht="15" customHeight="1">
      <c r="G21135"/>
      <c r="I21135"/>
      <c r="N21135"/>
      <c r="O21135" s="24"/>
      <c r="P21135"/>
      <c r="Q21135" s="24"/>
      <c r="R21135"/>
      <c r="S21135"/>
      <c r="T21135"/>
      <c r="U21135"/>
      <c r="X21135" s="60"/>
    </row>
    <row r="21136" spans="7:24" ht="15" customHeight="1">
      <c r="G21136"/>
      <c r="I21136"/>
      <c r="N21136"/>
      <c r="O21136" s="24"/>
      <c r="P21136"/>
      <c r="Q21136" s="24"/>
      <c r="R21136"/>
      <c r="S21136"/>
      <c r="T21136"/>
      <c r="U21136"/>
      <c r="X21136" s="60"/>
    </row>
    <row r="21137" spans="7:24" ht="15" customHeight="1">
      <c r="G21137"/>
      <c r="I21137"/>
      <c r="N21137"/>
      <c r="O21137" s="24"/>
      <c r="P21137"/>
      <c r="Q21137" s="24"/>
      <c r="R21137"/>
      <c r="S21137"/>
      <c r="T21137"/>
      <c r="U21137"/>
      <c r="X21137" s="60"/>
    </row>
    <row r="21138" spans="7:24" ht="15" customHeight="1">
      <c r="G21138"/>
      <c r="I21138"/>
      <c r="N21138"/>
      <c r="O21138" s="24"/>
      <c r="P21138"/>
      <c r="Q21138" s="24"/>
      <c r="R21138"/>
      <c r="S21138"/>
      <c r="T21138"/>
      <c r="U21138"/>
      <c r="X21138" s="60"/>
    </row>
    <row r="21139" spans="7:24" ht="15" customHeight="1">
      <c r="G21139"/>
      <c r="I21139"/>
      <c r="N21139"/>
      <c r="O21139" s="24"/>
      <c r="P21139"/>
      <c r="Q21139" s="24"/>
      <c r="R21139"/>
      <c r="S21139"/>
      <c r="T21139"/>
      <c r="U21139"/>
      <c r="X21139" s="60"/>
    </row>
    <row r="21140" spans="7:24" ht="15" customHeight="1">
      <c r="G21140"/>
      <c r="I21140"/>
      <c r="N21140"/>
      <c r="O21140" s="24"/>
      <c r="P21140"/>
      <c r="Q21140" s="24"/>
      <c r="R21140"/>
      <c r="S21140"/>
      <c r="T21140"/>
      <c r="U21140"/>
      <c r="X21140" s="60"/>
    </row>
    <row r="21141" spans="7:24" ht="15" customHeight="1">
      <c r="G21141"/>
      <c r="I21141"/>
      <c r="N21141"/>
      <c r="O21141" s="24"/>
      <c r="P21141"/>
      <c r="Q21141" s="24"/>
      <c r="R21141"/>
      <c r="S21141"/>
      <c r="T21141"/>
      <c r="U21141"/>
      <c r="X21141" s="60"/>
    </row>
    <row r="21142" spans="7:24" ht="15" customHeight="1">
      <c r="G21142"/>
      <c r="I21142"/>
      <c r="N21142"/>
      <c r="O21142" s="24"/>
      <c r="P21142"/>
      <c r="Q21142" s="24"/>
      <c r="R21142"/>
      <c r="S21142"/>
      <c r="T21142"/>
      <c r="U21142"/>
      <c r="X21142" s="60"/>
    </row>
    <row r="21143" spans="7:24" ht="15" customHeight="1">
      <c r="G21143"/>
      <c r="I21143"/>
      <c r="N21143"/>
      <c r="O21143" s="24"/>
      <c r="P21143"/>
      <c r="Q21143" s="24"/>
      <c r="R21143"/>
      <c r="S21143"/>
      <c r="T21143"/>
      <c r="U21143"/>
      <c r="X21143" s="60"/>
    </row>
    <row r="21144" spans="7:24" ht="15" customHeight="1">
      <c r="G21144"/>
      <c r="I21144"/>
      <c r="N21144"/>
      <c r="O21144" s="24"/>
      <c r="P21144"/>
      <c r="Q21144" s="24"/>
      <c r="R21144"/>
      <c r="S21144"/>
      <c r="T21144"/>
      <c r="U21144"/>
      <c r="X21144" s="60"/>
    </row>
    <row r="21145" spans="7:24" ht="15" customHeight="1">
      <c r="G21145"/>
      <c r="I21145"/>
      <c r="N21145"/>
      <c r="O21145" s="24"/>
      <c r="P21145"/>
      <c r="Q21145" s="24"/>
      <c r="R21145"/>
      <c r="S21145"/>
      <c r="T21145"/>
      <c r="U21145"/>
      <c r="X21145" s="60"/>
    </row>
    <row r="21146" spans="7:24" ht="15" customHeight="1">
      <c r="G21146"/>
      <c r="I21146"/>
      <c r="N21146"/>
      <c r="O21146" s="24"/>
      <c r="P21146"/>
      <c r="Q21146" s="24"/>
      <c r="R21146"/>
      <c r="S21146"/>
      <c r="T21146"/>
      <c r="U21146"/>
      <c r="X21146" s="60"/>
    </row>
    <row r="21147" spans="7:24" ht="15" customHeight="1">
      <c r="G21147"/>
      <c r="I21147"/>
      <c r="N21147"/>
      <c r="O21147" s="24"/>
      <c r="P21147"/>
      <c r="Q21147" s="24"/>
      <c r="R21147"/>
      <c r="S21147"/>
      <c r="T21147"/>
      <c r="U21147"/>
      <c r="X21147" s="60"/>
    </row>
    <row r="21148" spans="7:24" ht="15" customHeight="1">
      <c r="G21148"/>
      <c r="I21148"/>
      <c r="N21148"/>
      <c r="O21148" s="24"/>
      <c r="P21148"/>
      <c r="Q21148" s="24"/>
      <c r="R21148"/>
      <c r="S21148"/>
      <c r="T21148"/>
      <c r="U21148"/>
      <c r="X21148" s="60"/>
    </row>
    <row r="21149" spans="7:24" ht="15" customHeight="1">
      <c r="G21149"/>
      <c r="I21149"/>
      <c r="N21149"/>
      <c r="O21149" s="24"/>
      <c r="P21149"/>
      <c r="Q21149" s="24"/>
      <c r="R21149"/>
      <c r="S21149"/>
      <c r="T21149"/>
      <c r="U21149"/>
      <c r="X21149" s="60"/>
    </row>
    <row r="21150" spans="7:24" ht="15" customHeight="1">
      <c r="G21150"/>
      <c r="I21150"/>
      <c r="N21150"/>
      <c r="O21150" s="24"/>
      <c r="P21150"/>
      <c r="Q21150" s="24"/>
      <c r="R21150"/>
      <c r="S21150"/>
      <c r="T21150"/>
      <c r="U21150"/>
      <c r="X21150" s="60"/>
    </row>
    <row r="21151" spans="7:24" ht="15" customHeight="1">
      <c r="G21151"/>
      <c r="I21151"/>
      <c r="N21151"/>
      <c r="O21151" s="24"/>
      <c r="P21151"/>
      <c r="Q21151" s="24"/>
      <c r="R21151"/>
      <c r="S21151"/>
      <c r="T21151"/>
      <c r="U21151"/>
      <c r="X21151" s="60"/>
    </row>
    <row r="21152" spans="7:24" ht="15" customHeight="1">
      <c r="G21152"/>
      <c r="I21152"/>
      <c r="N21152"/>
      <c r="O21152" s="24"/>
      <c r="P21152"/>
      <c r="Q21152" s="24"/>
      <c r="R21152"/>
      <c r="S21152"/>
      <c r="T21152"/>
      <c r="U21152"/>
      <c r="X21152" s="60"/>
    </row>
    <row r="21153" spans="7:24" ht="15" customHeight="1">
      <c r="G21153"/>
      <c r="I21153"/>
      <c r="N21153"/>
      <c r="O21153" s="24"/>
      <c r="P21153"/>
      <c r="Q21153" s="24"/>
      <c r="R21153"/>
      <c r="S21153"/>
      <c r="T21153"/>
      <c r="U21153"/>
      <c r="X21153" s="60"/>
    </row>
    <row r="21154" spans="7:24" ht="15" customHeight="1">
      <c r="G21154"/>
      <c r="I21154"/>
      <c r="N21154"/>
      <c r="O21154" s="24"/>
      <c r="P21154"/>
      <c r="Q21154" s="24"/>
      <c r="R21154"/>
      <c r="S21154"/>
      <c r="T21154"/>
      <c r="U21154"/>
      <c r="X21154" s="60"/>
    </row>
    <row r="21155" spans="7:24" ht="15" customHeight="1">
      <c r="G21155"/>
      <c r="I21155"/>
      <c r="N21155"/>
      <c r="O21155" s="24"/>
      <c r="P21155"/>
      <c r="Q21155" s="24"/>
      <c r="R21155"/>
      <c r="S21155"/>
      <c r="T21155"/>
      <c r="U21155"/>
      <c r="X21155" s="60"/>
    </row>
    <row r="21156" spans="7:24" ht="15" customHeight="1">
      <c r="G21156"/>
      <c r="I21156"/>
      <c r="N21156"/>
      <c r="O21156" s="24"/>
      <c r="P21156"/>
      <c r="Q21156" s="24"/>
      <c r="R21156"/>
      <c r="S21156"/>
      <c r="T21156"/>
      <c r="U21156"/>
      <c r="X21156" s="60"/>
    </row>
    <row r="21157" spans="7:24" ht="15" customHeight="1">
      <c r="G21157"/>
      <c r="I21157"/>
      <c r="N21157"/>
      <c r="O21157" s="24"/>
      <c r="P21157"/>
      <c r="Q21157" s="24"/>
      <c r="R21157"/>
      <c r="S21157"/>
      <c r="T21157"/>
      <c r="U21157"/>
      <c r="X21157" s="60"/>
    </row>
    <row r="21158" spans="7:24" ht="15" customHeight="1">
      <c r="G21158"/>
      <c r="I21158"/>
      <c r="N21158"/>
      <c r="O21158" s="24"/>
      <c r="P21158"/>
      <c r="Q21158" s="24"/>
      <c r="R21158"/>
      <c r="S21158"/>
      <c r="T21158"/>
      <c r="U21158"/>
      <c r="X21158" s="60"/>
    </row>
    <row r="21159" spans="7:24" ht="15" customHeight="1">
      <c r="G21159"/>
      <c r="I21159"/>
      <c r="N21159"/>
      <c r="O21159" s="24"/>
      <c r="P21159"/>
      <c r="Q21159" s="24"/>
      <c r="R21159"/>
      <c r="S21159"/>
      <c r="T21159"/>
      <c r="U21159"/>
      <c r="X21159" s="60"/>
    </row>
    <row r="21160" spans="7:24" ht="15" customHeight="1">
      <c r="G21160"/>
      <c r="I21160"/>
      <c r="N21160"/>
      <c r="O21160" s="24"/>
      <c r="P21160"/>
      <c r="Q21160" s="24"/>
      <c r="R21160"/>
      <c r="S21160"/>
      <c r="T21160"/>
      <c r="U21160"/>
      <c r="X21160" s="60"/>
    </row>
    <row r="21161" spans="7:24" ht="15" customHeight="1">
      <c r="G21161"/>
      <c r="I21161"/>
      <c r="N21161"/>
      <c r="O21161" s="24"/>
      <c r="P21161"/>
      <c r="Q21161" s="24"/>
      <c r="R21161"/>
      <c r="S21161"/>
      <c r="T21161"/>
      <c r="U21161"/>
      <c r="X21161" s="60"/>
    </row>
    <row r="21162" spans="7:24" ht="15" customHeight="1">
      <c r="G21162"/>
      <c r="I21162"/>
      <c r="N21162"/>
      <c r="O21162" s="24"/>
      <c r="P21162"/>
      <c r="Q21162" s="24"/>
      <c r="R21162"/>
      <c r="S21162"/>
      <c r="T21162"/>
      <c r="U21162"/>
      <c r="X21162" s="60"/>
    </row>
    <row r="21163" spans="7:24" ht="15" customHeight="1">
      <c r="G21163"/>
      <c r="I21163"/>
      <c r="N21163"/>
      <c r="O21163" s="24"/>
      <c r="P21163"/>
      <c r="Q21163" s="24"/>
      <c r="R21163"/>
      <c r="S21163"/>
      <c r="T21163"/>
      <c r="U21163"/>
      <c r="X21163" s="60"/>
    </row>
    <row r="21164" spans="7:24" ht="15" customHeight="1">
      <c r="G21164"/>
      <c r="I21164"/>
      <c r="N21164"/>
      <c r="O21164" s="24"/>
      <c r="P21164"/>
      <c r="Q21164" s="24"/>
      <c r="R21164"/>
      <c r="S21164"/>
      <c r="T21164"/>
      <c r="U21164"/>
      <c r="X21164" s="60"/>
    </row>
    <row r="21165" spans="7:24" ht="15" customHeight="1">
      <c r="G21165"/>
      <c r="I21165"/>
      <c r="N21165"/>
      <c r="O21165" s="24"/>
      <c r="P21165"/>
      <c r="Q21165" s="24"/>
      <c r="R21165"/>
      <c r="S21165"/>
      <c r="T21165"/>
      <c r="U21165"/>
      <c r="X21165" s="60"/>
    </row>
    <row r="21166" spans="7:24" ht="15" customHeight="1">
      <c r="G21166"/>
      <c r="I21166"/>
      <c r="N21166"/>
      <c r="O21166" s="24"/>
      <c r="P21166"/>
      <c r="Q21166" s="24"/>
      <c r="R21166"/>
      <c r="S21166"/>
      <c r="T21166"/>
      <c r="U21166"/>
      <c r="X21166" s="60"/>
    </row>
    <row r="21167" spans="7:24" ht="15" customHeight="1">
      <c r="G21167"/>
      <c r="I21167"/>
      <c r="N21167"/>
      <c r="O21167" s="24"/>
      <c r="P21167"/>
      <c r="Q21167" s="24"/>
      <c r="R21167"/>
      <c r="S21167"/>
      <c r="T21167"/>
      <c r="U21167"/>
      <c r="X21167" s="60"/>
    </row>
    <row r="21168" spans="7:24" ht="15" customHeight="1">
      <c r="G21168"/>
      <c r="I21168"/>
      <c r="N21168"/>
      <c r="O21168" s="24"/>
      <c r="P21168"/>
      <c r="Q21168" s="24"/>
      <c r="R21168"/>
      <c r="S21168"/>
      <c r="T21168"/>
      <c r="U21168"/>
      <c r="X21168" s="60"/>
    </row>
    <row r="21169" spans="7:24" ht="15" customHeight="1">
      <c r="G21169"/>
      <c r="I21169"/>
      <c r="N21169"/>
      <c r="O21169" s="24"/>
      <c r="P21169"/>
      <c r="Q21169" s="24"/>
      <c r="R21169"/>
      <c r="S21169"/>
      <c r="T21169"/>
      <c r="U21169"/>
      <c r="X21169" s="60"/>
    </row>
    <row r="21170" spans="7:24" ht="15" customHeight="1">
      <c r="G21170"/>
      <c r="I21170"/>
      <c r="N21170"/>
      <c r="O21170" s="24"/>
      <c r="P21170"/>
      <c r="Q21170" s="24"/>
      <c r="R21170"/>
      <c r="S21170"/>
      <c r="T21170"/>
      <c r="U21170"/>
      <c r="X21170" s="60"/>
    </row>
    <row r="21171" spans="7:24" ht="15" customHeight="1">
      <c r="G21171"/>
      <c r="I21171"/>
      <c r="N21171"/>
      <c r="O21171" s="24"/>
      <c r="P21171"/>
      <c r="Q21171" s="24"/>
      <c r="R21171"/>
      <c r="S21171"/>
      <c r="T21171"/>
      <c r="U21171"/>
      <c r="X21171" s="60"/>
    </row>
    <row r="21172" spans="7:24" ht="15" customHeight="1">
      <c r="G21172"/>
      <c r="I21172"/>
      <c r="N21172"/>
      <c r="O21172" s="24"/>
      <c r="P21172"/>
      <c r="Q21172" s="24"/>
      <c r="R21172"/>
      <c r="S21172"/>
      <c r="T21172"/>
      <c r="U21172"/>
      <c r="X21172" s="60"/>
    </row>
    <row r="21173" spans="7:24" ht="15" customHeight="1">
      <c r="G21173"/>
      <c r="I21173"/>
      <c r="N21173"/>
      <c r="O21173" s="24"/>
      <c r="P21173"/>
      <c r="Q21173" s="24"/>
      <c r="R21173"/>
      <c r="S21173"/>
      <c r="T21173"/>
      <c r="U21173"/>
      <c r="X21173" s="60"/>
    </row>
    <row r="21174" spans="7:24" ht="15" customHeight="1">
      <c r="G21174"/>
      <c r="I21174"/>
      <c r="N21174"/>
      <c r="O21174" s="24"/>
      <c r="P21174"/>
      <c r="Q21174" s="24"/>
      <c r="R21174"/>
      <c r="S21174"/>
      <c r="T21174"/>
      <c r="U21174"/>
      <c r="X21174" s="60"/>
    </row>
    <row r="21175" spans="7:24" ht="15" customHeight="1">
      <c r="G21175"/>
      <c r="I21175"/>
      <c r="N21175"/>
      <c r="O21175" s="24"/>
      <c r="P21175"/>
      <c r="Q21175" s="24"/>
      <c r="R21175"/>
      <c r="S21175"/>
      <c r="T21175"/>
      <c r="U21175"/>
      <c r="X21175" s="60"/>
    </row>
    <row r="21176" spans="7:24" ht="15" customHeight="1">
      <c r="G21176"/>
      <c r="I21176"/>
      <c r="N21176"/>
      <c r="O21176" s="24"/>
      <c r="P21176"/>
      <c r="Q21176" s="24"/>
      <c r="R21176"/>
      <c r="S21176"/>
      <c r="T21176"/>
      <c r="U21176"/>
      <c r="X21176" s="60"/>
    </row>
    <row r="21177" spans="7:24" ht="15" customHeight="1">
      <c r="G21177"/>
      <c r="I21177"/>
      <c r="N21177"/>
      <c r="O21177" s="24"/>
      <c r="P21177"/>
      <c r="Q21177" s="24"/>
      <c r="R21177"/>
      <c r="S21177"/>
      <c r="T21177"/>
      <c r="U21177"/>
      <c r="X21177" s="60"/>
    </row>
    <row r="21178" spans="7:24" ht="15" customHeight="1">
      <c r="G21178"/>
      <c r="I21178"/>
      <c r="N21178"/>
      <c r="O21178" s="24"/>
      <c r="P21178"/>
      <c r="Q21178" s="24"/>
      <c r="R21178"/>
      <c r="S21178"/>
      <c r="T21178"/>
      <c r="U21178"/>
      <c r="X21178" s="60"/>
    </row>
    <row r="21179" spans="7:24" ht="15" customHeight="1">
      <c r="G21179"/>
      <c r="I21179"/>
      <c r="N21179"/>
      <c r="O21179" s="24"/>
      <c r="P21179"/>
      <c r="Q21179" s="24"/>
      <c r="R21179"/>
      <c r="S21179"/>
      <c r="T21179"/>
      <c r="U21179"/>
      <c r="X21179" s="60"/>
    </row>
    <row r="21180" spans="7:24" ht="15" customHeight="1">
      <c r="G21180"/>
      <c r="I21180"/>
      <c r="N21180"/>
      <c r="O21180" s="24"/>
      <c r="P21180"/>
      <c r="Q21180" s="24"/>
      <c r="R21180"/>
      <c r="S21180"/>
      <c r="T21180"/>
      <c r="U21180"/>
      <c r="X21180" s="60"/>
    </row>
    <row r="21181" spans="7:24" ht="15" customHeight="1">
      <c r="G21181"/>
      <c r="I21181"/>
      <c r="N21181"/>
      <c r="O21181" s="24"/>
      <c r="P21181"/>
      <c r="Q21181" s="24"/>
      <c r="R21181"/>
      <c r="S21181"/>
      <c r="T21181"/>
      <c r="U21181"/>
      <c r="X21181" s="60"/>
    </row>
    <row r="21182" spans="7:24" ht="15" customHeight="1">
      <c r="G21182"/>
      <c r="I21182"/>
      <c r="N21182"/>
      <c r="O21182" s="24"/>
      <c r="P21182"/>
      <c r="Q21182" s="24"/>
      <c r="R21182"/>
      <c r="S21182"/>
      <c r="T21182"/>
      <c r="U21182"/>
      <c r="X21182" s="60"/>
    </row>
    <row r="21183" spans="7:24" ht="15" customHeight="1">
      <c r="G21183"/>
      <c r="I21183"/>
      <c r="N21183"/>
      <c r="O21183" s="24"/>
      <c r="P21183"/>
      <c r="Q21183" s="24"/>
      <c r="R21183"/>
      <c r="S21183"/>
      <c r="T21183"/>
      <c r="U21183"/>
      <c r="X21183" s="60"/>
    </row>
    <row r="21184" spans="7:24" ht="15" customHeight="1">
      <c r="G21184"/>
      <c r="I21184"/>
      <c r="N21184"/>
      <c r="O21184" s="24"/>
      <c r="P21184"/>
      <c r="Q21184" s="24"/>
      <c r="R21184"/>
      <c r="S21184"/>
      <c r="T21184"/>
      <c r="U21184"/>
      <c r="X21184" s="60"/>
    </row>
    <row r="21185" spans="7:24" ht="15" customHeight="1">
      <c r="G21185"/>
      <c r="I21185"/>
      <c r="N21185"/>
      <c r="O21185" s="24"/>
      <c r="P21185"/>
      <c r="Q21185" s="24"/>
      <c r="R21185"/>
      <c r="S21185"/>
      <c r="T21185"/>
      <c r="U21185"/>
      <c r="X21185" s="60"/>
    </row>
    <row r="21186" spans="7:24" ht="15" customHeight="1">
      <c r="G21186"/>
      <c r="I21186"/>
      <c r="N21186"/>
      <c r="O21186" s="24"/>
      <c r="P21186"/>
      <c r="Q21186" s="24"/>
      <c r="R21186"/>
      <c r="S21186"/>
      <c r="T21186"/>
      <c r="U21186"/>
      <c r="X21186" s="60"/>
    </row>
    <row r="21187" spans="7:24" ht="15" customHeight="1">
      <c r="G21187"/>
      <c r="I21187"/>
      <c r="N21187"/>
      <c r="O21187" s="24"/>
      <c r="P21187"/>
      <c r="Q21187" s="24"/>
      <c r="R21187"/>
      <c r="S21187"/>
      <c r="T21187"/>
      <c r="U21187"/>
      <c r="X21187" s="60"/>
    </row>
    <row r="21188" spans="7:24" ht="15" customHeight="1">
      <c r="G21188"/>
      <c r="I21188"/>
      <c r="N21188"/>
      <c r="O21188" s="24"/>
      <c r="P21188"/>
      <c r="Q21188" s="24"/>
      <c r="R21188"/>
      <c r="S21188"/>
      <c r="T21188"/>
      <c r="U21188"/>
      <c r="X21188" s="60"/>
    </row>
    <row r="21189" spans="7:24" ht="15" customHeight="1">
      <c r="G21189"/>
      <c r="I21189"/>
      <c r="N21189"/>
      <c r="O21189" s="24"/>
      <c r="P21189"/>
      <c r="Q21189" s="24"/>
      <c r="R21189"/>
      <c r="S21189"/>
      <c r="T21189"/>
      <c r="U21189"/>
      <c r="X21189" s="60"/>
    </row>
    <row r="21190" spans="7:24" ht="15" customHeight="1">
      <c r="G21190"/>
      <c r="I21190"/>
      <c r="N21190"/>
      <c r="O21190" s="24"/>
      <c r="P21190"/>
      <c r="Q21190" s="24"/>
      <c r="R21190"/>
      <c r="S21190"/>
      <c r="T21190"/>
      <c r="U21190"/>
      <c r="X21190" s="60"/>
    </row>
    <row r="21191" spans="7:24" ht="15" customHeight="1">
      <c r="G21191"/>
      <c r="I21191"/>
      <c r="N21191"/>
      <c r="O21191" s="24"/>
      <c r="P21191"/>
      <c r="Q21191" s="24"/>
      <c r="R21191"/>
      <c r="S21191"/>
      <c r="T21191"/>
      <c r="U21191"/>
      <c r="X21191" s="60"/>
    </row>
    <row r="21192" spans="7:24" ht="15" customHeight="1">
      <c r="G21192"/>
      <c r="I21192"/>
      <c r="N21192"/>
      <c r="O21192" s="24"/>
      <c r="P21192"/>
      <c r="Q21192" s="24"/>
      <c r="R21192"/>
      <c r="S21192"/>
      <c r="T21192"/>
      <c r="U21192"/>
      <c r="X21192" s="60"/>
    </row>
    <row r="21193" spans="7:24" ht="15" customHeight="1">
      <c r="G21193"/>
      <c r="I21193"/>
      <c r="N21193"/>
      <c r="O21193" s="24"/>
      <c r="P21193"/>
      <c r="Q21193" s="24"/>
      <c r="R21193"/>
      <c r="S21193"/>
      <c r="T21193"/>
      <c r="U21193"/>
      <c r="X21193" s="60"/>
    </row>
    <row r="21194" spans="7:24" ht="15" customHeight="1">
      <c r="G21194"/>
      <c r="I21194"/>
      <c r="N21194"/>
      <c r="O21194" s="24"/>
      <c r="P21194"/>
      <c r="Q21194" s="24"/>
      <c r="R21194"/>
      <c r="S21194"/>
      <c r="T21194"/>
      <c r="U21194"/>
      <c r="X21194" s="60"/>
    </row>
    <row r="21195" spans="7:24" ht="15" customHeight="1">
      <c r="G21195"/>
      <c r="I21195"/>
      <c r="N21195"/>
      <c r="O21195" s="24"/>
      <c r="P21195"/>
      <c r="Q21195" s="24"/>
      <c r="R21195"/>
      <c r="S21195"/>
      <c r="T21195"/>
      <c r="U21195"/>
      <c r="X21195" s="60"/>
    </row>
    <row r="21196" spans="7:24" ht="15" customHeight="1">
      <c r="G21196"/>
      <c r="I21196"/>
      <c r="N21196"/>
      <c r="O21196" s="24"/>
      <c r="P21196"/>
      <c r="Q21196" s="24"/>
      <c r="R21196"/>
      <c r="S21196"/>
      <c r="T21196"/>
      <c r="U21196"/>
      <c r="X21196" s="60"/>
    </row>
    <row r="21197" spans="7:24" ht="15" customHeight="1">
      <c r="G21197"/>
      <c r="I21197"/>
      <c r="N21197"/>
      <c r="O21197" s="24"/>
      <c r="P21197"/>
      <c r="Q21197" s="24"/>
      <c r="R21197"/>
      <c r="S21197"/>
      <c r="T21197"/>
      <c r="U21197"/>
      <c r="X21197" s="60"/>
    </row>
    <row r="21198" spans="7:24" ht="15" customHeight="1">
      <c r="G21198"/>
      <c r="I21198"/>
      <c r="N21198"/>
      <c r="O21198" s="24"/>
      <c r="P21198"/>
      <c r="Q21198" s="24"/>
      <c r="R21198"/>
      <c r="S21198"/>
      <c r="T21198"/>
      <c r="U21198"/>
      <c r="X21198" s="60"/>
    </row>
    <row r="21199" spans="7:24" ht="15" customHeight="1">
      <c r="G21199"/>
      <c r="I21199"/>
      <c r="N21199"/>
      <c r="O21199" s="24"/>
      <c r="P21199"/>
      <c r="Q21199" s="24"/>
      <c r="R21199"/>
      <c r="S21199"/>
      <c r="T21199"/>
      <c r="U21199"/>
      <c r="X21199" s="60"/>
    </row>
    <row r="21200" spans="7:24" ht="15" customHeight="1">
      <c r="G21200"/>
      <c r="I21200"/>
      <c r="N21200"/>
      <c r="O21200" s="24"/>
      <c r="P21200"/>
      <c r="Q21200" s="24"/>
      <c r="R21200"/>
      <c r="S21200"/>
      <c r="T21200"/>
      <c r="U21200"/>
      <c r="X21200" s="60"/>
    </row>
    <row r="21201" spans="7:24" ht="15" customHeight="1">
      <c r="G21201"/>
      <c r="I21201"/>
      <c r="N21201"/>
      <c r="O21201" s="24"/>
      <c r="P21201"/>
      <c r="Q21201" s="24"/>
      <c r="R21201"/>
      <c r="S21201"/>
      <c r="T21201"/>
      <c r="U21201"/>
      <c r="X21201" s="60"/>
    </row>
    <row r="21202" spans="7:24" ht="15" customHeight="1">
      <c r="G21202"/>
      <c r="I21202"/>
      <c r="N21202"/>
      <c r="O21202" s="24"/>
      <c r="P21202"/>
      <c r="Q21202" s="24"/>
      <c r="R21202"/>
      <c r="S21202"/>
      <c r="T21202"/>
      <c r="U21202"/>
      <c r="X21202" s="60"/>
    </row>
    <row r="21203" spans="7:24" ht="15" customHeight="1">
      <c r="G21203"/>
      <c r="I21203"/>
      <c r="N21203"/>
      <c r="O21203" s="24"/>
      <c r="P21203"/>
      <c r="Q21203" s="24"/>
      <c r="R21203"/>
      <c r="S21203"/>
      <c r="T21203"/>
      <c r="U21203"/>
      <c r="X21203" s="60"/>
    </row>
    <row r="21204" spans="7:24" ht="15" customHeight="1">
      <c r="G21204"/>
      <c r="I21204"/>
      <c r="N21204"/>
      <c r="O21204" s="24"/>
      <c r="P21204"/>
      <c r="Q21204" s="24"/>
      <c r="R21204"/>
      <c r="S21204"/>
      <c r="T21204"/>
      <c r="U21204"/>
      <c r="X21204" s="60"/>
    </row>
    <row r="21205" spans="7:24" ht="15" customHeight="1">
      <c r="G21205"/>
      <c r="I21205"/>
      <c r="N21205"/>
      <c r="O21205" s="24"/>
      <c r="P21205"/>
      <c r="Q21205" s="24"/>
      <c r="R21205"/>
      <c r="S21205"/>
      <c r="T21205"/>
      <c r="U21205"/>
      <c r="X21205" s="60"/>
    </row>
    <row r="21206" spans="7:24" ht="15" customHeight="1">
      <c r="G21206"/>
      <c r="I21206"/>
      <c r="N21206"/>
      <c r="O21206" s="24"/>
      <c r="P21206"/>
      <c r="Q21206" s="24"/>
      <c r="R21206"/>
      <c r="S21206"/>
      <c r="T21206"/>
      <c r="U21206"/>
      <c r="X21206" s="60"/>
    </row>
    <row r="21207" spans="7:24" ht="15" customHeight="1">
      <c r="G21207"/>
      <c r="I21207"/>
      <c r="N21207"/>
      <c r="O21207" s="24"/>
      <c r="P21207"/>
      <c r="Q21207" s="24"/>
      <c r="R21207"/>
      <c r="S21207"/>
      <c r="T21207"/>
      <c r="U21207"/>
      <c r="X21207" s="60"/>
    </row>
    <row r="21208" spans="7:24" ht="15" customHeight="1">
      <c r="G21208"/>
      <c r="I21208"/>
      <c r="N21208"/>
      <c r="O21208" s="24"/>
      <c r="P21208"/>
      <c r="Q21208" s="24"/>
      <c r="R21208"/>
      <c r="S21208"/>
      <c r="T21208"/>
      <c r="U21208"/>
      <c r="X21208" s="60"/>
    </row>
    <row r="21209" spans="7:24" ht="15" customHeight="1">
      <c r="G21209"/>
      <c r="I21209"/>
      <c r="N21209"/>
      <c r="O21209" s="24"/>
      <c r="P21209"/>
      <c r="Q21209" s="24"/>
      <c r="R21209"/>
      <c r="S21209"/>
      <c r="T21209"/>
      <c r="U21209"/>
      <c r="X21209" s="60"/>
    </row>
    <row r="21210" spans="7:24" ht="15" customHeight="1">
      <c r="G21210"/>
      <c r="I21210"/>
      <c r="N21210"/>
      <c r="O21210" s="24"/>
      <c r="P21210"/>
      <c r="Q21210" s="24"/>
      <c r="R21210"/>
      <c r="S21210"/>
      <c r="T21210"/>
      <c r="U21210"/>
      <c r="X21210" s="60"/>
    </row>
    <row r="21211" spans="7:24" ht="15" customHeight="1">
      <c r="G21211"/>
      <c r="I21211"/>
      <c r="N21211"/>
      <c r="O21211" s="24"/>
      <c r="P21211"/>
      <c r="Q21211" s="24"/>
      <c r="R21211"/>
      <c r="S21211"/>
      <c r="T21211"/>
      <c r="U21211"/>
      <c r="X21211" s="60"/>
    </row>
    <row r="21212" spans="7:24" ht="15" customHeight="1">
      <c r="G21212"/>
      <c r="I21212"/>
      <c r="N21212"/>
      <c r="O21212" s="24"/>
      <c r="P21212"/>
      <c r="Q21212" s="24"/>
      <c r="R21212"/>
      <c r="S21212"/>
      <c r="T21212"/>
      <c r="U21212"/>
      <c r="X21212" s="60"/>
    </row>
    <row r="21213" spans="7:24" ht="15" customHeight="1">
      <c r="G21213"/>
      <c r="I21213"/>
      <c r="N21213"/>
      <c r="O21213" s="24"/>
      <c r="P21213"/>
      <c r="Q21213" s="24"/>
      <c r="R21213"/>
      <c r="S21213"/>
      <c r="T21213"/>
      <c r="U21213"/>
      <c r="X21213" s="60"/>
    </row>
    <row r="21214" spans="7:24" ht="15" customHeight="1">
      <c r="G21214"/>
      <c r="I21214"/>
      <c r="N21214"/>
      <c r="O21214" s="24"/>
      <c r="P21214"/>
      <c r="Q21214" s="24"/>
      <c r="R21214"/>
      <c r="S21214"/>
      <c r="T21214"/>
      <c r="U21214"/>
      <c r="X21214" s="60"/>
    </row>
    <row r="21215" spans="7:24" ht="15" customHeight="1">
      <c r="G21215"/>
      <c r="I21215"/>
      <c r="N21215"/>
      <c r="O21215" s="24"/>
      <c r="P21215"/>
      <c r="Q21215" s="24"/>
      <c r="R21215"/>
      <c r="S21215"/>
      <c r="T21215"/>
      <c r="U21215"/>
      <c r="X21215" s="60"/>
    </row>
    <row r="21216" spans="7:24" ht="15" customHeight="1">
      <c r="G21216"/>
      <c r="I21216"/>
      <c r="N21216"/>
      <c r="O21216" s="24"/>
      <c r="P21216"/>
      <c r="Q21216" s="24"/>
      <c r="R21216"/>
      <c r="S21216"/>
      <c r="T21216"/>
      <c r="U21216"/>
      <c r="X21216" s="60"/>
    </row>
    <row r="21217" spans="7:24" ht="15" customHeight="1">
      <c r="G21217"/>
      <c r="I21217"/>
      <c r="N21217"/>
      <c r="O21217" s="24"/>
      <c r="P21217"/>
      <c r="Q21217" s="24"/>
      <c r="R21217"/>
      <c r="S21217"/>
      <c r="T21217"/>
      <c r="U21217"/>
      <c r="X21217" s="60"/>
    </row>
    <row r="21218" spans="7:24" ht="15" customHeight="1">
      <c r="G21218"/>
      <c r="I21218"/>
      <c r="N21218"/>
      <c r="O21218" s="24"/>
      <c r="P21218"/>
      <c r="Q21218" s="24"/>
      <c r="R21218"/>
      <c r="S21218"/>
      <c r="T21218"/>
      <c r="U21218"/>
      <c r="X21218" s="60"/>
    </row>
    <row r="21219" spans="7:24" ht="15" customHeight="1">
      <c r="G21219"/>
      <c r="I21219"/>
      <c r="N21219"/>
      <c r="O21219" s="24"/>
      <c r="P21219"/>
      <c r="Q21219" s="24"/>
      <c r="R21219"/>
      <c r="S21219"/>
      <c r="T21219"/>
      <c r="U21219"/>
      <c r="X21219" s="60"/>
    </row>
    <row r="21220" spans="7:24" ht="15" customHeight="1">
      <c r="G21220"/>
      <c r="I21220"/>
      <c r="N21220"/>
      <c r="O21220" s="24"/>
      <c r="P21220"/>
      <c r="Q21220" s="24"/>
      <c r="R21220"/>
      <c r="S21220"/>
      <c r="T21220"/>
      <c r="U21220"/>
      <c r="X21220" s="60"/>
    </row>
    <row r="21221" spans="7:24" ht="15" customHeight="1">
      <c r="G21221"/>
      <c r="I21221"/>
      <c r="N21221"/>
      <c r="O21221" s="24"/>
      <c r="P21221"/>
      <c r="Q21221" s="24"/>
      <c r="R21221"/>
      <c r="S21221"/>
      <c r="T21221"/>
      <c r="U21221"/>
      <c r="X21221" s="60"/>
    </row>
    <row r="21222" spans="7:24" ht="15" customHeight="1">
      <c r="G21222"/>
      <c r="I21222"/>
      <c r="N21222"/>
      <c r="O21222" s="24"/>
      <c r="P21222"/>
      <c r="Q21222" s="24"/>
      <c r="R21222"/>
      <c r="S21222"/>
      <c r="T21222"/>
      <c r="U21222"/>
      <c r="X21222" s="60"/>
    </row>
    <row r="21223" spans="7:24" ht="15" customHeight="1">
      <c r="G21223"/>
      <c r="I21223"/>
      <c r="N21223"/>
      <c r="O21223" s="24"/>
      <c r="P21223"/>
      <c r="Q21223" s="24"/>
      <c r="R21223"/>
      <c r="S21223"/>
      <c r="T21223"/>
      <c r="U21223"/>
      <c r="X21223" s="60"/>
    </row>
    <row r="21224" spans="7:24" ht="15" customHeight="1">
      <c r="G21224"/>
      <c r="I21224"/>
      <c r="N21224"/>
      <c r="O21224" s="24"/>
      <c r="P21224"/>
      <c r="Q21224" s="24"/>
      <c r="R21224"/>
      <c r="S21224"/>
      <c r="T21224"/>
      <c r="U21224"/>
      <c r="X21224" s="60"/>
    </row>
    <row r="21225" spans="7:24" ht="15" customHeight="1">
      <c r="G21225"/>
      <c r="I21225"/>
      <c r="N21225"/>
      <c r="O21225" s="24"/>
      <c r="P21225"/>
      <c r="Q21225" s="24"/>
      <c r="R21225"/>
      <c r="S21225"/>
      <c r="T21225"/>
      <c r="U21225"/>
      <c r="X21225" s="60"/>
    </row>
    <row r="21226" spans="7:24" ht="15" customHeight="1">
      <c r="G21226"/>
      <c r="I21226"/>
      <c r="N21226"/>
      <c r="O21226" s="24"/>
      <c r="P21226"/>
      <c r="Q21226" s="24"/>
      <c r="R21226"/>
      <c r="S21226"/>
      <c r="T21226"/>
      <c r="U21226"/>
      <c r="X21226" s="60"/>
    </row>
    <row r="21227" spans="7:24" ht="15" customHeight="1">
      <c r="G21227"/>
      <c r="I21227"/>
      <c r="N21227"/>
      <c r="O21227" s="24"/>
      <c r="P21227"/>
      <c r="Q21227" s="24"/>
      <c r="R21227"/>
      <c r="S21227"/>
      <c r="T21227"/>
      <c r="U21227"/>
      <c r="X21227" s="60"/>
    </row>
    <row r="21228" spans="7:24" ht="15" customHeight="1">
      <c r="G21228"/>
      <c r="I21228"/>
      <c r="N21228"/>
      <c r="O21228" s="24"/>
      <c r="P21228"/>
      <c r="Q21228" s="24"/>
      <c r="R21228"/>
      <c r="S21228"/>
      <c r="T21228"/>
      <c r="U21228"/>
      <c r="X21228" s="60"/>
    </row>
    <row r="21229" spans="7:24" ht="15" customHeight="1">
      <c r="G21229"/>
      <c r="I21229"/>
      <c r="N21229"/>
      <c r="O21229" s="24"/>
      <c r="P21229"/>
      <c r="Q21229" s="24"/>
      <c r="R21229"/>
      <c r="S21229"/>
      <c r="T21229"/>
      <c r="U21229"/>
      <c r="X21229" s="60"/>
    </row>
    <row r="21230" spans="7:24" ht="15" customHeight="1">
      <c r="G21230"/>
      <c r="I21230"/>
      <c r="N21230"/>
      <c r="O21230" s="24"/>
      <c r="P21230"/>
      <c r="Q21230" s="24"/>
      <c r="R21230"/>
      <c r="S21230"/>
      <c r="T21230"/>
      <c r="U21230"/>
      <c r="X21230" s="60"/>
    </row>
    <row r="21231" spans="7:24" ht="15" customHeight="1">
      <c r="G21231"/>
      <c r="I21231"/>
      <c r="N21231"/>
      <c r="O21231" s="24"/>
      <c r="P21231"/>
      <c r="Q21231" s="24"/>
      <c r="R21231"/>
      <c r="S21231"/>
      <c r="T21231"/>
      <c r="U21231"/>
      <c r="X21231" s="60"/>
    </row>
    <row r="21232" spans="7:24" ht="15" customHeight="1">
      <c r="G21232"/>
      <c r="I21232"/>
      <c r="N21232"/>
      <c r="O21232" s="24"/>
      <c r="P21232"/>
      <c r="Q21232" s="24"/>
      <c r="R21232"/>
      <c r="S21232"/>
      <c r="T21232"/>
      <c r="U21232"/>
      <c r="X21232" s="60"/>
    </row>
    <row r="21233" spans="7:24" ht="15" customHeight="1">
      <c r="G21233"/>
      <c r="I21233"/>
      <c r="N21233"/>
      <c r="O21233" s="24"/>
      <c r="P21233"/>
      <c r="Q21233" s="24"/>
      <c r="R21233"/>
      <c r="S21233"/>
      <c r="T21233"/>
      <c r="U21233"/>
      <c r="X21233" s="60"/>
    </row>
    <row r="21234" spans="7:24" ht="15" customHeight="1">
      <c r="G21234"/>
      <c r="I21234"/>
      <c r="N21234"/>
      <c r="O21234" s="24"/>
      <c r="P21234"/>
      <c r="Q21234" s="24"/>
      <c r="R21234"/>
      <c r="S21234"/>
      <c r="T21234"/>
      <c r="U21234"/>
      <c r="X21234" s="60"/>
    </row>
    <row r="21235" spans="7:24" ht="15" customHeight="1">
      <c r="G21235"/>
      <c r="I21235"/>
      <c r="N21235"/>
      <c r="O21235" s="24"/>
      <c r="P21235"/>
      <c r="Q21235" s="24"/>
      <c r="R21235"/>
      <c r="S21235"/>
      <c r="T21235"/>
      <c r="U21235"/>
      <c r="X21235" s="60"/>
    </row>
    <row r="21236" spans="7:24" ht="15" customHeight="1">
      <c r="G21236"/>
      <c r="I21236"/>
      <c r="N21236"/>
      <c r="O21236" s="24"/>
      <c r="P21236"/>
      <c r="Q21236" s="24"/>
      <c r="R21236"/>
      <c r="S21236"/>
      <c r="T21236"/>
      <c r="U21236"/>
      <c r="X21236" s="60"/>
    </row>
    <row r="21237" spans="7:24" ht="15" customHeight="1">
      <c r="G21237"/>
      <c r="I21237"/>
      <c r="N21237"/>
      <c r="O21237" s="24"/>
      <c r="P21237"/>
      <c r="Q21237" s="24"/>
      <c r="R21237"/>
      <c r="S21237"/>
      <c r="T21237"/>
      <c r="U21237"/>
      <c r="X21237" s="60"/>
    </row>
    <row r="21238" spans="7:24" ht="15" customHeight="1">
      <c r="G21238"/>
      <c r="I21238"/>
      <c r="N21238"/>
      <c r="O21238" s="24"/>
      <c r="P21238"/>
      <c r="Q21238" s="24"/>
      <c r="R21238"/>
      <c r="S21238"/>
      <c r="T21238"/>
      <c r="U21238"/>
      <c r="X21238" s="60"/>
    </row>
    <row r="21239" spans="7:24" ht="15" customHeight="1">
      <c r="G21239"/>
      <c r="I21239"/>
      <c r="N21239"/>
      <c r="O21239" s="24"/>
      <c r="P21239"/>
      <c r="Q21239" s="24"/>
      <c r="R21239"/>
      <c r="S21239"/>
      <c r="T21239"/>
      <c r="U21239"/>
      <c r="X21239" s="60"/>
    </row>
    <row r="21240" spans="7:24" ht="15" customHeight="1">
      <c r="G21240"/>
      <c r="I21240"/>
      <c r="N21240"/>
      <c r="O21240" s="24"/>
      <c r="P21240"/>
      <c r="Q21240" s="24"/>
      <c r="R21240"/>
      <c r="S21240"/>
      <c r="T21240"/>
      <c r="U21240"/>
      <c r="X21240" s="60"/>
    </row>
    <row r="21241" spans="7:24" ht="15" customHeight="1">
      <c r="G21241"/>
      <c r="I21241"/>
      <c r="N21241"/>
      <c r="O21241" s="24"/>
      <c r="P21241"/>
      <c r="Q21241" s="24"/>
      <c r="R21241"/>
      <c r="S21241"/>
      <c r="T21241"/>
      <c r="U21241"/>
      <c r="X21241" s="60"/>
    </row>
    <row r="21242" spans="7:24" ht="15" customHeight="1">
      <c r="G21242"/>
      <c r="I21242"/>
      <c r="N21242"/>
      <c r="O21242" s="24"/>
      <c r="P21242"/>
      <c r="Q21242" s="24"/>
      <c r="R21242"/>
      <c r="S21242"/>
      <c r="T21242"/>
      <c r="U21242"/>
      <c r="X21242" s="60"/>
    </row>
    <row r="21243" spans="7:24" ht="15" customHeight="1">
      <c r="G21243"/>
      <c r="I21243"/>
      <c r="N21243"/>
      <c r="O21243" s="24"/>
      <c r="P21243"/>
      <c r="Q21243" s="24"/>
      <c r="R21243"/>
      <c r="S21243"/>
      <c r="T21243"/>
      <c r="U21243"/>
      <c r="X21243" s="60"/>
    </row>
    <row r="21244" spans="7:24" ht="15" customHeight="1">
      <c r="G21244"/>
      <c r="I21244"/>
      <c r="N21244"/>
      <c r="O21244" s="24"/>
      <c r="P21244"/>
      <c r="Q21244" s="24"/>
      <c r="R21244"/>
      <c r="S21244"/>
      <c r="T21244"/>
      <c r="U21244"/>
      <c r="X21244" s="60"/>
    </row>
    <row r="21245" spans="7:24" ht="15" customHeight="1">
      <c r="G21245"/>
      <c r="I21245"/>
      <c r="N21245"/>
      <c r="O21245" s="24"/>
      <c r="P21245"/>
      <c r="Q21245" s="24"/>
      <c r="R21245"/>
      <c r="S21245"/>
      <c r="T21245"/>
      <c r="U21245"/>
      <c r="X21245" s="60"/>
    </row>
    <row r="21246" spans="7:24" ht="15" customHeight="1">
      <c r="G21246"/>
      <c r="I21246"/>
      <c r="N21246"/>
      <c r="O21246" s="24"/>
      <c r="P21246"/>
      <c r="Q21246" s="24"/>
      <c r="R21246"/>
      <c r="S21246"/>
      <c r="T21246"/>
      <c r="U21246"/>
      <c r="X21246" s="60"/>
    </row>
    <row r="21247" spans="7:24" ht="15" customHeight="1">
      <c r="G21247"/>
      <c r="I21247"/>
      <c r="N21247"/>
      <c r="O21247" s="24"/>
      <c r="P21247"/>
      <c r="Q21247" s="24"/>
      <c r="R21247"/>
      <c r="S21247"/>
      <c r="T21247"/>
      <c r="U21247"/>
      <c r="X21247" s="60"/>
    </row>
    <row r="21248" spans="7:24" ht="15" customHeight="1">
      <c r="G21248"/>
      <c r="I21248"/>
      <c r="N21248"/>
      <c r="O21248" s="24"/>
      <c r="P21248"/>
      <c r="Q21248" s="24"/>
      <c r="R21248"/>
      <c r="S21248"/>
      <c r="T21248"/>
      <c r="U21248"/>
      <c r="X21248" s="60"/>
    </row>
    <row r="21249" spans="7:24" ht="15" customHeight="1">
      <c r="G21249"/>
      <c r="I21249"/>
      <c r="N21249"/>
      <c r="O21249" s="24"/>
      <c r="P21249"/>
      <c r="Q21249" s="24"/>
      <c r="R21249"/>
      <c r="S21249"/>
      <c r="T21249"/>
      <c r="U21249"/>
      <c r="X21249" s="60"/>
    </row>
    <row r="21250" spans="7:24" ht="15" customHeight="1">
      <c r="G21250"/>
      <c r="I21250"/>
      <c r="N21250"/>
      <c r="O21250" s="24"/>
      <c r="P21250"/>
      <c r="Q21250" s="24"/>
      <c r="R21250"/>
      <c r="S21250"/>
      <c r="T21250"/>
      <c r="U21250"/>
      <c r="X21250" s="60"/>
    </row>
    <row r="21251" spans="7:24" ht="15" customHeight="1">
      <c r="G21251"/>
      <c r="I21251"/>
      <c r="N21251"/>
      <c r="O21251" s="24"/>
      <c r="P21251"/>
      <c r="Q21251" s="24"/>
      <c r="R21251"/>
      <c r="S21251"/>
      <c r="T21251"/>
      <c r="U21251"/>
      <c r="X21251" s="60"/>
    </row>
    <row r="21252" spans="7:24" ht="15" customHeight="1">
      <c r="G21252"/>
      <c r="I21252"/>
      <c r="N21252"/>
      <c r="O21252" s="24"/>
      <c r="P21252"/>
      <c r="Q21252" s="24"/>
      <c r="R21252"/>
      <c r="S21252"/>
      <c r="T21252"/>
      <c r="U21252"/>
      <c r="X21252" s="60"/>
    </row>
    <row r="21253" spans="7:24" ht="15" customHeight="1">
      <c r="G21253"/>
      <c r="I21253"/>
      <c r="N21253"/>
      <c r="O21253" s="24"/>
      <c r="P21253"/>
      <c r="Q21253" s="24"/>
      <c r="R21253"/>
      <c r="S21253"/>
      <c r="T21253"/>
      <c r="U21253"/>
      <c r="X21253" s="60"/>
    </row>
    <row r="21254" spans="7:24" ht="15" customHeight="1">
      <c r="G21254"/>
      <c r="I21254"/>
      <c r="N21254"/>
      <c r="O21254" s="24"/>
      <c r="P21254"/>
      <c r="Q21254" s="24"/>
      <c r="R21254"/>
      <c r="S21254"/>
      <c r="T21254"/>
      <c r="U21254"/>
      <c r="X21254" s="60"/>
    </row>
    <row r="21255" spans="7:24" ht="15" customHeight="1">
      <c r="G21255"/>
      <c r="I21255"/>
      <c r="N21255"/>
      <c r="O21255" s="24"/>
      <c r="P21255"/>
      <c r="Q21255" s="24"/>
      <c r="R21255"/>
      <c r="S21255"/>
      <c r="T21255"/>
      <c r="U21255"/>
      <c r="X21255" s="60"/>
    </row>
    <row r="21256" spans="7:24" ht="15" customHeight="1">
      <c r="G21256"/>
      <c r="I21256"/>
      <c r="N21256"/>
      <c r="O21256" s="24"/>
      <c r="P21256"/>
      <c r="Q21256" s="24"/>
      <c r="R21256"/>
      <c r="S21256"/>
      <c r="T21256"/>
      <c r="U21256"/>
      <c r="X21256" s="60"/>
    </row>
    <row r="21257" spans="7:24" ht="15" customHeight="1">
      <c r="G21257"/>
      <c r="I21257"/>
      <c r="N21257"/>
      <c r="O21257" s="24"/>
      <c r="P21257"/>
      <c r="Q21257" s="24"/>
      <c r="R21257"/>
      <c r="S21257"/>
      <c r="T21257"/>
      <c r="U21257"/>
      <c r="X21257" s="60"/>
    </row>
    <row r="21258" spans="7:24" ht="15" customHeight="1">
      <c r="G21258"/>
      <c r="I21258"/>
      <c r="N21258"/>
      <c r="O21258" s="24"/>
      <c r="P21258"/>
      <c r="Q21258" s="24"/>
      <c r="R21258"/>
      <c r="S21258"/>
      <c r="T21258"/>
      <c r="U21258"/>
      <c r="X21258" s="60"/>
    </row>
    <row r="21259" spans="7:24" ht="15" customHeight="1">
      <c r="G21259"/>
      <c r="I21259"/>
      <c r="N21259"/>
      <c r="O21259" s="24"/>
      <c r="P21259"/>
      <c r="Q21259" s="24"/>
      <c r="R21259"/>
      <c r="S21259"/>
      <c r="T21259"/>
      <c r="U21259"/>
      <c r="X21259" s="60"/>
    </row>
    <row r="21260" spans="7:24" ht="15" customHeight="1">
      <c r="G21260"/>
      <c r="I21260"/>
      <c r="N21260"/>
      <c r="O21260" s="24"/>
      <c r="P21260"/>
      <c r="Q21260" s="24"/>
      <c r="R21260"/>
      <c r="S21260"/>
      <c r="T21260"/>
      <c r="U21260"/>
      <c r="X21260" s="60"/>
    </row>
    <row r="21261" spans="7:24" ht="15" customHeight="1">
      <c r="G21261"/>
      <c r="I21261"/>
      <c r="N21261"/>
      <c r="O21261" s="24"/>
      <c r="P21261"/>
      <c r="Q21261" s="24"/>
      <c r="R21261"/>
      <c r="S21261"/>
      <c r="T21261"/>
      <c r="U21261"/>
      <c r="X21261" s="60"/>
    </row>
    <row r="21262" spans="7:24" ht="15" customHeight="1">
      <c r="G21262"/>
      <c r="I21262"/>
      <c r="N21262"/>
      <c r="O21262" s="24"/>
      <c r="P21262"/>
      <c r="Q21262" s="24"/>
      <c r="R21262"/>
      <c r="S21262"/>
      <c r="T21262"/>
      <c r="U21262"/>
      <c r="X21262" s="60"/>
    </row>
    <row r="21263" spans="7:24" ht="15" customHeight="1">
      <c r="G21263"/>
      <c r="I21263"/>
      <c r="N21263"/>
      <c r="O21263" s="24"/>
      <c r="P21263"/>
      <c r="Q21263" s="24"/>
      <c r="R21263"/>
      <c r="S21263"/>
      <c r="T21263"/>
      <c r="U21263"/>
      <c r="X21263" s="60"/>
    </row>
    <row r="21264" spans="7:24" ht="15" customHeight="1">
      <c r="G21264"/>
      <c r="I21264"/>
      <c r="N21264"/>
      <c r="O21264" s="24"/>
      <c r="P21264"/>
      <c r="Q21264" s="24"/>
      <c r="R21264"/>
      <c r="S21264"/>
      <c r="T21264"/>
      <c r="U21264"/>
      <c r="X21264" s="60"/>
    </row>
    <row r="21265" spans="7:24" ht="15" customHeight="1">
      <c r="G21265"/>
      <c r="I21265"/>
      <c r="N21265"/>
      <c r="O21265" s="24"/>
      <c r="P21265"/>
      <c r="Q21265" s="24"/>
      <c r="R21265"/>
      <c r="S21265"/>
      <c r="T21265"/>
      <c r="U21265"/>
      <c r="X21265" s="60"/>
    </row>
    <row r="21266" spans="7:24" ht="15" customHeight="1">
      <c r="G21266"/>
      <c r="I21266"/>
      <c r="N21266"/>
      <c r="O21266" s="24"/>
      <c r="P21266"/>
      <c r="Q21266" s="24"/>
      <c r="R21266"/>
      <c r="S21266"/>
      <c r="T21266"/>
      <c r="U21266"/>
      <c r="X21266" s="60"/>
    </row>
    <row r="21267" spans="7:24" ht="15" customHeight="1">
      <c r="G21267"/>
      <c r="I21267"/>
      <c r="N21267"/>
      <c r="O21267" s="24"/>
      <c r="P21267"/>
      <c r="Q21267" s="24"/>
      <c r="R21267"/>
      <c r="S21267"/>
      <c r="T21267"/>
      <c r="U21267"/>
      <c r="X21267" s="60"/>
    </row>
    <row r="21268" spans="7:24" ht="15" customHeight="1">
      <c r="G21268"/>
      <c r="I21268"/>
      <c r="N21268"/>
      <c r="O21268" s="24"/>
      <c r="P21268"/>
      <c r="Q21268" s="24"/>
      <c r="R21268"/>
      <c r="S21268"/>
      <c r="T21268"/>
      <c r="U21268"/>
      <c r="X21268" s="60"/>
    </row>
    <row r="21269" spans="7:24" ht="15" customHeight="1">
      <c r="G21269"/>
      <c r="I21269"/>
      <c r="N21269"/>
      <c r="O21269" s="24"/>
      <c r="P21269"/>
      <c r="Q21269" s="24"/>
      <c r="R21269"/>
      <c r="S21269"/>
      <c r="T21269"/>
      <c r="U21269"/>
      <c r="X21269" s="60"/>
    </row>
    <row r="21270" spans="7:24" ht="15" customHeight="1">
      <c r="G21270"/>
      <c r="I21270"/>
      <c r="N21270"/>
      <c r="O21270" s="24"/>
      <c r="P21270"/>
      <c r="Q21270" s="24"/>
      <c r="R21270"/>
      <c r="S21270"/>
      <c r="T21270"/>
      <c r="U21270"/>
      <c r="X21270" s="60"/>
    </row>
    <row r="21271" spans="7:24" ht="15" customHeight="1">
      <c r="G21271"/>
      <c r="I21271"/>
      <c r="N21271"/>
      <c r="O21271" s="24"/>
      <c r="P21271"/>
      <c r="Q21271" s="24"/>
      <c r="R21271"/>
      <c r="S21271"/>
      <c r="T21271"/>
      <c r="U21271"/>
      <c r="X21271" s="60"/>
    </row>
    <row r="21272" spans="7:24" ht="15" customHeight="1">
      <c r="G21272"/>
      <c r="I21272"/>
      <c r="N21272"/>
      <c r="O21272" s="24"/>
      <c r="P21272"/>
      <c r="Q21272" s="24"/>
      <c r="R21272"/>
      <c r="S21272"/>
      <c r="T21272"/>
      <c r="U21272"/>
      <c r="X21272" s="60"/>
    </row>
    <row r="21273" spans="7:24" ht="15" customHeight="1">
      <c r="G21273"/>
      <c r="I21273"/>
      <c r="N21273"/>
      <c r="O21273" s="24"/>
      <c r="P21273"/>
      <c r="Q21273" s="24"/>
      <c r="R21273"/>
      <c r="S21273"/>
      <c r="T21273"/>
      <c r="U21273"/>
      <c r="X21273" s="60"/>
    </row>
    <row r="21274" spans="7:24" ht="15" customHeight="1">
      <c r="G21274"/>
      <c r="I21274"/>
      <c r="N21274"/>
      <c r="O21274" s="24"/>
      <c r="P21274"/>
      <c r="Q21274" s="24"/>
      <c r="R21274"/>
      <c r="S21274"/>
      <c r="T21274"/>
      <c r="U21274"/>
      <c r="X21274" s="60"/>
    </row>
    <row r="21275" spans="7:24" ht="15" customHeight="1">
      <c r="G21275"/>
      <c r="I21275"/>
      <c r="N21275"/>
      <c r="O21275" s="24"/>
      <c r="P21275"/>
      <c r="Q21275" s="24"/>
      <c r="R21275"/>
      <c r="S21275"/>
      <c r="T21275"/>
      <c r="U21275"/>
      <c r="X21275" s="60"/>
    </row>
    <row r="21276" spans="7:24" ht="15" customHeight="1">
      <c r="G21276"/>
      <c r="I21276"/>
      <c r="N21276"/>
      <c r="O21276" s="24"/>
      <c r="P21276"/>
      <c r="Q21276" s="24"/>
      <c r="R21276"/>
      <c r="S21276"/>
      <c r="T21276"/>
      <c r="U21276"/>
      <c r="X21276" s="60"/>
    </row>
    <row r="21277" spans="7:24" ht="15" customHeight="1">
      <c r="G21277"/>
      <c r="I21277"/>
      <c r="N21277"/>
      <c r="O21277" s="24"/>
      <c r="P21277"/>
      <c r="Q21277" s="24"/>
      <c r="R21277"/>
      <c r="S21277"/>
      <c r="T21277"/>
      <c r="U21277"/>
      <c r="X21277" s="60"/>
    </row>
    <row r="21278" spans="7:24" ht="15" customHeight="1">
      <c r="G21278"/>
      <c r="I21278"/>
      <c r="N21278"/>
      <c r="O21278" s="24"/>
      <c r="P21278"/>
      <c r="Q21278" s="24"/>
      <c r="R21278"/>
      <c r="S21278"/>
      <c r="T21278"/>
      <c r="U21278"/>
      <c r="X21278" s="60"/>
    </row>
    <row r="21279" spans="7:24" ht="15" customHeight="1">
      <c r="G21279"/>
      <c r="I21279"/>
      <c r="N21279"/>
      <c r="O21279" s="24"/>
      <c r="P21279"/>
      <c r="Q21279" s="24"/>
      <c r="R21279"/>
      <c r="S21279"/>
      <c r="T21279"/>
      <c r="U21279"/>
      <c r="X21279" s="60"/>
    </row>
    <row r="21280" spans="7:24" ht="15" customHeight="1">
      <c r="G21280"/>
      <c r="I21280"/>
      <c r="N21280"/>
      <c r="O21280" s="24"/>
      <c r="P21280"/>
      <c r="Q21280" s="24"/>
      <c r="R21280"/>
      <c r="S21280"/>
      <c r="T21280"/>
      <c r="U21280"/>
      <c r="X21280" s="60"/>
    </row>
    <row r="21281" spans="7:24" ht="15" customHeight="1">
      <c r="G21281"/>
      <c r="I21281"/>
      <c r="N21281"/>
      <c r="O21281" s="24"/>
      <c r="P21281"/>
      <c r="Q21281" s="24"/>
      <c r="R21281"/>
      <c r="S21281"/>
      <c r="T21281"/>
      <c r="U21281"/>
      <c r="X21281" s="60"/>
    </row>
    <row r="21282" spans="7:24" ht="15" customHeight="1">
      <c r="G21282"/>
      <c r="I21282"/>
      <c r="N21282"/>
      <c r="O21282" s="24"/>
      <c r="P21282"/>
      <c r="Q21282" s="24"/>
      <c r="R21282"/>
      <c r="S21282"/>
      <c r="T21282"/>
      <c r="U21282"/>
      <c r="X21282" s="60"/>
    </row>
    <row r="21283" spans="7:24" ht="15" customHeight="1">
      <c r="G21283"/>
      <c r="I21283"/>
      <c r="N21283"/>
      <c r="O21283" s="24"/>
      <c r="P21283"/>
      <c r="Q21283" s="24"/>
      <c r="R21283"/>
      <c r="S21283"/>
      <c r="T21283"/>
      <c r="U21283"/>
      <c r="X21283" s="60"/>
    </row>
    <row r="21284" spans="7:24" ht="15" customHeight="1">
      <c r="G21284"/>
      <c r="I21284"/>
      <c r="N21284"/>
      <c r="O21284" s="24"/>
      <c r="P21284"/>
      <c r="Q21284" s="24"/>
      <c r="R21284"/>
      <c r="S21284"/>
      <c r="T21284"/>
      <c r="U21284"/>
      <c r="X21284" s="60"/>
    </row>
    <row r="21285" spans="7:24" ht="15" customHeight="1">
      <c r="G21285"/>
      <c r="I21285"/>
      <c r="N21285"/>
      <c r="O21285" s="24"/>
      <c r="P21285"/>
      <c r="Q21285" s="24"/>
      <c r="R21285"/>
      <c r="S21285"/>
      <c r="T21285"/>
      <c r="U21285"/>
      <c r="X21285" s="60"/>
    </row>
    <row r="21286" spans="7:24" ht="15" customHeight="1">
      <c r="G21286"/>
      <c r="I21286"/>
      <c r="N21286"/>
      <c r="O21286" s="24"/>
      <c r="P21286"/>
      <c r="Q21286" s="24"/>
      <c r="R21286"/>
      <c r="S21286"/>
      <c r="T21286"/>
      <c r="U21286"/>
      <c r="X21286" s="60"/>
    </row>
    <row r="21287" spans="7:24" ht="15" customHeight="1">
      <c r="G21287"/>
      <c r="I21287"/>
      <c r="N21287"/>
      <c r="O21287" s="24"/>
      <c r="P21287"/>
      <c r="Q21287" s="24"/>
      <c r="R21287"/>
      <c r="S21287"/>
      <c r="T21287"/>
      <c r="U21287"/>
      <c r="X21287" s="60"/>
    </row>
    <row r="21288" spans="7:24" ht="15" customHeight="1">
      <c r="G21288"/>
      <c r="I21288"/>
      <c r="N21288"/>
      <c r="O21288" s="24"/>
      <c r="P21288"/>
      <c r="Q21288" s="24"/>
      <c r="R21288"/>
      <c r="S21288"/>
      <c r="T21288"/>
      <c r="U21288"/>
      <c r="X21288" s="60"/>
    </row>
    <row r="21289" spans="7:24" ht="15" customHeight="1">
      <c r="G21289"/>
      <c r="I21289"/>
      <c r="N21289"/>
      <c r="O21289" s="24"/>
      <c r="P21289"/>
      <c r="Q21289" s="24"/>
      <c r="R21289"/>
      <c r="S21289"/>
      <c r="T21289"/>
      <c r="U21289"/>
      <c r="X21289" s="60"/>
    </row>
    <row r="21290" spans="7:24" ht="15" customHeight="1">
      <c r="G21290"/>
      <c r="I21290"/>
      <c r="N21290"/>
      <c r="O21290" s="24"/>
      <c r="P21290"/>
      <c r="Q21290" s="24"/>
      <c r="R21290"/>
      <c r="S21290"/>
      <c r="T21290"/>
      <c r="U21290"/>
      <c r="X21290" s="60"/>
    </row>
    <row r="21291" spans="7:24" ht="15" customHeight="1">
      <c r="G21291"/>
      <c r="I21291"/>
      <c r="N21291"/>
      <c r="O21291" s="24"/>
      <c r="P21291"/>
      <c r="Q21291" s="24"/>
      <c r="R21291"/>
      <c r="S21291"/>
      <c r="T21291"/>
      <c r="U21291"/>
      <c r="X21291" s="60"/>
    </row>
    <row r="21292" spans="7:24" ht="15" customHeight="1">
      <c r="G21292"/>
      <c r="I21292"/>
      <c r="N21292"/>
      <c r="O21292" s="24"/>
      <c r="P21292"/>
      <c r="Q21292" s="24"/>
      <c r="R21292"/>
      <c r="S21292"/>
      <c r="T21292"/>
      <c r="U21292"/>
      <c r="X21292" s="60"/>
    </row>
    <row r="21293" spans="7:24" ht="15" customHeight="1">
      <c r="G21293"/>
      <c r="I21293"/>
      <c r="N21293"/>
      <c r="O21293" s="24"/>
      <c r="P21293"/>
      <c r="Q21293" s="24"/>
      <c r="R21293"/>
      <c r="S21293"/>
      <c r="T21293"/>
      <c r="U21293"/>
      <c r="X21293" s="60"/>
    </row>
    <row r="21294" spans="7:24" ht="15" customHeight="1">
      <c r="G21294"/>
      <c r="I21294"/>
      <c r="N21294"/>
      <c r="O21294" s="24"/>
      <c r="P21294"/>
      <c r="Q21294" s="24"/>
      <c r="R21294"/>
      <c r="S21294"/>
      <c r="T21294"/>
      <c r="U21294"/>
      <c r="X21294" s="60"/>
    </row>
    <row r="21295" spans="7:24" ht="15" customHeight="1">
      <c r="G21295"/>
      <c r="I21295"/>
      <c r="N21295"/>
      <c r="O21295" s="24"/>
      <c r="P21295"/>
      <c r="Q21295" s="24"/>
      <c r="R21295"/>
      <c r="S21295"/>
      <c r="T21295"/>
      <c r="U21295"/>
      <c r="X21295" s="60"/>
    </row>
    <row r="21296" spans="7:24" ht="15" customHeight="1">
      <c r="G21296"/>
      <c r="I21296"/>
      <c r="N21296"/>
      <c r="O21296" s="24"/>
      <c r="P21296"/>
      <c r="Q21296" s="24"/>
      <c r="R21296"/>
      <c r="S21296"/>
      <c r="T21296"/>
      <c r="U21296"/>
      <c r="X21296" s="60"/>
    </row>
    <row r="21297" spans="7:24" ht="15" customHeight="1">
      <c r="G21297"/>
      <c r="I21297"/>
      <c r="N21297"/>
      <c r="O21297" s="24"/>
      <c r="P21297"/>
      <c r="Q21297" s="24"/>
      <c r="R21297"/>
      <c r="S21297"/>
      <c r="T21297"/>
      <c r="U21297"/>
      <c r="X21297" s="60"/>
    </row>
    <row r="21298" spans="7:24" ht="15" customHeight="1">
      <c r="G21298"/>
      <c r="I21298"/>
      <c r="N21298"/>
      <c r="O21298" s="24"/>
      <c r="P21298"/>
      <c r="Q21298" s="24"/>
      <c r="R21298"/>
      <c r="S21298"/>
      <c r="T21298"/>
      <c r="U21298"/>
      <c r="X21298" s="60"/>
    </row>
    <row r="21299" spans="7:24" ht="15" customHeight="1">
      <c r="G21299"/>
      <c r="I21299"/>
      <c r="N21299"/>
      <c r="O21299" s="24"/>
      <c r="P21299"/>
      <c r="Q21299" s="24"/>
      <c r="R21299"/>
      <c r="S21299"/>
      <c r="T21299"/>
      <c r="U21299"/>
      <c r="X21299" s="60"/>
    </row>
    <row r="21300" spans="7:24" ht="15" customHeight="1">
      <c r="G21300"/>
      <c r="I21300"/>
      <c r="N21300"/>
      <c r="O21300" s="24"/>
      <c r="P21300"/>
      <c r="Q21300" s="24"/>
      <c r="R21300"/>
      <c r="S21300"/>
      <c r="T21300"/>
      <c r="U21300"/>
      <c r="X21300" s="60"/>
    </row>
    <row r="21301" spans="7:24" ht="15" customHeight="1">
      <c r="G21301"/>
      <c r="I21301"/>
      <c r="N21301"/>
      <c r="O21301" s="24"/>
      <c r="P21301"/>
      <c r="Q21301" s="24"/>
      <c r="R21301"/>
      <c r="S21301"/>
      <c r="T21301"/>
      <c r="U21301"/>
      <c r="X21301" s="60"/>
    </row>
    <row r="21302" spans="7:24" ht="15" customHeight="1">
      <c r="G21302"/>
      <c r="I21302"/>
      <c r="N21302"/>
      <c r="O21302" s="24"/>
      <c r="P21302"/>
      <c r="Q21302" s="24"/>
      <c r="R21302"/>
      <c r="S21302"/>
      <c r="T21302"/>
      <c r="U21302"/>
      <c r="X21302" s="60"/>
    </row>
    <row r="21303" spans="7:24" ht="15" customHeight="1">
      <c r="G21303"/>
      <c r="I21303"/>
      <c r="N21303"/>
      <c r="O21303" s="24"/>
      <c r="P21303"/>
      <c r="Q21303" s="24"/>
      <c r="R21303"/>
      <c r="S21303"/>
      <c r="T21303"/>
      <c r="U21303"/>
      <c r="X21303" s="60"/>
    </row>
    <row r="21304" spans="7:24" ht="15" customHeight="1">
      <c r="G21304"/>
      <c r="I21304"/>
      <c r="N21304"/>
      <c r="O21304" s="24"/>
      <c r="P21304"/>
      <c r="Q21304" s="24"/>
      <c r="R21304"/>
      <c r="S21304"/>
      <c r="T21304"/>
      <c r="U21304"/>
      <c r="X21304" s="60"/>
    </row>
    <row r="21305" spans="7:24" ht="15" customHeight="1">
      <c r="G21305"/>
      <c r="I21305"/>
      <c r="N21305"/>
      <c r="O21305" s="24"/>
      <c r="P21305"/>
      <c r="Q21305" s="24"/>
      <c r="R21305"/>
      <c r="S21305"/>
      <c r="T21305"/>
      <c r="U21305"/>
      <c r="X21305" s="60"/>
    </row>
    <row r="21306" spans="7:24" ht="15" customHeight="1">
      <c r="G21306"/>
      <c r="I21306"/>
      <c r="N21306"/>
      <c r="O21306" s="24"/>
      <c r="P21306"/>
      <c r="Q21306" s="24"/>
      <c r="R21306"/>
      <c r="S21306"/>
      <c r="T21306"/>
      <c r="U21306"/>
      <c r="X21306" s="60"/>
    </row>
    <row r="21307" spans="7:24" ht="15" customHeight="1">
      <c r="G21307"/>
      <c r="I21307"/>
      <c r="N21307"/>
      <c r="O21307" s="24"/>
      <c r="P21307"/>
      <c r="Q21307" s="24"/>
      <c r="R21307"/>
      <c r="S21307"/>
      <c r="T21307"/>
      <c r="U21307"/>
      <c r="X21307" s="60"/>
    </row>
    <row r="21308" spans="7:24" ht="15" customHeight="1">
      <c r="G21308"/>
      <c r="I21308"/>
      <c r="N21308"/>
      <c r="O21308" s="24"/>
      <c r="P21308"/>
      <c r="Q21308" s="24"/>
      <c r="R21308"/>
      <c r="S21308"/>
      <c r="T21308"/>
      <c r="U21308"/>
      <c r="X21308" s="60"/>
    </row>
    <row r="21309" spans="7:24" ht="15" customHeight="1">
      <c r="G21309"/>
      <c r="I21309"/>
      <c r="N21309"/>
      <c r="O21309" s="24"/>
      <c r="P21309"/>
      <c r="Q21309" s="24"/>
      <c r="R21309"/>
      <c r="S21309"/>
      <c r="T21309"/>
      <c r="U21309"/>
      <c r="X21309" s="60"/>
    </row>
    <row r="21310" spans="7:24" ht="15" customHeight="1">
      <c r="G21310"/>
      <c r="I21310"/>
      <c r="N21310"/>
      <c r="O21310" s="24"/>
      <c r="P21310"/>
      <c r="Q21310" s="24"/>
      <c r="R21310"/>
      <c r="S21310"/>
      <c r="T21310"/>
      <c r="U21310"/>
      <c r="X21310" s="60"/>
    </row>
    <row r="21311" spans="7:24" ht="15" customHeight="1">
      <c r="G21311"/>
      <c r="I21311"/>
      <c r="N21311"/>
      <c r="O21311" s="24"/>
      <c r="P21311"/>
      <c r="Q21311" s="24"/>
      <c r="R21311"/>
      <c r="S21311"/>
      <c r="T21311"/>
      <c r="U21311"/>
      <c r="X21311" s="60"/>
    </row>
    <row r="21312" spans="7:24" ht="15" customHeight="1">
      <c r="G21312"/>
      <c r="I21312"/>
      <c r="N21312"/>
      <c r="O21312" s="24"/>
      <c r="P21312"/>
      <c r="Q21312" s="24"/>
      <c r="R21312"/>
      <c r="S21312"/>
      <c r="T21312"/>
      <c r="U21312"/>
      <c r="X21312" s="60"/>
    </row>
    <row r="21313" spans="7:24" ht="15" customHeight="1">
      <c r="G21313"/>
      <c r="I21313"/>
      <c r="N21313"/>
      <c r="O21313" s="24"/>
      <c r="P21313"/>
      <c r="Q21313" s="24"/>
      <c r="R21313"/>
      <c r="S21313"/>
      <c r="T21313"/>
      <c r="U21313"/>
      <c r="X21313" s="60"/>
    </row>
    <row r="21314" spans="7:24" ht="15" customHeight="1">
      <c r="G21314"/>
      <c r="I21314"/>
      <c r="N21314"/>
      <c r="O21314" s="24"/>
      <c r="P21314"/>
      <c r="Q21314" s="24"/>
      <c r="R21314"/>
      <c r="S21314"/>
      <c r="T21314"/>
      <c r="U21314"/>
      <c r="X21314" s="60"/>
    </row>
    <row r="21315" spans="7:24" ht="15" customHeight="1">
      <c r="G21315"/>
      <c r="I21315"/>
      <c r="N21315"/>
      <c r="O21315" s="24"/>
      <c r="P21315"/>
      <c r="Q21315" s="24"/>
      <c r="R21315"/>
      <c r="S21315"/>
      <c r="T21315"/>
      <c r="U21315"/>
      <c r="X21315" s="60"/>
    </row>
    <row r="21316" spans="7:24" ht="15" customHeight="1">
      <c r="G21316"/>
      <c r="I21316"/>
      <c r="N21316"/>
      <c r="O21316" s="24"/>
      <c r="P21316"/>
      <c r="Q21316" s="24"/>
      <c r="R21316"/>
      <c r="S21316"/>
      <c r="T21316"/>
      <c r="U21316"/>
      <c r="X21316" s="60"/>
    </row>
    <row r="21317" spans="7:24" ht="15" customHeight="1">
      <c r="G21317"/>
      <c r="I21317"/>
      <c r="N21317"/>
      <c r="O21317" s="24"/>
      <c r="P21317"/>
      <c r="Q21317" s="24"/>
      <c r="R21317"/>
      <c r="S21317"/>
      <c r="T21317"/>
      <c r="U21317"/>
      <c r="X21317" s="60"/>
    </row>
    <row r="21318" spans="7:24" ht="15" customHeight="1">
      <c r="G21318"/>
      <c r="I21318"/>
      <c r="N21318"/>
      <c r="O21318" s="24"/>
      <c r="P21318"/>
      <c r="Q21318" s="24"/>
      <c r="R21318"/>
      <c r="S21318"/>
      <c r="T21318"/>
      <c r="U21318"/>
      <c r="X21318" s="60"/>
    </row>
    <row r="21319" spans="7:24" ht="15" customHeight="1">
      <c r="G21319"/>
      <c r="I21319"/>
      <c r="N21319"/>
      <c r="O21319" s="24"/>
      <c r="P21319"/>
      <c r="Q21319" s="24"/>
      <c r="R21319"/>
      <c r="S21319"/>
      <c r="T21319"/>
      <c r="U21319"/>
      <c r="X21319" s="60"/>
    </row>
    <row r="21320" spans="7:24" ht="15" customHeight="1">
      <c r="G21320"/>
      <c r="I21320"/>
      <c r="N21320"/>
      <c r="O21320" s="24"/>
      <c r="P21320"/>
      <c r="Q21320" s="24"/>
      <c r="R21320"/>
      <c r="S21320"/>
      <c r="T21320"/>
      <c r="U21320"/>
      <c r="X21320" s="60"/>
    </row>
    <row r="21321" spans="7:24" ht="15" customHeight="1">
      <c r="G21321"/>
      <c r="I21321"/>
      <c r="N21321"/>
      <c r="O21321" s="24"/>
      <c r="P21321"/>
      <c r="Q21321" s="24"/>
      <c r="R21321"/>
      <c r="S21321"/>
      <c r="T21321"/>
      <c r="U21321"/>
      <c r="X21321" s="60"/>
    </row>
    <row r="21322" spans="7:24" ht="15" customHeight="1">
      <c r="G21322"/>
      <c r="I21322"/>
      <c r="N21322"/>
      <c r="O21322" s="24"/>
      <c r="P21322"/>
      <c r="Q21322" s="24"/>
      <c r="R21322"/>
      <c r="S21322"/>
      <c r="T21322"/>
      <c r="U21322"/>
      <c r="X21322" s="60"/>
    </row>
    <row r="21323" spans="7:24" ht="15" customHeight="1">
      <c r="G21323"/>
      <c r="I21323"/>
      <c r="N21323"/>
      <c r="O21323" s="24"/>
      <c r="P21323"/>
      <c r="Q21323" s="24"/>
      <c r="R21323"/>
      <c r="S21323"/>
      <c r="T21323"/>
      <c r="U21323"/>
      <c r="X21323" s="60"/>
    </row>
    <row r="21324" spans="7:24" ht="15" customHeight="1">
      <c r="G21324"/>
      <c r="I21324"/>
      <c r="N21324"/>
      <c r="O21324" s="24"/>
      <c r="P21324"/>
      <c r="Q21324" s="24"/>
      <c r="R21324"/>
      <c r="S21324"/>
      <c r="T21324"/>
      <c r="U21324"/>
      <c r="X21324" s="60"/>
    </row>
    <row r="21325" spans="7:24" ht="15" customHeight="1">
      <c r="G21325"/>
      <c r="I21325"/>
      <c r="N21325"/>
      <c r="O21325" s="24"/>
      <c r="P21325"/>
      <c r="Q21325" s="24"/>
      <c r="R21325"/>
      <c r="S21325"/>
      <c r="T21325"/>
      <c r="U21325"/>
      <c r="X21325" s="60"/>
    </row>
    <row r="21326" spans="7:24" ht="15" customHeight="1">
      <c r="G21326"/>
      <c r="I21326"/>
      <c r="N21326"/>
      <c r="O21326" s="24"/>
      <c r="P21326"/>
      <c r="Q21326" s="24"/>
      <c r="R21326"/>
      <c r="S21326"/>
      <c r="T21326"/>
      <c r="U21326"/>
      <c r="X21326" s="60"/>
    </row>
    <row r="21327" spans="7:24" ht="15" customHeight="1">
      <c r="G21327"/>
      <c r="I21327"/>
      <c r="N21327"/>
      <c r="O21327" s="24"/>
      <c r="P21327"/>
      <c r="Q21327" s="24"/>
      <c r="R21327"/>
      <c r="S21327"/>
      <c r="T21327"/>
      <c r="U21327"/>
      <c r="X21327" s="60"/>
    </row>
    <row r="21328" spans="7:24" ht="15" customHeight="1">
      <c r="G21328"/>
      <c r="I21328"/>
      <c r="N21328"/>
      <c r="O21328" s="24"/>
      <c r="P21328"/>
      <c r="Q21328" s="24"/>
      <c r="R21328"/>
      <c r="S21328"/>
      <c r="T21328"/>
      <c r="U21328"/>
      <c r="X21328" s="60"/>
    </row>
    <row r="21329" spans="7:24" ht="15" customHeight="1">
      <c r="G21329"/>
      <c r="I21329"/>
      <c r="N21329"/>
      <c r="O21329" s="24"/>
      <c r="P21329"/>
      <c r="Q21329" s="24"/>
      <c r="R21329"/>
      <c r="S21329"/>
      <c r="T21329"/>
      <c r="U21329"/>
      <c r="X21329" s="60"/>
    </row>
    <row r="21330" spans="7:24" ht="15" customHeight="1">
      <c r="G21330"/>
      <c r="I21330"/>
      <c r="N21330"/>
      <c r="O21330" s="24"/>
      <c r="P21330"/>
      <c r="Q21330" s="24"/>
      <c r="R21330"/>
      <c r="S21330"/>
      <c r="T21330"/>
      <c r="U21330"/>
      <c r="X21330" s="60"/>
    </row>
    <row r="21331" spans="7:24" ht="15" customHeight="1">
      <c r="G21331"/>
      <c r="I21331"/>
      <c r="N21331"/>
      <c r="O21331" s="24"/>
      <c r="P21331"/>
      <c r="Q21331" s="24"/>
      <c r="R21331"/>
      <c r="S21331"/>
      <c r="T21331"/>
      <c r="U21331"/>
      <c r="X21331" s="60"/>
    </row>
    <row r="21332" spans="7:24" ht="15" customHeight="1">
      <c r="G21332"/>
      <c r="I21332"/>
      <c r="N21332"/>
      <c r="O21332" s="24"/>
      <c r="P21332"/>
      <c r="Q21332" s="24"/>
      <c r="R21332"/>
      <c r="S21332"/>
      <c r="T21332"/>
      <c r="U21332"/>
      <c r="X21332" s="60"/>
    </row>
    <row r="21333" spans="7:24" ht="15" customHeight="1">
      <c r="G21333"/>
      <c r="I21333"/>
      <c r="N21333"/>
      <c r="O21333" s="24"/>
      <c r="P21333"/>
      <c r="Q21333" s="24"/>
      <c r="R21333"/>
      <c r="S21333"/>
      <c r="T21333"/>
      <c r="U21333"/>
      <c r="X21333" s="60"/>
    </row>
    <row r="21334" spans="7:24" ht="15" customHeight="1">
      <c r="G21334"/>
      <c r="I21334"/>
      <c r="N21334"/>
      <c r="O21334" s="24"/>
      <c r="P21334"/>
      <c r="Q21334" s="24"/>
      <c r="R21334"/>
      <c r="S21334"/>
      <c r="T21334"/>
      <c r="U21334"/>
      <c r="X21334" s="60"/>
    </row>
    <row r="21335" spans="7:24" ht="15" customHeight="1">
      <c r="G21335"/>
      <c r="I21335"/>
      <c r="N21335"/>
      <c r="O21335" s="24"/>
      <c r="P21335"/>
      <c r="Q21335" s="24"/>
      <c r="R21335"/>
      <c r="S21335"/>
      <c r="T21335"/>
      <c r="U21335"/>
      <c r="X21335" s="60"/>
    </row>
    <row r="21336" spans="7:24" ht="15" customHeight="1">
      <c r="G21336"/>
      <c r="I21336"/>
      <c r="N21336"/>
      <c r="O21336" s="24"/>
      <c r="P21336"/>
      <c r="Q21336" s="24"/>
      <c r="R21336"/>
      <c r="S21336"/>
      <c r="T21336"/>
      <c r="U21336"/>
      <c r="X21336" s="60"/>
    </row>
    <row r="21337" spans="7:24" ht="15" customHeight="1">
      <c r="G21337"/>
      <c r="I21337"/>
      <c r="N21337"/>
      <c r="O21337" s="24"/>
      <c r="P21337"/>
      <c r="Q21337" s="24"/>
      <c r="R21337"/>
      <c r="S21337"/>
      <c r="T21337"/>
      <c r="U21337"/>
      <c r="X21337" s="60"/>
    </row>
    <row r="21338" spans="7:24" ht="15" customHeight="1">
      <c r="G21338"/>
      <c r="I21338"/>
      <c r="N21338"/>
      <c r="O21338" s="24"/>
      <c r="P21338"/>
      <c r="Q21338" s="24"/>
      <c r="R21338"/>
      <c r="S21338"/>
      <c r="T21338"/>
      <c r="U21338"/>
      <c r="X21338" s="60"/>
    </row>
    <row r="21339" spans="7:24" ht="15" customHeight="1">
      <c r="G21339"/>
      <c r="I21339"/>
      <c r="N21339"/>
      <c r="O21339" s="24"/>
      <c r="P21339"/>
      <c r="Q21339" s="24"/>
      <c r="R21339"/>
      <c r="S21339"/>
      <c r="T21339"/>
      <c r="U21339"/>
      <c r="X21339" s="60"/>
    </row>
    <row r="21340" spans="7:24" ht="15" customHeight="1">
      <c r="G21340"/>
      <c r="I21340"/>
      <c r="N21340"/>
      <c r="O21340" s="24"/>
      <c r="P21340"/>
      <c r="Q21340" s="24"/>
      <c r="R21340"/>
      <c r="S21340"/>
      <c r="T21340"/>
      <c r="U21340"/>
      <c r="X21340" s="60"/>
    </row>
    <row r="21341" spans="7:24" ht="15" customHeight="1">
      <c r="G21341"/>
      <c r="I21341"/>
      <c r="N21341"/>
      <c r="O21341" s="24"/>
      <c r="P21341"/>
      <c r="Q21341" s="24"/>
      <c r="R21341"/>
      <c r="S21341"/>
      <c r="T21341"/>
      <c r="U21341"/>
      <c r="X21341" s="60"/>
    </row>
    <row r="21342" spans="7:24" ht="15" customHeight="1">
      <c r="G21342"/>
      <c r="I21342"/>
      <c r="N21342"/>
      <c r="O21342" s="24"/>
      <c r="P21342"/>
      <c r="Q21342" s="24"/>
      <c r="R21342"/>
      <c r="S21342"/>
      <c r="T21342"/>
      <c r="U21342"/>
      <c r="X21342" s="60"/>
    </row>
    <row r="21343" spans="7:24" ht="15" customHeight="1">
      <c r="G21343"/>
      <c r="I21343"/>
      <c r="N21343"/>
      <c r="O21343" s="24"/>
      <c r="P21343"/>
      <c r="Q21343" s="24"/>
      <c r="R21343"/>
      <c r="S21343"/>
      <c r="T21343"/>
      <c r="U21343"/>
      <c r="X21343" s="60"/>
    </row>
    <row r="21344" spans="7:24" ht="15" customHeight="1">
      <c r="G21344"/>
      <c r="I21344"/>
      <c r="N21344"/>
      <c r="O21344" s="24"/>
      <c r="P21344"/>
      <c r="Q21344" s="24"/>
      <c r="R21344"/>
      <c r="S21344"/>
      <c r="T21344"/>
      <c r="U21344"/>
      <c r="X21344" s="60"/>
    </row>
    <row r="21345" spans="7:24" ht="15" customHeight="1">
      <c r="G21345"/>
      <c r="I21345"/>
      <c r="N21345"/>
      <c r="O21345" s="24"/>
      <c r="P21345"/>
      <c r="Q21345" s="24"/>
      <c r="R21345"/>
      <c r="S21345"/>
      <c r="T21345"/>
      <c r="U21345"/>
      <c r="X21345" s="60"/>
    </row>
    <row r="21346" spans="7:24" ht="15" customHeight="1">
      <c r="G21346"/>
      <c r="I21346"/>
      <c r="N21346"/>
      <c r="O21346" s="24"/>
      <c r="P21346"/>
      <c r="Q21346" s="24"/>
      <c r="R21346"/>
      <c r="S21346"/>
      <c r="T21346"/>
      <c r="U21346"/>
      <c r="X21346" s="60"/>
    </row>
    <row r="21347" spans="7:24" ht="15" customHeight="1">
      <c r="G21347"/>
      <c r="I21347"/>
      <c r="N21347"/>
      <c r="O21347" s="24"/>
      <c r="P21347"/>
      <c r="Q21347" s="24"/>
      <c r="R21347"/>
      <c r="S21347"/>
      <c r="T21347"/>
      <c r="U21347"/>
      <c r="X21347" s="60"/>
    </row>
    <row r="21348" spans="7:24" ht="15" customHeight="1">
      <c r="G21348"/>
      <c r="I21348"/>
      <c r="N21348"/>
      <c r="O21348" s="24"/>
      <c r="P21348"/>
      <c r="Q21348" s="24"/>
      <c r="R21348"/>
      <c r="S21348"/>
      <c r="T21348"/>
      <c r="U21348"/>
      <c r="X21348" s="60"/>
    </row>
    <row r="21349" spans="7:24" ht="15" customHeight="1">
      <c r="G21349"/>
      <c r="I21349"/>
      <c r="N21349"/>
      <c r="O21349" s="24"/>
      <c r="P21349"/>
      <c r="Q21349" s="24"/>
      <c r="R21349"/>
      <c r="S21349"/>
      <c r="T21349"/>
      <c r="U21349"/>
      <c r="X21349" s="60"/>
    </row>
    <row r="21350" spans="7:24" ht="15" customHeight="1">
      <c r="G21350"/>
      <c r="I21350"/>
      <c r="N21350"/>
      <c r="O21350" s="24"/>
      <c r="P21350"/>
      <c r="Q21350" s="24"/>
      <c r="R21350"/>
      <c r="S21350"/>
      <c r="T21350"/>
      <c r="U21350"/>
      <c r="X21350" s="60"/>
    </row>
    <row r="21351" spans="7:24" ht="15" customHeight="1">
      <c r="G21351"/>
      <c r="I21351"/>
      <c r="N21351"/>
      <c r="O21351" s="24"/>
      <c r="P21351"/>
      <c r="Q21351" s="24"/>
      <c r="R21351"/>
      <c r="S21351"/>
      <c r="T21351"/>
      <c r="U21351"/>
      <c r="X21351" s="60"/>
    </row>
    <row r="21352" spans="7:24" ht="15" customHeight="1">
      <c r="G21352"/>
      <c r="I21352"/>
      <c r="N21352"/>
      <c r="O21352" s="24"/>
      <c r="P21352"/>
      <c r="Q21352" s="24"/>
      <c r="R21352"/>
      <c r="S21352"/>
      <c r="T21352"/>
      <c r="U21352"/>
      <c r="X21352" s="60"/>
    </row>
    <row r="21353" spans="7:24" ht="15" customHeight="1">
      <c r="G21353"/>
      <c r="I21353"/>
      <c r="N21353"/>
      <c r="O21353" s="24"/>
      <c r="P21353"/>
      <c r="Q21353" s="24"/>
      <c r="R21353"/>
      <c r="S21353"/>
      <c r="T21353"/>
      <c r="U21353"/>
      <c r="X21353" s="60"/>
    </row>
    <row r="21354" spans="7:24" ht="15" customHeight="1">
      <c r="G21354"/>
      <c r="I21354"/>
      <c r="N21354"/>
      <c r="O21354" s="24"/>
      <c r="P21354"/>
      <c r="Q21354" s="24"/>
      <c r="R21354"/>
      <c r="S21354"/>
      <c r="T21354"/>
      <c r="U21354"/>
      <c r="X21354" s="60"/>
    </row>
    <row r="21355" spans="7:24" ht="15" customHeight="1">
      <c r="G21355"/>
      <c r="I21355"/>
      <c r="N21355"/>
      <c r="O21355" s="24"/>
      <c r="P21355"/>
      <c r="Q21355" s="24"/>
      <c r="R21355"/>
      <c r="S21355"/>
      <c r="T21355"/>
      <c r="U21355"/>
      <c r="X21355" s="60"/>
    </row>
    <row r="21356" spans="7:24" ht="15" customHeight="1">
      <c r="G21356"/>
      <c r="I21356"/>
      <c r="N21356"/>
      <c r="O21356" s="24"/>
      <c r="P21356"/>
      <c r="Q21356" s="24"/>
      <c r="R21356"/>
      <c r="S21356"/>
      <c r="T21356"/>
      <c r="U21356"/>
      <c r="X21356" s="60"/>
    </row>
    <row r="21357" spans="7:24" ht="15" customHeight="1">
      <c r="G21357"/>
      <c r="I21357"/>
      <c r="N21357"/>
      <c r="O21357" s="24"/>
      <c r="P21357"/>
      <c r="Q21357" s="24"/>
      <c r="R21357"/>
      <c r="S21357"/>
      <c r="T21357"/>
      <c r="U21357"/>
      <c r="X21357" s="60"/>
    </row>
    <row r="21358" spans="7:24" ht="15" customHeight="1">
      <c r="G21358"/>
      <c r="I21358"/>
      <c r="N21358"/>
      <c r="O21358" s="24"/>
      <c r="P21358"/>
      <c r="Q21358" s="24"/>
      <c r="R21358"/>
      <c r="S21358"/>
      <c r="T21358"/>
      <c r="U21358"/>
      <c r="X21358" s="60"/>
    </row>
    <row r="21359" spans="7:24" ht="15" customHeight="1">
      <c r="G21359"/>
      <c r="I21359"/>
      <c r="N21359"/>
      <c r="O21359" s="24"/>
      <c r="P21359"/>
      <c r="Q21359" s="24"/>
      <c r="R21359"/>
      <c r="S21359"/>
      <c r="T21359"/>
      <c r="U21359"/>
      <c r="X21359" s="60"/>
    </row>
    <row r="21360" spans="7:24" ht="15" customHeight="1">
      <c r="G21360"/>
      <c r="I21360"/>
      <c r="N21360"/>
      <c r="O21360" s="24"/>
      <c r="P21360"/>
      <c r="Q21360" s="24"/>
      <c r="R21360"/>
      <c r="S21360"/>
      <c r="T21360"/>
      <c r="U21360"/>
      <c r="X21360" s="60"/>
    </row>
    <row r="21361" spans="7:24" ht="15" customHeight="1">
      <c r="G21361"/>
      <c r="I21361"/>
      <c r="N21361"/>
      <c r="O21361" s="24"/>
      <c r="P21361"/>
      <c r="Q21361" s="24"/>
      <c r="R21361"/>
      <c r="S21361"/>
      <c r="T21361"/>
      <c r="U21361"/>
      <c r="X21361" s="60"/>
    </row>
    <row r="21362" spans="7:24" ht="15" customHeight="1">
      <c r="G21362"/>
      <c r="I21362"/>
      <c r="N21362"/>
      <c r="O21362" s="24"/>
      <c r="P21362"/>
      <c r="Q21362" s="24"/>
      <c r="R21362"/>
      <c r="S21362"/>
      <c r="T21362"/>
      <c r="U21362"/>
      <c r="X21362" s="60"/>
    </row>
    <row r="21363" spans="7:24" ht="15" customHeight="1">
      <c r="G21363"/>
      <c r="I21363"/>
      <c r="N21363"/>
      <c r="O21363" s="24"/>
      <c r="P21363"/>
      <c r="Q21363" s="24"/>
      <c r="R21363"/>
      <c r="S21363"/>
      <c r="T21363"/>
      <c r="U21363"/>
      <c r="X21363" s="60"/>
    </row>
    <row r="21364" spans="7:24" ht="15" customHeight="1">
      <c r="G21364"/>
      <c r="I21364"/>
      <c r="N21364"/>
      <c r="O21364" s="24"/>
      <c r="P21364"/>
      <c r="Q21364" s="24"/>
      <c r="R21364"/>
      <c r="S21364"/>
      <c r="T21364"/>
      <c r="U21364"/>
      <c r="X21364" s="60"/>
    </row>
    <row r="21365" spans="7:24" ht="15" customHeight="1">
      <c r="G21365"/>
      <c r="I21365"/>
      <c r="N21365"/>
      <c r="O21365" s="24"/>
      <c r="P21365"/>
      <c r="Q21365" s="24"/>
      <c r="R21365"/>
      <c r="S21365"/>
      <c r="T21365"/>
      <c r="U21365"/>
      <c r="X21365" s="60"/>
    </row>
    <row r="21366" spans="7:24" ht="15" customHeight="1">
      <c r="G21366"/>
      <c r="I21366"/>
      <c r="N21366"/>
      <c r="O21366" s="24"/>
      <c r="P21366"/>
      <c r="Q21366" s="24"/>
      <c r="R21366"/>
      <c r="S21366"/>
      <c r="T21366"/>
      <c r="U21366"/>
      <c r="X21366" s="60"/>
    </row>
    <row r="21367" spans="7:24" ht="15" customHeight="1">
      <c r="G21367"/>
      <c r="I21367"/>
      <c r="N21367"/>
      <c r="O21367" s="24"/>
      <c r="P21367"/>
      <c r="Q21367" s="24"/>
      <c r="R21367"/>
      <c r="S21367"/>
      <c r="T21367"/>
      <c r="U21367"/>
      <c r="X21367" s="60"/>
    </row>
    <row r="21368" spans="7:24" ht="15" customHeight="1">
      <c r="G21368"/>
      <c r="I21368"/>
      <c r="N21368"/>
      <c r="O21368" s="24"/>
      <c r="P21368"/>
      <c r="Q21368" s="24"/>
      <c r="R21368"/>
      <c r="S21368"/>
      <c r="T21368"/>
      <c r="U21368"/>
      <c r="X21368" s="60"/>
    </row>
    <row r="21369" spans="7:24" ht="15" customHeight="1">
      <c r="G21369"/>
      <c r="I21369"/>
      <c r="N21369"/>
      <c r="O21369" s="24"/>
      <c r="P21369"/>
      <c r="Q21369" s="24"/>
      <c r="R21369"/>
      <c r="S21369"/>
      <c r="T21369"/>
      <c r="U21369"/>
      <c r="X21369" s="60"/>
    </row>
    <row r="21370" spans="7:24" ht="15" customHeight="1">
      <c r="G21370"/>
      <c r="I21370"/>
      <c r="N21370"/>
      <c r="O21370" s="24"/>
      <c r="P21370"/>
      <c r="Q21370" s="24"/>
      <c r="R21370"/>
      <c r="S21370"/>
      <c r="T21370"/>
      <c r="U21370"/>
      <c r="X21370" s="60"/>
    </row>
    <row r="21371" spans="7:24" ht="15" customHeight="1">
      <c r="G21371"/>
      <c r="I21371"/>
      <c r="N21371"/>
      <c r="O21371" s="24"/>
      <c r="P21371"/>
      <c r="Q21371" s="24"/>
      <c r="R21371"/>
      <c r="S21371"/>
      <c r="T21371"/>
      <c r="U21371"/>
      <c r="X21371" s="60"/>
    </row>
    <row r="21372" spans="7:24" ht="15" customHeight="1">
      <c r="G21372"/>
      <c r="I21372"/>
      <c r="N21372"/>
      <c r="O21372" s="24"/>
      <c r="P21372"/>
      <c r="Q21372" s="24"/>
      <c r="R21372"/>
      <c r="S21372"/>
      <c r="T21372"/>
      <c r="U21372"/>
      <c r="X21372" s="60"/>
    </row>
    <row r="21373" spans="7:24" ht="15" customHeight="1">
      <c r="G21373"/>
      <c r="I21373"/>
      <c r="N21373"/>
      <c r="O21373" s="24"/>
      <c r="P21373"/>
      <c r="Q21373" s="24"/>
      <c r="R21373"/>
      <c r="S21373"/>
      <c r="T21373"/>
      <c r="U21373"/>
      <c r="X21373" s="60"/>
    </row>
    <row r="21374" spans="7:24" ht="15" customHeight="1">
      <c r="G21374"/>
      <c r="I21374"/>
      <c r="N21374"/>
      <c r="O21374" s="24"/>
      <c r="P21374"/>
      <c r="Q21374" s="24"/>
      <c r="R21374"/>
      <c r="S21374"/>
      <c r="T21374"/>
      <c r="U21374"/>
      <c r="X21374" s="60"/>
    </row>
    <row r="21375" spans="7:24" ht="15" customHeight="1">
      <c r="G21375"/>
      <c r="I21375"/>
      <c r="N21375"/>
      <c r="O21375" s="24"/>
      <c r="P21375"/>
      <c r="Q21375" s="24"/>
      <c r="R21375"/>
      <c r="S21375"/>
      <c r="T21375"/>
      <c r="U21375"/>
      <c r="X21375" s="60"/>
    </row>
    <row r="21376" spans="7:24" ht="15" customHeight="1">
      <c r="G21376"/>
      <c r="I21376"/>
      <c r="N21376"/>
      <c r="O21376" s="24"/>
      <c r="P21376"/>
      <c r="Q21376" s="24"/>
      <c r="R21376"/>
      <c r="S21376"/>
      <c r="T21376"/>
      <c r="U21376"/>
      <c r="X21376" s="60"/>
    </row>
    <row r="21377" spans="7:24" ht="15" customHeight="1">
      <c r="G21377"/>
      <c r="I21377"/>
      <c r="N21377"/>
      <c r="O21377" s="24"/>
      <c r="P21377"/>
      <c r="Q21377" s="24"/>
      <c r="R21377"/>
      <c r="S21377"/>
      <c r="T21377"/>
      <c r="U21377"/>
      <c r="X21377" s="60"/>
    </row>
    <row r="21378" spans="7:24" ht="15" customHeight="1">
      <c r="G21378"/>
      <c r="I21378"/>
      <c r="N21378"/>
      <c r="O21378" s="24"/>
      <c r="P21378"/>
      <c r="Q21378" s="24"/>
      <c r="R21378"/>
      <c r="S21378"/>
      <c r="T21378"/>
      <c r="U21378"/>
      <c r="X21378" s="60"/>
    </row>
    <row r="21379" spans="7:24" ht="15" customHeight="1">
      <c r="G21379"/>
      <c r="I21379"/>
      <c r="N21379"/>
      <c r="O21379" s="24"/>
      <c r="P21379"/>
      <c r="Q21379" s="24"/>
      <c r="R21379"/>
      <c r="S21379"/>
      <c r="T21379"/>
      <c r="U21379"/>
      <c r="X21379" s="60"/>
    </row>
    <row r="21380" spans="7:24" ht="15" customHeight="1">
      <c r="G21380"/>
      <c r="I21380"/>
      <c r="N21380"/>
      <c r="O21380" s="24"/>
      <c r="P21380"/>
      <c r="Q21380" s="24"/>
      <c r="R21380"/>
      <c r="S21380"/>
      <c r="T21380"/>
      <c r="U21380"/>
      <c r="X21380" s="60"/>
    </row>
    <row r="21381" spans="7:24" ht="15" customHeight="1">
      <c r="G21381"/>
      <c r="I21381"/>
      <c r="N21381"/>
      <c r="O21381" s="24"/>
      <c r="P21381"/>
      <c r="Q21381" s="24"/>
      <c r="R21381"/>
      <c r="S21381"/>
      <c r="T21381"/>
      <c r="U21381"/>
      <c r="X21381" s="60"/>
    </row>
    <row r="21382" spans="7:24" ht="15" customHeight="1">
      <c r="G21382"/>
      <c r="I21382"/>
      <c r="N21382"/>
      <c r="O21382" s="24"/>
      <c r="P21382"/>
      <c r="Q21382" s="24"/>
      <c r="R21382"/>
      <c r="S21382"/>
      <c r="T21382"/>
      <c r="U21382"/>
      <c r="X21382" s="60"/>
    </row>
    <row r="21383" spans="7:24" ht="15" customHeight="1">
      <c r="G21383"/>
      <c r="I21383"/>
      <c r="N21383"/>
      <c r="O21383" s="24"/>
      <c r="P21383"/>
      <c r="Q21383" s="24"/>
      <c r="R21383"/>
      <c r="S21383"/>
      <c r="T21383"/>
      <c r="U21383"/>
      <c r="X21383" s="60"/>
    </row>
    <row r="21384" spans="7:24" ht="15" customHeight="1">
      <c r="G21384"/>
      <c r="I21384"/>
      <c r="N21384"/>
      <c r="O21384" s="24"/>
      <c r="P21384"/>
      <c r="Q21384" s="24"/>
      <c r="R21384"/>
      <c r="S21384"/>
      <c r="T21384"/>
      <c r="U21384"/>
      <c r="X21384" s="60"/>
    </row>
    <row r="21385" spans="7:24" ht="15" customHeight="1">
      <c r="G21385"/>
      <c r="I21385"/>
      <c r="N21385"/>
      <c r="O21385" s="24"/>
      <c r="P21385"/>
      <c r="Q21385" s="24"/>
      <c r="R21385"/>
      <c r="S21385"/>
      <c r="T21385"/>
      <c r="U21385"/>
      <c r="X21385" s="60"/>
    </row>
    <row r="21386" spans="7:24" ht="15" customHeight="1">
      <c r="G21386"/>
      <c r="I21386"/>
      <c r="N21386"/>
      <c r="O21386" s="24"/>
      <c r="P21386"/>
      <c r="Q21386" s="24"/>
      <c r="R21386"/>
      <c r="S21386"/>
      <c r="T21386"/>
      <c r="U21386"/>
      <c r="X21386" s="60"/>
    </row>
    <row r="21387" spans="7:24" ht="15" customHeight="1">
      <c r="G21387"/>
      <c r="I21387"/>
      <c r="N21387"/>
      <c r="O21387" s="24"/>
      <c r="P21387"/>
      <c r="Q21387" s="24"/>
      <c r="R21387"/>
      <c r="S21387"/>
      <c r="T21387"/>
      <c r="U21387"/>
      <c r="X21387" s="60"/>
    </row>
    <row r="21388" spans="7:24" ht="15" customHeight="1">
      <c r="G21388"/>
      <c r="I21388"/>
      <c r="N21388"/>
      <c r="O21388" s="24"/>
      <c r="P21388"/>
      <c r="Q21388" s="24"/>
      <c r="R21388"/>
      <c r="S21388"/>
      <c r="T21388"/>
      <c r="U21388"/>
      <c r="X21388" s="60"/>
    </row>
    <row r="21389" spans="7:24" ht="15" customHeight="1">
      <c r="G21389"/>
      <c r="I21389"/>
      <c r="N21389"/>
      <c r="O21389" s="24"/>
      <c r="P21389"/>
      <c r="Q21389" s="24"/>
      <c r="R21389"/>
      <c r="S21389"/>
      <c r="T21389"/>
      <c r="U21389"/>
      <c r="X21389" s="60"/>
    </row>
    <row r="21390" spans="7:24" ht="15" customHeight="1">
      <c r="G21390"/>
      <c r="I21390"/>
      <c r="N21390"/>
      <c r="O21390" s="24"/>
      <c r="P21390"/>
      <c r="Q21390" s="24"/>
      <c r="R21390"/>
      <c r="S21390"/>
      <c r="T21390"/>
      <c r="U21390"/>
      <c r="X21390" s="60"/>
    </row>
    <row r="21391" spans="7:24" ht="15" customHeight="1">
      <c r="G21391"/>
      <c r="I21391"/>
      <c r="N21391"/>
      <c r="O21391" s="24"/>
      <c r="P21391"/>
      <c r="Q21391" s="24"/>
      <c r="R21391"/>
      <c r="S21391"/>
      <c r="T21391"/>
      <c r="U21391"/>
      <c r="X21391" s="60"/>
    </row>
    <row r="21392" spans="7:24" ht="15" customHeight="1">
      <c r="G21392"/>
      <c r="I21392"/>
      <c r="N21392"/>
      <c r="O21392" s="24"/>
      <c r="P21392"/>
      <c r="Q21392" s="24"/>
      <c r="R21392"/>
      <c r="S21392"/>
      <c r="T21392"/>
      <c r="U21392"/>
      <c r="X21392" s="60"/>
    </row>
    <row r="21393" spans="7:24" ht="15" customHeight="1">
      <c r="G21393"/>
      <c r="I21393"/>
      <c r="N21393"/>
      <c r="O21393" s="24"/>
      <c r="P21393"/>
      <c r="Q21393" s="24"/>
      <c r="R21393"/>
      <c r="S21393"/>
      <c r="T21393"/>
      <c r="U21393"/>
      <c r="X21393" s="60"/>
    </row>
    <row r="21394" spans="7:24" ht="15" customHeight="1">
      <c r="G21394"/>
      <c r="I21394"/>
      <c r="N21394"/>
      <c r="O21394" s="24"/>
      <c r="P21394"/>
      <c r="Q21394" s="24"/>
      <c r="R21394"/>
      <c r="S21394"/>
      <c r="T21394"/>
      <c r="U21394"/>
      <c r="X21394" s="60"/>
    </row>
    <row r="21395" spans="7:24" ht="15" customHeight="1">
      <c r="G21395"/>
      <c r="I21395"/>
      <c r="N21395"/>
      <c r="O21395" s="24"/>
      <c r="P21395"/>
      <c r="Q21395" s="24"/>
      <c r="R21395"/>
      <c r="S21395"/>
      <c r="T21395"/>
      <c r="U21395"/>
      <c r="X21395" s="60"/>
    </row>
    <row r="21396" spans="7:24" ht="15" customHeight="1">
      <c r="G21396"/>
      <c r="I21396"/>
      <c r="N21396"/>
      <c r="O21396" s="24"/>
      <c r="P21396"/>
      <c r="Q21396" s="24"/>
      <c r="R21396"/>
      <c r="S21396"/>
      <c r="T21396"/>
      <c r="U21396"/>
      <c r="X21396" s="60"/>
    </row>
    <row r="21397" spans="7:24" ht="15" customHeight="1">
      <c r="G21397"/>
      <c r="I21397"/>
      <c r="N21397"/>
      <c r="O21397" s="24"/>
      <c r="P21397"/>
      <c r="Q21397" s="24"/>
      <c r="R21397"/>
      <c r="S21397"/>
      <c r="T21397"/>
      <c r="U21397"/>
      <c r="X21397" s="60"/>
    </row>
    <row r="21398" spans="7:24" ht="15" customHeight="1">
      <c r="G21398"/>
      <c r="I21398"/>
      <c r="N21398"/>
      <c r="O21398" s="24"/>
      <c r="P21398"/>
      <c r="Q21398" s="24"/>
      <c r="R21398"/>
      <c r="S21398"/>
      <c r="T21398"/>
      <c r="U21398"/>
      <c r="X21398" s="60"/>
    </row>
    <row r="21399" spans="7:24" ht="15" customHeight="1">
      <c r="G21399"/>
      <c r="I21399"/>
      <c r="N21399"/>
      <c r="O21399" s="24"/>
      <c r="P21399"/>
      <c r="Q21399" s="24"/>
      <c r="R21399"/>
      <c r="S21399"/>
      <c r="T21399"/>
      <c r="U21399"/>
      <c r="X21399" s="60"/>
    </row>
    <row r="21400" spans="7:24" ht="15" customHeight="1">
      <c r="G21400"/>
      <c r="I21400"/>
      <c r="N21400"/>
      <c r="O21400" s="24"/>
      <c r="P21400"/>
      <c r="Q21400" s="24"/>
      <c r="R21400"/>
      <c r="S21400"/>
      <c r="T21400"/>
      <c r="U21400"/>
      <c r="X21400" s="60"/>
    </row>
    <row r="21401" spans="7:24" ht="15" customHeight="1">
      <c r="G21401"/>
      <c r="I21401"/>
      <c r="N21401"/>
      <c r="O21401" s="24"/>
      <c r="P21401"/>
      <c r="Q21401" s="24"/>
      <c r="R21401"/>
      <c r="S21401"/>
      <c r="T21401"/>
      <c r="U21401"/>
      <c r="X21401" s="60"/>
    </row>
    <row r="21402" spans="7:24" ht="15" customHeight="1">
      <c r="G21402"/>
      <c r="I21402"/>
      <c r="N21402"/>
      <c r="O21402" s="24"/>
      <c r="P21402"/>
      <c r="Q21402" s="24"/>
      <c r="R21402"/>
      <c r="S21402"/>
      <c r="T21402"/>
      <c r="U21402"/>
      <c r="X21402" s="60"/>
    </row>
    <row r="21403" spans="7:24" ht="15" customHeight="1">
      <c r="G21403"/>
      <c r="I21403"/>
      <c r="N21403"/>
      <c r="O21403" s="24"/>
      <c r="P21403"/>
      <c r="Q21403" s="24"/>
      <c r="R21403"/>
      <c r="S21403"/>
      <c r="T21403"/>
      <c r="U21403"/>
      <c r="X21403" s="60"/>
    </row>
    <row r="21404" spans="7:24" ht="15" customHeight="1">
      <c r="G21404"/>
      <c r="I21404"/>
      <c r="N21404"/>
      <c r="O21404" s="24"/>
      <c r="P21404"/>
      <c r="Q21404" s="24"/>
      <c r="R21404"/>
      <c r="S21404"/>
      <c r="T21404"/>
      <c r="U21404"/>
      <c r="X21404" s="60"/>
    </row>
    <row r="21405" spans="7:24" ht="15" customHeight="1">
      <c r="G21405"/>
      <c r="I21405"/>
      <c r="N21405"/>
      <c r="O21405" s="24"/>
      <c r="P21405"/>
      <c r="Q21405" s="24"/>
      <c r="R21405"/>
      <c r="S21405"/>
      <c r="T21405"/>
      <c r="U21405"/>
      <c r="X21405" s="60"/>
    </row>
    <row r="21406" spans="7:24" ht="15" customHeight="1">
      <c r="G21406"/>
      <c r="I21406"/>
      <c r="N21406"/>
      <c r="O21406" s="24"/>
      <c r="P21406"/>
      <c r="Q21406" s="24"/>
      <c r="R21406"/>
      <c r="S21406"/>
      <c r="T21406"/>
      <c r="U21406"/>
      <c r="X21406" s="60"/>
    </row>
    <row r="21407" spans="7:24" ht="15" customHeight="1">
      <c r="G21407"/>
      <c r="I21407"/>
      <c r="N21407"/>
      <c r="O21407" s="24"/>
      <c r="P21407"/>
      <c r="Q21407" s="24"/>
      <c r="R21407"/>
      <c r="S21407"/>
      <c r="T21407"/>
      <c r="U21407"/>
      <c r="X21407" s="60"/>
    </row>
    <row r="21408" spans="7:24" ht="15" customHeight="1">
      <c r="G21408"/>
      <c r="I21408"/>
      <c r="N21408"/>
      <c r="O21408" s="24"/>
      <c r="P21408"/>
      <c r="Q21408" s="24"/>
      <c r="R21408"/>
      <c r="S21408"/>
      <c r="T21408"/>
      <c r="U21408"/>
      <c r="X21408" s="60"/>
    </row>
    <row r="21409" spans="7:24" ht="15" customHeight="1">
      <c r="G21409"/>
      <c r="I21409"/>
      <c r="N21409"/>
      <c r="O21409" s="24"/>
      <c r="P21409"/>
      <c r="Q21409" s="24"/>
      <c r="R21409"/>
      <c r="S21409"/>
      <c r="T21409"/>
      <c r="U21409"/>
      <c r="X21409" s="60"/>
    </row>
    <row r="21410" spans="7:24" ht="15" customHeight="1">
      <c r="G21410"/>
      <c r="I21410"/>
      <c r="N21410"/>
      <c r="O21410" s="24"/>
      <c r="P21410"/>
      <c r="Q21410" s="24"/>
      <c r="R21410"/>
      <c r="S21410"/>
      <c r="T21410"/>
      <c r="U21410"/>
      <c r="X21410" s="60"/>
    </row>
    <row r="21411" spans="7:24" ht="15" customHeight="1">
      <c r="G21411"/>
      <c r="I21411"/>
      <c r="N21411"/>
      <c r="O21411" s="24"/>
      <c r="P21411"/>
      <c r="Q21411" s="24"/>
      <c r="R21411"/>
      <c r="S21411"/>
      <c r="T21411"/>
      <c r="U21411"/>
      <c r="X21411" s="60"/>
    </row>
    <row r="21412" spans="7:24" ht="15" customHeight="1">
      <c r="G21412"/>
      <c r="I21412"/>
      <c r="N21412"/>
      <c r="O21412" s="24"/>
      <c r="P21412"/>
      <c r="Q21412" s="24"/>
      <c r="R21412"/>
      <c r="S21412"/>
      <c r="T21412"/>
      <c r="U21412"/>
      <c r="X21412" s="60"/>
    </row>
    <row r="21413" spans="7:24" ht="15" customHeight="1">
      <c r="G21413"/>
      <c r="I21413"/>
      <c r="N21413"/>
      <c r="O21413" s="24"/>
      <c r="P21413"/>
      <c r="Q21413" s="24"/>
      <c r="R21413"/>
      <c r="S21413"/>
      <c r="T21413"/>
      <c r="U21413"/>
      <c r="X21413" s="60"/>
    </row>
    <row r="21414" spans="7:24" ht="15" customHeight="1">
      <c r="G21414"/>
      <c r="I21414"/>
      <c r="N21414"/>
      <c r="O21414" s="24"/>
      <c r="P21414"/>
      <c r="Q21414" s="24"/>
      <c r="R21414"/>
      <c r="S21414"/>
      <c r="T21414"/>
      <c r="U21414"/>
      <c r="X21414" s="60"/>
    </row>
    <row r="21415" spans="7:24" ht="15" customHeight="1">
      <c r="G21415"/>
      <c r="I21415"/>
      <c r="N21415"/>
      <c r="O21415" s="24"/>
      <c r="P21415"/>
      <c r="Q21415" s="24"/>
      <c r="R21415"/>
      <c r="S21415"/>
      <c r="T21415"/>
      <c r="U21415"/>
      <c r="X21415" s="60"/>
    </row>
    <row r="21416" spans="7:24" ht="15" customHeight="1">
      <c r="G21416"/>
      <c r="I21416"/>
      <c r="N21416"/>
      <c r="O21416" s="24"/>
      <c r="P21416"/>
      <c r="Q21416" s="24"/>
      <c r="R21416"/>
      <c r="S21416"/>
      <c r="T21416"/>
      <c r="U21416"/>
      <c r="X21416" s="60"/>
    </row>
    <row r="21417" spans="7:24" ht="15" customHeight="1">
      <c r="G21417"/>
      <c r="I21417"/>
      <c r="N21417"/>
      <c r="O21417" s="24"/>
      <c r="P21417"/>
      <c r="Q21417" s="24"/>
      <c r="R21417"/>
      <c r="S21417"/>
      <c r="T21417"/>
      <c r="U21417"/>
      <c r="X21417" s="60"/>
    </row>
    <row r="21418" spans="7:24" ht="15" customHeight="1">
      <c r="G21418"/>
      <c r="I21418"/>
      <c r="N21418"/>
      <c r="O21418" s="24"/>
      <c r="P21418"/>
      <c r="Q21418" s="24"/>
      <c r="R21418"/>
      <c r="S21418"/>
      <c r="T21418"/>
      <c r="U21418"/>
      <c r="X21418" s="60"/>
    </row>
    <row r="21419" spans="7:24" ht="15" customHeight="1">
      <c r="G21419"/>
      <c r="I21419"/>
      <c r="N21419"/>
      <c r="O21419" s="24"/>
      <c r="P21419"/>
      <c r="Q21419" s="24"/>
      <c r="R21419"/>
      <c r="S21419"/>
      <c r="T21419"/>
      <c r="U21419"/>
      <c r="X21419" s="60"/>
    </row>
    <row r="21420" spans="7:24" ht="15" customHeight="1">
      <c r="G21420"/>
      <c r="I21420"/>
      <c r="N21420"/>
      <c r="O21420" s="24"/>
      <c r="P21420"/>
      <c r="Q21420" s="24"/>
      <c r="R21420"/>
      <c r="S21420"/>
      <c r="T21420"/>
      <c r="U21420"/>
      <c r="X21420" s="60"/>
    </row>
    <row r="21421" spans="7:24" ht="15" customHeight="1">
      <c r="G21421"/>
      <c r="I21421"/>
      <c r="N21421"/>
      <c r="O21421" s="24"/>
      <c r="P21421"/>
      <c r="Q21421" s="24"/>
      <c r="R21421"/>
      <c r="S21421"/>
      <c r="T21421"/>
      <c r="U21421"/>
      <c r="X21421" s="60"/>
    </row>
    <row r="21422" spans="7:24" ht="15" customHeight="1">
      <c r="G21422"/>
      <c r="I21422"/>
      <c r="N21422"/>
      <c r="O21422" s="24"/>
      <c r="P21422"/>
      <c r="Q21422" s="24"/>
      <c r="R21422"/>
      <c r="S21422"/>
      <c r="T21422"/>
      <c r="U21422"/>
      <c r="X21422" s="60"/>
    </row>
    <row r="21423" spans="7:24" ht="15" customHeight="1">
      <c r="G21423"/>
      <c r="I21423"/>
      <c r="N21423"/>
      <c r="O21423" s="24"/>
      <c r="P21423"/>
      <c r="Q21423" s="24"/>
      <c r="R21423"/>
      <c r="S21423"/>
      <c r="T21423"/>
      <c r="U21423"/>
      <c r="X21423" s="60"/>
    </row>
    <row r="21424" spans="7:24" ht="15" customHeight="1">
      <c r="G21424"/>
      <c r="I21424"/>
      <c r="N21424"/>
      <c r="O21424" s="24"/>
      <c r="P21424"/>
      <c r="Q21424" s="24"/>
      <c r="R21424"/>
      <c r="S21424"/>
      <c r="T21424"/>
      <c r="U21424"/>
      <c r="X21424" s="60"/>
    </row>
    <row r="21425" spans="7:24" ht="15" customHeight="1">
      <c r="G21425"/>
      <c r="I21425"/>
      <c r="N21425"/>
      <c r="O21425" s="24"/>
      <c r="P21425"/>
      <c r="Q21425" s="24"/>
      <c r="R21425"/>
      <c r="S21425"/>
      <c r="T21425"/>
      <c r="U21425"/>
      <c r="X21425" s="60"/>
    </row>
    <row r="21426" spans="7:24" ht="15" customHeight="1">
      <c r="G21426"/>
      <c r="I21426"/>
      <c r="N21426"/>
      <c r="O21426" s="24"/>
      <c r="P21426"/>
      <c r="Q21426" s="24"/>
      <c r="R21426"/>
      <c r="S21426"/>
      <c r="T21426"/>
      <c r="U21426"/>
      <c r="X21426" s="60"/>
    </row>
    <row r="21427" spans="7:24" ht="15" customHeight="1">
      <c r="G21427"/>
      <c r="I21427"/>
      <c r="N21427"/>
      <c r="O21427" s="24"/>
      <c r="P21427"/>
      <c r="Q21427" s="24"/>
      <c r="R21427"/>
      <c r="S21427"/>
      <c r="T21427"/>
      <c r="U21427"/>
      <c r="X21427" s="60"/>
    </row>
    <row r="21428" spans="7:24" ht="15" customHeight="1">
      <c r="G21428"/>
      <c r="I21428"/>
      <c r="N21428"/>
      <c r="O21428" s="24"/>
      <c r="P21428"/>
      <c r="Q21428" s="24"/>
      <c r="R21428"/>
      <c r="S21428"/>
      <c r="T21428"/>
      <c r="U21428"/>
      <c r="X21428" s="60"/>
    </row>
    <row r="21429" spans="7:24" ht="15" customHeight="1">
      <c r="G21429"/>
      <c r="I21429"/>
      <c r="N21429"/>
      <c r="O21429" s="24"/>
      <c r="P21429"/>
      <c r="Q21429" s="24"/>
      <c r="R21429"/>
      <c r="S21429"/>
      <c r="T21429"/>
      <c r="U21429"/>
      <c r="X21429" s="60"/>
    </row>
    <row r="21430" spans="7:24" ht="15" customHeight="1">
      <c r="G21430"/>
      <c r="I21430"/>
      <c r="N21430"/>
      <c r="O21430" s="24"/>
      <c r="P21430"/>
      <c r="Q21430" s="24"/>
      <c r="R21430"/>
      <c r="S21430"/>
      <c r="T21430"/>
      <c r="U21430"/>
      <c r="X21430" s="60"/>
    </row>
    <row r="21431" spans="7:24" ht="15" customHeight="1">
      <c r="G21431"/>
      <c r="I21431"/>
      <c r="N21431"/>
      <c r="O21431" s="24"/>
      <c r="P21431"/>
      <c r="Q21431" s="24"/>
      <c r="R21431"/>
      <c r="S21431"/>
      <c r="T21431"/>
      <c r="U21431"/>
      <c r="X21431" s="60"/>
    </row>
    <row r="21432" spans="7:24" ht="15" customHeight="1">
      <c r="G21432"/>
      <c r="I21432"/>
      <c r="N21432"/>
      <c r="O21432" s="24"/>
      <c r="P21432"/>
      <c r="Q21432" s="24"/>
      <c r="R21432"/>
      <c r="S21432"/>
      <c r="T21432"/>
      <c r="U21432"/>
      <c r="X21432" s="60"/>
    </row>
    <row r="21433" spans="7:24" ht="15" customHeight="1">
      <c r="G21433"/>
      <c r="I21433"/>
      <c r="N21433"/>
      <c r="O21433" s="24"/>
      <c r="P21433"/>
      <c r="Q21433" s="24"/>
      <c r="R21433"/>
      <c r="S21433"/>
      <c r="T21433"/>
      <c r="U21433"/>
      <c r="X21433" s="60"/>
    </row>
    <row r="21434" spans="7:24" ht="15" customHeight="1">
      <c r="G21434"/>
      <c r="I21434"/>
      <c r="N21434"/>
      <c r="O21434" s="24"/>
      <c r="P21434"/>
      <c r="Q21434" s="24"/>
      <c r="R21434"/>
      <c r="S21434"/>
      <c r="T21434"/>
      <c r="U21434"/>
      <c r="X21434" s="60"/>
    </row>
    <row r="21435" spans="7:24" ht="15" customHeight="1">
      <c r="G21435"/>
      <c r="I21435"/>
      <c r="N21435"/>
      <c r="O21435" s="24"/>
      <c r="P21435"/>
      <c r="Q21435" s="24"/>
      <c r="R21435"/>
      <c r="S21435"/>
      <c r="T21435"/>
      <c r="U21435"/>
      <c r="X21435" s="60"/>
    </row>
    <row r="21436" spans="7:24" ht="15" customHeight="1">
      <c r="G21436"/>
      <c r="I21436"/>
      <c r="N21436"/>
      <c r="O21436" s="24"/>
      <c r="P21436"/>
      <c r="Q21436" s="24"/>
      <c r="R21436"/>
      <c r="S21436"/>
      <c r="T21436"/>
      <c r="U21436"/>
      <c r="X21436" s="60"/>
    </row>
    <row r="21437" spans="7:24" ht="15" customHeight="1">
      <c r="G21437"/>
      <c r="I21437"/>
      <c r="N21437"/>
      <c r="O21437" s="24"/>
      <c r="P21437"/>
      <c r="Q21437" s="24"/>
      <c r="R21437"/>
      <c r="S21437"/>
      <c r="T21437"/>
      <c r="U21437"/>
      <c r="X21437" s="60"/>
    </row>
    <row r="21438" spans="7:24" ht="15" customHeight="1">
      <c r="G21438"/>
      <c r="I21438"/>
      <c r="N21438"/>
      <c r="O21438" s="24"/>
      <c r="P21438"/>
      <c r="Q21438" s="24"/>
      <c r="R21438"/>
      <c r="S21438"/>
      <c r="T21438"/>
      <c r="U21438"/>
      <c r="X21438" s="60"/>
    </row>
    <row r="21439" spans="7:24" ht="15" customHeight="1">
      <c r="G21439"/>
      <c r="I21439"/>
      <c r="N21439"/>
      <c r="O21439" s="24"/>
      <c r="P21439"/>
      <c r="Q21439" s="24"/>
      <c r="R21439"/>
      <c r="S21439"/>
      <c r="T21439"/>
      <c r="U21439"/>
      <c r="X21439" s="60"/>
    </row>
    <row r="21440" spans="7:24" ht="15" customHeight="1">
      <c r="G21440"/>
      <c r="I21440"/>
      <c r="N21440"/>
      <c r="O21440" s="24"/>
      <c r="P21440"/>
      <c r="Q21440" s="24"/>
      <c r="R21440"/>
      <c r="S21440"/>
      <c r="T21440"/>
      <c r="U21440"/>
      <c r="X21440" s="60"/>
    </row>
    <row r="21441" spans="7:24" ht="15" customHeight="1">
      <c r="G21441"/>
      <c r="I21441"/>
      <c r="N21441"/>
      <c r="O21441" s="24"/>
      <c r="P21441"/>
      <c r="Q21441" s="24"/>
      <c r="R21441"/>
      <c r="S21441"/>
      <c r="T21441"/>
      <c r="U21441"/>
      <c r="X21441" s="60"/>
    </row>
    <row r="21442" spans="7:24" ht="15" customHeight="1">
      <c r="G21442"/>
      <c r="I21442"/>
      <c r="N21442"/>
      <c r="O21442" s="24"/>
      <c r="P21442"/>
      <c r="Q21442" s="24"/>
      <c r="R21442"/>
      <c r="S21442"/>
      <c r="T21442"/>
      <c r="U21442"/>
      <c r="X21442" s="60"/>
    </row>
    <row r="21443" spans="7:24" ht="15" customHeight="1">
      <c r="G21443"/>
      <c r="I21443"/>
      <c r="N21443"/>
      <c r="O21443" s="24"/>
      <c r="P21443"/>
      <c r="Q21443" s="24"/>
      <c r="R21443"/>
      <c r="S21443"/>
      <c r="T21443"/>
      <c r="U21443"/>
      <c r="X21443" s="60"/>
    </row>
    <row r="21444" spans="7:24" ht="15" customHeight="1">
      <c r="G21444"/>
      <c r="I21444"/>
      <c r="N21444"/>
      <c r="O21444" s="24"/>
      <c r="P21444"/>
      <c r="Q21444" s="24"/>
      <c r="R21444"/>
      <c r="S21444"/>
      <c r="T21444"/>
      <c r="U21444"/>
      <c r="X21444" s="60"/>
    </row>
    <row r="21445" spans="7:24" ht="15" customHeight="1">
      <c r="G21445"/>
      <c r="I21445"/>
      <c r="N21445"/>
      <c r="O21445" s="24"/>
      <c r="P21445"/>
      <c r="Q21445" s="24"/>
      <c r="R21445"/>
      <c r="S21445"/>
      <c r="T21445"/>
      <c r="U21445"/>
      <c r="X21445" s="60"/>
    </row>
    <row r="21446" spans="7:24" ht="15" customHeight="1">
      <c r="G21446"/>
      <c r="I21446"/>
      <c r="N21446"/>
      <c r="O21446" s="24"/>
      <c r="P21446"/>
      <c r="Q21446" s="24"/>
      <c r="R21446"/>
      <c r="S21446"/>
      <c r="T21446"/>
      <c r="U21446"/>
      <c r="X21446" s="60"/>
    </row>
    <row r="21447" spans="7:24" ht="15" customHeight="1">
      <c r="G21447"/>
      <c r="I21447"/>
      <c r="N21447"/>
      <c r="O21447" s="24"/>
      <c r="P21447"/>
      <c r="Q21447" s="24"/>
      <c r="R21447"/>
      <c r="S21447"/>
      <c r="T21447"/>
      <c r="U21447"/>
      <c r="X21447" s="60"/>
    </row>
    <row r="21448" spans="7:24" ht="15" customHeight="1">
      <c r="G21448"/>
      <c r="I21448"/>
      <c r="N21448"/>
      <c r="O21448" s="24"/>
      <c r="P21448"/>
      <c r="Q21448" s="24"/>
      <c r="R21448"/>
      <c r="S21448"/>
      <c r="T21448"/>
      <c r="U21448"/>
      <c r="X21448" s="60"/>
    </row>
    <row r="21449" spans="7:24" ht="15" customHeight="1">
      <c r="G21449"/>
      <c r="I21449"/>
      <c r="N21449"/>
      <c r="O21449" s="24"/>
      <c r="P21449"/>
      <c r="Q21449" s="24"/>
      <c r="R21449"/>
      <c r="S21449"/>
      <c r="T21449"/>
      <c r="U21449"/>
      <c r="X21449" s="60"/>
    </row>
    <row r="21450" spans="7:24" ht="15" customHeight="1">
      <c r="G21450"/>
      <c r="I21450"/>
      <c r="N21450"/>
      <c r="O21450" s="24"/>
      <c r="P21450"/>
      <c r="Q21450" s="24"/>
      <c r="R21450"/>
      <c r="S21450"/>
      <c r="T21450"/>
      <c r="U21450"/>
      <c r="X21450" s="60"/>
    </row>
    <row r="21451" spans="7:24" ht="15" customHeight="1">
      <c r="G21451"/>
      <c r="I21451"/>
      <c r="N21451"/>
      <c r="O21451" s="24"/>
      <c r="P21451"/>
      <c r="Q21451" s="24"/>
      <c r="R21451"/>
      <c r="S21451"/>
      <c r="T21451"/>
      <c r="U21451"/>
      <c r="X21451" s="60"/>
    </row>
    <row r="21452" spans="7:24" ht="15" customHeight="1">
      <c r="G21452"/>
      <c r="I21452"/>
      <c r="N21452"/>
      <c r="O21452" s="24"/>
      <c r="P21452"/>
      <c r="Q21452" s="24"/>
      <c r="R21452"/>
      <c r="S21452"/>
      <c r="T21452"/>
      <c r="U21452"/>
      <c r="X21452" s="60"/>
    </row>
    <row r="21453" spans="7:24" ht="15" customHeight="1">
      <c r="G21453"/>
      <c r="I21453"/>
      <c r="N21453"/>
      <c r="O21453" s="24"/>
      <c r="P21453"/>
      <c r="Q21453" s="24"/>
      <c r="R21453"/>
      <c r="S21453"/>
      <c r="T21453"/>
      <c r="U21453"/>
      <c r="X21453" s="60"/>
    </row>
    <row r="21454" spans="7:24" ht="15" customHeight="1">
      <c r="G21454"/>
      <c r="I21454"/>
      <c r="N21454"/>
      <c r="O21454" s="24"/>
      <c r="P21454"/>
      <c r="Q21454" s="24"/>
      <c r="R21454"/>
      <c r="S21454"/>
      <c r="T21454"/>
      <c r="U21454"/>
      <c r="X21454" s="60"/>
    </row>
    <row r="21455" spans="7:24" ht="15" customHeight="1">
      <c r="G21455"/>
      <c r="I21455"/>
      <c r="N21455"/>
      <c r="O21455" s="24"/>
      <c r="P21455"/>
      <c r="Q21455" s="24"/>
      <c r="R21455"/>
      <c r="S21455"/>
      <c r="T21455"/>
      <c r="U21455"/>
      <c r="X21455" s="60"/>
    </row>
    <row r="21456" spans="7:24" ht="15" customHeight="1">
      <c r="G21456"/>
      <c r="I21456"/>
      <c r="N21456"/>
      <c r="O21456" s="24"/>
      <c r="P21456"/>
      <c r="Q21456" s="24"/>
      <c r="R21456"/>
      <c r="S21456"/>
      <c r="T21456"/>
      <c r="U21456"/>
      <c r="X21456" s="60"/>
    </row>
    <row r="21457" spans="7:24" ht="15" customHeight="1">
      <c r="G21457"/>
      <c r="I21457"/>
      <c r="N21457"/>
      <c r="O21457" s="24"/>
      <c r="P21457"/>
      <c r="Q21457" s="24"/>
      <c r="R21457"/>
      <c r="S21457"/>
      <c r="T21457"/>
      <c r="U21457"/>
      <c r="X21457" s="60"/>
    </row>
    <row r="21458" spans="7:24" ht="15" customHeight="1">
      <c r="G21458"/>
      <c r="I21458"/>
      <c r="N21458"/>
      <c r="O21458" s="24"/>
      <c r="P21458"/>
      <c r="Q21458" s="24"/>
      <c r="R21458"/>
      <c r="S21458"/>
      <c r="T21458"/>
      <c r="U21458"/>
      <c r="X21458" s="60"/>
    </row>
    <row r="21459" spans="7:24" ht="15" customHeight="1">
      <c r="G21459"/>
      <c r="I21459"/>
      <c r="N21459"/>
      <c r="O21459" s="24"/>
      <c r="P21459"/>
      <c r="Q21459" s="24"/>
      <c r="R21459"/>
      <c r="S21459"/>
      <c r="T21459"/>
      <c r="U21459"/>
      <c r="X21459" s="60"/>
    </row>
    <row r="21460" spans="7:24" ht="15" customHeight="1">
      <c r="G21460"/>
      <c r="I21460"/>
      <c r="N21460"/>
      <c r="O21460" s="24"/>
      <c r="P21460"/>
      <c r="Q21460" s="24"/>
      <c r="R21460"/>
      <c r="S21460"/>
      <c r="T21460"/>
      <c r="U21460"/>
      <c r="X21460" s="60"/>
    </row>
    <row r="21461" spans="7:24" ht="15" customHeight="1">
      <c r="G21461"/>
      <c r="I21461"/>
      <c r="N21461"/>
      <c r="O21461" s="24"/>
      <c r="P21461"/>
      <c r="Q21461" s="24"/>
      <c r="R21461"/>
      <c r="S21461"/>
      <c r="T21461"/>
      <c r="U21461"/>
      <c r="X21461" s="60"/>
    </row>
    <row r="21462" spans="7:24" ht="15" customHeight="1">
      <c r="G21462"/>
      <c r="I21462"/>
      <c r="N21462"/>
      <c r="O21462" s="24"/>
      <c r="P21462"/>
      <c r="Q21462" s="24"/>
      <c r="R21462"/>
      <c r="S21462"/>
      <c r="T21462"/>
      <c r="U21462"/>
      <c r="X21462" s="60"/>
    </row>
    <row r="21463" spans="7:24" ht="15" customHeight="1">
      <c r="G21463"/>
      <c r="I21463"/>
      <c r="N21463"/>
      <c r="O21463" s="24"/>
      <c r="P21463"/>
      <c r="Q21463" s="24"/>
      <c r="R21463"/>
      <c r="S21463"/>
      <c r="T21463"/>
      <c r="U21463"/>
      <c r="X21463" s="60"/>
    </row>
    <row r="21464" spans="7:24" ht="15" customHeight="1">
      <c r="G21464"/>
      <c r="I21464"/>
      <c r="N21464"/>
      <c r="O21464" s="24"/>
      <c r="P21464"/>
      <c r="Q21464" s="24"/>
      <c r="R21464"/>
      <c r="S21464"/>
      <c r="T21464"/>
      <c r="U21464"/>
      <c r="X21464" s="60"/>
    </row>
    <row r="21465" spans="7:24" ht="15" customHeight="1">
      <c r="G21465"/>
      <c r="I21465"/>
      <c r="N21465"/>
      <c r="O21465" s="24"/>
      <c r="P21465"/>
      <c r="Q21465" s="24"/>
      <c r="R21465"/>
      <c r="S21465"/>
      <c r="T21465"/>
      <c r="U21465"/>
      <c r="X21465" s="60"/>
    </row>
    <row r="21466" spans="7:24" ht="15" customHeight="1">
      <c r="G21466"/>
      <c r="I21466"/>
      <c r="N21466"/>
      <c r="O21466" s="24"/>
      <c r="P21466"/>
      <c r="Q21466" s="24"/>
      <c r="R21466"/>
      <c r="S21466"/>
      <c r="T21466"/>
      <c r="U21466"/>
      <c r="X21466" s="60"/>
    </row>
    <row r="21467" spans="7:24" ht="15" customHeight="1">
      <c r="G21467"/>
      <c r="I21467"/>
      <c r="N21467"/>
      <c r="O21467" s="24"/>
      <c r="P21467"/>
      <c r="Q21467" s="24"/>
      <c r="R21467"/>
      <c r="S21467"/>
      <c r="T21467"/>
      <c r="U21467"/>
      <c r="X21467" s="60"/>
    </row>
    <row r="21468" spans="7:24" ht="15" customHeight="1">
      <c r="G21468"/>
      <c r="I21468"/>
      <c r="N21468"/>
      <c r="O21468" s="24"/>
      <c r="P21468"/>
      <c r="Q21468" s="24"/>
      <c r="R21468"/>
      <c r="S21468"/>
      <c r="T21468"/>
      <c r="U21468"/>
      <c r="X21468" s="60"/>
    </row>
    <row r="21469" spans="7:24" ht="15" customHeight="1">
      <c r="G21469"/>
      <c r="I21469"/>
      <c r="N21469"/>
      <c r="O21469" s="24"/>
      <c r="P21469"/>
      <c r="Q21469" s="24"/>
      <c r="R21469"/>
      <c r="S21469"/>
      <c r="T21469"/>
      <c r="U21469"/>
      <c r="X21469" s="60"/>
    </row>
    <row r="21470" spans="7:24" ht="15" customHeight="1">
      <c r="G21470"/>
      <c r="I21470"/>
      <c r="N21470"/>
      <c r="O21470" s="24"/>
      <c r="P21470"/>
      <c r="Q21470" s="24"/>
      <c r="R21470"/>
      <c r="S21470"/>
      <c r="T21470"/>
      <c r="U21470"/>
      <c r="X21470" s="60"/>
    </row>
    <row r="21471" spans="7:24" ht="15" customHeight="1">
      <c r="G21471"/>
      <c r="I21471"/>
      <c r="N21471"/>
      <c r="O21471" s="24"/>
      <c r="P21471"/>
      <c r="Q21471" s="24"/>
      <c r="R21471"/>
      <c r="S21471"/>
      <c r="T21471"/>
      <c r="U21471"/>
      <c r="X21471" s="60"/>
    </row>
    <row r="21472" spans="7:24" ht="15" customHeight="1">
      <c r="G21472"/>
      <c r="I21472"/>
      <c r="N21472"/>
      <c r="O21472" s="24"/>
      <c r="P21472"/>
      <c r="Q21472" s="24"/>
      <c r="R21472"/>
      <c r="S21472"/>
      <c r="T21472"/>
      <c r="U21472"/>
      <c r="X21472" s="60"/>
    </row>
    <row r="21473" spans="7:24" ht="15" customHeight="1">
      <c r="G21473"/>
      <c r="I21473"/>
      <c r="N21473"/>
      <c r="O21473" s="24"/>
      <c r="P21473"/>
      <c r="Q21473" s="24"/>
      <c r="R21473"/>
      <c r="S21473"/>
      <c r="T21473"/>
      <c r="U21473"/>
      <c r="X21473" s="60"/>
    </row>
    <row r="21474" spans="7:24" ht="15" customHeight="1">
      <c r="G21474"/>
      <c r="I21474"/>
      <c r="N21474"/>
      <c r="O21474" s="24"/>
      <c r="P21474"/>
      <c r="Q21474" s="24"/>
      <c r="R21474"/>
      <c r="S21474"/>
      <c r="T21474"/>
      <c r="U21474"/>
      <c r="X21474" s="60"/>
    </row>
    <row r="21475" spans="7:24" ht="15" customHeight="1">
      <c r="G21475"/>
      <c r="I21475"/>
      <c r="N21475"/>
      <c r="O21475" s="24"/>
      <c r="P21475"/>
      <c r="Q21475" s="24"/>
      <c r="R21475"/>
      <c r="S21475"/>
      <c r="T21475"/>
      <c r="U21475"/>
      <c r="X21475" s="60"/>
    </row>
    <row r="21476" spans="7:24" ht="15" customHeight="1">
      <c r="G21476"/>
      <c r="I21476"/>
      <c r="N21476"/>
      <c r="O21476" s="24"/>
      <c r="P21476"/>
      <c r="Q21476" s="24"/>
      <c r="R21476"/>
      <c r="S21476"/>
      <c r="T21476"/>
      <c r="U21476"/>
      <c r="X21476" s="60"/>
    </row>
    <row r="21477" spans="7:24" ht="15" customHeight="1">
      <c r="G21477"/>
      <c r="I21477"/>
      <c r="N21477"/>
      <c r="O21477" s="24"/>
      <c r="P21477"/>
      <c r="Q21477" s="24"/>
      <c r="R21477"/>
      <c r="S21477"/>
      <c r="T21477"/>
      <c r="U21477"/>
      <c r="X21477" s="60"/>
    </row>
    <row r="21478" spans="7:24" ht="15" customHeight="1">
      <c r="G21478"/>
      <c r="I21478"/>
      <c r="N21478"/>
      <c r="O21478" s="24"/>
      <c r="P21478"/>
      <c r="Q21478" s="24"/>
      <c r="R21478"/>
      <c r="S21478"/>
      <c r="T21478"/>
      <c r="U21478"/>
      <c r="X21478" s="60"/>
    </row>
    <row r="21479" spans="7:24" ht="15" customHeight="1">
      <c r="G21479"/>
      <c r="I21479"/>
      <c r="N21479"/>
      <c r="O21479" s="24"/>
      <c r="P21479"/>
      <c r="Q21479" s="24"/>
      <c r="R21479"/>
      <c r="S21479"/>
      <c r="T21479"/>
      <c r="U21479"/>
      <c r="X21479" s="60"/>
    </row>
    <row r="21480" spans="7:24" ht="15" customHeight="1">
      <c r="G21480"/>
      <c r="I21480"/>
      <c r="N21480"/>
      <c r="O21480" s="24"/>
      <c r="P21480"/>
      <c r="Q21480" s="24"/>
      <c r="R21480"/>
      <c r="S21480"/>
      <c r="T21480"/>
      <c r="U21480"/>
      <c r="X21480" s="60"/>
    </row>
    <row r="21481" spans="7:24" ht="15" customHeight="1">
      <c r="G21481"/>
      <c r="I21481"/>
      <c r="N21481"/>
      <c r="O21481" s="24"/>
      <c r="P21481"/>
      <c r="Q21481" s="24"/>
      <c r="R21481"/>
      <c r="S21481"/>
      <c r="T21481"/>
      <c r="U21481"/>
      <c r="X21481" s="60"/>
    </row>
    <row r="21482" spans="7:24" ht="15" customHeight="1">
      <c r="G21482"/>
      <c r="I21482"/>
      <c r="N21482"/>
      <c r="O21482" s="24"/>
      <c r="P21482"/>
      <c r="Q21482" s="24"/>
      <c r="R21482"/>
      <c r="S21482"/>
      <c r="T21482"/>
      <c r="U21482"/>
      <c r="X21482" s="60"/>
    </row>
    <row r="21483" spans="7:24" ht="15" customHeight="1">
      <c r="G21483"/>
      <c r="I21483"/>
      <c r="N21483"/>
      <c r="O21483" s="24"/>
      <c r="P21483"/>
      <c r="Q21483" s="24"/>
      <c r="R21483"/>
      <c r="S21483"/>
      <c r="T21483"/>
      <c r="U21483"/>
      <c r="X21483" s="60"/>
    </row>
    <row r="21484" spans="7:24" ht="15" customHeight="1">
      <c r="G21484"/>
      <c r="I21484"/>
      <c r="N21484"/>
      <c r="O21484" s="24"/>
      <c r="P21484"/>
      <c r="Q21484" s="24"/>
      <c r="R21484"/>
      <c r="S21484"/>
      <c r="T21484"/>
      <c r="U21484"/>
      <c r="X21484" s="60"/>
    </row>
    <row r="21485" spans="7:24" ht="15" customHeight="1">
      <c r="G21485"/>
      <c r="I21485"/>
      <c r="N21485"/>
      <c r="O21485" s="24"/>
      <c r="P21485"/>
      <c r="Q21485" s="24"/>
      <c r="R21485"/>
      <c r="S21485"/>
      <c r="T21485"/>
      <c r="U21485"/>
      <c r="X21485" s="60"/>
    </row>
    <row r="21486" spans="7:24" ht="15" customHeight="1">
      <c r="G21486"/>
      <c r="I21486"/>
      <c r="N21486"/>
      <c r="O21486" s="24"/>
      <c r="P21486"/>
      <c r="Q21486" s="24"/>
      <c r="R21486"/>
      <c r="S21486"/>
      <c r="T21486"/>
      <c r="U21486"/>
      <c r="X21486" s="60"/>
    </row>
    <row r="21487" spans="7:24" ht="15" customHeight="1">
      <c r="G21487"/>
      <c r="I21487"/>
      <c r="N21487"/>
      <c r="O21487" s="24"/>
      <c r="P21487"/>
      <c r="Q21487" s="24"/>
      <c r="R21487"/>
      <c r="S21487"/>
      <c r="T21487"/>
      <c r="U21487"/>
      <c r="X21487" s="60"/>
    </row>
    <row r="21488" spans="7:24" ht="15" customHeight="1">
      <c r="G21488"/>
      <c r="I21488"/>
      <c r="N21488"/>
      <c r="O21488" s="24"/>
      <c r="P21488"/>
      <c r="Q21488" s="24"/>
      <c r="R21488"/>
      <c r="S21488"/>
      <c r="T21488"/>
      <c r="U21488"/>
      <c r="X21488" s="60"/>
    </row>
    <row r="21489" spans="7:24" ht="15" customHeight="1">
      <c r="G21489"/>
      <c r="I21489"/>
      <c r="N21489"/>
      <c r="O21489" s="24"/>
      <c r="P21489"/>
      <c r="Q21489" s="24"/>
      <c r="R21489"/>
      <c r="S21489"/>
      <c r="T21489"/>
      <c r="U21489"/>
      <c r="X21489" s="60"/>
    </row>
    <row r="21490" spans="7:24" ht="15" customHeight="1">
      <c r="G21490"/>
      <c r="I21490"/>
      <c r="N21490"/>
      <c r="O21490" s="24"/>
      <c r="P21490"/>
      <c r="Q21490" s="24"/>
      <c r="R21490"/>
      <c r="S21490"/>
      <c r="T21490"/>
      <c r="U21490"/>
      <c r="X21490" s="60"/>
    </row>
    <row r="21491" spans="7:24" ht="15" customHeight="1">
      <c r="G21491"/>
      <c r="I21491"/>
      <c r="N21491"/>
      <c r="O21491" s="24"/>
      <c r="P21491"/>
      <c r="Q21491" s="24"/>
      <c r="R21491"/>
      <c r="S21491"/>
      <c r="T21491"/>
      <c r="U21491"/>
      <c r="X21491" s="60"/>
    </row>
    <row r="21492" spans="7:24" ht="15" customHeight="1">
      <c r="G21492"/>
      <c r="I21492"/>
      <c r="N21492"/>
      <c r="O21492" s="24"/>
      <c r="P21492"/>
      <c r="Q21492" s="24"/>
      <c r="R21492"/>
      <c r="S21492"/>
      <c r="T21492"/>
      <c r="U21492"/>
      <c r="X21492" s="60"/>
    </row>
    <row r="21493" spans="7:24" ht="15" customHeight="1">
      <c r="G21493"/>
      <c r="I21493"/>
      <c r="N21493"/>
      <c r="O21493" s="24"/>
      <c r="P21493"/>
      <c r="Q21493" s="24"/>
      <c r="R21493"/>
      <c r="S21493"/>
      <c r="T21493"/>
      <c r="U21493"/>
      <c r="X21493" s="60"/>
    </row>
    <row r="21494" spans="7:24" ht="15" customHeight="1">
      <c r="G21494"/>
      <c r="I21494"/>
      <c r="N21494"/>
      <c r="O21494" s="24"/>
      <c r="P21494"/>
      <c r="Q21494" s="24"/>
      <c r="R21494"/>
      <c r="S21494"/>
      <c r="T21494"/>
      <c r="U21494"/>
      <c r="X21494" s="60"/>
    </row>
    <row r="21495" spans="7:24" ht="15" customHeight="1">
      <c r="G21495"/>
      <c r="I21495"/>
      <c r="N21495"/>
      <c r="O21495" s="24"/>
      <c r="P21495"/>
      <c r="Q21495" s="24"/>
      <c r="R21495"/>
      <c r="S21495"/>
      <c r="T21495"/>
      <c r="U21495"/>
      <c r="X21495" s="60"/>
    </row>
    <row r="21496" spans="7:24" ht="15" customHeight="1">
      <c r="G21496"/>
      <c r="I21496"/>
      <c r="N21496"/>
      <c r="O21496" s="24"/>
      <c r="P21496"/>
      <c r="Q21496" s="24"/>
      <c r="R21496"/>
      <c r="S21496"/>
      <c r="T21496"/>
      <c r="U21496"/>
      <c r="X21496" s="60"/>
    </row>
    <row r="21497" spans="7:24" ht="15" customHeight="1">
      <c r="G21497"/>
      <c r="I21497"/>
      <c r="N21497"/>
      <c r="O21497" s="24"/>
      <c r="P21497"/>
      <c r="Q21497" s="24"/>
      <c r="R21497"/>
      <c r="S21497"/>
      <c r="T21497"/>
      <c r="U21497"/>
      <c r="X21497" s="60"/>
    </row>
    <row r="21498" spans="7:24" ht="15" customHeight="1">
      <c r="G21498"/>
      <c r="I21498"/>
      <c r="N21498"/>
      <c r="O21498" s="24"/>
      <c r="P21498"/>
      <c r="Q21498" s="24"/>
      <c r="R21498"/>
      <c r="S21498"/>
      <c r="T21498"/>
      <c r="U21498"/>
      <c r="X21498" s="60"/>
    </row>
    <row r="21499" spans="7:24" ht="15" customHeight="1">
      <c r="G21499"/>
      <c r="I21499"/>
      <c r="N21499"/>
      <c r="O21499" s="24"/>
      <c r="P21499"/>
      <c r="Q21499" s="24"/>
      <c r="R21499"/>
      <c r="S21499"/>
      <c r="T21499"/>
      <c r="U21499"/>
      <c r="X21499" s="60"/>
    </row>
    <row r="21500" spans="7:24" ht="15" customHeight="1">
      <c r="G21500"/>
      <c r="I21500"/>
      <c r="N21500"/>
      <c r="O21500" s="24"/>
      <c r="P21500"/>
      <c r="Q21500" s="24"/>
      <c r="R21500"/>
      <c r="S21500"/>
      <c r="T21500"/>
      <c r="U21500"/>
      <c r="X21500" s="60"/>
    </row>
    <row r="21501" spans="7:24" ht="15" customHeight="1">
      <c r="G21501"/>
      <c r="I21501"/>
      <c r="N21501"/>
      <c r="O21501" s="24"/>
      <c r="P21501"/>
      <c r="Q21501" s="24"/>
      <c r="R21501"/>
      <c r="S21501"/>
      <c r="T21501"/>
      <c r="U21501"/>
      <c r="X21501" s="60"/>
    </row>
    <row r="21502" spans="7:24" ht="15" customHeight="1">
      <c r="G21502"/>
      <c r="I21502"/>
      <c r="N21502"/>
      <c r="O21502" s="24"/>
      <c r="P21502"/>
      <c r="Q21502" s="24"/>
      <c r="R21502"/>
      <c r="S21502"/>
      <c r="T21502"/>
      <c r="U21502"/>
      <c r="X21502" s="60"/>
    </row>
    <row r="21503" spans="7:24" ht="15" customHeight="1">
      <c r="G21503"/>
      <c r="I21503"/>
      <c r="N21503"/>
      <c r="O21503" s="24"/>
      <c r="P21503"/>
      <c r="Q21503" s="24"/>
      <c r="R21503"/>
      <c r="S21503"/>
      <c r="T21503"/>
      <c r="U21503"/>
      <c r="X21503" s="60"/>
    </row>
    <row r="21504" spans="7:24" ht="15" customHeight="1">
      <c r="G21504"/>
      <c r="I21504"/>
      <c r="N21504"/>
      <c r="O21504" s="24"/>
      <c r="P21504"/>
      <c r="Q21504" s="24"/>
      <c r="R21504"/>
      <c r="S21504"/>
      <c r="T21504"/>
      <c r="U21504"/>
      <c r="X21504" s="60"/>
    </row>
    <row r="21505" spans="7:24" ht="15" customHeight="1">
      <c r="G21505"/>
      <c r="I21505"/>
      <c r="N21505"/>
      <c r="O21505" s="24"/>
      <c r="P21505"/>
      <c r="Q21505" s="24"/>
      <c r="R21505"/>
      <c r="S21505"/>
      <c r="T21505"/>
      <c r="U21505"/>
      <c r="X21505" s="60"/>
    </row>
    <row r="21506" spans="7:24" ht="15" customHeight="1">
      <c r="G21506"/>
      <c r="I21506"/>
      <c r="N21506"/>
      <c r="O21506" s="24"/>
      <c r="P21506"/>
      <c r="Q21506" s="24"/>
      <c r="R21506"/>
      <c r="S21506"/>
      <c r="T21506"/>
      <c r="U21506"/>
      <c r="X21506" s="60"/>
    </row>
    <row r="21507" spans="7:24" ht="15" customHeight="1">
      <c r="G21507"/>
      <c r="I21507"/>
      <c r="N21507"/>
      <c r="O21507" s="24"/>
      <c r="P21507"/>
      <c r="Q21507" s="24"/>
      <c r="R21507"/>
      <c r="S21507"/>
      <c r="T21507"/>
      <c r="U21507"/>
      <c r="X21507" s="60"/>
    </row>
    <row r="21508" spans="7:24" ht="15" customHeight="1">
      <c r="G21508"/>
      <c r="I21508"/>
      <c r="N21508"/>
      <c r="O21508" s="24"/>
      <c r="P21508"/>
      <c r="Q21508" s="24"/>
      <c r="R21508"/>
      <c r="S21508"/>
      <c r="T21508"/>
      <c r="U21508"/>
      <c r="X21508" s="60"/>
    </row>
    <row r="21509" spans="7:24" ht="15" customHeight="1">
      <c r="G21509"/>
      <c r="I21509"/>
      <c r="N21509"/>
      <c r="O21509" s="24"/>
      <c r="P21509"/>
      <c r="Q21509" s="24"/>
      <c r="R21509"/>
      <c r="S21509"/>
      <c r="T21509"/>
      <c r="U21509"/>
      <c r="X21509" s="60"/>
    </row>
    <row r="21510" spans="7:24" ht="15" customHeight="1">
      <c r="G21510"/>
      <c r="I21510"/>
      <c r="N21510"/>
      <c r="O21510" s="24"/>
      <c r="P21510"/>
      <c r="Q21510" s="24"/>
      <c r="R21510"/>
      <c r="S21510"/>
      <c r="T21510"/>
      <c r="U21510"/>
      <c r="X21510" s="60"/>
    </row>
    <row r="21511" spans="7:24" ht="15" customHeight="1">
      <c r="G21511"/>
      <c r="I21511"/>
      <c r="N21511"/>
      <c r="O21511" s="24"/>
      <c r="P21511"/>
      <c r="Q21511" s="24"/>
      <c r="R21511"/>
      <c r="S21511"/>
      <c r="T21511"/>
      <c r="U21511"/>
      <c r="X21511" s="60"/>
    </row>
    <row r="21512" spans="7:24" ht="15" customHeight="1">
      <c r="G21512"/>
      <c r="I21512"/>
      <c r="N21512"/>
      <c r="O21512" s="24"/>
      <c r="P21512"/>
      <c r="Q21512" s="24"/>
      <c r="R21512"/>
      <c r="S21512"/>
      <c r="T21512"/>
      <c r="U21512"/>
      <c r="X21512" s="60"/>
    </row>
    <row r="21513" spans="7:24" ht="15" customHeight="1">
      <c r="G21513"/>
      <c r="I21513"/>
      <c r="N21513"/>
      <c r="O21513" s="24"/>
      <c r="P21513"/>
      <c r="Q21513" s="24"/>
      <c r="R21513"/>
      <c r="S21513"/>
      <c r="T21513"/>
      <c r="U21513"/>
      <c r="X21513" s="60"/>
    </row>
    <row r="21514" spans="7:24" ht="15" customHeight="1">
      <c r="G21514"/>
      <c r="I21514"/>
      <c r="N21514"/>
      <c r="O21514" s="24"/>
      <c r="P21514"/>
      <c r="Q21514" s="24"/>
      <c r="R21514"/>
      <c r="S21514"/>
      <c r="T21514"/>
      <c r="U21514"/>
      <c r="X21514" s="60"/>
    </row>
    <row r="21515" spans="7:24" ht="15" customHeight="1">
      <c r="G21515"/>
      <c r="I21515"/>
      <c r="N21515"/>
      <c r="O21515" s="24"/>
      <c r="P21515"/>
      <c r="Q21515" s="24"/>
      <c r="R21515"/>
      <c r="S21515"/>
      <c r="T21515"/>
      <c r="U21515"/>
      <c r="X21515" s="60"/>
    </row>
    <row r="21516" spans="7:24" ht="15" customHeight="1">
      <c r="G21516"/>
      <c r="I21516"/>
      <c r="N21516"/>
      <c r="O21516" s="24"/>
      <c r="P21516"/>
      <c r="Q21516" s="24"/>
      <c r="R21516"/>
      <c r="S21516"/>
      <c r="T21516"/>
      <c r="U21516"/>
      <c r="X21516" s="60"/>
    </row>
    <row r="21517" spans="7:24" ht="15" customHeight="1">
      <c r="G21517"/>
      <c r="I21517"/>
      <c r="N21517"/>
      <c r="O21517" s="24"/>
      <c r="P21517"/>
      <c r="Q21517" s="24"/>
      <c r="R21517"/>
      <c r="S21517"/>
      <c r="T21517"/>
      <c r="U21517"/>
      <c r="X21517" s="60"/>
    </row>
    <row r="21518" spans="7:24" ht="15" customHeight="1">
      <c r="G21518"/>
      <c r="I21518"/>
      <c r="N21518"/>
      <c r="O21518" s="24"/>
      <c r="P21518"/>
      <c r="Q21518" s="24"/>
      <c r="R21518"/>
      <c r="S21518"/>
      <c r="T21518"/>
      <c r="U21518"/>
      <c r="X21518" s="60"/>
    </row>
    <row r="21519" spans="7:24" ht="15" customHeight="1">
      <c r="G21519"/>
      <c r="I21519"/>
      <c r="N21519"/>
      <c r="O21519" s="24"/>
      <c r="P21519"/>
      <c r="Q21519" s="24"/>
      <c r="R21519"/>
      <c r="S21519"/>
      <c r="T21519"/>
      <c r="U21519"/>
      <c r="X21519" s="60"/>
    </row>
    <row r="21520" spans="7:24" ht="15" customHeight="1">
      <c r="G21520"/>
      <c r="I21520"/>
      <c r="N21520"/>
      <c r="O21520" s="24"/>
      <c r="P21520"/>
      <c r="Q21520" s="24"/>
      <c r="R21520"/>
      <c r="S21520"/>
      <c r="T21520"/>
      <c r="U21520"/>
      <c r="X21520" s="60"/>
    </row>
    <row r="21521" spans="7:24" ht="15" customHeight="1">
      <c r="G21521"/>
      <c r="I21521"/>
      <c r="N21521"/>
      <c r="O21521" s="24"/>
      <c r="P21521"/>
      <c r="Q21521" s="24"/>
      <c r="R21521"/>
      <c r="S21521"/>
      <c r="T21521"/>
      <c r="U21521"/>
      <c r="X21521" s="60"/>
    </row>
    <row r="21522" spans="7:24" ht="15" customHeight="1">
      <c r="G21522"/>
      <c r="I21522"/>
      <c r="N21522"/>
      <c r="O21522" s="24"/>
      <c r="P21522"/>
      <c r="Q21522" s="24"/>
      <c r="R21522"/>
      <c r="S21522"/>
      <c r="T21522"/>
      <c r="U21522"/>
      <c r="X21522" s="60"/>
    </row>
    <row r="21523" spans="7:24" ht="15" customHeight="1">
      <c r="G21523"/>
      <c r="I21523"/>
      <c r="N21523"/>
      <c r="O21523" s="24"/>
      <c r="P21523"/>
      <c r="Q21523" s="24"/>
      <c r="R21523"/>
      <c r="S21523"/>
      <c r="T21523"/>
      <c r="U21523"/>
      <c r="X21523" s="60"/>
    </row>
    <row r="21524" spans="7:24" ht="15" customHeight="1">
      <c r="G21524"/>
      <c r="I21524"/>
      <c r="N21524"/>
      <c r="O21524" s="24"/>
      <c r="P21524"/>
      <c r="Q21524" s="24"/>
      <c r="R21524"/>
      <c r="S21524"/>
      <c r="T21524"/>
      <c r="U21524"/>
      <c r="X21524" s="60"/>
    </row>
    <row r="21525" spans="7:24" ht="15" customHeight="1">
      <c r="G21525"/>
      <c r="I21525"/>
      <c r="N21525"/>
      <c r="O21525" s="24"/>
      <c r="P21525"/>
      <c r="Q21525" s="24"/>
      <c r="R21525"/>
      <c r="S21525"/>
      <c r="T21525"/>
      <c r="U21525"/>
      <c r="X21525" s="60"/>
    </row>
    <row r="21526" spans="7:24" ht="15" customHeight="1">
      <c r="G21526"/>
      <c r="I21526"/>
      <c r="N21526"/>
      <c r="O21526" s="24"/>
      <c r="P21526"/>
      <c r="Q21526" s="24"/>
      <c r="R21526"/>
      <c r="S21526"/>
      <c r="T21526"/>
      <c r="U21526"/>
      <c r="X21526" s="60"/>
    </row>
    <row r="21527" spans="7:24" ht="15" customHeight="1">
      <c r="G21527"/>
      <c r="I21527"/>
      <c r="N21527"/>
      <c r="O21527" s="24"/>
      <c r="P21527"/>
      <c r="Q21527" s="24"/>
      <c r="R21527"/>
      <c r="S21527"/>
      <c r="T21527"/>
      <c r="U21527"/>
      <c r="X21527" s="60"/>
    </row>
    <row r="21528" spans="7:24" ht="15" customHeight="1">
      <c r="G21528"/>
      <c r="I21528"/>
      <c r="N21528"/>
      <c r="O21528" s="24"/>
      <c r="P21528"/>
      <c r="Q21528" s="24"/>
      <c r="R21528"/>
      <c r="S21528"/>
      <c r="T21528"/>
      <c r="U21528"/>
      <c r="X21528" s="60"/>
    </row>
    <row r="21529" spans="7:24" ht="15" customHeight="1">
      <c r="G21529"/>
      <c r="I21529"/>
      <c r="N21529"/>
      <c r="O21529" s="24"/>
      <c r="P21529"/>
      <c r="Q21529" s="24"/>
      <c r="R21529"/>
      <c r="S21529"/>
      <c r="T21529"/>
      <c r="U21529"/>
      <c r="X21529" s="60"/>
    </row>
    <row r="21530" spans="7:24" ht="15" customHeight="1">
      <c r="G21530"/>
      <c r="I21530"/>
      <c r="N21530"/>
      <c r="O21530" s="24"/>
      <c r="P21530"/>
      <c r="Q21530" s="24"/>
      <c r="R21530"/>
      <c r="S21530"/>
      <c r="T21530"/>
      <c r="U21530"/>
      <c r="X21530" s="60"/>
    </row>
    <row r="21531" spans="7:24" ht="15" customHeight="1">
      <c r="G21531"/>
      <c r="I21531"/>
      <c r="N21531"/>
      <c r="O21531" s="24"/>
      <c r="P21531"/>
      <c r="Q21531" s="24"/>
      <c r="R21531"/>
      <c r="S21531"/>
      <c r="T21531"/>
      <c r="U21531"/>
      <c r="X21531" s="60"/>
    </row>
    <row r="21532" spans="7:24" ht="15" customHeight="1">
      <c r="G21532"/>
      <c r="I21532"/>
      <c r="N21532"/>
      <c r="O21532" s="24"/>
      <c r="P21532"/>
      <c r="Q21532" s="24"/>
      <c r="R21532"/>
      <c r="S21532"/>
      <c r="T21532"/>
      <c r="U21532"/>
      <c r="X21532" s="60"/>
    </row>
    <row r="21533" spans="7:24" ht="15" customHeight="1">
      <c r="G21533"/>
      <c r="I21533"/>
      <c r="N21533"/>
      <c r="O21533" s="24"/>
      <c r="P21533"/>
      <c r="Q21533" s="24"/>
      <c r="R21533"/>
      <c r="S21533"/>
      <c r="T21533"/>
      <c r="U21533"/>
      <c r="X21533" s="60"/>
    </row>
    <row r="21534" spans="7:24" ht="15" customHeight="1">
      <c r="G21534"/>
      <c r="I21534"/>
      <c r="N21534"/>
      <c r="O21534" s="24"/>
      <c r="P21534"/>
      <c r="Q21534" s="24"/>
      <c r="R21534"/>
      <c r="S21534"/>
      <c r="T21534"/>
      <c r="U21534"/>
      <c r="X21534" s="60"/>
    </row>
    <row r="21535" spans="7:24" ht="15" customHeight="1">
      <c r="G21535"/>
      <c r="I21535"/>
      <c r="N21535"/>
      <c r="O21535" s="24"/>
      <c r="P21535"/>
      <c r="Q21535" s="24"/>
      <c r="R21535"/>
      <c r="S21535"/>
      <c r="T21535"/>
      <c r="U21535"/>
      <c r="X21535" s="60"/>
    </row>
    <row r="21536" spans="7:24" ht="15" customHeight="1">
      <c r="G21536"/>
      <c r="I21536"/>
      <c r="N21536"/>
      <c r="O21536" s="24"/>
      <c r="P21536"/>
      <c r="Q21536" s="24"/>
      <c r="R21536"/>
      <c r="S21536"/>
      <c r="T21536"/>
      <c r="U21536"/>
      <c r="X21536" s="60"/>
    </row>
    <row r="21537" spans="7:24" ht="15" customHeight="1">
      <c r="G21537"/>
      <c r="I21537"/>
      <c r="N21537"/>
      <c r="O21537" s="24"/>
      <c r="P21537"/>
      <c r="Q21537" s="24"/>
      <c r="R21537"/>
      <c r="S21537"/>
      <c r="T21537"/>
      <c r="U21537"/>
      <c r="X21537" s="60"/>
    </row>
    <row r="21538" spans="7:24" ht="15" customHeight="1">
      <c r="G21538"/>
      <c r="I21538"/>
      <c r="N21538"/>
      <c r="O21538" s="24"/>
      <c r="P21538"/>
      <c r="Q21538" s="24"/>
      <c r="R21538"/>
      <c r="S21538"/>
      <c r="T21538"/>
      <c r="U21538"/>
      <c r="X21538" s="60"/>
    </row>
    <row r="21539" spans="7:24" ht="15" customHeight="1">
      <c r="G21539"/>
      <c r="I21539"/>
      <c r="N21539"/>
      <c r="O21539" s="24"/>
      <c r="P21539"/>
      <c r="Q21539" s="24"/>
      <c r="R21539"/>
      <c r="S21539"/>
      <c r="T21539"/>
      <c r="U21539"/>
      <c r="X21539" s="60"/>
    </row>
    <row r="21540" spans="7:24" ht="15" customHeight="1">
      <c r="G21540"/>
      <c r="I21540"/>
      <c r="N21540"/>
      <c r="O21540" s="24"/>
      <c r="P21540"/>
      <c r="Q21540" s="24"/>
      <c r="R21540"/>
      <c r="S21540"/>
      <c r="T21540"/>
      <c r="U21540"/>
      <c r="X21540" s="60"/>
    </row>
    <row r="21541" spans="7:24" ht="15" customHeight="1">
      <c r="G21541"/>
      <c r="I21541"/>
      <c r="N21541"/>
      <c r="O21541" s="24"/>
      <c r="P21541"/>
      <c r="Q21541" s="24"/>
      <c r="R21541"/>
      <c r="S21541"/>
      <c r="T21541"/>
      <c r="U21541"/>
      <c r="X21541" s="60"/>
    </row>
    <row r="21542" spans="7:24" ht="15" customHeight="1">
      <c r="G21542"/>
      <c r="I21542"/>
      <c r="N21542"/>
      <c r="O21542" s="24"/>
      <c r="P21542"/>
      <c r="Q21542" s="24"/>
      <c r="R21542"/>
      <c r="S21542"/>
      <c r="T21542"/>
      <c r="U21542"/>
      <c r="X21542" s="60"/>
    </row>
    <row r="21543" spans="7:24" ht="15" customHeight="1">
      <c r="G21543"/>
      <c r="I21543"/>
      <c r="N21543"/>
      <c r="O21543" s="24"/>
      <c r="P21543"/>
      <c r="Q21543" s="24"/>
      <c r="R21543"/>
      <c r="S21543"/>
      <c r="T21543"/>
      <c r="U21543"/>
      <c r="X21543" s="60"/>
    </row>
    <row r="21544" spans="7:24" ht="15" customHeight="1">
      <c r="G21544"/>
      <c r="I21544"/>
      <c r="N21544"/>
      <c r="O21544" s="24"/>
      <c r="P21544"/>
      <c r="Q21544" s="24"/>
      <c r="R21544"/>
      <c r="S21544"/>
      <c r="T21544"/>
      <c r="U21544"/>
      <c r="X21544" s="60"/>
    </row>
    <row r="21545" spans="7:24" ht="15" customHeight="1">
      <c r="G21545"/>
      <c r="I21545"/>
      <c r="N21545"/>
      <c r="O21545" s="24"/>
      <c r="P21545"/>
      <c r="Q21545" s="24"/>
      <c r="R21545"/>
      <c r="S21545"/>
      <c r="T21545"/>
      <c r="U21545"/>
      <c r="X21545" s="60"/>
    </row>
    <row r="21546" spans="7:24" ht="15" customHeight="1">
      <c r="G21546"/>
      <c r="I21546"/>
      <c r="N21546"/>
      <c r="O21546" s="24"/>
      <c r="P21546"/>
      <c r="Q21546" s="24"/>
      <c r="R21546"/>
      <c r="S21546"/>
      <c r="T21546"/>
      <c r="U21546"/>
      <c r="X21546" s="60"/>
    </row>
    <row r="21547" spans="7:24" ht="15" customHeight="1">
      <c r="G21547"/>
      <c r="I21547"/>
      <c r="N21547"/>
      <c r="O21547" s="24"/>
      <c r="P21547"/>
      <c r="Q21547" s="24"/>
      <c r="R21547"/>
      <c r="S21547"/>
      <c r="T21547"/>
      <c r="U21547"/>
      <c r="X21547" s="60"/>
    </row>
    <row r="21548" spans="7:24" ht="15" customHeight="1">
      <c r="G21548"/>
      <c r="I21548"/>
      <c r="N21548"/>
      <c r="O21548" s="24"/>
      <c r="P21548"/>
      <c r="Q21548" s="24"/>
      <c r="R21548"/>
      <c r="S21548"/>
      <c r="T21548"/>
      <c r="U21548"/>
      <c r="X21548" s="60"/>
    </row>
    <row r="21549" spans="7:24" ht="15" customHeight="1">
      <c r="G21549"/>
      <c r="I21549"/>
      <c r="N21549"/>
      <c r="O21549" s="24"/>
      <c r="P21549"/>
      <c r="Q21549" s="24"/>
      <c r="R21549"/>
      <c r="S21549"/>
      <c r="T21549"/>
      <c r="U21549"/>
      <c r="X21549" s="60"/>
    </row>
    <row r="21550" spans="7:24" ht="15" customHeight="1">
      <c r="G21550"/>
      <c r="I21550"/>
      <c r="N21550"/>
      <c r="O21550" s="24"/>
      <c r="P21550"/>
      <c r="Q21550" s="24"/>
      <c r="R21550"/>
      <c r="S21550"/>
      <c r="T21550"/>
      <c r="U21550"/>
      <c r="X21550" s="60"/>
    </row>
    <row r="21551" spans="7:24" ht="15" customHeight="1">
      <c r="G21551"/>
      <c r="I21551"/>
      <c r="N21551"/>
      <c r="O21551" s="24"/>
      <c r="P21551"/>
      <c r="Q21551" s="24"/>
      <c r="R21551"/>
      <c r="S21551"/>
      <c r="T21551"/>
      <c r="U21551"/>
      <c r="X21551" s="60"/>
    </row>
    <row r="21552" spans="7:24" ht="15" customHeight="1">
      <c r="G21552"/>
      <c r="I21552"/>
      <c r="N21552"/>
      <c r="O21552" s="24"/>
      <c r="P21552"/>
      <c r="Q21552" s="24"/>
      <c r="R21552"/>
      <c r="S21552"/>
      <c r="T21552"/>
      <c r="U21552"/>
      <c r="X21552" s="60"/>
    </row>
    <row r="21553" spans="7:24" ht="15" customHeight="1">
      <c r="G21553"/>
      <c r="I21553"/>
      <c r="N21553"/>
      <c r="O21553" s="24"/>
      <c r="P21553"/>
      <c r="Q21553" s="24"/>
      <c r="R21553"/>
      <c r="S21553"/>
      <c r="T21553"/>
      <c r="U21553"/>
      <c r="X21553" s="60"/>
    </row>
    <row r="21554" spans="7:24" ht="15" customHeight="1">
      <c r="G21554"/>
      <c r="I21554"/>
      <c r="N21554"/>
      <c r="O21554" s="24"/>
      <c r="P21554"/>
      <c r="Q21554" s="24"/>
      <c r="R21554"/>
      <c r="S21554"/>
      <c r="T21554"/>
      <c r="U21554"/>
      <c r="X21554" s="60"/>
    </row>
    <row r="21555" spans="7:24" ht="15" customHeight="1">
      <c r="G21555"/>
      <c r="I21555"/>
      <c r="N21555"/>
      <c r="O21555" s="24"/>
      <c r="P21555"/>
      <c r="Q21555" s="24"/>
      <c r="R21555"/>
      <c r="S21555"/>
      <c r="T21555"/>
      <c r="U21555"/>
      <c r="X21555" s="60"/>
    </row>
    <row r="21556" spans="7:24" ht="15" customHeight="1">
      <c r="G21556"/>
      <c r="I21556"/>
      <c r="N21556"/>
      <c r="O21556" s="24"/>
      <c r="P21556"/>
      <c r="Q21556" s="24"/>
      <c r="R21556"/>
      <c r="S21556"/>
      <c r="T21556"/>
      <c r="U21556"/>
      <c r="X21556" s="60"/>
    </row>
    <row r="21557" spans="7:24" ht="15" customHeight="1">
      <c r="G21557"/>
      <c r="I21557"/>
      <c r="N21557"/>
      <c r="O21557" s="24"/>
      <c r="P21557"/>
      <c r="Q21557" s="24"/>
      <c r="R21557"/>
      <c r="S21557"/>
      <c r="T21557"/>
      <c r="U21557"/>
      <c r="X21557" s="60"/>
    </row>
    <row r="21558" spans="7:24" ht="15" customHeight="1">
      <c r="G21558"/>
      <c r="I21558"/>
      <c r="N21558"/>
      <c r="O21558" s="24"/>
      <c r="P21558"/>
      <c r="Q21558" s="24"/>
      <c r="R21558"/>
      <c r="S21558"/>
      <c r="T21558"/>
      <c r="U21558"/>
      <c r="X21558" s="60"/>
    </row>
    <row r="21559" spans="7:24" ht="15" customHeight="1">
      <c r="G21559"/>
      <c r="I21559"/>
      <c r="N21559"/>
      <c r="O21559" s="24"/>
      <c r="P21559"/>
      <c r="Q21559" s="24"/>
      <c r="R21559"/>
      <c r="S21559"/>
      <c r="T21559"/>
      <c r="U21559"/>
      <c r="X21559" s="60"/>
    </row>
    <row r="21560" spans="7:24" ht="15" customHeight="1">
      <c r="G21560"/>
      <c r="I21560"/>
      <c r="N21560"/>
      <c r="O21560" s="24"/>
      <c r="P21560"/>
      <c r="Q21560" s="24"/>
      <c r="R21560"/>
      <c r="S21560"/>
      <c r="T21560"/>
      <c r="U21560"/>
      <c r="X21560" s="60"/>
    </row>
    <row r="21561" spans="7:24" ht="15" customHeight="1">
      <c r="G21561"/>
      <c r="I21561"/>
      <c r="N21561"/>
      <c r="O21561" s="24"/>
      <c r="P21561"/>
      <c r="Q21561" s="24"/>
      <c r="R21561"/>
      <c r="S21561"/>
      <c r="T21561"/>
      <c r="U21561"/>
      <c r="X21561" s="60"/>
    </row>
    <row r="21562" spans="7:24" ht="15" customHeight="1">
      <c r="G21562"/>
      <c r="I21562"/>
      <c r="N21562"/>
      <c r="O21562" s="24"/>
      <c r="P21562"/>
      <c r="Q21562" s="24"/>
      <c r="R21562"/>
      <c r="S21562"/>
      <c r="T21562"/>
      <c r="U21562"/>
      <c r="X21562" s="60"/>
    </row>
    <row r="21563" spans="7:24" ht="15" customHeight="1">
      <c r="G21563"/>
      <c r="I21563"/>
      <c r="N21563"/>
      <c r="O21563" s="24"/>
      <c r="P21563"/>
      <c r="Q21563" s="24"/>
      <c r="R21563"/>
      <c r="S21563"/>
      <c r="T21563"/>
      <c r="U21563"/>
      <c r="X21563" s="60"/>
    </row>
    <row r="21564" spans="7:24" ht="15" customHeight="1">
      <c r="G21564"/>
      <c r="I21564"/>
      <c r="N21564"/>
      <c r="O21564" s="24"/>
      <c r="P21564"/>
      <c r="Q21564" s="24"/>
      <c r="R21564"/>
      <c r="S21564"/>
      <c r="T21564"/>
      <c r="U21564"/>
      <c r="X21564" s="60"/>
    </row>
    <row r="21565" spans="7:24" ht="15" customHeight="1">
      <c r="G21565"/>
      <c r="I21565"/>
      <c r="N21565"/>
      <c r="O21565" s="24"/>
      <c r="P21565"/>
      <c r="Q21565" s="24"/>
      <c r="R21565"/>
      <c r="S21565"/>
      <c r="T21565"/>
      <c r="U21565"/>
      <c r="X21565" s="60"/>
    </row>
    <row r="21566" spans="7:24" ht="15" customHeight="1">
      <c r="G21566"/>
      <c r="I21566"/>
      <c r="N21566"/>
      <c r="O21566" s="24"/>
      <c r="P21566"/>
      <c r="Q21566" s="24"/>
      <c r="R21566"/>
      <c r="S21566"/>
      <c r="T21566"/>
      <c r="U21566"/>
      <c r="X21566" s="60"/>
    </row>
    <row r="21567" spans="7:24" ht="15" customHeight="1">
      <c r="G21567"/>
      <c r="I21567"/>
      <c r="N21567"/>
      <c r="O21567" s="24"/>
      <c r="P21567"/>
      <c r="Q21567" s="24"/>
      <c r="R21567"/>
      <c r="S21567"/>
      <c r="T21567"/>
      <c r="U21567"/>
      <c r="X21567" s="60"/>
    </row>
    <row r="21568" spans="7:24" ht="15" customHeight="1">
      <c r="G21568"/>
      <c r="I21568"/>
      <c r="N21568"/>
      <c r="O21568" s="24"/>
      <c r="P21568"/>
      <c r="Q21568" s="24"/>
      <c r="R21568"/>
      <c r="S21568"/>
      <c r="T21568"/>
      <c r="U21568"/>
      <c r="X21568" s="60"/>
    </row>
    <row r="21569" spans="7:24" ht="15" customHeight="1">
      <c r="G21569"/>
      <c r="I21569"/>
      <c r="N21569"/>
      <c r="O21569" s="24"/>
      <c r="P21569"/>
      <c r="Q21569" s="24"/>
      <c r="R21569"/>
      <c r="S21569"/>
      <c r="T21569"/>
      <c r="U21569"/>
      <c r="X21569" s="60"/>
    </row>
    <row r="21570" spans="7:24" ht="15" customHeight="1">
      <c r="G21570"/>
      <c r="I21570"/>
      <c r="N21570"/>
      <c r="O21570" s="24"/>
      <c r="P21570"/>
      <c r="Q21570" s="24"/>
      <c r="R21570"/>
      <c r="S21570"/>
      <c r="T21570"/>
      <c r="U21570"/>
      <c r="X21570" s="60"/>
    </row>
    <row r="21571" spans="7:24" ht="15" customHeight="1">
      <c r="G21571"/>
      <c r="I21571"/>
      <c r="N21571"/>
      <c r="O21571" s="24"/>
      <c r="P21571"/>
      <c r="Q21571" s="24"/>
      <c r="R21571"/>
      <c r="S21571"/>
      <c r="T21571"/>
      <c r="U21571"/>
      <c r="X21571" s="60"/>
    </row>
    <row r="21572" spans="7:24" ht="15" customHeight="1">
      <c r="G21572"/>
      <c r="I21572"/>
      <c r="N21572"/>
      <c r="O21572" s="24"/>
      <c r="P21572"/>
      <c r="Q21572" s="24"/>
      <c r="R21572"/>
      <c r="S21572"/>
      <c r="T21572"/>
      <c r="U21572"/>
      <c r="X21572" s="60"/>
    </row>
    <row r="21573" spans="7:24" ht="15" customHeight="1">
      <c r="G21573"/>
      <c r="I21573"/>
      <c r="N21573"/>
      <c r="O21573" s="24"/>
      <c r="P21573"/>
      <c r="Q21573" s="24"/>
      <c r="R21573"/>
      <c r="S21573"/>
      <c r="T21573"/>
      <c r="U21573"/>
      <c r="X21573" s="60"/>
    </row>
    <row r="21574" spans="7:24" ht="15" customHeight="1">
      <c r="G21574"/>
      <c r="I21574"/>
      <c r="N21574"/>
      <c r="O21574" s="24"/>
      <c r="P21574"/>
      <c r="Q21574" s="24"/>
      <c r="R21574"/>
      <c r="S21574"/>
      <c r="T21574"/>
      <c r="U21574"/>
      <c r="X21574" s="60"/>
    </row>
    <row r="21575" spans="7:24" ht="15" customHeight="1">
      <c r="G21575"/>
      <c r="I21575"/>
      <c r="N21575"/>
      <c r="O21575" s="24"/>
      <c r="P21575"/>
      <c r="Q21575" s="24"/>
      <c r="R21575"/>
      <c r="S21575"/>
      <c r="T21575"/>
      <c r="U21575"/>
      <c r="X21575" s="60"/>
    </row>
    <row r="21576" spans="7:24" ht="15" customHeight="1">
      <c r="G21576"/>
      <c r="I21576"/>
      <c r="N21576"/>
      <c r="O21576" s="24"/>
      <c r="P21576"/>
      <c r="Q21576" s="24"/>
      <c r="R21576"/>
      <c r="S21576"/>
      <c r="T21576"/>
      <c r="U21576"/>
      <c r="X21576" s="60"/>
    </row>
    <row r="21577" spans="7:24" ht="15" customHeight="1">
      <c r="G21577"/>
      <c r="I21577"/>
      <c r="N21577"/>
      <c r="O21577" s="24"/>
      <c r="P21577"/>
      <c r="Q21577" s="24"/>
      <c r="R21577"/>
      <c r="S21577"/>
      <c r="T21577"/>
      <c r="U21577"/>
      <c r="X21577" s="60"/>
    </row>
    <row r="21578" spans="7:24" ht="15" customHeight="1">
      <c r="G21578"/>
      <c r="I21578"/>
      <c r="N21578"/>
      <c r="O21578" s="24"/>
      <c r="P21578"/>
      <c r="Q21578" s="24"/>
      <c r="R21578"/>
      <c r="S21578"/>
      <c r="T21578"/>
      <c r="U21578"/>
      <c r="X21578" s="60"/>
    </row>
    <row r="21579" spans="7:24" ht="15" customHeight="1">
      <c r="G21579"/>
      <c r="I21579"/>
      <c r="N21579"/>
      <c r="O21579" s="24"/>
      <c r="P21579"/>
      <c r="Q21579" s="24"/>
      <c r="R21579"/>
      <c r="S21579"/>
      <c r="T21579"/>
      <c r="U21579"/>
      <c r="X21579" s="60"/>
    </row>
    <row r="21580" spans="7:24" ht="15" customHeight="1">
      <c r="G21580"/>
      <c r="I21580"/>
      <c r="N21580"/>
      <c r="O21580" s="24"/>
      <c r="P21580"/>
      <c r="Q21580" s="24"/>
      <c r="R21580"/>
      <c r="S21580"/>
      <c r="T21580"/>
      <c r="U21580"/>
      <c r="X21580" s="60"/>
    </row>
    <row r="21581" spans="7:24" ht="15" customHeight="1">
      <c r="G21581"/>
      <c r="I21581"/>
      <c r="N21581"/>
      <c r="O21581" s="24"/>
      <c r="P21581"/>
      <c r="Q21581" s="24"/>
      <c r="R21581"/>
      <c r="S21581"/>
      <c r="T21581"/>
      <c r="U21581"/>
      <c r="X21581" s="60"/>
    </row>
    <row r="21582" spans="7:24" ht="15" customHeight="1">
      <c r="G21582"/>
      <c r="I21582"/>
      <c r="N21582"/>
      <c r="O21582" s="24"/>
      <c r="P21582"/>
      <c r="Q21582" s="24"/>
      <c r="R21582"/>
      <c r="S21582"/>
      <c r="T21582"/>
      <c r="U21582"/>
      <c r="X21582" s="60"/>
    </row>
    <row r="21583" spans="7:24" ht="15" customHeight="1">
      <c r="G21583"/>
      <c r="I21583"/>
      <c r="N21583"/>
      <c r="O21583" s="24"/>
      <c r="P21583"/>
      <c r="Q21583" s="24"/>
      <c r="R21583"/>
      <c r="S21583"/>
      <c r="T21583"/>
      <c r="U21583"/>
      <c r="X21583" s="60"/>
    </row>
    <row r="21584" spans="7:24" ht="15" customHeight="1">
      <c r="G21584"/>
      <c r="I21584"/>
      <c r="N21584"/>
      <c r="O21584" s="24"/>
      <c r="P21584"/>
      <c r="Q21584" s="24"/>
      <c r="R21584"/>
      <c r="S21584"/>
      <c r="T21584"/>
      <c r="U21584"/>
      <c r="X21584" s="60"/>
    </row>
    <row r="21585" spans="7:24" ht="15" customHeight="1">
      <c r="G21585"/>
      <c r="I21585"/>
      <c r="N21585"/>
      <c r="O21585" s="24"/>
      <c r="P21585"/>
      <c r="Q21585" s="24"/>
      <c r="R21585"/>
      <c r="S21585"/>
      <c r="T21585"/>
      <c r="U21585"/>
      <c r="X21585" s="60"/>
    </row>
    <row r="21586" spans="7:24" ht="15" customHeight="1">
      <c r="G21586"/>
      <c r="I21586"/>
      <c r="N21586"/>
      <c r="O21586" s="24"/>
      <c r="P21586"/>
      <c r="Q21586" s="24"/>
      <c r="R21586"/>
      <c r="S21586"/>
      <c r="T21586"/>
      <c r="U21586"/>
      <c r="X21586" s="60"/>
    </row>
    <row r="21587" spans="7:24" ht="15" customHeight="1">
      <c r="G21587"/>
      <c r="I21587"/>
      <c r="N21587"/>
      <c r="O21587" s="24"/>
      <c r="P21587"/>
      <c r="Q21587" s="24"/>
      <c r="R21587"/>
      <c r="S21587"/>
      <c r="T21587"/>
      <c r="U21587"/>
      <c r="X21587" s="60"/>
    </row>
    <row r="21588" spans="7:24" ht="15" customHeight="1">
      <c r="G21588"/>
      <c r="I21588"/>
      <c r="N21588"/>
      <c r="O21588" s="24"/>
      <c r="P21588"/>
      <c r="Q21588" s="24"/>
      <c r="R21588"/>
      <c r="S21588"/>
      <c r="T21588"/>
      <c r="U21588"/>
      <c r="X21588" s="60"/>
    </row>
    <row r="21589" spans="7:24" ht="15" customHeight="1">
      <c r="G21589"/>
      <c r="I21589"/>
      <c r="N21589"/>
      <c r="O21589" s="24"/>
      <c r="P21589"/>
      <c r="Q21589" s="24"/>
      <c r="R21589"/>
      <c r="S21589"/>
      <c r="T21589"/>
      <c r="U21589"/>
      <c r="X21589" s="60"/>
    </row>
    <row r="21590" spans="7:24" ht="15" customHeight="1">
      <c r="G21590"/>
      <c r="I21590"/>
      <c r="N21590"/>
      <c r="O21590" s="24"/>
      <c r="P21590"/>
      <c r="Q21590" s="24"/>
      <c r="R21590"/>
      <c r="S21590"/>
      <c r="T21590"/>
      <c r="U21590"/>
      <c r="X21590" s="60"/>
    </row>
    <row r="21591" spans="7:24" ht="15" customHeight="1">
      <c r="G21591"/>
      <c r="I21591"/>
      <c r="N21591"/>
      <c r="O21591" s="24"/>
      <c r="P21591"/>
      <c r="Q21591" s="24"/>
      <c r="R21591"/>
      <c r="S21591"/>
      <c r="T21591"/>
      <c r="U21591"/>
      <c r="X21591" s="60"/>
    </row>
    <row r="21592" spans="7:24" ht="15" customHeight="1">
      <c r="G21592"/>
      <c r="I21592"/>
      <c r="N21592"/>
      <c r="O21592" s="24"/>
      <c r="P21592"/>
      <c r="Q21592" s="24"/>
      <c r="R21592"/>
      <c r="S21592"/>
      <c r="T21592"/>
      <c r="U21592"/>
      <c r="X21592" s="60"/>
    </row>
    <row r="21593" spans="7:24" ht="15" customHeight="1">
      <c r="G21593"/>
      <c r="I21593"/>
      <c r="N21593"/>
      <c r="O21593" s="24"/>
      <c r="P21593"/>
      <c r="Q21593" s="24"/>
      <c r="R21593"/>
      <c r="S21593"/>
      <c r="T21593"/>
      <c r="U21593"/>
      <c r="X21593" s="60"/>
    </row>
    <row r="21594" spans="7:24" ht="15" customHeight="1">
      <c r="G21594"/>
      <c r="I21594"/>
      <c r="N21594"/>
      <c r="O21594" s="24"/>
      <c r="P21594"/>
      <c r="Q21594" s="24"/>
      <c r="R21594"/>
      <c r="S21594"/>
      <c r="T21594"/>
      <c r="U21594"/>
      <c r="X21594" s="60"/>
    </row>
    <row r="21595" spans="7:24" ht="15" customHeight="1">
      <c r="G21595"/>
      <c r="I21595"/>
      <c r="N21595"/>
      <c r="O21595" s="24"/>
      <c r="P21595"/>
      <c r="Q21595" s="24"/>
      <c r="R21595"/>
      <c r="S21595"/>
      <c r="T21595"/>
      <c r="U21595"/>
      <c r="X21595" s="60"/>
    </row>
    <row r="21596" spans="7:24" ht="15" customHeight="1">
      <c r="G21596"/>
      <c r="I21596"/>
      <c r="N21596"/>
      <c r="O21596" s="24"/>
      <c r="P21596"/>
      <c r="Q21596" s="24"/>
      <c r="R21596"/>
      <c r="S21596"/>
      <c r="T21596"/>
      <c r="U21596"/>
      <c r="X21596" s="60"/>
    </row>
    <row r="21597" spans="7:24" ht="15" customHeight="1">
      <c r="G21597"/>
      <c r="I21597"/>
      <c r="N21597"/>
      <c r="O21597" s="24"/>
      <c r="P21597"/>
      <c r="Q21597" s="24"/>
      <c r="R21597"/>
      <c r="S21597"/>
      <c r="T21597"/>
      <c r="U21597"/>
      <c r="X21597" s="60"/>
    </row>
    <row r="21598" spans="7:24" ht="15" customHeight="1">
      <c r="G21598"/>
      <c r="I21598"/>
      <c r="N21598"/>
      <c r="O21598" s="24"/>
      <c r="P21598"/>
      <c r="Q21598" s="24"/>
      <c r="R21598"/>
      <c r="S21598"/>
      <c r="T21598"/>
      <c r="U21598"/>
      <c r="X21598" s="60"/>
    </row>
    <row r="21599" spans="7:24" ht="15" customHeight="1">
      <c r="G21599"/>
      <c r="I21599"/>
      <c r="N21599"/>
      <c r="O21599" s="24"/>
      <c r="P21599"/>
      <c r="Q21599" s="24"/>
      <c r="R21599"/>
      <c r="S21599"/>
      <c r="T21599"/>
      <c r="U21599"/>
      <c r="X21599" s="60"/>
    </row>
    <row r="21600" spans="7:24" ht="15" customHeight="1">
      <c r="G21600"/>
      <c r="I21600"/>
      <c r="N21600"/>
      <c r="O21600" s="24"/>
      <c r="P21600"/>
      <c r="Q21600" s="24"/>
      <c r="R21600"/>
      <c r="S21600"/>
      <c r="T21600"/>
      <c r="U21600"/>
      <c r="X21600" s="60"/>
    </row>
    <row r="21601" spans="7:24" ht="15" customHeight="1">
      <c r="G21601"/>
      <c r="I21601"/>
      <c r="N21601"/>
      <c r="O21601" s="24"/>
      <c r="P21601"/>
      <c r="Q21601" s="24"/>
      <c r="R21601"/>
      <c r="S21601"/>
      <c r="T21601"/>
      <c r="U21601"/>
      <c r="X21601" s="60"/>
    </row>
    <row r="21602" spans="7:24" ht="15" customHeight="1">
      <c r="G21602"/>
      <c r="I21602"/>
      <c r="N21602"/>
      <c r="O21602" s="24"/>
      <c r="P21602"/>
      <c r="Q21602" s="24"/>
      <c r="R21602"/>
      <c r="S21602"/>
      <c r="T21602"/>
      <c r="U21602"/>
      <c r="X21602" s="60"/>
    </row>
    <row r="21603" spans="7:24" ht="15" customHeight="1">
      <c r="G21603"/>
      <c r="I21603"/>
      <c r="N21603"/>
      <c r="O21603" s="24"/>
      <c r="P21603"/>
      <c r="Q21603" s="24"/>
      <c r="R21603"/>
      <c r="S21603"/>
      <c r="T21603"/>
      <c r="U21603"/>
      <c r="X21603" s="60"/>
    </row>
    <row r="21604" spans="7:24" ht="15" customHeight="1">
      <c r="G21604"/>
      <c r="I21604"/>
      <c r="N21604"/>
      <c r="O21604" s="24"/>
      <c r="P21604"/>
      <c r="Q21604" s="24"/>
      <c r="R21604"/>
      <c r="S21604"/>
      <c r="T21604"/>
      <c r="U21604"/>
      <c r="X21604" s="60"/>
    </row>
    <row r="21605" spans="7:24" ht="15" customHeight="1">
      <c r="G21605"/>
      <c r="I21605"/>
      <c r="N21605"/>
      <c r="O21605" s="24"/>
      <c r="P21605"/>
      <c r="Q21605" s="24"/>
      <c r="R21605"/>
      <c r="S21605"/>
      <c r="T21605"/>
      <c r="U21605"/>
      <c r="X21605" s="60"/>
    </row>
    <row r="21606" spans="7:24" ht="15" customHeight="1">
      <c r="G21606"/>
      <c r="I21606"/>
      <c r="N21606"/>
      <c r="O21606" s="24"/>
      <c r="P21606"/>
      <c r="Q21606" s="24"/>
      <c r="R21606"/>
      <c r="S21606"/>
      <c r="T21606"/>
      <c r="U21606"/>
      <c r="X21606" s="60"/>
    </row>
    <row r="21607" spans="7:24" ht="15" customHeight="1">
      <c r="G21607"/>
      <c r="I21607"/>
      <c r="N21607"/>
      <c r="O21607" s="24"/>
      <c r="P21607"/>
      <c r="Q21607" s="24"/>
      <c r="R21607"/>
      <c r="S21607"/>
      <c r="T21607"/>
      <c r="U21607"/>
      <c r="X21607" s="60"/>
    </row>
    <row r="21608" spans="7:24" ht="15" customHeight="1">
      <c r="G21608"/>
      <c r="I21608"/>
      <c r="N21608"/>
      <c r="O21608" s="24"/>
      <c r="P21608"/>
      <c r="Q21608" s="24"/>
      <c r="R21608"/>
      <c r="S21608"/>
      <c r="T21608"/>
      <c r="U21608"/>
      <c r="X21608" s="60"/>
    </row>
    <row r="21609" spans="7:24" ht="15" customHeight="1">
      <c r="G21609"/>
      <c r="I21609"/>
      <c r="N21609"/>
      <c r="O21609" s="24"/>
      <c r="P21609"/>
      <c r="Q21609" s="24"/>
      <c r="R21609"/>
      <c r="S21609"/>
      <c r="T21609"/>
      <c r="U21609"/>
      <c r="X21609" s="60"/>
    </row>
    <row r="21610" spans="7:24" ht="15" customHeight="1">
      <c r="G21610"/>
      <c r="I21610"/>
      <c r="N21610"/>
      <c r="O21610" s="24"/>
      <c r="P21610"/>
      <c r="Q21610" s="24"/>
      <c r="R21610"/>
      <c r="S21610"/>
      <c r="T21610"/>
      <c r="U21610"/>
      <c r="X21610" s="60"/>
    </row>
    <row r="21611" spans="7:24" ht="15" customHeight="1">
      <c r="G21611"/>
      <c r="I21611"/>
      <c r="N21611"/>
      <c r="O21611" s="24"/>
      <c r="P21611"/>
      <c r="Q21611" s="24"/>
      <c r="R21611"/>
      <c r="S21611"/>
      <c r="T21611"/>
      <c r="U21611"/>
      <c r="X21611" s="60"/>
    </row>
    <row r="21612" spans="7:24" ht="15" customHeight="1">
      <c r="G21612"/>
      <c r="I21612"/>
      <c r="N21612"/>
      <c r="O21612" s="24"/>
      <c r="P21612"/>
      <c r="Q21612" s="24"/>
      <c r="R21612"/>
      <c r="S21612"/>
      <c r="T21612"/>
      <c r="U21612"/>
      <c r="X21612" s="60"/>
    </row>
    <row r="21613" spans="7:24" ht="15" customHeight="1">
      <c r="G21613"/>
      <c r="I21613"/>
      <c r="N21613"/>
      <c r="O21613" s="24"/>
      <c r="P21613"/>
      <c r="Q21613" s="24"/>
      <c r="R21613"/>
      <c r="S21613"/>
      <c r="T21613"/>
      <c r="U21613"/>
      <c r="X21613" s="60"/>
    </row>
    <row r="21614" spans="7:24" ht="15" customHeight="1">
      <c r="G21614"/>
      <c r="I21614"/>
      <c r="N21614"/>
      <c r="O21614" s="24"/>
      <c r="P21614"/>
      <c r="Q21614" s="24"/>
      <c r="R21614"/>
      <c r="S21614"/>
      <c r="T21614"/>
      <c r="U21614"/>
      <c r="X21614" s="60"/>
    </row>
    <row r="21615" spans="7:24" ht="15" customHeight="1">
      <c r="G21615"/>
      <c r="I21615"/>
      <c r="N21615"/>
      <c r="O21615" s="24"/>
      <c r="P21615"/>
      <c r="Q21615" s="24"/>
      <c r="R21615"/>
      <c r="S21615"/>
      <c r="T21615"/>
      <c r="U21615"/>
      <c r="X21615" s="60"/>
    </row>
    <row r="21616" spans="7:24" ht="15" customHeight="1">
      <c r="G21616"/>
      <c r="I21616"/>
      <c r="N21616"/>
      <c r="O21616" s="24"/>
      <c r="P21616"/>
      <c r="Q21616" s="24"/>
      <c r="R21616"/>
      <c r="S21616"/>
      <c r="T21616"/>
      <c r="U21616"/>
      <c r="X21616" s="60"/>
    </row>
    <row r="21617" spans="7:24" ht="15" customHeight="1">
      <c r="G21617"/>
      <c r="I21617"/>
      <c r="N21617"/>
      <c r="O21617" s="24"/>
      <c r="P21617"/>
      <c r="Q21617" s="24"/>
      <c r="R21617"/>
      <c r="S21617"/>
      <c r="T21617"/>
      <c r="U21617"/>
      <c r="X21617" s="60"/>
    </row>
    <row r="21618" spans="7:24" ht="15" customHeight="1">
      <c r="G21618"/>
      <c r="I21618"/>
      <c r="N21618"/>
      <c r="O21618" s="24"/>
      <c r="P21618"/>
      <c r="Q21618" s="24"/>
      <c r="R21618"/>
      <c r="S21618"/>
      <c r="T21618"/>
      <c r="U21618"/>
      <c r="X21618" s="60"/>
    </row>
    <row r="21619" spans="7:24" ht="15" customHeight="1">
      <c r="G21619"/>
      <c r="I21619"/>
      <c r="N21619"/>
      <c r="O21619" s="24"/>
      <c r="P21619"/>
      <c r="Q21619" s="24"/>
      <c r="R21619"/>
      <c r="S21619"/>
      <c r="T21619"/>
      <c r="U21619"/>
      <c r="X21619" s="60"/>
    </row>
    <row r="21620" spans="7:24" ht="15" customHeight="1">
      <c r="G21620"/>
      <c r="I21620"/>
      <c r="N21620"/>
      <c r="O21620" s="24"/>
      <c r="P21620"/>
      <c r="Q21620" s="24"/>
      <c r="R21620"/>
      <c r="S21620"/>
      <c r="T21620"/>
      <c r="U21620"/>
      <c r="X21620" s="60"/>
    </row>
    <row r="21621" spans="7:24" ht="15" customHeight="1">
      <c r="G21621"/>
      <c r="I21621"/>
      <c r="N21621"/>
      <c r="O21621" s="24"/>
      <c r="P21621"/>
      <c r="Q21621" s="24"/>
      <c r="R21621"/>
      <c r="S21621"/>
      <c r="T21621"/>
      <c r="U21621"/>
      <c r="X21621" s="60"/>
    </row>
    <row r="21622" spans="7:24" ht="15" customHeight="1">
      <c r="G21622"/>
      <c r="I21622"/>
      <c r="N21622"/>
      <c r="O21622" s="24"/>
      <c r="P21622"/>
      <c r="Q21622" s="24"/>
      <c r="R21622"/>
      <c r="S21622"/>
      <c r="T21622"/>
      <c r="U21622"/>
      <c r="X21622" s="60"/>
    </row>
    <row r="21623" spans="7:24" ht="15" customHeight="1">
      <c r="G21623"/>
      <c r="I21623"/>
      <c r="N21623"/>
      <c r="O21623" s="24"/>
      <c r="P21623"/>
      <c r="Q21623" s="24"/>
      <c r="R21623"/>
      <c r="S21623"/>
      <c r="T21623"/>
      <c r="U21623"/>
      <c r="X21623" s="60"/>
    </row>
    <row r="21624" spans="7:24" ht="15" customHeight="1">
      <c r="G21624"/>
      <c r="I21624"/>
      <c r="N21624"/>
      <c r="O21624" s="24"/>
      <c r="P21624"/>
      <c r="Q21624" s="24"/>
      <c r="R21624"/>
      <c r="S21624"/>
      <c r="T21624"/>
      <c r="U21624"/>
      <c r="X21624" s="60"/>
    </row>
    <row r="21625" spans="7:24" ht="15" customHeight="1">
      <c r="G21625"/>
      <c r="I21625"/>
      <c r="N21625"/>
      <c r="O21625" s="24"/>
      <c r="P21625"/>
      <c r="Q21625" s="24"/>
      <c r="R21625"/>
      <c r="S21625"/>
      <c r="T21625"/>
      <c r="U21625"/>
      <c r="X21625" s="60"/>
    </row>
    <row r="21626" spans="7:24" ht="15" customHeight="1">
      <c r="G21626"/>
      <c r="I21626"/>
      <c r="N21626"/>
      <c r="O21626" s="24"/>
      <c r="P21626"/>
      <c r="Q21626" s="24"/>
      <c r="R21626"/>
      <c r="S21626"/>
      <c r="T21626"/>
      <c r="U21626"/>
      <c r="X21626" s="60"/>
    </row>
    <row r="21627" spans="7:24" ht="15" customHeight="1">
      <c r="G21627"/>
      <c r="I21627"/>
      <c r="N21627"/>
      <c r="O21627" s="24"/>
      <c r="P21627"/>
      <c r="Q21627" s="24"/>
      <c r="R21627"/>
      <c r="S21627"/>
      <c r="T21627"/>
      <c r="U21627"/>
      <c r="X21627" s="60"/>
    </row>
    <row r="21628" spans="7:24" ht="15" customHeight="1">
      <c r="G21628"/>
      <c r="I21628"/>
      <c r="N21628"/>
      <c r="O21628" s="24"/>
      <c r="P21628"/>
      <c r="Q21628" s="24"/>
      <c r="R21628"/>
      <c r="S21628"/>
      <c r="T21628"/>
      <c r="U21628"/>
      <c r="X21628" s="60"/>
    </row>
    <row r="21629" spans="7:24" ht="15" customHeight="1">
      <c r="G21629"/>
      <c r="I21629"/>
      <c r="N21629"/>
      <c r="O21629" s="24"/>
      <c r="P21629"/>
      <c r="Q21629" s="24"/>
      <c r="R21629"/>
      <c r="S21629"/>
      <c r="T21629"/>
      <c r="U21629"/>
      <c r="X21629" s="60"/>
    </row>
    <row r="21630" spans="7:24" ht="15" customHeight="1">
      <c r="G21630"/>
      <c r="I21630"/>
      <c r="N21630"/>
      <c r="O21630" s="24"/>
      <c r="P21630"/>
      <c r="Q21630" s="24"/>
      <c r="R21630"/>
      <c r="S21630"/>
      <c r="T21630"/>
      <c r="U21630"/>
      <c r="X21630" s="60"/>
    </row>
    <row r="21631" spans="7:24" ht="15" customHeight="1">
      <c r="G21631"/>
      <c r="I21631"/>
      <c r="N21631"/>
      <c r="O21631" s="24"/>
      <c r="P21631"/>
      <c r="Q21631" s="24"/>
      <c r="R21631"/>
      <c r="S21631"/>
      <c r="T21631"/>
      <c r="U21631"/>
      <c r="X21631" s="60"/>
    </row>
    <row r="21632" spans="7:24" ht="15" customHeight="1">
      <c r="G21632"/>
      <c r="I21632"/>
      <c r="N21632"/>
      <c r="O21632" s="24"/>
      <c r="P21632"/>
      <c r="Q21632" s="24"/>
      <c r="R21632"/>
      <c r="S21632"/>
      <c r="T21632"/>
      <c r="U21632"/>
      <c r="X21632" s="60"/>
    </row>
    <row r="21633" spans="7:24" ht="15" customHeight="1">
      <c r="G21633"/>
      <c r="I21633"/>
      <c r="N21633"/>
      <c r="O21633" s="24"/>
      <c r="P21633"/>
      <c r="Q21633" s="24"/>
      <c r="R21633"/>
      <c r="S21633"/>
      <c r="T21633"/>
      <c r="U21633"/>
      <c r="X21633" s="60"/>
    </row>
    <row r="21634" spans="7:24" ht="15" customHeight="1">
      <c r="G21634"/>
      <c r="I21634"/>
      <c r="N21634"/>
      <c r="O21634" s="24"/>
      <c r="P21634"/>
      <c r="Q21634" s="24"/>
      <c r="R21634"/>
      <c r="S21634"/>
      <c r="T21634"/>
      <c r="U21634"/>
      <c r="X21634" s="60"/>
    </row>
    <row r="21635" spans="7:24" ht="15" customHeight="1">
      <c r="G21635"/>
      <c r="I21635"/>
      <c r="N21635"/>
      <c r="O21635" s="24"/>
      <c r="P21635"/>
      <c r="Q21635" s="24"/>
      <c r="R21635"/>
      <c r="S21635"/>
      <c r="T21635"/>
      <c r="U21635"/>
      <c r="X21635" s="60"/>
    </row>
    <row r="21636" spans="7:24" ht="15" customHeight="1">
      <c r="G21636"/>
      <c r="I21636"/>
      <c r="N21636"/>
      <c r="O21636" s="24"/>
      <c r="P21636"/>
      <c r="Q21636" s="24"/>
      <c r="R21636"/>
      <c r="S21636"/>
      <c r="T21636"/>
      <c r="U21636"/>
      <c r="X21636" s="60"/>
    </row>
    <row r="21637" spans="7:24" ht="15" customHeight="1">
      <c r="G21637"/>
      <c r="I21637"/>
      <c r="N21637"/>
      <c r="O21637" s="24"/>
      <c r="P21637"/>
      <c r="Q21637" s="24"/>
      <c r="R21637"/>
      <c r="S21637"/>
      <c r="T21637"/>
      <c r="U21637"/>
      <c r="X21637" s="60"/>
    </row>
    <row r="21638" spans="7:24" ht="15" customHeight="1">
      <c r="G21638"/>
      <c r="I21638"/>
      <c r="N21638"/>
      <c r="O21638" s="24"/>
      <c r="P21638"/>
      <c r="Q21638" s="24"/>
      <c r="R21638"/>
      <c r="S21638"/>
      <c r="T21638"/>
      <c r="U21638"/>
      <c r="X21638" s="60"/>
    </row>
    <row r="21639" spans="7:24" ht="15" customHeight="1">
      <c r="G21639"/>
      <c r="I21639"/>
      <c r="N21639"/>
      <c r="O21639" s="24"/>
      <c r="P21639"/>
      <c r="Q21639" s="24"/>
      <c r="R21639"/>
      <c r="S21639"/>
      <c r="T21639"/>
      <c r="U21639"/>
      <c r="X21639" s="60"/>
    </row>
    <row r="21640" spans="7:24" ht="15" customHeight="1">
      <c r="G21640"/>
      <c r="I21640"/>
      <c r="N21640"/>
      <c r="O21640" s="24"/>
      <c r="P21640"/>
      <c r="Q21640" s="24"/>
      <c r="R21640"/>
      <c r="S21640"/>
      <c r="T21640"/>
      <c r="U21640"/>
      <c r="X21640" s="60"/>
    </row>
    <row r="21641" spans="7:24" ht="15" customHeight="1">
      <c r="G21641"/>
      <c r="I21641"/>
      <c r="N21641"/>
      <c r="O21641" s="24"/>
      <c r="P21641"/>
      <c r="Q21641" s="24"/>
      <c r="R21641"/>
      <c r="S21641"/>
      <c r="T21641"/>
      <c r="U21641"/>
      <c r="X21641" s="60"/>
    </row>
    <row r="21642" spans="7:24" ht="15" customHeight="1">
      <c r="G21642"/>
      <c r="I21642"/>
      <c r="N21642"/>
      <c r="O21642" s="24"/>
      <c r="P21642"/>
      <c r="Q21642" s="24"/>
      <c r="R21642"/>
      <c r="S21642"/>
      <c r="T21642"/>
      <c r="U21642"/>
      <c r="X21642" s="60"/>
    </row>
    <row r="21643" spans="7:24" ht="15" customHeight="1">
      <c r="G21643"/>
      <c r="I21643"/>
      <c r="N21643"/>
      <c r="O21643" s="24"/>
      <c r="P21643"/>
      <c r="Q21643" s="24"/>
      <c r="R21643"/>
      <c r="S21643"/>
      <c r="T21643"/>
      <c r="U21643"/>
      <c r="X21643" s="60"/>
    </row>
    <row r="21644" spans="7:24" ht="15" customHeight="1">
      <c r="G21644"/>
      <c r="I21644"/>
      <c r="N21644"/>
      <c r="O21644" s="24"/>
      <c r="P21644"/>
      <c r="Q21644" s="24"/>
      <c r="R21644"/>
      <c r="S21644"/>
      <c r="T21644"/>
      <c r="U21644"/>
      <c r="X21644" s="60"/>
    </row>
    <row r="21645" spans="7:24" ht="15" customHeight="1">
      <c r="G21645"/>
      <c r="I21645"/>
      <c r="N21645"/>
      <c r="O21645" s="24"/>
      <c r="P21645"/>
      <c r="Q21645" s="24"/>
      <c r="R21645"/>
      <c r="S21645"/>
      <c r="T21645"/>
      <c r="U21645"/>
      <c r="X21645" s="60"/>
    </row>
    <row r="21646" spans="7:24" ht="15" customHeight="1">
      <c r="G21646"/>
      <c r="I21646"/>
      <c r="N21646"/>
      <c r="O21646" s="24"/>
      <c r="P21646"/>
      <c r="Q21646" s="24"/>
      <c r="R21646"/>
      <c r="S21646"/>
      <c r="T21646"/>
      <c r="U21646"/>
      <c r="X21646" s="60"/>
    </row>
    <row r="21647" spans="7:24" ht="15" customHeight="1">
      <c r="G21647"/>
      <c r="I21647"/>
      <c r="N21647"/>
      <c r="O21647" s="24"/>
      <c r="P21647"/>
      <c r="Q21647" s="24"/>
      <c r="R21647"/>
      <c r="S21647"/>
      <c r="T21647"/>
      <c r="U21647"/>
      <c r="X21647" s="60"/>
    </row>
    <row r="21648" spans="7:24" ht="15" customHeight="1">
      <c r="G21648"/>
      <c r="I21648"/>
      <c r="N21648"/>
      <c r="O21648" s="24"/>
      <c r="P21648"/>
      <c r="Q21648" s="24"/>
      <c r="R21648"/>
      <c r="S21648"/>
      <c r="T21648"/>
      <c r="U21648"/>
      <c r="X21648" s="60"/>
    </row>
    <row r="21649" spans="7:24" ht="15" customHeight="1">
      <c r="G21649"/>
      <c r="I21649"/>
      <c r="N21649"/>
      <c r="O21649" s="24"/>
      <c r="P21649"/>
      <c r="Q21649" s="24"/>
      <c r="R21649"/>
      <c r="S21649"/>
      <c r="T21649"/>
      <c r="U21649"/>
      <c r="X21649" s="60"/>
    </row>
    <row r="21650" spans="7:24" ht="15" customHeight="1">
      <c r="G21650"/>
      <c r="I21650"/>
      <c r="N21650"/>
      <c r="O21650" s="24"/>
      <c r="P21650"/>
      <c r="Q21650" s="24"/>
      <c r="R21650"/>
      <c r="S21650"/>
      <c r="T21650"/>
      <c r="U21650"/>
      <c r="X21650" s="60"/>
    </row>
    <row r="21651" spans="7:24" ht="15" customHeight="1">
      <c r="G21651"/>
      <c r="I21651"/>
      <c r="N21651"/>
      <c r="O21651" s="24"/>
      <c r="P21651"/>
      <c r="Q21651" s="24"/>
      <c r="R21651"/>
      <c r="S21651"/>
      <c r="T21651"/>
      <c r="U21651"/>
      <c r="X21651" s="60"/>
    </row>
    <row r="21652" spans="7:24" ht="15" customHeight="1">
      <c r="G21652"/>
      <c r="I21652"/>
      <c r="N21652"/>
      <c r="O21652" s="24"/>
      <c r="P21652"/>
      <c r="Q21652" s="24"/>
      <c r="R21652"/>
      <c r="S21652"/>
      <c r="T21652"/>
      <c r="U21652"/>
      <c r="X21652" s="60"/>
    </row>
    <row r="21653" spans="7:24" ht="15" customHeight="1">
      <c r="G21653"/>
      <c r="I21653"/>
      <c r="N21653"/>
      <c r="O21653" s="24"/>
      <c r="P21653"/>
      <c r="Q21653" s="24"/>
      <c r="R21653"/>
      <c r="S21653"/>
      <c r="T21653"/>
      <c r="U21653"/>
      <c r="X21653" s="60"/>
    </row>
    <row r="21654" spans="7:24" ht="15" customHeight="1">
      <c r="G21654"/>
      <c r="I21654"/>
      <c r="N21654"/>
      <c r="O21654" s="24"/>
      <c r="P21654"/>
      <c r="Q21654" s="24"/>
      <c r="R21654"/>
      <c r="S21654"/>
      <c r="T21654"/>
      <c r="U21654"/>
      <c r="X21654" s="60"/>
    </row>
    <row r="21655" spans="7:24" ht="15" customHeight="1">
      <c r="G21655"/>
      <c r="I21655"/>
      <c r="N21655"/>
      <c r="O21655" s="24"/>
      <c r="P21655"/>
      <c r="Q21655" s="24"/>
      <c r="R21655"/>
      <c r="S21655"/>
      <c r="T21655"/>
      <c r="U21655"/>
      <c r="X21655" s="60"/>
    </row>
    <row r="21656" spans="7:24" ht="15" customHeight="1">
      <c r="G21656"/>
      <c r="I21656"/>
      <c r="N21656"/>
      <c r="O21656" s="24"/>
      <c r="P21656"/>
      <c r="Q21656" s="24"/>
      <c r="R21656"/>
      <c r="S21656"/>
      <c r="T21656"/>
      <c r="U21656"/>
      <c r="X21656" s="60"/>
    </row>
    <row r="21657" spans="7:24" ht="15" customHeight="1">
      <c r="G21657"/>
      <c r="I21657"/>
      <c r="N21657"/>
      <c r="O21657" s="24"/>
      <c r="P21657"/>
      <c r="Q21657" s="24"/>
      <c r="R21657"/>
      <c r="S21657"/>
      <c r="T21657"/>
      <c r="U21657"/>
      <c r="X21657" s="60"/>
    </row>
    <row r="21658" spans="7:24" ht="15" customHeight="1">
      <c r="G21658"/>
      <c r="I21658"/>
      <c r="N21658"/>
      <c r="O21658" s="24"/>
      <c r="P21658"/>
      <c r="Q21658" s="24"/>
      <c r="R21658"/>
      <c r="S21658"/>
      <c r="T21658"/>
      <c r="U21658"/>
      <c r="X21658" s="60"/>
    </row>
    <row r="21659" spans="7:24" ht="15" customHeight="1">
      <c r="G21659"/>
      <c r="I21659"/>
      <c r="N21659"/>
      <c r="O21659" s="24"/>
      <c r="P21659"/>
      <c r="Q21659" s="24"/>
      <c r="R21659"/>
      <c r="S21659"/>
      <c r="T21659"/>
      <c r="U21659"/>
      <c r="X21659" s="60"/>
    </row>
    <row r="21660" spans="7:24" ht="15" customHeight="1">
      <c r="G21660"/>
      <c r="I21660"/>
      <c r="N21660"/>
      <c r="O21660" s="24"/>
      <c r="P21660"/>
      <c r="Q21660" s="24"/>
      <c r="R21660"/>
      <c r="S21660"/>
      <c r="T21660"/>
      <c r="U21660"/>
      <c r="X21660" s="60"/>
    </row>
    <row r="21661" spans="7:24" ht="15" customHeight="1">
      <c r="G21661"/>
      <c r="I21661"/>
      <c r="N21661"/>
      <c r="O21661" s="24"/>
      <c r="P21661"/>
      <c r="Q21661" s="24"/>
      <c r="R21661"/>
      <c r="S21661"/>
      <c r="T21661"/>
      <c r="U21661"/>
      <c r="X21661" s="60"/>
    </row>
    <row r="21662" spans="7:24" ht="15" customHeight="1">
      <c r="G21662"/>
      <c r="I21662"/>
      <c r="N21662"/>
      <c r="O21662" s="24"/>
      <c r="P21662"/>
      <c r="Q21662" s="24"/>
      <c r="R21662"/>
      <c r="S21662"/>
      <c r="T21662"/>
      <c r="U21662"/>
      <c r="X21662" s="60"/>
    </row>
    <row r="21663" spans="7:24" ht="15" customHeight="1">
      <c r="G21663"/>
      <c r="I21663"/>
      <c r="N21663"/>
      <c r="O21663" s="24"/>
      <c r="P21663"/>
      <c r="Q21663" s="24"/>
      <c r="R21663"/>
      <c r="S21663"/>
      <c r="T21663"/>
      <c r="U21663"/>
      <c r="X21663" s="60"/>
    </row>
    <row r="21664" spans="7:24" ht="15" customHeight="1">
      <c r="G21664"/>
      <c r="I21664"/>
      <c r="N21664"/>
      <c r="O21664" s="24"/>
      <c r="P21664"/>
      <c r="Q21664" s="24"/>
      <c r="R21664"/>
      <c r="S21664"/>
      <c r="T21664"/>
      <c r="U21664"/>
      <c r="X21664" s="60"/>
    </row>
    <row r="21665" spans="7:24" ht="15" customHeight="1">
      <c r="G21665"/>
      <c r="I21665"/>
      <c r="N21665"/>
      <c r="O21665" s="24"/>
      <c r="P21665"/>
      <c r="Q21665" s="24"/>
      <c r="R21665"/>
      <c r="S21665"/>
      <c r="T21665"/>
      <c r="U21665"/>
      <c r="X21665" s="60"/>
    </row>
    <row r="21666" spans="7:24" ht="15" customHeight="1">
      <c r="G21666"/>
      <c r="I21666"/>
      <c r="N21666"/>
      <c r="O21666" s="24"/>
      <c r="P21666"/>
      <c r="Q21666" s="24"/>
      <c r="R21666"/>
      <c r="S21666"/>
      <c r="T21666"/>
      <c r="U21666"/>
      <c r="X21666" s="60"/>
    </row>
    <row r="21667" spans="7:24" ht="15" customHeight="1">
      <c r="G21667"/>
      <c r="I21667"/>
      <c r="N21667"/>
      <c r="O21667" s="24"/>
      <c r="P21667"/>
      <c r="Q21667" s="24"/>
      <c r="R21667"/>
      <c r="S21667"/>
      <c r="T21667"/>
      <c r="U21667"/>
      <c r="X21667" s="60"/>
    </row>
    <row r="21668" spans="7:24" ht="15" customHeight="1">
      <c r="G21668"/>
      <c r="I21668"/>
      <c r="N21668"/>
      <c r="O21668" s="24"/>
      <c r="P21668"/>
      <c r="Q21668" s="24"/>
      <c r="R21668"/>
      <c r="S21668"/>
      <c r="T21668"/>
      <c r="U21668"/>
      <c r="X21668" s="60"/>
    </row>
    <row r="21669" spans="7:24" ht="15" customHeight="1">
      <c r="G21669"/>
      <c r="I21669"/>
      <c r="N21669"/>
      <c r="O21669" s="24"/>
      <c r="P21669"/>
      <c r="Q21669" s="24"/>
      <c r="R21669"/>
      <c r="S21669"/>
      <c r="T21669"/>
      <c r="U21669"/>
      <c r="X21669" s="60"/>
    </row>
    <row r="21670" spans="7:24" ht="15" customHeight="1">
      <c r="G21670"/>
      <c r="I21670"/>
      <c r="N21670"/>
      <c r="O21670" s="24"/>
      <c r="P21670"/>
      <c r="Q21670" s="24"/>
      <c r="R21670"/>
      <c r="S21670"/>
      <c r="T21670"/>
      <c r="U21670"/>
      <c r="X21670" s="60"/>
    </row>
    <row r="21671" spans="7:24" ht="15" customHeight="1">
      <c r="G21671"/>
      <c r="I21671"/>
      <c r="N21671"/>
      <c r="O21671" s="24"/>
      <c r="P21671"/>
      <c r="Q21671" s="24"/>
      <c r="R21671"/>
      <c r="S21671"/>
      <c r="T21671"/>
      <c r="U21671"/>
      <c r="X21671" s="60"/>
    </row>
    <row r="21672" spans="7:24" ht="15" customHeight="1">
      <c r="G21672"/>
      <c r="I21672"/>
      <c r="N21672"/>
      <c r="O21672" s="24"/>
      <c r="P21672"/>
      <c r="Q21672" s="24"/>
      <c r="R21672"/>
      <c r="S21672"/>
      <c r="T21672"/>
      <c r="U21672"/>
      <c r="X21672" s="60"/>
    </row>
    <row r="21673" spans="7:24" ht="15" customHeight="1">
      <c r="G21673"/>
      <c r="I21673"/>
      <c r="N21673"/>
      <c r="O21673" s="24"/>
      <c r="P21673"/>
      <c r="Q21673" s="24"/>
      <c r="R21673"/>
      <c r="S21673"/>
      <c r="T21673"/>
      <c r="U21673"/>
      <c r="X21673" s="60"/>
    </row>
    <row r="21674" spans="7:24" ht="15" customHeight="1">
      <c r="G21674"/>
      <c r="I21674"/>
      <c r="N21674"/>
      <c r="O21674" s="24"/>
      <c r="P21674"/>
      <c r="Q21674" s="24"/>
      <c r="R21674"/>
      <c r="S21674"/>
      <c r="T21674"/>
      <c r="U21674"/>
      <c r="X21674" s="60"/>
    </row>
    <row r="21675" spans="7:24" ht="15" customHeight="1">
      <c r="G21675"/>
      <c r="I21675"/>
      <c r="N21675"/>
      <c r="O21675" s="24"/>
      <c r="P21675"/>
      <c r="Q21675" s="24"/>
      <c r="R21675"/>
      <c r="S21675"/>
      <c r="T21675"/>
      <c r="U21675"/>
      <c r="X21675" s="60"/>
    </row>
    <row r="21676" spans="7:24" ht="15" customHeight="1">
      <c r="G21676"/>
      <c r="I21676"/>
      <c r="N21676"/>
      <c r="O21676" s="24"/>
      <c r="P21676"/>
      <c r="Q21676" s="24"/>
      <c r="R21676"/>
      <c r="S21676"/>
      <c r="T21676"/>
      <c r="U21676"/>
      <c r="X21676" s="60"/>
    </row>
    <row r="21677" spans="7:24" ht="15" customHeight="1">
      <c r="G21677"/>
      <c r="I21677"/>
      <c r="N21677"/>
      <c r="O21677" s="24"/>
      <c r="P21677"/>
      <c r="Q21677" s="24"/>
      <c r="R21677"/>
      <c r="S21677"/>
      <c r="T21677"/>
      <c r="U21677"/>
      <c r="X21677" s="60"/>
    </row>
    <row r="21678" spans="7:24" ht="15" customHeight="1">
      <c r="G21678"/>
      <c r="I21678"/>
      <c r="N21678"/>
      <c r="O21678" s="24"/>
      <c r="P21678"/>
      <c r="Q21678" s="24"/>
      <c r="R21678"/>
      <c r="S21678"/>
      <c r="T21678"/>
      <c r="U21678"/>
      <c r="X21678" s="60"/>
    </row>
    <row r="21679" spans="7:24" ht="15" customHeight="1">
      <c r="G21679"/>
      <c r="I21679"/>
      <c r="N21679"/>
      <c r="O21679" s="24"/>
      <c r="P21679"/>
      <c r="Q21679" s="24"/>
      <c r="R21679"/>
      <c r="S21679"/>
      <c r="T21679"/>
      <c r="U21679"/>
      <c r="X21679" s="60"/>
    </row>
    <row r="21680" spans="7:24" ht="15" customHeight="1">
      <c r="G21680"/>
      <c r="I21680"/>
      <c r="N21680"/>
      <c r="O21680" s="24"/>
      <c r="P21680"/>
      <c r="Q21680" s="24"/>
      <c r="R21680"/>
      <c r="S21680"/>
      <c r="T21680"/>
      <c r="U21680"/>
      <c r="X21680" s="60"/>
    </row>
    <row r="21681" spans="7:24" ht="15" customHeight="1">
      <c r="G21681"/>
      <c r="I21681"/>
      <c r="N21681"/>
      <c r="O21681" s="24"/>
      <c r="P21681"/>
      <c r="Q21681" s="24"/>
      <c r="R21681"/>
      <c r="S21681"/>
      <c r="T21681"/>
      <c r="U21681"/>
      <c r="X21681" s="60"/>
    </row>
    <row r="21682" spans="7:24" ht="15" customHeight="1">
      <c r="G21682"/>
      <c r="I21682"/>
      <c r="N21682"/>
      <c r="O21682" s="24"/>
      <c r="P21682"/>
      <c r="Q21682" s="24"/>
      <c r="R21682"/>
      <c r="S21682"/>
      <c r="T21682"/>
      <c r="U21682"/>
      <c r="X21682" s="60"/>
    </row>
    <row r="21683" spans="7:24" ht="15" customHeight="1">
      <c r="G21683"/>
      <c r="I21683"/>
      <c r="N21683"/>
      <c r="O21683" s="24"/>
      <c r="P21683"/>
      <c r="Q21683" s="24"/>
      <c r="R21683"/>
      <c r="S21683"/>
      <c r="T21683"/>
      <c r="U21683"/>
      <c r="X21683" s="60"/>
    </row>
    <row r="21684" spans="7:24" ht="15" customHeight="1">
      <c r="G21684"/>
      <c r="I21684"/>
      <c r="N21684"/>
      <c r="O21684" s="24"/>
      <c r="P21684"/>
      <c r="Q21684" s="24"/>
      <c r="R21684"/>
      <c r="S21684"/>
      <c r="T21684"/>
      <c r="U21684"/>
      <c r="X21684" s="60"/>
    </row>
    <row r="21685" spans="7:24" ht="15" customHeight="1">
      <c r="G21685"/>
      <c r="I21685"/>
      <c r="N21685"/>
      <c r="O21685" s="24"/>
      <c r="P21685"/>
      <c r="Q21685" s="24"/>
      <c r="R21685"/>
      <c r="S21685"/>
      <c r="T21685"/>
      <c r="U21685"/>
      <c r="X21685" s="60"/>
    </row>
    <row r="21686" spans="7:24" ht="15" customHeight="1">
      <c r="G21686"/>
      <c r="I21686"/>
      <c r="N21686"/>
      <c r="O21686" s="24"/>
      <c r="P21686"/>
      <c r="Q21686" s="24"/>
      <c r="R21686"/>
      <c r="S21686"/>
      <c r="T21686"/>
      <c r="U21686"/>
      <c r="X21686" s="60"/>
    </row>
    <row r="21687" spans="7:24" ht="15" customHeight="1">
      <c r="G21687"/>
      <c r="I21687"/>
      <c r="N21687"/>
      <c r="O21687" s="24"/>
      <c r="P21687"/>
      <c r="Q21687" s="24"/>
      <c r="R21687"/>
      <c r="S21687"/>
      <c r="T21687"/>
      <c r="U21687"/>
      <c r="X21687" s="60"/>
    </row>
    <row r="21688" spans="7:24" ht="15" customHeight="1">
      <c r="G21688"/>
      <c r="I21688"/>
      <c r="N21688"/>
      <c r="O21688" s="24"/>
      <c r="P21688"/>
      <c r="Q21688" s="24"/>
      <c r="R21688"/>
      <c r="S21688"/>
      <c r="T21688"/>
      <c r="U21688"/>
      <c r="X21688" s="60"/>
    </row>
    <row r="21689" spans="7:24" ht="15" customHeight="1">
      <c r="G21689"/>
      <c r="I21689"/>
      <c r="N21689"/>
      <c r="O21689" s="24"/>
      <c r="P21689"/>
      <c r="Q21689" s="24"/>
      <c r="R21689"/>
      <c r="S21689"/>
      <c r="T21689"/>
      <c r="U21689"/>
      <c r="X21689" s="60"/>
    </row>
    <row r="21690" spans="7:24" ht="15" customHeight="1">
      <c r="G21690"/>
      <c r="I21690"/>
      <c r="N21690"/>
      <c r="O21690" s="24"/>
      <c r="P21690"/>
      <c r="Q21690" s="24"/>
      <c r="R21690"/>
      <c r="S21690"/>
      <c r="T21690"/>
      <c r="U21690"/>
      <c r="X21690" s="60"/>
    </row>
    <row r="21691" spans="7:24" ht="15" customHeight="1">
      <c r="G21691"/>
      <c r="I21691"/>
      <c r="N21691"/>
      <c r="O21691" s="24"/>
      <c r="P21691"/>
      <c r="Q21691" s="24"/>
      <c r="R21691"/>
      <c r="S21691"/>
      <c r="T21691"/>
      <c r="U21691"/>
      <c r="X21691" s="60"/>
    </row>
    <row r="21692" spans="7:24" ht="15" customHeight="1">
      <c r="G21692"/>
      <c r="I21692"/>
      <c r="N21692"/>
      <c r="O21692" s="24"/>
      <c r="P21692"/>
      <c r="Q21692" s="24"/>
      <c r="R21692"/>
      <c r="S21692"/>
      <c r="T21692"/>
      <c r="U21692"/>
      <c r="X21692" s="60"/>
    </row>
    <row r="21693" spans="7:24" ht="15" customHeight="1">
      <c r="G21693"/>
      <c r="I21693"/>
      <c r="N21693"/>
      <c r="O21693" s="24"/>
      <c r="P21693"/>
      <c r="Q21693" s="24"/>
      <c r="R21693"/>
      <c r="S21693"/>
      <c r="T21693"/>
      <c r="U21693"/>
      <c r="X21693" s="60"/>
    </row>
    <row r="21694" spans="7:24" ht="15" customHeight="1">
      <c r="G21694"/>
      <c r="I21694"/>
      <c r="N21694"/>
      <c r="O21694" s="24"/>
      <c r="P21694"/>
      <c r="Q21694" s="24"/>
      <c r="R21694"/>
      <c r="S21694"/>
      <c r="T21694"/>
      <c r="U21694"/>
      <c r="X21694" s="60"/>
    </row>
    <row r="21695" spans="7:24" ht="15" customHeight="1">
      <c r="G21695"/>
      <c r="I21695"/>
      <c r="N21695"/>
      <c r="O21695" s="24"/>
      <c r="P21695"/>
      <c r="Q21695" s="24"/>
      <c r="R21695"/>
      <c r="S21695"/>
      <c r="T21695"/>
      <c r="U21695"/>
      <c r="X21695" s="60"/>
    </row>
    <row r="21696" spans="7:24" ht="15" customHeight="1">
      <c r="G21696"/>
      <c r="I21696"/>
      <c r="N21696"/>
      <c r="O21696" s="24"/>
      <c r="P21696"/>
      <c r="Q21696" s="24"/>
      <c r="R21696"/>
      <c r="S21696"/>
      <c r="T21696"/>
      <c r="U21696"/>
      <c r="X21696" s="60"/>
    </row>
    <row r="21697" spans="7:24" ht="15" customHeight="1">
      <c r="G21697"/>
      <c r="I21697"/>
      <c r="N21697"/>
      <c r="O21697" s="24"/>
      <c r="P21697"/>
      <c r="Q21697" s="24"/>
      <c r="R21697"/>
      <c r="S21697"/>
      <c r="T21697"/>
      <c r="U21697"/>
      <c r="X21697" s="60"/>
    </row>
    <row r="21698" spans="7:24" ht="15" customHeight="1">
      <c r="G21698"/>
      <c r="I21698"/>
      <c r="N21698"/>
      <c r="O21698" s="24"/>
      <c r="P21698"/>
      <c r="Q21698" s="24"/>
      <c r="R21698"/>
      <c r="S21698"/>
      <c r="T21698"/>
      <c r="U21698"/>
      <c r="X21698" s="60"/>
    </row>
    <row r="21699" spans="7:24" ht="15" customHeight="1">
      <c r="G21699"/>
      <c r="I21699"/>
      <c r="N21699"/>
      <c r="O21699" s="24"/>
      <c r="P21699"/>
      <c r="Q21699" s="24"/>
      <c r="R21699"/>
      <c r="S21699"/>
      <c r="T21699"/>
      <c r="U21699"/>
      <c r="X21699" s="60"/>
    </row>
    <row r="21700" spans="7:24" ht="15" customHeight="1">
      <c r="G21700"/>
      <c r="I21700"/>
      <c r="N21700"/>
      <c r="O21700" s="24"/>
      <c r="P21700"/>
      <c r="Q21700" s="24"/>
      <c r="R21700"/>
      <c r="S21700"/>
      <c r="T21700"/>
      <c r="U21700"/>
      <c r="X21700" s="60"/>
    </row>
    <row r="21701" spans="7:24" ht="15" customHeight="1">
      <c r="G21701"/>
      <c r="I21701"/>
      <c r="N21701"/>
      <c r="O21701" s="24"/>
      <c r="P21701"/>
      <c r="Q21701" s="24"/>
      <c r="R21701"/>
      <c r="S21701"/>
      <c r="T21701"/>
      <c r="U21701"/>
      <c r="X21701" s="60"/>
    </row>
    <row r="21702" spans="7:24" ht="15" customHeight="1">
      <c r="G21702"/>
      <c r="I21702"/>
      <c r="N21702"/>
      <c r="O21702" s="24"/>
      <c r="P21702"/>
      <c r="Q21702" s="24"/>
      <c r="R21702"/>
      <c r="S21702"/>
      <c r="T21702"/>
      <c r="U21702"/>
      <c r="X21702" s="60"/>
    </row>
    <row r="21703" spans="7:24" ht="15" customHeight="1">
      <c r="G21703"/>
      <c r="I21703"/>
      <c r="N21703"/>
      <c r="O21703" s="24"/>
      <c r="P21703"/>
      <c r="Q21703" s="24"/>
      <c r="R21703"/>
      <c r="S21703"/>
      <c r="T21703"/>
      <c r="U21703"/>
      <c r="X21703" s="60"/>
    </row>
    <row r="21704" spans="7:24" ht="15" customHeight="1">
      <c r="G21704"/>
      <c r="I21704"/>
      <c r="N21704"/>
      <c r="O21704" s="24"/>
      <c r="P21704"/>
      <c r="Q21704" s="24"/>
      <c r="R21704"/>
      <c r="S21704"/>
      <c r="T21704"/>
      <c r="U21704"/>
      <c r="X21704" s="60"/>
    </row>
    <row r="21705" spans="7:24" ht="15" customHeight="1">
      <c r="G21705"/>
      <c r="I21705"/>
      <c r="N21705"/>
      <c r="O21705" s="24"/>
      <c r="P21705"/>
      <c r="Q21705" s="24"/>
      <c r="R21705"/>
      <c r="S21705"/>
      <c r="T21705"/>
      <c r="U21705"/>
      <c r="X21705" s="60"/>
    </row>
    <row r="21706" spans="7:24" ht="15" customHeight="1">
      <c r="G21706"/>
      <c r="I21706"/>
      <c r="N21706"/>
      <c r="O21706" s="24"/>
      <c r="P21706"/>
      <c r="Q21706" s="24"/>
      <c r="R21706"/>
      <c r="S21706"/>
      <c r="T21706"/>
      <c r="U21706"/>
      <c r="X21706" s="60"/>
    </row>
    <row r="21707" spans="7:24" ht="15" customHeight="1">
      <c r="G21707"/>
      <c r="I21707"/>
      <c r="N21707"/>
      <c r="O21707" s="24"/>
      <c r="P21707"/>
      <c r="Q21707" s="24"/>
      <c r="R21707"/>
      <c r="S21707"/>
      <c r="T21707"/>
      <c r="U21707"/>
      <c r="X21707" s="60"/>
    </row>
    <row r="21708" spans="7:24" ht="15" customHeight="1">
      <c r="G21708"/>
      <c r="I21708"/>
      <c r="N21708"/>
      <c r="O21708" s="24"/>
      <c r="P21708"/>
      <c r="Q21708" s="24"/>
      <c r="R21708"/>
      <c r="S21708"/>
      <c r="T21708"/>
      <c r="U21708"/>
      <c r="X21708" s="60"/>
    </row>
    <row r="21709" spans="7:24" ht="15" customHeight="1">
      <c r="G21709"/>
      <c r="I21709"/>
      <c r="N21709"/>
      <c r="O21709" s="24"/>
      <c r="P21709"/>
      <c r="Q21709" s="24"/>
      <c r="R21709"/>
      <c r="S21709"/>
      <c r="T21709"/>
      <c r="U21709"/>
      <c r="X21709" s="60"/>
    </row>
    <row r="21710" spans="7:24" ht="15" customHeight="1">
      <c r="G21710"/>
      <c r="I21710"/>
      <c r="N21710"/>
      <c r="O21710" s="24"/>
      <c r="P21710"/>
      <c r="Q21710" s="24"/>
      <c r="R21710"/>
      <c r="S21710"/>
      <c r="T21710"/>
      <c r="U21710"/>
      <c r="X21710" s="60"/>
    </row>
    <row r="21711" spans="7:24" ht="15" customHeight="1">
      <c r="G21711"/>
      <c r="I21711"/>
      <c r="N21711"/>
      <c r="O21711" s="24"/>
      <c r="P21711"/>
      <c r="Q21711" s="24"/>
      <c r="R21711"/>
      <c r="S21711"/>
      <c r="T21711"/>
      <c r="U21711"/>
      <c r="X21711" s="60"/>
    </row>
    <row r="21712" spans="7:24" ht="15" customHeight="1">
      <c r="G21712"/>
      <c r="I21712"/>
      <c r="N21712"/>
      <c r="O21712" s="24"/>
      <c r="P21712"/>
      <c r="Q21712" s="24"/>
      <c r="R21712"/>
      <c r="S21712"/>
      <c r="T21712"/>
      <c r="U21712"/>
      <c r="X21712" s="60"/>
    </row>
    <row r="21713" spans="7:24" ht="15" customHeight="1">
      <c r="G21713"/>
      <c r="I21713"/>
      <c r="N21713"/>
      <c r="O21713" s="24"/>
      <c r="P21713"/>
      <c r="Q21713" s="24"/>
      <c r="R21713"/>
      <c r="S21713"/>
      <c r="T21713"/>
      <c r="U21713"/>
      <c r="X21713" s="60"/>
    </row>
    <row r="21714" spans="7:24" ht="15" customHeight="1">
      <c r="G21714"/>
      <c r="I21714"/>
      <c r="N21714"/>
      <c r="O21714" s="24"/>
      <c r="P21714"/>
      <c r="Q21714" s="24"/>
      <c r="R21714"/>
      <c r="S21714"/>
      <c r="T21714"/>
      <c r="U21714"/>
      <c r="X21714" s="60"/>
    </row>
    <row r="21715" spans="7:24" ht="15" customHeight="1">
      <c r="G21715"/>
      <c r="I21715"/>
      <c r="N21715"/>
      <c r="O21715" s="24"/>
      <c r="P21715"/>
      <c r="Q21715" s="24"/>
      <c r="R21715"/>
      <c r="S21715"/>
      <c r="T21715"/>
      <c r="U21715"/>
      <c r="X21715" s="60"/>
    </row>
    <row r="21716" spans="7:24" ht="15" customHeight="1">
      <c r="G21716"/>
      <c r="I21716"/>
      <c r="N21716"/>
      <c r="O21716" s="24"/>
      <c r="P21716"/>
      <c r="Q21716" s="24"/>
      <c r="R21716"/>
      <c r="S21716"/>
      <c r="T21716"/>
      <c r="U21716"/>
      <c r="X21716" s="60"/>
    </row>
    <row r="21717" spans="7:24" ht="15" customHeight="1">
      <c r="G21717"/>
      <c r="I21717"/>
      <c r="N21717"/>
      <c r="O21717" s="24"/>
      <c r="P21717"/>
      <c r="Q21717" s="24"/>
      <c r="R21717"/>
      <c r="S21717"/>
      <c r="T21717"/>
      <c r="U21717"/>
      <c r="X21717" s="60"/>
    </row>
    <row r="21718" spans="7:24" ht="15" customHeight="1">
      <c r="G21718"/>
      <c r="I21718"/>
      <c r="N21718"/>
      <c r="O21718" s="24"/>
      <c r="P21718"/>
      <c r="Q21718" s="24"/>
      <c r="R21718"/>
      <c r="S21718"/>
      <c r="T21718"/>
      <c r="U21718"/>
      <c r="X21718" s="60"/>
    </row>
    <row r="21719" spans="7:24" ht="15" customHeight="1">
      <c r="G21719"/>
      <c r="I21719"/>
      <c r="N21719"/>
      <c r="O21719" s="24"/>
      <c r="P21719"/>
      <c r="Q21719" s="24"/>
      <c r="R21719"/>
      <c r="S21719"/>
      <c r="T21719"/>
      <c r="U21719"/>
      <c r="X21719" s="60"/>
    </row>
    <row r="21720" spans="7:24" ht="15" customHeight="1">
      <c r="G21720"/>
      <c r="I21720"/>
      <c r="N21720"/>
      <c r="O21720" s="24"/>
      <c r="P21720"/>
      <c r="Q21720" s="24"/>
      <c r="R21720"/>
      <c r="S21720"/>
      <c r="T21720"/>
      <c r="U21720"/>
      <c r="X21720" s="60"/>
    </row>
    <row r="21721" spans="7:24" ht="15" customHeight="1">
      <c r="G21721"/>
      <c r="I21721"/>
      <c r="N21721"/>
      <c r="O21721" s="24"/>
      <c r="P21721"/>
      <c r="Q21721" s="24"/>
      <c r="R21721"/>
      <c r="S21721"/>
      <c r="T21721"/>
      <c r="U21721"/>
      <c r="X21721" s="60"/>
    </row>
    <row r="21722" spans="7:24" ht="15" customHeight="1">
      <c r="G21722"/>
      <c r="I21722"/>
      <c r="N21722"/>
      <c r="O21722" s="24"/>
      <c r="P21722"/>
      <c r="Q21722" s="24"/>
      <c r="R21722"/>
      <c r="S21722"/>
      <c r="T21722"/>
      <c r="U21722"/>
      <c r="X21722" s="60"/>
    </row>
    <row r="21723" spans="7:24" ht="15" customHeight="1">
      <c r="G21723"/>
      <c r="I21723"/>
      <c r="N21723"/>
      <c r="O21723" s="24"/>
      <c r="P21723"/>
      <c r="Q21723" s="24"/>
      <c r="R21723"/>
      <c r="S21723"/>
      <c r="T21723"/>
      <c r="U21723"/>
      <c r="X21723" s="60"/>
    </row>
    <row r="21724" spans="7:24" ht="15" customHeight="1">
      <c r="G21724"/>
      <c r="I21724"/>
      <c r="N21724"/>
      <c r="O21724" s="24"/>
      <c r="P21724"/>
      <c r="Q21724" s="24"/>
      <c r="R21724"/>
      <c r="S21724"/>
      <c r="T21724"/>
      <c r="U21724"/>
      <c r="X21724" s="60"/>
    </row>
    <row r="21725" spans="7:24" ht="15" customHeight="1">
      <c r="G21725"/>
      <c r="I21725"/>
      <c r="N21725"/>
      <c r="O21725" s="24"/>
      <c r="P21725"/>
      <c r="Q21725" s="24"/>
      <c r="R21725"/>
      <c r="S21725"/>
      <c r="T21725"/>
      <c r="U21725"/>
      <c r="X21725" s="60"/>
    </row>
    <row r="21726" spans="7:24" ht="15" customHeight="1">
      <c r="G21726"/>
      <c r="I21726"/>
      <c r="N21726"/>
      <c r="O21726" s="24"/>
      <c r="P21726"/>
      <c r="Q21726" s="24"/>
      <c r="R21726"/>
      <c r="S21726"/>
      <c r="T21726"/>
      <c r="U21726"/>
      <c r="X21726" s="60"/>
    </row>
    <row r="21727" spans="7:24" ht="15" customHeight="1">
      <c r="G21727"/>
      <c r="I21727"/>
      <c r="N21727"/>
      <c r="O21727" s="24"/>
      <c r="P21727"/>
      <c r="Q21727" s="24"/>
      <c r="R21727"/>
      <c r="S21727"/>
      <c r="T21727"/>
      <c r="U21727"/>
      <c r="X21727" s="60"/>
    </row>
    <row r="21728" spans="7:24" ht="15" customHeight="1">
      <c r="G21728"/>
      <c r="I21728"/>
      <c r="N21728"/>
      <c r="O21728" s="24"/>
      <c r="P21728"/>
      <c r="Q21728" s="24"/>
      <c r="R21728"/>
      <c r="S21728"/>
      <c r="T21728"/>
      <c r="U21728"/>
      <c r="X21728" s="60"/>
    </row>
    <row r="21729" spans="7:24" ht="15" customHeight="1">
      <c r="G21729"/>
      <c r="I21729"/>
      <c r="N21729"/>
      <c r="O21729" s="24"/>
      <c r="P21729"/>
      <c r="Q21729" s="24"/>
      <c r="R21729"/>
      <c r="S21729"/>
      <c r="T21729"/>
      <c r="U21729"/>
      <c r="X21729" s="60"/>
    </row>
    <row r="21730" spans="7:24" ht="15" customHeight="1">
      <c r="G21730"/>
      <c r="I21730"/>
      <c r="N21730"/>
      <c r="O21730" s="24"/>
      <c r="P21730"/>
      <c r="Q21730" s="24"/>
      <c r="R21730"/>
      <c r="S21730"/>
      <c r="T21730"/>
      <c r="U21730"/>
      <c r="X21730" s="60"/>
    </row>
    <row r="21731" spans="7:24" ht="15" customHeight="1">
      <c r="G21731"/>
      <c r="I21731"/>
      <c r="N21731"/>
      <c r="O21731" s="24"/>
      <c r="P21731"/>
      <c r="Q21731" s="24"/>
      <c r="R21731"/>
      <c r="S21731"/>
      <c r="T21731"/>
      <c r="U21731"/>
      <c r="X21731" s="60"/>
    </row>
    <row r="21732" spans="7:24" ht="15" customHeight="1">
      <c r="G21732"/>
      <c r="I21732"/>
      <c r="N21732"/>
      <c r="O21732" s="24"/>
      <c r="P21732"/>
      <c r="Q21732" s="24"/>
      <c r="R21732"/>
      <c r="S21732"/>
      <c r="T21732"/>
      <c r="U21732"/>
      <c r="X21732" s="60"/>
    </row>
    <row r="21733" spans="7:24" ht="15" customHeight="1">
      <c r="G21733"/>
      <c r="I21733"/>
      <c r="N21733"/>
      <c r="O21733" s="24"/>
      <c r="P21733"/>
      <c r="Q21733" s="24"/>
      <c r="R21733"/>
      <c r="S21733"/>
      <c r="T21733"/>
      <c r="U21733"/>
      <c r="X21733" s="60"/>
    </row>
    <row r="21734" spans="7:24" ht="15" customHeight="1">
      <c r="G21734"/>
      <c r="I21734"/>
      <c r="N21734"/>
      <c r="O21734" s="24"/>
      <c r="P21734"/>
      <c r="Q21734" s="24"/>
      <c r="R21734"/>
      <c r="S21734"/>
      <c r="T21734"/>
      <c r="U21734"/>
      <c r="X21734" s="60"/>
    </row>
    <row r="21735" spans="7:24" ht="15" customHeight="1">
      <c r="G21735"/>
      <c r="I21735"/>
      <c r="N21735"/>
      <c r="O21735" s="24"/>
      <c r="P21735"/>
      <c r="Q21735" s="24"/>
      <c r="R21735"/>
      <c r="S21735"/>
      <c r="T21735"/>
      <c r="U21735"/>
      <c r="X21735" s="60"/>
    </row>
    <row r="21736" spans="7:24" ht="15" customHeight="1">
      <c r="G21736"/>
      <c r="I21736"/>
      <c r="N21736"/>
      <c r="O21736" s="24"/>
      <c r="P21736"/>
      <c r="Q21736" s="24"/>
      <c r="R21736"/>
      <c r="S21736"/>
      <c r="T21736"/>
      <c r="U21736"/>
      <c r="X21736" s="60"/>
    </row>
    <row r="21737" spans="7:24" ht="15" customHeight="1">
      <c r="G21737"/>
      <c r="I21737"/>
      <c r="N21737"/>
      <c r="O21737" s="24"/>
      <c r="P21737"/>
      <c r="Q21737" s="24"/>
      <c r="R21737"/>
      <c r="S21737"/>
      <c r="T21737"/>
      <c r="U21737"/>
      <c r="X21737" s="60"/>
    </row>
    <row r="21738" spans="7:24" ht="15" customHeight="1">
      <c r="G21738"/>
      <c r="I21738"/>
      <c r="N21738"/>
      <c r="O21738" s="24"/>
      <c r="P21738"/>
      <c r="Q21738" s="24"/>
      <c r="R21738"/>
      <c r="S21738"/>
      <c r="T21738"/>
      <c r="U21738"/>
      <c r="X21738" s="60"/>
    </row>
    <row r="21739" spans="7:24" ht="15" customHeight="1">
      <c r="G21739"/>
      <c r="I21739"/>
      <c r="N21739"/>
      <c r="O21739" s="24"/>
      <c r="P21739"/>
      <c r="Q21739" s="24"/>
      <c r="R21739"/>
      <c r="S21739"/>
      <c r="T21739"/>
      <c r="U21739"/>
      <c r="X21739" s="60"/>
    </row>
    <row r="21740" spans="7:24" ht="15" customHeight="1">
      <c r="G21740"/>
      <c r="I21740"/>
      <c r="N21740"/>
      <c r="O21740" s="24"/>
      <c r="P21740"/>
      <c r="Q21740" s="24"/>
      <c r="R21740"/>
      <c r="S21740"/>
      <c r="T21740"/>
      <c r="U21740"/>
      <c r="X21740" s="60"/>
    </row>
    <row r="21741" spans="7:24" ht="15" customHeight="1">
      <c r="G21741"/>
      <c r="I21741"/>
      <c r="N21741"/>
      <c r="O21741" s="24"/>
      <c r="P21741"/>
      <c r="Q21741" s="24"/>
      <c r="R21741"/>
      <c r="S21741"/>
      <c r="T21741"/>
      <c r="U21741"/>
      <c r="X21741" s="60"/>
    </row>
    <row r="21742" spans="7:24" ht="15" customHeight="1">
      <c r="G21742"/>
      <c r="I21742"/>
      <c r="N21742"/>
      <c r="O21742" s="24"/>
      <c r="P21742"/>
      <c r="Q21742" s="24"/>
      <c r="R21742"/>
      <c r="S21742"/>
      <c r="T21742"/>
      <c r="U21742"/>
      <c r="X21742" s="60"/>
    </row>
    <row r="21743" spans="7:24" ht="15" customHeight="1">
      <c r="G21743"/>
      <c r="I21743"/>
      <c r="N21743"/>
      <c r="O21743" s="24"/>
      <c r="P21743"/>
      <c r="Q21743" s="24"/>
      <c r="R21743"/>
      <c r="S21743"/>
      <c r="T21743"/>
      <c r="U21743"/>
      <c r="X21743" s="60"/>
    </row>
    <row r="21744" spans="7:24" ht="15" customHeight="1">
      <c r="G21744"/>
      <c r="I21744"/>
      <c r="N21744"/>
      <c r="O21744" s="24"/>
      <c r="P21744"/>
      <c r="Q21744" s="24"/>
      <c r="R21744"/>
      <c r="S21744"/>
      <c r="T21744"/>
      <c r="U21744"/>
      <c r="X21744" s="60"/>
    </row>
    <row r="21745" spans="7:24" ht="15" customHeight="1">
      <c r="G21745"/>
      <c r="I21745"/>
      <c r="N21745"/>
      <c r="O21745" s="24"/>
      <c r="P21745"/>
      <c r="Q21745" s="24"/>
      <c r="R21745"/>
      <c r="S21745"/>
      <c r="T21745"/>
      <c r="U21745"/>
      <c r="X21745" s="60"/>
    </row>
    <row r="21746" spans="7:24" ht="15" customHeight="1">
      <c r="G21746"/>
      <c r="I21746"/>
      <c r="N21746"/>
      <c r="O21746" s="24"/>
      <c r="P21746"/>
      <c r="Q21746" s="24"/>
      <c r="R21746"/>
      <c r="S21746"/>
      <c r="T21746"/>
      <c r="U21746"/>
      <c r="X21746" s="60"/>
    </row>
    <row r="21747" spans="7:24" ht="15" customHeight="1">
      <c r="G21747"/>
      <c r="I21747"/>
      <c r="N21747"/>
      <c r="O21747" s="24"/>
      <c r="P21747"/>
      <c r="Q21747" s="24"/>
      <c r="R21747"/>
      <c r="S21747"/>
      <c r="T21747"/>
      <c r="U21747"/>
      <c r="X21747" s="60"/>
    </row>
    <row r="21748" spans="7:24" ht="15" customHeight="1">
      <c r="G21748"/>
      <c r="I21748"/>
      <c r="N21748"/>
      <c r="O21748" s="24"/>
      <c r="P21748"/>
      <c r="Q21748" s="24"/>
      <c r="R21748"/>
      <c r="S21748"/>
      <c r="T21748"/>
      <c r="U21748"/>
      <c r="X21748" s="60"/>
    </row>
    <row r="21749" spans="7:24" ht="15" customHeight="1">
      <c r="G21749"/>
      <c r="I21749"/>
      <c r="N21749"/>
      <c r="O21749" s="24"/>
      <c r="P21749"/>
      <c r="Q21749" s="24"/>
      <c r="R21749"/>
      <c r="S21749"/>
      <c r="T21749"/>
      <c r="U21749"/>
      <c r="X21749" s="60"/>
    </row>
    <row r="21750" spans="7:24" ht="15" customHeight="1">
      <c r="G21750"/>
      <c r="I21750"/>
      <c r="N21750"/>
      <c r="O21750" s="24"/>
      <c r="P21750"/>
      <c r="Q21750" s="24"/>
      <c r="R21750"/>
      <c r="S21750"/>
      <c r="T21750"/>
      <c r="U21750"/>
      <c r="X21750" s="60"/>
    </row>
    <row r="21751" spans="7:24" ht="15" customHeight="1">
      <c r="G21751"/>
      <c r="I21751"/>
      <c r="N21751"/>
      <c r="O21751" s="24"/>
      <c r="P21751"/>
      <c r="Q21751" s="24"/>
      <c r="R21751"/>
      <c r="S21751"/>
      <c r="T21751"/>
      <c r="U21751"/>
      <c r="X21751" s="60"/>
    </row>
    <row r="21752" spans="7:24" ht="15" customHeight="1">
      <c r="G21752"/>
      <c r="I21752"/>
      <c r="N21752"/>
      <c r="O21752" s="24"/>
      <c r="P21752"/>
      <c r="Q21752" s="24"/>
      <c r="R21752"/>
      <c r="S21752"/>
      <c r="T21752"/>
      <c r="U21752"/>
      <c r="X21752" s="60"/>
    </row>
    <row r="21753" spans="7:24" ht="15" customHeight="1">
      <c r="G21753"/>
      <c r="I21753"/>
      <c r="N21753"/>
      <c r="O21753" s="24"/>
      <c r="P21753"/>
      <c r="Q21753" s="24"/>
      <c r="R21753"/>
      <c r="S21753"/>
      <c r="T21753"/>
      <c r="U21753"/>
      <c r="X21753" s="60"/>
    </row>
    <row r="21754" spans="7:24" ht="15" customHeight="1">
      <c r="G21754"/>
      <c r="I21754"/>
      <c r="N21754"/>
      <c r="O21754" s="24"/>
      <c r="P21754"/>
      <c r="Q21754" s="24"/>
      <c r="R21754"/>
      <c r="S21754"/>
      <c r="T21754"/>
      <c r="U21754"/>
      <c r="X21754" s="60"/>
    </row>
    <row r="21755" spans="7:24" ht="15" customHeight="1">
      <c r="G21755"/>
      <c r="I21755"/>
      <c r="N21755"/>
      <c r="O21755" s="24"/>
      <c r="P21755"/>
      <c r="Q21755" s="24"/>
      <c r="R21755"/>
      <c r="S21755"/>
      <c r="T21755"/>
      <c r="U21755"/>
      <c r="X21755" s="60"/>
    </row>
    <row r="21756" spans="7:24" ht="15" customHeight="1">
      <c r="G21756"/>
      <c r="I21756"/>
      <c r="N21756"/>
      <c r="O21756" s="24"/>
      <c r="P21756"/>
      <c r="Q21756" s="24"/>
      <c r="R21756"/>
      <c r="S21756"/>
      <c r="T21756"/>
      <c r="U21756"/>
      <c r="X21756" s="60"/>
    </row>
    <row r="21757" spans="7:24" ht="15" customHeight="1">
      <c r="G21757"/>
      <c r="I21757"/>
      <c r="N21757"/>
      <c r="O21757" s="24"/>
      <c r="P21757"/>
      <c r="Q21757" s="24"/>
      <c r="R21757"/>
      <c r="S21757"/>
      <c r="T21757"/>
      <c r="U21757"/>
      <c r="X21757" s="60"/>
    </row>
    <row r="21758" spans="7:24" ht="15" customHeight="1">
      <c r="G21758"/>
      <c r="I21758"/>
      <c r="N21758"/>
      <c r="O21758" s="24"/>
      <c r="P21758"/>
      <c r="Q21758" s="24"/>
      <c r="R21758"/>
      <c r="S21758"/>
      <c r="T21758"/>
      <c r="U21758"/>
      <c r="X21758" s="60"/>
    </row>
    <row r="21759" spans="7:24" ht="15" customHeight="1">
      <c r="G21759"/>
      <c r="I21759"/>
      <c r="N21759"/>
      <c r="O21759" s="24"/>
      <c r="P21759"/>
      <c r="Q21759" s="24"/>
      <c r="R21759"/>
      <c r="S21759"/>
      <c r="T21759"/>
      <c r="U21759"/>
      <c r="X21759" s="60"/>
    </row>
    <row r="21760" spans="7:24" ht="15" customHeight="1">
      <c r="G21760"/>
      <c r="I21760"/>
      <c r="N21760"/>
      <c r="O21760" s="24"/>
      <c r="P21760"/>
      <c r="Q21760" s="24"/>
      <c r="R21760"/>
      <c r="S21760"/>
      <c r="T21760"/>
      <c r="U21760"/>
      <c r="X21760" s="60"/>
    </row>
    <row r="21761" spans="7:24" ht="15" customHeight="1">
      <c r="G21761"/>
      <c r="I21761"/>
      <c r="N21761"/>
      <c r="O21761" s="24"/>
      <c r="P21761"/>
      <c r="Q21761" s="24"/>
      <c r="R21761"/>
      <c r="S21761"/>
      <c r="T21761"/>
      <c r="U21761"/>
      <c r="X21761" s="60"/>
    </row>
    <row r="21762" spans="7:24" ht="15" customHeight="1">
      <c r="G21762"/>
      <c r="I21762"/>
      <c r="N21762"/>
      <c r="O21762" s="24"/>
      <c r="P21762"/>
      <c r="Q21762" s="24"/>
      <c r="R21762"/>
      <c r="S21762"/>
      <c r="T21762"/>
      <c r="U21762"/>
      <c r="X21762" s="60"/>
    </row>
    <row r="21763" spans="7:24" ht="15" customHeight="1">
      <c r="G21763"/>
      <c r="I21763"/>
      <c r="N21763"/>
      <c r="O21763" s="24"/>
      <c r="P21763"/>
      <c r="Q21763" s="24"/>
      <c r="R21763"/>
      <c r="S21763"/>
      <c r="T21763"/>
      <c r="U21763"/>
      <c r="X21763" s="60"/>
    </row>
    <row r="21764" spans="7:24" ht="15" customHeight="1">
      <c r="G21764"/>
      <c r="I21764"/>
      <c r="N21764"/>
      <c r="O21764" s="24"/>
      <c r="P21764"/>
      <c r="Q21764" s="24"/>
      <c r="R21764"/>
      <c r="S21764"/>
      <c r="T21764"/>
      <c r="U21764"/>
      <c r="X21764" s="60"/>
    </row>
    <row r="21765" spans="7:24" ht="15" customHeight="1">
      <c r="G21765"/>
      <c r="I21765"/>
      <c r="N21765"/>
      <c r="O21765" s="24"/>
      <c r="P21765"/>
      <c r="Q21765" s="24"/>
      <c r="R21765"/>
      <c r="S21765"/>
      <c r="T21765"/>
      <c r="U21765"/>
      <c r="X21765" s="60"/>
    </row>
    <row r="21766" spans="7:24" ht="15" customHeight="1">
      <c r="G21766"/>
      <c r="I21766"/>
      <c r="N21766"/>
      <c r="O21766" s="24"/>
      <c r="P21766"/>
      <c r="Q21766" s="24"/>
      <c r="R21766"/>
      <c r="S21766"/>
      <c r="T21766"/>
      <c r="U21766"/>
      <c r="X21766" s="60"/>
    </row>
    <row r="21767" spans="7:24" ht="15" customHeight="1">
      <c r="G21767"/>
      <c r="I21767"/>
      <c r="N21767"/>
      <c r="O21767" s="24"/>
      <c r="P21767"/>
      <c r="Q21767" s="24"/>
      <c r="R21767"/>
      <c r="S21767"/>
      <c r="T21767"/>
      <c r="U21767"/>
      <c r="X21767" s="60"/>
    </row>
    <row r="21768" spans="7:24" ht="15" customHeight="1">
      <c r="G21768"/>
      <c r="I21768"/>
      <c r="N21768"/>
      <c r="O21768" s="24"/>
      <c r="P21768"/>
      <c r="Q21768" s="24"/>
      <c r="R21768"/>
      <c r="S21768"/>
      <c r="T21768"/>
      <c r="U21768"/>
      <c r="X21768" s="60"/>
    </row>
    <row r="21769" spans="7:24" ht="15" customHeight="1">
      <c r="G21769"/>
      <c r="I21769"/>
      <c r="N21769"/>
      <c r="O21769" s="24"/>
      <c r="P21769"/>
      <c r="Q21769" s="24"/>
      <c r="R21769"/>
      <c r="S21769"/>
      <c r="T21769"/>
      <c r="U21769"/>
      <c r="X21769" s="60"/>
    </row>
    <row r="21770" spans="7:24" ht="15" customHeight="1">
      <c r="G21770"/>
      <c r="I21770"/>
      <c r="N21770"/>
      <c r="O21770" s="24"/>
      <c r="P21770"/>
      <c r="Q21770" s="24"/>
      <c r="R21770"/>
      <c r="S21770"/>
      <c r="T21770"/>
      <c r="U21770"/>
      <c r="X21770" s="60"/>
    </row>
    <row r="21771" spans="7:24" ht="15" customHeight="1">
      <c r="G21771"/>
      <c r="I21771"/>
      <c r="N21771"/>
      <c r="O21771" s="24"/>
      <c r="P21771"/>
      <c r="Q21771" s="24"/>
      <c r="R21771"/>
      <c r="S21771"/>
      <c r="T21771"/>
      <c r="U21771"/>
      <c r="X21771" s="60"/>
    </row>
    <row r="21772" spans="7:24" ht="15" customHeight="1">
      <c r="G21772"/>
      <c r="I21772"/>
      <c r="N21772"/>
      <c r="O21772" s="24"/>
      <c r="P21772"/>
      <c r="Q21772" s="24"/>
      <c r="R21772"/>
      <c r="S21772"/>
      <c r="T21772"/>
      <c r="U21772"/>
      <c r="X21772" s="60"/>
    </row>
    <row r="21773" spans="7:24" ht="15" customHeight="1">
      <c r="G21773"/>
      <c r="I21773"/>
      <c r="N21773"/>
      <c r="O21773" s="24"/>
      <c r="P21773"/>
      <c r="Q21773" s="24"/>
      <c r="R21773"/>
      <c r="S21773"/>
      <c r="T21773"/>
      <c r="U21773"/>
      <c r="X21773" s="60"/>
    </row>
    <row r="21774" spans="7:24" ht="15" customHeight="1">
      <c r="G21774"/>
      <c r="I21774"/>
      <c r="N21774"/>
      <c r="O21774" s="24"/>
      <c r="P21774"/>
      <c r="Q21774" s="24"/>
      <c r="R21774"/>
      <c r="S21774"/>
      <c r="T21774"/>
      <c r="U21774"/>
      <c r="X21774" s="60"/>
    </row>
    <row r="21775" spans="7:24" ht="15" customHeight="1">
      <c r="G21775"/>
      <c r="I21775"/>
      <c r="N21775"/>
      <c r="O21775" s="24"/>
      <c r="P21775"/>
      <c r="Q21775" s="24"/>
      <c r="R21775"/>
      <c r="S21775"/>
      <c r="T21775"/>
      <c r="U21775"/>
      <c r="X21775" s="60"/>
    </row>
    <row r="21776" spans="7:24" ht="15" customHeight="1">
      <c r="G21776"/>
      <c r="I21776"/>
      <c r="N21776"/>
      <c r="O21776" s="24"/>
      <c r="P21776"/>
      <c r="Q21776" s="24"/>
      <c r="R21776"/>
      <c r="S21776"/>
      <c r="T21776"/>
      <c r="U21776"/>
      <c r="X21776" s="60"/>
    </row>
    <row r="21777" spans="7:24" ht="15" customHeight="1">
      <c r="G21777"/>
      <c r="I21777"/>
      <c r="N21777"/>
      <c r="O21777" s="24"/>
      <c r="P21777"/>
      <c r="Q21777" s="24"/>
      <c r="R21777"/>
      <c r="S21777"/>
      <c r="T21777"/>
      <c r="U21777"/>
      <c r="X21777" s="60"/>
    </row>
    <row r="21778" spans="7:24" ht="15" customHeight="1">
      <c r="G21778"/>
      <c r="I21778"/>
      <c r="N21778"/>
      <c r="O21778" s="24"/>
      <c r="P21778"/>
      <c r="Q21778" s="24"/>
      <c r="R21778"/>
      <c r="S21778"/>
      <c r="T21778"/>
      <c r="U21778"/>
      <c r="X21778" s="60"/>
    </row>
    <row r="21779" spans="7:24" ht="15" customHeight="1">
      <c r="G21779"/>
      <c r="I21779"/>
      <c r="N21779"/>
      <c r="O21779" s="24"/>
      <c r="P21779"/>
      <c r="Q21779" s="24"/>
      <c r="R21779"/>
      <c r="S21779"/>
      <c r="T21779"/>
      <c r="U21779"/>
      <c r="X21779" s="60"/>
    </row>
    <row r="21780" spans="7:24" ht="15" customHeight="1">
      <c r="G21780"/>
      <c r="I21780"/>
      <c r="N21780"/>
      <c r="O21780" s="24"/>
      <c r="P21780"/>
      <c r="Q21780" s="24"/>
      <c r="R21780"/>
      <c r="S21780"/>
      <c r="T21780"/>
      <c r="U21780"/>
      <c r="X21780" s="60"/>
    </row>
    <row r="21781" spans="7:24" ht="15" customHeight="1">
      <c r="G21781"/>
      <c r="I21781"/>
      <c r="N21781"/>
      <c r="O21781" s="24"/>
      <c r="P21781"/>
      <c r="Q21781" s="24"/>
      <c r="R21781"/>
      <c r="S21781"/>
      <c r="T21781"/>
      <c r="U21781"/>
      <c r="X21781" s="60"/>
    </row>
    <row r="21782" spans="7:24" ht="15" customHeight="1">
      <c r="G21782"/>
      <c r="I21782"/>
      <c r="N21782"/>
      <c r="O21782" s="24"/>
      <c r="P21782"/>
      <c r="Q21782" s="24"/>
      <c r="R21782"/>
      <c r="S21782"/>
      <c r="T21782"/>
      <c r="U21782"/>
      <c r="X21782" s="60"/>
    </row>
    <row r="21783" spans="7:24" ht="15" customHeight="1">
      <c r="G21783"/>
      <c r="I21783"/>
      <c r="N21783"/>
      <c r="O21783" s="24"/>
      <c r="P21783"/>
      <c r="Q21783" s="24"/>
      <c r="R21783"/>
      <c r="S21783"/>
      <c r="T21783"/>
      <c r="U21783"/>
      <c r="X21783" s="60"/>
    </row>
    <row r="21784" spans="7:24" ht="15" customHeight="1">
      <c r="G21784"/>
      <c r="I21784"/>
      <c r="N21784"/>
      <c r="O21784" s="24"/>
      <c r="P21784"/>
      <c r="Q21784" s="24"/>
      <c r="R21784"/>
      <c r="S21784"/>
      <c r="T21784"/>
      <c r="U21784"/>
      <c r="X21784" s="60"/>
    </row>
    <row r="21785" spans="7:24" ht="15" customHeight="1">
      <c r="G21785"/>
      <c r="I21785"/>
      <c r="N21785"/>
      <c r="O21785" s="24"/>
      <c r="P21785"/>
      <c r="Q21785" s="24"/>
      <c r="R21785"/>
      <c r="S21785"/>
      <c r="T21785"/>
      <c r="U21785"/>
      <c r="X21785" s="60"/>
    </row>
    <row r="21786" spans="7:24" ht="15" customHeight="1">
      <c r="G21786"/>
      <c r="I21786"/>
      <c r="N21786"/>
      <c r="O21786" s="24"/>
      <c r="P21786"/>
      <c r="Q21786" s="24"/>
      <c r="R21786"/>
      <c r="S21786"/>
      <c r="T21786"/>
      <c r="U21786"/>
      <c r="X21786" s="60"/>
    </row>
    <row r="21787" spans="7:24" ht="15" customHeight="1">
      <c r="G21787"/>
      <c r="I21787"/>
      <c r="N21787"/>
      <c r="O21787" s="24"/>
      <c r="P21787"/>
      <c r="Q21787" s="24"/>
      <c r="R21787"/>
      <c r="S21787"/>
      <c r="T21787"/>
      <c r="U21787"/>
      <c r="X21787" s="60"/>
    </row>
    <row r="21788" spans="7:24" ht="15" customHeight="1">
      <c r="G21788"/>
      <c r="I21788"/>
      <c r="N21788"/>
      <c r="O21788" s="24"/>
      <c r="P21788"/>
      <c r="Q21788" s="24"/>
      <c r="R21788"/>
      <c r="S21788"/>
      <c r="T21788"/>
      <c r="U21788"/>
      <c r="X21788" s="60"/>
    </row>
    <row r="21789" spans="7:24" ht="15" customHeight="1">
      <c r="G21789"/>
      <c r="I21789"/>
      <c r="N21789"/>
      <c r="O21789" s="24"/>
      <c r="P21789"/>
      <c r="Q21789" s="24"/>
      <c r="R21789"/>
      <c r="S21789"/>
      <c r="T21789"/>
      <c r="U21789"/>
      <c r="X21789" s="60"/>
    </row>
    <row r="21790" spans="7:24" ht="15" customHeight="1">
      <c r="G21790"/>
      <c r="I21790"/>
      <c r="N21790"/>
      <c r="O21790" s="24"/>
      <c r="P21790"/>
      <c r="Q21790" s="24"/>
      <c r="R21790"/>
      <c r="S21790"/>
      <c r="T21790"/>
      <c r="U21790"/>
      <c r="X21790" s="60"/>
    </row>
    <row r="21791" spans="7:24" ht="15" customHeight="1">
      <c r="G21791"/>
      <c r="I21791"/>
      <c r="N21791"/>
      <c r="O21791" s="24"/>
      <c r="P21791"/>
      <c r="Q21791" s="24"/>
      <c r="R21791"/>
      <c r="S21791"/>
      <c r="T21791"/>
      <c r="U21791"/>
      <c r="X21791" s="60"/>
    </row>
    <row r="21792" spans="7:24" ht="15" customHeight="1">
      <c r="G21792"/>
      <c r="I21792"/>
      <c r="N21792"/>
      <c r="O21792" s="24"/>
      <c r="P21792"/>
      <c r="Q21792" s="24"/>
      <c r="R21792"/>
      <c r="S21792"/>
      <c r="T21792"/>
      <c r="U21792"/>
      <c r="X21792" s="60"/>
    </row>
    <row r="21793" spans="7:24" ht="15" customHeight="1">
      <c r="G21793"/>
      <c r="I21793"/>
      <c r="N21793"/>
      <c r="O21793" s="24"/>
      <c r="P21793"/>
      <c r="Q21793" s="24"/>
      <c r="R21793"/>
      <c r="S21793"/>
      <c r="T21793"/>
      <c r="U21793"/>
      <c r="X21793" s="60"/>
    </row>
    <row r="21794" spans="7:24" ht="15" customHeight="1">
      <c r="G21794"/>
      <c r="I21794"/>
      <c r="N21794"/>
      <c r="O21794" s="24"/>
      <c r="P21794"/>
      <c r="Q21794" s="24"/>
      <c r="R21794"/>
      <c r="S21794"/>
      <c r="T21794"/>
      <c r="U21794"/>
      <c r="X21794" s="60"/>
    </row>
    <row r="21795" spans="7:24" ht="15" customHeight="1">
      <c r="G21795"/>
      <c r="I21795"/>
      <c r="N21795"/>
      <c r="O21795" s="24"/>
      <c r="P21795"/>
      <c r="Q21795" s="24"/>
      <c r="R21795"/>
      <c r="S21795"/>
      <c r="T21795"/>
      <c r="U21795"/>
      <c r="X21795" s="60"/>
    </row>
    <row r="21796" spans="7:24" ht="15" customHeight="1">
      <c r="G21796"/>
      <c r="I21796"/>
      <c r="N21796"/>
      <c r="O21796" s="24"/>
      <c r="P21796"/>
      <c r="Q21796" s="24"/>
      <c r="R21796"/>
      <c r="S21796"/>
      <c r="T21796"/>
      <c r="U21796"/>
      <c r="X21796" s="60"/>
    </row>
    <row r="21797" spans="7:24" ht="15" customHeight="1">
      <c r="G21797"/>
      <c r="I21797"/>
      <c r="N21797"/>
      <c r="O21797" s="24"/>
      <c r="P21797"/>
      <c r="Q21797" s="24"/>
      <c r="R21797"/>
      <c r="S21797"/>
      <c r="T21797"/>
      <c r="U21797"/>
      <c r="X21797" s="60"/>
    </row>
    <row r="21798" spans="7:24" ht="15" customHeight="1">
      <c r="G21798"/>
      <c r="I21798"/>
      <c r="N21798"/>
      <c r="O21798" s="24"/>
      <c r="P21798"/>
      <c r="Q21798" s="24"/>
      <c r="R21798"/>
      <c r="S21798"/>
      <c r="T21798"/>
      <c r="U21798"/>
      <c r="X21798" s="60"/>
    </row>
    <row r="21799" spans="7:24" ht="15" customHeight="1">
      <c r="G21799"/>
      <c r="I21799"/>
      <c r="N21799"/>
      <c r="O21799" s="24"/>
      <c r="P21799"/>
      <c r="Q21799" s="24"/>
      <c r="R21799"/>
      <c r="S21799"/>
      <c r="T21799"/>
      <c r="U21799"/>
      <c r="X21799" s="60"/>
    </row>
    <row r="21800" spans="7:24" ht="15" customHeight="1">
      <c r="G21800"/>
      <c r="I21800"/>
      <c r="N21800"/>
      <c r="O21800" s="24"/>
      <c r="P21800"/>
      <c r="Q21800" s="24"/>
      <c r="R21800"/>
      <c r="S21800"/>
      <c r="T21800"/>
      <c r="U21800"/>
      <c r="X21800" s="60"/>
    </row>
    <row r="21801" spans="7:24" ht="15" customHeight="1">
      <c r="G21801"/>
      <c r="I21801"/>
      <c r="N21801"/>
      <c r="O21801" s="24"/>
      <c r="P21801"/>
      <c r="Q21801" s="24"/>
      <c r="R21801"/>
      <c r="S21801"/>
      <c r="T21801"/>
      <c r="U21801"/>
      <c r="X21801" s="60"/>
    </row>
    <row r="21802" spans="7:24" ht="15" customHeight="1">
      <c r="G21802"/>
      <c r="I21802"/>
      <c r="N21802"/>
      <c r="O21802" s="24"/>
      <c r="P21802"/>
      <c r="Q21802" s="24"/>
      <c r="R21802"/>
      <c r="S21802"/>
      <c r="T21802"/>
      <c r="U21802"/>
      <c r="X21802" s="60"/>
    </row>
    <row r="21803" spans="7:24" ht="15" customHeight="1">
      <c r="G21803"/>
      <c r="I21803"/>
      <c r="N21803"/>
      <c r="O21803" s="24"/>
      <c r="P21803"/>
      <c r="Q21803" s="24"/>
      <c r="R21803"/>
      <c r="S21803"/>
      <c r="T21803"/>
      <c r="U21803"/>
      <c r="X21803" s="60"/>
    </row>
    <row r="21804" spans="7:24" ht="15" customHeight="1">
      <c r="G21804"/>
      <c r="I21804"/>
      <c r="N21804"/>
      <c r="O21804" s="24"/>
      <c r="P21804"/>
      <c r="Q21804" s="24"/>
      <c r="R21804"/>
      <c r="S21804"/>
      <c r="T21804"/>
      <c r="U21804"/>
      <c r="X21804" s="60"/>
    </row>
    <row r="21805" spans="7:24" ht="15" customHeight="1">
      <c r="G21805"/>
      <c r="I21805"/>
      <c r="N21805"/>
      <c r="O21805" s="24"/>
      <c r="P21805"/>
      <c r="Q21805" s="24"/>
      <c r="R21805"/>
      <c r="S21805"/>
      <c r="T21805"/>
      <c r="U21805"/>
      <c r="X21805" s="60"/>
    </row>
    <row r="21806" spans="7:24" ht="15" customHeight="1">
      <c r="G21806"/>
      <c r="I21806"/>
      <c r="N21806"/>
      <c r="O21806" s="24"/>
      <c r="P21806"/>
      <c r="Q21806" s="24"/>
      <c r="R21806"/>
      <c r="S21806"/>
      <c r="T21806"/>
      <c r="U21806"/>
      <c r="X21806" s="60"/>
    </row>
    <row r="21807" spans="7:24" ht="15" customHeight="1">
      <c r="G21807"/>
      <c r="I21807"/>
      <c r="N21807"/>
      <c r="O21807" s="24"/>
      <c r="P21807"/>
      <c r="Q21807" s="24"/>
      <c r="R21807"/>
      <c r="S21807"/>
      <c r="T21807"/>
      <c r="U21807"/>
      <c r="X21807" s="60"/>
    </row>
    <row r="21808" spans="7:24" ht="15" customHeight="1">
      <c r="G21808"/>
      <c r="I21808"/>
      <c r="N21808"/>
      <c r="O21808" s="24"/>
      <c r="P21808"/>
      <c r="Q21808" s="24"/>
      <c r="R21808"/>
      <c r="S21808"/>
      <c r="T21808"/>
      <c r="U21808"/>
      <c r="X21808" s="60"/>
    </row>
    <row r="21809" spans="7:24" ht="15" customHeight="1">
      <c r="G21809"/>
      <c r="I21809"/>
      <c r="N21809"/>
      <c r="O21809" s="24"/>
      <c r="P21809"/>
      <c r="Q21809" s="24"/>
      <c r="R21809"/>
      <c r="S21809"/>
      <c r="T21809"/>
      <c r="U21809"/>
      <c r="X21809" s="60"/>
    </row>
    <row r="21810" spans="7:24" ht="15" customHeight="1">
      <c r="G21810"/>
      <c r="I21810"/>
      <c r="N21810"/>
      <c r="O21810" s="24"/>
      <c r="P21810"/>
      <c r="Q21810" s="24"/>
      <c r="R21810"/>
      <c r="S21810"/>
      <c r="T21810"/>
      <c r="U21810"/>
      <c r="X21810" s="60"/>
    </row>
    <row r="21811" spans="7:24" ht="15" customHeight="1">
      <c r="G21811"/>
      <c r="I21811"/>
      <c r="N21811"/>
      <c r="O21811" s="24"/>
      <c r="P21811"/>
      <c r="Q21811" s="24"/>
      <c r="R21811"/>
      <c r="S21811"/>
      <c r="T21811"/>
      <c r="U21811"/>
      <c r="X21811" s="60"/>
    </row>
    <row r="21812" spans="7:24" ht="15" customHeight="1">
      <c r="G21812"/>
      <c r="I21812"/>
      <c r="N21812"/>
      <c r="O21812" s="24"/>
      <c r="P21812"/>
      <c r="Q21812" s="24"/>
      <c r="R21812"/>
      <c r="S21812"/>
      <c r="T21812"/>
      <c r="U21812"/>
      <c r="X21812" s="60"/>
    </row>
    <row r="21813" spans="7:24" ht="15" customHeight="1">
      <c r="G21813"/>
      <c r="I21813"/>
      <c r="N21813"/>
      <c r="O21813" s="24"/>
      <c r="P21813"/>
      <c r="Q21813" s="24"/>
      <c r="R21813"/>
      <c r="S21813"/>
      <c r="T21813"/>
      <c r="U21813"/>
      <c r="X21813" s="60"/>
    </row>
    <row r="21814" spans="7:24" ht="15" customHeight="1">
      <c r="G21814"/>
      <c r="I21814"/>
      <c r="N21814"/>
      <c r="O21814" s="24"/>
      <c r="P21814"/>
      <c r="Q21814" s="24"/>
      <c r="R21814"/>
      <c r="S21814"/>
      <c r="T21814"/>
      <c r="U21814"/>
      <c r="X21814" s="60"/>
    </row>
    <row r="21815" spans="7:24" ht="15" customHeight="1">
      <c r="G21815"/>
      <c r="I21815"/>
      <c r="N21815"/>
      <c r="O21815" s="24"/>
      <c r="P21815"/>
      <c r="Q21815" s="24"/>
      <c r="R21815"/>
      <c r="S21815"/>
      <c r="T21815"/>
      <c r="U21815"/>
      <c r="X21815" s="60"/>
    </row>
    <row r="21816" spans="7:24" ht="15" customHeight="1">
      <c r="G21816"/>
      <c r="I21816"/>
      <c r="N21816"/>
      <c r="O21816" s="24"/>
      <c r="P21816"/>
      <c r="Q21816" s="24"/>
      <c r="R21816"/>
      <c r="S21816"/>
      <c r="T21816"/>
      <c r="U21816"/>
      <c r="X21816" s="60"/>
    </row>
    <row r="21817" spans="7:24" ht="15" customHeight="1">
      <c r="G21817"/>
      <c r="I21817"/>
      <c r="N21817"/>
      <c r="O21817" s="24"/>
      <c r="P21817"/>
      <c r="Q21817" s="24"/>
      <c r="R21817"/>
      <c r="S21817"/>
      <c r="T21817"/>
      <c r="U21817"/>
      <c r="X21817" s="60"/>
    </row>
    <row r="21818" spans="7:24" ht="15" customHeight="1">
      <c r="G21818"/>
      <c r="I21818"/>
      <c r="N21818"/>
      <c r="O21818" s="24"/>
      <c r="P21818"/>
      <c r="Q21818" s="24"/>
      <c r="R21818"/>
      <c r="S21818"/>
      <c r="T21818"/>
      <c r="U21818"/>
      <c r="X21818" s="60"/>
    </row>
    <row r="21819" spans="7:24" ht="15" customHeight="1">
      <c r="G21819"/>
      <c r="I21819"/>
      <c r="N21819"/>
      <c r="O21819" s="24"/>
      <c r="P21819"/>
      <c r="Q21819" s="24"/>
      <c r="R21819"/>
      <c r="S21819"/>
      <c r="T21819"/>
      <c r="U21819"/>
      <c r="X21819" s="60"/>
    </row>
    <row r="21820" spans="7:24" ht="15" customHeight="1">
      <c r="G21820"/>
      <c r="I21820"/>
      <c r="N21820"/>
      <c r="O21820" s="24"/>
      <c r="P21820"/>
      <c r="Q21820" s="24"/>
      <c r="R21820"/>
      <c r="S21820"/>
      <c r="T21820"/>
      <c r="U21820"/>
      <c r="X21820" s="60"/>
    </row>
    <row r="21821" spans="7:24" ht="15" customHeight="1">
      <c r="G21821"/>
      <c r="I21821"/>
      <c r="N21821"/>
      <c r="O21821" s="24"/>
      <c r="P21821"/>
      <c r="Q21821" s="24"/>
      <c r="R21821"/>
      <c r="S21821"/>
      <c r="T21821"/>
      <c r="U21821"/>
      <c r="X21821" s="60"/>
    </row>
    <row r="21822" spans="7:24" ht="15" customHeight="1">
      <c r="G21822"/>
      <c r="I21822"/>
      <c r="N21822"/>
      <c r="O21822" s="24"/>
      <c r="P21822"/>
      <c r="Q21822" s="24"/>
      <c r="R21822"/>
      <c r="S21822"/>
      <c r="T21822"/>
      <c r="U21822"/>
      <c r="X21822" s="60"/>
    </row>
    <row r="21823" spans="7:24" ht="15" customHeight="1">
      <c r="G21823"/>
      <c r="I21823"/>
      <c r="N21823"/>
      <c r="O21823" s="24"/>
      <c r="P21823"/>
      <c r="Q21823" s="24"/>
      <c r="R21823"/>
      <c r="S21823"/>
      <c r="T21823"/>
      <c r="U21823"/>
      <c r="X21823" s="60"/>
    </row>
    <row r="21824" spans="7:24" ht="15" customHeight="1">
      <c r="G21824"/>
      <c r="I21824"/>
      <c r="N21824"/>
      <c r="O21824" s="24"/>
      <c r="P21824"/>
      <c r="Q21824" s="24"/>
      <c r="R21824"/>
      <c r="S21824"/>
      <c r="T21824"/>
      <c r="U21824"/>
      <c r="X21824" s="60"/>
    </row>
    <row r="21825" spans="7:24" ht="15" customHeight="1">
      <c r="G21825"/>
      <c r="I21825"/>
      <c r="N21825"/>
      <c r="O21825" s="24"/>
      <c r="P21825"/>
      <c r="Q21825" s="24"/>
      <c r="R21825"/>
      <c r="S21825"/>
      <c r="T21825"/>
      <c r="U21825"/>
      <c r="X21825" s="60"/>
    </row>
    <row r="21826" spans="7:24" ht="15" customHeight="1">
      <c r="G21826"/>
      <c r="I21826"/>
      <c r="N21826"/>
      <c r="O21826" s="24"/>
      <c r="P21826"/>
      <c r="Q21826" s="24"/>
      <c r="R21826"/>
      <c r="S21826"/>
      <c r="T21826"/>
      <c r="U21826"/>
      <c r="X21826" s="60"/>
    </row>
    <row r="21827" spans="7:24" ht="15" customHeight="1">
      <c r="G21827"/>
      <c r="I21827"/>
      <c r="N21827"/>
      <c r="O21827" s="24"/>
      <c r="P21827"/>
      <c r="Q21827" s="24"/>
      <c r="R21827"/>
      <c r="S21827"/>
      <c r="T21827"/>
      <c r="U21827"/>
      <c r="X21827" s="60"/>
    </row>
    <row r="21828" spans="7:24" ht="15" customHeight="1">
      <c r="G21828"/>
      <c r="I21828"/>
      <c r="N21828"/>
      <c r="O21828" s="24"/>
      <c r="P21828"/>
      <c r="Q21828" s="24"/>
      <c r="R21828"/>
      <c r="S21828"/>
      <c r="T21828"/>
      <c r="U21828"/>
      <c r="X21828" s="60"/>
    </row>
    <row r="21829" spans="7:24" ht="15" customHeight="1">
      <c r="G21829"/>
      <c r="I21829"/>
      <c r="N21829"/>
      <c r="O21829" s="24"/>
      <c r="P21829"/>
      <c r="Q21829" s="24"/>
      <c r="R21829"/>
      <c r="S21829"/>
      <c r="T21829"/>
      <c r="U21829"/>
      <c r="X21829" s="60"/>
    </row>
    <row r="21830" spans="7:24" ht="15" customHeight="1">
      <c r="G21830"/>
      <c r="I21830"/>
      <c r="N21830"/>
      <c r="O21830" s="24"/>
      <c r="P21830"/>
      <c r="Q21830" s="24"/>
      <c r="R21830"/>
      <c r="S21830"/>
      <c r="T21830"/>
      <c r="U21830"/>
      <c r="X21830" s="60"/>
    </row>
    <row r="21831" spans="7:24" ht="15" customHeight="1">
      <c r="G21831"/>
      <c r="I21831"/>
      <c r="N21831"/>
      <c r="O21831" s="24"/>
      <c r="P21831"/>
      <c r="Q21831" s="24"/>
      <c r="R21831"/>
      <c r="S21831"/>
      <c r="T21831"/>
      <c r="U21831"/>
      <c r="X21831" s="60"/>
    </row>
    <row r="21832" spans="7:24" ht="15" customHeight="1">
      <c r="G21832"/>
      <c r="I21832"/>
      <c r="N21832"/>
      <c r="O21832" s="24"/>
      <c r="P21832"/>
      <c r="Q21832" s="24"/>
      <c r="R21832"/>
      <c r="S21832"/>
      <c r="T21832"/>
      <c r="U21832"/>
      <c r="X21832" s="60"/>
    </row>
    <row r="21833" spans="7:24" ht="15" customHeight="1">
      <c r="G21833"/>
      <c r="I21833"/>
      <c r="N21833"/>
      <c r="O21833" s="24"/>
      <c r="P21833"/>
      <c r="Q21833" s="24"/>
      <c r="R21833"/>
      <c r="S21833"/>
      <c r="T21833"/>
      <c r="U21833"/>
      <c r="X21833" s="60"/>
    </row>
    <row r="21834" spans="7:24" ht="15" customHeight="1">
      <c r="G21834"/>
      <c r="I21834"/>
      <c r="N21834"/>
      <c r="O21834" s="24"/>
      <c r="P21834"/>
      <c r="Q21834" s="24"/>
      <c r="R21834"/>
      <c r="S21834"/>
      <c r="T21834"/>
      <c r="U21834"/>
      <c r="X21834" s="60"/>
    </row>
    <row r="21835" spans="7:24" ht="15" customHeight="1">
      <c r="G21835"/>
      <c r="I21835"/>
      <c r="N21835"/>
      <c r="O21835" s="24"/>
      <c r="P21835"/>
      <c r="Q21835" s="24"/>
      <c r="R21835"/>
      <c r="S21835"/>
      <c r="T21835"/>
      <c r="U21835"/>
      <c r="X21835" s="60"/>
    </row>
    <row r="21836" spans="7:24" ht="15" customHeight="1">
      <c r="G21836"/>
      <c r="I21836"/>
      <c r="N21836"/>
      <c r="O21836" s="24"/>
      <c r="P21836"/>
      <c r="Q21836" s="24"/>
      <c r="R21836"/>
      <c r="S21836"/>
      <c r="T21836"/>
      <c r="U21836"/>
      <c r="X21836" s="60"/>
    </row>
    <row r="21837" spans="7:24" ht="15" customHeight="1">
      <c r="G21837"/>
      <c r="I21837"/>
      <c r="N21837"/>
      <c r="O21837" s="24"/>
      <c r="P21837"/>
      <c r="Q21837" s="24"/>
      <c r="R21837"/>
      <c r="S21837"/>
      <c r="T21837"/>
      <c r="U21837"/>
      <c r="X21837" s="60"/>
    </row>
    <row r="21838" spans="7:24" ht="15" customHeight="1">
      <c r="G21838"/>
      <c r="I21838"/>
      <c r="N21838"/>
      <c r="O21838" s="24"/>
      <c r="P21838"/>
      <c r="Q21838" s="24"/>
      <c r="R21838"/>
      <c r="S21838"/>
      <c r="T21838"/>
      <c r="U21838"/>
      <c r="X21838" s="60"/>
    </row>
    <row r="21839" spans="7:24" ht="15" customHeight="1">
      <c r="G21839"/>
      <c r="I21839"/>
      <c r="N21839"/>
      <c r="O21839" s="24"/>
      <c r="P21839"/>
      <c r="Q21839" s="24"/>
      <c r="R21839"/>
      <c r="S21839"/>
      <c r="T21839"/>
      <c r="U21839"/>
      <c r="X21839" s="60"/>
    </row>
    <row r="21840" spans="7:24" ht="15" customHeight="1">
      <c r="G21840"/>
      <c r="I21840"/>
      <c r="N21840"/>
      <c r="O21840" s="24"/>
      <c r="P21840"/>
      <c r="Q21840" s="24"/>
      <c r="R21840"/>
      <c r="S21840"/>
      <c r="T21840"/>
      <c r="U21840"/>
      <c r="X21840" s="60"/>
    </row>
    <row r="21841" spans="7:24" ht="15" customHeight="1">
      <c r="G21841"/>
      <c r="I21841"/>
      <c r="N21841"/>
      <c r="O21841" s="24"/>
      <c r="P21841"/>
      <c r="Q21841" s="24"/>
      <c r="R21841"/>
      <c r="S21841"/>
      <c r="T21841"/>
      <c r="U21841"/>
      <c r="X21841" s="60"/>
    </row>
    <row r="21842" spans="7:24" ht="15" customHeight="1">
      <c r="G21842"/>
      <c r="I21842"/>
      <c r="N21842"/>
      <c r="O21842" s="24"/>
      <c r="P21842"/>
      <c r="Q21842" s="24"/>
      <c r="R21842"/>
      <c r="S21842"/>
      <c r="T21842"/>
      <c r="U21842"/>
      <c r="X21842" s="60"/>
    </row>
    <row r="21843" spans="7:24" ht="15" customHeight="1">
      <c r="G21843"/>
      <c r="I21843"/>
      <c r="N21843"/>
      <c r="O21843" s="24"/>
      <c r="P21843"/>
      <c r="Q21843" s="24"/>
      <c r="R21843"/>
      <c r="S21843"/>
      <c r="T21843"/>
      <c r="U21843"/>
      <c r="X21843" s="60"/>
    </row>
    <row r="21844" spans="7:24" ht="15" customHeight="1">
      <c r="G21844"/>
      <c r="I21844"/>
      <c r="N21844"/>
      <c r="O21844" s="24"/>
      <c r="P21844"/>
      <c r="Q21844" s="24"/>
      <c r="R21844"/>
      <c r="S21844"/>
      <c r="T21844"/>
      <c r="U21844"/>
      <c r="X21844" s="60"/>
    </row>
    <row r="21845" spans="7:24" ht="15" customHeight="1">
      <c r="G21845"/>
      <c r="I21845"/>
      <c r="N21845"/>
      <c r="O21845" s="24"/>
      <c r="P21845"/>
      <c r="Q21845" s="24"/>
      <c r="R21845"/>
      <c r="S21845"/>
      <c r="T21845"/>
      <c r="U21845"/>
      <c r="X21845" s="60"/>
    </row>
    <row r="21846" spans="7:24" ht="15" customHeight="1">
      <c r="G21846"/>
      <c r="I21846"/>
      <c r="N21846"/>
      <c r="O21846" s="24"/>
      <c r="P21846"/>
      <c r="Q21846" s="24"/>
      <c r="R21846"/>
      <c r="S21846"/>
      <c r="T21846"/>
      <c r="U21846"/>
      <c r="X21846" s="60"/>
    </row>
    <row r="21847" spans="7:24" ht="15" customHeight="1">
      <c r="G21847"/>
      <c r="I21847"/>
      <c r="N21847"/>
      <c r="O21847" s="24"/>
      <c r="P21847"/>
      <c r="Q21847" s="24"/>
      <c r="R21847"/>
      <c r="S21847"/>
      <c r="T21847"/>
      <c r="U21847"/>
      <c r="X21847" s="60"/>
    </row>
    <row r="21848" spans="7:24" ht="15" customHeight="1">
      <c r="G21848"/>
      <c r="I21848"/>
      <c r="N21848"/>
      <c r="O21848" s="24"/>
      <c r="P21848"/>
      <c r="Q21848" s="24"/>
      <c r="R21848"/>
      <c r="S21848"/>
      <c r="T21848"/>
      <c r="U21848"/>
      <c r="X21848" s="60"/>
    </row>
    <row r="21849" spans="7:24" ht="15" customHeight="1">
      <c r="G21849"/>
      <c r="I21849"/>
      <c r="N21849"/>
      <c r="O21849" s="24"/>
      <c r="P21849"/>
      <c r="Q21849" s="24"/>
      <c r="R21849"/>
      <c r="S21849"/>
      <c r="T21849"/>
      <c r="U21849"/>
      <c r="X21849" s="60"/>
    </row>
    <row r="21850" spans="7:24" ht="15" customHeight="1">
      <c r="G21850"/>
      <c r="I21850"/>
      <c r="N21850"/>
      <c r="O21850" s="24"/>
      <c r="P21850"/>
      <c r="Q21850" s="24"/>
      <c r="R21850"/>
      <c r="S21850"/>
      <c r="T21850"/>
      <c r="U21850"/>
      <c r="X21850" s="60"/>
    </row>
    <row r="21851" spans="7:24" ht="15" customHeight="1">
      <c r="G21851"/>
      <c r="I21851"/>
      <c r="N21851"/>
      <c r="O21851" s="24"/>
      <c r="P21851"/>
      <c r="Q21851" s="24"/>
      <c r="R21851"/>
      <c r="S21851"/>
      <c r="T21851"/>
      <c r="U21851"/>
      <c r="X21851" s="60"/>
    </row>
    <row r="21852" spans="7:24" ht="15" customHeight="1">
      <c r="G21852"/>
      <c r="I21852"/>
      <c r="N21852"/>
      <c r="O21852" s="24"/>
      <c r="P21852"/>
      <c r="Q21852" s="24"/>
      <c r="R21852"/>
      <c r="S21852"/>
      <c r="T21852"/>
      <c r="U21852"/>
      <c r="X21852" s="60"/>
    </row>
    <row r="21853" spans="7:24" ht="15" customHeight="1">
      <c r="G21853"/>
      <c r="I21853"/>
      <c r="N21853"/>
      <c r="O21853" s="24"/>
      <c r="P21853"/>
      <c r="Q21853" s="24"/>
      <c r="R21853"/>
      <c r="S21853"/>
      <c r="T21853"/>
      <c r="U21853"/>
      <c r="X21853" s="60"/>
    </row>
    <row r="21854" spans="7:24" ht="15" customHeight="1">
      <c r="G21854"/>
      <c r="I21854"/>
      <c r="N21854"/>
      <c r="O21854" s="24"/>
      <c r="P21854"/>
      <c r="Q21854" s="24"/>
      <c r="R21854"/>
      <c r="S21854"/>
      <c r="T21854"/>
      <c r="U21854"/>
      <c r="X21854" s="60"/>
    </row>
    <row r="21855" spans="7:24" ht="15" customHeight="1">
      <c r="G21855"/>
      <c r="I21855"/>
      <c r="N21855"/>
      <c r="O21855" s="24"/>
      <c r="P21855"/>
      <c r="Q21855" s="24"/>
      <c r="R21855"/>
      <c r="S21855"/>
      <c r="T21855"/>
      <c r="U21855"/>
      <c r="X21855" s="60"/>
    </row>
    <row r="21856" spans="7:24" ht="15" customHeight="1">
      <c r="G21856"/>
      <c r="I21856"/>
      <c r="N21856"/>
      <c r="O21856" s="24"/>
      <c r="P21856"/>
      <c r="Q21856" s="24"/>
      <c r="R21856"/>
      <c r="S21856"/>
      <c r="T21856"/>
      <c r="U21856"/>
      <c r="X21856" s="60"/>
    </row>
    <row r="21857" spans="7:24" ht="15" customHeight="1">
      <c r="G21857"/>
      <c r="I21857"/>
      <c r="N21857"/>
      <c r="O21857" s="24"/>
      <c r="P21857"/>
      <c r="Q21857" s="24"/>
      <c r="R21857"/>
      <c r="S21857"/>
      <c r="T21857"/>
      <c r="U21857"/>
      <c r="X21857" s="60"/>
    </row>
    <row r="21858" spans="7:24" ht="15" customHeight="1">
      <c r="G21858"/>
      <c r="I21858"/>
      <c r="N21858"/>
      <c r="O21858" s="24"/>
      <c r="P21858"/>
      <c r="Q21858" s="24"/>
      <c r="R21858"/>
      <c r="S21858"/>
      <c r="T21858"/>
      <c r="U21858"/>
      <c r="X21858" s="60"/>
    </row>
    <row r="21859" spans="7:24" ht="15" customHeight="1">
      <c r="G21859"/>
      <c r="I21859"/>
      <c r="N21859"/>
      <c r="O21859" s="24"/>
      <c r="P21859"/>
      <c r="Q21859" s="24"/>
      <c r="R21859"/>
      <c r="S21859"/>
      <c r="T21859"/>
      <c r="U21859"/>
      <c r="X21859" s="60"/>
    </row>
    <row r="21860" spans="7:24" ht="15" customHeight="1">
      <c r="G21860"/>
      <c r="I21860"/>
      <c r="N21860"/>
      <c r="O21860" s="24"/>
      <c r="P21860"/>
      <c r="Q21860" s="24"/>
      <c r="R21860"/>
      <c r="S21860"/>
      <c r="T21860"/>
      <c r="U21860"/>
      <c r="X21860" s="60"/>
    </row>
    <row r="21861" spans="7:24" ht="15" customHeight="1">
      <c r="G21861"/>
      <c r="I21861"/>
      <c r="N21861"/>
      <c r="O21861" s="24"/>
      <c r="P21861"/>
      <c r="Q21861" s="24"/>
      <c r="R21861"/>
      <c r="S21861"/>
      <c r="T21861"/>
      <c r="U21861"/>
      <c r="X21861" s="60"/>
    </row>
    <row r="21862" spans="7:24" ht="15" customHeight="1">
      <c r="G21862"/>
      <c r="I21862"/>
      <c r="N21862"/>
      <c r="O21862" s="24"/>
      <c r="P21862"/>
      <c r="Q21862" s="24"/>
      <c r="R21862"/>
      <c r="S21862"/>
      <c r="T21862"/>
      <c r="U21862"/>
      <c r="X21862" s="60"/>
    </row>
    <row r="21863" spans="7:24" ht="15" customHeight="1">
      <c r="G21863"/>
      <c r="I21863"/>
      <c r="N21863"/>
      <c r="O21863" s="24"/>
      <c r="P21863"/>
      <c r="Q21863" s="24"/>
      <c r="R21863"/>
      <c r="S21863"/>
      <c r="T21863"/>
      <c r="U21863"/>
      <c r="X21863" s="60"/>
    </row>
    <row r="21864" spans="7:24" ht="15" customHeight="1">
      <c r="G21864"/>
      <c r="I21864"/>
      <c r="N21864"/>
      <c r="O21864" s="24"/>
      <c r="P21864"/>
      <c r="Q21864" s="24"/>
      <c r="R21864"/>
      <c r="S21864"/>
      <c r="T21864"/>
      <c r="U21864"/>
      <c r="X21864" s="60"/>
    </row>
    <row r="21865" spans="7:24" ht="15" customHeight="1">
      <c r="G21865"/>
      <c r="I21865"/>
      <c r="N21865"/>
      <c r="O21865" s="24"/>
      <c r="P21865"/>
      <c r="Q21865" s="24"/>
      <c r="R21865"/>
      <c r="S21865"/>
      <c r="T21865"/>
      <c r="U21865"/>
      <c r="X21865" s="60"/>
    </row>
    <row r="21866" spans="7:24" ht="15" customHeight="1">
      <c r="G21866"/>
      <c r="I21866"/>
      <c r="N21866"/>
      <c r="O21866" s="24"/>
      <c r="P21866"/>
      <c r="Q21866" s="24"/>
      <c r="R21866"/>
      <c r="S21866"/>
      <c r="T21866"/>
      <c r="U21866"/>
      <c r="X21866" s="60"/>
    </row>
    <row r="21867" spans="7:24" ht="15" customHeight="1">
      <c r="G21867"/>
      <c r="I21867"/>
      <c r="N21867"/>
      <c r="O21867" s="24"/>
      <c r="P21867"/>
      <c r="Q21867" s="24"/>
      <c r="R21867"/>
      <c r="S21867"/>
      <c r="T21867"/>
      <c r="U21867"/>
      <c r="X21867" s="60"/>
    </row>
    <row r="21868" spans="7:24" ht="15" customHeight="1">
      <c r="G21868"/>
      <c r="I21868"/>
      <c r="N21868"/>
      <c r="O21868" s="24"/>
      <c r="P21868"/>
      <c r="Q21868" s="24"/>
      <c r="R21868"/>
      <c r="S21868"/>
      <c r="T21868"/>
      <c r="U21868"/>
      <c r="X21868" s="60"/>
    </row>
    <row r="21869" spans="7:24" ht="15" customHeight="1">
      <c r="G21869"/>
      <c r="I21869"/>
      <c r="N21869"/>
      <c r="O21869" s="24"/>
      <c r="P21869"/>
      <c r="Q21869" s="24"/>
      <c r="R21869"/>
      <c r="S21869"/>
      <c r="T21869"/>
      <c r="U21869"/>
      <c r="X21869" s="60"/>
    </row>
    <row r="21870" spans="7:24" ht="15" customHeight="1">
      <c r="G21870"/>
      <c r="I21870"/>
      <c r="N21870"/>
      <c r="O21870" s="24"/>
      <c r="P21870"/>
      <c r="Q21870" s="24"/>
      <c r="R21870"/>
      <c r="S21870"/>
      <c r="T21870"/>
      <c r="U21870"/>
      <c r="X21870" s="60"/>
    </row>
    <row r="21871" spans="7:24" ht="15" customHeight="1">
      <c r="G21871"/>
      <c r="I21871"/>
      <c r="N21871"/>
      <c r="O21871" s="24"/>
      <c r="P21871"/>
      <c r="Q21871" s="24"/>
      <c r="R21871"/>
      <c r="S21871"/>
      <c r="T21871"/>
      <c r="U21871"/>
      <c r="X21871" s="60"/>
    </row>
    <row r="21872" spans="7:24" ht="15" customHeight="1">
      <c r="G21872"/>
      <c r="I21872"/>
      <c r="N21872"/>
      <c r="O21872" s="24"/>
      <c r="P21872"/>
      <c r="Q21872" s="24"/>
      <c r="R21872"/>
      <c r="S21872"/>
      <c r="T21872"/>
      <c r="U21872"/>
      <c r="X21872" s="60"/>
    </row>
    <row r="21873" spans="7:24" ht="15" customHeight="1">
      <c r="G21873"/>
      <c r="I21873"/>
      <c r="N21873"/>
      <c r="O21873" s="24"/>
      <c r="P21873"/>
      <c r="Q21873" s="24"/>
      <c r="R21873"/>
      <c r="S21873"/>
      <c r="T21873"/>
      <c r="U21873"/>
      <c r="X21873" s="60"/>
    </row>
    <row r="21874" spans="7:24" ht="15" customHeight="1">
      <c r="G21874"/>
      <c r="I21874"/>
      <c r="N21874"/>
      <c r="O21874" s="24"/>
      <c r="P21874"/>
      <c r="Q21874" s="24"/>
      <c r="R21874"/>
      <c r="S21874"/>
      <c r="T21874"/>
      <c r="U21874"/>
      <c r="X21874" s="60"/>
    </row>
    <row r="21875" spans="7:24" ht="15" customHeight="1">
      <c r="G21875"/>
      <c r="I21875"/>
      <c r="N21875"/>
      <c r="O21875" s="24"/>
      <c r="P21875"/>
      <c r="Q21875" s="24"/>
      <c r="R21875"/>
      <c r="S21875"/>
      <c r="T21875"/>
      <c r="U21875"/>
      <c r="X21875" s="60"/>
    </row>
    <row r="21876" spans="7:24" ht="15" customHeight="1">
      <c r="G21876"/>
      <c r="I21876"/>
      <c r="N21876"/>
      <c r="O21876" s="24"/>
      <c r="P21876"/>
      <c r="Q21876" s="24"/>
      <c r="R21876"/>
      <c r="S21876"/>
      <c r="T21876"/>
      <c r="U21876"/>
      <c r="X21876" s="60"/>
    </row>
    <row r="21877" spans="7:24" ht="15" customHeight="1">
      <c r="G21877"/>
      <c r="I21877"/>
      <c r="N21877"/>
      <c r="O21877" s="24"/>
      <c r="P21877"/>
      <c r="Q21877" s="24"/>
      <c r="R21877"/>
      <c r="S21877"/>
      <c r="T21877"/>
      <c r="U21877"/>
      <c r="X21877" s="60"/>
    </row>
    <row r="21878" spans="7:24" ht="15" customHeight="1">
      <c r="G21878"/>
      <c r="I21878"/>
      <c r="N21878"/>
      <c r="O21878" s="24"/>
      <c r="P21878"/>
      <c r="Q21878" s="24"/>
      <c r="R21878"/>
      <c r="S21878"/>
      <c r="T21878"/>
      <c r="U21878"/>
      <c r="X21878" s="60"/>
    </row>
    <row r="21879" spans="7:24" ht="15" customHeight="1">
      <c r="G21879"/>
      <c r="I21879"/>
      <c r="N21879"/>
      <c r="O21879" s="24"/>
      <c r="P21879"/>
      <c r="Q21879" s="24"/>
      <c r="R21879"/>
      <c r="S21879"/>
      <c r="T21879"/>
      <c r="U21879"/>
      <c r="X21879" s="60"/>
    </row>
    <row r="21880" spans="7:24" ht="15" customHeight="1">
      <c r="G21880"/>
      <c r="I21880"/>
      <c r="N21880"/>
      <c r="O21880" s="24"/>
      <c r="P21880"/>
      <c r="Q21880" s="24"/>
      <c r="R21880"/>
      <c r="S21880"/>
      <c r="T21880"/>
      <c r="U21880"/>
      <c r="X21880" s="60"/>
    </row>
    <row r="21881" spans="7:24" ht="15" customHeight="1">
      <c r="G21881"/>
      <c r="I21881"/>
      <c r="N21881"/>
      <c r="O21881" s="24"/>
      <c r="P21881"/>
      <c r="Q21881" s="24"/>
      <c r="R21881"/>
      <c r="S21881"/>
      <c r="T21881"/>
      <c r="U21881"/>
      <c r="X21881" s="60"/>
    </row>
    <row r="21882" spans="7:24" ht="15" customHeight="1">
      <c r="G21882"/>
      <c r="I21882"/>
      <c r="N21882"/>
      <c r="O21882" s="24"/>
      <c r="P21882"/>
      <c r="Q21882" s="24"/>
      <c r="R21882"/>
      <c r="S21882"/>
      <c r="T21882"/>
      <c r="U21882"/>
      <c r="X21882" s="60"/>
    </row>
    <row r="21883" spans="7:24" ht="15" customHeight="1">
      <c r="G21883"/>
      <c r="I21883"/>
      <c r="N21883"/>
      <c r="O21883" s="24"/>
      <c r="P21883"/>
      <c r="Q21883" s="24"/>
      <c r="R21883"/>
      <c r="S21883"/>
      <c r="T21883"/>
      <c r="U21883"/>
      <c r="X21883" s="60"/>
    </row>
    <row r="21884" spans="7:24" ht="15" customHeight="1">
      <c r="G21884"/>
      <c r="I21884"/>
      <c r="N21884"/>
      <c r="O21884" s="24"/>
      <c r="P21884"/>
      <c r="Q21884" s="24"/>
      <c r="R21884"/>
      <c r="S21884"/>
      <c r="T21884"/>
      <c r="U21884"/>
      <c r="X21884" s="60"/>
    </row>
    <row r="21885" spans="7:24" ht="15" customHeight="1">
      <c r="G21885"/>
      <c r="I21885"/>
      <c r="N21885"/>
      <c r="O21885" s="24"/>
      <c r="P21885"/>
      <c r="Q21885" s="24"/>
      <c r="R21885"/>
      <c r="S21885"/>
      <c r="T21885"/>
      <c r="U21885"/>
      <c r="X21885" s="60"/>
    </row>
    <row r="21886" spans="7:24" ht="15" customHeight="1">
      <c r="G21886"/>
      <c r="I21886"/>
      <c r="N21886"/>
      <c r="O21886" s="24"/>
      <c r="P21886"/>
      <c r="Q21886" s="24"/>
      <c r="R21886"/>
      <c r="S21886"/>
      <c r="T21886"/>
      <c r="U21886"/>
      <c r="X21886" s="60"/>
    </row>
    <row r="21887" spans="7:24" ht="15" customHeight="1">
      <c r="G21887"/>
      <c r="I21887"/>
      <c r="N21887"/>
      <c r="O21887" s="24"/>
      <c r="P21887"/>
      <c r="Q21887" s="24"/>
      <c r="R21887"/>
      <c r="S21887"/>
      <c r="T21887"/>
      <c r="U21887"/>
      <c r="X21887" s="60"/>
    </row>
    <row r="21888" spans="7:24" ht="15" customHeight="1">
      <c r="G21888"/>
      <c r="I21888"/>
      <c r="N21888"/>
      <c r="O21888" s="24"/>
      <c r="P21888"/>
      <c r="Q21888" s="24"/>
      <c r="R21888"/>
      <c r="S21888"/>
      <c r="T21888"/>
      <c r="U21888"/>
      <c r="X21888" s="60"/>
    </row>
    <row r="21889" spans="7:24" ht="15" customHeight="1">
      <c r="G21889"/>
      <c r="I21889"/>
      <c r="N21889"/>
      <c r="O21889" s="24"/>
      <c r="P21889"/>
      <c r="Q21889" s="24"/>
      <c r="R21889"/>
      <c r="S21889"/>
      <c r="T21889"/>
      <c r="U21889"/>
      <c r="X21889" s="60"/>
    </row>
    <row r="21890" spans="7:24" ht="15" customHeight="1">
      <c r="G21890"/>
      <c r="I21890"/>
      <c r="N21890"/>
      <c r="O21890" s="24"/>
      <c r="P21890"/>
      <c r="Q21890" s="24"/>
      <c r="R21890"/>
      <c r="S21890"/>
      <c r="T21890"/>
      <c r="U21890"/>
      <c r="X21890" s="60"/>
    </row>
    <row r="21891" spans="7:24" ht="15" customHeight="1">
      <c r="G21891"/>
      <c r="I21891"/>
      <c r="N21891"/>
      <c r="O21891" s="24"/>
      <c r="P21891"/>
      <c r="Q21891" s="24"/>
      <c r="R21891"/>
      <c r="S21891"/>
      <c r="T21891"/>
      <c r="U21891"/>
      <c r="X21891" s="60"/>
    </row>
    <row r="21892" spans="7:24" ht="15" customHeight="1">
      <c r="G21892"/>
      <c r="I21892"/>
      <c r="N21892"/>
      <c r="O21892" s="24"/>
      <c r="P21892"/>
      <c r="Q21892" s="24"/>
      <c r="R21892"/>
      <c r="S21892"/>
      <c r="T21892"/>
      <c r="U21892"/>
      <c r="X21892" s="60"/>
    </row>
    <row r="21893" spans="7:24" ht="15" customHeight="1">
      <c r="G21893"/>
      <c r="I21893"/>
      <c r="N21893"/>
      <c r="O21893" s="24"/>
      <c r="P21893"/>
      <c r="Q21893" s="24"/>
      <c r="R21893"/>
      <c r="S21893"/>
      <c r="T21893"/>
      <c r="U21893"/>
      <c r="X21893" s="60"/>
    </row>
    <row r="21894" spans="7:24" ht="15" customHeight="1">
      <c r="G21894"/>
      <c r="I21894"/>
      <c r="N21894"/>
      <c r="O21894" s="24"/>
      <c r="P21894"/>
      <c r="Q21894" s="24"/>
      <c r="R21894"/>
      <c r="S21894"/>
      <c r="T21894"/>
      <c r="U21894"/>
      <c r="X21894" s="60"/>
    </row>
    <row r="21895" spans="7:24" ht="15" customHeight="1">
      <c r="G21895"/>
      <c r="I21895"/>
      <c r="N21895"/>
      <c r="O21895" s="24"/>
      <c r="P21895"/>
      <c r="Q21895" s="24"/>
      <c r="R21895"/>
      <c r="S21895"/>
      <c r="T21895"/>
      <c r="U21895"/>
      <c r="X21895" s="60"/>
    </row>
    <row r="21896" spans="7:24" ht="15" customHeight="1">
      <c r="G21896"/>
      <c r="I21896"/>
      <c r="N21896"/>
      <c r="O21896" s="24"/>
      <c r="P21896"/>
      <c r="Q21896" s="24"/>
      <c r="R21896"/>
      <c r="S21896"/>
      <c r="T21896"/>
      <c r="U21896"/>
      <c r="X21896" s="60"/>
    </row>
    <row r="21897" spans="7:24" ht="15" customHeight="1">
      <c r="G21897"/>
      <c r="I21897"/>
      <c r="N21897"/>
      <c r="O21897" s="24"/>
      <c r="P21897"/>
      <c r="Q21897" s="24"/>
      <c r="R21897"/>
      <c r="S21897"/>
      <c r="T21897"/>
      <c r="U21897"/>
      <c r="X21897" s="60"/>
    </row>
    <row r="21898" spans="7:24" ht="15" customHeight="1">
      <c r="G21898"/>
      <c r="I21898"/>
      <c r="N21898"/>
      <c r="O21898" s="24"/>
      <c r="P21898"/>
      <c r="Q21898" s="24"/>
      <c r="R21898"/>
      <c r="S21898"/>
      <c r="T21898"/>
      <c r="U21898"/>
      <c r="X21898" s="60"/>
    </row>
    <row r="21899" spans="7:24" ht="15" customHeight="1">
      <c r="G21899"/>
      <c r="I21899"/>
      <c r="N21899"/>
      <c r="O21899" s="24"/>
      <c r="P21899"/>
      <c r="Q21899" s="24"/>
      <c r="R21899"/>
      <c r="S21899"/>
      <c r="T21899"/>
      <c r="U21899"/>
      <c r="X21899" s="60"/>
    </row>
    <row r="21900" spans="7:24" ht="15" customHeight="1">
      <c r="G21900"/>
      <c r="I21900"/>
      <c r="N21900"/>
      <c r="O21900" s="24"/>
      <c r="P21900"/>
      <c r="Q21900" s="24"/>
      <c r="R21900"/>
      <c r="S21900"/>
      <c r="T21900"/>
      <c r="U21900"/>
      <c r="X21900" s="60"/>
    </row>
    <row r="21901" spans="7:24" ht="15" customHeight="1">
      <c r="G21901"/>
      <c r="I21901"/>
      <c r="N21901"/>
      <c r="O21901" s="24"/>
      <c r="P21901"/>
      <c r="Q21901" s="24"/>
      <c r="R21901"/>
      <c r="S21901"/>
      <c r="T21901"/>
      <c r="U21901"/>
      <c r="X21901" s="60"/>
    </row>
    <row r="21902" spans="7:24" ht="15" customHeight="1">
      <c r="G21902"/>
      <c r="I21902"/>
      <c r="N21902"/>
      <c r="O21902" s="24"/>
      <c r="P21902"/>
      <c r="Q21902" s="24"/>
      <c r="R21902"/>
      <c r="S21902"/>
      <c r="T21902"/>
      <c r="U21902"/>
      <c r="X21902" s="60"/>
    </row>
    <row r="21903" spans="7:24" ht="15" customHeight="1">
      <c r="G21903"/>
      <c r="I21903"/>
      <c r="N21903"/>
      <c r="O21903" s="24"/>
      <c r="P21903"/>
      <c r="Q21903" s="24"/>
      <c r="R21903"/>
      <c r="S21903"/>
      <c r="T21903"/>
      <c r="U21903"/>
      <c r="X21903" s="60"/>
    </row>
    <row r="21904" spans="7:24" ht="15" customHeight="1">
      <c r="G21904"/>
      <c r="I21904"/>
      <c r="N21904"/>
      <c r="O21904" s="24"/>
      <c r="P21904"/>
      <c r="Q21904" s="24"/>
      <c r="R21904"/>
      <c r="S21904"/>
      <c r="T21904"/>
      <c r="U21904"/>
      <c r="X21904" s="60"/>
    </row>
    <row r="21905" spans="7:24" ht="15" customHeight="1">
      <c r="G21905"/>
      <c r="I21905"/>
      <c r="N21905"/>
      <c r="O21905" s="24"/>
      <c r="P21905"/>
      <c r="Q21905" s="24"/>
      <c r="R21905"/>
      <c r="S21905"/>
      <c r="T21905"/>
      <c r="U21905"/>
      <c r="X21905" s="60"/>
    </row>
    <row r="21906" spans="7:24" ht="15" customHeight="1">
      <c r="G21906"/>
      <c r="I21906"/>
      <c r="N21906"/>
      <c r="O21906" s="24"/>
      <c r="P21906"/>
      <c r="Q21906" s="24"/>
      <c r="R21906"/>
      <c r="S21906"/>
      <c r="T21906"/>
      <c r="U21906"/>
      <c r="X21906" s="60"/>
    </row>
    <row r="21907" spans="7:24" ht="15" customHeight="1">
      <c r="G21907"/>
      <c r="I21907"/>
      <c r="N21907"/>
      <c r="O21907" s="24"/>
      <c r="P21907"/>
      <c r="Q21907" s="24"/>
      <c r="R21907"/>
      <c r="S21907"/>
      <c r="T21907"/>
      <c r="U21907"/>
      <c r="X21907" s="60"/>
    </row>
    <row r="21908" spans="7:24" ht="15" customHeight="1">
      <c r="G21908"/>
      <c r="I21908"/>
      <c r="N21908"/>
      <c r="O21908" s="24"/>
      <c r="P21908"/>
      <c r="Q21908" s="24"/>
      <c r="R21908"/>
      <c r="S21908"/>
      <c r="T21908"/>
      <c r="U21908"/>
      <c r="X21908" s="60"/>
    </row>
    <row r="21909" spans="7:24" ht="15" customHeight="1">
      <c r="G21909"/>
      <c r="I21909"/>
      <c r="N21909"/>
      <c r="O21909" s="24"/>
      <c r="P21909"/>
      <c r="Q21909" s="24"/>
      <c r="R21909"/>
      <c r="S21909"/>
      <c r="T21909"/>
      <c r="U21909"/>
      <c r="X21909" s="60"/>
    </row>
    <row r="21910" spans="7:24" ht="15" customHeight="1">
      <c r="G21910"/>
      <c r="I21910"/>
      <c r="N21910"/>
      <c r="O21910" s="24"/>
      <c r="P21910"/>
      <c r="Q21910" s="24"/>
      <c r="R21910"/>
      <c r="S21910"/>
      <c r="T21910"/>
      <c r="U21910"/>
      <c r="X21910" s="60"/>
    </row>
    <row r="21911" spans="7:24" ht="15" customHeight="1">
      <c r="G21911"/>
      <c r="I21911"/>
      <c r="N21911"/>
      <c r="O21911" s="24"/>
      <c r="P21911"/>
      <c r="Q21911" s="24"/>
      <c r="R21911"/>
      <c r="S21911"/>
      <c r="T21911"/>
      <c r="U21911"/>
      <c r="X21911" s="60"/>
    </row>
    <row r="21912" spans="7:24" ht="15" customHeight="1">
      <c r="G21912"/>
      <c r="I21912"/>
      <c r="N21912"/>
      <c r="O21912" s="24"/>
      <c r="P21912"/>
      <c r="Q21912" s="24"/>
      <c r="R21912"/>
      <c r="S21912"/>
      <c r="T21912"/>
      <c r="U21912"/>
      <c r="X21912" s="60"/>
    </row>
    <row r="21913" spans="7:24" ht="15" customHeight="1">
      <c r="G21913"/>
      <c r="I21913"/>
      <c r="N21913"/>
      <c r="O21913" s="24"/>
      <c r="P21913"/>
      <c r="Q21913" s="24"/>
      <c r="R21913"/>
      <c r="S21913"/>
      <c r="T21913"/>
      <c r="U21913"/>
      <c r="X21913" s="60"/>
    </row>
    <row r="21914" spans="7:24" ht="15" customHeight="1">
      <c r="G21914"/>
      <c r="I21914"/>
      <c r="N21914"/>
      <c r="O21914" s="24"/>
      <c r="P21914"/>
      <c r="Q21914" s="24"/>
      <c r="R21914"/>
      <c r="S21914"/>
      <c r="T21914"/>
      <c r="U21914"/>
      <c r="X21914" s="60"/>
    </row>
    <row r="21915" spans="7:24" ht="15" customHeight="1">
      <c r="G21915"/>
      <c r="I21915"/>
      <c r="N21915"/>
      <c r="O21915" s="24"/>
      <c r="P21915"/>
      <c r="Q21915" s="24"/>
      <c r="R21915"/>
      <c r="S21915"/>
      <c r="T21915"/>
      <c r="U21915"/>
      <c r="X21915" s="60"/>
    </row>
    <row r="21916" spans="7:24" ht="15" customHeight="1">
      <c r="G21916"/>
      <c r="I21916"/>
      <c r="N21916"/>
      <c r="O21916" s="24"/>
      <c r="P21916"/>
      <c r="Q21916" s="24"/>
      <c r="R21916"/>
      <c r="S21916"/>
      <c r="T21916"/>
      <c r="U21916"/>
      <c r="X21916" s="60"/>
    </row>
    <row r="21917" spans="7:24" ht="15" customHeight="1">
      <c r="G21917"/>
      <c r="I21917"/>
      <c r="N21917"/>
      <c r="O21917" s="24"/>
      <c r="P21917"/>
      <c r="Q21917" s="24"/>
      <c r="R21917"/>
      <c r="S21917"/>
      <c r="T21917"/>
      <c r="U21917"/>
      <c r="X21917" s="60"/>
    </row>
    <row r="21918" spans="7:24" ht="15" customHeight="1">
      <c r="G21918"/>
      <c r="I21918"/>
      <c r="N21918"/>
      <c r="O21918" s="24"/>
      <c r="P21918"/>
      <c r="Q21918" s="24"/>
      <c r="R21918"/>
      <c r="S21918"/>
      <c r="T21918"/>
      <c r="U21918"/>
      <c r="X21918" s="60"/>
    </row>
    <row r="21919" spans="7:24" ht="15" customHeight="1">
      <c r="G21919"/>
      <c r="I21919"/>
      <c r="N21919"/>
      <c r="O21919" s="24"/>
      <c r="P21919"/>
      <c r="Q21919" s="24"/>
      <c r="R21919"/>
      <c r="S21919"/>
      <c r="T21919"/>
      <c r="U21919"/>
      <c r="X21919" s="60"/>
    </row>
    <row r="21920" spans="7:24" ht="15" customHeight="1">
      <c r="G21920"/>
      <c r="I21920"/>
      <c r="N21920"/>
      <c r="O21920" s="24"/>
      <c r="P21920"/>
      <c r="Q21920" s="24"/>
      <c r="R21920"/>
      <c r="S21920"/>
      <c r="T21920"/>
      <c r="U21920"/>
      <c r="X21920" s="60"/>
    </row>
    <row r="21921" spans="7:24" ht="15" customHeight="1">
      <c r="G21921"/>
      <c r="I21921"/>
      <c r="N21921"/>
      <c r="O21921" s="24"/>
      <c r="P21921"/>
      <c r="Q21921" s="24"/>
      <c r="R21921"/>
      <c r="S21921"/>
      <c r="T21921"/>
      <c r="U21921"/>
      <c r="X21921" s="60"/>
    </row>
    <row r="21922" spans="7:24" ht="15" customHeight="1">
      <c r="G21922"/>
      <c r="I21922"/>
      <c r="N21922"/>
      <c r="O21922" s="24"/>
      <c r="P21922"/>
      <c r="Q21922" s="24"/>
      <c r="R21922"/>
      <c r="S21922"/>
      <c r="T21922"/>
      <c r="U21922"/>
      <c r="X21922" s="60"/>
    </row>
    <row r="21923" spans="7:24" ht="15" customHeight="1">
      <c r="G21923"/>
      <c r="I21923"/>
      <c r="N21923"/>
      <c r="O21923" s="24"/>
      <c r="P21923"/>
      <c r="Q21923" s="24"/>
      <c r="R21923"/>
      <c r="S21923"/>
      <c r="T21923"/>
      <c r="U21923"/>
      <c r="X21923" s="60"/>
    </row>
    <row r="21924" spans="7:24" ht="15" customHeight="1">
      <c r="G21924"/>
      <c r="I21924"/>
      <c r="N21924"/>
      <c r="O21924" s="24"/>
      <c r="P21924"/>
      <c r="Q21924" s="24"/>
      <c r="R21924"/>
      <c r="S21924"/>
      <c r="T21924"/>
      <c r="U21924"/>
      <c r="X21924" s="60"/>
    </row>
    <row r="21925" spans="7:24" ht="15" customHeight="1">
      <c r="G21925"/>
      <c r="I21925"/>
      <c r="N21925"/>
      <c r="O21925" s="24"/>
      <c r="P21925"/>
      <c r="Q21925" s="24"/>
      <c r="R21925"/>
      <c r="S21925"/>
      <c r="T21925"/>
      <c r="U21925"/>
      <c r="X21925" s="60"/>
    </row>
    <row r="21926" spans="7:24" ht="15" customHeight="1">
      <c r="G21926"/>
      <c r="I21926"/>
      <c r="N21926"/>
      <c r="O21926" s="24"/>
      <c r="P21926"/>
      <c r="Q21926" s="24"/>
      <c r="R21926"/>
      <c r="S21926"/>
      <c r="T21926"/>
      <c r="U21926"/>
      <c r="X21926" s="60"/>
    </row>
    <row r="21927" spans="7:24" ht="15" customHeight="1">
      <c r="G21927"/>
      <c r="I21927"/>
      <c r="N21927"/>
      <c r="O21927" s="24"/>
      <c r="P21927"/>
      <c r="Q21927" s="24"/>
      <c r="R21927"/>
      <c r="S21927"/>
      <c r="T21927"/>
      <c r="U21927"/>
      <c r="X21927" s="60"/>
    </row>
    <row r="21928" spans="7:24" ht="15" customHeight="1">
      <c r="G21928"/>
      <c r="I21928"/>
      <c r="N21928"/>
      <c r="O21928" s="24"/>
      <c r="P21928"/>
      <c r="Q21928" s="24"/>
      <c r="R21928"/>
      <c r="S21928"/>
      <c r="T21928"/>
      <c r="U21928"/>
      <c r="X21928" s="60"/>
    </row>
    <row r="21929" spans="7:24" ht="15" customHeight="1">
      <c r="G21929"/>
      <c r="I21929"/>
      <c r="N21929"/>
      <c r="O21929" s="24"/>
      <c r="P21929"/>
      <c r="Q21929" s="24"/>
      <c r="R21929"/>
      <c r="S21929"/>
      <c r="T21929"/>
      <c r="U21929"/>
      <c r="X21929" s="60"/>
    </row>
    <row r="21930" spans="7:24" ht="15" customHeight="1">
      <c r="G21930"/>
      <c r="I21930"/>
      <c r="N21930"/>
      <c r="O21930" s="24"/>
      <c r="P21930"/>
      <c r="Q21930" s="24"/>
      <c r="R21930"/>
      <c r="S21930"/>
      <c r="T21930"/>
      <c r="U21930"/>
      <c r="X21930" s="60"/>
    </row>
    <row r="21931" spans="7:24" ht="15" customHeight="1">
      <c r="G21931"/>
      <c r="I21931"/>
      <c r="N21931"/>
      <c r="O21931" s="24"/>
      <c r="P21931"/>
      <c r="Q21931" s="24"/>
      <c r="R21931"/>
      <c r="S21931"/>
      <c r="T21931"/>
      <c r="U21931"/>
      <c r="X21931" s="60"/>
    </row>
    <row r="21932" spans="7:24" ht="15" customHeight="1">
      <c r="G21932"/>
      <c r="I21932"/>
      <c r="N21932"/>
      <c r="O21932" s="24"/>
      <c r="P21932"/>
      <c r="Q21932" s="24"/>
      <c r="R21932"/>
      <c r="S21932"/>
      <c r="T21932"/>
      <c r="U21932"/>
      <c r="X21932" s="60"/>
    </row>
    <row r="21933" spans="7:24" ht="15" customHeight="1">
      <c r="G21933"/>
      <c r="I21933"/>
      <c r="N21933"/>
      <c r="O21933" s="24"/>
      <c r="P21933"/>
      <c r="Q21933" s="24"/>
      <c r="R21933"/>
      <c r="S21933"/>
      <c r="T21933"/>
      <c r="U21933"/>
      <c r="X21933" s="60"/>
    </row>
    <row r="21934" spans="7:24" ht="15" customHeight="1">
      <c r="G21934"/>
      <c r="I21934"/>
      <c r="N21934"/>
      <c r="O21934" s="24"/>
      <c r="P21934"/>
      <c r="Q21934" s="24"/>
      <c r="R21934"/>
      <c r="S21934"/>
      <c r="T21934"/>
      <c r="U21934"/>
      <c r="X21934" s="60"/>
    </row>
    <row r="21935" spans="7:24" ht="15" customHeight="1">
      <c r="G21935"/>
      <c r="I21935"/>
      <c r="N21935"/>
      <c r="O21935" s="24"/>
      <c r="P21935"/>
      <c r="Q21935" s="24"/>
      <c r="R21935"/>
      <c r="S21935"/>
      <c r="T21935"/>
      <c r="U21935"/>
      <c r="X21935" s="60"/>
    </row>
    <row r="21936" spans="7:24" ht="15" customHeight="1">
      <c r="G21936"/>
      <c r="I21936"/>
      <c r="N21936"/>
      <c r="O21936" s="24"/>
      <c r="P21936"/>
      <c r="Q21936" s="24"/>
      <c r="R21936"/>
      <c r="S21936"/>
      <c r="T21936"/>
      <c r="U21936"/>
      <c r="X21936" s="60"/>
    </row>
    <row r="21937" spans="7:24" ht="15" customHeight="1">
      <c r="G21937"/>
      <c r="I21937"/>
      <c r="N21937"/>
      <c r="O21937" s="24"/>
      <c r="P21937"/>
      <c r="Q21937" s="24"/>
      <c r="R21937"/>
      <c r="S21937"/>
      <c r="T21937"/>
      <c r="U21937"/>
      <c r="X21937" s="60"/>
    </row>
    <row r="21938" spans="7:24" ht="15" customHeight="1">
      <c r="G21938"/>
      <c r="I21938"/>
      <c r="N21938"/>
      <c r="O21938" s="24"/>
      <c r="P21938"/>
      <c r="Q21938" s="24"/>
      <c r="R21938"/>
      <c r="S21938"/>
      <c r="T21938"/>
      <c r="U21938"/>
      <c r="X21938" s="60"/>
    </row>
    <row r="21939" spans="7:24" ht="15" customHeight="1">
      <c r="G21939"/>
      <c r="I21939"/>
      <c r="N21939"/>
      <c r="O21939" s="24"/>
      <c r="P21939"/>
      <c r="Q21939" s="24"/>
      <c r="R21939"/>
      <c r="S21939"/>
      <c r="T21939"/>
      <c r="U21939"/>
      <c r="X21939" s="60"/>
    </row>
    <row r="21940" spans="7:24" ht="15" customHeight="1">
      <c r="G21940"/>
      <c r="I21940"/>
      <c r="N21940"/>
      <c r="O21940" s="24"/>
      <c r="P21940"/>
      <c r="Q21940" s="24"/>
      <c r="R21940"/>
      <c r="S21940"/>
      <c r="T21940"/>
      <c r="U21940"/>
      <c r="X21940" s="60"/>
    </row>
    <row r="21941" spans="7:24" ht="15" customHeight="1">
      <c r="G21941"/>
      <c r="I21941"/>
      <c r="N21941"/>
      <c r="O21941" s="24"/>
      <c r="P21941"/>
      <c r="Q21941" s="24"/>
      <c r="R21941"/>
      <c r="S21941"/>
      <c r="T21941"/>
      <c r="U21941"/>
      <c r="X21941" s="60"/>
    </row>
    <row r="21942" spans="7:24" ht="15" customHeight="1">
      <c r="G21942"/>
      <c r="I21942"/>
      <c r="N21942"/>
      <c r="O21942" s="24"/>
      <c r="P21942"/>
      <c r="Q21942" s="24"/>
      <c r="R21942"/>
      <c r="S21942"/>
      <c r="T21942"/>
      <c r="U21942"/>
      <c r="X21942" s="60"/>
    </row>
    <row r="21943" spans="7:24" ht="15" customHeight="1">
      <c r="G21943"/>
      <c r="I21943"/>
      <c r="N21943"/>
      <c r="O21943" s="24"/>
      <c r="P21943"/>
      <c r="Q21943" s="24"/>
      <c r="R21943"/>
      <c r="S21943"/>
      <c r="T21943"/>
      <c r="U21943"/>
      <c r="X21943" s="60"/>
    </row>
    <row r="21944" spans="7:24" ht="15" customHeight="1">
      <c r="G21944"/>
      <c r="I21944"/>
      <c r="N21944"/>
      <c r="O21944" s="24"/>
      <c r="P21944"/>
      <c r="Q21944" s="24"/>
      <c r="R21944"/>
      <c r="S21944"/>
      <c r="T21944"/>
      <c r="U21944"/>
      <c r="X21944" s="60"/>
    </row>
    <row r="21945" spans="7:24" ht="15" customHeight="1">
      <c r="G21945"/>
      <c r="I21945"/>
      <c r="N21945"/>
      <c r="O21945" s="24"/>
      <c r="P21945"/>
      <c r="Q21945" s="24"/>
      <c r="R21945"/>
      <c r="S21945"/>
      <c r="T21945"/>
      <c r="U21945"/>
      <c r="X21945" s="60"/>
    </row>
    <row r="21946" spans="7:24" ht="15" customHeight="1">
      <c r="G21946"/>
      <c r="I21946"/>
      <c r="N21946"/>
      <c r="O21946" s="24"/>
      <c r="P21946"/>
      <c r="Q21946" s="24"/>
      <c r="R21946"/>
      <c r="S21946"/>
      <c r="T21946"/>
      <c r="U21946"/>
      <c r="X21946" s="60"/>
    </row>
    <row r="21947" spans="7:24" ht="15" customHeight="1">
      <c r="G21947"/>
      <c r="I21947"/>
      <c r="N21947"/>
      <c r="O21947" s="24"/>
      <c r="P21947"/>
      <c r="Q21947" s="24"/>
      <c r="R21947"/>
      <c r="S21947"/>
      <c r="T21947"/>
      <c r="U21947"/>
      <c r="X21947" s="60"/>
    </row>
    <row r="21948" spans="7:24" ht="15" customHeight="1">
      <c r="G21948"/>
      <c r="I21948"/>
      <c r="N21948"/>
      <c r="O21948" s="24"/>
      <c r="P21948"/>
      <c r="Q21948" s="24"/>
      <c r="R21948"/>
      <c r="S21948"/>
      <c r="T21948"/>
      <c r="U21948"/>
      <c r="X21948" s="60"/>
    </row>
    <row r="21949" spans="7:24" ht="15" customHeight="1">
      <c r="G21949"/>
      <c r="I21949"/>
      <c r="N21949"/>
      <c r="O21949" s="24"/>
      <c r="P21949"/>
      <c r="Q21949" s="24"/>
      <c r="R21949"/>
      <c r="S21949"/>
      <c r="T21949"/>
      <c r="U21949"/>
      <c r="X21949" s="60"/>
    </row>
    <row r="21950" spans="7:24" ht="15" customHeight="1">
      <c r="G21950"/>
      <c r="I21950"/>
      <c r="N21950"/>
      <c r="O21950" s="24"/>
      <c r="P21950"/>
      <c r="Q21950" s="24"/>
      <c r="R21950"/>
      <c r="S21950"/>
      <c r="T21950"/>
      <c r="U21950"/>
      <c r="X21950" s="60"/>
    </row>
    <row r="21951" spans="7:24" ht="15" customHeight="1">
      <c r="G21951"/>
      <c r="I21951"/>
      <c r="N21951"/>
      <c r="O21951" s="24"/>
      <c r="P21951"/>
      <c r="Q21951" s="24"/>
      <c r="R21951"/>
      <c r="S21951"/>
      <c r="T21951"/>
      <c r="U21951"/>
      <c r="X21951" s="60"/>
    </row>
    <row r="21952" spans="7:24" ht="15" customHeight="1">
      <c r="G21952"/>
      <c r="I21952"/>
      <c r="N21952"/>
      <c r="O21952" s="24"/>
      <c r="P21952"/>
      <c r="Q21952" s="24"/>
      <c r="R21952"/>
      <c r="S21952"/>
      <c r="T21952"/>
      <c r="U21952"/>
      <c r="X21952" s="60"/>
    </row>
    <row r="21953" spans="7:24" ht="15" customHeight="1">
      <c r="G21953"/>
      <c r="I21953"/>
      <c r="N21953"/>
      <c r="O21953" s="24"/>
      <c r="P21953"/>
      <c r="Q21953" s="24"/>
      <c r="R21953"/>
      <c r="S21953"/>
      <c r="T21953"/>
      <c r="U21953"/>
      <c r="X21953" s="60"/>
    </row>
    <row r="21954" spans="7:24" ht="15" customHeight="1">
      <c r="G21954"/>
      <c r="I21954"/>
      <c r="N21954"/>
      <c r="O21954" s="24"/>
      <c r="P21954"/>
      <c r="Q21954" s="24"/>
      <c r="R21954"/>
      <c r="S21954"/>
      <c r="T21954"/>
      <c r="U21954"/>
      <c r="X21954" s="60"/>
    </row>
    <row r="21955" spans="7:24" ht="15" customHeight="1">
      <c r="G21955"/>
      <c r="I21955"/>
      <c r="N21955"/>
      <c r="O21955" s="24"/>
      <c r="P21955"/>
      <c r="Q21955" s="24"/>
      <c r="R21955"/>
      <c r="S21955"/>
      <c r="T21955"/>
      <c r="U21955"/>
      <c r="X21955" s="60"/>
    </row>
    <row r="21956" spans="7:24" ht="15" customHeight="1">
      <c r="G21956"/>
      <c r="I21956"/>
      <c r="N21956"/>
      <c r="O21956" s="24"/>
      <c r="P21956"/>
      <c r="Q21956" s="24"/>
      <c r="R21956"/>
      <c r="S21956"/>
      <c r="T21956"/>
      <c r="U21956"/>
      <c r="X21956" s="60"/>
    </row>
    <row r="21957" spans="7:24" ht="15" customHeight="1">
      <c r="G21957"/>
      <c r="I21957"/>
      <c r="N21957"/>
      <c r="O21957" s="24"/>
      <c r="P21957"/>
      <c r="Q21957" s="24"/>
      <c r="R21957"/>
      <c r="S21957"/>
      <c r="T21957"/>
      <c r="U21957"/>
      <c r="X21957" s="60"/>
    </row>
    <row r="21958" spans="7:24" ht="15" customHeight="1">
      <c r="G21958"/>
      <c r="I21958"/>
      <c r="N21958"/>
      <c r="O21958" s="24"/>
      <c r="P21958"/>
      <c r="Q21958" s="24"/>
      <c r="R21958"/>
      <c r="S21958"/>
      <c r="T21958"/>
      <c r="U21958"/>
      <c r="X21958" s="60"/>
    </row>
    <row r="21959" spans="7:24" ht="15" customHeight="1">
      <c r="G21959"/>
      <c r="I21959"/>
      <c r="N21959"/>
      <c r="O21959" s="24"/>
      <c r="P21959"/>
      <c r="Q21959" s="24"/>
      <c r="R21959"/>
      <c r="S21959"/>
      <c r="T21959"/>
      <c r="U21959"/>
      <c r="X21959" s="60"/>
    </row>
    <row r="21960" spans="7:24" ht="15" customHeight="1">
      <c r="G21960"/>
      <c r="I21960"/>
      <c r="N21960"/>
      <c r="O21960" s="24"/>
      <c r="P21960"/>
      <c r="Q21960" s="24"/>
      <c r="R21960"/>
      <c r="S21960"/>
      <c r="T21960"/>
      <c r="U21960"/>
      <c r="X21960" s="60"/>
    </row>
    <row r="21961" spans="7:24" ht="15" customHeight="1">
      <c r="G21961"/>
      <c r="I21961"/>
      <c r="N21961"/>
      <c r="O21961" s="24"/>
      <c r="P21961"/>
      <c r="Q21961" s="24"/>
      <c r="R21961"/>
      <c r="S21961"/>
      <c r="T21961"/>
      <c r="U21961"/>
      <c r="X21961" s="60"/>
    </row>
    <row r="21962" spans="7:24" ht="15" customHeight="1">
      <c r="G21962"/>
      <c r="I21962"/>
      <c r="N21962"/>
      <c r="O21962" s="24"/>
      <c r="P21962"/>
      <c r="Q21962" s="24"/>
      <c r="R21962"/>
      <c r="S21962"/>
      <c r="T21962"/>
      <c r="U21962"/>
      <c r="X21962" s="60"/>
    </row>
    <row r="21963" spans="7:24" ht="15" customHeight="1">
      <c r="G21963"/>
      <c r="I21963"/>
      <c r="N21963"/>
      <c r="O21963" s="24"/>
      <c r="P21963"/>
      <c r="Q21963" s="24"/>
      <c r="R21963"/>
      <c r="S21963"/>
      <c r="T21963"/>
      <c r="U21963"/>
      <c r="X21963" s="60"/>
    </row>
    <row r="21964" spans="7:24" ht="15" customHeight="1">
      <c r="G21964"/>
      <c r="I21964"/>
      <c r="N21964"/>
      <c r="O21964" s="24"/>
      <c r="P21964"/>
      <c r="Q21964" s="24"/>
      <c r="R21964"/>
      <c r="S21964"/>
      <c r="T21964"/>
      <c r="U21964"/>
      <c r="X21964" s="60"/>
    </row>
    <row r="21965" spans="7:24" ht="15" customHeight="1">
      <c r="G21965"/>
      <c r="I21965"/>
      <c r="N21965"/>
      <c r="O21965" s="24"/>
      <c r="P21965"/>
      <c r="Q21965" s="24"/>
      <c r="R21965"/>
      <c r="S21965"/>
      <c r="T21965"/>
      <c r="U21965"/>
      <c r="X21965" s="60"/>
    </row>
    <row r="21966" spans="7:24" ht="15" customHeight="1">
      <c r="G21966"/>
      <c r="I21966"/>
      <c r="N21966"/>
      <c r="O21966" s="24"/>
      <c r="P21966"/>
      <c r="Q21966" s="24"/>
      <c r="R21966"/>
      <c r="S21966"/>
      <c r="T21966"/>
      <c r="U21966"/>
      <c r="X21966" s="60"/>
    </row>
    <row r="21967" spans="7:24" ht="15" customHeight="1">
      <c r="G21967"/>
      <c r="I21967"/>
      <c r="N21967"/>
      <c r="O21967" s="24"/>
      <c r="P21967"/>
      <c r="Q21967" s="24"/>
      <c r="R21967"/>
      <c r="S21967"/>
      <c r="T21967"/>
      <c r="U21967"/>
      <c r="X21967" s="60"/>
    </row>
    <row r="21968" spans="7:24" ht="15" customHeight="1">
      <c r="G21968"/>
      <c r="I21968"/>
      <c r="N21968"/>
      <c r="O21968" s="24"/>
      <c r="P21968"/>
      <c r="Q21968" s="24"/>
      <c r="R21968"/>
      <c r="S21968"/>
      <c r="T21968"/>
      <c r="U21968"/>
      <c r="X21968" s="60"/>
    </row>
    <row r="21969" spans="7:24" ht="15" customHeight="1">
      <c r="G21969"/>
      <c r="I21969"/>
      <c r="N21969"/>
      <c r="O21969" s="24"/>
      <c r="P21969"/>
      <c r="Q21969" s="24"/>
      <c r="R21969"/>
      <c r="S21969"/>
      <c r="T21969"/>
      <c r="U21969"/>
      <c r="X21969" s="60"/>
    </row>
    <row r="21970" spans="7:24" ht="15" customHeight="1">
      <c r="G21970"/>
      <c r="I21970"/>
      <c r="N21970"/>
      <c r="O21970" s="24"/>
      <c r="P21970"/>
      <c r="Q21970" s="24"/>
      <c r="R21970"/>
      <c r="S21970"/>
      <c r="T21970"/>
      <c r="U21970"/>
      <c r="X21970" s="60"/>
    </row>
    <row r="21971" spans="7:24" ht="15" customHeight="1">
      <c r="G21971"/>
      <c r="I21971"/>
      <c r="N21971"/>
      <c r="O21971" s="24"/>
      <c r="P21971"/>
      <c r="Q21971" s="24"/>
      <c r="R21971"/>
      <c r="S21971"/>
      <c r="T21971"/>
      <c r="U21971"/>
      <c r="X21971" s="60"/>
    </row>
    <row r="21972" spans="7:24" ht="15" customHeight="1">
      <c r="G21972"/>
      <c r="I21972"/>
      <c r="N21972"/>
      <c r="O21972" s="24"/>
      <c r="P21972"/>
      <c r="Q21972" s="24"/>
      <c r="R21972"/>
      <c r="S21972"/>
      <c r="T21972"/>
      <c r="U21972"/>
      <c r="X21972" s="60"/>
    </row>
    <row r="21973" spans="7:24" ht="15" customHeight="1">
      <c r="G21973"/>
      <c r="I21973"/>
      <c r="N21973"/>
      <c r="O21973" s="24"/>
      <c r="P21973"/>
      <c r="Q21973" s="24"/>
      <c r="R21973"/>
      <c r="S21973"/>
      <c r="T21973"/>
      <c r="U21973"/>
      <c r="X21973" s="60"/>
    </row>
    <row r="21974" spans="7:24" ht="15" customHeight="1">
      <c r="G21974"/>
      <c r="I21974"/>
      <c r="N21974"/>
      <c r="O21974" s="24"/>
      <c r="P21974"/>
      <c r="Q21974" s="24"/>
      <c r="R21974"/>
      <c r="S21974"/>
      <c r="T21974"/>
      <c r="U21974"/>
      <c r="X21974" s="60"/>
    </row>
    <row r="21975" spans="7:24" ht="15" customHeight="1">
      <c r="G21975"/>
      <c r="I21975"/>
      <c r="N21975"/>
      <c r="O21975" s="24"/>
      <c r="P21975"/>
      <c r="Q21975" s="24"/>
      <c r="R21975"/>
      <c r="S21975"/>
      <c r="T21975"/>
      <c r="U21975"/>
      <c r="X21975" s="60"/>
    </row>
    <row r="21976" spans="7:24" ht="15" customHeight="1">
      <c r="G21976"/>
      <c r="I21976"/>
      <c r="N21976"/>
      <c r="O21976" s="24"/>
      <c r="P21976"/>
      <c r="Q21976" s="24"/>
      <c r="R21976"/>
      <c r="S21976"/>
      <c r="T21976"/>
      <c r="U21976"/>
      <c r="X21976" s="60"/>
    </row>
    <row r="21977" spans="7:24" ht="15" customHeight="1">
      <c r="G21977"/>
      <c r="I21977"/>
      <c r="N21977"/>
      <c r="O21977" s="24"/>
      <c r="P21977"/>
      <c r="Q21977" s="24"/>
      <c r="R21977"/>
      <c r="S21977"/>
      <c r="T21977"/>
      <c r="U21977"/>
      <c r="X21977" s="60"/>
    </row>
    <row r="21978" spans="7:24" ht="15" customHeight="1">
      <c r="G21978"/>
      <c r="I21978"/>
      <c r="N21978"/>
      <c r="O21978" s="24"/>
      <c r="P21978"/>
      <c r="Q21978" s="24"/>
      <c r="R21978"/>
      <c r="S21978"/>
      <c r="T21978"/>
      <c r="U21978"/>
      <c r="X21978" s="60"/>
    </row>
    <row r="21979" spans="7:24" ht="15" customHeight="1">
      <c r="G21979"/>
      <c r="I21979"/>
      <c r="N21979"/>
      <c r="O21979" s="24"/>
      <c r="P21979"/>
      <c r="Q21979" s="24"/>
      <c r="R21979"/>
      <c r="S21979"/>
      <c r="T21979"/>
      <c r="U21979"/>
      <c r="X21979" s="60"/>
    </row>
    <row r="21980" spans="7:24" ht="15" customHeight="1">
      <c r="G21980"/>
      <c r="I21980"/>
      <c r="N21980"/>
      <c r="O21980" s="24"/>
      <c r="P21980"/>
      <c r="Q21980" s="24"/>
      <c r="R21980"/>
      <c r="S21980"/>
      <c r="T21980"/>
      <c r="U21980"/>
      <c r="X21980" s="60"/>
    </row>
    <row r="21981" spans="7:24" ht="15" customHeight="1">
      <c r="G21981"/>
      <c r="I21981"/>
      <c r="N21981"/>
      <c r="O21981" s="24"/>
      <c r="P21981"/>
      <c r="Q21981" s="24"/>
      <c r="R21981"/>
      <c r="S21981"/>
      <c r="T21981"/>
      <c r="U21981"/>
      <c r="X21981" s="60"/>
    </row>
    <row r="21982" spans="7:24" ht="15" customHeight="1">
      <c r="G21982"/>
      <c r="I21982"/>
      <c r="N21982"/>
      <c r="O21982" s="24"/>
      <c r="P21982"/>
      <c r="Q21982" s="24"/>
      <c r="R21982"/>
      <c r="S21982"/>
      <c r="T21982"/>
      <c r="U21982"/>
      <c r="X21982" s="60"/>
    </row>
    <row r="21983" spans="7:24" ht="15" customHeight="1">
      <c r="G21983"/>
      <c r="I21983"/>
      <c r="N21983"/>
      <c r="O21983" s="24"/>
      <c r="P21983"/>
      <c r="Q21983" s="24"/>
      <c r="R21983"/>
      <c r="S21983"/>
      <c r="T21983"/>
      <c r="U21983"/>
      <c r="X21983" s="60"/>
    </row>
    <row r="21984" spans="7:24" ht="15" customHeight="1">
      <c r="G21984"/>
      <c r="I21984"/>
      <c r="N21984"/>
      <c r="O21984" s="24"/>
      <c r="P21984"/>
      <c r="Q21984" s="24"/>
      <c r="R21984"/>
      <c r="S21984"/>
      <c r="T21984"/>
      <c r="U21984"/>
      <c r="X21984" s="60"/>
    </row>
    <row r="21985" spans="7:24" ht="15" customHeight="1">
      <c r="G21985"/>
      <c r="I21985"/>
      <c r="N21985"/>
      <c r="O21985" s="24"/>
      <c r="P21985"/>
      <c r="Q21985" s="24"/>
      <c r="R21985"/>
      <c r="S21985"/>
      <c r="T21985"/>
      <c r="U21985"/>
      <c r="X21985" s="60"/>
    </row>
    <row r="21986" spans="7:24" ht="15" customHeight="1">
      <c r="G21986"/>
      <c r="I21986"/>
      <c r="N21986"/>
      <c r="O21986" s="24"/>
      <c r="P21986"/>
      <c r="Q21986" s="24"/>
      <c r="R21986"/>
      <c r="S21986"/>
      <c r="T21986"/>
      <c r="U21986"/>
      <c r="X21986" s="60"/>
    </row>
    <row r="21987" spans="7:24" ht="15" customHeight="1">
      <c r="G21987"/>
      <c r="I21987"/>
      <c r="N21987"/>
      <c r="O21987" s="24"/>
      <c r="P21987"/>
      <c r="Q21987" s="24"/>
      <c r="R21987"/>
      <c r="S21987"/>
      <c r="T21987"/>
      <c r="U21987"/>
      <c r="X21987" s="60"/>
    </row>
    <row r="21988" spans="7:24" ht="15" customHeight="1">
      <c r="G21988"/>
      <c r="I21988"/>
      <c r="N21988"/>
      <c r="O21988" s="24"/>
      <c r="P21988"/>
      <c r="Q21988" s="24"/>
      <c r="R21988"/>
      <c r="S21988"/>
      <c r="T21988"/>
      <c r="U21988"/>
      <c r="X21988" s="60"/>
    </row>
    <row r="21989" spans="7:24" ht="15" customHeight="1">
      <c r="G21989"/>
      <c r="I21989"/>
      <c r="N21989"/>
      <c r="O21989" s="24"/>
      <c r="P21989"/>
      <c r="Q21989" s="24"/>
      <c r="R21989"/>
      <c r="S21989"/>
      <c r="T21989"/>
      <c r="U21989"/>
      <c r="X21989" s="60"/>
    </row>
    <row r="21990" spans="7:24" ht="15" customHeight="1">
      <c r="G21990"/>
      <c r="I21990"/>
      <c r="N21990"/>
      <c r="O21990" s="24"/>
      <c r="P21990"/>
      <c r="Q21990" s="24"/>
      <c r="R21990"/>
      <c r="S21990"/>
      <c r="T21990"/>
      <c r="U21990"/>
      <c r="X21990" s="60"/>
    </row>
    <row r="21991" spans="7:24" ht="15" customHeight="1">
      <c r="G21991"/>
      <c r="I21991"/>
      <c r="N21991"/>
      <c r="O21991" s="24"/>
      <c r="P21991"/>
      <c r="Q21991" s="24"/>
      <c r="R21991"/>
      <c r="S21991"/>
      <c r="T21991"/>
      <c r="U21991"/>
      <c r="X21991" s="60"/>
    </row>
    <row r="21992" spans="7:24" ht="15" customHeight="1">
      <c r="G21992"/>
      <c r="I21992"/>
      <c r="N21992"/>
      <c r="O21992" s="24"/>
      <c r="P21992"/>
      <c r="Q21992" s="24"/>
      <c r="R21992"/>
      <c r="S21992"/>
      <c r="T21992"/>
      <c r="U21992"/>
      <c r="X21992" s="60"/>
    </row>
    <row r="21993" spans="7:24" ht="15" customHeight="1">
      <c r="G21993"/>
      <c r="I21993"/>
      <c r="N21993"/>
      <c r="O21993" s="24"/>
      <c r="P21993"/>
      <c r="Q21993" s="24"/>
      <c r="R21993"/>
      <c r="S21993"/>
      <c r="T21993"/>
      <c r="U21993"/>
      <c r="X21993" s="60"/>
    </row>
    <row r="21994" spans="7:24" ht="15" customHeight="1">
      <c r="G21994"/>
      <c r="I21994"/>
      <c r="N21994"/>
      <c r="O21994" s="24"/>
      <c r="P21994"/>
      <c r="Q21994" s="24"/>
      <c r="R21994"/>
      <c r="S21994"/>
      <c r="T21994"/>
      <c r="U21994"/>
      <c r="X21994" s="60"/>
    </row>
    <row r="21995" spans="7:24" ht="15" customHeight="1">
      <c r="G21995"/>
      <c r="I21995"/>
      <c r="N21995"/>
      <c r="O21995" s="24"/>
      <c r="P21995"/>
      <c r="Q21995" s="24"/>
      <c r="R21995"/>
      <c r="S21995"/>
      <c r="T21995"/>
      <c r="U21995"/>
      <c r="X21995" s="60"/>
    </row>
    <row r="21996" spans="7:24" ht="15" customHeight="1">
      <c r="G21996"/>
      <c r="I21996"/>
      <c r="N21996"/>
      <c r="O21996" s="24"/>
      <c r="P21996"/>
      <c r="Q21996" s="24"/>
      <c r="R21996"/>
      <c r="S21996"/>
      <c r="T21996"/>
      <c r="U21996"/>
      <c r="X21996" s="60"/>
    </row>
    <row r="21997" spans="7:24" ht="15" customHeight="1">
      <c r="G21997"/>
      <c r="I21997"/>
      <c r="N21997"/>
      <c r="O21997" s="24"/>
      <c r="P21997"/>
      <c r="Q21997" s="24"/>
      <c r="R21997"/>
      <c r="S21997"/>
      <c r="T21997"/>
      <c r="U21997"/>
      <c r="X21997" s="60"/>
    </row>
    <row r="21998" spans="7:24" ht="15" customHeight="1">
      <c r="G21998"/>
      <c r="I21998"/>
      <c r="N21998"/>
      <c r="O21998" s="24"/>
      <c r="P21998"/>
      <c r="Q21998" s="24"/>
      <c r="R21998"/>
      <c r="S21998"/>
      <c r="T21998"/>
      <c r="U21998"/>
      <c r="X21998" s="60"/>
    </row>
    <row r="21999" spans="7:24" ht="15" customHeight="1">
      <c r="G21999"/>
      <c r="I21999"/>
      <c r="N21999"/>
      <c r="O21999" s="24"/>
      <c r="P21999"/>
      <c r="Q21999" s="24"/>
      <c r="R21999"/>
      <c r="S21999"/>
      <c r="T21999"/>
      <c r="U21999"/>
      <c r="X21999" s="60"/>
    </row>
    <row r="22000" spans="7:24" ht="15" customHeight="1">
      <c r="G22000"/>
      <c r="I22000"/>
      <c r="N22000"/>
      <c r="O22000" s="24"/>
      <c r="P22000"/>
      <c r="Q22000" s="24"/>
      <c r="R22000"/>
      <c r="S22000"/>
      <c r="T22000"/>
      <c r="U22000"/>
      <c r="X22000" s="60"/>
    </row>
    <row r="22001" spans="7:24" ht="15" customHeight="1">
      <c r="G22001"/>
      <c r="I22001"/>
      <c r="N22001"/>
      <c r="O22001" s="24"/>
      <c r="P22001"/>
      <c r="Q22001" s="24"/>
      <c r="R22001"/>
      <c r="S22001"/>
      <c r="T22001"/>
      <c r="U22001"/>
      <c r="X22001" s="60"/>
    </row>
    <row r="22002" spans="7:24" ht="15" customHeight="1">
      <c r="G22002"/>
      <c r="I22002"/>
      <c r="N22002"/>
      <c r="O22002" s="24"/>
      <c r="P22002"/>
      <c r="Q22002" s="24"/>
      <c r="R22002"/>
      <c r="S22002"/>
      <c r="T22002"/>
      <c r="U22002"/>
      <c r="X22002" s="60"/>
    </row>
    <row r="22003" spans="7:24" ht="15" customHeight="1">
      <c r="G22003"/>
      <c r="I22003"/>
      <c r="N22003"/>
      <c r="O22003" s="24"/>
      <c r="P22003"/>
      <c r="Q22003" s="24"/>
      <c r="R22003"/>
      <c r="S22003"/>
      <c r="T22003"/>
      <c r="U22003"/>
      <c r="X22003" s="60"/>
    </row>
    <row r="22004" spans="7:24" ht="15" customHeight="1">
      <c r="G22004"/>
      <c r="I22004"/>
      <c r="N22004"/>
      <c r="O22004" s="24"/>
      <c r="P22004"/>
      <c r="Q22004" s="24"/>
      <c r="R22004"/>
      <c r="S22004"/>
      <c r="T22004"/>
      <c r="U22004"/>
      <c r="X22004" s="60"/>
    </row>
    <row r="22005" spans="7:24" ht="15" customHeight="1">
      <c r="G22005"/>
      <c r="I22005"/>
      <c r="N22005"/>
      <c r="O22005" s="24"/>
      <c r="P22005"/>
      <c r="Q22005" s="24"/>
      <c r="R22005"/>
      <c r="S22005"/>
      <c r="T22005"/>
      <c r="U22005"/>
      <c r="X22005" s="60"/>
    </row>
    <row r="22006" spans="7:24" ht="15" customHeight="1">
      <c r="G22006"/>
      <c r="I22006"/>
      <c r="N22006"/>
      <c r="O22006" s="24"/>
      <c r="P22006"/>
      <c r="Q22006" s="24"/>
      <c r="R22006"/>
      <c r="S22006"/>
      <c r="T22006"/>
      <c r="U22006"/>
      <c r="X22006" s="60"/>
    </row>
    <row r="22007" spans="7:24" ht="15" customHeight="1">
      <c r="G22007"/>
      <c r="I22007"/>
      <c r="N22007"/>
      <c r="O22007" s="24"/>
      <c r="P22007"/>
      <c r="Q22007" s="24"/>
      <c r="R22007"/>
      <c r="S22007"/>
      <c r="T22007"/>
      <c r="U22007"/>
      <c r="X22007" s="60"/>
    </row>
    <row r="22008" spans="7:24" ht="15" customHeight="1">
      <c r="G22008"/>
      <c r="I22008"/>
      <c r="N22008"/>
      <c r="O22008" s="24"/>
      <c r="P22008"/>
      <c r="Q22008" s="24"/>
      <c r="R22008"/>
      <c r="S22008"/>
      <c r="T22008"/>
      <c r="U22008"/>
      <c r="X22008" s="60"/>
    </row>
    <row r="22009" spans="7:24" ht="15" customHeight="1">
      <c r="G22009"/>
      <c r="I22009"/>
      <c r="N22009"/>
      <c r="O22009" s="24"/>
      <c r="P22009"/>
      <c r="Q22009" s="24"/>
      <c r="R22009"/>
      <c r="S22009"/>
      <c r="T22009"/>
      <c r="U22009"/>
      <c r="X22009" s="60"/>
    </row>
    <row r="22010" spans="7:24" ht="15" customHeight="1">
      <c r="G22010"/>
      <c r="I22010"/>
      <c r="N22010"/>
      <c r="O22010" s="24"/>
      <c r="P22010"/>
      <c r="Q22010" s="24"/>
      <c r="R22010"/>
      <c r="S22010"/>
      <c r="T22010"/>
      <c r="U22010"/>
      <c r="X22010" s="60"/>
    </row>
    <row r="22011" spans="7:24" ht="15" customHeight="1">
      <c r="G22011"/>
      <c r="I22011"/>
      <c r="N22011"/>
      <c r="O22011" s="24"/>
      <c r="P22011"/>
      <c r="Q22011" s="24"/>
      <c r="R22011"/>
      <c r="S22011"/>
      <c r="T22011"/>
      <c r="U22011"/>
      <c r="X22011" s="60"/>
    </row>
    <row r="22012" spans="7:24" ht="15" customHeight="1">
      <c r="G22012"/>
      <c r="I22012"/>
      <c r="N22012"/>
      <c r="O22012" s="24"/>
      <c r="P22012"/>
      <c r="Q22012" s="24"/>
      <c r="R22012"/>
      <c r="S22012"/>
      <c r="T22012"/>
      <c r="U22012"/>
      <c r="X22012" s="60"/>
    </row>
    <row r="22013" spans="7:24" ht="15" customHeight="1">
      <c r="G22013"/>
      <c r="I22013"/>
      <c r="N22013"/>
      <c r="O22013" s="24"/>
      <c r="P22013"/>
      <c r="Q22013" s="24"/>
      <c r="R22013"/>
      <c r="S22013"/>
      <c r="T22013"/>
      <c r="U22013"/>
      <c r="X22013" s="60"/>
    </row>
    <row r="22014" spans="7:24" ht="15" customHeight="1">
      <c r="G22014"/>
      <c r="I22014"/>
      <c r="N22014"/>
      <c r="O22014" s="24"/>
      <c r="P22014"/>
      <c r="Q22014" s="24"/>
      <c r="R22014"/>
      <c r="S22014"/>
      <c r="T22014"/>
      <c r="U22014"/>
      <c r="X22014" s="60"/>
    </row>
    <row r="22015" spans="7:24" ht="15" customHeight="1">
      <c r="G22015"/>
      <c r="I22015"/>
      <c r="N22015"/>
      <c r="O22015" s="24"/>
      <c r="P22015"/>
      <c r="Q22015" s="24"/>
      <c r="R22015"/>
      <c r="S22015"/>
      <c r="T22015"/>
      <c r="U22015"/>
      <c r="X22015" s="60"/>
    </row>
    <row r="22016" spans="7:24" ht="15" customHeight="1">
      <c r="G22016"/>
      <c r="I22016"/>
      <c r="N22016"/>
      <c r="O22016" s="24"/>
      <c r="P22016"/>
      <c r="Q22016" s="24"/>
      <c r="R22016"/>
      <c r="S22016"/>
      <c r="T22016"/>
      <c r="U22016"/>
      <c r="X22016" s="60"/>
    </row>
    <row r="22017" spans="7:24" ht="15" customHeight="1">
      <c r="G22017"/>
      <c r="I22017"/>
      <c r="N22017"/>
      <c r="O22017" s="24"/>
      <c r="P22017"/>
      <c r="Q22017" s="24"/>
      <c r="R22017"/>
      <c r="S22017"/>
      <c r="T22017"/>
      <c r="U22017"/>
      <c r="X22017" s="60"/>
    </row>
    <row r="22018" spans="7:24" ht="15" customHeight="1">
      <c r="G22018"/>
      <c r="I22018"/>
      <c r="N22018"/>
      <c r="O22018" s="24"/>
      <c r="P22018"/>
      <c r="Q22018" s="24"/>
      <c r="R22018"/>
      <c r="S22018"/>
      <c r="T22018"/>
      <c r="U22018"/>
      <c r="X22018" s="60"/>
    </row>
    <row r="22019" spans="7:24" ht="15" customHeight="1">
      <c r="G22019"/>
      <c r="I22019"/>
      <c r="N22019"/>
      <c r="O22019" s="24"/>
      <c r="P22019"/>
      <c r="Q22019" s="24"/>
      <c r="R22019"/>
      <c r="S22019"/>
      <c r="T22019"/>
      <c r="U22019"/>
      <c r="X22019" s="60"/>
    </row>
    <row r="22020" spans="7:24" ht="15" customHeight="1">
      <c r="G22020"/>
      <c r="I22020"/>
      <c r="N22020"/>
      <c r="O22020" s="24"/>
      <c r="P22020"/>
      <c r="Q22020" s="24"/>
      <c r="R22020"/>
      <c r="S22020"/>
      <c r="T22020"/>
      <c r="U22020"/>
      <c r="X22020" s="60"/>
    </row>
    <row r="22021" spans="7:24" ht="15" customHeight="1">
      <c r="G22021"/>
      <c r="I22021"/>
      <c r="N22021"/>
      <c r="O22021" s="24"/>
      <c r="P22021"/>
      <c r="Q22021" s="24"/>
      <c r="R22021"/>
      <c r="S22021"/>
      <c r="T22021"/>
      <c r="U22021"/>
      <c r="X22021" s="60"/>
    </row>
    <row r="22022" spans="7:24" ht="15" customHeight="1">
      <c r="G22022"/>
      <c r="I22022"/>
      <c r="N22022"/>
      <c r="O22022" s="24"/>
      <c r="P22022"/>
      <c r="Q22022" s="24"/>
      <c r="R22022"/>
      <c r="S22022"/>
      <c r="T22022"/>
      <c r="U22022"/>
      <c r="X22022" s="60"/>
    </row>
    <row r="22023" spans="7:24" ht="15" customHeight="1">
      <c r="G22023"/>
      <c r="I22023"/>
      <c r="N22023"/>
      <c r="O22023" s="24"/>
      <c r="P22023"/>
      <c r="Q22023" s="24"/>
      <c r="R22023"/>
      <c r="S22023"/>
      <c r="T22023"/>
      <c r="U22023"/>
      <c r="X22023" s="60"/>
    </row>
    <row r="22024" spans="7:24" ht="15" customHeight="1">
      <c r="G22024"/>
      <c r="I22024"/>
      <c r="N22024"/>
      <c r="O22024" s="24"/>
      <c r="P22024"/>
      <c r="Q22024" s="24"/>
      <c r="R22024"/>
      <c r="S22024"/>
      <c r="T22024"/>
      <c r="U22024"/>
      <c r="X22024" s="60"/>
    </row>
    <row r="22025" spans="7:24" ht="15" customHeight="1">
      <c r="G22025"/>
      <c r="I22025"/>
      <c r="N22025"/>
      <c r="O22025" s="24"/>
      <c r="P22025"/>
      <c r="Q22025" s="24"/>
      <c r="R22025"/>
      <c r="S22025"/>
      <c r="T22025"/>
      <c r="U22025"/>
      <c r="X22025" s="60"/>
    </row>
    <row r="22026" spans="7:24" ht="15" customHeight="1">
      <c r="G22026"/>
      <c r="I22026"/>
      <c r="N22026"/>
      <c r="O22026" s="24"/>
      <c r="P22026"/>
      <c r="Q22026" s="24"/>
      <c r="R22026"/>
      <c r="S22026"/>
      <c r="T22026"/>
      <c r="U22026"/>
      <c r="X22026" s="60"/>
    </row>
    <row r="22027" spans="7:24" ht="15" customHeight="1">
      <c r="G22027"/>
      <c r="I22027"/>
      <c r="N22027"/>
      <c r="O22027" s="24"/>
      <c r="P22027"/>
      <c r="Q22027" s="24"/>
      <c r="R22027"/>
      <c r="S22027"/>
      <c r="T22027"/>
      <c r="U22027"/>
      <c r="X22027" s="60"/>
    </row>
    <row r="22028" spans="7:24" ht="15" customHeight="1">
      <c r="G22028"/>
      <c r="I22028"/>
      <c r="N22028"/>
      <c r="O22028" s="24"/>
      <c r="P22028"/>
      <c r="Q22028" s="24"/>
      <c r="R22028"/>
      <c r="S22028"/>
      <c r="T22028"/>
      <c r="U22028"/>
      <c r="X22028" s="60"/>
    </row>
    <row r="22029" spans="7:24" ht="15" customHeight="1">
      <c r="G22029"/>
      <c r="I22029"/>
      <c r="N22029"/>
      <c r="O22029" s="24"/>
      <c r="P22029"/>
      <c r="Q22029" s="24"/>
      <c r="R22029"/>
      <c r="S22029"/>
      <c r="T22029"/>
      <c r="U22029"/>
      <c r="X22029" s="60"/>
    </row>
    <row r="22030" spans="7:24" ht="15" customHeight="1">
      <c r="G22030"/>
      <c r="I22030"/>
      <c r="N22030"/>
      <c r="O22030" s="24"/>
      <c r="P22030"/>
      <c r="Q22030" s="24"/>
      <c r="R22030"/>
      <c r="S22030"/>
      <c r="T22030"/>
      <c r="U22030"/>
      <c r="X22030" s="60"/>
    </row>
    <row r="22031" spans="7:24" ht="15" customHeight="1">
      <c r="G22031"/>
      <c r="I22031"/>
      <c r="N22031"/>
      <c r="O22031" s="24"/>
      <c r="P22031"/>
      <c r="Q22031" s="24"/>
      <c r="R22031"/>
      <c r="S22031"/>
      <c r="T22031"/>
      <c r="U22031"/>
      <c r="X22031" s="60"/>
    </row>
    <row r="22032" spans="7:24" ht="15" customHeight="1">
      <c r="G22032"/>
      <c r="I22032"/>
      <c r="N22032"/>
      <c r="O22032" s="24"/>
      <c r="P22032"/>
      <c r="Q22032" s="24"/>
      <c r="R22032"/>
      <c r="S22032"/>
      <c r="T22032"/>
      <c r="U22032"/>
      <c r="X22032" s="60"/>
    </row>
    <row r="22033" spans="7:24" ht="15" customHeight="1">
      <c r="G22033"/>
      <c r="I22033"/>
      <c r="N22033"/>
      <c r="O22033" s="24"/>
      <c r="P22033"/>
      <c r="Q22033" s="24"/>
      <c r="R22033"/>
      <c r="S22033"/>
      <c r="T22033"/>
      <c r="U22033"/>
      <c r="X22033" s="60"/>
    </row>
    <row r="22034" spans="7:24" ht="15" customHeight="1">
      <c r="G22034"/>
      <c r="I22034"/>
      <c r="N22034"/>
      <c r="O22034" s="24"/>
      <c r="P22034"/>
      <c r="Q22034" s="24"/>
      <c r="R22034"/>
      <c r="S22034"/>
      <c r="T22034"/>
      <c r="U22034"/>
      <c r="X22034" s="60"/>
    </row>
    <row r="22035" spans="7:24" ht="15" customHeight="1">
      <c r="G22035"/>
      <c r="I22035"/>
      <c r="N22035"/>
      <c r="O22035" s="24"/>
      <c r="P22035"/>
      <c r="Q22035" s="24"/>
      <c r="R22035"/>
      <c r="S22035"/>
      <c r="T22035"/>
      <c r="U22035"/>
      <c r="X22035" s="60"/>
    </row>
    <row r="22036" spans="7:24" ht="15" customHeight="1">
      <c r="G22036"/>
      <c r="I22036"/>
      <c r="N22036"/>
      <c r="O22036" s="24"/>
      <c r="P22036"/>
      <c r="Q22036" s="24"/>
      <c r="R22036"/>
      <c r="S22036"/>
      <c r="T22036"/>
      <c r="U22036"/>
      <c r="X22036" s="60"/>
    </row>
    <row r="22037" spans="7:24" ht="15" customHeight="1">
      <c r="G22037"/>
      <c r="I22037"/>
      <c r="N22037"/>
      <c r="O22037" s="24"/>
      <c r="P22037"/>
      <c r="Q22037" s="24"/>
      <c r="R22037"/>
      <c r="S22037"/>
      <c r="T22037"/>
      <c r="U22037"/>
      <c r="X22037" s="60"/>
    </row>
    <row r="22038" spans="7:24" ht="15" customHeight="1">
      <c r="G22038"/>
      <c r="I22038"/>
      <c r="N22038"/>
      <c r="O22038" s="24"/>
      <c r="P22038"/>
      <c r="Q22038" s="24"/>
      <c r="R22038"/>
      <c r="S22038"/>
      <c r="T22038"/>
      <c r="U22038"/>
      <c r="X22038" s="60"/>
    </row>
    <row r="22039" spans="7:24" ht="15" customHeight="1">
      <c r="G22039"/>
      <c r="I22039"/>
      <c r="N22039"/>
      <c r="O22039" s="24"/>
      <c r="P22039"/>
      <c r="Q22039" s="24"/>
      <c r="R22039"/>
      <c r="S22039"/>
      <c r="T22039"/>
      <c r="U22039"/>
      <c r="X22039" s="60"/>
    </row>
    <row r="22040" spans="7:24" ht="15" customHeight="1">
      <c r="G22040"/>
      <c r="I22040"/>
      <c r="N22040"/>
      <c r="O22040" s="24"/>
      <c r="P22040"/>
      <c r="Q22040" s="24"/>
      <c r="R22040"/>
      <c r="S22040"/>
      <c r="T22040"/>
      <c r="U22040"/>
      <c r="X22040" s="60"/>
    </row>
    <row r="22041" spans="7:24" ht="15" customHeight="1">
      <c r="G22041"/>
      <c r="I22041"/>
      <c r="N22041"/>
      <c r="O22041" s="24"/>
      <c r="P22041"/>
      <c r="Q22041" s="24"/>
      <c r="R22041"/>
      <c r="S22041"/>
      <c r="T22041"/>
      <c r="U22041"/>
      <c r="X22041" s="60"/>
    </row>
    <row r="22042" spans="7:24" ht="15" customHeight="1">
      <c r="G22042"/>
      <c r="I22042"/>
      <c r="N22042"/>
      <c r="O22042" s="24"/>
      <c r="P22042"/>
      <c r="Q22042" s="24"/>
      <c r="R22042"/>
      <c r="S22042"/>
      <c r="T22042"/>
      <c r="U22042"/>
      <c r="X22042" s="60"/>
    </row>
    <row r="22043" spans="7:24" ht="15" customHeight="1">
      <c r="G22043"/>
      <c r="I22043"/>
      <c r="N22043"/>
      <c r="O22043" s="24"/>
      <c r="P22043"/>
      <c r="Q22043" s="24"/>
      <c r="R22043"/>
      <c r="S22043"/>
      <c r="T22043"/>
      <c r="U22043"/>
      <c r="X22043" s="60"/>
    </row>
    <row r="22044" spans="7:24" ht="15" customHeight="1">
      <c r="G22044"/>
      <c r="I22044"/>
      <c r="N22044"/>
      <c r="O22044" s="24"/>
      <c r="P22044"/>
      <c r="Q22044" s="24"/>
      <c r="R22044"/>
      <c r="S22044"/>
      <c r="T22044"/>
      <c r="U22044"/>
      <c r="X22044" s="60"/>
    </row>
    <row r="22045" spans="7:24" ht="15" customHeight="1">
      <c r="G22045"/>
      <c r="I22045"/>
      <c r="N22045"/>
      <c r="O22045" s="24"/>
      <c r="P22045"/>
      <c r="Q22045" s="24"/>
      <c r="R22045"/>
      <c r="S22045"/>
      <c r="T22045"/>
      <c r="U22045"/>
      <c r="X22045" s="60"/>
    </row>
    <row r="22046" spans="7:24" ht="15" customHeight="1">
      <c r="G22046"/>
      <c r="I22046"/>
      <c r="N22046"/>
      <c r="O22046" s="24"/>
      <c r="P22046"/>
      <c r="Q22046" s="24"/>
      <c r="R22046"/>
      <c r="S22046"/>
      <c r="T22046"/>
      <c r="U22046"/>
      <c r="X22046" s="60"/>
    </row>
    <row r="22047" spans="7:24" ht="15" customHeight="1">
      <c r="G22047"/>
      <c r="I22047"/>
      <c r="N22047"/>
      <c r="O22047" s="24"/>
      <c r="P22047"/>
      <c r="Q22047" s="24"/>
      <c r="R22047"/>
      <c r="S22047"/>
      <c r="T22047"/>
      <c r="U22047"/>
      <c r="X22047" s="60"/>
    </row>
    <row r="22048" spans="7:24" ht="15" customHeight="1">
      <c r="G22048"/>
      <c r="I22048"/>
      <c r="N22048"/>
      <c r="O22048" s="24"/>
      <c r="P22048"/>
      <c r="Q22048" s="24"/>
      <c r="R22048"/>
      <c r="S22048"/>
      <c r="T22048"/>
      <c r="U22048"/>
      <c r="X22048" s="60"/>
    </row>
    <row r="22049" spans="7:24" ht="15" customHeight="1">
      <c r="G22049"/>
      <c r="I22049"/>
      <c r="N22049"/>
      <c r="O22049" s="24"/>
      <c r="P22049"/>
      <c r="Q22049" s="24"/>
      <c r="R22049"/>
      <c r="S22049"/>
      <c r="T22049"/>
      <c r="U22049"/>
      <c r="X22049" s="60"/>
    </row>
    <row r="22050" spans="7:24" ht="15" customHeight="1">
      <c r="G22050"/>
      <c r="I22050"/>
      <c r="N22050"/>
      <c r="O22050" s="24"/>
      <c r="P22050"/>
      <c r="Q22050" s="24"/>
      <c r="R22050"/>
      <c r="S22050"/>
      <c r="T22050"/>
      <c r="U22050"/>
      <c r="X22050" s="60"/>
    </row>
    <row r="22051" spans="7:24" ht="15" customHeight="1">
      <c r="G22051"/>
      <c r="I22051"/>
      <c r="N22051"/>
      <c r="O22051" s="24"/>
      <c r="P22051"/>
      <c r="Q22051" s="24"/>
      <c r="R22051"/>
      <c r="S22051"/>
      <c r="T22051"/>
      <c r="U22051"/>
      <c r="X22051" s="60"/>
    </row>
    <row r="22052" spans="7:24" ht="15" customHeight="1">
      <c r="G22052"/>
      <c r="I22052"/>
      <c r="N22052"/>
      <c r="O22052" s="24"/>
      <c r="P22052"/>
      <c r="Q22052" s="24"/>
      <c r="R22052"/>
      <c r="S22052"/>
      <c r="T22052"/>
      <c r="U22052"/>
      <c r="X22052" s="60"/>
    </row>
    <row r="22053" spans="7:24" ht="15" customHeight="1">
      <c r="G22053"/>
      <c r="I22053"/>
      <c r="N22053"/>
      <c r="O22053" s="24"/>
      <c r="P22053"/>
      <c r="Q22053" s="24"/>
      <c r="R22053"/>
      <c r="S22053"/>
      <c r="T22053"/>
      <c r="U22053"/>
      <c r="X22053" s="60"/>
    </row>
    <row r="22054" spans="7:24" ht="15" customHeight="1">
      <c r="G22054"/>
      <c r="I22054"/>
      <c r="N22054"/>
      <c r="O22054" s="24"/>
      <c r="P22054"/>
      <c r="Q22054" s="24"/>
      <c r="R22054"/>
      <c r="S22054"/>
      <c r="T22054"/>
      <c r="U22054"/>
      <c r="X22054" s="60"/>
    </row>
    <row r="22055" spans="7:24" ht="15" customHeight="1">
      <c r="G22055"/>
      <c r="I22055"/>
      <c r="N22055"/>
      <c r="O22055" s="24"/>
      <c r="P22055"/>
      <c r="Q22055" s="24"/>
      <c r="R22055"/>
      <c r="S22055"/>
      <c r="T22055"/>
      <c r="U22055"/>
      <c r="X22055" s="60"/>
    </row>
    <row r="22056" spans="7:24" ht="15" customHeight="1">
      <c r="G22056"/>
      <c r="I22056"/>
      <c r="N22056"/>
      <c r="O22056" s="24"/>
      <c r="P22056"/>
      <c r="Q22056" s="24"/>
      <c r="R22056"/>
      <c r="S22056"/>
      <c r="T22056"/>
      <c r="U22056"/>
      <c r="X22056" s="60"/>
    </row>
    <row r="22057" spans="7:24" ht="15" customHeight="1">
      <c r="G22057"/>
      <c r="I22057"/>
      <c r="N22057"/>
      <c r="O22057" s="24"/>
      <c r="P22057"/>
      <c r="Q22057" s="24"/>
      <c r="R22057"/>
      <c r="S22057"/>
      <c r="T22057"/>
      <c r="U22057"/>
      <c r="X22057" s="60"/>
    </row>
    <row r="22058" spans="7:24" ht="15" customHeight="1">
      <c r="G22058"/>
      <c r="I22058"/>
      <c r="N22058"/>
      <c r="O22058" s="24"/>
      <c r="P22058"/>
      <c r="Q22058" s="24"/>
      <c r="R22058"/>
      <c r="S22058"/>
      <c r="T22058"/>
      <c r="U22058"/>
      <c r="X22058" s="60"/>
    </row>
    <row r="22059" spans="7:24" ht="15" customHeight="1">
      <c r="G22059"/>
      <c r="I22059"/>
      <c r="N22059"/>
      <c r="O22059" s="24"/>
      <c r="P22059"/>
      <c r="Q22059" s="24"/>
      <c r="R22059"/>
      <c r="S22059"/>
      <c r="T22059"/>
      <c r="U22059"/>
      <c r="X22059" s="60"/>
    </row>
    <row r="22060" spans="7:24" ht="15" customHeight="1">
      <c r="G22060"/>
      <c r="I22060"/>
      <c r="N22060"/>
      <c r="O22060" s="24"/>
      <c r="P22060"/>
      <c r="Q22060" s="24"/>
      <c r="R22060"/>
      <c r="S22060"/>
      <c r="T22060"/>
      <c r="U22060"/>
      <c r="X22060" s="60"/>
    </row>
    <row r="22061" spans="7:24" ht="15" customHeight="1">
      <c r="G22061"/>
      <c r="I22061"/>
      <c r="N22061"/>
      <c r="O22061" s="24"/>
      <c r="P22061"/>
      <c r="Q22061" s="24"/>
      <c r="R22061"/>
      <c r="S22061"/>
      <c r="T22061"/>
      <c r="U22061"/>
      <c r="X22061" s="60"/>
    </row>
    <row r="22062" spans="7:24" ht="15" customHeight="1">
      <c r="G22062"/>
      <c r="I22062"/>
      <c r="N22062"/>
      <c r="O22062" s="24"/>
      <c r="P22062"/>
      <c r="Q22062" s="24"/>
      <c r="R22062"/>
      <c r="S22062"/>
      <c r="T22062"/>
      <c r="U22062"/>
      <c r="X22062" s="60"/>
    </row>
    <row r="22063" spans="7:24" ht="15" customHeight="1">
      <c r="G22063"/>
      <c r="I22063"/>
      <c r="N22063"/>
      <c r="O22063" s="24"/>
      <c r="P22063"/>
      <c r="Q22063" s="24"/>
      <c r="R22063"/>
      <c r="S22063"/>
      <c r="T22063"/>
      <c r="U22063"/>
      <c r="X22063" s="60"/>
    </row>
    <row r="22064" spans="7:24" ht="15" customHeight="1">
      <c r="G22064"/>
      <c r="I22064"/>
      <c r="N22064"/>
      <c r="O22064" s="24"/>
      <c r="P22064"/>
      <c r="Q22064" s="24"/>
      <c r="R22064"/>
      <c r="S22064"/>
      <c r="T22064"/>
      <c r="U22064"/>
      <c r="X22064" s="60"/>
    </row>
    <row r="22065" spans="7:24" ht="15" customHeight="1">
      <c r="G22065"/>
      <c r="I22065"/>
      <c r="N22065"/>
      <c r="O22065" s="24"/>
      <c r="P22065"/>
      <c r="Q22065" s="24"/>
      <c r="R22065"/>
      <c r="S22065"/>
      <c r="T22065"/>
      <c r="U22065"/>
      <c r="X22065" s="60"/>
    </row>
    <row r="22066" spans="7:24" ht="15" customHeight="1">
      <c r="G22066"/>
      <c r="I22066"/>
      <c r="N22066"/>
      <c r="O22066" s="24"/>
      <c r="P22066"/>
      <c r="Q22066" s="24"/>
      <c r="R22066"/>
      <c r="S22066"/>
      <c r="T22066"/>
      <c r="U22066"/>
      <c r="X22066" s="60"/>
    </row>
    <row r="22067" spans="7:24" ht="15" customHeight="1">
      <c r="G22067"/>
      <c r="I22067"/>
      <c r="N22067"/>
      <c r="O22067" s="24"/>
      <c r="P22067"/>
      <c r="Q22067" s="24"/>
      <c r="R22067"/>
      <c r="S22067"/>
      <c r="T22067"/>
      <c r="U22067"/>
      <c r="X22067" s="60"/>
    </row>
    <row r="22068" spans="7:24" ht="15" customHeight="1">
      <c r="G22068"/>
      <c r="I22068"/>
      <c r="N22068"/>
      <c r="O22068" s="24"/>
      <c r="P22068"/>
      <c r="Q22068" s="24"/>
      <c r="R22068"/>
      <c r="S22068"/>
      <c r="T22068"/>
      <c r="U22068"/>
      <c r="X22068" s="60"/>
    </row>
    <row r="22069" spans="7:24" ht="15" customHeight="1">
      <c r="G22069"/>
      <c r="I22069"/>
      <c r="N22069"/>
      <c r="O22069" s="24"/>
      <c r="P22069"/>
      <c r="Q22069" s="24"/>
      <c r="R22069"/>
      <c r="S22069"/>
      <c r="T22069"/>
      <c r="U22069"/>
      <c r="X22069" s="60"/>
    </row>
    <row r="22070" spans="7:24" ht="15" customHeight="1">
      <c r="G22070"/>
      <c r="I22070"/>
      <c r="N22070"/>
      <c r="O22070" s="24"/>
      <c r="P22070"/>
      <c r="Q22070" s="24"/>
      <c r="R22070"/>
      <c r="S22070"/>
      <c r="T22070"/>
      <c r="U22070"/>
      <c r="X22070" s="60"/>
    </row>
    <row r="22071" spans="7:24" ht="15" customHeight="1">
      <c r="G22071"/>
      <c r="I22071"/>
      <c r="N22071"/>
      <c r="O22071" s="24"/>
      <c r="P22071"/>
      <c r="Q22071" s="24"/>
      <c r="R22071"/>
      <c r="S22071"/>
      <c r="T22071"/>
      <c r="U22071"/>
      <c r="X22071" s="60"/>
    </row>
    <row r="22072" spans="7:24" ht="15" customHeight="1">
      <c r="G22072"/>
      <c r="I22072"/>
      <c r="N22072"/>
      <c r="O22072" s="24"/>
      <c r="P22072"/>
      <c r="Q22072" s="24"/>
      <c r="R22072"/>
      <c r="S22072"/>
      <c r="T22072"/>
      <c r="U22072"/>
      <c r="X22072" s="60"/>
    </row>
    <row r="22073" spans="7:24" ht="15" customHeight="1">
      <c r="G22073"/>
      <c r="I22073"/>
      <c r="N22073"/>
      <c r="O22073" s="24"/>
      <c r="P22073"/>
      <c r="Q22073" s="24"/>
      <c r="R22073"/>
      <c r="S22073"/>
      <c r="T22073"/>
      <c r="U22073"/>
      <c r="X22073" s="60"/>
    </row>
    <row r="22074" spans="7:24" ht="15" customHeight="1">
      <c r="G22074"/>
      <c r="I22074"/>
      <c r="N22074"/>
      <c r="O22074" s="24"/>
      <c r="P22074"/>
      <c r="Q22074" s="24"/>
      <c r="R22074"/>
      <c r="S22074"/>
      <c r="T22074"/>
      <c r="U22074"/>
      <c r="X22074" s="60"/>
    </row>
    <row r="22075" spans="7:24" ht="15" customHeight="1">
      <c r="G22075"/>
      <c r="I22075"/>
      <c r="N22075"/>
      <c r="O22075" s="24"/>
      <c r="P22075"/>
      <c r="Q22075" s="24"/>
      <c r="R22075"/>
      <c r="S22075"/>
      <c r="T22075"/>
      <c r="U22075"/>
      <c r="X22075" s="60"/>
    </row>
    <row r="22076" spans="7:24" ht="15" customHeight="1">
      <c r="G22076"/>
      <c r="I22076"/>
      <c r="N22076"/>
      <c r="O22076" s="24"/>
      <c r="P22076"/>
      <c r="Q22076" s="24"/>
      <c r="R22076"/>
      <c r="S22076"/>
      <c r="T22076"/>
      <c r="U22076"/>
      <c r="X22076" s="60"/>
    </row>
    <row r="22077" spans="7:24" ht="15" customHeight="1">
      <c r="G22077"/>
      <c r="I22077"/>
      <c r="N22077"/>
      <c r="O22077" s="24"/>
      <c r="P22077"/>
      <c r="Q22077" s="24"/>
      <c r="R22077"/>
      <c r="S22077"/>
      <c r="T22077"/>
      <c r="U22077"/>
      <c r="X22077" s="60"/>
    </row>
    <row r="22078" spans="7:24" ht="15" customHeight="1">
      <c r="G22078"/>
      <c r="I22078"/>
      <c r="N22078"/>
      <c r="O22078" s="24"/>
      <c r="P22078"/>
      <c r="Q22078" s="24"/>
      <c r="R22078"/>
      <c r="S22078"/>
      <c r="T22078"/>
      <c r="U22078"/>
      <c r="X22078" s="60"/>
    </row>
    <row r="22079" spans="7:24" ht="15" customHeight="1">
      <c r="G22079"/>
      <c r="I22079"/>
      <c r="N22079"/>
      <c r="O22079" s="24"/>
      <c r="P22079"/>
      <c r="Q22079" s="24"/>
      <c r="R22079"/>
      <c r="S22079"/>
      <c r="T22079"/>
      <c r="U22079"/>
      <c r="X22079" s="60"/>
    </row>
    <row r="22080" spans="7:24" ht="15" customHeight="1">
      <c r="G22080"/>
      <c r="I22080"/>
      <c r="N22080"/>
      <c r="O22080" s="24"/>
      <c r="P22080"/>
      <c r="Q22080" s="24"/>
      <c r="R22080"/>
      <c r="S22080"/>
      <c r="T22080"/>
      <c r="U22080"/>
      <c r="X22080" s="60"/>
    </row>
    <row r="22081" spans="7:24" ht="15" customHeight="1">
      <c r="G22081"/>
      <c r="I22081"/>
      <c r="N22081"/>
      <c r="O22081" s="24"/>
      <c r="P22081"/>
      <c r="Q22081" s="24"/>
      <c r="R22081"/>
      <c r="S22081"/>
      <c r="T22081"/>
      <c r="U22081"/>
      <c r="X22081" s="60"/>
    </row>
    <row r="22082" spans="7:24" ht="15" customHeight="1">
      <c r="G22082"/>
      <c r="I22082"/>
      <c r="N22082"/>
      <c r="O22082" s="24"/>
      <c r="P22082"/>
      <c r="Q22082" s="24"/>
      <c r="R22082"/>
      <c r="S22082"/>
      <c r="T22082"/>
      <c r="U22082"/>
      <c r="X22082" s="60"/>
    </row>
    <row r="22083" spans="7:24" ht="15" customHeight="1">
      <c r="G22083"/>
      <c r="I22083"/>
      <c r="N22083"/>
      <c r="O22083" s="24"/>
      <c r="P22083"/>
      <c r="Q22083" s="24"/>
      <c r="R22083"/>
      <c r="S22083"/>
      <c r="T22083"/>
      <c r="U22083"/>
      <c r="X22083" s="60"/>
    </row>
    <row r="22084" spans="7:24" ht="15" customHeight="1">
      <c r="G22084"/>
      <c r="I22084"/>
      <c r="N22084"/>
      <c r="O22084" s="24"/>
      <c r="P22084"/>
      <c r="Q22084" s="24"/>
      <c r="R22084"/>
      <c r="S22084"/>
      <c r="T22084"/>
      <c r="U22084"/>
      <c r="X22084" s="60"/>
    </row>
    <row r="22085" spans="7:24" ht="15" customHeight="1">
      <c r="G22085"/>
      <c r="I22085"/>
      <c r="N22085"/>
      <c r="O22085" s="24"/>
      <c r="P22085"/>
      <c r="Q22085" s="24"/>
      <c r="R22085"/>
      <c r="S22085"/>
      <c r="T22085"/>
      <c r="U22085"/>
      <c r="X22085" s="60"/>
    </row>
    <row r="22086" spans="7:24" ht="15" customHeight="1">
      <c r="G22086"/>
      <c r="I22086"/>
      <c r="N22086"/>
      <c r="O22086" s="24"/>
      <c r="P22086"/>
      <c r="Q22086" s="24"/>
      <c r="R22086"/>
      <c r="S22086"/>
      <c r="T22086"/>
      <c r="U22086"/>
      <c r="X22086" s="60"/>
    </row>
    <row r="22087" spans="7:24" ht="15" customHeight="1">
      <c r="G22087"/>
      <c r="I22087"/>
      <c r="N22087"/>
      <c r="O22087" s="24"/>
      <c r="P22087"/>
      <c r="Q22087" s="24"/>
      <c r="R22087"/>
      <c r="S22087"/>
      <c r="T22087"/>
      <c r="U22087"/>
      <c r="X22087" s="60"/>
    </row>
    <row r="22088" spans="7:24" ht="15" customHeight="1">
      <c r="G22088"/>
      <c r="I22088"/>
      <c r="N22088"/>
      <c r="O22088" s="24"/>
      <c r="P22088"/>
      <c r="Q22088" s="24"/>
      <c r="R22088"/>
      <c r="S22088"/>
      <c r="T22088"/>
      <c r="U22088"/>
      <c r="X22088" s="60"/>
    </row>
    <row r="22089" spans="7:24" ht="15" customHeight="1">
      <c r="G22089"/>
      <c r="I22089"/>
      <c r="N22089"/>
      <c r="O22089" s="24"/>
      <c r="P22089"/>
      <c r="Q22089" s="24"/>
      <c r="R22089"/>
      <c r="S22089"/>
      <c r="T22089"/>
      <c r="U22089"/>
      <c r="X22089" s="60"/>
    </row>
    <row r="22090" spans="7:24" ht="15" customHeight="1">
      <c r="G22090"/>
      <c r="I22090"/>
      <c r="N22090"/>
      <c r="O22090" s="24"/>
      <c r="P22090"/>
      <c r="Q22090" s="24"/>
      <c r="R22090"/>
      <c r="S22090"/>
      <c r="T22090"/>
      <c r="U22090"/>
      <c r="X22090" s="60"/>
    </row>
    <row r="22091" spans="7:24" ht="15" customHeight="1">
      <c r="G22091"/>
      <c r="I22091"/>
      <c r="N22091"/>
      <c r="O22091" s="24"/>
      <c r="P22091"/>
      <c r="Q22091" s="24"/>
      <c r="R22091"/>
      <c r="S22091"/>
      <c r="T22091"/>
      <c r="U22091"/>
      <c r="X22091" s="60"/>
    </row>
    <row r="22092" spans="7:24" ht="15" customHeight="1">
      <c r="G22092"/>
      <c r="I22092"/>
      <c r="N22092"/>
      <c r="O22092" s="24"/>
      <c r="P22092"/>
      <c r="Q22092" s="24"/>
      <c r="R22092"/>
      <c r="S22092"/>
      <c r="T22092"/>
      <c r="U22092"/>
      <c r="X22092" s="60"/>
    </row>
    <row r="22093" spans="7:24" ht="15" customHeight="1">
      <c r="G22093"/>
      <c r="I22093"/>
      <c r="N22093"/>
      <c r="O22093" s="24"/>
      <c r="P22093"/>
      <c r="Q22093" s="24"/>
      <c r="R22093"/>
      <c r="S22093"/>
      <c r="T22093"/>
      <c r="U22093"/>
      <c r="X22093" s="60"/>
    </row>
    <row r="22094" spans="7:24" ht="15" customHeight="1">
      <c r="G22094"/>
      <c r="I22094"/>
      <c r="N22094"/>
      <c r="O22094" s="24"/>
      <c r="P22094"/>
      <c r="Q22094" s="24"/>
      <c r="R22094"/>
      <c r="S22094"/>
      <c r="T22094"/>
      <c r="U22094"/>
      <c r="X22094" s="60"/>
    </row>
    <row r="22095" spans="7:24" ht="15" customHeight="1">
      <c r="G22095"/>
      <c r="I22095"/>
      <c r="N22095"/>
      <c r="O22095" s="24"/>
      <c r="P22095"/>
      <c r="Q22095" s="24"/>
      <c r="R22095"/>
      <c r="S22095"/>
      <c r="T22095"/>
      <c r="U22095"/>
      <c r="X22095" s="60"/>
    </row>
    <row r="22096" spans="7:24" ht="15" customHeight="1">
      <c r="G22096"/>
      <c r="I22096"/>
      <c r="N22096"/>
      <c r="O22096" s="24"/>
      <c r="P22096"/>
      <c r="Q22096" s="24"/>
      <c r="R22096"/>
      <c r="S22096"/>
      <c r="T22096"/>
      <c r="U22096"/>
      <c r="X22096" s="60"/>
    </row>
    <row r="22097" spans="7:24" ht="15" customHeight="1">
      <c r="G22097"/>
      <c r="I22097"/>
      <c r="N22097"/>
      <c r="O22097" s="24"/>
      <c r="P22097"/>
      <c r="Q22097" s="24"/>
      <c r="R22097"/>
      <c r="S22097"/>
      <c r="T22097"/>
      <c r="U22097"/>
      <c r="X22097" s="60"/>
    </row>
    <row r="22098" spans="7:24" ht="15" customHeight="1">
      <c r="G22098"/>
      <c r="I22098"/>
      <c r="N22098"/>
      <c r="O22098" s="24"/>
      <c r="P22098"/>
      <c r="Q22098" s="24"/>
      <c r="R22098"/>
      <c r="S22098"/>
      <c r="T22098"/>
      <c r="U22098"/>
      <c r="X22098" s="60"/>
    </row>
    <row r="22099" spans="7:24" ht="15" customHeight="1">
      <c r="G22099"/>
      <c r="I22099"/>
      <c r="N22099"/>
      <c r="O22099" s="24"/>
      <c r="P22099"/>
      <c r="Q22099" s="24"/>
      <c r="R22099"/>
      <c r="S22099"/>
      <c r="T22099"/>
      <c r="U22099"/>
      <c r="X22099" s="60"/>
    </row>
    <row r="22100" spans="7:24" ht="15" customHeight="1">
      <c r="G22100"/>
      <c r="I22100"/>
      <c r="N22100"/>
      <c r="O22100" s="24"/>
      <c r="P22100"/>
      <c r="Q22100" s="24"/>
      <c r="R22100"/>
      <c r="S22100"/>
      <c r="T22100"/>
      <c r="U22100"/>
      <c r="X22100" s="60"/>
    </row>
    <row r="22101" spans="7:24" ht="15" customHeight="1">
      <c r="G22101"/>
      <c r="I22101"/>
      <c r="N22101"/>
      <c r="O22101" s="24"/>
      <c r="P22101"/>
      <c r="Q22101" s="24"/>
      <c r="R22101"/>
      <c r="S22101"/>
      <c r="T22101"/>
      <c r="U22101"/>
      <c r="X22101" s="60"/>
    </row>
    <row r="22102" spans="7:24" ht="15" customHeight="1">
      <c r="G22102"/>
      <c r="I22102"/>
      <c r="N22102"/>
      <c r="O22102" s="24"/>
      <c r="P22102"/>
      <c r="Q22102" s="24"/>
      <c r="R22102"/>
      <c r="S22102"/>
      <c r="T22102"/>
      <c r="U22102"/>
      <c r="X22102" s="60"/>
    </row>
    <row r="22103" spans="7:24" ht="15" customHeight="1">
      <c r="G22103"/>
      <c r="I22103"/>
      <c r="N22103"/>
      <c r="O22103" s="24"/>
      <c r="P22103"/>
      <c r="Q22103" s="24"/>
      <c r="R22103"/>
      <c r="S22103"/>
      <c r="T22103"/>
      <c r="U22103"/>
      <c r="X22103" s="60"/>
    </row>
    <row r="22104" spans="7:24" ht="15" customHeight="1">
      <c r="G22104"/>
      <c r="I22104"/>
      <c r="N22104"/>
      <c r="O22104" s="24"/>
      <c r="P22104"/>
      <c r="Q22104" s="24"/>
      <c r="R22104"/>
      <c r="S22104"/>
      <c r="T22104"/>
      <c r="U22104"/>
      <c r="X22104" s="60"/>
    </row>
    <row r="22105" spans="7:24" ht="15" customHeight="1">
      <c r="G22105"/>
      <c r="I22105"/>
      <c r="N22105"/>
      <c r="O22105" s="24"/>
      <c r="P22105"/>
      <c r="Q22105" s="24"/>
      <c r="R22105"/>
      <c r="S22105"/>
      <c r="T22105"/>
      <c r="U22105"/>
      <c r="X22105" s="60"/>
    </row>
    <row r="22106" spans="7:24" ht="15" customHeight="1">
      <c r="G22106"/>
      <c r="I22106"/>
      <c r="N22106"/>
      <c r="O22106" s="24"/>
      <c r="P22106"/>
      <c r="Q22106" s="24"/>
      <c r="R22106"/>
      <c r="S22106"/>
      <c r="T22106"/>
      <c r="U22106"/>
      <c r="X22106" s="60"/>
    </row>
    <row r="22107" spans="7:24" ht="15" customHeight="1">
      <c r="G22107"/>
      <c r="I22107"/>
      <c r="N22107"/>
      <c r="O22107" s="24"/>
      <c r="P22107"/>
      <c r="Q22107" s="24"/>
      <c r="R22107"/>
      <c r="S22107"/>
      <c r="T22107"/>
      <c r="U22107"/>
      <c r="X22107" s="60"/>
    </row>
    <row r="22108" spans="7:24" ht="15" customHeight="1">
      <c r="G22108"/>
      <c r="I22108"/>
      <c r="N22108"/>
      <c r="O22108" s="24"/>
      <c r="P22108"/>
      <c r="Q22108" s="24"/>
      <c r="R22108"/>
      <c r="S22108"/>
      <c r="T22108"/>
      <c r="U22108"/>
      <c r="X22108" s="60"/>
    </row>
    <row r="22109" spans="7:24" ht="15" customHeight="1">
      <c r="G22109"/>
      <c r="I22109"/>
      <c r="N22109"/>
      <c r="O22109" s="24"/>
      <c r="P22109"/>
      <c r="Q22109" s="24"/>
      <c r="R22109"/>
      <c r="S22109"/>
      <c r="T22109"/>
      <c r="U22109"/>
      <c r="X22109" s="60"/>
    </row>
    <row r="22110" spans="7:24" ht="15" customHeight="1">
      <c r="G22110"/>
      <c r="I22110"/>
      <c r="N22110"/>
      <c r="O22110" s="24"/>
      <c r="P22110"/>
      <c r="Q22110" s="24"/>
      <c r="R22110"/>
      <c r="S22110"/>
      <c r="T22110"/>
      <c r="U22110"/>
      <c r="X22110" s="60"/>
    </row>
    <row r="22111" spans="7:24" ht="15" customHeight="1">
      <c r="G22111"/>
      <c r="I22111"/>
      <c r="N22111"/>
      <c r="O22111" s="24"/>
      <c r="P22111"/>
      <c r="Q22111" s="24"/>
      <c r="R22111"/>
      <c r="S22111"/>
      <c r="T22111"/>
      <c r="U22111"/>
      <c r="X22111" s="60"/>
    </row>
    <row r="22112" spans="7:24" ht="15" customHeight="1">
      <c r="G22112"/>
      <c r="I22112"/>
      <c r="N22112"/>
      <c r="O22112" s="24"/>
      <c r="P22112"/>
      <c r="Q22112" s="24"/>
      <c r="R22112"/>
      <c r="S22112"/>
      <c r="T22112"/>
      <c r="U22112"/>
      <c r="X22112" s="60"/>
    </row>
    <row r="22113" spans="7:24" ht="15" customHeight="1">
      <c r="G22113"/>
      <c r="I22113"/>
      <c r="N22113"/>
      <c r="O22113" s="24"/>
      <c r="P22113"/>
      <c r="Q22113" s="24"/>
      <c r="R22113"/>
      <c r="S22113"/>
      <c r="T22113"/>
      <c r="U22113"/>
      <c r="X22113" s="60"/>
    </row>
    <row r="22114" spans="7:24" ht="15" customHeight="1">
      <c r="G22114"/>
      <c r="I22114"/>
      <c r="N22114"/>
      <c r="O22114" s="24"/>
      <c r="P22114"/>
      <c r="Q22114" s="24"/>
      <c r="R22114"/>
      <c r="S22114"/>
      <c r="T22114"/>
      <c r="U22114"/>
      <c r="X22114" s="60"/>
    </row>
    <row r="22115" spans="7:24" ht="15" customHeight="1">
      <c r="G22115"/>
      <c r="I22115"/>
      <c r="N22115"/>
      <c r="O22115" s="24"/>
      <c r="P22115"/>
      <c r="Q22115" s="24"/>
      <c r="R22115"/>
      <c r="S22115"/>
      <c r="T22115"/>
      <c r="U22115"/>
      <c r="X22115" s="60"/>
    </row>
    <row r="22116" spans="7:24" ht="15" customHeight="1">
      <c r="G22116"/>
      <c r="I22116"/>
      <c r="N22116"/>
      <c r="O22116" s="24"/>
      <c r="P22116"/>
      <c r="Q22116" s="24"/>
      <c r="R22116"/>
      <c r="S22116"/>
      <c r="T22116"/>
      <c r="U22116"/>
      <c r="X22116" s="60"/>
    </row>
    <row r="22117" spans="7:24" ht="15" customHeight="1">
      <c r="G22117"/>
      <c r="I22117"/>
      <c r="N22117"/>
      <c r="O22117" s="24"/>
      <c r="P22117"/>
      <c r="Q22117" s="24"/>
      <c r="R22117"/>
      <c r="S22117"/>
      <c r="T22117"/>
      <c r="U22117"/>
      <c r="X22117" s="60"/>
    </row>
    <row r="22118" spans="7:24" ht="15" customHeight="1">
      <c r="G22118"/>
      <c r="I22118"/>
      <c r="N22118"/>
      <c r="O22118" s="24"/>
      <c r="P22118"/>
      <c r="Q22118" s="24"/>
      <c r="R22118"/>
      <c r="S22118"/>
      <c r="T22118"/>
      <c r="U22118"/>
      <c r="X22118" s="60"/>
    </row>
    <row r="22119" spans="7:24" ht="15" customHeight="1">
      <c r="G22119"/>
      <c r="I22119"/>
      <c r="N22119"/>
      <c r="O22119" s="24"/>
      <c r="P22119"/>
      <c r="Q22119" s="24"/>
      <c r="R22119"/>
      <c r="S22119"/>
      <c r="T22119"/>
      <c r="U22119"/>
      <c r="X22119" s="60"/>
    </row>
    <row r="22120" spans="7:24" ht="15" customHeight="1">
      <c r="G22120"/>
      <c r="I22120"/>
      <c r="N22120"/>
      <c r="O22120" s="24"/>
      <c r="P22120"/>
      <c r="Q22120" s="24"/>
      <c r="R22120"/>
      <c r="S22120"/>
      <c r="T22120"/>
      <c r="U22120"/>
      <c r="X22120" s="60"/>
    </row>
    <row r="22121" spans="7:24" ht="15" customHeight="1">
      <c r="G22121"/>
      <c r="I22121"/>
      <c r="N22121"/>
      <c r="O22121" s="24"/>
      <c r="P22121"/>
      <c r="Q22121" s="24"/>
      <c r="R22121"/>
      <c r="S22121"/>
      <c r="T22121"/>
      <c r="U22121"/>
      <c r="X22121" s="60"/>
    </row>
    <row r="22122" spans="7:24" ht="15" customHeight="1">
      <c r="G22122"/>
      <c r="I22122"/>
      <c r="N22122"/>
      <c r="O22122" s="24"/>
      <c r="P22122"/>
      <c r="Q22122" s="24"/>
      <c r="R22122"/>
      <c r="S22122"/>
      <c r="T22122"/>
      <c r="U22122"/>
      <c r="X22122" s="60"/>
    </row>
    <row r="22123" spans="7:24" ht="15" customHeight="1">
      <c r="G22123"/>
      <c r="I22123"/>
      <c r="N22123"/>
      <c r="O22123" s="24"/>
      <c r="P22123"/>
      <c r="Q22123" s="24"/>
      <c r="R22123"/>
      <c r="S22123"/>
      <c r="T22123"/>
      <c r="U22123"/>
      <c r="X22123" s="60"/>
    </row>
    <row r="22124" spans="7:24" ht="15" customHeight="1">
      <c r="G22124"/>
      <c r="I22124"/>
      <c r="N22124"/>
      <c r="O22124" s="24"/>
      <c r="P22124"/>
      <c r="Q22124" s="24"/>
      <c r="R22124"/>
      <c r="S22124"/>
      <c r="T22124"/>
      <c r="U22124"/>
      <c r="X22124" s="60"/>
    </row>
    <row r="22125" spans="7:24" ht="15" customHeight="1">
      <c r="G22125"/>
      <c r="I22125"/>
      <c r="N22125"/>
      <c r="O22125" s="24"/>
      <c r="P22125"/>
      <c r="Q22125" s="24"/>
      <c r="R22125"/>
      <c r="S22125"/>
      <c r="T22125"/>
      <c r="U22125"/>
      <c r="X22125" s="60"/>
    </row>
    <row r="22126" spans="7:24" ht="15" customHeight="1">
      <c r="G22126"/>
      <c r="I22126"/>
      <c r="N22126"/>
      <c r="O22126" s="24"/>
      <c r="P22126"/>
      <c r="Q22126" s="24"/>
      <c r="R22126"/>
      <c r="S22126"/>
      <c r="T22126"/>
      <c r="U22126"/>
      <c r="X22126" s="60"/>
    </row>
    <row r="22127" spans="7:24" ht="15" customHeight="1">
      <c r="G22127"/>
      <c r="I22127"/>
      <c r="N22127"/>
      <c r="O22127" s="24"/>
      <c r="P22127"/>
      <c r="Q22127" s="24"/>
      <c r="R22127"/>
      <c r="S22127"/>
      <c r="T22127"/>
      <c r="U22127"/>
      <c r="X22127" s="60"/>
    </row>
    <row r="22128" spans="7:24" ht="15" customHeight="1">
      <c r="G22128"/>
      <c r="I22128"/>
      <c r="N22128"/>
      <c r="O22128" s="24"/>
      <c r="P22128"/>
      <c r="Q22128" s="24"/>
      <c r="R22128"/>
      <c r="S22128"/>
      <c r="T22128"/>
      <c r="U22128"/>
      <c r="X22128" s="60"/>
    </row>
    <row r="22129" spans="7:24" ht="15" customHeight="1">
      <c r="G22129"/>
      <c r="I22129"/>
      <c r="N22129"/>
      <c r="O22129" s="24"/>
      <c r="P22129"/>
      <c r="Q22129" s="24"/>
      <c r="R22129"/>
      <c r="S22129"/>
      <c r="T22129"/>
      <c r="U22129"/>
      <c r="X22129" s="60"/>
    </row>
    <row r="22130" spans="7:24" ht="15" customHeight="1">
      <c r="G22130"/>
      <c r="I22130"/>
      <c r="N22130"/>
      <c r="O22130" s="24"/>
      <c r="P22130"/>
      <c r="Q22130" s="24"/>
      <c r="R22130"/>
      <c r="S22130"/>
      <c r="T22130"/>
      <c r="U22130"/>
      <c r="X22130" s="60"/>
    </row>
    <row r="22131" spans="7:24" ht="15" customHeight="1">
      <c r="G22131"/>
      <c r="I22131"/>
      <c r="N22131"/>
      <c r="O22131" s="24"/>
      <c r="P22131"/>
      <c r="Q22131" s="24"/>
      <c r="R22131"/>
      <c r="S22131"/>
      <c r="T22131"/>
      <c r="U22131"/>
      <c r="X22131" s="60"/>
    </row>
    <row r="22132" spans="7:24" ht="15" customHeight="1">
      <c r="G22132"/>
      <c r="I22132"/>
      <c r="N22132"/>
      <c r="O22132" s="24"/>
      <c r="P22132"/>
      <c r="Q22132" s="24"/>
      <c r="R22132"/>
      <c r="S22132"/>
      <c r="T22132"/>
      <c r="U22132"/>
      <c r="X22132" s="60"/>
    </row>
    <row r="22133" spans="7:24" ht="15" customHeight="1">
      <c r="G22133"/>
      <c r="I22133"/>
      <c r="N22133"/>
      <c r="O22133" s="24"/>
      <c r="P22133"/>
      <c r="Q22133" s="24"/>
      <c r="R22133"/>
      <c r="S22133"/>
      <c r="T22133"/>
      <c r="U22133"/>
      <c r="X22133" s="60"/>
    </row>
    <row r="22134" spans="7:24" ht="15" customHeight="1">
      <c r="G22134"/>
      <c r="I22134"/>
      <c r="N22134"/>
      <c r="O22134" s="24"/>
      <c r="P22134"/>
      <c r="Q22134" s="24"/>
      <c r="R22134"/>
      <c r="S22134"/>
      <c r="T22134"/>
      <c r="U22134"/>
      <c r="X22134" s="60"/>
    </row>
    <row r="22135" spans="7:24" ht="15" customHeight="1">
      <c r="G22135"/>
      <c r="I22135"/>
      <c r="N22135"/>
      <c r="O22135" s="24"/>
      <c r="P22135"/>
      <c r="Q22135" s="24"/>
      <c r="R22135"/>
      <c r="S22135"/>
      <c r="T22135"/>
      <c r="U22135"/>
      <c r="X22135" s="60"/>
    </row>
    <row r="22136" spans="7:24" ht="15" customHeight="1">
      <c r="G22136"/>
      <c r="I22136"/>
      <c r="N22136"/>
      <c r="O22136" s="24"/>
      <c r="P22136"/>
      <c r="Q22136" s="24"/>
      <c r="R22136"/>
      <c r="S22136"/>
      <c r="T22136"/>
      <c r="U22136"/>
      <c r="X22136" s="60"/>
    </row>
    <row r="22137" spans="7:24" ht="15" customHeight="1">
      <c r="G22137"/>
      <c r="I22137"/>
      <c r="N22137"/>
      <c r="O22137" s="24"/>
      <c r="P22137"/>
      <c r="Q22137" s="24"/>
      <c r="R22137"/>
      <c r="S22137"/>
      <c r="T22137"/>
      <c r="U22137"/>
      <c r="X22137" s="60"/>
    </row>
    <row r="22138" spans="7:24" ht="15" customHeight="1">
      <c r="G22138"/>
      <c r="I22138"/>
      <c r="N22138"/>
      <c r="O22138" s="24"/>
      <c r="P22138"/>
      <c r="Q22138" s="24"/>
      <c r="R22138"/>
      <c r="S22138"/>
      <c r="T22138"/>
      <c r="U22138"/>
      <c r="X22138" s="60"/>
    </row>
    <row r="22139" spans="7:24" ht="15" customHeight="1">
      <c r="G22139"/>
      <c r="I22139"/>
      <c r="N22139"/>
      <c r="O22139" s="24"/>
      <c r="P22139"/>
      <c r="Q22139" s="24"/>
      <c r="R22139"/>
      <c r="S22139"/>
      <c r="T22139"/>
      <c r="U22139"/>
      <c r="X22139" s="60"/>
    </row>
    <row r="22140" spans="7:24" ht="15" customHeight="1">
      <c r="G22140"/>
      <c r="I22140"/>
      <c r="N22140"/>
      <c r="O22140" s="24"/>
      <c r="P22140"/>
      <c r="Q22140" s="24"/>
      <c r="R22140"/>
      <c r="S22140"/>
      <c r="T22140"/>
      <c r="U22140"/>
      <c r="X22140" s="60"/>
    </row>
    <row r="22141" spans="7:24" ht="15" customHeight="1">
      <c r="G22141"/>
      <c r="I22141"/>
      <c r="N22141"/>
      <c r="O22141" s="24"/>
      <c r="P22141"/>
      <c r="Q22141" s="24"/>
      <c r="R22141"/>
      <c r="S22141"/>
      <c r="T22141"/>
      <c r="U22141"/>
      <c r="X22141" s="60"/>
    </row>
    <row r="22142" spans="7:24" ht="15" customHeight="1">
      <c r="G22142"/>
      <c r="I22142"/>
      <c r="N22142"/>
      <c r="O22142" s="24"/>
      <c r="P22142"/>
      <c r="Q22142" s="24"/>
      <c r="R22142"/>
      <c r="S22142"/>
      <c r="T22142"/>
      <c r="U22142"/>
      <c r="X22142" s="60"/>
    </row>
    <row r="22143" spans="7:24" ht="15" customHeight="1">
      <c r="G22143"/>
      <c r="I22143"/>
      <c r="N22143"/>
      <c r="O22143" s="24"/>
      <c r="P22143"/>
      <c r="Q22143" s="24"/>
      <c r="R22143"/>
      <c r="S22143"/>
      <c r="T22143"/>
      <c r="U22143"/>
      <c r="X22143" s="60"/>
    </row>
    <row r="22144" spans="7:24" ht="15" customHeight="1">
      <c r="G22144"/>
      <c r="I22144"/>
      <c r="N22144"/>
      <c r="O22144" s="24"/>
      <c r="P22144"/>
      <c r="Q22144" s="24"/>
      <c r="R22144"/>
      <c r="S22144"/>
      <c r="T22144"/>
      <c r="U22144"/>
      <c r="X22144" s="60"/>
    </row>
    <row r="22145" spans="7:24" ht="15" customHeight="1">
      <c r="G22145"/>
      <c r="I22145"/>
      <c r="N22145"/>
      <c r="O22145" s="24"/>
      <c r="P22145"/>
      <c r="Q22145" s="24"/>
      <c r="R22145"/>
      <c r="S22145"/>
      <c r="T22145"/>
      <c r="U22145"/>
      <c r="X22145" s="60"/>
    </row>
    <row r="22146" spans="7:24" ht="15" customHeight="1">
      <c r="G22146"/>
      <c r="I22146"/>
      <c r="N22146"/>
      <c r="O22146" s="24"/>
      <c r="P22146"/>
      <c r="Q22146" s="24"/>
      <c r="R22146"/>
      <c r="S22146"/>
      <c r="T22146"/>
      <c r="U22146"/>
      <c r="X22146" s="60"/>
    </row>
    <row r="22147" spans="7:24" ht="15" customHeight="1">
      <c r="G22147"/>
      <c r="I22147"/>
      <c r="N22147"/>
      <c r="O22147" s="24"/>
      <c r="P22147"/>
      <c r="Q22147" s="24"/>
      <c r="R22147"/>
      <c r="S22147"/>
      <c r="T22147"/>
      <c r="U22147"/>
      <c r="X22147" s="60"/>
    </row>
    <row r="22148" spans="7:24" ht="15" customHeight="1">
      <c r="G22148"/>
      <c r="I22148"/>
      <c r="N22148"/>
      <c r="O22148" s="24"/>
      <c r="P22148"/>
      <c r="Q22148" s="24"/>
      <c r="R22148"/>
      <c r="S22148"/>
      <c r="T22148"/>
      <c r="U22148"/>
      <c r="X22148" s="60"/>
    </row>
    <row r="22149" spans="7:24" ht="15" customHeight="1">
      <c r="G22149"/>
      <c r="I22149"/>
      <c r="N22149"/>
      <c r="O22149" s="24"/>
      <c r="P22149"/>
      <c r="Q22149" s="24"/>
      <c r="R22149"/>
      <c r="S22149"/>
      <c r="T22149"/>
      <c r="U22149"/>
      <c r="X22149" s="60"/>
    </row>
    <row r="22150" spans="7:24" ht="15" customHeight="1">
      <c r="G22150"/>
      <c r="I22150"/>
      <c r="N22150"/>
      <c r="O22150" s="24"/>
      <c r="P22150"/>
      <c r="Q22150" s="24"/>
      <c r="R22150"/>
      <c r="S22150"/>
      <c r="T22150"/>
      <c r="U22150"/>
      <c r="X22150" s="60"/>
    </row>
    <row r="22151" spans="7:24" ht="15" customHeight="1">
      <c r="G22151"/>
      <c r="I22151"/>
      <c r="N22151"/>
      <c r="O22151" s="24"/>
      <c r="P22151"/>
      <c r="Q22151" s="24"/>
      <c r="R22151"/>
      <c r="S22151"/>
      <c r="T22151"/>
      <c r="U22151"/>
      <c r="X22151" s="60"/>
    </row>
    <row r="22152" spans="7:24" ht="15" customHeight="1">
      <c r="G22152"/>
      <c r="I22152"/>
      <c r="N22152"/>
      <c r="O22152" s="24"/>
      <c r="P22152"/>
      <c r="Q22152" s="24"/>
      <c r="R22152"/>
      <c r="S22152"/>
      <c r="T22152"/>
      <c r="U22152"/>
      <c r="X22152" s="60"/>
    </row>
    <row r="22153" spans="7:24" ht="15" customHeight="1">
      <c r="G22153"/>
      <c r="I22153"/>
      <c r="N22153"/>
      <c r="O22153" s="24"/>
      <c r="P22153"/>
      <c r="Q22153" s="24"/>
      <c r="R22153"/>
      <c r="S22153"/>
      <c r="T22153"/>
      <c r="U22153"/>
      <c r="X22153" s="60"/>
    </row>
    <row r="22154" spans="7:24" ht="15" customHeight="1">
      <c r="G22154"/>
      <c r="I22154"/>
      <c r="N22154"/>
      <c r="O22154" s="24"/>
      <c r="P22154"/>
      <c r="Q22154" s="24"/>
      <c r="R22154"/>
      <c r="S22154"/>
      <c r="T22154"/>
      <c r="U22154"/>
      <c r="X22154" s="60"/>
    </row>
    <row r="22155" spans="7:24" ht="15" customHeight="1">
      <c r="G22155"/>
      <c r="I22155"/>
      <c r="N22155"/>
      <c r="O22155" s="24"/>
      <c r="P22155"/>
      <c r="Q22155" s="24"/>
      <c r="R22155"/>
      <c r="S22155"/>
      <c r="T22155"/>
      <c r="U22155"/>
      <c r="X22155" s="60"/>
    </row>
    <row r="22156" spans="7:24" ht="15" customHeight="1">
      <c r="G22156"/>
      <c r="I22156"/>
      <c r="N22156"/>
      <c r="O22156" s="24"/>
      <c r="P22156"/>
      <c r="Q22156" s="24"/>
      <c r="R22156"/>
      <c r="S22156"/>
      <c r="T22156"/>
      <c r="U22156"/>
      <c r="X22156" s="60"/>
    </row>
    <row r="22157" spans="7:24" ht="15" customHeight="1">
      <c r="G22157"/>
      <c r="I22157"/>
      <c r="N22157"/>
      <c r="O22157" s="24"/>
      <c r="P22157"/>
      <c r="Q22157" s="24"/>
      <c r="R22157"/>
      <c r="S22157"/>
      <c r="T22157"/>
      <c r="U22157"/>
      <c r="X22157" s="60"/>
    </row>
    <row r="22158" spans="7:24" ht="15" customHeight="1">
      <c r="G22158"/>
      <c r="I22158"/>
      <c r="N22158"/>
      <c r="O22158" s="24"/>
      <c r="P22158"/>
      <c r="Q22158" s="24"/>
      <c r="R22158"/>
      <c r="S22158"/>
      <c r="T22158"/>
      <c r="U22158"/>
      <c r="X22158" s="60"/>
    </row>
    <row r="22159" spans="7:24" ht="15" customHeight="1">
      <c r="G22159"/>
      <c r="I22159"/>
      <c r="N22159"/>
      <c r="O22159" s="24"/>
      <c r="P22159"/>
      <c r="Q22159" s="24"/>
      <c r="R22159"/>
      <c r="S22159"/>
      <c r="T22159"/>
      <c r="U22159"/>
      <c r="X22159" s="60"/>
    </row>
    <row r="22160" spans="7:24" ht="15" customHeight="1">
      <c r="G22160"/>
      <c r="I22160"/>
      <c r="N22160"/>
      <c r="O22160" s="24"/>
      <c r="P22160"/>
      <c r="Q22160" s="24"/>
      <c r="R22160"/>
      <c r="S22160"/>
      <c r="T22160"/>
      <c r="U22160"/>
      <c r="X22160" s="60"/>
    </row>
    <row r="22161" spans="7:24" ht="15" customHeight="1">
      <c r="G22161"/>
      <c r="I22161"/>
      <c r="N22161"/>
      <c r="O22161" s="24"/>
      <c r="P22161"/>
      <c r="Q22161" s="24"/>
      <c r="R22161"/>
      <c r="S22161"/>
      <c r="T22161"/>
      <c r="U22161"/>
      <c r="X22161" s="60"/>
    </row>
    <row r="22162" spans="7:24" ht="15" customHeight="1">
      <c r="G22162"/>
      <c r="I22162"/>
      <c r="N22162"/>
      <c r="O22162" s="24"/>
      <c r="P22162"/>
      <c r="Q22162" s="24"/>
      <c r="R22162"/>
      <c r="S22162"/>
      <c r="T22162"/>
      <c r="U22162"/>
      <c r="X22162" s="60"/>
    </row>
    <row r="22163" spans="7:24" ht="15" customHeight="1">
      <c r="G22163"/>
      <c r="I22163"/>
      <c r="N22163"/>
      <c r="O22163" s="24"/>
      <c r="P22163"/>
      <c r="Q22163" s="24"/>
      <c r="R22163"/>
      <c r="S22163"/>
      <c r="T22163"/>
      <c r="U22163"/>
      <c r="X22163" s="60"/>
    </row>
    <row r="22164" spans="7:24" ht="15" customHeight="1">
      <c r="G22164"/>
      <c r="I22164"/>
      <c r="N22164"/>
      <c r="O22164" s="24"/>
      <c r="P22164"/>
      <c r="Q22164" s="24"/>
      <c r="R22164"/>
      <c r="S22164"/>
      <c r="T22164"/>
      <c r="U22164"/>
      <c r="X22164" s="60"/>
    </row>
    <row r="22165" spans="7:24" ht="15" customHeight="1">
      <c r="G22165"/>
      <c r="I22165"/>
      <c r="N22165"/>
      <c r="O22165" s="24"/>
      <c r="P22165"/>
      <c r="Q22165" s="24"/>
      <c r="R22165"/>
      <c r="S22165"/>
      <c r="T22165"/>
      <c r="U22165"/>
      <c r="X22165" s="60"/>
    </row>
    <row r="22166" spans="7:24" ht="15" customHeight="1">
      <c r="G22166"/>
      <c r="I22166"/>
      <c r="N22166"/>
      <c r="O22166" s="24"/>
      <c r="P22166"/>
      <c r="Q22166" s="24"/>
      <c r="R22166"/>
      <c r="S22166"/>
      <c r="T22166"/>
      <c r="U22166"/>
      <c r="X22166" s="60"/>
    </row>
    <row r="22167" spans="7:24" ht="15" customHeight="1">
      <c r="G22167"/>
      <c r="I22167"/>
      <c r="N22167"/>
      <c r="O22167" s="24"/>
      <c r="P22167"/>
      <c r="Q22167" s="24"/>
      <c r="R22167"/>
      <c r="S22167"/>
      <c r="T22167"/>
      <c r="U22167"/>
      <c r="X22167" s="60"/>
    </row>
    <row r="22168" spans="7:24" ht="15" customHeight="1">
      <c r="G22168"/>
      <c r="I22168"/>
      <c r="N22168"/>
      <c r="O22168" s="24"/>
      <c r="P22168"/>
      <c r="Q22168" s="24"/>
      <c r="R22168"/>
      <c r="S22168"/>
      <c r="T22168"/>
      <c r="U22168"/>
      <c r="X22168" s="60"/>
    </row>
    <row r="22169" spans="7:24" ht="15" customHeight="1">
      <c r="G22169"/>
      <c r="I22169"/>
      <c r="N22169"/>
      <c r="O22169" s="24"/>
      <c r="P22169"/>
      <c r="Q22169" s="24"/>
      <c r="R22169"/>
      <c r="S22169"/>
      <c r="T22169"/>
      <c r="U22169"/>
      <c r="X22169" s="60"/>
    </row>
    <row r="22170" spans="7:24" ht="15" customHeight="1">
      <c r="G22170"/>
      <c r="I22170"/>
      <c r="N22170"/>
      <c r="O22170" s="24"/>
      <c r="P22170"/>
      <c r="Q22170" s="24"/>
      <c r="R22170"/>
      <c r="S22170"/>
      <c r="T22170"/>
      <c r="U22170"/>
      <c r="X22170" s="60"/>
    </row>
    <row r="22171" spans="7:24" ht="15" customHeight="1">
      <c r="G22171"/>
      <c r="I22171"/>
      <c r="N22171"/>
      <c r="O22171" s="24"/>
      <c r="P22171"/>
      <c r="Q22171" s="24"/>
      <c r="R22171"/>
      <c r="S22171"/>
      <c r="T22171"/>
      <c r="U22171"/>
      <c r="X22171" s="60"/>
    </row>
    <row r="22172" spans="7:24" ht="15" customHeight="1">
      <c r="G22172"/>
      <c r="I22172"/>
      <c r="N22172"/>
      <c r="O22172" s="24"/>
      <c r="P22172"/>
      <c r="Q22172" s="24"/>
      <c r="R22172"/>
      <c r="S22172"/>
      <c r="T22172"/>
      <c r="U22172"/>
      <c r="X22172" s="60"/>
    </row>
    <row r="22173" spans="7:24" ht="15" customHeight="1">
      <c r="G22173"/>
      <c r="I22173"/>
      <c r="N22173"/>
      <c r="O22173" s="24"/>
      <c r="P22173"/>
      <c r="Q22173" s="24"/>
      <c r="R22173"/>
      <c r="S22173"/>
      <c r="T22173"/>
      <c r="U22173"/>
      <c r="X22173" s="60"/>
    </row>
    <row r="22174" spans="7:24" ht="15" customHeight="1">
      <c r="G22174"/>
      <c r="I22174"/>
      <c r="N22174"/>
      <c r="O22174" s="24"/>
      <c r="P22174"/>
      <c r="Q22174" s="24"/>
      <c r="R22174"/>
      <c r="S22174"/>
      <c r="T22174"/>
      <c r="U22174"/>
      <c r="X22174" s="60"/>
    </row>
    <row r="22175" spans="7:24" ht="15" customHeight="1">
      <c r="G22175"/>
      <c r="I22175"/>
      <c r="N22175"/>
      <c r="O22175" s="24"/>
      <c r="P22175"/>
      <c r="Q22175" s="24"/>
      <c r="R22175"/>
      <c r="S22175"/>
      <c r="T22175"/>
      <c r="U22175"/>
      <c r="X22175" s="60"/>
    </row>
    <row r="22176" spans="7:24" ht="15" customHeight="1">
      <c r="G22176"/>
      <c r="I22176"/>
      <c r="N22176"/>
      <c r="O22176" s="24"/>
      <c r="P22176"/>
      <c r="Q22176" s="24"/>
      <c r="R22176"/>
      <c r="S22176"/>
      <c r="T22176"/>
      <c r="U22176"/>
      <c r="X22176" s="60"/>
    </row>
    <row r="22177" spans="7:24" ht="15" customHeight="1">
      <c r="G22177"/>
      <c r="I22177"/>
      <c r="N22177"/>
      <c r="O22177" s="24"/>
      <c r="P22177"/>
      <c r="Q22177" s="24"/>
      <c r="R22177"/>
      <c r="S22177"/>
      <c r="T22177"/>
      <c r="U22177"/>
      <c r="X22177" s="60"/>
    </row>
    <row r="22178" spans="7:24" ht="15" customHeight="1">
      <c r="G22178"/>
      <c r="I22178"/>
      <c r="N22178"/>
      <c r="O22178" s="24"/>
      <c r="P22178"/>
      <c r="Q22178" s="24"/>
      <c r="R22178"/>
      <c r="S22178"/>
      <c r="T22178"/>
      <c r="U22178"/>
      <c r="X22178" s="60"/>
    </row>
    <row r="22179" spans="7:24" ht="15" customHeight="1">
      <c r="G22179"/>
      <c r="I22179"/>
      <c r="N22179"/>
      <c r="O22179" s="24"/>
      <c r="P22179"/>
      <c r="Q22179" s="24"/>
      <c r="R22179"/>
      <c r="S22179"/>
      <c r="T22179"/>
      <c r="U22179"/>
      <c r="X22179" s="60"/>
    </row>
    <row r="22180" spans="7:24" ht="15" customHeight="1">
      <c r="G22180"/>
      <c r="I22180"/>
      <c r="N22180"/>
      <c r="O22180" s="24"/>
      <c r="P22180"/>
      <c r="Q22180" s="24"/>
      <c r="R22180"/>
      <c r="S22180"/>
      <c r="T22180"/>
      <c r="U22180"/>
      <c r="X22180" s="60"/>
    </row>
    <row r="22181" spans="7:24" ht="15" customHeight="1">
      <c r="G22181"/>
      <c r="I22181"/>
      <c r="N22181"/>
      <c r="O22181" s="24"/>
      <c r="P22181"/>
      <c r="Q22181" s="24"/>
      <c r="R22181"/>
      <c r="S22181"/>
      <c r="T22181"/>
      <c r="U22181"/>
      <c r="X22181" s="60"/>
    </row>
    <row r="22182" spans="7:24" ht="15" customHeight="1">
      <c r="G22182"/>
      <c r="I22182"/>
      <c r="N22182"/>
      <c r="O22182" s="24"/>
      <c r="P22182"/>
      <c r="Q22182" s="24"/>
      <c r="R22182"/>
      <c r="S22182"/>
      <c r="T22182"/>
      <c r="U22182"/>
      <c r="X22182" s="60"/>
    </row>
    <row r="22183" spans="7:24" ht="15" customHeight="1">
      <c r="G22183"/>
      <c r="I22183"/>
      <c r="N22183"/>
      <c r="O22183" s="24"/>
      <c r="P22183"/>
      <c r="Q22183" s="24"/>
      <c r="R22183"/>
      <c r="S22183"/>
      <c r="T22183"/>
      <c r="U22183"/>
      <c r="X22183" s="60"/>
    </row>
    <row r="22184" spans="7:24" ht="15" customHeight="1">
      <c r="G22184"/>
      <c r="I22184"/>
      <c r="N22184"/>
      <c r="O22184" s="24"/>
      <c r="P22184"/>
      <c r="Q22184" s="24"/>
      <c r="R22184"/>
      <c r="S22184"/>
      <c r="T22184"/>
      <c r="U22184"/>
      <c r="X22184" s="60"/>
    </row>
    <row r="22185" spans="7:24" ht="15" customHeight="1">
      <c r="G22185"/>
      <c r="I22185"/>
      <c r="N22185"/>
      <c r="O22185" s="24"/>
      <c r="P22185"/>
      <c r="Q22185" s="24"/>
      <c r="R22185"/>
      <c r="S22185"/>
      <c r="T22185"/>
      <c r="U22185"/>
      <c r="X22185" s="60"/>
    </row>
    <row r="22186" spans="7:24" ht="15" customHeight="1">
      <c r="G22186"/>
      <c r="I22186"/>
      <c r="N22186"/>
      <c r="O22186" s="24"/>
      <c r="P22186"/>
      <c r="Q22186" s="24"/>
      <c r="R22186"/>
      <c r="S22186"/>
      <c r="T22186"/>
      <c r="U22186"/>
      <c r="X22186" s="60"/>
    </row>
    <row r="22187" spans="7:24" ht="15" customHeight="1">
      <c r="G22187"/>
      <c r="I22187"/>
      <c r="N22187"/>
      <c r="O22187" s="24"/>
      <c r="P22187"/>
      <c r="Q22187" s="24"/>
      <c r="R22187"/>
      <c r="S22187"/>
      <c r="T22187"/>
      <c r="U22187"/>
      <c r="X22187" s="60"/>
    </row>
    <row r="22188" spans="7:24" ht="15" customHeight="1">
      <c r="G22188"/>
      <c r="I22188"/>
      <c r="N22188"/>
      <c r="O22188" s="24"/>
      <c r="P22188"/>
      <c r="Q22188" s="24"/>
      <c r="R22188"/>
      <c r="S22188"/>
      <c r="T22188"/>
      <c r="U22188"/>
      <c r="X22188" s="60"/>
    </row>
    <row r="22189" spans="7:24" ht="15" customHeight="1">
      <c r="G22189"/>
      <c r="I22189"/>
      <c r="N22189"/>
      <c r="O22189" s="24"/>
      <c r="P22189"/>
      <c r="Q22189" s="24"/>
      <c r="R22189"/>
      <c r="S22189"/>
      <c r="T22189"/>
      <c r="U22189"/>
      <c r="X22189" s="60"/>
    </row>
    <row r="22190" spans="7:24" ht="15" customHeight="1">
      <c r="G22190"/>
      <c r="I22190"/>
      <c r="N22190"/>
      <c r="O22190" s="24"/>
      <c r="P22190"/>
      <c r="Q22190" s="24"/>
      <c r="R22190"/>
      <c r="S22190"/>
      <c r="T22190"/>
      <c r="U22190"/>
      <c r="X22190" s="60"/>
    </row>
    <row r="22191" spans="7:24" ht="15" customHeight="1">
      <c r="G22191"/>
      <c r="I22191"/>
      <c r="N22191"/>
      <c r="O22191" s="24"/>
      <c r="P22191"/>
      <c r="Q22191" s="24"/>
      <c r="R22191"/>
      <c r="S22191"/>
      <c r="T22191"/>
      <c r="U22191"/>
      <c r="X22191" s="60"/>
    </row>
    <row r="22192" spans="7:24" ht="15" customHeight="1">
      <c r="G22192"/>
      <c r="I22192"/>
      <c r="N22192"/>
      <c r="O22192" s="24"/>
      <c r="P22192"/>
      <c r="Q22192" s="24"/>
      <c r="R22192"/>
      <c r="S22192"/>
      <c r="T22192"/>
      <c r="U22192"/>
      <c r="X22192" s="60"/>
    </row>
    <row r="22193" spans="7:24" ht="15" customHeight="1">
      <c r="G22193"/>
      <c r="I22193"/>
      <c r="N22193"/>
      <c r="O22193" s="24"/>
      <c r="P22193"/>
      <c r="Q22193" s="24"/>
      <c r="R22193"/>
      <c r="S22193"/>
      <c r="T22193"/>
      <c r="U22193"/>
      <c r="X22193" s="60"/>
    </row>
    <row r="22194" spans="7:24" ht="15" customHeight="1">
      <c r="G22194"/>
      <c r="I22194"/>
      <c r="N22194"/>
      <c r="O22194" s="24"/>
      <c r="P22194"/>
      <c r="Q22194" s="24"/>
      <c r="R22194"/>
      <c r="S22194"/>
      <c r="T22194"/>
      <c r="U22194"/>
      <c r="X22194" s="60"/>
    </row>
    <row r="22195" spans="7:24" ht="15" customHeight="1">
      <c r="G22195"/>
      <c r="I22195"/>
      <c r="N22195"/>
      <c r="O22195" s="24"/>
      <c r="P22195"/>
      <c r="Q22195" s="24"/>
      <c r="R22195"/>
      <c r="S22195"/>
      <c r="T22195"/>
      <c r="U22195"/>
      <c r="X22195" s="60"/>
    </row>
    <row r="22196" spans="7:24" ht="15" customHeight="1">
      <c r="G22196"/>
      <c r="I22196"/>
      <c r="N22196"/>
      <c r="O22196" s="24"/>
      <c r="P22196"/>
      <c r="Q22196" s="24"/>
      <c r="R22196"/>
      <c r="S22196"/>
      <c r="T22196"/>
      <c r="U22196"/>
      <c r="X22196" s="60"/>
    </row>
    <row r="22197" spans="7:24" ht="15" customHeight="1">
      <c r="G22197"/>
      <c r="I22197"/>
      <c r="N22197"/>
      <c r="O22197" s="24"/>
      <c r="P22197"/>
      <c r="Q22197" s="24"/>
      <c r="R22197"/>
      <c r="S22197"/>
      <c r="T22197"/>
      <c r="U22197"/>
      <c r="X22197" s="60"/>
    </row>
    <row r="22198" spans="7:24" ht="15" customHeight="1">
      <c r="G22198"/>
      <c r="I22198"/>
      <c r="N22198"/>
      <c r="O22198" s="24"/>
      <c r="P22198"/>
      <c r="Q22198" s="24"/>
      <c r="R22198"/>
      <c r="S22198"/>
      <c r="T22198"/>
      <c r="U22198"/>
      <c r="X22198" s="60"/>
    </row>
    <row r="22199" spans="7:24" ht="15" customHeight="1">
      <c r="G22199"/>
      <c r="I22199"/>
      <c r="N22199"/>
      <c r="O22199" s="24"/>
      <c r="P22199"/>
      <c r="Q22199" s="24"/>
      <c r="R22199"/>
      <c r="S22199"/>
      <c r="T22199"/>
      <c r="U22199"/>
      <c r="X22199" s="60"/>
    </row>
    <row r="22200" spans="7:24" ht="15" customHeight="1">
      <c r="G22200"/>
      <c r="I22200"/>
      <c r="N22200"/>
      <c r="O22200" s="24"/>
      <c r="P22200"/>
      <c r="Q22200" s="24"/>
      <c r="R22200"/>
      <c r="S22200"/>
      <c r="T22200"/>
      <c r="U22200"/>
      <c r="X22200" s="60"/>
    </row>
    <row r="22201" spans="7:24" ht="15" customHeight="1">
      <c r="G22201"/>
      <c r="I22201"/>
      <c r="N22201"/>
      <c r="O22201" s="24"/>
      <c r="P22201"/>
      <c r="Q22201" s="24"/>
      <c r="R22201"/>
      <c r="S22201"/>
      <c r="T22201"/>
      <c r="U22201"/>
      <c r="X22201" s="60"/>
    </row>
    <row r="22202" spans="7:24" ht="15" customHeight="1">
      <c r="G22202"/>
      <c r="I22202"/>
      <c r="N22202"/>
      <c r="O22202" s="24"/>
      <c r="P22202"/>
      <c r="Q22202" s="24"/>
      <c r="R22202"/>
      <c r="S22202"/>
      <c r="T22202"/>
      <c r="U22202"/>
      <c r="X22202" s="60"/>
    </row>
    <row r="22203" spans="7:24" ht="15" customHeight="1">
      <c r="G22203"/>
      <c r="I22203"/>
      <c r="N22203"/>
      <c r="O22203" s="24"/>
      <c r="P22203"/>
      <c r="Q22203" s="24"/>
      <c r="R22203"/>
      <c r="S22203"/>
      <c r="T22203"/>
      <c r="U22203"/>
      <c r="X22203" s="60"/>
    </row>
    <row r="22204" spans="7:24" ht="15" customHeight="1">
      <c r="G22204"/>
      <c r="I22204"/>
      <c r="N22204"/>
      <c r="O22204" s="24"/>
      <c r="P22204"/>
      <c r="Q22204" s="24"/>
      <c r="R22204"/>
      <c r="S22204"/>
      <c r="T22204"/>
      <c r="U22204"/>
      <c r="X22204" s="60"/>
    </row>
    <row r="22205" spans="7:24" ht="15" customHeight="1">
      <c r="G22205"/>
      <c r="I22205"/>
      <c r="N22205"/>
      <c r="O22205" s="24"/>
      <c r="P22205"/>
      <c r="Q22205" s="24"/>
      <c r="R22205"/>
      <c r="S22205"/>
      <c r="T22205"/>
      <c r="U22205"/>
      <c r="X22205" s="60"/>
    </row>
    <row r="22206" spans="7:24" ht="15" customHeight="1">
      <c r="G22206"/>
      <c r="I22206"/>
      <c r="N22206"/>
      <c r="O22206" s="24"/>
      <c r="P22206"/>
      <c r="Q22206" s="24"/>
      <c r="R22206"/>
      <c r="S22206"/>
      <c r="T22206"/>
      <c r="U22206"/>
      <c r="X22206" s="60"/>
    </row>
    <row r="22207" spans="7:24" ht="15" customHeight="1">
      <c r="G22207"/>
      <c r="I22207"/>
      <c r="N22207"/>
      <c r="O22207" s="24"/>
      <c r="P22207"/>
      <c r="Q22207" s="24"/>
      <c r="R22207"/>
      <c r="S22207"/>
      <c r="T22207"/>
      <c r="U22207"/>
      <c r="X22207" s="60"/>
    </row>
    <row r="22208" spans="7:24" ht="15" customHeight="1">
      <c r="G22208"/>
      <c r="I22208"/>
      <c r="N22208"/>
      <c r="O22208" s="24"/>
      <c r="P22208"/>
      <c r="Q22208" s="24"/>
      <c r="R22208"/>
      <c r="S22208"/>
      <c r="T22208"/>
      <c r="U22208"/>
      <c r="X22208" s="60"/>
    </row>
    <row r="22209" spans="7:24" ht="15" customHeight="1">
      <c r="G22209"/>
      <c r="I22209"/>
      <c r="N22209"/>
      <c r="O22209" s="24"/>
      <c r="P22209"/>
      <c r="Q22209" s="24"/>
      <c r="R22209"/>
      <c r="S22209"/>
      <c r="T22209"/>
      <c r="U22209"/>
      <c r="X22209" s="60"/>
    </row>
    <row r="22210" spans="7:24" ht="15" customHeight="1">
      <c r="G22210"/>
      <c r="I22210"/>
      <c r="N22210"/>
      <c r="O22210" s="24"/>
      <c r="P22210"/>
      <c r="Q22210" s="24"/>
      <c r="R22210"/>
      <c r="S22210"/>
      <c r="T22210"/>
      <c r="U22210"/>
      <c r="X22210" s="60"/>
    </row>
    <row r="22211" spans="7:24" ht="15" customHeight="1">
      <c r="G22211"/>
      <c r="I22211"/>
      <c r="N22211"/>
      <c r="O22211" s="24"/>
      <c r="P22211"/>
      <c r="Q22211" s="24"/>
      <c r="R22211"/>
      <c r="S22211"/>
      <c r="T22211"/>
      <c r="U22211"/>
      <c r="X22211" s="60"/>
    </row>
    <row r="22212" spans="7:24" ht="15" customHeight="1">
      <c r="G22212"/>
      <c r="I22212"/>
      <c r="N22212"/>
      <c r="O22212" s="24"/>
      <c r="P22212"/>
      <c r="Q22212" s="24"/>
      <c r="R22212"/>
      <c r="S22212"/>
      <c r="T22212"/>
      <c r="U22212"/>
      <c r="X22212" s="60"/>
    </row>
    <row r="22213" spans="7:24" ht="15" customHeight="1">
      <c r="G22213"/>
      <c r="I22213"/>
      <c r="N22213"/>
      <c r="O22213" s="24"/>
      <c r="P22213"/>
      <c r="Q22213" s="24"/>
      <c r="R22213"/>
      <c r="S22213"/>
      <c r="T22213"/>
      <c r="U22213"/>
      <c r="X22213" s="60"/>
    </row>
    <row r="22214" spans="7:24" ht="15" customHeight="1">
      <c r="G22214"/>
      <c r="I22214"/>
      <c r="N22214"/>
      <c r="O22214" s="24"/>
      <c r="P22214"/>
      <c r="Q22214" s="24"/>
      <c r="R22214"/>
      <c r="S22214"/>
      <c r="T22214"/>
      <c r="U22214"/>
      <c r="X22214" s="60"/>
    </row>
    <row r="22215" spans="7:24" ht="15" customHeight="1">
      <c r="G22215"/>
      <c r="I22215"/>
      <c r="N22215"/>
      <c r="O22215" s="24"/>
      <c r="P22215"/>
      <c r="Q22215" s="24"/>
      <c r="R22215"/>
      <c r="S22215"/>
      <c r="T22215"/>
      <c r="U22215"/>
      <c r="X22215" s="60"/>
    </row>
    <row r="22216" spans="7:24" ht="15" customHeight="1">
      <c r="G22216"/>
      <c r="I22216"/>
      <c r="N22216"/>
      <c r="O22216" s="24"/>
      <c r="P22216"/>
      <c r="Q22216" s="24"/>
      <c r="R22216"/>
      <c r="S22216"/>
      <c r="T22216"/>
      <c r="U22216"/>
      <c r="X22216" s="60"/>
    </row>
    <row r="22217" spans="7:24" ht="15" customHeight="1">
      <c r="G22217"/>
      <c r="I22217"/>
      <c r="N22217"/>
      <c r="O22217" s="24"/>
      <c r="P22217"/>
      <c r="Q22217" s="24"/>
      <c r="R22217"/>
      <c r="S22217"/>
      <c r="T22217"/>
      <c r="U22217"/>
      <c r="X22217" s="60"/>
    </row>
    <row r="22218" spans="7:24" ht="15" customHeight="1">
      <c r="G22218"/>
      <c r="I22218"/>
      <c r="N22218"/>
      <c r="O22218" s="24"/>
      <c r="P22218"/>
      <c r="Q22218" s="24"/>
      <c r="R22218"/>
      <c r="S22218"/>
      <c r="T22218"/>
      <c r="U22218"/>
      <c r="X22218" s="60"/>
    </row>
    <row r="22219" spans="7:24" ht="15" customHeight="1">
      <c r="G22219"/>
      <c r="I22219"/>
      <c r="N22219"/>
      <c r="O22219" s="24"/>
      <c r="P22219"/>
      <c r="Q22219" s="24"/>
      <c r="R22219"/>
      <c r="S22219"/>
      <c r="T22219"/>
      <c r="U22219"/>
      <c r="X22219" s="60"/>
    </row>
    <row r="22220" spans="7:24" ht="15" customHeight="1">
      <c r="G22220"/>
      <c r="I22220"/>
      <c r="N22220"/>
      <c r="O22220" s="24"/>
      <c r="P22220"/>
      <c r="Q22220" s="24"/>
      <c r="R22220"/>
      <c r="S22220"/>
      <c r="T22220"/>
      <c r="U22220"/>
      <c r="X22220" s="60"/>
    </row>
    <row r="22221" spans="7:24" ht="15" customHeight="1">
      <c r="G22221"/>
      <c r="I22221"/>
      <c r="N22221"/>
      <c r="O22221" s="24"/>
      <c r="P22221"/>
      <c r="Q22221" s="24"/>
      <c r="R22221"/>
      <c r="S22221"/>
      <c r="T22221"/>
      <c r="U22221"/>
      <c r="X22221" s="60"/>
    </row>
    <row r="22222" spans="7:24" ht="15" customHeight="1">
      <c r="G22222"/>
      <c r="I22222"/>
      <c r="N22222"/>
      <c r="O22222" s="24"/>
      <c r="P22222"/>
      <c r="Q22222" s="24"/>
      <c r="R22222"/>
      <c r="S22222"/>
      <c r="T22222"/>
      <c r="U22222"/>
      <c r="X22222" s="60"/>
    </row>
    <row r="22223" spans="7:24" ht="15" customHeight="1">
      <c r="G22223"/>
      <c r="I22223"/>
      <c r="N22223"/>
      <c r="O22223" s="24"/>
      <c r="P22223"/>
      <c r="Q22223" s="24"/>
      <c r="R22223"/>
      <c r="S22223"/>
      <c r="T22223"/>
      <c r="U22223"/>
      <c r="X22223" s="60"/>
    </row>
    <row r="22224" spans="7:24" ht="15" customHeight="1">
      <c r="G22224"/>
      <c r="I22224"/>
      <c r="N22224"/>
      <c r="O22224" s="24"/>
      <c r="P22224"/>
      <c r="Q22224" s="24"/>
      <c r="R22224"/>
      <c r="S22224"/>
      <c r="T22224"/>
      <c r="U22224"/>
      <c r="X22224" s="60"/>
    </row>
    <row r="22225" spans="7:24" ht="15" customHeight="1">
      <c r="G22225"/>
      <c r="I22225"/>
      <c r="N22225"/>
      <c r="O22225" s="24"/>
      <c r="P22225"/>
      <c r="Q22225" s="24"/>
      <c r="R22225"/>
      <c r="S22225"/>
      <c r="T22225"/>
      <c r="U22225"/>
      <c r="X22225" s="60"/>
    </row>
    <row r="22226" spans="7:24" ht="15" customHeight="1">
      <c r="G22226"/>
      <c r="I22226"/>
      <c r="N22226"/>
      <c r="O22226" s="24"/>
      <c r="P22226"/>
      <c r="Q22226" s="24"/>
      <c r="R22226"/>
      <c r="S22226"/>
      <c r="T22226"/>
      <c r="U22226"/>
      <c r="X22226" s="60"/>
    </row>
    <row r="22227" spans="7:24" ht="15" customHeight="1">
      <c r="G22227"/>
      <c r="I22227"/>
      <c r="N22227"/>
      <c r="O22227" s="24"/>
      <c r="P22227"/>
      <c r="Q22227" s="24"/>
      <c r="R22227"/>
      <c r="S22227"/>
      <c r="T22227"/>
      <c r="U22227"/>
      <c r="X22227" s="60"/>
    </row>
    <row r="22228" spans="7:24" ht="15" customHeight="1">
      <c r="G22228"/>
      <c r="I22228"/>
      <c r="N22228"/>
      <c r="O22228" s="24"/>
      <c r="P22228"/>
      <c r="Q22228" s="24"/>
      <c r="R22228"/>
      <c r="S22228"/>
      <c r="T22228"/>
      <c r="U22228"/>
      <c r="X22228" s="60"/>
    </row>
    <row r="22229" spans="7:24" ht="15" customHeight="1">
      <c r="G22229"/>
      <c r="I22229"/>
      <c r="N22229"/>
      <c r="O22229" s="24"/>
      <c r="P22229"/>
      <c r="Q22229" s="24"/>
      <c r="R22229"/>
      <c r="S22229"/>
      <c r="T22229"/>
      <c r="U22229"/>
      <c r="X22229" s="60"/>
    </row>
    <row r="22230" spans="7:24" ht="15" customHeight="1">
      <c r="G22230"/>
      <c r="I22230"/>
      <c r="N22230"/>
      <c r="O22230" s="24"/>
      <c r="P22230"/>
      <c r="Q22230" s="24"/>
      <c r="R22230"/>
      <c r="S22230"/>
      <c r="T22230"/>
      <c r="U22230"/>
      <c r="X22230" s="60"/>
    </row>
    <row r="22231" spans="7:24" ht="15" customHeight="1">
      <c r="G22231"/>
      <c r="I22231"/>
      <c r="N22231"/>
      <c r="O22231" s="24"/>
      <c r="P22231"/>
      <c r="Q22231" s="24"/>
      <c r="R22231"/>
      <c r="S22231"/>
      <c r="T22231"/>
      <c r="U22231"/>
      <c r="X22231" s="60"/>
    </row>
    <row r="22232" spans="7:24" ht="15" customHeight="1">
      <c r="G22232"/>
      <c r="I22232"/>
      <c r="N22232"/>
      <c r="O22232" s="24"/>
      <c r="P22232"/>
      <c r="Q22232" s="24"/>
      <c r="R22232"/>
      <c r="S22232"/>
      <c r="T22232"/>
      <c r="U22232"/>
      <c r="X22232" s="60"/>
    </row>
    <row r="22233" spans="7:24" ht="15" customHeight="1">
      <c r="G22233"/>
      <c r="I22233"/>
      <c r="N22233"/>
      <c r="O22233" s="24"/>
      <c r="P22233"/>
      <c r="Q22233" s="24"/>
      <c r="R22233"/>
      <c r="S22233"/>
      <c r="T22233"/>
      <c r="U22233"/>
      <c r="X22233" s="60"/>
    </row>
    <row r="22234" spans="7:24" ht="15" customHeight="1">
      <c r="G22234"/>
      <c r="I22234"/>
      <c r="N22234"/>
      <c r="O22234" s="24"/>
      <c r="P22234"/>
      <c r="Q22234" s="24"/>
      <c r="R22234"/>
      <c r="S22234"/>
      <c r="T22234"/>
      <c r="U22234"/>
      <c r="X22234" s="60"/>
    </row>
    <row r="22235" spans="7:24" ht="15" customHeight="1">
      <c r="G22235"/>
      <c r="I22235"/>
      <c r="N22235"/>
      <c r="O22235" s="24"/>
      <c r="P22235"/>
      <c r="Q22235" s="24"/>
      <c r="R22235"/>
      <c r="S22235"/>
      <c r="T22235"/>
      <c r="U22235"/>
      <c r="X22235" s="60"/>
    </row>
    <row r="22236" spans="7:24" ht="15" customHeight="1">
      <c r="G22236"/>
      <c r="I22236"/>
      <c r="N22236"/>
      <c r="O22236" s="24"/>
      <c r="P22236"/>
      <c r="Q22236" s="24"/>
      <c r="R22236"/>
      <c r="S22236"/>
      <c r="T22236"/>
      <c r="U22236"/>
      <c r="X22236" s="60"/>
    </row>
    <row r="22237" spans="7:24" ht="15" customHeight="1">
      <c r="G22237"/>
      <c r="I22237"/>
      <c r="N22237"/>
      <c r="O22237" s="24"/>
      <c r="P22237"/>
      <c r="Q22237" s="24"/>
      <c r="R22237"/>
      <c r="S22237"/>
      <c r="T22237"/>
      <c r="U22237"/>
      <c r="X22237" s="60"/>
    </row>
    <row r="22238" spans="7:24" ht="15" customHeight="1">
      <c r="G22238"/>
      <c r="I22238"/>
      <c r="N22238"/>
      <c r="O22238" s="24"/>
      <c r="P22238"/>
      <c r="Q22238" s="24"/>
      <c r="R22238"/>
      <c r="S22238"/>
      <c r="T22238"/>
      <c r="U22238"/>
      <c r="X22238" s="60"/>
    </row>
    <row r="22239" spans="7:24" ht="15" customHeight="1">
      <c r="G22239"/>
      <c r="I22239"/>
      <c r="N22239"/>
      <c r="O22239" s="24"/>
      <c r="P22239"/>
      <c r="Q22239" s="24"/>
      <c r="R22239"/>
      <c r="S22239"/>
      <c r="T22239"/>
      <c r="U22239"/>
      <c r="X22239" s="60"/>
    </row>
    <row r="22240" spans="7:24" ht="15" customHeight="1">
      <c r="G22240"/>
      <c r="I22240"/>
      <c r="N22240"/>
      <c r="O22240" s="24"/>
      <c r="P22240"/>
      <c r="Q22240" s="24"/>
      <c r="R22240"/>
      <c r="S22240"/>
      <c r="T22240"/>
      <c r="U22240"/>
      <c r="X22240" s="60"/>
    </row>
    <row r="22241" spans="7:24" ht="15" customHeight="1">
      <c r="G22241"/>
      <c r="I22241"/>
      <c r="N22241"/>
      <c r="O22241" s="24"/>
      <c r="P22241"/>
      <c r="Q22241" s="24"/>
      <c r="R22241"/>
      <c r="S22241"/>
      <c r="T22241"/>
      <c r="U22241"/>
      <c r="X22241" s="60"/>
    </row>
    <row r="22242" spans="7:24" ht="15" customHeight="1">
      <c r="G22242"/>
      <c r="I22242"/>
      <c r="N22242"/>
      <c r="O22242" s="24"/>
      <c r="P22242"/>
      <c r="Q22242" s="24"/>
      <c r="R22242"/>
      <c r="S22242"/>
      <c r="T22242"/>
      <c r="U22242"/>
      <c r="X22242" s="60"/>
    </row>
    <row r="22243" spans="7:24" ht="15" customHeight="1">
      <c r="G22243"/>
      <c r="I22243"/>
      <c r="N22243"/>
      <c r="O22243" s="24"/>
      <c r="P22243"/>
      <c r="Q22243" s="24"/>
      <c r="R22243"/>
      <c r="S22243"/>
      <c r="T22243"/>
      <c r="U22243"/>
      <c r="X22243" s="60"/>
    </row>
    <row r="22244" spans="7:24" ht="15" customHeight="1">
      <c r="G22244"/>
      <c r="I22244"/>
      <c r="N22244"/>
      <c r="O22244" s="24"/>
      <c r="P22244"/>
      <c r="Q22244" s="24"/>
      <c r="R22244"/>
      <c r="S22244"/>
      <c r="T22244"/>
      <c r="U22244"/>
      <c r="X22244" s="60"/>
    </row>
    <row r="22245" spans="7:24" ht="15" customHeight="1">
      <c r="G22245"/>
      <c r="I22245"/>
      <c r="N22245"/>
      <c r="O22245" s="24"/>
      <c r="P22245"/>
      <c r="Q22245" s="24"/>
      <c r="R22245"/>
      <c r="S22245"/>
      <c r="T22245"/>
      <c r="U22245"/>
      <c r="X22245" s="60"/>
    </row>
    <row r="22246" spans="7:24" ht="15" customHeight="1">
      <c r="G22246"/>
      <c r="I22246"/>
      <c r="N22246"/>
      <c r="O22246" s="24"/>
      <c r="P22246"/>
      <c r="Q22246" s="24"/>
      <c r="R22246"/>
      <c r="S22246"/>
      <c r="T22246"/>
      <c r="U22246"/>
      <c r="X22246" s="60"/>
    </row>
    <row r="22247" spans="7:24" ht="15" customHeight="1">
      <c r="G22247"/>
      <c r="I22247"/>
      <c r="N22247"/>
      <c r="O22247" s="24"/>
      <c r="P22247"/>
      <c r="Q22247" s="24"/>
      <c r="R22247"/>
      <c r="S22247"/>
      <c r="T22247"/>
      <c r="U22247"/>
      <c r="X22247" s="60"/>
    </row>
    <row r="22248" spans="7:24" ht="15" customHeight="1">
      <c r="G22248"/>
      <c r="I22248"/>
      <c r="N22248"/>
      <c r="O22248" s="24"/>
      <c r="P22248"/>
      <c r="Q22248" s="24"/>
      <c r="R22248"/>
      <c r="S22248"/>
      <c r="T22248"/>
      <c r="U22248"/>
      <c r="X22248" s="60"/>
    </row>
    <row r="22249" spans="7:24" ht="15" customHeight="1">
      <c r="G22249"/>
      <c r="I22249"/>
      <c r="N22249"/>
      <c r="O22249" s="24"/>
      <c r="P22249"/>
      <c r="Q22249" s="24"/>
      <c r="R22249"/>
      <c r="S22249"/>
      <c r="T22249"/>
      <c r="U22249"/>
      <c r="X22249" s="60"/>
    </row>
    <row r="22250" spans="7:24" ht="15" customHeight="1">
      <c r="G22250"/>
      <c r="I22250"/>
      <c r="N22250"/>
      <c r="O22250" s="24"/>
      <c r="P22250"/>
      <c r="Q22250" s="24"/>
      <c r="R22250"/>
      <c r="S22250"/>
      <c r="T22250"/>
      <c r="U22250"/>
      <c r="X22250" s="60"/>
    </row>
    <row r="22251" spans="7:24" ht="15" customHeight="1">
      <c r="G22251"/>
      <c r="I22251"/>
      <c r="N22251"/>
      <c r="O22251" s="24"/>
      <c r="P22251"/>
      <c r="Q22251" s="24"/>
      <c r="R22251"/>
      <c r="S22251"/>
      <c r="T22251"/>
      <c r="U22251"/>
      <c r="X22251" s="60"/>
    </row>
    <row r="22252" spans="7:24" ht="15" customHeight="1">
      <c r="G22252"/>
      <c r="I22252"/>
      <c r="N22252"/>
      <c r="O22252" s="24"/>
      <c r="P22252"/>
      <c r="Q22252" s="24"/>
      <c r="R22252"/>
      <c r="S22252"/>
      <c r="T22252"/>
      <c r="U22252"/>
      <c r="X22252" s="60"/>
    </row>
    <row r="22253" spans="7:24" ht="15" customHeight="1">
      <c r="G22253"/>
      <c r="I22253"/>
      <c r="N22253"/>
      <c r="O22253" s="24"/>
      <c r="P22253"/>
      <c r="Q22253" s="24"/>
      <c r="R22253"/>
      <c r="S22253"/>
      <c r="T22253"/>
      <c r="U22253"/>
      <c r="X22253" s="60"/>
    </row>
    <row r="22254" spans="7:24" ht="15" customHeight="1">
      <c r="G22254"/>
      <c r="I22254"/>
      <c r="N22254"/>
      <c r="O22254" s="24"/>
      <c r="P22254"/>
      <c r="Q22254" s="24"/>
      <c r="R22254"/>
      <c r="S22254"/>
      <c r="T22254"/>
      <c r="U22254"/>
      <c r="X22254" s="60"/>
    </row>
    <row r="22255" spans="7:24" ht="15" customHeight="1">
      <c r="G22255"/>
      <c r="I22255"/>
      <c r="N22255"/>
      <c r="O22255" s="24"/>
      <c r="P22255"/>
      <c r="Q22255" s="24"/>
      <c r="R22255"/>
      <c r="S22255"/>
      <c r="T22255"/>
      <c r="U22255"/>
      <c r="X22255" s="60"/>
    </row>
    <row r="22256" spans="7:24" ht="15" customHeight="1">
      <c r="G22256"/>
      <c r="I22256"/>
      <c r="N22256"/>
      <c r="O22256" s="24"/>
      <c r="P22256"/>
      <c r="Q22256" s="24"/>
      <c r="R22256"/>
      <c r="S22256"/>
      <c r="T22256"/>
      <c r="U22256"/>
      <c r="X22256" s="60"/>
    </row>
    <row r="22257" spans="7:24" ht="15" customHeight="1">
      <c r="G22257"/>
      <c r="I22257"/>
      <c r="N22257"/>
      <c r="O22257" s="24"/>
      <c r="P22257"/>
      <c r="Q22257" s="24"/>
      <c r="R22257"/>
      <c r="S22257"/>
      <c r="T22257"/>
      <c r="U22257"/>
      <c r="X22257" s="60"/>
    </row>
    <row r="22258" spans="7:24" ht="15" customHeight="1">
      <c r="G22258"/>
      <c r="I22258"/>
      <c r="N22258"/>
      <c r="O22258" s="24"/>
      <c r="P22258"/>
      <c r="Q22258" s="24"/>
      <c r="R22258"/>
      <c r="S22258"/>
      <c r="T22258"/>
      <c r="U22258"/>
      <c r="X22258" s="60"/>
    </row>
    <row r="22259" spans="7:24" ht="15" customHeight="1">
      <c r="G22259"/>
      <c r="I22259"/>
      <c r="N22259"/>
      <c r="O22259" s="24"/>
      <c r="P22259"/>
      <c r="Q22259" s="24"/>
      <c r="R22259"/>
      <c r="S22259"/>
      <c r="T22259"/>
      <c r="U22259"/>
      <c r="X22259" s="60"/>
    </row>
    <row r="22260" spans="7:24" ht="15" customHeight="1">
      <c r="G22260"/>
      <c r="I22260"/>
      <c r="N22260"/>
      <c r="O22260" s="24"/>
      <c r="P22260"/>
      <c r="Q22260" s="24"/>
      <c r="R22260"/>
      <c r="S22260"/>
      <c r="T22260"/>
      <c r="U22260"/>
      <c r="X22260" s="60"/>
    </row>
    <row r="22261" spans="7:24" ht="15" customHeight="1">
      <c r="G22261"/>
      <c r="I22261"/>
      <c r="N22261"/>
      <c r="O22261" s="24"/>
      <c r="P22261"/>
      <c r="Q22261" s="24"/>
      <c r="R22261"/>
      <c r="S22261"/>
      <c r="T22261"/>
      <c r="U22261"/>
      <c r="X22261" s="60"/>
    </row>
    <row r="22262" spans="7:24" ht="15" customHeight="1">
      <c r="G22262"/>
      <c r="I22262"/>
      <c r="N22262"/>
      <c r="O22262" s="24"/>
      <c r="P22262"/>
      <c r="Q22262" s="24"/>
      <c r="R22262"/>
      <c r="S22262"/>
      <c r="T22262"/>
      <c r="U22262"/>
      <c r="X22262" s="60"/>
    </row>
    <row r="22263" spans="7:24" ht="15" customHeight="1">
      <c r="G22263"/>
      <c r="I22263"/>
      <c r="N22263"/>
      <c r="O22263" s="24"/>
      <c r="P22263"/>
      <c r="Q22263" s="24"/>
      <c r="R22263"/>
      <c r="S22263"/>
      <c r="T22263"/>
      <c r="U22263"/>
      <c r="X22263" s="60"/>
    </row>
    <row r="22264" spans="7:24" ht="15" customHeight="1">
      <c r="G22264"/>
      <c r="I22264"/>
      <c r="N22264"/>
      <c r="O22264" s="24"/>
      <c r="P22264"/>
      <c r="Q22264" s="24"/>
      <c r="R22264"/>
      <c r="S22264"/>
      <c r="T22264"/>
      <c r="U22264"/>
      <c r="X22264" s="60"/>
    </row>
    <row r="22265" spans="7:24" ht="15" customHeight="1">
      <c r="G22265"/>
      <c r="I22265"/>
      <c r="N22265"/>
      <c r="O22265" s="24"/>
      <c r="P22265"/>
      <c r="Q22265" s="24"/>
      <c r="R22265"/>
      <c r="S22265"/>
      <c r="T22265"/>
      <c r="U22265"/>
      <c r="X22265" s="60"/>
    </row>
    <row r="22266" spans="7:24" ht="15" customHeight="1">
      <c r="G22266"/>
      <c r="I22266"/>
      <c r="N22266"/>
      <c r="O22266" s="24"/>
      <c r="P22266"/>
      <c r="Q22266" s="24"/>
      <c r="R22266"/>
      <c r="S22266"/>
      <c r="T22266"/>
      <c r="U22266"/>
      <c r="X22266" s="60"/>
    </row>
    <row r="22267" spans="7:24" ht="15" customHeight="1">
      <c r="G22267"/>
      <c r="I22267"/>
      <c r="N22267"/>
      <c r="O22267" s="24"/>
      <c r="P22267"/>
      <c r="Q22267" s="24"/>
      <c r="R22267"/>
      <c r="S22267"/>
      <c r="T22267"/>
      <c r="U22267"/>
      <c r="X22267" s="60"/>
    </row>
    <row r="22268" spans="7:24" ht="15" customHeight="1">
      <c r="G22268"/>
      <c r="I22268"/>
      <c r="N22268"/>
      <c r="O22268" s="24"/>
      <c r="P22268"/>
      <c r="Q22268" s="24"/>
      <c r="R22268"/>
      <c r="S22268"/>
      <c r="T22268"/>
      <c r="U22268"/>
      <c r="X22268" s="60"/>
    </row>
    <row r="22269" spans="7:24" ht="15" customHeight="1">
      <c r="G22269"/>
      <c r="I22269"/>
      <c r="N22269"/>
      <c r="O22269" s="24"/>
      <c r="P22269"/>
      <c r="Q22269" s="24"/>
      <c r="R22269"/>
      <c r="S22269"/>
      <c r="T22269"/>
      <c r="U22269"/>
      <c r="X22269" s="60"/>
    </row>
    <row r="22270" spans="7:24" ht="15" customHeight="1">
      <c r="G22270"/>
      <c r="I22270"/>
      <c r="N22270"/>
      <c r="O22270" s="24"/>
      <c r="P22270"/>
      <c r="Q22270" s="24"/>
      <c r="R22270"/>
      <c r="S22270"/>
      <c r="T22270"/>
      <c r="U22270"/>
      <c r="X22270" s="60"/>
    </row>
    <row r="22271" spans="7:24" ht="15" customHeight="1">
      <c r="G22271"/>
      <c r="I22271"/>
      <c r="N22271"/>
      <c r="O22271" s="24"/>
      <c r="P22271"/>
      <c r="Q22271" s="24"/>
      <c r="R22271"/>
      <c r="S22271"/>
      <c r="T22271"/>
      <c r="U22271"/>
      <c r="X22271" s="60"/>
    </row>
    <row r="22272" spans="7:24" ht="15" customHeight="1">
      <c r="G22272"/>
      <c r="I22272"/>
      <c r="N22272"/>
      <c r="O22272" s="24"/>
      <c r="P22272"/>
      <c r="Q22272" s="24"/>
      <c r="R22272"/>
      <c r="S22272"/>
      <c r="T22272"/>
      <c r="U22272"/>
      <c r="X22272" s="60"/>
    </row>
    <row r="22273" spans="7:24" ht="15" customHeight="1">
      <c r="G22273"/>
      <c r="I22273"/>
      <c r="N22273"/>
      <c r="O22273" s="24"/>
      <c r="P22273"/>
      <c r="Q22273" s="24"/>
      <c r="R22273"/>
      <c r="S22273"/>
      <c r="T22273"/>
      <c r="U22273"/>
      <c r="X22273" s="60"/>
    </row>
    <row r="22274" spans="7:24" ht="15" customHeight="1">
      <c r="G22274"/>
      <c r="I22274"/>
      <c r="N22274"/>
      <c r="O22274" s="24"/>
      <c r="P22274"/>
      <c r="Q22274" s="24"/>
      <c r="R22274"/>
      <c r="S22274"/>
      <c r="T22274"/>
      <c r="U22274"/>
      <c r="X22274" s="60"/>
    </row>
    <row r="22275" spans="7:24" ht="15" customHeight="1">
      <c r="G22275"/>
      <c r="I22275"/>
      <c r="N22275"/>
      <c r="O22275" s="24"/>
      <c r="P22275"/>
      <c r="Q22275" s="24"/>
      <c r="R22275"/>
      <c r="S22275"/>
      <c r="T22275"/>
      <c r="U22275"/>
      <c r="X22275" s="60"/>
    </row>
    <row r="22276" spans="7:24" ht="15" customHeight="1">
      <c r="G22276"/>
      <c r="I22276"/>
      <c r="N22276"/>
      <c r="O22276" s="24"/>
      <c r="P22276"/>
      <c r="Q22276" s="24"/>
      <c r="R22276"/>
      <c r="S22276"/>
      <c r="T22276"/>
      <c r="U22276"/>
      <c r="X22276" s="60"/>
    </row>
    <row r="22277" spans="7:24" ht="15" customHeight="1">
      <c r="G22277"/>
      <c r="I22277"/>
      <c r="N22277"/>
      <c r="O22277" s="24"/>
      <c r="P22277"/>
      <c r="Q22277" s="24"/>
      <c r="R22277"/>
      <c r="S22277"/>
      <c r="T22277"/>
      <c r="U22277"/>
      <c r="X22277" s="60"/>
    </row>
    <row r="22278" spans="7:24" ht="15" customHeight="1">
      <c r="G22278"/>
      <c r="I22278"/>
      <c r="N22278"/>
      <c r="O22278" s="24"/>
      <c r="P22278"/>
      <c r="Q22278" s="24"/>
      <c r="R22278"/>
      <c r="S22278"/>
      <c r="T22278"/>
      <c r="U22278"/>
      <c r="X22278" s="60"/>
    </row>
    <row r="22279" spans="7:24" ht="15" customHeight="1">
      <c r="G22279"/>
      <c r="I22279"/>
      <c r="N22279"/>
      <c r="O22279" s="24"/>
      <c r="P22279"/>
      <c r="Q22279" s="24"/>
      <c r="R22279"/>
      <c r="S22279"/>
      <c r="T22279"/>
      <c r="U22279"/>
      <c r="X22279" s="60"/>
    </row>
    <row r="22280" spans="7:24" ht="15" customHeight="1">
      <c r="G22280"/>
      <c r="I22280"/>
      <c r="N22280"/>
      <c r="O22280" s="24"/>
      <c r="P22280"/>
      <c r="Q22280" s="24"/>
      <c r="R22280"/>
      <c r="S22280"/>
      <c r="T22280"/>
      <c r="U22280"/>
      <c r="X22280" s="60"/>
    </row>
    <row r="22281" spans="7:24" ht="15" customHeight="1">
      <c r="G22281"/>
      <c r="I22281"/>
      <c r="N22281"/>
      <c r="O22281" s="24"/>
      <c r="P22281"/>
      <c r="Q22281" s="24"/>
      <c r="R22281"/>
      <c r="S22281"/>
      <c r="T22281"/>
      <c r="U22281"/>
      <c r="X22281" s="60"/>
    </row>
    <row r="22282" spans="7:24" ht="15" customHeight="1">
      <c r="G22282"/>
      <c r="I22282"/>
      <c r="N22282"/>
      <c r="O22282" s="24"/>
      <c r="P22282"/>
      <c r="Q22282" s="24"/>
      <c r="R22282"/>
      <c r="S22282"/>
      <c r="T22282"/>
      <c r="U22282"/>
      <c r="X22282" s="60"/>
    </row>
    <row r="22283" spans="7:24" ht="15" customHeight="1">
      <c r="G22283"/>
      <c r="I22283"/>
      <c r="N22283"/>
      <c r="O22283" s="24"/>
      <c r="P22283"/>
      <c r="Q22283" s="24"/>
      <c r="R22283"/>
      <c r="S22283"/>
      <c r="T22283"/>
      <c r="U22283"/>
      <c r="X22283" s="60"/>
    </row>
    <row r="22284" spans="7:24" ht="15" customHeight="1">
      <c r="G22284"/>
      <c r="I22284"/>
      <c r="N22284"/>
      <c r="O22284" s="24"/>
      <c r="P22284"/>
      <c r="Q22284" s="24"/>
      <c r="R22284"/>
      <c r="S22284"/>
      <c r="T22284"/>
      <c r="U22284"/>
      <c r="X22284" s="60"/>
    </row>
    <row r="22285" spans="7:24" ht="15" customHeight="1">
      <c r="G22285"/>
      <c r="I22285"/>
      <c r="N22285"/>
      <c r="O22285" s="24"/>
      <c r="P22285"/>
      <c r="Q22285" s="24"/>
      <c r="R22285"/>
      <c r="S22285"/>
      <c r="T22285"/>
      <c r="U22285"/>
      <c r="X22285" s="60"/>
    </row>
    <row r="22286" spans="7:24" ht="15" customHeight="1">
      <c r="G22286"/>
      <c r="I22286"/>
      <c r="N22286"/>
      <c r="O22286" s="24"/>
      <c r="P22286"/>
      <c r="Q22286" s="24"/>
      <c r="R22286"/>
      <c r="S22286"/>
      <c r="T22286"/>
      <c r="U22286"/>
      <c r="X22286" s="60"/>
    </row>
    <row r="22287" spans="7:24" ht="15" customHeight="1">
      <c r="G22287"/>
      <c r="I22287"/>
      <c r="N22287"/>
      <c r="O22287" s="24"/>
      <c r="P22287"/>
      <c r="Q22287" s="24"/>
      <c r="R22287"/>
      <c r="S22287"/>
      <c r="T22287"/>
      <c r="U22287"/>
      <c r="X22287" s="60"/>
    </row>
    <row r="22288" spans="7:24" ht="15" customHeight="1">
      <c r="G22288"/>
      <c r="I22288"/>
      <c r="N22288"/>
      <c r="O22288" s="24"/>
      <c r="P22288"/>
      <c r="Q22288" s="24"/>
      <c r="R22288"/>
      <c r="S22288"/>
      <c r="T22288"/>
      <c r="U22288"/>
      <c r="X22288" s="60"/>
    </row>
    <row r="22289" spans="7:24" ht="15" customHeight="1">
      <c r="G22289"/>
      <c r="I22289"/>
      <c r="N22289"/>
      <c r="O22289" s="24"/>
      <c r="P22289"/>
      <c r="Q22289" s="24"/>
      <c r="R22289"/>
      <c r="S22289"/>
      <c r="T22289"/>
      <c r="U22289"/>
      <c r="X22289" s="60"/>
    </row>
    <row r="22290" spans="7:24" ht="15" customHeight="1">
      <c r="G22290"/>
      <c r="I22290"/>
      <c r="N22290"/>
      <c r="O22290" s="24"/>
      <c r="P22290"/>
      <c r="Q22290" s="24"/>
      <c r="R22290"/>
      <c r="S22290"/>
      <c r="T22290"/>
      <c r="U22290"/>
      <c r="X22290" s="60"/>
    </row>
    <row r="22291" spans="7:24" ht="15" customHeight="1">
      <c r="G22291"/>
      <c r="I22291"/>
      <c r="N22291"/>
      <c r="O22291" s="24"/>
      <c r="P22291"/>
      <c r="Q22291" s="24"/>
      <c r="R22291"/>
      <c r="S22291"/>
      <c r="T22291"/>
      <c r="U22291"/>
      <c r="X22291" s="60"/>
    </row>
    <row r="22292" spans="7:24" ht="15" customHeight="1">
      <c r="G22292"/>
      <c r="I22292"/>
      <c r="N22292"/>
      <c r="O22292" s="24"/>
      <c r="P22292"/>
      <c r="Q22292" s="24"/>
      <c r="R22292"/>
      <c r="S22292"/>
      <c r="T22292"/>
      <c r="U22292"/>
      <c r="X22292" s="60"/>
    </row>
    <row r="22293" spans="7:24" ht="15" customHeight="1">
      <c r="G22293"/>
      <c r="I22293"/>
      <c r="N22293"/>
      <c r="O22293" s="24"/>
      <c r="P22293"/>
      <c r="Q22293" s="24"/>
      <c r="R22293"/>
      <c r="S22293"/>
      <c r="T22293"/>
      <c r="U22293"/>
      <c r="X22293" s="60"/>
    </row>
    <row r="22294" spans="7:24" ht="15" customHeight="1">
      <c r="G22294"/>
      <c r="I22294"/>
      <c r="N22294"/>
      <c r="O22294" s="24"/>
      <c r="P22294"/>
      <c r="Q22294" s="24"/>
      <c r="R22294"/>
      <c r="S22294"/>
      <c r="T22294"/>
      <c r="U22294"/>
      <c r="X22294" s="60"/>
    </row>
    <row r="22295" spans="7:24" ht="15" customHeight="1">
      <c r="G22295"/>
      <c r="I22295"/>
      <c r="N22295"/>
      <c r="O22295" s="24"/>
      <c r="P22295"/>
      <c r="Q22295" s="24"/>
      <c r="R22295"/>
      <c r="S22295"/>
      <c r="T22295"/>
      <c r="U22295"/>
      <c r="X22295" s="60"/>
    </row>
    <row r="22296" spans="7:24" ht="15" customHeight="1">
      <c r="G22296"/>
      <c r="I22296"/>
      <c r="N22296"/>
      <c r="O22296" s="24"/>
      <c r="P22296"/>
      <c r="Q22296" s="24"/>
      <c r="R22296"/>
      <c r="S22296"/>
      <c r="T22296"/>
      <c r="U22296"/>
      <c r="X22296" s="60"/>
    </row>
    <row r="22297" spans="7:24" ht="15" customHeight="1">
      <c r="G22297"/>
      <c r="I22297"/>
      <c r="N22297"/>
      <c r="O22297" s="24"/>
      <c r="P22297"/>
      <c r="Q22297" s="24"/>
      <c r="R22297"/>
      <c r="S22297"/>
      <c r="T22297"/>
      <c r="U22297"/>
      <c r="X22297" s="60"/>
    </row>
    <row r="22298" spans="7:24" ht="15" customHeight="1">
      <c r="G22298"/>
      <c r="I22298"/>
      <c r="N22298"/>
      <c r="O22298" s="24"/>
      <c r="P22298"/>
      <c r="Q22298" s="24"/>
      <c r="R22298"/>
      <c r="S22298"/>
      <c r="T22298"/>
      <c r="U22298"/>
      <c r="X22298" s="60"/>
    </row>
    <row r="22299" spans="7:24" ht="15" customHeight="1">
      <c r="G22299"/>
      <c r="I22299"/>
      <c r="N22299"/>
      <c r="O22299" s="24"/>
      <c r="P22299"/>
      <c r="Q22299" s="24"/>
      <c r="R22299"/>
      <c r="S22299"/>
      <c r="T22299"/>
      <c r="U22299"/>
      <c r="X22299" s="60"/>
    </row>
    <row r="22300" spans="7:24" ht="15" customHeight="1">
      <c r="G22300"/>
      <c r="I22300"/>
      <c r="N22300"/>
      <c r="O22300" s="24"/>
      <c r="P22300"/>
      <c r="Q22300" s="24"/>
      <c r="R22300"/>
      <c r="S22300"/>
      <c r="T22300"/>
      <c r="U22300"/>
      <c r="X22300" s="60"/>
    </row>
    <row r="22301" spans="7:24" ht="15" customHeight="1">
      <c r="G22301"/>
      <c r="I22301"/>
      <c r="N22301"/>
      <c r="O22301" s="24"/>
      <c r="P22301"/>
      <c r="Q22301" s="24"/>
      <c r="R22301"/>
      <c r="S22301"/>
      <c r="T22301"/>
      <c r="U22301"/>
      <c r="X22301" s="60"/>
    </row>
    <row r="22302" spans="7:24" ht="15" customHeight="1">
      <c r="G22302"/>
      <c r="I22302"/>
      <c r="N22302"/>
      <c r="O22302" s="24"/>
      <c r="P22302"/>
      <c r="Q22302" s="24"/>
      <c r="R22302"/>
      <c r="S22302"/>
      <c r="T22302"/>
      <c r="U22302"/>
      <c r="X22302" s="60"/>
    </row>
    <row r="22303" spans="7:24" ht="15" customHeight="1">
      <c r="G22303"/>
      <c r="I22303"/>
      <c r="N22303"/>
      <c r="O22303" s="24"/>
      <c r="P22303"/>
      <c r="Q22303" s="24"/>
      <c r="R22303"/>
      <c r="S22303"/>
      <c r="T22303"/>
      <c r="U22303"/>
      <c r="X22303" s="60"/>
    </row>
    <row r="22304" spans="7:24" ht="15" customHeight="1">
      <c r="G22304"/>
      <c r="I22304"/>
      <c r="N22304"/>
      <c r="O22304" s="24"/>
      <c r="P22304"/>
      <c r="Q22304" s="24"/>
      <c r="R22304"/>
      <c r="S22304"/>
      <c r="T22304"/>
      <c r="U22304"/>
      <c r="X22304" s="60"/>
    </row>
    <row r="22305" spans="7:24" ht="15" customHeight="1">
      <c r="G22305"/>
      <c r="I22305"/>
      <c r="N22305"/>
      <c r="O22305" s="24"/>
      <c r="P22305"/>
      <c r="Q22305" s="24"/>
      <c r="R22305"/>
      <c r="S22305"/>
      <c r="T22305"/>
      <c r="U22305"/>
      <c r="X22305" s="60"/>
    </row>
    <row r="22306" spans="7:24" ht="15" customHeight="1">
      <c r="G22306"/>
      <c r="I22306"/>
      <c r="N22306"/>
      <c r="O22306" s="24"/>
      <c r="P22306"/>
      <c r="Q22306" s="24"/>
      <c r="R22306"/>
      <c r="S22306"/>
      <c r="T22306"/>
      <c r="U22306"/>
      <c r="X22306" s="60"/>
    </row>
    <row r="22307" spans="7:24" ht="15" customHeight="1">
      <c r="G22307"/>
      <c r="I22307"/>
      <c r="N22307"/>
      <c r="O22307" s="24"/>
      <c r="P22307"/>
      <c r="Q22307" s="24"/>
      <c r="R22307"/>
      <c r="S22307"/>
      <c r="T22307"/>
      <c r="U22307"/>
      <c r="X22307" s="60"/>
    </row>
    <row r="22308" spans="7:24" ht="15" customHeight="1">
      <c r="G22308"/>
      <c r="I22308"/>
      <c r="N22308"/>
      <c r="O22308" s="24"/>
      <c r="P22308"/>
      <c r="Q22308" s="24"/>
      <c r="R22308"/>
      <c r="S22308"/>
      <c r="T22308"/>
      <c r="U22308"/>
      <c r="X22308" s="60"/>
    </row>
    <row r="22309" spans="7:24" ht="15" customHeight="1">
      <c r="G22309"/>
      <c r="I22309"/>
      <c r="N22309"/>
      <c r="O22309" s="24"/>
      <c r="P22309"/>
      <c r="Q22309" s="24"/>
      <c r="R22309"/>
      <c r="S22309"/>
      <c r="T22309"/>
      <c r="U22309"/>
      <c r="X22309" s="60"/>
    </row>
    <row r="22310" spans="7:24" ht="15" customHeight="1">
      <c r="G22310"/>
      <c r="I22310"/>
      <c r="N22310"/>
      <c r="O22310" s="24"/>
      <c r="P22310"/>
      <c r="Q22310" s="24"/>
      <c r="R22310"/>
      <c r="S22310"/>
      <c r="T22310"/>
      <c r="U22310"/>
      <c r="X22310" s="60"/>
    </row>
    <row r="22311" spans="7:24" ht="15" customHeight="1">
      <c r="G22311"/>
      <c r="I22311"/>
      <c r="N22311"/>
      <c r="O22311" s="24"/>
      <c r="P22311"/>
      <c r="Q22311" s="24"/>
      <c r="R22311"/>
      <c r="S22311"/>
      <c r="T22311"/>
      <c r="U22311"/>
      <c r="X22311" s="60"/>
    </row>
    <row r="22312" spans="7:24" ht="15" customHeight="1">
      <c r="G22312"/>
      <c r="I22312"/>
      <c r="N22312"/>
      <c r="O22312" s="24"/>
      <c r="P22312"/>
      <c r="Q22312" s="24"/>
      <c r="R22312"/>
      <c r="S22312"/>
      <c r="T22312"/>
      <c r="U22312"/>
      <c r="X22312" s="60"/>
    </row>
    <row r="22313" spans="7:24" ht="15" customHeight="1">
      <c r="G22313"/>
      <c r="I22313"/>
      <c r="N22313"/>
      <c r="O22313" s="24"/>
      <c r="P22313"/>
      <c r="Q22313" s="24"/>
      <c r="R22313"/>
      <c r="S22313"/>
      <c r="T22313"/>
      <c r="U22313"/>
      <c r="X22313" s="60"/>
    </row>
    <row r="22314" spans="7:24" ht="15" customHeight="1">
      <c r="G22314"/>
      <c r="I22314"/>
      <c r="N22314"/>
      <c r="O22314" s="24"/>
      <c r="P22314"/>
      <c r="Q22314" s="24"/>
      <c r="R22314"/>
      <c r="S22314"/>
      <c r="T22314"/>
      <c r="U22314"/>
      <c r="X22314" s="60"/>
    </row>
    <row r="22315" spans="7:24" ht="15" customHeight="1">
      <c r="G22315"/>
      <c r="I22315"/>
      <c r="N22315"/>
      <c r="O22315" s="24"/>
      <c r="P22315"/>
      <c r="Q22315" s="24"/>
      <c r="R22315"/>
      <c r="S22315"/>
      <c r="T22315"/>
      <c r="U22315"/>
      <c r="X22315" s="60"/>
    </row>
    <row r="22316" spans="7:24" ht="15" customHeight="1">
      <c r="G22316"/>
      <c r="I22316"/>
      <c r="N22316"/>
      <c r="O22316" s="24"/>
      <c r="P22316"/>
      <c r="Q22316" s="24"/>
      <c r="R22316"/>
      <c r="S22316"/>
      <c r="T22316"/>
      <c r="U22316"/>
      <c r="X22316" s="60"/>
    </row>
    <row r="22317" spans="7:24" ht="15" customHeight="1">
      <c r="G22317"/>
      <c r="I22317"/>
      <c r="N22317"/>
      <c r="O22317" s="24"/>
      <c r="P22317"/>
      <c r="Q22317" s="24"/>
      <c r="R22317"/>
      <c r="S22317"/>
      <c r="T22317"/>
      <c r="U22317"/>
      <c r="X22317" s="60"/>
    </row>
    <row r="22318" spans="7:24" ht="15" customHeight="1">
      <c r="G22318"/>
      <c r="I22318"/>
      <c r="N22318"/>
      <c r="O22318" s="24"/>
      <c r="P22318"/>
      <c r="Q22318" s="24"/>
      <c r="R22318"/>
      <c r="S22318"/>
      <c r="T22318"/>
      <c r="U22318"/>
      <c r="X22318" s="60"/>
    </row>
    <row r="22319" spans="7:24" ht="15" customHeight="1">
      <c r="G22319"/>
      <c r="I22319"/>
      <c r="N22319"/>
      <c r="O22319" s="24"/>
      <c r="P22319"/>
      <c r="Q22319" s="24"/>
      <c r="R22319"/>
      <c r="S22319"/>
      <c r="T22319"/>
      <c r="U22319"/>
      <c r="X22319" s="60"/>
    </row>
    <row r="22320" spans="7:24" ht="15" customHeight="1">
      <c r="G22320"/>
      <c r="I22320"/>
      <c r="N22320"/>
      <c r="O22320" s="24"/>
      <c r="P22320"/>
      <c r="Q22320" s="24"/>
      <c r="R22320"/>
      <c r="S22320"/>
      <c r="T22320"/>
      <c r="U22320"/>
      <c r="X22320" s="60"/>
    </row>
    <row r="22321" spans="7:24" ht="15" customHeight="1">
      <c r="G22321"/>
      <c r="I22321"/>
      <c r="N22321"/>
      <c r="O22321" s="24"/>
      <c r="P22321"/>
      <c r="Q22321" s="24"/>
      <c r="R22321"/>
      <c r="S22321"/>
      <c r="T22321"/>
      <c r="U22321"/>
      <c r="X22321" s="60"/>
    </row>
    <row r="22322" spans="7:24" ht="15" customHeight="1">
      <c r="G22322"/>
      <c r="I22322"/>
      <c r="N22322"/>
      <c r="O22322" s="24"/>
      <c r="P22322"/>
      <c r="Q22322" s="24"/>
      <c r="R22322"/>
      <c r="S22322"/>
      <c r="T22322"/>
      <c r="U22322"/>
      <c r="X22322" s="60"/>
    </row>
    <row r="22323" spans="7:24" ht="15" customHeight="1">
      <c r="G22323"/>
      <c r="I22323"/>
      <c r="N22323"/>
      <c r="O22323" s="24"/>
      <c r="P22323"/>
      <c r="Q22323" s="24"/>
      <c r="R22323"/>
      <c r="S22323"/>
      <c r="T22323"/>
      <c r="U22323"/>
      <c r="X22323" s="60"/>
    </row>
    <row r="22324" spans="7:24" ht="15" customHeight="1">
      <c r="G22324"/>
      <c r="I22324"/>
      <c r="N22324"/>
      <c r="O22324" s="24"/>
      <c r="P22324"/>
      <c r="Q22324" s="24"/>
      <c r="R22324"/>
      <c r="S22324"/>
      <c r="T22324"/>
      <c r="U22324"/>
      <c r="X22324" s="60"/>
    </row>
    <row r="22325" spans="7:24" ht="15" customHeight="1">
      <c r="G22325"/>
      <c r="I22325"/>
      <c r="N22325"/>
      <c r="O22325" s="24"/>
      <c r="P22325"/>
      <c r="Q22325" s="24"/>
      <c r="R22325"/>
      <c r="S22325"/>
      <c r="T22325"/>
      <c r="U22325"/>
      <c r="X22325" s="60"/>
    </row>
    <row r="22326" spans="7:24" ht="15" customHeight="1">
      <c r="G22326"/>
      <c r="I22326"/>
      <c r="N22326"/>
      <c r="O22326" s="24"/>
      <c r="P22326"/>
      <c r="Q22326" s="24"/>
      <c r="R22326"/>
      <c r="S22326"/>
      <c r="T22326"/>
      <c r="U22326"/>
      <c r="X22326" s="60"/>
    </row>
    <row r="22327" spans="7:24" ht="15" customHeight="1">
      <c r="G22327"/>
      <c r="I22327"/>
      <c r="N22327"/>
      <c r="O22327" s="24"/>
      <c r="P22327"/>
      <c r="Q22327" s="24"/>
      <c r="R22327"/>
      <c r="S22327"/>
      <c r="T22327"/>
      <c r="U22327"/>
      <c r="X22327" s="60"/>
    </row>
    <row r="22328" spans="7:24" ht="15" customHeight="1">
      <c r="G22328"/>
      <c r="I22328"/>
      <c r="N22328"/>
      <c r="O22328" s="24"/>
      <c r="P22328"/>
      <c r="Q22328" s="24"/>
      <c r="R22328"/>
      <c r="S22328"/>
      <c r="T22328"/>
      <c r="U22328"/>
      <c r="X22328" s="60"/>
    </row>
    <row r="22329" spans="7:24" ht="15" customHeight="1">
      <c r="G22329"/>
      <c r="I22329"/>
      <c r="N22329"/>
      <c r="O22329" s="24"/>
      <c r="P22329"/>
      <c r="Q22329" s="24"/>
      <c r="R22329"/>
      <c r="S22329"/>
      <c r="T22329"/>
      <c r="U22329"/>
      <c r="X22329" s="60"/>
    </row>
    <row r="22330" spans="7:24" ht="15" customHeight="1">
      <c r="G22330"/>
      <c r="I22330"/>
      <c r="N22330"/>
      <c r="O22330" s="24"/>
      <c r="P22330"/>
      <c r="Q22330" s="24"/>
      <c r="R22330"/>
      <c r="S22330"/>
      <c r="T22330"/>
      <c r="U22330"/>
      <c r="X22330" s="60"/>
    </row>
    <row r="22331" spans="7:24" ht="15" customHeight="1">
      <c r="G22331"/>
      <c r="I22331"/>
      <c r="N22331"/>
      <c r="O22331" s="24"/>
      <c r="P22331"/>
      <c r="Q22331" s="24"/>
      <c r="R22331"/>
      <c r="S22331"/>
      <c r="T22331"/>
      <c r="U22331"/>
      <c r="X22331" s="60"/>
    </row>
    <row r="22332" spans="7:24" ht="15" customHeight="1">
      <c r="G22332"/>
      <c r="I22332"/>
      <c r="N22332"/>
      <c r="O22332" s="24"/>
      <c r="P22332"/>
      <c r="Q22332" s="24"/>
      <c r="R22332"/>
      <c r="S22332"/>
      <c r="T22332"/>
      <c r="U22332"/>
      <c r="X22332" s="60"/>
    </row>
    <row r="22333" spans="7:24" ht="15" customHeight="1">
      <c r="G22333"/>
      <c r="I22333"/>
      <c r="N22333"/>
      <c r="O22333" s="24"/>
      <c r="P22333"/>
      <c r="Q22333" s="24"/>
      <c r="R22333"/>
      <c r="S22333"/>
      <c r="T22333"/>
      <c r="U22333"/>
      <c r="X22333" s="60"/>
    </row>
    <row r="22334" spans="7:24" ht="15" customHeight="1">
      <c r="G22334"/>
      <c r="I22334"/>
      <c r="N22334"/>
      <c r="O22334" s="24"/>
      <c r="P22334"/>
      <c r="Q22334" s="24"/>
      <c r="R22334"/>
      <c r="S22334"/>
      <c r="T22334"/>
      <c r="U22334"/>
      <c r="X22334" s="60"/>
    </row>
    <row r="22335" spans="7:24" ht="15" customHeight="1">
      <c r="G22335"/>
      <c r="I22335"/>
      <c r="N22335"/>
      <c r="O22335" s="24"/>
      <c r="P22335"/>
      <c r="Q22335" s="24"/>
      <c r="R22335"/>
      <c r="S22335"/>
      <c r="T22335"/>
      <c r="U22335"/>
      <c r="X22335" s="60"/>
    </row>
    <row r="22336" spans="7:24" ht="15" customHeight="1">
      <c r="G22336"/>
      <c r="I22336"/>
      <c r="N22336"/>
      <c r="O22336" s="24"/>
      <c r="P22336"/>
      <c r="Q22336" s="24"/>
      <c r="R22336"/>
      <c r="S22336"/>
      <c r="T22336"/>
      <c r="U22336"/>
      <c r="X22336" s="60"/>
    </row>
    <row r="22337" spans="7:24" ht="15" customHeight="1">
      <c r="G22337"/>
      <c r="I22337"/>
      <c r="N22337"/>
      <c r="O22337" s="24"/>
      <c r="P22337"/>
      <c r="Q22337" s="24"/>
      <c r="R22337"/>
      <c r="S22337"/>
      <c r="T22337"/>
      <c r="U22337"/>
      <c r="X22337" s="60"/>
    </row>
    <row r="22338" spans="7:24" ht="15" customHeight="1">
      <c r="G22338"/>
      <c r="I22338"/>
      <c r="N22338"/>
      <c r="O22338" s="24"/>
      <c r="P22338"/>
      <c r="Q22338" s="24"/>
      <c r="R22338"/>
      <c r="S22338"/>
      <c r="T22338"/>
      <c r="U22338"/>
      <c r="X22338" s="60"/>
    </row>
    <row r="22339" spans="7:24" ht="15" customHeight="1">
      <c r="G22339"/>
      <c r="I22339"/>
      <c r="N22339"/>
      <c r="O22339" s="24"/>
      <c r="P22339"/>
      <c r="Q22339" s="24"/>
      <c r="R22339"/>
      <c r="S22339"/>
      <c r="T22339"/>
      <c r="U22339"/>
      <c r="X22339" s="60"/>
    </row>
    <row r="22340" spans="7:24" ht="15" customHeight="1">
      <c r="G22340"/>
      <c r="I22340"/>
      <c r="N22340"/>
      <c r="O22340" s="24"/>
      <c r="P22340"/>
      <c r="Q22340" s="24"/>
      <c r="R22340"/>
      <c r="S22340"/>
      <c r="T22340"/>
      <c r="U22340"/>
      <c r="X22340" s="60"/>
    </row>
    <row r="22341" spans="7:24" ht="15" customHeight="1">
      <c r="G22341"/>
      <c r="I22341"/>
      <c r="N22341"/>
      <c r="O22341" s="24"/>
      <c r="P22341"/>
      <c r="Q22341" s="24"/>
      <c r="R22341"/>
      <c r="S22341"/>
      <c r="T22341"/>
      <c r="U22341"/>
      <c r="X22341" s="60"/>
    </row>
    <row r="22342" spans="7:24" ht="15" customHeight="1">
      <c r="G22342"/>
      <c r="I22342"/>
      <c r="N22342"/>
      <c r="O22342" s="24"/>
      <c r="P22342"/>
      <c r="Q22342" s="24"/>
      <c r="R22342"/>
      <c r="S22342"/>
      <c r="T22342"/>
      <c r="U22342"/>
      <c r="X22342" s="60"/>
    </row>
    <row r="22343" spans="7:24" ht="15" customHeight="1">
      <c r="G22343"/>
      <c r="I22343"/>
      <c r="N22343"/>
      <c r="O22343" s="24"/>
      <c r="P22343"/>
      <c r="Q22343" s="24"/>
      <c r="R22343"/>
      <c r="S22343"/>
      <c r="T22343"/>
      <c r="U22343"/>
      <c r="X22343" s="60"/>
    </row>
    <row r="22344" spans="7:24" ht="15" customHeight="1">
      <c r="G22344"/>
      <c r="I22344"/>
      <c r="N22344"/>
      <c r="O22344" s="24"/>
      <c r="P22344"/>
      <c r="Q22344" s="24"/>
      <c r="R22344"/>
      <c r="S22344"/>
      <c r="T22344"/>
      <c r="U22344"/>
      <c r="X22344" s="60"/>
    </row>
    <row r="22345" spans="7:24" ht="15" customHeight="1">
      <c r="G22345"/>
      <c r="I22345"/>
      <c r="N22345"/>
      <c r="O22345" s="24"/>
      <c r="P22345"/>
      <c r="Q22345" s="24"/>
      <c r="R22345"/>
      <c r="S22345"/>
      <c r="T22345"/>
      <c r="U22345"/>
      <c r="X22345" s="60"/>
    </row>
    <row r="22346" spans="7:24" ht="15" customHeight="1">
      <c r="G22346"/>
      <c r="I22346"/>
      <c r="N22346"/>
      <c r="O22346" s="24"/>
      <c r="P22346"/>
      <c r="Q22346" s="24"/>
      <c r="R22346"/>
      <c r="S22346"/>
      <c r="T22346"/>
      <c r="U22346"/>
      <c r="X22346" s="60"/>
    </row>
    <row r="22347" spans="7:24" ht="15" customHeight="1">
      <c r="G22347"/>
      <c r="I22347"/>
      <c r="N22347"/>
      <c r="O22347" s="24"/>
      <c r="P22347"/>
      <c r="Q22347" s="24"/>
      <c r="R22347"/>
      <c r="S22347"/>
      <c r="T22347"/>
      <c r="U22347"/>
      <c r="X22347" s="60"/>
    </row>
    <row r="22348" spans="7:24" ht="15" customHeight="1">
      <c r="G22348"/>
      <c r="I22348"/>
      <c r="N22348"/>
      <c r="O22348" s="24"/>
      <c r="P22348"/>
      <c r="Q22348" s="24"/>
      <c r="R22348"/>
      <c r="S22348"/>
      <c r="T22348"/>
      <c r="U22348"/>
      <c r="X22348" s="60"/>
    </row>
    <row r="22349" spans="7:24" ht="15" customHeight="1">
      <c r="G22349"/>
      <c r="I22349"/>
      <c r="N22349"/>
      <c r="O22349" s="24"/>
      <c r="P22349"/>
      <c r="Q22349" s="24"/>
      <c r="R22349"/>
      <c r="S22349"/>
      <c r="T22349"/>
      <c r="U22349"/>
      <c r="X22349" s="60"/>
    </row>
    <row r="22350" spans="7:24" ht="15" customHeight="1">
      <c r="G22350"/>
      <c r="I22350"/>
      <c r="N22350"/>
      <c r="O22350" s="24"/>
      <c r="P22350"/>
      <c r="Q22350" s="24"/>
      <c r="R22350"/>
      <c r="S22350"/>
      <c r="T22350"/>
      <c r="U22350"/>
      <c r="X22350" s="60"/>
    </row>
    <row r="22351" spans="7:24" ht="15" customHeight="1">
      <c r="G22351"/>
      <c r="I22351"/>
      <c r="N22351"/>
      <c r="O22351" s="24"/>
      <c r="P22351"/>
      <c r="Q22351" s="24"/>
      <c r="R22351"/>
      <c r="S22351"/>
      <c r="T22351"/>
      <c r="U22351"/>
      <c r="X22351" s="60"/>
    </row>
    <row r="22352" spans="7:24" ht="15" customHeight="1">
      <c r="G22352"/>
      <c r="I22352"/>
      <c r="N22352"/>
      <c r="O22352" s="24"/>
      <c r="P22352"/>
      <c r="Q22352" s="24"/>
      <c r="R22352"/>
      <c r="S22352"/>
      <c r="T22352"/>
      <c r="U22352"/>
      <c r="X22352" s="60"/>
    </row>
    <row r="22353" spans="7:24" ht="15" customHeight="1">
      <c r="G22353"/>
      <c r="I22353"/>
      <c r="N22353"/>
      <c r="O22353" s="24"/>
      <c r="P22353"/>
      <c r="Q22353" s="24"/>
      <c r="R22353"/>
      <c r="S22353"/>
      <c r="T22353"/>
      <c r="U22353"/>
      <c r="X22353" s="60"/>
    </row>
    <row r="22354" spans="7:24" ht="15" customHeight="1">
      <c r="G22354"/>
      <c r="I22354"/>
      <c r="N22354"/>
      <c r="O22354" s="24"/>
      <c r="P22354"/>
      <c r="Q22354" s="24"/>
      <c r="R22354"/>
      <c r="S22354"/>
      <c r="T22354"/>
      <c r="U22354"/>
      <c r="X22354" s="60"/>
    </row>
    <row r="22355" spans="7:24" ht="15" customHeight="1">
      <c r="G22355"/>
      <c r="I22355"/>
      <c r="N22355"/>
      <c r="O22355" s="24"/>
      <c r="P22355"/>
      <c r="Q22355" s="24"/>
      <c r="R22355"/>
      <c r="S22355"/>
      <c r="T22355"/>
      <c r="U22355"/>
      <c r="X22355" s="60"/>
    </row>
    <row r="22356" spans="7:24" ht="15" customHeight="1">
      <c r="G22356"/>
      <c r="I22356"/>
      <c r="N22356"/>
      <c r="O22356" s="24"/>
      <c r="P22356"/>
      <c r="Q22356" s="24"/>
      <c r="R22356"/>
      <c r="S22356"/>
      <c r="T22356"/>
      <c r="U22356"/>
      <c r="X22356" s="60"/>
    </row>
    <row r="22357" spans="7:24" ht="15" customHeight="1">
      <c r="G22357"/>
      <c r="I22357"/>
      <c r="N22357"/>
      <c r="O22357" s="24"/>
      <c r="P22357"/>
      <c r="Q22357" s="24"/>
      <c r="R22357"/>
      <c r="S22357"/>
      <c r="T22357"/>
      <c r="U22357"/>
      <c r="X22357" s="60"/>
    </row>
    <row r="22358" spans="7:24" ht="15" customHeight="1">
      <c r="G22358"/>
      <c r="I22358"/>
      <c r="N22358"/>
      <c r="O22358" s="24"/>
      <c r="P22358"/>
      <c r="Q22358" s="24"/>
      <c r="R22358"/>
      <c r="S22358"/>
      <c r="T22358"/>
      <c r="U22358"/>
      <c r="X22358" s="60"/>
    </row>
    <row r="22359" spans="7:24" ht="15" customHeight="1">
      <c r="G22359"/>
      <c r="I22359"/>
      <c r="N22359"/>
      <c r="O22359" s="24"/>
      <c r="P22359"/>
      <c r="Q22359" s="24"/>
      <c r="R22359"/>
      <c r="S22359"/>
      <c r="T22359"/>
      <c r="U22359"/>
      <c r="X22359" s="60"/>
    </row>
    <row r="22360" spans="7:24" ht="15" customHeight="1">
      <c r="G22360"/>
      <c r="I22360"/>
      <c r="N22360"/>
      <c r="O22360" s="24"/>
      <c r="P22360"/>
      <c r="Q22360" s="24"/>
      <c r="R22360"/>
      <c r="S22360"/>
      <c r="T22360"/>
      <c r="U22360"/>
      <c r="X22360" s="60"/>
    </row>
    <row r="22361" spans="7:24" ht="15" customHeight="1">
      <c r="G22361"/>
      <c r="I22361"/>
      <c r="N22361"/>
      <c r="O22361" s="24"/>
      <c r="P22361"/>
      <c r="Q22361" s="24"/>
      <c r="R22361"/>
      <c r="S22361"/>
      <c r="T22361"/>
      <c r="U22361"/>
      <c r="X22361" s="60"/>
    </row>
    <row r="22362" spans="7:24" ht="15" customHeight="1">
      <c r="G22362"/>
      <c r="I22362"/>
      <c r="N22362"/>
      <c r="O22362" s="24"/>
      <c r="P22362"/>
      <c r="Q22362" s="24"/>
      <c r="R22362"/>
      <c r="S22362"/>
      <c r="T22362"/>
      <c r="U22362"/>
      <c r="X22362" s="60"/>
    </row>
    <row r="22363" spans="7:24" ht="15" customHeight="1">
      <c r="G22363"/>
      <c r="I22363"/>
      <c r="N22363"/>
      <c r="O22363" s="24"/>
      <c r="P22363"/>
      <c r="Q22363" s="24"/>
      <c r="R22363"/>
      <c r="S22363"/>
      <c r="T22363"/>
      <c r="U22363"/>
      <c r="X22363" s="60"/>
    </row>
    <row r="22364" spans="7:24" ht="15" customHeight="1">
      <c r="G22364"/>
      <c r="I22364"/>
      <c r="N22364"/>
      <c r="O22364" s="24"/>
      <c r="P22364"/>
      <c r="Q22364" s="24"/>
      <c r="R22364"/>
      <c r="S22364"/>
      <c r="T22364"/>
      <c r="U22364"/>
      <c r="X22364" s="60"/>
    </row>
    <row r="22365" spans="7:24" ht="15" customHeight="1">
      <c r="G22365"/>
      <c r="I22365"/>
      <c r="N22365"/>
      <c r="O22365" s="24"/>
      <c r="P22365"/>
      <c r="Q22365" s="24"/>
      <c r="R22365"/>
      <c r="S22365"/>
      <c r="T22365"/>
      <c r="U22365"/>
      <c r="X22365" s="60"/>
    </row>
    <row r="22366" spans="7:24" ht="15" customHeight="1">
      <c r="G22366"/>
      <c r="I22366"/>
      <c r="N22366"/>
      <c r="O22366" s="24"/>
      <c r="P22366"/>
      <c r="Q22366" s="24"/>
      <c r="R22366"/>
      <c r="S22366"/>
      <c r="T22366"/>
      <c r="U22366"/>
      <c r="X22366" s="60"/>
    </row>
    <row r="22367" spans="7:24" ht="15" customHeight="1">
      <c r="G22367"/>
      <c r="I22367"/>
      <c r="N22367"/>
      <c r="O22367" s="24"/>
      <c r="P22367"/>
      <c r="Q22367" s="24"/>
      <c r="R22367"/>
      <c r="S22367"/>
      <c r="T22367"/>
      <c r="U22367"/>
      <c r="X22367" s="60"/>
    </row>
    <row r="22368" spans="7:24" ht="15" customHeight="1">
      <c r="G22368"/>
      <c r="I22368"/>
      <c r="N22368"/>
      <c r="O22368" s="24"/>
      <c r="P22368"/>
      <c r="Q22368" s="24"/>
      <c r="R22368"/>
      <c r="S22368"/>
      <c r="T22368"/>
      <c r="U22368"/>
      <c r="X22368" s="60"/>
    </row>
    <row r="22369" spans="7:24" ht="15" customHeight="1">
      <c r="G22369"/>
      <c r="I22369"/>
      <c r="N22369"/>
      <c r="O22369" s="24"/>
      <c r="P22369"/>
      <c r="Q22369" s="24"/>
      <c r="R22369"/>
      <c r="S22369"/>
      <c r="T22369"/>
      <c r="U22369"/>
      <c r="X22369" s="60"/>
    </row>
    <row r="22370" spans="7:24" ht="15" customHeight="1">
      <c r="G22370"/>
      <c r="I22370"/>
      <c r="N22370"/>
      <c r="O22370" s="24"/>
      <c r="P22370"/>
      <c r="Q22370" s="24"/>
      <c r="R22370"/>
      <c r="S22370"/>
      <c r="T22370"/>
      <c r="U22370"/>
      <c r="X22370" s="60"/>
    </row>
    <row r="22371" spans="7:24" ht="15" customHeight="1">
      <c r="G22371"/>
      <c r="I22371"/>
      <c r="N22371"/>
      <c r="O22371" s="24"/>
      <c r="P22371"/>
      <c r="Q22371" s="24"/>
      <c r="R22371"/>
      <c r="S22371"/>
      <c r="T22371"/>
      <c r="U22371"/>
      <c r="X22371" s="60"/>
    </row>
    <row r="22372" spans="7:24" ht="15" customHeight="1">
      <c r="G22372"/>
      <c r="I22372"/>
      <c r="N22372"/>
      <c r="O22372" s="24"/>
      <c r="P22372"/>
      <c r="Q22372" s="24"/>
      <c r="R22372"/>
      <c r="S22372"/>
      <c r="T22372"/>
      <c r="U22372"/>
      <c r="X22372" s="60"/>
    </row>
    <row r="22373" spans="7:24" ht="15" customHeight="1">
      <c r="G22373"/>
      <c r="I22373"/>
      <c r="N22373"/>
      <c r="O22373" s="24"/>
      <c r="P22373"/>
      <c r="Q22373" s="24"/>
      <c r="R22373"/>
      <c r="S22373"/>
      <c r="T22373"/>
      <c r="U22373"/>
      <c r="X22373" s="60"/>
    </row>
    <row r="22374" spans="7:24" ht="15" customHeight="1">
      <c r="G22374"/>
      <c r="I22374"/>
      <c r="N22374"/>
      <c r="O22374" s="24"/>
      <c r="P22374"/>
      <c r="Q22374" s="24"/>
      <c r="R22374"/>
      <c r="S22374"/>
      <c r="T22374"/>
      <c r="U22374"/>
      <c r="X22374" s="60"/>
    </row>
    <row r="22375" spans="7:24" ht="15" customHeight="1">
      <c r="G22375"/>
      <c r="I22375"/>
      <c r="N22375"/>
      <c r="O22375" s="24"/>
      <c r="P22375"/>
      <c r="Q22375" s="24"/>
      <c r="R22375"/>
      <c r="S22375"/>
      <c r="T22375"/>
      <c r="U22375"/>
      <c r="X22375" s="60"/>
    </row>
    <row r="22376" spans="7:24" ht="15" customHeight="1">
      <c r="G22376"/>
      <c r="I22376"/>
      <c r="N22376"/>
      <c r="O22376" s="24"/>
      <c r="P22376"/>
      <c r="Q22376" s="24"/>
      <c r="R22376"/>
      <c r="S22376"/>
      <c r="T22376"/>
      <c r="U22376"/>
      <c r="X22376" s="60"/>
    </row>
    <row r="22377" spans="7:24" ht="15" customHeight="1">
      <c r="G22377"/>
      <c r="I22377"/>
      <c r="N22377"/>
      <c r="O22377" s="24"/>
      <c r="P22377"/>
      <c r="Q22377" s="24"/>
      <c r="R22377"/>
      <c r="S22377"/>
      <c r="T22377"/>
      <c r="U22377"/>
      <c r="X22377" s="60"/>
    </row>
    <row r="22378" spans="7:24" ht="15" customHeight="1">
      <c r="G22378"/>
      <c r="I22378"/>
      <c r="N22378"/>
      <c r="O22378" s="24"/>
      <c r="P22378"/>
      <c r="Q22378" s="24"/>
      <c r="R22378"/>
      <c r="S22378"/>
      <c r="T22378"/>
      <c r="U22378"/>
      <c r="X22378" s="60"/>
    </row>
    <row r="22379" spans="7:24" ht="15" customHeight="1">
      <c r="G22379"/>
      <c r="I22379"/>
      <c r="N22379"/>
      <c r="O22379" s="24"/>
      <c r="P22379"/>
      <c r="Q22379" s="24"/>
      <c r="R22379"/>
      <c r="S22379"/>
      <c r="T22379"/>
      <c r="U22379"/>
      <c r="X22379" s="60"/>
    </row>
    <row r="22380" spans="7:24" ht="15" customHeight="1">
      <c r="G22380"/>
      <c r="I22380"/>
      <c r="N22380"/>
      <c r="O22380" s="24"/>
      <c r="P22380"/>
      <c r="Q22380" s="24"/>
      <c r="R22380"/>
      <c r="S22380"/>
      <c r="T22380"/>
      <c r="U22380"/>
      <c r="X22380" s="60"/>
    </row>
    <row r="22381" spans="7:24" ht="15" customHeight="1">
      <c r="G22381"/>
      <c r="I22381"/>
      <c r="N22381"/>
      <c r="O22381" s="24"/>
      <c r="P22381"/>
      <c r="Q22381" s="24"/>
      <c r="R22381"/>
      <c r="S22381"/>
      <c r="T22381"/>
      <c r="U22381"/>
      <c r="X22381" s="60"/>
    </row>
    <row r="22382" spans="7:24" ht="15" customHeight="1">
      <c r="G22382"/>
      <c r="I22382"/>
      <c r="N22382"/>
      <c r="O22382" s="24"/>
      <c r="P22382"/>
      <c r="Q22382" s="24"/>
      <c r="R22382"/>
      <c r="S22382"/>
      <c r="T22382"/>
      <c r="U22382"/>
      <c r="X22382" s="60"/>
    </row>
    <row r="22383" spans="7:24" ht="15" customHeight="1">
      <c r="G22383"/>
      <c r="I22383"/>
      <c r="N22383"/>
      <c r="O22383" s="24"/>
      <c r="P22383"/>
      <c r="Q22383" s="24"/>
      <c r="R22383"/>
      <c r="S22383"/>
      <c r="T22383"/>
      <c r="U22383"/>
      <c r="X22383" s="60"/>
    </row>
    <row r="22384" spans="7:24" ht="15" customHeight="1">
      <c r="G22384"/>
      <c r="I22384"/>
      <c r="N22384"/>
      <c r="O22384" s="24"/>
      <c r="P22384"/>
      <c r="Q22384" s="24"/>
      <c r="R22384"/>
      <c r="S22384"/>
      <c r="T22384"/>
      <c r="U22384"/>
      <c r="X22384" s="60"/>
    </row>
    <row r="22385" spans="7:24" ht="15" customHeight="1">
      <c r="G22385"/>
      <c r="I22385"/>
      <c r="N22385"/>
      <c r="O22385" s="24"/>
      <c r="P22385"/>
      <c r="Q22385" s="24"/>
      <c r="R22385"/>
      <c r="S22385"/>
      <c r="T22385"/>
      <c r="U22385"/>
      <c r="X22385" s="60"/>
    </row>
    <row r="22386" spans="7:24" ht="15" customHeight="1">
      <c r="G22386"/>
      <c r="I22386"/>
      <c r="N22386"/>
      <c r="O22386" s="24"/>
      <c r="P22386"/>
      <c r="Q22386" s="24"/>
      <c r="R22386"/>
      <c r="S22386"/>
      <c r="T22386"/>
      <c r="U22386"/>
      <c r="X22386" s="60"/>
    </row>
    <row r="22387" spans="7:24" ht="15" customHeight="1">
      <c r="G22387"/>
      <c r="I22387"/>
      <c r="N22387"/>
      <c r="O22387" s="24"/>
      <c r="P22387"/>
      <c r="Q22387" s="24"/>
      <c r="R22387"/>
      <c r="S22387"/>
      <c r="T22387"/>
      <c r="U22387"/>
      <c r="X22387" s="60"/>
    </row>
    <row r="22388" spans="7:24" ht="15" customHeight="1">
      <c r="G22388"/>
      <c r="I22388"/>
      <c r="N22388"/>
      <c r="O22388" s="24"/>
      <c r="P22388"/>
      <c r="Q22388" s="24"/>
      <c r="R22388"/>
      <c r="S22388"/>
      <c r="T22388"/>
      <c r="U22388"/>
      <c r="X22388" s="60"/>
    </row>
    <row r="22389" spans="7:24" ht="15" customHeight="1">
      <c r="G22389"/>
      <c r="I22389"/>
      <c r="N22389"/>
      <c r="O22389" s="24"/>
      <c r="P22389"/>
      <c r="Q22389" s="24"/>
      <c r="R22389"/>
      <c r="S22389"/>
      <c r="T22389"/>
      <c r="U22389"/>
      <c r="X22389" s="60"/>
    </row>
    <row r="22390" spans="7:24" ht="15" customHeight="1">
      <c r="G22390"/>
      <c r="I22390"/>
      <c r="N22390"/>
      <c r="O22390" s="24"/>
      <c r="P22390"/>
      <c r="Q22390" s="24"/>
      <c r="R22390"/>
      <c r="S22390"/>
      <c r="T22390"/>
      <c r="U22390"/>
      <c r="X22390" s="60"/>
    </row>
    <row r="22391" spans="7:24" ht="15" customHeight="1">
      <c r="G22391"/>
      <c r="I22391"/>
      <c r="N22391"/>
      <c r="O22391" s="24"/>
      <c r="P22391"/>
      <c r="Q22391" s="24"/>
      <c r="R22391"/>
      <c r="S22391"/>
      <c r="T22391"/>
      <c r="U22391"/>
      <c r="X22391" s="60"/>
    </row>
    <row r="22392" spans="7:24" ht="15" customHeight="1">
      <c r="G22392"/>
      <c r="I22392"/>
      <c r="N22392"/>
      <c r="O22392" s="24"/>
      <c r="P22392"/>
      <c r="Q22392" s="24"/>
      <c r="R22392"/>
      <c r="S22392"/>
      <c r="T22392"/>
      <c r="U22392"/>
      <c r="X22392" s="60"/>
    </row>
    <row r="22393" spans="7:24" ht="15" customHeight="1">
      <c r="G22393"/>
      <c r="I22393"/>
      <c r="N22393"/>
      <c r="O22393" s="24"/>
      <c r="P22393"/>
      <c r="Q22393" s="24"/>
      <c r="R22393"/>
      <c r="S22393"/>
      <c r="T22393"/>
      <c r="U22393"/>
      <c r="X22393" s="60"/>
    </row>
    <row r="22394" spans="7:24" ht="15" customHeight="1">
      <c r="G22394"/>
      <c r="I22394"/>
      <c r="N22394"/>
      <c r="O22394" s="24"/>
      <c r="P22394"/>
      <c r="Q22394" s="24"/>
      <c r="R22394"/>
      <c r="S22394"/>
      <c r="T22394"/>
      <c r="U22394"/>
      <c r="X22394" s="60"/>
    </row>
    <row r="22395" spans="7:24" ht="15" customHeight="1">
      <c r="G22395"/>
      <c r="I22395"/>
      <c r="N22395"/>
      <c r="O22395" s="24"/>
      <c r="P22395"/>
      <c r="Q22395" s="24"/>
      <c r="R22395"/>
      <c r="S22395"/>
      <c r="T22395"/>
      <c r="U22395"/>
      <c r="X22395" s="60"/>
    </row>
    <row r="22396" spans="7:24" ht="15" customHeight="1">
      <c r="G22396"/>
      <c r="I22396"/>
      <c r="N22396"/>
      <c r="O22396" s="24"/>
      <c r="P22396"/>
      <c r="Q22396" s="24"/>
      <c r="R22396"/>
      <c r="S22396"/>
      <c r="T22396"/>
      <c r="U22396"/>
      <c r="X22396" s="60"/>
    </row>
    <row r="22397" spans="7:24" ht="15" customHeight="1">
      <c r="G22397"/>
      <c r="I22397"/>
      <c r="N22397"/>
      <c r="O22397" s="24"/>
      <c r="P22397"/>
      <c r="Q22397" s="24"/>
      <c r="R22397"/>
      <c r="S22397"/>
      <c r="T22397"/>
      <c r="U22397"/>
      <c r="X22397" s="60"/>
    </row>
    <row r="22398" spans="7:24" ht="15" customHeight="1">
      <c r="G22398"/>
      <c r="I22398"/>
      <c r="N22398"/>
      <c r="O22398" s="24"/>
      <c r="P22398"/>
      <c r="Q22398" s="24"/>
      <c r="R22398"/>
      <c r="S22398"/>
      <c r="T22398"/>
      <c r="U22398"/>
      <c r="X22398" s="60"/>
    </row>
    <row r="22399" spans="7:24" ht="15" customHeight="1">
      <c r="G22399"/>
      <c r="I22399"/>
      <c r="N22399"/>
      <c r="O22399" s="24"/>
      <c r="P22399"/>
      <c r="Q22399" s="24"/>
      <c r="R22399"/>
      <c r="S22399"/>
      <c r="T22399"/>
      <c r="U22399"/>
      <c r="X22399" s="60"/>
    </row>
    <row r="22400" spans="7:24" ht="15" customHeight="1">
      <c r="G22400"/>
      <c r="I22400"/>
      <c r="N22400"/>
      <c r="O22400" s="24"/>
      <c r="P22400"/>
      <c r="Q22400" s="24"/>
      <c r="R22400"/>
      <c r="S22400"/>
      <c r="T22400"/>
      <c r="U22400"/>
      <c r="X22400" s="60"/>
    </row>
    <row r="22401" spans="7:24" ht="15" customHeight="1">
      <c r="G22401"/>
      <c r="I22401"/>
      <c r="N22401"/>
      <c r="O22401" s="24"/>
      <c r="P22401"/>
      <c r="Q22401" s="24"/>
      <c r="R22401"/>
      <c r="S22401"/>
      <c r="T22401"/>
      <c r="U22401"/>
      <c r="X22401" s="60"/>
    </row>
    <row r="22402" spans="7:24" ht="15" customHeight="1">
      <c r="G22402"/>
      <c r="I22402"/>
      <c r="N22402"/>
      <c r="O22402" s="24"/>
      <c r="P22402"/>
      <c r="Q22402" s="24"/>
      <c r="R22402"/>
      <c r="S22402"/>
      <c r="T22402"/>
      <c r="U22402"/>
      <c r="X22402" s="60"/>
    </row>
    <row r="22403" spans="7:24" ht="15" customHeight="1">
      <c r="G22403"/>
      <c r="I22403"/>
      <c r="N22403"/>
      <c r="O22403" s="24"/>
      <c r="P22403"/>
      <c r="Q22403" s="24"/>
      <c r="R22403"/>
      <c r="S22403"/>
      <c r="T22403"/>
      <c r="U22403"/>
      <c r="X22403" s="60"/>
    </row>
    <row r="22404" spans="7:24" ht="15" customHeight="1">
      <c r="G22404"/>
      <c r="I22404"/>
      <c r="N22404"/>
      <c r="O22404" s="24"/>
      <c r="P22404"/>
      <c r="Q22404" s="24"/>
      <c r="R22404"/>
      <c r="S22404"/>
      <c r="T22404"/>
      <c r="U22404"/>
      <c r="X22404" s="60"/>
    </row>
    <row r="22405" spans="7:24" ht="15" customHeight="1">
      <c r="G22405"/>
      <c r="I22405"/>
      <c r="N22405"/>
      <c r="O22405" s="24"/>
      <c r="P22405"/>
      <c r="Q22405" s="24"/>
      <c r="R22405"/>
      <c r="S22405"/>
      <c r="T22405"/>
      <c r="U22405"/>
      <c r="X22405" s="60"/>
    </row>
    <row r="22406" spans="7:24" ht="15" customHeight="1">
      <c r="G22406"/>
      <c r="I22406"/>
      <c r="N22406"/>
      <c r="O22406" s="24"/>
      <c r="P22406"/>
      <c r="Q22406" s="24"/>
      <c r="R22406"/>
      <c r="S22406"/>
      <c r="T22406"/>
      <c r="U22406"/>
      <c r="X22406" s="60"/>
    </row>
    <row r="22407" spans="7:24" ht="15" customHeight="1">
      <c r="G22407"/>
      <c r="I22407"/>
      <c r="N22407"/>
      <c r="O22407" s="24"/>
      <c r="P22407"/>
      <c r="Q22407" s="24"/>
      <c r="R22407"/>
      <c r="S22407"/>
      <c r="T22407"/>
      <c r="U22407"/>
      <c r="X22407" s="60"/>
    </row>
    <row r="22408" spans="7:24" ht="15" customHeight="1">
      <c r="G22408"/>
      <c r="I22408"/>
      <c r="N22408"/>
      <c r="O22408" s="24"/>
      <c r="P22408"/>
      <c r="Q22408" s="24"/>
      <c r="R22408"/>
      <c r="S22408"/>
      <c r="T22408"/>
      <c r="U22408"/>
      <c r="X22408" s="60"/>
    </row>
    <row r="22409" spans="7:24" ht="15" customHeight="1">
      <c r="G22409"/>
      <c r="I22409"/>
      <c r="N22409"/>
      <c r="O22409" s="24"/>
      <c r="P22409"/>
      <c r="Q22409" s="24"/>
      <c r="R22409"/>
      <c r="S22409"/>
      <c r="T22409"/>
      <c r="U22409"/>
      <c r="X22409" s="60"/>
    </row>
    <row r="22410" spans="7:24" ht="15" customHeight="1">
      <c r="G22410"/>
      <c r="I22410"/>
      <c r="N22410"/>
      <c r="O22410" s="24"/>
      <c r="P22410"/>
      <c r="Q22410" s="24"/>
      <c r="R22410"/>
      <c r="S22410"/>
      <c r="T22410"/>
      <c r="U22410"/>
      <c r="X22410" s="60"/>
    </row>
    <row r="22411" spans="7:24" ht="15" customHeight="1">
      <c r="G22411"/>
      <c r="I22411"/>
      <c r="N22411"/>
      <c r="O22411" s="24"/>
      <c r="P22411"/>
      <c r="Q22411" s="24"/>
      <c r="R22411"/>
      <c r="S22411"/>
      <c r="T22411"/>
      <c r="U22411"/>
      <c r="X22411" s="60"/>
    </row>
    <row r="22412" spans="7:24" ht="15" customHeight="1">
      <c r="G22412"/>
      <c r="I22412"/>
      <c r="N22412"/>
      <c r="O22412" s="24"/>
      <c r="P22412"/>
      <c r="Q22412" s="24"/>
      <c r="R22412"/>
      <c r="S22412"/>
      <c r="T22412"/>
      <c r="U22412"/>
      <c r="X22412" s="60"/>
    </row>
    <row r="22413" spans="7:24" ht="15" customHeight="1">
      <c r="G22413"/>
      <c r="I22413"/>
      <c r="N22413"/>
      <c r="O22413" s="24"/>
      <c r="P22413"/>
      <c r="Q22413" s="24"/>
      <c r="R22413"/>
      <c r="S22413"/>
      <c r="T22413"/>
      <c r="U22413"/>
      <c r="X22413" s="60"/>
    </row>
    <row r="22414" spans="7:24" ht="15" customHeight="1">
      <c r="G22414"/>
      <c r="I22414"/>
      <c r="N22414"/>
      <c r="O22414" s="24"/>
      <c r="P22414"/>
      <c r="Q22414" s="24"/>
      <c r="R22414"/>
      <c r="S22414"/>
      <c r="T22414"/>
      <c r="U22414"/>
      <c r="X22414" s="60"/>
    </row>
    <row r="22415" spans="7:24" ht="15" customHeight="1">
      <c r="G22415"/>
      <c r="I22415"/>
      <c r="N22415"/>
      <c r="O22415" s="24"/>
      <c r="P22415"/>
      <c r="Q22415" s="24"/>
      <c r="R22415"/>
      <c r="S22415"/>
      <c r="T22415"/>
      <c r="U22415"/>
      <c r="X22415" s="60"/>
    </row>
    <row r="22416" spans="7:24" ht="15" customHeight="1">
      <c r="G22416"/>
      <c r="I22416"/>
      <c r="N22416"/>
      <c r="O22416" s="24"/>
      <c r="P22416"/>
      <c r="Q22416" s="24"/>
      <c r="R22416"/>
      <c r="S22416"/>
      <c r="T22416"/>
      <c r="U22416"/>
      <c r="X22416" s="60"/>
    </row>
    <row r="22417" spans="7:24" ht="15" customHeight="1">
      <c r="G22417"/>
      <c r="I22417"/>
      <c r="N22417"/>
      <c r="O22417" s="24"/>
      <c r="P22417"/>
      <c r="Q22417" s="24"/>
      <c r="R22417"/>
      <c r="S22417"/>
      <c r="T22417"/>
      <c r="U22417"/>
      <c r="X22417" s="60"/>
    </row>
    <row r="22418" spans="7:24" ht="15" customHeight="1">
      <c r="G22418"/>
      <c r="I22418"/>
      <c r="N22418"/>
      <c r="O22418" s="24"/>
      <c r="P22418"/>
      <c r="Q22418" s="24"/>
      <c r="R22418"/>
      <c r="S22418"/>
      <c r="T22418"/>
      <c r="U22418"/>
      <c r="X22418" s="60"/>
    </row>
    <row r="22419" spans="7:24" ht="15" customHeight="1">
      <c r="G22419"/>
      <c r="I22419"/>
      <c r="N22419"/>
      <c r="O22419" s="24"/>
      <c r="P22419"/>
      <c r="Q22419" s="24"/>
      <c r="R22419"/>
      <c r="S22419"/>
      <c r="T22419"/>
      <c r="U22419"/>
      <c r="X22419" s="60"/>
    </row>
    <row r="22420" spans="7:24" ht="15" customHeight="1">
      <c r="G22420"/>
      <c r="I22420"/>
      <c r="N22420"/>
      <c r="O22420" s="24"/>
      <c r="P22420"/>
      <c r="Q22420" s="24"/>
      <c r="R22420"/>
      <c r="S22420"/>
      <c r="T22420"/>
      <c r="U22420"/>
      <c r="X22420" s="60"/>
    </row>
    <row r="22421" spans="7:24" ht="15" customHeight="1">
      <c r="G22421"/>
      <c r="I22421"/>
      <c r="N22421"/>
      <c r="O22421" s="24"/>
      <c r="P22421"/>
      <c r="Q22421" s="24"/>
      <c r="R22421"/>
      <c r="S22421"/>
      <c r="T22421"/>
      <c r="U22421"/>
      <c r="X22421" s="60"/>
    </row>
    <row r="22422" spans="7:24" ht="15" customHeight="1">
      <c r="G22422"/>
      <c r="I22422"/>
      <c r="N22422"/>
      <c r="O22422" s="24"/>
      <c r="P22422"/>
      <c r="Q22422" s="24"/>
      <c r="R22422"/>
      <c r="S22422"/>
      <c r="T22422"/>
      <c r="U22422"/>
      <c r="X22422" s="60"/>
    </row>
    <row r="22423" spans="7:24" ht="15" customHeight="1">
      <c r="G22423"/>
      <c r="I22423"/>
      <c r="N22423"/>
      <c r="O22423" s="24"/>
      <c r="P22423"/>
      <c r="Q22423" s="24"/>
      <c r="R22423"/>
      <c r="S22423"/>
      <c r="T22423"/>
      <c r="U22423"/>
      <c r="X22423" s="60"/>
    </row>
    <row r="22424" spans="7:24" ht="15" customHeight="1">
      <c r="G22424"/>
      <c r="I22424"/>
      <c r="N22424"/>
      <c r="O22424" s="24"/>
      <c r="P22424"/>
      <c r="Q22424" s="24"/>
      <c r="R22424"/>
      <c r="S22424"/>
      <c r="T22424"/>
      <c r="U22424"/>
      <c r="X22424" s="60"/>
    </row>
    <row r="22425" spans="7:24" ht="15" customHeight="1">
      <c r="G22425"/>
      <c r="I22425"/>
      <c r="N22425"/>
      <c r="O22425" s="24"/>
      <c r="P22425"/>
      <c r="Q22425" s="24"/>
      <c r="R22425"/>
      <c r="S22425"/>
      <c r="T22425"/>
      <c r="U22425"/>
      <c r="X22425" s="60"/>
    </row>
    <row r="22426" spans="7:24" ht="15" customHeight="1">
      <c r="G22426"/>
      <c r="I22426"/>
      <c r="N22426"/>
      <c r="O22426" s="24"/>
      <c r="P22426"/>
      <c r="Q22426" s="24"/>
      <c r="R22426"/>
      <c r="S22426"/>
      <c r="T22426"/>
      <c r="U22426"/>
      <c r="X22426" s="60"/>
    </row>
    <row r="22427" spans="7:24" ht="15" customHeight="1">
      <c r="G22427"/>
      <c r="I22427"/>
      <c r="N22427"/>
      <c r="O22427" s="24"/>
      <c r="P22427"/>
      <c r="Q22427" s="24"/>
      <c r="R22427"/>
      <c r="S22427"/>
      <c r="T22427"/>
      <c r="U22427"/>
      <c r="X22427" s="60"/>
    </row>
    <row r="22428" spans="7:24" ht="15" customHeight="1">
      <c r="G22428"/>
      <c r="I22428"/>
      <c r="N22428"/>
      <c r="O22428" s="24"/>
      <c r="P22428"/>
      <c r="Q22428" s="24"/>
      <c r="R22428"/>
      <c r="S22428"/>
      <c r="T22428"/>
      <c r="U22428"/>
      <c r="X22428" s="60"/>
    </row>
    <row r="22429" spans="7:24" ht="15" customHeight="1">
      <c r="G22429"/>
      <c r="I22429"/>
      <c r="N22429"/>
      <c r="O22429" s="24"/>
      <c r="P22429"/>
      <c r="Q22429" s="24"/>
      <c r="R22429"/>
      <c r="S22429"/>
      <c r="T22429"/>
      <c r="U22429"/>
      <c r="X22429" s="60"/>
    </row>
    <row r="22430" spans="7:24" ht="15" customHeight="1">
      <c r="G22430"/>
      <c r="I22430"/>
      <c r="N22430"/>
      <c r="O22430" s="24"/>
      <c r="P22430"/>
      <c r="Q22430" s="24"/>
      <c r="R22430"/>
      <c r="S22430"/>
      <c r="T22430"/>
      <c r="U22430"/>
      <c r="X22430" s="60"/>
    </row>
    <row r="22431" spans="7:24" ht="15" customHeight="1">
      <c r="G22431"/>
      <c r="I22431"/>
      <c r="N22431"/>
      <c r="O22431" s="24"/>
      <c r="P22431"/>
      <c r="Q22431" s="24"/>
      <c r="R22431"/>
      <c r="S22431"/>
      <c r="T22431"/>
      <c r="U22431"/>
      <c r="X22431" s="60"/>
    </row>
    <row r="22432" spans="7:24" ht="15" customHeight="1">
      <c r="G22432"/>
      <c r="I22432"/>
      <c r="N22432"/>
      <c r="O22432" s="24"/>
      <c r="P22432"/>
      <c r="Q22432" s="24"/>
      <c r="R22432"/>
      <c r="S22432"/>
      <c r="T22432"/>
      <c r="U22432"/>
      <c r="X22432" s="60"/>
    </row>
    <row r="22433" spans="7:24" ht="15" customHeight="1">
      <c r="G22433"/>
      <c r="I22433"/>
      <c r="N22433"/>
      <c r="O22433" s="24"/>
      <c r="P22433"/>
      <c r="Q22433" s="24"/>
      <c r="R22433"/>
      <c r="S22433"/>
      <c r="T22433"/>
      <c r="U22433"/>
      <c r="X22433" s="60"/>
    </row>
    <row r="22434" spans="7:24" ht="15" customHeight="1">
      <c r="G22434"/>
      <c r="I22434"/>
      <c r="N22434"/>
      <c r="O22434" s="24"/>
      <c r="P22434"/>
      <c r="Q22434" s="24"/>
      <c r="R22434"/>
      <c r="S22434"/>
      <c r="T22434"/>
      <c r="U22434"/>
      <c r="X22434" s="60"/>
    </row>
    <row r="22435" spans="7:24" ht="15" customHeight="1">
      <c r="G22435"/>
      <c r="I22435"/>
      <c r="N22435"/>
      <c r="O22435" s="24"/>
      <c r="P22435"/>
      <c r="Q22435" s="24"/>
      <c r="R22435"/>
      <c r="S22435"/>
      <c r="T22435"/>
      <c r="U22435"/>
      <c r="X22435" s="60"/>
    </row>
    <row r="22436" spans="7:24" ht="15" customHeight="1">
      <c r="G22436"/>
      <c r="I22436"/>
      <c r="N22436"/>
      <c r="O22436" s="24"/>
      <c r="P22436"/>
      <c r="Q22436" s="24"/>
      <c r="R22436"/>
      <c r="S22436"/>
      <c r="T22436"/>
      <c r="U22436"/>
      <c r="X22436" s="60"/>
    </row>
    <row r="22437" spans="7:24" ht="15" customHeight="1">
      <c r="G22437"/>
      <c r="I22437"/>
      <c r="N22437"/>
      <c r="O22437" s="24"/>
      <c r="P22437"/>
      <c r="Q22437" s="24"/>
      <c r="R22437"/>
      <c r="S22437"/>
      <c r="T22437"/>
      <c r="U22437"/>
      <c r="X22437" s="60"/>
    </row>
    <row r="22438" spans="7:24" ht="15" customHeight="1">
      <c r="G22438"/>
      <c r="I22438"/>
      <c r="N22438"/>
      <c r="O22438" s="24"/>
      <c r="P22438"/>
      <c r="Q22438" s="24"/>
      <c r="R22438"/>
      <c r="S22438"/>
      <c r="T22438"/>
      <c r="U22438"/>
      <c r="X22438" s="60"/>
    </row>
    <row r="22439" spans="7:24" ht="15" customHeight="1">
      <c r="G22439"/>
      <c r="I22439"/>
      <c r="N22439"/>
      <c r="O22439" s="24"/>
      <c r="P22439"/>
      <c r="Q22439" s="24"/>
      <c r="R22439"/>
      <c r="S22439"/>
      <c r="T22439"/>
      <c r="U22439"/>
      <c r="X22439" s="60"/>
    </row>
    <row r="22440" spans="7:24" ht="15" customHeight="1">
      <c r="G22440"/>
      <c r="I22440"/>
      <c r="N22440"/>
      <c r="O22440" s="24"/>
      <c r="P22440"/>
      <c r="Q22440" s="24"/>
      <c r="R22440"/>
      <c r="S22440"/>
      <c r="T22440"/>
      <c r="U22440"/>
      <c r="X22440" s="60"/>
    </row>
    <row r="22441" spans="7:24" ht="15" customHeight="1">
      <c r="G22441"/>
      <c r="I22441"/>
      <c r="N22441"/>
      <c r="O22441" s="24"/>
      <c r="P22441"/>
      <c r="Q22441" s="24"/>
      <c r="R22441"/>
      <c r="S22441"/>
      <c r="T22441"/>
      <c r="U22441"/>
      <c r="X22441" s="60"/>
    </row>
    <row r="22442" spans="7:24" ht="15" customHeight="1">
      <c r="G22442"/>
      <c r="I22442"/>
      <c r="N22442"/>
      <c r="O22442" s="24"/>
      <c r="P22442"/>
      <c r="Q22442" s="24"/>
      <c r="R22442"/>
      <c r="S22442"/>
      <c r="T22442"/>
      <c r="U22442"/>
      <c r="X22442" s="60"/>
    </row>
    <row r="22443" spans="7:24" ht="15" customHeight="1">
      <c r="G22443"/>
      <c r="I22443"/>
      <c r="N22443"/>
      <c r="O22443" s="24"/>
      <c r="P22443"/>
      <c r="Q22443" s="24"/>
      <c r="R22443"/>
      <c r="S22443"/>
      <c r="T22443"/>
      <c r="U22443"/>
      <c r="X22443" s="60"/>
    </row>
    <row r="22444" spans="7:24" ht="15" customHeight="1">
      <c r="G22444"/>
      <c r="I22444"/>
      <c r="N22444"/>
      <c r="O22444" s="24"/>
      <c r="P22444"/>
      <c r="Q22444" s="24"/>
      <c r="R22444"/>
      <c r="S22444"/>
      <c r="T22444"/>
      <c r="U22444"/>
      <c r="X22444" s="60"/>
    </row>
    <row r="22445" spans="7:24" ht="15" customHeight="1">
      <c r="G22445"/>
      <c r="I22445"/>
      <c r="N22445"/>
      <c r="O22445" s="24"/>
      <c r="P22445"/>
      <c r="Q22445" s="24"/>
      <c r="R22445"/>
      <c r="S22445"/>
      <c r="T22445"/>
      <c r="U22445"/>
      <c r="X22445" s="60"/>
    </row>
    <row r="22446" spans="7:24" ht="15" customHeight="1">
      <c r="G22446"/>
      <c r="I22446"/>
      <c r="N22446"/>
      <c r="O22446" s="24"/>
      <c r="P22446"/>
      <c r="Q22446" s="24"/>
      <c r="R22446"/>
      <c r="S22446"/>
      <c r="T22446"/>
      <c r="U22446"/>
      <c r="X22446" s="60"/>
    </row>
    <row r="22447" spans="7:24" ht="15" customHeight="1">
      <c r="G22447"/>
      <c r="I22447"/>
      <c r="N22447"/>
      <c r="O22447" s="24"/>
      <c r="P22447"/>
      <c r="Q22447" s="24"/>
      <c r="R22447"/>
      <c r="S22447"/>
      <c r="T22447"/>
      <c r="U22447"/>
      <c r="X22447" s="60"/>
    </row>
    <row r="22448" spans="7:24" ht="15" customHeight="1">
      <c r="G22448"/>
      <c r="I22448"/>
      <c r="N22448"/>
      <c r="O22448" s="24"/>
      <c r="P22448"/>
      <c r="Q22448" s="24"/>
      <c r="R22448"/>
      <c r="S22448"/>
      <c r="T22448"/>
      <c r="U22448"/>
      <c r="X22448" s="60"/>
    </row>
    <row r="22449" spans="7:24" ht="15" customHeight="1">
      <c r="G22449"/>
      <c r="I22449"/>
      <c r="N22449"/>
      <c r="O22449" s="24"/>
      <c r="P22449"/>
      <c r="Q22449" s="24"/>
      <c r="R22449"/>
      <c r="S22449"/>
      <c r="T22449"/>
      <c r="U22449"/>
      <c r="X22449" s="60"/>
    </row>
    <row r="22450" spans="7:24" ht="15" customHeight="1">
      <c r="G22450"/>
      <c r="I22450"/>
      <c r="N22450"/>
      <c r="O22450" s="24"/>
      <c r="P22450"/>
      <c r="Q22450" s="24"/>
      <c r="R22450"/>
      <c r="S22450"/>
      <c r="T22450"/>
      <c r="U22450"/>
      <c r="X22450" s="60"/>
    </row>
    <row r="22451" spans="7:24" ht="15" customHeight="1">
      <c r="G22451"/>
      <c r="I22451"/>
      <c r="N22451"/>
      <c r="O22451" s="24"/>
      <c r="P22451"/>
      <c r="Q22451" s="24"/>
      <c r="R22451"/>
      <c r="S22451"/>
      <c r="T22451"/>
      <c r="U22451"/>
      <c r="X22451" s="60"/>
    </row>
    <row r="22452" spans="7:24" ht="15" customHeight="1">
      <c r="G22452"/>
      <c r="I22452"/>
      <c r="N22452"/>
      <c r="O22452" s="24"/>
      <c r="P22452"/>
      <c r="Q22452" s="24"/>
      <c r="R22452"/>
      <c r="S22452"/>
      <c r="T22452"/>
      <c r="U22452"/>
      <c r="X22452" s="60"/>
    </row>
    <row r="22453" spans="7:24" ht="15" customHeight="1">
      <c r="G22453"/>
      <c r="I22453"/>
      <c r="N22453"/>
      <c r="O22453" s="24"/>
      <c r="P22453"/>
      <c r="Q22453" s="24"/>
      <c r="R22453"/>
      <c r="S22453"/>
      <c r="T22453"/>
      <c r="U22453"/>
      <c r="X22453" s="60"/>
    </row>
    <row r="22454" spans="7:24" ht="15" customHeight="1">
      <c r="G22454"/>
      <c r="I22454"/>
      <c r="N22454"/>
      <c r="O22454" s="24"/>
      <c r="P22454"/>
      <c r="Q22454" s="24"/>
      <c r="R22454"/>
      <c r="S22454"/>
      <c r="T22454"/>
      <c r="U22454"/>
      <c r="X22454" s="60"/>
    </row>
    <row r="22455" spans="7:24" ht="15" customHeight="1">
      <c r="G22455"/>
      <c r="I22455"/>
      <c r="N22455"/>
      <c r="O22455" s="24"/>
      <c r="P22455"/>
      <c r="Q22455" s="24"/>
      <c r="R22455"/>
      <c r="S22455"/>
      <c r="T22455"/>
      <c r="U22455"/>
      <c r="X22455" s="60"/>
    </row>
    <row r="22456" spans="7:24" ht="15" customHeight="1">
      <c r="G22456"/>
      <c r="I22456"/>
      <c r="N22456"/>
      <c r="O22456" s="24"/>
      <c r="P22456"/>
      <c r="Q22456" s="24"/>
      <c r="R22456"/>
      <c r="S22456"/>
      <c r="T22456"/>
      <c r="U22456"/>
      <c r="X22456" s="60"/>
    </row>
    <row r="22457" spans="7:24" ht="15" customHeight="1">
      <c r="G22457"/>
      <c r="I22457"/>
      <c r="N22457"/>
      <c r="O22457" s="24"/>
      <c r="P22457"/>
      <c r="Q22457" s="24"/>
      <c r="R22457"/>
      <c r="S22457"/>
      <c r="T22457"/>
      <c r="U22457"/>
      <c r="X22457" s="60"/>
    </row>
    <row r="22458" spans="7:24" ht="15" customHeight="1">
      <c r="G22458"/>
      <c r="I22458"/>
      <c r="N22458"/>
      <c r="O22458" s="24"/>
      <c r="P22458"/>
      <c r="Q22458" s="24"/>
      <c r="R22458"/>
      <c r="S22458"/>
      <c r="T22458"/>
      <c r="U22458"/>
      <c r="X22458" s="60"/>
    </row>
    <row r="22459" spans="7:24" ht="15" customHeight="1">
      <c r="G22459"/>
      <c r="I22459"/>
      <c r="N22459"/>
      <c r="O22459" s="24"/>
      <c r="P22459"/>
      <c r="Q22459" s="24"/>
      <c r="R22459"/>
      <c r="S22459"/>
      <c r="T22459"/>
      <c r="U22459"/>
      <c r="X22459" s="60"/>
    </row>
    <row r="22460" spans="7:24" ht="15" customHeight="1">
      <c r="G22460"/>
      <c r="I22460"/>
      <c r="N22460"/>
      <c r="O22460" s="24"/>
      <c r="P22460"/>
      <c r="Q22460" s="24"/>
      <c r="R22460"/>
      <c r="S22460"/>
      <c r="T22460"/>
      <c r="U22460"/>
      <c r="X22460" s="60"/>
    </row>
    <row r="22461" spans="7:24" ht="15" customHeight="1">
      <c r="G22461"/>
      <c r="I22461"/>
      <c r="N22461"/>
      <c r="O22461" s="24"/>
      <c r="P22461"/>
      <c r="Q22461" s="24"/>
      <c r="R22461"/>
      <c r="S22461"/>
      <c r="T22461"/>
      <c r="U22461"/>
      <c r="X22461" s="60"/>
    </row>
    <row r="22462" spans="7:24" ht="15" customHeight="1">
      <c r="G22462"/>
      <c r="I22462"/>
      <c r="N22462"/>
      <c r="O22462" s="24"/>
      <c r="P22462"/>
      <c r="Q22462" s="24"/>
      <c r="R22462"/>
      <c r="S22462"/>
      <c r="T22462"/>
      <c r="U22462"/>
      <c r="X22462" s="60"/>
    </row>
    <row r="22463" spans="7:24" ht="15" customHeight="1">
      <c r="G22463"/>
      <c r="I22463"/>
      <c r="N22463"/>
      <c r="O22463" s="24"/>
      <c r="P22463"/>
      <c r="Q22463" s="24"/>
      <c r="R22463"/>
      <c r="S22463"/>
      <c r="T22463"/>
      <c r="U22463"/>
      <c r="X22463" s="60"/>
    </row>
    <row r="22464" spans="7:24" ht="15" customHeight="1">
      <c r="G22464"/>
      <c r="I22464"/>
      <c r="N22464"/>
      <c r="O22464" s="24"/>
      <c r="P22464"/>
      <c r="Q22464" s="24"/>
      <c r="R22464"/>
      <c r="S22464"/>
      <c r="T22464"/>
      <c r="U22464"/>
      <c r="X22464" s="60"/>
    </row>
    <row r="22465" spans="7:24" ht="15" customHeight="1">
      <c r="G22465"/>
      <c r="I22465"/>
      <c r="N22465"/>
      <c r="O22465" s="24"/>
      <c r="P22465"/>
      <c r="Q22465" s="24"/>
      <c r="R22465"/>
      <c r="S22465"/>
      <c r="T22465"/>
      <c r="U22465"/>
      <c r="X22465" s="60"/>
    </row>
    <row r="22466" spans="7:24" ht="15" customHeight="1">
      <c r="G22466"/>
      <c r="I22466"/>
      <c r="N22466"/>
      <c r="O22466" s="24"/>
      <c r="P22466"/>
      <c r="Q22466" s="24"/>
      <c r="R22466"/>
      <c r="S22466"/>
      <c r="T22466"/>
      <c r="U22466"/>
      <c r="X22466" s="60"/>
    </row>
    <row r="22467" spans="7:24" ht="15" customHeight="1">
      <c r="G22467"/>
      <c r="I22467"/>
      <c r="N22467"/>
      <c r="O22467" s="24"/>
      <c r="P22467"/>
      <c r="Q22467" s="24"/>
      <c r="R22467"/>
      <c r="S22467"/>
      <c r="T22467"/>
      <c r="U22467"/>
      <c r="X22467" s="60"/>
    </row>
    <row r="22468" spans="7:24" ht="15" customHeight="1">
      <c r="G22468"/>
      <c r="I22468"/>
      <c r="N22468"/>
      <c r="O22468" s="24"/>
      <c r="P22468"/>
      <c r="Q22468" s="24"/>
      <c r="R22468"/>
      <c r="S22468"/>
      <c r="T22468"/>
      <c r="U22468"/>
      <c r="X22468" s="60"/>
    </row>
    <row r="22469" spans="7:24" ht="15" customHeight="1">
      <c r="G22469"/>
      <c r="I22469"/>
      <c r="N22469"/>
      <c r="O22469" s="24"/>
      <c r="P22469"/>
      <c r="Q22469" s="24"/>
      <c r="R22469"/>
      <c r="S22469"/>
      <c r="T22469"/>
      <c r="U22469"/>
      <c r="X22469" s="60"/>
    </row>
    <row r="22470" spans="7:24" ht="15" customHeight="1">
      <c r="G22470"/>
      <c r="I22470"/>
      <c r="N22470"/>
      <c r="O22470" s="24"/>
      <c r="P22470"/>
      <c r="Q22470" s="24"/>
      <c r="R22470"/>
      <c r="S22470"/>
      <c r="T22470"/>
      <c r="U22470"/>
      <c r="X22470" s="60"/>
    </row>
    <row r="22471" spans="7:24" ht="15" customHeight="1">
      <c r="G22471"/>
      <c r="I22471"/>
      <c r="N22471"/>
      <c r="O22471" s="24"/>
      <c r="P22471"/>
      <c r="Q22471" s="24"/>
      <c r="R22471"/>
      <c r="S22471"/>
      <c r="T22471"/>
      <c r="U22471"/>
      <c r="X22471" s="60"/>
    </row>
    <row r="22472" spans="7:24" ht="15" customHeight="1">
      <c r="G22472"/>
      <c r="I22472"/>
      <c r="N22472"/>
      <c r="O22472" s="24"/>
      <c r="P22472"/>
      <c r="Q22472" s="24"/>
      <c r="R22472"/>
      <c r="S22472"/>
      <c r="T22472"/>
      <c r="U22472"/>
      <c r="X22472" s="60"/>
    </row>
    <row r="22473" spans="7:24" ht="15" customHeight="1">
      <c r="G22473"/>
      <c r="I22473"/>
      <c r="N22473"/>
      <c r="O22473" s="24"/>
      <c r="P22473"/>
      <c r="Q22473" s="24"/>
      <c r="R22473"/>
      <c r="S22473"/>
      <c r="T22473"/>
      <c r="U22473"/>
      <c r="X22473" s="60"/>
    </row>
    <row r="22474" spans="7:24" ht="15" customHeight="1">
      <c r="G22474"/>
      <c r="I22474"/>
      <c r="N22474"/>
      <c r="O22474" s="24"/>
      <c r="P22474"/>
      <c r="Q22474" s="24"/>
      <c r="R22474"/>
      <c r="S22474"/>
      <c r="T22474"/>
      <c r="U22474"/>
      <c r="X22474" s="60"/>
    </row>
    <row r="22475" spans="7:24" ht="15" customHeight="1">
      <c r="G22475"/>
      <c r="I22475"/>
      <c r="N22475"/>
      <c r="O22475" s="24"/>
      <c r="P22475"/>
      <c r="Q22475" s="24"/>
      <c r="R22475"/>
      <c r="S22475"/>
      <c r="T22475"/>
      <c r="U22475"/>
      <c r="X22475" s="60"/>
    </row>
    <row r="22476" spans="7:24" ht="15" customHeight="1">
      <c r="G22476"/>
      <c r="I22476"/>
      <c r="N22476"/>
      <c r="O22476" s="24"/>
      <c r="P22476"/>
      <c r="Q22476" s="24"/>
      <c r="R22476"/>
      <c r="S22476"/>
      <c r="T22476"/>
      <c r="U22476"/>
      <c r="X22476" s="60"/>
    </row>
    <row r="22477" spans="7:24" ht="15" customHeight="1">
      <c r="G22477"/>
      <c r="I22477"/>
      <c r="N22477"/>
      <c r="O22477" s="24"/>
      <c r="P22477"/>
      <c r="Q22477" s="24"/>
      <c r="R22477"/>
      <c r="S22477"/>
      <c r="T22477"/>
      <c r="U22477"/>
      <c r="X22477" s="60"/>
    </row>
    <row r="22478" spans="7:24" ht="15" customHeight="1">
      <c r="G22478"/>
      <c r="I22478"/>
      <c r="N22478"/>
      <c r="O22478" s="24"/>
      <c r="P22478"/>
      <c r="Q22478" s="24"/>
      <c r="R22478"/>
      <c r="S22478"/>
      <c r="T22478"/>
      <c r="U22478"/>
      <c r="X22478" s="60"/>
    </row>
    <row r="22479" spans="7:24" ht="15" customHeight="1">
      <c r="G22479"/>
      <c r="I22479"/>
      <c r="N22479"/>
      <c r="O22479" s="24"/>
      <c r="P22479"/>
      <c r="Q22479" s="24"/>
      <c r="R22479"/>
      <c r="S22479"/>
      <c r="T22479"/>
      <c r="U22479"/>
      <c r="X22479" s="60"/>
    </row>
    <row r="22480" spans="7:24" ht="15" customHeight="1">
      <c r="G22480"/>
      <c r="I22480"/>
      <c r="N22480"/>
      <c r="O22480" s="24"/>
      <c r="P22480"/>
      <c r="Q22480" s="24"/>
      <c r="R22480"/>
      <c r="S22480"/>
      <c r="T22480"/>
      <c r="U22480"/>
      <c r="X22480" s="60"/>
    </row>
    <row r="22481" spans="7:24" ht="15" customHeight="1">
      <c r="G22481"/>
      <c r="I22481"/>
      <c r="N22481"/>
      <c r="O22481" s="24"/>
      <c r="P22481"/>
      <c r="Q22481" s="24"/>
      <c r="R22481"/>
      <c r="S22481"/>
      <c r="T22481"/>
      <c r="U22481"/>
      <c r="X22481" s="60"/>
    </row>
    <row r="22482" spans="7:24" ht="15" customHeight="1">
      <c r="G22482"/>
      <c r="I22482"/>
      <c r="N22482"/>
      <c r="O22482" s="24"/>
      <c r="P22482"/>
      <c r="Q22482" s="24"/>
      <c r="R22482"/>
      <c r="S22482"/>
      <c r="T22482"/>
      <c r="U22482"/>
      <c r="X22482" s="60"/>
    </row>
    <row r="22483" spans="7:24" ht="15" customHeight="1">
      <c r="G22483"/>
      <c r="I22483"/>
      <c r="N22483"/>
      <c r="O22483" s="24"/>
      <c r="P22483"/>
      <c r="Q22483" s="24"/>
      <c r="R22483"/>
      <c r="S22483"/>
      <c r="T22483"/>
      <c r="U22483"/>
      <c r="X22483" s="60"/>
    </row>
    <row r="22484" spans="7:24" ht="15" customHeight="1">
      <c r="G22484"/>
      <c r="I22484"/>
      <c r="N22484"/>
      <c r="O22484" s="24"/>
      <c r="P22484"/>
      <c r="Q22484" s="24"/>
      <c r="R22484"/>
      <c r="S22484"/>
      <c r="T22484"/>
      <c r="U22484"/>
      <c r="X22484" s="60"/>
    </row>
    <row r="22485" spans="7:24" ht="15" customHeight="1">
      <c r="G22485"/>
      <c r="I22485"/>
      <c r="N22485"/>
      <c r="O22485" s="24"/>
      <c r="P22485"/>
      <c r="Q22485" s="24"/>
      <c r="R22485"/>
      <c r="S22485"/>
      <c r="T22485"/>
      <c r="U22485"/>
      <c r="X22485" s="60"/>
    </row>
    <row r="22486" spans="7:24" ht="15" customHeight="1">
      <c r="G22486"/>
      <c r="I22486"/>
      <c r="N22486"/>
      <c r="O22486" s="24"/>
      <c r="P22486"/>
      <c r="Q22486" s="24"/>
      <c r="R22486"/>
      <c r="S22486"/>
      <c r="T22486"/>
      <c r="U22486"/>
      <c r="X22486" s="60"/>
    </row>
    <row r="22487" spans="7:24" ht="15" customHeight="1">
      <c r="G22487"/>
      <c r="I22487"/>
      <c r="N22487"/>
      <c r="O22487" s="24"/>
      <c r="P22487"/>
      <c r="Q22487" s="24"/>
      <c r="R22487"/>
      <c r="S22487"/>
      <c r="T22487"/>
      <c r="U22487"/>
      <c r="X22487" s="60"/>
    </row>
    <row r="22488" spans="7:24" ht="15" customHeight="1">
      <c r="G22488"/>
      <c r="I22488"/>
      <c r="N22488"/>
      <c r="O22488" s="24"/>
      <c r="P22488"/>
      <c r="Q22488" s="24"/>
      <c r="R22488"/>
      <c r="S22488"/>
      <c r="T22488"/>
      <c r="U22488"/>
      <c r="X22488" s="60"/>
    </row>
    <row r="22489" spans="7:24" ht="15" customHeight="1">
      <c r="G22489"/>
      <c r="I22489"/>
      <c r="N22489"/>
      <c r="O22489" s="24"/>
      <c r="P22489"/>
      <c r="Q22489" s="24"/>
      <c r="R22489"/>
      <c r="S22489"/>
      <c r="T22489"/>
      <c r="U22489"/>
      <c r="X22489" s="60"/>
    </row>
    <row r="22490" spans="7:24" ht="15" customHeight="1">
      <c r="G22490"/>
      <c r="I22490"/>
      <c r="N22490"/>
      <c r="O22490" s="24"/>
      <c r="P22490"/>
      <c r="Q22490" s="24"/>
      <c r="R22490"/>
      <c r="S22490"/>
      <c r="T22490"/>
      <c r="U22490"/>
      <c r="X22490" s="60"/>
    </row>
    <row r="22491" spans="7:24" ht="15" customHeight="1">
      <c r="G22491"/>
      <c r="I22491"/>
      <c r="N22491"/>
      <c r="O22491" s="24"/>
      <c r="P22491"/>
      <c r="Q22491" s="24"/>
      <c r="R22491"/>
      <c r="S22491"/>
      <c r="T22491"/>
      <c r="U22491"/>
      <c r="X22491" s="60"/>
    </row>
    <row r="22492" spans="7:24" ht="15" customHeight="1">
      <c r="G22492"/>
      <c r="I22492"/>
      <c r="N22492"/>
      <c r="O22492" s="24"/>
      <c r="P22492"/>
      <c r="Q22492" s="24"/>
      <c r="R22492"/>
      <c r="S22492"/>
      <c r="T22492"/>
      <c r="U22492"/>
      <c r="X22492" s="60"/>
    </row>
    <row r="22493" spans="7:24" ht="15" customHeight="1">
      <c r="G22493"/>
      <c r="I22493"/>
      <c r="N22493"/>
      <c r="O22493" s="24"/>
      <c r="P22493"/>
      <c r="Q22493" s="24"/>
      <c r="R22493"/>
      <c r="S22493"/>
      <c r="T22493"/>
      <c r="U22493"/>
      <c r="X22493" s="60"/>
    </row>
    <row r="22494" spans="7:24" ht="15" customHeight="1">
      <c r="G22494"/>
      <c r="I22494"/>
      <c r="N22494"/>
      <c r="O22494" s="24"/>
      <c r="P22494"/>
      <c r="Q22494" s="24"/>
      <c r="R22494"/>
      <c r="S22494"/>
      <c r="T22494"/>
      <c r="U22494"/>
      <c r="X22494" s="60"/>
    </row>
    <row r="22495" spans="7:24" ht="15" customHeight="1">
      <c r="G22495"/>
      <c r="I22495"/>
      <c r="N22495"/>
      <c r="O22495" s="24"/>
      <c r="P22495"/>
      <c r="Q22495" s="24"/>
      <c r="R22495"/>
      <c r="S22495"/>
      <c r="T22495"/>
      <c r="U22495"/>
      <c r="X22495" s="60"/>
    </row>
    <row r="22496" spans="7:24" ht="15" customHeight="1">
      <c r="G22496"/>
      <c r="I22496"/>
      <c r="N22496"/>
      <c r="O22496" s="24"/>
      <c r="P22496"/>
      <c r="Q22496" s="24"/>
      <c r="R22496"/>
      <c r="S22496"/>
      <c r="T22496"/>
      <c r="U22496"/>
      <c r="X22496" s="60"/>
    </row>
    <row r="22497" spans="7:24" ht="15" customHeight="1">
      <c r="G22497"/>
      <c r="I22497"/>
      <c r="N22497"/>
      <c r="O22497" s="24"/>
      <c r="P22497"/>
      <c r="Q22497" s="24"/>
      <c r="R22497"/>
      <c r="S22497"/>
      <c r="T22497"/>
      <c r="U22497"/>
      <c r="X22497" s="60"/>
    </row>
    <row r="22498" spans="7:24" ht="15" customHeight="1">
      <c r="G22498"/>
      <c r="I22498"/>
      <c r="N22498"/>
      <c r="O22498" s="24"/>
      <c r="P22498"/>
      <c r="Q22498" s="24"/>
      <c r="R22498"/>
      <c r="S22498"/>
      <c r="T22498"/>
      <c r="U22498"/>
      <c r="X22498" s="60"/>
    </row>
    <row r="22499" spans="7:24" ht="15" customHeight="1">
      <c r="G22499"/>
      <c r="I22499"/>
      <c r="N22499"/>
      <c r="O22499" s="24"/>
      <c r="P22499"/>
      <c r="Q22499" s="24"/>
      <c r="R22499"/>
      <c r="S22499"/>
      <c r="T22499"/>
      <c r="U22499"/>
      <c r="X22499" s="60"/>
    </row>
    <row r="22500" spans="7:24" ht="15" customHeight="1">
      <c r="G22500"/>
      <c r="I22500"/>
      <c r="N22500"/>
      <c r="O22500" s="24"/>
      <c r="P22500"/>
      <c r="Q22500" s="24"/>
      <c r="R22500"/>
      <c r="S22500"/>
      <c r="T22500"/>
      <c r="U22500"/>
      <c r="X22500" s="60"/>
    </row>
    <row r="22501" spans="7:24" ht="15" customHeight="1">
      <c r="G22501"/>
      <c r="I22501"/>
      <c r="N22501"/>
      <c r="O22501" s="24"/>
      <c r="P22501"/>
      <c r="Q22501" s="24"/>
      <c r="R22501"/>
      <c r="S22501"/>
      <c r="T22501"/>
      <c r="U22501"/>
      <c r="X22501" s="60"/>
    </row>
    <row r="22502" spans="7:24" ht="15" customHeight="1">
      <c r="G22502"/>
      <c r="I22502"/>
      <c r="N22502"/>
      <c r="O22502" s="24"/>
      <c r="P22502"/>
      <c r="Q22502" s="24"/>
      <c r="R22502"/>
      <c r="S22502"/>
      <c r="T22502"/>
      <c r="U22502"/>
      <c r="X22502" s="60"/>
    </row>
    <row r="22503" spans="7:24" ht="15" customHeight="1">
      <c r="G22503"/>
      <c r="I22503"/>
      <c r="N22503"/>
      <c r="O22503" s="24"/>
      <c r="P22503"/>
      <c r="Q22503" s="24"/>
      <c r="R22503"/>
      <c r="S22503"/>
      <c r="T22503"/>
      <c r="U22503"/>
      <c r="X22503" s="60"/>
    </row>
    <row r="22504" spans="7:24" ht="15" customHeight="1">
      <c r="G22504"/>
      <c r="I22504"/>
      <c r="N22504"/>
      <c r="O22504" s="24"/>
      <c r="P22504"/>
      <c r="Q22504" s="24"/>
      <c r="R22504"/>
      <c r="S22504"/>
      <c r="T22504"/>
      <c r="U22504"/>
      <c r="X22504" s="60"/>
    </row>
    <row r="22505" spans="7:24" ht="15" customHeight="1">
      <c r="G22505"/>
      <c r="I22505"/>
      <c r="N22505"/>
      <c r="O22505" s="24"/>
      <c r="P22505"/>
      <c r="Q22505" s="24"/>
      <c r="R22505"/>
      <c r="S22505"/>
      <c r="T22505"/>
      <c r="U22505"/>
      <c r="X22505" s="60"/>
    </row>
    <row r="22506" spans="7:24" ht="15" customHeight="1">
      <c r="G22506"/>
      <c r="I22506"/>
      <c r="N22506"/>
      <c r="O22506" s="24"/>
      <c r="P22506"/>
      <c r="Q22506" s="24"/>
      <c r="R22506"/>
      <c r="S22506"/>
      <c r="T22506"/>
      <c r="U22506"/>
      <c r="X22506" s="60"/>
    </row>
    <row r="22507" spans="7:24" ht="15" customHeight="1">
      <c r="G22507"/>
      <c r="I22507"/>
      <c r="N22507"/>
      <c r="O22507" s="24"/>
      <c r="P22507"/>
      <c r="Q22507" s="24"/>
      <c r="R22507"/>
      <c r="S22507"/>
      <c r="T22507"/>
      <c r="U22507"/>
      <c r="X22507" s="60"/>
    </row>
    <row r="22508" spans="7:24" ht="15" customHeight="1">
      <c r="G22508"/>
      <c r="I22508"/>
      <c r="N22508"/>
      <c r="O22508" s="24"/>
      <c r="P22508"/>
      <c r="Q22508" s="24"/>
      <c r="R22508"/>
      <c r="S22508"/>
      <c r="T22508"/>
      <c r="U22508"/>
      <c r="X22508" s="60"/>
    </row>
    <row r="22509" spans="7:24" ht="15" customHeight="1">
      <c r="G22509"/>
      <c r="I22509"/>
      <c r="N22509"/>
      <c r="O22509" s="24"/>
      <c r="P22509"/>
      <c r="Q22509" s="24"/>
      <c r="R22509"/>
      <c r="S22509"/>
      <c r="T22509"/>
      <c r="U22509"/>
      <c r="X22509" s="60"/>
    </row>
    <row r="22510" spans="7:24" ht="15" customHeight="1">
      <c r="G22510"/>
      <c r="I22510"/>
      <c r="N22510"/>
      <c r="O22510" s="24"/>
      <c r="P22510"/>
      <c r="Q22510" s="24"/>
      <c r="R22510"/>
      <c r="S22510"/>
      <c r="T22510"/>
      <c r="U22510"/>
      <c r="X22510" s="60"/>
    </row>
    <row r="22511" spans="7:24" ht="15" customHeight="1">
      <c r="G22511"/>
      <c r="I22511"/>
      <c r="N22511"/>
      <c r="O22511" s="24"/>
      <c r="P22511"/>
      <c r="Q22511" s="24"/>
      <c r="R22511"/>
      <c r="S22511"/>
      <c r="T22511"/>
      <c r="U22511"/>
      <c r="X22511" s="60"/>
    </row>
    <row r="22512" spans="7:24" ht="15" customHeight="1">
      <c r="G22512"/>
      <c r="I22512"/>
      <c r="N22512"/>
      <c r="O22512" s="24"/>
      <c r="P22512"/>
      <c r="Q22512" s="24"/>
      <c r="R22512"/>
      <c r="S22512"/>
      <c r="T22512"/>
      <c r="U22512"/>
      <c r="X22512" s="60"/>
    </row>
    <row r="22513" spans="7:24" ht="15" customHeight="1">
      <c r="G22513"/>
      <c r="I22513"/>
      <c r="N22513"/>
      <c r="O22513" s="24"/>
      <c r="P22513"/>
      <c r="Q22513" s="24"/>
      <c r="R22513"/>
      <c r="S22513"/>
      <c r="T22513"/>
      <c r="U22513"/>
      <c r="X22513" s="60"/>
    </row>
    <row r="22514" spans="7:24" ht="15" customHeight="1">
      <c r="G22514"/>
      <c r="I22514"/>
      <c r="N22514"/>
      <c r="O22514" s="24"/>
      <c r="P22514"/>
      <c r="Q22514" s="24"/>
      <c r="R22514"/>
      <c r="S22514"/>
      <c r="T22514"/>
      <c r="U22514"/>
      <c r="X22514" s="60"/>
    </row>
    <row r="22515" spans="7:24" ht="15" customHeight="1">
      <c r="G22515"/>
      <c r="I22515"/>
      <c r="N22515"/>
      <c r="O22515" s="24"/>
      <c r="P22515"/>
      <c r="Q22515" s="24"/>
      <c r="R22515"/>
      <c r="S22515"/>
      <c r="T22515"/>
      <c r="U22515"/>
      <c r="X22515" s="60"/>
    </row>
    <row r="22516" spans="7:24" ht="15" customHeight="1">
      <c r="G22516"/>
      <c r="I22516"/>
      <c r="N22516"/>
      <c r="O22516" s="24"/>
      <c r="P22516"/>
      <c r="Q22516" s="24"/>
      <c r="R22516"/>
      <c r="S22516"/>
      <c r="T22516"/>
      <c r="U22516"/>
      <c r="X22516" s="60"/>
    </row>
    <row r="22517" spans="7:24" ht="15" customHeight="1">
      <c r="G22517"/>
      <c r="I22517"/>
      <c r="N22517"/>
      <c r="O22517" s="24"/>
      <c r="P22517"/>
      <c r="Q22517" s="24"/>
      <c r="R22517"/>
      <c r="S22517"/>
      <c r="T22517"/>
      <c r="U22517"/>
      <c r="X22517" s="60"/>
    </row>
    <row r="22518" spans="7:24" ht="15" customHeight="1">
      <c r="G22518"/>
      <c r="I22518"/>
      <c r="N22518"/>
      <c r="O22518" s="24"/>
      <c r="P22518"/>
      <c r="Q22518" s="24"/>
      <c r="R22518"/>
      <c r="S22518"/>
      <c r="T22518"/>
      <c r="U22518"/>
      <c r="X22518" s="60"/>
    </row>
    <row r="22519" spans="7:24" ht="15" customHeight="1">
      <c r="G22519"/>
      <c r="I22519"/>
      <c r="N22519"/>
      <c r="O22519" s="24"/>
      <c r="P22519"/>
      <c r="Q22519" s="24"/>
      <c r="R22519"/>
      <c r="S22519"/>
      <c r="T22519"/>
      <c r="U22519"/>
      <c r="X22519" s="60"/>
    </row>
    <row r="22520" spans="7:24" ht="15" customHeight="1">
      <c r="G22520"/>
      <c r="I22520"/>
      <c r="N22520"/>
      <c r="O22520" s="24"/>
      <c r="P22520"/>
      <c r="Q22520" s="24"/>
      <c r="R22520"/>
      <c r="S22520"/>
      <c r="T22520"/>
      <c r="U22520"/>
      <c r="X22520" s="60"/>
    </row>
    <row r="22521" spans="7:24" ht="15" customHeight="1">
      <c r="G22521"/>
      <c r="I22521"/>
      <c r="N22521"/>
      <c r="O22521" s="24"/>
      <c r="P22521"/>
      <c r="Q22521" s="24"/>
      <c r="R22521"/>
      <c r="S22521"/>
      <c r="T22521"/>
      <c r="U22521"/>
      <c r="X22521" s="60"/>
    </row>
    <row r="22522" spans="7:24" ht="15" customHeight="1">
      <c r="G22522"/>
      <c r="I22522"/>
      <c r="N22522"/>
      <c r="O22522" s="24"/>
      <c r="P22522"/>
      <c r="Q22522" s="24"/>
      <c r="R22522"/>
      <c r="S22522"/>
      <c r="T22522"/>
      <c r="U22522"/>
      <c r="X22522" s="60"/>
    </row>
    <row r="22523" spans="7:24" ht="15" customHeight="1">
      <c r="G22523"/>
      <c r="I22523"/>
      <c r="N22523"/>
      <c r="O22523" s="24"/>
      <c r="P22523"/>
      <c r="Q22523" s="24"/>
      <c r="R22523"/>
      <c r="S22523"/>
      <c r="T22523"/>
      <c r="U22523"/>
      <c r="X22523" s="60"/>
    </row>
    <row r="22524" spans="7:24" ht="15" customHeight="1">
      <c r="G22524"/>
      <c r="I22524"/>
      <c r="N22524"/>
      <c r="O22524" s="24"/>
      <c r="P22524"/>
      <c r="Q22524" s="24"/>
      <c r="R22524"/>
      <c r="S22524"/>
      <c r="T22524"/>
      <c r="U22524"/>
      <c r="X22524" s="60"/>
    </row>
    <row r="22525" spans="7:24" ht="15" customHeight="1">
      <c r="G22525"/>
      <c r="I22525"/>
      <c r="N22525"/>
      <c r="O22525" s="24"/>
      <c r="P22525"/>
      <c r="Q22525" s="24"/>
      <c r="R22525"/>
      <c r="S22525"/>
      <c r="T22525"/>
      <c r="U22525"/>
      <c r="X22525" s="60"/>
    </row>
    <row r="22526" spans="7:24" ht="15" customHeight="1">
      <c r="G22526"/>
      <c r="I22526"/>
      <c r="N22526"/>
      <c r="O22526" s="24"/>
      <c r="P22526"/>
      <c r="Q22526" s="24"/>
      <c r="R22526"/>
      <c r="S22526"/>
      <c r="T22526"/>
      <c r="U22526"/>
      <c r="X22526" s="60"/>
    </row>
    <row r="22527" spans="7:24" ht="15" customHeight="1">
      <c r="G22527"/>
      <c r="I22527"/>
      <c r="N22527"/>
      <c r="O22527" s="24"/>
      <c r="P22527"/>
      <c r="Q22527" s="24"/>
      <c r="R22527"/>
      <c r="S22527"/>
      <c r="T22527"/>
      <c r="U22527"/>
      <c r="X22527" s="60"/>
    </row>
    <row r="22528" spans="7:24" ht="15" customHeight="1">
      <c r="G22528"/>
      <c r="I22528"/>
      <c r="N22528"/>
      <c r="O22528" s="24"/>
      <c r="P22528"/>
      <c r="Q22528" s="24"/>
      <c r="R22528"/>
      <c r="S22528"/>
      <c r="T22528"/>
      <c r="U22528"/>
      <c r="X22528" s="60"/>
    </row>
    <row r="22529" spans="7:24" ht="15" customHeight="1">
      <c r="G22529"/>
      <c r="I22529"/>
      <c r="N22529"/>
      <c r="O22529" s="24"/>
      <c r="P22529"/>
      <c r="Q22529" s="24"/>
      <c r="R22529"/>
      <c r="S22529"/>
      <c r="T22529"/>
      <c r="U22529"/>
      <c r="X22529" s="60"/>
    </row>
    <row r="22530" spans="7:24" ht="15" customHeight="1">
      <c r="G22530"/>
      <c r="I22530"/>
      <c r="N22530"/>
      <c r="O22530" s="24"/>
      <c r="P22530"/>
      <c r="Q22530" s="24"/>
      <c r="R22530"/>
      <c r="S22530"/>
      <c r="T22530"/>
      <c r="U22530"/>
      <c r="X22530" s="60"/>
    </row>
    <row r="22531" spans="7:24" ht="15" customHeight="1">
      <c r="G22531"/>
      <c r="I22531"/>
      <c r="N22531"/>
      <c r="O22531" s="24"/>
      <c r="P22531"/>
      <c r="Q22531" s="24"/>
      <c r="R22531"/>
      <c r="S22531"/>
      <c r="T22531"/>
      <c r="U22531"/>
      <c r="X22531" s="60"/>
    </row>
    <row r="22532" spans="7:24" ht="15" customHeight="1">
      <c r="G22532"/>
      <c r="I22532"/>
      <c r="N22532"/>
      <c r="O22532" s="24"/>
      <c r="P22532"/>
      <c r="Q22532" s="24"/>
      <c r="R22532"/>
      <c r="S22532"/>
      <c r="T22532"/>
      <c r="U22532"/>
      <c r="X22532" s="60"/>
    </row>
    <row r="22533" spans="7:24" ht="15" customHeight="1">
      <c r="G22533"/>
      <c r="I22533"/>
      <c r="N22533"/>
      <c r="O22533" s="24"/>
      <c r="P22533"/>
      <c r="Q22533" s="24"/>
      <c r="R22533"/>
      <c r="S22533"/>
      <c r="T22533"/>
      <c r="U22533"/>
      <c r="X22533" s="60"/>
    </row>
    <row r="22534" spans="7:24" ht="15" customHeight="1">
      <c r="G22534"/>
      <c r="I22534"/>
      <c r="N22534"/>
      <c r="O22534" s="24"/>
      <c r="P22534"/>
      <c r="Q22534" s="24"/>
      <c r="R22534"/>
      <c r="S22534"/>
      <c r="T22534"/>
      <c r="U22534"/>
      <c r="X22534" s="60"/>
    </row>
    <row r="22535" spans="7:24" ht="15" customHeight="1">
      <c r="G22535"/>
      <c r="I22535"/>
      <c r="N22535"/>
      <c r="O22535" s="24"/>
      <c r="P22535"/>
      <c r="Q22535" s="24"/>
      <c r="R22535"/>
      <c r="S22535"/>
      <c r="T22535"/>
      <c r="U22535"/>
      <c r="X22535" s="60"/>
    </row>
    <row r="22536" spans="7:24" ht="15" customHeight="1">
      <c r="G22536"/>
      <c r="I22536"/>
      <c r="N22536"/>
      <c r="O22536" s="24"/>
      <c r="P22536"/>
      <c r="Q22536" s="24"/>
      <c r="R22536"/>
      <c r="S22536"/>
      <c r="T22536"/>
      <c r="U22536"/>
      <c r="X22536" s="60"/>
    </row>
    <row r="22537" spans="7:24" ht="15" customHeight="1">
      <c r="G22537"/>
      <c r="I22537"/>
      <c r="N22537"/>
      <c r="O22537" s="24"/>
      <c r="P22537"/>
      <c r="Q22537" s="24"/>
      <c r="R22537"/>
      <c r="S22537"/>
      <c r="T22537"/>
      <c r="U22537"/>
      <c r="X22537" s="60"/>
    </row>
    <row r="22538" spans="7:24" ht="15" customHeight="1">
      <c r="G22538"/>
      <c r="I22538"/>
      <c r="N22538"/>
      <c r="O22538" s="24"/>
      <c r="P22538"/>
      <c r="Q22538" s="24"/>
      <c r="R22538"/>
      <c r="S22538"/>
      <c r="T22538"/>
      <c r="U22538"/>
      <c r="X22538" s="60"/>
    </row>
    <row r="22539" spans="7:24" ht="15" customHeight="1">
      <c r="G22539"/>
      <c r="I22539"/>
      <c r="N22539"/>
      <c r="O22539" s="24"/>
      <c r="P22539"/>
      <c r="Q22539" s="24"/>
      <c r="R22539"/>
      <c r="S22539"/>
      <c r="T22539"/>
      <c r="U22539"/>
      <c r="X22539" s="60"/>
    </row>
    <row r="22540" spans="7:24" ht="15" customHeight="1">
      <c r="G22540"/>
      <c r="I22540"/>
      <c r="N22540"/>
      <c r="O22540" s="24"/>
      <c r="P22540"/>
      <c r="Q22540" s="24"/>
      <c r="R22540"/>
      <c r="S22540"/>
      <c r="T22540"/>
      <c r="U22540"/>
      <c r="X22540" s="60"/>
    </row>
    <row r="22541" spans="7:24" ht="15" customHeight="1">
      <c r="G22541"/>
      <c r="I22541"/>
      <c r="N22541"/>
      <c r="O22541" s="24"/>
      <c r="P22541"/>
      <c r="Q22541" s="24"/>
      <c r="R22541"/>
      <c r="S22541"/>
      <c r="T22541"/>
      <c r="U22541"/>
      <c r="X22541" s="60"/>
    </row>
    <row r="22542" spans="7:24" ht="15" customHeight="1">
      <c r="G22542"/>
      <c r="I22542"/>
      <c r="N22542"/>
      <c r="O22542" s="24"/>
      <c r="P22542"/>
      <c r="Q22542" s="24"/>
      <c r="R22542"/>
      <c r="S22542"/>
      <c r="T22542"/>
      <c r="U22542"/>
      <c r="X22542" s="60"/>
    </row>
    <row r="22543" spans="7:24" ht="15" customHeight="1">
      <c r="G22543"/>
      <c r="I22543"/>
      <c r="N22543"/>
      <c r="O22543" s="24"/>
      <c r="P22543"/>
      <c r="Q22543" s="24"/>
      <c r="R22543"/>
      <c r="S22543"/>
      <c r="T22543"/>
      <c r="U22543"/>
      <c r="X22543" s="60"/>
    </row>
    <row r="22544" spans="7:24" ht="15" customHeight="1">
      <c r="G22544"/>
      <c r="I22544"/>
      <c r="N22544"/>
      <c r="O22544" s="24"/>
      <c r="P22544"/>
      <c r="Q22544" s="24"/>
      <c r="R22544"/>
      <c r="S22544"/>
      <c r="T22544"/>
      <c r="U22544"/>
      <c r="X22544" s="60"/>
    </row>
    <row r="22545" spans="7:24" ht="15" customHeight="1">
      <c r="G22545"/>
      <c r="I22545"/>
      <c r="N22545"/>
      <c r="O22545" s="24"/>
      <c r="P22545"/>
      <c r="Q22545" s="24"/>
      <c r="R22545"/>
      <c r="S22545"/>
      <c r="T22545"/>
      <c r="U22545"/>
      <c r="X22545" s="60"/>
    </row>
    <row r="22546" spans="7:24" ht="15" customHeight="1">
      <c r="G22546"/>
      <c r="I22546"/>
      <c r="N22546"/>
      <c r="O22546" s="24"/>
      <c r="P22546"/>
      <c r="Q22546" s="24"/>
      <c r="R22546"/>
      <c r="S22546"/>
      <c r="T22546"/>
      <c r="U22546"/>
      <c r="X22546" s="60"/>
    </row>
    <row r="22547" spans="7:24" ht="15" customHeight="1">
      <c r="G22547"/>
      <c r="I22547"/>
      <c r="N22547"/>
      <c r="O22547" s="24"/>
      <c r="P22547"/>
      <c r="Q22547" s="24"/>
      <c r="R22547"/>
      <c r="S22547"/>
      <c r="T22547"/>
      <c r="U22547"/>
      <c r="X22547" s="60"/>
    </row>
    <row r="22548" spans="7:24" ht="15" customHeight="1">
      <c r="G22548"/>
      <c r="I22548"/>
      <c r="N22548"/>
      <c r="O22548" s="24"/>
      <c r="P22548"/>
      <c r="Q22548" s="24"/>
      <c r="R22548"/>
      <c r="S22548"/>
      <c r="T22548"/>
      <c r="U22548"/>
      <c r="X22548" s="60"/>
    </row>
    <row r="22549" spans="7:24" ht="15" customHeight="1">
      <c r="G22549"/>
      <c r="I22549"/>
      <c r="N22549"/>
      <c r="O22549" s="24"/>
      <c r="P22549"/>
      <c r="Q22549" s="24"/>
      <c r="R22549"/>
      <c r="S22549"/>
      <c r="T22549"/>
      <c r="U22549"/>
      <c r="X22549" s="60"/>
    </row>
    <row r="22550" spans="7:24" ht="15" customHeight="1">
      <c r="G22550"/>
      <c r="I22550"/>
      <c r="N22550"/>
      <c r="O22550" s="24"/>
      <c r="P22550"/>
      <c r="Q22550" s="24"/>
      <c r="R22550"/>
      <c r="S22550"/>
      <c r="T22550"/>
      <c r="U22550"/>
      <c r="X22550" s="60"/>
    </row>
    <row r="22551" spans="7:24" ht="15" customHeight="1">
      <c r="G22551"/>
      <c r="I22551"/>
      <c r="N22551"/>
      <c r="O22551" s="24"/>
      <c r="P22551"/>
      <c r="Q22551" s="24"/>
      <c r="R22551"/>
      <c r="S22551"/>
      <c r="T22551"/>
      <c r="U22551"/>
      <c r="X22551" s="60"/>
    </row>
    <row r="22552" spans="7:24" ht="15" customHeight="1">
      <c r="G22552"/>
      <c r="I22552"/>
      <c r="N22552"/>
      <c r="O22552" s="24"/>
      <c r="P22552"/>
      <c r="Q22552" s="24"/>
      <c r="R22552"/>
      <c r="S22552"/>
      <c r="T22552"/>
      <c r="U22552"/>
      <c r="X22552" s="60"/>
    </row>
    <row r="22553" spans="7:24" ht="15" customHeight="1">
      <c r="G22553"/>
      <c r="I22553"/>
      <c r="N22553"/>
      <c r="O22553" s="24"/>
      <c r="P22553"/>
      <c r="Q22553" s="24"/>
      <c r="R22553"/>
      <c r="S22553"/>
      <c r="T22553"/>
      <c r="U22553"/>
      <c r="X22553" s="60"/>
    </row>
    <row r="22554" spans="7:24" ht="15" customHeight="1">
      <c r="G22554"/>
      <c r="I22554"/>
      <c r="N22554"/>
      <c r="O22554" s="24"/>
      <c r="P22554"/>
      <c r="Q22554" s="24"/>
      <c r="R22554"/>
      <c r="S22554"/>
      <c r="T22554"/>
      <c r="U22554"/>
      <c r="X22554" s="60"/>
    </row>
    <row r="22555" spans="7:24" ht="15" customHeight="1">
      <c r="G22555"/>
      <c r="I22555"/>
      <c r="N22555"/>
      <c r="O22555" s="24"/>
      <c r="P22555"/>
      <c r="Q22555" s="24"/>
      <c r="R22555"/>
      <c r="S22555"/>
      <c r="T22555"/>
      <c r="U22555"/>
      <c r="X22555" s="60"/>
    </row>
    <row r="22556" spans="7:24" ht="15" customHeight="1">
      <c r="G22556"/>
      <c r="I22556"/>
      <c r="N22556"/>
      <c r="O22556" s="24"/>
      <c r="P22556"/>
      <c r="Q22556" s="24"/>
      <c r="R22556"/>
      <c r="S22556"/>
      <c r="T22556"/>
      <c r="U22556"/>
      <c r="X22556" s="60"/>
    </row>
    <row r="22557" spans="7:24" ht="15" customHeight="1">
      <c r="G22557"/>
      <c r="I22557"/>
      <c r="N22557"/>
      <c r="O22557" s="24"/>
      <c r="P22557"/>
      <c r="Q22557" s="24"/>
      <c r="R22557"/>
      <c r="S22557"/>
      <c r="T22557"/>
      <c r="U22557"/>
      <c r="X22557" s="60"/>
    </row>
    <row r="22558" spans="7:24" ht="15" customHeight="1">
      <c r="G22558"/>
      <c r="I22558"/>
      <c r="N22558"/>
      <c r="O22558" s="24"/>
      <c r="P22558"/>
      <c r="Q22558" s="24"/>
      <c r="R22558"/>
      <c r="S22558"/>
      <c r="T22558"/>
      <c r="U22558"/>
      <c r="X22558" s="60"/>
    </row>
    <row r="22559" spans="7:24" ht="15" customHeight="1">
      <c r="G22559"/>
      <c r="I22559"/>
      <c r="N22559"/>
      <c r="O22559" s="24"/>
      <c r="P22559"/>
      <c r="Q22559" s="24"/>
      <c r="R22559"/>
      <c r="S22559"/>
      <c r="T22559"/>
      <c r="U22559"/>
      <c r="X22559" s="60"/>
    </row>
    <row r="22560" spans="7:24" ht="15" customHeight="1">
      <c r="G22560"/>
      <c r="I22560"/>
      <c r="N22560"/>
      <c r="O22560" s="24"/>
      <c r="P22560"/>
      <c r="Q22560" s="24"/>
      <c r="R22560"/>
      <c r="S22560"/>
      <c r="T22560"/>
      <c r="U22560"/>
      <c r="X22560" s="60"/>
    </row>
    <row r="22561" spans="7:24" ht="15" customHeight="1">
      <c r="G22561"/>
      <c r="I22561"/>
      <c r="N22561"/>
      <c r="O22561" s="24"/>
      <c r="P22561"/>
      <c r="Q22561" s="24"/>
      <c r="R22561"/>
      <c r="S22561"/>
      <c r="T22561"/>
      <c r="U22561"/>
      <c r="X22561" s="60"/>
    </row>
    <row r="22562" spans="7:24" ht="15" customHeight="1">
      <c r="G22562"/>
      <c r="I22562"/>
      <c r="N22562"/>
      <c r="O22562" s="24"/>
      <c r="P22562"/>
      <c r="Q22562" s="24"/>
      <c r="R22562"/>
      <c r="S22562"/>
      <c r="T22562"/>
      <c r="U22562"/>
      <c r="X22562" s="60"/>
    </row>
    <row r="22563" spans="7:24" ht="15" customHeight="1">
      <c r="G22563"/>
      <c r="I22563"/>
      <c r="N22563"/>
      <c r="O22563" s="24"/>
      <c r="P22563"/>
      <c r="Q22563" s="24"/>
      <c r="R22563"/>
      <c r="S22563"/>
      <c r="T22563"/>
      <c r="U22563"/>
      <c r="X22563" s="60"/>
    </row>
    <row r="22564" spans="7:24" ht="15" customHeight="1">
      <c r="G22564"/>
      <c r="I22564"/>
      <c r="N22564"/>
      <c r="O22564" s="24"/>
      <c r="P22564"/>
      <c r="Q22564" s="24"/>
      <c r="R22564"/>
      <c r="S22564"/>
      <c r="T22564"/>
      <c r="U22564"/>
      <c r="X22564" s="60"/>
    </row>
    <row r="22565" spans="7:24" ht="15" customHeight="1">
      <c r="G22565"/>
      <c r="I22565"/>
      <c r="N22565"/>
      <c r="O22565" s="24"/>
      <c r="P22565"/>
      <c r="Q22565" s="24"/>
      <c r="R22565"/>
      <c r="S22565"/>
      <c r="T22565"/>
      <c r="U22565"/>
      <c r="X22565" s="60"/>
    </row>
    <row r="22566" spans="7:24" ht="15" customHeight="1">
      <c r="G22566"/>
      <c r="I22566"/>
      <c r="N22566"/>
      <c r="O22566" s="24"/>
      <c r="P22566"/>
      <c r="Q22566" s="24"/>
      <c r="R22566"/>
      <c r="S22566"/>
      <c r="T22566"/>
      <c r="U22566"/>
      <c r="X22566" s="60"/>
    </row>
    <row r="22567" spans="7:24" ht="15" customHeight="1">
      <c r="G22567"/>
      <c r="I22567"/>
      <c r="N22567"/>
      <c r="O22567" s="24"/>
      <c r="P22567"/>
      <c r="Q22567" s="24"/>
      <c r="R22567"/>
      <c r="S22567"/>
      <c r="T22567"/>
      <c r="U22567"/>
      <c r="X22567" s="60"/>
    </row>
    <row r="22568" spans="7:24" ht="15" customHeight="1">
      <c r="G22568"/>
      <c r="I22568"/>
      <c r="N22568"/>
      <c r="O22568" s="24"/>
      <c r="P22568"/>
      <c r="Q22568" s="24"/>
      <c r="R22568"/>
      <c r="S22568"/>
      <c r="T22568"/>
      <c r="U22568"/>
      <c r="X22568" s="60"/>
    </row>
    <row r="22569" spans="7:24" ht="15" customHeight="1">
      <c r="G22569"/>
      <c r="I22569"/>
      <c r="N22569"/>
      <c r="O22569" s="24"/>
      <c r="P22569"/>
      <c r="Q22569" s="24"/>
      <c r="R22569"/>
      <c r="S22569"/>
      <c r="T22569"/>
      <c r="U22569"/>
      <c r="X22569" s="60"/>
    </row>
    <row r="22570" spans="7:24" ht="15" customHeight="1">
      <c r="G22570"/>
      <c r="I22570"/>
      <c r="N22570"/>
      <c r="O22570" s="24"/>
      <c r="P22570"/>
      <c r="Q22570" s="24"/>
      <c r="R22570"/>
      <c r="S22570"/>
      <c r="T22570"/>
      <c r="U22570"/>
      <c r="X22570" s="60"/>
    </row>
    <row r="22571" spans="7:24" ht="15" customHeight="1">
      <c r="G22571"/>
      <c r="I22571"/>
      <c r="N22571"/>
      <c r="O22571" s="24"/>
      <c r="P22571"/>
      <c r="Q22571" s="24"/>
      <c r="R22571"/>
      <c r="S22571"/>
      <c r="T22571"/>
      <c r="U22571"/>
      <c r="X22571" s="60"/>
    </row>
    <row r="22572" spans="7:24" ht="15" customHeight="1">
      <c r="G22572"/>
      <c r="I22572"/>
      <c r="N22572"/>
      <c r="O22572" s="24"/>
      <c r="P22572"/>
      <c r="Q22572" s="24"/>
      <c r="R22572"/>
      <c r="S22572"/>
      <c r="T22572"/>
      <c r="U22572"/>
      <c r="X22572" s="60"/>
    </row>
    <row r="22573" spans="7:24" ht="15" customHeight="1">
      <c r="G22573"/>
      <c r="I22573"/>
      <c r="N22573"/>
      <c r="O22573" s="24"/>
      <c r="P22573"/>
      <c r="Q22573" s="24"/>
      <c r="R22573"/>
      <c r="S22573"/>
      <c r="T22573"/>
      <c r="U22573"/>
      <c r="X22573" s="60"/>
    </row>
    <row r="22574" spans="7:24" ht="15" customHeight="1">
      <c r="G22574"/>
      <c r="I22574"/>
      <c r="N22574"/>
      <c r="O22574" s="24"/>
      <c r="P22574"/>
      <c r="Q22574" s="24"/>
      <c r="R22574"/>
      <c r="S22574"/>
      <c r="T22574"/>
      <c r="U22574"/>
      <c r="X22574" s="60"/>
    </row>
    <row r="22575" spans="7:24" ht="15" customHeight="1">
      <c r="G22575"/>
      <c r="I22575"/>
      <c r="N22575"/>
      <c r="O22575" s="24"/>
      <c r="P22575"/>
      <c r="Q22575" s="24"/>
      <c r="R22575"/>
      <c r="S22575"/>
      <c r="T22575"/>
      <c r="U22575"/>
      <c r="X22575" s="60"/>
    </row>
    <row r="22576" spans="7:24" ht="15" customHeight="1">
      <c r="G22576"/>
      <c r="I22576"/>
      <c r="N22576"/>
      <c r="O22576" s="24"/>
      <c r="P22576"/>
      <c r="Q22576" s="24"/>
      <c r="R22576"/>
      <c r="S22576"/>
      <c r="T22576"/>
      <c r="U22576"/>
      <c r="X22576" s="60"/>
    </row>
    <row r="22577" spans="7:24" ht="15" customHeight="1">
      <c r="G22577"/>
      <c r="I22577"/>
      <c r="N22577"/>
      <c r="O22577" s="24"/>
      <c r="P22577"/>
      <c r="Q22577" s="24"/>
      <c r="R22577"/>
      <c r="S22577"/>
      <c r="T22577"/>
      <c r="U22577"/>
      <c r="X22577" s="60"/>
    </row>
    <row r="22578" spans="7:24" ht="15" customHeight="1">
      <c r="G22578"/>
      <c r="I22578"/>
      <c r="N22578"/>
      <c r="O22578" s="24"/>
      <c r="P22578"/>
      <c r="Q22578" s="24"/>
      <c r="R22578"/>
      <c r="S22578"/>
      <c r="T22578"/>
      <c r="U22578"/>
      <c r="X22578" s="60"/>
    </row>
    <row r="22579" spans="7:24" ht="15" customHeight="1">
      <c r="G22579"/>
      <c r="I22579"/>
      <c r="N22579"/>
      <c r="O22579" s="24"/>
      <c r="P22579"/>
      <c r="Q22579" s="24"/>
      <c r="R22579"/>
      <c r="S22579"/>
      <c r="T22579"/>
      <c r="U22579"/>
      <c r="X22579" s="60"/>
    </row>
    <row r="22580" spans="7:24" ht="15" customHeight="1">
      <c r="G22580"/>
      <c r="I22580"/>
      <c r="N22580"/>
      <c r="O22580" s="24"/>
      <c r="P22580"/>
      <c r="Q22580" s="24"/>
      <c r="R22580"/>
      <c r="S22580"/>
      <c r="T22580"/>
      <c r="U22580"/>
      <c r="X22580" s="60"/>
    </row>
    <row r="22581" spans="7:24" ht="15" customHeight="1">
      <c r="G22581"/>
      <c r="I22581"/>
      <c r="N22581"/>
      <c r="O22581" s="24"/>
      <c r="P22581"/>
      <c r="Q22581" s="24"/>
      <c r="R22581"/>
      <c r="S22581"/>
      <c r="T22581"/>
      <c r="U22581"/>
      <c r="X22581" s="60"/>
    </row>
    <row r="22582" spans="7:24" ht="15" customHeight="1">
      <c r="G22582"/>
      <c r="I22582"/>
      <c r="N22582"/>
      <c r="O22582" s="24"/>
      <c r="P22582"/>
      <c r="Q22582" s="24"/>
      <c r="R22582"/>
      <c r="S22582"/>
      <c r="T22582"/>
      <c r="U22582"/>
      <c r="X22582" s="60"/>
    </row>
    <row r="22583" spans="7:24" ht="15" customHeight="1">
      <c r="G22583"/>
      <c r="I22583"/>
      <c r="N22583"/>
      <c r="O22583" s="24"/>
      <c r="P22583"/>
      <c r="Q22583" s="24"/>
      <c r="R22583"/>
      <c r="S22583"/>
      <c r="T22583"/>
      <c r="U22583"/>
      <c r="X22583" s="60"/>
    </row>
    <row r="22584" spans="7:24" ht="15" customHeight="1">
      <c r="G22584"/>
      <c r="I22584"/>
      <c r="N22584"/>
      <c r="O22584" s="24"/>
      <c r="P22584"/>
      <c r="Q22584" s="24"/>
      <c r="R22584"/>
      <c r="S22584"/>
      <c r="T22584"/>
      <c r="U22584"/>
      <c r="X22584" s="60"/>
    </row>
    <row r="22585" spans="7:24" ht="15" customHeight="1">
      <c r="G22585"/>
      <c r="I22585"/>
      <c r="N22585"/>
      <c r="O22585" s="24"/>
      <c r="P22585"/>
      <c r="Q22585" s="24"/>
      <c r="R22585"/>
      <c r="S22585"/>
      <c r="T22585"/>
      <c r="U22585"/>
      <c r="X22585" s="60"/>
    </row>
    <row r="22586" spans="7:24" ht="15" customHeight="1">
      <c r="G22586"/>
      <c r="I22586"/>
      <c r="N22586"/>
      <c r="O22586" s="24"/>
      <c r="P22586"/>
      <c r="Q22586" s="24"/>
      <c r="R22586"/>
      <c r="S22586"/>
      <c r="T22586"/>
      <c r="U22586"/>
      <c r="X22586" s="60"/>
    </row>
    <row r="22587" spans="7:24" ht="15" customHeight="1">
      <c r="G22587"/>
      <c r="I22587"/>
      <c r="N22587"/>
      <c r="O22587" s="24"/>
      <c r="P22587"/>
      <c r="Q22587" s="24"/>
      <c r="R22587"/>
      <c r="S22587"/>
      <c r="T22587"/>
      <c r="U22587"/>
      <c r="X22587" s="60"/>
    </row>
    <row r="22588" spans="7:24" ht="15" customHeight="1">
      <c r="G22588"/>
      <c r="I22588"/>
      <c r="N22588"/>
      <c r="O22588" s="24"/>
      <c r="P22588"/>
      <c r="Q22588" s="24"/>
      <c r="R22588"/>
      <c r="S22588"/>
      <c r="T22588"/>
      <c r="U22588"/>
      <c r="X22588" s="60"/>
    </row>
    <row r="22589" spans="7:24" ht="15" customHeight="1">
      <c r="G22589"/>
      <c r="I22589"/>
      <c r="N22589"/>
      <c r="O22589" s="24"/>
      <c r="P22589"/>
      <c r="Q22589" s="24"/>
      <c r="R22589"/>
      <c r="S22589"/>
      <c r="T22589"/>
      <c r="U22589"/>
      <c r="X22589" s="60"/>
    </row>
    <row r="22590" spans="7:24" ht="15" customHeight="1">
      <c r="G22590"/>
      <c r="I22590"/>
      <c r="N22590"/>
      <c r="O22590" s="24"/>
      <c r="P22590"/>
      <c r="Q22590" s="24"/>
      <c r="R22590"/>
      <c r="S22590"/>
      <c r="T22590"/>
      <c r="U22590"/>
      <c r="X22590" s="60"/>
    </row>
    <row r="22591" spans="7:24" ht="15" customHeight="1">
      <c r="G22591"/>
      <c r="I22591"/>
      <c r="N22591"/>
      <c r="O22591" s="24"/>
      <c r="P22591"/>
      <c r="Q22591" s="24"/>
      <c r="R22591"/>
      <c r="S22591"/>
      <c r="T22591"/>
      <c r="U22591"/>
      <c r="X22591" s="60"/>
    </row>
    <row r="22592" spans="7:24" ht="15" customHeight="1">
      <c r="G22592"/>
      <c r="I22592"/>
      <c r="N22592"/>
      <c r="O22592" s="24"/>
      <c r="P22592"/>
      <c r="Q22592" s="24"/>
      <c r="R22592"/>
      <c r="S22592"/>
      <c r="T22592"/>
      <c r="U22592"/>
      <c r="X22592" s="60"/>
    </row>
    <row r="22593" spans="7:24" ht="15" customHeight="1">
      <c r="G22593"/>
      <c r="I22593"/>
      <c r="N22593"/>
      <c r="O22593" s="24"/>
      <c r="P22593"/>
      <c r="Q22593" s="24"/>
      <c r="R22593"/>
      <c r="S22593"/>
      <c r="T22593"/>
      <c r="U22593"/>
      <c r="X22593" s="60"/>
    </row>
    <row r="22594" spans="7:24" ht="15" customHeight="1">
      <c r="G22594"/>
      <c r="I22594"/>
      <c r="N22594"/>
      <c r="O22594" s="24"/>
      <c r="P22594"/>
      <c r="Q22594" s="24"/>
      <c r="R22594"/>
      <c r="S22594"/>
      <c r="T22594"/>
      <c r="U22594"/>
      <c r="X22594" s="60"/>
    </row>
    <row r="22595" spans="7:24" ht="15" customHeight="1">
      <c r="G22595"/>
      <c r="I22595"/>
      <c r="N22595"/>
      <c r="O22595" s="24"/>
      <c r="P22595"/>
      <c r="Q22595" s="24"/>
      <c r="R22595"/>
      <c r="S22595"/>
      <c r="T22595"/>
      <c r="U22595"/>
      <c r="X22595" s="60"/>
    </row>
    <row r="22596" spans="7:24" ht="15" customHeight="1">
      <c r="G22596"/>
      <c r="I22596"/>
      <c r="N22596"/>
      <c r="O22596" s="24"/>
      <c r="P22596"/>
      <c r="Q22596" s="24"/>
      <c r="R22596"/>
      <c r="S22596"/>
      <c r="T22596"/>
      <c r="U22596"/>
      <c r="X22596" s="60"/>
    </row>
    <row r="22597" spans="7:24" ht="15" customHeight="1">
      <c r="G22597"/>
      <c r="I22597"/>
      <c r="N22597"/>
      <c r="O22597" s="24"/>
      <c r="P22597"/>
      <c r="Q22597" s="24"/>
      <c r="R22597"/>
      <c r="S22597"/>
      <c r="T22597"/>
      <c r="U22597"/>
      <c r="X22597" s="60"/>
    </row>
    <row r="22598" spans="7:24" ht="15" customHeight="1">
      <c r="G22598"/>
      <c r="I22598"/>
      <c r="N22598"/>
      <c r="O22598" s="24"/>
      <c r="P22598"/>
      <c r="Q22598" s="24"/>
      <c r="R22598"/>
      <c r="S22598"/>
      <c r="T22598"/>
      <c r="U22598"/>
      <c r="X22598" s="60"/>
    </row>
    <row r="22599" spans="7:24" ht="15" customHeight="1">
      <c r="G22599"/>
      <c r="I22599"/>
      <c r="N22599"/>
      <c r="O22599" s="24"/>
      <c r="P22599"/>
      <c r="Q22599" s="24"/>
      <c r="R22599"/>
      <c r="S22599"/>
      <c r="T22599"/>
      <c r="U22599"/>
      <c r="X22599" s="60"/>
    </row>
    <row r="22600" spans="7:24" ht="15" customHeight="1">
      <c r="G22600"/>
      <c r="I22600"/>
      <c r="N22600"/>
      <c r="O22600" s="24"/>
      <c r="P22600"/>
      <c r="Q22600" s="24"/>
      <c r="R22600"/>
      <c r="S22600"/>
      <c r="T22600"/>
      <c r="U22600"/>
      <c r="X22600" s="60"/>
    </row>
    <row r="22601" spans="7:24" ht="15" customHeight="1">
      <c r="G22601"/>
      <c r="I22601"/>
      <c r="N22601"/>
      <c r="O22601" s="24"/>
      <c r="P22601"/>
      <c r="Q22601" s="24"/>
      <c r="R22601"/>
      <c r="S22601"/>
      <c r="T22601"/>
      <c r="U22601"/>
      <c r="X22601" s="60"/>
    </row>
    <row r="22602" spans="7:24" ht="15" customHeight="1">
      <c r="G22602"/>
      <c r="I22602"/>
      <c r="N22602"/>
      <c r="O22602" s="24"/>
      <c r="P22602"/>
      <c r="Q22602" s="24"/>
      <c r="R22602"/>
      <c r="S22602"/>
      <c r="T22602"/>
      <c r="U22602"/>
      <c r="X22602" s="60"/>
    </row>
    <row r="22603" spans="7:24" ht="15" customHeight="1">
      <c r="G22603"/>
      <c r="I22603"/>
      <c r="N22603"/>
      <c r="O22603" s="24"/>
      <c r="P22603"/>
      <c r="Q22603" s="24"/>
      <c r="R22603"/>
      <c r="S22603"/>
      <c r="T22603"/>
      <c r="U22603"/>
      <c r="X22603" s="60"/>
    </row>
    <row r="22604" spans="7:24" ht="15" customHeight="1">
      <c r="G22604"/>
      <c r="I22604"/>
      <c r="N22604"/>
      <c r="O22604" s="24"/>
      <c r="P22604"/>
      <c r="Q22604" s="24"/>
      <c r="R22604"/>
      <c r="S22604"/>
      <c r="T22604"/>
      <c r="U22604"/>
      <c r="X22604" s="60"/>
    </row>
    <row r="22605" spans="7:24" ht="15" customHeight="1">
      <c r="G22605"/>
      <c r="I22605"/>
      <c r="N22605"/>
      <c r="O22605" s="24"/>
      <c r="P22605"/>
      <c r="Q22605" s="24"/>
      <c r="R22605"/>
      <c r="S22605"/>
      <c r="T22605"/>
      <c r="U22605"/>
      <c r="X22605" s="60"/>
    </row>
    <row r="22606" spans="7:24" ht="15" customHeight="1">
      <c r="G22606"/>
      <c r="I22606"/>
      <c r="N22606"/>
      <c r="O22606" s="24"/>
      <c r="P22606"/>
      <c r="Q22606" s="24"/>
      <c r="R22606"/>
      <c r="S22606"/>
      <c r="T22606"/>
      <c r="U22606"/>
      <c r="X22606" s="60"/>
    </row>
    <row r="22607" spans="7:24" ht="15" customHeight="1">
      <c r="G22607"/>
      <c r="I22607"/>
      <c r="N22607"/>
      <c r="O22607" s="24"/>
      <c r="P22607"/>
      <c r="Q22607" s="24"/>
      <c r="R22607"/>
      <c r="S22607"/>
      <c r="T22607"/>
      <c r="U22607"/>
      <c r="X22607" s="60"/>
    </row>
    <row r="22608" spans="7:24" ht="15" customHeight="1">
      <c r="G22608"/>
      <c r="I22608"/>
      <c r="N22608"/>
      <c r="O22608" s="24"/>
      <c r="P22608"/>
      <c r="Q22608" s="24"/>
      <c r="R22608"/>
      <c r="S22608"/>
      <c r="T22608"/>
      <c r="U22608"/>
      <c r="X22608" s="60"/>
    </row>
    <row r="22609" spans="7:24" ht="15" customHeight="1">
      <c r="G22609"/>
      <c r="I22609"/>
      <c r="N22609"/>
      <c r="O22609" s="24"/>
      <c r="P22609"/>
      <c r="Q22609" s="24"/>
      <c r="R22609"/>
      <c r="S22609"/>
      <c r="T22609"/>
      <c r="U22609"/>
      <c r="X22609" s="60"/>
    </row>
    <row r="22610" spans="7:24" ht="15" customHeight="1">
      <c r="G22610"/>
      <c r="I22610"/>
      <c r="N22610"/>
      <c r="O22610" s="24"/>
      <c r="P22610"/>
      <c r="Q22610" s="24"/>
      <c r="R22610"/>
      <c r="S22610"/>
      <c r="T22610"/>
      <c r="U22610"/>
      <c r="X22610" s="60"/>
    </row>
    <row r="22611" spans="7:24" ht="15" customHeight="1">
      <c r="G22611"/>
      <c r="I22611"/>
      <c r="N22611"/>
      <c r="O22611" s="24"/>
      <c r="P22611"/>
      <c r="Q22611" s="24"/>
      <c r="R22611"/>
      <c r="S22611"/>
      <c r="T22611"/>
      <c r="U22611"/>
      <c r="X22611" s="60"/>
    </row>
    <row r="22612" spans="7:24" ht="15" customHeight="1">
      <c r="G22612"/>
      <c r="I22612"/>
      <c r="N22612"/>
      <c r="O22612" s="24"/>
      <c r="P22612"/>
      <c r="Q22612" s="24"/>
      <c r="R22612"/>
      <c r="S22612"/>
      <c r="T22612"/>
      <c r="U22612"/>
      <c r="X22612" s="60"/>
    </row>
    <row r="22613" spans="7:24" ht="15" customHeight="1">
      <c r="G22613"/>
      <c r="I22613"/>
      <c r="N22613"/>
      <c r="O22613" s="24"/>
      <c r="P22613"/>
      <c r="Q22613" s="24"/>
      <c r="R22613"/>
      <c r="S22613"/>
      <c r="T22613"/>
      <c r="U22613"/>
      <c r="X22613" s="60"/>
    </row>
    <row r="22614" spans="7:24" ht="15" customHeight="1">
      <c r="G22614"/>
      <c r="I22614"/>
      <c r="N22614"/>
      <c r="O22614" s="24"/>
      <c r="P22614"/>
      <c r="Q22614" s="24"/>
      <c r="R22614"/>
      <c r="S22614"/>
      <c r="T22614"/>
      <c r="U22614"/>
      <c r="X22614" s="60"/>
    </row>
    <row r="22615" spans="7:24" ht="15" customHeight="1">
      <c r="G22615"/>
      <c r="I22615"/>
      <c r="N22615"/>
      <c r="O22615" s="24"/>
      <c r="P22615"/>
      <c r="Q22615" s="24"/>
      <c r="R22615"/>
      <c r="S22615"/>
      <c r="T22615"/>
      <c r="U22615"/>
      <c r="X22615" s="60"/>
    </row>
    <row r="22616" spans="7:24" ht="15" customHeight="1">
      <c r="G22616"/>
      <c r="I22616"/>
      <c r="N22616"/>
      <c r="O22616" s="24"/>
      <c r="P22616"/>
      <c r="Q22616" s="24"/>
      <c r="R22616"/>
      <c r="S22616"/>
      <c r="T22616"/>
      <c r="U22616"/>
      <c r="X22616" s="60"/>
    </row>
    <row r="22617" spans="7:24" ht="15" customHeight="1">
      <c r="G22617"/>
      <c r="I22617"/>
      <c r="N22617"/>
      <c r="O22617" s="24"/>
      <c r="P22617"/>
      <c r="Q22617" s="24"/>
      <c r="R22617"/>
      <c r="S22617"/>
      <c r="T22617"/>
      <c r="U22617"/>
      <c r="X22617" s="60"/>
    </row>
    <row r="22618" spans="7:24" ht="15" customHeight="1">
      <c r="G22618"/>
      <c r="I22618"/>
      <c r="N22618"/>
      <c r="O22618" s="24"/>
      <c r="P22618"/>
      <c r="Q22618" s="24"/>
      <c r="R22618"/>
      <c r="S22618"/>
      <c r="T22618"/>
      <c r="U22618"/>
      <c r="X22618" s="60"/>
    </row>
    <row r="22619" spans="7:24" ht="15" customHeight="1">
      <c r="G22619"/>
      <c r="I22619"/>
      <c r="N22619"/>
      <c r="O22619" s="24"/>
      <c r="P22619"/>
      <c r="Q22619" s="24"/>
      <c r="R22619"/>
      <c r="S22619"/>
      <c r="T22619"/>
      <c r="U22619"/>
      <c r="X22619" s="60"/>
    </row>
    <row r="22620" spans="7:24" ht="15" customHeight="1">
      <c r="G22620"/>
      <c r="I22620"/>
      <c r="N22620"/>
      <c r="O22620" s="24"/>
      <c r="P22620"/>
      <c r="Q22620" s="24"/>
      <c r="R22620"/>
      <c r="S22620"/>
      <c r="T22620"/>
      <c r="U22620"/>
      <c r="X22620" s="60"/>
    </row>
    <row r="22621" spans="7:24" ht="15" customHeight="1">
      <c r="G22621"/>
      <c r="I22621"/>
      <c r="N22621"/>
      <c r="O22621" s="24"/>
      <c r="P22621"/>
      <c r="Q22621" s="24"/>
      <c r="R22621"/>
      <c r="S22621"/>
      <c r="T22621"/>
      <c r="U22621"/>
      <c r="X22621" s="60"/>
    </row>
    <row r="22622" spans="7:24" ht="15" customHeight="1">
      <c r="G22622"/>
      <c r="I22622"/>
      <c r="N22622"/>
      <c r="O22622" s="24"/>
      <c r="P22622"/>
      <c r="Q22622" s="24"/>
      <c r="R22622"/>
      <c r="S22622"/>
      <c r="T22622"/>
      <c r="U22622"/>
      <c r="X22622" s="60"/>
    </row>
    <row r="22623" spans="7:24" ht="15" customHeight="1">
      <c r="G22623"/>
      <c r="I22623"/>
      <c r="N22623"/>
      <c r="O22623" s="24"/>
      <c r="P22623"/>
      <c r="Q22623" s="24"/>
      <c r="R22623"/>
      <c r="S22623"/>
      <c r="T22623"/>
      <c r="U22623"/>
      <c r="X22623" s="60"/>
    </row>
    <row r="22624" spans="7:24" ht="15" customHeight="1">
      <c r="G22624"/>
      <c r="I22624"/>
      <c r="N22624"/>
      <c r="O22624" s="24"/>
      <c r="P22624"/>
      <c r="Q22624" s="24"/>
      <c r="R22624"/>
      <c r="S22624"/>
      <c r="T22624"/>
      <c r="U22624"/>
      <c r="X22624" s="60"/>
    </row>
    <row r="22625" spans="7:24" ht="15" customHeight="1">
      <c r="G22625"/>
      <c r="I22625"/>
      <c r="N22625"/>
      <c r="O22625" s="24"/>
      <c r="P22625"/>
      <c r="Q22625" s="24"/>
      <c r="R22625"/>
      <c r="S22625"/>
      <c r="T22625"/>
      <c r="U22625"/>
      <c r="X22625" s="60"/>
    </row>
    <row r="22626" spans="7:24" ht="15" customHeight="1">
      <c r="G22626"/>
      <c r="I22626"/>
      <c r="N22626"/>
      <c r="O22626" s="24"/>
      <c r="P22626"/>
      <c r="Q22626" s="24"/>
      <c r="R22626"/>
      <c r="S22626"/>
      <c r="T22626"/>
      <c r="U22626"/>
      <c r="X22626" s="60"/>
    </row>
    <row r="22627" spans="7:24" ht="15" customHeight="1">
      <c r="G22627"/>
      <c r="I22627"/>
      <c r="N22627"/>
      <c r="O22627" s="24"/>
      <c r="P22627"/>
      <c r="Q22627" s="24"/>
      <c r="R22627"/>
      <c r="S22627"/>
      <c r="T22627"/>
      <c r="U22627"/>
      <c r="X22627" s="60"/>
    </row>
    <row r="22628" spans="7:24" ht="15" customHeight="1">
      <c r="G22628"/>
      <c r="I22628"/>
      <c r="N22628"/>
      <c r="O22628" s="24"/>
      <c r="P22628"/>
      <c r="Q22628" s="24"/>
      <c r="R22628"/>
      <c r="S22628"/>
      <c r="T22628"/>
      <c r="U22628"/>
      <c r="X22628" s="60"/>
    </row>
    <row r="22629" spans="7:24" ht="15" customHeight="1">
      <c r="G22629"/>
      <c r="I22629"/>
      <c r="N22629"/>
      <c r="O22629" s="24"/>
      <c r="P22629"/>
      <c r="Q22629" s="24"/>
      <c r="R22629"/>
      <c r="S22629"/>
      <c r="T22629"/>
      <c r="U22629"/>
      <c r="X22629" s="60"/>
    </row>
    <row r="22630" spans="7:24" ht="15" customHeight="1">
      <c r="G22630"/>
      <c r="I22630"/>
      <c r="N22630"/>
      <c r="O22630" s="24"/>
      <c r="P22630"/>
      <c r="Q22630" s="24"/>
      <c r="R22630"/>
      <c r="S22630"/>
      <c r="T22630"/>
      <c r="U22630"/>
      <c r="X22630" s="60"/>
    </row>
    <row r="22631" spans="7:24" ht="15" customHeight="1">
      <c r="G22631"/>
      <c r="I22631"/>
      <c r="N22631"/>
      <c r="O22631" s="24"/>
      <c r="P22631"/>
      <c r="Q22631" s="24"/>
      <c r="R22631"/>
      <c r="S22631"/>
      <c r="T22631"/>
      <c r="U22631"/>
      <c r="X22631" s="60"/>
    </row>
    <row r="22632" spans="7:24" ht="15" customHeight="1">
      <c r="G22632"/>
      <c r="I22632"/>
      <c r="N22632"/>
      <c r="O22632" s="24"/>
      <c r="P22632"/>
      <c r="Q22632" s="24"/>
      <c r="R22632"/>
      <c r="S22632"/>
      <c r="T22632"/>
      <c r="U22632"/>
      <c r="X22632" s="60"/>
    </row>
    <row r="22633" spans="7:24" ht="15" customHeight="1">
      <c r="G22633"/>
      <c r="I22633"/>
      <c r="N22633"/>
      <c r="O22633" s="24"/>
      <c r="P22633"/>
      <c r="Q22633" s="24"/>
      <c r="R22633"/>
      <c r="S22633"/>
      <c r="T22633"/>
      <c r="U22633"/>
      <c r="X22633" s="60"/>
    </row>
    <row r="22634" spans="7:24" ht="15" customHeight="1">
      <c r="G22634"/>
      <c r="I22634"/>
      <c r="N22634"/>
      <c r="O22634" s="24"/>
      <c r="P22634"/>
      <c r="Q22634" s="24"/>
      <c r="R22634"/>
      <c r="S22634"/>
      <c r="T22634"/>
      <c r="U22634"/>
      <c r="X22634" s="60"/>
    </row>
    <row r="22635" spans="7:24" ht="15" customHeight="1">
      <c r="G22635"/>
      <c r="I22635"/>
      <c r="N22635"/>
      <c r="O22635" s="24"/>
      <c r="P22635"/>
      <c r="Q22635" s="24"/>
      <c r="R22635"/>
      <c r="S22635"/>
      <c r="T22635"/>
      <c r="U22635"/>
      <c r="X22635" s="60"/>
    </row>
    <row r="22636" spans="7:24" ht="15" customHeight="1">
      <c r="G22636"/>
      <c r="I22636"/>
      <c r="N22636"/>
      <c r="O22636" s="24"/>
      <c r="P22636"/>
      <c r="Q22636" s="24"/>
      <c r="R22636"/>
      <c r="S22636"/>
      <c r="T22636"/>
      <c r="U22636"/>
      <c r="X22636" s="60"/>
    </row>
    <row r="22637" spans="7:24" ht="15" customHeight="1">
      <c r="G22637"/>
      <c r="I22637"/>
      <c r="N22637"/>
      <c r="O22637" s="24"/>
      <c r="P22637"/>
      <c r="Q22637" s="24"/>
      <c r="R22637"/>
      <c r="S22637"/>
      <c r="T22637"/>
      <c r="U22637"/>
      <c r="X22637" s="60"/>
    </row>
    <row r="22638" spans="7:24" ht="15" customHeight="1">
      <c r="G22638"/>
      <c r="I22638"/>
      <c r="N22638"/>
      <c r="O22638" s="24"/>
      <c r="P22638"/>
      <c r="Q22638" s="24"/>
      <c r="R22638"/>
      <c r="S22638"/>
      <c r="T22638"/>
      <c r="U22638"/>
      <c r="X22638" s="60"/>
    </row>
    <row r="22639" spans="7:24" ht="15" customHeight="1">
      <c r="G22639"/>
      <c r="I22639"/>
      <c r="N22639"/>
      <c r="O22639" s="24"/>
      <c r="P22639"/>
      <c r="Q22639" s="24"/>
      <c r="R22639"/>
      <c r="S22639"/>
      <c r="T22639"/>
      <c r="U22639"/>
      <c r="X22639" s="60"/>
    </row>
    <row r="22640" spans="7:24" ht="15" customHeight="1">
      <c r="G22640"/>
      <c r="I22640"/>
      <c r="N22640"/>
      <c r="O22640" s="24"/>
      <c r="P22640"/>
      <c r="Q22640" s="24"/>
      <c r="R22640"/>
      <c r="S22640"/>
      <c r="T22640"/>
      <c r="U22640"/>
      <c r="X22640" s="60"/>
    </row>
    <row r="22641" spans="7:24" ht="15" customHeight="1">
      <c r="G22641"/>
      <c r="I22641"/>
      <c r="N22641"/>
      <c r="O22641" s="24"/>
      <c r="P22641"/>
      <c r="Q22641" s="24"/>
      <c r="R22641"/>
      <c r="S22641"/>
      <c r="T22641"/>
      <c r="U22641"/>
      <c r="X22641" s="60"/>
    </row>
    <row r="22642" spans="7:24" ht="15" customHeight="1">
      <c r="G22642"/>
      <c r="I22642"/>
      <c r="N22642"/>
      <c r="O22642" s="24"/>
      <c r="P22642"/>
      <c r="Q22642" s="24"/>
      <c r="R22642"/>
      <c r="S22642"/>
      <c r="T22642"/>
      <c r="U22642"/>
      <c r="X22642" s="60"/>
    </row>
    <row r="22643" spans="7:24" ht="15" customHeight="1">
      <c r="G22643"/>
      <c r="I22643"/>
      <c r="N22643"/>
      <c r="O22643" s="24"/>
      <c r="P22643"/>
      <c r="Q22643" s="24"/>
      <c r="R22643"/>
      <c r="S22643"/>
      <c r="T22643"/>
      <c r="U22643"/>
      <c r="X22643" s="60"/>
    </row>
    <row r="22644" spans="7:24" ht="15" customHeight="1">
      <c r="G22644"/>
      <c r="I22644"/>
      <c r="N22644"/>
      <c r="O22644" s="24"/>
      <c r="P22644"/>
      <c r="Q22644" s="24"/>
      <c r="R22644"/>
      <c r="S22644"/>
      <c r="T22644"/>
      <c r="U22644"/>
      <c r="X22644" s="60"/>
    </row>
    <row r="22645" spans="7:24" ht="15" customHeight="1">
      <c r="G22645"/>
      <c r="I22645"/>
      <c r="N22645"/>
      <c r="O22645" s="24"/>
      <c r="P22645"/>
      <c r="Q22645" s="24"/>
      <c r="R22645"/>
      <c r="S22645"/>
      <c r="T22645"/>
      <c r="U22645"/>
      <c r="X22645" s="60"/>
    </row>
    <row r="22646" spans="7:24" ht="15" customHeight="1">
      <c r="G22646"/>
      <c r="I22646"/>
      <c r="N22646"/>
      <c r="O22646" s="24"/>
      <c r="P22646"/>
      <c r="Q22646" s="24"/>
      <c r="R22646"/>
      <c r="S22646"/>
      <c r="T22646"/>
      <c r="U22646"/>
      <c r="X22646" s="60"/>
    </row>
    <row r="22647" spans="7:24" ht="15" customHeight="1">
      <c r="G22647"/>
      <c r="I22647"/>
      <c r="N22647"/>
      <c r="O22647" s="24"/>
      <c r="P22647"/>
      <c r="Q22647" s="24"/>
      <c r="R22647"/>
      <c r="S22647"/>
      <c r="T22647"/>
      <c r="U22647"/>
      <c r="X22647" s="60"/>
    </row>
    <row r="22648" spans="7:24" ht="15" customHeight="1">
      <c r="G22648"/>
      <c r="I22648"/>
      <c r="N22648"/>
      <c r="O22648" s="24"/>
      <c r="P22648"/>
      <c r="Q22648" s="24"/>
      <c r="R22648"/>
      <c r="S22648"/>
      <c r="T22648"/>
      <c r="U22648"/>
      <c r="X22648" s="60"/>
    </row>
    <row r="22649" spans="7:24" ht="15" customHeight="1">
      <c r="G22649"/>
      <c r="I22649"/>
      <c r="N22649"/>
      <c r="O22649" s="24"/>
      <c r="P22649"/>
      <c r="Q22649" s="24"/>
      <c r="R22649"/>
      <c r="S22649"/>
      <c r="T22649"/>
      <c r="U22649"/>
      <c r="X22649" s="60"/>
    </row>
    <row r="22650" spans="7:24" ht="15" customHeight="1">
      <c r="G22650"/>
      <c r="I22650"/>
      <c r="N22650"/>
      <c r="O22650" s="24"/>
      <c r="P22650"/>
      <c r="Q22650" s="24"/>
      <c r="R22650"/>
      <c r="S22650"/>
      <c r="T22650"/>
      <c r="U22650"/>
      <c r="X22650" s="60"/>
    </row>
    <row r="22651" spans="7:24" ht="15" customHeight="1">
      <c r="G22651"/>
      <c r="I22651"/>
      <c r="N22651"/>
      <c r="O22651" s="24"/>
      <c r="P22651"/>
      <c r="Q22651" s="24"/>
      <c r="R22651"/>
      <c r="S22651"/>
      <c r="T22651"/>
      <c r="U22651"/>
      <c r="X22651" s="60"/>
    </row>
    <row r="22652" spans="7:24" ht="15" customHeight="1">
      <c r="G22652"/>
      <c r="I22652"/>
      <c r="N22652"/>
      <c r="O22652" s="24"/>
      <c r="P22652"/>
      <c r="Q22652" s="24"/>
      <c r="R22652"/>
      <c r="S22652"/>
      <c r="T22652"/>
      <c r="U22652"/>
      <c r="X22652" s="60"/>
    </row>
    <row r="22653" spans="7:24" ht="15" customHeight="1">
      <c r="G22653"/>
      <c r="I22653"/>
      <c r="N22653"/>
      <c r="O22653" s="24"/>
      <c r="P22653"/>
      <c r="Q22653" s="24"/>
      <c r="R22653"/>
      <c r="S22653"/>
      <c r="T22653"/>
      <c r="U22653"/>
      <c r="X22653" s="60"/>
    </row>
    <row r="22654" spans="7:24" ht="15" customHeight="1">
      <c r="G22654"/>
      <c r="I22654"/>
      <c r="N22654"/>
      <c r="O22654" s="24"/>
      <c r="P22654"/>
      <c r="Q22654" s="24"/>
      <c r="R22654"/>
      <c r="S22654"/>
      <c r="T22654"/>
      <c r="U22654"/>
      <c r="X22654" s="60"/>
    </row>
    <row r="22655" spans="7:24" ht="15" customHeight="1">
      <c r="G22655"/>
      <c r="I22655"/>
      <c r="N22655"/>
      <c r="O22655" s="24"/>
      <c r="P22655"/>
      <c r="Q22655" s="24"/>
      <c r="R22655"/>
      <c r="S22655"/>
      <c r="T22655"/>
      <c r="U22655"/>
      <c r="X22655" s="60"/>
    </row>
    <row r="22656" spans="7:24" ht="15" customHeight="1">
      <c r="G22656"/>
      <c r="I22656"/>
      <c r="N22656"/>
      <c r="O22656" s="24"/>
      <c r="P22656"/>
      <c r="Q22656" s="24"/>
      <c r="R22656"/>
      <c r="S22656"/>
      <c r="T22656"/>
      <c r="U22656"/>
      <c r="X22656" s="60"/>
    </row>
    <row r="22657" spans="7:24" ht="15" customHeight="1">
      <c r="G22657"/>
      <c r="I22657"/>
      <c r="N22657"/>
      <c r="O22657" s="24"/>
      <c r="P22657"/>
      <c r="Q22657" s="24"/>
      <c r="R22657"/>
      <c r="S22657"/>
      <c r="T22657"/>
      <c r="U22657"/>
      <c r="X22657" s="60"/>
    </row>
    <row r="22658" spans="7:24" ht="15" customHeight="1">
      <c r="G22658"/>
      <c r="I22658"/>
      <c r="N22658"/>
      <c r="O22658" s="24"/>
      <c r="P22658"/>
      <c r="Q22658" s="24"/>
      <c r="R22658"/>
      <c r="S22658"/>
      <c r="T22658"/>
      <c r="U22658"/>
      <c r="X22658" s="60"/>
    </row>
    <row r="22659" spans="7:24" ht="15" customHeight="1">
      <c r="G22659"/>
      <c r="I22659"/>
      <c r="N22659"/>
      <c r="O22659" s="24"/>
      <c r="P22659"/>
      <c r="Q22659" s="24"/>
      <c r="R22659"/>
      <c r="S22659"/>
      <c r="T22659"/>
      <c r="U22659"/>
      <c r="X22659" s="60"/>
    </row>
    <row r="22660" spans="7:24" ht="15" customHeight="1">
      <c r="G22660"/>
      <c r="I22660"/>
      <c r="N22660"/>
      <c r="O22660" s="24"/>
      <c r="P22660"/>
      <c r="Q22660" s="24"/>
      <c r="R22660"/>
      <c r="S22660"/>
      <c r="T22660"/>
      <c r="U22660"/>
      <c r="X22660" s="60"/>
    </row>
    <row r="22661" spans="7:24" ht="15" customHeight="1">
      <c r="G22661"/>
      <c r="I22661"/>
      <c r="N22661"/>
      <c r="O22661" s="24"/>
      <c r="P22661"/>
      <c r="Q22661" s="24"/>
      <c r="R22661"/>
      <c r="S22661"/>
      <c r="T22661"/>
      <c r="U22661"/>
      <c r="X22661" s="60"/>
    </row>
    <row r="22662" spans="7:24" ht="15" customHeight="1">
      <c r="G22662"/>
      <c r="I22662"/>
      <c r="N22662"/>
      <c r="O22662" s="24"/>
      <c r="P22662"/>
      <c r="Q22662" s="24"/>
      <c r="R22662"/>
      <c r="S22662"/>
      <c r="T22662"/>
      <c r="U22662"/>
      <c r="X22662" s="60"/>
    </row>
    <row r="22663" spans="7:24" ht="15" customHeight="1">
      <c r="G22663"/>
      <c r="I22663"/>
      <c r="N22663"/>
      <c r="O22663" s="24"/>
      <c r="P22663"/>
      <c r="Q22663" s="24"/>
      <c r="R22663"/>
      <c r="S22663"/>
      <c r="T22663"/>
      <c r="U22663"/>
      <c r="X22663" s="60"/>
    </row>
    <row r="22664" spans="7:24" ht="15" customHeight="1">
      <c r="G22664"/>
      <c r="I22664"/>
      <c r="N22664"/>
      <c r="O22664" s="24"/>
      <c r="P22664"/>
      <c r="Q22664" s="24"/>
      <c r="R22664"/>
      <c r="S22664"/>
      <c r="T22664"/>
      <c r="U22664"/>
      <c r="X22664" s="60"/>
    </row>
    <row r="22665" spans="7:24" ht="15" customHeight="1">
      <c r="G22665"/>
      <c r="I22665"/>
      <c r="N22665"/>
      <c r="O22665" s="24"/>
      <c r="P22665"/>
      <c r="Q22665" s="24"/>
      <c r="R22665"/>
      <c r="S22665"/>
      <c r="T22665"/>
      <c r="U22665"/>
      <c r="X22665" s="60"/>
    </row>
    <row r="22666" spans="7:24" ht="15" customHeight="1">
      <c r="G22666"/>
      <c r="I22666"/>
      <c r="N22666"/>
      <c r="O22666" s="24"/>
      <c r="P22666"/>
      <c r="Q22666" s="24"/>
      <c r="R22666"/>
      <c r="S22666"/>
      <c r="T22666"/>
      <c r="U22666"/>
      <c r="X22666" s="60"/>
    </row>
    <row r="22667" spans="7:24" ht="15" customHeight="1">
      <c r="G22667"/>
      <c r="I22667"/>
      <c r="N22667"/>
      <c r="O22667" s="24"/>
      <c r="P22667"/>
      <c r="Q22667" s="24"/>
      <c r="R22667"/>
      <c r="S22667"/>
      <c r="T22667"/>
      <c r="U22667"/>
      <c r="X22667" s="60"/>
    </row>
    <row r="22668" spans="7:24" ht="15" customHeight="1">
      <c r="G22668"/>
      <c r="I22668"/>
      <c r="N22668"/>
      <c r="O22668" s="24"/>
      <c r="P22668"/>
      <c r="Q22668" s="24"/>
      <c r="R22668"/>
      <c r="S22668"/>
      <c r="T22668"/>
      <c r="U22668"/>
      <c r="X22668" s="60"/>
    </row>
    <row r="22669" spans="7:24" ht="15" customHeight="1">
      <c r="G22669"/>
      <c r="I22669"/>
      <c r="N22669"/>
      <c r="O22669" s="24"/>
      <c r="P22669"/>
      <c r="Q22669" s="24"/>
      <c r="R22669"/>
      <c r="S22669"/>
      <c r="T22669"/>
      <c r="U22669"/>
      <c r="X22669" s="60"/>
    </row>
    <row r="22670" spans="7:24" ht="15" customHeight="1">
      <c r="G22670"/>
      <c r="I22670"/>
      <c r="N22670"/>
      <c r="O22670" s="24"/>
      <c r="P22670"/>
      <c r="Q22670" s="24"/>
      <c r="R22670"/>
      <c r="S22670"/>
      <c r="T22670"/>
      <c r="U22670"/>
      <c r="X22670" s="60"/>
    </row>
    <row r="22671" spans="7:24" ht="15" customHeight="1">
      <c r="G22671"/>
      <c r="I22671"/>
      <c r="N22671"/>
      <c r="O22671" s="24"/>
      <c r="P22671"/>
      <c r="Q22671" s="24"/>
      <c r="R22671"/>
      <c r="S22671"/>
      <c r="T22671"/>
      <c r="U22671"/>
      <c r="X22671" s="60"/>
    </row>
    <row r="22672" spans="7:24" ht="15" customHeight="1">
      <c r="G22672"/>
      <c r="I22672"/>
      <c r="N22672"/>
      <c r="O22672" s="24"/>
      <c r="P22672"/>
      <c r="Q22672" s="24"/>
      <c r="R22672"/>
      <c r="S22672"/>
      <c r="T22672"/>
      <c r="U22672"/>
      <c r="X22672" s="60"/>
    </row>
    <row r="22673" spans="7:24" ht="15" customHeight="1">
      <c r="G22673"/>
      <c r="I22673"/>
      <c r="N22673"/>
      <c r="O22673" s="24"/>
      <c r="P22673"/>
      <c r="Q22673" s="24"/>
      <c r="R22673"/>
      <c r="S22673"/>
      <c r="T22673"/>
      <c r="U22673"/>
      <c r="X22673" s="60"/>
    </row>
    <row r="22674" spans="7:24" ht="15" customHeight="1">
      <c r="G22674"/>
      <c r="I22674"/>
      <c r="N22674"/>
      <c r="O22674" s="24"/>
      <c r="P22674"/>
      <c r="Q22674" s="24"/>
      <c r="R22674"/>
      <c r="S22674"/>
      <c r="T22674"/>
      <c r="U22674"/>
      <c r="X22674" s="60"/>
    </row>
    <row r="22675" spans="7:24" ht="15" customHeight="1">
      <c r="G22675"/>
      <c r="I22675"/>
      <c r="N22675"/>
      <c r="O22675" s="24"/>
      <c r="P22675"/>
      <c r="Q22675" s="24"/>
      <c r="R22675"/>
      <c r="S22675"/>
      <c r="T22675"/>
      <c r="U22675"/>
      <c r="X22675" s="60"/>
    </row>
    <row r="22676" spans="7:24" ht="15" customHeight="1">
      <c r="G22676"/>
      <c r="I22676"/>
      <c r="N22676"/>
      <c r="O22676" s="24"/>
      <c r="P22676"/>
      <c r="Q22676" s="24"/>
      <c r="R22676"/>
      <c r="S22676"/>
      <c r="T22676"/>
      <c r="U22676"/>
      <c r="X22676" s="60"/>
    </row>
    <row r="22677" spans="7:24" ht="15" customHeight="1">
      <c r="G22677"/>
      <c r="I22677"/>
      <c r="N22677"/>
      <c r="O22677" s="24"/>
      <c r="P22677"/>
      <c r="Q22677" s="24"/>
      <c r="R22677"/>
      <c r="S22677"/>
      <c r="T22677"/>
      <c r="U22677"/>
      <c r="X22677" s="60"/>
    </row>
    <row r="22678" spans="7:24" ht="15" customHeight="1">
      <c r="G22678"/>
      <c r="I22678"/>
      <c r="N22678"/>
      <c r="O22678" s="24"/>
      <c r="P22678"/>
      <c r="Q22678" s="24"/>
      <c r="R22678"/>
      <c r="S22678"/>
      <c r="T22678"/>
      <c r="U22678"/>
      <c r="X22678" s="60"/>
    </row>
    <row r="22679" spans="7:24" ht="15" customHeight="1">
      <c r="G22679"/>
      <c r="I22679"/>
      <c r="N22679"/>
      <c r="O22679" s="24"/>
      <c r="P22679"/>
      <c r="Q22679" s="24"/>
      <c r="R22679"/>
      <c r="S22679"/>
      <c r="T22679"/>
      <c r="U22679"/>
      <c r="X22679" s="60"/>
    </row>
    <row r="22680" spans="7:24" ht="15" customHeight="1">
      <c r="G22680"/>
      <c r="I22680"/>
      <c r="N22680"/>
      <c r="O22680" s="24"/>
      <c r="P22680"/>
      <c r="Q22680" s="24"/>
      <c r="R22680"/>
      <c r="S22680"/>
      <c r="T22680"/>
      <c r="U22680"/>
      <c r="X22680" s="60"/>
    </row>
    <row r="22681" spans="7:24" ht="15" customHeight="1">
      <c r="G22681"/>
      <c r="I22681"/>
      <c r="N22681"/>
      <c r="O22681" s="24"/>
      <c r="P22681"/>
      <c r="Q22681" s="24"/>
      <c r="R22681"/>
      <c r="S22681"/>
      <c r="T22681"/>
      <c r="U22681"/>
      <c r="X22681" s="60"/>
    </row>
    <row r="22682" spans="7:24" ht="15" customHeight="1">
      <c r="G22682"/>
      <c r="I22682"/>
      <c r="N22682"/>
      <c r="O22682" s="24"/>
      <c r="P22682"/>
      <c r="Q22682" s="24"/>
      <c r="R22682"/>
      <c r="S22682"/>
      <c r="T22682"/>
      <c r="U22682"/>
      <c r="X22682" s="60"/>
    </row>
    <row r="22683" spans="7:24" ht="15" customHeight="1">
      <c r="G22683"/>
      <c r="I22683"/>
      <c r="N22683"/>
      <c r="O22683" s="24"/>
      <c r="P22683"/>
      <c r="Q22683" s="24"/>
      <c r="R22683"/>
      <c r="S22683"/>
      <c r="T22683"/>
      <c r="U22683"/>
      <c r="X22683" s="60"/>
    </row>
    <row r="22684" spans="7:24" ht="15" customHeight="1">
      <c r="G22684"/>
      <c r="I22684"/>
      <c r="N22684"/>
      <c r="O22684" s="24"/>
      <c r="P22684"/>
      <c r="Q22684" s="24"/>
      <c r="R22684"/>
      <c r="S22684"/>
      <c r="T22684"/>
      <c r="U22684"/>
      <c r="X22684" s="60"/>
    </row>
    <row r="22685" spans="7:24" ht="15" customHeight="1">
      <c r="G22685"/>
      <c r="I22685"/>
      <c r="N22685"/>
      <c r="O22685" s="24"/>
      <c r="P22685"/>
      <c r="Q22685" s="24"/>
      <c r="R22685"/>
      <c r="S22685"/>
      <c r="T22685"/>
      <c r="U22685"/>
      <c r="X22685" s="60"/>
    </row>
    <row r="22686" spans="7:24" ht="15" customHeight="1">
      <c r="G22686"/>
      <c r="I22686"/>
      <c r="N22686"/>
      <c r="O22686" s="24"/>
      <c r="P22686"/>
      <c r="Q22686" s="24"/>
      <c r="R22686"/>
      <c r="S22686"/>
      <c r="T22686"/>
      <c r="U22686"/>
      <c r="X22686" s="60"/>
    </row>
    <row r="22687" spans="7:24" ht="15" customHeight="1">
      <c r="G22687"/>
      <c r="I22687"/>
      <c r="N22687"/>
      <c r="O22687" s="24"/>
      <c r="P22687"/>
      <c r="Q22687" s="24"/>
      <c r="R22687"/>
      <c r="S22687"/>
      <c r="T22687"/>
      <c r="U22687"/>
      <c r="X22687" s="60"/>
    </row>
    <row r="22688" spans="7:24" ht="15" customHeight="1">
      <c r="G22688"/>
      <c r="I22688"/>
      <c r="N22688"/>
      <c r="O22688" s="24"/>
      <c r="P22688"/>
      <c r="Q22688" s="24"/>
      <c r="R22688"/>
      <c r="S22688"/>
      <c r="T22688"/>
      <c r="U22688"/>
      <c r="X22688" s="60"/>
    </row>
    <row r="22689" spans="7:24" ht="15" customHeight="1">
      <c r="G22689"/>
      <c r="I22689"/>
      <c r="N22689"/>
      <c r="O22689" s="24"/>
      <c r="P22689"/>
      <c r="Q22689" s="24"/>
      <c r="R22689"/>
      <c r="S22689"/>
      <c r="T22689"/>
      <c r="U22689"/>
      <c r="X22689" s="60"/>
    </row>
    <row r="22690" spans="7:24" ht="15" customHeight="1">
      <c r="G22690"/>
      <c r="I22690"/>
      <c r="N22690"/>
      <c r="O22690" s="24"/>
      <c r="P22690"/>
      <c r="Q22690" s="24"/>
      <c r="R22690"/>
      <c r="S22690"/>
      <c r="T22690"/>
      <c r="U22690"/>
      <c r="X22690" s="60"/>
    </row>
    <row r="22691" spans="7:24" ht="15" customHeight="1">
      <c r="G22691"/>
      <c r="I22691"/>
      <c r="N22691"/>
      <c r="O22691" s="24"/>
      <c r="P22691"/>
      <c r="Q22691" s="24"/>
      <c r="R22691"/>
      <c r="S22691"/>
      <c r="T22691"/>
      <c r="U22691"/>
      <c r="X22691" s="60"/>
    </row>
    <row r="22692" spans="7:24" ht="15" customHeight="1">
      <c r="G22692"/>
      <c r="I22692"/>
      <c r="N22692"/>
      <c r="O22692" s="24"/>
      <c r="P22692"/>
      <c r="Q22692" s="24"/>
      <c r="R22692"/>
      <c r="S22692"/>
      <c r="T22692"/>
      <c r="U22692"/>
      <c r="X22692" s="60"/>
    </row>
    <row r="22693" spans="7:24" ht="15" customHeight="1">
      <c r="G22693"/>
      <c r="I22693"/>
      <c r="N22693"/>
      <c r="O22693" s="24"/>
      <c r="P22693"/>
      <c r="Q22693" s="24"/>
      <c r="R22693"/>
      <c r="S22693"/>
      <c r="T22693"/>
      <c r="U22693"/>
      <c r="X22693" s="60"/>
    </row>
    <row r="22694" spans="7:24" ht="15" customHeight="1">
      <c r="G22694"/>
      <c r="I22694"/>
      <c r="N22694"/>
      <c r="O22694" s="24"/>
      <c r="P22694"/>
      <c r="Q22694" s="24"/>
      <c r="R22694"/>
      <c r="S22694"/>
      <c r="T22694"/>
      <c r="U22694"/>
      <c r="X22694" s="60"/>
    </row>
    <row r="22695" spans="7:24" ht="15" customHeight="1">
      <c r="G22695"/>
      <c r="I22695"/>
      <c r="N22695"/>
      <c r="O22695" s="24"/>
      <c r="P22695"/>
      <c r="Q22695" s="24"/>
      <c r="R22695"/>
      <c r="S22695"/>
      <c r="T22695"/>
      <c r="U22695"/>
      <c r="X22695" s="60"/>
    </row>
    <row r="22696" spans="7:24" ht="15" customHeight="1">
      <c r="G22696"/>
      <c r="I22696"/>
      <c r="N22696"/>
      <c r="O22696" s="24"/>
      <c r="P22696"/>
      <c r="Q22696" s="24"/>
      <c r="R22696"/>
      <c r="S22696"/>
      <c r="T22696"/>
      <c r="U22696"/>
      <c r="X22696" s="60"/>
    </row>
    <row r="22697" spans="7:24" ht="15" customHeight="1">
      <c r="G22697"/>
      <c r="I22697"/>
      <c r="N22697"/>
      <c r="O22697" s="24"/>
      <c r="P22697"/>
      <c r="Q22697" s="24"/>
      <c r="R22697"/>
      <c r="S22697"/>
      <c r="T22697"/>
      <c r="U22697"/>
      <c r="X22697" s="60"/>
    </row>
    <row r="22698" spans="7:24" ht="15" customHeight="1">
      <c r="G22698"/>
      <c r="I22698"/>
      <c r="N22698"/>
      <c r="O22698" s="24"/>
      <c r="P22698"/>
      <c r="Q22698" s="24"/>
      <c r="R22698"/>
      <c r="S22698"/>
      <c r="T22698"/>
      <c r="U22698"/>
      <c r="X22698" s="60"/>
    </row>
    <row r="22699" spans="7:24" ht="15" customHeight="1">
      <c r="G22699"/>
      <c r="I22699"/>
      <c r="N22699"/>
      <c r="O22699" s="24"/>
      <c r="P22699"/>
      <c r="Q22699" s="24"/>
      <c r="R22699"/>
      <c r="S22699"/>
      <c r="T22699"/>
      <c r="U22699"/>
      <c r="X22699" s="60"/>
    </row>
    <row r="22700" spans="7:24" ht="15" customHeight="1">
      <c r="G22700"/>
      <c r="I22700"/>
      <c r="N22700"/>
      <c r="O22700" s="24"/>
      <c r="P22700"/>
      <c r="Q22700" s="24"/>
      <c r="R22700"/>
      <c r="S22700"/>
      <c r="T22700"/>
      <c r="U22700"/>
      <c r="X22700" s="60"/>
    </row>
    <row r="22701" spans="7:24" ht="15" customHeight="1">
      <c r="G22701"/>
      <c r="I22701"/>
      <c r="N22701"/>
      <c r="O22701" s="24"/>
      <c r="P22701"/>
      <c r="Q22701" s="24"/>
      <c r="R22701"/>
      <c r="S22701"/>
      <c r="T22701"/>
      <c r="U22701"/>
      <c r="X22701" s="60"/>
    </row>
    <row r="22702" spans="7:24" ht="15" customHeight="1">
      <c r="G22702"/>
      <c r="I22702"/>
      <c r="N22702"/>
      <c r="O22702" s="24"/>
      <c r="P22702"/>
      <c r="Q22702" s="24"/>
      <c r="R22702"/>
      <c r="S22702"/>
      <c r="T22702"/>
      <c r="U22702"/>
      <c r="X22702" s="60"/>
    </row>
    <row r="22703" spans="7:24" ht="15" customHeight="1">
      <c r="G22703"/>
      <c r="I22703"/>
      <c r="N22703"/>
      <c r="O22703" s="24"/>
      <c r="P22703"/>
      <c r="Q22703" s="24"/>
      <c r="R22703"/>
      <c r="S22703"/>
      <c r="T22703"/>
      <c r="U22703"/>
      <c r="X22703" s="60"/>
    </row>
    <row r="22704" spans="7:24" ht="15" customHeight="1">
      <c r="G22704"/>
      <c r="I22704"/>
      <c r="N22704"/>
      <c r="O22704" s="24"/>
      <c r="P22704"/>
      <c r="Q22704" s="24"/>
      <c r="R22704"/>
      <c r="S22704"/>
      <c r="T22704"/>
      <c r="U22704"/>
      <c r="X22704" s="60"/>
    </row>
    <row r="22705" spans="7:24" ht="15" customHeight="1">
      <c r="G22705"/>
      <c r="I22705"/>
      <c r="N22705"/>
      <c r="O22705" s="24"/>
      <c r="P22705"/>
      <c r="Q22705" s="24"/>
      <c r="R22705"/>
      <c r="S22705"/>
      <c r="T22705"/>
      <c r="U22705"/>
      <c r="X22705" s="60"/>
    </row>
    <row r="22706" spans="7:24" ht="15" customHeight="1">
      <c r="G22706"/>
      <c r="I22706"/>
      <c r="N22706"/>
      <c r="O22706" s="24"/>
      <c r="P22706"/>
      <c r="Q22706" s="24"/>
      <c r="R22706"/>
      <c r="S22706"/>
      <c r="T22706"/>
      <c r="U22706"/>
      <c r="X22706" s="60"/>
    </row>
    <row r="22707" spans="7:24" ht="15" customHeight="1">
      <c r="G22707"/>
      <c r="I22707"/>
      <c r="N22707"/>
      <c r="O22707" s="24"/>
      <c r="P22707"/>
      <c r="Q22707" s="24"/>
      <c r="R22707"/>
      <c r="S22707"/>
      <c r="T22707"/>
      <c r="U22707"/>
      <c r="X22707" s="60"/>
    </row>
    <row r="22708" spans="7:24" ht="15" customHeight="1">
      <c r="G22708"/>
      <c r="I22708"/>
      <c r="N22708"/>
      <c r="O22708" s="24"/>
      <c r="P22708"/>
      <c r="Q22708" s="24"/>
      <c r="R22708"/>
      <c r="S22708"/>
      <c r="T22708"/>
      <c r="U22708"/>
      <c r="X22708" s="60"/>
    </row>
    <row r="22709" spans="7:24" ht="15" customHeight="1">
      <c r="G22709"/>
      <c r="I22709"/>
      <c r="N22709"/>
      <c r="O22709" s="24"/>
      <c r="P22709"/>
      <c r="Q22709" s="24"/>
      <c r="R22709"/>
      <c r="S22709"/>
      <c r="T22709"/>
      <c r="U22709"/>
      <c r="X22709" s="60"/>
    </row>
    <row r="22710" spans="7:24" ht="15" customHeight="1">
      <c r="G22710"/>
      <c r="I22710"/>
      <c r="N22710"/>
      <c r="O22710" s="24"/>
      <c r="P22710"/>
      <c r="Q22710" s="24"/>
      <c r="R22710"/>
      <c r="S22710"/>
      <c r="T22710"/>
      <c r="U22710"/>
      <c r="X22710" s="60"/>
    </row>
    <row r="22711" spans="7:24" ht="15" customHeight="1">
      <c r="G22711"/>
      <c r="I22711"/>
      <c r="N22711"/>
      <c r="O22711" s="24"/>
      <c r="P22711"/>
      <c r="Q22711" s="24"/>
      <c r="R22711"/>
      <c r="S22711"/>
      <c r="T22711"/>
      <c r="U22711"/>
      <c r="X22711" s="60"/>
    </row>
    <row r="22712" spans="7:24" ht="15" customHeight="1">
      <c r="G22712"/>
      <c r="I22712"/>
      <c r="N22712"/>
      <c r="O22712" s="24"/>
      <c r="P22712"/>
      <c r="Q22712" s="24"/>
      <c r="R22712"/>
      <c r="S22712"/>
      <c r="T22712"/>
      <c r="U22712"/>
      <c r="X22712" s="60"/>
    </row>
    <row r="22713" spans="7:24" ht="15" customHeight="1">
      <c r="G22713"/>
      <c r="I22713"/>
      <c r="N22713"/>
      <c r="O22713" s="24"/>
      <c r="P22713"/>
      <c r="Q22713" s="24"/>
      <c r="R22713"/>
      <c r="S22713"/>
      <c r="T22713"/>
      <c r="U22713"/>
      <c r="X22713" s="60"/>
    </row>
    <row r="22714" spans="7:24" ht="15" customHeight="1">
      <c r="G22714"/>
      <c r="I22714"/>
      <c r="N22714"/>
      <c r="O22714" s="24"/>
      <c r="P22714"/>
      <c r="Q22714" s="24"/>
      <c r="R22714"/>
      <c r="S22714"/>
      <c r="T22714"/>
      <c r="U22714"/>
      <c r="X22714" s="60"/>
    </row>
    <row r="22715" spans="7:24" ht="15" customHeight="1">
      <c r="G22715"/>
      <c r="I22715"/>
      <c r="N22715"/>
      <c r="O22715" s="24"/>
      <c r="P22715"/>
      <c r="Q22715" s="24"/>
      <c r="R22715"/>
      <c r="S22715"/>
      <c r="T22715"/>
      <c r="U22715"/>
      <c r="X22715" s="60"/>
    </row>
    <row r="22716" spans="7:24" ht="15" customHeight="1">
      <c r="G22716"/>
      <c r="I22716"/>
      <c r="N22716"/>
      <c r="O22716" s="24"/>
      <c r="P22716"/>
      <c r="Q22716" s="24"/>
      <c r="R22716"/>
      <c r="S22716"/>
      <c r="T22716"/>
      <c r="U22716"/>
      <c r="X22716" s="60"/>
    </row>
    <row r="22717" spans="7:24" ht="15" customHeight="1">
      <c r="G22717"/>
      <c r="I22717"/>
      <c r="N22717"/>
      <c r="O22717" s="24"/>
      <c r="P22717"/>
      <c r="Q22717" s="24"/>
      <c r="R22717"/>
      <c r="S22717"/>
      <c r="T22717"/>
      <c r="U22717"/>
      <c r="X22717" s="60"/>
    </row>
    <row r="22718" spans="7:24" ht="15" customHeight="1">
      <c r="G22718"/>
      <c r="I22718"/>
      <c r="N22718"/>
      <c r="O22718" s="24"/>
      <c r="P22718"/>
      <c r="Q22718" s="24"/>
      <c r="R22718"/>
      <c r="S22718"/>
      <c r="T22718"/>
      <c r="U22718"/>
      <c r="X22718" s="60"/>
    </row>
    <row r="22719" spans="7:24" ht="15" customHeight="1">
      <c r="G22719"/>
      <c r="I22719"/>
      <c r="N22719"/>
      <c r="O22719" s="24"/>
      <c r="P22719"/>
      <c r="Q22719" s="24"/>
      <c r="R22719"/>
      <c r="S22719"/>
      <c r="T22719"/>
      <c r="U22719"/>
      <c r="X22719" s="60"/>
    </row>
    <row r="22720" spans="7:24" ht="15" customHeight="1">
      <c r="G22720"/>
      <c r="I22720"/>
      <c r="N22720"/>
      <c r="O22720" s="24"/>
      <c r="P22720"/>
      <c r="Q22720" s="24"/>
      <c r="R22720"/>
      <c r="S22720"/>
      <c r="T22720"/>
      <c r="U22720"/>
      <c r="X22720" s="60"/>
    </row>
    <row r="22721" spans="7:24" ht="15" customHeight="1">
      <c r="G22721"/>
      <c r="I22721"/>
      <c r="N22721"/>
      <c r="O22721" s="24"/>
      <c r="P22721"/>
      <c r="Q22721" s="24"/>
      <c r="R22721"/>
      <c r="S22721"/>
      <c r="T22721"/>
      <c r="U22721"/>
      <c r="X22721" s="60"/>
    </row>
    <row r="22722" spans="7:24" ht="15" customHeight="1">
      <c r="G22722"/>
      <c r="I22722"/>
      <c r="N22722"/>
      <c r="O22722" s="24"/>
      <c r="P22722"/>
      <c r="Q22722" s="24"/>
      <c r="R22722"/>
      <c r="S22722"/>
      <c r="T22722"/>
      <c r="U22722"/>
      <c r="X22722" s="60"/>
    </row>
    <row r="22723" spans="7:24" ht="15" customHeight="1">
      <c r="G22723"/>
      <c r="I22723"/>
      <c r="N22723"/>
      <c r="O22723" s="24"/>
      <c r="P22723"/>
      <c r="Q22723" s="24"/>
      <c r="R22723"/>
      <c r="S22723"/>
      <c r="T22723"/>
      <c r="U22723"/>
      <c r="X22723" s="60"/>
    </row>
    <row r="22724" spans="7:24" ht="15" customHeight="1">
      <c r="G22724"/>
      <c r="I22724"/>
      <c r="N22724"/>
      <c r="O22724" s="24"/>
      <c r="P22724"/>
      <c r="Q22724" s="24"/>
      <c r="R22724"/>
      <c r="S22724"/>
      <c r="T22724"/>
      <c r="U22724"/>
      <c r="X22724" s="60"/>
    </row>
    <row r="22725" spans="7:24" ht="15" customHeight="1">
      <c r="G22725"/>
      <c r="I22725"/>
      <c r="N22725"/>
      <c r="O22725" s="24"/>
      <c r="P22725"/>
      <c r="Q22725" s="24"/>
      <c r="R22725"/>
      <c r="S22725"/>
      <c r="T22725"/>
      <c r="U22725"/>
      <c r="X22725" s="60"/>
    </row>
    <row r="22726" spans="7:24" ht="15" customHeight="1">
      <c r="G22726"/>
      <c r="I22726"/>
      <c r="N22726"/>
      <c r="O22726" s="24"/>
      <c r="P22726"/>
      <c r="Q22726" s="24"/>
      <c r="R22726"/>
      <c r="S22726"/>
      <c r="T22726"/>
      <c r="U22726"/>
      <c r="X22726" s="60"/>
    </row>
    <row r="22727" spans="7:24" ht="15" customHeight="1">
      <c r="G22727"/>
      <c r="I22727"/>
      <c r="N22727"/>
      <c r="O22727" s="24"/>
      <c r="P22727"/>
      <c r="Q22727" s="24"/>
      <c r="R22727"/>
      <c r="S22727"/>
      <c r="T22727"/>
      <c r="U22727"/>
      <c r="X22727" s="60"/>
    </row>
    <row r="22728" spans="7:24" ht="15" customHeight="1">
      <c r="G22728"/>
      <c r="I22728"/>
      <c r="N22728"/>
      <c r="O22728" s="24"/>
      <c r="P22728"/>
      <c r="Q22728" s="24"/>
      <c r="R22728"/>
      <c r="S22728"/>
      <c r="T22728"/>
      <c r="U22728"/>
      <c r="X22728" s="60"/>
    </row>
    <row r="22729" spans="7:24" ht="15" customHeight="1">
      <c r="G22729"/>
      <c r="I22729"/>
      <c r="N22729"/>
      <c r="O22729" s="24"/>
      <c r="P22729"/>
      <c r="Q22729" s="24"/>
      <c r="R22729"/>
      <c r="S22729"/>
      <c r="T22729"/>
      <c r="U22729"/>
      <c r="X22729" s="60"/>
    </row>
    <row r="22730" spans="7:24" ht="15" customHeight="1">
      <c r="G22730"/>
      <c r="I22730"/>
      <c r="N22730"/>
      <c r="O22730" s="24"/>
      <c r="P22730"/>
      <c r="Q22730" s="24"/>
      <c r="R22730"/>
      <c r="S22730"/>
      <c r="T22730"/>
      <c r="U22730"/>
      <c r="X22730" s="60"/>
    </row>
    <row r="22731" spans="7:24" ht="15" customHeight="1">
      <c r="G22731"/>
      <c r="I22731"/>
      <c r="N22731"/>
      <c r="O22731" s="24"/>
      <c r="P22731"/>
      <c r="Q22731" s="24"/>
      <c r="R22731"/>
      <c r="S22731"/>
      <c r="T22731"/>
      <c r="U22731"/>
      <c r="X22731" s="60"/>
    </row>
    <row r="22732" spans="7:24" ht="15" customHeight="1">
      <c r="G22732"/>
      <c r="I22732"/>
      <c r="N22732"/>
      <c r="O22732" s="24"/>
      <c r="P22732"/>
      <c r="Q22732" s="24"/>
      <c r="R22732"/>
      <c r="S22732"/>
      <c r="T22732"/>
      <c r="U22732"/>
      <c r="X22732" s="60"/>
    </row>
    <row r="22733" spans="7:24" ht="15" customHeight="1">
      <c r="G22733"/>
      <c r="I22733"/>
      <c r="N22733"/>
      <c r="O22733" s="24"/>
      <c r="P22733"/>
      <c r="Q22733" s="24"/>
      <c r="R22733"/>
      <c r="S22733"/>
      <c r="T22733"/>
      <c r="U22733"/>
      <c r="X22733" s="60"/>
    </row>
    <row r="22734" spans="7:24" ht="15" customHeight="1">
      <c r="G22734"/>
      <c r="I22734"/>
      <c r="N22734"/>
      <c r="O22734" s="24"/>
      <c r="P22734"/>
      <c r="Q22734" s="24"/>
      <c r="R22734"/>
      <c r="S22734"/>
      <c r="T22734"/>
      <c r="U22734"/>
      <c r="X22734" s="60"/>
    </row>
    <row r="22735" spans="7:24" ht="15" customHeight="1">
      <c r="G22735"/>
      <c r="I22735"/>
      <c r="N22735"/>
      <c r="O22735" s="24"/>
      <c r="P22735"/>
      <c r="Q22735" s="24"/>
      <c r="R22735"/>
      <c r="S22735"/>
      <c r="T22735"/>
      <c r="U22735"/>
      <c r="X22735" s="60"/>
    </row>
    <row r="22736" spans="7:24" ht="15" customHeight="1">
      <c r="G22736"/>
      <c r="I22736"/>
      <c r="N22736"/>
      <c r="O22736" s="24"/>
      <c r="P22736"/>
      <c r="Q22736" s="24"/>
      <c r="R22736"/>
      <c r="S22736"/>
      <c r="T22736"/>
      <c r="U22736"/>
      <c r="X22736" s="60"/>
    </row>
    <row r="22737" spans="7:24" ht="15" customHeight="1">
      <c r="G22737"/>
      <c r="I22737"/>
      <c r="N22737"/>
      <c r="O22737" s="24"/>
      <c r="P22737"/>
      <c r="Q22737" s="24"/>
      <c r="R22737"/>
      <c r="S22737"/>
      <c r="T22737"/>
      <c r="U22737"/>
      <c r="X22737" s="60"/>
    </row>
    <row r="22738" spans="7:24" ht="15" customHeight="1">
      <c r="G22738"/>
      <c r="I22738"/>
      <c r="N22738"/>
      <c r="O22738" s="24"/>
      <c r="P22738"/>
      <c r="Q22738" s="24"/>
      <c r="R22738"/>
      <c r="S22738"/>
      <c r="T22738"/>
      <c r="U22738"/>
      <c r="X22738" s="60"/>
    </row>
    <row r="22739" spans="7:24" ht="15" customHeight="1">
      <c r="G22739"/>
      <c r="I22739"/>
      <c r="N22739"/>
      <c r="O22739" s="24"/>
      <c r="P22739"/>
      <c r="Q22739" s="24"/>
      <c r="R22739"/>
      <c r="S22739"/>
      <c r="T22739"/>
      <c r="U22739"/>
      <c r="X22739" s="60"/>
    </row>
    <row r="22740" spans="7:24" ht="15" customHeight="1">
      <c r="G22740"/>
      <c r="I22740"/>
      <c r="N22740"/>
      <c r="O22740" s="24"/>
      <c r="P22740"/>
      <c r="Q22740" s="24"/>
      <c r="R22740"/>
      <c r="S22740"/>
      <c r="T22740"/>
      <c r="U22740"/>
      <c r="X22740" s="60"/>
    </row>
    <row r="22741" spans="7:24" ht="15" customHeight="1">
      <c r="G22741"/>
      <c r="I22741"/>
      <c r="N22741"/>
      <c r="O22741" s="24"/>
      <c r="P22741"/>
      <c r="Q22741" s="24"/>
      <c r="R22741"/>
      <c r="S22741"/>
      <c r="T22741"/>
      <c r="U22741"/>
      <c r="X22741" s="60"/>
    </row>
    <row r="22742" spans="7:24" ht="15" customHeight="1">
      <c r="G22742"/>
      <c r="I22742"/>
      <c r="N22742"/>
      <c r="O22742" s="24"/>
      <c r="P22742"/>
      <c r="Q22742" s="24"/>
      <c r="R22742"/>
      <c r="S22742"/>
      <c r="T22742"/>
      <c r="U22742"/>
      <c r="X22742" s="60"/>
    </row>
    <row r="22743" spans="7:24" ht="15" customHeight="1">
      <c r="G22743"/>
      <c r="I22743"/>
      <c r="N22743"/>
      <c r="O22743" s="24"/>
      <c r="P22743"/>
      <c r="Q22743" s="24"/>
      <c r="R22743"/>
      <c r="S22743"/>
      <c r="T22743"/>
      <c r="U22743"/>
      <c r="X22743" s="60"/>
    </row>
    <row r="22744" spans="7:24" ht="15" customHeight="1">
      <c r="G22744"/>
      <c r="I22744"/>
      <c r="N22744"/>
      <c r="O22744" s="24"/>
      <c r="P22744"/>
      <c r="Q22744" s="24"/>
      <c r="R22744"/>
      <c r="S22744"/>
      <c r="T22744"/>
      <c r="U22744"/>
      <c r="X22744" s="60"/>
    </row>
    <row r="22745" spans="7:24" ht="15" customHeight="1">
      <c r="G22745"/>
      <c r="I22745"/>
      <c r="N22745"/>
      <c r="O22745" s="24"/>
      <c r="P22745"/>
      <c r="Q22745" s="24"/>
      <c r="R22745"/>
      <c r="S22745"/>
      <c r="T22745"/>
      <c r="U22745"/>
      <c r="X22745" s="60"/>
    </row>
    <row r="22746" spans="7:24" ht="15" customHeight="1">
      <c r="G22746"/>
      <c r="I22746"/>
      <c r="N22746"/>
      <c r="O22746" s="24"/>
      <c r="P22746"/>
      <c r="Q22746" s="24"/>
      <c r="R22746"/>
      <c r="S22746"/>
      <c r="T22746"/>
      <c r="U22746"/>
      <c r="X22746" s="60"/>
    </row>
    <row r="22747" spans="7:24" ht="15" customHeight="1">
      <c r="G22747"/>
      <c r="I22747"/>
      <c r="N22747"/>
      <c r="O22747" s="24"/>
      <c r="P22747"/>
      <c r="Q22747" s="24"/>
      <c r="R22747"/>
      <c r="S22747"/>
      <c r="T22747"/>
      <c r="U22747"/>
      <c r="X22747" s="60"/>
    </row>
    <row r="22748" spans="7:24" ht="15" customHeight="1">
      <c r="G22748"/>
      <c r="I22748"/>
      <c r="N22748"/>
      <c r="O22748" s="24"/>
      <c r="P22748"/>
      <c r="Q22748" s="24"/>
      <c r="R22748"/>
      <c r="S22748"/>
      <c r="T22748"/>
      <c r="U22748"/>
      <c r="X22748" s="60"/>
    </row>
    <row r="22749" spans="7:24" ht="15" customHeight="1">
      <c r="G22749"/>
      <c r="I22749"/>
      <c r="N22749"/>
      <c r="O22749" s="24"/>
      <c r="P22749"/>
      <c r="Q22749" s="24"/>
      <c r="R22749"/>
      <c r="S22749"/>
      <c r="T22749"/>
      <c r="U22749"/>
      <c r="X22749" s="60"/>
    </row>
    <row r="22750" spans="7:24" ht="15" customHeight="1">
      <c r="G22750"/>
      <c r="I22750"/>
      <c r="N22750"/>
      <c r="O22750" s="24"/>
      <c r="P22750"/>
      <c r="Q22750" s="24"/>
      <c r="R22750"/>
      <c r="S22750"/>
      <c r="T22750"/>
      <c r="U22750"/>
      <c r="X22750" s="60"/>
    </row>
    <row r="22751" spans="7:24" ht="15" customHeight="1">
      <c r="G22751"/>
      <c r="I22751"/>
      <c r="N22751"/>
      <c r="O22751" s="24"/>
      <c r="P22751"/>
      <c r="Q22751" s="24"/>
      <c r="R22751"/>
      <c r="S22751"/>
      <c r="T22751"/>
      <c r="U22751"/>
      <c r="X22751" s="60"/>
    </row>
    <row r="22752" spans="7:24" ht="15" customHeight="1">
      <c r="G22752"/>
      <c r="I22752"/>
      <c r="N22752"/>
      <c r="O22752" s="24"/>
      <c r="P22752"/>
      <c r="Q22752" s="24"/>
      <c r="R22752"/>
      <c r="S22752"/>
      <c r="T22752"/>
      <c r="U22752"/>
      <c r="X22752" s="60"/>
    </row>
    <row r="22753" spans="7:24" ht="15" customHeight="1">
      <c r="G22753"/>
      <c r="I22753"/>
      <c r="N22753"/>
      <c r="O22753" s="24"/>
      <c r="P22753"/>
      <c r="Q22753" s="24"/>
      <c r="R22753"/>
      <c r="S22753"/>
      <c r="T22753"/>
      <c r="U22753"/>
      <c r="X22753" s="60"/>
    </row>
    <row r="22754" spans="7:24" ht="15" customHeight="1">
      <c r="G22754"/>
      <c r="I22754"/>
      <c r="N22754"/>
      <c r="O22754" s="24"/>
      <c r="P22754"/>
      <c r="Q22754" s="24"/>
      <c r="R22754"/>
      <c r="S22754"/>
      <c r="T22754"/>
      <c r="U22754"/>
      <c r="X22754" s="60"/>
    </row>
    <row r="22755" spans="7:24" ht="15" customHeight="1">
      <c r="G22755"/>
      <c r="I22755"/>
      <c r="N22755"/>
      <c r="O22755" s="24"/>
      <c r="P22755"/>
      <c r="Q22755" s="24"/>
      <c r="R22755"/>
      <c r="S22755"/>
      <c r="T22755"/>
      <c r="U22755"/>
      <c r="X22755" s="60"/>
    </row>
    <row r="22756" spans="7:24" ht="15" customHeight="1">
      <c r="G22756"/>
      <c r="I22756"/>
      <c r="N22756"/>
      <c r="O22756" s="24"/>
      <c r="P22756"/>
      <c r="Q22756" s="24"/>
      <c r="R22756"/>
      <c r="S22756"/>
      <c r="T22756"/>
      <c r="U22756"/>
      <c r="X22756" s="60"/>
    </row>
    <row r="22757" spans="7:24" ht="15" customHeight="1">
      <c r="G22757"/>
      <c r="I22757"/>
      <c r="N22757"/>
      <c r="O22757" s="24"/>
      <c r="P22757"/>
      <c r="Q22757" s="24"/>
      <c r="R22757"/>
      <c r="S22757"/>
      <c r="T22757"/>
      <c r="U22757"/>
      <c r="X22757" s="60"/>
    </row>
    <row r="22758" spans="7:24" ht="15" customHeight="1">
      <c r="G22758"/>
      <c r="I22758"/>
      <c r="N22758"/>
      <c r="O22758" s="24"/>
      <c r="P22758"/>
      <c r="Q22758" s="24"/>
      <c r="R22758"/>
      <c r="S22758"/>
      <c r="T22758"/>
      <c r="U22758"/>
      <c r="X22758" s="60"/>
    </row>
    <row r="22759" spans="7:24" ht="15" customHeight="1">
      <c r="G22759"/>
      <c r="I22759"/>
      <c r="N22759"/>
      <c r="O22759" s="24"/>
      <c r="P22759"/>
      <c r="Q22759" s="24"/>
      <c r="R22759"/>
      <c r="S22759"/>
      <c r="T22759"/>
      <c r="U22759"/>
      <c r="X22759" s="60"/>
    </row>
    <row r="22760" spans="7:24" ht="15" customHeight="1">
      <c r="G22760"/>
      <c r="I22760"/>
      <c r="N22760"/>
      <c r="O22760" s="24"/>
      <c r="P22760"/>
      <c r="Q22760" s="24"/>
      <c r="R22760"/>
      <c r="S22760"/>
      <c r="T22760"/>
      <c r="U22760"/>
      <c r="X22760" s="60"/>
    </row>
    <row r="22761" spans="7:24" ht="15" customHeight="1">
      <c r="G22761"/>
      <c r="I22761"/>
      <c r="N22761"/>
      <c r="O22761" s="24"/>
      <c r="P22761"/>
      <c r="Q22761" s="24"/>
      <c r="R22761"/>
      <c r="S22761"/>
      <c r="T22761"/>
      <c r="U22761"/>
      <c r="X22761" s="60"/>
    </row>
    <row r="22762" spans="7:24" ht="15" customHeight="1">
      <c r="G22762"/>
      <c r="I22762"/>
      <c r="N22762"/>
      <c r="O22762" s="24"/>
      <c r="P22762"/>
      <c r="Q22762" s="24"/>
      <c r="R22762"/>
      <c r="S22762"/>
      <c r="T22762"/>
      <c r="U22762"/>
      <c r="X22762" s="60"/>
    </row>
    <row r="22763" spans="7:24" ht="15" customHeight="1">
      <c r="G22763"/>
      <c r="I22763"/>
      <c r="N22763"/>
      <c r="O22763" s="24"/>
      <c r="P22763"/>
      <c r="Q22763" s="24"/>
      <c r="R22763"/>
      <c r="S22763"/>
      <c r="T22763"/>
      <c r="U22763"/>
      <c r="X22763" s="60"/>
    </row>
    <row r="22764" spans="7:24" ht="15" customHeight="1">
      <c r="G22764"/>
      <c r="I22764"/>
      <c r="N22764"/>
      <c r="O22764" s="24"/>
      <c r="P22764"/>
      <c r="Q22764" s="24"/>
      <c r="R22764"/>
      <c r="S22764"/>
      <c r="T22764"/>
      <c r="U22764"/>
      <c r="X22764" s="60"/>
    </row>
    <row r="22765" spans="7:24" ht="15" customHeight="1">
      <c r="G22765"/>
      <c r="I22765"/>
      <c r="N22765"/>
      <c r="O22765" s="24"/>
      <c r="P22765"/>
      <c r="Q22765" s="24"/>
      <c r="R22765"/>
      <c r="S22765"/>
      <c r="T22765"/>
      <c r="U22765"/>
      <c r="X22765" s="60"/>
    </row>
    <row r="22766" spans="7:24" ht="15" customHeight="1">
      <c r="G22766"/>
      <c r="I22766"/>
      <c r="N22766"/>
      <c r="O22766" s="24"/>
      <c r="P22766"/>
      <c r="Q22766" s="24"/>
      <c r="R22766"/>
      <c r="S22766"/>
      <c r="T22766"/>
      <c r="U22766"/>
      <c r="X22766" s="60"/>
    </row>
    <row r="22767" spans="7:24" ht="15" customHeight="1">
      <c r="G22767"/>
      <c r="I22767"/>
      <c r="N22767"/>
      <c r="O22767" s="24"/>
      <c r="P22767"/>
      <c r="Q22767" s="24"/>
      <c r="R22767"/>
      <c r="S22767"/>
      <c r="T22767"/>
      <c r="U22767"/>
      <c r="X22767" s="60"/>
    </row>
    <row r="22768" spans="7:24" ht="15" customHeight="1">
      <c r="G22768"/>
      <c r="I22768"/>
      <c r="N22768"/>
      <c r="O22768" s="24"/>
      <c r="P22768"/>
      <c r="Q22768" s="24"/>
      <c r="R22768"/>
      <c r="S22768"/>
      <c r="T22768"/>
      <c r="U22768"/>
      <c r="X22768" s="60"/>
    </row>
    <row r="22769" spans="7:24" ht="15" customHeight="1">
      <c r="G22769"/>
      <c r="I22769"/>
      <c r="N22769"/>
      <c r="O22769" s="24"/>
      <c r="P22769"/>
      <c r="Q22769" s="24"/>
      <c r="R22769"/>
      <c r="S22769"/>
      <c r="T22769"/>
      <c r="U22769"/>
      <c r="X22769" s="60"/>
    </row>
    <row r="22770" spans="7:24" ht="15" customHeight="1">
      <c r="G22770"/>
      <c r="I22770"/>
      <c r="N22770"/>
      <c r="O22770" s="24"/>
      <c r="P22770"/>
      <c r="Q22770" s="24"/>
      <c r="R22770"/>
      <c r="S22770"/>
      <c r="T22770"/>
      <c r="U22770"/>
      <c r="X22770" s="60"/>
    </row>
    <row r="22771" spans="7:24" ht="15" customHeight="1">
      <c r="G22771"/>
      <c r="I22771"/>
      <c r="N22771"/>
      <c r="O22771" s="24"/>
      <c r="P22771"/>
      <c r="Q22771" s="24"/>
      <c r="R22771"/>
      <c r="S22771"/>
      <c r="T22771"/>
      <c r="U22771"/>
      <c r="X22771" s="60"/>
    </row>
    <row r="22772" spans="7:24" ht="15" customHeight="1">
      <c r="G22772"/>
      <c r="I22772"/>
      <c r="N22772"/>
      <c r="O22772" s="24"/>
      <c r="P22772"/>
      <c r="Q22772" s="24"/>
      <c r="R22772"/>
      <c r="S22772"/>
      <c r="T22772"/>
      <c r="U22772"/>
      <c r="X22772" s="60"/>
    </row>
    <row r="22773" spans="7:24" ht="15" customHeight="1">
      <c r="G22773"/>
      <c r="I22773"/>
      <c r="N22773"/>
      <c r="O22773" s="24"/>
      <c r="P22773"/>
      <c r="Q22773" s="24"/>
      <c r="R22773"/>
      <c r="S22773"/>
      <c r="T22773"/>
      <c r="U22773"/>
      <c r="X22773" s="60"/>
    </row>
    <row r="22774" spans="7:24" ht="15" customHeight="1">
      <c r="G22774"/>
      <c r="I22774"/>
      <c r="N22774"/>
      <c r="O22774" s="24"/>
      <c r="P22774"/>
      <c r="Q22774" s="24"/>
      <c r="R22774"/>
      <c r="S22774"/>
      <c r="T22774"/>
      <c r="U22774"/>
      <c r="X22774" s="60"/>
    </row>
    <row r="22775" spans="7:24" ht="15" customHeight="1">
      <c r="G22775"/>
      <c r="I22775"/>
      <c r="N22775"/>
      <c r="O22775" s="24"/>
      <c r="P22775"/>
      <c r="Q22775" s="24"/>
      <c r="R22775"/>
      <c r="S22775"/>
      <c r="T22775"/>
      <c r="U22775"/>
      <c r="X22775" s="60"/>
    </row>
    <row r="22776" spans="7:24" ht="15" customHeight="1">
      <c r="G22776"/>
      <c r="I22776"/>
      <c r="N22776"/>
      <c r="O22776" s="24"/>
      <c r="P22776"/>
      <c r="Q22776" s="24"/>
      <c r="R22776"/>
      <c r="S22776"/>
      <c r="T22776"/>
      <c r="U22776"/>
      <c r="X22776" s="60"/>
    </row>
    <row r="22777" spans="7:24" ht="15" customHeight="1">
      <c r="G22777"/>
      <c r="I22777"/>
      <c r="N22777"/>
      <c r="O22777" s="24"/>
      <c r="P22777"/>
      <c r="Q22777" s="24"/>
      <c r="R22777"/>
      <c r="S22777"/>
      <c r="T22777"/>
      <c r="U22777"/>
      <c r="X22777" s="60"/>
    </row>
    <row r="22778" spans="7:24" ht="15" customHeight="1">
      <c r="G22778"/>
      <c r="I22778"/>
      <c r="N22778"/>
      <c r="O22778" s="24"/>
      <c r="P22778"/>
      <c r="Q22778" s="24"/>
      <c r="R22778"/>
      <c r="S22778"/>
      <c r="T22778"/>
      <c r="U22778"/>
      <c r="X22778" s="60"/>
    </row>
    <row r="22779" spans="7:24" ht="15" customHeight="1">
      <c r="G22779"/>
      <c r="I22779"/>
      <c r="N22779"/>
      <c r="O22779" s="24"/>
      <c r="P22779"/>
      <c r="Q22779" s="24"/>
      <c r="R22779"/>
      <c r="S22779"/>
      <c r="T22779"/>
      <c r="U22779"/>
      <c r="X22779" s="60"/>
    </row>
    <row r="22780" spans="7:24" ht="15" customHeight="1">
      <c r="G22780"/>
      <c r="I22780"/>
      <c r="N22780"/>
      <c r="O22780" s="24"/>
      <c r="P22780"/>
      <c r="Q22780" s="24"/>
      <c r="R22780"/>
      <c r="S22780"/>
      <c r="T22780"/>
      <c r="U22780"/>
      <c r="X22780" s="60"/>
    </row>
    <row r="22781" spans="7:24" ht="15" customHeight="1">
      <c r="G22781"/>
      <c r="I22781"/>
      <c r="N22781"/>
      <c r="O22781" s="24"/>
      <c r="P22781"/>
      <c r="Q22781" s="24"/>
      <c r="R22781"/>
      <c r="S22781"/>
      <c r="T22781"/>
      <c r="U22781"/>
      <c r="X22781" s="60"/>
    </row>
    <row r="22782" spans="7:24" ht="15" customHeight="1">
      <c r="G22782"/>
      <c r="I22782"/>
      <c r="N22782"/>
      <c r="O22782" s="24"/>
      <c r="P22782"/>
      <c r="Q22782" s="24"/>
      <c r="R22782"/>
      <c r="S22782"/>
      <c r="T22782"/>
      <c r="U22782"/>
      <c r="X22782" s="60"/>
    </row>
    <row r="22783" spans="7:24" ht="15" customHeight="1">
      <c r="G22783"/>
      <c r="I22783"/>
      <c r="N22783"/>
      <c r="O22783" s="24"/>
      <c r="P22783"/>
      <c r="Q22783" s="24"/>
      <c r="R22783"/>
      <c r="S22783"/>
      <c r="T22783"/>
      <c r="U22783"/>
      <c r="X22783" s="60"/>
    </row>
    <row r="22784" spans="7:24" ht="15" customHeight="1">
      <c r="G22784"/>
      <c r="I22784"/>
      <c r="N22784"/>
      <c r="O22784" s="24"/>
      <c r="P22784"/>
      <c r="Q22784" s="24"/>
      <c r="R22784"/>
      <c r="S22784"/>
      <c r="T22784"/>
      <c r="U22784"/>
      <c r="X22784" s="60"/>
    </row>
    <row r="22785" spans="7:24" ht="15" customHeight="1">
      <c r="G22785"/>
      <c r="I22785"/>
      <c r="N22785"/>
      <c r="O22785" s="24"/>
      <c r="P22785"/>
      <c r="Q22785" s="24"/>
      <c r="R22785"/>
      <c r="S22785"/>
      <c r="T22785"/>
      <c r="U22785"/>
      <c r="X22785" s="60"/>
    </row>
    <row r="22786" spans="7:24" ht="15" customHeight="1">
      <c r="G22786"/>
      <c r="I22786"/>
      <c r="N22786"/>
      <c r="O22786" s="24"/>
      <c r="P22786"/>
      <c r="Q22786" s="24"/>
      <c r="R22786"/>
      <c r="S22786"/>
      <c r="T22786"/>
      <c r="U22786"/>
      <c r="X22786" s="60"/>
    </row>
    <row r="22787" spans="7:24" ht="15" customHeight="1">
      <c r="G22787"/>
      <c r="I22787"/>
      <c r="N22787"/>
      <c r="O22787" s="24"/>
      <c r="P22787"/>
      <c r="Q22787" s="24"/>
      <c r="R22787"/>
      <c r="S22787"/>
      <c r="T22787"/>
      <c r="U22787"/>
      <c r="X22787" s="60"/>
    </row>
    <row r="22788" spans="7:24" ht="15" customHeight="1">
      <c r="G22788"/>
      <c r="I22788"/>
      <c r="N22788"/>
      <c r="O22788" s="24"/>
      <c r="P22788"/>
      <c r="Q22788" s="24"/>
      <c r="R22788"/>
      <c r="S22788"/>
      <c r="T22788"/>
      <c r="U22788"/>
      <c r="X22788" s="60"/>
    </row>
    <row r="22789" spans="7:24" ht="15" customHeight="1">
      <c r="G22789"/>
      <c r="I22789"/>
      <c r="N22789"/>
      <c r="O22789" s="24"/>
      <c r="P22789"/>
      <c r="Q22789" s="24"/>
      <c r="R22789"/>
      <c r="S22789"/>
      <c r="T22789"/>
      <c r="U22789"/>
      <c r="X22789" s="60"/>
    </row>
    <row r="22790" spans="7:24" ht="15" customHeight="1">
      <c r="G22790"/>
      <c r="I22790"/>
      <c r="N22790"/>
      <c r="O22790" s="24"/>
      <c r="P22790"/>
      <c r="Q22790" s="24"/>
      <c r="R22790"/>
      <c r="S22790"/>
      <c r="T22790"/>
      <c r="U22790"/>
      <c r="X22790" s="60"/>
    </row>
    <row r="22791" spans="7:24" ht="15" customHeight="1">
      <c r="G22791"/>
      <c r="I22791"/>
      <c r="N22791"/>
      <c r="O22791" s="24"/>
      <c r="P22791"/>
      <c r="Q22791" s="24"/>
      <c r="R22791"/>
      <c r="S22791"/>
      <c r="T22791"/>
      <c r="U22791"/>
      <c r="X22791" s="60"/>
    </row>
    <row r="22792" spans="7:24" ht="15" customHeight="1">
      <c r="G22792"/>
      <c r="I22792"/>
      <c r="N22792"/>
      <c r="O22792" s="24"/>
      <c r="P22792"/>
      <c r="Q22792" s="24"/>
      <c r="R22792"/>
      <c r="S22792"/>
      <c r="T22792"/>
      <c r="U22792"/>
      <c r="X22792" s="60"/>
    </row>
    <row r="22793" spans="7:24" ht="15" customHeight="1">
      <c r="G22793"/>
      <c r="I22793"/>
      <c r="N22793"/>
      <c r="O22793" s="24"/>
      <c r="P22793"/>
      <c r="Q22793" s="24"/>
      <c r="R22793"/>
      <c r="S22793"/>
      <c r="T22793"/>
      <c r="U22793"/>
      <c r="X22793" s="60"/>
    </row>
    <row r="22794" spans="7:24" ht="15" customHeight="1">
      <c r="G22794"/>
      <c r="I22794"/>
      <c r="N22794"/>
      <c r="O22794" s="24"/>
      <c r="P22794"/>
      <c r="Q22794" s="24"/>
      <c r="R22794"/>
      <c r="S22794"/>
      <c r="T22794"/>
      <c r="U22794"/>
      <c r="X22794" s="60"/>
    </row>
    <row r="22795" spans="7:24" ht="15" customHeight="1">
      <c r="G22795"/>
      <c r="I22795"/>
      <c r="N22795"/>
      <c r="O22795" s="24"/>
      <c r="P22795"/>
      <c r="Q22795" s="24"/>
      <c r="R22795"/>
      <c r="S22795"/>
      <c r="T22795"/>
      <c r="U22795"/>
      <c r="X22795" s="60"/>
    </row>
    <row r="22796" spans="7:24" ht="15" customHeight="1">
      <c r="G22796"/>
      <c r="I22796"/>
      <c r="N22796"/>
      <c r="O22796" s="24"/>
      <c r="P22796"/>
      <c r="Q22796" s="24"/>
      <c r="R22796"/>
      <c r="S22796"/>
      <c r="T22796"/>
      <c r="U22796"/>
      <c r="X22796" s="60"/>
    </row>
    <row r="22797" spans="7:24" ht="15" customHeight="1">
      <c r="G22797"/>
      <c r="I22797"/>
      <c r="N22797"/>
      <c r="O22797" s="24"/>
      <c r="P22797"/>
      <c r="Q22797" s="24"/>
      <c r="R22797"/>
      <c r="S22797"/>
      <c r="T22797"/>
      <c r="U22797"/>
      <c r="X22797" s="60"/>
    </row>
    <row r="22798" spans="7:24" ht="15" customHeight="1">
      <c r="G22798"/>
      <c r="I22798"/>
      <c r="N22798"/>
      <c r="O22798" s="24"/>
      <c r="P22798"/>
      <c r="Q22798" s="24"/>
      <c r="R22798"/>
      <c r="S22798"/>
      <c r="T22798"/>
      <c r="U22798"/>
      <c r="X22798" s="60"/>
    </row>
    <row r="22799" spans="7:24" ht="15" customHeight="1">
      <c r="G22799"/>
      <c r="I22799"/>
      <c r="N22799"/>
      <c r="O22799" s="24"/>
      <c r="P22799"/>
      <c r="Q22799" s="24"/>
      <c r="R22799"/>
      <c r="S22799"/>
      <c r="T22799"/>
      <c r="U22799"/>
      <c r="X22799" s="60"/>
    </row>
    <row r="22800" spans="7:24" ht="15" customHeight="1">
      <c r="G22800"/>
      <c r="I22800"/>
      <c r="N22800"/>
      <c r="O22800" s="24"/>
      <c r="P22800"/>
      <c r="Q22800" s="24"/>
      <c r="R22800"/>
      <c r="S22800"/>
      <c r="T22800"/>
      <c r="U22800"/>
      <c r="X22800" s="60"/>
    </row>
    <row r="22801" spans="7:24" ht="15" customHeight="1">
      <c r="G22801"/>
      <c r="I22801"/>
      <c r="N22801"/>
      <c r="O22801" s="24"/>
      <c r="P22801"/>
      <c r="Q22801" s="24"/>
      <c r="R22801"/>
      <c r="S22801"/>
      <c r="T22801"/>
      <c r="U22801"/>
      <c r="X22801" s="60"/>
    </row>
    <row r="22802" spans="7:24" ht="15" customHeight="1">
      <c r="G22802"/>
      <c r="I22802"/>
      <c r="N22802"/>
      <c r="O22802" s="24"/>
      <c r="P22802"/>
      <c r="Q22802" s="24"/>
      <c r="R22802"/>
      <c r="S22802"/>
      <c r="T22802"/>
      <c r="U22802"/>
      <c r="X22802" s="60"/>
    </row>
    <row r="22803" spans="7:24" ht="15" customHeight="1">
      <c r="G22803"/>
      <c r="I22803"/>
      <c r="N22803"/>
      <c r="O22803" s="24"/>
      <c r="P22803"/>
      <c r="Q22803" s="24"/>
      <c r="R22803"/>
      <c r="S22803"/>
      <c r="T22803"/>
      <c r="U22803"/>
      <c r="X22803" s="60"/>
    </row>
    <row r="22804" spans="7:24" ht="15" customHeight="1">
      <c r="G22804"/>
      <c r="I22804"/>
      <c r="N22804"/>
      <c r="O22804" s="24"/>
      <c r="P22804"/>
      <c r="Q22804" s="24"/>
      <c r="R22804"/>
      <c r="S22804"/>
      <c r="T22804"/>
      <c r="U22804"/>
      <c r="X22804" s="60"/>
    </row>
    <row r="22805" spans="7:24" ht="15" customHeight="1">
      <c r="G22805"/>
      <c r="I22805"/>
      <c r="N22805"/>
      <c r="O22805" s="24"/>
      <c r="P22805"/>
      <c r="Q22805" s="24"/>
      <c r="R22805"/>
      <c r="S22805"/>
      <c r="T22805"/>
      <c r="U22805"/>
      <c r="X22805" s="60"/>
    </row>
    <row r="22806" spans="7:24" ht="15" customHeight="1">
      <c r="G22806"/>
      <c r="I22806"/>
      <c r="N22806"/>
      <c r="O22806" s="24"/>
      <c r="P22806"/>
      <c r="Q22806" s="24"/>
      <c r="R22806"/>
      <c r="S22806"/>
      <c r="T22806"/>
      <c r="U22806"/>
      <c r="X22806" s="60"/>
    </row>
    <row r="22807" spans="7:24" ht="15" customHeight="1">
      <c r="G22807"/>
      <c r="I22807"/>
      <c r="N22807"/>
      <c r="O22807" s="24"/>
      <c r="P22807"/>
      <c r="Q22807" s="24"/>
      <c r="R22807"/>
      <c r="S22807"/>
      <c r="T22807"/>
      <c r="U22807"/>
      <c r="X22807" s="60"/>
    </row>
    <row r="22808" spans="7:24" ht="15" customHeight="1">
      <c r="G22808"/>
      <c r="I22808"/>
      <c r="N22808"/>
      <c r="O22808" s="24"/>
      <c r="P22808"/>
      <c r="Q22808" s="24"/>
      <c r="R22808"/>
      <c r="S22808"/>
      <c r="T22808"/>
      <c r="U22808"/>
      <c r="X22808" s="60"/>
    </row>
    <row r="22809" spans="7:24" ht="15" customHeight="1">
      <c r="G22809"/>
      <c r="I22809"/>
      <c r="N22809"/>
      <c r="O22809" s="24"/>
      <c r="P22809"/>
      <c r="Q22809" s="24"/>
      <c r="R22809"/>
      <c r="S22809"/>
      <c r="T22809"/>
      <c r="U22809"/>
      <c r="X22809" s="60"/>
    </row>
    <row r="22810" spans="7:24" ht="15" customHeight="1">
      <c r="G22810"/>
      <c r="I22810"/>
      <c r="N22810"/>
      <c r="O22810" s="24"/>
      <c r="P22810"/>
      <c r="Q22810" s="24"/>
      <c r="R22810"/>
      <c r="S22810"/>
      <c r="T22810"/>
      <c r="U22810"/>
      <c r="X22810" s="60"/>
    </row>
    <row r="22811" spans="7:24" ht="15" customHeight="1">
      <c r="G22811"/>
      <c r="I22811"/>
      <c r="N22811"/>
      <c r="O22811" s="24"/>
      <c r="P22811"/>
      <c r="Q22811" s="24"/>
      <c r="R22811"/>
      <c r="S22811"/>
      <c r="T22811"/>
      <c r="U22811"/>
      <c r="X22811" s="60"/>
    </row>
    <row r="22812" spans="7:24" ht="15" customHeight="1">
      <c r="G22812"/>
      <c r="I22812"/>
      <c r="N22812"/>
      <c r="O22812" s="24"/>
      <c r="P22812"/>
      <c r="Q22812" s="24"/>
      <c r="R22812"/>
      <c r="S22812"/>
      <c r="T22812"/>
      <c r="U22812"/>
      <c r="X22812" s="60"/>
    </row>
    <row r="22813" spans="7:24" ht="15" customHeight="1">
      <c r="G22813"/>
      <c r="I22813"/>
      <c r="N22813"/>
      <c r="O22813" s="24"/>
      <c r="P22813"/>
      <c r="Q22813" s="24"/>
      <c r="R22813"/>
      <c r="S22813"/>
      <c r="T22813"/>
      <c r="U22813"/>
      <c r="X22813" s="60"/>
    </row>
    <row r="22814" spans="7:24" ht="15" customHeight="1">
      <c r="G22814"/>
      <c r="I22814"/>
      <c r="N22814"/>
      <c r="O22814" s="24"/>
      <c r="P22814"/>
      <c r="Q22814" s="24"/>
      <c r="R22814"/>
      <c r="S22814"/>
      <c r="T22814"/>
      <c r="U22814"/>
      <c r="X22814" s="60"/>
    </row>
    <row r="22815" spans="7:24" ht="15" customHeight="1">
      <c r="G22815"/>
      <c r="I22815"/>
      <c r="N22815"/>
      <c r="O22815" s="24"/>
      <c r="P22815"/>
      <c r="Q22815" s="24"/>
      <c r="R22815"/>
      <c r="S22815"/>
      <c r="T22815"/>
      <c r="U22815"/>
      <c r="X22815" s="60"/>
    </row>
    <row r="22816" spans="7:24" ht="15" customHeight="1">
      <c r="G22816"/>
      <c r="I22816"/>
      <c r="N22816"/>
      <c r="O22816" s="24"/>
      <c r="P22816"/>
      <c r="Q22816" s="24"/>
      <c r="R22816"/>
      <c r="S22816"/>
      <c r="T22816"/>
      <c r="U22816"/>
      <c r="X22816" s="60"/>
    </row>
    <row r="22817" spans="7:24" ht="15" customHeight="1">
      <c r="G22817"/>
      <c r="I22817"/>
      <c r="N22817"/>
      <c r="O22817" s="24"/>
      <c r="P22817"/>
      <c r="Q22817" s="24"/>
      <c r="R22817"/>
      <c r="S22817"/>
      <c r="T22817"/>
      <c r="U22817"/>
      <c r="X22817" s="60"/>
    </row>
    <row r="22818" spans="7:24" ht="15" customHeight="1">
      <c r="G22818"/>
      <c r="I22818"/>
      <c r="N22818"/>
      <c r="O22818" s="24"/>
      <c r="P22818"/>
      <c r="Q22818" s="24"/>
      <c r="R22818"/>
      <c r="S22818"/>
      <c r="T22818"/>
      <c r="U22818"/>
      <c r="X22818" s="60"/>
    </row>
    <row r="22819" spans="7:24" ht="15" customHeight="1">
      <c r="G22819"/>
      <c r="I22819"/>
      <c r="N22819"/>
      <c r="O22819" s="24"/>
      <c r="P22819"/>
      <c r="Q22819" s="24"/>
      <c r="R22819"/>
      <c r="S22819"/>
      <c r="T22819"/>
      <c r="U22819"/>
      <c r="X22819" s="60"/>
    </row>
    <row r="22820" spans="7:24" ht="15" customHeight="1">
      <c r="G22820"/>
      <c r="I22820"/>
      <c r="N22820"/>
      <c r="O22820" s="24"/>
      <c r="P22820"/>
      <c r="Q22820" s="24"/>
      <c r="R22820"/>
      <c r="S22820"/>
      <c r="T22820"/>
      <c r="U22820"/>
      <c r="X22820" s="60"/>
    </row>
    <row r="22821" spans="7:24" ht="15" customHeight="1">
      <c r="G22821"/>
      <c r="I22821"/>
      <c r="N22821"/>
      <c r="O22821" s="24"/>
      <c r="P22821"/>
      <c r="Q22821" s="24"/>
      <c r="R22821"/>
      <c r="S22821"/>
      <c r="T22821"/>
      <c r="U22821"/>
      <c r="X22821" s="60"/>
    </row>
    <row r="22822" spans="7:24" ht="15" customHeight="1">
      <c r="G22822"/>
      <c r="I22822"/>
      <c r="N22822"/>
      <c r="O22822" s="24"/>
      <c r="P22822"/>
      <c r="Q22822" s="24"/>
      <c r="R22822"/>
      <c r="S22822"/>
      <c r="T22822"/>
      <c r="U22822"/>
      <c r="X22822" s="60"/>
    </row>
    <row r="22823" spans="7:24" ht="15" customHeight="1">
      <c r="G22823"/>
      <c r="I22823"/>
      <c r="N22823"/>
      <c r="O22823" s="24"/>
      <c r="P22823"/>
      <c r="Q22823" s="24"/>
      <c r="R22823"/>
      <c r="S22823"/>
      <c r="T22823"/>
      <c r="U22823"/>
      <c r="X22823" s="60"/>
    </row>
    <row r="22824" spans="7:24" ht="15" customHeight="1">
      <c r="G22824"/>
      <c r="I22824"/>
      <c r="N22824"/>
      <c r="O22824" s="24"/>
      <c r="P22824"/>
      <c r="Q22824" s="24"/>
      <c r="R22824"/>
      <c r="S22824"/>
      <c r="T22824"/>
      <c r="U22824"/>
      <c r="X22824" s="60"/>
    </row>
    <row r="22825" spans="7:24" ht="15" customHeight="1">
      <c r="G22825"/>
      <c r="I22825"/>
      <c r="N22825"/>
      <c r="O22825" s="24"/>
      <c r="P22825"/>
      <c r="Q22825" s="24"/>
      <c r="R22825"/>
      <c r="S22825"/>
      <c r="T22825"/>
      <c r="U22825"/>
      <c r="X22825" s="60"/>
    </row>
    <row r="22826" spans="7:24" ht="15" customHeight="1">
      <c r="G22826"/>
      <c r="I22826"/>
      <c r="N22826"/>
      <c r="O22826" s="24"/>
      <c r="P22826"/>
      <c r="Q22826" s="24"/>
      <c r="R22826"/>
      <c r="S22826"/>
      <c r="T22826"/>
      <c r="U22826"/>
      <c r="X22826" s="60"/>
    </row>
    <row r="22827" spans="7:24" ht="15" customHeight="1">
      <c r="G22827"/>
      <c r="I22827"/>
      <c r="N22827"/>
      <c r="O22827" s="24"/>
      <c r="P22827"/>
      <c r="Q22827" s="24"/>
      <c r="R22827"/>
      <c r="S22827"/>
      <c r="T22827"/>
      <c r="U22827"/>
      <c r="X22827" s="60"/>
    </row>
    <row r="22828" spans="7:24" ht="15" customHeight="1">
      <c r="G22828"/>
      <c r="I22828"/>
      <c r="N22828"/>
      <c r="O22828" s="24"/>
      <c r="P22828"/>
      <c r="Q22828" s="24"/>
      <c r="R22828"/>
      <c r="S22828"/>
      <c r="T22828"/>
      <c r="U22828"/>
      <c r="X22828" s="60"/>
    </row>
    <row r="22829" spans="7:24" ht="15" customHeight="1">
      <c r="G22829"/>
      <c r="I22829"/>
      <c r="N22829"/>
      <c r="O22829" s="24"/>
      <c r="P22829"/>
      <c r="Q22829" s="24"/>
      <c r="R22829"/>
      <c r="S22829"/>
      <c r="T22829"/>
      <c r="U22829"/>
      <c r="X22829" s="60"/>
    </row>
    <row r="22830" spans="7:24" ht="15" customHeight="1">
      <c r="G22830"/>
      <c r="I22830"/>
      <c r="N22830"/>
      <c r="O22830" s="24"/>
      <c r="P22830"/>
      <c r="Q22830" s="24"/>
      <c r="R22830"/>
      <c r="S22830"/>
      <c r="T22830"/>
      <c r="U22830"/>
      <c r="X22830" s="60"/>
    </row>
    <row r="22831" spans="7:24" ht="15" customHeight="1">
      <c r="G22831"/>
      <c r="I22831"/>
      <c r="N22831"/>
      <c r="O22831" s="24"/>
      <c r="P22831"/>
      <c r="Q22831" s="24"/>
      <c r="R22831"/>
      <c r="S22831"/>
      <c r="T22831"/>
      <c r="U22831"/>
      <c r="X22831" s="60"/>
    </row>
    <row r="22832" spans="7:24" ht="15" customHeight="1">
      <c r="G22832"/>
      <c r="I22832"/>
      <c r="N22832"/>
      <c r="O22832" s="24"/>
      <c r="P22832"/>
      <c r="Q22832" s="24"/>
      <c r="R22832"/>
      <c r="S22832"/>
      <c r="T22832"/>
      <c r="U22832"/>
      <c r="X22832" s="60"/>
    </row>
    <row r="22833" spans="7:24" ht="15" customHeight="1">
      <c r="G22833"/>
      <c r="I22833"/>
      <c r="N22833"/>
      <c r="O22833" s="24"/>
      <c r="P22833"/>
      <c r="Q22833" s="24"/>
      <c r="R22833"/>
      <c r="S22833"/>
      <c r="T22833"/>
      <c r="U22833"/>
      <c r="X22833" s="60"/>
    </row>
    <row r="22834" spans="7:24" ht="15" customHeight="1">
      <c r="G22834"/>
      <c r="I22834"/>
      <c r="N22834"/>
      <c r="O22834" s="24"/>
      <c r="P22834"/>
      <c r="Q22834" s="24"/>
      <c r="R22834"/>
      <c r="S22834"/>
      <c r="T22834"/>
      <c r="U22834"/>
      <c r="X22834" s="60"/>
    </row>
    <row r="22835" spans="7:24" ht="15" customHeight="1">
      <c r="G22835"/>
      <c r="I22835"/>
      <c r="N22835"/>
      <c r="O22835" s="24"/>
      <c r="P22835"/>
      <c r="Q22835" s="24"/>
      <c r="R22835"/>
      <c r="S22835"/>
      <c r="T22835"/>
      <c r="U22835"/>
      <c r="X22835" s="60"/>
    </row>
    <row r="22836" spans="7:24" ht="15" customHeight="1">
      <c r="G22836"/>
      <c r="I22836"/>
      <c r="N22836"/>
      <c r="O22836" s="24"/>
      <c r="P22836"/>
      <c r="Q22836" s="24"/>
      <c r="R22836"/>
      <c r="S22836"/>
      <c r="T22836"/>
      <c r="U22836"/>
      <c r="X22836" s="60"/>
    </row>
    <row r="22837" spans="7:24" ht="15" customHeight="1">
      <c r="G22837"/>
      <c r="I22837"/>
      <c r="N22837"/>
      <c r="O22837" s="24"/>
      <c r="P22837"/>
      <c r="Q22837" s="24"/>
      <c r="R22837"/>
      <c r="S22837"/>
      <c r="T22837"/>
      <c r="U22837"/>
      <c r="X22837" s="60"/>
    </row>
    <row r="22838" spans="7:24" ht="15" customHeight="1">
      <c r="G22838"/>
      <c r="I22838"/>
      <c r="N22838"/>
      <c r="O22838" s="24"/>
      <c r="P22838"/>
      <c r="Q22838" s="24"/>
      <c r="R22838"/>
      <c r="S22838"/>
      <c r="T22838"/>
      <c r="U22838"/>
      <c r="X22838" s="60"/>
    </row>
    <row r="22839" spans="7:24" ht="15" customHeight="1">
      <c r="G22839"/>
      <c r="I22839"/>
      <c r="N22839"/>
      <c r="O22839" s="24"/>
      <c r="P22839"/>
      <c r="Q22839" s="24"/>
      <c r="R22839"/>
      <c r="S22839"/>
      <c r="T22839"/>
      <c r="U22839"/>
      <c r="X22839" s="60"/>
    </row>
    <row r="22840" spans="7:24" ht="15" customHeight="1">
      <c r="G22840"/>
      <c r="I22840"/>
      <c r="N22840"/>
      <c r="O22840" s="24"/>
      <c r="P22840"/>
      <c r="Q22840" s="24"/>
      <c r="R22840"/>
      <c r="S22840"/>
      <c r="T22840"/>
      <c r="U22840"/>
      <c r="X22840" s="60"/>
    </row>
    <row r="22841" spans="7:24" ht="15" customHeight="1">
      <c r="G22841"/>
      <c r="I22841"/>
      <c r="N22841"/>
      <c r="O22841" s="24"/>
      <c r="P22841"/>
      <c r="Q22841" s="24"/>
      <c r="R22841"/>
      <c r="S22841"/>
      <c r="T22841"/>
      <c r="U22841"/>
      <c r="X22841" s="60"/>
    </row>
    <row r="22842" spans="7:24" ht="15" customHeight="1">
      <c r="G22842"/>
      <c r="I22842"/>
      <c r="N22842"/>
      <c r="O22842" s="24"/>
      <c r="P22842"/>
      <c r="Q22842" s="24"/>
      <c r="R22842"/>
      <c r="S22842"/>
      <c r="T22842"/>
      <c r="U22842"/>
      <c r="X22842" s="60"/>
    </row>
    <row r="22843" spans="7:24" ht="15" customHeight="1">
      <c r="G22843"/>
      <c r="I22843"/>
      <c r="N22843"/>
      <c r="O22843" s="24"/>
      <c r="P22843"/>
      <c r="Q22843" s="24"/>
      <c r="R22843"/>
      <c r="S22843"/>
      <c r="T22843"/>
      <c r="U22843"/>
      <c r="X22843" s="60"/>
    </row>
    <row r="22844" spans="7:24" ht="15" customHeight="1">
      <c r="G22844"/>
      <c r="I22844"/>
      <c r="N22844"/>
      <c r="O22844" s="24"/>
      <c r="P22844"/>
      <c r="Q22844" s="24"/>
      <c r="R22844"/>
      <c r="S22844"/>
      <c r="T22844"/>
      <c r="U22844"/>
      <c r="X22844" s="60"/>
    </row>
    <row r="22845" spans="7:24" ht="15" customHeight="1">
      <c r="G22845"/>
      <c r="I22845"/>
      <c r="N22845"/>
      <c r="O22845" s="24"/>
      <c r="P22845"/>
      <c r="Q22845" s="24"/>
      <c r="R22845"/>
      <c r="S22845"/>
      <c r="T22845"/>
      <c r="U22845"/>
      <c r="X22845" s="60"/>
    </row>
    <row r="22846" spans="7:24" ht="15" customHeight="1">
      <c r="G22846"/>
      <c r="I22846"/>
      <c r="N22846"/>
      <c r="O22846" s="24"/>
      <c r="P22846"/>
      <c r="Q22846" s="24"/>
      <c r="R22846"/>
      <c r="S22846"/>
      <c r="T22846"/>
      <c r="U22846"/>
      <c r="X22846" s="60"/>
    </row>
    <row r="22847" spans="7:24" ht="15" customHeight="1">
      <c r="G22847"/>
      <c r="I22847"/>
      <c r="N22847"/>
      <c r="O22847" s="24"/>
      <c r="P22847"/>
      <c r="Q22847" s="24"/>
      <c r="R22847"/>
      <c r="S22847"/>
      <c r="T22847"/>
      <c r="U22847"/>
      <c r="X22847" s="60"/>
    </row>
    <row r="22848" spans="7:24" ht="15" customHeight="1">
      <c r="G22848"/>
      <c r="I22848"/>
      <c r="N22848"/>
      <c r="O22848" s="24"/>
      <c r="P22848"/>
      <c r="Q22848" s="24"/>
      <c r="R22848"/>
      <c r="S22848"/>
      <c r="T22848"/>
      <c r="U22848"/>
      <c r="X22848" s="60"/>
    </row>
    <row r="22849" spans="7:24" ht="15" customHeight="1">
      <c r="G22849"/>
      <c r="I22849"/>
      <c r="N22849"/>
      <c r="O22849" s="24"/>
      <c r="P22849"/>
      <c r="Q22849" s="24"/>
      <c r="R22849"/>
      <c r="S22849"/>
      <c r="T22849"/>
      <c r="U22849"/>
      <c r="X22849" s="60"/>
    </row>
    <row r="22850" spans="7:24" ht="15" customHeight="1">
      <c r="G22850"/>
      <c r="I22850"/>
      <c r="N22850"/>
      <c r="O22850" s="24"/>
      <c r="P22850"/>
      <c r="Q22850" s="24"/>
      <c r="R22850"/>
      <c r="S22850"/>
      <c r="T22850"/>
      <c r="U22850"/>
      <c r="X22850" s="60"/>
    </row>
    <row r="22851" spans="7:24" ht="15" customHeight="1">
      <c r="G22851"/>
      <c r="I22851"/>
      <c r="N22851"/>
      <c r="O22851" s="24"/>
      <c r="P22851"/>
      <c r="Q22851" s="24"/>
      <c r="R22851"/>
      <c r="S22851"/>
      <c r="T22851"/>
      <c r="U22851"/>
      <c r="X22851" s="60"/>
    </row>
    <row r="22852" spans="7:24" ht="15" customHeight="1">
      <c r="G22852"/>
      <c r="I22852"/>
      <c r="N22852"/>
      <c r="O22852" s="24"/>
      <c r="P22852"/>
      <c r="Q22852" s="24"/>
      <c r="R22852"/>
      <c r="S22852"/>
      <c r="T22852"/>
      <c r="U22852"/>
      <c r="X22852" s="60"/>
    </row>
    <row r="22853" spans="7:24" ht="15" customHeight="1">
      <c r="G22853"/>
      <c r="I22853"/>
      <c r="N22853"/>
      <c r="O22853" s="24"/>
      <c r="P22853"/>
      <c r="Q22853" s="24"/>
      <c r="R22853"/>
      <c r="S22853"/>
      <c r="T22853"/>
      <c r="U22853"/>
      <c r="X22853" s="60"/>
    </row>
    <row r="22854" spans="7:24" ht="15" customHeight="1">
      <c r="G22854"/>
      <c r="I22854"/>
      <c r="N22854"/>
      <c r="O22854" s="24"/>
      <c r="P22854"/>
      <c r="Q22854" s="24"/>
      <c r="R22854"/>
      <c r="S22854"/>
      <c r="T22854"/>
      <c r="U22854"/>
      <c r="X22854" s="60"/>
    </row>
    <row r="22855" spans="7:24" ht="15" customHeight="1">
      <c r="G22855"/>
      <c r="I22855"/>
      <c r="N22855"/>
      <c r="O22855" s="24"/>
      <c r="P22855"/>
      <c r="Q22855" s="24"/>
      <c r="R22855"/>
      <c r="S22855"/>
      <c r="T22855"/>
      <c r="U22855"/>
      <c r="X22855" s="60"/>
    </row>
    <row r="22856" spans="7:24" ht="15" customHeight="1">
      <c r="G22856"/>
      <c r="I22856"/>
      <c r="N22856"/>
      <c r="O22856" s="24"/>
      <c r="P22856"/>
      <c r="Q22856" s="24"/>
      <c r="R22856"/>
      <c r="S22856"/>
      <c r="T22856"/>
      <c r="U22856"/>
      <c r="X22856" s="60"/>
    </row>
    <row r="22857" spans="7:24" ht="15" customHeight="1">
      <c r="G22857"/>
      <c r="I22857"/>
      <c r="N22857"/>
      <c r="O22857" s="24"/>
      <c r="P22857"/>
      <c r="Q22857" s="24"/>
      <c r="R22857"/>
      <c r="S22857"/>
      <c r="T22857"/>
      <c r="U22857"/>
      <c r="X22857" s="60"/>
    </row>
    <row r="22858" spans="7:24" ht="15" customHeight="1">
      <c r="G22858"/>
      <c r="I22858"/>
      <c r="N22858"/>
      <c r="O22858" s="24"/>
      <c r="P22858"/>
      <c r="Q22858" s="24"/>
      <c r="R22858"/>
      <c r="S22858"/>
      <c r="T22858"/>
      <c r="U22858"/>
      <c r="X22858" s="60"/>
    </row>
    <row r="22859" spans="7:24" ht="15" customHeight="1">
      <c r="G22859"/>
      <c r="I22859"/>
      <c r="N22859"/>
      <c r="O22859" s="24"/>
      <c r="P22859"/>
      <c r="Q22859" s="24"/>
      <c r="R22859"/>
      <c r="S22859"/>
      <c r="T22859"/>
      <c r="U22859"/>
      <c r="X22859" s="60"/>
    </row>
    <row r="22860" spans="7:24" ht="15" customHeight="1">
      <c r="G22860"/>
      <c r="I22860"/>
      <c r="N22860"/>
      <c r="O22860" s="24"/>
      <c r="P22860"/>
      <c r="Q22860" s="24"/>
      <c r="R22860"/>
      <c r="S22860"/>
      <c r="T22860"/>
      <c r="U22860"/>
      <c r="X22860" s="60"/>
    </row>
    <row r="22861" spans="7:24" ht="15" customHeight="1">
      <c r="G22861"/>
      <c r="I22861"/>
      <c r="N22861"/>
      <c r="O22861" s="24"/>
      <c r="P22861"/>
      <c r="Q22861" s="24"/>
      <c r="R22861"/>
      <c r="S22861"/>
      <c r="T22861"/>
      <c r="U22861"/>
      <c r="X22861" s="60"/>
    </row>
    <row r="22862" spans="7:24" ht="15" customHeight="1">
      <c r="G22862"/>
      <c r="I22862"/>
      <c r="N22862"/>
      <c r="O22862" s="24"/>
      <c r="P22862"/>
      <c r="Q22862" s="24"/>
      <c r="R22862"/>
      <c r="S22862"/>
      <c r="T22862"/>
      <c r="U22862"/>
      <c r="X22862" s="60"/>
    </row>
    <row r="22863" spans="7:24" ht="15" customHeight="1">
      <c r="G22863"/>
      <c r="I22863"/>
      <c r="N22863"/>
      <c r="O22863" s="24"/>
      <c r="P22863"/>
      <c r="Q22863" s="24"/>
      <c r="R22863"/>
      <c r="S22863"/>
      <c r="T22863"/>
      <c r="U22863"/>
      <c r="X22863" s="60"/>
    </row>
    <row r="22864" spans="7:24" ht="15" customHeight="1">
      <c r="G22864"/>
      <c r="I22864"/>
      <c r="N22864"/>
      <c r="O22864" s="24"/>
      <c r="P22864"/>
      <c r="Q22864" s="24"/>
      <c r="R22864"/>
      <c r="S22864"/>
      <c r="T22864"/>
      <c r="U22864"/>
      <c r="X22864" s="60"/>
    </row>
    <row r="22865" spans="7:24" ht="15" customHeight="1">
      <c r="G22865"/>
      <c r="I22865"/>
      <c r="N22865"/>
      <c r="O22865" s="24"/>
      <c r="P22865"/>
      <c r="Q22865" s="24"/>
      <c r="R22865"/>
      <c r="S22865"/>
      <c r="T22865"/>
      <c r="U22865"/>
      <c r="X22865" s="60"/>
    </row>
    <row r="22866" spans="7:24" ht="15" customHeight="1">
      <c r="G22866"/>
      <c r="I22866"/>
      <c r="N22866"/>
      <c r="O22866" s="24"/>
      <c r="P22866"/>
      <c r="Q22866" s="24"/>
      <c r="R22866"/>
      <c r="S22866"/>
      <c r="T22866"/>
      <c r="U22866"/>
      <c r="X22866" s="60"/>
    </row>
    <row r="22867" spans="7:24" ht="15" customHeight="1">
      <c r="G22867"/>
      <c r="I22867"/>
      <c r="N22867"/>
      <c r="O22867" s="24"/>
      <c r="P22867"/>
      <c r="Q22867" s="24"/>
      <c r="R22867"/>
      <c r="S22867"/>
      <c r="T22867"/>
      <c r="U22867"/>
      <c r="X22867" s="60"/>
    </row>
    <row r="22868" spans="7:24" ht="15" customHeight="1">
      <c r="G22868"/>
      <c r="I22868"/>
      <c r="N22868"/>
      <c r="O22868" s="24"/>
      <c r="P22868"/>
      <c r="Q22868" s="24"/>
      <c r="R22868"/>
      <c r="S22868"/>
      <c r="T22868"/>
      <c r="U22868"/>
      <c r="X22868" s="60"/>
    </row>
    <row r="22869" spans="7:24" ht="15" customHeight="1">
      <c r="G22869"/>
      <c r="I22869"/>
      <c r="N22869"/>
      <c r="O22869" s="24"/>
      <c r="P22869"/>
      <c r="Q22869" s="24"/>
      <c r="R22869"/>
      <c r="S22869"/>
      <c r="T22869"/>
      <c r="U22869"/>
      <c r="X22869" s="60"/>
    </row>
    <row r="22870" spans="7:24" ht="15" customHeight="1">
      <c r="G22870"/>
      <c r="I22870"/>
      <c r="N22870"/>
      <c r="O22870" s="24"/>
      <c r="P22870"/>
      <c r="Q22870" s="24"/>
      <c r="R22870"/>
      <c r="S22870"/>
      <c r="T22870"/>
      <c r="U22870"/>
      <c r="X22870" s="60"/>
    </row>
    <row r="22871" spans="7:24" ht="15" customHeight="1">
      <c r="G22871"/>
      <c r="I22871"/>
      <c r="N22871"/>
      <c r="O22871" s="24"/>
      <c r="P22871"/>
      <c r="Q22871" s="24"/>
      <c r="R22871"/>
      <c r="S22871"/>
      <c r="T22871"/>
      <c r="U22871"/>
      <c r="X22871" s="60"/>
    </row>
    <row r="22872" spans="7:24" ht="15" customHeight="1">
      <c r="G22872"/>
      <c r="I22872"/>
      <c r="N22872"/>
      <c r="O22872" s="24"/>
      <c r="P22872"/>
      <c r="Q22872" s="24"/>
      <c r="R22872"/>
      <c r="S22872"/>
      <c r="T22872"/>
      <c r="U22872"/>
      <c r="X22872" s="60"/>
    </row>
    <row r="22873" spans="7:24" ht="15" customHeight="1">
      <c r="G22873"/>
      <c r="I22873"/>
      <c r="N22873"/>
      <c r="O22873" s="24"/>
      <c r="P22873"/>
      <c r="Q22873" s="24"/>
      <c r="R22873"/>
      <c r="S22873"/>
      <c r="T22873"/>
      <c r="U22873"/>
      <c r="X22873" s="60"/>
    </row>
    <row r="22874" spans="7:24" ht="15" customHeight="1">
      <c r="G22874"/>
      <c r="I22874"/>
      <c r="N22874"/>
      <c r="O22874" s="24"/>
      <c r="P22874"/>
      <c r="Q22874" s="24"/>
      <c r="R22874"/>
      <c r="S22874"/>
      <c r="T22874"/>
      <c r="U22874"/>
      <c r="X22874" s="60"/>
    </row>
    <row r="22875" spans="7:24" ht="15" customHeight="1">
      <c r="G22875"/>
      <c r="I22875"/>
      <c r="N22875"/>
      <c r="O22875" s="24"/>
      <c r="P22875"/>
      <c r="Q22875" s="24"/>
      <c r="R22875"/>
      <c r="S22875"/>
      <c r="T22875"/>
      <c r="U22875"/>
      <c r="X22875" s="60"/>
    </row>
    <row r="22876" spans="7:24" ht="15" customHeight="1">
      <c r="G22876"/>
      <c r="I22876"/>
      <c r="N22876"/>
      <c r="O22876" s="24"/>
      <c r="P22876"/>
      <c r="Q22876" s="24"/>
      <c r="R22876"/>
      <c r="S22876"/>
      <c r="T22876"/>
      <c r="U22876"/>
      <c r="X22876" s="60"/>
    </row>
    <row r="22877" spans="7:24" ht="15" customHeight="1">
      <c r="G22877"/>
      <c r="I22877"/>
      <c r="N22877"/>
      <c r="O22877" s="24"/>
      <c r="P22877"/>
      <c r="Q22877" s="24"/>
      <c r="R22877"/>
      <c r="S22877"/>
      <c r="T22877"/>
      <c r="U22877"/>
      <c r="X22877" s="60"/>
    </row>
    <row r="22878" spans="7:24" ht="15" customHeight="1">
      <c r="G22878"/>
      <c r="I22878"/>
      <c r="N22878"/>
      <c r="O22878" s="24"/>
      <c r="P22878"/>
      <c r="Q22878" s="24"/>
      <c r="R22878"/>
      <c r="S22878"/>
      <c r="T22878"/>
      <c r="U22878"/>
      <c r="X22878" s="60"/>
    </row>
    <row r="22879" spans="7:24" ht="15" customHeight="1">
      <c r="G22879"/>
      <c r="I22879"/>
      <c r="N22879"/>
      <c r="O22879" s="24"/>
      <c r="P22879"/>
      <c r="Q22879" s="24"/>
      <c r="R22879"/>
      <c r="S22879"/>
      <c r="T22879"/>
      <c r="U22879"/>
      <c r="X22879" s="60"/>
    </row>
    <row r="22880" spans="7:24" ht="15" customHeight="1">
      <c r="G22880"/>
      <c r="I22880"/>
      <c r="N22880"/>
      <c r="O22880" s="24"/>
      <c r="P22880"/>
      <c r="Q22880" s="24"/>
      <c r="R22880"/>
      <c r="S22880"/>
      <c r="T22880"/>
      <c r="U22880"/>
      <c r="X22880" s="60"/>
    </row>
    <row r="22881" spans="7:24" ht="15" customHeight="1">
      <c r="G22881"/>
      <c r="I22881"/>
      <c r="N22881"/>
      <c r="O22881" s="24"/>
      <c r="P22881"/>
      <c r="Q22881" s="24"/>
      <c r="R22881"/>
      <c r="S22881"/>
      <c r="T22881"/>
      <c r="U22881"/>
      <c r="X22881" s="60"/>
    </row>
    <row r="22882" spans="7:24" ht="15" customHeight="1">
      <c r="G22882"/>
      <c r="I22882"/>
      <c r="N22882"/>
      <c r="O22882" s="24"/>
      <c r="P22882"/>
      <c r="Q22882" s="24"/>
      <c r="R22882"/>
      <c r="S22882"/>
      <c r="T22882"/>
      <c r="U22882"/>
      <c r="X22882" s="60"/>
    </row>
    <row r="22883" spans="7:24" ht="15" customHeight="1">
      <c r="G22883"/>
      <c r="I22883"/>
      <c r="N22883"/>
      <c r="O22883" s="24"/>
      <c r="P22883"/>
      <c r="Q22883" s="24"/>
      <c r="R22883"/>
      <c r="S22883"/>
      <c r="T22883"/>
      <c r="U22883"/>
      <c r="X22883" s="60"/>
    </row>
    <row r="22884" spans="7:24" ht="15" customHeight="1">
      <c r="G22884"/>
      <c r="I22884"/>
      <c r="N22884"/>
      <c r="O22884" s="24"/>
      <c r="P22884"/>
      <c r="Q22884" s="24"/>
      <c r="R22884"/>
      <c r="S22884"/>
      <c r="T22884"/>
      <c r="U22884"/>
      <c r="X22884" s="60"/>
    </row>
    <row r="22885" spans="7:24" ht="15" customHeight="1">
      <c r="G22885"/>
      <c r="I22885"/>
      <c r="N22885"/>
      <c r="O22885" s="24"/>
      <c r="P22885"/>
      <c r="Q22885" s="24"/>
      <c r="R22885"/>
      <c r="S22885"/>
      <c r="T22885"/>
      <c r="U22885"/>
      <c r="X22885" s="60"/>
    </row>
    <row r="22886" spans="7:24" ht="15" customHeight="1">
      <c r="G22886"/>
      <c r="I22886"/>
      <c r="N22886"/>
      <c r="O22886" s="24"/>
      <c r="P22886"/>
      <c r="Q22886" s="24"/>
      <c r="R22886"/>
      <c r="S22886"/>
      <c r="T22886"/>
      <c r="U22886"/>
      <c r="X22886" s="60"/>
    </row>
    <row r="22887" spans="7:24" ht="15" customHeight="1">
      <c r="G22887"/>
      <c r="I22887"/>
      <c r="N22887"/>
      <c r="O22887" s="24"/>
      <c r="P22887"/>
      <c r="Q22887" s="24"/>
      <c r="R22887"/>
      <c r="S22887"/>
      <c r="T22887"/>
      <c r="U22887"/>
      <c r="X22887" s="60"/>
    </row>
    <row r="22888" spans="7:24" ht="15" customHeight="1">
      <c r="G22888"/>
      <c r="I22888"/>
      <c r="N22888"/>
      <c r="O22888" s="24"/>
      <c r="P22888"/>
      <c r="Q22888" s="24"/>
      <c r="R22888"/>
      <c r="S22888"/>
      <c r="T22888"/>
      <c r="U22888"/>
      <c r="X22888" s="60"/>
    </row>
    <row r="22889" spans="7:24" ht="15" customHeight="1">
      <c r="G22889"/>
      <c r="I22889"/>
      <c r="N22889"/>
      <c r="O22889" s="24"/>
      <c r="P22889"/>
      <c r="Q22889" s="24"/>
      <c r="R22889"/>
      <c r="S22889"/>
      <c r="T22889"/>
      <c r="U22889"/>
      <c r="X22889" s="60"/>
    </row>
    <row r="22890" spans="7:24" ht="15" customHeight="1">
      <c r="G22890"/>
      <c r="I22890"/>
      <c r="N22890"/>
      <c r="O22890" s="24"/>
      <c r="P22890"/>
      <c r="Q22890" s="24"/>
      <c r="R22890"/>
      <c r="S22890"/>
      <c r="T22890"/>
      <c r="U22890"/>
      <c r="X22890" s="60"/>
    </row>
    <row r="22891" spans="7:24" ht="15" customHeight="1">
      <c r="G22891"/>
      <c r="I22891"/>
      <c r="N22891"/>
      <c r="O22891" s="24"/>
      <c r="P22891"/>
      <c r="Q22891" s="24"/>
      <c r="R22891"/>
      <c r="S22891"/>
      <c r="T22891"/>
      <c r="U22891"/>
      <c r="X22891" s="60"/>
    </row>
    <row r="22892" spans="7:24" ht="15" customHeight="1">
      <c r="G22892"/>
      <c r="I22892"/>
      <c r="N22892"/>
      <c r="O22892" s="24"/>
      <c r="P22892"/>
      <c r="Q22892" s="24"/>
      <c r="R22892"/>
      <c r="S22892"/>
      <c r="T22892"/>
      <c r="U22892"/>
      <c r="X22892" s="60"/>
    </row>
    <row r="22893" spans="7:24" ht="15" customHeight="1">
      <c r="G22893"/>
      <c r="I22893"/>
      <c r="N22893"/>
      <c r="O22893" s="24"/>
      <c r="P22893"/>
      <c r="Q22893" s="24"/>
      <c r="R22893"/>
      <c r="S22893"/>
      <c r="T22893"/>
      <c r="U22893"/>
      <c r="X22893" s="60"/>
    </row>
    <row r="22894" spans="7:24" ht="15" customHeight="1">
      <c r="G22894"/>
      <c r="I22894"/>
      <c r="N22894"/>
      <c r="O22894" s="24"/>
      <c r="P22894"/>
      <c r="Q22894" s="24"/>
      <c r="R22894"/>
      <c r="S22894"/>
      <c r="T22894"/>
      <c r="U22894"/>
      <c r="X22894" s="60"/>
    </row>
    <row r="22895" spans="7:24" ht="15" customHeight="1">
      <c r="G22895"/>
      <c r="I22895"/>
      <c r="N22895"/>
      <c r="O22895" s="24"/>
      <c r="P22895"/>
      <c r="Q22895" s="24"/>
      <c r="R22895"/>
      <c r="S22895"/>
      <c r="T22895"/>
      <c r="U22895"/>
      <c r="X22895" s="60"/>
    </row>
    <row r="22896" spans="7:24" ht="15" customHeight="1">
      <c r="G22896"/>
      <c r="I22896"/>
      <c r="N22896"/>
      <c r="O22896" s="24"/>
      <c r="P22896"/>
      <c r="Q22896" s="24"/>
      <c r="R22896"/>
      <c r="S22896"/>
      <c r="T22896"/>
      <c r="U22896"/>
      <c r="X22896" s="60"/>
    </row>
    <row r="22897" spans="7:24" ht="15" customHeight="1">
      <c r="G22897"/>
      <c r="I22897"/>
      <c r="N22897"/>
      <c r="O22897" s="24"/>
      <c r="P22897"/>
      <c r="Q22897" s="24"/>
      <c r="R22897"/>
      <c r="S22897"/>
      <c r="T22897"/>
      <c r="U22897"/>
      <c r="X22897" s="60"/>
    </row>
    <row r="22898" spans="7:24" ht="15" customHeight="1">
      <c r="G22898"/>
      <c r="I22898"/>
      <c r="N22898"/>
      <c r="O22898" s="24"/>
      <c r="P22898"/>
      <c r="Q22898" s="24"/>
      <c r="R22898"/>
      <c r="S22898"/>
      <c r="T22898"/>
      <c r="U22898"/>
      <c r="X22898" s="60"/>
    </row>
    <row r="22899" spans="7:24" ht="15" customHeight="1">
      <c r="G22899"/>
      <c r="I22899"/>
      <c r="N22899"/>
      <c r="O22899" s="24"/>
      <c r="P22899"/>
      <c r="Q22899" s="24"/>
      <c r="R22899"/>
      <c r="S22899"/>
      <c r="T22899"/>
      <c r="U22899"/>
      <c r="X22899" s="60"/>
    </row>
    <row r="22900" spans="7:24" ht="15" customHeight="1">
      <c r="G22900"/>
      <c r="I22900"/>
      <c r="N22900"/>
      <c r="O22900" s="24"/>
      <c r="P22900"/>
      <c r="Q22900" s="24"/>
      <c r="R22900"/>
      <c r="S22900"/>
      <c r="T22900"/>
      <c r="U22900"/>
      <c r="X22900" s="60"/>
    </row>
    <row r="22901" spans="7:24" ht="15" customHeight="1">
      <c r="G22901"/>
      <c r="I22901"/>
      <c r="N22901"/>
      <c r="O22901" s="24"/>
      <c r="P22901"/>
      <c r="Q22901" s="24"/>
      <c r="R22901"/>
      <c r="S22901"/>
      <c r="T22901"/>
      <c r="U22901"/>
      <c r="X22901" s="60"/>
    </row>
    <row r="22902" spans="7:24" ht="15" customHeight="1">
      <c r="G22902"/>
      <c r="I22902"/>
      <c r="N22902"/>
      <c r="O22902" s="24"/>
      <c r="P22902"/>
      <c r="Q22902" s="24"/>
      <c r="R22902"/>
      <c r="S22902"/>
      <c r="T22902"/>
      <c r="U22902"/>
      <c r="X22902" s="60"/>
    </row>
    <row r="22903" spans="7:24" ht="15" customHeight="1">
      <c r="G22903"/>
      <c r="I22903"/>
      <c r="N22903"/>
      <c r="O22903" s="24"/>
      <c r="P22903"/>
      <c r="Q22903" s="24"/>
      <c r="R22903"/>
      <c r="S22903"/>
      <c r="T22903"/>
      <c r="U22903"/>
      <c r="X22903" s="60"/>
    </row>
    <row r="22904" spans="7:24" ht="15" customHeight="1">
      <c r="G22904"/>
      <c r="I22904"/>
      <c r="N22904"/>
      <c r="O22904" s="24"/>
      <c r="P22904"/>
      <c r="Q22904" s="24"/>
      <c r="R22904"/>
      <c r="S22904"/>
      <c r="T22904"/>
      <c r="U22904"/>
      <c r="X22904" s="60"/>
    </row>
    <row r="22905" spans="7:24" ht="15" customHeight="1">
      <c r="G22905"/>
      <c r="I22905"/>
      <c r="N22905"/>
      <c r="O22905" s="24"/>
      <c r="P22905"/>
      <c r="Q22905" s="24"/>
      <c r="R22905"/>
      <c r="S22905"/>
      <c r="T22905"/>
      <c r="U22905"/>
      <c r="X22905" s="60"/>
    </row>
    <row r="22906" spans="7:24" ht="15" customHeight="1">
      <c r="G22906"/>
      <c r="I22906"/>
      <c r="N22906"/>
      <c r="O22906" s="24"/>
      <c r="P22906"/>
      <c r="Q22906" s="24"/>
      <c r="R22906"/>
      <c r="S22906"/>
      <c r="T22906"/>
      <c r="U22906"/>
      <c r="X22906" s="60"/>
    </row>
    <row r="22907" spans="7:24" ht="15" customHeight="1">
      <c r="G22907"/>
      <c r="I22907"/>
      <c r="N22907"/>
      <c r="O22907" s="24"/>
      <c r="P22907"/>
      <c r="Q22907" s="24"/>
      <c r="R22907"/>
      <c r="S22907"/>
      <c r="T22907"/>
      <c r="U22907"/>
      <c r="X22907" s="60"/>
    </row>
    <row r="22908" spans="7:24" ht="15" customHeight="1">
      <c r="G22908"/>
      <c r="I22908"/>
      <c r="N22908"/>
      <c r="O22908" s="24"/>
      <c r="P22908"/>
      <c r="Q22908" s="24"/>
      <c r="R22908"/>
      <c r="S22908"/>
      <c r="T22908"/>
      <c r="U22908"/>
      <c r="X22908" s="60"/>
    </row>
    <row r="22909" spans="7:24" ht="15" customHeight="1">
      <c r="G22909"/>
      <c r="I22909"/>
      <c r="N22909"/>
      <c r="O22909" s="24"/>
      <c r="P22909"/>
      <c r="Q22909" s="24"/>
      <c r="R22909"/>
      <c r="S22909"/>
      <c r="T22909"/>
      <c r="U22909"/>
      <c r="X22909" s="60"/>
    </row>
    <row r="22910" spans="7:24" ht="15" customHeight="1">
      <c r="G22910"/>
      <c r="I22910"/>
      <c r="N22910"/>
      <c r="O22910" s="24"/>
      <c r="P22910"/>
      <c r="Q22910" s="24"/>
      <c r="R22910"/>
      <c r="S22910"/>
      <c r="T22910"/>
      <c r="U22910"/>
      <c r="X22910" s="60"/>
    </row>
    <row r="22911" spans="7:24" ht="15" customHeight="1">
      <c r="G22911"/>
      <c r="I22911"/>
      <c r="N22911"/>
      <c r="O22911" s="24"/>
      <c r="P22911"/>
      <c r="Q22911" s="24"/>
      <c r="R22911"/>
      <c r="S22911"/>
      <c r="T22911"/>
      <c r="U22911"/>
      <c r="X22911" s="60"/>
    </row>
    <row r="22912" spans="7:24" ht="15" customHeight="1">
      <c r="G22912"/>
      <c r="I22912"/>
      <c r="N22912"/>
      <c r="O22912" s="24"/>
      <c r="P22912"/>
      <c r="Q22912" s="24"/>
      <c r="R22912"/>
      <c r="S22912"/>
      <c r="T22912"/>
      <c r="U22912"/>
      <c r="X22912" s="60"/>
    </row>
    <row r="22913" spans="7:24" ht="15" customHeight="1">
      <c r="G22913"/>
      <c r="I22913"/>
      <c r="N22913"/>
      <c r="O22913" s="24"/>
      <c r="P22913"/>
      <c r="Q22913" s="24"/>
      <c r="R22913"/>
      <c r="S22913"/>
      <c r="T22913"/>
      <c r="U22913"/>
      <c r="X22913" s="60"/>
    </row>
    <row r="22914" spans="7:24" ht="15" customHeight="1">
      <c r="G22914"/>
      <c r="I22914"/>
      <c r="N22914"/>
      <c r="O22914" s="24"/>
      <c r="P22914"/>
      <c r="Q22914" s="24"/>
      <c r="R22914"/>
      <c r="S22914"/>
      <c r="T22914"/>
      <c r="U22914"/>
      <c r="X22914" s="60"/>
    </row>
    <row r="22915" spans="7:24" ht="15" customHeight="1">
      <c r="G22915"/>
      <c r="I22915"/>
      <c r="N22915"/>
      <c r="O22915" s="24"/>
      <c r="P22915"/>
      <c r="Q22915" s="24"/>
      <c r="R22915"/>
      <c r="S22915"/>
      <c r="T22915"/>
      <c r="U22915"/>
      <c r="X22915" s="60"/>
    </row>
    <row r="22916" spans="7:24" ht="15" customHeight="1">
      <c r="G22916"/>
      <c r="I22916"/>
      <c r="N22916"/>
      <c r="O22916" s="24"/>
      <c r="P22916"/>
      <c r="Q22916" s="24"/>
      <c r="R22916"/>
      <c r="S22916"/>
      <c r="T22916"/>
      <c r="U22916"/>
      <c r="X22916" s="60"/>
    </row>
    <row r="22917" spans="7:24" ht="15" customHeight="1">
      <c r="G22917"/>
      <c r="I22917"/>
      <c r="N22917"/>
      <c r="O22917" s="24"/>
      <c r="P22917"/>
      <c r="Q22917" s="24"/>
      <c r="R22917"/>
      <c r="S22917"/>
      <c r="T22917"/>
      <c r="U22917"/>
      <c r="X22917" s="60"/>
    </row>
    <row r="22918" spans="7:24" ht="15" customHeight="1">
      <c r="G22918"/>
      <c r="I22918"/>
      <c r="N22918"/>
      <c r="O22918" s="24"/>
      <c r="P22918"/>
      <c r="Q22918" s="24"/>
      <c r="R22918"/>
      <c r="S22918"/>
      <c r="T22918"/>
      <c r="U22918"/>
      <c r="X22918" s="60"/>
    </row>
    <row r="22919" spans="7:24" ht="15" customHeight="1">
      <c r="G22919"/>
      <c r="I22919"/>
      <c r="N22919"/>
      <c r="O22919" s="24"/>
      <c r="P22919"/>
      <c r="Q22919" s="24"/>
      <c r="R22919"/>
      <c r="S22919"/>
      <c r="T22919"/>
      <c r="U22919"/>
      <c r="X22919" s="60"/>
    </row>
    <row r="22920" spans="7:24" ht="15" customHeight="1">
      <c r="G22920"/>
      <c r="I22920"/>
      <c r="N22920"/>
      <c r="O22920" s="24"/>
      <c r="P22920"/>
      <c r="Q22920" s="24"/>
      <c r="R22920"/>
      <c r="S22920"/>
      <c r="T22920"/>
      <c r="U22920"/>
      <c r="X22920" s="60"/>
    </row>
    <row r="22921" spans="7:24" ht="15" customHeight="1">
      <c r="G22921"/>
      <c r="I22921"/>
      <c r="N22921"/>
      <c r="O22921" s="24"/>
      <c r="P22921"/>
      <c r="Q22921" s="24"/>
      <c r="R22921"/>
      <c r="S22921"/>
      <c r="T22921"/>
      <c r="U22921"/>
      <c r="X22921" s="60"/>
    </row>
    <row r="22922" spans="7:24" ht="15" customHeight="1">
      <c r="G22922"/>
      <c r="I22922"/>
      <c r="N22922"/>
      <c r="O22922" s="24"/>
      <c r="P22922"/>
      <c r="Q22922" s="24"/>
      <c r="R22922"/>
      <c r="S22922"/>
      <c r="T22922"/>
      <c r="U22922"/>
      <c r="X22922" s="60"/>
    </row>
    <row r="22923" spans="7:24" ht="15" customHeight="1">
      <c r="G22923"/>
      <c r="I22923"/>
      <c r="N22923"/>
      <c r="O22923" s="24"/>
      <c r="P22923"/>
      <c r="Q22923" s="24"/>
      <c r="R22923"/>
      <c r="S22923"/>
      <c r="T22923"/>
      <c r="U22923"/>
      <c r="X22923" s="60"/>
    </row>
    <row r="22924" spans="7:24" ht="15" customHeight="1">
      <c r="G22924"/>
      <c r="I22924"/>
      <c r="N22924"/>
      <c r="O22924" s="24"/>
      <c r="P22924"/>
      <c r="Q22924" s="24"/>
      <c r="R22924"/>
      <c r="S22924"/>
      <c r="T22924"/>
      <c r="U22924"/>
      <c r="X22924" s="60"/>
    </row>
    <row r="22925" spans="7:24" ht="15" customHeight="1">
      <c r="G22925"/>
      <c r="I22925"/>
      <c r="N22925"/>
      <c r="O22925" s="24"/>
      <c r="P22925"/>
      <c r="Q22925" s="24"/>
      <c r="R22925"/>
      <c r="S22925"/>
      <c r="T22925"/>
      <c r="U22925"/>
      <c r="X22925" s="60"/>
    </row>
    <row r="22926" spans="7:24" ht="15" customHeight="1">
      <c r="G22926"/>
      <c r="I22926"/>
      <c r="N22926"/>
      <c r="O22926" s="24"/>
      <c r="P22926"/>
      <c r="Q22926" s="24"/>
      <c r="R22926"/>
      <c r="S22926"/>
      <c r="T22926"/>
      <c r="U22926"/>
      <c r="X22926" s="60"/>
    </row>
    <row r="22927" spans="7:24" ht="15" customHeight="1">
      <c r="G22927"/>
      <c r="I22927"/>
      <c r="N22927"/>
      <c r="O22927" s="24"/>
      <c r="P22927"/>
      <c r="Q22927" s="24"/>
      <c r="R22927"/>
      <c r="S22927"/>
      <c r="T22927"/>
      <c r="U22927"/>
      <c r="X22927" s="60"/>
    </row>
    <row r="22928" spans="7:24" ht="15" customHeight="1">
      <c r="G22928"/>
      <c r="I22928"/>
      <c r="N22928"/>
      <c r="O22928" s="24"/>
      <c r="P22928"/>
      <c r="Q22928" s="24"/>
      <c r="R22928"/>
      <c r="S22928"/>
      <c r="T22928"/>
      <c r="U22928"/>
      <c r="X22928" s="60"/>
    </row>
    <row r="22929" spans="7:24" ht="15" customHeight="1">
      <c r="G22929"/>
      <c r="I22929"/>
      <c r="N22929"/>
      <c r="O22929" s="24"/>
      <c r="P22929"/>
      <c r="Q22929" s="24"/>
      <c r="R22929"/>
      <c r="S22929"/>
      <c r="T22929"/>
      <c r="U22929"/>
      <c r="X22929" s="60"/>
    </row>
    <row r="22930" spans="7:24" ht="15" customHeight="1">
      <c r="G22930"/>
      <c r="I22930"/>
      <c r="N22930"/>
      <c r="O22930" s="24"/>
      <c r="P22930"/>
      <c r="Q22930" s="24"/>
      <c r="R22930"/>
      <c r="S22930"/>
      <c r="T22930"/>
      <c r="U22930"/>
      <c r="X22930" s="60"/>
    </row>
    <row r="22931" spans="7:24" ht="15" customHeight="1">
      <c r="G22931"/>
      <c r="I22931"/>
      <c r="N22931"/>
      <c r="O22931" s="24"/>
      <c r="P22931"/>
      <c r="Q22931" s="24"/>
      <c r="R22931"/>
      <c r="S22931"/>
      <c r="T22931"/>
      <c r="U22931"/>
      <c r="X22931" s="60"/>
    </row>
    <row r="22932" spans="7:24" ht="15" customHeight="1">
      <c r="G22932"/>
      <c r="I22932"/>
      <c r="N22932"/>
      <c r="O22932" s="24"/>
      <c r="P22932"/>
      <c r="Q22932" s="24"/>
      <c r="R22932"/>
      <c r="S22932"/>
      <c r="T22932"/>
      <c r="U22932"/>
      <c r="X22932" s="60"/>
    </row>
    <row r="22933" spans="7:24" ht="15" customHeight="1">
      <c r="G22933"/>
      <c r="I22933"/>
      <c r="N22933"/>
      <c r="O22933" s="24"/>
      <c r="P22933"/>
      <c r="Q22933" s="24"/>
      <c r="R22933"/>
      <c r="S22933"/>
      <c r="T22933"/>
      <c r="U22933"/>
      <c r="X22933" s="60"/>
    </row>
    <row r="22934" spans="7:24" ht="15" customHeight="1">
      <c r="G22934"/>
      <c r="I22934"/>
      <c r="N22934"/>
      <c r="O22934" s="24"/>
      <c r="P22934"/>
      <c r="Q22934" s="24"/>
      <c r="R22934"/>
      <c r="S22934"/>
      <c r="T22934"/>
      <c r="U22934"/>
      <c r="X22934" s="60"/>
    </row>
    <row r="22935" spans="7:24" ht="15" customHeight="1">
      <c r="G22935"/>
      <c r="I22935"/>
      <c r="N22935"/>
      <c r="O22935" s="24"/>
      <c r="P22935"/>
      <c r="Q22935" s="24"/>
      <c r="R22935"/>
      <c r="S22935"/>
      <c r="T22935"/>
      <c r="U22935"/>
      <c r="X22935" s="60"/>
    </row>
    <row r="22936" spans="7:24" ht="15" customHeight="1">
      <c r="G22936"/>
      <c r="I22936"/>
      <c r="N22936"/>
      <c r="O22936" s="24"/>
      <c r="P22936"/>
      <c r="Q22936" s="24"/>
      <c r="R22936"/>
      <c r="S22936"/>
      <c r="T22936"/>
      <c r="U22936"/>
      <c r="X22936" s="60"/>
    </row>
    <row r="22937" spans="7:24" ht="15" customHeight="1">
      <c r="G22937"/>
      <c r="I22937"/>
      <c r="N22937"/>
      <c r="O22937" s="24"/>
      <c r="P22937"/>
      <c r="Q22937" s="24"/>
      <c r="R22937"/>
      <c r="S22937"/>
      <c r="T22937"/>
      <c r="U22937"/>
      <c r="X22937" s="60"/>
    </row>
    <row r="22938" spans="7:24" ht="15" customHeight="1">
      <c r="G22938"/>
      <c r="I22938"/>
      <c r="N22938"/>
      <c r="O22938" s="24"/>
      <c r="P22938"/>
      <c r="Q22938" s="24"/>
      <c r="R22938"/>
      <c r="S22938"/>
      <c r="T22938"/>
      <c r="U22938"/>
      <c r="X22938" s="60"/>
    </row>
    <row r="22939" spans="7:24" ht="15" customHeight="1">
      <c r="G22939"/>
      <c r="I22939"/>
      <c r="N22939"/>
      <c r="O22939" s="24"/>
      <c r="P22939"/>
      <c r="Q22939" s="24"/>
      <c r="R22939"/>
      <c r="S22939"/>
      <c r="T22939"/>
      <c r="U22939"/>
      <c r="X22939" s="60"/>
    </row>
    <row r="22940" spans="7:24" ht="15" customHeight="1">
      <c r="G22940"/>
      <c r="I22940"/>
      <c r="N22940"/>
      <c r="O22940" s="24"/>
      <c r="P22940"/>
      <c r="Q22940" s="24"/>
      <c r="R22940"/>
      <c r="S22940"/>
      <c r="T22940"/>
      <c r="U22940"/>
      <c r="X22940" s="60"/>
    </row>
    <row r="22941" spans="7:24" ht="15" customHeight="1">
      <c r="G22941"/>
      <c r="I22941"/>
      <c r="N22941"/>
      <c r="O22941" s="24"/>
      <c r="P22941"/>
      <c r="Q22941" s="24"/>
      <c r="R22941"/>
      <c r="S22941"/>
      <c r="T22941"/>
      <c r="U22941"/>
      <c r="X22941" s="60"/>
    </row>
    <row r="22942" spans="7:24" ht="15" customHeight="1">
      <c r="G22942"/>
      <c r="I22942"/>
      <c r="N22942"/>
      <c r="O22942" s="24"/>
      <c r="P22942"/>
      <c r="Q22942" s="24"/>
      <c r="R22942"/>
      <c r="S22942"/>
      <c r="T22942"/>
      <c r="U22942"/>
      <c r="X22942" s="60"/>
    </row>
    <row r="22943" spans="7:24" ht="15" customHeight="1">
      <c r="G22943"/>
      <c r="I22943"/>
      <c r="N22943"/>
      <c r="O22943" s="24"/>
      <c r="P22943"/>
      <c r="Q22943" s="24"/>
      <c r="R22943"/>
      <c r="S22943"/>
      <c r="T22943"/>
      <c r="U22943"/>
      <c r="X22943" s="60"/>
    </row>
    <row r="22944" spans="7:24" ht="15" customHeight="1">
      <c r="G22944"/>
      <c r="I22944"/>
      <c r="N22944"/>
      <c r="O22944" s="24"/>
      <c r="P22944"/>
      <c r="Q22944" s="24"/>
      <c r="R22944"/>
      <c r="S22944"/>
      <c r="T22944"/>
      <c r="U22944"/>
      <c r="X22944" s="60"/>
    </row>
    <row r="22945" spans="7:24" ht="15" customHeight="1">
      <c r="G22945"/>
      <c r="I22945"/>
      <c r="N22945"/>
      <c r="O22945" s="24"/>
      <c r="P22945"/>
      <c r="Q22945" s="24"/>
      <c r="R22945"/>
      <c r="S22945"/>
      <c r="T22945"/>
      <c r="U22945"/>
      <c r="X22945" s="60"/>
    </row>
    <row r="22946" spans="7:24" ht="15" customHeight="1">
      <c r="G22946"/>
      <c r="I22946"/>
      <c r="N22946"/>
      <c r="O22946" s="24"/>
      <c r="P22946"/>
      <c r="Q22946" s="24"/>
      <c r="R22946"/>
      <c r="S22946"/>
      <c r="T22946"/>
      <c r="U22946"/>
      <c r="X22946" s="60"/>
    </row>
    <row r="22947" spans="7:24" ht="15" customHeight="1">
      <c r="G22947"/>
      <c r="I22947"/>
      <c r="N22947"/>
      <c r="O22947" s="24"/>
      <c r="P22947"/>
      <c r="Q22947" s="24"/>
      <c r="R22947"/>
      <c r="S22947"/>
      <c r="T22947"/>
      <c r="U22947"/>
      <c r="X22947" s="60"/>
    </row>
    <row r="22948" spans="7:24" ht="15" customHeight="1">
      <c r="G22948"/>
      <c r="I22948"/>
      <c r="N22948"/>
      <c r="O22948" s="24"/>
      <c r="P22948"/>
      <c r="Q22948" s="24"/>
      <c r="R22948"/>
      <c r="S22948"/>
      <c r="T22948"/>
      <c r="U22948"/>
      <c r="X22948" s="60"/>
    </row>
    <row r="22949" spans="7:24" ht="15" customHeight="1">
      <c r="G22949"/>
      <c r="I22949"/>
      <c r="N22949"/>
      <c r="O22949" s="24"/>
      <c r="P22949"/>
      <c r="Q22949" s="24"/>
      <c r="R22949"/>
      <c r="S22949"/>
      <c r="T22949"/>
      <c r="U22949"/>
      <c r="X22949" s="60"/>
    </row>
    <row r="22950" spans="7:24" ht="15" customHeight="1">
      <c r="G22950"/>
      <c r="I22950"/>
      <c r="N22950"/>
      <c r="O22950" s="24"/>
      <c r="P22950"/>
      <c r="Q22950" s="24"/>
      <c r="R22950"/>
      <c r="S22950"/>
      <c r="T22950"/>
      <c r="U22950"/>
      <c r="X22950" s="60"/>
    </row>
    <row r="22951" spans="7:24" ht="15" customHeight="1">
      <c r="G22951"/>
      <c r="I22951"/>
      <c r="N22951"/>
      <c r="O22951" s="24"/>
      <c r="P22951"/>
      <c r="Q22951" s="24"/>
      <c r="R22951"/>
      <c r="S22951"/>
      <c r="T22951"/>
      <c r="U22951"/>
      <c r="X22951" s="60"/>
    </row>
    <row r="22952" spans="7:24" ht="15" customHeight="1">
      <c r="G22952"/>
      <c r="I22952"/>
      <c r="N22952"/>
      <c r="O22952" s="24"/>
      <c r="P22952"/>
      <c r="Q22952" s="24"/>
      <c r="R22952"/>
      <c r="S22952"/>
      <c r="T22952"/>
      <c r="U22952"/>
      <c r="X22952" s="60"/>
    </row>
    <row r="22953" spans="7:24" ht="15" customHeight="1">
      <c r="G22953"/>
      <c r="I22953"/>
      <c r="N22953"/>
      <c r="O22953" s="24"/>
      <c r="P22953"/>
      <c r="Q22953" s="24"/>
      <c r="R22953"/>
      <c r="S22953"/>
      <c r="T22953"/>
      <c r="U22953"/>
      <c r="X22953" s="60"/>
    </row>
    <row r="22954" spans="7:24" ht="15" customHeight="1">
      <c r="G22954"/>
      <c r="I22954"/>
      <c r="N22954"/>
      <c r="O22954" s="24"/>
      <c r="P22954"/>
      <c r="Q22954" s="24"/>
      <c r="R22954"/>
      <c r="S22954"/>
      <c r="T22954"/>
      <c r="U22954"/>
      <c r="X22954" s="60"/>
    </row>
    <row r="22955" spans="7:24" ht="15" customHeight="1">
      <c r="G22955"/>
      <c r="I22955"/>
      <c r="N22955"/>
      <c r="O22955" s="24"/>
      <c r="P22955"/>
      <c r="Q22955" s="24"/>
      <c r="R22955"/>
      <c r="S22955"/>
      <c r="T22955"/>
      <c r="U22955"/>
      <c r="X22955" s="60"/>
    </row>
    <row r="22956" spans="7:24" ht="15" customHeight="1">
      <c r="G22956"/>
      <c r="I22956"/>
      <c r="N22956"/>
      <c r="O22956" s="24"/>
      <c r="P22956"/>
      <c r="Q22956" s="24"/>
      <c r="R22956"/>
      <c r="S22956"/>
      <c r="T22956"/>
      <c r="U22956"/>
      <c r="X22956" s="60"/>
    </row>
    <row r="22957" spans="7:24" ht="15" customHeight="1">
      <c r="G22957"/>
      <c r="I22957"/>
      <c r="N22957"/>
      <c r="O22957" s="24"/>
      <c r="P22957"/>
      <c r="Q22957" s="24"/>
      <c r="R22957"/>
      <c r="S22957"/>
      <c r="T22957"/>
      <c r="U22957"/>
      <c r="X22957" s="60"/>
    </row>
    <row r="22958" spans="7:24" ht="15" customHeight="1">
      <c r="G22958"/>
      <c r="I22958"/>
      <c r="N22958"/>
      <c r="O22958" s="24"/>
      <c r="P22958"/>
      <c r="Q22958" s="24"/>
      <c r="R22958"/>
      <c r="S22958"/>
      <c r="T22958"/>
      <c r="U22958"/>
      <c r="X22958" s="60"/>
    </row>
    <row r="22959" spans="7:24" ht="15" customHeight="1">
      <c r="G22959"/>
      <c r="I22959"/>
      <c r="N22959"/>
      <c r="O22959" s="24"/>
      <c r="P22959"/>
      <c r="Q22959" s="24"/>
      <c r="R22959"/>
      <c r="S22959"/>
      <c r="T22959"/>
      <c r="U22959"/>
      <c r="X22959" s="60"/>
    </row>
    <row r="22960" spans="7:24" ht="15" customHeight="1">
      <c r="G22960"/>
      <c r="I22960"/>
      <c r="N22960"/>
      <c r="O22960" s="24"/>
      <c r="P22960"/>
      <c r="Q22960" s="24"/>
      <c r="R22960"/>
      <c r="S22960"/>
      <c r="T22960"/>
      <c r="U22960"/>
      <c r="X22960" s="60"/>
    </row>
    <row r="22961" spans="7:24" ht="15" customHeight="1">
      <c r="G22961"/>
      <c r="I22961"/>
      <c r="N22961"/>
      <c r="O22961" s="24"/>
      <c r="P22961"/>
      <c r="Q22961" s="24"/>
      <c r="R22961"/>
      <c r="S22961"/>
      <c r="T22961"/>
      <c r="U22961"/>
      <c r="X22961" s="60"/>
    </row>
    <row r="22962" spans="7:24" ht="15" customHeight="1">
      <c r="G22962"/>
      <c r="I22962"/>
      <c r="N22962"/>
      <c r="O22962" s="24"/>
      <c r="P22962"/>
      <c r="Q22962" s="24"/>
      <c r="R22962"/>
      <c r="S22962"/>
      <c r="T22962"/>
      <c r="U22962"/>
      <c r="X22962" s="60"/>
    </row>
    <row r="22963" spans="7:24" ht="15" customHeight="1">
      <c r="G22963"/>
      <c r="I22963"/>
      <c r="N22963"/>
      <c r="O22963" s="24"/>
      <c r="P22963"/>
      <c r="Q22963" s="24"/>
      <c r="R22963"/>
      <c r="S22963"/>
      <c r="T22963"/>
      <c r="U22963"/>
      <c r="X22963" s="60"/>
    </row>
    <row r="22964" spans="7:24" ht="15" customHeight="1">
      <c r="G22964"/>
      <c r="I22964"/>
      <c r="N22964"/>
      <c r="O22964" s="24"/>
      <c r="P22964"/>
      <c r="Q22964" s="24"/>
      <c r="R22964"/>
      <c r="S22964"/>
      <c r="T22964"/>
      <c r="U22964"/>
      <c r="X22964" s="60"/>
    </row>
    <row r="22965" spans="7:24" ht="15" customHeight="1">
      <c r="G22965"/>
      <c r="I22965"/>
      <c r="N22965"/>
      <c r="O22965" s="24"/>
      <c r="P22965"/>
      <c r="Q22965" s="24"/>
      <c r="R22965"/>
      <c r="S22965"/>
      <c r="T22965"/>
      <c r="U22965"/>
      <c r="X22965" s="60"/>
    </row>
    <row r="22966" spans="7:24" ht="15" customHeight="1">
      <c r="G22966"/>
      <c r="I22966"/>
      <c r="N22966"/>
      <c r="O22966" s="24"/>
      <c r="P22966"/>
      <c r="Q22966" s="24"/>
      <c r="R22966"/>
      <c r="S22966"/>
      <c r="T22966"/>
      <c r="U22966"/>
      <c r="X22966" s="60"/>
    </row>
    <row r="22967" spans="7:24" ht="15" customHeight="1">
      <c r="G22967"/>
      <c r="I22967"/>
      <c r="N22967"/>
      <c r="O22967" s="24"/>
      <c r="P22967"/>
      <c r="Q22967" s="24"/>
      <c r="R22967"/>
      <c r="S22967"/>
      <c r="T22967"/>
      <c r="U22967"/>
      <c r="X22967" s="60"/>
    </row>
    <row r="22968" spans="7:24" ht="15" customHeight="1">
      <c r="G22968"/>
      <c r="I22968"/>
      <c r="N22968"/>
      <c r="O22968" s="24"/>
      <c r="P22968"/>
      <c r="Q22968" s="24"/>
      <c r="R22968"/>
      <c r="S22968"/>
      <c r="T22968"/>
      <c r="U22968"/>
      <c r="X22968" s="60"/>
    </row>
    <row r="22969" spans="7:24" ht="15" customHeight="1">
      <c r="G22969"/>
      <c r="I22969"/>
      <c r="N22969"/>
      <c r="O22969" s="24"/>
      <c r="P22969"/>
      <c r="Q22969" s="24"/>
      <c r="R22969"/>
      <c r="S22969"/>
      <c r="T22969"/>
      <c r="U22969"/>
      <c r="X22969" s="60"/>
    </row>
    <row r="22970" spans="7:24" ht="15" customHeight="1">
      <c r="G22970"/>
      <c r="I22970"/>
      <c r="N22970"/>
      <c r="O22970" s="24"/>
      <c r="P22970"/>
      <c r="Q22970" s="24"/>
      <c r="R22970"/>
      <c r="S22970"/>
      <c r="T22970"/>
      <c r="U22970"/>
      <c r="X22970" s="60"/>
    </row>
    <row r="22971" spans="7:24" ht="15" customHeight="1">
      <c r="G22971"/>
      <c r="I22971"/>
      <c r="N22971"/>
      <c r="O22971" s="24"/>
      <c r="P22971"/>
      <c r="Q22971" s="24"/>
      <c r="R22971"/>
      <c r="S22971"/>
      <c r="T22971"/>
      <c r="U22971"/>
      <c r="X22971" s="60"/>
    </row>
    <row r="22972" spans="7:24" ht="15" customHeight="1">
      <c r="G22972"/>
      <c r="I22972"/>
      <c r="N22972"/>
      <c r="O22972" s="24"/>
      <c r="P22972"/>
      <c r="Q22972" s="24"/>
      <c r="R22972"/>
      <c r="S22972"/>
      <c r="T22972"/>
      <c r="U22972"/>
      <c r="X22972" s="60"/>
    </row>
    <row r="22973" spans="7:24" ht="15" customHeight="1">
      <c r="G22973"/>
      <c r="I22973"/>
      <c r="N22973"/>
      <c r="O22973" s="24"/>
      <c r="P22973"/>
      <c r="Q22973" s="24"/>
      <c r="R22973"/>
      <c r="S22973"/>
      <c r="T22973"/>
      <c r="U22973"/>
      <c r="X22973" s="60"/>
    </row>
    <row r="22974" spans="7:24" ht="15" customHeight="1">
      <c r="G22974"/>
      <c r="I22974"/>
      <c r="N22974"/>
      <c r="O22974" s="24"/>
      <c r="P22974"/>
      <c r="Q22974" s="24"/>
      <c r="R22974"/>
      <c r="S22974"/>
      <c r="T22974"/>
      <c r="U22974"/>
      <c r="X22974" s="60"/>
    </row>
    <row r="22975" spans="7:24" ht="15" customHeight="1">
      <c r="G22975"/>
      <c r="I22975"/>
      <c r="N22975"/>
      <c r="O22975" s="24"/>
      <c r="P22975"/>
      <c r="Q22975" s="24"/>
      <c r="R22975"/>
      <c r="S22975"/>
      <c r="T22975"/>
      <c r="U22975"/>
      <c r="X22975" s="60"/>
    </row>
    <row r="22976" spans="7:24" ht="15" customHeight="1">
      <c r="G22976"/>
      <c r="I22976"/>
      <c r="N22976"/>
      <c r="O22976" s="24"/>
      <c r="P22976"/>
      <c r="Q22976" s="24"/>
      <c r="R22976"/>
      <c r="S22976"/>
      <c r="T22976"/>
      <c r="U22976"/>
      <c r="X22976" s="60"/>
    </row>
    <row r="22977" spans="7:24" ht="15" customHeight="1">
      <c r="G22977"/>
      <c r="I22977"/>
      <c r="N22977"/>
      <c r="O22977" s="24"/>
      <c r="P22977"/>
      <c r="Q22977" s="24"/>
      <c r="R22977"/>
      <c r="S22977"/>
      <c r="T22977"/>
      <c r="U22977"/>
      <c r="X22977" s="60"/>
    </row>
    <row r="22978" spans="7:24" ht="15" customHeight="1">
      <c r="G22978"/>
      <c r="I22978"/>
      <c r="N22978"/>
      <c r="O22978" s="24"/>
      <c r="P22978"/>
      <c r="Q22978" s="24"/>
      <c r="R22978"/>
      <c r="S22978"/>
      <c r="T22978"/>
      <c r="U22978"/>
      <c r="X22978" s="60"/>
    </row>
    <row r="22979" spans="7:24" ht="15" customHeight="1">
      <c r="G22979"/>
      <c r="I22979"/>
      <c r="N22979"/>
      <c r="O22979" s="24"/>
      <c r="P22979"/>
      <c r="Q22979" s="24"/>
      <c r="R22979"/>
      <c r="S22979"/>
      <c r="T22979"/>
      <c r="U22979"/>
      <c r="X22979" s="60"/>
    </row>
    <row r="22980" spans="7:24" ht="15" customHeight="1">
      <c r="G22980"/>
      <c r="I22980"/>
      <c r="N22980"/>
      <c r="O22980" s="24"/>
      <c r="P22980"/>
      <c r="Q22980" s="24"/>
      <c r="R22980"/>
      <c r="S22980"/>
      <c r="T22980"/>
      <c r="U22980"/>
      <c r="X22980" s="60"/>
    </row>
    <row r="22981" spans="7:24" ht="15" customHeight="1">
      <c r="G22981"/>
      <c r="I22981"/>
      <c r="N22981"/>
      <c r="O22981" s="24"/>
      <c r="P22981"/>
      <c r="Q22981" s="24"/>
      <c r="R22981"/>
      <c r="S22981"/>
      <c r="T22981"/>
      <c r="U22981"/>
      <c r="X22981" s="60"/>
    </row>
    <row r="22982" spans="7:24" ht="15" customHeight="1">
      <c r="G22982"/>
      <c r="I22982"/>
      <c r="N22982"/>
      <c r="O22982" s="24"/>
      <c r="P22982"/>
      <c r="Q22982" s="24"/>
      <c r="R22982"/>
      <c r="S22982"/>
      <c r="T22982"/>
      <c r="U22982"/>
      <c r="X22982" s="60"/>
    </row>
    <row r="22983" spans="7:24" ht="15" customHeight="1">
      <c r="G22983"/>
      <c r="I22983"/>
      <c r="N22983"/>
      <c r="O22983" s="24"/>
      <c r="P22983"/>
      <c r="Q22983" s="24"/>
      <c r="R22983"/>
      <c r="S22983"/>
      <c r="T22983"/>
      <c r="U22983"/>
      <c r="X22983" s="60"/>
    </row>
    <row r="22984" spans="7:24" ht="15" customHeight="1">
      <c r="G22984"/>
      <c r="I22984"/>
      <c r="N22984"/>
      <c r="O22984" s="24"/>
      <c r="P22984"/>
      <c r="Q22984" s="24"/>
      <c r="R22984"/>
      <c r="S22984"/>
      <c r="T22984"/>
      <c r="U22984"/>
      <c r="X22984" s="60"/>
    </row>
    <row r="22985" spans="7:24" ht="15" customHeight="1">
      <c r="G22985"/>
      <c r="I22985"/>
      <c r="N22985"/>
      <c r="O22985" s="24"/>
      <c r="P22985"/>
      <c r="Q22985" s="24"/>
      <c r="R22985"/>
      <c r="S22985"/>
      <c r="T22985"/>
      <c r="U22985"/>
      <c r="X22985" s="60"/>
    </row>
    <row r="22986" spans="7:24" ht="15" customHeight="1">
      <c r="G22986"/>
      <c r="I22986"/>
      <c r="N22986"/>
      <c r="O22986" s="24"/>
      <c r="P22986"/>
      <c r="Q22986" s="24"/>
      <c r="R22986"/>
      <c r="S22986"/>
      <c r="T22986"/>
      <c r="U22986"/>
      <c r="X22986" s="60"/>
    </row>
    <row r="22987" spans="7:24" ht="15" customHeight="1">
      <c r="G22987"/>
      <c r="I22987"/>
      <c r="N22987"/>
      <c r="O22987" s="24"/>
      <c r="P22987"/>
      <c r="Q22987" s="24"/>
      <c r="R22987"/>
      <c r="S22987"/>
      <c r="T22987"/>
      <c r="U22987"/>
      <c r="X22987" s="60"/>
    </row>
    <row r="22988" spans="7:24" ht="15" customHeight="1">
      <c r="G22988"/>
      <c r="I22988"/>
      <c r="N22988"/>
      <c r="O22988" s="24"/>
      <c r="P22988"/>
      <c r="Q22988" s="24"/>
      <c r="R22988"/>
      <c r="S22988"/>
      <c r="T22988"/>
      <c r="U22988"/>
      <c r="X22988" s="60"/>
    </row>
    <row r="22989" spans="7:24" ht="15" customHeight="1">
      <c r="G22989"/>
      <c r="I22989"/>
      <c r="N22989"/>
      <c r="O22989" s="24"/>
      <c r="P22989"/>
      <c r="Q22989" s="24"/>
      <c r="R22989"/>
      <c r="S22989"/>
      <c r="T22989"/>
      <c r="U22989"/>
      <c r="X22989" s="60"/>
    </row>
    <row r="22990" spans="7:24" ht="15" customHeight="1">
      <c r="G22990"/>
      <c r="I22990"/>
      <c r="N22990"/>
      <c r="O22990" s="24"/>
      <c r="P22990"/>
      <c r="Q22990" s="24"/>
      <c r="R22990"/>
      <c r="S22990"/>
      <c r="T22990"/>
      <c r="U22990"/>
      <c r="X22990" s="60"/>
    </row>
    <row r="22991" spans="7:24" ht="15" customHeight="1">
      <c r="G22991"/>
      <c r="I22991"/>
      <c r="N22991"/>
      <c r="O22991" s="24"/>
      <c r="P22991"/>
      <c r="Q22991" s="24"/>
      <c r="R22991"/>
      <c r="S22991"/>
      <c r="T22991"/>
      <c r="U22991"/>
      <c r="X22991" s="60"/>
    </row>
    <row r="22992" spans="7:24" ht="15" customHeight="1">
      <c r="G22992"/>
      <c r="I22992"/>
      <c r="N22992"/>
      <c r="O22992" s="24"/>
      <c r="P22992"/>
      <c r="Q22992" s="24"/>
      <c r="R22992"/>
      <c r="S22992"/>
      <c r="T22992"/>
      <c r="U22992"/>
      <c r="X22992" s="60"/>
    </row>
    <row r="22993" spans="7:24" ht="15" customHeight="1">
      <c r="G22993"/>
      <c r="I22993"/>
      <c r="N22993"/>
      <c r="O22993" s="24"/>
      <c r="P22993"/>
      <c r="Q22993" s="24"/>
      <c r="R22993"/>
      <c r="S22993"/>
      <c r="T22993"/>
      <c r="U22993"/>
      <c r="X22993" s="60"/>
    </row>
    <row r="22994" spans="7:24" ht="15" customHeight="1">
      <c r="G22994"/>
      <c r="I22994"/>
      <c r="N22994"/>
      <c r="O22994" s="24"/>
      <c r="P22994"/>
      <c r="Q22994" s="24"/>
      <c r="R22994"/>
      <c r="S22994"/>
      <c r="T22994"/>
      <c r="U22994"/>
      <c r="X22994" s="60"/>
    </row>
    <row r="22995" spans="7:24" ht="15" customHeight="1">
      <c r="G22995"/>
      <c r="I22995"/>
      <c r="N22995"/>
      <c r="O22995" s="24"/>
      <c r="P22995"/>
      <c r="Q22995" s="24"/>
      <c r="R22995"/>
      <c r="S22995"/>
      <c r="T22995"/>
      <c r="U22995"/>
      <c r="X22995" s="60"/>
    </row>
    <row r="22996" spans="7:24" ht="15" customHeight="1">
      <c r="G22996"/>
      <c r="I22996"/>
      <c r="N22996"/>
      <c r="O22996" s="24"/>
      <c r="P22996"/>
      <c r="Q22996" s="24"/>
      <c r="R22996"/>
      <c r="S22996"/>
      <c r="T22996"/>
      <c r="U22996"/>
      <c r="X22996" s="60"/>
    </row>
    <row r="22997" spans="7:24" ht="15" customHeight="1">
      <c r="G22997"/>
      <c r="I22997"/>
      <c r="N22997"/>
      <c r="O22997" s="24"/>
      <c r="P22997"/>
      <c r="Q22997" s="24"/>
      <c r="R22997"/>
      <c r="S22997"/>
      <c r="T22997"/>
      <c r="U22997"/>
      <c r="X22997" s="60"/>
    </row>
    <row r="22998" spans="7:24" ht="15" customHeight="1">
      <c r="G22998"/>
      <c r="I22998"/>
      <c r="N22998"/>
      <c r="O22998" s="24"/>
      <c r="P22998"/>
      <c r="Q22998" s="24"/>
      <c r="R22998"/>
      <c r="S22998"/>
      <c r="T22998"/>
      <c r="U22998"/>
      <c r="X22998" s="60"/>
    </row>
    <row r="22999" spans="7:24" ht="15" customHeight="1">
      <c r="G22999"/>
      <c r="I22999"/>
      <c r="N22999"/>
      <c r="O22999" s="24"/>
      <c r="P22999"/>
      <c r="Q22999" s="24"/>
      <c r="R22999"/>
      <c r="S22999"/>
      <c r="T22999"/>
      <c r="U22999"/>
      <c r="X22999" s="60"/>
    </row>
    <row r="23000" spans="7:24" ht="15" customHeight="1">
      <c r="G23000"/>
      <c r="I23000"/>
      <c r="N23000"/>
      <c r="O23000" s="24"/>
      <c r="P23000"/>
      <c r="Q23000" s="24"/>
      <c r="R23000"/>
      <c r="S23000"/>
      <c r="T23000"/>
      <c r="U23000"/>
      <c r="X23000" s="60"/>
    </row>
    <row r="23001" spans="7:24" ht="15" customHeight="1">
      <c r="G23001"/>
      <c r="I23001"/>
      <c r="N23001"/>
      <c r="O23001" s="24"/>
      <c r="P23001"/>
      <c r="Q23001" s="24"/>
      <c r="R23001"/>
      <c r="S23001"/>
      <c r="T23001"/>
      <c r="U23001"/>
      <c r="X23001" s="60"/>
    </row>
    <row r="23002" spans="7:24" ht="15" customHeight="1">
      <c r="G23002"/>
      <c r="I23002"/>
      <c r="N23002"/>
      <c r="O23002" s="24"/>
      <c r="P23002"/>
      <c r="Q23002" s="24"/>
      <c r="R23002"/>
      <c r="S23002"/>
      <c r="T23002"/>
      <c r="U23002"/>
      <c r="X23002" s="60"/>
    </row>
    <row r="23003" spans="7:24" ht="15" customHeight="1">
      <c r="G23003"/>
      <c r="I23003"/>
      <c r="N23003"/>
      <c r="O23003" s="24"/>
      <c r="P23003"/>
      <c r="Q23003" s="24"/>
      <c r="R23003"/>
      <c r="S23003"/>
      <c r="T23003"/>
      <c r="U23003"/>
      <c r="X23003" s="60"/>
    </row>
    <row r="23004" spans="7:24" ht="15" customHeight="1">
      <c r="G23004"/>
      <c r="I23004"/>
      <c r="N23004"/>
      <c r="O23004" s="24"/>
      <c r="P23004"/>
      <c r="Q23004" s="24"/>
      <c r="R23004"/>
      <c r="S23004"/>
      <c r="T23004"/>
      <c r="U23004"/>
      <c r="X23004" s="60"/>
    </row>
    <row r="23005" spans="7:24" ht="15" customHeight="1">
      <c r="G23005"/>
      <c r="I23005"/>
      <c r="N23005"/>
      <c r="O23005" s="24"/>
      <c r="P23005"/>
      <c r="Q23005" s="24"/>
      <c r="R23005"/>
      <c r="S23005"/>
      <c r="T23005"/>
      <c r="U23005"/>
      <c r="X23005" s="60"/>
    </row>
    <row r="23006" spans="7:24" ht="15" customHeight="1">
      <c r="G23006"/>
      <c r="I23006"/>
      <c r="N23006"/>
      <c r="O23006" s="24"/>
      <c r="P23006"/>
      <c r="Q23006" s="24"/>
      <c r="R23006"/>
      <c r="S23006"/>
      <c r="T23006"/>
      <c r="U23006"/>
      <c r="X23006" s="60"/>
    </row>
    <row r="23007" spans="7:24" ht="15" customHeight="1">
      <c r="G23007"/>
      <c r="I23007"/>
      <c r="N23007"/>
      <c r="O23007" s="24"/>
      <c r="P23007"/>
      <c r="Q23007" s="24"/>
      <c r="R23007"/>
      <c r="S23007"/>
      <c r="T23007"/>
      <c r="U23007"/>
      <c r="X23007" s="60"/>
    </row>
    <row r="23008" spans="7:24" ht="15" customHeight="1">
      <c r="G23008"/>
      <c r="I23008"/>
      <c r="N23008"/>
      <c r="O23008" s="24"/>
      <c r="P23008"/>
      <c r="Q23008" s="24"/>
      <c r="R23008"/>
      <c r="S23008"/>
      <c r="T23008"/>
      <c r="U23008"/>
      <c r="X23008" s="60"/>
    </row>
    <row r="23009" spans="7:24" ht="15" customHeight="1">
      <c r="G23009"/>
      <c r="I23009"/>
      <c r="N23009"/>
      <c r="O23009" s="24"/>
      <c r="P23009"/>
      <c r="Q23009" s="24"/>
      <c r="R23009"/>
      <c r="S23009"/>
      <c r="T23009"/>
      <c r="U23009"/>
      <c r="X23009" s="60"/>
    </row>
    <row r="23010" spans="7:24" ht="15" customHeight="1">
      <c r="G23010"/>
      <c r="I23010"/>
      <c r="N23010"/>
      <c r="O23010" s="24"/>
      <c r="P23010"/>
      <c r="Q23010" s="24"/>
      <c r="R23010"/>
      <c r="S23010"/>
      <c r="T23010"/>
      <c r="U23010"/>
      <c r="X23010" s="60"/>
    </row>
    <row r="23011" spans="7:24" ht="15" customHeight="1">
      <c r="G23011"/>
      <c r="I23011"/>
      <c r="N23011"/>
      <c r="O23011" s="24"/>
      <c r="P23011"/>
      <c r="Q23011" s="24"/>
      <c r="R23011"/>
      <c r="S23011"/>
      <c r="T23011"/>
      <c r="U23011"/>
      <c r="X23011" s="60"/>
    </row>
    <row r="23012" spans="7:24" ht="15" customHeight="1">
      <c r="G23012"/>
      <c r="I23012"/>
      <c r="N23012"/>
      <c r="O23012" s="24"/>
      <c r="P23012"/>
      <c r="Q23012" s="24"/>
      <c r="R23012"/>
      <c r="S23012"/>
      <c r="T23012"/>
      <c r="U23012"/>
      <c r="X23012" s="60"/>
    </row>
    <row r="23013" spans="7:24" ht="15" customHeight="1">
      <c r="G23013"/>
      <c r="I23013"/>
      <c r="N23013"/>
      <c r="O23013" s="24"/>
      <c r="P23013"/>
      <c r="Q23013" s="24"/>
      <c r="R23013"/>
      <c r="S23013"/>
      <c r="T23013"/>
      <c r="U23013"/>
      <c r="X23013" s="60"/>
    </row>
    <row r="23014" spans="7:24" ht="15" customHeight="1">
      <c r="G23014"/>
      <c r="I23014"/>
      <c r="N23014"/>
      <c r="O23014" s="24"/>
      <c r="P23014"/>
      <c r="Q23014" s="24"/>
      <c r="R23014"/>
      <c r="S23014"/>
      <c r="T23014"/>
      <c r="U23014"/>
      <c r="X23014" s="60"/>
    </row>
    <row r="23015" spans="7:24" ht="15" customHeight="1">
      <c r="G23015"/>
      <c r="I23015"/>
      <c r="N23015"/>
      <c r="O23015" s="24"/>
      <c r="P23015"/>
      <c r="Q23015" s="24"/>
      <c r="R23015"/>
      <c r="S23015"/>
      <c r="T23015"/>
      <c r="U23015"/>
      <c r="X23015" s="60"/>
    </row>
    <row r="23016" spans="7:24" ht="15" customHeight="1">
      <c r="G23016"/>
      <c r="I23016"/>
      <c r="N23016"/>
      <c r="O23016" s="24"/>
      <c r="P23016"/>
      <c r="Q23016" s="24"/>
      <c r="R23016"/>
      <c r="S23016"/>
      <c r="T23016"/>
      <c r="U23016"/>
      <c r="X23016" s="60"/>
    </row>
    <row r="23017" spans="7:24" ht="15" customHeight="1">
      <c r="G23017"/>
      <c r="I23017"/>
      <c r="N23017"/>
      <c r="O23017" s="24"/>
      <c r="P23017"/>
      <c r="Q23017" s="24"/>
      <c r="R23017"/>
      <c r="S23017"/>
      <c r="T23017"/>
      <c r="U23017"/>
      <c r="X23017" s="60"/>
    </row>
    <row r="23018" spans="7:24" ht="15" customHeight="1">
      <c r="G23018"/>
      <c r="I23018"/>
      <c r="N23018"/>
      <c r="O23018" s="24"/>
      <c r="P23018"/>
      <c r="Q23018" s="24"/>
      <c r="R23018"/>
      <c r="S23018"/>
      <c r="T23018"/>
      <c r="U23018"/>
      <c r="X23018" s="60"/>
    </row>
    <row r="23019" spans="7:24" ht="15" customHeight="1">
      <c r="G23019"/>
      <c r="I23019"/>
      <c r="N23019"/>
      <c r="O23019" s="24"/>
      <c r="P23019"/>
      <c r="Q23019" s="24"/>
      <c r="R23019"/>
      <c r="S23019"/>
      <c r="T23019"/>
      <c r="U23019"/>
      <c r="X23019" s="60"/>
    </row>
    <row r="23020" spans="7:24" ht="15" customHeight="1">
      <c r="G23020"/>
      <c r="I23020"/>
      <c r="N23020"/>
      <c r="O23020" s="24"/>
      <c r="P23020"/>
      <c r="Q23020" s="24"/>
      <c r="R23020"/>
      <c r="S23020"/>
      <c r="T23020"/>
      <c r="U23020"/>
      <c r="X23020" s="60"/>
    </row>
    <row r="23021" spans="7:24" ht="15" customHeight="1">
      <c r="G23021"/>
      <c r="I23021"/>
      <c r="N23021"/>
      <c r="O23021" s="24"/>
      <c r="P23021"/>
      <c r="Q23021" s="24"/>
      <c r="R23021"/>
      <c r="S23021"/>
      <c r="T23021"/>
      <c r="U23021"/>
      <c r="X23021" s="60"/>
    </row>
    <row r="23022" spans="7:24" ht="15" customHeight="1">
      <c r="G23022"/>
      <c r="I23022"/>
      <c r="N23022"/>
      <c r="O23022" s="24"/>
      <c r="P23022"/>
      <c r="Q23022" s="24"/>
      <c r="R23022"/>
      <c r="S23022"/>
      <c r="T23022"/>
      <c r="U23022"/>
      <c r="X23022" s="60"/>
    </row>
    <row r="23023" spans="7:24" ht="15" customHeight="1">
      <c r="G23023"/>
      <c r="I23023"/>
      <c r="N23023"/>
      <c r="O23023" s="24"/>
      <c r="P23023"/>
      <c r="Q23023" s="24"/>
      <c r="R23023"/>
      <c r="S23023"/>
      <c r="T23023"/>
      <c r="U23023"/>
      <c r="X23023" s="60"/>
    </row>
    <row r="23024" spans="7:24" ht="15" customHeight="1">
      <c r="G23024"/>
      <c r="I23024"/>
      <c r="N23024"/>
      <c r="O23024" s="24"/>
      <c r="P23024"/>
      <c r="Q23024" s="24"/>
      <c r="R23024"/>
      <c r="S23024"/>
      <c r="T23024"/>
      <c r="U23024"/>
      <c r="X23024" s="60"/>
    </row>
    <row r="23025" spans="7:24" ht="15" customHeight="1">
      <c r="G23025"/>
      <c r="I23025"/>
      <c r="N23025"/>
      <c r="O23025" s="24"/>
      <c r="P23025"/>
      <c r="Q23025" s="24"/>
      <c r="R23025"/>
      <c r="S23025"/>
      <c r="T23025"/>
      <c r="U23025"/>
      <c r="X23025" s="60"/>
    </row>
    <row r="23026" spans="7:24" ht="15" customHeight="1">
      <c r="G23026"/>
      <c r="I23026"/>
      <c r="N23026"/>
      <c r="O23026" s="24"/>
      <c r="P23026"/>
      <c r="Q23026" s="24"/>
      <c r="R23026"/>
      <c r="S23026"/>
      <c r="T23026"/>
      <c r="U23026"/>
      <c r="X23026" s="60"/>
    </row>
    <row r="23027" spans="7:24" ht="15" customHeight="1">
      <c r="G23027"/>
      <c r="I23027"/>
      <c r="N23027"/>
      <c r="O23027" s="24"/>
      <c r="P23027"/>
      <c r="Q23027" s="24"/>
      <c r="R23027"/>
      <c r="S23027"/>
      <c r="T23027"/>
      <c r="U23027"/>
      <c r="X23027" s="60"/>
    </row>
    <row r="23028" spans="7:24" ht="15" customHeight="1">
      <c r="G23028"/>
      <c r="I23028"/>
      <c r="N23028"/>
      <c r="O23028" s="24"/>
      <c r="P23028"/>
      <c r="Q23028" s="24"/>
      <c r="R23028"/>
      <c r="S23028"/>
      <c r="T23028"/>
      <c r="U23028"/>
      <c r="X23028" s="60"/>
    </row>
    <row r="23029" spans="7:24" ht="15" customHeight="1">
      <c r="G23029"/>
      <c r="I23029"/>
      <c r="N23029"/>
      <c r="O23029" s="24"/>
      <c r="P23029"/>
      <c r="Q23029" s="24"/>
      <c r="R23029"/>
      <c r="S23029"/>
      <c r="T23029"/>
      <c r="U23029"/>
      <c r="X23029" s="60"/>
    </row>
    <row r="23030" spans="7:24" ht="15" customHeight="1">
      <c r="G23030"/>
      <c r="I23030"/>
      <c r="N23030"/>
      <c r="O23030" s="24"/>
      <c r="P23030"/>
      <c r="Q23030" s="24"/>
      <c r="R23030"/>
      <c r="S23030"/>
      <c r="T23030"/>
      <c r="U23030"/>
      <c r="X23030" s="60"/>
    </row>
    <row r="23031" spans="7:24" ht="15" customHeight="1">
      <c r="G23031"/>
      <c r="I23031"/>
      <c r="N23031"/>
      <c r="O23031" s="24"/>
      <c r="P23031"/>
      <c r="Q23031" s="24"/>
      <c r="R23031"/>
      <c r="S23031"/>
      <c r="T23031"/>
      <c r="U23031"/>
      <c r="X23031" s="60"/>
    </row>
    <row r="23032" spans="7:24" ht="15" customHeight="1">
      <c r="G23032"/>
      <c r="I23032"/>
      <c r="N23032"/>
      <c r="O23032" s="24"/>
      <c r="P23032"/>
      <c r="Q23032" s="24"/>
      <c r="R23032"/>
      <c r="S23032"/>
      <c r="T23032"/>
      <c r="U23032"/>
      <c r="X23032" s="60"/>
    </row>
    <row r="23033" spans="7:24" ht="15" customHeight="1">
      <c r="G23033"/>
      <c r="I23033"/>
      <c r="N23033"/>
      <c r="O23033" s="24"/>
      <c r="P23033"/>
      <c r="Q23033" s="24"/>
      <c r="R23033"/>
      <c r="S23033"/>
      <c r="T23033"/>
      <c r="U23033"/>
      <c r="X23033" s="60"/>
    </row>
    <row r="23034" spans="7:24" ht="15" customHeight="1">
      <c r="G23034"/>
      <c r="I23034"/>
      <c r="N23034"/>
      <c r="O23034" s="24"/>
      <c r="P23034"/>
      <c r="Q23034" s="24"/>
      <c r="R23034"/>
      <c r="S23034"/>
      <c r="T23034"/>
      <c r="U23034"/>
      <c r="X23034" s="60"/>
    </row>
    <row r="23035" spans="7:24" ht="15" customHeight="1">
      <c r="G23035"/>
      <c r="I23035"/>
      <c r="N23035"/>
      <c r="O23035" s="24"/>
      <c r="P23035"/>
      <c r="Q23035" s="24"/>
      <c r="R23035"/>
      <c r="S23035"/>
      <c r="T23035"/>
      <c r="U23035"/>
      <c r="X23035" s="60"/>
    </row>
    <row r="23036" spans="7:24" ht="15" customHeight="1">
      <c r="G23036"/>
      <c r="I23036"/>
      <c r="N23036"/>
      <c r="O23036" s="24"/>
      <c r="P23036"/>
      <c r="Q23036" s="24"/>
      <c r="R23036"/>
      <c r="S23036"/>
      <c r="T23036"/>
      <c r="U23036"/>
      <c r="X23036" s="60"/>
    </row>
    <row r="23037" spans="7:24" ht="15" customHeight="1">
      <c r="G23037"/>
      <c r="I23037"/>
      <c r="N23037"/>
      <c r="O23037" s="24"/>
      <c r="P23037"/>
      <c r="Q23037" s="24"/>
      <c r="R23037"/>
      <c r="S23037"/>
      <c r="T23037"/>
      <c r="U23037"/>
      <c r="X23037" s="60"/>
    </row>
    <row r="23038" spans="7:24" ht="15" customHeight="1">
      <c r="G23038"/>
      <c r="I23038"/>
      <c r="N23038"/>
      <c r="O23038" s="24"/>
      <c r="P23038"/>
      <c r="Q23038" s="24"/>
      <c r="R23038"/>
      <c r="S23038"/>
      <c r="T23038"/>
      <c r="U23038"/>
      <c r="X23038" s="60"/>
    </row>
    <row r="23039" spans="7:24" ht="15" customHeight="1">
      <c r="G23039"/>
      <c r="I23039"/>
      <c r="N23039"/>
      <c r="O23039" s="24"/>
      <c r="P23039"/>
      <c r="Q23039" s="24"/>
      <c r="R23039"/>
      <c r="S23039"/>
      <c r="T23039"/>
      <c r="U23039"/>
      <c r="X23039" s="60"/>
    </row>
    <row r="23040" spans="7:24" ht="15" customHeight="1">
      <c r="G23040"/>
      <c r="I23040"/>
      <c r="N23040"/>
      <c r="O23040" s="24"/>
      <c r="P23040"/>
      <c r="Q23040" s="24"/>
      <c r="R23040"/>
      <c r="S23040"/>
      <c r="T23040"/>
      <c r="U23040"/>
      <c r="X23040" s="60"/>
    </row>
    <row r="23041" spans="7:24" ht="15" customHeight="1">
      <c r="G23041"/>
      <c r="I23041"/>
      <c r="N23041"/>
      <c r="O23041" s="24"/>
      <c r="P23041"/>
      <c r="Q23041" s="24"/>
      <c r="R23041"/>
      <c r="S23041"/>
      <c r="T23041"/>
      <c r="U23041"/>
      <c r="X23041" s="60"/>
    </row>
    <row r="23042" spans="7:24" ht="15" customHeight="1">
      <c r="G23042"/>
      <c r="I23042"/>
      <c r="N23042"/>
      <c r="O23042" s="24"/>
      <c r="P23042"/>
      <c r="Q23042" s="24"/>
      <c r="R23042"/>
      <c r="S23042"/>
      <c r="T23042"/>
      <c r="U23042"/>
      <c r="X23042" s="60"/>
    </row>
    <row r="23043" spans="7:24" ht="15" customHeight="1">
      <c r="G23043"/>
      <c r="I23043"/>
      <c r="N23043"/>
      <c r="O23043" s="24"/>
      <c r="P23043"/>
      <c r="Q23043" s="24"/>
      <c r="R23043"/>
      <c r="S23043"/>
      <c r="T23043"/>
      <c r="U23043"/>
      <c r="X23043" s="60"/>
    </row>
    <row r="23044" spans="7:24" ht="15" customHeight="1">
      <c r="G23044"/>
      <c r="I23044"/>
      <c r="N23044"/>
      <c r="O23044" s="24"/>
      <c r="P23044"/>
      <c r="Q23044" s="24"/>
      <c r="R23044"/>
      <c r="S23044"/>
      <c r="T23044"/>
      <c r="U23044"/>
      <c r="X23044" s="60"/>
    </row>
    <row r="23045" spans="7:24" ht="15" customHeight="1">
      <c r="G23045"/>
      <c r="I23045"/>
      <c r="N23045"/>
      <c r="O23045" s="24"/>
      <c r="P23045"/>
      <c r="Q23045" s="24"/>
      <c r="R23045"/>
      <c r="S23045"/>
      <c r="T23045"/>
      <c r="U23045"/>
      <c r="X23045" s="60"/>
    </row>
    <row r="23046" spans="7:24" ht="15" customHeight="1">
      <c r="G23046"/>
      <c r="I23046"/>
      <c r="N23046"/>
      <c r="O23046" s="24"/>
      <c r="P23046"/>
      <c r="Q23046" s="24"/>
      <c r="R23046"/>
      <c r="S23046"/>
      <c r="T23046"/>
      <c r="U23046"/>
      <c r="X23046" s="60"/>
    </row>
    <row r="23047" spans="7:24" ht="15" customHeight="1">
      <c r="G23047"/>
      <c r="I23047"/>
      <c r="N23047"/>
      <c r="O23047" s="24"/>
      <c r="P23047"/>
      <c r="Q23047" s="24"/>
      <c r="R23047"/>
      <c r="S23047"/>
      <c r="T23047"/>
      <c r="U23047"/>
      <c r="X23047" s="60"/>
    </row>
    <row r="23048" spans="7:24" ht="15" customHeight="1">
      <c r="G23048"/>
      <c r="I23048"/>
      <c r="N23048"/>
      <c r="O23048" s="24"/>
      <c r="P23048"/>
      <c r="Q23048" s="24"/>
      <c r="R23048"/>
      <c r="S23048"/>
      <c r="T23048"/>
      <c r="U23048"/>
      <c r="X23048" s="60"/>
    </row>
    <row r="23049" spans="7:24" ht="15" customHeight="1">
      <c r="G23049"/>
      <c r="I23049"/>
      <c r="N23049"/>
      <c r="O23049" s="24"/>
      <c r="P23049"/>
      <c r="Q23049" s="24"/>
      <c r="R23049"/>
      <c r="S23049"/>
      <c r="T23049"/>
      <c r="U23049"/>
      <c r="X23049" s="60"/>
    </row>
    <row r="23050" spans="7:24" ht="15" customHeight="1">
      <c r="G23050"/>
      <c r="I23050"/>
      <c r="N23050"/>
      <c r="O23050" s="24"/>
      <c r="P23050"/>
      <c r="Q23050" s="24"/>
      <c r="R23050"/>
      <c r="S23050"/>
      <c r="T23050"/>
      <c r="U23050"/>
      <c r="X23050" s="60"/>
    </row>
    <row r="23051" spans="7:24" ht="15" customHeight="1">
      <c r="G23051"/>
      <c r="I23051"/>
      <c r="N23051"/>
      <c r="O23051" s="24"/>
      <c r="P23051"/>
      <c r="Q23051" s="24"/>
      <c r="R23051"/>
      <c r="S23051"/>
      <c r="T23051"/>
      <c r="U23051"/>
      <c r="X23051" s="60"/>
    </row>
    <row r="23052" spans="7:24" ht="15" customHeight="1">
      <c r="G23052"/>
      <c r="I23052"/>
      <c r="N23052"/>
      <c r="O23052" s="24"/>
      <c r="P23052"/>
      <c r="Q23052" s="24"/>
      <c r="R23052"/>
      <c r="S23052"/>
      <c r="T23052"/>
      <c r="U23052"/>
      <c r="X23052" s="60"/>
    </row>
    <row r="23053" spans="7:24" ht="15" customHeight="1">
      <c r="G23053"/>
      <c r="I23053"/>
      <c r="N23053"/>
      <c r="O23053" s="24"/>
      <c r="P23053"/>
      <c r="Q23053" s="24"/>
      <c r="R23053"/>
      <c r="S23053"/>
      <c r="T23053"/>
      <c r="U23053"/>
      <c r="X23053" s="60"/>
    </row>
    <row r="23054" spans="7:24" ht="15" customHeight="1">
      <c r="G23054"/>
      <c r="I23054"/>
      <c r="N23054"/>
      <c r="O23054" s="24"/>
      <c r="P23054"/>
      <c r="Q23054" s="24"/>
      <c r="R23054"/>
      <c r="S23054"/>
      <c r="T23054"/>
      <c r="U23054"/>
      <c r="X23054" s="60"/>
    </row>
    <row r="23055" spans="7:24" ht="15" customHeight="1">
      <c r="G23055"/>
      <c r="I23055"/>
      <c r="N23055"/>
      <c r="O23055" s="24"/>
      <c r="P23055"/>
      <c r="Q23055" s="24"/>
      <c r="R23055"/>
      <c r="S23055"/>
      <c r="T23055"/>
      <c r="U23055"/>
      <c r="X23055" s="60"/>
    </row>
    <row r="23056" spans="7:24" ht="15" customHeight="1">
      <c r="G23056"/>
      <c r="I23056"/>
      <c r="N23056"/>
      <c r="O23056" s="24"/>
      <c r="P23056"/>
      <c r="Q23056" s="24"/>
      <c r="R23056"/>
      <c r="S23056"/>
      <c r="T23056"/>
      <c r="U23056"/>
      <c r="X23056" s="60"/>
    </row>
    <row r="23057" spans="7:24" ht="15" customHeight="1">
      <c r="G23057"/>
      <c r="I23057"/>
      <c r="N23057"/>
      <c r="O23057" s="24"/>
      <c r="P23057"/>
      <c r="Q23057" s="24"/>
      <c r="R23057"/>
      <c r="S23057"/>
      <c r="T23057"/>
      <c r="U23057"/>
      <c r="X23057" s="60"/>
    </row>
    <row r="23058" spans="7:24" ht="15" customHeight="1">
      <c r="G23058"/>
      <c r="I23058"/>
      <c r="N23058"/>
      <c r="O23058" s="24"/>
      <c r="P23058"/>
      <c r="Q23058" s="24"/>
      <c r="R23058"/>
      <c r="S23058"/>
      <c r="T23058"/>
      <c r="U23058"/>
      <c r="X23058" s="60"/>
    </row>
    <row r="23059" spans="7:24" ht="15" customHeight="1">
      <c r="G23059"/>
      <c r="I23059"/>
      <c r="N23059"/>
      <c r="O23059" s="24"/>
      <c r="P23059"/>
      <c r="Q23059" s="24"/>
      <c r="R23059"/>
      <c r="S23059"/>
      <c r="T23059"/>
      <c r="U23059"/>
      <c r="X23059" s="60"/>
    </row>
    <row r="23060" spans="7:24" ht="15" customHeight="1">
      <c r="G23060"/>
      <c r="I23060"/>
      <c r="N23060"/>
      <c r="O23060" s="24"/>
      <c r="P23060"/>
      <c r="Q23060" s="24"/>
      <c r="R23060"/>
      <c r="S23060"/>
      <c r="T23060"/>
      <c r="U23060"/>
      <c r="X23060" s="60"/>
    </row>
    <row r="23061" spans="7:24" ht="15" customHeight="1">
      <c r="G23061"/>
      <c r="I23061"/>
      <c r="N23061"/>
      <c r="O23061" s="24"/>
      <c r="P23061"/>
      <c r="Q23061" s="24"/>
      <c r="R23061"/>
      <c r="S23061"/>
      <c r="T23061"/>
      <c r="U23061"/>
      <c r="X23061" s="60"/>
    </row>
    <row r="23062" spans="7:24" ht="15" customHeight="1">
      <c r="G23062"/>
      <c r="I23062"/>
      <c r="N23062"/>
      <c r="O23062" s="24"/>
      <c r="P23062"/>
      <c r="Q23062" s="24"/>
      <c r="R23062"/>
      <c r="S23062"/>
      <c r="T23062"/>
      <c r="U23062"/>
      <c r="X23062" s="60"/>
    </row>
    <row r="23063" spans="7:24" ht="15" customHeight="1">
      <c r="G23063"/>
      <c r="I23063"/>
      <c r="N23063"/>
      <c r="O23063" s="24"/>
      <c r="P23063"/>
      <c r="Q23063" s="24"/>
      <c r="R23063"/>
      <c r="S23063"/>
      <c r="T23063"/>
      <c r="U23063"/>
      <c r="X23063" s="60"/>
    </row>
    <row r="23064" spans="7:24" ht="15" customHeight="1">
      <c r="G23064"/>
      <c r="I23064"/>
      <c r="N23064"/>
      <c r="O23064" s="24"/>
      <c r="P23064"/>
      <c r="Q23064" s="24"/>
      <c r="R23064"/>
      <c r="S23064"/>
      <c r="T23064"/>
      <c r="U23064"/>
      <c r="X23064" s="60"/>
    </row>
    <row r="23065" spans="7:24" ht="15" customHeight="1">
      <c r="G23065"/>
      <c r="I23065"/>
      <c r="N23065"/>
      <c r="O23065" s="24"/>
      <c r="P23065"/>
      <c r="Q23065" s="24"/>
      <c r="R23065"/>
      <c r="S23065"/>
      <c r="T23065"/>
      <c r="U23065"/>
      <c r="X23065" s="60"/>
    </row>
    <row r="23066" spans="7:24" ht="15" customHeight="1">
      <c r="G23066"/>
      <c r="I23066"/>
      <c r="N23066"/>
      <c r="O23066" s="24"/>
      <c r="P23066"/>
      <c r="Q23066" s="24"/>
      <c r="R23066"/>
      <c r="S23066"/>
      <c r="T23066"/>
      <c r="U23066"/>
      <c r="X23066" s="60"/>
    </row>
    <row r="23067" spans="7:24" ht="15" customHeight="1">
      <c r="G23067"/>
      <c r="I23067"/>
      <c r="N23067"/>
      <c r="O23067" s="24"/>
      <c r="P23067"/>
      <c r="Q23067" s="24"/>
      <c r="R23067"/>
      <c r="S23067"/>
      <c r="T23067"/>
      <c r="U23067"/>
      <c r="X23067" s="60"/>
    </row>
    <row r="23068" spans="7:24" ht="15" customHeight="1">
      <c r="G23068"/>
      <c r="I23068"/>
      <c r="N23068"/>
      <c r="O23068" s="24"/>
      <c r="P23068"/>
      <c r="Q23068" s="24"/>
      <c r="R23068"/>
      <c r="S23068"/>
      <c r="T23068"/>
      <c r="U23068"/>
      <c r="X23068" s="60"/>
    </row>
    <row r="23069" spans="7:24" ht="15" customHeight="1">
      <c r="G23069"/>
      <c r="I23069"/>
      <c r="N23069"/>
      <c r="O23069" s="24"/>
      <c r="P23069"/>
      <c r="Q23069" s="24"/>
      <c r="R23069"/>
      <c r="S23069"/>
      <c r="T23069"/>
      <c r="U23069"/>
      <c r="X23069" s="60"/>
    </row>
    <row r="23070" spans="7:24" ht="15" customHeight="1">
      <c r="G23070"/>
      <c r="I23070"/>
      <c r="N23070"/>
      <c r="O23070" s="24"/>
      <c r="P23070"/>
      <c r="Q23070" s="24"/>
      <c r="R23070"/>
      <c r="S23070"/>
      <c r="T23070"/>
      <c r="U23070"/>
      <c r="X23070" s="60"/>
    </row>
    <row r="23071" spans="7:24" ht="15" customHeight="1">
      <c r="G23071"/>
      <c r="I23071"/>
      <c r="N23071"/>
      <c r="O23071" s="24"/>
      <c r="P23071"/>
      <c r="Q23071" s="24"/>
      <c r="R23071"/>
      <c r="S23071"/>
      <c r="T23071"/>
      <c r="U23071"/>
      <c r="X23071" s="60"/>
    </row>
    <row r="23072" spans="7:24" ht="15" customHeight="1">
      <c r="G23072"/>
      <c r="I23072"/>
      <c r="N23072"/>
      <c r="O23072" s="24"/>
      <c r="P23072"/>
      <c r="Q23072" s="24"/>
      <c r="R23072"/>
      <c r="S23072"/>
      <c r="T23072"/>
      <c r="U23072"/>
      <c r="X23072" s="60"/>
    </row>
    <row r="23073" spans="7:24" ht="15" customHeight="1">
      <c r="G23073"/>
      <c r="I23073"/>
      <c r="N23073"/>
      <c r="O23073" s="24"/>
      <c r="P23073"/>
      <c r="Q23073" s="24"/>
      <c r="R23073"/>
      <c r="S23073"/>
      <c r="T23073"/>
      <c r="U23073"/>
      <c r="X23073" s="60"/>
    </row>
    <row r="23074" spans="7:24" ht="15" customHeight="1">
      <c r="G23074"/>
      <c r="I23074"/>
      <c r="N23074"/>
      <c r="O23074" s="24"/>
      <c r="P23074"/>
      <c r="Q23074" s="24"/>
      <c r="R23074"/>
      <c r="S23074"/>
      <c r="T23074"/>
      <c r="U23074"/>
      <c r="X23074" s="60"/>
    </row>
    <row r="23075" spans="7:24" ht="15" customHeight="1">
      <c r="G23075"/>
      <c r="I23075"/>
      <c r="N23075"/>
      <c r="O23075" s="24"/>
      <c r="P23075"/>
      <c r="Q23075" s="24"/>
      <c r="R23075"/>
      <c r="S23075"/>
      <c r="T23075"/>
      <c r="U23075"/>
      <c r="X23075" s="60"/>
    </row>
    <row r="23076" spans="7:24" ht="15" customHeight="1">
      <c r="G23076"/>
      <c r="I23076"/>
      <c r="N23076"/>
      <c r="O23076" s="24"/>
      <c r="P23076"/>
      <c r="Q23076" s="24"/>
      <c r="R23076"/>
      <c r="S23076"/>
      <c r="T23076"/>
      <c r="U23076"/>
      <c r="X23076" s="60"/>
    </row>
    <row r="23077" spans="7:24" ht="15" customHeight="1">
      <c r="G23077"/>
      <c r="I23077"/>
      <c r="N23077"/>
      <c r="O23077" s="24"/>
      <c r="P23077"/>
      <c r="Q23077" s="24"/>
      <c r="R23077"/>
      <c r="S23077"/>
      <c r="T23077"/>
      <c r="U23077"/>
      <c r="X23077" s="60"/>
    </row>
    <row r="23078" spans="7:24" ht="15" customHeight="1">
      <c r="G23078"/>
      <c r="I23078"/>
      <c r="N23078"/>
      <c r="O23078" s="24"/>
      <c r="P23078"/>
      <c r="Q23078" s="24"/>
      <c r="R23078"/>
      <c r="S23078"/>
      <c r="T23078"/>
      <c r="U23078"/>
      <c r="X23078" s="60"/>
    </row>
    <row r="23079" spans="7:24" ht="15" customHeight="1">
      <c r="G23079"/>
      <c r="I23079"/>
      <c r="N23079"/>
      <c r="O23079" s="24"/>
      <c r="P23079"/>
      <c r="Q23079" s="24"/>
      <c r="R23079"/>
      <c r="S23079"/>
      <c r="T23079"/>
      <c r="U23079"/>
      <c r="X23079" s="60"/>
    </row>
    <row r="23080" spans="7:24" ht="15" customHeight="1">
      <c r="G23080"/>
      <c r="I23080"/>
      <c r="N23080"/>
      <c r="O23080" s="24"/>
      <c r="P23080"/>
      <c r="Q23080" s="24"/>
      <c r="R23080"/>
      <c r="S23080"/>
      <c r="T23080"/>
      <c r="U23080"/>
      <c r="X23080" s="60"/>
    </row>
    <row r="23081" spans="7:24" ht="15" customHeight="1">
      <c r="G23081"/>
      <c r="I23081"/>
      <c r="N23081"/>
      <c r="O23081" s="24"/>
      <c r="P23081"/>
      <c r="Q23081" s="24"/>
      <c r="R23081"/>
      <c r="S23081"/>
      <c r="T23081"/>
      <c r="U23081"/>
      <c r="X23081" s="60"/>
    </row>
    <row r="23082" spans="7:24" ht="15" customHeight="1">
      <c r="G23082"/>
      <c r="I23082"/>
      <c r="N23082"/>
      <c r="O23082" s="24"/>
      <c r="P23082"/>
      <c r="Q23082" s="24"/>
      <c r="R23082"/>
      <c r="S23082"/>
      <c r="T23082"/>
      <c r="U23082"/>
      <c r="X23082" s="60"/>
    </row>
    <row r="23083" spans="7:24" ht="15" customHeight="1">
      <c r="G23083"/>
      <c r="I23083"/>
      <c r="N23083"/>
      <c r="O23083" s="24"/>
      <c r="P23083"/>
      <c r="Q23083" s="24"/>
      <c r="R23083"/>
      <c r="S23083"/>
      <c r="T23083"/>
      <c r="U23083"/>
      <c r="X23083" s="60"/>
    </row>
    <row r="23084" spans="7:24" ht="15" customHeight="1">
      <c r="G23084"/>
      <c r="I23084"/>
      <c r="N23084"/>
      <c r="O23084" s="24"/>
      <c r="P23084"/>
      <c r="Q23084" s="24"/>
      <c r="R23084"/>
      <c r="S23084"/>
      <c r="T23084"/>
      <c r="U23084"/>
      <c r="X23084" s="60"/>
    </row>
    <row r="23085" spans="7:24" ht="15" customHeight="1">
      <c r="G23085"/>
      <c r="I23085"/>
      <c r="N23085"/>
      <c r="O23085" s="24"/>
      <c r="P23085"/>
      <c r="Q23085" s="24"/>
      <c r="R23085"/>
      <c r="S23085"/>
      <c r="T23085"/>
      <c r="U23085"/>
      <c r="X23085" s="60"/>
    </row>
    <row r="23086" spans="7:24" ht="15" customHeight="1">
      <c r="G23086"/>
      <c r="I23086"/>
      <c r="N23086"/>
      <c r="O23086" s="24"/>
      <c r="P23086"/>
      <c r="Q23086" s="24"/>
      <c r="R23086"/>
      <c r="S23086"/>
      <c r="T23086"/>
      <c r="U23086"/>
      <c r="X23086" s="60"/>
    </row>
    <row r="23087" spans="7:24" ht="15" customHeight="1">
      <c r="G23087"/>
      <c r="I23087"/>
      <c r="N23087"/>
      <c r="O23087" s="24"/>
      <c r="P23087"/>
      <c r="Q23087" s="24"/>
      <c r="R23087"/>
      <c r="S23087"/>
      <c r="T23087"/>
      <c r="U23087"/>
      <c r="X23087" s="60"/>
    </row>
    <row r="23088" spans="7:24" ht="15" customHeight="1">
      <c r="G23088"/>
      <c r="I23088"/>
      <c r="N23088"/>
      <c r="O23088" s="24"/>
      <c r="P23088"/>
      <c r="Q23088" s="24"/>
      <c r="R23088"/>
      <c r="S23088"/>
      <c r="T23088"/>
      <c r="U23088"/>
      <c r="X23088" s="60"/>
    </row>
    <row r="23089" spans="7:24" ht="15" customHeight="1">
      <c r="G23089"/>
      <c r="I23089"/>
      <c r="N23089"/>
      <c r="O23089" s="24"/>
      <c r="P23089"/>
      <c r="Q23089" s="24"/>
      <c r="R23089"/>
      <c r="S23089"/>
      <c r="T23089"/>
      <c r="U23089"/>
      <c r="X23089" s="60"/>
    </row>
    <row r="23090" spans="7:24" ht="15" customHeight="1">
      <c r="G23090"/>
      <c r="I23090"/>
      <c r="N23090"/>
      <c r="O23090" s="24"/>
      <c r="P23090"/>
      <c r="Q23090" s="24"/>
      <c r="R23090"/>
      <c r="S23090"/>
      <c r="T23090"/>
      <c r="U23090"/>
      <c r="X23090" s="60"/>
    </row>
    <row r="23091" spans="7:24" ht="15" customHeight="1">
      <c r="G23091"/>
      <c r="I23091"/>
      <c r="N23091"/>
      <c r="O23091" s="24"/>
      <c r="P23091"/>
      <c r="Q23091" s="24"/>
      <c r="R23091"/>
      <c r="S23091"/>
      <c r="T23091"/>
      <c r="U23091"/>
      <c r="X23091" s="60"/>
    </row>
    <row r="23092" spans="7:24" ht="15" customHeight="1">
      <c r="G23092"/>
      <c r="I23092"/>
      <c r="N23092"/>
      <c r="O23092" s="24"/>
      <c r="P23092"/>
      <c r="Q23092" s="24"/>
      <c r="R23092"/>
      <c r="S23092"/>
      <c r="T23092"/>
      <c r="U23092"/>
      <c r="X23092" s="60"/>
    </row>
    <row r="23093" spans="7:24" ht="15" customHeight="1">
      <c r="G23093"/>
      <c r="I23093"/>
      <c r="N23093"/>
      <c r="O23093" s="24"/>
      <c r="P23093"/>
      <c r="Q23093" s="24"/>
      <c r="R23093"/>
      <c r="S23093"/>
      <c r="T23093"/>
      <c r="U23093"/>
      <c r="X23093" s="60"/>
    </row>
    <row r="23094" spans="7:24" ht="15" customHeight="1">
      <c r="G23094"/>
      <c r="I23094"/>
      <c r="N23094"/>
      <c r="O23094" s="24"/>
      <c r="P23094"/>
      <c r="Q23094" s="24"/>
      <c r="R23094"/>
      <c r="S23094"/>
      <c r="T23094"/>
      <c r="U23094"/>
      <c r="X23094" s="60"/>
    </row>
    <row r="23095" spans="7:24" ht="15" customHeight="1">
      <c r="G23095"/>
      <c r="I23095"/>
      <c r="N23095"/>
      <c r="O23095" s="24"/>
      <c r="P23095"/>
      <c r="Q23095" s="24"/>
      <c r="R23095"/>
      <c r="S23095"/>
      <c r="T23095"/>
      <c r="U23095"/>
      <c r="X23095" s="60"/>
    </row>
    <row r="23096" spans="7:24" ht="15" customHeight="1">
      <c r="G23096"/>
      <c r="I23096"/>
      <c r="N23096"/>
      <c r="O23096" s="24"/>
      <c r="P23096"/>
      <c r="Q23096" s="24"/>
      <c r="R23096"/>
      <c r="S23096"/>
      <c r="T23096"/>
      <c r="U23096"/>
      <c r="X23096" s="60"/>
    </row>
    <row r="23097" spans="7:24" ht="15" customHeight="1">
      <c r="G23097"/>
      <c r="I23097"/>
      <c r="N23097"/>
      <c r="O23097" s="24"/>
      <c r="P23097"/>
      <c r="Q23097" s="24"/>
      <c r="R23097"/>
      <c r="S23097"/>
      <c r="T23097"/>
      <c r="U23097"/>
      <c r="X23097" s="60"/>
    </row>
    <row r="23098" spans="7:24" ht="15" customHeight="1">
      <c r="G23098"/>
      <c r="I23098"/>
      <c r="N23098"/>
      <c r="O23098" s="24"/>
      <c r="P23098"/>
      <c r="Q23098" s="24"/>
      <c r="R23098"/>
      <c r="S23098"/>
      <c r="T23098"/>
      <c r="U23098"/>
      <c r="X23098" s="60"/>
    </row>
    <row r="23099" spans="7:24" ht="15" customHeight="1">
      <c r="G23099"/>
      <c r="I23099"/>
      <c r="N23099"/>
      <c r="O23099" s="24"/>
      <c r="P23099"/>
      <c r="Q23099" s="24"/>
      <c r="R23099"/>
      <c r="S23099"/>
      <c r="T23099"/>
      <c r="U23099"/>
      <c r="X23099" s="60"/>
    </row>
    <row r="23100" spans="7:24" ht="15" customHeight="1">
      <c r="G23100"/>
      <c r="I23100"/>
      <c r="N23100"/>
      <c r="O23100" s="24"/>
      <c r="P23100"/>
      <c r="Q23100" s="24"/>
      <c r="R23100"/>
      <c r="S23100"/>
      <c r="T23100"/>
      <c r="U23100"/>
      <c r="X23100" s="60"/>
    </row>
    <row r="23101" spans="7:24" ht="15" customHeight="1">
      <c r="G23101"/>
      <c r="I23101"/>
      <c r="N23101"/>
      <c r="O23101" s="24"/>
      <c r="P23101"/>
      <c r="Q23101" s="24"/>
      <c r="R23101"/>
      <c r="S23101"/>
      <c r="T23101"/>
      <c r="U23101"/>
      <c r="X23101" s="60"/>
    </row>
    <row r="23102" spans="7:24" ht="15" customHeight="1">
      <c r="G23102"/>
      <c r="I23102"/>
      <c r="N23102"/>
      <c r="O23102" s="24"/>
      <c r="P23102"/>
      <c r="Q23102" s="24"/>
      <c r="R23102"/>
      <c r="S23102"/>
      <c r="T23102"/>
      <c r="U23102"/>
      <c r="X23102" s="60"/>
    </row>
    <row r="23103" spans="7:24" ht="15" customHeight="1">
      <c r="G23103"/>
      <c r="I23103"/>
      <c r="N23103"/>
      <c r="O23103" s="24"/>
      <c r="P23103"/>
      <c r="Q23103" s="24"/>
      <c r="R23103"/>
      <c r="S23103"/>
      <c r="T23103"/>
      <c r="U23103"/>
      <c r="X23103" s="60"/>
    </row>
    <row r="23104" spans="7:24" ht="15" customHeight="1">
      <c r="G23104"/>
      <c r="I23104"/>
      <c r="N23104"/>
      <c r="O23104" s="24"/>
      <c r="P23104"/>
      <c r="Q23104" s="24"/>
      <c r="R23104"/>
      <c r="S23104"/>
      <c r="T23104"/>
      <c r="U23104"/>
      <c r="X23104" s="60"/>
    </row>
    <row r="23105" spans="7:24" ht="15" customHeight="1">
      <c r="G23105"/>
      <c r="I23105"/>
      <c r="N23105"/>
      <c r="O23105" s="24"/>
      <c r="P23105"/>
      <c r="Q23105" s="24"/>
      <c r="R23105"/>
      <c r="S23105"/>
      <c r="T23105"/>
      <c r="U23105"/>
      <c r="X23105" s="60"/>
    </row>
    <row r="23106" spans="7:24" ht="15" customHeight="1">
      <c r="G23106"/>
      <c r="I23106"/>
      <c r="N23106"/>
      <c r="O23106" s="24"/>
      <c r="P23106"/>
      <c r="Q23106" s="24"/>
      <c r="R23106"/>
      <c r="S23106"/>
      <c r="T23106"/>
      <c r="U23106"/>
      <c r="X23106" s="60"/>
    </row>
    <row r="23107" spans="7:24" ht="15" customHeight="1">
      <c r="G23107"/>
      <c r="I23107"/>
      <c r="N23107"/>
      <c r="O23107" s="24"/>
      <c r="P23107"/>
      <c r="Q23107" s="24"/>
      <c r="R23107"/>
      <c r="S23107"/>
      <c r="T23107"/>
      <c r="U23107"/>
      <c r="X23107" s="60"/>
    </row>
    <row r="23108" spans="7:24" ht="15" customHeight="1">
      <c r="G23108"/>
      <c r="I23108"/>
      <c r="N23108"/>
      <c r="O23108" s="24"/>
      <c r="P23108"/>
      <c r="Q23108" s="24"/>
      <c r="R23108"/>
      <c r="S23108"/>
      <c r="T23108"/>
      <c r="U23108"/>
      <c r="X23108" s="60"/>
    </row>
    <row r="23109" spans="7:24" ht="15" customHeight="1">
      <c r="G23109"/>
      <c r="I23109"/>
      <c r="N23109"/>
      <c r="O23109" s="24"/>
      <c r="P23109"/>
      <c r="Q23109" s="24"/>
      <c r="R23109"/>
      <c r="S23109"/>
      <c r="T23109"/>
      <c r="U23109"/>
      <c r="X23109" s="60"/>
    </row>
    <row r="23110" spans="7:24" ht="15" customHeight="1">
      <c r="G23110"/>
      <c r="I23110"/>
      <c r="N23110"/>
      <c r="O23110" s="24"/>
      <c r="P23110"/>
      <c r="Q23110" s="24"/>
      <c r="R23110"/>
      <c r="S23110"/>
      <c r="T23110"/>
      <c r="U23110"/>
      <c r="X23110" s="60"/>
    </row>
    <row r="23111" spans="7:24" ht="15" customHeight="1">
      <c r="G23111"/>
      <c r="I23111"/>
      <c r="N23111"/>
      <c r="O23111" s="24"/>
      <c r="P23111"/>
      <c r="Q23111" s="24"/>
      <c r="R23111"/>
      <c r="S23111"/>
      <c r="T23111"/>
      <c r="U23111"/>
      <c r="X23111" s="60"/>
    </row>
    <row r="23112" spans="7:24" ht="15" customHeight="1">
      <c r="G23112"/>
      <c r="I23112"/>
      <c r="N23112"/>
      <c r="O23112" s="24"/>
      <c r="P23112"/>
      <c r="Q23112" s="24"/>
      <c r="R23112"/>
      <c r="S23112"/>
      <c r="T23112"/>
      <c r="U23112"/>
      <c r="X23112" s="60"/>
    </row>
    <row r="23113" spans="7:24" ht="15" customHeight="1">
      <c r="G23113"/>
      <c r="I23113"/>
      <c r="N23113"/>
      <c r="O23113" s="24"/>
      <c r="P23113"/>
      <c r="Q23113" s="24"/>
      <c r="R23113"/>
      <c r="S23113"/>
      <c r="T23113"/>
      <c r="U23113"/>
      <c r="X23113" s="60"/>
    </row>
    <row r="23114" spans="7:24" ht="15" customHeight="1">
      <c r="G23114"/>
      <c r="I23114"/>
      <c r="N23114"/>
      <c r="O23114" s="24"/>
      <c r="P23114"/>
      <c r="Q23114" s="24"/>
      <c r="R23114"/>
      <c r="S23114"/>
      <c r="T23114"/>
      <c r="U23114"/>
      <c r="X23114" s="60"/>
    </row>
    <row r="23115" spans="7:24" ht="15" customHeight="1">
      <c r="G23115"/>
      <c r="I23115"/>
      <c r="N23115"/>
      <c r="O23115" s="24"/>
      <c r="P23115"/>
      <c r="Q23115" s="24"/>
      <c r="R23115"/>
      <c r="S23115"/>
      <c r="T23115"/>
      <c r="U23115"/>
      <c r="X23115" s="60"/>
    </row>
    <row r="23116" spans="7:24" ht="15" customHeight="1">
      <c r="G23116"/>
      <c r="I23116"/>
      <c r="N23116"/>
      <c r="O23116" s="24"/>
      <c r="P23116"/>
      <c r="Q23116" s="24"/>
      <c r="R23116"/>
      <c r="S23116"/>
      <c r="T23116"/>
      <c r="U23116"/>
      <c r="X23116" s="60"/>
    </row>
    <row r="23117" spans="7:24" ht="15" customHeight="1">
      <c r="G23117"/>
      <c r="I23117"/>
      <c r="N23117"/>
      <c r="O23117" s="24"/>
      <c r="P23117"/>
      <c r="Q23117" s="24"/>
      <c r="R23117"/>
      <c r="S23117"/>
      <c r="T23117"/>
      <c r="U23117"/>
      <c r="X23117" s="60"/>
    </row>
    <row r="23118" spans="7:24" ht="15" customHeight="1">
      <c r="G23118"/>
      <c r="I23118"/>
      <c r="N23118"/>
      <c r="O23118" s="24"/>
      <c r="P23118"/>
      <c r="Q23118" s="24"/>
      <c r="R23118"/>
      <c r="S23118"/>
      <c r="T23118"/>
      <c r="U23118"/>
      <c r="X23118" s="60"/>
    </row>
    <row r="23119" spans="7:24" ht="15" customHeight="1">
      <c r="G23119"/>
      <c r="I23119"/>
      <c r="N23119"/>
      <c r="O23119" s="24"/>
      <c r="P23119"/>
      <c r="Q23119" s="24"/>
      <c r="R23119"/>
      <c r="S23119"/>
      <c r="T23119"/>
      <c r="U23119"/>
      <c r="X23119" s="60"/>
    </row>
    <row r="23120" spans="7:24" ht="15" customHeight="1">
      <c r="G23120"/>
      <c r="I23120"/>
      <c r="N23120"/>
      <c r="O23120" s="24"/>
      <c r="P23120"/>
      <c r="Q23120" s="24"/>
      <c r="R23120"/>
      <c r="S23120"/>
      <c r="T23120"/>
      <c r="U23120"/>
      <c r="X23120" s="60"/>
    </row>
    <row r="23121" spans="7:24" ht="15" customHeight="1">
      <c r="G23121"/>
      <c r="I23121"/>
      <c r="N23121"/>
      <c r="O23121" s="24"/>
      <c r="P23121"/>
      <c r="Q23121" s="24"/>
      <c r="R23121"/>
      <c r="S23121"/>
      <c r="T23121"/>
      <c r="U23121"/>
      <c r="X23121" s="60"/>
    </row>
    <row r="23122" spans="7:24" ht="15" customHeight="1">
      <c r="G23122"/>
      <c r="I23122"/>
      <c r="N23122"/>
      <c r="O23122" s="24"/>
      <c r="P23122"/>
      <c r="Q23122" s="24"/>
      <c r="R23122"/>
      <c r="S23122"/>
      <c r="T23122"/>
      <c r="U23122"/>
      <c r="X23122" s="60"/>
    </row>
    <row r="23123" spans="7:24" ht="15" customHeight="1">
      <c r="G23123"/>
      <c r="I23123"/>
      <c r="N23123"/>
      <c r="O23123" s="24"/>
      <c r="P23123"/>
      <c r="Q23123" s="24"/>
      <c r="R23123"/>
      <c r="S23123"/>
      <c r="T23123"/>
      <c r="U23123"/>
      <c r="X23123" s="60"/>
    </row>
    <row r="23124" spans="7:24" ht="15" customHeight="1">
      <c r="G23124"/>
      <c r="I23124"/>
      <c r="N23124"/>
      <c r="O23124" s="24"/>
      <c r="P23124"/>
      <c r="Q23124" s="24"/>
      <c r="R23124"/>
      <c r="S23124"/>
      <c r="T23124"/>
      <c r="U23124"/>
      <c r="X23124" s="60"/>
    </row>
    <row r="23125" spans="7:24" ht="15" customHeight="1">
      <c r="G23125"/>
      <c r="I23125"/>
      <c r="N23125"/>
      <c r="O23125" s="24"/>
      <c r="P23125"/>
      <c r="Q23125" s="24"/>
      <c r="R23125"/>
      <c r="S23125"/>
      <c r="T23125"/>
      <c r="U23125"/>
      <c r="X23125" s="60"/>
    </row>
    <row r="23126" spans="7:24" ht="15" customHeight="1">
      <c r="G23126"/>
      <c r="I23126"/>
      <c r="N23126"/>
      <c r="O23126" s="24"/>
      <c r="P23126"/>
      <c r="Q23126" s="24"/>
      <c r="R23126"/>
      <c r="S23126"/>
      <c r="T23126"/>
      <c r="U23126"/>
      <c r="X23126" s="60"/>
    </row>
    <row r="23127" spans="7:24" ht="15" customHeight="1">
      <c r="G23127"/>
      <c r="I23127"/>
      <c r="N23127"/>
      <c r="O23127" s="24"/>
      <c r="P23127"/>
      <c r="Q23127" s="24"/>
      <c r="R23127"/>
      <c r="S23127"/>
      <c r="T23127"/>
      <c r="U23127"/>
      <c r="X23127" s="60"/>
    </row>
    <row r="23128" spans="7:24" ht="15" customHeight="1">
      <c r="G23128"/>
      <c r="I23128"/>
      <c r="N23128"/>
      <c r="O23128" s="24"/>
      <c r="P23128"/>
      <c r="Q23128" s="24"/>
      <c r="R23128"/>
      <c r="S23128"/>
      <c r="T23128"/>
      <c r="U23128"/>
      <c r="X23128" s="60"/>
    </row>
    <row r="23129" spans="7:24" ht="15" customHeight="1">
      <c r="G23129"/>
      <c r="I23129"/>
      <c r="N23129"/>
      <c r="O23129" s="24"/>
      <c r="P23129"/>
      <c r="Q23129" s="24"/>
      <c r="R23129"/>
      <c r="S23129"/>
      <c r="T23129"/>
      <c r="U23129"/>
      <c r="X23129" s="60"/>
    </row>
    <row r="23130" spans="7:24" ht="15" customHeight="1">
      <c r="G23130"/>
      <c r="I23130"/>
      <c r="N23130"/>
      <c r="O23130" s="24"/>
      <c r="P23130"/>
      <c r="Q23130" s="24"/>
      <c r="R23130"/>
      <c r="S23130"/>
      <c r="T23130"/>
      <c r="U23130"/>
      <c r="X23130" s="60"/>
    </row>
    <row r="23131" spans="7:24" ht="15" customHeight="1">
      <c r="G23131"/>
      <c r="I23131"/>
      <c r="N23131"/>
      <c r="O23131" s="24"/>
      <c r="P23131"/>
      <c r="Q23131" s="24"/>
      <c r="R23131"/>
      <c r="S23131"/>
      <c r="T23131"/>
      <c r="U23131"/>
      <c r="X23131" s="60"/>
    </row>
    <row r="23132" spans="7:24" ht="15" customHeight="1">
      <c r="G23132"/>
      <c r="I23132"/>
      <c r="N23132"/>
      <c r="O23132" s="24"/>
      <c r="P23132"/>
      <c r="Q23132" s="24"/>
      <c r="R23132"/>
      <c r="S23132"/>
      <c r="T23132"/>
      <c r="U23132"/>
      <c r="X23132" s="60"/>
    </row>
    <row r="23133" spans="7:24" ht="15" customHeight="1">
      <c r="G23133"/>
      <c r="I23133"/>
      <c r="N23133"/>
      <c r="O23133" s="24"/>
      <c r="P23133"/>
      <c r="Q23133" s="24"/>
      <c r="R23133"/>
      <c r="S23133"/>
      <c r="T23133"/>
      <c r="U23133"/>
      <c r="X23133" s="60"/>
    </row>
    <row r="23134" spans="7:24" ht="15" customHeight="1">
      <c r="G23134"/>
      <c r="I23134"/>
      <c r="N23134"/>
      <c r="O23134" s="24"/>
      <c r="P23134"/>
      <c r="Q23134" s="24"/>
      <c r="R23134"/>
      <c r="S23134"/>
      <c r="T23134"/>
      <c r="U23134"/>
      <c r="X23134" s="60"/>
    </row>
    <row r="23135" spans="7:24" ht="15" customHeight="1">
      <c r="G23135"/>
      <c r="I23135"/>
      <c r="N23135"/>
      <c r="O23135" s="24"/>
      <c r="P23135"/>
      <c r="Q23135" s="24"/>
      <c r="R23135"/>
      <c r="S23135"/>
      <c r="T23135"/>
      <c r="U23135"/>
      <c r="X23135" s="60"/>
    </row>
    <row r="23136" spans="7:24" ht="15" customHeight="1">
      <c r="G23136"/>
      <c r="I23136"/>
      <c r="N23136"/>
      <c r="O23136" s="24"/>
      <c r="P23136"/>
      <c r="Q23136" s="24"/>
      <c r="R23136"/>
      <c r="S23136"/>
      <c r="T23136"/>
      <c r="U23136"/>
      <c r="X23136" s="60"/>
    </row>
    <row r="23137" spans="7:24" ht="15" customHeight="1">
      <c r="G23137"/>
      <c r="I23137"/>
      <c r="N23137"/>
      <c r="O23137" s="24"/>
      <c r="P23137"/>
      <c r="Q23137" s="24"/>
      <c r="R23137"/>
      <c r="S23137"/>
      <c r="T23137"/>
      <c r="U23137"/>
      <c r="X23137" s="60"/>
    </row>
    <row r="23138" spans="7:24" ht="15" customHeight="1">
      <c r="G23138"/>
      <c r="I23138"/>
      <c r="N23138"/>
      <c r="O23138" s="24"/>
      <c r="P23138"/>
      <c r="Q23138" s="24"/>
      <c r="R23138"/>
      <c r="S23138"/>
      <c r="T23138"/>
      <c r="U23138"/>
      <c r="X23138" s="60"/>
    </row>
    <row r="23139" spans="7:24" ht="15" customHeight="1">
      <c r="G23139"/>
      <c r="I23139"/>
      <c r="N23139"/>
      <c r="O23139" s="24"/>
      <c r="P23139"/>
      <c r="Q23139" s="24"/>
      <c r="R23139"/>
      <c r="S23139"/>
      <c r="T23139"/>
      <c r="U23139"/>
      <c r="X23139" s="60"/>
    </row>
    <row r="23140" spans="7:24" ht="15" customHeight="1">
      <c r="G23140"/>
      <c r="I23140"/>
      <c r="N23140"/>
      <c r="O23140" s="24"/>
      <c r="P23140"/>
      <c r="Q23140" s="24"/>
      <c r="R23140"/>
      <c r="S23140"/>
      <c r="T23140"/>
      <c r="U23140"/>
      <c r="X23140" s="60"/>
    </row>
    <row r="23141" spans="7:24" ht="15" customHeight="1">
      <c r="G23141"/>
      <c r="I23141"/>
      <c r="N23141"/>
      <c r="O23141" s="24"/>
      <c r="P23141"/>
      <c r="Q23141" s="24"/>
      <c r="R23141"/>
      <c r="S23141"/>
      <c r="T23141"/>
      <c r="U23141"/>
      <c r="X23141" s="60"/>
    </row>
    <row r="23142" spans="7:24" ht="15" customHeight="1">
      <c r="G23142"/>
      <c r="I23142"/>
      <c r="N23142"/>
      <c r="O23142" s="24"/>
      <c r="P23142"/>
      <c r="Q23142" s="24"/>
      <c r="R23142"/>
      <c r="S23142"/>
      <c r="T23142"/>
      <c r="U23142"/>
      <c r="X23142" s="60"/>
    </row>
    <row r="23143" spans="7:24" ht="15" customHeight="1">
      <c r="G23143"/>
      <c r="I23143"/>
      <c r="N23143"/>
      <c r="O23143" s="24"/>
      <c r="P23143"/>
      <c r="Q23143" s="24"/>
      <c r="R23143"/>
      <c r="S23143"/>
      <c r="T23143"/>
      <c r="U23143"/>
      <c r="X23143" s="60"/>
    </row>
    <row r="23144" spans="7:24" ht="15" customHeight="1">
      <c r="G23144"/>
      <c r="I23144"/>
      <c r="N23144"/>
      <c r="O23144" s="24"/>
      <c r="P23144"/>
      <c r="Q23144" s="24"/>
      <c r="R23144"/>
      <c r="S23144"/>
      <c r="T23144"/>
      <c r="U23144"/>
      <c r="X23144" s="60"/>
    </row>
    <row r="23145" spans="7:24" ht="15" customHeight="1">
      <c r="G23145"/>
      <c r="I23145"/>
      <c r="N23145"/>
      <c r="O23145" s="24"/>
      <c r="P23145"/>
      <c r="Q23145" s="24"/>
      <c r="R23145"/>
      <c r="S23145"/>
      <c r="T23145"/>
      <c r="U23145"/>
      <c r="X23145" s="60"/>
    </row>
    <row r="23146" spans="7:24" ht="15" customHeight="1">
      <c r="G23146"/>
      <c r="I23146"/>
      <c r="N23146"/>
      <c r="O23146" s="24"/>
      <c r="P23146"/>
      <c r="Q23146" s="24"/>
      <c r="R23146"/>
      <c r="S23146"/>
      <c r="T23146"/>
      <c r="U23146"/>
      <c r="X23146" s="60"/>
    </row>
    <row r="23147" spans="7:24" ht="15" customHeight="1">
      <c r="G23147"/>
      <c r="I23147"/>
      <c r="N23147"/>
      <c r="O23147" s="24"/>
      <c r="P23147"/>
      <c r="Q23147" s="24"/>
      <c r="R23147"/>
      <c r="S23147"/>
      <c r="T23147"/>
      <c r="U23147"/>
      <c r="X23147" s="60"/>
    </row>
    <row r="23148" spans="7:24" ht="15" customHeight="1">
      <c r="G23148"/>
      <c r="I23148"/>
      <c r="N23148"/>
      <c r="O23148" s="24"/>
      <c r="P23148"/>
      <c r="Q23148" s="24"/>
      <c r="R23148"/>
      <c r="S23148"/>
      <c r="T23148"/>
      <c r="U23148"/>
      <c r="X23148" s="60"/>
    </row>
    <row r="23149" spans="7:24" ht="15" customHeight="1">
      <c r="G23149"/>
      <c r="I23149"/>
      <c r="N23149"/>
      <c r="O23149" s="24"/>
      <c r="P23149"/>
      <c r="Q23149" s="24"/>
      <c r="R23149"/>
      <c r="S23149"/>
      <c r="T23149"/>
      <c r="U23149"/>
      <c r="X23149" s="60"/>
    </row>
    <row r="23150" spans="7:24" ht="15" customHeight="1">
      <c r="G23150"/>
      <c r="I23150"/>
      <c r="N23150"/>
      <c r="O23150" s="24"/>
      <c r="P23150"/>
      <c r="Q23150" s="24"/>
      <c r="R23150"/>
      <c r="S23150"/>
      <c r="T23150"/>
      <c r="U23150"/>
      <c r="X23150" s="60"/>
    </row>
    <row r="23151" spans="7:24" ht="15" customHeight="1">
      <c r="G23151"/>
      <c r="I23151"/>
      <c r="N23151"/>
      <c r="O23151" s="24"/>
      <c r="P23151"/>
      <c r="Q23151" s="24"/>
      <c r="R23151"/>
      <c r="S23151"/>
      <c r="T23151"/>
      <c r="U23151"/>
      <c r="X23151" s="60"/>
    </row>
    <row r="23152" spans="7:24" ht="15" customHeight="1">
      <c r="G23152"/>
      <c r="I23152"/>
      <c r="N23152"/>
      <c r="O23152" s="24"/>
      <c r="P23152"/>
      <c r="Q23152" s="24"/>
      <c r="R23152"/>
      <c r="S23152"/>
      <c r="T23152"/>
      <c r="U23152"/>
      <c r="X23152" s="60"/>
    </row>
    <row r="23153" spans="7:24" ht="15" customHeight="1">
      <c r="G23153"/>
      <c r="I23153"/>
      <c r="N23153"/>
      <c r="O23153" s="24"/>
      <c r="P23153"/>
      <c r="Q23153" s="24"/>
      <c r="R23153"/>
      <c r="S23153"/>
      <c r="T23153"/>
      <c r="U23153"/>
      <c r="X23153" s="60"/>
    </row>
    <row r="23154" spans="7:24" ht="15" customHeight="1">
      <c r="G23154"/>
      <c r="I23154"/>
      <c r="N23154"/>
      <c r="O23154" s="24"/>
      <c r="P23154"/>
      <c r="Q23154" s="24"/>
      <c r="R23154"/>
      <c r="S23154"/>
      <c r="T23154"/>
      <c r="U23154"/>
      <c r="X23154" s="60"/>
    </row>
    <row r="23155" spans="7:24" ht="15" customHeight="1">
      <c r="G23155"/>
      <c r="I23155"/>
      <c r="N23155"/>
      <c r="O23155" s="24"/>
      <c r="P23155"/>
      <c r="Q23155" s="24"/>
      <c r="R23155"/>
      <c r="S23155"/>
      <c r="T23155"/>
      <c r="U23155"/>
      <c r="X23155" s="60"/>
    </row>
    <row r="23156" spans="7:24" ht="15" customHeight="1">
      <c r="G23156"/>
      <c r="I23156"/>
      <c r="N23156"/>
      <c r="O23156" s="24"/>
      <c r="P23156"/>
      <c r="Q23156" s="24"/>
      <c r="R23156"/>
      <c r="S23156"/>
      <c r="T23156"/>
      <c r="U23156"/>
      <c r="X23156" s="60"/>
    </row>
    <row r="23157" spans="7:24" ht="15" customHeight="1">
      <c r="G23157"/>
      <c r="I23157"/>
      <c r="N23157"/>
      <c r="O23157" s="24"/>
      <c r="P23157"/>
      <c r="Q23157" s="24"/>
      <c r="R23157"/>
      <c r="S23157"/>
      <c r="T23157"/>
      <c r="U23157"/>
      <c r="X23157" s="60"/>
    </row>
    <row r="23158" spans="7:24" ht="15" customHeight="1">
      <c r="G23158"/>
      <c r="I23158"/>
      <c r="N23158"/>
      <c r="O23158" s="24"/>
      <c r="P23158"/>
      <c r="Q23158" s="24"/>
      <c r="R23158"/>
      <c r="S23158"/>
      <c r="T23158"/>
      <c r="U23158"/>
      <c r="X23158" s="60"/>
    </row>
    <row r="23159" spans="7:24" ht="15" customHeight="1">
      <c r="G23159"/>
      <c r="I23159"/>
      <c r="N23159"/>
      <c r="O23159" s="24"/>
      <c r="P23159"/>
      <c r="Q23159" s="24"/>
      <c r="R23159"/>
      <c r="S23159"/>
      <c r="T23159"/>
      <c r="U23159"/>
      <c r="X23159" s="60"/>
    </row>
    <row r="23160" spans="7:24" ht="15" customHeight="1">
      <c r="G23160"/>
      <c r="I23160"/>
      <c r="N23160"/>
      <c r="O23160" s="24"/>
      <c r="P23160"/>
      <c r="Q23160" s="24"/>
      <c r="R23160"/>
      <c r="S23160"/>
      <c r="T23160"/>
      <c r="U23160"/>
      <c r="X23160" s="60"/>
    </row>
    <row r="23161" spans="7:24" ht="15" customHeight="1">
      <c r="G23161"/>
      <c r="I23161"/>
      <c r="N23161"/>
      <c r="O23161" s="24"/>
      <c r="P23161"/>
      <c r="Q23161" s="24"/>
      <c r="R23161"/>
      <c r="S23161"/>
      <c r="T23161"/>
      <c r="U23161"/>
      <c r="X23161" s="60"/>
    </row>
    <row r="23162" spans="7:24" ht="15" customHeight="1">
      <c r="G23162"/>
      <c r="I23162"/>
      <c r="N23162"/>
      <c r="O23162" s="24"/>
      <c r="P23162"/>
      <c r="Q23162" s="24"/>
      <c r="R23162"/>
      <c r="S23162"/>
      <c r="T23162"/>
      <c r="U23162"/>
      <c r="X23162" s="60"/>
    </row>
    <row r="23163" spans="7:24" ht="15" customHeight="1">
      <c r="G23163"/>
      <c r="I23163"/>
      <c r="N23163"/>
      <c r="O23163" s="24"/>
      <c r="P23163"/>
      <c r="Q23163" s="24"/>
      <c r="R23163"/>
      <c r="S23163"/>
      <c r="T23163"/>
      <c r="U23163"/>
      <c r="X23163" s="60"/>
    </row>
    <row r="23164" spans="7:24" ht="15" customHeight="1">
      <c r="G23164"/>
      <c r="I23164"/>
      <c r="N23164"/>
      <c r="O23164" s="24"/>
      <c r="P23164"/>
      <c r="Q23164" s="24"/>
      <c r="R23164"/>
      <c r="S23164"/>
      <c r="T23164"/>
      <c r="U23164"/>
      <c r="X23164" s="60"/>
    </row>
    <row r="23165" spans="7:24" ht="15" customHeight="1">
      <c r="G23165"/>
      <c r="I23165"/>
      <c r="N23165"/>
      <c r="O23165" s="24"/>
      <c r="P23165"/>
      <c r="Q23165" s="24"/>
      <c r="R23165"/>
      <c r="S23165"/>
      <c r="T23165"/>
      <c r="U23165"/>
      <c r="X23165" s="60"/>
    </row>
    <row r="23166" spans="7:24" ht="15" customHeight="1">
      <c r="G23166"/>
      <c r="I23166"/>
      <c r="N23166"/>
      <c r="O23166" s="24"/>
      <c r="P23166"/>
      <c r="Q23166" s="24"/>
      <c r="R23166"/>
      <c r="S23166"/>
      <c r="T23166"/>
      <c r="U23166"/>
      <c r="X23166" s="60"/>
    </row>
    <row r="23167" spans="7:24" ht="15" customHeight="1">
      <c r="G23167"/>
      <c r="I23167"/>
      <c r="N23167"/>
      <c r="O23167" s="24"/>
      <c r="P23167"/>
      <c r="Q23167" s="24"/>
      <c r="R23167"/>
      <c r="S23167"/>
      <c r="T23167"/>
      <c r="U23167"/>
      <c r="X23167" s="60"/>
    </row>
    <row r="23168" spans="7:24" ht="15" customHeight="1">
      <c r="G23168"/>
      <c r="I23168"/>
      <c r="N23168"/>
      <c r="O23168" s="24"/>
      <c r="P23168"/>
      <c r="Q23168" s="24"/>
      <c r="R23168"/>
      <c r="S23168"/>
      <c r="T23168"/>
      <c r="U23168"/>
      <c r="X23168" s="60"/>
    </row>
    <row r="23169" spans="7:24" ht="15" customHeight="1">
      <c r="G23169"/>
      <c r="I23169"/>
      <c r="N23169"/>
      <c r="O23169" s="24"/>
      <c r="P23169"/>
      <c r="Q23169" s="24"/>
      <c r="R23169"/>
      <c r="S23169"/>
      <c r="T23169"/>
      <c r="U23169"/>
      <c r="X23169" s="60"/>
    </row>
    <row r="23170" spans="7:24" ht="15" customHeight="1">
      <c r="G23170"/>
      <c r="I23170"/>
      <c r="N23170"/>
      <c r="O23170" s="24"/>
      <c r="P23170"/>
      <c r="Q23170" s="24"/>
      <c r="R23170"/>
      <c r="S23170"/>
      <c r="T23170"/>
      <c r="U23170"/>
      <c r="X23170" s="60"/>
    </row>
    <row r="23171" spans="7:24" ht="15" customHeight="1">
      <c r="G23171"/>
      <c r="I23171"/>
      <c r="N23171"/>
      <c r="O23171" s="24"/>
      <c r="P23171"/>
      <c r="Q23171" s="24"/>
      <c r="R23171"/>
      <c r="S23171"/>
      <c r="T23171"/>
      <c r="U23171"/>
      <c r="X23171" s="60"/>
    </row>
    <row r="23172" spans="7:24" ht="15" customHeight="1">
      <c r="G23172"/>
      <c r="I23172"/>
      <c r="N23172"/>
      <c r="O23172" s="24"/>
      <c r="P23172"/>
      <c r="Q23172" s="24"/>
      <c r="R23172"/>
      <c r="S23172"/>
      <c r="T23172"/>
      <c r="U23172"/>
      <c r="X23172" s="60"/>
    </row>
    <row r="23173" spans="7:24" ht="15" customHeight="1">
      <c r="G23173"/>
      <c r="I23173"/>
      <c r="N23173"/>
      <c r="O23173" s="24"/>
      <c r="P23173"/>
      <c r="Q23173" s="24"/>
      <c r="R23173"/>
      <c r="S23173"/>
      <c r="T23173"/>
      <c r="U23173"/>
      <c r="X23173" s="60"/>
    </row>
    <row r="23174" spans="7:24" ht="15" customHeight="1">
      <c r="G23174"/>
      <c r="I23174"/>
      <c r="N23174"/>
      <c r="O23174" s="24"/>
      <c r="P23174"/>
      <c r="Q23174" s="24"/>
      <c r="R23174"/>
      <c r="S23174"/>
      <c r="T23174"/>
      <c r="U23174"/>
      <c r="X23174" s="60"/>
    </row>
    <row r="23175" spans="7:24" ht="15" customHeight="1">
      <c r="G23175"/>
      <c r="I23175"/>
      <c r="N23175"/>
      <c r="O23175" s="24"/>
      <c r="P23175"/>
      <c r="Q23175" s="24"/>
      <c r="R23175"/>
      <c r="S23175"/>
      <c r="T23175"/>
      <c r="U23175"/>
      <c r="X23175" s="60"/>
    </row>
    <row r="23176" spans="7:24" ht="15" customHeight="1">
      <c r="G23176"/>
      <c r="I23176"/>
      <c r="N23176"/>
      <c r="O23176" s="24"/>
      <c r="P23176"/>
      <c r="Q23176" s="24"/>
      <c r="R23176"/>
      <c r="S23176"/>
      <c r="T23176"/>
      <c r="U23176"/>
      <c r="X23176" s="60"/>
    </row>
    <row r="23177" spans="7:24" ht="15" customHeight="1">
      <c r="G23177"/>
      <c r="I23177"/>
      <c r="N23177"/>
      <c r="O23177" s="24"/>
      <c r="P23177"/>
      <c r="Q23177" s="24"/>
      <c r="R23177"/>
      <c r="S23177"/>
      <c r="T23177"/>
      <c r="U23177"/>
      <c r="X23177" s="60"/>
    </row>
    <row r="23178" spans="7:24" ht="15" customHeight="1">
      <c r="G23178"/>
      <c r="I23178"/>
      <c r="N23178"/>
      <c r="O23178" s="24"/>
      <c r="P23178"/>
      <c r="Q23178" s="24"/>
      <c r="R23178"/>
      <c r="S23178"/>
      <c r="T23178"/>
      <c r="U23178"/>
      <c r="X23178" s="60"/>
    </row>
    <row r="23179" spans="7:24" ht="15" customHeight="1">
      <c r="G23179"/>
      <c r="I23179"/>
      <c r="N23179"/>
      <c r="O23179" s="24"/>
      <c r="P23179"/>
      <c r="Q23179" s="24"/>
      <c r="R23179"/>
      <c r="S23179"/>
      <c r="T23179"/>
      <c r="U23179"/>
      <c r="X23179" s="60"/>
    </row>
    <row r="23180" spans="7:24" ht="15" customHeight="1">
      <c r="G23180"/>
      <c r="I23180"/>
      <c r="N23180"/>
      <c r="O23180" s="24"/>
      <c r="P23180"/>
      <c r="Q23180" s="24"/>
      <c r="R23180"/>
      <c r="S23180"/>
      <c r="T23180"/>
      <c r="U23180"/>
      <c r="X23180" s="60"/>
    </row>
    <row r="23181" spans="7:24" ht="15" customHeight="1">
      <c r="G23181"/>
      <c r="I23181"/>
      <c r="N23181"/>
      <c r="O23181" s="24"/>
      <c r="P23181"/>
      <c r="Q23181" s="24"/>
      <c r="R23181"/>
      <c r="S23181"/>
      <c r="T23181"/>
      <c r="U23181"/>
      <c r="X23181" s="60"/>
    </row>
    <row r="23182" spans="7:24" ht="15" customHeight="1">
      <c r="G23182"/>
      <c r="I23182"/>
      <c r="N23182"/>
      <c r="O23182" s="24"/>
      <c r="P23182"/>
      <c r="Q23182" s="24"/>
      <c r="R23182"/>
      <c r="S23182"/>
      <c r="T23182"/>
      <c r="U23182"/>
      <c r="X23182" s="60"/>
    </row>
    <row r="23183" spans="7:24" ht="15" customHeight="1">
      <c r="G23183"/>
      <c r="I23183"/>
      <c r="N23183"/>
      <c r="O23183" s="24"/>
      <c r="P23183"/>
      <c r="Q23183" s="24"/>
      <c r="R23183"/>
      <c r="S23183"/>
      <c r="T23183"/>
      <c r="U23183"/>
      <c r="X23183" s="60"/>
    </row>
    <row r="23184" spans="7:24" ht="15" customHeight="1">
      <c r="G23184"/>
      <c r="I23184"/>
      <c r="N23184"/>
      <c r="O23184" s="24"/>
      <c r="P23184"/>
      <c r="Q23184" s="24"/>
      <c r="R23184"/>
      <c r="S23184"/>
      <c r="T23184"/>
      <c r="U23184"/>
      <c r="X23184" s="60"/>
    </row>
    <row r="23185" spans="7:24" ht="15" customHeight="1">
      <c r="G23185"/>
      <c r="I23185"/>
      <c r="N23185"/>
      <c r="O23185" s="24"/>
      <c r="P23185"/>
      <c r="Q23185" s="24"/>
      <c r="R23185"/>
      <c r="S23185"/>
      <c r="T23185"/>
      <c r="U23185"/>
      <c r="X23185" s="60"/>
    </row>
    <row r="23186" spans="7:24" ht="15" customHeight="1">
      <c r="G23186"/>
      <c r="I23186"/>
      <c r="N23186"/>
      <c r="O23186" s="24"/>
      <c r="P23186"/>
      <c r="Q23186" s="24"/>
      <c r="R23186"/>
      <c r="S23186"/>
      <c r="T23186"/>
      <c r="U23186"/>
      <c r="X23186" s="60"/>
    </row>
    <row r="23187" spans="7:24" ht="15" customHeight="1">
      <c r="G23187"/>
      <c r="I23187"/>
      <c r="N23187"/>
      <c r="O23187" s="24"/>
      <c r="P23187"/>
      <c r="Q23187" s="24"/>
      <c r="R23187"/>
      <c r="S23187"/>
      <c r="T23187"/>
      <c r="U23187"/>
      <c r="X23187" s="60"/>
    </row>
    <row r="23188" spans="7:24" ht="15" customHeight="1">
      <c r="G23188"/>
      <c r="I23188"/>
      <c r="N23188"/>
      <c r="O23188" s="24"/>
      <c r="P23188"/>
      <c r="Q23188" s="24"/>
      <c r="R23188"/>
      <c r="S23188"/>
      <c r="T23188"/>
      <c r="U23188"/>
      <c r="X23188" s="60"/>
    </row>
    <row r="23189" spans="7:24" ht="15" customHeight="1">
      <c r="G23189"/>
      <c r="I23189"/>
      <c r="N23189"/>
      <c r="O23189" s="24"/>
      <c r="P23189"/>
      <c r="Q23189" s="24"/>
      <c r="R23189"/>
      <c r="S23189"/>
      <c r="T23189"/>
      <c r="U23189"/>
      <c r="X23189" s="60"/>
    </row>
    <row r="23190" spans="7:24" ht="15" customHeight="1">
      <c r="G23190"/>
      <c r="I23190"/>
      <c r="N23190"/>
      <c r="O23190" s="24"/>
      <c r="P23190"/>
      <c r="Q23190" s="24"/>
      <c r="R23190"/>
      <c r="S23190"/>
      <c r="T23190"/>
      <c r="U23190"/>
      <c r="X23190" s="60"/>
    </row>
    <row r="23191" spans="7:24" ht="15" customHeight="1">
      <c r="G23191"/>
      <c r="I23191"/>
      <c r="N23191"/>
      <c r="O23191" s="24"/>
      <c r="P23191"/>
      <c r="Q23191" s="24"/>
      <c r="R23191"/>
      <c r="S23191"/>
      <c r="T23191"/>
      <c r="U23191"/>
      <c r="X23191" s="60"/>
    </row>
    <row r="23192" spans="7:24" ht="15" customHeight="1">
      <c r="G23192"/>
      <c r="I23192"/>
      <c r="N23192"/>
      <c r="O23192" s="24"/>
      <c r="P23192"/>
      <c r="Q23192" s="24"/>
      <c r="R23192"/>
      <c r="S23192"/>
      <c r="T23192"/>
      <c r="U23192"/>
      <c r="X23192" s="60"/>
    </row>
    <row r="23193" spans="7:24" ht="15" customHeight="1">
      <c r="G23193"/>
      <c r="I23193"/>
      <c r="N23193"/>
      <c r="O23193" s="24"/>
      <c r="P23193"/>
      <c r="Q23193" s="24"/>
      <c r="R23193"/>
      <c r="S23193"/>
      <c r="T23193"/>
      <c r="U23193"/>
      <c r="X23193" s="60"/>
    </row>
    <row r="23194" spans="7:24" ht="15" customHeight="1">
      <c r="G23194"/>
      <c r="I23194"/>
      <c r="N23194"/>
      <c r="O23194" s="24"/>
      <c r="P23194"/>
      <c r="Q23194" s="24"/>
      <c r="R23194"/>
      <c r="S23194"/>
      <c r="T23194"/>
      <c r="U23194"/>
      <c r="X23194" s="60"/>
    </row>
    <row r="23195" spans="7:24" ht="15" customHeight="1">
      <c r="G23195"/>
      <c r="I23195"/>
      <c r="N23195"/>
      <c r="O23195" s="24"/>
      <c r="P23195"/>
      <c r="Q23195" s="24"/>
      <c r="R23195"/>
      <c r="S23195"/>
      <c r="T23195"/>
      <c r="U23195"/>
      <c r="X23195" s="60"/>
    </row>
    <row r="23196" spans="7:24" ht="15" customHeight="1">
      <c r="G23196"/>
      <c r="I23196"/>
      <c r="N23196"/>
      <c r="O23196" s="24"/>
      <c r="P23196"/>
      <c r="Q23196" s="24"/>
      <c r="R23196"/>
      <c r="S23196"/>
      <c r="T23196"/>
      <c r="U23196"/>
      <c r="X23196" s="60"/>
    </row>
    <row r="23197" spans="7:24" ht="15" customHeight="1">
      <c r="G23197"/>
      <c r="I23197"/>
      <c r="N23197"/>
      <c r="O23197" s="24"/>
      <c r="P23197"/>
      <c r="Q23197" s="24"/>
      <c r="R23197"/>
      <c r="S23197"/>
      <c r="T23197"/>
      <c r="U23197"/>
      <c r="X23197" s="60"/>
    </row>
    <row r="23198" spans="7:24" ht="15" customHeight="1">
      <c r="G23198"/>
      <c r="I23198"/>
      <c r="N23198"/>
      <c r="O23198" s="24"/>
      <c r="P23198"/>
      <c r="Q23198" s="24"/>
      <c r="R23198"/>
      <c r="S23198"/>
      <c r="T23198"/>
      <c r="U23198"/>
      <c r="X23198" s="60"/>
    </row>
    <row r="23199" spans="7:24" ht="15" customHeight="1">
      <c r="G23199"/>
      <c r="I23199"/>
      <c r="N23199"/>
      <c r="O23199" s="24"/>
      <c r="P23199"/>
      <c r="Q23199" s="24"/>
      <c r="R23199"/>
      <c r="S23199"/>
      <c r="T23199"/>
      <c r="U23199"/>
      <c r="X23199" s="60"/>
    </row>
    <row r="23200" spans="7:24" ht="15" customHeight="1">
      <c r="G23200"/>
      <c r="I23200"/>
      <c r="N23200"/>
      <c r="O23200" s="24"/>
      <c r="P23200"/>
      <c r="Q23200" s="24"/>
      <c r="R23200"/>
      <c r="S23200"/>
      <c r="T23200"/>
      <c r="U23200"/>
      <c r="X23200" s="60"/>
    </row>
    <row r="23201" spans="7:24" ht="15" customHeight="1">
      <c r="G23201"/>
      <c r="I23201"/>
      <c r="N23201"/>
      <c r="O23201" s="24"/>
      <c r="P23201"/>
      <c r="Q23201" s="24"/>
      <c r="R23201"/>
      <c r="S23201"/>
      <c r="T23201"/>
      <c r="U23201"/>
      <c r="X23201" s="60"/>
    </row>
    <row r="23202" spans="7:24" ht="15" customHeight="1">
      <c r="G23202"/>
      <c r="I23202"/>
      <c r="N23202"/>
      <c r="O23202" s="24"/>
      <c r="P23202"/>
      <c r="Q23202" s="24"/>
      <c r="R23202"/>
      <c r="S23202"/>
      <c r="T23202"/>
      <c r="U23202"/>
      <c r="X23202" s="60"/>
    </row>
    <row r="23203" spans="7:24" ht="15" customHeight="1">
      <c r="G23203"/>
      <c r="I23203"/>
      <c r="N23203"/>
      <c r="O23203" s="24"/>
      <c r="P23203"/>
      <c r="Q23203" s="24"/>
      <c r="R23203"/>
      <c r="S23203"/>
      <c r="T23203"/>
      <c r="U23203"/>
      <c r="X23203" s="60"/>
    </row>
    <row r="23204" spans="7:24" ht="15" customHeight="1">
      <c r="G23204"/>
      <c r="I23204"/>
      <c r="N23204"/>
      <c r="O23204" s="24"/>
      <c r="P23204"/>
      <c r="Q23204" s="24"/>
      <c r="R23204"/>
      <c r="S23204"/>
      <c r="T23204"/>
      <c r="U23204"/>
      <c r="X23204" s="60"/>
    </row>
    <row r="23205" spans="7:24" ht="15" customHeight="1">
      <c r="G23205"/>
      <c r="I23205"/>
      <c r="N23205"/>
      <c r="O23205" s="24"/>
      <c r="P23205"/>
      <c r="Q23205" s="24"/>
      <c r="R23205"/>
      <c r="S23205"/>
      <c r="T23205"/>
      <c r="U23205"/>
      <c r="X23205" s="60"/>
    </row>
    <row r="23206" spans="7:24" ht="15" customHeight="1">
      <c r="G23206"/>
      <c r="I23206"/>
      <c r="N23206"/>
      <c r="O23206" s="24"/>
      <c r="P23206"/>
      <c r="Q23206" s="24"/>
      <c r="R23206"/>
      <c r="S23206"/>
      <c r="T23206"/>
      <c r="U23206"/>
      <c r="X23206" s="60"/>
    </row>
    <row r="23207" spans="7:24" ht="15" customHeight="1">
      <c r="G23207"/>
      <c r="I23207"/>
      <c r="N23207"/>
      <c r="O23207" s="24"/>
      <c r="P23207"/>
      <c r="Q23207" s="24"/>
      <c r="R23207"/>
      <c r="S23207"/>
      <c r="T23207"/>
      <c r="U23207"/>
      <c r="X23207" s="60"/>
    </row>
    <row r="23208" spans="7:24" ht="15" customHeight="1">
      <c r="G23208"/>
      <c r="I23208"/>
      <c r="N23208"/>
      <c r="O23208" s="24"/>
      <c r="P23208"/>
      <c r="Q23208" s="24"/>
      <c r="R23208"/>
      <c r="S23208"/>
      <c r="T23208"/>
      <c r="U23208"/>
      <c r="X23208" s="60"/>
    </row>
    <row r="23209" spans="7:24" ht="15" customHeight="1">
      <c r="G23209"/>
      <c r="I23209"/>
      <c r="N23209"/>
      <c r="O23209" s="24"/>
      <c r="P23209"/>
      <c r="Q23209" s="24"/>
      <c r="R23209"/>
      <c r="S23209"/>
      <c r="T23209"/>
      <c r="U23209"/>
      <c r="X23209" s="60"/>
    </row>
    <row r="23210" spans="7:24" ht="15" customHeight="1">
      <c r="G23210"/>
      <c r="I23210"/>
      <c r="N23210"/>
      <c r="O23210" s="24"/>
      <c r="P23210"/>
      <c r="Q23210" s="24"/>
      <c r="R23210"/>
      <c r="S23210"/>
      <c r="T23210"/>
      <c r="U23210"/>
      <c r="X23210" s="60"/>
    </row>
    <row r="23211" spans="7:24" ht="15" customHeight="1">
      <c r="G23211"/>
      <c r="I23211"/>
      <c r="N23211"/>
      <c r="O23211" s="24"/>
      <c r="P23211"/>
      <c r="Q23211" s="24"/>
      <c r="R23211"/>
      <c r="S23211"/>
      <c r="T23211"/>
      <c r="U23211"/>
      <c r="X23211" s="60"/>
    </row>
    <row r="23212" spans="7:24" ht="15" customHeight="1">
      <c r="G23212"/>
      <c r="I23212"/>
      <c r="N23212"/>
      <c r="O23212" s="24"/>
      <c r="P23212"/>
      <c r="Q23212" s="24"/>
      <c r="R23212"/>
      <c r="S23212"/>
      <c r="T23212"/>
      <c r="U23212"/>
      <c r="X23212" s="60"/>
    </row>
    <row r="23213" spans="7:24" ht="15" customHeight="1">
      <c r="G23213"/>
      <c r="I23213"/>
      <c r="N23213"/>
      <c r="O23213" s="24"/>
      <c r="P23213"/>
      <c r="Q23213" s="24"/>
      <c r="R23213"/>
      <c r="S23213"/>
      <c r="T23213"/>
      <c r="U23213"/>
      <c r="X23213" s="60"/>
    </row>
    <row r="23214" spans="7:24" ht="15" customHeight="1">
      <c r="G23214"/>
      <c r="I23214"/>
      <c r="N23214"/>
      <c r="O23214" s="24"/>
      <c r="P23214"/>
      <c r="Q23214" s="24"/>
      <c r="R23214"/>
      <c r="S23214"/>
      <c r="T23214"/>
      <c r="U23214"/>
      <c r="X23214" s="60"/>
    </row>
    <row r="23215" spans="7:24" ht="15" customHeight="1">
      <c r="G23215"/>
      <c r="I23215"/>
      <c r="N23215"/>
      <c r="O23215" s="24"/>
      <c r="P23215"/>
      <c r="Q23215" s="24"/>
      <c r="R23215"/>
      <c r="S23215"/>
      <c r="T23215"/>
      <c r="U23215"/>
      <c r="X23215" s="60"/>
    </row>
    <row r="23216" spans="7:24" ht="15" customHeight="1">
      <c r="G23216"/>
      <c r="I23216"/>
      <c r="N23216"/>
      <c r="O23216" s="24"/>
      <c r="P23216"/>
      <c r="Q23216" s="24"/>
      <c r="R23216"/>
      <c r="S23216"/>
      <c r="T23216"/>
      <c r="U23216"/>
      <c r="X23216" s="60"/>
    </row>
    <row r="23217" spans="7:24" ht="15" customHeight="1">
      <c r="G23217"/>
      <c r="I23217"/>
      <c r="N23217"/>
      <c r="O23217" s="24"/>
      <c r="P23217"/>
      <c r="Q23217" s="24"/>
      <c r="R23217"/>
      <c r="S23217"/>
      <c r="T23217"/>
      <c r="U23217"/>
      <c r="X23217" s="60"/>
    </row>
    <row r="23218" spans="7:24" ht="15" customHeight="1">
      <c r="G23218"/>
      <c r="I23218"/>
      <c r="N23218"/>
      <c r="O23218" s="24"/>
      <c r="P23218"/>
      <c r="Q23218" s="24"/>
      <c r="R23218"/>
      <c r="S23218"/>
      <c r="T23218"/>
      <c r="U23218"/>
      <c r="X23218" s="60"/>
    </row>
    <row r="23219" spans="7:24" ht="15" customHeight="1">
      <c r="G23219"/>
      <c r="I23219"/>
      <c r="N23219"/>
      <c r="O23219" s="24"/>
      <c r="P23219"/>
      <c r="Q23219" s="24"/>
      <c r="R23219"/>
      <c r="S23219"/>
      <c r="T23219"/>
      <c r="U23219"/>
      <c r="X23219" s="60"/>
    </row>
    <row r="23220" spans="7:24" ht="15" customHeight="1">
      <c r="G23220"/>
      <c r="I23220"/>
      <c r="N23220"/>
      <c r="O23220" s="24"/>
      <c r="P23220"/>
      <c r="Q23220" s="24"/>
      <c r="R23220"/>
      <c r="S23220"/>
      <c r="T23220"/>
      <c r="U23220"/>
      <c r="X23220" s="60"/>
    </row>
    <row r="23221" spans="7:24" ht="15" customHeight="1">
      <c r="G23221"/>
      <c r="I23221"/>
      <c r="N23221"/>
      <c r="O23221" s="24"/>
      <c r="P23221"/>
      <c r="Q23221" s="24"/>
      <c r="R23221"/>
      <c r="S23221"/>
      <c r="T23221"/>
      <c r="U23221"/>
      <c r="X23221" s="60"/>
    </row>
    <row r="23222" spans="7:24" ht="15" customHeight="1">
      <c r="G23222"/>
      <c r="I23222"/>
      <c r="N23222"/>
      <c r="O23222" s="24"/>
      <c r="P23222"/>
      <c r="Q23222" s="24"/>
      <c r="R23222"/>
      <c r="S23222"/>
      <c r="T23222"/>
      <c r="U23222"/>
      <c r="X23222" s="60"/>
    </row>
    <row r="23223" spans="7:24" ht="15" customHeight="1">
      <c r="G23223"/>
      <c r="I23223"/>
      <c r="N23223"/>
      <c r="O23223" s="24"/>
      <c r="P23223"/>
      <c r="Q23223" s="24"/>
      <c r="R23223"/>
      <c r="S23223"/>
      <c r="T23223"/>
      <c r="U23223"/>
      <c r="X23223" s="60"/>
    </row>
    <row r="23224" spans="7:24" ht="15" customHeight="1">
      <c r="G23224"/>
      <c r="I23224"/>
      <c r="N23224"/>
      <c r="O23224" s="24"/>
      <c r="P23224"/>
      <c r="Q23224" s="24"/>
      <c r="R23224"/>
      <c r="S23224"/>
      <c r="T23224"/>
      <c r="U23224"/>
      <c r="X23224" s="60"/>
    </row>
    <row r="23225" spans="7:24" ht="15" customHeight="1">
      <c r="G23225"/>
      <c r="I23225"/>
      <c r="N23225"/>
      <c r="O23225" s="24"/>
      <c r="P23225"/>
      <c r="Q23225" s="24"/>
      <c r="R23225"/>
      <c r="S23225"/>
      <c r="T23225"/>
      <c r="U23225"/>
      <c r="X23225" s="60"/>
    </row>
    <row r="23226" spans="7:24" ht="15" customHeight="1">
      <c r="G23226"/>
      <c r="I23226"/>
      <c r="N23226"/>
      <c r="O23226" s="24"/>
      <c r="P23226"/>
      <c r="Q23226" s="24"/>
      <c r="R23226"/>
      <c r="S23226"/>
      <c r="T23226"/>
      <c r="U23226"/>
      <c r="X23226" s="60"/>
    </row>
    <row r="23227" spans="7:24" ht="15" customHeight="1">
      <c r="G23227"/>
      <c r="I23227"/>
      <c r="N23227"/>
      <c r="O23227" s="24"/>
      <c r="P23227"/>
      <c r="Q23227" s="24"/>
      <c r="R23227"/>
      <c r="S23227"/>
      <c r="T23227"/>
      <c r="U23227"/>
      <c r="X23227" s="60"/>
    </row>
    <row r="23228" spans="7:24" ht="15" customHeight="1">
      <c r="G23228"/>
      <c r="I23228"/>
      <c r="N23228"/>
      <c r="O23228" s="24"/>
      <c r="P23228"/>
      <c r="Q23228" s="24"/>
      <c r="R23228"/>
      <c r="S23228"/>
      <c r="T23228"/>
      <c r="U23228"/>
      <c r="X23228" s="60"/>
    </row>
    <row r="23229" spans="7:24" ht="15" customHeight="1">
      <c r="G23229"/>
      <c r="I23229"/>
      <c r="N23229"/>
      <c r="O23229" s="24"/>
      <c r="P23229"/>
      <c r="Q23229" s="24"/>
      <c r="R23229"/>
      <c r="S23229"/>
      <c r="T23229"/>
      <c r="U23229"/>
      <c r="X23229" s="60"/>
    </row>
    <row r="23230" spans="7:24" ht="15" customHeight="1">
      <c r="G23230"/>
      <c r="I23230"/>
      <c r="N23230"/>
      <c r="O23230" s="24"/>
      <c r="P23230"/>
      <c r="Q23230" s="24"/>
      <c r="R23230"/>
      <c r="S23230"/>
      <c r="T23230"/>
      <c r="U23230"/>
      <c r="X23230" s="60"/>
    </row>
    <row r="23231" spans="7:24" ht="15" customHeight="1">
      <c r="G23231"/>
      <c r="I23231"/>
      <c r="N23231"/>
      <c r="O23231" s="24"/>
      <c r="P23231"/>
      <c r="Q23231" s="24"/>
      <c r="R23231"/>
      <c r="S23231"/>
      <c r="T23231"/>
      <c r="U23231"/>
      <c r="X23231" s="60"/>
    </row>
    <row r="23232" spans="7:24" ht="15" customHeight="1">
      <c r="G23232"/>
      <c r="I23232"/>
      <c r="N23232"/>
      <c r="O23232" s="24"/>
      <c r="P23232"/>
      <c r="Q23232" s="24"/>
      <c r="R23232"/>
      <c r="S23232"/>
      <c r="T23232"/>
      <c r="U23232"/>
      <c r="X23232" s="60"/>
    </row>
    <row r="23233" spans="7:24" ht="15" customHeight="1">
      <c r="G23233"/>
      <c r="I23233"/>
      <c r="N23233"/>
      <c r="O23233" s="24"/>
      <c r="P23233"/>
      <c r="Q23233" s="24"/>
      <c r="R23233"/>
      <c r="S23233"/>
      <c r="T23233"/>
      <c r="U23233"/>
      <c r="X23233" s="60"/>
    </row>
    <row r="23234" spans="7:24" ht="15" customHeight="1">
      <c r="G23234"/>
      <c r="I23234"/>
      <c r="N23234"/>
      <c r="O23234" s="24"/>
      <c r="P23234"/>
      <c r="Q23234" s="24"/>
      <c r="R23234"/>
      <c r="S23234"/>
      <c r="T23234"/>
      <c r="U23234"/>
      <c r="X23234" s="60"/>
    </row>
    <row r="23235" spans="7:24" ht="15" customHeight="1">
      <c r="G23235"/>
      <c r="I23235"/>
      <c r="N23235"/>
      <c r="O23235" s="24"/>
      <c r="P23235"/>
      <c r="Q23235" s="24"/>
      <c r="R23235"/>
      <c r="S23235"/>
      <c r="T23235"/>
      <c r="U23235"/>
      <c r="X23235" s="60"/>
    </row>
    <row r="23236" spans="7:24" ht="15" customHeight="1">
      <c r="G23236"/>
      <c r="I23236"/>
      <c r="N23236"/>
      <c r="O23236" s="24"/>
      <c r="P23236"/>
      <c r="Q23236" s="24"/>
      <c r="R23236"/>
      <c r="S23236"/>
      <c r="T23236"/>
      <c r="U23236"/>
      <c r="X23236" s="60"/>
    </row>
    <row r="23237" spans="7:24" ht="15" customHeight="1">
      <c r="G23237"/>
      <c r="I23237"/>
      <c r="N23237"/>
      <c r="O23237" s="24"/>
      <c r="P23237"/>
      <c r="Q23237" s="24"/>
      <c r="R23237"/>
      <c r="S23237"/>
      <c r="T23237"/>
      <c r="U23237"/>
      <c r="X23237" s="60"/>
    </row>
    <row r="23238" spans="7:24" ht="15" customHeight="1">
      <c r="G23238"/>
      <c r="I23238"/>
      <c r="N23238"/>
      <c r="O23238" s="24"/>
      <c r="P23238"/>
      <c r="Q23238" s="24"/>
      <c r="R23238"/>
      <c r="S23238"/>
      <c r="T23238"/>
      <c r="U23238"/>
      <c r="X23238" s="60"/>
    </row>
    <row r="23239" spans="7:24" ht="15" customHeight="1">
      <c r="G23239"/>
      <c r="I23239"/>
      <c r="N23239"/>
      <c r="O23239" s="24"/>
      <c r="P23239"/>
      <c r="Q23239" s="24"/>
      <c r="R23239"/>
      <c r="S23239"/>
      <c r="T23239"/>
      <c r="U23239"/>
      <c r="X23239" s="60"/>
    </row>
    <row r="23240" spans="7:24" ht="15" customHeight="1">
      <c r="G23240"/>
      <c r="I23240"/>
      <c r="N23240"/>
      <c r="O23240" s="24"/>
      <c r="P23240"/>
      <c r="Q23240" s="24"/>
      <c r="R23240"/>
      <c r="S23240"/>
      <c r="T23240"/>
      <c r="U23240"/>
      <c r="X23240" s="60"/>
    </row>
    <row r="23241" spans="7:24" ht="15" customHeight="1">
      <c r="G23241"/>
      <c r="I23241"/>
      <c r="N23241"/>
      <c r="O23241" s="24"/>
      <c r="P23241"/>
      <c r="Q23241" s="24"/>
      <c r="R23241"/>
      <c r="S23241"/>
      <c r="T23241"/>
      <c r="U23241"/>
      <c r="X23241" s="60"/>
    </row>
    <row r="23242" spans="7:24" ht="15" customHeight="1">
      <c r="G23242"/>
      <c r="I23242"/>
      <c r="N23242"/>
      <c r="O23242" s="24"/>
      <c r="P23242"/>
      <c r="Q23242" s="24"/>
      <c r="R23242"/>
      <c r="S23242"/>
      <c r="T23242"/>
      <c r="U23242"/>
      <c r="X23242" s="60"/>
    </row>
    <row r="23243" spans="7:24" ht="15" customHeight="1">
      <c r="G23243"/>
      <c r="I23243"/>
      <c r="N23243"/>
      <c r="O23243" s="24"/>
      <c r="P23243"/>
      <c r="Q23243" s="24"/>
      <c r="R23243"/>
      <c r="S23243"/>
      <c r="T23243"/>
      <c r="U23243"/>
      <c r="X23243" s="60"/>
    </row>
    <row r="23244" spans="7:24" ht="15" customHeight="1">
      <c r="G23244"/>
      <c r="I23244"/>
      <c r="N23244"/>
      <c r="O23244" s="24"/>
      <c r="P23244"/>
      <c r="Q23244" s="24"/>
      <c r="R23244"/>
      <c r="S23244"/>
      <c r="T23244"/>
      <c r="U23244"/>
      <c r="X23244" s="60"/>
    </row>
    <row r="23245" spans="7:24" ht="15" customHeight="1">
      <c r="G23245"/>
      <c r="I23245"/>
      <c r="N23245"/>
      <c r="O23245" s="24"/>
      <c r="P23245"/>
      <c r="Q23245" s="24"/>
      <c r="R23245"/>
      <c r="S23245"/>
      <c r="T23245"/>
      <c r="U23245"/>
      <c r="X23245" s="60"/>
    </row>
    <row r="23246" spans="7:24" ht="15" customHeight="1">
      <c r="G23246"/>
      <c r="I23246"/>
      <c r="N23246"/>
      <c r="O23246" s="24"/>
      <c r="P23246"/>
      <c r="Q23246" s="24"/>
      <c r="R23246"/>
      <c r="S23246"/>
      <c r="T23246"/>
      <c r="U23246"/>
      <c r="X23246" s="60"/>
    </row>
    <row r="23247" spans="7:24" ht="15" customHeight="1">
      <c r="G23247"/>
      <c r="I23247"/>
      <c r="N23247"/>
      <c r="O23247" s="24"/>
      <c r="P23247"/>
      <c r="Q23247" s="24"/>
      <c r="R23247"/>
      <c r="S23247"/>
      <c r="T23247"/>
      <c r="U23247"/>
      <c r="X23247" s="60"/>
    </row>
    <row r="23248" spans="7:24" ht="15" customHeight="1">
      <c r="G23248"/>
      <c r="I23248"/>
      <c r="N23248"/>
      <c r="O23248" s="24"/>
      <c r="P23248"/>
      <c r="Q23248" s="24"/>
      <c r="R23248"/>
      <c r="S23248"/>
      <c r="T23248"/>
      <c r="U23248"/>
      <c r="X23248" s="60"/>
    </row>
    <row r="23249" spans="7:24" ht="15" customHeight="1">
      <c r="G23249"/>
      <c r="I23249"/>
      <c r="N23249"/>
      <c r="O23249" s="24"/>
      <c r="P23249"/>
      <c r="Q23249" s="24"/>
      <c r="R23249"/>
      <c r="S23249"/>
      <c r="T23249"/>
      <c r="U23249"/>
      <c r="X23249" s="60"/>
    </row>
    <row r="23250" spans="7:24" ht="15" customHeight="1">
      <c r="G23250"/>
      <c r="I23250"/>
      <c r="N23250"/>
      <c r="O23250" s="24"/>
      <c r="P23250"/>
      <c r="Q23250" s="24"/>
      <c r="R23250"/>
      <c r="S23250"/>
      <c r="T23250"/>
      <c r="U23250"/>
      <c r="X23250" s="60"/>
    </row>
    <row r="23251" spans="7:24" ht="15" customHeight="1">
      <c r="G23251"/>
      <c r="I23251"/>
      <c r="N23251"/>
      <c r="O23251" s="24"/>
      <c r="P23251"/>
      <c r="Q23251" s="24"/>
      <c r="R23251"/>
      <c r="S23251"/>
      <c r="T23251"/>
      <c r="U23251"/>
      <c r="X23251" s="60"/>
    </row>
    <row r="23252" spans="7:24" ht="15" customHeight="1">
      <c r="G23252"/>
      <c r="I23252"/>
      <c r="N23252"/>
      <c r="O23252" s="24"/>
      <c r="P23252"/>
      <c r="Q23252" s="24"/>
      <c r="R23252"/>
      <c r="S23252"/>
      <c r="T23252"/>
      <c r="U23252"/>
      <c r="X23252" s="60"/>
    </row>
    <row r="23253" spans="7:24" ht="15" customHeight="1">
      <c r="G23253"/>
      <c r="I23253"/>
      <c r="N23253"/>
      <c r="O23253" s="24"/>
      <c r="P23253"/>
      <c r="Q23253" s="24"/>
      <c r="R23253"/>
      <c r="S23253"/>
      <c r="T23253"/>
      <c r="U23253"/>
      <c r="X23253" s="60"/>
    </row>
    <row r="23254" spans="7:24" ht="15" customHeight="1">
      <c r="G23254"/>
      <c r="I23254"/>
      <c r="N23254"/>
      <c r="O23254" s="24"/>
      <c r="P23254"/>
      <c r="Q23254" s="24"/>
      <c r="R23254"/>
      <c r="S23254"/>
      <c r="T23254"/>
      <c r="U23254"/>
      <c r="X23254" s="60"/>
    </row>
    <row r="23255" spans="7:24" ht="15" customHeight="1">
      <c r="G23255"/>
      <c r="I23255"/>
      <c r="N23255"/>
      <c r="O23255" s="24"/>
      <c r="P23255"/>
      <c r="Q23255" s="24"/>
      <c r="R23255"/>
      <c r="S23255"/>
      <c r="T23255"/>
      <c r="U23255"/>
      <c r="X23255" s="60"/>
    </row>
    <row r="23256" spans="7:24" ht="15" customHeight="1">
      <c r="G23256"/>
      <c r="I23256"/>
      <c r="N23256"/>
      <c r="O23256" s="24"/>
      <c r="P23256"/>
      <c r="Q23256" s="24"/>
      <c r="R23256"/>
      <c r="S23256"/>
      <c r="T23256"/>
      <c r="U23256"/>
      <c r="X23256" s="60"/>
    </row>
    <row r="23257" spans="7:24" ht="15" customHeight="1">
      <c r="G23257"/>
      <c r="I23257"/>
      <c r="N23257"/>
      <c r="O23257" s="24"/>
      <c r="P23257"/>
      <c r="Q23257" s="24"/>
      <c r="R23257"/>
      <c r="S23257"/>
      <c r="T23257"/>
      <c r="U23257"/>
      <c r="X23257" s="60"/>
    </row>
    <row r="23258" spans="7:24" ht="15" customHeight="1">
      <c r="G23258"/>
      <c r="I23258"/>
      <c r="N23258"/>
      <c r="O23258" s="24"/>
      <c r="P23258"/>
      <c r="Q23258" s="24"/>
      <c r="R23258"/>
      <c r="S23258"/>
      <c r="T23258"/>
      <c r="U23258"/>
      <c r="X23258" s="60"/>
    </row>
    <row r="23259" spans="7:24" ht="15" customHeight="1">
      <c r="G23259"/>
      <c r="I23259"/>
      <c r="N23259"/>
      <c r="O23259" s="24"/>
      <c r="P23259"/>
      <c r="Q23259" s="24"/>
      <c r="R23259"/>
      <c r="S23259"/>
      <c r="T23259"/>
      <c r="U23259"/>
      <c r="X23259" s="60"/>
    </row>
    <row r="23260" spans="7:24" ht="15" customHeight="1">
      <c r="G23260"/>
      <c r="I23260"/>
      <c r="N23260"/>
      <c r="O23260" s="24"/>
      <c r="P23260"/>
      <c r="Q23260" s="24"/>
      <c r="R23260"/>
      <c r="S23260"/>
      <c r="T23260"/>
      <c r="U23260"/>
      <c r="X23260" s="60"/>
    </row>
    <row r="23261" spans="7:24" ht="15" customHeight="1">
      <c r="G23261"/>
      <c r="I23261"/>
      <c r="N23261"/>
      <c r="O23261" s="24"/>
      <c r="P23261"/>
      <c r="Q23261" s="24"/>
      <c r="R23261"/>
      <c r="S23261"/>
      <c r="T23261"/>
      <c r="U23261"/>
      <c r="X23261" s="60"/>
    </row>
    <row r="23262" spans="7:24" ht="15" customHeight="1">
      <c r="G23262"/>
      <c r="I23262"/>
      <c r="N23262"/>
      <c r="O23262" s="24"/>
      <c r="P23262"/>
      <c r="Q23262" s="24"/>
      <c r="R23262"/>
      <c r="S23262"/>
      <c r="T23262"/>
      <c r="U23262"/>
      <c r="X23262" s="60"/>
    </row>
    <row r="23263" spans="7:24" ht="15" customHeight="1">
      <c r="G23263"/>
      <c r="I23263"/>
      <c r="N23263"/>
      <c r="O23263" s="24"/>
      <c r="P23263"/>
      <c r="Q23263" s="24"/>
      <c r="R23263"/>
      <c r="S23263"/>
      <c r="T23263"/>
      <c r="U23263"/>
      <c r="X23263" s="60"/>
    </row>
    <row r="23264" spans="7:24" ht="15" customHeight="1">
      <c r="G23264"/>
      <c r="I23264"/>
      <c r="N23264"/>
      <c r="O23264" s="24"/>
      <c r="P23264"/>
      <c r="Q23264" s="24"/>
      <c r="R23264"/>
      <c r="S23264"/>
      <c r="T23264"/>
      <c r="U23264"/>
      <c r="X23264" s="60"/>
    </row>
    <row r="23265" spans="7:24" ht="15" customHeight="1">
      <c r="G23265"/>
      <c r="I23265"/>
      <c r="N23265"/>
      <c r="O23265" s="24"/>
      <c r="P23265"/>
      <c r="Q23265" s="24"/>
      <c r="R23265"/>
      <c r="S23265"/>
      <c r="T23265"/>
      <c r="U23265"/>
      <c r="X23265" s="60"/>
    </row>
    <row r="23266" spans="7:24" ht="15" customHeight="1">
      <c r="G23266"/>
      <c r="I23266"/>
      <c r="N23266"/>
      <c r="O23266" s="24"/>
      <c r="P23266"/>
      <c r="Q23266" s="24"/>
      <c r="R23266"/>
      <c r="S23266"/>
      <c r="T23266"/>
      <c r="U23266"/>
      <c r="X23266" s="60"/>
    </row>
    <row r="23267" spans="7:24" ht="15" customHeight="1">
      <c r="G23267"/>
      <c r="I23267"/>
      <c r="N23267"/>
      <c r="O23267" s="24"/>
      <c r="P23267"/>
      <c r="Q23267" s="24"/>
      <c r="R23267"/>
      <c r="S23267"/>
      <c r="T23267"/>
      <c r="U23267"/>
      <c r="X23267" s="60"/>
    </row>
    <row r="23268" spans="7:24" ht="15" customHeight="1">
      <c r="G23268"/>
      <c r="I23268"/>
      <c r="N23268"/>
      <c r="O23268" s="24"/>
      <c r="P23268"/>
      <c r="Q23268" s="24"/>
      <c r="R23268"/>
      <c r="S23268"/>
      <c r="T23268"/>
      <c r="U23268"/>
      <c r="X23268" s="60"/>
    </row>
    <row r="23269" spans="7:24" ht="15" customHeight="1">
      <c r="G23269"/>
      <c r="I23269"/>
      <c r="N23269"/>
      <c r="O23269" s="24"/>
      <c r="P23269"/>
      <c r="Q23269" s="24"/>
      <c r="R23269"/>
      <c r="S23269"/>
      <c r="T23269"/>
      <c r="U23269"/>
      <c r="X23269" s="60"/>
    </row>
    <row r="23270" spans="7:24" ht="15" customHeight="1">
      <c r="G23270"/>
      <c r="I23270"/>
      <c r="N23270"/>
      <c r="O23270" s="24"/>
      <c r="P23270"/>
      <c r="Q23270" s="24"/>
      <c r="R23270"/>
      <c r="S23270"/>
      <c r="T23270"/>
      <c r="U23270"/>
      <c r="X23270" s="60"/>
    </row>
    <row r="23271" spans="7:24" ht="15" customHeight="1">
      <c r="G23271"/>
      <c r="I23271"/>
      <c r="N23271"/>
      <c r="O23271" s="24"/>
      <c r="P23271"/>
      <c r="Q23271" s="24"/>
      <c r="R23271"/>
      <c r="S23271"/>
      <c r="T23271"/>
      <c r="U23271"/>
      <c r="X23271" s="60"/>
    </row>
    <row r="23272" spans="7:24" ht="15" customHeight="1">
      <c r="G23272"/>
      <c r="I23272"/>
      <c r="N23272"/>
      <c r="O23272" s="24"/>
      <c r="P23272"/>
      <c r="Q23272" s="24"/>
      <c r="R23272"/>
      <c r="S23272"/>
      <c r="T23272"/>
      <c r="U23272"/>
      <c r="X23272" s="60"/>
    </row>
    <row r="23273" spans="7:24" ht="15" customHeight="1">
      <c r="G23273"/>
      <c r="I23273"/>
      <c r="N23273"/>
      <c r="O23273" s="24"/>
      <c r="P23273"/>
      <c r="Q23273" s="24"/>
      <c r="R23273"/>
      <c r="S23273"/>
      <c r="T23273"/>
      <c r="U23273"/>
      <c r="X23273" s="60"/>
    </row>
    <row r="23274" spans="7:24" ht="15" customHeight="1">
      <c r="G23274"/>
      <c r="I23274"/>
      <c r="N23274"/>
      <c r="O23274" s="24"/>
      <c r="P23274"/>
      <c r="Q23274" s="24"/>
      <c r="R23274"/>
      <c r="S23274"/>
      <c r="T23274"/>
      <c r="U23274"/>
      <c r="X23274" s="60"/>
    </row>
    <row r="23275" spans="7:24" ht="15" customHeight="1">
      <c r="G23275"/>
      <c r="I23275"/>
      <c r="N23275"/>
      <c r="O23275" s="24"/>
      <c r="P23275"/>
      <c r="Q23275" s="24"/>
      <c r="R23275"/>
      <c r="S23275"/>
      <c r="T23275"/>
      <c r="U23275"/>
      <c r="X23275" s="60"/>
    </row>
    <row r="23276" spans="7:24" ht="15" customHeight="1">
      <c r="G23276"/>
      <c r="I23276"/>
      <c r="N23276"/>
      <c r="O23276" s="24"/>
      <c r="P23276"/>
      <c r="Q23276" s="24"/>
      <c r="R23276"/>
      <c r="S23276"/>
      <c r="T23276"/>
      <c r="U23276"/>
      <c r="X23276" s="60"/>
    </row>
    <row r="23277" spans="7:24" ht="15" customHeight="1">
      <c r="G23277"/>
      <c r="I23277"/>
      <c r="N23277"/>
      <c r="O23277" s="24"/>
      <c r="P23277"/>
      <c r="Q23277" s="24"/>
      <c r="R23277"/>
      <c r="S23277"/>
      <c r="T23277"/>
      <c r="U23277"/>
      <c r="X23277" s="60"/>
    </row>
    <row r="23278" spans="7:24" ht="15" customHeight="1">
      <c r="G23278"/>
      <c r="I23278"/>
      <c r="N23278"/>
      <c r="O23278" s="24"/>
      <c r="P23278"/>
      <c r="Q23278" s="24"/>
      <c r="R23278"/>
      <c r="S23278"/>
      <c r="T23278"/>
      <c r="U23278"/>
      <c r="X23278" s="60"/>
    </row>
    <row r="23279" spans="7:24" ht="15" customHeight="1">
      <c r="G23279"/>
      <c r="I23279"/>
      <c r="N23279"/>
      <c r="O23279" s="24"/>
      <c r="P23279"/>
      <c r="Q23279" s="24"/>
      <c r="R23279"/>
      <c r="S23279"/>
      <c r="T23279"/>
      <c r="U23279"/>
      <c r="X23279" s="60"/>
    </row>
    <row r="23280" spans="7:24" ht="15" customHeight="1">
      <c r="G23280"/>
      <c r="I23280"/>
      <c r="N23280"/>
      <c r="O23280" s="24"/>
      <c r="P23280"/>
      <c r="Q23280" s="24"/>
      <c r="R23280"/>
      <c r="S23280"/>
      <c r="T23280"/>
      <c r="U23280"/>
      <c r="X23280" s="60"/>
    </row>
    <row r="23281" spans="7:24" ht="15" customHeight="1">
      <c r="G23281"/>
      <c r="I23281"/>
      <c r="N23281"/>
      <c r="O23281" s="24"/>
      <c r="P23281"/>
      <c r="Q23281" s="24"/>
      <c r="R23281"/>
      <c r="S23281"/>
      <c r="T23281"/>
      <c r="U23281"/>
      <c r="X23281" s="60"/>
    </row>
    <row r="23282" spans="7:24" ht="15" customHeight="1">
      <c r="G23282"/>
      <c r="I23282"/>
      <c r="N23282"/>
      <c r="O23282" s="24"/>
      <c r="P23282"/>
      <c r="Q23282" s="24"/>
      <c r="R23282"/>
      <c r="S23282"/>
      <c r="T23282"/>
      <c r="U23282"/>
      <c r="X23282" s="60"/>
    </row>
    <row r="23283" spans="7:24" ht="15" customHeight="1">
      <c r="G23283"/>
      <c r="I23283"/>
      <c r="N23283"/>
      <c r="O23283" s="24"/>
      <c r="P23283"/>
      <c r="Q23283" s="24"/>
      <c r="R23283"/>
      <c r="S23283"/>
      <c r="T23283"/>
      <c r="U23283"/>
      <c r="X23283" s="60"/>
    </row>
    <row r="23284" spans="7:24" ht="15" customHeight="1">
      <c r="G23284"/>
      <c r="I23284"/>
      <c r="N23284"/>
      <c r="O23284" s="24"/>
      <c r="P23284"/>
      <c r="Q23284" s="24"/>
      <c r="R23284"/>
      <c r="S23284"/>
      <c r="T23284"/>
      <c r="U23284"/>
      <c r="X23284" s="60"/>
    </row>
    <row r="23285" spans="7:24" ht="15" customHeight="1">
      <c r="G23285"/>
      <c r="I23285"/>
      <c r="N23285"/>
      <c r="O23285" s="24"/>
      <c r="P23285"/>
      <c r="Q23285" s="24"/>
      <c r="R23285"/>
      <c r="S23285"/>
      <c r="T23285"/>
      <c r="U23285"/>
      <c r="X23285" s="60"/>
    </row>
    <row r="23286" spans="7:24" ht="15" customHeight="1">
      <c r="G23286"/>
      <c r="I23286"/>
      <c r="N23286"/>
      <c r="O23286" s="24"/>
      <c r="P23286"/>
      <c r="Q23286" s="24"/>
      <c r="R23286"/>
      <c r="S23286"/>
      <c r="T23286"/>
      <c r="U23286"/>
      <c r="X23286" s="60"/>
    </row>
    <row r="23287" spans="7:24" ht="15" customHeight="1">
      <c r="G23287"/>
      <c r="I23287"/>
      <c r="N23287"/>
      <c r="O23287" s="24"/>
      <c r="P23287"/>
      <c r="Q23287" s="24"/>
      <c r="R23287"/>
      <c r="S23287"/>
      <c r="T23287"/>
      <c r="U23287"/>
      <c r="X23287" s="60"/>
    </row>
    <row r="23288" spans="7:24" ht="15" customHeight="1">
      <c r="G23288"/>
      <c r="I23288"/>
      <c r="N23288"/>
      <c r="O23288" s="24"/>
      <c r="P23288"/>
      <c r="Q23288" s="24"/>
      <c r="R23288"/>
      <c r="S23288"/>
      <c r="T23288"/>
      <c r="U23288"/>
      <c r="X23288" s="60"/>
    </row>
    <row r="23289" spans="7:24" ht="15" customHeight="1">
      <c r="G23289"/>
      <c r="I23289"/>
      <c r="N23289"/>
      <c r="O23289" s="24"/>
      <c r="P23289"/>
      <c r="Q23289" s="24"/>
      <c r="R23289"/>
      <c r="S23289"/>
      <c r="T23289"/>
      <c r="U23289"/>
      <c r="X23289" s="60"/>
    </row>
    <row r="23290" spans="7:24" ht="15" customHeight="1">
      <c r="G23290"/>
      <c r="I23290"/>
      <c r="N23290"/>
      <c r="O23290" s="24"/>
      <c r="P23290"/>
      <c r="Q23290" s="24"/>
      <c r="R23290"/>
      <c r="S23290"/>
      <c r="T23290"/>
      <c r="U23290"/>
      <c r="X23290" s="60"/>
    </row>
    <row r="23291" spans="7:24" ht="15" customHeight="1">
      <c r="G23291"/>
      <c r="I23291"/>
      <c r="N23291"/>
      <c r="O23291" s="24"/>
      <c r="P23291"/>
      <c r="Q23291" s="24"/>
      <c r="R23291"/>
      <c r="S23291"/>
      <c r="T23291"/>
      <c r="U23291"/>
      <c r="X23291" s="60"/>
    </row>
    <row r="23292" spans="7:24" ht="15" customHeight="1">
      <c r="G23292"/>
      <c r="I23292"/>
      <c r="N23292"/>
      <c r="O23292" s="24"/>
      <c r="P23292"/>
      <c r="Q23292" s="24"/>
      <c r="R23292"/>
      <c r="S23292"/>
      <c r="T23292"/>
      <c r="U23292"/>
      <c r="X23292" s="60"/>
    </row>
    <row r="23293" spans="7:24" ht="15" customHeight="1">
      <c r="G23293"/>
      <c r="I23293"/>
      <c r="N23293"/>
      <c r="O23293" s="24"/>
      <c r="P23293"/>
      <c r="Q23293" s="24"/>
      <c r="R23293"/>
      <c r="S23293"/>
      <c r="T23293"/>
      <c r="U23293"/>
      <c r="X23293" s="60"/>
    </row>
    <row r="23294" spans="7:24" ht="15" customHeight="1">
      <c r="G23294"/>
      <c r="I23294"/>
      <c r="N23294"/>
      <c r="O23294" s="24"/>
      <c r="P23294"/>
      <c r="Q23294" s="24"/>
      <c r="R23294"/>
      <c r="S23294"/>
      <c r="T23294"/>
      <c r="U23294"/>
      <c r="X23294" s="60"/>
    </row>
    <row r="23295" spans="7:24" ht="15" customHeight="1">
      <c r="G23295"/>
      <c r="I23295"/>
      <c r="N23295"/>
      <c r="O23295" s="24"/>
      <c r="P23295"/>
      <c r="Q23295" s="24"/>
      <c r="R23295"/>
      <c r="S23295"/>
      <c r="T23295"/>
      <c r="U23295"/>
      <c r="X23295" s="60"/>
    </row>
    <row r="23296" spans="7:24" ht="15" customHeight="1">
      <c r="G23296"/>
      <c r="I23296"/>
      <c r="N23296"/>
      <c r="O23296" s="24"/>
      <c r="P23296"/>
      <c r="Q23296" s="24"/>
      <c r="R23296"/>
      <c r="S23296"/>
      <c r="T23296"/>
      <c r="U23296"/>
      <c r="X23296" s="60"/>
    </row>
    <row r="23297" spans="7:24" ht="15" customHeight="1">
      <c r="G23297"/>
      <c r="I23297"/>
      <c r="N23297"/>
      <c r="O23297" s="24"/>
      <c r="P23297"/>
      <c r="Q23297" s="24"/>
      <c r="R23297"/>
      <c r="S23297"/>
      <c r="T23297"/>
      <c r="U23297"/>
      <c r="X23297" s="60"/>
    </row>
    <row r="23298" spans="7:24" ht="15" customHeight="1">
      <c r="G23298"/>
      <c r="I23298"/>
      <c r="N23298"/>
      <c r="O23298" s="24"/>
      <c r="P23298"/>
      <c r="Q23298" s="24"/>
      <c r="R23298"/>
      <c r="S23298"/>
      <c r="T23298"/>
      <c r="U23298"/>
      <c r="X23298" s="60"/>
    </row>
    <row r="23299" spans="7:24" ht="15" customHeight="1">
      <c r="G23299"/>
      <c r="I23299"/>
      <c r="N23299"/>
      <c r="O23299" s="24"/>
      <c r="P23299"/>
      <c r="Q23299" s="24"/>
      <c r="R23299"/>
      <c r="S23299"/>
      <c r="T23299"/>
      <c r="U23299"/>
      <c r="X23299" s="60"/>
    </row>
    <row r="23300" spans="7:24" ht="15" customHeight="1">
      <c r="G23300"/>
      <c r="I23300"/>
      <c r="N23300"/>
      <c r="O23300" s="24"/>
      <c r="P23300"/>
      <c r="Q23300" s="24"/>
      <c r="R23300"/>
      <c r="S23300"/>
      <c r="T23300"/>
      <c r="U23300"/>
      <c r="X23300" s="60"/>
    </row>
    <row r="23301" spans="7:24" ht="15" customHeight="1">
      <c r="G23301"/>
      <c r="I23301"/>
      <c r="N23301"/>
      <c r="O23301" s="24"/>
      <c r="P23301"/>
      <c r="Q23301" s="24"/>
      <c r="R23301"/>
      <c r="S23301"/>
      <c r="T23301"/>
      <c r="U23301"/>
      <c r="X23301" s="60"/>
    </row>
    <row r="23302" spans="7:24" ht="15" customHeight="1">
      <c r="G23302"/>
      <c r="I23302"/>
      <c r="N23302"/>
      <c r="O23302" s="24"/>
      <c r="P23302"/>
      <c r="Q23302" s="24"/>
      <c r="R23302"/>
      <c r="S23302"/>
      <c r="T23302"/>
      <c r="U23302"/>
      <c r="X23302" s="60"/>
    </row>
    <row r="23303" spans="7:24" ht="15" customHeight="1">
      <c r="G23303"/>
      <c r="I23303"/>
      <c r="N23303"/>
      <c r="O23303" s="24"/>
      <c r="P23303"/>
      <c r="Q23303" s="24"/>
      <c r="R23303"/>
      <c r="S23303"/>
      <c r="T23303"/>
      <c r="U23303"/>
      <c r="X23303" s="60"/>
    </row>
    <row r="23304" spans="7:24" ht="15" customHeight="1">
      <c r="G23304"/>
      <c r="I23304"/>
      <c r="N23304"/>
      <c r="O23304" s="24"/>
      <c r="P23304"/>
      <c r="Q23304" s="24"/>
      <c r="R23304"/>
      <c r="S23304"/>
      <c r="T23304"/>
      <c r="U23304"/>
      <c r="X23304" s="60"/>
    </row>
    <row r="23305" spans="7:24" ht="15" customHeight="1">
      <c r="G23305"/>
      <c r="I23305"/>
      <c r="N23305"/>
      <c r="O23305" s="24"/>
      <c r="P23305"/>
      <c r="Q23305" s="24"/>
      <c r="R23305"/>
      <c r="S23305"/>
      <c r="T23305"/>
      <c r="U23305"/>
      <c r="X23305" s="60"/>
    </row>
    <row r="23306" spans="7:24" ht="15" customHeight="1">
      <c r="G23306"/>
      <c r="I23306"/>
      <c r="N23306"/>
      <c r="O23306" s="24"/>
      <c r="P23306"/>
      <c r="Q23306" s="24"/>
      <c r="R23306"/>
      <c r="S23306"/>
      <c r="T23306"/>
      <c r="U23306"/>
      <c r="X23306" s="60"/>
    </row>
    <row r="23307" spans="7:24" ht="15" customHeight="1">
      <c r="G23307"/>
      <c r="I23307"/>
      <c r="N23307"/>
      <c r="O23307" s="24"/>
      <c r="P23307"/>
      <c r="Q23307" s="24"/>
      <c r="R23307"/>
      <c r="S23307"/>
      <c r="T23307"/>
      <c r="U23307"/>
      <c r="X23307" s="60"/>
    </row>
    <row r="23308" spans="7:24" ht="15" customHeight="1">
      <c r="G23308"/>
      <c r="I23308"/>
      <c r="N23308"/>
      <c r="O23308" s="24"/>
      <c r="P23308"/>
      <c r="Q23308" s="24"/>
      <c r="R23308"/>
      <c r="S23308"/>
      <c r="T23308"/>
      <c r="U23308"/>
      <c r="X23308" s="60"/>
    </row>
    <row r="23309" spans="7:24" ht="15" customHeight="1">
      <c r="G23309"/>
      <c r="I23309"/>
      <c r="N23309"/>
      <c r="O23309" s="24"/>
      <c r="P23309"/>
      <c r="Q23309" s="24"/>
      <c r="R23309"/>
      <c r="S23309"/>
      <c r="T23309"/>
      <c r="U23309"/>
      <c r="X23309" s="60"/>
    </row>
    <row r="23310" spans="7:24" ht="15" customHeight="1">
      <c r="G23310"/>
      <c r="I23310"/>
      <c r="N23310"/>
      <c r="O23310" s="24"/>
      <c r="P23310"/>
      <c r="Q23310" s="24"/>
      <c r="R23310"/>
      <c r="S23310"/>
      <c r="T23310"/>
      <c r="U23310"/>
      <c r="X23310" s="60"/>
    </row>
    <row r="23311" spans="7:24" ht="15" customHeight="1">
      <c r="G23311"/>
      <c r="I23311"/>
      <c r="N23311"/>
      <c r="O23311" s="24"/>
      <c r="P23311"/>
      <c r="Q23311" s="24"/>
      <c r="R23311"/>
      <c r="S23311"/>
      <c r="T23311"/>
      <c r="U23311"/>
      <c r="X23311" s="60"/>
    </row>
    <row r="23312" spans="7:24" ht="15" customHeight="1">
      <c r="G23312"/>
      <c r="I23312"/>
      <c r="N23312"/>
      <c r="O23312" s="24"/>
      <c r="P23312"/>
      <c r="Q23312" s="24"/>
      <c r="R23312"/>
      <c r="S23312"/>
      <c r="T23312"/>
      <c r="U23312"/>
      <c r="X23312" s="60"/>
    </row>
    <row r="23313" spans="7:24" ht="15" customHeight="1">
      <c r="G23313"/>
      <c r="I23313"/>
      <c r="N23313"/>
      <c r="O23313" s="24"/>
      <c r="P23313"/>
      <c r="Q23313" s="24"/>
      <c r="R23313"/>
      <c r="S23313"/>
      <c r="T23313"/>
      <c r="U23313"/>
      <c r="X23313" s="60"/>
    </row>
    <row r="23314" spans="7:24" ht="15" customHeight="1">
      <c r="G23314"/>
      <c r="I23314"/>
      <c r="N23314"/>
      <c r="O23314" s="24"/>
      <c r="P23314"/>
      <c r="Q23314" s="24"/>
      <c r="R23314"/>
      <c r="S23314"/>
      <c r="T23314"/>
      <c r="U23314"/>
      <c r="X23314" s="60"/>
    </row>
    <row r="23315" spans="7:24" ht="15" customHeight="1">
      <c r="G23315"/>
      <c r="I23315"/>
      <c r="N23315"/>
      <c r="O23315" s="24"/>
      <c r="P23315"/>
      <c r="Q23315" s="24"/>
      <c r="R23315"/>
      <c r="S23315"/>
      <c r="T23315"/>
      <c r="U23315"/>
      <c r="X23315" s="60"/>
    </row>
    <row r="23316" spans="7:24" ht="15" customHeight="1">
      <c r="G23316"/>
      <c r="I23316"/>
      <c r="N23316"/>
      <c r="O23316" s="24"/>
      <c r="P23316"/>
      <c r="Q23316" s="24"/>
      <c r="R23316"/>
      <c r="S23316"/>
      <c r="T23316"/>
      <c r="U23316"/>
      <c r="X23316" s="60"/>
    </row>
    <row r="23317" spans="7:24" ht="15" customHeight="1">
      <c r="G23317"/>
      <c r="I23317"/>
      <c r="N23317"/>
      <c r="O23317" s="24"/>
      <c r="P23317"/>
      <c r="Q23317" s="24"/>
      <c r="R23317"/>
      <c r="S23317"/>
      <c r="T23317"/>
      <c r="U23317"/>
      <c r="X23317" s="60"/>
    </row>
    <row r="23318" spans="7:24" ht="15" customHeight="1">
      <c r="G23318"/>
      <c r="I23318"/>
      <c r="N23318"/>
      <c r="O23318" s="24"/>
      <c r="P23318"/>
      <c r="Q23318" s="24"/>
      <c r="R23318"/>
      <c r="S23318"/>
      <c r="T23318"/>
      <c r="U23318"/>
      <c r="X23318" s="60"/>
    </row>
    <row r="23319" spans="7:24" ht="15" customHeight="1">
      <c r="G23319"/>
      <c r="I23319"/>
      <c r="N23319"/>
      <c r="O23319" s="24"/>
      <c r="P23319"/>
      <c r="Q23319" s="24"/>
      <c r="R23319"/>
      <c r="S23319"/>
      <c r="T23319"/>
      <c r="U23319"/>
      <c r="X23319" s="60"/>
    </row>
    <row r="23320" spans="7:24" ht="15" customHeight="1">
      <c r="G23320"/>
      <c r="I23320"/>
      <c r="N23320"/>
      <c r="O23320" s="24"/>
      <c r="P23320"/>
      <c r="Q23320" s="24"/>
      <c r="R23320"/>
      <c r="S23320"/>
      <c r="T23320"/>
      <c r="U23320"/>
      <c r="X23320" s="60"/>
    </row>
    <row r="23321" spans="7:24" ht="15" customHeight="1">
      <c r="G23321"/>
      <c r="I23321"/>
      <c r="N23321"/>
      <c r="O23321" s="24"/>
      <c r="P23321"/>
      <c r="Q23321" s="24"/>
      <c r="R23321"/>
      <c r="S23321"/>
      <c r="T23321"/>
      <c r="U23321"/>
      <c r="X23321" s="60"/>
    </row>
    <row r="23322" spans="7:24" ht="15" customHeight="1">
      <c r="G23322"/>
      <c r="I23322"/>
      <c r="N23322"/>
      <c r="O23322" s="24"/>
      <c r="P23322"/>
      <c r="Q23322" s="24"/>
      <c r="R23322"/>
      <c r="S23322"/>
      <c r="T23322"/>
      <c r="U23322"/>
      <c r="X23322" s="60"/>
    </row>
    <row r="23323" spans="7:24" ht="15" customHeight="1">
      <c r="G23323"/>
      <c r="I23323"/>
      <c r="N23323"/>
      <c r="O23323" s="24"/>
      <c r="P23323"/>
      <c r="Q23323" s="24"/>
      <c r="R23323"/>
      <c r="S23323"/>
      <c r="T23323"/>
      <c r="U23323"/>
      <c r="X23323" s="60"/>
    </row>
    <row r="23324" spans="7:24" ht="15" customHeight="1">
      <c r="G23324"/>
      <c r="I23324"/>
      <c r="N23324"/>
      <c r="O23324" s="24"/>
      <c r="P23324"/>
      <c r="Q23324" s="24"/>
      <c r="R23324"/>
      <c r="S23324"/>
      <c r="T23324"/>
      <c r="U23324"/>
      <c r="X23324" s="60"/>
    </row>
    <row r="23325" spans="7:24" ht="15" customHeight="1">
      <c r="G23325"/>
      <c r="I23325"/>
      <c r="N23325"/>
      <c r="O23325" s="24"/>
      <c r="P23325"/>
      <c r="Q23325" s="24"/>
      <c r="R23325"/>
      <c r="S23325"/>
      <c r="T23325"/>
      <c r="U23325"/>
      <c r="X23325" s="60"/>
    </row>
    <row r="23326" spans="7:24" ht="15" customHeight="1">
      <c r="G23326"/>
      <c r="I23326"/>
      <c r="N23326"/>
      <c r="O23326" s="24"/>
      <c r="P23326"/>
      <c r="Q23326" s="24"/>
      <c r="R23326"/>
      <c r="S23326"/>
      <c r="T23326"/>
      <c r="U23326"/>
      <c r="X23326" s="60"/>
    </row>
    <row r="23327" spans="7:24" ht="15" customHeight="1">
      <c r="G23327"/>
      <c r="I23327"/>
      <c r="N23327"/>
      <c r="O23327" s="24"/>
      <c r="P23327"/>
      <c r="Q23327" s="24"/>
      <c r="R23327"/>
      <c r="S23327"/>
      <c r="T23327"/>
      <c r="U23327"/>
      <c r="X23327" s="60"/>
    </row>
    <row r="23328" spans="7:24" ht="15" customHeight="1">
      <c r="G23328"/>
      <c r="I23328"/>
      <c r="N23328"/>
      <c r="O23328" s="24"/>
      <c r="P23328"/>
      <c r="Q23328" s="24"/>
      <c r="R23328"/>
      <c r="S23328"/>
      <c r="T23328"/>
      <c r="U23328"/>
      <c r="X23328" s="60"/>
    </row>
    <row r="23329" spans="7:24" ht="15" customHeight="1">
      <c r="G23329"/>
      <c r="I23329"/>
      <c r="N23329"/>
      <c r="O23329" s="24"/>
      <c r="P23329"/>
      <c r="Q23329" s="24"/>
      <c r="R23329"/>
      <c r="S23329"/>
      <c r="T23329"/>
      <c r="U23329"/>
      <c r="X23329" s="60"/>
    </row>
    <row r="23330" spans="7:24" ht="15" customHeight="1">
      <c r="G23330"/>
      <c r="I23330"/>
      <c r="N23330"/>
      <c r="O23330" s="24"/>
      <c r="P23330"/>
      <c r="Q23330" s="24"/>
      <c r="R23330"/>
      <c r="S23330"/>
      <c r="T23330"/>
      <c r="U23330"/>
      <c r="X23330" s="60"/>
    </row>
    <row r="23331" spans="7:24" ht="15" customHeight="1">
      <c r="G23331"/>
      <c r="I23331"/>
      <c r="N23331"/>
      <c r="O23331" s="24"/>
      <c r="P23331"/>
      <c r="Q23331" s="24"/>
      <c r="R23331"/>
      <c r="S23331"/>
      <c r="T23331"/>
      <c r="U23331"/>
      <c r="X23331" s="60"/>
    </row>
    <row r="23332" spans="7:24" ht="15" customHeight="1">
      <c r="G23332"/>
      <c r="I23332"/>
      <c r="N23332"/>
      <c r="O23332" s="24"/>
      <c r="P23332"/>
      <c r="Q23332" s="24"/>
      <c r="R23332"/>
      <c r="S23332"/>
      <c r="T23332"/>
      <c r="U23332"/>
      <c r="X23332" s="60"/>
    </row>
    <row r="23333" spans="7:24" ht="15" customHeight="1">
      <c r="G23333"/>
      <c r="I23333"/>
      <c r="N23333"/>
      <c r="O23333" s="24"/>
      <c r="P23333"/>
      <c r="Q23333" s="24"/>
      <c r="R23333"/>
      <c r="S23333"/>
      <c r="T23333"/>
      <c r="U23333"/>
      <c r="X23333" s="60"/>
    </row>
    <row r="23334" spans="7:24" ht="15" customHeight="1">
      <c r="G23334"/>
      <c r="I23334"/>
      <c r="N23334"/>
      <c r="O23334" s="24"/>
      <c r="P23334"/>
      <c r="Q23334" s="24"/>
      <c r="R23334"/>
      <c r="S23334"/>
      <c r="T23334"/>
      <c r="U23334"/>
      <c r="X23334" s="60"/>
    </row>
    <row r="23335" spans="7:24" ht="15" customHeight="1">
      <c r="G23335"/>
      <c r="I23335"/>
      <c r="N23335"/>
      <c r="O23335" s="24"/>
      <c r="P23335"/>
      <c r="Q23335" s="24"/>
      <c r="R23335"/>
      <c r="S23335"/>
      <c r="T23335"/>
      <c r="U23335"/>
      <c r="X23335" s="60"/>
    </row>
    <row r="23336" spans="7:24" ht="15" customHeight="1">
      <c r="G23336"/>
      <c r="I23336"/>
      <c r="N23336"/>
      <c r="O23336" s="24"/>
      <c r="P23336"/>
      <c r="Q23336" s="24"/>
      <c r="R23336"/>
      <c r="S23336"/>
      <c r="T23336"/>
      <c r="U23336"/>
      <c r="X23336" s="60"/>
    </row>
    <row r="23337" spans="7:24" ht="15" customHeight="1">
      <c r="G23337"/>
      <c r="I23337"/>
      <c r="N23337"/>
      <c r="O23337" s="24"/>
      <c r="P23337"/>
      <c r="Q23337" s="24"/>
      <c r="R23337"/>
      <c r="S23337"/>
      <c r="T23337"/>
      <c r="U23337"/>
      <c r="X23337" s="60"/>
    </row>
    <row r="23338" spans="7:24" ht="15" customHeight="1">
      <c r="G23338"/>
      <c r="I23338"/>
      <c r="N23338"/>
      <c r="O23338" s="24"/>
      <c r="P23338"/>
      <c r="Q23338" s="24"/>
      <c r="R23338"/>
      <c r="S23338"/>
      <c r="T23338"/>
      <c r="U23338"/>
      <c r="X23338" s="60"/>
    </row>
    <row r="23339" spans="7:24" ht="15" customHeight="1">
      <c r="G23339"/>
      <c r="I23339"/>
      <c r="N23339"/>
      <c r="O23339" s="24"/>
      <c r="P23339"/>
      <c r="Q23339" s="24"/>
      <c r="R23339"/>
      <c r="S23339"/>
      <c r="T23339"/>
      <c r="U23339"/>
      <c r="X23339" s="60"/>
    </row>
    <row r="23340" spans="7:24" ht="15" customHeight="1">
      <c r="G23340"/>
      <c r="I23340"/>
      <c r="N23340"/>
      <c r="O23340" s="24"/>
      <c r="P23340"/>
      <c r="Q23340" s="24"/>
      <c r="R23340"/>
      <c r="S23340"/>
      <c r="T23340"/>
      <c r="U23340"/>
      <c r="X23340" s="60"/>
    </row>
    <row r="23341" spans="7:24" ht="15" customHeight="1">
      <c r="G23341"/>
      <c r="I23341"/>
      <c r="N23341"/>
      <c r="O23341" s="24"/>
      <c r="P23341"/>
      <c r="Q23341" s="24"/>
      <c r="R23341"/>
      <c r="S23341"/>
      <c r="T23341"/>
      <c r="U23341"/>
      <c r="X23341" s="60"/>
    </row>
    <row r="23342" spans="7:24" ht="15" customHeight="1">
      <c r="G23342"/>
      <c r="I23342"/>
      <c r="N23342"/>
      <c r="O23342" s="24"/>
      <c r="P23342"/>
      <c r="Q23342" s="24"/>
      <c r="R23342"/>
      <c r="S23342"/>
      <c r="T23342"/>
      <c r="U23342"/>
      <c r="X23342" s="60"/>
    </row>
    <row r="23343" spans="7:24" ht="15" customHeight="1">
      <c r="G23343"/>
      <c r="I23343"/>
      <c r="N23343"/>
      <c r="O23343" s="24"/>
      <c r="P23343"/>
      <c r="Q23343" s="24"/>
      <c r="R23343"/>
      <c r="S23343"/>
      <c r="T23343"/>
      <c r="U23343"/>
      <c r="X23343" s="60"/>
    </row>
    <row r="23344" spans="7:24" ht="15" customHeight="1">
      <c r="G23344"/>
      <c r="I23344"/>
      <c r="N23344"/>
      <c r="O23344" s="24"/>
      <c r="P23344"/>
      <c r="Q23344" s="24"/>
      <c r="R23344"/>
      <c r="S23344"/>
      <c r="T23344"/>
      <c r="U23344"/>
      <c r="X23344" s="60"/>
    </row>
    <row r="23345" spans="7:24" ht="15" customHeight="1">
      <c r="G23345"/>
      <c r="I23345"/>
      <c r="N23345"/>
      <c r="O23345" s="24"/>
      <c r="P23345"/>
      <c r="Q23345" s="24"/>
      <c r="R23345"/>
      <c r="S23345"/>
      <c r="T23345"/>
      <c r="U23345"/>
      <c r="X23345" s="60"/>
    </row>
    <row r="23346" spans="7:24" ht="15" customHeight="1">
      <c r="G23346"/>
      <c r="I23346"/>
      <c r="N23346"/>
      <c r="O23346" s="24"/>
      <c r="P23346"/>
      <c r="Q23346" s="24"/>
      <c r="R23346"/>
      <c r="S23346"/>
      <c r="T23346"/>
      <c r="U23346"/>
      <c r="X23346" s="60"/>
    </row>
    <row r="23347" spans="7:24" ht="15" customHeight="1">
      <c r="G23347"/>
      <c r="I23347"/>
      <c r="N23347"/>
      <c r="O23347" s="24"/>
      <c r="P23347"/>
      <c r="Q23347" s="24"/>
      <c r="R23347"/>
      <c r="S23347"/>
      <c r="T23347"/>
      <c r="U23347"/>
      <c r="X23347" s="60"/>
    </row>
    <row r="23348" spans="7:24" ht="15" customHeight="1">
      <c r="G23348"/>
      <c r="I23348"/>
      <c r="N23348"/>
      <c r="O23348" s="24"/>
      <c r="P23348"/>
      <c r="Q23348" s="24"/>
      <c r="R23348"/>
      <c r="S23348"/>
      <c r="T23348"/>
      <c r="U23348"/>
      <c r="X23348" s="60"/>
    </row>
    <row r="23349" spans="7:24" ht="15" customHeight="1">
      <c r="G23349"/>
      <c r="I23349"/>
      <c r="N23349"/>
      <c r="O23349" s="24"/>
      <c r="P23349"/>
      <c r="Q23349" s="24"/>
      <c r="R23349"/>
      <c r="S23349"/>
      <c r="T23349"/>
      <c r="U23349"/>
      <c r="X23349" s="60"/>
    </row>
    <row r="23350" spans="7:24" ht="15" customHeight="1">
      <c r="G23350"/>
      <c r="I23350"/>
      <c r="N23350"/>
      <c r="O23350" s="24"/>
      <c r="P23350"/>
      <c r="Q23350" s="24"/>
      <c r="R23350"/>
      <c r="S23350"/>
      <c r="T23350"/>
      <c r="U23350"/>
      <c r="X23350" s="60"/>
    </row>
    <row r="23351" spans="7:24" ht="15" customHeight="1">
      <c r="G23351"/>
      <c r="I23351"/>
      <c r="N23351"/>
      <c r="O23351" s="24"/>
      <c r="P23351"/>
      <c r="Q23351" s="24"/>
      <c r="R23351"/>
      <c r="S23351"/>
      <c r="T23351"/>
      <c r="U23351"/>
      <c r="X23351" s="60"/>
    </row>
    <row r="23352" spans="7:24" ht="15" customHeight="1">
      <c r="G23352"/>
      <c r="I23352"/>
      <c r="N23352"/>
      <c r="O23352" s="24"/>
      <c r="P23352"/>
      <c r="Q23352" s="24"/>
      <c r="R23352"/>
      <c r="S23352"/>
      <c r="T23352"/>
      <c r="U23352"/>
      <c r="X23352" s="60"/>
    </row>
    <row r="23353" spans="7:24" ht="15" customHeight="1">
      <c r="G23353"/>
      <c r="I23353"/>
      <c r="N23353"/>
      <c r="O23353" s="24"/>
      <c r="P23353"/>
      <c r="Q23353" s="24"/>
      <c r="R23353"/>
      <c r="S23353"/>
      <c r="T23353"/>
      <c r="U23353"/>
      <c r="X23353" s="60"/>
    </row>
    <row r="23354" spans="7:24" ht="15" customHeight="1">
      <c r="G23354"/>
      <c r="I23354"/>
      <c r="N23354"/>
      <c r="O23354" s="24"/>
      <c r="P23354"/>
      <c r="Q23354" s="24"/>
      <c r="R23354"/>
      <c r="S23354"/>
      <c r="T23354"/>
      <c r="U23354"/>
      <c r="X23354" s="60"/>
    </row>
    <row r="23355" spans="7:24" ht="15" customHeight="1">
      <c r="G23355"/>
      <c r="I23355"/>
      <c r="N23355"/>
      <c r="O23355" s="24"/>
      <c r="P23355"/>
      <c r="Q23355" s="24"/>
      <c r="R23355"/>
      <c r="S23355"/>
      <c r="T23355"/>
      <c r="U23355"/>
      <c r="X23355" s="60"/>
    </row>
    <row r="23356" spans="7:24" ht="15" customHeight="1">
      <c r="G23356"/>
      <c r="I23356"/>
      <c r="N23356"/>
      <c r="O23356" s="24"/>
      <c r="P23356"/>
      <c r="Q23356" s="24"/>
      <c r="R23356"/>
      <c r="S23356"/>
      <c r="T23356"/>
      <c r="U23356"/>
      <c r="X23356" s="60"/>
    </row>
    <row r="23357" spans="7:24" ht="15" customHeight="1">
      <c r="G23357"/>
      <c r="I23357"/>
      <c r="N23357"/>
      <c r="O23357" s="24"/>
      <c r="P23357"/>
      <c r="Q23357" s="24"/>
      <c r="R23357"/>
      <c r="S23357"/>
      <c r="T23357"/>
      <c r="U23357"/>
      <c r="X23357" s="60"/>
    </row>
    <row r="23358" spans="7:24" ht="15" customHeight="1">
      <c r="G23358"/>
      <c r="I23358"/>
      <c r="N23358"/>
      <c r="O23358" s="24"/>
      <c r="P23358"/>
      <c r="Q23358" s="24"/>
      <c r="R23358"/>
      <c r="S23358"/>
      <c r="T23358"/>
      <c r="U23358"/>
      <c r="X23358" s="60"/>
    </row>
    <row r="23359" spans="7:24" ht="15" customHeight="1">
      <c r="G23359"/>
      <c r="I23359"/>
      <c r="N23359"/>
      <c r="O23359" s="24"/>
      <c r="P23359"/>
      <c r="Q23359" s="24"/>
      <c r="R23359"/>
      <c r="S23359"/>
      <c r="T23359"/>
      <c r="U23359"/>
      <c r="X23359" s="60"/>
    </row>
    <row r="23360" spans="7:24" ht="15" customHeight="1">
      <c r="G23360"/>
      <c r="I23360"/>
      <c r="N23360"/>
      <c r="O23360" s="24"/>
      <c r="P23360"/>
      <c r="Q23360" s="24"/>
      <c r="R23360"/>
      <c r="S23360"/>
      <c r="T23360"/>
      <c r="U23360"/>
      <c r="X23360" s="60"/>
    </row>
    <row r="23361" spans="7:24" ht="15" customHeight="1">
      <c r="G23361"/>
      <c r="I23361"/>
      <c r="N23361"/>
      <c r="O23361" s="24"/>
      <c r="P23361"/>
      <c r="Q23361" s="24"/>
      <c r="R23361"/>
      <c r="S23361"/>
      <c r="T23361"/>
      <c r="U23361"/>
      <c r="X23361" s="60"/>
    </row>
    <row r="23362" spans="7:24" ht="15" customHeight="1">
      <c r="G23362"/>
      <c r="I23362"/>
      <c r="N23362"/>
      <c r="O23362" s="24"/>
      <c r="P23362"/>
      <c r="Q23362" s="24"/>
      <c r="R23362"/>
      <c r="S23362"/>
      <c r="T23362"/>
      <c r="U23362"/>
      <c r="X23362" s="60"/>
    </row>
    <row r="23363" spans="7:24" ht="15" customHeight="1">
      <c r="G23363"/>
      <c r="I23363"/>
      <c r="N23363"/>
      <c r="O23363" s="24"/>
      <c r="P23363"/>
      <c r="Q23363" s="24"/>
      <c r="R23363"/>
      <c r="S23363"/>
      <c r="T23363"/>
      <c r="U23363"/>
      <c r="X23363" s="60"/>
    </row>
    <row r="23364" spans="7:24" ht="15" customHeight="1">
      <c r="G23364"/>
      <c r="I23364"/>
      <c r="N23364"/>
      <c r="O23364" s="24"/>
      <c r="P23364"/>
      <c r="Q23364" s="24"/>
      <c r="R23364"/>
      <c r="S23364"/>
      <c r="T23364"/>
      <c r="U23364"/>
      <c r="X23364" s="60"/>
    </row>
    <row r="23365" spans="7:24" ht="15" customHeight="1">
      <c r="G23365"/>
      <c r="I23365"/>
      <c r="N23365"/>
      <c r="O23365" s="24"/>
      <c r="P23365"/>
      <c r="Q23365" s="24"/>
      <c r="R23365"/>
      <c r="S23365"/>
      <c r="T23365"/>
      <c r="U23365"/>
      <c r="X23365" s="60"/>
    </row>
    <row r="23366" spans="7:24" ht="15" customHeight="1">
      <c r="G23366"/>
      <c r="I23366"/>
      <c r="N23366"/>
      <c r="O23366" s="24"/>
      <c r="P23366"/>
      <c r="Q23366" s="24"/>
      <c r="R23366"/>
      <c r="S23366"/>
      <c r="T23366"/>
      <c r="U23366"/>
      <c r="X23366" s="60"/>
    </row>
    <row r="23367" spans="7:24" ht="15" customHeight="1">
      <c r="G23367"/>
      <c r="I23367"/>
      <c r="N23367"/>
      <c r="O23367" s="24"/>
      <c r="P23367"/>
      <c r="Q23367" s="24"/>
      <c r="R23367"/>
      <c r="S23367"/>
      <c r="T23367"/>
      <c r="U23367"/>
      <c r="X23367" s="60"/>
    </row>
    <row r="23368" spans="7:24" ht="15" customHeight="1">
      <c r="G23368"/>
      <c r="I23368"/>
      <c r="N23368"/>
      <c r="O23368" s="24"/>
      <c r="P23368"/>
      <c r="Q23368" s="24"/>
      <c r="R23368"/>
      <c r="S23368"/>
      <c r="T23368"/>
      <c r="U23368"/>
      <c r="X23368" s="60"/>
    </row>
    <row r="23369" spans="7:24" ht="15" customHeight="1">
      <c r="G23369"/>
      <c r="I23369"/>
      <c r="N23369"/>
      <c r="O23369" s="24"/>
      <c r="P23369"/>
      <c r="Q23369" s="24"/>
      <c r="R23369"/>
      <c r="S23369"/>
      <c r="T23369"/>
      <c r="U23369"/>
      <c r="X23369" s="60"/>
    </row>
    <row r="23370" spans="7:24" ht="15" customHeight="1">
      <c r="G23370"/>
      <c r="I23370"/>
      <c r="N23370"/>
      <c r="O23370" s="24"/>
      <c r="P23370"/>
      <c r="Q23370" s="24"/>
      <c r="R23370"/>
      <c r="S23370"/>
      <c r="T23370"/>
      <c r="U23370"/>
      <c r="X23370" s="60"/>
    </row>
    <row r="23371" spans="7:24" ht="15" customHeight="1">
      <c r="G23371"/>
      <c r="I23371"/>
      <c r="N23371"/>
      <c r="O23371" s="24"/>
      <c r="P23371"/>
      <c r="Q23371" s="24"/>
      <c r="R23371"/>
      <c r="S23371"/>
      <c r="T23371"/>
      <c r="U23371"/>
      <c r="X23371" s="60"/>
    </row>
    <row r="23372" spans="7:24" ht="15" customHeight="1">
      <c r="G23372"/>
      <c r="I23372"/>
      <c r="N23372"/>
      <c r="O23372" s="24"/>
      <c r="P23372"/>
      <c r="Q23372" s="24"/>
      <c r="R23372"/>
      <c r="S23372"/>
      <c r="T23372"/>
      <c r="U23372"/>
      <c r="X23372" s="60"/>
    </row>
    <row r="23373" spans="7:24" ht="15" customHeight="1">
      <c r="G23373"/>
      <c r="I23373"/>
      <c r="N23373"/>
      <c r="O23373" s="24"/>
      <c r="P23373"/>
      <c r="Q23373" s="24"/>
      <c r="R23373"/>
      <c r="S23373"/>
      <c r="T23373"/>
      <c r="U23373"/>
      <c r="X23373" s="60"/>
    </row>
    <row r="23374" spans="7:24" ht="15" customHeight="1">
      <c r="G23374"/>
      <c r="I23374"/>
      <c r="N23374"/>
      <c r="O23374" s="24"/>
      <c r="P23374"/>
      <c r="Q23374" s="24"/>
      <c r="R23374"/>
      <c r="S23374"/>
      <c r="T23374"/>
      <c r="U23374"/>
      <c r="X23374" s="60"/>
    </row>
    <row r="23375" spans="7:24" ht="15" customHeight="1">
      <c r="G23375"/>
      <c r="I23375"/>
      <c r="N23375"/>
      <c r="O23375" s="24"/>
      <c r="P23375"/>
      <c r="Q23375" s="24"/>
      <c r="R23375"/>
      <c r="S23375"/>
      <c r="T23375"/>
      <c r="U23375"/>
      <c r="X23375" s="60"/>
    </row>
    <row r="23376" spans="7:24" ht="15" customHeight="1">
      <c r="G23376"/>
      <c r="I23376"/>
      <c r="N23376"/>
      <c r="O23376" s="24"/>
      <c r="P23376"/>
      <c r="Q23376" s="24"/>
      <c r="R23376"/>
      <c r="S23376"/>
      <c r="T23376"/>
      <c r="U23376"/>
      <c r="X23376" s="60"/>
    </row>
    <row r="23377" spans="7:24" ht="15" customHeight="1">
      <c r="G23377"/>
      <c r="I23377"/>
      <c r="N23377"/>
      <c r="O23377" s="24"/>
      <c r="P23377"/>
      <c r="Q23377" s="24"/>
      <c r="R23377"/>
      <c r="S23377"/>
      <c r="T23377"/>
      <c r="U23377"/>
      <c r="X23377" s="60"/>
    </row>
    <row r="23378" spans="7:24" ht="15" customHeight="1">
      <c r="G23378"/>
      <c r="I23378"/>
      <c r="N23378"/>
      <c r="O23378" s="24"/>
      <c r="P23378"/>
      <c r="Q23378" s="24"/>
      <c r="R23378"/>
      <c r="S23378"/>
      <c r="T23378"/>
      <c r="U23378"/>
      <c r="X23378" s="60"/>
    </row>
    <row r="23379" spans="7:24" ht="15" customHeight="1">
      <c r="G23379"/>
      <c r="I23379"/>
      <c r="N23379"/>
      <c r="O23379" s="24"/>
      <c r="P23379"/>
      <c r="Q23379" s="24"/>
      <c r="R23379"/>
      <c r="S23379"/>
      <c r="T23379"/>
      <c r="U23379"/>
      <c r="X23379" s="60"/>
    </row>
    <row r="23380" spans="7:24" ht="15" customHeight="1">
      <c r="G23380"/>
      <c r="I23380"/>
      <c r="N23380"/>
      <c r="O23380" s="24"/>
      <c r="P23380"/>
      <c r="Q23380" s="24"/>
      <c r="R23380"/>
      <c r="S23380"/>
      <c r="T23380"/>
      <c r="U23380"/>
      <c r="X23380" s="60"/>
    </row>
    <row r="23381" spans="7:24" ht="15" customHeight="1">
      <c r="G23381"/>
      <c r="I23381"/>
      <c r="N23381"/>
      <c r="O23381" s="24"/>
      <c r="P23381"/>
      <c r="Q23381" s="24"/>
      <c r="R23381"/>
      <c r="S23381"/>
      <c r="T23381"/>
      <c r="U23381"/>
      <c r="X23381" s="60"/>
    </row>
    <row r="23382" spans="7:24" ht="15" customHeight="1">
      <c r="G23382"/>
      <c r="I23382"/>
      <c r="N23382"/>
      <c r="O23382" s="24"/>
      <c r="P23382"/>
      <c r="Q23382" s="24"/>
      <c r="R23382"/>
      <c r="S23382"/>
      <c r="T23382"/>
      <c r="U23382"/>
      <c r="X23382" s="60"/>
    </row>
    <row r="23383" spans="7:24" ht="15" customHeight="1">
      <c r="G23383"/>
      <c r="I23383"/>
      <c r="N23383"/>
      <c r="O23383" s="24"/>
      <c r="P23383"/>
      <c r="Q23383" s="24"/>
      <c r="R23383"/>
      <c r="S23383"/>
      <c r="T23383"/>
      <c r="U23383"/>
      <c r="X23383" s="60"/>
    </row>
    <row r="23384" spans="7:24" ht="15" customHeight="1">
      <c r="G23384"/>
      <c r="I23384"/>
      <c r="N23384"/>
      <c r="O23384" s="24"/>
      <c r="P23384"/>
      <c r="Q23384" s="24"/>
      <c r="R23384"/>
      <c r="S23384"/>
      <c r="T23384"/>
      <c r="U23384"/>
      <c r="X23384" s="60"/>
    </row>
    <row r="23385" spans="7:24" ht="15" customHeight="1">
      <c r="G23385"/>
      <c r="I23385"/>
      <c r="N23385"/>
      <c r="O23385" s="24"/>
      <c r="P23385"/>
      <c r="Q23385" s="24"/>
      <c r="R23385"/>
      <c r="S23385"/>
      <c r="T23385"/>
      <c r="U23385"/>
      <c r="X23385" s="60"/>
    </row>
    <row r="23386" spans="7:24" ht="15" customHeight="1">
      <c r="G23386"/>
      <c r="I23386"/>
      <c r="N23386"/>
      <c r="O23386" s="24"/>
      <c r="P23386"/>
      <c r="Q23386" s="24"/>
      <c r="R23386"/>
      <c r="S23386"/>
      <c r="T23386"/>
      <c r="U23386"/>
      <c r="X23386" s="60"/>
    </row>
    <row r="23387" spans="7:24" ht="15" customHeight="1">
      <c r="G23387"/>
      <c r="I23387"/>
      <c r="N23387"/>
      <c r="O23387" s="24"/>
      <c r="P23387"/>
      <c r="Q23387" s="24"/>
      <c r="R23387"/>
      <c r="S23387"/>
      <c r="T23387"/>
      <c r="U23387"/>
      <c r="X23387" s="60"/>
    </row>
    <row r="23388" spans="7:24" ht="15" customHeight="1">
      <c r="G23388"/>
      <c r="I23388"/>
      <c r="N23388"/>
      <c r="O23388" s="24"/>
      <c r="P23388"/>
      <c r="Q23388" s="24"/>
      <c r="R23388"/>
      <c r="S23388"/>
      <c r="T23388"/>
      <c r="U23388"/>
      <c r="X23388" s="60"/>
    </row>
    <row r="23389" spans="7:24" ht="15" customHeight="1">
      <c r="G23389"/>
      <c r="I23389"/>
      <c r="N23389"/>
      <c r="O23389" s="24"/>
      <c r="P23389"/>
      <c r="Q23389" s="24"/>
      <c r="R23389"/>
      <c r="S23389"/>
      <c r="T23389"/>
      <c r="U23389"/>
      <c r="X23389" s="60"/>
    </row>
    <row r="23390" spans="7:24" ht="15" customHeight="1">
      <c r="G23390"/>
      <c r="I23390"/>
      <c r="N23390"/>
      <c r="O23390" s="24"/>
      <c r="P23390"/>
      <c r="Q23390" s="24"/>
      <c r="R23390"/>
      <c r="S23390"/>
      <c r="T23390"/>
      <c r="U23390"/>
      <c r="X23390" s="60"/>
    </row>
    <row r="23391" spans="7:24" ht="15" customHeight="1">
      <c r="G23391"/>
      <c r="I23391"/>
      <c r="N23391"/>
      <c r="O23391" s="24"/>
      <c r="P23391"/>
      <c r="Q23391" s="24"/>
      <c r="R23391"/>
      <c r="S23391"/>
      <c r="T23391"/>
      <c r="U23391"/>
      <c r="X23391" s="60"/>
    </row>
    <row r="23392" spans="7:24" ht="15" customHeight="1">
      <c r="G23392"/>
      <c r="I23392"/>
      <c r="N23392"/>
      <c r="O23392" s="24"/>
      <c r="P23392"/>
      <c r="Q23392" s="24"/>
      <c r="R23392"/>
      <c r="S23392"/>
      <c r="T23392"/>
      <c r="U23392"/>
      <c r="X23392" s="60"/>
    </row>
    <row r="23393" spans="7:24" ht="15" customHeight="1">
      <c r="G23393"/>
      <c r="I23393"/>
      <c r="N23393"/>
      <c r="O23393" s="24"/>
      <c r="P23393"/>
      <c r="Q23393" s="24"/>
      <c r="R23393"/>
      <c r="S23393"/>
      <c r="T23393"/>
      <c r="U23393"/>
      <c r="X23393" s="60"/>
    </row>
    <row r="23394" spans="7:24" ht="15" customHeight="1">
      <c r="G23394"/>
      <c r="I23394"/>
      <c r="N23394"/>
      <c r="O23394" s="24"/>
      <c r="P23394"/>
      <c r="Q23394" s="24"/>
      <c r="R23394"/>
      <c r="S23394"/>
      <c r="T23394"/>
      <c r="U23394"/>
      <c r="X23394" s="60"/>
    </row>
    <row r="23395" spans="7:24" ht="15" customHeight="1">
      <c r="G23395"/>
      <c r="I23395"/>
      <c r="N23395"/>
      <c r="O23395" s="24"/>
      <c r="P23395"/>
      <c r="Q23395" s="24"/>
      <c r="R23395"/>
      <c r="S23395"/>
      <c r="T23395"/>
      <c r="U23395"/>
      <c r="X23395" s="60"/>
    </row>
    <row r="23396" spans="7:24" ht="15" customHeight="1">
      <c r="G23396"/>
      <c r="I23396"/>
      <c r="N23396"/>
      <c r="O23396" s="24"/>
      <c r="P23396"/>
      <c r="Q23396" s="24"/>
      <c r="R23396"/>
      <c r="S23396"/>
      <c r="T23396"/>
      <c r="U23396"/>
      <c r="X23396" s="60"/>
    </row>
    <row r="23397" spans="7:24" ht="15" customHeight="1">
      <c r="G23397"/>
      <c r="I23397"/>
      <c r="N23397"/>
      <c r="O23397" s="24"/>
      <c r="P23397"/>
      <c r="Q23397" s="24"/>
      <c r="R23397"/>
      <c r="S23397"/>
      <c r="T23397"/>
      <c r="U23397"/>
      <c r="X23397" s="60"/>
    </row>
    <row r="23398" spans="7:24" ht="15" customHeight="1">
      <c r="G23398"/>
      <c r="I23398"/>
      <c r="N23398"/>
      <c r="O23398" s="24"/>
      <c r="P23398"/>
      <c r="Q23398" s="24"/>
      <c r="R23398"/>
      <c r="S23398"/>
      <c r="T23398"/>
      <c r="U23398"/>
      <c r="X23398" s="60"/>
    </row>
    <row r="23399" spans="7:24" ht="15" customHeight="1">
      <c r="G23399"/>
      <c r="I23399"/>
      <c r="N23399"/>
      <c r="O23399" s="24"/>
      <c r="P23399"/>
      <c r="Q23399" s="24"/>
      <c r="R23399"/>
      <c r="S23399"/>
      <c r="T23399"/>
      <c r="U23399"/>
      <c r="X23399" s="60"/>
    </row>
    <row r="23400" spans="7:24" ht="15" customHeight="1">
      <c r="G23400"/>
      <c r="I23400"/>
      <c r="N23400"/>
      <c r="O23400" s="24"/>
      <c r="P23400"/>
      <c r="Q23400" s="24"/>
      <c r="R23400"/>
      <c r="S23400"/>
      <c r="T23400"/>
      <c r="U23400"/>
      <c r="X23400" s="60"/>
    </row>
    <row r="23401" spans="7:24" ht="15" customHeight="1">
      <c r="G23401"/>
      <c r="I23401"/>
      <c r="N23401"/>
      <c r="O23401" s="24"/>
      <c r="P23401"/>
      <c r="Q23401" s="24"/>
      <c r="R23401"/>
      <c r="S23401"/>
      <c r="T23401"/>
      <c r="U23401"/>
      <c r="X23401" s="60"/>
    </row>
    <row r="23402" spans="7:24" ht="15" customHeight="1">
      <c r="G23402"/>
      <c r="I23402"/>
      <c r="N23402"/>
      <c r="O23402" s="24"/>
      <c r="P23402"/>
      <c r="Q23402" s="24"/>
      <c r="R23402"/>
      <c r="S23402"/>
      <c r="T23402"/>
      <c r="U23402"/>
      <c r="X23402" s="60"/>
    </row>
    <row r="23403" spans="7:24" ht="15" customHeight="1">
      <c r="G23403"/>
      <c r="I23403"/>
      <c r="N23403"/>
      <c r="O23403" s="24"/>
      <c r="P23403"/>
      <c r="Q23403" s="24"/>
      <c r="R23403"/>
      <c r="S23403"/>
      <c r="T23403"/>
      <c r="U23403"/>
      <c r="X23403" s="60"/>
    </row>
    <row r="23404" spans="7:24" ht="15" customHeight="1">
      <c r="G23404"/>
      <c r="I23404"/>
      <c r="N23404"/>
      <c r="O23404" s="24"/>
      <c r="P23404"/>
      <c r="Q23404" s="24"/>
      <c r="R23404"/>
      <c r="S23404"/>
      <c r="T23404"/>
      <c r="U23404"/>
      <c r="X23404" s="60"/>
    </row>
    <row r="23405" spans="7:24" ht="15" customHeight="1">
      <c r="G23405"/>
      <c r="I23405"/>
      <c r="N23405"/>
      <c r="O23405" s="24"/>
      <c r="P23405"/>
      <c r="Q23405" s="24"/>
      <c r="R23405"/>
      <c r="S23405"/>
      <c r="T23405"/>
      <c r="U23405"/>
      <c r="X23405" s="60"/>
    </row>
    <row r="23406" spans="7:24" ht="15" customHeight="1">
      <c r="G23406"/>
      <c r="I23406"/>
      <c r="N23406"/>
      <c r="O23406" s="24"/>
      <c r="P23406"/>
      <c r="Q23406" s="24"/>
      <c r="R23406"/>
      <c r="S23406"/>
      <c r="T23406"/>
      <c r="U23406"/>
      <c r="X23406" s="60"/>
    </row>
    <row r="23407" spans="7:24" ht="15" customHeight="1">
      <c r="G23407"/>
      <c r="I23407"/>
      <c r="N23407"/>
      <c r="O23407" s="24"/>
      <c r="P23407"/>
      <c r="Q23407" s="24"/>
      <c r="R23407"/>
      <c r="S23407"/>
      <c r="T23407"/>
      <c r="U23407"/>
      <c r="X23407" s="60"/>
    </row>
    <row r="23408" spans="7:24" ht="15" customHeight="1">
      <c r="G23408"/>
      <c r="I23408"/>
      <c r="N23408"/>
      <c r="O23408" s="24"/>
      <c r="P23408"/>
      <c r="Q23408" s="24"/>
      <c r="R23408"/>
      <c r="S23408"/>
      <c r="T23408"/>
      <c r="U23408"/>
      <c r="X23408" s="60"/>
    </row>
    <row r="23409" spans="7:24" ht="15" customHeight="1">
      <c r="G23409"/>
      <c r="I23409"/>
      <c r="N23409"/>
      <c r="O23409" s="24"/>
      <c r="P23409"/>
      <c r="Q23409" s="24"/>
      <c r="R23409"/>
      <c r="S23409"/>
      <c r="T23409"/>
      <c r="U23409"/>
      <c r="X23409" s="60"/>
    </row>
    <row r="23410" spans="7:24" ht="15" customHeight="1">
      <c r="G23410"/>
      <c r="I23410"/>
      <c r="N23410"/>
      <c r="O23410" s="24"/>
      <c r="P23410"/>
      <c r="Q23410" s="24"/>
      <c r="R23410"/>
      <c r="S23410"/>
      <c r="T23410"/>
      <c r="U23410"/>
      <c r="X23410" s="60"/>
    </row>
    <row r="23411" spans="7:24" ht="15" customHeight="1">
      <c r="G23411"/>
      <c r="I23411"/>
      <c r="N23411"/>
      <c r="O23411" s="24"/>
      <c r="P23411"/>
      <c r="Q23411" s="24"/>
      <c r="R23411"/>
      <c r="S23411"/>
      <c r="T23411"/>
      <c r="U23411"/>
      <c r="X23411" s="60"/>
    </row>
    <row r="23412" spans="7:24" ht="15" customHeight="1">
      <c r="G23412"/>
      <c r="I23412"/>
      <c r="N23412"/>
      <c r="O23412" s="24"/>
      <c r="P23412"/>
      <c r="Q23412" s="24"/>
      <c r="R23412"/>
      <c r="S23412"/>
      <c r="T23412"/>
      <c r="U23412"/>
      <c r="X23412" s="60"/>
    </row>
    <row r="23413" spans="7:24" ht="15" customHeight="1">
      <c r="G23413"/>
      <c r="I23413"/>
      <c r="N23413"/>
      <c r="O23413" s="24"/>
      <c r="P23413"/>
      <c r="Q23413" s="24"/>
      <c r="R23413"/>
      <c r="S23413"/>
      <c r="T23413"/>
      <c r="U23413"/>
      <c r="X23413" s="60"/>
    </row>
    <row r="23414" spans="7:24" ht="15" customHeight="1">
      <c r="G23414"/>
      <c r="I23414"/>
      <c r="N23414"/>
      <c r="O23414" s="24"/>
      <c r="P23414"/>
      <c r="Q23414" s="24"/>
      <c r="R23414"/>
      <c r="S23414"/>
      <c r="T23414"/>
      <c r="U23414"/>
      <c r="X23414" s="60"/>
    </row>
    <row r="23415" spans="7:24" ht="15" customHeight="1">
      <c r="G23415"/>
      <c r="I23415"/>
      <c r="N23415"/>
      <c r="O23415" s="24"/>
      <c r="P23415"/>
      <c r="Q23415" s="24"/>
      <c r="R23415"/>
      <c r="S23415"/>
      <c r="T23415"/>
      <c r="U23415"/>
      <c r="X23415" s="60"/>
    </row>
    <row r="23416" spans="7:24" ht="15" customHeight="1">
      <c r="G23416"/>
      <c r="I23416"/>
      <c r="N23416"/>
      <c r="O23416" s="24"/>
      <c r="P23416"/>
      <c r="Q23416" s="24"/>
      <c r="R23416"/>
      <c r="S23416"/>
      <c r="T23416"/>
      <c r="U23416"/>
      <c r="X23416" s="60"/>
    </row>
    <row r="23417" spans="7:24" ht="15" customHeight="1">
      <c r="G23417"/>
      <c r="I23417"/>
      <c r="N23417"/>
      <c r="O23417" s="24"/>
      <c r="P23417"/>
      <c r="Q23417" s="24"/>
      <c r="R23417"/>
      <c r="S23417"/>
      <c r="T23417"/>
      <c r="U23417"/>
      <c r="X23417" s="60"/>
    </row>
    <row r="23418" spans="7:24" ht="15" customHeight="1">
      <c r="G23418"/>
      <c r="I23418"/>
      <c r="N23418"/>
      <c r="O23418" s="24"/>
      <c r="P23418"/>
      <c r="Q23418" s="24"/>
      <c r="R23418"/>
      <c r="S23418"/>
      <c r="T23418"/>
      <c r="U23418"/>
      <c r="X23418" s="60"/>
    </row>
    <row r="23419" spans="7:24" ht="15" customHeight="1">
      <c r="G23419"/>
      <c r="I23419"/>
      <c r="N23419"/>
      <c r="O23419" s="24"/>
      <c r="P23419"/>
      <c r="Q23419" s="24"/>
      <c r="R23419"/>
      <c r="S23419"/>
      <c r="T23419"/>
      <c r="U23419"/>
      <c r="X23419" s="60"/>
    </row>
    <row r="23420" spans="7:24" ht="15" customHeight="1">
      <c r="G23420"/>
      <c r="I23420"/>
      <c r="N23420"/>
      <c r="O23420" s="24"/>
      <c r="P23420"/>
      <c r="Q23420" s="24"/>
      <c r="R23420"/>
      <c r="S23420"/>
      <c r="T23420"/>
      <c r="U23420"/>
      <c r="X23420" s="60"/>
    </row>
    <row r="23421" spans="7:24" ht="15" customHeight="1">
      <c r="G23421"/>
      <c r="I23421"/>
      <c r="N23421"/>
      <c r="O23421" s="24"/>
      <c r="P23421"/>
      <c r="Q23421" s="24"/>
      <c r="R23421"/>
      <c r="S23421"/>
      <c r="T23421"/>
      <c r="U23421"/>
      <c r="X23421" s="60"/>
    </row>
    <row r="23422" spans="7:24" ht="15" customHeight="1">
      <c r="G23422"/>
      <c r="I23422"/>
      <c r="N23422"/>
      <c r="O23422" s="24"/>
      <c r="P23422"/>
      <c r="Q23422" s="24"/>
      <c r="R23422"/>
      <c r="S23422"/>
      <c r="T23422"/>
      <c r="U23422"/>
      <c r="X23422" s="60"/>
    </row>
    <row r="23423" spans="7:24" ht="15" customHeight="1">
      <c r="G23423"/>
      <c r="I23423"/>
      <c r="N23423"/>
      <c r="O23423" s="24"/>
      <c r="P23423"/>
      <c r="Q23423" s="24"/>
      <c r="R23423"/>
      <c r="S23423"/>
      <c r="T23423"/>
      <c r="U23423"/>
      <c r="X23423" s="60"/>
    </row>
    <row r="23424" spans="7:24" ht="15" customHeight="1">
      <c r="G23424"/>
      <c r="I23424"/>
      <c r="N23424"/>
      <c r="O23424" s="24"/>
      <c r="P23424"/>
      <c r="Q23424" s="24"/>
      <c r="R23424"/>
      <c r="S23424"/>
      <c r="T23424"/>
      <c r="U23424"/>
      <c r="X23424" s="60"/>
    </row>
    <row r="23425" spans="7:24" ht="15" customHeight="1">
      <c r="G23425"/>
      <c r="I23425"/>
      <c r="N23425"/>
      <c r="O23425" s="24"/>
      <c r="P23425"/>
      <c r="Q23425" s="24"/>
      <c r="R23425"/>
      <c r="S23425"/>
      <c r="T23425"/>
      <c r="U23425"/>
      <c r="X23425" s="60"/>
    </row>
    <row r="23426" spans="7:24" ht="15" customHeight="1">
      <c r="G23426"/>
      <c r="I23426"/>
      <c r="N23426"/>
      <c r="O23426" s="24"/>
      <c r="P23426"/>
      <c r="Q23426" s="24"/>
      <c r="R23426"/>
      <c r="S23426"/>
      <c r="T23426"/>
      <c r="U23426"/>
      <c r="X23426" s="60"/>
    </row>
    <row r="23427" spans="7:24" ht="15" customHeight="1">
      <c r="G23427"/>
      <c r="I23427"/>
      <c r="N23427"/>
      <c r="O23427" s="24"/>
      <c r="P23427"/>
      <c r="Q23427" s="24"/>
      <c r="R23427"/>
      <c r="S23427"/>
      <c r="T23427"/>
      <c r="U23427"/>
      <c r="X23427" s="60"/>
    </row>
    <row r="23428" spans="7:24" ht="15" customHeight="1">
      <c r="G23428"/>
      <c r="I23428"/>
      <c r="N23428"/>
      <c r="O23428" s="24"/>
      <c r="P23428"/>
      <c r="Q23428" s="24"/>
      <c r="R23428"/>
      <c r="S23428"/>
      <c r="T23428"/>
      <c r="U23428"/>
      <c r="X23428" s="60"/>
    </row>
    <row r="23429" spans="7:24" ht="15" customHeight="1">
      <c r="G23429"/>
      <c r="I23429"/>
      <c r="N23429"/>
      <c r="O23429" s="24"/>
      <c r="P23429"/>
      <c r="Q23429" s="24"/>
      <c r="R23429"/>
      <c r="S23429"/>
      <c r="T23429"/>
      <c r="U23429"/>
      <c r="X23429" s="60"/>
    </row>
    <row r="23430" spans="7:24" ht="15" customHeight="1">
      <c r="G23430"/>
      <c r="I23430"/>
      <c r="N23430"/>
      <c r="O23430" s="24"/>
      <c r="P23430"/>
      <c r="Q23430" s="24"/>
      <c r="R23430"/>
      <c r="S23430"/>
      <c r="T23430"/>
      <c r="U23430"/>
      <c r="X23430" s="60"/>
    </row>
    <row r="23431" spans="7:24" ht="15" customHeight="1">
      <c r="G23431"/>
      <c r="I23431"/>
      <c r="N23431"/>
      <c r="O23431" s="24"/>
      <c r="P23431"/>
      <c r="Q23431" s="24"/>
      <c r="R23431"/>
      <c r="S23431"/>
      <c r="T23431"/>
      <c r="U23431"/>
      <c r="X23431" s="60"/>
    </row>
    <row r="23432" spans="7:24" ht="15" customHeight="1">
      <c r="G23432"/>
      <c r="I23432"/>
      <c r="N23432"/>
      <c r="O23432" s="24"/>
      <c r="P23432"/>
      <c r="Q23432" s="24"/>
      <c r="R23432"/>
      <c r="S23432"/>
      <c r="T23432"/>
      <c r="U23432"/>
      <c r="X23432" s="60"/>
    </row>
    <row r="23433" spans="7:24" ht="15" customHeight="1">
      <c r="G23433"/>
      <c r="I23433"/>
      <c r="N23433"/>
      <c r="O23433" s="24"/>
      <c r="P23433"/>
      <c r="Q23433" s="24"/>
      <c r="R23433"/>
      <c r="S23433"/>
      <c r="T23433"/>
      <c r="U23433"/>
      <c r="X23433" s="60"/>
    </row>
    <row r="23434" spans="7:24" ht="15" customHeight="1">
      <c r="G23434"/>
      <c r="I23434"/>
      <c r="N23434"/>
      <c r="O23434" s="24"/>
      <c r="P23434"/>
      <c r="Q23434" s="24"/>
      <c r="R23434"/>
      <c r="S23434"/>
      <c r="T23434"/>
      <c r="U23434"/>
      <c r="X23434" s="60"/>
    </row>
    <row r="23435" spans="7:24" ht="15" customHeight="1">
      <c r="G23435"/>
      <c r="I23435"/>
      <c r="N23435"/>
      <c r="O23435" s="24"/>
      <c r="P23435"/>
      <c r="Q23435" s="24"/>
      <c r="R23435"/>
      <c r="S23435"/>
      <c r="T23435"/>
      <c r="U23435"/>
      <c r="X23435" s="60"/>
    </row>
    <row r="23436" spans="7:24" ht="15" customHeight="1">
      <c r="G23436"/>
      <c r="I23436"/>
      <c r="N23436"/>
      <c r="O23436" s="24"/>
      <c r="P23436"/>
      <c r="Q23436" s="24"/>
      <c r="R23436"/>
      <c r="S23436"/>
      <c r="T23436"/>
      <c r="U23436"/>
      <c r="X23436" s="60"/>
    </row>
    <row r="23437" spans="7:24" ht="15" customHeight="1">
      <c r="G23437"/>
      <c r="I23437"/>
      <c r="N23437"/>
      <c r="O23437" s="24"/>
      <c r="P23437"/>
      <c r="Q23437" s="24"/>
      <c r="R23437"/>
      <c r="S23437"/>
      <c r="T23437"/>
      <c r="U23437"/>
      <c r="X23437" s="60"/>
    </row>
    <row r="23438" spans="7:24" ht="15" customHeight="1">
      <c r="G23438"/>
      <c r="I23438"/>
      <c r="N23438"/>
      <c r="O23438" s="24"/>
      <c r="P23438"/>
      <c r="Q23438" s="24"/>
      <c r="R23438"/>
      <c r="S23438"/>
      <c r="T23438"/>
      <c r="U23438"/>
      <c r="X23438" s="60"/>
    </row>
    <row r="23439" spans="7:24" ht="15" customHeight="1">
      <c r="G23439"/>
      <c r="I23439"/>
      <c r="N23439"/>
      <c r="O23439" s="24"/>
      <c r="P23439"/>
      <c r="Q23439" s="24"/>
      <c r="R23439"/>
      <c r="S23439"/>
      <c r="T23439"/>
      <c r="U23439"/>
      <c r="X23439" s="60"/>
    </row>
    <row r="23440" spans="7:24" ht="15" customHeight="1">
      <c r="G23440"/>
      <c r="I23440"/>
      <c r="N23440"/>
      <c r="O23440" s="24"/>
      <c r="P23440"/>
      <c r="Q23440" s="24"/>
      <c r="R23440"/>
      <c r="S23440"/>
      <c r="T23440"/>
      <c r="U23440"/>
      <c r="X23440" s="60"/>
    </row>
    <row r="23441" spans="7:24" ht="15" customHeight="1">
      <c r="G23441"/>
      <c r="I23441"/>
      <c r="N23441"/>
      <c r="O23441" s="24"/>
      <c r="P23441"/>
      <c r="Q23441" s="24"/>
      <c r="R23441"/>
      <c r="S23441"/>
      <c r="T23441"/>
      <c r="U23441"/>
      <c r="X23441" s="60"/>
    </row>
    <row r="23442" spans="7:24" ht="15" customHeight="1">
      <c r="G23442"/>
      <c r="I23442"/>
      <c r="N23442"/>
      <c r="O23442" s="24"/>
      <c r="P23442"/>
      <c r="Q23442" s="24"/>
      <c r="R23442"/>
      <c r="S23442"/>
      <c r="T23442"/>
      <c r="U23442"/>
      <c r="X23442" s="60"/>
    </row>
    <row r="23443" spans="7:24" ht="15" customHeight="1">
      <c r="G23443"/>
      <c r="I23443"/>
      <c r="N23443"/>
      <c r="O23443" s="24"/>
      <c r="P23443"/>
      <c r="Q23443" s="24"/>
      <c r="R23443"/>
      <c r="S23443"/>
      <c r="T23443"/>
      <c r="U23443"/>
      <c r="X23443" s="60"/>
    </row>
    <row r="23444" spans="7:24" ht="15" customHeight="1">
      <c r="G23444"/>
      <c r="I23444"/>
      <c r="N23444"/>
      <c r="O23444" s="24"/>
      <c r="P23444"/>
      <c r="Q23444" s="24"/>
      <c r="R23444"/>
      <c r="S23444"/>
      <c r="T23444"/>
      <c r="U23444"/>
      <c r="X23444" s="60"/>
    </row>
    <row r="23445" spans="7:24" ht="15" customHeight="1">
      <c r="G23445"/>
      <c r="I23445"/>
      <c r="N23445"/>
      <c r="O23445" s="24"/>
      <c r="P23445"/>
      <c r="Q23445" s="24"/>
      <c r="R23445"/>
      <c r="S23445"/>
      <c r="T23445"/>
      <c r="U23445"/>
      <c r="X23445" s="60"/>
    </row>
    <row r="23446" spans="7:24" ht="15" customHeight="1">
      <c r="G23446"/>
      <c r="I23446"/>
      <c r="N23446"/>
      <c r="O23446" s="24"/>
      <c r="P23446"/>
      <c r="Q23446" s="24"/>
      <c r="R23446"/>
      <c r="S23446"/>
      <c r="T23446"/>
      <c r="U23446"/>
      <c r="X23446" s="60"/>
    </row>
    <row r="23447" spans="7:24" ht="15" customHeight="1">
      <c r="G23447"/>
      <c r="I23447"/>
      <c r="N23447"/>
      <c r="O23447" s="24"/>
      <c r="P23447"/>
      <c r="Q23447" s="24"/>
      <c r="R23447"/>
      <c r="S23447"/>
      <c r="T23447"/>
      <c r="U23447"/>
      <c r="X23447" s="60"/>
    </row>
    <row r="23448" spans="7:24" ht="15" customHeight="1">
      <c r="G23448"/>
      <c r="I23448"/>
      <c r="N23448"/>
      <c r="O23448" s="24"/>
      <c r="P23448"/>
      <c r="Q23448" s="24"/>
      <c r="R23448"/>
      <c r="S23448"/>
      <c r="T23448"/>
      <c r="U23448"/>
      <c r="X23448" s="60"/>
    </row>
    <row r="23449" spans="7:24" ht="15" customHeight="1">
      <c r="G23449"/>
      <c r="I23449"/>
      <c r="N23449"/>
      <c r="O23449" s="24"/>
      <c r="P23449"/>
      <c r="Q23449" s="24"/>
      <c r="R23449"/>
      <c r="S23449"/>
      <c r="T23449"/>
      <c r="U23449"/>
      <c r="X23449" s="60"/>
    </row>
    <row r="23450" spans="7:24" ht="15" customHeight="1">
      <c r="G23450"/>
      <c r="I23450"/>
      <c r="N23450"/>
      <c r="O23450" s="24"/>
      <c r="P23450"/>
      <c r="Q23450" s="24"/>
      <c r="R23450"/>
      <c r="S23450"/>
      <c r="T23450"/>
      <c r="U23450"/>
      <c r="X23450" s="60"/>
    </row>
    <row r="23451" spans="7:24" ht="15" customHeight="1">
      <c r="G23451"/>
      <c r="I23451"/>
      <c r="N23451"/>
      <c r="O23451" s="24"/>
      <c r="P23451"/>
      <c r="Q23451" s="24"/>
      <c r="R23451"/>
      <c r="S23451"/>
      <c r="T23451"/>
      <c r="U23451"/>
      <c r="X23451" s="60"/>
    </row>
    <row r="23452" spans="7:24" ht="15" customHeight="1">
      <c r="G23452"/>
      <c r="I23452"/>
      <c r="N23452"/>
      <c r="O23452" s="24"/>
      <c r="P23452"/>
      <c r="Q23452" s="24"/>
      <c r="R23452"/>
      <c r="S23452"/>
      <c r="T23452"/>
      <c r="U23452"/>
      <c r="X23452" s="60"/>
    </row>
    <row r="23453" spans="7:24" ht="15" customHeight="1">
      <c r="G23453"/>
      <c r="I23453"/>
      <c r="N23453"/>
      <c r="O23453" s="24"/>
      <c r="P23453"/>
      <c r="Q23453" s="24"/>
      <c r="R23453"/>
      <c r="S23453"/>
      <c r="T23453"/>
      <c r="U23453"/>
      <c r="X23453" s="60"/>
    </row>
    <row r="23454" spans="7:24" ht="15" customHeight="1">
      <c r="G23454"/>
      <c r="I23454"/>
      <c r="N23454"/>
      <c r="O23454" s="24"/>
      <c r="P23454"/>
      <c r="Q23454" s="24"/>
      <c r="R23454"/>
      <c r="S23454"/>
      <c r="T23454"/>
      <c r="U23454"/>
      <c r="X23454" s="60"/>
    </row>
    <row r="23455" spans="7:24" ht="15" customHeight="1">
      <c r="G23455"/>
      <c r="I23455"/>
      <c r="N23455"/>
      <c r="O23455" s="24"/>
      <c r="P23455"/>
      <c r="Q23455" s="24"/>
      <c r="R23455"/>
      <c r="S23455"/>
      <c r="T23455"/>
      <c r="U23455"/>
      <c r="X23455" s="60"/>
    </row>
    <row r="23456" spans="7:24" ht="15" customHeight="1">
      <c r="G23456"/>
      <c r="I23456"/>
      <c r="N23456"/>
      <c r="O23456" s="24"/>
      <c r="P23456"/>
      <c r="Q23456" s="24"/>
      <c r="R23456"/>
      <c r="S23456"/>
      <c r="T23456"/>
      <c r="U23456"/>
      <c r="X23456" s="60"/>
    </row>
    <row r="23457" spans="7:24" ht="15" customHeight="1">
      <c r="G23457"/>
      <c r="I23457"/>
      <c r="N23457"/>
      <c r="O23457" s="24"/>
      <c r="P23457"/>
      <c r="Q23457" s="24"/>
      <c r="R23457"/>
      <c r="S23457"/>
      <c r="T23457"/>
      <c r="U23457"/>
      <c r="X23457" s="60"/>
    </row>
    <row r="23458" spans="7:24" ht="15" customHeight="1">
      <c r="G23458"/>
      <c r="I23458"/>
      <c r="N23458"/>
      <c r="O23458" s="24"/>
      <c r="P23458"/>
      <c r="Q23458" s="24"/>
      <c r="R23458"/>
      <c r="S23458"/>
      <c r="T23458"/>
      <c r="U23458"/>
      <c r="X23458" s="60"/>
    </row>
    <row r="23459" spans="7:24" ht="15" customHeight="1">
      <c r="G23459"/>
      <c r="I23459"/>
      <c r="N23459"/>
      <c r="O23459" s="24"/>
      <c r="P23459"/>
      <c r="Q23459" s="24"/>
      <c r="R23459"/>
      <c r="S23459"/>
      <c r="T23459"/>
      <c r="U23459"/>
      <c r="X23459" s="60"/>
    </row>
    <row r="23460" spans="7:24" ht="15" customHeight="1">
      <c r="G23460"/>
      <c r="I23460"/>
      <c r="N23460"/>
      <c r="O23460" s="24"/>
      <c r="P23460"/>
      <c r="Q23460" s="24"/>
      <c r="R23460"/>
      <c r="S23460"/>
      <c r="T23460"/>
      <c r="U23460"/>
      <c r="X23460" s="60"/>
    </row>
    <row r="23461" spans="7:24" ht="15" customHeight="1">
      <c r="G23461"/>
      <c r="I23461"/>
      <c r="N23461"/>
      <c r="O23461" s="24"/>
      <c r="P23461"/>
      <c r="Q23461" s="24"/>
      <c r="R23461"/>
      <c r="S23461"/>
      <c r="T23461"/>
      <c r="U23461"/>
      <c r="X23461" s="60"/>
    </row>
    <row r="23462" spans="7:24" ht="15" customHeight="1">
      <c r="G23462"/>
      <c r="I23462"/>
      <c r="N23462"/>
      <c r="O23462" s="24"/>
      <c r="P23462"/>
      <c r="Q23462" s="24"/>
      <c r="R23462"/>
      <c r="S23462"/>
      <c r="T23462"/>
      <c r="U23462"/>
      <c r="X23462" s="60"/>
    </row>
    <row r="23463" spans="7:24" ht="15" customHeight="1">
      <c r="G23463"/>
      <c r="I23463"/>
      <c r="N23463"/>
      <c r="O23463" s="24"/>
      <c r="P23463"/>
      <c r="Q23463" s="24"/>
      <c r="R23463"/>
      <c r="S23463"/>
      <c r="T23463"/>
      <c r="U23463"/>
      <c r="X23463" s="60"/>
    </row>
    <row r="23464" spans="7:24" ht="15" customHeight="1">
      <c r="G23464"/>
      <c r="I23464"/>
      <c r="N23464"/>
      <c r="O23464" s="24"/>
      <c r="P23464"/>
      <c r="Q23464" s="24"/>
      <c r="R23464"/>
      <c r="S23464"/>
      <c r="T23464"/>
      <c r="U23464"/>
      <c r="X23464" s="60"/>
    </row>
    <row r="23465" spans="7:24" ht="15" customHeight="1">
      <c r="G23465"/>
      <c r="I23465"/>
      <c r="N23465"/>
      <c r="O23465" s="24"/>
      <c r="P23465"/>
      <c r="Q23465" s="24"/>
      <c r="R23465"/>
      <c r="S23465"/>
      <c r="T23465"/>
      <c r="U23465"/>
      <c r="X23465" s="60"/>
    </row>
    <row r="23466" spans="7:24" ht="15" customHeight="1">
      <c r="G23466"/>
      <c r="I23466"/>
      <c r="N23466"/>
      <c r="O23466" s="24"/>
      <c r="P23466"/>
      <c r="Q23466" s="24"/>
      <c r="R23466"/>
      <c r="S23466"/>
      <c r="T23466"/>
      <c r="U23466"/>
      <c r="X23466" s="60"/>
    </row>
    <row r="23467" spans="7:24" ht="15" customHeight="1">
      <c r="G23467"/>
      <c r="I23467"/>
      <c r="N23467"/>
      <c r="O23467" s="24"/>
      <c r="P23467"/>
      <c r="Q23467" s="24"/>
      <c r="R23467"/>
      <c r="S23467"/>
      <c r="T23467"/>
      <c r="U23467"/>
      <c r="X23467" s="60"/>
    </row>
    <row r="23468" spans="7:24" ht="15" customHeight="1">
      <c r="G23468"/>
      <c r="I23468"/>
      <c r="N23468"/>
      <c r="O23468" s="24"/>
      <c r="P23468"/>
      <c r="Q23468" s="24"/>
      <c r="R23468"/>
      <c r="S23468"/>
      <c r="T23468"/>
      <c r="U23468"/>
      <c r="X23468" s="60"/>
    </row>
    <row r="23469" spans="7:24" ht="15" customHeight="1">
      <c r="G23469"/>
      <c r="I23469"/>
      <c r="N23469"/>
      <c r="O23469" s="24"/>
      <c r="P23469"/>
      <c r="Q23469" s="24"/>
      <c r="R23469"/>
      <c r="S23469"/>
      <c r="T23469"/>
      <c r="U23469"/>
      <c r="X23469" s="60"/>
    </row>
    <row r="23470" spans="7:24" ht="15" customHeight="1">
      <c r="G23470"/>
      <c r="I23470"/>
      <c r="N23470"/>
      <c r="O23470" s="24"/>
      <c r="P23470"/>
      <c r="Q23470" s="24"/>
      <c r="R23470"/>
      <c r="S23470"/>
      <c r="T23470"/>
      <c r="U23470"/>
      <c r="X23470" s="60"/>
    </row>
    <row r="23471" spans="7:24" ht="15" customHeight="1">
      <c r="G23471"/>
      <c r="I23471"/>
      <c r="N23471"/>
      <c r="O23471" s="24"/>
      <c r="P23471"/>
      <c r="Q23471" s="24"/>
      <c r="R23471"/>
      <c r="S23471"/>
      <c r="T23471"/>
      <c r="U23471"/>
      <c r="X23471" s="60"/>
    </row>
    <row r="23472" spans="7:24" ht="15" customHeight="1">
      <c r="G23472"/>
      <c r="I23472"/>
      <c r="N23472"/>
      <c r="O23472" s="24"/>
      <c r="P23472"/>
      <c r="Q23472" s="24"/>
      <c r="R23472"/>
      <c r="S23472"/>
      <c r="T23472"/>
      <c r="U23472"/>
      <c r="X23472" s="60"/>
    </row>
    <row r="23473" spans="7:24" ht="15" customHeight="1">
      <c r="G23473"/>
      <c r="I23473"/>
      <c r="N23473"/>
      <c r="O23473" s="24"/>
      <c r="P23473"/>
      <c r="Q23473" s="24"/>
      <c r="R23473"/>
      <c r="S23473"/>
      <c r="T23473"/>
      <c r="U23473"/>
      <c r="X23473" s="60"/>
    </row>
    <row r="23474" spans="7:24" ht="15" customHeight="1">
      <c r="G23474"/>
      <c r="I23474"/>
      <c r="N23474"/>
      <c r="O23474" s="24"/>
      <c r="P23474"/>
      <c r="Q23474" s="24"/>
      <c r="R23474"/>
      <c r="S23474"/>
      <c r="T23474"/>
      <c r="U23474"/>
      <c r="X23474" s="60"/>
    </row>
    <row r="23475" spans="7:24" ht="15" customHeight="1">
      <c r="G23475"/>
      <c r="I23475"/>
      <c r="N23475"/>
      <c r="O23475" s="24"/>
      <c r="P23475"/>
      <c r="Q23475" s="24"/>
      <c r="R23475"/>
      <c r="S23475"/>
      <c r="T23475"/>
      <c r="U23475"/>
      <c r="X23475" s="60"/>
    </row>
    <row r="23476" spans="7:24" ht="15" customHeight="1">
      <c r="G23476"/>
      <c r="I23476"/>
      <c r="N23476"/>
      <c r="O23476" s="24"/>
      <c r="P23476"/>
      <c r="Q23476" s="24"/>
      <c r="R23476"/>
      <c r="S23476"/>
      <c r="T23476"/>
      <c r="U23476"/>
      <c r="X23476" s="60"/>
    </row>
    <row r="23477" spans="7:24" ht="15" customHeight="1">
      <c r="G23477"/>
      <c r="I23477"/>
      <c r="N23477"/>
      <c r="O23477" s="24"/>
      <c r="P23477"/>
      <c r="Q23477" s="24"/>
      <c r="R23477"/>
      <c r="S23477"/>
      <c r="T23477"/>
      <c r="U23477"/>
      <c r="X23477" s="60"/>
    </row>
    <row r="23478" spans="7:24" ht="15" customHeight="1">
      <c r="G23478"/>
      <c r="I23478"/>
      <c r="N23478"/>
      <c r="O23478" s="24"/>
      <c r="P23478"/>
      <c r="Q23478" s="24"/>
      <c r="R23478"/>
      <c r="S23478"/>
      <c r="T23478"/>
      <c r="U23478"/>
      <c r="X23478" s="60"/>
    </row>
    <row r="23479" spans="7:24" ht="15" customHeight="1">
      <c r="G23479"/>
      <c r="I23479"/>
      <c r="N23479"/>
      <c r="O23479" s="24"/>
      <c r="P23479"/>
      <c r="Q23479" s="24"/>
      <c r="R23479"/>
      <c r="S23479"/>
      <c r="T23479"/>
      <c r="U23479"/>
      <c r="X23479" s="60"/>
    </row>
    <row r="23480" spans="7:24" ht="15" customHeight="1">
      <c r="G23480"/>
      <c r="I23480"/>
      <c r="N23480"/>
      <c r="O23480" s="24"/>
      <c r="P23480"/>
      <c r="Q23480" s="24"/>
      <c r="R23480"/>
      <c r="S23480"/>
      <c r="T23480"/>
      <c r="U23480"/>
      <c r="X23480" s="60"/>
    </row>
    <row r="23481" spans="7:24" ht="15" customHeight="1">
      <c r="G23481"/>
      <c r="I23481"/>
      <c r="N23481"/>
      <c r="O23481" s="24"/>
      <c r="P23481"/>
      <c r="Q23481" s="24"/>
      <c r="R23481"/>
      <c r="S23481"/>
      <c r="T23481"/>
      <c r="U23481"/>
      <c r="X23481" s="60"/>
    </row>
    <row r="23482" spans="7:24" ht="15" customHeight="1">
      <c r="G23482"/>
      <c r="I23482"/>
      <c r="N23482"/>
      <c r="O23482" s="24"/>
      <c r="P23482"/>
      <c r="Q23482" s="24"/>
      <c r="R23482"/>
      <c r="S23482"/>
      <c r="T23482"/>
      <c r="U23482"/>
      <c r="X23482" s="60"/>
    </row>
    <row r="23483" spans="7:24" ht="15" customHeight="1">
      <c r="G23483"/>
      <c r="I23483"/>
      <c r="N23483"/>
      <c r="O23483" s="24"/>
      <c r="P23483"/>
      <c r="Q23483" s="24"/>
      <c r="R23483"/>
      <c r="S23483"/>
      <c r="T23483"/>
      <c r="U23483"/>
      <c r="X23483" s="60"/>
    </row>
    <row r="23484" spans="7:24" ht="15" customHeight="1">
      <c r="G23484"/>
      <c r="I23484"/>
      <c r="N23484"/>
      <c r="O23484" s="24"/>
      <c r="P23484"/>
      <c r="Q23484" s="24"/>
      <c r="R23484"/>
      <c r="S23484"/>
      <c r="T23484"/>
      <c r="U23484"/>
      <c r="X23484" s="60"/>
    </row>
    <row r="23485" spans="7:24" ht="15" customHeight="1">
      <c r="G23485"/>
      <c r="I23485"/>
      <c r="N23485"/>
      <c r="O23485" s="24"/>
      <c r="P23485"/>
      <c r="Q23485" s="24"/>
      <c r="R23485"/>
      <c r="S23485"/>
      <c r="T23485"/>
      <c r="U23485"/>
      <c r="X23485" s="60"/>
    </row>
    <row r="23486" spans="7:24" ht="15" customHeight="1">
      <c r="G23486"/>
      <c r="I23486"/>
      <c r="N23486"/>
      <c r="O23486" s="24"/>
      <c r="P23486"/>
      <c r="Q23486" s="24"/>
      <c r="R23486"/>
      <c r="S23486"/>
      <c r="T23486"/>
      <c r="U23486"/>
      <c r="X23486" s="60"/>
    </row>
    <row r="23487" spans="7:24" ht="15" customHeight="1">
      <c r="G23487"/>
      <c r="I23487"/>
      <c r="N23487"/>
      <c r="O23487" s="24"/>
      <c r="P23487"/>
      <c r="Q23487" s="24"/>
      <c r="R23487"/>
      <c r="S23487"/>
      <c r="T23487"/>
      <c r="U23487"/>
      <c r="X23487" s="60"/>
    </row>
    <row r="23488" spans="7:24" ht="15" customHeight="1">
      <c r="G23488"/>
      <c r="I23488"/>
      <c r="N23488"/>
      <c r="O23488" s="24"/>
      <c r="P23488"/>
      <c r="Q23488" s="24"/>
      <c r="R23488"/>
      <c r="S23488"/>
      <c r="T23488"/>
      <c r="U23488"/>
      <c r="X23488" s="60"/>
    </row>
    <row r="23489" spans="7:24" ht="15" customHeight="1">
      <c r="G23489"/>
      <c r="I23489"/>
      <c r="N23489"/>
      <c r="O23489" s="24"/>
      <c r="P23489"/>
      <c r="Q23489" s="24"/>
      <c r="R23489"/>
      <c r="S23489"/>
      <c r="T23489"/>
      <c r="U23489"/>
      <c r="X23489" s="60"/>
    </row>
    <row r="23490" spans="7:24" ht="15" customHeight="1">
      <c r="G23490"/>
      <c r="I23490"/>
      <c r="N23490"/>
      <c r="O23490" s="24"/>
      <c r="P23490"/>
      <c r="Q23490" s="24"/>
      <c r="R23490"/>
      <c r="S23490"/>
      <c r="T23490"/>
      <c r="U23490"/>
      <c r="X23490" s="60"/>
    </row>
    <row r="23491" spans="7:24" ht="15" customHeight="1">
      <c r="G23491"/>
      <c r="I23491"/>
      <c r="N23491"/>
      <c r="O23491" s="24"/>
      <c r="P23491"/>
      <c r="Q23491" s="24"/>
      <c r="R23491"/>
      <c r="S23491"/>
      <c r="T23491"/>
      <c r="U23491"/>
      <c r="X23491" s="60"/>
    </row>
    <row r="23492" spans="7:24" ht="15" customHeight="1">
      <c r="G23492"/>
      <c r="I23492"/>
      <c r="N23492"/>
      <c r="O23492" s="24"/>
      <c r="P23492"/>
      <c r="Q23492" s="24"/>
      <c r="R23492"/>
      <c r="S23492"/>
      <c r="T23492"/>
      <c r="U23492"/>
      <c r="X23492" s="60"/>
    </row>
    <row r="23493" spans="7:24" ht="15" customHeight="1">
      <c r="G23493"/>
      <c r="I23493"/>
      <c r="N23493"/>
      <c r="O23493" s="24"/>
      <c r="P23493"/>
      <c r="Q23493" s="24"/>
      <c r="R23493"/>
      <c r="S23493"/>
      <c r="T23493"/>
      <c r="U23493"/>
      <c r="X23493" s="60"/>
    </row>
    <row r="23494" spans="7:24" ht="15" customHeight="1">
      <c r="G23494"/>
      <c r="I23494"/>
      <c r="N23494"/>
      <c r="O23494" s="24"/>
      <c r="P23494"/>
      <c r="Q23494" s="24"/>
      <c r="R23494"/>
      <c r="S23494"/>
      <c r="T23494"/>
      <c r="U23494"/>
      <c r="X23494" s="60"/>
    </row>
    <row r="23495" spans="7:24" ht="15" customHeight="1">
      <c r="G23495"/>
      <c r="I23495"/>
      <c r="N23495"/>
      <c r="O23495" s="24"/>
      <c r="P23495"/>
      <c r="Q23495" s="24"/>
      <c r="R23495"/>
      <c r="S23495"/>
      <c r="T23495"/>
      <c r="U23495"/>
      <c r="X23495" s="60"/>
    </row>
    <row r="23496" spans="7:24" ht="15" customHeight="1">
      <c r="G23496"/>
      <c r="I23496"/>
      <c r="N23496"/>
      <c r="O23496" s="24"/>
      <c r="P23496"/>
      <c r="Q23496" s="24"/>
      <c r="R23496"/>
      <c r="S23496"/>
      <c r="T23496"/>
      <c r="U23496"/>
      <c r="X23496" s="60"/>
    </row>
    <row r="23497" spans="7:24" ht="15" customHeight="1">
      <c r="G23497"/>
      <c r="I23497"/>
      <c r="N23497"/>
      <c r="O23497" s="24"/>
      <c r="P23497"/>
      <c r="Q23497" s="24"/>
      <c r="R23497"/>
      <c r="S23497"/>
      <c r="T23497"/>
      <c r="U23497"/>
      <c r="X23497" s="60"/>
    </row>
    <row r="23498" spans="7:24" ht="15" customHeight="1">
      <c r="G23498"/>
      <c r="I23498"/>
      <c r="N23498"/>
      <c r="O23498" s="24"/>
      <c r="P23498"/>
      <c r="Q23498" s="24"/>
      <c r="R23498"/>
      <c r="S23498"/>
      <c r="T23498"/>
      <c r="U23498"/>
      <c r="X23498" s="60"/>
    </row>
    <row r="23499" spans="7:24" ht="15" customHeight="1">
      <c r="G23499"/>
      <c r="I23499"/>
      <c r="N23499"/>
      <c r="O23499" s="24"/>
      <c r="P23499"/>
      <c r="Q23499" s="24"/>
      <c r="R23499"/>
      <c r="S23499"/>
      <c r="T23499"/>
      <c r="U23499"/>
      <c r="X23499" s="60"/>
    </row>
    <row r="23500" spans="7:24" ht="15" customHeight="1">
      <c r="G23500"/>
      <c r="I23500"/>
      <c r="N23500"/>
      <c r="O23500" s="24"/>
      <c r="P23500"/>
      <c r="Q23500" s="24"/>
      <c r="R23500"/>
      <c r="S23500"/>
      <c r="T23500"/>
      <c r="U23500"/>
      <c r="X23500" s="60"/>
    </row>
    <row r="23501" spans="7:24" ht="15" customHeight="1">
      <c r="G23501"/>
      <c r="I23501"/>
      <c r="N23501"/>
      <c r="O23501" s="24"/>
      <c r="P23501"/>
      <c r="Q23501" s="24"/>
      <c r="R23501"/>
      <c r="S23501"/>
      <c r="T23501"/>
      <c r="U23501"/>
      <c r="X23501" s="60"/>
    </row>
    <row r="23502" spans="7:24" ht="15" customHeight="1">
      <c r="G23502"/>
      <c r="I23502"/>
      <c r="N23502"/>
      <c r="O23502" s="24"/>
      <c r="P23502"/>
      <c r="Q23502" s="24"/>
      <c r="R23502"/>
      <c r="S23502"/>
      <c r="T23502"/>
      <c r="U23502"/>
      <c r="X23502" s="60"/>
    </row>
    <row r="23503" spans="7:24" ht="15" customHeight="1">
      <c r="G23503"/>
      <c r="I23503"/>
      <c r="N23503"/>
      <c r="O23503" s="24"/>
      <c r="P23503"/>
      <c r="Q23503" s="24"/>
      <c r="R23503"/>
      <c r="S23503"/>
      <c r="T23503"/>
      <c r="U23503"/>
      <c r="X23503" s="60"/>
    </row>
    <row r="23504" spans="7:24" ht="15" customHeight="1">
      <c r="G23504"/>
      <c r="I23504"/>
      <c r="N23504"/>
      <c r="O23504" s="24"/>
      <c r="P23504"/>
      <c r="Q23504" s="24"/>
      <c r="R23504"/>
      <c r="S23504"/>
      <c r="T23504"/>
      <c r="U23504"/>
      <c r="X23504" s="60"/>
    </row>
    <row r="23505" spans="7:24" ht="15" customHeight="1">
      <c r="G23505"/>
      <c r="I23505"/>
      <c r="N23505"/>
      <c r="O23505" s="24"/>
      <c r="P23505"/>
      <c r="Q23505" s="24"/>
      <c r="R23505"/>
      <c r="S23505"/>
      <c r="T23505"/>
      <c r="U23505"/>
      <c r="X23505" s="60"/>
    </row>
    <row r="23506" spans="7:24" ht="15" customHeight="1">
      <c r="G23506"/>
      <c r="I23506"/>
      <c r="N23506"/>
      <c r="O23506" s="24"/>
      <c r="P23506"/>
      <c r="Q23506" s="24"/>
      <c r="R23506"/>
      <c r="S23506"/>
      <c r="T23506"/>
      <c r="U23506"/>
      <c r="X23506" s="60"/>
    </row>
    <row r="23507" spans="7:24" ht="15" customHeight="1">
      <c r="G23507"/>
      <c r="I23507"/>
      <c r="N23507"/>
      <c r="O23507" s="24"/>
      <c r="P23507"/>
      <c r="Q23507" s="24"/>
      <c r="R23507"/>
      <c r="S23507"/>
      <c r="T23507"/>
      <c r="U23507"/>
      <c r="X23507" s="60"/>
    </row>
    <row r="23508" spans="7:24" ht="15" customHeight="1">
      <c r="G23508"/>
      <c r="I23508"/>
      <c r="N23508"/>
      <c r="O23508" s="24"/>
      <c r="P23508"/>
      <c r="Q23508" s="24"/>
      <c r="R23508"/>
      <c r="S23508"/>
      <c r="T23508"/>
      <c r="U23508"/>
      <c r="X23508" s="60"/>
    </row>
    <row r="23509" spans="7:24" ht="15" customHeight="1">
      <c r="G23509"/>
      <c r="I23509"/>
      <c r="N23509"/>
      <c r="O23509" s="24"/>
      <c r="P23509"/>
      <c r="Q23509" s="24"/>
      <c r="R23509"/>
      <c r="S23509"/>
      <c r="T23509"/>
      <c r="U23509"/>
      <c r="X23509" s="60"/>
    </row>
    <row r="23510" spans="7:24" ht="15" customHeight="1">
      <c r="G23510"/>
      <c r="I23510"/>
      <c r="N23510"/>
      <c r="O23510" s="24"/>
      <c r="P23510"/>
      <c r="Q23510" s="24"/>
      <c r="R23510"/>
      <c r="S23510"/>
      <c r="T23510"/>
      <c r="U23510"/>
      <c r="X23510" s="60"/>
    </row>
    <row r="23511" spans="7:24" ht="15" customHeight="1">
      <c r="G23511"/>
      <c r="I23511"/>
      <c r="N23511"/>
      <c r="O23511" s="24"/>
      <c r="P23511"/>
      <c r="Q23511" s="24"/>
      <c r="R23511"/>
      <c r="S23511"/>
      <c r="T23511"/>
      <c r="U23511"/>
      <c r="X23511" s="60"/>
    </row>
    <row r="23512" spans="7:24" ht="15" customHeight="1">
      <c r="G23512"/>
      <c r="I23512"/>
      <c r="N23512"/>
      <c r="O23512" s="24"/>
      <c r="P23512"/>
      <c r="Q23512" s="24"/>
      <c r="R23512"/>
      <c r="S23512"/>
      <c r="T23512"/>
      <c r="U23512"/>
      <c r="X23512" s="60"/>
    </row>
    <row r="23513" spans="7:24" ht="15" customHeight="1">
      <c r="G23513"/>
      <c r="I23513"/>
      <c r="N23513"/>
      <c r="O23513" s="24"/>
      <c r="P23513"/>
      <c r="Q23513" s="24"/>
      <c r="R23513"/>
      <c r="S23513"/>
      <c r="T23513"/>
      <c r="U23513"/>
      <c r="X23513" s="60"/>
    </row>
    <row r="23514" spans="7:24" ht="15" customHeight="1">
      <c r="G23514"/>
      <c r="I23514"/>
      <c r="N23514"/>
      <c r="O23514" s="24"/>
      <c r="P23514"/>
      <c r="Q23514" s="24"/>
      <c r="R23514"/>
      <c r="S23514"/>
      <c r="T23514"/>
      <c r="U23514"/>
      <c r="X23514" s="60"/>
    </row>
    <row r="23515" spans="7:24" ht="15" customHeight="1">
      <c r="G23515"/>
      <c r="I23515"/>
      <c r="N23515"/>
      <c r="O23515" s="24"/>
      <c r="P23515"/>
      <c r="Q23515" s="24"/>
      <c r="R23515"/>
      <c r="S23515"/>
      <c r="T23515"/>
      <c r="U23515"/>
      <c r="X23515" s="60"/>
    </row>
    <row r="23516" spans="7:24" ht="15" customHeight="1">
      <c r="G23516"/>
      <c r="I23516"/>
      <c r="N23516"/>
      <c r="O23516" s="24"/>
      <c r="P23516"/>
      <c r="Q23516" s="24"/>
      <c r="R23516"/>
      <c r="S23516"/>
      <c r="T23516"/>
      <c r="U23516"/>
      <c r="X23516" s="60"/>
    </row>
    <row r="23517" spans="7:24" ht="15" customHeight="1">
      <c r="G23517"/>
      <c r="I23517"/>
      <c r="N23517"/>
      <c r="O23517" s="24"/>
      <c r="P23517"/>
      <c r="Q23517" s="24"/>
      <c r="R23517"/>
      <c r="S23517"/>
      <c r="T23517"/>
      <c r="U23517"/>
      <c r="X23517" s="60"/>
    </row>
    <row r="23518" spans="7:24" ht="15" customHeight="1">
      <c r="G23518"/>
      <c r="I23518"/>
      <c r="N23518"/>
      <c r="O23518" s="24"/>
      <c r="P23518"/>
      <c r="Q23518" s="24"/>
      <c r="R23518"/>
      <c r="S23518"/>
      <c r="T23518"/>
      <c r="U23518"/>
      <c r="X23518" s="60"/>
    </row>
    <row r="23519" spans="7:24" ht="15" customHeight="1">
      <c r="G23519"/>
      <c r="I23519"/>
      <c r="N23519"/>
      <c r="O23519" s="24"/>
      <c r="P23519"/>
      <c r="Q23519" s="24"/>
      <c r="R23519"/>
      <c r="S23519"/>
      <c r="T23519"/>
      <c r="U23519"/>
      <c r="X23519" s="60"/>
    </row>
    <row r="23520" spans="7:24" ht="15" customHeight="1">
      <c r="G23520"/>
      <c r="I23520"/>
      <c r="N23520"/>
      <c r="O23520" s="24"/>
      <c r="P23520"/>
      <c r="Q23520" s="24"/>
      <c r="R23520"/>
      <c r="S23520"/>
      <c r="T23520"/>
      <c r="U23520"/>
      <c r="X23520" s="60"/>
    </row>
    <row r="23521" spans="7:24" ht="15" customHeight="1">
      <c r="G23521"/>
      <c r="I23521"/>
      <c r="N23521"/>
      <c r="O23521" s="24"/>
      <c r="P23521"/>
      <c r="Q23521" s="24"/>
      <c r="R23521"/>
      <c r="S23521"/>
      <c r="T23521"/>
      <c r="U23521"/>
      <c r="X23521" s="60"/>
    </row>
    <row r="23522" spans="7:24" ht="15" customHeight="1">
      <c r="G23522"/>
      <c r="I23522"/>
      <c r="N23522"/>
      <c r="O23522" s="24"/>
      <c r="P23522"/>
      <c r="Q23522" s="24"/>
      <c r="R23522"/>
      <c r="S23522"/>
      <c r="T23522"/>
      <c r="U23522"/>
      <c r="X23522" s="60"/>
    </row>
    <row r="23523" spans="7:24" ht="15" customHeight="1">
      <c r="G23523"/>
      <c r="I23523"/>
      <c r="N23523"/>
      <c r="O23523" s="24"/>
      <c r="P23523"/>
      <c r="Q23523" s="24"/>
      <c r="R23523"/>
      <c r="S23523"/>
      <c r="T23523"/>
      <c r="U23523"/>
      <c r="X23523" s="60"/>
    </row>
    <row r="23524" spans="7:24" ht="15" customHeight="1">
      <c r="G23524"/>
      <c r="I23524"/>
      <c r="N23524"/>
      <c r="O23524" s="24"/>
      <c r="P23524"/>
      <c r="Q23524" s="24"/>
      <c r="R23524"/>
      <c r="S23524"/>
      <c r="T23524"/>
      <c r="U23524"/>
      <c r="X23524" s="60"/>
    </row>
    <row r="23525" spans="7:24" ht="15" customHeight="1">
      <c r="G23525"/>
      <c r="I23525"/>
      <c r="N23525"/>
      <c r="O23525" s="24"/>
      <c r="P23525"/>
      <c r="Q23525" s="24"/>
      <c r="R23525"/>
      <c r="S23525"/>
      <c r="T23525"/>
      <c r="U23525"/>
      <c r="X23525" s="60"/>
    </row>
    <row r="23526" spans="7:24" ht="15" customHeight="1">
      <c r="G23526"/>
      <c r="I23526"/>
      <c r="N23526"/>
      <c r="O23526" s="24"/>
      <c r="P23526"/>
      <c r="Q23526" s="24"/>
      <c r="R23526"/>
      <c r="S23526"/>
      <c r="T23526"/>
      <c r="U23526"/>
      <c r="X23526" s="60"/>
    </row>
    <row r="23527" spans="7:24" ht="15" customHeight="1">
      <c r="G23527"/>
      <c r="I23527"/>
      <c r="N23527"/>
      <c r="O23527" s="24"/>
      <c r="P23527"/>
      <c r="Q23527" s="24"/>
      <c r="R23527"/>
      <c r="S23527"/>
      <c r="T23527"/>
      <c r="U23527"/>
      <c r="X23527" s="60"/>
    </row>
    <row r="23528" spans="7:24" ht="15" customHeight="1">
      <c r="G23528"/>
      <c r="I23528"/>
      <c r="N23528"/>
      <c r="O23528" s="24"/>
      <c r="P23528"/>
      <c r="Q23528" s="24"/>
      <c r="R23528"/>
      <c r="S23528"/>
      <c r="T23528"/>
      <c r="U23528"/>
      <c r="X23528" s="60"/>
    </row>
    <row r="23529" spans="7:24" ht="15" customHeight="1">
      <c r="G23529"/>
      <c r="I23529"/>
      <c r="N23529"/>
      <c r="O23529" s="24"/>
      <c r="P23529"/>
      <c r="Q23529" s="24"/>
      <c r="R23529"/>
      <c r="S23529"/>
      <c r="T23529"/>
      <c r="U23529"/>
      <c r="X23529" s="60"/>
    </row>
    <row r="23530" spans="7:24" ht="15" customHeight="1">
      <c r="G23530"/>
      <c r="I23530"/>
      <c r="N23530"/>
      <c r="O23530" s="24"/>
      <c r="P23530"/>
      <c r="Q23530" s="24"/>
      <c r="R23530"/>
      <c r="S23530"/>
      <c r="T23530"/>
      <c r="U23530"/>
      <c r="X23530" s="60"/>
    </row>
    <row r="23531" spans="7:24" ht="15" customHeight="1">
      <c r="G23531"/>
      <c r="I23531"/>
      <c r="N23531"/>
      <c r="O23531" s="24"/>
      <c r="P23531"/>
      <c r="Q23531" s="24"/>
      <c r="R23531"/>
      <c r="S23531"/>
      <c r="T23531"/>
      <c r="U23531"/>
      <c r="X23531" s="60"/>
    </row>
    <row r="23532" spans="7:24" ht="15" customHeight="1">
      <c r="G23532"/>
      <c r="I23532"/>
      <c r="N23532"/>
      <c r="O23532" s="24"/>
      <c r="P23532"/>
      <c r="Q23532" s="24"/>
      <c r="R23532"/>
      <c r="S23532"/>
      <c r="T23532"/>
      <c r="U23532"/>
      <c r="X23532" s="60"/>
    </row>
    <row r="23533" spans="7:24" ht="15" customHeight="1">
      <c r="G23533"/>
      <c r="I23533"/>
      <c r="N23533"/>
      <c r="O23533" s="24"/>
      <c r="P23533"/>
      <c r="Q23533" s="24"/>
      <c r="R23533"/>
      <c r="S23533"/>
      <c r="T23533"/>
      <c r="U23533"/>
      <c r="X23533" s="60"/>
    </row>
    <row r="23534" spans="7:24" ht="15" customHeight="1">
      <c r="G23534"/>
      <c r="I23534"/>
      <c r="N23534"/>
      <c r="O23534" s="24"/>
      <c r="P23534"/>
      <c r="Q23534" s="24"/>
      <c r="R23534"/>
      <c r="S23534"/>
      <c r="T23534"/>
      <c r="U23534"/>
      <c r="X23534" s="60"/>
    </row>
    <row r="23535" spans="7:24" ht="15" customHeight="1">
      <c r="G23535"/>
      <c r="I23535"/>
      <c r="N23535"/>
      <c r="O23535" s="24"/>
      <c r="P23535"/>
      <c r="Q23535" s="24"/>
      <c r="R23535"/>
      <c r="S23535"/>
      <c r="T23535"/>
      <c r="U23535"/>
      <c r="X23535" s="60"/>
    </row>
    <row r="23536" spans="7:24" ht="15" customHeight="1">
      <c r="G23536"/>
      <c r="I23536"/>
      <c r="N23536"/>
      <c r="O23536" s="24"/>
      <c r="P23536"/>
      <c r="Q23536" s="24"/>
      <c r="R23536"/>
      <c r="S23536"/>
      <c r="T23536"/>
      <c r="U23536"/>
      <c r="X23536" s="60"/>
    </row>
    <row r="23537" spans="7:24" ht="15" customHeight="1">
      <c r="G23537"/>
      <c r="I23537"/>
      <c r="N23537"/>
      <c r="O23537" s="24"/>
      <c r="P23537"/>
      <c r="Q23537" s="24"/>
      <c r="R23537"/>
      <c r="S23537"/>
      <c r="T23537"/>
      <c r="U23537"/>
      <c r="X23537" s="60"/>
    </row>
    <row r="23538" spans="7:24" ht="15" customHeight="1">
      <c r="G23538"/>
      <c r="I23538"/>
      <c r="N23538"/>
      <c r="O23538" s="24"/>
      <c r="P23538"/>
      <c r="Q23538" s="24"/>
      <c r="R23538"/>
      <c r="S23538"/>
      <c r="T23538"/>
      <c r="U23538"/>
      <c r="X23538" s="60"/>
    </row>
    <row r="23539" spans="7:24" ht="15" customHeight="1">
      <c r="G23539"/>
      <c r="I23539"/>
      <c r="N23539"/>
      <c r="O23539" s="24"/>
      <c r="P23539"/>
      <c r="Q23539" s="24"/>
      <c r="R23539"/>
      <c r="S23539"/>
      <c r="T23539"/>
      <c r="U23539"/>
      <c r="X23539" s="60"/>
    </row>
    <row r="23540" spans="7:24" ht="15" customHeight="1">
      <c r="G23540"/>
      <c r="I23540"/>
      <c r="N23540"/>
      <c r="O23540" s="24"/>
      <c r="P23540"/>
      <c r="Q23540" s="24"/>
      <c r="R23540"/>
      <c r="S23540"/>
      <c r="T23540"/>
      <c r="U23540"/>
      <c r="X23540" s="60"/>
    </row>
    <row r="23541" spans="7:24" ht="15" customHeight="1">
      <c r="G23541"/>
      <c r="I23541"/>
      <c r="N23541"/>
      <c r="O23541" s="24"/>
      <c r="P23541"/>
      <c r="Q23541" s="24"/>
      <c r="R23541"/>
      <c r="S23541"/>
      <c r="T23541"/>
      <c r="U23541"/>
      <c r="X23541" s="60"/>
    </row>
    <row r="23542" spans="7:24" ht="15" customHeight="1">
      <c r="G23542"/>
      <c r="I23542"/>
      <c r="N23542"/>
      <c r="O23542" s="24"/>
      <c r="P23542"/>
      <c r="Q23542" s="24"/>
      <c r="R23542"/>
      <c r="S23542"/>
      <c r="T23542"/>
      <c r="U23542"/>
      <c r="X23542" s="60"/>
    </row>
    <row r="23543" spans="7:24" ht="15" customHeight="1">
      <c r="G23543"/>
      <c r="I23543"/>
      <c r="N23543"/>
      <c r="O23543" s="24"/>
      <c r="P23543"/>
      <c r="Q23543" s="24"/>
      <c r="R23543"/>
      <c r="S23543"/>
      <c r="T23543"/>
      <c r="U23543"/>
      <c r="X23543" s="60"/>
    </row>
    <row r="23544" spans="7:24" ht="15" customHeight="1">
      <c r="G23544"/>
      <c r="I23544"/>
      <c r="N23544"/>
      <c r="O23544" s="24"/>
      <c r="P23544"/>
      <c r="Q23544" s="24"/>
      <c r="R23544"/>
      <c r="S23544"/>
      <c r="T23544"/>
      <c r="U23544"/>
      <c r="X23544" s="60"/>
    </row>
    <row r="23545" spans="7:24" ht="15" customHeight="1">
      <c r="G23545"/>
      <c r="I23545"/>
      <c r="N23545"/>
      <c r="O23545" s="24"/>
      <c r="P23545"/>
      <c r="Q23545" s="24"/>
      <c r="R23545"/>
      <c r="S23545"/>
      <c r="T23545"/>
      <c r="U23545"/>
      <c r="X23545" s="60"/>
    </row>
    <row r="23546" spans="7:24" ht="15" customHeight="1">
      <c r="G23546"/>
      <c r="I23546"/>
      <c r="N23546"/>
      <c r="O23546" s="24"/>
      <c r="P23546"/>
      <c r="Q23546" s="24"/>
      <c r="R23546"/>
      <c r="S23546"/>
      <c r="T23546"/>
      <c r="U23546"/>
      <c r="X23546" s="60"/>
    </row>
    <row r="23547" spans="7:24" ht="15" customHeight="1">
      <c r="G23547"/>
      <c r="I23547"/>
      <c r="N23547"/>
      <c r="O23547" s="24"/>
      <c r="P23547"/>
      <c r="Q23547" s="24"/>
      <c r="R23547"/>
      <c r="S23547"/>
      <c r="T23547"/>
      <c r="U23547"/>
      <c r="X23547" s="60"/>
    </row>
    <row r="23548" spans="7:24" ht="15" customHeight="1">
      <c r="G23548"/>
      <c r="I23548"/>
      <c r="N23548"/>
      <c r="O23548" s="24"/>
      <c r="P23548"/>
      <c r="Q23548" s="24"/>
      <c r="R23548"/>
      <c r="S23548"/>
      <c r="T23548"/>
      <c r="U23548"/>
      <c r="X23548" s="60"/>
    </row>
    <row r="23549" spans="7:24" ht="15" customHeight="1">
      <c r="G23549"/>
      <c r="I23549"/>
      <c r="N23549"/>
      <c r="O23549" s="24"/>
      <c r="P23549"/>
      <c r="Q23549" s="24"/>
      <c r="R23549"/>
      <c r="S23549"/>
      <c r="T23549"/>
      <c r="U23549"/>
      <c r="X23549" s="60"/>
    </row>
    <row r="23550" spans="7:24" ht="15" customHeight="1">
      <c r="G23550"/>
      <c r="I23550"/>
      <c r="N23550"/>
      <c r="O23550" s="24"/>
      <c r="P23550"/>
      <c r="Q23550" s="24"/>
      <c r="R23550"/>
      <c r="S23550"/>
      <c r="T23550"/>
      <c r="U23550"/>
      <c r="X23550" s="60"/>
    </row>
    <row r="23551" spans="7:24" ht="15" customHeight="1">
      <c r="G23551"/>
      <c r="I23551"/>
      <c r="N23551"/>
      <c r="O23551" s="24"/>
      <c r="P23551"/>
      <c r="Q23551" s="24"/>
      <c r="R23551"/>
      <c r="S23551"/>
      <c r="T23551"/>
      <c r="U23551"/>
      <c r="X23551" s="60"/>
    </row>
    <row r="23552" spans="7:24" ht="15" customHeight="1">
      <c r="G23552"/>
      <c r="I23552"/>
      <c r="N23552"/>
      <c r="O23552" s="24"/>
      <c r="P23552"/>
      <c r="Q23552" s="24"/>
      <c r="R23552"/>
      <c r="S23552"/>
      <c r="T23552"/>
      <c r="U23552"/>
      <c r="X23552" s="60"/>
    </row>
    <row r="23553" spans="7:24" ht="15" customHeight="1">
      <c r="G23553"/>
      <c r="I23553"/>
      <c r="N23553"/>
      <c r="O23553" s="24"/>
      <c r="P23553"/>
      <c r="Q23553" s="24"/>
      <c r="R23553"/>
      <c r="S23553"/>
      <c r="T23553"/>
      <c r="U23553"/>
      <c r="X23553" s="60"/>
    </row>
    <row r="23554" spans="7:24" ht="15" customHeight="1">
      <c r="G23554"/>
      <c r="I23554"/>
      <c r="N23554"/>
      <c r="O23554" s="24"/>
      <c r="P23554"/>
      <c r="Q23554" s="24"/>
      <c r="R23554"/>
      <c r="S23554"/>
      <c r="T23554"/>
      <c r="U23554"/>
      <c r="X23554" s="60"/>
    </row>
    <row r="23555" spans="7:24" ht="15" customHeight="1">
      <c r="G23555"/>
      <c r="I23555"/>
      <c r="N23555"/>
      <c r="O23555" s="24"/>
      <c r="P23555"/>
      <c r="Q23555" s="24"/>
      <c r="R23555"/>
      <c r="S23555"/>
      <c r="T23555"/>
      <c r="U23555"/>
      <c r="X23555" s="60"/>
    </row>
    <row r="23556" spans="7:24" ht="15" customHeight="1">
      <c r="G23556"/>
      <c r="I23556"/>
      <c r="N23556"/>
      <c r="O23556" s="24"/>
      <c r="P23556"/>
      <c r="Q23556" s="24"/>
      <c r="R23556"/>
      <c r="S23556"/>
      <c r="T23556"/>
      <c r="U23556"/>
      <c r="X23556" s="60"/>
    </row>
    <row r="23557" spans="7:24" ht="15" customHeight="1">
      <c r="G23557"/>
      <c r="I23557"/>
      <c r="N23557"/>
      <c r="O23557" s="24"/>
      <c r="P23557"/>
      <c r="Q23557" s="24"/>
      <c r="R23557"/>
      <c r="S23557"/>
      <c r="T23557"/>
      <c r="U23557"/>
      <c r="X23557" s="60"/>
    </row>
    <row r="23558" spans="7:24" ht="15" customHeight="1">
      <c r="G23558"/>
      <c r="I23558"/>
      <c r="N23558"/>
      <c r="O23558" s="24"/>
      <c r="P23558"/>
      <c r="Q23558" s="24"/>
      <c r="R23558"/>
      <c r="S23558"/>
      <c r="T23558"/>
      <c r="U23558"/>
      <c r="X23558" s="60"/>
    </row>
    <row r="23559" spans="7:24" ht="15" customHeight="1">
      <c r="G23559"/>
      <c r="I23559"/>
      <c r="N23559"/>
      <c r="O23559" s="24"/>
      <c r="P23559"/>
      <c r="Q23559" s="24"/>
      <c r="R23559"/>
      <c r="S23559"/>
      <c r="T23559"/>
      <c r="U23559"/>
      <c r="X23559" s="60"/>
    </row>
    <row r="23560" spans="7:24" ht="15" customHeight="1">
      <c r="G23560"/>
      <c r="I23560"/>
      <c r="N23560"/>
      <c r="O23560" s="24"/>
      <c r="P23560"/>
      <c r="Q23560" s="24"/>
      <c r="R23560"/>
      <c r="S23560"/>
      <c r="T23560"/>
      <c r="U23560"/>
      <c r="X23560" s="60"/>
    </row>
    <row r="23561" spans="7:24" ht="15" customHeight="1">
      <c r="G23561"/>
      <c r="I23561"/>
      <c r="N23561"/>
      <c r="O23561" s="24"/>
      <c r="P23561"/>
      <c r="Q23561" s="24"/>
      <c r="R23561"/>
      <c r="S23561"/>
      <c r="T23561"/>
      <c r="U23561"/>
      <c r="X23561" s="60"/>
    </row>
    <row r="23562" spans="7:24" ht="15" customHeight="1">
      <c r="G23562"/>
      <c r="I23562"/>
      <c r="N23562"/>
      <c r="O23562" s="24"/>
      <c r="P23562"/>
      <c r="Q23562" s="24"/>
      <c r="R23562"/>
      <c r="S23562"/>
      <c r="T23562"/>
      <c r="U23562"/>
      <c r="X23562" s="60"/>
    </row>
    <row r="23563" spans="7:24" ht="15" customHeight="1">
      <c r="G23563"/>
      <c r="I23563"/>
      <c r="N23563"/>
      <c r="O23563" s="24"/>
      <c r="P23563"/>
      <c r="Q23563" s="24"/>
      <c r="R23563"/>
      <c r="S23563"/>
      <c r="T23563"/>
      <c r="U23563"/>
      <c r="X23563" s="60"/>
    </row>
    <row r="23564" spans="7:24" ht="15" customHeight="1">
      <c r="G23564"/>
      <c r="I23564"/>
      <c r="N23564"/>
      <c r="O23564" s="24"/>
      <c r="P23564"/>
      <c r="Q23564" s="24"/>
      <c r="R23564"/>
      <c r="S23564"/>
      <c r="T23564"/>
      <c r="U23564"/>
      <c r="X23564" s="60"/>
    </row>
    <row r="23565" spans="7:24" ht="15" customHeight="1">
      <c r="G23565"/>
      <c r="I23565"/>
      <c r="N23565"/>
      <c r="O23565" s="24"/>
      <c r="P23565"/>
      <c r="Q23565" s="24"/>
      <c r="R23565"/>
      <c r="S23565"/>
      <c r="T23565"/>
      <c r="U23565"/>
      <c r="X23565" s="60"/>
    </row>
    <row r="23566" spans="7:24" ht="15" customHeight="1">
      <c r="G23566"/>
      <c r="I23566"/>
      <c r="N23566"/>
      <c r="O23566" s="24"/>
      <c r="P23566"/>
      <c r="Q23566" s="24"/>
      <c r="R23566"/>
      <c r="S23566"/>
      <c r="T23566"/>
      <c r="U23566"/>
      <c r="X23566" s="60"/>
    </row>
    <row r="23567" spans="7:24" ht="15" customHeight="1">
      <c r="G23567"/>
      <c r="I23567"/>
      <c r="N23567"/>
      <c r="O23567" s="24"/>
      <c r="P23567"/>
      <c r="Q23567" s="24"/>
      <c r="R23567"/>
      <c r="S23567"/>
      <c r="T23567"/>
      <c r="U23567"/>
      <c r="X23567" s="60"/>
    </row>
    <row r="23568" spans="7:24" ht="15" customHeight="1">
      <c r="G23568"/>
      <c r="I23568"/>
      <c r="N23568"/>
      <c r="O23568" s="24"/>
      <c r="P23568"/>
      <c r="Q23568" s="24"/>
      <c r="R23568"/>
      <c r="S23568"/>
      <c r="T23568"/>
      <c r="U23568"/>
      <c r="X23568" s="60"/>
    </row>
    <row r="23569" spans="7:24" ht="15" customHeight="1">
      <c r="G23569"/>
      <c r="I23569"/>
      <c r="N23569"/>
      <c r="O23569" s="24"/>
      <c r="P23569"/>
      <c r="Q23569" s="24"/>
      <c r="R23569"/>
      <c r="S23569"/>
      <c r="T23569"/>
      <c r="U23569"/>
      <c r="X23569" s="60"/>
    </row>
    <row r="23570" spans="7:24" ht="15" customHeight="1">
      <c r="G23570"/>
      <c r="I23570"/>
      <c r="N23570"/>
      <c r="O23570" s="24"/>
      <c r="P23570"/>
      <c r="Q23570" s="24"/>
      <c r="R23570"/>
      <c r="S23570"/>
      <c r="T23570"/>
      <c r="U23570"/>
      <c r="X23570" s="60"/>
    </row>
    <row r="23571" spans="7:24" ht="15" customHeight="1">
      <c r="G23571"/>
      <c r="I23571"/>
      <c r="N23571"/>
      <c r="O23571" s="24"/>
      <c r="P23571"/>
      <c r="Q23571" s="24"/>
      <c r="R23571"/>
      <c r="S23571"/>
      <c r="T23571"/>
      <c r="U23571"/>
      <c r="X23571" s="60"/>
    </row>
    <row r="23572" spans="7:24" ht="15" customHeight="1">
      <c r="G23572"/>
      <c r="I23572"/>
      <c r="N23572"/>
      <c r="O23572" s="24"/>
      <c r="P23572"/>
      <c r="Q23572" s="24"/>
      <c r="R23572"/>
      <c r="S23572"/>
      <c r="T23572"/>
      <c r="U23572"/>
      <c r="X23572" s="60"/>
    </row>
    <row r="23573" spans="7:24" ht="15" customHeight="1">
      <c r="G23573"/>
      <c r="I23573"/>
      <c r="N23573"/>
      <c r="O23573" s="24"/>
      <c r="P23573"/>
      <c r="Q23573" s="24"/>
      <c r="R23573"/>
      <c r="S23573"/>
      <c r="T23573"/>
      <c r="U23573"/>
      <c r="X23573" s="60"/>
    </row>
    <row r="23574" spans="7:24" ht="15" customHeight="1">
      <c r="G23574"/>
      <c r="I23574"/>
      <c r="N23574"/>
      <c r="O23574" s="24"/>
      <c r="P23574"/>
      <c r="Q23574" s="24"/>
      <c r="R23574"/>
      <c r="S23574"/>
      <c r="T23574"/>
      <c r="U23574"/>
      <c r="X23574" s="60"/>
    </row>
    <row r="23575" spans="7:24" ht="15" customHeight="1">
      <c r="G23575"/>
      <c r="I23575"/>
      <c r="N23575"/>
      <c r="O23575" s="24"/>
      <c r="P23575"/>
      <c r="Q23575" s="24"/>
      <c r="R23575"/>
      <c r="S23575"/>
      <c r="T23575"/>
      <c r="U23575"/>
      <c r="X23575" s="60"/>
    </row>
    <row r="23576" spans="7:24" ht="15" customHeight="1">
      <c r="G23576"/>
      <c r="I23576"/>
      <c r="N23576"/>
      <c r="O23576" s="24"/>
      <c r="P23576"/>
      <c r="Q23576" s="24"/>
      <c r="R23576"/>
      <c r="S23576"/>
      <c r="T23576"/>
      <c r="U23576"/>
      <c r="X23576" s="60"/>
    </row>
    <row r="23577" spans="7:24" ht="15" customHeight="1">
      <c r="G23577"/>
      <c r="I23577"/>
      <c r="N23577"/>
      <c r="O23577" s="24"/>
      <c r="P23577"/>
      <c r="Q23577" s="24"/>
      <c r="R23577"/>
      <c r="S23577"/>
      <c r="T23577"/>
      <c r="U23577"/>
      <c r="X23577" s="60"/>
    </row>
    <row r="23578" spans="7:24" ht="15" customHeight="1">
      <c r="G23578"/>
      <c r="I23578"/>
      <c r="N23578"/>
      <c r="O23578" s="24"/>
      <c r="P23578"/>
      <c r="Q23578" s="24"/>
      <c r="R23578"/>
      <c r="S23578"/>
      <c r="T23578"/>
      <c r="U23578"/>
      <c r="X23578" s="60"/>
    </row>
    <row r="23579" spans="7:24" ht="15" customHeight="1">
      <c r="G23579"/>
      <c r="I23579"/>
      <c r="N23579"/>
      <c r="O23579" s="24"/>
      <c r="P23579"/>
      <c r="Q23579" s="24"/>
      <c r="R23579"/>
      <c r="S23579"/>
      <c r="T23579"/>
      <c r="U23579"/>
      <c r="X23579" s="60"/>
    </row>
    <row r="23580" spans="7:24" ht="15" customHeight="1">
      <c r="G23580"/>
      <c r="I23580"/>
      <c r="N23580"/>
      <c r="O23580" s="24"/>
      <c r="P23580"/>
      <c r="Q23580" s="24"/>
      <c r="R23580"/>
      <c r="S23580"/>
      <c r="T23580"/>
      <c r="U23580"/>
      <c r="X23580" s="60"/>
    </row>
    <row r="23581" spans="7:24" ht="15" customHeight="1">
      <c r="G23581"/>
      <c r="I23581"/>
      <c r="N23581"/>
      <c r="O23581" s="24"/>
      <c r="P23581"/>
      <c r="Q23581" s="24"/>
      <c r="R23581"/>
      <c r="S23581"/>
      <c r="T23581"/>
      <c r="U23581"/>
      <c r="X23581" s="60"/>
    </row>
    <row r="23582" spans="7:24" ht="15" customHeight="1">
      <c r="G23582"/>
      <c r="I23582"/>
      <c r="N23582"/>
      <c r="O23582" s="24"/>
      <c r="P23582"/>
      <c r="Q23582" s="24"/>
      <c r="R23582"/>
      <c r="S23582"/>
      <c r="T23582"/>
      <c r="U23582"/>
      <c r="X23582" s="60"/>
    </row>
    <row r="23583" spans="7:24" ht="15" customHeight="1">
      <c r="G23583"/>
      <c r="I23583"/>
      <c r="N23583"/>
      <c r="O23583" s="24"/>
      <c r="P23583"/>
      <c r="Q23583" s="24"/>
      <c r="R23583"/>
      <c r="S23583"/>
      <c r="T23583"/>
      <c r="U23583"/>
      <c r="X23583" s="60"/>
    </row>
    <row r="23584" spans="7:24" ht="15" customHeight="1">
      <c r="G23584"/>
      <c r="I23584"/>
      <c r="N23584"/>
      <c r="O23584" s="24"/>
      <c r="P23584"/>
      <c r="Q23584" s="24"/>
      <c r="R23584"/>
      <c r="S23584"/>
      <c r="T23584"/>
      <c r="U23584"/>
      <c r="X23584" s="60"/>
    </row>
    <row r="23585" spans="7:24" ht="15" customHeight="1">
      <c r="G23585"/>
      <c r="I23585"/>
      <c r="N23585"/>
      <c r="O23585" s="24"/>
      <c r="P23585"/>
      <c r="Q23585" s="24"/>
      <c r="R23585"/>
      <c r="S23585"/>
      <c r="T23585"/>
      <c r="U23585"/>
      <c r="X23585" s="60"/>
    </row>
    <row r="23586" spans="7:24" ht="15" customHeight="1">
      <c r="G23586"/>
      <c r="I23586"/>
      <c r="N23586"/>
      <c r="O23586" s="24"/>
      <c r="P23586"/>
      <c r="Q23586" s="24"/>
      <c r="R23586"/>
      <c r="S23586"/>
      <c r="T23586"/>
      <c r="U23586"/>
      <c r="X23586" s="60"/>
    </row>
    <row r="23587" spans="7:24" ht="15" customHeight="1">
      <c r="G23587"/>
      <c r="I23587"/>
      <c r="N23587"/>
      <c r="O23587" s="24"/>
      <c r="P23587"/>
      <c r="Q23587" s="24"/>
      <c r="R23587"/>
      <c r="S23587"/>
      <c r="T23587"/>
      <c r="U23587"/>
      <c r="X23587" s="60"/>
    </row>
    <row r="23588" spans="7:24" ht="15" customHeight="1">
      <c r="G23588"/>
      <c r="I23588"/>
      <c r="N23588"/>
      <c r="O23588" s="24"/>
      <c r="P23588"/>
      <c r="Q23588" s="24"/>
      <c r="R23588"/>
      <c r="S23588"/>
      <c r="T23588"/>
      <c r="U23588"/>
      <c r="X23588" s="60"/>
    </row>
    <row r="23589" spans="7:24" ht="15" customHeight="1">
      <c r="G23589"/>
      <c r="I23589"/>
      <c r="N23589"/>
      <c r="O23589" s="24"/>
      <c r="P23589"/>
      <c r="Q23589" s="24"/>
      <c r="R23589"/>
      <c r="S23589"/>
      <c r="T23589"/>
      <c r="U23589"/>
      <c r="X23589" s="60"/>
    </row>
    <row r="23590" spans="7:24" ht="15" customHeight="1">
      <c r="G23590"/>
      <c r="I23590"/>
      <c r="N23590"/>
      <c r="O23590" s="24"/>
      <c r="P23590"/>
      <c r="Q23590" s="24"/>
      <c r="R23590"/>
      <c r="S23590"/>
      <c r="T23590"/>
      <c r="U23590"/>
      <c r="X23590" s="60"/>
    </row>
    <row r="23591" spans="7:24" ht="15" customHeight="1">
      <c r="G23591"/>
      <c r="I23591"/>
      <c r="N23591"/>
      <c r="O23591" s="24"/>
      <c r="P23591"/>
      <c r="Q23591" s="24"/>
      <c r="R23591"/>
      <c r="S23591"/>
      <c r="T23591"/>
      <c r="U23591"/>
      <c r="X23591" s="60"/>
    </row>
    <row r="23592" spans="7:24" ht="15" customHeight="1">
      <c r="G23592"/>
      <c r="I23592"/>
      <c r="N23592"/>
      <c r="O23592" s="24"/>
      <c r="P23592"/>
      <c r="Q23592" s="24"/>
      <c r="R23592"/>
      <c r="S23592"/>
      <c r="T23592"/>
      <c r="U23592"/>
      <c r="X23592" s="60"/>
    </row>
    <row r="23593" spans="7:24" ht="15" customHeight="1">
      <c r="G23593"/>
      <c r="I23593"/>
      <c r="N23593"/>
      <c r="O23593" s="24"/>
      <c r="P23593"/>
      <c r="Q23593" s="24"/>
      <c r="R23593"/>
      <c r="S23593"/>
      <c r="T23593"/>
      <c r="U23593"/>
      <c r="X23593" s="60"/>
    </row>
    <row r="23594" spans="7:24" ht="15" customHeight="1">
      <c r="G23594"/>
      <c r="I23594"/>
      <c r="N23594"/>
      <c r="O23594" s="24"/>
      <c r="P23594"/>
      <c r="Q23594" s="24"/>
      <c r="R23594"/>
      <c r="S23594"/>
      <c r="T23594"/>
      <c r="U23594"/>
      <c r="X23594" s="60"/>
    </row>
    <row r="23595" spans="7:24" ht="15" customHeight="1">
      <c r="G23595"/>
      <c r="I23595"/>
      <c r="N23595"/>
      <c r="O23595" s="24"/>
      <c r="P23595"/>
      <c r="Q23595" s="24"/>
      <c r="R23595"/>
      <c r="S23595"/>
      <c r="T23595"/>
      <c r="U23595"/>
      <c r="X23595" s="60"/>
    </row>
    <row r="23596" spans="7:24" ht="15" customHeight="1">
      <c r="G23596"/>
      <c r="I23596"/>
      <c r="N23596"/>
      <c r="O23596" s="24"/>
      <c r="P23596"/>
      <c r="Q23596" s="24"/>
      <c r="R23596"/>
      <c r="S23596"/>
      <c r="T23596"/>
      <c r="U23596"/>
      <c r="X23596" s="60"/>
    </row>
    <row r="23597" spans="7:24" ht="15" customHeight="1">
      <c r="G23597"/>
      <c r="I23597"/>
      <c r="N23597"/>
      <c r="O23597" s="24"/>
      <c r="P23597"/>
      <c r="Q23597" s="24"/>
      <c r="R23597"/>
      <c r="S23597"/>
      <c r="T23597"/>
      <c r="U23597"/>
      <c r="X23597" s="60"/>
    </row>
    <row r="23598" spans="7:24" ht="15" customHeight="1">
      <c r="G23598"/>
      <c r="I23598"/>
      <c r="N23598"/>
      <c r="O23598" s="24"/>
      <c r="P23598"/>
      <c r="Q23598" s="24"/>
      <c r="R23598"/>
      <c r="S23598"/>
      <c r="T23598"/>
      <c r="U23598"/>
      <c r="X23598" s="60"/>
    </row>
    <row r="23599" spans="7:24" ht="15" customHeight="1">
      <c r="G23599"/>
      <c r="I23599"/>
      <c r="N23599"/>
      <c r="O23599" s="24"/>
      <c r="P23599"/>
      <c r="Q23599" s="24"/>
      <c r="R23599"/>
      <c r="S23599"/>
      <c r="T23599"/>
      <c r="U23599"/>
      <c r="X23599" s="60"/>
    </row>
    <row r="23600" spans="7:24" ht="15" customHeight="1">
      <c r="G23600"/>
      <c r="I23600"/>
      <c r="N23600"/>
      <c r="O23600" s="24"/>
      <c r="P23600"/>
      <c r="Q23600" s="24"/>
      <c r="R23600"/>
      <c r="S23600"/>
      <c r="T23600"/>
      <c r="U23600"/>
      <c r="X23600" s="60"/>
    </row>
    <row r="23601" spans="7:24" ht="15" customHeight="1">
      <c r="G23601"/>
      <c r="I23601"/>
      <c r="N23601"/>
      <c r="O23601" s="24"/>
      <c r="P23601"/>
      <c r="Q23601" s="24"/>
      <c r="R23601"/>
      <c r="S23601"/>
      <c r="T23601"/>
      <c r="U23601"/>
      <c r="X23601" s="60"/>
    </row>
    <row r="23602" spans="7:24" ht="15" customHeight="1">
      <c r="G23602"/>
      <c r="I23602"/>
      <c r="N23602"/>
      <c r="O23602" s="24"/>
      <c r="P23602"/>
      <c r="Q23602" s="24"/>
      <c r="R23602"/>
      <c r="S23602"/>
      <c r="T23602"/>
      <c r="U23602"/>
      <c r="X23602" s="60"/>
    </row>
    <row r="23603" spans="7:24" ht="15" customHeight="1">
      <c r="G23603"/>
      <c r="I23603"/>
      <c r="N23603"/>
      <c r="O23603" s="24"/>
      <c r="P23603"/>
      <c r="Q23603" s="24"/>
      <c r="R23603"/>
      <c r="S23603"/>
      <c r="T23603"/>
      <c r="U23603"/>
      <c r="X23603" s="60"/>
    </row>
    <row r="23604" spans="7:24" ht="15" customHeight="1">
      <c r="G23604"/>
      <c r="I23604"/>
      <c r="N23604"/>
      <c r="O23604" s="24"/>
      <c r="P23604"/>
      <c r="Q23604" s="24"/>
      <c r="R23604"/>
      <c r="S23604"/>
      <c r="T23604"/>
      <c r="U23604"/>
      <c r="X23604" s="60"/>
    </row>
    <row r="23605" spans="7:24" ht="15" customHeight="1">
      <c r="G23605"/>
      <c r="I23605"/>
      <c r="N23605"/>
      <c r="O23605" s="24"/>
      <c r="P23605"/>
      <c r="Q23605" s="24"/>
      <c r="R23605"/>
      <c r="S23605"/>
      <c r="T23605"/>
      <c r="U23605"/>
      <c r="X23605" s="60"/>
    </row>
    <row r="23606" spans="7:24" ht="15" customHeight="1">
      <c r="G23606"/>
      <c r="I23606"/>
      <c r="N23606"/>
      <c r="O23606" s="24"/>
      <c r="P23606"/>
      <c r="Q23606" s="24"/>
      <c r="R23606"/>
      <c r="S23606"/>
      <c r="T23606"/>
      <c r="U23606"/>
      <c r="X23606" s="60"/>
    </row>
    <row r="23607" spans="7:24" ht="15" customHeight="1">
      <c r="G23607"/>
      <c r="I23607"/>
      <c r="N23607"/>
      <c r="O23607" s="24"/>
      <c r="P23607"/>
      <c r="Q23607" s="24"/>
      <c r="R23607"/>
      <c r="S23607"/>
      <c r="T23607"/>
      <c r="U23607"/>
      <c r="X23607" s="60"/>
    </row>
    <row r="23608" spans="7:24" ht="15" customHeight="1">
      <c r="G23608"/>
      <c r="I23608"/>
      <c r="N23608"/>
      <c r="O23608" s="24"/>
      <c r="P23608"/>
      <c r="Q23608" s="24"/>
      <c r="R23608"/>
      <c r="S23608"/>
      <c r="T23608"/>
      <c r="U23608"/>
      <c r="X23608" s="60"/>
    </row>
    <row r="23609" spans="7:24" ht="15" customHeight="1">
      <c r="G23609"/>
      <c r="I23609"/>
      <c r="N23609"/>
      <c r="O23609" s="24"/>
      <c r="P23609"/>
      <c r="Q23609" s="24"/>
      <c r="R23609"/>
      <c r="S23609"/>
      <c r="T23609"/>
      <c r="U23609"/>
      <c r="X23609" s="60"/>
    </row>
    <row r="23610" spans="7:24" ht="15" customHeight="1">
      <c r="G23610"/>
      <c r="I23610"/>
      <c r="N23610"/>
      <c r="O23610" s="24"/>
      <c r="P23610"/>
      <c r="Q23610" s="24"/>
      <c r="R23610"/>
      <c r="S23610"/>
      <c r="T23610"/>
      <c r="U23610"/>
      <c r="X23610" s="60"/>
    </row>
    <row r="23611" spans="7:24" ht="15" customHeight="1">
      <c r="G23611"/>
      <c r="I23611"/>
      <c r="N23611"/>
      <c r="O23611" s="24"/>
      <c r="P23611"/>
      <c r="Q23611" s="24"/>
      <c r="R23611"/>
      <c r="S23611"/>
      <c r="T23611"/>
      <c r="U23611"/>
      <c r="X23611" s="60"/>
    </row>
    <row r="23612" spans="7:24" ht="15" customHeight="1">
      <c r="G23612"/>
      <c r="I23612"/>
      <c r="N23612"/>
      <c r="O23612" s="24"/>
      <c r="P23612"/>
      <c r="Q23612" s="24"/>
      <c r="R23612"/>
      <c r="S23612"/>
      <c r="T23612"/>
      <c r="U23612"/>
      <c r="X23612" s="60"/>
    </row>
    <row r="23613" spans="7:24" ht="15" customHeight="1">
      <c r="G23613"/>
      <c r="I23613"/>
      <c r="N23613"/>
      <c r="O23613" s="24"/>
      <c r="P23613"/>
      <c r="Q23613" s="24"/>
      <c r="R23613"/>
      <c r="S23613"/>
      <c r="T23613"/>
      <c r="U23613"/>
      <c r="X23613" s="60"/>
    </row>
    <row r="23614" spans="7:24" ht="15" customHeight="1">
      <c r="G23614"/>
      <c r="I23614"/>
      <c r="N23614"/>
      <c r="O23614" s="24"/>
      <c r="P23614"/>
      <c r="Q23614" s="24"/>
      <c r="R23614"/>
      <c r="S23614"/>
      <c r="T23614"/>
      <c r="U23614"/>
      <c r="X23614" s="60"/>
    </row>
    <row r="23615" spans="7:24" ht="15" customHeight="1">
      <c r="G23615"/>
      <c r="I23615"/>
      <c r="N23615"/>
      <c r="O23615" s="24"/>
      <c r="P23615"/>
      <c r="Q23615" s="24"/>
      <c r="R23615"/>
      <c r="S23615"/>
      <c r="T23615"/>
      <c r="U23615"/>
      <c r="X23615" s="60"/>
    </row>
    <row r="23616" spans="7:24" ht="15" customHeight="1">
      <c r="G23616"/>
      <c r="I23616"/>
      <c r="N23616"/>
      <c r="O23616" s="24"/>
      <c r="P23616"/>
      <c r="Q23616" s="24"/>
      <c r="R23616"/>
      <c r="S23616"/>
      <c r="T23616"/>
      <c r="U23616"/>
      <c r="X23616" s="60"/>
    </row>
    <row r="23617" spans="7:24" ht="15" customHeight="1">
      <c r="G23617"/>
      <c r="I23617"/>
      <c r="N23617"/>
      <c r="O23617" s="24"/>
      <c r="P23617"/>
      <c r="Q23617" s="24"/>
      <c r="R23617"/>
      <c r="S23617"/>
      <c r="T23617"/>
      <c r="U23617"/>
      <c r="X23617" s="60"/>
    </row>
    <row r="23618" spans="7:24" ht="15" customHeight="1">
      <c r="G23618"/>
      <c r="I23618"/>
      <c r="N23618"/>
      <c r="O23618" s="24"/>
      <c r="P23618"/>
      <c r="Q23618" s="24"/>
      <c r="R23618"/>
      <c r="S23618"/>
      <c r="T23618"/>
      <c r="U23618"/>
      <c r="X23618" s="60"/>
    </row>
    <row r="23619" spans="7:24" ht="15" customHeight="1">
      <c r="G23619"/>
      <c r="I23619"/>
      <c r="N23619"/>
      <c r="O23619" s="24"/>
      <c r="P23619"/>
      <c r="Q23619" s="24"/>
      <c r="R23619"/>
      <c r="S23619"/>
      <c r="T23619"/>
      <c r="U23619"/>
      <c r="X23619" s="60"/>
    </row>
    <row r="23620" spans="7:24" ht="15" customHeight="1">
      <c r="G23620"/>
      <c r="I23620"/>
      <c r="N23620"/>
      <c r="O23620" s="24"/>
      <c r="P23620"/>
      <c r="Q23620" s="24"/>
      <c r="R23620"/>
      <c r="S23620"/>
      <c r="T23620"/>
      <c r="U23620"/>
      <c r="X23620" s="60"/>
    </row>
    <row r="23621" spans="7:24" ht="15" customHeight="1">
      <c r="G23621"/>
      <c r="I23621"/>
      <c r="N23621"/>
      <c r="O23621" s="24"/>
      <c r="P23621"/>
      <c r="Q23621" s="24"/>
      <c r="R23621"/>
      <c r="S23621"/>
      <c r="T23621"/>
      <c r="U23621"/>
      <c r="X23621" s="60"/>
    </row>
    <row r="23622" spans="7:24" ht="15" customHeight="1">
      <c r="G23622"/>
      <c r="I23622"/>
      <c r="N23622"/>
      <c r="O23622" s="24"/>
      <c r="P23622"/>
      <c r="Q23622" s="24"/>
      <c r="R23622"/>
      <c r="S23622"/>
      <c r="T23622"/>
      <c r="U23622"/>
      <c r="X23622" s="60"/>
    </row>
    <row r="23623" spans="7:24" ht="15" customHeight="1">
      <c r="G23623"/>
      <c r="I23623"/>
      <c r="N23623"/>
      <c r="O23623" s="24"/>
      <c r="P23623"/>
      <c r="Q23623" s="24"/>
      <c r="R23623"/>
      <c r="S23623"/>
      <c r="T23623"/>
      <c r="U23623"/>
      <c r="X23623" s="60"/>
    </row>
    <row r="23624" spans="7:24" ht="15" customHeight="1">
      <c r="G23624"/>
      <c r="I23624"/>
      <c r="N23624"/>
      <c r="O23624" s="24"/>
      <c r="P23624"/>
      <c r="Q23624" s="24"/>
      <c r="R23624"/>
      <c r="S23624"/>
      <c r="T23624"/>
      <c r="U23624"/>
      <c r="X23624" s="60"/>
    </row>
    <row r="23625" spans="7:24" ht="15" customHeight="1">
      <c r="G23625"/>
      <c r="I23625"/>
      <c r="N23625"/>
      <c r="O23625" s="24"/>
      <c r="P23625"/>
      <c r="Q23625" s="24"/>
      <c r="R23625"/>
      <c r="S23625"/>
      <c r="T23625"/>
      <c r="U23625"/>
      <c r="X23625" s="60"/>
    </row>
    <row r="23626" spans="7:24" ht="15" customHeight="1">
      <c r="G23626"/>
      <c r="I23626"/>
      <c r="N23626"/>
      <c r="O23626" s="24"/>
      <c r="P23626"/>
      <c r="Q23626" s="24"/>
      <c r="R23626"/>
      <c r="S23626"/>
      <c r="T23626"/>
      <c r="U23626"/>
      <c r="X23626" s="60"/>
    </row>
    <row r="23627" spans="7:24" ht="15" customHeight="1">
      <c r="G23627"/>
      <c r="I23627"/>
      <c r="N23627"/>
      <c r="O23627" s="24"/>
      <c r="P23627"/>
      <c r="Q23627" s="24"/>
      <c r="R23627"/>
      <c r="S23627"/>
      <c r="T23627"/>
      <c r="U23627"/>
      <c r="X23627" s="60"/>
    </row>
    <row r="23628" spans="7:24" ht="15" customHeight="1">
      <c r="G23628"/>
      <c r="I23628"/>
      <c r="N23628"/>
      <c r="O23628" s="24"/>
      <c r="P23628"/>
      <c r="Q23628" s="24"/>
      <c r="R23628"/>
      <c r="S23628"/>
      <c r="T23628"/>
      <c r="U23628"/>
      <c r="X23628" s="60"/>
    </row>
    <row r="23629" spans="7:24" ht="15" customHeight="1">
      <c r="G23629"/>
      <c r="I23629"/>
      <c r="N23629"/>
      <c r="O23629" s="24"/>
      <c r="P23629"/>
      <c r="Q23629" s="24"/>
      <c r="R23629"/>
      <c r="S23629"/>
      <c r="T23629"/>
      <c r="U23629"/>
      <c r="X23629" s="60"/>
    </row>
    <row r="23630" spans="7:24" ht="15" customHeight="1">
      <c r="G23630"/>
      <c r="I23630"/>
      <c r="N23630"/>
      <c r="O23630" s="24"/>
      <c r="P23630"/>
      <c r="Q23630" s="24"/>
      <c r="R23630"/>
      <c r="S23630"/>
      <c r="T23630"/>
      <c r="U23630"/>
      <c r="X23630" s="60"/>
    </row>
    <row r="23631" spans="7:24" ht="15" customHeight="1">
      <c r="G23631"/>
      <c r="I23631"/>
      <c r="N23631"/>
      <c r="O23631" s="24"/>
      <c r="P23631"/>
      <c r="Q23631" s="24"/>
      <c r="R23631"/>
      <c r="S23631"/>
      <c r="T23631"/>
      <c r="U23631"/>
      <c r="X23631" s="60"/>
    </row>
    <row r="23632" spans="7:24" ht="15" customHeight="1">
      <c r="G23632"/>
      <c r="I23632"/>
      <c r="N23632"/>
      <c r="O23632" s="24"/>
      <c r="P23632"/>
      <c r="Q23632" s="24"/>
      <c r="R23632"/>
      <c r="S23632"/>
      <c r="T23632"/>
      <c r="U23632"/>
      <c r="X23632" s="60"/>
    </row>
    <row r="23633" spans="7:24" ht="15" customHeight="1">
      <c r="G23633"/>
      <c r="I23633"/>
      <c r="N23633"/>
      <c r="O23633" s="24"/>
      <c r="P23633"/>
      <c r="Q23633" s="24"/>
      <c r="R23633"/>
      <c r="S23633"/>
      <c r="T23633"/>
      <c r="U23633"/>
      <c r="X23633" s="60"/>
    </row>
    <row r="23634" spans="7:24" ht="15" customHeight="1">
      <c r="G23634"/>
      <c r="I23634"/>
      <c r="N23634"/>
      <c r="O23634" s="24"/>
      <c r="P23634"/>
      <c r="Q23634" s="24"/>
      <c r="R23634"/>
      <c r="S23634"/>
      <c r="T23634"/>
      <c r="U23634"/>
      <c r="X23634" s="60"/>
    </row>
    <row r="23635" spans="7:24" ht="15" customHeight="1">
      <c r="G23635"/>
      <c r="I23635"/>
      <c r="N23635"/>
      <c r="O23635" s="24"/>
      <c r="P23635"/>
      <c r="Q23635" s="24"/>
      <c r="R23635"/>
      <c r="S23635"/>
      <c r="T23635"/>
      <c r="U23635"/>
      <c r="X23635" s="60"/>
    </row>
    <row r="23636" spans="7:24" ht="15" customHeight="1">
      <c r="G23636"/>
      <c r="I23636"/>
      <c r="N23636"/>
      <c r="O23636" s="24"/>
      <c r="P23636"/>
      <c r="Q23636" s="24"/>
      <c r="R23636"/>
      <c r="S23636"/>
      <c r="T23636"/>
      <c r="U23636"/>
      <c r="X23636" s="60"/>
    </row>
    <row r="23637" spans="7:24" ht="15" customHeight="1">
      <c r="G23637"/>
      <c r="I23637"/>
      <c r="N23637"/>
      <c r="O23637" s="24"/>
      <c r="P23637"/>
      <c r="Q23637" s="24"/>
      <c r="R23637"/>
      <c r="S23637"/>
      <c r="T23637"/>
      <c r="U23637"/>
      <c r="X23637" s="60"/>
    </row>
    <row r="23638" spans="7:24" ht="15" customHeight="1">
      <c r="G23638"/>
      <c r="I23638"/>
      <c r="N23638"/>
      <c r="O23638" s="24"/>
      <c r="P23638"/>
      <c r="Q23638" s="24"/>
      <c r="R23638"/>
      <c r="S23638"/>
      <c r="T23638"/>
      <c r="U23638"/>
      <c r="X23638" s="60"/>
    </row>
    <row r="23639" spans="7:24" ht="15" customHeight="1">
      <c r="G23639"/>
      <c r="I23639"/>
      <c r="N23639"/>
      <c r="O23639" s="24"/>
      <c r="P23639"/>
      <c r="Q23639" s="24"/>
      <c r="R23639"/>
      <c r="S23639"/>
      <c r="T23639"/>
      <c r="U23639"/>
      <c r="X23639" s="60"/>
    </row>
    <row r="23640" spans="7:24" ht="15" customHeight="1">
      <c r="G23640"/>
      <c r="I23640"/>
      <c r="N23640"/>
      <c r="O23640" s="24"/>
      <c r="P23640"/>
      <c r="Q23640" s="24"/>
      <c r="R23640"/>
      <c r="S23640"/>
      <c r="T23640"/>
      <c r="U23640"/>
      <c r="X23640" s="60"/>
    </row>
    <row r="23641" spans="7:24" ht="15" customHeight="1">
      <c r="G23641"/>
      <c r="I23641"/>
      <c r="N23641"/>
      <c r="O23641" s="24"/>
      <c r="P23641"/>
      <c r="Q23641" s="24"/>
      <c r="R23641"/>
      <c r="S23641"/>
      <c r="T23641"/>
      <c r="U23641"/>
      <c r="X23641" s="60"/>
    </row>
    <row r="23642" spans="7:24" ht="15" customHeight="1">
      <c r="G23642"/>
      <c r="I23642"/>
      <c r="N23642"/>
      <c r="O23642" s="24"/>
      <c r="P23642"/>
      <c r="Q23642" s="24"/>
      <c r="R23642"/>
      <c r="S23642"/>
      <c r="T23642"/>
      <c r="U23642"/>
      <c r="X23642" s="60"/>
    </row>
    <row r="23643" spans="7:24" ht="15" customHeight="1">
      <c r="G23643"/>
      <c r="I23643"/>
      <c r="N23643"/>
      <c r="O23643" s="24"/>
      <c r="P23643"/>
      <c r="Q23643" s="24"/>
      <c r="R23643"/>
      <c r="S23643"/>
      <c r="T23643"/>
      <c r="U23643"/>
      <c r="X23643" s="60"/>
    </row>
    <row r="23644" spans="7:24" ht="15" customHeight="1">
      <c r="G23644"/>
      <c r="I23644"/>
      <c r="N23644"/>
      <c r="O23644" s="24"/>
      <c r="P23644"/>
      <c r="Q23644" s="24"/>
      <c r="R23644"/>
      <c r="S23644"/>
      <c r="T23644"/>
      <c r="U23644"/>
      <c r="X23644" s="60"/>
    </row>
    <row r="23645" spans="7:24" ht="15" customHeight="1">
      <c r="G23645"/>
      <c r="I23645"/>
      <c r="N23645"/>
      <c r="O23645" s="24"/>
      <c r="P23645"/>
      <c r="Q23645" s="24"/>
      <c r="R23645"/>
      <c r="S23645"/>
      <c r="T23645"/>
      <c r="U23645"/>
      <c r="X23645" s="60"/>
    </row>
    <row r="23646" spans="7:24" ht="15" customHeight="1">
      <c r="G23646"/>
      <c r="I23646"/>
      <c r="N23646"/>
      <c r="O23646" s="24"/>
      <c r="P23646"/>
      <c r="Q23646" s="24"/>
      <c r="R23646"/>
      <c r="S23646"/>
      <c r="T23646"/>
      <c r="U23646"/>
      <c r="X23646" s="60"/>
    </row>
    <row r="23647" spans="7:24" ht="15" customHeight="1">
      <c r="G23647"/>
      <c r="I23647"/>
      <c r="N23647"/>
      <c r="O23647" s="24"/>
      <c r="P23647"/>
      <c r="Q23647" s="24"/>
      <c r="R23647"/>
      <c r="S23647"/>
      <c r="T23647"/>
      <c r="U23647"/>
      <c r="X23647" s="60"/>
    </row>
    <row r="23648" spans="7:24" ht="15" customHeight="1">
      <c r="G23648"/>
      <c r="I23648"/>
      <c r="N23648"/>
      <c r="O23648" s="24"/>
      <c r="P23648"/>
      <c r="Q23648" s="24"/>
      <c r="R23648"/>
      <c r="S23648"/>
      <c r="T23648"/>
      <c r="U23648"/>
      <c r="X23648" s="60"/>
    </row>
    <row r="23649" spans="7:24" ht="15" customHeight="1">
      <c r="G23649"/>
      <c r="I23649"/>
      <c r="N23649"/>
      <c r="O23649" s="24"/>
      <c r="P23649"/>
      <c r="Q23649" s="24"/>
      <c r="R23649"/>
      <c r="S23649"/>
      <c r="T23649"/>
      <c r="U23649"/>
      <c r="X23649" s="60"/>
    </row>
    <row r="23650" spans="7:24" ht="15" customHeight="1">
      <c r="G23650"/>
      <c r="I23650"/>
      <c r="N23650"/>
      <c r="O23650" s="24"/>
      <c r="P23650"/>
      <c r="Q23650" s="24"/>
      <c r="R23650"/>
      <c r="S23650"/>
      <c r="T23650"/>
      <c r="U23650"/>
      <c r="X23650" s="60"/>
    </row>
    <row r="23651" spans="7:24" ht="15" customHeight="1">
      <c r="G23651"/>
      <c r="I23651"/>
      <c r="N23651"/>
      <c r="O23651" s="24"/>
      <c r="P23651"/>
      <c r="Q23651" s="24"/>
      <c r="R23651"/>
      <c r="S23651"/>
      <c r="T23651"/>
      <c r="U23651"/>
      <c r="X23651" s="60"/>
    </row>
    <row r="23652" spans="7:24" ht="15" customHeight="1">
      <c r="G23652"/>
      <c r="I23652"/>
      <c r="N23652"/>
      <c r="O23652" s="24"/>
      <c r="P23652"/>
      <c r="Q23652" s="24"/>
      <c r="R23652"/>
      <c r="S23652"/>
      <c r="T23652"/>
      <c r="U23652"/>
      <c r="X23652" s="60"/>
    </row>
    <row r="23653" spans="7:24" ht="15" customHeight="1">
      <c r="G23653"/>
      <c r="I23653"/>
      <c r="N23653"/>
      <c r="O23653" s="24"/>
      <c r="P23653"/>
      <c r="Q23653" s="24"/>
      <c r="R23653"/>
      <c r="S23653"/>
      <c r="T23653"/>
      <c r="U23653"/>
      <c r="X23653" s="60"/>
    </row>
    <row r="23654" spans="7:24" ht="15" customHeight="1">
      <c r="G23654"/>
      <c r="I23654"/>
      <c r="N23654"/>
      <c r="O23654" s="24"/>
      <c r="P23654"/>
      <c r="Q23654" s="24"/>
      <c r="R23654"/>
      <c r="S23654"/>
      <c r="T23654"/>
      <c r="U23654"/>
      <c r="X23654" s="60"/>
    </row>
    <row r="23655" spans="7:24" ht="15" customHeight="1">
      <c r="G23655"/>
      <c r="I23655"/>
      <c r="N23655"/>
      <c r="O23655" s="24"/>
      <c r="P23655"/>
      <c r="Q23655" s="24"/>
      <c r="R23655"/>
      <c r="S23655"/>
      <c r="T23655"/>
      <c r="U23655"/>
      <c r="X23655" s="60"/>
    </row>
    <row r="23656" spans="7:24" ht="15" customHeight="1">
      <c r="G23656"/>
      <c r="I23656"/>
      <c r="N23656"/>
      <c r="O23656" s="24"/>
      <c r="P23656"/>
      <c r="Q23656" s="24"/>
      <c r="R23656"/>
      <c r="S23656"/>
      <c r="T23656"/>
      <c r="U23656"/>
      <c r="X23656" s="60"/>
    </row>
    <row r="23657" spans="7:24" ht="15" customHeight="1">
      <c r="G23657"/>
      <c r="I23657"/>
      <c r="N23657"/>
      <c r="O23657" s="24"/>
      <c r="P23657"/>
      <c r="Q23657" s="24"/>
      <c r="R23657"/>
      <c r="S23657"/>
      <c r="T23657"/>
      <c r="U23657"/>
      <c r="X23657" s="60"/>
    </row>
    <row r="23658" spans="7:24" ht="15" customHeight="1">
      <c r="G23658"/>
      <c r="I23658"/>
      <c r="N23658"/>
      <c r="O23658" s="24"/>
      <c r="P23658"/>
      <c r="Q23658" s="24"/>
      <c r="R23658"/>
      <c r="S23658"/>
      <c r="T23658"/>
      <c r="U23658"/>
      <c r="X23658" s="60"/>
    </row>
    <row r="23659" spans="7:24" ht="15" customHeight="1">
      <c r="G23659"/>
      <c r="I23659"/>
      <c r="N23659"/>
      <c r="O23659" s="24"/>
      <c r="P23659"/>
      <c r="Q23659" s="24"/>
      <c r="R23659"/>
      <c r="S23659"/>
      <c r="T23659"/>
      <c r="U23659"/>
      <c r="X23659" s="60"/>
    </row>
    <row r="23660" spans="7:24" ht="15" customHeight="1">
      <c r="G23660"/>
      <c r="I23660"/>
      <c r="N23660"/>
      <c r="O23660" s="24"/>
      <c r="P23660"/>
      <c r="Q23660" s="24"/>
      <c r="R23660"/>
      <c r="S23660"/>
      <c r="T23660"/>
      <c r="U23660"/>
      <c r="X23660" s="60"/>
    </row>
    <row r="23661" spans="7:24" ht="15" customHeight="1">
      <c r="G23661"/>
      <c r="I23661"/>
      <c r="N23661"/>
      <c r="O23661" s="24"/>
      <c r="P23661"/>
      <c r="Q23661" s="24"/>
      <c r="R23661"/>
      <c r="S23661"/>
      <c r="T23661"/>
      <c r="U23661"/>
      <c r="X23661" s="60"/>
    </row>
    <row r="23662" spans="7:24" ht="15" customHeight="1">
      <c r="G23662"/>
      <c r="I23662"/>
      <c r="N23662"/>
      <c r="O23662" s="24"/>
      <c r="P23662"/>
      <c r="Q23662" s="24"/>
      <c r="R23662"/>
      <c r="S23662"/>
      <c r="T23662"/>
      <c r="U23662"/>
      <c r="X23662" s="60"/>
    </row>
    <row r="23663" spans="7:24" ht="15" customHeight="1">
      <c r="G23663"/>
      <c r="I23663"/>
      <c r="N23663"/>
      <c r="O23663" s="24"/>
      <c r="P23663"/>
      <c r="Q23663" s="24"/>
      <c r="R23663"/>
      <c r="S23663"/>
      <c r="T23663"/>
      <c r="U23663"/>
      <c r="X23663" s="60"/>
    </row>
    <row r="23664" spans="7:24" ht="15" customHeight="1">
      <c r="G23664"/>
      <c r="I23664"/>
      <c r="N23664"/>
      <c r="O23664" s="24"/>
      <c r="P23664"/>
      <c r="Q23664" s="24"/>
      <c r="R23664"/>
      <c r="S23664"/>
      <c r="T23664"/>
      <c r="U23664"/>
      <c r="X23664" s="60"/>
    </row>
    <row r="23665" spans="7:24" ht="15" customHeight="1">
      <c r="G23665"/>
      <c r="I23665"/>
      <c r="N23665"/>
      <c r="O23665" s="24"/>
      <c r="P23665"/>
      <c r="Q23665" s="24"/>
      <c r="R23665"/>
      <c r="S23665"/>
      <c r="T23665"/>
      <c r="U23665"/>
      <c r="X23665" s="60"/>
    </row>
    <row r="23666" spans="7:24" ht="15" customHeight="1">
      <c r="G23666"/>
      <c r="I23666"/>
      <c r="N23666"/>
      <c r="O23666" s="24"/>
      <c r="P23666"/>
      <c r="Q23666" s="24"/>
      <c r="R23666"/>
      <c r="S23666"/>
      <c r="T23666"/>
      <c r="U23666"/>
      <c r="X23666" s="60"/>
    </row>
    <row r="23667" spans="7:24" ht="15" customHeight="1">
      <c r="G23667"/>
      <c r="I23667"/>
      <c r="N23667"/>
      <c r="O23667" s="24"/>
      <c r="P23667"/>
      <c r="Q23667" s="24"/>
      <c r="R23667"/>
      <c r="S23667"/>
      <c r="T23667"/>
      <c r="U23667"/>
      <c r="X23667" s="60"/>
    </row>
    <row r="23668" spans="7:24" ht="15" customHeight="1">
      <c r="G23668"/>
      <c r="I23668"/>
      <c r="N23668"/>
      <c r="O23668" s="24"/>
      <c r="P23668"/>
      <c r="Q23668" s="24"/>
      <c r="R23668"/>
      <c r="S23668"/>
      <c r="T23668"/>
      <c r="U23668"/>
      <c r="X23668" s="60"/>
    </row>
    <row r="23669" spans="7:24" ht="15" customHeight="1">
      <c r="G23669"/>
      <c r="I23669"/>
      <c r="N23669"/>
      <c r="O23669" s="24"/>
      <c r="P23669"/>
      <c r="Q23669" s="24"/>
      <c r="R23669"/>
      <c r="S23669"/>
      <c r="T23669"/>
      <c r="U23669"/>
      <c r="X23669" s="60"/>
    </row>
    <row r="23670" spans="7:24" ht="15" customHeight="1">
      <c r="G23670"/>
      <c r="I23670"/>
      <c r="N23670"/>
      <c r="O23670" s="24"/>
      <c r="P23670"/>
      <c r="Q23670" s="24"/>
      <c r="R23670"/>
      <c r="S23670"/>
      <c r="T23670"/>
      <c r="U23670"/>
      <c r="X23670" s="60"/>
    </row>
    <row r="23671" spans="7:24" ht="15" customHeight="1">
      <c r="G23671"/>
      <c r="I23671"/>
      <c r="N23671"/>
      <c r="O23671" s="24"/>
      <c r="P23671"/>
      <c r="Q23671" s="24"/>
      <c r="R23671"/>
      <c r="S23671"/>
      <c r="T23671"/>
      <c r="U23671"/>
      <c r="X23671" s="60"/>
    </row>
    <row r="23672" spans="7:24" ht="15" customHeight="1">
      <c r="G23672"/>
      <c r="I23672"/>
      <c r="N23672"/>
      <c r="O23672" s="24"/>
      <c r="P23672"/>
      <c r="Q23672" s="24"/>
      <c r="R23672"/>
      <c r="S23672"/>
      <c r="T23672"/>
      <c r="U23672"/>
      <c r="X23672" s="60"/>
    </row>
    <row r="23673" spans="7:24" ht="15" customHeight="1">
      <c r="G23673"/>
      <c r="I23673"/>
      <c r="N23673"/>
      <c r="O23673" s="24"/>
      <c r="P23673"/>
      <c r="Q23673" s="24"/>
      <c r="R23673"/>
      <c r="S23673"/>
      <c r="T23673"/>
      <c r="U23673"/>
      <c r="X23673" s="60"/>
    </row>
    <row r="23674" spans="7:24" ht="15" customHeight="1">
      <c r="G23674"/>
      <c r="I23674"/>
      <c r="N23674"/>
      <c r="O23674" s="24"/>
      <c r="P23674"/>
      <c r="Q23674" s="24"/>
      <c r="R23674"/>
      <c r="S23674"/>
      <c r="T23674"/>
      <c r="U23674"/>
      <c r="X23674" s="60"/>
    </row>
    <row r="23675" spans="7:24" ht="15" customHeight="1">
      <c r="G23675"/>
      <c r="I23675"/>
      <c r="N23675"/>
      <c r="O23675" s="24"/>
      <c r="P23675"/>
      <c r="Q23675" s="24"/>
      <c r="R23675"/>
      <c r="S23675"/>
      <c r="T23675"/>
      <c r="U23675"/>
      <c r="X23675" s="60"/>
    </row>
    <row r="23676" spans="7:24" ht="15" customHeight="1">
      <c r="G23676"/>
      <c r="I23676"/>
      <c r="N23676"/>
      <c r="O23676" s="24"/>
      <c r="P23676"/>
      <c r="Q23676" s="24"/>
      <c r="R23676"/>
      <c r="S23676"/>
      <c r="T23676"/>
      <c r="U23676"/>
      <c r="X23676" s="60"/>
    </row>
    <row r="23677" spans="7:24" ht="15" customHeight="1">
      <c r="G23677"/>
      <c r="I23677"/>
      <c r="N23677"/>
      <c r="O23677" s="24"/>
      <c r="P23677"/>
      <c r="Q23677" s="24"/>
      <c r="R23677"/>
      <c r="S23677"/>
      <c r="T23677"/>
      <c r="U23677"/>
      <c r="X23677" s="60"/>
    </row>
    <row r="23678" spans="7:24" ht="15" customHeight="1">
      <c r="G23678"/>
      <c r="I23678"/>
      <c r="N23678"/>
      <c r="O23678" s="24"/>
      <c r="P23678"/>
      <c r="Q23678" s="24"/>
      <c r="R23678"/>
      <c r="S23678"/>
      <c r="T23678"/>
      <c r="U23678"/>
      <c r="X23678" s="60"/>
    </row>
    <row r="23679" spans="7:24" ht="15" customHeight="1">
      <c r="G23679"/>
      <c r="I23679"/>
      <c r="N23679"/>
      <c r="O23679" s="24"/>
      <c r="P23679"/>
      <c r="Q23679" s="24"/>
      <c r="R23679"/>
      <c r="S23679"/>
      <c r="T23679"/>
      <c r="U23679"/>
      <c r="X23679" s="60"/>
    </row>
    <row r="23680" spans="7:24" ht="15" customHeight="1">
      <c r="G23680"/>
      <c r="I23680"/>
      <c r="N23680"/>
      <c r="O23680" s="24"/>
      <c r="P23680"/>
      <c r="Q23680" s="24"/>
      <c r="R23680"/>
      <c r="S23680"/>
      <c r="T23680"/>
      <c r="U23680"/>
      <c r="X23680" s="60"/>
    </row>
    <row r="23681" spans="7:24" ht="15" customHeight="1">
      <c r="G23681"/>
      <c r="I23681"/>
      <c r="N23681"/>
      <c r="O23681" s="24"/>
      <c r="P23681"/>
      <c r="Q23681" s="24"/>
      <c r="R23681"/>
      <c r="S23681"/>
      <c r="T23681"/>
      <c r="U23681"/>
      <c r="X23681" s="60"/>
    </row>
    <row r="23682" spans="7:24" ht="15" customHeight="1">
      <c r="G23682"/>
      <c r="I23682"/>
      <c r="N23682"/>
      <c r="O23682" s="24"/>
      <c r="P23682"/>
      <c r="Q23682" s="24"/>
      <c r="R23682"/>
      <c r="S23682"/>
      <c r="T23682"/>
      <c r="U23682"/>
      <c r="X23682" s="60"/>
    </row>
    <row r="23683" spans="7:24" ht="15" customHeight="1">
      <c r="G23683"/>
      <c r="I23683"/>
      <c r="N23683"/>
      <c r="O23683" s="24"/>
      <c r="P23683"/>
      <c r="Q23683" s="24"/>
      <c r="R23683"/>
      <c r="S23683"/>
      <c r="T23683"/>
      <c r="U23683"/>
      <c r="X23683" s="60"/>
    </row>
    <row r="23684" spans="7:24" ht="15" customHeight="1">
      <c r="G23684"/>
      <c r="I23684"/>
      <c r="N23684"/>
      <c r="O23684" s="24"/>
      <c r="P23684"/>
      <c r="Q23684" s="24"/>
      <c r="R23684"/>
      <c r="S23684"/>
      <c r="T23684"/>
      <c r="U23684"/>
      <c r="X23684" s="60"/>
    </row>
    <row r="23685" spans="7:24" ht="15" customHeight="1">
      <c r="G23685"/>
      <c r="I23685"/>
      <c r="N23685"/>
      <c r="O23685" s="24"/>
      <c r="P23685"/>
      <c r="Q23685" s="24"/>
      <c r="R23685"/>
      <c r="S23685"/>
      <c r="T23685"/>
      <c r="U23685"/>
      <c r="X23685" s="60"/>
    </row>
    <row r="23686" spans="7:24" ht="15" customHeight="1">
      <c r="G23686"/>
      <c r="I23686"/>
      <c r="N23686"/>
      <c r="O23686" s="24"/>
      <c r="P23686"/>
      <c r="Q23686" s="24"/>
      <c r="R23686"/>
      <c r="S23686"/>
      <c r="T23686"/>
      <c r="U23686"/>
      <c r="X23686" s="60"/>
    </row>
    <row r="23687" spans="7:24" ht="15" customHeight="1">
      <c r="G23687"/>
      <c r="I23687"/>
      <c r="N23687"/>
      <c r="O23687" s="24"/>
      <c r="P23687"/>
      <c r="Q23687" s="24"/>
      <c r="R23687"/>
      <c r="S23687"/>
      <c r="T23687"/>
      <c r="U23687"/>
      <c r="X23687" s="60"/>
    </row>
    <row r="23688" spans="7:24" ht="15" customHeight="1">
      <c r="G23688"/>
      <c r="I23688"/>
      <c r="N23688"/>
      <c r="O23688" s="24"/>
      <c r="P23688"/>
      <c r="Q23688" s="24"/>
      <c r="R23688"/>
      <c r="S23688"/>
      <c r="T23688"/>
      <c r="U23688"/>
      <c r="X23688" s="60"/>
    </row>
    <row r="23689" spans="7:24" ht="15" customHeight="1">
      <c r="G23689"/>
      <c r="I23689"/>
      <c r="N23689"/>
      <c r="O23689" s="24"/>
      <c r="P23689"/>
      <c r="Q23689" s="24"/>
      <c r="R23689"/>
      <c r="S23689"/>
      <c r="T23689"/>
      <c r="U23689"/>
      <c r="X23689" s="60"/>
    </row>
    <row r="23690" spans="7:24" ht="15" customHeight="1">
      <c r="G23690"/>
      <c r="I23690"/>
      <c r="N23690"/>
      <c r="O23690" s="24"/>
      <c r="P23690"/>
      <c r="Q23690" s="24"/>
      <c r="R23690"/>
      <c r="S23690"/>
      <c r="T23690"/>
      <c r="U23690"/>
      <c r="X23690" s="60"/>
    </row>
    <row r="23691" spans="7:24" ht="15" customHeight="1">
      <c r="G23691"/>
      <c r="I23691"/>
      <c r="N23691"/>
      <c r="O23691" s="24"/>
      <c r="P23691"/>
      <c r="Q23691" s="24"/>
      <c r="R23691"/>
      <c r="S23691"/>
      <c r="T23691"/>
      <c r="U23691"/>
      <c r="X23691" s="60"/>
    </row>
    <row r="23692" spans="7:24" ht="15" customHeight="1">
      <c r="G23692"/>
      <c r="I23692"/>
      <c r="N23692"/>
      <c r="O23692" s="24"/>
      <c r="P23692"/>
      <c r="Q23692" s="24"/>
      <c r="R23692"/>
      <c r="S23692"/>
      <c r="T23692"/>
      <c r="U23692"/>
      <c r="X23692" s="60"/>
    </row>
    <row r="23693" spans="7:24" ht="15" customHeight="1">
      <c r="G23693"/>
      <c r="I23693"/>
      <c r="N23693"/>
      <c r="O23693" s="24"/>
      <c r="P23693"/>
      <c r="Q23693" s="24"/>
      <c r="R23693"/>
      <c r="S23693"/>
      <c r="T23693"/>
      <c r="U23693"/>
      <c r="X23693" s="60"/>
    </row>
    <row r="23694" spans="7:24" ht="15" customHeight="1">
      <c r="G23694"/>
      <c r="I23694"/>
      <c r="N23694"/>
      <c r="O23694" s="24"/>
      <c r="P23694"/>
      <c r="Q23694" s="24"/>
      <c r="R23694"/>
      <c r="S23694"/>
      <c r="T23694"/>
      <c r="U23694"/>
      <c r="X23694" s="60"/>
    </row>
    <row r="23695" spans="7:24" ht="15" customHeight="1">
      <c r="G23695"/>
      <c r="I23695"/>
      <c r="N23695"/>
      <c r="O23695" s="24"/>
      <c r="P23695"/>
      <c r="Q23695" s="24"/>
      <c r="R23695"/>
      <c r="S23695"/>
      <c r="T23695"/>
      <c r="U23695"/>
      <c r="X23695" s="60"/>
    </row>
    <row r="23696" spans="7:24" ht="15" customHeight="1">
      <c r="G23696"/>
      <c r="I23696"/>
      <c r="N23696"/>
      <c r="O23696" s="24"/>
      <c r="P23696"/>
      <c r="Q23696" s="24"/>
      <c r="R23696"/>
      <c r="S23696"/>
      <c r="T23696"/>
      <c r="U23696"/>
      <c r="X23696" s="60"/>
    </row>
    <row r="23697" spans="7:24" ht="15" customHeight="1">
      <c r="G23697"/>
      <c r="I23697"/>
      <c r="N23697"/>
      <c r="O23697" s="24"/>
      <c r="P23697"/>
      <c r="Q23697" s="24"/>
      <c r="R23697"/>
      <c r="S23697"/>
      <c r="T23697"/>
      <c r="U23697"/>
      <c r="X23697" s="60"/>
    </row>
    <row r="23698" spans="7:24" ht="15" customHeight="1">
      <c r="G23698"/>
      <c r="I23698"/>
      <c r="N23698"/>
      <c r="O23698" s="24"/>
      <c r="P23698"/>
      <c r="Q23698" s="24"/>
      <c r="R23698"/>
      <c r="S23698"/>
      <c r="T23698"/>
      <c r="U23698"/>
      <c r="X23698" s="60"/>
    </row>
    <row r="23699" spans="7:24" ht="15" customHeight="1">
      <c r="G23699"/>
      <c r="I23699"/>
      <c r="N23699"/>
      <c r="O23699" s="24"/>
      <c r="P23699"/>
      <c r="Q23699" s="24"/>
      <c r="R23699"/>
      <c r="S23699"/>
      <c r="T23699"/>
      <c r="U23699"/>
      <c r="X23699" s="60"/>
    </row>
    <row r="23700" spans="7:24" ht="15" customHeight="1">
      <c r="G23700"/>
      <c r="I23700"/>
      <c r="N23700"/>
      <c r="O23700" s="24"/>
      <c r="P23700"/>
      <c r="Q23700" s="24"/>
      <c r="R23700"/>
      <c r="S23700"/>
      <c r="T23700"/>
      <c r="U23700"/>
      <c r="X23700" s="60"/>
    </row>
    <row r="23701" spans="7:24" ht="15" customHeight="1">
      <c r="G23701"/>
      <c r="I23701"/>
      <c r="N23701"/>
      <c r="O23701" s="24"/>
      <c r="P23701"/>
      <c r="Q23701" s="24"/>
      <c r="R23701"/>
      <c r="S23701"/>
      <c r="T23701"/>
      <c r="U23701"/>
      <c r="X23701" s="60"/>
    </row>
    <row r="23702" spans="7:24" ht="15" customHeight="1">
      <c r="G23702"/>
      <c r="I23702"/>
      <c r="N23702"/>
      <c r="O23702" s="24"/>
      <c r="P23702"/>
      <c r="Q23702" s="24"/>
      <c r="R23702"/>
      <c r="S23702"/>
      <c r="T23702"/>
      <c r="U23702"/>
      <c r="X23702" s="60"/>
    </row>
    <row r="23703" spans="7:24" ht="15" customHeight="1">
      <c r="G23703"/>
      <c r="I23703"/>
      <c r="N23703"/>
      <c r="O23703" s="24"/>
      <c r="P23703"/>
      <c r="Q23703" s="24"/>
      <c r="R23703"/>
      <c r="S23703"/>
      <c r="T23703"/>
      <c r="U23703"/>
      <c r="X23703" s="60"/>
    </row>
    <row r="23704" spans="7:24" ht="15" customHeight="1">
      <c r="G23704"/>
      <c r="I23704"/>
      <c r="N23704"/>
      <c r="O23704" s="24"/>
      <c r="P23704"/>
      <c r="Q23704" s="24"/>
      <c r="R23704"/>
      <c r="S23704"/>
      <c r="T23704"/>
      <c r="U23704"/>
      <c r="X23704" s="60"/>
    </row>
    <row r="23705" spans="7:24" ht="15" customHeight="1">
      <c r="G23705"/>
      <c r="I23705"/>
      <c r="N23705"/>
      <c r="O23705" s="24"/>
      <c r="P23705"/>
      <c r="Q23705" s="24"/>
      <c r="R23705"/>
      <c r="S23705"/>
      <c r="T23705"/>
      <c r="U23705"/>
      <c r="X23705" s="60"/>
    </row>
    <row r="23706" spans="7:24" ht="15" customHeight="1">
      <c r="G23706"/>
      <c r="I23706"/>
      <c r="N23706"/>
      <c r="O23706" s="24"/>
      <c r="P23706"/>
      <c r="Q23706" s="24"/>
      <c r="R23706"/>
      <c r="S23706"/>
      <c r="T23706"/>
      <c r="U23706"/>
      <c r="X23706" s="60"/>
    </row>
    <row r="23707" spans="7:24" ht="15" customHeight="1">
      <c r="G23707"/>
      <c r="I23707"/>
      <c r="N23707"/>
      <c r="O23707" s="24"/>
      <c r="P23707"/>
      <c r="Q23707" s="24"/>
      <c r="R23707"/>
      <c r="S23707"/>
      <c r="T23707"/>
      <c r="U23707"/>
      <c r="X23707" s="60"/>
    </row>
    <row r="23708" spans="7:24" ht="15" customHeight="1">
      <c r="G23708"/>
      <c r="I23708"/>
      <c r="N23708"/>
      <c r="O23708" s="24"/>
      <c r="P23708"/>
      <c r="Q23708" s="24"/>
      <c r="R23708"/>
      <c r="S23708"/>
      <c r="T23708"/>
      <c r="U23708"/>
      <c r="X23708" s="60"/>
    </row>
    <row r="23709" spans="7:24" ht="15" customHeight="1">
      <c r="G23709"/>
      <c r="I23709"/>
      <c r="N23709"/>
      <c r="O23709" s="24"/>
      <c r="P23709"/>
      <c r="Q23709" s="24"/>
      <c r="R23709"/>
      <c r="S23709"/>
      <c r="T23709"/>
      <c r="U23709"/>
      <c r="X23709" s="60"/>
    </row>
    <row r="23710" spans="7:24" ht="15" customHeight="1">
      <c r="G23710"/>
      <c r="I23710"/>
      <c r="N23710"/>
      <c r="O23710" s="24"/>
      <c r="P23710"/>
      <c r="Q23710" s="24"/>
      <c r="R23710"/>
      <c r="S23710"/>
      <c r="T23710"/>
      <c r="U23710"/>
      <c r="X23710" s="60"/>
    </row>
    <row r="23711" spans="7:24" ht="15" customHeight="1">
      <c r="G23711"/>
      <c r="I23711"/>
      <c r="N23711"/>
      <c r="O23711" s="24"/>
      <c r="P23711"/>
      <c r="Q23711" s="24"/>
      <c r="R23711"/>
      <c r="S23711"/>
      <c r="T23711"/>
      <c r="U23711"/>
      <c r="X23711" s="60"/>
    </row>
    <row r="23712" spans="7:24" ht="15" customHeight="1">
      <c r="G23712"/>
      <c r="I23712"/>
      <c r="N23712"/>
      <c r="O23712" s="24"/>
      <c r="P23712"/>
      <c r="Q23712" s="24"/>
      <c r="R23712"/>
      <c r="S23712"/>
      <c r="T23712"/>
      <c r="U23712"/>
      <c r="X23712" s="60"/>
    </row>
    <row r="23713" spans="7:24" ht="15" customHeight="1">
      <c r="G23713"/>
      <c r="I23713"/>
      <c r="N23713"/>
      <c r="O23713" s="24"/>
      <c r="P23713"/>
      <c r="Q23713" s="24"/>
      <c r="R23713"/>
      <c r="S23713"/>
      <c r="T23713"/>
      <c r="U23713"/>
      <c r="X23713" s="60"/>
    </row>
    <row r="23714" spans="7:24" ht="15" customHeight="1">
      <c r="G23714"/>
      <c r="I23714"/>
      <c r="N23714"/>
      <c r="O23714" s="24"/>
      <c r="P23714"/>
      <c r="Q23714" s="24"/>
      <c r="R23714"/>
      <c r="S23714"/>
      <c r="T23714"/>
      <c r="U23714"/>
      <c r="X23714" s="60"/>
    </row>
    <row r="23715" spans="7:24" ht="15" customHeight="1">
      <c r="G23715"/>
      <c r="I23715"/>
      <c r="N23715"/>
      <c r="O23715" s="24"/>
      <c r="P23715"/>
      <c r="Q23715" s="24"/>
      <c r="R23715"/>
      <c r="S23715"/>
      <c r="T23715"/>
      <c r="U23715"/>
      <c r="X23715" s="60"/>
    </row>
    <row r="23716" spans="7:24" ht="15" customHeight="1">
      <c r="G23716"/>
      <c r="I23716"/>
      <c r="N23716"/>
      <c r="O23716" s="24"/>
      <c r="P23716"/>
      <c r="Q23716" s="24"/>
      <c r="R23716"/>
      <c r="S23716"/>
      <c r="T23716"/>
      <c r="U23716"/>
      <c r="X23716" s="60"/>
    </row>
    <row r="23717" spans="7:24" ht="15" customHeight="1">
      <c r="G23717"/>
      <c r="I23717"/>
      <c r="N23717"/>
      <c r="O23717" s="24"/>
      <c r="P23717"/>
      <c r="Q23717" s="24"/>
      <c r="R23717"/>
      <c r="S23717"/>
      <c r="T23717"/>
      <c r="U23717"/>
      <c r="X23717" s="60"/>
    </row>
    <row r="23718" spans="7:24" ht="15" customHeight="1">
      <c r="G23718"/>
      <c r="I23718"/>
      <c r="N23718"/>
      <c r="O23718" s="24"/>
      <c r="P23718"/>
      <c r="Q23718" s="24"/>
      <c r="R23718"/>
      <c r="S23718"/>
      <c r="T23718"/>
      <c r="U23718"/>
      <c r="X23718" s="60"/>
    </row>
    <row r="23719" spans="7:24" ht="15" customHeight="1">
      <c r="G23719"/>
      <c r="I23719"/>
      <c r="N23719"/>
      <c r="O23719" s="24"/>
      <c r="P23719"/>
      <c r="Q23719" s="24"/>
      <c r="R23719"/>
      <c r="S23719"/>
      <c r="T23719"/>
      <c r="U23719"/>
      <c r="X23719" s="60"/>
    </row>
    <row r="23720" spans="7:24" ht="15" customHeight="1">
      <c r="G23720"/>
      <c r="I23720"/>
      <c r="N23720"/>
      <c r="O23720" s="24"/>
      <c r="P23720"/>
      <c r="Q23720" s="24"/>
      <c r="R23720"/>
      <c r="S23720"/>
      <c r="T23720"/>
      <c r="U23720"/>
      <c r="X23720" s="60"/>
    </row>
    <row r="23721" spans="7:24" ht="15" customHeight="1">
      <c r="G23721"/>
      <c r="I23721"/>
      <c r="N23721"/>
      <c r="O23721" s="24"/>
      <c r="P23721"/>
      <c r="Q23721" s="24"/>
      <c r="R23721"/>
      <c r="S23721"/>
      <c r="T23721"/>
      <c r="U23721"/>
      <c r="X23721" s="60"/>
    </row>
    <row r="23722" spans="7:24" ht="15" customHeight="1">
      <c r="G23722"/>
      <c r="I23722"/>
      <c r="N23722"/>
      <c r="O23722" s="24"/>
      <c r="P23722"/>
      <c r="Q23722" s="24"/>
      <c r="R23722"/>
      <c r="S23722"/>
      <c r="T23722"/>
      <c r="U23722"/>
      <c r="X23722" s="60"/>
    </row>
    <row r="23723" spans="7:24" ht="15" customHeight="1">
      <c r="G23723"/>
      <c r="I23723"/>
      <c r="N23723"/>
      <c r="O23723" s="24"/>
      <c r="P23723"/>
      <c r="Q23723" s="24"/>
      <c r="R23723"/>
      <c r="S23723"/>
      <c r="T23723"/>
      <c r="U23723"/>
      <c r="X23723" s="60"/>
    </row>
    <row r="23724" spans="7:24" ht="15" customHeight="1">
      <c r="G23724"/>
      <c r="I23724"/>
      <c r="N23724"/>
      <c r="O23724" s="24"/>
      <c r="P23724"/>
      <c r="Q23724" s="24"/>
      <c r="R23724"/>
      <c r="S23724"/>
      <c r="T23724"/>
      <c r="U23724"/>
      <c r="X23724" s="60"/>
    </row>
    <row r="23725" spans="7:24" ht="15" customHeight="1">
      <c r="G23725"/>
      <c r="I23725"/>
      <c r="N23725"/>
      <c r="O23725" s="24"/>
      <c r="P23725"/>
      <c r="Q23725" s="24"/>
      <c r="R23725"/>
      <c r="S23725"/>
      <c r="T23725"/>
      <c r="U23725"/>
      <c r="X23725" s="60"/>
    </row>
    <row r="23726" spans="7:24" ht="15" customHeight="1">
      <c r="G23726"/>
      <c r="I23726"/>
      <c r="N23726"/>
      <c r="O23726" s="24"/>
      <c r="P23726"/>
      <c r="Q23726" s="24"/>
      <c r="R23726"/>
      <c r="S23726"/>
      <c r="T23726"/>
      <c r="U23726"/>
      <c r="X23726" s="60"/>
    </row>
    <row r="23727" spans="7:24" ht="15" customHeight="1">
      <c r="G23727"/>
      <c r="I23727"/>
      <c r="N23727"/>
      <c r="O23727" s="24"/>
      <c r="P23727"/>
      <c r="Q23727" s="24"/>
      <c r="R23727"/>
      <c r="S23727"/>
      <c r="T23727"/>
      <c r="U23727"/>
      <c r="X23727" s="60"/>
    </row>
    <row r="23728" spans="7:24" ht="15" customHeight="1">
      <c r="G23728"/>
      <c r="I23728"/>
      <c r="N23728"/>
      <c r="O23728" s="24"/>
      <c r="P23728"/>
      <c r="Q23728" s="24"/>
      <c r="R23728"/>
      <c r="S23728"/>
      <c r="T23728"/>
      <c r="U23728"/>
      <c r="X23728" s="60"/>
    </row>
    <row r="23729" spans="7:24" ht="15" customHeight="1">
      <c r="G23729"/>
      <c r="I23729"/>
      <c r="N23729"/>
      <c r="O23729" s="24"/>
      <c r="P23729"/>
      <c r="Q23729" s="24"/>
      <c r="R23729"/>
      <c r="S23729"/>
      <c r="T23729"/>
      <c r="U23729"/>
      <c r="X23729" s="60"/>
    </row>
    <row r="23730" spans="7:24" ht="15" customHeight="1">
      <c r="G23730"/>
      <c r="I23730"/>
      <c r="N23730"/>
      <c r="O23730" s="24"/>
      <c r="P23730"/>
      <c r="Q23730" s="24"/>
      <c r="R23730"/>
      <c r="S23730"/>
      <c r="T23730"/>
      <c r="U23730"/>
      <c r="X23730" s="60"/>
    </row>
    <row r="23731" spans="7:24" ht="15" customHeight="1">
      <c r="G23731"/>
      <c r="I23731"/>
      <c r="N23731"/>
      <c r="O23731" s="24"/>
      <c r="P23731"/>
      <c r="Q23731" s="24"/>
      <c r="R23731"/>
      <c r="S23731"/>
      <c r="T23731"/>
      <c r="U23731"/>
      <c r="X23731" s="60"/>
    </row>
    <row r="23732" spans="7:24" ht="15" customHeight="1">
      <c r="G23732"/>
      <c r="I23732"/>
      <c r="N23732"/>
      <c r="O23732" s="24"/>
      <c r="P23732"/>
      <c r="Q23732" s="24"/>
      <c r="R23732"/>
      <c r="S23732"/>
      <c r="T23732"/>
      <c r="U23732"/>
      <c r="X23732" s="60"/>
    </row>
    <row r="23733" spans="7:24" ht="15" customHeight="1">
      <c r="G23733"/>
      <c r="I23733"/>
      <c r="N23733"/>
      <c r="O23733" s="24"/>
      <c r="P23733"/>
      <c r="Q23733" s="24"/>
      <c r="R23733"/>
      <c r="S23733"/>
      <c r="T23733"/>
      <c r="U23733"/>
      <c r="X23733" s="60"/>
    </row>
    <row r="23734" spans="7:24" ht="15" customHeight="1">
      <c r="G23734"/>
      <c r="I23734"/>
      <c r="N23734"/>
      <c r="O23734" s="24"/>
      <c r="P23734"/>
      <c r="Q23734" s="24"/>
      <c r="R23734"/>
      <c r="S23734"/>
      <c r="T23734"/>
      <c r="U23734"/>
      <c r="X23734" s="60"/>
    </row>
    <row r="23735" spans="7:24" ht="15" customHeight="1">
      <c r="G23735"/>
      <c r="I23735"/>
      <c r="N23735"/>
      <c r="O23735" s="24"/>
      <c r="P23735"/>
      <c r="Q23735" s="24"/>
      <c r="R23735"/>
      <c r="S23735"/>
      <c r="T23735"/>
      <c r="U23735"/>
      <c r="X23735" s="60"/>
    </row>
    <row r="23736" spans="7:24" ht="15" customHeight="1">
      <c r="G23736"/>
      <c r="I23736"/>
      <c r="N23736"/>
      <c r="O23736" s="24"/>
      <c r="P23736"/>
      <c r="Q23736" s="24"/>
      <c r="R23736"/>
      <c r="S23736"/>
      <c r="T23736"/>
      <c r="U23736"/>
      <c r="X23736" s="60"/>
    </row>
    <row r="23737" spans="7:24" ht="15" customHeight="1">
      <c r="G23737"/>
      <c r="I23737"/>
      <c r="N23737"/>
      <c r="O23737" s="24"/>
      <c r="P23737"/>
      <c r="Q23737" s="24"/>
      <c r="R23737"/>
      <c r="S23737"/>
      <c r="T23737"/>
      <c r="U23737"/>
      <c r="X23737" s="60"/>
    </row>
    <row r="23738" spans="7:24" ht="15" customHeight="1">
      <c r="G23738"/>
      <c r="I23738"/>
      <c r="N23738"/>
      <c r="O23738" s="24"/>
      <c r="P23738"/>
      <c r="Q23738" s="24"/>
      <c r="R23738"/>
      <c r="S23738"/>
      <c r="T23738"/>
      <c r="U23738"/>
      <c r="X23738" s="60"/>
    </row>
    <row r="23739" spans="7:24" ht="15" customHeight="1">
      <c r="G23739"/>
      <c r="I23739"/>
      <c r="N23739"/>
      <c r="O23739" s="24"/>
      <c r="P23739"/>
      <c r="Q23739" s="24"/>
      <c r="R23739"/>
      <c r="S23739"/>
      <c r="T23739"/>
      <c r="U23739"/>
      <c r="X23739" s="60"/>
    </row>
    <row r="23740" spans="7:24" ht="15" customHeight="1">
      <c r="G23740"/>
      <c r="I23740"/>
      <c r="N23740"/>
      <c r="O23740" s="24"/>
      <c r="P23740"/>
      <c r="Q23740" s="24"/>
      <c r="R23740"/>
      <c r="S23740"/>
      <c r="T23740"/>
      <c r="U23740"/>
      <c r="X23740" s="60"/>
    </row>
    <row r="23741" spans="7:24" ht="15" customHeight="1">
      <c r="G23741"/>
      <c r="I23741"/>
      <c r="N23741"/>
      <c r="O23741" s="24"/>
      <c r="P23741"/>
      <c r="Q23741" s="24"/>
      <c r="R23741"/>
      <c r="S23741"/>
      <c r="T23741"/>
      <c r="U23741"/>
      <c r="X23741" s="60"/>
    </row>
    <row r="23742" spans="7:24" ht="15" customHeight="1">
      <c r="G23742"/>
      <c r="I23742"/>
      <c r="N23742"/>
      <c r="O23742" s="24"/>
      <c r="P23742"/>
      <c r="Q23742" s="24"/>
      <c r="R23742"/>
      <c r="S23742"/>
      <c r="T23742"/>
      <c r="U23742"/>
      <c r="X23742" s="60"/>
    </row>
    <row r="23743" spans="7:24" ht="15" customHeight="1">
      <c r="G23743"/>
      <c r="I23743"/>
      <c r="N23743"/>
      <c r="O23743" s="24"/>
      <c r="P23743"/>
      <c r="Q23743" s="24"/>
      <c r="R23743"/>
      <c r="S23743"/>
      <c r="T23743"/>
      <c r="U23743"/>
      <c r="X23743" s="60"/>
    </row>
    <row r="23744" spans="7:24" ht="15" customHeight="1">
      <c r="G23744"/>
      <c r="I23744"/>
      <c r="N23744"/>
      <c r="O23744" s="24"/>
      <c r="P23744"/>
      <c r="Q23744" s="24"/>
      <c r="R23744"/>
      <c r="S23744"/>
      <c r="T23744"/>
      <c r="U23744"/>
      <c r="X23744" s="60"/>
    </row>
    <row r="23745" spans="7:24" ht="15" customHeight="1">
      <c r="G23745"/>
      <c r="I23745"/>
      <c r="N23745"/>
      <c r="O23745" s="24"/>
      <c r="P23745"/>
      <c r="Q23745" s="24"/>
      <c r="R23745"/>
      <c r="S23745"/>
      <c r="T23745"/>
      <c r="U23745"/>
      <c r="X23745" s="60"/>
    </row>
    <row r="23746" spans="7:24" ht="15" customHeight="1">
      <c r="G23746"/>
      <c r="I23746"/>
      <c r="N23746"/>
      <c r="O23746" s="24"/>
      <c r="P23746"/>
      <c r="Q23746" s="24"/>
      <c r="R23746"/>
      <c r="S23746"/>
      <c r="T23746"/>
      <c r="U23746"/>
      <c r="X23746" s="60"/>
    </row>
    <row r="23747" spans="7:24" ht="15" customHeight="1">
      <c r="G23747"/>
      <c r="I23747"/>
      <c r="N23747"/>
      <c r="O23747" s="24"/>
      <c r="P23747"/>
      <c r="Q23747" s="24"/>
      <c r="R23747"/>
      <c r="S23747"/>
      <c r="T23747"/>
      <c r="U23747"/>
      <c r="X23747" s="60"/>
    </row>
    <row r="23748" spans="7:24" ht="15" customHeight="1">
      <c r="G23748"/>
      <c r="I23748"/>
      <c r="N23748"/>
      <c r="O23748" s="24"/>
      <c r="P23748"/>
      <c r="Q23748" s="24"/>
      <c r="R23748"/>
      <c r="S23748"/>
      <c r="T23748"/>
      <c r="U23748"/>
      <c r="X23748" s="60"/>
    </row>
    <row r="23749" spans="7:24" ht="15" customHeight="1">
      <c r="G23749"/>
      <c r="I23749"/>
      <c r="N23749"/>
      <c r="O23749" s="24"/>
      <c r="P23749"/>
      <c r="Q23749" s="24"/>
      <c r="R23749"/>
      <c r="S23749"/>
      <c r="T23749"/>
      <c r="U23749"/>
      <c r="X23749" s="60"/>
    </row>
    <row r="23750" spans="7:24" ht="15" customHeight="1">
      <c r="G23750"/>
      <c r="I23750"/>
      <c r="N23750"/>
      <c r="O23750" s="24"/>
      <c r="P23750"/>
      <c r="Q23750" s="24"/>
      <c r="R23750"/>
      <c r="S23750"/>
      <c r="T23750"/>
      <c r="U23750"/>
      <c r="X23750" s="60"/>
    </row>
    <row r="23751" spans="7:24" ht="15" customHeight="1">
      <c r="G23751"/>
      <c r="I23751"/>
      <c r="N23751"/>
      <c r="O23751" s="24"/>
      <c r="P23751"/>
      <c r="Q23751" s="24"/>
      <c r="R23751"/>
      <c r="S23751"/>
      <c r="T23751"/>
      <c r="U23751"/>
      <c r="X23751" s="60"/>
    </row>
    <row r="23752" spans="7:24" ht="15" customHeight="1">
      <c r="G23752"/>
      <c r="I23752"/>
      <c r="N23752"/>
      <c r="O23752" s="24"/>
      <c r="P23752"/>
      <c r="Q23752" s="24"/>
      <c r="R23752"/>
      <c r="S23752"/>
      <c r="T23752"/>
      <c r="U23752"/>
      <c r="X23752" s="60"/>
    </row>
    <row r="23753" spans="7:24" ht="15" customHeight="1">
      <c r="G23753"/>
      <c r="I23753"/>
      <c r="N23753"/>
      <c r="O23753" s="24"/>
      <c r="P23753"/>
      <c r="Q23753" s="24"/>
      <c r="R23753"/>
      <c r="S23753"/>
      <c r="T23753"/>
      <c r="U23753"/>
      <c r="X23753" s="60"/>
    </row>
    <row r="23754" spans="7:24" ht="15" customHeight="1">
      <c r="G23754"/>
      <c r="I23754"/>
      <c r="N23754"/>
      <c r="O23754" s="24"/>
      <c r="P23754"/>
      <c r="Q23754" s="24"/>
      <c r="R23754"/>
      <c r="S23754"/>
      <c r="T23754"/>
      <c r="U23754"/>
      <c r="X23754" s="60"/>
    </row>
    <row r="23755" spans="7:24" ht="15" customHeight="1">
      <c r="G23755"/>
      <c r="I23755"/>
      <c r="N23755"/>
      <c r="O23755" s="24"/>
      <c r="P23755"/>
      <c r="Q23755" s="24"/>
      <c r="R23755"/>
      <c r="S23755"/>
      <c r="T23755"/>
      <c r="U23755"/>
      <c r="X23755" s="60"/>
    </row>
    <row r="23756" spans="7:24" ht="15" customHeight="1">
      <c r="G23756"/>
      <c r="I23756"/>
      <c r="N23756"/>
      <c r="O23756" s="24"/>
      <c r="P23756"/>
      <c r="Q23756" s="24"/>
      <c r="R23756"/>
      <c r="S23756"/>
      <c r="T23756"/>
      <c r="U23756"/>
      <c r="X23756" s="60"/>
    </row>
    <row r="23757" spans="7:24" ht="15" customHeight="1">
      <c r="G23757"/>
      <c r="I23757"/>
      <c r="N23757"/>
      <c r="O23757" s="24"/>
      <c r="P23757"/>
      <c r="Q23757" s="24"/>
      <c r="R23757"/>
      <c r="S23757"/>
      <c r="T23757"/>
      <c r="U23757"/>
      <c r="X23757" s="60"/>
    </row>
    <row r="23758" spans="7:24" ht="15" customHeight="1">
      <c r="G23758"/>
      <c r="I23758"/>
      <c r="N23758"/>
      <c r="O23758" s="24"/>
      <c r="P23758"/>
      <c r="Q23758" s="24"/>
      <c r="R23758"/>
      <c r="S23758"/>
      <c r="T23758"/>
      <c r="U23758"/>
      <c r="X23758" s="60"/>
    </row>
    <row r="23759" spans="7:24" ht="15" customHeight="1">
      <c r="G23759"/>
      <c r="I23759"/>
      <c r="N23759"/>
      <c r="O23759" s="24"/>
      <c r="P23759"/>
      <c r="Q23759" s="24"/>
      <c r="R23759"/>
      <c r="S23759"/>
      <c r="T23759"/>
      <c r="U23759"/>
      <c r="X23759" s="60"/>
    </row>
    <row r="23760" spans="7:24" ht="15" customHeight="1">
      <c r="G23760"/>
      <c r="I23760"/>
      <c r="N23760"/>
      <c r="O23760" s="24"/>
      <c r="P23760"/>
      <c r="Q23760" s="24"/>
      <c r="R23760"/>
      <c r="S23760"/>
      <c r="T23760"/>
      <c r="U23760"/>
      <c r="X23760" s="60"/>
    </row>
    <row r="23761" spans="7:24" ht="15" customHeight="1">
      <c r="G23761"/>
      <c r="I23761"/>
      <c r="N23761"/>
      <c r="O23761" s="24"/>
      <c r="P23761"/>
      <c r="Q23761" s="24"/>
      <c r="R23761"/>
      <c r="S23761"/>
      <c r="T23761"/>
      <c r="U23761"/>
      <c r="X23761" s="60"/>
    </row>
    <row r="23762" spans="7:24" ht="15" customHeight="1">
      <c r="G23762"/>
      <c r="I23762"/>
      <c r="N23762"/>
      <c r="O23762" s="24"/>
      <c r="P23762"/>
      <c r="Q23762" s="24"/>
      <c r="R23762"/>
      <c r="S23762"/>
      <c r="T23762"/>
      <c r="U23762"/>
      <c r="X23762" s="60"/>
    </row>
    <row r="23763" spans="7:24" ht="15" customHeight="1">
      <c r="G23763"/>
      <c r="I23763"/>
      <c r="N23763"/>
      <c r="O23763" s="24"/>
      <c r="P23763"/>
      <c r="Q23763" s="24"/>
      <c r="R23763"/>
      <c r="S23763"/>
      <c r="T23763"/>
      <c r="U23763"/>
      <c r="X23763" s="60"/>
    </row>
    <row r="23764" spans="7:24" ht="15" customHeight="1">
      <c r="G23764"/>
      <c r="I23764"/>
      <c r="N23764"/>
      <c r="O23764" s="24"/>
      <c r="P23764"/>
      <c r="Q23764" s="24"/>
      <c r="R23764"/>
      <c r="S23764"/>
      <c r="T23764"/>
      <c r="U23764"/>
      <c r="X23764" s="60"/>
    </row>
    <row r="23765" spans="7:24" ht="15" customHeight="1">
      <c r="G23765"/>
      <c r="I23765"/>
      <c r="N23765"/>
      <c r="O23765" s="24"/>
      <c r="P23765"/>
      <c r="Q23765" s="24"/>
      <c r="R23765"/>
      <c r="S23765"/>
      <c r="T23765"/>
      <c r="U23765"/>
      <c r="X23765" s="60"/>
    </row>
    <row r="23766" spans="7:24" ht="15" customHeight="1">
      <c r="G23766"/>
      <c r="I23766"/>
      <c r="N23766"/>
      <c r="O23766" s="24"/>
      <c r="P23766"/>
      <c r="Q23766" s="24"/>
      <c r="R23766"/>
      <c r="S23766"/>
      <c r="T23766"/>
      <c r="U23766"/>
      <c r="X23766" s="60"/>
    </row>
    <row r="23767" spans="7:24" ht="15" customHeight="1">
      <c r="G23767"/>
      <c r="I23767"/>
      <c r="N23767"/>
      <c r="O23767" s="24"/>
      <c r="P23767"/>
      <c r="Q23767" s="24"/>
      <c r="R23767"/>
      <c r="S23767"/>
      <c r="T23767"/>
      <c r="U23767"/>
      <c r="X23767" s="60"/>
    </row>
    <row r="23768" spans="7:24" ht="15" customHeight="1">
      <c r="G23768"/>
      <c r="I23768"/>
      <c r="N23768"/>
      <c r="O23768" s="24"/>
      <c r="P23768"/>
      <c r="Q23768" s="24"/>
      <c r="R23768"/>
      <c r="S23768"/>
      <c r="T23768"/>
      <c r="U23768"/>
      <c r="X23768" s="60"/>
    </row>
    <row r="23769" spans="7:24" ht="15" customHeight="1">
      <c r="G23769"/>
      <c r="I23769"/>
      <c r="N23769"/>
      <c r="O23769" s="24"/>
      <c r="P23769"/>
      <c r="Q23769" s="24"/>
      <c r="R23769"/>
      <c r="S23769"/>
      <c r="T23769"/>
      <c r="U23769"/>
      <c r="X23769" s="60"/>
    </row>
    <row r="23770" spans="7:24" ht="15" customHeight="1">
      <c r="G23770"/>
      <c r="I23770"/>
      <c r="N23770"/>
      <c r="O23770" s="24"/>
      <c r="P23770"/>
      <c r="Q23770" s="24"/>
      <c r="R23770"/>
      <c r="S23770"/>
      <c r="T23770"/>
      <c r="U23770"/>
      <c r="X23770" s="60"/>
    </row>
    <row r="23771" spans="7:24" ht="15" customHeight="1">
      <c r="G23771"/>
      <c r="I23771"/>
      <c r="N23771"/>
      <c r="O23771" s="24"/>
      <c r="P23771"/>
      <c r="Q23771" s="24"/>
      <c r="R23771"/>
      <c r="S23771"/>
      <c r="T23771"/>
      <c r="U23771"/>
      <c r="X23771" s="60"/>
    </row>
    <row r="23772" spans="7:24" ht="15" customHeight="1">
      <c r="G23772"/>
      <c r="I23772"/>
      <c r="N23772"/>
      <c r="O23772" s="24"/>
      <c r="P23772"/>
      <c r="Q23772" s="24"/>
      <c r="R23772"/>
      <c r="S23772"/>
      <c r="T23772"/>
      <c r="U23772"/>
      <c r="X23772" s="60"/>
    </row>
    <row r="23773" spans="7:24" ht="15" customHeight="1">
      <c r="G23773"/>
      <c r="I23773"/>
      <c r="N23773"/>
      <c r="O23773" s="24"/>
      <c r="P23773"/>
      <c r="Q23773" s="24"/>
      <c r="R23773"/>
      <c r="S23773"/>
      <c r="T23773"/>
      <c r="U23773"/>
      <c r="X23773" s="60"/>
    </row>
    <row r="23774" spans="7:24" ht="15" customHeight="1">
      <c r="G23774"/>
      <c r="I23774"/>
      <c r="N23774"/>
      <c r="O23774" s="24"/>
      <c r="P23774"/>
      <c r="Q23774" s="24"/>
      <c r="R23774"/>
      <c r="S23774"/>
      <c r="T23774"/>
      <c r="U23774"/>
      <c r="X23774" s="60"/>
    </row>
    <row r="23775" spans="7:24" ht="15" customHeight="1">
      <c r="G23775"/>
      <c r="I23775"/>
      <c r="N23775"/>
      <c r="O23775" s="24"/>
      <c r="P23775"/>
      <c r="Q23775" s="24"/>
      <c r="R23775"/>
      <c r="S23775"/>
      <c r="T23775"/>
      <c r="U23775"/>
      <c r="X23775" s="60"/>
    </row>
    <row r="23776" spans="7:24" ht="15" customHeight="1">
      <c r="G23776"/>
      <c r="I23776"/>
      <c r="N23776"/>
      <c r="O23776" s="24"/>
      <c r="P23776"/>
      <c r="Q23776" s="24"/>
      <c r="R23776"/>
      <c r="S23776"/>
      <c r="T23776"/>
      <c r="U23776"/>
      <c r="X23776" s="60"/>
    </row>
    <row r="23777" spans="7:24" ht="15" customHeight="1">
      <c r="G23777"/>
      <c r="I23777"/>
      <c r="N23777"/>
      <c r="O23777" s="24"/>
      <c r="P23777"/>
      <c r="Q23777" s="24"/>
      <c r="R23777"/>
      <c r="S23777"/>
      <c r="T23777"/>
      <c r="U23777"/>
      <c r="X23777" s="60"/>
    </row>
    <row r="23778" spans="7:24" ht="15" customHeight="1">
      <c r="G23778"/>
      <c r="I23778"/>
      <c r="N23778"/>
      <c r="O23778" s="24"/>
      <c r="P23778"/>
      <c r="Q23778" s="24"/>
      <c r="R23778"/>
      <c r="S23778"/>
      <c r="T23778"/>
      <c r="U23778"/>
      <c r="X23778" s="60"/>
    </row>
    <row r="23779" spans="7:24" ht="15" customHeight="1">
      <c r="G23779"/>
      <c r="I23779"/>
      <c r="N23779"/>
      <c r="O23779" s="24"/>
      <c r="P23779"/>
      <c r="Q23779" s="24"/>
      <c r="R23779"/>
      <c r="S23779"/>
      <c r="T23779"/>
      <c r="U23779"/>
      <c r="X23779" s="60"/>
    </row>
    <row r="23780" spans="7:24" ht="15" customHeight="1">
      <c r="G23780"/>
      <c r="I23780"/>
      <c r="N23780"/>
      <c r="O23780" s="24"/>
      <c r="P23780"/>
      <c r="Q23780" s="24"/>
      <c r="R23780"/>
      <c r="S23780"/>
      <c r="T23780"/>
      <c r="U23780"/>
      <c r="X23780" s="60"/>
    </row>
    <row r="23781" spans="7:24" ht="15" customHeight="1">
      <c r="G23781"/>
      <c r="I23781"/>
      <c r="N23781"/>
      <c r="O23781" s="24"/>
      <c r="P23781"/>
      <c r="Q23781" s="24"/>
      <c r="R23781"/>
      <c r="S23781"/>
      <c r="T23781"/>
      <c r="U23781"/>
      <c r="X23781" s="60"/>
    </row>
    <row r="23782" spans="7:24" ht="15" customHeight="1">
      <c r="G23782"/>
      <c r="I23782"/>
      <c r="N23782"/>
      <c r="O23782" s="24"/>
      <c r="P23782"/>
      <c r="Q23782" s="24"/>
      <c r="R23782"/>
      <c r="S23782"/>
      <c r="T23782"/>
      <c r="U23782"/>
      <c r="X23782" s="60"/>
    </row>
    <row r="23783" spans="7:24" ht="15" customHeight="1">
      <c r="G23783"/>
      <c r="I23783"/>
      <c r="N23783"/>
      <c r="O23783" s="24"/>
      <c r="P23783"/>
      <c r="Q23783" s="24"/>
      <c r="R23783"/>
      <c r="S23783"/>
      <c r="T23783"/>
      <c r="U23783"/>
      <c r="X23783" s="60"/>
    </row>
    <row r="23784" spans="7:24" ht="15" customHeight="1">
      <c r="G23784"/>
      <c r="I23784"/>
      <c r="N23784"/>
      <c r="O23784" s="24"/>
      <c r="P23784"/>
      <c r="Q23784" s="24"/>
      <c r="R23784"/>
      <c r="S23784"/>
      <c r="T23784"/>
      <c r="U23784"/>
      <c r="X23784" s="60"/>
    </row>
    <row r="23785" spans="7:24" ht="15" customHeight="1">
      <c r="G23785"/>
      <c r="I23785"/>
      <c r="N23785"/>
      <c r="O23785" s="24"/>
      <c r="P23785"/>
      <c r="Q23785" s="24"/>
      <c r="R23785"/>
      <c r="S23785"/>
      <c r="T23785"/>
      <c r="U23785"/>
      <c r="X23785" s="60"/>
    </row>
    <row r="23786" spans="7:24" ht="15" customHeight="1">
      <c r="G23786"/>
      <c r="I23786"/>
      <c r="N23786"/>
      <c r="O23786" s="24"/>
      <c r="P23786"/>
      <c r="Q23786" s="24"/>
      <c r="R23786"/>
      <c r="S23786"/>
      <c r="T23786"/>
      <c r="U23786"/>
      <c r="X23786" s="60"/>
    </row>
    <row r="23787" spans="7:24" ht="15" customHeight="1">
      <c r="G23787"/>
      <c r="I23787"/>
      <c r="N23787"/>
      <c r="O23787" s="24"/>
      <c r="P23787"/>
      <c r="Q23787" s="24"/>
      <c r="R23787"/>
      <c r="S23787"/>
      <c r="T23787"/>
      <c r="U23787"/>
      <c r="X23787" s="60"/>
    </row>
    <row r="23788" spans="7:24" ht="15" customHeight="1">
      <c r="G23788"/>
      <c r="I23788"/>
      <c r="N23788"/>
      <c r="O23788" s="24"/>
      <c r="P23788"/>
      <c r="Q23788" s="24"/>
      <c r="R23788"/>
      <c r="S23788"/>
      <c r="T23788"/>
      <c r="U23788"/>
      <c r="X23788" s="60"/>
    </row>
    <row r="23789" spans="7:24" ht="15" customHeight="1">
      <c r="G23789"/>
      <c r="I23789"/>
      <c r="N23789"/>
      <c r="O23789" s="24"/>
      <c r="P23789"/>
      <c r="Q23789" s="24"/>
      <c r="R23789"/>
      <c r="S23789"/>
      <c r="T23789"/>
      <c r="U23789"/>
      <c r="X23789" s="60"/>
    </row>
    <row r="23790" spans="7:24" ht="15" customHeight="1">
      <c r="G23790"/>
      <c r="I23790"/>
      <c r="N23790"/>
      <c r="O23790" s="24"/>
      <c r="P23790"/>
      <c r="Q23790" s="24"/>
      <c r="R23790"/>
      <c r="S23790"/>
      <c r="T23790"/>
      <c r="U23790"/>
      <c r="X23790" s="60"/>
    </row>
    <row r="23791" spans="7:24" ht="15" customHeight="1">
      <c r="G23791"/>
      <c r="I23791"/>
      <c r="N23791"/>
      <c r="O23791" s="24"/>
      <c r="P23791"/>
      <c r="Q23791" s="24"/>
      <c r="R23791"/>
      <c r="S23791"/>
      <c r="T23791"/>
      <c r="U23791"/>
      <c r="X23791" s="60"/>
    </row>
    <row r="23792" spans="7:24" ht="15" customHeight="1">
      <c r="G23792"/>
      <c r="I23792"/>
      <c r="N23792"/>
      <c r="O23792" s="24"/>
      <c r="P23792"/>
      <c r="Q23792" s="24"/>
      <c r="R23792"/>
      <c r="S23792"/>
      <c r="T23792"/>
      <c r="U23792"/>
      <c r="X23792" s="60"/>
    </row>
    <row r="23793" spans="7:24" ht="15" customHeight="1">
      <c r="G23793"/>
      <c r="I23793"/>
      <c r="N23793"/>
      <c r="O23793" s="24"/>
      <c r="P23793"/>
      <c r="Q23793" s="24"/>
      <c r="R23793"/>
      <c r="S23793"/>
      <c r="T23793"/>
      <c r="U23793"/>
      <c r="X23793" s="60"/>
    </row>
    <row r="23794" spans="7:24" ht="15" customHeight="1">
      <c r="G23794"/>
      <c r="I23794"/>
      <c r="N23794"/>
      <c r="O23794" s="24"/>
      <c r="P23794"/>
      <c r="Q23794" s="24"/>
      <c r="R23794"/>
      <c r="S23794"/>
      <c r="T23794"/>
      <c r="U23794"/>
      <c r="X23794" s="60"/>
    </row>
    <row r="23795" spans="7:24" ht="15" customHeight="1">
      <c r="G23795"/>
      <c r="I23795"/>
      <c r="N23795"/>
      <c r="O23795" s="24"/>
      <c r="P23795"/>
      <c r="Q23795" s="24"/>
      <c r="R23795"/>
      <c r="S23795"/>
      <c r="T23795"/>
      <c r="U23795"/>
      <c r="X23795" s="60"/>
    </row>
    <row r="23796" spans="7:24" ht="15" customHeight="1">
      <c r="G23796"/>
      <c r="I23796"/>
      <c r="N23796"/>
      <c r="O23796" s="24"/>
      <c r="P23796"/>
      <c r="Q23796" s="24"/>
      <c r="R23796"/>
      <c r="S23796"/>
      <c r="T23796"/>
      <c r="U23796"/>
      <c r="X23796" s="60"/>
    </row>
    <row r="23797" spans="7:24" ht="15" customHeight="1">
      <c r="G23797"/>
      <c r="I23797"/>
      <c r="N23797"/>
      <c r="O23797" s="24"/>
      <c r="P23797"/>
      <c r="Q23797" s="24"/>
      <c r="R23797"/>
      <c r="S23797"/>
      <c r="T23797"/>
      <c r="U23797"/>
      <c r="X23797" s="60"/>
    </row>
    <row r="23798" spans="7:24" ht="15" customHeight="1">
      <c r="G23798"/>
      <c r="I23798"/>
      <c r="N23798"/>
      <c r="O23798" s="24"/>
      <c r="P23798"/>
      <c r="Q23798" s="24"/>
      <c r="R23798"/>
      <c r="S23798"/>
      <c r="T23798"/>
      <c r="U23798"/>
      <c r="X23798" s="60"/>
    </row>
    <row r="23799" spans="7:24" ht="15" customHeight="1">
      <c r="G23799"/>
      <c r="I23799"/>
      <c r="N23799"/>
      <c r="O23799" s="24"/>
      <c r="P23799"/>
      <c r="Q23799" s="24"/>
      <c r="R23799"/>
      <c r="S23799"/>
      <c r="T23799"/>
      <c r="U23799"/>
      <c r="X23799" s="60"/>
    </row>
    <row r="23800" spans="7:24" ht="15" customHeight="1">
      <c r="G23800"/>
      <c r="I23800"/>
      <c r="N23800"/>
      <c r="O23800" s="24"/>
      <c r="P23800"/>
      <c r="Q23800" s="24"/>
      <c r="R23800"/>
      <c r="S23800"/>
      <c r="T23800"/>
      <c r="U23800"/>
      <c r="X23800" s="60"/>
    </row>
    <row r="23801" spans="7:24" ht="15" customHeight="1">
      <c r="G23801"/>
      <c r="I23801"/>
      <c r="N23801"/>
      <c r="O23801" s="24"/>
      <c r="P23801"/>
      <c r="Q23801" s="24"/>
      <c r="R23801"/>
      <c r="S23801"/>
      <c r="T23801"/>
      <c r="U23801"/>
      <c r="X23801" s="60"/>
    </row>
    <row r="23802" spans="7:24" ht="15" customHeight="1">
      <c r="G23802"/>
      <c r="I23802"/>
      <c r="N23802"/>
      <c r="O23802" s="24"/>
      <c r="P23802"/>
      <c r="Q23802" s="24"/>
      <c r="R23802"/>
      <c r="S23802"/>
      <c r="T23802"/>
      <c r="U23802"/>
      <c r="X23802" s="60"/>
    </row>
    <row r="23803" spans="7:24" ht="15" customHeight="1">
      <c r="G23803"/>
      <c r="I23803"/>
      <c r="N23803"/>
      <c r="O23803" s="24"/>
      <c r="P23803"/>
      <c r="Q23803" s="24"/>
      <c r="R23803"/>
      <c r="S23803"/>
      <c r="T23803"/>
      <c r="U23803"/>
      <c r="X23803" s="60"/>
    </row>
    <row r="23804" spans="7:24" ht="15" customHeight="1">
      <c r="G23804"/>
      <c r="I23804"/>
      <c r="N23804"/>
      <c r="O23804" s="24"/>
      <c r="P23804"/>
      <c r="Q23804" s="24"/>
      <c r="R23804"/>
      <c r="S23804"/>
      <c r="T23804"/>
      <c r="U23804"/>
      <c r="X23804" s="60"/>
    </row>
    <row r="23805" spans="7:24" ht="15" customHeight="1">
      <c r="G23805"/>
      <c r="I23805"/>
      <c r="N23805"/>
      <c r="O23805" s="24"/>
      <c r="P23805"/>
      <c r="Q23805" s="24"/>
      <c r="R23805"/>
      <c r="S23805"/>
      <c r="T23805"/>
      <c r="U23805"/>
      <c r="X23805" s="60"/>
    </row>
    <row r="23806" spans="7:24" ht="15" customHeight="1">
      <c r="G23806"/>
      <c r="I23806"/>
      <c r="N23806"/>
      <c r="O23806" s="24"/>
      <c r="P23806"/>
      <c r="Q23806" s="24"/>
      <c r="R23806"/>
      <c r="S23806"/>
      <c r="T23806"/>
      <c r="U23806"/>
      <c r="X23806" s="60"/>
    </row>
    <row r="23807" spans="7:24" ht="15" customHeight="1">
      <c r="G23807"/>
      <c r="I23807"/>
      <c r="N23807"/>
      <c r="O23807" s="24"/>
      <c r="P23807"/>
      <c r="Q23807" s="24"/>
      <c r="R23807"/>
      <c r="S23807"/>
      <c r="T23807"/>
      <c r="U23807"/>
      <c r="X23807" s="60"/>
    </row>
    <row r="23808" spans="7:24" ht="15" customHeight="1">
      <c r="G23808"/>
      <c r="I23808"/>
      <c r="N23808"/>
      <c r="O23808" s="24"/>
      <c r="P23808"/>
      <c r="Q23808" s="24"/>
      <c r="R23808"/>
      <c r="S23808"/>
      <c r="T23808"/>
      <c r="U23808"/>
      <c r="X23808" s="60"/>
    </row>
    <row r="23809" spans="7:24" ht="15" customHeight="1">
      <c r="G23809"/>
      <c r="I23809"/>
      <c r="N23809"/>
      <c r="O23809" s="24"/>
      <c r="P23809"/>
      <c r="Q23809" s="24"/>
      <c r="R23809"/>
      <c r="S23809"/>
      <c r="T23809"/>
      <c r="U23809"/>
      <c r="X23809" s="60"/>
    </row>
    <row r="23810" spans="7:24" ht="15" customHeight="1">
      <c r="G23810"/>
      <c r="I23810"/>
      <c r="N23810"/>
      <c r="O23810" s="24"/>
      <c r="P23810"/>
      <c r="Q23810" s="24"/>
      <c r="R23810"/>
      <c r="S23810"/>
      <c r="T23810"/>
      <c r="U23810"/>
      <c r="X23810" s="60"/>
    </row>
    <row r="23811" spans="7:24" ht="15" customHeight="1">
      <c r="G23811"/>
      <c r="I23811"/>
      <c r="N23811"/>
      <c r="O23811" s="24"/>
      <c r="P23811"/>
      <c r="Q23811" s="24"/>
      <c r="R23811"/>
      <c r="S23811"/>
      <c r="T23811"/>
      <c r="U23811"/>
      <c r="X23811" s="60"/>
    </row>
    <row r="23812" spans="7:24" ht="15" customHeight="1">
      <c r="G23812"/>
      <c r="I23812"/>
      <c r="N23812"/>
      <c r="O23812" s="24"/>
      <c r="P23812"/>
      <c r="Q23812" s="24"/>
      <c r="R23812"/>
      <c r="S23812"/>
      <c r="T23812"/>
      <c r="U23812"/>
      <c r="X23812" s="60"/>
    </row>
    <row r="23813" spans="7:24" ht="15" customHeight="1">
      <c r="G23813"/>
      <c r="I23813"/>
      <c r="N23813"/>
      <c r="O23813" s="24"/>
      <c r="P23813"/>
      <c r="Q23813" s="24"/>
      <c r="R23813"/>
      <c r="S23813"/>
      <c r="T23813"/>
      <c r="U23813"/>
      <c r="X23813" s="60"/>
    </row>
    <row r="23814" spans="7:24" ht="15" customHeight="1">
      <c r="G23814"/>
      <c r="I23814"/>
      <c r="N23814"/>
      <c r="O23814" s="24"/>
      <c r="P23814"/>
      <c r="Q23814" s="24"/>
      <c r="R23814"/>
      <c r="S23814"/>
      <c r="T23814"/>
      <c r="U23814"/>
      <c r="X23814" s="60"/>
    </row>
    <row r="23815" spans="7:24" ht="15" customHeight="1">
      <c r="G23815"/>
      <c r="I23815"/>
      <c r="N23815"/>
      <c r="O23815" s="24"/>
      <c r="P23815"/>
      <c r="Q23815" s="24"/>
      <c r="R23815"/>
      <c r="S23815"/>
      <c r="T23815"/>
      <c r="U23815"/>
      <c r="X23815" s="60"/>
    </row>
    <row r="23816" spans="7:24" ht="15" customHeight="1">
      <c r="G23816"/>
      <c r="I23816"/>
      <c r="N23816"/>
      <c r="O23816" s="24"/>
      <c r="P23816"/>
      <c r="Q23816" s="24"/>
      <c r="R23816"/>
      <c r="S23816"/>
      <c r="T23816"/>
      <c r="U23816"/>
      <c r="X23816" s="60"/>
    </row>
    <row r="23817" spans="7:24" ht="15" customHeight="1">
      <c r="G23817"/>
      <c r="I23817"/>
      <c r="N23817"/>
      <c r="O23817" s="24"/>
      <c r="P23817"/>
      <c r="Q23817" s="24"/>
      <c r="R23817"/>
      <c r="S23817"/>
      <c r="T23817"/>
      <c r="U23817"/>
      <c r="X23817" s="60"/>
    </row>
    <row r="23818" spans="7:24" ht="15" customHeight="1">
      <c r="G23818"/>
      <c r="I23818"/>
      <c r="N23818"/>
      <c r="O23818" s="24"/>
      <c r="P23818"/>
      <c r="Q23818" s="24"/>
      <c r="R23818"/>
      <c r="S23818"/>
      <c r="T23818"/>
      <c r="U23818"/>
      <c r="X23818" s="60"/>
    </row>
    <row r="23819" spans="7:24" ht="15" customHeight="1">
      <c r="G23819"/>
      <c r="I23819"/>
      <c r="N23819"/>
      <c r="O23819" s="24"/>
      <c r="P23819"/>
      <c r="Q23819" s="24"/>
      <c r="R23819"/>
      <c r="S23819"/>
      <c r="T23819"/>
      <c r="U23819"/>
      <c r="X23819" s="60"/>
    </row>
    <row r="23820" spans="7:24" ht="15" customHeight="1">
      <c r="G23820"/>
      <c r="I23820"/>
      <c r="N23820"/>
      <c r="O23820" s="24"/>
      <c r="P23820"/>
      <c r="Q23820" s="24"/>
      <c r="R23820"/>
      <c r="S23820"/>
      <c r="T23820"/>
      <c r="U23820"/>
      <c r="X23820" s="60"/>
    </row>
    <row r="23821" spans="7:24" ht="15" customHeight="1">
      <c r="G23821"/>
      <c r="I23821"/>
      <c r="N23821"/>
      <c r="O23821" s="24"/>
      <c r="P23821"/>
      <c r="Q23821" s="24"/>
      <c r="R23821"/>
      <c r="S23821"/>
      <c r="T23821"/>
      <c r="U23821"/>
      <c r="X23821" s="60"/>
    </row>
    <row r="23822" spans="7:24" ht="15" customHeight="1">
      <c r="G23822"/>
      <c r="I23822"/>
      <c r="N23822"/>
      <c r="O23822" s="24"/>
      <c r="P23822"/>
      <c r="Q23822" s="24"/>
      <c r="R23822"/>
      <c r="S23822"/>
      <c r="T23822"/>
      <c r="U23822"/>
      <c r="X23822" s="60"/>
    </row>
    <row r="23823" spans="7:24" ht="15" customHeight="1">
      <c r="G23823"/>
      <c r="I23823"/>
      <c r="N23823"/>
      <c r="O23823" s="24"/>
      <c r="P23823"/>
      <c r="Q23823" s="24"/>
      <c r="R23823"/>
      <c r="S23823"/>
      <c r="T23823"/>
      <c r="U23823"/>
      <c r="X23823" s="60"/>
    </row>
    <row r="23824" spans="7:24" ht="15" customHeight="1">
      <c r="G23824"/>
      <c r="I23824"/>
      <c r="N23824"/>
      <c r="O23824" s="24"/>
      <c r="P23824"/>
      <c r="Q23824" s="24"/>
      <c r="R23824"/>
      <c r="S23824"/>
      <c r="T23824"/>
      <c r="U23824"/>
      <c r="X23824" s="60"/>
    </row>
    <row r="23825" spans="7:24" ht="15" customHeight="1">
      <c r="G23825"/>
      <c r="I23825"/>
      <c r="N23825"/>
      <c r="O23825" s="24"/>
      <c r="P23825"/>
      <c r="Q23825" s="24"/>
      <c r="R23825"/>
      <c r="S23825"/>
      <c r="T23825"/>
      <c r="U23825"/>
      <c r="X23825" s="60"/>
    </row>
    <row r="23826" spans="7:24" ht="15" customHeight="1">
      <c r="G23826"/>
      <c r="I23826"/>
      <c r="N23826"/>
      <c r="O23826" s="24"/>
      <c r="P23826"/>
      <c r="Q23826" s="24"/>
      <c r="R23826"/>
      <c r="S23826"/>
      <c r="T23826"/>
      <c r="U23826"/>
      <c r="X23826" s="60"/>
    </row>
    <row r="23827" spans="7:24" ht="15" customHeight="1">
      <c r="G23827"/>
      <c r="I23827"/>
      <c r="N23827"/>
      <c r="O23827" s="24"/>
      <c r="P23827"/>
      <c r="Q23827" s="24"/>
      <c r="R23827"/>
      <c r="S23827"/>
      <c r="T23827"/>
      <c r="U23827"/>
      <c r="X23827" s="60"/>
    </row>
    <row r="23828" spans="7:24" ht="15" customHeight="1">
      <c r="G23828"/>
      <c r="I23828"/>
      <c r="N23828"/>
      <c r="O23828" s="24"/>
      <c r="P23828"/>
      <c r="Q23828" s="24"/>
      <c r="R23828"/>
      <c r="S23828"/>
      <c r="T23828"/>
      <c r="U23828"/>
      <c r="X23828" s="60"/>
    </row>
    <row r="23829" spans="7:24" ht="15" customHeight="1">
      <c r="G23829"/>
      <c r="I23829"/>
      <c r="N23829"/>
      <c r="O23829" s="24"/>
      <c r="P23829"/>
      <c r="Q23829" s="24"/>
      <c r="R23829"/>
      <c r="S23829"/>
      <c r="T23829"/>
      <c r="U23829"/>
      <c r="X23829" s="60"/>
    </row>
    <row r="23830" spans="7:24" ht="15" customHeight="1">
      <c r="G23830"/>
      <c r="I23830"/>
      <c r="N23830"/>
      <c r="O23830" s="24"/>
      <c r="P23830"/>
      <c r="Q23830" s="24"/>
      <c r="R23830"/>
      <c r="S23830"/>
      <c r="T23830"/>
      <c r="U23830"/>
      <c r="X23830" s="60"/>
    </row>
    <row r="23831" spans="7:24" ht="15" customHeight="1">
      <c r="G23831"/>
      <c r="I23831"/>
      <c r="N23831"/>
      <c r="O23831" s="24"/>
      <c r="P23831"/>
      <c r="Q23831" s="24"/>
      <c r="R23831"/>
      <c r="S23831"/>
      <c r="T23831"/>
      <c r="U23831"/>
      <c r="X23831" s="60"/>
    </row>
    <row r="23832" spans="7:24" ht="15" customHeight="1">
      <c r="G23832"/>
      <c r="I23832"/>
      <c r="N23832"/>
      <c r="O23832" s="24"/>
      <c r="P23832"/>
      <c r="Q23832" s="24"/>
      <c r="R23832"/>
      <c r="S23832"/>
      <c r="T23832"/>
      <c r="U23832"/>
      <c r="X23832" s="60"/>
    </row>
    <row r="23833" spans="7:24" ht="15" customHeight="1">
      <c r="G23833"/>
      <c r="I23833"/>
      <c r="N23833"/>
      <c r="O23833" s="24"/>
      <c r="P23833"/>
      <c r="Q23833" s="24"/>
      <c r="R23833"/>
      <c r="S23833"/>
      <c r="T23833"/>
      <c r="U23833"/>
      <c r="X23833" s="60"/>
    </row>
    <row r="23834" spans="7:24" ht="15" customHeight="1">
      <c r="G23834"/>
      <c r="I23834"/>
      <c r="N23834"/>
      <c r="O23834" s="24"/>
      <c r="P23834"/>
      <c r="Q23834" s="24"/>
      <c r="R23834"/>
      <c r="S23834"/>
      <c r="T23834"/>
      <c r="U23834"/>
      <c r="X23834" s="60"/>
    </row>
    <row r="23835" spans="7:24" ht="15" customHeight="1">
      <c r="G23835"/>
      <c r="I23835"/>
      <c r="N23835"/>
      <c r="O23835" s="24"/>
      <c r="P23835"/>
      <c r="Q23835" s="24"/>
      <c r="R23835"/>
      <c r="S23835"/>
      <c r="T23835"/>
      <c r="U23835"/>
      <c r="X23835" s="60"/>
    </row>
    <row r="23836" spans="7:24" ht="15" customHeight="1">
      <c r="G23836"/>
      <c r="I23836"/>
      <c r="N23836"/>
      <c r="O23836" s="24"/>
      <c r="P23836"/>
      <c r="Q23836" s="24"/>
      <c r="R23836"/>
      <c r="S23836"/>
      <c r="T23836"/>
      <c r="U23836"/>
      <c r="X23836" s="60"/>
    </row>
    <row r="23837" spans="7:24" ht="15" customHeight="1">
      <c r="G23837"/>
      <c r="I23837"/>
      <c r="N23837"/>
      <c r="O23837" s="24"/>
      <c r="P23837"/>
      <c r="Q23837" s="24"/>
      <c r="R23837"/>
      <c r="S23837"/>
      <c r="T23837"/>
      <c r="U23837"/>
      <c r="X23837" s="60"/>
    </row>
    <row r="23838" spans="7:24" ht="15" customHeight="1">
      <c r="G23838"/>
      <c r="I23838"/>
      <c r="N23838"/>
      <c r="O23838" s="24"/>
      <c r="P23838"/>
      <c r="Q23838" s="24"/>
      <c r="R23838"/>
      <c r="S23838"/>
      <c r="T23838"/>
      <c r="U23838"/>
      <c r="X23838" s="60"/>
    </row>
    <row r="23839" spans="7:24" ht="15" customHeight="1">
      <c r="G23839"/>
      <c r="I23839"/>
      <c r="N23839"/>
      <c r="O23839" s="24"/>
      <c r="P23839"/>
      <c r="Q23839" s="24"/>
      <c r="R23839"/>
      <c r="S23839"/>
      <c r="T23839"/>
      <c r="U23839"/>
      <c r="X23839" s="60"/>
    </row>
    <row r="23840" spans="7:24" ht="15" customHeight="1">
      <c r="G23840"/>
      <c r="I23840"/>
      <c r="N23840"/>
      <c r="O23840" s="24"/>
      <c r="P23840"/>
      <c r="Q23840" s="24"/>
      <c r="R23840"/>
      <c r="S23840"/>
      <c r="T23840"/>
      <c r="U23840"/>
      <c r="X23840" s="60"/>
    </row>
    <row r="23841" spans="7:24" ht="15" customHeight="1">
      <c r="G23841"/>
      <c r="I23841"/>
      <c r="N23841"/>
      <c r="O23841" s="24"/>
      <c r="P23841"/>
      <c r="Q23841" s="24"/>
      <c r="R23841"/>
      <c r="S23841"/>
      <c r="T23841"/>
      <c r="U23841"/>
      <c r="X23841" s="60"/>
    </row>
    <row r="23842" spans="7:24" ht="15" customHeight="1">
      <c r="G23842"/>
      <c r="I23842"/>
      <c r="N23842"/>
      <c r="O23842" s="24"/>
      <c r="P23842"/>
      <c r="Q23842" s="24"/>
      <c r="R23842"/>
      <c r="S23842"/>
      <c r="T23842"/>
      <c r="U23842"/>
      <c r="X23842" s="60"/>
    </row>
    <row r="23843" spans="7:24" ht="15" customHeight="1">
      <c r="G23843"/>
      <c r="I23843"/>
      <c r="N23843"/>
      <c r="O23843" s="24"/>
      <c r="P23843"/>
      <c r="Q23843" s="24"/>
      <c r="R23843"/>
      <c r="S23843"/>
      <c r="T23843"/>
      <c r="U23843"/>
      <c r="X23843" s="60"/>
    </row>
    <row r="23844" spans="7:24" ht="15" customHeight="1">
      <c r="G23844"/>
      <c r="I23844"/>
      <c r="N23844"/>
      <c r="O23844" s="24"/>
      <c r="P23844"/>
      <c r="Q23844" s="24"/>
      <c r="R23844"/>
      <c r="S23844"/>
      <c r="T23844"/>
      <c r="U23844"/>
      <c r="X23844" s="60"/>
    </row>
    <row r="23845" spans="7:24" ht="15" customHeight="1">
      <c r="G23845"/>
      <c r="I23845"/>
      <c r="N23845"/>
      <c r="O23845" s="24"/>
      <c r="P23845"/>
      <c r="Q23845" s="24"/>
      <c r="R23845"/>
      <c r="S23845"/>
      <c r="T23845"/>
      <c r="U23845"/>
      <c r="X23845" s="60"/>
    </row>
    <row r="23846" spans="7:24" ht="15" customHeight="1">
      <c r="G23846"/>
      <c r="I23846"/>
      <c r="N23846"/>
      <c r="O23846" s="24"/>
      <c r="P23846"/>
      <c r="Q23846" s="24"/>
      <c r="R23846"/>
      <c r="S23846"/>
      <c r="T23846"/>
      <c r="U23846"/>
      <c r="X23846" s="60"/>
    </row>
    <row r="23847" spans="7:24" ht="15" customHeight="1">
      <c r="G23847"/>
      <c r="I23847"/>
      <c r="N23847"/>
      <c r="O23847" s="24"/>
      <c r="P23847"/>
      <c r="Q23847" s="24"/>
      <c r="R23847"/>
      <c r="S23847"/>
      <c r="T23847"/>
      <c r="U23847"/>
      <c r="X23847" s="60"/>
    </row>
    <row r="23848" spans="7:24" ht="15" customHeight="1">
      <c r="G23848"/>
      <c r="I23848"/>
      <c r="N23848"/>
      <c r="O23848" s="24"/>
      <c r="P23848"/>
      <c r="Q23848" s="24"/>
      <c r="R23848"/>
      <c r="S23848"/>
      <c r="T23848"/>
      <c r="U23848"/>
      <c r="X23848" s="60"/>
    </row>
    <row r="23849" spans="7:24" ht="15" customHeight="1">
      <c r="G23849"/>
      <c r="I23849"/>
      <c r="N23849"/>
      <c r="O23849" s="24"/>
      <c r="P23849"/>
      <c r="Q23849" s="24"/>
      <c r="R23849"/>
      <c r="S23849"/>
      <c r="T23849"/>
      <c r="U23849"/>
      <c r="X23849" s="60"/>
    </row>
    <row r="23850" spans="7:24" ht="15" customHeight="1">
      <c r="G23850"/>
      <c r="I23850"/>
      <c r="N23850"/>
      <c r="O23850" s="24"/>
      <c r="P23850"/>
      <c r="Q23850" s="24"/>
      <c r="R23850"/>
      <c r="S23850"/>
      <c r="T23850"/>
      <c r="U23850"/>
      <c r="X23850" s="60"/>
    </row>
    <row r="23851" spans="7:24" ht="15" customHeight="1">
      <c r="G23851"/>
      <c r="I23851"/>
      <c r="N23851"/>
      <c r="O23851" s="24"/>
      <c r="P23851"/>
      <c r="Q23851" s="24"/>
      <c r="R23851"/>
      <c r="S23851"/>
      <c r="T23851"/>
      <c r="U23851"/>
      <c r="X23851" s="60"/>
    </row>
    <row r="23852" spans="7:24" ht="15" customHeight="1">
      <c r="G23852"/>
      <c r="I23852"/>
      <c r="N23852"/>
      <c r="O23852" s="24"/>
      <c r="P23852"/>
      <c r="Q23852" s="24"/>
      <c r="R23852"/>
      <c r="S23852"/>
      <c r="T23852"/>
      <c r="U23852"/>
      <c r="X23852" s="60"/>
    </row>
    <row r="23853" spans="7:24" ht="15" customHeight="1">
      <c r="G23853"/>
      <c r="I23853"/>
      <c r="N23853"/>
      <c r="O23853" s="24"/>
      <c r="P23853"/>
      <c r="Q23853" s="24"/>
      <c r="R23853"/>
      <c r="S23853"/>
      <c r="T23853"/>
      <c r="U23853"/>
      <c r="X23853" s="60"/>
    </row>
    <row r="23854" spans="7:24" ht="15" customHeight="1">
      <c r="G23854"/>
      <c r="I23854"/>
      <c r="N23854"/>
      <c r="O23854" s="24"/>
      <c r="P23854"/>
      <c r="Q23854" s="24"/>
      <c r="R23854"/>
      <c r="S23854"/>
      <c r="T23854"/>
      <c r="U23854"/>
      <c r="X23854" s="60"/>
    </row>
    <row r="23855" spans="7:24" ht="15" customHeight="1">
      <c r="G23855"/>
      <c r="I23855"/>
      <c r="N23855"/>
      <c r="O23855" s="24"/>
      <c r="P23855"/>
      <c r="Q23855" s="24"/>
      <c r="R23855"/>
      <c r="S23855"/>
      <c r="T23855"/>
      <c r="U23855"/>
      <c r="X23855" s="60"/>
    </row>
    <row r="23856" spans="7:24" ht="15" customHeight="1">
      <c r="G23856"/>
      <c r="I23856"/>
      <c r="N23856"/>
      <c r="O23856" s="24"/>
      <c r="P23856"/>
      <c r="Q23856" s="24"/>
      <c r="R23856"/>
      <c r="S23856"/>
      <c r="T23856"/>
      <c r="U23856"/>
      <c r="X23856" s="60"/>
    </row>
    <row r="23857" spans="7:24" ht="15" customHeight="1">
      <c r="G23857"/>
      <c r="I23857"/>
      <c r="N23857"/>
      <c r="O23857" s="24"/>
      <c r="P23857"/>
      <c r="Q23857" s="24"/>
      <c r="R23857"/>
      <c r="S23857"/>
      <c r="T23857"/>
      <c r="U23857"/>
      <c r="X23857" s="60"/>
    </row>
    <row r="23858" spans="7:24" ht="15" customHeight="1">
      <c r="G23858"/>
      <c r="I23858"/>
      <c r="N23858"/>
      <c r="O23858" s="24"/>
      <c r="P23858"/>
      <c r="Q23858" s="24"/>
      <c r="R23858"/>
      <c r="S23858"/>
      <c r="T23858"/>
      <c r="U23858"/>
      <c r="X23858" s="60"/>
    </row>
    <row r="23859" spans="7:24" ht="15" customHeight="1">
      <c r="G23859"/>
      <c r="I23859"/>
      <c r="N23859"/>
      <c r="O23859" s="24"/>
      <c r="P23859"/>
      <c r="Q23859" s="24"/>
      <c r="R23859"/>
      <c r="S23859"/>
      <c r="T23859"/>
      <c r="U23859"/>
      <c r="X23859" s="60"/>
    </row>
    <row r="23860" spans="7:24" ht="15" customHeight="1">
      <c r="G23860"/>
      <c r="I23860"/>
      <c r="N23860"/>
      <c r="O23860" s="24"/>
      <c r="P23860"/>
      <c r="Q23860" s="24"/>
      <c r="R23860"/>
      <c r="S23860"/>
      <c r="T23860"/>
      <c r="U23860"/>
      <c r="X23860" s="60"/>
    </row>
    <row r="23861" spans="7:24" ht="15" customHeight="1">
      <c r="G23861"/>
      <c r="I23861"/>
      <c r="N23861"/>
      <c r="O23861" s="24"/>
      <c r="P23861"/>
      <c r="Q23861" s="24"/>
      <c r="R23861"/>
      <c r="S23861"/>
      <c r="T23861"/>
      <c r="U23861"/>
      <c r="X23861" s="60"/>
    </row>
    <row r="23862" spans="7:24" ht="15" customHeight="1">
      <c r="G23862"/>
      <c r="I23862"/>
      <c r="N23862"/>
      <c r="O23862" s="24"/>
      <c r="P23862"/>
      <c r="Q23862" s="24"/>
      <c r="R23862"/>
      <c r="S23862"/>
      <c r="T23862"/>
      <c r="U23862"/>
      <c r="X23862" s="60"/>
    </row>
    <row r="23863" spans="7:24" ht="15" customHeight="1">
      <c r="G23863"/>
      <c r="I23863"/>
      <c r="N23863"/>
      <c r="O23863" s="24"/>
      <c r="P23863"/>
      <c r="Q23863" s="24"/>
      <c r="R23863"/>
      <c r="S23863"/>
      <c r="T23863"/>
      <c r="U23863"/>
      <c r="X23863" s="60"/>
    </row>
    <row r="23864" spans="7:24" ht="15" customHeight="1">
      <c r="G23864"/>
      <c r="I23864"/>
      <c r="N23864"/>
      <c r="O23864" s="24"/>
      <c r="P23864"/>
      <c r="Q23864" s="24"/>
      <c r="R23864"/>
      <c r="S23864"/>
      <c r="T23864"/>
      <c r="U23864"/>
      <c r="X23864" s="60"/>
    </row>
    <row r="23865" spans="7:24" ht="15" customHeight="1">
      <c r="G23865"/>
      <c r="I23865"/>
      <c r="N23865"/>
      <c r="O23865" s="24"/>
      <c r="P23865"/>
      <c r="Q23865" s="24"/>
      <c r="R23865"/>
      <c r="S23865"/>
      <c r="T23865"/>
      <c r="U23865"/>
      <c r="X23865" s="60"/>
    </row>
    <row r="23866" spans="7:24" ht="15" customHeight="1">
      <c r="G23866"/>
      <c r="I23866"/>
      <c r="N23866"/>
      <c r="O23866" s="24"/>
      <c r="P23866"/>
      <c r="Q23866" s="24"/>
      <c r="R23866"/>
      <c r="S23866"/>
      <c r="T23866"/>
      <c r="U23866"/>
      <c r="X23866" s="60"/>
    </row>
    <row r="23867" spans="7:24" ht="15" customHeight="1">
      <c r="G23867"/>
      <c r="I23867"/>
      <c r="N23867"/>
      <c r="O23867" s="24"/>
      <c r="P23867"/>
      <c r="Q23867" s="24"/>
      <c r="R23867"/>
      <c r="S23867"/>
      <c r="T23867"/>
      <c r="U23867"/>
      <c r="X23867" s="60"/>
    </row>
    <row r="23868" spans="7:24" ht="15" customHeight="1">
      <c r="G23868"/>
      <c r="I23868"/>
      <c r="N23868"/>
      <c r="O23868" s="24"/>
      <c r="P23868"/>
      <c r="Q23868" s="24"/>
      <c r="R23868"/>
      <c r="S23868"/>
      <c r="T23868"/>
      <c r="U23868"/>
      <c r="X23868" s="60"/>
    </row>
    <row r="23869" spans="7:24" ht="15" customHeight="1">
      <c r="G23869"/>
      <c r="I23869"/>
      <c r="N23869"/>
      <c r="O23869" s="24"/>
      <c r="P23869"/>
      <c r="Q23869" s="24"/>
      <c r="R23869"/>
      <c r="S23869"/>
      <c r="T23869"/>
      <c r="U23869"/>
      <c r="X23869" s="60"/>
    </row>
    <row r="23870" spans="7:24" ht="15" customHeight="1">
      <c r="G23870"/>
      <c r="I23870"/>
      <c r="N23870"/>
      <c r="O23870" s="24"/>
      <c r="P23870"/>
      <c r="Q23870" s="24"/>
      <c r="R23870"/>
      <c r="S23870"/>
      <c r="T23870"/>
      <c r="U23870"/>
      <c r="X23870" s="60"/>
    </row>
    <row r="23871" spans="7:24" ht="15" customHeight="1">
      <c r="G23871"/>
      <c r="I23871"/>
      <c r="N23871"/>
      <c r="O23871" s="24"/>
      <c r="P23871"/>
      <c r="Q23871" s="24"/>
      <c r="R23871"/>
      <c r="S23871"/>
      <c r="T23871"/>
      <c r="U23871"/>
      <c r="X23871" s="60"/>
    </row>
    <row r="23872" spans="7:24" ht="15" customHeight="1">
      <c r="G23872"/>
      <c r="I23872"/>
      <c r="N23872"/>
      <c r="O23872" s="24"/>
      <c r="P23872"/>
      <c r="Q23872" s="24"/>
      <c r="R23872"/>
      <c r="S23872"/>
      <c r="T23872"/>
      <c r="U23872"/>
      <c r="X23872" s="60"/>
    </row>
    <row r="23873" spans="7:24" ht="15" customHeight="1">
      <c r="G23873"/>
      <c r="I23873"/>
      <c r="N23873"/>
      <c r="O23873" s="24"/>
      <c r="P23873"/>
      <c r="Q23873" s="24"/>
      <c r="R23873"/>
      <c r="S23873"/>
      <c r="T23873"/>
      <c r="U23873"/>
      <c r="X23873" s="60"/>
    </row>
    <row r="23874" spans="7:24" ht="15" customHeight="1">
      <c r="G23874"/>
      <c r="I23874"/>
      <c r="N23874"/>
      <c r="O23874" s="24"/>
      <c r="P23874"/>
      <c r="Q23874" s="24"/>
      <c r="R23874"/>
      <c r="S23874"/>
      <c r="T23874"/>
      <c r="U23874"/>
      <c r="X23874" s="60"/>
    </row>
    <row r="23875" spans="7:24" ht="15" customHeight="1">
      <c r="G23875"/>
      <c r="I23875"/>
      <c r="N23875"/>
      <c r="O23875" s="24"/>
      <c r="P23875"/>
      <c r="Q23875" s="24"/>
      <c r="R23875"/>
      <c r="S23875"/>
      <c r="T23875"/>
      <c r="U23875"/>
      <c r="X23875" s="60"/>
    </row>
    <row r="23876" spans="7:24" ht="15" customHeight="1">
      <c r="G23876"/>
      <c r="I23876"/>
      <c r="N23876"/>
      <c r="O23876" s="24"/>
      <c r="P23876"/>
      <c r="Q23876" s="24"/>
      <c r="R23876"/>
      <c r="S23876"/>
      <c r="T23876"/>
      <c r="U23876"/>
      <c r="X23876" s="60"/>
    </row>
    <row r="23877" spans="7:24" ht="15" customHeight="1">
      <c r="G23877"/>
      <c r="I23877"/>
      <c r="N23877"/>
      <c r="O23877" s="24"/>
      <c r="P23877"/>
      <c r="Q23877" s="24"/>
      <c r="R23877"/>
      <c r="S23877"/>
      <c r="T23877"/>
      <c r="U23877"/>
      <c r="X23877" s="60"/>
    </row>
    <row r="23878" spans="7:24" ht="15" customHeight="1">
      <c r="G23878"/>
      <c r="I23878"/>
      <c r="N23878"/>
      <c r="O23878" s="24"/>
      <c r="P23878"/>
      <c r="Q23878" s="24"/>
      <c r="R23878"/>
      <c r="S23878"/>
      <c r="T23878"/>
      <c r="U23878"/>
      <c r="X23878" s="60"/>
    </row>
    <row r="23879" spans="7:24" ht="15" customHeight="1">
      <c r="G23879"/>
      <c r="I23879"/>
      <c r="N23879"/>
      <c r="O23879" s="24"/>
      <c r="P23879"/>
      <c r="Q23879" s="24"/>
      <c r="R23879"/>
      <c r="S23879"/>
      <c r="T23879"/>
      <c r="U23879"/>
      <c r="X23879" s="60"/>
    </row>
    <row r="23880" spans="7:24" ht="15" customHeight="1">
      <c r="G23880"/>
      <c r="I23880"/>
      <c r="N23880"/>
      <c r="O23880" s="24"/>
      <c r="P23880"/>
      <c r="Q23880" s="24"/>
      <c r="R23880"/>
      <c r="S23880"/>
      <c r="T23880"/>
      <c r="U23880"/>
      <c r="X23880" s="60"/>
    </row>
    <row r="23881" spans="7:24" ht="15" customHeight="1">
      <c r="G23881"/>
      <c r="I23881"/>
      <c r="N23881"/>
      <c r="O23881" s="24"/>
      <c r="P23881"/>
      <c r="Q23881" s="24"/>
      <c r="R23881"/>
      <c r="S23881"/>
      <c r="T23881"/>
      <c r="U23881"/>
      <c r="X23881" s="60"/>
    </row>
    <row r="23882" spans="7:24" ht="15" customHeight="1">
      <c r="G23882"/>
      <c r="I23882"/>
      <c r="N23882"/>
      <c r="O23882" s="24"/>
      <c r="P23882"/>
      <c r="Q23882" s="24"/>
      <c r="R23882"/>
      <c r="S23882"/>
      <c r="T23882"/>
      <c r="U23882"/>
      <c r="X23882" s="60"/>
    </row>
    <row r="23883" spans="7:24" ht="15" customHeight="1">
      <c r="G23883"/>
      <c r="I23883"/>
      <c r="N23883"/>
      <c r="O23883" s="24"/>
      <c r="P23883"/>
      <c r="Q23883" s="24"/>
      <c r="R23883"/>
      <c r="S23883"/>
      <c r="T23883"/>
      <c r="U23883"/>
      <c r="X23883" s="60"/>
    </row>
    <row r="23884" spans="7:24" ht="15" customHeight="1">
      <c r="G23884"/>
      <c r="I23884"/>
      <c r="N23884"/>
      <c r="O23884" s="24"/>
      <c r="P23884"/>
      <c r="Q23884" s="24"/>
      <c r="R23884"/>
      <c r="S23884"/>
      <c r="T23884"/>
      <c r="U23884"/>
      <c r="X23884" s="60"/>
    </row>
    <row r="23885" spans="7:24" ht="15" customHeight="1">
      <c r="G23885"/>
      <c r="I23885"/>
      <c r="N23885"/>
      <c r="O23885" s="24"/>
      <c r="P23885"/>
      <c r="Q23885" s="24"/>
      <c r="R23885"/>
      <c r="S23885"/>
      <c r="T23885"/>
      <c r="U23885"/>
      <c r="X23885" s="60"/>
    </row>
    <row r="23886" spans="7:24" ht="15" customHeight="1">
      <c r="G23886"/>
      <c r="I23886"/>
      <c r="N23886"/>
      <c r="O23886" s="24"/>
      <c r="P23886"/>
      <c r="Q23886" s="24"/>
      <c r="R23886"/>
      <c r="S23886"/>
      <c r="T23886"/>
      <c r="U23886"/>
      <c r="X23886" s="60"/>
    </row>
    <row r="23887" spans="7:24" ht="15" customHeight="1">
      <c r="G23887"/>
      <c r="I23887"/>
      <c r="N23887"/>
      <c r="O23887" s="24"/>
      <c r="P23887"/>
      <c r="Q23887" s="24"/>
      <c r="R23887"/>
      <c r="S23887"/>
      <c r="T23887"/>
      <c r="U23887"/>
      <c r="X23887" s="60"/>
    </row>
    <row r="23888" spans="7:24" ht="15" customHeight="1">
      <c r="G23888"/>
      <c r="I23888"/>
      <c r="N23888"/>
      <c r="O23888" s="24"/>
      <c r="P23888"/>
      <c r="Q23888" s="24"/>
      <c r="R23888"/>
      <c r="S23888"/>
      <c r="T23888"/>
      <c r="U23888"/>
      <c r="X23888" s="60"/>
    </row>
    <row r="23889" spans="7:24" ht="15" customHeight="1">
      <c r="G23889"/>
      <c r="I23889"/>
      <c r="N23889"/>
      <c r="O23889" s="24"/>
      <c r="P23889"/>
      <c r="Q23889" s="24"/>
      <c r="R23889"/>
      <c r="S23889"/>
      <c r="T23889"/>
      <c r="U23889"/>
      <c r="X23889" s="60"/>
    </row>
    <row r="23890" spans="7:24" ht="15" customHeight="1">
      <c r="G23890"/>
      <c r="I23890"/>
      <c r="N23890"/>
      <c r="O23890" s="24"/>
      <c r="P23890"/>
      <c r="Q23890" s="24"/>
      <c r="R23890"/>
      <c r="S23890"/>
      <c r="T23890"/>
      <c r="U23890"/>
      <c r="X23890" s="60"/>
    </row>
    <row r="23891" spans="7:24" ht="15" customHeight="1">
      <c r="G23891"/>
      <c r="I23891"/>
      <c r="N23891"/>
      <c r="O23891" s="24"/>
      <c r="P23891"/>
      <c r="Q23891" s="24"/>
      <c r="R23891"/>
      <c r="S23891"/>
      <c r="T23891"/>
      <c r="U23891"/>
      <c r="X23891" s="60"/>
    </row>
    <row r="23892" spans="7:24" ht="15" customHeight="1">
      <c r="G23892"/>
      <c r="I23892"/>
      <c r="N23892"/>
      <c r="O23892" s="24"/>
      <c r="P23892"/>
      <c r="Q23892" s="24"/>
      <c r="R23892"/>
      <c r="S23892"/>
      <c r="T23892"/>
      <c r="U23892"/>
      <c r="X23892" s="60"/>
    </row>
    <row r="23893" spans="7:24" ht="15" customHeight="1">
      <c r="G23893"/>
      <c r="I23893"/>
      <c r="N23893"/>
      <c r="O23893" s="24"/>
      <c r="P23893"/>
      <c r="Q23893" s="24"/>
      <c r="R23893"/>
      <c r="S23893"/>
      <c r="T23893"/>
      <c r="U23893"/>
      <c r="X23893" s="60"/>
    </row>
    <row r="23894" spans="7:24" ht="15" customHeight="1">
      <c r="G23894"/>
      <c r="I23894"/>
      <c r="N23894"/>
      <c r="O23894" s="24"/>
      <c r="P23894"/>
      <c r="Q23894" s="24"/>
      <c r="R23894"/>
      <c r="S23894"/>
      <c r="T23894"/>
      <c r="U23894"/>
      <c r="X23894" s="60"/>
    </row>
    <row r="23895" spans="7:24" ht="15" customHeight="1">
      <c r="G23895"/>
      <c r="I23895"/>
      <c r="N23895"/>
      <c r="O23895" s="24"/>
      <c r="P23895"/>
      <c r="Q23895" s="24"/>
      <c r="R23895"/>
      <c r="S23895"/>
      <c r="T23895"/>
      <c r="U23895"/>
      <c r="X23895" s="60"/>
    </row>
    <row r="23896" spans="7:24" ht="15" customHeight="1">
      <c r="G23896"/>
      <c r="I23896"/>
      <c r="N23896"/>
      <c r="O23896" s="24"/>
      <c r="P23896"/>
      <c r="Q23896" s="24"/>
      <c r="R23896"/>
      <c r="S23896"/>
      <c r="T23896"/>
      <c r="U23896"/>
      <c r="X23896" s="60"/>
    </row>
    <row r="23897" spans="7:24" ht="15" customHeight="1">
      <c r="G23897"/>
      <c r="I23897"/>
      <c r="N23897"/>
      <c r="O23897" s="24"/>
      <c r="P23897"/>
      <c r="Q23897" s="24"/>
      <c r="R23897"/>
      <c r="S23897"/>
      <c r="T23897"/>
      <c r="U23897"/>
      <c r="X23897" s="60"/>
    </row>
    <row r="23898" spans="7:24" ht="15" customHeight="1">
      <c r="G23898"/>
      <c r="I23898"/>
      <c r="N23898"/>
      <c r="O23898" s="24"/>
      <c r="P23898"/>
      <c r="Q23898" s="24"/>
      <c r="R23898"/>
      <c r="S23898"/>
      <c r="T23898"/>
      <c r="U23898"/>
      <c r="X23898" s="60"/>
    </row>
    <row r="23899" spans="7:24" ht="15" customHeight="1">
      <c r="G23899"/>
      <c r="I23899"/>
      <c r="N23899"/>
      <c r="O23899" s="24"/>
      <c r="P23899"/>
      <c r="Q23899" s="24"/>
      <c r="R23899"/>
      <c r="S23899"/>
      <c r="T23899"/>
      <c r="U23899"/>
      <c r="X23899" s="60"/>
    </row>
    <row r="23900" spans="7:24" ht="15" customHeight="1">
      <c r="G23900"/>
      <c r="I23900"/>
      <c r="N23900"/>
      <c r="O23900" s="24"/>
      <c r="P23900"/>
      <c r="Q23900" s="24"/>
      <c r="R23900"/>
      <c r="S23900"/>
      <c r="T23900"/>
      <c r="U23900"/>
      <c r="X23900" s="60"/>
    </row>
    <row r="23901" spans="7:24" ht="15" customHeight="1">
      <c r="G23901"/>
      <c r="I23901"/>
      <c r="N23901"/>
      <c r="O23901" s="24"/>
      <c r="P23901"/>
      <c r="Q23901" s="24"/>
      <c r="R23901"/>
      <c r="S23901"/>
      <c r="T23901"/>
      <c r="U23901"/>
      <c r="X23901" s="60"/>
    </row>
    <row r="23902" spans="7:24" ht="15" customHeight="1">
      <c r="G23902"/>
      <c r="I23902"/>
      <c r="N23902"/>
      <c r="O23902" s="24"/>
      <c r="P23902"/>
      <c r="Q23902" s="24"/>
      <c r="R23902"/>
      <c r="S23902"/>
      <c r="T23902"/>
      <c r="U23902"/>
      <c r="X23902" s="60"/>
    </row>
    <row r="23903" spans="7:24" ht="15" customHeight="1">
      <c r="G23903"/>
      <c r="I23903"/>
      <c r="N23903"/>
      <c r="O23903" s="24"/>
      <c r="P23903"/>
      <c r="Q23903" s="24"/>
      <c r="R23903"/>
      <c r="S23903"/>
      <c r="T23903"/>
      <c r="U23903"/>
      <c r="X23903" s="60"/>
    </row>
    <row r="23904" spans="7:24" ht="15" customHeight="1">
      <c r="G23904"/>
      <c r="I23904"/>
      <c r="N23904"/>
      <c r="O23904" s="24"/>
      <c r="P23904"/>
      <c r="Q23904" s="24"/>
      <c r="R23904"/>
      <c r="S23904"/>
      <c r="T23904"/>
      <c r="U23904"/>
      <c r="X23904" s="60"/>
    </row>
    <row r="23905" spans="7:24" ht="15" customHeight="1">
      <c r="G23905"/>
      <c r="I23905"/>
      <c r="N23905"/>
      <c r="O23905" s="24"/>
      <c r="P23905"/>
      <c r="Q23905" s="24"/>
      <c r="R23905"/>
      <c r="S23905"/>
      <c r="T23905"/>
      <c r="U23905"/>
      <c r="X23905" s="60"/>
    </row>
    <row r="23906" spans="7:24" ht="15" customHeight="1">
      <c r="G23906"/>
      <c r="I23906"/>
      <c r="N23906"/>
      <c r="O23906" s="24"/>
      <c r="P23906"/>
      <c r="Q23906" s="24"/>
      <c r="R23906"/>
      <c r="S23906"/>
      <c r="T23906"/>
      <c r="U23906"/>
      <c r="X23906" s="60"/>
    </row>
    <row r="23907" spans="7:24" ht="15" customHeight="1">
      <c r="G23907"/>
      <c r="I23907"/>
      <c r="N23907"/>
      <c r="O23907" s="24"/>
      <c r="P23907"/>
      <c r="Q23907" s="24"/>
      <c r="R23907"/>
      <c r="S23907"/>
      <c r="T23907"/>
      <c r="U23907"/>
      <c r="X23907" s="60"/>
    </row>
    <row r="23908" spans="7:24" ht="15" customHeight="1">
      <c r="G23908"/>
      <c r="I23908"/>
      <c r="N23908"/>
      <c r="O23908" s="24"/>
      <c r="P23908"/>
      <c r="Q23908" s="24"/>
      <c r="R23908"/>
      <c r="S23908"/>
      <c r="T23908"/>
      <c r="U23908"/>
      <c r="X23908" s="60"/>
    </row>
    <row r="23909" spans="7:24" ht="15" customHeight="1">
      <c r="G23909"/>
      <c r="I23909"/>
      <c r="N23909"/>
      <c r="O23909" s="24"/>
      <c r="P23909"/>
      <c r="Q23909" s="24"/>
      <c r="R23909"/>
      <c r="S23909"/>
      <c r="T23909"/>
      <c r="U23909"/>
      <c r="X23909" s="60"/>
    </row>
    <row r="23910" spans="7:24" ht="15" customHeight="1">
      <c r="G23910"/>
      <c r="I23910"/>
      <c r="N23910"/>
      <c r="O23910" s="24"/>
      <c r="P23910"/>
      <c r="Q23910" s="24"/>
      <c r="R23910"/>
      <c r="S23910"/>
      <c r="T23910"/>
      <c r="U23910"/>
      <c r="X23910" s="60"/>
    </row>
    <row r="23911" spans="7:24" ht="15" customHeight="1">
      <c r="G23911"/>
      <c r="I23911"/>
      <c r="N23911"/>
      <c r="O23911" s="24"/>
      <c r="P23911"/>
      <c r="Q23911" s="24"/>
      <c r="R23911"/>
      <c r="S23911"/>
      <c r="T23911"/>
      <c r="U23911"/>
      <c r="X23911" s="60"/>
    </row>
    <row r="23912" spans="7:24" ht="15" customHeight="1">
      <c r="G23912"/>
      <c r="I23912"/>
      <c r="N23912"/>
      <c r="O23912" s="24"/>
      <c r="P23912"/>
      <c r="Q23912" s="24"/>
      <c r="R23912"/>
      <c r="S23912"/>
      <c r="T23912"/>
      <c r="U23912"/>
      <c r="X23912" s="60"/>
    </row>
    <row r="23913" spans="7:24" ht="15" customHeight="1">
      <c r="G23913"/>
      <c r="I23913"/>
      <c r="N23913"/>
      <c r="O23913" s="24"/>
      <c r="P23913"/>
      <c r="Q23913" s="24"/>
      <c r="R23913"/>
      <c r="S23913"/>
      <c r="T23913"/>
      <c r="U23913"/>
      <c r="X23913" s="60"/>
    </row>
    <row r="23914" spans="7:24" ht="15" customHeight="1">
      <c r="G23914"/>
      <c r="I23914"/>
      <c r="N23914"/>
      <c r="O23914" s="24"/>
      <c r="P23914"/>
      <c r="Q23914" s="24"/>
      <c r="R23914"/>
      <c r="S23914"/>
      <c r="T23914"/>
      <c r="U23914"/>
      <c r="X23914" s="60"/>
    </row>
    <row r="23915" spans="7:24" ht="15" customHeight="1">
      <c r="G23915"/>
      <c r="I23915"/>
      <c r="N23915"/>
      <c r="O23915" s="24"/>
      <c r="P23915"/>
      <c r="Q23915" s="24"/>
      <c r="R23915"/>
      <c r="S23915"/>
      <c r="T23915"/>
      <c r="U23915"/>
      <c r="X23915" s="60"/>
    </row>
    <row r="23916" spans="7:24" ht="15" customHeight="1">
      <c r="G23916"/>
      <c r="I23916"/>
      <c r="N23916"/>
      <c r="O23916" s="24"/>
      <c r="P23916"/>
      <c r="Q23916" s="24"/>
      <c r="R23916"/>
      <c r="S23916"/>
      <c r="T23916"/>
      <c r="U23916"/>
      <c r="X23916" s="60"/>
    </row>
    <row r="23917" spans="7:24" ht="15" customHeight="1">
      <c r="G23917"/>
      <c r="I23917"/>
      <c r="N23917"/>
      <c r="O23917" s="24"/>
      <c r="P23917"/>
      <c r="Q23917" s="24"/>
      <c r="R23917"/>
      <c r="S23917"/>
      <c r="T23917"/>
      <c r="U23917"/>
      <c r="X23917" s="60"/>
    </row>
    <row r="23918" spans="7:24" ht="15" customHeight="1">
      <c r="G23918"/>
      <c r="I23918"/>
      <c r="N23918"/>
      <c r="O23918" s="24"/>
      <c r="P23918"/>
      <c r="Q23918" s="24"/>
      <c r="R23918"/>
      <c r="S23918"/>
      <c r="T23918"/>
      <c r="U23918"/>
      <c r="X23918" s="60"/>
    </row>
    <row r="23919" spans="7:24" ht="15" customHeight="1">
      <c r="G23919"/>
      <c r="I23919"/>
      <c r="N23919"/>
      <c r="O23919" s="24"/>
      <c r="P23919"/>
      <c r="Q23919" s="24"/>
      <c r="R23919"/>
      <c r="S23919"/>
      <c r="T23919"/>
      <c r="U23919"/>
      <c r="X23919" s="60"/>
    </row>
    <row r="23920" spans="7:24" ht="15" customHeight="1">
      <c r="G23920"/>
      <c r="I23920"/>
      <c r="N23920"/>
      <c r="O23920" s="24"/>
      <c r="P23920"/>
      <c r="Q23920" s="24"/>
      <c r="R23920"/>
      <c r="S23920"/>
      <c r="T23920"/>
      <c r="U23920"/>
      <c r="X23920" s="60"/>
    </row>
    <row r="23921" spans="7:24" ht="15" customHeight="1">
      <c r="G23921"/>
      <c r="I23921"/>
      <c r="N23921"/>
      <c r="O23921" s="24"/>
      <c r="P23921"/>
      <c r="Q23921" s="24"/>
      <c r="R23921"/>
      <c r="S23921"/>
      <c r="T23921"/>
      <c r="U23921"/>
      <c r="X23921" s="60"/>
    </row>
    <row r="23922" spans="7:24" ht="15" customHeight="1">
      <c r="G23922"/>
      <c r="I23922"/>
      <c r="N23922"/>
      <c r="O23922" s="24"/>
      <c r="P23922"/>
      <c r="Q23922" s="24"/>
      <c r="R23922"/>
      <c r="S23922"/>
      <c r="T23922"/>
      <c r="U23922"/>
      <c r="X23922" s="60"/>
    </row>
    <row r="23923" spans="7:24" ht="15" customHeight="1">
      <c r="G23923"/>
      <c r="I23923"/>
      <c r="N23923"/>
      <c r="O23923" s="24"/>
      <c r="P23923"/>
      <c r="Q23923" s="24"/>
      <c r="R23923"/>
      <c r="S23923"/>
      <c r="T23923"/>
      <c r="U23923"/>
      <c r="X23923" s="60"/>
    </row>
    <row r="23924" spans="7:24" ht="15" customHeight="1">
      <c r="G23924"/>
      <c r="I23924"/>
      <c r="N23924"/>
      <c r="O23924" s="24"/>
      <c r="P23924"/>
      <c r="Q23924" s="24"/>
      <c r="R23924"/>
      <c r="S23924"/>
      <c r="T23924"/>
      <c r="U23924"/>
      <c r="X23924" s="60"/>
    </row>
    <row r="23925" spans="7:24" ht="15" customHeight="1">
      <c r="G23925"/>
      <c r="I23925"/>
      <c r="N23925"/>
      <c r="O23925" s="24"/>
      <c r="P23925"/>
      <c r="Q23925" s="24"/>
      <c r="R23925"/>
      <c r="S23925"/>
      <c r="T23925"/>
      <c r="U23925"/>
      <c r="X23925" s="60"/>
    </row>
    <row r="23926" spans="7:24" ht="15" customHeight="1">
      <c r="G23926"/>
      <c r="I23926"/>
      <c r="N23926"/>
      <c r="O23926" s="24"/>
      <c r="P23926"/>
      <c r="Q23926" s="24"/>
      <c r="R23926"/>
      <c r="S23926"/>
      <c r="T23926"/>
      <c r="U23926"/>
      <c r="X23926" s="60"/>
    </row>
    <row r="23927" spans="7:24" ht="15" customHeight="1">
      <c r="G23927"/>
      <c r="I23927"/>
      <c r="N23927"/>
      <c r="O23927" s="24"/>
      <c r="P23927"/>
      <c r="Q23927" s="24"/>
      <c r="R23927"/>
      <c r="S23927"/>
      <c r="T23927"/>
      <c r="U23927"/>
      <c r="X23927" s="60"/>
    </row>
    <row r="23928" spans="7:24" ht="15" customHeight="1">
      <c r="G23928"/>
      <c r="I23928"/>
      <c r="N23928"/>
      <c r="O23928" s="24"/>
      <c r="P23928"/>
      <c r="Q23928" s="24"/>
      <c r="R23928"/>
      <c r="S23928"/>
      <c r="T23928"/>
      <c r="U23928"/>
      <c r="X23928" s="60"/>
    </row>
    <row r="23929" spans="7:24" ht="15" customHeight="1">
      <c r="G23929"/>
      <c r="I23929"/>
      <c r="N23929"/>
      <c r="O23929" s="24"/>
      <c r="P23929"/>
      <c r="Q23929" s="24"/>
      <c r="R23929"/>
      <c r="S23929"/>
      <c r="T23929"/>
      <c r="U23929"/>
      <c r="X23929" s="60"/>
    </row>
    <row r="23930" spans="7:24" ht="15" customHeight="1">
      <c r="G23930"/>
      <c r="I23930"/>
      <c r="N23930"/>
      <c r="O23930" s="24"/>
      <c r="P23930"/>
      <c r="Q23930" s="24"/>
      <c r="R23930"/>
      <c r="S23930"/>
      <c r="T23930"/>
      <c r="U23930"/>
      <c r="X23930" s="60"/>
    </row>
    <row r="23931" spans="7:24" ht="15" customHeight="1">
      <c r="G23931"/>
      <c r="I23931"/>
      <c r="N23931"/>
      <c r="O23931" s="24"/>
      <c r="P23931"/>
      <c r="Q23931" s="24"/>
      <c r="R23931"/>
      <c r="S23931"/>
      <c r="T23931"/>
      <c r="U23931"/>
      <c r="X23931" s="60"/>
    </row>
    <row r="23932" spans="7:24" ht="15" customHeight="1">
      <c r="G23932"/>
      <c r="I23932"/>
      <c r="N23932"/>
      <c r="O23932" s="24"/>
      <c r="P23932"/>
      <c r="Q23932" s="24"/>
      <c r="R23932"/>
      <c r="S23932"/>
      <c r="T23932"/>
      <c r="U23932"/>
      <c r="X23932" s="60"/>
    </row>
    <row r="23933" spans="7:24" ht="15" customHeight="1">
      <c r="G23933"/>
      <c r="I23933"/>
      <c r="N23933"/>
      <c r="O23933" s="24"/>
      <c r="P23933"/>
      <c r="Q23933" s="24"/>
      <c r="R23933"/>
      <c r="S23933"/>
      <c r="T23933"/>
      <c r="U23933"/>
      <c r="X23933" s="60"/>
    </row>
    <row r="23934" spans="7:24" ht="15" customHeight="1">
      <c r="G23934"/>
      <c r="I23934"/>
      <c r="N23934"/>
      <c r="O23934" s="24"/>
      <c r="P23934"/>
      <c r="Q23934" s="24"/>
      <c r="R23934"/>
      <c r="S23934"/>
      <c r="T23934"/>
      <c r="U23934"/>
      <c r="X23934" s="60"/>
    </row>
    <row r="23935" spans="7:24" ht="15" customHeight="1">
      <c r="G23935"/>
      <c r="I23935"/>
      <c r="N23935"/>
      <c r="O23935" s="24"/>
      <c r="P23935"/>
      <c r="Q23935" s="24"/>
      <c r="R23935"/>
      <c r="S23935"/>
      <c r="T23935"/>
      <c r="U23935"/>
      <c r="X23935" s="60"/>
    </row>
    <row r="23936" spans="7:24" ht="15" customHeight="1">
      <c r="G23936"/>
      <c r="I23936"/>
      <c r="N23936"/>
      <c r="O23936" s="24"/>
      <c r="P23936"/>
      <c r="Q23936" s="24"/>
      <c r="R23936"/>
      <c r="S23936"/>
      <c r="T23936"/>
      <c r="U23936"/>
      <c r="X23936" s="60"/>
    </row>
    <row r="23937" spans="7:24" ht="15" customHeight="1">
      <c r="G23937"/>
      <c r="I23937"/>
      <c r="N23937"/>
      <c r="O23937" s="24"/>
      <c r="P23937"/>
      <c r="Q23937" s="24"/>
      <c r="R23937"/>
      <c r="S23937"/>
      <c r="T23937"/>
      <c r="U23937"/>
      <c r="X23937" s="60"/>
    </row>
    <row r="23938" spans="7:24" ht="15" customHeight="1">
      <c r="G23938"/>
      <c r="I23938"/>
      <c r="N23938"/>
      <c r="O23938" s="24"/>
      <c r="P23938"/>
      <c r="Q23938" s="24"/>
      <c r="R23938"/>
      <c r="S23938"/>
      <c r="T23938"/>
      <c r="U23938"/>
      <c r="X23938" s="60"/>
    </row>
    <row r="23939" spans="7:24" ht="15" customHeight="1">
      <c r="G23939"/>
      <c r="I23939"/>
      <c r="N23939"/>
      <c r="O23939" s="24"/>
      <c r="P23939"/>
      <c r="Q23939" s="24"/>
      <c r="R23939"/>
      <c r="S23939"/>
      <c r="T23939"/>
      <c r="U23939"/>
      <c r="X23939" s="60"/>
    </row>
    <row r="23940" spans="7:24" ht="15" customHeight="1">
      <c r="G23940"/>
      <c r="I23940"/>
      <c r="N23940"/>
      <c r="O23940" s="24"/>
      <c r="P23940"/>
      <c r="Q23940" s="24"/>
      <c r="R23940"/>
      <c r="S23940"/>
      <c r="T23940"/>
      <c r="U23940"/>
      <c r="X23940" s="60"/>
    </row>
    <row r="23941" spans="7:24" ht="15" customHeight="1">
      <c r="G23941"/>
      <c r="I23941"/>
      <c r="N23941"/>
      <c r="O23941" s="24"/>
      <c r="P23941"/>
      <c r="Q23941" s="24"/>
      <c r="R23941"/>
      <c r="S23941"/>
      <c r="T23941"/>
      <c r="U23941"/>
      <c r="X23941" s="60"/>
    </row>
    <row r="23942" spans="7:24" ht="15" customHeight="1">
      <c r="G23942"/>
      <c r="I23942"/>
      <c r="N23942"/>
      <c r="O23942" s="24"/>
      <c r="P23942"/>
      <c r="Q23942" s="24"/>
      <c r="R23942"/>
      <c r="S23942"/>
      <c r="T23942"/>
      <c r="U23942"/>
      <c r="X23942" s="60"/>
    </row>
    <row r="23943" spans="7:24" ht="15" customHeight="1">
      <c r="G23943"/>
      <c r="I23943"/>
      <c r="N23943"/>
      <c r="O23943" s="24"/>
      <c r="P23943"/>
      <c r="Q23943" s="24"/>
      <c r="R23943"/>
      <c r="S23943"/>
      <c r="T23943"/>
      <c r="U23943"/>
      <c r="X23943" s="60"/>
    </row>
    <row r="23944" spans="7:24" ht="15" customHeight="1">
      <c r="G23944"/>
      <c r="I23944"/>
      <c r="N23944"/>
      <c r="O23944" s="24"/>
      <c r="P23944"/>
      <c r="Q23944" s="24"/>
      <c r="R23944"/>
      <c r="S23944"/>
      <c r="T23944"/>
      <c r="U23944"/>
      <c r="X23944" s="60"/>
    </row>
    <row r="23945" spans="7:24" ht="15" customHeight="1">
      <c r="G23945"/>
      <c r="I23945"/>
      <c r="N23945"/>
      <c r="O23945" s="24"/>
      <c r="P23945"/>
      <c r="Q23945" s="24"/>
      <c r="R23945"/>
      <c r="S23945"/>
      <c r="T23945"/>
      <c r="U23945"/>
      <c r="X23945" s="60"/>
    </row>
    <row r="23946" spans="7:24" ht="15" customHeight="1">
      <c r="G23946"/>
      <c r="I23946"/>
      <c r="N23946"/>
      <c r="O23946" s="24"/>
      <c r="P23946"/>
      <c r="Q23946" s="24"/>
      <c r="R23946"/>
      <c r="S23946"/>
      <c r="T23946"/>
      <c r="U23946"/>
      <c r="X23946" s="60"/>
    </row>
    <row r="23947" spans="7:24" ht="15" customHeight="1">
      <c r="G23947"/>
      <c r="I23947"/>
      <c r="N23947"/>
      <c r="O23947" s="24"/>
      <c r="P23947"/>
      <c r="Q23947" s="24"/>
      <c r="R23947"/>
      <c r="S23947"/>
      <c r="T23947"/>
      <c r="U23947"/>
      <c r="X23947" s="60"/>
    </row>
    <row r="23948" spans="7:24" ht="15" customHeight="1">
      <c r="G23948"/>
      <c r="I23948"/>
      <c r="N23948"/>
      <c r="O23948" s="24"/>
      <c r="P23948"/>
      <c r="Q23948" s="24"/>
      <c r="R23948"/>
      <c r="S23948"/>
      <c r="T23948"/>
      <c r="U23948"/>
      <c r="X23948" s="60"/>
    </row>
    <row r="23949" spans="7:24" ht="15" customHeight="1">
      <c r="G23949"/>
      <c r="I23949"/>
      <c r="N23949"/>
      <c r="O23949" s="24"/>
      <c r="P23949"/>
      <c r="Q23949" s="24"/>
      <c r="R23949"/>
      <c r="S23949"/>
      <c r="T23949"/>
      <c r="U23949"/>
      <c r="X23949" s="60"/>
    </row>
    <row r="23950" spans="7:24" ht="15" customHeight="1">
      <c r="G23950"/>
      <c r="I23950"/>
      <c r="N23950"/>
      <c r="O23950" s="24"/>
      <c r="P23950"/>
      <c r="Q23950" s="24"/>
      <c r="R23950"/>
      <c r="S23950"/>
      <c r="T23950"/>
      <c r="U23950"/>
      <c r="X23950" s="60"/>
    </row>
    <row r="23951" spans="7:24" ht="15" customHeight="1">
      <c r="G23951"/>
      <c r="I23951"/>
      <c r="N23951"/>
      <c r="O23951" s="24"/>
      <c r="P23951"/>
      <c r="Q23951" s="24"/>
      <c r="R23951"/>
      <c r="S23951"/>
      <c r="T23951"/>
      <c r="U23951"/>
      <c r="X23951" s="60"/>
    </row>
    <row r="23952" spans="7:24" ht="15" customHeight="1">
      <c r="G23952"/>
      <c r="I23952"/>
      <c r="N23952"/>
      <c r="O23952" s="24"/>
      <c r="P23952"/>
      <c r="Q23952" s="24"/>
      <c r="R23952"/>
      <c r="S23952"/>
      <c r="T23952"/>
      <c r="U23952"/>
      <c r="X23952" s="60"/>
    </row>
    <row r="23953" spans="7:24" ht="15" customHeight="1">
      <c r="G23953"/>
      <c r="I23953"/>
      <c r="N23953"/>
      <c r="O23953" s="24"/>
      <c r="P23953"/>
      <c r="Q23953" s="24"/>
      <c r="R23953"/>
      <c r="S23953"/>
      <c r="T23953"/>
      <c r="U23953"/>
      <c r="X23953" s="60"/>
    </row>
    <row r="23954" spans="7:24" ht="15" customHeight="1">
      <c r="G23954"/>
      <c r="I23954"/>
      <c r="N23954"/>
      <c r="O23954" s="24"/>
      <c r="P23954"/>
      <c r="Q23954" s="24"/>
      <c r="R23954"/>
      <c r="S23954"/>
      <c r="T23954"/>
      <c r="U23954"/>
      <c r="X23954" s="60"/>
    </row>
    <row r="23955" spans="7:24" ht="15" customHeight="1">
      <c r="G23955"/>
      <c r="I23955"/>
      <c r="N23955"/>
      <c r="O23955" s="24"/>
      <c r="P23955"/>
      <c r="Q23955" s="24"/>
      <c r="R23955"/>
      <c r="S23955"/>
      <c r="T23955"/>
      <c r="U23955"/>
      <c r="X23955" s="60"/>
    </row>
    <row r="23956" spans="7:24" ht="15" customHeight="1">
      <c r="G23956"/>
      <c r="I23956"/>
      <c r="N23956"/>
      <c r="O23956" s="24"/>
      <c r="P23956"/>
      <c r="Q23956" s="24"/>
      <c r="R23956"/>
      <c r="S23956"/>
      <c r="T23956"/>
      <c r="U23956"/>
      <c r="X23956" s="60"/>
    </row>
    <row r="23957" spans="7:24" ht="15" customHeight="1">
      <c r="G23957"/>
      <c r="I23957"/>
      <c r="N23957"/>
      <c r="O23957" s="24"/>
      <c r="P23957"/>
      <c r="Q23957" s="24"/>
      <c r="R23957"/>
      <c r="S23957"/>
      <c r="T23957"/>
      <c r="U23957"/>
      <c r="X23957" s="60"/>
    </row>
    <row r="23958" spans="7:24" ht="15" customHeight="1">
      <c r="G23958"/>
      <c r="I23958"/>
      <c r="N23958"/>
      <c r="O23958" s="24"/>
      <c r="P23958"/>
      <c r="Q23958" s="24"/>
      <c r="R23958"/>
      <c r="S23958"/>
      <c r="T23958"/>
      <c r="U23958"/>
      <c r="X23958" s="60"/>
    </row>
    <row r="23959" spans="7:24" ht="15" customHeight="1">
      <c r="G23959"/>
      <c r="I23959"/>
      <c r="N23959"/>
      <c r="O23959" s="24"/>
      <c r="P23959"/>
      <c r="Q23959" s="24"/>
      <c r="R23959"/>
      <c r="S23959"/>
      <c r="T23959"/>
      <c r="U23959"/>
      <c r="X23959" s="60"/>
    </row>
    <row r="23960" spans="7:24" ht="15" customHeight="1">
      <c r="G23960"/>
      <c r="I23960"/>
      <c r="N23960"/>
      <c r="O23960" s="24"/>
      <c r="P23960"/>
      <c r="Q23960" s="24"/>
      <c r="R23960"/>
      <c r="S23960"/>
      <c r="T23960"/>
      <c r="U23960"/>
      <c r="X23960" s="60"/>
    </row>
    <row r="23961" spans="7:24" ht="15" customHeight="1">
      <c r="G23961"/>
      <c r="I23961"/>
      <c r="N23961"/>
      <c r="O23961" s="24"/>
      <c r="P23961"/>
      <c r="Q23961" s="24"/>
      <c r="R23961"/>
      <c r="S23961"/>
      <c r="T23961"/>
      <c r="U23961"/>
      <c r="X23961" s="60"/>
    </row>
    <row r="23962" spans="7:24" ht="15" customHeight="1">
      <c r="G23962"/>
      <c r="I23962"/>
      <c r="N23962"/>
      <c r="O23962" s="24"/>
      <c r="P23962"/>
      <c r="Q23962" s="24"/>
      <c r="R23962"/>
      <c r="S23962"/>
      <c r="T23962"/>
      <c r="U23962"/>
      <c r="X23962" s="60"/>
    </row>
    <row r="23963" spans="7:24" ht="15" customHeight="1">
      <c r="G23963"/>
      <c r="I23963"/>
      <c r="N23963"/>
      <c r="O23963" s="24"/>
      <c r="P23963"/>
      <c r="Q23963" s="24"/>
      <c r="R23963"/>
      <c r="S23963"/>
      <c r="T23963"/>
      <c r="U23963"/>
      <c r="X23963" s="60"/>
    </row>
    <row r="23964" spans="7:24" ht="15" customHeight="1">
      <c r="G23964"/>
      <c r="I23964"/>
      <c r="N23964"/>
      <c r="O23964" s="24"/>
      <c r="P23964"/>
      <c r="Q23964" s="24"/>
      <c r="R23964"/>
      <c r="S23964"/>
      <c r="T23964"/>
      <c r="U23964"/>
      <c r="X23964" s="60"/>
    </row>
    <row r="23965" spans="7:24" ht="15" customHeight="1">
      <c r="G23965"/>
      <c r="I23965"/>
      <c r="N23965"/>
      <c r="O23965" s="24"/>
      <c r="P23965"/>
      <c r="Q23965" s="24"/>
      <c r="R23965"/>
      <c r="S23965"/>
      <c r="T23965"/>
      <c r="U23965"/>
      <c r="X23965" s="60"/>
    </row>
    <row r="23966" spans="7:24" ht="15" customHeight="1">
      <c r="G23966"/>
      <c r="I23966"/>
      <c r="N23966"/>
      <c r="O23966" s="24"/>
      <c r="P23966"/>
      <c r="Q23966" s="24"/>
      <c r="R23966"/>
      <c r="S23966"/>
      <c r="T23966"/>
      <c r="U23966"/>
      <c r="X23966" s="60"/>
    </row>
    <row r="23967" spans="7:24" ht="15" customHeight="1">
      <c r="G23967"/>
      <c r="I23967"/>
      <c r="N23967"/>
      <c r="O23967" s="24"/>
      <c r="P23967"/>
      <c r="Q23967" s="24"/>
      <c r="R23967"/>
      <c r="S23967"/>
      <c r="T23967"/>
      <c r="U23967"/>
      <c r="X23967" s="60"/>
    </row>
    <row r="23968" spans="7:24" ht="15" customHeight="1">
      <c r="G23968"/>
      <c r="I23968"/>
      <c r="N23968"/>
      <c r="O23968" s="24"/>
      <c r="P23968"/>
      <c r="Q23968" s="24"/>
      <c r="R23968"/>
      <c r="S23968"/>
      <c r="T23968"/>
      <c r="U23968"/>
      <c r="X23968" s="60"/>
    </row>
    <row r="23969" spans="7:24" ht="15" customHeight="1">
      <c r="G23969"/>
      <c r="I23969"/>
      <c r="N23969"/>
      <c r="O23969" s="24"/>
      <c r="P23969"/>
      <c r="Q23969" s="24"/>
      <c r="R23969"/>
      <c r="S23969"/>
      <c r="T23969"/>
      <c r="U23969"/>
      <c r="X23969" s="60"/>
    </row>
    <row r="23970" spans="7:24" ht="15" customHeight="1">
      <c r="G23970"/>
      <c r="I23970"/>
      <c r="N23970"/>
      <c r="O23970" s="24"/>
      <c r="P23970"/>
      <c r="Q23970" s="24"/>
      <c r="R23970"/>
      <c r="S23970"/>
      <c r="T23970"/>
      <c r="U23970"/>
      <c r="X23970" s="60"/>
    </row>
    <row r="23971" spans="7:24" ht="15" customHeight="1">
      <c r="G23971"/>
      <c r="I23971"/>
      <c r="N23971"/>
      <c r="O23971" s="24"/>
      <c r="P23971"/>
      <c r="Q23971" s="24"/>
      <c r="R23971"/>
      <c r="S23971"/>
      <c r="T23971"/>
      <c r="U23971"/>
      <c r="X23971" s="60"/>
    </row>
    <row r="23972" spans="7:24" ht="15" customHeight="1">
      <c r="G23972"/>
      <c r="I23972"/>
      <c r="N23972"/>
      <c r="O23972" s="24"/>
      <c r="P23972"/>
      <c r="Q23972" s="24"/>
      <c r="R23972"/>
      <c r="S23972"/>
      <c r="T23972"/>
      <c r="U23972"/>
      <c r="X23972" s="60"/>
    </row>
    <row r="23973" spans="7:24" ht="15" customHeight="1">
      <c r="G23973"/>
      <c r="I23973"/>
      <c r="N23973"/>
      <c r="O23973" s="24"/>
      <c r="P23973"/>
      <c r="Q23973" s="24"/>
      <c r="R23973"/>
      <c r="S23973"/>
      <c r="T23973"/>
      <c r="U23973"/>
      <c r="X23973" s="60"/>
    </row>
    <row r="23974" spans="7:24" ht="15" customHeight="1">
      <c r="G23974"/>
      <c r="I23974"/>
      <c r="N23974"/>
      <c r="O23974" s="24"/>
      <c r="P23974"/>
      <c r="Q23974" s="24"/>
      <c r="R23974"/>
      <c r="S23974"/>
      <c r="T23974"/>
      <c r="U23974"/>
      <c r="X23974" s="60"/>
    </row>
    <row r="23975" spans="7:24" ht="15" customHeight="1">
      <c r="G23975"/>
      <c r="I23975"/>
      <c r="N23975"/>
      <c r="O23975" s="24"/>
      <c r="P23975"/>
      <c r="Q23975" s="24"/>
      <c r="R23975"/>
      <c r="S23975"/>
      <c r="T23975"/>
      <c r="U23975"/>
      <c r="X23975" s="60"/>
    </row>
    <row r="23976" spans="7:24" ht="15" customHeight="1">
      <c r="G23976"/>
      <c r="I23976"/>
      <c r="N23976"/>
      <c r="O23976" s="24"/>
      <c r="P23976"/>
      <c r="Q23976" s="24"/>
      <c r="R23976"/>
      <c r="S23976"/>
      <c r="T23976"/>
      <c r="U23976"/>
      <c r="X23976" s="60"/>
    </row>
    <row r="23977" spans="7:24" ht="15" customHeight="1">
      <c r="G23977"/>
      <c r="I23977"/>
      <c r="N23977"/>
      <c r="O23977" s="24"/>
      <c r="P23977"/>
      <c r="Q23977" s="24"/>
      <c r="R23977"/>
      <c r="S23977"/>
      <c r="T23977"/>
      <c r="U23977"/>
      <c r="X23977" s="60"/>
    </row>
    <row r="23978" spans="7:24" ht="15" customHeight="1">
      <c r="G23978"/>
      <c r="I23978"/>
      <c r="N23978"/>
      <c r="O23978" s="24"/>
      <c r="P23978"/>
      <c r="Q23978" s="24"/>
      <c r="R23978"/>
      <c r="S23978"/>
      <c r="T23978"/>
      <c r="U23978"/>
      <c r="X23978" s="60"/>
    </row>
    <row r="23979" spans="7:24" ht="15" customHeight="1">
      <c r="G23979"/>
      <c r="I23979"/>
      <c r="N23979"/>
      <c r="O23979" s="24"/>
      <c r="P23979"/>
      <c r="Q23979" s="24"/>
      <c r="R23979"/>
      <c r="S23979"/>
      <c r="T23979"/>
      <c r="U23979"/>
      <c r="X23979" s="60"/>
    </row>
    <row r="23980" spans="7:24" ht="15" customHeight="1">
      <c r="G23980"/>
      <c r="I23980"/>
      <c r="N23980"/>
      <c r="O23980" s="24"/>
      <c r="P23980"/>
      <c r="Q23980" s="24"/>
      <c r="R23980"/>
      <c r="S23980"/>
      <c r="T23980"/>
      <c r="U23980"/>
      <c r="X23980" s="60"/>
    </row>
    <row r="23981" spans="7:24" ht="15" customHeight="1">
      <c r="G23981"/>
      <c r="I23981"/>
      <c r="N23981"/>
      <c r="O23981" s="24"/>
      <c r="P23981"/>
      <c r="Q23981" s="24"/>
      <c r="R23981"/>
      <c r="S23981"/>
      <c r="T23981"/>
      <c r="U23981"/>
      <c r="X23981" s="60"/>
    </row>
    <row r="23982" spans="7:24" ht="15" customHeight="1">
      <c r="G23982"/>
      <c r="I23982"/>
      <c r="N23982"/>
      <c r="O23982" s="24"/>
      <c r="P23982"/>
      <c r="Q23982" s="24"/>
      <c r="R23982"/>
      <c r="S23982"/>
      <c r="T23982"/>
      <c r="U23982"/>
      <c r="X23982" s="60"/>
    </row>
    <row r="23983" spans="7:24" ht="15" customHeight="1">
      <c r="G23983"/>
      <c r="I23983"/>
      <c r="N23983"/>
      <c r="O23983" s="24"/>
      <c r="P23983"/>
      <c r="Q23983" s="24"/>
      <c r="R23983"/>
      <c r="S23983"/>
      <c r="T23983"/>
      <c r="U23983"/>
      <c r="X23983" s="60"/>
    </row>
    <row r="23984" spans="7:24" ht="15" customHeight="1">
      <c r="G23984"/>
      <c r="I23984"/>
      <c r="N23984"/>
      <c r="O23984" s="24"/>
      <c r="P23984"/>
      <c r="Q23984" s="24"/>
      <c r="R23984"/>
      <c r="S23984"/>
      <c r="T23984"/>
      <c r="U23984"/>
      <c r="X23984" s="60"/>
    </row>
    <row r="23985" spans="7:24" ht="15" customHeight="1">
      <c r="G23985"/>
      <c r="I23985"/>
      <c r="N23985"/>
      <c r="O23985" s="24"/>
      <c r="P23985"/>
      <c r="Q23985" s="24"/>
      <c r="R23985"/>
      <c r="S23985"/>
      <c r="T23985"/>
      <c r="U23985"/>
      <c r="X23985" s="60"/>
    </row>
    <row r="23986" spans="7:24" ht="15" customHeight="1">
      <c r="G23986"/>
      <c r="I23986"/>
      <c r="N23986"/>
      <c r="O23986" s="24"/>
      <c r="P23986"/>
      <c r="Q23986" s="24"/>
      <c r="R23986"/>
      <c r="S23986"/>
      <c r="T23986"/>
      <c r="U23986"/>
      <c r="X23986" s="60"/>
    </row>
    <row r="23987" spans="7:24" ht="15" customHeight="1">
      <c r="G23987"/>
      <c r="I23987"/>
      <c r="N23987"/>
      <c r="O23987" s="24"/>
      <c r="P23987"/>
      <c r="Q23987" s="24"/>
      <c r="R23987"/>
      <c r="S23987"/>
      <c r="T23987"/>
      <c r="U23987"/>
      <c r="X23987" s="60"/>
    </row>
    <row r="23988" spans="7:24" ht="15" customHeight="1">
      <c r="G23988"/>
      <c r="I23988"/>
      <c r="N23988"/>
      <c r="O23988" s="24"/>
      <c r="P23988"/>
      <c r="Q23988" s="24"/>
      <c r="R23988"/>
      <c r="S23988"/>
      <c r="T23988"/>
      <c r="U23988"/>
      <c r="X23988" s="60"/>
    </row>
    <row r="23989" spans="7:24" ht="15" customHeight="1">
      <c r="G23989"/>
      <c r="I23989"/>
      <c r="N23989"/>
      <c r="O23989" s="24"/>
      <c r="P23989"/>
      <c r="Q23989" s="24"/>
      <c r="R23989"/>
      <c r="S23989"/>
      <c r="T23989"/>
      <c r="U23989"/>
      <c r="X23989" s="60"/>
    </row>
    <row r="23990" spans="7:24" ht="15" customHeight="1">
      <c r="G23990"/>
      <c r="I23990"/>
      <c r="N23990"/>
      <c r="O23990" s="24"/>
      <c r="P23990"/>
      <c r="Q23990" s="24"/>
      <c r="R23990"/>
      <c r="S23990"/>
      <c r="T23990"/>
      <c r="U23990"/>
      <c r="X23990" s="60"/>
    </row>
    <row r="23991" spans="7:24" ht="15" customHeight="1">
      <c r="G23991"/>
      <c r="I23991"/>
      <c r="N23991"/>
      <c r="O23991" s="24"/>
      <c r="P23991"/>
      <c r="Q23991" s="24"/>
      <c r="R23991"/>
      <c r="S23991"/>
      <c r="T23991"/>
      <c r="U23991"/>
      <c r="X23991" s="60"/>
    </row>
    <row r="23992" spans="7:24" ht="15" customHeight="1">
      <c r="G23992"/>
      <c r="I23992"/>
      <c r="N23992"/>
      <c r="O23992" s="24"/>
      <c r="P23992"/>
      <c r="Q23992" s="24"/>
      <c r="R23992"/>
      <c r="S23992"/>
      <c r="T23992"/>
      <c r="U23992"/>
      <c r="X23992" s="60"/>
    </row>
    <row r="23993" spans="7:24" ht="15" customHeight="1">
      <c r="G23993"/>
      <c r="I23993"/>
      <c r="N23993"/>
      <c r="O23993" s="24"/>
      <c r="P23993"/>
      <c r="Q23993" s="24"/>
      <c r="R23993"/>
      <c r="S23993"/>
      <c r="T23993"/>
      <c r="U23993"/>
      <c r="X23993" s="60"/>
    </row>
    <row r="23994" spans="7:24" ht="15" customHeight="1">
      <c r="G23994"/>
      <c r="I23994"/>
      <c r="N23994"/>
      <c r="O23994" s="24"/>
      <c r="P23994"/>
      <c r="Q23994" s="24"/>
      <c r="R23994"/>
      <c r="S23994"/>
      <c r="T23994"/>
      <c r="U23994"/>
      <c r="X23994" s="60"/>
    </row>
    <row r="23995" spans="7:24" ht="15" customHeight="1">
      <c r="G23995"/>
      <c r="I23995"/>
      <c r="N23995"/>
      <c r="O23995" s="24"/>
      <c r="P23995"/>
      <c r="Q23995" s="24"/>
      <c r="R23995"/>
      <c r="S23995"/>
      <c r="T23995"/>
      <c r="U23995"/>
      <c r="X23995" s="60"/>
    </row>
    <row r="23996" spans="7:24" ht="15" customHeight="1">
      <c r="G23996"/>
      <c r="I23996"/>
      <c r="N23996"/>
      <c r="O23996" s="24"/>
      <c r="P23996"/>
      <c r="Q23996" s="24"/>
      <c r="R23996"/>
      <c r="S23996"/>
      <c r="T23996"/>
      <c r="U23996"/>
      <c r="X23996" s="60"/>
    </row>
    <row r="23997" spans="7:24" ht="15" customHeight="1">
      <c r="G23997"/>
      <c r="I23997"/>
      <c r="N23997"/>
      <c r="O23997" s="24"/>
      <c r="P23997"/>
      <c r="Q23997" s="24"/>
      <c r="R23997"/>
      <c r="S23997"/>
      <c r="T23997"/>
      <c r="U23997"/>
      <c r="X23997" s="60"/>
    </row>
    <row r="23998" spans="7:24" ht="15" customHeight="1">
      <c r="G23998"/>
      <c r="I23998"/>
      <c r="N23998"/>
      <c r="O23998" s="24"/>
      <c r="P23998"/>
      <c r="Q23998" s="24"/>
      <c r="R23998"/>
      <c r="S23998"/>
      <c r="T23998"/>
      <c r="U23998"/>
      <c r="X23998" s="60"/>
    </row>
    <row r="23999" spans="7:24" ht="15" customHeight="1">
      <c r="G23999"/>
      <c r="I23999"/>
      <c r="N23999"/>
      <c r="O23999" s="24"/>
      <c r="P23999"/>
      <c r="Q23999" s="24"/>
      <c r="R23999"/>
      <c r="S23999"/>
      <c r="T23999"/>
      <c r="U23999"/>
      <c r="X23999" s="60"/>
    </row>
    <row r="24000" spans="7:24" ht="15" customHeight="1">
      <c r="G24000"/>
      <c r="I24000"/>
      <c r="N24000"/>
      <c r="O24000" s="24"/>
      <c r="P24000"/>
      <c r="Q24000" s="24"/>
      <c r="R24000"/>
      <c r="S24000"/>
      <c r="T24000"/>
      <c r="U24000"/>
      <c r="X24000" s="60"/>
    </row>
    <row r="24001" spans="7:24" ht="15" customHeight="1">
      <c r="G24001"/>
      <c r="I24001"/>
      <c r="N24001"/>
      <c r="O24001" s="24"/>
      <c r="P24001"/>
      <c r="Q24001" s="24"/>
      <c r="R24001"/>
      <c r="S24001"/>
      <c r="T24001"/>
      <c r="U24001"/>
      <c r="X24001" s="60"/>
    </row>
    <row r="24002" spans="7:24" ht="15" customHeight="1">
      <c r="G24002"/>
      <c r="I24002"/>
      <c r="N24002"/>
      <c r="O24002" s="24"/>
      <c r="P24002"/>
      <c r="Q24002" s="24"/>
      <c r="R24002"/>
      <c r="S24002"/>
      <c r="T24002"/>
      <c r="U24002"/>
      <c r="X24002" s="60"/>
    </row>
    <row r="24003" spans="7:24" ht="15" customHeight="1">
      <c r="G24003"/>
      <c r="I24003"/>
      <c r="N24003"/>
      <c r="O24003" s="24"/>
      <c r="P24003"/>
      <c r="Q24003" s="24"/>
      <c r="R24003"/>
      <c r="S24003"/>
      <c r="T24003"/>
      <c r="U24003"/>
      <c r="X24003" s="60"/>
    </row>
    <row r="24004" spans="7:24" ht="15" customHeight="1">
      <c r="G24004"/>
      <c r="I24004"/>
      <c r="N24004"/>
      <c r="O24004" s="24"/>
      <c r="P24004"/>
      <c r="Q24004" s="24"/>
      <c r="R24004"/>
      <c r="S24004"/>
      <c r="T24004"/>
      <c r="U24004"/>
      <c r="X24004" s="60"/>
    </row>
    <row r="24005" spans="7:24" ht="15" customHeight="1">
      <c r="G24005"/>
      <c r="I24005"/>
      <c r="N24005"/>
      <c r="O24005" s="24"/>
      <c r="P24005"/>
      <c r="Q24005" s="24"/>
      <c r="R24005"/>
      <c r="S24005"/>
      <c r="T24005"/>
      <c r="U24005"/>
      <c r="X24005" s="60"/>
    </row>
    <row r="24006" spans="7:24" ht="15" customHeight="1">
      <c r="G24006"/>
      <c r="I24006"/>
      <c r="N24006"/>
      <c r="O24006" s="24"/>
      <c r="P24006"/>
      <c r="Q24006" s="24"/>
      <c r="R24006"/>
      <c r="S24006"/>
      <c r="T24006"/>
      <c r="U24006"/>
      <c r="X24006" s="60"/>
    </row>
    <row r="24007" spans="7:24" ht="15" customHeight="1">
      <c r="G24007"/>
      <c r="I24007"/>
      <c r="N24007"/>
      <c r="O24007" s="24"/>
      <c r="P24007"/>
      <c r="Q24007" s="24"/>
      <c r="R24007"/>
      <c r="S24007"/>
      <c r="T24007"/>
      <c r="U24007"/>
      <c r="X24007" s="60"/>
    </row>
    <row r="24008" spans="7:24" ht="15" customHeight="1">
      <c r="G24008"/>
      <c r="I24008"/>
      <c r="N24008"/>
      <c r="O24008" s="24"/>
      <c r="P24008"/>
      <c r="Q24008" s="24"/>
      <c r="R24008"/>
      <c r="S24008"/>
      <c r="T24008"/>
      <c r="U24008"/>
      <c r="X24008" s="60"/>
    </row>
    <row r="24009" spans="7:24" ht="15" customHeight="1">
      <c r="G24009"/>
      <c r="I24009"/>
      <c r="N24009"/>
      <c r="O24009" s="24"/>
      <c r="P24009"/>
      <c r="Q24009" s="24"/>
      <c r="R24009"/>
      <c r="S24009"/>
      <c r="T24009"/>
      <c r="U24009"/>
      <c r="X24009" s="60"/>
    </row>
    <row r="24010" spans="7:24" ht="15" customHeight="1">
      <c r="G24010"/>
      <c r="I24010"/>
      <c r="N24010"/>
      <c r="O24010" s="24"/>
      <c r="P24010"/>
      <c r="Q24010" s="24"/>
      <c r="R24010"/>
      <c r="S24010"/>
      <c r="T24010"/>
      <c r="U24010"/>
      <c r="X24010" s="60"/>
    </row>
    <row r="24011" spans="7:24" ht="15" customHeight="1">
      <c r="G24011"/>
      <c r="I24011"/>
      <c r="N24011"/>
      <c r="O24011" s="24"/>
      <c r="P24011"/>
      <c r="Q24011" s="24"/>
      <c r="R24011"/>
      <c r="S24011"/>
      <c r="T24011"/>
      <c r="U24011"/>
      <c r="X24011" s="60"/>
    </row>
    <row r="24012" spans="7:24" ht="15" customHeight="1">
      <c r="G24012"/>
      <c r="I24012"/>
      <c r="N24012"/>
      <c r="O24012" s="24"/>
      <c r="P24012"/>
      <c r="Q24012" s="24"/>
      <c r="R24012"/>
      <c r="S24012"/>
      <c r="T24012"/>
      <c r="U24012"/>
      <c r="X24012" s="60"/>
    </row>
    <row r="24013" spans="7:24" ht="15" customHeight="1">
      <c r="G24013"/>
      <c r="I24013"/>
      <c r="N24013"/>
      <c r="O24013" s="24"/>
      <c r="P24013"/>
      <c r="Q24013" s="24"/>
      <c r="R24013"/>
      <c r="S24013"/>
      <c r="T24013"/>
      <c r="U24013"/>
      <c r="X24013" s="60"/>
    </row>
    <row r="24014" spans="7:24" ht="15" customHeight="1">
      <c r="G24014"/>
      <c r="I24014"/>
      <c r="N24014"/>
      <c r="O24014" s="24"/>
      <c r="P24014"/>
      <c r="Q24014" s="24"/>
      <c r="R24014"/>
      <c r="S24014"/>
      <c r="T24014"/>
      <c r="U24014"/>
      <c r="X24014" s="60"/>
    </row>
    <row r="24015" spans="7:24" ht="15" customHeight="1">
      <c r="G24015"/>
      <c r="I24015"/>
      <c r="N24015"/>
      <c r="O24015" s="24"/>
      <c r="P24015"/>
      <c r="Q24015" s="24"/>
      <c r="R24015"/>
      <c r="S24015"/>
      <c r="T24015"/>
      <c r="U24015"/>
      <c r="X24015" s="60"/>
    </row>
    <row r="24016" spans="7:24" ht="15" customHeight="1">
      <c r="G24016"/>
      <c r="I24016"/>
      <c r="N24016"/>
      <c r="O24016" s="24"/>
      <c r="P24016"/>
      <c r="Q24016" s="24"/>
      <c r="R24016"/>
      <c r="S24016"/>
      <c r="T24016"/>
      <c r="U24016"/>
      <c r="X24016" s="60"/>
    </row>
    <row r="24017" spans="7:24" ht="15" customHeight="1">
      <c r="G24017"/>
      <c r="I24017"/>
      <c r="N24017"/>
      <c r="O24017" s="24"/>
      <c r="P24017"/>
      <c r="Q24017" s="24"/>
      <c r="R24017"/>
      <c r="S24017"/>
      <c r="T24017"/>
      <c r="U24017"/>
      <c r="X24017" s="60"/>
    </row>
    <row r="24018" spans="7:24" ht="15" customHeight="1">
      <c r="G24018"/>
      <c r="I24018"/>
      <c r="N24018"/>
      <c r="O24018" s="24"/>
      <c r="P24018"/>
      <c r="Q24018" s="24"/>
      <c r="R24018"/>
      <c r="S24018"/>
      <c r="T24018"/>
      <c r="U24018"/>
      <c r="X24018" s="60"/>
    </row>
    <row r="24019" spans="7:24" ht="15" customHeight="1">
      <c r="G24019"/>
      <c r="I24019"/>
      <c r="N24019"/>
      <c r="O24019" s="24"/>
      <c r="P24019"/>
      <c r="Q24019" s="24"/>
      <c r="R24019"/>
      <c r="S24019"/>
      <c r="T24019"/>
      <c r="U24019"/>
      <c r="X24019" s="60"/>
    </row>
    <row r="24020" spans="7:24" ht="15" customHeight="1">
      <c r="G24020"/>
      <c r="I24020"/>
      <c r="N24020"/>
      <c r="O24020" s="24"/>
      <c r="P24020"/>
      <c r="Q24020" s="24"/>
      <c r="R24020"/>
      <c r="S24020"/>
      <c r="T24020"/>
      <c r="U24020"/>
      <c r="X24020" s="60"/>
    </row>
    <row r="24021" spans="7:24" ht="15" customHeight="1">
      <c r="G24021"/>
      <c r="I24021"/>
      <c r="N24021"/>
      <c r="O24021" s="24"/>
      <c r="P24021"/>
      <c r="Q24021" s="24"/>
      <c r="R24021"/>
      <c r="S24021"/>
      <c r="T24021"/>
      <c r="U24021"/>
      <c r="X24021" s="60"/>
    </row>
    <row r="24022" spans="7:24" ht="15" customHeight="1">
      <c r="G24022"/>
      <c r="I24022"/>
      <c r="N24022"/>
      <c r="O24022" s="24"/>
      <c r="P24022"/>
      <c r="Q24022" s="24"/>
      <c r="R24022"/>
      <c r="S24022"/>
      <c r="T24022"/>
      <c r="U24022"/>
      <c r="X24022" s="60"/>
    </row>
    <row r="24023" spans="7:24" ht="15" customHeight="1">
      <c r="G24023"/>
      <c r="I24023"/>
      <c r="N24023"/>
      <c r="O24023" s="24"/>
      <c r="P24023"/>
      <c r="Q24023" s="24"/>
      <c r="R24023"/>
      <c r="S24023"/>
      <c r="T24023"/>
      <c r="U24023"/>
      <c r="X24023" s="60"/>
    </row>
    <row r="24024" spans="7:24" ht="15" customHeight="1">
      <c r="G24024"/>
      <c r="I24024"/>
      <c r="N24024"/>
      <c r="O24024" s="24"/>
      <c r="P24024"/>
      <c r="Q24024" s="24"/>
      <c r="R24024"/>
      <c r="S24024"/>
      <c r="T24024"/>
      <c r="U24024"/>
      <c r="X24024" s="60"/>
    </row>
    <row r="24025" spans="7:24" ht="15" customHeight="1">
      <c r="G24025"/>
      <c r="I24025"/>
      <c r="N24025"/>
      <c r="O24025" s="24"/>
      <c r="P24025"/>
      <c r="Q24025" s="24"/>
      <c r="R24025"/>
      <c r="S24025"/>
      <c r="T24025"/>
      <c r="U24025"/>
      <c r="X24025" s="60"/>
    </row>
    <row r="24026" spans="7:24" ht="15" customHeight="1">
      <c r="G24026"/>
      <c r="I24026"/>
      <c r="N24026"/>
      <c r="O24026" s="24"/>
      <c r="P24026"/>
      <c r="Q24026" s="24"/>
      <c r="R24026"/>
      <c r="S24026"/>
      <c r="T24026"/>
      <c r="U24026"/>
      <c r="X24026" s="60"/>
    </row>
    <row r="24027" spans="7:24" ht="15" customHeight="1">
      <c r="G24027"/>
      <c r="I24027"/>
      <c r="N24027"/>
      <c r="O24027" s="24"/>
      <c r="P24027"/>
      <c r="Q24027" s="24"/>
      <c r="R24027"/>
      <c r="S24027"/>
      <c r="T24027"/>
      <c r="U24027"/>
      <c r="X24027" s="60"/>
    </row>
    <row r="24028" spans="7:24" ht="15" customHeight="1">
      <c r="G24028"/>
      <c r="I24028"/>
      <c r="N24028"/>
      <c r="O24028" s="24"/>
      <c r="P24028"/>
      <c r="Q24028" s="24"/>
      <c r="R24028"/>
      <c r="S24028"/>
      <c r="T24028"/>
      <c r="U24028"/>
      <c r="X24028" s="60"/>
    </row>
    <row r="24029" spans="7:24" ht="15" customHeight="1">
      <c r="G24029"/>
      <c r="I24029"/>
      <c r="N24029"/>
      <c r="O24029" s="24"/>
      <c r="P24029"/>
      <c r="Q24029" s="24"/>
      <c r="R24029"/>
      <c r="S24029"/>
      <c r="T24029"/>
      <c r="U24029"/>
      <c r="X24029" s="60"/>
    </row>
    <row r="24030" spans="7:24" ht="15" customHeight="1">
      <c r="G24030"/>
      <c r="I24030"/>
      <c r="N24030"/>
      <c r="O24030" s="24"/>
      <c r="P24030"/>
      <c r="Q24030" s="24"/>
      <c r="R24030"/>
      <c r="S24030"/>
      <c r="T24030"/>
      <c r="U24030"/>
      <c r="X24030" s="60"/>
    </row>
    <row r="24031" spans="7:24" ht="15" customHeight="1">
      <c r="G24031"/>
      <c r="I24031"/>
      <c r="N24031"/>
      <c r="O24031" s="24"/>
      <c r="P24031"/>
      <c r="Q24031" s="24"/>
      <c r="R24031"/>
      <c r="S24031"/>
      <c r="T24031"/>
      <c r="U24031"/>
      <c r="X24031" s="60"/>
    </row>
    <row r="24032" spans="7:24" ht="15" customHeight="1">
      <c r="G24032"/>
      <c r="I24032"/>
      <c r="N24032"/>
      <c r="O24032" s="24"/>
      <c r="P24032"/>
      <c r="Q24032" s="24"/>
      <c r="R24032"/>
      <c r="S24032"/>
      <c r="T24032"/>
      <c r="U24032"/>
      <c r="X24032" s="60"/>
    </row>
    <row r="24033" spans="7:24" ht="15" customHeight="1">
      <c r="G24033"/>
      <c r="I24033"/>
      <c r="N24033"/>
      <c r="O24033" s="24"/>
      <c r="P24033"/>
      <c r="Q24033" s="24"/>
      <c r="R24033"/>
      <c r="S24033"/>
      <c r="T24033"/>
      <c r="U24033"/>
      <c r="X24033" s="60"/>
    </row>
    <row r="24034" spans="7:24" ht="15" customHeight="1">
      <c r="G24034"/>
      <c r="I24034"/>
      <c r="N24034"/>
      <c r="O24034" s="24"/>
      <c r="P24034"/>
      <c r="Q24034" s="24"/>
      <c r="R24034"/>
      <c r="S24034"/>
      <c r="T24034"/>
      <c r="U24034"/>
      <c r="X24034" s="60"/>
    </row>
    <row r="24035" spans="7:24" ht="15" customHeight="1">
      <c r="G24035"/>
      <c r="I24035"/>
      <c r="N24035"/>
      <c r="O24035" s="24"/>
      <c r="P24035"/>
      <c r="Q24035" s="24"/>
      <c r="R24035"/>
      <c r="S24035"/>
      <c r="T24035"/>
      <c r="U24035"/>
      <c r="X24035" s="60"/>
    </row>
    <row r="24036" spans="7:24" ht="15" customHeight="1">
      <c r="G24036"/>
      <c r="I24036"/>
      <c r="N24036"/>
      <c r="O24036" s="24"/>
      <c r="P24036"/>
      <c r="Q24036" s="24"/>
      <c r="R24036"/>
      <c r="S24036"/>
      <c r="T24036"/>
      <c r="U24036"/>
      <c r="X24036" s="60"/>
    </row>
    <row r="24037" spans="7:24" ht="15" customHeight="1">
      <c r="G24037"/>
      <c r="I24037"/>
      <c r="N24037"/>
      <c r="O24037" s="24"/>
      <c r="P24037"/>
      <c r="Q24037" s="24"/>
      <c r="R24037"/>
      <c r="S24037"/>
      <c r="T24037"/>
      <c r="U24037"/>
      <c r="X24037" s="60"/>
    </row>
    <row r="24038" spans="7:24" ht="15" customHeight="1">
      <c r="G24038"/>
      <c r="I24038"/>
      <c r="N24038"/>
      <c r="O24038" s="24"/>
      <c r="P24038"/>
      <c r="Q24038" s="24"/>
      <c r="R24038"/>
      <c r="S24038"/>
      <c r="T24038"/>
      <c r="U24038"/>
      <c r="X24038" s="60"/>
    </row>
    <row r="24039" spans="7:24" ht="15" customHeight="1">
      <c r="G24039"/>
      <c r="I24039"/>
      <c r="N24039"/>
      <c r="O24039" s="24"/>
      <c r="P24039"/>
      <c r="Q24039" s="24"/>
      <c r="R24039"/>
      <c r="S24039"/>
      <c r="T24039"/>
      <c r="U24039"/>
      <c r="X24039" s="60"/>
    </row>
    <row r="24040" spans="7:24" ht="15" customHeight="1">
      <c r="G24040"/>
      <c r="I24040"/>
      <c r="N24040"/>
      <c r="O24040" s="24"/>
      <c r="P24040"/>
      <c r="Q24040" s="24"/>
      <c r="R24040"/>
      <c r="S24040"/>
      <c r="T24040"/>
      <c r="U24040"/>
      <c r="X24040" s="60"/>
    </row>
    <row r="24041" spans="7:24" ht="15" customHeight="1">
      <c r="G24041"/>
      <c r="I24041"/>
      <c r="N24041"/>
      <c r="O24041" s="24"/>
      <c r="P24041"/>
      <c r="Q24041" s="24"/>
      <c r="R24041"/>
      <c r="S24041"/>
      <c r="T24041"/>
      <c r="U24041"/>
      <c r="X24041" s="60"/>
    </row>
    <row r="24042" spans="7:24" ht="15" customHeight="1">
      <c r="G24042"/>
      <c r="I24042"/>
      <c r="N24042"/>
      <c r="O24042" s="24"/>
      <c r="P24042"/>
      <c r="Q24042" s="24"/>
      <c r="R24042"/>
      <c r="S24042"/>
      <c r="T24042"/>
      <c r="U24042"/>
      <c r="X24042" s="60"/>
    </row>
    <row r="24043" spans="7:24" ht="15" customHeight="1">
      <c r="G24043"/>
      <c r="I24043"/>
      <c r="N24043"/>
      <c r="O24043" s="24"/>
      <c r="P24043"/>
      <c r="Q24043" s="24"/>
      <c r="R24043"/>
      <c r="S24043"/>
      <c r="T24043"/>
      <c r="U24043"/>
      <c r="X24043" s="60"/>
    </row>
    <row r="24044" spans="7:24" ht="15" customHeight="1">
      <c r="G24044"/>
      <c r="I24044"/>
      <c r="N24044"/>
      <c r="O24044" s="24"/>
      <c r="P24044"/>
      <c r="Q24044" s="24"/>
      <c r="R24044"/>
      <c r="S24044"/>
      <c r="T24044"/>
      <c r="U24044"/>
      <c r="X24044" s="60"/>
    </row>
    <row r="24045" spans="7:24" ht="15" customHeight="1">
      <c r="G24045"/>
      <c r="I24045"/>
      <c r="N24045"/>
      <c r="O24045" s="24"/>
      <c r="P24045"/>
      <c r="Q24045" s="24"/>
      <c r="R24045"/>
      <c r="S24045"/>
      <c r="T24045"/>
      <c r="U24045"/>
      <c r="X24045" s="60"/>
    </row>
    <row r="24046" spans="7:24" ht="15" customHeight="1">
      <c r="G24046"/>
      <c r="I24046"/>
      <c r="N24046"/>
      <c r="O24046" s="24"/>
      <c r="P24046"/>
      <c r="Q24046" s="24"/>
      <c r="R24046"/>
      <c r="S24046"/>
      <c r="T24046"/>
      <c r="U24046"/>
      <c r="X24046" s="60"/>
    </row>
    <row r="24047" spans="7:24" ht="15" customHeight="1">
      <c r="G24047"/>
      <c r="I24047"/>
      <c r="N24047"/>
      <c r="O24047" s="24"/>
      <c r="P24047"/>
      <c r="Q24047" s="24"/>
      <c r="R24047"/>
      <c r="S24047"/>
      <c r="T24047"/>
      <c r="U24047"/>
      <c r="X24047" s="60"/>
    </row>
    <row r="24048" spans="7:24" ht="15" customHeight="1">
      <c r="G24048"/>
      <c r="I24048"/>
      <c r="N24048"/>
      <c r="O24048" s="24"/>
      <c r="P24048"/>
      <c r="Q24048" s="24"/>
      <c r="R24048"/>
      <c r="S24048"/>
      <c r="T24048"/>
      <c r="U24048"/>
      <c r="X24048" s="60"/>
    </row>
    <row r="24049" spans="7:24" ht="15" customHeight="1">
      <c r="G24049"/>
      <c r="I24049"/>
      <c r="N24049"/>
      <c r="O24049" s="24"/>
      <c r="P24049"/>
      <c r="Q24049" s="24"/>
      <c r="R24049"/>
      <c r="S24049"/>
      <c r="T24049"/>
      <c r="U24049"/>
      <c r="X24049" s="60"/>
    </row>
    <row r="24050" spans="7:24" ht="15" customHeight="1">
      <c r="G24050"/>
      <c r="I24050"/>
      <c r="N24050"/>
      <c r="O24050" s="24"/>
      <c r="P24050"/>
      <c r="Q24050" s="24"/>
      <c r="R24050"/>
      <c r="S24050"/>
      <c r="T24050"/>
      <c r="U24050"/>
      <c r="X24050" s="60"/>
    </row>
    <row r="24051" spans="7:24" ht="15" customHeight="1">
      <c r="G24051"/>
      <c r="I24051"/>
      <c r="N24051"/>
      <c r="O24051" s="24"/>
      <c r="P24051"/>
      <c r="Q24051" s="24"/>
      <c r="R24051"/>
      <c r="S24051"/>
      <c r="T24051"/>
      <c r="U24051"/>
      <c r="X24051" s="60"/>
    </row>
    <row r="24052" spans="7:24" ht="15" customHeight="1">
      <c r="G24052"/>
      <c r="I24052"/>
      <c r="N24052"/>
      <c r="O24052" s="24"/>
      <c r="P24052"/>
      <c r="Q24052" s="24"/>
      <c r="R24052"/>
      <c r="S24052"/>
      <c r="T24052"/>
      <c r="U24052"/>
      <c r="X24052" s="60"/>
    </row>
    <row r="24053" spans="7:24" ht="15" customHeight="1">
      <c r="G24053"/>
      <c r="I24053"/>
      <c r="N24053"/>
      <c r="O24053" s="24"/>
      <c r="P24053"/>
      <c r="Q24053" s="24"/>
      <c r="R24053"/>
      <c r="S24053"/>
      <c r="T24053"/>
      <c r="U24053"/>
      <c r="X24053" s="60"/>
    </row>
    <row r="24054" spans="7:24" ht="15" customHeight="1">
      <c r="G24054"/>
      <c r="I24054"/>
      <c r="N24054"/>
      <c r="O24054" s="24"/>
      <c r="P24054"/>
      <c r="Q24054" s="24"/>
      <c r="R24054"/>
      <c r="S24054"/>
      <c r="T24054"/>
      <c r="U24054"/>
      <c r="X24054" s="60"/>
    </row>
    <row r="24055" spans="7:24" ht="15" customHeight="1">
      <c r="G24055"/>
      <c r="I24055"/>
      <c r="N24055"/>
      <c r="O24055" s="24"/>
      <c r="P24055"/>
      <c r="Q24055" s="24"/>
      <c r="R24055"/>
      <c r="S24055"/>
      <c r="T24055"/>
      <c r="U24055"/>
      <c r="X24055" s="60"/>
    </row>
    <row r="24056" spans="7:24" ht="15" customHeight="1">
      <c r="G24056"/>
      <c r="I24056"/>
      <c r="N24056"/>
      <c r="O24056" s="24"/>
      <c r="P24056"/>
      <c r="Q24056" s="24"/>
      <c r="R24056"/>
      <c r="S24056"/>
      <c r="T24056"/>
      <c r="U24056"/>
      <c r="X24056" s="60"/>
    </row>
    <row r="24057" spans="7:24" ht="15" customHeight="1">
      <c r="G24057"/>
      <c r="I24057"/>
      <c r="N24057"/>
      <c r="O24057" s="24"/>
      <c r="P24057"/>
      <c r="Q24057" s="24"/>
      <c r="R24057"/>
      <c r="S24057"/>
      <c r="T24057"/>
      <c r="U24057"/>
      <c r="X24057" s="60"/>
    </row>
    <row r="24058" spans="7:24" ht="15" customHeight="1">
      <c r="G24058"/>
      <c r="I24058"/>
      <c r="N24058"/>
      <c r="O24058" s="24"/>
      <c r="P24058"/>
      <c r="Q24058" s="24"/>
      <c r="R24058"/>
      <c r="S24058"/>
      <c r="T24058"/>
      <c r="U24058"/>
      <c r="X24058" s="60"/>
    </row>
    <row r="24059" spans="7:24" ht="15" customHeight="1">
      <c r="G24059"/>
      <c r="I24059"/>
      <c r="N24059"/>
      <c r="O24059" s="24"/>
      <c r="P24059"/>
      <c r="Q24059" s="24"/>
      <c r="R24059"/>
      <c r="S24059"/>
      <c r="T24059"/>
      <c r="U24059"/>
      <c r="X24059" s="60"/>
    </row>
    <row r="24060" spans="7:24" ht="15" customHeight="1">
      <c r="G24060"/>
      <c r="I24060"/>
      <c r="N24060"/>
      <c r="O24060" s="24"/>
      <c r="P24060"/>
      <c r="Q24060" s="24"/>
      <c r="R24060"/>
      <c r="S24060"/>
      <c r="T24060"/>
      <c r="U24060"/>
      <c r="X24060" s="60"/>
    </row>
    <row r="24061" spans="7:24" ht="15" customHeight="1">
      <c r="G24061"/>
      <c r="I24061"/>
      <c r="N24061"/>
      <c r="O24061" s="24"/>
      <c r="P24061"/>
      <c r="Q24061" s="24"/>
      <c r="R24061"/>
      <c r="S24061"/>
      <c r="T24061"/>
      <c r="U24061"/>
      <c r="X24061" s="60"/>
    </row>
    <row r="24062" spans="7:24" ht="15" customHeight="1">
      <c r="G24062"/>
      <c r="I24062"/>
      <c r="N24062"/>
      <c r="O24062" s="24"/>
      <c r="P24062"/>
      <c r="Q24062" s="24"/>
      <c r="R24062"/>
      <c r="S24062"/>
      <c r="T24062"/>
      <c r="U24062"/>
      <c r="X24062" s="60"/>
    </row>
    <row r="24063" spans="7:24" ht="15" customHeight="1">
      <c r="G24063"/>
      <c r="I24063"/>
      <c r="N24063"/>
      <c r="O24063" s="24"/>
      <c r="P24063"/>
      <c r="Q24063" s="24"/>
      <c r="R24063"/>
      <c r="S24063"/>
      <c r="T24063"/>
      <c r="U24063"/>
      <c r="X24063" s="60"/>
    </row>
    <row r="24064" spans="7:24" ht="15" customHeight="1">
      <c r="G24064"/>
      <c r="I24064"/>
      <c r="N24064"/>
      <c r="O24064" s="24"/>
      <c r="P24064"/>
      <c r="Q24064" s="24"/>
      <c r="R24064"/>
      <c r="S24064"/>
      <c r="T24064"/>
      <c r="U24064"/>
      <c r="X24064" s="60"/>
    </row>
    <row r="24065" spans="7:24" ht="15" customHeight="1">
      <c r="G24065"/>
      <c r="I24065"/>
      <c r="N24065"/>
      <c r="O24065" s="24"/>
      <c r="P24065"/>
      <c r="Q24065" s="24"/>
      <c r="R24065"/>
      <c r="S24065"/>
      <c r="T24065"/>
      <c r="U24065"/>
      <c r="X24065" s="60"/>
    </row>
    <row r="24066" spans="7:24" ht="15" customHeight="1">
      <c r="G24066"/>
      <c r="I24066"/>
      <c r="N24066"/>
      <c r="O24066" s="24"/>
      <c r="P24066"/>
      <c r="Q24066" s="24"/>
      <c r="R24066"/>
      <c r="S24066"/>
      <c r="T24066"/>
      <c r="U24066"/>
      <c r="X24066" s="60"/>
    </row>
    <row r="24067" spans="7:24" ht="15" customHeight="1">
      <c r="G24067"/>
      <c r="I24067"/>
      <c r="N24067"/>
      <c r="O24067" s="24"/>
      <c r="P24067"/>
      <c r="Q24067" s="24"/>
      <c r="R24067"/>
      <c r="S24067"/>
      <c r="T24067"/>
      <c r="U24067"/>
      <c r="X24067" s="60"/>
    </row>
    <row r="24068" spans="7:24" ht="15" customHeight="1">
      <c r="G24068"/>
      <c r="I24068"/>
      <c r="N24068"/>
      <c r="O24068" s="24"/>
      <c r="P24068"/>
      <c r="Q24068" s="24"/>
      <c r="R24068"/>
      <c r="S24068"/>
      <c r="T24068"/>
      <c r="U24068"/>
      <c r="X24068" s="60"/>
    </row>
    <row r="24069" spans="7:24" ht="15" customHeight="1">
      <c r="G24069"/>
      <c r="I24069"/>
      <c r="N24069"/>
      <c r="O24069" s="24"/>
      <c r="P24069"/>
      <c r="Q24069" s="24"/>
      <c r="R24069"/>
      <c r="S24069"/>
      <c r="T24069"/>
      <c r="U24069"/>
      <c r="X24069" s="60"/>
    </row>
    <row r="24070" spans="7:24" ht="15" customHeight="1">
      <c r="G24070"/>
      <c r="I24070"/>
      <c r="N24070"/>
      <c r="O24070" s="24"/>
      <c r="P24070"/>
      <c r="Q24070" s="24"/>
      <c r="R24070"/>
      <c r="S24070"/>
      <c r="T24070"/>
      <c r="U24070"/>
      <c r="X24070" s="60"/>
    </row>
    <row r="24071" spans="7:24" ht="15" customHeight="1">
      <c r="G24071"/>
      <c r="I24071"/>
      <c r="N24071"/>
      <c r="O24071" s="24"/>
      <c r="P24071"/>
      <c r="Q24071" s="24"/>
      <c r="R24071"/>
      <c r="S24071"/>
      <c r="T24071"/>
      <c r="U24071"/>
      <c r="X24071" s="60"/>
    </row>
    <row r="24072" spans="7:24" ht="15" customHeight="1">
      <c r="G24072"/>
      <c r="I24072"/>
      <c r="N24072"/>
      <c r="O24072" s="24"/>
      <c r="P24072"/>
      <c r="Q24072" s="24"/>
      <c r="R24072"/>
      <c r="S24072"/>
      <c r="T24072"/>
      <c r="U24072"/>
      <c r="X24072" s="60"/>
    </row>
    <row r="24073" spans="7:24" ht="15" customHeight="1">
      <c r="G24073"/>
      <c r="I24073"/>
      <c r="N24073"/>
      <c r="O24073" s="24"/>
      <c r="P24073"/>
      <c r="Q24073" s="24"/>
      <c r="R24073"/>
      <c r="S24073"/>
      <c r="T24073"/>
      <c r="U24073"/>
      <c r="X24073" s="60"/>
    </row>
    <row r="24074" spans="7:24" ht="15" customHeight="1">
      <c r="G24074"/>
      <c r="I24074"/>
      <c r="N24074"/>
      <c r="O24074" s="24"/>
      <c r="P24074"/>
      <c r="Q24074" s="24"/>
      <c r="R24074"/>
      <c r="S24074"/>
      <c r="T24074"/>
      <c r="U24074"/>
      <c r="X24074" s="60"/>
    </row>
    <row r="24075" spans="7:24" ht="15" customHeight="1">
      <c r="G24075"/>
      <c r="I24075"/>
      <c r="N24075"/>
      <c r="O24075" s="24"/>
      <c r="P24075"/>
      <c r="Q24075" s="24"/>
      <c r="R24075"/>
      <c r="S24075"/>
      <c r="T24075"/>
      <c r="U24075"/>
      <c r="X24075" s="60"/>
    </row>
    <row r="24076" spans="7:24" ht="15" customHeight="1">
      <c r="G24076"/>
      <c r="I24076"/>
      <c r="N24076"/>
      <c r="O24076" s="24"/>
      <c r="P24076"/>
      <c r="Q24076" s="24"/>
      <c r="R24076"/>
      <c r="S24076"/>
      <c r="T24076"/>
      <c r="U24076"/>
      <c r="X24076" s="60"/>
    </row>
    <row r="24077" spans="7:24" ht="15" customHeight="1">
      <c r="G24077"/>
      <c r="I24077"/>
      <c r="N24077"/>
      <c r="O24077" s="24"/>
      <c r="P24077"/>
      <c r="Q24077" s="24"/>
      <c r="R24077"/>
      <c r="S24077"/>
      <c r="T24077"/>
      <c r="U24077"/>
      <c r="X24077" s="60"/>
    </row>
    <row r="24078" spans="7:24" ht="15" customHeight="1">
      <c r="G24078"/>
      <c r="I24078"/>
      <c r="N24078"/>
      <c r="O24078" s="24"/>
      <c r="P24078"/>
      <c r="Q24078" s="24"/>
      <c r="R24078"/>
      <c r="S24078"/>
      <c r="T24078"/>
      <c r="U24078"/>
      <c r="X24078" s="60"/>
    </row>
    <row r="24079" spans="7:24" ht="15" customHeight="1">
      <c r="G24079"/>
      <c r="I24079"/>
      <c r="N24079"/>
      <c r="O24079" s="24"/>
      <c r="P24079"/>
      <c r="Q24079" s="24"/>
      <c r="R24079"/>
      <c r="S24079"/>
      <c r="T24079"/>
      <c r="U24079"/>
      <c r="X24079" s="60"/>
    </row>
    <row r="24080" spans="7:24" ht="15" customHeight="1">
      <c r="G24080"/>
      <c r="I24080"/>
      <c r="N24080"/>
      <c r="O24080" s="24"/>
      <c r="P24080"/>
      <c r="Q24080" s="24"/>
      <c r="R24080"/>
      <c r="S24080"/>
      <c r="T24080"/>
      <c r="U24080"/>
      <c r="X24080" s="60"/>
    </row>
    <row r="24081" spans="7:24" ht="15" customHeight="1">
      <c r="G24081"/>
      <c r="I24081"/>
      <c r="N24081"/>
      <c r="O24081" s="24"/>
      <c r="P24081"/>
      <c r="Q24081" s="24"/>
      <c r="R24081"/>
      <c r="S24081"/>
      <c r="T24081"/>
      <c r="U24081"/>
      <c r="X24081" s="60"/>
    </row>
    <row r="24082" spans="7:24" ht="15" customHeight="1">
      <c r="G24082"/>
      <c r="I24082"/>
      <c r="N24082"/>
      <c r="O24082" s="24"/>
      <c r="P24082"/>
      <c r="Q24082" s="24"/>
      <c r="R24082"/>
      <c r="S24082"/>
      <c r="T24082"/>
      <c r="U24082"/>
      <c r="X24082" s="60"/>
    </row>
    <row r="24083" spans="7:24" ht="15" customHeight="1">
      <c r="G24083"/>
      <c r="I24083"/>
      <c r="N24083"/>
      <c r="O24083" s="24"/>
      <c r="P24083"/>
      <c r="Q24083" s="24"/>
      <c r="R24083"/>
      <c r="S24083"/>
      <c r="T24083"/>
      <c r="U24083"/>
      <c r="X24083" s="60"/>
    </row>
    <row r="24084" spans="7:24" ht="15" customHeight="1">
      <c r="G24084"/>
      <c r="I24084"/>
      <c r="N24084"/>
      <c r="O24084" s="24"/>
      <c r="P24084"/>
      <c r="Q24084" s="24"/>
      <c r="R24084"/>
      <c r="S24084"/>
      <c r="T24084"/>
      <c r="U24084"/>
      <c r="X24084" s="60"/>
    </row>
    <row r="24085" spans="7:24" ht="15" customHeight="1">
      <c r="G24085"/>
      <c r="I24085"/>
      <c r="N24085"/>
      <c r="O24085" s="24"/>
      <c r="P24085"/>
      <c r="Q24085" s="24"/>
      <c r="R24085"/>
      <c r="S24085"/>
      <c r="T24085"/>
      <c r="U24085"/>
      <c r="X24085" s="60"/>
    </row>
    <row r="24086" spans="7:24" ht="15" customHeight="1">
      <c r="G24086"/>
      <c r="I24086"/>
      <c r="N24086"/>
      <c r="O24086" s="24"/>
      <c r="P24086"/>
      <c r="Q24086" s="24"/>
      <c r="R24086"/>
      <c r="S24086"/>
      <c r="T24086"/>
      <c r="U24086"/>
      <c r="X24086" s="60"/>
    </row>
    <row r="24087" spans="7:24" ht="15" customHeight="1">
      <c r="G24087"/>
      <c r="I24087"/>
      <c r="N24087"/>
      <c r="O24087" s="24"/>
      <c r="P24087"/>
      <c r="Q24087" s="24"/>
      <c r="R24087"/>
      <c r="S24087"/>
      <c r="T24087"/>
      <c r="U24087"/>
      <c r="X24087" s="60"/>
    </row>
    <row r="24088" spans="7:24" ht="15" customHeight="1">
      <c r="G24088"/>
      <c r="I24088"/>
      <c r="N24088"/>
      <c r="O24088" s="24"/>
      <c r="P24088"/>
      <c r="Q24088" s="24"/>
      <c r="R24088"/>
      <c r="S24088"/>
      <c r="T24088"/>
      <c r="U24088"/>
      <c r="X24088" s="60"/>
    </row>
    <row r="24089" spans="7:24" ht="15" customHeight="1">
      <c r="G24089"/>
      <c r="I24089"/>
      <c r="N24089"/>
      <c r="O24089" s="24"/>
      <c r="P24089"/>
      <c r="Q24089" s="24"/>
      <c r="R24089"/>
      <c r="S24089"/>
      <c r="T24089"/>
      <c r="U24089"/>
      <c r="X24089" s="60"/>
    </row>
    <row r="24090" spans="7:24" ht="15" customHeight="1">
      <c r="G24090"/>
      <c r="I24090"/>
      <c r="N24090"/>
      <c r="O24090" s="24"/>
      <c r="P24090"/>
      <c r="Q24090" s="24"/>
      <c r="R24090"/>
      <c r="S24090"/>
      <c r="T24090"/>
      <c r="U24090"/>
      <c r="X24090" s="60"/>
    </row>
    <row r="24091" spans="7:24" ht="15" customHeight="1">
      <c r="G24091"/>
      <c r="I24091"/>
      <c r="N24091"/>
      <c r="O24091" s="24"/>
      <c r="P24091"/>
      <c r="Q24091" s="24"/>
      <c r="R24091"/>
      <c r="S24091"/>
      <c r="T24091"/>
      <c r="U24091"/>
      <c r="X24091" s="60"/>
    </row>
    <row r="24092" spans="7:24" ht="15" customHeight="1">
      <c r="G24092"/>
      <c r="I24092"/>
      <c r="N24092"/>
      <c r="O24092" s="24"/>
      <c r="P24092"/>
      <c r="Q24092" s="24"/>
      <c r="R24092"/>
      <c r="S24092"/>
      <c r="T24092"/>
      <c r="U24092"/>
      <c r="X24092" s="60"/>
    </row>
    <row r="24093" spans="7:24" ht="15" customHeight="1">
      <c r="G24093"/>
      <c r="I24093"/>
      <c r="N24093"/>
      <c r="O24093" s="24"/>
      <c r="P24093"/>
      <c r="Q24093" s="24"/>
      <c r="R24093"/>
      <c r="S24093"/>
      <c r="T24093"/>
      <c r="U24093"/>
      <c r="X24093" s="60"/>
    </row>
    <row r="24094" spans="7:24" ht="15" customHeight="1">
      <c r="G24094"/>
      <c r="I24094"/>
      <c r="N24094"/>
      <c r="O24094" s="24"/>
      <c r="P24094"/>
      <c r="Q24094" s="24"/>
      <c r="R24094"/>
      <c r="S24094"/>
      <c r="T24094"/>
      <c r="U24094"/>
      <c r="X24094" s="60"/>
    </row>
    <row r="24095" spans="7:24" ht="15" customHeight="1">
      <c r="G24095"/>
      <c r="I24095"/>
      <c r="N24095"/>
      <c r="O24095" s="24"/>
      <c r="P24095"/>
      <c r="Q24095" s="24"/>
      <c r="R24095"/>
      <c r="S24095"/>
      <c r="T24095"/>
      <c r="U24095"/>
      <c r="X24095" s="60"/>
    </row>
    <row r="24096" spans="7:24" ht="15" customHeight="1">
      <c r="G24096"/>
      <c r="I24096"/>
      <c r="N24096"/>
      <c r="O24096" s="24"/>
      <c r="P24096"/>
      <c r="Q24096" s="24"/>
      <c r="R24096"/>
      <c r="S24096"/>
      <c r="T24096"/>
      <c r="U24096"/>
      <c r="X24096" s="60"/>
    </row>
    <row r="24097" spans="7:24" ht="15" customHeight="1">
      <c r="G24097"/>
      <c r="I24097"/>
      <c r="N24097"/>
      <c r="O24097" s="24"/>
      <c r="P24097"/>
      <c r="Q24097" s="24"/>
      <c r="R24097"/>
      <c r="S24097"/>
      <c r="T24097"/>
      <c r="U24097"/>
      <c r="X24097" s="60"/>
    </row>
    <row r="24098" spans="7:24" ht="15" customHeight="1">
      <c r="G24098"/>
      <c r="I24098"/>
      <c r="N24098"/>
      <c r="O24098" s="24"/>
      <c r="P24098"/>
      <c r="Q24098" s="24"/>
      <c r="R24098"/>
      <c r="S24098"/>
      <c r="T24098"/>
      <c r="U24098"/>
      <c r="X24098" s="60"/>
    </row>
    <row r="24099" spans="7:24" ht="15" customHeight="1">
      <c r="G24099"/>
      <c r="I24099"/>
      <c r="N24099"/>
      <c r="O24099" s="24"/>
      <c r="P24099"/>
      <c r="Q24099" s="24"/>
      <c r="R24099"/>
      <c r="S24099"/>
      <c r="T24099"/>
      <c r="U24099"/>
      <c r="X24099" s="60"/>
    </row>
    <row r="24100" spans="7:24" ht="15" customHeight="1">
      <c r="G24100"/>
      <c r="I24100"/>
      <c r="N24100"/>
      <c r="O24100" s="24"/>
      <c r="P24100"/>
      <c r="Q24100" s="24"/>
      <c r="R24100"/>
      <c r="S24100"/>
      <c r="T24100"/>
      <c r="U24100"/>
      <c r="X24100" s="60"/>
    </row>
    <row r="24101" spans="7:24" ht="15" customHeight="1">
      <c r="G24101"/>
      <c r="I24101"/>
      <c r="N24101"/>
      <c r="O24101" s="24"/>
      <c r="P24101"/>
      <c r="Q24101" s="24"/>
      <c r="R24101"/>
      <c r="S24101"/>
      <c r="T24101"/>
      <c r="U24101"/>
      <c r="X24101" s="60"/>
    </row>
    <row r="24102" spans="7:24" ht="15" customHeight="1">
      <c r="G24102"/>
      <c r="I24102"/>
      <c r="N24102"/>
      <c r="O24102" s="24"/>
      <c r="P24102"/>
      <c r="Q24102" s="24"/>
      <c r="R24102"/>
      <c r="S24102"/>
      <c r="T24102"/>
      <c r="U24102"/>
      <c r="X24102" s="60"/>
    </row>
    <row r="24103" spans="7:24" ht="15" customHeight="1">
      <c r="G24103"/>
      <c r="I24103"/>
      <c r="N24103"/>
      <c r="O24103" s="24"/>
      <c r="P24103"/>
      <c r="Q24103" s="24"/>
      <c r="R24103"/>
      <c r="S24103"/>
      <c r="T24103"/>
      <c r="U24103"/>
      <c r="X24103" s="60"/>
    </row>
    <row r="24104" spans="7:24" ht="15" customHeight="1">
      <c r="G24104"/>
      <c r="I24104"/>
      <c r="N24104"/>
      <c r="O24104" s="24"/>
      <c r="P24104"/>
      <c r="Q24104" s="24"/>
      <c r="R24104"/>
      <c r="S24104"/>
      <c r="T24104"/>
      <c r="U24104"/>
      <c r="X24104" s="60"/>
    </row>
    <row r="24105" spans="7:24" ht="15" customHeight="1">
      <c r="G24105"/>
      <c r="I24105"/>
      <c r="N24105"/>
      <c r="O24105" s="24"/>
      <c r="P24105"/>
      <c r="Q24105" s="24"/>
      <c r="R24105"/>
      <c r="S24105"/>
      <c r="T24105"/>
      <c r="U24105"/>
      <c r="X24105" s="60"/>
    </row>
    <row r="24106" spans="7:24" ht="15" customHeight="1">
      <c r="G24106"/>
      <c r="I24106"/>
      <c r="N24106"/>
      <c r="O24106" s="24"/>
      <c r="P24106"/>
      <c r="Q24106" s="24"/>
      <c r="R24106"/>
      <c r="S24106"/>
      <c r="T24106"/>
      <c r="U24106"/>
      <c r="X24106" s="60"/>
    </row>
    <row r="24107" spans="7:24" ht="15" customHeight="1">
      <c r="G24107"/>
      <c r="I24107"/>
      <c r="N24107"/>
      <c r="O24107" s="24"/>
      <c r="P24107"/>
      <c r="Q24107" s="24"/>
      <c r="R24107"/>
      <c r="S24107"/>
      <c r="T24107"/>
      <c r="U24107"/>
      <c r="X24107" s="60"/>
    </row>
    <row r="24108" spans="7:24" ht="15" customHeight="1">
      <c r="G24108"/>
      <c r="I24108"/>
      <c r="N24108"/>
      <c r="O24108" s="24"/>
      <c r="P24108"/>
      <c r="Q24108" s="24"/>
      <c r="R24108"/>
      <c r="S24108"/>
      <c r="T24108"/>
      <c r="U24108"/>
      <c r="X24108" s="60"/>
    </row>
    <row r="24109" spans="7:24" ht="15" customHeight="1">
      <c r="G24109"/>
      <c r="I24109"/>
      <c r="N24109"/>
      <c r="O24109" s="24"/>
      <c r="P24109"/>
      <c r="Q24109" s="24"/>
      <c r="R24109"/>
      <c r="S24109"/>
      <c r="T24109"/>
      <c r="U24109"/>
      <c r="X24109" s="60"/>
    </row>
    <row r="24110" spans="7:24" ht="15" customHeight="1">
      <c r="G24110"/>
      <c r="I24110"/>
      <c r="N24110"/>
      <c r="O24110" s="24"/>
      <c r="P24110"/>
      <c r="Q24110" s="24"/>
      <c r="R24110"/>
      <c r="S24110"/>
      <c r="T24110"/>
      <c r="U24110"/>
      <c r="X24110" s="60"/>
    </row>
    <row r="24111" spans="7:24" ht="15" customHeight="1">
      <c r="G24111"/>
      <c r="I24111"/>
      <c r="N24111"/>
      <c r="O24111" s="24"/>
      <c r="P24111"/>
      <c r="Q24111" s="24"/>
      <c r="R24111"/>
      <c r="S24111"/>
      <c r="T24111"/>
      <c r="U24111"/>
      <c r="X24111" s="60"/>
    </row>
    <row r="24112" spans="7:24" ht="15" customHeight="1">
      <c r="G24112"/>
      <c r="I24112"/>
      <c r="N24112"/>
      <c r="O24112" s="24"/>
      <c r="P24112"/>
      <c r="Q24112" s="24"/>
      <c r="R24112"/>
      <c r="S24112"/>
      <c r="T24112"/>
      <c r="U24112"/>
      <c r="X24112" s="60"/>
    </row>
    <row r="24113" spans="7:24" ht="15" customHeight="1">
      <c r="G24113"/>
      <c r="I24113"/>
      <c r="N24113"/>
      <c r="O24113" s="24"/>
      <c r="P24113"/>
      <c r="Q24113" s="24"/>
      <c r="R24113"/>
      <c r="S24113"/>
      <c r="T24113"/>
      <c r="U24113"/>
      <c r="X24113" s="60"/>
    </row>
    <row r="24114" spans="7:24" ht="15" customHeight="1">
      <c r="G24114"/>
      <c r="I24114"/>
      <c r="N24114"/>
      <c r="O24114" s="24"/>
      <c r="P24114"/>
      <c r="Q24114" s="24"/>
      <c r="R24114"/>
      <c r="S24114"/>
      <c r="T24114"/>
      <c r="U24114"/>
      <c r="X24114" s="60"/>
    </row>
    <row r="24115" spans="7:24" ht="15" customHeight="1">
      <c r="G24115"/>
      <c r="I24115"/>
      <c r="N24115"/>
      <c r="O24115" s="24"/>
      <c r="P24115"/>
      <c r="Q24115" s="24"/>
      <c r="R24115"/>
      <c r="S24115"/>
      <c r="T24115"/>
      <c r="U24115"/>
      <c r="X24115" s="60"/>
    </row>
    <row r="24116" spans="7:24" ht="15" customHeight="1">
      <c r="G24116"/>
      <c r="I24116"/>
      <c r="N24116"/>
      <c r="O24116" s="24"/>
      <c r="P24116"/>
      <c r="Q24116" s="24"/>
      <c r="R24116"/>
      <c r="S24116"/>
      <c r="T24116"/>
      <c r="U24116"/>
      <c r="X24116" s="60"/>
    </row>
    <row r="24117" spans="7:24" ht="15" customHeight="1">
      <c r="G24117"/>
      <c r="I24117"/>
      <c r="N24117"/>
      <c r="O24117" s="24"/>
      <c r="P24117"/>
      <c r="Q24117" s="24"/>
      <c r="R24117"/>
      <c r="S24117"/>
      <c r="T24117"/>
      <c r="U24117"/>
      <c r="X24117" s="60"/>
    </row>
    <row r="24118" spans="7:24" ht="15" customHeight="1">
      <c r="G24118"/>
      <c r="I24118"/>
      <c r="N24118"/>
      <c r="O24118" s="24"/>
      <c r="P24118"/>
      <c r="Q24118" s="24"/>
      <c r="R24118"/>
      <c r="S24118"/>
      <c r="T24118"/>
      <c r="U24118"/>
      <c r="X24118" s="60"/>
    </row>
    <row r="24119" spans="7:24" ht="15" customHeight="1">
      <c r="G24119"/>
      <c r="I24119"/>
      <c r="N24119"/>
      <c r="O24119" s="24"/>
      <c r="P24119"/>
      <c r="Q24119" s="24"/>
      <c r="R24119"/>
      <c r="S24119"/>
      <c r="T24119"/>
      <c r="U24119"/>
      <c r="X24119" s="60"/>
    </row>
    <row r="24120" spans="7:24" ht="15" customHeight="1">
      <c r="G24120"/>
      <c r="I24120"/>
      <c r="N24120"/>
      <c r="O24120" s="24"/>
      <c r="P24120"/>
      <c r="Q24120" s="24"/>
      <c r="R24120"/>
      <c r="S24120"/>
      <c r="T24120"/>
      <c r="U24120"/>
      <c r="X24120" s="60"/>
    </row>
    <row r="24121" spans="7:24" ht="15" customHeight="1">
      <c r="G24121"/>
      <c r="I24121"/>
      <c r="N24121"/>
      <c r="O24121" s="24"/>
      <c r="P24121"/>
      <c r="Q24121" s="24"/>
      <c r="R24121"/>
      <c r="S24121"/>
      <c r="T24121"/>
      <c r="U24121"/>
      <c r="X24121" s="60"/>
    </row>
    <row r="24122" spans="7:24" ht="15" customHeight="1">
      <c r="G24122"/>
      <c r="I24122"/>
      <c r="N24122"/>
      <c r="O24122" s="24"/>
      <c r="P24122"/>
      <c r="Q24122" s="24"/>
      <c r="R24122"/>
      <c r="S24122"/>
      <c r="T24122"/>
      <c r="U24122"/>
      <c r="X24122" s="60"/>
    </row>
    <row r="24123" spans="7:24" ht="15" customHeight="1">
      <c r="G24123"/>
      <c r="I24123"/>
      <c r="N24123"/>
      <c r="O24123" s="24"/>
      <c r="P24123"/>
      <c r="Q24123" s="24"/>
      <c r="R24123"/>
      <c r="S24123"/>
      <c r="T24123"/>
      <c r="U24123"/>
      <c r="X24123" s="60"/>
    </row>
    <row r="24124" spans="7:24" ht="15" customHeight="1">
      <c r="G24124"/>
      <c r="I24124"/>
      <c r="N24124"/>
      <c r="O24124" s="24"/>
      <c r="P24124"/>
      <c r="Q24124" s="24"/>
      <c r="R24124"/>
      <c r="S24124"/>
      <c r="T24124"/>
      <c r="U24124"/>
      <c r="X24124" s="60"/>
    </row>
    <row r="24125" spans="7:24" ht="15" customHeight="1">
      <c r="G24125"/>
      <c r="I24125"/>
      <c r="N24125"/>
      <c r="O24125" s="24"/>
      <c r="P24125"/>
      <c r="Q24125" s="24"/>
      <c r="R24125"/>
      <c r="S24125"/>
      <c r="T24125"/>
      <c r="U24125"/>
      <c r="X24125" s="60"/>
    </row>
    <row r="24126" spans="7:24" ht="15" customHeight="1">
      <c r="G24126"/>
      <c r="I24126"/>
      <c r="N24126"/>
      <c r="O24126" s="24"/>
      <c r="P24126"/>
      <c r="Q24126" s="24"/>
      <c r="R24126"/>
      <c r="S24126"/>
      <c r="T24126"/>
      <c r="U24126"/>
      <c r="X24126" s="60"/>
    </row>
    <row r="24127" spans="7:24" ht="15" customHeight="1">
      <c r="G24127"/>
      <c r="I24127"/>
      <c r="N24127"/>
      <c r="O24127" s="24"/>
      <c r="P24127"/>
      <c r="Q24127" s="24"/>
      <c r="R24127"/>
      <c r="S24127"/>
      <c r="T24127"/>
      <c r="U24127"/>
      <c r="X24127" s="60"/>
    </row>
    <row r="24128" spans="7:24" ht="15" customHeight="1">
      <c r="G24128"/>
      <c r="I24128"/>
      <c r="N24128"/>
      <c r="O24128" s="24"/>
      <c r="P24128"/>
      <c r="Q24128" s="24"/>
      <c r="R24128"/>
      <c r="S24128"/>
      <c r="T24128"/>
      <c r="U24128"/>
      <c r="X24128" s="60"/>
    </row>
    <row r="24129" spans="7:24" ht="15" customHeight="1">
      <c r="G24129"/>
      <c r="I24129"/>
      <c r="N24129"/>
      <c r="O24129" s="24"/>
      <c r="P24129"/>
      <c r="Q24129" s="24"/>
      <c r="R24129"/>
      <c r="S24129"/>
      <c r="T24129"/>
      <c r="U24129"/>
      <c r="X24129" s="60"/>
    </row>
    <row r="24130" spans="7:24" ht="15" customHeight="1">
      <c r="G24130"/>
      <c r="I24130"/>
      <c r="N24130"/>
      <c r="O24130" s="24"/>
      <c r="P24130"/>
      <c r="Q24130" s="24"/>
      <c r="R24130"/>
      <c r="S24130"/>
      <c r="T24130"/>
      <c r="U24130"/>
      <c r="X24130" s="60"/>
    </row>
    <row r="24131" spans="7:24" ht="15" customHeight="1">
      <c r="G24131"/>
      <c r="I24131"/>
      <c r="N24131"/>
      <c r="O24131" s="24"/>
      <c r="P24131"/>
      <c r="Q24131" s="24"/>
      <c r="R24131"/>
      <c r="S24131"/>
      <c r="T24131"/>
      <c r="U24131"/>
      <c r="X24131" s="60"/>
    </row>
    <row r="24132" spans="7:24" ht="15" customHeight="1">
      <c r="G24132"/>
      <c r="I24132"/>
      <c r="N24132"/>
      <c r="O24132" s="24"/>
      <c r="P24132"/>
      <c r="Q24132" s="24"/>
      <c r="R24132"/>
      <c r="S24132"/>
      <c r="T24132"/>
      <c r="U24132"/>
      <c r="X24132" s="60"/>
    </row>
    <row r="24133" spans="7:24" ht="15" customHeight="1">
      <c r="G24133"/>
      <c r="I24133"/>
      <c r="N24133"/>
      <c r="O24133" s="24"/>
      <c r="P24133"/>
      <c r="Q24133" s="24"/>
      <c r="R24133"/>
      <c r="S24133"/>
      <c r="T24133"/>
      <c r="U24133"/>
      <c r="X24133" s="60"/>
    </row>
    <row r="24134" spans="7:24" ht="15" customHeight="1">
      <c r="G24134"/>
      <c r="I24134"/>
      <c r="N24134"/>
      <c r="O24134" s="24"/>
      <c r="P24134"/>
      <c r="Q24134" s="24"/>
      <c r="R24134"/>
      <c r="S24134"/>
      <c r="T24134"/>
      <c r="U24134"/>
      <c r="X24134" s="60"/>
    </row>
    <row r="24135" spans="7:24" ht="15" customHeight="1">
      <c r="G24135"/>
      <c r="I24135"/>
      <c r="N24135"/>
      <c r="O24135" s="24"/>
      <c r="P24135"/>
      <c r="Q24135" s="24"/>
      <c r="R24135"/>
      <c r="S24135"/>
      <c r="T24135"/>
      <c r="U24135"/>
      <c r="X24135" s="60"/>
    </row>
    <row r="24136" spans="7:24" ht="15" customHeight="1">
      <c r="G24136"/>
      <c r="I24136"/>
      <c r="N24136"/>
      <c r="O24136" s="24"/>
      <c r="P24136"/>
      <c r="Q24136" s="24"/>
      <c r="R24136"/>
      <c r="S24136"/>
      <c r="T24136"/>
      <c r="U24136"/>
      <c r="X24136" s="60"/>
    </row>
    <row r="24137" spans="7:24" ht="15" customHeight="1">
      <c r="G24137"/>
      <c r="I24137"/>
      <c r="N24137"/>
      <c r="O24137" s="24"/>
      <c r="P24137"/>
      <c r="Q24137" s="24"/>
      <c r="R24137"/>
      <c r="S24137"/>
      <c r="T24137"/>
      <c r="U24137"/>
      <c r="X24137" s="60"/>
    </row>
    <row r="24138" spans="7:24" ht="15" customHeight="1">
      <c r="G24138"/>
      <c r="I24138"/>
      <c r="N24138"/>
      <c r="O24138" s="24"/>
      <c r="P24138"/>
      <c r="Q24138" s="24"/>
      <c r="R24138"/>
      <c r="S24138"/>
      <c r="T24138"/>
      <c r="U24138"/>
      <c r="X24138" s="60"/>
    </row>
    <row r="24139" spans="7:24" ht="15" customHeight="1">
      <c r="G24139"/>
      <c r="I24139"/>
      <c r="N24139"/>
      <c r="O24139" s="24"/>
      <c r="P24139"/>
      <c r="Q24139" s="24"/>
      <c r="R24139"/>
      <c r="S24139"/>
      <c r="T24139"/>
      <c r="U24139"/>
      <c r="X24139" s="60"/>
    </row>
    <row r="24140" spans="7:24" ht="15" customHeight="1">
      <c r="G24140"/>
      <c r="I24140"/>
      <c r="N24140"/>
      <c r="O24140" s="24"/>
      <c r="P24140"/>
      <c r="Q24140" s="24"/>
      <c r="R24140"/>
      <c r="S24140"/>
      <c r="T24140"/>
      <c r="U24140"/>
      <c r="X24140" s="60"/>
    </row>
    <row r="24141" spans="7:24" ht="15" customHeight="1">
      <c r="G24141"/>
      <c r="I24141"/>
      <c r="N24141"/>
      <c r="O24141" s="24"/>
      <c r="P24141"/>
      <c r="Q24141" s="24"/>
      <c r="R24141"/>
      <c r="S24141"/>
      <c r="T24141"/>
      <c r="U24141"/>
      <c r="X24141" s="60"/>
    </row>
    <row r="24142" spans="7:24" ht="15" customHeight="1">
      <c r="G24142"/>
      <c r="I24142"/>
      <c r="N24142"/>
      <c r="O24142" s="24"/>
      <c r="P24142"/>
      <c r="Q24142" s="24"/>
      <c r="R24142"/>
      <c r="S24142"/>
      <c r="T24142"/>
      <c r="U24142"/>
      <c r="X24142" s="60"/>
    </row>
    <row r="24143" spans="7:24" ht="15" customHeight="1">
      <c r="G24143"/>
      <c r="I24143"/>
      <c r="N24143"/>
      <c r="O24143" s="24"/>
      <c r="P24143"/>
      <c r="Q24143" s="24"/>
      <c r="R24143"/>
      <c r="S24143"/>
      <c r="T24143"/>
      <c r="U24143"/>
      <c r="X24143" s="60"/>
    </row>
    <row r="24144" spans="7:24" ht="15" customHeight="1">
      <c r="G24144"/>
      <c r="I24144"/>
      <c r="N24144"/>
      <c r="O24144" s="24"/>
      <c r="P24144"/>
      <c r="Q24144" s="24"/>
      <c r="R24144"/>
      <c r="S24144"/>
      <c r="T24144"/>
      <c r="U24144"/>
      <c r="X24144" s="60"/>
    </row>
    <row r="24145" spans="7:24" ht="15" customHeight="1">
      <c r="G24145"/>
      <c r="I24145"/>
      <c r="N24145"/>
      <c r="O24145" s="24"/>
      <c r="P24145"/>
      <c r="Q24145" s="24"/>
      <c r="R24145"/>
      <c r="S24145"/>
      <c r="T24145"/>
      <c r="U24145"/>
      <c r="X24145" s="60"/>
    </row>
    <row r="24146" spans="7:24" ht="15" customHeight="1">
      <c r="G24146"/>
      <c r="I24146"/>
      <c r="N24146"/>
      <c r="O24146" s="24"/>
      <c r="P24146"/>
      <c r="Q24146" s="24"/>
      <c r="R24146"/>
      <c r="S24146"/>
      <c r="T24146"/>
      <c r="U24146"/>
      <c r="X24146" s="60"/>
    </row>
    <row r="24147" spans="7:24" ht="15" customHeight="1">
      <c r="G24147"/>
      <c r="I24147"/>
      <c r="N24147"/>
      <c r="O24147" s="24"/>
      <c r="P24147"/>
      <c r="Q24147" s="24"/>
      <c r="R24147"/>
      <c r="S24147"/>
      <c r="T24147"/>
      <c r="U24147"/>
      <c r="X24147" s="60"/>
    </row>
    <row r="24148" spans="7:24" ht="15" customHeight="1">
      <c r="G24148"/>
      <c r="I24148"/>
      <c r="N24148"/>
      <c r="O24148" s="24"/>
      <c r="P24148"/>
      <c r="Q24148" s="24"/>
      <c r="R24148"/>
      <c r="S24148"/>
      <c r="T24148"/>
      <c r="U24148"/>
      <c r="X24148" s="60"/>
    </row>
    <row r="24149" spans="7:24" ht="15" customHeight="1">
      <c r="G24149"/>
      <c r="I24149"/>
      <c r="N24149"/>
      <c r="O24149" s="24"/>
      <c r="P24149"/>
      <c r="Q24149" s="24"/>
      <c r="R24149"/>
      <c r="S24149"/>
      <c r="T24149"/>
      <c r="U24149"/>
      <c r="X24149" s="60"/>
    </row>
    <row r="24150" spans="7:24" ht="15" customHeight="1">
      <c r="G24150"/>
      <c r="I24150"/>
      <c r="N24150"/>
      <c r="O24150" s="24"/>
      <c r="P24150"/>
      <c r="Q24150" s="24"/>
      <c r="R24150"/>
      <c r="S24150"/>
      <c r="T24150"/>
      <c r="U24150"/>
      <c r="X24150" s="60"/>
    </row>
    <row r="24151" spans="7:24" ht="15" customHeight="1">
      <c r="G24151"/>
      <c r="I24151"/>
      <c r="N24151"/>
      <c r="O24151" s="24"/>
      <c r="P24151"/>
      <c r="Q24151" s="24"/>
      <c r="R24151"/>
      <c r="S24151"/>
      <c r="T24151"/>
      <c r="U24151"/>
      <c r="X24151" s="60"/>
    </row>
    <row r="24152" spans="7:24" ht="15" customHeight="1">
      <c r="G24152"/>
      <c r="I24152"/>
      <c r="N24152"/>
      <c r="O24152" s="24"/>
      <c r="P24152"/>
      <c r="Q24152" s="24"/>
      <c r="R24152"/>
      <c r="S24152"/>
      <c r="T24152"/>
      <c r="U24152"/>
      <c r="X24152" s="60"/>
    </row>
    <row r="24153" spans="7:24" ht="15" customHeight="1">
      <c r="G24153"/>
      <c r="I24153"/>
      <c r="N24153"/>
      <c r="O24153" s="24"/>
      <c r="P24153"/>
      <c r="Q24153" s="24"/>
      <c r="R24153"/>
      <c r="S24153"/>
      <c r="T24153"/>
      <c r="U24153"/>
      <c r="X24153" s="60"/>
    </row>
    <row r="24154" spans="7:24" ht="15" customHeight="1">
      <c r="G24154"/>
      <c r="I24154"/>
      <c r="N24154"/>
      <c r="O24154" s="24"/>
      <c r="P24154"/>
      <c r="Q24154" s="24"/>
      <c r="R24154"/>
      <c r="S24154"/>
      <c r="T24154"/>
      <c r="U24154"/>
      <c r="X24154" s="60"/>
    </row>
    <row r="24155" spans="7:24" ht="15" customHeight="1">
      <c r="G24155"/>
      <c r="I24155"/>
      <c r="N24155"/>
      <c r="O24155" s="24"/>
      <c r="P24155"/>
      <c r="Q24155" s="24"/>
      <c r="R24155"/>
      <c r="S24155"/>
      <c r="T24155"/>
      <c r="U24155"/>
      <c r="X24155" s="60"/>
    </row>
    <row r="24156" spans="7:24" ht="15" customHeight="1">
      <c r="G24156"/>
      <c r="I24156"/>
      <c r="N24156"/>
      <c r="O24156" s="24"/>
      <c r="P24156"/>
      <c r="Q24156" s="24"/>
      <c r="R24156"/>
      <c r="S24156"/>
      <c r="T24156"/>
      <c r="U24156"/>
      <c r="X24156" s="60"/>
    </row>
    <row r="24157" spans="7:24" ht="15" customHeight="1">
      <c r="G24157"/>
      <c r="I24157"/>
      <c r="N24157"/>
      <c r="O24157" s="24"/>
      <c r="P24157"/>
      <c r="Q24157" s="24"/>
      <c r="R24157"/>
      <c r="S24157"/>
      <c r="T24157"/>
      <c r="U24157"/>
      <c r="X24157" s="60"/>
    </row>
    <row r="24158" spans="7:24" ht="15" customHeight="1">
      <c r="G24158"/>
      <c r="I24158"/>
      <c r="N24158"/>
      <c r="O24158" s="24"/>
      <c r="P24158"/>
      <c r="Q24158" s="24"/>
      <c r="R24158"/>
      <c r="S24158"/>
      <c r="T24158"/>
      <c r="U24158"/>
      <c r="X24158" s="60"/>
    </row>
    <row r="24159" spans="7:24" ht="15" customHeight="1">
      <c r="G24159"/>
      <c r="I24159"/>
      <c r="N24159"/>
      <c r="O24159" s="24"/>
      <c r="P24159"/>
      <c r="Q24159" s="24"/>
      <c r="R24159"/>
      <c r="S24159"/>
      <c r="T24159"/>
      <c r="U24159"/>
      <c r="X24159" s="60"/>
    </row>
    <row r="24160" spans="7:24" ht="15" customHeight="1">
      <c r="G24160"/>
      <c r="I24160"/>
      <c r="N24160"/>
      <c r="O24160" s="24"/>
      <c r="P24160"/>
      <c r="Q24160" s="24"/>
      <c r="R24160"/>
      <c r="S24160"/>
      <c r="T24160"/>
      <c r="U24160"/>
      <c r="X24160" s="60"/>
    </row>
    <row r="24161" spans="7:24" ht="15" customHeight="1">
      <c r="G24161"/>
      <c r="I24161"/>
      <c r="N24161"/>
      <c r="O24161" s="24"/>
      <c r="P24161"/>
      <c r="Q24161" s="24"/>
      <c r="R24161"/>
      <c r="S24161"/>
      <c r="T24161"/>
      <c r="U24161"/>
      <c r="X24161" s="60"/>
    </row>
    <row r="24162" spans="7:24" ht="15" customHeight="1">
      <c r="G24162"/>
      <c r="I24162"/>
      <c r="N24162"/>
      <c r="O24162" s="24"/>
      <c r="P24162"/>
      <c r="Q24162" s="24"/>
      <c r="R24162"/>
      <c r="S24162"/>
      <c r="T24162"/>
      <c r="U24162"/>
      <c r="X24162" s="60"/>
    </row>
    <row r="24163" spans="7:24" ht="15" customHeight="1">
      <c r="G24163"/>
      <c r="I24163"/>
      <c r="N24163"/>
      <c r="O24163" s="24"/>
      <c r="P24163"/>
      <c r="Q24163" s="24"/>
      <c r="R24163"/>
      <c r="S24163"/>
      <c r="T24163"/>
      <c r="U24163"/>
      <c r="X24163" s="60"/>
    </row>
    <row r="24164" spans="7:24" ht="15" customHeight="1">
      <c r="G24164"/>
      <c r="I24164"/>
      <c r="N24164"/>
      <c r="O24164" s="24"/>
      <c r="P24164"/>
      <c r="Q24164" s="24"/>
      <c r="R24164"/>
      <c r="S24164"/>
      <c r="T24164"/>
      <c r="U24164"/>
      <c r="X24164" s="60"/>
    </row>
    <row r="24165" spans="7:24" ht="15" customHeight="1">
      <c r="G24165"/>
      <c r="I24165"/>
      <c r="N24165"/>
      <c r="O24165" s="24"/>
      <c r="P24165"/>
      <c r="Q24165" s="24"/>
      <c r="R24165"/>
      <c r="S24165"/>
      <c r="T24165"/>
      <c r="U24165"/>
      <c r="X24165" s="60"/>
    </row>
    <row r="24166" spans="7:24" ht="15" customHeight="1">
      <c r="G24166"/>
      <c r="I24166"/>
      <c r="N24166"/>
      <c r="O24166" s="24"/>
      <c r="P24166"/>
      <c r="Q24166" s="24"/>
      <c r="R24166"/>
      <c r="S24166"/>
      <c r="T24166"/>
      <c r="U24166"/>
      <c r="X24166" s="60"/>
    </row>
    <row r="24167" spans="7:24" ht="15" customHeight="1">
      <c r="G24167"/>
      <c r="I24167"/>
      <c r="N24167"/>
      <c r="O24167" s="24"/>
      <c r="P24167"/>
      <c r="Q24167" s="24"/>
      <c r="R24167"/>
      <c r="S24167"/>
      <c r="T24167"/>
      <c r="U24167"/>
      <c r="X24167" s="60"/>
    </row>
    <row r="24168" spans="7:24" ht="15" customHeight="1">
      <c r="G24168"/>
      <c r="I24168"/>
      <c r="N24168"/>
      <c r="O24168" s="24"/>
      <c r="P24168"/>
      <c r="Q24168" s="24"/>
      <c r="R24168"/>
      <c r="S24168"/>
      <c r="T24168"/>
      <c r="U24168"/>
      <c r="X24168" s="60"/>
    </row>
    <row r="24169" spans="7:24" ht="15" customHeight="1">
      <c r="G24169"/>
      <c r="I24169"/>
      <c r="N24169"/>
      <c r="O24169" s="24"/>
      <c r="P24169"/>
      <c r="Q24169" s="24"/>
      <c r="R24169"/>
      <c r="S24169"/>
      <c r="T24169"/>
      <c r="U24169"/>
      <c r="X24169" s="60"/>
    </row>
    <row r="24170" spans="7:24" ht="15" customHeight="1">
      <c r="G24170"/>
      <c r="I24170"/>
      <c r="N24170"/>
      <c r="O24170" s="24"/>
      <c r="P24170"/>
      <c r="Q24170" s="24"/>
      <c r="R24170"/>
      <c r="S24170"/>
      <c r="T24170"/>
      <c r="U24170"/>
      <c r="X24170" s="60"/>
    </row>
    <row r="24171" spans="7:24" ht="15" customHeight="1">
      <c r="G24171"/>
      <c r="I24171"/>
      <c r="N24171"/>
      <c r="O24171" s="24"/>
      <c r="P24171"/>
      <c r="Q24171" s="24"/>
      <c r="R24171"/>
      <c r="S24171"/>
      <c r="T24171"/>
      <c r="U24171"/>
      <c r="X24171" s="60"/>
    </row>
    <row r="24172" spans="7:24" ht="15" customHeight="1">
      <c r="G24172"/>
      <c r="I24172"/>
      <c r="N24172"/>
      <c r="O24172" s="24"/>
      <c r="P24172"/>
      <c r="Q24172" s="24"/>
      <c r="R24172"/>
      <c r="S24172"/>
      <c r="T24172"/>
      <c r="U24172"/>
      <c r="X24172" s="60"/>
    </row>
    <row r="24173" spans="7:24" ht="15" customHeight="1">
      <c r="G24173"/>
      <c r="I24173"/>
      <c r="N24173"/>
      <c r="O24173" s="24"/>
      <c r="P24173"/>
      <c r="Q24173" s="24"/>
      <c r="R24173"/>
      <c r="S24173"/>
      <c r="T24173"/>
      <c r="U24173"/>
      <c r="X24173" s="60"/>
    </row>
    <row r="24174" spans="7:24" ht="15" customHeight="1">
      <c r="G24174"/>
      <c r="I24174"/>
      <c r="N24174"/>
      <c r="O24174" s="24"/>
      <c r="P24174"/>
      <c r="Q24174" s="24"/>
      <c r="R24174"/>
      <c r="S24174"/>
      <c r="T24174"/>
      <c r="U24174"/>
      <c r="X24174" s="60"/>
    </row>
    <row r="24175" spans="7:24" ht="15" customHeight="1">
      <c r="G24175"/>
      <c r="I24175"/>
      <c r="N24175"/>
      <c r="O24175" s="24"/>
      <c r="P24175"/>
      <c r="Q24175" s="24"/>
      <c r="R24175"/>
      <c r="S24175"/>
      <c r="T24175"/>
      <c r="U24175"/>
      <c r="X24175" s="60"/>
    </row>
    <row r="24176" spans="7:24" ht="15" customHeight="1">
      <c r="G24176"/>
      <c r="I24176"/>
      <c r="N24176"/>
      <c r="O24176" s="24"/>
      <c r="P24176"/>
      <c r="Q24176" s="24"/>
      <c r="R24176"/>
      <c r="S24176"/>
      <c r="T24176"/>
      <c r="U24176"/>
      <c r="X24176" s="60"/>
    </row>
    <row r="24177" spans="7:24" ht="15" customHeight="1">
      <c r="G24177"/>
      <c r="I24177"/>
      <c r="N24177"/>
      <c r="O24177" s="24"/>
      <c r="P24177"/>
      <c r="Q24177" s="24"/>
      <c r="R24177"/>
      <c r="S24177"/>
      <c r="T24177"/>
      <c r="U24177"/>
      <c r="X24177" s="60"/>
    </row>
    <row r="24178" spans="7:24" ht="15" customHeight="1">
      <c r="G24178"/>
      <c r="I24178"/>
      <c r="N24178"/>
      <c r="O24178" s="24"/>
      <c r="P24178"/>
      <c r="Q24178" s="24"/>
      <c r="R24178"/>
      <c r="S24178"/>
      <c r="T24178"/>
      <c r="U24178"/>
      <c r="X24178" s="60"/>
    </row>
    <row r="24179" spans="7:24" ht="15" customHeight="1">
      <c r="G24179"/>
      <c r="I24179"/>
      <c r="N24179"/>
      <c r="O24179" s="24"/>
      <c r="P24179"/>
      <c r="Q24179" s="24"/>
      <c r="R24179"/>
      <c r="S24179"/>
      <c r="T24179"/>
      <c r="U24179"/>
      <c r="X24179" s="60"/>
    </row>
    <row r="24180" spans="7:24" ht="15" customHeight="1">
      <c r="G24180"/>
      <c r="I24180"/>
      <c r="N24180"/>
      <c r="O24180" s="24"/>
      <c r="P24180"/>
      <c r="Q24180" s="24"/>
      <c r="R24180"/>
      <c r="S24180"/>
      <c r="T24180"/>
      <c r="U24180"/>
      <c r="X24180" s="60"/>
    </row>
    <row r="24181" spans="7:24" ht="15" customHeight="1">
      <c r="G24181"/>
      <c r="I24181"/>
      <c r="N24181"/>
      <c r="O24181" s="24"/>
      <c r="P24181"/>
      <c r="Q24181" s="24"/>
      <c r="R24181"/>
      <c r="S24181"/>
      <c r="T24181"/>
      <c r="U24181"/>
      <c r="X24181" s="60"/>
    </row>
    <row r="24182" spans="7:24" ht="15" customHeight="1">
      <c r="G24182"/>
      <c r="I24182"/>
      <c r="N24182"/>
      <c r="O24182" s="24"/>
      <c r="P24182"/>
      <c r="Q24182" s="24"/>
      <c r="R24182"/>
      <c r="S24182"/>
      <c r="T24182"/>
      <c r="U24182"/>
      <c r="X24182" s="60"/>
    </row>
    <row r="24183" spans="7:24" ht="15" customHeight="1">
      <c r="G24183"/>
      <c r="I24183"/>
      <c r="N24183"/>
      <c r="O24183" s="24"/>
      <c r="P24183"/>
      <c r="Q24183" s="24"/>
      <c r="R24183"/>
      <c r="S24183"/>
      <c r="T24183"/>
      <c r="U24183"/>
      <c r="X24183" s="60"/>
    </row>
    <row r="24184" spans="7:24" ht="15" customHeight="1">
      <c r="G24184"/>
      <c r="I24184"/>
      <c r="N24184"/>
      <c r="O24184" s="24"/>
      <c r="P24184"/>
      <c r="Q24184" s="24"/>
      <c r="R24184"/>
      <c r="S24184"/>
      <c r="T24184"/>
      <c r="U24184"/>
      <c r="X24184" s="60"/>
    </row>
    <row r="24185" spans="7:24" ht="15" customHeight="1">
      <c r="G24185"/>
      <c r="I24185"/>
      <c r="N24185"/>
      <c r="O24185" s="24"/>
      <c r="P24185"/>
      <c r="Q24185" s="24"/>
      <c r="R24185"/>
      <c r="S24185"/>
      <c r="T24185"/>
      <c r="U24185"/>
      <c r="X24185" s="60"/>
    </row>
    <row r="24186" spans="7:24" ht="15" customHeight="1">
      <c r="G24186"/>
      <c r="I24186"/>
      <c r="N24186"/>
      <c r="O24186" s="24"/>
      <c r="P24186"/>
      <c r="Q24186" s="24"/>
      <c r="R24186"/>
      <c r="S24186"/>
      <c r="T24186"/>
      <c r="U24186"/>
      <c r="X24186" s="60"/>
    </row>
    <row r="24187" spans="7:24" ht="15" customHeight="1">
      <c r="G24187"/>
      <c r="I24187"/>
      <c r="N24187"/>
      <c r="O24187" s="24"/>
      <c r="P24187"/>
      <c r="Q24187" s="24"/>
      <c r="R24187"/>
      <c r="S24187"/>
      <c r="T24187"/>
      <c r="U24187"/>
      <c r="X24187" s="60"/>
    </row>
    <row r="24188" spans="7:24" ht="15" customHeight="1">
      <c r="G24188"/>
      <c r="I24188"/>
      <c r="N24188"/>
      <c r="O24188" s="24"/>
      <c r="P24188"/>
      <c r="Q24188" s="24"/>
      <c r="R24188"/>
      <c r="S24188"/>
      <c r="T24188"/>
      <c r="U24188"/>
      <c r="X24188" s="60"/>
    </row>
    <row r="24189" spans="7:24" ht="15" customHeight="1">
      <c r="G24189"/>
      <c r="I24189"/>
      <c r="N24189"/>
      <c r="O24189" s="24"/>
      <c r="P24189"/>
      <c r="Q24189" s="24"/>
      <c r="R24189"/>
      <c r="S24189"/>
      <c r="T24189"/>
      <c r="U24189"/>
      <c r="X24189" s="60"/>
    </row>
    <row r="24190" spans="7:24" ht="15" customHeight="1">
      <c r="G24190"/>
      <c r="I24190"/>
      <c r="N24190"/>
      <c r="O24190" s="24"/>
      <c r="P24190"/>
      <c r="Q24190" s="24"/>
      <c r="R24190"/>
      <c r="S24190"/>
      <c r="T24190"/>
      <c r="U24190"/>
      <c r="X24190" s="60"/>
    </row>
    <row r="24191" spans="7:24" ht="15" customHeight="1">
      <c r="G24191"/>
      <c r="I24191"/>
      <c r="N24191"/>
      <c r="O24191" s="24"/>
      <c r="P24191"/>
      <c r="Q24191" s="24"/>
      <c r="R24191"/>
      <c r="S24191"/>
      <c r="T24191"/>
      <c r="U24191"/>
      <c r="X24191" s="60"/>
    </row>
    <row r="24192" spans="7:24" ht="15" customHeight="1">
      <c r="G24192"/>
      <c r="I24192"/>
      <c r="N24192"/>
      <c r="O24192" s="24"/>
      <c r="P24192"/>
      <c r="Q24192" s="24"/>
      <c r="R24192"/>
      <c r="S24192"/>
      <c r="T24192"/>
      <c r="U24192"/>
      <c r="X24192" s="60"/>
    </row>
    <row r="24193" spans="7:24" ht="15" customHeight="1">
      <c r="G24193"/>
      <c r="I24193"/>
      <c r="N24193"/>
      <c r="O24193" s="24"/>
      <c r="P24193"/>
      <c r="Q24193" s="24"/>
      <c r="R24193"/>
      <c r="S24193"/>
      <c r="T24193"/>
      <c r="U24193"/>
      <c r="X24193" s="60"/>
    </row>
    <row r="24194" spans="7:24" ht="15" customHeight="1">
      <c r="G24194"/>
      <c r="I24194"/>
      <c r="N24194"/>
      <c r="O24194" s="24"/>
      <c r="P24194"/>
      <c r="Q24194" s="24"/>
      <c r="R24194"/>
      <c r="S24194"/>
      <c r="T24194"/>
      <c r="U24194"/>
      <c r="X24194" s="60"/>
    </row>
    <row r="24195" spans="7:24" ht="15" customHeight="1">
      <c r="G24195"/>
      <c r="I24195"/>
      <c r="N24195"/>
      <c r="O24195" s="24"/>
      <c r="P24195"/>
      <c r="Q24195" s="24"/>
      <c r="R24195"/>
      <c r="S24195"/>
      <c r="T24195"/>
      <c r="U24195"/>
      <c r="X24195" s="60"/>
    </row>
    <row r="24196" spans="7:24" ht="15" customHeight="1">
      <c r="G24196"/>
      <c r="I24196"/>
      <c r="N24196"/>
      <c r="O24196" s="24"/>
      <c r="P24196"/>
      <c r="Q24196" s="24"/>
      <c r="R24196"/>
      <c r="S24196"/>
      <c r="T24196"/>
      <c r="U24196"/>
      <c r="X24196" s="60"/>
    </row>
    <row r="24197" spans="7:24" ht="15" customHeight="1">
      <c r="G24197"/>
      <c r="I24197"/>
      <c r="N24197"/>
      <c r="O24197" s="24"/>
      <c r="P24197"/>
      <c r="Q24197" s="24"/>
      <c r="R24197"/>
      <c r="S24197"/>
      <c r="T24197"/>
      <c r="U24197"/>
      <c r="X24197" s="60"/>
    </row>
    <row r="24198" spans="7:24" ht="15" customHeight="1">
      <c r="G24198"/>
      <c r="I24198"/>
      <c r="N24198"/>
      <c r="O24198" s="24"/>
      <c r="P24198"/>
      <c r="Q24198" s="24"/>
      <c r="R24198"/>
      <c r="S24198"/>
      <c r="T24198"/>
      <c r="U24198"/>
      <c r="X24198" s="60"/>
    </row>
    <row r="24199" spans="7:24" ht="15" customHeight="1">
      <c r="G24199"/>
      <c r="I24199"/>
      <c r="N24199"/>
      <c r="O24199" s="24"/>
      <c r="P24199"/>
      <c r="Q24199" s="24"/>
      <c r="R24199"/>
      <c r="S24199"/>
      <c r="T24199"/>
      <c r="U24199"/>
      <c r="X24199" s="60"/>
    </row>
    <row r="24200" spans="7:24" ht="15" customHeight="1">
      <c r="G24200"/>
      <c r="I24200"/>
      <c r="N24200"/>
      <c r="O24200" s="24"/>
      <c r="P24200"/>
      <c r="Q24200" s="24"/>
      <c r="R24200"/>
      <c r="S24200"/>
      <c r="T24200"/>
      <c r="U24200"/>
      <c r="X24200" s="60"/>
    </row>
    <row r="24201" spans="7:24" ht="15" customHeight="1">
      <c r="G24201"/>
      <c r="I24201"/>
      <c r="N24201"/>
      <c r="O24201" s="24"/>
      <c r="P24201"/>
      <c r="Q24201" s="24"/>
      <c r="R24201"/>
      <c r="S24201"/>
      <c r="T24201"/>
      <c r="U24201"/>
      <c r="X24201" s="60"/>
    </row>
    <row r="24202" spans="7:24" ht="15" customHeight="1">
      <c r="G24202"/>
      <c r="I24202"/>
      <c r="N24202"/>
      <c r="O24202" s="24"/>
      <c r="P24202"/>
      <c r="Q24202" s="24"/>
      <c r="R24202"/>
      <c r="S24202"/>
      <c r="T24202"/>
      <c r="U24202"/>
      <c r="X24202" s="60"/>
    </row>
    <row r="24203" spans="7:24" ht="15" customHeight="1">
      <c r="G24203"/>
      <c r="I24203"/>
      <c r="N24203"/>
      <c r="O24203" s="24"/>
      <c r="P24203"/>
      <c r="Q24203" s="24"/>
      <c r="R24203"/>
      <c r="S24203"/>
      <c r="T24203"/>
      <c r="U24203"/>
      <c r="X24203" s="60"/>
    </row>
    <row r="24204" spans="7:24" ht="15" customHeight="1">
      <c r="G24204"/>
      <c r="I24204"/>
      <c r="N24204"/>
      <c r="O24204" s="24"/>
      <c r="P24204"/>
      <c r="Q24204" s="24"/>
      <c r="R24204"/>
      <c r="S24204"/>
      <c r="T24204"/>
      <c r="U24204"/>
      <c r="X24204" s="60"/>
    </row>
    <row r="24205" spans="7:24" ht="15" customHeight="1">
      <c r="G24205"/>
      <c r="I24205"/>
      <c r="N24205"/>
      <c r="O24205" s="24"/>
      <c r="P24205"/>
      <c r="Q24205" s="24"/>
      <c r="R24205"/>
      <c r="S24205"/>
      <c r="T24205"/>
      <c r="U24205"/>
      <c r="X24205" s="60"/>
    </row>
    <row r="24206" spans="7:24" ht="15" customHeight="1">
      <c r="G24206"/>
      <c r="I24206"/>
      <c r="N24206"/>
      <c r="O24206" s="24"/>
      <c r="P24206"/>
      <c r="Q24206" s="24"/>
      <c r="R24206"/>
      <c r="S24206"/>
      <c r="T24206"/>
      <c r="U24206"/>
      <c r="X24206" s="60"/>
    </row>
    <row r="24207" spans="7:24" ht="15" customHeight="1">
      <c r="G24207"/>
      <c r="I24207"/>
      <c r="N24207"/>
      <c r="O24207" s="24"/>
      <c r="P24207"/>
      <c r="Q24207" s="24"/>
      <c r="R24207"/>
      <c r="S24207"/>
      <c r="T24207"/>
      <c r="U24207"/>
      <c r="X24207" s="60"/>
    </row>
    <row r="24208" spans="7:24" ht="15" customHeight="1">
      <c r="G24208"/>
      <c r="I24208"/>
      <c r="N24208"/>
      <c r="O24208" s="24"/>
      <c r="P24208"/>
      <c r="Q24208" s="24"/>
      <c r="R24208"/>
      <c r="S24208"/>
      <c r="T24208"/>
      <c r="U24208"/>
      <c r="X24208" s="60"/>
    </row>
    <row r="24209" spans="7:24" ht="15" customHeight="1">
      <c r="G24209"/>
      <c r="I24209"/>
      <c r="N24209"/>
      <c r="O24209" s="24"/>
      <c r="P24209"/>
      <c r="Q24209" s="24"/>
      <c r="R24209"/>
      <c r="S24209"/>
      <c r="T24209"/>
      <c r="U24209"/>
      <c r="X24209" s="60"/>
    </row>
    <row r="24210" spans="7:24" ht="15" customHeight="1">
      <c r="G24210"/>
      <c r="I24210"/>
      <c r="N24210"/>
      <c r="O24210" s="24"/>
      <c r="P24210"/>
      <c r="Q24210" s="24"/>
      <c r="R24210"/>
      <c r="S24210"/>
      <c r="T24210"/>
      <c r="U24210"/>
      <c r="X24210" s="60"/>
    </row>
    <row r="24211" spans="7:24" ht="15" customHeight="1">
      <c r="G24211"/>
      <c r="I24211"/>
      <c r="N24211"/>
      <c r="O24211" s="24"/>
      <c r="P24211"/>
      <c r="Q24211" s="24"/>
      <c r="R24211"/>
      <c r="S24211"/>
      <c r="T24211"/>
      <c r="U24211"/>
      <c r="X24211" s="60"/>
    </row>
    <row r="24212" spans="7:24" ht="15" customHeight="1">
      <c r="G24212"/>
      <c r="I24212"/>
      <c r="N24212"/>
      <c r="O24212" s="24"/>
      <c r="P24212"/>
      <c r="Q24212" s="24"/>
      <c r="R24212"/>
      <c r="S24212"/>
      <c r="T24212"/>
      <c r="U24212"/>
      <c r="X24212" s="60"/>
    </row>
    <row r="24213" spans="7:24" ht="15" customHeight="1">
      <c r="G24213"/>
      <c r="I24213"/>
      <c r="N24213"/>
      <c r="O24213" s="24"/>
      <c r="P24213"/>
      <c r="Q24213" s="24"/>
      <c r="R24213"/>
      <c r="S24213"/>
      <c r="T24213"/>
      <c r="U24213"/>
      <c r="X24213" s="60"/>
    </row>
    <row r="24214" spans="7:24" ht="15" customHeight="1">
      <c r="G24214"/>
      <c r="I24214"/>
      <c r="N24214"/>
      <c r="O24214" s="24"/>
      <c r="P24214"/>
      <c r="Q24214" s="24"/>
      <c r="R24214"/>
      <c r="S24214"/>
      <c r="T24214"/>
      <c r="U24214"/>
      <c r="X24214" s="60"/>
    </row>
    <row r="24215" spans="7:24" ht="15" customHeight="1">
      <c r="G24215"/>
      <c r="I24215"/>
      <c r="N24215"/>
      <c r="O24215" s="24"/>
      <c r="P24215"/>
      <c r="Q24215" s="24"/>
      <c r="R24215"/>
      <c r="S24215"/>
      <c r="T24215"/>
      <c r="U24215"/>
      <c r="X24215" s="60"/>
    </row>
    <row r="24216" spans="7:24" ht="15" customHeight="1">
      <c r="G24216"/>
      <c r="I24216"/>
      <c r="N24216"/>
      <c r="O24216" s="24"/>
      <c r="P24216"/>
      <c r="Q24216" s="24"/>
      <c r="R24216"/>
      <c r="S24216"/>
      <c r="T24216"/>
      <c r="U24216"/>
      <c r="X24216" s="60"/>
    </row>
    <row r="24217" spans="7:24" ht="15" customHeight="1">
      <c r="G24217"/>
      <c r="I24217"/>
      <c r="N24217"/>
      <c r="O24217" s="24"/>
      <c r="P24217"/>
      <c r="Q24217" s="24"/>
      <c r="R24217"/>
      <c r="S24217"/>
      <c r="T24217"/>
      <c r="U24217"/>
      <c r="X24217" s="60"/>
    </row>
    <row r="24218" spans="7:24" ht="15" customHeight="1">
      <c r="G24218"/>
      <c r="I24218"/>
      <c r="N24218"/>
      <c r="O24218" s="24"/>
      <c r="P24218"/>
      <c r="Q24218" s="24"/>
      <c r="R24218"/>
      <c r="S24218"/>
      <c r="T24218"/>
      <c r="U24218"/>
      <c r="X24218" s="60"/>
    </row>
    <row r="24219" spans="7:24" ht="15" customHeight="1">
      <c r="G24219"/>
      <c r="I24219"/>
      <c r="N24219"/>
      <c r="O24219" s="24"/>
      <c r="P24219"/>
      <c r="Q24219" s="24"/>
      <c r="R24219"/>
      <c r="S24219"/>
      <c r="T24219"/>
      <c r="U24219"/>
      <c r="X24219" s="60"/>
    </row>
    <row r="24220" spans="7:24" ht="15" customHeight="1">
      <c r="G24220"/>
      <c r="I24220"/>
      <c r="N24220"/>
      <c r="O24220" s="24"/>
      <c r="P24220"/>
      <c r="Q24220" s="24"/>
      <c r="R24220"/>
      <c r="S24220"/>
      <c r="T24220"/>
      <c r="U24220"/>
      <c r="X24220" s="60"/>
    </row>
    <row r="24221" spans="7:24" ht="15" customHeight="1">
      <c r="G24221"/>
      <c r="I24221"/>
      <c r="N24221"/>
      <c r="O24221" s="24"/>
      <c r="P24221"/>
      <c r="Q24221" s="24"/>
      <c r="R24221"/>
      <c r="S24221"/>
      <c r="T24221"/>
      <c r="U24221"/>
      <c r="X24221" s="60"/>
    </row>
    <row r="24222" spans="7:24" ht="15" customHeight="1">
      <c r="G24222"/>
      <c r="I24222"/>
      <c r="N24222"/>
      <c r="O24222" s="24"/>
      <c r="P24222"/>
      <c r="Q24222" s="24"/>
      <c r="R24222"/>
      <c r="S24222"/>
      <c r="T24222"/>
      <c r="U24222"/>
      <c r="X24222" s="60"/>
    </row>
    <row r="24223" spans="7:24" ht="15" customHeight="1">
      <c r="G24223"/>
      <c r="I24223"/>
      <c r="N24223"/>
      <c r="O24223" s="24"/>
      <c r="P24223"/>
      <c r="Q24223" s="24"/>
      <c r="R24223"/>
      <c r="S24223"/>
      <c r="T24223"/>
      <c r="U24223"/>
      <c r="X24223" s="60"/>
    </row>
    <row r="24224" spans="7:24" ht="15" customHeight="1">
      <c r="G24224"/>
      <c r="I24224"/>
      <c r="N24224"/>
      <c r="O24224" s="24"/>
      <c r="P24224"/>
      <c r="Q24224" s="24"/>
      <c r="R24224"/>
      <c r="S24224"/>
      <c r="T24224"/>
      <c r="U24224"/>
      <c r="X24224" s="60"/>
    </row>
    <row r="24225" spans="7:24" ht="15" customHeight="1">
      <c r="G24225"/>
      <c r="I24225"/>
      <c r="N24225"/>
      <c r="O24225" s="24"/>
      <c r="P24225"/>
      <c r="Q24225" s="24"/>
      <c r="R24225"/>
      <c r="S24225"/>
      <c r="T24225"/>
      <c r="U24225"/>
      <c r="X24225" s="60"/>
    </row>
    <row r="24226" spans="7:24" ht="15" customHeight="1">
      <c r="G24226"/>
      <c r="I24226"/>
      <c r="N24226"/>
      <c r="O24226" s="24"/>
      <c r="P24226"/>
      <c r="Q24226" s="24"/>
      <c r="R24226"/>
      <c r="S24226"/>
      <c r="T24226"/>
      <c r="U24226"/>
      <c r="X24226" s="60"/>
    </row>
    <row r="24227" spans="7:24" ht="15" customHeight="1">
      <c r="G24227"/>
      <c r="I24227"/>
      <c r="N24227"/>
      <c r="O24227" s="24"/>
      <c r="P24227"/>
      <c r="Q24227" s="24"/>
      <c r="R24227"/>
      <c r="S24227"/>
      <c r="T24227"/>
      <c r="U24227"/>
      <c r="X24227" s="60"/>
    </row>
    <row r="24228" spans="7:24" ht="15" customHeight="1">
      <c r="G24228"/>
      <c r="I24228"/>
      <c r="N24228"/>
      <c r="O24228" s="24"/>
      <c r="P24228"/>
      <c r="Q24228" s="24"/>
      <c r="R24228"/>
      <c r="S24228"/>
      <c r="T24228"/>
      <c r="U24228"/>
      <c r="X24228" s="60"/>
    </row>
    <row r="24229" spans="7:24" ht="15" customHeight="1">
      <c r="G24229"/>
      <c r="I24229"/>
      <c r="N24229"/>
      <c r="O24229" s="24"/>
      <c r="P24229"/>
      <c r="Q24229" s="24"/>
      <c r="R24229"/>
      <c r="S24229"/>
      <c r="T24229"/>
      <c r="U24229"/>
      <c r="X24229" s="60"/>
    </row>
    <row r="24230" spans="7:24" ht="15" customHeight="1">
      <c r="G24230"/>
      <c r="I24230"/>
      <c r="N24230"/>
      <c r="O24230" s="24"/>
      <c r="P24230"/>
      <c r="Q24230" s="24"/>
      <c r="R24230"/>
      <c r="S24230"/>
      <c r="T24230"/>
      <c r="U24230"/>
      <c r="X24230" s="60"/>
    </row>
    <row r="24231" spans="7:24" ht="15" customHeight="1">
      <c r="G24231"/>
      <c r="I24231"/>
      <c r="N24231"/>
      <c r="O24231" s="24"/>
      <c r="P24231"/>
      <c r="Q24231" s="24"/>
      <c r="R24231"/>
      <c r="S24231"/>
      <c r="T24231"/>
      <c r="U24231"/>
      <c r="X24231" s="60"/>
    </row>
    <row r="24232" spans="7:24" ht="15" customHeight="1">
      <c r="G24232"/>
      <c r="I24232"/>
      <c r="N24232"/>
      <c r="O24232" s="24"/>
      <c r="P24232"/>
      <c r="Q24232" s="24"/>
      <c r="R24232"/>
      <c r="S24232"/>
      <c r="T24232"/>
      <c r="U24232"/>
      <c r="X24232" s="60"/>
    </row>
    <row r="24233" spans="7:24" ht="15" customHeight="1">
      <c r="G24233"/>
      <c r="I24233"/>
      <c r="N24233"/>
      <c r="O24233" s="24"/>
      <c r="P24233"/>
      <c r="Q24233" s="24"/>
      <c r="R24233"/>
      <c r="S24233"/>
      <c r="T24233"/>
      <c r="U24233"/>
      <c r="X24233" s="60"/>
    </row>
    <row r="24234" spans="7:24" ht="15" customHeight="1">
      <c r="G24234"/>
      <c r="I24234"/>
      <c r="N24234"/>
      <c r="O24234" s="24"/>
      <c r="P24234"/>
      <c r="Q24234" s="24"/>
      <c r="R24234"/>
      <c r="S24234"/>
      <c r="T24234"/>
      <c r="U24234"/>
      <c r="X24234" s="60"/>
    </row>
    <row r="24235" spans="7:24" ht="15" customHeight="1">
      <c r="G24235"/>
      <c r="I24235"/>
      <c r="N24235"/>
      <c r="O24235" s="24"/>
      <c r="P24235"/>
      <c r="Q24235" s="24"/>
      <c r="R24235"/>
      <c r="S24235"/>
      <c r="T24235"/>
      <c r="U24235"/>
      <c r="X24235" s="60"/>
    </row>
    <row r="24236" spans="7:24" ht="15" customHeight="1">
      <c r="G24236"/>
      <c r="I24236"/>
      <c r="N24236"/>
      <c r="O24236" s="24"/>
      <c r="P24236"/>
      <c r="Q24236" s="24"/>
      <c r="R24236"/>
      <c r="S24236"/>
      <c r="T24236"/>
      <c r="U24236"/>
      <c r="X24236" s="60"/>
    </row>
    <row r="24237" spans="7:24" ht="15" customHeight="1">
      <c r="G24237"/>
      <c r="I24237"/>
      <c r="N24237"/>
      <c r="O24237" s="24"/>
      <c r="P24237"/>
      <c r="Q24237" s="24"/>
      <c r="R24237"/>
      <c r="S24237"/>
      <c r="T24237"/>
      <c r="U24237"/>
      <c r="X24237" s="60"/>
    </row>
    <row r="24238" spans="7:24" ht="15" customHeight="1">
      <c r="G24238"/>
      <c r="I24238"/>
      <c r="N24238"/>
      <c r="O24238" s="24"/>
      <c r="P24238"/>
      <c r="Q24238" s="24"/>
      <c r="R24238"/>
      <c r="S24238"/>
      <c r="T24238"/>
      <c r="U24238"/>
      <c r="X24238" s="60"/>
    </row>
    <row r="24239" spans="7:24" ht="15" customHeight="1">
      <c r="G24239"/>
      <c r="I24239"/>
      <c r="N24239"/>
      <c r="O24239" s="24"/>
      <c r="P24239"/>
      <c r="Q24239" s="24"/>
      <c r="R24239"/>
      <c r="S24239"/>
      <c r="T24239"/>
      <c r="U24239"/>
      <c r="X24239" s="60"/>
    </row>
    <row r="24240" spans="7:24" ht="15" customHeight="1">
      <c r="G24240"/>
      <c r="I24240"/>
      <c r="N24240"/>
      <c r="O24240" s="24"/>
      <c r="P24240"/>
      <c r="Q24240" s="24"/>
      <c r="R24240"/>
      <c r="S24240"/>
      <c r="T24240"/>
      <c r="U24240"/>
      <c r="X24240" s="60"/>
    </row>
    <row r="24241" spans="7:24" ht="15" customHeight="1">
      <c r="G24241"/>
      <c r="I24241"/>
      <c r="N24241"/>
      <c r="O24241" s="24"/>
      <c r="P24241"/>
      <c r="Q24241" s="24"/>
      <c r="R24241"/>
      <c r="S24241"/>
      <c r="T24241"/>
      <c r="U24241"/>
      <c r="X24241" s="60"/>
    </row>
    <row r="24242" spans="7:24" ht="15" customHeight="1">
      <c r="G24242"/>
      <c r="I24242"/>
      <c r="N24242"/>
      <c r="O24242" s="24"/>
      <c r="P24242"/>
      <c r="Q24242" s="24"/>
      <c r="R24242"/>
      <c r="S24242"/>
      <c r="T24242"/>
      <c r="U24242"/>
      <c r="X24242" s="60"/>
    </row>
    <row r="24243" spans="7:24" ht="15" customHeight="1">
      <c r="G24243"/>
      <c r="I24243"/>
      <c r="N24243"/>
      <c r="O24243" s="24"/>
      <c r="P24243"/>
      <c r="Q24243" s="24"/>
      <c r="R24243"/>
      <c r="S24243"/>
      <c r="T24243"/>
      <c r="U24243"/>
      <c r="X24243" s="60"/>
    </row>
    <row r="24244" spans="7:24" ht="15" customHeight="1">
      <c r="G24244"/>
      <c r="I24244"/>
      <c r="N24244"/>
      <c r="O24244" s="24"/>
      <c r="P24244"/>
      <c r="Q24244" s="24"/>
      <c r="R24244"/>
      <c r="S24244"/>
      <c r="T24244"/>
      <c r="U24244"/>
      <c r="X24244" s="60"/>
    </row>
    <row r="24245" spans="7:24" ht="15" customHeight="1">
      <c r="G24245"/>
      <c r="I24245"/>
      <c r="N24245"/>
      <c r="O24245" s="24"/>
      <c r="P24245"/>
      <c r="Q24245" s="24"/>
      <c r="R24245"/>
      <c r="S24245"/>
      <c r="T24245"/>
      <c r="U24245"/>
      <c r="X24245" s="60"/>
    </row>
    <row r="24246" spans="7:24" ht="15" customHeight="1">
      <c r="G24246"/>
      <c r="I24246"/>
      <c r="N24246"/>
      <c r="O24246" s="24"/>
      <c r="P24246"/>
      <c r="Q24246" s="24"/>
      <c r="R24246"/>
      <c r="S24246"/>
      <c r="T24246"/>
      <c r="U24246"/>
      <c r="X24246" s="60"/>
    </row>
    <row r="24247" spans="7:24" ht="15" customHeight="1">
      <c r="G24247"/>
      <c r="I24247"/>
      <c r="N24247"/>
      <c r="O24247" s="24"/>
      <c r="P24247"/>
      <c r="Q24247" s="24"/>
      <c r="R24247"/>
      <c r="S24247"/>
      <c r="T24247"/>
      <c r="U24247"/>
      <c r="X24247" s="60"/>
    </row>
    <row r="24248" spans="7:24" ht="15" customHeight="1">
      <c r="G24248"/>
      <c r="I24248"/>
      <c r="N24248"/>
      <c r="O24248" s="24"/>
      <c r="P24248"/>
      <c r="Q24248" s="24"/>
      <c r="R24248"/>
      <c r="S24248"/>
      <c r="T24248"/>
      <c r="U24248"/>
      <c r="X24248" s="60"/>
    </row>
    <row r="24249" spans="7:24" ht="15" customHeight="1">
      <c r="G24249"/>
      <c r="I24249"/>
      <c r="N24249"/>
      <c r="O24249" s="24"/>
      <c r="P24249"/>
      <c r="Q24249" s="24"/>
      <c r="R24249"/>
      <c r="S24249"/>
      <c r="T24249"/>
      <c r="U24249"/>
      <c r="X24249" s="60"/>
    </row>
    <row r="24250" spans="7:24" ht="15" customHeight="1">
      <c r="G24250"/>
      <c r="I24250"/>
      <c r="N24250"/>
      <c r="O24250" s="24"/>
      <c r="P24250"/>
      <c r="Q24250" s="24"/>
      <c r="R24250"/>
      <c r="S24250"/>
      <c r="T24250"/>
      <c r="U24250"/>
      <c r="X24250" s="60"/>
    </row>
    <row r="24251" spans="7:24" ht="15" customHeight="1">
      <c r="G24251"/>
      <c r="I24251"/>
      <c r="N24251"/>
      <c r="O24251" s="24"/>
      <c r="P24251"/>
      <c r="Q24251" s="24"/>
      <c r="R24251"/>
      <c r="S24251"/>
      <c r="T24251"/>
      <c r="U24251"/>
      <c r="X24251" s="60"/>
    </row>
    <row r="24252" spans="7:24" ht="15" customHeight="1">
      <c r="G24252"/>
      <c r="I24252"/>
      <c r="N24252"/>
      <c r="O24252" s="24"/>
      <c r="P24252"/>
      <c r="Q24252" s="24"/>
      <c r="R24252"/>
      <c r="S24252"/>
      <c r="T24252"/>
      <c r="U24252"/>
      <c r="X24252" s="60"/>
    </row>
    <row r="24253" spans="7:24" ht="15" customHeight="1">
      <c r="G24253"/>
      <c r="I24253"/>
      <c r="N24253"/>
      <c r="O24253" s="24"/>
      <c r="P24253"/>
      <c r="Q24253" s="24"/>
      <c r="R24253"/>
      <c r="S24253"/>
      <c r="T24253"/>
      <c r="U24253"/>
      <c r="X24253" s="60"/>
    </row>
    <row r="24254" spans="7:24" ht="15" customHeight="1">
      <c r="G24254"/>
      <c r="I24254"/>
      <c r="N24254"/>
      <c r="O24254" s="24"/>
      <c r="P24254"/>
      <c r="Q24254" s="24"/>
      <c r="R24254"/>
      <c r="S24254"/>
      <c r="T24254"/>
      <c r="U24254"/>
      <c r="X24254" s="60"/>
    </row>
    <row r="24255" spans="7:24" ht="15" customHeight="1">
      <c r="G24255"/>
      <c r="I24255"/>
      <c r="N24255"/>
      <c r="O24255" s="24"/>
      <c r="P24255"/>
      <c r="Q24255" s="24"/>
      <c r="R24255"/>
      <c r="S24255"/>
      <c r="T24255"/>
      <c r="U24255"/>
      <c r="X24255" s="60"/>
    </row>
    <row r="24256" spans="7:24" ht="15" customHeight="1">
      <c r="G24256"/>
      <c r="I24256"/>
      <c r="N24256"/>
      <c r="O24256" s="24"/>
      <c r="P24256"/>
      <c r="Q24256" s="24"/>
      <c r="R24256"/>
      <c r="S24256"/>
      <c r="T24256"/>
      <c r="U24256"/>
      <c r="X24256" s="60"/>
    </row>
    <row r="24257" spans="7:24" ht="15" customHeight="1">
      <c r="G24257"/>
      <c r="I24257"/>
      <c r="N24257"/>
      <c r="O24257" s="24"/>
      <c r="P24257"/>
      <c r="Q24257" s="24"/>
      <c r="R24257"/>
      <c r="S24257"/>
      <c r="T24257"/>
      <c r="U24257"/>
      <c r="X24257" s="60"/>
    </row>
    <row r="24258" spans="7:24" ht="15" customHeight="1">
      <c r="G24258"/>
      <c r="I24258"/>
      <c r="N24258"/>
      <c r="O24258" s="24"/>
      <c r="P24258"/>
      <c r="Q24258" s="24"/>
      <c r="R24258"/>
      <c r="S24258"/>
      <c r="T24258"/>
      <c r="U24258"/>
      <c r="X24258" s="60"/>
    </row>
    <row r="24259" spans="7:24" ht="15" customHeight="1">
      <c r="G24259"/>
      <c r="I24259"/>
      <c r="N24259"/>
      <c r="O24259" s="24"/>
      <c r="P24259"/>
      <c r="Q24259" s="24"/>
      <c r="R24259"/>
      <c r="S24259"/>
      <c r="T24259"/>
      <c r="U24259"/>
      <c r="X24259" s="60"/>
    </row>
    <row r="24260" spans="7:24" ht="15" customHeight="1">
      <c r="G24260"/>
      <c r="I24260"/>
      <c r="N24260"/>
      <c r="O24260" s="24"/>
      <c r="P24260"/>
      <c r="Q24260" s="24"/>
      <c r="R24260"/>
      <c r="S24260"/>
      <c r="T24260"/>
      <c r="U24260"/>
      <c r="X24260" s="60"/>
    </row>
    <row r="24261" spans="7:24" ht="15" customHeight="1">
      <c r="G24261"/>
      <c r="I24261"/>
      <c r="N24261"/>
      <c r="O24261" s="24"/>
      <c r="P24261"/>
      <c r="Q24261" s="24"/>
      <c r="R24261"/>
      <c r="S24261"/>
      <c r="T24261"/>
      <c r="U24261"/>
      <c r="X24261" s="60"/>
    </row>
    <row r="24262" spans="7:24" ht="15" customHeight="1">
      <c r="G24262"/>
      <c r="I24262"/>
      <c r="N24262"/>
      <c r="O24262" s="24"/>
      <c r="P24262"/>
      <c r="Q24262" s="24"/>
      <c r="R24262"/>
      <c r="S24262"/>
      <c r="T24262"/>
      <c r="U24262"/>
      <c r="X24262" s="60"/>
    </row>
    <row r="24263" spans="7:24" ht="15" customHeight="1">
      <c r="G24263"/>
      <c r="I24263"/>
      <c r="N24263"/>
      <c r="O24263" s="24"/>
      <c r="P24263"/>
      <c r="Q24263" s="24"/>
      <c r="R24263"/>
      <c r="S24263"/>
      <c r="T24263"/>
      <c r="U24263"/>
      <c r="X24263" s="60"/>
    </row>
    <row r="24264" spans="7:24" ht="15" customHeight="1">
      <c r="G24264"/>
      <c r="I24264"/>
      <c r="N24264"/>
      <c r="O24264" s="24"/>
      <c r="P24264"/>
      <c r="Q24264" s="24"/>
      <c r="R24264"/>
      <c r="S24264"/>
      <c r="T24264"/>
      <c r="U24264"/>
      <c r="X24264" s="60"/>
    </row>
    <row r="24265" spans="7:24" ht="15" customHeight="1">
      <c r="G24265"/>
      <c r="I24265"/>
      <c r="N24265"/>
      <c r="O24265" s="24"/>
      <c r="P24265"/>
      <c r="Q24265" s="24"/>
      <c r="R24265"/>
      <c r="S24265"/>
      <c r="T24265"/>
      <c r="U24265"/>
      <c r="X24265" s="60"/>
    </row>
    <row r="24266" spans="7:24" ht="15" customHeight="1">
      <c r="G24266"/>
      <c r="I24266"/>
      <c r="N24266"/>
      <c r="O24266" s="24"/>
      <c r="P24266"/>
      <c r="Q24266" s="24"/>
      <c r="R24266"/>
      <c r="S24266"/>
      <c r="T24266"/>
      <c r="U24266"/>
      <c r="X24266" s="60"/>
    </row>
    <row r="24267" spans="7:24" ht="15" customHeight="1">
      <c r="G24267"/>
      <c r="I24267"/>
      <c r="N24267"/>
      <c r="O24267" s="24"/>
      <c r="P24267"/>
      <c r="Q24267" s="24"/>
      <c r="R24267"/>
      <c r="S24267"/>
      <c r="T24267"/>
      <c r="U24267"/>
      <c r="X24267" s="60"/>
    </row>
    <row r="24268" spans="7:24" ht="15" customHeight="1">
      <c r="G24268"/>
      <c r="I24268"/>
      <c r="N24268"/>
      <c r="O24268" s="24"/>
      <c r="P24268"/>
      <c r="Q24268" s="24"/>
      <c r="R24268"/>
      <c r="S24268"/>
      <c r="T24268"/>
      <c r="U24268"/>
      <c r="X24268" s="60"/>
    </row>
    <row r="24269" spans="7:24" ht="15" customHeight="1">
      <c r="G24269"/>
      <c r="I24269"/>
      <c r="N24269"/>
      <c r="O24269" s="24"/>
      <c r="P24269"/>
      <c r="Q24269" s="24"/>
      <c r="R24269"/>
      <c r="S24269"/>
      <c r="T24269"/>
      <c r="U24269"/>
      <c r="X24269" s="60"/>
    </row>
    <row r="24270" spans="7:24" ht="15" customHeight="1">
      <c r="G24270"/>
      <c r="I24270"/>
      <c r="N24270"/>
      <c r="O24270" s="24"/>
      <c r="P24270"/>
      <c r="Q24270" s="24"/>
      <c r="R24270"/>
      <c r="S24270"/>
      <c r="T24270"/>
      <c r="U24270"/>
      <c r="X24270" s="60"/>
    </row>
    <row r="24271" spans="7:24" ht="15" customHeight="1">
      <c r="G24271"/>
      <c r="I24271"/>
      <c r="N24271"/>
      <c r="O24271" s="24"/>
      <c r="P24271"/>
      <c r="Q24271" s="24"/>
      <c r="R24271"/>
      <c r="S24271"/>
      <c r="T24271"/>
      <c r="U24271"/>
      <c r="X24271" s="60"/>
    </row>
    <row r="24272" spans="7:24" ht="15" customHeight="1">
      <c r="G24272"/>
      <c r="I24272"/>
      <c r="N24272"/>
      <c r="O24272" s="24"/>
      <c r="P24272"/>
      <c r="Q24272" s="24"/>
      <c r="R24272"/>
      <c r="S24272"/>
      <c r="T24272"/>
      <c r="U24272"/>
      <c r="X24272" s="60"/>
    </row>
    <row r="24273" spans="7:24" ht="15" customHeight="1">
      <c r="G24273"/>
      <c r="I24273"/>
      <c r="N24273"/>
      <c r="O24273" s="24"/>
      <c r="P24273"/>
      <c r="Q24273" s="24"/>
      <c r="R24273"/>
      <c r="S24273"/>
      <c r="T24273"/>
      <c r="U24273"/>
      <c r="X24273" s="60"/>
    </row>
    <row r="24274" spans="7:24" ht="15" customHeight="1">
      <c r="G24274"/>
      <c r="I24274"/>
      <c r="N24274"/>
      <c r="O24274" s="24"/>
      <c r="P24274"/>
      <c r="Q24274" s="24"/>
      <c r="R24274"/>
      <c r="S24274"/>
      <c r="T24274"/>
      <c r="U24274"/>
      <c r="X24274" s="60"/>
    </row>
    <row r="24275" spans="7:24" ht="15" customHeight="1">
      <c r="G24275"/>
      <c r="I24275"/>
      <c r="N24275"/>
      <c r="O24275" s="24"/>
      <c r="P24275"/>
      <c r="Q24275" s="24"/>
      <c r="R24275"/>
      <c r="S24275"/>
      <c r="T24275"/>
      <c r="U24275"/>
      <c r="X24275" s="60"/>
    </row>
    <row r="24276" spans="7:24" ht="15" customHeight="1">
      <c r="G24276"/>
      <c r="I24276"/>
      <c r="N24276"/>
      <c r="O24276" s="24"/>
      <c r="P24276"/>
      <c r="Q24276" s="24"/>
      <c r="R24276"/>
      <c r="S24276"/>
      <c r="T24276"/>
      <c r="U24276"/>
      <c r="X24276" s="60"/>
    </row>
    <row r="24277" spans="7:24" ht="15" customHeight="1">
      <c r="G24277"/>
      <c r="I24277"/>
      <c r="N24277"/>
      <c r="O24277" s="24"/>
      <c r="P24277"/>
      <c r="Q24277" s="24"/>
      <c r="R24277"/>
      <c r="S24277"/>
      <c r="T24277"/>
      <c r="U24277"/>
      <c r="X24277" s="60"/>
    </row>
    <row r="24278" spans="7:24" ht="15" customHeight="1">
      <c r="G24278"/>
      <c r="I24278"/>
      <c r="N24278"/>
      <c r="O24278" s="24"/>
      <c r="P24278"/>
      <c r="Q24278" s="24"/>
      <c r="R24278"/>
      <c r="S24278"/>
      <c r="T24278"/>
      <c r="U24278"/>
      <c r="X24278" s="60"/>
    </row>
    <row r="24279" spans="7:24" ht="15" customHeight="1">
      <c r="G24279"/>
      <c r="I24279"/>
      <c r="N24279"/>
      <c r="O24279" s="24"/>
      <c r="P24279"/>
      <c r="Q24279" s="24"/>
      <c r="R24279"/>
      <c r="S24279"/>
      <c r="T24279"/>
      <c r="U24279"/>
      <c r="X24279" s="60"/>
    </row>
    <row r="24280" spans="7:24" ht="15" customHeight="1">
      <c r="G24280"/>
      <c r="I24280"/>
      <c r="N24280"/>
      <c r="O24280" s="24"/>
      <c r="P24280"/>
      <c r="Q24280" s="24"/>
      <c r="R24280"/>
      <c r="S24280"/>
      <c r="T24280"/>
      <c r="U24280"/>
      <c r="X24280" s="60"/>
    </row>
    <row r="24281" spans="7:24" ht="15" customHeight="1">
      <c r="G24281"/>
      <c r="I24281"/>
      <c r="N24281"/>
      <c r="O24281" s="24"/>
      <c r="P24281"/>
      <c r="Q24281" s="24"/>
      <c r="R24281"/>
      <c r="S24281"/>
      <c r="T24281"/>
      <c r="U24281"/>
      <c r="X24281" s="60"/>
    </row>
    <row r="24282" spans="7:24" ht="15" customHeight="1">
      <c r="G24282"/>
      <c r="I24282"/>
      <c r="N24282"/>
      <c r="O24282" s="24"/>
      <c r="P24282"/>
      <c r="Q24282" s="24"/>
      <c r="R24282"/>
      <c r="S24282"/>
      <c r="T24282"/>
      <c r="U24282"/>
      <c r="X24282" s="60"/>
    </row>
    <row r="24283" spans="7:24" ht="15" customHeight="1">
      <c r="G24283"/>
      <c r="I24283"/>
      <c r="N24283"/>
      <c r="O24283" s="24"/>
      <c r="P24283"/>
      <c r="Q24283" s="24"/>
      <c r="R24283"/>
      <c r="S24283"/>
      <c r="T24283"/>
      <c r="U24283"/>
      <c r="X24283" s="60"/>
    </row>
    <row r="24284" spans="7:24" ht="15" customHeight="1">
      <c r="G24284"/>
      <c r="I24284"/>
      <c r="N24284"/>
      <c r="O24284" s="24"/>
      <c r="P24284"/>
      <c r="Q24284" s="24"/>
      <c r="R24284"/>
      <c r="S24284"/>
      <c r="T24284"/>
      <c r="U24284"/>
      <c r="X24284" s="60"/>
    </row>
    <row r="24285" spans="7:24" ht="15" customHeight="1">
      <c r="G24285"/>
      <c r="I24285"/>
      <c r="N24285"/>
      <c r="O24285" s="24"/>
      <c r="P24285"/>
      <c r="Q24285" s="24"/>
      <c r="R24285"/>
      <c r="S24285"/>
      <c r="T24285"/>
      <c r="U24285"/>
      <c r="X24285" s="60"/>
    </row>
    <row r="24286" spans="7:24" ht="15" customHeight="1">
      <c r="G24286"/>
      <c r="I24286"/>
      <c r="N24286"/>
      <c r="O24286" s="24"/>
      <c r="P24286"/>
      <c r="Q24286" s="24"/>
      <c r="R24286"/>
      <c r="S24286"/>
      <c r="T24286"/>
      <c r="U24286"/>
      <c r="X24286" s="60"/>
    </row>
    <row r="24287" spans="7:24" ht="15" customHeight="1">
      <c r="G24287"/>
      <c r="I24287"/>
      <c r="N24287"/>
      <c r="O24287" s="24"/>
      <c r="P24287"/>
      <c r="Q24287" s="24"/>
      <c r="R24287"/>
      <c r="S24287"/>
      <c r="T24287"/>
      <c r="U24287"/>
      <c r="X24287" s="60"/>
    </row>
    <row r="24288" spans="7:24" ht="15" customHeight="1">
      <c r="G24288"/>
      <c r="I24288"/>
      <c r="N24288"/>
      <c r="O24288" s="24"/>
      <c r="P24288"/>
      <c r="Q24288" s="24"/>
      <c r="R24288"/>
      <c r="S24288"/>
      <c r="T24288"/>
      <c r="U24288"/>
      <c r="X24288" s="60"/>
    </row>
    <row r="24289" spans="7:24" ht="15" customHeight="1">
      <c r="G24289"/>
      <c r="I24289"/>
      <c r="N24289"/>
      <c r="O24289" s="24"/>
      <c r="P24289"/>
      <c r="Q24289" s="24"/>
      <c r="R24289"/>
      <c r="S24289"/>
      <c r="T24289"/>
      <c r="U24289"/>
      <c r="X24289" s="60"/>
    </row>
    <row r="24290" spans="7:24" ht="15" customHeight="1">
      <c r="G24290"/>
      <c r="I24290"/>
      <c r="N24290"/>
      <c r="O24290" s="24"/>
      <c r="P24290"/>
      <c r="Q24290" s="24"/>
      <c r="R24290"/>
      <c r="S24290"/>
      <c r="T24290"/>
      <c r="U24290"/>
      <c r="X24290" s="60"/>
    </row>
    <row r="24291" spans="7:24" ht="15" customHeight="1">
      <c r="G24291"/>
      <c r="I24291"/>
      <c r="N24291"/>
      <c r="O24291" s="24"/>
      <c r="P24291"/>
      <c r="Q24291" s="24"/>
      <c r="R24291"/>
      <c r="S24291"/>
      <c r="T24291"/>
      <c r="U24291"/>
      <c r="X24291" s="60"/>
    </row>
    <row r="24292" spans="7:24" ht="15" customHeight="1">
      <c r="G24292"/>
      <c r="I24292"/>
      <c r="N24292"/>
      <c r="O24292" s="24"/>
      <c r="P24292"/>
      <c r="Q24292" s="24"/>
      <c r="R24292"/>
      <c r="S24292"/>
      <c r="T24292"/>
      <c r="U24292"/>
      <c r="X24292" s="60"/>
    </row>
    <row r="24293" spans="7:24" ht="15" customHeight="1">
      <c r="G24293"/>
      <c r="I24293"/>
      <c r="N24293"/>
      <c r="O24293" s="24"/>
      <c r="P24293"/>
      <c r="Q24293" s="24"/>
      <c r="R24293"/>
      <c r="S24293"/>
      <c r="T24293"/>
      <c r="U24293"/>
      <c r="X24293" s="60"/>
    </row>
    <row r="24294" spans="7:24" ht="15" customHeight="1">
      <c r="G24294"/>
      <c r="I24294"/>
      <c r="N24294"/>
      <c r="O24294" s="24"/>
      <c r="P24294"/>
      <c r="Q24294" s="24"/>
      <c r="R24294"/>
      <c r="S24294"/>
      <c r="T24294"/>
      <c r="U24294"/>
      <c r="X24294" s="60"/>
    </row>
    <row r="24295" spans="7:24" ht="15" customHeight="1">
      <c r="G24295"/>
      <c r="I24295"/>
      <c r="N24295"/>
      <c r="O24295" s="24"/>
      <c r="P24295"/>
      <c r="Q24295" s="24"/>
      <c r="R24295"/>
      <c r="S24295"/>
      <c r="T24295"/>
      <c r="U24295"/>
      <c r="X24295" s="60"/>
    </row>
    <row r="24296" spans="7:24" ht="15" customHeight="1">
      <c r="G24296"/>
      <c r="I24296"/>
      <c r="N24296"/>
      <c r="O24296" s="24"/>
      <c r="P24296"/>
      <c r="Q24296" s="24"/>
      <c r="R24296"/>
      <c r="S24296"/>
      <c r="T24296"/>
      <c r="U24296"/>
      <c r="X24296" s="60"/>
    </row>
    <row r="24297" spans="7:24" ht="15" customHeight="1">
      <c r="G24297"/>
      <c r="I24297"/>
      <c r="N24297"/>
      <c r="O24297" s="24"/>
      <c r="P24297"/>
      <c r="Q24297" s="24"/>
      <c r="R24297"/>
      <c r="S24297"/>
      <c r="T24297"/>
      <c r="U24297"/>
      <c r="X24297" s="60"/>
    </row>
    <row r="24298" spans="7:24" ht="15" customHeight="1">
      <c r="G24298"/>
      <c r="I24298"/>
      <c r="N24298"/>
      <c r="O24298" s="24"/>
      <c r="P24298"/>
      <c r="Q24298" s="24"/>
      <c r="R24298"/>
      <c r="S24298"/>
      <c r="T24298"/>
      <c r="U24298"/>
      <c r="X24298" s="60"/>
    </row>
    <row r="24299" spans="7:24" ht="15" customHeight="1">
      <c r="G24299"/>
      <c r="I24299"/>
      <c r="N24299"/>
      <c r="O24299" s="24"/>
      <c r="P24299"/>
      <c r="Q24299" s="24"/>
      <c r="R24299"/>
      <c r="S24299"/>
      <c r="T24299"/>
      <c r="U24299"/>
      <c r="X24299" s="60"/>
    </row>
    <row r="24300" spans="7:24" ht="15" customHeight="1">
      <c r="G24300"/>
      <c r="I24300"/>
      <c r="N24300"/>
      <c r="O24300" s="24"/>
      <c r="P24300"/>
      <c r="Q24300" s="24"/>
      <c r="R24300"/>
      <c r="S24300"/>
      <c r="T24300"/>
      <c r="U24300"/>
      <c r="X24300" s="60"/>
    </row>
    <row r="24301" spans="7:24" ht="15" customHeight="1">
      <c r="G24301"/>
      <c r="I24301"/>
      <c r="N24301"/>
      <c r="O24301" s="24"/>
      <c r="P24301"/>
      <c r="Q24301" s="24"/>
      <c r="R24301"/>
      <c r="S24301"/>
      <c r="T24301"/>
      <c r="U24301"/>
      <c r="X24301" s="60"/>
    </row>
    <row r="24302" spans="7:24" ht="15" customHeight="1">
      <c r="G24302"/>
      <c r="I24302"/>
      <c r="N24302"/>
      <c r="O24302" s="24"/>
      <c r="P24302"/>
      <c r="Q24302" s="24"/>
      <c r="R24302"/>
      <c r="S24302"/>
      <c r="T24302"/>
      <c r="U24302"/>
      <c r="X24302" s="60"/>
    </row>
    <row r="24303" spans="7:24" ht="15" customHeight="1">
      <c r="G24303"/>
      <c r="I24303"/>
      <c r="N24303"/>
      <c r="O24303" s="24"/>
      <c r="P24303"/>
      <c r="Q24303" s="24"/>
      <c r="R24303"/>
      <c r="S24303"/>
      <c r="T24303"/>
      <c r="U24303"/>
      <c r="X24303" s="60"/>
    </row>
    <row r="24304" spans="7:24" ht="15" customHeight="1">
      <c r="G24304"/>
      <c r="I24304"/>
      <c r="N24304"/>
      <c r="O24304" s="24"/>
      <c r="P24304"/>
      <c r="Q24304" s="24"/>
      <c r="R24304"/>
      <c r="S24304"/>
      <c r="T24304"/>
      <c r="U24304"/>
      <c r="X24304" s="60"/>
    </row>
    <row r="24305" spans="7:24" ht="15" customHeight="1">
      <c r="G24305"/>
      <c r="I24305"/>
      <c r="N24305"/>
      <c r="O24305" s="24"/>
      <c r="P24305"/>
      <c r="Q24305" s="24"/>
      <c r="R24305"/>
      <c r="S24305"/>
      <c r="T24305"/>
      <c r="U24305"/>
      <c r="X24305" s="60"/>
    </row>
    <row r="24306" spans="7:24" ht="15" customHeight="1">
      <c r="G24306"/>
      <c r="I24306"/>
      <c r="N24306"/>
      <c r="O24306" s="24"/>
      <c r="P24306"/>
      <c r="Q24306" s="24"/>
      <c r="R24306"/>
      <c r="S24306"/>
      <c r="T24306"/>
      <c r="U24306"/>
      <c r="X24306" s="60"/>
    </row>
    <row r="24307" spans="7:24" ht="15" customHeight="1">
      <c r="G24307"/>
      <c r="I24307"/>
      <c r="N24307"/>
      <c r="O24307" s="24"/>
      <c r="P24307"/>
      <c r="Q24307" s="24"/>
      <c r="R24307"/>
      <c r="S24307"/>
      <c r="T24307"/>
      <c r="U24307"/>
      <c r="X24307" s="60"/>
    </row>
    <row r="24308" spans="7:24" ht="15" customHeight="1">
      <c r="G24308"/>
      <c r="I24308"/>
      <c r="N24308"/>
      <c r="O24308" s="24"/>
      <c r="P24308"/>
      <c r="Q24308" s="24"/>
      <c r="R24308"/>
      <c r="S24308"/>
      <c r="T24308"/>
      <c r="U24308"/>
      <c r="X24308" s="60"/>
    </row>
    <row r="24309" spans="7:24" ht="15" customHeight="1">
      <c r="G24309"/>
      <c r="I24309"/>
      <c r="N24309"/>
      <c r="O24309" s="24"/>
      <c r="P24309"/>
      <c r="Q24309" s="24"/>
      <c r="R24309"/>
      <c r="S24309"/>
      <c r="T24309"/>
      <c r="U24309"/>
      <c r="X24309" s="60"/>
    </row>
    <row r="24310" spans="7:24" ht="15" customHeight="1">
      <c r="G24310"/>
      <c r="I24310"/>
      <c r="N24310"/>
      <c r="O24310" s="24"/>
      <c r="P24310"/>
      <c r="Q24310" s="24"/>
      <c r="R24310"/>
      <c r="S24310"/>
      <c r="T24310"/>
      <c r="U24310"/>
      <c r="X24310" s="60"/>
    </row>
    <row r="24311" spans="7:24" ht="15" customHeight="1">
      <c r="G24311"/>
      <c r="I24311"/>
      <c r="N24311"/>
      <c r="O24311" s="24"/>
      <c r="P24311"/>
      <c r="Q24311" s="24"/>
      <c r="R24311"/>
      <c r="S24311"/>
      <c r="T24311"/>
      <c r="U24311"/>
      <c r="X24311" s="60"/>
    </row>
    <row r="24312" spans="7:24" ht="15" customHeight="1">
      <c r="G24312"/>
      <c r="I24312"/>
      <c r="N24312"/>
      <c r="O24312" s="24"/>
      <c r="P24312"/>
      <c r="Q24312" s="24"/>
      <c r="R24312"/>
      <c r="S24312"/>
      <c r="T24312"/>
      <c r="U24312"/>
      <c r="X24312" s="60"/>
    </row>
    <row r="24313" spans="7:24" ht="15" customHeight="1">
      <c r="G24313"/>
      <c r="I24313"/>
      <c r="N24313"/>
      <c r="O24313" s="24"/>
      <c r="P24313"/>
      <c r="Q24313" s="24"/>
      <c r="R24313"/>
      <c r="S24313"/>
      <c r="T24313"/>
      <c r="U24313"/>
      <c r="X24313" s="60"/>
    </row>
    <row r="24314" spans="7:24" ht="15" customHeight="1">
      <c r="G24314"/>
      <c r="I24314"/>
      <c r="N24314"/>
      <c r="O24314" s="24"/>
      <c r="P24314"/>
      <c r="Q24314" s="24"/>
      <c r="R24314"/>
      <c r="S24314"/>
      <c r="T24314"/>
      <c r="U24314"/>
      <c r="X24314" s="60"/>
    </row>
    <row r="24315" spans="7:24" ht="15" customHeight="1">
      <c r="G24315"/>
      <c r="I24315"/>
      <c r="N24315"/>
      <c r="O24315" s="24"/>
      <c r="P24315"/>
      <c r="Q24315" s="24"/>
      <c r="R24315"/>
      <c r="S24315"/>
      <c r="T24315"/>
      <c r="U24315"/>
      <c r="X24315" s="60"/>
    </row>
    <row r="24316" spans="7:24" ht="15" customHeight="1">
      <c r="G24316"/>
      <c r="I24316"/>
      <c r="N24316"/>
      <c r="O24316" s="24"/>
      <c r="P24316"/>
      <c r="Q24316" s="24"/>
      <c r="R24316"/>
      <c r="S24316"/>
      <c r="T24316"/>
      <c r="U24316"/>
      <c r="X24316" s="60"/>
    </row>
    <row r="24317" spans="7:24" ht="15" customHeight="1">
      <c r="G24317"/>
      <c r="I24317"/>
      <c r="N24317"/>
      <c r="O24317" s="24"/>
      <c r="P24317"/>
      <c r="Q24317" s="24"/>
      <c r="R24317"/>
      <c r="S24317"/>
      <c r="T24317"/>
      <c r="U24317"/>
      <c r="X24317" s="60"/>
    </row>
    <row r="24318" spans="7:24" ht="15" customHeight="1">
      <c r="G24318"/>
      <c r="I24318"/>
      <c r="N24318"/>
      <c r="O24318" s="24"/>
      <c r="P24318"/>
      <c r="Q24318" s="24"/>
      <c r="R24318"/>
      <c r="S24318"/>
      <c r="T24318"/>
      <c r="U24318"/>
      <c r="X24318" s="60"/>
    </row>
    <row r="24319" spans="7:24" ht="15" customHeight="1">
      <c r="G24319"/>
      <c r="I24319"/>
      <c r="N24319"/>
      <c r="O24319" s="24"/>
      <c r="P24319"/>
      <c r="Q24319" s="24"/>
      <c r="R24319"/>
      <c r="S24319"/>
      <c r="T24319"/>
      <c r="U24319"/>
      <c r="X24319" s="60"/>
    </row>
    <row r="24320" spans="7:24" ht="15" customHeight="1">
      <c r="G24320"/>
      <c r="I24320"/>
      <c r="N24320"/>
      <c r="O24320" s="24"/>
      <c r="P24320"/>
      <c r="Q24320" s="24"/>
      <c r="R24320"/>
      <c r="S24320"/>
      <c r="T24320"/>
      <c r="U24320"/>
      <c r="X24320" s="60"/>
    </row>
    <row r="24321" spans="7:24" ht="15" customHeight="1">
      <c r="G24321"/>
      <c r="I24321"/>
      <c r="N24321"/>
      <c r="O24321" s="24"/>
      <c r="P24321"/>
      <c r="Q24321" s="24"/>
      <c r="R24321"/>
      <c r="S24321"/>
      <c r="T24321"/>
      <c r="U24321"/>
      <c r="X24321" s="60"/>
    </row>
    <row r="24322" spans="7:24" ht="15" customHeight="1">
      <c r="G24322"/>
      <c r="I24322"/>
      <c r="N24322"/>
      <c r="O24322" s="24"/>
      <c r="P24322"/>
      <c r="Q24322" s="24"/>
      <c r="R24322"/>
      <c r="S24322"/>
      <c r="T24322"/>
      <c r="U24322"/>
      <c r="X24322" s="60"/>
    </row>
    <row r="24323" spans="7:24" ht="15" customHeight="1">
      <c r="G24323"/>
      <c r="I24323"/>
      <c r="N24323"/>
      <c r="O24323" s="24"/>
      <c r="P24323"/>
      <c r="Q24323" s="24"/>
      <c r="R24323"/>
      <c r="S24323"/>
      <c r="T24323"/>
      <c r="U24323"/>
      <c r="X24323" s="60"/>
    </row>
    <row r="24324" spans="7:24" ht="15" customHeight="1">
      <c r="G24324"/>
      <c r="I24324"/>
      <c r="N24324"/>
      <c r="O24324" s="24"/>
      <c r="P24324"/>
      <c r="Q24324" s="24"/>
      <c r="R24324"/>
      <c r="S24324"/>
      <c r="T24324"/>
      <c r="U24324"/>
      <c r="X24324" s="60"/>
    </row>
    <row r="24325" spans="7:24" ht="15" customHeight="1">
      <c r="G24325"/>
      <c r="I24325"/>
      <c r="N24325"/>
      <c r="O24325" s="24"/>
      <c r="P24325"/>
      <c r="Q24325" s="24"/>
      <c r="R24325"/>
      <c r="S24325"/>
      <c r="T24325"/>
      <c r="U24325"/>
      <c r="X24325" s="60"/>
    </row>
    <row r="24326" spans="7:24" ht="15" customHeight="1">
      <c r="G24326"/>
      <c r="I24326"/>
      <c r="N24326"/>
      <c r="O24326" s="24"/>
      <c r="P24326"/>
      <c r="Q24326" s="24"/>
      <c r="R24326"/>
      <c r="S24326"/>
      <c r="T24326"/>
      <c r="U24326"/>
      <c r="X24326" s="60"/>
    </row>
    <row r="24327" spans="7:24" ht="15" customHeight="1">
      <c r="G24327"/>
      <c r="I24327"/>
      <c r="N24327"/>
      <c r="O24327" s="24"/>
      <c r="P24327"/>
      <c r="Q24327" s="24"/>
      <c r="R24327"/>
      <c r="S24327"/>
      <c r="T24327"/>
      <c r="U24327"/>
      <c r="X24327" s="60"/>
    </row>
    <row r="24328" spans="7:24" ht="15" customHeight="1">
      <c r="G24328"/>
      <c r="I24328"/>
      <c r="N24328"/>
      <c r="O24328" s="24"/>
      <c r="P24328"/>
      <c r="Q24328" s="24"/>
      <c r="R24328"/>
      <c r="S24328"/>
      <c r="T24328"/>
      <c r="U24328"/>
      <c r="X24328" s="60"/>
    </row>
    <row r="24329" spans="7:24" ht="15" customHeight="1">
      <c r="G24329"/>
      <c r="I24329"/>
      <c r="N24329"/>
      <c r="O24329" s="24"/>
      <c r="P24329"/>
      <c r="Q24329" s="24"/>
      <c r="R24329"/>
      <c r="S24329"/>
      <c r="T24329"/>
      <c r="U24329"/>
      <c r="X24329" s="60"/>
    </row>
    <row r="24330" spans="7:24" ht="15" customHeight="1">
      <c r="G24330"/>
      <c r="I24330"/>
      <c r="N24330"/>
      <c r="O24330" s="24"/>
      <c r="P24330"/>
      <c r="Q24330" s="24"/>
      <c r="R24330"/>
      <c r="S24330"/>
      <c r="T24330"/>
      <c r="U24330"/>
      <c r="X24330" s="60"/>
    </row>
    <row r="24331" spans="7:24" ht="15" customHeight="1">
      <c r="G24331"/>
      <c r="I24331"/>
      <c r="N24331"/>
      <c r="O24331" s="24"/>
      <c r="P24331"/>
      <c r="Q24331" s="24"/>
      <c r="R24331"/>
      <c r="S24331"/>
      <c r="T24331"/>
      <c r="U24331"/>
      <c r="X24331" s="60"/>
    </row>
    <row r="24332" spans="7:24" ht="15" customHeight="1">
      <c r="G24332"/>
      <c r="I24332"/>
      <c r="N24332"/>
      <c r="O24332" s="24"/>
      <c r="P24332"/>
      <c r="Q24332" s="24"/>
      <c r="R24332"/>
      <c r="S24332"/>
      <c r="T24332"/>
      <c r="U24332"/>
      <c r="X24332" s="60"/>
    </row>
    <row r="24333" spans="7:24" ht="15" customHeight="1">
      <c r="G24333"/>
      <c r="I24333"/>
      <c r="N24333"/>
      <c r="O24333" s="24"/>
      <c r="P24333"/>
      <c r="Q24333" s="24"/>
      <c r="R24333"/>
      <c r="S24333"/>
      <c r="T24333"/>
      <c r="U24333"/>
      <c r="X24333" s="60"/>
    </row>
    <row r="24334" spans="7:24" ht="15" customHeight="1">
      <c r="G24334"/>
      <c r="I24334"/>
      <c r="N24334"/>
      <c r="O24334" s="24"/>
      <c r="P24334"/>
      <c r="Q24334" s="24"/>
      <c r="R24334"/>
      <c r="S24334"/>
      <c r="T24334"/>
      <c r="U24334"/>
      <c r="X24334" s="60"/>
    </row>
    <row r="24335" spans="7:24" ht="15" customHeight="1">
      <c r="G24335"/>
      <c r="I24335"/>
      <c r="N24335"/>
      <c r="O24335" s="24"/>
      <c r="P24335"/>
      <c r="Q24335" s="24"/>
      <c r="R24335"/>
      <c r="S24335"/>
      <c r="T24335"/>
      <c r="U24335"/>
      <c r="X24335" s="60"/>
    </row>
    <row r="24336" spans="7:24" ht="15" customHeight="1">
      <c r="G24336"/>
      <c r="I24336"/>
      <c r="N24336"/>
      <c r="O24336" s="24"/>
      <c r="P24336"/>
      <c r="Q24336" s="24"/>
      <c r="R24336"/>
      <c r="S24336"/>
      <c r="T24336"/>
      <c r="U24336"/>
      <c r="X24336" s="60"/>
    </row>
    <row r="24337" spans="7:24" ht="15" customHeight="1">
      <c r="G24337"/>
      <c r="I24337"/>
      <c r="N24337"/>
      <c r="O24337" s="24"/>
      <c r="P24337"/>
      <c r="Q24337" s="24"/>
      <c r="R24337"/>
      <c r="S24337"/>
      <c r="T24337"/>
      <c r="U24337"/>
      <c r="X24337" s="60"/>
    </row>
    <row r="24338" spans="7:24" ht="15" customHeight="1">
      <c r="G24338"/>
      <c r="I24338"/>
      <c r="N24338"/>
      <c r="O24338" s="24"/>
      <c r="P24338"/>
      <c r="Q24338" s="24"/>
      <c r="R24338"/>
      <c r="S24338"/>
      <c r="T24338"/>
      <c r="U24338"/>
      <c r="X24338" s="60"/>
    </row>
    <row r="24339" spans="7:24" ht="15" customHeight="1">
      <c r="G24339"/>
      <c r="I24339"/>
      <c r="N24339"/>
      <c r="O24339" s="24"/>
      <c r="P24339"/>
      <c r="Q24339" s="24"/>
      <c r="R24339"/>
      <c r="S24339"/>
      <c r="T24339"/>
      <c r="U24339"/>
      <c r="X24339" s="60"/>
    </row>
    <row r="24340" spans="7:24" ht="15" customHeight="1">
      <c r="G24340"/>
      <c r="I24340"/>
      <c r="N24340"/>
      <c r="O24340" s="24"/>
      <c r="P24340"/>
      <c r="Q24340" s="24"/>
      <c r="R24340"/>
      <c r="S24340"/>
      <c r="T24340"/>
      <c r="U24340"/>
      <c r="X24340" s="60"/>
    </row>
    <row r="24341" spans="7:24" ht="15" customHeight="1">
      <c r="G24341"/>
      <c r="I24341"/>
      <c r="N24341"/>
      <c r="O24341" s="24"/>
      <c r="P24341"/>
      <c r="Q24341" s="24"/>
      <c r="R24341"/>
      <c r="S24341"/>
      <c r="T24341"/>
      <c r="U24341"/>
      <c r="X24341" s="60"/>
    </row>
    <row r="24342" spans="7:24" ht="15" customHeight="1">
      <c r="G24342"/>
      <c r="I24342"/>
      <c r="N24342"/>
      <c r="O24342" s="24"/>
      <c r="P24342"/>
      <c r="Q24342" s="24"/>
      <c r="R24342"/>
      <c r="S24342"/>
      <c r="T24342"/>
      <c r="U24342"/>
      <c r="X24342" s="60"/>
    </row>
    <row r="24343" spans="7:24" ht="15" customHeight="1">
      <c r="G24343"/>
      <c r="I24343"/>
      <c r="N24343"/>
      <c r="O24343" s="24"/>
      <c r="P24343"/>
      <c r="Q24343" s="24"/>
      <c r="R24343"/>
      <c r="S24343"/>
      <c r="T24343"/>
      <c r="U24343"/>
      <c r="X24343" s="60"/>
    </row>
    <row r="24344" spans="7:24" ht="15" customHeight="1">
      <c r="G24344"/>
      <c r="I24344"/>
      <c r="N24344"/>
      <c r="O24344" s="24"/>
      <c r="P24344"/>
      <c r="Q24344" s="24"/>
      <c r="R24344"/>
      <c r="S24344"/>
      <c r="T24344"/>
      <c r="U24344"/>
      <c r="X24344" s="60"/>
    </row>
    <row r="24345" spans="7:24" ht="15" customHeight="1">
      <c r="G24345"/>
      <c r="I24345"/>
      <c r="N24345"/>
      <c r="O24345" s="24"/>
      <c r="P24345"/>
      <c r="Q24345" s="24"/>
      <c r="R24345"/>
      <c r="S24345"/>
      <c r="T24345"/>
      <c r="U24345"/>
      <c r="X24345" s="60"/>
    </row>
    <row r="24346" spans="7:24" ht="15" customHeight="1">
      <c r="G24346"/>
      <c r="I24346"/>
      <c r="N24346"/>
      <c r="O24346" s="24"/>
      <c r="P24346"/>
      <c r="Q24346" s="24"/>
      <c r="R24346"/>
      <c r="S24346"/>
      <c r="T24346"/>
      <c r="U24346"/>
      <c r="X24346" s="60"/>
    </row>
    <row r="24347" spans="7:24" ht="15" customHeight="1">
      <c r="G24347"/>
      <c r="I24347"/>
      <c r="N24347"/>
      <c r="O24347" s="24"/>
      <c r="P24347"/>
      <c r="Q24347" s="24"/>
      <c r="R24347"/>
      <c r="S24347"/>
      <c r="T24347"/>
      <c r="U24347"/>
      <c r="X24347" s="60"/>
    </row>
    <row r="24348" spans="7:24" ht="15" customHeight="1">
      <c r="G24348"/>
      <c r="I24348"/>
      <c r="N24348"/>
      <c r="O24348" s="24"/>
      <c r="P24348"/>
      <c r="Q24348" s="24"/>
      <c r="R24348"/>
      <c r="S24348"/>
      <c r="T24348"/>
      <c r="U24348"/>
      <c r="X24348" s="60"/>
    </row>
    <row r="24349" spans="7:24" ht="15" customHeight="1">
      <c r="G24349"/>
      <c r="I24349"/>
      <c r="N24349"/>
      <c r="O24349" s="24"/>
      <c r="P24349"/>
      <c r="Q24349" s="24"/>
      <c r="R24349"/>
      <c r="S24349"/>
      <c r="T24349"/>
      <c r="U24349"/>
      <c r="X24349" s="60"/>
    </row>
    <row r="24350" spans="7:24" ht="15" customHeight="1">
      <c r="G24350"/>
      <c r="I24350"/>
      <c r="N24350"/>
      <c r="O24350" s="24"/>
      <c r="P24350"/>
      <c r="Q24350" s="24"/>
      <c r="R24350"/>
      <c r="S24350"/>
      <c r="T24350"/>
      <c r="U24350"/>
      <c r="X24350" s="60"/>
    </row>
    <row r="24351" spans="7:24" ht="15" customHeight="1">
      <c r="G24351"/>
      <c r="I24351"/>
      <c r="N24351"/>
      <c r="O24351" s="24"/>
      <c r="P24351"/>
      <c r="Q24351" s="24"/>
      <c r="R24351"/>
      <c r="S24351"/>
      <c r="T24351"/>
      <c r="U24351"/>
      <c r="X24351" s="60"/>
    </row>
    <row r="24352" spans="7:24" ht="15" customHeight="1">
      <c r="G24352"/>
      <c r="I24352"/>
      <c r="N24352"/>
      <c r="O24352" s="24"/>
      <c r="P24352"/>
      <c r="Q24352" s="24"/>
      <c r="R24352"/>
      <c r="S24352"/>
      <c r="T24352"/>
      <c r="U24352"/>
      <c r="X24352" s="60"/>
    </row>
    <row r="24353" spans="7:24" ht="15" customHeight="1">
      <c r="G24353"/>
      <c r="I24353"/>
      <c r="N24353"/>
      <c r="O24353" s="24"/>
      <c r="P24353"/>
      <c r="Q24353" s="24"/>
      <c r="R24353"/>
      <c r="S24353"/>
      <c r="T24353"/>
      <c r="U24353"/>
      <c r="X24353" s="60"/>
    </row>
    <row r="24354" spans="7:24" ht="15" customHeight="1">
      <c r="G24354"/>
      <c r="I24354"/>
      <c r="N24354"/>
      <c r="O24354" s="24"/>
      <c r="P24354"/>
      <c r="Q24354" s="24"/>
      <c r="R24354"/>
      <c r="S24354"/>
      <c r="T24354"/>
      <c r="U24354"/>
      <c r="X24354" s="60"/>
    </row>
    <row r="24355" spans="7:24" ht="15" customHeight="1">
      <c r="G24355"/>
      <c r="I24355"/>
      <c r="N24355"/>
      <c r="O24355" s="24"/>
      <c r="P24355"/>
      <c r="Q24355" s="24"/>
      <c r="R24355"/>
      <c r="S24355"/>
      <c r="T24355"/>
      <c r="U24355"/>
      <c r="X24355" s="60"/>
    </row>
    <row r="24356" spans="7:24" ht="15" customHeight="1">
      <c r="G24356"/>
      <c r="I24356"/>
      <c r="N24356"/>
      <c r="O24356" s="24"/>
      <c r="P24356"/>
      <c r="Q24356" s="24"/>
      <c r="R24356"/>
      <c r="S24356"/>
      <c r="T24356"/>
      <c r="U24356"/>
      <c r="X24356" s="60"/>
    </row>
    <row r="24357" spans="7:24" ht="15" customHeight="1">
      <c r="G24357"/>
      <c r="I24357"/>
      <c r="N24357"/>
      <c r="O24357" s="24"/>
      <c r="P24357"/>
      <c r="Q24357" s="24"/>
      <c r="R24357"/>
      <c r="S24357"/>
      <c r="T24357"/>
      <c r="U24357"/>
      <c r="X24357" s="60"/>
    </row>
    <row r="24358" spans="7:24" ht="15" customHeight="1">
      <c r="G24358"/>
      <c r="I24358"/>
      <c r="N24358"/>
      <c r="O24358" s="24"/>
      <c r="P24358"/>
      <c r="Q24358" s="24"/>
      <c r="R24358"/>
      <c r="S24358"/>
      <c r="T24358"/>
      <c r="U24358"/>
      <c r="X24358" s="60"/>
    </row>
    <row r="24359" spans="7:24" ht="15" customHeight="1">
      <c r="G24359"/>
      <c r="I24359"/>
      <c r="N24359"/>
      <c r="O24359" s="24"/>
      <c r="P24359"/>
      <c r="Q24359" s="24"/>
      <c r="R24359"/>
      <c r="S24359"/>
      <c r="T24359"/>
      <c r="U24359"/>
      <c r="X24359" s="60"/>
    </row>
    <row r="24360" spans="7:24" ht="15" customHeight="1">
      <c r="G24360"/>
      <c r="I24360"/>
      <c r="N24360"/>
      <c r="O24360" s="24"/>
      <c r="P24360"/>
      <c r="Q24360" s="24"/>
      <c r="R24360"/>
      <c r="S24360"/>
      <c r="T24360"/>
      <c r="U24360"/>
      <c r="X24360" s="60"/>
    </row>
    <row r="24361" spans="7:24" ht="15" customHeight="1">
      <c r="G24361"/>
      <c r="I24361"/>
      <c r="N24361"/>
      <c r="O24361" s="24"/>
      <c r="P24361"/>
      <c r="Q24361" s="24"/>
      <c r="R24361"/>
      <c r="S24361"/>
      <c r="T24361"/>
      <c r="U24361"/>
      <c r="X24361" s="60"/>
    </row>
    <row r="24362" spans="7:24" ht="15" customHeight="1">
      <c r="G24362"/>
      <c r="I24362"/>
      <c r="N24362"/>
      <c r="O24362" s="24"/>
      <c r="P24362"/>
      <c r="Q24362" s="24"/>
      <c r="R24362"/>
      <c r="S24362"/>
      <c r="T24362"/>
      <c r="U24362"/>
      <c r="X24362" s="60"/>
    </row>
    <row r="24363" spans="7:24" ht="15" customHeight="1">
      <c r="G24363"/>
      <c r="I24363"/>
      <c r="N24363"/>
      <c r="O24363" s="24"/>
      <c r="P24363"/>
      <c r="Q24363" s="24"/>
      <c r="R24363"/>
      <c r="S24363"/>
      <c r="T24363"/>
      <c r="U24363"/>
      <c r="X24363" s="60"/>
    </row>
    <row r="24364" spans="7:24" ht="15" customHeight="1">
      <c r="G24364"/>
      <c r="I24364"/>
      <c r="N24364"/>
      <c r="O24364" s="24"/>
      <c r="P24364"/>
      <c r="Q24364" s="24"/>
      <c r="R24364"/>
      <c r="S24364"/>
      <c r="T24364"/>
      <c r="U24364"/>
      <c r="X24364" s="60"/>
    </row>
    <row r="24365" spans="7:24" ht="15" customHeight="1">
      <c r="G24365"/>
      <c r="I24365"/>
      <c r="N24365"/>
      <c r="O24365" s="24"/>
      <c r="P24365"/>
      <c r="Q24365" s="24"/>
      <c r="R24365"/>
      <c r="S24365"/>
      <c r="T24365"/>
      <c r="U24365"/>
      <c r="X24365" s="60"/>
    </row>
    <row r="24366" spans="7:24" ht="15" customHeight="1">
      <c r="G24366"/>
      <c r="I24366"/>
      <c r="N24366"/>
      <c r="O24366" s="24"/>
      <c r="P24366"/>
      <c r="Q24366" s="24"/>
      <c r="R24366"/>
      <c r="S24366"/>
      <c r="T24366"/>
      <c r="U24366"/>
      <c r="X24366" s="60"/>
    </row>
    <row r="24367" spans="7:24" ht="15" customHeight="1">
      <c r="G24367"/>
      <c r="I24367"/>
      <c r="N24367"/>
      <c r="O24367" s="24"/>
      <c r="P24367"/>
      <c r="Q24367" s="24"/>
      <c r="R24367"/>
      <c r="S24367"/>
      <c r="T24367"/>
      <c r="U24367"/>
      <c r="X24367" s="60"/>
    </row>
    <row r="24368" spans="7:24" ht="15" customHeight="1">
      <c r="G24368"/>
      <c r="I24368"/>
      <c r="N24368"/>
      <c r="O24368" s="24"/>
      <c r="P24368"/>
      <c r="Q24368" s="24"/>
      <c r="R24368"/>
      <c r="S24368"/>
      <c r="T24368"/>
      <c r="U24368"/>
      <c r="X24368" s="60"/>
    </row>
    <row r="24369" spans="7:24" ht="15" customHeight="1">
      <c r="G24369"/>
      <c r="I24369"/>
      <c r="N24369"/>
      <c r="O24369" s="24"/>
      <c r="P24369"/>
      <c r="Q24369" s="24"/>
      <c r="R24369"/>
      <c r="S24369"/>
      <c r="T24369"/>
      <c r="U24369"/>
      <c r="X24369" s="60"/>
    </row>
    <row r="24370" spans="7:24" ht="15" customHeight="1">
      <c r="G24370"/>
      <c r="I24370"/>
      <c r="N24370"/>
      <c r="O24370" s="24"/>
      <c r="P24370"/>
      <c r="Q24370" s="24"/>
      <c r="R24370"/>
      <c r="S24370"/>
      <c r="T24370"/>
      <c r="U24370"/>
      <c r="X24370" s="60"/>
    </row>
    <row r="24371" spans="7:24" ht="15" customHeight="1">
      <c r="G24371"/>
      <c r="I24371"/>
      <c r="N24371"/>
      <c r="O24371" s="24"/>
      <c r="P24371"/>
      <c r="Q24371" s="24"/>
      <c r="R24371"/>
      <c r="S24371"/>
      <c r="T24371"/>
      <c r="U24371"/>
      <c r="X24371" s="60"/>
    </row>
    <row r="24372" spans="7:24" ht="15" customHeight="1">
      <c r="G24372"/>
      <c r="I24372"/>
      <c r="N24372"/>
      <c r="O24372" s="24"/>
      <c r="P24372"/>
      <c r="Q24372" s="24"/>
      <c r="R24372"/>
      <c r="S24372"/>
      <c r="T24372"/>
      <c r="U24372"/>
      <c r="X24372" s="60"/>
    </row>
    <row r="24373" spans="7:24" ht="15" customHeight="1">
      <c r="G24373"/>
      <c r="I24373"/>
      <c r="N24373"/>
      <c r="O24373" s="24"/>
      <c r="P24373"/>
      <c r="Q24373" s="24"/>
      <c r="R24373"/>
      <c r="S24373"/>
      <c r="T24373"/>
      <c r="U24373"/>
      <c r="X24373" s="60"/>
    </row>
    <row r="24374" spans="7:24" ht="15" customHeight="1">
      <c r="G24374"/>
      <c r="I24374"/>
      <c r="N24374"/>
      <c r="O24374" s="24"/>
      <c r="P24374"/>
      <c r="Q24374" s="24"/>
      <c r="R24374"/>
      <c r="S24374"/>
      <c r="T24374"/>
      <c r="U24374"/>
      <c r="X24374" s="60"/>
    </row>
    <row r="24375" spans="7:24" ht="15" customHeight="1">
      <c r="G24375"/>
      <c r="I24375"/>
      <c r="N24375"/>
      <c r="O24375" s="24"/>
      <c r="P24375"/>
      <c r="Q24375" s="24"/>
      <c r="R24375"/>
      <c r="S24375"/>
      <c r="T24375"/>
      <c r="U24375"/>
      <c r="X24375" s="60"/>
    </row>
    <row r="24376" spans="7:24" ht="15" customHeight="1">
      <c r="G24376"/>
      <c r="I24376"/>
      <c r="N24376"/>
      <c r="O24376" s="24"/>
      <c r="P24376"/>
      <c r="Q24376" s="24"/>
      <c r="R24376"/>
      <c r="S24376"/>
      <c r="T24376"/>
      <c r="U24376"/>
      <c r="X24376" s="60"/>
    </row>
    <row r="24377" spans="7:24" ht="15" customHeight="1">
      <c r="G24377"/>
      <c r="I24377"/>
      <c r="N24377"/>
      <c r="O24377" s="24"/>
      <c r="P24377"/>
      <c r="Q24377" s="24"/>
      <c r="R24377"/>
      <c r="S24377"/>
      <c r="T24377"/>
      <c r="U24377"/>
      <c r="X24377" s="60"/>
    </row>
    <row r="24378" spans="7:24" ht="15" customHeight="1">
      <c r="G24378"/>
      <c r="I24378"/>
      <c r="N24378"/>
      <c r="O24378" s="24"/>
      <c r="P24378"/>
      <c r="Q24378" s="24"/>
      <c r="R24378"/>
      <c r="S24378"/>
      <c r="T24378"/>
      <c r="U24378"/>
      <c r="X24378" s="60"/>
    </row>
    <row r="24379" spans="7:24" ht="15" customHeight="1">
      <c r="G24379"/>
      <c r="I24379"/>
      <c r="N24379"/>
      <c r="O24379" s="24"/>
      <c r="P24379"/>
      <c r="Q24379" s="24"/>
      <c r="R24379"/>
      <c r="S24379"/>
      <c r="T24379"/>
      <c r="U24379"/>
      <c r="X24379" s="60"/>
    </row>
    <row r="24380" spans="7:24" ht="15" customHeight="1">
      <c r="G24380"/>
      <c r="I24380"/>
      <c r="N24380"/>
      <c r="O24380" s="24"/>
      <c r="P24380"/>
      <c r="Q24380" s="24"/>
      <c r="R24380"/>
      <c r="S24380"/>
      <c r="T24380"/>
      <c r="U24380"/>
      <c r="X24380" s="60"/>
    </row>
    <row r="24381" spans="7:24" ht="15" customHeight="1">
      <c r="G24381"/>
      <c r="I24381"/>
      <c r="N24381"/>
      <c r="O24381" s="24"/>
      <c r="P24381"/>
      <c r="Q24381" s="24"/>
      <c r="R24381"/>
      <c r="S24381"/>
      <c r="T24381"/>
      <c r="U24381"/>
      <c r="X24381" s="60"/>
    </row>
    <row r="24382" spans="7:24" ht="15" customHeight="1">
      <c r="G24382"/>
      <c r="I24382"/>
      <c r="N24382"/>
      <c r="O24382" s="24"/>
      <c r="P24382"/>
      <c r="Q24382" s="24"/>
      <c r="R24382"/>
      <c r="S24382"/>
      <c r="T24382"/>
      <c r="U24382"/>
      <c r="X24382" s="60"/>
    </row>
    <row r="24383" spans="7:24" ht="15" customHeight="1">
      <c r="G24383"/>
      <c r="I24383"/>
      <c r="N24383"/>
      <c r="O24383" s="24"/>
      <c r="P24383"/>
      <c r="Q24383" s="24"/>
      <c r="R24383"/>
      <c r="S24383"/>
      <c r="T24383"/>
      <c r="U24383"/>
      <c r="X24383" s="60"/>
    </row>
    <row r="24384" spans="7:24" ht="15" customHeight="1">
      <c r="G24384"/>
      <c r="I24384"/>
      <c r="N24384"/>
      <c r="O24384" s="24"/>
      <c r="P24384"/>
      <c r="Q24384" s="24"/>
      <c r="R24384"/>
      <c r="S24384"/>
      <c r="T24384"/>
      <c r="U24384"/>
      <c r="X24384" s="60"/>
    </row>
    <row r="24385" spans="7:24" ht="15" customHeight="1">
      <c r="G24385"/>
      <c r="I24385"/>
      <c r="N24385"/>
      <c r="O24385" s="24"/>
      <c r="P24385"/>
      <c r="Q24385" s="24"/>
      <c r="R24385"/>
      <c r="S24385"/>
      <c r="T24385"/>
      <c r="U24385"/>
      <c r="X24385" s="60"/>
    </row>
    <row r="24386" spans="7:24" ht="15" customHeight="1">
      <c r="G24386"/>
      <c r="I24386"/>
      <c r="N24386"/>
      <c r="O24386" s="24"/>
      <c r="P24386"/>
      <c r="Q24386" s="24"/>
      <c r="R24386"/>
      <c r="S24386"/>
      <c r="T24386"/>
      <c r="U24386"/>
      <c r="X24386" s="60"/>
    </row>
    <row r="24387" spans="7:24" ht="15" customHeight="1">
      <c r="G24387"/>
      <c r="I24387"/>
      <c r="N24387"/>
      <c r="O24387" s="24"/>
      <c r="P24387"/>
      <c r="Q24387" s="24"/>
      <c r="R24387"/>
      <c r="S24387"/>
      <c r="T24387"/>
      <c r="U24387"/>
      <c r="X24387" s="60"/>
    </row>
    <row r="24388" spans="7:24" ht="15" customHeight="1">
      <c r="G24388"/>
      <c r="I24388"/>
      <c r="N24388"/>
      <c r="O24388" s="24"/>
      <c r="P24388"/>
      <c r="Q24388" s="24"/>
      <c r="R24388"/>
      <c r="S24388"/>
      <c r="T24388"/>
      <c r="U24388"/>
      <c r="X24388" s="60"/>
    </row>
    <row r="24389" spans="7:24" ht="15" customHeight="1">
      <c r="G24389"/>
      <c r="I24389"/>
      <c r="N24389"/>
      <c r="O24389" s="24"/>
      <c r="P24389"/>
      <c r="Q24389" s="24"/>
      <c r="R24389"/>
      <c r="S24389"/>
      <c r="T24389"/>
      <c r="U24389"/>
      <c r="X24389" s="60"/>
    </row>
    <row r="24390" spans="7:24" ht="15" customHeight="1">
      <c r="G24390"/>
      <c r="I24390"/>
      <c r="N24390"/>
      <c r="O24390" s="24"/>
      <c r="P24390"/>
      <c r="Q24390" s="24"/>
      <c r="R24390"/>
      <c r="S24390"/>
      <c r="T24390"/>
      <c r="U24390"/>
      <c r="X24390" s="60"/>
    </row>
    <row r="24391" spans="7:24" ht="15" customHeight="1">
      <c r="G24391"/>
      <c r="I24391"/>
      <c r="N24391"/>
      <c r="O24391" s="24"/>
      <c r="P24391"/>
      <c r="Q24391" s="24"/>
      <c r="R24391"/>
      <c r="S24391"/>
      <c r="T24391"/>
      <c r="U24391"/>
      <c r="X24391" s="60"/>
    </row>
    <row r="24392" spans="7:24" ht="15" customHeight="1">
      <c r="G24392"/>
      <c r="I24392"/>
      <c r="N24392"/>
      <c r="O24392" s="24"/>
      <c r="P24392"/>
      <c r="Q24392" s="24"/>
      <c r="R24392"/>
      <c r="S24392"/>
      <c r="T24392"/>
      <c r="U24392"/>
      <c r="X24392" s="60"/>
    </row>
    <row r="24393" spans="7:24" ht="15" customHeight="1">
      <c r="G24393"/>
      <c r="I24393"/>
      <c r="N24393"/>
      <c r="O24393" s="24"/>
      <c r="P24393"/>
      <c r="Q24393" s="24"/>
      <c r="R24393"/>
      <c r="S24393"/>
      <c r="T24393"/>
      <c r="U24393"/>
      <c r="X24393" s="60"/>
    </row>
    <row r="24394" spans="7:24" ht="15" customHeight="1">
      <c r="G24394"/>
      <c r="I24394"/>
      <c r="N24394"/>
      <c r="O24394" s="24"/>
      <c r="P24394"/>
      <c r="Q24394" s="24"/>
      <c r="R24394"/>
      <c r="S24394"/>
      <c r="T24394"/>
      <c r="U24394"/>
      <c r="X24394" s="60"/>
    </row>
    <row r="24395" spans="7:24" ht="15" customHeight="1">
      <c r="G24395"/>
      <c r="I24395"/>
      <c r="N24395"/>
      <c r="O24395" s="24"/>
      <c r="P24395"/>
      <c r="Q24395" s="24"/>
      <c r="R24395"/>
      <c r="S24395"/>
      <c r="T24395"/>
      <c r="U24395"/>
      <c r="X24395" s="60"/>
    </row>
    <row r="24396" spans="7:24" ht="15" customHeight="1">
      <c r="G24396"/>
      <c r="I24396"/>
      <c r="N24396"/>
      <c r="O24396" s="24"/>
      <c r="P24396"/>
      <c r="Q24396" s="24"/>
      <c r="R24396"/>
      <c r="S24396"/>
      <c r="T24396"/>
      <c r="U24396"/>
      <c r="X24396" s="60"/>
    </row>
    <row r="24397" spans="7:24" ht="15" customHeight="1">
      <c r="G24397"/>
      <c r="I24397"/>
      <c r="N24397"/>
      <c r="O24397" s="24"/>
      <c r="P24397"/>
      <c r="Q24397" s="24"/>
      <c r="R24397"/>
      <c r="S24397"/>
      <c r="T24397"/>
      <c r="U24397"/>
      <c r="X24397" s="60"/>
    </row>
    <row r="24398" spans="7:24" ht="15" customHeight="1">
      <c r="G24398"/>
      <c r="I24398"/>
      <c r="N24398"/>
      <c r="O24398" s="24"/>
      <c r="P24398"/>
      <c r="Q24398" s="24"/>
      <c r="R24398"/>
      <c r="S24398"/>
      <c r="T24398"/>
      <c r="U24398"/>
      <c r="X24398" s="60"/>
    </row>
    <row r="24399" spans="7:24" ht="15" customHeight="1">
      <c r="G24399"/>
      <c r="I24399"/>
      <c r="N24399"/>
      <c r="O24399" s="24"/>
      <c r="P24399"/>
      <c r="Q24399" s="24"/>
      <c r="R24399"/>
      <c r="S24399"/>
      <c r="T24399"/>
      <c r="U24399"/>
      <c r="X24399" s="60"/>
    </row>
    <row r="24400" spans="7:24" ht="15" customHeight="1">
      <c r="G24400"/>
      <c r="I24400"/>
      <c r="N24400"/>
      <c r="O24400" s="24"/>
      <c r="P24400"/>
      <c r="Q24400" s="24"/>
      <c r="R24400"/>
      <c r="S24400"/>
      <c r="T24400"/>
      <c r="U24400"/>
      <c r="X24400" s="60"/>
    </row>
    <row r="24401" spans="7:24" ht="15" customHeight="1">
      <c r="G24401"/>
      <c r="I24401"/>
      <c r="N24401"/>
      <c r="O24401" s="24"/>
      <c r="P24401"/>
      <c r="Q24401" s="24"/>
      <c r="R24401"/>
      <c r="S24401"/>
      <c r="T24401"/>
      <c r="U24401"/>
      <c r="X24401" s="60"/>
    </row>
    <row r="24402" spans="7:24" ht="15" customHeight="1">
      <c r="G24402"/>
      <c r="I24402"/>
      <c r="N24402"/>
      <c r="O24402" s="24"/>
      <c r="P24402"/>
      <c r="Q24402" s="24"/>
      <c r="R24402"/>
      <c r="S24402"/>
      <c r="T24402"/>
      <c r="U24402"/>
      <c r="X24402" s="60"/>
    </row>
    <row r="24403" spans="7:24" ht="15" customHeight="1">
      <c r="G24403"/>
      <c r="I24403"/>
      <c r="N24403"/>
      <c r="O24403" s="24"/>
      <c r="P24403"/>
      <c r="Q24403" s="24"/>
      <c r="R24403"/>
      <c r="S24403"/>
      <c r="T24403"/>
      <c r="U24403"/>
      <c r="X24403" s="60"/>
    </row>
    <row r="24404" spans="7:24" ht="15" customHeight="1">
      <c r="G24404"/>
      <c r="I24404"/>
      <c r="N24404"/>
      <c r="O24404" s="24"/>
      <c r="P24404"/>
      <c r="Q24404" s="24"/>
      <c r="R24404"/>
      <c r="S24404"/>
      <c r="T24404"/>
      <c r="U24404"/>
      <c r="X24404" s="60"/>
    </row>
    <row r="24405" spans="7:24" ht="15" customHeight="1">
      <c r="G24405"/>
      <c r="I24405"/>
      <c r="N24405"/>
      <c r="O24405" s="24"/>
      <c r="P24405"/>
      <c r="Q24405" s="24"/>
      <c r="R24405"/>
      <c r="S24405"/>
      <c r="T24405"/>
      <c r="U24405"/>
      <c r="X24405" s="60"/>
    </row>
    <row r="24406" spans="7:24" ht="15" customHeight="1">
      <c r="G24406"/>
      <c r="I24406"/>
      <c r="N24406"/>
      <c r="O24406" s="24"/>
      <c r="P24406"/>
      <c r="Q24406" s="24"/>
      <c r="R24406"/>
      <c r="S24406"/>
      <c r="T24406"/>
      <c r="U24406"/>
      <c r="X24406" s="60"/>
    </row>
    <row r="24407" spans="7:24" ht="15" customHeight="1">
      <c r="G24407"/>
      <c r="I24407"/>
      <c r="N24407"/>
      <c r="O24407" s="24"/>
      <c r="P24407"/>
      <c r="Q24407" s="24"/>
      <c r="R24407"/>
      <c r="S24407"/>
      <c r="T24407"/>
      <c r="U24407"/>
      <c r="X24407" s="60"/>
    </row>
    <row r="24408" spans="7:24" ht="15" customHeight="1">
      <c r="G24408"/>
      <c r="I24408"/>
      <c r="N24408"/>
      <c r="O24408" s="24"/>
      <c r="P24408"/>
      <c r="Q24408" s="24"/>
      <c r="R24408"/>
      <c r="S24408"/>
      <c r="T24408"/>
      <c r="U24408"/>
      <c r="X24408" s="60"/>
    </row>
    <row r="24409" spans="7:24" ht="15" customHeight="1">
      <c r="G24409"/>
      <c r="I24409"/>
      <c r="N24409"/>
      <c r="O24409" s="24"/>
      <c r="P24409"/>
      <c r="Q24409" s="24"/>
      <c r="R24409"/>
      <c r="S24409"/>
      <c r="T24409"/>
      <c r="U24409"/>
      <c r="X24409" s="60"/>
    </row>
    <row r="24410" spans="7:24" ht="15" customHeight="1">
      <c r="G24410"/>
      <c r="I24410"/>
      <c r="N24410"/>
      <c r="O24410" s="24"/>
      <c r="P24410"/>
      <c r="Q24410" s="24"/>
      <c r="R24410"/>
      <c r="S24410"/>
      <c r="T24410"/>
      <c r="U24410"/>
      <c r="X24410" s="60"/>
    </row>
    <row r="24411" spans="7:24" ht="15" customHeight="1">
      <c r="G24411"/>
      <c r="I24411"/>
      <c r="N24411"/>
      <c r="O24411" s="24"/>
      <c r="P24411"/>
      <c r="Q24411" s="24"/>
      <c r="R24411"/>
      <c r="S24411"/>
      <c r="T24411"/>
      <c r="U24411"/>
      <c r="X24411" s="60"/>
    </row>
    <row r="24412" spans="7:24" ht="15" customHeight="1">
      <c r="G24412"/>
      <c r="I24412"/>
      <c r="N24412"/>
      <c r="O24412" s="24"/>
      <c r="P24412"/>
      <c r="Q24412" s="24"/>
      <c r="R24412"/>
      <c r="S24412"/>
      <c r="T24412"/>
      <c r="U24412"/>
      <c r="X24412" s="60"/>
    </row>
    <row r="24413" spans="7:24" ht="15" customHeight="1">
      <c r="G24413"/>
      <c r="I24413"/>
      <c r="N24413"/>
      <c r="O24413" s="24"/>
      <c r="P24413"/>
      <c r="Q24413" s="24"/>
      <c r="R24413"/>
      <c r="S24413"/>
      <c r="T24413"/>
      <c r="U24413"/>
      <c r="X24413" s="60"/>
    </row>
    <row r="24414" spans="7:24" ht="15" customHeight="1">
      <c r="G24414"/>
      <c r="I24414"/>
      <c r="N24414"/>
      <c r="O24414" s="24"/>
      <c r="P24414"/>
      <c r="Q24414" s="24"/>
      <c r="R24414"/>
      <c r="S24414"/>
      <c r="T24414"/>
      <c r="U24414"/>
      <c r="X24414" s="60"/>
    </row>
    <row r="24415" spans="7:24" ht="15" customHeight="1">
      <c r="G24415"/>
      <c r="I24415"/>
      <c r="N24415"/>
      <c r="O24415" s="24"/>
      <c r="P24415"/>
      <c r="Q24415" s="24"/>
      <c r="R24415"/>
      <c r="S24415"/>
      <c r="T24415"/>
      <c r="U24415"/>
      <c r="X24415" s="60"/>
    </row>
    <row r="24416" spans="7:24" ht="15" customHeight="1">
      <c r="G24416"/>
      <c r="I24416"/>
      <c r="N24416"/>
      <c r="O24416" s="24"/>
      <c r="P24416"/>
      <c r="Q24416" s="24"/>
      <c r="R24416"/>
      <c r="S24416"/>
      <c r="T24416"/>
      <c r="U24416"/>
      <c r="X24416" s="60"/>
    </row>
    <row r="24417" spans="7:24" ht="15" customHeight="1">
      <c r="G24417"/>
      <c r="I24417"/>
      <c r="N24417"/>
      <c r="O24417" s="24"/>
      <c r="P24417"/>
      <c r="Q24417" s="24"/>
      <c r="R24417"/>
      <c r="S24417"/>
      <c r="T24417"/>
      <c r="U24417"/>
      <c r="X24417" s="60"/>
    </row>
    <row r="24418" spans="7:24" ht="15" customHeight="1">
      <c r="G24418"/>
      <c r="I24418"/>
      <c r="N24418"/>
      <c r="O24418" s="24"/>
      <c r="P24418"/>
      <c r="Q24418" s="24"/>
      <c r="R24418"/>
      <c r="S24418"/>
      <c r="T24418"/>
      <c r="U24418"/>
      <c r="X24418" s="60"/>
    </row>
    <row r="24419" spans="7:24" ht="15" customHeight="1">
      <c r="G24419"/>
      <c r="I24419"/>
      <c r="N24419"/>
      <c r="O24419" s="24"/>
      <c r="P24419"/>
      <c r="Q24419" s="24"/>
      <c r="R24419"/>
      <c r="S24419"/>
      <c r="T24419"/>
      <c r="U24419"/>
      <c r="X24419" s="60"/>
    </row>
    <row r="24420" spans="7:24" ht="15" customHeight="1">
      <c r="G24420"/>
      <c r="I24420"/>
      <c r="N24420"/>
      <c r="O24420" s="24"/>
      <c r="P24420"/>
      <c r="Q24420" s="24"/>
      <c r="R24420"/>
      <c r="S24420"/>
      <c r="T24420"/>
      <c r="U24420"/>
      <c r="X24420" s="60"/>
    </row>
    <row r="24421" spans="7:24" ht="15" customHeight="1">
      <c r="G24421"/>
      <c r="I24421"/>
      <c r="N24421"/>
      <c r="O24421" s="24"/>
      <c r="P24421"/>
      <c r="Q24421" s="24"/>
      <c r="R24421"/>
      <c r="S24421"/>
      <c r="T24421"/>
      <c r="U24421"/>
      <c r="X24421" s="60"/>
    </row>
    <row r="24422" spans="7:24" ht="15" customHeight="1">
      <c r="G24422"/>
      <c r="I24422"/>
      <c r="N24422"/>
      <c r="O24422" s="24"/>
      <c r="P24422"/>
      <c r="Q24422" s="24"/>
      <c r="R24422"/>
      <c r="S24422"/>
      <c r="T24422"/>
      <c r="U24422"/>
      <c r="X24422" s="60"/>
    </row>
    <row r="24423" spans="7:24" ht="15" customHeight="1">
      <c r="G24423"/>
      <c r="I24423"/>
      <c r="N24423"/>
      <c r="O24423" s="24"/>
      <c r="P24423"/>
      <c r="Q24423" s="24"/>
      <c r="R24423"/>
      <c r="S24423"/>
      <c r="T24423"/>
      <c r="U24423"/>
      <c r="X24423" s="60"/>
    </row>
    <row r="24424" spans="7:24" ht="15" customHeight="1">
      <c r="G24424"/>
      <c r="I24424"/>
      <c r="N24424"/>
      <c r="O24424" s="24"/>
      <c r="P24424"/>
      <c r="Q24424" s="24"/>
      <c r="R24424"/>
      <c r="S24424"/>
      <c r="T24424"/>
      <c r="U24424"/>
      <c r="X24424" s="60"/>
    </row>
    <row r="24425" spans="7:24" ht="15" customHeight="1">
      <c r="G24425"/>
      <c r="I24425"/>
      <c r="N24425"/>
      <c r="O24425" s="24"/>
      <c r="P24425"/>
      <c r="Q24425" s="24"/>
      <c r="R24425"/>
      <c r="S24425"/>
      <c r="T24425"/>
      <c r="U24425"/>
      <c r="X24425" s="60"/>
    </row>
    <row r="24426" spans="7:24" ht="15" customHeight="1">
      <c r="G24426"/>
      <c r="I24426"/>
      <c r="N24426"/>
      <c r="O24426" s="24"/>
      <c r="P24426"/>
      <c r="Q24426" s="24"/>
      <c r="R24426"/>
      <c r="S24426"/>
      <c r="T24426"/>
      <c r="U24426"/>
      <c r="X24426" s="60"/>
    </row>
    <row r="24427" spans="7:24" ht="15" customHeight="1">
      <c r="G24427"/>
      <c r="I24427"/>
      <c r="N24427"/>
      <c r="O24427" s="24"/>
      <c r="P24427"/>
      <c r="Q24427" s="24"/>
      <c r="R24427"/>
      <c r="S24427"/>
      <c r="T24427"/>
      <c r="U24427"/>
      <c r="X24427" s="60"/>
    </row>
    <row r="24428" spans="7:24" ht="15" customHeight="1">
      <c r="G24428"/>
      <c r="I24428"/>
      <c r="N24428"/>
      <c r="O24428" s="24"/>
      <c r="P24428"/>
      <c r="Q24428" s="24"/>
      <c r="R24428"/>
      <c r="S24428"/>
      <c r="T24428"/>
      <c r="U24428"/>
      <c r="X24428" s="60"/>
    </row>
    <row r="24429" spans="7:24" ht="15" customHeight="1">
      <c r="G24429"/>
      <c r="I24429"/>
      <c r="N24429"/>
      <c r="O24429" s="24"/>
      <c r="P24429"/>
      <c r="Q24429" s="24"/>
      <c r="R24429"/>
      <c r="S24429"/>
      <c r="T24429"/>
      <c r="U24429"/>
      <c r="X24429" s="60"/>
    </row>
    <row r="24430" spans="7:24" ht="15" customHeight="1">
      <c r="G24430"/>
      <c r="I24430"/>
      <c r="N24430"/>
      <c r="O24430" s="24"/>
      <c r="P24430"/>
      <c r="Q24430" s="24"/>
      <c r="R24430"/>
      <c r="S24430"/>
      <c r="T24430"/>
      <c r="U24430"/>
      <c r="X24430" s="60"/>
    </row>
    <row r="24431" spans="7:24" ht="15" customHeight="1">
      <c r="G24431"/>
      <c r="I24431"/>
      <c r="N24431"/>
      <c r="O24431" s="24"/>
      <c r="P24431"/>
      <c r="Q24431" s="24"/>
      <c r="R24431"/>
      <c r="S24431"/>
      <c r="T24431"/>
      <c r="U24431"/>
      <c r="X24431" s="60"/>
    </row>
    <row r="24432" spans="7:24" ht="15" customHeight="1">
      <c r="G24432"/>
      <c r="I24432"/>
      <c r="N24432"/>
      <c r="O24432" s="24"/>
      <c r="P24432"/>
      <c r="Q24432" s="24"/>
      <c r="R24432"/>
      <c r="S24432"/>
      <c r="T24432"/>
      <c r="U24432"/>
      <c r="X24432" s="60"/>
    </row>
    <row r="24433" spans="7:24" ht="15" customHeight="1">
      <c r="G24433"/>
      <c r="I24433"/>
      <c r="N24433"/>
      <c r="O24433" s="24"/>
      <c r="P24433"/>
      <c r="Q24433" s="24"/>
      <c r="R24433"/>
      <c r="S24433"/>
      <c r="T24433"/>
      <c r="U24433"/>
      <c r="X24433" s="60"/>
    </row>
    <row r="24434" spans="7:24" ht="15" customHeight="1">
      <c r="G24434"/>
      <c r="I24434"/>
      <c r="N24434"/>
      <c r="O24434" s="24"/>
      <c r="P24434"/>
      <c r="Q24434" s="24"/>
      <c r="R24434"/>
      <c r="S24434"/>
      <c r="T24434"/>
      <c r="U24434"/>
      <c r="X24434" s="60"/>
    </row>
    <row r="24435" spans="7:24" ht="15" customHeight="1">
      <c r="G24435"/>
      <c r="I24435"/>
      <c r="N24435"/>
      <c r="O24435" s="24"/>
      <c r="P24435"/>
      <c r="Q24435" s="24"/>
      <c r="R24435"/>
      <c r="S24435"/>
      <c r="T24435"/>
      <c r="U24435"/>
      <c r="X24435" s="60"/>
    </row>
    <row r="24436" spans="7:24" ht="15" customHeight="1">
      <c r="G24436"/>
      <c r="I24436"/>
      <c r="N24436"/>
      <c r="O24436" s="24"/>
      <c r="P24436"/>
      <c r="Q24436" s="24"/>
      <c r="R24436"/>
      <c r="S24436"/>
      <c r="T24436"/>
      <c r="U24436"/>
      <c r="X24436" s="60"/>
    </row>
    <row r="24437" spans="7:24" ht="15" customHeight="1">
      <c r="G24437"/>
      <c r="I24437"/>
      <c r="N24437"/>
      <c r="O24437" s="24"/>
      <c r="P24437"/>
      <c r="Q24437" s="24"/>
      <c r="R24437"/>
      <c r="S24437"/>
      <c r="T24437"/>
      <c r="U24437"/>
      <c r="X24437" s="60"/>
    </row>
    <row r="24438" spans="7:24" ht="15" customHeight="1">
      <c r="G24438"/>
      <c r="I24438"/>
      <c r="N24438"/>
      <c r="O24438" s="24"/>
      <c r="P24438"/>
      <c r="Q24438" s="24"/>
      <c r="R24438"/>
      <c r="S24438"/>
      <c r="T24438"/>
      <c r="U24438"/>
      <c r="X24438" s="60"/>
    </row>
    <row r="24439" spans="7:24" ht="15" customHeight="1">
      <c r="G24439"/>
      <c r="I24439"/>
      <c r="N24439"/>
      <c r="O24439" s="24"/>
      <c r="P24439"/>
      <c r="Q24439" s="24"/>
      <c r="R24439"/>
      <c r="S24439"/>
      <c r="T24439"/>
      <c r="U24439"/>
      <c r="X24439" s="60"/>
    </row>
    <row r="24440" spans="7:24" ht="15" customHeight="1">
      <c r="G24440"/>
      <c r="I24440"/>
      <c r="N24440"/>
      <c r="O24440" s="24"/>
      <c r="P24440"/>
      <c r="Q24440" s="24"/>
      <c r="R24440"/>
      <c r="S24440"/>
      <c r="T24440"/>
      <c r="U24440"/>
      <c r="X24440" s="60"/>
    </row>
    <row r="24441" spans="7:24" ht="15" customHeight="1">
      <c r="G24441"/>
      <c r="I24441"/>
      <c r="N24441"/>
      <c r="O24441" s="24"/>
      <c r="P24441"/>
      <c r="Q24441" s="24"/>
      <c r="R24441"/>
      <c r="S24441"/>
      <c r="T24441"/>
      <c r="U24441"/>
      <c r="X24441" s="60"/>
    </row>
    <row r="24442" spans="7:24" ht="15" customHeight="1">
      <c r="G24442"/>
      <c r="I24442"/>
      <c r="N24442"/>
      <c r="O24442" s="24"/>
      <c r="P24442"/>
      <c r="Q24442" s="24"/>
      <c r="R24442"/>
      <c r="S24442"/>
      <c r="T24442"/>
      <c r="U24442"/>
      <c r="X24442" s="60"/>
    </row>
    <row r="24443" spans="7:24" ht="15" customHeight="1">
      <c r="G24443"/>
      <c r="I24443"/>
      <c r="N24443"/>
      <c r="O24443" s="24"/>
      <c r="P24443"/>
      <c r="Q24443" s="24"/>
      <c r="R24443"/>
      <c r="S24443"/>
      <c r="T24443"/>
      <c r="U24443"/>
      <c r="X24443" s="60"/>
    </row>
    <row r="24444" spans="7:24" ht="15" customHeight="1">
      <c r="G24444"/>
      <c r="I24444"/>
      <c r="N24444"/>
      <c r="O24444" s="24"/>
      <c r="P24444"/>
      <c r="Q24444" s="24"/>
      <c r="R24444"/>
      <c r="S24444"/>
      <c r="T24444"/>
      <c r="U24444"/>
      <c r="X24444" s="60"/>
    </row>
    <row r="24445" spans="7:24" ht="15" customHeight="1">
      <c r="G24445"/>
      <c r="I24445"/>
      <c r="N24445"/>
      <c r="O24445" s="24"/>
      <c r="P24445"/>
      <c r="Q24445" s="24"/>
      <c r="R24445"/>
      <c r="S24445"/>
      <c r="T24445"/>
      <c r="U24445"/>
      <c r="X24445" s="60"/>
    </row>
    <row r="24446" spans="7:24" ht="15" customHeight="1">
      <c r="G24446"/>
      <c r="I24446"/>
      <c r="N24446"/>
      <c r="O24446" s="24"/>
      <c r="P24446"/>
      <c r="Q24446" s="24"/>
      <c r="R24446"/>
      <c r="S24446"/>
      <c r="T24446"/>
      <c r="U24446"/>
      <c r="X24446" s="60"/>
    </row>
    <row r="24447" spans="7:24" ht="15" customHeight="1">
      <c r="G24447"/>
      <c r="I24447"/>
      <c r="N24447"/>
      <c r="O24447" s="24"/>
      <c r="P24447"/>
      <c r="Q24447" s="24"/>
      <c r="R24447"/>
      <c r="S24447"/>
      <c r="T24447"/>
      <c r="U24447"/>
      <c r="X24447" s="60"/>
    </row>
    <row r="24448" spans="7:24" ht="15" customHeight="1">
      <c r="G24448"/>
      <c r="I24448"/>
      <c r="N24448"/>
      <c r="O24448" s="24"/>
      <c r="P24448"/>
      <c r="Q24448" s="24"/>
      <c r="R24448"/>
      <c r="S24448"/>
      <c r="T24448"/>
      <c r="U24448"/>
      <c r="X24448" s="60"/>
    </row>
    <row r="24449" spans="7:24" ht="15" customHeight="1">
      <c r="G24449"/>
      <c r="I24449"/>
      <c r="N24449"/>
      <c r="O24449" s="24"/>
      <c r="P24449"/>
      <c r="Q24449" s="24"/>
      <c r="R24449"/>
      <c r="S24449"/>
      <c r="T24449"/>
      <c r="U24449"/>
      <c r="X24449" s="60"/>
    </row>
    <row r="24450" spans="7:24" ht="15" customHeight="1">
      <c r="G24450"/>
      <c r="I24450"/>
      <c r="N24450"/>
      <c r="O24450" s="24"/>
      <c r="P24450"/>
      <c r="Q24450" s="24"/>
      <c r="R24450"/>
      <c r="S24450"/>
      <c r="T24450"/>
      <c r="U24450"/>
      <c r="X24450" s="60"/>
    </row>
    <row r="24451" spans="7:24" ht="15" customHeight="1">
      <c r="G24451"/>
      <c r="I24451"/>
      <c r="N24451"/>
      <c r="O24451" s="24"/>
      <c r="P24451"/>
      <c r="Q24451" s="24"/>
      <c r="R24451"/>
      <c r="S24451"/>
      <c r="T24451"/>
      <c r="U24451"/>
      <c r="X24451" s="60"/>
    </row>
    <row r="24452" spans="7:24" ht="15" customHeight="1">
      <c r="G24452"/>
      <c r="I24452"/>
      <c r="N24452"/>
      <c r="O24452" s="24"/>
      <c r="P24452"/>
      <c r="Q24452" s="24"/>
      <c r="R24452"/>
      <c r="S24452"/>
      <c r="T24452"/>
      <c r="U24452"/>
      <c r="X24452" s="60"/>
    </row>
    <row r="24453" spans="7:24" ht="15" customHeight="1">
      <c r="G24453"/>
      <c r="I24453"/>
      <c r="N24453"/>
      <c r="O24453" s="24"/>
      <c r="P24453"/>
      <c r="Q24453" s="24"/>
      <c r="R24453"/>
      <c r="S24453"/>
      <c r="T24453"/>
      <c r="U24453"/>
      <c r="X24453" s="60"/>
    </row>
    <row r="24454" spans="7:24" ht="15" customHeight="1">
      <c r="G24454"/>
      <c r="I24454"/>
      <c r="N24454"/>
      <c r="O24454" s="24"/>
      <c r="P24454"/>
      <c r="Q24454" s="24"/>
      <c r="R24454"/>
      <c r="S24454"/>
      <c r="T24454"/>
      <c r="U24454"/>
      <c r="X24454" s="60"/>
    </row>
    <row r="24455" spans="7:24" ht="15" customHeight="1">
      <c r="G24455"/>
      <c r="I24455"/>
      <c r="N24455"/>
      <c r="O24455" s="24"/>
      <c r="P24455"/>
      <c r="Q24455" s="24"/>
      <c r="R24455"/>
      <c r="S24455"/>
      <c r="T24455"/>
      <c r="U24455"/>
      <c r="X24455" s="60"/>
    </row>
    <row r="24456" spans="7:24" ht="15" customHeight="1">
      <c r="G24456"/>
      <c r="I24456"/>
      <c r="N24456"/>
      <c r="O24456" s="24"/>
      <c r="P24456"/>
      <c r="Q24456" s="24"/>
      <c r="R24456"/>
      <c r="S24456"/>
      <c r="T24456"/>
      <c r="U24456"/>
      <c r="X24456" s="60"/>
    </row>
    <row r="24457" spans="7:24" ht="15" customHeight="1">
      <c r="G24457"/>
      <c r="I24457"/>
      <c r="N24457"/>
      <c r="O24457" s="24"/>
      <c r="P24457"/>
      <c r="Q24457" s="24"/>
      <c r="R24457"/>
      <c r="S24457"/>
      <c r="T24457"/>
      <c r="U24457"/>
      <c r="X24457" s="60"/>
    </row>
    <row r="24458" spans="7:24" ht="15" customHeight="1">
      <c r="G24458"/>
      <c r="I24458"/>
      <c r="N24458"/>
      <c r="O24458" s="24"/>
      <c r="P24458"/>
      <c r="Q24458" s="24"/>
      <c r="R24458"/>
      <c r="S24458"/>
      <c r="T24458"/>
      <c r="U24458"/>
      <c r="X24458" s="60"/>
    </row>
    <row r="24459" spans="7:24" ht="15" customHeight="1">
      <c r="G24459"/>
      <c r="I24459"/>
      <c r="N24459"/>
      <c r="O24459" s="24"/>
      <c r="P24459"/>
      <c r="Q24459" s="24"/>
      <c r="R24459"/>
      <c r="S24459"/>
      <c r="T24459"/>
      <c r="U24459"/>
      <c r="X24459" s="60"/>
    </row>
    <row r="24460" spans="7:24" ht="15" customHeight="1">
      <c r="G24460"/>
      <c r="I24460"/>
      <c r="N24460"/>
      <c r="O24460" s="24"/>
      <c r="P24460"/>
      <c r="Q24460" s="24"/>
      <c r="R24460"/>
      <c r="S24460"/>
      <c r="T24460"/>
      <c r="U24460"/>
      <c r="X24460" s="60"/>
    </row>
    <row r="24461" spans="7:24" ht="15" customHeight="1">
      <c r="G24461"/>
      <c r="I24461"/>
      <c r="N24461"/>
      <c r="O24461" s="24"/>
      <c r="P24461"/>
      <c r="Q24461" s="24"/>
      <c r="R24461"/>
      <c r="S24461"/>
      <c r="T24461"/>
      <c r="U24461"/>
      <c r="X24461" s="60"/>
    </row>
    <row r="24462" spans="7:24" ht="15" customHeight="1">
      <c r="G24462"/>
      <c r="I24462"/>
      <c r="N24462"/>
      <c r="O24462" s="24"/>
      <c r="P24462"/>
      <c r="Q24462" s="24"/>
      <c r="R24462"/>
      <c r="S24462"/>
      <c r="T24462"/>
      <c r="U24462"/>
      <c r="X24462" s="60"/>
    </row>
    <row r="24463" spans="7:24" ht="15" customHeight="1">
      <c r="G24463"/>
      <c r="I24463"/>
      <c r="N24463"/>
      <c r="O24463" s="24"/>
      <c r="P24463"/>
      <c r="Q24463" s="24"/>
      <c r="R24463"/>
      <c r="S24463"/>
      <c r="T24463"/>
      <c r="U24463"/>
      <c r="X24463" s="60"/>
    </row>
    <row r="24464" spans="7:24" ht="15" customHeight="1">
      <c r="G24464"/>
      <c r="I24464"/>
      <c r="N24464"/>
      <c r="O24464" s="24"/>
      <c r="P24464"/>
      <c r="Q24464" s="24"/>
      <c r="R24464"/>
      <c r="S24464"/>
      <c r="T24464"/>
      <c r="U24464"/>
      <c r="X24464" s="60"/>
    </row>
    <row r="24465" spans="7:24" ht="15" customHeight="1">
      <c r="G24465"/>
      <c r="I24465"/>
      <c r="N24465"/>
      <c r="O24465" s="24"/>
      <c r="P24465"/>
      <c r="Q24465" s="24"/>
      <c r="R24465"/>
      <c r="S24465"/>
      <c r="T24465"/>
      <c r="U24465"/>
      <c r="X24465" s="60"/>
    </row>
    <row r="24466" spans="7:24" ht="15" customHeight="1">
      <c r="G24466"/>
      <c r="I24466"/>
      <c r="N24466"/>
      <c r="O24466" s="24"/>
      <c r="P24466"/>
      <c r="Q24466" s="24"/>
      <c r="R24466"/>
      <c r="S24466"/>
      <c r="T24466"/>
      <c r="U24466"/>
      <c r="X24466" s="60"/>
    </row>
    <row r="24467" spans="7:24" ht="15" customHeight="1">
      <c r="G24467"/>
      <c r="I24467"/>
      <c r="N24467"/>
      <c r="O24467" s="24"/>
      <c r="P24467"/>
      <c r="Q24467" s="24"/>
      <c r="R24467"/>
      <c r="S24467"/>
      <c r="T24467"/>
      <c r="U24467"/>
      <c r="X24467" s="60"/>
    </row>
    <row r="24468" spans="7:24" ht="15" customHeight="1">
      <c r="G24468"/>
      <c r="I24468"/>
      <c r="N24468"/>
      <c r="O24468" s="24"/>
      <c r="P24468"/>
      <c r="Q24468" s="24"/>
      <c r="R24468"/>
      <c r="S24468"/>
      <c r="T24468"/>
      <c r="U24468"/>
      <c r="X24468" s="60"/>
    </row>
    <row r="24469" spans="7:24" ht="15" customHeight="1">
      <c r="G24469"/>
      <c r="I24469"/>
      <c r="N24469"/>
      <c r="O24469" s="24"/>
      <c r="P24469"/>
      <c r="Q24469" s="24"/>
      <c r="R24469"/>
      <c r="S24469"/>
      <c r="T24469"/>
      <c r="U24469"/>
      <c r="X24469" s="60"/>
    </row>
    <row r="24470" spans="7:24" ht="15" customHeight="1">
      <c r="G24470"/>
      <c r="I24470"/>
      <c r="N24470"/>
      <c r="O24470" s="24"/>
      <c r="P24470"/>
      <c r="Q24470" s="24"/>
      <c r="R24470"/>
      <c r="S24470"/>
      <c r="T24470"/>
      <c r="U24470"/>
      <c r="X24470" s="60"/>
    </row>
    <row r="24471" spans="7:24" ht="15" customHeight="1">
      <c r="G24471"/>
      <c r="I24471"/>
      <c r="N24471"/>
      <c r="O24471" s="24"/>
      <c r="P24471"/>
      <c r="Q24471" s="24"/>
      <c r="R24471"/>
      <c r="S24471"/>
      <c r="T24471"/>
      <c r="U24471"/>
      <c r="X24471" s="60"/>
    </row>
    <row r="24472" spans="7:24" ht="15" customHeight="1">
      <c r="G24472"/>
      <c r="I24472"/>
      <c r="N24472"/>
      <c r="O24472" s="24"/>
      <c r="P24472"/>
      <c r="Q24472" s="24"/>
      <c r="R24472"/>
      <c r="S24472"/>
      <c r="T24472"/>
      <c r="U24472"/>
      <c r="X24472" s="60"/>
    </row>
    <row r="24473" spans="7:24" ht="15" customHeight="1">
      <c r="G24473"/>
      <c r="I24473"/>
      <c r="N24473"/>
      <c r="O24473" s="24"/>
      <c r="P24473"/>
      <c r="Q24473" s="24"/>
      <c r="R24473"/>
      <c r="S24473"/>
      <c r="T24473"/>
      <c r="U24473"/>
      <c r="X24473" s="60"/>
    </row>
    <row r="24474" spans="7:24" ht="15" customHeight="1">
      <c r="G24474"/>
      <c r="I24474"/>
      <c r="N24474"/>
      <c r="O24474" s="24"/>
      <c r="P24474"/>
      <c r="Q24474" s="24"/>
      <c r="R24474"/>
      <c r="S24474"/>
      <c r="T24474"/>
      <c r="U24474"/>
      <c r="X24474" s="60"/>
    </row>
    <row r="24475" spans="7:24" ht="15" customHeight="1">
      <c r="G24475"/>
      <c r="I24475"/>
      <c r="N24475"/>
      <c r="O24475" s="24"/>
      <c r="P24475"/>
      <c r="Q24475" s="24"/>
      <c r="R24475"/>
      <c r="S24475"/>
      <c r="T24475"/>
      <c r="U24475"/>
      <c r="X24475" s="60"/>
    </row>
    <row r="24476" spans="7:24" ht="15" customHeight="1">
      <c r="G24476"/>
      <c r="I24476"/>
      <c r="N24476"/>
      <c r="O24476" s="24"/>
      <c r="P24476"/>
      <c r="Q24476" s="24"/>
      <c r="R24476"/>
      <c r="S24476"/>
      <c r="T24476"/>
      <c r="U24476"/>
      <c r="X24476" s="60"/>
    </row>
    <row r="24477" spans="7:24" ht="15" customHeight="1">
      <c r="G24477"/>
      <c r="I24477"/>
      <c r="N24477"/>
      <c r="O24477" s="24"/>
      <c r="P24477"/>
      <c r="Q24477" s="24"/>
      <c r="R24477"/>
      <c r="S24477"/>
      <c r="T24477"/>
      <c r="U24477"/>
      <c r="X24477" s="60"/>
    </row>
    <row r="24478" spans="7:24" ht="15" customHeight="1">
      <c r="G24478"/>
      <c r="I24478"/>
      <c r="N24478"/>
      <c r="O24478" s="24"/>
      <c r="P24478"/>
      <c r="Q24478" s="24"/>
      <c r="R24478"/>
      <c r="S24478"/>
      <c r="T24478"/>
      <c r="U24478"/>
      <c r="X24478" s="60"/>
    </row>
    <row r="24479" spans="7:24" ht="15" customHeight="1">
      <c r="G24479"/>
      <c r="I24479"/>
      <c r="N24479"/>
      <c r="O24479" s="24"/>
      <c r="P24479"/>
      <c r="Q24479" s="24"/>
      <c r="R24479"/>
      <c r="S24479"/>
      <c r="T24479"/>
      <c r="U24479"/>
      <c r="X24479" s="60"/>
    </row>
    <row r="24480" spans="7:24" ht="15" customHeight="1">
      <c r="G24480"/>
      <c r="I24480"/>
      <c r="N24480"/>
      <c r="O24480" s="24"/>
      <c r="P24480"/>
      <c r="Q24480" s="24"/>
      <c r="R24480"/>
      <c r="S24480"/>
      <c r="T24480"/>
      <c r="U24480"/>
      <c r="X24480" s="60"/>
    </row>
    <row r="24481" spans="7:24" ht="15" customHeight="1">
      <c r="G24481"/>
      <c r="I24481"/>
      <c r="N24481"/>
      <c r="O24481" s="24"/>
      <c r="P24481"/>
      <c r="Q24481" s="24"/>
      <c r="R24481"/>
      <c r="S24481"/>
      <c r="T24481"/>
      <c r="U24481"/>
      <c r="X24481" s="60"/>
    </row>
    <row r="24482" spans="7:24" ht="15" customHeight="1">
      <c r="G24482"/>
      <c r="I24482"/>
      <c r="N24482"/>
      <c r="O24482" s="24"/>
      <c r="P24482"/>
      <c r="Q24482" s="24"/>
      <c r="R24482"/>
      <c r="S24482"/>
      <c r="T24482"/>
      <c r="U24482"/>
      <c r="X24482" s="60"/>
    </row>
    <row r="24483" spans="7:24" ht="15" customHeight="1">
      <c r="G24483"/>
      <c r="I24483"/>
      <c r="N24483"/>
      <c r="O24483" s="24"/>
      <c r="P24483"/>
      <c r="Q24483" s="24"/>
      <c r="R24483"/>
      <c r="S24483"/>
      <c r="T24483"/>
      <c r="U24483"/>
      <c r="X24483" s="60"/>
    </row>
    <row r="24484" spans="7:24" ht="15" customHeight="1">
      <c r="G24484"/>
      <c r="I24484"/>
      <c r="N24484"/>
      <c r="O24484" s="24"/>
      <c r="P24484"/>
      <c r="Q24484" s="24"/>
      <c r="R24484"/>
      <c r="S24484"/>
      <c r="T24484"/>
      <c r="U24484"/>
      <c r="X24484" s="60"/>
    </row>
    <row r="24485" spans="7:24" ht="15" customHeight="1">
      <c r="G24485"/>
      <c r="I24485"/>
      <c r="N24485"/>
      <c r="O24485" s="24"/>
      <c r="P24485"/>
      <c r="Q24485" s="24"/>
      <c r="R24485"/>
      <c r="S24485"/>
      <c r="T24485"/>
      <c r="U24485"/>
      <c r="X24485" s="60"/>
    </row>
    <row r="24486" spans="7:24" ht="15" customHeight="1">
      <c r="G24486"/>
      <c r="I24486"/>
      <c r="N24486"/>
      <c r="O24486" s="24"/>
      <c r="P24486"/>
      <c r="Q24486" s="24"/>
      <c r="R24486"/>
      <c r="S24486"/>
      <c r="T24486"/>
      <c r="U24486"/>
      <c r="X24486" s="60"/>
    </row>
    <row r="24487" spans="7:24" ht="15" customHeight="1">
      <c r="G24487"/>
      <c r="I24487"/>
      <c r="N24487"/>
      <c r="O24487" s="24"/>
      <c r="P24487"/>
      <c r="Q24487" s="24"/>
      <c r="R24487"/>
      <c r="S24487"/>
      <c r="T24487"/>
      <c r="U24487"/>
      <c r="X24487" s="60"/>
    </row>
    <row r="24488" spans="7:24" ht="15" customHeight="1">
      <c r="G24488"/>
      <c r="I24488"/>
      <c r="N24488"/>
      <c r="O24488" s="24"/>
      <c r="P24488"/>
      <c r="Q24488" s="24"/>
      <c r="R24488"/>
      <c r="S24488"/>
      <c r="T24488"/>
      <c r="U24488"/>
      <c r="X24488" s="60"/>
    </row>
    <row r="24489" spans="7:24" ht="15" customHeight="1">
      <c r="G24489"/>
      <c r="I24489"/>
      <c r="N24489"/>
      <c r="O24489" s="24"/>
      <c r="P24489"/>
      <c r="Q24489" s="24"/>
      <c r="R24489"/>
      <c r="S24489"/>
      <c r="T24489"/>
      <c r="U24489"/>
      <c r="X24489" s="60"/>
    </row>
    <row r="24490" spans="7:24" ht="15" customHeight="1">
      <c r="G24490"/>
      <c r="I24490"/>
      <c r="N24490"/>
      <c r="O24490" s="24"/>
      <c r="P24490"/>
      <c r="Q24490" s="24"/>
      <c r="R24490"/>
      <c r="S24490"/>
      <c r="T24490"/>
      <c r="U24490"/>
      <c r="X24490" s="60"/>
    </row>
    <row r="24491" spans="7:24" ht="15" customHeight="1">
      <c r="G24491"/>
      <c r="I24491"/>
      <c r="N24491"/>
      <c r="O24491" s="24"/>
      <c r="P24491"/>
      <c r="Q24491" s="24"/>
      <c r="R24491"/>
      <c r="S24491"/>
      <c r="T24491"/>
      <c r="U24491"/>
      <c r="X24491" s="60"/>
    </row>
    <row r="24492" spans="7:24" ht="15" customHeight="1">
      <c r="G24492"/>
      <c r="I24492"/>
      <c r="N24492"/>
      <c r="O24492" s="24"/>
      <c r="P24492"/>
      <c r="Q24492" s="24"/>
      <c r="R24492"/>
      <c r="S24492"/>
      <c r="T24492"/>
      <c r="U24492"/>
      <c r="X24492" s="60"/>
    </row>
    <row r="24493" spans="7:24" ht="15" customHeight="1">
      <c r="G24493"/>
      <c r="I24493"/>
      <c r="N24493"/>
      <c r="O24493" s="24"/>
      <c r="P24493"/>
      <c r="Q24493" s="24"/>
      <c r="R24493"/>
      <c r="S24493"/>
      <c r="T24493"/>
      <c r="U24493"/>
      <c r="X24493" s="60"/>
    </row>
    <row r="24494" spans="7:24" ht="15" customHeight="1">
      <c r="G24494"/>
      <c r="I24494"/>
      <c r="N24494"/>
      <c r="O24494" s="24"/>
      <c r="P24494"/>
      <c r="Q24494" s="24"/>
      <c r="R24494"/>
      <c r="S24494"/>
      <c r="T24494"/>
      <c r="U24494"/>
      <c r="X24494" s="60"/>
    </row>
    <row r="24495" spans="7:24" ht="15" customHeight="1">
      <c r="G24495"/>
      <c r="I24495"/>
      <c r="N24495"/>
      <c r="O24495" s="24"/>
      <c r="P24495"/>
      <c r="Q24495" s="24"/>
      <c r="R24495"/>
      <c r="S24495"/>
      <c r="T24495"/>
      <c r="U24495"/>
      <c r="X24495" s="60"/>
    </row>
    <row r="24496" spans="7:24" ht="15" customHeight="1">
      <c r="G24496"/>
      <c r="I24496"/>
      <c r="N24496"/>
      <c r="O24496" s="24"/>
      <c r="P24496"/>
      <c r="Q24496" s="24"/>
      <c r="R24496"/>
      <c r="S24496"/>
      <c r="T24496"/>
      <c r="U24496"/>
      <c r="X24496" s="60"/>
    </row>
    <row r="24497" spans="7:24" ht="15" customHeight="1">
      <c r="G24497"/>
      <c r="I24497"/>
      <c r="N24497"/>
      <c r="O24497" s="24"/>
      <c r="P24497"/>
      <c r="Q24497" s="24"/>
      <c r="R24497"/>
      <c r="S24497"/>
      <c r="T24497"/>
      <c r="U24497"/>
      <c r="X24497" s="60"/>
    </row>
    <row r="24498" spans="7:24" ht="15" customHeight="1">
      <c r="G24498"/>
      <c r="I24498"/>
      <c r="N24498"/>
      <c r="O24498" s="24"/>
      <c r="P24498"/>
      <c r="Q24498" s="24"/>
      <c r="R24498"/>
      <c r="S24498"/>
      <c r="T24498"/>
      <c r="U24498"/>
      <c r="X24498" s="60"/>
    </row>
    <row r="24499" spans="7:24" ht="15" customHeight="1">
      <c r="G24499"/>
      <c r="I24499"/>
      <c r="N24499"/>
      <c r="O24499" s="24"/>
      <c r="P24499"/>
      <c r="Q24499" s="24"/>
      <c r="R24499"/>
      <c r="S24499"/>
      <c r="T24499"/>
      <c r="U24499"/>
      <c r="X24499" s="60"/>
    </row>
    <row r="24500" spans="7:24" ht="15" customHeight="1">
      <c r="G24500"/>
      <c r="I24500"/>
      <c r="N24500"/>
      <c r="O24500" s="24"/>
      <c r="P24500"/>
      <c r="Q24500" s="24"/>
      <c r="R24500"/>
      <c r="S24500"/>
      <c r="T24500"/>
      <c r="U24500"/>
      <c r="X24500" s="60"/>
    </row>
    <row r="24501" spans="7:24" ht="15" customHeight="1">
      <c r="G24501"/>
      <c r="I24501"/>
      <c r="N24501"/>
      <c r="O24501" s="24"/>
      <c r="P24501"/>
      <c r="Q24501" s="24"/>
      <c r="R24501"/>
      <c r="S24501"/>
      <c r="T24501"/>
      <c r="U24501"/>
      <c r="X24501" s="60"/>
    </row>
    <row r="24502" spans="7:24" ht="15" customHeight="1">
      <c r="G24502"/>
      <c r="I24502"/>
      <c r="N24502"/>
      <c r="O24502" s="24"/>
      <c r="P24502"/>
      <c r="Q24502" s="24"/>
      <c r="R24502"/>
      <c r="S24502"/>
      <c r="T24502"/>
      <c r="U24502"/>
      <c r="X24502" s="60"/>
    </row>
    <row r="24503" spans="7:24" ht="15" customHeight="1">
      <c r="G24503"/>
      <c r="I24503"/>
      <c r="N24503"/>
      <c r="O24503" s="24"/>
      <c r="P24503"/>
      <c r="Q24503" s="24"/>
      <c r="R24503"/>
      <c r="S24503"/>
      <c r="T24503"/>
      <c r="U24503"/>
      <c r="X24503" s="60"/>
    </row>
    <row r="24504" spans="7:24" ht="15" customHeight="1">
      <c r="G24504"/>
      <c r="I24504"/>
      <c r="N24504"/>
      <c r="O24504" s="24"/>
      <c r="P24504"/>
      <c r="Q24504" s="24"/>
      <c r="R24504"/>
      <c r="S24504"/>
      <c r="T24504"/>
      <c r="U24504"/>
      <c r="X24504" s="60"/>
    </row>
    <row r="24505" spans="7:24" ht="15" customHeight="1">
      <c r="G24505"/>
      <c r="I24505"/>
      <c r="N24505"/>
      <c r="O24505" s="24"/>
      <c r="P24505"/>
      <c r="Q24505" s="24"/>
      <c r="R24505"/>
      <c r="S24505"/>
      <c r="T24505"/>
      <c r="U24505"/>
      <c r="X24505" s="60"/>
    </row>
    <row r="24506" spans="7:24" ht="15" customHeight="1">
      <c r="G24506"/>
      <c r="I24506"/>
      <c r="N24506"/>
      <c r="O24506" s="24"/>
      <c r="P24506"/>
      <c r="Q24506" s="24"/>
      <c r="R24506"/>
      <c r="S24506"/>
      <c r="T24506"/>
      <c r="U24506"/>
      <c r="X24506" s="60"/>
    </row>
    <row r="24507" spans="7:24" ht="15" customHeight="1">
      <c r="G24507"/>
      <c r="I24507"/>
      <c r="N24507"/>
      <c r="O24507" s="24"/>
      <c r="P24507"/>
      <c r="Q24507" s="24"/>
      <c r="R24507"/>
      <c r="S24507"/>
      <c r="T24507"/>
      <c r="U24507"/>
      <c r="X24507" s="60"/>
    </row>
    <row r="24508" spans="7:24" ht="15" customHeight="1">
      <c r="G24508"/>
      <c r="I24508"/>
      <c r="N24508"/>
      <c r="O24508" s="24"/>
      <c r="P24508"/>
      <c r="Q24508" s="24"/>
      <c r="R24508"/>
      <c r="S24508"/>
      <c r="T24508"/>
      <c r="U24508"/>
      <c r="X24508" s="60"/>
    </row>
    <row r="24509" spans="7:24" ht="15" customHeight="1">
      <c r="G24509"/>
      <c r="I24509"/>
      <c r="N24509"/>
      <c r="O24509" s="24"/>
      <c r="P24509"/>
      <c r="Q24509" s="24"/>
      <c r="R24509"/>
      <c r="S24509"/>
      <c r="T24509"/>
      <c r="U24509"/>
      <c r="X24509" s="60"/>
    </row>
    <row r="24510" spans="7:24" ht="15" customHeight="1">
      <c r="G24510"/>
      <c r="I24510"/>
      <c r="N24510"/>
      <c r="O24510" s="24"/>
      <c r="P24510"/>
      <c r="Q24510" s="24"/>
      <c r="R24510"/>
      <c r="S24510"/>
      <c r="T24510"/>
      <c r="U24510"/>
      <c r="X24510" s="60"/>
    </row>
    <row r="24511" spans="7:24" ht="15" customHeight="1">
      <c r="G24511"/>
      <c r="I24511"/>
      <c r="N24511"/>
      <c r="O24511" s="24"/>
      <c r="P24511"/>
      <c r="Q24511" s="24"/>
      <c r="R24511"/>
      <c r="S24511"/>
      <c r="T24511"/>
      <c r="U24511"/>
      <c r="X24511" s="60"/>
    </row>
    <row r="24512" spans="7:24" ht="15" customHeight="1">
      <c r="G24512"/>
      <c r="I24512"/>
      <c r="N24512"/>
      <c r="O24512" s="24"/>
      <c r="P24512"/>
      <c r="Q24512" s="24"/>
      <c r="R24512"/>
      <c r="S24512"/>
      <c r="T24512"/>
      <c r="U24512"/>
      <c r="X24512" s="60"/>
    </row>
    <row r="24513" spans="7:24" ht="15" customHeight="1">
      <c r="G24513"/>
      <c r="I24513"/>
      <c r="N24513"/>
      <c r="O24513" s="24"/>
      <c r="P24513"/>
      <c r="Q24513" s="24"/>
      <c r="R24513"/>
      <c r="S24513"/>
      <c r="T24513"/>
      <c r="U24513"/>
      <c r="X24513" s="60"/>
    </row>
    <row r="24514" spans="7:24" ht="15" customHeight="1">
      <c r="G24514"/>
      <c r="I24514"/>
      <c r="N24514"/>
      <c r="O24514" s="24"/>
      <c r="P24514"/>
      <c r="Q24514" s="24"/>
      <c r="R24514"/>
      <c r="S24514"/>
      <c r="T24514"/>
      <c r="U24514"/>
      <c r="X24514" s="60"/>
    </row>
    <row r="24515" spans="7:24" ht="15" customHeight="1">
      <c r="G24515"/>
      <c r="I24515"/>
      <c r="N24515"/>
      <c r="O24515" s="24"/>
      <c r="P24515"/>
      <c r="Q24515" s="24"/>
      <c r="R24515"/>
      <c r="S24515"/>
      <c r="T24515"/>
      <c r="U24515"/>
      <c r="X24515" s="60"/>
    </row>
    <row r="24516" spans="7:24" ht="15" customHeight="1">
      <c r="G24516"/>
      <c r="I24516"/>
      <c r="N24516"/>
      <c r="O24516" s="24"/>
      <c r="P24516"/>
      <c r="Q24516" s="24"/>
      <c r="R24516"/>
      <c r="S24516"/>
      <c r="T24516"/>
      <c r="U24516"/>
      <c r="X24516" s="60"/>
    </row>
    <row r="24517" spans="7:24" ht="15" customHeight="1">
      <c r="G24517"/>
      <c r="I24517"/>
      <c r="N24517"/>
      <c r="O24517" s="24"/>
      <c r="P24517"/>
      <c r="Q24517" s="24"/>
      <c r="R24517"/>
      <c r="S24517"/>
      <c r="T24517"/>
      <c r="U24517"/>
      <c r="X24517" s="60"/>
    </row>
    <row r="24518" spans="7:24" ht="15" customHeight="1">
      <c r="G24518"/>
      <c r="I24518"/>
      <c r="N24518"/>
      <c r="O24518" s="24"/>
      <c r="P24518"/>
      <c r="Q24518" s="24"/>
      <c r="R24518"/>
      <c r="S24518"/>
      <c r="T24518"/>
      <c r="U24518"/>
      <c r="X24518" s="60"/>
    </row>
    <row r="24519" spans="7:24" ht="15" customHeight="1">
      <c r="G24519"/>
      <c r="I24519"/>
      <c r="N24519"/>
      <c r="O24519" s="24"/>
      <c r="P24519"/>
      <c r="Q24519" s="24"/>
      <c r="R24519"/>
      <c r="S24519"/>
      <c r="T24519"/>
      <c r="U24519"/>
      <c r="X24519" s="60"/>
    </row>
    <row r="24520" spans="7:24" ht="15" customHeight="1">
      <c r="G24520"/>
      <c r="I24520"/>
      <c r="N24520"/>
      <c r="O24520" s="24"/>
      <c r="P24520"/>
      <c r="Q24520" s="24"/>
      <c r="R24520"/>
      <c r="S24520"/>
      <c r="T24520"/>
      <c r="U24520"/>
      <c r="X24520" s="60"/>
    </row>
    <row r="24521" spans="7:24" ht="15" customHeight="1">
      <c r="G24521"/>
      <c r="I24521"/>
      <c r="N24521"/>
      <c r="O24521" s="24"/>
      <c r="P24521"/>
      <c r="Q24521" s="24"/>
      <c r="R24521"/>
      <c r="S24521"/>
      <c r="T24521"/>
      <c r="U24521"/>
      <c r="X24521" s="60"/>
    </row>
    <row r="24522" spans="7:24" ht="15" customHeight="1">
      <c r="G24522"/>
      <c r="I24522"/>
      <c r="N24522"/>
      <c r="O24522" s="24"/>
      <c r="P24522"/>
      <c r="Q24522" s="24"/>
      <c r="R24522"/>
      <c r="S24522"/>
      <c r="T24522"/>
      <c r="U24522"/>
      <c r="X24522" s="60"/>
    </row>
    <row r="24523" spans="7:24" ht="15" customHeight="1">
      <c r="G24523"/>
      <c r="I24523"/>
      <c r="N24523"/>
      <c r="O24523" s="24"/>
      <c r="P24523"/>
      <c r="Q24523" s="24"/>
      <c r="R24523"/>
      <c r="S24523"/>
      <c r="T24523"/>
      <c r="U24523"/>
      <c r="X24523" s="60"/>
    </row>
    <row r="24524" spans="7:24" ht="15" customHeight="1">
      <c r="G24524"/>
      <c r="I24524"/>
      <c r="N24524"/>
      <c r="O24524" s="24"/>
      <c r="P24524"/>
      <c r="Q24524" s="24"/>
      <c r="R24524"/>
      <c r="S24524"/>
      <c r="T24524"/>
      <c r="U24524"/>
      <c r="X24524" s="60"/>
    </row>
    <row r="24525" spans="7:24" ht="15" customHeight="1">
      <c r="G24525"/>
      <c r="I24525"/>
      <c r="N24525"/>
      <c r="O24525" s="24"/>
      <c r="P24525"/>
      <c r="Q24525" s="24"/>
      <c r="R24525"/>
      <c r="S24525"/>
      <c r="T24525"/>
      <c r="U24525"/>
      <c r="X24525" s="60"/>
    </row>
    <row r="24526" spans="7:24" ht="15" customHeight="1">
      <c r="G24526"/>
      <c r="I24526"/>
      <c r="N24526"/>
      <c r="O24526" s="24"/>
      <c r="P24526"/>
      <c r="Q24526" s="24"/>
      <c r="R24526"/>
      <c r="S24526"/>
      <c r="T24526"/>
      <c r="U24526"/>
      <c r="X24526" s="60"/>
    </row>
    <row r="24527" spans="7:24" ht="15" customHeight="1">
      <c r="G24527"/>
      <c r="I24527"/>
      <c r="N24527"/>
      <c r="O24527" s="24"/>
      <c r="P24527"/>
      <c r="Q24527" s="24"/>
      <c r="R24527"/>
      <c r="S24527"/>
      <c r="T24527"/>
      <c r="U24527"/>
      <c r="X24527" s="60"/>
    </row>
    <row r="24528" spans="7:24" ht="15" customHeight="1">
      <c r="G24528"/>
      <c r="I24528"/>
      <c r="N24528"/>
      <c r="O24528" s="24"/>
      <c r="P24528"/>
      <c r="Q24528" s="24"/>
      <c r="R24528"/>
      <c r="S24528"/>
      <c r="T24528"/>
      <c r="U24528"/>
      <c r="X24528" s="60"/>
    </row>
    <row r="24529" spans="7:24" ht="15" customHeight="1">
      <c r="G24529"/>
      <c r="I24529"/>
      <c r="N24529"/>
      <c r="O24529" s="24"/>
      <c r="P24529"/>
      <c r="Q24529" s="24"/>
      <c r="R24529"/>
      <c r="S24529"/>
      <c r="T24529"/>
      <c r="U24529"/>
      <c r="X24529" s="60"/>
    </row>
    <row r="24530" spans="7:24" ht="15" customHeight="1">
      <c r="G24530"/>
      <c r="I24530"/>
      <c r="N24530"/>
      <c r="O24530" s="24"/>
      <c r="P24530"/>
      <c r="Q24530" s="24"/>
      <c r="R24530"/>
      <c r="S24530"/>
      <c r="T24530"/>
      <c r="U24530"/>
      <c r="X24530" s="60"/>
    </row>
    <row r="24531" spans="7:24" ht="15" customHeight="1">
      <c r="G24531"/>
      <c r="I24531"/>
      <c r="N24531"/>
      <c r="O24531" s="24"/>
      <c r="P24531"/>
      <c r="Q24531" s="24"/>
      <c r="R24531"/>
      <c r="S24531"/>
      <c r="T24531"/>
      <c r="U24531"/>
      <c r="X24531" s="60"/>
    </row>
    <row r="24532" spans="7:24" ht="15" customHeight="1">
      <c r="G24532"/>
      <c r="I24532"/>
      <c r="N24532"/>
      <c r="O24532" s="24"/>
      <c r="P24532"/>
      <c r="Q24532" s="24"/>
      <c r="R24532"/>
      <c r="S24532"/>
      <c r="T24532"/>
      <c r="U24532"/>
      <c r="X24532" s="60"/>
    </row>
    <row r="24533" spans="7:24" ht="15" customHeight="1">
      <c r="G24533"/>
      <c r="I24533"/>
      <c r="N24533"/>
      <c r="O24533" s="24"/>
      <c r="P24533"/>
      <c r="Q24533" s="24"/>
      <c r="R24533"/>
      <c r="S24533"/>
      <c r="T24533"/>
      <c r="U24533"/>
      <c r="X24533" s="60"/>
    </row>
    <row r="24534" spans="7:24" ht="15" customHeight="1">
      <c r="G24534"/>
      <c r="I24534"/>
      <c r="N24534"/>
      <c r="O24534" s="24"/>
      <c r="P24534"/>
      <c r="Q24534" s="24"/>
      <c r="R24534"/>
      <c r="S24534"/>
      <c r="T24534"/>
      <c r="U24534"/>
      <c r="X24534" s="60"/>
    </row>
    <row r="24535" spans="7:24" ht="15" customHeight="1">
      <c r="G24535"/>
      <c r="I24535"/>
      <c r="N24535"/>
      <c r="O24535" s="24"/>
      <c r="P24535"/>
      <c r="Q24535" s="24"/>
      <c r="R24535"/>
      <c r="S24535"/>
      <c r="T24535"/>
      <c r="U24535"/>
      <c r="X24535" s="60"/>
    </row>
    <row r="24536" spans="7:24" ht="15" customHeight="1">
      <c r="G24536"/>
      <c r="I24536"/>
      <c r="N24536"/>
      <c r="O24536" s="24"/>
      <c r="P24536"/>
      <c r="Q24536" s="24"/>
      <c r="R24536"/>
      <c r="S24536"/>
      <c r="T24536"/>
      <c r="U24536"/>
      <c r="X24536" s="60"/>
    </row>
    <row r="24537" spans="7:24" ht="15" customHeight="1">
      <c r="G24537"/>
      <c r="I24537"/>
      <c r="N24537"/>
      <c r="O24537" s="24"/>
      <c r="P24537"/>
      <c r="Q24537" s="24"/>
      <c r="R24537"/>
      <c r="S24537"/>
      <c r="T24537"/>
      <c r="U24537"/>
      <c r="X24537" s="60"/>
    </row>
    <row r="24538" spans="7:24" ht="15" customHeight="1">
      <c r="G24538"/>
      <c r="I24538"/>
      <c r="N24538"/>
      <c r="O24538" s="24"/>
      <c r="P24538"/>
      <c r="Q24538" s="24"/>
      <c r="R24538"/>
      <c r="S24538"/>
      <c r="T24538"/>
      <c r="U24538"/>
      <c r="X24538" s="60"/>
    </row>
    <row r="24539" spans="7:24" ht="15" customHeight="1">
      <c r="G24539"/>
      <c r="I24539"/>
      <c r="N24539"/>
      <c r="O24539" s="24"/>
      <c r="P24539"/>
      <c r="Q24539" s="24"/>
      <c r="R24539"/>
      <c r="S24539"/>
      <c r="T24539"/>
      <c r="U24539"/>
      <c r="X24539" s="60"/>
    </row>
    <row r="24540" spans="7:24" ht="15" customHeight="1">
      <c r="G24540"/>
      <c r="I24540"/>
      <c r="N24540"/>
      <c r="O24540" s="24"/>
      <c r="P24540"/>
      <c r="Q24540" s="24"/>
      <c r="R24540"/>
      <c r="S24540"/>
      <c r="T24540"/>
      <c r="U24540"/>
      <c r="X24540" s="60"/>
    </row>
    <row r="24541" spans="7:24" ht="15" customHeight="1">
      <c r="G24541"/>
      <c r="I24541"/>
      <c r="N24541"/>
      <c r="O24541" s="24"/>
      <c r="P24541"/>
      <c r="Q24541" s="24"/>
      <c r="R24541"/>
      <c r="S24541"/>
      <c r="T24541"/>
      <c r="U24541"/>
      <c r="X24541" s="60"/>
    </row>
    <row r="24542" spans="7:24" ht="15" customHeight="1">
      <c r="G24542"/>
      <c r="I24542"/>
      <c r="N24542"/>
      <c r="O24542" s="24"/>
      <c r="P24542"/>
      <c r="Q24542" s="24"/>
      <c r="R24542"/>
      <c r="S24542"/>
      <c r="T24542"/>
      <c r="U24542"/>
      <c r="X24542" s="60"/>
    </row>
    <row r="24543" spans="7:24" ht="15" customHeight="1">
      <c r="G24543"/>
      <c r="I24543"/>
      <c r="N24543"/>
      <c r="O24543" s="24"/>
      <c r="P24543"/>
      <c r="Q24543" s="24"/>
      <c r="R24543"/>
      <c r="S24543"/>
      <c r="T24543"/>
      <c r="U24543"/>
      <c r="X24543" s="60"/>
    </row>
    <row r="24544" spans="7:24" ht="15" customHeight="1">
      <c r="G24544"/>
      <c r="I24544"/>
      <c r="N24544"/>
      <c r="O24544" s="24"/>
      <c r="P24544"/>
      <c r="Q24544" s="24"/>
      <c r="R24544"/>
      <c r="S24544"/>
      <c r="T24544"/>
      <c r="U24544"/>
      <c r="X24544" s="60"/>
    </row>
    <row r="24545" spans="7:24" ht="15" customHeight="1">
      <c r="G24545"/>
      <c r="I24545"/>
      <c r="N24545"/>
      <c r="O24545" s="24"/>
      <c r="P24545"/>
      <c r="Q24545" s="24"/>
      <c r="R24545"/>
      <c r="S24545"/>
      <c r="T24545"/>
      <c r="U24545"/>
      <c r="X24545" s="60"/>
    </row>
    <row r="24546" spans="7:24" ht="15" customHeight="1">
      <c r="G24546"/>
      <c r="I24546"/>
      <c r="N24546"/>
      <c r="O24546" s="24"/>
      <c r="P24546"/>
      <c r="Q24546" s="24"/>
      <c r="R24546"/>
      <c r="S24546"/>
      <c r="T24546"/>
      <c r="U24546"/>
      <c r="X24546" s="60"/>
    </row>
    <row r="24547" spans="7:24" ht="15" customHeight="1">
      <c r="G24547"/>
      <c r="I24547"/>
      <c r="N24547"/>
      <c r="O24547" s="24"/>
      <c r="P24547"/>
      <c r="Q24547" s="24"/>
      <c r="R24547"/>
      <c r="S24547"/>
      <c r="T24547"/>
      <c r="U24547"/>
      <c r="X24547" s="60"/>
    </row>
    <row r="24548" spans="7:24" ht="15" customHeight="1">
      <c r="G24548"/>
      <c r="I24548"/>
      <c r="N24548"/>
      <c r="O24548" s="24"/>
      <c r="P24548"/>
      <c r="Q24548" s="24"/>
      <c r="R24548"/>
      <c r="S24548"/>
      <c r="T24548"/>
      <c r="U24548"/>
      <c r="X24548" s="60"/>
    </row>
    <row r="24549" spans="7:24" ht="15" customHeight="1">
      <c r="G24549"/>
      <c r="I24549"/>
      <c r="N24549"/>
      <c r="O24549" s="24"/>
      <c r="P24549"/>
      <c r="Q24549" s="24"/>
      <c r="R24549"/>
      <c r="S24549"/>
      <c r="T24549"/>
      <c r="U24549"/>
      <c r="X24549" s="60"/>
    </row>
    <row r="24550" spans="7:24" ht="15" customHeight="1">
      <c r="G24550"/>
      <c r="I24550"/>
      <c r="N24550"/>
      <c r="O24550" s="24"/>
      <c r="P24550"/>
      <c r="Q24550" s="24"/>
      <c r="R24550"/>
      <c r="S24550"/>
      <c r="T24550"/>
      <c r="U24550"/>
      <c r="X24550" s="60"/>
    </row>
    <row r="24551" spans="7:24" ht="15" customHeight="1">
      <c r="G24551"/>
      <c r="I24551"/>
      <c r="N24551"/>
      <c r="O24551" s="24"/>
      <c r="P24551"/>
      <c r="Q24551" s="24"/>
      <c r="R24551"/>
      <c r="S24551"/>
      <c r="T24551"/>
      <c r="U24551"/>
      <c r="X24551" s="60"/>
    </row>
    <row r="24552" spans="7:24" ht="15" customHeight="1">
      <c r="G24552"/>
      <c r="I24552"/>
      <c r="N24552"/>
      <c r="O24552" s="24"/>
      <c r="P24552"/>
      <c r="Q24552" s="24"/>
      <c r="R24552"/>
      <c r="S24552"/>
      <c r="T24552"/>
      <c r="U24552"/>
      <c r="X24552" s="60"/>
    </row>
    <row r="24553" spans="7:24" ht="15" customHeight="1">
      <c r="G24553"/>
      <c r="I24553"/>
      <c r="N24553"/>
      <c r="O24553" s="24"/>
      <c r="P24553"/>
      <c r="Q24553" s="24"/>
      <c r="R24553"/>
      <c r="S24553"/>
      <c r="T24553"/>
      <c r="U24553"/>
      <c r="X24553" s="60"/>
    </row>
    <row r="24554" spans="7:24" ht="15" customHeight="1">
      <c r="G24554"/>
      <c r="I24554"/>
      <c r="N24554"/>
      <c r="O24554" s="24"/>
      <c r="P24554"/>
      <c r="Q24554" s="24"/>
      <c r="R24554"/>
      <c r="S24554"/>
      <c r="T24554"/>
      <c r="U24554"/>
      <c r="X24554" s="60"/>
    </row>
    <row r="24555" spans="7:24" ht="15" customHeight="1">
      <c r="G24555"/>
      <c r="I24555"/>
      <c r="N24555"/>
      <c r="O24555" s="24"/>
      <c r="P24555"/>
      <c r="Q24555" s="24"/>
      <c r="R24555"/>
      <c r="S24555"/>
      <c r="T24555"/>
      <c r="U24555"/>
      <c r="X24555" s="60"/>
    </row>
    <row r="24556" spans="7:24" ht="15" customHeight="1">
      <c r="G24556"/>
      <c r="I24556"/>
      <c r="N24556"/>
      <c r="O24556" s="24"/>
      <c r="P24556"/>
      <c r="Q24556" s="24"/>
      <c r="R24556"/>
      <c r="S24556"/>
      <c r="T24556"/>
      <c r="U24556"/>
      <c r="X24556" s="60"/>
    </row>
    <row r="24557" spans="7:24" ht="15" customHeight="1">
      <c r="G24557"/>
      <c r="I24557"/>
      <c r="N24557"/>
      <c r="O24557" s="24"/>
      <c r="P24557"/>
      <c r="Q24557" s="24"/>
      <c r="R24557"/>
      <c r="S24557"/>
      <c r="T24557"/>
      <c r="U24557"/>
      <c r="X24557" s="60"/>
    </row>
    <row r="24558" spans="7:24" ht="15" customHeight="1">
      <c r="G24558"/>
      <c r="I24558"/>
      <c r="N24558"/>
      <c r="O24558" s="24"/>
      <c r="P24558"/>
      <c r="Q24558" s="24"/>
      <c r="R24558"/>
      <c r="S24558"/>
      <c r="T24558"/>
      <c r="U24558"/>
      <c r="X24558" s="60"/>
    </row>
    <row r="24559" spans="7:24" ht="15" customHeight="1">
      <c r="G24559"/>
      <c r="I24559"/>
      <c r="N24559"/>
      <c r="O24559" s="24"/>
      <c r="P24559"/>
      <c r="Q24559" s="24"/>
      <c r="R24559"/>
      <c r="S24559"/>
      <c r="T24559"/>
      <c r="U24559"/>
      <c r="X24559" s="60"/>
    </row>
    <row r="24560" spans="7:24" ht="15" customHeight="1">
      <c r="G24560"/>
      <c r="I24560"/>
      <c r="N24560"/>
      <c r="O24560" s="24"/>
      <c r="P24560"/>
      <c r="Q24560" s="24"/>
      <c r="R24560"/>
      <c r="S24560"/>
      <c r="T24560"/>
      <c r="U24560"/>
      <c r="X24560" s="60"/>
    </row>
    <row r="24561" spans="7:24" ht="15" customHeight="1">
      <c r="G24561"/>
      <c r="I24561"/>
      <c r="N24561"/>
      <c r="O24561" s="24"/>
      <c r="P24561"/>
      <c r="Q24561" s="24"/>
      <c r="R24561"/>
      <c r="S24561"/>
      <c r="T24561"/>
      <c r="U24561"/>
      <c r="X24561" s="60"/>
    </row>
    <row r="24562" spans="7:24" ht="15" customHeight="1">
      <c r="G24562"/>
      <c r="I24562"/>
      <c r="N24562"/>
      <c r="O24562" s="24"/>
      <c r="P24562"/>
      <c r="Q24562" s="24"/>
      <c r="R24562"/>
      <c r="S24562"/>
      <c r="T24562"/>
      <c r="U24562"/>
      <c r="X24562" s="60"/>
    </row>
    <row r="24563" spans="7:24" ht="15" customHeight="1">
      <c r="G24563"/>
      <c r="I24563"/>
      <c r="N24563"/>
      <c r="O24563" s="24"/>
      <c r="P24563"/>
      <c r="Q24563" s="24"/>
      <c r="R24563"/>
      <c r="S24563"/>
      <c r="T24563"/>
      <c r="U24563"/>
      <c r="X24563" s="60"/>
    </row>
    <row r="24564" spans="7:24" ht="15" customHeight="1">
      <c r="G24564"/>
      <c r="I24564"/>
      <c r="N24564"/>
      <c r="O24564" s="24"/>
      <c r="P24564"/>
      <c r="Q24564" s="24"/>
      <c r="R24564"/>
      <c r="S24564"/>
      <c r="T24564"/>
      <c r="U24564"/>
      <c r="X24564" s="60"/>
    </row>
    <row r="24565" spans="7:24" ht="15" customHeight="1">
      <c r="G24565"/>
      <c r="I24565"/>
      <c r="N24565"/>
      <c r="O24565" s="24"/>
      <c r="P24565"/>
      <c r="Q24565" s="24"/>
      <c r="R24565"/>
      <c r="S24565"/>
      <c r="T24565"/>
      <c r="U24565"/>
      <c r="X24565" s="60"/>
    </row>
    <row r="24566" spans="7:24" ht="15" customHeight="1">
      <c r="G24566"/>
      <c r="I24566"/>
      <c r="N24566"/>
      <c r="O24566" s="24"/>
      <c r="P24566"/>
      <c r="Q24566" s="24"/>
      <c r="R24566"/>
      <c r="S24566"/>
      <c r="T24566"/>
      <c r="U24566"/>
      <c r="X24566" s="60"/>
    </row>
    <row r="24567" spans="7:24" ht="15" customHeight="1">
      <c r="G24567"/>
      <c r="I24567"/>
      <c r="N24567"/>
      <c r="O24567" s="24"/>
      <c r="P24567"/>
      <c r="Q24567" s="24"/>
      <c r="R24567"/>
      <c r="S24567"/>
      <c r="T24567"/>
      <c r="U24567"/>
      <c r="X24567" s="60"/>
    </row>
    <row r="24568" spans="7:24" ht="15" customHeight="1">
      <c r="G24568"/>
      <c r="I24568"/>
      <c r="N24568"/>
      <c r="O24568" s="24"/>
      <c r="P24568"/>
      <c r="Q24568" s="24"/>
      <c r="R24568"/>
      <c r="S24568"/>
      <c r="T24568"/>
      <c r="U24568"/>
      <c r="X24568" s="60"/>
    </row>
    <row r="24569" spans="7:24" ht="15" customHeight="1">
      <c r="G24569"/>
      <c r="I24569"/>
      <c r="N24569"/>
      <c r="O24569" s="24"/>
      <c r="P24569"/>
      <c r="Q24569" s="24"/>
      <c r="R24569"/>
      <c r="S24569"/>
      <c r="T24569"/>
      <c r="U24569"/>
      <c r="X24569" s="60"/>
    </row>
    <row r="24570" spans="7:24" ht="15" customHeight="1">
      <c r="G24570"/>
      <c r="I24570"/>
      <c r="N24570"/>
      <c r="O24570" s="24"/>
      <c r="P24570"/>
      <c r="Q24570" s="24"/>
      <c r="R24570"/>
      <c r="S24570"/>
      <c r="T24570"/>
      <c r="U24570"/>
      <c r="X24570" s="60"/>
    </row>
    <row r="24571" spans="7:24" ht="15" customHeight="1">
      <c r="G24571"/>
      <c r="I24571"/>
      <c r="N24571"/>
      <c r="O24571" s="24"/>
      <c r="P24571"/>
      <c r="Q24571" s="24"/>
      <c r="R24571"/>
      <c r="S24571"/>
      <c r="T24571"/>
      <c r="U24571"/>
      <c r="X24571" s="60"/>
    </row>
    <row r="24572" spans="7:24" ht="15" customHeight="1">
      <c r="G24572"/>
      <c r="I24572"/>
      <c r="N24572"/>
      <c r="O24572" s="24"/>
      <c r="P24572"/>
      <c r="Q24572" s="24"/>
      <c r="R24572"/>
      <c r="S24572"/>
      <c r="T24572"/>
      <c r="U24572"/>
      <c r="X24572" s="60"/>
    </row>
    <row r="24573" spans="7:24" ht="15" customHeight="1">
      <c r="G24573"/>
      <c r="I24573"/>
      <c r="N24573"/>
      <c r="O24573" s="24"/>
      <c r="P24573"/>
      <c r="Q24573" s="24"/>
      <c r="R24573"/>
      <c r="S24573"/>
      <c r="T24573"/>
      <c r="U24573"/>
      <c r="X24573" s="60"/>
    </row>
    <row r="24574" spans="7:24" ht="15" customHeight="1">
      <c r="G24574"/>
      <c r="I24574"/>
      <c r="N24574"/>
      <c r="O24574" s="24"/>
      <c r="P24574"/>
      <c r="Q24574" s="24"/>
      <c r="R24574"/>
      <c r="S24574"/>
      <c r="T24574"/>
      <c r="U24574"/>
      <c r="X24574" s="60"/>
    </row>
    <row r="24575" spans="7:24" ht="15" customHeight="1">
      <c r="G24575"/>
      <c r="I24575"/>
      <c r="N24575"/>
      <c r="O24575" s="24"/>
      <c r="P24575"/>
      <c r="Q24575" s="24"/>
      <c r="R24575"/>
      <c r="S24575"/>
      <c r="T24575"/>
      <c r="U24575"/>
      <c r="X24575" s="60"/>
    </row>
    <row r="24576" spans="7:24" ht="15" customHeight="1">
      <c r="G24576"/>
      <c r="I24576"/>
      <c r="N24576"/>
      <c r="O24576" s="24"/>
      <c r="P24576"/>
      <c r="Q24576" s="24"/>
      <c r="R24576"/>
      <c r="S24576"/>
      <c r="T24576"/>
      <c r="U24576"/>
      <c r="X24576" s="60"/>
    </row>
    <row r="24577" spans="7:24" ht="15" customHeight="1">
      <c r="G24577"/>
      <c r="I24577"/>
      <c r="N24577"/>
      <c r="O24577" s="24"/>
      <c r="P24577"/>
      <c r="Q24577" s="24"/>
      <c r="R24577"/>
      <c r="S24577"/>
      <c r="T24577"/>
      <c r="U24577"/>
      <c r="X24577" s="60"/>
    </row>
    <row r="24578" spans="7:24" ht="15" customHeight="1">
      <c r="G24578"/>
      <c r="I24578"/>
      <c r="N24578"/>
      <c r="O24578" s="24"/>
      <c r="P24578"/>
      <c r="Q24578" s="24"/>
      <c r="R24578"/>
      <c r="S24578"/>
      <c r="T24578"/>
      <c r="U24578"/>
      <c r="X24578" s="60"/>
    </row>
    <row r="24579" spans="7:24" ht="15" customHeight="1">
      <c r="G24579"/>
      <c r="I24579"/>
      <c r="N24579"/>
      <c r="O24579" s="24"/>
      <c r="P24579"/>
      <c r="Q24579" s="24"/>
      <c r="R24579"/>
      <c r="S24579"/>
      <c r="T24579"/>
      <c r="U24579"/>
      <c r="X24579" s="60"/>
    </row>
    <row r="24580" spans="7:24" ht="15" customHeight="1">
      <c r="G24580"/>
      <c r="I24580"/>
      <c r="N24580"/>
      <c r="O24580" s="24"/>
      <c r="P24580"/>
      <c r="Q24580" s="24"/>
      <c r="R24580"/>
      <c r="S24580"/>
      <c r="T24580"/>
      <c r="U24580"/>
      <c r="X24580" s="60"/>
    </row>
    <row r="24581" spans="7:24" ht="15" customHeight="1">
      <c r="G24581"/>
      <c r="I24581"/>
      <c r="N24581"/>
      <c r="O24581" s="24"/>
      <c r="P24581"/>
      <c r="Q24581" s="24"/>
      <c r="R24581"/>
      <c r="S24581"/>
      <c r="T24581"/>
      <c r="U24581"/>
      <c r="X24581" s="60"/>
    </row>
    <row r="24582" spans="7:24" ht="15" customHeight="1">
      <c r="G24582"/>
      <c r="I24582"/>
      <c r="N24582"/>
      <c r="O24582" s="24"/>
      <c r="P24582"/>
      <c r="Q24582" s="24"/>
      <c r="R24582"/>
      <c r="S24582"/>
      <c r="T24582"/>
      <c r="U24582"/>
      <c r="X24582" s="60"/>
    </row>
    <row r="24583" spans="7:24" ht="15" customHeight="1">
      <c r="G24583"/>
      <c r="I24583"/>
      <c r="N24583"/>
      <c r="O24583" s="24"/>
      <c r="P24583"/>
      <c r="Q24583" s="24"/>
      <c r="R24583"/>
      <c r="S24583"/>
      <c r="T24583"/>
      <c r="U24583"/>
      <c r="X24583" s="60"/>
    </row>
    <row r="24584" spans="7:24" ht="15" customHeight="1">
      <c r="G24584"/>
      <c r="I24584"/>
      <c r="N24584"/>
      <c r="O24584" s="24"/>
      <c r="P24584"/>
      <c r="Q24584" s="24"/>
      <c r="R24584"/>
      <c r="S24584"/>
      <c r="T24584"/>
      <c r="U24584"/>
      <c r="X24584" s="60"/>
    </row>
    <row r="24585" spans="7:24" ht="15" customHeight="1">
      <c r="G24585"/>
      <c r="I24585"/>
      <c r="N24585"/>
      <c r="O24585" s="24"/>
      <c r="P24585"/>
      <c r="Q24585" s="24"/>
      <c r="R24585"/>
      <c r="S24585"/>
      <c r="T24585"/>
      <c r="U24585"/>
      <c r="X24585" s="60"/>
    </row>
    <row r="24586" spans="7:24" ht="15" customHeight="1">
      <c r="G24586"/>
      <c r="I24586"/>
      <c r="N24586"/>
      <c r="O24586" s="24"/>
      <c r="P24586"/>
      <c r="Q24586" s="24"/>
      <c r="R24586"/>
      <c r="S24586"/>
      <c r="T24586"/>
      <c r="U24586"/>
      <c r="X24586" s="60"/>
    </row>
    <row r="24587" spans="7:24" ht="15" customHeight="1">
      <c r="G24587"/>
      <c r="I24587"/>
      <c r="N24587"/>
      <c r="O24587" s="24"/>
      <c r="P24587"/>
      <c r="Q24587" s="24"/>
      <c r="R24587"/>
      <c r="S24587"/>
      <c r="T24587"/>
      <c r="U24587"/>
      <c r="X24587" s="60"/>
    </row>
    <row r="24588" spans="7:24" ht="15" customHeight="1">
      <c r="G24588"/>
      <c r="I24588"/>
      <c r="N24588"/>
      <c r="O24588" s="24"/>
      <c r="P24588"/>
      <c r="Q24588" s="24"/>
      <c r="R24588"/>
      <c r="S24588"/>
      <c r="T24588"/>
      <c r="U24588"/>
      <c r="X24588" s="60"/>
    </row>
    <row r="24589" spans="7:24" ht="15" customHeight="1">
      <c r="G24589"/>
      <c r="I24589"/>
      <c r="N24589"/>
      <c r="O24589" s="24"/>
      <c r="P24589"/>
      <c r="Q24589" s="24"/>
      <c r="R24589"/>
      <c r="S24589"/>
      <c r="T24589"/>
      <c r="U24589"/>
      <c r="X24589" s="60"/>
    </row>
    <row r="24590" spans="7:24" ht="15" customHeight="1">
      <c r="G24590"/>
      <c r="I24590"/>
      <c r="N24590"/>
      <c r="O24590" s="24"/>
      <c r="P24590"/>
      <c r="Q24590" s="24"/>
      <c r="R24590"/>
      <c r="S24590"/>
      <c r="T24590"/>
      <c r="U24590"/>
      <c r="X24590" s="60"/>
    </row>
    <row r="24591" spans="7:24" ht="15" customHeight="1">
      <c r="G24591"/>
      <c r="I24591"/>
      <c r="N24591"/>
      <c r="O24591" s="24"/>
      <c r="P24591"/>
      <c r="Q24591" s="24"/>
      <c r="R24591"/>
      <c r="S24591"/>
      <c r="T24591"/>
      <c r="U24591"/>
      <c r="X24591" s="60"/>
    </row>
    <row r="24592" spans="7:24" ht="15" customHeight="1">
      <c r="G24592"/>
      <c r="I24592"/>
      <c r="N24592"/>
      <c r="O24592" s="24"/>
      <c r="P24592"/>
      <c r="Q24592" s="24"/>
      <c r="R24592"/>
      <c r="S24592"/>
      <c r="T24592"/>
      <c r="U24592"/>
      <c r="X24592" s="60"/>
    </row>
    <row r="24593" spans="7:24" ht="15" customHeight="1">
      <c r="G24593"/>
      <c r="I24593"/>
      <c r="N24593"/>
      <c r="O24593" s="24"/>
      <c r="P24593"/>
      <c r="Q24593" s="24"/>
      <c r="R24593"/>
      <c r="S24593"/>
      <c r="T24593"/>
      <c r="U24593"/>
      <c r="X24593" s="60"/>
    </row>
    <row r="24594" spans="7:24" ht="15" customHeight="1">
      <c r="G24594"/>
      <c r="I24594"/>
      <c r="N24594"/>
      <c r="O24594" s="24"/>
      <c r="P24594"/>
      <c r="Q24594" s="24"/>
      <c r="R24594"/>
      <c r="S24594"/>
      <c r="T24594"/>
      <c r="U24594"/>
      <c r="X24594" s="60"/>
    </row>
    <row r="24595" spans="7:24" ht="15" customHeight="1">
      <c r="G24595"/>
      <c r="I24595"/>
      <c r="N24595"/>
      <c r="O24595" s="24"/>
      <c r="P24595"/>
      <c r="Q24595" s="24"/>
      <c r="R24595"/>
      <c r="S24595"/>
      <c r="T24595"/>
      <c r="U24595"/>
      <c r="X24595" s="60"/>
    </row>
    <row r="24596" spans="7:24" ht="15" customHeight="1">
      <c r="G24596"/>
      <c r="I24596"/>
      <c r="N24596"/>
      <c r="O24596" s="24"/>
      <c r="P24596"/>
      <c r="Q24596" s="24"/>
      <c r="R24596"/>
      <c r="S24596"/>
      <c r="T24596"/>
      <c r="U24596"/>
      <c r="X24596" s="60"/>
    </row>
    <row r="24597" spans="7:24" ht="15" customHeight="1">
      <c r="G24597"/>
      <c r="I24597"/>
      <c r="N24597"/>
      <c r="O24597" s="24"/>
      <c r="P24597"/>
      <c r="Q24597" s="24"/>
      <c r="R24597"/>
      <c r="S24597"/>
      <c r="T24597"/>
      <c r="U24597"/>
      <c r="X24597" s="60"/>
    </row>
    <row r="24598" spans="7:24" ht="15" customHeight="1">
      <c r="G24598"/>
      <c r="I24598"/>
      <c r="N24598"/>
      <c r="O24598" s="24"/>
      <c r="P24598"/>
      <c r="Q24598" s="24"/>
      <c r="R24598"/>
      <c r="S24598"/>
      <c r="T24598"/>
      <c r="U24598"/>
      <c r="X24598" s="60"/>
    </row>
    <row r="24599" spans="7:24" ht="15" customHeight="1">
      <c r="G24599"/>
      <c r="I24599"/>
      <c r="N24599"/>
      <c r="O24599" s="24"/>
      <c r="P24599"/>
      <c r="Q24599" s="24"/>
      <c r="R24599"/>
      <c r="S24599"/>
      <c r="T24599"/>
      <c r="U24599"/>
      <c r="X24599" s="60"/>
    </row>
    <row r="24600" spans="7:24" ht="15" customHeight="1">
      <c r="G24600"/>
      <c r="I24600"/>
      <c r="N24600"/>
      <c r="O24600" s="24"/>
      <c r="P24600"/>
      <c r="Q24600" s="24"/>
      <c r="R24600"/>
      <c r="S24600"/>
      <c r="T24600"/>
      <c r="U24600"/>
      <c r="X24600" s="60"/>
    </row>
    <row r="24601" spans="7:24" ht="15" customHeight="1">
      <c r="G24601"/>
      <c r="I24601"/>
      <c r="N24601"/>
      <c r="O24601" s="24"/>
      <c r="P24601"/>
      <c r="Q24601" s="24"/>
      <c r="R24601"/>
      <c r="S24601"/>
      <c r="T24601"/>
      <c r="U24601"/>
      <c r="X24601" s="60"/>
    </row>
    <row r="24602" spans="7:24" ht="15" customHeight="1">
      <c r="G24602"/>
      <c r="I24602"/>
      <c r="N24602"/>
      <c r="O24602" s="24"/>
      <c r="P24602"/>
      <c r="Q24602" s="24"/>
      <c r="R24602"/>
      <c r="S24602"/>
      <c r="T24602"/>
      <c r="U24602"/>
      <c r="X24602" s="60"/>
    </row>
    <row r="24603" spans="7:24" ht="15" customHeight="1">
      <c r="G24603"/>
      <c r="I24603"/>
      <c r="N24603"/>
      <c r="O24603" s="24"/>
      <c r="P24603"/>
      <c r="Q24603" s="24"/>
      <c r="R24603"/>
      <c r="S24603"/>
      <c r="T24603"/>
      <c r="U24603"/>
      <c r="X24603" s="60"/>
    </row>
    <row r="24604" spans="7:24" ht="15" customHeight="1">
      <c r="G24604"/>
      <c r="I24604"/>
      <c r="N24604"/>
      <c r="O24604" s="24"/>
      <c r="P24604"/>
      <c r="Q24604" s="24"/>
      <c r="R24604"/>
      <c r="S24604"/>
      <c r="T24604"/>
      <c r="U24604"/>
      <c r="X24604" s="60"/>
    </row>
    <row r="24605" spans="7:24" ht="15" customHeight="1">
      <c r="G24605"/>
      <c r="I24605"/>
      <c r="N24605"/>
      <c r="O24605" s="24"/>
      <c r="P24605"/>
      <c r="Q24605" s="24"/>
      <c r="R24605"/>
      <c r="S24605"/>
      <c r="T24605"/>
      <c r="U24605"/>
      <c r="X24605" s="60"/>
    </row>
    <row r="24606" spans="7:24" ht="15" customHeight="1">
      <c r="G24606"/>
      <c r="I24606"/>
      <c r="N24606"/>
      <c r="O24606" s="24"/>
      <c r="P24606"/>
      <c r="Q24606" s="24"/>
      <c r="R24606"/>
      <c r="S24606"/>
      <c r="T24606"/>
      <c r="U24606"/>
      <c r="X24606" s="60"/>
    </row>
    <row r="24607" spans="7:24" ht="15" customHeight="1">
      <c r="G24607"/>
      <c r="I24607"/>
      <c r="N24607"/>
      <c r="O24607" s="24"/>
      <c r="P24607"/>
      <c r="Q24607" s="24"/>
      <c r="R24607"/>
      <c r="S24607"/>
      <c r="T24607"/>
      <c r="U24607"/>
      <c r="X24607" s="60"/>
    </row>
    <row r="24608" spans="7:24" ht="15" customHeight="1">
      <c r="G24608"/>
      <c r="I24608"/>
      <c r="N24608"/>
      <c r="O24608" s="24"/>
      <c r="P24608"/>
      <c r="Q24608" s="24"/>
      <c r="R24608"/>
      <c r="S24608"/>
      <c r="T24608"/>
      <c r="U24608"/>
      <c r="X24608" s="60"/>
    </row>
    <row r="24609" spans="7:24" ht="15" customHeight="1">
      <c r="G24609"/>
      <c r="I24609"/>
      <c r="N24609"/>
      <c r="O24609" s="24"/>
      <c r="P24609"/>
      <c r="Q24609" s="24"/>
      <c r="R24609"/>
      <c r="S24609"/>
      <c r="T24609"/>
      <c r="U24609"/>
      <c r="X24609" s="60"/>
    </row>
    <row r="24610" spans="7:24" ht="15" customHeight="1">
      <c r="G24610"/>
      <c r="I24610"/>
      <c r="N24610"/>
      <c r="O24610" s="24"/>
      <c r="P24610"/>
      <c r="Q24610" s="24"/>
      <c r="R24610"/>
      <c r="S24610"/>
      <c r="T24610"/>
      <c r="U24610"/>
      <c r="X24610" s="60"/>
    </row>
    <row r="24611" spans="7:24" ht="15" customHeight="1">
      <c r="G24611"/>
      <c r="I24611"/>
      <c r="N24611"/>
      <c r="O24611" s="24"/>
      <c r="P24611"/>
      <c r="Q24611" s="24"/>
      <c r="R24611"/>
      <c r="S24611"/>
      <c r="T24611"/>
      <c r="U24611"/>
      <c r="X24611" s="60"/>
    </row>
    <row r="24612" spans="7:24" ht="15" customHeight="1">
      <c r="G24612"/>
      <c r="I24612"/>
      <c r="N24612"/>
      <c r="O24612" s="24"/>
      <c r="P24612"/>
      <c r="Q24612" s="24"/>
      <c r="R24612"/>
      <c r="S24612"/>
      <c r="T24612"/>
      <c r="U24612"/>
      <c r="X24612" s="60"/>
    </row>
    <row r="24613" spans="7:24" ht="15" customHeight="1">
      <c r="G24613"/>
      <c r="I24613"/>
      <c r="N24613"/>
      <c r="O24613" s="24"/>
      <c r="P24613"/>
      <c r="Q24613" s="24"/>
      <c r="R24613"/>
      <c r="S24613"/>
      <c r="T24613"/>
      <c r="U24613"/>
      <c r="X24613" s="60"/>
    </row>
    <row r="24614" spans="7:24" ht="15" customHeight="1">
      <c r="G24614"/>
      <c r="I24614"/>
      <c r="N24614"/>
      <c r="O24614" s="24"/>
      <c r="P24614"/>
      <c r="Q24614" s="24"/>
      <c r="R24614"/>
      <c r="S24614"/>
      <c r="T24614"/>
      <c r="U24614"/>
      <c r="X24614" s="60"/>
    </row>
    <row r="24615" spans="7:24" ht="15" customHeight="1">
      <c r="G24615"/>
      <c r="I24615"/>
      <c r="N24615"/>
      <c r="O24615" s="24"/>
      <c r="P24615"/>
      <c r="Q24615" s="24"/>
      <c r="R24615"/>
      <c r="S24615"/>
      <c r="T24615"/>
      <c r="U24615"/>
      <c r="X24615" s="60"/>
    </row>
    <row r="24616" spans="7:24" ht="15" customHeight="1">
      <c r="G24616"/>
      <c r="I24616"/>
      <c r="N24616"/>
      <c r="O24616" s="24"/>
      <c r="P24616"/>
      <c r="Q24616" s="24"/>
      <c r="R24616"/>
      <c r="S24616"/>
      <c r="T24616"/>
      <c r="U24616"/>
      <c r="X24616" s="60"/>
    </row>
    <row r="24617" spans="7:24" ht="15" customHeight="1">
      <c r="G24617"/>
      <c r="I24617"/>
      <c r="N24617"/>
      <c r="O24617" s="24"/>
      <c r="P24617"/>
      <c r="Q24617" s="24"/>
      <c r="R24617"/>
      <c r="S24617"/>
      <c r="T24617"/>
      <c r="U24617"/>
      <c r="X24617" s="60"/>
    </row>
    <row r="24618" spans="7:24" ht="15" customHeight="1">
      <c r="G24618"/>
      <c r="I24618"/>
      <c r="N24618"/>
      <c r="O24618" s="24"/>
      <c r="P24618"/>
      <c r="Q24618" s="24"/>
      <c r="R24618"/>
      <c r="S24618"/>
      <c r="T24618"/>
      <c r="U24618"/>
      <c r="X24618" s="60"/>
    </row>
    <row r="24619" spans="7:24" ht="15" customHeight="1">
      <c r="G24619"/>
      <c r="I24619"/>
      <c r="N24619"/>
      <c r="O24619" s="24"/>
      <c r="P24619"/>
      <c r="Q24619" s="24"/>
      <c r="R24619"/>
      <c r="S24619"/>
      <c r="T24619"/>
      <c r="U24619"/>
      <c r="X24619" s="60"/>
    </row>
    <row r="24620" spans="7:24" ht="15" customHeight="1">
      <c r="G24620"/>
      <c r="I24620"/>
      <c r="N24620"/>
      <c r="O24620" s="24"/>
      <c r="P24620"/>
      <c r="Q24620" s="24"/>
      <c r="R24620"/>
      <c r="S24620"/>
      <c r="T24620"/>
      <c r="U24620"/>
      <c r="X24620" s="60"/>
    </row>
    <row r="24621" spans="7:24" ht="15" customHeight="1">
      <c r="G24621"/>
      <c r="I24621"/>
      <c r="N24621"/>
      <c r="O24621" s="24"/>
      <c r="P24621"/>
      <c r="Q24621" s="24"/>
      <c r="R24621"/>
      <c r="S24621"/>
      <c r="T24621"/>
      <c r="U24621"/>
      <c r="X24621" s="60"/>
    </row>
    <row r="24622" spans="7:24" ht="15" customHeight="1">
      <c r="G24622"/>
      <c r="I24622"/>
      <c r="N24622"/>
      <c r="O24622" s="24"/>
      <c r="P24622"/>
      <c r="Q24622" s="24"/>
      <c r="R24622"/>
      <c r="S24622"/>
      <c r="T24622"/>
      <c r="U24622"/>
      <c r="X24622" s="60"/>
    </row>
    <row r="24623" spans="7:24" ht="15" customHeight="1">
      <c r="G24623"/>
      <c r="I24623"/>
      <c r="N24623"/>
      <c r="O24623" s="24"/>
      <c r="P24623"/>
      <c r="Q24623" s="24"/>
      <c r="R24623"/>
      <c r="S24623"/>
      <c r="T24623"/>
      <c r="U24623"/>
      <c r="X24623" s="60"/>
    </row>
    <row r="24624" spans="7:24" ht="15" customHeight="1">
      <c r="G24624"/>
      <c r="I24624"/>
      <c r="N24624"/>
      <c r="O24624" s="24"/>
      <c r="P24624"/>
      <c r="Q24624" s="24"/>
      <c r="R24624"/>
      <c r="S24624"/>
      <c r="T24624"/>
      <c r="U24624"/>
      <c r="X24624" s="60"/>
    </row>
    <row r="24625" spans="7:24" ht="15" customHeight="1">
      <c r="G24625"/>
      <c r="I24625"/>
      <c r="N24625"/>
      <c r="O24625" s="24"/>
      <c r="P24625"/>
      <c r="Q24625" s="24"/>
      <c r="R24625"/>
      <c r="S24625"/>
      <c r="T24625"/>
      <c r="U24625"/>
      <c r="X24625" s="60"/>
    </row>
    <row r="24626" spans="7:24" ht="15" customHeight="1">
      <c r="G24626"/>
      <c r="I24626"/>
      <c r="N24626"/>
      <c r="O24626" s="24"/>
      <c r="P24626"/>
      <c r="Q24626" s="24"/>
      <c r="R24626"/>
      <c r="S24626"/>
      <c r="T24626"/>
      <c r="U24626"/>
      <c r="X24626" s="60"/>
    </row>
    <row r="24627" spans="7:24" ht="15" customHeight="1">
      <c r="G24627"/>
      <c r="I24627"/>
      <c r="N24627"/>
      <c r="O24627" s="24"/>
      <c r="P24627"/>
      <c r="Q24627" s="24"/>
      <c r="R24627"/>
      <c r="S24627"/>
      <c r="T24627"/>
      <c r="U24627"/>
      <c r="X24627" s="60"/>
    </row>
    <row r="24628" spans="7:24" ht="15" customHeight="1">
      <c r="G24628"/>
      <c r="I24628"/>
      <c r="N24628"/>
      <c r="O24628" s="24"/>
      <c r="P24628"/>
      <c r="Q24628" s="24"/>
      <c r="R24628"/>
      <c r="S24628"/>
      <c r="T24628"/>
      <c r="U24628"/>
      <c r="X24628" s="60"/>
    </row>
    <row r="24629" spans="7:24" ht="15" customHeight="1">
      <c r="G24629"/>
      <c r="I24629"/>
      <c r="N24629"/>
      <c r="O24629" s="24"/>
      <c r="P24629"/>
      <c r="Q24629" s="24"/>
      <c r="R24629"/>
      <c r="S24629"/>
      <c r="T24629"/>
      <c r="U24629"/>
      <c r="X24629" s="60"/>
    </row>
    <row r="24630" spans="7:24" ht="15" customHeight="1">
      <c r="G24630"/>
      <c r="I24630"/>
      <c r="N24630"/>
      <c r="O24630" s="24"/>
      <c r="P24630"/>
      <c r="Q24630" s="24"/>
      <c r="R24630"/>
      <c r="S24630"/>
      <c r="T24630"/>
      <c r="U24630"/>
      <c r="X24630" s="60"/>
    </row>
    <row r="24631" spans="7:24" ht="15" customHeight="1">
      <c r="G24631"/>
      <c r="I24631"/>
      <c r="N24631"/>
      <c r="O24631" s="24"/>
      <c r="P24631"/>
      <c r="Q24631" s="24"/>
      <c r="R24631"/>
      <c r="S24631"/>
      <c r="T24631"/>
      <c r="U24631"/>
      <c r="X24631" s="60"/>
    </row>
    <row r="24632" spans="7:24" ht="15" customHeight="1">
      <c r="G24632"/>
      <c r="I24632"/>
      <c r="N24632"/>
      <c r="O24632" s="24"/>
      <c r="P24632"/>
      <c r="Q24632" s="24"/>
      <c r="R24632"/>
      <c r="S24632"/>
      <c r="T24632"/>
      <c r="U24632"/>
      <c r="X24632" s="60"/>
    </row>
    <row r="24633" spans="7:24" ht="15" customHeight="1">
      <c r="G24633"/>
      <c r="I24633"/>
      <c r="N24633"/>
      <c r="O24633" s="24"/>
      <c r="P24633"/>
      <c r="Q24633" s="24"/>
      <c r="R24633"/>
      <c r="S24633"/>
      <c r="T24633"/>
      <c r="U24633"/>
      <c r="X24633" s="60"/>
    </row>
    <row r="24634" spans="7:24" ht="15" customHeight="1">
      <c r="G24634"/>
      <c r="I24634"/>
      <c r="N24634"/>
      <c r="O24634" s="24"/>
      <c r="P24634"/>
      <c r="Q24634" s="24"/>
      <c r="R24634"/>
      <c r="S24634"/>
      <c r="T24634"/>
      <c r="U24634"/>
      <c r="X24634" s="60"/>
    </row>
    <row r="24635" spans="7:24" ht="15" customHeight="1">
      <c r="G24635"/>
      <c r="I24635"/>
      <c r="N24635"/>
      <c r="O24635" s="24"/>
      <c r="P24635"/>
      <c r="Q24635" s="24"/>
      <c r="R24635"/>
      <c r="S24635"/>
      <c r="T24635"/>
      <c r="U24635"/>
      <c r="X24635" s="60"/>
    </row>
    <row r="24636" spans="7:24" ht="15" customHeight="1">
      <c r="G24636"/>
      <c r="I24636"/>
      <c r="N24636"/>
      <c r="O24636" s="24"/>
      <c r="P24636"/>
      <c r="Q24636" s="24"/>
      <c r="R24636"/>
      <c r="S24636"/>
      <c r="T24636"/>
      <c r="U24636"/>
      <c r="X24636" s="60"/>
    </row>
    <row r="24637" spans="7:24" ht="15" customHeight="1">
      <c r="G24637"/>
      <c r="I24637"/>
      <c r="N24637"/>
      <c r="O24637" s="24"/>
      <c r="P24637"/>
      <c r="Q24637" s="24"/>
      <c r="R24637"/>
      <c r="S24637"/>
      <c r="T24637"/>
      <c r="U24637"/>
      <c r="X24637" s="60"/>
    </row>
    <row r="24638" spans="7:24" ht="15" customHeight="1">
      <c r="G24638"/>
      <c r="I24638"/>
      <c r="N24638"/>
      <c r="O24638" s="24"/>
      <c r="P24638"/>
      <c r="Q24638" s="24"/>
      <c r="R24638"/>
      <c r="S24638"/>
      <c r="T24638"/>
      <c r="U24638"/>
      <c r="X24638" s="60"/>
    </row>
    <row r="24639" spans="7:24" ht="15" customHeight="1">
      <c r="G24639"/>
      <c r="I24639"/>
      <c r="N24639"/>
      <c r="O24639" s="24"/>
      <c r="P24639"/>
      <c r="Q24639" s="24"/>
      <c r="R24639"/>
      <c r="S24639"/>
      <c r="T24639"/>
      <c r="U24639"/>
      <c r="X24639" s="60"/>
    </row>
    <row r="24640" spans="7:24" ht="15" customHeight="1">
      <c r="G24640"/>
      <c r="I24640"/>
      <c r="N24640"/>
      <c r="O24640" s="24"/>
      <c r="P24640"/>
      <c r="Q24640" s="24"/>
      <c r="R24640"/>
      <c r="S24640"/>
      <c r="T24640"/>
      <c r="U24640"/>
      <c r="X24640" s="60"/>
    </row>
    <row r="24641" spans="7:24" ht="15" customHeight="1">
      <c r="G24641"/>
      <c r="I24641"/>
      <c r="N24641"/>
      <c r="O24641" s="24"/>
      <c r="P24641"/>
      <c r="Q24641" s="24"/>
      <c r="R24641"/>
      <c r="S24641"/>
      <c r="T24641"/>
      <c r="U24641"/>
      <c r="X24641" s="60"/>
    </row>
    <row r="24642" spans="7:24" ht="15" customHeight="1">
      <c r="G24642"/>
      <c r="I24642"/>
      <c r="N24642"/>
      <c r="O24642" s="24"/>
      <c r="P24642"/>
      <c r="Q24642" s="24"/>
      <c r="R24642"/>
      <c r="S24642"/>
      <c r="T24642"/>
      <c r="U24642"/>
      <c r="X24642" s="60"/>
    </row>
    <row r="24643" spans="7:24" ht="15" customHeight="1">
      <c r="G24643"/>
      <c r="I24643"/>
      <c r="N24643"/>
      <c r="O24643" s="24"/>
      <c r="P24643"/>
      <c r="Q24643" s="24"/>
      <c r="R24643"/>
      <c r="S24643"/>
      <c r="T24643"/>
      <c r="U24643"/>
      <c r="X24643" s="60"/>
    </row>
    <row r="24644" spans="7:24" ht="15" customHeight="1">
      <c r="G24644"/>
      <c r="I24644"/>
      <c r="N24644"/>
      <c r="O24644" s="24"/>
      <c r="P24644"/>
      <c r="Q24644" s="24"/>
      <c r="R24644"/>
      <c r="S24644"/>
      <c r="T24644"/>
      <c r="U24644"/>
      <c r="X24644" s="60"/>
    </row>
    <row r="24645" spans="7:24" ht="15" customHeight="1">
      <c r="G24645"/>
      <c r="I24645"/>
      <c r="N24645"/>
      <c r="O24645" s="24"/>
      <c r="P24645"/>
      <c r="Q24645" s="24"/>
      <c r="R24645"/>
      <c r="S24645"/>
      <c r="T24645"/>
      <c r="U24645"/>
      <c r="X24645" s="60"/>
    </row>
    <row r="24646" spans="7:24" ht="15" customHeight="1">
      <c r="G24646"/>
      <c r="I24646"/>
      <c r="N24646"/>
      <c r="O24646" s="24"/>
      <c r="P24646"/>
      <c r="Q24646" s="24"/>
      <c r="R24646"/>
      <c r="S24646"/>
      <c r="T24646"/>
      <c r="U24646"/>
      <c r="X24646" s="60"/>
    </row>
    <row r="24647" spans="7:24" ht="15" customHeight="1">
      <c r="G24647"/>
      <c r="I24647"/>
      <c r="N24647"/>
      <c r="O24647" s="24"/>
      <c r="P24647"/>
      <c r="Q24647" s="24"/>
      <c r="R24647"/>
      <c r="S24647"/>
      <c r="T24647"/>
      <c r="U24647"/>
      <c r="X24647" s="60"/>
    </row>
    <row r="24648" spans="7:24" ht="15" customHeight="1">
      <c r="G24648"/>
      <c r="I24648"/>
      <c r="N24648"/>
      <c r="O24648" s="24"/>
      <c r="P24648"/>
      <c r="Q24648" s="24"/>
      <c r="R24648"/>
      <c r="S24648"/>
      <c r="T24648"/>
      <c r="U24648"/>
      <c r="X24648" s="60"/>
    </row>
    <row r="24649" spans="7:24" ht="15" customHeight="1">
      <c r="G24649"/>
      <c r="I24649"/>
      <c r="N24649"/>
      <c r="O24649" s="24"/>
      <c r="P24649"/>
      <c r="Q24649" s="24"/>
      <c r="R24649"/>
      <c r="S24649"/>
      <c r="T24649"/>
      <c r="U24649"/>
      <c r="X24649" s="60"/>
    </row>
    <row r="24650" spans="7:24" ht="15" customHeight="1">
      <c r="G24650"/>
      <c r="I24650"/>
      <c r="N24650"/>
      <c r="O24650" s="24"/>
      <c r="P24650"/>
      <c r="Q24650" s="24"/>
      <c r="R24650"/>
      <c r="S24650"/>
      <c r="T24650"/>
      <c r="U24650"/>
      <c r="X24650" s="60"/>
    </row>
    <row r="24651" spans="7:24" ht="15" customHeight="1">
      <c r="G24651"/>
      <c r="I24651"/>
      <c r="N24651"/>
      <c r="O24651" s="24"/>
      <c r="P24651"/>
      <c r="Q24651" s="24"/>
      <c r="R24651"/>
      <c r="S24651"/>
      <c r="T24651"/>
      <c r="U24651"/>
      <c r="X24651" s="60"/>
    </row>
    <row r="24652" spans="7:24" ht="15" customHeight="1">
      <c r="G24652"/>
      <c r="I24652"/>
      <c r="N24652"/>
      <c r="O24652" s="24"/>
      <c r="P24652"/>
      <c r="Q24652" s="24"/>
      <c r="R24652"/>
      <c r="S24652"/>
      <c r="T24652"/>
      <c r="U24652"/>
      <c r="X24652" s="60"/>
    </row>
    <row r="24653" spans="7:24" ht="15" customHeight="1">
      <c r="G24653"/>
      <c r="I24653"/>
      <c r="N24653"/>
      <c r="O24653" s="24"/>
      <c r="P24653"/>
      <c r="Q24653" s="24"/>
      <c r="R24653"/>
      <c r="S24653"/>
      <c r="T24653"/>
      <c r="U24653"/>
      <c r="X24653" s="60"/>
    </row>
    <row r="24654" spans="7:24" ht="15" customHeight="1">
      <c r="G24654"/>
      <c r="I24654"/>
      <c r="N24654"/>
      <c r="O24654" s="24"/>
      <c r="P24654"/>
      <c r="Q24654" s="24"/>
      <c r="R24654"/>
      <c r="S24654"/>
      <c r="T24654"/>
      <c r="U24654"/>
      <c r="X24654" s="60"/>
    </row>
    <row r="24655" spans="7:24" ht="15" customHeight="1">
      <c r="G24655"/>
      <c r="I24655"/>
      <c r="N24655"/>
      <c r="O24655" s="24"/>
      <c r="P24655"/>
      <c r="Q24655" s="24"/>
      <c r="R24655"/>
      <c r="S24655"/>
      <c r="T24655"/>
      <c r="U24655"/>
      <c r="X24655" s="60"/>
    </row>
    <row r="24656" spans="7:24" ht="15" customHeight="1">
      <c r="G24656"/>
      <c r="I24656"/>
      <c r="N24656"/>
      <c r="O24656" s="24"/>
      <c r="P24656"/>
      <c r="Q24656" s="24"/>
      <c r="R24656"/>
      <c r="S24656"/>
      <c r="T24656"/>
      <c r="U24656"/>
      <c r="X24656" s="60"/>
    </row>
    <row r="24657" spans="7:24" ht="15" customHeight="1">
      <c r="G24657"/>
      <c r="I24657"/>
      <c r="N24657"/>
      <c r="O24657" s="24"/>
      <c r="P24657"/>
      <c r="Q24657" s="24"/>
      <c r="R24657"/>
      <c r="S24657"/>
      <c r="T24657"/>
      <c r="U24657"/>
      <c r="X24657" s="60"/>
    </row>
    <row r="24658" spans="7:24" ht="15" customHeight="1">
      <c r="G24658"/>
      <c r="I24658"/>
      <c r="N24658"/>
      <c r="O24658" s="24"/>
      <c r="P24658"/>
      <c r="Q24658" s="24"/>
      <c r="R24658"/>
      <c r="S24658"/>
      <c r="T24658"/>
      <c r="U24658"/>
      <c r="X24658" s="60"/>
    </row>
    <row r="24659" spans="7:24" ht="15" customHeight="1">
      <c r="G24659"/>
      <c r="I24659"/>
      <c r="N24659"/>
      <c r="O24659" s="24"/>
      <c r="P24659"/>
      <c r="Q24659" s="24"/>
      <c r="R24659"/>
      <c r="S24659"/>
      <c r="T24659"/>
      <c r="U24659"/>
      <c r="X24659" s="60"/>
    </row>
    <row r="24660" spans="7:24" ht="15" customHeight="1">
      <c r="G24660"/>
      <c r="I24660"/>
      <c r="N24660"/>
      <c r="O24660" s="24"/>
      <c r="P24660"/>
      <c r="Q24660" s="24"/>
      <c r="R24660"/>
      <c r="S24660"/>
      <c r="T24660"/>
      <c r="U24660"/>
      <c r="X24660" s="60"/>
    </row>
    <row r="24661" spans="7:24" ht="15" customHeight="1">
      <c r="G24661"/>
      <c r="I24661"/>
      <c r="N24661"/>
      <c r="O24661" s="24"/>
      <c r="P24661"/>
      <c r="Q24661" s="24"/>
      <c r="R24661"/>
      <c r="S24661"/>
      <c r="T24661"/>
      <c r="U24661"/>
      <c r="X24661" s="60"/>
    </row>
    <row r="24662" spans="7:24" ht="15" customHeight="1">
      <c r="G24662"/>
      <c r="I24662"/>
      <c r="N24662"/>
      <c r="O24662" s="24"/>
      <c r="P24662"/>
      <c r="Q24662" s="24"/>
      <c r="R24662"/>
      <c r="S24662"/>
      <c r="T24662"/>
      <c r="U24662"/>
      <c r="X24662" s="60"/>
    </row>
    <row r="24663" spans="7:24" ht="15" customHeight="1">
      <c r="G24663"/>
      <c r="I24663"/>
      <c r="N24663"/>
      <c r="O24663" s="24"/>
      <c r="P24663"/>
      <c r="Q24663" s="24"/>
      <c r="R24663"/>
      <c r="S24663"/>
      <c r="T24663"/>
      <c r="U24663"/>
      <c r="X24663" s="60"/>
    </row>
    <row r="24664" spans="7:24" ht="15" customHeight="1">
      <c r="G24664"/>
      <c r="I24664"/>
      <c r="N24664"/>
      <c r="O24664" s="24"/>
      <c r="P24664"/>
      <c r="Q24664" s="24"/>
      <c r="R24664"/>
      <c r="S24664"/>
      <c r="T24664"/>
      <c r="U24664"/>
      <c r="X24664" s="60"/>
    </row>
    <row r="24665" spans="7:24" ht="15" customHeight="1">
      <c r="G24665"/>
      <c r="I24665"/>
      <c r="N24665"/>
      <c r="O24665" s="24"/>
      <c r="P24665"/>
      <c r="Q24665" s="24"/>
      <c r="R24665"/>
      <c r="S24665"/>
      <c r="T24665"/>
      <c r="U24665"/>
      <c r="X24665" s="60"/>
    </row>
    <row r="24666" spans="7:24" ht="15" customHeight="1">
      <c r="G24666"/>
      <c r="I24666"/>
      <c r="N24666"/>
      <c r="O24666" s="24"/>
      <c r="P24666"/>
      <c r="Q24666" s="24"/>
      <c r="R24666"/>
      <c r="S24666"/>
      <c r="T24666"/>
      <c r="U24666"/>
      <c r="X24666" s="60"/>
    </row>
    <row r="24667" spans="7:24" ht="15" customHeight="1">
      <c r="G24667"/>
      <c r="I24667"/>
      <c r="N24667"/>
      <c r="O24667" s="24"/>
      <c r="P24667"/>
      <c r="Q24667" s="24"/>
      <c r="R24667"/>
      <c r="S24667"/>
      <c r="T24667"/>
      <c r="U24667"/>
      <c r="X24667" s="60"/>
    </row>
    <row r="24668" spans="7:24" ht="15" customHeight="1">
      <c r="G24668"/>
      <c r="I24668"/>
      <c r="N24668"/>
      <c r="O24668" s="24"/>
      <c r="P24668"/>
      <c r="Q24668" s="24"/>
      <c r="R24668"/>
      <c r="S24668"/>
      <c r="T24668"/>
      <c r="U24668"/>
      <c r="X24668" s="60"/>
    </row>
    <row r="24669" spans="7:24" ht="15" customHeight="1">
      <c r="G24669"/>
      <c r="I24669"/>
      <c r="N24669"/>
      <c r="O24669" s="24"/>
      <c r="P24669"/>
      <c r="Q24669" s="24"/>
      <c r="R24669"/>
      <c r="S24669"/>
      <c r="T24669"/>
      <c r="U24669"/>
      <c r="X24669" s="60"/>
    </row>
    <row r="24670" spans="7:24" ht="15" customHeight="1">
      <c r="G24670"/>
      <c r="I24670"/>
      <c r="N24670"/>
      <c r="O24670" s="24"/>
      <c r="P24670"/>
      <c r="Q24670" s="24"/>
      <c r="R24670"/>
      <c r="S24670"/>
      <c r="T24670"/>
      <c r="U24670"/>
      <c r="X24670" s="60"/>
    </row>
    <row r="24671" spans="7:24" ht="15" customHeight="1">
      <c r="G24671"/>
      <c r="I24671"/>
      <c r="N24671"/>
      <c r="O24671" s="24"/>
      <c r="P24671"/>
      <c r="Q24671" s="24"/>
      <c r="R24671"/>
      <c r="S24671"/>
      <c r="T24671"/>
      <c r="U24671"/>
      <c r="X24671" s="60"/>
    </row>
    <row r="24672" spans="7:24" ht="15" customHeight="1">
      <c r="G24672"/>
      <c r="I24672"/>
      <c r="N24672"/>
      <c r="O24672" s="24"/>
      <c r="P24672"/>
      <c r="Q24672" s="24"/>
      <c r="R24672"/>
      <c r="S24672"/>
      <c r="T24672"/>
      <c r="U24672"/>
      <c r="X24672" s="60"/>
    </row>
    <row r="24673" spans="7:24" ht="15" customHeight="1">
      <c r="G24673"/>
      <c r="I24673"/>
      <c r="N24673"/>
      <c r="O24673" s="24"/>
      <c r="P24673"/>
      <c r="Q24673" s="24"/>
      <c r="R24673"/>
      <c r="S24673"/>
      <c r="T24673"/>
      <c r="U24673"/>
      <c r="X24673" s="60"/>
    </row>
    <row r="24674" spans="7:24" ht="15" customHeight="1">
      <c r="G24674"/>
      <c r="I24674"/>
      <c r="N24674"/>
      <c r="O24674" s="24"/>
      <c r="P24674"/>
      <c r="Q24674" s="24"/>
      <c r="R24674"/>
      <c r="S24674"/>
      <c r="T24674"/>
      <c r="U24674"/>
      <c r="X24674" s="60"/>
    </row>
    <row r="24675" spans="7:24" ht="15" customHeight="1">
      <c r="G24675"/>
      <c r="I24675"/>
      <c r="N24675"/>
      <c r="O24675" s="24"/>
      <c r="P24675"/>
      <c r="Q24675" s="24"/>
      <c r="R24675"/>
      <c r="S24675"/>
      <c r="T24675"/>
      <c r="U24675"/>
      <c r="X24675" s="60"/>
    </row>
    <row r="24676" spans="7:24" ht="15" customHeight="1">
      <c r="G24676"/>
      <c r="I24676"/>
      <c r="N24676"/>
      <c r="O24676" s="24"/>
      <c r="P24676"/>
      <c r="Q24676" s="24"/>
      <c r="R24676"/>
      <c r="S24676"/>
      <c r="T24676"/>
      <c r="U24676"/>
      <c r="X24676" s="60"/>
    </row>
    <row r="24677" spans="7:24" ht="15" customHeight="1">
      <c r="G24677"/>
      <c r="I24677"/>
      <c r="N24677"/>
      <c r="O24677" s="24"/>
      <c r="P24677"/>
      <c r="Q24677" s="24"/>
      <c r="R24677"/>
      <c r="S24677"/>
      <c r="T24677"/>
      <c r="U24677"/>
      <c r="X24677" s="60"/>
    </row>
    <row r="24678" spans="7:24" ht="15" customHeight="1">
      <c r="G24678"/>
      <c r="I24678"/>
      <c r="N24678"/>
      <c r="O24678" s="24"/>
      <c r="P24678"/>
      <c r="Q24678" s="24"/>
      <c r="R24678"/>
      <c r="S24678"/>
      <c r="T24678"/>
      <c r="U24678"/>
      <c r="X24678" s="60"/>
    </row>
    <row r="24679" spans="7:24" ht="15" customHeight="1">
      <c r="G24679"/>
      <c r="I24679"/>
      <c r="N24679"/>
      <c r="O24679" s="24"/>
      <c r="P24679"/>
      <c r="Q24679" s="24"/>
      <c r="R24679"/>
      <c r="S24679"/>
      <c r="T24679"/>
      <c r="U24679"/>
      <c r="X24679" s="60"/>
    </row>
    <row r="24680" spans="7:24" ht="15" customHeight="1">
      <c r="G24680"/>
      <c r="I24680"/>
      <c r="N24680"/>
      <c r="O24680" s="24"/>
      <c r="P24680"/>
      <c r="Q24680" s="24"/>
      <c r="R24680"/>
      <c r="S24680"/>
      <c r="T24680"/>
      <c r="U24680"/>
      <c r="X24680" s="60"/>
    </row>
    <row r="24681" spans="7:24" ht="15" customHeight="1">
      <c r="G24681"/>
      <c r="I24681"/>
      <c r="N24681"/>
      <c r="O24681" s="24"/>
      <c r="P24681"/>
      <c r="Q24681" s="24"/>
      <c r="R24681"/>
      <c r="S24681"/>
      <c r="T24681"/>
      <c r="U24681"/>
      <c r="X24681" s="60"/>
    </row>
    <row r="24682" spans="7:24" ht="15" customHeight="1">
      <c r="G24682"/>
      <c r="I24682"/>
      <c r="N24682"/>
      <c r="O24682" s="24"/>
      <c r="P24682"/>
      <c r="Q24682" s="24"/>
      <c r="R24682"/>
      <c r="S24682"/>
      <c r="T24682"/>
      <c r="U24682"/>
      <c r="X24682" s="60"/>
    </row>
    <row r="24683" spans="7:24" ht="15" customHeight="1">
      <c r="G24683"/>
      <c r="I24683"/>
      <c r="N24683"/>
      <c r="O24683" s="24"/>
      <c r="P24683"/>
      <c r="Q24683" s="24"/>
      <c r="R24683"/>
      <c r="S24683"/>
      <c r="T24683"/>
      <c r="U24683"/>
      <c r="X24683" s="60"/>
    </row>
    <row r="24684" spans="7:24" ht="15" customHeight="1">
      <c r="G24684"/>
      <c r="I24684"/>
      <c r="N24684"/>
      <c r="O24684" s="24"/>
      <c r="P24684"/>
      <c r="Q24684" s="24"/>
      <c r="R24684"/>
      <c r="S24684"/>
      <c r="T24684"/>
      <c r="U24684"/>
      <c r="X24684" s="60"/>
    </row>
    <row r="24685" spans="7:24" ht="15" customHeight="1">
      <c r="G24685"/>
      <c r="I24685"/>
      <c r="N24685"/>
      <c r="O24685" s="24"/>
      <c r="P24685"/>
      <c r="Q24685" s="24"/>
      <c r="R24685"/>
      <c r="S24685"/>
      <c r="T24685"/>
      <c r="U24685"/>
      <c r="X24685" s="60"/>
    </row>
    <row r="24686" spans="7:24" ht="15" customHeight="1">
      <c r="G24686"/>
      <c r="I24686"/>
      <c r="N24686"/>
      <c r="O24686" s="24"/>
      <c r="P24686"/>
      <c r="Q24686" s="24"/>
      <c r="R24686"/>
      <c r="S24686"/>
      <c r="T24686"/>
      <c r="U24686"/>
      <c r="X24686" s="60"/>
    </row>
    <row r="24687" spans="7:24" ht="15" customHeight="1">
      <c r="G24687"/>
      <c r="I24687"/>
      <c r="N24687"/>
      <c r="O24687" s="24"/>
      <c r="P24687"/>
      <c r="Q24687" s="24"/>
      <c r="R24687"/>
      <c r="S24687"/>
      <c r="T24687"/>
      <c r="U24687"/>
      <c r="X24687" s="60"/>
    </row>
    <row r="24688" spans="7:24" ht="15" customHeight="1">
      <c r="G24688"/>
      <c r="I24688"/>
      <c r="N24688"/>
      <c r="O24688" s="24"/>
      <c r="P24688"/>
      <c r="Q24688" s="24"/>
      <c r="R24688"/>
      <c r="S24688"/>
      <c r="T24688"/>
      <c r="U24688"/>
      <c r="X24688" s="60"/>
    </row>
    <row r="24689" spans="7:24" ht="15" customHeight="1">
      <c r="G24689"/>
      <c r="I24689"/>
      <c r="N24689"/>
      <c r="O24689" s="24"/>
      <c r="P24689"/>
      <c r="Q24689" s="24"/>
      <c r="R24689"/>
      <c r="S24689"/>
      <c r="T24689"/>
      <c r="U24689"/>
      <c r="X24689" s="60"/>
    </row>
    <row r="24690" spans="7:24" ht="15" customHeight="1">
      <c r="G24690"/>
      <c r="I24690"/>
      <c r="N24690"/>
      <c r="O24690" s="24"/>
      <c r="P24690"/>
      <c r="Q24690" s="24"/>
      <c r="R24690"/>
      <c r="S24690"/>
      <c r="T24690"/>
      <c r="U24690"/>
      <c r="X24690" s="60"/>
    </row>
    <row r="24691" spans="7:24" ht="15" customHeight="1">
      <c r="G24691"/>
      <c r="I24691"/>
      <c r="N24691"/>
      <c r="O24691" s="24"/>
      <c r="P24691"/>
      <c r="Q24691" s="24"/>
      <c r="R24691"/>
      <c r="S24691"/>
      <c r="T24691"/>
      <c r="U24691"/>
      <c r="X24691" s="60"/>
    </row>
    <row r="24692" spans="7:24" ht="15" customHeight="1">
      <c r="G24692"/>
      <c r="I24692"/>
      <c r="N24692"/>
      <c r="O24692" s="24"/>
      <c r="P24692"/>
      <c r="Q24692" s="24"/>
      <c r="R24692"/>
      <c r="S24692"/>
      <c r="T24692"/>
      <c r="U24692"/>
      <c r="X24692" s="60"/>
    </row>
    <row r="24693" spans="7:24" ht="15" customHeight="1">
      <c r="G24693"/>
      <c r="I24693"/>
      <c r="N24693"/>
      <c r="O24693" s="24"/>
      <c r="P24693"/>
      <c r="Q24693" s="24"/>
      <c r="R24693"/>
      <c r="S24693"/>
      <c r="T24693"/>
      <c r="U24693"/>
      <c r="X24693" s="60"/>
    </row>
    <row r="24694" spans="7:24" ht="15" customHeight="1">
      <c r="G24694"/>
      <c r="I24694"/>
      <c r="N24694"/>
      <c r="O24694" s="24"/>
      <c r="P24694"/>
      <c r="Q24694" s="24"/>
      <c r="R24694"/>
      <c r="S24694"/>
      <c r="T24694"/>
      <c r="U24694"/>
      <c r="X24694" s="60"/>
    </row>
    <row r="24695" spans="7:24" ht="15" customHeight="1">
      <c r="G24695"/>
      <c r="I24695"/>
      <c r="N24695"/>
      <c r="O24695" s="24"/>
      <c r="P24695"/>
      <c r="Q24695" s="24"/>
      <c r="R24695"/>
      <c r="S24695"/>
      <c r="T24695"/>
      <c r="U24695"/>
      <c r="X24695" s="60"/>
    </row>
    <row r="24696" spans="7:24" ht="15" customHeight="1">
      <c r="G24696"/>
      <c r="I24696"/>
      <c r="N24696"/>
      <c r="O24696" s="24"/>
      <c r="P24696"/>
      <c r="Q24696" s="24"/>
      <c r="R24696"/>
      <c r="S24696"/>
      <c r="T24696"/>
      <c r="U24696"/>
      <c r="X24696" s="60"/>
    </row>
    <row r="24697" spans="7:24" ht="15" customHeight="1">
      <c r="G24697"/>
      <c r="I24697"/>
      <c r="N24697"/>
      <c r="O24697" s="24"/>
      <c r="P24697"/>
      <c r="Q24697" s="24"/>
      <c r="R24697"/>
      <c r="S24697"/>
      <c r="T24697"/>
      <c r="U24697"/>
      <c r="X24697" s="60"/>
    </row>
    <row r="24698" spans="7:24" ht="15" customHeight="1">
      <c r="G24698"/>
      <c r="I24698"/>
      <c r="N24698"/>
      <c r="O24698" s="24"/>
      <c r="P24698"/>
      <c r="Q24698" s="24"/>
      <c r="R24698"/>
      <c r="S24698"/>
      <c r="T24698"/>
      <c r="U24698"/>
      <c r="X24698" s="60"/>
    </row>
    <row r="24699" spans="7:24" ht="15" customHeight="1">
      <c r="G24699"/>
      <c r="I24699"/>
      <c r="N24699"/>
      <c r="O24699" s="24"/>
      <c r="P24699"/>
      <c r="Q24699" s="24"/>
      <c r="R24699"/>
      <c r="S24699"/>
      <c r="T24699"/>
      <c r="U24699"/>
      <c r="X24699" s="60"/>
    </row>
    <row r="24700" spans="7:24" ht="15" customHeight="1">
      <c r="G24700"/>
      <c r="I24700"/>
      <c r="N24700"/>
      <c r="O24700" s="24"/>
      <c r="P24700"/>
      <c r="Q24700" s="24"/>
      <c r="R24700"/>
      <c r="S24700"/>
      <c r="T24700"/>
      <c r="U24700"/>
      <c r="X24700" s="60"/>
    </row>
    <row r="24701" spans="7:24" ht="15" customHeight="1">
      <c r="G24701"/>
      <c r="I24701"/>
      <c r="N24701"/>
      <c r="O24701" s="24"/>
      <c r="P24701"/>
      <c r="Q24701" s="24"/>
      <c r="R24701"/>
      <c r="S24701"/>
      <c r="T24701"/>
      <c r="U24701"/>
      <c r="X24701" s="60"/>
    </row>
    <row r="24702" spans="7:24" ht="15" customHeight="1">
      <c r="G24702"/>
      <c r="I24702"/>
      <c r="N24702"/>
      <c r="O24702" s="24"/>
      <c r="P24702"/>
      <c r="Q24702" s="24"/>
      <c r="R24702"/>
      <c r="S24702"/>
      <c r="T24702"/>
      <c r="U24702"/>
      <c r="X24702" s="60"/>
    </row>
    <row r="24703" spans="7:24" ht="15" customHeight="1">
      <c r="G24703"/>
      <c r="I24703"/>
      <c r="N24703"/>
      <c r="O24703" s="24"/>
      <c r="P24703"/>
      <c r="Q24703" s="24"/>
      <c r="R24703"/>
      <c r="S24703"/>
      <c r="T24703"/>
      <c r="U24703"/>
      <c r="X24703" s="60"/>
    </row>
    <row r="24704" spans="7:24" ht="15" customHeight="1">
      <c r="G24704"/>
      <c r="I24704"/>
      <c r="N24704"/>
      <c r="O24704" s="24"/>
      <c r="P24704"/>
      <c r="Q24704" s="24"/>
      <c r="R24704"/>
      <c r="S24704"/>
      <c r="T24704"/>
      <c r="U24704"/>
      <c r="X24704" s="60"/>
    </row>
    <row r="24705" spans="7:24" ht="15" customHeight="1">
      <c r="G24705"/>
      <c r="I24705"/>
      <c r="N24705"/>
      <c r="O24705" s="24"/>
      <c r="P24705"/>
      <c r="Q24705" s="24"/>
      <c r="R24705"/>
      <c r="S24705"/>
      <c r="T24705"/>
      <c r="U24705"/>
      <c r="X24705" s="60"/>
    </row>
    <row r="24706" spans="7:24" ht="15" customHeight="1">
      <c r="G24706"/>
      <c r="I24706"/>
      <c r="N24706"/>
      <c r="O24706" s="24"/>
      <c r="P24706"/>
      <c r="Q24706" s="24"/>
      <c r="R24706"/>
      <c r="S24706"/>
      <c r="T24706"/>
      <c r="U24706"/>
      <c r="X24706" s="60"/>
    </row>
    <row r="24707" spans="7:24" ht="15" customHeight="1">
      <c r="G24707"/>
      <c r="I24707"/>
      <c r="N24707"/>
      <c r="O24707" s="24"/>
      <c r="P24707"/>
      <c r="Q24707" s="24"/>
      <c r="R24707"/>
      <c r="S24707"/>
      <c r="T24707"/>
      <c r="U24707"/>
      <c r="X24707" s="60"/>
    </row>
    <row r="24708" spans="7:24" ht="15" customHeight="1">
      <c r="G24708"/>
      <c r="I24708"/>
      <c r="N24708"/>
      <c r="O24708" s="24"/>
      <c r="P24708"/>
      <c r="Q24708" s="24"/>
      <c r="R24708"/>
      <c r="S24708"/>
      <c r="T24708"/>
      <c r="U24708"/>
      <c r="X24708" s="60"/>
    </row>
    <row r="24709" spans="7:24" ht="15" customHeight="1">
      <c r="G24709"/>
      <c r="I24709"/>
      <c r="N24709"/>
      <c r="O24709" s="24"/>
      <c r="P24709"/>
      <c r="Q24709" s="24"/>
      <c r="R24709"/>
      <c r="S24709"/>
      <c r="T24709"/>
      <c r="U24709"/>
      <c r="X24709" s="60"/>
    </row>
    <row r="24710" spans="7:24" ht="15" customHeight="1">
      <c r="G24710"/>
      <c r="I24710"/>
      <c r="N24710"/>
      <c r="O24710" s="24"/>
      <c r="P24710"/>
      <c r="Q24710" s="24"/>
      <c r="R24710"/>
      <c r="S24710"/>
      <c r="T24710"/>
      <c r="U24710"/>
      <c r="X24710" s="60"/>
    </row>
    <row r="24711" spans="7:24" ht="15" customHeight="1">
      <c r="G24711"/>
      <c r="I24711"/>
      <c r="N24711"/>
      <c r="O24711" s="24"/>
      <c r="P24711"/>
      <c r="Q24711" s="24"/>
      <c r="R24711"/>
      <c r="S24711"/>
      <c r="T24711"/>
      <c r="U24711"/>
      <c r="X24711" s="60"/>
    </row>
    <row r="24712" spans="7:24" ht="15" customHeight="1">
      <c r="G24712"/>
      <c r="I24712"/>
      <c r="N24712"/>
      <c r="O24712" s="24"/>
      <c r="P24712"/>
      <c r="Q24712" s="24"/>
      <c r="R24712"/>
      <c r="S24712"/>
      <c r="T24712"/>
      <c r="U24712"/>
      <c r="X24712" s="60"/>
    </row>
    <row r="24713" spans="7:24" ht="15" customHeight="1">
      <c r="G24713"/>
      <c r="I24713"/>
      <c r="N24713"/>
      <c r="O24713" s="24"/>
      <c r="P24713"/>
      <c r="Q24713" s="24"/>
      <c r="R24713"/>
      <c r="S24713"/>
      <c r="T24713"/>
      <c r="U24713"/>
      <c r="X24713" s="60"/>
    </row>
    <row r="24714" spans="7:24" ht="15" customHeight="1">
      <c r="G24714"/>
      <c r="I24714"/>
      <c r="N24714"/>
      <c r="O24714" s="24"/>
      <c r="P24714"/>
      <c r="Q24714" s="24"/>
      <c r="R24714"/>
      <c r="S24714"/>
      <c r="T24714"/>
      <c r="U24714"/>
      <c r="X24714" s="60"/>
    </row>
    <row r="24715" spans="7:24" ht="15" customHeight="1">
      <c r="G24715"/>
      <c r="I24715"/>
      <c r="N24715"/>
      <c r="O24715" s="24"/>
      <c r="P24715"/>
      <c r="Q24715" s="24"/>
      <c r="R24715"/>
      <c r="S24715"/>
      <c r="T24715"/>
      <c r="U24715"/>
      <c r="X24715" s="60"/>
    </row>
    <row r="24716" spans="7:24" ht="15" customHeight="1">
      <c r="G24716"/>
      <c r="I24716"/>
      <c r="N24716"/>
      <c r="O24716" s="24"/>
      <c r="P24716"/>
      <c r="Q24716" s="24"/>
      <c r="R24716"/>
      <c r="S24716"/>
      <c r="T24716"/>
      <c r="U24716"/>
      <c r="X24716" s="60"/>
    </row>
    <row r="24717" spans="7:24" ht="15" customHeight="1">
      <c r="G24717"/>
      <c r="I24717"/>
      <c r="N24717"/>
      <c r="O24717" s="24"/>
      <c r="P24717"/>
      <c r="Q24717" s="24"/>
      <c r="R24717"/>
      <c r="S24717"/>
      <c r="T24717"/>
      <c r="U24717"/>
      <c r="X24717" s="60"/>
    </row>
    <row r="24718" spans="7:24" ht="15" customHeight="1">
      <c r="G24718"/>
      <c r="I24718"/>
      <c r="N24718"/>
      <c r="O24718" s="24"/>
      <c r="P24718"/>
      <c r="Q24718" s="24"/>
      <c r="R24718"/>
      <c r="S24718"/>
      <c r="T24718"/>
      <c r="U24718"/>
      <c r="X24718" s="60"/>
    </row>
    <row r="24719" spans="7:24" ht="15" customHeight="1">
      <c r="G24719"/>
      <c r="I24719"/>
      <c r="N24719"/>
      <c r="O24719" s="24"/>
      <c r="P24719"/>
      <c r="Q24719" s="24"/>
      <c r="R24719"/>
      <c r="S24719"/>
      <c r="T24719"/>
      <c r="U24719"/>
      <c r="X24719" s="60"/>
    </row>
    <row r="24720" spans="7:24" ht="15" customHeight="1">
      <c r="G24720"/>
      <c r="I24720"/>
      <c r="N24720"/>
      <c r="O24720" s="24"/>
      <c r="P24720"/>
      <c r="Q24720" s="24"/>
      <c r="R24720"/>
      <c r="S24720"/>
      <c r="T24720"/>
      <c r="U24720"/>
      <c r="X24720" s="60"/>
    </row>
    <row r="24721" spans="7:24" ht="15" customHeight="1">
      <c r="G24721"/>
      <c r="I24721"/>
      <c r="N24721"/>
      <c r="O24721" s="24"/>
      <c r="P24721"/>
      <c r="Q24721" s="24"/>
      <c r="R24721"/>
      <c r="S24721"/>
      <c r="T24721"/>
      <c r="U24721"/>
      <c r="X24721" s="60"/>
    </row>
    <row r="24722" spans="7:24" ht="15" customHeight="1">
      <c r="G24722"/>
      <c r="I24722"/>
      <c r="N24722"/>
      <c r="O24722" s="24"/>
      <c r="P24722"/>
      <c r="Q24722" s="24"/>
      <c r="R24722"/>
      <c r="S24722"/>
      <c r="T24722"/>
      <c r="U24722"/>
      <c r="X24722" s="60"/>
    </row>
    <row r="24723" spans="7:24" ht="15" customHeight="1">
      <c r="G24723"/>
      <c r="I24723"/>
      <c r="N24723"/>
      <c r="O24723" s="24"/>
      <c r="P24723"/>
      <c r="Q24723" s="24"/>
      <c r="R24723"/>
      <c r="S24723"/>
      <c r="T24723"/>
      <c r="U24723"/>
      <c r="X24723" s="60"/>
    </row>
    <row r="24724" spans="7:24" ht="15" customHeight="1">
      <c r="G24724"/>
      <c r="I24724"/>
      <c r="N24724"/>
      <c r="O24724" s="24"/>
      <c r="P24724"/>
      <c r="Q24724" s="24"/>
      <c r="R24724"/>
      <c r="S24724"/>
      <c r="T24724"/>
      <c r="U24724"/>
      <c r="X24724" s="60"/>
    </row>
    <row r="24725" spans="7:24" ht="15" customHeight="1">
      <c r="G24725"/>
      <c r="I24725"/>
      <c r="N24725"/>
      <c r="O24725" s="24"/>
      <c r="P24725"/>
      <c r="Q24725" s="24"/>
      <c r="R24725"/>
      <c r="S24725"/>
      <c r="T24725"/>
      <c r="U24725"/>
      <c r="X24725" s="60"/>
    </row>
    <row r="24726" spans="7:24" ht="15" customHeight="1">
      <c r="G24726"/>
      <c r="I24726"/>
      <c r="N24726"/>
      <c r="O24726" s="24"/>
      <c r="P24726"/>
      <c r="Q24726" s="24"/>
      <c r="R24726"/>
      <c r="S24726"/>
      <c r="T24726"/>
      <c r="U24726"/>
      <c r="X24726" s="60"/>
    </row>
    <row r="24727" spans="7:24" ht="15" customHeight="1">
      <c r="G24727"/>
      <c r="I24727"/>
      <c r="N24727"/>
      <c r="O24727" s="24"/>
      <c r="P24727"/>
      <c r="Q24727" s="24"/>
      <c r="R24727"/>
      <c r="S24727"/>
      <c r="T24727"/>
      <c r="U24727"/>
      <c r="X24727" s="60"/>
    </row>
    <row r="24728" spans="7:24" ht="15" customHeight="1">
      <c r="G24728"/>
      <c r="I24728"/>
      <c r="N24728"/>
      <c r="O24728" s="24"/>
      <c r="P24728"/>
      <c r="Q24728" s="24"/>
      <c r="R24728"/>
      <c r="S24728"/>
      <c r="T24728"/>
      <c r="U24728"/>
      <c r="X24728" s="60"/>
    </row>
    <row r="24729" spans="7:24" ht="15" customHeight="1">
      <c r="G24729"/>
      <c r="I24729"/>
      <c r="N24729"/>
      <c r="O24729" s="24"/>
      <c r="P24729"/>
      <c r="Q24729" s="24"/>
      <c r="R24729"/>
      <c r="S24729"/>
      <c r="T24729"/>
      <c r="U24729"/>
      <c r="X24729" s="60"/>
    </row>
    <row r="24730" spans="7:24" ht="15" customHeight="1">
      <c r="G24730"/>
      <c r="I24730"/>
      <c r="N24730"/>
      <c r="O24730" s="24"/>
      <c r="P24730"/>
      <c r="Q24730" s="24"/>
      <c r="R24730"/>
      <c r="S24730"/>
      <c r="T24730"/>
      <c r="U24730"/>
      <c r="X24730" s="60"/>
    </row>
    <row r="24731" spans="7:24" ht="15" customHeight="1">
      <c r="G24731"/>
      <c r="I24731"/>
      <c r="N24731"/>
      <c r="O24731" s="24"/>
      <c r="P24731"/>
      <c r="Q24731" s="24"/>
      <c r="R24731"/>
      <c r="S24731"/>
      <c r="T24731"/>
      <c r="U24731"/>
      <c r="X24731" s="60"/>
    </row>
    <row r="24732" spans="7:24" ht="15" customHeight="1">
      <c r="G24732"/>
      <c r="I24732"/>
      <c r="N24732"/>
      <c r="O24732" s="24"/>
      <c r="P24732"/>
      <c r="Q24732" s="24"/>
      <c r="R24732"/>
      <c r="S24732"/>
      <c r="T24732"/>
      <c r="U24732"/>
      <c r="X24732" s="60"/>
    </row>
    <row r="24733" spans="7:24" ht="15" customHeight="1">
      <c r="G24733"/>
      <c r="I24733"/>
      <c r="N24733"/>
      <c r="O24733" s="24"/>
      <c r="P24733"/>
      <c r="Q24733" s="24"/>
      <c r="R24733"/>
      <c r="S24733"/>
      <c r="T24733"/>
      <c r="U24733"/>
      <c r="X24733" s="60"/>
    </row>
    <row r="24734" spans="7:24" ht="15" customHeight="1">
      <c r="G24734"/>
      <c r="I24734"/>
      <c r="N24734"/>
      <c r="O24734" s="24"/>
      <c r="P24734"/>
      <c r="Q24734" s="24"/>
      <c r="R24734"/>
      <c r="S24734"/>
      <c r="T24734"/>
      <c r="U24734"/>
      <c r="X24734" s="60"/>
    </row>
    <row r="24735" spans="7:24" ht="15" customHeight="1">
      <c r="G24735"/>
      <c r="I24735"/>
      <c r="N24735"/>
      <c r="O24735" s="24"/>
      <c r="P24735"/>
      <c r="Q24735" s="24"/>
      <c r="R24735"/>
      <c r="S24735"/>
      <c r="T24735"/>
      <c r="U24735"/>
      <c r="X24735" s="60"/>
    </row>
    <row r="24736" spans="7:24" ht="15" customHeight="1">
      <c r="G24736"/>
      <c r="I24736"/>
      <c r="N24736"/>
      <c r="O24736" s="24"/>
      <c r="P24736"/>
      <c r="Q24736" s="24"/>
      <c r="R24736"/>
      <c r="S24736"/>
      <c r="T24736"/>
      <c r="U24736"/>
      <c r="X24736" s="60"/>
    </row>
    <row r="24737" spans="7:24" ht="15" customHeight="1">
      <c r="G24737"/>
      <c r="I24737"/>
      <c r="N24737"/>
      <c r="O24737" s="24"/>
      <c r="P24737"/>
      <c r="Q24737" s="24"/>
      <c r="R24737"/>
      <c r="S24737"/>
      <c r="T24737"/>
      <c r="U24737"/>
      <c r="X24737" s="60"/>
    </row>
    <row r="24738" spans="7:24" ht="15" customHeight="1">
      <c r="G24738"/>
      <c r="I24738"/>
      <c r="N24738"/>
      <c r="O24738" s="24"/>
      <c r="P24738"/>
      <c r="Q24738" s="24"/>
      <c r="R24738"/>
      <c r="S24738"/>
      <c r="T24738"/>
      <c r="U24738"/>
      <c r="X24738" s="60"/>
    </row>
    <row r="24739" spans="7:24" ht="15" customHeight="1">
      <c r="G24739"/>
      <c r="I24739"/>
      <c r="N24739"/>
      <c r="O24739" s="24"/>
      <c r="P24739"/>
      <c r="Q24739" s="24"/>
      <c r="R24739"/>
      <c r="S24739"/>
      <c r="T24739"/>
      <c r="U24739"/>
      <c r="X24739" s="60"/>
    </row>
    <row r="24740" spans="7:24" ht="15" customHeight="1">
      <c r="G24740"/>
      <c r="I24740"/>
      <c r="N24740"/>
      <c r="O24740" s="24"/>
      <c r="P24740"/>
      <c r="Q24740" s="24"/>
      <c r="R24740"/>
      <c r="S24740"/>
      <c r="T24740"/>
      <c r="U24740"/>
      <c r="X24740" s="60"/>
    </row>
    <row r="24741" spans="7:24" ht="15" customHeight="1">
      <c r="G24741"/>
      <c r="I24741"/>
      <c r="N24741"/>
      <c r="O24741" s="24"/>
      <c r="P24741"/>
      <c r="Q24741" s="24"/>
      <c r="R24741"/>
      <c r="S24741"/>
      <c r="T24741"/>
      <c r="U24741"/>
      <c r="X24741" s="60"/>
    </row>
    <row r="24742" spans="7:24" ht="15" customHeight="1">
      <c r="G24742"/>
      <c r="I24742"/>
      <c r="N24742"/>
      <c r="O24742" s="24"/>
      <c r="P24742"/>
      <c r="Q24742" s="24"/>
      <c r="R24742"/>
      <c r="S24742"/>
      <c r="T24742"/>
      <c r="U24742"/>
      <c r="X24742" s="60"/>
    </row>
    <row r="24743" spans="7:24" ht="15" customHeight="1">
      <c r="G24743"/>
      <c r="I24743"/>
      <c r="N24743"/>
      <c r="O24743" s="24"/>
      <c r="P24743"/>
      <c r="Q24743" s="24"/>
      <c r="R24743"/>
      <c r="S24743"/>
      <c r="T24743"/>
      <c r="U24743"/>
      <c r="X24743" s="60"/>
    </row>
    <row r="24744" spans="7:24" ht="15" customHeight="1">
      <c r="G24744"/>
      <c r="I24744"/>
      <c r="N24744"/>
      <c r="O24744" s="24"/>
      <c r="P24744"/>
      <c r="Q24744" s="24"/>
      <c r="R24744"/>
      <c r="S24744"/>
      <c r="T24744"/>
      <c r="U24744"/>
      <c r="X24744" s="60"/>
    </row>
    <row r="24745" spans="7:24" ht="15" customHeight="1">
      <c r="G24745"/>
      <c r="I24745"/>
      <c r="N24745"/>
      <c r="O24745" s="24"/>
      <c r="P24745"/>
      <c r="Q24745" s="24"/>
      <c r="R24745"/>
      <c r="S24745"/>
      <c r="T24745"/>
      <c r="U24745"/>
      <c r="X24745" s="60"/>
    </row>
    <row r="24746" spans="7:24" ht="15" customHeight="1">
      <c r="G24746"/>
      <c r="I24746"/>
      <c r="N24746"/>
      <c r="O24746" s="24"/>
      <c r="P24746"/>
      <c r="Q24746" s="24"/>
      <c r="R24746"/>
      <c r="S24746"/>
      <c r="T24746"/>
      <c r="U24746"/>
      <c r="X24746" s="60"/>
    </row>
    <row r="24747" spans="7:24" ht="15" customHeight="1">
      <c r="G24747"/>
      <c r="I24747"/>
      <c r="N24747"/>
      <c r="O24747" s="24"/>
      <c r="P24747"/>
      <c r="Q24747" s="24"/>
      <c r="R24747"/>
      <c r="S24747"/>
      <c r="T24747"/>
      <c r="U24747"/>
      <c r="X24747" s="60"/>
    </row>
    <row r="24748" spans="7:24" ht="15" customHeight="1">
      <c r="G24748"/>
      <c r="I24748"/>
      <c r="N24748"/>
      <c r="O24748" s="24"/>
      <c r="P24748"/>
      <c r="Q24748" s="24"/>
      <c r="R24748"/>
      <c r="S24748"/>
      <c r="T24748"/>
      <c r="U24748"/>
      <c r="X24748" s="60"/>
    </row>
    <row r="24749" spans="7:24" ht="15" customHeight="1">
      <c r="G24749"/>
      <c r="I24749"/>
      <c r="N24749"/>
      <c r="O24749" s="24"/>
      <c r="P24749"/>
      <c r="Q24749" s="24"/>
      <c r="R24749"/>
      <c r="S24749"/>
      <c r="T24749"/>
      <c r="U24749"/>
      <c r="X24749" s="60"/>
    </row>
    <row r="24750" spans="7:24" ht="15" customHeight="1">
      <c r="G24750"/>
      <c r="I24750"/>
      <c r="N24750"/>
      <c r="O24750" s="24"/>
      <c r="P24750"/>
      <c r="Q24750" s="24"/>
      <c r="R24750"/>
      <c r="S24750"/>
      <c r="T24750"/>
      <c r="U24750"/>
      <c r="X24750" s="60"/>
    </row>
    <row r="24751" spans="7:24" ht="15" customHeight="1">
      <c r="G24751"/>
      <c r="I24751"/>
      <c r="N24751"/>
      <c r="O24751" s="24"/>
      <c r="P24751"/>
      <c r="Q24751" s="24"/>
      <c r="R24751"/>
      <c r="S24751"/>
      <c r="T24751"/>
      <c r="U24751"/>
      <c r="X24751" s="60"/>
    </row>
    <row r="24752" spans="7:24" ht="15" customHeight="1">
      <c r="G24752"/>
      <c r="I24752"/>
      <c r="N24752"/>
      <c r="O24752" s="24"/>
      <c r="P24752"/>
      <c r="Q24752" s="24"/>
      <c r="R24752"/>
      <c r="S24752"/>
      <c r="T24752"/>
      <c r="U24752"/>
      <c r="X24752" s="60"/>
    </row>
    <row r="24753" spans="7:24" ht="15" customHeight="1">
      <c r="G24753"/>
      <c r="I24753"/>
      <c r="N24753"/>
      <c r="O24753" s="24"/>
      <c r="P24753"/>
      <c r="Q24753" s="24"/>
      <c r="R24753"/>
      <c r="S24753"/>
      <c r="T24753"/>
      <c r="U24753"/>
      <c r="X24753" s="60"/>
    </row>
    <row r="24754" spans="7:24" ht="15" customHeight="1">
      <c r="G24754"/>
      <c r="I24754"/>
      <c r="N24754"/>
      <c r="O24754" s="24"/>
      <c r="P24754"/>
      <c r="Q24754" s="24"/>
      <c r="R24754"/>
      <c r="S24754"/>
      <c r="T24754"/>
      <c r="U24754"/>
      <c r="X24754" s="60"/>
    </row>
    <row r="24755" spans="7:24" ht="15" customHeight="1">
      <c r="G24755"/>
      <c r="I24755"/>
      <c r="N24755"/>
      <c r="O24755" s="24"/>
      <c r="P24755"/>
      <c r="Q24755" s="24"/>
      <c r="R24755"/>
      <c r="S24755"/>
      <c r="T24755"/>
      <c r="U24755"/>
      <c r="X24755" s="60"/>
    </row>
    <row r="24756" spans="7:24" ht="15" customHeight="1">
      <c r="G24756"/>
      <c r="I24756"/>
      <c r="N24756"/>
      <c r="O24756" s="24"/>
      <c r="P24756"/>
      <c r="Q24756" s="24"/>
      <c r="R24756"/>
      <c r="S24756"/>
      <c r="T24756"/>
      <c r="U24756"/>
      <c r="X24756" s="60"/>
    </row>
    <row r="24757" spans="7:24" ht="15" customHeight="1">
      <c r="G24757"/>
      <c r="I24757"/>
      <c r="N24757"/>
      <c r="O24757" s="24"/>
      <c r="P24757"/>
      <c r="Q24757" s="24"/>
      <c r="R24757"/>
      <c r="S24757"/>
      <c r="T24757"/>
      <c r="U24757"/>
      <c r="X24757" s="60"/>
    </row>
    <row r="24758" spans="7:24" ht="15" customHeight="1">
      <c r="G24758"/>
      <c r="I24758"/>
      <c r="N24758"/>
      <c r="O24758" s="24"/>
      <c r="P24758"/>
      <c r="Q24758" s="24"/>
      <c r="R24758"/>
      <c r="S24758"/>
      <c r="T24758"/>
      <c r="U24758"/>
      <c r="X24758" s="60"/>
    </row>
    <row r="24759" spans="7:24" ht="15" customHeight="1">
      <c r="G24759"/>
      <c r="I24759"/>
      <c r="N24759"/>
      <c r="O24759" s="24"/>
      <c r="P24759"/>
      <c r="Q24759" s="24"/>
      <c r="R24759"/>
      <c r="S24759"/>
      <c r="T24759"/>
      <c r="U24759"/>
      <c r="X24759" s="60"/>
    </row>
    <row r="24760" spans="7:24" ht="15" customHeight="1">
      <c r="G24760"/>
      <c r="I24760"/>
      <c r="N24760"/>
      <c r="O24760" s="24"/>
      <c r="P24760"/>
      <c r="Q24760" s="24"/>
      <c r="R24760"/>
      <c r="S24760"/>
      <c r="T24760"/>
      <c r="U24760"/>
      <c r="X24760" s="60"/>
    </row>
    <row r="24761" spans="7:24" ht="15" customHeight="1">
      <c r="G24761"/>
      <c r="I24761"/>
      <c r="N24761"/>
      <c r="O24761" s="24"/>
      <c r="P24761"/>
      <c r="Q24761" s="24"/>
      <c r="R24761"/>
      <c r="S24761"/>
      <c r="T24761"/>
      <c r="U24761"/>
      <c r="X24761" s="60"/>
    </row>
    <row r="24762" spans="7:24" ht="15" customHeight="1">
      <c r="G24762"/>
      <c r="I24762"/>
      <c r="N24762"/>
      <c r="O24762" s="24"/>
      <c r="P24762"/>
      <c r="Q24762" s="24"/>
      <c r="R24762"/>
      <c r="S24762"/>
      <c r="T24762"/>
      <c r="U24762"/>
      <c r="X24762" s="60"/>
    </row>
    <row r="24763" spans="7:24" ht="15" customHeight="1">
      <c r="G24763"/>
      <c r="I24763"/>
      <c r="N24763"/>
      <c r="O24763" s="24"/>
      <c r="P24763"/>
      <c r="Q24763" s="24"/>
      <c r="R24763"/>
      <c r="S24763"/>
      <c r="T24763"/>
      <c r="U24763"/>
      <c r="X24763" s="60"/>
    </row>
    <row r="24764" spans="7:24" ht="15" customHeight="1">
      <c r="G24764"/>
      <c r="I24764"/>
      <c r="N24764"/>
      <c r="O24764" s="24"/>
      <c r="P24764"/>
      <c r="Q24764" s="24"/>
      <c r="R24764"/>
      <c r="S24764"/>
      <c r="T24764"/>
      <c r="U24764"/>
      <c r="X24764" s="60"/>
    </row>
    <row r="24765" spans="7:24" ht="15" customHeight="1">
      <c r="G24765"/>
      <c r="I24765"/>
      <c r="N24765"/>
      <c r="O24765" s="24"/>
      <c r="P24765"/>
      <c r="Q24765" s="24"/>
      <c r="R24765"/>
      <c r="S24765"/>
      <c r="T24765"/>
      <c r="U24765"/>
      <c r="X24765" s="60"/>
    </row>
    <row r="24766" spans="7:24" ht="15" customHeight="1">
      <c r="G24766"/>
      <c r="I24766"/>
      <c r="N24766"/>
      <c r="O24766" s="24"/>
      <c r="P24766"/>
      <c r="Q24766" s="24"/>
      <c r="R24766"/>
      <c r="S24766"/>
      <c r="T24766"/>
      <c r="U24766"/>
      <c r="X24766" s="60"/>
    </row>
    <row r="24767" spans="7:24" ht="15" customHeight="1">
      <c r="G24767"/>
      <c r="I24767"/>
      <c r="N24767"/>
      <c r="O24767" s="24"/>
      <c r="P24767"/>
      <c r="Q24767" s="24"/>
      <c r="R24767"/>
      <c r="S24767"/>
      <c r="T24767"/>
      <c r="U24767"/>
      <c r="X24767" s="60"/>
    </row>
    <row r="24768" spans="7:24" ht="15" customHeight="1">
      <c r="G24768"/>
      <c r="I24768"/>
      <c r="N24768"/>
      <c r="O24768" s="24"/>
      <c r="P24768"/>
      <c r="Q24768" s="24"/>
      <c r="R24768"/>
      <c r="S24768"/>
      <c r="T24768"/>
      <c r="U24768"/>
      <c r="X24768" s="60"/>
    </row>
    <row r="24769" spans="7:24" ht="15" customHeight="1">
      <c r="G24769"/>
      <c r="I24769"/>
      <c r="N24769"/>
      <c r="O24769" s="24"/>
      <c r="P24769"/>
      <c r="Q24769" s="24"/>
      <c r="R24769"/>
      <c r="S24769"/>
      <c r="T24769"/>
      <c r="U24769"/>
      <c r="X24769" s="60"/>
    </row>
    <row r="24770" spans="7:24" ht="15" customHeight="1">
      <c r="G24770"/>
      <c r="I24770"/>
      <c r="N24770"/>
      <c r="O24770" s="24"/>
      <c r="P24770"/>
      <c r="Q24770" s="24"/>
      <c r="R24770"/>
      <c r="S24770"/>
      <c r="T24770"/>
      <c r="U24770"/>
      <c r="X24770" s="60"/>
    </row>
    <row r="24771" spans="7:24" ht="15" customHeight="1">
      <c r="G24771"/>
      <c r="I24771"/>
      <c r="N24771"/>
      <c r="O24771" s="24"/>
      <c r="P24771"/>
      <c r="Q24771" s="24"/>
      <c r="R24771"/>
      <c r="S24771"/>
      <c r="T24771"/>
      <c r="U24771"/>
      <c r="X24771" s="60"/>
    </row>
    <row r="24772" spans="7:24" ht="15" customHeight="1">
      <c r="G24772"/>
      <c r="I24772"/>
      <c r="N24772"/>
      <c r="O24772" s="24"/>
      <c r="P24772"/>
      <c r="Q24772" s="24"/>
      <c r="R24772"/>
      <c r="S24772"/>
      <c r="T24772"/>
      <c r="U24772"/>
      <c r="X24772" s="60"/>
    </row>
    <row r="24773" spans="7:24" ht="15" customHeight="1">
      <c r="G24773"/>
      <c r="I24773"/>
      <c r="N24773"/>
      <c r="O24773" s="24"/>
      <c r="P24773"/>
      <c r="Q24773" s="24"/>
      <c r="R24773"/>
      <c r="S24773"/>
      <c r="T24773"/>
      <c r="U24773"/>
      <c r="X24773" s="60"/>
    </row>
    <row r="24774" spans="7:24" ht="15" customHeight="1">
      <c r="G24774"/>
      <c r="I24774"/>
      <c r="N24774"/>
      <c r="O24774" s="24"/>
      <c r="P24774"/>
      <c r="Q24774" s="24"/>
      <c r="R24774"/>
      <c r="S24774"/>
      <c r="T24774"/>
      <c r="U24774"/>
      <c r="X24774" s="60"/>
    </row>
    <row r="24775" spans="7:24" ht="15" customHeight="1">
      <c r="G24775"/>
      <c r="I24775"/>
      <c r="N24775"/>
      <c r="O24775" s="24"/>
      <c r="P24775"/>
      <c r="Q24775" s="24"/>
      <c r="R24775"/>
      <c r="S24775"/>
      <c r="T24775"/>
      <c r="U24775"/>
      <c r="X24775" s="60"/>
    </row>
    <row r="24776" spans="7:24" ht="15" customHeight="1">
      <c r="G24776"/>
      <c r="I24776"/>
      <c r="N24776"/>
      <c r="O24776" s="24"/>
      <c r="P24776"/>
      <c r="Q24776" s="24"/>
      <c r="R24776"/>
      <c r="S24776"/>
      <c r="T24776"/>
      <c r="U24776"/>
      <c r="X24776" s="60"/>
    </row>
    <row r="24777" spans="7:24" ht="15" customHeight="1">
      <c r="G24777"/>
      <c r="I24777"/>
      <c r="N24777"/>
      <c r="O24777" s="24"/>
      <c r="P24777"/>
      <c r="Q24777" s="24"/>
      <c r="R24777"/>
      <c r="S24777"/>
      <c r="T24777"/>
      <c r="U24777"/>
      <c r="X24777" s="60"/>
    </row>
    <row r="24778" spans="7:24" ht="15" customHeight="1">
      <c r="G24778"/>
      <c r="I24778"/>
      <c r="N24778"/>
      <c r="O24778" s="24"/>
      <c r="P24778"/>
      <c r="Q24778" s="24"/>
      <c r="R24778"/>
      <c r="S24778"/>
      <c r="T24778"/>
      <c r="U24778"/>
      <c r="X24778" s="60"/>
    </row>
    <row r="24779" spans="7:24" ht="15" customHeight="1">
      <c r="G24779"/>
      <c r="I24779"/>
      <c r="N24779"/>
      <c r="O24779" s="24"/>
      <c r="P24779"/>
      <c r="Q24779" s="24"/>
      <c r="R24779"/>
      <c r="S24779"/>
      <c r="T24779"/>
      <c r="U24779"/>
      <c r="X24779" s="60"/>
    </row>
    <row r="24780" spans="7:24" ht="15" customHeight="1">
      <c r="G24780"/>
      <c r="I24780"/>
      <c r="N24780"/>
      <c r="O24780" s="24"/>
      <c r="P24780"/>
      <c r="Q24780" s="24"/>
      <c r="R24780"/>
      <c r="S24780"/>
      <c r="T24780"/>
      <c r="U24780"/>
      <c r="X24780" s="60"/>
    </row>
    <row r="24781" spans="7:24" ht="15" customHeight="1">
      <c r="G24781"/>
      <c r="I24781"/>
      <c r="N24781"/>
      <c r="O24781" s="24"/>
      <c r="P24781"/>
      <c r="Q24781" s="24"/>
      <c r="R24781"/>
      <c r="S24781"/>
      <c r="T24781"/>
      <c r="U24781"/>
      <c r="X24781" s="60"/>
    </row>
    <row r="24782" spans="7:24" ht="15" customHeight="1">
      <c r="G24782"/>
      <c r="I24782"/>
      <c r="N24782"/>
      <c r="O24782" s="24"/>
      <c r="P24782"/>
      <c r="Q24782" s="24"/>
      <c r="R24782"/>
      <c r="S24782"/>
      <c r="T24782"/>
      <c r="U24782"/>
      <c r="X24782" s="60"/>
    </row>
    <row r="24783" spans="7:24" ht="15" customHeight="1">
      <c r="G24783"/>
      <c r="I24783"/>
      <c r="N24783"/>
      <c r="O24783" s="24"/>
      <c r="P24783"/>
      <c r="Q24783" s="24"/>
      <c r="R24783"/>
      <c r="S24783"/>
      <c r="T24783"/>
      <c r="U24783"/>
      <c r="X24783" s="60"/>
    </row>
    <row r="24784" spans="7:24" ht="15" customHeight="1">
      <c r="G24784"/>
      <c r="I24784"/>
      <c r="N24784"/>
      <c r="O24784" s="24"/>
      <c r="P24784"/>
      <c r="Q24784" s="24"/>
      <c r="R24784"/>
      <c r="S24784"/>
      <c r="T24784"/>
      <c r="U24784"/>
      <c r="X24784" s="60"/>
    </row>
    <row r="24785" spans="7:24" ht="15" customHeight="1">
      <c r="G24785"/>
      <c r="I24785"/>
      <c r="N24785"/>
      <c r="O24785" s="24"/>
      <c r="P24785"/>
      <c r="Q24785" s="24"/>
      <c r="R24785"/>
      <c r="S24785"/>
      <c r="T24785"/>
      <c r="U24785"/>
      <c r="X24785" s="60"/>
    </row>
    <row r="24786" spans="7:24" ht="15" customHeight="1">
      <c r="G24786"/>
      <c r="I24786"/>
      <c r="N24786"/>
      <c r="O24786" s="24"/>
      <c r="P24786"/>
      <c r="Q24786" s="24"/>
      <c r="R24786"/>
      <c r="S24786"/>
      <c r="T24786"/>
      <c r="U24786"/>
      <c r="X24786" s="60"/>
    </row>
    <row r="24787" spans="7:24" ht="15" customHeight="1">
      <c r="G24787"/>
      <c r="I24787"/>
      <c r="N24787"/>
      <c r="O24787" s="24"/>
      <c r="P24787"/>
      <c r="Q24787" s="24"/>
      <c r="R24787"/>
      <c r="S24787"/>
      <c r="T24787"/>
      <c r="U24787"/>
      <c r="X24787" s="60"/>
    </row>
    <row r="24788" spans="7:24" ht="15" customHeight="1">
      <c r="G24788"/>
      <c r="I24788"/>
      <c r="N24788"/>
      <c r="O24788" s="24"/>
      <c r="P24788"/>
      <c r="Q24788" s="24"/>
      <c r="R24788"/>
      <c r="S24788"/>
      <c r="T24788"/>
      <c r="U24788"/>
      <c r="X24788" s="60"/>
    </row>
    <row r="24789" spans="7:24" ht="15" customHeight="1">
      <c r="G24789"/>
      <c r="I24789"/>
      <c r="N24789"/>
      <c r="O24789" s="24"/>
      <c r="P24789"/>
      <c r="Q24789" s="24"/>
      <c r="R24789"/>
      <c r="S24789"/>
      <c r="T24789"/>
      <c r="U24789"/>
      <c r="X24789" s="60"/>
    </row>
    <row r="24790" spans="7:24" ht="15" customHeight="1">
      <c r="G24790"/>
      <c r="I24790"/>
      <c r="N24790"/>
      <c r="O24790" s="24"/>
      <c r="P24790"/>
      <c r="Q24790" s="24"/>
      <c r="R24790"/>
      <c r="S24790"/>
      <c r="T24790"/>
      <c r="U24790"/>
      <c r="X24790" s="60"/>
    </row>
    <row r="24791" spans="7:24" ht="15" customHeight="1">
      <c r="G24791"/>
      <c r="I24791"/>
      <c r="N24791"/>
      <c r="O24791" s="24"/>
      <c r="P24791"/>
      <c r="Q24791" s="24"/>
      <c r="R24791"/>
      <c r="S24791"/>
      <c r="T24791"/>
      <c r="U24791"/>
      <c r="X24791" s="60"/>
    </row>
    <row r="24792" spans="7:24" ht="15" customHeight="1">
      <c r="G24792"/>
      <c r="I24792"/>
      <c r="N24792"/>
      <c r="O24792" s="24"/>
      <c r="P24792"/>
      <c r="Q24792" s="24"/>
      <c r="R24792"/>
      <c r="S24792"/>
      <c r="T24792"/>
      <c r="U24792"/>
      <c r="X24792" s="60"/>
    </row>
    <row r="24793" spans="7:24" ht="15" customHeight="1">
      <c r="G24793"/>
      <c r="I24793"/>
      <c r="N24793"/>
      <c r="O24793" s="24"/>
      <c r="P24793"/>
      <c r="Q24793" s="24"/>
      <c r="R24793"/>
      <c r="S24793"/>
      <c r="T24793"/>
      <c r="U24793"/>
      <c r="X24793" s="60"/>
    </row>
    <row r="24794" spans="7:24" ht="15" customHeight="1">
      <c r="G24794"/>
      <c r="I24794"/>
      <c r="N24794"/>
      <c r="O24794" s="24"/>
      <c r="P24794"/>
      <c r="Q24794" s="24"/>
      <c r="R24794"/>
      <c r="S24794"/>
      <c r="T24794"/>
      <c r="U24794"/>
      <c r="X24794" s="60"/>
    </row>
    <row r="24795" spans="7:24" ht="15" customHeight="1">
      <c r="G24795"/>
      <c r="I24795"/>
      <c r="N24795"/>
      <c r="O24795" s="24"/>
      <c r="P24795"/>
      <c r="Q24795" s="24"/>
      <c r="R24795"/>
      <c r="S24795"/>
      <c r="T24795"/>
      <c r="U24795"/>
      <c r="X24795" s="60"/>
    </row>
    <row r="24796" spans="7:24" ht="15" customHeight="1">
      <c r="G24796"/>
      <c r="I24796"/>
      <c r="N24796"/>
      <c r="O24796" s="24"/>
      <c r="P24796"/>
      <c r="Q24796" s="24"/>
      <c r="R24796"/>
      <c r="S24796"/>
      <c r="T24796"/>
      <c r="U24796"/>
      <c r="X24796" s="60"/>
    </row>
    <row r="24797" spans="7:24" ht="15" customHeight="1">
      <c r="G24797"/>
      <c r="I24797"/>
      <c r="N24797"/>
      <c r="O24797" s="24"/>
      <c r="P24797"/>
      <c r="Q24797" s="24"/>
      <c r="R24797"/>
      <c r="S24797"/>
      <c r="T24797"/>
      <c r="U24797"/>
      <c r="X24797" s="60"/>
    </row>
    <row r="24798" spans="7:24" ht="15" customHeight="1">
      <c r="G24798"/>
      <c r="I24798"/>
      <c r="N24798"/>
      <c r="O24798" s="24"/>
      <c r="P24798"/>
      <c r="Q24798" s="24"/>
      <c r="R24798"/>
      <c r="S24798"/>
      <c r="T24798"/>
      <c r="U24798"/>
      <c r="X24798" s="60"/>
    </row>
    <row r="24799" spans="7:24" ht="15" customHeight="1">
      <c r="G24799"/>
      <c r="I24799"/>
      <c r="N24799"/>
      <c r="O24799" s="24"/>
      <c r="P24799"/>
      <c r="Q24799" s="24"/>
      <c r="R24799"/>
      <c r="S24799"/>
      <c r="T24799"/>
      <c r="U24799"/>
      <c r="X24799" s="60"/>
    </row>
    <row r="24800" spans="7:24" ht="15" customHeight="1">
      <c r="G24800"/>
      <c r="I24800"/>
      <c r="N24800"/>
      <c r="O24800" s="24"/>
      <c r="P24800"/>
      <c r="Q24800" s="24"/>
      <c r="R24800"/>
      <c r="S24800"/>
      <c r="T24800"/>
      <c r="U24800"/>
      <c r="X24800" s="60"/>
    </row>
    <row r="24801" spans="7:24" ht="15" customHeight="1">
      <c r="G24801"/>
      <c r="I24801"/>
      <c r="N24801"/>
      <c r="O24801" s="24"/>
      <c r="P24801"/>
      <c r="Q24801" s="24"/>
      <c r="R24801"/>
      <c r="S24801"/>
      <c r="T24801"/>
      <c r="U24801"/>
      <c r="X24801" s="60"/>
    </row>
    <row r="24802" spans="7:24" ht="15" customHeight="1">
      <c r="G24802"/>
      <c r="I24802"/>
      <c r="N24802"/>
      <c r="O24802" s="24"/>
      <c r="P24802"/>
      <c r="Q24802" s="24"/>
      <c r="R24802"/>
      <c r="S24802"/>
      <c r="T24802"/>
      <c r="U24802"/>
      <c r="X24802" s="60"/>
    </row>
    <row r="24803" spans="7:24" ht="15" customHeight="1">
      <c r="G24803"/>
      <c r="I24803"/>
      <c r="N24803"/>
      <c r="O24803" s="24"/>
      <c r="P24803"/>
      <c r="Q24803" s="24"/>
      <c r="R24803"/>
      <c r="S24803"/>
      <c r="T24803"/>
      <c r="U24803"/>
      <c r="X24803" s="60"/>
    </row>
    <row r="24804" spans="7:24" ht="15" customHeight="1">
      <c r="G24804"/>
      <c r="I24804"/>
      <c r="N24804"/>
      <c r="O24804" s="24"/>
      <c r="P24804"/>
      <c r="Q24804" s="24"/>
      <c r="R24804"/>
      <c r="S24804"/>
      <c r="T24804"/>
      <c r="U24804"/>
      <c r="X24804" s="60"/>
    </row>
    <row r="24805" spans="7:24" ht="15" customHeight="1">
      <c r="G24805"/>
      <c r="I24805"/>
      <c r="N24805"/>
      <c r="O24805" s="24"/>
      <c r="P24805"/>
      <c r="Q24805" s="24"/>
      <c r="R24805"/>
      <c r="S24805"/>
      <c r="T24805"/>
      <c r="U24805"/>
      <c r="X24805" s="60"/>
    </row>
    <row r="24806" spans="7:24" ht="15" customHeight="1">
      <c r="G24806"/>
      <c r="I24806"/>
      <c r="N24806"/>
      <c r="O24806" s="24"/>
      <c r="P24806"/>
      <c r="Q24806" s="24"/>
      <c r="R24806"/>
      <c r="S24806"/>
      <c r="T24806"/>
      <c r="U24806"/>
      <c r="X24806" s="60"/>
    </row>
    <row r="24807" spans="7:24" ht="15" customHeight="1">
      <c r="G24807"/>
      <c r="I24807"/>
      <c r="N24807"/>
      <c r="O24807" s="24"/>
      <c r="P24807"/>
      <c r="Q24807" s="24"/>
      <c r="R24807"/>
      <c r="S24807"/>
      <c r="T24807"/>
      <c r="U24807"/>
      <c r="X24807" s="60"/>
    </row>
    <row r="24808" spans="7:24" ht="15" customHeight="1">
      <c r="G24808"/>
      <c r="I24808"/>
      <c r="N24808"/>
      <c r="O24808" s="24"/>
      <c r="P24808"/>
      <c r="Q24808" s="24"/>
      <c r="R24808"/>
      <c r="S24808"/>
      <c r="T24808"/>
      <c r="U24808"/>
      <c r="X24808" s="60"/>
    </row>
    <row r="24809" spans="7:24" ht="15" customHeight="1">
      <c r="G24809"/>
      <c r="I24809"/>
      <c r="N24809"/>
      <c r="O24809" s="24"/>
      <c r="P24809"/>
      <c r="Q24809" s="24"/>
      <c r="R24809"/>
      <c r="S24809"/>
      <c r="T24809"/>
      <c r="U24809"/>
      <c r="X24809" s="60"/>
    </row>
    <row r="24810" spans="7:24" ht="15" customHeight="1">
      <c r="G24810"/>
      <c r="I24810"/>
      <c r="N24810"/>
      <c r="O24810" s="24"/>
      <c r="P24810"/>
      <c r="Q24810" s="24"/>
      <c r="R24810"/>
      <c r="S24810"/>
      <c r="T24810"/>
      <c r="U24810"/>
      <c r="X24810" s="60"/>
    </row>
    <row r="24811" spans="7:24" ht="15" customHeight="1">
      <c r="G24811"/>
      <c r="I24811"/>
      <c r="N24811"/>
      <c r="O24811" s="24"/>
      <c r="P24811"/>
      <c r="Q24811" s="24"/>
      <c r="R24811"/>
      <c r="S24811"/>
      <c r="T24811"/>
      <c r="U24811"/>
      <c r="X24811" s="60"/>
    </row>
    <row r="24812" spans="7:24" ht="15" customHeight="1">
      <c r="G24812"/>
      <c r="I24812"/>
      <c r="N24812"/>
      <c r="O24812" s="24"/>
      <c r="P24812"/>
      <c r="Q24812" s="24"/>
      <c r="R24812"/>
      <c r="S24812"/>
      <c r="T24812"/>
      <c r="U24812"/>
      <c r="X24812" s="60"/>
    </row>
    <row r="24813" spans="7:24" ht="15" customHeight="1">
      <c r="G24813"/>
      <c r="I24813"/>
      <c r="N24813"/>
      <c r="O24813" s="24"/>
      <c r="P24813"/>
      <c r="Q24813" s="24"/>
      <c r="R24813"/>
      <c r="S24813"/>
      <c r="T24813"/>
      <c r="U24813"/>
      <c r="X24813" s="60"/>
    </row>
    <row r="24814" spans="7:24" ht="15" customHeight="1">
      <c r="G24814"/>
      <c r="I24814"/>
      <c r="N24814"/>
      <c r="O24814" s="24"/>
      <c r="P24814"/>
      <c r="Q24814" s="24"/>
      <c r="R24814"/>
      <c r="S24814"/>
      <c r="T24814"/>
      <c r="U24814"/>
      <c r="X24814" s="60"/>
    </row>
    <row r="24815" spans="7:24" ht="15" customHeight="1">
      <c r="G24815"/>
      <c r="I24815"/>
      <c r="N24815"/>
      <c r="O24815" s="24"/>
      <c r="P24815"/>
      <c r="Q24815" s="24"/>
      <c r="R24815"/>
      <c r="S24815"/>
      <c r="T24815"/>
      <c r="U24815"/>
      <c r="X24815" s="60"/>
    </row>
    <row r="24816" spans="7:24" ht="15" customHeight="1">
      <c r="G24816"/>
      <c r="I24816"/>
      <c r="N24816"/>
      <c r="O24816" s="24"/>
      <c r="P24816"/>
      <c r="Q24816" s="24"/>
      <c r="R24816"/>
      <c r="S24816"/>
      <c r="T24816"/>
      <c r="U24816"/>
      <c r="X24816" s="60"/>
    </row>
    <row r="24817" spans="7:24" ht="15" customHeight="1">
      <c r="G24817"/>
      <c r="I24817"/>
      <c r="N24817"/>
      <c r="O24817" s="24"/>
      <c r="P24817"/>
      <c r="Q24817" s="24"/>
      <c r="R24817"/>
      <c r="S24817"/>
      <c r="T24817"/>
      <c r="U24817"/>
      <c r="X24817" s="60"/>
    </row>
    <row r="24818" spans="7:24" ht="15" customHeight="1">
      <c r="G24818"/>
      <c r="I24818"/>
      <c r="N24818"/>
      <c r="O24818" s="24"/>
      <c r="P24818"/>
      <c r="Q24818" s="24"/>
      <c r="R24818"/>
      <c r="S24818"/>
      <c r="T24818"/>
      <c r="U24818"/>
      <c r="X24818" s="60"/>
    </row>
    <row r="24819" spans="7:24" ht="15" customHeight="1">
      <c r="G24819"/>
      <c r="I24819"/>
      <c r="N24819"/>
      <c r="O24819" s="24"/>
      <c r="P24819"/>
      <c r="Q24819" s="24"/>
      <c r="R24819"/>
      <c r="S24819"/>
      <c r="T24819"/>
      <c r="U24819"/>
      <c r="X24819" s="60"/>
    </row>
    <row r="24820" spans="7:24" ht="15" customHeight="1">
      <c r="G24820"/>
      <c r="I24820"/>
      <c r="N24820"/>
      <c r="O24820" s="24"/>
      <c r="P24820"/>
      <c r="Q24820" s="24"/>
      <c r="R24820"/>
      <c r="S24820"/>
      <c r="T24820"/>
      <c r="U24820"/>
      <c r="X24820" s="60"/>
    </row>
    <row r="24821" spans="7:24" ht="15" customHeight="1">
      <c r="G24821"/>
      <c r="I24821"/>
      <c r="N24821"/>
      <c r="O24821" s="24"/>
      <c r="P24821"/>
      <c r="Q24821" s="24"/>
      <c r="R24821"/>
      <c r="S24821"/>
      <c r="T24821"/>
      <c r="U24821"/>
      <c r="X24821" s="60"/>
    </row>
    <row r="24822" spans="7:24" ht="15" customHeight="1">
      <c r="G24822"/>
      <c r="I24822"/>
      <c r="N24822"/>
      <c r="O24822" s="24"/>
      <c r="P24822"/>
      <c r="Q24822" s="24"/>
      <c r="R24822"/>
      <c r="S24822"/>
      <c r="T24822"/>
      <c r="U24822"/>
      <c r="X24822" s="60"/>
    </row>
    <row r="24823" spans="7:24" ht="15" customHeight="1">
      <c r="G24823"/>
      <c r="I24823"/>
      <c r="N24823"/>
      <c r="O24823" s="24"/>
      <c r="P24823"/>
      <c r="Q24823" s="24"/>
      <c r="R24823"/>
      <c r="S24823"/>
      <c r="T24823"/>
      <c r="U24823"/>
      <c r="X24823" s="60"/>
    </row>
    <row r="24824" spans="7:24" ht="15" customHeight="1">
      <c r="G24824"/>
      <c r="I24824"/>
      <c r="N24824"/>
      <c r="O24824" s="24"/>
      <c r="P24824"/>
      <c r="Q24824" s="24"/>
      <c r="R24824"/>
      <c r="S24824"/>
      <c r="T24824"/>
      <c r="U24824"/>
      <c r="X24824" s="60"/>
    </row>
    <row r="24825" spans="7:24" ht="15" customHeight="1">
      <c r="G24825"/>
      <c r="I24825"/>
      <c r="N24825"/>
      <c r="O24825" s="24"/>
      <c r="P24825"/>
      <c r="Q24825" s="24"/>
      <c r="R24825"/>
      <c r="S24825"/>
      <c r="T24825"/>
      <c r="U24825"/>
      <c r="X24825" s="60"/>
    </row>
    <row r="24826" spans="7:24" ht="15" customHeight="1">
      <c r="G24826"/>
      <c r="I24826"/>
      <c r="N24826"/>
      <c r="O24826" s="24"/>
      <c r="P24826"/>
      <c r="Q24826" s="24"/>
      <c r="R24826"/>
      <c r="S24826"/>
      <c r="T24826"/>
      <c r="U24826"/>
      <c r="X24826" s="60"/>
    </row>
    <row r="24827" spans="7:24" ht="15" customHeight="1">
      <c r="G24827"/>
      <c r="I24827"/>
      <c r="N24827"/>
      <c r="O24827" s="24"/>
      <c r="P24827"/>
      <c r="Q24827" s="24"/>
      <c r="R24827"/>
      <c r="S24827"/>
      <c r="T24827"/>
      <c r="U24827"/>
      <c r="X24827" s="60"/>
    </row>
    <row r="24828" spans="7:24" ht="15" customHeight="1">
      <c r="G24828"/>
      <c r="I24828"/>
      <c r="N24828"/>
      <c r="O24828" s="24"/>
      <c r="P24828"/>
      <c r="Q24828" s="24"/>
      <c r="R24828"/>
      <c r="S24828"/>
      <c r="T24828"/>
      <c r="U24828"/>
      <c r="X24828" s="60"/>
    </row>
    <row r="24829" spans="7:24" ht="15" customHeight="1">
      <c r="G24829"/>
      <c r="I24829"/>
      <c r="N24829"/>
      <c r="O24829" s="24"/>
      <c r="P24829"/>
      <c r="Q24829" s="24"/>
      <c r="R24829"/>
      <c r="S24829"/>
      <c r="T24829"/>
      <c r="U24829"/>
      <c r="X24829" s="60"/>
    </row>
    <row r="24830" spans="7:24" ht="15" customHeight="1">
      <c r="G24830"/>
      <c r="I24830"/>
      <c r="N24830"/>
      <c r="O24830" s="24"/>
      <c r="P24830"/>
      <c r="Q24830" s="24"/>
      <c r="R24830"/>
      <c r="S24830"/>
      <c r="T24830"/>
      <c r="U24830"/>
      <c r="X24830" s="60"/>
    </row>
    <row r="24831" spans="7:24" ht="15" customHeight="1">
      <c r="G24831"/>
      <c r="I24831"/>
      <c r="N24831"/>
      <c r="O24831" s="24"/>
      <c r="P24831"/>
      <c r="Q24831" s="24"/>
      <c r="R24831"/>
      <c r="S24831"/>
      <c r="T24831"/>
      <c r="U24831"/>
      <c r="X24831" s="60"/>
    </row>
    <row r="24832" spans="7:24" ht="15" customHeight="1">
      <c r="G24832"/>
      <c r="I24832"/>
      <c r="N24832"/>
      <c r="O24832" s="24"/>
      <c r="P24832"/>
      <c r="Q24832" s="24"/>
      <c r="R24832"/>
      <c r="S24832"/>
      <c r="T24832"/>
      <c r="U24832"/>
      <c r="X24832" s="60"/>
    </row>
    <row r="24833" spans="7:24" ht="15" customHeight="1">
      <c r="G24833"/>
      <c r="I24833"/>
      <c r="N24833"/>
      <c r="O24833" s="24"/>
      <c r="P24833"/>
      <c r="Q24833" s="24"/>
      <c r="R24833"/>
      <c r="S24833"/>
      <c r="T24833"/>
      <c r="U24833"/>
      <c r="X24833" s="60"/>
    </row>
    <row r="24834" spans="7:24" ht="15" customHeight="1">
      <c r="G24834"/>
      <c r="I24834"/>
      <c r="N24834"/>
      <c r="O24834" s="24"/>
      <c r="P24834"/>
      <c r="Q24834" s="24"/>
      <c r="R24834"/>
      <c r="S24834"/>
      <c r="T24834"/>
      <c r="U24834"/>
      <c r="X24834" s="60"/>
    </row>
    <row r="24835" spans="7:24" ht="15" customHeight="1">
      <c r="G24835"/>
      <c r="I24835"/>
      <c r="N24835"/>
      <c r="O24835" s="24"/>
      <c r="P24835"/>
      <c r="Q24835" s="24"/>
      <c r="R24835"/>
      <c r="S24835"/>
      <c r="T24835"/>
      <c r="U24835"/>
      <c r="X24835" s="60"/>
    </row>
    <row r="24836" spans="7:24" ht="15" customHeight="1">
      <c r="G24836"/>
      <c r="I24836"/>
      <c r="N24836"/>
      <c r="O24836" s="24"/>
      <c r="P24836"/>
      <c r="Q24836" s="24"/>
      <c r="R24836"/>
      <c r="S24836"/>
      <c r="T24836"/>
      <c r="U24836"/>
      <c r="X24836" s="60"/>
    </row>
    <row r="24837" spans="7:24" ht="15" customHeight="1">
      <c r="G24837"/>
      <c r="I24837"/>
      <c r="N24837"/>
      <c r="O24837" s="24"/>
      <c r="P24837"/>
      <c r="Q24837" s="24"/>
      <c r="R24837"/>
      <c r="S24837"/>
      <c r="T24837"/>
      <c r="U24837"/>
      <c r="X24837" s="60"/>
    </row>
    <row r="24838" spans="7:24" ht="15" customHeight="1">
      <c r="G24838"/>
      <c r="I24838"/>
      <c r="N24838"/>
      <c r="O24838" s="24"/>
      <c r="P24838"/>
      <c r="Q24838" s="24"/>
      <c r="R24838"/>
      <c r="S24838"/>
      <c r="T24838"/>
      <c r="U24838"/>
      <c r="X24838" s="60"/>
    </row>
    <row r="24839" spans="7:24" ht="15" customHeight="1">
      <c r="G24839"/>
      <c r="I24839"/>
      <c r="N24839"/>
      <c r="O24839" s="24"/>
      <c r="P24839"/>
      <c r="Q24839" s="24"/>
      <c r="R24839"/>
      <c r="S24839"/>
      <c r="T24839"/>
      <c r="U24839"/>
      <c r="X24839" s="60"/>
    </row>
    <row r="24840" spans="7:24" ht="15" customHeight="1">
      <c r="G24840"/>
      <c r="I24840"/>
      <c r="N24840"/>
      <c r="O24840" s="24"/>
      <c r="P24840"/>
      <c r="Q24840" s="24"/>
      <c r="R24840"/>
      <c r="S24840"/>
      <c r="T24840"/>
      <c r="U24840"/>
      <c r="X24840" s="60"/>
    </row>
    <row r="24841" spans="7:24" ht="15" customHeight="1">
      <c r="G24841"/>
      <c r="I24841"/>
      <c r="N24841"/>
      <c r="O24841" s="24"/>
      <c r="P24841"/>
      <c r="Q24841" s="24"/>
      <c r="R24841"/>
      <c r="S24841"/>
      <c r="T24841"/>
      <c r="U24841"/>
      <c r="X24841" s="60"/>
    </row>
    <row r="24842" spans="7:24" ht="15" customHeight="1">
      <c r="G24842"/>
      <c r="I24842"/>
      <c r="N24842"/>
      <c r="O24842" s="24"/>
      <c r="P24842"/>
      <c r="Q24842" s="24"/>
      <c r="R24842"/>
      <c r="S24842"/>
      <c r="T24842"/>
      <c r="U24842"/>
      <c r="X24842" s="60"/>
    </row>
    <row r="24843" spans="7:24" ht="15" customHeight="1">
      <c r="G24843"/>
      <c r="I24843"/>
      <c r="N24843"/>
      <c r="O24843" s="24"/>
      <c r="P24843"/>
      <c r="Q24843" s="24"/>
      <c r="R24843"/>
      <c r="S24843"/>
      <c r="T24843"/>
      <c r="U24843"/>
      <c r="X24843" s="60"/>
    </row>
    <row r="24844" spans="7:24" ht="15" customHeight="1">
      <c r="G24844"/>
      <c r="I24844"/>
      <c r="N24844"/>
      <c r="O24844" s="24"/>
      <c r="P24844"/>
      <c r="Q24844" s="24"/>
      <c r="R24844"/>
      <c r="S24844"/>
      <c r="T24844"/>
      <c r="U24844"/>
      <c r="X24844" s="60"/>
    </row>
    <row r="24845" spans="7:24" ht="15" customHeight="1">
      <c r="G24845"/>
      <c r="I24845"/>
      <c r="N24845"/>
      <c r="O24845" s="24"/>
      <c r="P24845"/>
      <c r="Q24845" s="24"/>
      <c r="R24845"/>
      <c r="S24845"/>
      <c r="T24845"/>
      <c r="U24845"/>
      <c r="X24845" s="60"/>
    </row>
    <row r="24846" spans="7:24" ht="15" customHeight="1">
      <c r="G24846"/>
      <c r="I24846"/>
      <c r="N24846"/>
      <c r="O24846" s="24"/>
      <c r="P24846"/>
      <c r="Q24846" s="24"/>
      <c r="R24846"/>
      <c r="S24846"/>
      <c r="T24846"/>
      <c r="U24846"/>
      <c r="X24846" s="60"/>
    </row>
    <row r="24847" spans="7:24" ht="15" customHeight="1">
      <c r="G24847"/>
      <c r="I24847"/>
      <c r="N24847"/>
      <c r="O24847" s="24"/>
      <c r="P24847"/>
      <c r="Q24847" s="24"/>
      <c r="R24847"/>
      <c r="S24847"/>
      <c r="T24847"/>
      <c r="U24847"/>
      <c r="X24847" s="60"/>
    </row>
    <row r="24848" spans="7:24" ht="15" customHeight="1">
      <c r="G24848"/>
      <c r="I24848"/>
      <c r="N24848"/>
      <c r="O24848" s="24"/>
      <c r="P24848"/>
      <c r="Q24848" s="24"/>
      <c r="R24848"/>
      <c r="S24848"/>
      <c r="T24848"/>
      <c r="U24848"/>
      <c r="X24848" s="60"/>
    </row>
    <row r="24849" spans="7:24" ht="15" customHeight="1">
      <c r="G24849"/>
      <c r="I24849"/>
      <c r="N24849"/>
      <c r="O24849" s="24"/>
      <c r="P24849"/>
      <c r="Q24849" s="24"/>
      <c r="R24849"/>
      <c r="S24849"/>
      <c r="T24849"/>
      <c r="U24849"/>
      <c r="X24849" s="60"/>
    </row>
    <row r="24850" spans="7:24" ht="15" customHeight="1">
      <c r="G24850"/>
      <c r="I24850"/>
      <c r="N24850"/>
      <c r="O24850" s="24"/>
      <c r="P24850"/>
      <c r="Q24850" s="24"/>
      <c r="R24850"/>
      <c r="S24850"/>
      <c r="T24850"/>
      <c r="U24850"/>
      <c r="X24850" s="60"/>
    </row>
    <row r="24851" spans="7:24" ht="15" customHeight="1">
      <c r="G24851"/>
      <c r="I24851"/>
      <c r="N24851"/>
      <c r="O24851" s="24"/>
      <c r="P24851"/>
      <c r="Q24851" s="24"/>
      <c r="R24851"/>
      <c r="S24851"/>
      <c r="T24851"/>
      <c r="U24851"/>
      <c r="X24851" s="60"/>
    </row>
    <row r="24852" spans="7:24" ht="15" customHeight="1">
      <c r="G24852"/>
      <c r="I24852"/>
      <c r="N24852"/>
      <c r="O24852" s="24"/>
      <c r="P24852"/>
      <c r="Q24852" s="24"/>
      <c r="R24852"/>
      <c r="S24852"/>
      <c r="T24852"/>
      <c r="U24852"/>
      <c r="X24852" s="60"/>
    </row>
    <row r="24853" spans="7:24" ht="15" customHeight="1">
      <c r="G24853"/>
      <c r="I24853"/>
      <c r="N24853"/>
      <c r="O24853" s="24"/>
      <c r="P24853"/>
      <c r="Q24853" s="24"/>
      <c r="R24853"/>
      <c r="S24853"/>
      <c r="T24853"/>
      <c r="U24853"/>
      <c r="X24853" s="60"/>
    </row>
    <row r="24854" spans="7:24" ht="15" customHeight="1">
      <c r="G24854"/>
      <c r="I24854"/>
      <c r="N24854"/>
      <c r="O24854" s="24"/>
      <c r="P24854"/>
      <c r="Q24854" s="24"/>
      <c r="R24854"/>
      <c r="S24854"/>
      <c r="T24854"/>
      <c r="U24854"/>
      <c r="X24854" s="60"/>
    </row>
    <row r="24855" spans="7:24" ht="15" customHeight="1">
      <c r="G24855"/>
      <c r="I24855"/>
      <c r="N24855"/>
      <c r="O24855" s="24"/>
      <c r="P24855"/>
      <c r="Q24855" s="24"/>
      <c r="R24855"/>
      <c r="S24855"/>
      <c r="T24855"/>
      <c r="U24855"/>
      <c r="X24855" s="60"/>
    </row>
    <row r="24856" spans="7:24" ht="15" customHeight="1">
      <c r="G24856"/>
      <c r="I24856"/>
      <c r="N24856"/>
      <c r="O24856" s="24"/>
      <c r="P24856"/>
      <c r="Q24856" s="24"/>
      <c r="R24856"/>
      <c r="S24856"/>
      <c r="T24856"/>
      <c r="U24856"/>
      <c r="X24856" s="60"/>
    </row>
    <row r="24857" spans="7:24" ht="15" customHeight="1">
      <c r="G24857"/>
      <c r="I24857"/>
      <c r="N24857"/>
      <c r="O24857" s="24"/>
      <c r="P24857"/>
      <c r="Q24857" s="24"/>
      <c r="R24857"/>
      <c r="S24857"/>
      <c r="T24857"/>
      <c r="U24857"/>
      <c r="X24857" s="60"/>
    </row>
    <row r="24858" spans="7:24" ht="15" customHeight="1">
      <c r="G24858"/>
      <c r="I24858"/>
      <c r="N24858"/>
      <c r="O24858" s="24"/>
      <c r="P24858"/>
      <c r="Q24858" s="24"/>
      <c r="R24858"/>
      <c r="S24858"/>
      <c r="T24858"/>
      <c r="U24858"/>
      <c r="X24858" s="60"/>
    </row>
    <row r="24859" spans="7:24" ht="15" customHeight="1">
      <c r="G24859"/>
      <c r="I24859"/>
      <c r="N24859"/>
      <c r="O24859" s="24"/>
      <c r="P24859"/>
      <c r="Q24859" s="24"/>
      <c r="R24859"/>
      <c r="S24859"/>
      <c r="T24859"/>
      <c r="U24859"/>
      <c r="X24859" s="60"/>
    </row>
    <row r="24860" spans="7:24" ht="15" customHeight="1">
      <c r="G24860"/>
      <c r="I24860"/>
      <c r="N24860"/>
      <c r="O24860" s="24"/>
      <c r="P24860"/>
      <c r="Q24860" s="24"/>
      <c r="R24860"/>
      <c r="S24860"/>
      <c r="T24860"/>
      <c r="U24860"/>
      <c r="X24860" s="60"/>
    </row>
    <row r="24861" spans="7:24" ht="15" customHeight="1">
      <c r="G24861"/>
      <c r="I24861"/>
      <c r="N24861"/>
      <c r="O24861" s="24"/>
      <c r="P24861"/>
      <c r="Q24861" s="24"/>
      <c r="R24861"/>
      <c r="S24861"/>
      <c r="T24861"/>
      <c r="U24861"/>
      <c r="X24861" s="60"/>
    </row>
    <row r="24862" spans="7:24" ht="15" customHeight="1">
      <c r="G24862"/>
      <c r="I24862"/>
      <c r="N24862"/>
      <c r="O24862" s="24"/>
      <c r="P24862"/>
      <c r="Q24862" s="24"/>
      <c r="R24862"/>
      <c r="S24862"/>
      <c r="T24862"/>
      <c r="U24862"/>
      <c r="X24862" s="60"/>
    </row>
    <row r="24863" spans="7:24" ht="15" customHeight="1">
      <c r="G24863"/>
      <c r="I24863"/>
      <c r="N24863"/>
      <c r="O24863" s="24"/>
      <c r="P24863"/>
      <c r="Q24863" s="24"/>
      <c r="R24863"/>
      <c r="S24863"/>
      <c r="T24863"/>
      <c r="U24863"/>
      <c r="X24863" s="60"/>
    </row>
    <row r="24864" spans="7:24" ht="15" customHeight="1">
      <c r="G24864"/>
      <c r="I24864"/>
      <c r="N24864"/>
      <c r="O24864" s="24"/>
      <c r="P24864"/>
      <c r="Q24864" s="24"/>
      <c r="R24864"/>
      <c r="S24864"/>
      <c r="T24864"/>
      <c r="U24864"/>
      <c r="X24864" s="60"/>
    </row>
    <row r="24865" spans="7:24" ht="15" customHeight="1">
      <c r="G24865"/>
      <c r="I24865"/>
      <c r="N24865"/>
      <c r="O24865" s="24"/>
      <c r="P24865"/>
      <c r="Q24865" s="24"/>
      <c r="R24865"/>
      <c r="S24865"/>
      <c r="T24865"/>
      <c r="U24865"/>
      <c r="X24865" s="60"/>
    </row>
    <row r="24866" spans="7:24" ht="15" customHeight="1">
      <c r="G24866"/>
      <c r="I24866"/>
      <c r="N24866"/>
      <c r="O24866" s="24"/>
      <c r="P24866"/>
      <c r="Q24866" s="24"/>
      <c r="R24866"/>
      <c r="S24866"/>
      <c r="T24866"/>
      <c r="U24866"/>
      <c r="X24866" s="60"/>
    </row>
    <row r="24867" spans="7:24" ht="15" customHeight="1">
      <c r="G24867"/>
      <c r="I24867"/>
      <c r="N24867"/>
      <c r="O24867" s="24"/>
      <c r="P24867"/>
      <c r="Q24867" s="24"/>
      <c r="R24867"/>
      <c r="S24867"/>
      <c r="T24867"/>
      <c r="U24867"/>
      <c r="X24867" s="60"/>
    </row>
    <row r="24868" spans="7:24" ht="15" customHeight="1">
      <c r="G24868"/>
      <c r="I24868"/>
      <c r="N24868"/>
      <c r="O24868" s="24"/>
      <c r="P24868"/>
      <c r="Q24868" s="24"/>
      <c r="R24868"/>
      <c r="S24868"/>
      <c r="T24868"/>
      <c r="U24868"/>
      <c r="X24868" s="60"/>
    </row>
    <row r="24869" spans="7:24" ht="15" customHeight="1">
      <c r="G24869"/>
      <c r="I24869"/>
      <c r="N24869"/>
      <c r="O24869" s="24"/>
      <c r="P24869"/>
      <c r="Q24869" s="24"/>
      <c r="R24869"/>
      <c r="S24869"/>
      <c r="T24869"/>
      <c r="U24869"/>
      <c r="X24869" s="60"/>
    </row>
    <row r="24870" spans="7:24" ht="15" customHeight="1">
      <c r="G24870"/>
      <c r="I24870"/>
      <c r="N24870"/>
      <c r="O24870" s="24"/>
      <c r="P24870"/>
      <c r="Q24870" s="24"/>
      <c r="R24870"/>
      <c r="S24870"/>
      <c r="T24870"/>
      <c r="U24870"/>
      <c r="X24870" s="60"/>
    </row>
    <row r="24871" spans="7:24" ht="15" customHeight="1">
      <c r="G24871"/>
      <c r="I24871"/>
      <c r="N24871"/>
      <c r="O24871" s="24"/>
      <c r="P24871"/>
      <c r="Q24871" s="24"/>
      <c r="R24871"/>
      <c r="S24871"/>
      <c r="T24871"/>
      <c r="U24871"/>
      <c r="X24871" s="60"/>
    </row>
    <row r="24872" spans="7:24" ht="15" customHeight="1">
      <c r="G24872"/>
      <c r="I24872"/>
      <c r="N24872"/>
      <c r="O24872" s="24"/>
      <c r="P24872"/>
      <c r="Q24872" s="24"/>
      <c r="R24872"/>
      <c r="S24872"/>
      <c r="T24872"/>
      <c r="U24872"/>
      <c r="X24872" s="60"/>
    </row>
    <row r="24873" spans="7:24" ht="15" customHeight="1">
      <c r="G24873"/>
      <c r="I24873"/>
      <c r="N24873"/>
      <c r="O24873" s="24"/>
      <c r="P24873"/>
      <c r="Q24873" s="24"/>
      <c r="R24873"/>
      <c r="S24873"/>
      <c r="T24873"/>
      <c r="U24873"/>
      <c r="X24873" s="60"/>
    </row>
    <row r="24874" spans="7:24" ht="15" customHeight="1">
      <c r="G24874"/>
      <c r="I24874"/>
      <c r="N24874"/>
      <c r="O24874" s="24"/>
      <c r="P24874"/>
      <c r="Q24874" s="24"/>
      <c r="R24874"/>
      <c r="S24874"/>
      <c r="T24874"/>
      <c r="U24874"/>
      <c r="X24874" s="60"/>
    </row>
    <row r="24875" spans="7:24" ht="15" customHeight="1">
      <c r="G24875"/>
      <c r="I24875"/>
      <c r="N24875"/>
      <c r="O24875" s="24"/>
      <c r="P24875"/>
      <c r="Q24875" s="24"/>
      <c r="R24875"/>
      <c r="S24875"/>
      <c r="T24875"/>
      <c r="U24875"/>
      <c r="X24875" s="60"/>
    </row>
    <row r="24876" spans="7:24" ht="15" customHeight="1">
      <c r="G24876"/>
      <c r="I24876"/>
      <c r="N24876"/>
      <c r="O24876" s="24"/>
      <c r="P24876"/>
      <c r="Q24876" s="24"/>
      <c r="R24876"/>
      <c r="S24876"/>
      <c r="T24876"/>
      <c r="U24876"/>
      <c r="X24876" s="60"/>
    </row>
    <row r="24877" spans="7:24" ht="15" customHeight="1">
      <c r="G24877"/>
      <c r="I24877"/>
      <c r="N24877"/>
      <c r="O24877" s="24"/>
      <c r="P24877"/>
      <c r="Q24877" s="24"/>
      <c r="R24877"/>
      <c r="S24877"/>
      <c r="T24877"/>
      <c r="U24877"/>
      <c r="X24877" s="60"/>
    </row>
    <row r="24878" spans="7:24" ht="15" customHeight="1">
      <c r="G24878"/>
      <c r="I24878"/>
      <c r="N24878"/>
      <c r="O24878" s="24"/>
      <c r="P24878"/>
      <c r="Q24878" s="24"/>
      <c r="R24878"/>
      <c r="S24878"/>
      <c r="T24878"/>
      <c r="U24878"/>
      <c r="X24878" s="60"/>
    </row>
    <row r="24879" spans="7:24" ht="15" customHeight="1">
      <c r="G24879"/>
      <c r="I24879"/>
      <c r="N24879"/>
      <c r="O24879" s="24"/>
      <c r="P24879"/>
      <c r="Q24879" s="24"/>
      <c r="R24879"/>
      <c r="S24879"/>
      <c r="T24879"/>
      <c r="U24879"/>
      <c r="X24879" s="60"/>
    </row>
    <row r="24880" spans="7:24" ht="15" customHeight="1">
      <c r="G24880"/>
      <c r="I24880"/>
      <c r="N24880"/>
      <c r="O24880" s="24"/>
      <c r="P24880"/>
      <c r="Q24880" s="24"/>
      <c r="R24880"/>
      <c r="S24880"/>
      <c r="T24880"/>
      <c r="U24880"/>
      <c r="X24880" s="60"/>
    </row>
    <row r="24881" spans="7:24" ht="15" customHeight="1">
      <c r="G24881"/>
      <c r="I24881"/>
      <c r="N24881"/>
      <c r="O24881" s="24"/>
      <c r="P24881"/>
      <c r="Q24881" s="24"/>
      <c r="R24881"/>
      <c r="S24881"/>
      <c r="T24881"/>
      <c r="U24881"/>
      <c r="X24881" s="60"/>
    </row>
    <row r="24882" spans="7:24" ht="15" customHeight="1">
      <c r="G24882"/>
      <c r="I24882"/>
      <c r="N24882"/>
      <c r="O24882" s="24"/>
      <c r="P24882"/>
      <c r="Q24882" s="24"/>
      <c r="R24882"/>
      <c r="S24882"/>
      <c r="T24882"/>
      <c r="U24882"/>
      <c r="X24882" s="60"/>
    </row>
    <row r="24883" spans="7:24" ht="15" customHeight="1">
      <c r="G24883"/>
      <c r="I24883"/>
      <c r="N24883"/>
      <c r="O24883" s="24"/>
      <c r="P24883"/>
      <c r="Q24883" s="24"/>
      <c r="R24883"/>
      <c r="S24883"/>
      <c r="T24883"/>
      <c r="U24883"/>
      <c r="X24883" s="60"/>
    </row>
    <row r="24884" spans="7:24" ht="15" customHeight="1">
      <c r="G24884"/>
      <c r="I24884"/>
      <c r="N24884"/>
      <c r="O24884" s="24"/>
      <c r="P24884"/>
      <c r="Q24884" s="24"/>
      <c r="R24884"/>
      <c r="S24884"/>
      <c r="T24884"/>
      <c r="U24884"/>
      <c r="X24884" s="60"/>
    </row>
    <row r="24885" spans="7:24" ht="15" customHeight="1">
      <c r="G24885"/>
      <c r="I24885"/>
      <c r="N24885"/>
      <c r="O24885" s="24"/>
      <c r="P24885"/>
      <c r="Q24885" s="24"/>
      <c r="R24885"/>
      <c r="S24885"/>
      <c r="T24885"/>
      <c r="U24885"/>
      <c r="X24885" s="60"/>
    </row>
    <row r="24886" spans="7:24" ht="15" customHeight="1">
      <c r="G24886"/>
      <c r="I24886"/>
      <c r="N24886"/>
      <c r="O24886" s="24"/>
      <c r="P24886"/>
      <c r="Q24886" s="24"/>
      <c r="R24886"/>
      <c r="S24886"/>
      <c r="T24886"/>
      <c r="U24886"/>
      <c r="X24886" s="60"/>
    </row>
    <row r="24887" spans="7:24" ht="15" customHeight="1">
      <c r="G24887"/>
      <c r="I24887"/>
      <c r="N24887"/>
      <c r="O24887" s="24"/>
      <c r="P24887"/>
      <c r="Q24887" s="24"/>
      <c r="R24887"/>
      <c r="S24887"/>
      <c r="T24887"/>
      <c r="U24887"/>
      <c r="X24887" s="60"/>
    </row>
    <row r="24888" spans="7:24" ht="15" customHeight="1">
      <c r="G24888"/>
      <c r="I24888"/>
      <c r="N24888"/>
      <c r="O24888" s="24"/>
      <c r="P24888"/>
      <c r="Q24888" s="24"/>
      <c r="R24888"/>
      <c r="S24888"/>
      <c r="T24888"/>
      <c r="U24888"/>
      <c r="X24888" s="60"/>
    </row>
    <row r="24889" spans="7:24" ht="15" customHeight="1">
      <c r="G24889"/>
      <c r="I24889"/>
      <c r="N24889"/>
      <c r="O24889" s="24"/>
      <c r="P24889"/>
      <c r="Q24889" s="24"/>
      <c r="R24889"/>
      <c r="S24889"/>
      <c r="T24889"/>
      <c r="U24889"/>
      <c r="X24889" s="60"/>
    </row>
    <row r="24890" spans="7:24" ht="15" customHeight="1">
      <c r="G24890"/>
      <c r="I24890"/>
      <c r="N24890"/>
      <c r="O24890" s="24"/>
      <c r="P24890"/>
      <c r="Q24890" s="24"/>
      <c r="R24890"/>
      <c r="S24890"/>
      <c r="T24890"/>
      <c r="U24890"/>
      <c r="X24890" s="60"/>
    </row>
    <row r="24891" spans="7:24" ht="15" customHeight="1">
      <c r="G24891"/>
      <c r="I24891"/>
      <c r="N24891"/>
      <c r="O24891" s="24"/>
      <c r="P24891"/>
      <c r="Q24891" s="24"/>
      <c r="R24891"/>
      <c r="S24891"/>
      <c r="T24891"/>
      <c r="U24891"/>
      <c r="X24891" s="60"/>
    </row>
    <row r="24892" spans="7:24" ht="15" customHeight="1">
      <c r="G24892"/>
      <c r="I24892"/>
      <c r="N24892"/>
      <c r="O24892" s="24"/>
      <c r="P24892"/>
      <c r="Q24892" s="24"/>
      <c r="R24892"/>
      <c r="S24892"/>
      <c r="T24892"/>
      <c r="U24892"/>
      <c r="X24892" s="60"/>
    </row>
    <row r="24893" spans="7:24" ht="15" customHeight="1">
      <c r="G24893"/>
      <c r="I24893"/>
      <c r="N24893"/>
      <c r="O24893" s="24"/>
      <c r="P24893"/>
      <c r="Q24893" s="24"/>
      <c r="R24893"/>
      <c r="S24893"/>
      <c r="T24893"/>
      <c r="U24893"/>
      <c r="X24893" s="60"/>
    </row>
    <row r="24894" spans="7:24" ht="15" customHeight="1">
      <c r="G24894"/>
      <c r="I24894"/>
      <c r="N24894"/>
      <c r="O24894" s="24"/>
      <c r="P24894"/>
      <c r="Q24894" s="24"/>
      <c r="R24894"/>
      <c r="S24894"/>
      <c r="T24894"/>
      <c r="U24894"/>
      <c r="X24894" s="60"/>
    </row>
    <row r="24895" spans="7:24" ht="15" customHeight="1">
      <c r="G24895"/>
      <c r="I24895"/>
      <c r="N24895"/>
      <c r="O24895" s="24"/>
      <c r="P24895"/>
      <c r="Q24895" s="24"/>
      <c r="R24895"/>
      <c r="S24895"/>
      <c r="T24895"/>
      <c r="U24895"/>
      <c r="X24895" s="60"/>
    </row>
    <row r="24896" spans="7:24" ht="15" customHeight="1">
      <c r="G24896"/>
      <c r="I24896"/>
      <c r="N24896"/>
      <c r="O24896" s="24"/>
      <c r="P24896"/>
      <c r="Q24896" s="24"/>
      <c r="R24896"/>
      <c r="S24896"/>
      <c r="T24896"/>
      <c r="U24896"/>
      <c r="X24896" s="60"/>
    </row>
    <row r="24897" spans="7:24" ht="15" customHeight="1">
      <c r="G24897"/>
      <c r="I24897"/>
      <c r="N24897"/>
      <c r="O24897" s="24"/>
      <c r="P24897"/>
      <c r="Q24897" s="24"/>
      <c r="R24897"/>
      <c r="S24897"/>
      <c r="T24897"/>
      <c r="U24897"/>
      <c r="X24897" s="60"/>
    </row>
    <row r="24898" spans="7:24" ht="15" customHeight="1">
      <c r="G24898"/>
      <c r="I24898"/>
      <c r="N24898"/>
      <c r="O24898" s="24"/>
      <c r="P24898"/>
      <c r="Q24898" s="24"/>
      <c r="R24898"/>
      <c r="S24898"/>
      <c r="T24898"/>
      <c r="U24898"/>
      <c r="X24898" s="60"/>
    </row>
    <row r="24899" spans="7:24" ht="15" customHeight="1">
      <c r="G24899"/>
      <c r="I24899"/>
      <c r="N24899"/>
      <c r="O24899" s="24"/>
      <c r="P24899"/>
      <c r="Q24899" s="24"/>
      <c r="R24899"/>
      <c r="S24899"/>
      <c r="T24899"/>
      <c r="U24899"/>
      <c r="X24899" s="60"/>
    </row>
    <row r="24900" spans="7:24" ht="15" customHeight="1">
      <c r="G24900"/>
      <c r="I24900"/>
      <c r="N24900"/>
      <c r="O24900" s="24"/>
      <c r="P24900"/>
      <c r="Q24900" s="24"/>
      <c r="R24900"/>
      <c r="S24900"/>
      <c r="T24900"/>
      <c r="U24900"/>
      <c r="X24900" s="60"/>
    </row>
    <row r="24901" spans="7:24" ht="15" customHeight="1">
      <c r="G24901"/>
      <c r="I24901"/>
      <c r="N24901"/>
      <c r="O24901" s="24"/>
      <c r="P24901"/>
      <c r="Q24901" s="24"/>
      <c r="R24901"/>
      <c r="S24901"/>
      <c r="T24901"/>
      <c r="U24901"/>
      <c r="X24901" s="60"/>
    </row>
    <row r="24902" spans="7:24" ht="15" customHeight="1">
      <c r="G24902"/>
      <c r="I24902"/>
      <c r="N24902"/>
      <c r="O24902" s="24"/>
      <c r="P24902"/>
      <c r="Q24902" s="24"/>
      <c r="R24902"/>
      <c r="S24902"/>
      <c r="T24902"/>
      <c r="U24902"/>
      <c r="X24902" s="60"/>
    </row>
    <row r="24903" spans="7:24" ht="15" customHeight="1">
      <c r="G24903"/>
      <c r="I24903"/>
      <c r="N24903"/>
      <c r="O24903" s="24"/>
      <c r="P24903"/>
      <c r="Q24903" s="24"/>
      <c r="R24903"/>
      <c r="S24903"/>
      <c r="T24903"/>
      <c r="U24903"/>
      <c r="X24903" s="60"/>
    </row>
    <row r="24904" spans="7:24" ht="15" customHeight="1">
      <c r="G24904"/>
      <c r="I24904"/>
      <c r="N24904"/>
      <c r="O24904" s="24"/>
      <c r="P24904"/>
      <c r="Q24904" s="24"/>
      <c r="R24904"/>
      <c r="S24904"/>
      <c r="T24904"/>
      <c r="U24904"/>
      <c r="X24904" s="60"/>
    </row>
    <row r="24905" spans="7:24" ht="15" customHeight="1">
      <c r="G24905"/>
      <c r="I24905"/>
      <c r="N24905"/>
      <c r="O24905" s="24"/>
      <c r="P24905"/>
      <c r="Q24905" s="24"/>
      <c r="R24905"/>
      <c r="S24905"/>
      <c r="T24905"/>
      <c r="U24905"/>
      <c r="X24905" s="60"/>
    </row>
    <row r="24906" spans="7:24" ht="15" customHeight="1">
      <c r="G24906"/>
      <c r="I24906"/>
      <c r="N24906"/>
      <c r="O24906" s="24"/>
      <c r="P24906"/>
      <c r="Q24906" s="24"/>
      <c r="R24906"/>
      <c r="S24906"/>
      <c r="T24906"/>
      <c r="U24906"/>
      <c r="X24906" s="60"/>
    </row>
    <row r="24907" spans="7:24" ht="15" customHeight="1">
      <c r="G24907"/>
      <c r="I24907"/>
      <c r="N24907"/>
      <c r="O24907" s="24"/>
      <c r="P24907"/>
      <c r="Q24907" s="24"/>
      <c r="R24907"/>
      <c r="S24907"/>
      <c r="T24907"/>
      <c r="U24907"/>
      <c r="X24907" s="60"/>
    </row>
    <row r="24908" spans="7:24" ht="15" customHeight="1">
      <c r="G24908"/>
      <c r="I24908"/>
      <c r="N24908"/>
      <c r="O24908" s="24"/>
      <c r="P24908"/>
      <c r="Q24908" s="24"/>
      <c r="R24908"/>
      <c r="S24908"/>
      <c r="T24908"/>
      <c r="U24908"/>
      <c r="X24908" s="60"/>
    </row>
    <row r="24909" spans="7:24" ht="15" customHeight="1">
      <c r="G24909"/>
      <c r="I24909"/>
      <c r="N24909"/>
      <c r="O24909" s="24"/>
      <c r="P24909"/>
      <c r="Q24909" s="24"/>
      <c r="R24909"/>
      <c r="S24909"/>
      <c r="T24909"/>
      <c r="U24909"/>
      <c r="X24909" s="60"/>
    </row>
    <row r="24910" spans="7:24" ht="15" customHeight="1">
      <c r="G24910"/>
      <c r="I24910"/>
      <c r="N24910"/>
      <c r="O24910" s="24"/>
      <c r="P24910"/>
      <c r="Q24910" s="24"/>
      <c r="R24910"/>
      <c r="S24910"/>
      <c r="T24910"/>
      <c r="U24910"/>
      <c r="X24910" s="60"/>
    </row>
    <row r="24911" spans="7:24" ht="15" customHeight="1">
      <c r="G24911"/>
      <c r="I24911"/>
      <c r="N24911"/>
      <c r="O24911" s="24"/>
      <c r="P24911"/>
      <c r="Q24911" s="24"/>
      <c r="R24911"/>
      <c r="S24911"/>
      <c r="T24911"/>
      <c r="U24911"/>
      <c r="X24911" s="60"/>
    </row>
    <row r="24912" spans="7:24" ht="15" customHeight="1">
      <c r="G24912"/>
      <c r="I24912"/>
      <c r="N24912"/>
      <c r="O24912" s="24"/>
      <c r="P24912"/>
      <c r="Q24912" s="24"/>
      <c r="R24912"/>
      <c r="S24912"/>
      <c r="T24912"/>
      <c r="U24912"/>
      <c r="X24912" s="60"/>
    </row>
    <row r="24913" spans="7:24" ht="15" customHeight="1">
      <c r="G24913"/>
      <c r="I24913"/>
      <c r="N24913"/>
      <c r="O24913" s="24"/>
      <c r="P24913"/>
      <c r="Q24913" s="24"/>
      <c r="R24913"/>
      <c r="S24913"/>
      <c r="T24913"/>
      <c r="U24913"/>
      <c r="X24913" s="60"/>
    </row>
    <row r="24914" spans="7:24" ht="15" customHeight="1">
      <c r="G24914"/>
      <c r="I24914"/>
      <c r="N24914"/>
      <c r="O24914" s="24"/>
      <c r="P24914"/>
      <c r="Q24914" s="24"/>
      <c r="R24914"/>
      <c r="S24914"/>
      <c r="T24914"/>
      <c r="U24914"/>
      <c r="X24914" s="60"/>
    </row>
    <row r="24915" spans="7:24" ht="15" customHeight="1">
      <c r="G24915"/>
      <c r="I24915"/>
      <c r="N24915"/>
      <c r="O24915" s="24"/>
      <c r="P24915"/>
      <c r="Q24915" s="24"/>
      <c r="R24915"/>
      <c r="S24915"/>
      <c r="T24915"/>
      <c r="U24915"/>
      <c r="X24915" s="60"/>
    </row>
    <row r="24916" spans="7:24" ht="15" customHeight="1">
      <c r="G24916"/>
      <c r="I24916"/>
      <c r="N24916"/>
      <c r="O24916" s="24"/>
      <c r="P24916"/>
      <c r="Q24916" s="24"/>
      <c r="R24916"/>
      <c r="S24916"/>
      <c r="T24916"/>
      <c r="U24916"/>
      <c r="X24916" s="60"/>
    </row>
    <row r="24917" spans="7:24" ht="15" customHeight="1">
      <c r="G24917"/>
      <c r="I24917"/>
      <c r="N24917"/>
      <c r="O24917" s="24"/>
      <c r="P24917"/>
      <c r="Q24917" s="24"/>
      <c r="R24917"/>
      <c r="S24917"/>
      <c r="T24917"/>
      <c r="U24917"/>
      <c r="X24917" s="60"/>
    </row>
    <row r="24918" spans="7:24" ht="15" customHeight="1">
      <c r="G24918"/>
      <c r="I24918"/>
      <c r="N24918"/>
      <c r="O24918" s="24"/>
      <c r="P24918"/>
      <c r="Q24918" s="24"/>
      <c r="R24918"/>
      <c r="S24918"/>
      <c r="T24918"/>
      <c r="U24918"/>
      <c r="X24918" s="60"/>
    </row>
    <row r="24919" spans="7:24" ht="15" customHeight="1">
      <c r="G24919"/>
      <c r="I24919"/>
      <c r="N24919"/>
      <c r="O24919" s="24"/>
      <c r="P24919"/>
      <c r="Q24919" s="24"/>
      <c r="R24919"/>
      <c r="S24919"/>
      <c r="T24919"/>
      <c r="U24919"/>
      <c r="X24919" s="60"/>
    </row>
    <row r="24920" spans="7:24" ht="15" customHeight="1">
      <c r="G24920"/>
      <c r="I24920"/>
      <c r="N24920"/>
      <c r="O24920" s="24"/>
      <c r="P24920"/>
      <c r="Q24920" s="24"/>
      <c r="R24920"/>
      <c r="S24920"/>
      <c r="T24920"/>
      <c r="U24920"/>
      <c r="X24920" s="60"/>
    </row>
    <row r="24921" spans="7:24" ht="15" customHeight="1">
      <c r="G24921"/>
      <c r="I24921"/>
      <c r="N24921"/>
      <c r="O24921" s="24"/>
      <c r="P24921"/>
      <c r="Q24921" s="24"/>
      <c r="R24921"/>
      <c r="S24921"/>
      <c r="T24921"/>
      <c r="U24921"/>
      <c r="X24921" s="60"/>
    </row>
    <row r="24922" spans="7:24" ht="15" customHeight="1">
      <c r="G24922"/>
      <c r="I24922"/>
      <c r="N24922"/>
      <c r="O24922" s="24"/>
      <c r="P24922"/>
      <c r="Q24922" s="24"/>
      <c r="R24922"/>
      <c r="S24922"/>
      <c r="T24922"/>
      <c r="U24922"/>
      <c r="X24922" s="60"/>
    </row>
    <row r="24923" spans="7:24" ht="15" customHeight="1">
      <c r="G24923"/>
      <c r="I24923"/>
      <c r="N24923"/>
      <c r="O24923" s="24"/>
      <c r="P24923"/>
      <c r="Q24923" s="24"/>
      <c r="R24923"/>
      <c r="S24923"/>
      <c r="T24923"/>
      <c r="U24923"/>
      <c r="X24923" s="60"/>
    </row>
    <row r="24924" spans="7:24" ht="15" customHeight="1">
      <c r="G24924"/>
      <c r="I24924"/>
      <c r="N24924"/>
      <c r="O24924" s="24"/>
      <c r="P24924"/>
      <c r="Q24924" s="24"/>
      <c r="R24924"/>
      <c r="S24924"/>
      <c r="T24924"/>
      <c r="U24924"/>
      <c r="X24924" s="60"/>
    </row>
    <row r="24925" spans="7:24" ht="15" customHeight="1">
      <c r="G24925"/>
      <c r="I24925"/>
      <c r="N24925"/>
      <c r="O24925" s="24"/>
      <c r="P24925"/>
      <c r="Q24925" s="24"/>
      <c r="R24925"/>
      <c r="S24925"/>
      <c r="T24925"/>
      <c r="U24925"/>
      <c r="X24925" s="60"/>
    </row>
    <row r="24926" spans="7:24" ht="15" customHeight="1">
      <c r="G24926"/>
      <c r="I24926"/>
      <c r="N24926"/>
      <c r="O24926" s="24"/>
      <c r="P24926"/>
      <c r="Q24926" s="24"/>
      <c r="R24926"/>
      <c r="S24926"/>
      <c r="T24926"/>
      <c r="U24926"/>
      <c r="X24926" s="60"/>
    </row>
    <row r="24927" spans="7:24" ht="15" customHeight="1">
      <c r="G24927"/>
      <c r="I24927"/>
      <c r="N24927"/>
      <c r="O24927" s="24"/>
      <c r="P24927"/>
      <c r="Q24927" s="24"/>
      <c r="R24927"/>
      <c r="S24927"/>
      <c r="T24927"/>
      <c r="U24927"/>
      <c r="X24927" s="60"/>
    </row>
    <row r="24928" spans="7:24" ht="15" customHeight="1">
      <c r="G24928"/>
      <c r="I24928"/>
      <c r="N24928"/>
      <c r="O24928" s="24"/>
      <c r="P24928"/>
      <c r="Q24928" s="24"/>
      <c r="R24928"/>
      <c r="S24928"/>
      <c r="T24928"/>
      <c r="U24928"/>
      <c r="X24928" s="60"/>
    </row>
    <row r="24929" spans="7:24" ht="15" customHeight="1">
      <c r="G24929"/>
      <c r="I24929"/>
      <c r="N24929"/>
      <c r="O24929" s="24"/>
      <c r="P24929"/>
      <c r="Q24929" s="24"/>
      <c r="R24929"/>
      <c r="S24929"/>
      <c r="T24929"/>
      <c r="U24929"/>
      <c r="X24929" s="60"/>
    </row>
    <row r="24930" spans="7:24" ht="15" customHeight="1">
      <c r="G24930"/>
      <c r="I24930"/>
      <c r="N24930"/>
      <c r="O24930" s="24"/>
      <c r="P24930"/>
      <c r="Q24930" s="24"/>
      <c r="R24930"/>
      <c r="S24930"/>
      <c r="T24930"/>
      <c r="U24930"/>
      <c r="X24930" s="60"/>
    </row>
    <row r="24931" spans="7:24" ht="15" customHeight="1">
      <c r="G24931"/>
      <c r="I24931"/>
      <c r="N24931"/>
      <c r="O24931" s="24"/>
      <c r="P24931"/>
      <c r="Q24931" s="24"/>
      <c r="R24931"/>
      <c r="S24931"/>
      <c r="T24931"/>
      <c r="U24931"/>
      <c r="X24931" s="60"/>
    </row>
    <row r="24932" spans="7:24" ht="15" customHeight="1">
      <c r="G24932"/>
      <c r="I24932"/>
      <c r="N24932"/>
      <c r="O24932" s="24"/>
      <c r="P24932"/>
      <c r="Q24932" s="24"/>
      <c r="R24932"/>
      <c r="S24932"/>
      <c r="T24932"/>
      <c r="U24932"/>
      <c r="X24932" s="60"/>
    </row>
    <row r="24933" spans="7:24" ht="15" customHeight="1">
      <c r="G24933"/>
      <c r="I24933"/>
      <c r="N24933"/>
      <c r="O24933" s="24"/>
      <c r="P24933"/>
      <c r="Q24933" s="24"/>
      <c r="R24933"/>
      <c r="S24933"/>
      <c r="T24933"/>
      <c r="U24933"/>
      <c r="X24933" s="60"/>
    </row>
    <row r="24934" spans="7:24" ht="15" customHeight="1">
      <c r="G24934"/>
      <c r="I24934"/>
      <c r="N24934"/>
      <c r="O24934" s="24"/>
      <c r="P24934"/>
      <c r="Q24934" s="24"/>
      <c r="R24934"/>
      <c r="S24934"/>
      <c r="T24934"/>
      <c r="U24934"/>
      <c r="X24934" s="60"/>
    </row>
    <row r="24935" spans="7:24" ht="15" customHeight="1">
      <c r="G24935"/>
      <c r="I24935"/>
      <c r="N24935"/>
      <c r="O24935" s="24"/>
      <c r="P24935"/>
      <c r="Q24935" s="24"/>
      <c r="R24935"/>
      <c r="S24935"/>
      <c r="T24935"/>
      <c r="U24935"/>
      <c r="X24935" s="60"/>
    </row>
    <row r="24936" spans="7:24" ht="15" customHeight="1">
      <c r="G24936"/>
      <c r="I24936"/>
      <c r="N24936"/>
      <c r="O24936" s="24"/>
      <c r="P24936"/>
      <c r="Q24936" s="24"/>
      <c r="R24936"/>
      <c r="S24936"/>
      <c r="T24936"/>
      <c r="U24936"/>
      <c r="X24936" s="60"/>
    </row>
    <row r="24937" spans="7:24" ht="15" customHeight="1">
      <c r="G24937"/>
      <c r="I24937"/>
      <c r="N24937"/>
      <c r="O24937" s="24"/>
      <c r="P24937"/>
      <c r="Q24937" s="24"/>
      <c r="R24937"/>
      <c r="S24937"/>
      <c r="T24937"/>
      <c r="U24937"/>
      <c r="X24937" s="60"/>
    </row>
    <row r="24938" spans="7:24" ht="15" customHeight="1">
      <c r="G24938"/>
      <c r="I24938"/>
      <c r="N24938"/>
      <c r="O24938" s="24"/>
      <c r="P24938"/>
      <c r="Q24938" s="24"/>
      <c r="R24938"/>
      <c r="S24938"/>
      <c r="T24938"/>
      <c r="U24938"/>
      <c r="X24938" s="60"/>
    </row>
    <row r="24939" spans="7:24" ht="15" customHeight="1">
      <c r="G24939"/>
      <c r="I24939"/>
      <c r="N24939"/>
      <c r="O24939" s="24"/>
      <c r="P24939"/>
      <c r="Q24939" s="24"/>
      <c r="R24939"/>
      <c r="S24939"/>
      <c r="T24939"/>
      <c r="U24939"/>
      <c r="X24939" s="60"/>
    </row>
    <row r="24940" spans="7:24" ht="15" customHeight="1">
      <c r="G24940"/>
      <c r="I24940"/>
      <c r="N24940"/>
      <c r="O24940" s="24"/>
      <c r="P24940"/>
      <c r="Q24940" s="24"/>
      <c r="R24940"/>
      <c r="S24940"/>
      <c r="T24940"/>
      <c r="U24940"/>
      <c r="X24940" s="60"/>
    </row>
    <row r="24941" spans="7:24" ht="15" customHeight="1">
      <c r="G24941"/>
      <c r="I24941"/>
      <c r="N24941"/>
      <c r="O24941" s="24"/>
      <c r="P24941"/>
      <c r="Q24941" s="24"/>
      <c r="R24941"/>
      <c r="S24941"/>
      <c r="T24941"/>
      <c r="U24941"/>
      <c r="X24941" s="60"/>
    </row>
    <row r="24942" spans="7:24" ht="15" customHeight="1">
      <c r="G24942"/>
      <c r="I24942"/>
      <c r="N24942"/>
      <c r="O24942" s="24"/>
      <c r="P24942"/>
      <c r="Q24942" s="24"/>
      <c r="R24942"/>
      <c r="S24942"/>
      <c r="T24942"/>
      <c r="U24942"/>
      <c r="X24942" s="60"/>
    </row>
    <row r="24943" spans="7:24" ht="15" customHeight="1">
      <c r="G24943"/>
      <c r="I24943"/>
      <c r="N24943"/>
      <c r="O24943" s="24"/>
      <c r="P24943"/>
      <c r="Q24943" s="24"/>
      <c r="R24943"/>
      <c r="S24943"/>
      <c r="T24943"/>
      <c r="U24943"/>
      <c r="X24943" s="60"/>
    </row>
    <row r="24944" spans="7:24" ht="15" customHeight="1">
      <c r="G24944"/>
      <c r="I24944"/>
      <c r="N24944"/>
      <c r="O24944" s="24"/>
      <c r="P24944"/>
      <c r="Q24944" s="24"/>
      <c r="R24944"/>
      <c r="S24944"/>
      <c r="T24944"/>
      <c r="U24944"/>
      <c r="X24944" s="60"/>
    </row>
    <row r="24945" spans="7:24" ht="15" customHeight="1">
      <c r="G24945"/>
      <c r="I24945"/>
      <c r="N24945"/>
      <c r="O24945" s="24"/>
      <c r="P24945"/>
      <c r="Q24945" s="24"/>
      <c r="R24945"/>
      <c r="S24945"/>
      <c r="T24945"/>
      <c r="U24945"/>
      <c r="X24945" s="60"/>
    </row>
    <row r="24946" spans="7:24" ht="15" customHeight="1">
      <c r="G24946"/>
      <c r="I24946"/>
      <c r="N24946"/>
      <c r="O24946" s="24"/>
      <c r="P24946"/>
      <c r="Q24946" s="24"/>
      <c r="R24946"/>
      <c r="S24946"/>
      <c r="T24946"/>
      <c r="U24946"/>
      <c r="X24946" s="60"/>
    </row>
    <row r="24947" spans="7:24" ht="15" customHeight="1">
      <c r="G24947"/>
      <c r="I24947"/>
      <c r="N24947"/>
      <c r="O24947" s="24"/>
      <c r="P24947"/>
      <c r="Q24947" s="24"/>
      <c r="R24947"/>
      <c r="S24947"/>
      <c r="T24947"/>
      <c r="U24947"/>
      <c r="X24947" s="60"/>
    </row>
    <row r="24948" spans="7:24" ht="15" customHeight="1">
      <c r="G24948"/>
      <c r="I24948"/>
      <c r="N24948"/>
      <c r="O24948" s="24"/>
      <c r="P24948"/>
      <c r="Q24948" s="24"/>
      <c r="R24948"/>
      <c r="S24948"/>
      <c r="T24948"/>
      <c r="U24948"/>
      <c r="X24948" s="60"/>
    </row>
    <row r="24949" spans="7:24" ht="15" customHeight="1">
      <c r="G24949"/>
      <c r="I24949"/>
      <c r="N24949"/>
      <c r="O24949" s="24"/>
      <c r="P24949"/>
      <c r="Q24949" s="24"/>
      <c r="R24949"/>
      <c r="S24949"/>
      <c r="T24949"/>
      <c r="U24949"/>
      <c r="X24949" s="60"/>
    </row>
    <row r="24950" spans="7:24" ht="15" customHeight="1">
      <c r="G24950"/>
      <c r="I24950"/>
      <c r="N24950"/>
      <c r="O24950" s="24"/>
      <c r="P24950"/>
      <c r="Q24950" s="24"/>
      <c r="R24950"/>
      <c r="S24950"/>
      <c r="T24950"/>
      <c r="U24950"/>
      <c r="X24950" s="60"/>
    </row>
    <row r="24951" spans="7:24" ht="15" customHeight="1">
      <c r="G24951"/>
      <c r="I24951"/>
      <c r="N24951"/>
      <c r="O24951" s="24"/>
      <c r="P24951"/>
      <c r="Q24951" s="24"/>
      <c r="R24951"/>
      <c r="S24951"/>
      <c r="T24951"/>
      <c r="U24951"/>
      <c r="X24951" s="60"/>
    </row>
    <row r="24952" spans="7:24" ht="15" customHeight="1">
      <c r="G24952"/>
      <c r="I24952"/>
      <c r="N24952"/>
      <c r="O24952" s="24"/>
      <c r="P24952"/>
      <c r="Q24952" s="24"/>
      <c r="R24952"/>
      <c r="S24952"/>
      <c r="T24952"/>
      <c r="U24952"/>
      <c r="X24952" s="60"/>
    </row>
    <row r="24953" spans="7:24" ht="15" customHeight="1">
      <c r="G24953"/>
      <c r="I24953"/>
      <c r="N24953"/>
      <c r="O24953" s="24"/>
      <c r="P24953"/>
      <c r="Q24953" s="24"/>
      <c r="R24953"/>
      <c r="S24953"/>
      <c r="T24953"/>
      <c r="U24953"/>
      <c r="X24953" s="60"/>
    </row>
    <row r="24954" spans="7:24" ht="15" customHeight="1">
      <c r="G24954"/>
      <c r="I24954"/>
      <c r="N24954"/>
      <c r="O24954" s="24"/>
      <c r="P24954"/>
      <c r="Q24954" s="24"/>
      <c r="R24954"/>
      <c r="S24954"/>
      <c r="T24954"/>
      <c r="U24954"/>
      <c r="X24954" s="60"/>
    </row>
    <row r="24955" spans="7:24" ht="15" customHeight="1">
      <c r="G24955"/>
      <c r="I24955"/>
      <c r="N24955"/>
      <c r="O24955" s="24"/>
      <c r="P24955"/>
      <c r="Q24955" s="24"/>
      <c r="R24955"/>
      <c r="S24955"/>
      <c r="T24955"/>
      <c r="U24955"/>
      <c r="X24955" s="60"/>
    </row>
    <row r="24956" spans="7:24" ht="15" customHeight="1">
      <c r="G24956"/>
      <c r="I24956"/>
      <c r="N24956"/>
      <c r="O24956" s="24"/>
      <c r="P24956"/>
      <c r="Q24956" s="24"/>
      <c r="R24956"/>
      <c r="S24956"/>
      <c r="T24956"/>
      <c r="U24956"/>
      <c r="X24956" s="60"/>
    </row>
    <row r="24957" spans="7:24" ht="15" customHeight="1">
      <c r="G24957"/>
      <c r="I24957"/>
      <c r="N24957"/>
      <c r="O24957" s="24"/>
      <c r="P24957"/>
      <c r="Q24957" s="24"/>
      <c r="R24957"/>
      <c r="S24957"/>
      <c r="T24957"/>
      <c r="U24957"/>
      <c r="X24957" s="60"/>
    </row>
    <row r="24958" spans="7:24" ht="15" customHeight="1">
      <c r="G24958"/>
      <c r="I24958"/>
      <c r="N24958"/>
      <c r="O24958" s="24"/>
      <c r="P24958"/>
      <c r="Q24958" s="24"/>
      <c r="R24958"/>
      <c r="S24958"/>
      <c r="T24958"/>
      <c r="U24958"/>
      <c r="X24958" s="60"/>
    </row>
    <row r="24959" spans="7:24" ht="15" customHeight="1">
      <c r="G24959"/>
      <c r="I24959"/>
      <c r="N24959"/>
      <c r="O24959" s="24"/>
      <c r="P24959"/>
      <c r="Q24959" s="24"/>
      <c r="R24959"/>
      <c r="S24959"/>
      <c r="T24959"/>
      <c r="U24959"/>
      <c r="X24959" s="60"/>
    </row>
    <row r="24960" spans="7:24" ht="15" customHeight="1">
      <c r="G24960"/>
      <c r="I24960"/>
      <c r="N24960"/>
      <c r="O24960" s="24"/>
      <c r="P24960"/>
      <c r="Q24960" s="24"/>
      <c r="R24960"/>
      <c r="S24960"/>
      <c r="T24960"/>
      <c r="U24960"/>
      <c r="X24960" s="60"/>
    </row>
    <row r="24961" spans="7:24" ht="15" customHeight="1">
      <c r="G24961"/>
      <c r="I24961"/>
      <c r="N24961"/>
      <c r="O24961" s="24"/>
      <c r="P24961"/>
      <c r="Q24961" s="24"/>
      <c r="R24961"/>
      <c r="S24961"/>
      <c r="T24961"/>
      <c r="U24961"/>
      <c r="X24961" s="60"/>
    </row>
    <row r="24962" spans="7:24" ht="15" customHeight="1">
      <c r="G24962"/>
      <c r="I24962"/>
      <c r="N24962"/>
      <c r="O24962" s="24"/>
      <c r="P24962"/>
      <c r="Q24962" s="24"/>
      <c r="R24962"/>
      <c r="S24962"/>
      <c r="T24962"/>
      <c r="U24962"/>
      <c r="X24962" s="60"/>
    </row>
    <row r="24963" spans="7:24" ht="15" customHeight="1">
      <c r="G24963"/>
      <c r="I24963"/>
      <c r="N24963"/>
      <c r="O24963" s="24"/>
      <c r="P24963"/>
      <c r="Q24963" s="24"/>
      <c r="R24963"/>
      <c r="S24963"/>
      <c r="T24963"/>
      <c r="U24963"/>
      <c r="X24963" s="60"/>
    </row>
    <row r="24964" spans="7:24" ht="15" customHeight="1">
      <c r="G24964"/>
      <c r="I24964"/>
      <c r="N24964"/>
      <c r="O24964" s="24"/>
      <c r="P24964"/>
      <c r="Q24964" s="24"/>
      <c r="R24964"/>
      <c r="S24964"/>
      <c r="T24964"/>
      <c r="U24964"/>
      <c r="X24964" s="60"/>
    </row>
    <row r="24965" spans="7:24" ht="15" customHeight="1">
      <c r="G24965"/>
      <c r="I24965"/>
      <c r="N24965"/>
      <c r="O24965" s="24"/>
      <c r="P24965"/>
      <c r="Q24965" s="24"/>
      <c r="R24965"/>
      <c r="S24965"/>
      <c r="T24965"/>
      <c r="U24965"/>
      <c r="X24965" s="60"/>
    </row>
    <row r="24966" spans="7:24" ht="15" customHeight="1">
      <c r="G24966"/>
      <c r="I24966"/>
      <c r="N24966"/>
      <c r="O24966" s="24"/>
      <c r="P24966"/>
      <c r="Q24966" s="24"/>
      <c r="R24966"/>
      <c r="S24966"/>
      <c r="T24966"/>
      <c r="U24966"/>
      <c r="X24966" s="60"/>
    </row>
    <row r="24967" spans="7:24" ht="15" customHeight="1">
      <c r="G24967"/>
      <c r="I24967"/>
      <c r="N24967"/>
      <c r="O24967" s="24"/>
      <c r="P24967"/>
      <c r="Q24967" s="24"/>
      <c r="R24967"/>
      <c r="S24967"/>
      <c r="T24967"/>
      <c r="U24967"/>
      <c r="X24967" s="60"/>
    </row>
    <row r="24968" spans="7:24" ht="15" customHeight="1">
      <c r="G24968"/>
      <c r="I24968"/>
      <c r="N24968"/>
      <c r="O24968" s="24"/>
      <c r="P24968"/>
      <c r="Q24968" s="24"/>
      <c r="R24968"/>
      <c r="S24968"/>
      <c r="T24968"/>
      <c r="U24968"/>
      <c r="X24968" s="60"/>
    </row>
    <row r="24969" spans="7:24" ht="15" customHeight="1">
      <c r="G24969"/>
      <c r="I24969"/>
      <c r="N24969"/>
      <c r="O24969" s="24"/>
      <c r="P24969"/>
      <c r="Q24969" s="24"/>
      <c r="R24969"/>
      <c r="S24969"/>
      <c r="T24969"/>
      <c r="U24969"/>
      <c r="X24969" s="60"/>
    </row>
    <row r="24970" spans="7:24" ht="15" customHeight="1">
      <c r="G24970"/>
      <c r="I24970"/>
      <c r="N24970"/>
      <c r="O24970" s="24"/>
      <c r="P24970"/>
      <c r="Q24970" s="24"/>
      <c r="R24970"/>
      <c r="S24970"/>
      <c r="T24970"/>
      <c r="U24970"/>
      <c r="X24970" s="60"/>
    </row>
    <row r="24971" spans="7:24" ht="15" customHeight="1">
      <c r="G24971"/>
      <c r="I24971"/>
      <c r="N24971"/>
      <c r="O24971" s="24"/>
      <c r="P24971"/>
      <c r="Q24971" s="24"/>
      <c r="R24971"/>
      <c r="S24971"/>
      <c r="T24971"/>
      <c r="U24971"/>
      <c r="X24971" s="60"/>
    </row>
    <row r="24972" spans="7:24" ht="15" customHeight="1">
      <c r="G24972"/>
      <c r="I24972"/>
      <c r="N24972"/>
      <c r="O24972" s="24"/>
      <c r="P24972"/>
      <c r="Q24972" s="24"/>
      <c r="R24972"/>
      <c r="S24972"/>
      <c r="T24972"/>
      <c r="U24972"/>
      <c r="X24972" s="60"/>
    </row>
    <row r="24973" spans="7:24" ht="15" customHeight="1">
      <c r="G24973"/>
      <c r="I24973"/>
      <c r="N24973"/>
      <c r="O24973" s="24"/>
      <c r="P24973"/>
      <c r="Q24973" s="24"/>
      <c r="R24973"/>
      <c r="S24973"/>
      <c r="T24973"/>
      <c r="U24973"/>
      <c r="X24973" s="60"/>
    </row>
    <row r="24974" spans="7:24" ht="15" customHeight="1">
      <c r="G24974"/>
      <c r="I24974"/>
      <c r="N24974"/>
      <c r="O24974" s="24"/>
      <c r="P24974"/>
      <c r="Q24974" s="24"/>
      <c r="R24974"/>
      <c r="S24974"/>
      <c r="T24974"/>
      <c r="U24974"/>
      <c r="X24974" s="60"/>
    </row>
    <row r="24975" spans="7:24" ht="15" customHeight="1">
      <c r="G24975"/>
      <c r="I24975"/>
      <c r="N24975"/>
      <c r="O24975" s="24"/>
      <c r="P24975"/>
      <c r="Q24975" s="24"/>
      <c r="R24975"/>
      <c r="S24975"/>
      <c r="T24975"/>
      <c r="U24975"/>
      <c r="X24975" s="60"/>
    </row>
    <row r="24976" spans="7:24" ht="15" customHeight="1">
      <c r="G24976"/>
      <c r="I24976"/>
      <c r="N24976"/>
      <c r="O24976" s="24"/>
      <c r="P24976"/>
      <c r="Q24976" s="24"/>
      <c r="R24976"/>
      <c r="S24976"/>
      <c r="T24976"/>
      <c r="U24976"/>
      <c r="X24976" s="60"/>
    </row>
    <row r="24977" spans="7:24" ht="15" customHeight="1">
      <c r="G24977"/>
      <c r="I24977"/>
      <c r="N24977"/>
      <c r="O24977" s="24"/>
      <c r="P24977"/>
      <c r="Q24977" s="24"/>
      <c r="R24977"/>
      <c r="S24977"/>
      <c r="T24977"/>
      <c r="U24977"/>
      <c r="X24977" s="60"/>
    </row>
    <row r="24978" spans="7:24" ht="15" customHeight="1">
      <c r="G24978"/>
      <c r="I24978"/>
      <c r="N24978"/>
      <c r="O24978" s="24"/>
      <c r="P24978"/>
      <c r="Q24978" s="24"/>
      <c r="R24978"/>
      <c r="S24978"/>
      <c r="T24978"/>
      <c r="U24978"/>
      <c r="X24978" s="60"/>
    </row>
    <row r="24979" spans="7:24" ht="15" customHeight="1">
      <c r="G24979"/>
      <c r="I24979"/>
      <c r="N24979"/>
      <c r="O24979" s="24"/>
      <c r="P24979"/>
      <c r="Q24979" s="24"/>
      <c r="R24979"/>
      <c r="S24979"/>
      <c r="T24979"/>
      <c r="U24979"/>
      <c r="X24979" s="60"/>
    </row>
    <row r="24980" spans="7:24" ht="15" customHeight="1">
      <c r="G24980"/>
      <c r="I24980"/>
      <c r="N24980"/>
      <c r="O24980" s="24"/>
      <c r="P24980"/>
      <c r="Q24980" s="24"/>
      <c r="R24980"/>
      <c r="S24980"/>
      <c r="T24980"/>
      <c r="U24980"/>
      <c r="X24980" s="60"/>
    </row>
    <row r="24981" spans="7:24" ht="15" customHeight="1">
      <c r="G24981"/>
      <c r="I24981"/>
      <c r="N24981"/>
      <c r="O24981" s="24"/>
      <c r="P24981"/>
      <c r="Q24981" s="24"/>
      <c r="R24981"/>
      <c r="S24981"/>
      <c r="T24981"/>
      <c r="U24981"/>
      <c r="X24981" s="60"/>
    </row>
    <row r="24982" spans="7:24" ht="15" customHeight="1">
      <c r="G24982"/>
      <c r="I24982"/>
      <c r="N24982"/>
      <c r="O24982" s="24"/>
      <c r="P24982"/>
      <c r="Q24982" s="24"/>
      <c r="R24982"/>
      <c r="S24982"/>
      <c r="T24982"/>
      <c r="U24982"/>
      <c r="X24982" s="60"/>
    </row>
    <row r="24983" spans="7:24" ht="15" customHeight="1">
      <c r="G24983"/>
      <c r="I24983"/>
      <c r="N24983"/>
      <c r="O24983" s="24"/>
      <c r="P24983"/>
      <c r="Q24983" s="24"/>
      <c r="R24983"/>
      <c r="S24983"/>
      <c r="T24983"/>
      <c r="U24983"/>
      <c r="X24983" s="60"/>
    </row>
    <row r="24984" spans="7:24" ht="15" customHeight="1">
      <c r="G24984"/>
      <c r="I24984"/>
      <c r="N24984"/>
      <c r="O24984" s="24"/>
      <c r="P24984"/>
      <c r="Q24984" s="24"/>
      <c r="R24984"/>
      <c r="S24984"/>
      <c r="T24984"/>
      <c r="U24984"/>
      <c r="X24984" s="60"/>
    </row>
    <row r="24985" spans="7:24" ht="15" customHeight="1">
      <c r="G24985"/>
      <c r="I24985"/>
      <c r="N24985"/>
      <c r="O24985" s="24"/>
      <c r="P24985"/>
      <c r="Q24985" s="24"/>
      <c r="R24985"/>
      <c r="S24985"/>
      <c r="T24985"/>
      <c r="U24985"/>
      <c r="X24985" s="60"/>
    </row>
    <row r="24986" spans="7:24" ht="15" customHeight="1">
      <c r="G24986"/>
      <c r="I24986"/>
      <c r="N24986"/>
      <c r="O24986" s="24"/>
      <c r="P24986"/>
      <c r="Q24986" s="24"/>
      <c r="R24986"/>
      <c r="S24986"/>
      <c r="T24986"/>
      <c r="U24986"/>
      <c r="X24986" s="60"/>
    </row>
    <row r="24987" spans="7:24" ht="15" customHeight="1">
      <c r="G24987"/>
      <c r="I24987"/>
      <c r="N24987"/>
      <c r="O24987" s="24"/>
      <c r="P24987"/>
      <c r="Q24987" s="24"/>
      <c r="R24987"/>
      <c r="S24987"/>
      <c r="T24987"/>
      <c r="U24987"/>
      <c r="X24987" s="60"/>
    </row>
    <row r="24988" spans="7:24" ht="15" customHeight="1">
      <c r="G24988"/>
      <c r="I24988"/>
      <c r="N24988"/>
      <c r="O24988" s="24"/>
      <c r="P24988"/>
      <c r="Q24988" s="24"/>
      <c r="R24988"/>
      <c r="S24988"/>
      <c r="T24988"/>
      <c r="U24988"/>
      <c r="X24988" s="60"/>
    </row>
    <row r="24989" spans="7:24" ht="15" customHeight="1">
      <c r="G24989"/>
      <c r="I24989"/>
      <c r="N24989"/>
      <c r="O24989" s="24"/>
      <c r="P24989"/>
      <c r="Q24989" s="24"/>
      <c r="R24989"/>
      <c r="S24989"/>
      <c r="T24989"/>
      <c r="U24989"/>
      <c r="X24989" s="60"/>
    </row>
    <row r="24990" spans="7:24" ht="15" customHeight="1">
      <c r="G24990"/>
      <c r="I24990"/>
      <c r="N24990"/>
      <c r="O24990" s="24"/>
      <c r="P24990"/>
      <c r="Q24990" s="24"/>
      <c r="R24990"/>
      <c r="S24990"/>
      <c r="T24990"/>
      <c r="U24990"/>
      <c r="X24990" s="60"/>
    </row>
    <row r="24991" spans="7:24" ht="15" customHeight="1">
      <c r="G24991"/>
      <c r="I24991"/>
      <c r="N24991"/>
      <c r="O24991" s="24"/>
      <c r="P24991"/>
      <c r="Q24991" s="24"/>
      <c r="R24991"/>
      <c r="S24991"/>
      <c r="T24991"/>
      <c r="U24991"/>
      <c r="X24991" s="60"/>
    </row>
    <row r="24992" spans="7:24" ht="15" customHeight="1">
      <c r="G24992"/>
      <c r="I24992"/>
      <c r="N24992"/>
      <c r="O24992" s="24"/>
      <c r="P24992"/>
      <c r="Q24992" s="24"/>
      <c r="R24992"/>
      <c r="S24992"/>
      <c r="T24992"/>
      <c r="U24992"/>
      <c r="X24992" s="60"/>
    </row>
    <row r="24993" spans="7:24" ht="15" customHeight="1">
      <c r="G24993"/>
      <c r="I24993"/>
      <c r="N24993"/>
      <c r="O24993" s="24"/>
      <c r="P24993"/>
      <c r="Q24993" s="24"/>
      <c r="R24993"/>
      <c r="S24993"/>
      <c r="T24993"/>
      <c r="U24993"/>
      <c r="X24993" s="60"/>
    </row>
    <row r="24994" spans="7:24" ht="15" customHeight="1">
      <c r="G24994"/>
      <c r="I24994"/>
      <c r="N24994"/>
      <c r="O24994" s="24"/>
      <c r="P24994"/>
      <c r="Q24994" s="24"/>
      <c r="R24994"/>
      <c r="S24994"/>
      <c r="T24994"/>
      <c r="U24994"/>
      <c r="X24994" s="60"/>
    </row>
    <row r="24995" spans="7:24" ht="15" customHeight="1">
      <c r="G24995"/>
      <c r="I24995"/>
      <c r="N24995"/>
      <c r="O24995" s="24"/>
      <c r="P24995"/>
      <c r="Q24995" s="24"/>
      <c r="R24995"/>
      <c r="S24995"/>
      <c r="T24995"/>
      <c r="U24995"/>
      <c r="X24995" s="60"/>
    </row>
    <row r="24996" spans="7:24" ht="15" customHeight="1">
      <c r="G24996"/>
      <c r="I24996"/>
      <c r="N24996"/>
      <c r="O24996" s="24"/>
      <c r="P24996"/>
      <c r="Q24996" s="24"/>
      <c r="R24996"/>
      <c r="S24996"/>
      <c r="T24996"/>
      <c r="U24996"/>
      <c r="X24996" s="60"/>
    </row>
    <row r="24997" spans="7:24" ht="15" customHeight="1">
      <c r="G24997"/>
      <c r="I24997"/>
      <c r="N24997"/>
      <c r="O24997" s="24"/>
      <c r="P24997"/>
      <c r="Q24997" s="24"/>
      <c r="R24997"/>
      <c r="S24997"/>
      <c r="T24997"/>
      <c r="U24997"/>
      <c r="X24997" s="60"/>
    </row>
    <row r="24998" spans="7:24" ht="15" customHeight="1">
      <c r="G24998"/>
      <c r="I24998"/>
      <c r="N24998"/>
      <c r="O24998" s="24"/>
      <c r="P24998"/>
      <c r="Q24998" s="24"/>
      <c r="R24998"/>
      <c r="S24998"/>
      <c r="T24998"/>
      <c r="U24998"/>
      <c r="X24998" s="60"/>
    </row>
    <row r="24999" spans="7:24" ht="15" customHeight="1">
      <c r="G24999"/>
      <c r="I24999"/>
      <c r="N24999"/>
      <c r="O24999" s="24"/>
      <c r="P24999"/>
      <c r="Q24999" s="24"/>
      <c r="R24999"/>
      <c r="S24999"/>
      <c r="T24999"/>
      <c r="U24999"/>
      <c r="X24999" s="60"/>
    </row>
    <row r="25000" spans="7:24" ht="15" customHeight="1">
      <c r="G25000"/>
      <c r="I25000"/>
      <c r="N25000"/>
      <c r="O25000" s="24"/>
      <c r="P25000"/>
      <c r="Q25000" s="24"/>
      <c r="R25000"/>
      <c r="S25000"/>
      <c r="T25000"/>
      <c r="U25000"/>
      <c r="X25000" s="60"/>
    </row>
    <row r="25001" spans="7:24" ht="15" customHeight="1">
      <c r="G25001"/>
      <c r="I25001"/>
      <c r="N25001"/>
      <c r="O25001" s="24"/>
      <c r="P25001"/>
      <c r="Q25001" s="24"/>
      <c r="R25001"/>
      <c r="S25001"/>
      <c r="T25001"/>
      <c r="U25001"/>
      <c r="X25001" s="60"/>
    </row>
    <row r="25002" spans="7:24" ht="15" customHeight="1">
      <c r="G25002"/>
      <c r="I25002"/>
      <c r="N25002"/>
      <c r="O25002" s="24"/>
      <c r="P25002"/>
      <c r="Q25002" s="24"/>
      <c r="R25002"/>
      <c r="S25002"/>
      <c r="T25002"/>
      <c r="U25002"/>
      <c r="X25002" s="60"/>
    </row>
    <row r="25003" spans="7:24" ht="15" customHeight="1">
      <c r="G25003"/>
      <c r="I25003"/>
      <c r="N25003"/>
      <c r="O25003" s="24"/>
      <c r="P25003"/>
      <c r="Q25003" s="24"/>
      <c r="R25003"/>
      <c r="S25003"/>
      <c r="T25003"/>
      <c r="U25003"/>
      <c r="X25003" s="60"/>
    </row>
    <row r="25004" spans="7:24" ht="15" customHeight="1">
      <c r="G25004"/>
      <c r="I25004"/>
      <c r="N25004"/>
      <c r="O25004" s="24"/>
      <c r="P25004"/>
      <c r="Q25004" s="24"/>
      <c r="R25004"/>
      <c r="S25004"/>
      <c r="T25004"/>
      <c r="U25004"/>
      <c r="X25004" s="60"/>
    </row>
    <row r="25005" spans="7:24" ht="15" customHeight="1">
      <c r="G25005"/>
      <c r="I25005"/>
      <c r="N25005"/>
      <c r="O25005" s="24"/>
      <c r="P25005"/>
      <c r="Q25005" s="24"/>
      <c r="R25005"/>
      <c r="S25005"/>
      <c r="T25005"/>
      <c r="U25005"/>
      <c r="X25005" s="60"/>
    </row>
    <row r="25006" spans="7:24" ht="15" customHeight="1">
      <c r="G25006"/>
      <c r="I25006"/>
      <c r="N25006"/>
      <c r="O25006" s="24"/>
      <c r="P25006"/>
      <c r="Q25006" s="24"/>
      <c r="R25006"/>
      <c r="S25006"/>
      <c r="T25006"/>
      <c r="U25006"/>
      <c r="X25006" s="60"/>
    </row>
    <row r="25007" spans="7:24" ht="15" customHeight="1">
      <c r="G25007"/>
      <c r="I25007"/>
      <c r="N25007"/>
      <c r="O25007" s="24"/>
      <c r="P25007"/>
      <c r="Q25007" s="24"/>
      <c r="R25007"/>
      <c r="S25007"/>
      <c r="T25007"/>
      <c r="U25007"/>
      <c r="X25007" s="60"/>
    </row>
    <row r="25008" spans="7:24" ht="15" customHeight="1">
      <c r="G25008"/>
      <c r="I25008"/>
      <c r="N25008"/>
      <c r="O25008" s="24"/>
      <c r="P25008"/>
      <c r="Q25008" s="24"/>
      <c r="R25008"/>
      <c r="S25008"/>
      <c r="T25008"/>
      <c r="U25008"/>
      <c r="X25008" s="60"/>
    </row>
    <row r="25009" spans="7:24" ht="15" customHeight="1">
      <c r="G25009"/>
      <c r="I25009"/>
      <c r="N25009"/>
      <c r="O25009" s="24"/>
      <c r="P25009"/>
      <c r="Q25009" s="24"/>
      <c r="R25009"/>
      <c r="S25009"/>
      <c r="T25009"/>
      <c r="U25009"/>
      <c r="X25009" s="60"/>
    </row>
    <row r="25010" spans="7:24" ht="15" customHeight="1">
      <c r="G25010"/>
      <c r="I25010"/>
      <c r="N25010"/>
      <c r="O25010" s="24"/>
      <c r="P25010"/>
      <c r="Q25010" s="24"/>
      <c r="R25010"/>
      <c r="S25010"/>
      <c r="T25010"/>
      <c r="U25010"/>
      <c r="X25010" s="60"/>
    </row>
    <row r="25011" spans="7:24" ht="15" customHeight="1">
      <c r="G25011"/>
      <c r="I25011"/>
      <c r="N25011"/>
      <c r="O25011" s="24"/>
      <c r="P25011"/>
      <c r="Q25011" s="24"/>
      <c r="R25011"/>
      <c r="S25011"/>
      <c r="T25011"/>
      <c r="U25011"/>
      <c r="X25011" s="60"/>
    </row>
    <row r="25012" spans="7:24" ht="15" customHeight="1">
      <c r="G25012"/>
      <c r="I25012"/>
      <c r="N25012"/>
      <c r="O25012" s="24"/>
      <c r="P25012"/>
      <c r="Q25012" s="24"/>
      <c r="R25012"/>
      <c r="S25012"/>
      <c r="T25012"/>
      <c r="U25012"/>
      <c r="X25012" s="60"/>
    </row>
    <row r="25013" spans="7:24" ht="15" customHeight="1">
      <c r="G25013"/>
      <c r="I25013"/>
      <c r="N25013"/>
      <c r="O25013" s="24"/>
      <c r="P25013"/>
      <c r="Q25013" s="24"/>
      <c r="R25013"/>
      <c r="S25013"/>
      <c r="T25013"/>
      <c r="U25013"/>
      <c r="X25013" s="60"/>
    </row>
    <row r="25014" spans="7:24" ht="15" customHeight="1">
      <c r="G25014"/>
      <c r="I25014"/>
      <c r="N25014"/>
      <c r="O25014" s="24"/>
      <c r="P25014"/>
      <c r="Q25014" s="24"/>
      <c r="R25014"/>
      <c r="S25014"/>
      <c r="T25014"/>
      <c r="U25014"/>
      <c r="X25014" s="60"/>
    </row>
    <row r="25015" spans="7:24" ht="15" customHeight="1">
      <c r="G25015"/>
      <c r="I25015"/>
      <c r="N25015"/>
      <c r="O25015" s="24"/>
      <c r="P25015"/>
      <c r="Q25015" s="24"/>
      <c r="R25015"/>
      <c r="S25015"/>
      <c r="T25015"/>
      <c r="U25015"/>
      <c r="X25015" s="60"/>
    </row>
    <row r="25016" spans="7:24" ht="15" customHeight="1">
      <c r="G25016"/>
      <c r="I25016"/>
      <c r="N25016"/>
      <c r="O25016" s="24"/>
      <c r="P25016"/>
      <c r="Q25016" s="24"/>
      <c r="R25016"/>
      <c r="S25016"/>
      <c r="T25016"/>
      <c r="U25016"/>
      <c r="X25016" s="60"/>
    </row>
    <row r="25017" spans="7:24" ht="15" customHeight="1">
      <c r="G25017"/>
      <c r="I25017"/>
      <c r="N25017"/>
      <c r="O25017" s="24"/>
      <c r="P25017"/>
      <c r="Q25017" s="24"/>
      <c r="R25017"/>
      <c r="S25017"/>
      <c r="T25017"/>
      <c r="U25017"/>
      <c r="X25017" s="60"/>
    </row>
    <row r="25018" spans="7:24" ht="15" customHeight="1">
      <c r="G25018"/>
      <c r="I25018"/>
      <c r="N25018"/>
      <c r="O25018" s="24"/>
      <c r="P25018"/>
      <c r="Q25018" s="24"/>
      <c r="R25018"/>
      <c r="S25018"/>
      <c r="T25018"/>
      <c r="U25018"/>
      <c r="X25018" s="60"/>
    </row>
    <row r="25019" spans="7:24" ht="15" customHeight="1">
      <c r="G25019"/>
      <c r="I25019"/>
      <c r="N25019"/>
      <c r="O25019" s="24"/>
      <c r="P25019"/>
      <c r="Q25019" s="24"/>
      <c r="R25019"/>
      <c r="S25019"/>
      <c r="T25019"/>
      <c r="U25019"/>
      <c r="X25019" s="60"/>
    </row>
    <row r="25020" spans="7:24" ht="15" customHeight="1">
      <c r="G25020"/>
      <c r="I25020"/>
      <c r="N25020"/>
      <c r="O25020" s="24"/>
      <c r="P25020"/>
      <c r="Q25020" s="24"/>
      <c r="R25020"/>
      <c r="S25020"/>
      <c r="T25020"/>
      <c r="U25020"/>
      <c r="X25020" s="60"/>
    </row>
    <row r="25021" spans="7:24" ht="15" customHeight="1">
      <c r="G25021"/>
      <c r="I25021"/>
      <c r="N25021"/>
      <c r="O25021" s="24"/>
      <c r="P25021"/>
      <c r="Q25021" s="24"/>
      <c r="R25021"/>
      <c r="S25021"/>
      <c r="T25021"/>
      <c r="U25021"/>
      <c r="X25021" s="60"/>
    </row>
    <row r="25022" spans="7:24" ht="15" customHeight="1">
      <c r="G25022"/>
      <c r="I25022"/>
      <c r="N25022"/>
      <c r="O25022" s="24"/>
      <c r="P25022"/>
      <c r="Q25022" s="24"/>
      <c r="R25022"/>
      <c r="S25022"/>
      <c r="T25022"/>
      <c r="U25022"/>
      <c r="X25022" s="60"/>
    </row>
    <row r="25023" spans="7:24" ht="15" customHeight="1">
      <c r="G25023"/>
      <c r="I25023"/>
      <c r="N25023"/>
      <c r="O25023" s="24"/>
      <c r="P25023"/>
      <c r="Q25023" s="24"/>
      <c r="R25023"/>
      <c r="S25023"/>
      <c r="T25023"/>
      <c r="U25023"/>
      <c r="X25023" s="60"/>
    </row>
    <row r="25024" spans="7:24" ht="15" customHeight="1">
      <c r="G25024"/>
      <c r="I25024"/>
      <c r="N25024"/>
      <c r="O25024" s="24"/>
      <c r="P25024"/>
      <c r="Q25024" s="24"/>
      <c r="R25024"/>
      <c r="S25024"/>
      <c r="T25024"/>
      <c r="U25024"/>
      <c r="X25024" s="60"/>
    </row>
    <row r="25025" spans="7:24" ht="15" customHeight="1">
      <c r="G25025"/>
      <c r="I25025"/>
      <c r="N25025"/>
      <c r="O25025" s="24"/>
      <c r="P25025"/>
      <c r="Q25025" s="24"/>
      <c r="R25025"/>
      <c r="S25025"/>
      <c r="T25025"/>
      <c r="U25025"/>
      <c r="X25025" s="60"/>
    </row>
    <row r="25026" spans="7:24" ht="15" customHeight="1">
      <c r="G25026"/>
      <c r="I25026"/>
      <c r="N25026"/>
      <c r="O25026" s="24"/>
      <c r="P25026"/>
      <c r="Q25026" s="24"/>
      <c r="R25026"/>
      <c r="S25026"/>
      <c r="T25026"/>
      <c r="U25026"/>
      <c r="X25026" s="60"/>
    </row>
    <row r="25027" spans="7:24" ht="15" customHeight="1">
      <c r="G25027"/>
      <c r="I25027"/>
      <c r="N25027"/>
      <c r="O25027" s="24"/>
      <c r="P25027"/>
      <c r="Q25027" s="24"/>
      <c r="R25027"/>
      <c r="S25027"/>
      <c r="T25027"/>
      <c r="U25027"/>
      <c r="X25027" s="60"/>
    </row>
    <row r="25028" spans="7:24" ht="15" customHeight="1">
      <c r="G25028"/>
      <c r="I25028"/>
      <c r="N25028"/>
      <c r="O25028" s="24"/>
      <c r="P25028"/>
      <c r="Q25028" s="24"/>
      <c r="R25028"/>
      <c r="S25028"/>
      <c r="T25028"/>
      <c r="U25028"/>
      <c r="X25028" s="60"/>
    </row>
    <row r="25029" spans="7:24" ht="15" customHeight="1">
      <c r="G25029"/>
      <c r="I25029"/>
      <c r="N25029"/>
      <c r="O25029" s="24"/>
      <c r="P25029"/>
      <c r="Q25029" s="24"/>
      <c r="R25029"/>
      <c r="S25029"/>
      <c r="T25029"/>
      <c r="U25029"/>
      <c r="X25029" s="60"/>
    </row>
    <row r="25030" spans="7:24" ht="15" customHeight="1">
      <c r="G25030"/>
      <c r="I25030"/>
      <c r="N25030"/>
      <c r="O25030" s="24"/>
      <c r="P25030"/>
      <c r="Q25030" s="24"/>
      <c r="R25030"/>
      <c r="S25030"/>
      <c r="T25030"/>
      <c r="U25030"/>
      <c r="X25030" s="60"/>
    </row>
    <row r="25031" spans="7:24" ht="15" customHeight="1">
      <c r="G25031"/>
      <c r="I25031"/>
      <c r="N25031"/>
      <c r="O25031" s="24"/>
      <c r="P25031"/>
      <c r="Q25031" s="24"/>
      <c r="R25031"/>
      <c r="S25031"/>
      <c r="T25031"/>
      <c r="U25031"/>
      <c r="X25031" s="60"/>
    </row>
    <row r="25032" spans="7:24" ht="15" customHeight="1">
      <c r="G25032"/>
      <c r="I25032"/>
      <c r="N25032"/>
      <c r="O25032" s="24"/>
      <c r="P25032"/>
      <c r="Q25032" s="24"/>
      <c r="R25032"/>
      <c r="S25032"/>
      <c r="T25032"/>
      <c r="U25032"/>
      <c r="X25032" s="60"/>
    </row>
    <row r="25033" spans="7:24" ht="15" customHeight="1">
      <c r="G25033"/>
      <c r="I25033"/>
      <c r="N25033"/>
      <c r="O25033" s="24"/>
      <c r="P25033"/>
      <c r="Q25033" s="24"/>
      <c r="R25033"/>
      <c r="S25033"/>
      <c r="T25033"/>
      <c r="U25033"/>
      <c r="X25033" s="60"/>
    </row>
    <row r="25034" spans="7:24" ht="15" customHeight="1">
      <c r="G25034"/>
      <c r="I25034"/>
      <c r="N25034"/>
      <c r="O25034" s="24"/>
      <c r="P25034"/>
      <c r="Q25034" s="24"/>
      <c r="R25034"/>
      <c r="S25034"/>
      <c r="T25034"/>
      <c r="U25034"/>
      <c r="X25034" s="60"/>
    </row>
    <row r="25035" spans="7:24" ht="15" customHeight="1">
      <c r="G25035"/>
      <c r="I25035"/>
      <c r="N25035"/>
      <c r="O25035" s="24"/>
      <c r="P25035"/>
      <c r="Q25035" s="24"/>
      <c r="R25035"/>
      <c r="S25035"/>
      <c r="T25035"/>
      <c r="U25035"/>
      <c r="X25035" s="60"/>
    </row>
    <row r="25036" spans="7:24" ht="15" customHeight="1">
      <c r="G25036"/>
      <c r="I25036"/>
      <c r="N25036"/>
      <c r="O25036" s="24"/>
      <c r="P25036"/>
      <c r="Q25036" s="24"/>
      <c r="R25036"/>
      <c r="S25036"/>
      <c r="T25036"/>
      <c r="U25036"/>
      <c r="X25036" s="60"/>
    </row>
    <row r="25037" spans="7:24" ht="15" customHeight="1">
      <c r="G25037"/>
      <c r="I25037"/>
      <c r="N25037"/>
      <c r="O25037" s="24"/>
      <c r="P25037"/>
      <c r="Q25037" s="24"/>
      <c r="R25037"/>
      <c r="S25037"/>
      <c r="T25037"/>
      <c r="U25037"/>
      <c r="X25037" s="60"/>
    </row>
    <row r="25038" spans="7:24" ht="15" customHeight="1">
      <c r="G25038"/>
      <c r="I25038"/>
      <c r="N25038"/>
      <c r="O25038" s="24"/>
      <c r="P25038"/>
      <c r="Q25038" s="24"/>
      <c r="R25038"/>
      <c r="S25038"/>
      <c r="T25038"/>
      <c r="U25038"/>
      <c r="X25038" s="60"/>
    </row>
    <row r="25039" spans="7:24" ht="15" customHeight="1">
      <c r="G25039"/>
      <c r="I25039"/>
      <c r="N25039"/>
      <c r="O25039" s="24"/>
      <c r="P25039"/>
      <c r="Q25039" s="24"/>
      <c r="R25039"/>
      <c r="S25039"/>
      <c r="T25039"/>
      <c r="U25039"/>
      <c r="X25039" s="60"/>
    </row>
    <row r="25040" spans="7:24" ht="15" customHeight="1">
      <c r="G25040"/>
      <c r="I25040"/>
      <c r="N25040"/>
      <c r="O25040" s="24"/>
      <c r="P25040"/>
      <c r="Q25040" s="24"/>
      <c r="R25040"/>
      <c r="S25040"/>
      <c r="T25040"/>
      <c r="U25040"/>
      <c r="X25040" s="60"/>
    </row>
    <row r="25041" spans="7:24" ht="15" customHeight="1">
      <c r="G25041"/>
      <c r="I25041"/>
      <c r="N25041"/>
      <c r="O25041" s="24"/>
      <c r="P25041"/>
      <c r="Q25041" s="24"/>
      <c r="R25041"/>
      <c r="S25041"/>
      <c r="T25041"/>
      <c r="U25041"/>
      <c r="X25041" s="60"/>
    </row>
    <row r="25042" spans="7:24" ht="15" customHeight="1">
      <c r="G25042"/>
      <c r="I25042"/>
      <c r="N25042"/>
      <c r="O25042" s="24"/>
      <c r="P25042"/>
      <c r="Q25042" s="24"/>
      <c r="R25042"/>
      <c r="S25042"/>
      <c r="T25042"/>
      <c r="U25042"/>
      <c r="X25042" s="60"/>
    </row>
    <row r="25043" spans="7:24" ht="15" customHeight="1">
      <c r="G25043"/>
      <c r="I25043"/>
      <c r="N25043"/>
      <c r="O25043" s="24"/>
      <c r="P25043"/>
      <c r="Q25043" s="24"/>
      <c r="R25043"/>
      <c r="S25043"/>
      <c r="T25043"/>
      <c r="U25043"/>
      <c r="X25043" s="60"/>
    </row>
    <row r="25044" spans="7:24" ht="15" customHeight="1">
      <c r="G25044"/>
      <c r="I25044"/>
      <c r="N25044"/>
      <c r="O25044" s="24"/>
      <c r="P25044"/>
      <c r="Q25044" s="24"/>
      <c r="R25044"/>
      <c r="S25044"/>
      <c r="T25044"/>
      <c r="U25044"/>
      <c r="X25044" s="60"/>
    </row>
    <row r="25045" spans="7:24" ht="15" customHeight="1">
      <c r="G25045"/>
      <c r="I25045"/>
      <c r="N25045"/>
      <c r="O25045" s="24"/>
      <c r="P25045"/>
      <c r="Q25045" s="24"/>
      <c r="R25045"/>
      <c r="S25045"/>
      <c r="T25045"/>
      <c r="U25045"/>
      <c r="X25045" s="60"/>
    </row>
    <row r="25046" spans="7:24" ht="15" customHeight="1">
      <c r="G25046"/>
      <c r="I25046"/>
      <c r="N25046"/>
      <c r="O25046" s="24"/>
      <c r="P25046"/>
      <c r="Q25046" s="24"/>
      <c r="R25046"/>
      <c r="S25046"/>
      <c r="T25046"/>
      <c r="U25046"/>
      <c r="X25046" s="60"/>
    </row>
    <row r="25047" spans="7:24" ht="15" customHeight="1">
      <c r="G25047"/>
      <c r="I25047"/>
      <c r="N25047"/>
      <c r="O25047" s="24"/>
      <c r="P25047"/>
      <c r="Q25047" s="24"/>
      <c r="R25047"/>
      <c r="S25047"/>
      <c r="T25047"/>
      <c r="U25047"/>
      <c r="X25047" s="60"/>
    </row>
    <row r="25048" spans="7:24" ht="15" customHeight="1">
      <c r="G25048"/>
      <c r="I25048"/>
      <c r="N25048"/>
      <c r="O25048" s="24"/>
      <c r="P25048"/>
      <c r="Q25048" s="24"/>
      <c r="R25048"/>
      <c r="S25048"/>
      <c r="T25048"/>
      <c r="U25048"/>
      <c r="X25048" s="60"/>
    </row>
    <row r="25049" spans="7:24" ht="15" customHeight="1">
      <c r="G25049"/>
      <c r="I25049"/>
      <c r="N25049"/>
      <c r="O25049" s="24"/>
      <c r="P25049"/>
      <c r="Q25049" s="24"/>
      <c r="R25049"/>
      <c r="S25049"/>
      <c r="T25049"/>
      <c r="U25049"/>
      <c r="X25049" s="60"/>
    </row>
    <row r="25050" spans="7:24" ht="15" customHeight="1">
      <c r="G25050"/>
      <c r="I25050"/>
      <c r="N25050"/>
      <c r="O25050" s="24"/>
      <c r="P25050"/>
      <c r="Q25050" s="24"/>
      <c r="R25050"/>
      <c r="S25050"/>
      <c r="T25050"/>
      <c r="U25050"/>
      <c r="X25050" s="60"/>
    </row>
    <row r="25051" spans="7:24" ht="15" customHeight="1">
      <c r="G25051"/>
      <c r="I25051"/>
      <c r="N25051"/>
      <c r="O25051" s="24"/>
      <c r="P25051"/>
      <c r="Q25051" s="24"/>
      <c r="R25051"/>
      <c r="S25051"/>
      <c r="T25051"/>
      <c r="U25051"/>
      <c r="X25051" s="60"/>
    </row>
    <row r="25052" spans="7:24" ht="15" customHeight="1">
      <c r="G25052"/>
      <c r="I25052"/>
      <c r="N25052"/>
      <c r="O25052" s="24"/>
      <c r="P25052"/>
      <c r="Q25052" s="24"/>
      <c r="R25052"/>
      <c r="S25052"/>
      <c r="T25052"/>
      <c r="U25052"/>
      <c r="X25052" s="60"/>
    </row>
    <row r="25053" spans="7:24" ht="15" customHeight="1">
      <c r="G25053"/>
      <c r="I25053"/>
      <c r="N25053"/>
      <c r="O25053" s="24"/>
      <c r="P25053"/>
      <c r="Q25053" s="24"/>
      <c r="R25053"/>
      <c r="S25053"/>
      <c r="T25053"/>
      <c r="U25053"/>
      <c r="X25053" s="60"/>
    </row>
    <row r="25054" spans="7:24" ht="15" customHeight="1">
      <c r="G25054"/>
      <c r="I25054"/>
      <c r="N25054"/>
      <c r="O25054" s="24"/>
      <c r="P25054"/>
      <c r="Q25054" s="24"/>
      <c r="R25054"/>
      <c r="S25054"/>
      <c r="T25054"/>
      <c r="U25054"/>
      <c r="X25054" s="60"/>
    </row>
    <row r="25055" spans="7:24" ht="15" customHeight="1">
      <c r="G25055"/>
      <c r="I25055"/>
      <c r="N25055"/>
      <c r="O25055" s="24"/>
      <c r="P25055"/>
      <c r="Q25055" s="24"/>
      <c r="R25055"/>
      <c r="S25055"/>
      <c r="T25055"/>
      <c r="U25055"/>
      <c r="X25055" s="60"/>
    </row>
    <row r="25056" spans="7:24" ht="15" customHeight="1">
      <c r="G25056"/>
      <c r="I25056"/>
      <c r="N25056"/>
      <c r="O25056" s="24"/>
      <c r="P25056"/>
      <c r="Q25056" s="24"/>
      <c r="R25056"/>
      <c r="S25056"/>
      <c r="T25056"/>
      <c r="U25056"/>
      <c r="X25056" s="60"/>
    </row>
    <row r="25057" spans="7:24" ht="15" customHeight="1">
      <c r="G25057"/>
      <c r="I25057"/>
      <c r="N25057"/>
      <c r="O25057" s="24"/>
      <c r="P25057"/>
      <c r="Q25057" s="24"/>
      <c r="R25057"/>
      <c r="S25057"/>
      <c r="T25057"/>
      <c r="U25057"/>
      <c r="X25057" s="60"/>
    </row>
    <row r="25058" spans="7:24" ht="15" customHeight="1">
      <c r="G25058"/>
      <c r="I25058"/>
      <c r="N25058"/>
      <c r="O25058" s="24"/>
      <c r="P25058"/>
      <c r="Q25058" s="24"/>
      <c r="R25058"/>
      <c r="S25058"/>
      <c r="T25058"/>
      <c r="U25058"/>
      <c r="X25058" s="60"/>
    </row>
    <row r="25059" spans="7:24" ht="15" customHeight="1">
      <c r="G25059"/>
      <c r="I25059"/>
      <c r="N25059"/>
      <c r="O25059" s="24"/>
      <c r="P25059"/>
      <c r="Q25059" s="24"/>
      <c r="R25059"/>
      <c r="S25059"/>
      <c r="T25059"/>
      <c r="U25059"/>
      <c r="X25059" s="60"/>
    </row>
    <row r="25060" spans="7:24" ht="15" customHeight="1">
      <c r="G25060"/>
      <c r="I25060"/>
      <c r="N25060"/>
      <c r="O25060" s="24"/>
      <c r="P25060"/>
      <c r="Q25060" s="24"/>
      <c r="R25060"/>
      <c r="S25060"/>
      <c r="T25060"/>
      <c r="U25060"/>
      <c r="X25060" s="60"/>
    </row>
    <row r="25061" spans="7:24" ht="15" customHeight="1">
      <c r="G25061"/>
      <c r="I25061"/>
      <c r="N25061"/>
      <c r="O25061" s="24"/>
      <c r="P25061"/>
      <c r="Q25061" s="24"/>
      <c r="R25061"/>
      <c r="S25061"/>
      <c r="T25061"/>
      <c r="U25061"/>
      <c r="X25061" s="60"/>
    </row>
    <row r="25062" spans="7:24" ht="15" customHeight="1">
      <c r="G25062"/>
      <c r="I25062"/>
      <c r="N25062"/>
      <c r="O25062" s="24"/>
      <c r="P25062"/>
      <c r="Q25062" s="24"/>
      <c r="R25062"/>
      <c r="S25062"/>
      <c r="T25062"/>
      <c r="U25062"/>
      <c r="X25062" s="60"/>
    </row>
    <row r="25063" spans="7:24" ht="15" customHeight="1">
      <c r="G25063"/>
      <c r="I25063"/>
      <c r="N25063"/>
      <c r="O25063" s="24"/>
      <c r="P25063"/>
      <c r="Q25063" s="24"/>
      <c r="R25063"/>
      <c r="S25063"/>
      <c r="T25063"/>
      <c r="U25063"/>
      <c r="X25063" s="60"/>
    </row>
    <row r="25064" spans="7:24" ht="15" customHeight="1">
      <c r="G25064"/>
      <c r="I25064"/>
      <c r="N25064"/>
      <c r="O25064" s="24"/>
      <c r="P25064"/>
      <c r="Q25064" s="24"/>
      <c r="R25064"/>
      <c r="S25064"/>
      <c r="T25064"/>
      <c r="U25064"/>
      <c r="X25064" s="60"/>
    </row>
    <row r="25065" spans="7:24" ht="15" customHeight="1">
      <c r="G25065"/>
      <c r="I25065"/>
      <c r="N25065"/>
      <c r="O25065" s="24"/>
      <c r="P25065"/>
      <c r="Q25065" s="24"/>
      <c r="R25065"/>
      <c r="S25065"/>
      <c r="T25065"/>
      <c r="U25065"/>
      <c r="X25065" s="60"/>
    </row>
    <row r="25066" spans="7:24" ht="15" customHeight="1">
      <c r="G25066"/>
      <c r="I25066"/>
      <c r="N25066"/>
      <c r="O25066" s="24"/>
      <c r="P25066"/>
      <c r="Q25066" s="24"/>
      <c r="R25066"/>
      <c r="S25066"/>
      <c r="T25066"/>
      <c r="U25066"/>
      <c r="X25066" s="60"/>
    </row>
    <row r="25067" spans="7:24" ht="15" customHeight="1">
      <c r="G25067"/>
      <c r="I25067"/>
      <c r="N25067"/>
      <c r="O25067" s="24"/>
      <c r="P25067"/>
      <c r="Q25067" s="24"/>
      <c r="R25067"/>
      <c r="S25067"/>
      <c r="T25067"/>
      <c r="U25067"/>
      <c r="X25067" s="60"/>
    </row>
    <row r="25068" spans="7:24" ht="15" customHeight="1">
      <c r="G25068"/>
      <c r="I25068"/>
      <c r="N25068"/>
      <c r="O25068" s="24"/>
      <c r="P25068"/>
      <c r="Q25068" s="24"/>
      <c r="R25068"/>
      <c r="S25068"/>
      <c r="T25068"/>
      <c r="U25068"/>
      <c r="X25068" s="60"/>
    </row>
    <row r="25069" spans="7:24" ht="15" customHeight="1">
      <c r="G25069"/>
      <c r="I25069"/>
      <c r="N25069"/>
      <c r="O25069" s="24"/>
      <c r="P25069"/>
      <c r="Q25069" s="24"/>
      <c r="R25069"/>
      <c r="S25069"/>
      <c r="T25069"/>
      <c r="U25069"/>
      <c r="X25069" s="60"/>
    </row>
    <row r="25070" spans="7:24" ht="15" customHeight="1">
      <c r="G25070"/>
      <c r="I25070"/>
      <c r="N25070"/>
      <c r="O25070" s="24"/>
      <c r="P25070"/>
      <c r="Q25070" s="24"/>
      <c r="R25070"/>
      <c r="S25070"/>
      <c r="T25070"/>
      <c r="U25070"/>
      <c r="X25070" s="60"/>
    </row>
    <row r="25071" spans="7:24" ht="15" customHeight="1">
      <c r="G25071"/>
      <c r="I25071"/>
      <c r="N25071"/>
      <c r="O25071" s="24"/>
      <c r="P25071"/>
      <c r="Q25071" s="24"/>
      <c r="R25071"/>
      <c r="S25071"/>
      <c r="T25071"/>
      <c r="U25071"/>
      <c r="X25071" s="60"/>
    </row>
    <row r="25072" spans="7:24" ht="15" customHeight="1">
      <c r="G25072"/>
      <c r="I25072"/>
      <c r="N25072"/>
      <c r="O25072" s="24"/>
      <c r="P25072"/>
      <c r="Q25072" s="24"/>
      <c r="R25072"/>
      <c r="S25072"/>
      <c r="T25072"/>
      <c r="U25072"/>
      <c r="X25072" s="60"/>
    </row>
    <row r="25073" spans="7:24" ht="15" customHeight="1">
      <c r="G25073"/>
      <c r="I25073"/>
      <c r="N25073"/>
      <c r="O25073" s="24"/>
      <c r="P25073"/>
      <c r="Q25073" s="24"/>
      <c r="R25073"/>
      <c r="S25073"/>
      <c r="T25073"/>
      <c r="U25073"/>
      <c r="X25073" s="60"/>
    </row>
    <row r="25074" spans="7:24" ht="15" customHeight="1">
      <c r="G25074"/>
      <c r="I25074"/>
      <c r="N25074"/>
      <c r="O25074" s="24"/>
      <c r="P25074"/>
      <c r="Q25074" s="24"/>
      <c r="R25074"/>
      <c r="S25074"/>
      <c r="T25074"/>
      <c r="U25074"/>
      <c r="X25074" s="60"/>
    </row>
    <row r="25075" spans="7:24" ht="15" customHeight="1">
      <c r="G25075"/>
      <c r="I25075"/>
      <c r="N25075"/>
      <c r="O25075" s="24"/>
      <c r="P25075"/>
      <c r="Q25075" s="24"/>
      <c r="R25075"/>
      <c r="S25075"/>
      <c r="T25075"/>
      <c r="U25075"/>
      <c r="X25075" s="60"/>
    </row>
    <row r="25076" spans="7:24" ht="15" customHeight="1">
      <c r="G25076"/>
      <c r="I25076"/>
      <c r="N25076"/>
      <c r="O25076" s="24"/>
      <c r="P25076"/>
      <c r="Q25076" s="24"/>
      <c r="R25076"/>
      <c r="S25076"/>
      <c r="T25076"/>
      <c r="U25076"/>
      <c r="X25076" s="60"/>
    </row>
    <row r="25077" spans="7:24" ht="15" customHeight="1">
      <c r="G25077"/>
      <c r="I25077"/>
      <c r="N25077"/>
      <c r="O25077" s="24"/>
      <c r="P25077"/>
      <c r="Q25077" s="24"/>
      <c r="R25077"/>
      <c r="S25077"/>
      <c r="T25077"/>
      <c r="U25077"/>
      <c r="X25077" s="60"/>
    </row>
    <row r="25078" spans="7:24" ht="15" customHeight="1">
      <c r="G25078"/>
      <c r="I25078"/>
      <c r="N25078"/>
      <c r="O25078" s="24"/>
      <c r="P25078"/>
      <c r="Q25078" s="24"/>
      <c r="R25078"/>
      <c r="S25078"/>
      <c r="T25078"/>
      <c r="U25078"/>
      <c r="X25078" s="60"/>
    </row>
    <row r="25079" spans="7:24" ht="15" customHeight="1">
      <c r="G25079"/>
      <c r="I25079"/>
      <c r="N25079"/>
      <c r="O25079" s="24"/>
      <c r="P25079"/>
      <c r="Q25079" s="24"/>
      <c r="R25079"/>
      <c r="S25079"/>
      <c r="T25079"/>
      <c r="U25079"/>
      <c r="X25079" s="60"/>
    </row>
    <row r="25080" spans="7:24" ht="15" customHeight="1">
      <c r="G25080"/>
      <c r="I25080"/>
      <c r="N25080"/>
      <c r="O25080" s="24"/>
      <c r="P25080"/>
      <c r="Q25080" s="24"/>
      <c r="R25080"/>
      <c r="S25080"/>
      <c r="T25080"/>
      <c r="U25080"/>
      <c r="X25080" s="60"/>
    </row>
    <row r="25081" spans="7:24" ht="15" customHeight="1">
      <c r="G25081"/>
      <c r="I25081"/>
      <c r="N25081"/>
      <c r="O25081" s="24"/>
      <c r="P25081"/>
      <c r="Q25081" s="24"/>
      <c r="R25081"/>
      <c r="S25081"/>
      <c r="T25081"/>
      <c r="U25081"/>
      <c r="X25081" s="60"/>
    </row>
    <row r="25082" spans="7:24" ht="15" customHeight="1">
      <c r="G25082"/>
      <c r="I25082"/>
      <c r="N25082"/>
      <c r="O25082" s="24"/>
      <c r="P25082"/>
      <c r="Q25082" s="24"/>
      <c r="R25082"/>
      <c r="S25082"/>
      <c r="T25082"/>
      <c r="U25082"/>
      <c r="X25082" s="60"/>
    </row>
    <row r="25083" spans="7:24" ht="15" customHeight="1">
      <c r="G25083"/>
      <c r="I25083"/>
      <c r="N25083"/>
      <c r="O25083" s="24"/>
      <c r="P25083"/>
      <c r="Q25083" s="24"/>
      <c r="R25083"/>
      <c r="S25083"/>
      <c r="T25083"/>
      <c r="U25083"/>
      <c r="X25083" s="60"/>
    </row>
    <row r="25084" spans="7:24" ht="15" customHeight="1">
      <c r="G25084"/>
      <c r="I25084"/>
      <c r="N25084"/>
      <c r="O25084" s="24"/>
      <c r="P25084"/>
      <c r="Q25084" s="24"/>
      <c r="R25084"/>
      <c r="S25084"/>
      <c r="T25084"/>
      <c r="U25084"/>
      <c r="X25084" s="60"/>
    </row>
    <row r="25085" spans="7:24" ht="15" customHeight="1">
      <c r="G25085"/>
      <c r="I25085"/>
      <c r="N25085"/>
      <c r="O25085" s="24"/>
      <c r="P25085"/>
      <c r="Q25085" s="24"/>
      <c r="R25085"/>
      <c r="S25085"/>
      <c r="T25085"/>
      <c r="U25085"/>
      <c r="X25085" s="60"/>
    </row>
    <row r="25086" spans="7:24" ht="15" customHeight="1">
      <c r="G25086"/>
      <c r="I25086"/>
      <c r="N25086"/>
      <c r="O25086" s="24"/>
      <c r="P25086"/>
      <c r="Q25086" s="24"/>
      <c r="R25086"/>
      <c r="S25086"/>
      <c r="T25086"/>
      <c r="U25086"/>
      <c r="X25086" s="60"/>
    </row>
    <row r="25087" spans="7:24" ht="15" customHeight="1">
      <c r="G25087"/>
      <c r="I25087"/>
      <c r="N25087"/>
      <c r="O25087" s="24"/>
      <c r="P25087"/>
      <c r="Q25087" s="24"/>
      <c r="R25087"/>
      <c r="S25087"/>
      <c r="T25087"/>
      <c r="U25087"/>
      <c r="X25087" s="60"/>
    </row>
    <row r="25088" spans="7:24" ht="15" customHeight="1">
      <c r="G25088"/>
      <c r="I25088"/>
      <c r="N25088"/>
      <c r="O25088" s="24"/>
      <c r="P25088"/>
      <c r="Q25088" s="24"/>
      <c r="R25088"/>
      <c r="S25088"/>
      <c r="T25088"/>
      <c r="U25088"/>
      <c r="X25088" s="60"/>
    </row>
    <row r="25089" spans="7:24" ht="15" customHeight="1">
      <c r="G25089"/>
      <c r="I25089"/>
      <c r="N25089"/>
      <c r="O25089" s="24"/>
      <c r="P25089"/>
      <c r="Q25089" s="24"/>
      <c r="R25089"/>
      <c r="S25089"/>
      <c r="T25089"/>
      <c r="U25089"/>
      <c r="X25089" s="60"/>
    </row>
    <row r="25090" spans="7:24" ht="15" customHeight="1">
      <c r="G25090"/>
      <c r="I25090"/>
      <c r="N25090"/>
      <c r="O25090" s="24"/>
      <c r="P25090"/>
      <c r="Q25090" s="24"/>
      <c r="R25090"/>
      <c r="S25090"/>
      <c r="T25090"/>
      <c r="U25090"/>
      <c r="X25090" s="60"/>
    </row>
    <row r="25091" spans="7:24" ht="15" customHeight="1">
      <c r="G25091"/>
      <c r="I25091"/>
      <c r="N25091"/>
      <c r="O25091" s="24"/>
      <c r="P25091"/>
      <c r="Q25091" s="24"/>
      <c r="R25091"/>
      <c r="S25091"/>
      <c r="T25091"/>
      <c r="U25091"/>
      <c r="X25091" s="60"/>
    </row>
    <row r="25092" spans="7:24" ht="15" customHeight="1">
      <c r="G25092"/>
      <c r="I25092"/>
      <c r="N25092"/>
      <c r="O25092" s="24"/>
      <c r="P25092"/>
      <c r="Q25092" s="24"/>
      <c r="R25092"/>
      <c r="S25092"/>
      <c r="T25092"/>
      <c r="U25092"/>
      <c r="X25092" s="60"/>
    </row>
    <row r="25093" spans="7:24" ht="15" customHeight="1">
      <c r="G25093"/>
      <c r="I25093"/>
      <c r="N25093"/>
      <c r="O25093" s="24"/>
      <c r="P25093"/>
      <c r="Q25093" s="24"/>
      <c r="R25093"/>
      <c r="S25093"/>
      <c r="T25093"/>
      <c r="U25093"/>
      <c r="X25093" s="60"/>
    </row>
    <row r="25094" spans="7:24" ht="15" customHeight="1">
      <c r="G25094"/>
      <c r="I25094"/>
      <c r="N25094"/>
      <c r="O25094" s="24"/>
      <c r="P25094"/>
      <c r="Q25094" s="24"/>
      <c r="R25094"/>
      <c r="S25094"/>
      <c r="T25094"/>
      <c r="U25094"/>
      <c r="X25094" s="60"/>
    </row>
    <row r="25095" spans="7:24" ht="15" customHeight="1">
      <c r="G25095"/>
      <c r="I25095"/>
      <c r="N25095"/>
      <c r="O25095" s="24"/>
      <c r="P25095"/>
      <c r="Q25095" s="24"/>
      <c r="R25095"/>
      <c r="S25095"/>
      <c r="T25095"/>
      <c r="U25095"/>
      <c r="X25095" s="60"/>
    </row>
    <row r="25096" spans="7:24" ht="15" customHeight="1">
      <c r="G25096"/>
      <c r="I25096"/>
      <c r="N25096"/>
      <c r="O25096" s="24"/>
      <c r="P25096"/>
      <c r="Q25096" s="24"/>
      <c r="R25096"/>
      <c r="S25096"/>
      <c r="T25096"/>
      <c r="U25096"/>
      <c r="X25096" s="60"/>
    </row>
    <row r="25097" spans="7:24" ht="15" customHeight="1">
      <c r="G25097"/>
      <c r="I25097"/>
      <c r="N25097"/>
      <c r="O25097" s="24"/>
      <c r="P25097"/>
      <c r="Q25097" s="24"/>
      <c r="R25097"/>
      <c r="S25097"/>
      <c r="T25097"/>
      <c r="U25097"/>
      <c r="X25097" s="60"/>
    </row>
    <row r="25098" spans="7:24" ht="15" customHeight="1">
      <c r="G25098"/>
      <c r="I25098"/>
      <c r="N25098"/>
      <c r="O25098" s="24"/>
      <c r="P25098"/>
      <c r="Q25098" s="24"/>
      <c r="R25098"/>
      <c r="S25098"/>
      <c r="T25098"/>
      <c r="U25098"/>
      <c r="X25098" s="60"/>
    </row>
    <row r="25099" spans="7:24" ht="15" customHeight="1">
      <c r="G25099"/>
      <c r="I25099"/>
      <c r="N25099"/>
      <c r="O25099" s="24"/>
      <c r="P25099"/>
      <c r="Q25099" s="24"/>
      <c r="R25099"/>
      <c r="S25099"/>
      <c r="T25099"/>
      <c r="U25099"/>
      <c r="X25099" s="60"/>
    </row>
    <row r="25100" spans="7:24" ht="15" customHeight="1">
      <c r="G25100"/>
      <c r="I25100"/>
      <c r="N25100"/>
      <c r="O25100" s="24"/>
      <c r="P25100"/>
      <c r="Q25100" s="24"/>
      <c r="R25100"/>
      <c r="S25100"/>
      <c r="T25100"/>
      <c r="U25100"/>
      <c r="X25100" s="60"/>
    </row>
    <row r="25101" spans="7:24" ht="15" customHeight="1">
      <c r="G25101"/>
      <c r="I25101"/>
      <c r="N25101"/>
      <c r="O25101" s="24"/>
      <c r="P25101"/>
      <c r="Q25101" s="24"/>
      <c r="R25101"/>
      <c r="S25101"/>
      <c r="T25101"/>
      <c r="U25101"/>
      <c r="X25101" s="60"/>
    </row>
    <row r="25102" spans="7:24" ht="15" customHeight="1">
      <c r="G25102"/>
      <c r="I25102"/>
      <c r="N25102"/>
      <c r="O25102" s="24"/>
      <c r="P25102"/>
      <c r="Q25102" s="24"/>
      <c r="R25102"/>
      <c r="S25102"/>
      <c r="T25102"/>
      <c r="U25102"/>
      <c r="X25102" s="60"/>
    </row>
    <row r="25103" spans="7:24" ht="15" customHeight="1">
      <c r="G25103"/>
      <c r="I25103"/>
      <c r="N25103"/>
      <c r="O25103" s="24"/>
      <c r="P25103"/>
      <c r="Q25103" s="24"/>
      <c r="R25103"/>
      <c r="S25103"/>
      <c r="T25103"/>
      <c r="U25103"/>
      <c r="X25103" s="60"/>
    </row>
    <row r="25104" spans="7:24" ht="15" customHeight="1">
      <c r="G25104"/>
      <c r="I25104"/>
      <c r="N25104"/>
      <c r="O25104" s="24"/>
      <c r="P25104"/>
      <c r="Q25104" s="24"/>
      <c r="R25104"/>
      <c r="S25104"/>
      <c r="T25104"/>
      <c r="U25104"/>
      <c r="X25104" s="60"/>
    </row>
    <row r="25105" spans="7:24" ht="15" customHeight="1">
      <c r="G25105"/>
      <c r="I25105"/>
      <c r="N25105"/>
      <c r="O25105" s="24"/>
      <c r="P25105"/>
      <c r="Q25105" s="24"/>
      <c r="R25105"/>
      <c r="S25105"/>
      <c r="T25105"/>
      <c r="U25105"/>
      <c r="X25105" s="60"/>
    </row>
    <row r="25106" spans="7:24" ht="15" customHeight="1">
      <c r="G25106"/>
      <c r="I25106"/>
      <c r="N25106"/>
      <c r="O25106" s="24"/>
      <c r="P25106"/>
      <c r="Q25106" s="24"/>
      <c r="R25106"/>
      <c r="S25106"/>
      <c r="T25106"/>
      <c r="U25106"/>
      <c r="X25106" s="60"/>
    </row>
    <row r="25107" spans="7:24" ht="15" customHeight="1">
      <c r="G25107"/>
      <c r="I25107"/>
      <c r="N25107"/>
      <c r="O25107" s="24"/>
      <c r="P25107"/>
      <c r="Q25107" s="24"/>
      <c r="R25107"/>
      <c r="S25107"/>
      <c r="T25107"/>
      <c r="U25107"/>
      <c r="X25107" s="60"/>
    </row>
    <row r="25108" spans="7:24" ht="15" customHeight="1">
      <c r="G25108"/>
      <c r="I25108"/>
      <c r="N25108"/>
      <c r="O25108" s="24"/>
      <c r="P25108"/>
      <c r="Q25108" s="24"/>
      <c r="R25108"/>
      <c r="S25108"/>
      <c r="T25108"/>
      <c r="U25108"/>
      <c r="X25108" s="60"/>
    </row>
    <row r="25109" spans="7:24" ht="15" customHeight="1">
      <c r="G25109"/>
      <c r="I25109"/>
      <c r="N25109"/>
      <c r="O25109" s="24"/>
      <c r="P25109"/>
      <c r="Q25109" s="24"/>
      <c r="R25109"/>
      <c r="S25109"/>
      <c r="T25109"/>
      <c r="U25109"/>
      <c r="X25109" s="60"/>
    </row>
    <row r="25110" spans="7:24" ht="15" customHeight="1">
      <c r="G25110"/>
      <c r="I25110"/>
      <c r="N25110"/>
      <c r="O25110" s="24"/>
      <c r="P25110"/>
      <c r="Q25110" s="24"/>
      <c r="R25110"/>
      <c r="S25110"/>
      <c r="T25110"/>
      <c r="U25110"/>
      <c r="X25110" s="60"/>
    </row>
    <row r="25111" spans="7:24" ht="15" customHeight="1">
      <c r="G25111"/>
      <c r="I25111"/>
      <c r="N25111"/>
      <c r="O25111" s="24"/>
      <c r="P25111"/>
      <c r="Q25111" s="24"/>
      <c r="R25111"/>
      <c r="S25111"/>
      <c r="T25111"/>
      <c r="U25111"/>
      <c r="X25111" s="60"/>
    </row>
    <row r="25112" spans="7:24" ht="15" customHeight="1">
      <c r="G25112"/>
      <c r="I25112"/>
      <c r="N25112"/>
      <c r="O25112" s="24"/>
      <c r="P25112"/>
      <c r="Q25112" s="24"/>
      <c r="R25112"/>
      <c r="S25112"/>
      <c r="T25112"/>
      <c r="U25112"/>
      <c r="X25112" s="60"/>
    </row>
    <row r="25113" spans="7:24" ht="15" customHeight="1">
      <c r="G25113"/>
      <c r="I25113"/>
      <c r="N25113"/>
      <c r="O25113" s="24"/>
      <c r="P25113"/>
      <c r="Q25113" s="24"/>
      <c r="R25113"/>
      <c r="S25113"/>
      <c r="T25113"/>
      <c r="U25113"/>
      <c r="X25113" s="60"/>
    </row>
    <row r="25114" spans="7:24" ht="15" customHeight="1">
      <c r="G25114"/>
      <c r="I25114"/>
      <c r="N25114"/>
      <c r="O25114" s="24"/>
      <c r="P25114"/>
      <c r="Q25114" s="24"/>
      <c r="R25114"/>
      <c r="S25114"/>
      <c r="T25114"/>
      <c r="U25114"/>
      <c r="X25114" s="60"/>
    </row>
    <row r="25115" spans="7:24" ht="15" customHeight="1">
      <c r="G25115"/>
      <c r="I25115"/>
      <c r="N25115"/>
      <c r="O25115" s="24"/>
      <c r="P25115"/>
      <c r="Q25115" s="24"/>
      <c r="R25115"/>
      <c r="S25115"/>
      <c r="T25115"/>
      <c r="U25115"/>
      <c r="X25115" s="60"/>
    </row>
    <row r="25116" spans="7:24" ht="15" customHeight="1">
      <c r="G25116"/>
      <c r="I25116"/>
      <c r="N25116"/>
      <c r="O25116" s="24"/>
      <c r="P25116"/>
      <c r="Q25116" s="24"/>
      <c r="R25116"/>
      <c r="S25116"/>
      <c r="T25116"/>
      <c r="U25116"/>
      <c r="X25116" s="60"/>
    </row>
    <row r="25117" spans="7:24" ht="15" customHeight="1">
      <c r="G25117"/>
      <c r="I25117"/>
      <c r="N25117"/>
      <c r="O25117" s="24"/>
      <c r="P25117"/>
      <c r="Q25117" s="24"/>
      <c r="R25117"/>
      <c r="S25117"/>
      <c r="T25117"/>
      <c r="U25117"/>
      <c r="X25117" s="60"/>
    </row>
    <row r="25118" spans="7:24" ht="15" customHeight="1">
      <c r="G25118"/>
      <c r="I25118"/>
      <c r="N25118"/>
      <c r="O25118" s="24"/>
      <c r="P25118"/>
      <c r="Q25118" s="24"/>
      <c r="R25118"/>
      <c r="S25118"/>
      <c r="T25118"/>
      <c r="U25118"/>
      <c r="X25118" s="60"/>
    </row>
    <row r="25119" spans="7:24" ht="15" customHeight="1">
      <c r="G25119"/>
      <c r="I25119"/>
      <c r="N25119"/>
      <c r="O25119" s="24"/>
      <c r="P25119"/>
      <c r="Q25119" s="24"/>
      <c r="R25119"/>
      <c r="S25119"/>
      <c r="T25119"/>
      <c r="U25119"/>
      <c r="X25119" s="60"/>
    </row>
    <row r="25120" spans="7:24" ht="15" customHeight="1">
      <c r="G25120"/>
      <c r="I25120"/>
      <c r="N25120"/>
      <c r="O25120" s="24"/>
      <c r="P25120"/>
      <c r="Q25120" s="24"/>
      <c r="R25120"/>
      <c r="S25120"/>
      <c r="T25120"/>
      <c r="U25120"/>
      <c r="X25120" s="60"/>
    </row>
    <row r="25121" spans="7:24" ht="15" customHeight="1">
      <c r="G25121"/>
      <c r="I25121"/>
      <c r="N25121"/>
      <c r="O25121" s="24"/>
      <c r="P25121"/>
      <c r="Q25121" s="24"/>
      <c r="R25121"/>
      <c r="S25121"/>
      <c r="T25121"/>
      <c r="U25121"/>
      <c r="X25121" s="60"/>
    </row>
    <row r="25122" spans="7:24" ht="15" customHeight="1">
      <c r="G25122"/>
      <c r="I25122"/>
      <c r="N25122"/>
      <c r="O25122" s="24"/>
      <c r="P25122"/>
      <c r="Q25122" s="24"/>
      <c r="R25122"/>
      <c r="S25122"/>
      <c r="T25122"/>
      <c r="U25122"/>
      <c r="X25122" s="60"/>
    </row>
    <row r="25123" spans="7:24" ht="15" customHeight="1">
      <c r="G25123"/>
      <c r="I25123"/>
      <c r="N25123"/>
      <c r="O25123" s="24"/>
      <c r="P25123"/>
      <c r="Q25123" s="24"/>
      <c r="R25123"/>
      <c r="S25123"/>
      <c r="T25123"/>
      <c r="U25123"/>
      <c r="X25123" s="60"/>
    </row>
    <row r="25124" spans="7:24" ht="15" customHeight="1">
      <c r="G25124"/>
      <c r="I25124"/>
      <c r="N25124"/>
      <c r="O25124" s="24"/>
      <c r="P25124"/>
      <c r="Q25124" s="24"/>
      <c r="R25124"/>
      <c r="S25124"/>
      <c r="T25124"/>
      <c r="U25124"/>
      <c r="X25124" s="60"/>
    </row>
    <row r="25125" spans="7:24" ht="15" customHeight="1">
      <c r="G25125"/>
      <c r="I25125"/>
      <c r="N25125"/>
      <c r="O25125" s="24"/>
      <c r="P25125"/>
      <c r="Q25125" s="24"/>
      <c r="R25125"/>
      <c r="S25125"/>
      <c r="T25125"/>
      <c r="U25125"/>
      <c r="X25125" s="60"/>
    </row>
    <row r="25126" spans="7:24" ht="15" customHeight="1">
      <c r="G25126"/>
      <c r="I25126"/>
      <c r="N25126"/>
      <c r="O25126" s="24"/>
      <c r="P25126"/>
      <c r="Q25126" s="24"/>
      <c r="R25126"/>
      <c r="S25126"/>
      <c r="T25126"/>
      <c r="U25126"/>
      <c r="X25126" s="60"/>
    </row>
    <row r="25127" spans="7:24" ht="15" customHeight="1">
      <c r="G25127"/>
      <c r="I25127"/>
      <c r="N25127"/>
      <c r="O25127" s="24"/>
      <c r="P25127"/>
      <c r="Q25127" s="24"/>
      <c r="R25127"/>
      <c r="S25127"/>
      <c r="T25127"/>
      <c r="U25127"/>
      <c r="X25127" s="60"/>
    </row>
    <row r="25128" spans="7:24" ht="15" customHeight="1">
      <c r="G25128"/>
      <c r="I25128"/>
      <c r="N25128"/>
      <c r="O25128" s="24"/>
      <c r="P25128"/>
      <c r="Q25128" s="24"/>
      <c r="R25128"/>
      <c r="S25128"/>
      <c r="T25128"/>
      <c r="U25128"/>
      <c r="X25128" s="60"/>
    </row>
    <row r="25129" spans="7:24" ht="15" customHeight="1">
      <c r="G25129"/>
      <c r="I25129"/>
      <c r="N25129"/>
      <c r="O25129" s="24"/>
      <c r="P25129"/>
      <c r="Q25129" s="24"/>
      <c r="R25129"/>
      <c r="S25129"/>
      <c r="T25129"/>
      <c r="U25129"/>
      <c r="X25129" s="60"/>
    </row>
    <row r="25130" spans="7:24" ht="15" customHeight="1">
      <c r="G25130"/>
      <c r="I25130"/>
      <c r="N25130"/>
      <c r="O25130" s="24"/>
      <c r="P25130"/>
      <c r="Q25130" s="24"/>
      <c r="R25130"/>
      <c r="S25130"/>
      <c r="T25130"/>
      <c r="U25130"/>
      <c r="X25130" s="60"/>
    </row>
    <row r="25131" spans="7:24" ht="15" customHeight="1">
      <c r="G25131"/>
      <c r="I25131"/>
      <c r="N25131"/>
      <c r="O25131" s="24"/>
      <c r="P25131"/>
      <c r="Q25131" s="24"/>
      <c r="R25131"/>
      <c r="S25131"/>
      <c r="T25131"/>
      <c r="U25131"/>
      <c r="X25131" s="60"/>
    </row>
    <row r="25132" spans="7:24" ht="15" customHeight="1">
      <c r="G25132"/>
      <c r="I25132"/>
      <c r="N25132"/>
      <c r="O25132" s="24"/>
      <c r="P25132"/>
      <c r="Q25132" s="24"/>
      <c r="R25132"/>
      <c r="S25132"/>
      <c r="T25132"/>
      <c r="U25132"/>
      <c r="X25132" s="60"/>
    </row>
    <row r="25133" spans="7:24" ht="15" customHeight="1">
      <c r="G25133"/>
      <c r="I25133"/>
      <c r="N25133"/>
      <c r="O25133" s="24"/>
      <c r="P25133"/>
      <c r="Q25133" s="24"/>
      <c r="R25133"/>
      <c r="S25133"/>
      <c r="T25133"/>
      <c r="U25133"/>
      <c r="X25133" s="60"/>
    </row>
    <row r="25134" spans="7:24" ht="15" customHeight="1">
      <c r="G25134"/>
      <c r="I25134"/>
      <c r="N25134"/>
      <c r="O25134" s="24"/>
      <c r="P25134"/>
      <c r="Q25134" s="24"/>
      <c r="R25134"/>
      <c r="S25134"/>
      <c r="T25134"/>
      <c r="U25134"/>
      <c r="X25134" s="60"/>
    </row>
    <row r="25135" spans="7:24" ht="15" customHeight="1">
      <c r="G25135"/>
      <c r="I25135"/>
      <c r="N25135"/>
      <c r="O25135" s="24"/>
      <c r="P25135"/>
      <c r="Q25135" s="24"/>
      <c r="R25135"/>
      <c r="S25135"/>
      <c r="T25135"/>
      <c r="U25135"/>
      <c r="X25135" s="60"/>
    </row>
    <row r="25136" spans="7:24" ht="15" customHeight="1">
      <c r="G25136"/>
      <c r="I25136"/>
      <c r="N25136"/>
      <c r="O25136" s="24"/>
      <c r="P25136"/>
      <c r="Q25136" s="24"/>
      <c r="R25136"/>
      <c r="S25136"/>
      <c r="T25136"/>
      <c r="U25136"/>
      <c r="X25136" s="60"/>
    </row>
    <row r="25137" spans="7:24" ht="15" customHeight="1">
      <c r="G25137"/>
      <c r="I25137"/>
      <c r="N25137"/>
      <c r="O25137" s="24"/>
      <c r="P25137"/>
      <c r="Q25137" s="24"/>
      <c r="R25137"/>
      <c r="S25137"/>
      <c r="T25137"/>
      <c r="U25137"/>
      <c r="X25137" s="60"/>
    </row>
    <row r="25138" spans="7:24" ht="15" customHeight="1">
      <c r="G25138"/>
      <c r="I25138"/>
      <c r="N25138"/>
      <c r="O25138" s="24"/>
      <c r="P25138"/>
      <c r="Q25138" s="24"/>
      <c r="R25138"/>
      <c r="S25138"/>
      <c r="T25138"/>
      <c r="U25138"/>
      <c r="X25138" s="60"/>
    </row>
    <row r="25139" spans="7:24" ht="15" customHeight="1">
      <c r="G25139"/>
      <c r="I25139"/>
      <c r="N25139"/>
      <c r="O25139" s="24"/>
      <c r="P25139"/>
      <c r="Q25139" s="24"/>
      <c r="R25139"/>
      <c r="S25139"/>
      <c r="T25139"/>
      <c r="U25139"/>
      <c r="X25139" s="60"/>
    </row>
    <row r="25140" spans="7:24" ht="15" customHeight="1">
      <c r="G25140"/>
      <c r="I25140"/>
      <c r="N25140"/>
      <c r="O25140" s="24"/>
      <c r="P25140"/>
      <c r="Q25140" s="24"/>
      <c r="R25140"/>
      <c r="S25140"/>
      <c r="T25140"/>
      <c r="U25140"/>
      <c r="X25140" s="60"/>
    </row>
    <row r="25141" spans="7:24" ht="15" customHeight="1">
      <c r="G25141"/>
      <c r="I25141"/>
      <c r="N25141"/>
      <c r="O25141" s="24"/>
      <c r="P25141"/>
      <c r="Q25141" s="24"/>
      <c r="R25141"/>
      <c r="S25141"/>
      <c r="T25141"/>
      <c r="U25141"/>
      <c r="X25141" s="60"/>
    </row>
    <row r="25142" spans="7:24" ht="15" customHeight="1">
      <c r="G25142"/>
      <c r="I25142"/>
      <c r="N25142"/>
      <c r="O25142" s="24"/>
      <c r="P25142"/>
      <c r="Q25142" s="24"/>
      <c r="R25142"/>
      <c r="S25142"/>
      <c r="T25142"/>
      <c r="U25142"/>
      <c r="X25142" s="60"/>
    </row>
    <row r="25143" spans="7:24" ht="15" customHeight="1">
      <c r="G25143"/>
      <c r="I25143"/>
      <c r="N25143"/>
      <c r="O25143" s="24"/>
      <c r="P25143"/>
      <c r="Q25143" s="24"/>
      <c r="R25143"/>
      <c r="S25143"/>
      <c r="T25143"/>
      <c r="U25143"/>
      <c r="X25143" s="60"/>
    </row>
    <row r="25144" spans="7:24" ht="15" customHeight="1">
      <c r="G25144"/>
      <c r="I25144"/>
      <c r="N25144"/>
      <c r="O25144" s="24"/>
      <c r="P25144"/>
      <c r="Q25144" s="24"/>
      <c r="R25144"/>
      <c r="S25144"/>
      <c r="T25144"/>
      <c r="U25144"/>
      <c r="X25144" s="60"/>
    </row>
    <row r="25145" spans="7:24" ht="15" customHeight="1">
      <c r="G25145"/>
      <c r="I25145"/>
      <c r="N25145"/>
      <c r="O25145" s="24"/>
      <c r="P25145"/>
      <c r="Q25145" s="24"/>
      <c r="R25145"/>
      <c r="S25145"/>
      <c r="T25145"/>
      <c r="U25145"/>
      <c r="X25145" s="60"/>
    </row>
    <row r="25146" spans="7:24" ht="15" customHeight="1">
      <c r="G25146"/>
      <c r="I25146"/>
      <c r="N25146"/>
      <c r="O25146" s="24"/>
      <c r="P25146"/>
      <c r="Q25146" s="24"/>
      <c r="R25146"/>
      <c r="S25146"/>
      <c r="T25146"/>
      <c r="U25146"/>
      <c r="X25146" s="60"/>
    </row>
    <row r="25147" spans="7:24" ht="15" customHeight="1">
      <c r="G25147"/>
      <c r="I25147"/>
      <c r="N25147"/>
      <c r="O25147" s="24"/>
      <c r="P25147"/>
      <c r="Q25147" s="24"/>
      <c r="R25147"/>
      <c r="S25147"/>
      <c r="T25147"/>
      <c r="U25147"/>
      <c r="X25147" s="60"/>
    </row>
    <row r="25148" spans="7:24" ht="15" customHeight="1">
      <c r="G25148"/>
      <c r="I25148"/>
      <c r="N25148"/>
      <c r="O25148" s="24"/>
      <c r="P25148"/>
      <c r="Q25148" s="24"/>
      <c r="R25148"/>
      <c r="S25148"/>
      <c r="T25148"/>
      <c r="U25148"/>
      <c r="X25148" s="60"/>
    </row>
    <row r="25149" spans="7:24" ht="15" customHeight="1">
      <c r="G25149"/>
      <c r="I25149"/>
      <c r="N25149"/>
      <c r="O25149" s="24"/>
      <c r="P25149"/>
      <c r="Q25149" s="24"/>
      <c r="R25149"/>
      <c r="S25149"/>
      <c r="T25149"/>
      <c r="U25149"/>
      <c r="X25149" s="60"/>
    </row>
    <row r="25150" spans="7:24" ht="15" customHeight="1">
      <c r="G25150"/>
      <c r="I25150"/>
      <c r="N25150"/>
      <c r="O25150" s="24"/>
      <c r="P25150"/>
      <c r="Q25150" s="24"/>
      <c r="R25150"/>
      <c r="S25150"/>
      <c r="T25150"/>
      <c r="U25150"/>
      <c r="X25150" s="60"/>
    </row>
    <row r="25151" spans="7:24" ht="15" customHeight="1">
      <c r="G25151"/>
      <c r="I25151"/>
      <c r="N25151"/>
      <c r="O25151" s="24"/>
      <c r="P25151"/>
      <c r="Q25151" s="24"/>
      <c r="R25151"/>
      <c r="S25151"/>
      <c r="T25151"/>
      <c r="U25151"/>
      <c r="X25151" s="60"/>
    </row>
    <row r="25152" spans="7:24" ht="15" customHeight="1">
      <c r="G25152"/>
      <c r="I25152"/>
      <c r="N25152"/>
      <c r="O25152" s="24"/>
      <c r="P25152"/>
      <c r="Q25152" s="24"/>
      <c r="R25152"/>
      <c r="S25152"/>
      <c r="T25152"/>
      <c r="U25152"/>
      <c r="X25152" s="60"/>
    </row>
    <row r="25153" spans="7:24" ht="15" customHeight="1">
      <c r="G25153"/>
      <c r="I25153"/>
      <c r="N25153"/>
      <c r="O25153" s="24"/>
      <c r="P25153"/>
      <c r="Q25153" s="24"/>
      <c r="R25153"/>
      <c r="S25153"/>
      <c r="T25153"/>
      <c r="U25153"/>
      <c r="X25153" s="60"/>
    </row>
    <row r="25154" spans="7:24" ht="15" customHeight="1">
      <c r="G25154"/>
      <c r="I25154"/>
      <c r="N25154"/>
      <c r="O25154" s="24"/>
      <c r="P25154"/>
      <c r="Q25154" s="24"/>
      <c r="R25154"/>
      <c r="S25154"/>
      <c r="T25154"/>
      <c r="U25154"/>
      <c r="X25154" s="60"/>
    </row>
    <row r="25155" spans="7:24" ht="15" customHeight="1">
      <c r="G25155"/>
      <c r="I25155"/>
      <c r="N25155"/>
      <c r="O25155" s="24"/>
      <c r="P25155"/>
      <c r="Q25155" s="24"/>
      <c r="R25155"/>
      <c r="S25155"/>
      <c r="T25155"/>
      <c r="U25155"/>
      <c r="X25155" s="60"/>
    </row>
    <row r="25156" spans="7:24" ht="15" customHeight="1">
      <c r="G25156"/>
      <c r="I25156"/>
      <c r="N25156"/>
      <c r="O25156" s="24"/>
      <c r="P25156"/>
      <c r="Q25156" s="24"/>
      <c r="R25156"/>
      <c r="S25156"/>
      <c r="T25156"/>
      <c r="U25156"/>
      <c r="X25156" s="60"/>
    </row>
    <row r="25157" spans="7:24" ht="15" customHeight="1">
      <c r="G25157"/>
      <c r="I25157"/>
      <c r="N25157"/>
      <c r="O25157" s="24"/>
      <c r="P25157"/>
      <c r="Q25157" s="24"/>
      <c r="R25157"/>
      <c r="S25157"/>
      <c r="T25157"/>
      <c r="U25157"/>
      <c r="X25157" s="60"/>
    </row>
    <row r="25158" spans="7:24" ht="15" customHeight="1">
      <c r="G25158"/>
      <c r="I25158"/>
      <c r="N25158"/>
      <c r="O25158" s="24"/>
      <c r="P25158"/>
      <c r="Q25158" s="24"/>
      <c r="R25158"/>
      <c r="S25158"/>
      <c r="T25158"/>
      <c r="U25158"/>
      <c r="X25158" s="60"/>
    </row>
    <row r="25159" spans="7:24" ht="15" customHeight="1">
      <c r="G25159"/>
      <c r="I25159"/>
      <c r="N25159"/>
      <c r="O25159" s="24"/>
      <c r="P25159"/>
      <c r="Q25159" s="24"/>
      <c r="R25159"/>
      <c r="S25159"/>
      <c r="T25159"/>
      <c r="U25159"/>
      <c r="X25159" s="60"/>
    </row>
    <row r="25160" spans="7:24" ht="15" customHeight="1">
      <c r="G25160"/>
      <c r="I25160"/>
      <c r="N25160"/>
      <c r="O25160" s="24"/>
      <c r="P25160"/>
      <c r="Q25160" s="24"/>
      <c r="R25160"/>
      <c r="S25160"/>
      <c r="T25160"/>
      <c r="U25160"/>
      <c r="X25160" s="60"/>
    </row>
    <row r="25161" spans="7:24" ht="15" customHeight="1">
      <c r="G25161"/>
      <c r="I25161"/>
      <c r="N25161"/>
      <c r="O25161" s="24"/>
      <c r="P25161"/>
      <c r="Q25161" s="24"/>
      <c r="R25161"/>
      <c r="S25161"/>
      <c r="T25161"/>
      <c r="U25161"/>
      <c r="X25161" s="60"/>
    </row>
    <row r="25162" spans="7:24" ht="15" customHeight="1">
      <c r="G25162"/>
      <c r="I25162"/>
      <c r="N25162"/>
      <c r="O25162" s="24"/>
      <c r="P25162"/>
      <c r="Q25162" s="24"/>
      <c r="R25162"/>
      <c r="S25162"/>
      <c r="T25162"/>
      <c r="U25162"/>
      <c r="X25162" s="60"/>
    </row>
    <row r="25163" spans="7:24" ht="15" customHeight="1">
      <c r="G25163"/>
      <c r="I25163"/>
      <c r="N25163"/>
      <c r="O25163" s="24"/>
      <c r="P25163"/>
      <c r="Q25163" s="24"/>
      <c r="R25163"/>
      <c r="S25163"/>
      <c r="T25163"/>
      <c r="U25163"/>
      <c r="X25163" s="60"/>
    </row>
    <row r="25164" spans="7:24" ht="15" customHeight="1">
      <c r="G25164"/>
      <c r="I25164"/>
      <c r="N25164"/>
      <c r="O25164" s="24"/>
      <c r="P25164"/>
      <c r="Q25164" s="24"/>
      <c r="R25164"/>
      <c r="S25164"/>
      <c r="T25164"/>
      <c r="U25164"/>
      <c r="X25164" s="60"/>
    </row>
    <row r="25165" spans="7:24" ht="15" customHeight="1">
      <c r="G25165"/>
      <c r="I25165"/>
      <c r="N25165"/>
      <c r="O25165" s="24"/>
      <c r="P25165"/>
      <c r="Q25165" s="24"/>
      <c r="R25165"/>
      <c r="S25165"/>
      <c r="T25165"/>
      <c r="U25165"/>
      <c r="X25165" s="60"/>
    </row>
    <row r="25166" spans="7:24" ht="15" customHeight="1">
      <c r="G25166"/>
      <c r="I25166"/>
      <c r="N25166"/>
      <c r="O25166" s="24"/>
      <c r="P25166"/>
      <c r="Q25166" s="24"/>
      <c r="R25166"/>
      <c r="S25166"/>
      <c r="T25166"/>
      <c r="U25166"/>
      <c r="X25166" s="60"/>
    </row>
    <row r="25167" spans="7:24" ht="15" customHeight="1">
      <c r="G25167"/>
      <c r="I25167"/>
      <c r="N25167"/>
      <c r="O25167" s="24"/>
      <c r="P25167"/>
      <c r="Q25167" s="24"/>
      <c r="R25167"/>
      <c r="S25167"/>
      <c r="T25167"/>
      <c r="U25167"/>
      <c r="X25167" s="60"/>
    </row>
    <row r="25168" spans="7:24" ht="15" customHeight="1">
      <c r="G25168"/>
      <c r="I25168"/>
      <c r="N25168"/>
      <c r="O25168" s="24"/>
      <c r="P25168"/>
      <c r="Q25168" s="24"/>
      <c r="R25168"/>
      <c r="S25168"/>
      <c r="T25168"/>
      <c r="U25168"/>
      <c r="X25168" s="60"/>
    </row>
    <row r="25169" spans="7:24" ht="15" customHeight="1">
      <c r="G25169"/>
      <c r="I25169"/>
      <c r="N25169"/>
      <c r="O25169" s="24"/>
      <c r="P25169"/>
      <c r="Q25169" s="24"/>
      <c r="R25169"/>
      <c r="S25169"/>
      <c r="T25169"/>
      <c r="U25169"/>
      <c r="X25169" s="60"/>
    </row>
    <row r="25170" spans="7:24" ht="15" customHeight="1">
      <c r="G25170"/>
      <c r="I25170"/>
      <c r="N25170"/>
      <c r="O25170" s="24"/>
      <c r="P25170"/>
      <c r="Q25170" s="24"/>
      <c r="R25170"/>
      <c r="S25170"/>
      <c r="T25170"/>
      <c r="U25170"/>
      <c r="X25170" s="60"/>
    </row>
    <row r="25171" spans="7:24" ht="15" customHeight="1">
      <c r="G25171"/>
      <c r="I25171"/>
      <c r="N25171"/>
      <c r="O25171" s="24"/>
      <c r="P25171"/>
      <c r="Q25171" s="24"/>
      <c r="R25171"/>
      <c r="S25171"/>
      <c r="T25171"/>
      <c r="U25171"/>
      <c r="X25171" s="60"/>
    </row>
    <row r="25172" spans="7:24" ht="15" customHeight="1">
      <c r="G25172"/>
      <c r="I25172"/>
      <c r="N25172"/>
      <c r="O25172" s="24"/>
      <c r="P25172"/>
      <c r="Q25172" s="24"/>
      <c r="R25172"/>
      <c r="S25172"/>
      <c r="T25172"/>
      <c r="U25172"/>
      <c r="X25172" s="60"/>
    </row>
    <row r="25173" spans="7:24" ht="15" customHeight="1">
      <c r="G25173"/>
      <c r="I25173"/>
      <c r="N25173"/>
      <c r="O25173" s="24"/>
      <c r="P25173"/>
      <c r="Q25173" s="24"/>
      <c r="R25173"/>
      <c r="S25173"/>
      <c r="T25173"/>
      <c r="U25173"/>
      <c r="X25173" s="60"/>
    </row>
    <row r="25174" spans="7:24" ht="15" customHeight="1">
      <c r="G25174"/>
      <c r="I25174"/>
      <c r="N25174"/>
      <c r="O25174" s="24"/>
      <c r="P25174"/>
      <c r="Q25174" s="24"/>
      <c r="R25174"/>
      <c r="S25174"/>
      <c r="T25174"/>
      <c r="U25174"/>
      <c r="X25174" s="60"/>
    </row>
    <row r="25175" spans="7:24" ht="15" customHeight="1">
      <c r="G25175"/>
      <c r="I25175"/>
      <c r="N25175"/>
      <c r="O25175" s="24"/>
      <c r="P25175"/>
      <c r="Q25175" s="24"/>
      <c r="R25175"/>
      <c r="S25175"/>
      <c r="T25175"/>
      <c r="U25175"/>
      <c r="X25175" s="60"/>
    </row>
    <row r="25176" spans="7:24" ht="15" customHeight="1">
      <c r="G25176"/>
      <c r="I25176"/>
      <c r="N25176"/>
      <c r="O25176" s="24"/>
      <c r="P25176"/>
      <c r="Q25176" s="24"/>
      <c r="R25176"/>
      <c r="S25176"/>
      <c r="T25176"/>
      <c r="U25176"/>
      <c r="X25176" s="60"/>
    </row>
    <row r="25177" spans="7:24" ht="15" customHeight="1">
      <c r="G25177"/>
      <c r="I25177"/>
      <c r="N25177"/>
      <c r="O25177" s="24"/>
      <c r="P25177"/>
      <c r="Q25177" s="24"/>
      <c r="R25177"/>
      <c r="S25177"/>
      <c r="T25177"/>
      <c r="U25177"/>
      <c r="X25177" s="60"/>
    </row>
    <row r="25178" spans="7:24" ht="15" customHeight="1">
      <c r="G25178"/>
      <c r="I25178"/>
      <c r="N25178"/>
      <c r="O25178" s="24"/>
      <c r="P25178"/>
      <c r="Q25178" s="24"/>
      <c r="R25178"/>
      <c r="S25178"/>
      <c r="T25178"/>
      <c r="U25178"/>
      <c r="X25178" s="60"/>
    </row>
    <row r="25179" spans="7:24" ht="15" customHeight="1">
      <c r="G25179"/>
      <c r="I25179"/>
      <c r="N25179"/>
      <c r="O25179" s="24"/>
      <c r="P25179"/>
      <c r="Q25179" s="24"/>
      <c r="R25179"/>
      <c r="S25179"/>
      <c r="T25179"/>
      <c r="U25179"/>
      <c r="X25179" s="60"/>
    </row>
    <row r="25180" spans="7:24" ht="15" customHeight="1">
      <c r="G25180"/>
      <c r="I25180"/>
      <c r="N25180"/>
      <c r="O25180" s="24"/>
      <c r="P25180"/>
      <c r="Q25180" s="24"/>
      <c r="R25180"/>
      <c r="S25180"/>
      <c r="T25180"/>
      <c r="U25180"/>
      <c r="X25180" s="60"/>
    </row>
    <row r="25181" spans="7:24" ht="15" customHeight="1">
      <c r="G25181"/>
      <c r="I25181"/>
      <c r="N25181"/>
      <c r="O25181" s="24"/>
      <c r="P25181"/>
      <c r="Q25181" s="24"/>
      <c r="R25181"/>
      <c r="S25181"/>
      <c r="T25181"/>
      <c r="U25181"/>
      <c r="X25181" s="60"/>
    </row>
    <row r="25182" spans="7:24" ht="15" customHeight="1">
      <c r="G25182"/>
      <c r="I25182"/>
      <c r="N25182"/>
      <c r="O25182" s="24"/>
      <c r="P25182"/>
      <c r="Q25182" s="24"/>
      <c r="R25182"/>
      <c r="S25182"/>
      <c r="T25182"/>
      <c r="U25182"/>
      <c r="X25182" s="60"/>
    </row>
    <row r="25183" spans="7:24" ht="15" customHeight="1">
      <c r="G25183"/>
      <c r="I25183"/>
      <c r="N25183"/>
      <c r="O25183" s="24"/>
      <c r="P25183"/>
      <c r="Q25183" s="24"/>
      <c r="R25183"/>
      <c r="S25183"/>
      <c r="T25183"/>
      <c r="U25183"/>
      <c r="X25183" s="60"/>
    </row>
    <row r="25184" spans="7:24" ht="15" customHeight="1">
      <c r="G25184"/>
      <c r="I25184"/>
      <c r="N25184"/>
      <c r="O25184" s="24"/>
      <c r="P25184"/>
      <c r="Q25184" s="24"/>
      <c r="R25184"/>
      <c r="S25184"/>
      <c r="T25184"/>
      <c r="U25184"/>
      <c r="X25184" s="60"/>
    </row>
    <row r="25185" spans="7:24" ht="15" customHeight="1">
      <c r="G25185"/>
      <c r="I25185"/>
      <c r="N25185"/>
      <c r="O25185" s="24"/>
      <c r="P25185"/>
      <c r="Q25185" s="24"/>
      <c r="R25185"/>
      <c r="S25185"/>
      <c r="T25185"/>
      <c r="U25185"/>
      <c r="X25185" s="60"/>
    </row>
    <row r="25186" spans="7:24" ht="15" customHeight="1">
      <c r="G25186"/>
      <c r="I25186"/>
      <c r="N25186"/>
      <c r="O25186" s="24"/>
      <c r="P25186"/>
      <c r="Q25186" s="24"/>
      <c r="R25186"/>
      <c r="S25186"/>
      <c r="T25186"/>
      <c r="U25186"/>
      <c r="X25186" s="60"/>
    </row>
    <row r="25187" spans="7:24" ht="15" customHeight="1">
      <c r="G25187"/>
      <c r="I25187"/>
      <c r="N25187"/>
      <c r="O25187" s="24"/>
      <c r="P25187"/>
      <c r="Q25187" s="24"/>
      <c r="R25187"/>
      <c r="S25187"/>
      <c r="T25187"/>
      <c r="U25187"/>
      <c r="X25187" s="60"/>
    </row>
    <row r="25188" spans="7:24" ht="15" customHeight="1">
      <c r="G25188"/>
      <c r="I25188"/>
      <c r="N25188"/>
      <c r="O25188" s="24"/>
      <c r="P25188"/>
      <c r="Q25188" s="24"/>
      <c r="R25188"/>
      <c r="S25188"/>
      <c r="T25188"/>
      <c r="U25188"/>
      <c r="X25188" s="60"/>
    </row>
    <row r="25189" spans="7:24" ht="15" customHeight="1">
      <c r="G25189"/>
      <c r="I25189"/>
      <c r="N25189"/>
      <c r="O25189" s="24"/>
      <c r="P25189"/>
      <c r="Q25189" s="24"/>
      <c r="R25189"/>
      <c r="S25189"/>
      <c r="T25189"/>
      <c r="U25189"/>
      <c r="X25189" s="60"/>
    </row>
    <row r="25190" spans="7:24" ht="15" customHeight="1">
      <c r="G25190"/>
      <c r="I25190"/>
      <c r="N25190"/>
      <c r="O25190" s="24"/>
      <c r="P25190"/>
      <c r="Q25190" s="24"/>
      <c r="R25190"/>
      <c r="S25190"/>
      <c r="T25190"/>
      <c r="U25190"/>
      <c r="X25190" s="60"/>
    </row>
    <row r="25191" spans="7:24" ht="15" customHeight="1">
      <c r="G25191"/>
      <c r="I25191"/>
      <c r="N25191"/>
      <c r="O25191" s="24"/>
      <c r="P25191"/>
      <c r="Q25191" s="24"/>
      <c r="R25191"/>
      <c r="S25191"/>
      <c r="T25191"/>
      <c r="U25191"/>
      <c r="X25191" s="60"/>
    </row>
    <row r="25192" spans="7:24" ht="15" customHeight="1">
      <c r="G25192"/>
      <c r="I25192"/>
      <c r="N25192"/>
      <c r="O25192" s="24"/>
      <c r="P25192"/>
      <c r="Q25192" s="24"/>
      <c r="R25192"/>
      <c r="S25192"/>
      <c r="T25192"/>
      <c r="U25192"/>
      <c r="X25192" s="60"/>
    </row>
    <row r="25193" spans="7:24" ht="15" customHeight="1">
      <c r="G25193"/>
      <c r="I25193"/>
      <c r="N25193"/>
      <c r="O25193" s="24"/>
      <c r="P25193"/>
      <c r="Q25193" s="24"/>
      <c r="R25193"/>
      <c r="S25193"/>
      <c r="T25193"/>
      <c r="U25193"/>
      <c r="X25193" s="60"/>
    </row>
    <row r="25194" spans="7:24" ht="15" customHeight="1">
      <c r="G25194"/>
      <c r="I25194"/>
      <c r="N25194"/>
      <c r="O25194" s="24"/>
      <c r="P25194"/>
      <c r="Q25194" s="24"/>
      <c r="R25194"/>
      <c r="S25194"/>
      <c r="T25194"/>
      <c r="U25194"/>
      <c r="X25194" s="60"/>
    </row>
    <row r="25195" spans="7:24" ht="15" customHeight="1">
      <c r="G25195"/>
      <c r="I25195"/>
      <c r="N25195"/>
      <c r="O25195" s="24"/>
      <c r="P25195"/>
      <c r="Q25195" s="24"/>
      <c r="R25195"/>
      <c r="S25195"/>
      <c r="T25195"/>
      <c r="U25195"/>
      <c r="X25195" s="60"/>
    </row>
    <row r="25196" spans="7:24" ht="15" customHeight="1">
      <c r="G25196"/>
      <c r="I25196"/>
      <c r="N25196"/>
      <c r="O25196" s="24"/>
      <c r="P25196"/>
      <c r="Q25196" s="24"/>
      <c r="R25196"/>
      <c r="S25196"/>
      <c r="T25196"/>
      <c r="U25196"/>
      <c r="X25196" s="60"/>
    </row>
    <row r="25197" spans="7:24" ht="15" customHeight="1">
      <c r="G25197"/>
      <c r="I25197"/>
      <c r="N25197"/>
      <c r="O25197" s="24"/>
      <c r="P25197"/>
      <c r="Q25197" s="24"/>
      <c r="R25197"/>
      <c r="S25197"/>
      <c r="T25197"/>
      <c r="U25197"/>
      <c r="X25197" s="60"/>
    </row>
    <row r="25198" spans="7:24" ht="15" customHeight="1">
      <c r="G25198"/>
      <c r="I25198"/>
      <c r="N25198"/>
      <c r="O25198" s="24"/>
      <c r="P25198"/>
      <c r="Q25198" s="24"/>
      <c r="R25198"/>
      <c r="S25198"/>
      <c r="T25198"/>
      <c r="U25198"/>
      <c r="X25198" s="60"/>
    </row>
    <row r="25199" spans="7:24" ht="15" customHeight="1">
      <c r="G25199"/>
      <c r="I25199"/>
      <c r="N25199"/>
      <c r="O25199" s="24"/>
      <c r="P25199"/>
      <c r="Q25199" s="24"/>
      <c r="R25199"/>
      <c r="S25199"/>
      <c r="T25199"/>
      <c r="U25199"/>
      <c r="X25199" s="60"/>
    </row>
    <row r="25200" spans="7:24" ht="15" customHeight="1">
      <c r="G25200"/>
      <c r="I25200"/>
      <c r="N25200"/>
      <c r="O25200" s="24"/>
      <c r="P25200"/>
      <c r="Q25200" s="24"/>
      <c r="R25200"/>
      <c r="S25200"/>
      <c r="T25200"/>
      <c r="U25200"/>
      <c r="X25200" s="60"/>
    </row>
    <row r="25201" spans="7:24" ht="15" customHeight="1">
      <c r="G25201"/>
      <c r="I25201"/>
      <c r="N25201"/>
      <c r="O25201" s="24"/>
      <c r="P25201"/>
      <c r="Q25201" s="24"/>
      <c r="R25201"/>
      <c r="S25201"/>
      <c r="T25201"/>
      <c r="U25201"/>
      <c r="X25201" s="60"/>
    </row>
    <row r="25202" spans="7:24" ht="15" customHeight="1">
      <c r="G25202"/>
      <c r="I25202"/>
      <c r="N25202"/>
      <c r="O25202" s="24"/>
      <c r="P25202"/>
      <c r="Q25202" s="24"/>
      <c r="R25202"/>
      <c r="S25202"/>
      <c r="T25202"/>
      <c r="U25202"/>
      <c r="X25202" s="60"/>
    </row>
    <row r="25203" spans="7:24" ht="15" customHeight="1">
      <c r="G25203"/>
      <c r="I25203"/>
      <c r="N25203"/>
      <c r="O25203" s="24"/>
      <c r="P25203"/>
      <c r="Q25203" s="24"/>
      <c r="R25203"/>
      <c r="S25203"/>
      <c r="T25203"/>
      <c r="U25203"/>
      <c r="X25203" s="60"/>
    </row>
    <row r="25204" spans="7:24" ht="15" customHeight="1">
      <c r="G25204"/>
      <c r="I25204"/>
      <c r="N25204"/>
      <c r="O25204" s="24"/>
      <c r="P25204"/>
      <c r="Q25204" s="24"/>
      <c r="R25204"/>
      <c r="S25204"/>
      <c r="T25204"/>
      <c r="U25204"/>
      <c r="X25204" s="60"/>
    </row>
    <row r="25205" spans="7:24" ht="15" customHeight="1">
      <c r="G25205"/>
      <c r="I25205"/>
      <c r="N25205"/>
      <c r="O25205" s="24"/>
      <c r="P25205"/>
      <c r="Q25205" s="24"/>
      <c r="R25205"/>
      <c r="S25205"/>
      <c r="T25205"/>
      <c r="U25205"/>
      <c r="X25205" s="60"/>
    </row>
    <row r="25206" spans="7:24" ht="15" customHeight="1">
      <c r="G25206"/>
      <c r="I25206"/>
      <c r="N25206"/>
      <c r="O25206" s="24"/>
      <c r="P25206"/>
      <c r="Q25206" s="24"/>
      <c r="R25206"/>
      <c r="S25206"/>
      <c r="T25206"/>
      <c r="U25206"/>
      <c r="X25206" s="60"/>
    </row>
    <row r="25207" spans="7:24" ht="15" customHeight="1">
      <c r="G25207"/>
      <c r="I25207"/>
      <c r="N25207"/>
      <c r="O25207" s="24"/>
      <c r="P25207"/>
      <c r="Q25207" s="24"/>
      <c r="R25207"/>
      <c r="S25207"/>
      <c r="T25207"/>
      <c r="U25207"/>
      <c r="X25207" s="60"/>
    </row>
    <row r="25208" spans="7:24" ht="15" customHeight="1">
      <c r="G25208"/>
      <c r="I25208"/>
      <c r="N25208"/>
      <c r="O25208" s="24"/>
      <c r="P25208"/>
      <c r="Q25208" s="24"/>
      <c r="R25208"/>
      <c r="S25208"/>
      <c r="T25208"/>
      <c r="U25208"/>
      <c r="X25208" s="60"/>
    </row>
    <row r="25209" spans="7:24" ht="15" customHeight="1">
      <c r="G25209"/>
      <c r="I25209"/>
      <c r="N25209"/>
      <c r="O25209" s="24"/>
      <c r="P25209"/>
      <c r="Q25209" s="24"/>
      <c r="R25209"/>
      <c r="S25209"/>
      <c r="T25209"/>
      <c r="U25209"/>
      <c r="X25209" s="60"/>
    </row>
    <row r="25210" spans="7:24" ht="15" customHeight="1">
      <c r="G25210"/>
      <c r="I25210"/>
      <c r="N25210"/>
      <c r="O25210" s="24"/>
      <c r="P25210"/>
      <c r="Q25210" s="24"/>
      <c r="R25210"/>
      <c r="S25210"/>
      <c r="T25210"/>
      <c r="U25210"/>
      <c r="X25210" s="60"/>
    </row>
    <row r="25211" spans="7:24" ht="15" customHeight="1">
      <c r="G25211"/>
      <c r="I25211"/>
      <c r="N25211"/>
      <c r="O25211" s="24"/>
      <c r="P25211"/>
      <c r="Q25211" s="24"/>
      <c r="R25211"/>
      <c r="S25211"/>
      <c r="T25211"/>
      <c r="U25211"/>
      <c r="X25211" s="60"/>
    </row>
    <row r="25212" spans="7:24" ht="15" customHeight="1">
      <c r="G25212"/>
      <c r="I25212"/>
      <c r="N25212"/>
      <c r="O25212" s="24"/>
      <c r="P25212"/>
      <c r="Q25212" s="24"/>
      <c r="R25212"/>
      <c r="S25212"/>
      <c r="T25212"/>
      <c r="U25212"/>
      <c r="X25212" s="60"/>
    </row>
    <row r="25213" spans="7:24" ht="15" customHeight="1">
      <c r="G25213"/>
      <c r="I25213"/>
      <c r="N25213"/>
      <c r="O25213" s="24"/>
      <c r="P25213"/>
      <c r="Q25213" s="24"/>
      <c r="R25213"/>
      <c r="S25213"/>
      <c r="T25213"/>
      <c r="U25213"/>
      <c r="X25213" s="60"/>
    </row>
    <row r="25214" spans="7:24" ht="15" customHeight="1">
      <c r="G25214"/>
      <c r="I25214"/>
      <c r="N25214"/>
      <c r="O25214" s="24"/>
      <c r="P25214"/>
      <c r="Q25214" s="24"/>
      <c r="R25214"/>
      <c r="S25214"/>
      <c r="T25214"/>
      <c r="U25214"/>
      <c r="X25214" s="60"/>
    </row>
    <row r="25215" spans="7:24" ht="15" customHeight="1">
      <c r="G25215"/>
      <c r="I25215"/>
      <c r="N25215"/>
      <c r="O25215" s="24"/>
      <c r="P25215"/>
      <c r="Q25215" s="24"/>
      <c r="R25215"/>
      <c r="S25215"/>
      <c r="T25215"/>
      <c r="U25215"/>
      <c r="X25215" s="60"/>
    </row>
    <row r="25216" spans="7:24" ht="15" customHeight="1">
      <c r="G25216"/>
      <c r="I25216"/>
      <c r="N25216"/>
      <c r="O25216" s="24"/>
      <c r="P25216"/>
      <c r="Q25216" s="24"/>
      <c r="R25216"/>
      <c r="S25216"/>
      <c r="T25216"/>
      <c r="U25216"/>
      <c r="X25216" s="60"/>
    </row>
    <row r="25217" spans="7:24" ht="15" customHeight="1">
      <c r="G25217"/>
      <c r="I25217"/>
      <c r="N25217"/>
      <c r="O25217" s="24"/>
      <c r="P25217"/>
      <c r="Q25217" s="24"/>
      <c r="R25217"/>
      <c r="S25217"/>
      <c r="T25217"/>
      <c r="U25217"/>
      <c r="X25217" s="60"/>
    </row>
    <row r="25218" spans="7:24" ht="15" customHeight="1">
      <c r="G25218"/>
      <c r="I25218"/>
      <c r="N25218"/>
      <c r="O25218" s="24"/>
      <c r="P25218"/>
      <c r="Q25218" s="24"/>
      <c r="R25218"/>
      <c r="S25218"/>
      <c r="T25218"/>
      <c r="U25218"/>
      <c r="X25218" s="60"/>
    </row>
    <row r="25219" spans="7:24" ht="15" customHeight="1">
      <c r="G25219"/>
      <c r="I25219"/>
      <c r="N25219"/>
      <c r="O25219" s="24"/>
      <c r="P25219"/>
      <c r="Q25219" s="24"/>
      <c r="R25219"/>
      <c r="S25219"/>
      <c r="T25219"/>
      <c r="U25219"/>
      <c r="X25219" s="60"/>
    </row>
    <row r="25220" spans="7:24" ht="15" customHeight="1">
      <c r="G25220"/>
      <c r="I25220"/>
      <c r="N25220"/>
      <c r="O25220" s="24"/>
      <c r="P25220"/>
      <c r="Q25220" s="24"/>
      <c r="R25220"/>
      <c r="S25220"/>
      <c r="T25220"/>
      <c r="U25220"/>
      <c r="X25220" s="60"/>
    </row>
    <row r="25221" spans="7:24" ht="15" customHeight="1">
      <c r="G25221"/>
      <c r="I25221"/>
      <c r="N25221"/>
      <c r="O25221" s="24"/>
      <c r="P25221"/>
      <c r="Q25221" s="24"/>
      <c r="R25221"/>
      <c r="S25221"/>
      <c r="T25221"/>
      <c r="U25221"/>
      <c r="X25221" s="60"/>
    </row>
    <row r="25222" spans="7:24" ht="15" customHeight="1">
      <c r="G25222"/>
      <c r="I25222"/>
      <c r="N25222"/>
      <c r="O25222" s="24"/>
      <c r="P25222"/>
      <c r="Q25222" s="24"/>
      <c r="R25222"/>
      <c r="S25222"/>
      <c r="T25222"/>
      <c r="U25222"/>
      <c r="X25222" s="60"/>
    </row>
    <row r="25223" spans="7:24" ht="15" customHeight="1">
      <c r="G25223"/>
      <c r="I25223"/>
      <c r="N25223"/>
      <c r="O25223" s="24"/>
      <c r="P25223"/>
      <c r="Q25223" s="24"/>
      <c r="R25223"/>
      <c r="S25223"/>
      <c r="T25223"/>
      <c r="U25223"/>
      <c r="X25223" s="60"/>
    </row>
    <row r="25224" spans="7:24" ht="15" customHeight="1">
      <c r="G25224"/>
      <c r="I25224"/>
      <c r="N25224"/>
      <c r="O25224" s="24"/>
      <c r="P25224"/>
      <c r="Q25224" s="24"/>
      <c r="R25224"/>
      <c r="S25224"/>
      <c r="T25224"/>
      <c r="U25224"/>
      <c r="X25224" s="60"/>
    </row>
    <row r="25225" spans="7:24" ht="15" customHeight="1">
      <c r="G25225"/>
      <c r="I25225"/>
      <c r="N25225"/>
      <c r="O25225" s="24"/>
      <c r="P25225"/>
      <c r="Q25225" s="24"/>
      <c r="R25225"/>
      <c r="S25225"/>
      <c r="T25225"/>
      <c r="U25225"/>
      <c r="X25225" s="60"/>
    </row>
    <row r="25226" spans="7:24" ht="15" customHeight="1">
      <c r="G25226"/>
      <c r="I25226"/>
      <c r="N25226"/>
      <c r="O25226" s="24"/>
      <c r="P25226"/>
      <c r="Q25226" s="24"/>
      <c r="R25226"/>
      <c r="S25226"/>
      <c r="T25226"/>
      <c r="U25226"/>
      <c r="X25226" s="60"/>
    </row>
    <row r="25227" spans="7:24" ht="15" customHeight="1">
      <c r="G25227"/>
      <c r="I25227"/>
      <c r="N25227"/>
      <c r="O25227" s="24"/>
      <c r="P25227"/>
      <c r="Q25227" s="24"/>
      <c r="R25227"/>
      <c r="S25227"/>
      <c r="T25227"/>
      <c r="U25227"/>
      <c r="X25227" s="60"/>
    </row>
    <row r="25228" spans="7:24" ht="15" customHeight="1">
      <c r="G25228"/>
      <c r="I25228"/>
      <c r="N25228"/>
      <c r="O25228" s="24"/>
      <c r="P25228"/>
      <c r="Q25228" s="24"/>
      <c r="R25228"/>
      <c r="S25228"/>
      <c r="T25228"/>
      <c r="U25228"/>
      <c r="X25228" s="60"/>
    </row>
    <row r="25229" spans="7:24" ht="15" customHeight="1">
      <c r="G25229"/>
      <c r="I25229"/>
      <c r="N25229"/>
      <c r="O25229" s="24"/>
      <c r="P25229"/>
      <c r="Q25229" s="24"/>
      <c r="R25229"/>
      <c r="S25229"/>
      <c r="T25229"/>
      <c r="U25229"/>
      <c r="X25229" s="60"/>
    </row>
    <row r="25230" spans="7:24" ht="15" customHeight="1">
      <c r="G25230"/>
      <c r="I25230"/>
      <c r="N25230"/>
      <c r="O25230" s="24"/>
      <c r="P25230"/>
      <c r="Q25230" s="24"/>
      <c r="R25230"/>
      <c r="S25230"/>
      <c r="T25230"/>
      <c r="U25230"/>
      <c r="X25230" s="60"/>
    </row>
    <row r="25231" spans="7:24" ht="15" customHeight="1">
      <c r="G25231"/>
      <c r="I25231"/>
      <c r="N25231"/>
      <c r="O25231" s="24"/>
      <c r="P25231"/>
      <c r="Q25231" s="24"/>
      <c r="R25231"/>
      <c r="S25231"/>
      <c r="T25231"/>
      <c r="U25231"/>
      <c r="X25231" s="60"/>
    </row>
    <row r="25232" spans="7:24" ht="15" customHeight="1">
      <c r="G25232"/>
      <c r="I25232"/>
      <c r="N25232"/>
      <c r="O25232" s="24"/>
      <c r="P25232"/>
      <c r="Q25232" s="24"/>
      <c r="R25232"/>
      <c r="S25232"/>
      <c r="T25232"/>
      <c r="U25232"/>
      <c r="X25232" s="60"/>
    </row>
    <row r="25233" spans="7:24" ht="15" customHeight="1">
      <c r="G25233"/>
      <c r="I25233"/>
      <c r="N25233"/>
      <c r="O25233" s="24"/>
      <c r="P25233"/>
      <c r="Q25233" s="24"/>
      <c r="R25233"/>
      <c r="S25233"/>
      <c r="T25233"/>
      <c r="U25233"/>
      <c r="X25233" s="60"/>
    </row>
    <row r="25234" spans="7:24" ht="15" customHeight="1">
      <c r="G25234"/>
      <c r="I25234"/>
      <c r="N25234"/>
      <c r="O25234" s="24"/>
      <c r="P25234"/>
      <c r="Q25234" s="24"/>
      <c r="R25234"/>
      <c r="S25234"/>
      <c r="T25234"/>
      <c r="U25234"/>
      <c r="X25234" s="60"/>
    </row>
    <row r="25235" spans="7:24" ht="15" customHeight="1">
      <c r="G25235"/>
      <c r="I25235"/>
      <c r="N25235"/>
      <c r="O25235" s="24"/>
      <c r="P25235"/>
      <c r="Q25235" s="24"/>
      <c r="R25235"/>
      <c r="S25235"/>
      <c r="T25235"/>
      <c r="U25235"/>
      <c r="X25235" s="60"/>
    </row>
    <row r="25236" spans="7:24" ht="15" customHeight="1">
      <c r="G25236"/>
      <c r="I25236"/>
      <c r="N25236"/>
      <c r="O25236" s="24"/>
      <c r="P25236"/>
      <c r="Q25236" s="24"/>
      <c r="R25236"/>
      <c r="S25236"/>
      <c r="T25236"/>
      <c r="U25236"/>
      <c r="X25236" s="60"/>
    </row>
    <row r="25237" spans="7:24" ht="15" customHeight="1">
      <c r="G25237"/>
      <c r="I25237"/>
      <c r="N25237"/>
      <c r="O25237" s="24"/>
      <c r="P25237"/>
      <c r="Q25237" s="24"/>
      <c r="R25237"/>
      <c r="S25237"/>
      <c r="T25237"/>
      <c r="U25237"/>
      <c r="X25237" s="60"/>
    </row>
    <row r="25238" spans="7:24" ht="15" customHeight="1">
      <c r="G25238"/>
      <c r="I25238"/>
      <c r="N25238"/>
      <c r="O25238" s="24"/>
      <c r="P25238"/>
      <c r="Q25238" s="24"/>
      <c r="R25238"/>
      <c r="S25238"/>
      <c r="T25238"/>
      <c r="U25238"/>
      <c r="X25238" s="60"/>
    </row>
    <row r="25239" spans="7:24" ht="15" customHeight="1">
      <c r="G25239"/>
      <c r="I25239"/>
      <c r="N25239"/>
      <c r="O25239" s="24"/>
      <c r="P25239"/>
      <c r="Q25239" s="24"/>
      <c r="R25239"/>
      <c r="S25239"/>
      <c r="T25239"/>
      <c r="U25239"/>
      <c r="X25239" s="60"/>
    </row>
    <row r="25240" spans="7:24" ht="15" customHeight="1">
      <c r="G25240"/>
      <c r="I25240"/>
      <c r="N25240"/>
      <c r="O25240" s="24"/>
      <c r="P25240"/>
      <c r="Q25240" s="24"/>
      <c r="R25240"/>
      <c r="S25240"/>
      <c r="T25240"/>
      <c r="U25240"/>
      <c r="X25240" s="60"/>
    </row>
    <row r="25241" spans="7:24" ht="15" customHeight="1">
      <c r="G25241"/>
      <c r="I25241"/>
      <c r="N25241"/>
      <c r="O25241" s="24"/>
      <c r="P25241"/>
      <c r="Q25241" s="24"/>
      <c r="R25241"/>
      <c r="S25241"/>
      <c r="T25241"/>
      <c r="U25241"/>
      <c r="X25241" s="60"/>
    </row>
    <row r="25242" spans="7:24" ht="15" customHeight="1">
      <c r="G25242"/>
      <c r="I25242"/>
      <c r="N25242"/>
      <c r="O25242" s="24"/>
      <c r="P25242"/>
      <c r="Q25242" s="24"/>
      <c r="R25242"/>
      <c r="S25242"/>
      <c r="T25242"/>
      <c r="U25242"/>
      <c r="X25242" s="60"/>
    </row>
    <row r="25243" spans="7:24" ht="15" customHeight="1">
      <c r="G25243"/>
      <c r="I25243"/>
      <c r="N25243"/>
      <c r="O25243" s="24"/>
      <c r="P25243"/>
      <c r="Q25243" s="24"/>
      <c r="R25243"/>
      <c r="S25243"/>
      <c r="T25243"/>
      <c r="U25243"/>
      <c r="X25243" s="60"/>
    </row>
    <row r="25244" spans="7:24" ht="15" customHeight="1">
      <c r="G25244"/>
      <c r="I25244"/>
      <c r="N25244"/>
      <c r="O25244" s="24"/>
      <c r="P25244"/>
      <c r="Q25244" s="24"/>
      <c r="R25244"/>
      <c r="S25244"/>
      <c r="T25244"/>
      <c r="U25244"/>
      <c r="X25244" s="60"/>
    </row>
    <row r="25245" spans="7:24" ht="15" customHeight="1">
      <c r="G25245"/>
      <c r="I25245"/>
      <c r="N25245"/>
      <c r="O25245" s="24"/>
      <c r="P25245"/>
      <c r="Q25245" s="24"/>
      <c r="R25245"/>
      <c r="S25245"/>
      <c r="T25245"/>
      <c r="U25245"/>
      <c r="X25245" s="60"/>
    </row>
    <row r="25246" spans="7:24" ht="15" customHeight="1">
      <c r="G25246"/>
      <c r="I25246"/>
      <c r="N25246"/>
      <c r="O25246" s="24"/>
      <c r="P25246"/>
      <c r="Q25246" s="24"/>
      <c r="R25246"/>
      <c r="S25246"/>
      <c r="T25246"/>
      <c r="U25246"/>
      <c r="X25246" s="60"/>
    </row>
    <row r="25247" spans="7:24" ht="15" customHeight="1">
      <c r="G25247"/>
      <c r="I25247"/>
      <c r="N25247"/>
      <c r="O25247" s="24"/>
      <c r="P25247"/>
      <c r="Q25247" s="24"/>
      <c r="R25247"/>
      <c r="S25247"/>
      <c r="T25247"/>
      <c r="U25247"/>
      <c r="X25247" s="60"/>
    </row>
    <row r="25248" spans="7:24" ht="15" customHeight="1">
      <c r="G25248"/>
      <c r="I25248"/>
      <c r="N25248"/>
      <c r="O25248" s="24"/>
      <c r="P25248"/>
      <c r="Q25248" s="24"/>
      <c r="R25248"/>
      <c r="S25248"/>
      <c r="T25248"/>
      <c r="U25248"/>
      <c r="X25248" s="60"/>
    </row>
    <row r="25249" spans="7:24" ht="15" customHeight="1">
      <c r="G25249"/>
      <c r="I25249"/>
      <c r="N25249"/>
      <c r="O25249" s="24"/>
      <c r="P25249"/>
      <c r="Q25249" s="24"/>
      <c r="R25249"/>
      <c r="S25249"/>
      <c r="T25249"/>
      <c r="U25249"/>
      <c r="X25249" s="60"/>
    </row>
    <row r="25250" spans="7:24" ht="15" customHeight="1">
      <c r="G25250"/>
      <c r="I25250"/>
      <c r="N25250"/>
      <c r="O25250" s="24"/>
      <c r="P25250"/>
      <c r="Q25250" s="24"/>
      <c r="R25250"/>
      <c r="S25250"/>
      <c r="T25250"/>
      <c r="U25250"/>
      <c r="X25250" s="60"/>
    </row>
    <row r="25251" spans="7:24" ht="15" customHeight="1">
      <c r="G25251"/>
      <c r="I25251"/>
      <c r="N25251"/>
      <c r="O25251" s="24"/>
      <c r="P25251"/>
      <c r="Q25251" s="24"/>
      <c r="R25251"/>
      <c r="S25251"/>
      <c r="T25251"/>
      <c r="U25251"/>
      <c r="X25251" s="60"/>
    </row>
    <row r="25252" spans="7:24" ht="15" customHeight="1">
      <c r="G25252"/>
      <c r="I25252"/>
      <c r="N25252"/>
      <c r="O25252" s="24"/>
      <c r="P25252"/>
      <c r="Q25252" s="24"/>
      <c r="R25252"/>
      <c r="S25252"/>
      <c r="T25252"/>
      <c r="U25252"/>
      <c r="X25252" s="60"/>
    </row>
    <row r="25253" spans="7:24" ht="15" customHeight="1">
      <c r="G25253"/>
      <c r="I25253"/>
      <c r="N25253"/>
      <c r="O25253" s="24"/>
      <c r="P25253"/>
      <c r="Q25253" s="24"/>
      <c r="R25253"/>
      <c r="S25253"/>
      <c r="T25253"/>
      <c r="U25253"/>
      <c r="X25253" s="60"/>
    </row>
    <row r="25254" spans="7:24" ht="15" customHeight="1">
      <c r="G25254"/>
      <c r="I25254"/>
      <c r="N25254"/>
      <c r="O25254" s="24"/>
      <c r="P25254"/>
      <c r="Q25254" s="24"/>
      <c r="R25254"/>
      <c r="S25254"/>
      <c r="T25254"/>
      <c r="U25254"/>
      <c r="X25254" s="60"/>
    </row>
    <row r="25255" spans="7:24" ht="15" customHeight="1">
      <c r="G25255"/>
      <c r="I25255"/>
      <c r="N25255"/>
      <c r="O25255" s="24"/>
      <c r="P25255"/>
      <c r="Q25255" s="24"/>
      <c r="R25255"/>
      <c r="S25255"/>
      <c r="T25255"/>
      <c r="U25255"/>
      <c r="X25255" s="60"/>
    </row>
    <row r="25256" spans="7:24" ht="15" customHeight="1">
      <c r="G25256"/>
      <c r="I25256"/>
      <c r="N25256"/>
      <c r="O25256" s="24"/>
      <c r="P25256"/>
      <c r="Q25256" s="24"/>
      <c r="R25256"/>
      <c r="S25256"/>
      <c r="T25256"/>
      <c r="U25256"/>
      <c r="X25256" s="60"/>
    </row>
    <row r="25257" spans="7:24" ht="15" customHeight="1">
      <c r="G25257"/>
      <c r="I25257"/>
      <c r="N25257"/>
      <c r="O25257" s="24"/>
      <c r="P25257"/>
      <c r="Q25257" s="24"/>
      <c r="R25257"/>
      <c r="S25257"/>
      <c r="T25257"/>
      <c r="U25257"/>
      <c r="X25257" s="60"/>
    </row>
    <row r="25258" spans="7:24" ht="15" customHeight="1">
      <c r="G25258"/>
      <c r="I25258"/>
      <c r="N25258"/>
      <c r="O25258" s="24"/>
      <c r="P25258"/>
      <c r="Q25258" s="24"/>
      <c r="R25258"/>
      <c r="S25258"/>
      <c r="T25258"/>
      <c r="U25258"/>
      <c r="X25258" s="60"/>
    </row>
    <row r="25259" spans="7:24" ht="15" customHeight="1">
      <c r="G25259"/>
      <c r="I25259"/>
      <c r="N25259"/>
      <c r="O25259" s="24"/>
      <c r="P25259"/>
      <c r="Q25259" s="24"/>
      <c r="R25259"/>
      <c r="S25259"/>
      <c r="T25259"/>
      <c r="U25259"/>
      <c r="X25259" s="60"/>
    </row>
    <row r="25260" spans="7:24" ht="15" customHeight="1">
      <c r="G25260"/>
      <c r="I25260"/>
      <c r="N25260"/>
      <c r="O25260" s="24"/>
      <c r="P25260"/>
      <c r="Q25260" s="24"/>
      <c r="R25260"/>
      <c r="S25260"/>
      <c r="T25260"/>
      <c r="U25260"/>
      <c r="X25260" s="60"/>
    </row>
    <row r="25261" spans="7:24" ht="15" customHeight="1">
      <c r="G25261"/>
      <c r="I25261"/>
      <c r="N25261"/>
      <c r="O25261" s="24"/>
      <c r="P25261"/>
      <c r="Q25261" s="24"/>
      <c r="R25261"/>
      <c r="S25261"/>
      <c r="T25261"/>
      <c r="U25261"/>
      <c r="X25261" s="60"/>
    </row>
    <row r="25262" spans="7:24" ht="15" customHeight="1">
      <c r="G25262"/>
      <c r="I25262"/>
      <c r="N25262"/>
      <c r="O25262" s="24"/>
      <c r="P25262"/>
      <c r="Q25262" s="24"/>
      <c r="R25262"/>
      <c r="S25262"/>
      <c r="T25262"/>
      <c r="U25262"/>
      <c r="X25262" s="60"/>
    </row>
    <row r="25263" spans="7:24" ht="15" customHeight="1">
      <c r="G25263"/>
      <c r="I25263"/>
      <c r="N25263"/>
      <c r="O25263" s="24"/>
      <c r="P25263"/>
      <c r="Q25263" s="24"/>
      <c r="R25263"/>
      <c r="S25263"/>
      <c r="T25263"/>
      <c r="U25263"/>
      <c r="X25263" s="60"/>
    </row>
    <row r="25264" spans="7:24" ht="15" customHeight="1">
      <c r="G25264"/>
      <c r="I25264"/>
      <c r="N25264"/>
      <c r="O25264" s="24"/>
      <c r="P25264"/>
      <c r="Q25264" s="24"/>
      <c r="R25264"/>
      <c r="S25264"/>
      <c r="T25264"/>
      <c r="U25264"/>
      <c r="X25264" s="60"/>
    </row>
    <row r="25265" spans="7:24" ht="15" customHeight="1">
      <c r="G25265"/>
      <c r="I25265"/>
      <c r="N25265"/>
      <c r="O25265" s="24"/>
      <c r="P25265"/>
      <c r="Q25265" s="24"/>
      <c r="R25265"/>
      <c r="S25265"/>
      <c r="T25265"/>
      <c r="U25265"/>
      <c r="X25265" s="60"/>
    </row>
    <row r="25266" spans="7:24" ht="15" customHeight="1">
      <c r="G25266"/>
      <c r="I25266"/>
      <c r="N25266"/>
      <c r="O25266" s="24"/>
      <c r="P25266"/>
      <c r="Q25266" s="24"/>
      <c r="R25266"/>
      <c r="S25266"/>
      <c r="T25266"/>
      <c r="U25266"/>
      <c r="X25266" s="60"/>
    </row>
    <row r="25267" spans="7:24" ht="15" customHeight="1">
      <c r="G25267"/>
      <c r="I25267"/>
      <c r="N25267"/>
      <c r="O25267" s="24"/>
      <c r="P25267"/>
      <c r="Q25267" s="24"/>
      <c r="R25267"/>
      <c r="S25267"/>
      <c r="T25267"/>
      <c r="U25267"/>
      <c r="X25267" s="60"/>
    </row>
    <row r="25268" spans="7:24" ht="15" customHeight="1">
      <c r="G25268"/>
      <c r="I25268"/>
      <c r="N25268"/>
      <c r="O25268" s="24"/>
      <c r="P25268"/>
      <c r="Q25268" s="24"/>
      <c r="R25268"/>
      <c r="S25268"/>
      <c r="T25268"/>
      <c r="U25268"/>
      <c r="X25268" s="60"/>
    </row>
    <row r="25269" spans="7:24" ht="15" customHeight="1">
      <c r="G25269"/>
      <c r="I25269"/>
      <c r="N25269"/>
      <c r="O25269" s="24"/>
      <c r="P25269"/>
      <c r="Q25269" s="24"/>
      <c r="R25269"/>
      <c r="S25269"/>
      <c r="T25269"/>
      <c r="U25269"/>
      <c r="X25269" s="60"/>
    </row>
    <row r="25270" spans="7:24" ht="15" customHeight="1">
      <c r="G25270"/>
      <c r="I25270"/>
      <c r="N25270"/>
      <c r="O25270" s="24"/>
      <c r="P25270"/>
      <c r="Q25270" s="24"/>
      <c r="R25270"/>
      <c r="S25270"/>
      <c r="T25270"/>
      <c r="U25270"/>
      <c r="X25270" s="60"/>
    </row>
    <row r="25271" spans="7:24" ht="15" customHeight="1">
      <c r="G25271"/>
      <c r="I25271"/>
      <c r="N25271"/>
      <c r="O25271" s="24"/>
      <c r="P25271"/>
      <c r="Q25271" s="24"/>
      <c r="R25271"/>
      <c r="S25271"/>
      <c r="T25271"/>
      <c r="U25271"/>
      <c r="X25271" s="60"/>
    </row>
    <row r="25272" spans="7:24" ht="15" customHeight="1">
      <c r="G25272"/>
      <c r="I25272"/>
      <c r="N25272"/>
      <c r="O25272" s="24"/>
      <c r="P25272"/>
      <c r="Q25272" s="24"/>
      <c r="R25272"/>
      <c r="S25272"/>
      <c r="T25272"/>
      <c r="U25272"/>
      <c r="X25272" s="60"/>
    </row>
    <row r="25273" spans="7:24" ht="15" customHeight="1">
      <c r="G25273"/>
      <c r="I25273"/>
      <c r="N25273"/>
      <c r="O25273" s="24"/>
      <c r="P25273"/>
      <c r="Q25273" s="24"/>
      <c r="R25273"/>
      <c r="S25273"/>
      <c r="T25273"/>
      <c r="U25273"/>
      <c r="X25273" s="60"/>
    </row>
    <row r="25274" spans="7:24" ht="15" customHeight="1">
      <c r="G25274"/>
      <c r="I25274"/>
      <c r="N25274"/>
      <c r="O25274" s="24"/>
      <c r="P25274"/>
      <c r="Q25274" s="24"/>
      <c r="R25274"/>
      <c r="S25274"/>
      <c r="T25274"/>
      <c r="U25274"/>
      <c r="X25274" s="60"/>
    </row>
    <row r="25275" spans="7:24" ht="15" customHeight="1">
      <c r="G25275"/>
      <c r="I25275"/>
      <c r="N25275"/>
      <c r="O25275" s="24"/>
      <c r="P25275"/>
      <c r="Q25275" s="24"/>
      <c r="R25275"/>
      <c r="S25275"/>
      <c r="T25275"/>
      <c r="U25275"/>
      <c r="X25275" s="60"/>
    </row>
    <row r="25276" spans="7:24" ht="15" customHeight="1">
      <c r="G25276"/>
      <c r="I25276"/>
      <c r="N25276"/>
      <c r="O25276" s="24"/>
      <c r="P25276"/>
      <c r="Q25276" s="24"/>
      <c r="R25276"/>
      <c r="S25276"/>
      <c r="T25276"/>
      <c r="U25276"/>
      <c r="X25276" s="60"/>
    </row>
    <row r="25277" spans="7:24" ht="15" customHeight="1">
      <c r="G25277"/>
      <c r="I25277"/>
      <c r="N25277"/>
      <c r="O25277" s="24"/>
      <c r="P25277"/>
      <c r="Q25277" s="24"/>
      <c r="R25277"/>
      <c r="S25277"/>
      <c r="T25277"/>
      <c r="U25277"/>
      <c r="X25277" s="60"/>
    </row>
    <row r="25278" spans="7:24" ht="15" customHeight="1">
      <c r="G25278"/>
      <c r="I25278"/>
      <c r="N25278"/>
      <c r="O25278" s="24"/>
      <c r="P25278"/>
      <c r="Q25278" s="24"/>
      <c r="R25278"/>
      <c r="S25278"/>
      <c r="T25278"/>
      <c r="U25278"/>
      <c r="X25278" s="60"/>
    </row>
    <row r="25279" spans="7:24" ht="15" customHeight="1">
      <c r="G25279"/>
      <c r="I25279"/>
      <c r="N25279"/>
      <c r="O25279" s="24"/>
      <c r="P25279"/>
      <c r="Q25279" s="24"/>
      <c r="R25279"/>
      <c r="S25279"/>
      <c r="T25279"/>
      <c r="U25279"/>
      <c r="X25279" s="60"/>
    </row>
    <row r="25280" spans="7:24" ht="15" customHeight="1">
      <c r="G25280"/>
      <c r="I25280"/>
      <c r="N25280"/>
      <c r="O25280" s="24"/>
      <c r="P25280"/>
      <c r="Q25280" s="24"/>
      <c r="R25280"/>
      <c r="S25280"/>
      <c r="T25280"/>
      <c r="U25280"/>
      <c r="X25280" s="60"/>
    </row>
    <row r="25281" spans="7:24" ht="15" customHeight="1">
      <c r="G25281"/>
      <c r="I25281"/>
      <c r="N25281"/>
      <c r="O25281" s="24"/>
      <c r="P25281"/>
      <c r="Q25281" s="24"/>
      <c r="R25281"/>
      <c r="S25281"/>
      <c r="T25281"/>
      <c r="U25281"/>
      <c r="X25281" s="60"/>
    </row>
    <row r="25282" spans="7:24" ht="15" customHeight="1">
      <c r="G25282"/>
      <c r="I25282"/>
      <c r="N25282"/>
      <c r="O25282" s="24"/>
      <c r="P25282"/>
      <c r="Q25282" s="24"/>
      <c r="R25282"/>
      <c r="S25282"/>
      <c r="T25282"/>
      <c r="U25282"/>
      <c r="X25282" s="60"/>
    </row>
    <row r="25283" spans="7:24" ht="15" customHeight="1">
      <c r="G25283"/>
      <c r="I25283"/>
      <c r="N25283"/>
      <c r="O25283" s="24"/>
      <c r="P25283"/>
      <c r="Q25283" s="24"/>
      <c r="R25283"/>
      <c r="S25283"/>
      <c r="T25283"/>
      <c r="U25283"/>
      <c r="X25283" s="60"/>
    </row>
    <row r="25284" spans="7:24" ht="15" customHeight="1">
      <c r="G25284"/>
      <c r="I25284"/>
      <c r="N25284"/>
      <c r="O25284" s="24"/>
      <c r="P25284"/>
      <c r="Q25284" s="24"/>
      <c r="R25284"/>
      <c r="S25284"/>
      <c r="T25284"/>
      <c r="U25284"/>
      <c r="X25284" s="60"/>
    </row>
    <row r="25285" spans="7:24" ht="15" customHeight="1">
      <c r="G25285"/>
      <c r="I25285"/>
      <c r="N25285"/>
      <c r="O25285" s="24"/>
      <c r="P25285"/>
      <c r="Q25285" s="24"/>
      <c r="R25285"/>
      <c r="S25285"/>
      <c r="T25285"/>
      <c r="U25285"/>
      <c r="X25285" s="60"/>
    </row>
    <row r="25286" spans="7:24" ht="15" customHeight="1">
      <c r="G25286"/>
      <c r="I25286"/>
      <c r="N25286"/>
      <c r="O25286" s="24"/>
      <c r="P25286"/>
      <c r="Q25286" s="24"/>
      <c r="R25286"/>
      <c r="S25286"/>
      <c r="T25286"/>
      <c r="U25286"/>
      <c r="X25286" s="60"/>
    </row>
    <row r="25287" spans="7:24" ht="15" customHeight="1">
      <c r="G25287"/>
      <c r="I25287"/>
      <c r="N25287"/>
      <c r="O25287" s="24"/>
      <c r="P25287"/>
      <c r="Q25287" s="24"/>
      <c r="R25287"/>
      <c r="S25287"/>
      <c r="T25287"/>
      <c r="U25287"/>
      <c r="X25287" s="60"/>
    </row>
    <row r="25288" spans="7:24" ht="15" customHeight="1">
      <c r="G25288"/>
      <c r="I25288"/>
      <c r="N25288"/>
      <c r="O25288" s="24"/>
      <c r="P25288"/>
      <c r="Q25288" s="24"/>
      <c r="R25288"/>
      <c r="S25288"/>
      <c r="T25288"/>
      <c r="U25288"/>
      <c r="X25288" s="60"/>
    </row>
    <row r="25289" spans="7:24" ht="15" customHeight="1">
      <c r="G25289"/>
      <c r="I25289"/>
      <c r="N25289"/>
      <c r="O25289" s="24"/>
      <c r="P25289"/>
      <c r="Q25289" s="24"/>
      <c r="R25289"/>
      <c r="S25289"/>
      <c r="T25289"/>
      <c r="U25289"/>
      <c r="X25289" s="60"/>
    </row>
    <row r="25290" spans="7:24" ht="15" customHeight="1">
      <c r="G25290"/>
      <c r="I25290"/>
      <c r="N25290"/>
      <c r="O25290" s="24"/>
      <c r="P25290"/>
      <c r="Q25290" s="24"/>
      <c r="R25290"/>
      <c r="S25290"/>
      <c r="T25290"/>
      <c r="U25290"/>
      <c r="X25290" s="60"/>
    </row>
    <row r="25291" spans="7:24" ht="15" customHeight="1">
      <c r="G25291"/>
      <c r="I25291"/>
      <c r="N25291"/>
      <c r="O25291" s="24"/>
      <c r="P25291"/>
      <c r="Q25291" s="24"/>
      <c r="R25291"/>
      <c r="S25291"/>
      <c r="T25291"/>
      <c r="U25291"/>
      <c r="X25291" s="60"/>
    </row>
    <row r="25292" spans="7:24" ht="15" customHeight="1">
      <c r="G25292"/>
      <c r="I25292"/>
      <c r="N25292"/>
      <c r="O25292" s="24"/>
      <c r="P25292"/>
      <c r="Q25292" s="24"/>
      <c r="R25292"/>
      <c r="S25292"/>
      <c r="T25292"/>
      <c r="U25292"/>
      <c r="X25292" s="60"/>
    </row>
    <row r="25293" spans="7:24" ht="15" customHeight="1">
      <c r="G25293"/>
      <c r="I25293"/>
      <c r="N25293"/>
      <c r="O25293" s="24"/>
      <c r="P25293"/>
      <c r="Q25293" s="24"/>
      <c r="R25293"/>
      <c r="S25293"/>
      <c r="T25293"/>
      <c r="U25293"/>
      <c r="X25293" s="60"/>
    </row>
    <row r="25294" spans="7:24" ht="15" customHeight="1">
      <c r="G25294"/>
      <c r="I25294"/>
      <c r="N25294"/>
      <c r="O25294" s="24"/>
      <c r="P25294"/>
      <c r="Q25294" s="24"/>
      <c r="R25294"/>
      <c r="S25294"/>
      <c r="T25294"/>
      <c r="U25294"/>
      <c r="X25294" s="60"/>
    </row>
    <row r="25295" spans="7:24" ht="15" customHeight="1">
      <c r="G25295"/>
      <c r="I25295"/>
      <c r="N25295"/>
      <c r="O25295" s="24"/>
      <c r="P25295"/>
      <c r="Q25295" s="24"/>
      <c r="R25295"/>
      <c r="S25295"/>
      <c r="T25295"/>
      <c r="U25295"/>
      <c r="X25295" s="60"/>
    </row>
    <row r="25296" spans="7:24" ht="15" customHeight="1">
      <c r="G25296"/>
      <c r="I25296"/>
      <c r="N25296"/>
      <c r="O25296" s="24"/>
      <c r="P25296"/>
      <c r="Q25296" s="24"/>
      <c r="R25296"/>
      <c r="S25296"/>
      <c r="T25296"/>
      <c r="U25296"/>
      <c r="X25296" s="60"/>
    </row>
    <row r="25297" spans="7:24" ht="15" customHeight="1">
      <c r="G25297"/>
      <c r="I25297"/>
      <c r="N25297"/>
      <c r="O25297" s="24"/>
      <c r="P25297"/>
      <c r="Q25297" s="24"/>
      <c r="R25297"/>
      <c r="S25297"/>
      <c r="T25297"/>
      <c r="U25297"/>
      <c r="X25297" s="60"/>
    </row>
    <row r="25298" spans="7:24" ht="15" customHeight="1">
      <c r="G25298"/>
      <c r="I25298"/>
      <c r="N25298"/>
      <c r="O25298" s="24"/>
      <c r="P25298"/>
      <c r="Q25298" s="24"/>
      <c r="R25298"/>
      <c r="S25298"/>
      <c r="T25298"/>
      <c r="U25298"/>
      <c r="X25298" s="60"/>
    </row>
    <row r="25299" spans="7:24" ht="15" customHeight="1">
      <c r="G25299"/>
      <c r="I25299"/>
      <c r="N25299"/>
      <c r="O25299" s="24"/>
      <c r="P25299"/>
      <c r="Q25299" s="24"/>
      <c r="R25299"/>
      <c r="S25299"/>
      <c r="T25299"/>
      <c r="U25299"/>
      <c r="X25299" s="60"/>
    </row>
    <row r="25300" spans="7:24" ht="15" customHeight="1">
      <c r="G25300"/>
      <c r="I25300"/>
      <c r="N25300"/>
      <c r="O25300" s="24"/>
      <c r="P25300"/>
      <c r="Q25300" s="24"/>
      <c r="R25300"/>
      <c r="S25300"/>
      <c r="T25300"/>
      <c r="U25300"/>
      <c r="X25300" s="60"/>
    </row>
    <row r="25301" spans="7:24" ht="15" customHeight="1">
      <c r="G25301"/>
      <c r="I25301"/>
      <c r="N25301"/>
      <c r="O25301" s="24"/>
      <c r="P25301"/>
      <c r="Q25301" s="24"/>
      <c r="R25301"/>
      <c r="S25301"/>
      <c r="T25301"/>
      <c r="U25301"/>
      <c r="X25301" s="60"/>
    </row>
    <row r="25302" spans="7:24" ht="15" customHeight="1">
      <c r="G25302"/>
      <c r="I25302"/>
      <c r="N25302"/>
      <c r="O25302" s="24"/>
      <c r="P25302"/>
      <c r="Q25302" s="24"/>
      <c r="R25302"/>
      <c r="S25302"/>
      <c r="T25302"/>
      <c r="U25302"/>
      <c r="X25302" s="60"/>
    </row>
    <row r="25303" spans="7:24" ht="15" customHeight="1">
      <c r="G25303"/>
      <c r="I25303"/>
      <c r="N25303"/>
      <c r="O25303" s="24"/>
      <c r="P25303"/>
      <c r="Q25303" s="24"/>
      <c r="R25303"/>
      <c r="S25303"/>
      <c r="T25303"/>
      <c r="U25303"/>
      <c r="X25303" s="60"/>
    </row>
    <row r="25304" spans="7:24" ht="15" customHeight="1">
      <c r="G25304"/>
      <c r="I25304"/>
      <c r="N25304"/>
      <c r="O25304" s="24"/>
      <c r="P25304"/>
      <c r="Q25304" s="24"/>
      <c r="R25304"/>
      <c r="S25304"/>
      <c r="T25304"/>
      <c r="U25304"/>
      <c r="X25304" s="60"/>
    </row>
    <row r="25305" spans="7:24" ht="15" customHeight="1">
      <c r="G25305"/>
      <c r="I25305"/>
      <c r="N25305"/>
      <c r="O25305" s="24"/>
      <c r="P25305"/>
      <c r="Q25305" s="24"/>
      <c r="R25305"/>
      <c r="S25305"/>
      <c r="T25305"/>
      <c r="U25305"/>
      <c r="X25305" s="60"/>
    </row>
    <row r="25306" spans="7:24" ht="15" customHeight="1">
      <c r="G25306"/>
      <c r="I25306"/>
      <c r="N25306"/>
      <c r="O25306" s="24"/>
      <c r="P25306"/>
      <c r="Q25306" s="24"/>
      <c r="R25306"/>
      <c r="S25306"/>
      <c r="T25306"/>
      <c r="U25306"/>
      <c r="X25306" s="60"/>
    </row>
    <row r="25307" spans="7:24" ht="15" customHeight="1">
      <c r="G25307"/>
      <c r="I25307"/>
      <c r="N25307"/>
      <c r="O25307" s="24"/>
      <c r="P25307"/>
      <c r="Q25307" s="24"/>
      <c r="R25307"/>
      <c r="S25307"/>
      <c r="T25307"/>
      <c r="U25307"/>
      <c r="X25307" s="60"/>
    </row>
    <row r="25308" spans="7:24" ht="15" customHeight="1">
      <c r="G25308"/>
      <c r="I25308"/>
      <c r="N25308"/>
      <c r="O25308" s="24"/>
      <c r="P25308"/>
      <c r="Q25308" s="24"/>
      <c r="R25308"/>
      <c r="S25308"/>
      <c r="T25308"/>
      <c r="U25308"/>
      <c r="X25308" s="60"/>
    </row>
    <row r="25309" spans="7:24" ht="15" customHeight="1">
      <c r="G25309"/>
      <c r="I25309"/>
      <c r="N25309"/>
      <c r="O25309" s="24"/>
      <c r="P25309"/>
      <c r="Q25309" s="24"/>
      <c r="R25309"/>
      <c r="S25309"/>
      <c r="T25309"/>
      <c r="U25309"/>
      <c r="X25309" s="60"/>
    </row>
    <row r="25310" spans="7:24" ht="15" customHeight="1">
      <c r="G25310"/>
      <c r="I25310"/>
      <c r="N25310"/>
      <c r="O25310" s="24"/>
      <c r="P25310"/>
      <c r="Q25310" s="24"/>
      <c r="R25310"/>
      <c r="S25310"/>
      <c r="T25310"/>
      <c r="U25310"/>
      <c r="X25310" s="60"/>
    </row>
    <row r="25311" spans="7:24" ht="15" customHeight="1">
      <c r="G25311"/>
      <c r="I25311"/>
      <c r="N25311"/>
      <c r="O25311" s="24"/>
      <c r="P25311"/>
      <c r="Q25311" s="24"/>
      <c r="R25311"/>
      <c r="S25311"/>
      <c r="T25311"/>
      <c r="U25311"/>
      <c r="X25311" s="60"/>
    </row>
    <row r="25312" spans="7:24" ht="15" customHeight="1">
      <c r="G25312"/>
      <c r="I25312"/>
      <c r="N25312"/>
      <c r="O25312" s="24"/>
      <c r="P25312"/>
      <c r="Q25312" s="24"/>
      <c r="R25312"/>
      <c r="S25312"/>
      <c r="T25312"/>
      <c r="U25312"/>
      <c r="X25312" s="60"/>
    </row>
    <row r="25313" spans="7:24" ht="15" customHeight="1">
      <c r="G25313"/>
      <c r="I25313"/>
      <c r="N25313"/>
      <c r="O25313" s="24"/>
      <c r="P25313"/>
      <c r="Q25313" s="24"/>
      <c r="R25313"/>
      <c r="S25313"/>
      <c r="T25313"/>
      <c r="U25313"/>
      <c r="X25313" s="60"/>
    </row>
    <row r="25314" spans="7:24" ht="15" customHeight="1">
      <c r="G25314"/>
      <c r="I25314"/>
      <c r="N25314"/>
      <c r="O25314" s="24"/>
      <c r="P25314"/>
      <c r="Q25314" s="24"/>
      <c r="R25314"/>
      <c r="S25314"/>
      <c r="T25314"/>
      <c r="U25314"/>
      <c r="X25314" s="60"/>
    </row>
    <row r="25315" spans="7:24" ht="15" customHeight="1">
      <c r="G25315"/>
      <c r="I25315"/>
      <c r="N25315"/>
      <c r="O25315" s="24"/>
      <c r="P25315"/>
      <c r="Q25315" s="24"/>
      <c r="R25315"/>
      <c r="S25315"/>
      <c r="T25315"/>
      <c r="U25315"/>
      <c r="X25315" s="60"/>
    </row>
    <row r="25316" spans="7:24" ht="15" customHeight="1">
      <c r="G25316"/>
      <c r="I25316"/>
      <c r="N25316"/>
      <c r="O25316" s="24"/>
      <c r="P25316"/>
      <c r="Q25316" s="24"/>
      <c r="R25316"/>
      <c r="S25316"/>
      <c r="T25316"/>
      <c r="U25316"/>
      <c r="X25316" s="60"/>
    </row>
    <row r="25317" spans="7:24" ht="15" customHeight="1">
      <c r="G25317"/>
      <c r="I25317"/>
      <c r="N25317"/>
      <c r="O25317" s="24"/>
      <c r="P25317"/>
      <c r="Q25317" s="24"/>
      <c r="R25317"/>
      <c r="S25317"/>
      <c r="T25317"/>
      <c r="U25317"/>
      <c r="X25317" s="60"/>
    </row>
    <row r="25318" spans="7:24" ht="15" customHeight="1">
      <c r="G25318"/>
      <c r="I25318"/>
      <c r="N25318"/>
      <c r="O25318" s="24"/>
      <c r="P25318"/>
      <c r="Q25318" s="24"/>
      <c r="R25318"/>
      <c r="S25318"/>
      <c r="T25318"/>
      <c r="U25318"/>
      <c r="X25318" s="60"/>
    </row>
    <row r="25319" spans="7:24" ht="15" customHeight="1">
      <c r="G25319"/>
      <c r="I25319"/>
      <c r="N25319"/>
      <c r="O25319" s="24"/>
      <c r="P25319"/>
      <c r="Q25319" s="24"/>
      <c r="R25319"/>
      <c r="S25319"/>
      <c r="T25319"/>
      <c r="U25319"/>
      <c r="X25319" s="60"/>
    </row>
    <row r="25320" spans="7:24" ht="15" customHeight="1">
      <c r="G25320"/>
      <c r="I25320"/>
      <c r="N25320"/>
      <c r="O25320" s="24"/>
      <c r="P25320"/>
      <c r="Q25320" s="24"/>
      <c r="R25320"/>
      <c r="S25320"/>
      <c r="T25320"/>
      <c r="U25320"/>
      <c r="X25320" s="60"/>
    </row>
    <row r="25321" spans="7:24" ht="15" customHeight="1">
      <c r="G25321"/>
      <c r="I25321"/>
      <c r="N25321"/>
      <c r="O25321" s="24"/>
      <c r="P25321"/>
      <c r="Q25321" s="24"/>
      <c r="R25321"/>
      <c r="S25321"/>
      <c r="T25321"/>
      <c r="U25321"/>
      <c r="X25321" s="60"/>
    </row>
    <row r="25322" spans="7:24" ht="15" customHeight="1">
      <c r="G25322"/>
      <c r="I25322"/>
      <c r="N25322"/>
      <c r="O25322" s="24"/>
      <c r="P25322"/>
      <c r="Q25322" s="24"/>
      <c r="R25322"/>
      <c r="S25322"/>
      <c r="T25322"/>
      <c r="U25322"/>
      <c r="X25322" s="60"/>
    </row>
    <row r="25323" spans="7:24" ht="15" customHeight="1">
      <c r="G25323"/>
      <c r="I25323"/>
      <c r="N25323"/>
      <c r="O25323" s="24"/>
      <c r="P25323"/>
      <c r="Q25323" s="24"/>
      <c r="R25323"/>
      <c r="S25323"/>
      <c r="T25323"/>
      <c r="U25323"/>
      <c r="X25323" s="60"/>
    </row>
    <row r="25324" spans="7:24" ht="15" customHeight="1">
      <c r="G25324"/>
      <c r="I25324"/>
      <c r="N25324"/>
      <c r="O25324" s="24"/>
      <c r="P25324"/>
      <c r="Q25324" s="24"/>
      <c r="R25324"/>
      <c r="S25324"/>
      <c r="T25324"/>
      <c r="U25324"/>
      <c r="X25324" s="60"/>
    </row>
    <row r="25325" spans="7:24" ht="15" customHeight="1">
      <c r="G25325"/>
      <c r="I25325"/>
      <c r="N25325"/>
      <c r="O25325" s="24"/>
      <c r="P25325"/>
      <c r="Q25325" s="24"/>
      <c r="R25325"/>
      <c r="S25325"/>
      <c r="T25325"/>
      <c r="U25325"/>
      <c r="X25325" s="60"/>
    </row>
    <row r="25326" spans="7:24" ht="15" customHeight="1">
      <c r="G25326"/>
      <c r="I25326"/>
      <c r="N25326"/>
      <c r="O25326" s="24"/>
      <c r="P25326"/>
      <c r="Q25326" s="24"/>
      <c r="R25326"/>
      <c r="S25326"/>
      <c r="T25326"/>
      <c r="U25326"/>
      <c r="X25326" s="60"/>
    </row>
    <row r="25327" spans="7:24" ht="15" customHeight="1">
      <c r="G25327"/>
      <c r="I25327"/>
      <c r="N25327"/>
      <c r="O25327" s="24"/>
      <c r="P25327"/>
      <c r="Q25327" s="24"/>
      <c r="R25327"/>
      <c r="S25327"/>
      <c r="T25327"/>
      <c r="U25327"/>
      <c r="X25327" s="60"/>
    </row>
    <row r="25328" spans="7:24" ht="15" customHeight="1">
      <c r="G25328"/>
      <c r="I25328"/>
      <c r="N25328"/>
      <c r="O25328" s="24"/>
      <c r="P25328"/>
      <c r="Q25328" s="24"/>
      <c r="R25328"/>
      <c r="S25328"/>
      <c r="T25328"/>
      <c r="U25328"/>
      <c r="X25328" s="60"/>
    </row>
    <row r="25329" spans="7:24" ht="15" customHeight="1">
      <c r="G25329"/>
      <c r="I25329"/>
      <c r="N25329"/>
      <c r="O25329" s="24"/>
      <c r="P25329"/>
      <c r="Q25329" s="24"/>
      <c r="R25329"/>
      <c r="S25329"/>
      <c r="T25329"/>
      <c r="U25329"/>
      <c r="X25329" s="60"/>
    </row>
    <row r="25330" spans="7:24" ht="15" customHeight="1">
      <c r="G25330"/>
      <c r="I25330"/>
      <c r="N25330"/>
      <c r="O25330" s="24"/>
      <c r="P25330"/>
      <c r="Q25330" s="24"/>
      <c r="R25330"/>
      <c r="S25330"/>
      <c r="T25330"/>
      <c r="U25330"/>
      <c r="X25330" s="60"/>
    </row>
    <row r="25331" spans="7:24" ht="15" customHeight="1">
      <c r="G25331"/>
      <c r="I25331"/>
      <c r="N25331"/>
      <c r="O25331" s="24"/>
      <c r="P25331"/>
      <c r="Q25331" s="24"/>
      <c r="R25331"/>
      <c r="S25331"/>
      <c r="T25331"/>
      <c r="U25331"/>
      <c r="X25331" s="60"/>
    </row>
    <row r="25332" spans="7:24" ht="15" customHeight="1">
      <c r="G25332"/>
      <c r="I25332"/>
      <c r="N25332"/>
      <c r="O25332" s="24"/>
      <c r="P25332"/>
      <c r="Q25332" s="24"/>
      <c r="R25332"/>
      <c r="S25332"/>
      <c r="T25332"/>
      <c r="U25332"/>
      <c r="X25332" s="60"/>
    </row>
    <row r="25333" spans="7:24" ht="15" customHeight="1">
      <c r="G25333"/>
      <c r="I25333"/>
      <c r="N25333"/>
      <c r="O25333" s="24"/>
      <c r="P25333"/>
      <c r="Q25333" s="24"/>
      <c r="R25333"/>
      <c r="S25333"/>
      <c r="T25333"/>
      <c r="U25333"/>
      <c r="X25333" s="60"/>
    </row>
    <row r="25334" spans="7:24" ht="15" customHeight="1">
      <c r="G25334"/>
      <c r="I25334"/>
      <c r="N25334"/>
      <c r="O25334" s="24"/>
      <c r="P25334"/>
      <c r="Q25334" s="24"/>
      <c r="R25334"/>
      <c r="S25334"/>
      <c r="T25334"/>
      <c r="U25334"/>
      <c r="X25334" s="60"/>
    </row>
    <row r="25335" spans="7:24" ht="15" customHeight="1">
      <c r="G25335"/>
      <c r="I25335"/>
      <c r="N25335"/>
      <c r="O25335" s="24"/>
      <c r="P25335"/>
      <c r="Q25335" s="24"/>
      <c r="R25335"/>
      <c r="S25335"/>
      <c r="T25335"/>
      <c r="U25335"/>
      <c r="X25335" s="60"/>
    </row>
    <row r="25336" spans="7:24" ht="15" customHeight="1">
      <c r="G25336"/>
      <c r="I25336"/>
      <c r="N25336"/>
      <c r="O25336" s="24"/>
      <c r="P25336"/>
      <c r="Q25336" s="24"/>
      <c r="R25336"/>
      <c r="S25336"/>
      <c r="T25336"/>
      <c r="U25336"/>
      <c r="X25336" s="60"/>
    </row>
    <row r="25337" spans="7:24" ht="15" customHeight="1">
      <c r="G25337"/>
      <c r="I25337"/>
      <c r="N25337"/>
      <c r="O25337" s="24"/>
      <c r="P25337"/>
      <c r="Q25337" s="24"/>
      <c r="R25337"/>
      <c r="S25337"/>
      <c r="T25337"/>
      <c r="U25337"/>
      <c r="X25337" s="60"/>
    </row>
    <row r="25338" spans="7:24" ht="15" customHeight="1">
      <c r="G25338"/>
      <c r="I25338"/>
      <c r="N25338"/>
      <c r="O25338" s="24"/>
      <c r="P25338"/>
      <c r="Q25338" s="24"/>
      <c r="R25338"/>
      <c r="S25338"/>
      <c r="T25338"/>
      <c r="U25338"/>
      <c r="X25338" s="60"/>
    </row>
    <row r="25339" spans="7:24" ht="15" customHeight="1">
      <c r="G25339"/>
      <c r="I25339"/>
      <c r="N25339"/>
      <c r="O25339" s="24"/>
      <c r="P25339"/>
      <c r="Q25339" s="24"/>
      <c r="R25339"/>
      <c r="S25339"/>
      <c r="T25339"/>
      <c r="U25339"/>
      <c r="X25339" s="60"/>
    </row>
    <row r="25340" spans="7:24" ht="15" customHeight="1">
      <c r="G25340"/>
      <c r="I25340"/>
      <c r="N25340"/>
      <c r="O25340" s="24"/>
      <c r="P25340"/>
      <c r="Q25340" s="24"/>
      <c r="R25340"/>
      <c r="S25340"/>
      <c r="T25340"/>
      <c r="U25340"/>
      <c r="X25340" s="60"/>
    </row>
    <row r="25341" spans="7:24" ht="15" customHeight="1">
      <c r="G25341"/>
      <c r="I25341"/>
      <c r="N25341"/>
      <c r="O25341" s="24"/>
      <c r="P25341"/>
      <c r="Q25341" s="24"/>
      <c r="R25341"/>
      <c r="S25341"/>
      <c r="T25341"/>
      <c r="U25341"/>
      <c r="X25341" s="60"/>
    </row>
    <row r="25342" spans="7:24" ht="15" customHeight="1">
      <c r="G25342"/>
      <c r="I25342"/>
      <c r="N25342"/>
      <c r="O25342" s="24"/>
      <c r="P25342"/>
      <c r="Q25342" s="24"/>
      <c r="R25342"/>
      <c r="S25342"/>
      <c r="T25342"/>
      <c r="U25342"/>
      <c r="X25342" s="60"/>
    </row>
    <row r="25343" spans="7:24" ht="15" customHeight="1">
      <c r="G25343"/>
      <c r="I25343"/>
      <c r="N25343"/>
      <c r="O25343" s="24"/>
      <c r="P25343"/>
      <c r="Q25343" s="24"/>
      <c r="R25343"/>
      <c r="S25343"/>
      <c r="T25343"/>
      <c r="U25343"/>
      <c r="X25343" s="60"/>
    </row>
    <row r="25344" spans="7:24" ht="15" customHeight="1">
      <c r="G25344"/>
      <c r="I25344"/>
      <c r="N25344"/>
      <c r="O25344" s="24"/>
      <c r="P25344"/>
      <c r="Q25344" s="24"/>
      <c r="R25344"/>
      <c r="S25344"/>
      <c r="T25344"/>
      <c r="U25344"/>
      <c r="X25344" s="60"/>
    </row>
    <row r="25345" spans="7:24" ht="15" customHeight="1">
      <c r="G25345"/>
      <c r="I25345"/>
      <c r="N25345"/>
      <c r="O25345" s="24"/>
      <c r="P25345"/>
      <c r="Q25345" s="24"/>
      <c r="R25345"/>
      <c r="S25345"/>
      <c r="T25345"/>
      <c r="U25345"/>
      <c r="X25345" s="60"/>
    </row>
    <row r="25346" spans="7:24" ht="15" customHeight="1">
      <c r="G25346"/>
      <c r="I25346"/>
      <c r="N25346"/>
      <c r="O25346" s="24"/>
      <c r="P25346"/>
      <c r="Q25346" s="24"/>
      <c r="R25346"/>
      <c r="S25346"/>
      <c r="T25346"/>
      <c r="U25346"/>
      <c r="X25346" s="60"/>
    </row>
    <row r="25347" spans="7:24" ht="15" customHeight="1">
      <c r="G25347"/>
      <c r="I25347"/>
      <c r="N25347"/>
      <c r="O25347" s="24"/>
      <c r="P25347"/>
      <c r="Q25347" s="24"/>
      <c r="R25347"/>
      <c r="S25347"/>
      <c r="T25347"/>
      <c r="U25347"/>
      <c r="X25347" s="60"/>
    </row>
    <row r="25348" spans="7:24" ht="15" customHeight="1">
      <c r="G25348"/>
      <c r="I25348"/>
      <c r="N25348"/>
      <c r="O25348" s="24"/>
      <c r="P25348"/>
      <c r="Q25348" s="24"/>
      <c r="R25348"/>
      <c r="S25348"/>
      <c r="T25348"/>
      <c r="U25348"/>
      <c r="X25348" s="60"/>
    </row>
    <row r="25349" spans="7:24" ht="15" customHeight="1">
      <c r="G25349"/>
      <c r="I25349"/>
      <c r="N25349"/>
      <c r="O25349" s="24"/>
      <c r="P25349"/>
      <c r="Q25349" s="24"/>
      <c r="R25349"/>
      <c r="S25349"/>
      <c r="T25349"/>
      <c r="U25349"/>
      <c r="X25349" s="60"/>
    </row>
    <row r="25350" spans="7:24" ht="15" customHeight="1">
      <c r="G25350"/>
      <c r="I25350"/>
      <c r="N25350"/>
      <c r="O25350" s="24"/>
      <c r="P25350"/>
      <c r="Q25350" s="24"/>
      <c r="R25350"/>
      <c r="S25350"/>
      <c r="T25350"/>
      <c r="U25350"/>
      <c r="X25350" s="60"/>
    </row>
    <row r="25351" spans="7:24" ht="15" customHeight="1">
      <c r="G25351"/>
      <c r="I25351"/>
      <c r="N25351"/>
      <c r="O25351" s="24"/>
      <c r="P25351"/>
      <c r="Q25351" s="24"/>
      <c r="R25351"/>
      <c r="S25351"/>
      <c r="T25351"/>
      <c r="U25351"/>
      <c r="X25351" s="60"/>
    </row>
    <row r="25352" spans="7:24" ht="15" customHeight="1">
      <c r="G25352"/>
      <c r="I25352"/>
      <c r="N25352"/>
      <c r="O25352" s="24"/>
      <c r="P25352"/>
      <c r="Q25352" s="24"/>
      <c r="R25352"/>
      <c r="S25352"/>
      <c r="T25352"/>
      <c r="U25352"/>
      <c r="X25352" s="60"/>
    </row>
    <row r="25353" spans="7:24" ht="15" customHeight="1">
      <c r="G25353"/>
      <c r="I25353"/>
      <c r="N25353"/>
      <c r="O25353" s="24"/>
      <c r="P25353"/>
      <c r="Q25353" s="24"/>
      <c r="R25353"/>
      <c r="S25353"/>
      <c r="T25353"/>
      <c r="U25353"/>
      <c r="X25353" s="60"/>
    </row>
    <row r="25354" spans="7:24" ht="15" customHeight="1">
      <c r="G25354"/>
      <c r="I25354"/>
      <c r="N25354"/>
      <c r="O25354" s="24"/>
      <c r="P25354"/>
      <c r="Q25354" s="24"/>
      <c r="R25354"/>
      <c r="S25354"/>
      <c r="T25354"/>
      <c r="U25354"/>
      <c r="X25354" s="60"/>
    </row>
    <row r="25355" spans="7:24" ht="15" customHeight="1">
      <c r="G25355"/>
      <c r="I25355"/>
      <c r="N25355"/>
      <c r="O25355" s="24"/>
      <c r="P25355"/>
      <c r="Q25355" s="24"/>
      <c r="R25355"/>
      <c r="S25355"/>
      <c r="T25355"/>
      <c r="U25355"/>
      <c r="X25355" s="60"/>
    </row>
    <row r="25356" spans="7:24" ht="15" customHeight="1">
      <c r="G25356"/>
      <c r="I25356"/>
      <c r="N25356"/>
      <c r="O25356" s="24"/>
      <c r="P25356"/>
      <c r="Q25356" s="24"/>
      <c r="R25356"/>
      <c r="S25356"/>
      <c r="T25356"/>
      <c r="U25356"/>
      <c r="X25356" s="60"/>
    </row>
    <row r="25357" spans="7:24" ht="15" customHeight="1">
      <c r="G25357"/>
      <c r="I25357"/>
      <c r="N25357"/>
      <c r="O25357" s="24"/>
      <c r="P25357"/>
      <c r="Q25357" s="24"/>
      <c r="R25357"/>
      <c r="S25357"/>
      <c r="T25357"/>
      <c r="U25357"/>
      <c r="X25357" s="60"/>
    </row>
    <row r="25358" spans="7:24" ht="15" customHeight="1">
      <c r="G25358"/>
      <c r="I25358"/>
      <c r="N25358"/>
      <c r="O25358" s="24"/>
      <c r="P25358"/>
      <c r="Q25358" s="24"/>
      <c r="R25358"/>
      <c r="S25358"/>
      <c r="T25358"/>
      <c r="U25358"/>
      <c r="X25358" s="60"/>
    </row>
    <row r="25359" spans="7:24" ht="15" customHeight="1">
      <c r="G25359"/>
      <c r="I25359"/>
      <c r="N25359"/>
      <c r="O25359" s="24"/>
      <c r="P25359"/>
      <c r="Q25359" s="24"/>
      <c r="R25359"/>
      <c r="S25359"/>
      <c r="T25359"/>
      <c r="U25359"/>
      <c r="X25359" s="60"/>
    </row>
    <row r="25360" spans="7:24" ht="15" customHeight="1">
      <c r="G25360"/>
      <c r="I25360"/>
      <c r="N25360"/>
      <c r="O25360" s="24"/>
      <c r="P25360"/>
      <c r="Q25360" s="24"/>
      <c r="R25360"/>
      <c r="S25360"/>
      <c r="T25360"/>
      <c r="U25360"/>
      <c r="X25360" s="60"/>
    </row>
    <row r="25361" spans="7:24" ht="15" customHeight="1">
      <c r="G25361"/>
      <c r="I25361"/>
      <c r="N25361"/>
      <c r="O25361" s="24"/>
      <c r="P25361"/>
      <c r="Q25361" s="24"/>
      <c r="R25361"/>
      <c r="S25361"/>
      <c r="T25361"/>
      <c r="U25361"/>
      <c r="X25361" s="60"/>
    </row>
    <row r="25362" spans="7:24" ht="15" customHeight="1">
      <c r="G25362"/>
      <c r="I25362"/>
      <c r="N25362"/>
      <c r="O25362" s="24"/>
      <c r="P25362"/>
      <c r="Q25362" s="24"/>
      <c r="R25362"/>
      <c r="S25362"/>
      <c r="T25362"/>
      <c r="U25362"/>
      <c r="X25362" s="60"/>
    </row>
    <row r="25363" spans="7:24" ht="15" customHeight="1">
      <c r="G25363"/>
      <c r="I25363"/>
      <c r="N25363"/>
      <c r="O25363" s="24"/>
      <c r="P25363"/>
      <c r="Q25363" s="24"/>
      <c r="R25363"/>
      <c r="S25363"/>
      <c r="T25363"/>
      <c r="U25363"/>
      <c r="X25363" s="60"/>
    </row>
    <row r="25364" spans="7:24" ht="15" customHeight="1">
      <c r="G25364"/>
      <c r="I25364"/>
      <c r="N25364"/>
      <c r="O25364" s="24"/>
      <c r="P25364"/>
      <c r="Q25364" s="24"/>
      <c r="R25364"/>
      <c r="S25364"/>
      <c r="T25364"/>
      <c r="U25364"/>
      <c r="X25364" s="60"/>
    </row>
    <row r="25365" spans="7:24" ht="15" customHeight="1">
      <c r="G25365"/>
      <c r="I25365"/>
      <c r="N25365"/>
      <c r="O25365" s="24"/>
      <c r="P25365"/>
      <c r="Q25365" s="24"/>
      <c r="R25365"/>
      <c r="S25365"/>
      <c r="T25365"/>
      <c r="U25365"/>
      <c r="X25365" s="60"/>
    </row>
    <row r="25366" spans="7:24" ht="15" customHeight="1">
      <c r="G25366"/>
      <c r="I25366"/>
      <c r="N25366"/>
      <c r="O25366" s="24"/>
      <c r="P25366"/>
      <c r="Q25366" s="24"/>
      <c r="R25366"/>
      <c r="S25366"/>
      <c r="T25366"/>
      <c r="U25366"/>
      <c r="X25366" s="60"/>
    </row>
    <row r="25367" spans="7:24" ht="15" customHeight="1">
      <c r="G25367"/>
      <c r="I25367"/>
      <c r="N25367"/>
      <c r="O25367" s="24"/>
      <c r="P25367"/>
      <c r="Q25367" s="24"/>
      <c r="R25367"/>
      <c r="S25367"/>
      <c r="T25367"/>
      <c r="U25367"/>
      <c r="X25367" s="60"/>
    </row>
    <row r="25368" spans="7:24" ht="15" customHeight="1">
      <c r="G25368"/>
      <c r="I25368"/>
      <c r="N25368"/>
      <c r="O25368" s="24"/>
      <c r="P25368"/>
      <c r="Q25368" s="24"/>
      <c r="R25368"/>
      <c r="S25368"/>
      <c r="T25368"/>
      <c r="U25368"/>
      <c r="X25368" s="60"/>
    </row>
    <row r="25369" spans="7:24" ht="15" customHeight="1">
      <c r="G25369"/>
      <c r="I25369"/>
      <c r="N25369"/>
      <c r="O25369" s="24"/>
      <c r="P25369"/>
      <c r="Q25369" s="24"/>
      <c r="R25369"/>
      <c r="S25369"/>
      <c r="T25369"/>
      <c r="U25369"/>
      <c r="X25369" s="60"/>
    </row>
    <row r="25370" spans="7:24" ht="15" customHeight="1">
      <c r="G25370"/>
      <c r="I25370"/>
      <c r="N25370"/>
      <c r="O25370" s="24"/>
      <c r="P25370"/>
      <c r="Q25370" s="24"/>
      <c r="R25370"/>
      <c r="S25370"/>
      <c r="T25370"/>
      <c r="U25370"/>
      <c r="X25370" s="60"/>
    </row>
    <row r="25371" spans="7:24" ht="15" customHeight="1">
      <c r="G25371"/>
      <c r="I25371"/>
      <c r="N25371"/>
      <c r="O25371" s="24"/>
      <c r="P25371"/>
      <c r="Q25371" s="24"/>
      <c r="R25371"/>
      <c r="S25371"/>
      <c r="T25371"/>
      <c r="U25371"/>
      <c r="X25371" s="60"/>
    </row>
    <row r="25372" spans="7:24" ht="15" customHeight="1">
      <c r="G25372"/>
      <c r="I25372"/>
      <c r="N25372"/>
      <c r="O25372" s="24"/>
      <c r="P25372"/>
      <c r="Q25372" s="24"/>
      <c r="R25372"/>
      <c r="S25372"/>
      <c r="T25372"/>
      <c r="U25372"/>
      <c r="X25372" s="60"/>
    </row>
    <row r="25373" spans="7:24" ht="15" customHeight="1">
      <c r="G25373"/>
      <c r="I25373"/>
      <c r="N25373"/>
      <c r="O25373" s="24"/>
      <c r="P25373"/>
      <c r="Q25373" s="24"/>
      <c r="R25373"/>
      <c r="S25373"/>
      <c r="T25373"/>
      <c r="U25373"/>
      <c r="X25373" s="60"/>
    </row>
    <row r="25374" spans="7:24" ht="15" customHeight="1">
      <c r="G25374"/>
      <c r="I25374"/>
      <c r="N25374"/>
      <c r="O25374" s="24"/>
      <c r="P25374"/>
      <c r="Q25374" s="24"/>
      <c r="R25374"/>
      <c r="S25374"/>
      <c r="T25374"/>
      <c r="U25374"/>
      <c r="X25374" s="60"/>
    </row>
    <row r="25375" spans="7:24" ht="15" customHeight="1">
      <c r="G25375"/>
      <c r="I25375"/>
      <c r="N25375"/>
      <c r="O25375" s="24"/>
      <c r="P25375"/>
      <c r="Q25375" s="24"/>
      <c r="R25375"/>
      <c r="S25375"/>
      <c r="T25375"/>
      <c r="U25375"/>
      <c r="X25375" s="60"/>
    </row>
    <row r="25376" spans="7:24" ht="15" customHeight="1">
      <c r="G25376"/>
      <c r="I25376"/>
      <c r="N25376"/>
      <c r="O25376" s="24"/>
      <c r="P25376"/>
      <c r="Q25376" s="24"/>
      <c r="R25376"/>
      <c r="S25376"/>
      <c r="T25376"/>
      <c r="U25376"/>
      <c r="X25376" s="60"/>
    </row>
    <row r="25377" spans="7:24" ht="15" customHeight="1">
      <c r="G25377"/>
      <c r="I25377"/>
      <c r="N25377"/>
      <c r="O25377" s="24"/>
      <c r="P25377"/>
      <c r="Q25377" s="24"/>
      <c r="R25377"/>
      <c r="S25377"/>
      <c r="T25377"/>
      <c r="U25377"/>
      <c r="X25377" s="60"/>
    </row>
    <row r="25378" spans="7:24" ht="15" customHeight="1">
      <c r="G25378"/>
      <c r="I25378"/>
      <c r="N25378"/>
      <c r="O25378" s="24"/>
      <c r="P25378"/>
      <c r="Q25378" s="24"/>
      <c r="R25378"/>
      <c r="S25378"/>
      <c r="T25378"/>
      <c r="U25378"/>
      <c r="X25378" s="60"/>
    </row>
    <row r="25379" spans="7:24" ht="15" customHeight="1">
      <c r="G25379"/>
      <c r="I25379"/>
      <c r="N25379"/>
      <c r="O25379" s="24"/>
      <c r="P25379"/>
      <c r="Q25379" s="24"/>
      <c r="R25379"/>
      <c r="S25379"/>
      <c r="T25379"/>
      <c r="U25379"/>
      <c r="X25379" s="60"/>
    </row>
    <row r="25380" spans="7:24" ht="15" customHeight="1">
      <c r="G25380"/>
      <c r="I25380"/>
      <c r="N25380"/>
      <c r="O25380" s="24"/>
      <c r="P25380"/>
      <c r="Q25380" s="24"/>
      <c r="R25380"/>
      <c r="S25380"/>
      <c r="T25380"/>
      <c r="U25380"/>
      <c r="X25380" s="60"/>
    </row>
    <row r="25381" spans="7:24" ht="15" customHeight="1">
      <c r="G25381"/>
      <c r="I25381"/>
      <c r="N25381"/>
      <c r="O25381" s="24"/>
      <c r="P25381"/>
      <c r="Q25381" s="24"/>
      <c r="R25381"/>
      <c r="S25381"/>
      <c r="T25381"/>
      <c r="U25381"/>
      <c r="X25381" s="60"/>
    </row>
    <row r="25382" spans="7:24" ht="15" customHeight="1">
      <c r="G25382"/>
      <c r="I25382"/>
      <c r="N25382"/>
      <c r="O25382" s="24"/>
      <c r="P25382"/>
      <c r="Q25382" s="24"/>
      <c r="R25382"/>
      <c r="S25382"/>
      <c r="T25382"/>
      <c r="U25382"/>
      <c r="X25382" s="60"/>
    </row>
    <row r="25383" spans="7:24" ht="15" customHeight="1">
      <c r="G25383"/>
      <c r="I25383"/>
      <c r="N25383"/>
      <c r="O25383" s="24"/>
      <c r="P25383"/>
      <c r="Q25383" s="24"/>
      <c r="R25383"/>
      <c r="S25383"/>
      <c r="T25383"/>
      <c r="U25383"/>
      <c r="X25383" s="60"/>
    </row>
    <row r="25384" spans="7:24" ht="15" customHeight="1">
      <c r="G25384"/>
      <c r="I25384"/>
      <c r="N25384"/>
      <c r="O25384" s="24"/>
      <c r="P25384"/>
      <c r="Q25384" s="24"/>
      <c r="R25384"/>
      <c r="S25384"/>
      <c r="T25384"/>
      <c r="U25384"/>
      <c r="X25384" s="60"/>
    </row>
    <row r="25385" spans="7:24" ht="15" customHeight="1">
      <c r="G25385"/>
      <c r="I25385"/>
      <c r="N25385"/>
      <c r="O25385" s="24"/>
      <c r="P25385"/>
      <c r="Q25385" s="24"/>
      <c r="R25385"/>
      <c r="S25385"/>
      <c r="T25385"/>
      <c r="U25385"/>
      <c r="X25385" s="60"/>
    </row>
    <row r="25386" spans="7:24" ht="15" customHeight="1">
      <c r="G25386"/>
      <c r="I25386"/>
      <c r="N25386"/>
      <c r="O25386" s="24"/>
      <c r="P25386"/>
      <c r="Q25386" s="24"/>
      <c r="R25386"/>
      <c r="S25386"/>
      <c r="T25386"/>
      <c r="U25386"/>
      <c r="X25386" s="60"/>
    </row>
    <row r="25387" spans="7:24" ht="15" customHeight="1">
      <c r="G25387"/>
      <c r="I25387"/>
      <c r="N25387"/>
      <c r="O25387" s="24"/>
      <c r="P25387"/>
      <c r="Q25387" s="24"/>
      <c r="R25387"/>
      <c r="S25387"/>
      <c r="T25387"/>
      <c r="U25387"/>
      <c r="X25387" s="60"/>
    </row>
    <row r="25388" spans="7:24" ht="15" customHeight="1">
      <c r="G25388"/>
      <c r="I25388"/>
      <c r="N25388"/>
      <c r="O25388" s="24"/>
      <c r="P25388"/>
      <c r="Q25388" s="24"/>
      <c r="R25388"/>
      <c r="S25388"/>
      <c r="T25388"/>
      <c r="U25388"/>
      <c r="X25388" s="60"/>
    </row>
    <row r="25389" spans="7:24" ht="15" customHeight="1">
      <c r="G25389"/>
      <c r="I25389"/>
      <c r="N25389"/>
      <c r="O25389" s="24"/>
      <c r="P25389"/>
      <c r="Q25389" s="24"/>
      <c r="R25389"/>
      <c r="S25389"/>
      <c r="T25389"/>
      <c r="U25389"/>
      <c r="X25389" s="60"/>
    </row>
    <row r="25390" spans="7:24" ht="15" customHeight="1">
      <c r="G25390"/>
      <c r="I25390"/>
      <c r="N25390"/>
      <c r="O25390" s="24"/>
      <c r="P25390"/>
      <c r="Q25390" s="24"/>
      <c r="R25390"/>
      <c r="S25390"/>
      <c r="T25390"/>
      <c r="U25390"/>
      <c r="X25390" s="60"/>
    </row>
    <row r="25391" spans="7:24" ht="15" customHeight="1">
      <c r="G25391"/>
      <c r="I25391"/>
      <c r="N25391"/>
      <c r="O25391" s="24"/>
      <c r="P25391"/>
      <c r="Q25391" s="24"/>
      <c r="R25391"/>
      <c r="S25391"/>
      <c r="T25391"/>
      <c r="U25391"/>
      <c r="X25391" s="60"/>
    </row>
    <row r="25392" spans="7:24" ht="15" customHeight="1">
      <c r="G25392"/>
      <c r="I25392"/>
      <c r="N25392"/>
      <c r="O25392" s="24"/>
      <c r="P25392"/>
      <c r="Q25392" s="24"/>
      <c r="R25392"/>
      <c r="S25392"/>
      <c r="T25392"/>
      <c r="U25392"/>
      <c r="X25392" s="60"/>
    </row>
    <row r="25393" spans="7:24" ht="15" customHeight="1">
      <c r="G25393"/>
      <c r="I25393"/>
      <c r="N25393"/>
      <c r="O25393" s="24"/>
      <c r="P25393"/>
      <c r="Q25393" s="24"/>
      <c r="R25393"/>
      <c r="S25393"/>
      <c r="T25393"/>
      <c r="U25393"/>
      <c r="X25393" s="60"/>
    </row>
    <row r="25394" spans="7:24" ht="15" customHeight="1">
      <c r="G25394"/>
      <c r="I25394"/>
      <c r="N25394"/>
      <c r="O25394" s="24"/>
      <c r="P25394"/>
      <c r="Q25394" s="24"/>
      <c r="R25394"/>
      <c r="S25394"/>
      <c r="T25394"/>
      <c r="U25394"/>
      <c r="X25394" s="60"/>
    </row>
    <row r="25395" spans="7:24" ht="15" customHeight="1">
      <c r="G25395"/>
      <c r="I25395"/>
      <c r="N25395"/>
      <c r="O25395" s="24"/>
      <c r="P25395"/>
      <c r="Q25395" s="24"/>
      <c r="R25395"/>
      <c r="S25395"/>
      <c r="T25395"/>
      <c r="U25395"/>
      <c r="X25395" s="60"/>
    </row>
    <row r="25396" spans="7:24" ht="15" customHeight="1">
      <c r="G25396"/>
      <c r="I25396"/>
      <c r="N25396"/>
      <c r="O25396" s="24"/>
      <c r="P25396"/>
      <c r="Q25396" s="24"/>
      <c r="R25396"/>
      <c r="S25396"/>
      <c r="T25396"/>
      <c r="U25396"/>
      <c r="X25396" s="60"/>
    </row>
    <row r="25397" spans="7:24" ht="15" customHeight="1">
      <c r="G25397"/>
      <c r="I25397"/>
      <c r="N25397"/>
      <c r="O25397" s="24"/>
      <c r="P25397"/>
      <c r="Q25397" s="24"/>
      <c r="R25397"/>
      <c r="S25397"/>
      <c r="T25397"/>
      <c r="U25397"/>
      <c r="X25397" s="60"/>
    </row>
    <row r="25398" spans="7:24" ht="15" customHeight="1">
      <c r="G25398"/>
      <c r="I25398"/>
      <c r="N25398"/>
      <c r="O25398" s="24"/>
      <c r="P25398"/>
      <c r="Q25398" s="24"/>
      <c r="R25398"/>
      <c r="S25398"/>
      <c r="T25398"/>
      <c r="U25398"/>
      <c r="X25398" s="60"/>
    </row>
    <row r="25399" spans="7:24" ht="15" customHeight="1">
      <c r="G25399"/>
      <c r="I25399"/>
      <c r="N25399"/>
      <c r="O25399" s="24"/>
      <c r="P25399"/>
      <c r="Q25399" s="24"/>
      <c r="R25399"/>
      <c r="S25399"/>
      <c r="T25399"/>
      <c r="U25399"/>
      <c r="X25399" s="60"/>
    </row>
    <row r="25400" spans="7:24" ht="15" customHeight="1">
      <c r="G25400"/>
      <c r="I25400"/>
      <c r="N25400"/>
      <c r="O25400" s="24"/>
      <c r="P25400"/>
      <c r="Q25400" s="24"/>
      <c r="R25400"/>
      <c r="S25400"/>
      <c r="T25400"/>
      <c r="U25400"/>
      <c r="X25400" s="60"/>
    </row>
    <row r="25401" spans="7:24" ht="15" customHeight="1">
      <c r="G25401"/>
      <c r="I25401"/>
      <c r="N25401"/>
      <c r="O25401" s="24"/>
      <c r="P25401"/>
      <c r="Q25401" s="24"/>
      <c r="R25401"/>
      <c r="S25401"/>
      <c r="T25401"/>
      <c r="U25401"/>
      <c r="X25401" s="60"/>
    </row>
    <row r="25402" spans="7:24" ht="15" customHeight="1">
      <c r="G25402"/>
      <c r="I25402"/>
      <c r="N25402"/>
      <c r="O25402" s="24"/>
      <c r="P25402"/>
      <c r="Q25402" s="24"/>
      <c r="R25402"/>
      <c r="S25402"/>
      <c r="T25402"/>
      <c r="U25402"/>
      <c r="X25402" s="60"/>
    </row>
    <row r="25403" spans="7:24" ht="15" customHeight="1">
      <c r="G25403"/>
      <c r="I25403"/>
      <c r="N25403"/>
      <c r="O25403" s="24"/>
      <c r="P25403"/>
      <c r="Q25403" s="24"/>
      <c r="R25403"/>
      <c r="S25403"/>
      <c r="T25403"/>
      <c r="U25403"/>
      <c r="X25403" s="60"/>
    </row>
    <row r="25404" spans="7:24" ht="15" customHeight="1">
      <c r="G25404"/>
      <c r="I25404"/>
      <c r="N25404"/>
      <c r="O25404" s="24"/>
      <c r="P25404"/>
      <c r="Q25404" s="24"/>
      <c r="R25404"/>
      <c r="S25404"/>
      <c r="T25404"/>
      <c r="U25404"/>
      <c r="X25404" s="60"/>
    </row>
    <row r="25405" spans="7:24" ht="15" customHeight="1">
      <c r="G25405"/>
      <c r="I25405"/>
      <c r="N25405"/>
      <c r="O25405" s="24"/>
      <c r="P25405"/>
      <c r="Q25405" s="24"/>
      <c r="R25405"/>
      <c r="S25405"/>
      <c r="T25405"/>
      <c r="U25405"/>
      <c r="X25405" s="60"/>
    </row>
    <row r="25406" spans="7:24" ht="15" customHeight="1">
      <c r="G25406"/>
      <c r="I25406"/>
      <c r="N25406"/>
      <c r="O25406" s="24"/>
      <c r="P25406"/>
      <c r="Q25406" s="24"/>
      <c r="R25406"/>
      <c r="S25406"/>
      <c r="T25406"/>
      <c r="U25406"/>
      <c r="X25406" s="60"/>
    </row>
    <row r="25407" spans="7:24" ht="15" customHeight="1">
      <c r="G25407"/>
      <c r="I25407"/>
      <c r="N25407"/>
      <c r="O25407" s="24"/>
      <c r="P25407"/>
      <c r="Q25407" s="24"/>
      <c r="R25407"/>
      <c r="S25407"/>
      <c r="T25407"/>
      <c r="U25407"/>
      <c r="X25407" s="60"/>
    </row>
    <row r="25408" spans="7:24" ht="15" customHeight="1">
      <c r="G25408"/>
      <c r="I25408"/>
      <c r="N25408"/>
      <c r="O25408" s="24"/>
      <c r="P25408"/>
      <c r="Q25408" s="24"/>
      <c r="R25408"/>
      <c r="S25408"/>
      <c r="T25408"/>
      <c r="U25408"/>
      <c r="X25408" s="60"/>
    </row>
    <row r="25409" spans="7:24" ht="15" customHeight="1">
      <c r="G25409"/>
      <c r="I25409"/>
      <c r="N25409"/>
      <c r="O25409" s="24"/>
      <c r="P25409"/>
      <c r="Q25409" s="24"/>
      <c r="R25409"/>
      <c r="S25409"/>
      <c r="T25409"/>
      <c r="U25409"/>
      <c r="X25409" s="60"/>
    </row>
    <row r="25410" spans="7:24" ht="15" customHeight="1">
      <c r="G25410"/>
      <c r="I25410"/>
      <c r="N25410"/>
      <c r="O25410" s="24"/>
      <c r="P25410"/>
      <c r="Q25410" s="24"/>
      <c r="R25410"/>
      <c r="S25410"/>
      <c r="T25410"/>
      <c r="U25410"/>
      <c r="X25410" s="60"/>
    </row>
    <row r="25411" spans="7:24" ht="15" customHeight="1">
      <c r="G25411"/>
      <c r="I25411"/>
      <c r="N25411"/>
      <c r="O25411" s="24"/>
      <c r="P25411"/>
      <c r="Q25411" s="24"/>
      <c r="R25411"/>
      <c r="S25411"/>
      <c r="T25411"/>
      <c r="U25411"/>
      <c r="X25411" s="60"/>
    </row>
    <row r="25412" spans="7:24" ht="15" customHeight="1">
      <c r="G25412"/>
      <c r="I25412"/>
      <c r="N25412"/>
      <c r="O25412" s="24"/>
      <c r="P25412"/>
      <c r="Q25412" s="24"/>
      <c r="R25412"/>
      <c r="S25412"/>
      <c r="T25412"/>
      <c r="U25412"/>
      <c r="X25412" s="60"/>
    </row>
    <row r="25413" spans="7:24" ht="15" customHeight="1">
      <c r="G25413"/>
      <c r="I25413"/>
      <c r="N25413"/>
      <c r="O25413" s="24"/>
      <c r="P25413"/>
      <c r="Q25413" s="24"/>
      <c r="R25413"/>
      <c r="S25413"/>
      <c r="T25413"/>
      <c r="U25413"/>
      <c r="X25413" s="60"/>
    </row>
    <row r="25414" spans="7:24" ht="15" customHeight="1">
      <c r="G25414"/>
      <c r="I25414"/>
      <c r="N25414"/>
      <c r="O25414" s="24"/>
      <c r="P25414"/>
      <c r="Q25414" s="24"/>
      <c r="R25414"/>
      <c r="S25414"/>
      <c r="T25414"/>
      <c r="U25414"/>
      <c r="X25414" s="60"/>
    </row>
    <row r="25415" spans="7:24" ht="15" customHeight="1">
      <c r="G25415"/>
      <c r="I25415"/>
      <c r="N25415"/>
      <c r="O25415" s="24"/>
      <c r="P25415"/>
      <c r="Q25415" s="24"/>
      <c r="R25415"/>
      <c r="S25415"/>
      <c r="T25415"/>
      <c r="U25415"/>
      <c r="X25415" s="60"/>
    </row>
    <row r="25416" spans="7:24" ht="15" customHeight="1">
      <c r="G25416"/>
      <c r="I25416"/>
      <c r="N25416"/>
      <c r="O25416" s="24"/>
      <c r="P25416"/>
      <c r="Q25416" s="24"/>
      <c r="R25416"/>
      <c r="S25416"/>
      <c r="T25416"/>
      <c r="U25416"/>
      <c r="X25416" s="60"/>
    </row>
    <row r="25417" spans="7:24" ht="15" customHeight="1">
      <c r="G25417"/>
      <c r="I25417"/>
      <c r="N25417"/>
      <c r="O25417" s="24"/>
      <c r="P25417"/>
      <c r="Q25417" s="24"/>
      <c r="R25417"/>
      <c r="S25417"/>
      <c r="T25417"/>
      <c r="U25417"/>
      <c r="X25417" s="60"/>
    </row>
    <row r="25418" spans="7:24" ht="15" customHeight="1">
      <c r="G25418"/>
      <c r="I25418"/>
      <c r="N25418"/>
      <c r="O25418" s="24"/>
      <c r="P25418"/>
      <c r="Q25418" s="24"/>
      <c r="R25418"/>
      <c r="S25418"/>
      <c r="T25418"/>
      <c r="U25418"/>
      <c r="X25418" s="60"/>
    </row>
    <row r="25419" spans="7:24" ht="15" customHeight="1">
      <c r="G25419"/>
      <c r="I25419"/>
      <c r="N25419"/>
      <c r="O25419" s="24"/>
      <c r="P25419"/>
      <c r="Q25419" s="24"/>
      <c r="R25419"/>
      <c r="S25419"/>
      <c r="T25419"/>
      <c r="U25419"/>
      <c r="X25419" s="60"/>
    </row>
    <row r="25420" spans="7:24" ht="15" customHeight="1">
      <c r="G25420"/>
      <c r="I25420"/>
      <c r="N25420"/>
      <c r="O25420" s="24"/>
      <c r="P25420"/>
      <c r="Q25420" s="24"/>
      <c r="R25420"/>
      <c r="S25420"/>
      <c r="T25420"/>
      <c r="U25420"/>
      <c r="X25420" s="60"/>
    </row>
    <row r="25421" spans="7:24" ht="15" customHeight="1">
      <c r="G25421"/>
      <c r="I25421"/>
      <c r="N25421"/>
      <c r="O25421" s="24"/>
      <c r="P25421"/>
      <c r="Q25421" s="24"/>
      <c r="R25421"/>
      <c r="S25421"/>
      <c r="T25421"/>
      <c r="U25421"/>
      <c r="X25421" s="60"/>
    </row>
    <row r="25422" spans="7:24" ht="15" customHeight="1">
      <c r="G25422"/>
      <c r="I25422"/>
      <c r="N25422"/>
      <c r="O25422" s="24"/>
      <c r="P25422"/>
      <c r="Q25422" s="24"/>
      <c r="R25422"/>
      <c r="S25422"/>
      <c r="T25422"/>
      <c r="U25422"/>
      <c r="X25422" s="60"/>
    </row>
    <row r="25423" spans="7:24" ht="15" customHeight="1">
      <c r="G25423"/>
      <c r="I25423"/>
      <c r="N25423"/>
      <c r="O25423" s="24"/>
      <c r="P25423"/>
      <c r="Q25423" s="24"/>
      <c r="R25423"/>
      <c r="S25423"/>
      <c r="T25423"/>
      <c r="U25423"/>
      <c r="X25423" s="60"/>
    </row>
    <row r="25424" spans="7:24" ht="15" customHeight="1">
      <c r="G25424"/>
      <c r="I25424"/>
      <c r="N25424"/>
      <c r="O25424" s="24"/>
      <c r="P25424"/>
      <c r="Q25424" s="24"/>
      <c r="R25424"/>
      <c r="S25424"/>
      <c r="T25424"/>
      <c r="U25424"/>
      <c r="X25424" s="60"/>
    </row>
    <row r="25425" spans="7:24" ht="15" customHeight="1">
      <c r="G25425"/>
      <c r="I25425"/>
      <c r="N25425"/>
      <c r="O25425" s="24"/>
      <c r="P25425"/>
      <c r="Q25425" s="24"/>
      <c r="R25425"/>
      <c r="S25425"/>
      <c r="T25425"/>
      <c r="U25425"/>
      <c r="X25425" s="60"/>
    </row>
    <row r="25426" spans="7:24" ht="15" customHeight="1">
      <c r="G25426"/>
      <c r="I25426"/>
      <c r="N25426"/>
      <c r="O25426" s="24"/>
      <c r="P25426"/>
      <c r="Q25426" s="24"/>
      <c r="R25426"/>
      <c r="S25426"/>
      <c r="T25426"/>
      <c r="U25426"/>
      <c r="X25426" s="60"/>
    </row>
    <row r="25427" spans="7:24" ht="15" customHeight="1">
      <c r="G25427"/>
      <c r="I25427"/>
      <c r="N25427"/>
      <c r="O25427" s="24"/>
      <c r="P25427"/>
      <c r="Q25427" s="24"/>
      <c r="R25427"/>
      <c r="S25427"/>
      <c r="T25427"/>
      <c r="U25427"/>
      <c r="X25427" s="60"/>
    </row>
    <row r="25428" spans="7:24" ht="15" customHeight="1">
      <c r="G25428"/>
      <c r="I25428"/>
      <c r="N25428"/>
      <c r="O25428" s="24"/>
      <c r="P25428"/>
      <c r="Q25428" s="24"/>
      <c r="R25428"/>
      <c r="S25428"/>
      <c r="T25428"/>
      <c r="U25428"/>
      <c r="X25428" s="60"/>
    </row>
    <row r="25429" spans="7:24" ht="15" customHeight="1">
      <c r="G25429"/>
      <c r="I25429"/>
      <c r="N25429"/>
      <c r="O25429" s="24"/>
      <c r="P25429"/>
      <c r="Q25429" s="24"/>
      <c r="R25429"/>
      <c r="S25429"/>
      <c r="T25429"/>
      <c r="U25429"/>
      <c r="X25429" s="60"/>
    </row>
    <row r="25430" spans="7:24" ht="15" customHeight="1">
      <c r="G25430"/>
      <c r="I25430"/>
      <c r="N25430"/>
      <c r="O25430" s="24"/>
      <c r="P25430"/>
      <c r="Q25430" s="24"/>
      <c r="R25430"/>
      <c r="S25430"/>
      <c r="T25430"/>
      <c r="U25430"/>
      <c r="X25430" s="60"/>
    </row>
    <row r="25431" spans="7:24" ht="15" customHeight="1">
      <c r="G25431"/>
      <c r="I25431"/>
      <c r="N25431"/>
      <c r="O25431" s="24"/>
      <c r="P25431"/>
      <c r="Q25431" s="24"/>
      <c r="R25431"/>
      <c r="S25431"/>
      <c r="T25431"/>
      <c r="U25431"/>
      <c r="X25431" s="60"/>
    </row>
    <row r="25432" spans="7:24" ht="15" customHeight="1">
      <c r="G25432"/>
      <c r="I25432"/>
      <c r="N25432"/>
      <c r="O25432" s="24"/>
      <c r="P25432"/>
      <c r="Q25432" s="24"/>
      <c r="R25432"/>
      <c r="S25432"/>
      <c r="T25432"/>
      <c r="U25432"/>
      <c r="X25432" s="60"/>
    </row>
    <row r="25433" spans="7:24" ht="15" customHeight="1">
      <c r="G25433"/>
      <c r="I25433"/>
      <c r="N25433"/>
      <c r="O25433" s="24"/>
      <c r="P25433"/>
      <c r="Q25433" s="24"/>
      <c r="R25433"/>
      <c r="S25433"/>
      <c r="T25433"/>
      <c r="U25433"/>
      <c r="X25433" s="60"/>
    </row>
    <row r="25434" spans="7:24" ht="15" customHeight="1">
      <c r="G25434"/>
      <c r="I25434"/>
      <c r="N25434"/>
      <c r="O25434" s="24"/>
      <c r="P25434"/>
      <c r="Q25434" s="24"/>
      <c r="R25434"/>
      <c r="S25434"/>
      <c r="T25434"/>
      <c r="U25434"/>
      <c r="X25434" s="60"/>
    </row>
    <row r="25435" spans="7:24" ht="15" customHeight="1">
      <c r="G25435"/>
      <c r="I25435"/>
      <c r="N25435"/>
      <c r="O25435" s="24"/>
      <c r="P25435"/>
      <c r="Q25435" s="24"/>
      <c r="R25435"/>
      <c r="S25435"/>
      <c r="T25435"/>
      <c r="U25435"/>
      <c r="X25435" s="60"/>
    </row>
    <row r="25436" spans="7:24" ht="15" customHeight="1">
      <c r="G25436"/>
      <c r="I25436"/>
      <c r="N25436"/>
      <c r="O25436" s="24"/>
      <c r="P25436"/>
      <c r="Q25436" s="24"/>
      <c r="R25436"/>
      <c r="S25436"/>
      <c r="T25436"/>
      <c r="U25436"/>
      <c r="X25436" s="60"/>
    </row>
    <row r="25437" spans="7:24" ht="15" customHeight="1">
      <c r="G25437"/>
      <c r="I25437"/>
      <c r="N25437"/>
      <c r="O25437" s="24"/>
      <c r="P25437"/>
      <c r="Q25437" s="24"/>
      <c r="R25437"/>
      <c r="S25437"/>
      <c r="T25437"/>
      <c r="U25437"/>
      <c r="X25437" s="60"/>
    </row>
    <row r="25438" spans="7:24" ht="15" customHeight="1">
      <c r="G25438"/>
      <c r="I25438"/>
      <c r="N25438"/>
      <c r="O25438" s="24"/>
      <c r="P25438"/>
      <c r="Q25438" s="24"/>
      <c r="R25438"/>
      <c r="S25438"/>
      <c r="T25438"/>
      <c r="U25438"/>
      <c r="X25438" s="60"/>
    </row>
    <row r="25439" spans="7:24" ht="15" customHeight="1">
      <c r="G25439"/>
      <c r="I25439"/>
      <c r="N25439"/>
      <c r="O25439" s="24"/>
      <c r="P25439"/>
      <c r="Q25439" s="24"/>
      <c r="R25439"/>
      <c r="S25439"/>
      <c r="T25439"/>
      <c r="U25439"/>
      <c r="X25439" s="60"/>
    </row>
    <row r="25440" spans="7:24" ht="15" customHeight="1">
      <c r="G25440"/>
      <c r="I25440"/>
      <c r="N25440"/>
      <c r="O25440" s="24"/>
      <c r="P25440"/>
      <c r="Q25440" s="24"/>
      <c r="R25440"/>
      <c r="S25440"/>
      <c r="T25440"/>
      <c r="U25440"/>
      <c r="X25440" s="60"/>
    </row>
    <row r="25441" spans="7:24" ht="15" customHeight="1">
      <c r="G25441"/>
      <c r="I25441"/>
      <c r="N25441"/>
      <c r="O25441" s="24"/>
      <c r="P25441"/>
      <c r="Q25441" s="24"/>
      <c r="R25441"/>
      <c r="S25441"/>
      <c r="T25441"/>
      <c r="U25441"/>
      <c r="X25441" s="60"/>
    </row>
    <row r="25442" spans="7:24" ht="15" customHeight="1">
      <c r="G25442"/>
      <c r="I25442"/>
      <c r="N25442"/>
      <c r="O25442" s="24"/>
      <c r="P25442"/>
      <c r="Q25442" s="24"/>
      <c r="R25442"/>
      <c r="S25442"/>
      <c r="T25442"/>
      <c r="U25442"/>
      <c r="X25442" s="60"/>
    </row>
    <row r="25443" spans="7:24" ht="15" customHeight="1">
      <c r="G25443"/>
      <c r="I25443"/>
      <c r="N25443"/>
      <c r="O25443" s="24"/>
      <c r="P25443"/>
      <c r="Q25443" s="24"/>
      <c r="R25443"/>
      <c r="S25443"/>
      <c r="T25443"/>
      <c r="U25443"/>
      <c r="X25443" s="60"/>
    </row>
    <row r="25444" spans="7:24" ht="15" customHeight="1">
      <c r="G25444"/>
      <c r="I25444"/>
      <c r="N25444"/>
      <c r="O25444" s="24"/>
      <c r="P25444"/>
      <c r="Q25444" s="24"/>
      <c r="R25444"/>
      <c r="S25444"/>
      <c r="T25444"/>
      <c r="U25444"/>
      <c r="X25444" s="60"/>
    </row>
    <row r="25445" spans="7:24" ht="15" customHeight="1">
      <c r="G25445"/>
      <c r="I25445"/>
      <c r="N25445"/>
      <c r="O25445" s="24"/>
      <c r="P25445"/>
      <c r="Q25445" s="24"/>
      <c r="R25445"/>
      <c r="S25445"/>
      <c r="T25445"/>
      <c r="U25445"/>
      <c r="X25445" s="60"/>
    </row>
    <row r="25446" spans="7:24" ht="15" customHeight="1">
      <c r="G25446"/>
      <c r="I25446"/>
      <c r="N25446"/>
      <c r="O25446" s="24"/>
      <c r="P25446"/>
      <c r="Q25446" s="24"/>
      <c r="R25446"/>
      <c r="S25446"/>
      <c r="T25446"/>
      <c r="U25446"/>
      <c r="X25446" s="60"/>
    </row>
    <row r="25447" spans="7:24" ht="15" customHeight="1">
      <c r="G25447"/>
      <c r="I25447"/>
      <c r="N25447"/>
      <c r="O25447" s="24"/>
      <c r="P25447"/>
      <c r="Q25447" s="24"/>
      <c r="R25447"/>
      <c r="S25447"/>
      <c r="T25447"/>
      <c r="U25447"/>
      <c r="X25447" s="60"/>
    </row>
    <row r="25448" spans="7:24" ht="15" customHeight="1">
      <c r="G25448"/>
      <c r="I25448"/>
      <c r="N25448"/>
      <c r="O25448" s="24"/>
      <c r="P25448"/>
      <c r="Q25448" s="24"/>
      <c r="R25448"/>
      <c r="S25448"/>
      <c r="T25448"/>
      <c r="U25448"/>
      <c r="X25448" s="60"/>
    </row>
    <row r="25449" spans="7:24" ht="15" customHeight="1">
      <c r="G25449"/>
      <c r="I25449"/>
      <c r="N25449"/>
      <c r="O25449" s="24"/>
      <c r="P25449"/>
      <c r="Q25449" s="24"/>
      <c r="R25449"/>
      <c r="S25449"/>
      <c r="T25449"/>
      <c r="U25449"/>
      <c r="X25449" s="60"/>
    </row>
    <row r="25450" spans="7:24" ht="15" customHeight="1">
      <c r="G25450"/>
      <c r="I25450"/>
      <c r="N25450"/>
      <c r="O25450" s="24"/>
      <c r="P25450"/>
      <c r="Q25450" s="24"/>
      <c r="R25450"/>
      <c r="S25450"/>
      <c r="T25450"/>
      <c r="U25450"/>
      <c r="X25450" s="60"/>
    </row>
    <row r="25451" spans="7:24" ht="15" customHeight="1">
      <c r="G25451"/>
      <c r="I25451"/>
      <c r="N25451"/>
      <c r="O25451" s="24"/>
      <c r="P25451"/>
      <c r="Q25451" s="24"/>
      <c r="R25451"/>
      <c r="S25451"/>
      <c r="T25451"/>
      <c r="U25451"/>
      <c r="X25451" s="60"/>
    </row>
    <row r="25452" spans="7:24" ht="15" customHeight="1">
      <c r="G25452"/>
      <c r="I25452"/>
      <c r="N25452"/>
      <c r="O25452" s="24"/>
      <c r="P25452"/>
      <c r="Q25452" s="24"/>
      <c r="R25452"/>
      <c r="S25452"/>
      <c r="T25452"/>
      <c r="U25452"/>
      <c r="X25452" s="60"/>
    </row>
    <row r="25453" spans="7:24" ht="15" customHeight="1">
      <c r="G25453"/>
      <c r="I25453"/>
      <c r="N25453"/>
      <c r="O25453" s="24"/>
      <c r="P25453"/>
      <c r="Q25453" s="24"/>
      <c r="R25453"/>
      <c r="S25453"/>
      <c r="T25453"/>
      <c r="U25453"/>
      <c r="X25453" s="60"/>
    </row>
    <row r="25454" spans="7:24" ht="15" customHeight="1">
      <c r="G25454"/>
      <c r="I25454"/>
      <c r="N25454"/>
      <c r="O25454" s="24"/>
      <c r="P25454"/>
      <c r="Q25454" s="24"/>
      <c r="R25454"/>
      <c r="S25454"/>
      <c r="T25454"/>
      <c r="U25454"/>
      <c r="X25454" s="60"/>
    </row>
    <row r="25455" spans="7:24" ht="15" customHeight="1">
      <c r="G25455"/>
      <c r="I25455"/>
      <c r="N25455"/>
      <c r="O25455" s="24"/>
      <c r="P25455"/>
      <c r="Q25455" s="24"/>
      <c r="R25455"/>
      <c r="S25455"/>
      <c r="T25455"/>
      <c r="U25455"/>
      <c r="X25455" s="60"/>
    </row>
    <row r="25456" spans="7:24" ht="15" customHeight="1">
      <c r="G25456"/>
      <c r="I25456"/>
      <c r="N25456"/>
      <c r="O25456" s="24"/>
      <c r="P25456"/>
      <c r="Q25456" s="24"/>
      <c r="R25456"/>
      <c r="S25456"/>
      <c r="T25456"/>
      <c r="U25456"/>
      <c r="X25456" s="60"/>
    </row>
    <row r="25457" spans="7:24" ht="15" customHeight="1">
      <c r="G25457"/>
      <c r="I25457"/>
      <c r="N25457"/>
      <c r="O25457" s="24"/>
      <c r="P25457"/>
      <c r="Q25457" s="24"/>
      <c r="R25457"/>
      <c r="S25457"/>
      <c r="T25457"/>
      <c r="U25457"/>
      <c r="X25457" s="60"/>
    </row>
    <row r="25458" spans="7:24" ht="15" customHeight="1">
      <c r="G25458"/>
      <c r="I25458"/>
      <c r="N25458"/>
      <c r="O25458" s="24"/>
      <c r="P25458"/>
      <c r="Q25458" s="24"/>
      <c r="R25458"/>
      <c r="S25458"/>
      <c r="T25458"/>
      <c r="U25458"/>
      <c r="X25458" s="60"/>
    </row>
    <row r="25459" spans="7:24" ht="15" customHeight="1">
      <c r="G25459"/>
      <c r="I25459"/>
      <c r="N25459"/>
      <c r="O25459" s="24"/>
      <c r="P25459"/>
      <c r="Q25459" s="24"/>
      <c r="R25459"/>
      <c r="S25459"/>
      <c r="T25459"/>
      <c r="U25459"/>
      <c r="X25459" s="60"/>
    </row>
    <row r="25460" spans="7:24" ht="15" customHeight="1">
      <c r="G25460"/>
      <c r="I25460"/>
      <c r="N25460"/>
      <c r="O25460" s="24"/>
      <c r="P25460"/>
      <c r="Q25460" s="24"/>
      <c r="R25460"/>
      <c r="S25460"/>
      <c r="T25460"/>
      <c r="U25460"/>
      <c r="X25460" s="60"/>
    </row>
    <row r="25461" spans="7:24" ht="15" customHeight="1">
      <c r="G25461"/>
      <c r="I25461"/>
      <c r="N25461"/>
      <c r="O25461" s="24"/>
      <c r="P25461"/>
      <c r="Q25461" s="24"/>
      <c r="R25461"/>
      <c r="S25461"/>
      <c r="T25461"/>
      <c r="U25461"/>
      <c r="X25461" s="60"/>
    </row>
    <row r="25462" spans="7:24" ht="15" customHeight="1">
      <c r="G25462"/>
      <c r="I25462"/>
      <c r="N25462"/>
      <c r="O25462" s="24"/>
      <c r="P25462"/>
      <c r="Q25462" s="24"/>
      <c r="R25462"/>
      <c r="S25462"/>
      <c r="T25462"/>
      <c r="U25462"/>
      <c r="X25462" s="60"/>
    </row>
    <row r="25463" spans="7:24" ht="15" customHeight="1">
      <c r="G25463"/>
      <c r="I25463"/>
      <c r="N25463"/>
      <c r="O25463" s="24"/>
      <c r="P25463"/>
      <c r="Q25463" s="24"/>
      <c r="R25463"/>
      <c r="S25463"/>
      <c r="T25463"/>
      <c r="U25463"/>
      <c r="X25463" s="60"/>
    </row>
    <row r="25464" spans="7:24" ht="15" customHeight="1">
      <c r="G25464"/>
      <c r="I25464"/>
      <c r="N25464"/>
      <c r="O25464" s="24"/>
      <c r="P25464"/>
      <c r="Q25464" s="24"/>
      <c r="R25464"/>
      <c r="S25464"/>
      <c r="T25464"/>
      <c r="U25464"/>
      <c r="X25464" s="60"/>
    </row>
    <row r="25465" spans="7:24" ht="15" customHeight="1">
      <c r="G25465"/>
      <c r="I25465"/>
      <c r="N25465"/>
      <c r="O25465" s="24"/>
      <c r="P25465"/>
      <c r="Q25465" s="24"/>
      <c r="R25465"/>
      <c r="S25465"/>
      <c r="T25465"/>
      <c r="U25465"/>
      <c r="X25465" s="60"/>
    </row>
    <row r="25466" spans="7:24" ht="15" customHeight="1">
      <c r="G25466"/>
      <c r="I25466"/>
      <c r="N25466"/>
      <c r="O25466" s="24"/>
      <c r="P25466"/>
      <c r="Q25466" s="24"/>
      <c r="R25466"/>
      <c r="S25466"/>
      <c r="T25466"/>
      <c r="U25466"/>
      <c r="X25466" s="60"/>
    </row>
    <row r="25467" spans="7:24" ht="15" customHeight="1">
      <c r="G25467"/>
      <c r="I25467"/>
      <c r="N25467"/>
      <c r="O25467" s="24"/>
      <c r="P25467"/>
      <c r="Q25467" s="24"/>
      <c r="R25467"/>
      <c r="S25467"/>
      <c r="T25467"/>
      <c r="U25467"/>
      <c r="X25467" s="60"/>
    </row>
    <row r="25468" spans="7:24" ht="15" customHeight="1">
      <c r="G25468"/>
      <c r="I25468"/>
      <c r="N25468"/>
      <c r="O25468" s="24"/>
      <c r="P25468"/>
      <c r="Q25468" s="24"/>
      <c r="R25468"/>
      <c r="S25468"/>
      <c r="T25468"/>
      <c r="U25468"/>
      <c r="X25468" s="60"/>
    </row>
    <row r="25469" spans="7:24" ht="15" customHeight="1">
      <c r="G25469"/>
      <c r="I25469"/>
      <c r="N25469"/>
      <c r="O25469" s="24"/>
      <c r="P25469"/>
      <c r="Q25469" s="24"/>
      <c r="R25469"/>
      <c r="S25469"/>
      <c r="T25469"/>
      <c r="U25469"/>
      <c r="X25469" s="60"/>
    </row>
    <row r="25470" spans="7:24" ht="15" customHeight="1">
      <c r="G25470"/>
      <c r="I25470"/>
      <c r="N25470"/>
      <c r="O25470" s="24"/>
      <c r="P25470"/>
      <c r="Q25470" s="24"/>
      <c r="R25470"/>
      <c r="S25470"/>
      <c r="T25470"/>
      <c r="U25470"/>
      <c r="X25470" s="60"/>
    </row>
    <row r="25471" spans="7:24" ht="15" customHeight="1">
      <c r="G25471"/>
      <c r="I25471"/>
      <c r="N25471"/>
      <c r="O25471" s="24"/>
      <c r="P25471"/>
      <c r="Q25471" s="24"/>
      <c r="R25471"/>
      <c r="S25471"/>
      <c r="T25471"/>
      <c r="U25471"/>
      <c r="X25471" s="60"/>
    </row>
    <row r="25472" spans="7:24" ht="15" customHeight="1">
      <c r="G25472"/>
      <c r="I25472"/>
      <c r="N25472"/>
      <c r="O25472" s="24"/>
      <c r="P25472"/>
      <c r="Q25472" s="24"/>
      <c r="R25472"/>
      <c r="S25472"/>
      <c r="T25472"/>
      <c r="U25472"/>
      <c r="X25472" s="60"/>
    </row>
    <row r="25473" spans="7:24" ht="15" customHeight="1">
      <c r="G25473"/>
      <c r="I25473"/>
      <c r="N25473"/>
      <c r="O25473" s="24"/>
      <c r="P25473"/>
      <c r="Q25473" s="24"/>
      <c r="R25473"/>
      <c r="S25473"/>
      <c r="T25473"/>
      <c r="U25473"/>
      <c r="X25473" s="60"/>
    </row>
    <row r="25474" spans="7:24" ht="15" customHeight="1">
      <c r="G25474"/>
      <c r="I25474"/>
      <c r="N25474"/>
      <c r="O25474" s="24"/>
      <c r="P25474"/>
      <c r="Q25474" s="24"/>
      <c r="R25474"/>
      <c r="S25474"/>
      <c r="T25474"/>
      <c r="U25474"/>
      <c r="X25474" s="60"/>
    </row>
    <row r="25475" spans="7:24" ht="15" customHeight="1">
      <c r="G25475"/>
      <c r="I25475"/>
      <c r="N25475"/>
      <c r="O25475" s="24"/>
      <c r="P25475"/>
      <c r="Q25475" s="24"/>
      <c r="R25475"/>
      <c r="S25475"/>
      <c r="T25475"/>
      <c r="U25475"/>
      <c r="X25475" s="60"/>
    </row>
    <row r="25476" spans="7:24" ht="15" customHeight="1">
      <c r="G25476"/>
      <c r="I25476"/>
      <c r="N25476"/>
      <c r="O25476" s="24"/>
      <c r="P25476"/>
      <c r="Q25476" s="24"/>
      <c r="R25476"/>
      <c r="S25476"/>
      <c r="T25476"/>
      <c r="U25476"/>
      <c r="X25476" s="60"/>
    </row>
    <row r="25477" spans="7:24" ht="15" customHeight="1">
      <c r="G25477"/>
      <c r="I25477"/>
      <c r="N25477"/>
      <c r="O25477" s="24"/>
      <c r="P25477"/>
      <c r="Q25477" s="24"/>
      <c r="R25477"/>
      <c r="S25477"/>
      <c r="T25477"/>
      <c r="U25477"/>
      <c r="X25477" s="60"/>
    </row>
    <row r="25478" spans="7:24" ht="15" customHeight="1">
      <c r="G25478"/>
      <c r="I25478"/>
      <c r="N25478"/>
      <c r="O25478" s="24"/>
      <c r="P25478"/>
      <c r="Q25478" s="24"/>
      <c r="R25478"/>
      <c r="S25478"/>
      <c r="T25478"/>
      <c r="U25478"/>
      <c r="X25478" s="60"/>
    </row>
    <row r="25479" spans="7:24" ht="15" customHeight="1">
      <c r="G25479"/>
      <c r="I25479"/>
      <c r="N25479"/>
      <c r="O25479" s="24"/>
      <c r="P25479"/>
      <c r="Q25479" s="24"/>
      <c r="R25479"/>
      <c r="S25479"/>
      <c r="T25479"/>
      <c r="U25479"/>
      <c r="X25479" s="60"/>
    </row>
    <row r="25480" spans="7:24" ht="15" customHeight="1">
      <c r="G25480"/>
      <c r="I25480"/>
      <c r="N25480"/>
      <c r="O25480" s="24"/>
      <c r="P25480"/>
      <c r="Q25480" s="24"/>
      <c r="R25480"/>
      <c r="S25480"/>
      <c r="T25480"/>
      <c r="U25480"/>
      <c r="X25480" s="60"/>
    </row>
    <row r="25481" spans="7:24" ht="15" customHeight="1">
      <c r="G25481"/>
      <c r="I25481"/>
      <c r="N25481"/>
      <c r="O25481" s="24"/>
      <c r="P25481"/>
      <c r="Q25481" s="24"/>
      <c r="R25481"/>
      <c r="S25481"/>
      <c r="T25481"/>
      <c r="U25481"/>
      <c r="X25481" s="60"/>
    </row>
    <row r="25482" spans="7:24" ht="15" customHeight="1">
      <c r="G25482"/>
      <c r="I25482"/>
      <c r="N25482"/>
      <c r="O25482" s="24"/>
      <c r="P25482"/>
      <c r="Q25482" s="24"/>
      <c r="R25482"/>
      <c r="S25482"/>
      <c r="T25482"/>
      <c r="U25482"/>
      <c r="X25482" s="60"/>
    </row>
    <row r="25483" spans="7:24" ht="15" customHeight="1">
      <c r="G25483"/>
      <c r="I25483"/>
      <c r="N25483"/>
      <c r="O25483" s="24"/>
      <c r="P25483"/>
      <c r="Q25483" s="24"/>
      <c r="R25483"/>
      <c r="S25483"/>
      <c r="T25483"/>
      <c r="U25483"/>
      <c r="X25483" s="60"/>
    </row>
    <row r="25484" spans="7:24" ht="15" customHeight="1">
      <c r="G25484"/>
      <c r="I25484"/>
      <c r="N25484"/>
      <c r="O25484" s="24"/>
      <c r="P25484"/>
      <c r="Q25484" s="24"/>
      <c r="R25484"/>
      <c r="S25484"/>
      <c r="T25484"/>
      <c r="U25484"/>
      <c r="X25484" s="60"/>
    </row>
    <row r="25485" spans="7:24" ht="15" customHeight="1">
      <c r="G25485"/>
      <c r="I25485"/>
      <c r="N25485"/>
      <c r="O25485" s="24"/>
      <c r="P25485"/>
      <c r="Q25485" s="24"/>
      <c r="R25485"/>
      <c r="S25485"/>
      <c r="T25485"/>
      <c r="U25485"/>
      <c r="X25485" s="60"/>
    </row>
    <row r="25486" spans="7:24" ht="15" customHeight="1">
      <c r="G25486"/>
      <c r="I25486"/>
      <c r="N25486"/>
      <c r="O25486" s="24"/>
      <c r="P25486"/>
      <c r="Q25486" s="24"/>
      <c r="R25486"/>
      <c r="S25486"/>
      <c r="T25486"/>
      <c r="U25486"/>
      <c r="X25486" s="60"/>
    </row>
    <row r="25487" spans="7:24" ht="15" customHeight="1">
      <c r="G25487"/>
      <c r="I25487"/>
      <c r="N25487"/>
      <c r="O25487" s="24"/>
      <c r="P25487"/>
      <c r="Q25487" s="24"/>
      <c r="R25487"/>
      <c r="S25487"/>
      <c r="T25487"/>
      <c r="U25487"/>
      <c r="X25487" s="60"/>
    </row>
    <row r="25488" spans="7:24" ht="15" customHeight="1">
      <c r="G25488"/>
      <c r="I25488"/>
      <c r="N25488"/>
      <c r="O25488" s="24"/>
      <c r="P25488"/>
      <c r="Q25488" s="24"/>
      <c r="R25488"/>
      <c r="S25488"/>
      <c r="T25488"/>
      <c r="U25488"/>
      <c r="X25488" s="60"/>
    </row>
    <row r="25489" spans="7:24" ht="15" customHeight="1">
      <c r="G25489"/>
      <c r="I25489"/>
      <c r="N25489"/>
      <c r="O25489" s="24"/>
      <c r="P25489"/>
      <c r="Q25489" s="24"/>
      <c r="R25489"/>
      <c r="S25489"/>
      <c r="T25489"/>
      <c r="U25489"/>
      <c r="X25489" s="60"/>
    </row>
    <row r="25490" spans="7:24" ht="15" customHeight="1">
      <c r="G25490"/>
      <c r="I25490"/>
      <c r="N25490"/>
      <c r="O25490" s="24"/>
      <c r="P25490"/>
      <c r="Q25490" s="24"/>
      <c r="R25490"/>
      <c r="S25490"/>
      <c r="T25490"/>
      <c r="U25490"/>
      <c r="X25490" s="60"/>
    </row>
    <row r="25491" spans="7:24" ht="15" customHeight="1">
      <c r="G25491"/>
      <c r="I25491"/>
      <c r="N25491"/>
      <c r="O25491" s="24"/>
      <c r="P25491"/>
      <c r="Q25491" s="24"/>
      <c r="R25491"/>
      <c r="S25491"/>
      <c r="T25491"/>
      <c r="U25491"/>
      <c r="X25491" s="60"/>
    </row>
    <row r="25492" spans="7:24" ht="15" customHeight="1">
      <c r="G25492"/>
      <c r="I25492"/>
      <c r="N25492"/>
      <c r="O25492" s="24"/>
      <c r="P25492"/>
      <c r="Q25492" s="24"/>
      <c r="R25492"/>
      <c r="S25492"/>
      <c r="T25492"/>
      <c r="U25492"/>
      <c r="X25492" s="60"/>
    </row>
    <row r="25493" spans="7:24" ht="15" customHeight="1">
      <c r="G25493"/>
      <c r="I25493"/>
      <c r="N25493"/>
      <c r="O25493" s="24"/>
      <c r="P25493"/>
      <c r="Q25493" s="24"/>
      <c r="R25493"/>
      <c r="S25493"/>
      <c r="T25493"/>
      <c r="U25493"/>
      <c r="X25493" s="60"/>
    </row>
    <row r="25494" spans="7:24" ht="15" customHeight="1">
      <c r="G25494"/>
      <c r="I25494"/>
      <c r="N25494"/>
      <c r="O25494" s="24"/>
      <c r="P25494"/>
      <c r="Q25494" s="24"/>
      <c r="R25494"/>
      <c r="S25494"/>
      <c r="T25494"/>
      <c r="U25494"/>
      <c r="X25494" s="60"/>
    </row>
    <row r="25495" spans="7:24" ht="15" customHeight="1">
      <c r="G25495"/>
      <c r="I25495"/>
      <c r="N25495"/>
      <c r="O25495" s="24"/>
      <c r="P25495"/>
      <c r="Q25495" s="24"/>
      <c r="R25495"/>
      <c r="S25495"/>
      <c r="T25495"/>
      <c r="U25495"/>
      <c r="X25495" s="60"/>
    </row>
    <row r="25496" spans="7:24" ht="15" customHeight="1">
      <c r="G25496"/>
      <c r="I25496"/>
      <c r="N25496"/>
      <c r="O25496" s="24"/>
      <c r="P25496"/>
      <c r="Q25496" s="24"/>
      <c r="R25496"/>
      <c r="S25496"/>
      <c r="T25496"/>
      <c r="U25496"/>
      <c r="X25496" s="60"/>
    </row>
    <row r="25497" spans="7:24" ht="15" customHeight="1">
      <c r="G25497"/>
      <c r="I25497"/>
      <c r="N25497"/>
      <c r="O25497" s="24"/>
      <c r="P25497"/>
      <c r="Q25497" s="24"/>
      <c r="R25497"/>
      <c r="S25497"/>
      <c r="T25497"/>
      <c r="U25497"/>
      <c r="X25497" s="60"/>
    </row>
    <row r="25498" spans="7:24" ht="15" customHeight="1">
      <c r="G25498"/>
      <c r="I25498"/>
      <c r="N25498"/>
      <c r="O25498" s="24"/>
      <c r="P25498"/>
      <c r="Q25498" s="24"/>
      <c r="R25498"/>
      <c r="S25498"/>
      <c r="T25498"/>
      <c r="U25498"/>
      <c r="X25498" s="60"/>
    </row>
    <row r="25499" spans="7:24" ht="15" customHeight="1">
      <c r="G25499"/>
      <c r="I25499"/>
      <c r="N25499"/>
      <c r="O25499" s="24"/>
      <c r="P25499"/>
      <c r="Q25499" s="24"/>
      <c r="R25499"/>
      <c r="S25499"/>
      <c r="T25499"/>
      <c r="U25499"/>
      <c r="X25499" s="60"/>
    </row>
    <row r="25500" spans="7:24" ht="15" customHeight="1">
      <c r="G25500"/>
      <c r="I25500"/>
      <c r="N25500"/>
      <c r="O25500" s="24"/>
      <c r="P25500"/>
      <c r="Q25500" s="24"/>
      <c r="R25500"/>
      <c r="S25500"/>
      <c r="T25500"/>
      <c r="U25500"/>
      <c r="X25500" s="60"/>
    </row>
    <row r="25501" spans="7:24" ht="15" customHeight="1">
      <c r="G25501"/>
      <c r="I25501"/>
      <c r="N25501"/>
      <c r="O25501" s="24"/>
      <c r="P25501"/>
      <c r="Q25501" s="24"/>
      <c r="R25501"/>
      <c r="S25501"/>
      <c r="T25501"/>
      <c r="U25501"/>
      <c r="X25501" s="60"/>
    </row>
    <row r="25502" spans="7:24" ht="15" customHeight="1">
      <c r="G25502"/>
      <c r="I25502"/>
      <c r="N25502"/>
      <c r="O25502" s="24"/>
      <c r="P25502"/>
      <c r="Q25502" s="24"/>
      <c r="R25502"/>
      <c r="S25502"/>
      <c r="T25502"/>
      <c r="U25502"/>
      <c r="X25502" s="60"/>
    </row>
    <row r="25503" spans="7:24" ht="15" customHeight="1">
      <c r="G25503"/>
      <c r="I25503"/>
      <c r="N25503"/>
      <c r="O25503" s="24"/>
      <c r="P25503"/>
      <c r="Q25503" s="24"/>
      <c r="R25503"/>
      <c r="S25503"/>
      <c r="T25503"/>
      <c r="U25503"/>
      <c r="X25503" s="60"/>
    </row>
    <row r="25504" spans="7:24" ht="15" customHeight="1">
      <c r="G25504"/>
      <c r="I25504"/>
      <c r="N25504"/>
      <c r="O25504" s="24"/>
      <c r="P25504"/>
      <c r="Q25504" s="24"/>
      <c r="R25504"/>
      <c r="S25504"/>
      <c r="T25504"/>
      <c r="U25504"/>
      <c r="X25504" s="60"/>
    </row>
    <row r="25505" spans="7:24" ht="15" customHeight="1">
      <c r="G25505"/>
      <c r="I25505"/>
      <c r="N25505"/>
      <c r="O25505" s="24"/>
      <c r="P25505"/>
      <c r="Q25505" s="24"/>
      <c r="R25505"/>
      <c r="S25505"/>
      <c r="T25505"/>
      <c r="U25505"/>
      <c r="X25505" s="60"/>
    </row>
    <row r="25506" spans="7:24" ht="15" customHeight="1">
      <c r="G25506"/>
      <c r="I25506"/>
      <c r="N25506"/>
      <c r="O25506" s="24"/>
      <c r="P25506"/>
      <c r="Q25506" s="24"/>
      <c r="R25506"/>
      <c r="S25506"/>
      <c r="T25506"/>
      <c r="U25506"/>
      <c r="X25506" s="60"/>
    </row>
    <row r="25507" spans="7:24" ht="15" customHeight="1">
      <c r="G25507"/>
      <c r="I25507"/>
      <c r="N25507"/>
      <c r="O25507" s="24"/>
      <c r="P25507"/>
      <c r="Q25507" s="24"/>
      <c r="R25507"/>
      <c r="S25507"/>
      <c r="T25507"/>
      <c r="U25507"/>
      <c r="X25507" s="60"/>
    </row>
    <row r="25508" spans="7:24" ht="15" customHeight="1">
      <c r="G25508"/>
      <c r="I25508"/>
      <c r="N25508"/>
      <c r="O25508" s="24"/>
      <c r="P25508"/>
      <c r="Q25508" s="24"/>
      <c r="R25508"/>
      <c r="S25508"/>
      <c r="T25508"/>
      <c r="U25508"/>
      <c r="X25508" s="60"/>
    </row>
    <row r="25509" spans="7:24" ht="15" customHeight="1">
      <c r="G25509"/>
      <c r="I25509"/>
      <c r="N25509"/>
      <c r="O25509" s="24"/>
      <c r="P25509"/>
      <c r="Q25509" s="24"/>
      <c r="R25509"/>
      <c r="S25509"/>
      <c r="T25509"/>
      <c r="U25509"/>
      <c r="X25509" s="60"/>
    </row>
    <row r="25510" spans="7:24" ht="15" customHeight="1">
      <c r="G25510"/>
      <c r="I25510"/>
      <c r="N25510"/>
      <c r="O25510" s="24"/>
      <c r="P25510"/>
      <c r="Q25510" s="24"/>
      <c r="R25510"/>
      <c r="S25510"/>
      <c r="T25510"/>
      <c r="U25510"/>
      <c r="X25510" s="60"/>
    </row>
    <row r="25511" spans="7:24" ht="15" customHeight="1">
      <c r="G25511"/>
      <c r="I25511"/>
      <c r="N25511"/>
      <c r="O25511" s="24"/>
      <c r="P25511"/>
      <c r="Q25511" s="24"/>
      <c r="R25511"/>
      <c r="S25511"/>
      <c r="T25511"/>
      <c r="U25511"/>
      <c r="X25511" s="60"/>
    </row>
    <row r="25512" spans="7:24" ht="15" customHeight="1">
      <c r="G25512"/>
      <c r="I25512"/>
      <c r="N25512"/>
      <c r="O25512" s="24"/>
      <c r="P25512"/>
      <c r="Q25512" s="24"/>
      <c r="R25512"/>
      <c r="S25512"/>
      <c r="T25512"/>
      <c r="U25512"/>
      <c r="X25512" s="60"/>
    </row>
    <row r="25513" spans="7:24" ht="15" customHeight="1">
      <c r="G25513"/>
      <c r="I25513"/>
      <c r="N25513"/>
      <c r="O25513" s="24"/>
      <c r="P25513"/>
      <c r="Q25513" s="24"/>
      <c r="R25513"/>
      <c r="S25513"/>
      <c r="T25513"/>
      <c r="U25513"/>
      <c r="X25513" s="60"/>
    </row>
    <row r="25514" spans="7:24" ht="15" customHeight="1">
      <c r="G25514"/>
      <c r="I25514"/>
      <c r="N25514"/>
      <c r="O25514" s="24"/>
      <c r="P25514"/>
      <c r="Q25514" s="24"/>
      <c r="R25514"/>
      <c r="S25514"/>
      <c r="T25514"/>
      <c r="U25514"/>
      <c r="X25514" s="60"/>
    </row>
    <row r="25515" spans="7:24" ht="15" customHeight="1">
      <c r="G25515"/>
      <c r="I25515"/>
      <c r="N25515"/>
      <c r="O25515" s="24"/>
      <c r="P25515"/>
      <c r="Q25515" s="24"/>
      <c r="R25515"/>
      <c r="S25515"/>
      <c r="T25515"/>
      <c r="U25515"/>
      <c r="X25515" s="60"/>
    </row>
    <row r="25516" spans="7:24" ht="15" customHeight="1">
      <c r="G25516"/>
      <c r="I25516"/>
      <c r="N25516"/>
      <c r="O25516" s="24"/>
      <c r="P25516"/>
      <c r="Q25516" s="24"/>
      <c r="R25516"/>
      <c r="S25516"/>
      <c r="T25516"/>
      <c r="U25516"/>
      <c r="X25516" s="60"/>
    </row>
    <row r="25517" spans="7:24" ht="15" customHeight="1">
      <c r="G25517"/>
      <c r="I25517"/>
      <c r="N25517"/>
      <c r="O25517" s="24"/>
      <c r="P25517"/>
      <c r="Q25517" s="24"/>
      <c r="R25517"/>
      <c r="S25517"/>
      <c r="T25517"/>
      <c r="U25517"/>
      <c r="X25517" s="60"/>
    </row>
    <row r="25518" spans="7:24" ht="15" customHeight="1">
      <c r="G25518"/>
      <c r="I25518"/>
      <c r="N25518"/>
      <c r="O25518" s="24"/>
      <c r="P25518"/>
      <c r="Q25518" s="24"/>
      <c r="R25518"/>
      <c r="S25518"/>
      <c r="T25518"/>
      <c r="U25518"/>
      <c r="X25518" s="60"/>
    </row>
    <row r="25519" spans="7:24" ht="15" customHeight="1">
      <c r="G25519"/>
      <c r="I25519"/>
      <c r="N25519"/>
      <c r="O25519" s="24"/>
      <c r="P25519"/>
      <c r="Q25519" s="24"/>
      <c r="R25519"/>
      <c r="S25519"/>
      <c r="T25519"/>
      <c r="U25519"/>
      <c r="X25519" s="60"/>
    </row>
    <row r="25520" spans="7:24" ht="15" customHeight="1">
      <c r="G25520"/>
      <c r="I25520"/>
      <c r="N25520"/>
      <c r="O25520" s="24"/>
      <c r="P25520"/>
      <c r="Q25520" s="24"/>
      <c r="R25520"/>
      <c r="S25520"/>
      <c r="T25520"/>
      <c r="U25520"/>
      <c r="X25520" s="60"/>
    </row>
    <row r="25521" spans="7:24" ht="15" customHeight="1">
      <c r="G25521"/>
      <c r="I25521"/>
      <c r="N25521"/>
      <c r="O25521" s="24"/>
      <c r="P25521"/>
      <c r="Q25521" s="24"/>
      <c r="R25521"/>
      <c r="S25521"/>
      <c r="T25521"/>
      <c r="U25521"/>
      <c r="X25521" s="60"/>
    </row>
    <row r="25522" spans="7:24" ht="15" customHeight="1">
      <c r="G25522"/>
      <c r="I25522"/>
      <c r="N25522"/>
      <c r="O25522" s="24"/>
      <c r="P25522"/>
      <c r="Q25522" s="24"/>
      <c r="R25522"/>
      <c r="S25522"/>
      <c r="T25522"/>
      <c r="U25522"/>
      <c r="X25522" s="60"/>
    </row>
    <row r="25523" spans="7:24" ht="15" customHeight="1">
      <c r="G25523"/>
      <c r="I25523"/>
      <c r="N25523"/>
      <c r="O25523" s="24"/>
      <c r="P25523"/>
      <c r="Q25523" s="24"/>
      <c r="R25523"/>
      <c r="S25523"/>
      <c r="T25523"/>
      <c r="U25523"/>
      <c r="X25523" s="60"/>
    </row>
    <row r="25524" spans="7:24" ht="15" customHeight="1">
      <c r="G25524"/>
      <c r="I25524"/>
      <c r="N25524"/>
      <c r="O25524" s="24"/>
      <c r="P25524"/>
      <c r="Q25524" s="24"/>
      <c r="R25524"/>
      <c r="S25524"/>
      <c r="T25524"/>
      <c r="U25524"/>
      <c r="X25524" s="60"/>
    </row>
    <row r="25525" spans="7:24" ht="15" customHeight="1">
      <c r="G25525"/>
      <c r="I25525"/>
      <c r="N25525"/>
      <c r="O25525" s="24"/>
      <c r="P25525"/>
      <c r="Q25525" s="24"/>
      <c r="R25525"/>
      <c r="S25525"/>
      <c r="T25525"/>
      <c r="U25525"/>
      <c r="X25525" s="60"/>
    </row>
    <row r="25526" spans="7:24" ht="15" customHeight="1">
      <c r="G25526"/>
      <c r="I25526"/>
      <c r="N25526"/>
      <c r="O25526" s="24"/>
      <c r="P25526"/>
      <c r="Q25526" s="24"/>
      <c r="R25526"/>
      <c r="S25526"/>
      <c r="T25526"/>
      <c r="U25526"/>
      <c r="X25526" s="60"/>
    </row>
    <row r="25527" spans="7:24" ht="15" customHeight="1">
      <c r="G25527"/>
      <c r="I25527"/>
      <c r="N25527"/>
      <c r="O25527" s="24"/>
      <c r="P25527"/>
      <c r="Q25527" s="24"/>
      <c r="R25527"/>
      <c r="S25527"/>
      <c r="T25527"/>
      <c r="U25527"/>
      <c r="X25527" s="60"/>
    </row>
    <row r="25528" spans="7:24" ht="15" customHeight="1">
      <c r="G25528"/>
      <c r="I25528"/>
      <c r="N25528"/>
      <c r="O25528" s="24"/>
      <c r="P25528"/>
      <c r="Q25528" s="24"/>
      <c r="R25528"/>
      <c r="S25528"/>
      <c r="T25528"/>
      <c r="U25528"/>
      <c r="X25528" s="60"/>
    </row>
    <row r="25529" spans="7:24" ht="15" customHeight="1">
      <c r="G25529"/>
      <c r="I25529"/>
      <c r="N25529"/>
      <c r="O25529" s="24"/>
      <c r="P25529"/>
      <c r="Q25529" s="24"/>
      <c r="R25529"/>
      <c r="S25529"/>
      <c r="T25529"/>
      <c r="U25529"/>
      <c r="X25529" s="60"/>
    </row>
    <row r="25530" spans="7:24" ht="15" customHeight="1">
      <c r="G25530"/>
      <c r="I25530"/>
      <c r="N25530"/>
      <c r="O25530" s="24"/>
      <c r="P25530"/>
      <c r="Q25530" s="24"/>
      <c r="R25530"/>
      <c r="S25530"/>
      <c r="T25530"/>
      <c r="U25530"/>
      <c r="X25530" s="60"/>
    </row>
    <row r="25531" spans="7:24" ht="15" customHeight="1">
      <c r="G25531"/>
      <c r="I25531"/>
      <c r="N25531"/>
      <c r="O25531" s="24"/>
      <c r="P25531"/>
      <c r="Q25531" s="24"/>
      <c r="R25531"/>
      <c r="S25531"/>
      <c r="T25531"/>
      <c r="U25531"/>
      <c r="X25531" s="60"/>
    </row>
    <row r="25532" spans="7:24" ht="15" customHeight="1">
      <c r="G25532"/>
      <c r="I25532"/>
      <c r="N25532"/>
      <c r="O25532" s="24"/>
      <c r="P25532"/>
      <c r="Q25532" s="24"/>
      <c r="R25532"/>
      <c r="S25532"/>
      <c r="T25532"/>
      <c r="U25532"/>
      <c r="X25532" s="60"/>
    </row>
    <row r="25533" spans="7:24" ht="15" customHeight="1">
      <c r="G25533"/>
      <c r="I25533"/>
      <c r="N25533"/>
      <c r="O25533" s="24"/>
      <c r="P25533"/>
      <c r="Q25533" s="24"/>
      <c r="R25533"/>
      <c r="S25533"/>
      <c r="T25533"/>
      <c r="U25533"/>
      <c r="X25533" s="60"/>
    </row>
    <row r="25534" spans="7:24" ht="15" customHeight="1">
      <c r="G25534"/>
      <c r="I25534"/>
      <c r="N25534"/>
      <c r="O25534" s="24"/>
      <c r="P25534"/>
      <c r="Q25534" s="24"/>
      <c r="R25534"/>
      <c r="S25534"/>
      <c r="T25534"/>
      <c r="U25534"/>
      <c r="X25534" s="60"/>
    </row>
    <row r="25535" spans="7:24" ht="15" customHeight="1">
      <c r="G25535"/>
      <c r="I25535"/>
      <c r="N25535"/>
      <c r="O25535" s="24"/>
      <c r="P25535"/>
      <c r="Q25535" s="24"/>
      <c r="R25535"/>
      <c r="S25535"/>
      <c r="T25535"/>
      <c r="U25535"/>
      <c r="X25535" s="60"/>
    </row>
    <row r="25536" spans="7:24" ht="15" customHeight="1">
      <c r="G25536"/>
      <c r="I25536"/>
      <c r="N25536"/>
      <c r="O25536" s="24"/>
      <c r="P25536"/>
      <c r="Q25536" s="24"/>
      <c r="R25536"/>
      <c r="S25536"/>
      <c r="T25536"/>
      <c r="U25536"/>
      <c r="X25536" s="60"/>
    </row>
    <row r="25537" spans="7:24" ht="15" customHeight="1">
      <c r="G25537"/>
      <c r="I25537"/>
      <c r="N25537"/>
      <c r="O25537" s="24"/>
      <c r="P25537"/>
      <c r="Q25537" s="24"/>
      <c r="R25537"/>
      <c r="S25537"/>
      <c r="T25537"/>
      <c r="U25537"/>
      <c r="X25537" s="60"/>
    </row>
    <row r="25538" spans="7:24" ht="15" customHeight="1">
      <c r="G25538"/>
      <c r="I25538"/>
      <c r="N25538"/>
      <c r="O25538" s="24"/>
      <c r="P25538"/>
      <c r="Q25538" s="24"/>
      <c r="R25538"/>
      <c r="S25538"/>
      <c r="T25538"/>
      <c r="U25538"/>
      <c r="X25538" s="60"/>
    </row>
    <row r="25539" spans="7:24" ht="15" customHeight="1">
      <c r="G25539"/>
      <c r="I25539"/>
      <c r="N25539"/>
      <c r="O25539" s="24"/>
      <c r="P25539"/>
      <c r="Q25539" s="24"/>
      <c r="R25539"/>
      <c r="S25539"/>
      <c r="T25539"/>
      <c r="U25539"/>
      <c r="X25539" s="60"/>
    </row>
    <row r="25540" spans="7:24" ht="15" customHeight="1">
      <c r="G25540"/>
      <c r="I25540"/>
      <c r="N25540"/>
      <c r="O25540" s="24"/>
      <c r="P25540"/>
      <c r="Q25540" s="24"/>
      <c r="R25540"/>
      <c r="S25540"/>
      <c r="T25540"/>
      <c r="U25540"/>
      <c r="X25540" s="60"/>
    </row>
    <row r="25541" spans="7:24" ht="15" customHeight="1">
      <c r="G25541"/>
      <c r="I25541"/>
      <c r="N25541"/>
      <c r="O25541" s="24"/>
      <c r="P25541"/>
      <c r="Q25541" s="24"/>
      <c r="R25541"/>
      <c r="S25541"/>
      <c r="T25541"/>
      <c r="U25541"/>
      <c r="X25541" s="60"/>
    </row>
    <row r="25542" spans="7:24" ht="15" customHeight="1">
      <c r="G25542"/>
      <c r="I25542"/>
      <c r="N25542"/>
      <c r="O25542" s="24"/>
      <c r="P25542"/>
      <c r="Q25542" s="24"/>
      <c r="R25542"/>
      <c r="S25542"/>
      <c r="T25542"/>
      <c r="U25542"/>
      <c r="X25542" s="60"/>
    </row>
    <row r="25543" spans="7:24" ht="15" customHeight="1">
      <c r="G25543"/>
      <c r="I25543"/>
      <c r="N25543"/>
      <c r="O25543" s="24"/>
      <c r="P25543"/>
      <c r="Q25543" s="24"/>
      <c r="R25543"/>
      <c r="S25543"/>
      <c r="T25543"/>
      <c r="U25543"/>
      <c r="X25543" s="60"/>
    </row>
    <row r="25544" spans="7:24" ht="15" customHeight="1">
      <c r="G25544"/>
      <c r="I25544"/>
      <c r="N25544"/>
      <c r="O25544" s="24"/>
      <c r="P25544"/>
      <c r="Q25544" s="24"/>
      <c r="R25544"/>
      <c r="S25544"/>
      <c r="T25544"/>
      <c r="U25544"/>
      <c r="X25544" s="60"/>
    </row>
    <row r="25545" spans="7:24" ht="15" customHeight="1">
      <c r="G25545"/>
      <c r="I25545"/>
      <c r="N25545"/>
      <c r="O25545" s="24"/>
      <c r="P25545"/>
      <c r="Q25545" s="24"/>
      <c r="R25545"/>
      <c r="S25545"/>
      <c r="T25545"/>
      <c r="U25545"/>
      <c r="X25545" s="60"/>
    </row>
    <row r="25546" spans="7:24" ht="15" customHeight="1">
      <c r="G25546"/>
      <c r="I25546"/>
      <c r="N25546"/>
      <c r="O25546" s="24"/>
      <c r="P25546"/>
      <c r="Q25546" s="24"/>
      <c r="R25546"/>
      <c r="S25546"/>
      <c r="T25546"/>
      <c r="U25546"/>
      <c r="X25546" s="60"/>
    </row>
    <row r="25547" spans="7:24" ht="15" customHeight="1">
      <c r="G25547"/>
      <c r="I25547"/>
      <c r="N25547"/>
      <c r="O25547" s="24"/>
      <c r="P25547"/>
      <c r="Q25547" s="24"/>
      <c r="R25547"/>
      <c r="S25547"/>
      <c r="T25547"/>
      <c r="U25547"/>
      <c r="X25547" s="60"/>
    </row>
    <row r="25548" spans="7:24" ht="15" customHeight="1">
      <c r="G25548"/>
      <c r="I25548"/>
      <c r="N25548"/>
      <c r="O25548" s="24"/>
      <c r="P25548"/>
      <c r="Q25548" s="24"/>
      <c r="R25548"/>
      <c r="S25548"/>
      <c r="T25548"/>
      <c r="U25548"/>
      <c r="X25548" s="60"/>
    </row>
    <row r="25549" spans="7:24" ht="15" customHeight="1">
      <c r="G25549"/>
      <c r="I25549"/>
      <c r="N25549"/>
      <c r="O25549" s="24"/>
      <c r="P25549"/>
      <c r="Q25549" s="24"/>
      <c r="R25549"/>
      <c r="S25549"/>
      <c r="T25549"/>
      <c r="U25549"/>
      <c r="X25549" s="60"/>
    </row>
    <row r="25550" spans="7:24" ht="15" customHeight="1">
      <c r="G25550"/>
      <c r="I25550"/>
      <c r="N25550"/>
      <c r="O25550" s="24"/>
      <c r="P25550"/>
      <c r="Q25550" s="24"/>
      <c r="R25550"/>
      <c r="S25550"/>
      <c r="T25550"/>
      <c r="U25550"/>
      <c r="X25550" s="60"/>
    </row>
    <row r="25551" spans="7:24" ht="15" customHeight="1">
      <c r="G25551"/>
      <c r="I25551"/>
      <c r="N25551"/>
      <c r="O25551" s="24"/>
      <c r="P25551"/>
      <c r="Q25551" s="24"/>
      <c r="R25551"/>
      <c r="S25551"/>
      <c r="T25551"/>
      <c r="U25551"/>
      <c r="X25551" s="60"/>
    </row>
    <row r="25552" spans="7:24" ht="15" customHeight="1">
      <c r="G25552"/>
      <c r="I25552"/>
      <c r="N25552"/>
      <c r="O25552" s="24"/>
      <c r="P25552"/>
      <c r="Q25552" s="24"/>
      <c r="R25552"/>
      <c r="S25552"/>
      <c r="T25552"/>
      <c r="U25552"/>
      <c r="X25552" s="60"/>
    </row>
    <row r="25553" spans="7:24" ht="15" customHeight="1">
      <c r="G25553"/>
      <c r="I25553"/>
      <c r="N25553"/>
      <c r="O25553" s="24"/>
      <c r="P25553"/>
      <c r="Q25553" s="24"/>
      <c r="R25553"/>
      <c r="S25553"/>
      <c r="T25553"/>
      <c r="U25553"/>
      <c r="X25553" s="60"/>
    </row>
    <row r="25554" spans="7:24" ht="15" customHeight="1">
      <c r="G25554"/>
      <c r="I25554"/>
      <c r="N25554"/>
      <c r="O25554" s="24"/>
      <c r="P25554"/>
      <c r="Q25554" s="24"/>
      <c r="R25554"/>
      <c r="S25554"/>
      <c r="T25554"/>
      <c r="U25554"/>
      <c r="X25554" s="60"/>
    </row>
    <row r="25555" spans="7:24" ht="15" customHeight="1">
      <c r="G25555"/>
      <c r="I25555"/>
      <c r="N25555"/>
      <c r="O25555" s="24"/>
      <c r="P25555"/>
      <c r="Q25555" s="24"/>
      <c r="R25555"/>
      <c r="S25555"/>
      <c r="T25555"/>
      <c r="U25555"/>
      <c r="X25555" s="60"/>
    </row>
    <row r="25556" spans="7:24" ht="15" customHeight="1">
      <c r="G25556"/>
      <c r="I25556"/>
      <c r="N25556"/>
      <c r="O25556" s="24"/>
      <c r="P25556"/>
      <c r="Q25556" s="24"/>
      <c r="R25556"/>
      <c r="S25556"/>
      <c r="T25556"/>
      <c r="U25556"/>
      <c r="X25556" s="60"/>
    </row>
    <row r="25557" spans="7:24" ht="15" customHeight="1">
      <c r="G25557"/>
      <c r="I25557"/>
      <c r="N25557"/>
      <c r="O25557" s="24"/>
      <c r="P25557"/>
      <c r="Q25557" s="24"/>
      <c r="R25557"/>
      <c r="S25557"/>
      <c r="T25557"/>
      <c r="U25557"/>
      <c r="X25557" s="60"/>
    </row>
    <row r="25558" spans="7:24" ht="15" customHeight="1">
      <c r="G25558"/>
      <c r="I25558"/>
      <c r="N25558"/>
      <c r="O25558" s="24"/>
      <c r="P25558"/>
      <c r="Q25558" s="24"/>
      <c r="R25558"/>
      <c r="S25558"/>
      <c r="T25558"/>
      <c r="U25558"/>
      <c r="X25558" s="60"/>
    </row>
    <row r="25559" spans="7:24" ht="15" customHeight="1">
      <c r="G25559"/>
      <c r="I25559"/>
      <c r="N25559"/>
      <c r="O25559" s="24"/>
      <c r="P25559"/>
      <c r="Q25559" s="24"/>
      <c r="R25559"/>
      <c r="S25559"/>
      <c r="T25559"/>
      <c r="U25559"/>
      <c r="X25559" s="60"/>
    </row>
    <row r="25560" spans="7:24" ht="15" customHeight="1">
      <c r="G25560"/>
      <c r="I25560"/>
      <c r="N25560"/>
      <c r="O25560" s="24"/>
      <c r="P25560"/>
      <c r="Q25560" s="24"/>
      <c r="R25560"/>
      <c r="S25560"/>
      <c r="T25560"/>
      <c r="U25560"/>
      <c r="X25560" s="60"/>
    </row>
    <row r="25561" spans="7:24" ht="15" customHeight="1">
      <c r="G25561"/>
      <c r="I25561"/>
      <c r="N25561"/>
      <c r="O25561" s="24"/>
      <c r="P25561"/>
      <c r="Q25561" s="24"/>
      <c r="R25561"/>
      <c r="S25561"/>
      <c r="T25561"/>
      <c r="U25561"/>
      <c r="X25561" s="60"/>
    </row>
    <row r="25562" spans="7:24" ht="15" customHeight="1">
      <c r="G25562"/>
      <c r="I25562"/>
      <c r="N25562"/>
      <c r="O25562" s="24"/>
      <c r="P25562"/>
      <c r="Q25562" s="24"/>
      <c r="R25562"/>
      <c r="S25562"/>
      <c r="T25562"/>
      <c r="U25562"/>
      <c r="X25562" s="60"/>
    </row>
    <row r="25563" spans="7:24" ht="15" customHeight="1">
      <c r="G25563"/>
      <c r="I25563"/>
      <c r="N25563"/>
      <c r="O25563" s="24"/>
      <c r="P25563"/>
      <c r="Q25563" s="24"/>
      <c r="R25563"/>
      <c r="S25563"/>
      <c r="T25563"/>
      <c r="U25563"/>
      <c r="X25563" s="60"/>
    </row>
    <row r="25564" spans="7:24" ht="15" customHeight="1">
      <c r="G25564"/>
      <c r="I25564"/>
      <c r="N25564"/>
      <c r="O25564" s="24"/>
      <c r="P25564"/>
      <c r="Q25564" s="24"/>
      <c r="R25564"/>
      <c r="S25564"/>
      <c r="T25564"/>
      <c r="U25564"/>
      <c r="X25564" s="60"/>
    </row>
    <row r="25565" spans="7:24" ht="15" customHeight="1">
      <c r="G25565"/>
      <c r="I25565"/>
      <c r="N25565"/>
      <c r="O25565" s="24"/>
      <c r="P25565"/>
      <c r="Q25565" s="24"/>
      <c r="R25565"/>
      <c r="S25565"/>
      <c r="T25565"/>
      <c r="U25565"/>
      <c r="X25565" s="60"/>
    </row>
    <row r="25566" spans="7:24" ht="15" customHeight="1">
      <c r="G25566"/>
      <c r="I25566"/>
      <c r="N25566"/>
      <c r="O25566" s="24"/>
      <c r="P25566"/>
      <c r="Q25566" s="24"/>
      <c r="R25566"/>
      <c r="S25566"/>
      <c r="T25566"/>
      <c r="U25566"/>
      <c r="X25566" s="60"/>
    </row>
    <row r="25567" spans="7:24" ht="15" customHeight="1">
      <c r="G25567"/>
      <c r="I25567"/>
      <c r="N25567"/>
      <c r="O25567" s="24"/>
      <c r="P25567"/>
      <c r="Q25567" s="24"/>
      <c r="R25567"/>
      <c r="S25567"/>
      <c r="T25567"/>
      <c r="U25567"/>
      <c r="X25567" s="60"/>
    </row>
    <row r="25568" spans="7:24" ht="15" customHeight="1">
      <c r="G25568"/>
      <c r="I25568"/>
      <c r="N25568"/>
      <c r="O25568" s="24"/>
      <c r="P25568"/>
      <c r="Q25568" s="24"/>
      <c r="R25568"/>
      <c r="S25568"/>
      <c r="T25568"/>
      <c r="U25568"/>
      <c r="X25568" s="60"/>
    </row>
    <row r="25569" spans="7:24" ht="15" customHeight="1">
      <c r="G25569"/>
      <c r="I25569"/>
      <c r="N25569"/>
      <c r="O25569" s="24"/>
      <c r="P25569"/>
      <c r="Q25569" s="24"/>
      <c r="R25569"/>
      <c r="S25569"/>
      <c r="T25569"/>
      <c r="U25569"/>
      <c r="X25569" s="60"/>
    </row>
    <row r="25570" spans="7:24" ht="15" customHeight="1">
      <c r="G25570"/>
      <c r="I25570"/>
      <c r="N25570"/>
      <c r="O25570" s="24"/>
      <c r="P25570"/>
      <c r="Q25570" s="24"/>
      <c r="R25570"/>
      <c r="S25570"/>
      <c r="T25570"/>
      <c r="U25570"/>
      <c r="X25570" s="60"/>
    </row>
    <row r="25571" spans="7:24" ht="15" customHeight="1">
      <c r="G25571"/>
      <c r="I25571"/>
      <c r="N25571"/>
      <c r="O25571" s="24"/>
      <c r="P25571"/>
      <c r="Q25571" s="24"/>
      <c r="R25571"/>
      <c r="S25571"/>
      <c r="T25571"/>
      <c r="U25571"/>
      <c r="X25571" s="60"/>
    </row>
    <row r="25572" spans="7:24" ht="15" customHeight="1">
      <c r="G25572"/>
      <c r="I25572"/>
      <c r="N25572"/>
      <c r="O25572" s="24"/>
      <c r="P25572"/>
      <c r="Q25572" s="24"/>
      <c r="R25572"/>
      <c r="S25572"/>
      <c r="T25572"/>
      <c r="U25572"/>
      <c r="X25572" s="60"/>
    </row>
    <row r="25573" spans="7:24" ht="15" customHeight="1">
      <c r="G25573"/>
      <c r="I25573"/>
      <c r="N25573"/>
      <c r="O25573" s="24"/>
      <c r="P25573"/>
      <c r="Q25573" s="24"/>
      <c r="R25573"/>
      <c r="S25573"/>
      <c r="T25573"/>
      <c r="U25573"/>
      <c r="X25573" s="60"/>
    </row>
    <row r="25574" spans="7:24" ht="15" customHeight="1">
      <c r="G25574"/>
      <c r="I25574"/>
      <c r="N25574"/>
      <c r="O25574" s="24"/>
      <c r="P25574"/>
      <c r="Q25574" s="24"/>
      <c r="R25574"/>
      <c r="S25574"/>
      <c r="T25574"/>
      <c r="U25574"/>
      <c r="X25574" s="60"/>
    </row>
    <row r="25575" spans="7:24" ht="15" customHeight="1">
      <c r="G25575"/>
      <c r="I25575"/>
      <c r="N25575"/>
      <c r="O25575" s="24"/>
      <c r="P25575"/>
      <c r="Q25575" s="24"/>
      <c r="R25575"/>
      <c r="S25575"/>
      <c r="T25575"/>
      <c r="U25575"/>
      <c r="X25575" s="60"/>
    </row>
    <row r="25576" spans="7:24" ht="15" customHeight="1">
      <c r="G25576"/>
      <c r="I25576"/>
      <c r="N25576"/>
      <c r="O25576" s="24"/>
      <c r="P25576"/>
      <c r="Q25576" s="24"/>
      <c r="R25576"/>
      <c r="S25576"/>
      <c r="T25576"/>
      <c r="U25576"/>
      <c r="X25576" s="60"/>
    </row>
    <row r="25577" spans="7:24" ht="15" customHeight="1">
      <c r="G25577"/>
      <c r="I25577"/>
      <c r="N25577"/>
      <c r="O25577" s="24"/>
      <c r="P25577"/>
      <c r="Q25577" s="24"/>
      <c r="R25577"/>
      <c r="S25577"/>
      <c r="T25577"/>
      <c r="U25577"/>
      <c r="X25577" s="60"/>
    </row>
    <row r="25578" spans="7:24" ht="15" customHeight="1">
      <c r="G25578"/>
      <c r="I25578"/>
      <c r="N25578"/>
      <c r="O25578" s="24"/>
      <c r="P25578"/>
      <c r="Q25578" s="24"/>
      <c r="R25578"/>
      <c r="S25578"/>
      <c r="T25578"/>
      <c r="U25578"/>
      <c r="X25578" s="60"/>
    </row>
    <row r="25579" spans="7:24" ht="15" customHeight="1">
      <c r="G25579"/>
      <c r="I25579"/>
      <c r="N25579"/>
      <c r="O25579" s="24"/>
      <c r="P25579"/>
      <c r="Q25579" s="24"/>
      <c r="R25579"/>
      <c r="S25579"/>
      <c r="T25579"/>
      <c r="U25579"/>
      <c r="X25579" s="60"/>
    </row>
    <row r="25580" spans="7:24" ht="15" customHeight="1">
      <c r="G25580"/>
      <c r="I25580"/>
      <c r="N25580"/>
      <c r="O25580" s="24"/>
      <c r="P25580"/>
      <c r="Q25580" s="24"/>
      <c r="R25580"/>
      <c r="S25580"/>
      <c r="T25580"/>
      <c r="U25580"/>
      <c r="X25580" s="60"/>
    </row>
    <row r="25581" spans="7:24" ht="15" customHeight="1">
      <c r="G25581"/>
      <c r="I25581"/>
      <c r="N25581"/>
      <c r="O25581" s="24"/>
      <c r="P25581"/>
      <c r="Q25581" s="24"/>
      <c r="R25581"/>
      <c r="S25581"/>
      <c r="T25581"/>
      <c r="U25581"/>
      <c r="X25581" s="60"/>
    </row>
    <row r="25582" spans="7:24" ht="15" customHeight="1">
      <c r="G25582"/>
      <c r="I25582"/>
      <c r="N25582"/>
      <c r="O25582" s="24"/>
      <c r="P25582"/>
      <c r="Q25582" s="24"/>
      <c r="R25582"/>
      <c r="S25582"/>
      <c r="T25582"/>
      <c r="U25582"/>
      <c r="X25582" s="60"/>
    </row>
    <row r="25583" spans="7:24" ht="15" customHeight="1">
      <c r="G25583"/>
      <c r="I25583"/>
      <c r="N25583"/>
      <c r="O25583" s="24"/>
      <c r="P25583"/>
      <c r="Q25583" s="24"/>
      <c r="R25583"/>
      <c r="S25583"/>
      <c r="T25583"/>
      <c r="U25583"/>
      <c r="X25583" s="60"/>
    </row>
    <row r="25584" spans="7:24" ht="15" customHeight="1">
      <c r="G25584"/>
      <c r="I25584"/>
      <c r="N25584"/>
      <c r="O25584" s="24"/>
      <c r="P25584"/>
      <c r="Q25584" s="24"/>
      <c r="R25584"/>
      <c r="S25584"/>
      <c r="T25584"/>
      <c r="U25584"/>
      <c r="X25584" s="60"/>
    </row>
    <row r="25585" spans="7:24" ht="15" customHeight="1">
      <c r="G25585"/>
      <c r="I25585"/>
      <c r="N25585"/>
      <c r="O25585" s="24"/>
      <c r="P25585"/>
      <c r="Q25585" s="24"/>
      <c r="R25585"/>
      <c r="S25585"/>
      <c r="T25585"/>
      <c r="U25585"/>
      <c r="X25585" s="60"/>
    </row>
    <row r="25586" spans="7:24" ht="15" customHeight="1">
      <c r="G25586"/>
      <c r="I25586"/>
      <c r="N25586"/>
      <c r="O25586" s="24"/>
      <c r="P25586"/>
      <c r="Q25586" s="24"/>
      <c r="R25586"/>
      <c r="S25586"/>
      <c r="T25586"/>
      <c r="U25586"/>
      <c r="X25586" s="60"/>
    </row>
    <row r="25587" spans="7:24" ht="15" customHeight="1">
      <c r="G25587"/>
      <c r="I25587"/>
      <c r="N25587"/>
      <c r="O25587" s="24"/>
      <c r="P25587"/>
      <c r="Q25587" s="24"/>
      <c r="R25587"/>
      <c r="S25587"/>
      <c r="T25587"/>
      <c r="U25587"/>
      <c r="X25587" s="60"/>
    </row>
    <row r="25588" spans="7:24" ht="15" customHeight="1">
      <c r="G25588"/>
      <c r="I25588"/>
      <c r="N25588"/>
      <c r="O25588" s="24"/>
      <c r="P25588"/>
      <c r="Q25588" s="24"/>
      <c r="R25588"/>
      <c r="S25588"/>
      <c r="T25588"/>
      <c r="U25588"/>
      <c r="X25588" s="60"/>
    </row>
    <row r="25589" spans="7:24" ht="15" customHeight="1">
      <c r="G25589"/>
      <c r="I25589"/>
      <c r="N25589"/>
      <c r="O25589" s="24"/>
      <c r="P25589"/>
      <c r="Q25589" s="24"/>
      <c r="R25589"/>
      <c r="S25589"/>
      <c r="T25589"/>
      <c r="U25589"/>
      <c r="X25589" s="60"/>
    </row>
    <row r="25590" spans="7:24" ht="15" customHeight="1">
      <c r="G25590"/>
      <c r="I25590"/>
      <c r="N25590"/>
      <c r="O25590" s="24"/>
      <c r="P25590"/>
      <c r="Q25590" s="24"/>
      <c r="R25590"/>
      <c r="S25590"/>
      <c r="T25590"/>
      <c r="U25590"/>
      <c r="X25590" s="60"/>
    </row>
    <row r="25591" spans="7:24" ht="15" customHeight="1">
      <c r="G25591"/>
      <c r="I25591"/>
      <c r="N25591"/>
      <c r="O25591" s="24"/>
      <c r="P25591"/>
      <c r="Q25591" s="24"/>
      <c r="R25591"/>
      <c r="S25591"/>
      <c r="T25591"/>
      <c r="U25591"/>
      <c r="X25591" s="60"/>
    </row>
    <row r="25592" spans="7:24" ht="15" customHeight="1">
      <c r="G25592"/>
      <c r="I25592"/>
      <c r="N25592"/>
      <c r="O25592" s="24"/>
      <c r="P25592"/>
      <c r="Q25592" s="24"/>
      <c r="R25592"/>
      <c r="S25592"/>
      <c r="T25592"/>
      <c r="U25592"/>
      <c r="X25592" s="60"/>
    </row>
    <row r="25593" spans="7:24" ht="15" customHeight="1">
      <c r="G25593"/>
      <c r="I25593"/>
      <c r="N25593"/>
      <c r="O25593" s="24"/>
      <c r="P25593"/>
      <c r="Q25593" s="24"/>
      <c r="R25593"/>
      <c r="S25593"/>
      <c r="T25593"/>
      <c r="U25593"/>
      <c r="X25593" s="60"/>
    </row>
    <row r="25594" spans="7:24" ht="15" customHeight="1">
      <c r="G25594"/>
      <c r="I25594"/>
      <c r="N25594"/>
      <c r="O25594" s="24"/>
      <c r="P25594"/>
      <c r="Q25594" s="24"/>
      <c r="R25594"/>
      <c r="S25594"/>
      <c r="T25594"/>
      <c r="U25594"/>
      <c r="X25594" s="60"/>
    </row>
    <row r="25595" spans="7:24" ht="15" customHeight="1">
      <c r="G25595"/>
      <c r="I25595"/>
      <c r="N25595"/>
      <c r="O25595" s="24"/>
      <c r="P25595"/>
      <c r="Q25595" s="24"/>
      <c r="R25595"/>
      <c r="S25595"/>
      <c r="T25595"/>
      <c r="U25595"/>
      <c r="X25595" s="60"/>
    </row>
    <row r="25596" spans="7:24" ht="15" customHeight="1">
      <c r="G25596"/>
      <c r="I25596"/>
      <c r="N25596"/>
      <c r="O25596" s="24"/>
      <c r="P25596"/>
      <c r="Q25596" s="24"/>
      <c r="R25596"/>
      <c r="S25596"/>
      <c r="T25596"/>
      <c r="U25596"/>
      <c r="X25596" s="60"/>
    </row>
    <row r="25597" spans="7:24" ht="15" customHeight="1">
      <c r="G25597"/>
      <c r="I25597"/>
      <c r="N25597"/>
      <c r="O25597" s="24"/>
      <c r="P25597"/>
      <c r="Q25597" s="24"/>
      <c r="R25597"/>
      <c r="S25597"/>
      <c r="T25597"/>
      <c r="U25597"/>
      <c r="X25597" s="60"/>
    </row>
    <row r="25598" spans="7:24" ht="15" customHeight="1">
      <c r="G25598"/>
      <c r="I25598"/>
      <c r="N25598"/>
      <c r="O25598" s="24"/>
      <c r="P25598"/>
      <c r="Q25598" s="24"/>
      <c r="R25598"/>
      <c r="S25598"/>
      <c r="T25598"/>
      <c r="U25598"/>
      <c r="X25598" s="60"/>
    </row>
    <row r="25599" spans="7:24" ht="15" customHeight="1">
      <c r="G25599"/>
      <c r="I25599"/>
      <c r="N25599"/>
      <c r="O25599" s="24"/>
      <c r="P25599"/>
      <c r="Q25599" s="24"/>
      <c r="R25599"/>
      <c r="S25599"/>
      <c r="T25599"/>
      <c r="U25599"/>
      <c r="X25599" s="60"/>
    </row>
    <row r="25600" spans="7:24" ht="15" customHeight="1">
      <c r="G25600"/>
      <c r="I25600"/>
      <c r="N25600"/>
      <c r="O25600" s="24"/>
      <c r="P25600"/>
      <c r="Q25600" s="24"/>
      <c r="R25600"/>
      <c r="S25600"/>
      <c r="T25600"/>
      <c r="U25600"/>
      <c r="X25600" s="60"/>
    </row>
    <row r="25601" spans="7:24" ht="15" customHeight="1">
      <c r="G25601"/>
      <c r="I25601"/>
      <c r="N25601"/>
      <c r="O25601" s="24"/>
      <c r="P25601"/>
      <c r="Q25601" s="24"/>
      <c r="R25601"/>
      <c r="S25601"/>
      <c r="T25601"/>
      <c r="U25601"/>
      <c r="X25601" s="60"/>
    </row>
    <row r="25602" spans="7:24" ht="15" customHeight="1">
      <c r="G25602"/>
      <c r="I25602"/>
      <c r="N25602"/>
      <c r="O25602" s="24"/>
      <c r="P25602"/>
      <c r="Q25602" s="24"/>
      <c r="R25602"/>
      <c r="S25602"/>
      <c r="T25602"/>
      <c r="U25602"/>
      <c r="X25602" s="60"/>
    </row>
    <row r="25603" spans="7:24" ht="15" customHeight="1">
      <c r="G25603"/>
      <c r="I25603"/>
      <c r="N25603"/>
      <c r="O25603" s="24"/>
      <c r="P25603"/>
      <c r="Q25603" s="24"/>
      <c r="R25603"/>
      <c r="S25603"/>
      <c r="T25603"/>
      <c r="U25603"/>
      <c r="X25603" s="60"/>
    </row>
    <row r="25604" spans="7:24" ht="15" customHeight="1">
      <c r="G25604"/>
      <c r="I25604"/>
      <c r="N25604"/>
      <c r="O25604" s="24"/>
      <c r="P25604"/>
      <c r="Q25604" s="24"/>
      <c r="R25604"/>
      <c r="S25604"/>
      <c r="T25604"/>
      <c r="U25604"/>
      <c r="X25604" s="60"/>
    </row>
    <row r="25605" spans="7:24" ht="15" customHeight="1">
      <c r="G25605"/>
      <c r="I25605"/>
      <c r="N25605"/>
      <c r="O25605" s="24"/>
      <c r="P25605"/>
      <c r="Q25605" s="24"/>
      <c r="R25605"/>
      <c r="S25605"/>
      <c r="T25605"/>
      <c r="U25605"/>
      <c r="X25605" s="60"/>
    </row>
    <row r="25606" spans="7:24" ht="15" customHeight="1">
      <c r="G25606"/>
      <c r="I25606"/>
      <c r="N25606"/>
      <c r="O25606" s="24"/>
      <c r="P25606"/>
      <c r="Q25606" s="24"/>
      <c r="R25606"/>
      <c r="S25606"/>
      <c r="T25606"/>
      <c r="U25606"/>
      <c r="X25606" s="60"/>
    </row>
    <row r="25607" spans="7:24" ht="15" customHeight="1">
      <c r="G25607"/>
      <c r="I25607"/>
      <c r="N25607"/>
      <c r="O25607" s="24"/>
      <c r="P25607"/>
      <c r="Q25607" s="24"/>
      <c r="R25607"/>
      <c r="S25607"/>
      <c r="T25607"/>
      <c r="U25607"/>
      <c r="X25607" s="60"/>
    </row>
    <row r="25608" spans="7:24" ht="15" customHeight="1">
      <c r="G25608"/>
      <c r="I25608"/>
      <c r="N25608"/>
      <c r="O25608" s="24"/>
      <c r="P25608"/>
      <c r="Q25608" s="24"/>
      <c r="R25608"/>
      <c r="S25608"/>
      <c r="T25608"/>
      <c r="U25608"/>
      <c r="X25608" s="60"/>
    </row>
    <row r="25609" spans="7:24" ht="15" customHeight="1">
      <c r="G25609"/>
      <c r="I25609"/>
      <c r="N25609"/>
      <c r="O25609" s="24"/>
      <c r="P25609"/>
      <c r="Q25609" s="24"/>
      <c r="R25609"/>
      <c r="S25609"/>
      <c r="T25609"/>
      <c r="U25609"/>
      <c r="X25609" s="60"/>
    </row>
    <row r="25610" spans="7:24" ht="15" customHeight="1">
      <c r="G25610"/>
      <c r="I25610"/>
      <c r="N25610"/>
      <c r="O25610" s="24"/>
      <c r="P25610"/>
      <c r="Q25610" s="24"/>
      <c r="R25610"/>
      <c r="S25610"/>
      <c r="T25610"/>
      <c r="U25610"/>
      <c r="X25610" s="60"/>
    </row>
    <row r="25611" spans="7:24" ht="15" customHeight="1">
      <c r="G25611"/>
      <c r="I25611"/>
      <c r="N25611"/>
      <c r="O25611" s="24"/>
      <c r="P25611"/>
      <c r="Q25611" s="24"/>
      <c r="R25611"/>
      <c r="S25611"/>
      <c r="T25611"/>
      <c r="U25611"/>
      <c r="X25611" s="60"/>
    </row>
    <row r="25612" spans="7:24" ht="15" customHeight="1">
      <c r="G25612"/>
      <c r="I25612"/>
      <c r="N25612"/>
      <c r="O25612" s="24"/>
      <c r="P25612"/>
      <c r="Q25612" s="24"/>
      <c r="R25612"/>
      <c r="S25612"/>
      <c r="T25612"/>
      <c r="U25612"/>
      <c r="X25612" s="60"/>
    </row>
    <row r="25613" spans="7:24" ht="15" customHeight="1">
      <c r="G25613"/>
      <c r="I25613"/>
      <c r="N25613"/>
      <c r="O25613" s="24"/>
      <c r="P25613"/>
      <c r="Q25613" s="24"/>
      <c r="R25613"/>
      <c r="S25613"/>
      <c r="T25613"/>
      <c r="U25613"/>
      <c r="X25613" s="60"/>
    </row>
    <row r="25614" spans="7:24" ht="15" customHeight="1">
      <c r="G25614"/>
      <c r="I25614"/>
      <c r="N25614"/>
      <c r="O25614" s="24"/>
      <c r="P25614"/>
      <c r="Q25614" s="24"/>
      <c r="R25614"/>
      <c r="S25614"/>
      <c r="T25614"/>
      <c r="U25614"/>
      <c r="X25614" s="60"/>
    </row>
    <row r="25615" spans="7:24" ht="15" customHeight="1">
      <c r="G25615"/>
      <c r="I25615"/>
      <c r="N25615"/>
      <c r="O25615" s="24"/>
      <c r="P25615"/>
      <c r="Q25615" s="24"/>
      <c r="R25615"/>
      <c r="S25615"/>
      <c r="T25615"/>
      <c r="U25615"/>
      <c r="X25615" s="60"/>
    </row>
    <row r="25616" spans="7:24" ht="15" customHeight="1">
      <c r="G25616"/>
      <c r="I25616"/>
      <c r="N25616"/>
      <c r="O25616" s="24"/>
      <c r="P25616"/>
      <c r="Q25616" s="24"/>
      <c r="R25616"/>
      <c r="S25616"/>
      <c r="T25616"/>
      <c r="U25616"/>
      <c r="X25616" s="60"/>
    </row>
    <row r="25617" spans="7:24" ht="15" customHeight="1">
      <c r="G25617"/>
      <c r="I25617"/>
      <c r="N25617"/>
      <c r="O25617" s="24"/>
      <c r="P25617"/>
      <c r="Q25617" s="24"/>
      <c r="R25617"/>
      <c r="S25617"/>
      <c r="T25617"/>
      <c r="U25617"/>
      <c r="X25617" s="60"/>
    </row>
    <row r="25618" spans="7:24" ht="15" customHeight="1">
      <c r="G25618"/>
      <c r="I25618"/>
      <c r="N25618"/>
      <c r="O25618" s="24"/>
      <c r="P25618"/>
      <c r="Q25618" s="24"/>
      <c r="R25618"/>
      <c r="S25618"/>
      <c r="T25618"/>
      <c r="U25618"/>
      <c r="X25618" s="60"/>
    </row>
    <row r="25619" spans="7:24" ht="15" customHeight="1">
      <c r="G25619"/>
      <c r="I25619"/>
      <c r="N25619"/>
      <c r="O25619" s="24"/>
      <c r="P25619"/>
      <c r="Q25619" s="24"/>
      <c r="R25619"/>
      <c r="S25619"/>
      <c r="T25619"/>
      <c r="U25619"/>
      <c r="X25619" s="60"/>
    </row>
    <row r="25620" spans="7:24" ht="15" customHeight="1">
      <c r="G25620"/>
      <c r="I25620"/>
      <c r="N25620"/>
      <c r="O25620" s="24"/>
      <c r="P25620"/>
      <c r="Q25620" s="24"/>
      <c r="R25620"/>
      <c r="S25620"/>
      <c r="T25620"/>
      <c r="U25620"/>
      <c r="X25620" s="60"/>
    </row>
    <row r="25621" spans="7:24" ht="15" customHeight="1">
      <c r="G25621"/>
      <c r="I25621"/>
      <c r="N25621"/>
      <c r="O25621" s="24"/>
      <c r="P25621"/>
      <c r="Q25621" s="24"/>
      <c r="R25621"/>
      <c r="S25621"/>
      <c r="T25621"/>
      <c r="U25621"/>
      <c r="X25621" s="60"/>
    </row>
    <row r="25622" spans="7:24" ht="15" customHeight="1">
      <c r="G25622"/>
      <c r="I25622"/>
      <c r="N25622"/>
      <c r="O25622" s="24"/>
      <c r="P25622"/>
      <c r="Q25622" s="24"/>
      <c r="R25622"/>
      <c r="S25622"/>
      <c r="T25622"/>
      <c r="U25622"/>
      <c r="X25622" s="60"/>
    </row>
    <row r="25623" spans="7:24" ht="15" customHeight="1">
      <c r="G25623"/>
      <c r="I25623"/>
      <c r="N25623"/>
      <c r="O25623" s="24"/>
      <c r="P25623"/>
      <c r="Q25623" s="24"/>
      <c r="R25623"/>
      <c r="S25623"/>
      <c r="T25623"/>
      <c r="U25623"/>
      <c r="X25623" s="60"/>
    </row>
    <row r="25624" spans="7:24" ht="15" customHeight="1">
      <c r="G25624"/>
      <c r="I25624"/>
      <c r="N25624"/>
      <c r="O25624" s="24"/>
      <c r="P25624"/>
      <c r="Q25624" s="24"/>
      <c r="R25624"/>
      <c r="S25624"/>
      <c r="T25624"/>
      <c r="U25624"/>
      <c r="X25624" s="60"/>
    </row>
    <row r="25625" spans="7:24" ht="15" customHeight="1">
      <c r="G25625"/>
      <c r="I25625"/>
      <c r="N25625"/>
      <c r="O25625" s="24"/>
      <c r="P25625"/>
      <c r="Q25625" s="24"/>
      <c r="R25625"/>
      <c r="S25625"/>
      <c r="T25625"/>
      <c r="U25625"/>
      <c r="X25625" s="60"/>
    </row>
    <row r="25626" spans="7:24" ht="15" customHeight="1">
      <c r="G25626"/>
      <c r="I25626"/>
      <c r="N25626"/>
      <c r="O25626" s="24"/>
      <c r="P25626"/>
      <c r="Q25626" s="24"/>
      <c r="R25626"/>
      <c r="S25626"/>
      <c r="T25626"/>
      <c r="U25626"/>
      <c r="X25626" s="60"/>
    </row>
    <row r="25627" spans="7:24" ht="15" customHeight="1">
      <c r="G25627"/>
      <c r="I25627"/>
      <c r="N25627"/>
      <c r="O25627" s="24"/>
      <c r="P25627"/>
      <c r="Q25627" s="24"/>
      <c r="R25627"/>
      <c r="S25627"/>
      <c r="T25627"/>
      <c r="U25627"/>
      <c r="X25627" s="60"/>
    </row>
    <row r="25628" spans="7:24" ht="15" customHeight="1">
      <c r="G25628"/>
      <c r="I25628"/>
      <c r="N25628"/>
      <c r="O25628" s="24"/>
      <c r="P25628"/>
      <c r="Q25628" s="24"/>
      <c r="R25628"/>
      <c r="S25628"/>
      <c r="T25628"/>
      <c r="U25628"/>
      <c r="X25628" s="60"/>
    </row>
    <row r="25629" spans="7:24" ht="15" customHeight="1">
      <c r="G25629"/>
      <c r="I25629"/>
      <c r="N25629"/>
      <c r="O25629" s="24"/>
      <c r="P25629"/>
      <c r="Q25629" s="24"/>
      <c r="R25629"/>
      <c r="S25629"/>
      <c r="T25629"/>
      <c r="U25629"/>
      <c r="X25629" s="60"/>
    </row>
    <row r="25630" spans="7:24" ht="15" customHeight="1">
      <c r="G25630"/>
      <c r="I25630"/>
      <c r="N25630"/>
      <c r="O25630" s="24"/>
      <c r="P25630"/>
      <c r="Q25630" s="24"/>
      <c r="R25630"/>
      <c r="S25630"/>
      <c r="T25630"/>
      <c r="U25630"/>
      <c r="X25630" s="60"/>
    </row>
    <row r="25631" spans="7:24" ht="15" customHeight="1">
      <c r="G25631"/>
      <c r="I25631"/>
      <c r="N25631"/>
      <c r="O25631" s="24"/>
      <c r="P25631"/>
      <c r="Q25631" s="24"/>
      <c r="R25631"/>
      <c r="S25631"/>
      <c r="T25631"/>
      <c r="U25631"/>
      <c r="X25631" s="60"/>
    </row>
    <row r="25632" spans="7:24" ht="15" customHeight="1">
      <c r="G25632"/>
      <c r="I25632"/>
      <c r="N25632"/>
      <c r="O25632" s="24"/>
      <c r="P25632"/>
      <c r="Q25632" s="24"/>
      <c r="R25632"/>
      <c r="S25632"/>
      <c r="T25632"/>
      <c r="U25632"/>
      <c r="X25632" s="60"/>
    </row>
    <row r="25633" spans="7:24" ht="15" customHeight="1">
      <c r="G25633"/>
      <c r="I25633"/>
      <c r="N25633"/>
      <c r="O25633" s="24"/>
      <c r="P25633"/>
      <c r="Q25633" s="24"/>
      <c r="R25633"/>
      <c r="S25633"/>
      <c r="T25633"/>
      <c r="U25633"/>
      <c r="X25633" s="60"/>
    </row>
    <row r="25634" spans="7:24" ht="15" customHeight="1">
      <c r="G25634"/>
      <c r="I25634"/>
      <c r="N25634"/>
      <c r="O25634" s="24"/>
      <c r="P25634"/>
      <c r="Q25634" s="24"/>
      <c r="R25634"/>
      <c r="S25634"/>
      <c r="T25634"/>
      <c r="U25634"/>
      <c r="X25634" s="60"/>
    </row>
    <row r="25635" spans="7:24" ht="15" customHeight="1">
      <c r="G25635"/>
      <c r="I25635"/>
      <c r="N25635"/>
      <c r="O25635" s="24"/>
      <c r="P25635"/>
      <c r="Q25635" s="24"/>
      <c r="R25635"/>
      <c r="S25635"/>
      <c r="T25635"/>
      <c r="U25635"/>
      <c r="X25635" s="60"/>
    </row>
    <row r="25636" spans="7:24" ht="15" customHeight="1">
      <c r="G25636"/>
      <c r="I25636"/>
      <c r="N25636"/>
      <c r="O25636" s="24"/>
      <c r="P25636"/>
      <c r="Q25636" s="24"/>
      <c r="R25636"/>
      <c r="S25636"/>
      <c r="T25636"/>
      <c r="U25636"/>
      <c r="X25636" s="60"/>
    </row>
    <row r="25637" spans="7:24" ht="15" customHeight="1">
      <c r="G25637"/>
      <c r="I25637"/>
      <c r="N25637"/>
      <c r="O25637" s="24"/>
      <c r="P25637"/>
      <c r="Q25637" s="24"/>
      <c r="R25637"/>
      <c r="S25637"/>
      <c r="T25637"/>
      <c r="U25637"/>
      <c r="X25637" s="60"/>
    </row>
    <row r="25638" spans="7:24" ht="15" customHeight="1">
      <c r="G25638"/>
      <c r="I25638"/>
      <c r="N25638"/>
      <c r="O25638" s="24"/>
      <c r="P25638"/>
      <c r="Q25638" s="24"/>
      <c r="R25638"/>
      <c r="S25638"/>
      <c r="T25638"/>
      <c r="U25638"/>
      <c r="X25638" s="60"/>
    </row>
    <row r="25639" spans="7:24" ht="15" customHeight="1">
      <c r="G25639"/>
      <c r="I25639"/>
      <c r="N25639"/>
      <c r="O25639" s="24"/>
      <c r="P25639"/>
      <c r="Q25639" s="24"/>
      <c r="R25639"/>
      <c r="S25639"/>
      <c r="T25639"/>
      <c r="U25639"/>
      <c r="X25639" s="60"/>
    </row>
    <row r="25640" spans="7:24" ht="15" customHeight="1">
      <c r="G25640"/>
      <c r="I25640"/>
      <c r="N25640"/>
      <c r="O25640" s="24"/>
      <c r="P25640"/>
      <c r="Q25640" s="24"/>
      <c r="R25640"/>
      <c r="S25640"/>
      <c r="T25640"/>
      <c r="U25640"/>
      <c r="X25640" s="60"/>
    </row>
    <row r="25641" spans="7:24" ht="15" customHeight="1">
      <c r="G25641"/>
      <c r="I25641"/>
      <c r="N25641"/>
      <c r="O25641" s="24"/>
      <c r="P25641"/>
      <c r="Q25641" s="24"/>
      <c r="R25641"/>
      <c r="S25641"/>
      <c r="T25641"/>
      <c r="U25641"/>
      <c r="X25641" s="60"/>
    </row>
    <row r="25642" spans="7:24" ht="15" customHeight="1">
      <c r="G25642"/>
      <c r="I25642"/>
      <c r="N25642"/>
      <c r="O25642" s="24"/>
      <c r="P25642"/>
      <c r="Q25642" s="24"/>
      <c r="R25642"/>
      <c r="S25642"/>
      <c r="T25642"/>
      <c r="U25642"/>
      <c r="X25642" s="60"/>
    </row>
    <row r="25643" spans="7:24" ht="15" customHeight="1">
      <c r="G25643"/>
      <c r="I25643"/>
      <c r="N25643"/>
      <c r="O25643" s="24"/>
      <c r="P25643"/>
      <c r="Q25643" s="24"/>
      <c r="R25643"/>
      <c r="S25643"/>
      <c r="T25643"/>
      <c r="U25643"/>
      <c r="X25643" s="60"/>
    </row>
    <row r="25644" spans="7:24" ht="15" customHeight="1">
      <c r="G25644"/>
      <c r="I25644"/>
      <c r="N25644"/>
      <c r="O25644" s="24"/>
      <c r="P25644"/>
      <c r="Q25644" s="24"/>
      <c r="R25644"/>
      <c r="S25644"/>
      <c r="T25644"/>
      <c r="U25644"/>
      <c r="X25644" s="60"/>
    </row>
    <row r="25645" spans="7:24" ht="15" customHeight="1">
      <c r="G25645"/>
      <c r="I25645"/>
      <c r="N25645"/>
      <c r="O25645" s="24"/>
      <c r="P25645"/>
      <c r="Q25645" s="24"/>
      <c r="R25645"/>
      <c r="S25645"/>
      <c r="T25645"/>
      <c r="U25645"/>
      <c r="X25645" s="60"/>
    </row>
    <row r="25646" spans="7:24" ht="15" customHeight="1">
      <c r="G25646"/>
      <c r="I25646"/>
      <c r="N25646"/>
      <c r="O25646" s="24"/>
      <c r="P25646"/>
      <c r="Q25646" s="24"/>
      <c r="R25646"/>
      <c r="S25646"/>
      <c r="T25646"/>
      <c r="U25646"/>
      <c r="X25646" s="60"/>
    </row>
    <row r="25647" spans="7:24" ht="15" customHeight="1">
      <c r="G25647"/>
      <c r="I25647"/>
      <c r="N25647"/>
      <c r="O25647" s="24"/>
      <c r="P25647"/>
      <c r="Q25647" s="24"/>
      <c r="R25647"/>
      <c r="S25647"/>
      <c r="T25647"/>
      <c r="U25647"/>
      <c r="X25647" s="60"/>
    </row>
    <row r="25648" spans="7:24" ht="15" customHeight="1">
      <c r="G25648"/>
      <c r="I25648"/>
      <c r="N25648"/>
      <c r="O25648" s="24"/>
      <c r="P25648"/>
      <c r="Q25648" s="24"/>
      <c r="R25648"/>
      <c r="S25648"/>
      <c r="T25648"/>
      <c r="U25648"/>
      <c r="X25648" s="60"/>
    </row>
    <row r="25649" spans="7:24" ht="15" customHeight="1">
      <c r="G25649"/>
      <c r="I25649"/>
      <c r="N25649"/>
      <c r="O25649" s="24"/>
      <c r="P25649"/>
      <c r="Q25649" s="24"/>
      <c r="R25649"/>
      <c r="S25649"/>
      <c r="T25649"/>
      <c r="U25649"/>
      <c r="X25649" s="60"/>
    </row>
    <row r="25650" spans="7:24" ht="15" customHeight="1">
      <c r="G25650"/>
      <c r="I25650"/>
      <c r="N25650"/>
      <c r="O25650" s="24"/>
      <c r="P25650"/>
      <c r="Q25650" s="24"/>
      <c r="R25650"/>
      <c r="S25650"/>
      <c r="T25650"/>
      <c r="U25650"/>
      <c r="X25650" s="60"/>
    </row>
    <row r="25651" spans="7:24" ht="15" customHeight="1">
      <c r="G25651"/>
      <c r="I25651"/>
      <c r="N25651"/>
      <c r="O25651" s="24"/>
      <c r="P25651"/>
      <c r="Q25651" s="24"/>
      <c r="R25651"/>
      <c r="S25651"/>
      <c r="T25651"/>
      <c r="U25651"/>
      <c r="X25651" s="60"/>
    </row>
    <row r="25652" spans="7:24" ht="15" customHeight="1">
      <c r="G25652"/>
      <c r="I25652"/>
      <c r="N25652"/>
      <c r="O25652" s="24"/>
      <c r="P25652"/>
      <c r="Q25652" s="24"/>
      <c r="R25652"/>
      <c r="S25652"/>
      <c r="T25652"/>
      <c r="U25652"/>
      <c r="X25652" s="60"/>
    </row>
    <row r="25653" spans="7:24" ht="15" customHeight="1">
      <c r="G25653"/>
      <c r="I25653"/>
      <c r="N25653"/>
      <c r="O25653" s="24"/>
      <c r="P25653"/>
      <c r="Q25653" s="24"/>
      <c r="R25653"/>
      <c r="S25653"/>
      <c r="T25653"/>
      <c r="U25653"/>
      <c r="X25653" s="60"/>
    </row>
    <row r="25654" spans="7:24" ht="15" customHeight="1">
      <c r="G25654"/>
      <c r="I25654"/>
      <c r="N25654"/>
      <c r="O25654" s="24"/>
      <c r="P25654"/>
      <c r="Q25654" s="24"/>
      <c r="R25654"/>
      <c r="S25654"/>
      <c r="T25654"/>
      <c r="U25654"/>
      <c r="X25654" s="60"/>
    </row>
    <row r="25655" spans="7:24" ht="15" customHeight="1">
      <c r="G25655"/>
      <c r="I25655"/>
      <c r="N25655"/>
      <c r="O25655" s="24"/>
      <c r="P25655"/>
      <c r="Q25655" s="24"/>
      <c r="R25655"/>
      <c r="S25655"/>
      <c r="T25655"/>
      <c r="U25655"/>
      <c r="X25655" s="60"/>
    </row>
    <row r="25656" spans="7:24" ht="15" customHeight="1">
      <c r="G25656"/>
      <c r="I25656"/>
      <c r="N25656"/>
      <c r="O25656" s="24"/>
      <c r="P25656"/>
      <c r="Q25656" s="24"/>
      <c r="R25656"/>
      <c r="S25656"/>
      <c r="T25656"/>
      <c r="U25656"/>
      <c r="X25656" s="60"/>
    </row>
    <row r="25657" spans="7:24" ht="15" customHeight="1">
      <c r="G25657"/>
      <c r="I25657"/>
      <c r="N25657"/>
      <c r="O25657" s="24"/>
      <c r="P25657"/>
      <c r="Q25657" s="24"/>
      <c r="R25657"/>
      <c r="S25657"/>
      <c r="T25657"/>
      <c r="U25657"/>
      <c r="X25657" s="60"/>
    </row>
    <row r="25658" spans="7:24" ht="15" customHeight="1">
      <c r="G25658"/>
      <c r="I25658"/>
      <c r="N25658"/>
      <c r="O25658" s="24"/>
      <c r="P25658"/>
      <c r="Q25658" s="24"/>
      <c r="R25658"/>
      <c r="S25658"/>
      <c r="T25658"/>
      <c r="U25658"/>
      <c r="X25658" s="60"/>
    </row>
    <row r="25659" spans="7:24" ht="15" customHeight="1">
      <c r="G25659"/>
      <c r="I25659"/>
      <c r="N25659"/>
      <c r="O25659" s="24"/>
      <c r="P25659"/>
      <c r="Q25659" s="24"/>
      <c r="R25659"/>
      <c r="S25659"/>
      <c r="T25659"/>
      <c r="U25659"/>
      <c r="X25659" s="60"/>
    </row>
    <row r="25660" spans="7:24" ht="15" customHeight="1">
      <c r="G25660"/>
      <c r="I25660"/>
      <c r="N25660"/>
      <c r="O25660" s="24"/>
      <c r="P25660"/>
      <c r="Q25660" s="24"/>
      <c r="R25660"/>
      <c r="S25660"/>
      <c r="T25660"/>
      <c r="U25660"/>
      <c r="X25660" s="60"/>
    </row>
    <row r="25661" spans="7:24" ht="15" customHeight="1">
      <c r="G25661"/>
      <c r="I25661"/>
      <c r="N25661"/>
      <c r="O25661" s="24"/>
      <c r="P25661"/>
      <c r="Q25661" s="24"/>
      <c r="R25661"/>
      <c r="S25661"/>
      <c r="T25661"/>
      <c r="U25661"/>
      <c r="X25661" s="60"/>
    </row>
    <row r="25662" spans="7:24" ht="15" customHeight="1">
      <c r="G25662"/>
      <c r="I25662"/>
      <c r="N25662"/>
      <c r="O25662" s="24"/>
      <c r="P25662"/>
      <c r="Q25662" s="24"/>
      <c r="R25662"/>
      <c r="S25662"/>
      <c r="T25662"/>
      <c r="U25662"/>
      <c r="X25662" s="60"/>
    </row>
    <row r="25663" spans="7:24" ht="15" customHeight="1">
      <c r="G25663"/>
      <c r="I25663"/>
      <c r="N25663"/>
      <c r="O25663" s="24"/>
      <c r="P25663"/>
      <c r="Q25663" s="24"/>
      <c r="R25663"/>
      <c r="S25663"/>
      <c r="T25663"/>
      <c r="U25663"/>
      <c r="X25663" s="60"/>
    </row>
    <row r="25664" spans="7:24" ht="15" customHeight="1">
      <c r="G25664"/>
      <c r="I25664"/>
      <c r="N25664"/>
      <c r="O25664" s="24"/>
      <c r="P25664"/>
      <c r="Q25664" s="24"/>
      <c r="R25664"/>
      <c r="S25664"/>
      <c r="T25664"/>
      <c r="U25664"/>
      <c r="X25664" s="60"/>
    </row>
    <row r="25665" spans="7:24" ht="15" customHeight="1">
      <c r="G25665"/>
      <c r="I25665"/>
      <c r="N25665"/>
      <c r="O25665" s="24"/>
      <c r="P25665"/>
      <c r="Q25665" s="24"/>
      <c r="R25665"/>
      <c r="S25665"/>
      <c r="T25665"/>
      <c r="U25665"/>
      <c r="X25665" s="60"/>
    </row>
    <row r="25666" spans="7:24" ht="15" customHeight="1">
      <c r="G25666"/>
      <c r="I25666"/>
      <c r="N25666"/>
      <c r="O25666" s="24"/>
      <c r="P25666"/>
      <c r="Q25666" s="24"/>
      <c r="R25666"/>
      <c r="S25666"/>
      <c r="T25666"/>
      <c r="U25666"/>
      <c r="X25666" s="60"/>
    </row>
    <row r="25667" spans="7:24" ht="15" customHeight="1">
      <c r="G25667"/>
      <c r="I25667"/>
      <c r="N25667"/>
      <c r="O25667" s="24"/>
      <c r="P25667"/>
      <c r="Q25667" s="24"/>
      <c r="R25667"/>
      <c r="S25667"/>
      <c r="T25667"/>
      <c r="U25667"/>
      <c r="X25667" s="60"/>
    </row>
    <row r="25668" spans="7:24" ht="15" customHeight="1">
      <c r="G25668"/>
      <c r="I25668"/>
      <c r="N25668"/>
      <c r="O25668" s="24"/>
      <c r="P25668"/>
      <c r="Q25668" s="24"/>
      <c r="R25668"/>
      <c r="S25668"/>
      <c r="T25668"/>
      <c r="U25668"/>
      <c r="X25668" s="60"/>
    </row>
    <row r="25669" spans="7:24" ht="15" customHeight="1">
      <c r="G25669"/>
      <c r="I25669"/>
      <c r="N25669"/>
      <c r="O25669" s="24"/>
      <c r="P25669"/>
      <c r="Q25669" s="24"/>
      <c r="R25669"/>
      <c r="S25669"/>
      <c r="T25669"/>
      <c r="U25669"/>
      <c r="X25669" s="60"/>
    </row>
    <row r="25670" spans="7:24" ht="15" customHeight="1">
      <c r="G25670"/>
      <c r="I25670"/>
      <c r="N25670"/>
      <c r="O25670" s="24"/>
      <c r="P25670"/>
      <c r="Q25670" s="24"/>
      <c r="R25670"/>
      <c r="S25670"/>
      <c r="T25670"/>
      <c r="U25670"/>
      <c r="X25670" s="60"/>
    </row>
    <row r="25671" spans="7:24" ht="15" customHeight="1">
      <c r="G25671"/>
      <c r="I25671"/>
      <c r="N25671"/>
      <c r="O25671" s="24"/>
      <c r="P25671"/>
      <c r="Q25671" s="24"/>
      <c r="R25671"/>
      <c r="S25671"/>
      <c r="T25671"/>
      <c r="U25671"/>
      <c r="X25671" s="60"/>
    </row>
    <row r="25672" spans="7:24" ht="15" customHeight="1">
      <c r="G25672"/>
      <c r="I25672"/>
      <c r="N25672"/>
      <c r="O25672" s="24"/>
      <c r="P25672"/>
      <c r="Q25672" s="24"/>
      <c r="R25672"/>
      <c r="S25672"/>
      <c r="T25672"/>
      <c r="U25672"/>
      <c r="X25672" s="60"/>
    </row>
    <row r="25673" spans="7:24" ht="15" customHeight="1">
      <c r="G25673"/>
      <c r="I25673"/>
      <c r="N25673"/>
      <c r="O25673" s="24"/>
      <c r="P25673"/>
      <c r="Q25673" s="24"/>
      <c r="R25673"/>
      <c r="S25673"/>
      <c r="T25673"/>
      <c r="U25673"/>
      <c r="X25673" s="60"/>
    </row>
    <row r="25674" spans="7:24" ht="15" customHeight="1">
      <c r="G25674"/>
      <c r="I25674"/>
      <c r="N25674"/>
      <c r="O25674" s="24"/>
      <c r="P25674"/>
      <c r="Q25674" s="24"/>
      <c r="R25674"/>
      <c r="S25674"/>
      <c r="T25674"/>
      <c r="U25674"/>
      <c r="X25674" s="60"/>
    </row>
    <row r="25675" spans="7:24" ht="15" customHeight="1">
      <c r="G25675"/>
      <c r="I25675"/>
      <c r="N25675"/>
      <c r="O25675" s="24"/>
      <c r="P25675"/>
      <c r="Q25675" s="24"/>
      <c r="R25675"/>
      <c r="S25675"/>
      <c r="T25675"/>
      <c r="U25675"/>
      <c r="X25675" s="60"/>
    </row>
    <row r="25676" spans="7:24" ht="15" customHeight="1">
      <c r="G25676"/>
      <c r="I25676"/>
      <c r="N25676"/>
      <c r="O25676" s="24"/>
      <c r="P25676"/>
      <c r="Q25676" s="24"/>
      <c r="R25676"/>
      <c r="S25676"/>
      <c r="T25676"/>
      <c r="U25676"/>
      <c r="X25676" s="60"/>
    </row>
    <row r="25677" spans="7:24" ht="15" customHeight="1">
      <c r="G25677"/>
      <c r="I25677"/>
      <c r="N25677"/>
      <c r="O25677" s="24"/>
      <c r="P25677"/>
      <c r="Q25677" s="24"/>
      <c r="R25677"/>
      <c r="S25677"/>
      <c r="T25677"/>
      <c r="U25677"/>
      <c r="X25677" s="60"/>
    </row>
    <row r="25678" spans="7:24" ht="15" customHeight="1">
      <c r="G25678"/>
      <c r="I25678"/>
      <c r="N25678"/>
      <c r="O25678" s="24"/>
      <c r="P25678"/>
      <c r="Q25678" s="24"/>
      <c r="R25678"/>
      <c r="S25678"/>
      <c r="T25678"/>
      <c r="U25678"/>
      <c r="X25678" s="60"/>
    </row>
    <row r="25679" spans="7:24" ht="15" customHeight="1">
      <c r="G25679"/>
      <c r="I25679"/>
      <c r="N25679"/>
      <c r="O25679" s="24"/>
      <c r="P25679"/>
      <c r="Q25679" s="24"/>
      <c r="R25679"/>
      <c r="S25679"/>
      <c r="T25679"/>
      <c r="U25679"/>
      <c r="X25679" s="60"/>
    </row>
    <row r="25680" spans="7:24" ht="15" customHeight="1">
      <c r="G25680"/>
      <c r="I25680"/>
      <c r="N25680"/>
      <c r="O25680" s="24"/>
      <c r="P25680"/>
      <c r="Q25680" s="24"/>
      <c r="R25680"/>
      <c r="S25680"/>
      <c r="T25680"/>
      <c r="U25680"/>
      <c r="X25680" s="60"/>
    </row>
    <row r="25681" spans="7:24" ht="15" customHeight="1">
      <c r="G25681"/>
      <c r="I25681"/>
      <c r="N25681"/>
      <c r="O25681" s="24"/>
      <c r="P25681"/>
      <c r="Q25681" s="24"/>
      <c r="R25681"/>
      <c r="S25681"/>
      <c r="T25681"/>
      <c r="U25681"/>
      <c r="X25681" s="60"/>
    </row>
    <row r="25682" spans="7:24" ht="15" customHeight="1">
      <c r="G25682"/>
      <c r="I25682"/>
      <c r="N25682"/>
      <c r="O25682" s="24"/>
      <c r="P25682"/>
      <c r="Q25682" s="24"/>
      <c r="R25682"/>
      <c r="S25682"/>
      <c r="T25682"/>
      <c r="U25682"/>
      <c r="X25682" s="60"/>
    </row>
    <row r="25683" spans="7:24" ht="15" customHeight="1">
      <c r="G25683"/>
      <c r="I25683"/>
      <c r="N25683"/>
      <c r="O25683" s="24"/>
      <c r="P25683"/>
      <c r="Q25683" s="24"/>
      <c r="R25683"/>
      <c r="S25683"/>
      <c r="T25683"/>
      <c r="U25683"/>
      <c r="X25683" s="60"/>
    </row>
    <row r="25684" spans="7:24" ht="15" customHeight="1">
      <c r="G25684"/>
      <c r="I25684"/>
      <c r="N25684"/>
      <c r="O25684" s="24"/>
      <c r="P25684"/>
      <c r="Q25684" s="24"/>
      <c r="R25684"/>
      <c r="S25684"/>
      <c r="T25684"/>
      <c r="U25684"/>
      <c r="X25684" s="60"/>
    </row>
    <row r="25685" spans="7:24" ht="15" customHeight="1">
      <c r="G25685"/>
      <c r="I25685"/>
      <c r="N25685"/>
      <c r="O25685" s="24"/>
      <c r="P25685"/>
      <c r="Q25685" s="24"/>
      <c r="R25685"/>
      <c r="S25685"/>
      <c r="T25685"/>
      <c r="U25685"/>
      <c r="X25685" s="60"/>
    </row>
    <row r="25686" spans="7:24" ht="15" customHeight="1">
      <c r="G25686"/>
      <c r="I25686"/>
      <c r="N25686"/>
      <c r="O25686" s="24"/>
      <c r="P25686"/>
      <c r="Q25686" s="24"/>
      <c r="R25686"/>
      <c r="S25686"/>
      <c r="T25686"/>
      <c r="U25686"/>
      <c r="X25686" s="60"/>
    </row>
    <row r="25687" spans="7:24" ht="15" customHeight="1">
      <c r="G25687"/>
      <c r="I25687"/>
      <c r="N25687"/>
      <c r="O25687" s="24"/>
      <c r="P25687"/>
      <c r="Q25687" s="24"/>
      <c r="R25687"/>
      <c r="S25687"/>
      <c r="T25687"/>
      <c r="U25687"/>
      <c r="X25687" s="60"/>
    </row>
    <row r="25688" spans="7:24" ht="15" customHeight="1">
      <c r="G25688"/>
      <c r="I25688"/>
      <c r="N25688"/>
      <c r="O25688" s="24"/>
      <c r="P25688"/>
      <c r="Q25688" s="24"/>
      <c r="R25688"/>
      <c r="S25688"/>
      <c r="T25688"/>
      <c r="U25688"/>
      <c r="X25688" s="60"/>
    </row>
    <row r="25689" spans="7:24" ht="15" customHeight="1">
      <c r="G25689"/>
      <c r="I25689"/>
      <c r="N25689"/>
      <c r="O25689" s="24"/>
      <c r="P25689"/>
      <c r="Q25689" s="24"/>
      <c r="R25689"/>
      <c r="S25689"/>
      <c r="T25689"/>
      <c r="U25689"/>
      <c r="X25689" s="60"/>
    </row>
    <row r="25690" spans="7:24" ht="15" customHeight="1">
      <c r="G25690"/>
      <c r="I25690"/>
      <c r="N25690"/>
      <c r="O25690" s="24"/>
      <c r="P25690"/>
      <c r="Q25690" s="24"/>
      <c r="R25690"/>
      <c r="S25690"/>
      <c r="T25690"/>
      <c r="U25690"/>
      <c r="X25690" s="60"/>
    </row>
    <row r="25691" spans="7:24" ht="15" customHeight="1">
      <c r="G25691"/>
      <c r="I25691"/>
      <c r="N25691"/>
      <c r="O25691" s="24"/>
      <c r="P25691"/>
      <c r="Q25691" s="24"/>
      <c r="R25691"/>
      <c r="S25691"/>
      <c r="T25691"/>
      <c r="U25691"/>
      <c r="X25691" s="60"/>
    </row>
    <row r="25692" spans="7:24" ht="15" customHeight="1">
      <c r="G25692"/>
      <c r="I25692"/>
      <c r="N25692"/>
      <c r="O25692" s="24"/>
      <c r="P25692"/>
      <c r="Q25692" s="24"/>
      <c r="R25692"/>
      <c r="S25692"/>
      <c r="T25692"/>
      <c r="U25692"/>
      <c r="X25692" s="60"/>
    </row>
    <row r="25693" spans="7:24" ht="15" customHeight="1">
      <c r="G25693"/>
      <c r="I25693"/>
      <c r="N25693"/>
      <c r="O25693" s="24"/>
      <c r="P25693"/>
      <c r="Q25693" s="24"/>
      <c r="R25693"/>
      <c r="S25693"/>
      <c r="T25693"/>
      <c r="U25693"/>
      <c r="X25693" s="60"/>
    </row>
    <row r="25694" spans="7:24" ht="15" customHeight="1">
      <c r="G25694"/>
      <c r="I25694"/>
      <c r="N25694"/>
      <c r="O25694" s="24"/>
      <c r="P25694"/>
      <c r="Q25694" s="24"/>
      <c r="R25694"/>
      <c r="S25694"/>
      <c r="T25694"/>
      <c r="U25694"/>
      <c r="X25694" s="60"/>
    </row>
    <row r="25695" spans="7:24" ht="15" customHeight="1">
      <c r="G25695"/>
      <c r="I25695"/>
      <c r="N25695"/>
      <c r="O25695" s="24"/>
      <c r="P25695"/>
      <c r="Q25695" s="24"/>
      <c r="R25695"/>
      <c r="S25695"/>
      <c r="T25695"/>
      <c r="U25695"/>
      <c r="X25695" s="60"/>
    </row>
    <row r="25696" spans="7:24" ht="15" customHeight="1">
      <c r="G25696"/>
      <c r="I25696"/>
      <c r="N25696"/>
      <c r="O25696" s="24"/>
      <c r="P25696"/>
      <c r="Q25696" s="24"/>
      <c r="R25696"/>
      <c r="S25696"/>
      <c r="T25696"/>
      <c r="U25696"/>
      <c r="X25696" s="60"/>
    </row>
    <row r="25697" spans="7:24" ht="15" customHeight="1">
      <c r="G25697"/>
      <c r="I25697"/>
      <c r="N25697"/>
      <c r="O25697" s="24"/>
      <c r="P25697"/>
      <c r="Q25697" s="24"/>
      <c r="R25697"/>
      <c r="S25697"/>
      <c r="T25697"/>
      <c r="U25697"/>
      <c r="X25697" s="60"/>
    </row>
    <row r="25698" spans="7:24" ht="15" customHeight="1">
      <c r="G25698"/>
      <c r="I25698"/>
      <c r="N25698"/>
      <c r="O25698" s="24"/>
      <c r="P25698"/>
      <c r="Q25698" s="24"/>
      <c r="R25698"/>
      <c r="S25698"/>
      <c r="T25698"/>
      <c r="U25698"/>
      <c r="X25698" s="60"/>
    </row>
    <row r="25699" spans="7:24" ht="15" customHeight="1">
      <c r="G25699"/>
      <c r="I25699"/>
      <c r="N25699"/>
      <c r="O25699" s="24"/>
      <c r="P25699"/>
      <c r="Q25699" s="24"/>
      <c r="R25699"/>
      <c r="S25699"/>
      <c r="T25699"/>
      <c r="U25699"/>
      <c r="X25699" s="60"/>
    </row>
    <row r="25700" spans="7:24" ht="15" customHeight="1">
      <c r="G25700"/>
      <c r="I25700"/>
      <c r="N25700"/>
      <c r="O25700" s="24"/>
      <c r="P25700"/>
      <c r="Q25700" s="24"/>
      <c r="R25700"/>
      <c r="S25700"/>
      <c r="T25700"/>
      <c r="U25700"/>
      <c r="X25700" s="60"/>
    </row>
    <row r="25701" spans="7:24" ht="15" customHeight="1">
      <c r="G25701"/>
      <c r="I25701"/>
      <c r="N25701"/>
      <c r="O25701" s="24"/>
      <c r="P25701"/>
      <c r="Q25701" s="24"/>
      <c r="R25701"/>
      <c r="S25701"/>
      <c r="T25701"/>
      <c r="U25701"/>
      <c r="X25701" s="60"/>
    </row>
    <row r="25702" spans="7:24" ht="15" customHeight="1">
      <c r="G25702"/>
      <c r="I25702"/>
      <c r="N25702"/>
      <c r="O25702" s="24"/>
      <c r="P25702"/>
      <c r="Q25702" s="24"/>
      <c r="R25702"/>
      <c r="S25702"/>
      <c r="T25702"/>
      <c r="U25702"/>
      <c r="X25702" s="60"/>
    </row>
    <row r="25703" spans="7:24" ht="15" customHeight="1">
      <c r="G25703"/>
      <c r="I25703"/>
      <c r="N25703"/>
      <c r="O25703" s="24"/>
      <c r="P25703"/>
      <c r="Q25703" s="24"/>
      <c r="R25703"/>
      <c r="S25703"/>
      <c r="T25703"/>
      <c r="U25703"/>
      <c r="X25703" s="60"/>
    </row>
    <row r="25704" spans="7:24" ht="15" customHeight="1">
      <c r="G25704"/>
      <c r="I25704"/>
      <c r="N25704"/>
      <c r="O25704" s="24"/>
      <c r="P25704"/>
      <c r="Q25704" s="24"/>
      <c r="R25704"/>
      <c r="S25704"/>
      <c r="T25704"/>
      <c r="U25704"/>
      <c r="X25704" s="60"/>
    </row>
    <row r="25705" spans="7:24" ht="15" customHeight="1">
      <c r="G25705"/>
      <c r="I25705"/>
      <c r="N25705"/>
      <c r="O25705" s="24"/>
      <c r="P25705"/>
      <c r="Q25705" s="24"/>
      <c r="R25705"/>
      <c r="S25705"/>
      <c r="T25705"/>
      <c r="U25705"/>
      <c r="X25705" s="60"/>
    </row>
    <row r="25706" spans="7:24" ht="15" customHeight="1">
      <c r="G25706"/>
      <c r="I25706"/>
      <c r="N25706"/>
      <c r="O25706" s="24"/>
      <c r="P25706"/>
      <c r="Q25706" s="24"/>
      <c r="R25706"/>
      <c r="S25706"/>
      <c r="T25706"/>
      <c r="U25706"/>
      <c r="X25706" s="60"/>
    </row>
    <row r="25707" spans="7:24" ht="15" customHeight="1">
      <c r="G25707"/>
      <c r="I25707"/>
      <c r="N25707"/>
      <c r="O25707" s="24"/>
      <c r="P25707"/>
      <c r="Q25707" s="24"/>
      <c r="R25707"/>
      <c r="S25707"/>
      <c r="T25707"/>
      <c r="U25707"/>
      <c r="X25707" s="60"/>
    </row>
    <row r="25708" spans="7:24" ht="15" customHeight="1">
      <c r="G25708"/>
      <c r="I25708"/>
      <c r="N25708"/>
      <c r="O25708" s="24"/>
      <c r="P25708"/>
      <c r="Q25708" s="24"/>
      <c r="R25708"/>
      <c r="S25708"/>
      <c r="T25708"/>
      <c r="U25708"/>
      <c r="X25708" s="60"/>
    </row>
    <row r="25709" spans="7:24" ht="15" customHeight="1">
      <c r="G25709"/>
      <c r="I25709"/>
      <c r="N25709"/>
      <c r="O25709" s="24"/>
      <c r="P25709"/>
      <c r="Q25709" s="24"/>
      <c r="R25709"/>
      <c r="S25709"/>
      <c r="T25709"/>
      <c r="U25709"/>
      <c r="X25709" s="60"/>
    </row>
    <row r="25710" spans="7:24" ht="15" customHeight="1">
      <c r="G25710"/>
      <c r="I25710"/>
      <c r="N25710"/>
      <c r="O25710" s="24"/>
      <c r="P25710"/>
      <c r="Q25710" s="24"/>
      <c r="R25710"/>
      <c r="S25710"/>
      <c r="T25710"/>
      <c r="U25710"/>
      <c r="X25710" s="60"/>
    </row>
    <row r="25711" spans="7:24" ht="15" customHeight="1">
      <c r="G25711"/>
      <c r="I25711"/>
      <c r="N25711"/>
      <c r="O25711" s="24"/>
      <c r="P25711"/>
      <c r="Q25711" s="24"/>
      <c r="R25711"/>
      <c r="S25711"/>
      <c r="T25711"/>
      <c r="U25711"/>
      <c r="X25711" s="60"/>
    </row>
    <row r="25712" spans="7:24" ht="15" customHeight="1">
      <c r="G25712"/>
      <c r="I25712"/>
      <c r="N25712"/>
      <c r="O25712" s="24"/>
      <c r="P25712"/>
      <c r="Q25712" s="24"/>
      <c r="R25712"/>
      <c r="S25712"/>
      <c r="T25712"/>
      <c r="U25712"/>
      <c r="X25712" s="60"/>
    </row>
    <row r="25713" spans="7:24" ht="15" customHeight="1">
      <c r="G25713"/>
      <c r="I25713"/>
      <c r="N25713"/>
      <c r="O25713" s="24"/>
      <c r="P25713"/>
      <c r="Q25713" s="24"/>
      <c r="R25713"/>
      <c r="S25713"/>
      <c r="T25713"/>
      <c r="U25713"/>
      <c r="X25713" s="60"/>
    </row>
    <row r="25714" spans="7:24" ht="15" customHeight="1">
      <c r="G25714"/>
      <c r="I25714"/>
      <c r="N25714"/>
      <c r="O25714" s="24"/>
      <c r="P25714"/>
      <c r="Q25714" s="24"/>
      <c r="R25714"/>
      <c r="S25714"/>
      <c r="T25714"/>
      <c r="U25714"/>
      <c r="X25714" s="60"/>
    </row>
    <row r="25715" spans="7:24" ht="15" customHeight="1">
      <c r="G25715"/>
      <c r="I25715"/>
      <c r="N25715"/>
      <c r="O25715" s="24"/>
      <c r="P25715"/>
      <c r="Q25715" s="24"/>
      <c r="R25715"/>
      <c r="S25715"/>
      <c r="T25715"/>
      <c r="U25715"/>
      <c r="X25715" s="60"/>
    </row>
    <row r="25716" spans="7:24" ht="15" customHeight="1">
      <c r="G25716"/>
      <c r="I25716"/>
      <c r="N25716"/>
      <c r="O25716" s="24"/>
      <c r="P25716"/>
      <c r="Q25716" s="24"/>
      <c r="R25716"/>
      <c r="S25716"/>
      <c r="T25716"/>
      <c r="U25716"/>
      <c r="X25716" s="60"/>
    </row>
    <row r="25717" spans="7:24" ht="15" customHeight="1">
      <c r="G25717"/>
      <c r="I25717"/>
      <c r="N25717"/>
      <c r="O25717" s="24"/>
      <c r="P25717"/>
      <c r="Q25717" s="24"/>
      <c r="R25717"/>
      <c r="S25717"/>
      <c r="T25717"/>
      <c r="U25717"/>
      <c r="X25717" s="60"/>
    </row>
    <row r="25718" spans="7:24" ht="15" customHeight="1">
      <c r="G25718"/>
      <c r="I25718"/>
      <c r="N25718"/>
      <c r="O25718" s="24"/>
      <c r="P25718"/>
      <c r="Q25718" s="24"/>
      <c r="R25718"/>
      <c r="S25718"/>
      <c r="T25718"/>
      <c r="U25718"/>
      <c r="X25718" s="60"/>
    </row>
    <row r="25719" spans="7:24" ht="15" customHeight="1">
      <c r="G25719"/>
      <c r="I25719"/>
      <c r="N25719"/>
      <c r="O25719" s="24"/>
      <c r="P25719"/>
      <c r="Q25719" s="24"/>
      <c r="R25719"/>
      <c r="S25719"/>
      <c r="T25719"/>
      <c r="U25719"/>
      <c r="X25719" s="60"/>
    </row>
    <row r="25720" spans="7:24" ht="15" customHeight="1">
      <c r="G25720"/>
      <c r="I25720"/>
      <c r="N25720"/>
      <c r="O25720" s="24"/>
      <c r="P25720"/>
      <c r="Q25720" s="24"/>
      <c r="R25720"/>
      <c r="S25720"/>
      <c r="T25720"/>
      <c r="U25720"/>
      <c r="X25720" s="60"/>
    </row>
    <row r="25721" spans="7:24" ht="15" customHeight="1">
      <c r="G25721"/>
      <c r="I25721"/>
      <c r="N25721"/>
      <c r="O25721" s="24"/>
      <c r="P25721"/>
      <c r="Q25721" s="24"/>
      <c r="R25721"/>
      <c r="S25721"/>
      <c r="T25721"/>
      <c r="U25721"/>
      <c r="X25721" s="60"/>
    </row>
    <row r="25722" spans="7:24" ht="15" customHeight="1">
      <c r="G25722"/>
      <c r="I25722"/>
      <c r="N25722"/>
      <c r="O25722" s="24"/>
      <c r="P25722"/>
      <c r="Q25722" s="24"/>
      <c r="R25722"/>
      <c r="S25722"/>
      <c r="T25722"/>
      <c r="U25722"/>
      <c r="X25722" s="60"/>
    </row>
    <row r="25723" spans="7:24" ht="15" customHeight="1">
      <c r="G25723"/>
      <c r="I25723"/>
      <c r="N25723"/>
      <c r="O25723" s="24"/>
      <c r="P25723"/>
      <c r="Q25723" s="24"/>
      <c r="R25723"/>
      <c r="S25723"/>
      <c r="T25723"/>
      <c r="U25723"/>
      <c r="X25723" s="60"/>
    </row>
    <row r="25724" spans="7:24" ht="15" customHeight="1">
      <c r="G25724"/>
      <c r="I25724"/>
      <c r="N25724"/>
      <c r="O25724" s="24"/>
      <c r="P25724"/>
      <c r="Q25724" s="24"/>
      <c r="R25724"/>
      <c r="S25724"/>
      <c r="T25724"/>
      <c r="U25724"/>
      <c r="X25724" s="60"/>
    </row>
    <row r="25725" spans="7:24" ht="15" customHeight="1">
      <c r="G25725"/>
      <c r="I25725"/>
      <c r="N25725"/>
      <c r="O25725" s="24"/>
      <c r="P25725"/>
      <c r="Q25725" s="24"/>
      <c r="R25725"/>
      <c r="S25725"/>
      <c r="T25725"/>
      <c r="U25725"/>
      <c r="X25725" s="60"/>
    </row>
    <row r="25726" spans="7:24" ht="15" customHeight="1">
      <c r="G25726"/>
      <c r="I25726"/>
      <c r="N25726"/>
      <c r="O25726" s="24"/>
      <c r="P25726"/>
      <c r="Q25726" s="24"/>
      <c r="R25726"/>
      <c r="S25726"/>
      <c r="T25726"/>
      <c r="U25726"/>
      <c r="X25726" s="60"/>
    </row>
    <row r="25727" spans="7:24" ht="15" customHeight="1">
      <c r="G25727"/>
      <c r="I25727"/>
      <c r="N25727"/>
      <c r="O25727" s="24"/>
      <c r="P25727"/>
      <c r="Q25727" s="24"/>
      <c r="R25727"/>
      <c r="S25727"/>
      <c r="T25727"/>
      <c r="U25727"/>
      <c r="X25727" s="60"/>
    </row>
    <row r="25728" spans="7:24" ht="15" customHeight="1">
      <c r="G25728"/>
      <c r="I25728"/>
      <c r="N25728"/>
      <c r="O25728" s="24"/>
      <c r="P25728"/>
      <c r="Q25728" s="24"/>
      <c r="R25728"/>
      <c r="S25728"/>
      <c r="T25728"/>
      <c r="U25728"/>
      <c r="X25728" s="60"/>
    </row>
    <row r="25729" spans="7:24" ht="15" customHeight="1">
      <c r="G25729"/>
      <c r="I25729"/>
      <c r="N25729"/>
      <c r="O25729" s="24"/>
      <c r="P25729"/>
      <c r="Q25729" s="24"/>
      <c r="R25729"/>
      <c r="S25729"/>
      <c r="T25729"/>
      <c r="U25729"/>
      <c r="X25729" s="60"/>
    </row>
    <row r="25730" spans="7:24" ht="15" customHeight="1">
      <c r="G25730"/>
      <c r="I25730"/>
      <c r="N25730"/>
      <c r="O25730" s="24"/>
      <c r="P25730"/>
      <c r="Q25730" s="24"/>
      <c r="R25730"/>
      <c r="S25730"/>
      <c r="T25730"/>
      <c r="U25730"/>
      <c r="X25730" s="60"/>
    </row>
    <row r="25731" spans="7:24" ht="15" customHeight="1">
      <c r="G25731"/>
      <c r="I25731"/>
      <c r="N25731"/>
      <c r="O25731" s="24"/>
      <c r="P25731"/>
      <c r="Q25731" s="24"/>
      <c r="R25731"/>
      <c r="S25731"/>
      <c r="T25731"/>
      <c r="U25731"/>
      <c r="X25731" s="60"/>
    </row>
    <row r="25732" spans="7:24" ht="15" customHeight="1">
      <c r="G25732"/>
      <c r="I25732"/>
      <c r="N25732"/>
      <c r="O25732" s="24"/>
      <c r="P25732"/>
      <c r="Q25732" s="24"/>
      <c r="R25732"/>
      <c r="S25732"/>
      <c r="T25732"/>
      <c r="U25732"/>
      <c r="X25732" s="60"/>
    </row>
    <row r="25733" spans="7:24" ht="15" customHeight="1">
      <c r="G25733"/>
      <c r="I25733"/>
      <c r="N25733"/>
      <c r="O25733" s="24"/>
      <c r="P25733"/>
      <c r="Q25733" s="24"/>
      <c r="R25733"/>
      <c r="S25733"/>
      <c r="T25733"/>
      <c r="U25733"/>
      <c r="X25733" s="60"/>
    </row>
    <row r="25734" spans="7:24" ht="15" customHeight="1">
      <c r="G25734"/>
      <c r="I25734"/>
      <c r="N25734"/>
      <c r="O25734" s="24"/>
      <c r="P25734"/>
      <c r="Q25734" s="24"/>
      <c r="R25734"/>
      <c r="S25734"/>
      <c r="T25734"/>
      <c r="U25734"/>
      <c r="X25734" s="60"/>
    </row>
    <row r="25735" spans="7:24" ht="15" customHeight="1">
      <c r="G25735"/>
      <c r="I25735"/>
      <c r="N25735"/>
      <c r="O25735" s="24"/>
      <c r="P25735"/>
      <c r="Q25735" s="24"/>
      <c r="R25735"/>
      <c r="S25735"/>
      <c r="T25735"/>
      <c r="U25735"/>
      <c r="X25735" s="60"/>
    </row>
    <row r="25736" spans="7:24" ht="15" customHeight="1">
      <c r="G25736"/>
      <c r="I25736"/>
      <c r="N25736"/>
      <c r="O25736" s="24"/>
      <c r="P25736"/>
      <c r="Q25736" s="24"/>
      <c r="R25736"/>
      <c r="S25736"/>
      <c r="T25736"/>
      <c r="U25736"/>
      <c r="X25736" s="60"/>
    </row>
    <row r="25737" spans="7:24" ht="15" customHeight="1">
      <c r="G25737"/>
      <c r="I25737"/>
      <c r="N25737"/>
      <c r="O25737" s="24"/>
      <c r="P25737"/>
      <c r="Q25737" s="24"/>
      <c r="R25737"/>
      <c r="S25737"/>
      <c r="T25737"/>
      <c r="U25737"/>
      <c r="X25737" s="60"/>
    </row>
    <row r="25738" spans="7:24" ht="15" customHeight="1">
      <c r="G25738"/>
      <c r="I25738"/>
      <c r="N25738"/>
      <c r="O25738" s="24"/>
      <c r="P25738"/>
      <c r="Q25738" s="24"/>
      <c r="R25738"/>
      <c r="S25738"/>
      <c r="T25738"/>
      <c r="U25738"/>
      <c r="X25738" s="60"/>
    </row>
    <row r="25739" spans="7:24" ht="15" customHeight="1">
      <c r="G25739"/>
      <c r="I25739"/>
      <c r="N25739"/>
      <c r="O25739" s="24"/>
      <c r="P25739"/>
      <c r="Q25739" s="24"/>
      <c r="R25739"/>
      <c r="S25739"/>
      <c r="T25739"/>
      <c r="U25739"/>
      <c r="X25739" s="60"/>
    </row>
    <row r="25740" spans="7:24" ht="15" customHeight="1">
      <c r="G25740"/>
      <c r="I25740"/>
      <c r="N25740"/>
      <c r="O25740" s="24"/>
      <c r="P25740"/>
      <c r="Q25740" s="24"/>
      <c r="R25740"/>
      <c r="S25740"/>
      <c r="T25740"/>
      <c r="U25740"/>
      <c r="X25740" s="60"/>
    </row>
    <row r="25741" spans="7:24" ht="15" customHeight="1">
      <c r="G25741"/>
      <c r="I25741"/>
      <c r="N25741"/>
      <c r="O25741" s="24"/>
      <c r="P25741"/>
      <c r="Q25741" s="24"/>
      <c r="R25741"/>
      <c r="S25741"/>
      <c r="T25741"/>
      <c r="U25741"/>
      <c r="X25741" s="60"/>
    </row>
    <row r="25742" spans="7:24" ht="15" customHeight="1">
      <c r="G25742"/>
      <c r="I25742"/>
      <c r="N25742"/>
      <c r="O25742" s="24"/>
      <c r="P25742"/>
      <c r="Q25742" s="24"/>
      <c r="R25742"/>
      <c r="S25742"/>
      <c r="T25742"/>
      <c r="U25742"/>
      <c r="X25742" s="60"/>
    </row>
    <row r="25743" spans="7:24" ht="15" customHeight="1">
      <c r="G25743"/>
      <c r="I25743"/>
      <c r="N25743"/>
      <c r="O25743" s="24"/>
      <c r="P25743"/>
      <c r="Q25743" s="24"/>
      <c r="R25743"/>
      <c r="S25743"/>
      <c r="T25743"/>
      <c r="U25743"/>
      <c r="X25743" s="60"/>
    </row>
    <row r="25744" spans="7:24" ht="15" customHeight="1">
      <c r="G25744"/>
      <c r="I25744"/>
      <c r="N25744"/>
      <c r="O25744" s="24"/>
      <c r="P25744"/>
      <c r="Q25744" s="24"/>
      <c r="R25744"/>
      <c r="S25744"/>
      <c r="T25744"/>
      <c r="U25744"/>
      <c r="X25744" s="60"/>
    </row>
    <row r="25745" spans="7:24" ht="15" customHeight="1">
      <c r="G25745"/>
      <c r="I25745"/>
      <c r="N25745"/>
      <c r="O25745" s="24"/>
      <c r="P25745"/>
      <c r="Q25745" s="24"/>
      <c r="R25745"/>
      <c r="S25745"/>
      <c r="T25745"/>
      <c r="U25745"/>
      <c r="X25745" s="60"/>
    </row>
    <row r="25746" spans="7:24" ht="15" customHeight="1">
      <c r="G25746"/>
      <c r="I25746"/>
      <c r="N25746"/>
      <c r="O25746" s="24"/>
      <c r="P25746"/>
      <c r="Q25746" s="24"/>
      <c r="R25746"/>
      <c r="S25746"/>
      <c r="T25746"/>
      <c r="U25746"/>
      <c r="X25746" s="60"/>
    </row>
    <row r="25747" spans="7:24" ht="15" customHeight="1">
      <c r="G25747"/>
      <c r="I25747"/>
      <c r="N25747"/>
      <c r="O25747" s="24"/>
      <c r="P25747"/>
      <c r="Q25747" s="24"/>
      <c r="R25747"/>
      <c r="S25747"/>
      <c r="T25747"/>
      <c r="U25747"/>
      <c r="X25747" s="60"/>
    </row>
    <row r="25748" spans="7:24" ht="15" customHeight="1">
      <c r="G25748"/>
      <c r="I25748"/>
      <c r="N25748"/>
      <c r="O25748" s="24"/>
      <c r="P25748"/>
      <c r="Q25748" s="24"/>
      <c r="R25748"/>
      <c r="S25748"/>
      <c r="T25748"/>
      <c r="U25748"/>
      <c r="X25748" s="60"/>
    </row>
    <row r="25749" spans="7:24" ht="15" customHeight="1">
      <c r="G25749"/>
      <c r="I25749"/>
      <c r="N25749"/>
      <c r="O25749" s="24"/>
      <c r="P25749"/>
      <c r="Q25749" s="24"/>
      <c r="R25749"/>
      <c r="S25749"/>
      <c r="T25749"/>
      <c r="U25749"/>
      <c r="X25749" s="60"/>
    </row>
    <row r="25750" spans="7:24" ht="15" customHeight="1">
      <c r="G25750"/>
      <c r="I25750"/>
      <c r="N25750"/>
      <c r="O25750" s="24"/>
      <c r="P25750"/>
      <c r="Q25750" s="24"/>
      <c r="R25750"/>
      <c r="S25750"/>
      <c r="T25750"/>
      <c r="U25750"/>
      <c r="X25750" s="60"/>
    </row>
    <row r="25751" spans="7:24" ht="15" customHeight="1">
      <c r="G25751"/>
      <c r="I25751"/>
      <c r="N25751"/>
      <c r="O25751" s="24"/>
      <c r="P25751"/>
      <c r="Q25751" s="24"/>
      <c r="R25751"/>
      <c r="S25751"/>
      <c r="T25751"/>
      <c r="U25751"/>
      <c r="X25751" s="60"/>
    </row>
    <row r="25752" spans="7:24" ht="15" customHeight="1">
      <c r="G25752"/>
      <c r="I25752"/>
      <c r="N25752"/>
      <c r="O25752" s="24"/>
      <c r="P25752"/>
      <c r="Q25752" s="24"/>
      <c r="R25752"/>
      <c r="S25752"/>
      <c r="T25752"/>
      <c r="U25752"/>
      <c r="X25752" s="60"/>
    </row>
    <row r="25753" spans="7:24" ht="15" customHeight="1">
      <c r="G25753"/>
      <c r="I25753"/>
      <c r="N25753"/>
      <c r="O25753" s="24"/>
      <c r="P25753"/>
      <c r="Q25753" s="24"/>
      <c r="R25753"/>
      <c r="S25753"/>
      <c r="T25753"/>
      <c r="U25753"/>
      <c r="X25753" s="60"/>
    </row>
    <row r="25754" spans="7:24" ht="15" customHeight="1">
      <c r="G25754"/>
      <c r="I25754"/>
      <c r="N25754"/>
      <c r="O25754" s="24"/>
      <c r="P25754"/>
      <c r="Q25754" s="24"/>
      <c r="R25754"/>
      <c r="S25754"/>
      <c r="T25754"/>
      <c r="U25754"/>
      <c r="X25754" s="60"/>
    </row>
    <row r="25755" spans="7:24" ht="15" customHeight="1">
      <c r="G25755"/>
      <c r="I25755"/>
      <c r="N25755"/>
      <c r="O25755" s="24"/>
      <c r="P25755"/>
      <c r="Q25755" s="24"/>
      <c r="R25755"/>
      <c r="S25755"/>
      <c r="T25755"/>
      <c r="U25755"/>
      <c r="X25755" s="60"/>
    </row>
    <row r="25756" spans="7:24" ht="15" customHeight="1">
      <c r="G25756"/>
      <c r="I25756"/>
      <c r="N25756"/>
      <c r="O25756" s="24"/>
      <c r="P25756"/>
      <c r="Q25756" s="24"/>
      <c r="R25756"/>
      <c r="S25756"/>
      <c r="T25756"/>
      <c r="U25756"/>
      <c r="X25756" s="60"/>
    </row>
    <row r="25757" spans="7:24" ht="15" customHeight="1">
      <c r="G25757"/>
      <c r="I25757"/>
      <c r="N25757"/>
      <c r="O25757" s="24"/>
      <c r="P25757"/>
      <c r="Q25757" s="24"/>
      <c r="R25757"/>
      <c r="S25757"/>
      <c r="T25757"/>
      <c r="U25757"/>
      <c r="X25757" s="60"/>
    </row>
    <row r="25758" spans="7:24" ht="15" customHeight="1">
      <c r="G25758"/>
      <c r="I25758"/>
      <c r="N25758"/>
      <c r="O25758" s="24"/>
      <c r="P25758"/>
      <c r="Q25758" s="24"/>
      <c r="R25758"/>
      <c r="S25758"/>
      <c r="T25758"/>
      <c r="U25758"/>
      <c r="X25758" s="60"/>
    </row>
    <row r="25759" spans="7:24" ht="15" customHeight="1">
      <c r="G25759"/>
      <c r="I25759"/>
      <c r="N25759"/>
      <c r="O25759" s="24"/>
      <c r="P25759"/>
      <c r="Q25759" s="24"/>
      <c r="R25759"/>
      <c r="S25759"/>
      <c r="T25759"/>
      <c r="U25759"/>
      <c r="X25759" s="60"/>
    </row>
    <row r="25760" spans="7:24" ht="15" customHeight="1">
      <c r="G25760"/>
      <c r="I25760"/>
      <c r="N25760"/>
      <c r="O25760" s="24"/>
      <c r="P25760"/>
      <c r="Q25760" s="24"/>
      <c r="R25760"/>
      <c r="S25760"/>
      <c r="T25760"/>
      <c r="U25760"/>
      <c r="X25760" s="60"/>
    </row>
    <row r="25761" spans="7:24" ht="15" customHeight="1">
      <c r="G25761"/>
      <c r="I25761"/>
      <c r="N25761"/>
      <c r="O25761" s="24"/>
      <c r="P25761"/>
      <c r="Q25761" s="24"/>
      <c r="R25761"/>
      <c r="S25761"/>
      <c r="T25761"/>
      <c r="U25761"/>
      <c r="X25761" s="60"/>
    </row>
    <row r="25762" spans="7:24" ht="15" customHeight="1">
      <c r="G25762"/>
      <c r="I25762"/>
      <c r="N25762"/>
      <c r="O25762" s="24"/>
      <c r="P25762"/>
      <c r="Q25762" s="24"/>
      <c r="R25762"/>
      <c r="S25762"/>
      <c r="T25762"/>
      <c r="U25762"/>
      <c r="X25762" s="60"/>
    </row>
    <row r="25763" spans="7:24" ht="15" customHeight="1">
      <c r="G25763"/>
      <c r="I25763"/>
      <c r="N25763"/>
      <c r="O25763" s="24"/>
      <c r="P25763"/>
      <c r="Q25763" s="24"/>
      <c r="R25763"/>
      <c r="S25763"/>
      <c r="T25763"/>
      <c r="U25763"/>
      <c r="X25763" s="60"/>
    </row>
    <row r="25764" spans="7:24" ht="15" customHeight="1">
      <c r="G25764"/>
      <c r="I25764"/>
      <c r="N25764"/>
      <c r="O25764" s="24"/>
      <c r="P25764"/>
      <c r="Q25764" s="24"/>
      <c r="R25764"/>
      <c r="S25764"/>
      <c r="T25764"/>
      <c r="U25764"/>
      <c r="X25764" s="60"/>
    </row>
    <row r="25765" spans="7:24" ht="15" customHeight="1">
      <c r="G25765"/>
      <c r="I25765"/>
      <c r="N25765"/>
      <c r="O25765" s="24"/>
      <c r="P25765"/>
      <c r="Q25765" s="24"/>
      <c r="R25765"/>
      <c r="S25765"/>
      <c r="T25765"/>
      <c r="U25765"/>
      <c r="X25765" s="60"/>
    </row>
    <row r="25766" spans="7:24" ht="15" customHeight="1">
      <c r="G25766"/>
      <c r="I25766"/>
      <c r="N25766"/>
      <c r="O25766" s="24"/>
      <c r="P25766"/>
      <c r="Q25766" s="24"/>
      <c r="R25766"/>
      <c r="S25766"/>
      <c r="T25766"/>
      <c r="U25766"/>
      <c r="X25766" s="60"/>
    </row>
    <row r="25767" spans="7:24" ht="15" customHeight="1">
      <c r="G25767"/>
      <c r="I25767"/>
      <c r="N25767"/>
      <c r="O25767" s="24"/>
      <c r="P25767"/>
      <c r="Q25767" s="24"/>
      <c r="R25767"/>
      <c r="S25767"/>
      <c r="T25767"/>
      <c r="U25767"/>
      <c r="X25767" s="60"/>
    </row>
    <row r="25768" spans="7:24" ht="15" customHeight="1">
      <c r="G25768"/>
      <c r="I25768"/>
      <c r="N25768"/>
      <c r="O25768" s="24"/>
      <c r="P25768"/>
      <c r="Q25768" s="24"/>
      <c r="R25768"/>
      <c r="S25768"/>
      <c r="T25768"/>
      <c r="U25768"/>
      <c r="X25768" s="60"/>
    </row>
    <row r="25769" spans="7:24" ht="15" customHeight="1">
      <c r="G25769"/>
      <c r="I25769"/>
      <c r="N25769"/>
      <c r="O25769" s="24"/>
      <c r="P25769"/>
      <c r="Q25769" s="24"/>
      <c r="R25769"/>
      <c r="S25769"/>
      <c r="T25769"/>
      <c r="U25769"/>
      <c r="X25769" s="60"/>
    </row>
    <row r="25770" spans="7:24" ht="15" customHeight="1">
      <c r="G25770"/>
      <c r="I25770"/>
      <c r="N25770"/>
      <c r="O25770" s="24"/>
      <c r="P25770"/>
      <c r="Q25770" s="24"/>
      <c r="R25770"/>
      <c r="S25770"/>
      <c r="T25770"/>
      <c r="U25770"/>
      <c r="X25770" s="60"/>
    </row>
    <row r="25771" spans="7:24" ht="15" customHeight="1">
      <c r="G25771"/>
      <c r="I25771"/>
      <c r="N25771"/>
      <c r="O25771" s="24"/>
      <c r="P25771"/>
      <c r="Q25771" s="24"/>
      <c r="R25771"/>
      <c r="S25771"/>
      <c r="T25771"/>
      <c r="U25771"/>
      <c r="X25771" s="60"/>
    </row>
    <row r="25772" spans="7:24" ht="15" customHeight="1">
      <c r="G25772"/>
      <c r="I25772"/>
      <c r="N25772"/>
      <c r="O25772" s="24"/>
      <c r="P25772"/>
      <c r="Q25772" s="24"/>
      <c r="R25772"/>
      <c r="S25772"/>
      <c r="T25772"/>
      <c r="U25772"/>
      <c r="X25772" s="60"/>
    </row>
    <row r="25773" spans="7:24" ht="15" customHeight="1">
      <c r="G25773"/>
      <c r="I25773"/>
      <c r="N25773"/>
      <c r="O25773" s="24"/>
      <c r="P25773"/>
      <c r="Q25773" s="24"/>
      <c r="R25773"/>
      <c r="S25773"/>
      <c r="T25773"/>
      <c r="U25773"/>
      <c r="X25773" s="60"/>
    </row>
    <row r="25774" spans="7:24" ht="15" customHeight="1">
      <c r="G25774"/>
      <c r="I25774"/>
      <c r="N25774"/>
      <c r="O25774" s="24"/>
      <c r="P25774"/>
      <c r="Q25774" s="24"/>
      <c r="R25774"/>
      <c r="S25774"/>
      <c r="T25774"/>
      <c r="U25774"/>
      <c r="X25774" s="60"/>
    </row>
    <row r="25775" spans="7:24" ht="15" customHeight="1">
      <c r="G25775"/>
      <c r="I25775"/>
      <c r="N25775"/>
      <c r="O25775" s="24"/>
      <c r="P25775"/>
      <c r="Q25775" s="24"/>
      <c r="R25775"/>
      <c r="S25775"/>
      <c r="T25775"/>
      <c r="U25775"/>
      <c r="X25775" s="60"/>
    </row>
    <row r="25776" spans="7:24" ht="15" customHeight="1">
      <c r="G25776"/>
      <c r="I25776"/>
      <c r="N25776"/>
      <c r="O25776" s="24"/>
      <c r="P25776"/>
      <c r="Q25776" s="24"/>
      <c r="R25776"/>
      <c r="S25776"/>
      <c r="T25776"/>
      <c r="U25776"/>
      <c r="X25776" s="60"/>
    </row>
    <row r="25777" spans="7:24" ht="15" customHeight="1">
      <c r="G25777"/>
      <c r="I25777"/>
      <c r="N25777"/>
      <c r="O25777" s="24"/>
      <c r="P25777"/>
      <c r="Q25777" s="24"/>
      <c r="R25777"/>
      <c r="S25777"/>
      <c r="T25777"/>
      <c r="U25777"/>
      <c r="X25777" s="60"/>
    </row>
    <row r="25778" spans="7:24" ht="15" customHeight="1">
      <c r="G25778"/>
      <c r="I25778"/>
      <c r="N25778"/>
      <c r="O25778" s="24"/>
      <c r="P25778"/>
      <c r="Q25778" s="24"/>
      <c r="R25778"/>
      <c r="S25778"/>
      <c r="T25778"/>
      <c r="U25778"/>
      <c r="X25778" s="60"/>
    </row>
    <row r="25779" spans="7:24" ht="15" customHeight="1">
      <c r="G25779"/>
      <c r="I25779"/>
      <c r="N25779"/>
      <c r="O25779" s="24"/>
      <c r="P25779"/>
      <c r="Q25779" s="24"/>
      <c r="R25779"/>
      <c r="S25779"/>
      <c r="T25779"/>
      <c r="U25779"/>
      <c r="X25779" s="60"/>
    </row>
    <row r="25780" spans="7:24" ht="15" customHeight="1">
      <c r="G25780"/>
      <c r="I25780"/>
      <c r="N25780"/>
      <c r="O25780" s="24"/>
      <c r="P25780"/>
      <c r="Q25780" s="24"/>
      <c r="R25780"/>
      <c r="S25780"/>
      <c r="T25780"/>
      <c r="U25780"/>
      <c r="X25780" s="60"/>
    </row>
    <row r="25781" spans="7:24" ht="15" customHeight="1">
      <c r="G25781"/>
      <c r="I25781"/>
      <c r="N25781"/>
      <c r="O25781" s="24"/>
      <c r="P25781"/>
      <c r="Q25781" s="24"/>
      <c r="R25781"/>
      <c r="S25781"/>
      <c r="T25781"/>
      <c r="U25781"/>
      <c r="X25781" s="60"/>
    </row>
    <row r="25782" spans="7:24" ht="15" customHeight="1">
      <c r="G25782"/>
      <c r="I25782"/>
      <c r="N25782"/>
      <c r="O25782" s="24"/>
      <c r="P25782"/>
      <c r="Q25782" s="24"/>
      <c r="R25782"/>
      <c r="S25782"/>
      <c r="T25782"/>
      <c r="U25782"/>
      <c r="X25782" s="60"/>
    </row>
    <row r="25783" spans="7:24" ht="15" customHeight="1">
      <c r="G25783"/>
      <c r="I25783"/>
      <c r="N25783"/>
      <c r="O25783" s="24"/>
      <c r="P25783"/>
      <c r="Q25783" s="24"/>
      <c r="R25783"/>
      <c r="S25783"/>
      <c r="T25783"/>
      <c r="U25783"/>
      <c r="X25783" s="60"/>
    </row>
    <row r="25784" spans="7:24" ht="15" customHeight="1">
      <c r="G25784"/>
      <c r="I25784"/>
      <c r="N25784"/>
      <c r="O25784" s="24"/>
      <c r="P25784"/>
      <c r="Q25784" s="24"/>
      <c r="R25784"/>
      <c r="S25784"/>
      <c r="T25784"/>
      <c r="U25784"/>
      <c r="X25784" s="60"/>
    </row>
    <row r="25785" spans="7:24" ht="15" customHeight="1">
      <c r="G25785"/>
      <c r="I25785"/>
      <c r="N25785"/>
      <c r="O25785" s="24"/>
      <c r="P25785"/>
      <c r="Q25785" s="24"/>
      <c r="R25785"/>
      <c r="S25785"/>
      <c r="T25785"/>
      <c r="U25785"/>
      <c r="X25785" s="60"/>
    </row>
    <row r="25786" spans="7:24" ht="15" customHeight="1">
      <c r="G25786"/>
      <c r="I25786"/>
      <c r="N25786"/>
      <c r="O25786" s="24"/>
      <c r="P25786"/>
      <c r="Q25786" s="24"/>
      <c r="R25786"/>
      <c r="S25786"/>
      <c r="T25786"/>
      <c r="U25786"/>
      <c r="X25786" s="60"/>
    </row>
    <row r="25787" spans="7:24" ht="15" customHeight="1">
      <c r="G25787"/>
      <c r="I25787"/>
      <c r="N25787"/>
      <c r="O25787" s="24"/>
      <c r="P25787"/>
      <c r="Q25787" s="24"/>
      <c r="R25787"/>
      <c r="S25787"/>
      <c r="T25787"/>
      <c r="U25787"/>
      <c r="X25787" s="60"/>
    </row>
    <row r="25788" spans="7:24" ht="15" customHeight="1">
      <c r="G25788"/>
      <c r="I25788"/>
      <c r="N25788"/>
      <c r="O25788" s="24"/>
      <c r="P25788"/>
      <c r="Q25788" s="24"/>
      <c r="R25788"/>
      <c r="S25788"/>
      <c r="T25788"/>
      <c r="U25788"/>
      <c r="X25788" s="60"/>
    </row>
    <row r="25789" spans="7:24" ht="15" customHeight="1">
      <c r="G25789"/>
      <c r="I25789"/>
      <c r="N25789"/>
      <c r="O25789" s="24"/>
      <c r="P25789"/>
      <c r="Q25789" s="24"/>
      <c r="R25789"/>
      <c r="S25789"/>
      <c r="T25789"/>
      <c r="U25789"/>
      <c r="X25789" s="60"/>
    </row>
    <row r="25790" spans="7:24" ht="15" customHeight="1">
      <c r="G25790"/>
      <c r="I25790"/>
      <c r="N25790"/>
      <c r="O25790" s="24"/>
      <c r="P25790"/>
      <c r="Q25790" s="24"/>
      <c r="R25790"/>
      <c r="S25790"/>
      <c r="T25790"/>
      <c r="U25790"/>
      <c r="X25790" s="60"/>
    </row>
    <row r="25791" spans="7:24" ht="15" customHeight="1">
      <c r="G25791"/>
      <c r="I25791"/>
      <c r="N25791"/>
      <c r="O25791" s="24"/>
      <c r="P25791"/>
      <c r="Q25791" s="24"/>
      <c r="R25791"/>
      <c r="S25791"/>
      <c r="T25791"/>
      <c r="U25791"/>
      <c r="X25791" s="60"/>
    </row>
    <row r="25792" spans="7:24" ht="15" customHeight="1">
      <c r="G25792"/>
      <c r="I25792"/>
      <c r="N25792"/>
      <c r="O25792" s="24"/>
      <c r="P25792"/>
      <c r="Q25792" s="24"/>
      <c r="R25792"/>
      <c r="S25792"/>
      <c r="T25792"/>
      <c r="U25792"/>
      <c r="X25792" s="60"/>
    </row>
    <row r="25793" spans="7:24" ht="15" customHeight="1">
      <c r="G25793"/>
      <c r="I25793"/>
      <c r="N25793"/>
      <c r="O25793" s="24"/>
      <c r="P25793"/>
      <c r="Q25793" s="24"/>
      <c r="R25793"/>
      <c r="S25793"/>
      <c r="T25793"/>
      <c r="U25793"/>
      <c r="X25793" s="60"/>
    </row>
    <row r="25794" spans="7:24" ht="15" customHeight="1">
      <c r="G25794"/>
      <c r="I25794"/>
      <c r="N25794"/>
      <c r="O25794" s="24"/>
      <c r="P25794"/>
      <c r="Q25794" s="24"/>
      <c r="R25794"/>
      <c r="S25794"/>
      <c r="T25794"/>
      <c r="U25794"/>
      <c r="X25794" s="60"/>
    </row>
    <row r="25795" spans="7:24" ht="15" customHeight="1">
      <c r="G25795"/>
      <c r="I25795"/>
      <c r="N25795"/>
      <c r="O25795" s="24"/>
      <c r="P25795"/>
      <c r="Q25795" s="24"/>
      <c r="R25795"/>
      <c r="S25795"/>
      <c r="T25795"/>
      <c r="U25795"/>
      <c r="X25795" s="60"/>
    </row>
    <row r="25796" spans="7:24" ht="15" customHeight="1">
      <c r="G25796"/>
      <c r="I25796"/>
      <c r="N25796"/>
      <c r="O25796" s="24"/>
      <c r="P25796"/>
      <c r="Q25796" s="24"/>
      <c r="R25796"/>
      <c r="S25796"/>
      <c r="T25796"/>
      <c r="U25796"/>
      <c r="X25796" s="60"/>
    </row>
    <row r="25797" spans="7:24" ht="15" customHeight="1">
      <c r="G25797"/>
      <c r="I25797"/>
      <c r="N25797"/>
      <c r="O25797" s="24"/>
      <c r="P25797"/>
      <c r="Q25797" s="24"/>
      <c r="R25797"/>
      <c r="S25797"/>
      <c r="T25797"/>
      <c r="U25797"/>
      <c r="X25797" s="60"/>
    </row>
    <row r="25798" spans="7:24" ht="15" customHeight="1">
      <c r="G25798"/>
      <c r="I25798"/>
      <c r="N25798"/>
      <c r="O25798" s="24"/>
      <c r="P25798"/>
      <c r="Q25798" s="24"/>
      <c r="R25798"/>
      <c r="S25798"/>
      <c r="T25798"/>
      <c r="U25798"/>
      <c r="X25798" s="60"/>
    </row>
    <row r="25799" spans="7:24" ht="15" customHeight="1">
      <c r="G25799"/>
      <c r="I25799"/>
      <c r="N25799"/>
      <c r="O25799" s="24"/>
      <c r="P25799"/>
      <c r="Q25799" s="24"/>
      <c r="R25799"/>
      <c r="S25799"/>
      <c r="T25799"/>
      <c r="U25799"/>
      <c r="X25799" s="60"/>
    </row>
    <row r="25800" spans="7:24" ht="15" customHeight="1">
      <c r="G25800"/>
      <c r="I25800"/>
      <c r="N25800"/>
      <c r="O25800" s="24"/>
      <c r="P25800"/>
      <c r="Q25800" s="24"/>
      <c r="R25800"/>
      <c r="S25800"/>
      <c r="T25800"/>
      <c r="U25800"/>
      <c r="X25800" s="60"/>
    </row>
    <row r="25801" spans="7:24" ht="15" customHeight="1">
      <c r="G25801"/>
      <c r="I25801"/>
      <c r="N25801"/>
      <c r="O25801" s="24"/>
      <c r="P25801"/>
      <c r="Q25801" s="24"/>
      <c r="R25801"/>
      <c r="S25801"/>
      <c r="T25801"/>
      <c r="U25801"/>
      <c r="X25801" s="60"/>
    </row>
    <row r="25802" spans="7:24" ht="15" customHeight="1">
      <c r="G25802"/>
      <c r="I25802"/>
      <c r="N25802"/>
      <c r="O25802" s="24"/>
      <c r="P25802"/>
      <c r="Q25802" s="24"/>
      <c r="R25802"/>
      <c r="S25802"/>
      <c r="T25802"/>
      <c r="U25802"/>
      <c r="X25802" s="60"/>
    </row>
    <row r="25803" spans="7:24" ht="15" customHeight="1">
      <c r="G25803"/>
      <c r="I25803"/>
      <c r="N25803"/>
      <c r="O25803" s="24"/>
      <c r="P25803"/>
      <c r="Q25803" s="24"/>
      <c r="R25803"/>
      <c r="S25803"/>
      <c r="T25803"/>
      <c r="U25803"/>
      <c r="X25803" s="60"/>
    </row>
    <row r="25804" spans="7:24" ht="15" customHeight="1">
      <c r="G25804"/>
      <c r="I25804"/>
      <c r="N25804"/>
      <c r="O25804" s="24"/>
      <c r="P25804"/>
      <c r="Q25804" s="24"/>
      <c r="R25804"/>
      <c r="S25804"/>
      <c r="T25804"/>
      <c r="U25804"/>
      <c r="X25804" s="60"/>
    </row>
    <row r="25805" spans="7:24" ht="15" customHeight="1">
      <c r="G25805"/>
      <c r="I25805"/>
      <c r="N25805"/>
      <c r="O25805" s="24"/>
      <c r="P25805"/>
      <c r="Q25805" s="24"/>
      <c r="R25805"/>
      <c r="S25805"/>
      <c r="T25805"/>
      <c r="U25805"/>
      <c r="X25805" s="60"/>
    </row>
    <row r="25806" spans="7:24" ht="15" customHeight="1">
      <c r="G25806"/>
      <c r="I25806"/>
      <c r="N25806"/>
      <c r="O25806" s="24"/>
      <c r="P25806"/>
      <c r="Q25806" s="24"/>
      <c r="R25806"/>
      <c r="S25806"/>
      <c r="T25806"/>
      <c r="U25806"/>
      <c r="X25806" s="60"/>
    </row>
    <row r="25807" spans="7:24" ht="15" customHeight="1">
      <c r="G25807"/>
      <c r="I25807"/>
      <c r="N25807"/>
      <c r="O25807" s="24"/>
      <c r="P25807"/>
      <c r="Q25807" s="24"/>
      <c r="R25807"/>
      <c r="S25807"/>
      <c r="T25807"/>
      <c r="U25807"/>
      <c r="X25807" s="60"/>
    </row>
    <row r="25808" spans="7:24" ht="15" customHeight="1">
      <c r="G25808"/>
      <c r="I25808"/>
      <c r="N25808"/>
      <c r="O25808" s="24"/>
      <c r="P25808"/>
      <c r="Q25808" s="24"/>
      <c r="R25808"/>
      <c r="S25808"/>
      <c r="T25808"/>
      <c r="U25808"/>
      <c r="X25808" s="60"/>
    </row>
    <row r="25809" spans="7:24" ht="15" customHeight="1">
      <c r="G25809"/>
      <c r="I25809"/>
      <c r="N25809"/>
      <c r="O25809" s="24"/>
      <c r="P25809"/>
      <c r="Q25809" s="24"/>
      <c r="R25809"/>
      <c r="S25809"/>
      <c r="T25809"/>
      <c r="U25809"/>
      <c r="X25809" s="60"/>
    </row>
    <row r="25810" spans="7:24" ht="15" customHeight="1">
      <c r="G25810"/>
      <c r="I25810"/>
      <c r="N25810"/>
      <c r="O25810" s="24"/>
      <c r="P25810"/>
      <c r="Q25810" s="24"/>
      <c r="R25810"/>
      <c r="S25810"/>
      <c r="T25810"/>
      <c r="U25810"/>
      <c r="X25810" s="60"/>
    </row>
    <row r="25811" spans="7:24" ht="15" customHeight="1">
      <c r="G25811"/>
      <c r="I25811"/>
      <c r="N25811"/>
      <c r="O25811" s="24"/>
      <c r="P25811"/>
      <c r="Q25811" s="24"/>
      <c r="R25811"/>
      <c r="S25811"/>
      <c r="T25811"/>
      <c r="U25811"/>
      <c r="X25811" s="60"/>
    </row>
    <row r="25812" spans="7:24" ht="15" customHeight="1">
      <c r="G25812"/>
      <c r="I25812"/>
      <c r="N25812"/>
      <c r="O25812" s="24"/>
      <c r="P25812"/>
      <c r="Q25812" s="24"/>
      <c r="R25812"/>
      <c r="S25812"/>
      <c r="T25812"/>
      <c r="U25812"/>
      <c r="X25812" s="60"/>
    </row>
    <row r="25813" spans="7:24" ht="15" customHeight="1">
      <c r="G25813"/>
      <c r="I25813"/>
      <c r="N25813"/>
      <c r="O25813" s="24"/>
      <c r="P25813"/>
      <c r="Q25813" s="24"/>
      <c r="R25813"/>
      <c r="S25813"/>
      <c r="T25813"/>
      <c r="U25813"/>
      <c r="X25813" s="60"/>
    </row>
    <row r="25814" spans="7:24" ht="15" customHeight="1">
      <c r="G25814"/>
      <c r="I25814"/>
      <c r="N25814"/>
      <c r="O25814" s="24"/>
      <c r="P25814"/>
      <c r="Q25814" s="24"/>
      <c r="R25814"/>
      <c r="S25814"/>
      <c r="T25814"/>
      <c r="U25814"/>
      <c r="X25814" s="60"/>
    </row>
    <row r="25815" spans="7:24" ht="15" customHeight="1">
      <c r="G25815"/>
      <c r="I25815"/>
      <c r="N25815"/>
      <c r="O25815" s="24"/>
      <c r="P25815"/>
      <c r="Q25815" s="24"/>
      <c r="R25815"/>
      <c r="S25815"/>
      <c r="T25815"/>
      <c r="U25815"/>
      <c r="X25815" s="60"/>
    </row>
    <row r="25816" spans="7:24" ht="15" customHeight="1">
      <c r="G25816"/>
      <c r="I25816"/>
      <c r="N25816"/>
      <c r="O25816" s="24"/>
      <c r="P25816"/>
      <c r="Q25816" s="24"/>
      <c r="R25816"/>
      <c r="S25816"/>
      <c r="T25816"/>
      <c r="U25816"/>
      <c r="X25816" s="60"/>
    </row>
    <row r="25817" spans="7:24" ht="15" customHeight="1">
      <c r="G25817"/>
      <c r="I25817"/>
      <c r="N25817"/>
      <c r="O25817" s="24"/>
      <c r="P25817"/>
      <c r="Q25817" s="24"/>
      <c r="R25817"/>
      <c r="S25817"/>
      <c r="T25817"/>
      <c r="U25817"/>
      <c r="X25817" s="60"/>
    </row>
    <row r="25818" spans="7:24" ht="15" customHeight="1">
      <c r="G25818"/>
      <c r="I25818"/>
      <c r="N25818"/>
      <c r="O25818" s="24"/>
      <c r="P25818"/>
      <c r="Q25818" s="24"/>
      <c r="R25818"/>
      <c r="S25818"/>
      <c r="T25818"/>
      <c r="U25818"/>
      <c r="X25818" s="60"/>
    </row>
    <row r="25819" spans="7:24" ht="15" customHeight="1">
      <c r="G25819"/>
      <c r="I25819"/>
      <c r="N25819"/>
      <c r="O25819" s="24"/>
      <c r="P25819"/>
      <c r="Q25819" s="24"/>
      <c r="R25819"/>
      <c r="S25819"/>
      <c r="T25819"/>
      <c r="U25819"/>
      <c r="X25819" s="60"/>
    </row>
    <row r="25820" spans="7:24" ht="15" customHeight="1">
      <c r="G25820"/>
      <c r="I25820"/>
      <c r="N25820"/>
      <c r="O25820" s="24"/>
      <c r="P25820"/>
      <c r="Q25820" s="24"/>
      <c r="R25820"/>
      <c r="S25820"/>
      <c r="T25820"/>
      <c r="U25820"/>
      <c r="X25820" s="60"/>
    </row>
    <row r="25821" spans="7:24" ht="15" customHeight="1">
      <c r="G25821"/>
      <c r="I25821"/>
      <c r="N25821"/>
      <c r="O25821" s="24"/>
      <c r="P25821"/>
      <c r="Q25821" s="24"/>
      <c r="R25821"/>
      <c r="S25821"/>
      <c r="T25821"/>
      <c r="U25821"/>
      <c r="X25821" s="60"/>
    </row>
    <row r="25822" spans="7:24" ht="15" customHeight="1">
      <c r="G25822"/>
      <c r="I25822"/>
      <c r="N25822"/>
      <c r="O25822" s="24"/>
      <c r="P25822"/>
      <c r="Q25822" s="24"/>
      <c r="R25822"/>
      <c r="S25822"/>
      <c r="T25822"/>
      <c r="U25822"/>
      <c r="X25822" s="60"/>
    </row>
    <row r="25823" spans="7:24" ht="15" customHeight="1">
      <c r="G25823"/>
      <c r="I25823"/>
      <c r="N25823"/>
      <c r="O25823" s="24"/>
      <c r="P25823"/>
      <c r="Q25823" s="24"/>
      <c r="R25823"/>
      <c r="S25823"/>
      <c r="T25823"/>
      <c r="U25823"/>
      <c r="X25823" s="60"/>
    </row>
    <row r="25824" spans="7:24" ht="15" customHeight="1">
      <c r="G25824"/>
      <c r="I25824"/>
      <c r="N25824"/>
      <c r="O25824" s="24"/>
      <c r="P25824"/>
      <c r="Q25824" s="24"/>
      <c r="R25824"/>
      <c r="S25824"/>
      <c r="T25824"/>
      <c r="U25824"/>
      <c r="X25824" s="60"/>
    </row>
    <row r="25825" spans="7:24" ht="15" customHeight="1">
      <c r="G25825"/>
      <c r="I25825"/>
      <c r="N25825"/>
      <c r="O25825" s="24"/>
      <c r="P25825"/>
      <c r="Q25825" s="24"/>
      <c r="R25825"/>
      <c r="S25825"/>
      <c r="T25825"/>
      <c r="U25825"/>
      <c r="X25825" s="60"/>
    </row>
    <row r="25826" spans="7:24" ht="15" customHeight="1">
      <c r="G25826"/>
      <c r="I25826"/>
      <c r="N25826"/>
      <c r="O25826" s="24"/>
      <c r="P25826"/>
      <c r="Q25826" s="24"/>
      <c r="R25826"/>
      <c r="S25826"/>
      <c r="T25826"/>
      <c r="U25826"/>
      <c r="X25826" s="60"/>
    </row>
    <row r="25827" spans="7:24" ht="15" customHeight="1">
      <c r="G25827"/>
      <c r="I25827"/>
      <c r="N25827"/>
      <c r="O25827" s="24"/>
      <c r="P25827"/>
      <c r="Q25827" s="24"/>
      <c r="R25827"/>
      <c r="S25827"/>
      <c r="T25827"/>
      <c r="U25827"/>
      <c r="X25827" s="60"/>
    </row>
    <row r="25828" spans="7:24" ht="15" customHeight="1">
      <c r="G25828"/>
      <c r="I25828"/>
      <c r="N25828"/>
      <c r="O25828" s="24"/>
      <c r="P25828"/>
      <c r="Q25828" s="24"/>
      <c r="R25828"/>
      <c r="S25828"/>
      <c r="T25828"/>
      <c r="U25828"/>
      <c r="X25828" s="60"/>
    </row>
    <row r="25829" spans="7:24" ht="15" customHeight="1">
      <c r="G25829"/>
      <c r="I25829"/>
      <c r="N25829"/>
      <c r="O25829" s="24"/>
      <c r="P25829"/>
      <c r="Q25829" s="24"/>
      <c r="R25829"/>
      <c r="S25829"/>
      <c r="T25829"/>
      <c r="U25829"/>
      <c r="X25829" s="60"/>
    </row>
    <row r="25830" spans="7:24" ht="15" customHeight="1">
      <c r="G25830"/>
      <c r="I25830"/>
      <c r="N25830"/>
      <c r="O25830" s="24"/>
      <c r="P25830"/>
      <c r="Q25830" s="24"/>
      <c r="R25830"/>
      <c r="S25830"/>
      <c r="T25830"/>
      <c r="U25830"/>
      <c r="X25830" s="60"/>
    </row>
    <row r="25831" spans="7:24" ht="15" customHeight="1">
      <c r="G25831"/>
      <c r="I25831"/>
      <c r="N25831"/>
      <c r="O25831" s="24"/>
      <c r="P25831"/>
      <c r="Q25831" s="24"/>
      <c r="R25831"/>
      <c r="S25831"/>
      <c r="T25831"/>
      <c r="U25831"/>
      <c r="X25831" s="60"/>
    </row>
    <row r="25832" spans="7:24" ht="15" customHeight="1">
      <c r="G25832"/>
      <c r="I25832"/>
      <c r="N25832"/>
      <c r="O25832" s="24"/>
      <c r="P25832"/>
      <c r="Q25832" s="24"/>
      <c r="R25832"/>
      <c r="S25832"/>
      <c r="T25832"/>
      <c r="U25832"/>
      <c r="X25832" s="60"/>
    </row>
    <row r="25833" spans="7:24" ht="15" customHeight="1">
      <c r="G25833"/>
      <c r="I25833"/>
      <c r="N25833"/>
      <c r="O25833" s="24"/>
      <c r="P25833"/>
      <c r="Q25833" s="24"/>
      <c r="R25833"/>
      <c r="S25833"/>
      <c r="T25833"/>
      <c r="U25833"/>
      <c r="X25833" s="60"/>
    </row>
    <row r="25834" spans="7:24" ht="15" customHeight="1">
      <c r="G25834"/>
      <c r="I25834"/>
      <c r="N25834"/>
      <c r="O25834" s="24"/>
      <c r="P25834"/>
      <c r="Q25834" s="24"/>
      <c r="R25834"/>
      <c r="S25834"/>
      <c r="T25834"/>
      <c r="U25834"/>
      <c r="X25834" s="60"/>
    </row>
    <row r="25835" spans="7:24" ht="15" customHeight="1">
      <c r="G25835"/>
      <c r="I25835"/>
      <c r="N25835"/>
      <c r="O25835" s="24"/>
      <c r="P25835"/>
      <c r="Q25835" s="24"/>
      <c r="R25835"/>
      <c r="S25835"/>
      <c r="T25835"/>
      <c r="U25835"/>
      <c r="X25835" s="60"/>
    </row>
    <row r="25836" spans="7:24" ht="15" customHeight="1">
      <c r="G25836"/>
      <c r="I25836"/>
      <c r="N25836"/>
      <c r="O25836" s="24"/>
      <c r="P25836"/>
      <c r="Q25836" s="24"/>
      <c r="R25836"/>
      <c r="S25836"/>
      <c r="T25836"/>
      <c r="U25836"/>
      <c r="X25836" s="60"/>
    </row>
    <row r="25837" spans="7:24" ht="15" customHeight="1">
      <c r="G25837"/>
      <c r="I25837"/>
      <c r="N25837"/>
      <c r="O25837" s="24"/>
      <c r="P25837"/>
      <c r="Q25837" s="24"/>
      <c r="R25837"/>
      <c r="S25837"/>
      <c r="T25837"/>
      <c r="U25837"/>
      <c r="X25837" s="60"/>
    </row>
    <row r="25838" spans="7:24" ht="15" customHeight="1">
      <c r="G25838"/>
      <c r="I25838"/>
      <c r="N25838"/>
      <c r="O25838" s="24"/>
      <c r="P25838"/>
      <c r="Q25838" s="24"/>
      <c r="R25838"/>
      <c r="S25838"/>
      <c r="T25838"/>
      <c r="U25838"/>
      <c r="X25838" s="60"/>
    </row>
    <row r="25839" spans="7:24" ht="15" customHeight="1">
      <c r="G25839"/>
      <c r="I25839"/>
      <c r="N25839"/>
      <c r="O25839" s="24"/>
      <c r="P25839"/>
      <c r="Q25839" s="24"/>
      <c r="R25839"/>
      <c r="S25839"/>
      <c r="T25839"/>
      <c r="U25839"/>
      <c r="X25839" s="60"/>
    </row>
    <row r="25840" spans="7:24" ht="15" customHeight="1">
      <c r="G25840"/>
      <c r="I25840"/>
      <c r="N25840"/>
      <c r="O25840" s="24"/>
      <c r="P25840"/>
      <c r="Q25840" s="24"/>
      <c r="R25840"/>
      <c r="S25840"/>
      <c r="T25840"/>
      <c r="U25840"/>
      <c r="X25840" s="60"/>
    </row>
    <row r="25841" spans="7:24" ht="15" customHeight="1">
      <c r="G25841"/>
      <c r="I25841"/>
      <c r="N25841"/>
      <c r="O25841" s="24"/>
      <c r="P25841"/>
      <c r="Q25841" s="24"/>
      <c r="R25841"/>
      <c r="S25841"/>
      <c r="T25841"/>
      <c r="U25841"/>
      <c r="X25841" s="60"/>
    </row>
    <row r="25842" spans="7:24" ht="15" customHeight="1">
      <c r="G25842"/>
      <c r="I25842"/>
      <c r="N25842"/>
      <c r="O25842" s="24"/>
      <c r="P25842"/>
      <c r="Q25842" s="24"/>
      <c r="R25842"/>
      <c r="S25842"/>
      <c r="T25842"/>
      <c r="U25842"/>
      <c r="X25842" s="60"/>
    </row>
    <row r="25843" spans="7:24" ht="15" customHeight="1">
      <c r="G25843"/>
      <c r="I25843"/>
      <c r="N25843"/>
      <c r="O25843" s="24"/>
      <c r="P25843"/>
      <c r="Q25843" s="24"/>
      <c r="R25843"/>
      <c r="S25843"/>
      <c r="T25843"/>
      <c r="U25843"/>
      <c r="X25843" s="60"/>
    </row>
    <row r="25844" spans="7:24" ht="15" customHeight="1">
      <c r="G25844"/>
      <c r="I25844"/>
      <c r="N25844"/>
      <c r="O25844" s="24"/>
      <c r="P25844"/>
      <c r="Q25844" s="24"/>
      <c r="R25844"/>
      <c r="S25844"/>
      <c r="T25844"/>
      <c r="U25844"/>
      <c r="X25844" s="60"/>
    </row>
    <row r="25845" spans="7:24" ht="15" customHeight="1">
      <c r="G25845"/>
      <c r="I25845"/>
      <c r="N25845"/>
      <c r="O25845" s="24"/>
      <c r="P25845"/>
      <c r="Q25845" s="24"/>
      <c r="R25845"/>
      <c r="S25845"/>
      <c r="T25845"/>
      <c r="U25845"/>
      <c r="X25845" s="60"/>
    </row>
    <row r="25846" spans="7:24" ht="15" customHeight="1">
      <c r="G25846"/>
      <c r="I25846"/>
      <c r="N25846"/>
      <c r="O25846" s="24"/>
      <c r="P25846"/>
      <c r="Q25846" s="24"/>
      <c r="R25846"/>
      <c r="S25846"/>
      <c r="T25846"/>
      <c r="U25846"/>
      <c r="X25846" s="60"/>
    </row>
    <row r="25847" spans="7:24" ht="15" customHeight="1">
      <c r="G25847"/>
      <c r="I25847"/>
      <c r="N25847"/>
      <c r="O25847" s="24"/>
      <c r="P25847"/>
      <c r="Q25847" s="24"/>
      <c r="R25847"/>
      <c r="S25847"/>
      <c r="T25847"/>
      <c r="U25847"/>
      <c r="X25847" s="60"/>
    </row>
    <row r="25848" spans="7:24" ht="15" customHeight="1">
      <c r="G25848"/>
      <c r="I25848"/>
      <c r="N25848"/>
      <c r="O25848" s="24"/>
      <c r="P25848"/>
      <c r="Q25848" s="24"/>
      <c r="R25848"/>
      <c r="S25848"/>
      <c r="T25848"/>
      <c r="U25848"/>
      <c r="X25848" s="60"/>
    </row>
    <row r="25849" spans="7:24" ht="15" customHeight="1">
      <c r="G25849"/>
      <c r="I25849"/>
      <c r="N25849"/>
      <c r="O25849" s="24"/>
      <c r="P25849"/>
      <c r="Q25849" s="24"/>
      <c r="R25849"/>
      <c r="S25849"/>
      <c r="T25849"/>
      <c r="U25849"/>
      <c r="X25849" s="60"/>
    </row>
    <row r="25850" spans="7:24" ht="15" customHeight="1">
      <c r="G25850"/>
      <c r="I25850"/>
      <c r="N25850"/>
      <c r="O25850" s="24"/>
      <c r="P25850"/>
      <c r="Q25850" s="24"/>
      <c r="R25850"/>
      <c r="S25850"/>
      <c r="T25850"/>
      <c r="U25850"/>
      <c r="X25850" s="60"/>
    </row>
    <row r="25851" spans="7:24" ht="15" customHeight="1">
      <c r="G25851"/>
      <c r="I25851"/>
      <c r="N25851"/>
      <c r="O25851" s="24"/>
      <c r="P25851"/>
      <c r="Q25851" s="24"/>
      <c r="R25851"/>
      <c r="S25851"/>
      <c r="T25851"/>
      <c r="U25851"/>
      <c r="X25851" s="60"/>
    </row>
    <row r="25852" spans="7:24" ht="15" customHeight="1">
      <c r="G25852"/>
      <c r="I25852"/>
      <c r="N25852"/>
      <c r="O25852" s="24"/>
      <c r="P25852"/>
      <c r="Q25852" s="24"/>
      <c r="R25852"/>
      <c r="S25852"/>
      <c r="T25852"/>
      <c r="U25852"/>
      <c r="X25852" s="60"/>
    </row>
    <row r="25853" spans="7:24" ht="15" customHeight="1">
      <c r="G25853"/>
      <c r="I25853"/>
      <c r="N25853"/>
      <c r="O25853" s="24"/>
      <c r="P25853"/>
      <c r="Q25853" s="24"/>
      <c r="R25853"/>
      <c r="S25853"/>
      <c r="T25853"/>
      <c r="U25853"/>
      <c r="X25853" s="60"/>
    </row>
    <row r="25854" spans="7:24" ht="15" customHeight="1">
      <c r="G25854"/>
      <c r="I25854"/>
      <c r="N25854"/>
      <c r="O25854" s="24"/>
      <c r="P25854"/>
      <c r="Q25854" s="24"/>
      <c r="R25854"/>
      <c r="S25854"/>
      <c r="T25854"/>
      <c r="U25854"/>
      <c r="X25854" s="60"/>
    </row>
    <row r="25855" spans="7:24" ht="15" customHeight="1">
      <c r="G25855"/>
      <c r="I25855"/>
      <c r="N25855"/>
      <c r="O25855" s="24"/>
      <c r="P25855"/>
      <c r="Q25855" s="24"/>
      <c r="R25855"/>
      <c r="S25855"/>
      <c r="T25855"/>
      <c r="U25855"/>
      <c r="X25855" s="60"/>
    </row>
    <row r="25856" spans="7:24" ht="15" customHeight="1">
      <c r="G25856"/>
      <c r="I25856"/>
      <c r="N25856"/>
      <c r="O25856" s="24"/>
      <c r="P25856"/>
      <c r="Q25856" s="24"/>
      <c r="R25856"/>
      <c r="S25856"/>
      <c r="T25856"/>
      <c r="U25856"/>
      <c r="X25856" s="60"/>
    </row>
    <row r="25857" spans="7:24" ht="15" customHeight="1">
      <c r="G25857"/>
      <c r="I25857"/>
      <c r="N25857"/>
      <c r="O25857" s="24"/>
      <c r="P25857"/>
      <c r="Q25857" s="24"/>
      <c r="R25857"/>
      <c r="S25857"/>
      <c r="T25857"/>
      <c r="U25857"/>
      <c r="X25857" s="60"/>
    </row>
    <row r="25858" spans="7:24" ht="15" customHeight="1">
      <c r="G25858"/>
      <c r="I25858"/>
      <c r="N25858"/>
      <c r="O25858" s="24"/>
      <c r="P25858"/>
      <c r="Q25858" s="24"/>
      <c r="R25858"/>
      <c r="S25858"/>
      <c r="T25858"/>
      <c r="U25858"/>
      <c r="X25858" s="60"/>
    </row>
    <row r="25859" spans="7:24" ht="15" customHeight="1">
      <c r="G25859"/>
      <c r="I25859"/>
      <c r="N25859"/>
      <c r="O25859" s="24"/>
      <c r="P25859"/>
      <c r="Q25859" s="24"/>
      <c r="R25859"/>
      <c r="S25859"/>
      <c r="T25859"/>
      <c r="U25859"/>
      <c r="X25859" s="60"/>
    </row>
    <row r="25860" spans="7:24" ht="15" customHeight="1">
      <c r="G25860"/>
      <c r="I25860"/>
      <c r="N25860"/>
      <c r="O25860" s="24"/>
      <c r="P25860"/>
      <c r="Q25860" s="24"/>
      <c r="R25860"/>
      <c r="S25860"/>
      <c r="T25860"/>
      <c r="U25860"/>
      <c r="X25860" s="60"/>
    </row>
    <row r="25861" spans="7:24" ht="15" customHeight="1">
      <c r="G25861"/>
      <c r="I25861"/>
      <c r="N25861"/>
      <c r="O25861" s="24"/>
      <c r="P25861"/>
      <c r="Q25861" s="24"/>
      <c r="R25861"/>
      <c r="S25861"/>
      <c r="T25861"/>
      <c r="U25861"/>
      <c r="X25861" s="60"/>
    </row>
    <row r="25862" spans="7:24" ht="15" customHeight="1">
      <c r="G25862"/>
      <c r="I25862"/>
      <c r="N25862"/>
      <c r="O25862" s="24"/>
      <c r="P25862"/>
      <c r="Q25862" s="24"/>
      <c r="R25862"/>
      <c r="S25862"/>
      <c r="T25862"/>
      <c r="U25862"/>
      <c r="X25862" s="60"/>
    </row>
    <row r="25863" spans="7:24" ht="15" customHeight="1">
      <c r="G25863"/>
      <c r="I25863"/>
      <c r="N25863"/>
      <c r="O25863" s="24"/>
      <c r="P25863"/>
      <c r="Q25863" s="24"/>
      <c r="R25863"/>
      <c r="S25863"/>
      <c r="T25863"/>
      <c r="U25863"/>
      <c r="X25863" s="60"/>
    </row>
    <row r="25864" spans="7:24" ht="15" customHeight="1">
      <c r="G25864"/>
      <c r="I25864"/>
      <c r="N25864"/>
      <c r="O25864" s="24"/>
      <c r="P25864"/>
      <c r="Q25864" s="24"/>
      <c r="R25864"/>
      <c r="S25864"/>
      <c r="T25864"/>
      <c r="U25864"/>
      <c r="X25864" s="60"/>
    </row>
    <row r="25865" spans="7:24" ht="15" customHeight="1">
      <c r="G25865"/>
      <c r="I25865"/>
      <c r="N25865"/>
      <c r="O25865" s="24"/>
      <c r="P25865"/>
      <c r="Q25865" s="24"/>
      <c r="R25865"/>
      <c r="S25865"/>
      <c r="T25865"/>
      <c r="U25865"/>
      <c r="X25865" s="60"/>
    </row>
    <row r="25866" spans="7:24" ht="15" customHeight="1">
      <c r="G25866"/>
      <c r="I25866"/>
      <c r="N25866"/>
      <c r="O25866" s="24"/>
      <c r="P25866"/>
      <c r="Q25866" s="24"/>
      <c r="R25866"/>
      <c r="S25866"/>
      <c r="T25866"/>
      <c r="U25866"/>
      <c r="X25866" s="60"/>
    </row>
    <row r="25867" spans="7:24" ht="15" customHeight="1">
      <c r="G25867"/>
      <c r="I25867"/>
      <c r="N25867"/>
      <c r="O25867" s="24"/>
      <c r="P25867"/>
      <c r="Q25867" s="24"/>
      <c r="R25867"/>
      <c r="S25867"/>
      <c r="T25867"/>
      <c r="U25867"/>
      <c r="X25867" s="60"/>
    </row>
    <row r="25868" spans="7:24" ht="15" customHeight="1">
      <c r="G25868"/>
      <c r="I25868"/>
      <c r="N25868"/>
      <c r="O25868" s="24"/>
      <c r="P25868"/>
      <c r="Q25868" s="24"/>
      <c r="R25868"/>
      <c r="S25868"/>
      <c r="T25868"/>
      <c r="U25868"/>
      <c r="X25868" s="60"/>
    </row>
    <row r="25869" spans="7:24" ht="15" customHeight="1">
      <c r="G25869"/>
      <c r="I25869"/>
      <c r="N25869"/>
      <c r="O25869" s="24"/>
      <c r="P25869"/>
      <c r="Q25869" s="24"/>
      <c r="R25869"/>
      <c r="S25869"/>
      <c r="T25869"/>
      <c r="U25869"/>
      <c r="X25869" s="60"/>
    </row>
    <row r="25870" spans="7:24" ht="15" customHeight="1">
      <c r="G25870"/>
      <c r="I25870"/>
      <c r="N25870"/>
      <c r="O25870" s="24"/>
      <c r="P25870"/>
      <c r="Q25870" s="24"/>
      <c r="R25870"/>
      <c r="S25870"/>
      <c r="T25870"/>
      <c r="U25870"/>
      <c r="X25870" s="60"/>
    </row>
    <row r="25871" spans="7:24" ht="15" customHeight="1">
      <c r="G25871"/>
      <c r="I25871"/>
      <c r="N25871"/>
      <c r="O25871" s="24"/>
      <c r="P25871"/>
      <c r="Q25871" s="24"/>
      <c r="R25871"/>
      <c r="S25871"/>
      <c r="T25871"/>
      <c r="U25871"/>
      <c r="X25871" s="60"/>
    </row>
    <row r="25872" spans="7:24" ht="15" customHeight="1">
      <c r="G25872"/>
      <c r="I25872"/>
      <c r="N25872"/>
      <c r="O25872" s="24"/>
      <c r="P25872"/>
      <c r="Q25872" s="24"/>
      <c r="R25872"/>
      <c r="S25872"/>
      <c r="T25872"/>
      <c r="U25872"/>
      <c r="X25872" s="60"/>
    </row>
    <row r="25873" spans="7:24" ht="15" customHeight="1">
      <c r="G25873"/>
      <c r="I25873"/>
      <c r="N25873"/>
      <c r="O25873" s="24"/>
      <c r="P25873"/>
      <c r="Q25873" s="24"/>
      <c r="R25873"/>
      <c r="S25873"/>
      <c r="T25873"/>
      <c r="U25873"/>
      <c r="X25873" s="60"/>
    </row>
    <row r="25874" spans="7:24" ht="15" customHeight="1">
      <c r="G25874"/>
      <c r="I25874"/>
      <c r="N25874"/>
      <c r="O25874" s="24"/>
      <c r="P25874"/>
      <c r="Q25874" s="24"/>
      <c r="R25874"/>
      <c r="S25874"/>
      <c r="T25874"/>
      <c r="U25874"/>
      <c r="X25874" s="60"/>
    </row>
    <row r="25875" spans="7:24" ht="15" customHeight="1">
      <c r="G25875"/>
      <c r="I25875"/>
      <c r="N25875"/>
      <c r="O25875" s="24"/>
      <c r="P25875"/>
      <c r="Q25875" s="24"/>
      <c r="R25875"/>
      <c r="S25875"/>
      <c r="T25875"/>
      <c r="U25875"/>
      <c r="X25875" s="60"/>
    </row>
    <row r="25876" spans="7:24" ht="15" customHeight="1">
      <c r="G25876"/>
      <c r="I25876"/>
      <c r="N25876"/>
      <c r="O25876" s="24"/>
      <c r="P25876"/>
      <c r="Q25876" s="24"/>
      <c r="R25876"/>
      <c r="S25876"/>
      <c r="T25876"/>
      <c r="U25876"/>
      <c r="X25876" s="60"/>
    </row>
    <row r="25877" spans="7:24" ht="15" customHeight="1">
      <c r="G25877"/>
      <c r="I25877"/>
      <c r="N25877"/>
      <c r="O25877" s="24"/>
      <c r="P25877"/>
      <c r="Q25877" s="24"/>
      <c r="R25877"/>
      <c r="S25877"/>
      <c r="T25877"/>
      <c r="U25877"/>
      <c r="X25877" s="60"/>
    </row>
    <row r="25878" spans="7:24" ht="15" customHeight="1">
      <c r="G25878"/>
      <c r="I25878"/>
      <c r="N25878"/>
      <c r="O25878" s="24"/>
      <c r="P25878"/>
      <c r="Q25878" s="24"/>
      <c r="R25878"/>
      <c r="S25878"/>
      <c r="T25878"/>
      <c r="U25878"/>
      <c r="X25878" s="60"/>
    </row>
    <row r="25879" spans="7:24" ht="15" customHeight="1">
      <c r="G25879"/>
      <c r="I25879"/>
      <c r="N25879"/>
      <c r="O25879" s="24"/>
      <c r="P25879"/>
      <c r="Q25879" s="24"/>
      <c r="R25879"/>
      <c r="S25879"/>
      <c r="T25879"/>
      <c r="U25879"/>
      <c r="X25879" s="60"/>
    </row>
    <row r="25880" spans="7:24" ht="15" customHeight="1">
      <c r="G25880"/>
      <c r="I25880"/>
      <c r="N25880"/>
      <c r="O25880" s="24"/>
      <c r="P25880"/>
      <c r="Q25880" s="24"/>
      <c r="R25880"/>
      <c r="S25880"/>
      <c r="T25880"/>
      <c r="U25880"/>
      <c r="X25880" s="60"/>
    </row>
    <row r="25881" spans="7:24" ht="15" customHeight="1">
      <c r="G25881"/>
      <c r="I25881"/>
      <c r="N25881"/>
      <c r="O25881" s="24"/>
      <c r="P25881"/>
      <c r="Q25881" s="24"/>
      <c r="R25881"/>
      <c r="S25881"/>
      <c r="T25881"/>
      <c r="U25881"/>
      <c r="X25881" s="60"/>
    </row>
    <row r="25882" spans="7:24" ht="15" customHeight="1">
      <c r="G25882"/>
      <c r="I25882"/>
      <c r="N25882"/>
      <c r="O25882" s="24"/>
      <c r="P25882"/>
      <c r="Q25882" s="24"/>
      <c r="R25882"/>
      <c r="S25882"/>
      <c r="T25882"/>
      <c r="U25882"/>
      <c r="X25882" s="60"/>
    </row>
    <row r="25883" spans="7:24" ht="15" customHeight="1">
      <c r="G25883"/>
      <c r="I25883"/>
      <c r="N25883"/>
      <c r="O25883" s="24"/>
      <c r="P25883"/>
      <c r="Q25883" s="24"/>
      <c r="R25883"/>
      <c r="S25883"/>
      <c r="T25883"/>
      <c r="U25883"/>
      <c r="X25883" s="60"/>
    </row>
    <row r="25884" spans="7:24" ht="15" customHeight="1">
      <c r="G25884"/>
      <c r="I25884"/>
      <c r="N25884"/>
      <c r="O25884" s="24"/>
      <c r="P25884"/>
      <c r="Q25884" s="24"/>
      <c r="R25884"/>
      <c r="S25884"/>
      <c r="T25884"/>
      <c r="U25884"/>
      <c r="X25884" s="60"/>
    </row>
    <row r="25885" spans="7:24" ht="15" customHeight="1">
      <c r="G25885"/>
      <c r="I25885"/>
      <c r="N25885"/>
      <c r="O25885" s="24"/>
      <c r="P25885"/>
      <c r="Q25885" s="24"/>
      <c r="R25885"/>
      <c r="S25885"/>
      <c r="T25885"/>
      <c r="U25885"/>
      <c r="X25885" s="60"/>
    </row>
    <row r="25886" spans="7:24" ht="15" customHeight="1">
      <c r="G25886"/>
      <c r="I25886"/>
      <c r="N25886"/>
      <c r="O25886" s="24"/>
      <c r="P25886"/>
      <c r="Q25886" s="24"/>
      <c r="R25886"/>
      <c r="S25886"/>
      <c r="T25886"/>
      <c r="U25886"/>
      <c r="X25886" s="60"/>
    </row>
    <row r="25887" spans="7:24" ht="15" customHeight="1">
      <c r="G25887"/>
      <c r="I25887"/>
      <c r="N25887"/>
      <c r="O25887" s="24"/>
      <c r="P25887"/>
      <c r="Q25887" s="24"/>
      <c r="R25887"/>
      <c r="S25887"/>
      <c r="T25887"/>
      <c r="U25887"/>
      <c r="X25887" s="60"/>
    </row>
    <row r="25888" spans="7:24" ht="15" customHeight="1">
      <c r="G25888"/>
      <c r="I25888"/>
      <c r="N25888"/>
      <c r="O25888" s="24"/>
      <c r="P25888"/>
      <c r="Q25888" s="24"/>
      <c r="R25888"/>
      <c r="S25888"/>
      <c r="T25888"/>
      <c r="U25888"/>
      <c r="X25888" s="60"/>
    </row>
    <row r="25889" spans="7:24" ht="15" customHeight="1">
      <c r="G25889"/>
      <c r="I25889"/>
      <c r="N25889"/>
      <c r="O25889" s="24"/>
      <c r="P25889"/>
      <c r="Q25889" s="24"/>
      <c r="R25889"/>
      <c r="S25889"/>
      <c r="T25889"/>
      <c r="U25889"/>
      <c r="X25889" s="60"/>
    </row>
    <row r="25890" spans="7:24" ht="15" customHeight="1">
      <c r="G25890"/>
      <c r="I25890"/>
      <c r="N25890"/>
      <c r="O25890" s="24"/>
      <c r="P25890"/>
      <c r="Q25890" s="24"/>
      <c r="R25890"/>
      <c r="S25890"/>
      <c r="T25890"/>
      <c r="U25890"/>
      <c r="X25890" s="60"/>
    </row>
    <row r="25891" spans="7:24" ht="15" customHeight="1">
      <c r="G25891"/>
      <c r="I25891"/>
      <c r="N25891"/>
      <c r="O25891" s="24"/>
      <c r="P25891"/>
      <c r="Q25891" s="24"/>
      <c r="R25891"/>
      <c r="S25891"/>
      <c r="T25891"/>
      <c r="U25891"/>
      <c r="X25891" s="60"/>
    </row>
    <row r="25892" spans="7:24" ht="15" customHeight="1">
      <c r="G25892"/>
      <c r="I25892"/>
      <c r="N25892"/>
      <c r="O25892" s="24"/>
      <c r="P25892"/>
      <c r="Q25892" s="24"/>
      <c r="R25892"/>
      <c r="S25892"/>
      <c r="T25892"/>
      <c r="U25892"/>
      <c r="X25892" s="60"/>
    </row>
    <row r="25893" spans="7:24" ht="15" customHeight="1">
      <c r="G25893"/>
      <c r="I25893"/>
      <c r="N25893"/>
      <c r="O25893" s="24"/>
      <c r="P25893"/>
      <c r="Q25893" s="24"/>
      <c r="R25893"/>
      <c r="S25893"/>
      <c r="T25893"/>
      <c r="U25893"/>
      <c r="X25893" s="60"/>
    </row>
    <row r="25894" spans="7:24" ht="15" customHeight="1">
      <c r="G25894"/>
      <c r="I25894"/>
      <c r="N25894"/>
      <c r="O25894" s="24"/>
      <c r="P25894"/>
      <c r="Q25894" s="24"/>
      <c r="R25894"/>
      <c r="S25894"/>
      <c r="T25894"/>
      <c r="U25894"/>
      <c r="X25894" s="60"/>
    </row>
    <row r="25895" spans="7:24" ht="15" customHeight="1">
      <c r="G25895"/>
      <c r="I25895"/>
      <c r="N25895"/>
      <c r="O25895" s="24"/>
      <c r="P25895"/>
      <c r="Q25895" s="24"/>
      <c r="R25895"/>
      <c r="S25895"/>
      <c r="T25895"/>
      <c r="U25895"/>
      <c r="X25895" s="60"/>
    </row>
    <row r="25896" spans="7:24" ht="15" customHeight="1">
      <c r="G25896"/>
      <c r="I25896"/>
      <c r="N25896"/>
      <c r="O25896" s="24"/>
      <c r="P25896"/>
      <c r="Q25896" s="24"/>
      <c r="R25896"/>
      <c r="S25896"/>
      <c r="T25896"/>
      <c r="U25896"/>
      <c r="X25896" s="60"/>
    </row>
    <row r="25897" spans="7:24" ht="15" customHeight="1">
      <c r="G25897"/>
      <c r="I25897"/>
      <c r="N25897"/>
      <c r="O25897" s="24"/>
      <c r="P25897"/>
      <c r="Q25897" s="24"/>
      <c r="R25897"/>
      <c r="S25897"/>
      <c r="T25897"/>
      <c r="U25897"/>
      <c r="X25897" s="60"/>
    </row>
    <row r="25898" spans="7:24" ht="15" customHeight="1">
      <c r="G25898"/>
      <c r="I25898"/>
      <c r="N25898"/>
      <c r="O25898" s="24"/>
      <c r="P25898"/>
      <c r="Q25898" s="24"/>
      <c r="R25898"/>
      <c r="S25898"/>
      <c r="T25898"/>
      <c r="U25898"/>
      <c r="X25898" s="60"/>
    </row>
    <row r="25899" spans="7:24" ht="15" customHeight="1">
      <c r="G25899"/>
      <c r="I25899"/>
      <c r="N25899"/>
      <c r="O25899" s="24"/>
      <c r="P25899"/>
      <c r="Q25899" s="24"/>
      <c r="R25899"/>
      <c r="S25899"/>
      <c r="T25899"/>
      <c r="U25899"/>
      <c r="X25899" s="60"/>
    </row>
    <row r="25900" spans="7:24" ht="15" customHeight="1">
      <c r="G25900"/>
      <c r="I25900"/>
      <c r="N25900"/>
      <c r="O25900" s="24"/>
      <c r="P25900"/>
      <c r="Q25900" s="24"/>
      <c r="R25900"/>
      <c r="S25900"/>
      <c r="T25900"/>
      <c r="U25900"/>
      <c r="X25900" s="60"/>
    </row>
    <row r="25901" spans="7:24" ht="15" customHeight="1">
      <c r="G25901"/>
      <c r="I25901"/>
      <c r="N25901"/>
      <c r="O25901" s="24"/>
      <c r="P25901"/>
      <c r="Q25901" s="24"/>
      <c r="R25901"/>
      <c r="S25901"/>
      <c r="T25901"/>
      <c r="U25901"/>
      <c r="X25901" s="60"/>
    </row>
    <row r="25902" spans="7:24" ht="15" customHeight="1">
      <c r="G25902"/>
      <c r="I25902"/>
      <c r="N25902"/>
      <c r="O25902" s="24"/>
      <c r="P25902"/>
      <c r="Q25902" s="24"/>
      <c r="R25902"/>
      <c r="S25902"/>
      <c r="T25902"/>
      <c r="U25902"/>
      <c r="X25902" s="60"/>
    </row>
    <row r="25903" spans="7:24" ht="15" customHeight="1">
      <c r="G25903"/>
      <c r="I25903"/>
      <c r="N25903"/>
      <c r="O25903" s="24"/>
      <c r="P25903"/>
      <c r="Q25903" s="24"/>
      <c r="R25903"/>
      <c r="S25903"/>
      <c r="T25903"/>
      <c r="U25903"/>
      <c r="X25903" s="60"/>
    </row>
    <row r="25904" spans="7:24" ht="15" customHeight="1">
      <c r="G25904"/>
      <c r="I25904"/>
      <c r="N25904"/>
      <c r="O25904" s="24"/>
      <c r="P25904"/>
      <c r="Q25904" s="24"/>
      <c r="R25904"/>
      <c r="S25904"/>
      <c r="T25904"/>
      <c r="U25904"/>
      <c r="X25904" s="60"/>
    </row>
    <row r="25905" spans="7:24" ht="15" customHeight="1">
      <c r="G25905"/>
      <c r="I25905"/>
      <c r="N25905"/>
      <c r="O25905" s="24"/>
      <c r="P25905"/>
      <c r="Q25905" s="24"/>
      <c r="R25905"/>
      <c r="S25905"/>
      <c r="T25905"/>
      <c r="U25905"/>
      <c r="X25905" s="60"/>
    </row>
    <row r="25906" spans="7:24" ht="15" customHeight="1">
      <c r="G25906"/>
      <c r="I25906"/>
      <c r="N25906"/>
      <c r="O25906" s="24"/>
      <c r="P25906"/>
      <c r="Q25906" s="24"/>
      <c r="R25906"/>
      <c r="S25906"/>
      <c r="T25906"/>
      <c r="U25906"/>
      <c r="X25906" s="60"/>
    </row>
    <row r="25907" spans="7:24" ht="15" customHeight="1">
      <c r="G25907"/>
      <c r="I25907"/>
      <c r="N25907"/>
      <c r="O25907" s="24"/>
      <c r="P25907"/>
      <c r="Q25907" s="24"/>
      <c r="R25907"/>
      <c r="S25907"/>
      <c r="T25907"/>
      <c r="U25907"/>
      <c r="X25907" s="60"/>
    </row>
    <row r="25908" spans="7:24" ht="15" customHeight="1">
      <c r="G25908"/>
      <c r="I25908"/>
      <c r="N25908"/>
      <c r="O25908" s="24"/>
      <c r="P25908"/>
      <c r="Q25908" s="24"/>
      <c r="R25908"/>
      <c r="S25908"/>
      <c r="T25908"/>
      <c r="U25908"/>
      <c r="X25908" s="60"/>
    </row>
    <row r="25909" spans="7:24" ht="15" customHeight="1">
      <c r="G25909"/>
      <c r="I25909"/>
      <c r="N25909"/>
      <c r="O25909" s="24"/>
      <c r="P25909"/>
      <c r="Q25909" s="24"/>
      <c r="R25909"/>
      <c r="S25909"/>
      <c r="T25909"/>
      <c r="U25909"/>
      <c r="X25909" s="60"/>
    </row>
    <row r="25910" spans="7:24" ht="15" customHeight="1">
      <c r="G25910"/>
      <c r="I25910"/>
      <c r="N25910"/>
      <c r="O25910" s="24"/>
      <c r="P25910"/>
      <c r="Q25910" s="24"/>
      <c r="R25910"/>
      <c r="S25910"/>
      <c r="T25910"/>
      <c r="U25910"/>
      <c r="X25910" s="60"/>
    </row>
    <row r="25911" spans="7:24" ht="15" customHeight="1">
      <c r="G25911"/>
      <c r="I25911"/>
      <c r="N25911"/>
      <c r="O25911" s="24"/>
      <c r="P25911"/>
      <c r="Q25911" s="24"/>
      <c r="R25911"/>
      <c r="S25911"/>
      <c r="T25911"/>
      <c r="U25911"/>
      <c r="X25911" s="60"/>
    </row>
    <row r="25912" spans="7:24" ht="15" customHeight="1">
      <c r="G25912"/>
      <c r="I25912"/>
      <c r="N25912"/>
      <c r="O25912" s="24"/>
      <c r="P25912"/>
      <c r="Q25912" s="24"/>
      <c r="R25912"/>
      <c r="S25912"/>
      <c r="T25912"/>
      <c r="U25912"/>
      <c r="X25912" s="60"/>
    </row>
    <row r="25913" spans="7:24" ht="15" customHeight="1">
      <c r="G25913"/>
      <c r="I25913"/>
      <c r="N25913"/>
      <c r="O25913" s="24"/>
      <c r="P25913"/>
      <c r="Q25913" s="24"/>
      <c r="R25913"/>
      <c r="S25913"/>
      <c r="T25913"/>
      <c r="U25913"/>
      <c r="X25913" s="60"/>
    </row>
    <row r="25914" spans="7:24" ht="15" customHeight="1">
      <c r="G25914"/>
      <c r="I25914"/>
      <c r="N25914"/>
      <c r="O25914" s="24"/>
      <c r="P25914"/>
      <c r="Q25914" s="24"/>
      <c r="R25914"/>
      <c r="S25914"/>
      <c r="T25914"/>
      <c r="U25914"/>
      <c r="X25914" s="60"/>
    </row>
    <row r="25915" spans="7:24" ht="15" customHeight="1">
      <c r="G25915"/>
      <c r="I25915"/>
      <c r="N25915"/>
      <c r="O25915" s="24"/>
      <c r="P25915"/>
      <c r="Q25915" s="24"/>
      <c r="R25915"/>
      <c r="S25915"/>
      <c r="T25915"/>
      <c r="U25915"/>
      <c r="X25915" s="60"/>
    </row>
    <row r="25916" spans="7:24" ht="15" customHeight="1">
      <c r="G25916"/>
      <c r="I25916"/>
      <c r="N25916"/>
      <c r="O25916" s="24"/>
      <c r="P25916"/>
      <c r="Q25916" s="24"/>
      <c r="R25916"/>
      <c r="S25916"/>
      <c r="T25916"/>
      <c r="U25916"/>
      <c r="X25916" s="60"/>
    </row>
    <row r="25917" spans="7:24" ht="15" customHeight="1">
      <c r="G25917"/>
      <c r="I25917"/>
      <c r="N25917"/>
      <c r="O25917" s="24"/>
      <c r="P25917"/>
      <c r="Q25917" s="24"/>
      <c r="R25917"/>
      <c r="S25917"/>
      <c r="T25917"/>
      <c r="U25917"/>
      <c r="X25917" s="60"/>
    </row>
    <row r="25918" spans="7:24" ht="15" customHeight="1">
      <c r="G25918"/>
      <c r="I25918"/>
      <c r="N25918"/>
      <c r="O25918" s="24"/>
      <c r="P25918"/>
      <c r="Q25918" s="24"/>
      <c r="R25918"/>
      <c r="S25918"/>
      <c r="T25918"/>
      <c r="U25918"/>
      <c r="X25918" s="60"/>
    </row>
    <row r="25919" spans="7:24" ht="15" customHeight="1">
      <c r="G25919"/>
      <c r="I25919"/>
      <c r="N25919"/>
      <c r="O25919" s="24"/>
      <c r="P25919"/>
      <c r="Q25919" s="24"/>
      <c r="R25919"/>
      <c r="S25919"/>
      <c r="T25919"/>
      <c r="U25919"/>
      <c r="X25919" s="60"/>
    </row>
    <row r="25920" spans="7:24" ht="15" customHeight="1">
      <c r="G25920"/>
      <c r="I25920"/>
      <c r="N25920"/>
      <c r="O25920" s="24"/>
      <c r="P25920"/>
      <c r="Q25920" s="24"/>
      <c r="R25920"/>
      <c r="S25920"/>
      <c r="T25920"/>
      <c r="U25920"/>
      <c r="X25920" s="60"/>
    </row>
    <row r="25921" spans="7:24" ht="15" customHeight="1">
      <c r="G25921"/>
      <c r="I25921"/>
      <c r="N25921"/>
      <c r="O25921" s="24"/>
      <c r="P25921"/>
      <c r="Q25921" s="24"/>
      <c r="R25921"/>
      <c r="S25921"/>
      <c r="T25921"/>
      <c r="U25921"/>
      <c r="X25921" s="60"/>
    </row>
    <row r="25922" spans="7:24" ht="15" customHeight="1">
      <c r="G25922"/>
      <c r="I25922"/>
      <c r="N25922"/>
      <c r="O25922" s="24"/>
      <c r="P25922"/>
      <c r="Q25922" s="24"/>
      <c r="R25922"/>
      <c r="S25922"/>
      <c r="T25922"/>
      <c r="U25922"/>
      <c r="X25922" s="60"/>
    </row>
    <row r="25923" spans="7:24" ht="15" customHeight="1">
      <c r="G25923"/>
      <c r="I25923"/>
      <c r="N25923"/>
      <c r="O25923" s="24"/>
      <c r="P25923"/>
      <c r="Q25923" s="24"/>
      <c r="R25923"/>
      <c r="S25923"/>
      <c r="T25923"/>
      <c r="U25923"/>
      <c r="X25923" s="60"/>
    </row>
    <row r="25924" spans="7:24" ht="15" customHeight="1">
      <c r="G25924"/>
      <c r="I25924"/>
      <c r="N25924"/>
      <c r="O25924" s="24"/>
      <c r="P25924"/>
      <c r="Q25924" s="24"/>
      <c r="R25924"/>
      <c r="S25924"/>
      <c r="T25924"/>
      <c r="U25924"/>
      <c r="X25924" s="60"/>
    </row>
    <row r="25925" spans="7:24" ht="15" customHeight="1">
      <c r="G25925"/>
      <c r="I25925"/>
      <c r="N25925"/>
      <c r="O25925" s="24"/>
      <c r="P25925"/>
      <c r="Q25925" s="24"/>
      <c r="R25925"/>
      <c r="S25925"/>
      <c r="T25925"/>
      <c r="U25925"/>
      <c r="X25925" s="60"/>
    </row>
    <row r="25926" spans="7:24" ht="15" customHeight="1">
      <c r="G25926"/>
      <c r="I25926"/>
      <c r="N25926"/>
      <c r="O25926" s="24"/>
      <c r="P25926"/>
      <c r="Q25926" s="24"/>
      <c r="R25926"/>
      <c r="S25926"/>
      <c r="T25926"/>
      <c r="U25926"/>
      <c r="X25926" s="60"/>
    </row>
    <row r="25927" spans="7:24" ht="15" customHeight="1">
      <c r="G25927"/>
      <c r="I25927"/>
      <c r="N25927"/>
      <c r="O25927" s="24"/>
      <c r="P25927"/>
      <c r="Q25927" s="24"/>
      <c r="R25927"/>
      <c r="S25927"/>
      <c r="T25927"/>
      <c r="U25927"/>
      <c r="X25927" s="60"/>
    </row>
    <row r="25928" spans="7:24" ht="15" customHeight="1">
      <c r="G25928"/>
      <c r="I25928"/>
      <c r="N25928"/>
      <c r="O25928" s="24"/>
      <c r="P25928"/>
      <c r="Q25928" s="24"/>
      <c r="R25928"/>
      <c r="S25928"/>
      <c r="T25928"/>
      <c r="U25928"/>
      <c r="X25928" s="60"/>
    </row>
    <row r="25929" spans="7:24" ht="15" customHeight="1">
      <c r="G25929"/>
      <c r="I25929"/>
      <c r="N25929"/>
      <c r="O25929" s="24"/>
      <c r="P25929"/>
      <c r="Q25929" s="24"/>
      <c r="R25929"/>
      <c r="S25929"/>
      <c r="T25929"/>
      <c r="U25929"/>
      <c r="X25929" s="60"/>
    </row>
    <row r="25930" spans="7:24" ht="15" customHeight="1">
      <c r="G25930"/>
      <c r="I25930"/>
      <c r="N25930"/>
      <c r="O25930" s="24"/>
      <c r="P25930"/>
      <c r="Q25930" s="24"/>
      <c r="R25930"/>
      <c r="S25930"/>
      <c r="T25930"/>
      <c r="U25930"/>
      <c r="X25930" s="60"/>
    </row>
    <row r="25931" spans="7:24" ht="15" customHeight="1">
      <c r="G25931"/>
      <c r="I25931"/>
      <c r="N25931"/>
      <c r="O25931" s="24"/>
      <c r="P25931"/>
      <c r="Q25931" s="24"/>
      <c r="R25931"/>
      <c r="S25931"/>
      <c r="T25931"/>
      <c r="U25931"/>
      <c r="X25931" s="60"/>
    </row>
    <row r="25932" spans="7:24" ht="15" customHeight="1">
      <c r="G25932"/>
      <c r="I25932"/>
      <c r="N25932"/>
      <c r="O25932" s="24"/>
      <c r="P25932"/>
      <c r="Q25932" s="24"/>
      <c r="R25932"/>
      <c r="S25932"/>
      <c r="T25932"/>
      <c r="U25932"/>
      <c r="X25932" s="60"/>
    </row>
    <row r="25933" spans="7:24" ht="15" customHeight="1">
      <c r="G25933"/>
      <c r="I25933"/>
      <c r="N25933"/>
      <c r="O25933" s="24"/>
      <c r="P25933"/>
      <c r="Q25933" s="24"/>
      <c r="R25933"/>
      <c r="S25933"/>
      <c r="T25933"/>
      <c r="U25933"/>
      <c r="X25933" s="60"/>
    </row>
    <row r="25934" spans="7:24" ht="15" customHeight="1">
      <c r="G25934"/>
      <c r="I25934"/>
      <c r="N25934"/>
      <c r="O25934" s="24"/>
      <c r="P25934"/>
      <c r="Q25934" s="24"/>
      <c r="R25934"/>
      <c r="S25934"/>
      <c r="T25934"/>
      <c r="U25934"/>
      <c r="X25934" s="60"/>
    </row>
    <row r="25935" spans="7:24" ht="15" customHeight="1">
      <c r="G25935"/>
      <c r="I25935"/>
      <c r="N25935"/>
      <c r="O25935" s="24"/>
      <c r="P25935"/>
      <c r="Q25935" s="24"/>
      <c r="R25935"/>
      <c r="S25935"/>
      <c r="T25935"/>
      <c r="U25935"/>
      <c r="X25935" s="60"/>
    </row>
    <row r="25936" spans="7:24" ht="15" customHeight="1">
      <c r="G25936"/>
      <c r="I25936"/>
      <c r="N25936"/>
      <c r="O25936" s="24"/>
      <c r="P25936"/>
      <c r="Q25936" s="24"/>
      <c r="R25936"/>
      <c r="S25936"/>
      <c r="T25936"/>
      <c r="U25936"/>
      <c r="X25936" s="60"/>
    </row>
    <row r="25937" spans="7:24" ht="15" customHeight="1">
      <c r="G25937"/>
      <c r="I25937"/>
      <c r="N25937"/>
      <c r="O25937" s="24"/>
      <c r="P25937"/>
      <c r="Q25937" s="24"/>
      <c r="R25937"/>
      <c r="S25937"/>
      <c r="T25937"/>
      <c r="U25937"/>
      <c r="X25937" s="60"/>
    </row>
    <row r="25938" spans="7:24" ht="15" customHeight="1">
      <c r="G25938"/>
      <c r="I25938"/>
      <c r="N25938"/>
      <c r="O25938" s="24"/>
      <c r="P25938"/>
      <c r="Q25938" s="24"/>
      <c r="R25938"/>
      <c r="S25938"/>
      <c r="T25938"/>
      <c r="U25938"/>
      <c r="X25938" s="60"/>
    </row>
    <row r="25939" spans="7:24" ht="15" customHeight="1">
      <c r="G25939"/>
      <c r="I25939"/>
      <c r="N25939"/>
      <c r="O25939" s="24"/>
      <c r="P25939"/>
      <c r="Q25939" s="24"/>
      <c r="R25939"/>
      <c r="S25939"/>
      <c r="T25939"/>
      <c r="U25939"/>
      <c r="X25939" s="60"/>
    </row>
    <row r="25940" spans="7:24" ht="15" customHeight="1">
      <c r="G25940"/>
      <c r="I25940"/>
      <c r="N25940"/>
      <c r="O25940" s="24"/>
      <c r="P25940"/>
      <c r="Q25940" s="24"/>
      <c r="R25940"/>
      <c r="S25940"/>
      <c r="T25940"/>
      <c r="U25940"/>
      <c r="X25940" s="60"/>
    </row>
    <row r="25941" spans="7:24" ht="15" customHeight="1">
      <c r="G25941"/>
      <c r="I25941"/>
      <c r="N25941"/>
      <c r="O25941" s="24"/>
      <c r="P25941"/>
      <c r="Q25941" s="24"/>
      <c r="R25941"/>
      <c r="S25941"/>
      <c r="T25941"/>
      <c r="U25941"/>
      <c r="X25941" s="60"/>
    </row>
    <row r="25942" spans="7:24" ht="15" customHeight="1">
      <c r="G25942"/>
      <c r="I25942"/>
      <c r="N25942"/>
      <c r="O25942" s="24"/>
      <c r="P25942"/>
      <c r="Q25942" s="24"/>
      <c r="R25942"/>
      <c r="S25942"/>
      <c r="T25942"/>
      <c r="U25942"/>
      <c r="X25942" s="60"/>
    </row>
    <row r="25943" spans="7:24" ht="15" customHeight="1">
      <c r="G25943"/>
      <c r="I25943"/>
      <c r="N25943"/>
      <c r="O25943" s="24"/>
      <c r="P25943"/>
      <c r="Q25943" s="24"/>
      <c r="R25943"/>
      <c r="S25943"/>
      <c r="T25943"/>
      <c r="U25943"/>
      <c r="X25943" s="60"/>
    </row>
    <row r="25944" spans="7:24" ht="15" customHeight="1">
      <c r="G25944"/>
      <c r="I25944"/>
      <c r="N25944"/>
      <c r="O25944" s="24"/>
      <c r="P25944"/>
      <c r="Q25944" s="24"/>
      <c r="R25944"/>
      <c r="S25944"/>
      <c r="T25944"/>
      <c r="U25944"/>
      <c r="X25944" s="60"/>
    </row>
    <row r="25945" spans="7:24" ht="15" customHeight="1">
      <c r="G25945"/>
      <c r="I25945"/>
      <c r="N25945"/>
      <c r="O25945" s="24"/>
      <c r="P25945"/>
      <c r="Q25945" s="24"/>
      <c r="R25945"/>
      <c r="S25945"/>
      <c r="T25945"/>
      <c r="U25945"/>
      <c r="X25945" s="60"/>
    </row>
    <row r="25946" spans="7:24" ht="15" customHeight="1">
      <c r="G25946"/>
      <c r="I25946"/>
      <c r="N25946"/>
      <c r="O25946" s="24"/>
      <c r="P25946"/>
      <c r="Q25946" s="24"/>
      <c r="R25946"/>
      <c r="S25946"/>
      <c r="T25946"/>
      <c r="U25946"/>
      <c r="X25946" s="60"/>
    </row>
    <row r="25947" spans="7:24" ht="15" customHeight="1">
      <c r="G25947"/>
      <c r="I25947"/>
      <c r="N25947"/>
      <c r="O25947" s="24"/>
      <c r="P25947"/>
      <c r="Q25947" s="24"/>
      <c r="R25947"/>
      <c r="S25947"/>
      <c r="T25947"/>
      <c r="U25947"/>
      <c r="X25947" s="60"/>
    </row>
    <row r="25948" spans="7:24" ht="15" customHeight="1">
      <c r="G25948"/>
      <c r="I25948"/>
      <c r="N25948"/>
      <c r="O25948" s="24"/>
      <c r="P25948"/>
      <c r="Q25948" s="24"/>
      <c r="R25948"/>
      <c r="S25948"/>
      <c r="T25948"/>
      <c r="U25948"/>
      <c r="X25948" s="60"/>
    </row>
    <row r="25949" spans="7:24" ht="15" customHeight="1">
      <c r="G25949"/>
      <c r="I25949"/>
      <c r="N25949"/>
      <c r="O25949" s="24"/>
      <c r="P25949"/>
      <c r="Q25949" s="24"/>
      <c r="R25949"/>
      <c r="S25949"/>
      <c r="T25949"/>
      <c r="U25949"/>
      <c r="X25949" s="60"/>
    </row>
    <row r="25950" spans="7:24" ht="15" customHeight="1">
      <c r="G25950"/>
      <c r="I25950"/>
      <c r="N25950"/>
      <c r="O25950" s="24"/>
      <c r="P25950"/>
      <c r="Q25950" s="24"/>
      <c r="R25950"/>
      <c r="S25950"/>
      <c r="T25950"/>
      <c r="U25950"/>
      <c r="X25950" s="60"/>
    </row>
    <row r="25951" spans="7:24" ht="15" customHeight="1">
      <c r="G25951"/>
      <c r="I25951"/>
      <c r="N25951"/>
      <c r="O25951" s="24"/>
      <c r="P25951"/>
      <c r="Q25951" s="24"/>
      <c r="R25951"/>
      <c r="S25951"/>
      <c r="T25951"/>
      <c r="U25951"/>
      <c r="X25951" s="60"/>
    </row>
    <row r="25952" spans="7:24" ht="15" customHeight="1">
      <c r="G25952"/>
      <c r="I25952"/>
      <c r="N25952"/>
      <c r="O25952" s="24"/>
      <c r="P25952"/>
      <c r="Q25952" s="24"/>
      <c r="R25952"/>
      <c r="S25952"/>
      <c r="T25952"/>
      <c r="U25952"/>
      <c r="X25952" s="60"/>
    </row>
    <row r="25953" spans="7:24" ht="15" customHeight="1">
      <c r="G25953"/>
      <c r="I25953"/>
      <c r="N25953"/>
      <c r="O25953" s="24"/>
      <c r="P25953"/>
      <c r="Q25953" s="24"/>
      <c r="R25953"/>
      <c r="S25953"/>
      <c r="T25953"/>
      <c r="U25953"/>
      <c r="X25953" s="60"/>
    </row>
    <row r="25954" spans="7:24" ht="15" customHeight="1">
      <c r="G25954"/>
      <c r="I25954"/>
      <c r="N25954"/>
      <c r="O25954" s="24"/>
      <c r="P25954"/>
      <c r="Q25954" s="24"/>
      <c r="R25954"/>
      <c r="S25954"/>
      <c r="T25954"/>
      <c r="U25954"/>
      <c r="X25954" s="60"/>
    </row>
    <row r="25955" spans="7:24" ht="15" customHeight="1">
      <c r="G25955"/>
      <c r="I25955"/>
      <c r="N25955"/>
      <c r="O25955" s="24"/>
      <c r="P25955"/>
      <c r="Q25955" s="24"/>
      <c r="R25955"/>
      <c r="S25955"/>
      <c r="T25955"/>
      <c r="U25955"/>
      <c r="X25955" s="60"/>
    </row>
    <row r="25956" spans="7:24" ht="15" customHeight="1">
      <c r="G25956"/>
      <c r="I25956"/>
      <c r="N25956"/>
      <c r="O25956" s="24"/>
      <c r="P25956"/>
      <c r="Q25956" s="24"/>
      <c r="R25956"/>
      <c r="S25956"/>
      <c r="T25956"/>
      <c r="U25956"/>
      <c r="X25956" s="60"/>
    </row>
    <row r="25957" spans="7:24" ht="15" customHeight="1">
      <c r="G25957"/>
      <c r="I25957"/>
      <c r="N25957"/>
      <c r="O25957" s="24"/>
      <c r="P25957"/>
      <c r="Q25957" s="24"/>
      <c r="R25957"/>
      <c r="S25957"/>
      <c r="T25957"/>
      <c r="U25957"/>
      <c r="X25957" s="60"/>
    </row>
    <row r="25958" spans="7:24" ht="15" customHeight="1">
      <c r="G25958"/>
      <c r="I25958"/>
      <c r="N25958"/>
      <c r="O25958" s="24"/>
      <c r="P25958"/>
      <c r="Q25958" s="24"/>
      <c r="R25958"/>
      <c r="S25958"/>
      <c r="T25958"/>
      <c r="U25958"/>
      <c r="X25958" s="60"/>
    </row>
    <row r="25959" spans="7:24" ht="15" customHeight="1">
      <c r="G25959"/>
      <c r="I25959"/>
      <c r="N25959"/>
      <c r="O25959" s="24"/>
      <c r="P25959"/>
      <c r="Q25959" s="24"/>
      <c r="R25959"/>
      <c r="S25959"/>
      <c r="T25959"/>
      <c r="U25959"/>
      <c r="X25959" s="60"/>
    </row>
    <row r="25960" spans="7:24" ht="15" customHeight="1">
      <c r="G25960"/>
      <c r="I25960"/>
      <c r="N25960"/>
      <c r="O25960" s="24"/>
      <c r="P25960"/>
      <c r="Q25960" s="24"/>
      <c r="R25960"/>
      <c r="S25960"/>
      <c r="T25960"/>
      <c r="U25960"/>
      <c r="X25960" s="60"/>
    </row>
    <row r="25961" spans="7:24" ht="15" customHeight="1">
      <c r="G25961"/>
      <c r="I25961"/>
      <c r="N25961"/>
      <c r="O25961" s="24"/>
      <c r="P25961"/>
      <c r="Q25961" s="24"/>
      <c r="R25961"/>
      <c r="S25961"/>
      <c r="T25961"/>
      <c r="U25961"/>
      <c r="X25961" s="60"/>
    </row>
    <row r="25962" spans="7:24" ht="15" customHeight="1">
      <c r="G25962"/>
      <c r="I25962"/>
      <c r="N25962"/>
      <c r="O25962" s="24"/>
      <c r="P25962"/>
      <c r="Q25962" s="24"/>
      <c r="R25962"/>
      <c r="S25962"/>
      <c r="T25962"/>
      <c r="U25962"/>
      <c r="X25962" s="60"/>
    </row>
    <row r="25963" spans="7:24" ht="15" customHeight="1">
      <c r="G25963"/>
      <c r="I25963"/>
      <c r="N25963"/>
      <c r="O25963" s="24"/>
      <c r="P25963"/>
      <c r="Q25963" s="24"/>
      <c r="R25963"/>
      <c r="S25963"/>
      <c r="T25963"/>
      <c r="U25963"/>
      <c r="X25963" s="60"/>
    </row>
    <row r="25964" spans="7:24" ht="15" customHeight="1">
      <c r="G25964"/>
      <c r="I25964"/>
      <c r="N25964"/>
      <c r="O25964" s="24"/>
      <c r="P25964"/>
      <c r="Q25964" s="24"/>
      <c r="R25964"/>
      <c r="S25964"/>
      <c r="T25964"/>
      <c r="U25964"/>
      <c r="X25964" s="60"/>
    </row>
    <row r="25965" spans="7:24" ht="15" customHeight="1">
      <c r="G25965"/>
      <c r="I25965"/>
      <c r="N25965"/>
      <c r="O25965" s="24"/>
      <c r="P25965"/>
      <c r="Q25965" s="24"/>
      <c r="R25965"/>
      <c r="S25965"/>
      <c r="T25965"/>
      <c r="U25965"/>
      <c r="X25965" s="60"/>
    </row>
    <row r="25966" spans="7:24" ht="15" customHeight="1">
      <c r="G25966"/>
      <c r="I25966"/>
      <c r="N25966"/>
      <c r="O25966" s="24"/>
      <c r="P25966"/>
      <c r="Q25966" s="24"/>
      <c r="R25966"/>
      <c r="S25966"/>
      <c r="T25966"/>
      <c r="U25966"/>
      <c r="X25966" s="60"/>
    </row>
    <row r="25967" spans="7:24" ht="15" customHeight="1">
      <c r="G25967"/>
      <c r="I25967"/>
      <c r="N25967"/>
      <c r="O25967" s="24"/>
      <c r="P25967"/>
      <c r="Q25967" s="24"/>
      <c r="R25967"/>
      <c r="S25967"/>
      <c r="T25967"/>
      <c r="U25967"/>
      <c r="X25967" s="60"/>
    </row>
    <row r="25968" spans="7:24" ht="15" customHeight="1">
      <c r="G25968"/>
      <c r="I25968"/>
      <c r="N25968"/>
      <c r="O25968" s="24"/>
      <c r="P25968"/>
      <c r="Q25968" s="24"/>
      <c r="R25968"/>
      <c r="S25968"/>
      <c r="T25968"/>
      <c r="U25968"/>
      <c r="X25968" s="60"/>
    </row>
    <row r="25969" spans="7:24" ht="15" customHeight="1">
      <c r="G25969"/>
      <c r="I25969"/>
      <c r="N25969"/>
      <c r="O25969" s="24"/>
      <c r="P25969"/>
      <c r="Q25969" s="24"/>
      <c r="R25969"/>
      <c r="S25969"/>
      <c r="T25969"/>
      <c r="U25969"/>
      <c r="X25969" s="60"/>
    </row>
    <row r="25970" spans="7:24" ht="15" customHeight="1">
      <c r="G25970"/>
      <c r="I25970"/>
      <c r="N25970"/>
      <c r="O25970" s="24"/>
      <c r="P25970"/>
      <c r="Q25970" s="24"/>
      <c r="R25970"/>
      <c r="S25970"/>
      <c r="T25970"/>
      <c r="U25970"/>
      <c r="X25970" s="60"/>
    </row>
    <row r="25971" spans="7:24" ht="15" customHeight="1">
      <c r="G25971"/>
      <c r="I25971"/>
      <c r="N25971"/>
      <c r="O25971" s="24"/>
      <c r="P25971"/>
      <c r="Q25971" s="24"/>
      <c r="R25971"/>
      <c r="S25971"/>
      <c r="T25971"/>
      <c r="U25971"/>
      <c r="X25971" s="60"/>
    </row>
    <row r="25972" spans="7:24" ht="15" customHeight="1">
      <c r="G25972"/>
      <c r="I25972"/>
      <c r="N25972"/>
      <c r="O25972" s="24"/>
      <c r="P25972"/>
      <c r="Q25972" s="24"/>
      <c r="R25972"/>
      <c r="S25972"/>
      <c r="T25972"/>
      <c r="U25972"/>
      <c r="X25972" s="60"/>
    </row>
    <row r="25973" spans="7:24" ht="15" customHeight="1">
      <c r="G25973"/>
      <c r="I25973"/>
      <c r="N25973"/>
      <c r="O25973" s="24"/>
      <c r="P25973"/>
      <c r="Q25973" s="24"/>
      <c r="R25973"/>
      <c r="S25973"/>
      <c r="T25973"/>
      <c r="U25973"/>
      <c r="X25973" s="60"/>
    </row>
    <row r="25974" spans="7:24" ht="15" customHeight="1">
      <c r="G25974"/>
      <c r="I25974"/>
      <c r="N25974"/>
      <c r="O25974" s="24"/>
      <c r="P25974"/>
      <c r="Q25974" s="24"/>
      <c r="R25974"/>
      <c r="S25974"/>
      <c r="T25974"/>
      <c r="U25974"/>
      <c r="X25974" s="60"/>
    </row>
    <row r="25975" spans="7:24" ht="15" customHeight="1">
      <c r="G25975"/>
      <c r="I25975"/>
      <c r="N25975"/>
      <c r="O25975" s="24"/>
      <c r="P25975"/>
      <c r="Q25975" s="24"/>
      <c r="R25975"/>
      <c r="S25975"/>
      <c r="T25975"/>
      <c r="U25975"/>
      <c r="X25975" s="60"/>
    </row>
    <row r="25976" spans="7:24" ht="15" customHeight="1">
      <c r="G25976"/>
      <c r="I25976"/>
      <c r="N25976"/>
      <c r="O25976" s="24"/>
      <c r="P25976"/>
      <c r="Q25976" s="24"/>
      <c r="R25976"/>
      <c r="S25976"/>
      <c r="T25976"/>
      <c r="U25976"/>
      <c r="X25976" s="60"/>
    </row>
    <row r="25977" spans="7:24" ht="15" customHeight="1">
      <c r="G25977"/>
      <c r="I25977"/>
      <c r="N25977"/>
      <c r="O25977" s="24"/>
      <c r="P25977"/>
      <c r="Q25977" s="24"/>
      <c r="R25977"/>
      <c r="S25977"/>
      <c r="T25977"/>
      <c r="U25977"/>
      <c r="X25977" s="60"/>
    </row>
    <row r="25978" spans="7:24" ht="15" customHeight="1">
      <c r="G25978"/>
      <c r="I25978"/>
      <c r="N25978"/>
      <c r="O25978" s="24"/>
      <c r="P25978"/>
      <c r="Q25978" s="24"/>
      <c r="R25978"/>
      <c r="S25978"/>
      <c r="T25978"/>
      <c r="U25978"/>
      <c r="X25978" s="60"/>
    </row>
    <row r="25979" spans="7:24" ht="15" customHeight="1">
      <c r="G25979"/>
      <c r="I25979"/>
      <c r="N25979"/>
      <c r="O25979" s="24"/>
      <c r="P25979"/>
      <c r="Q25979" s="24"/>
      <c r="R25979"/>
      <c r="S25979"/>
      <c r="T25979"/>
      <c r="U25979"/>
      <c r="X25979" s="60"/>
    </row>
    <row r="25980" spans="7:24" ht="15" customHeight="1">
      <c r="G25980"/>
      <c r="I25980"/>
      <c r="N25980"/>
      <c r="O25980" s="24"/>
      <c r="P25980"/>
      <c r="Q25980" s="24"/>
      <c r="R25980"/>
      <c r="S25980"/>
      <c r="T25980"/>
      <c r="U25980"/>
      <c r="X25980" s="60"/>
    </row>
    <row r="25981" spans="7:24" ht="15" customHeight="1">
      <c r="G25981"/>
      <c r="I25981"/>
      <c r="N25981"/>
      <c r="O25981" s="24"/>
      <c r="P25981"/>
      <c r="Q25981" s="24"/>
      <c r="R25981"/>
      <c r="S25981"/>
      <c r="T25981"/>
      <c r="U25981"/>
      <c r="X25981" s="60"/>
    </row>
    <row r="25982" spans="7:24" ht="15" customHeight="1">
      <c r="G25982"/>
      <c r="I25982"/>
      <c r="N25982"/>
      <c r="O25982" s="24"/>
      <c r="P25982"/>
      <c r="Q25982" s="24"/>
      <c r="R25982"/>
      <c r="S25982"/>
      <c r="T25982"/>
      <c r="U25982"/>
      <c r="X25982" s="60"/>
    </row>
    <row r="25983" spans="7:24" ht="15" customHeight="1">
      <c r="G25983"/>
      <c r="I25983"/>
      <c r="N25983"/>
      <c r="O25983" s="24"/>
      <c r="P25983"/>
      <c r="Q25983" s="24"/>
      <c r="R25983"/>
      <c r="S25983"/>
      <c r="T25983"/>
      <c r="U25983"/>
      <c r="X25983" s="60"/>
    </row>
    <row r="25984" spans="7:24" ht="15" customHeight="1">
      <c r="G25984"/>
      <c r="I25984"/>
      <c r="N25984"/>
      <c r="O25984" s="24"/>
      <c r="P25984"/>
      <c r="Q25984" s="24"/>
      <c r="R25984"/>
      <c r="S25984"/>
      <c r="T25984"/>
      <c r="U25984"/>
      <c r="X25984" s="60"/>
    </row>
    <row r="25985" spans="7:24" ht="15" customHeight="1">
      <c r="G25985"/>
      <c r="I25985"/>
      <c r="N25985"/>
      <c r="O25985" s="24"/>
      <c r="P25985"/>
      <c r="Q25985" s="24"/>
      <c r="R25985"/>
      <c r="S25985"/>
      <c r="T25985"/>
      <c r="U25985"/>
      <c r="X25985" s="60"/>
    </row>
    <row r="25986" spans="7:24" ht="15" customHeight="1">
      <c r="G25986"/>
      <c r="I25986"/>
      <c r="N25986"/>
      <c r="O25986" s="24"/>
      <c r="P25986"/>
      <c r="Q25986" s="24"/>
      <c r="R25986"/>
      <c r="S25986"/>
      <c r="T25986"/>
      <c r="U25986"/>
      <c r="X25986" s="60"/>
    </row>
    <row r="25987" spans="7:24" ht="15" customHeight="1">
      <c r="G25987"/>
      <c r="I25987"/>
      <c r="N25987"/>
      <c r="O25987" s="24"/>
      <c r="P25987"/>
      <c r="Q25987" s="24"/>
      <c r="R25987"/>
      <c r="S25987"/>
      <c r="T25987"/>
      <c r="U25987"/>
      <c r="X25987" s="60"/>
    </row>
    <row r="25988" spans="7:24" ht="15" customHeight="1">
      <c r="G25988"/>
      <c r="I25988"/>
      <c r="N25988"/>
      <c r="O25988" s="24"/>
      <c r="P25988"/>
      <c r="Q25988" s="24"/>
      <c r="R25988"/>
      <c r="S25988"/>
      <c r="T25988"/>
      <c r="U25988"/>
      <c r="X25988" s="60"/>
    </row>
    <row r="25989" spans="7:24" ht="15" customHeight="1">
      <c r="G25989"/>
      <c r="I25989"/>
      <c r="N25989"/>
      <c r="O25989" s="24"/>
      <c r="P25989"/>
      <c r="Q25989" s="24"/>
      <c r="R25989"/>
      <c r="S25989"/>
      <c r="T25989"/>
      <c r="U25989"/>
      <c r="X25989" s="60"/>
    </row>
    <row r="25990" spans="7:24" ht="15" customHeight="1">
      <c r="G25990"/>
      <c r="I25990"/>
      <c r="N25990"/>
      <c r="O25990" s="24"/>
      <c r="P25990"/>
      <c r="Q25990" s="24"/>
      <c r="R25990"/>
      <c r="S25990"/>
      <c r="T25990"/>
      <c r="U25990"/>
      <c r="X25990" s="60"/>
    </row>
    <row r="25991" spans="7:24" ht="15" customHeight="1">
      <c r="G25991"/>
      <c r="I25991"/>
      <c r="N25991"/>
      <c r="O25991" s="24"/>
      <c r="P25991"/>
      <c r="Q25991" s="24"/>
      <c r="R25991"/>
      <c r="S25991"/>
      <c r="T25991"/>
      <c r="U25991"/>
      <c r="X25991" s="60"/>
    </row>
    <row r="25992" spans="7:24" ht="15" customHeight="1">
      <c r="G25992"/>
      <c r="I25992"/>
      <c r="N25992"/>
      <c r="O25992" s="24"/>
      <c r="P25992"/>
      <c r="Q25992" s="24"/>
      <c r="R25992"/>
      <c r="S25992"/>
      <c r="T25992"/>
      <c r="U25992"/>
      <c r="X25992" s="60"/>
    </row>
    <row r="25993" spans="7:24" ht="15" customHeight="1">
      <c r="G25993"/>
      <c r="I25993"/>
      <c r="N25993"/>
      <c r="O25993" s="24"/>
      <c r="P25993"/>
      <c r="Q25993" s="24"/>
      <c r="R25993"/>
      <c r="S25993"/>
      <c r="T25993"/>
      <c r="U25993"/>
      <c r="X25993" s="60"/>
    </row>
    <row r="25994" spans="7:24" ht="15" customHeight="1">
      <c r="G25994"/>
      <c r="I25994"/>
      <c r="N25994"/>
      <c r="O25994" s="24"/>
      <c r="P25994"/>
      <c r="Q25994" s="24"/>
      <c r="R25994"/>
      <c r="S25994"/>
      <c r="T25994"/>
      <c r="U25994"/>
      <c r="X25994" s="60"/>
    </row>
    <row r="25995" spans="7:24" ht="15" customHeight="1">
      <c r="G25995"/>
      <c r="I25995"/>
      <c r="N25995"/>
      <c r="O25995" s="24"/>
      <c r="P25995"/>
      <c r="Q25995" s="24"/>
      <c r="R25995"/>
      <c r="S25995"/>
      <c r="T25995"/>
      <c r="U25995"/>
      <c r="X25995" s="60"/>
    </row>
    <row r="25996" spans="7:24" ht="15" customHeight="1">
      <c r="G25996"/>
      <c r="I25996"/>
      <c r="N25996"/>
      <c r="O25996" s="24"/>
      <c r="P25996"/>
      <c r="Q25996" s="24"/>
      <c r="R25996"/>
      <c r="S25996"/>
      <c r="T25996"/>
      <c r="U25996"/>
      <c r="X25996" s="60"/>
    </row>
    <row r="25997" spans="7:24" ht="15" customHeight="1">
      <c r="G25997"/>
      <c r="I25997"/>
      <c r="N25997"/>
      <c r="O25997" s="24"/>
      <c r="P25997"/>
      <c r="Q25997" s="24"/>
      <c r="R25997"/>
      <c r="S25997"/>
      <c r="T25997"/>
      <c r="U25997"/>
      <c r="X25997" s="60"/>
    </row>
    <row r="25998" spans="7:24" ht="15" customHeight="1">
      <c r="G25998"/>
      <c r="I25998"/>
      <c r="N25998"/>
      <c r="O25998" s="24"/>
      <c r="P25998"/>
      <c r="Q25998" s="24"/>
      <c r="R25998"/>
      <c r="S25998"/>
      <c r="T25998"/>
      <c r="U25998"/>
      <c r="X25998" s="60"/>
    </row>
    <row r="25999" spans="7:24" ht="15" customHeight="1">
      <c r="G25999"/>
      <c r="I25999"/>
      <c r="N25999"/>
      <c r="O25999" s="24"/>
      <c r="P25999"/>
      <c r="Q25999" s="24"/>
      <c r="R25999"/>
      <c r="S25999"/>
      <c r="T25999"/>
      <c r="U25999"/>
      <c r="X25999" s="60"/>
    </row>
    <row r="26000" spans="7:24" ht="15" customHeight="1">
      <c r="G26000"/>
      <c r="I26000"/>
      <c r="N26000"/>
      <c r="O26000" s="24"/>
      <c r="P26000"/>
      <c r="Q26000" s="24"/>
      <c r="R26000"/>
      <c r="S26000"/>
      <c r="T26000"/>
      <c r="U26000"/>
      <c r="X26000" s="60"/>
    </row>
    <row r="26001" spans="7:24" ht="15" customHeight="1">
      <c r="G26001"/>
      <c r="I26001"/>
      <c r="N26001"/>
      <c r="O26001" s="24"/>
      <c r="P26001"/>
      <c r="Q26001" s="24"/>
      <c r="R26001"/>
      <c r="S26001"/>
      <c r="T26001"/>
      <c r="U26001"/>
      <c r="X26001" s="60"/>
    </row>
    <row r="26002" spans="7:24" ht="15" customHeight="1">
      <c r="G26002"/>
      <c r="I26002"/>
      <c r="N26002"/>
      <c r="O26002" s="24"/>
      <c r="P26002"/>
      <c r="Q26002" s="24"/>
      <c r="R26002"/>
      <c r="S26002"/>
      <c r="T26002"/>
      <c r="U26002"/>
      <c r="X26002" s="60"/>
    </row>
    <row r="26003" spans="7:24" ht="15" customHeight="1">
      <c r="G26003"/>
      <c r="I26003"/>
      <c r="N26003"/>
      <c r="O26003" s="24"/>
      <c r="P26003"/>
      <c r="Q26003" s="24"/>
      <c r="R26003"/>
      <c r="S26003"/>
      <c r="T26003"/>
      <c r="U26003"/>
      <c r="X26003" s="60"/>
    </row>
    <row r="26004" spans="7:24" ht="15" customHeight="1">
      <c r="G26004"/>
      <c r="I26004"/>
      <c r="N26004"/>
      <c r="O26004" s="24"/>
      <c r="P26004"/>
      <c r="Q26004" s="24"/>
      <c r="R26004"/>
      <c r="S26004"/>
      <c r="T26004"/>
      <c r="U26004"/>
      <c r="X26004" s="60"/>
    </row>
    <row r="26005" spans="7:24" ht="15" customHeight="1">
      <c r="G26005"/>
      <c r="I26005"/>
      <c r="N26005"/>
      <c r="O26005" s="24"/>
      <c r="P26005"/>
      <c r="Q26005" s="24"/>
      <c r="R26005"/>
      <c r="S26005"/>
      <c r="T26005"/>
      <c r="U26005"/>
      <c r="X26005" s="60"/>
    </row>
    <row r="26006" spans="7:24" ht="15" customHeight="1">
      <c r="G26006"/>
      <c r="I26006"/>
      <c r="N26006"/>
      <c r="O26006" s="24"/>
      <c r="P26006"/>
      <c r="Q26006" s="24"/>
      <c r="R26006"/>
      <c r="S26006"/>
      <c r="T26006"/>
      <c r="U26006"/>
      <c r="X26006" s="60"/>
    </row>
    <row r="26007" spans="7:24" ht="15" customHeight="1">
      <c r="G26007"/>
      <c r="I26007"/>
      <c r="N26007"/>
      <c r="O26007" s="24"/>
      <c r="P26007"/>
      <c r="Q26007" s="24"/>
      <c r="R26007"/>
      <c r="S26007"/>
      <c r="T26007"/>
      <c r="U26007"/>
      <c r="X26007" s="60"/>
    </row>
    <row r="26008" spans="7:24" ht="15" customHeight="1">
      <c r="G26008"/>
      <c r="I26008"/>
      <c r="N26008"/>
      <c r="O26008" s="24"/>
      <c r="P26008"/>
      <c r="Q26008" s="24"/>
      <c r="R26008"/>
      <c r="S26008"/>
      <c r="T26008"/>
      <c r="U26008"/>
      <c r="X26008" s="60"/>
    </row>
    <row r="26009" spans="7:24" ht="15" customHeight="1">
      <c r="G26009"/>
      <c r="I26009"/>
      <c r="N26009"/>
      <c r="O26009" s="24"/>
      <c r="P26009"/>
      <c r="Q26009" s="24"/>
      <c r="R26009"/>
      <c r="S26009"/>
      <c r="T26009"/>
      <c r="U26009"/>
      <c r="X26009" s="60"/>
    </row>
    <row r="26010" spans="7:24" ht="15" customHeight="1">
      <c r="G26010"/>
      <c r="I26010"/>
      <c r="N26010"/>
      <c r="O26010" s="24"/>
      <c r="P26010"/>
      <c r="Q26010" s="24"/>
      <c r="R26010"/>
      <c r="S26010"/>
      <c r="T26010"/>
      <c r="U26010"/>
      <c r="X26010" s="60"/>
    </row>
    <row r="26011" spans="7:24" ht="15" customHeight="1">
      <c r="G26011"/>
      <c r="I26011"/>
      <c r="N26011"/>
      <c r="O26011" s="24"/>
      <c r="P26011"/>
      <c r="Q26011" s="24"/>
      <c r="R26011"/>
      <c r="S26011"/>
      <c r="T26011"/>
      <c r="U26011"/>
      <c r="X26011" s="60"/>
    </row>
    <row r="26012" spans="7:24" ht="15" customHeight="1">
      <c r="G26012"/>
      <c r="I26012"/>
      <c r="N26012"/>
      <c r="O26012" s="24"/>
      <c r="P26012"/>
      <c r="Q26012" s="24"/>
      <c r="R26012"/>
      <c r="S26012"/>
      <c r="T26012"/>
      <c r="U26012"/>
      <c r="X26012" s="60"/>
    </row>
    <row r="26013" spans="7:24" ht="15" customHeight="1">
      <c r="G26013"/>
      <c r="I26013"/>
      <c r="N26013"/>
      <c r="O26013" s="24"/>
      <c r="P26013"/>
      <c r="Q26013" s="24"/>
      <c r="R26013"/>
      <c r="S26013"/>
      <c r="T26013"/>
      <c r="U26013"/>
      <c r="X26013" s="60"/>
    </row>
    <row r="26014" spans="7:24" ht="15" customHeight="1">
      <c r="G26014"/>
      <c r="I26014"/>
      <c r="N26014"/>
      <c r="O26014" s="24"/>
      <c r="P26014"/>
      <c r="Q26014" s="24"/>
      <c r="R26014"/>
      <c r="S26014"/>
      <c r="T26014"/>
      <c r="U26014"/>
      <c r="X26014" s="60"/>
    </row>
    <row r="26015" spans="7:24" ht="15" customHeight="1">
      <c r="G26015"/>
      <c r="I26015"/>
      <c r="N26015"/>
      <c r="O26015" s="24"/>
      <c r="P26015"/>
      <c r="Q26015" s="24"/>
      <c r="R26015"/>
      <c r="S26015"/>
      <c r="T26015"/>
      <c r="U26015"/>
      <c r="X26015" s="60"/>
    </row>
    <row r="26016" spans="7:24" ht="15" customHeight="1">
      <c r="G26016"/>
      <c r="I26016"/>
      <c r="N26016"/>
      <c r="O26016" s="24"/>
      <c r="P26016"/>
      <c r="Q26016" s="24"/>
      <c r="R26016"/>
      <c r="S26016"/>
      <c r="T26016"/>
      <c r="U26016"/>
      <c r="X26016" s="60"/>
    </row>
    <row r="26017" spans="7:24" ht="15" customHeight="1">
      <c r="G26017"/>
      <c r="I26017"/>
      <c r="N26017"/>
      <c r="O26017" s="24"/>
      <c r="P26017"/>
      <c r="Q26017" s="24"/>
      <c r="R26017"/>
      <c r="S26017"/>
      <c r="T26017"/>
      <c r="U26017"/>
      <c r="X26017" s="60"/>
    </row>
    <row r="26018" spans="7:24" ht="15" customHeight="1">
      <c r="G26018"/>
      <c r="I26018"/>
      <c r="N26018"/>
      <c r="O26018" s="24"/>
      <c r="P26018"/>
      <c r="Q26018" s="24"/>
      <c r="R26018"/>
      <c r="S26018"/>
      <c r="T26018"/>
      <c r="U26018"/>
      <c r="X26018" s="60"/>
    </row>
    <row r="26019" spans="7:24" ht="15" customHeight="1">
      <c r="G26019"/>
      <c r="I26019"/>
      <c r="N26019"/>
      <c r="O26019" s="24"/>
      <c r="P26019"/>
      <c r="Q26019" s="24"/>
      <c r="R26019"/>
      <c r="S26019"/>
      <c r="T26019"/>
      <c r="U26019"/>
      <c r="X26019" s="60"/>
    </row>
    <row r="26020" spans="7:24" ht="15" customHeight="1">
      <c r="G26020"/>
      <c r="I26020"/>
      <c r="N26020"/>
      <c r="O26020" s="24"/>
      <c r="P26020"/>
      <c r="Q26020" s="24"/>
      <c r="R26020"/>
      <c r="S26020"/>
      <c r="T26020"/>
      <c r="U26020"/>
      <c r="X26020" s="60"/>
    </row>
    <row r="26021" spans="7:24" ht="15" customHeight="1">
      <c r="G26021"/>
      <c r="I26021"/>
      <c r="N26021"/>
      <c r="O26021" s="24"/>
      <c r="P26021"/>
      <c r="Q26021" s="24"/>
      <c r="R26021"/>
      <c r="S26021"/>
      <c r="T26021"/>
      <c r="U26021"/>
      <c r="X26021" s="60"/>
    </row>
    <row r="26022" spans="7:24" ht="15" customHeight="1">
      <c r="G26022"/>
      <c r="I26022"/>
      <c r="N26022"/>
      <c r="O26022" s="24"/>
      <c r="P26022"/>
      <c r="Q26022" s="24"/>
      <c r="R26022"/>
      <c r="S26022"/>
      <c r="T26022"/>
      <c r="U26022"/>
      <c r="X26022" s="60"/>
    </row>
    <row r="26023" spans="7:24" ht="15" customHeight="1">
      <c r="G26023"/>
      <c r="I26023"/>
      <c r="N26023"/>
      <c r="O26023" s="24"/>
      <c r="P26023"/>
      <c r="Q26023" s="24"/>
      <c r="R26023"/>
      <c r="S26023"/>
      <c r="T26023"/>
      <c r="U26023"/>
      <c r="X26023" s="60"/>
    </row>
    <row r="26024" spans="7:24" ht="15" customHeight="1">
      <c r="G26024"/>
      <c r="I26024"/>
      <c r="N26024"/>
      <c r="O26024" s="24"/>
      <c r="P26024"/>
      <c r="Q26024" s="24"/>
      <c r="R26024"/>
      <c r="S26024"/>
      <c r="T26024"/>
      <c r="U26024"/>
      <c r="X26024" s="60"/>
    </row>
    <row r="26025" spans="7:24" ht="15" customHeight="1">
      <c r="G26025"/>
      <c r="I26025"/>
      <c r="N26025"/>
      <c r="O26025" s="24"/>
      <c r="P26025"/>
      <c r="Q26025" s="24"/>
      <c r="R26025"/>
      <c r="S26025"/>
      <c r="T26025"/>
      <c r="U26025"/>
      <c r="X26025" s="60"/>
    </row>
    <row r="26026" spans="7:24" ht="15" customHeight="1">
      <c r="G26026"/>
      <c r="I26026"/>
      <c r="N26026"/>
      <c r="O26026" s="24"/>
      <c r="P26026"/>
      <c r="Q26026" s="24"/>
      <c r="R26026"/>
      <c r="S26026"/>
      <c r="T26026"/>
      <c r="U26026"/>
      <c r="X26026" s="60"/>
    </row>
    <row r="26027" spans="7:24" ht="15" customHeight="1">
      <c r="G26027"/>
      <c r="I26027"/>
      <c r="N26027"/>
      <c r="O26027" s="24"/>
      <c r="P26027"/>
      <c r="Q26027" s="24"/>
      <c r="R26027"/>
      <c r="S26027"/>
      <c r="T26027"/>
      <c r="U26027"/>
      <c r="X26027" s="60"/>
    </row>
    <row r="26028" spans="7:24" ht="15" customHeight="1">
      <c r="G26028"/>
      <c r="I26028"/>
      <c r="N26028"/>
      <c r="O26028" s="24"/>
      <c r="P26028"/>
      <c r="Q26028" s="24"/>
      <c r="R26028"/>
      <c r="S26028"/>
      <c r="T26028"/>
      <c r="U26028"/>
      <c r="X26028" s="60"/>
    </row>
    <row r="26029" spans="7:24" ht="15" customHeight="1">
      <c r="G26029"/>
      <c r="I26029"/>
      <c r="N26029"/>
      <c r="O26029" s="24"/>
      <c r="P26029"/>
      <c r="Q26029" s="24"/>
      <c r="R26029"/>
      <c r="S26029"/>
      <c r="T26029"/>
      <c r="U26029"/>
      <c r="X26029" s="60"/>
    </row>
    <row r="26030" spans="7:24" ht="15" customHeight="1">
      <c r="G26030"/>
      <c r="I26030"/>
      <c r="N26030"/>
      <c r="O26030" s="24"/>
      <c r="P26030"/>
      <c r="Q26030" s="24"/>
      <c r="R26030"/>
      <c r="S26030"/>
      <c r="T26030"/>
      <c r="U26030"/>
      <c r="X26030" s="60"/>
    </row>
    <row r="26031" spans="7:24" ht="15" customHeight="1">
      <c r="G26031"/>
      <c r="I26031"/>
      <c r="N26031"/>
      <c r="O26031" s="24"/>
      <c r="P26031"/>
      <c r="Q26031" s="24"/>
      <c r="R26031"/>
      <c r="S26031"/>
      <c r="T26031"/>
      <c r="U26031"/>
      <c r="X26031" s="60"/>
    </row>
    <row r="26032" spans="7:24" ht="15" customHeight="1">
      <c r="G26032"/>
      <c r="I26032"/>
      <c r="N26032"/>
      <c r="O26032" s="24"/>
      <c r="P26032"/>
      <c r="Q26032" s="24"/>
      <c r="R26032"/>
      <c r="S26032"/>
      <c r="T26032"/>
      <c r="U26032"/>
      <c r="X26032" s="60"/>
    </row>
    <row r="26033" spans="7:24" ht="15" customHeight="1">
      <c r="G26033"/>
      <c r="I26033"/>
      <c r="N26033"/>
      <c r="O26033" s="24"/>
      <c r="P26033"/>
      <c r="Q26033" s="24"/>
      <c r="R26033"/>
      <c r="S26033"/>
      <c r="T26033"/>
      <c r="U26033"/>
      <c r="X26033" s="60"/>
    </row>
    <row r="26034" spans="7:24" ht="15" customHeight="1">
      <c r="G26034"/>
      <c r="I26034"/>
      <c r="N26034"/>
      <c r="O26034" s="24"/>
      <c r="P26034"/>
      <c r="Q26034" s="24"/>
      <c r="R26034"/>
      <c r="S26034"/>
      <c r="T26034"/>
      <c r="U26034"/>
      <c r="X26034" s="60"/>
    </row>
    <row r="26035" spans="7:24" ht="15" customHeight="1">
      <c r="G26035"/>
      <c r="I26035"/>
      <c r="N26035"/>
      <c r="O26035" s="24"/>
      <c r="P26035"/>
      <c r="Q26035" s="24"/>
      <c r="R26035"/>
      <c r="S26035"/>
      <c r="T26035"/>
      <c r="U26035"/>
      <c r="X26035" s="60"/>
    </row>
    <row r="26036" spans="7:24" ht="15" customHeight="1">
      <c r="G26036"/>
      <c r="I26036"/>
      <c r="N26036"/>
      <c r="O26036" s="24"/>
      <c r="P26036"/>
      <c r="Q26036" s="24"/>
      <c r="R26036"/>
      <c r="S26036"/>
      <c r="T26036"/>
      <c r="U26036"/>
      <c r="X26036" s="60"/>
    </row>
    <row r="26037" spans="7:24" ht="15" customHeight="1">
      <c r="G26037"/>
      <c r="I26037"/>
      <c r="N26037"/>
      <c r="O26037" s="24"/>
      <c r="P26037"/>
      <c r="Q26037" s="24"/>
      <c r="R26037"/>
      <c r="S26037"/>
      <c r="T26037"/>
      <c r="U26037"/>
      <c r="X26037" s="60"/>
    </row>
    <row r="26038" spans="7:24" ht="15" customHeight="1">
      <c r="G26038"/>
      <c r="I26038"/>
      <c r="N26038"/>
      <c r="O26038" s="24"/>
      <c r="P26038"/>
      <c r="Q26038" s="24"/>
      <c r="R26038"/>
      <c r="S26038"/>
      <c r="T26038"/>
      <c r="U26038"/>
      <c r="X26038" s="60"/>
    </row>
    <row r="26039" spans="7:24" ht="15" customHeight="1">
      <c r="G26039"/>
      <c r="I26039"/>
      <c r="N26039"/>
      <c r="O26039" s="24"/>
      <c r="P26039"/>
      <c r="Q26039" s="24"/>
      <c r="R26039"/>
      <c r="S26039"/>
      <c r="T26039"/>
      <c r="U26039"/>
      <c r="X26039" s="60"/>
    </row>
    <row r="26040" spans="7:24" ht="15" customHeight="1">
      <c r="G26040"/>
      <c r="I26040"/>
      <c r="N26040"/>
      <c r="O26040" s="24"/>
      <c r="P26040"/>
      <c r="Q26040" s="24"/>
      <c r="R26040"/>
      <c r="S26040"/>
      <c r="T26040"/>
      <c r="U26040"/>
      <c r="X26040" s="60"/>
    </row>
    <row r="26041" spans="7:24" ht="15" customHeight="1">
      <c r="G26041"/>
      <c r="I26041"/>
      <c r="N26041"/>
      <c r="O26041" s="24"/>
      <c r="P26041"/>
      <c r="Q26041" s="24"/>
      <c r="R26041"/>
      <c r="S26041"/>
      <c r="T26041"/>
      <c r="U26041"/>
      <c r="X26041" s="60"/>
    </row>
    <row r="26042" spans="7:24" ht="15" customHeight="1">
      <c r="G26042"/>
      <c r="I26042"/>
      <c r="N26042"/>
      <c r="O26042" s="24"/>
      <c r="P26042"/>
      <c r="Q26042" s="24"/>
      <c r="R26042"/>
      <c r="S26042"/>
      <c r="T26042"/>
      <c r="U26042"/>
      <c r="X26042" s="60"/>
    </row>
    <row r="26043" spans="7:24" ht="15" customHeight="1">
      <c r="G26043"/>
      <c r="I26043"/>
      <c r="N26043"/>
      <c r="O26043" s="24"/>
      <c r="P26043"/>
      <c r="Q26043" s="24"/>
      <c r="R26043"/>
      <c r="S26043"/>
      <c r="T26043"/>
      <c r="U26043"/>
      <c r="X26043" s="60"/>
    </row>
    <row r="26044" spans="7:24" ht="15" customHeight="1">
      <c r="G26044"/>
      <c r="I26044"/>
      <c r="N26044"/>
      <c r="O26044" s="24"/>
      <c r="P26044"/>
      <c r="Q26044" s="24"/>
      <c r="R26044"/>
      <c r="S26044"/>
      <c r="T26044"/>
      <c r="U26044"/>
      <c r="X26044" s="60"/>
    </row>
    <row r="26045" spans="7:24" ht="15" customHeight="1">
      <c r="G26045"/>
      <c r="I26045"/>
      <c r="N26045"/>
      <c r="O26045" s="24"/>
      <c r="P26045"/>
      <c r="Q26045" s="24"/>
      <c r="R26045"/>
      <c r="S26045"/>
      <c r="T26045"/>
      <c r="U26045"/>
      <c r="X26045" s="60"/>
    </row>
    <row r="26046" spans="7:24" ht="15" customHeight="1">
      <c r="G26046"/>
      <c r="I26046"/>
      <c r="N26046"/>
      <c r="O26046" s="24"/>
      <c r="P26046"/>
      <c r="Q26046" s="24"/>
      <c r="R26046"/>
      <c r="S26046"/>
      <c r="T26046"/>
      <c r="U26046"/>
      <c r="X26046" s="60"/>
    </row>
    <row r="26047" spans="7:24" ht="15" customHeight="1">
      <c r="G26047"/>
      <c r="I26047"/>
      <c r="N26047"/>
      <c r="O26047" s="24"/>
      <c r="P26047"/>
      <c r="Q26047" s="24"/>
      <c r="R26047"/>
      <c r="S26047"/>
      <c r="T26047"/>
      <c r="U26047"/>
      <c r="X26047" s="60"/>
    </row>
    <row r="26048" spans="7:24" ht="15" customHeight="1">
      <c r="G26048"/>
      <c r="I26048"/>
      <c r="N26048"/>
      <c r="O26048" s="24"/>
      <c r="P26048"/>
      <c r="Q26048" s="24"/>
      <c r="R26048"/>
      <c r="S26048"/>
      <c r="T26048"/>
      <c r="U26048"/>
      <c r="X26048" s="60"/>
    </row>
    <row r="26049" spans="7:24" ht="15" customHeight="1">
      <c r="G26049"/>
      <c r="I26049"/>
      <c r="N26049"/>
      <c r="O26049" s="24"/>
      <c r="P26049"/>
      <c r="Q26049" s="24"/>
      <c r="R26049"/>
      <c r="S26049"/>
      <c r="T26049"/>
      <c r="U26049"/>
      <c r="X26049" s="60"/>
    </row>
    <row r="26050" spans="7:24" ht="15" customHeight="1">
      <c r="G26050"/>
      <c r="I26050"/>
      <c r="N26050"/>
      <c r="O26050" s="24"/>
      <c r="P26050"/>
      <c r="Q26050" s="24"/>
      <c r="R26050"/>
      <c r="S26050"/>
      <c r="T26050"/>
      <c r="U26050"/>
      <c r="X26050" s="60"/>
    </row>
    <row r="26051" spans="7:24" ht="15" customHeight="1">
      <c r="G26051"/>
      <c r="I26051"/>
      <c r="N26051"/>
      <c r="O26051" s="24"/>
      <c r="P26051"/>
      <c r="Q26051" s="24"/>
      <c r="R26051"/>
      <c r="S26051"/>
      <c r="T26051"/>
      <c r="U26051"/>
      <c r="X26051" s="60"/>
    </row>
    <row r="26052" spans="7:24" ht="15" customHeight="1">
      <c r="G26052"/>
      <c r="I26052"/>
      <c r="N26052"/>
      <c r="O26052" s="24"/>
      <c r="P26052"/>
      <c r="Q26052" s="24"/>
      <c r="R26052"/>
      <c r="S26052"/>
      <c r="T26052"/>
      <c r="U26052"/>
      <c r="X26052" s="60"/>
    </row>
    <row r="26053" spans="7:24" ht="15" customHeight="1">
      <c r="G26053"/>
      <c r="I26053"/>
      <c r="N26053"/>
      <c r="O26053" s="24"/>
      <c r="P26053"/>
      <c r="Q26053" s="24"/>
      <c r="R26053"/>
      <c r="S26053"/>
      <c r="T26053"/>
      <c r="U26053"/>
      <c r="X26053" s="60"/>
    </row>
    <row r="26054" spans="7:24" ht="15" customHeight="1">
      <c r="G26054"/>
      <c r="I26054"/>
      <c r="N26054"/>
      <c r="O26054" s="24"/>
      <c r="P26054"/>
      <c r="Q26054" s="24"/>
      <c r="R26054"/>
      <c r="S26054"/>
      <c r="T26054"/>
      <c r="U26054"/>
      <c r="X26054" s="60"/>
    </row>
    <row r="26055" spans="7:24" ht="15" customHeight="1">
      <c r="G26055"/>
      <c r="I26055"/>
      <c r="N26055"/>
      <c r="O26055" s="24"/>
      <c r="P26055"/>
      <c r="Q26055" s="24"/>
      <c r="R26055"/>
      <c r="S26055"/>
      <c r="T26055"/>
      <c r="U26055"/>
      <c r="X26055" s="60"/>
    </row>
    <row r="26056" spans="7:24" ht="15" customHeight="1">
      <c r="G26056"/>
      <c r="I26056"/>
      <c r="N26056"/>
      <c r="O26056" s="24"/>
      <c r="P26056"/>
      <c r="Q26056" s="24"/>
      <c r="R26056"/>
      <c r="S26056"/>
      <c r="T26056"/>
      <c r="U26056"/>
      <c r="X26056" s="60"/>
    </row>
    <row r="26057" spans="7:24" ht="15" customHeight="1">
      <c r="G26057"/>
      <c r="I26057"/>
      <c r="N26057"/>
      <c r="O26057" s="24"/>
      <c r="P26057"/>
      <c r="Q26057" s="24"/>
      <c r="R26057"/>
      <c r="S26057"/>
      <c r="T26057"/>
      <c r="U26057"/>
      <c r="X26057" s="60"/>
    </row>
    <row r="26058" spans="7:24" ht="15" customHeight="1">
      <c r="G26058"/>
      <c r="I26058"/>
      <c r="N26058"/>
      <c r="O26058" s="24"/>
      <c r="P26058"/>
      <c r="Q26058" s="24"/>
      <c r="R26058"/>
      <c r="S26058"/>
      <c r="T26058"/>
      <c r="U26058"/>
      <c r="X26058" s="60"/>
    </row>
    <row r="26059" spans="7:24" ht="15" customHeight="1">
      <c r="G26059"/>
      <c r="I26059"/>
      <c r="N26059"/>
      <c r="O26059" s="24"/>
      <c r="P26059"/>
      <c r="Q26059" s="24"/>
      <c r="R26059"/>
      <c r="S26059"/>
      <c r="T26059"/>
      <c r="U26059"/>
      <c r="X26059" s="60"/>
    </row>
    <row r="26060" spans="7:24" ht="15" customHeight="1">
      <c r="G26060"/>
      <c r="I26060"/>
      <c r="N26060"/>
      <c r="O26060" s="24"/>
      <c r="P26060"/>
      <c r="Q26060" s="24"/>
      <c r="R26060"/>
      <c r="S26060"/>
      <c r="T26060"/>
      <c r="U26060"/>
      <c r="X26060" s="60"/>
    </row>
    <row r="26061" spans="7:24" ht="15" customHeight="1">
      <c r="G26061"/>
      <c r="I26061"/>
      <c r="N26061"/>
      <c r="O26061" s="24"/>
      <c r="P26061"/>
      <c r="Q26061" s="24"/>
      <c r="R26061"/>
      <c r="S26061"/>
      <c r="T26061"/>
      <c r="U26061"/>
      <c r="X26061" s="60"/>
    </row>
    <row r="26062" spans="7:24" ht="15" customHeight="1">
      <c r="G26062"/>
      <c r="I26062"/>
      <c r="N26062"/>
      <c r="O26062" s="24"/>
      <c r="P26062"/>
      <c r="Q26062" s="24"/>
      <c r="R26062"/>
      <c r="S26062"/>
      <c r="T26062"/>
      <c r="U26062"/>
      <c r="X26062" s="60"/>
    </row>
    <row r="26063" spans="7:24" ht="15" customHeight="1">
      <c r="G26063"/>
      <c r="I26063"/>
      <c r="N26063"/>
      <c r="O26063" s="24"/>
      <c r="P26063"/>
      <c r="Q26063" s="24"/>
      <c r="R26063"/>
      <c r="S26063"/>
      <c r="T26063"/>
      <c r="U26063"/>
      <c r="X26063" s="60"/>
    </row>
    <row r="26064" spans="7:24" ht="15" customHeight="1">
      <c r="G26064"/>
      <c r="I26064"/>
      <c r="N26064"/>
      <c r="O26064" s="24"/>
      <c r="P26064"/>
      <c r="Q26064" s="24"/>
      <c r="R26064"/>
      <c r="S26064"/>
      <c r="T26064"/>
      <c r="U26064"/>
      <c r="X26064" s="60"/>
    </row>
    <row r="26065" spans="7:24" ht="15" customHeight="1">
      <c r="G26065"/>
      <c r="I26065"/>
      <c r="N26065"/>
      <c r="O26065" s="24"/>
      <c r="P26065"/>
      <c r="Q26065" s="24"/>
      <c r="R26065"/>
      <c r="S26065"/>
      <c r="T26065"/>
      <c r="U26065"/>
      <c r="X26065" s="60"/>
    </row>
    <row r="26066" spans="7:24" ht="15" customHeight="1">
      <c r="G26066"/>
      <c r="I26066"/>
      <c r="N26066"/>
      <c r="O26066" s="24"/>
      <c r="P26066"/>
      <c r="Q26066" s="24"/>
      <c r="R26066"/>
      <c r="S26066"/>
      <c r="T26066"/>
      <c r="U26066"/>
      <c r="X26066" s="60"/>
    </row>
    <row r="26067" spans="7:24" ht="15" customHeight="1">
      <c r="G26067"/>
      <c r="I26067"/>
      <c r="N26067"/>
      <c r="O26067" s="24"/>
      <c r="P26067"/>
      <c r="Q26067" s="24"/>
      <c r="R26067"/>
      <c r="S26067"/>
      <c r="T26067"/>
      <c r="U26067"/>
      <c r="X26067" s="60"/>
    </row>
    <row r="26068" spans="7:24" ht="15" customHeight="1">
      <c r="G26068"/>
      <c r="I26068"/>
      <c r="N26068"/>
      <c r="O26068" s="24"/>
      <c r="P26068"/>
      <c r="Q26068" s="24"/>
      <c r="R26068"/>
      <c r="S26068"/>
      <c r="T26068"/>
      <c r="U26068"/>
      <c r="X26068" s="60"/>
    </row>
    <row r="26069" spans="7:24" ht="15" customHeight="1">
      <c r="G26069"/>
      <c r="I26069"/>
      <c r="N26069"/>
      <c r="O26069" s="24"/>
      <c r="P26069"/>
      <c r="Q26069" s="24"/>
      <c r="R26069"/>
      <c r="S26069"/>
      <c r="T26069"/>
      <c r="U26069"/>
      <c r="X26069" s="60"/>
    </row>
    <row r="26070" spans="7:24" ht="15" customHeight="1">
      <c r="G26070"/>
      <c r="I26070"/>
      <c r="N26070"/>
      <c r="O26070" s="24"/>
      <c r="P26070"/>
      <c r="Q26070" s="24"/>
      <c r="R26070"/>
      <c r="S26070"/>
      <c r="T26070"/>
      <c r="U26070"/>
      <c r="X26070" s="60"/>
    </row>
    <row r="26071" spans="7:24" ht="15" customHeight="1">
      <c r="G26071"/>
      <c r="I26071"/>
      <c r="N26071"/>
      <c r="O26071" s="24"/>
      <c r="P26071"/>
      <c r="Q26071" s="24"/>
      <c r="R26071"/>
      <c r="S26071"/>
      <c r="T26071"/>
      <c r="U26071"/>
      <c r="X26071" s="60"/>
    </row>
    <row r="26072" spans="7:24" ht="15" customHeight="1">
      <c r="G26072"/>
      <c r="I26072"/>
      <c r="N26072"/>
      <c r="O26072" s="24"/>
      <c r="P26072"/>
      <c r="Q26072" s="24"/>
      <c r="R26072"/>
      <c r="S26072"/>
      <c r="T26072"/>
      <c r="U26072"/>
      <c r="X26072" s="60"/>
    </row>
    <row r="26073" spans="7:24" ht="15" customHeight="1">
      <c r="G26073"/>
      <c r="I26073"/>
      <c r="N26073"/>
      <c r="O26073" s="24"/>
      <c r="P26073"/>
      <c r="Q26073" s="24"/>
      <c r="R26073"/>
      <c r="S26073"/>
      <c r="T26073"/>
      <c r="U26073"/>
      <c r="X26073" s="60"/>
    </row>
    <row r="26074" spans="7:24" ht="15" customHeight="1">
      <c r="G26074"/>
      <c r="I26074"/>
      <c r="N26074"/>
      <c r="O26074" s="24"/>
      <c r="P26074"/>
      <c r="Q26074" s="24"/>
      <c r="R26074"/>
      <c r="S26074"/>
      <c r="T26074"/>
      <c r="U26074"/>
      <c r="X26074" s="60"/>
    </row>
    <row r="26075" spans="7:24" ht="15" customHeight="1">
      <c r="G26075"/>
      <c r="I26075"/>
      <c r="N26075"/>
      <c r="O26075" s="24"/>
      <c r="P26075"/>
      <c r="Q26075" s="24"/>
      <c r="R26075"/>
      <c r="S26075"/>
      <c r="T26075"/>
      <c r="U26075"/>
      <c r="X26075" s="60"/>
    </row>
    <row r="26076" spans="7:24" ht="15" customHeight="1">
      <c r="G26076"/>
      <c r="I26076"/>
      <c r="N26076"/>
      <c r="O26076" s="24"/>
      <c r="P26076"/>
      <c r="Q26076" s="24"/>
      <c r="R26076"/>
      <c r="S26076"/>
      <c r="T26076"/>
      <c r="U26076"/>
      <c r="X26076" s="60"/>
    </row>
    <row r="26077" spans="7:24" ht="15" customHeight="1">
      <c r="G26077"/>
      <c r="I26077"/>
      <c r="N26077"/>
      <c r="O26077" s="24"/>
      <c r="P26077"/>
      <c r="Q26077" s="24"/>
      <c r="R26077"/>
      <c r="S26077"/>
      <c r="T26077"/>
      <c r="U26077"/>
      <c r="X26077" s="60"/>
    </row>
    <row r="26078" spans="7:24" ht="15" customHeight="1">
      <c r="G26078"/>
      <c r="I26078"/>
      <c r="N26078"/>
      <c r="O26078" s="24"/>
      <c r="P26078"/>
      <c r="Q26078" s="24"/>
      <c r="R26078"/>
      <c r="S26078"/>
      <c r="T26078"/>
      <c r="U26078"/>
      <c r="X26078" s="60"/>
    </row>
    <row r="26079" spans="7:24" ht="15" customHeight="1">
      <c r="G26079"/>
      <c r="I26079"/>
      <c r="N26079"/>
      <c r="O26079" s="24"/>
      <c r="P26079"/>
      <c r="Q26079" s="24"/>
      <c r="R26079"/>
      <c r="S26079"/>
      <c r="T26079"/>
      <c r="U26079"/>
      <c r="X26079" s="60"/>
    </row>
    <row r="26080" spans="7:24" ht="15" customHeight="1">
      <c r="G26080"/>
      <c r="I26080"/>
      <c r="N26080"/>
      <c r="O26080" s="24"/>
      <c r="P26080"/>
      <c r="Q26080" s="24"/>
      <c r="R26080"/>
      <c r="S26080"/>
      <c r="T26080"/>
      <c r="U26080"/>
      <c r="X26080" s="60"/>
    </row>
    <row r="26081" spans="7:24" ht="15" customHeight="1">
      <c r="G26081"/>
      <c r="I26081"/>
      <c r="N26081"/>
      <c r="O26081" s="24"/>
      <c r="P26081"/>
      <c r="Q26081" s="24"/>
      <c r="R26081"/>
      <c r="S26081"/>
      <c r="T26081"/>
      <c r="U26081"/>
      <c r="X26081" s="60"/>
    </row>
    <row r="26082" spans="7:24" ht="15" customHeight="1">
      <c r="G26082"/>
      <c r="I26082"/>
      <c r="N26082"/>
      <c r="O26082" s="24"/>
      <c r="P26082"/>
      <c r="Q26082" s="24"/>
      <c r="R26082"/>
      <c r="S26082"/>
      <c r="T26082"/>
      <c r="U26082"/>
      <c r="X26082" s="60"/>
    </row>
    <row r="26083" spans="7:24" ht="15" customHeight="1">
      <c r="G26083"/>
      <c r="I26083"/>
      <c r="N26083"/>
      <c r="O26083" s="24"/>
      <c r="P26083"/>
      <c r="Q26083" s="24"/>
      <c r="R26083"/>
      <c r="S26083"/>
      <c r="T26083"/>
      <c r="U26083"/>
      <c r="X26083" s="60"/>
    </row>
    <row r="26084" spans="7:24" ht="15" customHeight="1">
      <c r="G26084"/>
      <c r="I26084"/>
      <c r="N26084"/>
      <c r="O26084" s="24"/>
      <c r="P26084"/>
      <c r="Q26084" s="24"/>
      <c r="R26084"/>
      <c r="S26084"/>
      <c r="T26084"/>
      <c r="U26084"/>
      <c r="X26084" s="60"/>
    </row>
    <row r="26085" spans="7:24" ht="15" customHeight="1">
      <c r="G26085"/>
      <c r="I26085"/>
      <c r="N26085"/>
      <c r="O26085" s="24"/>
      <c r="P26085"/>
      <c r="Q26085" s="24"/>
      <c r="R26085"/>
      <c r="S26085"/>
      <c r="T26085"/>
      <c r="U26085"/>
      <c r="X26085" s="60"/>
    </row>
    <row r="26086" spans="7:24" ht="15" customHeight="1">
      <c r="G26086"/>
      <c r="I26086"/>
      <c r="N26086"/>
      <c r="O26086" s="24"/>
      <c r="P26086"/>
      <c r="Q26086" s="24"/>
      <c r="R26086"/>
      <c r="S26086"/>
      <c r="T26086"/>
      <c r="U26086"/>
      <c r="X26086" s="60"/>
    </row>
    <row r="26087" spans="7:24" ht="15" customHeight="1">
      <c r="G26087"/>
      <c r="I26087"/>
      <c r="N26087"/>
      <c r="O26087" s="24"/>
      <c r="P26087"/>
      <c r="Q26087" s="24"/>
      <c r="R26087"/>
      <c r="S26087"/>
      <c r="T26087"/>
      <c r="U26087"/>
      <c r="X26087" s="60"/>
    </row>
    <row r="26088" spans="7:24" ht="15" customHeight="1">
      <c r="G26088"/>
      <c r="I26088"/>
      <c r="N26088"/>
      <c r="O26088" s="24"/>
      <c r="P26088"/>
      <c r="Q26088" s="24"/>
      <c r="R26088"/>
      <c r="S26088"/>
      <c r="T26088"/>
      <c r="U26088"/>
      <c r="X26088" s="60"/>
    </row>
    <row r="26089" spans="7:24" ht="15" customHeight="1">
      <c r="G26089"/>
      <c r="I26089"/>
      <c r="N26089"/>
      <c r="O26089" s="24"/>
      <c r="P26089"/>
      <c r="Q26089" s="24"/>
      <c r="R26089"/>
      <c r="S26089"/>
      <c r="T26089"/>
      <c r="U26089"/>
      <c r="X26089" s="60"/>
    </row>
    <row r="26090" spans="7:24" ht="15" customHeight="1">
      <c r="G26090"/>
      <c r="I26090"/>
      <c r="N26090"/>
      <c r="O26090" s="24"/>
      <c r="P26090"/>
      <c r="Q26090" s="24"/>
      <c r="R26090"/>
      <c r="S26090"/>
      <c r="T26090"/>
      <c r="U26090"/>
      <c r="X26090" s="60"/>
    </row>
    <row r="26091" spans="7:24" ht="15" customHeight="1">
      <c r="G26091"/>
      <c r="I26091"/>
      <c r="N26091"/>
      <c r="O26091" s="24"/>
      <c r="P26091"/>
      <c r="Q26091" s="24"/>
      <c r="R26091"/>
      <c r="S26091"/>
      <c r="T26091"/>
      <c r="U26091"/>
      <c r="X26091" s="60"/>
    </row>
    <row r="26092" spans="7:24" ht="15" customHeight="1">
      <c r="G26092"/>
      <c r="I26092"/>
      <c r="N26092"/>
      <c r="O26092" s="24"/>
      <c r="P26092"/>
      <c r="Q26092" s="24"/>
      <c r="R26092"/>
      <c r="S26092"/>
      <c r="T26092"/>
      <c r="U26092"/>
      <c r="X26092" s="60"/>
    </row>
    <row r="26093" spans="7:24" ht="15" customHeight="1">
      <c r="G26093"/>
      <c r="I26093"/>
      <c r="N26093"/>
      <c r="O26093" s="24"/>
      <c r="P26093"/>
      <c r="Q26093" s="24"/>
      <c r="R26093"/>
      <c r="S26093"/>
      <c r="T26093"/>
      <c r="U26093"/>
      <c r="X26093" s="60"/>
    </row>
    <row r="26094" spans="7:24" ht="15" customHeight="1">
      <c r="G26094"/>
      <c r="I26094"/>
      <c r="N26094"/>
      <c r="O26094" s="24"/>
      <c r="P26094"/>
      <c r="Q26094" s="24"/>
      <c r="R26094"/>
      <c r="S26094"/>
      <c r="T26094"/>
      <c r="U26094"/>
      <c r="X26094" s="60"/>
    </row>
    <row r="26095" spans="7:24" ht="15" customHeight="1">
      <c r="G26095"/>
      <c r="I26095"/>
      <c r="N26095"/>
      <c r="O26095" s="24"/>
      <c r="P26095"/>
      <c r="Q26095" s="24"/>
      <c r="R26095"/>
      <c r="S26095"/>
      <c r="T26095"/>
      <c r="U26095"/>
      <c r="X26095" s="60"/>
    </row>
    <row r="26096" spans="7:24" ht="15" customHeight="1">
      <c r="G26096"/>
      <c r="I26096"/>
      <c r="N26096"/>
      <c r="O26096" s="24"/>
      <c r="P26096"/>
      <c r="Q26096" s="24"/>
      <c r="R26096"/>
      <c r="S26096"/>
      <c r="T26096"/>
      <c r="U26096"/>
      <c r="X26096" s="60"/>
    </row>
    <row r="26097" spans="7:24" ht="15" customHeight="1">
      <c r="G26097"/>
      <c r="I26097"/>
      <c r="N26097"/>
      <c r="O26097" s="24"/>
      <c r="P26097"/>
      <c r="Q26097" s="24"/>
      <c r="R26097"/>
      <c r="S26097"/>
      <c r="T26097"/>
      <c r="U26097"/>
      <c r="X26097" s="60"/>
    </row>
    <row r="26098" spans="7:24" ht="15" customHeight="1">
      <c r="G26098"/>
      <c r="I26098"/>
      <c r="N26098"/>
      <c r="O26098" s="24"/>
      <c r="P26098"/>
      <c r="Q26098" s="24"/>
      <c r="R26098"/>
      <c r="S26098"/>
      <c r="T26098"/>
      <c r="U26098"/>
      <c r="X26098" s="60"/>
    </row>
    <row r="26099" spans="7:24" ht="15" customHeight="1">
      <c r="G26099"/>
      <c r="I26099"/>
      <c r="N26099"/>
      <c r="O26099" s="24"/>
      <c r="P26099"/>
      <c r="Q26099" s="24"/>
      <c r="R26099"/>
      <c r="S26099"/>
      <c r="T26099"/>
      <c r="U26099"/>
      <c r="X26099" s="60"/>
    </row>
    <row r="26100" spans="7:24" ht="15" customHeight="1">
      <c r="G26100"/>
      <c r="I26100"/>
      <c r="N26100"/>
      <c r="O26100" s="24"/>
      <c r="P26100"/>
      <c r="Q26100" s="24"/>
      <c r="R26100"/>
      <c r="S26100"/>
      <c r="T26100"/>
      <c r="U26100"/>
      <c r="X26100" s="60"/>
    </row>
    <row r="26101" spans="7:24" ht="15" customHeight="1">
      <c r="G26101"/>
      <c r="I26101"/>
      <c r="N26101"/>
      <c r="O26101" s="24"/>
      <c r="P26101"/>
      <c r="Q26101" s="24"/>
      <c r="R26101"/>
      <c r="S26101"/>
      <c r="T26101"/>
      <c r="U26101"/>
      <c r="X26101" s="60"/>
    </row>
    <row r="26102" spans="7:24" ht="15" customHeight="1">
      <c r="G26102"/>
      <c r="I26102"/>
      <c r="N26102"/>
      <c r="O26102" s="24"/>
      <c r="P26102"/>
      <c r="Q26102" s="24"/>
      <c r="R26102"/>
      <c r="S26102"/>
      <c r="T26102"/>
      <c r="U26102"/>
      <c r="X26102" s="60"/>
    </row>
    <row r="26103" spans="7:24" ht="15" customHeight="1">
      <c r="G26103"/>
      <c r="I26103"/>
      <c r="N26103"/>
      <c r="O26103" s="24"/>
      <c r="P26103"/>
      <c r="Q26103" s="24"/>
      <c r="R26103"/>
      <c r="S26103"/>
      <c r="T26103"/>
      <c r="U26103"/>
      <c r="X26103" s="60"/>
    </row>
    <row r="26104" spans="7:24" ht="15" customHeight="1">
      <c r="G26104"/>
      <c r="I26104"/>
      <c r="N26104"/>
      <c r="O26104" s="24"/>
      <c r="P26104"/>
      <c r="Q26104" s="24"/>
      <c r="R26104"/>
      <c r="S26104"/>
      <c r="T26104"/>
      <c r="U26104"/>
      <c r="X26104" s="60"/>
    </row>
    <row r="26105" spans="7:24" ht="15" customHeight="1">
      <c r="G26105"/>
      <c r="I26105"/>
      <c r="N26105"/>
      <c r="O26105" s="24"/>
      <c r="P26105"/>
      <c r="Q26105" s="24"/>
      <c r="R26105"/>
      <c r="S26105"/>
      <c r="T26105"/>
      <c r="U26105"/>
      <c r="X26105" s="60"/>
    </row>
    <row r="26106" spans="7:24" ht="15" customHeight="1">
      <c r="G26106"/>
      <c r="I26106"/>
      <c r="N26106"/>
      <c r="O26106" s="24"/>
      <c r="P26106"/>
      <c r="Q26106" s="24"/>
      <c r="R26106"/>
      <c r="S26106"/>
      <c r="T26106"/>
      <c r="U26106"/>
      <c r="X26106" s="60"/>
    </row>
    <row r="26107" spans="7:24" ht="15" customHeight="1">
      <c r="G26107"/>
      <c r="I26107"/>
      <c r="N26107"/>
      <c r="O26107" s="24"/>
      <c r="P26107"/>
      <c r="Q26107" s="24"/>
      <c r="R26107"/>
      <c r="S26107"/>
      <c r="T26107"/>
      <c r="U26107"/>
      <c r="X26107" s="60"/>
    </row>
    <row r="26108" spans="7:24" ht="15" customHeight="1">
      <c r="G26108"/>
      <c r="I26108"/>
      <c r="N26108"/>
      <c r="O26108" s="24"/>
      <c r="P26108"/>
      <c r="Q26108" s="24"/>
      <c r="R26108"/>
      <c r="S26108"/>
      <c r="T26108"/>
      <c r="U26108"/>
      <c r="X26108" s="60"/>
    </row>
    <row r="26109" spans="7:24" ht="15" customHeight="1">
      <c r="G26109"/>
      <c r="I26109"/>
      <c r="N26109"/>
      <c r="O26109" s="24"/>
      <c r="P26109"/>
      <c r="Q26109" s="24"/>
      <c r="R26109"/>
      <c r="S26109"/>
      <c r="T26109"/>
      <c r="U26109"/>
      <c r="X26109" s="60"/>
    </row>
    <row r="26110" spans="7:24" ht="15" customHeight="1">
      <c r="G26110"/>
      <c r="I26110"/>
      <c r="N26110"/>
      <c r="O26110" s="24"/>
      <c r="P26110"/>
      <c r="Q26110" s="24"/>
      <c r="R26110"/>
      <c r="S26110"/>
      <c r="T26110"/>
      <c r="U26110"/>
      <c r="X26110" s="60"/>
    </row>
    <row r="26111" spans="7:24" ht="15" customHeight="1">
      <c r="G26111"/>
      <c r="I26111"/>
      <c r="N26111"/>
      <c r="O26111" s="24"/>
      <c r="P26111"/>
      <c r="Q26111" s="24"/>
      <c r="R26111"/>
      <c r="S26111"/>
      <c r="T26111"/>
      <c r="U26111"/>
      <c r="X26111" s="60"/>
    </row>
    <row r="26112" spans="7:24" ht="15" customHeight="1">
      <c r="G26112"/>
      <c r="I26112"/>
      <c r="N26112"/>
      <c r="O26112" s="24"/>
      <c r="P26112"/>
      <c r="Q26112" s="24"/>
      <c r="R26112"/>
      <c r="S26112"/>
      <c r="T26112"/>
      <c r="U26112"/>
      <c r="X26112" s="60"/>
    </row>
    <row r="26113" spans="7:24" ht="15" customHeight="1">
      <c r="G26113"/>
      <c r="I26113"/>
      <c r="N26113"/>
      <c r="O26113" s="24"/>
      <c r="P26113"/>
      <c r="Q26113" s="24"/>
      <c r="R26113"/>
      <c r="S26113"/>
      <c r="T26113"/>
      <c r="U26113"/>
      <c r="X26113" s="60"/>
    </row>
    <row r="26114" spans="7:24" ht="15" customHeight="1">
      <c r="G26114"/>
      <c r="I26114"/>
      <c r="N26114"/>
      <c r="O26114" s="24"/>
      <c r="P26114"/>
      <c r="Q26114" s="24"/>
      <c r="R26114"/>
      <c r="S26114"/>
      <c r="T26114"/>
      <c r="U26114"/>
      <c r="X26114" s="60"/>
    </row>
    <row r="26115" spans="7:24" ht="15" customHeight="1">
      <c r="G26115"/>
      <c r="I26115"/>
      <c r="N26115"/>
      <c r="O26115" s="24"/>
      <c r="P26115"/>
      <c r="Q26115" s="24"/>
      <c r="R26115"/>
      <c r="S26115"/>
      <c r="T26115"/>
      <c r="U26115"/>
      <c r="X26115" s="60"/>
    </row>
    <row r="26116" spans="7:24" ht="15" customHeight="1">
      <c r="G26116"/>
      <c r="I26116"/>
      <c r="N26116"/>
      <c r="O26116" s="24"/>
      <c r="P26116"/>
      <c r="Q26116" s="24"/>
      <c r="R26116"/>
      <c r="S26116"/>
      <c r="T26116"/>
      <c r="U26116"/>
      <c r="X26116" s="60"/>
    </row>
    <row r="26117" spans="7:24" ht="15" customHeight="1">
      <c r="G26117"/>
      <c r="I26117"/>
      <c r="N26117"/>
      <c r="O26117" s="24"/>
      <c r="P26117"/>
      <c r="Q26117" s="24"/>
      <c r="R26117"/>
      <c r="S26117"/>
      <c r="T26117"/>
      <c r="U26117"/>
      <c r="X26117" s="60"/>
    </row>
    <row r="26118" spans="7:24" ht="15" customHeight="1">
      <c r="G26118"/>
      <c r="I26118"/>
      <c r="N26118"/>
      <c r="O26118" s="24"/>
      <c r="P26118"/>
      <c r="Q26118" s="24"/>
      <c r="R26118"/>
      <c r="S26118"/>
      <c r="T26118"/>
      <c r="U26118"/>
      <c r="X26118" s="60"/>
    </row>
    <row r="26119" spans="7:24" ht="15" customHeight="1">
      <c r="G26119"/>
      <c r="I26119"/>
      <c r="N26119"/>
      <c r="O26119" s="24"/>
      <c r="P26119"/>
      <c r="Q26119" s="24"/>
      <c r="R26119"/>
      <c r="S26119"/>
      <c r="T26119"/>
      <c r="U26119"/>
      <c r="X26119" s="60"/>
    </row>
    <row r="26120" spans="7:24" ht="15" customHeight="1">
      <c r="G26120"/>
      <c r="I26120"/>
      <c r="N26120"/>
      <c r="O26120" s="24"/>
      <c r="P26120"/>
      <c r="Q26120" s="24"/>
      <c r="R26120"/>
      <c r="S26120"/>
      <c r="T26120"/>
      <c r="U26120"/>
      <c r="X26120" s="60"/>
    </row>
    <row r="26121" spans="7:24" ht="15" customHeight="1">
      <c r="G26121"/>
      <c r="I26121"/>
      <c r="N26121"/>
      <c r="O26121" s="24"/>
      <c r="P26121"/>
      <c r="Q26121" s="24"/>
      <c r="R26121"/>
      <c r="S26121"/>
      <c r="T26121"/>
      <c r="U26121"/>
      <c r="X26121" s="60"/>
    </row>
    <row r="26122" spans="7:24" ht="15" customHeight="1">
      <c r="G26122"/>
      <c r="I26122"/>
      <c r="N26122"/>
      <c r="O26122" s="24"/>
      <c r="P26122"/>
      <c r="Q26122" s="24"/>
      <c r="R26122"/>
      <c r="S26122"/>
      <c r="T26122"/>
      <c r="U26122"/>
      <c r="X26122" s="60"/>
    </row>
    <row r="26123" spans="7:24" ht="15" customHeight="1">
      <c r="G26123"/>
      <c r="I26123"/>
      <c r="N26123"/>
      <c r="O26123" s="24"/>
      <c r="P26123"/>
      <c r="Q26123" s="24"/>
      <c r="R26123"/>
      <c r="S26123"/>
      <c r="T26123"/>
      <c r="U26123"/>
      <c r="X26123" s="60"/>
    </row>
    <row r="26124" spans="7:24" ht="15" customHeight="1">
      <c r="G26124"/>
      <c r="I26124"/>
      <c r="N26124"/>
      <c r="O26124" s="24"/>
      <c r="P26124"/>
      <c r="Q26124" s="24"/>
      <c r="R26124"/>
      <c r="S26124"/>
      <c r="T26124"/>
      <c r="U26124"/>
      <c r="X26124" s="60"/>
    </row>
    <row r="26125" spans="7:24" ht="15" customHeight="1">
      <c r="G26125"/>
      <c r="I26125"/>
      <c r="N26125"/>
      <c r="O26125" s="24"/>
      <c r="P26125"/>
      <c r="Q26125" s="24"/>
      <c r="R26125"/>
      <c r="S26125"/>
      <c r="T26125"/>
      <c r="U26125"/>
      <c r="X26125" s="60"/>
    </row>
    <row r="26126" spans="7:24" ht="15" customHeight="1">
      <c r="G26126"/>
      <c r="I26126"/>
      <c r="N26126"/>
      <c r="O26126" s="24"/>
      <c r="P26126"/>
      <c r="Q26126" s="24"/>
      <c r="R26126"/>
      <c r="S26126"/>
      <c r="T26126"/>
      <c r="U26126"/>
      <c r="X26126" s="60"/>
    </row>
    <row r="26127" spans="7:24" ht="15" customHeight="1">
      <c r="G26127"/>
      <c r="I26127"/>
      <c r="N26127"/>
      <c r="O26127" s="24"/>
      <c r="P26127"/>
      <c r="Q26127" s="24"/>
      <c r="R26127"/>
      <c r="S26127"/>
      <c r="T26127"/>
      <c r="U26127"/>
      <c r="X26127" s="60"/>
    </row>
    <row r="26128" spans="7:24" ht="15" customHeight="1">
      <c r="G26128"/>
      <c r="I26128"/>
      <c r="N26128"/>
      <c r="O26128" s="24"/>
      <c r="P26128"/>
      <c r="Q26128" s="24"/>
      <c r="R26128"/>
      <c r="S26128"/>
      <c r="T26128"/>
      <c r="U26128"/>
      <c r="X26128" s="60"/>
    </row>
    <row r="26129" spans="7:24" ht="15" customHeight="1">
      <c r="G26129"/>
      <c r="I26129"/>
      <c r="N26129"/>
      <c r="O26129" s="24"/>
      <c r="P26129"/>
      <c r="Q26129" s="24"/>
      <c r="R26129"/>
      <c r="S26129"/>
      <c r="T26129"/>
      <c r="U26129"/>
      <c r="X26129" s="60"/>
    </row>
    <row r="26130" spans="7:24" ht="15" customHeight="1">
      <c r="G26130"/>
      <c r="I26130"/>
      <c r="N26130"/>
      <c r="O26130" s="24"/>
      <c r="P26130"/>
      <c r="Q26130" s="24"/>
      <c r="R26130"/>
      <c r="S26130"/>
      <c r="T26130"/>
      <c r="U26130"/>
      <c r="X26130" s="60"/>
    </row>
    <row r="26131" spans="7:24" ht="15" customHeight="1">
      <c r="G26131"/>
      <c r="I26131"/>
      <c r="N26131"/>
      <c r="O26131" s="24"/>
      <c r="P26131"/>
      <c r="Q26131" s="24"/>
      <c r="R26131"/>
      <c r="S26131"/>
      <c r="T26131"/>
      <c r="U26131"/>
      <c r="X26131" s="60"/>
    </row>
    <row r="26132" spans="7:24" ht="15" customHeight="1">
      <c r="G26132"/>
      <c r="I26132"/>
      <c r="N26132"/>
      <c r="O26132" s="24"/>
      <c r="P26132"/>
      <c r="Q26132" s="24"/>
      <c r="R26132"/>
      <c r="S26132"/>
      <c r="T26132"/>
      <c r="U26132"/>
      <c r="X26132" s="60"/>
    </row>
    <row r="26133" spans="7:24" ht="15" customHeight="1">
      <c r="G26133"/>
      <c r="I26133"/>
      <c r="N26133"/>
      <c r="O26133" s="24"/>
      <c r="P26133"/>
      <c r="Q26133" s="24"/>
      <c r="R26133"/>
      <c r="S26133"/>
      <c r="T26133"/>
      <c r="U26133"/>
      <c r="X26133" s="60"/>
    </row>
    <row r="26134" spans="7:24" ht="15" customHeight="1">
      <c r="G26134"/>
      <c r="I26134"/>
      <c r="N26134"/>
      <c r="O26134" s="24"/>
      <c r="P26134"/>
      <c r="Q26134" s="24"/>
      <c r="R26134"/>
      <c r="S26134"/>
      <c r="T26134"/>
      <c r="U26134"/>
      <c r="X26134" s="60"/>
    </row>
    <row r="26135" spans="7:24" ht="15" customHeight="1">
      <c r="G26135"/>
      <c r="I26135"/>
      <c r="N26135"/>
      <c r="O26135" s="24"/>
      <c r="P26135"/>
      <c r="Q26135" s="24"/>
      <c r="R26135"/>
      <c r="S26135"/>
      <c r="T26135"/>
      <c r="U26135"/>
      <c r="X26135" s="60"/>
    </row>
    <row r="26136" spans="7:24" ht="15" customHeight="1">
      <c r="G26136"/>
      <c r="I26136"/>
      <c r="N26136"/>
      <c r="O26136" s="24"/>
      <c r="P26136"/>
      <c r="Q26136" s="24"/>
      <c r="R26136"/>
      <c r="S26136"/>
      <c r="T26136"/>
      <c r="U26136"/>
      <c r="X26136" s="60"/>
    </row>
    <row r="26137" spans="7:24" ht="15" customHeight="1">
      <c r="G26137"/>
      <c r="I26137"/>
      <c r="N26137"/>
      <c r="O26137" s="24"/>
      <c r="P26137"/>
      <c r="Q26137" s="24"/>
      <c r="R26137"/>
      <c r="S26137"/>
      <c r="T26137"/>
      <c r="U26137"/>
      <c r="X26137" s="60"/>
    </row>
    <row r="26138" spans="7:24" ht="15" customHeight="1">
      <c r="G26138"/>
      <c r="I26138"/>
      <c r="N26138"/>
      <c r="O26138" s="24"/>
      <c r="P26138"/>
      <c r="Q26138" s="24"/>
      <c r="R26138"/>
      <c r="S26138"/>
      <c r="T26138"/>
      <c r="U26138"/>
      <c r="X26138" s="60"/>
    </row>
    <row r="26139" spans="7:24" ht="15" customHeight="1">
      <c r="G26139"/>
      <c r="I26139"/>
      <c r="N26139"/>
      <c r="O26139" s="24"/>
      <c r="P26139"/>
      <c r="Q26139" s="24"/>
      <c r="R26139"/>
      <c r="S26139"/>
      <c r="T26139"/>
      <c r="U26139"/>
      <c r="X26139" s="60"/>
    </row>
    <row r="26140" spans="7:24" ht="15" customHeight="1">
      <c r="G26140"/>
      <c r="I26140"/>
      <c r="N26140"/>
      <c r="O26140" s="24"/>
      <c r="P26140"/>
      <c r="Q26140" s="24"/>
      <c r="R26140"/>
      <c r="S26140"/>
      <c r="T26140"/>
      <c r="U26140"/>
      <c r="X26140" s="60"/>
    </row>
    <row r="26141" spans="7:24" ht="15" customHeight="1">
      <c r="G26141"/>
      <c r="I26141"/>
      <c r="N26141"/>
      <c r="O26141" s="24"/>
      <c r="P26141"/>
      <c r="Q26141" s="24"/>
      <c r="R26141"/>
      <c r="S26141"/>
      <c r="T26141"/>
      <c r="U26141"/>
      <c r="X26141" s="60"/>
    </row>
    <row r="26142" spans="7:24" ht="15" customHeight="1">
      <c r="G26142"/>
      <c r="I26142"/>
      <c r="N26142"/>
      <c r="O26142" s="24"/>
      <c r="P26142"/>
      <c r="Q26142" s="24"/>
      <c r="R26142"/>
      <c r="S26142"/>
      <c r="T26142"/>
      <c r="U26142"/>
      <c r="X26142" s="60"/>
    </row>
    <row r="26143" spans="7:24" ht="15" customHeight="1">
      <c r="G26143"/>
      <c r="I26143"/>
      <c r="N26143"/>
      <c r="O26143" s="24"/>
      <c r="P26143"/>
      <c r="Q26143" s="24"/>
      <c r="R26143"/>
      <c r="S26143"/>
      <c r="T26143"/>
      <c r="U26143"/>
      <c r="X26143" s="60"/>
    </row>
    <row r="26144" spans="7:24" ht="15" customHeight="1">
      <c r="G26144"/>
      <c r="I26144"/>
      <c r="N26144"/>
      <c r="O26144" s="24"/>
      <c r="P26144"/>
      <c r="Q26144" s="24"/>
      <c r="R26144"/>
      <c r="S26144"/>
      <c r="T26144"/>
      <c r="U26144"/>
      <c r="X26144" s="60"/>
    </row>
    <row r="26145" spans="7:24" ht="15" customHeight="1">
      <c r="G26145"/>
      <c r="I26145"/>
      <c r="N26145"/>
      <c r="O26145" s="24"/>
      <c r="P26145"/>
      <c r="Q26145" s="24"/>
      <c r="R26145"/>
      <c r="S26145"/>
      <c r="T26145"/>
      <c r="U26145"/>
      <c r="X26145" s="60"/>
    </row>
    <row r="26146" spans="7:24" ht="15" customHeight="1">
      <c r="G26146"/>
      <c r="I26146"/>
      <c r="N26146"/>
      <c r="O26146" s="24"/>
      <c r="P26146"/>
      <c r="Q26146" s="24"/>
      <c r="R26146"/>
      <c r="S26146"/>
      <c r="T26146"/>
      <c r="U26146"/>
      <c r="X26146" s="60"/>
    </row>
    <row r="26147" spans="7:24" ht="15" customHeight="1">
      <c r="G26147"/>
      <c r="I26147"/>
      <c r="N26147"/>
      <c r="O26147" s="24"/>
      <c r="P26147"/>
      <c r="Q26147" s="24"/>
      <c r="R26147"/>
      <c r="S26147"/>
      <c r="T26147"/>
      <c r="U26147"/>
      <c r="X26147" s="60"/>
    </row>
    <row r="26148" spans="7:24" ht="15" customHeight="1">
      <c r="G26148"/>
      <c r="I26148"/>
      <c r="N26148"/>
      <c r="O26148" s="24"/>
      <c r="P26148"/>
      <c r="Q26148" s="24"/>
      <c r="R26148"/>
      <c r="S26148"/>
      <c r="T26148"/>
      <c r="U26148"/>
      <c r="X26148" s="60"/>
    </row>
    <row r="26149" spans="7:24" ht="15" customHeight="1">
      <c r="G26149"/>
      <c r="I26149"/>
      <c r="N26149"/>
      <c r="O26149" s="24"/>
      <c r="P26149"/>
      <c r="Q26149" s="24"/>
      <c r="R26149"/>
      <c r="S26149"/>
      <c r="T26149"/>
      <c r="U26149"/>
      <c r="X26149" s="60"/>
    </row>
    <row r="26150" spans="7:24" ht="15" customHeight="1">
      <c r="G26150"/>
      <c r="I26150"/>
      <c r="N26150"/>
      <c r="O26150" s="24"/>
      <c r="P26150"/>
      <c r="Q26150" s="24"/>
      <c r="R26150"/>
      <c r="S26150"/>
      <c r="T26150"/>
      <c r="U26150"/>
      <c r="X26150" s="60"/>
    </row>
    <row r="26151" spans="7:24" ht="15" customHeight="1">
      <c r="G26151"/>
      <c r="I26151"/>
      <c r="N26151"/>
      <c r="O26151" s="24"/>
      <c r="P26151"/>
      <c r="Q26151" s="24"/>
      <c r="R26151"/>
      <c r="S26151"/>
      <c r="T26151"/>
      <c r="U26151"/>
      <c r="X26151" s="60"/>
    </row>
    <row r="26152" spans="7:24" ht="15" customHeight="1">
      <c r="G26152"/>
      <c r="I26152"/>
      <c r="N26152"/>
      <c r="O26152" s="24"/>
      <c r="P26152"/>
      <c r="Q26152" s="24"/>
      <c r="R26152"/>
      <c r="S26152"/>
      <c r="T26152"/>
      <c r="U26152"/>
      <c r="X26152" s="60"/>
    </row>
    <row r="26153" spans="7:24" ht="15" customHeight="1">
      <c r="G26153"/>
      <c r="I26153"/>
      <c r="N26153"/>
      <c r="O26153" s="24"/>
      <c r="P26153"/>
      <c r="Q26153" s="24"/>
      <c r="R26153"/>
      <c r="S26153"/>
      <c r="T26153"/>
      <c r="U26153"/>
      <c r="X26153" s="60"/>
    </row>
    <row r="26154" spans="7:24" ht="15" customHeight="1">
      <c r="G26154"/>
      <c r="I26154"/>
      <c r="N26154"/>
      <c r="O26154" s="24"/>
      <c r="P26154"/>
      <c r="Q26154" s="24"/>
      <c r="R26154"/>
      <c r="S26154"/>
      <c r="T26154"/>
      <c r="U26154"/>
      <c r="X26154" s="60"/>
    </row>
    <row r="26155" spans="7:24" ht="15" customHeight="1">
      <c r="G26155"/>
      <c r="I26155"/>
      <c r="N26155"/>
      <c r="O26155" s="24"/>
      <c r="P26155"/>
      <c r="Q26155" s="24"/>
      <c r="R26155"/>
      <c r="S26155"/>
      <c r="T26155"/>
      <c r="U26155"/>
      <c r="X26155" s="60"/>
    </row>
    <row r="26156" spans="7:24" ht="15" customHeight="1">
      <c r="G26156"/>
      <c r="I26156"/>
      <c r="N26156"/>
      <c r="O26156" s="24"/>
      <c r="P26156"/>
      <c r="Q26156" s="24"/>
      <c r="R26156"/>
      <c r="S26156"/>
      <c r="T26156"/>
      <c r="U26156"/>
      <c r="X26156" s="60"/>
    </row>
    <row r="26157" spans="7:24" ht="15" customHeight="1">
      <c r="G26157"/>
      <c r="I26157"/>
      <c r="N26157"/>
      <c r="O26157" s="24"/>
      <c r="P26157"/>
      <c r="Q26157" s="24"/>
      <c r="R26157"/>
      <c r="S26157"/>
      <c r="T26157"/>
      <c r="U26157"/>
      <c r="X26157" s="60"/>
    </row>
    <row r="26158" spans="7:24" ht="15" customHeight="1">
      <c r="G26158"/>
      <c r="I26158"/>
      <c r="N26158"/>
      <c r="O26158" s="24"/>
      <c r="P26158"/>
      <c r="Q26158" s="24"/>
      <c r="R26158"/>
      <c r="S26158"/>
      <c r="T26158"/>
      <c r="U26158"/>
      <c r="X26158" s="60"/>
    </row>
    <row r="26159" spans="7:24" ht="15" customHeight="1">
      <c r="G26159"/>
      <c r="I26159"/>
      <c r="N26159"/>
      <c r="O26159" s="24"/>
      <c r="P26159"/>
      <c r="Q26159" s="24"/>
      <c r="R26159"/>
      <c r="S26159"/>
      <c r="T26159"/>
      <c r="U26159"/>
      <c r="X26159" s="60"/>
    </row>
    <row r="26160" spans="7:24" ht="15" customHeight="1">
      <c r="G26160"/>
      <c r="I26160"/>
      <c r="N26160"/>
      <c r="O26160" s="24"/>
      <c r="P26160"/>
      <c r="Q26160" s="24"/>
      <c r="R26160"/>
      <c r="S26160"/>
      <c r="T26160"/>
      <c r="U26160"/>
      <c r="X26160" s="60"/>
    </row>
    <row r="26161" spans="7:24" ht="15" customHeight="1">
      <c r="G26161"/>
      <c r="I26161"/>
      <c r="N26161"/>
      <c r="O26161" s="24"/>
      <c r="P26161"/>
      <c r="Q26161" s="24"/>
      <c r="R26161"/>
      <c r="S26161"/>
      <c r="T26161"/>
      <c r="U26161"/>
      <c r="X26161" s="60"/>
    </row>
    <row r="26162" spans="7:24" ht="15" customHeight="1">
      <c r="G26162"/>
      <c r="I26162"/>
      <c r="N26162"/>
      <c r="O26162" s="24"/>
      <c r="P26162"/>
      <c r="Q26162" s="24"/>
      <c r="R26162"/>
      <c r="S26162"/>
      <c r="T26162"/>
      <c r="U26162"/>
      <c r="X26162" s="60"/>
    </row>
    <row r="26163" spans="7:24" ht="15" customHeight="1">
      <c r="G26163"/>
      <c r="I26163"/>
      <c r="N26163"/>
      <c r="O26163" s="24"/>
      <c r="P26163"/>
      <c r="Q26163" s="24"/>
      <c r="R26163"/>
      <c r="S26163"/>
      <c r="T26163"/>
      <c r="U26163"/>
      <c r="X26163" s="60"/>
    </row>
    <row r="26164" spans="7:24" ht="15" customHeight="1">
      <c r="G26164"/>
      <c r="I26164"/>
      <c r="N26164"/>
      <c r="O26164" s="24"/>
      <c r="P26164"/>
      <c r="Q26164" s="24"/>
      <c r="R26164"/>
      <c r="S26164"/>
      <c r="T26164"/>
      <c r="U26164"/>
      <c r="X26164" s="60"/>
    </row>
    <row r="26165" spans="7:24" ht="15" customHeight="1">
      <c r="G26165"/>
      <c r="I26165"/>
      <c r="N26165"/>
      <c r="O26165" s="24"/>
      <c r="P26165"/>
      <c r="Q26165" s="24"/>
      <c r="R26165"/>
      <c r="S26165"/>
      <c r="T26165"/>
      <c r="U26165"/>
      <c r="X26165" s="60"/>
    </row>
    <row r="26166" spans="7:24" ht="15" customHeight="1">
      <c r="G26166"/>
      <c r="I26166"/>
      <c r="N26166"/>
      <c r="O26166" s="24"/>
      <c r="P26166"/>
      <c r="Q26166" s="24"/>
      <c r="R26166"/>
      <c r="S26166"/>
      <c r="T26166"/>
      <c r="U26166"/>
      <c r="X26166" s="60"/>
    </row>
    <row r="26167" spans="7:24" ht="15" customHeight="1">
      <c r="G26167"/>
      <c r="I26167"/>
      <c r="N26167"/>
      <c r="O26167" s="24"/>
      <c r="P26167"/>
      <c r="Q26167" s="24"/>
      <c r="R26167"/>
      <c r="S26167"/>
      <c r="T26167"/>
      <c r="U26167"/>
      <c r="X26167" s="60"/>
    </row>
    <row r="26168" spans="7:24" ht="15" customHeight="1">
      <c r="G26168"/>
      <c r="I26168"/>
      <c r="N26168"/>
      <c r="O26168" s="24"/>
      <c r="P26168"/>
      <c r="Q26168" s="24"/>
      <c r="R26168"/>
      <c r="S26168"/>
      <c r="T26168"/>
      <c r="U26168"/>
      <c r="X26168" s="60"/>
    </row>
    <row r="26169" spans="7:24" ht="15" customHeight="1">
      <c r="G26169"/>
      <c r="I26169"/>
      <c r="N26169"/>
      <c r="O26169" s="24"/>
      <c r="P26169"/>
      <c r="Q26169" s="24"/>
      <c r="R26169"/>
      <c r="S26169"/>
      <c r="T26169"/>
      <c r="U26169"/>
      <c r="X26169" s="60"/>
    </row>
    <row r="26170" spans="7:24" ht="15" customHeight="1">
      <c r="G26170"/>
      <c r="I26170"/>
      <c r="N26170"/>
      <c r="O26170" s="24"/>
      <c r="P26170"/>
      <c r="Q26170" s="24"/>
      <c r="R26170"/>
      <c r="S26170"/>
      <c r="T26170"/>
      <c r="U26170"/>
      <c r="X26170" s="60"/>
    </row>
    <row r="26171" spans="7:24" ht="15" customHeight="1">
      <c r="G26171"/>
      <c r="I26171"/>
      <c r="N26171"/>
      <c r="O26171" s="24"/>
      <c r="P26171"/>
      <c r="Q26171" s="24"/>
      <c r="R26171"/>
      <c r="S26171"/>
      <c r="T26171"/>
      <c r="U26171"/>
      <c r="X26171" s="60"/>
    </row>
    <row r="26172" spans="7:24" ht="15" customHeight="1">
      <c r="G26172"/>
      <c r="I26172"/>
      <c r="N26172"/>
      <c r="O26172" s="24"/>
      <c r="P26172"/>
      <c r="Q26172" s="24"/>
      <c r="R26172"/>
      <c r="S26172"/>
      <c r="T26172"/>
      <c r="U26172"/>
      <c r="X26172" s="60"/>
    </row>
    <row r="26173" spans="7:24" ht="15" customHeight="1">
      <c r="G26173"/>
      <c r="I26173"/>
      <c r="N26173"/>
      <c r="O26173" s="24"/>
      <c r="P26173"/>
      <c r="Q26173" s="24"/>
      <c r="R26173"/>
      <c r="S26173"/>
      <c r="T26173"/>
      <c r="U26173"/>
      <c r="X26173" s="60"/>
    </row>
    <row r="26174" spans="7:24" ht="15" customHeight="1">
      <c r="G26174"/>
      <c r="I26174"/>
      <c r="N26174"/>
      <c r="O26174" s="24"/>
      <c r="P26174"/>
      <c r="Q26174" s="24"/>
      <c r="R26174"/>
      <c r="S26174"/>
      <c r="T26174"/>
      <c r="U26174"/>
      <c r="X26174" s="60"/>
    </row>
    <row r="26175" spans="7:24" ht="15" customHeight="1">
      <c r="G26175"/>
      <c r="I26175"/>
      <c r="N26175"/>
      <c r="O26175" s="24"/>
      <c r="P26175"/>
      <c r="Q26175" s="24"/>
      <c r="R26175"/>
      <c r="S26175"/>
      <c r="T26175"/>
      <c r="U26175"/>
      <c r="X26175" s="60"/>
    </row>
    <row r="26176" spans="7:24" ht="15" customHeight="1">
      <c r="G26176"/>
      <c r="I26176"/>
      <c r="N26176"/>
      <c r="O26176" s="24"/>
      <c r="P26176"/>
      <c r="Q26176" s="24"/>
      <c r="R26176"/>
      <c r="S26176"/>
      <c r="T26176"/>
      <c r="U26176"/>
      <c r="X26176" s="60"/>
    </row>
    <row r="26177" spans="7:24" ht="15" customHeight="1">
      <c r="G26177"/>
      <c r="I26177"/>
      <c r="N26177"/>
      <c r="O26177" s="24"/>
      <c r="P26177"/>
      <c r="Q26177" s="24"/>
      <c r="R26177"/>
      <c r="S26177"/>
      <c r="T26177"/>
      <c r="U26177"/>
      <c r="X26177" s="60"/>
    </row>
    <row r="26178" spans="7:24" ht="15" customHeight="1">
      <c r="G26178"/>
      <c r="I26178"/>
      <c r="N26178"/>
      <c r="O26178" s="24"/>
      <c r="P26178"/>
      <c r="Q26178" s="24"/>
      <c r="R26178"/>
      <c r="S26178"/>
      <c r="T26178"/>
      <c r="U26178"/>
      <c r="X26178" s="60"/>
    </row>
    <row r="26179" spans="7:24" ht="15" customHeight="1">
      <c r="G26179"/>
      <c r="I26179"/>
      <c r="N26179"/>
      <c r="O26179" s="24"/>
      <c r="P26179"/>
      <c r="Q26179" s="24"/>
      <c r="R26179"/>
      <c r="S26179"/>
      <c r="T26179"/>
      <c r="U26179"/>
      <c r="X26179" s="60"/>
    </row>
    <row r="26180" spans="7:24" ht="15" customHeight="1">
      <c r="G26180"/>
      <c r="I26180"/>
      <c r="N26180"/>
      <c r="O26180" s="24"/>
      <c r="P26180"/>
      <c r="Q26180" s="24"/>
      <c r="R26180"/>
      <c r="S26180"/>
      <c r="T26180"/>
      <c r="U26180"/>
      <c r="X26180" s="60"/>
    </row>
    <row r="26181" spans="7:24" ht="15" customHeight="1">
      <c r="G26181"/>
      <c r="I26181"/>
      <c r="N26181"/>
      <c r="O26181" s="24"/>
      <c r="P26181"/>
      <c r="Q26181" s="24"/>
      <c r="R26181"/>
      <c r="S26181"/>
      <c r="T26181"/>
      <c r="U26181"/>
      <c r="X26181" s="60"/>
    </row>
    <row r="26182" spans="7:24" ht="15" customHeight="1">
      <c r="G26182"/>
      <c r="I26182"/>
      <c r="N26182"/>
      <c r="O26182" s="24"/>
      <c r="P26182"/>
      <c r="Q26182" s="24"/>
      <c r="R26182"/>
      <c r="S26182"/>
      <c r="T26182"/>
      <c r="U26182"/>
      <c r="X26182" s="60"/>
    </row>
    <row r="26183" spans="7:24" ht="15" customHeight="1">
      <c r="G26183"/>
      <c r="I26183"/>
      <c r="N26183"/>
      <c r="O26183" s="24"/>
      <c r="P26183"/>
      <c r="Q26183" s="24"/>
      <c r="R26183"/>
      <c r="S26183"/>
      <c r="T26183"/>
      <c r="U26183"/>
      <c r="X26183" s="60"/>
    </row>
    <row r="26184" spans="7:24" ht="15" customHeight="1">
      <c r="G26184"/>
      <c r="I26184"/>
      <c r="N26184"/>
      <c r="O26184" s="24"/>
      <c r="P26184"/>
      <c r="Q26184" s="24"/>
      <c r="R26184"/>
      <c r="S26184"/>
      <c r="T26184"/>
      <c r="U26184"/>
      <c r="X26184" s="60"/>
    </row>
    <row r="26185" spans="7:24" ht="15" customHeight="1">
      <c r="G26185"/>
      <c r="I26185"/>
      <c r="N26185"/>
      <c r="O26185" s="24"/>
      <c r="P26185"/>
      <c r="Q26185" s="24"/>
      <c r="R26185"/>
      <c r="S26185"/>
      <c r="T26185"/>
      <c r="U26185"/>
      <c r="X26185" s="60"/>
    </row>
    <row r="26186" spans="7:24" ht="15" customHeight="1">
      <c r="G26186"/>
      <c r="I26186"/>
      <c r="N26186"/>
      <c r="O26186" s="24"/>
      <c r="P26186"/>
      <c r="Q26186" s="24"/>
      <c r="R26186"/>
      <c r="S26186"/>
      <c r="T26186"/>
      <c r="U26186"/>
      <c r="X26186" s="60"/>
    </row>
    <row r="26187" spans="7:24" ht="15" customHeight="1">
      <c r="G26187"/>
      <c r="I26187"/>
      <c r="N26187"/>
      <c r="O26187" s="24"/>
      <c r="P26187"/>
      <c r="Q26187" s="24"/>
      <c r="R26187"/>
      <c r="S26187"/>
      <c r="T26187"/>
      <c r="U26187"/>
      <c r="X26187" s="60"/>
    </row>
    <row r="26188" spans="7:24" ht="15" customHeight="1">
      <c r="G26188"/>
      <c r="I26188"/>
      <c r="N26188"/>
      <c r="O26188" s="24"/>
      <c r="P26188"/>
      <c r="Q26188" s="24"/>
      <c r="R26188"/>
      <c r="S26188"/>
      <c r="T26188"/>
      <c r="U26188"/>
      <c r="X26188" s="60"/>
    </row>
    <row r="26189" spans="7:24" ht="15" customHeight="1">
      <c r="G26189"/>
      <c r="I26189"/>
      <c r="N26189"/>
      <c r="O26189" s="24"/>
      <c r="P26189"/>
      <c r="Q26189" s="24"/>
      <c r="R26189"/>
      <c r="S26189"/>
      <c r="T26189"/>
      <c r="U26189"/>
      <c r="X26189" s="60"/>
    </row>
    <row r="26190" spans="7:24" ht="15" customHeight="1">
      <c r="G26190"/>
      <c r="I26190"/>
      <c r="N26190"/>
      <c r="O26190" s="24"/>
      <c r="P26190"/>
      <c r="Q26190" s="24"/>
      <c r="R26190"/>
      <c r="S26190"/>
      <c r="T26190"/>
      <c r="U26190"/>
      <c r="X26190" s="60"/>
    </row>
    <row r="26191" spans="7:24" ht="15" customHeight="1">
      <c r="G26191"/>
      <c r="I26191"/>
      <c r="N26191"/>
      <c r="O26191" s="24"/>
      <c r="P26191"/>
      <c r="Q26191" s="24"/>
      <c r="R26191"/>
      <c r="S26191"/>
      <c r="T26191"/>
      <c r="U26191"/>
      <c r="X26191" s="60"/>
    </row>
    <row r="26192" spans="7:24" ht="15" customHeight="1">
      <c r="G26192"/>
      <c r="I26192"/>
      <c r="N26192"/>
      <c r="O26192" s="24"/>
      <c r="P26192"/>
      <c r="Q26192" s="24"/>
      <c r="R26192"/>
      <c r="S26192"/>
      <c r="T26192"/>
      <c r="U26192"/>
      <c r="X26192" s="60"/>
    </row>
    <row r="26193" spans="7:24" ht="15" customHeight="1">
      <c r="G26193"/>
      <c r="I26193"/>
      <c r="N26193"/>
      <c r="O26193" s="24"/>
      <c r="P26193"/>
      <c r="Q26193" s="24"/>
      <c r="R26193"/>
      <c r="S26193"/>
      <c r="T26193"/>
      <c r="U26193"/>
      <c r="X26193" s="60"/>
    </row>
    <row r="26194" spans="7:24" ht="15" customHeight="1">
      <c r="G26194"/>
      <c r="I26194"/>
      <c r="N26194"/>
      <c r="O26194" s="24"/>
      <c r="P26194"/>
      <c r="Q26194" s="24"/>
      <c r="R26194"/>
      <c r="S26194"/>
      <c r="T26194"/>
      <c r="U26194"/>
      <c r="X26194" s="60"/>
    </row>
    <row r="26195" spans="7:24" ht="15" customHeight="1">
      <c r="G26195"/>
      <c r="I26195"/>
      <c r="N26195"/>
      <c r="O26195" s="24"/>
      <c r="P26195"/>
      <c r="Q26195" s="24"/>
      <c r="R26195"/>
      <c r="S26195"/>
      <c r="T26195"/>
      <c r="U26195"/>
      <c r="X26195" s="60"/>
    </row>
    <row r="26196" spans="7:24" ht="15" customHeight="1">
      <c r="G26196"/>
      <c r="I26196"/>
      <c r="N26196"/>
      <c r="O26196" s="24"/>
      <c r="P26196"/>
      <c r="Q26196" s="24"/>
      <c r="R26196"/>
      <c r="S26196"/>
      <c r="T26196"/>
      <c r="U26196"/>
      <c r="X26196" s="60"/>
    </row>
    <row r="26197" spans="7:24" ht="15" customHeight="1">
      <c r="G26197"/>
      <c r="I26197"/>
      <c r="N26197"/>
      <c r="O26197" s="24"/>
      <c r="P26197"/>
      <c r="Q26197" s="24"/>
      <c r="R26197"/>
      <c r="S26197"/>
      <c r="T26197"/>
      <c r="U26197"/>
      <c r="X26197" s="60"/>
    </row>
    <row r="26198" spans="7:24" ht="15" customHeight="1">
      <c r="G26198"/>
      <c r="I26198"/>
      <c r="N26198"/>
      <c r="O26198" s="24"/>
      <c r="P26198"/>
      <c r="Q26198" s="24"/>
      <c r="R26198"/>
      <c r="S26198"/>
      <c r="T26198"/>
      <c r="U26198"/>
      <c r="X26198" s="60"/>
    </row>
    <row r="26199" spans="7:24" ht="15" customHeight="1">
      <c r="G26199"/>
      <c r="I26199"/>
      <c r="N26199"/>
      <c r="O26199" s="24"/>
      <c r="P26199"/>
      <c r="Q26199" s="24"/>
      <c r="R26199"/>
      <c r="S26199"/>
      <c r="T26199"/>
      <c r="U26199"/>
      <c r="X26199" s="60"/>
    </row>
    <row r="26200" spans="7:24" ht="15" customHeight="1">
      <c r="G26200"/>
      <c r="I26200"/>
      <c r="N26200"/>
      <c r="O26200" s="24"/>
      <c r="P26200"/>
      <c r="Q26200" s="24"/>
      <c r="R26200"/>
      <c r="S26200"/>
      <c r="T26200"/>
      <c r="U26200"/>
      <c r="X26200" s="60"/>
    </row>
    <row r="26201" spans="7:24" ht="15" customHeight="1">
      <c r="G26201"/>
      <c r="I26201"/>
      <c r="N26201"/>
      <c r="O26201" s="24"/>
      <c r="P26201"/>
      <c r="Q26201" s="24"/>
      <c r="R26201"/>
      <c r="S26201"/>
      <c r="T26201"/>
      <c r="U26201"/>
      <c r="X26201" s="60"/>
    </row>
    <row r="26202" spans="7:24" ht="15" customHeight="1">
      <c r="G26202"/>
      <c r="I26202"/>
      <c r="N26202"/>
      <c r="O26202" s="24"/>
      <c r="P26202"/>
      <c r="Q26202" s="24"/>
      <c r="R26202"/>
      <c r="S26202"/>
      <c r="T26202"/>
      <c r="U26202"/>
      <c r="X26202" s="60"/>
    </row>
    <row r="26203" spans="7:24" ht="15" customHeight="1">
      <c r="G26203"/>
      <c r="I26203"/>
      <c r="N26203"/>
      <c r="O26203" s="24"/>
      <c r="P26203"/>
      <c r="Q26203" s="24"/>
      <c r="R26203"/>
      <c r="S26203"/>
      <c r="T26203"/>
      <c r="U26203"/>
      <c r="X26203" s="60"/>
    </row>
    <row r="26204" spans="7:24" ht="15" customHeight="1">
      <c r="G26204"/>
      <c r="I26204"/>
      <c r="N26204"/>
      <c r="O26204" s="24"/>
      <c r="P26204"/>
      <c r="Q26204" s="24"/>
      <c r="R26204"/>
      <c r="S26204"/>
      <c r="T26204"/>
      <c r="U26204"/>
      <c r="X26204" s="60"/>
    </row>
    <row r="26205" spans="7:24" ht="15" customHeight="1">
      <c r="G26205"/>
      <c r="I26205"/>
      <c r="N26205"/>
      <c r="O26205" s="24"/>
      <c r="P26205"/>
      <c r="Q26205" s="24"/>
      <c r="R26205"/>
      <c r="S26205"/>
      <c r="T26205"/>
      <c r="U26205"/>
      <c r="X26205" s="60"/>
    </row>
    <row r="26206" spans="7:24" ht="15" customHeight="1">
      <c r="G26206"/>
      <c r="I26206"/>
      <c r="N26206"/>
      <c r="O26206" s="24"/>
      <c r="P26206"/>
      <c r="Q26206" s="24"/>
      <c r="R26206"/>
      <c r="S26206"/>
      <c r="T26206"/>
      <c r="U26206"/>
      <c r="X26206" s="60"/>
    </row>
    <row r="26207" spans="7:24" ht="15" customHeight="1">
      <c r="G26207"/>
      <c r="I26207"/>
      <c r="N26207"/>
      <c r="O26207" s="24"/>
      <c r="P26207"/>
      <c r="Q26207" s="24"/>
      <c r="R26207"/>
      <c r="S26207"/>
      <c r="T26207"/>
      <c r="U26207"/>
      <c r="X26207" s="60"/>
    </row>
    <row r="26208" spans="7:24" ht="15" customHeight="1">
      <c r="G26208"/>
      <c r="I26208"/>
      <c r="N26208"/>
      <c r="O26208" s="24"/>
      <c r="P26208"/>
      <c r="Q26208" s="24"/>
      <c r="R26208"/>
      <c r="S26208"/>
      <c r="T26208"/>
      <c r="U26208"/>
      <c r="X26208" s="60"/>
    </row>
    <row r="26209" spans="7:24" ht="15" customHeight="1">
      <c r="G26209"/>
      <c r="I26209"/>
      <c r="N26209"/>
      <c r="O26209" s="24"/>
      <c r="P26209"/>
      <c r="Q26209" s="24"/>
      <c r="R26209"/>
      <c r="S26209"/>
      <c r="T26209"/>
      <c r="U26209"/>
      <c r="X26209" s="60"/>
    </row>
    <row r="26210" spans="7:24" ht="15" customHeight="1">
      <c r="G26210"/>
      <c r="I26210"/>
      <c r="N26210"/>
      <c r="O26210" s="24"/>
      <c r="P26210"/>
      <c r="Q26210" s="24"/>
      <c r="R26210"/>
      <c r="S26210"/>
      <c r="T26210"/>
      <c r="U26210"/>
      <c r="X26210" s="60"/>
    </row>
    <row r="26211" spans="7:24" ht="15" customHeight="1">
      <c r="G26211"/>
      <c r="I26211"/>
      <c r="N26211"/>
      <c r="O26211" s="24"/>
      <c r="P26211"/>
      <c r="Q26211" s="24"/>
      <c r="R26211"/>
      <c r="S26211"/>
      <c r="T26211"/>
      <c r="U26211"/>
      <c r="X26211" s="60"/>
    </row>
    <row r="26212" spans="7:24" ht="15" customHeight="1">
      <c r="G26212"/>
      <c r="I26212"/>
      <c r="N26212"/>
      <c r="O26212" s="24"/>
      <c r="P26212"/>
      <c r="Q26212" s="24"/>
      <c r="R26212"/>
      <c r="S26212"/>
      <c r="T26212"/>
      <c r="U26212"/>
      <c r="X26212" s="60"/>
    </row>
    <row r="26213" spans="7:24" ht="15" customHeight="1">
      <c r="G26213"/>
      <c r="I26213"/>
      <c r="N26213"/>
      <c r="O26213" s="24"/>
      <c r="P26213"/>
      <c r="Q26213" s="24"/>
      <c r="R26213"/>
      <c r="S26213"/>
      <c r="T26213"/>
      <c r="U26213"/>
      <c r="X26213" s="60"/>
    </row>
    <row r="26214" spans="7:24" ht="15" customHeight="1">
      <c r="G26214"/>
      <c r="I26214"/>
      <c r="N26214"/>
      <c r="O26214" s="24"/>
      <c r="P26214"/>
      <c r="Q26214" s="24"/>
      <c r="R26214"/>
      <c r="S26214"/>
      <c r="T26214"/>
      <c r="U26214"/>
      <c r="X26214" s="60"/>
    </row>
    <row r="26215" spans="7:24" ht="15" customHeight="1">
      <c r="G26215"/>
      <c r="I26215"/>
      <c r="N26215"/>
      <c r="O26215" s="24"/>
      <c r="P26215"/>
      <c r="Q26215" s="24"/>
      <c r="R26215"/>
      <c r="S26215"/>
      <c r="T26215"/>
      <c r="U26215"/>
      <c r="X26215" s="60"/>
    </row>
    <row r="26216" spans="7:24" ht="15" customHeight="1">
      <c r="G26216"/>
      <c r="I26216"/>
      <c r="N26216"/>
      <c r="O26216" s="24"/>
      <c r="P26216"/>
      <c r="Q26216" s="24"/>
      <c r="R26216"/>
      <c r="S26216"/>
      <c r="T26216"/>
      <c r="U26216"/>
      <c r="X26216" s="60"/>
    </row>
    <row r="26217" spans="7:24" ht="15" customHeight="1">
      <c r="G26217"/>
      <c r="I26217"/>
      <c r="N26217"/>
      <c r="O26217" s="24"/>
      <c r="P26217"/>
      <c r="Q26217" s="24"/>
      <c r="R26217"/>
      <c r="S26217"/>
      <c r="T26217"/>
      <c r="U26217"/>
      <c r="X26217" s="60"/>
    </row>
    <row r="26218" spans="7:24" ht="15" customHeight="1">
      <c r="G26218"/>
      <c r="I26218"/>
      <c r="N26218"/>
      <c r="O26218" s="24"/>
      <c r="P26218"/>
      <c r="Q26218" s="24"/>
      <c r="R26218"/>
      <c r="S26218"/>
      <c r="T26218"/>
      <c r="U26218"/>
      <c r="X26218" s="60"/>
    </row>
    <row r="26219" spans="7:24" ht="15" customHeight="1">
      <c r="G26219"/>
      <c r="I26219"/>
      <c r="N26219"/>
      <c r="O26219" s="24"/>
      <c r="P26219"/>
      <c r="Q26219" s="24"/>
      <c r="R26219"/>
      <c r="S26219"/>
      <c r="T26219"/>
      <c r="U26219"/>
      <c r="X26219" s="60"/>
    </row>
    <row r="26220" spans="7:24" ht="15" customHeight="1">
      <c r="G26220"/>
      <c r="I26220"/>
      <c r="N26220"/>
      <c r="O26220" s="24"/>
      <c r="P26220"/>
      <c r="Q26220" s="24"/>
      <c r="R26220"/>
      <c r="S26220"/>
      <c r="T26220"/>
      <c r="U26220"/>
      <c r="X26220" s="60"/>
    </row>
    <row r="26221" spans="7:24" ht="15" customHeight="1">
      <c r="G26221"/>
      <c r="I26221"/>
      <c r="N26221"/>
      <c r="O26221" s="24"/>
      <c r="P26221"/>
      <c r="Q26221" s="24"/>
      <c r="R26221"/>
      <c r="S26221"/>
      <c r="T26221"/>
      <c r="U26221"/>
      <c r="X26221" s="60"/>
    </row>
    <row r="26222" spans="7:24" ht="15" customHeight="1">
      <c r="G26222"/>
      <c r="I26222"/>
      <c r="N26222"/>
      <c r="O26222" s="24"/>
      <c r="P26222"/>
      <c r="Q26222" s="24"/>
      <c r="R26222"/>
      <c r="S26222"/>
      <c r="T26222"/>
      <c r="U26222"/>
      <c r="X26222" s="60"/>
    </row>
    <row r="26223" spans="7:24" ht="15" customHeight="1">
      <c r="G26223"/>
      <c r="I26223"/>
      <c r="N26223"/>
      <c r="O26223" s="24"/>
      <c r="P26223"/>
      <c r="Q26223" s="24"/>
      <c r="R26223"/>
      <c r="S26223"/>
      <c r="T26223"/>
      <c r="U26223"/>
      <c r="X26223" s="60"/>
    </row>
    <row r="26224" spans="7:24" ht="15" customHeight="1">
      <c r="G26224"/>
      <c r="I26224"/>
      <c r="N26224"/>
      <c r="O26224" s="24"/>
      <c r="P26224"/>
      <c r="Q26224" s="24"/>
      <c r="R26224"/>
      <c r="S26224"/>
      <c r="T26224"/>
      <c r="U26224"/>
      <c r="X26224" s="60"/>
    </row>
    <row r="26225" spans="7:24" ht="15" customHeight="1">
      <c r="G26225"/>
      <c r="I26225"/>
      <c r="N26225"/>
      <c r="O26225" s="24"/>
      <c r="P26225"/>
      <c r="Q26225" s="24"/>
      <c r="R26225"/>
      <c r="S26225"/>
      <c r="T26225"/>
      <c r="U26225"/>
      <c r="X26225" s="60"/>
    </row>
    <row r="26226" spans="7:24" ht="15" customHeight="1">
      <c r="G26226"/>
      <c r="I26226"/>
      <c r="N26226"/>
      <c r="O26226" s="24"/>
      <c r="P26226"/>
      <c r="Q26226" s="24"/>
      <c r="R26226"/>
      <c r="S26226"/>
      <c r="T26226"/>
      <c r="U26226"/>
      <c r="X26226" s="60"/>
    </row>
    <row r="26227" spans="7:24" ht="15" customHeight="1">
      <c r="G26227"/>
      <c r="I26227"/>
      <c r="N26227"/>
      <c r="O26227" s="24"/>
      <c r="P26227"/>
      <c r="Q26227" s="24"/>
      <c r="R26227"/>
      <c r="S26227"/>
      <c r="T26227"/>
      <c r="U26227"/>
      <c r="X26227" s="60"/>
    </row>
    <row r="26228" spans="7:24" ht="15" customHeight="1">
      <c r="G26228"/>
      <c r="I26228"/>
      <c r="N26228"/>
      <c r="O26228" s="24"/>
      <c r="P26228"/>
      <c r="Q26228" s="24"/>
      <c r="R26228"/>
      <c r="S26228"/>
      <c r="T26228"/>
      <c r="U26228"/>
      <c r="X26228" s="60"/>
    </row>
    <row r="26229" spans="7:24" ht="15" customHeight="1">
      <c r="G26229"/>
      <c r="I26229"/>
      <c r="N26229"/>
      <c r="O26229" s="24"/>
      <c r="P26229"/>
      <c r="Q26229" s="24"/>
      <c r="R26229"/>
      <c r="S26229"/>
      <c r="T26229"/>
      <c r="U26229"/>
      <c r="X26229" s="60"/>
    </row>
    <row r="26230" spans="7:24" ht="15" customHeight="1">
      <c r="G26230"/>
      <c r="I26230"/>
      <c r="N26230"/>
      <c r="O26230" s="24"/>
      <c r="P26230"/>
      <c r="Q26230" s="24"/>
      <c r="R26230"/>
      <c r="S26230"/>
      <c r="T26230"/>
      <c r="U26230"/>
      <c r="X26230" s="60"/>
    </row>
    <row r="26231" spans="7:24" ht="15" customHeight="1">
      <c r="G26231"/>
      <c r="I26231"/>
      <c r="N26231"/>
      <c r="O26231" s="24"/>
      <c r="P26231"/>
      <c r="Q26231" s="24"/>
      <c r="R26231"/>
      <c r="S26231"/>
      <c r="T26231"/>
      <c r="U26231"/>
      <c r="X26231" s="60"/>
    </row>
    <row r="26232" spans="7:24" ht="15" customHeight="1">
      <c r="G26232"/>
      <c r="I26232"/>
      <c r="N26232"/>
      <c r="O26232" s="24"/>
      <c r="P26232"/>
      <c r="Q26232" s="24"/>
      <c r="R26232"/>
      <c r="S26232"/>
      <c r="T26232"/>
      <c r="U26232"/>
      <c r="X26232" s="60"/>
    </row>
    <row r="26233" spans="7:24" ht="15" customHeight="1">
      <c r="G26233"/>
      <c r="I26233"/>
      <c r="N26233"/>
      <c r="O26233" s="24"/>
      <c r="P26233"/>
      <c r="Q26233" s="24"/>
      <c r="R26233"/>
      <c r="S26233"/>
      <c r="T26233"/>
      <c r="U26233"/>
      <c r="X26233" s="60"/>
    </row>
    <row r="26234" spans="7:24" ht="15" customHeight="1">
      <c r="G26234"/>
      <c r="I26234"/>
      <c r="N26234"/>
      <c r="O26234" s="24"/>
      <c r="P26234"/>
      <c r="Q26234" s="24"/>
      <c r="R26234"/>
      <c r="S26234"/>
      <c r="T26234"/>
      <c r="U26234"/>
      <c r="X26234" s="60"/>
    </row>
    <row r="26235" spans="7:24" ht="15" customHeight="1">
      <c r="G26235"/>
      <c r="I26235"/>
      <c r="N26235"/>
      <c r="O26235" s="24"/>
      <c r="P26235"/>
      <c r="Q26235" s="24"/>
      <c r="R26235"/>
      <c r="S26235"/>
      <c r="T26235"/>
      <c r="U26235"/>
      <c r="X26235" s="60"/>
    </row>
    <row r="26236" spans="7:24" ht="15" customHeight="1">
      <c r="G26236"/>
      <c r="I26236"/>
      <c r="N26236"/>
      <c r="O26236" s="24"/>
      <c r="P26236"/>
      <c r="Q26236" s="24"/>
      <c r="R26236"/>
      <c r="S26236"/>
      <c r="T26236"/>
      <c r="U26236"/>
      <c r="X26236" s="60"/>
    </row>
    <row r="26237" spans="7:24" ht="15" customHeight="1">
      <c r="G26237"/>
      <c r="I26237"/>
      <c r="N26237"/>
      <c r="O26237" s="24"/>
      <c r="P26237"/>
      <c r="Q26237" s="24"/>
      <c r="R26237"/>
      <c r="S26237"/>
      <c r="T26237"/>
      <c r="U26237"/>
      <c r="X26237" s="60"/>
    </row>
    <row r="26238" spans="7:24" ht="15" customHeight="1">
      <c r="G26238"/>
      <c r="I26238"/>
      <c r="N26238"/>
      <c r="O26238" s="24"/>
      <c r="P26238"/>
      <c r="Q26238" s="24"/>
      <c r="R26238"/>
      <c r="S26238"/>
      <c r="T26238"/>
      <c r="U26238"/>
      <c r="X26238" s="60"/>
    </row>
    <row r="26239" spans="7:24" ht="15" customHeight="1">
      <c r="G26239"/>
      <c r="I26239"/>
      <c r="N26239"/>
      <c r="O26239" s="24"/>
      <c r="P26239"/>
      <c r="Q26239" s="24"/>
      <c r="R26239"/>
      <c r="S26239"/>
      <c r="T26239"/>
      <c r="U26239"/>
      <c r="X26239" s="60"/>
    </row>
    <row r="26240" spans="7:24" ht="15" customHeight="1">
      <c r="G26240"/>
      <c r="I26240"/>
      <c r="N26240"/>
      <c r="O26240" s="24"/>
      <c r="P26240"/>
      <c r="Q26240" s="24"/>
      <c r="R26240"/>
      <c r="S26240"/>
      <c r="T26240"/>
      <c r="U26240"/>
      <c r="X26240" s="60"/>
    </row>
    <row r="26241" spans="7:24" ht="15" customHeight="1">
      <c r="G26241"/>
      <c r="I26241"/>
      <c r="N26241"/>
      <c r="O26241" s="24"/>
      <c r="P26241"/>
      <c r="Q26241" s="24"/>
      <c r="R26241"/>
      <c r="S26241"/>
      <c r="T26241"/>
      <c r="U26241"/>
      <c r="X26241" s="60"/>
    </row>
    <row r="26242" spans="7:24" ht="15" customHeight="1">
      <c r="G26242"/>
      <c r="I26242"/>
      <c r="N26242"/>
      <c r="O26242" s="24"/>
      <c r="P26242"/>
      <c r="Q26242" s="24"/>
      <c r="R26242"/>
      <c r="S26242"/>
      <c r="T26242"/>
      <c r="U26242"/>
      <c r="X26242" s="60"/>
    </row>
    <row r="26243" spans="7:24" ht="15" customHeight="1">
      <c r="G26243"/>
      <c r="I26243"/>
      <c r="N26243"/>
      <c r="O26243" s="24"/>
      <c r="P26243"/>
      <c r="Q26243" s="24"/>
      <c r="R26243"/>
      <c r="S26243"/>
      <c r="T26243"/>
      <c r="U26243"/>
      <c r="X26243" s="60"/>
    </row>
    <row r="26244" spans="7:24" ht="15" customHeight="1">
      <c r="G26244"/>
      <c r="I26244"/>
      <c r="N26244"/>
      <c r="O26244" s="24"/>
      <c r="P26244"/>
      <c r="Q26244" s="24"/>
      <c r="R26244"/>
      <c r="S26244"/>
      <c r="T26244"/>
      <c r="U26244"/>
      <c r="X26244" s="60"/>
    </row>
    <row r="26245" spans="7:24" ht="15" customHeight="1">
      <c r="G26245"/>
      <c r="I26245"/>
      <c r="N26245"/>
      <c r="O26245" s="24"/>
      <c r="P26245"/>
      <c r="Q26245" s="24"/>
      <c r="R26245"/>
      <c r="S26245"/>
      <c r="T26245"/>
      <c r="U26245"/>
      <c r="X26245" s="60"/>
    </row>
    <row r="26246" spans="7:24" ht="15" customHeight="1">
      <c r="G26246"/>
      <c r="I26246"/>
      <c r="N26246"/>
      <c r="O26246" s="24"/>
      <c r="P26246"/>
      <c r="Q26246" s="24"/>
      <c r="R26246"/>
      <c r="S26246"/>
      <c r="T26246"/>
      <c r="U26246"/>
      <c r="X26246" s="60"/>
    </row>
    <row r="26247" spans="7:24" ht="15" customHeight="1">
      <c r="G26247"/>
      <c r="I26247"/>
      <c r="N26247"/>
      <c r="O26247" s="24"/>
      <c r="P26247"/>
      <c r="Q26247" s="24"/>
      <c r="R26247"/>
      <c r="S26247"/>
      <c r="T26247"/>
      <c r="U26247"/>
      <c r="X26247" s="60"/>
    </row>
    <row r="26248" spans="7:24" ht="15" customHeight="1">
      <c r="G26248"/>
      <c r="I26248"/>
      <c r="N26248"/>
      <c r="O26248" s="24"/>
      <c r="P26248"/>
      <c r="Q26248" s="24"/>
      <c r="R26248"/>
      <c r="S26248"/>
      <c r="T26248"/>
      <c r="U26248"/>
      <c r="X26248" s="60"/>
    </row>
    <row r="26249" spans="7:24" ht="15" customHeight="1">
      <c r="G26249"/>
      <c r="I26249"/>
      <c r="N26249"/>
      <c r="O26249" s="24"/>
      <c r="P26249"/>
      <c r="Q26249" s="24"/>
      <c r="R26249"/>
      <c r="S26249"/>
      <c r="T26249"/>
      <c r="U26249"/>
      <c r="X26249" s="60"/>
    </row>
    <row r="26250" spans="7:24" ht="15" customHeight="1">
      <c r="G26250"/>
      <c r="I26250"/>
      <c r="N26250"/>
      <c r="O26250" s="24"/>
      <c r="P26250"/>
      <c r="Q26250" s="24"/>
      <c r="R26250"/>
      <c r="S26250"/>
      <c r="T26250"/>
      <c r="U26250"/>
      <c r="X26250" s="60"/>
    </row>
    <row r="26251" spans="7:24" ht="15" customHeight="1">
      <c r="G26251"/>
      <c r="I26251"/>
      <c r="N26251"/>
      <c r="O26251" s="24"/>
      <c r="P26251"/>
      <c r="Q26251" s="24"/>
      <c r="R26251"/>
      <c r="S26251"/>
      <c r="T26251"/>
      <c r="U26251"/>
      <c r="X26251" s="60"/>
    </row>
    <row r="26252" spans="7:24" ht="15" customHeight="1">
      <c r="G26252"/>
      <c r="I26252"/>
      <c r="N26252"/>
      <c r="O26252" s="24"/>
      <c r="P26252"/>
      <c r="Q26252" s="24"/>
      <c r="R26252"/>
      <c r="S26252"/>
      <c r="T26252"/>
      <c r="U26252"/>
      <c r="X26252" s="60"/>
    </row>
    <row r="26253" spans="7:24" ht="15" customHeight="1">
      <c r="G26253"/>
      <c r="I26253"/>
      <c r="N26253"/>
      <c r="O26253" s="24"/>
      <c r="P26253"/>
      <c r="Q26253" s="24"/>
      <c r="R26253"/>
      <c r="S26253"/>
      <c r="T26253"/>
      <c r="U26253"/>
      <c r="X26253" s="60"/>
    </row>
    <row r="26254" spans="7:24" ht="15" customHeight="1">
      <c r="G26254"/>
      <c r="I26254"/>
      <c r="N26254"/>
      <c r="O26254" s="24"/>
      <c r="P26254"/>
      <c r="Q26254" s="24"/>
      <c r="R26254"/>
      <c r="S26254"/>
      <c r="T26254"/>
      <c r="U26254"/>
      <c r="X26254" s="60"/>
    </row>
    <row r="26255" spans="7:24" ht="15" customHeight="1">
      <c r="G26255"/>
      <c r="I26255"/>
      <c r="N26255"/>
      <c r="O26255" s="24"/>
      <c r="P26255"/>
      <c r="Q26255" s="24"/>
      <c r="R26255"/>
      <c r="S26255"/>
      <c r="T26255"/>
      <c r="U26255"/>
      <c r="X26255" s="60"/>
    </row>
    <row r="26256" spans="7:24" ht="15" customHeight="1">
      <c r="G26256"/>
      <c r="I26256"/>
      <c r="N26256"/>
      <c r="O26256" s="24"/>
      <c r="P26256"/>
      <c r="Q26256" s="24"/>
      <c r="R26256"/>
      <c r="S26256"/>
      <c r="T26256"/>
      <c r="U26256"/>
      <c r="X26256" s="60"/>
    </row>
    <row r="26257" spans="7:24" ht="15" customHeight="1">
      <c r="G26257"/>
      <c r="I26257"/>
      <c r="N26257"/>
      <c r="O26257" s="24"/>
      <c r="P26257"/>
      <c r="Q26257" s="24"/>
      <c r="R26257"/>
      <c r="S26257"/>
      <c r="T26257"/>
      <c r="U26257"/>
      <c r="X26257" s="60"/>
    </row>
    <row r="26258" spans="7:24" ht="15" customHeight="1">
      <c r="G26258"/>
      <c r="I26258"/>
      <c r="N26258"/>
      <c r="O26258" s="24"/>
      <c r="P26258"/>
      <c r="Q26258" s="24"/>
      <c r="R26258"/>
      <c r="S26258"/>
      <c r="T26258"/>
      <c r="U26258"/>
      <c r="X26258" s="60"/>
    </row>
    <row r="26259" spans="7:24" ht="15" customHeight="1">
      <c r="G26259"/>
      <c r="I26259"/>
      <c r="N26259"/>
      <c r="O26259" s="24"/>
      <c r="P26259"/>
      <c r="Q26259" s="24"/>
      <c r="R26259"/>
      <c r="S26259"/>
      <c r="T26259"/>
      <c r="U26259"/>
      <c r="X26259" s="60"/>
    </row>
    <row r="26260" spans="7:24" ht="15" customHeight="1">
      <c r="G26260"/>
      <c r="I26260"/>
      <c r="N26260"/>
      <c r="O26260" s="24"/>
      <c r="P26260"/>
      <c r="Q26260" s="24"/>
      <c r="R26260"/>
      <c r="S26260"/>
      <c r="T26260"/>
      <c r="U26260"/>
      <c r="X26260" s="60"/>
    </row>
    <row r="26261" spans="7:24" ht="15" customHeight="1">
      <c r="G26261"/>
      <c r="I26261"/>
      <c r="N26261"/>
      <c r="O26261" s="24"/>
      <c r="P26261"/>
      <c r="Q26261" s="24"/>
      <c r="R26261"/>
      <c r="S26261"/>
      <c r="T26261"/>
      <c r="U26261"/>
      <c r="X26261" s="60"/>
    </row>
    <row r="26262" spans="7:24" ht="15" customHeight="1">
      <c r="G26262"/>
      <c r="I26262"/>
      <c r="N26262"/>
      <c r="O26262" s="24"/>
      <c r="P26262"/>
      <c r="Q26262" s="24"/>
      <c r="R26262"/>
      <c r="S26262"/>
      <c r="T26262"/>
      <c r="U26262"/>
      <c r="X26262" s="60"/>
    </row>
    <row r="26263" spans="7:24" ht="15" customHeight="1">
      <c r="G26263"/>
      <c r="I26263"/>
      <c r="N26263"/>
      <c r="O26263" s="24"/>
      <c r="P26263"/>
      <c r="Q26263" s="24"/>
      <c r="R26263"/>
      <c r="S26263"/>
      <c r="T26263"/>
      <c r="U26263"/>
      <c r="X26263" s="60"/>
    </row>
    <row r="26264" spans="7:24" ht="15" customHeight="1">
      <c r="G26264"/>
      <c r="I26264"/>
      <c r="N26264"/>
      <c r="O26264" s="24"/>
      <c r="P26264"/>
      <c r="Q26264" s="24"/>
      <c r="R26264"/>
      <c r="S26264"/>
      <c r="T26264"/>
      <c r="U26264"/>
      <c r="X26264" s="60"/>
    </row>
    <row r="26265" spans="7:24" ht="15" customHeight="1">
      <c r="G26265"/>
      <c r="I26265"/>
      <c r="N26265"/>
      <c r="O26265" s="24"/>
      <c r="P26265"/>
      <c r="Q26265" s="24"/>
      <c r="R26265"/>
      <c r="S26265"/>
      <c r="T26265"/>
      <c r="U26265"/>
      <c r="X26265" s="60"/>
    </row>
    <row r="26266" spans="7:24" ht="15" customHeight="1">
      <c r="G26266"/>
      <c r="I26266"/>
      <c r="N26266"/>
      <c r="O26266" s="24"/>
      <c r="P26266"/>
      <c r="Q26266" s="24"/>
      <c r="R26266"/>
      <c r="S26266"/>
      <c r="T26266"/>
      <c r="U26266"/>
      <c r="X26266" s="60"/>
    </row>
    <row r="26267" spans="7:24" ht="15" customHeight="1">
      <c r="G26267"/>
      <c r="I26267"/>
      <c r="N26267"/>
      <c r="O26267" s="24"/>
      <c r="P26267"/>
      <c r="Q26267" s="24"/>
      <c r="R26267"/>
      <c r="S26267"/>
      <c r="T26267"/>
      <c r="U26267"/>
      <c r="X26267" s="60"/>
    </row>
    <row r="26268" spans="7:24" ht="15" customHeight="1">
      <c r="G26268"/>
      <c r="I26268"/>
      <c r="N26268"/>
      <c r="O26268" s="24"/>
      <c r="P26268"/>
      <c r="Q26268" s="24"/>
      <c r="R26268"/>
      <c r="S26268"/>
      <c r="T26268"/>
      <c r="U26268"/>
      <c r="X26268" s="60"/>
    </row>
    <row r="26269" spans="7:24" ht="15" customHeight="1">
      <c r="G26269"/>
      <c r="I26269"/>
      <c r="N26269"/>
      <c r="O26269" s="24"/>
      <c r="P26269"/>
      <c r="Q26269" s="24"/>
      <c r="R26269"/>
      <c r="S26269"/>
      <c r="T26269"/>
      <c r="U26269"/>
      <c r="X26269" s="60"/>
    </row>
    <row r="26270" spans="7:24" ht="15" customHeight="1">
      <c r="G26270"/>
      <c r="I26270"/>
      <c r="N26270"/>
      <c r="O26270" s="24"/>
      <c r="P26270"/>
      <c r="Q26270" s="24"/>
      <c r="R26270"/>
      <c r="S26270"/>
      <c r="T26270"/>
      <c r="U26270"/>
      <c r="X26270" s="60"/>
    </row>
    <row r="26271" spans="7:24" ht="15" customHeight="1">
      <c r="G26271"/>
      <c r="I26271"/>
      <c r="N26271"/>
      <c r="O26271" s="24"/>
      <c r="P26271"/>
      <c r="Q26271" s="24"/>
      <c r="R26271"/>
      <c r="S26271"/>
      <c r="T26271"/>
      <c r="U26271"/>
      <c r="X26271" s="60"/>
    </row>
    <row r="26272" spans="7:24" ht="15" customHeight="1">
      <c r="G26272"/>
      <c r="I26272"/>
      <c r="N26272"/>
      <c r="O26272" s="24"/>
      <c r="P26272"/>
      <c r="Q26272" s="24"/>
      <c r="R26272"/>
      <c r="S26272"/>
      <c r="T26272"/>
      <c r="U26272"/>
      <c r="X26272" s="60"/>
    </row>
    <row r="26273" spans="7:24" ht="15" customHeight="1">
      <c r="G26273"/>
      <c r="I26273"/>
      <c r="N26273"/>
      <c r="O26273" s="24"/>
      <c r="P26273"/>
      <c r="Q26273" s="24"/>
      <c r="R26273"/>
      <c r="S26273"/>
      <c r="T26273"/>
      <c r="U26273"/>
      <c r="X26273" s="60"/>
    </row>
    <row r="26274" spans="7:24" ht="15" customHeight="1">
      <c r="G26274"/>
      <c r="I26274"/>
      <c r="N26274"/>
      <c r="O26274" s="24"/>
      <c r="P26274"/>
      <c r="Q26274" s="24"/>
      <c r="R26274"/>
      <c r="S26274"/>
      <c r="T26274"/>
      <c r="U26274"/>
      <c r="X26274" s="60"/>
    </row>
    <row r="26275" spans="7:24" ht="15" customHeight="1">
      <c r="G26275"/>
      <c r="I26275"/>
      <c r="N26275"/>
      <c r="O26275" s="24"/>
      <c r="P26275"/>
      <c r="Q26275" s="24"/>
      <c r="R26275"/>
      <c r="S26275"/>
      <c r="T26275"/>
      <c r="U26275"/>
      <c r="X26275" s="60"/>
    </row>
    <row r="26276" spans="7:24" ht="15" customHeight="1">
      <c r="G26276"/>
      <c r="I26276"/>
      <c r="N26276"/>
      <c r="O26276" s="24"/>
      <c r="P26276"/>
      <c r="Q26276" s="24"/>
      <c r="R26276"/>
      <c r="S26276"/>
      <c r="T26276"/>
      <c r="U26276"/>
      <c r="X26276" s="60"/>
    </row>
    <row r="26277" spans="7:24" ht="15" customHeight="1">
      <c r="G26277"/>
      <c r="I26277"/>
      <c r="N26277"/>
      <c r="O26277" s="24"/>
      <c r="P26277"/>
      <c r="Q26277" s="24"/>
      <c r="R26277"/>
      <c r="S26277"/>
      <c r="T26277"/>
      <c r="U26277"/>
      <c r="X26277" s="60"/>
    </row>
    <row r="26278" spans="7:24" ht="15" customHeight="1">
      <c r="G26278"/>
      <c r="I26278"/>
      <c r="N26278"/>
      <c r="O26278" s="24"/>
      <c r="P26278"/>
      <c r="Q26278" s="24"/>
      <c r="R26278"/>
      <c r="S26278"/>
      <c r="T26278"/>
      <c r="U26278"/>
      <c r="X26278" s="60"/>
    </row>
    <row r="26279" spans="7:24" ht="15" customHeight="1">
      <c r="G26279"/>
      <c r="I26279"/>
      <c r="N26279"/>
      <c r="O26279" s="24"/>
      <c r="P26279"/>
      <c r="Q26279" s="24"/>
      <c r="R26279"/>
      <c r="S26279"/>
      <c r="T26279"/>
      <c r="U26279"/>
      <c r="X26279" s="60"/>
    </row>
    <row r="26280" spans="7:24" ht="15" customHeight="1">
      <c r="G26280"/>
      <c r="I26280"/>
      <c r="N26280"/>
      <c r="O26280" s="24"/>
      <c r="P26280"/>
      <c r="Q26280" s="24"/>
      <c r="R26280"/>
      <c r="S26280"/>
      <c r="T26280"/>
      <c r="U26280"/>
      <c r="X26280" s="60"/>
    </row>
    <row r="26281" spans="7:24" ht="15" customHeight="1">
      <c r="G26281"/>
      <c r="I26281"/>
      <c r="N26281"/>
      <c r="O26281" s="24"/>
      <c r="P26281"/>
      <c r="Q26281" s="24"/>
      <c r="R26281"/>
      <c r="S26281"/>
      <c r="T26281"/>
      <c r="U26281"/>
      <c r="X26281" s="60"/>
    </row>
    <row r="26282" spans="7:24" ht="15" customHeight="1">
      <c r="G26282"/>
      <c r="I26282"/>
      <c r="N26282"/>
      <c r="O26282" s="24"/>
      <c r="P26282"/>
      <c r="Q26282" s="24"/>
      <c r="R26282"/>
      <c r="S26282"/>
      <c r="T26282"/>
      <c r="U26282"/>
      <c r="X26282" s="60"/>
    </row>
    <row r="26283" spans="7:24" ht="15" customHeight="1">
      <c r="G26283"/>
      <c r="I26283"/>
      <c r="N26283"/>
      <c r="O26283" s="24"/>
      <c r="P26283"/>
      <c r="Q26283" s="24"/>
      <c r="R26283"/>
      <c r="S26283"/>
      <c r="T26283"/>
      <c r="U26283"/>
      <c r="X26283" s="60"/>
    </row>
    <row r="26284" spans="7:24" ht="15" customHeight="1">
      <c r="G26284"/>
      <c r="I26284"/>
      <c r="N26284"/>
      <c r="O26284" s="24"/>
      <c r="P26284"/>
      <c r="Q26284" s="24"/>
      <c r="R26284"/>
      <c r="S26284"/>
      <c r="T26284"/>
      <c r="U26284"/>
      <c r="X26284" s="60"/>
    </row>
    <row r="26285" spans="7:24" ht="15" customHeight="1">
      <c r="G26285"/>
      <c r="I26285"/>
      <c r="N26285"/>
      <c r="O26285" s="24"/>
      <c r="P26285"/>
      <c r="Q26285" s="24"/>
      <c r="R26285"/>
      <c r="S26285"/>
      <c r="T26285"/>
      <c r="U26285"/>
      <c r="X26285" s="60"/>
    </row>
    <row r="26286" spans="7:24" ht="15" customHeight="1">
      <c r="G26286"/>
      <c r="I26286"/>
      <c r="N26286"/>
      <c r="O26286" s="24"/>
      <c r="P26286"/>
      <c r="Q26286" s="24"/>
      <c r="R26286"/>
      <c r="S26286"/>
      <c r="T26286"/>
      <c r="U26286"/>
      <c r="X26286" s="60"/>
    </row>
    <row r="26287" spans="7:24" ht="15" customHeight="1">
      <c r="G26287"/>
      <c r="I26287"/>
      <c r="N26287"/>
      <c r="O26287" s="24"/>
      <c r="P26287"/>
      <c r="Q26287" s="24"/>
      <c r="R26287"/>
      <c r="S26287"/>
      <c r="T26287"/>
      <c r="U26287"/>
      <c r="X26287" s="60"/>
    </row>
    <row r="26288" spans="7:24" ht="15" customHeight="1">
      <c r="G26288"/>
      <c r="I26288"/>
      <c r="N26288"/>
      <c r="O26288" s="24"/>
      <c r="P26288"/>
      <c r="Q26288" s="24"/>
      <c r="R26288"/>
      <c r="S26288"/>
      <c r="T26288"/>
      <c r="U26288"/>
      <c r="X26288" s="60"/>
    </row>
    <row r="26289" spans="7:24" ht="15" customHeight="1">
      <c r="G26289"/>
      <c r="I26289"/>
      <c r="N26289"/>
      <c r="O26289" s="24"/>
      <c r="P26289"/>
      <c r="Q26289" s="24"/>
      <c r="R26289"/>
      <c r="S26289"/>
      <c r="T26289"/>
      <c r="U26289"/>
      <c r="X26289" s="60"/>
    </row>
    <row r="26290" spans="7:24" ht="15" customHeight="1">
      <c r="G26290"/>
      <c r="I26290"/>
      <c r="N26290"/>
      <c r="O26290" s="24"/>
      <c r="P26290"/>
      <c r="Q26290" s="24"/>
      <c r="R26290"/>
      <c r="S26290"/>
      <c r="T26290"/>
      <c r="U26290"/>
      <c r="X26290" s="60"/>
    </row>
    <row r="26291" spans="7:24" ht="15" customHeight="1">
      <c r="G26291"/>
      <c r="I26291"/>
      <c r="N26291"/>
      <c r="O26291" s="24"/>
      <c r="P26291"/>
      <c r="Q26291" s="24"/>
      <c r="R26291"/>
      <c r="S26291"/>
      <c r="T26291"/>
      <c r="U26291"/>
      <c r="X26291" s="60"/>
    </row>
    <row r="26292" spans="7:24" ht="15" customHeight="1">
      <c r="G26292"/>
      <c r="I26292"/>
      <c r="N26292"/>
      <c r="O26292" s="24"/>
      <c r="P26292"/>
      <c r="Q26292" s="24"/>
      <c r="R26292"/>
      <c r="S26292"/>
      <c r="T26292"/>
      <c r="U26292"/>
      <c r="X26292" s="60"/>
    </row>
    <row r="26293" spans="7:24" ht="15" customHeight="1">
      <c r="G26293"/>
      <c r="I26293"/>
      <c r="N26293"/>
      <c r="O26293" s="24"/>
      <c r="P26293"/>
      <c r="Q26293" s="24"/>
      <c r="R26293"/>
      <c r="S26293"/>
      <c r="T26293"/>
      <c r="U26293"/>
      <c r="X26293" s="60"/>
    </row>
    <row r="26294" spans="7:24" ht="15" customHeight="1">
      <c r="G26294"/>
      <c r="I26294"/>
      <c r="N26294"/>
      <c r="O26294" s="24"/>
      <c r="P26294"/>
      <c r="Q26294" s="24"/>
      <c r="R26294"/>
      <c r="S26294"/>
      <c r="T26294"/>
      <c r="U26294"/>
      <c r="X26294" s="60"/>
    </row>
    <row r="26295" spans="7:24" ht="15" customHeight="1">
      <c r="G26295"/>
      <c r="I26295"/>
      <c r="N26295"/>
      <c r="O26295" s="24"/>
      <c r="P26295"/>
      <c r="Q26295" s="24"/>
      <c r="R26295"/>
      <c r="S26295"/>
      <c r="T26295"/>
      <c r="U26295"/>
      <c r="X26295" s="60"/>
    </row>
    <row r="26296" spans="7:24" ht="15" customHeight="1">
      <c r="G26296"/>
      <c r="I26296"/>
      <c r="N26296"/>
      <c r="O26296" s="24"/>
      <c r="P26296"/>
      <c r="Q26296" s="24"/>
      <c r="R26296"/>
      <c r="S26296"/>
      <c r="T26296"/>
      <c r="U26296"/>
      <c r="X26296" s="60"/>
    </row>
    <row r="26297" spans="7:24" ht="15" customHeight="1">
      <c r="G26297"/>
      <c r="I26297"/>
      <c r="N26297"/>
      <c r="O26297" s="24"/>
      <c r="P26297"/>
      <c r="Q26297" s="24"/>
      <c r="R26297"/>
      <c r="S26297"/>
      <c r="T26297"/>
      <c r="U26297"/>
      <c r="X26297" s="60"/>
    </row>
    <row r="26298" spans="7:24" ht="15" customHeight="1">
      <c r="G26298"/>
      <c r="I26298"/>
      <c r="N26298"/>
      <c r="O26298" s="24"/>
      <c r="P26298"/>
      <c r="Q26298" s="24"/>
      <c r="R26298"/>
      <c r="S26298"/>
      <c r="T26298"/>
      <c r="U26298"/>
      <c r="X26298" s="60"/>
    </row>
    <row r="26299" spans="7:24" ht="15" customHeight="1">
      <c r="G26299"/>
      <c r="I26299"/>
      <c r="N26299"/>
      <c r="O26299" s="24"/>
      <c r="P26299"/>
      <c r="Q26299" s="24"/>
      <c r="R26299"/>
      <c r="S26299"/>
      <c r="T26299"/>
      <c r="U26299"/>
      <c r="X26299" s="60"/>
    </row>
    <row r="26300" spans="7:24" ht="15" customHeight="1">
      <c r="G26300"/>
      <c r="I26300"/>
      <c r="N26300"/>
      <c r="O26300" s="24"/>
      <c r="P26300"/>
      <c r="Q26300" s="24"/>
      <c r="R26300"/>
      <c r="S26300"/>
      <c r="T26300"/>
      <c r="U26300"/>
      <c r="X26300" s="60"/>
    </row>
    <row r="26301" spans="7:24" ht="15" customHeight="1">
      <c r="G26301"/>
      <c r="I26301"/>
      <c r="N26301"/>
      <c r="O26301" s="24"/>
      <c r="P26301"/>
      <c r="Q26301" s="24"/>
      <c r="R26301"/>
      <c r="S26301"/>
      <c r="T26301"/>
      <c r="U26301"/>
      <c r="X26301" s="60"/>
    </row>
    <row r="26302" spans="7:24" ht="15" customHeight="1">
      <c r="G26302"/>
      <c r="I26302"/>
      <c r="N26302"/>
      <c r="O26302" s="24"/>
      <c r="P26302"/>
      <c r="Q26302" s="24"/>
      <c r="R26302"/>
      <c r="S26302"/>
      <c r="T26302"/>
      <c r="U26302"/>
      <c r="X26302" s="60"/>
    </row>
    <row r="26303" spans="7:24" ht="15" customHeight="1">
      <c r="G26303"/>
      <c r="I26303"/>
      <c r="N26303"/>
      <c r="O26303" s="24"/>
      <c r="P26303"/>
      <c r="Q26303" s="24"/>
      <c r="R26303"/>
      <c r="S26303"/>
      <c r="T26303"/>
      <c r="U26303"/>
      <c r="X26303" s="60"/>
    </row>
    <row r="26304" spans="7:24" ht="15" customHeight="1">
      <c r="G26304"/>
      <c r="I26304"/>
      <c r="N26304"/>
      <c r="O26304" s="24"/>
      <c r="P26304"/>
      <c r="Q26304" s="24"/>
      <c r="R26304"/>
      <c r="S26304"/>
      <c r="T26304"/>
      <c r="U26304"/>
      <c r="X26304" s="60"/>
    </row>
    <row r="26305" spans="7:24" ht="15" customHeight="1">
      <c r="G26305"/>
      <c r="I26305"/>
      <c r="N26305"/>
      <c r="O26305" s="24"/>
      <c r="P26305"/>
      <c r="Q26305" s="24"/>
      <c r="R26305"/>
      <c r="S26305"/>
      <c r="T26305"/>
      <c r="U26305"/>
      <c r="X26305" s="60"/>
    </row>
    <row r="26306" spans="7:24" ht="15" customHeight="1">
      <c r="G26306"/>
      <c r="I26306"/>
      <c r="N26306"/>
      <c r="O26306" s="24"/>
      <c r="P26306"/>
      <c r="Q26306" s="24"/>
      <c r="R26306"/>
      <c r="S26306"/>
      <c r="T26306"/>
      <c r="U26306"/>
      <c r="X26306" s="60"/>
    </row>
    <row r="26307" spans="7:24" ht="15" customHeight="1">
      <c r="G26307"/>
      <c r="I26307"/>
      <c r="N26307"/>
      <c r="O26307" s="24"/>
      <c r="P26307"/>
      <c r="Q26307" s="24"/>
      <c r="R26307"/>
      <c r="S26307"/>
      <c r="T26307"/>
      <c r="U26307"/>
      <c r="X26307" s="60"/>
    </row>
    <row r="26308" spans="7:24" ht="15" customHeight="1">
      <c r="G26308"/>
      <c r="I26308"/>
      <c r="N26308"/>
      <c r="O26308" s="24"/>
      <c r="P26308"/>
      <c r="Q26308" s="24"/>
      <c r="R26308"/>
      <c r="S26308"/>
      <c r="T26308"/>
      <c r="U26308"/>
      <c r="X26308" s="60"/>
    </row>
    <row r="26309" spans="7:24" ht="15" customHeight="1">
      <c r="G26309"/>
      <c r="I26309"/>
      <c r="N26309"/>
      <c r="O26309" s="24"/>
      <c r="P26309"/>
      <c r="Q26309" s="24"/>
      <c r="R26309"/>
      <c r="S26309"/>
      <c r="T26309"/>
      <c r="U26309"/>
      <c r="X26309" s="60"/>
    </row>
    <row r="26310" spans="7:24" ht="15" customHeight="1">
      <c r="G26310"/>
      <c r="I26310"/>
      <c r="N26310"/>
      <c r="O26310" s="24"/>
      <c r="P26310"/>
      <c r="Q26310" s="24"/>
      <c r="R26310"/>
      <c r="S26310"/>
      <c r="T26310"/>
      <c r="U26310"/>
      <c r="X26310" s="60"/>
    </row>
    <row r="26311" spans="7:24" ht="15" customHeight="1">
      <c r="G26311"/>
      <c r="I26311"/>
      <c r="N26311"/>
      <c r="O26311" s="24"/>
      <c r="P26311"/>
      <c r="Q26311" s="24"/>
      <c r="R26311"/>
      <c r="S26311"/>
      <c r="T26311"/>
      <c r="U26311"/>
      <c r="X26311" s="60"/>
    </row>
    <row r="26312" spans="7:24" ht="15" customHeight="1">
      <c r="G26312"/>
      <c r="I26312"/>
      <c r="N26312"/>
      <c r="O26312" s="24"/>
      <c r="P26312"/>
      <c r="Q26312" s="24"/>
      <c r="R26312"/>
      <c r="S26312"/>
      <c r="T26312"/>
      <c r="U26312"/>
      <c r="X26312" s="60"/>
    </row>
    <row r="26313" spans="7:24" ht="15" customHeight="1">
      <c r="G26313"/>
      <c r="I26313"/>
      <c r="N26313"/>
      <c r="O26313" s="24"/>
      <c r="P26313"/>
      <c r="Q26313" s="24"/>
      <c r="R26313"/>
      <c r="S26313"/>
      <c r="T26313"/>
      <c r="U26313"/>
      <c r="X26313" s="60"/>
    </row>
    <row r="26314" spans="7:24" ht="15" customHeight="1">
      <c r="G26314"/>
      <c r="I26314"/>
      <c r="N26314"/>
      <c r="O26314" s="24"/>
      <c r="P26314"/>
      <c r="Q26314" s="24"/>
      <c r="R26314"/>
      <c r="S26314"/>
      <c r="T26314"/>
      <c r="U26314"/>
      <c r="X26314" s="60"/>
    </row>
    <row r="26315" spans="7:24" ht="15" customHeight="1">
      <c r="G26315"/>
      <c r="I26315"/>
      <c r="N26315"/>
      <c r="O26315" s="24"/>
      <c r="P26315"/>
      <c r="Q26315" s="24"/>
      <c r="R26315"/>
      <c r="S26315"/>
      <c r="T26315"/>
      <c r="U26315"/>
      <c r="X26315" s="60"/>
    </row>
    <row r="26316" spans="7:24" ht="15" customHeight="1">
      <c r="G26316"/>
      <c r="I26316"/>
      <c r="N26316"/>
      <c r="O26316" s="24"/>
      <c r="P26316"/>
      <c r="Q26316" s="24"/>
      <c r="R26316"/>
      <c r="S26316"/>
      <c r="T26316"/>
      <c r="U26316"/>
      <c r="X26316" s="60"/>
    </row>
    <row r="26317" spans="7:24" ht="15" customHeight="1">
      <c r="G26317"/>
      <c r="I26317"/>
      <c r="N26317"/>
      <c r="O26317" s="24"/>
      <c r="P26317"/>
      <c r="Q26317" s="24"/>
      <c r="R26317"/>
      <c r="S26317"/>
      <c r="T26317"/>
      <c r="U26317"/>
      <c r="X26317" s="60"/>
    </row>
    <row r="26318" spans="7:24" ht="15" customHeight="1">
      <c r="G26318"/>
      <c r="I26318"/>
      <c r="N26318"/>
      <c r="O26318" s="24"/>
      <c r="P26318"/>
      <c r="Q26318" s="24"/>
      <c r="R26318"/>
      <c r="S26318"/>
      <c r="T26318"/>
      <c r="U26318"/>
      <c r="X26318" s="60"/>
    </row>
    <row r="26319" spans="7:24" ht="15" customHeight="1">
      <c r="G26319"/>
      <c r="I26319"/>
      <c r="N26319"/>
      <c r="O26319" s="24"/>
      <c r="P26319"/>
      <c r="Q26319" s="24"/>
      <c r="R26319"/>
      <c r="S26319"/>
      <c r="T26319"/>
      <c r="U26319"/>
      <c r="X26319" s="60"/>
    </row>
    <row r="26320" spans="7:24" ht="15" customHeight="1">
      <c r="G26320"/>
      <c r="I26320"/>
      <c r="N26320"/>
      <c r="O26320" s="24"/>
      <c r="P26320"/>
      <c r="Q26320" s="24"/>
      <c r="R26320"/>
      <c r="S26320"/>
      <c r="T26320"/>
      <c r="U26320"/>
      <c r="X26320" s="60"/>
    </row>
    <row r="26321" spans="7:24" ht="15" customHeight="1">
      <c r="G26321"/>
      <c r="I26321"/>
      <c r="N26321"/>
      <c r="O26321" s="24"/>
      <c r="P26321"/>
      <c r="Q26321" s="24"/>
      <c r="R26321"/>
      <c r="S26321"/>
      <c r="T26321"/>
      <c r="U26321"/>
      <c r="X26321" s="60"/>
    </row>
    <row r="26322" spans="7:24" ht="15" customHeight="1">
      <c r="G26322"/>
      <c r="I26322"/>
      <c r="N26322"/>
      <c r="O26322" s="24"/>
      <c r="P26322"/>
      <c r="Q26322" s="24"/>
      <c r="R26322"/>
      <c r="S26322"/>
      <c r="T26322"/>
      <c r="U26322"/>
      <c r="X26322" s="60"/>
    </row>
    <row r="26323" spans="7:24" ht="15" customHeight="1">
      <c r="G26323"/>
      <c r="I26323"/>
      <c r="N26323"/>
      <c r="O26323" s="24"/>
      <c r="P26323"/>
      <c r="Q26323" s="24"/>
      <c r="R26323"/>
      <c r="S26323"/>
      <c r="T26323"/>
      <c r="U26323"/>
      <c r="X26323" s="60"/>
    </row>
    <row r="26324" spans="7:24" ht="15" customHeight="1">
      <c r="G26324"/>
      <c r="I26324"/>
      <c r="N26324"/>
      <c r="O26324" s="24"/>
      <c r="P26324"/>
      <c r="Q26324" s="24"/>
      <c r="R26324"/>
      <c r="S26324"/>
      <c r="T26324"/>
      <c r="U26324"/>
      <c r="X26324" s="60"/>
    </row>
    <row r="26325" spans="7:24" ht="15" customHeight="1">
      <c r="G26325"/>
      <c r="I26325"/>
      <c r="N26325"/>
      <c r="O26325" s="24"/>
      <c r="P26325"/>
      <c r="Q26325" s="24"/>
      <c r="R26325"/>
      <c r="S26325"/>
      <c r="T26325"/>
      <c r="U26325"/>
      <c r="X26325" s="60"/>
    </row>
    <row r="26326" spans="7:24" ht="15" customHeight="1">
      <c r="G26326"/>
      <c r="I26326"/>
      <c r="N26326"/>
      <c r="O26326" s="24"/>
      <c r="P26326"/>
      <c r="Q26326" s="24"/>
      <c r="R26326"/>
      <c r="S26326"/>
      <c r="T26326"/>
      <c r="U26326"/>
      <c r="X26326" s="60"/>
    </row>
    <row r="26327" spans="7:24" ht="15" customHeight="1">
      <c r="G26327"/>
      <c r="I26327"/>
      <c r="N26327"/>
      <c r="O26327" s="24"/>
      <c r="P26327"/>
      <c r="Q26327" s="24"/>
      <c r="R26327"/>
      <c r="S26327"/>
      <c r="T26327"/>
      <c r="U26327"/>
      <c r="X26327" s="60"/>
    </row>
    <row r="26328" spans="7:24" ht="15" customHeight="1">
      <c r="G26328"/>
      <c r="I26328"/>
      <c r="N26328"/>
      <c r="O26328" s="24"/>
      <c r="P26328"/>
      <c r="Q26328" s="24"/>
      <c r="R26328"/>
      <c r="S26328"/>
      <c r="T26328"/>
      <c r="U26328"/>
      <c r="X26328" s="60"/>
    </row>
    <row r="26329" spans="7:24" ht="15" customHeight="1">
      <c r="G26329"/>
      <c r="I26329"/>
      <c r="N26329"/>
      <c r="O26329" s="24"/>
      <c r="P26329"/>
      <c r="Q26329" s="24"/>
      <c r="R26329"/>
      <c r="S26329"/>
      <c r="T26329"/>
      <c r="U26329"/>
      <c r="X26329" s="60"/>
    </row>
    <row r="26330" spans="7:24" ht="15" customHeight="1">
      <c r="G26330"/>
      <c r="I26330"/>
      <c r="N26330"/>
      <c r="O26330" s="24"/>
      <c r="P26330"/>
      <c r="Q26330" s="24"/>
      <c r="R26330"/>
      <c r="S26330"/>
      <c r="T26330"/>
      <c r="U26330"/>
      <c r="X26330" s="60"/>
    </row>
    <row r="26331" spans="7:24" ht="15" customHeight="1">
      <c r="G26331"/>
      <c r="I26331"/>
      <c r="N26331"/>
      <c r="O26331" s="24"/>
      <c r="P26331"/>
      <c r="Q26331" s="24"/>
      <c r="R26331"/>
      <c r="S26331"/>
      <c r="T26331"/>
      <c r="U26331"/>
      <c r="X26331" s="60"/>
    </row>
    <row r="26332" spans="7:24" ht="15" customHeight="1">
      <c r="G26332"/>
      <c r="I26332"/>
      <c r="N26332"/>
      <c r="O26332" s="24"/>
      <c r="P26332"/>
      <c r="Q26332" s="24"/>
      <c r="R26332"/>
      <c r="S26332"/>
      <c r="T26332"/>
      <c r="U26332"/>
      <c r="X26332" s="60"/>
    </row>
    <row r="26333" spans="7:24" ht="15" customHeight="1">
      <c r="G26333"/>
      <c r="I26333"/>
      <c r="N26333"/>
      <c r="O26333" s="24"/>
      <c r="P26333"/>
      <c r="Q26333" s="24"/>
      <c r="R26333"/>
      <c r="S26333"/>
      <c r="T26333"/>
      <c r="U26333"/>
      <c r="X26333" s="60"/>
    </row>
    <row r="26334" spans="7:24" ht="15" customHeight="1">
      <c r="G26334"/>
      <c r="I26334"/>
      <c r="N26334"/>
      <c r="O26334" s="24"/>
      <c r="P26334"/>
      <c r="Q26334" s="24"/>
      <c r="R26334"/>
      <c r="S26334"/>
      <c r="T26334"/>
      <c r="U26334"/>
      <c r="X26334" s="60"/>
    </row>
    <row r="26335" spans="7:24" ht="15" customHeight="1">
      <c r="G26335"/>
      <c r="I26335"/>
      <c r="N26335"/>
      <c r="O26335" s="24"/>
      <c r="P26335"/>
      <c r="Q26335" s="24"/>
      <c r="R26335"/>
      <c r="S26335"/>
      <c r="T26335"/>
      <c r="U26335"/>
      <c r="X26335" s="60"/>
    </row>
    <row r="26336" spans="7:24" ht="15" customHeight="1">
      <c r="G26336"/>
      <c r="I26336"/>
      <c r="N26336"/>
      <c r="O26336" s="24"/>
      <c r="P26336"/>
      <c r="Q26336" s="24"/>
      <c r="R26336"/>
      <c r="S26336"/>
      <c r="T26336"/>
      <c r="U26336"/>
      <c r="X26336" s="60"/>
    </row>
    <row r="26337" spans="7:24" ht="15" customHeight="1">
      <c r="G26337"/>
      <c r="I26337"/>
      <c r="N26337"/>
      <c r="O26337" s="24"/>
      <c r="P26337"/>
      <c r="Q26337" s="24"/>
      <c r="R26337"/>
      <c r="S26337"/>
      <c r="T26337"/>
      <c r="U26337"/>
      <c r="X26337" s="60"/>
    </row>
    <row r="26338" spans="7:24" ht="15" customHeight="1">
      <c r="G26338"/>
      <c r="I26338"/>
      <c r="N26338"/>
      <c r="O26338" s="24"/>
      <c r="P26338"/>
      <c r="Q26338" s="24"/>
      <c r="R26338"/>
      <c r="S26338"/>
      <c r="T26338"/>
      <c r="U26338"/>
      <c r="X26338" s="60"/>
    </row>
    <row r="26339" spans="7:24" ht="15" customHeight="1">
      <c r="G26339"/>
      <c r="I26339"/>
      <c r="N26339"/>
      <c r="O26339" s="24"/>
      <c r="P26339"/>
      <c r="Q26339" s="24"/>
      <c r="R26339"/>
      <c r="S26339"/>
      <c r="T26339"/>
      <c r="U26339"/>
      <c r="X26339" s="60"/>
    </row>
    <row r="26340" spans="7:24" ht="15" customHeight="1">
      <c r="G26340"/>
      <c r="I26340"/>
      <c r="N26340"/>
      <c r="O26340" s="24"/>
      <c r="P26340"/>
      <c r="Q26340" s="24"/>
      <c r="R26340"/>
      <c r="S26340"/>
      <c r="T26340"/>
      <c r="U26340"/>
      <c r="X26340" s="60"/>
    </row>
    <row r="26341" spans="7:24" ht="15" customHeight="1">
      <c r="G26341"/>
      <c r="I26341"/>
      <c r="N26341"/>
      <c r="O26341" s="24"/>
      <c r="P26341"/>
      <c r="Q26341" s="24"/>
      <c r="R26341"/>
      <c r="S26341"/>
      <c r="T26341"/>
      <c r="U26341"/>
      <c r="X26341" s="60"/>
    </row>
    <row r="26342" spans="7:24" ht="15" customHeight="1">
      <c r="G26342"/>
      <c r="I26342"/>
      <c r="N26342"/>
      <c r="O26342" s="24"/>
      <c r="P26342"/>
      <c r="Q26342" s="24"/>
      <c r="R26342"/>
      <c r="S26342"/>
      <c r="T26342"/>
      <c r="U26342"/>
      <c r="X26342" s="60"/>
    </row>
    <row r="26343" spans="7:24" ht="15" customHeight="1">
      <c r="G26343"/>
      <c r="I26343"/>
      <c r="N26343"/>
      <c r="O26343" s="24"/>
      <c r="P26343"/>
      <c r="Q26343" s="24"/>
      <c r="R26343"/>
      <c r="S26343"/>
      <c r="T26343"/>
      <c r="U26343"/>
      <c r="X26343" s="60"/>
    </row>
    <row r="26344" spans="7:24" ht="15" customHeight="1">
      <c r="G26344"/>
      <c r="I26344"/>
      <c r="N26344"/>
      <c r="O26344" s="24"/>
      <c r="P26344"/>
      <c r="Q26344" s="24"/>
      <c r="R26344"/>
      <c r="S26344"/>
      <c r="T26344"/>
      <c r="U26344"/>
      <c r="X26344" s="60"/>
    </row>
    <row r="26345" spans="7:24" ht="15" customHeight="1">
      <c r="G26345"/>
      <c r="I26345"/>
      <c r="N26345"/>
      <c r="O26345" s="24"/>
      <c r="P26345"/>
      <c r="Q26345" s="24"/>
      <c r="R26345"/>
      <c r="S26345"/>
      <c r="T26345"/>
      <c r="U26345"/>
      <c r="X26345" s="60"/>
    </row>
    <row r="26346" spans="7:24" ht="15" customHeight="1">
      <c r="G26346"/>
      <c r="I26346"/>
      <c r="N26346"/>
      <c r="O26346" s="24"/>
      <c r="P26346"/>
      <c r="Q26346" s="24"/>
      <c r="R26346"/>
      <c r="S26346"/>
      <c r="T26346"/>
      <c r="U26346"/>
      <c r="X26346" s="60"/>
    </row>
    <row r="26347" spans="7:24" ht="15" customHeight="1">
      <c r="G26347"/>
      <c r="I26347"/>
      <c r="N26347"/>
      <c r="O26347" s="24"/>
      <c r="P26347"/>
      <c r="Q26347" s="24"/>
      <c r="R26347"/>
      <c r="S26347"/>
      <c r="T26347"/>
      <c r="U26347"/>
      <c r="X26347" s="60"/>
    </row>
    <row r="26348" spans="7:24" ht="15" customHeight="1">
      <c r="G26348"/>
      <c r="I26348"/>
      <c r="N26348"/>
      <c r="O26348" s="24"/>
      <c r="P26348"/>
      <c r="Q26348" s="24"/>
      <c r="R26348"/>
      <c r="S26348"/>
      <c r="T26348"/>
      <c r="U26348"/>
      <c r="X26348" s="60"/>
    </row>
    <row r="26349" spans="7:24" ht="15" customHeight="1">
      <c r="G26349"/>
      <c r="I26349"/>
      <c r="N26349"/>
      <c r="O26349" s="24"/>
      <c r="P26349"/>
      <c r="Q26349" s="24"/>
      <c r="R26349"/>
      <c r="S26349"/>
      <c r="T26349"/>
      <c r="U26349"/>
      <c r="X26349" s="60"/>
    </row>
    <row r="26350" spans="7:24" ht="15" customHeight="1">
      <c r="G26350"/>
      <c r="I26350"/>
      <c r="N26350"/>
      <c r="O26350" s="24"/>
      <c r="P26350"/>
      <c r="Q26350" s="24"/>
      <c r="R26350"/>
      <c r="S26350"/>
      <c r="T26350"/>
      <c r="U26350"/>
      <c r="X26350" s="60"/>
    </row>
    <row r="26351" spans="7:24" ht="15" customHeight="1">
      <c r="G26351"/>
      <c r="I26351"/>
      <c r="N26351"/>
      <c r="O26351" s="24"/>
      <c r="P26351"/>
      <c r="Q26351" s="24"/>
      <c r="R26351"/>
      <c r="S26351"/>
      <c r="T26351"/>
      <c r="U26351"/>
      <c r="X26351" s="60"/>
    </row>
    <row r="26352" spans="7:24" ht="15" customHeight="1">
      <c r="G26352"/>
      <c r="I26352"/>
      <c r="N26352"/>
      <c r="O26352" s="24"/>
      <c r="P26352"/>
      <c r="Q26352" s="24"/>
      <c r="R26352"/>
      <c r="S26352"/>
      <c r="T26352"/>
      <c r="U26352"/>
      <c r="X26352" s="60"/>
    </row>
    <row r="26353" spans="7:24" ht="15" customHeight="1">
      <c r="G26353"/>
      <c r="I26353"/>
      <c r="N26353"/>
      <c r="O26353" s="24"/>
      <c r="P26353"/>
      <c r="Q26353" s="24"/>
      <c r="R26353"/>
      <c r="S26353"/>
      <c r="T26353"/>
      <c r="U26353"/>
      <c r="X26353" s="60"/>
    </row>
    <row r="26354" spans="7:24" ht="15" customHeight="1">
      <c r="G26354"/>
      <c r="I26354"/>
      <c r="N26354"/>
      <c r="O26354" s="24"/>
      <c r="P26354"/>
      <c r="Q26354" s="24"/>
      <c r="R26354"/>
      <c r="S26354"/>
      <c r="T26354"/>
      <c r="U26354"/>
      <c r="X26354" s="60"/>
    </row>
    <row r="26355" spans="7:24" ht="15" customHeight="1">
      <c r="G26355"/>
      <c r="I26355"/>
      <c r="N26355"/>
      <c r="O26355" s="24"/>
      <c r="P26355"/>
      <c r="Q26355" s="24"/>
      <c r="R26355"/>
      <c r="S26355"/>
      <c r="T26355"/>
      <c r="U26355"/>
      <c r="X26355" s="60"/>
    </row>
    <row r="26356" spans="7:24" ht="15" customHeight="1">
      <c r="G26356"/>
      <c r="I26356"/>
      <c r="N26356"/>
      <c r="O26356" s="24"/>
      <c r="P26356"/>
      <c r="Q26356" s="24"/>
      <c r="R26356"/>
      <c r="S26356"/>
      <c r="T26356"/>
      <c r="U26356"/>
      <c r="X26356" s="60"/>
    </row>
    <row r="26357" spans="7:24" ht="15" customHeight="1">
      <c r="G26357"/>
      <c r="I26357"/>
      <c r="N26357"/>
      <c r="O26357" s="24"/>
      <c r="P26357"/>
      <c r="Q26357" s="24"/>
      <c r="R26357"/>
      <c r="S26357"/>
      <c r="T26357"/>
      <c r="U26357"/>
      <c r="X26357" s="60"/>
    </row>
    <row r="26358" spans="7:24" ht="15" customHeight="1">
      <c r="G26358"/>
      <c r="I26358"/>
      <c r="N26358"/>
      <c r="O26358" s="24"/>
      <c r="P26358"/>
      <c r="Q26358" s="24"/>
      <c r="R26358"/>
      <c r="S26358"/>
      <c r="T26358"/>
      <c r="U26358"/>
      <c r="X26358" s="60"/>
    </row>
    <row r="26359" spans="7:24" ht="15" customHeight="1">
      <c r="G26359"/>
      <c r="I26359"/>
      <c r="N26359"/>
      <c r="O26359" s="24"/>
      <c r="P26359"/>
      <c r="Q26359" s="24"/>
      <c r="R26359"/>
      <c r="S26359"/>
      <c r="T26359"/>
      <c r="U26359"/>
      <c r="X26359" s="60"/>
    </row>
    <row r="26360" spans="7:24" ht="15" customHeight="1">
      <c r="G26360"/>
      <c r="I26360"/>
      <c r="N26360"/>
      <c r="O26360" s="24"/>
      <c r="P26360"/>
      <c r="Q26360" s="24"/>
      <c r="R26360"/>
      <c r="S26360"/>
      <c r="T26360"/>
      <c r="U26360"/>
      <c r="X26360" s="60"/>
    </row>
    <row r="26361" spans="7:24" ht="15" customHeight="1">
      <c r="G26361"/>
      <c r="I26361"/>
      <c r="N26361"/>
      <c r="O26361" s="24"/>
      <c r="P26361"/>
      <c r="Q26361" s="24"/>
      <c r="R26361"/>
      <c r="S26361"/>
      <c r="T26361"/>
      <c r="U26361"/>
      <c r="X26361" s="60"/>
    </row>
    <row r="26362" spans="7:24" ht="15" customHeight="1">
      <c r="G26362"/>
      <c r="I26362"/>
      <c r="N26362"/>
      <c r="O26362" s="24"/>
      <c r="P26362"/>
      <c r="Q26362" s="24"/>
      <c r="R26362"/>
      <c r="S26362"/>
      <c r="T26362"/>
      <c r="U26362"/>
      <c r="X26362" s="60"/>
    </row>
    <row r="26363" spans="7:24" ht="15" customHeight="1">
      <c r="G26363"/>
      <c r="I26363"/>
      <c r="N26363"/>
      <c r="O26363" s="24"/>
      <c r="P26363"/>
      <c r="Q26363" s="24"/>
      <c r="R26363"/>
      <c r="S26363"/>
      <c r="T26363"/>
      <c r="U26363"/>
      <c r="X26363" s="60"/>
    </row>
    <row r="26364" spans="7:24" ht="15" customHeight="1">
      <c r="G26364"/>
      <c r="I26364"/>
      <c r="N26364"/>
      <c r="O26364" s="24"/>
      <c r="P26364"/>
      <c r="Q26364" s="24"/>
      <c r="R26364"/>
      <c r="S26364"/>
      <c r="T26364"/>
      <c r="U26364"/>
      <c r="X26364" s="60"/>
    </row>
    <row r="26365" spans="7:24" ht="15" customHeight="1">
      <c r="G26365"/>
      <c r="I26365"/>
      <c r="N26365"/>
      <c r="O26365" s="24"/>
      <c r="P26365"/>
      <c r="Q26365" s="24"/>
      <c r="R26365"/>
      <c r="S26365"/>
      <c r="T26365"/>
      <c r="U26365"/>
      <c r="X26365" s="60"/>
    </row>
    <row r="26366" spans="7:24" ht="15" customHeight="1">
      <c r="G26366"/>
      <c r="I26366"/>
      <c r="N26366"/>
      <c r="O26366" s="24"/>
      <c r="P26366"/>
      <c r="Q26366" s="24"/>
      <c r="R26366"/>
      <c r="S26366"/>
      <c r="T26366"/>
      <c r="U26366"/>
      <c r="X26366" s="60"/>
    </row>
    <row r="26367" spans="7:24" ht="15" customHeight="1">
      <c r="G26367"/>
      <c r="I26367"/>
      <c r="N26367"/>
      <c r="O26367" s="24"/>
      <c r="P26367"/>
      <c r="Q26367" s="24"/>
      <c r="R26367"/>
      <c r="S26367"/>
      <c r="T26367"/>
      <c r="U26367"/>
      <c r="X26367" s="60"/>
    </row>
    <row r="26368" spans="7:24" ht="15" customHeight="1">
      <c r="G26368"/>
      <c r="I26368"/>
      <c r="N26368"/>
      <c r="O26368" s="24"/>
      <c r="P26368"/>
      <c r="Q26368" s="24"/>
      <c r="R26368"/>
      <c r="S26368"/>
      <c r="T26368"/>
      <c r="U26368"/>
      <c r="X26368" s="60"/>
    </row>
    <row r="26369" spans="7:24" ht="15" customHeight="1">
      <c r="G26369"/>
      <c r="I26369"/>
      <c r="N26369"/>
      <c r="O26369" s="24"/>
      <c r="P26369"/>
      <c r="Q26369" s="24"/>
      <c r="R26369"/>
      <c r="S26369"/>
      <c r="T26369"/>
      <c r="U26369"/>
      <c r="X26369" s="60"/>
    </row>
    <row r="26370" spans="7:24" ht="15" customHeight="1">
      <c r="G26370"/>
      <c r="I26370"/>
      <c r="N26370"/>
      <c r="O26370" s="24"/>
      <c r="P26370"/>
      <c r="Q26370" s="24"/>
      <c r="R26370"/>
      <c r="S26370"/>
      <c r="T26370"/>
      <c r="U26370"/>
      <c r="X26370" s="60"/>
    </row>
    <row r="26371" spans="7:24" ht="15" customHeight="1">
      <c r="G26371"/>
      <c r="I26371"/>
      <c r="N26371"/>
      <c r="O26371" s="24"/>
      <c r="P26371"/>
      <c r="Q26371" s="24"/>
      <c r="R26371"/>
      <c r="S26371"/>
      <c r="T26371"/>
      <c r="U26371"/>
      <c r="X26371" s="60"/>
    </row>
    <row r="26372" spans="7:24" ht="15" customHeight="1">
      <c r="G26372"/>
      <c r="I26372"/>
      <c r="N26372"/>
      <c r="O26372" s="24"/>
      <c r="P26372"/>
      <c r="Q26372" s="24"/>
      <c r="R26372"/>
      <c r="S26372"/>
      <c r="T26372"/>
      <c r="U26372"/>
      <c r="X26372" s="60"/>
    </row>
    <row r="26373" spans="7:24" ht="15" customHeight="1">
      <c r="G26373"/>
      <c r="I26373"/>
      <c r="N26373"/>
      <c r="O26373" s="24"/>
      <c r="P26373"/>
      <c r="Q26373" s="24"/>
      <c r="R26373"/>
      <c r="S26373"/>
      <c r="T26373"/>
      <c r="U26373"/>
      <c r="X26373" s="60"/>
    </row>
    <row r="26374" spans="7:24" ht="15" customHeight="1">
      <c r="G26374"/>
      <c r="I26374"/>
      <c r="N26374"/>
      <c r="O26374" s="24"/>
      <c r="P26374"/>
      <c r="Q26374" s="24"/>
      <c r="R26374"/>
      <c r="S26374"/>
      <c r="T26374"/>
      <c r="U26374"/>
      <c r="X26374" s="60"/>
    </row>
    <row r="26375" spans="7:24" ht="15" customHeight="1">
      <c r="G26375"/>
      <c r="I26375"/>
      <c r="N26375"/>
      <c r="O26375" s="24"/>
      <c r="P26375"/>
      <c r="Q26375" s="24"/>
      <c r="R26375"/>
      <c r="S26375"/>
      <c r="T26375"/>
      <c r="U26375"/>
      <c r="X26375" s="60"/>
    </row>
    <row r="26376" spans="7:24" ht="15" customHeight="1">
      <c r="G26376"/>
      <c r="I26376"/>
      <c r="N26376"/>
      <c r="O26376" s="24"/>
      <c r="P26376"/>
      <c r="Q26376" s="24"/>
      <c r="R26376"/>
      <c r="S26376"/>
      <c r="T26376"/>
      <c r="U26376"/>
      <c r="X26376" s="60"/>
    </row>
    <row r="26377" spans="7:24" ht="15" customHeight="1">
      <c r="G26377"/>
      <c r="I26377"/>
      <c r="N26377"/>
      <c r="O26377" s="24"/>
      <c r="P26377"/>
      <c r="Q26377" s="24"/>
      <c r="R26377"/>
      <c r="S26377"/>
      <c r="T26377"/>
      <c r="U26377"/>
      <c r="X26377" s="60"/>
    </row>
    <row r="26378" spans="7:24" ht="15" customHeight="1">
      <c r="G26378"/>
      <c r="I26378"/>
      <c r="N26378"/>
      <c r="O26378" s="24"/>
      <c r="P26378"/>
      <c r="Q26378" s="24"/>
      <c r="R26378"/>
      <c r="S26378"/>
      <c r="T26378"/>
      <c r="U26378"/>
      <c r="X26378" s="60"/>
    </row>
    <row r="26379" spans="7:24" ht="15" customHeight="1">
      <c r="G26379"/>
      <c r="I26379"/>
      <c r="N26379"/>
      <c r="O26379" s="24"/>
      <c r="P26379"/>
      <c r="Q26379" s="24"/>
      <c r="R26379"/>
      <c r="S26379"/>
      <c r="T26379"/>
      <c r="U26379"/>
      <c r="X26379" s="60"/>
    </row>
    <row r="26380" spans="7:24" ht="15" customHeight="1">
      <c r="G26380"/>
      <c r="I26380"/>
      <c r="N26380"/>
      <c r="O26380" s="24"/>
      <c r="P26380"/>
      <c r="Q26380" s="24"/>
      <c r="R26380"/>
      <c r="S26380"/>
      <c r="T26380"/>
      <c r="U26380"/>
      <c r="X26380" s="60"/>
    </row>
    <row r="26381" spans="7:24" ht="15" customHeight="1">
      <c r="G26381"/>
      <c r="I26381"/>
      <c r="N26381"/>
      <c r="O26381" s="24"/>
      <c r="P26381"/>
      <c r="Q26381" s="24"/>
      <c r="R26381"/>
      <c r="S26381"/>
      <c r="T26381"/>
      <c r="U26381"/>
      <c r="X26381" s="60"/>
    </row>
    <row r="26382" spans="7:24" ht="15" customHeight="1">
      <c r="G26382"/>
      <c r="I26382"/>
      <c r="N26382"/>
      <c r="O26382" s="24"/>
      <c r="P26382"/>
      <c r="Q26382" s="24"/>
      <c r="R26382"/>
      <c r="S26382"/>
      <c r="T26382"/>
      <c r="U26382"/>
      <c r="X26382" s="60"/>
    </row>
    <row r="26383" spans="7:24" ht="15" customHeight="1">
      <c r="G26383"/>
      <c r="I26383"/>
      <c r="N26383"/>
      <c r="O26383" s="24"/>
      <c r="P26383"/>
      <c r="Q26383" s="24"/>
      <c r="R26383"/>
      <c r="S26383"/>
      <c r="T26383"/>
      <c r="U26383"/>
      <c r="X26383" s="60"/>
    </row>
    <row r="26384" spans="7:24" ht="15" customHeight="1">
      <c r="G26384"/>
      <c r="I26384"/>
      <c r="N26384"/>
      <c r="O26384" s="24"/>
      <c r="P26384"/>
      <c r="Q26384" s="24"/>
      <c r="R26384"/>
      <c r="S26384"/>
      <c r="T26384"/>
      <c r="U26384"/>
      <c r="X26384" s="60"/>
    </row>
    <row r="26385" spans="7:24" ht="15" customHeight="1">
      <c r="G26385"/>
      <c r="I26385"/>
      <c r="N26385"/>
      <c r="O26385" s="24"/>
      <c r="P26385"/>
      <c r="Q26385" s="24"/>
      <c r="R26385"/>
      <c r="S26385"/>
      <c r="T26385"/>
      <c r="U26385"/>
      <c r="X26385" s="60"/>
    </row>
    <row r="26386" spans="7:24" ht="15" customHeight="1">
      <c r="G26386"/>
      <c r="I26386"/>
      <c r="N26386"/>
      <c r="O26386" s="24"/>
      <c r="P26386"/>
      <c r="Q26386" s="24"/>
      <c r="R26386"/>
      <c r="S26386"/>
      <c r="T26386"/>
      <c r="U26386"/>
      <c r="X26386" s="60"/>
    </row>
    <row r="26387" spans="7:24" ht="15" customHeight="1">
      <c r="G26387"/>
      <c r="I26387"/>
      <c r="N26387"/>
      <c r="O26387" s="24"/>
      <c r="P26387"/>
      <c r="Q26387" s="24"/>
      <c r="R26387"/>
      <c r="S26387"/>
      <c r="T26387"/>
      <c r="U26387"/>
      <c r="X26387" s="60"/>
    </row>
    <row r="26388" spans="7:24" ht="15" customHeight="1">
      <c r="G26388"/>
      <c r="I26388"/>
      <c r="N26388"/>
      <c r="O26388" s="24"/>
      <c r="P26388"/>
      <c r="Q26388" s="24"/>
      <c r="R26388"/>
      <c r="S26388"/>
      <c r="T26388"/>
      <c r="U26388"/>
      <c r="X26388" s="60"/>
    </row>
    <row r="26389" spans="7:24" ht="15" customHeight="1">
      <c r="G26389"/>
      <c r="I26389"/>
      <c r="N26389"/>
      <c r="O26389" s="24"/>
      <c r="P26389"/>
      <c r="Q26389" s="24"/>
      <c r="R26389"/>
      <c r="S26389"/>
      <c r="T26389"/>
      <c r="U26389"/>
      <c r="X26389" s="60"/>
    </row>
    <row r="26390" spans="7:24" ht="15" customHeight="1">
      <c r="G26390"/>
      <c r="I26390"/>
      <c r="N26390"/>
      <c r="O26390" s="24"/>
      <c r="P26390"/>
      <c r="Q26390" s="24"/>
      <c r="R26390"/>
      <c r="S26390"/>
      <c r="T26390"/>
      <c r="U26390"/>
      <c r="X26390" s="60"/>
    </row>
    <row r="26391" spans="7:24" ht="15" customHeight="1">
      <c r="G26391"/>
      <c r="I26391"/>
      <c r="N26391"/>
      <c r="O26391" s="24"/>
      <c r="P26391"/>
      <c r="Q26391" s="24"/>
      <c r="R26391"/>
      <c r="S26391"/>
      <c r="T26391"/>
      <c r="U26391"/>
      <c r="X26391" s="60"/>
    </row>
    <row r="26392" spans="7:24" ht="15" customHeight="1">
      <c r="G26392"/>
      <c r="I26392"/>
      <c r="N26392"/>
      <c r="O26392" s="24"/>
      <c r="P26392"/>
      <c r="Q26392" s="24"/>
      <c r="R26392"/>
      <c r="S26392"/>
      <c r="T26392"/>
      <c r="U26392"/>
      <c r="X26392" s="60"/>
    </row>
    <row r="26393" spans="7:24" ht="15" customHeight="1">
      <c r="G26393"/>
      <c r="I26393"/>
      <c r="N26393"/>
      <c r="O26393" s="24"/>
      <c r="P26393"/>
      <c r="Q26393" s="24"/>
      <c r="R26393"/>
      <c r="S26393"/>
      <c r="T26393"/>
      <c r="U26393"/>
      <c r="X26393" s="60"/>
    </row>
    <row r="26394" spans="7:24" ht="15" customHeight="1">
      <c r="G26394"/>
      <c r="I26394"/>
      <c r="N26394"/>
      <c r="O26394" s="24"/>
      <c r="P26394"/>
      <c r="Q26394" s="24"/>
      <c r="R26394"/>
      <c r="S26394"/>
      <c r="T26394"/>
      <c r="U26394"/>
      <c r="X26394" s="60"/>
    </row>
    <row r="26395" spans="7:24" ht="15" customHeight="1">
      <c r="G26395"/>
      <c r="I26395"/>
      <c r="N26395"/>
      <c r="O26395" s="24"/>
      <c r="P26395"/>
      <c r="Q26395" s="24"/>
      <c r="R26395"/>
      <c r="S26395"/>
      <c r="T26395"/>
      <c r="U26395"/>
      <c r="X26395" s="60"/>
    </row>
    <row r="26396" spans="7:24" ht="15" customHeight="1">
      <c r="G26396"/>
      <c r="I26396"/>
      <c r="N26396"/>
      <c r="O26396" s="24"/>
      <c r="P26396"/>
      <c r="Q26396" s="24"/>
      <c r="R26396"/>
      <c r="S26396"/>
      <c r="T26396"/>
      <c r="U26396"/>
      <c r="X26396" s="60"/>
    </row>
    <row r="26397" spans="7:24" ht="15" customHeight="1">
      <c r="G26397"/>
      <c r="I26397"/>
      <c r="N26397"/>
      <c r="O26397" s="24"/>
      <c r="P26397"/>
      <c r="Q26397" s="24"/>
      <c r="R26397"/>
      <c r="S26397"/>
      <c r="T26397"/>
      <c r="U26397"/>
      <c r="X26397" s="60"/>
    </row>
    <row r="26398" spans="7:24" ht="15" customHeight="1">
      <c r="G26398"/>
      <c r="I26398"/>
      <c r="N26398"/>
      <c r="O26398" s="24"/>
      <c r="P26398"/>
      <c r="Q26398" s="24"/>
      <c r="R26398"/>
      <c r="S26398"/>
      <c r="T26398"/>
      <c r="U26398"/>
      <c r="X26398" s="60"/>
    </row>
    <row r="26399" spans="7:24" ht="15" customHeight="1">
      <c r="G26399"/>
      <c r="I26399"/>
      <c r="N26399"/>
      <c r="O26399" s="24"/>
      <c r="P26399"/>
      <c r="Q26399" s="24"/>
      <c r="R26399"/>
      <c r="S26399"/>
      <c r="T26399"/>
      <c r="U26399"/>
      <c r="X26399" s="60"/>
    </row>
    <row r="26400" spans="7:24" ht="15" customHeight="1">
      <c r="G26400"/>
      <c r="I26400"/>
      <c r="N26400"/>
      <c r="O26400" s="24"/>
      <c r="P26400"/>
      <c r="Q26400" s="24"/>
      <c r="R26400"/>
      <c r="S26400"/>
      <c r="T26400"/>
      <c r="U26400"/>
      <c r="X26400" s="60"/>
    </row>
    <row r="26401" spans="7:24" ht="15" customHeight="1">
      <c r="G26401"/>
      <c r="I26401"/>
      <c r="N26401"/>
      <c r="O26401" s="24"/>
      <c r="P26401"/>
      <c r="Q26401" s="24"/>
      <c r="R26401"/>
      <c r="S26401"/>
      <c r="T26401"/>
      <c r="U26401"/>
      <c r="X26401" s="60"/>
    </row>
    <row r="26402" spans="7:24" ht="15" customHeight="1">
      <c r="G26402"/>
      <c r="I26402"/>
      <c r="N26402"/>
      <c r="O26402" s="24"/>
      <c r="P26402"/>
      <c r="Q26402" s="24"/>
      <c r="R26402"/>
      <c r="S26402"/>
      <c r="T26402"/>
      <c r="U26402"/>
      <c r="X26402" s="60"/>
    </row>
    <row r="26403" spans="7:24" ht="15" customHeight="1">
      <c r="G26403"/>
      <c r="I26403"/>
      <c r="N26403"/>
      <c r="O26403" s="24"/>
      <c r="P26403"/>
      <c r="Q26403" s="24"/>
      <c r="R26403"/>
      <c r="S26403"/>
      <c r="T26403"/>
      <c r="U26403"/>
      <c r="X26403" s="60"/>
    </row>
    <row r="26404" spans="7:24" ht="15" customHeight="1">
      <c r="G26404"/>
      <c r="I26404"/>
      <c r="N26404"/>
      <c r="O26404" s="24"/>
      <c r="P26404"/>
      <c r="Q26404" s="24"/>
      <c r="R26404"/>
      <c r="S26404"/>
      <c r="T26404"/>
      <c r="U26404"/>
      <c r="X26404" s="60"/>
    </row>
    <row r="26405" spans="7:24" ht="15" customHeight="1">
      <c r="G26405"/>
      <c r="I26405"/>
      <c r="N26405"/>
      <c r="O26405" s="24"/>
      <c r="P26405"/>
      <c r="Q26405" s="24"/>
      <c r="R26405"/>
      <c r="S26405"/>
      <c r="T26405"/>
      <c r="U26405"/>
      <c r="X26405" s="60"/>
    </row>
    <row r="26406" spans="7:24" ht="15" customHeight="1">
      <c r="G26406"/>
      <c r="I26406"/>
      <c r="N26406"/>
      <c r="O26406" s="24"/>
      <c r="P26406"/>
      <c r="Q26406" s="24"/>
      <c r="R26406"/>
      <c r="S26406"/>
      <c r="T26406"/>
      <c r="U26406"/>
      <c r="X26406" s="60"/>
    </row>
    <row r="26407" spans="7:24" ht="15" customHeight="1">
      <c r="G26407"/>
      <c r="I26407"/>
      <c r="N26407"/>
      <c r="O26407" s="24"/>
      <c r="P26407"/>
      <c r="Q26407" s="24"/>
      <c r="R26407"/>
      <c r="S26407"/>
      <c r="T26407"/>
      <c r="U26407"/>
      <c r="X26407" s="60"/>
    </row>
    <row r="26408" spans="7:24" ht="15" customHeight="1">
      <c r="G26408"/>
      <c r="I26408"/>
      <c r="N26408"/>
      <c r="O26408" s="24"/>
      <c r="P26408"/>
      <c r="Q26408" s="24"/>
      <c r="R26408"/>
      <c r="S26408"/>
      <c r="T26408"/>
      <c r="U26408"/>
      <c r="X26408" s="60"/>
    </row>
    <row r="26409" spans="7:24" ht="15" customHeight="1">
      <c r="G26409"/>
      <c r="I26409"/>
      <c r="N26409"/>
      <c r="O26409" s="24"/>
      <c r="P26409"/>
      <c r="Q26409" s="24"/>
      <c r="R26409"/>
      <c r="S26409"/>
      <c r="T26409"/>
      <c r="U26409"/>
      <c r="X26409" s="60"/>
    </row>
    <row r="26410" spans="7:24" ht="15" customHeight="1">
      <c r="G26410"/>
      <c r="I26410"/>
      <c r="N26410"/>
      <c r="O26410" s="24"/>
      <c r="P26410"/>
      <c r="Q26410" s="24"/>
      <c r="R26410"/>
      <c r="S26410"/>
      <c r="T26410"/>
      <c r="U26410"/>
      <c r="X26410" s="60"/>
    </row>
    <row r="26411" spans="7:24" ht="15" customHeight="1">
      <c r="G26411"/>
      <c r="I26411"/>
      <c r="N26411"/>
      <c r="O26411" s="24"/>
      <c r="P26411"/>
      <c r="Q26411" s="24"/>
      <c r="R26411"/>
      <c r="S26411"/>
      <c r="T26411"/>
      <c r="U26411"/>
      <c r="X26411" s="60"/>
    </row>
    <row r="26412" spans="7:24" ht="15" customHeight="1">
      <c r="G26412"/>
      <c r="I26412"/>
      <c r="N26412"/>
      <c r="O26412" s="24"/>
      <c r="P26412"/>
      <c r="Q26412" s="24"/>
      <c r="R26412"/>
      <c r="S26412"/>
      <c r="T26412"/>
      <c r="U26412"/>
      <c r="X26412" s="60"/>
    </row>
    <row r="26413" spans="7:24" ht="15" customHeight="1">
      <c r="G26413"/>
      <c r="I26413"/>
      <c r="N26413"/>
      <c r="O26413" s="24"/>
      <c r="P26413"/>
      <c r="Q26413" s="24"/>
      <c r="R26413"/>
      <c r="S26413"/>
      <c r="T26413"/>
      <c r="U26413"/>
      <c r="X26413" s="60"/>
    </row>
    <row r="26414" spans="7:24" ht="15" customHeight="1">
      <c r="G26414"/>
      <c r="I26414"/>
      <c r="N26414"/>
      <c r="O26414" s="24"/>
      <c r="P26414"/>
      <c r="Q26414" s="24"/>
      <c r="R26414"/>
      <c r="S26414"/>
      <c r="T26414"/>
      <c r="U26414"/>
      <c r="X26414" s="60"/>
    </row>
    <row r="26415" spans="7:24" ht="15" customHeight="1">
      <c r="G26415"/>
      <c r="I26415"/>
      <c r="N26415"/>
      <c r="O26415" s="24"/>
      <c r="P26415"/>
      <c r="Q26415" s="24"/>
      <c r="R26415"/>
      <c r="S26415"/>
      <c r="T26415"/>
      <c r="U26415"/>
      <c r="X26415" s="60"/>
    </row>
    <row r="26416" spans="7:24" ht="15" customHeight="1">
      <c r="G26416"/>
      <c r="I26416"/>
      <c r="N26416"/>
      <c r="O26416" s="24"/>
      <c r="P26416"/>
      <c r="Q26416" s="24"/>
      <c r="R26416"/>
      <c r="S26416"/>
      <c r="T26416"/>
      <c r="U26416"/>
      <c r="X26416" s="60"/>
    </row>
    <row r="26417" spans="7:24" ht="15" customHeight="1">
      <c r="G26417"/>
      <c r="I26417"/>
      <c r="N26417"/>
      <c r="O26417" s="24"/>
      <c r="P26417"/>
      <c r="Q26417" s="24"/>
      <c r="R26417"/>
      <c r="S26417"/>
      <c r="T26417"/>
      <c r="U26417"/>
      <c r="X26417" s="60"/>
    </row>
    <row r="26418" spans="7:24" ht="15" customHeight="1">
      <c r="G26418"/>
      <c r="I26418"/>
      <c r="N26418"/>
      <c r="O26418" s="24"/>
      <c r="P26418"/>
      <c r="Q26418" s="24"/>
      <c r="R26418"/>
      <c r="S26418"/>
      <c r="T26418"/>
      <c r="U26418"/>
      <c r="X26418" s="60"/>
    </row>
    <row r="26419" spans="7:24" ht="15" customHeight="1">
      <c r="G26419"/>
      <c r="I26419"/>
      <c r="N26419"/>
      <c r="O26419" s="24"/>
      <c r="P26419"/>
      <c r="Q26419" s="24"/>
      <c r="R26419"/>
      <c r="S26419"/>
      <c r="T26419"/>
      <c r="U26419"/>
      <c r="X26419" s="60"/>
    </row>
    <row r="26420" spans="7:24" ht="15" customHeight="1">
      <c r="G26420"/>
      <c r="I26420"/>
      <c r="N26420"/>
      <c r="O26420" s="24"/>
      <c r="P26420"/>
      <c r="Q26420" s="24"/>
      <c r="R26420"/>
      <c r="S26420"/>
      <c r="T26420"/>
      <c r="U26420"/>
      <c r="X26420" s="60"/>
    </row>
    <row r="26421" spans="7:24" ht="15" customHeight="1">
      <c r="G26421"/>
      <c r="I26421"/>
      <c r="N26421"/>
      <c r="O26421" s="24"/>
      <c r="P26421"/>
      <c r="Q26421" s="24"/>
      <c r="R26421"/>
      <c r="S26421"/>
      <c r="T26421"/>
      <c r="U26421"/>
      <c r="X26421" s="60"/>
    </row>
    <row r="26422" spans="7:24" ht="15" customHeight="1">
      <c r="G26422"/>
      <c r="I26422"/>
      <c r="N26422"/>
      <c r="O26422" s="24"/>
      <c r="P26422"/>
      <c r="Q26422" s="24"/>
      <c r="R26422"/>
      <c r="S26422"/>
      <c r="T26422"/>
      <c r="U26422"/>
      <c r="X26422" s="60"/>
    </row>
    <row r="26423" spans="7:24" ht="15" customHeight="1">
      <c r="G26423"/>
      <c r="I26423"/>
      <c r="N26423"/>
      <c r="O26423" s="24"/>
      <c r="P26423"/>
      <c r="Q26423" s="24"/>
      <c r="R26423"/>
      <c r="S26423"/>
      <c r="T26423"/>
      <c r="U26423"/>
      <c r="X26423" s="60"/>
    </row>
    <row r="26424" spans="7:24" ht="15" customHeight="1">
      <c r="G26424"/>
      <c r="I26424"/>
      <c r="N26424"/>
      <c r="O26424" s="24"/>
      <c r="P26424"/>
      <c r="Q26424" s="24"/>
      <c r="R26424"/>
      <c r="S26424"/>
      <c r="T26424"/>
      <c r="U26424"/>
      <c r="X26424" s="60"/>
    </row>
    <row r="26425" spans="7:24" ht="15" customHeight="1">
      <c r="G26425"/>
      <c r="I26425"/>
      <c r="N26425"/>
      <c r="O26425" s="24"/>
      <c r="P26425"/>
      <c r="Q26425" s="24"/>
      <c r="R26425"/>
      <c r="S26425"/>
      <c r="T26425"/>
      <c r="U26425"/>
      <c r="X26425" s="60"/>
    </row>
    <row r="26426" spans="7:24" ht="15" customHeight="1">
      <c r="G26426"/>
      <c r="I26426"/>
      <c r="N26426"/>
      <c r="O26426" s="24"/>
      <c r="P26426"/>
      <c r="Q26426" s="24"/>
      <c r="R26426"/>
      <c r="S26426"/>
      <c r="T26426"/>
      <c r="U26426"/>
      <c r="X26426" s="60"/>
    </row>
    <row r="26427" spans="7:24" ht="15" customHeight="1">
      <c r="G26427"/>
      <c r="I26427"/>
      <c r="N26427"/>
      <c r="O26427" s="24"/>
      <c r="P26427"/>
      <c r="Q26427" s="24"/>
      <c r="R26427"/>
      <c r="S26427"/>
      <c r="T26427"/>
      <c r="U26427"/>
      <c r="X26427" s="60"/>
    </row>
    <row r="26428" spans="7:24" ht="15" customHeight="1">
      <c r="G26428"/>
      <c r="I26428"/>
      <c r="N26428"/>
      <c r="O26428" s="24"/>
      <c r="P26428"/>
      <c r="Q26428" s="24"/>
      <c r="R26428"/>
      <c r="S26428"/>
      <c r="T26428"/>
      <c r="U26428"/>
      <c r="X26428" s="60"/>
    </row>
    <row r="26429" spans="7:24" ht="15" customHeight="1">
      <c r="G26429"/>
      <c r="I26429"/>
      <c r="N26429"/>
      <c r="O26429" s="24"/>
      <c r="P26429"/>
      <c r="Q26429" s="24"/>
      <c r="R26429"/>
      <c r="S26429"/>
      <c r="T26429"/>
      <c r="U26429"/>
      <c r="X26429" s="60"/>
    </row>
    <row r="26430" spans="7:24" ht="15" customHeight="1">
      <c r="G26430"/>
      <c r="I26430"/>
      <c r="N26430"/>
      <c r="O26430" s="24"/>
      <c r="P26430"/>
      <c r="Q26430" s="24"/>
      <c r="R26430"/>
      <c r="S26430"/>
      <c r="T26430"/>
      <c r="U26430"/>
      <c r="X26430" s="60"/>
    </row>
    <row r="26431" spans="7:24" ht="15" customHeight="1">
      <c r="G26431"/>
      <c r="I26431"/>
      <c r="N26431"/>
      <c r="O26431" s="24"/>
      <c r="P26431"/>
      <c r="Q26431" s="24"/>
      <c r="R26431"/>
      <c r="S26431"/>
      <c r="T26431"/>
      <c r="U26431"/>
      <c r="X26431" s="60"/>
    </row>
    <row r="26432" spans="7:24" ht="15" customHeight="1">
      <c r="G26432"/>
      <c r="I26432"/>
      <c r="N26432"/>
      <c r="O26432" s="24"/>
      <c r="P26432"/>
      <c r="Q26432" s="24"/>
      <c r="R26432"/>
      <c r="S26432"/>
      <c r="T26432"/>
      <c r="U26432"/>
      <c r="X26432" s="60"/>
    </row>
    <row r="26433" spans="7:24" ht="15" customHeight="1">
      <c r="G26433"/>
      <c r="I26433"/>
      <c r="N26433"/>
      <c r="O26433" s="24"/>
      <c r="P26433"/>
      <c r="Q26433" s="24"/>
      <c r="R26433"/>
      <c r="S26433"/>
      <c r="T26433"/>
      <c r="U26433"/>
      <c r="X26433" s="60"/>
    </row>
    <row r="26434" spans="7:24" ht="15" customHeight="1">
      <c r="G26434"/>
      <c r="I26434"/>
      <c r="N26434"/>
      <c r="O26434" s="24"/>
      <c r="P26434"/>
      <c r="Q26434" s="24"/>
      <c r="R26434"/>
      <c r="S26434"/>
      <c r="T26434"/>
      <c r="U26434"/>
      <c r="X26434" s="60"/>
    </row>
    <row r="26435" spans="7:24" ht="15" customHeight="1">
      <c r="G26435"/>
      <c r="I26435"/>
      <c r="N26435"/>
      <c r="O26435" s="24"/>
      <c r="P26435"/>
      <c r="Q26435" s="24"/>
      <c r="R26435"/>
      <c r="S26435"/>
      <c r="T26435"/>
      <c r="U26435"/>
      <c r="X26435" s="60"/>
    </row>
    <row r="26436" spans="7:24" ht="15" customHeight="1">
      <c r="G26436"/>
      <c r="I26436"/>
      <c r="N26436"/>
      <c r="O26436" s="24"/>
      <c r="P26436"/>
      <c r="Q26436" s="24"/>
      <c r="R26436"/>
      <c r="S26436"/>
      <c r="T26436"/>
      <c r="U26436"/>
      <c r="X26436" s="60"/>
    </row>
    <row r="26437" spans="7:24" ht="15" customHeight="1">
      <c r="G26437"/>
      <c r="I26437"/>
      <c r="N26437"/>
      <c r="O26437" s="24"/>
      <c r="P26437"/>
      <c r="Q26437" s="24"/>
      <c r="R26437"/>
      <c r="S26437"/>
      <c r="T26437"/>
      <c r="U26437"/>
      <c r="X26437" s="60"/>
    </row>
    <row r="26438" spans="7:24" ht="15" customHeight="1">
      <c r="G26438"/>
      <c r="I26438"/>
      <c r="N26438"/>
      <c r="O26438" s="24"/>
      <c r="P26438"/>
      <c r="Q26438" s="24"/>
      <c r="R26438"/>
      <c r="S26438"/>
      <c r="T26438"/>
      <c r="U26438"/>
      <c r="X26438" s="60"/>
    </row>
    <row r="26439" spans="7:24" ht="15" customHeight="1">
      <c r="G26439"/>
      <c r="I26439"/>
      <c r="N26439"/>
      <c r="O26439" s="24"/>
      <c r="P26439"/>
      <c r="Q26439" s="24"/>
      <c r="R26439"/>
      <c r="S26439"/>
      <c r="T26439"/>
      <c r="U26439"/>
      <c r="X26439" s="60"/>
    </row>
    <row r="26440" spans="7:24" ht="15" customHeight="1">
      <c r="G26440"/>
      <c r="I26440"/>
      <c r="N26440"/>
      <c r="O26440" s="24"/>
      <c r="P26440"/>
      <c r="Q26440" s="24"/>
      <c r="R26440"/>
      <c r="S26440"/>
      <c r="T26440"/>
      <c r="U26440"/>
      <c r="X26440" s="60"/>
    </row>
    <row r="26441" spans="7:24" ht="15" customHeight="1">
      <c r="G26441"/>
      <c r="I26441"/>
      <c r="N26441"/>
      <c r="O26441" s="24"/>
      <c r="P26441"/>
      <c r="Q26441" s="24"/>
      <c r="R26441"/>
      <c r="S26441"/>
      <c r="T26441"/>
      <c r="U26441"/>
      <c r="X26441" s="60"/>
    </row>
    <row r="26442" spans="7:24" ht="15" customHeight="1">
      <c r="G26442"/>
      <c r="I26442"/>
      <c r="N26442"/>
      <c r="O26442" s="24"/>
      <c r="P26442"/>
      <c r="Q26442" s="24"/>
      <c r="R26442"/>
      <c r="S26442"/>
      <c r="T26442"/>
      <c r="U26442"/>
      <c r="X26442" s="60"/>
    </row>
    <row r="26443" spans="7:24" ht="15" customHeight="1">
      <c r="G26443"/>
      <c r="I26443"/>
      <c r="N26443"/>
      <c r="O26443" s="24"/>
      <c r="P26443"/>
      <c r="Q26443" s="24"/>
      <c r="R26443"/>
      <c r="S26443"/>
      <c r="T26443"/>
      <c r="U26443"/>
      <c r="X26443" s="60"/>
    </row>
    <row r="26444" spans="7:24" ht="15" customHeight="1">
      <c r="G26444"/>
      <c r="I26444"/>
      <c r="N26444"/>
      <c r="O26444" s="24"/>
      <c r="P26444"/>
      <c r="Q26444" s="24"/>
      <c r="R26444"/>
      <c r="S26444"/>
      <c r="T26444"/>
      <c r="U26444"/>
      <c r="X26444" s="60"/>
    </row>
    <row r="26445" spans="7:24" ht="15" customHeight="1">
      <c r="G26445"/>
      <c r="I26445"/>
      <c r="N26445"/>
      <c r="O26445" s="24"/>
      <c r="P26445"/>
      <c r="Q26445" s="24"/>
      <c r="R26445"/>
      <c r="S26445"/>
      <c r="T26445"/>
      <c r="U26445"/>
      <c r="X26445" s="60"/>
    </row>
    <row r="26446" spans="7:24" ht="15" customHeight="1">
      <c r="G26446"/>
      <c r="I26446"/>
      <c r="N26446"/>
      <c r="O26446" s="24"/>
      <c r="P26446"/>
      <c r="Q26446" s="24"/>
      <c r="R26446"/>
      <c r="S26446"/>
      <c r="T26446"/>
      <c r="U26446"/>
      <c r="X26446" s="60"/>
    </row>
    <row r="26447" spans="7:24" ht="15" customHeight="1">
      <c r="G26447"/>
      <c r="I26447"/>
      <c r="N26447"/>
      <c r="O26447" s="24"/>
      <c r="P26447"/>
      <c r="Q26447" s="24"/>
      <c r="R26447"/>
      <c r="S26447"/>
      <c r="T26447"/>
      <c r="U26447"/>
      <c r="X26447" s="60"/>
    </row>
    <row r="26448" spans="7:24" ht="15" customHeight="1">
      <c r="G26448"/>
      <c r="I26448"/>
      <c r="N26448"/>
      <c r="O26448" s="24"/>
      <c r="P26448"/>
      <c r="Q26448" s="24"/>
      <c r="R26448"/>
      <c r="S26448"/>
      <c r="T26448"/>
      <c r="U26448"/>
      <c r="X26448" s="60"/>
    </row>
    <row r="26449" spans="7:24" ht="15" customHeight="1">
      <c r="G26449"/>
      <c r="I26449"/>
      <c r="N26449"/>
      <c r="O26449" s="24"/>
      <c r="P26449"/>
      <c r="Q26449" s="24"/>
      <c r="R26449"/>
      <c r="S26449"/>
      <c r="T26449"/>
      <c r="U26449"/>
      <c r="X26449" s="60"/>
    </row>
    <row r="26450" spans="7:24" ht="15" customHeight="1">
      <c r="G26450"/>
      <c r="I26450"/>
      <c r="N26450"/>
      <c r="O26450" s="24"/>
      <c r="P26450"/>
      <c r="Q26450" s="24"/>
      <c r="R26450"/>
      <c r="S26450"/>
      <c r="T26450"/>
      <c r="U26450"/>
      <c r="X26450" s="60"/>
    </row>
    <row r="26451" spans="7:24" ht="15" customHeight="1">
      <c r="G26451"/>
      <c r="I26451"/>
      <c r="N26451"/>
      <c r="O26451" s="24"/>
      <c r="P26451"/>
      <c r="Q26451" s="24"/>
      <c r="R26451"/>
      <c r="S26451"/>
      <c r="T26451"/>
      <c r="U26451"/>
      <c r="X26451" s="60"/>
    </row>
    <row r="26452" spans="7:24" ht="15" customHeight="1">
      <c r="G26452"/>
      <c r="I26452"/>
      <c r="N26452"/>
      <c r="O26452" s="24"/>
      <c r="P26452"/>
      <c r="Q26452" s="24"/>
      <c r="R26452"/>
      <c r="S26452"/>
      <c r="T26452"/>
      <c r="U26452"/>
      <c r="X26452" s="60"/>
    </row>
    <row r="26453" spans="7:24" ht="15" customHeight="1">
      <c r="G26453"/>
      <c r="I26453"/>
      <c r="N26453"/>
      <c r="O26453" s="24"/>
      <c r="P26453"/>
      <c r="Q26453" s="24"/>
      <c r="R26453"/>
      <c r="S26453"/>
      <c r="T26453"/>
      <c r="U26453"/>
      <c r="X26453" s="60"/>
    </row>
    <row r="26454" spans="7:24" ht="15" customHeight="1">
      <c r="G26454"/>
      <c r="I26454"/>
      <c r="N26454"/>
      <c r="O26454" s="24"/>
      <c r="P26454"/>
      <c r="Q26454" s="24"/>
      <c r="R26454"/>
      <c r="S26454"/>
      <c r="T26454"/>
      <c r="U26454"/>
      <c r="X26454" s="60"/>
    </row>
    <row r="26455" spans="7:24" ht="15" customHeight="1">
      <c r="G26455"/>
      <c r="I26455"/>
      <c r="N26455"/>
      <c r="O26455" s="24"/>
      <c r="P26455"/>
      <c r="Q26455" s="24"/>
      <c r="R26455"/>
      <c r="S26455"/>
      <c r="T26455"/>
      <c r="U26455"/>
      <c r="X26455" s="60"/>
    </row>
    <row r="26456" spans="7:24" ht="15" customHeight="1">
      <c r="G26456"/>
      <c r="I26456"/>
      <c r="N26456"/>
      <c r="O26456" s="24"/>
      <c r="P26456"/>
      <c r="Q26456" s="24"/>
      <c r="R26456"/>
      <c r="S26456"/>
      <c r="T26456"/>
      <c r="U26456"/>
      <c r="X26456" s="60"/>
    </row>
    <row r="26457" spans="7:24" ht="15" customHeight="1">
      <c r="G26457"/>
      <c r="I26457"/>
      <c r="N26457"/>
      <c r="O26457" s="24"/>
      <c r="P26457"/>
      <c r="Q26457" s="24"/>
      <c r="R26457"/>
      <c r="S26457"/>
      <c r="T26457"/>
      <c r="U26457"/>
      <c r="X26457" s="60"/>
    </row>
    <row r="26458" spans="7:24" ht="15" customHeight="1">
      <c r="G26458"/>
      <c r="I26458"/>
      <c r="N26458"/>
      <c r="O26458" s="24"/>
      <c r="P26458"/>
      <c r="Q26458" s="24"/>
      <c r="R26458"/>
      <c r="S26458"/>
      <c r="T26458"/>
      <c r="U26458"/>
      <c r="X26458" s="60"/>
    </row>
    <row r="26459" spans="7:24" ht="15" customHeight="1">
      <c r="G26459"/>
      <c r="I26459"/>
      <c r="N26459"/>
      <c r="O26459" s="24"/>
      <c r="P26459"/>
      <c r="Q26459" s="24"/>
      <c r="R26459"/>
      <c r="S26459"/>
      <c r="T26459"/>
      <c r="U26459"/>
      <c r="X26459" s="60"/>
    </row>
    <row r="26460" spans="7:24" ht="15" customHeight="1">
      <c r="G26460"/>
      <c r="I26460"/>
      <c r="N26460"/>
      <c r="O26460" s="24"/>
      <c r="P26460"/>
      <c r="Q26460" s="24"/>
      <c r="R26460"/>
      <c r="S26460"/>
      <c r="T26460"/>
      <c r="U26460"/>
      <c r="X26460" s="60"/>
    </row>
    <row r="26461" spans="7:24" ht="15" customHeight="1">
      <c r="G26461"/>
      <c r="I26461"/>
      <c r="N26461"/>
      <c r="O26461" s="24"/>
      <c r="P26461"/>
      <c r="Q26461" s="24"/>
      <c r="R26461"/>
      <c r="S26461"/>
      <c r="T26461"/>
      <c r="U26461"/>
      <c r="X26461" s="60"/>
    </row>
    <row r="26462" spans="7:24" ht="15" customHeight="1">
      <c r="G26462"/>
      <c r="I26462"/>
      <c r="N26462"/>
      <c r="O26462" s="24"/>
      <c r="P26462"/>
      <c r="Q26462" s="24"/>
      <c r="R26462"/>
      <c r="S26462"/>
      <c r="T26462"/>
      <c r="U26462"/>
      <c r="X26462" s="60"/>
    </row>
    <row r="26463" spans="7:24" ht="15" customHeight="1">
      <c r="G26463"/>
      <c r="I26463"/>
      <c r="N26463"/>
      <c r="O26463" s="24"/>
      <c r="P26463"/>
      <c r="Q26463" s="24"/>
      <c r="R26463"/>
      <c r="S26463"/>
      <c r="T26463"/>
      <c r="U26463"/>
      <c r="X26463" s="60"/>
    </row>
    <row r="26464" spans="7:24" ht="15" customHeight="1">
      <c r="G26464"/>
      <c r="I26464"/>
      <c r="N26464"/>
      <c r="O26464" s="24"/>
      <c r="P26464"/>
      <c r="Q26464" s="24"/>
      <c r="R26464"/>
      <c r="S26464"/>
      <c r="T26464"/>
      <c r="U26464"/>
      <c r="X26464" s="60"/>
    </row>
    <row r="26465" spans="7:24" ht="15" customHeight="1">
      <c r="G26465"/>
      <c r="I26465"/>
      <c r="N26465"/>
      <c r="O26465" s="24"/>
      <c r="P26465"/>
      <c r="Q26465" s="24"/>
      <c r="R26465"/>
      <c r="S26465"/>
      <c r="T26465"/>
      <c r="U26465"/>
      <c r="X26465" s="60"/>
    </row>
    <row r="26466" spans="7:24" ht="15" customHeight="1">
      <c r="G26466"/>
      <c r="I26466"/>
      <c r="N26466"/>
      <c r="O26466" s="24"/>
      <c r="P26466"/>
      <c r="Q26466" s="24"/>
      <c r="R26466"/>
      <c r="S26466"/>
      <c r="T26466"/>
      <c r="U26466"/>
      <c r="X26466" s="60"/>
    </row>
    <row r="26467" spans="7:24" ht="15" customHeight="1">
      <c r="G26467"/>
      <c r="I26467"/>
      <c r="N26467"/>
      <c r="O26467" s="24"/>
      <c r="P26467"/>
      <c r="Q26467" s="24"/>
      <c r="R26467"/>
      <c r="S26467"/>
      <c r="T26467"/>
      <c r="U26467"/>
      <c r="X26467" s="60"/>
    </row>
    <row r="26468" spans="7:24" ht="15" customHeight="1">
      <c r="G26468"/>
      <c r="I26468"/>
      <c r="N26468"/>
      <c r="O26468" s="24"/>
      <c r="P26468"/>
      <c r="Q26468" s="24"/>
      <c r="R26468"/>
      <c r="S26468"/>
      <c r="T26468"/>
      <c r="U26468"/>
      <c r="X26468" s="60"/>
    </row>
    <row r="26469" spans="7:24" ht="15" customHeight="1">
      <c r="G26469"/>
      <c r="I26469"/>
      <c r="N26469"/>
      <c r="O26469" s="24"/>
      <c r="P26469"/>
      <c r="Q26469" s="24"/>
      <c r="R26469"/>
      <c r="S26469"/>
      <c r="T26469"/>
      <c r="U26469"/>
      <c r="X26469" s="60"/>
    </row>
    <row r="26470" spans="7:24" ht="15" customHeight="1">
      <c r="G26470"/>
      <c r="I26470"/>
      <c r="N26470"/>
      <c r="O26470" s="24"/>
      <c r="P26470"/>
      <c r="Q26470" s="24"/>
      <c r="R26470"/>
      <c r="S26470"/>
      <c r="T26470"/>
      <c r="U26470"/>
      <c r="X26470" s="60"/>
    </row>
    <row r="26471" spans="7:24" ht="15" customHeight="1">
      <c r="G26471"/>
      <c r="I26471"/>
      <c r="N26471"/>
      <c r="O26471" s="24"/>
      <c r="P26471"/>
      <c r="Q26471" s="24"/>
      <c r="R26471"/>
      <c r="S26471"/>
      <c r="T26471"/>
      <c r="U26471"/>
      <c r="X26471" s="60"/>
    </row>
    <row r="26472" spans="7:24" ht="15" customHeight="1">
      <c r="G26472"/>
      <c r="I26472"/>
      <c r="N26472"/>
      <c r="O26472" s="24"/>
      <c r="P26472"/>
      <c r="Q26472" s="24"/>
      <c r="R26472"/>
      <c r="S26472"/>
      <c r="T26472"/>
      <c r="U26472"/>
      <c r="X26472" s="60"/>
    </row>
    <row r="26473" spans="7:24" ht="15" customHeight="1">
      <c r="G26473"/>
      <c r="I26473"/>
      <c r="N26473"/>
      <c r="O26473" s="24"/>
      <c r="P26473"/>
      <c r="Q26473" s="24"/>
      <c r="R26473"/>
      <c r="S26473"/>
      <c r="T26473"/>
      <c r="U26473"/>
      <c r="X26473" s="60"/>
    </row>
    <row r="26474" spans="7:24" ht="15" customHeight="1">
      <c r="G26474"/>
      <c r="I26474"/>
      <c r="N26474"/>
      <c r="O26474" s="24"/>
      <c r="P26474"/>
      <c r="Q26474" s="24"/>
      <c r="R26474"/>
      <c r="S26474"/>
      <c r="T26474"/>
      <c r="U26474"/>
      <c r="X26474" s="60"/>
    </row>
    <row r="26475" spans="7:24" ht="15" customHeight="1">
      <c r="G26475"/>
      <c r="I26475"/>
      <c r="N26475"/>
      <c r="O26475" s="24"/>
      <c r="P26475"/>
      <c r="Q26475" s="24"/>
      <c r="R26475"/>
      <c r="S26475"/>
      <c r="T26475"/>
      <c r="U26475"/>
      <c r="X26475" s="60"/>
    </row>
    <row r="26476" spans="7:24" ht="15" customHeight="1">
      <c r="G26476"/>
      <c r="I26476"/>
      <c r="N26476"/>
      <c r="O26476" s="24"/>
      <c r="P26476"/>
      <c r="Q26476" s="24"/>
      <c r="R26476"/>
      <c r="S26476"/>
      <c r="T26476"/>
      <c r="U26476"/>
      <c r="X26476" s="60"/>
    </row>
    <row r="26477" spans="7:24" ht="15" customHeight="1">
      <c r="G26477"/>
      <c r="I26477"/>
      <c r="N26477"/>
      <c r="O26477" s="24"/>
      <c r="P26477"/>
      <c r="Q26477" s="24"/>
      <c r="R26477"/>
      <c r="S26477"/>
      <c r="T26477"/>
      <c r="U26477"/>
      <c r="X26477" s="60"/>
    </row>
    <row r="26478" spans="7:24" ht="15" customHeight="1">
      <c r="G26478"/>
      <c r="I26478"/>
      <c r="N26478"/>
      <c r="O26478" s="24"/>
      <c r="P26478"/>
      <c r="Q26478" s="24"/>
      <c r="R26478"/>
      <c r="S26478"/>
      <c r="T26478"/>
      <c r="U26478"/>
      <c r="X26478" s="60"/>
    </row>
    <row r="26479" spans="7:24" ht="15" customHeight="1">
      <c r="G26479"/>
      <c r="I26479"/>
      <c r="N26479"/>
      <c r="O26479" s="24"/>
      <c r="P26479"/>
      <c r="Q26479" s="24"/>
      <c r="R26479"/>
      <c r="S26479"/>
      <c r="T26479"/>
      <c r="U26479"/>
      <c r="X26479" s="60"/>
    </row>
    <row r="26480" spans="7:24" ht="15" customHeight="1">
      <c r="G26480"/>
      <c r="I26480"/>
      <c r="N26480"/>
      <c r="O26480" s="24"/>
      <c r="P26480"/>
      <c r="Q26480" s="24"/>
      <c r="R26480"/>
      <c r="S26480"/>
      <c r="T26480"/>
      <c r="U26480"/>
      <c r="X26480" s="60"/>
    </row>
    <row r="26481" spans="7:24" ht="15" customHeight="1">
      <c r="G26481"/>
      <c r="I26481"/>
      <c r="N26481"/>
      <c r="O26481" s="24"/>
      <c r="P26481"/>
      <c r="Q26481" s="24"/>
      <c r="R26481"/>
      <c r="S26481"/>
      <c r="T26481"/>
      <c r="U26481"/>
      <c r="X26481" s="60"/>
    </row>
    <row r="26482" spans="7:24" ht="15" customHeight="1">
      <c r="G26482"/>
      <c r="I26482"/>
      <c r="N26482"/>
      <c r="O26482" s="24"/>
      <c r="P26482"/>
      <c r="Q26482" s="24"/>
      <c r="R26482"/>
      <c r="S26482"/>
      <c r="T26482"/>
      <c r="U26482"/>
      <c r="X26482" s="60"/>
    </row>
    <row r="26483" spans="7:24" ht="15" customHeight="1">
      <c r="G26483"/>
      <c r="I26483"/>
      <c r="N26483"/>
      <c r="O26483" s="24"/>
      <c r="P26483"/>
      <c r="Q26483" s="24"/>
      <c r="R26483"/>
      <c r="S26483"/>
      <c r="T26483"/>
      <c r="U26483"/>
      <c r="X26483" s="60"/>
    </row>
    <row r="26484" spans="7:24" ht="15" customHeight="1">
      <c r="G26484"/>
      <c r="I26484"/>
      <c r="N26484"/>
      <c r="O26484" s="24"/>
      <c r="P26484"/>
      <c r="Q26484" s="24"/>
      <c r="R26484"/>
      <c r="S26484"/>
      <c r="T26484"/>
      <c r="U26484"/>
      <c r="X26484" s="60"/>
    </row>
    <row r="26485" spans="7:24" ht="15" customHeight="1">
      <c r="G26485"/>
      <c r="I26485"/>
      <c r="N26485"/>
      <c r="O26485" s="24"/>
      <c r="P26485"/>
      <c r="Q26485" s="24"/>
      <c r="R26485"/>
      <c r="S26485"/>
      <c r="T26485"/>
      <c r="U26485"/>
      <c r="X26485" s="60"/>
    </row>
    <row r="26486" spans="7:24" ht="15" customHeight="1">
      <c r="G26486"/>
      <c r="I26486"/>
      <c r="N26486"/>
      <c r="O26486" s="24"/>
      <c r="P26486"/>
      <c r="Q26486" s="24"/>
      <c r="R26486"/>
      <c r="S26486"/>
      <c r="T26486"/>
      <c r="U26486"/>
      <c r="X26486" s="60"/>
    </row>
    <row r="26487" spans="7:24" ht="15" customHeight="1">
      <c r="G26487"/>
      <c r="I26487"/>
      <c r="N26487"/>
      <c r="O26487" s="24"/>
      <c r="P26487"/>
      <c r="Q26487" s="24"/>
      <c r="R26487"/>
      <c r="S26487"/>
      <c r="T26487"/>
      <c r="U26487"/>
      <c r="X26487" s="60"/>
    </row>
    <row r="26488" spans="7:24" ht="15" customHeight="1">
      <c r="G26488"/>
      <c r="I26488"/>
      <c r="N26488"/>
      <c r="O26488" s="24"/>
      <c r="P26488"/>
      <c r="Q26488" s="24"/>
      <c r="R26488"/>
      <c r="S26488"/>
      <c r="T26488"/>
      <c r="U26488"/>
      <c r="X26488" s="60"/>
    </row>
    <row r="26489" spans="7:24" ht="15" customHeight="1">
      <c r="G26489"/>
      <c r="I26489"/>
      <c r="N26489"/>
      <c r="O26489" s="24"/>
      <c r="P26489"/>
      <c r="Q26489" s="24"/>
      <c r="R26489"/>
      <c r="S26489"/>
      <c r="T26489"/>
      <c r="U26489"/>
      <c r="X26489" s="60"/>
    </row>
    <row r="26490" spans="7:24" ht="15" customHeight="1">
      <c r="G26490"/>
      <c r="I26490"/>
      <c r="N26490"/>
      <c r="O26490" s="24"/>
      <c r="P26490"/>
      <c r="Q26490" s="24"/>
      <c r="R26490"/>
      <c r="S26490"/>
      <c r="T26490"/>
      <c r="U26490"/>
      <c r="X26490" s="60"/>
    </row>
    <row r="26491" spans="7:24" ht="15" customHeight="1">
      <c r="G26491"/>
      <c r="I26491"/>
      <c r="N26491"/>
      <c r="O26491" s="24"/>
      <c r="P26491"/>
      <c r="Q26491" s="24"/>
      <c r="R26491"/>
      <c r="S26491"/>
      <c r="T26491"/>
      <c r="U26491"/>
      <c r="X26491" s="60"/>
    </row>
    <row r="26492" spans="7:24" ht="15" customHeight="1">
      <c r="G26492"/>
      <c r="I26492"/>
      <c r="N26492"/>
      <c r="O26492" s="24"/>
      <c r="P26492"/>
      <c r="Q26492" s="24"/>
      <c r="R26492"/>
      <c r="S26492"/>
      <c r="T26492"/>
      <c r="U26492"/>
      <c r="X26492" s="60"/>
    </row>
    <row r="26493" spans="7:24" ht="15" customHeight="1">
      <c r="G26493"/>
      <c r="I26493"/>
      <c r="N26493"/>
      <c r="O26493" s="24"/>
      <c r="P26493"/>
      <c r="Q26493" s="24"/>
      <c r="R26493"/>
      <c r="S26493"/>
      <c r="T26493"/>
      <c r="U26493"/>
      <c r="X26493" s="60"/>
    </row>
    <row r="26494" spans="7:24" ht="15" customHeight="1">
      <c r="G26494"/>
      <c r="I26494"/>
      <c r="N26494"/>
      <c r="O26494" s="24"/>
      <c r="P26494"/>
      <c r="Q26494" s="24"/>
      <c r="R26494"/>
      <c r="S26494"/>
      <c r="T26494"/>
      <c r="U26494"/>
      <c r="X26494" s="60"/>
    </row>
    <row r="26495" spans="7:24" ht="15" customHeight="1">
      <c r="G26495"/>
      <c r="I26495"/>
      <c r="N26495"/>
      <c r="O26495" s="24"/>
      <c r="P26495"/>
      <c r="Q26495" s="24"/>
      <c r="R26495"/>
      <c r="S26495"/>
      <c r="T26495"/>
      <c r="U26495"/>
      <c r="X26495" s="60"/>
    </row>
    <row r="26496" spans="7:24" ht="15" customHeight="1">
      <c r="G26496"/>
      <c r="I26496"/>
      <c r="N26496"/>
      <c r="O26496" s="24"/>
      <c r="P26496"/>
      <c r="Q26496" s="24"/>
      <c r="R26496"/>
      <c r="S26496"/>
      <c r="T26496"/>
      <c r="U26496"/>
      <c r="X26496" s="60"/>
    </row>
    <row r="26497" spans="7:24" ht="15" customHeight="1">
      <c r="G26497"/>
      <c r="I26497"/>
      <c r="N26497"/>
      <c r="O26497" s="24"/>
      <c r="P26497"/>
      <c r="Q26497" s="24"/>
      <c r="R26497"/>
      <c r="S26497"/>
      <c r="T26497"/>
      <c r="U26497"/>
      <c r="X26497" s="60"/>
    </row>
    <row r="26498" spans="7:24" ht="15" customHeight="1">
      <c r="G26498"/>
      <c r="I26498"/>
      <c r="N26498"/>
      <c r="O26498" s="24"/>
      <c r="P26498"/>
      <c r="Q26498" s="24"/>
      <c r="R26498"/>
      <c r="S26498"/>
      <c r="T26498"/>
      <c r="U26498"/>
      <c r="X26498" s="60"/>
    </row>
    <row r="26499" spans="7:24" ht="15" customHeight="1">
      <c r="G26499"/>
      <c r="I26499"/>
      <c r="N26499"/>
      <c r="O26499" s="24"/>
      <c r="P26499"/>
      <c r="Q26499" s="24"/>
      <c r="R26499"/>
      <c r="S26499"/>
      <c r="T26499"/>
      <c r="U26499"/>
      <c r="X26499" s="60"/>
    </row>
    <row r="26500" spans="7:24" ht="15" customHeight="1">
      <c r="G26500"/>
      <c r="I26500"/>
      <c r="N26500"/>
      <c r="O26500" s="24"/>
      <c r="P26500"/>
      <c r="Q26500" s="24"/>
      <c r="R26500"/>
      <c r="S26500"/>
      <c r="T26500"/>
      <c r="U26500"/>
      <c r="X26500" s="60"/>
    </row>
    <row r="26501" spans="7:24" ht="15" customHeight="1">
      <c r="G26501"/>
      <c r="I26501"/>
      <c r="N26501"/>
      <c r="O26501" s="24"/>
      <c r="P26501"/>
      <c r="Q26501" s="24"/>
      <c r="R26501"/>
      <c r="S26501"/>
      <c r="T26501"/>
      <c r="U26501"/>
      <c r="X26501" s="60"/>
    </row>
    <row r="26502" spans="7:24" ht="15" customHeight="1">
      <c r="G26502"/>
      <c r="I26502"/>
      <c r="N26502"/>
      <c r="O26502" s="24"/>
      <c r="P26502"/>
      <c r="Q26502" s="24"/>
      <c r="R26502"/>
      <c r="S26502"/>
      <c r="T26502"/>
      <c r="U26502"/>
      <c r="X26502" s="60"/>
    </row>
    <row r="26503" spans="7:24" ht="15" customHeight="1">
      <c r="G26503"/>
      <c r="I26503"/>
      <c r="N26503"/>
      <c r="O26503" s="24"/>
      <c r="P26503"/>
      <c r="Q26503" s="24"/>
      <c r="R26503"/>
      <c r="S26503"/>
      <c r="T26503"/>
      <c r="U26503"/>
      <c r="X26503" s="60"/>
    </row>
    <row r="26504" spans="7:24" ht="15" customHeight="1">
      <c r="G26504"/>
      <c r="I26504"/>
      <c r="N26504"/>
      <c r="O26504" s="24"/>
      <c r="P26504"/>
      <c r="Q26504" s="24"/>
      <c r="R26504"/>
      <c r="S26504"/>
      <c r="T26504"/>
      <c r="U26504"/>
      <c r="X26504" s="60"/>
    </row>
    <row r="26505" spans="7:24" ht="15" customHeight="1">
      <c r="G26505"/>
      <c r="I26505"/>
      <c r="N26505"/>
      <c r="O26505" s="24"/>
      <c r="P26505"/>
      <c r="Q26505" s="24"/>
      <c r="R26505"/>
      <c r="S26505"/>
      <c r="T26505"/>
      <c r="U26505"/>
      <c r="X26505" s="60"/>
    </row>
    <row r="26506" spans="7:24" ht="15" customHeight="1">
      <c r="G26506"/>
      <c r="I26506"/>
      <c r="N26506"/>
      <c r="O26506" s="24"/>
      <c r="P26506"/>
      <c r="Q26506" s="24"/>
      <c r="R26506"/>
      <c r="S26506"/>
      <c r="T26506"/>
      <c r="U26506"/>
      <c r="X26506" s="60"/>
    </row>
    <row r="26507" spans="7:24" ht="15" customHeight="1">
      <c r="G26507"/>
      <c r="I26507"/>
      <c r="N26507"/>
      <c r="O26507" s="24"/>
      <c r="P26507"/>
      <c r="Q26507" s="24"/>
      <c r="R26507"/>
      <c r="S26507"/>
      <c r="T26507"/>
      <c r="U26507"/>
      <c r="X26507" s="60"/>
    </row>
    <row r="26508" spans="7:24" ht="15" customHeight="1">
      <c r="G26508"/>
      <c r="I26508"/>
      <c r="N26508"/>
      <c r="O26508" s="24"/>
      <c r="P26508"/>
      <c r="Q26508" s="24"/>
      <c r="R26508"/>
      <c r="S26508"/>
      <c r="T26508"/>
      <c r="U26508"/>
      <c r="X26508" s="60"/>
    </row>
    <row r="26509" spans="7:24" ht="15" customHeight="1">
      <c r="G26509"/>
      <c r="I26509"/>
      <c r="N26509"/>
      <c r="O26509" s="24"/>
      <c r="P26509"/>
      <c r="Q26509" s="24"/>
      <c r="R26509"/>
      <c r="S26509"/>
      <c r="T26509"/>
      <c r="U26509"/>
      <c r="X26509" s="60"/>
    </row>
    <row r="26510" spans="7:24" ht="15" customHeight="1">
      <c r="G26510"/>
      <c r="I26510"/>
      <c r="N26510"/>
      <c r="O26510" s="24"/>
      <c r="P26510"/>
      <c r="Q26510" s="24"/>
      <c r="R26510"/>
      <c r="S26510"/>
      <c r="T26510"/>
      <c r="U26510"/>
      <c r="X26510" s="60"/>
    </row>
    <row r="26511" spans="7:24" ht="15" customHeight="1">
      <c r="G26511"/>
      <c r="I26511"/>
      <c r="N26511"/>
      <c r="O26511" s="24"/>
      <c r="P26511"/>
      <c r="Q26511" s="24"/>
      <c r="R26511"/>
      <c r="S26511"/>
      <c r="T26511"/>
      <c r="U26511"/>
      <c r="X26511" s="60"/>
    </row>
    <row r="26512" spans="7:24" ht="15" customHeight="1">
      <c r="G26512"/>
      <c r="I26512"/>
      <c r="N26512"/>
      <c r="O26512" s="24"/>
      <c r="P26512"/>
      <c r="Q26512" s="24"/>
      <c r="R26512"/>
      <c r="S26512"/>
      <c r="T26512"/>
      <c r="U26512"/>
      <c r="X26512" s="60"/>
    </row>
    <row r="26513" spans="7:24" ht="15" customHeight="1">
      <c r="G26513"/>
      <c r="I26513"/>
      <c r="N26513"/>
      <c r="O26513" s="24"/>
      <c r="P26513"/>
      <c r="Q26513" s="24"/>
      <c r="R26513"/>
      <c r="S26513"/>
      <c r="T26513"/>
      <c r="U26513"/>
      <c r="X26513" s="60"/>
    </row>
    <row r="26514" spans="7:24" ht="15" customHeight="1">
      <c r="G26514"/>
      <c r="I26514"/>
      <c r="N26514"/>
      <c r="O26514" s="24"/>
      <c r="P26514"/>
      <c r="Q26514" s="24"/>
      <c r="R26514"/>
      <c r="S26514"/>
      <c r="T26514"/>
      <c r="U26514"/>
      <c r="X26514" s="60"/>
    </row>
    <row r="26515" spans="7:24" ht="15" customHeight="1">
      <c r="G26515"/>
      <c r="I26515"/>
      <c r="N26515"/>
      <c r="O26515" s="24"/>
      <c r="P26515"/>
      <c r="Q26515" s="24"/>
      <c r="R26515"/>
      <c r="S26515"/>
      <c r="T26515"/>
      <c r="U26515"/>
      <c r="X26515" s="60"/>
    </row>
    <row r="26516" spans="7:24" ht="15" customHeight="1">
      <c r="G26516"/>
      <c r="I26516"/>
      <c r="N26516"/>
      <c r="O26516" s="24"/>
      <c r="P26516"/>
      <c r="Q26516" s="24"/>
      <c r="R26516"/>
      <c r="S26516"/>
      <c r="T26516"/>
      <c r="U26516"/>
      <c r="X26516" s="60"/>
    </row>
    <row r="26517" spans="7:24" ht="15" customHeight="1">
      <c r="G26517"/>
      <c r="I26517"/>
      <c r="N26517"/>
      <c r="O26517" s="24"/>
      <c r="P26517"/>
      <c r="Q26517" s="24"/>
      <c r="R26517"/>
      <c r="S26517"/>
      <c r="T26517"/>
      <c r="U26517"/>
      <c r="X26517" s="60"/>
    </row>
    <row r="26518" spans="7:24" ht="15" customHeight="1">
      <c r="G26518"/>
      <c r="I26518"/>
      <c r="N26518"/>
      <c r="O26518" s="24"/>
      <c r="P26518"/>
      <c r="Q26518" s="24"/>
      <c r="R26518"/>
      <c r="S26518"/>
      <c r="T26518"/>
      <c r="U26518"/>
      <c r="X26518" s="60"/>
    </row>
    <row r="26519" spans="7:24" ht="15" customHeight="1">
      <c r="G26519"/>
      <c r="I26519"/>
      <c r="N26519"/>
      <c r="O26519" s="24"/>
      <c r="P26519"/>
      <c r="Q26519" s="24"/>
      <c r="R26519"/>
      <c r="S26519"/>
      <c r="T26519"/>
      <c r="U26519"/>
      <c r="X26519" s="60"/>
    </row>
    <row r="26520" spans="7:24" ht="15" customHeight="1">
      <c r="G26520"/>
      <c r="I26520"/>
      <c r="N26520"/>
      <c r="O26520" s="24"/>
      <c r="P26520"/>
      <c r="Q26520" s="24"/>
      <c r="R26520"/>
      <c r="S26520"/>
      <c r="T26520"/>
      <c r="U26520"/>
      <c r="X26520" s="60"/>
    </row>
    <row r="26521" spans="7:24" ht="15" customHeight="1">
      <c r="G26521"/>
      <c r="I26521"/>
      <c r="N26521"/>
      <c r="O26521" s="24"/>
      <c r="P26521"/>
      <c r="Q26521" s="24"/>
      <c r="R26521"/>
      <c r="S26521"/>
      <c r="T26521"/>
      <c r="U26521"/>
      <c r="X26521" s="60"/>
    </row>
    <row r="26522" spans="7:24" ht="15" customHeight="1">
      <c r="G26522"/>
      <c r="I26522"/>
      <c r="N26522"/>
      <c r="O26522" s="24"/>
      <c r="P26522"/>
      <c r="Q26522" s="24"/>
      <c r="R26522"/>
      <c r="S26522"/>
      <c r="T26522"/>
      <c r="U26522"/>
      <c r="X26522" s="60"/>
    </row>
    <row r="26523" spans="7:24" ht="15" customHeight="1">
      <c r="G26523"/>
      <c r="I26523"/>
      <c r="N26523"/>
      <c r="O26523" s="24"/>
      <c r="P26523"/>
      <c r="Q26523" s="24"/>
      <c r="R26523"/>
      <c r="S26523"/>
      <c r="T26523"/>
      <c r="U26523"/>
      <c r="X26523" s="60"/>
    </row>
    <row r="26524" spans="7:24" ht="15" customHeight="1">
      <c r="G26524"/>
      <c r="I26524"/>
      <c r="N26524"/>
      <c r="O26524" s="24"/>
      <c r="P26524"/>
      <c r="Q26524" s="24"/>
      <c r="R26524"/>
      <c r="S26524"/>
      <c r="T26524"/>
      <c r="U26524"/>
      <c r="X26524" s="60"/>
    </row>
    <row r="26525" spans="7:24" ht="15" customHeight="1">
      <c r="G26525"/>
      <c r="I26525"/>
      <c r="N26525"/>
      <c r="O26525" s="24"/>
      <c r="P26525"/>
      <c r="Q26525" s="24"/>
      <c r="R26525"/>
      <c r="S26525"/>
      <c r="T26525"/>
      <c r="U26525"/>
      <c r="X26525" s="60"/>
    </row>
    <row r="26526" spans="7:24" ht="15" customHeight="1">
      <c r="G26526"/>
      <c r="I26526"/>
      <c r="N26526"/>
      <c r="O26526" s="24"/>
      <c r="P26526"/>
      <c r="Q26526" s="24"/>
      <c r="R26526"/>
      <c r="S26526"/>
      <c r="T26526"/>
      <c r="U26526"/>
      <c r="X26526" s="60"/>
    </row>
    <row r="26527" spans="7:24" ht="15" customHeight="1">
      <c r="G26527"/>
      <c r="I26527"/>
      <c r="N26527"/>
      <c r="O26527" s="24"/>
      <c r="P26527"/>
      <c r="Q26527" s="24"/>
      <c r="R26527"/>
      <c r="S26527"/>
      <c r="T26527"/>
      <c r="U26527"/>
      <c r="X26527" s="60"/>
    </row>
    <row r="26528" spans="7:24" ht="15" customHeight="1">
      <c r="G26528"/>
      <c r="I26528"/>
      <c r="N26528"/>
      <c r="O26528" s="24"/>
      <c r="P26528"/>
      <c r="Q26528" s="24"/>
      <c r="R26528"/>
      <c r="S26528"/>
      <c r="T26528"/>
      <c r="U26528"/>
      <c r="X26528" s="60"/>
    </row>
    <row r="26529" spans="7:24" ht="15" customHeight="1">
      <c r="G26529"/>
      <c r="I26529"/>
      <c r="N26529"/>
      <c r="O26529" s="24"/>
      <c r="P26529"/>
      <c r="Q26529" s="24"/>
      <c r="R26529"/>
      <c r="S26529"/>
      <c r="T26529"/>
      <c r="U26529"/>
      <c r="X26529" s="60"/>
    </row>
    <row r="26530" spans="7:24" ht="15" customHeight="1">
      <c r="G26530"/>
      <c r="I26530"/>
      <c r="N26530"/>
      <c r="O26530" s="24"/>
      <c r="P26530"/>
      <c r="Q26530" s="24"/>
      <c r="R26530"/>
      <c r="S26530"/>
      <c r="T26530"/>
      <c r="U26530"/>
      <c r="X26530" s="60"/>
    </row>
    <row r="26531" spans="7:24" ht="15" customHeight="1">
      <c r="G26531"/>
      <c r="I26531"/>
      <c r="N26531"/>
      <c r="O26531" s="24"/>
      <c r="P26531"/>
      <c r="Q26531" s="24"/>
      <c r="R26531"/>
      <c r="S26531"/>
      <c r="T26531"/>
      <c r="U26531"/>
      <c r="X26531" s="60"/>
    </row>
    <row r="26532" spans="7:24" ht="15" customHeight="1">
      <c r="G26532"/>
      <c r="I26532"/>
      <c r="N26532"/>
      <c r="O26532" s="24"/>
      <c r="P26532"/>
      <c r="Q26532" s="24"/>
      <c r="R26532"/>
      <c r="S26532"/>
      <c r="T26532"/>
      <c r="U26532"/>
      <c r="X26532" s="60"/>
    </row>
    <row r="26533" spans="7:24" ht="15" customHeight="1">
      <c r="G26533"/>
      <c r="I26533"/>
      <c r="N26533"/>
      <c r="O26533" s="24"/>
      <c r="P26533"/>
      <c r="Q26533" s="24"/>
      <c r="R26533"/>
      <c r="S26533"/>
      <c r="T26533"/>
      <c r="U26533"/>
      <c r="X26533" s="60"/>
    </row>
    <row r="26534" spans="7:24" ht="15" customHeight="1">
      <c r="G26534"/>
      <c r="I26534"/>
      <c r="N26534"/>
      <c r="O26534" s="24"/>
      <c r="P26534"/>
      <c r="Q26534" s="24"/>
      <c r="R26534"/>
      <c r="S26534"/>
      <c r="T26534"/>
      <c r="U26534"/>
      <c r="X26534" s="60"/>
    </row>
    <row r="26535" spans="7:24" ht="15" customHeight="1">
      <c r="G26535"/>
      <c r="I26535"/>
      <c r="N26535"/>
      <c r="O26535" s="24"/>
      <c r="P26535"/>
      <c r="Q26535" s="24"/>
      <c r="R26535"/>
      <c r="S26535"/>
      <c r="T26535"/>
      <c r="U26535"/>
      <c r="X26535" s="60"/>
    </row>
    <row r="26536" spans="7:24" ht="15" customHeight="1">
      <c r="G26536"/>
      <c r="I26536"/>
      <c r="N26536"/>
      <c r="O26536" s="24"/>
      <c r="P26536"/>
      <c r="Q26536" s="24"/>
      <c r="R26536"/>
      <c r="S26536"/>
      <c r="T26536"/>
      <c r="U26536"/>
      <c r="X26536" s="60"/>
    </row>
    <row r="26537" spans="7:24" ht="15" customHeight="1">
      <c r="G26537"/>
      <c r="I26537"/>
      <c r="N26537"/>
      <c r="O26537" s="24"/>
      <c r="P26537"/>
      <c r="Q26537" s="24"/>
      <c r="R26537"/>
      <c r="S26537"/>
      <c r="T26537"/>
      <c r="U26537"/>
      <c r="X26537" s="60"/>
    </row>
    <row r="26538" spans="7:24" ht="15" customHeight="1">
      <c r="G26538"/>
      <c r="I26538"/>
      <c r="N26538"/>
      <c r="O26538" s="24"/>
      <c r="P26538"/>
      <c r="Q26538" s="24"/>
      <c r="R26538"/>
      <c r="S26538"/>
      <c r="T26538"/>
      <c r="U26538"/>
      <c r="X26538" s="60"/>
    </row>
    <row r="26539" spans="7:24" ht="15" customHeight="1">
      <c r="G26539"/>
      <c r="I26539"/>
      <c r="N26539"/>
      <c r="O26539" s="24"/>
      <c r="P26539"/>
      <c r="Q26539" s="24"/>
      <c r="R26539"/>
      <c r="S26539"/>
      <c r="T26539"/>
      <c r="U26539"/>
      <c r="X26539" s="60"/>
    </row>
    <row r="26540" spans="7:24" ht="15" customHeight="1">
      <c r="G26540"/>
      <c r="I26540"/>
      <c r="N26540"/>
      <c r="O26540" s="24"/>
      <c r="P26540"/>
      <c r="Q26540" s="24"/>
      <c r="R26540"/>
      <c r="S26540"/>
      <c r="T26540"/>
      <c r="U26540"/>
      <c r="X26540" s="60"/>
    </row>
    <row r="26541" spans="7:24" ht="15" customHeight="1">
      <c r="G26541"/>
      <c r="I26541"/>
      <c r="N26541"/>
      <c r="O26541" s="24"/>
      <c r="P26541"/>
      <c r="Q26541" s="24"/>
      <c r="R26541"/>
      <c r="S26541"/>
      <c r="T26541"/>
      <c r="U26541"/>
      <c r="X26541" s="60"/>
    </row>
    <row r="26542" spans="7:24" ht="15" customHeight="1">
      <c r="G26542"/>
      <c r="I26542"/>
      <c r="N26542"/>
      <c r="O26542" s="24"/>
      <c r="P26542"/>
      <c r="Q26542" s="24"/>
      <c r="R26542"/>
      <c r="S26542"/>
      <c r="T26542"/>
      <c r="U26542"/>
      <c r="X26542" s="60"/>
    </row>
    <row r="26543" spans="7:24" ht="15" customHeight="1">
      <c r="G26543"/>
      <c r="I26543"/>
      <c r="N26543"/>
      <c r="O26543" s="24"/>
      <c r="P26543"/>
      <c r="Q26543" s="24"/>
      <c r="R26543"/>
      <c r="S26543"/>
      <c r="T26543"/>
      <c r="U26543"/>
      <c r="X26543" s="60"/>
    </row>
    <row r="26544" spans="7:24" ht="15" customHeight="1">
      <c r="G26544"/>
      <c r="I26544"/>
      <c r="N26544"/>
      <c r="O26544" s="24"/>
      <c r="P26544"/>
      <c r="Q26544" s="24"/>
      <c r="R26544"/>
      <c r="S26544"/>
      <c r="T26544"/>
      <c r="U26544"/>
      <c r="X26544" s="60"/>
    </row>
    <row r="26545" spans="7:24" ht="15" customHeight="1">
      <c r="G26545"/>
      <c r="I26545"/>
      <c r="N26545"/>
      <c r="O26545" s="24"/>
      <c r="P26545"/>
      <c r="Q26545" s="24"/>
      <c r="R26545"/>
      <c r="S26545"/>
      <c r="T26545"/>
      <c r="U26545"/>
      <c r="X26545" s="60"/>
    </row>
    <row r="26546" spans="7:24" ht="15" customHeight="1">
      <c r="G26546"/>
      <c r="I26546"/>
      <c r="N26546"/>
      <c r="O26546" s="24"/>
      <c r="P26546"/>
      <c r="Q26546" s="24"/>
      <c r="R26546"/>
      <c r="S26546"/>
      <c r="T26546"/>
      <c r="U26546"/>
      <c r="X26546" s="60"/>
    </row>
    <row r="26547" spans="7:24" ht="15" customHeight="1">
      <c r="G26547"/>
      <c r="I26547"/>
      <c r="N26547"/>
      <c r="O26547" s="24"/>
      <c r="P26547"/>
      <c r="Q26547" s="24"/>
      <c r="R26547"/>
      <c r="S26547"/>
      <c r="T26547"/>
      <c r="U26547"/>
      <c r="X26547" s="60"/>
    </row>
    <row r="26548" spans="7:24" ht="15" customHeight="1">
      <c r="G26548"/>
      <c r="I26548"/>
      <c r="N26548"/>
      <c r="O26548" s="24"/>
      <c r="P26548"/>
      <c r="Q26548" s="24"/>
      <c r="R26548"/>
      <c r="S26548"/>
      <c r="T26548"/>
      <c r="U26548"/>
      <c r="X26548" s="60"/>
    </row>
    <row r="26549" spans="7:24" ht="15" customHeight="1">
      <c r="G26549"/>
      <c r="I26549"/>
      <c r="N26549"/>
      <c r="O26549" s="24"/>
      <c r="P26549"/>
      <c r="Q26549" s="24"/>
      <c r="R26549"/>
      <c r="S26549"/>
      <c r="T26549"/>
      <c r="U26549"/>
      <c r="X26549" s="60"/>
    </row>
    <row r="26550" spans="7:24" ht="15" customHeight="1">
      <c r="G26550"/>
      <c r="I26550"/>
      <c r="N26550"/>
      <c r="O26550" s="24"/>
      <c r="P26550"/>
      <c r="Q26550" s="24"/>
      <c r="R26550"/>
      <c r="S26550"/>
      <c r="T26550"/>
      <c r="U26550"/>
      <c r="X26550" s="60"/>
    </row>
    <row r="26551" spans="7:24" ht="15" customHeight="1">
      <c r="G26551"/>
      <c r="I26551"/>
      <c r="N26551"/>
      <c r="O26551" s="24"/>
      <c r="P26551"/>
      <c r="Q26551" s="24"/>
      <c r="R26551"/>
      <c r="S26551"/>
      <c r="T26551"/>
      <c r="U26551"/>
      <c r="X26551" s="60"/>
    </row>
    <row r="26552" spans="7:24" ht="15" customHeight="1">
      <c r="G26552"/>
      <c r="I26552"/>
      <c r="N26552"/>
      <c r="O26552" s="24"/>
      <c r="P26552"/>
      <c r="Q26552" s="24"/>
      <c r="R26552"/>
      <c r="S26552"/>
      <c r="T26552"/>
      <c r="U26552"/>
      <c r="X26552" s="60"/>
    </row>
    <row r="26553" spans="7:24" ht="15" customHeight="1">
      <c r="G26553"/>
      <c r="I26553"/>
      <c r="N26553"/>
      <c r="O26553" s="24"/>
      <c r="P26553"/>
      <c r="Q26553" s="24"/>
      <c r="R26553"/>
      <c r="S26553"/>
      <c r="T26553"/>
      <c r="U26553"/>
      <c r="X26553" s="60"/>
    </row>
    <row r="26554" spans="7:24" ht="15" customHeight="1">
      <c r="G26554"/>
      <c r="I26554"/>
      <c r="N26554"/>
      <c r="O26554" s="24"/>
      <c r="P26554"/>
      <c r="Q26554" s="24"/>
      <c r="R26554"/>
      <c r="S26554"/>
      <c r="T26554"/>
      <c r="U26554"/>
      <c r="X26554" s="60"/>
    </row>
    <row r="26555" spans="7:24" ht="15" customHeight="1">
      <c r="G26555"/>
      <c r="I26555"/>
      <c r="N26555"/>
      <c r="O26555" s="24"/>
      <c r="P26555"/>
      <c r="Q26555" s="24"/>
      <c r="R26555"/>
      <c r="S26555"/>
      <c r="T26555"/>
      <c r="U26555"/>
      <c r="X26555" s="60"/>
    </row>
    <row r="26556" spans="7:24" ht="15" customHeight="1">
      <c r="G26556"/>
      <c r="I26556"/>
      <c r="N26556"/>
      <c r="O26556" s="24"/>
      <c r="P26556"/>
      <c r="Q26556" s="24"/>
      <c r="R26556"/>
      <c r="S26556"/>
      <c r="T26556"/>
      <c r="U26556"/>
      <c r="X26556" s="60"/>
    </row>
    <row r="26557" spans="7:24" ht="15" customHeight="1">
      <c r="G26557"/>
      <c r="I26557"/>
      <c r="N26557"/>
      <c r="O26557" s="24"/>
      <c r="P26557"/>
      <c r="Q26557" s="24"/>
      <c r="R26557"/>
      <c r="S26557"/>
      <c r="T26557"/>
      <c r="U26557"/>
      <c r="X26557" s="60"/>
    </row>
    <row r="26558" spans="7:24" ht="15" customHeight="1">
      <c r="G26558"/>
      <c r="I26558"/>
      <c r="N26558"/>
      <c r="O26558" s="24"/>
      <c r="P26558"/>
      <c r="Q26558" s="24"/>
      <c r="R26558"/>
      <c r="S26558"/>
      <c r="T26558"/>
      <c r="U26558"/>
      <c r="X26558" s="60"/>
    </row>
    <row r="26559" spans="7:24" ht="15" customHeight="1">
      <c r="G26559"/>
      <c r="I26559"/>
      <c r="N26559"/>
      <c r="O26559" s="24"/>
      <c r="P26559"/>
      <c r="Q26559" s="24"/>
      <c r="R26559"/>
      <c r="S26559"/>
      <c r="T26559"/>
      <c r="U26559"/>
      <c r="X26559" s="60"/>
    </row>
    <row r="26560" spans="7:24" ht="15" customHeight="1">
      <c r="G26560"/>
      <c r="I26560"/>
      <c r="N26560"/>
      <c r="O26560" s="24"/>
      <c r="P26560"/>
      <c r="Q26560" s="24"/>
      <c r="R26560"/>
      <c r="S26560"/>
      <c r="T26560"/>
      <c r="U26560"/>
      <c r="X26560" s="60"/>
    </row>
    <row r="26561" spans="7:24" ht="15" customHeight="1">
      <c r="G26561"/>
      <c r="I26561"/>
      <c r="N26561"/>
      <c r="O26561" s="24"/>
      <c r="P26561"/>
      <c r="Q26561" s="24"/>
      <c r="R26561"/>
      <c r="S26561"/>
      <c r="T26561"/>
      <c r="U26561"/>
      <c r="X26561" s="60"/>
    </row>
    <row r="26562" spans="7:24" ht="15" customHeight="1">
      <c r="G26562"/>
      <c r="I26562"/>
      <c r="N26562"/>
      <c r="O26562" s="24"/>
      <c r="P26562"/>
      <c r="Q26562" s="24"/>
      <c r="R26562"/>
      <c r="S26562"/>
      <c r="T26562"/>
      <c r="U26562"/>
      <c r="X26562" s="60"/>
    </row>
    <row r="26563" spans="7:24" ht="15" customHeight="1">
      <c r="G26563"/>
      <c r="I26563"/>
      <c r="N26563"/>
      <c r="O26563" s="24"/>
      <c r="P26563"/>
      <c r="Q26563" s="24"/>
      <c r="R26563"/>
      <c r="S26563"/>
      <c r="T26563"/>
      <c r="U26563"/>
      <c r="X26563" s="60"/>
    </row>
    <row r="26564" spans="7:24" ht="15" customHeight="1">
      <c r="G26564"/>
      <c r="I26564"/>
      <c r="N26564"/>
      <c r="O26564" s="24"/>
      <c r="P26564"/>
      <c r="Q26564" s="24"/>
      <c r="R26564"/>
      <c r="S26564"/>
      <c r="T26564"/>
      <c r="U26564"/>
      <c r="X26564" s="60"/>
    </row>
    <row r="26565" spans="7:24" ht="15" customHeight="1">
      <c r="G26565"/>
      <c r="I26565"/>
      <c r="N26565"/>
      <c r="O26565" s="24"/>
      <c r="P26565"/>
      <c r="Q26565" s="24"/>
      <c r="R26565"/>
      <c r="S26565"/>
      <c r="T26565"/>
      <c r="U26565"/>
      <c r="X26565" s="60"/>
    </row>
    <row r="26566" spans="7:24" ht="15" customHeight="1">
      <c r="G26566"/>
      <c r="I26566"/>
      <c r="N26566"/>
      <c r="O26566" s="24"/>
      <c r="P26566"/>
      <c r="Q26566" s="24"/>
      <c r="R26566"/>
      <c r="S26566"/>
      <c r="T26566"/>
      <c r="U26566"/>
      <c r="X26566" s="60"/>
    </row>
    <row r="26567" spans="7:24" ht="15" customHeight="1">
      <c r="G26567"/>
      <c r="I26567"/>
      <c r="N26567"/>
      <c r="O26567" s="24"/>
      <c r="P26567"/>
      <c r="Q26567" s="24"/>
      <c r="R26567"/>
      <c r="S26567"/>
      <c r="T26567"/>
      <c r="U26567"/>
      <c r="X26567" s="60"/>
    </row>
    <row r="26568" spans="7:24" ht="15" customHeight="1">
      <c r="G26568"/>
      <c r="I26568"/>
      <c r="N26568"/>
      <c r="O26568" s="24"/>
      <c r="P26568"/>
      <c r="Q26568" s="24"/>
      <c r="R26568"/>
      <c r="S26568"/>
      <c r="T26568"/>
      <c r="U26568"/>
      <c r="X26568" s="60"/>
    </row>
    <row r="26569" spans="7:24" ht="15" customHeight="1">
      <c r="G26569"/>
      <c r="I26569"/>
      <c r="N26569"/>
      <c r="O26569" s="24"/>
      <c r="P26569"/>
      <c r="Q26569" s="24"/>
      <c r="R26569"/>
      <c r="S26569"/>
      <c r="T26569"/>
      <c r="U26569"/>
      <c r="X26569" s="60"/>
    </row>
    <row r="26570" spans="7:24" ht="15" customHeight="1">
      <c r="G26570"/>
      <c r="I26570"/>
      <c r="N26570"/>
      <c r="O26570" s="24"/>
      <c r="P26570"/>
      <c r="Q26570" s="24"/>
      <c r="R26570"/>
      <c r="S26570"/>
      <c r="T26570"/>
      <c r="U26570"/>
      <c r="X26570" s="60"/>
    </row>
    <row r="26571" spans="7:24" ht="15" customHeight="1">
      <c r="G26571"/>
      <c r="I26571"/>
      <c r="N26571"/>
      <c r="O26571" s="24"/>
      <c r="P26571"/>
      <c r="Q26571" s="24"/>
      <c r="R26571"/>
      <c r="S26571"/>
      <c r="T26571"/>
      <c r="U26571"/>
      <c r="X26571" s="60"/>
    </row>
    <row r="26572" spans="7:24" ht="15" customHeight="1">
      <c r="G26572"/>
      <c r="I26572"/>
      <c r="N26572"/>
      <c r="O26572" s="24"/>
      <c r="P26572"/>
      <c r="Q26572" s="24"/>
      <c r="R26572"/>
      <c r="S26572"/>
      <c r="T26572"/>
      <c r="U26572"/>
      <c r="X26572" s="60"/>
    </row>
    <row r="26573" spans="7:24" ht="15" customHeight="1">
      <c r="G26573"/>
      <c r="I26573"/>
      <c r="N26573"/>
      <c r="O26573" s="24"/>
      <c r="P26573"/>
      <c r="Q26573" s="24"/>
      <c r="R26573"/>
      <c r="S26573"/>
      <c r="T26573"/>
      <c r="U26573"/>
      <c r="X26573" s="60"/>
    </row>
    <row r="26574" spans="7:24" ht="15" customHeight="1">
      <c r="G26574"/>
      <c r="I26574"/>
      <c r="N26574"/>
      <c r="O26574" s="24"/>
      <c r="P26574"/>
      <c r="Q26574" s="24"/>
      <c r="R26574"/>
      <c r="S26574"/>
      <c r="T26574"/>
      <c r="U26574"/>
      <c r="X26574" s="60"/>
    </row>
    <row r="26575" spans="7:24" ht="15" customHeight="1">
      <c r="G26575"/>
      <c r="I26575"/>
      <c r="N26575"/>
      <c r="O26575" s="24"/>
      <c r="P26575"/>
      <c r="Q26575" s="24"/>
      <c r="R26575"/>
      <c r="S26575"/>
      <c r="T26575"/>
      <c r="U26575"/>
      <c r="X26575" s="60"/>
    </row>
    <row r="26576" spans="7:24" ht="15" customHeight="1">
      <c r="G26576"/>
      <c r="I26576"/>
      <c r="N26576"/>
      <c r="O26576" s="24"/>
      <c r="P26576"/>
      <c r="Q26576" s="24"/>
      <c r="R26576"/>
      <c r="S26576"/>
      <c r="T26576"/>
      <c r="U26576"/>
      <c r="X26576" s="60"/>
    </row>
    <row r="26577" spans="7:24" ht="15" customHeight="1">
      <c r="G26577"/>
      <c r="I26577"/>
      <c r="N26577"/>
      <c r="O26577" s="24"/>
      <c r="P26577"/>
      <c r="Q26577" s="24"/>
      <c r="R26577"/>
      <c r="S26577"/>
      <c r="T26577"/>
      <c r="U26577"/>
      <c r="X26577" s="60"/>
    </row>
    <row r="26578" spans="7:24" ht="15" customHeight="1">
      <c r="G26578"/>
      <c r="I26578"/>
      <c r="N26578"/>
      <c r="O26578" s="24"/>
      <c r="P26578"/>
      <c r="Q26578" s="24"/>
      <c r="R26578"/>
      <c r="S26578"/>
      <c r="T26578"/>
      <c r="U26578"/>
      <c r="X26578" s="60"/>
    </row>
    <row r="26579" spans="7:24" ht="15" customHeight="1">
      <c r="G26579"/>
      <c r="I26579"/>
      <c r="N26579"/>
      <c r="O26579" s="24"/>
      <c r="P26579"/>
      <c r="Q26579" s="24"/>
      <c r="R26579"/>
      <c r="S26579"/>
      <c r="T26579"/>
      <c r="U26579"/>
      <c r="X26579" s="60"/>
    </row>
    <row r="26580" spans="7:24" ht="15" customHeight="1">
      <c r="G26580"/>
      <c r="I26580"/>
      <c r="N26580"/>
      <c r="O26580" s="24"/>
      <c r="P26580"/>
      <c r="Q26580" s="24"/>
      <c r="R26580"/>
      <c r="S26580"/>
      <c r="T26580"/>
      <c r="U26580"/>
      <c r="X26580" s="60"/>
    </row>
    <row r="26581" spans="7:24" ht="15" customHeight="1">
      <c r="G26581"/>
      <c r="I26581"/>
      <c r="N26581"/>
      <c r="O26581" s="24"/>
      <c r="P26581"/>
      <c r="Q26581" s="24"/>
      <c r="R26581"/>
      <c r="S26581"/>
      <c r="T26581"/>
      <c r="U26581"/>
      <c r="X26581" s="60"/>
    </row>
    <row r="26582" spans="7:24" ht="15" customHeight="1">
      <c r="G26582"/>
      <c r="I26582"/>
      <c r="N26582"/>
      <c r="O26582" s="24"/>
      <c r="P26582"/>
      <c r="Q26582" s="24"/>
      <c r="R26582"/>
      <c r="S26582"/>
      <c r="T26582"/>
      <c r="U26582"/>
      <c r="X26582" s="60"/>
    </row>
    <row r="26583" spans="7:24" ht="15" customHeight="1">
      <c r="G26583"/>
      <c r="I26583"/>
      <c r="N26583"/>
      <c r="O26583" s="24"/>
      <c r="P26583"/>
      <c r="Q26583" s="24"/>
      <c r="R26583"/>
      <c r="S26583"/>
      <c r="T26583"/>
      <c r="U26583"/>
      <c r="X26583" s="60"/>
    </row>
    <row r="26584" spans="7:24" ht="15" customHeight="1">
      <c r="G26584"/>
      <c r="I26584"/>
      <c r="N26584"/>
      <c r="O26584" s="24"/>
      <c r="P26584"/>
      <c r="Q26584" s="24"/>
      <c r="R26584"/>
      <c r="S26584"/>
      <c r="T26584"/>
      <c r="U26584"/>
      <c r="X26584" s="60"/>
    </row>
    <row r="26585" spans="7:24" ht="15" customHeight="1">
      <c r="G26585"/>
      <c r="I26585"/>
      <c r="N26585"/>
      <c r="O26585" s="24"/>
      <c r="P26585"/>
      <c r="Q26585" s="24"/>
      <c r="R26585"/>
      <c r="S26585"/>
      <c r="T26585"/>
      <c r="U26585"/>
      <c r="X26585" s="60"/>
    </row>
    <row r="26586" spans="7:24" ht="15" customHeight="1">
      <c r="G26586"/>
      <c r="I26586"/>
      <c r="N26586"/>
      <c r="O26586" s="24"/>
      <c r="P26586"/>
      <c r="Q26586" s="24"/>
      <c r="R26586"/>
      <c r="S26586"/>
      <c r="T26586"/>
      <c r="U26586"/>
      <c r="X26586" s="60"/>
    </row>
    <row r="26587" spans="7:24" ht="15" customHeight="1">
      <c r="G26587"/>
      <c r="I26587"/>
      <c r="N26587"/>
      <c r="O26587" s="24"/>
      <c r="P26587"/>
      <c r="Q26587" s="24"/>
      <c r="R26587"/>
      <c r="S26587"/>
      <c r="T26587"/>
      <c r="U26587"/>
      <c r="X26587" s="60"/>
    </row>
    <row r="26588" spans="7:24" ht="15" customHeight="1">
      <c r="G26588"/>
      <c r="I26588"/>
      <c r="N26588"/>
      <c r="O26588" s="24"/>
      <c r="P26588"/>
      <c r="Q26588" s="24"/>
      <c r="R26588"/>
      <c r="S26588"/>
      <c r="T26588"/>
      <c r="U26588"/>
      <c r="X26588" s="60"/>
    </row>
    <row r="26589" spans="7:24" ht="15" customHeight="1">
      <c r="G26589"/>
      <c r="I26589"/>
      <c r="N26589"/>
      <c r="O26589" s="24"/>
      <c r="P26589"/>
      <c r="Q26589" s="24"/>
      <c r="R26589"/>
      <c r="S26589"/>
      <c r="T26589"/>
      <c r="U26589"/>
      <c r="X26589" s="60"/>
    </row>
    <row r="26590" spans="7:24" ht="15" customHeight="1">
      <c r="G26590"/>
      <c r="I26590"/>
      <c r="N26590"/>
      <c r="O26590" s="24"/>
      <c r="P26590"/>
      <c r="Q26590" s="24"/>
      <c r="R26590"/>
      <c r="S26590"/>
      <c r="T26590"/>
      <c r="U26590"/>
      <c r="X26590" s="60"/>
    </row>
    <row r="26591" spans="7:24" ht="15" customHeight="1">
      <c r="G26591"/>
      <c r="I26591"/>
      <c r="N26591"/>
      <c r="O26591" s="24"/>
      <c r="P26591"/>
      <c r="Q26591" s="24"/>
      <c r="R26591"/>
      <c r="S26591"/>
      <c r="T26591"/>
      <c r="U26591"/>
      <c r="X26591" s="60"/>
    </row>
    <row r="26592" spans="7:24" ht="15" customHeight="1">
      <c r="G26592"/>
      <c r="I26592"/>
      <c r="N26592"/>
      <c r="O26592" s="24"/>
      <c r="P26592"/>
      <c r="Q26592" s="24"/>
      <c r="R26592"/>
      <c r="S26592"/>
      <c r="T26592"/>
      <c r="U26592"/>
      <c r="X26592" s="60"/>
    </row>
    <row r="26593" spans="7:24" ht="15" customHeight="1">
      <c r="G26593"/>
      <c r="I26593"/>
      <c r="N26593"/>
      <c r="O26593" s="24"/>
      <c r="P26593"/>
      <c r="Q26593" s="24"/>
      <c r="R26593"/>
      <c r="S26593"/>
      <c r="T26593"/>
      <c r="U26593"/>
      <c r="X26593" s="60"/>
    </row>
    <row r="26594" spans="7:24" ht="15" customHeight="1">
      <c r="G26594"/>
      <c r="I26594"/>
      <c r="N26594"/>
      <c r="O26594" s="24"/>
      <c r="P26594"/>
      <c r="Q26594" s="24"/>
      <c r="R26594"/>
      <c r="S26594"/>
      <c r="T26594"/>
      <c r="U26594"/>
      <c r="X26594" s="60"/>
    </row>
    <row r="26595" spans="7:24" ht="15" customHeight="1">
      <c r="G26595"/>
      <c r="I26595"/>
      <c r="N26595"/>
      <c r="O26595" s="24"/>
      <c r="P26595"/>
      <c r="Q26595" s="24"/>
      <c r="R26595"/>
      <c r="S26595"/>
      <c r="T26595"/>
      <c r="U26595"/>
      <c r="X26595" s="60"/>
    </row>
    <row r="26596" spans="7:24" ht="15" customHeight="1">
      <c r="G26596"/>
      <c r="I26596"/>
      <c r="N26596"/>
      <c r="O26596" s="24"/>
      <c r="P26596"/>
      <c r="Q26596" s="24"/>
      <c r="R26596"/>
      <c r="S26596"/>
      <c r="T26596"/>
      <c r="U26596"/>
      <c r="X26596" s="60"/>
    </row>
    <row r="26597" spans="7:24" ht="15" customHeight="1">
      <c r="G26597"/>
      <c r="I26597"/>
      <c r="N26597"/>
      <c r="O26597" s="24"/>
      <c r="P26597"/>
      <c r="Q26597" s="24"/>
      <c r="R26597"/>
      <c r="S26597"/>
      <c r="T26597"/>
      <c r="U26597"/>
      <c r="X26597" s="60"/>
    </row>
    <row r="26598" spans="7:24" ht="15" customHeight="1">
      <c r="G26598"/>
      <c r="I26598"/>
      <c r="N26598"/>
      <c r="O26598" s="24"/>
      <c r="P26598"/>
      <c r="Q26598" s="24"/>
      <c r="R26598"/>
      <c r="S26598"/>
      <c r="T26598"/>
      <c r="U26598"/>
      <c r="X26598" s="60"/>
    </row>
    <row r="26599" spans="7:24" ht="15" customHeight="1">
      <c r="G26599"/>
      <c r="I26599"/>
      <c r="N26599"/>
      <c r="O26599" s="24"/>
      <c r="P26599"/>
      <c r="Q26599" s="24"/>
      <c r="R26599"/>
      <c r="S26599"/>
      <c r="T26599"/>
      <c r="U26599"/>
      <c r="X26599" s="60"/>
    </row>
    <row r="26600" spans="7:24" ht="15" customHeight="1">
      <c r="G26600"/>
      <c r="I26600"/>
      <c r="N26600"/>
      <c r="O26600" s="24"/>
      <c r="P26600"/>
      <c r="Q26600" s="24"/>
      <c r="R26600"/>
      <c r="S26600"/>
      <c r="T26600"/>
      <c r="U26600"/>
      <c r="X26600" s="60"/>
    </row>
    <row r="26601" spans="7:24" ht="15" customHeight="1">
      <c r="G26601"/>
      <c r="I26601"/>
      <c r="N26601"/>
      <c r="O26601" s="24"/>
      <c r="P26601"/>
      <c r="Q26601" s="24"/>
      <c r="R26601"/>
      <c r="S26601"/>
      <c r="T26601"/>
      <c r="U26601"/>
      <c r="X26601" s="60"/>
    </row>
    <row r="26602" spans="7:24" ht="15" customHeight="1">
      <c r="G26602"/>
      <c r="I26602"/>
      <c r="N26602"/>
      <c r="O26602" s="24"/>
      <c r="P26602"/>
      <c r="Q26602" s="24"/>
      <c r="R26602"/>
      <c r="S26602"/>
      <c r="T26602"/>
      <c r="U26602"/>
      <c r="X26602" s="60"/>
    </row>
    <row r="26603" spans="7:24" ht="15" customHeight="1">
      <c r="G26603"/>
      <c r="I26603"/>
      <c r="N26603"/>
      <c r="O26603" s="24"/>
      <c r="P26603"/>
      <c r="Q26603" s="24"/>
      <c r="R26603"/>
      <c r="S26603"/>
      <c r="T26603"/>
      <c r="U26603"/>
      <c r="X26603" s="60"/>
    </row>
    <row r="26604" spans="7:24" ht="15" customHeight="1">
      <c r="G26604"/>
      <c r="I26604"/>
      <c r="N26604"/>
      <c r="O26604" s="24"/>
      <c r="P26604"/>
      <c r="Q26604" s="24"/>
      <c r="R26604"/>
      <c r="S26604"/>
      <c r="T26604"/>
      <c r="U26604"/>
      <c r="X26604" s="60"/>
    </row>
    <row r="26605" spans="7:24" ht="15" customHeight="1">
      <c r="G26605"/>
      <c r="I26605"/>
      <c r="N26605"/>
      <c r="O26605" s="24"/>
      <c r="P26605"/>
      <c r="Q26605" s="24"/>
      <c r="R26605"/>
      <c r="S26605"/>
      <c r="T26605"/>
      <c r="U26605"/>
      <c r="X26605" s="60"/>
    </row>
    <row r="26606" spans="7:24" ht="15" customHeight="1">
      <c r="G26606"/>
      <c r="I26606"/>
      <c r="N26606"/>
      <c r="O26606" s="24"/>
      <c r="P26606"/>
      <c r="Q26606" s="24"/>
      <c r="R26606"/>
      <c r="S26606"/>
      <c r="T26606"/>
      <c r="U26606"/>
      <c r="X26606" s="60"/>
    </row>
    <row r="26607" spans="7:24" ht="15" customHeight="1">
      <c r="G26607"/>
      <c r="I26607"/>
      <c r="N26607"/>
      <c r="O26607" s="24"/>
      <c r="P26607"/>
      <c r="Q26607" s="24"/>
      <c r="R26607"/>
      <c r="S26607"/>
      <c r="T26607"/>
      <c r="U26607"/>
      <c r="X26607" s="60"/>
    </row>
    <row r="26608" spans="7:24" ht="15" customHeight="1">
      <c r="G26608"/>
      <c r="I26608"/>
      <c r="N26608"/>
      <c r="O26608" s="24"/>
      <c r="P26608"/>
      <c r="Q26608" s="24"/>
      <c r="R26608"/>
      <c r="S26608"/>
      <c r="T26608"/>
      <c r="U26608"/>
      <c r="X26608" s="60"/>
    </row>
    <row r="26609" spans="7:24" ht="15" customHeight="1">
      <c r="G26609"/>
      <c r="I26609"/>
      <c r="N26609"/>
      <c r="O26609" s="24"/>
      <c r="P26609"/>
      <c r="Q26609" s="24"/>
      <c r="R26609"/>
      <c r="S26609"/>
      <c r="T26609"/>
      <c r="U26609"/>
      <c r="X26609" s="60"/>
    </row>
    <row r="26610" spans="7:24" ht="15" customHeight="1">
      <c r="G26610"/>
      <c r="I26610"/>
      <c r="N26610"/>
      <c r="O26610" s="24"/>
      <c r="P26610"/>
      <c r="Q26610" s="24"/>
      <c r="R26610"/>
      <c r="S26610"/>
      <c r="T26610"/>
      <c r="U26610"/>
      <c r="X26610" s="60"/>
    </row>
    <row r="26611" spans="7:24" ht="15" customHeight="1">
      <c r="G26611"/>
      <c r="I26611"/>
      <c r="N26611"/>
      <c r="O26611" s="24"/>
      <c r="P26611"/>
      <c r="Q26611" s="24"/>
      <c r="R26611"/>
      <c r="S26611"/>
      <c r="T26611"/>
      <c r="U26611"/>
      <c r="X26611" s="60"/>
    </row>
    <row r="26612" spans="7:24" ht="15" customHeight="1">
      <c r="G26612"/>
      <c r="I26612"/>
      <c r="N26612"/>
      <c r="O26612" s="24"/>
      <c r="P26612"/>
      <c r="Q26612" s="24"/>
      <c r="R26612"/>
      <c r="S26612"/>
      <c r="T26612"/>
      <c r="U26612"/>
      <c r="X26612" s="60"/>
    </row>
    <row r="26613" spans="7:24" ht="15" customHeight="1">
      <c r="G26613"/>
      <c r="I26613"/>
      <c r="N26613"/>
      <c r="O26613" s="24"/>
      <c r="P26613"/>
      <c r="Q26613" s="24"/>
      <c r="R26613"/>
      <c r="S26613"/>
      <c r="T26613"/>
      <c r="U26613"/>
      <c r="X26613" s="60"/>
    </row>
    <row r="26614" spans="7:24" ht="15" customHeight="1">
      <c r="G26614"/>
      <c r="I26614"/>
      <c r="N26614"/>
      <c r="O26614" s="24"/>
      <c r="P26614"/>
      <c r="Q26614" s="24"/>
      <c r="R26614"/>
      <c r="S26614"/>
      <c r="T26614"/>
      <c r="U26614"/>
      <c r="X26614" s="60"/>
    </row>
    <row r="26615" spans="7:24" ht="15" customHeight="1">
      <c r="G26615"/>
      <c r="I26615"/>
      <c r="N26615"/>
      <c r="O26615" s="24"/>
      <c r="P26615"/>
      <c r="Q26615" s="24"/>
      <c r="R26615"/>
      <c r="S26615"/>
      <c r="T26615"/>
      <c r="U26615"/>
      <c r="X26615" s="60"/>
    </row>
    <row r="26616" spans="7:24" ht="15" customHeight="1">
      <c r="G26616"/>
      <c r="I26616"/>
      <c r="N26616"/>
      <c r="O26616" s="24"/>
      <c r="P26616"/>
      <c r="Q26616" s="24"/>
      <c r="R26616"/>
      <c r="S26616"/>
      <c r="T26616"/>
      <c r="U26616"/>
      <c r="X26616" s="60"/>
    </row>
    <row r="26617" spans="7:24" ht="15" customHeight="1">
      <c r="G26617"/>
      <c r="I26617"/>
      <c r="N26617"/>
      <c r="O26617" s="24"/>
      <c r="P26617"/>
      <c r="Q26617" s="24"/>
      <c r="R26617"/>
      <c r="S26617"/>
      <c r="T26617"/>
      <c r="U26617"/>
      <c r="X26617" s="60"/>
    </row>
    <row r="26618" spans="7:24" ht="15" customHeight="1">
      <c r="G26618"/>
      <c r="I26618"/>
      <c r="N26618"/>
      <c r="O26618" s="24"/>
      <c r="P26618"/>
      <c r="Q26618" s="24"/>
      <c r="R26618"/>
      <c r="S26618"/>
      <c r="T26618"/>
      <c r="U26618"/>
      <c r="X26618" s="60"/>
    </row>
    <row r="26619" spans="7:24" ht="15" customHeight="1">
      <c r="G26619"/>
      <c r="I26619"/>
      <c r="N26619"/>
      <c r="O26619" s="24"/>
      <c r="P26619"/>
      <c r="Q26619" s="24"/>
      <c r="R26619"/>
      <c r="S26619"/>
      <c r="T26619"/>
      <c r="U26619"/>
      <c r="X26619" s="60"/>
    </row>
    <row r="26620" spans="7:24" ht="15" customHeight="1">
      <c r="G26620"/>
      <c r="I26620"/>
      <c r="N26620"/>
      <c r="O26620" s="24"/>
      <c r="P26620"/>
      <c r="Q26620" s="24"/>
      <c r="R26620"/>
      <c r="S26620"/>
      <c r="T26620"/>
      <c r="U26620"/>
      <c r="X26620" s="60"/>
    </row>
    <row r="26621" spans="7:24" ht="15" customHeight="1">
      <c r="G26621"/>
      <c r="I26621"/>
      <c r="N26621"/>
      <c r="O26621" s="24"/>
      <c r="P26621"/>
      <c r="Q26621" s="24"/>
      <c r="R26621"/>
      <c r="S26621"/>
      <c r="T26621"/>
      <c r="U26621"/>
      <c r="X26621" s="60"/>
    </row>
    <row r="26622" spans="7:24" ht="15" customHeight="1">
      <c r="G26622"/>
      <c r="I26622"/>
      <c r="N26622"/>
      <c r="O26622" s="24"/>
      <c r="P26622"/>
      <c r="Q26622" s="24"/>
      <c r="R26622"/>
      <c r="S26622"/>
      <c r="T26622"/>
      <c r="U26622"/>
      <c r="X26622" s="60"/>
    </row>
    <row r="26623" spans="7:24" ht="15" customHeight="1">
      <c r="G26623"/>
      <c r="I26623"/>
      <c r="N26623"/>
      <c r="O26623" s="24"/>
      <c r="P26623"/>
      <c r="Q26623" s="24"/>
      <c r="R26623"/>
      <c r="S26623"/>
      <c r="T26623"/>
      <c r="U26623"/>
      <c r="X26623" s="60"/>
    </row>
    <row r="26624" spans="7:24" ht="15" customHeight="1">
      <c r="G26624"/>
      <c r="I26624"/>
      <c r="N26624"/>
      <c r="O26624" s="24"/>
      <c r="P26624"/>
      <c r="Q26624" s="24"/>
      <c r="R26624"/>
      <c r="S26624"/>
      <c r="T26624"/>
      <c r="U26624"/>
      <c r="X26624" s="60"/>
    </row>
    <row r="26625" spans="7:24" ht="15" customHeight="1">
      <c r="G26625"/>
      <c r="I26625"/>
      <c r="N26625"/>
      <c r="O26625" s="24"/>
      <c r="P26625"/>
      <c r="Q26625" s="24"/>
      <c r="R26625"/>
      <c r="S26625"/>
      <c r="T26625"/>
      <c r="U26625"/>
      <c r="X26625" s="60"/>
    </row>
    <row r="26626" spans="7:24" ht="15" customHeight="1">
      <c r="G26626"/>
      <c r="I26626"/>
      <c r="N26626"/>
      <c r="O26626" s="24"/>
      <c r="P26626"/>
      <c r="Q26626" s="24"/>
      <c r="R26626"/>
      <c r="S26626"/>
      <c r="T26626"/>
      <c r="U26626"/>
      <c r="X26626" s="60"/>
    </row>
    <row r="26627" spans="7:24" ht="15" customHeight="1">
      <c r="G26627"/>
      <c r="I26627"/>
      <c r="N26627"/>
      <c r="O26627" s="24"/>
      <c r="P26627"/>
      <c r="Q26627" s="24"/>
      <c r="R26627"/>
      <c r="S26627"/>
      <c r="T26627"/>
      <c r="U26627"/>
      <c r="X26627" s="60"/>
    </row>
    <row r="26628" spans="7:24" ht="15" customHeight="1">
      <c r="G26628"/>
      <c r="I26628"/>
      <c r="N26628"/>
      <c r="O26628" s="24"/>
      <c r="P26628"/>
      <c r="Q26628" s="24"/>
      <c r="R26628"/>
      <c r="S26628"/>
      <c r="T26628"/>
      <c r="U26628"/>
      <c r="X26628" s="60"/>
    </row>
    <row r="26629" spans="7:24" ht="15" customHeight="1">
      <c r="G26629"/>
      <c r="I26629"/>
      <c r="N26629"/>
      <c r="O26629" s="24"/>
      <c r="P26629"/>
      <c r="Q26629" s="24"/>
      <c r="R26629"/>
      <c r="S26629"/>
      <c r="T26629"/>
      <c r="U26629"/>
      <c r="X26629" s="60"/>
    </row>
    <row r="26630" spans="7:24" ht="15" customHeight="1">
      <c r="G26630"/>
      <c r="I26630"/>
      <c r="N26630"/>
      <c r="O26630" s="24"/>
      <c r="P26630"/>
      <c r="Q26630" s="24"/>
      <c r="R26630"/>
      <c r="S26630"/>
      <c r="T26630"/>
      <c r="U26630"/>
      <c r="X26630" s="60"/>
    </row>
    <row r="26631" spans="7:24" ht="15" customHeight="1">
      <c r="G26631"/>
      <c r="I26631"/>
      <c r="N26631"/>
      <c r="O26631" s="24"/>
      <c r="P26631"/>
      <c r="Q26631" s="24"/>
      <c r="R26631"/>
      <c r="S26631"/>
      <c r="T26631"/>
      <c r="U26631"/>
      <c r="X26631" s="60"/>
    </row>
    <row r="26632" spans="7:24" ht="15" customHeight="1">
      <c r="G26632"/>
      <c r="I26632"/>
      <c r="N26632"/>
      <c r="O26632" s="24"/>
      <c r="P26632"/>
      <c r="Q26632" s="24"/>
      <c r="R26632"/>
      <c r="S26632"/>
      <c r="T26632"/>
      <c r="U26632"/>
      <c r="X26632" s="60"/>
    </row>
    <row r="26633" spans="7:24" ht="15" customHeight="1">
      <c r="G26633"/>
      <c r="I26633"/>
      <c r="N26633"/>
      <c r="O26633" s="24"/>
      <c r="P26633"/>
      <c r="Q26633" s="24"/>
      <c r="R26633"/>
      <c r="S26633"/>
      <c r="T26633"/>
      <c r="U26633"/>
      <c r="X26633" s="60"/>
    </row>
    <row r="26634" spans="7:24" ht="15" customHeight="1">
      <c r="G26634"/>
      <c r="I26634"/>
      <c r="N26634"/>
      <c r="O26634" s="24"/>
      <c r="P26634"/>
      <c r="Q26634" s="24"/>
      <c r="R26634"/>
      <c r="S26634"/>
      <c r="T26634"/>
      <c r="U26634"/>
      <c r="X26634" s="60"/>
    </row>
    <row r="26635" spans="7:24" ht="15" customHeight="1">
      <c r="G26635"/>
      <c r="I26635"/>
      <c r="N26635"/>
      <c r="O26635" s="24"/>
      <c r="P26635"/>
      <c r="Q26635" s="24"/>
      <c r="R26635"/>
      <c r="S26635"/>
      <c r="T26635"/>
      <c r="U26635"/>
      <c r="X26635" s="60"/>
    </row>
    <row r="26636" spans="7:24" ht="15" customHeight="1">
      <c r="G26636"/>
      <c r="I26636"/>
      <c r="N26636"/>
      <c r="O26636" s="24"/>
      <c r="P26636"/>
      <c r="Q26636" s="24"/>
      <c r="R26636"/>
      <c r="S26636"/>
      <c r="T26636"/>
      <c r="U26636"/>
      <c r="X26636" s="60"/>
    </row>
    <row r="26637" spans="7:24" ht="15" customHeight="1">
      <c r="G26637"/>
      <c r="I26637"/>
      <c r="N26637"/>
      <c r="O26637" s="24"/>
      <c r="P26637"/>
      <c r="Q26637" s="24"/>
      <c r="R26637"/>
      <c r="S26637"/>
      <c r="T26637"/>
      <c r="U26637"/>
      <c r="X26637" s="60"/>
    </row>
    <row r="26638" spans="7:24" ht="15" customHeight="1">
      <c r="G26638"/>
      <c r="I26638"/>
      <c r="N26638"/>
      <c r="O26638" s="24"/>
      <c r="P26638"/>
      <c r="Q26638" s="24"/>
      <c r="R26638"/>
      <c r="S26638"/>
      <c r="T26638"/>
      <c r="U26638"/>
      <c r="X26638" s="60"/>
    </row>
    <row r="26639" spans="7:24" ht="15" customHeight="1">
      <c r="G26639"/>
      <c r="I26639"/>
      <c r="N26639"/>
      <c r="O26639" s="24"/>
      <c r="P26639"/>
      <c r="Q26639" s="24"/>
      <c r="R26639"/>
      <c r="S26639"/>
      <c r="T26639"/>
      <c r="U26639"/>
      <c r="X26639" s="60"/>
    </row>
    <row r="26640" spans="7:24" ht="15" customHeight="1">
      <c r="G26640"/>
      <c r="I26640"/>
      <c r="N26640"/>
      <c r="O26640" s="24"/>
      <c r="P26640"/>
      <c r="Q26640" s="24"/>
      <c r="R26640"/>
      <c r="S26640"/>
      <c r="T26640"/>
      <c r="U26640"/>
      <c r="X26640" s="60"/>
    </row>
    <row r="26641" spans="7:24" ht="15" customHeight="1">
      <c r="G26641"/>
      <c r="I26641"/>
      <c r="N26641"/>
      <c r="O26641" s="24"/>
      <c r="P26641"/>
      <c r="Q26641" s="24"/>
      <c r="R26641"/>
      <c r="S26641"/>
      <c r="T26641"/>
      <c r="U26641"/>
      <c r="X26641" s="60"/>
    </row>
    <row r="26642" spans="7:24" ht="15" customHeight="1">
      <c r="G26642"/>
      <c r="I26642"/>
      <c r="N26642"/>
      <c r="O26642" s="24"/>
      <c r="P26642"/>
      <c r="Q26642" s="24"/>
      <c r="R26642"/>
      <c r="S26642"/>
      <c r="T26642"/>
      <c r="U26642"/>
      <c r="X26642" s="60"/>
    </row>
    <row r="26643" spans="7:24" ht="15" customHeight="1">
      <c r="G26643"/>
      <c r="I26643"/>
      <c r="N26643"/>
      <c r="O26643" s="24"/>
      <c r="P26643"/>
      <c r="Q26643" s="24"/>
      <c r="R26643"/>
      <c r="S26643"/>
      <c r="T26643"/>
      <c r="U26643"/>
      <c r="X26643" s="60"/>
    </row>
    <row r="26644" spans="7:24" ht="15" customHeight="1">
      <c r="G26644"/>
      <c r="I26644"/>
      <c r="N26644"/>
      <c r="O26644" s="24"/>
      <c r="P26644"/>
      <c r="Q26644" s="24"/>
      <c r="R26644"/>
      <c r="S26644"/>
      <c r="T26644"/>
      <c r="U26644"/>
      <c r="X26644" s="60"/>
    </row>
    <row r="26645" spans="7:24" ht="15" customHeight="1">
      <c r="G26645"/>
      <c r="I26645"/>
      <c r="N26645"/>
      <c r="O26645" s="24"/>
      <c r="P26645"/>
      <c r="Q26645" s="24"/>
      <c r="R26645"/>
      <c r="S26645"/>
      <c r="T26645"/>
      <c r="U26645"/>
      <c r="X26645" s="60"/>
    </row>
    <row r="26646" spans="7:24" ht="15" customHeight="1">
      <c r="G26646"/>
      <c r="I26646"/>
      <c r="N26646"/>
      <c r="O26646" s="24"/>
      <c r="P26646"/>
      <c r="Q26646" s="24"/>
      <c r="R26646"/>
      <c r="S26646"/>
      <c r="T26646"/>
      <c r="U26646"/>
      <c r="X26646" s="60"/>
    </row>
    <row r="26647" spans="7:24" ht="15" customHeight="1">
      <c r="G26647"/>
      <c r="I26647"/>
      <c r="N26647"/>
      <c r="O26647" s="24"/>
      <c r="P26647"/>
      <c r="Q26647" s="24"/>
      <c r="R26647"/>
      <c r="S26647"/>
      <c r="T26647"/>
      <c r="U26647"/>
      <c r="X26647" s="60"/>
    </row>
    <row r="26648" spans="7:24" ht="15" customHeight="1">
      <c r="G26648"/>
      <c r="I26648"/>
      <c r="N26648"/>
      <c r="O26648" s="24"/>
      <c r="P26648"/>
      <c r="Q26648" s="24"/>
      <c r="R26648"/>
      <c r="S26648"/>
      <c r="T26648"/>
      <c r="U26648"/>
      <c r="X26648" s="60"/>
    </row>
    <row r="26649" spans="7:24" ht="15" customHeight="1">
      <c r="G26649"/>
      <c r="I26649"/>
      <c r="N26649"/>
      <c r="O26649" s="24"/>
      <c r="P26649"/>
      <c r="Q26649" s="24"/>
      <c r="R26649"/>
      <c r="S26649"/>
      <c r="T26649"/>
      <c r="U26649"/>
      <c r="X26649" s="60"/>
    </row>
    <row r="26650" spans="7:24" ht="15" customHeight="1">
      <c r="G26650"/>
      <c r="I26650"/>
      <c r="N26650"/>
      <c r="O26650" s="24"/>
      <c r="P26650"/>
      <c r="Q26650" s="24"/>
      <c r="R26650"/>
      <c r="S26650"/>
      <c r="T26650"/>
      <c r="U26650"/>
      <c r="X26650" s="60"/>
    </row>
    <row r="26651" spans="7:24" ht="15" customHeight="1">
      <c r="G26651"/>
      <c r="I26651"/>
      <c r="N26651"/>
      <c r="O26651" s="24"/>
      <c r="P26651"/>
      <c r="Q26651" s="24"/>
      <c r="R26651"/>
      <c r="S26651"/>
      <c r="T26651"/>
      <c r="U26651"/>
      <c r="X26651" s="60"/>
    </row>
    <row r="26652" spans="7:24" ht="15" customHeight="1">
      <c r="G26652"/>
      <c r="I26652"/>
      <c r="N26652"/>
      <c r="O26652" s="24"/>
      <c r="P26652"/>
      <c r="Q26652" s="24"/>
      <c r="R26652"/>
      <c r="S26652"/>
      <c r="T26652"/>
      <c r="U26652"/>
      <c r="X26652" s="60"/>
    </row>
    <row r="26653" spans="7:24" ht="15" customHeight="1">
      <c r="G26653"/>
      <c r="I26653"/>
      <c r="N26653"/>
      <c r="O26653" s="24"/>
      <c r="P26653"/>
      <c r="Q26653" s="24"/>
      <c r="R26653"/>
      <c r="S26653"/>
      <c r="T26653"/>
      <c r="U26653"/>
      <c r="X26653" s="60"/>
    </row>
    <row r="26654" spans="7:24" ht="15" customHeight="1">
      <c r="G26654"/>
      <c r="I26654"/>
      <c r="N26654"/>
      <c r="O26654" s="24"/>
      <c r="P26654"/>
      <c r="Q26654" s="24"/>
      <c r="R26654"/>
      <c r="S26654"/>
      <c r="T26654"/>
      <c r="U26654"/>
      <c r="X26654" s="60"/>
    </row>
    <row r="26655" spans="7:24" ht="15" customHeight="1">
      <c r="G26655"/>
      <c r="I26655"/>
      <c r="N26655"/>
      <c r="O26655" s="24"/>
      <c r="P26655"/>
      <c r="Q26655" s="24"/>
      <c r="R26655"/>
      <c r="S26655"/>
      <c r="T26655"/>
      <c r="U26655"/>
      <c r="X26655" s="60"/>
    </row>
    <row r="26656" spans="7:24" ht="15" customHeight="1">
      <c r="G26656"/>
      <c r="I26656"/>
      <c r="N26656"/>
      <c r="O26656" s="24"/>
      <c r="P26656"/>
      <c r="Q26656" s="24"/>
      <c r="R26656"/>
      <c r="S26656"/>
      <c r="T26656"/>
      <c r="U26656"/>
      <c r="X26656" s="60"/>
    </row>
    <row r="26657" spans="7:24" ht="15" customHeight="1">
      <c r="G26657"/>
      <c r="I26657"/>
      <c r="N26657"/>
      <c r="O26657" s="24"/>
      <c r="P26657"/>
      <c r="Q26657" s="24"/>
      <c r="R26657"/>
      <c r="S26657"/>
      <c r="T26657"/>
      <c r="U26657"/>
      <c r="X26657" s="60"/>
    </row>
    <row r="26658" spans="7:24" ht="15" customHeight="1">
      <c r="G26658"/>
      <c r="I26658"/>
      <c r="N26658"/>
      <c r="O26658" s="24"/>
      <c r="P26658"/>
      <c r="Q26658" s="24"/>
      <c r="R26658"/>
      <c r="S26658"/>
      <c r="T26658"/>
      <c r="U26658"/>
      <c r="X26658" s="60"/>
    </row>
    <row r="26659" spans="7:24" ht="15" customHeight="1">
      <c r="G26659"/>
      <c r="I26659"/>
      <c r="N26659"/>
      <c r="O26659" s="24"/>
      <c r="P26659"/>
      <c r="Q26659" s="24"/>
      <c r="R26659"/>
      <c r="S26659"/>
      <c r="T26659"/>
      <c r="U26659"/>
      <c r="X26659" s="60"/>
    </row>
    <row r="26660" spans="7:24" ht="15" customHeight="1">
      <c r="G26660"/>
      <c r="I26660"/>
      <c r="N26660"/>
      <c r="O26660" s="24"/>
      <c r="P26660"/>
      <c r="Q26660" s="24"/>
      <c r="R26660"/>
      <c r="S26660"/>
      <c r="T26660"/>
      <c r="U26660"/>
      <c r="X26660" s="60"/>
    </row>
    <row r="26661" spans="7:24" ht="15" customHeight="1">
      <c r="G26661"/>
      <c r="I26661"/>
      <c r="N26661"/>
      <c r="O26661" s="24"/>
      <c r="P26661"/>
      <c r="Q26661" s="24"/>
      <c r="R26661"/>
      <c r="S26661"/>
      <c r="T26661"/>
      <c r="U26661"/>
      <c r="X26661" s="60"/>
    </row>
    <row r="26662" spans="7:24" ht="15" customHeight="1">
      <c r="G26662"/>
      <c r="I26662"/>
      <c r="N26662"/>
      <c r="O26662" s="24"/>
      <c r="P26662"/>
      <c r="Q26662" s="24"/>
      <c r="R26662"/>
      <c r="S26662"/>
      <c r="T26662"/>
      <c r="U26662"/>
      <c r="X26662" s="60"/>
    </row>
    <row r="26663" spans="7:24" ht="15" customHeight="1">
      <c r="G26663"/>
      <c r="I26663"/>
      <c r="N26663"/>
      <c r="O26663" s="24"/>
      <c r="P26663"/>
      <c r="Q26663" s="24"/>
      <c r="R26663"/>
      <c r="S26663"/>
      <c r="T26663"/>
      <c r="U26663"/>
      <c r="X26663" s="60"/>
    </row>
    <row r="26664" spans="7:24" ht="15" customHeight="1">
      <c r="G26664"/>
      <c r="I26664"/>
      <c r="N26664"/>
      <c r="O26664" s="24"/>
      <c r="P26664"/>
      <c r="Q26664" s="24"/>
      <c r="R26664"/>
      <c r="S26664"/>
      <c r="T26664"/>
      <c r="U26664"/>
      <c r="X26664" s="60"/>
    </row>
    <row r="26665" spans="7:24" ht="15" customHeight="1">
      <c r="G26665"/>
      <c r="I26665"/>
      <c r="N26665"/>
      <c r="O26665" s="24"/>
      <c r="P26665"/>
      <c r="Q26665" s="24"/>
      <c r="R26665"/>
      <c r="S26665"/>
      <c r="T26665"/>
      <c r="U26665"/>
      <c r="X26665" s="60"/>
    </row>
    <row r="26666" spans="7:24" ht="15" customHeight="1">
      <c r="G26666"/>
      <c r="I26666"/>
      <c r="N26666"/>
      <c r="O26666" s="24"/>
      <c r="P26666"/>
      <c r="Q26666" s="24"/>
      <c r="R26666"/>
      <c r="S26666"/>
      <c r="T26666"/>
      <c r="U26666"/>
      <c r="X26666" s="60"/>
    </row>
    <row r="26667" spans="7:24" ht="15" customHeight="1">
      <c r="G26667"/>
      <c r="I26667"/>
      <c r="N26667"/>
      <c r="O26667" s="24"/>
      <c r="P26667"/>
      <c r="Q26667" s="24"/>
      <c r="R26667"/>
      <c r="S26667"/>
      <c r="T26667"/>
      <c r="U26667"/>
      <c r="X26667" s="60"/>
    </row>
    <row r="26668" spans="7:24" ht="15" customHeight="1">
      <c r="G26668"/>
      <c r="I26668"/>
      <c r="N26668"/>
      <c r="O26668" s="24"/>
      <c r="P26668"/>
      <c r="Q26668" s="24"/>
      <c r="R26668"/>
      <c r="S26668"/>
      <c r="T26668"/>
      <c r="U26668"/>
      <c r="X26668" s="60"/>
    </row>
    <row r="26669" spans="7:24" ht="15" customHeight="1">
      <c r="G26669"/>
      <c r="I26669"/>
      <c r="N26669"/>
      <c r="O26669" s="24"/>
      <c r="P26669"/>
      <c r="Q26669" s="24"/>
      <c r="R26669"/>
      <c r="S26669"/>
      <c r="T26669"/>
      <c r="U26669"/>
      <c r="X26669" s="60"/>
    </row>
    <row r="26670" spans="7:24" ht="15" customHeight="1">
      <c r="G26670"/>
      <c r="I26670"/>
      <c r="N26670"/>
      <c r="O26670" s="24"/>
      <c r="P26670"/>
      <c r="Q26670" s="24"/>
      <c r="R26670"/>
      <c r="S26670"/>
      <c r="T26670"/>
      <c r="U26670"/>
      <c r="X26670" s="60"/>
    </row>
    <row r="26671" spans="7:24" ht="15" customHeight="1">
      <c r="G26671"/>
      <c r="I26671"/>
      <c r="N26671"/>
      <c r="O26671" s="24"/>
      <c r="P26671"/>
      <c r="Q26671" s="24"/>
      <c r="R26671"/>
      <c r="S26671"/>
      <c r="T26671"/>
      <c r="U26671"/>
      <c r="X26671" s="60"/>
    </row>
    <row r="26672" spans="7:24" ht="15" customHeight="1">
      <c r="G26672"/>
      <c r="I26672"/>
      <c r="N26672"/>
      <c r="O26672" s="24"/>
      <c r="P26672"/>
      <c r="Q26672" s="24"/>
      <c r="R26672"/>
      <c r="S26672"/>
      <c r="T26672"/>
      <c r="U26672"/>
      <c r="X26672" s="60"/>
    </row>
    <row r="26673" spans="7:24" ht="15" customHeight="1">
      <c r="G26673"/>
      <c r="I26673"/>
      <c r="N26673"/>
      <c r="O26673" s="24"/>
      <c r="P26673"/>
      <c r="Q26673" s="24"/>
      <c r="R26673"/>
      <c r="S26673"/>
      <c r="T26673"/>
      <c r="U26673"/>
      <c r="X26673" s="60"/>
    </row>
    <row r="26674" spans="7:24" ht="15" customHeight="1">
      <c r="G26674"/>
      <c r="I26674"/>
      <c r="N26674"/>
      <c r="O26674" s="24"/>
      <c r="P26674"/>
      <c r="Q26674" s="24"/>
      <c r="R26674"/>
      <c r="S26674"/>
      <c r="T26674"/>
      <c r="U26674"/>
      <c r="X26674" s="60"/>
    </row>
    <row r="26675" spans="7:24" ht="15" customHeight="1">
      <c r="G26675"/>
      <c r="I26675"/>
      <c r="N26675"/>
      <c r="O26675" s="24"/>
      <c r="P26675"/>
      <c r="Q26675" s="24"/>
      <c r="R26675"/>
      <c r="S26675"/>
      <c r="T26675"/>
      <c r="U26675"/>
      <c r="X26675" s="60"/>
    </row>
    <row r="26676" spans="7:24" ht="15" customHeight="1">
      <c r="G26676"/>
      <c r="I26676"/>
      <c r="N26676"/>
      <c r="O26676" s="24"/>
      <c r="P26676"/>
      <c r="Q26676" s="24"/>
      <c r="R26676"/>
      <c r="S26676"/>
      <c r="T26676"/>
      <c r="U26676"/>
      <c r="X26676" s="60"/>
    </row>
    <row r="26677" spans="7:24" ht="15" customHeight="1">
      <c r="G26677"/>
      <c r="I26677"/>
      <c r="N26677"/>
      <c r="O26677" s="24"/>
      <c r="P26677"/>
      <c r="Q26677" s="24"/>
      <c r="R26677"/>
      <c r="S26677"/>
      <c r="T26677"/>
      <c r="U26677"/>
      <c r="X26677" s="60"/>
    </row>
    <row r="26678" spans="7:24" ht="15" customHeight="1">
      <c r="G26678"/>
      <c r="I26678"/>
      <c r="N26678"/>
      <c r="O26678" s="24"/>
      <c r="P26678"/>
      <c r="Q26678" s="24"/>
      <c r="R26678"/>
      <c r="S26678"/>
      <c r="T26678"/>
      <c r="U26678"/>
      <c r="X26678" s="60"/>
    </row>
    <row r="26679" spans="7:24" ht="15" customHeight="1">
      <c r="G26679"/>
      <c r="I26679"/>
      <c r="N26679"/>
      <c r="O26679" s="24"/>
      <c r="P26679"/>
      <c r="Q26679" s="24"/>
      <c r="R26679"/>
      <c r="S26679"/>
      <c r="T26679"/>
      <c r="U26679"/>
      <c r="X26679" s="60"/>
    </row>
    <row r="26680" spans="7:24" ht="15" customHeight="1">
      <c r="G26680"/>
      <c r="I26680"/>
      <c r="N26680"/>
      <c r="O26680" s="24"/>
      <c r="P26680"/>
      <c r="Q26680" s="24"/>
      <c r="R26680"/>
      <c r="S26680"/>
      <c r="T26680"/>
      <c r="U26680"/>
      <c r="X26680" s="60"/>
    </row>
    <row r="26681" spans="7:24" ht="15" customHeight="1">
      <c r="G26681"/>
      <c r="I26681"/>
      <c r="N26681"/>
      <c r="O26681" s="24"/>
      <c r="P26681"/>
      <c r="Q26681" s="24"/>
      <c r="R26681"/>
      <c r="S26681"/>
      <c r="T26681"/>
      <c r="U26681"/>
      <c r="X26681" s="60"/>
    </row>
    <row r="26682" spans="7:24" ht="15" customHeight="1">
      <c r="G26682"/>
      <c r="I26682"/>
      <c r="N26682"/>
      <c r="O26682" s="24"/>
      <c r="P26682"/>
      <c r="Q26682" s="24"/>
      <c r="R26682"/>
      <c r="S26682"/>
      <c r="T26682"/>
      <c r="U26682"/>
      <c r="X26682" s="60"/>
    </row>
    <row r="26683" spans="7:24" ht="15" customHeight="1">
      <c r="G26683"/>
      <c r="I26683"/>
      <c r="N26683"/>
      <c r="O26683" s="24"/>
      <c r="P26683"/>
      <c r="Q26683" s="24"/>
      <c r="R26683"/>
      <c r="S26683"/>
      <c r="T26683"/>
      <c r="U26683"/>
      <c r="X26683" s="60"/>
    </row>
    <row r="26684" spans="7:24" ht="15" customHeight="1">
      <c r="G26684"/>
      <c r="I26684"/>
      <c r="N26684"/>
      <c r="O26684" s="24"/>
      <c r="P26684"/>
      <c r="Q26684" s="24"/>
      <c r="R26684"/>
      <c r="S26684"/>
      <c r="T26684"/>
      <c r="U26684"/>
      <c r="X26684" s="60"/>
    </row>
    <row r="26685" spans="7:24" ht="15" customHeight="1">
      <c r="G26685"/>
      <c r="I26685"/>
      <c r="N26685"/>
      <c r="O26685" s="24"/>
      <c r="P26685"/>
      <c r="Q26685" s="24"/>
      <c r="R26685"/>
      <c r="S26685"/>
      <c r="T26685"/>
      <c r="U26685"/>
      <c r="X26685" s="60"/>
    </row>
    <row r="26686" spans="7:24" ht="15" customHeight="1">
      <c r="G26686"/>
      <c r="I26686"/>
      <c r="N26686"/>
      <c r="O26686" s="24"/>
      <c r="P26686"/>
      <c r="Q26686" s="24"/>
      <c r="R26686"/>
      <c r="S26686"/>
      <c r="T26686"/>
      <c r="U26686"/>
      <c r="X26686" s="60"/>
    </row>
    <row r="26687" spans="7:24" ht="15" customHeight="1">
      <c r="G26687"/>
      <c r="I26687"/>
      <c r="N26687"/>
      <c r="O26687" s="24"/>
      <c r="P26687"/>
      <c r="Q26687" s="24"/>
      <c r="R26687"/>
      <c r="S26687"/>
      <c r="T26687"/>
      <c r="U26687"/>
      <c r="X26687" s="60"/>
    </row>
    <row r="26688" spans="7:24" ht="15" customHeight="1">
      <c r="G26688"/>
      <c r="I26688"/>
      <c r="N26688"/>
      <c r="O26688" s="24"/>
      <c r="P26688"/>
      <c r="Q26688" s="24"/>
      <c r="R26688"/>
      <c r="S26688"/>
      <c r="T26688"/>
      <c r="U26688"/>
      <c r="X26688" s="60"/>
    </row>
    <row r="26689" spans="7:24" ht="15" customHeight="1">
      <c r="G26689"/>
      <c r="I26689"/>
      <c r="N26689"/>
      <c r="O26689" s="24"/>
      <c r="P26689"/>
      <c r="Q26689" s="24"/>
      <c r="R26689"/>
      <c r="S26689"/>
      <c r="T26689"/>
      <c r="U26689"/>
      <c r="X26689" s="60"/>
    </row>
    <row r="26690" spans="7:24" ht="15" customHeight="1">
      <c r="G26690"/>
      <c r="I26690"/>
      <c r="N26690"/>
      <c r="O26690" s="24"/>
      <c r="P26690"/>
      <c r="Q26690" s="24"/>
      <c r="R26690"/>
      <c r="S26690"/>
      <c r="T26690"/>
      <c r="U26690"/>
      <c r="X26690" s="60"/>
    </row>
    <row r="26691" spans="7:24" ht="15" customHeight="1">
      <c r="G26691"/>
      <c r="I26691"/>
      <c r="N26691"/>
      <c r="O26691" s="24"/>
      <c r="P26691"/>
      <c r="Q26691" s="24"/>
      <c r="R26691"/>
      <c r="S26691"/>
      <c r="T26691"/>
      <c r="U26691"/>
      <c r="X26691" s="60"/>
    </row>
    <row r="26692" spans="7:24" ht="15" customHeight="1">
      <c r="G26692"/>
      <c r="I26692"/>
      <c r="N26692"/>
      <c r="O26692" s="24"/>
      <c r="P26692"/>
      <c r="Q26692" s="24"/>
      <c r="R26692"/>
      <c r="S26692"/>
      <c r="T26692"/>
      <c r="U26692"/>
      <c r="X26692" s="60"/>
    </row>
    <row r="26693" spans="7:24" ht="15" customHeight="1">
      <c r="G26693"/>
      <c r="I26693"/>
      <c r="N26693"/>
      <c r="O26693" s="24"/>
      <c r="P26693"/>
      <c r="Q26693" s="24"/>
      <c r="R26693"/>
      <c r="S26693"/>
      <c r="T26693"/>
      <c r="U26693"/>
      <c r="X26693" s="60"/>
    </row>
    <row r="26694" spans="7:24" ht="15" customHeight="1">
      <c r="G26694"/>
      <c r="I26694"/>
      <c r="N26694"/>
      <c r="O26694" s="24"/>
      <c r="P26694"/>
      <c r="Q26694" s="24"/>
      <c r="R26694"/>
      <c r="S26694"/>
      <c r="T26694"/>
      <c r="U26694"/>
      <c r="X26694" s="60"/>
    </row>
    <row r="26695" spans="7:24" ht="15" customHeight="1">
      <c r="G26695"/>
      <c r="I26695"/>
      <c r="N26695"/>
      <c r="O26695" s="24"/>
      <c r="P26695"/>
      <c r="Q26695" s="24"/>
      <c r="R26695"/>
      <c r="S26695"/>
      <c r="T26695"/>
      <c r="U26695"/>
      <c r="X26695" s="60"/>
    </row>
    <row r="26696" spans="7:24" ht="15" customHeight="1">
      <c r="G26696"/>
      <c r="I26696"/>
      <c r="N26696"/>
      <c r="O26696" s="24"/>
      <c r="P26696"/>
      <c r="Q26696" s="24"/>
      <c r="R26696"/>
      <c r="S26696"/>
      <c r="T26696"/>
      <c r="U26696"/>
      <c r="X26696" s="60"/>
    </row>
    <row r="26697" spans="7:24" ht="15" customHeight="1">
      <c r="G26697"/>
      <c r="I26697"/>
      <c r="N26697"/>
      <c r="O26697" s="24"/>
      <c r="P26697"/>
      <c r="Q26697" s="24"/>
      <c r="R26697"/>
      <c r="S26697"/>
      <c r="T26697"/>
      <c r="U26697"/>
      <c r="X26697" s="60"/>
    </row>
    <row r="26698" spans="7:24" ht="15" customHeight="1">
      <c r="G26698"/>
      <c r="I26698"/>
      <c r="N26698"/>
      <c r="O26698" s="24"/>
      <c r="P26698"/>
      <c r="Q26698" s="24"/>
      <c r="R26698"/>
      <c r="S26698"/>
      <c r="T26698"/>
      <c r="U26698"/>
      <c r="X26698" s="60"/>
    </row>
    <row r="26699" spans="7:24" ht="15" customHeight="1">
      <c r="G26699"/>
      <c r="I26699"/>
      <c r="N26699"/>
      <c r="O26699" s="24"/>
      <c r="P26699"/>
      <c r="Q26699" s="24"/>
      <c r="R26699"/>
      <c r="S26699"/>
      <c r="T26699"/>
      <c r="U26699"/>
      <c r="X26699" s="60"/>
    </row>
    <row r="26700" spans="7:24" ht="15" customHeight="1">
      <c r="G26700"/>
      <c r="I26700"/>
      <c r="N26700"/>
      <c r="O26700" s="24"/>
      <c r="P26700"/>
      <c r="Q26700" s="24"/>
      <c r="R26700"/>
      <c r="S26700"/>
      <c r="T26700"/>
      <c r="U26700"/>
      <c r="X26700" s="60"/>
    </row>
    <row r="26701" spans="7:24" ht="15" customHeight="1">
      <c r="G26701"/>
      <c r="I26701"/>
      <c r="N26701"/>
      <c r="O26701" s="24"/>
      <c r="P26701"/>
      <c r="Q26701" s="24"/>
      <c r="R26701"/>
      <c r="S26701"/>
      <c r="T26701"/>
      <c r="U26701"/>
      <c r="X26701" s="60"/>
    </row>
    <row r="26702" spans="7:24" ht="15" customHeight="1">
      <c r="G26702"/>
      <c r="I26702"/>
      <c r="N26702"/>
      <c r="O26702" s="24"/>
      <c r="P26702"/>
      <c r="Q26702" s="24"/>
      <c r="R26702"/>
      <c r="S26702"/>
      <c r="T26702"/>
      <c r="U26702"/>
      <c r="X26702" s="60"/>
    </row>
    <row r="26703" spans="7:24" ht="15" customHeight="1">
      <c r="G26703"/>
      <c r="I26703"/>
      <c r="N26703"/>
      <c r="O26703" s="24"/>
      <c r="P26703"/>
      <c r="Q26703" s="24"/>
      <c r="R26703"/>
      <c r="S26703"/>
      <c r="T26703"/>
      <c r="U26703"/>
      <c r="X26703" s="60"/>
    </row>
    <row r="26704" spans="7:24" ht="15" customHeight="1">
      <c r="G26704"/>
      <c r="I26704"/>
      <c r="N26704"/>
      <c r="O26704" s="24"/>
      <c r="P26704"/>
      <c r="Q26704" s="24"/>
      <c r="R26704"/>
      <c r="S26704"/>
      <c r="T26704"/>
      <c r="U26704"/>
      <c r="X26704" s="60"/>
    </row>
    <row r="26705" spans="7:24" ht="15" customHeight="1">
      <c r="G26705"/>
      <c r="I26705"/>
      <c r="N26705"/>
      <c r="O26705" s="24"/>
      <c r="P26705"/>
      <c r="Q26705" s="24"/>
      <c r="R26705"/>
      <c r="S26705"/>
      <c r="T26705"/>
      <c r="U26705"/>
      <c r="X26705" s="60"/>
    </row>
    <row r="26706" spans="7:24" ht="15" customHeight="1">
      <c r="G26706"/>
      <c r="I26706"/>
      <c r="N26706"/>
      <c r="O26706" s="24"/>
      <c r="P26706"/>
      <c r="Q26706" s="24"/>
      <c r="R26706"/>
      <c r="S26706"/>
      <c r="T26706"/>
      <c r="U26706"/>
      <c r="X26706" s="60"/>
    </row>
    <row r="26707" spans="7:24" ht="15" customHeight="1">
      <c r="G26707"/>
      <c r="I26707"/>
      <c r="N26707"/>
      <c r="O26707" s="24"/>
      <c r="P26707"/>
      <c r="Q26707" s="24"/>
      <c r="R26707"/>
      <c r="S26707"/>
      <c r="T26707"/>
      <c r="U26707"/>
      <c r="X26707" s="60"/>
    </row>
    <row r="26708" spans="7:24" ht="15" customHeight="1">
      <c r="G26708"/>
      <c r="I26708"/>
      <c r="N26708"/>
      <c r="O26708" s="24"/>
      <c r="P26708"/>
      <c r="Q26708" s="24"/>
      <c r="R26708"/>
      <c r="S26708"/>
      <c r="T26708"/>
      <c r="U26708"/>
      <c r="X26708" s="60"/>
    </row>
    <row r="26709" spans="7:24" ht="15" customHeight="1">
      <c r="G26709"/>
      <c r="I26709"/>
      <c r="N26709"/>
      <c r="O26709" s="24"/>
      <c r="P26709"/>
      <c r="Q26709" s="24"/>
      <c r="R26709"/>
      <c r="S26709"/>
      <c r="T26709"/>
      <c r="U26709"/>
      <c r="X26709" s="60"/>
    </row>
    <row r="26710" spans="7:24" ht="15" customHeight="1">
      <c r="G26710"/>
      <c r="I26710"/>
      <c r="N26710"/>
      <c r="O26710" s="24"/>
      <c r="P26710"/>
      <c r="Q26710" s="24"/>
      <c r="R26710"/>
      <c r="S26710"/>
      <c r="T26710"/>
      <c r="U26710"/>
      <c r="X26710" s="60"/>
    </row>
    <row r="26711" spans="7:24" ht="15" customHeight="1">
      <c r="G26711"/>
      <c r="I26711"/>
      <c r="N26711"/>
      <c r="O26711" s="24"/>
      <c r="P26711"/>
      <c r="Q26711" s="24"/>
      <c r="R26711"/>
      <c r="S26711"/>
      <c r="T26711"/>
      <c r="U26711"/>
      <c r="X26711" s="60"/>
    </row>
    <row r="26712" spans="7:24" ht="15" customHeight="1">
      <c r="G26712"/>
      <c r="I26712"/>
      <c r="N26712"/>
      <c r="O26712" s="24"/>
      <c r="P26712"/>
      <c r="Q26712" s="24"/>
      <c r="R26712"/>
      <c r="S26712"/>
      <c r="T26712"/>
      <c r="U26712"/>
      <c r="X26712" s="60"/>
    </row>
    <row r="26713" spans="7:24" ht="15" customHeight="1">
      <c r="G26713"/>
      <c r="I26713"/>
      <c r="N26713"/>
      <c r="O26713" s="24"/>
      <c r="P26713"/>
      <c r="Q26713" s="24"/>
      <c r="R26713"/>
      <c r="S26713"/>
      <c r="T26713"/>
      <c r="U26713"/>
      <c r="X26713" s="60"/>
    </row>
    <row r="26714" spans="7:24" ht="15" customHeight="1">
      <c r="G26714"/>
      <c r="I26714"/>
      <c r="N26714"/>
      <c r="O26714" s="24"/>
      <c r="P26714"/>
      <c r="Q26714" s="24"/>
      <c r="R26714"/>
      <c r="S26714"/>
      <c r="T26714"/>
      <c r="U26714"/>
      <c r="X26714" s="60"/>
    </row>
    <row r="26715" spans="7:24" ht="15" customHeight="1">
      <c r="G26715"/>
      <c r="I26715"/>
      <c r="N26715"/>
      <c r="O26715" s="24"/>
      <c r="P26715"/>
      <c r="Q26715" s="24"/>
      <c r="R26715"/>
      <c r="S26715"/>
      <c r="T26715"/>
      <c r="U26715"/>
      <c r="X26715" s="60"/>
    </row>
    <row r="26716" spans="7:24" ht="15" customHeight="1">
      <c r="G26716"/>
      <c r="I26716"/>
      <c r="N26716"/>
      <c r="O26716" s="24"/>
      <c r="P26716"/>
      <c r="Q26716" s="24"/>
      <c r="R26716"/>
      <c r="S26716"/>
      <c r="T26716"/>
      <c r="U26716"/>
      <c r="X26716" s="60"/>
    </row>
    <row r="26717" spans="7:24" ht="15" customHeight="1">
      <c r="G26717"/>
      <c r="I26717"/>
      <c r="N26717"/>
      <c r="O26717" s="24"/>
      <c r="P26717"/>
      <c r="Q26717" s="24"/>
      <c r="R26717"/>
      <c r="S26717"/>
      <c r="T26717"/>
      <c r="U26717"/>
      <c r="X26717" s="60"/>
    </row>
    <row r="26718" spans="7:24" ht="15" customHeight="1">
      <c r="G26718"/>
      <c r="I26718"/>
      <c r="N26718"/>
      <c r="O26718" s="24"/>
      <c r="P26718"/>
      <c r="Q26718" s="24"/>
      <c r="R26718"/>
      <c r="S26718"/>
      <c r="T26718"/>
      <c r="U26718"/>
      <c r="X26718" s="60"/>
    </row>
    <row r="26719" spans="7:24" ht="15" customHeight="1">
      <c r="G26719"/>
      <c r="I26719"/>
      <c r="N26719"/>
      <c r="O26719" s="24"/>
      <c r="P26719"/>
      <c r="Q26719" s="24"/>
      <c r="R26719"/>
      <c r="S26719"/>
      <c r="T26719"/>
      <c r="U26719"/>
      <c r="X26719" s="60"/>
    </row>
    <row r="26720" spans="7:24" ht="15" customHeight="1">
      <c r="G26720"/>
      <c r="I26720"/>
      <c r="N26720"/>
      <c r="O26720" s="24"/>
      <c r="P26720"/>
      <c r="Q26720" s="24"/>
      <c r="R26720"/>
      <c r="S26720"/>
      <c r="T26720"/>
      <c r="U26720"/>
      <c r="X26720" s="60"/>
    </row>
    <row r="26721" spans="7:24" ht="15" customHeight="1">
      <c r="G26721"/>
      <c r="I26721"/>
      <c r="N26721"/>
      <c r="O26721" s="24"/>
      <c r="P26721"/>
      <c r="Q26721" s="24"/>
      <c r="R26721"/>
      <c r="S26721"/>
      <c r="T26721"/>
      <c r="U26721"/>
      <c r="X26721" s="60"/>
    </row>
    <row r="26722" spans="7:24" ht="15" customHeight="1">
      <c r="G26722"/>
      <c r="I26722"/>
      <c r="N26722"/>
      <c r="O26722" s="24"/>
      <c r="P26722"/>
      <c r="Q26722" s="24"/>
      <c r="R26722"/>
      <c r="S26722"/>
      <c r="T26722"/>
      <c r="U26722"/>
      <c r="X26722" s="60"/>
    </row>
    <row r="26723" spans="7:24" ht="15" customHeight="1">
      <c r="G26723"/>
      <c r="I26723"/>
      <c r="N26723"/>
      <c r="O26723" s="24"/>
      <c r="P26723"/>
      <c r="Q26723" s="24"/>
      <c r="R26723"/>
      <c r="S26723"/>
      <c r="T26723"/>
      <c r="U26723"/>
      <c r="X26723" s="60"/>
    </row>
    <row r="26724" spans="7:24" ht="15" customHeight="1">
      <c r="G26724"/>
      <c r="I26724"/>
      <c r="N26724"/>
      <c r="O26724" s="24"/>
      <c r="P26724"/>
      <c r="Q26724" s="24"/>
      <c r="R26724"/>
      <c r="S26724"/>
      <c r="T26724"/>
      <c r="U26724"/>
      <c r="X26724" s="60"/>
    </row>
    <row r="26725" spans="7:24" ht="15" customHeight="1">
      <c r="G26725"/>
      <c r="I26725"/>
      <c r="N26725"/>
      <c r="O26725" s="24"/>
      <c r="P26725"/>
      <c r="Q26725" s="24"/>
      <c r="R26725"/>
      <c r="S26725"/>
      <c r="T26725"/>
      <c r="U26725"/>
      <c r="X26725" s="60"/>
    </row>
    <row r="26726" spans="7:24" ht="15" customHeight="1">
      <c r="G26726"/>
      <c r="I26726"/>
      <c r="N26726"/>
      <c r="O26726" s="24"/>
      <c r="P26726"/>
      <c r="Q26726" s="24"/>
      <c r="R26726"/>
      <c r="S26726"/>
      <c r="T26726"/>
      <c r="U26726"/>
      <c r="X26726" s="60"/>
    </row>
    <row r="26727" spans="7:24" ht="15" customHeight="1">
      <c r="G26727"/>
      <c r="I26727"/>
      <c r="N26727"/>
      <c r="O26727" s="24"/>
      <c r="P26727"/>
      <c r="Q26727" s="24"/>
      <c r="R26727"/>
      <c r="S26727"/>
      <c r="T26727"/>
      <c r="U26727"/>
      <c r="X26727" s="60"/>
    </row>
    <row r="26728" spans="7:24" ht="15" customHeight="1">
      <c r="G26728"/>
      <c r="I26728"/>
      <c r="N26728"/>
      <c r="O26728" s="24"/>
      <c r="P26728"/>
      <c r="Q26728" s="24"/>
      <c r="R26728"/>
      <c r="S26728"/>
      <c r="T26728"/>
      <c r="U26728"/>
      <c r="X26728" s="60"/>
    </row>
    <row r="26729" spans="7:24" ht="15" customHeight="1">
      <c r="G26729"/>
      <c r="I26729"/>
      <c r="N26729"/>
      <c r="O26729" s="24"/>
      <c r="P26729"/>
      <c r="Q26729" s="24"/>
      <c r="R26729"/>
      <c r="S26729"/>
      <c r="T26729"/>
      <c r="U26729"/>
      <c r="X26729" s="60"/>
    </row>
    <row r="26730" spans="7:24" ht="15" customHeight="1">
      <c r="G26730"/>
      <c r="I26730"/>
      <c r="N26730"/>
      <c r="O26730" s="24"/>
      <c r="P26730"/>
      <c r="Q26730" s="24"/>
      <c r="R26730"/>
      <c r="S26730"/>
      <c r="T26730"/>
      <c r="U26730"/>
      <c r="X26730" s="60"/>
    </row>
    <row r="26731" spans="7:24" ht="15" customHeight="1">
      <c r="G26731"/>
      <c r="I26731"/>
      <c r="N26731"/>
      <c r="O26731" s="24"/>
      <c r="P26731"/>
      <c r="Q26731" s="24"/>
      <c r="R26731"/>
      <c r="S26731"/>
      <c r="T26731"/>
      <c r="U26731"/>
      <c r="X26731" s="60"/>
    </row>
    <row r="26732" spans="7:24" ht="15" customHeight="1">
      <c r="G26732"/>
      <c r="I26732"/>
      <c r="N26732"/>
      <c r="O26732" s="24"/>
      <c r="P26732"/>
      <c r="Q26732" s="24"/>
      <c r="R26732"/>
      <c r="S26732"/>
      <c r="T26732"/>
      <c r="U26732"/>
      <c r="X26732" s="60"/>
    </row>
    <row r="26733" spans="7:24" ht="15" customHeight="1">
      <c r="G26733"/>
      <c r="I26733"/>
      <c r="N26733"/>
      <c r="O26733" s="24"/>
      <c r="P26733"/>
      <c r="Q26733" s="24"/>
      <c r="R26733"/>
      <c r="S26733"/>
      <c r="T26733"/>
      <c r="U26733"/>
      <c r="X26733" s="60"/>
    </row>
    <row r="26734" spans="7:24" ht="15" customHeight="1">
      <c r="G26734"/>
      <c r="I26734"/>
      <c r="N26734"/>
      <c r="O26734" s="24"/>
      <c r="P26734"/>
      <c r="Q26734" s="24"/>
      <c r="R26734"/>
      <c r="S26734"/>
      <c r="T26734"/>
      <c r="U26734"/>
      <c r="X26734" s="60"/>
    </row>
    <row r="26735" spans="7:24" ht="15" customHeight="1">
      <c r="G26735"/>
      <c r="I26735"/>
      <c r="N26735"/>
      <c r="O26735" s="24"/>
      <c r="P26735"/>
      <c r="Q26735" s="24"/>
      <c r="R26735"/>
      <c r="S26735"/>
      <c r="T26735"/>
      <c r="U26735"/>
      <c r="X26735" s="60"/>
    </row>
    <row r="26736" spans="7:24" ht="15" customHeight="1">
      <c r="G26736"/>
      <c r="I26736"/>
      <c r="N26736"/>
      <c r="O26736" s="24"/>
      <c r="P26736"/>
      <c r="Q26736" s="24"/>
      <c r="R26736"/>
      <c r="S26736"/>
      <c r="T26736"/>
      <c r="U26736"/>
      <c r="X26736" s="60"/>
    </row>
    <row r="26737" spans="7:24" ht="15" customHeight="1">
      <c r="G26737"/>
      <c r="I26737"/>
      <c r="N26737"/>
      <c r="O26737" s="24"/>
      <c r="P26737"/>
      <c r="Q26737" s="24"/>
      <c r="R26737"/>
      <c r="S26737"/>
      <c r="T26737"/>
      <c r="U26737"/>
      <c r="X26737" s="60"/>
    </row>
    <row r="26738" spans="7:24" ht="15" customHeight="1">
      <c r="G26738"/>
      <c r="I26738"/>
      <c r="N26738"/>
      <c r="O26738" s="24"/>
      <c r="P26738"/>
      <c r="Q26738" s="24"/>
      <c r="R26738"/>
      <c r="S26738"/>
      <c r="T26738"/>
      <c r="U26738"/>
      <c r="X26738" s="60"/>
    </row>
    <row r="26739" spans="7:24" ht="15" customHeight="1">
      <c r="G26739"/>
      <c r="I26739"/>
      <c r="N26739"/>
      <c r="O26739" s="24"/>
      <c r="P26739"/>
      <c r="Q26739" s="24"/>
      <c r="R26739"/>
      <c r="S26739"/>
      <c r="T26739"/>
      <c r="U26739"/>
      <c r="X26739" s="60"/>
    </row>
    <row r="26740" spans="7:24" ht="15" customHeight="1">
      <c r="G26740"/>
      <c r="I26740"/>
      <c r="N26740"/>
      <c r="O26740" s="24"/>
      <c r="P26740"/>
      <c r="Q26740" s="24"/>
      <c r="R26740"/>
      <c r="S26740"/>
      <c r="T26740"/>
      <c r="U26740"/>
      <c r="X26740" s="60"/>
    </row>
    <row r="26741" spans="7:24" ht="15" customHeight="1">
      <c r="G26741"/>
      <c r="I26741"/>
      <c r="N26741"/>
      <c r="O26741" s="24"/>
      <c r="P26741"/>
      <c r="Q26741" s="24"/>
      <c r="R26741"/>
      <c r="S26741"/>
      <c r="T26741"/>
      <c r="U26741"/>
      <c r="X26741" s="60"/>
    </row>
    <row r="26742" spans="7:24" ht="15" customHeight="1">
      <c r="G26742"/>
      <c r="I26742"/>
      <c r="N26742"/>
      <c r="O26742" s="24"/>
      <c r="P26742"/>
      <c r="Q26742" s="24"/>
      <c r="R26742"/>
      <c r="S26742"/>
      <c r="T26742"/>
      <c r="U26742"/>
      <c r="X26742" s="60"/>
    </row>
    <row r="26743" spans="7:24" ht="15" customHeight="1">
      <c r="G26743"/>
      <c r="I26743"/>
      <c r="N26743"/>
      <c r="O26743" s="24"/>
      <c r="P26743"/>
      <c r="Q26743" s="24"/>
      <c r="R26743"/>
      <c r="S26743"/>
      <c r="T26743"/>
      <c r="U26743"/>
      <c r="X26743" s="60"/>
    </row>
    <row r="26744" spans="7:24" ht="15" customHeight="1">
      <c r="G26744"/>
      <c r="I26744"/>
      <c r="N26744"/>
      <c r="O26744" s="24"/>
      <c r="P26744"/>
      <c r="Q26744" s="24"/>
      <c r="R26744"/>
      <c r="S26744"/>
      <c r="T26744"/>
      <c r="U26744"/>
      <c r="X26744" s="60"/>
    </row>
    <row r="26745" spans="7:24" ht="15" customHeight="1">
      <c r="G26745"/>
      <c r="I26745"/>
      <c r="N26745"/>
      <c r="O26745" s="24"/>
      <c r="P26745"/>
      <c r="Q26745" s="24"/>
      <c r="R26745"/>
      <c r="S26745"/>
      <c r="T26745"/>
      <c r="U26745"/>
      <c r="X26745" s="60"/>
    </row>
    <row r="26746" spans="7:24" ht="15" customHeight="1">
      <c r="G26746"/>
      <c r="I26746"/>
      <c r="N26746"/>
      <c r="O26746" s="24"/>
      <c r="P26746"/>
      <c r="Q26746" s="24"/>
      <c r="R26746"/>
      <c r="S26746"/>
      <c r="T26746"/>
      <c r="U26746"/>
      <c r="X26746" s="60"/>
    </row>
    <row r="26747" spans="7:24" ht="15" customHeight="1">
      <c r="G26747"/>
      <c r="I26747"/>
      <c r="N26747"/>
      <c r="O26747" s="24"/>
      <c r="P26747"/>
      <c r="Q26747" s="24"/>
      <c r="R26747"/>
      <c r="S26747"/>
      <c r="T26747"/>
      <c r="U26747"/>
      <c r="X26747" s="60"/>
    </row>
    <row r="26748" spans="7:24" ht="15" customHeight="1">
      <c r="G26748"/>
      <c r="I26748"/>
      <c r="N26748"/>
      <c r="O26748" s="24"/>
      <c r="P26748"/>
      <c r="Q26748" s="24"/>
      <c r="R26748"/>
      <c r="S26748"/>
      <c r="T26748"/>
      <c r="U26748"/>
      <c r="X26748" s="60"/>
    </row>
    <row r="26749" spans="7:24" ht="15" customHeight="1">
      <c r="G26749"/>
      <c r="I26749"/>
      <c r="N26749"/>
      <c r="O26749" s="24"/>
      <c r="P26749"/>
      <c r="Q26749" s="24"/>
      <c r="R26749"/>
      <c r="S26749"/>
      <c r="T26749"/>
      <c r="U26749"/>
      <c r="X26749" s="60"/>
    </row>
    <row r="26750" spans="7:24" ht="15" customHeight="1">
      <c r="G26750"/>
      <c r="I26750"/>
      <c r="N26750"/>
      <c r="O26750" s="24"/>
      <c r="P26750"/>
      <c r="Q26750" s="24"/>
      <c r="R26750"/>
      <c r="S26750"/>
      <c r="T26750"/>
      <c r="U26750"/>
      <c r="X26750" s="60"/>
    </row>
    <row r="26751" spans="7:24" ht="15" customHeight="1">
      <c r="G26751"/>
      <c r="I26751"/>
      <c r="N26751"/>
      <c r="O26751" s="24"/>
      <c r="P26751"/>
      <c r="Q26751" s="24"/>
      <c r="R26751"/>
      <c r="S26751"/>
      <c r="T26751"/>
      <c r="U26751"/>
      <c r="X26751" s="60"/>
    </row>
    <row r="26752" spans="7:24" ht="15" customHeight="1">
      <c r="G26752"/>
      <c r="I26752"/>
      <c r="N26752"/>
      <c r="O26752" s="24"/>
      <c r="P26752"/>
      <c r="Q26752" s="24"/>
      <c r="R26752"/>
      <c r="S26752"/>
      <c r="T26752"/>
      <c r="U26752"/>
      <c r="X26752" s="60"/>
    </row>
    <row r="26753" spans="7:24" ht="15" customHeight="1">
      <c r="G26753"/>
      <c r="I26753"/>
      <c r="N26753"/>
      <c r="O26753" s="24"/>
      <c r="P26753"/>
      <c r="Q26753" s="24"/>
      <c r="R26753"/>
      <c r="S26753"/>
      <c r="T26753"/>
      <c r="U26753"/>
      <c r="X26753" s="60"/>
    </row>
    <row r="26754" spans="7:24" ht="15" customHeight="1">
      <c r="G26754"/>
      <c r="I26754"/>
      <c r="N26754"/>
      <c r="O26754" s="24"/>
      <c r="P26754"/>
      <c r="Q26754" s="24"/>
      <c r="R26754"/>
      <c r="S26754"/>
      <c r="T26754"/>
      <c r="U26754"/>
      <c r="X26754" s="60"/>
    </row>
    <row r="26755" spans="7:24" ht="15" customHeight="1">
      <c r="G26755"/>
      <c r="I26755"/>
      <c r="N26755"/>
      <c r="O26755" s="24"/>
      <c r="P26755"/>
      <c r="Q26755" s="24"/>
      <c r="R26755"/>
      <c r="S26755"/>
      <c r="T26755"/>
      <c r="U26755"/>
      <c r="X26755" s="60"/>
    </row>
    <row r="26756" spans="7:24" ht="15" customHeight="1">
      <c r="G26756"/>
      <c r="I26756"/>
      <c r="N26756"/>
      <c r="O26756" s="24"/>
      <c r="P26756"/>
      <c r="Q26756" s="24"/>
      <c r="R26756"/>
      <c r="S26756"/>
      <c r="T26756"/>
      <c r="U26756"/>
      <c r="X26756" s="60"/>
    </row>
    <row r="26757" spans="7:24" ht="15" customHeight="1">
      <c r="G26757"/>
      <c r="I26757"/>
      <c r="N26757"/>
      <c r="O26757" s="24"/>
      <c r="P26757"/>
      <c r="Q26757" s="24"/>
      <c r="R26757"/>
      <c r="S26757"/>
      <c r="T26757"/>
      <c r="U26757"/>
      <c r="X26757" s="60"/>
    </row>
    <row r="26758" spans="7:24" ht="15" customHeight="1">
      <c r="G26758"/>
      <c r="I26758"/>
      <c r="N26758"/>
      <c r="O26758" s="24"/>
      <c r="P26758"/>
      <c r="Q26758" s="24"/>
      <c r="R26758"/>
      <c r="S26758"/>
      <c r="T26758"/>
      <c r="U26758"/>
      <c r="X26758" s="60"/>
    </row>
    <row r="26759" spans="7:24" ht="15" customHeight="1">
      <c r="G26759"/>
      <c r="I26759"/>
      <c r="N26759"/>
      <c r="O26759" s="24"/>
      <c r="P26759"/>
      <c r="Q26759" s="24"/>
      <c r="R26759"/>
      <c r="S26759"/>
      <c r="T26759"/>
      <c r="U26759"/>
      <c r="X26759" s="60"/>
    </row>
    <row r="26760" spans="7:24" ht="15" customHeight="1">
      <c r="G26760"/>
      <c r="I26760"/>
      <c r="N26760"/>
      <c r="O26760" s="24"/>
      <c r="P26760"/>
      <c r="Q26760" s="24"/>
      <c r="R26760"/>
      <c r="S26760"/>
      <c r="T26760"/>
      <c r="U26760"/>
      <c r="X26760" s="60"/>
    </row>
    <row r="26761" spans="7:24" ht="15" customHeight="1">
      <c r="G26761"/>
      <c r="I26761"/>
      <c r="N26761"/>
      <c r="O26761" s="24"/>
      <c r="P26761"/>
      <c r="Q26761" s="24"/>
      <c r="R26761"/>
      <c r="S26761"/>
      <c r="T26761"/>
      <c r="U26761"/>
      <c r="X26761" s="60"/>
    </row>
    <row r="26762" spans="7:24" ht="15" customHeight="1">
      <c r="G26762"/>
      <c r="I26762"/>
      <c r="N26762"/>
      <c r="O26762" s="24"/>
      <c r="P26762"/>
      <c r="Q26762" s="24"/>
      <c r="R26762"/>
      <c r="S26762"/>
      <c r="T26762"/>
      <c r="U26762"/>
      <c r="X26762" s="60"/>
    </row>
    <row r="26763" spans="7:24" ht="15" customHeight="1">
      <c r="G26763"/>
      <c r="I26763"/>
      <c r="N26763"/>
      <c r="O26763" s="24"/>
      <c r="P26763"/>
      <c r="Q26763" s="24"/>
      <c r="R26763"/>
      <c r="S26763"/>
      <c r="T26763"/>
      <c r="U26763"/>
      <c r="X26763" s="60"/>
    </row>
    <row r="26764" spans="7:24" ht="15" customHeight="1">
      <c r="G26764"/>
      <c r="I26764"/>
      <c r="N26764"/>
      <c r="O26764" s="24"/>
      <c r="P26764"/>
      <c r="Q26764" s="24"/>
      <c r="R26764"/>
      <c r="S26764"/>
      <c r="T26764"/>
      <c r="U26764"/>
      <c r="X26764" s="60"/>
    </row>
    <row r="26765" spans="7:24" ht="15" customHeight="1">
      <c r="G26765"/>
      <c r="I26765"/>
      <c r="N26765"/>
      <c r="O26765" s="24"/>
      <c r="P26765"/>
      <c r="Q26765" s="24"/>
      <c r="R26765"/>
      <c r="S26765"/>
      <c r="T26765"/>
      <c r="U26765"/>
      <c r="X26765" s="60"/>
    </row>
    <row r="26766" spans="7:24" ht="15" customHeight="1">
      <c r="G26766"/>
      <c r="I26766"/>
      <c r="N26766"/>
      <c r="O26766" s="24"/>
      <c r="P26766"/>
      <c r="Q26766" s="24"/>
      <c r="R26766"/>
      <c r="S26766"/>
      <c r="T26766"/>
      <c r="U26766"/>
      <c r="X26766" s="60"/>
    </row>
    <row r="26767" spans="7:24" ht="15" customHeight="1">
      <c r="G26767"/>
      <c r="I26767"/>
      <c r="N26767"/>
      <c r="O26767" s="24"/>
      <c r="P26767"/>
      <c r="Q26767" s="24"/>
      <c r="R26767"/>
      <c r="S26767"/>
      <c r="T26767"/>
      <c r="U26767"/>
      <c r="X26767" s="60"/>
    </row>
    <row r="26768" spans="7:24" ht="15" customHeight="1">
      <c r="G26768"/>
      <c r="I26768"/>
      <c r="N26768"/>
      <c r="O26768" s="24"/>
      <c r="P26768"/>
      <c r="Q26768" s="24"/>
      <c r="R26768"/>
      <c r="S26768"/>
      <c r="T26768"/>
      <c r="U26768"/>
      <c r="X26768" s="60"/>
    </row>
    <row r="26769" spans="7:24" ht="15" customHeight="1">
      <c r="G26769"/>
      <c r="I26769"/>
      <c r="N26769"/>
      <c r="O26769" s="24"/>
      <c r="P26769"/>
      <c r="Q26769" s="24"/>
      <c r="R26769"/>
      <c r="S26769"/>
      <c r="T26769"/>
      <c r="U26769"/>
      <c r="X26769" s="60"/>
    </row>
    <row r="26770" spans="7:24" ht="15" customHeight="1">
      <c r="G26770"/>
      <c r="I26770"/>
      <c r="N26770"/>
      <c r="O26770" s="24"/>
      <c r="P26770"/>
      <c r="Q26770" s="24"/>
      <c r="R26770"/>
      <c r="S26770"/>
      <c r="T26770"/>
      <c r="U26770"/>
      <c r="X26770" s="60"/>
    </row>
    <row r="26771" spans="7:24" ht="15" customHeight="1">
      <c r="G26771"/>
      <c r="I26771"/>
      <c r="N26771"/>
      <c r="O26771" s="24"/>
      <c r="P26771"/>
      <c r="Q26771" s="24"/>
      <c r="R26771"/>
      <c r="S26771"/>
      <c r="T26771"/>
      <c r="U26771"/>
      <c r="X26771" s="60"/>
    </row>
    <row r="26772" spans="7:24" ht="15" customHeight="1">
      <c r="G26772"/>
      <c r="I26772"/>
      <c r="N26772"/>
      <c r="O26772" s="24"/>
      <c r="P26772"/>
      <c r="Q26772" s="24"/>
      <c r="R26772"/>
      <c r="S26772"/>
      <c r="T26772"/>
      <c r="U26772"/>
      <c r="X26772" s="60"/>
    </row>
    <row r="26773" spans="7:24" ht="15" customHeight="1">
      <c r="G26773"/>
      <c r="I26773"/>
      <c r="N26773"/>
      <c r="O26773" s="24"/>
      <c r="P26773"/>
      <c r="Q26773" s="24"/>
      <c r="R26773"/>
      <c r="S26773"/>
      <c r="T26773"/>
      <c r="U26773"/>
      <c r="X26773" s="60"/>
    </row>
    <row r="26774" spans="7:24" ht="15" customHeight="1">
      <c r="G26774"/>
      <c r="I26774"/>
      <c r="N26774"/>
      <c r="O26774" s="24"/>
      <c r="P26774"/>
      <c r="Q26774" s="24"/>
      <c r="R26774"/>
      <c r="S26774"/>
      <c r="T26774"/>
      <c r="U26774"/>
      <c r="X26774" s="60"/>
    </row>
    <row r="26775" spans="7:24" ht="15" customHeight="1">
      <c r="G26775"/>
      <c r="I26775"/>
      <c r="N26775"/>
      <c r="O26775" s="24"/>
      <c r="P26775"/>
      <c r="Q26775" s="24"/>
      <c r="R26775"/>
      <c r="S26775"/>
      <c r="T26775"/>
      <c r="U26775"/>
      <c r="X26775" s="60"/>
    </row>
    <row r="26776" spans="7:24" ht="15" customHeight="1">
      <c r="G26776"/>
      <c r="I26776"/>
      <c r="N26776"/>
      <c r="O26776" s="24"/>
      <c r="P26776"/>
      <c r="Q26776" s="24"/>
      <c r="R26776"/>
      <c r="S26776"/>
      <c r="T26776"/>
      <c r="U26776"/>
      <c r="X26776" s="60"/>
    </row>
    <row r="26777" spans="7:24" ht="15" customHeight="1">
      <c r="G26777"/>
      <c r="I26777"/>
      <c r="N26777"/>
      <c r="O26777" s="24"/>
      <c r="P26777"/>
      <c r="Q26777" s="24"/>
      <c r="R26777"/>
      <c r="S26777"/>
      <c r="T26777"/>
      <c r="U26777"/>
      <c r="X26777" s="60"/>
    </row>
    <row r="26778" spans="7:24" ht="15" customHeight="1">
      <c r="G26778"/>
      <c r="I26778"/>
      <c r="N26778"/>
      <c r="O26778" s="24"/>
      <c r="P26778"/>
      <c r="Q26778" s="24"/>
      <c r="R26778"/>
      <c r="S26778"/>
      <c r="T26778"/>
      <c r="U26778"/>
      <c r="X26778" s="60"/>
    </row>
    <row r="26779" spans="7:24" ht="15" customHeight="1">
      <c r="G26779"/>
      <c r="I26779"/>
      <c r="N26779"/>
      <c r="O26779" s="24"/>
      <c r="P26779"/>
      <c r="Q26779" s="24"/>
      <c r="R26779"/>
      <c r="S26779"/>
      <c r="T26779"/>
      <c r="U26779"/>
      <c r="X26779" s="60"/>
    </row>
    <row r="26780" spans="7:24" ht="15" customHeight="1">
      <c r="G26780"/>
      <c r="I26780"/>
      <c r="N26780"/>
      <c r="O26780" s="24"/>
      <c r="P26780"/>
      <c r="Q26780" s="24"/>
      <c r="R26780"/>
      <c r="S26780"/>
      <c r="T26780"/>
      <c r="U26780"/>
      <c r="X26780" s="60"/>
    </row>
    <row r="26781" spans="7:24" ht="15" customHeight="1">
      <c r="G26781"/>
      <c r="I26781"/>
      <c r="N26781"/>
      <c r="O26781" s="24"/>
      <c r="P26781"/>
      <c r="Q26781" s="24"/>
      <c r="R26781"/>
      <c r="S26781"/>
      <c r="T26781"/>
      <c r="U26781"/>
      <c r="X26781" s="60"/>
    </row>
    <row r="26782" spans="7:24" ht="15" customHeight="1">
      <c r="G26782"/>
      <c r="I26782"/>
      <c r="N26782"/>
      <c r="O26782" s="24"/>
      <c r="P26782"/>
      <c r="Q26782" s="24"/>
      <c r="R26782"/>
      <c r="S26782"/>
      <c r="T26782"/>
      <c r="U26782"/>
      <c r="X26782" s="60"/>
    </row>
    <row r="26783" spans="7:24" ht="15" customHeight="1">
      <c r="G26783"/>
      <c r="I26783"/>
      <c r="N26783"/>
      <c r="O26783" s="24"/>
      <c r="P26783"/>
      <c r="Q26783" s="24"/>
      <c r="R26783"/>
      <c r="S26783"/>
      <c r="T26783"/>
      <c r="U26783"/>
      <c r="X26783" s="60"/>
    </row>
    <row r="26784" spans="7:24" ht="15" customHeight="1">
      <c r="G26784"/>
      <c r="I26784"/>
      <c r="N26784"/>
      <c r="O26784" s="24"/>
      <c r="P26784"/>
      <c r="Q26784" s="24"/>
      <c r="R26784"/>
      <c r="S26784"/>
      <c r="T26784"/>
      <c r="U26784"/>
      <c r="X26784" s="60"/>
    </row>
    <row r="26785" spans="7:24" ht="15" customHeight="1">
      <c r="G26785"/>
      <c r="I26785"/>
      <c r="N26785"/>
      <c r="O26785" s="24"/>
      <c r="P26785"/>
      <c r="Q26785" s="24"/>
      <c r="R26785"/>
      <c r="S26785"/>
      <c r="T26785"/>
      <c r="U26785"/>
      <c r="X26785" s="60"/>
    </row>
    <row r="26786" spans="7:24" ht="15" customHeight="1">
      <c r="G26786"/>
      <c r="I26786"/>
      <c r="N26786"/>
      <c r="O26786" s="24"/>
      <c r="P26786"/>
      <c r="Q26786" s="24"/>
      <c r="R26786"/>
      <c r="S26786"/>
      <c r="T26786"/>
      <c r="U26786"/>
      <c r="X26786" s="60"/>
    </row>
    <row r="26787" spans="7:24" ht="15" customHeight="1">
      <c r="G26787"/>
      <c r="I26787"/>
      <c r="N26787"/>
      <c r="O26787" s="24"/>
      <c r="P26787"/>
      <c r="Q26787" s="24"/>
      <c r="R26787"/>
      <c r="S26787"/>
      <c r="T26787"/>
      <c r="U26787"/>
      <c r="X26787" s="60"/>
    </row>
    <row r="26788" spans="7:24" ht="15" customHeight="1">
      <c r="G26788"/>
      <c r="I26788"/>
      <c r="N26788"/>
      <c r="O26788" s="24"/>
      <c r="P26788"/>
      <c r="Q26788" s="24"/>
      <c r="R26788"/>
      <c r="S26788"/>
      <c r="T26788"/>
      <c r="U26788"/>
      <c r="X26788" s="60"/>
    </row>
    <row r="26789" spans="7:24" ht="15" customHeight="1">
      <c r="G26789"/>
      <c r="I26789"/>
      <c r="N26789"/>
      <c r="O26789" s="24"/>
      <c r="P26789"/>
      <c r="Q26789" s="24"/>
      <c r="R26789"/>
      <c r="S26789"/>
      <c r="T26789"/>
      <c r="U26789"/>
      <c r="X26789" s="60"/>
    </row>
    <row r="26790" spans="7:24" ht="15" customHeight="1">
      <c r="G26790"/>
      <c r="I26790"/>
      <c r="N26790"/>
      <c r="O26790" s="24"/>
      <c r="P26790"/>
      <c r="Q26790" s="24"/>
      <c r="R26790"/>
      <c r="S26790"/>
      <c r="T26790"/>
      <c r="U26790"/>
      <c r="X26790" s="60"/>
    </row>
    <row r="26791" spans="7:24" ht="15" customHeight="1">
      <c r="G26791"/>
      <c r="I26791"/>
      <c r="N26791"/>
      <c r="O26791" s="24"/>
      <c r="P26791"/>
      <c r="Q26791" s="24"/>
      <c r="R26791"/>
      <c r="S26791"/>
      <c r="T26791"/>
      <c r="U26791"/>
      <c r="X26791" s="60"/>
    </row>
    <row r="26792" spans="7:24" ht="15" customHeight="1">
      <c r="G26792"/>
      <c r="I26792"/>
      <c r="N26792"/>
      <c r="O26792" s="24"/>
      <c r="P26792"/>
      <c r="Q26792" s="24"/>
      <c r="R26792"/>
      <c r="S26792"/>
      <c r="T26792"/>
      <c r="U26792"/>
      <c r="X26792" s="60"/>
    </row>
    <row r="26793" spans="7:24" ht="15" customHeight="1">
      <c r="G26793"/>
      <c r="I26793"/>
      <c r="N26793"/>
      <c r="O26793" s="24"/>
      <c r="P26793"/>
      <c r="Q26793" s="24"/>
      <c r="R26793"/>
      <c r="S26793"/>
      <c r="T26793"/>
      <c r="U26793"/>
      <c r="X26793" s="60"/>
    </row>
    <row r="26794" spans="7:24" ht="15" customHeight="1">
      <c r="G26794"/>
      <c r="I26794"/>
      <c r="N26794"/>
      <c r="O26794" s="24"/>
      <c r="P26794"/>
      <c r="Q26794" s="24"/>
      <c r="R26794"/>
      <c r="S26794"/>
      <c r="T26794"/>
      <c r="U26794"/>
      <c r="X26794" s="60"/>
    </row>
    <row r="26795" spans="7:24" ht="15" customHeight="1">
      <c r="G26795"/>
      <c r="I26795"/>
      <c r="N26795"/>
      <c r="O26795" s="24"/>
      <c r="P26795"/>
      <c r="Q26795" s="24"/>
      <c r="R26795"/>
      <c r="S26795"/>
      <c r="T26795"/>
      <c r="U26795"/>
      <c r="X26795" s="60"/>
    </row>
    <row r="26796" spans="7:24" ht="15" customHeight="1">
      <c r="G26796"/>
      <c r="I26796"/>
      <c r="N26796"/>
      <c r="O26796" s="24"/>
      <c r="P26796"/>
      <c r="Q26796" s="24"/>
      <c r="R26796"/>
      <c r="S26796"/>
      <c r="T26796"/>
      <c r="U26796"/>
      <c r="X26796" s="60"/>
    </row>
    <row r="26797" spans="7:24" ht="15" customHeight="1">
      <c r="G26797"/>
      <c r="I26797"/>
      <c r="N26797"/>
      <c r="O26797" s="24"/>
      <c r="P26797"/>
      <c r="Q26797" s="24"/>
      <c r="R26797"/>
      <c r="S26797"/>
      <c r="T26797"/>
      <c r="U26797"/>
      <c r="X26797" s="60"/>
    </row>
    <row r="26798" spans="7:24" ht="15" customHeight="1">
      <c r="G26798"/>
      <c r="I26798"/>
      <c r="N26798"/>
      <c r="O26798" s="24"/>
      <c r="P26798"/>
      <c r="Q26798" s="24"/>
      <c r="R26798"/>
      <c r="S26798"/>
      <c r="T26798"/>
      <c r="U26798"/>
      <c r="X26798" s="60"/>
    </row>
    <row r="26799" spans="7:24" ht="15" customHeight="1">
      <c r="G26799"/>
      <c r="I26799"/>
      <c r="N26799"/>
      <c r="O26799" s="24"/>
      <c r="P26799"/>
      <c r="Q26799" s="24"/>
      <c r="R26799"/>
      <c r="S26799"/>
      <c r="T26799"/>
      <c r="U26799"/>
      <c r="X26799" s="60"/>
    </row>
    <row r="26800" spans="7:24" ht="15" customHeight="1">
      <c r="G26800"/>
      <c r="I26800"/>
      <c r="N26800"/>
      <c r="O26800" s="24"/>
      <c r="P26800"/>
      <c r="Q26800" s="24"/>
      <c r="R26800"/>
      <c r="S26800"/>
      <c r="T26800"/>
      <c r="U26800"/>
      <c r="X26800" s="60"/>
    </row>
    <row r="26801" spans="7:24" ht="15" customHeight="1">
      <c r="G26801"/>
      <c r="I26801"/>
      <c r="N26801"/>
      <c r="O26801" s="24"/>
      <c r="P26801"/>
      <c r="Q26801" s="24"/>
      <c r="R26801"/>
      <c r="S26801"/>
      <c r="T26801"/>
      <c r="U26801"/>
      <c r="X26801" s="60"/>
    </row>
    <row r="26802" spans="7:24" ht="15" customHeight="1">
      <c r="G26802"/>
      <c r="I26802"/>
      <c r="N26802"/>
      <c r="O26802" s="24"/>
      <c r="P26802"/>
      <c r="Q26802" s="24"/>
      <c r="R26802"/>
      <c r="S26802"/>
      <c r="T26802"/>
      <c r="U26802"/>
      <c r="X26802" s="60"/>
    </row>
    <row r="26803" spans="7:24" ht="15" customHeight="1">
      <c r="G26803"/>
      <c r="I26803"/>
      <c r="N26803"/>
      <c r="O26803" s="24"/>
      <c r="P26803"/>
      <c r="Q26803" s="24"/>
      <c r="R26803"/>
      <c r="S26803"/>
      <c r="T26803"/>
      <c r="U26803"/>
      <c r="X26803" s="60"/>
    </row>
    <row r="26804" spans="7:24" ht="15" customHeight="1">
      <c r="G26804"/>
      <c r="I26804"/>
      <c r="N26804"/>
      <c r="O26804" s="24"/>
      <c r="P26804"/>
      <c r="Q26804" s="24"/>
      <c r="R26804"/>
      <c r="S26804"/>
      <c r="T26804"/>
      <c r="U26804"/>
      <c r="X26804" s="60"/>
    </row>
    <row r="26805" spans="7:24" ht="15" customHeight="1">
      <c r="G26805"/>
      <c r="I26805"/>
      <c r="N26805"/>
      <c r="O26805" s="24"/>
      <c r="P26805"/>
      <c r="Q26805" s="24"/>
      <c r="R26805"/>
      <c r="S26805"/>
      <c r="T26805"/>
      <c r="U26805"/>
      <c r="X26805" s="60"/>
    </row>
    <row r="26806" spans="7:24" ht="15" customHeight="1">
      <c r="G26806"/>
      <c r="I26806"/>
      <c r="N26806"/>
      <c r="O26806" s="24"/>
      <c r="P26806"/>
      <c r="Q26806" s="24"/>
      <c r="R26806"/>
      <c r="S26806"/>
      <c r="T26806"/>
      <c r="U26806"/>
      <c r="X26806" s="60"/>
    </row>
    <row r="26807" spans="7:24" ht="15" customHeight="1">
      <c r="G26807"/>
      <c r="I26807"/>
      <c r="N26807"/>
      <c r="O26807" s="24"/>
      <c r="P26807"/>
      <c r="Q26807" s="24"/>
      <c r="R26807"/>
      <c r="S26807"/>
      <c r="T26807"/>
      <c r="U26807"/>
      <c r="X26807" s="60"/>
    </row>
    <row r="26808" spans="7:24" ht="15" customHeight="1">
      <c r="G26808"/>
      <c r="I26808"/>
      <c r="N26808"/>
      <c r="O26808" s="24"/>
      <c r="P26808"/>
      <c r="Q26808" s="24"/>
      <c r="R26808"/>
      <c r="S26808"/>
      <c r="T26808"/>
      <c r="U26808"/>
      <c r="X26808" s="60"/>
    </row>
    <row r="26809" spans="7:24" ht="15" customHeight="1">
      <c r="G26809"/>
      <c r="I26809"/>
      <c r="N26809"/>
      <c r="O26809" s="24"/>
      <c r="P26809"/>
      <c r="Q26809" s="24"/>
      <c r="R26809"/>
      <c r="S26809"/>
      <c r="T26809"/>
      <c r="U26809"/>
      <c r="X26809" s="60"/>
    </row>
    <row r="26810" spans="7:24" ht="15" customHeight="1">
      <c r="G26810"/>
      <c r="I26810"/>
      <c r="N26810"/>
      <c r="O26810" s="24"/>
      <c r="P26810"/>
      <c r="Q26810" s="24"/>
      <c r="R26810"/>
      <c r="S26810"/>
      <c r="T26810"/>
      <c r="U26810"/>
      <c r="X26810" s="60"/>
    </row>
    <row r="26811" spans="7:24" ht="15" customHeight="1">
      <c r="G26811"/>
      <c r="I26811"/>
      <c r="N26811"/>
      <c r="O26811" s="24"/>
      <c r="P26811"/>
      <c r="Q26811" s="24"/>
      <c r="R26811"/>
      <c r="S26811"/>
      <c r="T26811"/>
      <c r="U26811"/>
      <c r="X26811" s="60"/>
    </row>
    <row r="26812" spans="7:24" ht="15" customHeight="1">
      <c r="G26812"/>
      <c r="I26812"/>
      <c r="N26812"/>
      <c r="O26812" s="24"/>
      <c r="P26812"/>
      <c r="Q26812" s="24"/>
      <c r="R26812"/>
      <c r="S26812"/>
      <c r="T26812"/>
      <c r="U26812"/>
      <c r="X26812" s="60"/>
    </row>
    <row r="26813" spans="7:24" ht="15" customHeight="1">
      <c r="G26813"/>
      <c r="I26813"/>
      <c r="N26813"/>
      <c r="O26813" s="24"/>
      <c r="P26813"/>
      <c r="Q26813" s="24"/>
      <c r="R26813"/>
      <c r="S26813"/>
      <c r="T26813"/>
      <c r="U26813"/>
      <c r="X26813" s="60"/>
    </row>
    <row r="26814" spans="7:24" ht="15" customHeight="1">
      <c r="G26814"/>
      <c r="I26814"/>
      <c r="N26814"/>
      <c r="O26814" s="24"/>
      <c r="P26814"/>
      <c r="Q26814" s="24"/>
      <c r="R26814"/>
      <c r="S26814"/>
      <c r="T26814"/>
      <c r="U26814"/>
      <c r="X26814" s="60"/>
    </row>
    <row r="26815" spans="7:24" ht="15" customHeight="1">
      <c r="G26815"/>
      <c r="I26815"/>
      <c r="N26815"/>
      <c r="O26815" s="24"/>
      <c r="P26815"/>
      <c r="Q26815" s="24"/>
      <c r="R26815"/>
      <c r="S26815"/>
      <c r="T26815"/>
      <c r="U26815"/>
      <c r="X26815" s="60"/>
    </row>
    <row r="26816" spans="7:24" ht="15" customHeight="1">
      <c r="G26816"/>
      <c r="I26816"/>
      <c r="N26816"/>
      <c r="O26816" s="24"/>
      <c r="P26816"/>
      <c r="Q26816" s="24"/>
      <c r="R26816"/>
      <c r="S26816"/>
      <c r="T26816"/>
      <c r="U26816"/>
      <c r="X26816" s="60"/>
    </row>
    <row r="26817" spans="7:24" ht="15" customHeight="1">
      <c r="G26817"/>
      <c r="I26817"/>
      <c r="N26817"/>
      <c r="O26817" s="24"/>
      <c r="P26817"/>
      <c r="Q26817" s="24"/>
      <c r="R26817"/>
      <c r="S26817"/>
      <c r="T26817"/>
      <c r="U26817"/>
      <c r="X26817" s="60"/>
    </row>
    <row r="26818" spans="7:24" ht="15" customHeight="1">
      <c r="G26818"/>
      <c r="I26818"/>
      <c r="N26818"/>
      <c r="O26818" s="24"/>
      <c r="P26818"/>
      <c r="Q26818" s="24"/>
      <c r="R26818"/>
      <c r="S26818"/>
      <c r="T26818"/>
      <c r="U26818"/>
      <c r="X26818" s="60"/>
    </row>
    <row r="26819" spans="7:24" ht="15" customHeight="1">
      <c r="G26819"/>
      <c r="I26819"/>
      <c r="N26819"/>
      <c r="O26819" s="24"/>
      <c r="P26819"/>
      <c r="Q26819" s="24"/>
      <c r="R26819"/>
      <c r="S26819"/>
      <c r="T26819"/>
      <c r="U26819"/>
      <c r="X26819" s="60"/>
    </row>
    <row r="26820" spans="7:24" ht="15" customHeight="1">
      <c r="G26820"/>
      <c r="I26820"/>
      <c r="N26820"/>
      <c r="O26820" s="24"/>
      <c r="P26820"/>
      <c r="Q26820" s="24"/>
      <c r="R26820"/>
      <c r="S26820"/>
      <c r="T26820"/>
      <c r="U26820"/>
      <c r="X26820" s="60"/>
    </row>
    <row r="26821" spans="7:24" ht="15" customHeight="1">
      <c r="G26821"/>
      <c r="I26821"/>
      <c r="N26821"/>
      <c r="O26821" s="24"/>
      <c r="P26821"/>
      <c r="Q26821" s="24"/>
      <c r="R26821"/>
      <c r="S26821"/>
      <c r="T26821"/>
      <c r="U26821"/>
      <c r="X26821" s="60"/>
    </row>
    <row r="26822" spans="7:24" ht="15" customHeight="1">
      <c r="G26822"/>
      <c r="I26822"/>
      <c r="N26822"/>
      <c r="O26822" s="24"/>
      <c r="P26822"/>
      <c r="Q26822" s="24"/>
      <c r="R26822"/>
      <c r="S26822"/>
      <c r="T26822"/>
      <c r="U26822"/>
      <c r="X26822" s="60"/>
    </row>
    <row r="26823" spans="7:24" ht="15" customHeight="1">
      <c r="G26823"/>
      <c r="I26823"/>
      <c r="N26823"/>
      <c r="O26823" s="24"/>
      <c r="P26823"/>
      <c r="Q26823" s="24"/>
      <c r="R26823"/>
      <c r="S26823"/>
      <c r="T26823"/>
      <c r="U26823"/>
      <c r="X26823" s="60"/>
    </row>
    <row r="26824" spans="7:24" ht="15" customHeight="1">
      <c r="G26824"/>
      <c r="I26824"/>
      <c r="N26824"/>
      <c r="O26824" s="24"/>
      <c r="P26824"/>
      <c r="Q26824" s="24"/>
      <c r="R26824"/>
      <c r="S26824"/>
      <c r="T26824"/>
      <c r="U26824"/>
      <c r="X26824" s="60"/>
    </row>
    <row r="26825" spans="7:24" ht="15" customHeight="1">
      <c r="G26825"/>
      <c r="I26825"/>
      <c r="N26825"/>
      <c r="O26825" s="24"/>
      <c r="P26825"/>
      <c r="Q26825" s="24"/>
      <c r="R26825"/>
      <c r="S26825"/>
      <c r="T26825"/>
      <c r="U26825"/>
      <c r="X26825" s="60"/>
    </row>
    <row r="26826" spans="7:24" ht="15" customHeight="1">
      <c r="G26826"/>
      <c r="I26826"/>
      <c r="N26826"/>
      <c r="O26826" s="24"/>
      <c r="P26826"/>
      <c r="Q26826" s="24"/>
      <c r="R26826"/>
      <c r="S26826"/>
      <c r="T26826"/>
      <c r="U26826"/>
      <c r="X26826" s="60"/>
    </row>
    <row r="26827" spans="7:24" ht="15" customHeight="1">
      <c r="G26827"/>
      <c r="I26827"/>
      <c r="N26827"/>
      <c r="O26827" s="24"/>
      <c r="P26827"/>
      <c r="Q26827" s="24"/>
      <c r="R26827"/>
      <c r="S26827"/>
      <c r="T26827"/>
      <c r="U26827"/>
      <c r="X26827" s="60"/>
    </row>
    <row r="26828" spans="7:24" ht="15" customHeight="1">
      <c r="G26828"/>
      <c r="I26828"/>
      <c r="N26828"/>
      <c r="O26828" s="24"/>
      <c r="P26828"/>
      <c r="Q26828" s="24"/>
      <c r="R26828"/>
      <c r="S26828"/>
      <c r="T26828"/>
      <c r="U26828"/>
      <c r="X26828" s="60"/>
    </row>
    <row r="26829" spans="7:24" ht="15" customHeight="1">
      <c r="G26829"/>
      <c r="I26829"/>
      <c r="N26829"/>
      <c r="O26829" s="24"/>
      <c r="P26829"/>
      <c r="Q26829" s="24"/>
      <c r="R26829"/>
      <c r="S26829"/>
      <c r="T26829"/>
      <c r="U26829"/>
      <c r="X26829" s="60"/>
    </row>
    <row r="26830" spans="7:24" ht="15" customHeight="1">
      <c r="G26830"/>
      <c r="I26830"/>
      <c r="N26830"/>
      <c r="O26830" s="24"/>
      <c r="P26830"/>
      <c r="Q26830" s="24"/>
      <c r="R26830"/>
      <c r="S26830"/>
      <c r="T26830"/>
      <c r="U26830"/>
      <c r="X26830" s="60"/>
    </row>
    <row r="26831" spans="7:24" ht="15" customHeight="1">
      <c r="G26831"/>
      <c r="I26831"/>
      <c r="N26831"/>
      <c r="O26831" s="24"/>
      <c r="P26831"/>
      <c r="Q26831" s="24"/>
      <c r="R26831"/>
      <c r="S26831"/>
      <c r="T26831"/>
      <c r="U26831"/>
      <c r="X26831" s="60"/>
    </row>
    <row r="26832" spans="7:24" ht="15" customHeight="1">
      <c r="G26832"/>
      <c r="I26832"/>
      <c r="N26832"/>
      <c r="O26832" s="24"/>
      <c r="P26832"/>
      <c r="Q26832" s="24"/>
      <c r="R26832"/>
      <c r="S26832"/>
      <c r="T26832"/>
      <c r="U26832"/>
      <c r="X26832" s="60"/>
    </row>
    <row r="26833" spans="7:24" ht="15" customHeight="1">
      <c r="G26833"/>
      <c r="I26833"/>
      <c r="N26833"/>
      <c r="O26833" s="24"/>
      <c r="P26833"/>
      <c r="Q26833" s="24"/>
      <c r="R26833"/>
      <c r="S26833"/>
      <c r="T26833"/>
      <c r="U26833"/>
      <c r="X26833" s="60"/>
    </row>
    <row r="26834" spans="7:24" ht="15" customHeight="1">
      <c r="G26834"/>
      <c r="I26834"/>
      <c r="N26834"/>
      <c r="O26834" s="24"/>
      <c r="P26834"/>
      <c r="Q26834" s="24"/>
      <c r="R26834"/>
      <c r="S26834"/>
      <c r="T26834"/>
      <c r="U26834"/>
      <c r="X26834" s="60"/>
    </row>
    <row r="26835" spans="7:24" ht="15" customHeight="1">
      <c r="G26835"/>
      <c r="I26835"/>
      <c r="N26835"/>
      <c r="O26835" s="24"/>
      <c r="P26835"/>
      <c r="Q26835" s="24"/>
      <c r="R26835"/>
      <c r="S26835"/>
      <c r="T26835"/>
      <c r="U26835"/>
      <c r="X26835" s="60"/>
    </row>
    <row r="26836" spans="7:24" ht="15" customHeight="1">
      <c r="G26836"/>
      <c r="I26836"/>
      <c r="N26836"/>
      <c r="O26836" s="24"/>
      <c r="P26836"/>
      <c r="Q26836" s="24"/>
      <c r="R26836"/>
      <c r="S26836"/>
      <c r="T26836"/>
      <c r="U26836"/>
      <c r="X26836" s="60"/>
    </row>
    <row r="26837" spans="7:24" ht="15" customHeight="1">
      <c r="G26837"/>
      <c r="I26837"/>
      <c r="N26837"/>
      <c r="O26837" s="24"/>
      <c r="P26837"/>
      <c r="Q26837" s="24"/>
      <c r="R26837"/>
      <c r="S26837"/>
      <c r="T26837"/>
      <c r="U26837"/>
      <c r="X26837" s="60"/>
    </row>
    <row r="26838" spans="7:24" ht="15" customHeight="1">
      <c r="G26838"/>
      <c r="I26838"/>
      <c r="N26838"/>
      <c r="O26838" s="24"/>
      <c r="P26838"/>
      <c r="Q26838" s="24"/>
      <c r="R26838"/>
      <c r="S26838"/>
      <c r="T26838"/>
      <c r="U26838"/>
      <c r="X26838" s="60"/>
    </row>
    <row r="26839" spans="7:24" ht="15" customHeight="1">
      <c r="G26839"/>
      <c r="I26839"/>
      <c r="N26839"/>
      <c r="O26839" s="24"/>
      <c r="P26839"/>
      <c r="Q26839" s="24"/>
      <c r="R26839"/>
      <c r="S26839"/>
      <c r="T26839"/>
      <c r="U26839"/>
      <c r="X26839" s="60"/>
    </row>
    <row r="26840" spans="7:24" ht="15" customHeight="1">
      <c r="G26840"/>
      <c r="I26840"/>
      <c r="N26840"/>
      <c r="O26840" s="24"/>
      <c r="P26840"/>
      <c r="Q26840" s="24"/>
      <c r="R26840"/>
      <c r="S26840"/>
      <c r="T26840"/>
      <c r="U26840"/>
      <c r="X26840" s="60"/>
    </row>
    <row r="26841" spans="7:24" ht="15" customHeight="1">
      <c r="G26841"/>
      <c r="I26841"/>
      <c r="N26841"/>
      <c r="O26841" s="24"/>
      <c r="P26841"/>
      <c r="Q26841" s="24"/>
      <c r="R26841"/>
      <c r="S26841"/>
      <c r="T26841"/>
      <c r="U26841"/>
      <c r="X26841" s="60"/>
    </row>
    <row r="26842" spans="7:24" ht="15" customHeight="1">
      <c r="G26842"/>
      <c r="I26842"/>
      <c r="N26842"/>
      <c r="O26842" s="24"/>
      <c r="P26842"/>
      <c r="Q26842" s="24"/>
      <c r="R26842"/>
      <c r="S26842"/>
      <c r="T26842"/>
      <c r="U26842"/>
      <c r="X26842" s="60"/>
    </row>
    <row r="26843" spans="7:24" ht="15" customHeight="1">
      <c r="G26843"/>
      <c r="I26843"/>
      <c r="N26843"/>
      <c r="O26843" s="24"/>
      <c r="P26843"/>
      <c r="Q26843" s="24"/>
      <c r="R26843"/>
      <c r="S26843"/>
      <c r="T26843"/>
      <c r="U26843"/>
      <c r="X26843" s="60"/>
    </row>
    <row r="26844" spans="7:24" ht="15" customHeight="1">
      <c r="G26844"/>
      <c r="I26844"/>
      <c r="N26844"/>
      <c r="O26844" s="24"/>
      <c r="P26844"/>
      <c r="Q26844" s="24"/>
      <c r="R26844"/>
      <c r="S26844"/>
      <c r="T26844"/>
      <c r="U26844"/>
      <c r="X26844" s="60"/>
    </row>
    <row r="26845" spans="7:24" ht="15" customHeight="1">
      <c r="G26845"/>
      <c r="I26845"/>
      <c r="N26845"/>
      <c r="O26845" s="24"/>
      <c r="P26845"/>
      <c r="Q26845" s="24"/>
      <c r="R26845"/>
      <c r="S26845"/>
      <c r="T26845"/>
      <c r="U26845"/>
      <c r="X26845" s="60"/>
    </row>
    <row r="26846" spans="7:24" ht="15" customHeight="1">
      <c r="G26846"/>
      <c r="I26846"/>
      <c r="N26846"/>
      <c r="O26846" s="24"/>
      <c r="P26846"/>
      <c r="Q26846" s="24"/>
      <c r="R26846"/>
      <c r="S26846"/>
      <c r="T26846"/>
      <c r="U26846"/>
      <c r="X26846" s="60"/>
    </row>
    <row r="26847" spans="7:24" ht="15" customHeight="1">
      <c r="G26847"/>
      <c r="I26847"/>
      <c r="N26847"/>
      <c r="O26847" s="24"/>
      <c r="P26847"/>
      <c r="Q26847" s="24"/>
      <c r="R26847"/>
      <c r="S26847"/>
      <c r="T26847"/>
      <c r="U26847"/>
      <c r="X26847" s="60"/>
    </row>
    <row r="26848" spans="7:24" ht="15" customHeight="1">
      <c r="G26848"/>
      <c r="I26848"/>
      <c r="N26848"/>
      <c r="O26848" s="24"/>
      <c r="P26848"/>
      <c r="Q26848" s="24"/>
      <c r="R26848"/>
      <c r="S26848"/>
      <c r="T26848"/>
      <c r="U26848"/>
      <c r="X26848" s="60"/>
    </row>
    <row r="26849" spans="7:24" ht="15" customHeight="1">
      <c r="G26849"/>
      <c r="I26849"/>
      <c r="N26849"/>
      <c r="O26849" s="24"/>
      <c r="P26849"/>
      <c r="Q26849" s="24"/>
      <c r="R26849"/>
      <c r="S26849"/>
      <c r="T26849"/>
      <c r="U26849"/>
      <c r="X26849" s="60"/>
    </row>
    <row r="26850" spans="7:24" ht="15" customHeight="1">
      <c r="G26850"/>
      <c r="I26850"/>
      <c r="N26850"/>
      <c r="O26850" s="24"/>
      <c r="P26850"/>
      <c r="Q26850" s="24"/>
      <c r="R26850"/>
      <c r="S26850"/>
      <c r="T26850"/>
      <c r="U26850"/>
      <c r="X26850" s="60"/>
    </row>
    <row r="26851" spans="7:24" ht="15" customHeight="1">
      <c r="G26851"/>
      <c r="I26851"/>
      <c r="N26851"/>
      <c r="O26851" s="24"/>
      <c r="P26851"/>
      <c r="Q26851" s="24"/>
      <c r="R26851"/>
      <c r="S26851"/>
      <c r="T26851"/>
      <c r="U26851"/>
      <c r="X26851" s="60"/>
    </row>
    <row r="26852" spans="7:24" ht="15" customHeight="1">
      <c r="G26852"/>
      <c r="I26852"/>
      <c r="N26852"/>
      <c r="O26852" s="24"/>
      <c r="P26852"/>
      <c r="Q26852" s="24"/>
      <c r="R26852"/>
      <c r="S26852"/>
      <c r="T26852"/>
      <c r="U26852"/>
      <c r="X26852" s="60"/>
    </row>
    <row r="26853" spans="7:24" ht="15" customHeight="1">
      <c r="G26853"/>
      <c r="I26853"/>
      <c r="N26853"/>
      <c r="O26853" s="24"/>
      <c r="P26853"/>
      <c r="Q26853" s="24"/>
      <c r="R26853"/>
      <c r="S26853"/>
      <c r="T26853"/>
      <c r="U26853"/>
      <c r="X26853" s="60"/>
    </row>
    <row r="26854" spans="7:24" ht="15" customHeight="1">
      <c r="G26854"/>
      <c r="I26854"/>
      <c r="N26854"/>
      <c r="O26854" s="24"/>
      <c r="P26854"/>
      <c r="Q26854" s="24"/>
      <c r="R26854"/>
      <c r="S26854"/>
      <c r="T26854"/>
      <c r="U26854"/>
      <c r="X26854" s="60"/>
    </row>
    <row r="26855" spans="7:24" ht="15" customHeight="1">
      <c r="G26855"/>
      <c r="I26855"/>
      <c r="N26855"/>
      <c r="O26855" s="24"/>
      <c r="P26855"/>
      <c r="Q26855" s="24"/>
      <c r="R26855"/>
      <c r="S26855"/>
      <c r="T26855"/>
      <c r="U26855"/>
      <c r="X26855" s="60"/>
    </row>
    <row r="26856" spans="7:24" ht="15" customHeight="1">
      <c r="G26856"/>
      <c r="I26856"/>
      <c r="N26856"/>
      <c r="O26856" s="24"/>
      <c r="P26856"/>
      <c r="Q26856" s="24"/>
      <c r="R26856"/>
      <c r="S26856"/>
      <c r="T26856"/>
      <c r="U26856"/>
      <c r="X26856" s="60"/>
    </row>
    <row r="26857" spans="7:24" ht="15" customHeight="1">
      <c r="G26857"/>
      <c r="I26857"/>
      <c r="N26857"/>
      <c r="O26857" s="24"/>
      <c r="P26857"/>
      <c r="Q26857" s="24"/>
      <c r="R26857"/>
      <c r="S26857"/>
      <c r="T26857"/>
      <c r="U26857"/>
      <c r="X26857" s="60"/>
    </row>
    <row r="26858" spans="7:24" ht="15" customHeight="1">
      <c r="G26858"/>
      <c r="I26858"/>
      <c r="N26858"/>
      <c r="O26858" s="24"/>
      <c r="P26858"/>
      <c r="Q26858" s="24"/>
      <c r="R26858"/>
      <c r="S26858"/>
      <c r="T26858"/>
      <c r="U26858"/>
      <c r="X26858" s="60"/>
    </row>
    <row r="26859" spans="7:24" ht="15" customHeight="1">
      <c r="G26859"/>
      <c r="I26859"/>
      <c r="N26859"/>
      <c r="O26859" s="24"/>
      <c r="P26859"/>
      <c r="Q26859" s="24"/>
      <c r="R26859"/>
      <c r="S26859"/>
      <c r="T26859"/>
      <c r="U26859"/>
      <c r="X26859" s="60"/>
    </row>
    <row r="26860" spans="7:24" ht="15" customHeight="1">
      <c r="G26860"/>
      <c r="I26860"/>
      <c r="N26860"/>
      <c r="O26860" s="24"/>
      <c r="P26860"/>
      <c r="Q26860" s="24"/>
      <c r="R26860"/>
      <c r="S26860"/>
      <c r="T26860"/>
      <c r="U26860"/>
      <c r="X26860" s="60"/>
    </row>
    <row r="26861" spans="7:24" ht="15" customHeight="1">
      <c r="G26861"/>
      <c r="I26861"/>
      <c r="N26861"/>
      <c r="O26861" s="24"/>
      <c r="P26861"/>
      <c r="Q26861" s="24"/>
      <c r="R26861"/>
      <c r="S26861"/>
      <c r="T26861"/>
      <c r="U26861"/>
      <c r="X26861" s="60"/>
    </row>
    <row r="26862" spans="7:24" ht="15" customHeight="1">
      <c r="G26862"/>
      <c r="I26862"/>
      <c r="N26862"/>
      <c r="O26862" s="24"/>
      <c r="P26862"/>
      <c r="Q26862" s="24"/>
      <c r="R26862"/>
      <c r="S26862"/>
      <c r="T26862"/>
      <c r="U26862"/>
      <c r="X26862" s="60"/>
    </row>
    <row r="26863" spans="7:24" ht="15" customHeight="1">
      <c r="G26863"/>
      <c r="I26863"/>
      <c r="N26863"/>
      <c r="O26863" s="24"/>
      <c r="P26863"/>
      <c r="Q26863" s="24"/>
      <c r="R26863"/>
      <c r="S26863"/>
      <c r="T26863"/>
      <c r="U26863"/>
      <c r="X26863" s="60"/>
    </row>
    <row r="26864" spans="7:24" ht="15" customHeight="1">
      <c r="G26864"/>
      <c r="I26864"/>
      <c r="N26864"/>
      <c r="O26864" s="24"/>
      <c r="P26864"/>
      <c r="Q26864" s="24"/>
      <c r="R26864"/>
      <c r="S26864"/>
      <c r="T26864"/>
      <c r="U26864"/>
      <c r="X26864" s="60"/>
    </row>
    <row r="26865" spans="7:24" ht="15" customHeight="1">
      <c r="G26865"/>
      <c r="I26865"/>
      <c r="N26865"/>
      <c r="O26865" s="24"/>
      <c r="P26865"/>
      <c r="Q26865" s="24"/>
      <c r="R26865"/>
      <c r="S26865"/>
      <c r="T26865"/>
      <c r="U26865"/>
      <c r="X26865" s="60"/>
    </row>
    <row r="26866" spans="7:24" ht="15" customHeight="1">
      <c r="G26866"/>
      <c r="I26866"/>
      <c r="N26866"/>
      <c r="O26866" s="24"/>
      <c r="P26866"/>
      <c r="Q26866" s="24"/>
      <c r="R26866"/>
      <c r="S26866"/>
      <c r="T26866"/>
      <c r="U26866"/>
      <c r="X26866" s="60"/>
    </row>
    <row r="26867" spans="7:24" ht="15" customHeight="1">
      <c r="G26867"/>
      <c r="I26867"/>
      <c r="N26867"/>
      <c r="O26867" s="24"/>
      <c r="P26867"/>
      <c r="Q26867" s="24"/>
      <c r="R26867"/>
      <c r="S26867"/>
      <c r="T26867"/>
      <c r="U26867"/>
      <c r="X26867" s="60"/>
    </row>
    <row r="26868" spans="7:24" ht="15" customHeight="1">
      <c r="G26868"/>
      <c r="I26868"/>
      <c r="N26868"/>
      <c r="O26868" s="24"/>
      <c r="P26868"/>
      <c r="Q26868" s="24"/>
      <c r="R26868"/>
      <c r="S26868"/>
      <c r="T26868"/>
      <c r="U26868"/>
      <c r="X26868" s="60"/>
    </row>
    <row r="26869" spans="7:24" ht="15" customHeight="1">
      <c r="G26869"/>
      <c r="I26869"/>
      <c r="N26869"/>
      <c r="O26869" s="24"/>
      <c r="P26869"/>
      <c r="Q26869" s="24"/>
      <c r="R26869"/>
      <c r="S26869"/>
      <c r="T26869"/>
      <c r="U26869"/>
      <c r="X26869" s="60"/>
    </row>
    <row r="26870" spans="7:24" ht="15" customHeight="1">
      <c r="G26870"/>
      <c r="I26870"/>
      <c r="N26870"/>
      <c r="O26870" s="24"/>
      <c r="P26870"/>
      <c r="Q26870" s="24"/>
      <c r="R26870"/>
      <c r="S26870"/>
      <c r="T26870"/>
      <c r="U26870"/>
      <c r="X26870" s="60"/>
    </row>
    <row r="26871" spans="7:24" ht="15" customHeight="1">
      <c r="G26871"/>
      <c r="I26871"/>
      <c r="N26871"/>
      <c r="O26871" s="24"/>
      <c r="P26871"/>
      <c r="Q26871" s="24"/>
      <c r="R26871"/>
      <c r="S26871"/>
      <c r="T26871"/>
      <c r="U26871"/>
      <c r="X26871" s="60"/>
    </row>
    <row r="26872" spans="7:24" ht="15" customHeight="1">
      <c r="G26872"/>
      <c r="I26872"/>
      <c r="N26872"/>
      <c r="O26872" s="24"/>
      <c r="P26872"/>
      <c r="Q26872" s="24"/>
      <c r="R26872"/>
      <c r="S26872"/>
      <c r="T26872"/>
      <c r="U26872"/>
      <c r="X26872" s="60"/>
    </row>
    <row r="26873" spans="7:24" ht="15" customHeight="1">
      <c r="G26873"/>
      <c r="I26873"/>
      <c r="N26873"/>
      <c r="O26873" s="24"/>
      <c r="P26873"/>
      <c r="Q26873" s="24"/>
      <c r="R26873"/>
      <c r="S26873"/>
      <c r="T26873"/>
      <c r="U26873"/>
      <c r="X26873" s="60"/>
    </row>
    <row r="26874" spans="7:24" ht="15" customHeight="1">
      <c r="G26874"/>
      <c r="I26874"/>
      <c r="N26874"/>
      <c r="O26874" s="24"/>
      <c r="P26874"/>
      <c r="Q26874" s="24"/>
      <c r="R26874"/>
      <c r="S26874"/>
      <c r="T26874"/>
      <c r="U26874"/>
      <c r="X26874" s="60"/>
    </row>
    <row r="26875" spans="7:24" ht="15" customHeight="1">
      <c r="G26875"/>
      <c r="I26875"/>
      <c r="N26875"/>
      <c r="O26875" s="24"/>
      <c r="P26875"/>
      <c r="Q26875" s="24"/>
      <c r="R26875"/>
      <c r="S26875"/>
      <c r="T26875"/>
      <c r="U26875"/>
      <c r="X26875" s="60"/>
    </row>
    <row r="26876" spans="7:24" ht="15" customHeight="1">
      <c r="G26876"/>
      <c r="I26876"/>
      <c r="N26876"/>
      <c r="O26876" s="24"/>
      <c r="P26876"/>
      <c r="Q26876" s="24"/>
      <c r="R26876"/>
      <c r="S26876"/>
      <c r="T26876"/>
      <c r="U26876"/>
      <c r="X26876" s="60"/>
    </row>
    <row r="26877" spans="7:24" ht="15" customHeight="1">
      <c r="G26877"/>
      <c r="I26877"/>
      <c r="N26877"/>
      <c r="O26877" s="24"/>
      <c r="P26877"/>
      <c r="Q26877" s="24"/>
      <c r="R26877"/>
      <c r="S26877"/>
      <c r="T26877"/>
      <c r="U26877"/>
      <c r="X26877" s="60"/>
    </row>
    <row r="26878" spans="7:24" ht="15" customHeight="1">
      <c r="G26878"/>
      <c r="I26878"/>
      <c r="N26878"/>
      <c r="O26878" s="24"/>
      <c r="P26878"/>
      <c r="Q26878" s="24"/>
      <c r="R26878"/>
      <c r="S26878"/>
      <c r="T26878"/>
      <c r="U26878"/>
      <c r="X26878" s="60"/>
    </row>
    <row r="26879" spans="7:24" ht="15" customHeight="1">
      <c r="G26879"/>
      <c r="I26879"/>
      <c r="N26879"/>
      <c r="O26879" s="24"/>
      <c r="P26879"/>
      <c r="Q26879" s="24"/>
      <c r="R26879"/>
      <c r="S26879"/>
      <c r="T26879"/>
      <c r="U26879"/>
      <c r="X26879" s="60"/>
    </row>
    <row r="26880" spans="7:24" ht="15" customHeight="1">
      <c r="G26880"/>
      <c r="I26880"/>
      <c r="N26880"/>
      <c r="O26880" s="24"/>
      <c r="P26880"/>
      <c r="Q26880" s="24"/>
      <c r="R26880"/>
      <c r="S26880"/>
      <c r="T26880"/>
      <c r="U26880"/>
      <c r="X26880" s="60"/>
    </row>
    <row r="26881" spans="7:24" ht="15" customHeight="1">
      <c r="G26881"/>
      <c r="I26881"/>
      <c r="N26881"/>
      <c r="O26881" s="24"/>
      <c r="P26881"/>
      <c r="Q26881" s="24"/>
      <c r="R26881"/>
      <c r="S26881"/>
      <c r="T26881"/>
      <c r="U26881"/>
      <c r="X26881" s="60"/>
    </row>
    <row r="26882" spans="7:24" ht="15" customHeight="1">
      <c r="G26882"/>
      <c r="I26882"/>
      <c r="N26882"/>
      <c r="O26882" s="24"/>
      <c r="P26882"/>
      <c r="Q26882" s="24"/>
      <c r="R26882"/>
      <c r="S26882"/>
      <c r="T26882"/>
      <c r="U26882"/>
      <c r="X26882" s="60"/>
    </row>
    <row r="26883" spans="7:24" ht="15" customHeight="1">
      <c r="G26883"/>
      <c r="I26883"/>
      <c r="N26883"/>
      <c r="O26883" s="24"/>
      <c r="P26883"/>
      <c r="Q26883" s="24"/>
      <c r="R26883"/>
      <c r="S26883"/>
      <c r="T26883"/>
      <c r="U26883"/>
      <c r="X26883" s="60"/>
    </row>
    <row r="26884" spans="7:24" ht="15" customHeight="1">
      <c r="G26884"/>
      <c r="I26884"/>
      <c r="N26884"/>
      <c r="O26884" s="24"/>
      <c r="P26884"/>
      <c r="Q26884" s="24"/>
      <c r="R26884"/>
      <c r="S26884"/>
      <c r="T26884"/>
      <c r="U26884"/>
      <c r="X26884" s="60"/>
    </row>
    <row r="26885" spans="7:24" ht="15" customHeight="1">
      <c r="G26885"/>
      <c r="I26885"/>
      <c r="N26885"/>
      <c r="O26885" s="24"/>
      <c r="P26885"/>
      <c r="Q26885" s="24"/>
      <c r="R26885"/>
      <c r="S26885"/>
      <c r="T26885"/>
      <c r="U26885"/>
      <c r="X26885" s="60"/>
    </row>
    <row r="26886" spans="7:24" ht="15" customHeight="1">
      <c r="G26886"/>
      <c r="I26886"/>
      <c r="N26886"/>
      <c r="O26886" s="24"/>
      <c r="P26886"/>
      <c r="Q26886" s="24"/>
      <c r="R26886"/>
      <c r="S26886"/>
      <c r="T26886"/>
      <c r="U26886"/>
      <c r="X26886" s="60"/>
    </row>
    <row r="26887" spans="7:24" ht="15" customHeight="1">
      <c r="G26887"/>
      <c r="I26887"/>
      <c r="N26887"/>
      <c r="O26887" s="24"/>
      <c r="P26887"/>
      <c r="Q26887" s="24"/>
      <c r="R26887"/>
      <c r="S26887"/>
      <c r="T26887"/>
      <c r="U26887"/>
      <c r="X26887" s="60"/>
    </row>
    <row r="26888" spans="7:24" ht="15" customHeight="1">
      <c r="G26888"/>
      <c r="I26888"/>
      <c r="N26888"/>
      <c r="O26888" s="24"/>
      <c r="P26888"/>
      <c r="Q26888" s="24"/>
      <c r="R26888"/>
      <c r="S26888"/>
      <c r="T26888"/>
      <c r="U26888"/>
      <c r="X26888" s="60"/>
    </row>
    <row r="26889" spans="7:24" ht="15" customHeight="1">
      <c r="G26889"/>
      <c r="I26889"/>
      <c r="N26889"/>
      <c r="O26889" s="24"/>
      <c r="P26889"/>
      <c r="Q26889" s="24"/>
      <c r="R26889"/>
      <c r="S26889"/>
      <c r="T26889"/>
      <c r="U26889"/>
      <c r="X26889" s="60"/>
    </row>
    <row r="26890" spans="7:24" ht="15" customHeight="1">
      <c r="G26890"/>
      <c r="I26890"/>
      <c r="N26890"/>
      <c r="O26890" s="24"/>
      <c r="P26890"/>
      <c r="Q26890" s="24"/>
      <c r="R26890"/>
      <c r="S26890"/>
      <c r="T26890"/>
      <c r="U26890"/>
      <c r="X26890" s="60"/>
    </row>
    <row r="26891" spans="7:24" ht="15" customHeight="1">
      <c r="G26891"/>
      <c r="I26891"/>
      <c r="N26891"/>
      <c r="O26891" s="24"/>
      <c r="P26891"/>
      <c r="Q26891" s="24"/>
      <c r="R26891"/>
      <c r="S26891"/>
      <c r="T26891"/>
      <c r="U26891"/>
      <c r="X26891" s="60"/>
    </row>
    <row r="26892" spans="7:24" ht="15" customHeight="1">
      <c r="G26892"/>
      <c r="I26892"/>
      <c r="N26892"/>
      <c r="O26892" s="24"/>
      <c r="P26892"/>
      <c r="Q26892" s="24"/>
      <c r="R26892"/>
      <c r="S26892"/>
      <c r="T26892"/>
      <c r="U26892"/>
      <c r="X26892" s="60"/>
    </row>
    <row r="26893" spans="7:24" ht="15" customHeight="1">
      <c r="G26893"/>
      <c r="I26893"/>
      <c r="N26893"/>
      <c r="O26893" s="24"/>
      <c r="P26893"/>
      <c r="Q26893" s="24"/>
      <c r="R26893"/>
      <c r="S26893"/>
      <c r="T26893"/>
      <c r="U26893"/>
      <c r="X26893" s="60"/>
    </row>
    <row r="26894" spans="7:24" ht="15" customHeight="1">
      <c r="G26894"/>
      <c r="I26894"/>
      <c r="N26894"/>
      <c r="O26894" s="24"/>
      <c r="P26894"/>
      <c r="Q26894" s="24"/>
      <c r="R26894"/>
      <c r="S26894"/>
      <c r="T26894"/>
      <c r="U26894"/>
      <c r="X26894" s="60"/>
    </row>
    <row r="26895" spans="7:24" ht="15" customHeight="1">
      <c r="G26895"/>
      <c r="I26895"/>
      <c r="N26895"/>
      <c r="O26895" s="24"/>
      <c r="P26895"/>
      <c r="Q26895" s="24"/>
      <c r="R26895"/>
      <c r="S26895"/>
      <c r="T26895"/>
      <c r="U26895"/>
      <c r="X26895" s="60"/>
    </row>
    <row r="26896" spans="7:24" ht="15" customHeight="1">
      <c r="G26896"/>
      <c r="I26896"/>
      <c r="N26896"/>
      <c r="O26896" s="24"/>
      <c r="P26896"/>
      <c r="Q26896" s="24"/>
      <c r="R26896"/>
      <c r="S26896"/>
      <c r="T26896"/>
      <c r="U26896"/>
      <c r="X26896" s="60"/>
    </row>
    <row r="26897" spans="7:24" ht="15" customHeight="1">
      <c r="G26897"/>
      <c r="I26897"/>
      <c r="N26897"/>
      <c r="O26897" s="24"/>
      <c r="P26897"/>
      <c r="Q26897" s="24"/>
      <c r="R26897"/>
      <c r="S26897"/>
      <c r="T26897"/>
      <c r="U26897"/>
      <c r="X26897" s="60"/>
    </row>
    <row r="26898" spans="7:24" ht="15" customHeight="1">
      <c r="G26898"/>
      <c r="I26898"/>
      <c r="N26898"/>
      <c r="O26898" s="24"/>
      <c r="P26898"/>
      <c r="Q26898" s="24"/>
      <c r="R26898"/>
      <c r="S26898"/>
      <c r="T26898"/>
      <c r="U26898"/>
      <c r="X26898" s="60"/>
    </row>
    <row r="26899" spans="7:24" ht="15" customHeight="1">
      <c r="G26899"/>
      <c r="I26899"/>
      <c r="N26899"/>
      <c r="O26899" s="24"/>
      <c r="P26899"/>
      <c r="Q26899" s="24"/>
      <c r="R26899"/>
      <c r="S26899"/>
      <c r="T26899"/>
      <c r="U26899"/>
      <c r="X26899" s="60"/>
    </row>
    <row r="26900" spans="7:24" ht="15" customHeight="1">
      <c r="G26900"/>
      <c r="I26900"/>
      <c r="N26900"/>
      <c r="O26900" s="24"/>
      <c r="P26900"/>
      <c r="Q26900" s="24"/>
      <c r="R26900"/>
      <c r="S26900"/>
      <c r="T26900"/>
      <c r="U26900"/>
      <c r="X26900" s="60"/>
    </row>
    <row r="26901" spans="7:24" ht="15" customHeight="1">
      <c r="G26901"/>
      <c r="I26901"/>
      <c r="N26901"/>
      <c r="O26901" s="24"/>
      <c r="P26901"/>
      <c r="Q26901" s="24"/>
      <c r="R26901"/>
      <c r="S26901"/>
      <c r="T26901"/>
      <c r="U26901"/>
      <c r="X26901" s="60"/>
    </row>
    <row r="26902" spans="7:24" ht="15" customHeight="1">
      <c r="G26902"/>
      <c r="I26902"/>
      <c r="N26902"/>
      <c r="O26902" s="24"/>
      <c r="P26902"/>
      <c r="Q26902" s="24"/>
      <c r="R26902"/>
      <c r="S26902"/>
      <c r="T26902"/>
      <c r="U26902"/>
      <c r="X26902" s="60"/>
    </row>
    <row r="26903" spans="7:24" ht="15" customHeight="1">
      <c r="G26903"/>
      <c r="I26903"/>
      <c r="N26903"/>
      <c r="O26903" s="24"/>
      <c r="P26903"/>
      <c r="Q26903" s="24"/>
      <c r="R26903"/>
      <c r="S26903"/>
      <c r="T26903"/>
      <c r="U26903"/>
      <c r="X26903" s="60"/>
    </row>
    <row r="26904" spans="7:24" ht="15" customHeight="1">
      <c r="G26904"/>
      <c r="I26904"/>
      <c r="N26904"/>
      <c r="O26904" s="24"/>
      <c r="P26904"/>
      <c r="Q26904" s="24"/>
      <c r="R26904"/>
      <c r="S26904"/>
      <c r="T26904"/>
      <c r="U26904"/>
      <c r="X26904" s="60"/>
    </row>
    <row r="26905" spans="7:24" ht="15" customHeight="1">
      <c r="G26905"/>
      <c r="I26905"/>
      <c r="N26905"/>
      <c r="O26905" s="24"/>
      <c r="P26905"/>
      <c r="Q26905" s="24"/>
      <c r="R26905"/>
      <c r="S26905"/>
      <c r="T26905"/>
      <c r="U26905"/>
      <c r="X26905" s="60"/>
    </row>
    <row r="26906" spans="7:24" ht="15" customHeight="1">
      <c r="G26906"/>
      <c r="I26906"/>
      <c r="N26906"/>
      <c r="O26906" s="24"/>
      <c r="P26906"/>
      <c r="Q26906" s="24"/>
      <c r="R26906"/>
      <c r="S26906"/>
      <c r="T26906"/>
      <c r="U26906"/>
      <c r="X26906" s="60"/>
    </row>
    <row r="26907" spans="7:24" ht="15" customHeight="1">
      <c r="G26907"/>
      <c r="I26907"/>
      <c r="N26907"/>
      <c r="O26907" s="24"/>
      <c r="P26907"/>
      <c r="Q26907" s="24"/>
      <c r="R26907"/>
      <c r="S26907"/>
      <c r="T26907"/>
      <c r="U26907"/>
      <c r="X26907" s="60"/>
    </row>
    <row r="26908" spans="7:24" ht="15" customHeight="1">
      <c r="G26908"/>
      <c r="I26908"/>
      <c r="N26908"/>
      <c r="O26908" s="24"/>
      <c r="P26908"/>
      <c r="Q26908" s="24"/>
      <c r="R26908"/>
      <c r="S26908"/>
      <c r="T26908"/>
      <c r="U26908"/>
      <c r="X26908" s="60"/>
    </row>
    <row r="26909" spans="7:24" ht="15" customHeight="1">
      <c r="G26909"/>
      <c r="I26909"/>
      <c r="N26909"/>
      <c r="O26909" s="24"/>
      <c r="P26909"/>
      <c r="Q26909" s="24"/>
      <c r="R26909"/>
      <c r="S26909"/>
      <c r="T26909"/>
      <c r="U26909"/>
      <c r="X26909" s="60"/>
    </row>
    <row r="26910" spans="7:24" ht="15" customHeight="1">
      <c r="G26910"/>
      <c r="I26910"/>
      <c r="N26910"/>
      <c r="O26910" s="24"/>
      <c r="P26910"/>
      <c r="Q26910" s="24"/>
      <c r="R26910"/>
      <c r="S26910"/>
      <c r="T26910"/>
      <c r="U26910"/>
      <c r="X26910" s="60"/>
    </row>
    <row r="26911" spans="7:24" ht="15" customHeight="1">
      <c r="G26911"/>
      <c r="I26911"/>
      <c r="N26911"/>
      <c r="O26911" s="24"/>
      <c r="P26911"/>
      <c r="Q26911" s="24"/>
      <c r="R26911"/>
      <c r="S26911"/>
      <c r="T26911"/>
      <c r="U26911"/>
      <c r="X26911" s="60"/>
    </row>
    <row r="26912" spans="7:24" ht="15" customHeight="1">
      <c r="G26912"/>
      <c r="I26912"/>
      <c r="N26912"/>
      <c r="O26912" s="24"/>
      <c r="P26912"/>
      <c r="Q26912" s="24"/>
      <c r="R26912"/>
      <c r="S26912"/>
      <c r="T26912"/>
      <c r="U26912"/>
      <c r="X26912" s="60"/>
    </row>
    <row r="26913" spans="7:24" ht="15" customHeight="1">
      <c r="G26913"/>
      <c r="I26913"/>
      <c r="N26913"/>
      <c r="O26913" s="24"/>
      <c r="P26913"/>
      <c r="Q26913" s="24"/>
      <c r="R26913"/>
      <c r="S26913"/>
      <c r="T26913"/>
      <c r="U26913"/>
      <c r="X26913" s="60"/>
    </row>
    <row r="26914" spans="7:24" ht="15" customHeight="1">
      <c r="G26914"/>
      <c r="I26914"/>
      <c r="N26914"/>
      <c r="O26914" s="24"/>
      <c r="P26914"/>
      <c r="Q26914" s="24"/>
      <c r="R26914"/>
      <c r="S26914"/>
      <c r="T26914"/>
      <c r="U26914"/>
      <c r="X26914" s="60"/>
    </row>
    <row r="26915" spans="7:24" ht="15" customHeight="1">
      <c r="G26915"/>
      <c r="I26915"/>
      <c r="N26915"/>
      <c r="O26915" s="24"/>
      <c r="P26915"/>
      <c r="Q26915" s="24"/>
      <c r="R26915"/>
      <c r="S26915"/>
      <c r="T26915"/>
      <c r="U26915"/>
      <c r="X26915" s="60"/>
    </row>
    <row r="26916" spans="7:24" ht="15" customHeight="1">
      <c r="G26916"/>
      <c r="I26916"/>
      <c r="N26916"/>
      <c r="O26916" s="24"/>
      <c r="P26916"/>
      <c r="Q26916" s="24"/>
      <c r="R26916"/>
      <c r="S26916"/>
      <c r="T26916"/>
      <c r="U26916"/>
      <c r="X26916" s="60"/>
    </row>
    <row r="26917" spans="7:24" ht="15" customHeight="1">
      <c r="G26917"/>
      <c r="I26917"/>
      <c r="N26917"/>
      <c r="O26917" s="24"/>
      <c r="P26917"/>
      <c r="Q26917" s="24"/>
      <c r="R26917"/>
      <c r="S26917"/>
      <c r="T26917"/>
      <c r="U26917"/>
      <c r="X26917" s="60"/>
    </row>
    <row r="26918" spans="7:24" ht="15" customHeight="1">
      <c r="G26918"/>
      <c r="I26918"/>
      <c r="N26918"/>
      <c r="O26918" s="24"/>
      <c r="P26918"/>
      <c r="Q26918" s="24"/>
      <c r="R26918"/>
      <c r="S26918"/>
      <c r="T26918"/>
      <c r="U26918"/>
      <c r="X26918" s="60"/>
    </row>
    <row r="26919" spans="7:24" ht="15" customHeight="1">
      <c r="G26919"/>
      <c r="I26919"/>
      <c r="N26919"/>
      <c r="O26919" s="24"/>
      <c r="P26919"/>
      <c r="Q26919" s="24"/>
      <c r="R26919"/>
      <c r="S26919"/>
      <c r="T26919"/>
      <c r="U26919"/>
      <c r="X26919" s="60"/>
    </row>
    <row r="26920" spans="7:24" ht="15" customHeight="1">
      <c r="G26920"/>
      <c r="I26920"/>
      <c r="N26920"/>
      <c r="O26920" s="24"/>
      <c r="P26920"/>
      <c r="Q26920" s="24"/>
      <c r="R26920"/>
      <c r="S26920"/>
      <c r="T26920"/>
      <c r="U26920"/>
      <c r="X26920" s="60"/>
    </row>
    <row r="26921" spans="7:24" ht="15" customHeight="1">
      <c r="G26921"/>
      <c r="I26921"/>
      <c r="N26921"/>
      <c r="O26921" s="24"/>
      <c r="P26921"/>
      <c r="Q26921" s="24"/>
      <c r="R26921"/>
      <c r="S26921"/>
      <c r="T26921"/>
      <c r="U26921"/>
      <c r="X26921" s="60"/>
    </row>
    <row r="26922" spans="7:24" ht="15" customHeight="1">
      <c r="G26922"/>
      <c r="I26922"/>
      <c r="N26922"/>
      <c r="O26922" s="24"/>
      <c r="P26922"/>
      <c r="Q26922" s="24"/>
      <c r="R26922"/>
      <c r="S26922"/>
      <c r="T26922"/>
      <c r="U26922"/>
      <c r="X26922" s="60"/>
    </row>
    <row r="26923" spans="7:24" ht="15" customHeight="1">
      <c r="G26923"/>
      <c r="I26923"/>
      <c r="N26923"/>
      <c r="O26923" s="24"/>
      <c r="P26923"/>
      <c r="Q26923" s="24"/>
      <c r="R26923"/>
      <c r="S26923"/>
      <c r="T26923"/>
      <c r="U26923"/>
      <c r="X26923" s="60"/>
    </row>
    <row r="26924" spans="7:24" ht="15" customHeight="1">
      <c r="G26924"/>
      <c r="I26924"/>
      <c r="N26924"/>
      <c r="O26924" s="24"/>
      <c r="P26924"/>
      <c r="Q26924" s="24"/>
      <c r="R26924"/>
      <c r="S26924"/>
      <c r="T26924"/>
      <c r="U26924"/>
      <c r="X26924" s="60"/>
    </row>
    <row r="26925" spans="7:24" ht="15" customHeight="1">
      <c r="G26925"/>
      <c r="I26925"/>
      <c r="N26925"/>
      <c r="O26925" s="24"/>
      <c r="P26925"/>
      <c r="Q26925" s="24"/>
      <c r="R26925"/>
      <c r="S26925"/>
      <c r="T26925"/>
      <c r="U26925"/>
      <c r="X26925" s="60"/>
    </row>
    <row r="26926" spans="7:24" ht="15" customHeight="1">
      <c r="G26926"/>
      <c r="I26926"/>
      <c r="N26926"/>
      <c r="O26926" s="24"/>
      <c r="P26926"/>
      <c r="Q26926" s="24"/>
      <c r="R26926"/>
      <c r="S26926"/>
      <c r="T26926"/>
      <c r="U26926"/>
      <c r="X26926" s="60"/>
    </row>
    <row r="26927" spans="7:24" ht="15" customHeight="1">
      <c r="G26927"/>
      <c r="I26927"/>
      <c r="N26927"/>
      <c r="O26927" s="24"/>
      <c r="P26927"/>
      <c r="Q26927" s="24"/>
      <c r="R26927"/>
      <c r="S26927"/>
      <c r="T26927"/>
      <c r="U26927"/>
      <c r="X26927" s="60"/>
    </row>
    <row r="26928" spans="7:24" ht="15" customHeight="1">
      <c r="G26928"/>
      <c r="I26928"/>
      <c r="N26928"/>
      <c r="O26928" s="24"/>
      <c r="P26928"/>
      <c r="Q26928" s="24"/>
      <c r="R26928"/>
      <c r="S26928"/>
      <c r="T26928"/>
      <c r="U26928"/>
      <c r="X26928" s="60"/>
    </row>
    <row r="26929" spans="7:24" ht="15" customHeight="1">
      <c r="G26929"/>
      <c r="I26929"/>
      <c r="N26929"/>
      <c r="O26929" s="24"/>
      <c r="P26929"/>
      <c r="Q26929" s="24"/>
      <c r="R26929"/>
      <c r="S26929"/>
      <c r="T26929"/>
      <c r="U26929"/>
      <c r="X26929" s="60"/>
    </row>
    <row r="26930" spans="7:24" ht="15" customHeight="1">
      <c r="G26930"/>
      <c r="I26930"/>
      <c r="N26930"/>
      <c r="O26930" s="24"/>
      <c r="P26930"/>
      <c r="Q26930" s="24"/>
      <c r="R26930"/>
      <c r="S26930"/>
      <c r="T26930"/>
      <c r="U26930"/>
      <c r="X26930" s="60"/>
    </row>
    <row r="26931" spans="7:24" ht="15" customHeight="1">
      <c r="G26931"/>
      <c r="I26931"/>
      <c r="N26931"/>
      <c r="O26931" s="24"/>
      <c r="P26931"/>
      <c r="Q26931" s="24"/>
      <c r="R26931"/>
      <c r="S26931"/>
      <c r="T26931"/>
      <c r="U26931"/>
      <c r="X26931" s="60"/>
    </row>
    <row r="26932" spans="7:24" ht="15" customHeight="1">
      <c r="G26932"/>
      <c r="I26932"/>
      <c r="N26932"/>
      <c r="O26932" s="24"/>
      <c r="P26932"/>
      <c r="Q26932" s="24"/>
      <c r="R26932"/>
      <c r="S26932"/>
      <c r="T26932"/>
      <c r="U26932"/>
      <c r="X26932" s="60"/>
    </row>
    <row r="26933" spans="7:24" ht="15" customHeight="1">
      <c r="G26933"/>
      <c r="I26933"/>
      <c r="N26933"/>
      <c r="O26933" s="24"/>
      <c r="P26933"/>
      <c r="Q26933" s="24"/>
      <c r="R26933"/>
      <c r="S26933"/>
      <c r="T26933"/>
      <c r="U26933"/>
      <c r="X26933" s="60"/>
    </row>
    <row r="26934" spans="7:24" ht="15" customHeight="1">
      <c r="G26934"/>
      <c r="I26934"/>
      <c r="N26934"/>
      <c r="O26934" s="24"/>
      <c r="P26934"/>
      <c r="Q26934" s="24"/>
      <c r="R26934"/>
      <c r="S26934"/>
      <c r="T26934"/>
      <c r="U26934"/>
      <c r="X26934" s="60"/>
    </row>
    <row r="26935" spans="7:24" ht="15" customHeight="1">
      <c r="G26935"/>
      <c r="I26935"/>
      <c r="N26935"/>
      <c r="O26935" s="24"/>
      <c r="P26935"/>
      <c r="Q26935" s="24"/>
      <c r="R26935"/>
      <c r="S26935"/>
      <c r="T26935"/>
      <c r="U26935"/>
      <c r="X26935" s="60"/>
    </row>
    <row r="26936" spans="7:24" ht="15" customHeight="1">
      <c r="G26936"/>
      <c r="I26936"/>
      <c r="N26936"/>
      <c r="O26936" s="24"/>
      <c r="P26936"/>
      <c r="Q26936" s="24"/>
      <c r="R26936"/>
      <c r="S26936"/>
      <c r="T26936"/>
      <c r="U26936"/>
      <c r="X26936" s="60"/>
    </row>
    <row r="26937" spans="7:24" ht="15" customHeight="1">
      <c r="G26937"/>
      <c r="I26937"/>
      <c r="N26937"/>
      <c r="O26937" s="24"/>
      <c r="P26937"/>
      <c r="Q26937" s="24"/>
      <c r="R26937"/>
      <c r="S26937"/>
      <c r="T26937"/>
      <c r="U26937"/>
      <c r="X26937" s="60"/>
    </row>
    <row r="26938" spans="7:24" ht="15" customHeight="1">
      <c r="G26938"/>
      <c r="I26938"/>
      <c r="N26938"/>
      <c r="O26938" s="24"/>
      <c r="P26938"/>
      <c r="Q26938" s="24"/>
      <c r="R26938"/>
      <c r="S26938"/>
      <c r="T26938"/>
      <c r="U26938"/>
      <c r="X26938" s="60"/>
    </row>
    <row r="26939" spans="7:24" ht="15" customHeight="1">
      <c r="G26939"/>
      <c r="I26939"/>
      <c r="N26939"/>
      <c r="O26939" s="24"/>
      <c r="P26939"/>
      <c r="Q26939" s="24"/>
      <c r="R26939"/>
      <c r="S26939"/>
      <c r="T26939"/>
      <c r="U26939"/>
      <c r="X26939" s="60"/>
    </row>
    <row r="26940" spans="7:24" ht="15" customHeight="1">
      <c r="G26940"/>
      <c r="I26940"/>
      <c r="N26940"/>
      <c r="O26940" s="24"/>
      <c r="P26940"/>
      <c r="Q26940" s="24"/>
      <c r="R26940"/>
      <c r="S26940"/>
      <c r="T26940"/>
      <c r="U26940"/>
      <c r="X26940" s="60"/>
    </row>
    <row r="26941" spans="7:24" ht="15" customHeight="1">
      <c r="G26941"/>
      <c r="I26941"/>
      <c r="N26941"/>
      <c r="O26941" s="24"/>
      <c r="P26941"/>
      <c r="Q26941" s="24"/>
      <c r="R26941"/>
      <c r="S26941"/>
      <c r="T26941"/>
      <c r="U26941"/>
      <c r="X26941" s="60"/>
    </row>
    <row r="26942" spans="7:24" ht="15" customHeight="1">
      <c r="G26942"/>
      <c r="I26942"/>
      <c r="N26942"/>
      <c r="O26942" s="24"/>
      <c r="P26942"/>
      <c r="Q26942" s="24"/>
      <c r="R26942"/>
      <c r="S26942"/>
      <c r="T26942"/>
      <c r="U26942"/>
      <c r="X26942" s="60"/>
    </row>
    <row r="26943" spans="7:24" ht="15" customHeight="1">
      <c r="G26943"/>
      <c r="I26943"/>
      <c r="N26943"/>
      <c r="O26943" s="24"/>
      <c r="P26943"/>
      <c r="Q26943" s="24"/>
      <c r="R26943"/>
      <c r="S26943"/>
      <c r="T26943"/>
      <c r="U26943"/>
      <c r="X26943" s="60"/>
    </row>
    <row r="26944" spans="7:24" ht="15" customHeight="1">
      <c r="G26944"/>
      <c r="I26944"/>
      <c r="N26944"/>
      <c r="O26944" s="24"/>
      <c r="P26944"/>
      <c r="Q26944" s="24"/>
      <c r="R26944"/>
      <c r="S26944"/>
      <c r="T26944"/>
      <c r="U26944"/>
      <c r="X26944" s="60"/>
    </row>
    <row r="26945" spans="7:24" ht="15" customHeight="1">
      <c r="G26945"/>
      <c r="I26945"/>
      <c r="N26945"/>
      <c r="O26945" s="24"/>
      <c r="P26945"/>
      <c r="Q26945" s="24"/>
      <c r="R26945"/>
      <c r="S26945"/>
      <c r="T26945"/>
      <c r="U26945"/>
      <c r="X26945" s="60"/>
    </row>
    <row r="26946" spans="7:24" ht="15" customHeight="1">
      <c r="G26946"/>
      <c r="I26946"/>
      <c r="N26946"/>
      <c r="O26946" s="24"/>
      <c r="P26946"/>
      <c r="Q26946" s="24"/>
      <c r="R26946"/>
      <c r="S26946"/>
      <c r="T26946"/>
      <c r="U26946"/>
      <c r="X26946" s="60"/>
    </row>
    <row r="26947" spans="7:24" ht="15" customHeight="1">
      <c r="G26947"/>
      <c r="I26947"/>
      <c r="N26947"/>
      <c r="O26947" s="24"/>
      <c r="P26947"/>
      <c r="Q26947" s="24"/>
      <c r="R26947"/>
      <c r="S26947"/>
      <c r="T26947"/>
      <c r="U26947"/>
      <c r="X26947" s="60"/>
    </row>
    <row r="26948" spans="7:24" ht="15" customHeight="1">
      <c r="G26948"/>
      <c r="I26948"/>
      <c r="N26948"/>
      <c r="O26948" s="24"/>
      <c r="P26948"/>
      <c r="Q26948" s="24"/>
      <c r="R26948"/>
      <c r="S26948"/>
      <c r="T26948"/>
      <c r="U26948"/>
      <c r="X26948" s="60"/>
    </row>
    <row r="26949" spans="7:24" ht="15" customHeight="1">
      <c r="G26949"/>
      <c r="I26949"/>
      <c r="N26949"/>
      <c r="O26949" s="24"/>
      <c r="P26949"/>
      <c r="Q26949" s="24"/>
      <c r="R26949"/>
      <c r="S26949"/>
      <c r="T26949"/>
      <c r="U26949"/>
      <c r="X26949" s="60"/>
    </row>
    <row r="26950" spans="7:24" ht="15" customHeight="1">
      <c r="G26950"/>
      <c r="I26950"/>
      <c r="N26950"/>
      <c r="O26950" s="24"/>
      <c r="P26950"/>
      <c r="Q26950" s="24"/>
      <c r="R26950"/>
      <c r="S26950"/>
      <c r="T26950"/>
      <c r="U26950"/>
      <c r="X26950" s="60"/>
    </row>
    <row r="26951" spans="7:24" ht="15" customHeight="1">
      <c r="G26951"/>
      <c r="I26951"/>
      <c r="N26951"/>
      <c r="O26951" s="24"/>
      <c r="P26951"/>
      <c r="Q26951" s="24"/>
      <c r="R26951"/>
      <c r="S26951"/>
      <c r="T26951"/>
      <c r="U26951"/>
      <c r="X26951" s="60"/>
    </row>
    <row r="26952" spans="7:24" ht="15" customHeight="1">
      <c r="G26952"/>
      <c r="I26952"/>
      <c r="N26952"/>
      <c r="O26952" s="24"/>
      <c r="P26952"/>
      <c r="Q26952" s="24"/>
      <c r="R26952"/>
      <c r="S26952"/>
      <c r="T26952"/>
      <c r="U26952"/>
      <c r="X26952" s="60"/>
    </row>
    <row r="26953" spans="7:24" ht="15" customHeight="1">
      <c r="G26953"/>
      <c r="I26953"/>
      <c r="N26953"/>
      <c r="O26953" s="24"/>
      <c r="P26953"/>
      <c r="Q26953" s="24"/>
      <c r="R26953"/>
      <c r="S26953"/>
      <c r="T26953"/>
      <c r="U26953"/>
      <c r="X26953" s="60"/>
    </row>
    <row r="26954" spans="7:24" ht="15" customHeight="1">
      <c r="G26954"/>
      <c r="I26954"/>
      <c r="N26954"/>
      <c r="O26954" s="24"/>
      <c r="P26954"/>
      <c r="Q26954" s="24"/>
      <c r="R26954"/>
      <c r="S26954"/>
      <c r="T26954"/>
      <c r="U26954"/>
      <c r="X26954" s="60"/>
    </row>
    <row r="26955" spans="7:24" ht="15" customHeight="1">
      <c r="G26955"/>
      <c r="I26955"/>
      <c r="N26955"/>
      <c r="O26955" s="24"/>
      <c r="P26955"/>
      <c r="Q26955" s="24"/>
      <c r="R26955"/>
      <c r="S26955"/>
      <c r="T26955"/>
      <c r="U26955"/>
      <c r="X26955" s="60"/>
    </row>
    <row r="26956" spans="7:24" ht="15" customHeight="1">
      <c r="G26956"/>
      <c r="I26956"/>
      <c r="N26956"/>
      <c r="O26956" s="24"/>
      <c r="P26956"/>
      <c r="Q26956" s="24"/>
      <c r="R26956"/>
      <c r="S26956"/>
      <c r="T26956"/>
      <c r="U26956"/>
      <c r="X26956" s="60"/>
    </row>
    <row r="26957" spans="7:24" ht="15" customHeight="1">
      <c r="G26957"/>
      <c r="I26957"/>
      <c r="N26957"/>
      <c r="O26957" s="24"/>
      <c r="P26957"/>
      <c r="Q26957" s="24"/>
      <c r="R26957"/>
      <c r="S26957"/>
      <c r="T26957"/>
      <c r="U26957"/>
      <c r="X26957" s="60"/>
    </row>
    <row r="26958" spans="7:24" ht="15" customHeight="1">
      <c r="G26958"/>
      <c r="I26958"/>
      <c r="N26958"/>
      <c r="O26958" s="24"/>
      <c r="P26958"/>
      <c r="Q26958" s="24"/>
      <c r="R26958"/>
      <c r="S26958"/>
      <c r="T26958"/>
      <c r="U26958"/>
      <c r="X26958" s="60"/>
    </row>
    <row r="26959" spans="7:24" ht="15" customHeight="1">
      <c r="G26959"/>
      <c r="I26959"/>
      <c r="N26959"/>
      <c r="O26959" s="24"/>
      <c r="P26959"/>
      <c r="Q26959" s="24"/>
      <c r="R26959"/>
      <c r="S26959"/>
      <c r="T26959"/>
      <c r="U26959"/>
      <c r="X26959" s="60"/>
    </row>
    <row r="26960" spans="7:24" ht="15" customHeight="1">
      <c r="G26960"/>
      <c r="I26960"/>
      <c r="N26960"/>
      <c r="O26960" s="24"/>
      <c r="P26960"/>
      <c r="Q26960" s="24"/>
      <c r="R26960"/>
      <c r="S26960"/>
      <c r="T26960"/>
      <c r="U26960"/>
      <c r="X26960" s="60"/>
    </row>
    <row r="26961" spans="7:24" ht="15" customHeight="1">
      <c r="G26961"/>
      <c r="I26961"/>
      <c r="N26961"/>
      <c r="O26961" s="24"/>
      <c r="P26961"/>
      <c r="Q26961" s="24"/>
      <c r="R26961"/>
      <c r="S26961"/>
      <c r="T26961"/>
      <c r="U26961"/>
      <c r="X26961" s="60"/>
    </row>
    <row r="26962" spans="7:24" ht="15" customHeight="1">
      <c r="G26962"/>
      <c r="I26962"/>
      <c r="N26962"/>
      <c r="O26962" s="24"/>
      <c r="P26962"/>
      <c r="Q26962" s="24"/>
      <c r="R26962"/>
      <c r="S26962"/>
      <c r="T26962"/>
      <c r="U26962"/>
      <c r="X26962" s="60"/>
    </row>
    <row r="26963" spans="7:24" ht="15" customHeight="1">
      <c r="G26963"/>
      <c r="I26963"/>
      <c r="N26963"/>
      <c r="O26963" s="24"/>
      <c r="P26963"/>
      <c r="Q26963" s="24"/>
      <c r="R26963"/>
      <c r="S26963"/>
      <c r="T26963"/>
      <c r="U26963"/>
      <c r="X26963" s="60"/>
    </row>
    <row r="26964" spans="7:24" ht="15" customHeight="1">
      <c r="G26964"/>
      <c r="I26964"/>
      <c r="N26964"/>
      <c r="O26964" s="24"/>
      <c r="P26964"/>
      <c r="Q26964" s="24"/>
      <c r="R26964"/>
      <c r="S26964"/>
      <c r="T26964"/>
      <c r="U26964"/>
      <c r="X26964" s="60"/>
    </row>
    <row r="26965" spans="7:24" ht="15" customHeight="1">
      <c r="G26965"/>
      <c r="I26965"/>
      <c r="N26965"/>
      <c r="O26965" s="24"/>
      <c r="P26965"/>
      <c r="Q26965" s="24"/>
      <c r="R26965"/>
      <c r="S26965"/>
      <c r="T26965"/>
      <c r="U26965"/>
      <c r="X26965" s="60"/>
    </row>
    <row r="26966" spans="7:24" ht="15" customHeight="1">
      <c r="G26966"/>
      <c r="I26966"/>
      <c r="N26966"/>
      <c r="O26966" s="24"/>
      <c r="P26966"/>
      <c r="Q26966" s="24"/>
      <c r="R26966"/>
      <c r="S26966"/>
      <c r="T26966"/>
      <c r="U26966"/>
      <c r="X26966" s="60"/>
    </row>
    <row r="26967" spans="7:24" ht="15" customHeight="1">
      <c r="G26967"/>
      <c r="I26967"/>
      <c r="N26967"/>
      <c r="O26967" s="24"/>
      <c r="P26967"/>
      <c r="Q26967" s="24"/>
      <c r="R26967"/>
      <c r="S26967"/>
      <c r="T26967"/>
      <c r="U26967"/>
      <c r="X26967" s="60"/>
    </row>
    <row r="26968" spans="7:24" ht="15" customHeight="1">
      <c r="G26968"/>
      <c r="I26968"/>
      <c r="N26968"/>
      <c r="O26968" s="24"/>
      <c r="P26968"/>
      <c r="Q26968" s="24"/>
      <c r="R26968"/>
      <c r="S26968"/>
      <c r="T26968"/>
      <c r="U26968"/>
      <c r="X26968" s="60"/>
    </row>
    <row r="26969" spans="7:24" ht="15" customHeight="1">
      <c r="G26969"/>
      <c r="I26969"/>
      <c r="N26969"/>
      <c r="O26969" s="24"/>
      <c r="P26969"/>
      <c r="Q26969" s="24"/>
      <c r="R26969"/>
      <c r="S26969"/>
      <c r="T26969"/>
      <c r="U26969"/>
      <c r="X26969" s="60"/>
    </row>
    <row r="26970" spans="7:24" ht="15" customHeight="1">
      <c r="G26970"/>
      <c r="I26970"/>
      <c r="N26970"/>
      <c r="O26970" s="24"/>
      <c r="P26970"/>
      <c r="Q26970" s="24"/>
      <c r="R26970"/>
      <c r="S26970"/>
      <c r="T26970"/>
      <c r="U26970"/>
      <c r="X26970" s="60"/>
    </row>
    <row r="26971" spans="7:24" ht="15" customHeight="1">
      <c r="G26971"/>
      <c r="I26971"/>
      <c r="N26971"/>
      <c r="O26971" s="24"/>
      <c r="P26971"/>
      <c r="Q26971" s="24"/>
      <c r="R26971"/>
      <c r="S26971"/>
      <c r="T26971"/>
      <c r="U26971"/>
      <c r="X26971" s="60"/>
    </row>
    <row r="26972" spans="7:24" ht="15" customHeight="1">
      <c r="G26972"/>
      <c r="I26972"/>
      <c r="N26972"/>
      <c r="O26972" s="24"/>
      <c r="P26972"/>
      <c r="Q26972" s="24"/>
      <c r="R26972"/>
      <c r="S26972"/>
      <c r="T26972"/>
      <c r="U26972"/>
      <c r="X26972" s="60"/>
    </row>
    <row r="26973" spans="7:24" ht="15" customHeight="1">
      <c r="G26973"/>
      <c r="I26973"/>
      <c r="N26973"/>
      <c r="O26973" s="24"/>
      <c r="P26973"/>
      <c r="Q26973" s="24"/>
      <c r="R26973"/>
      <c r="S26973"/>
      <c r="T26973"/>
      <c r="U26973"/>
      <c r="X26973" s="60"/>
    </row>
    <row r="26974" spans="7:24" ht="15" customHeight="1">
      <c r="G26974"/>
      <c r="I26974"/>
      <c r="N26974"/>
      <c r="O26974" s="24"/>
      <c r="P26974"/>
      <c r="Q26974" s="24"/>
      <c r="R26974"/>
      <c r="S26974"/>
      <c r="T26974"/>
      <c r="U26974"/>
      <c r="X26974" s="60"/>
    </row>
    <row r="26975" spans="7:24" ht="15" customHeight="1">
      <c r="G26975"/>
      <c r="I26975"/>
      <c r="N26975"/>
      <c r="O26975" s="24"/>
      <c r="P26975"/>
      <c r="Q26975" s="24"/>
      <c r="R26975"/>
      <c r="S26975"/>
      <c r="T26975"/>
      <c r="U26975"/>
      <c r="X26975" s="60"/>
    </row>
    <row r="26976" spans="7:24" ht="15" customHeight="1">
      <c r="G26976"/>
      <c r="I26976"/>
      <c r="N26976"/>
      <c r="O26976" s="24"/>
      <c r="P26976"/>
      <c r="Q26976" s="24"/>
      <c r="R26976"/>
      <c r="S26976"/>
      <c r="T26976"/>
      <c r="U26976"/>
      <c r="X26976" s="60"/>
    </row>
    <row r="26977" spans="7:24" ht="15" customHeight="1">
      <c r="G26977"/>
      <c r="I26977"/>
      <c r="N26977"/>
      <c r="O26977" s="24"/>
      <c r="P26977"/>
      <c r="Q26977" s="24"/>
      <c r="R26977"/>
      <c r="S26977"/>
      <c r="T26977"/>
      <c r="U26977"/>
      <c r="X26977" s="60"/>
    </row>
    <row r="26978" spans="7:24" ht="15" customHeight="1">
      <c r="G26978"/>
      <c r="I26978"/>
      <c r="N26978"/>
      <c r="O26978" s="24"/>
      <c r="P26978"/>
      <c r="Q26978" s="24"/>
      <c r="R26978"/>
      <c r="S26978"/>
      <c r="T26978"/>
      <c r="U26978"/>
      <c r="X26978" s="60"/>
    </row>
    <row r="26979" spans="7:24" ht="15" customHeight="1">
      <c r="G26979"/>
      <c r="I26979"/>
      <c r="N26979"/>
      <c r="O26979" s="24"/>
      <c r="P26979"/>
      <c r="Q26979" s="24"/>
      <c r="R26979"/>
      <c r="S26979"/>
      <c r="T26979"/>
      <c r="U26979"/>
      <c r="X26979" s="60"/>
    </row>
    <row r="26980" spans="7:24" ht="15" customHeight="1">
      <c r="G26980"/>
      <c r="I26980"/>
      <c r="N26980"/>
      <c r="O26980" s="24"/>
      <c r="P26980"/>
      <c r="Q26980" s="24"/>
      <c r="R26980"/>
      <c r="S26980"/>
      <c r="T26980"/>
      <c r="U26980"/>
      <c r="X26980" s="60"/>
    </row>
    <row r="26981" spans="7:24" ht="15" customHeight="1">
      <c r="G26981"/>
      <c r="I26981"/>
      <c r="N26981"/>
      <c r="O26981" s="24"/>
      <c r="P26981"/>
      <c r="Q26981" s="24"/>
      <c r="R26981"/>
      <c r="S26981"/>
      <c r="T26981"/>
      <c r="U26981"/>
      <c r="X26981" s="60"/>
    </row>
    <row r="26982" spans="7:24" ht="15" customHeight="1">
      <c r="G26982"/>
      <c r="I26982"/>
      <c r="N26982"/>
      <c r="O26982" s="24"/>
      <c r="P26982"/>
      <c r="Q26982" s="24"/>
      <c r="R26982"/>
      <c r="S26982"/>
      <c r="T26982"/>
      <c r="U26982"/>
      <c r="X26982" s="60"/>
    </row>
    <row r="26983" spans="7:24" ht="15" customHeight="1">
      <c r="G26983"/>
      <c r="I26983"/>
      <c r="N26983"/>
      <c r="O26983" s="24"/>
      <c r="P26983"/>
      <c r="Q26983" s="24"/>
      <c r="R26983"/>
      <c r="S26983"/>
      <c r="T26983"/>
      <c r="U26983"/>
      <c r="X26983" s="60"/>
    </row>
    <row r="26984" spans="7:24" ht="15" customHeight="1">
      <c r="G26984"/>
      <c r="I26984"/>
      <c r="N26984"/>
      <c r="O26984" s="24"/>
      <c r="P26984"/>
      <c r="Q26984" s="24"/>
      <c r="R26984"/>
      <c r="S26984"/>
      <c r="T26984"/>
      <c r="U26984"/>
      <c r="X26984" s="60"/>
    </row>
    <row r="26985" spans="7:24" ht="15" customHeight="1">
      <c r="G26985"/>
      <c r="I26985"/>
      <c r="N26985"/>
      <c r="O26985" s="24"/>
      <c r="P26985"/>
      <c r="Q26985" s="24"/>
      <c r="R26985"/>
      <c r="S26985"/>
      <c r="T26985"/>
      <c r="U26985"/>
      <c r="X26985" s="60"/>
    </row>
    <row r="26986" spans="7:24" ht="15" customHeight="1">
      <c r="G26986"/>
      <c r="I26986"/>
      <c r="N26986"/>
      <c r="O26986" s="24"/>
      <c r="P26986"/>
      <c r="Q26986" s="24"/>
      <c r="R26986"/>
      <c r="S26986"/>
      <c r="T26986"/>
      <c r="U26986"/>
      <c r="X26986" s="60"/>
    </row>
    <row r="26987" spans="7:24" ht="15" customHeight="1">
      <c r="G26987"/>
      <c r="I26987"/>
      <c r="N26987"/>
      <c r="O26987" s="24"/>
      <c r="P26987"/>
      <c r="Q26987" s="24"/>
      <c r="R26987"/>
      <c r="S26987"/>
      <c r="T26987"/>
      <c r="U26987"/>
      <c r="X26987" s="60"/>
    </row>
    <row r="26988" spans="7:24" ht="15" customHeight="1">
      <c r="G26988"/>
      <c r="I26988"/>
      <c r="N26988"/>
      <c r="O26988" s="24"/>
      <c r="P26988"/>
      <c r="Q26988" s="24"/>
      <c r="R26988"/>
      <c r="S26988"/>
      <c r="T26988"/>
      <c r="U26988"/>
      <c r="X26988" s="60"/>
    </row>
    <row r="26989" spans="7:24" ht="15" customHeight="1">
      <c r="G26989"/>
      <c r="I26989"/>
      <c r="N26989"/>
      <c r="O26989" s="24"/>
      <c r="P26989"/>
      <c r="Q26989" s="24"/>
      <c r="R26989"/>
      <c r="S26989"/>
      <c r="T26989"/>
      <c r="U26989"/>
      <c r="X26989" s="60"/>
    </row>
    <row r="26990" spans="7:24" ht="15" customHeight="1">
      <c r="G26990"/>
      <c r="I26990"/>
      <c r="N26990"/>
      <c r="O26990" s="24"/>
      <c r="P26990"/>
      <c r="Q26990" s="24"/>
      <c r="R26990"/>
      <c r="S26990"/>
      <c r="T26990"/>
      <c r="U26990"/>
      <c r="X26990" s="60"/>
    </row>
    <row r="26991" spans="7:24" ht="15" customHeight="1">
      <c r="G26991"/>
      <c r="I26991"/>
      <c r="N26991"/>
      <c r="O26991" s="24"/>
      <c r="P26991"/>
      <c r="Q26991" s="24"/>
      <c r="R26991"/>
      <c r="S26991"/>
      <c r="T26991"/>
      <c r="U26991"/>
      <c r="X26991" s="60"/>
    </row>
    <row r="26992" spans="7:24" ht="15" customHeight="1">
      <c r="G26992"/>
      <c r="I26992"/>
      <c r="N26992"/>
      <c r="O26992" s="24"/>
      <c r="P26992"/>
      <c r="Q26992" s="24"/>
      <c r="R26992"/>
      <c r="S26992"/>
      <c r="T26992"/>
      <c r="U26992"/>
      <c r="X26992" s="60"/>
    </row>
    <row r="26993" spans="7:24" ht="15" customHeight="1">
      <c r="G26993"/>
      <c r="I26993"/>
      <c r="N26993"/>
      <c r="O26993" s="24"/>
      <c r="P26993"/>
      <c r="Q26993" s="24"/>
      <c r="R26993"/>
      <c r="S26993"/>
      <c r="T26993"/>
      <c r="U26993"/>
      <c r="X26993" s="60"/>
    </row>
    <row r="26994" spans="7:24" ht="15" customHeight="1">
      <c r="G26994"/>
      <c r="I26994"/>
      <c r="N26994"/>
      <c r="O26994" s="24"/>
      <c r="P26994"/>
      <c r="Q26994" s="24"/>
      <c r="R26994"/>
      <c r="S26994"/>
      <c r="T26994"/>
      <c r="U26994"/>
      <c r="X26994" s="60"/>
    </row>
    <row r="26995" spans="7:24" ht="15" customHeight="1">
      <c r="G26995"/>
      <c r="I26995"/>
      <c r="N26995"/>
      <c r="O26995" s="24"/>
      <c r="P26995"/>
      <c r="Q26995" s="24"/>
      <c r="R26995"/>
      <c r="S26995"/>
      <c r="T26995"/>
      <c r="U26995"/>
      <c r="X26995" s="60"/>
    </row>
    <row r="26996" spans="7:24" ht="15" customHeight="1">
      <c r="G26996"/>
      <c r="I26996"/>
      <c r="N26996"/>
      <c r="O26996" s="24"/>
      <c r="P26996"/>
      <c r="Q26996" s="24"/>
      <c r="R26996"/>
      <c r="S26996"/>
      <c r="T26996"/>
      <c r="U26996"/>
      <c r="X26996" s="60"/>
    </row>
    <row r="26997" spans="7:24" ht="15" customHeight="1">
      <c r="G26997"/>
      <c r="I26997"/>
      <c r="N26997"/>
      <c r="O26997" s="24"/>
      <c r="P26997"/>
      <c r="Q26997" s="24"/>
      <c r="R26997"/>
      <c r="S26997"/>
      <c r="T26997"/>
      <c r="U26997"/>
      <c r="X26997" s="60"/>
    </row>
    <row r="26998" spans="7:24" ht="15" customHeight="1">
      <c r="G26998"/>
      <c r="I26998"/>
      <c r="N26998"/>
      <c r="O26998" s="24"/>
      <c r="P26998"/>
      <c r="Q26998" s="24"/>
      <c r="R26998"/>
      <c r="S26998"/>
      <c r="T26998"/>
      <c r="U26998"/>
      <c r="X26998" s="60"/>
    </row>
    <row r="26999" spans="7:24" ht="15" customHeight="1">
      <c r="G26999"/>
      <c r="I26999"/>
      <c r="N26999"/>
      <c r="O26999" s="24"/>
      <c r="P26999"/>
      <c r="Q26999" s="24"/>
      <c r="R26999"/>
      <c r="S26999"/>
      <c r="T26999"/>
      <c r="U26999"/>
      <c r="X26999" s="60"/>
    </row>
    <row r="27000" spans="7:24" ht="15" customHeight="1">
      <c r="G27000"/>
      <c r="I27000"/>
      <c r="N27000"/>
      <c r="O27000" s="24"/>
      <c r="P27000"/>
      <c r="Q27000" s="24"/>
      <c r="R27000"/>
      <c r="S27000"/>
      <c r="T27000"/>
      <c r="U27000"/>
      <c r="X27000" s="60"/>
    </row>
    <row r="27001" spans="7:24" ht="15" customHeight="1">
      <c r="G27001"/>
      <c r="I27001"/>
      <c r="N27001"/>
      <c r="O27001" s="24"/>
      <c r="P27001"/>
      <c r="Q27001" s="24"/>
      <c r="R27001"/>
      <c r="S27001"/>
      <c r="T27001"/>
      <c r="U27001"/>
      <c r="X27001" s="60"/>
    </row>
    <row r="27002" spans="7:24" ht="15" customHeight="1">
      <c r="G27002"/>
      <c r="I27002"/>
      <c r="N27002"/>
      <c r="O27002" s="24"/>
      <c r="P27002"/>
      <c r="Q27002" s="24"/>
      <c r="R27002"/>
      <c r="S27002"/>
      <c r="T27002"/>
      <c r="U27002"/>
      <c r="X27002" s="60"/>
    </row>
    <row r="27003" spans="7:24" ht="15" customHeight="1">
      <c r="G27003"/>
      <c r="I27003"/>
      <c r="N27003"/>
      <c r="O27003" s="24"/>
      <c r="P27003"/>
      <c r="Q27003" s="24"/>
      <c r="R27003"/>
      <c r="S27003"/>
      <c r="T27003"/>
      <c r="U27003"/>
      <c r="X27003" s="60"/>
    </row>
    <row r="27004" spans="7:24" ht="15" customHeight="1">
      <c r="G27004"/>
      <c r="I27004"/>
      <c r="N27004"/>
      <c r="O27004" s="24"/>
      <c r="P27004"/>
      <c r="Q27004" s="24"/>
      <c r="R27004"/>
      <c r="S27004"/>
      <c r="T27004"/>
      <c r="U27004"/>
      <c r="X27004" s="60"/>
    </row>
    <row r="27005" spans="7:24" ht="15" customHeight="1">
      <c r="G27005"/>
      <c r="I27005"/>
      <c r="N27005"/>
      <c r="O27005" s="24"/>
      <c r="P27005"/>
      <c r="Q27005" s="24"/>
      <c r="R27005"/>
      <c r="S27005"/>
      <c r="T27005"/>
      <c r="U27005"/>
      <c r="X27005" s="60"/>
    </row>
    <row r="27006" spans="7:24" ht="15" customHeight="1">
      <c r="G27006"/>
      <c r="I27006"/>
      <c r="N27006"/>
      <c r="O27006" s="24"/>
      <c r="P27006"/>
      <c r="Q27006" s="24"/>
      <c r="R27006"/>
      <c r="S27006"/>
      <c r="T27006"/>
      <c r="U27006"/>
      <c r="X27006" s="60"/>
    </row>
    <row r="27007" spans="7:24" ht="15" customHeight="1">
      <c r="G27007"/>
      <c r="I27007"/>
      <c r="N27007"/>
      <c r="O27007" s="24"/>
      <c r="P27007"/>
      <c r="Q27007" s="24"/>
      <c r="R27007"/>
      <c r="S27007"/>
      <c r="T27007"/>
      <c r="U27007"/>
      <c r="X27007" s="60"/>
    </row>
    <row r="27008" spans="7:24" ht="15" customHeight="1">
      <c r="G27008"/>
      <c r="I27008"/>
      <c r="N27008"/>
      <c r="O27008" s="24"/>
      <c r="P27008"/>
      <c r="Q27008" s="24"/>
      <c r="R27008"/>
      <c r="S27008"/>
      <c r="T27008"/>
      <c r="U27008"/>
      <c r="X27008" s="60"/>
    </row>
    <row r="27009" spans="7:24" ht="15" customHeight="1">
      <c r="G27009"/>
      <c r="I27009"/>
      <c r="N27009"/>
      <c r="O27009" s="24"/>
      <c r="P27009"/>
      <c r="Q27009" s="24"/>
      <c r="R27009"/>
      <c r="S27009"/>
      <c r="T27009"/>
      <c r="U27009"/>
      <c r="X27009" s="60"/>
    </row>
    <row r="27010" spans="7:24" ht="15" customHeight="1">
      <c r="G27010"/>
      <c r="I27010"/>
      <c r="N27010"/>
      <c r="O27010" s="24"/>
      <c r="P27010"/>
      <c r="Q27010" s="24"/>
      <c r="R27010"/>
      <c r="S27010"/>
      <c r="T27010"/>
      <c r="U27010"/>
      <c r="X27010" s="60"/>
    </row>
    <row r="27011" spans="7:24" ht="15" customHeight="1">
      <c r="G27011"/>
      <c r="I27011"/>
      <c r="N27011"/>
      <c r="O27011" s="24"/>
      <c r="P27011"/>
      <c r="Q27011" s="24"/>
      <c r="R27011"/>
      <c r="S27011"/>
      <c r="T27011"/>
      <c r="U27011"/>
      <c r="X27011" s="60"/>
    </row>
    <row r="27012" spans="7:24" ht="15" customHeight="1">
      <c r="G27012"/>
      <c r="I27012"/>
      <c r="N27012"/>
      <c r="O27012" s="24"/>
      <c r="P27012"/>
      <c r="Q27012" s="24"/>
      <c r="R27012"/>
      <c r="S27012"/>
      <c r="T27012"/>
      <c r="U27012"/>
      <c r="X27012" s="60"/>
    </row>
    <row r="27013" spans="7:24" ht="15" customHeight="1">
      <c r="G27013"/>
      <c r="I27013"/>
      <c r="N27013"/>
      <c r="O27013" s="24"/>
      <c r="P27013"/>
      <c r="Q27013" s="24"/>
      <c r="R27013"/>
      <c r="S27013"/>
      <c r="T27013"/>
      <c r="U27013"/>
      <c r="X27013" s="60"/>
    </row>
    <row r="27014" spans="7:24" ht="15" customHeight="1">
      <c r="G27014"/>
      <c r="I27014"/>
      <c r="N27014"/>
      <c r="O27014" s="24"/>
      <c r="P27014"/>
      <c r="Q27014" s="24"/>
      <c r="R27014"/>
      <c r="S27014"/>
      <c r="T27014"/>
      <c r="U27014"/>
      <c r="X27014" s="60"/>
    </row>
    <row r="27015" spans="7:24" ht="15" customHeight="1">
      <c r="G27015"/>
      <c r="I27015"/>
      <c r="N27015"/>
      <c r="O27015" s="24"/>
      <c r="P27015"/>
      <c r="Q27015" s="24"/>
      <c r="R27015"/>
      <c r="S27015"/>
      <c r="T27015"/>
      <c r="U27015"/>
      <c r="X27015" s="60"/>
    </row>
    <row r="27016" spans="7:24" ht="15" customHeight="1">
      <c r="G27016"/>
      <c r="I27016"/>
      <c r="N27016"/>
      <c r="O27016" s="24"/>
      <c r="P27016"/>
      <c r="Q27016" s="24"/>
      <c r="R27016"/>
      <c r="S27016"/>
      <c r="T27016"/>
      <c r="U27016"/>
      <c r="X27016" s="60"/>
    </row>
    <row r="27017" spans="7:24" ht="15" customHeight="1">
      <c r="G27017"/>
      <c r="I27017"/>
      <c r="N27017"/>
      <c r="O27017" s="24"/>
      <c r="P27017"/>
      <c r="Q27017" s="24"/>
      <c r="R27017"/>
      <c r="S27017"/>
      <c r="T27017"/>
      <c r="U27017"/>
      <c r="X27017" s="60"/>
    </row>
    <row r="27018" spans="7:24" ht="15" customHeight="1">
      <c r="G27018"/>
      <c r="I27018"/>
      <c r="N27018"/>
      <c r="O27018" s="24"/>
      <c r="P27018"/>
      <c r="Q27018" s="24"/>
      <c r="R27018"/>
      <c r="S27018"/>
      <c r="T27018"/>
      <c r="U27018"/>
      <c r="X27018" s="60"/>
    </row>
    <row r="27019" spans="7:24" ht="15" customHeight="1">
      <c r="G27019"/>
      <c r="I27019"/>
      <c r="N27019"/>
      <c r="O27019" s="24"/>
      <c r="P27019"/>
      <c r="Q27019" s="24"/>
      <c r="R27019"/>
      <c r="S27019"/>
      <c r="T27019"/>
      <c r="U27019"/>
      <c r="X27019" s="60"/>
    </row>
    <row r="27020" spans="7:24" ht="15" customHeight="1">
      <c r="G27020"/>
      <c r="I27020"/>
      <c r="N27020"/>
      <c r="O27020" s="24"/>
      <c r="P27020"/>
      <c r="Q27020" s="24"/>
      <c r="R27020"/>
      <c r="S27020"/>
      <c r="T27020"/>
      <c r="U27020"/>
      <c r="X27020" s="60"/>
    </row>
    <row r="27021" spans="7:24" ht="15" customHeight="1">
      <c r="G27021"/>
      <c r="I27021"/>
      <c r="N27021"/>
      <c r="O27021" s="24"/>
      <c r="P27021"/>
      <c r="Q27021" s="24"/>
      <c r="R27021"/>
      <c r="S27021"/>
      <c r="T27021"/>
      <c r="U27021"/>
      <c r="X27021" s="60"/>
    </row>
    <row r="27022" spans="7:24" ht="15" customHeight="1">
      <c r="G27022"/>
      <c r="I27022"/>
      <c r="N27022"/>
      <c r="O27022" s="24"/>
      <c r="P27022"/>
      <c r="Q27022" s="24"/>
      <c r="R27022"/>
      <c r="S27022"/>
      <c r="T27022"/>
      <c r="U27022"/>
      <c r="X27022" s="60"/>
    </row>
    <row r="27023" spans="7:24" ht="15" customHeight="1">
      <c r="G27023"/>
      <c r="I27023"/>
      <c r="N27023"/>
      <c r="O27023" s="24"/>
      <c r="P27023"/>
      <c r="Q27023" s="24"/>
      <c r="R27023"/>
      <c r="S27023"/>
      <c r="T27023"/>
      <c r="U27023"/>
      <c r="X27023" s="60"/>
    </row>
    <row r="27024" spans="7:24" ht="15" customHeight="1">
      <c r="G27024"/>
      <c r="I27024"/>
      <c r="N27024"/>
      <c r="O27024" s="24"/>
      <c r="P27024"/>
      <c r="Q27024" s="24"/>
      <c r="R27024"/>
      <c r="S27024"/>
      <c r="T27024"/>
      <c r="U27024"/>
      <c r="X27024" s="60"/>
    </row>
    <row r="27025" spans="7:24" ht="15" customHeight="1">
      <c r="G27025"/>
      <c r="I27025"/>
      <c r="N27025"/>
      <c r="O27025" s="24"/>
      <c r="P27025"/>
      <c r="Q27025" s="24"/>
      <c r="R27025"/>
      <c r="S27025"/>
      <c r="T27025"/>
      <c r="U27025"/>
      <c r="X27025" s="60"/>
    </row>
    <row r="27026" spans="7:24" ht="15" customHeight="1">
      <c r="G27026"/>
      <c r="I27026"/>
      <c r="N27026"/>
      <c r="O27026" s="24"/>
      <c r="P27026"/>
      <c r="Q27026" s="24"/>
      <c r="R27026"/>
      <c r="S27026"/>
      <c r="T27026"/>
      <c r="U27026"/>
      <c r="X27026" s="60"/>
    </row>
    <row r="27027" spans="7:24" ht="15" customHeight="1">
      <c r="G27027"/>
      <c r="I27027"/>
      <c r="N27027"/>
      <c r="O27027" s="24"/>
      <c r="P27027"/>
      <c r="Q27027" s="24"/>
      <c r="R27027"/>
      <c r="S27027"/>
      <c r="T27027"/>
      <c r="U27027"/>
      <c r="X27027" s="60"/>
    </row>
    <row r="27028" spans="7:24" ht="15" customHeight="1">
      <c r="G27028"/>
      <c r="I27028"/>
      <c r="N27028"/>
      <c r="O27028" s="24"/>
      <c r="P27028"/>
      <c r="Q27028" s="24"/>
      <c r="R27028"/>
      <c r="S27028"/>
      <c r="T27028"/>
      <c r="U27028"/>
      <c r="X27028" s="60"/>
    </row>
    <row r="27029" spans="7:24" ht="15" customHeight="1">
      <c r="G27029"/>
      <c r="I27029"/>
      <c r="N27029"/>
      <c r="O27029" s="24"/>
      <c r="P27029"/>
      <c r="Q27029" s="24"/>
      <c r="R27029"/>
      <c r="S27029"/>
      <c r="T27029"/>
      <c r="U27029"/>
      <c r="X27029" s="60"/>
    </row>
    <row r="27030" spans="7:24" ht="15" customHeight="1">
      <c r="G27030"/>
      <c r="I27030"/>
      <c r="N27030"/>
      <c r="O27030" s="24"/>
      <c r="P27030"/>
      <c r="Q27030" s="24"/>
      <c r="R27030"/>
      <c r="S27030"/>
      <c r="T27030"/>
      <c r="U27030"/>
      <c r="X27030" s="60"/>
    </row>
    <row r="27031" spans="7:24" ht="15" customHeight="1">
      <c r="G27031"/>
      <c r="I27031"/>
      <c r="N27031"/>
      <c r="O27031" s="24"/>
      <c r="P27031"/>
      <c r="Q27031" s="24"/>
      <c r="R27031"/>
      <c r="S27031"/>
      <c r="T27031"/>
      <c r="U27031"/>
      <c r="X27031" s="60"/>
    </row>
    <row r="27032" spans="7:24" ht="15" customHeight="1">
      <c r="G27032"/>
      <c r="I27032"/>
      <c r="N27032"/>
      <c r="O27032" s="24"/>
      <c r="P27032"/>
      <c r="Q27032" s="24"/>
      <c r="R27032"/>
      <c r="S27032"/>
      <c r="T27032"/>
      <c r="U27032"/>
      <c r="X27032" s="60"/>
    </row>
    <row r="27033" spans="7:24" ht="15" customHeight="1">
      <c r="G27033"/>
      <c r="I27033"/>
      <c r="N27033"/>
      <c r="O27033" s="24"/>
      <c r="P27033"/>
      <c r="Q27033" s="24"/>
      <c r="R27033"/>
      <c r="S27033"/>
      <c r="T27033"/>
      <c r="U27033"/>
      <c r="X27033" s="60"/>
    </row>
    <row r="27034" spans="7:24" ht="15" customHeight="1">
      <c r="G27034"/>
      <c r="I27034"/>
      <c r="N27034"/>
      <c r="O27034" s="24"/>
      <c r="P27034"/>
      <c r="Q27034" s="24"/>
      <c r="R27034"/>
      <c r="S27034"/>
      <c r="T27034"/>
      <c r="U27034"/>
      <c r="X27034" s="60"/>
    </row>
    <row r="27035" spans="7:24" ht="15" customHeight="1">
      <c r="G27035"/>
      <c r="I27035"/>
      <c r="N27035"/>
      <c r="O27035" s="24"/>
      <c r="P27035"/>
      <c r="Q27035" s="24"/>
      <c r="R27035"/>
      <c r="S27035"/>
      <c r="T27035"/>
      <c r="U27035"/>
      <c r="X27035" s="60"/>
    </row>
    <row r="27036" spans="7:24" ht="15" customHeight="1">
      <c r="G27036"/>
      <c r="I27036"/>
      <c r="N27036"/>
      <c r="O27036" s="24"/>
      <c r="P27036"/>
      <c r="Q27036" s="24"/>
      <c r="R27036"/>
      <c r="S27036"/>
      <c r="T27036"/>
      <c r="U27036"/>
      <c r="X27036" s="60"/>
    </row>
    <row r="27037" spans="7:24" ht="15" customHeight="1">
      <c r="G27037"/>
      <c r="I27037"/>
      <c r="N27037"/>
      <c r="O27037" s="24"/>
      <c r="P27037"/>
      <c r="Q27037" s="24"/>
      <c r="R27037"/>
      <c r="S27037"/>
      <c r="T27037"/>
      <c r="U27037"/>
      <c r="X27037" s="60"/>
    </row>
    <row r="27038" spans="7:24" ht="15" customHeight="1">
      <c r="G27038"/>
      <c r="I27038"/>
      <c r="N27038"/>
      <c r="O27038" s="24"/>
      <c r="P27038"/>
      <c r="Q27038" s="24"/>
      <c r="R27038"/>
      <c r="S27038"/>
      <c r="T27038"/>
      <c r="U27038"/>
      <c r="X27038" s="60"/>
    </row>
    <row r="27039" spans="7:24" ht="15" customHeight="1">
      <c r="G27039"/>
      <c r="I27039"/>
      <c r="N27039"/>
      <c r="O27039" s="24"/>
      <c r="P27039"/>
      <c r="Q27039" s="24"/>
      <c r="R27039"/>
      <c r="S27039"/>
      <c r="T27039"/>
      <c r="U27039"/>
      <c r="X27039" s="60"/>
    </row>
    <row r="27040" spans="7:24" ht="15" customHeight="1">
      <c r="G27040"/>
      <c r="I27040"/>
      <c r="N27040"/>
      <c r="O27040" s="24"/>
      <c r="P27040"/>
      <c r="Q27040" s="24"/>
      <c r="R27040"/>
      <c r="S27040"/>
      <c r="T27040"/>
      <c r="U27040"/>
      <c r="X27040" s="60"/>
    </row>
    <row r="27041" spans="7:24" ht="15" customHeight="1">
      <c r="G27041"/>
      <c r="I27041"/>
      <c r="N27041"/>
      <c r="O27041" s="24"/>
      <c r="P27041"/>
      <c r="Q27041" s="24"/>
      <c r="R27041"/>
      <c r="S27041"/>
      <c r="T27041"/>
      <c r="U27041"/>
      <c r="X27041" s="60"/>
    </row>
    <row r="27042" spans="7:24" ht="15" customHeight="1">
      <c r="G27042"/>
      <c r="I27042"/>
      <c r="N27042"/>
      <c r="O27042" s="24"/>
      <c r="P27042"/>
      <c r="Q27042" s="24"/>
      <c r="R27042"/>
      <c r="S27042"/>
      <c r="T27042"/>
      <c r="U27042"/>
      <c r="X27042" s="60"/>
    </row>
    <row r="27043" spans="7:24" ht="15" customHeight="1">
      <c r="G27043"/>
      <c r="I27043"/>
      <c r="N27043"/>
      <c r="O27043" s="24"/>
      <c r="P27043"/>
      <c r="Q27043" s="24"/>
      <c r="R27043"/>
      <c r="S27043"/>
      <c r="T27043"/>
      <c r="U27043"/>
      <c r="X27043" s="60"/>
    </row>
    <row r="27044" spans="7:24" ht="15" customHeight="1">
      <c r="G27044"/>
      <c r="I27044"/>
      <c r="N27044"/>
      <c r="O27044" s="24"/>
      <c r="P27044"/>
      <c r="Q27044" s="24"/>
      <c r="R27044"/>
      <c r="S27044"/>
      <c r="T27044"/>
      <c r="U27044"/>
      <c r="X27044" s="60"/>
    </row>
    <row r="27045" spans="7:24" ht="15" customHeight="1">
      <c r="G27045"/>
      <c r="I27045"/>
      <c r="N27045"/>
      <c r="O27045" s="24"/>
      <c r="P27045"/>
      <c r="Q27045" s="24"/>
      <c r="R27045"/>
      <c r="S27045"/>
      <c r="T27045"/>
      <c r="U27045"/>
      <c r="X27045" s="60"/>
    </row>
    <row r="27046" spans="7:24" ht="15" customHeight="1">
      <c r="G27046"/>
      <c r="I27046"/>
      <c r="N27046"/>
      <c r="O27046" s="24"/>
      <c r="P27046"/>
      <c r="Q27046" s="24"/>
      <c r="R27046"/>
      <c r="S27046"/>
      <c r="T27046"/>
      <c r="U27046"/>
      <c r="X27046" s="60"/>
    </row>
    <row r="27047" spans="7:24" ht="15" customHeight="1">
      <c r="G27047"/>
      <c r="I27047"/>
      <c r="N27047"/>
      <c r="O27047" s="24"/>
      <c r="P27047"/>
      <c r="Q27047" s="24"/>
      <c r="R27047"/>
      <c r="S27047"/>
      <c r="T27047"/>
      <c r="U27047"/>
      <c r="X27047" s="60"/>
    </row>
    <row r="27048" spans="7:24" ht="15" customHeight="1">
      <c r="G27048"/>
      <c r="I27048"/>
      <c r="N27048"/>
      <c r="O27048" s="24"/>
      <c r="P27048"/>
      <c r="Q27048" s="24"/>
      <c r="R27048"/>
      <c r="S27048"/>
      <c r="T27048"/>
      <c r="U27048"/>
      <c r="X27048" s="60"/>
    </row>
    <row r="27049" spans="7:24" ht="15" customHeight="1">
      <c r="G27049"/>
      <c r="I27049"/>
      <c r="N27049"/>
      <c r="O27049" s="24"/>
      <c r="P27049"/>
      <c r="Q27049" s="24"/>
      <c r="R27049"/>
      <c r="S27049"/>
      <c r="T27049"/>
      <c r="U27049"/>
      <c r="X27049" s="60"/>
    </row>
    <row r="27050" spans="7:24" ht="15" customHeight="1">
      <c r="G27050"/>
      <c r="I27050"/>
      <c r="N27050"/>
      <c r="O27050" s="24"/>
      <c r="P27050"/>
      <c r="Q27050" s="24"/>
      <c r="R27050"/>
      <c r="S27050"/>
      <c r="T27050"/>
      <c r="U27050"/>
      <c r="X27050" s="60"/>
    </row>
    <row r="27051" spans="7:24" ht="15" customHeight="1">
      <c r="G27051"/>
      <c r="I27051"/>
      <c r="N27051"/>
      <c r="O27051" s="24"/>
      <c r="P27051"/>
      <c r="Q27051" s="24"/>
      <c r="R27051"/>
      <c r="S27051"/>
      <c r="T27051"/>
      <c r="U27051"/>
      <c r="X27051" s="60"/>
    </row>
    <row r="27052" spans="7:24" ht="15" customHeight="1">
      <c r="G27052"/>
      <c r="I27052"/>
      <c r="N27052"/>
      <c r="O27052" s="24"/>
      <c r="P27052"/>
      <c r="Q27052" s="24"/>
      <c r="R27052"/>
      <c r="S27052"/>
      <c r="T27052"/>
      <c r="U27052"/>
      <c r="X27052" s="60"/>
    </row>
    <row r="27053" spans="7:24" ht="15" customHeight="1">
      <c r="G27053"/>
      <c r="I27053"/>
      <c r="N27053"/>
      <c r="O27053" s="24"/>
      <c r="P27053"/>
      <c r="Q27053" s="24"/>
      <c r="R27053"/>
      <c r="S27053"/>
      <c r="T27053"/>
      <c r="U27053"/>
      <c r="X27053" s="60"/>
    </row>
    <row r="27054" spans="7:24" ht="15" customHeight="1">
      <c r="G27054"/>
      <c r="I27054"/>
      <c r="N27054"/>
      <c r="O27054" s="24"/>
      <c r="P27054"/>
      <c r="Q27054" s="24"/>
      <c r="R27054"/>
      <c r="S27054"/>
      <c r="T27054"/>
      <c r="U27054"/>
      <c r="X27054" s="60"/>
    </row>
    <row r="27055" spans="7:24" ht="15" customHeight="1">
      <c r="G27055"/>
      <c r="I27055"/>
      <c r="N27055"/>
      <c r="O27055" s="24"/>
      <c r="P27055"/>
      <c r="Q27055" s="24"/>
      <c r="R27055"/>
      <c r="S27055"/>
      <c r="T27055"/>
      <c r="U27055"/>
      <c r="X27055" s="60"/>
    </row>
    <row r="27056" spans="7:24" ht="15" customHeight="1">
      <c r="G27056"/>
      <c r="I27056"/>
      <c r="N27056"/>
      <c r="O27056" s="24"/>
      <c r="P27056"/>
      <c r="Q27056" s="24"/>
      <c r="R27056"/>
      <c r="S27056"/>
      <c r="T27056"/>
      <c r="U27056"/>
      <c r="X27056" s="60"/>
    </row>
    <row r="27057" spans="7:24" ht="15" customHeight="1">
      <c r="G27057"/>
      <c r="I27057"/>
      <c r="N27057"/>
      <c r="O27057" s="24"/>
      <c r="P27057"/>
      <c r="Q27057" s="24"/>
      <c r="R27057"/>
      <c r="S27057"/>
      <c r="T27057"/>
      <c r="U27057"/>
      <c r="X27057" s="60"/>
    </row>
    <row r="27058" spans="7:24" ht="15" customHeight="1">
      <c r="G27058"/>
      <c r="I27058"/>
      <c r="N27058"/>
      <c r="O27058" s="24"/>
      <c r="P27058"/>
      <c r="Q27058" s="24"/>
      <c r="R27058"/>
      <c r="S27058"/>
      <c r="T27058"/>
      <c r="U27058"/>
      <c r="X27058" s="60"/>
    </row>
    <row r="27059" spans="7:24" ht="15" customHeight="1">
      <c r="G27059"/>
      <c r="I27059"/>
      <c r="N27059"/>
      <c r="O27059" s="24"/>
      <c r="P27059"/>
      <c r="Q27059" s="24"/>
      <c r="R27059"/>
      <c r="S27059"/>
      <c r="T27059"/>
      <c r="U27059"/>
      <c r="X27059" s="60"/>
    </row>
    <row r="27060" spans="7:24" ht="15" customHeight="1">
      <c r="G27060"/>
      <c r="I27060"/>
      <c r="N27060"/>
      <c r="O27060" s="24"/>
      <c r="P27060"/>
      <c r="Q27060" s="24"/>
      <c r="R27060"/>
      <c r="S27060"/>
      <c r="T27060"/>
      <c r="U27060"/>
      <c r="X27060" s="60"/>
    </row>
    <row r="27061" spans="7:24" ht="15" customHeight="1">
      <c r="G27061"/>
      <c r="I27061"/>
      <c r="N27061"/>
      <c r="O27061" s="24"/>
      <c r="P27061"/>
      <c r="Q27061" s="24"/>
      <c r="R27061"/>
      <c r="S27061"/>
      <c r="T27061"/>
      <c r="U27061"/>
      <c r="X27061" s="60"/>
    </row>
    <row r="27062" spans="7:24" ht="15" customHeight="1">
      <c r="G27062"/>
      <c r="I27062"/>
      <c r="N27062"/>
      <c r="O27062" s="24"/>
      <c r="P27062"/>
      <c r="Q27062" s="24"/>
      <c r="R27062"/>
      <c r="S27062"/>
      <c r="T27062"/>
      <c r="U27062"/>
      <c r="X27062" s="60"/>
    </row>
    <row r="27063" spans="7:24" ht="15" customHeight="1">
      <c r="G27063"/>
      <c r="I27063"/>
      <c r="N27063"/>
      <c r="O27063" s="24"/>
      <c r="P27063"/>
      <c r="Q27063" s="24"/>
      <c r="R27063"/>
      <c r="S27063"/>
      <c r="T27063"/>
      <c r="U27063"/>
      <c r="X27063" s="60"/>
    </row>
    <row r="27064" spans="7:24" ht="15" customHeight="1">
      <c r="G27064"/>
      <c r="I27064"/>
      <c r="N27064"/>
      <c r="O27064" s="24"/>
      <c r="P27064"/>
      <c r="Q27064" s="24"/>
      <c r="R27064"/>
      <c r="S27064"/>
      <c r="T27064"/>
      <c r="U27064"/>
      <c r="X27064" s="60"/>
    </row>
    <row r="27065" spans="7:24" ht="15" customHeight="1">
      <c r="G27065"/>
      <c r="I27065"/>
      <c r="N27065"/>
      <c r="O27065" s="24"/>
      <c r="P27065"/>
      <c r="Q27065" s="24"/>
      <c r="R27065"/>
      <c r="S27065"/>
      <c r="T27065"/>
      <c r="U27065"/>
      <c r="X27065" s="60"/>
    </row>
    <row r="27066" spans="7:24" ht="15" customHeight="1">
      <c r="G27066"/>
      <c r="I27066"/>
      <c r="N27066"/>
      <c r="O27066" s="24"/>
      <c r="P27066"/>
      <c r="Q27066" s="24"/>
      <c r="R27066"/>
      <c r="S27066"/>
      <c r="T27066"/>
      <c r="U27066"/>
      <c r="X27066" s="60"/>
    </row>
    <row r="27067" spans="7:24" ht="15" customHeight="1">
      <c r="G27067"/>
      <c r="I27067"/>
      <c r="N27067"/>
      <c r="O27067" s="24"/>
      <c r="P27067"/>
      <c r="Q27067" s="24"/>
      <c r="R27067"/>
      <c r="S27067"/>
      <c r="T27067"/>
      <c r="U27067"/>
      <c r="X27067" s="60"/>
    </row>
    <row r="27068" spans="7:24" ht="15" customHeight="1">
      <c r="G27068"/>
      <c r="I27068"/>
      <c r="N27068"/>
      <c r="O27068" s="24"/>
      <c r="P27068"/>
      <c r="Q27068" s="24"/>
      <c r="R27068"/>
      <c r="S27068"/>
      <c r="T27068"/>
      <c r="U27068"/>
      <c r="X27068" s="60"/>
    </row>
    <row r="27069" spans="7:24" ht="15" customHeight="1">
      <c r="G27069"/>
      <c r="I27069"/>
      <c r="N27069"/>
      <c r="O27069" s="24"/>
      <c r="P27069"/>
      <c r="Q27069" s="24"/>
      <c r="R27069"/>
      <c r="S27069"/>
      <c r="T27069"/>
      <c r="U27069"/>
      <c r="X27069" s="60"/>
    </row>
    <row r="27070" spans="7:24" ht="15" customHeight="1">
      <c r="G27070"/>
      <c r="I27070"/>
      <c r="N27070"/>
      <c r="O27070" s="24"/>
      <c r="P27070"/>
      <c r="Q27070" s="24"/>
      <c r="R27070"/>
      <c r="S27070"/>
      <c r="T27070"/>
      <c r="U27070"/>
      <c r="X27070" s="60"/>
    </row>
    <row r="27071" spans="7:24" ht="15" customHeight="1">
      <c r="G27071"/>
      <c r="I27071"/>
      <c r="N27071"/>
      <c r="O27071" s="24"/>
      <c r="P27071"/>
      <c r="Q27071" s="24"/>
      <c r="R27071"/>
      <c r="S27071"/>
      <c r="T27071"/>
      <c r="U27071"/>
      <c r="X27071" s="60"/>
    </row>
    <row r="27072" spans="7:24" ht="15" customHeight="1">
      <c r="G27072"/>
      <c r="I27072"/>
      <c r="N27072"/>
      <c r="O27072" s="24"/>
      <c r="P27072"/>
      <c r="Q27072" s="24"/>
      <c r="R27072"/>
      <c r="S27072"/>
      <c r="T27072"/>
      <c r="U27072"/>
      <c r="X27072" s="60"/>
    </row>
    <row r="27073" spans="7:24" ht="15" customHeight="1">
      <c r="G27073"/>
      <c r="I27073"/>
      <c r="N27073"/>
      <c r="O27073" s="24"/>
      <c r="P27073"/>
      <c r="Q27073" s="24"/>
      <c r="R27073"/>
      <c r="S27073"/>
      <c r="T27073"/>
      <c r="U27073"/>
      <c r="X27073" s="60"/>
    </row>
    <row r="27074" spans="7:24" ht="15" customHeight="1">
      <c r="G27074"/>
      <c r="I27074"/>
      <c r="N27074"/>
      <c r="O27074" s="24"/>
      <c r="P27074"/>
      <c r="Q27074" s="24"/>
      <c r="R27074"/>
      <c r="S27074"/>
      <c r="T27074"/>
      <c r="U27074"/>
      <c r="X27074" s="60"/>
    </row>
    <row r="27075" spans="7:24" ht="15" customHeight="1">
      <c r="G27075"/>
      <c r="I27075"/>
      <c r="N27075"/>
      <c r="O27075" s="24"/>
      <c r="P27075"/>
      <c r="Q27075" s="24"/>
      <c r="R27075"/>
      <c r="S27075"/>
      <c r="T27075"/>
      <c r="U27075"/>
      <c r="X27075" s="60"/>
    </row>
    <row r="27076" spans="7:24" ht="15" customHeight="1">
      <c r="G27076"/>
      <c r="I27076"/>
      <c r="N27076"/>
      <c r="O27076" s="24"/>
      <c r="P27076"/>
      <c r="Q27076" s="24"/>
      <c r="R27076"/>
      <c r="S27076"/>
      <c r="T27076"/>
      <c r="U27076"/>
      <c r="X27076" s="60"/>
    </row>
    <row r="27077" spans="7:24" ht="15" customHeight="1">
      <c r="G27077"/>
      <c r="I27077"/>
      <c r="N27077"/>
      <c r="O27077" s="24"/>
      <c r="P27077"/>
      <c r="Q27077" s="24"/>
      <c r="R27077"/>
      <c r="S27077"/>
      <c r="T27077"/>
      <c r="U27077"/>
      <c r="X27077" s="60"/>
    </row>
    <row r="27078" spans="7:24" ht="15" customHeight="1">
      <c r="G27078"/>
      <c r="I27078"/>
      <c r="N27078"/>
      <c r="O27078" s="24"/>
      <c r="P27078"/>
      <c r="Q27078" s="24"/>
      <c r="R27078"/>
      <c r="S27078"/>
      <c r="T27078"/>
      <c r="U27078"/>
      <c r="X27078" s="60"/>
    </row>
    <row r="27079" spans="7:24" ht="15" customHeight="1">
      <c r="G27079"/>
      <c r="I27079"/>
      <c r="N27079"/>
      <c r="O27079" s="24"/>
      <c r="P27079"/>
      <c r="Q27079" s="24"/>
      <c r="R27079"/>
      <c r="S27079"/>
      <c r="T27079"/>
      <c r="U27079"/>
      <c r="X27079" s="60"/>
    </row>
    <row r="27080" spans="7:24" ht="15" customHeight="1">
      <c r="G27080"/>
      <c r="I27080"/>
      <c r="N27080"/>
      <c r="O27080" s="24"/>
      <c r="P27080"/>
      <c r="Q27080" s="24"/>
      <c r="R27080"/>
      <c r="S27080"/>
      <c r="T27080"/>
      <c r="U27080"/>
      <c r="X27080" s="60"/>
    </row>
    <row r="27081" spans="7:24" ht="15" customHeight="1">
      <c r="G27081"/>
      <c r="I27081"/>
      <c r="N27081"/>
      <c r="O27081" s="24"/>
      <c r="P27081"/>
      <c r="Q27081" s="24"/>
      <c r="R27081"/>
      <c r="S27081"/>
      <c r="T27081"/>
      <c r="U27081"/>
      <c r="X27081" s="60"/>
    </row>
    <row r="27082" spans="7:24" ht="15" customHeight="1">
      <c r="G27082"/>
      <c r="I27082"/>
      <c r="N27082"/>
      <c r="O27082" s="24"/>
      <c r="P27082"/>
      <c r="Q27082" s="24"/>
      <c r="R27082"/>
      <c r="S27082"/>
      <c r="T27082"/>
      <c r="U27082"/>
      <c r="X27082" s="60"/>
    </row>
    <row r="27083" spans="7:24" ht="15" customHeight="1">
      <c r="G27083"/>
      <c r="I27083"/>
      <c r="N27083"/>
      <c r="O27083" s="24"/>
      <c r="P27083"/>
      <c r="Q27083" s="24"/>
      <c r="R27083"/>
      <c r="S27083"/>
      <c r="T27083"/>
      <c r="U27083"/>
      <c r="X27083" s="60"/>
    </row>
    <row r="27084" spans="7:24" ht="15" customHeight="1">
      <c r="G27084"/>
      <c r="I27084"/>
      <c r="N27084"/>
      <c r="O27084" s="24"/>
      <c r="P27084"/>
      <c r="Q27084" s="24"/>
      <c r="R27084"/>
      <c r="S27084"/>
      <c r="T27084"/>
      <c r="U27084"/>
      <c r="X27084" s="60"/>
    </row>
    <row r="27085" spans="7:24" ht="15" customHeight="1">
      <c r="G27085"/>
      <c r="I27085"/>
      <c r="N27085"/>
      <c r="O27085" s="24"/>
      <c r="P27085"/>
      <c r="Q27085" s="24"/>
      <c r="R27085"/>
      <c r="S27085"/>
      <c r="T27085"/>
      <c r="U27085"/>
      <c r="X27085" s="60"/>
    </row>
    <row r="27086" spans="7:24" ht="15" customHeight="1">
      <c r="G27086"/>
      <c r="I27086"/>
      <c r="N27086"/>
      <c r="O27086" s="24"/>
      <c r="P27086"/>
      <c r="Q27086" s="24"/>
      <c r="R27086"/>
      <c r="S27086"/>
      <c r="T27086"/>
      <c r="U27086"/>
      <c r="X27086" s="60"/>
    </row>
    <row r="27087" spans="7:24" ht="15" customHeight="1">
      <c r="G27087"/>
      <c r="I27087"/>
      <c r="N27087"/>
      <c r="O27087" s="24"/>
      <c r="P27087"/>
      <c r="Q27087" s="24"/>
      <c r="R27087"/>
      <c r="S27087"/>
      <c r="T27087"/>
      <c r="U27087"/>
      <c r="X27087" s="60"/>
    </row>
    <row r="27088" spans="7:24" ht="15" customHeight="1">
      <c r="G27088"/>
      <c r="I27088"/>
      <c r="N27088"/>
      <c r="O27088" s="24"/>
      <c r="P27088"/>
      <c r="Q27088" s="24"/>
      <c r="R27088"/>
      <c r="S27088"/>
      <c r="T27088"/>
      <c r="U27088"/>
      <c r="X27088" s="60"/>
    </row>
    <row r="27089" spans="7:24" ht="15" customHeight="1">
      <c r="G27089"/>
      <c r="I27089"/>
      <c r="N27089"/>
      <c r="O27089" s="24"/>
      <c r="P27089"/>
      <c r="Q27089" s="24"/>
      <c r="R27089"/>
      <c r="S27089"/>
      <c r="T27089"/>
      <c r="U27089"/>
      <c r="X27089" s="60"/>
    </row>
    <row r="27090" spans="7:24" ht="15" customHeight="1">
      <c r="G27090"/>
      <c r="I27090"/>
      <c r="N27090"/>
      <c r="O27090" s="24"/>
      <c r="P27090"/>
      <c r="Q27090" s="24"/>
      <c r="R27090"/>
      <c r="S27090"/>
      <c r="T27090"/>
      <c r="U27090"/>
      <c r="X27090" s="60"/>
    </row>
    <row r="27091" spans="7:24" ht="15" customHeight="1">
      <c r="G27091"/>
      <c r="I27091"/>
      <c r="N27091"/>
      <c r="O27091" s="24"/>
      <c r="P27091"/>
      <c r="Q27091" s="24"/>
      <c r="R27091"/>
      <c r="S27091"/>
      <c r="T27091"/>
      <c r="U27091"/>
      <c r="X27091" s="60"/>
    </row>
    <row r="27092" spans="7:24" ht="15" customHeight="1">
      <c r="G27092"/>
      <c r="I27092"/>
      <c r="N27092"/>
      <c r="O27092" s="24"/>
      <c r="P27092"/>
      <c r="Q27092" s="24"/>
      <c r="R27092"/>
      <c r="S27092"/>
      <c r="T27092"/>
      <c r="U27092"/>
      <c r="X27092" s="60"/>
    </row>
    <row r="27093" spans="7:24" ht="15" customHeight="1">
      <c r="G27093"/>
      <c r="I27093"/>
      <c r="N27093"/>
      <c r="O27093" s="24"/>
      <c r="P27093"/>
      <c r="Q27093" s="24"/>
      <c r="R27093"/>
      <c r="S27093"/>
      <c r="T27093"/>
      <c r="U27093"/>
      <c r="X27093" s="60"/>
    </row>
    <row r="27094" spans="7:24" ht="15" customHeight="1">
      <c r="G27094"/>
      <c r="I27094"/>
      <c r="N27094"/>
      <c r="O27094" s="24"/>
      <c r="P27094"/>
      <c r="Q27094" s="24"/>
      <c r="R27094"/>
      <c r="S27094"/>
      <c r="T27094"/>
      <c r="U27094"/>
      <c r="X27094" s="60"/>
    </row>
    <row r="27095" spans="7:24" ht="15" customHeight="1">
      <c r="G27095"/>
      <c r="I27095"/>
      <c r="N27095"/>
      <c r="O27095" s="24"/>
      <c r="P27095"/>
      <c r="Q27095" s="24"/>
      <c r="R27095"/>
      <c r="S27095"/>
      <c r="T27095"/>
      <c r="U27095"/>
      <c r="X27095" s="60"/>
    </row>
    <row r="27096" spans="7:24" ht="15" customHeight="1">
      <c r="G27096"/>
      <c r="I27096"/>
      <c r="N27096"/>
      <c r="O27096" s="24"/>
      <c r="P27096"/>
      <c r="Q27096" s="24"/>
      <c r="R27096"/>
      <c r="S27096"/>
      <c r="T27096"/>
      <c r="U27096"/>
      <c r="X27096" s="60"/>
    </row>
    <row r="27097" spans="7:24" ht="15" customHeight="1">
      <c r="G27097"/>
      <c r="I27097"/>
      <c r="N27097"/>
      <c r="O27097" s="24"/>
      <c r="P27097"/>
      <c r="Q27097" s="24"/>
      <c r="R27097"/>
      <c r="S27097"/>
      <c r="T27097"/>
      <c r="U27097"/>
      <c r="X27097" s="60"/>
    </row>
    <row r="27098" spans="7:24" ht="15" customHeight="1">
      <c r="G27098"/>
      <c r="I27098"/>
      <c r="N27098"/>
      <c r="O27098" s="24"/>
      <c r="P27098"/>
      <c r="Q27098" s="24"/>
      <c r="R27098"/>
      <c r="S27098"/>
      <c r="T27098"/>
      <c r="U27098"/>
      <c r="X27098" s="60"/>
    </row>
    <row r="27099" spans="7:24" ht="15" customHeight="1">
      <c r="G27099"/>
      <c r="I27099"/>
      <c r="N27099"/>
      <c r="O27099" s="24"/>
      <c r="P27099"/>
      <c r="Q27099" s="24"/>
      <c r="R27099"/>
      <c r="S27099"/>
      <c r="T27099"/>
      <c r="U27099"/>
      <c r="X27099" s="60"/>
    </row>
    <row r="27100" spans="7:24" ht="15" customHeight="1">
      <c r="G27100"/>
      <c r="I27100"/>
      <c r="N27100"/>
      <c r="O27100" s="24"/>
      <c r="P27100"/>
      <c r="Q27100" s="24"/>
      <c r="R27100"/>
      <c r="S27100"/>
      <c r="T27100"/>
      <c r="U27100"/>
      <c r="X27100" s="60"/>
    </row>
    <row r="27101" spans="7:24" ht="15" customHeight="1">
      <c r="G27101"/>
      <c r="I27101"/>
      <c r="N27101"/>
      <c r="O27101" s="24"/>
      <c r="P27101"/>
      <c r="Q27101" s="24"/>
      <c r="R27101"/>
      <c r="S27101"/>
      <c r="T27101"/>
      <c r="U27101"/>
      <c r="X27101" s="60"/>
    </row>
    <row r="27102" spans="7:24" ht="15" customHeight="1">
      <c r="G27102"/>
      <c r="I27102"/>
      <c r="N27102"/>
      <c r="O27102" s="24"/>
      <c r="P27102"/>
      <c r="Q27102" s="24"/>
      <c r="R27102"/>
      <c r="S27102"/>
      <c r="T27102"/>
      <c r="U27102"/>
      <c r="X27102" s="60"/>
    </row>
    <row r="27103" spans="7:24" ht="15" customHeight="1">
      <c r="G27103"/>
      <c r="I27103"/>
      <c r="N27103"/>
      <c r="O27103" s="24"/>
      <c r="P27103"/>
      <c r="Q27103" s="24"/>
      <c r="R27103"/>
      <c r="S27103"/>
      <c r="T27103"/>
      <c r="U27103"/>
      <c r="X27103" s="60"/>
    </row>
    <row r="27104" spans="7:24" ht="15" customHeight="1">
      <c r="G27104"/>
      <c r="I27104"/>
      <c r="N27104"/>
      <c r="O27104" s="24"/>
      <c r="P27104"/>
      <c r="Q27104" s="24"/>
      <c r="R27104"/>
      <c r="S27104"/>
      <c r="T27104"/>
      <c r="U27104"/>
      <c r="X27104" s="60"/>
    </row>
    <row r="27105" spans="7:24" ht="15" customHeight="1">
      <c r="G27105"/>
      <c r="I27105"/>
      <c r="N27105"/>
      <c r="O27105" s="24"/>
      <c r="P27105"/>
      <c r="Q27105" s="24"/>
      <c r="R27105"/>
      <c r="S27105"/>
      <c r="T27105"/>
      <c r="U27105"/>
      <c r="X27105" s="60"/>
    </row>
    <row r="27106" spans="7:24" ht="15" customHeight="1">
      <c r="G27106"/>
      <c r="I27106"/>
      <c r="N27106"/>
      <c r="O27106" s="24"/>
      <c r="P27106"/>
      <c r="Q27106" s="24"/>
      <c r="R27106"/>
      <c r="S27106"/>
      <c r="T27106"/>
      <c r="U27106"/>
      <c r="X27106" s="60"/>
    </row>
    <row r="27107" spans="7:24" ht="15" customHeight="1">
      <c r="G27107"/>
      <c r="I27107"/>
      <c r="N27107"/>
      <c r="O27107" s="24"/>
      <c r="P27107"/>
      <c r="Q27107" s="24"/>
      <c r="R27107"/>
      <c r="S27107"/>
      <c r="T27107"/>
      <c r="U27107"/>
      <c r="X27107" s="60"/>
    </row>
    <row r="27108" spans="7:24" ht="15" customHeight="1">
      <c r="G27108"/>
      <c r="I27108"/>
      <c r="N27108"/>
      <c r="O27108" s="24"/>
      <c r="P27108"/>
      <c r="Q27108" s="24"/>
      <c r="R27108"/>
      <c r="S27108"/>
      <c r="T27108"/>
      <c r="U27108"/>
      <c r="X27108" s="60"/>
    </row>
    <row r="27109" spans="7:24" ht="15" customHeight="1">
      <c r="G27109"/>
      <c r="I27109"/>
      <c r="N27109"/>
      <c r="O27109" s="24"/>
      <c r="P27109"/>
      <c r="Q27109" s="24"/>
      <c r="R27109"/>
      <c r="S27109"/>
      <c r="T27109"/>
      <c r="U27109"/>
      <c r="X27109" s="60"/>
    </row>
    <row r="27110" spans="7:24" ht="15" customHeight="1">
      <c r="G27110"/>
      <c r="I27110"/>
      <c r="N27110"/>
      <c r="O27110" s="24"/>
      <c r="P27110"/>
      <c r="Q27110" s="24"/>
      <c r="R27110"/>
      <c r="S27110"/>
      <c r="T27110"/>
      <c r="U27110"/>
      <c r="X27110" s="60"/>
    </row>
    <row r="27111" spans="7:24" ht="15" customHeight="1">
      <c r="G27111"/>
      <c r="I27111"/>
      <c r="N27111"/>
      <c r="O27111" s="24"/>
      <c r="P27111"/>
      <c r="Q27111" s="24"/>
      <c r="R27111"/>
      <c r="S27111"/>
      <c r="T27111"/>
      <c r="U27111"/>
      <c r="X27111" s="60"/>
    </row>
    <row r="27112" spans="7:24" ht="15" customHeight="1">
      <c r="G27112"/>
      <c r="I27112"/>
      <c r="N27112"/>
      <c r="O27112" s="24"/>
      <c r="P27112"/>
      <c r="Q27112" s="24"/>
      <c r="R27112"/>
      <c r="S27112"/>
      <c r="T27112"/>
      <c r="U27112"/>
      <c r="X27112" s="60"/>
    </row>
    <row r="27113" spans="7:24" ht="15" customHeight="1">
      <c r="G27113"/>
      <c r="I27113"/>
      <c r="N27113"/>
      <c r="O27113" s="24"/>
      <c r="P27113"/>
      <c r="Q27113" s="24"/>
      <c r="R27113"/>
      <c r="S27113"/>
      <c r="T27113"/>
      <c r="U27113"/>
      <c r="X27113" s="60"/>
    </row>
    <row r="27114" spans="7:24" ht="15" customHeight="1">
      <c r="G27114"/>
      <c r="I27114"/>
      <c r="N27114"/>
      <c r="O27114" s="24"/>
      <c r="P27114"/>
      <c r="Q27114" s="24"/>
      <c r="R27114"/>
      <c r="S27114"/>
      <c r="T27114"/>
      <c r="U27114"/>
      <c r="X27114" s="60"/>
    </row>
    <row r="27115" spans="7:24" ht="15" customHeight="1">
      <c r="G27115"/>
      <c r="I27115"/>
      <c r="N27115"/>
      <c r="O27115" s="24"/>
      <c r="P27115"/>
      <c r="Q27115" s="24"/>
      <c r="R27115"/>
      <c r="S27115"/>
      <c r="T27115"/>
      <c r="U27115"/>
      <c r="X27115" s="60"/>
    </row>
    <row r="27116" spans="7:24" ht="15" customHeight="1">
      <c r="G27116"/>
      <c r="I27116"/>
      <c r="N27116"/>
      <c r="O27116" s="24"/>
      <c r="P27116"/>
      <c r="Q27116" s="24"/>
      <c r="R27116"/>
      <c r="S27116"/>
      <c r="T27116"/>
      <c r="U27116"/>
      <c r="X27116" s="60"/>
    </row>
    <row r="27117" spans="7:24" ht="15" customHeight="1">
      <c r="G27117"/>
      <c r="I27117"/>
      <c r="N27117"/>
      <c r="O27117" s="24"/>
      <c r="P27117"/>
      <c r="Q27117" s="24"/>
      <c r="R27117"/>
      <c r="S27117"/>
      <c r="T27117"/>
      <c r="U27117"/>
      <c r="X27117" s="60"/>
    </row>
    <row r="27118" spans="7:24" ht="15" customHeight="1">
      <c r="G27118"/>
      <c r="I27118"/>
      <c r="N27118"/>
      <c r="O27118" s="24"/>
      <c r="P27118"/>
      <c r="Q27118" s="24"/>
      <c r="R27118"/>
      <c r="S27118"/>
      <c r="T27118"/>
      <c r="U27118"/>
      <c r="X27118" s="60"/>
    </row>
    <row r="27119" spans="7:24" ht="15" customHeight="1">
      <c r="G27119"/>
      <c r="I27119"/>
      <c r="N27119"/>
      <c r="O27119" s="24"/>
      <c r="P27119"/>
      <c r="Q27119" s="24"/>
      <c r="R27119"/>
      <c r="S27119"/>
      <c r="T27119"/>
      <c r="U27119"/>
      <c r="X27119" s="60"/>
    </row>
    <row r="27120" spans="7:24" ht="15" customHeight="1">
      <c r="G27120"/>
      <c r="I27120"/>
      <c r="N27120"/>
      <c r="O27120" s="24"/>
      <c r="P27120"/>
      <c r="Q27120" s="24"/>
      <c r="R27120"/>
      <c r="S27120"/>
      <c r="T27120"/>
      <c r="U27120"/>
      <c r="X27120" s="60"/>
    </row>
    <row r="27121" spans="7:24" ht="15" customHeight="1">
      <c r="G27121"/>
      <c r="I27121"/>
      <c r="N27121"/>
      <c r="O27121" s="24"/>
      <c r="P27121"/>
      <c r="Q27121" s="24"/>
      <c r="R27121"/>
      <c r="S27121"/>
      <c r="T27121"/>
      <c r="U27121"/>
      <c r="X27121" s="60"/>
    </row>
    <row r="27122" spans="7:24" ht="15" customHeight="1">
      <c r="G27122"/>
      <c r="I27122"/>
      <c r="N27122"/>
      <c r="O27122" s="24"/>
      <c r="P27122"/>
      <c r="Q27122" s="24"/>
      <c r="R27122"/>
      <c r="S27122"/>
      <c r="T27122"/>
      <c r="U27122"/>
      <c r="X27122" s="60"/>
    </row>
    <row r="27123" spans="7:24" ht="15" customHeight="1">
      <c r="G27123"/>
      <c r="I27123"/>
      <c r="N27123"/>
      <c r="O27123" s="24"/>
      <c r="P27123"/>
      <c r="Q27123" s="24"/>
      <c r="R27123"/>
      <c r="S27123"/>
      <c r="T27123"/>
      <c r="U27123"/>
      <c r="X27123" s="60"/>
    </row>
    <row r="27124" spans="7:24" ht="15" customHeight="1">
      <c r="G27124"/>
      <c r="I27124"/>
      <c r="N27124"/>
      <c r="O27124" s="24"/>
      <c r="P27124"/>
      <c r="Q27124" s="24"/>
      <c r="R27124"/>
      <c r="S27124"/>
      <c r="T27124"/>
      <c r="U27124"/>
      <c r="X27124" s="60"/>
    </row>
    <row r="27125" spans="7:24" ht="15" customHeight="1">
      <c r="G27125"/>
      <c r="I27125"/>
      <c r="N27125"/>
      <c r="O27125" s="24"/>
      <c r="P27125"/>
      <c r="Q27125" s="24"/>
      <c r="R27125"/>
      <c r="S27125"/>
      <c r="T27125"/>
      <c r="U27125"/>
      <c r="X27125" s="60"/>
    </row>
    <row r="27126" spans="7:24" ht="15" customHeight="1">
      <c r="G27126"/>
      <c r="I27126"/>
      <c r="N27126"/>
      <c r="O27126" s="24"/>
      <c r="P27126"/>
      <c r="Q27126" s="24"/>
      <c r="R27126"/>
      <c r="S27126"/>
      <c r="T27126"/>
      <c r="U27126"/>
      <c r="X27126" s="60"/>
    </row>
    <row r="27127" spans="7:24" ht="15" customHeight="1">
      <c r="G27127"/>
      <c r="I27127"/>
      <c r="N27127"/>
      <c r="O27127" s="24"/>
      <c r="P27127"/>
      <c r="Q27127" s="24"/>
      <c r="R27127"/>
      <c r="S27127"/>
      <c r="T27127"/>
      <c r="U27127"/>
      <c r="X27127" s="60"/>
    </row>
    <row r="27128" spans="7:24" ht="15" customHeight="1">
      <c r="G27128"/>
      <c r="I27128"/>
      <c r="N27128"/>
      <c r="O27128" s="24"/>
      <c r="P27128"/>
      <c r="Q27128" s="24"/>
      <c r="R27128"/>
      <c r="S27128"/>
      <c r="T27128"/>
      <c r="U27128"/>
      <c r="X27128" s="60"/>
    </row>
    <row r="27129" spans="7:24" ht="15" customHeight="1">
      <c r="G27129"/>
      <c r="I27129"/>
      <c r="N27129"/>
      <c r="O27129" s="24"/>
      <c r="P27129"/>
      <c r="Q27129" s="24"/>
      <c r="R27129"/>
      <c r="S27129"/>
      <c r="T27129"/>
      <c r="U27129"/>
      <c r="X27129" s="60"/>
    </row>
    <row r="27130" spans="7:24" ht="15" customHeight="1">
      <c r="G27130"/>
      <c r="I27130"/>
      <c r="N27130"/>
      <c r="O27130" s="24"/>
      <c r="P27130"/>
      <c r="Q27130" s="24"/>
      <c r="R27130"/>
      <c r="S27130"/>
      <c r="T27130"/>
      <c r="U27130"/>
      <c r="X27130" s="60"/>
    </row>
    <row r="27131" spans="7:24" ht="15" customHeight="1">
      <c r="G27131"/>
      <c r="I27131"/>
      <c r="N27131"/>
      <c r="O27131" s="24"/>
      <c r="P27131"/>
      <c r="Q27131" s="24"/>
      <c r="R27131"/>
      <c r="S27131"/>
      <c r="T27131"/>
      <c r="U27131"/>
      <c r="X27131" s="60"/>
    </row>
    <row r="27132" spans="7:24" ht="15" customHeight="1">
      <c r="G27132"/>
      <c r="I27132"/>
      <c r="N27132"/>
      <c r="O27132" s="24"/>
      <c r="P27132"/>
      <c r="Q27132" s="24"/>
      <c r="R27132"/>
      <c r="S27132"/>
      <c r="T27132"/>
      <c r="U27132"/>
      <c r="X27132" s="60"/>
    </row>
    <row r="27133" spans="7:24" ht="15" customHeight="1">
      <c r="G27133"/>
      <c r="I27133"/>
      <c r="N27133"/>
      <c r="O27133" s="24"/>
      <c r="P27133"/>
      <c r="Q27133" s="24"/>
      <c r="R27133"/>
      <c r="S27133"/>
      <c r="T27133"/>
      <c r="U27133"/>
      <c r="X27133" s="60"/>
    </row>
    <row r="27134" spans="7:24" ht="15" customHeight="1">
      <c r="G27134"/>
      <c r="I27134"/>
      <c r="N27134"/>
      <c r="O27134" s="24"/>
      <c r="P27134"/>
      <c r="Q27134" s="24"/>
      <c r="R27134"/>
      <c r="S27134"/>
      <c r="T27134"/>
      <c r="U27134"/>
      <c r="X27134" s="60"/>
    </row>
    <row r="27135" spans="7:24" ht="15" customHeight="1">
      <c r="G27135"/>
      <c r="I27135"/>
      <c r="N27135"/>
      <c r="O27135" s="24"/>
      <c r="P27135"/>
      <c r="Q27135" s="24"/>
      <c r="R27135"/>
      <c r="S27135"/>
      <c r="T27135"/>
      <c r="U27135"/>
      <c r="X27135" s="60"/>
    </row>
    <row r="27136" spans="7:24" ht="15" customHeight="1">
      <c r="G27136"/>
      <c r="I27136"/>
      <c r="N27136"/>
      <c r="O27136" s="24"/>
      <c r="P27136"/>
      <c r="Q27136" s="24"/>
      <c r="R27136"/>
      <c r="S27136"/>
      <c r="T27136"/>
      <c r="U27136"/>
      <c r="X27136" s="60"/>
    </row>
    <row r="27137" spans="7:24" ht="15" customHeight="1">
      <c r="G27137"/>
      <c r="I27137"/>
      <c r="N27137"/>
      <c r="O27137" s="24"/>
      <c r="P27137"/>
      <c r="Q27137" s="24"/>
      <c r="R27137"/>
      <c r="S27137"/>
      <c r="T27137"/>
      <c r="U27137"/>
      <c r="X27137" s="60"/>
    </row>
    <row r="27138" spans="7:24" ht="15" customHeight="1">
      <c r="G27138"/>
      <c r="I27138"/>
      <c r="N27138"/>
      <c r="O27138" s="24"/>
      <c r="P27138"/>
      <c r="Q27138" s="24"/>
      <c r="R27138"/>
      <c r="S27138"/>
      <c r="T27138"/>
      <c r="U27138"/>
      <c r="X27138" s="60"/>
    </row>
    <row r="27139" spans="7:24" ht="15" customHeight="1">
      <c r="G27139"/>
      <c r="I27139"/>
      <c r="N27139"/>
      <c r="O27139" s="24"/>
      <c r="P27139"/>
      <c r="Q27139" s="24"/>
      <c r="R27139"/>
      <c r="S27139"/>
      <c r="T27139"/>
      <c r="U27139"/>
      <c r="X27139" s="60"/>
    </row>
    <row r="27140" spans="7:24" ht="15" customHeight="1">
      <c r="G27140"/>
      <c r="I27140"/>
      <c r="N27140"/>
      <c r="O27140" s="24"/>
      <c r="P27140"/>
      <c r="Q27140" s="24"/>
      <c r="R27140"/>
      <c r="S27140"/>
      <c r="T27140"/>
      <c r="U27140"/>
      <c r="X27140" s="60"/>
    </row>
    <row r="27141" spans="7:24" ht="15" customHeight="1">
      <c r="G27141"/>
      <c r="I27141"/>
      <c r="N27141"/>
      <c r="O27141" s="24"/>
      <c r="P27141"/>
      <c r="Q27141" s="24"/>
      <c r="R27141"/>
      <c r="S27141"/>
      <c r="T27141"/>
      <c r="U27141"/>
      <c r="X27141" s="60"/>
    </row>
    <row r="27142" spans="7:24" ht="15" customHeight="1">
      <c r="G27142"/>
      <c r="I27142"/>
      <c r="N27142"/>
      <c r="O27142" s="24"/>
      <c r="P27142"/>
      <c r="Q27142" s="24"/>
      <c r="R27142"/>
      <c r="S27142"/>
      <c r="T27142"/>
      <c r="U27142"/>
      <c r="X27142" s="60"/>
    </row>
    <row r="27143" spans="7:24" ht="15" customHeight="1">
      <c r="G27143"/>
      <c r="I27143"/>
      <c r="N27143"/>
      <c r="O27143" s="24"/>
      <c r="P27143"/>
      <c r="Q27143" s="24"/>
      <c r="R27143"/>
      <c r="S27143"/>
      <c r="T27143"/>
      <c r="U27143"/>
      <c r="X27143" s="60"/>
    </row>
    <row r="27144" spans="7:24" ht="15" customHeight="1">
      <c r="G27144"/>
      <c r="I27144"/>
      <c r="N27144"/>
      <c r="O27144" s="24"/>
      <c r="P27144"/>
      <c r="Q27144" s="24"/>
      <c r="R27144"/>
      <c r="S27144"/>
      <c r="T27144"/>
      <c r="U27144"/>
      <c r="X27144" s="60"/>
    </row>
    <row r="27145" spans="7:24" ht="15" customHeight="1">
      <c r="G27145"/>
      <c r="I27145"/>
      <c r="N27145"/>
      <c r="O27145" s="24"/>
      <c r="P27145"/>
      <c r="Q27145" s="24"/>
      <c r="R27145"/>
      <c r="S27145"/>
      <c r="T27145"/>
      <c r="U27145"/>
      <c r="X27145" s="60"/>
    </row>
    <row r="27146" spans="7:24" ht="15" customHeight="1">
      <c r="G27146"/>
      <c r="I27146"/>
      <c r="N27146"/>
      <c r="O27146" s="24"/>
      <c r="P27146"/>
      <c r="Q27146" s="24"/>
      <c r="R27146"/>
      <c r="S27146"/>
      <c r="T27146"/>
      <c r="U27146"/>
      <c r="X27146" s="60"/>
    </row>
    <row r="27147" spans="7:24" ht="15" customHeight="1">
      <c r="G27147"/>
      <c r="I27147"/>
      <c r="N27147"/>
      <c r="O27147" s="24"/>
      <c r="P27147"/>
      <c r="Q27147" s="24"/>
      <c r="R27147"/>
      <c r="S27147"/>
      <c r="T27147"/>
      <c r="U27147"/>
      <c r="X27147" s="60"/>
    </row>
    <row r="27148" spans="7:24" ht="15" customHeight="1">
      <c r="G27148"/>
      <c r="I27148"/>
      <c r="N27148"/>
      <c r="O27148" s="24"/>
      <c r="P27148"/>
      <c r="Q27148" s="24"/>
      <c r="R27148"/>
      <c r="S27148"/>
      <c r="T27148"/>
      <c r="U27148"/>
      <c r="X27148" s="60"/>
    </row>
    <row r="27149" spans="7:24" ht="15" customHeight="1">
      <c r="G27149"/>
      <c r="I27149"/>
      <c r="N27149"/>
      <c r="O27149" s="24"/>
      <c r="P27149"/>
      <c r="Q27149" s="24"/>
      <c r="R27149"/>
      <c r="S27149"/>
      <c r="T27149"/>
      <c r="U27149"/>
      <c r="X27149" s="60"/>
    </row>
    <row r="27150" spans="7:24" ht="15" customHeight="1">
      <c r="G27150"/>
      <c r="I27150"/>
      <c r="N27150"/>
      <c r="O27150" s="24"/>
      <c r="P27150"/>
      <c r="Q27150" s="24"/>
      <c r="R27150"/>
      <c r="S27150"/>
      <c r="T27150"/>
      <c r="U27150"/>
      <c r="X27150" s="60"/>
    </row>
    <row r="27151" spans="7:24" ht="15" customHeight="1">
      <c r="G27151"/>
      <c r="I27151"/>
      <c r="N27151"/>
      <c r="O27151" s="24"/>
      <c r="P27151"/>
      <c r="Q27151" s="24"/>
      <c r="R27151"/>
      <c r="S27151"/>
      <c r="T27151"/>
      <c r="U27151"/>
      <c r="X27151" s="60"/>
    </row>
    <row r="27152" spans="7:24" ht="15" customHeight="1">
      <c r="G27152"/>
      <c r="I27152"/>
      <c r="N27152"/>
      <c r="O27152" s="24"/>
      <c r="P27152"/>
      <c r="Q27152" s="24"/>
      <c r="R27152"/>
      <c r="S27152"/>
      <c r="T27152"/>
      <c r="U27152"/>
      <c r="X27152" s="60"/>
    </row>
    <row r="27153" spans="7:24" ht="15" customHeight="1">
      <c r="G27153"/>
      <c r="I27153"/>
      <c r="N27153"/>
      <c r="O27153" s="24"/>
      <c r="P27153"/>
      <c r="Q27153" s="24"/>
      <c r="R27153"/>
      <c r="S27153"/>
      <c r="T27153"/>
      <c r="U27153"/>
      <c r="X27153" s="60"/>
    </row>
    <row r="27154" spans="7:24" ht="15" customHeight="1">
      <c r="G27154"/>
      <c r="I27154"/>
      <c r="N27154"/>
      <c r="O27154" s="24"/>
      <c r="P27154"/>
      <c r="Q27154" s="24"/>
      <c r="R27154"/>
      <c r="S27154"/>
      <c r="T27154"/>
      <c r="U27154"/>
      <c r="X27154" s="60"/>
    </row>
    <row r="27155" spans="7:24" ht="15" customHeight="1">
      <c r="G27155"/>
      <c r="I27155"/>
      <c r="N27155"/>
      <c r="O27155" s="24"/>
      <c r="P27155"/>
      <c r="Q27155" s="24"/>
      <c r="R27155"/>
      <c r="S27155"/>
      <c r="T27155"/>
      <c r="U27155"/>
      <c r="X27155" s="60"/>
    </row>
    <row r="27156" spans="7:24" ht="15" customHeight="1">
      <c r="G27156"/>
      <c r="I27156"/>
      <c r="N27156"/>
      <c r="O27156" s="24"/>
      <c r="P27156"/>
      <c r="Q27156" s="24"/>
      <c r="R27156"/>
      <c r="S27156"/>
      <c r="T27156"/>
      <c r="U27156"/>
      <c r="X27156" s="60"/>
    </row>
    <row r="27157" spans="7:24" ht="15" customHeight="1">
      <c r="G27157"/>
      <c r="I27157"/>
      <c r="N27157"/>
      <c r="O27157" s="24"/>
      <c r="P27157"/>
      <c r="Q27157" s="24"/>
      <c r="R27157"/>
      <c r="S27157"/>
      <c r="T27157"/>
      <c r="U27157"/>
      <c r="X27157" s="60"/>
    </row>
    <row r="27158" spans="7:24" ht="15" customHeight="1">
      <c r="G27158"/>
      <c r="I27158"/>
      <c r="N27158"/>
      <c r="O27158" s="24"/>
      <c r="P27158"/>
      <c r="Q27158" s="24"/>
      <c r="R27158"/>
      <c r="S27158"/>
      <c r="T27158"/>
      <c r="U27158"/>
      <c r="X27158" s="60"/>
    </row>
    <row r="27159" spans="7:24" ht="15" customHeight="1">
      <c r="G27159"/>
      <c r="I27159"/>
      <c r="N27159"/>
      <c r="O27159" s="24"/>
      <c r="P27159"/>
      <c r="Q27159" s="24"/>
      <c r="R27159"/>
      <c r="S27159"/>
      <c r="T27159"/>
      <c r="U27159"/>
      <c r="X27159" s="60"/>
    </row>
    <row r="27160" spans="7:24" ht="15" customHeight="1">
      <c r="G27160"/>
      <c r="I27160"/>
      <c r="N27160"/>
      <c r="O27160" s="24"/>
      <c r="P27160"/>
      <c r="Q27160" s="24"/>
      <c r="R27160"/>
      <c r="S27160"/>
      <c r="T27160"/>
      <c r="U27160"/>
      <c r="X27160" s="60"/>
    </row>
    <row r="27161" spans="7:24" ht="15" customHeight="1">
      <c r="G27161"/>
      <c r="I27161"/>
      <c r="N27161"/>
      <c r="O27161" s="24"/>
      <c r="P27161"/>
      <c r="Q27161" s="24"/>
      <c r="R27161"/>
      <c r="S27161"/>
      <c r="T27161"/>
      <c r="U27161"/>
      <c r="X27161" s="60"/>
    </row>
    <row r="27162" spans="7:24" ht="15" customHeight="1">
      <c r="G27162"/>
      <c r="I27162"/>
      <c r="N27162"/>
      <c r="O27162" s="24"/>
      <c r="P27162"/>
      <c r="Q27162" s="24"/>
      <c r="R27162"/>
      <c r="S27162"/>
      <c r="T27162"/>
      <c r="U27162"/>
      <c r="X27162" s="60"/>
    </row>
    <row r="27163" spans="7:24" ht="15" customHeight="1">
      <c r="G27163"/>
      <c r="I27163"/>
      <c r="N27163"/>
      <c r="O27163" s="24"/>
      <c r="P27163"/>
      <c r="Q27163" s="24"/>
      <c r="R27163"/>
      <c r="S27163"/>
      <c r="T27163"/>
      <c r="U27163"/>
      <c r="X27163" s="60"/>
    </row>
    <row r="27164" spans="7:24" ht="15" customHeight="1">
      <c r="G27164"/>
      <c r="I27164"/>
      <c r="N27164"/>
      <c r="O27164" s="24"/>
      <c r="P27164"/>
      <c r="Q27164" s="24"/>
      <c r="R27164"/>
      <c r="S27164"/>
      <c r="T27164"/>
      <c r="U27164"/>
      <c r="X27164" s="60"/>
    </row>
    <row r="27165" spans="7:24" ht="15" customHeight="1">
      <c r="G27165"/>
      <c r="I27165"/>
      <c r="N27165"/>
      <c r="O27165" s="24"/>
      <c r="P27165"/>
      <c r="Q27165" s="24"/>
      <c r="R27165"/>
      <c r="S27165"/>
      <c r="T27165"/>
      <c r="U27165"/>
      <c r="X27165" s="60"/>
    </row>
    <row r="27166" spans="7:24" ht="15" customHeight="1">
      <c r="G27166"/>
      <c r="I27166"/>
      <c r="N27166"/>
      <c r="O27166" s="24"/>
      <c r="P27166"/>
      <c r="Q27166" s="24"/>
      <c r="R27166"/>
      <c r="S27166"/>
      <c r="T27166"/>
      <c r="U27166"/>
      <c r="X27166" s="60"/>
    </row>
    <row r="27167" spans="7:24" ht="15" customHeight="1">
      <c r="G27167"/>
      <c r="I27167"/>
      <c r="N27167"/>
      <c r="O27167" s="24"/>
      <c r="P27167"/>
      <c r="Q27167" s="24"/>
      <c r="R27167"/>
      <c r="S27167"/>
      <c r="T27167"/>
      <c r="U27167"/>
      <c r="X27167" s="60"/>
    </row>
    <row r="27168" spans="7:24" ht="15" customHeight="1">
      <c r="G27168"/>
      <c r="I27168"/>
      <c r="N27168"/>
      <c r="O27168" s="24"/>
      <c r="P27168"/>
      <c r="Q27168" s="24"/>
      <c r="R27168"/>
      <c r="S27168"/>
      <c r="T27168"/>
      <c r="U27168"/>
      <c r="X27168" s="60"/>
    </row>
    <row r="27169" spans="7:24" ht="15" customHeight="1">
      <c r="G27169"/>
      <c r="I27169"/>
      <c r="N27169"/>
      <c r="O27169" s="24"/>
      <c r="P27169"/>
      <c r="Q27169" s="24"/>
      <c r="R27169"/>
      <c r="S27169"/>
      <c r="T27169"/>
      <c r="U27169"/>
      <c r="X27169" s="60"/>
    </row>
    <row r="27170" spans="7:24" ht="15" customHeight="1">
      <c r="G27170"/>
      <c r="I27170"/>
      <c r="N27170"/>
      <c r="O27170" s="24"/>
      <c r="P27170"/>
      <c r="Q27170" s="24"/>
      <c r="R27170"/>
      <c r="S27170"/>
      <c r="T27170"/>
      <c r="U27170"/>
      <c r="X27170" s="60"/>
    </row>
    <row r="27171" spans="7:24" ht="15" customHeight="1">
      <c r="G27171"/>
      <c r="I27171"/>
      <c r="N27171"/>
      <c r="O27171" s="24"/>
      <c r="P27171"/>
      <c r="Q27171" s="24"/>
      <c r="R27171"/>
      <c r="S27171"/>
      <c r="T27171"/>
      <c r="U27171"/>
      <c r="X27171" s="60"/>
    </row>
    <row r="27172" spans="7:24" ht="15" customHeight="1">
      <c r="G27172"/>
      <c r="I27172"/>
      <c r="N27172"/>
      <c r="O27172" s="24"/>
      <c r="P27172"/>
      <c r="Q27172" s="24"/>
      <c r="R27172"/>
      <c r="S27172"/>
      <c r="T27172"/>
      <c r="U27172"/>
      <c r="X27172" s="60"/>
    </row>
    <row r="27173" spans="7:24" ht="15" customHeight="1">
      <c r="G27173"/>
      <c r="I27173"/>
      <c r="N27173"/>
      <c r="O27173" s="24"/>
      <c r="P27173"/>
      <c r="Q27173" s="24"/>
      <c r="R27173"/>
      <c r="S27173"/>
      <c r="T27173"/>
      <c r="U27173"/>
      <c r="X27173" s="60"/>
    </row>
    <row r="27174" spans="7:24" ht="15" customHeight="1">
      <c r="G27174"/>
      <c r="I27174"/>
      <c r="N27174"/>
      <c r="O27174" s="24"/>
      <c r="P27174"/>
      <c r="Q27174" s="24"/>
      <c r="R27174"/>
      <c r="S27174"/>
      <c r="T27174"/>
      <c r="U27174"/>
      <c r="X27174" s="60"/>
    </row>
    <row r="27175" spans="7:24" ht="15" customHeight="1">
      <c r="G27175"/>
      <c r="I27175"/>
      <c r="N27175"/>
      <c r="O27175" s="24"/>
      <c r="P27175"/>
      <c r="Q27175" s="24"/>
      <c r="R27175"/>
      <c r="S27175"/>
      <c r="T27175"/>
      <c r="U27175"/>
      <c r="X27175" s="60"/>
    </row>
    <row r="27176" spans="7:24" ht="15" customHeight="1">
      <c r="G27176"/>
      <c r="I27176"/>
      <c r="N27176"/>
      <c r="O27176" s="24"/>
      <c r="P27176"/>
      <c r="Q27176" s="24"/>
      <c r="R27176"/>
      <c r="S27176"/>
      <c r="T27176"/>
      <c r="U27176"/>
      <c r="X27176" s="60"/>
    </row>
    <row r="27177" spans="7:24" ht="15" customHeight="1">
      <c r="G27177"/>
      <c r="I27177"/>
      <c r="N27177"/>
      <c r="O27177" s="24"/>
      <c r="P27177"/>
      <c r="Q27177" s="24"/>
      <c r="R27177"/>
      <c r="S27177"/>
      <c r="T27177"/>
      <c r="U27177"/>
      <c r="X27177" s="60"/>
    </row>
    <row r="27178" spans="7:24" ht="15" customHeight="1">
      <c r="G27178"/>
      <c r="I27178"/>
      <c r="N27178"/>
      <c r="O27178" s="24"/>
      <c r="P27178"/>
      <c r="Q27178" s="24"/>
      <c r="R27178"/>
      <c r="S27178"/>
      <c r="T27178"/>
      <c r="U27178"/>
      <c r="X27178" s="60"/>
    </row>
    <row r="27179" spans="7:24" ht="15" customHeight="1">
      <c r="G27179"/>
      <c r="I27179"/>
      <c r="N27179"/>
      <c r="O27179" s="24"/>
      <c r="P27179"/>
      <c r="Q27179" s="24"/>
      <c r="R27179"/>
      <c r="S27179"/>
      <c r="T27179"/>
      <c r="U27179"/>
      <c r="X27179" s="60"/>
    </row>
    <row r="27180" spans="7:24" ht="15" customHeight="1">
      <c r="G27180"/>
      <c r="I27180"/>
      <c r="N27180"/>
      <c r="O27180" s="24"/>
      <c r="P27180"/>
      <c r="Q27180" s="24"/>
      <c r="R27180"/>
      <c r="S27180"/>
      <c r="T27180"/>
      <c r="U27180"/>
      <c r="X27180" s="60"/>
    </row>
    <row r="27181" spans="7:24" ht="15" customHeight="1">
      <c r="G27181"/>
      <c r="I27181"/>
      <c r="N27181"/>
      <c r="O27181" s="24"/>
      <c r="P27181"/>
      <c r="Q27181" s="24"/>
      <c r="R27181"/>
      <c r="S27181"/>
      <c r="T27181"/>
      <c r="U27181"/>
      <c r="X27181" s="60"/>
    </row>
    <row r="27182" spans="7:24" ht="15" customHeight="1">
      <c r="G27182"/>
      <c r="I27182"/>
      <c r="N27182"/>
      <c r="O27182" s="24"/>
      <c r="P27182"/>
      <c r="Q27182" s="24"/>
      <c r="R27182"/>
      <c r="S27182"/>
      <c r="T27182"/>
      <c r="U27182"/>
      <c r="X27182" s="60"/>
    </row>
    <row r="27183" spans="7:24" ht="15" customHeight="1">
      <c r="G27183"/>
      <c r="I27183"/>
      <c r="N27183"/>
      <c r="O27183" s="24"/>
      <c r="P27183"/>
      <c r="Q27183" s="24"/>
      <c r="R27183"/>
      <c r="S27183"/>
      <c r="T27183"/>
      <c r="U27183"/>
      <c r="X27183" s="60"/>
    </row>
    <row r="27184" spans="7:24" ht="15" customHeight="1">
      <c r="G27184"/>
      <c r="I27184"/>
      <c r="N27184"/>
      <c r="O27184" s="24"/>
      <c r="P27184"/>
      <c r="Q27184" s="24"/>
      <c r="R27184"/>
      <c r="S27184"/>
      <c r="T27184"/>
      <c r="U27184"/>
      <c r="X27184" s="60"/>
    </row>
    <row r="27185" spans="7:24" ht="15" customHeight="1">
      <c r="G27185"/>
      <c r="I27185"/>
      <c r="N27185"/>
      <c r="O27185" s="24"/>
      <c r="P27185"/>
      <c r="Q27185" s="24"/>
      <c r="R27185"/>
      <c r="S27185"/>
      <c r="T27185"/>
      <c r="U27185"/>
      <c r="X27185" s="60"/>
    </row>
    <row r="27186" spans="7:24" ht="15" customHeight="1">
      <c r="G27186"/>
      <c r="I27186"/>
      <c r="N27186"/>
      <c r="O27186" s="24"/>
      <c r="P27186"/>
      <c r="Q27186" s="24"/>
      <c r="R27186"/>
      <c r="S27186"/>
      <c r="T27186"/>
      <c r="U27186"/>
      <c r="X27186" s="60"/>
    </row>
    <row r="27187" spans="7:24" ht="15" customHeight="1">
      <c r="G27187"/>
      <c r="I27187"/>
      <c r="N27187"/>
      <c r="O27187" s="24"/>
      <c r="P27187"/>
      <c r="Q27187" s="24"/>
      <c r="R27187"/>
      <c r="S27187"/>
      <c r="T27187"/>
      <c r="U27187"/>
      <c r="X27187" s="60"/>
    </row>
    <row r="27188" spans="7:24" ht="15" customHeight="1">
      <c r="G27188"/>
      <c r="I27188"/>
      <c r="N27188"/>
      <c r="O27188" s="24"/>
      <c r="P27188"/>
      <c r="Q27188" s="24"/>
      <c r="R27188"/>
      <c r="S27188"/>
      <c r="T27188"/>
      <c r="U27188"/>
      <c r="X27188" s="60"/>
    </row>
    <row r="27189" spans="7:24" ht="15" customHeight="1">
      <c r="G27189"/>
      <c r="I27189"/>
      <c r="N27189"/>
      <c r="O27189" s="24"/>
      <c r="P27189"/>
      <c r="Q27189" s="24"/>
      <c r="R27189"/>
      <c r="S27189"/>
      <c r="T27189"/>
      <c r="U27189"/>
      <c r="X27189" s="60"/>
    </row>
    <row r="27190" spans="7:24" ht="15" customHeight="1">
      <c r="G27190"/>
      <c r="I27190"/>
      <c r="N27190"/>
      <c r="O27190" s="24"/>
      <c r="P27190"/>
      <c r="Q27190" s="24"/>
      <c r="R27190"/>
      <c r="S27190"/>
      <c r="T27190"/>
      <c r="U27190"/>
      <c r="X27190" s="60"/>
    </row>
    <row r="27191" spans="7:24" ht="15" customHeight="1">
      <c r="G27191"/>
      <c r="I27191"/>
      <c r="N27191"/>
      <c r="O27191" s="24"/>
      <c r="P27191"/>
      <c r="Q27191" s="24"/>
      <c r="R27191"/>
      <c r="S27191"/>
      <c r="T27191"/>
      <c r="U27191"/>
      <c r="X27191" s="60"/>
    </row>
    <row r="27192" spans="7:24" ht="15" customHeight="1">
      <c r="G27192"/>
      <c r="I27192"/>
      <c r="N27192"/>
      <c r="O27192" s="24"/>
      <c r="P27192"/>
      <c r="Q27192" s="24"/>
      <c r="R27192"/>
      <c r="S27192"/>
      <c r="T27192"/>
      <c r="U27192"/>
      <c r="X27192" s="60"/>
    </row>
    <row r="27193" spans="7:24" ht="15" customHeight="1">
      <c r="G27193"/>
      <c r="I27193"/>
      <c r="N27193"/>
      <c r="O27193" s="24"/>
      <c r="P27193"/>
      <c r="Q27193" s="24"/>
      <c r="R27193"/>
      <c r="S27193"/>
      <c r="T27193"/>
      <c r="U27193"/>
      <c r="X27193" s="60"/>
    </row>
    <row r="27194" spans="7:24" ht="15" customHeight="1">
      <c r="G27194"/>
      <c r="I27194"/>
      <c r="N27194"/>
      <c r="O27194" s="24"/>
      <c r="P27194"/>
      <c r="Q27194" s="24"/>
      <c r="R27194"/>
      <c r="S27194"/>
      <c r="T27194"/>
      <c r="U27194"/>
      <c r="X27194" s="60"/>
    </row>
    <row r="27195" spans="7:24" ht="15" customHeight="1">
      <c r="G27195"/>
      <c r="I27195"/>
      <c r="N27195"/>
      <c r="O27195" s="24"/>
      <c r="P27195"/>
      <c r="Q27195" s="24"/>
      <c r="R27195"/>
      <c r="S27195"/>
      <c r="T27195"/>
      <c r="U27195"/>
      <c r="X27195" s="60"/>
    </row>
    <row r="27196" spans="7:24" ht="15" customHeight="1">
      <c r="G27196"/>
      <c r="I27196"/>
      <c r="N27196"/>
      <c r="O27196" s="24"/>
      <c r="P27196"/>
      <c r="Q27196" s="24"/>
      <c r="R27196"/>
      <c r="S27196"/>
      <c r="T27196"/>
      <c r="U27196"/>
      <c r="X27196" s="60"/>
    </row>
    <row r="27197" spans="7:24" ht="15" customHeight="1">
      <c r="G27197"/>
      <c r="I27197"/>
      <c r="N27197"/>
      <c r="O27197" s="24"/>
      <c r="P27197"/>
      <c r="Q27197" s="24"/>
      <c r="R27197"/>
      <c r="S27197"/>
      <c r="T27197"/>
      <c r="U27197"/>
      <c r="X27197" s="60"/>
    </row>
    <row r="27198" spans="7:24" ht="15" customHeight="1">
      <c r="G27198"/>
      <c r="I27198"/>
      <c r="N27198"/>
      <c r="O27198" s="24"/>
      <c r="P27198"/>
      <c r="Q27198" s="24"/>
      <c r="R27198"/>
      <c r="S27198"/>
      <c r="T27198"/>
      <c r="U27198"/>
      <c r="X27198" s="60"/>
    </row>
    <row r="27199" spans="7:24" ht="15" customHeight="1">
      <c r="G27199"/>
      <c r="I27199"/>
      <c r="N27199"/>
      <c r="O27199" s="24"/>
      <c r="P27199"/>
      <c r="Q27199" s="24"/>
      <c r="R27199"/>
      <c r="S27199"/>
      <c r="T27199"/>
      <c r="U27199"/>
      <c r="X27199" s="60"/>
    </row>
    <row r="27200" spans="7:24" ht="15" customHeight="1">
      <c r="G27200"/>
      <c r="I27200"/>
      <c r="N27200"/>
      <c r="O27200" s="24"/>
      <c r="P27200"/>
      <c r="Q27200" s="24"/>
      <c r="R27200"/>
      <c r="S27200"/>
      <c r="T27200"/>
      <c r="U27200"/>
      <c r="X27200" s="60"/>
    </row>
    <row r="27201" spans="7:24" ht="15" customHeight="1">
      <c r="G27201"/>
      <c r="I27201"/>
      <c r="N27201"/>
      <c r="O27201" s="24"/>
      <c r="P27201"/>
      <c r="Q27201" s="24"/>
      <c r="R27201"/>
      <c r="S27201"/>
      <c r="T27201"/>
      <c r="U27201"/>
      <c r="X27201" s="60"/>
    </row>
    <row r="27202" spans="7:24" ht="15" customHeight="1">
      <c r="G27202"/>
      <c r="I27202"/>
      <c r="N27202"/>
      <c r="O27202" s="24"/>
      <c r="P27202"/>
      <c r="Q27202" s="24"/>
      <c r="R27202"/>
      <c r="S27202"/>
      <c r="T27202"/>
      <c r="U27202"/>
      <c r="X27202" s="60"/>
    </row>
    <row r="27203" spans="7:24" ht="15" customHeight="1">
      <c r="G27203"/>
      <c r="I27203"/>
      <c r="N27203"/>
      <c r="O27203" s="24"/>
      <c r="P27203"/>
      <c r="Q27203" s="24"/>
      <c r="R27203"/>
      <c r="S27203"/>
      <c r="T27203"/>
      <c r="U27203"/>
      <c r="X27203" s="60"/>
    </row>
    <row r="27204" spans="7:24" ht="15" customHeight="1">
      <c r="G27204"/>
      <c r="I27204"/>
      <c r="N27204"/>
      <c r="O27204" s="24"/>
      <c r="P27204"/>
      <c r="Q27204" s="24"/>
      <c r="R27204"/>
      <c r="S27204"/>
      <c r="T27204"/>
      <c r="U27204"/>
      <c r="X27204" s="60"/>
    </row>
    <row r="27205" spans="7:24" ht="15" customHeight="1">
      <c r="G27205"/>
      <c r="I27205"/>
      <c r="N27205"/>
      <c r="O27205" s="24"/>
      <c r="P27205"/>
      <c r="Q27205" s="24"/>
      <c r="R27205"/>
      <c r="S27205"/>
      <c r="T27205"/>
      <c r="U27205"/>
      <c r="X27205" s="60"/>
    </row>
    <row r="27206" spans="7:24" ht="15" customHeight="1">
      <c r="G27206"/>
      <c r="I27206"/>
      <c r="N27206"/>
      <c r="O27206" s="24"/>
      <c r="P27206"/>
      <c r="Q27206" s="24"/>
      <c r="R27206"/>
      <c r="S27206"/>
      <c r="T27206"/>
      <c r="U27206"/>
      <c r="X27206" s="60"/>
    </row>
    <row r="27207" spans="7:24" ht="15" customHeight="1">
      <c r="G27207"/>
      <c r="I27207"/>
      <c r="N27207"/>
      <c r="O27207" s="24"/>
      <c r="P27207"/>
      <c r="Q27207" s="24"/>
      <c r="R27207"/>
      <c r="S27207"/>
      <c r="T27207"/>
      <c r="U27207"/>
      <c r="X27207" s="60"/>
    </row>
    <row r="27208" spans="7:24" ht="15" customHeight="1">
      <c r="G27208"/>
      <c r="I27208"/>
      <c r="N27208"/>
      <c r="O27208" s="24"/>
      <c r="P27208"/>
      <c r="Q27208" s="24"/>
      <c r="R27208"/>
      <c r="S27208"/>
      <c r="T27208"/>
      <c r="U27208"/>
      <c r="X27208" s="60"/>
    </row>
    <row r="27209" spans="7:24" ht="15" customHeight="1">
      <c r="G27209"/>
      <c r="I27209"/>
      <c r="N27209"/>
      <c r="O27209" s="24"/>
      <c r="P27209"/>
      <c r="Q27209" s="24"/>
      <c r="R27209"/>
      <c r="S27209"/>
      <c r="T27209"/>
      <c r="U27209"/>
      <c r="X27209" s="60"/>
    </row>
    <row r="27210" spans="7:24" ht="15" customHeight="1">
      <c r="G27210"/>
      <c r="I27210"/>
      <c r="N27210"/>
      <c r="O27210" s="24"/>
      <c r="P27210"/>
      <c r="Q27210" s="24"/>
      <c r="R27210"/>
      <c r="S27210"/>
      <c r="T27210"/>
      <c r="U27210"/>
      <c r="X27210" s="60"/>
    </row>
    <row r="27211" spans="7:24" ht="15" customHeight="1">
      <c r="G27211"/>
      <c r="I27211"/>
      <c r="N27211"/>
      <c r="O27211" s="24"/>
      <c r="P27211"/>
      <c r="Q27211" s="24"/>
      <c r="R27211"/>
      <c r="S27211"/>
      <c r="T27211"/>
      <c r="U27211"/>
      <c r="X27211" s="60"/>
    </row>
    <row r="27212" spans="7:24" ht="15" customHeight="1">
      <c r="G27212"/>
      <c r="I27212"/>
      <c r="N27212"/>
      <c r="O27212" s="24"/>
      <c r="P27212"/>
      <c r="Q27212" s="24"/>
      <c r="R27212"/>
      <c r="S27212"/>
      <c r="T27212"/>
      <c r="U27212"/>
      <c r="X27212" s="60"/>
    </row>
    <row r="27213" spans="7:24" ht="15" customHeight="1">
      <c r="G27213"/>
      <c r="I27213"/>
      <c r="N27213"/>
      <c r="O27213" s="24"/>
      <c r="P27213"/>
      <c r="Q27213" s="24"/>
      <c r="R27213"/>
      <c r="S27213"/>
      <c r="T27213"/>
      <c r="U27213"/>
      <c r="X27213" s="60"/>
    </row>
    <row r="27214" spans="7:24" ht="15" customHeight="1">
      <c r="G27214"/>
      <c r="I27214"/>
      <c r="N27214"/>
      <c r="O27214" s="24"/>
      <c r="P27214"/>
      <c r="Q27214" s="24"/>
      <c r="R27214"/>
      <c r="S27214"/>
      <c r="T27214"/>
      <c r="U27214"/>
      <c r="X27214" s="60"/>
    </row>
    <row r="27215" spans="7:24" ht="15" customHeight="1">
      <c r="G27215"/>
      <c r="I27215"/>
      <c r="N27215"/>
      <c r="O27215" s="24"/>
      <c r="P27215"/>
      <c r="Q27215" s="24"/>
      <c r="R27215"/>
      <c r="S27215"/>
      <c r="T27215"/>
      <c r="U27215"/>
      <c r="X27215" s="60"/>
    </row>
    <row r="27216" spans="7:24" ht="15" customHeight="1">
      <c r="G27216"/>
      <c r="I27216"/>
      <c r="N27216"/>
      <c r="O27216" s="24"/>
      <c r="P27216"/>
      <c r="Q27216" s="24"/>
      <c r="R27216"/>
      <c r="S27216"/>
      <c r="T27216"/>
      <c r="U27216"/>
      <c r="X27216" s="60"/>
    </row>
    <row r="27217" spans="7:24" ht="15" customHeight="1">
      <c r="G27217"/>
      <c r="I27217"/>
      <c r="N27217"/>
      <c r="O27217" s="24"/>
      <c r="P27217"/>
      <c r="Q27217" s="24"/>
      <c r="R27217"/>
      <c r="S27217"/>
      <c r="T27217"/>
      <c r="U27217"/>
      <c r="X27217" s="60"/>
    </row>
    <row r="27218" spans="7:24" ht="15" customHeight="1">
      <c r="G27218"/>
      <c r="I27218"/>
      <c r="N27218"/>
      <c r="O27218" s="24"/>
      <c r="P27218"/>
      <c r="Q27218" s="24"/>
      <c r="R27218"/>
      <c r="S27218"/>
      <c r="T27218"/>
      <c r="U27218"/>
      <c r="X27218" s="60"/>
    </row>
    <row r="27219" spans="7:24" ht="15" customHeight="1">
      <c r="G27219"/>
      <c r="I27219"/>
      <c r="N27219"/>
      <c r="O27219" s="24"/>
      <c r="P27219"/>
      <c r="Q27219" s="24"/>
      <c r="R27219"/>
      <c r="S27219"/>
      <c r="T27219"/>
      <c r="U27219"/>
      <c r="X27219" s="60"/>
    </row>
    <row r="27220" spans="7:24" ht="15" customHeight="1">
      <c r="G27220"/>
      <c r="I27220"/>
      <c r="N27220"/>
      <c r="O27220" s="24"/>
      <c r="P27220"/>
      <c r="Q27220" s="24"/>
      <c r="R27220"/>
      <c r="S27220"/>
      <c r="T27220"/>
      <c r="U27220"/>
      <c r="X27220" s="60"/>
    </row>
    <row r="27221" spans="7:24" ht="15" customHeight="1">
      <c r="G27221"/>
      <c r="I27221"/>
      <c r="N27221"/>
      <c r="O27221" s="24"/>
      <c r="P27221"/>
      <c r="Q27221" s="24"/>
      <c r="R27221"/>
      <c r="S27221"/>
      <c r="T27221"/>
      <c r="U27221"/>
      <c r="X27221" s="60"/>
    </row>
    <row r="27222" spans="7:24" ht="15" customHeight="1">
      <c r="G27222"/>
      <c r="I27222"/>
      <c r="N27222"/>
      <c r="O27222" s="24"/>
      <c r="P27222"/>
      <c r="Q27222" s="24"/>
      <c r="R27222"/>
      <c r="S27222"/>
      <c r="T27222"/>
      <c r="U27222"/>
      <c r="X27222" s="60"/>
    </row>
    <row r="27223" spans="7:24" ht="15" customHeight="1">
      <c r="G27223"/>
      <c r="I27223"/>
      <c r="N27223"/>
      <c r="O27223" s="24"/>
      <c r="P27223"/>
      <c r="Q27223" s="24"/>
      <c r="R27223"/>
      <c r="S27223"/>
      <c r="T27223"/>
      <c r="U27223"/>
      <c r="X27223" s="60"/>
    </row>
    <row r="27224" spans="7:24" ht="15" customHeight="1">
      <c r="G27224"/>
      <c r="I27224"/>
      <c r="N27224"/>
      <c r="O27224" s="24"/>
      <c r="P27224"/>
      <c r="Q27224" s="24"/>
      <c r="R27224"/>
      <c r="S27224"/>
      <c r="T27224"/>
      <c r="U27224"/>
      <c r="X27224" s="60"/>
    </row>
    <row r="27225" spans="7:24" ht="15" customHeight="1">
      <c r="G27225"/>
      <c r="I27225"/>
      <c r="N27225"/>
      <c r="O27225" s="24"/>
      <c r="P27225"/>
      <c r="Q27225" s="24"/>
      <c r="R27225"/>
      <c r="S27225"/>
      <c r="T27225"/>
      <c r="U27225"/>
      <c r="X27225" s="60"/>
    </row>
    <row r="27226" spans="7:24" ht="15" customHeight="1">
      <c r="G27226"/>
      <c r="I27226"/>
      <c r="N27226"/>
      <c r="O27226" s="24"/>
      <c r="P27226"/>
      <c r="Q27226" s="24"/>
      <c r="R27226"/>
      <c r="S27226"/>
      <c r="T27226"/>
      <c r="U27226"/>
      <c r="X27226" s="60"/>
    </row>
    <row r="27227" spans="7:24" ht="15" customHeight="1">
      <c r="G27227"/>
      <c r="I27227"/>
      <c r="N27227"/>
      <c r="O27227" s="24"/>
      <c r="P27227"/>
      <c r="Q27227" s="24"/>
      <c r="R27227"/>
      <c r="S27227"/>
      <c r="T27227"/>
      <c r="U27227"/>
      <c r="X27227" s="60"/>
    </row>
    <row r="27228" spans="7:24" ht="15" customHeight="1">
      <c r="G27228"/>
      <c r="I27228"/>
      <c r="N27228"/>
      <c r="O27228" s="24"/>
      <c r="P27228"/>
      <c r="Q27228" s="24"/>
      <c r="R27228"/>
      <c r="S27228"/>
      <c r="T27228"/>
      <c r="U27228"/>
      <c r="X27228" s="60"/>
    </row>
    <row r="27229" spans="7:24" ht="15" customHeight="1">
      <c r="G27229"/>
      <c r="I27229"/>
      <c r="N27229"/>
      <c r="O27229" s="24"/>
      <c r="P27229"/>
      <c r="Q27229" s="24"/>
      <c r="R27229"/>
      <c r="S27229"/>
      <c r="T27229"/>
      <c r="U27229"/>
      <c r="X27229" s="60"/>
    </row>
    <row r="27230" spans="7:24" ht="15" customHeight="1">
      <c r="G27230"/>
      <c r="I27230"/>
      <c r="N27230"/>
      <c r="O27230" s="24"/>
      <c r="P27230"/>
      <c r="Q27230" s="24"/>
      <c r="R27230"/>
      <c r="S27230"/>
      <c r="T27230"/>
      <c r="U27230"/>
      <c r="X27230" s="60"/>
    </row>
    <row r="27231" spans="7:24" ht="15" customHeight="1">
      <c r="G27231"/>
      <c r="I27231"/>
      <c r="N27231"/>
      <c r="O27231" s="24"/>
      <c r="P27231"/>
      <c r="Q27231" s="24"/>
      <c r="R27231"/>
      <c r="S27231"/>
      <c r="T27231"/>
      <c r="U27231"/>
      <c r="X27231" s="60"/>
    </row>
    <row r="27232" spans="7:24" ht="15" customHeight="1">
      <c r="G27232"/>
      <c r="I27232"/>
      <c r="N27232"/>
      <c r="O27232" s="24"/>
      <c r="P27232"/>
      <c r="Q27232" s="24"/>
      <c r="R27232"/>
      <c r="S27232"/>
      <c r="T27232"/>
      <c r="U27232"/>
      <c r="X27232" s="60"/>
    </row>
    <row r="27233" spans="7:24" ht="15" customHeight="1">
      <c r="G27233"/>
      <c r="I27233"/>
      <c r="N27233"/>
      <c r="O27233" s="24"/>
      <c r="P27233"/>
      <c r="Q27233" s="24"/>
      <c r="R27233"/>
      <c r="S27233"/>
      <c r="T27233"/>
      <c r="U27233"/>
      <c r="X27233" s="60"/>
    </row>
    <row r="27234" spans="7:24" ht="15" customHeight="1">
      <c r="G27234"/>
      <c r="I27234"/>
      <c r="N27234"/>
      <c r="O27234" s="24"/>
      <c r="P27234"/>
      <c r="Q27234" s="24"/>
      <c r="R27234"/>
      <c r="S27234"/>
      <c r="T27234"/>
      <c r="U27234"/>
      <c r="X27234" s="60"/>
    </row>
    <row r="27235" spans="7:24" ht="15" customHeight="1">
      <c r="G27235"/>
      <c r="I27235"/>
      <c r="N27235"/>
      <c r="O27235" s="24"/>
      <c r="P27235"/>
      <c r="Q27235" s="24"/>
      <c r="R27235"/>
      <c r="S27235"/>
      <c r="T27235"/>
      <c r="U27235"/>
      <c r="X27235" s="60"/>
    </row>
    <row r="27236" spans="7:24" ht="15" customHeight="1">
      <c r="G27236"/>
      <c r="I27236"/>
      <c r="N27236"/>
      <c r="O27236" s="24"/>
      <c r="P27236"/>
      <c r="Q27236" s="24"/>
      <c r="R27236"/>
      <c r="S27236"/>
      <c r="T27236"/>
      <c r="U27236"/>
      <c r="X27236" s="60"/>
    </row>
    <row r="27237" spans="7:24" ht="15" customHeight="1">
      <c r="G27237"/>
      <c r="I27237"/>
      <c r="N27237"/>
      <c r="O27237" s="24"/>
      <c r="P27237"/>
      <c r="Q27237" s="24"/>
      <c r="R27237"/>
      <c r="S27237"/>
      <c r="T27237"/>
      <c r="U27237"/>
      <c r="X27237" s="60"/>
    </row>
    <row r="27238" spans="7:24" ht="15" customHeight="1">
      <c r="G27238"/>
      <c r="I27238"/>
      <c r="N27238"/>
      <c r="O27238" s="24"/>
      <c r="P27238"/>
      <c r="Q27238" s="24"/>
      <c r="R27238"/>
      <c r="S27238"/>
      <c r="T27238"/>
      <c r="U27238"/>
      <c r="X27238" s="60"/>
    </row>
    <row r="27239" spans="7:24" ht="15" customHeight="1">
      <c r="G27239"/>
      <c r="I27239"/>
      <c r="N27239"/>
      <c r="O27239" s="24"/>
      <c r="P27239"/>
      <c r="Q27239" s="24"/>
      <c r="R27239"/>
      <c r="S27239"/>
      <c r="T27239"/>
      <c r="U27239"/>
      <c r="X27239" s="60"/>
    </row>
    <row r="27240" spans="7:24" ht="15" customHeight="1">
      <c r="G27240"/>
      <c r="I27240"/>
      <c r="N27240"/>
      <c r="O27240" s="24"/>
      <c r="P27240"/>
      <c r="Q27240" s="24"/>
      <c r="R27240"/>
      <c r="S27240"/>
      <c r="T27240"/>
      <c r="U27240"/>
      <c r="X27240" s="60"/>
    </row>
    <row r="27241" spans="7:24" ht="15" customHeight="1">
      <c r="G27241"/>
      <c r="I27241"/>
      <c r="N27241"/>
      <c r="O27241" s="24"/>
      <c r="P27241"/>
      <c r="Q27241" s="24"/>
      <c r="R27241"/>
      <c r="S27241"/>
      <c r="T27241"/>
      <c r="U27241"/>
      <c r="X27241" s="60"/>
    </row>
    <row r="27242" spans="7:24" ht="15" customHeight="1">
      <c r="G27242"/>
      <c r="I27242"/>
      <c r="N27242"/>
      <c r="O27242" s="24"/>
      <c r="P27242"/>
      <c r="Q27242" s="24"/>
      <c r="R27242"/>
      <c r="S27242"/>
      <c r="T27242"/>
      <c r="U27242"/>
      <c r="X27242" s="60"/>
    </row>
    <row r="27243" spans="7:24" ht="15" customHeight="1">
      <c r="G27243"/>
      <c r="I27243"/>
      <c r="N27243"/>
      <c r="O27243" s="24"/>
      <c r="P27243"/>
      <c r="Q27243" s="24"/>
      <c r="R27243"/>
      <c r="S27243"/>
      <c r="T27243"/>
      <c r="U27243"/>
      <c r="X27243" s="60"/>
    </row>
    <row r="27244" spans="7:24" ht="15" customHeight="1">
      <c r="G27244"/>
      <c r="I27244"/>
      <c r="N27244"/>
      <c r="O27244" s="24"/>
      <c r="P27244"/>
      <c r="Q27244" s="24"/>
      <c r="R27244"/>
      <c r="S27244"/>
      <c r="T27244"/>
      <c r="U27244"/>
      <c r="X27244" s="60"/>
    </row>
    <row r="27245" spans="7:24" ht="15" customHeight="1">
      <c r="G27245"/>
      <c r="I27245"/>
      <c r="N27245"/>
      <c r="O27245" s="24"/>
      <c r="P27245"/>
      <c r="Q27245" s="24"/>
      <c r="R27245"/>
      <c r="S27245"/>
      <c r="T27245"/>
      <c r="U27245"/>
      <c r="X27245" s="60"/>
    </row>
    <row r="27246" spans="7:24" ht="15" customHeight="1">
      <c r="G27246"/>
      <c r="I27246"/>
      <c r="N27246"/>
      <c r="O27246" s="24"/>
      <c r="P27246"/>
      <c r="Q27246" s="24"/>
      <c r="R27246"/>
      <c r="S27246"/>
      <c r="T27246"/>
      <c r="U27246"/>
      <c r="X27246" s="60"/>
    </row>
    <row r="27247" spans="7:24" ht="15" customHeight="1">
      <c r="G27247"/>
      <c r="I27247"/>
      <c r="N27247"/>
      <c r="O27247" s="24"/>
      <c r="P27247"/>
      <c r="Q27247" s="24"/>
      <c r="R27247"/>
      <c r="S27247"/>
      <c r="T27247"/>
      <c r="U27247"/>
      <c r="X27247" s="60"/>
    </row>
    <row r="27248" spans="7:24" ht="15" customHeight="1">
      <c r="G27248"/>
      <c r="I27248"/>
      <c r="N27248"/>
      <c r="O27248" s="24"/>
      <c r="P27248"/>
      <c r="Q27248" s="24"/>
      <c r="R27248"/>
      <c r="S27248"/>
      <c r="T27248"/>
      <c r="U27248"/>
      <c r="X27248" s="60"/>
    </row>
    <row r="27249" spans="7:24" ht="15" customHeight="1">
      <c r="G27249"/>
      <c r="I27249"/>
      <c r="N27249"/>
      <c r="O27249" s="24"/>
      <c r="P27249"/>
      <c r="Q27249" s="24"/>
      <c r="R27249"/>
      <c r="S27249"/>
      <c r="T27249"/>
      <c r="U27249"/>
      <c r="X27249" s="60"/>
    </row>
    <row r="27250" spans="7:24" ht="15" customHeight="1">
      <c r="G27250"/>
      <c r="I27250"/>
      <c r="N27250"/>
      <c r="O27250" s="24"/>
      <c r="P27250"/>
      <c r="Q27250" s="24"/>
      <c r="R27250"/>
      <c r="S27250"/>
      <c r="T27250"/>
      <c r="U27250"/>
      <c r="X27250" s="60"/>
    </row>
    <row r="27251" spans="7:24" ht="15" customHeight="1">
      <c r="G27251"/>
      <c r="I27251"/>
      <c r="N27251"/>
      <c r="O27251" s="24"/>
      <c r="P27251"/>
      <c r="Q27251" s="24"/>
      <c r="R27251"/>
      <c r="S27251"/>
      <c r="T27251"/>
      <c r="U27251"/>
      <c r="X27251" s="60"/>
    </row>
    <row r="27252" spans="7:24" ht="15" customHeight="1">
      <c r="G27252"/>
      <c r="I27252"/>
      <c r="N27252"/>
      <c r="O27252" s="24"/>
      <c r="P27252"/>
      <c r="Q27252" s="24"/>
      <c r="R27252"/>
      <c r="S27252"/>
      <c r="T27252"/>
      <c r="U27252"/>
      <c r="X27252" s="60"/>
    </row>
    <row r="27253" spans="7:24" ht="15" customHeight="1">
      <c r="G27253"/>
      <c r="I27253"/>
      <c r="N27253"/>
      <c r="O27253" s="24"/>
      <c r="P27253"/>
      <c r="Q27253" s="24"/>
      <c r="R27253"/>
      <c r="S27253"/>
      <c r="T27253"/>
      <c r="U27253"/>
      <c r="X27253" s="60"/>
    </row>
    <row r="27254" spans="7:24" ht="15" customHeight="1">
      <c r="G27254"/>
      <c r="I27254"/>
      <c r="N27254"/>
      <c r="O27254" s="24"/>
      <c r="P27254"/>
      <c r="Q27254" s="24"/>
      <c r="R27254"/>
      <c r="S27254"/>
      <c r="T27254"/>
      <c r="U27254"/>
      <c r="X27254" s="60"/>
    </row>
    <row r="27255" spans="7:24" ht="15" customHeight="1">
      <c r="G27255"/>
      <c r="I27255"/>
      <c r="N27255"/>
      <c r="O27255" s="24"/>
      <c r="P27255"/>
      <c r="Q27255" s="24"/>
      <c r="R27255"/>
      <c r="S27255"/>
      <c r="T27255"/>
      <c r="U27255"/>
      <c r="X27255" s="60"/>
    </row>
    <row r="27256" spans="7:24" ht="15" customHeight="1">
      <c r="G27256"/>
      <c r="I27256"/>
      <c r="N27256"/>
      <c r="O27256" s="24"/>
      <c r="P27256"/>
      <c r="Q27256" s="24"/>
      <c r="R27256"/>
      <c r="S27256"/>
      <c r="T27256"/>
      <c r="U27256"/>
      <c r="X27256" s="60"/>
    </row>
    <row r="27257" spans="7:24" ht="15" customHeight="1">
      <c r="G27257"/>
      <c r="I27257"/>
      <c r="N27257"/>
      <c r="O27257" s="24"/>
      <c r="P27257"/>
      <c r="Q27257" s="24"/>
      <c r="R27257"/>
      <c r="S27257"/>
      <c r="T27257"/>
      <c r="U27257"/>
      <c r="X27257" s="60"/>
    </row>
    <row r="27258" spans="7:24" ht="15" customHeight="1">
      <c r="G27258"/>
      <c r="I27258"/>
      <c r="N27258"/>
      <c r="O27258" s="24"/>
      <c r="P27258"/>
      <c r="Q27258" s="24"/>
      <c r="R27258"/>
      <c r="S27258"/>
      <c r="T27258"/>
      <c r="U27258"/>
      <c r="X27258" s="60"/>
    </row>
    <row r="27259" spans="7:24" ht="15" customHeight="1">
      <c r="G27259"/>
      <c r="I27259"/>
      <c r="N27259"/>
      <c r="O27259" s="24"/>
      <c r="P27259"/>
      <c r="Q27259" s="24"/>
      <c r="R27259"/>
      <c r="S27259"/>
      <c r="T27259"/>
      <c r="U27259"/>
      <c r="X27259" s="60"/>
    </row>
    <row r="27260" spans="7:24" ht="15" customHeight="1">
      <c r="G27260"/>
      <c r="I27260"/>
      <c r="N27260"/>
      <c r="O27260" s="24"/>
      <c r="P27260"/>
      <c r="Q27260" s="24"/>
      <c r="R27260"/>
      <c r="S27260"/>
      <c r="T27260"/>
      <c r="U27260"/>
      <c r="X27260" s="60"/>
    </row>
    <row r="27261" spans="7:24" ht="15" customHeight="1">
      <c r="G27261"/>
      <c r="I27261"/>
      <c r="N27261"/>
      <c r="O27261" s="24"/>
      <c r="P27261"/>
      <c r="Q27261" s="24"/>
      <c r="R27261"/>
      <c r="S27261"/>
      <c r="T27261"/>
      <c r="U27261"/>
      <c r="X27261" s="60"/>
    </row>
    <row r="27262" spans="7:24" ht="15" customHeight="1">
      <c r="G27262"/>
      <c r="I27262"/>
      <c r="N27262"/>
      <c r="O27262" s="24"/>
      <c r="P27262"/>
      <c r="Q27262" s="24"/>
      <c r="R27262"/>
      <c r="S27262"/>
      <c r="T27262"/>
      <c r="U27262"/>
      <c r="X27262" s="60"/>
    </row>
    <row r="27263" spans="7:24" ht="15" customHeight="1">
      <c r="G27263"/>
      <c r="I27263"/>
      <c r="N27263"/>
      <c r="O27263" s="24"/>
      <c r="P27263"/>
      <c r="Q27263" s="24"/>
      <c r="R27263"/>
      <c r="S27263"/>
      <c r="T27263"/>
      <c r="U27263"/>
      <c r="X27263" s="60"/>
    </row>
    <row r="27264" spans="7:24" ht="15" customHeight="1">
      <c r="G27264"/>
      <c r="I27264"/>
      <c r="N27264"/>
      <c r="O27264" s="24"/>
      <c r="P27264"/>
      <c r="Q27264" s="24"/>
      <c r="R27264"/>
      <c r="S27264"/>
      <c r="T27264"/>
      <c r="U27264"/>
      <c r="X27264" s="60"/>
    </row>
    <row r="27265" spans="7:24" ht="15" customHeight="1">
      <c r="G27265"/>
      <c r="I27265"/>
      <c r="N27265"/>
      <c r="O27265" s="24"/>
      <c r="P27265"/>
      <c r="Q27265" s="24"/>
      <c r="R27265"/>
      <c r="S27265"/>
      <c r="T27265"/>
      <c r="U27265"/>
      <c r="X27265" s="60"/>
    </row>
    <row r="27266" spans="7:24" ht="15" customHeight="1">
      <c r="G27266"/>
      <c r="I27266"/>
      <c r="N27266"/>
      <c r="O27266" s="24"/>
      <c r="P27266"/>
      <c r="Q27266" s="24"/>
      <c r="R27266"/>
      <c r="S27266"/>
      <c r="T27266"/>
      <c r="U27266"/>
      <c r="X27266" s="60"/>
    </row>
    <row r="27267" spans="7:24" ht="15" customHeight="1">
      <c r="G27267"/>
      <c r="I27267"/>
      <c r="N27267"/>
      <c r="O27267" s="24"/>
      <c r="P27267"/>
      <c r="Q27267" s="24"/>
      <c r="R27267"/>
      <c r="S27267"/>
      <c r="T27267"/>
      <c r="U27267"/>
      <c r="X27267" s="60"/>
    </row>
    <row r="27268" spans="7:24" ht="15" customHeight="1">
      <c r="G27268"/>
      <c r="I27268"/>
      <c r="N27268"/>
      <c r="O27268" s="24"/>
      <c r="P27268"/>
      <c r="Q27268" s="24"/>
      <c r="R27268"/>
      <c r="S27268"/>
      <c r="T27268"/>
      <c r="U27268"/>
      <c r="X27268" s="60"/>
    </row>
    <row r="27269" spans="7:24" ht="15" customHeight="1">
      <c r="G27269"/>
      <c r="I27269"/>
      <c r="N27269"/>
      <c r="O27269" s="24"/>
      <c r="P27269"/>
      <c r="Q27269" s="24"/>
      <c r="R27269"/>
      <c r="S27269"/>
      <c r="T27269"/>
      <c r="U27269"/>
      <c r="X27269" s="60"/>
    </row>
    <row r="27270" spans="7:24" ht="15" customHeight="1">
      <c r="G27270"/>
      <c r="I27270"/>
      <c r="N27270"/>
      <c r="O27270" s="24"/>
      <c r="P27270"/>
      <c r="Q27270" s="24"/>
      <c r="R27270"/>
      <c r="S27270"/>
      <c r="T27270"/>
      <c r="U27270"/>
      <c r="X27270" s="60"/>
    </row>
    <row r="27271" spans="7:24" ht="15" customHeight="1">
      <c r="G27271"/>
      <c r="I27271"/>
      <c r="N27271"/>
      <c r="O27271" s="24"/>
      <c r="P27271"/>
      <c r="Q27271" s="24"/>
      <c r="R27271"/>
      <c r="S27271"/>
      <c r="T27271"/>
      <c r="U27271"/>
      <c r="X27271" s="60"/>
    </row>
    <row r="27272" spans="7:24" ht="15" customHeight="1">
      <c r="G27272"/>
      <c r="I27272"/>
      <c r="N27272"/>
      <c r="O27272" s="24"/>
      <c r="P27272"/>
      <c r="Q27272" s="24"/>
      <c r="R27272"/>
      <c r="S27272"/>
      <c r="T27272"/>
      <c r="U27272"/>
      <c r="X27272" s="60"/>
    </row>
    <row r="27273" spans="7:24" ht="15" customHeight="1">
      <c r="G27273"/>
      <c r="I27273"/>
      <c r="N27273"/>
      <c r="O27273" s="24"/>
      <c r="P27273"/>
      <c r="Q27273" s="24"/>
      <c r="R27273"/>
      <c r="S27273"/>
      <c r="T27273"/>
      <c r="U27273"/>
      <c r="X27273" s="60"/>
    </row>
    <row r="27274" spans="7:24" ht="15" customHeight="1">
      <c r="G27274"/>
      <c r="I27274"/>
      <c r="N27274"/>
      <c r="O27274" s="24"/>
      <c r="P27274"/>
      <c r="Q27274" s="24"/>
      <c r="R27274"/>
      <c r="S27274"/>
      <c r="T27274"/>
      <c r="U27274"/>
      <c r="X27274" s="60"/>
    </row>
    <row r="27275" spans="7:24" ht="15" customHeight="1">
      <c r="G27275"/>
      <c r="I27275"/>
      <c r="N27275"/>
      <c r="O27275" s="24"/>
      <c r="P27275"/>
      <c r="Q27275" s="24"/>
      <c r="R27275"/>
      <c r="S27275"/>
      <c r="T27275"/>
      <c r="U27275"/>
      <c r="X27275" s="60"/>
    </row>
    <row r="27276" spans="7:24" ht="15" customHeight="1">
      <c r="G27276"/>
      <c r="I27276"/>
      <c r="N27276"/>
      <c r="O27276" s="24"/>
      <c r="P27276"/>
      <c r="Q27276" s="24"/>
      <c r="R27276"/>
      <c r="S27276"/>
      <c r="T27276"/>
      <c r="U27276"/>
      <c r="X27276" s="60"/>
    </row>
    <row r="27277" spans="7:24" ht="15" customHeight="1">
      <c r="G27277"/>
      <c r="I27277"/>
      <c r="N27277"/>
      <c r="O27277" s="24"/>
      <c r="P27277"/>
      <c r="Q27277" s="24"/>
      <c r="R27277"/>
      <c r="S27277"/>
      <c r="T27277"/>
      <c r="U27277"/>
      <c r="X27277" s="60"/>
    </row>
    <row r="27278" spans="7:24" ht="15" customHeight="1">
      <c r="G27278"/>
      <c r="I27278"/>
      <c r="N27278"/>
      <c r="O27278" s="24"/>
      <c r="P27278"/>
      <c r="Q27278" s="24"/>
      <c r="R27278"/>
      <c r="S27278"/>
      <c r="T27278"/>
      <c r="U27278"/>
      <c r="X27278" s="60"/>
    </row>
    <row r="27279" spans="7:24" ht="15" customHeight="1">
      <c r="G27279"/>
      <c r="I27279"/>
      <c r="N27279"/>
      <c r="O27279" s="24"/>
      <c r="P27279"/>
      <c r="Q27279" s="24"/>
      <c r="R27279"/>
      <c r="S27279"/>
      <c r="T27279"/>
      <c r="U27279"/>
      <c r="X27279" s="60"/>
    </row>
    <row r="27280" spans="7:24" ht="15" customHeight="1">
      <c r="G27280"/>
      <c r="I27280"/>
      <c r="N27280"/>
      <c r="O27280" s="24"/>
      <c r="P27280"/>
      <c r="Q27280" s="24"/>
      <c r="R27280"/>
      <c r="S27280"/>
      <c r="T27280"/>
      <c r="U27280"/>
      <c r="X27280" s="60"/>
    </row>
    <row r="27281" spans="7:24" ht="15" customHeight="1">
      <c r="G27281"/>
      <c r="I27281"/>
      <c r="N27281"/>
      <c r="O27281" s="24"/>
      <c r="P27281"/>
      <c r="Q27281" s="24"/>
      <c r="R27281"/>
      <c r="S27281"/>
      <c r="T27281"/>
      <c r="U27281"/>
      <c r="X27281" s="60"/>
    </row>
    <row r="27282" spans="7:24" ht="15" customHeight="1">
      <c r="G27282"/>
      <c r="I27282"/>
      <c r="N27282"/>
      <c r="O27282" s="24"/>
      <c r="P27282"/>
      <c r="Q27282" s="24"/>
      <c r="R27282"/>
      <c r="S27282"/>
      <c r="T27282"/>
      <c r="U27282"/>
      <c r="X27282" s="60"/>
    </row>
    <row r="27283" spans="7:24" ht="15" customHeight="1">
      <c r="G27283"/>
      <c r="I27283"/>
      <c r="N27283"/>
      <c r="O27283" s="24"/>
      <c r="P27283"/>
      <c r="Q27283" s="24"/>
      <c r="R27283"/>
      <c r="S27283"/>
      <c r="T27283"/>
      <c r="U27283"/>
      <c r="X27283" s="60"/>
    </row>
    <row r="27284" spans="7:24" ht="15" customHeight="1">
      <c r="G27284"/>
      <c r="I27284"/>
      <c r="N27284"/>
      <c r="O27284" s="24"/>
      <c r="P27284"/>
      <c r="Q27284" s="24"/>
      <c r="R27284"/>
      <c r="S27284"/>
      <c r="T27284"/>
      <c r="U27284"/>
      <c r="X27284" s="60"/>
    </row>
    <row r="27285" spans="7:24" ht="15" customHeight="1">
      <c r="G27285"/>
      <c r="I27285"/>
      <c r="N27285"/>
      <c r="O27285" s="24"/>
      <c r="P27285"/>
      <c r="Q27285" s="24"/>
      <c r="R27285"/>
      <c r="S27285"/>
      <c r="T27285"/>
      <c r="U27285"/>
      <c r="X27285" s="60"/>
    </row>
    <row r="27286" spans="7:24" ht="15" customHeight="1">
      <c r="G27286"/>
      <c r="I27286"/>
      <c r="N27286"/>
      <c r="O27286" s="24"/>
      <c r="P27286"/>
      <c r="Q27286" s="24"/>
      <c r="R27286"/>
      <c r="S27286"/>
      <c r="T27286"/>
      <c r="U27286"/>
      <c r="X27286" s="60"/>
    </row>
    <row r="27287" spans="7:24" ht="15" customHeight="1">
      <c r="G27287"/>
      <c r="I27287"/>
      <c r="N27287"/>
      <c r="O27287" s="24"/>
      <c r="P27287"/>
      <c r="Q27287" s="24"/>
      <c r="R27287"/>
      <c r="S27287"/>
      <c r="T27287"/>
      <c r="U27287"/>
      <c r="X27287" s="60"/>
    </row>
    <row r="27288" spans="7:24" ht="15" customHeight="1">
      <c r="G27288"/>
      <c r="I27288"/>
      <c r="N27288"/>
      <c r="O27288" s="24"/>
      <c r="P27288"/>
      <c r="Q27288" s="24"/>
      <c r="R27288"/>
      <c r="S27288"/>
      <c r="T27288"/>
      <c r="U27288"/>
      <c r="X27288" s="60"/>
    </row>
    <row r="27289" spans="7:24" ht="15" customHeight="1">
      <c r="G27289"/>
      <c r="I27289"/>
      <c r="N27289"/>
      <c r="O27289" s="24"/>
      <c r="P27289"/>
      <c r="Q27289" s="24"/>
      <c r="R27289"/>
      <c r="S27289"/>
      <c r="T27289"/>
      <c r="U27289"/>
      <c r="X27289" s="60"/>
    </row>
    <row r="27290" spans="7:24" ht="15" customHeight="1">
      <c r="G27290"/>
      <c r="I27290"/>
      <c r="N27290"/>
      <c r="O27290" s="24"/>
      <c r="P27290"/>
      <c r="Q27290" s="24"/>
      <c r="R27290"/>
      <c r="S27290"/>
      <c r="T27290"/>
      <c r="U27290"/>
      <c r="X27290" s="60"/>
    </row>
    <row r="27291" spans="7:24" ht="15" customHeight="1">
      <c r="G27291"/>
      <c r="I27291"/>
      <c r="N27291"/>
      <c r="O27291" s="24"/>
      <c r="P27291"/>
      <c r="Q27291" s="24"/>
      <c r="R27291"/>
      <c r="S27291"/>
      <c r="T27291"/>
      <c r="U27291"/>
      <c r="X27291" s="60"/>
    </row>
    <row r="27292" spans="7:24" ht="15" customHeight="1">
      <c r="G27292"/>
      <c r="I27292"/>
      <c r="N27292"/>
      <c r="O27292" s="24"/>
      <c r="P27292"/>
      <c r="Q27292" s="24"/>
      <c r="R27292"/>
      <c r="S27292"/>
      <c r="T27292"/>
      <c r="U27292"/>
      <c r="X27292" s="60"/>
    </row>
    <row r="27293" spans="7:24" ht="15" customHeight="1">
      <c r="G27293"/>
      <c r="I27293"/>
      <c r="N27293"/>
      <c r="O27293" s="24"/>
      <c r="P27293"/>
      <c r="Q27293" s="24"/>
      <c r="R27293"/>
      <c r="S27293"/>
      <c r="T27293"/>
      <c r="U27293"/>
      <c r="X27293" s="60"/>
    </row>
    <row r="27294" spans="7:24" ht="15" customHeight="1">
      <c r="G27294"/>
      <c r="I27294"/>
      <c r="N27294"/>
      <c r="O27294" s="24"/>
      <c r="P27294"/>
      <c r="Q27294" s="24"/>
      <c r="R27294"/>
      <c r="S27294"/>
      <c r="T27294"/>
      <c r="U27294"/>
      <c r="X27294" s="60"/>
    </row>
    <row r="27295" spans="7:24" ht="15" customHeight="1">
      <c r="G27295"/>
      <c r="I27295"/>
      <c r="N27295"/>
      <c r="O27295" s="24"/>
      <c r="P27295"/>
      <c r="Q27295" s="24"/>
      <c r="R27295"/>
      <c r="S27295"/>
      <c r="T27295"/>
      <c r="U27295"/>
      <c r="X27295" s="60"/>
    </row>
    <row r="27296" spans="7:24" ht="15" customHeight="1">
      <c r="G27296"/>
      <c r="I27296"/>
      <c r="N27296"/>
      <c r="O27296" s="24"/>
      <c r="P27296"/>
      <c r="Q27296" s="24"/>
      <c r="R27296"/>
      <c r="S27296"/>
      <c r="T27296"/>
      <c r="U27296"/>
      <c r="X27296" s="60"/>
    </row>
    <row r="27297" spans="7:24" ht="15" customHeight="1">
      <c r="G27297"/>
      <c r="I27297"/>
      <c r="N27297"/>
      <c r="O27297" s="24"/>
      <c r="P27297"/>
      <c r="Q27297" s="24"/>
      <c r="R27297"/>
      <c r="S27297"/>
      <c r="T27297"/>
      <c r="U27297"/>
      <c r="X27297" s="60"/>
    </row>
    <row r="27298" spans="7:24" ht="15" customHeight="1">
      <c r="G27298"/>
      <c r="I27298"/>
      <c r="N27298"/>
      <c r="O27298" s="24"/>
      <c r="P27298"/>
      <c r="Q27298" s="24"/>
      <c r="R27298"/>
      <c r="S27298"/>
      <c r="T27298"/>
      <c r="U27298"/>
      <c r="X27298" s="60"/>
    </row>
    <row r="27299" spans="7:24" ht="15" customHeight="1">
      <c r="G27299"/>
      <c r="I27299"/>
      <c r="N27299"/>
      <c r="O27299" s="24"/>
      <c r="P27299"/>
      <c r="Q27299" s="24"/>
      <c r="R27299"/>
      <c r="S27299"/>
      <c r="T27299"/>
      <c r="U27299"/>
      <c r="X27299" s="60"/>
    </row>
    <row r="27300" spans="7:24" ht="15" customHeight="1">
      <c r="G27300"/>
      <c r="I27300"/>
      <c r="N27300"/>
      <c r="O27300" s="24"/>
      <c r="P27300"/>
      <c r="Q27300" s="24"/>
      <c r="R27300"/>
      <c r="S27300"/>
      <c r="T27300"/>
      <c r="U27300"/>
      <c r="X27300" s="60"/>
    </row>
    <row r="27301" spans="7:24" ht="15" customHeight="1">
      <c r="G27301"/>
      <c r="I27301"/>
      <c r="N27301"/>
      <c r="O27301" s="24"/>
      <c r="P27301"/>
      <c r="Q27301" s="24"/>
      <c r="R27301"/>
      <c r="S27301"/>
      <c r="T27301"/>
      <c r="U27301"/>
      <c r="X27301" s="60"/>
    </row>
    <row r="27302" spans="7:24" ht="15" customHeight="1">
      <c r="G27302"/>
      <c r="I27302"/>
      <c r="N27302"/>
      <c r="O27302" s="24"/>
      <c r="P27302"/>
      <c r="Q27302" s="24"/>
      <c r="R27302"/>
      <c r="S27302"/>
      <c r="T27302"/>
      <c r="U27302"/>
      <c r="X27302" s="60"/>
    </row>
    <row r="27303" spans="7:24" ht="15" customHeight="1">
      <c r="G27303"/>
      <c r="I27303"/>
      <c r="N27303"/>
      <c r="O27303" s="24"/>
      <c r="P27303"/>
      <c r="Q27303" s="24"/>
      <c r="R27303"/>
      <c r="S27303"/>
      <c r="T27303"/>
      <c r="U27303"/>
      <c r="X27303" s="60"/>
    </row>
    <row r="27304" spans="7:24" ht="15" customHeight="1">
      <c r="G27304"/>
      <c r="I27304"/>
      <c r="N27304"/>
      <c r="O27304" s="24"/>
      <c r="P27304"/>
      <c r="Q27304" s="24"/>
      <c r="R27304"/>
      <c r="S27304"/>
      <c r="T27304"/>
      <c r="U27304"/>
      <c r="X27304" s="60"/>
    </row>
    <row r="27305" spans="7:24" ht="15" customHeight="1">
      <c r="G27305"/>
      <c r="I27305"/>
      <c r="N27305"/>
      <c r="O27305" s="24"/>
      <c r="P27305"/>
      <c r="Q27305" s="24"/>
      <c r="R27305"/>
      <c r="S27305"/>
      <c r="T27305"/>
      <c r="U27305"/>
      <c r="X27305" s="60"/>
    </row>
    <row r="27306" spans="7:24" ht="15" customHeight="1">
      <c r="G27306"/>
      <c r="I27306"/>
      <c r="N27306"/>
      <c r="O27306" s="24"/>
      <c r="P27306"/>
      <c r="Q27306" s="24"/>
      <c r="R27306"/>
      <c r="S27306"/>
      <c r="T27306"/>
      <c r="U27306"/>
      <c r="X27306" s="60"/>
    </row>
    <row r="27307" spans="7:24" ht="15" customHeight="1">
      <c r="G27307"/>
      <c r="I27307"/>
      <c r="N27307"/>
      <c r="O27307" s="24"/>
      <c r="P27307"/>
      <c r="Q27307" s="24"/>
      <c r="R27307"/>
      <c r="S27307"/>
      <c r="T27307"/>
      <c r="U27307"/>
      <c r="X27307" s="60"/>
    </row>
    <row r="27308" spans="7:24" ht="15" customHeight="1">
      <c r="G27308"/>
      <c r="I27308"/>
      <c r="N27308"/>
      <c r="O27308" s="24"/>
      <c r="P27308"/>
      <c r="Q27308" s="24"/>
      <c r="R27308"/>
      <c r="S27308"/>
      <c r="T27308"/>
      <c r="U27308"/>
      <c r="X27308" s="60"/>
    </row>
    <row r="27309" spans="7:24" ht="15" customHeight="1">
      <c r="G27309"/>
      <c r="I27309"/>
      <c r="N27309"/>
      <c r="O27309" s="24"/>
      <c r="P27309"/>
      <c r="Q27309" s="24"/>
      <c r="R27309"/>
      <c r="S27309"/>
      <c r="T27309"/>
      <c r="U27309"/>
      <c r="X27309" s="60"/>
    </row>
    <row r="27310" spans="7:24" ht="15" customHeight="1">
      <c r="G27310"/>
      <c r="I27310"/>
      <c r="N27310"/>
      <c r="O27310" s="24"/>
      <c r="P27310"/>
      <c r="Q27310" s="24"/>
      <c r="R27310"/>
      <c r="S27310"/>
      <c r="T27310"/>
      <c r="U27310"/>
      <c r="X27310" s="60"/>
    </row>
    <row r="27311" spans="7:24" ht="15" customHeight="1">
      <c r="G27311"/>
      <c r="I27311"/>
      <c r="N27311"/>
      <c r="O27311" s="24"/>
      <c r="P27311"/>
      <c r="Q27311" s="24"/>
      <c r="R27311"/>
      <c r="S27311"/>
      <c r="T27311"/>
      <c r="U27311"/>
      <c r="X27311" s="60"/>
    </row>
    <row r="27312" spans="7:24" ht="15" customHeight="1">
      <c r="G27312"/>
      <c r="I27312"/>
      <c r="N27312"/>
      <c r="O27312" s="24"/>
      <c r="P27312"/>
      <c r="Q27312" s="24"/>
      <c r="R27312"/>
      <c r="S27312"/>
      <c r="T27312"/>
      <c r="U27312"/>
      <c r="X27312" s="60"/>
    </row>
    <row r="27313" spans="7:24" ht="15" customHeight="1">
      <c r="G27313"/>
      <c r="I27313"/>
      <c r="N27313"/>
      <c r="O27313" s="24"/>
      <c r="P27313"/>
      <c r="Q27313" s="24"/>
      <c r="R27313"/>
      <c r="S27313"/>
      <c r="T27313"/>
      <c r="U27313"/>
      <c r="X27313" s="60"/>
    </row>
    <row r="27314" spans="7:24" ht="15" customHeight="1">
      <c r="G27314"/>
      <c r="I27314"/>
      <c r="N27314"/>
      <c r="O27314" s="24"/>
      <c r="P27314"/>
      <c r="Q27314" s="24"/>
      <c r="R27314"/>
      <c r="S27314"/>
      <c r="T27314"/>
      <c r="U27314"/>
      <c r="X27314" s="60"/>
    </row>
    <row r="27315" spans="7:24" ht="15" customHeight="1">
      <c r="G27315"/>
      <c r="I27315"/>
      <c r="N27315"/>
      <c r="O27315" s="24"/>
      <c r="P27315"/>
      <c r="Q27315" s="24"/>
      <c r="R27315"/>
      <c r="S27315"/>
      <c r="T27315"/>
      <c r="U27315"/>
      <c r="X27315" s="60"/>
    </row>
    <row r="27316" spans="7:24" ht="15" customHeight="1">
      <c r="G27316"/>
      <c r="I27316"/>
      <c r="N27316"/>
      <c r="O27316" s="24"/>
      <c r="P27316"/>
      <c r="Q27316" s="24"/>
      <c r="R27316"/>
      <c r="S27316"/>
      <c r="T27316"/>
      <c r="U27316"/>
      <c r="X27316" s="60"/>
    </row>
    <row r="27317" spans="7:24" ht="15" customHeight="1">
      <c r="G27317"/>
      <c r="I27317"/>
      <c r="N27317"/>
      <c r="O27317" s="24"/>
      <c r="P27317"/>
      <c r="Q27317" s="24"/>
      <c r="R27317"/>
      <c r="S27317"/>
      <c r="T27317"/>
      <c r="U27317"/>
      <c r="X27317" s="60"/>
    </row>
    <row r="27318" spans="7:24" ht="15" customHeight="1">
      <c r="G27318"/>
      <c r="I27318"/>
      <c r="N27318"/>
      <c r="O27318" s="24"/>
      <c r="P27318"/>
      <c r="Q27318" s="24"/>
      <c r="R27318"/>
      <c r="S27318"/>
      <c r="T27318"/>
      <c r="U27318"/>
      <c r="X27318" s="60"/>
    </row>
    <row r="27319" spans="7:24" ht="15" customHeight="1">
      <c r="G27319"/>
      <c r="I27319"/>
      <c r="N27319"/>
      <c r="O27319" s="24"/>
      <c r="P27319"/>
      <c r="Q27319" s="24"/>
      <c r="R27319"/>
      <c r="S27319"/>
      <c r="T27319"/>
      <c r="U27319"/>
      <c r="X27319" s="60"/>
    </row>
    <row r="27320" spans="7:24" ht="15" customHeight="1">
      <c r="G27320"/>
      <c r="I27320"/>
      <c r="N27320"/>
      <c r="O27320" s="24"/>
      <c r="P27320"/>
      <c r="Q27320" s="24"/>
      <c r="R27320"/>
      <c r="S27320"/>
      <c r="T27320"/>
      <c r="U27320"/>
      <c r="X27320" s="60"/>
    </row>
    <row r="27321" spans="7:24" ht="15" customHeight="1">
      <c r="G27321"/>
      <c r="I27321"/>
      <c r="N27321"/>
      <c r="O27321" s="24"/>
      <c r="P27321"/>
      <c r="Q27321" s="24"/>
      <c r="R27321"/>
      <c r="S27321"/>
      <c r="T27321"/>
      <c r="U27321"/>
      <c r="X27321" s="60"/>
    </row>
    <row r="27322" spans="7:24" ht="15" customHeight="1">
      <c r="G27322"/>
      <c r="I27322"/>
      <c r="N27322"/>
      <c r="O27322" s="24"/>
      <c r="P27322"/>
      <c r="Q27322" s="24"/>
      <c r="R27322"/>
      <c r="S27322"/>
      <c r="T27322"/>
      <c r="U27322"/>
      <c r="X27322" s="60"/>
    </row>
    <row r="27323" spans="7:24" ht="15" customHeight="1">
      <c r="G27323"/>
      <c r="I27323"/>
      <c r="N27323"/>
      <c r="O27323" s="24"/>
      <c r="P27323"/>
      <c r="Q27323" s="24"/>
      <c r="R27323"/>
      <c r="S27323"/>
      <c r="T27323"/>
      <c r="U27323"/>
      <c r="X27323" s="60"/>
    </row>
    <row r="27324" spans="7:24" ht="15" customHeight="1">
      <c r="G27324"/>
      <c r="I27324"/>
      <c r="N27324"/>
      <c r="O27324" s="24"/>
      <c r="P27324"/>
      <c r="Q27324" s="24"/>
      <c r="R27324"/>
      <c r="S27324"/>
      <c r="T27324"/>
      <c r="U27324"/>
      <c r="X27324" s="60"/>
    </row>
    <row r="27325" spans="7:24" ht="15" customHeight="1">
      <c r="G27325"/>
      <c r="I27325"/>
      <c r="N27325"/>
      <c r="O27325" s="24"/>
      <c r="P27325"/>
      <c r="Q27325" s="24"/>
      <c r="R27325"/>
      <c r="S27325"/>
      <c r="T27325"/>
      <c r="U27325"/>
      <c r="X27325" s="60"/>
    </row>
    <row r="27326" spans="7:24" ht="15" customHeight="1">
      <c r="G27326"/>
      <c r="I27326"/>
      <c r="N27326"/>
      <c r="O27326" s="24"/>
      <c r="P27326"/>
      <c r="Q27326" s="24"/>
      <c r="R27326"/>
      <c r="S27326"/>
      <c r="T27326"/>
      <c r="U27326"/>
      <c r="X27326" s="60"/>
    </row>
    <row r="27327" spans="7:24" ht="15" customHeight="1">
      <c r="G27327"/>
      <c r="I27327"/>
      <c r="N27327"/>
      <c r="O27327" s="24"/>
      <c r="P27327"/>
      <c r="Q27327" s="24"/>
      <c r="R27327"/>
      <c r="S27327"/>
      <c r="T27327"/>
      <c r="U27327"/>
      <c r="X27327" s="60"/>
    </row>
    <row r="27328" spans="7:24" ht="15" customHeight="1">
      <c r="G27328"/>
      <c r="I27328"/>
      <c r="N27328"/>
      <c r="O27328" s="24"/>
      <c r="P27328"/>
      <c r="Q27328" s="24"/>
      <c r="R27328"/>
      <c r="S27328"/>
      <c r="T27328"/>
      <c r="U27328"/>
      <c r="X27328" s="60"/>
    </row>
    <row r="27329" spans="7:24" ht="15" customHeight="1">
      <c r="G27329"/>
      <c r="I27329"/>
      <c r="N27329"/>
      <c r="O27329" s="24"/>
      <c r="P27329"/>
      <c r="Q27329" s="24"/>
      <c r="R27329"/>
      <c r="S27329"/>
      <c r="T27329"/>
      <c r="U27329"/>
      <c r="X27329" s="60"/>
    </row>
    <row r="27330" spans="7:24" ht="15" customHeight="1">
      <c r="G27330"/>
      <c r="I27330"/>
      <c r="N27330"/>
      <c r="O27330" s="24"/>
      <c r="P27330"/>
      <c r="Q27330" s="24"/>
      <c r="R27330"/>
      <c r="S27330"/>
      <c r="T27330"/>
      <c r="U27330"/>
      <c r="X27330" s="60"/>
    </row>
    <row r="27331" spans="7:24" ht="15" customHeight="1">
      <c r="G27331"/>
      <c r="I27331"/>
      <c r="N27331"/>
      <c r="O27331" s="24"/>
      <c r="P27331"/>
      <c r="Q27331" s="24"/>
      <c r="R27331"/>
      <c r="S27331"/>
      <c r="T27331"/>
      <c r="U27331"/>
      <c r="X27331" s="60"/>
    </row>
    <row r="27332" spans="7:24" ht="15" customHeight="1">
      <c r="G27332"/>
      <c r="I27332"/>
      <c r="N27332"/>
      <c r="O27332" s="24"/>
      <c r="P27332"/>
      <c r="Q27332" s="24"/>
      <c r="R27332"/>
      <c r="S27332"/>
      <c r="T27332"/>
      <c r="U27332"/>
      <c r="X27332" s="60"/>
    </row>
    <row r="27333" spans="7:24" ht="15" customHeight="1">
      <c r="G27333"/>
      <c r="I27333"/>
      <c r="N27333"/>
      <c r="O27333" s="24"/>
      <c r="P27333"/>
      <c r="Q27333" s="24"/>
      <c r="R27333"/>
      <c r="S27333"/>
      <c r="T27333"/>
      <c r="U27333"/>
      <c r="X27333" s="60"/>
    </row>
    <row r="27334" spans="7:24" ht="15" customHeight="1">
      <c r="G27334"/>
      <c r="I27334"/>
      <c r="N27334"/>
      <c r="O27334" s="24"/>
      <c r="P27334"/>
      <c r="Q27334" s="24"/>
      <c r="R27334"/>
      <c r="S27334"/>
      <c r="T27334"/>
      <c r="U27334"/>
      <c r="X27334" s="60"/>
    </row>
    <row r="27335" spans="7:24" ht="15" customHeight="1">
      <c r="G27335"/>
      <c r="I27335"/>
      <c r="N27335"/>
      <c r="O27335" s="24"/>
      <c r="P27335"/>
      <c r="Q27335" s="24"/>
      <c r="R27335"/>
      <c r="S27335"/>
      <c r="T27335"/>
      <c r="U27335"/>
      <c r="X27335" s="60"/>
    </row>
    <row r="27336" spans="7:24" ht="15" customHeight="1">
      <c r="G27336"/>
      <c r="I27336"/>
      <c r="N27336"/>
      <c r="O27336" s="24"/>
      <c r="P27336"/>
      <c r="Q27336" s="24"/>
      <c r="R27336"/>
      <c r="S27336"/>
      <c r="T27336"/>
      <c r="U27336"/>
      <c r="X27336" s="60"/>
    </row>
    <row r="27337" spans="7:24" ht="15" customHeight="1">
      <c r="G27337"/>
      <c r="I27337"/>
      <c r="N27337"/>
      <c r="O27337" s="24"/>
      <c r="P27337"/>
      <c r="Q27337" s="24"/>
      <c r="R27337"/>
      <c r="S27337"/>
      <c r="T27337"/>
      <c r="U27337"/>
      <c r="X27337" s="60"/>
    </row>
    <row r="27338" spans="7:24" ht="15" customHeight="1">
      <c r="G27338"/>
      <c r="I27338"/>
      <c r="N27338"/>
      <c r="O27338" s="24"/>
      <c r="P27338"/>
      <c r="Q27338" s="24"/>
      <c r="R27338"/>
      <c r="S27338"/>
      <c r="T27338"/>
      <c r="U27338"/>
      <c r="X27338" s="60"/>
    </row>
    <row r="27339" spans="7:24" ht="15" customHeight="1">
      <c r="G27339"/>
      <c r="I27339"/>
      <c r="N27339"/>
      <c r="O27339" s="24"/>
      <c r="P27339"/>
      <c r="Q27339" s="24"/>
      <c r="R27339"/>
      <c r="S27339"/>
      <c r="T27339"/>
      <c r="U27339"/>
      <c r="X27339" s="60"/>
    </row>
    <row r="27340" spans="7:24" ht="15" customHeight="1">
      <c r="G27340"/>
      <c r="I27340"/>
      <c r="N27340"/>
      <c r="O27340" s="24"/>
      <c r="P27340"/>
      <c r="Q27340" s="24"/>
      <c r="R27340"/>
      <c r="S27340"/>
      <c r="T27340"/>
      <c r="U27340"/>
      <c r="X27340" s="60"/>
    </row>
    <row r="27341" spans="7:24" ht="15" customHeight="1">
      <c r="G27341"/>
      <c r="I27341"/>
      <c r="N27341"/>
      <c r="O27341" s="24"/>
      <c r="P27341"/>
      <c r="Q27341" s="24"/>
      <c r="R27341"/>
      <c r="S27341"/>
      <c r="T27341"/>
      <c r="U27341"/>
      <c r="X27341" s="60"/>
    </row>
    <row r="27342" spans="7:24" ht="15" customHeight="1">
      <c r="G27342"/>
      <c r="I27342"/>
      <c r="N27342"/>
      <c r="O27342" s="24"/>
      <c r="P27342"/>
      <c r="Q27342" s="24"/>
      <c r="R27342"/>
      <c r="S27342"/>
      <c r="T27342"/>
      <c r="U27342"/>
      <c r="X27342" s="60"/>
    </row>
    <row r="27343" spans="7:24" ht="15" customHeight="1">
      <c r="G27343"/>
      <c r="I27343"/>
      <c r="N27343"/>
      <c r="O27343" s="24"/>
      <c r="P27343"/>
      <c r="Q27343" s="24"/>
      <c r="R27343"/>
      <c r="S27343"/>
      <c r="T27343"/>
      <c r="U27343"/>
      <c r="X27343" s="60"/>
    </row>
    <row r="27344" spans="7:24" ht="15" customHeight="1">
      <c r="G27344"/>
      <c r="I27344"/>
      <c r="N27344"/>
      <c r="O27344" s="24"/>
      <c r="P27344"/>
      <c r="Q27344" s="24"/>
      <c r="R27344"/>
      <c r="S27344"/>
      <c r="T27344"/>
      <c r="U27344"/>
      <c r="X27344" s="60"/>
    </row>
    <row r="27345" spans="7:24" ht="15" customHeight="1">
      <c r="G27345"/>
      <c r="I27345"/>
      <c r="N27345"/>
      <c r="O27345" s="24"/>
      <c r="P27345"/>
      <c r="Q27345" s="24"/>
      <c r="R27345"/>
      <c r="S27345"/>
      <c r="T27345"/>
      <c r="U27345"/>
      <c r="X27345" s="60"/>
    </row>
    <row r="27346" spans="7:24" ht="15" customHeight="1">
      <c r="G27346"/>
      <c r="I27346"/>
      <c r="N27346"/>
      <c r="O27346" s="24"/>
      <c r="P27346"/>
      <c r="Q27346" s="24"/>
      <c r="R27346"/>
      <c r="S27346"/>
      <c r="T27346"/>
      <c r="U27346"/>
      <c r="X27346" s="60"/>
    </row>
    <row r="27347" spans="7:24" ht="15" customHeight="1">
      <c r="G27347"/>
      <c r="I27347"/>
      <c r="N27347"/>
      <c r="O27347" s="24"/>
      <c r="P27347"/>
      <c r="Q27347" s="24"/>
      <c r="R27347"/>
      <c r="S27347"/>
      <c r="T27347"/>
      <c r="U27347"/>
      <c r="X27347" s="60"/>
    </row>
    <row r="27348" spans="7:24" ht="15" customHeight="1">
      <c r="G27348"/>
      <c r="I27348"/>
      <c r="N27348"/>
      <c r="O27348" s="24"/>
      <c r="P27348"/>
      <c r="Q27348" s="24"/>
      <c r="R27348"/>
      <c r="S27348"/>
      <c r="T27348"/>
      <c r="U27348"/>
      <c r="X27348" s="60"/>
    </row>
    <row r="27349" spans="7:24" ht="15" customHeight="1">
      <c r="G27349"/>
      <c r="I27349"/>
      <c r="N27349"/>
      <c r="O27349" s="24"/>
      <c r="P27349"/>
      <c r="Q27349" s="24"/>
      <c r="R27349"/>
      <c r="S27349"/>
      <c r="T27349"/>
      <c r="U27349"/>
      <c r="X27349" s="60"/>
    </row>
    <row r="27350" spans="7:24" ht="15" customHeight="1">
      <c r="G27350"/>
      <c r="I27350"/>
      <c r="N27350"/>
      <c r="O27350" s="24"/>
      <c r="P27350"/>
      <c r="Q27350" s="24"/>
      <c r="R27350"/>
      <c r="S27350"/>
      <c r="T27350"/>
      <c r="U27350"/>
      <c r="X27350" s="60"/>
    </row>
    <row r="27351" spans="7:24" ht="15" customHeight="1">
      <c r="G27351"/>
      <c r="I27351"/>
      <c r="N27351"/>
      <c r="O27351" s="24"/>
      <c r="P27351"/>
      <c r="Q27351" s="24"/>
      <c r="R27351"/>
      <c r="S27351"/>
      <c r="T27351"/>
      <c r="U27351"/>
      <c r="X27351" s="60"/>
    </row>
    <row r="27352" spans="7:24" ht="15" customHeight="1">
      <c r="G27352"/>
      <c r="I27352"/>
      <c r="N27352"/>
      <c r="O27352" s="24"/>
      <c r="P27352"/>
      <c r="Q27352" s="24"/>
      <c r="R27352"/>
      <c r="S27352"/>
      <c r="T27352"/>
      <c r="U27352"/>
      <c r="X27352" s="60"/>
    </row>
    <row r="27353" spans="7:24" ht="15" customHeight="1">
      <c r="G27353"/>
      <c r="I27353"/>
      <c r="N27353"/>
      <c r="O27353" s="24"/>
      <c r="P27353"/>
      <c r="Q27353" s="24"/>
      <c r="R27353"/>
      <c r="S27353"/>
      <c r="T27353"/>
      <c r="U27353"/>
      <c r="X27353" s="60"/>
    </row>
    <row r="27354" spans="7:24" ht="15" customHeight="1">
      <c r="G27354"/>
      <c r="I27354"/>
      <c r="N27354"/>
      <c r="O27354" s="24"/>
      <c r="P27354"/>
      <c r="Q27354" s="24"/>
      <c r="R27354"/>
      <c r="S27354"/>
      <c r="T27354"/>
      <c r="U27354"/>
      <c r="X27354" s="60"/>
    </row>
    <row r="27355" spans="7:24" ht="15" customHeight="1">
      <c r="G27355"/>
      <c r="I27355"/>
      <c r="N27355"/>
      <c r="O27355" s="24"/>
      <c r="P27355"/>
      <c r="Q27355" s="24"/>
      <c r="R27355"/>
      <c r="S27355"/>
      <c r="T27355"/>
      <c r="U27355"/>
      <c r="X27355" s="60"/>
    </row>
    <row r="27356" spans="7:24" ht="15" customHeight="1">
      <c r="G27356"/>
      <c r="I27356"/>
      <c r="N27356"/>
      <c r="O27356" s="24"/>
      <c r="P27356"/>
      <c r="Q27356" s="24"/>
      <c r="R27356"/>
      <c r="S27356"/>
      <c r="T27356"/>
      <c r="U27356"/>
      <c r="X27356" s="60"/>
    </row>
    <row r="27357" spans="7:24" ht="15" customHeight="1">
      <c r="G27357"/>
      <c r="I27357"/>
      <c r="N27357"/>
      <c r="O27357" s="24"/>
      <c r="P27357"/>
      <c r="Q27357" s="24"/>
      <c r="R27357"/>
      <c r="S27357"/>
      <c r="T27357"/>
      <c r="U27357"/>
      <c r="X27357" s="60"/>
    </row>
    <row r="27358" spans="7:24" ht="15" customHeight="1">
      <c r="G27358"/>
      <c r="I27358"/>
      <c r="N27358"/>
      <c r="O27358" s="24"/>
      <c r="P27358"/>
      <c r="Q27358" s="24"/>
      <c r="R27358"/>
      <c r="S27358"/>
      <c r="T27358"/>
      <c r="U27358"/>
      <c r="X27358" s="60"/>
    </row>
    <row r="27359" spans="7:24" ht="15" customHeight="1">
      <c r="G27359"/>
      <c r="I27359"/>
      <c r="N27359"/>
      <c r="O27359" s="24"/>
      <c r="P27359"/>
      <c r="Q27359" s="24"/>
      <c r="R27359"/>
      <c r="S27359"/>
      <c r="T27359"/>
      <c r="U27359"/>
      <c r="X27359" s="60"/>
    </row>
    <row r="27360" spans="7:24" ht="15" customHeight="1">
      <c r="G27360"/>
      <c r="I27360"/>
      <c r="N27360"/>
      <c r="O27360" s="24"/>
      <c r="P27360"/>
      <c r="Q27360" s="24"/>
      <c r="R27360"/>
      <c r="S27360"/>
      <c r="T27360"/>
      <c r="U27360"/>
      <c r="X27360" s="60"/>
    </row>
    <row r="27361" spans="7:24" ht="15" customHeight="1">
      <c r="G27361"/>
      <c r="I27361"/>
      <c r="N27361"/>
      <c r="O27361" s="24"/>
      <c r="P27361"/>
      <c r="Q27361" s="24"/>
      <c r="R27361"/>
      <c r="S27361"/>
      <c r="T27361"/>
      <c r="U27361"/>
      <c r="X27361" s="60"/>
    </row>
    <row r="27362" spans="7:24" ht="15" customHeight="1">
      <c r="G27362"/>
      <c r="I27362"/>
      <c r="N27362"/>
      <c r="O27362" s="24"/>
      <c r="P27362"/>
      <c r="Q27362" s="24"/>
      <c r="R27362"/>
      <c r="S27362"/>
      <c r="T27362"/>
      <c r="U27362"/>
      <c r="X27362" s="60"/>
    </row>
    <row r="27363" spans="7:24" ht="15" customHeight="1">
      <c r="G27363"/>
      <c r="I27363"/>
      <c r="N27363"/>
      <c r="O27363" s="24"/>
      <c r="P27363"/>
      <c r="Q27363" s="24"/>
      <c r="R27363"/>
      <c r="S27363"/>
      <c r="T27363"/>
      <c r="U27363"/>
      <c r="X27363" s="60"/>
    </row>
    <row r="27364" spans="7:24" ht="15" customHeight="1">
      <c r="G27364"/>
      <c r="I27364"/>
      <c r="N27364"/>
      <c r="O27364" s="24"/>
      <c r="P27364"/>
      <c r="Q27364" s="24"/>
      <c r="R27364"/>
      <c r="S27364"/>
      <c r="T27364"/>
      <c r="U27364"/>
      <c r="X27364" s="60"/>
    </row>
    <row r="27365" spans="7:24" ht="15" customHeight="1">
      <c r="G27365"/>
      <c r="I27365"/>
      <c r="N27365"/>
      <c r="O27365" s="24"/>
      <c r="P27365"/>
      <c r="Q27365" s="24"/>
      <c r="R27365"/>
      <c r="S27365"/>
      <c r="T27365"/>
      <c r="U27365"/>
      <c r="X27365" s="60"/>
    </row>
    <row r="27366" spans="7:24" ht="15" customHeight="1">
      <c r="G27366"/>
      <c r="I27366"/>
      <c r="N27366"/>
      <c r="O27366" s="24"/>
      <c r="P27366"/>
      <c r="Q27366" s="24"/>
      <c r="R27366"/>
      <c r="S27366"/>
      <c r="T27366"/>
      <c r="U27366"/>
      <c r="X27366" s="60"/>
    </row>
    <row r="27367" spans="7:24" ht="15" customHeight="1">
      <c r="G27367"/>
      <c r="I27367"/>
      <c r="N27367"/>
      <c r="O27367" s="24"/>
      <c r="P27367"/>
      <c r="Q27367" s="24"/>
      <c r="R27367"/>
      <c r="S27367"/>
      <c r="T27367"/>
      <c r="U27367"/>
      <c r="X27367" s="60"/>
    </row>
    <row r="27368" spans="7:24" ht="15" customHeight="1">
      <c r="G27368"/>
      <c r="I27368"/>
      <c r="N27368"/>
      <c r="O27368" s="24"/>
      <c r="P27368"/>
      <c r="Q27368" s="24"/>
      <c r="R27368"/>
      <c r="S27368"/>
      <c r="T27368"/>
      <c r="U27368"/>
      <c r="X27368" s="60"/>
    </row>
    <row r="27369" spans="7:24" ht="15" customHeight="1">
      <c r="G27369"/>
      <c r="I27369"/>
      <c r="N27369"/>
      <c r="O27369" s="24"/>
      <c r="P27369"/>
      <c r="Q27369" s="24"/>
      <c r="R27369"/>
      <c r="S27369"/>
      <c r="T27369"/>
      <c r="U27369"/>
      <c r="X27369" s="60"/>
    </row>
    <row r="27370" spans="7:24" ht="15" customHeight="1">
      <c r="G27370"/>
      <c r="I27370"/>
      <c r="N27370"/>
      <c r="O27370" s="24"/>
      <c r="P27370"/>
      <c r="Q27370" s="24"/>
      <c r="R27370"/>
      <c r="S27370"/>
      <c r="T27370"/>
      <c r="U27370"/>
      <c r="X27370" s="60"/>
    </row>
    <row r="27371" spans="7:24" ht="15" customHeight="1">
      <c r="G27371"/>
      <c r="I27371"/>
      <c r="N27371"/>
      <c r="O27371" s="24"/>
      <c r="P27371"/>
      <c r="Q27371" s="24"/>
      <c r="R27371"/>
      <c r="S27371"/>
      <c r="T27371"/>
      <c r="U27371"/>
      <c r="X27371" s="60"/>
    </row>
    <row r="27372" spans="7:24" ht="15" customHeight="1">
      <c r="G27372"/>
      <c r="I27372"/>
      <c r="N27372"/>
      <c r="O27372" s="24"/>
      <c r="P27372"/>
      <c r="Q27372" s="24"/>
      <c r="R27372"/>
      <c r="S27372"/>
      <c r="T27372"/>
      <c r="U27372"/>
      <c r="X27372" s="60"/>
    </row>
    <row r="27373" spans="7:24" ht="15" customHeight="1">
      <c r="G27373"/>
      <c r="I27373"/>
      <c r="N27373"/>
      <c r="O27373" s="24"/>
      <c r="P27373"/>
      <c r="Q27373" s="24"/>
      <c r="R27373"/>
      <c r="S27373"/>
      <c r="T27373"/>
      <c r="U27373"/>
      <c r="X27373" s="60"/>
    </row>
    <row r="27374" spans="7:24" ht="15" customHeight="1">
      <c r="G27374"/>
      <c r="I27374"/>
      <c r="N27374"/>
      <c r="O27374" s="24"/>
      <c r="P27374"/>
      <c r="Q27374" s="24"/>
      <c r="R27374"/>
      <c r="S27374"/>
      <c r="T27374"/>
      <c r="U27374"/>
      <c r="X27374" s="60"/>
    </row>
    <row r="27375" spans="7:24" ht="15" customHeight="1">
      <c r="G27375"/>
      <c r="I27375"/>
      <c r="N27375"/>
      <c r="O27375" s="24"/>
      <c r="P27375"/>
      <c r="Q27375" s="24"/>
      <c r="R27375"/>
      <c r="S27375"/>
      <c r="T27375"/>
      <c r="U27375"/>
      <c r="X27375" s="60"/>
    </row>
    <row r="27376" spans="7:24" ht="15" customHeight="1">
      <c r="G27376"/>
      <c r="I27376"/>
      <c r="N27376"/>
      <c r="O27376" s="24"/>
      <c r="P27376"/>
      <c r="Q27376" s="24"/>
      <c r="R27376"/>
      <c r="S27376"/>
      <c r="T27376"/>
      <c r="U27376"/>
      <c r="X27376" s="60"/>
    </row>
    <row r="27377" spans="7:24" ht="15" customHeight="1">
      <c r="G27377"/>
      <c r="I27377"/>
      <c r="N27377"/>
      <c r="O27377" s="24"/>
      <c r="P27377"/>
      <c r="Q27377" s="24"/>
      <c r="R27377"/>
      <c r="S27377"/>
      <c r="T27377"/>
      <c r="U27377"/>
      <c r="X27377" s="60"/>
    </row>
    <row r="27378" spans="7:24" ht="15" customHeight="1">
      <c r="G27378"/>
      <c r="I27378"/>
      <c r="N27378"/>
      <c r="O27378" s="24"/>
      <c r="P27378"/>
      <c r="Q27378" s="24"/>
      <c r="R27378"/>
      <c r="S27378"/>
      <c r="T27378"/>
      <c r="U27378"/>
      <c r="X27378" s="60"/>
    </row>
    <row r="27379" spans="7:24" ht="15" customHeight="1">
      <c r="G27379"/>
      <c r="I27379"/>
      <c r="N27379"/>
      <c r="O27379" s="24"/>
      <c r="P27379"/>
      <c r="Q27379" s="24"/>
      <c r="R27379"/>
      <c r="S27379"/>
      <c r="T27379"/>
      <c r="U27379"/>
      <c r="X27379" s="60"/>
    </row>
    <row r="27380" spans="7:24" ht="15" customHeight="1">
      <c r="G27380"/>
      <c r="I27380"/>
      <c r="N27380"/>
      <c r="O27380" s="24"/>
      <c r="P27380"/>
      <c r="Q27380" s="24"/>
      <c r="R27380"/>
      <c r="S27380"/>
      <c r="T27380"/>
      <c r="U27380"/>
      <c r="X27380" s="60"/>
    </row>
    <row r="27381" spans="7:24" ht="15" customHeight="1">
      <c r="G27381"/>
      <c r="I27381"/>
      <c r="N27381"/>
      <c r="O27381" s="24"/>
      <c r="P27381"/>
      <c r="Q27381" s="24"/>
      <c r="R27381"/>
      <c r="S27381"/>
      <c r="T27381"/>
      <c r="U27381"/>
      <c r="X27381" s="60"/>
    </row>
    <row r="27382" spans="7:24" ht="15" customHeight="1">
      <c r="G27382"/>
      <c r="I27382"/>
      <c r="N27382"/>
      <c r="O27382" s="24"/>
      <c r="P27382"/>
      <c r="Q27382" s="24"/>
      <c r="R27382"/>
      <c r="S27382"/>
      <c r="T27382"/>
      <c r="U27382"/>
      <c r="X27382" s="60"/>
    </row>
    <row r="27383" spans="7:24" ht="15" customHeight="1">
      <c r="G27383"/>
      <c r="I27383"/>
      <c r="N27383"/>
      <c r="O27383" s="24"/>
      <c r="P27383"/>
      <c r="Q27383" s="24"/>
      <c r="R27383"/>
      <c r="S27383"/>
      <c r="T27383"/>
      <c r="U27383"/>
      <c r="X27383" s="60"/>
    </row>
    <row r="27384" spans="7:24" ht="15" customHeight="1">
      <c r="G27384"/>
      <c r="I27384"/>
      <c r="N27384"/>
      <c r="O27384" s="24"/>
      <c r="P27384"/>
      <c r="Q27384" s="24"/>
      <c r="R27384"/>
      <c r="S27384"/>
      <c r="T27384"/>
      <c r="U27384"/>
      <c r="X27384" s="60"/>
    </row>
    <row r="27385" spans="7:24" ht="15" customHeight="1">
      <c r="G27385"/>
      <c r="I27385"/>
      <c r="N27385"/>
      <c r="O27385" s="24"/>
      <c r="P27385"/>
      <c r="Q27385" s="24"/>
      <c r="R27385"/>
      <c r="S27385"/>
      <c r="T27385"/>
      <c r="U27385"/>
      <c r="X27385" s="60"/>
    </row>
    <row r="27386" spans="7:24" ht="15" customHeight="1">
      <c r="G27386"/>
      <c r="I27386"/>
      <c r="N27386"/>
      <c r="O27386" s="24"/>
      <c r="P27386"/>
      <c r="Q27386" s="24"/>
      <c r="R27386"/>
      <c r="S27386"/>
      <c r="T27386"/>
      <c r="U27386"/>
      <c r="X27386" s="60"/>
    </row>
    <row r="27387" spans="7:24" ht="15" customHeight="1">
      <c r="G27387"/>
      <c r="I27387"/>
      <c r="N27387"/>
      <c r="O27387" s="24"/>
      <c r="P27387"/>
      <c r="Q27387" s="24"/>
      <c r="R27387"/>
      <c r="S27387"/>
      <c r="T27387"/>
      <c r="U27387"/>
      <c r="X27387" s="60"/>
    </row>
    <row r="27388" spans="7:24" ht="15" customHeight="1">
      <c r="G27388"/>
      <c r="I27388"/>
      <c r="N27388"/>
      <c r="O27388" s="24"/>
      <c r="P27388"/>
      <c r="Q27388" s="24"/>
      <c r="R27388"/>
      <c r="S27388"/>
      <c r="T27388"/>
      <c r="U27388"/>
      <c r="X27388" s="60"/>
    </row>
    <row r="27389" spans="7:24" ht="15" customHeight="1">
      <c r="G27389"/>
      <c r="I27389"/>
      <c r="N27389"/>
      <c r="O27389" s="24"/>
      <c r="P27389"/>
      <c r="Q27389" s="24"/>
      <c r="R27389"/>
      <c r="S27389"/>
      <c r="T27389"/>
      <c r="U27389"/>
      <c r="X27389" s="60"/>
    </row>
    <row r="27390" spans="7:24" ht="15" customHeight="1">
      <c r="G27390"/>
      <c r="I27390"/>
      <c r="N27390"/>
      <c r="O27390" s="24"/>
      <c r="P27390"/>
      <c r="Q27390" s="24"/>
      <c r="R27390"/>
      <c r="S27390"/>
      <c r="T27390"/>
      <c r="U27390"/>
      <c r="X27390" s="60"/>
    </row>
    <row r="27391" spans="7:24" ht="15" customHeight="1">
      <c r="G27391"/>
      <c r="I27391"/>
      <c r="N27391"/>
      <c r="O27391" s="24"/>
      <c r="P27391"/>
      <c r="Q27391" s="24"/>
      <c r="R27391"/>
      <c r="S27391"/>
      <c r="T27391"/>
      <c r="U27391"/>
      <c r="X27391" s="60"/>
    </row>
    <row r="27392" spans="7:24" ht="15" customHeight="1">
      <c r="G27392"/>
      <c r="I27392"/>
      <c r="N27392"/>
      <c r="O27392" s="24"/>
      <c r="P27392"/>
      <c r="Q27392" s="24"/>
      <c r="R27392"/>
      <c r="S27392"/>
      <c r="T27392"/>
      <c r="U27392"/>
      <c r="X27392" s="60"/>
    </row>
    <row r="27393" spans="7:24" ht="15" customHeight="1">
      <c r="G27393"/>
      <c r="I27393"/>
      <c r="N27393"/>
      <c r="O27393" s="24"/>
      <c r="P27393"/>
      <c r="Q27393" s="24"/>
      <c r="R27393"/>
      <c r="S27393"/>
      <c r="T27393"/>
      <c r="U27393"/>
      <c r="X27393" s="60"/>
    </row>
    <row r="27394" spans="7:24" ht="15" customHeight="1">
      <c r="G27394"/>
      <c r="I27394"/>
      <c r="N27394"/>
      <c r="O27394" s="24"/>
      <c r="P27394"/>
      <c r="Q27394" s="24"/>
      <c r="R27394"/>
      <c r="S27394"/>
      <c r="T27394"/>
      <c r="U27394"/>
      <c r="X27394" s="60"/>
    </row>
    <row r="27395" spans="7:24" ht="15" customHeight="1">
      <c r="G27395"/>
      <c r="I27395"/>
      <c r="N27395"/>
      <c r="O27395" s="24"/>
      <c r="P27395"/>
      <c r="Q27395" s="24"/>
      <c r="R27395"/>
      <c r="S27395"/>
      <c r="T27395"/>
      <c r="U27395"/>
      <c r="X27395" s="60"/>
    </row>
    <row r="27396" spans="7:24" ht="15" customHeight="1">
      <c r="G27396"/>
      <c r="I27396"/>
      <c r="N27396"/>
      <c r="O27396" s="24"/>
      <c r="P27396"/>
      <c r="Q27396" s="24"/>
      <c r="R27396"/>
      <c r="S27396"/>
      <c r="T27396"/>
      <c r="U27396"/>
      <c r="X27396" s="60"/>
    </row>
    <row r="27397" spans="7:24" ht="15" customHeight="1">
      <c r="G27397"/>
      <c r="I27397"/>
      <c r="N27397"/>
      <c r="O27397" s="24"/>
      <c r="P27397"/>
      <c r="Q27397" s="24"/>
      <c r="R27397"/>
      <c r="S27397"/>
      <c r="T27397"/>
      <c r="U27397"/>
      <c r="X27397" s="60"/>
    </row>
    <row r="27398" spans="7:24" ht="15" customHeight="1">
      <c r="G27398"/>
      <c r="I27398"/>
      <c r="N27398"/>
      <c r="O27398" s="24"/>
      <c r="P27398"/>
      <c r="Q27398" s="24"/>
      <c r="R27398"/>
      <c r="S27398"/>
      <c r="T27398"/>
      <c r="U27398"/>
      <c r="X27398" s="60"/>
    </row>
    <row r="27399" spans="7:24" ht="15" customHeight="1">
      <c r="G27399"/>
      <c r="I27399"/>
      <c r="N27399"/>
      <c r="O27399" s="24"/>
      <c r="P27399"/>
      <c r="Q27399" s="24"/>
      <c r="R27399"/>
      <c r="S27399"/>
      <c r="T27399"/>
      <c r="U27399"/>
      <c r="X27399" s="60"/>
    </row>
    <row r="27400" spans="7:24" ht="15" customHeight="1">
      <c r="G27400"/>
      <c r="I27400"/>
      <c r="N27400"/>
      <c r="O27400" s="24"/>
      <c r="P27400"/>
      <c r="Q27400" s="24"/>
      <c r="R27400"/>
      <c r="S27400"/>
      <c r="T27400"/>
      <c r="U27400"/>
      <c r="X27400" s="60"/>
    </row>
    <row r="27401" spans="7:24" ht="15" customHeight="1">
      <c r="G27401"/>
      <c r="I27401"/>
      <c r="N27401"/>
      <c r="O27401" s="24"/>
      <c r="P27401"/>
      <c r="Q27401" s="24"/>
      <c r="R27401"/>
      <c r="S27401"/>
      <c r="T27401"/>
      <c r="U27401"/>
      <c r="X27401" s="60"/>
    </row>
    <row r="27402" spans="7:24" ht="15" customHeight="1">
      <c r="G27402"/>
      <c r="I27402"/>
      <c r="N27402"/>
      <c r="O27402" s="24"/>
      <c r="P27402"/>
      <c r="Q27402" s="24"/>
      <c r="R27402"/>
      <c r="S27402"/>
      <c r="T27402"/>
      <c r="U27402"/>
      <c r="X27402" s="60"/>
    </row>
    <row r="27403" spans="7:24" ht="15" customHeight="1">
      <c r="G27403"/>
      <c r="I27403"/>
      <c r="N27403"/>
      <c r="O27403" s="24"/>
      <c r="P27403"/>
      <c r="Q27403" s="24"/>
      <c r="R27403"/>
      <c r="S27403"/>
      <c r="T27403"/>
      <c r="U27403"/>
      <c r="X27403" s="60"/>
    </row>
    <row r="27404" spans="7:24" ht="15" customHeight="1">
      <c r="G27404"/>
      <c r="I27404"/>
      <c r="N27404"/>
      <c r="O27404" s="24"/>
      <c r="P27404"/>
      <c r="Q27404" s="24"/>
      <c r="R27404"/>
      <c r="S27404"/>
      <c r="T27404"/>
      <c r="U27404"/>
      <c r="X27404" s="60"/>
    </row>
    <row r="27405" spans="7:24" ht="15" customHeight="1">
      <c r="G27405"/>
      <c r="I27405"/>
      <c r="N27405"/>
      <c r="O27405" s="24"/>
      <c r="P27405"/>
      <c r="Q27405" s="24"/>
      <c r="R27405"/>
      <c r="S27405"/>
      <c r="T27405"/>
      <c r="U27405"/>
      <c r="X27405" s="60"/>
    </row>
    <row r="27406" spans="7:24" ht="15" customHeight="1">
      <c r="G27406"/>
      <c r="I27406"/>
      <c r="N27406"/>
      <c r="O27406" s="24"/>
      <c r="P27406"/>
      <c r="Q27406" s="24"/>
      <c r="R27406"/>
      <c r="S27406"/>
      <c r="T27406"/>
      <c r="U27406"/>
      <c r="X27406" s="60"/>
    </row>
    <row r="27407" spans="7:24" ht="15" customHeight="1">
      <c r="G27407"/>
      <c r="I27407"/>
      <c r="N27407"/>
      <c r="O27407" s="24"/>
      <c r="P27407"/>
      <c r="Q27407" s="24"/>
      <c r="R27407"/>
      <c r="S27407"/>
      <c r="T27407"/>
      <c r="U27407"/>
      <c r="X27407" s="60"/>
    </row>
    <row r="27408" spans="7:24" ht="15" customHeight="1">
      <c r="G27408"/>
      <c r="I27408"/>
      <c r="N27408"/>
      <c r="O27408" s="24"/>
      <c r="P27408"/>
      <c r="Q27408" s="24"/>
      <c r="R27408"/>
      <c r="S27408"/>
      <c r="T27408"/>
      <c r="U27408"/>
      <c r="X27408" s="60"/>
    </row>
    <row r="27409" spans="7:24" ht="15" customHeight="1">
      <c r="G27409"/>
      <c r="I27409"/>
      <c r="N27409"/>
      <c r="O27409" s="24"/>
      <c r="P27409"/>
      <c r="Q27409" s="24"/>
      <c r="R27409"/>
      <c r="S27409"/>
      <c r="T27409"/>
      <c r="U27409"/>
      <c r="X27409" s="60"/>
    </row>
    <row r="27410" spans="7:24" ht="15" customHeight="1">
      <c r="G27410"/>
      <c r="I27410"/>
      <c r="N27410"/>
      <c r="O27410" s="24"/>
      <c r="P27410"/>
      <c r="Q27410" s="24"/>
      <c r="R27410"/>
      <c r="S27410"/>
      <c r="T27410"/>
      <c r="U27410"/>
      <c r="X27410" s="60"/>
    </row>
    <row r="27411" spans="7:24" ht="15" customHeight="1">
      <c r="G27411"/>
      <c r="I27411"/>
      <c r="N27411"/>
      <c r="O27411" s="24"/>
      <c r="P27411"/>
      <c r="Q27411" s="24"/>
      <c r="R27411"/>
      <c r="S27411"/>
      <c r="T27411"/>
      <c r="U27411"/>
      <c r="X27411" s="60"/>
    </row>
    <row r="27412" spans="7:24" ht="15" customHeight="1">
      <c r="G27412"/>
      <c r="I27412"/>
      <c r="N27412"/>
      <c r="O27412" s="24"/>
      <c r="P27412"/>
      <c r="Q27412" s="24"/>
      <c r="R27412"/>
      <c r="S27412"/>
      <c r="T27412"/>
      <c r="U27412"/>
      <c r="X27412" s="60"/>
    </row>
    <row r="27413" spans="7:24" ht="15" customHeight="1">
      <c r="G27413"/>
      <c r="I27413"/>
      <c r="N27413"/>
      <c r="O27413" s="24"/>
      <c r="P27413"/>
      <c r="Q27413" s="24"/>
      <c r="R27413"/>
      <c r="S27413"/>
      <c r="T27413"/>
      <c r="U27413"/>
      <c r="X27413" s="60"/>
    </row>
    <row r="27414" spans="7:24" ht="15" customHeight="1">
      <c r="G27414"/>
      <c r="I27414"/>
      <c r="N27414"/>
      <c r="O27414" s="24"/>
      <c r="P27414"/>
      <c r="Q27414" s="24"/>
      <c r="R27414"/>
      <c r="S27414"/>
      <c r="T27414"/>
      <c r="U27414"/>
      <c r="X27414" s="60"/>
    </row>
    <row r="27415" spans="7:24" ht="15" customHeight="1">
      <c r="G27415"/>
      <c r="I27415"/>
      <c r="N27415"/>
      <c r="O27415" s="24"/>
      <c r="P27415"/>
      <c r="Q27415" s="24"/>
      <c r="R27415"/>
      <c r="S27415"/>
      <c r="T27415"/>
      <c r="U27415"/>
      <c r="X27415" s="60"/>
    </row>
    <row r="27416" spans="7:24" ht="15" customHeight="1">
      <c r="G27416"/>
      <c r="I27416"/>
      <c r="N27416"/>
      <c r="O27416" s="24"/>
      <c r="P27416"/>
      <c r="Q27416" s="24"/>
      <c r="R27416"/>
      <c r="S27416"/>
      <c r="T27416"/>
      <c r="U27416"/>
      <c r="X27416" s="60"/>
    </row>
    <row r="27417" spans="7:24" ht="15" customHeight="1">
      <c r="G27417"/>
      <c r="I27417"/>
      <c r="N27417"/>
      <c r="O27417" s="24"/>
      <c r="P27417"/>
      <c r="Q27417" s="24"/>
      <c r="R27417"/>
      <c r="S27417"/>
      <c r="T27417"/>
      <c r="U27417"/>
      <c r="X27417" s="60"/>
    </row>
    <row r="27418" spans="7:24" ht="15" customHeight="1">
      <c r="G27418"/>
      <c r="I27418"/>
      <c r="N27418"/>
      <c r="O27418" s="24"/>
      <c r="P27418"/>
      <c r="Q27418" s="24"/>
      <c r="R27418"/>
      <c r="S27418"/>
      <c r="T27418"/>
      <c r="U27418"/>
      <c r="X27418" s="60"/>
    </row>
    <row r="27419" spans="7:24" ht="15" customHeight="1">
      <c r="G27419"/>
      <c r="I27419"/>
      <c r="N27419"/>
      <c r="O27419" s="24"/>
      <c r="P27419"/>
      <c r="Q27419" s="24"/>
      <c r="R27419"/>
      <c r="S27419"/>
      <c r="T27419"/>
      <c r="U27419"/>
      <c r="X27419" s="60"/>
    </row>
    <row r="27420" spans="7:24" ht="15" customHeight="1">
      <c r="G27420"/>
      <c r="I27420"/>
      <c r="N27420"/>
      <c r="O27420" s="24"/>
      <c r="P27420"/>
      <c r="Q27420" s="24"/>
      <c r="R27420"/>
      <c r="S27420"/>
      <c r="T27420"/>
      <c r="U27420"/>
      <c r="X27420" s="60"/>
    </row>
    <row r="27421" spans="7:24" ht="15" customHeight="1">
      <c r="G27421"/>
      <c r="I27421"/>
      <c r="N27421"/>
      <c r="O27421" s="24"/>
      <c r="P27421"/>
      <c r="Q27421" s="24"/>
      <c r="R27421"/>
      <c r="S27421"/>
      <c r="T27421"/>
      <c r="U27421"/>
      <c r="X27421" s="60"/>
    </row>
    <row r="27422" spans="7:24" ht="15" customHeight="1">
      <c r="G27422"/>
      <c r="I27422"/>
      <c r="N27422"/>
      <c r="O27422" s="24"/>
      <c r="P27422"/>
      <c r="Q27422" s="24"/>
      <c r="R27422"/>
      <c r="S27422"/>
      <c r="T27422"/>
      <c r="U27422"/>
      <c r="X27422" s="60"/>
    </row>
    <row r="27423" spans="7:24" ht="15" customHeight="1">
      <c r="G27423"/>
      <c r="I27423"/>
      <c r="N27423"/>
      <c r="O27423" s="24"/>
      <c r="P27423"/>
      <c r="Q27423" s="24"/>
      <c r="R27423"/>
      <c r="S27423"/>
      <c r="T27423"/>
      <c r="U27423"/>
      <c r="X27423" s="60"/>
    </row>
    <row r="27424" spans="7:24" ht="15" customHeight="1">
      <c r="G27424"/>
      <c r="I27424"/>
      <c r="N27424"/>
      <c r="O27424" s="24"/>
      <c r="P27424"/>
      <c r="Q27424" s="24"/>
      <c r="R27424"/>
      <c r="S27424"/>
      <c r="T27424"/>
      <c r="U27424"/>
      <c r="X27424" s="60"/>
    </row>
    <row r="27425" spans="7:24" ht="15" customHeight="1">
      <c r="G27425"/>
      <c r="I27425"/>
      <c r="N27425"/>
      <c r="O27425" s="24"/>
      <c r="P27425"/>
      <c r="Q27425" s="24"/>
      <c r="R27425"/>
      <c r="S27425"/>
      <c r="T27425"/>
      <c r="U27425"/>
      <c r="X27425" s="60"/>
    </row>
    <row r="27426" spans="7:24" ht="15" customHeight="1">
      <c r="G27426"/>
      <c r="I27426"/>
      <c r="N27426"/>
      <c r="O27426" s="24"/>
      <c r="P27426"/>
      <c r="Q27426" s="24"/>
      <c r="R27426"/>
      <c r="S27426"/>
      <c r="T27426"/>
      <c r="U27426"/>
      <c r="X27426" s="60"/>
    </row>
    <row r="27427" spans="7:24" ht="15" customHeight="1">
      <c r="G27427"/>
      <c r="I27427"/>
      <c r="N27427"/>
      <c r="O27427" s="24"/>
      <c r="P27427"/>
      <c r="Q27427" s="24"/>
      <c r="R27427"/>
      <c r="S27427"/>
      <c r="T27427"/>
      <c r="U27427"/>
      <c r="X27427" s="60"/>
    </row>
    <row r="27428" spans="7:24" ht="15" customHeight="1">
      <c r="G27428"/>
      <c r="I27428"/>
      <c r="N27428"/>
      <c r="O27428" s="24"/>
      <c r="P27428"/>
      <c r="Q27428" s="24"/>
      <c r="R27428"/>
      <c r="S27428"/>
      <c r="T27428"/>
      <c r="U27428"/>
      <c r="X27428" s="60"/>
    </row>
    <row r="27429" spans="7:24" ht="15" customHeight="1">
      <c r="G27429"/>
      <c r="I27429"/>
      <c r="N27429"/>
      <c r="O27429" s="24"/>
      <c r="P27429"/>
      <c r="Q27429" s="24"/>
      <c r="R27429"/>
      <c r="S27429"/>
      <c r="T27429"/>
      <c r="U27429"/>
      <c r="X27429" s="60"/>
    </row>
    <row r="27430" spans="7:24" ht="15" customHeight="1">
      <c r="G27430"/>
      <c r="I27430"/>
      <c r="N27430"/>
      <c r="O27430" s="24"/>
      <c r="P27430"/>
      <c r="Q27430" s="24"/>
      <c r="R27430"/>
      <c r="S27430"/>
      <c r="T27430"/>
      <c r="U27430"/>
      <c r="X27430" s="60"/>
    </row>
    <row r="27431" spans="7:24" ht="15" customHeight="1">
      <c r="G27431"/>
      <c r="I27431"/>
      <c r="N27431"/>
      <c r="O27431" s="24"/>
      <c r="P27431"/>
      <c r="Q27431" s="24"/>
      <c r="R27431"/>
      <c r="S27431"/>
      <c r="T27431"/>
      <c r="U27431"/>
      <c r="X27431" s="60"/>
    </row>
    <row r="27432" spans="7:24" ht="15" customHeight="1">
      <c r="G27432"/>
      <c r="I27432"/>
      <c r="N27432"/>
      <c r="O27432" s="24"/>
      <c r="P27432"/>
      <c r="Q27432" s="24"/>
      <c r="R27432"/>
      <c r="S27432"/>
      <c r="T27432"/>
      <c r="U27432"/>
      <c r="X27432" s="60"/>
    </row>
    <row r="27433" spans="7:24" ht="15" customHeight="1">
      <c r="G27433"/>
      <c r="I27433"/>
      <c r="N27433"/>
      <c r="O27433" s="24"/>
      <c r="P27433"/>
      <c r="Q27433" s="24"/>
      <c r="R27433"/>
      <c r="S27433"/>
      <c r="T27433"/>
      <c r="U27433"/>
      <c r="X27433" s="60"/>
    </row>
    <row r="27434" spans="7:24" ht="15" customHeight="1">
      <c r="G27434"/>
      <c r="I27434"/>
      <c r="N27434"/>
      <c r="O27434" s="24"/>
      <c r="P27434"/>
      <c r="Q27434" s="24"/>
      <c r="R27434"/>
      <c r="S27434"/>
      <c r="T27434"/>
      <c r="U27434"/>
      <c r="X27434" s="60"/>
    </row>
    <row r="27435" spans="7:24" ht="15" customHeight="1">
      <c r="G27435"/>
      <c r="I27435"/>
      <c r="N27435"/>
      <c r="O27435" s="24"/>
      <c r="P27435"/>
      <c r="Q27435" s="24"/>
      <c r="R27435"/>
      <c r="S27435"/>
      <c r="T27435"/>
      <c r="U27435"/>
      <c r="X27435" s="60"/>
    </row>
    <row r="27436" spans="7:24" ht="15" customHeight="1">
      <c r="G27436"/>
      <c r="I27436"/>
      <c r="N27436"/>
      <c r="O27436" s="24"/>
      <c r="P27436"/>
      <c r="Q27436" s="24"/>
      <c r="R27436"/>
      <c r="S27436"/>
      <c r="T27436"/>
      <c r="U27436"/>
      <c r="X27436" s="60"/>
    </row>
    <row r="27437" spans="7:24" ht="15" customHeight="1">
      <c r="G27437"/>
      <c r="I27437"/>
      <c r="N27437"/>
      <c r="O27437" s="24"/>
      <c r="P27437"/>
      <c r="Q27437" s="24"/>
      <c r="R27437"/>
      <c r="S27437"/>
      <c r="T27437"/>
      <c r="U27437"/>
      <c r="X27437" s="60"/>
    </row>
    <row r="27438" spans="7:24" ht="15" customHeight="1">
      <c r="G27438"/>
      <c r="I27438"/>
      <c r="N27438"/>
      <c r="O27438" s="24"/>
      <c r="P27438"/>
      <c r="Q27438" s="24"/>
      <c r="R27438"/>
      <c r="S27438"/>
      <c r="T27438"/>
      <c r="U27438"/>
      <c r="X27438" s="60"/>
    </row>
    <row r="27439" spans="7:24" ht="15" customHeight="1">
      <c r="G27439"/>
      <c r="I27439"/>
      <c r="N27439"/>
      <c r="O27439" s="24"/>
      <c r="P27439"/>
      <c r="Q27439" s="24"/>
      <c r="R27439"/>
      <c r="S27439"/>
      <c r="T27439"/>
      <c r="U27439"/>
      <c r="X27439" s="60"/>
    </row>
    <row r="27440" spans="7:24" ht="15" customHeight="1">
      <c r="G27440"/>
      <c r="I27440"/>
      <c r="N27440"/>
      <c r="O27440" s="24"/>
      <c r="P27440"/>
      <c r="Q27440" s="24"/>
      <c r="R27440"/>
      <c r="S27440"/>
      <c r="T27440"/>
      <c r="U27440"/>
      <c r="X27440" s="60"/>
    </row>
    <row r="27441" spans="7:24" ht="15" customHeight="1">
      <c r="G27441"/>
      <c r="I27441"/>
      <c r="N27441"/>
      <c r="O27441" s="24"/>
      <c r="P27441"/>
      <c r="Q27441" s="24"/>
      <c r="R27441"/>
      <c r="S27441"/>
      <c r="T27441"/>
      <c r="U27441"/>
      <c r="X27441" s="60"/>
    </row>
    <row r="27442" spans="7:24" ht="15" customHeight="1">
      <c r="G27442"/>
      <c r="I27442"/>
      <c r="N27442"/>
      <c r="O27442" s="24"/>
      <c r="P27442"/>
      <c r="Q27442" s="24"/>
      <c r="R27442"/>
      <c r="S27442"/>
      <c r="T27442"/>
      <c r="U27442"/>
      <c r="X27442" s="60"/>
    </row>
    <row r="27443" spans="7:24" ht="15" customHeight="1">
      <c r="G27443"/>
      <c r="I27443"/>
      <c r="N27443"/>
      <c r="O27443" s="24"/>
      <c r="P27443"/>
      <c r="Q27443" s="24"/>
      <c r="R27443"/>
      <c r="S27443"/>
      <c r="T27443"/>
      <c r="U27443"/>
      <c r="X27443" s="60"/>
    </row>
    <row r="27444" spans="7:24" ht="15" customHeight="1">
      <c r="G27444"/>
      <c r="I27444"/>
      <c r="N27444"/>
      <c r="O27444" s="24"/>
      <c r="P27444"/>
      <c r="Q27444" s="24"/>
      <c r="R27444"/>
      <c r="S27444"/>
      <c r="T27444"/>
      <c r="U27444"/>
      <c r="X27444" s="60"/>
    </row>
    <row r="27445" spans="7:24" ht="15" customHeight="1">
      <c r="G27445"/>
      <c r="I27445"/>
      <c r="N27445"/>
      <c r="O27445" s="24"/>
      <c r="P27445"/>
      <c r="Q27445" s="24"/>
      <c r="R27445"/>
      <c r="S27445"/>
      <c r="T27445"/>
      <c r="U27445"/>
      <c r="X27445" s="60"/>
    </row>
    <row r="27446" spans="7:24" ht="15" customHeight="1">
      <c r="G27446"/>
      <c r="I27446"/>
      <c r="N27446"/>
      <c r="O27446" s="24"/>
      <c r="P27446"/>
      <c r="Q27446" s="24"/>
      <c r="R27446"/>
      <c r="S27446"/>
      <c r="T27446"/>
      <c r="U27446"/>
      <c r="X27446" s="60"/>
    </row>
    <row r="27447" spans="7:24" ht="15" customHeight="1">
      <c r="G27447"/>
      <c r="I27447"/>
      <c r="N27447"/>
      <c r="O27447" s="24"/>
      <c r="P27447"/>
      <c r="Q27447" s="24"/>
      <c r="R27447"/>
      <c r="S27447"/>
      <c r="T27447"/>
      <c r="U27447"/>
      <c r="X27447" s="60"/>
    </row>
    <row r="27448" spans="7:24" ht="15" customHeight="1">
      <c r="G27448"/>
      <c r="I27448"/>
      <c r="N27448"/>
      <c r="O27448" s="24"/>
      <c r="P27448"/>
      <c r="Q27448" s="24"/>
      <c r="R27448"/>
      <c r="S27448"/>
      <c r="T27448"/>
      <c r="U27448"/>
      <c r="X27448" s="60"/>
    </row>
    <row r="27449" spans="7:24" ht="15" customHeight="1">
      <c r="G27449"/>
      <c r="I27449"/>
      <c r="N27449"/>
      <c r="O27449" s="24"/>
      <c r="P27449"/>
      <c r="Q27449" s="24"/>
      <c r="R27449"/>
      <c r="S27449"/>
      <c r="T27449"/>
      <c r="U27449"/>
      <c r="X27449" s="60"/>
    </row>
    <row r="27450" spans="7:24" ht="15" customHeight="1">
      <c r="G27450"/>
      <c r="I27450"/>
      <c r="N27450"/>
      <c r="O27450" s="24"/>
      <c r="P27450"/>
      <c r="Q27450" s="24"/>
      <c r="R27450"/>
      <c r="S27450"/>
      <c r="T27450"/>
      <c r="U27450"/>
      <c r="X27450" s="60"/>
    </row>
    <row r="27451" spans="7:24" ht="15" customHeight="1">
      <c r="G27451"/>
      <c r="I27451"/>
      <c r="N27451"/>
      <c r="O27451" s="24"/>
      <c r="P27451"/>
      <c r="Q27451" s="24"/>
      <c r="R27451"/>
      <c r="S27451"/>
      <c r="T27451"/>
      <c r="U27451"/>
      <c r="X27451" s="60"/>
    </row>
    <row r="27452" spans="7:24" ht="15" customHeight="1">
      <c r="G27452"/>
      <c r="I27452"/>
      <c r="N27452"/>
      <c r="O27452" s="24"/>
      <c r="P27452"/>
      <c r="Q27452" s="24"/>
      <c r="R27452"/>
      <c r="S27452"/>
      <c r="T27452"/>
      <c r="U27452"/>
      <c r="X27452" s="60"/>
    </row>
    <row r="27453" spans="7:24" ht="15" customHeight="1">
      <c r="G27453"/>
      <c r="I27453"/>
      <c r="N27453"/>
      <c r="O27453" s="24"/>
      <c r="P27453"/>
      <c r="Q27453" s="24"/>
      <c r="R27453"/>
      <c r="S27453"/>
      <c r="T27453"/>
      <c r="U27453"/>
      <c r="X27453" s="60"/>
    </row>
    <row r="27454" spans="7:24" ht="15" customHeight="1">
      <c r="G27454"/>
      <c r="I27454"/>
      <c r="N27454"/>
      <c r="O27454" s="24"/>
      <c r="P27454"/>
      <c r="Q27454" s="24"/>
      <c r="R27454"/>
      <c r="S27454"/>
      <c r="T27454"/>
      <c r="U27454"/>
      <c r="X27454" s="60"/>
    </row>
    <row r="27455" spans="7:24" ht="15" customHeight="1">
      <c r="G27455"/>
      <c r="I27455"/>
      <c r="N27455"/>
      <c r="O27455" s="24"/>
      <c r="P27455"/>
      <c r="Q27455" s="24"/>
      <c r="R27455"/>
      <c r="S27455"/>
      <c r="T27455"/>
      <c r="U27455"/>
      <c r="X27455" s="60"/>
    </row>
    <row r="27456" spans="7:24" ht="15" customHeight="1">
      <c r="G27456"/>
      <c r="I27456"/>
      <c r="N27456"/>
      <c r="O27456" s="24"/>
      <c r="P27456"/>
      <c r="Q27456" s="24"/>
      <c r="R27456"/>
      <c r="S27456"/>
      <c r="T27456"/>
      <c r="U27456"/>
      <c r="X27456" s="60"/>
    </row>
    <row r="27457" spans="7:24" ht="15" customHeight="1">
      <c r="G27457"/>
      <c r="I27457"/>
      <c r="N27457"/>
      <c r="O27457" s="24"/>
      <c r="P27457"/>
      <c r="Q27457" s="24"/>
      <c r="R27457"/>
      <c r="S27457"/>
      <c r="T27457"/>
      <c r="U27457"/>
      <c r="X27457" s="60"/>
    </row>
    <row r="27458" spans="7:24" ht="15" customHeight="1">
      <c r="G27458"/>
      <c r="I27458"/>
      <c r="N27458"/>
      <c r="O27458" s="24"/>
      <c r="P27458"/>
      <c r="Q27458" s="24"/>
      <c r="R27458"/>
      <c r="S27458"/>
      <c r="T27458"/>
      <c r="U27458"/>
      <c r="X27458" s="60"/>
    </row>
    <row r="27459" spans="7:24" ht="15" customHeight="1">
      <c r="G27459"/>
      <c r="I27459"/>
      <c r="N27459"/>
      <c r="O27459" s="24"/>
      <c r="P27459"/>
      <c r="Q27459" s="24"/>
      <c r="R27459"/>
      <c r="S27459"/>
      <c r="T27459"/>
      <c r="U27459"/>
      <c r="X27459" s="60"/>
    </row>
    <row r="27460" spans="7:24" ht="15" customHeight="1">
      <c r="G27460"/>
      <c r="I27460"/>
      <c r="N27460"/>
      <c r="O27460" s="24"/>
      <c r="P27460"/>
      <c r="Q27460" s="24"/>
      <c r="R27460"/>
      <c r="S27460"/>
      <c r="T27460"/>
      <c r="U27460"/>
      <c r="X27460" s="60"/>
    </row>
    <row r="27461" spans="7:24" ht="15" customHeight="1">
      <c r="G27461"/>
      <c r="I27461"/>
      <c r="N27461"/>
      <c r="O27461" s="24"/>
      <c r="P27461"/>
      <c r="Q27461" s="24"/>
      <c r="R27461"/>
      <c r="S27461"/>
      <c r="T27461"/>
      <c r="U27461"/>
      <c r="X27461" s="60"/>
    </row>
    <row r="27462" spans="7:24" ht="15" customHeight="1">
      <c r="G27462"/>
      <c r="I27462"/>
      <c r="N27462"/>
      <c r="O27462" s="24"/>
      <c r="P27462"/>
      <c r="Q27462" s="24"/>
      <c r="R27462"/>
      <c r="S27462"/>
      <c r="T27462"/>
      <c r="U27462"/>
      <c r="X27462" s="60"/>
    </row>
    <row r="27463" spans="7:24" ht="15" customHeight="1">
      <c r="G27463"/>
      <c r="I27463"/>
      <c r="N27463"/>
      <c r="O27463" s="24"/>
      <c r="P27463"/>
      <c r="Q27463" s="24"/>
      <c r="R27463"/>
      <c r="S27463"/>
      <c r="T27463"/>
      <c r="U27463"/>
      <c r="X27463" s="60"/>
    </row>
    <row r="27464" spans="7:24" ht="15" customHeight="1">
      <c r="G27464"/>
      <c r="I27464"/>
      <c r="N27464"/>
      <c r="O27464" s="24"/>
      <c r="P27464"/>
      <c r="Q27464" s="24"/>
      <c r="R27464"/>
      <c r="S27464"/>
      <c r="T27464"/>
      <c r="U27464"/>
      <c r="X27464" s="60"/>
    </row>
    <row r="27465" spans="7:24" ht="15" customHeight="1">
      <c r="G27465"/>
      <c r="I27465"/>
      <c r="N27465"/>
      <c r="O27465" s="24"/>
      <c r="P27465"/>
      <c r="Q27465" s="24"/>
      <c r="R27465"/>
      <c r="S27465"/>
      <c r="T27465"/>
      <c r="U27465"/>
      <c r="X27465" s="60"/>
    </row>
    <row r="27466" spans="7:24" ht="15" customHeight="1">
      <c r="G27466"/>
      <c r="I27466"/>
      <c r="N27466"/>
      <c r="O27466" s="24"/>
      <c r="P27466"/>
      <c r="Q27466" s="24"/>
      <c r="R27466"/>
      <c r="S27466"/>
      <c r="T27466"/>
      <c r="U27466"/>
      <c r="X27466" s="60"/>
    </row>
    <row r="27467" spans="7:24" ht="15" customHeight="1">
      <c r="G27467"/>
      <c r="I27467"/>
      <c r="N27467"/>
      <c r="O27467" s="24"/>
      <c r="P27467"/>
      <c r="Q27467" s="24"/>
      <c r="R27467"/>
      <c r="S27467"/>
      <c r="T27467"/>
      <c r="U27467"/>
      <c r="X27467" s="60"/>
    </row>
    <row r="27468" spans="7:24" ht="15" customHeight="1">
      <c r="G27468"/>
      <c r="I27468"/>
      <c r="N27468"/>
      <c r="O27468" s="24"/>
      <c r="P27468"/>
      <c r="Q27468" s="24"/>
      <c r="R27468"/>
      <c r="S27468"/>
      <c r="T27468"/>
      <c r="U27468"/>
      <c r="X27468" s="60"/>
    </row>
    <row r="27469" spans="7:24" ht="15" customHeight="1">
      <c r="G27469"/>
      <c r="I27469"/>
      <c r="N27469"/>
      <c r="O27469" s="24"/>
      <c r="P27469"/>
      <c r="Q27469" s="24"/>
      <c r="R27469"/>
      <c r="S27469"/>
      <c r="T27469"/>
      <c r="U27469"/>
      <c r="X27469" s="60"/>
    </row>
    <row r="27470" spans="7:24" ht="15" customHeight="1">
      <c r="G27470"/>
      <c r="I27470"/>
      <c r="N27470"/>
      <c r="O27470" s="24"/>
      <c r="P27470"/>
      <c r="Q27470" s="24"/>
      <c r="R27470"/>
      <c r="S27470"/>
      <c r="T27470"/>
      <c r="U27470"/>
      <c r="X27470" s="60"/>
    </row>
    <row r="27471" spans="7:24" ht="15" customHeight="1">
      <c r="G27471"/>
      <c r="I27471"/>
      <c r="N27471"/>
      <c r="O27471" s="24"/>
      <c r="P27471"/>
      <c r="Q27471" s="24"/>
      <c r="R27471"/>
      <c r="S27471"/>
      <c r="T27471"/>
      <c r="U27471"/>
      <c r="X27471" s="60"/>
    </row>
    <row r="27472" spans="7:24" ht="15" customHeight="1">
      <c r="G27472"/>
      <c r="I27472"/>
      <c r="N27472"/>
      <c r="O27472" s="24"/>
      <c r="P27472"/>
      <c r="Q27472" s="24"/>
      <c r="R27472"/>
      <c r="S27472"/>
      <c r="T27472"/>
      <c r="U27472"/>
      <c r="X27472" s="60"/>
    </row>
    <row r="27473" spans="7:24" ht="15" customHeight="1">
      <c r="G27473"/>
      <c r="I27473"/>
      <c r="N27473"/>
      <c r="O27473" s="24"/>
      <c r="P27473"/>
      <c r="Q27473" s="24"/>
      <c r="R27473"/>
      <c r="S27473"/>
      <c r="T27473"/>
      <c r="U27473"/>
      <c r="X27473" s="60"/>
    </row>
    <row r="27474" spans="7:24" ht="15" customHeight="1">
      <c r="G27474"/>
      <c r="I27474"/>
      <c r="N27474"/>
      <c r="O27474" s="24"/>
      <c r="P27474"/>
      <c r="Q27474" s="24"/>
      <c r="R27474"/>
      <c r="S27474"/>
      <c r="T27474"/>
      <c r="U27474"/>
      <c r="X27474" s="60"/>
    </row>
    <row r="27475" spans="7:24" ht="15" customHeight="1">
      <c r="G27475"/>
      <c r="I27475"/>
      <c r="N27475"/>
      <c r="O27475" s="24"/>
      <c r="P27475"/>
      <c r="Q27475" s="24"/>
      <c r="R27475"/>
      <c r="S27475"/>
      <c r="T27475"/>
      <c r="U27475"/>
      <c r="X27475" s="60"/>
    </row>
    <row r="27476" spans="7:24" ht="15" customHeight="1">
      <c r="G27476"/>
      <c r="I27476"/>
      <c r="N27476"/>
      <c r="O27476" s="24"/>
      <c r="P27476"/>
      <c r="Q27476" s="24"/>
      <c r="R27476"/>
      <c r="S27476"/>
      <c r="T27476"/>
      <c r="U27476"/>
      <c r="X27476" s="60"/>
    </row>
    <row r="27477" spans="7:24" ht="15" customHeight="1">
      <c r="G27477"/>
      <c r="I27477"/>
      <c r="N27477"/>
      <c r="O27477" s="24"/>
      <c r="P27477"/>
      <c r="Q27477" s="24"/>
      <c r="R27477"/>
      <c r="S27477"/>
      <c r="T27477"/>
      <c r="U27477"/>
      <c r="X27477" s="60"/>
    </row>
    <row r="27478" spans="7:24" ht="15" customHeight="1">
      <c r="G27478"/>
      <c r="I27478"/>
      <c r="N27478"/>
      <c r="O27478" s="24"/>
      <c r="P27478"/>
      <c r="Q27478" s="24"/>
      <c r="R27478"/>
      <c r="S27478"/>
      <c r="T27478"/>
      <c r="U27478"/>
      <c r="X27478" s="60"/>
    </row>
    <row r="27479" spans="7:24" ht="15" customHeight="1">
      <c r="G27479"/>
      <c r="I27479"/>
      <c r="N27479"/>
      <c r="O27479" s="24"/>
      <c r="P27479"/>
      <c r="Q27479" s="24"/>
      <c r="R27479"/>
      <c r="S27479"/>
      <c r="T27479"/>
      <c r="U27479"/>
      <c r="X27479" s="60"/>
    </row>
    <row r="27480" spans="7:24" ht="15" customHeight="1">
      <c r="G27480"/>
      <c r="I27480"/>
      <c r="N27480"/>
      <c r="O27480" s="24"/>
      <c r="P27480"/>
      <c r="Q27480" s="24"/>
      <c r="R27480"/>
      <c r="S27480"/>
      <c r="T27480"/>
      <c r="U27480"/>
      <c r="X27480" s="60"/>
    </row>
    <row r="27481" spans="7:24" ht="15" customHeight="1">
      <c r="G27481"/>
      <c r="I27481"/>
      <c r="N27481"/>
      <c r="O27481" s="24"/>
      <c r="P27481"/>
      <c r="Q27481" s="24"/>
      <c r="R27481"/>
      <c r="S27481"/>
      <c r="T27481"/>
      <c r="U27481"/>
      <c r="X27481" s="60"/>
    </row>
    <row r="27482" spans="7:24" ht="15" customHeight="1">
      <c r="G27482"/>
      <c r="I27482"/>
      <c r="N27482"/>
      <c r="O27482" s="24"/>
      <c r="P27482"/>
      <c r="Q27482" s="24"/>
      <c r="R27482"/>
      <c r="S27482"/>
      <c r="T27482"/>
      <c r="U27482"/>
      <c r="X27482" s="60"/>
    </row>
    <row r="27483" spans="7:24" ht="15" customHeight="1">
      <c r="G27483"/>
      <c r="I27483"/>
      <c r="N27483"/>
      <c r="O27483" s="24"/>
      <c r="P27483"/>
      <c r="Q27483" s="24"/>
      <c r="R27483"/>
      <c r="S27483"/>
      <c r="T27483"/>
      <c r="U27483"/>
      <c r="X27483" s="60"/>
    </row>
    <row r="27484" spans="7:24" ht="15" customHeight="1">
      <c r="G27484"/>
      <c r="I27484"/>
      <c r="N27484"/>
      <c r="O27484" s="24"/>
      <c r="P27484"/>
      <c r="Q27484" s="24"/>
      <c r="R27484"/>
      <c r="S27484"/>
      <c r="T27484"/>
      <c r="U27484"/>
      <c r="X27484" s="60"/>
    </row>
    <row r="27485" spans="7:24" ht="15" customHeight="1">
      <c r="G27485"/>
      <c r="I27485"/>
      <c r="N27485"/>
      <c r="O27485" s="24"/>
      <c r="P27485"/>
      <c r="Q27485" s="24"/>
      <c r="R27485"/>
      <c r="S27485"/>
      <c r="T27485"/>
      <c r="U27485"/>
      <c r="X27485" s="60"/>
    </row>
    <row r="27486" spans="7:24" ht="15" customHeight="1">
      <c r="G27486"/>
      <c r="I27486"/>
      <c r="N27486"/>
      <c r="O27486" s="24"/>
      <c r="P27486"/>
      <c r="Q27486" s="24"/>
      <c r="R27486"/>
      <c r="S27486"/>
      <c r="T27486"/>
      <c r="U27486"/>
      <c r="X27486" s="60"/>
    </row>
    <row r="27487" spans="7:24" ht="15" customHeight="1">
      <c r="G27487"/>
      <c r="I27487"/>
      <c r="N27487"/>
      <c r="O27487" s="24"/>
      <c r="P27487"/>
      <c r="Q27487" s="24"/>
      <c r="R27487"/>
      <c r="S27487"/>
      <c r="T27487"/>
      <c r="U27487"/>
      <c r="X27487" s="60"/>
    </row>
    <row r="27488" spans="7:24" ht="15" customHeight="1">
      <c r="G27488"/>
      <c r="I27488"/>
      <c r="N27488"/>
      <c r="O27488" s="24"/>
      <c r="P27488"/>
      <c r="Q27488" s="24"/>
      <c r="R27488"/>
      <c r="S27488"/>
      <c r="T27488"/>
      <c r="U27488"/>
      <c r="X27488" s="60"/>
    </row>
    <row r="27489" spans="7:24" ht="15" customHeight="1">
      <c r="G27489"/>
      <c r="I27489"/>
      <c r="N27489"/>
      <c r="O27489" s="24"/>
      <c r="P27489"/>
      <c r="Q27489" s="24"/>
      <c r="R27489"/>
      <c r="S27489"/>
      <c r="T27489"/>
      <c r="U27489"/>
      <c r="X27489" s="60"/>
    </row>
    <row r="27490" spans="7:24" ht="15" customHeight="1">
      <c r="G27490"/>
      <c r="I27490"/>
      <c r="N27490"/>
      <c r="O27490" s="24"/>
      <c r="P27490"/>
      <c r="Q27490" s="24"/>
      <c r="R27490"/>
      <c r="S27490"/>
      <c r="T27490"/>
      <c r="U27490"/>
      <c r="X27490" s="60"/>
    </row>
    <row r="27491" spans="7:24" ht="15" customHeight="1">
      <c r="G27491"/>
      <c r="I27491"/>
      <c r="N27491"/>
      <c r="O27491" s="24"/>
      <c r="P27491"/>
      <c r="Q27491" s="24"/>
      <c r="R27491"/>
      <c r="S27491"/>
      <c r="T27491"/>
      <c r="U27491"/>
      <c r="X27491" s="60"/>
    </row>
    <row r="27492" spans="7:24" ht="15" customHeight="1">
      <c r="G27492"/>
      <c r="I27492"/>
      <c r="N27492"/>
      <c r="O27492" s="24"/>
      <c r="P27492"/>
      <c r="Q27492" s="24"/>
      <c r="R27492"/>
      <c r="S27492"/>
      <c r="T27492"/>
      <c r="U27492"/>
      <c r="X27492" s="60"/>
    </row>
    <row r="27493" spans="7:24" ht="15" customHeight="1">
      <c r="G27493"/>
      <c r="I27493"/>
      <c r="N27493"/>
      <c r="O27493" s="24"/>
      <c r="P27493"/>
      <c r="Q27493" s="24"/>
      <c r="R27493"/>
      <c r="S27493"/>
      <c r="T27493"/>
      <c r="U27493"/>
      <c r="X27493" s="60"/>
    </row>
    <row r="27494" spans="7:24" ht="15" customHeight="1">
      <c r="G27494"/>
      <c r="I27494"/>
      <c r="N27494"/>
      <c r="O27494" s="24"/>
      <c r="P27494"/>
      <c r="Q27494" s="24"/>
      <c r="R27494"/>
      <c r="S27494"/>
      <c r="T27494"/>
      <c r="U27494"/>
      <c r="X27494" s="60"/>
    </row>
    <row r="27495" spans="7:24" ht="15" customHeight="1">
      <c r="G27495"/>
      <c r="I27495"/>
      <c r="N27495"/>
      <c r="O27495" s="24"/>
      <c r="P27495"/>
      <c r="Q27495" s="24"/>
      <c r="R27495"/>
      <c r="S27495"/>
      <c r="T27495"/>
      <c r="U27495"/>
      <c r="X27495" s="60"/>
    </row>
    <row r="27496" spans="7:24" ht="15" customHeight="1">
      <c r="G27496"/>
      <c r="I27496"/>
      <c r="N27496"/>
      <c r="O27496" s="24"/>
      <c r="P27496"/>
      <c r="Q27496" s="24"/>
      <c r="R27496"/>
      <c r="S27496"/>
      <c r="T27496"/>
      <c r="U27496"/>
      <c r="X27496" s="60"/>
    </row>
    <row r="27497" spans="7:24" ht="15" customHeight="1">
      <c r="G27497"/>
      <c r="I27497"/>
      <c r="N27497"/>
      <c r="O27497" s="24"/>
      <c r="P27497"/>
      <c r="Q27497" s="24"/>
      <c r="R27497"/>
      <c r="S27497"/>
      <c r="T27497"/>
      <c r="U27497"/>
      <c r="X27497" s="60"/>
    </row>
    <row r="27498" spans="7:24" ht="15" customHeight="1">
      <c r="G27498"/>
      <c r="I27498"/>
      <c r="N27498"/>
      <c r="O27498" s="24"/>
      <c r="P27498"/>
      <c r="Q27498" s="24"/>
      <c r="R27498"/>
      <c r="S27498"/>
      <c r="T27498"/>
      <c r="U27498"/>
      <c r="X27498" s="60"/>
    </row>
    <row r="27499" spans="7:24" ht="15" customHeight="1">
      <c r="G27499"/>
      <c r="I27499"/>
      <c r="N27499"/>
      <c r="O27499" s="24"/>
      <c r="P27499"/>
      <c r="Q27499" s="24"/>
      <c r="R27499"/>
      <c r="S27499"/>
      <c r="T27499"/>
      <c r="U27499"/>
      <c r="X27499" s="60"/>
    </row>
    <row r="27500" spans="7:24" ht="15" customHeight="1">
      <c r="G27500"/>
      <c r="I27500"/>
      <c r="N27500"/>
      <c r="O27500" s="24"/>
      <c r="P27500"/>
      <c r="Q27500" s="24"/>
      <c r="R27500"/>
      <c r="S27500"/>
      <c r="T27500"/>
      <c r="U27500"/>
      <c r="X27500" s="60"/>
    </row>
    <row r="27501" spans="7:24" ht="15" customHeight="1">
      <c r="G27501"/>
      <c r="I27501"/>
      <c r="N27501"/>
      <c r="O27501" s="24"/>
      <c r="P27501"/>
      <c r="Q27501" s="24"/>
      <c r="R27501"/>
      <c r="S27501"/>
      <c r="T27501"/>
      <c r="U27501"/>
      <c r="X27501" s="60"/>
    </row>
    <row r="27502" spans="7:24" ht="15" customHeight="1">
      <c r="G27502"/>
      <c r="I27502"/>
      <c r="N27502"/>
      <c r="O27502" s="24"/>
      <c r="P27502"/>
      <c r="Q27502" s="24"/>
      <c r="R27502"/>
      <c r="S27502"/>
      <c r="T27502"/>
      <c r="U27502"/>
      <c r="X27502" s="60"/>
    </row>
    <row r="27503" spans="7:24" ht="15" customHeight="1">
      <c r="G27503"/>
      <c r="I27503"/>
      <c r="N27503"/>
      <c r="O27503" s="24"/>
      <c r="P27503"/>
      <c r="Q27503" s="24"/>
      <c r="R27503"/>
      <c r="S27503"/>
      <c r="T27503"/>
      <c r="U27503"/>
      <c r="X27503" s="60"/>
    </row>
    <row r="27504" spans="7:24" ht="15" customHeight="1">
      <c r="G27504"/>
      <c r="I27504"/>
      <c r="N27504"/>
      <c r="O27504" s="24"/>
      <c r="P27504"/>
      <c r="Q27504" s="24"/>
      <c r="R27504"/>
      <c r="S27504"/>
      <c r="T27504"/>
      <c r="U27504"/>
      <c r="X27504" s="60"/>
    </row>
    <row r="27505" spans="7:24" ht="15" customHeight="1">
      <c r="G27505"/>
      <c r="I27505"/>
      <c r="N27505"/>
      <c r="O27505" s="24"/>
      <c r="P27505"/>
      <c r="Q27505" s="24"/>
      <c r="R27505"/>
      <c r="S27505"/>
      <c r="T27505"/>
      <c r="U27505"/>
      <c r="X27505" s="60"/>
    </row>
    <row r="27506" spans="7:24" ht="15" customHeight="1">
      <c r="G27506"/>
      <c r="I27506"/>
      <c r="N27506"/>
      <c r="O27506" s="24"/>
      <c r="P27506"/>
      <c r="Q27506" s="24"/>
      <c r="R27506"/>
      <c r="S27506"/>
      <c r="T27506"/>
      <c r="U27506"/>
      <c r="X27506" s="60"/>
    </row>
    <row r="27507" spans="7:24" ht="15" customHeight="1">
      <c r="G27507"/>
      <c r="I27507"/>
      <c r="N27507"/>
      <c r="O27507" s="24"/>
      <c r="P27507"/>
      <c r="Q27507" s="24"/>
      <c r="R27507"/>
      <c r="S27507"/>
      <c r="T27507"/>
      <c r="U27507"/>
      <c r="X27507" s="60"/>
    </row>
    <row r="27508" spans="7:24" ht="15" customHeight="1">
      <c r="G27508"/>
      <c r="I27508"/>
      <c r="N27508"/>
      <c r="O27508" s="24"/>
      <c r="P27508"/>
      <c r="Q27508" s="24"/>
      <c r="R27508"/>
      <c r="S27508"/>
      <c r="T27508"/>
      <c r="U27508"/>
      <c r="X27508" s="60"/>
    </row>
    <row r="27509" spans="7:24" ht="15" customHeight="1">
      <c r="G27509"/>
      <c r="I27509"/>
      <c r="N27509"/>
      <c r="O27509" s="24"/>
      <c r="P27509"/>
      <c r="Q27509" s="24"/>
      <c r="R27509"/>
      <c r="S27509"/>
      <c r="T27509"/>
      <c r="U27509"/>
      <c r="X27509" s="60"/>
    </row>
    <row r="27510" spans="7:24" ht="15" customHeight="1">
      <c r="G27510"/>
      <c r="I27510"/>
      <c r="N27510"/>
      <c r="O27510" s="24"/>
      <c r="P27510"/>
      <c r="Q27510" s="24"/>
      <c r="R27510"/>
      <c r="S27510"/>
      <c r="T27510"/>
      <c r="U27510"/>
      <c r="X27510" s="60"/>
    </row>
    <row r="27511" spans="7:24" ht="15" customHeight="1">
      <c r="G27511"/>
      <c r="I27511"/>
      <c r="N27511"/>
      <c r="O27511" s="24"/>
      <c r="P27511"/>
      <c r="Q27511" s="24"/>
      <c r="R27511"/>
      <c r="S27511"/>
      <c r="T27511"/>
      <c r="U27511"/>
      <c r="X27511" s="60"/>
    </row>
    <row r="27512" spans="7:24" ht="15" customHeight="1">
      <c r="G27512"/>
      <c r="I27512"/>
      <c r="N27512"/>
      <c r="O27512" s="24"/>
      <c r="P27512"/>
      <c r="Q27512" s="24"/>
      <c r="R27512"/>
      <c r="S27512"/>
      <c r="T27512"/>
      <c r="U27512"/>
      <c r="X27512" s="60"/>
    </row>
    <row r="27513" spans="7:24" ht="15" customHeight="1">
      <c r="G27513"/>
      <c r="I27513"/>
      <c r="N27513"/>
      <c r="O27513" s="24"/>
      <c r="P27513"/>
      <c r="Q27513" s="24"/>
      <c r="R27513"/>
      <c r="S27513"/>
      <c r="T27513"/>
      <c r="U27513"/>
      <c r="X27513" s="60"/>
    </row>
    <row r="27514" spans="7:24" ht="15" customHeight="1">
      <c r="G27514"/>
      <c r="I27514"/>
      <c r="N27514"/>
      <c r="O27514" s="24"/>
      <c r="P27514"/>
      <c r="Q27514" s="24"/>
      <c r="R27514"/>
      <c r="S27514"/>
      <c r="T27514"/>
      <c r="U27514"/>
      <c r="X27514" s="60"/>
    </row>
    <row r="27515" spans="7:24" ht="15" customHeight="1">
      <c r="G27515"/>
      <c r="I27515"/>
      <c r="N27515"/>
      <c r="O27515" s="24"/>
      <c r="P27515"/>
      <c r="Q27515" s="24"/>
      <c r="R27515"/>
      <c r="S27515"/>
      <c r="T27515"/>
      <c r="U27515"/>
      <c r="X27515" s="60"/>
    </row>
    <row r="27516" spans="7:24" ht="15" customHeight="1">
      <c r="G27516"/>
      <c r="I27516"/>
      <c r="N27516"/>
      <c r="O27516" s="24"/>
      <c r="P27516"/>
      <c r="Q27516" s="24"/>
      <c r="R27516"/>
      <c r="S27516"/>
      <c r="T27516"/>
      <c r="U27516"/>
      <c r="X27516" s="60"/>
    </row>
    <row r="27517" spans="7:24" ht="15" customHeight="1">
      <c r="G27517"/>
      <c r="I27517"/>
      <c r="N27517"/>
      <c r="O27517" s="24"/>
      <c r="P27517"/>
      <c r="Q27517" s="24"/>
      <c r="R27517"/>
      <c r="S27517"/>
      <c r="T27517"/>
      <c r="U27517"/>
      <c r="X27517" s="60"/>
    </row>
    <row r="27518" spans="7:24" ht="15" customHeight="1">
      <c r="G27518"/>
      <c r="I27518"/>
      <c r="N27518"/>
      <c r="O27518" s="24"/>
      <c r="P27518"/>
      <c r="Q27518" s="24"/>
      <c r="R27518"/>
      <c r="S27518"/>
      <c r="T27518"/>
      <c r="U27518"/>
      <c r="X27518" s="60"/>
    </row>
    <row r="27519" spans="7:24" ht="15" customHeight="1">
      <c r="G27519"/>
      <c r="I27519"/>
      <c r="N27519"/>
      <c r="O27519" s="24"/>
      <c r="P27519"/>
      <c r="Q27519" s="24"/>
      <c r="R27519"/>
      <c r="S27519"/>
      <c r="T27519"/>
      <c r="U27519"/>
      <c r="X27519" s="60"/>
    </row>
    <row r="27520" spans="7:24" ht="15" customHeight="1">
      <c r="G27520"/>
      <c r="I27520"/>
      <c r="N27520"/>
      <c r="O27520" s="24"/>
      <c r="P27520"/>
      <c r="Q27520" s="24"/>
      <c r="R27520"/>
      <c r="S27520"/>
      <c r="T27520"/>
      <c r="U27520"/>
      <c r="X27520" s="60"/>
    </row>
    <row r="27521" spans="7:24" ht="15" customHeight="1">
      <c r="G27521"/>
      <c r="I27521"/>
      <c r="N27521"/>
      <c r="O27521" s="24"/>
      <c r="P27521"/>
      <c r="Q27521" s="24"/>
      <c r="R27521"/>
      <c r="S27521"/>
      <c r="T27521"/>
      <c r="U27521"/>
      <c r="X27521" s="60"/>
    </row>
    <row r="27522" spans="7:24" ht="15" customHeight="1">
      <c r="G27522"/>
      <c r="I27522"/>
      <c r="N27522"/>
      <c r="O27522" s="24"/>
      <c r="P27522"/>
      <c r="Q27522" s="24"/>
      <c r="R27522"/>
      <c r="S27522"/>
      <c r="T27522"/>
      <c r="U27522"/>
      <c r="X27522" s="60"/>
    </row>
    <row r="27523" spans="7:24" ht="15" customHeight="1">
      <c r="G27523"/>
      <c r="I27523"/>
      <c r="N27523"/>
      <c r="O27523" s="24"/>
      <c r="P27523"/>
      <c r="Q27523" s="24"/>
      <c r="R27523"/>
      <c r="S27523"/>
      <c r="T27523"/>
      <c r="U27523"/>
      <c r="X27523" s="60"/>
    </row>
    <row r="27524" spans="7:24" ht="15" customHeight="1">
      <c r="G27524"/>
      <c r="I27524"/>
      <c r="N27524"/>
      <c r="O27524" s="24"/>
      <c r="P27524"/>
      <c r="Q27524" s="24"/>
      <c r="R27524"/>
      <c r="S27524"/>
      <c r="T27524"/>
      <c r="U27524"/>
      <c r="X27524" s="60"/>
    </row>
    <row r="27525" spans="7:24" ht="15" customHeight="1">
      <c r="G27525"/>
      <c r="I27525"/>
      <c r="N27525"/>
      <c r="O27525" s="24"/>
      <c r="P27525"/>
      <c r="Q27525" s="24"/>
      <c r="R27525"/>
      <c r="S27525"/>
      <c r="T27525"/>
      <c r="U27525"/>
      <c r="X27525" s="60"/>
    </row>
    <row r="27526" spans="7:24" ht="15" customHeight="1">
      <c r="G27526"/>
      <c r="I27526"/>
      <c r="N27526"/>
      <c r="O27526" s="24"/>
      <c r="P27526"/>
      <c r="Q27526" s="24"/>
      <c r="R27526"/>
      <c r="S27526"/>
      <c r="T27526"/>
      <c r="U27526"/>
      <c r="X27526" s="60"/>
    </row>
    <row r="27527" spans="7:24" ht="15" customHeight="1">
      <c r="G27527"/>
      <c r="I27527"/>
      <c r="N27527"/>
      <c r="O27527" s="24"/>
      <c r="P27527"/>
      <c r="Q27527" s="24"/>
      <c r="R27527"/>
      <c r="S27527"/>
      <c r="T27527"/>
      <c r="U27527"/>
      <c r="X27527" s="60"/>
    </row>
    <row r="27528" spans="7:24" ht="15" customHeight="1">
      <c r="G27528"/>
      <c r="I27528"/>
      <c r="N27528"/>
      <c r="O27528" s="24"/>
      <c r="P27528"/>
      <c r="Q27528" s="24"/>
      <c r="R27528"/>
      <c r="S27528"/>
      <c r="T27528"/>
      <c r="U27528"/>
      <c r="X27528" s="60"/>
    </row>
    <row r="27529" spans="7:24" ht="15" customHeight="1">
      <c r="G27529"/>
      <c r="I27529"/>
      <c r="N27529"/>
      <c r="O27529" s="24"/>
      <c r="P27529"/>
      <c r="Q27529" s="24"/>
      <c r="R27529"/>
      <c r="S27529"/>
      <c r="T27529"/>
      <c r="U27529"/>
      <c r="X27529" s="60"/>
    </row>
    <row r="27530" spans="7:24" ht="15" customHeight="1">
      <c r="G27530"/>
      <c r="I27530"/>
      <c r="N27530"/>
      <c r="O27530" s="24"/>
      <c r="P27530"/>
      <c r="Q27530" s="24"/>
      <c r="R27530"/>
      <c r="S27530"/>
      <c r="T27530"/>
      <c r="U27530"/>
      <c r="X27530" s="60"/>
    </row>
    <row r="27531" spans="7:24" ht="15" customHeight="1">
      <c r="G27531"/>
      <c r="I27531"/>
      <c r="N27531"/>
      <c r="O27531" s="24"/>
      <c r="P27531"/>
      <c r="Q27531" s="24"/>
      <c r="R27531"/>
      <c r="S27531"/>
      <c r="T27531"/>
      <c r="U27531"/>
      <c r="X27531" s="60"/>
    </row>
    <row r="27532" spans="7:24" ht="15" customHeight="1">
      <c r="G27532"/>
      <c r="I27532"/>
      <c r="N27532"/>
      <c r="O27532" s="24"/>
      <c r="P27532"/>
      <c r="Q27532" s="24"/>
      <c r="R27532"/>
      <c r="S27532"/>
      <c r="T27532"/>
      <c r="U27532"/>
      <c r="X27532" s="60"/>
    </row>
    <row r="27533" spans="7:24" ht="15" customHeight="1">
      <c r="G27533"/>
      <c r="I27533"/>
      <c r="N27533"/>
      <c r="O27533" s="24"/>
      <c r="P27533"/>
      <c r="Q27533" s="24"/>
      <c r="R27533"/>
      <c r="S27533"/>
      <c r="T27533"/>
      <c r="U27533"/>
      <c r="X27533" s="60"/>
    </row>
    <row r="27534" spans="7:24" ht="15" customHeight="1">
      <c r="G27534"/>
      <c r="I27534"/>
      <c r="N27534"/>
      <c r="O27534" s="24"/>
      <c r="P27534"/>
      <c r="Q27534" s="24"/>
      <c r="R27534"/>
      <c r="S27534"/>
      <c r="T27534"/>
      <c r="U27534"/>
      <c r="X27534" s="60"/>
    </row>
    <row r="27535" spans="7:24" ht="15" customHeight="1">
      <c r="G27535"/>
      <c r="I27535"/>
      <c r="N27535"/>
      <c r="O27535" s="24"/>
      <c r="P27535"/>
      <c r="Q27535" s="24"/>
      <c r="R27535"/>
      <c r="S27535"/>
      <c r="T27535"/>
      <c r="U27535"/>
      <c r="X27535" s="60"/>
    </row>
    <row r="27536" spans="7:24" ht="15" customHeight="1">
      <c r="G27536"/>
      <c r="I27536"/>
      <c r="N27536"/>
      <c r="O27536" s="24"/>
      <c r="P27536"/>
      <c r="Q27536" s="24"/>
      <c r="R27536"/>
      <c r="S27536"/>
      <c r="T27536"/>
      <c r="U27536"/>
      <c r="X27536" s="60"/>
    </row>
    <row r="27537" spans="7:24" ht="15" customHeight="1">
      <c r="G27537"/>
      <c r="I27537"/>
      <c r="N27537"/>
      <c r="O27537" s="24"/>
      <c r="P27537"/>
      <c r="Q27537" s="24"/>
      <c r="R27537"/>
      <c r="S27537"/>
      <c r="T27537"/>
      <c r="U27537"/>
      <c r="X27537" s="60"/>
    </row>
    <row r="27538" spans="7:24" ht="15" customHeight="1">
      <c r="G27538"/>
      <c r="I27538"/>
      <c r="N27538"/>
      <c r="O27538" s="24"/>
      <c r="P27538"/>
      <c r="Q27538" s="24"/>
      <c r="R27538"/>
      <c r="S27538"/>
      <c r="T27538"/>
      <c r="U27538"/>
      <c r="X27538" s="60"/>
    </row>
    <row r="27539" spans="7:24" ht="15" customHeight="1">
      <c r="G27539"/>
      <c r="I27539"/>
      <c r="N27539"/>
      <c r="O27539" s="24"/>
      <c r="P27539"/>
      <c r="Q27539" s="24"/>
      <c r="R27539"/>
      <c r="S27539"/>
      <c r="T27539"/>
      <c r="U27539"/>
      <c r="X27539" s="60"/>
    </row>
    <row r="27540" spans="7:24" ht="15" customHeight="1">
      <c r="G27540"/>
      <c r="I27540"/>
      <c r="N27540"/>
      <c r="O27540" s="24"/>
      <c r="P27540"/>
      <c r="Q27540" s="24"/>
      <c r="R27540"/>
      <c r="S27540"/>
      <c r="T27540"/>
      <c r="U27540"/>
      <c r="X27540" s="60"/>
    </row>
    <row r="27541" spans="7:24" ht="15" customHeight="1">
      <c r="G27541"/>
      <c r="I27541"/>
      <c r="N27541"/>
      <c r="O27541" s="24"/>
      <c r="P27541"/>
      <c r="Q27541" s="24"/>
      <c r="R27541"/>
      <c r="S27541"/>
      <c r="T27541"/>
      <c r="U27541"/>
      <c r="X27541" s="60"/>
    </row>
    <row r="27542" spans="7:24" ht="15" customHeight="1">
      <c r="G27542"/>
      <c r="I27542"/>
      <c r="N27542"/>
      <c r="O27542" s="24"/>
      <c r="P27542"/>
      <c r="Q27542" s="24"/>
      <c r="R27542"/>
      <c r="S27542"/>
      <c r="T27542"/>
      <c r="U27542"/>
      <c r="X27542" s="60"/>
    </row>
    <row r="27543" spans="7:24" ht="15" customHeight="1">
      <c r="G27543"/>
      <c r="I27543"/>
      <c r="N27543"/>
      <c r="O27543" s="24"/>
      <c r="P27543"/>
      <c r="Q27543" s="24"/>
      <c r="R27543"/>
      <c r="S27543"/>
      <c r="T27543"/>
      <c r="U27543"/>
      <c r="X27543" s="60"/>
    </row>
    <row r="27544" spans="7:24" ht="15" customHeight="1">
      <c r="G27544"/>
      <c r="I27544"/>
      <c r="N27544"/>
      <c r="O27544" s="24"/>
      <c r="P27544"/>
      <c r="Q27544" s="24"/>
      <c r="R27544"/>
      <c r="S27544"/>
      <c r="T27544"/>
      <c r="U27544"/>
      <c r="X27544" s="60"/>
    </row>
    <row r="27545" spans="7:24" ht="15" customHeight="1">
      <c r="G27545"/>
      <c r="I27545"/>
      <c r="N27545"/>
      <c r="O27545" s="24"/>
      <c r="P27545"/>
      <c r="Q27545" s="24"/>
      <c r="R27545"/>
      <c r="S27545"/>
      <c r="T27545"/>
      <c r="U27545"/>
      <c r="X27545" s="60"/>
    </row>
    <row r="27546" spans="7:24" ht="15" customHeight="1">
      <c r="G27546"/>
      <c r="I27546"/>
      <c r="N27546"/>
      <c r="O27546" s="24"/>
      <c r="P27546"/>
      <c r="Q27546" s="24"/>
      <c r="R27546"/>
      <c r="S27546"/>
      <c r="T27546"/>
      <c r="U27546"/>
      <c r="X27546" s="60"/>
    </row>
    <row r="27547" spans="7:24" ht="15" customHeight="1">
      <c r="G27547"/>
      <c r="I27547"/>
      <c r="N27547"/>
      <c r="O27547" s="24"/>
      <c r="P27547"/>
      <c r="Q27547" s="24"/>
      <c r="R27547"/>
      <c r="S27547"/>
      <c r="T27547"/>
      <c r="U27547"/>
      <c r="X27547" s="60"/>
    </row>
    <row r="27548" spans="7:24" ht="15" customHeight="1">
      <c r="G27548"/>
      <c r="I27548"/>
      <c r="N27548"/>
      <c r="O27548" s="24"/>
      <c r="P27548"/>
      <c r="Q27548" s="24"/>
      <c r="R27548"/>
      <c r="S27548"/>
      <c r="T27548"/>
      <c r="U27548"/>
      <c r="X27548" s="60"/>
    </row>
    <row r="27549" spans="7:24" ht="15" customHeight="1">
      <c r="G27549"/>
      <c r="I27549"/>
      <c r="N27549"/>
      <c r="O27549" s="24"/>
      <c r="P27549"/>
      <c r="Q27549" s="24"/>
      <c r="R27549"/>
      <c r="S27549"/>
      <c r="T27549"/>
      <c r="U27549"/>
      <c r="X27549" s="60"/>
    </row>
    <row r="27550" spans="7:24" ht="15" customHeight="1">
      <c r="G27550"/>
      <c r="I27550"/>
      <c r="N27550"/>
      <c r="O27550" s="24"/>
      <c r="P27550"/>
      <c r="Q27550" s="24"/>
      <c r="R27550"/>
      <c r="S27550"/>
      <c r="T27550"/>
      <c r="U27550"/>
      <c r="X27550" s="60"/>
    </row>
    <row r="27551" spans="7:24" ht="15" customHeight="1">
      <c r="G27551"/>
      <c r="I27551"/>
      <c r="N27551"/>
      <c r="O27551" s="24"/>
      <c r="P27551"/>
      <c r="Q27551" s="24"/>
      <c r="R27551"/>
      <c r="S27551"/>
      <c r="T27551"/>
      <c r="U27551"/>
      <c r="X27551" s="60"/>
    </row>
    <row r="27552" spans="7:24" ht="15" customHeight="1">
      <c r="G27552"/>
      <c r="I27552"/>
      <c r="N27552"/>
      <c r="O27552" s="24"/>
      <c r="P27552"/>
      <c r="Q27552" s="24"/>
      <c r="R27552"/>
      <c r="S27552"/>
      <c r="T27552"/>
      <c r="U27552"/>
      <c r="X27552" s="60"/>
    </row>
    <row r="27553" spans="7:24" ht="15" customHeight="1">
      <c r="G27553"/>
      <c r="I27553"/>
      <c r="N27553"/>
      <c r="O27553" s="24"/>
      <c r="P27553"/>
      <c r="Q27553" s="24"/>
      <c r="R27553"/>
      <c r="S27553"/>
      <c r="T27553"/>
      <c r="U27553"/>
      <c r="X27553" s="60"/>
    </row>
    <row r="27554" spans="7:24" ht="15" customHeight="1">
      <c r="G27554"/>
      <c r="I27554"/>
      <c r="N27554"/>
      <c r="O27554" s="24"/>
      <c r="P27554"/>
      <c r="Q27554" s="24"/>
      <c r="R27554"/>
      <c r="S27554"/>
      <c r="T27554"/>
      <c r="U27554"/>
      <c r="X27554" s="60"/>
    </row>
    <row r="27555" spans="7:24" ht="15" customHeight="1">
      <c r="G27555"/>
      <c r="I27555"/>
      <c r="N27555"/>
      <c r="O27555" s="24"/>
      <c r="P27555"/>
      <c r="Q27555" s="24"/>
      <c r="R27555"/>
      <c r="S27555"/>
      <c r="T27555"/>
      <c r="U27555"/>
      <c r="X27555" s="60"/>
    </row>
    <row r="27556" spans="7:24" ht="15" customHeight="1">
      <c r="G27556"/>
      <c r="I27556"/>
      <c r="N27556"/>
      <c r="O27556" s="24"/>
      <c r="P27556"/>
      <c r="Q27556" s="24"/>
      <c r="R27556"/>
      <c r="S27556"/>
      <c r="T27556"/>
      <c r="U27556"/>
      <c r="X27556" s="60"/>
    </row>
    <row r="27557" spans="7:24" ht="15" customHeight="1">
      <c r="G27557"/>
      <c r="I27557"/>
      <c r="N27557"/>
      <c r="O27557" s="24"/>
      <c r="P27557"/>
      <c r="Q27557" s="24"/>
      <c r="R27557"/>
      <c r="S27557"/>
      <c r="T27557"/>
      <c r="U27557"/>
      <c r="X27557" s="60"/>
    </row>
    <row r="27558" spans="7:24" ht="15" customHeight="1">
      <c r="G27558"/>
      <c r="I27558"/>
      <c r="N27558"/>
      <c r="O27558" s="24"/>
      <c r="P27558"/>
      <c r="Q27558" s="24"/>
      <c r="R27558"/>
      <c r="S27558"/>
      <c r="T27558"/>
      <c r="U27558"/>
      <c r="X27558" s="60"/>
    </row>
    <row r="27559" spans="7:24" ht="15" customHeight="1">
      <c r="G27559"/>
      <c r="I27559"/>
      <c r="N27559"/>
      <c r="O27559" s="24"/>
      <c r="P27559"/>
      <c r="Q27559" s="24"/>
      <c r="R27559"/>
      <c r="S27559"/>
      <c r="T27559"/>
      <c r="U27559"/>
      <c r="X27559" s="60"/>
    </row>
    <row r="27560" spans="7:24" ht="15" customHeight="1">
      <c r="G27560"/>
      <c r="I27560"/>
      <c r="N27560"/>
      <c r="O27560" s="24"/>
      <c r="P27560"/>
      <c r="Q27560" s="24"/>
      <c r="R27560"/>
      <c r="S27560"/>
      <c r="T27560"/>
      <c r="U27560"/>
      <c r="X27560" s="60"/>
    </row>
    <row r="27561" spans="7:24" ht="15" customHeight="1">
      <c r="G27561"/>
      <c r="I27561"/>
      <c r="N27561"/>
      <c r="O27561" s="24"/>
      <c r="P27561"/>
      <c r="Q27561" s="24"/>
      <c r="R27561"/>
      <c r="S27561"/>
      <c r="T27561"/>
      <c r="U27561"/>
      <c r="X27561" s="60"/>
    </row>
    <row r="27562" spans="7:24" ht="15" customHeight="1">
      <c r="G27562"/>
      <c r="I27562"/>
      <c r="N27562"/>
      <c r="O27562" s="24"/>
      <c r="P27562"/>
      <c r="Q27562" s="24"/>
      <c r="R27562"/>
      <c r="S27562"/>
      <c r="T27562"/>
      <c r="U27562"/>
      <c r="X27562" s="60"/>
    </row>
    <row r="27563" spans="7:24" ht="15" customHeight="1">
      <c r="G27563"/>
      <c r="I27563"/>
      <c r="N27563"/>
      <c r="O27563" s="24"/>
      <c r="P27563"/>
      <c r="Q27563" s="24"/>
      <c r="R27563"/>
      <c r="S27563"/>
      <c r="T27563"/>
      <c r="U27563"/>
      <c r="X27563" s="60"/>
    </row>
    <row r="27564" spans="7:24" ht="15" customHeight="1">
      <c r="G27564"/>
      <c r="I27564"/>
      <c r="N27564"/>
      <c r="O27564" s="24"/>
      <c r="P27564"/>
      <c r="Q27564" s="24"/>
      <c r="R27564"/>
      <c r="S27564"/>
      <c r="T27564"/>
      <c r="U27564"/>
      <c r="X27564" s="60"/>
    </row>
    <row r="27565" spans="7:24" ht="15" customHeight="1">
      <c r="G27565"/>
      <c r="I27565"/>
      <c r="N27565"/>
      <c r="O27565" s="24"/>
      <c r="P27565"/>
      <c r="Q27565" s="24"/>
      <c r="R27565"/>
      <c r="S27565"/>
      <c r="T27565"/>
      <c r="U27565"/>
      <c r="X27565" s="60"/>
    </row>
    <row r="27566" spans="7:24" ht="15" customHeight="1">
      <c r="G27566"/>
      <c r="I27566"/>
      <c r="N27566"/>
      <c r="O27566" s="24"/>
      <c r="P27566"/>
      <c r="Q27566" s="24"/>
      <c r="R27566"/>
      <c r="S27566"/>
      <c r="T27566"/>
      <c r="U27566"/>
      <c r="X27566" s="60"/>
    </row>
    <row r="27567" spans="7:24" ht="15" customHeight="1">
      <c r="G27567"/>
      <c r="I27567"/>
      <c r="N27567"/>
      <c r="O27567" s="24"/>
      <c r="P27567"/>
      <c r="Q27567" s="24"/>
      <c r="R27567"/>
      <c r="S27567"/>
      <c r="T27567"/>
      <c r="U27567"/>
      <c r="X27567" s="60"/>
    </row>
    <row r="27568" spans="7:24" ht="15" customHeight="1">
      <c r="G27568"/>
      <c r="I27568"/>
      <c r="N27568"/>
      <c r="O27568" s="24"/>
      <c r="P27568"/>
      <c r="Q27568" s="24"/>
      <c r="R27568"/>
      <c r="S27568"/>
      <c r="T27568"/>
      <c r="U27568"/>
      <c r="X27568" s="60"/>
    </row>
    <row r="27569" spans="7:24" ht="15" customHeight="1">
      <c r="G27569"/>
      <c r="I27569"/>
      <c r="N27569"/>
      <c r="O27569" s="24"/>
      <c r="P27569"/>
      <c r="Q27569" s="24"/>
      <c r="R27569"/>
      <c r="S27569"/>
      <c r="T27569"/>
      <c r="U27569"/>
      <c r="X27569" s="60"/>
    </row>
    <row r="27570" spans="7:24" ht="15" customHeight="1">
      <c r="G27570"/>
      <c r="I27570"/>
      <c r="N27570"/>
      <c r="O27570" s="24"/>
      <c r="P27570"/>
      <c r="Q27570" s="24"/>
      <c r="R27570"/>
      <c r="S27570"/>
      <c r="T27570"/>
      <c r="U27570"/>
      <c r="X27570" s="60"/>
    </row>
    <row r="27571" spans="7:24" ht="15" customHeight="1">
      <c r="G27571"/>
      <c r="I27571"/>
      <c r="N27571"/>
      <c r="O27571" s="24"/>
      <c r="P27571"/>
      <c r="Q27571" s="24"/>
      <c r="R27571"/>
      <c r="S27571"/>
      <c r="T27571"/>
      <c r="U27571"/>
      <c r="X27571" s="60"/>
    </row>
    <row r="27572" spans="7:24" ht="15" customHeight="1">
      <c r="G27572"/>
      <c r="I27572"/>
      <c r="N27572"/>
      <c r="O27572" s="24"/>
      <c r="P27572"/>
      <c r="Q27572" s="24"/>
      <c r="R27572"/>
      <c r="S27572"/>
      <c r="T27572"/>
      <c r="U27572"/>
      <c r="X27572" s="60"/>
    </row>
    <row r="27573" spans="7:24" ht="15" customHeight="1">
      <c r="G27573"/>
      <c r="I27573"/>
      <c r="N27573"/>
      <c r="O27573" s="24"/>
      <c r="P27573"/>
      <c r="Q27573" s="24"/>
      <c r="R27573"/>
      <c r="S27573"/>
      <c r="T27573"/>
      <c r="U27573"/>
      <c r="X27573" s="60"/>
    </row>
    <row r="27574" spans="7:24" ht="15" customHeight="1">
      <c r="G27574"/>
      <c r="I27574"/>
      <c r="N27574"/>
      <c r="O27574" s="24"/>
      <c r="P27574"/>
      <c r="Q27574" s="24"/>
      <c r="R27574"/>
      <c r="S27574"/>
      <c r="T27574"/>
      <c r="U27574"/>
      <c r="X27574" s="60"/>
    </row>
    <row r="27575" spans="7:24" ht="15" customHeight="1">
      <c r="G27575"/>
      <c r="I27575"/>
      <c r="N27575"/>
      <c r="O27575" s="24"/>
      <c r="P27575"/>
      <c r="Q27575" s="24"/>
      <c r="R27575"/>
      <c r="S27575"/>
      <c r="T27575"/>
      <c r="U27575"/>
      <c r="X27575" s="60"/>
    </row>
    <row r="27576" spans="7:24" ht="15" customHeight="1">
      <c r="G27576"/>
      <c r="I27576"/>
      <c r="N27576"/>
      <c r="O27576" s="24"/>
      <c r="P27576"/>
      <c r="Q27576" s="24"/>
      <c r="R27576"/>
      <c r="S27576"/>
      <c r="T27576"/>
      <c r="U27576"/>
      <c r="X27576" s="60"/>
    </row>
    <row r="27577" spans="7:24" ht="15" customHeight="1">
      <c r="G27577"/>
      <c r="I27577"/>
      <c r="N27577"/>
      <c r="O27577" s="24"/>
      <c r="P27577"/>
      <c r="Q27577" s="24"/>
      <c r="R27577"/>
      <c r="S27577"/>
      <c r="T27577"/>
      <c r="U27577"/>
      <c r="X27577" s="60"/>
    </row>
    <row r="27578" spans="7:24" ht="15" customHeight="1">
      <c r="G27578"/>
      <c r="I27578"/>
      <c r="N27578"/>
      <c r="O27578" s="24"/>
      <c r="P27578"/>
      <c r="Q27578" s="24"/>
      <c r="R27578"/>
      <c r="S27578"/>
      <c r="T27578"/>
      <c r="U27578"/>
      <c r="X27578" s="60"/>
    </row>
    <row r="27579" spans="7:24" ht="15" customHeight="1">
      <c r="G27579"/>
      <c r="I27579"/>
      <c r="N27579"/>
      <c r="O27579" s="24"/>
      <c r="P27579"/>
      <c r="Q27579" s="24"/>
      <c r="R27579"/>
      <c r="S27579"/>
      <c r="T27579"/>
      <c r="U27579"/>
      <c r="X27579" s="60"/>
    </row>
    <row r="27580" spans="7:24" ht="15" customHeight="1">
      <c r="G27580"/>
      <c r="I27580"/>
      <c r="N27580"/>
      <c r="O27580" s="24"/>
      <c r="P27580"/>
      <c r="Q27580" s="24"/>
      <c r="R27580"/>
      <c r="S27580"/>
      <c r="T27580"/>
      <c r="U27580"/>
      <c r="X27580" s="60"/>
    </row>
    <row r="27581" spans="7:24" ht="15" customHeight="1">
      <c r="G27581"/>
      <c r="I27581"/>
      <c r="N27581"/>
      <c r="O27581" s="24"/>
      <c r="P27581"/>
      <c r="Q27581" s="24"/>
      <c r="R27581"/>
      <c r="S27581"/>
      <c r="T27581"/>
      <c r="U27581"/>
      <c r="X27581" s="60"/>
    </row>
    <row r="27582" spans="7:24" ht="15" customHeight="1">
      <c r="G27582"/>
      <c r="I27582"/>
      <c r="N27582"/>
      <c r="O27582" s="24"/>
      <c r="P27582"/>
      <c r="Q27582" s="24"/>
      <c r="R27582"/>
      <c r="S27582"/>
      <c r="T27582"/>
      <c r="U27582"/>
      <c r="X27582" s="60"/>
    </row>
    <row r="27583" spans="7:24" ht="15" customHeight="1">
      <c r="G27583"/>
      <c r="I27583"/>
      <c r="N27583"/>
      <c r="O27583" s="24"/>
      <c r="P27583"/>
      <c r="Q27583" s="24"/>
      <c r="R27583"/>
      <c r="S27583"/>
      <c r="T27583"/>
      <c r="U27583"/>
      <c r="X27583" s="60"/>
    </row>
    <row r="27584" spans="7:24" ht="15" customHeight="1">
      <c r="G27584"/>
      <c r="I27584"/>
      <c r="N27584"/>
      <c r="O27584" s="24"/>
      <c r="P27584"/>
      <c r="Q27584" s="24"/>
      <c r="R27584"/>
      <c r="S27584"/>
      <c r="T27584"/>
      <c r="U27584"/>
      <c r="X27584" s="60"/>
    </row>
    <row r="27585" spans="7:24" ht="15" customHeight="1">
      <c r="G27585"/>
      <c r="I27585"/>
      <c r="N27585"/>
      <c r="O27585" s="24"/>
      <c r="P27585"/>
      <c r="Q27585" s="24"/>
      <c r="R27585"/>
      <c r="S27585"/>
      <c r="T27585"/>
      <c r="U27585"/>
      <c r="X27585" s="60"/>
    </row>
    <row r="27586" spans="7:24" ht="15" customHeight="1">
      <c r="G27586"/>
      <c r="I27586"/>
      <c r="N27586"/>
      <c r="O27586" s="24"/>
      <c r="P27586"/>
      <c r="Q27586" s="24"/>
      <c r="R27586"/>
      <c r="S27586"/>
      <c r="T27586"/>
      <c r="U27586"/>
      <c r="X27586" s="60"/>
    </row>
    <row r="27587" spans="7:24" ht="15" customHeight="1">
      <c r="G27587"/>
      <c r="I27587"/>
      <c r="N27587"/>
      <c r="O27587" s="24"/>
      <c r="P27587"/>
      <c r="Q27587" s="24"/>
      <c r="R27587"/>
      <c r="S27587"/>
      <c r="T27587"/>
      <c r="U27587"/>
      <c r="X27587" s="60"/>
    </row>
    <row r="27588" spans="7:24" ht="15" customHeight="1">
      <c r="G27588"/>
      <c r="I27588"/>
      <c r="N27588"/>
      <c r="O27588" s="24"/>
      <c r="P27588"/>
      <c r="Q27588" s="24"/>
      <c r="R27588"/>
      <c r="S27588"/>
      <c r="T27588"/>
      <c r="U27588"/>
      <c r="X27588" s="60"/>
    </row>
    <row r="27589" spans="7:24" ht="15" customHeight="1">
      <c r="G27589"/>
      <c r="I27589"/>
      <c r="N27589"/>
      <c r="O27589" s="24"/>
      <c r="P27589"/>
      <c r="Q27589" s="24"/>
      <c r="R27589"/>
      <c r="S27589"/>
      <c r="T27589"/>
      <c r="U27589"/>
      <c r="X27589" s="60"/>
    </row>
    <row r="27590" spans="7:24" ht="15" customHeight="1">
      <c r="G27590"/>
      <c r="I27590"/>
      <c r="N27590"/>
      <c r="O27590" s="24"/>
      <c r="P27590"/>
      <c r="Q27590" s="24"/>
      <c r="R27590"/>
      <c r="S27590"/>
      <c r="T27590"/>
      <c r="U27590"/>
      <c r="X27590" s="60"/>
    </row>
    <row r="27591" spans="7:24" ht="15" customHeight="1">
      <c r="G27591"/>
      <c r="I27591"/>
      <c r="N27591"/>
      <c r="O27591" s="24"/>
      <c r="P27591"/>
      <c r="Q27591" s="24"/>
      <c r="R27591"/>
      <c r="S27591"/>
      <c r="T27591"/>
      <c r="U27591"/>
      <c r="X27591" s="60"/>
    </row>
    <row r="27592" spans="7:24" ht="15" customHeight="1">
      <c r="G27592"/>
      <c r="I27592"/>
      <c r="N27592"/>
      <c r="O27592" s="24"/>
      <c r="P27592"/>
      <c r="Q27592" s="24"/>
      <c r="R27592"/>
      <c r="S27592"/>
      <c r="T27592"/>
      <c r="U27592"/>
      <c r="X27592" s="60"/>
    </row>
    <row r="27593" spans="7:24" ht="15" customHeight="1">
      <c r="G27593"/>
      <c r="I27593"/>
      <c r="N27593"/>
      <c r="O27593" s="24"/>
      <c r="P27593"/>
      <c r="Q27593" s="24"/>
      <c r="R27593"/>
      <c r="S27593"/>
      <c r="T27593"/>
      <c r="U27593"/>
      <c r="X27593" s="60"/>
    </row>
    <row r="27594" spans="7:24" ht="15" customHeight="1">
      <c r="G27594"/>
      <c r="I27594"/>
      <c r="N27594"/>
      <c r="O27594" s="24"/>
      <c r="P27594"/>
      <c r="Q27594" s="24"/>
      <c r="R27594"/>
      <c r="S27594"/>
      <c r="T27594"/>
      <c r="U27594"/>
      <c r="X27594" s="60"/>
    </row>
    <row r="27595" spans="7:24" ht="15" customHeight="1">
      <c r="G27595"/>
      <c r="I27595"/>
      <c r="N27595"/>
      <c r="O27595" s="24"/>
      <c r="P27595"/>
      <c r="Q27595" s="24"/>
      <c r="R27595"/>
      <c r="S27595"/>
      <c r="T27595"/>
      <c r="U27595"/>
      <c r="X27595" s="60"/>
    </row>
    <row r="27596" spans="7:24" ht="15" customHeight="1">
      <c r="G27596"/>
      <c r="I27596"/>
      <c r="N27596"/>
      <c r="O27596" s="24"/>
      <c r="P27596"/>
      <c r="Q27596" s="24"/>
      <c r="R27596"/>
      <c r="S27596"/>
      <c r="T27596"/>
      <c r="U27596"/>
      <c r="X27596" s="60"/>
    </row>
    <row r="27597" spans="7:24" ht="15" customHeight="1">
      <c r="G27597"/>
      <c r="I27597"/>
      <c r="N27597"/>
      <c r="O27597" s="24"/>
      <c r="P27597"/>
      <c r="Q27597" s="24"/>
      <c r="R27597"/>
      <c r="S27597"/>
      <c r="T27597"/>
      <c r="U27597"/>
      <c r="X27597" s="60"/>
    </row>
    <row r="27598" spans="7:24" ht="15" customHeight="1">
      <c r="G27598"/>
      <c r="I27598"/>
      <c r="N27598"/>
      <c r="O27598" s="24"/>
      <c r="P27598"/>
      <c r="Q27598" s="24"/>
      <c r="R27598"/>
      <c r="S27598"/>
      <c r="T27598"/>
      <c r="U27598"/>
      <c r="X27598" s="60"/>
    </row>
    <row r="27599" spans="7:24" ht="15" customHeight="1">
      <c r="G27599"/>
      <c r="I27599"/>
      <c r="N27599"/>
      <c r="O27599" s="24"/>
      <c r="P27599"/>
      <c r="Q27599" s="24"/>
      <c r="R27599"/>
      <c r="S27599"/>
      <c r="T27599"/>
      <c r="U27599"/>
      <c r="X27599" s="60"/>
    </row>
    <row r="27600" spans="7:24" ht="15" customHeight="1">
      <c r="G27600"/>
      <c r="I27600"/>
      <c r="N27600"/>
      <c r="O27600" s="24"/>
      <c r="P27600"/>
      <c r="Q27600" s="24"/>
      <c r="R27600"/>
      <c r="S27600"/>
      <c r="T27600"/>
      <c r="U27600"/>
      <c r="X27600" s="60"/>
    </row>
    <row r="27601" spans="7:24" ht="15" customHeight="1">
      <c r="G27601"/>
      <c r="I27601"/>
      <c r="N27601"/>
      <c r="O27601" s="24"/>
      <c r="P27601"/>
      <c r="Q27601" s="24"/>
      <c r="R27601"/>
      <c r="S27601"/>
      <c r="T27601"/>
      <c r="U27601"/>
      <c r="X27601" s="60"/>
    </row>
    <row r="27602" spans="7:24" ht="15" customHeight="1">
      <c r="G27602"/>
      <c r="I27602"/>
      <c r="N27602"/>
      <c r="O27602" s="24"/>
      <c r="P27602"/>
      <c r="Q27602" s="24"/>
      <c r="R27602"/>
      <c r="S27602"/>
      <c r="T27602"/>
      <c r="U27602"/>
      <c r="X27602" s="60"/>
    </row>
    <row r="27603" spans="7:24" ht="15" customHeight="1">
      <c r="G27603"/>
      <c r="I27603"/>
      <c r="N27603"/>
      <c r="O27603" s="24"/>
      <c r="P27603"/>
      <c r="Q27603" s="24"/>
      <c r="R27603"/>
      <c r="S27603"/>
      <c r="T27603"/>
      <c r="U27603"/>
      <c r="X27603" s="60"/>
    </row>
    <row r="27604" spans="7:24" ht="15" customHeight="1">
      <c r="G27604"/>
      <c r="I27604"/>
      <c r="N27604"/>
      <c r="O27604" s="24"/>
      <c r="P27604"/>
      <c r="Q27604" s="24"/>
      <c r="R27604"/>
      <c r="S27604"/>
      <c r="T27604"/>
      <c r="U27604"/>
      <c r="X27604" s="60"/>
    </row>
    <row r="27605" spans="7:24" ht="15" customHeight="1">
      <c r="G27605"/>
      <c r="I27605"/>
      <c r="N27605"/>
      <c r="O27605" s="24"/>
      <c r="P27605"/>
      <c r="Q27605" s="24"/>
      <c r="R27605"/>
      <c r="S27605"/>
      <c r="T27605"/>
      <c r="U27605"/>
      <c r="X27605" s="60"/>
    </row>
    <row r="27606" spans="7:24" ht="15" customHeight="1">
      <c r="G27606"/>
      <c r="I27606"/>
      <c r="N27606"/>
      <c r="O27606" s="24"/>
      <c r="P27606"/>
      <c r="Q27606" s="24"/>
      <c r="R27606"/>
      <c r="S27606"/>
      <c r="T27606"/>
      <c r="U27606"/>
      <c r="X27606" s="60"/>
    </row>
    <row r="27607" spans="7:24" ht="15" customHeight="1">
      <c r="G27607"/>
      <c r="I27607"/>
      <c r="N27607"/>
      <c r="O27607" s="24"/>
      <c r="P27607"/>
      <c r="Q27607" s="24"/>
      <c r="R27607"/>
      <c r="S27607"/>
      <c r="T27607"/>
      <c r="U27607"/>
      <c r="X27607" s="60"/>
    </row>
    <row r="27608" spans="7:24" ht="15" customHeight="1">
      <c r="G27608"/>
      <c r="I27608"/>
      <c r="N27608"/>
      <c r="O27608" s="24"/>
      <c r="P27608"/>
      <c r="Q27608" s="24"/>
      <c r="R27608"/>
      <c r="S27608"/>
      <c r="T27608"/>
      <c r="U27608"/>
      <c r="X27608" s="60"/>
    </row>
    <row r="27609" spans="7:24" ht="15" customHeight="1">
      <c r="G27609"/>
      <c r="I27609"/>
      <c r="N27609"/>
      <c r="O27609" s="24"/>
      <c r="P27609"/>
      <c r="Q27609" s="24"/>
      <c r="R27609"/>
      <c r="S27609"/>
      <c r="T27609"/>
      <c r="U27609"/>
      <c r="X27609" s="60"/>
    </row>
    <row r="27610" spans="7:24" ht="15" customHeight="1">
      <c r="G27610"/>
      <c r="I27610"/>
      <c r="N27610"/>
      <c r="O27610" s="24"/>
      <c r="P27610"/>
      <c r="Q27610" s="24"/>
      <c r="R27610"/>
      <c r="S27610"/>
      <c r="T27610"/>
      <c r="U27610"/>
      <c r="X27610" s="60"/>
    </row>
    <row r="27611" spans="7:24" ht="15" customHeight="1">
      <c r="G27611"/>
      <c r="I27611"/>
      <c r="N27611"/>
      <c r="O27611" s="24"/>
      <c r="P27611"/>
      <c r="Q27611" s="24"/>
      <c r="R27611"/>
      <c r="S27611"/>
      <c r="T27611"/>
      <c r="U27611"/>
      <c r="X27611" s="60"/>
    </row>
    <row r="27612" spans="7:24" ht="15" customHeight="1">
      <c r="G27612"/>
      <c r="I27612"/>
      <c r="N27612"/>
      <c r="O27612" s="24"/>
      <c r="P27612"/>
      <c r="Q27612" s="24"/>
      <c r="R27612"/>
      <c r="S27612"/>
      <c r="T27612"/>
      <c r="U27612"/>
      <c r="X27612" s="60"/>
    </row>
    <row r="27613" spans="7:24" ht="15" customHeight="1">
      <c r="G27613"/>
      <c r="I27613"/>
      <c r="N27613"/>
      <c r="O27613" s="24"/>
      <c r="P27613"/>
      <c r="Q27613" s="24"/>
      <c r="R27613"/>
      <c r="S27613"/>
      <c r="T27613"/>
      <c r="U27613"/>
      <c r="X27613" s="60"/>
    </row>
    <row r="27614" spans="7:24" ht="15" customHeight="1">
      <c r="G27614"/>
      <c r="I27614"/>
      <c r="N27614"/>
      <c r="O27614" s="24"/>
      <c r="P27614"/>
      <c r="Q27614" s="24"/>
      <c r="R27614"/>
      <c r="S27614"/>
      <c r="T27614"/>
      <c r="U27614"/>
      <c r="X27614" s="60"/>
    </row>
    <row r="27615" spans="7:24" ht="15" customHeight="1">
      <c r="G27615"/>
      <c r="I27615"/>
      <c r="N27615"/>
      <c r="O27615" s="24"/>
      <c r="P27615"/>
      <c r="Q27615" s="24"/>
      <c r="R27615"/>
      <c r="S27615"/>
      <c r="T27615"/>
      <c r="U27615"/>
      <c r="X27615" s="60"/>
    </row>
    <row r="27616" spans="7:24" ht="15" customHeight="1">
      <c r="G27616"/>
      <c r="I27616"/>
      <c r="N27616"/>
      <c r="O27616" s="24"/>
      <c r="P27616"/>
      <c r="Q27616" s="24"/>
      <c r="R27616"/>
      <c r="S27616"/>
      <c r="T27616"/>
      <c r="U27616"/>
      <c r="X27616" s="60"/>
    </row>
    <row r="27617" spans="7:24" ht="15" customHeight="1">
      <c r="G27617"/>
      <c r="I27617"/>
      <c r="N27617"/>
      <c r="O27617" s="24"/>
      <c r="P27617"/>
      <c r="Q27617" s="24"/>
      <c r="R27617"/>
      <c r="S27617"/>
      <c r="T27617"/>
      <c r="U27617"/>
      <c r="X27617" s="60"/>
    </row>
    <row r="27618" spans="7:24" ht="15" customHeight="1">
      <c r="G27618"/>
      <c r="I27618"/>
      <c r="N27618"/>
      <c r="O27618" s="24"/>
      <c r="P27618"/>
      <c r="Q27618" s="24"/>
      <c r="R27618"/>
      <c r="S27618"/>
      <c r="T27618"/>
      <c r="U27618"/>
      <c r="X27618" s="60"/>
    </row>
    <row r="27619" spans="7:24" ht="15" customHeight="1">
      <c r="G27619"/>
      <c r="I27619"/>
      <c r="N27619"/>
      <c r="O27619" s="24"/>
      <c r="P27619"/>
      <c r="Q27619" s="24"/>
      <c r="R27619"/>
      <c r="S27619"/>
      <c r="T27619"/>
      <c r="U27619"/>
      <c r="X27619" s="60"/>
    </row>
    <row r="27620" spans="7:24" ht="15" customHeight="1">
      <c r="G27620"/>
      <c r="I27620"/>
      <c r="N27620"/>
      <c r="O27620" s="24"/>
      <c r="P27620"/>
      <c r="Q27620" s="24"/>
      <c r="R27620"/>
      <c r="S27620"/>
      <c r="T27620"/>
      <c r="U27620"/>
      <c r="X27620" s="60"/>
    </row>
    <row r="27621" spans="7:24" ht="15" customHeight="1">
      <c r="G27621"/>
      <c r="I27621"/>
      <c r="N27621"/>
      <c r="O27621" s="24"/>
      <c r="P27621"/>
      <c r="Q27621" s="24"/>
      <c r="R27621"/>
      <c r="S27621"/>
      <c r="T27621"/>
      <c r="U27621"/>
      <c r="X27621" s="60"/>
    </row>
    <row r="27622" spans="7:24" ht="15" customHeight="1">
      <c r="G27622"/>
      <c r="I27622"/>
      <c r="N27622"/>
      <c r="O27622" s="24"/>
      <c r="P27622"/>
      <c r="Q27622" s="24"/>
      <c r="R27622"/>
      <c r="S27622"/>
      <c r="T27622"/>
      <c r="U27622"/>
      <c r="X27622" s="60"/>
    </row>
    <row r="27623" spans="7:24" ht="15" customHeight="1">
      <c r="G27623"/>
      <c r="I27623"/>
      <c r="N27623"/>
      <c r="O27623" s="24"/>
      <c r="P27623"/>
      <c r="Q27623" s="24"/>
      <c r="R27623"/>
      <c r="S27623"/>
      <c r="T27623"/>
      <c r="U27623"/>
      <c r="X27623" s="60"/>
    </row>
    <row r="27624" spans="7:24" ht="15" customHeight="1">
      <c r="G27624"/>
      <c r="I27624"/>
      <c r="N27624"/>
      <c r="O27624" s="24"/>
      <c r="P27624"/>
      <c r="Q27624" s="24"/>
      <c r="R27624"/>
      <c r="S27624"/>
      <c r="T27624"/>
      <c r="U27624"/>
      <c r="X27624" s="60"/>
    </row>
    <row r="27625" spans="7:24" ht="15" customHeight="1">
      <c r="G27625"/>
      <c r="I27625"/>
      <c r="N27625"/>
      <c r="O27625" s="24"/>
      <c r="P27625"/>
      <c r="Q27625" s="24"/>
      <c r="R27625"/>
      <c r="S27625"/>
      <c r="T27625"/>
      <c r="U27625"/>
      <c r="X27625" s="60"/>
    </row>
    <row r="27626" spans="7:24" ht="15" customHeight="1">
      <c r="G27626"/>
      <c r="I27626"/>
      <c r="N27626"/>
      <c r="O27626" s="24"/>
      <c r="P27626"/>
      <c r="Q27626" s="24"/>
      <c r="R27626"/>
      <c r="S27626"/>
      <c r="T27626"/>
      <c r="U27626"/>
      <c r="X27626" s="60"/>
    </row>
    <row r="27627" spans="7:24" ht="15" customHeight="1">
      <c r="G27627"/>
      <c r="I27627"/>
      <c r="N27627"/>
      <c r="O27627" s="24"/>
      <c r="P27627"/>
      <c r="Q27627" s="24"/>
      <c r="R27627"/>
      <c r="S27627"/>
      <c r="T27627"/>
      <c r="U27627"/>
      <c r="X27627" s="60"/>
    </row>
    <row r="27628" spans="7:24" ht="15" customHeight="1">
      <c r="G27628"/>
      <c r="I27628"/>
      <c r="N27628"/>
      <c r="O27628" s="24"/>
      <c r="P27628"/>
      <c r="Q27628" s="24"/>
      <c r="R27628"/>
      <c r="S27628"/>
      <c r="T27628"/>
      <c r="U27628"/>
      <c r="X27628" s="60"/>
    </row>
    <row r="27629" spans="7:24" ht="15" customHeight="1">
      <c r="G27629"/>
      <c r="I27629"/>
      <c r="N27629"/>
      <c r="O27629" s="24"/>
      <c r="P27629"/>
      <c r="Q27629" s="24"/>
      <c r="R27629"/>
      <c r="S27629"/>
      <c r="T27629"/>
      <c r="U27629"/>
      <c r="X27629" s="60"/>
    </row>
    <row r="27630" spans="7:24" ht="15" customHeight="1">
      <c r="G27630"/>
      <c r="I27630"/>
      <c r="N27630"/>
      <c r="O27630" s="24"/>
      <c r="P27630"/>
      <c r="Q27630" s="24"/>
      <c r="R27630"/>
      <c r="S27630"/>
      <c r="T27630"/>
      <c r="U27630"/>
      <c r="X27630" s="60"/>
    </row>
    <row r="27631" spans="7:24" ht="15" customHeight="1">
      <c r="G27631"/>
      <c r="I27631"/>
      <c r="N27631"/>
      <c r="O27631" s="24"/>
      <c r="P27631"/>
      <c r="Q27631" s="24"/>
      <c r="R27631"/>
      <c r="S27631"/>
      <c r="T27631"/>
      <c r="U27631"/>
      <c r="X27631" s="60"/>
    </row>
    <row r="27632" spans="7:24" ht="15" customHeight="1">
      <c r="G27632"/>
      <c r="I27632"/>
      <c r="N27632"/>
      <c r="O27632" s="24"/>
      <c r="P27632"/>
      <c r="Q27632" s="24"/>
      <c r="R27632"/>
      <c r="S27632"/>
      <c r="T27632"/>
      <c r="U27632"/>
      <c r="X27632" s="60"/>
    </row>
    <row r="27633" spans="7:24" ht="15" customHeight="1">
      <c r="G27633"/>
      <c r="I27633"/>
      <c r="N27633"/>
      <c r="O27633" s="24"/>
      <c r="P27633"/>
      <c r="Q27633" s="24"/>
      <c r="R27633"/>
      <c r="S27633"/>
      <c r="T27633"/>
      <c r="U27633"/>
      <c r="X27633" s="60"/>
    </row>
    <row r="27634" spans="7:24" ht="15" customHeight="1">
      <c r="G27634"/>
      <c r="I27634"/>
      <c r="N27634"/>
      <c r="O27634" s="24"/>
      <c r="P27634"/>
      <c r="Q27634" s="24"/>
      <c r="R27634"/>
      <c r="S27634"/>
      <c r="T27634"/>
      <c r="U27634"/>
      <c r="X27634" s="60"/>
    </row>
    <row r="27635" spans="7:24" ht="15" customHeight="1">
      <c r="G27635"/>
      <c r="I27635"/>
      <c r="N27635"/>
      <c r="O27635" s="24"/>
      <c r="P27635"/>
      <c r="Q27635" s="24"/>
      <c r="R27635"/>
      <c r="S27635"/>
      <c r="T27635"/>
      <c r="U27635"/>
      <c r="X27635" s="60"/>
    </row>
    <row r="27636" spans="7:24" ht="15" customHeight="1">
      <c r="G27636"/>
      <c r="I27636"/>
      <c r="N27636"/>
      <c r="O27636" s="24"/>
      <c r="P27636"/>
      <c r="Q27636" s="24"/>
      <c r="R27636"/>
      <c r="S27636"/>
      <c r="T27636"/>
      <c r="U27636"/>
      <c r="X27636" s="60"/>
    </row>
    <row r="27637" spans="7:24" ht="15" customHeight="1">
      <c r="G27637"/>
      <c r="I27637"/>
      <c r="N27637"/>
      <c r="O27637" s="24"/>
      <c r="P27637"/>
      <c r="Q27637" s="24"/>
      <c r="R27637"/>
      <c r="S27637"/>
      <c r="T27637"/>
      <c r="U27637"/>
      <c r="X27637" s="60"/>
    </row>
    <row r="27638" spans="7:24" ht="15" customHeight="1">
      <c r="G27638"/>
      <c r="I27638"/>
      <c r="N27638"/>
      <c r="O27638" s="24"/>
      <c r="P27638"/>
      <c r="Q27638" s="24"/>
      <c r="R27638"/>
      <c r="S27638"/>
      <c r="T27638"/>
      <c r="U27638"/>
      <c r="X27638" s="60"/>
    </row>
    <row r="27639" spans="7:24" ht="15" customHeight="1">
      <c r="G27639"/>
      <c r="I27639"/>
      <c r="N27639"/>
      <c r="O27639" s="24"/>
      <c r="P27639"/>
      <c r="Q27639" s="24"/>
      <c r="R27639"/>
      <c r="S27639"/>
      <c r="T27639"/>
      <c r="U27639"/>
      <c r="X27639" s="60"/>
    </row>
    <row r="27640" spans="7:24" ht="15" customHeight="1">
      <c r="G27640"/>
      <c r="I27640"/>
      <c r="N27640"/>
      <c r="O27640" s="24"/>
      <c r="P27640"/>
      <c r="Q27640" s="24"/>
      <c r="R27640"/>
      <c r="S27640"/>
      <c r="T27640"/>
      <c r="U27640"/>
      <c r="X27640" s="60"/>
    </row>
    <row r="27641" spans="7:24" ht="15" customHeight="1">
      <c r="G27641"/>
      <c r="I27641"/>
      <c r="N27641"/>
      <c r="O27641" s="24"/>
      <c r="P27641"/>
      <c r="Q27641" s="24"/>
      <c r="R27641"/>
      <c r="S27641"/>
      <c r="T27641"/>
      <c r="U27641"/>
      <c r="X27641" s="60"/>
    </row>
    <row r="27642" spans="7:24" ht="15" customHeight="1">
      <c r="G27642"/>
      <c r="I27642"/>
      <c r="N27642"/>
      <c r="O27642" s="24"/>
      <c r="P27642"/>
      <c r="Q27642" s="24"/>
      <c r="R27642"/>
      <c r="S27642"/>
      <c r="T27642"/>
      <c r="U27642"/>
      <c r="X27642" s="60"/>
    </row>
    <row r="27643" spans="7:24" ht="15" customHeight="1">
      <c r="G27643"/>
      <c r="I27643"/>
      <c r="N27643"/>
      <c r="O27643" s="24"/>
      <c r="P27643"/>
      <c r="Q27643" s="24"/>
      <c r="R27643"/>
      <c r="S27643"/>
      <c r="T27643"/>
      <c r="U27643"/>
      <c r="X27643" s="60"/>
    </row>
    <row r="27644" spans="7:24" ht="15" customHeight="1">
      <c r="G27644"/>
      <c r="I27644"/>
      <c r="N27644"/>
      <c r="O27644" s="24"/>
      <c r="P27644"/>
      <c r="Q27644" s="24"/>
      <c r="R27644"/>
      <c r="S27644"/>
      <c r="T27644"/>
      <c r="U27644"/>
      <c r="X27644" s="60"/>
    </row>
    <row r="27645" spans="7:24" ht="15" customHeight="1">
      <c r="G27645"/>
      <c r="I27645"/>
      <c r="N27645"/>
      <c r="O27645" s="24"/>
      <c r="P27645"/>
      <c r="Q27645" s="24"/>
      <c r="R27645"/>
      <c r="S27645"/>
      <c r="T27645"/>
      <c r="U27645"/>
      <c r="X27645" s="60"/>
    </row>
    <row r="27646" spans="7:24" ht="15" customHeight="1">
      <c r="G27646"/>
      <c r="I27646"/>
      <c r="N27646"/>
      <c r="O27646" s="24"/>
      <c r="P27646"/>
      <c r="Q27646" s="24"/>
      <c r="R27646"/>
      <c r="S27646"/>
      <c r="T27646"/>
      <c r="U27646"/>
      <c r="X27646" s="60"/>
    </row>
    <row r="27647" spans="7:24" ht="15" customHeight="1">
      <c r="G27647"/>
      <c r="I27647"/>
      <c r="N27647"/>
      <c r="O27647" s="24"/>
      <c r="P27647"/>
      <c r="Q27647" s="24"/>
      <c r="R27647"/>
      <c r="S27647"/>
      <c r="T27647"/>
      <c r="U27647"/>
      <c r="X27647" s="60"/>
    </row>
    <row r="27648" spans="7:24" ht="15" customHeight="1">
      <c r="G27648"/>
      <c r="I27648"/>
      <c r="N27648"/>
      <c r="O27648" s="24"/>
      <c r="P27648"/>
      <c r="Q27648" s="24"/>
      <c r="R27648"/>
      <c r="S27648"/>
      <c r="T27648"/>
      <c r="U27648"/>
      <c r="X27648" s="60"/>
    </row>
    <row r="27649" spans="7:24" ht="15" customHeight="1">
      <c r="G27649"/>
      <c r="I27649"/>
      <c r="N27649"/>
      <c r="O27649" s="24"/>
      <c r="P27649"/>
      <c r="Q27649" s="24"/>
      <c r="R27649"/>
      <c r="S27649"/>
      <c r="T27649"/>
      <c r="U27649"/>
      <c r="X27649" s="60"/>
    </row>
    <row r="27650" spans="7:24" ht="15" customHeight="1">
      <c r="G27650"/>
      <c r="I27650"/>
      <c r="N27650"/>
      <c r="O27650" s="24"/>
      <c r="P27650"/>
      <c r="Q27650" s="24"/>
      <c r="R27650"/>
      <c r="S27650"/>
      <c r="T27650"/>
      <c r="U27650"/>
      <c r="X27650" s="60"/>
    </row>
    <row r="27651" spans="7:24" ht="15" customHeight="1">
      <c r="G27651"/>
      <c r="I27651"/>
      <c r="N27651"/>
      <c r="O27651" s="24"/>
      <c r="P27651"/>
      <c r="Q27651" s="24"/>
      <c r="R27651"/>
      <c r="S27651"/>
      <c r="T27651"/>
      <c r="U27651"/>
      <c r="X27651" s="60"/>
    </row>
    <row r="27652" spans="7:24" ht="15" customHeight="1">
      <c r="G27652"/>
      <c r="I27652"/>
      <c r="N27652"/>
      <c r="O27652" s="24"/>
      <c r="P27652"/>
      <c r="Q27652" s="24"/>
      <c r="R27652"/>
      <c r="S27652"/>
      <c r="T27652"/>
      <c r="U27652"/>
      <c r="X27652" s="60"/>
    </row>
    <row r="27653" spans="7:24" ht="15" customHeight="1">
      <c r="G27653"/>
      <c r="I27653"/>
      <c r="N27653"/>
      <c r="O27653" s="24"/>
      <c r="P27653"/>
      <c r="Q27653" s="24"/>
      <c r="R27653"/>
      <c r="S27653"/>
      <c r="T27653"/>
      <c r="U27653"/>
      <c r="X27653" s="60"/>
    </row>
    <row r="27654" spans="7:24" ht="15" customHeight="1">
      <c r="G27654"/>
      <c r="I27654"/>
      <c r="N27654"/>
      <c r="O27654" s="24"/>
      <c r="P27654"/>
      <c r="Q27654" s="24"/>
      <c r="R27654"/>
      <c r="S27654"/>
      <c r="T27654"/>
      <c r="U27654"/>
      <c r="X27654" s="60"/>
    </row>
    <row r="27655" spans="7:24" ht="15" customHeight="1">
      <c r="G27655"/>
      <c r="I27655"/>
      <c r="N27655"/>
      <c r="O27655" s="24"/>
      <c r="P27655"/>
      <c r="Q27655" s="24"/>
      <c r="R27655"/>
      <c r="S27655"/>
      <c r="T27655"/>
      <c r="U27655"/>
      <c r="X27655" s="60"/>
    </row>
    <row r="27656" spans="7:24" ht="15" customHeight="1">
      <c r="G27656"/>
      <c r="I27656"/>
      <c r="N27656"/>
      <c r="O27656" s="24"/>
      <c r="P27656"/>
      <c r="Q27656" s="24"/>
      <c r="R27656"/>
      <c r="S27656"/>
      <c r="T27656"/>
      <c r="U27656"/>
      <c r="X27656" s="60"/>
    </row>
    <row r="27657" spans="7:24" ht="15" customHeight="1">
      <c r="G27657"/>
      <c r="I27657"/>
      <c r="N27657"/>
      <c r="O27657" s="24"/>
      <c r="P27657"/>
      <c r="Q27657" s="24"/>
      <c r="R27657"/>
      <c r="S27657"/>
      <c r="T27657"/>
      <c r="U27657"/>
      <c r="X27657" s="60"/>
    </row>
    <row r="27658" spans="7:24" ht="15" customHeight="1">
      <c r="G27658"/>
      <c r="I27658"/>
      <c r="N27658"/>
      <c r="O27658" s="24"/>
      <c r="P27658"/>
      <c r="Q27658" s="24"/>
      <c r="R27658"/>
      <c r="S27658"/>
      <c r="T27658"/>
      <c r="U27658"/>
      <c r="X27658" s="60"/>
    </row>
    <row r="27659" spans="7:24" ht="15" customHeight="1">
      <c r="G27659"/>
      <c r="I27659"/>
      <c r="N27659"/>
      <c r="O27659" s="24"/>
      <c r="P27659"/>
      <c r="Q27659" s="24"/>
      <c r="R27659"/>
      <c r="S27659"/>
      <c r="T27659"/>
      <c r="U27659"/>
      <c r="X27659" s="60"/>
    </row>
    <row r="27660" spans="7:24" ht="15" customHeight="1">
      <c r="G27660"/>
      <c r="I27660"/>
      <c r="N27660"/>
      <c r="O27660" s="24"/>
      <c r="P27660"/>
      <c r="Q27660" s="24"/>
      <c r="R27660"/>
      <c r="S27660"/>
      <c r="T27660"/>
      <c r="U27660"/>
      <c r="X27660" s="60"/>
    </row>
    <row r="27661" spans="7:24" ht="15" customHeight="1">
      <c r="G27661"/>
      <c r="I27661"/>
      <c r="N27661"/>
      <c r="O27661" s="24"/>
      <c r="P27661"/>
      <c r="Q27661" s="24"/>
      <c r="R27661"/>
      <c r="S27661"/>
      <c r="T27661"/>
      <c r="U27661"/>
      <c r="X27661" s="60"/>
    </row>
    <row r="27662" spans="7:24" ht="15" customHeight="1">
      <c r="G27662"/>
      <c r="I27662"/>
      <c r="N27662"/>
      <c r="O27662" s="24"/>
      <c r="P27662"/>
      <c r="Q27662" s="24"/>
      <c r="R27662"/>
      <c r="S27662"/>
      <c r="T27662"/>
      <c r="U27662"/>
      <c r="X27662" s="60"/>
    </row>
    <row r="27663" spans="7:24" ht="15" customHeight="1">
      <c r="G27663"/>
      <c r="I27663"/>
      <c r="N27663"/>
      <c r="O27663" s="24"/>
      <c r="P27663"/>
      <c r="Q27663" s="24"/>
      <c r="R27663"/>
      <c r="S27663"/>
      <c r="T27663"/>
      <c r="U27663"/>
      <c r="X27663" s="60"/>
    </row>
    <row r="27664" spans="7:24" ht="15" customHeight="1">
      <c r="G27664"/>
      <c r="I27664"/>
      <c r="N27664"/>
      <c r="O27664" s="24"/>
      <c r="P27664"/>
      <c r="Q27664" s="24"/>
      <c r="R27664"/>
      <c r="S27664"/>
      <c r="T27664"/>
      <c r="U27664"/>
      <c r="X27664" s="60"/>
    </row>
    <row r="27665" spans="7:24" ht="15" customHeight="1">
      <c r="G27665"/>
      <c r="I27665"/>
      <c r="N27665"/>
      <c r="O27665" s="24"/>
      <c r="P27665"/>
      <c r="Q27665" s="24"/>
      <c r="R27665"/>
      <c r="S27665"/>
      <c r="T27665"/>
      <c r="U27665"/>
      <c r="X27665" s="60"/>
    </row>
    <row r="27666" spans="7:24" ht="15" customHeight="1">
      <c r="G27666"/>
      <c r="I27666"/>
      <c r="N27666"/>
      <c r="O27666" s="24"/>
      <c r="P27666"/>
      <c r="Q27666" s="24"/>
      <c r="R27666"/>
      <c r="S27666"/>
      <c r="T27666"/>
      <c r="U27666"/>
      <c r="X27666" s="60"/>
    </row>
    <row r="27667" spans="7:24" ht="15" customHeight="1">
      <c r="G27667"/>
      <c r="I27667"/>
      <c r="N27667"/>
      <c r="O27667" s="24"/>
      <c r="P27667"/>
      <c r="Q27667" s="24"/>
      <c r="R27667"/>
      <c r="S27667"/>
      <c r="T27667"/>
      <c r="U27667"/>
      <c r="X27667" s="60"/>
    </row>
    <row r="27668" spans="7:24" ht="15" customHeight="1">
      <c r="G27668"/>
      <c r="I27668"/>
      <c r="N27668"/>
      <c r="O27668" s="24"/>
      <c r="P27668"/>
      <c r="Q27668" s="24"/>
      <c r="R27668"/>
      <c r="S27668"/>
      <c r="T27668"/>
      <c r="U27668"/>
      <c r="X27668" s="60"/>
    </row>
    <row r="27669" spans="7:24" ht="15" customHeight="1">
      <c r="G27669"/>
      <c r="I27669"/>
      <c r="N27669"/>
      <c r="O27669" s="24"/>
      <c r="P27669"/>
      <c r="Q27669" s="24"/>
      <c r="R27669"/>
      <c r="S27669"/>
      <c r="T27669"/>
      <c r="U27669"/>
      <c r="X27669" s="60"/>
    </row>
    <row r="27670" spans="7:24" ht="15" customHeight="1">
      <c r="G27670"/>
      <c r="I27670"/>
      <c r="N27670"/>
      <c r="O27670" s="24"/>
      <c r="P27670"/>
      <c r="Q27670" s="24"/>
      <c r="R27670"/>
      <c r="S27670"/>
      <c r="T27670"/>
      <c r="U27670"/>
      <c r="X27670" s="60"/>
    </row>
    <row r="27671" spans="7:24" ht="15" customHeight="1">
      <c r="G27671"/>
      <c r="I27671"/>
      <c r="N27671"/>
      <c r="O27671" s="24"/>
      <c r="P27671"/>
      <c r="Q27671" s="24"/>
      <c r="R27671"/>
      <c r="S27671"/>
      <c r="T27671"/>
      <c r="U27671"/>
      <c r="X27671" s="60"/>
    </row>
    <row r="27672" spans="7:24" ht="15" customHeight="1">
      <c r="G27672"/>
      <c r="I27672"/>
      <c r="N27672"/>
      <c r="O27672" s="24"/>
      <c r="P27672"/>
      <c r="Q27672" s="24"/>
      <c r="R27672"/>
      <c r="S27672"/>
      <c r="T27672"/>
      <c r="U27672"/>
      <c r="X27672" s="60"/>
    </row>
    <row r="27673" spans="7:24" ht="15" customHeight="1">
      <c r="G27673"/>
      <c r="I27673"/>
      <c r="N27673"/>
      <c r="O27673" s="24"/>
      <c r="P27673"/>
      <c r="Q27673" s="24"/>
      <c r="R27673"/>
      <c r="S27673"/>
      <c r="T27673"/>
      <c r="U27673"/>
      <c r="X27673" s="60"/>
    </row>
    <row r="27674" spans="7:24" ht="15" customHeight="1">
      <c r="G27674"/>
      <c r="I27674"/>
      <c r="N27674"/>
      <c r="O27674" s="24"/>
      <c r="P27674"/>
      <c r="Q27674" s="24"/>
      <c r="R27674"/>
      <c r="S27674"/>
      <c r="T27674"/>
      <c r="U27674"/>
      <c r="X27674" s="60"/>
    </row>
    <row r="27675" spans="7:24" ht="15" customHeight="1">
      <c r="G27675"/>
      <c r="I27675"/>
      <c r="N27675"/>
      <c r="O27675" s="24"/>
      <c r="P27675"/>
      <c r="Q27675" s="24"/>
      <c r="R27675"/>
      <c r="S27675"/>
      <c r="T27675"/>
      <c r="U27675"/>
      <c r="X27675" s="60"/>
    </row>
    <row r="27676" spans="7:24" ht="15" customHeight="1">
      <c r="G27676"/>
      <c r="I27676"/>
      <c r="N27676"/>
      <c r="O27676" s="24"/>
      <c r="P27676"/>
      <c r="Q27676" s="24"/>
      <c r="R27676"/>
      <c r="S27676"/>
      <c r="T27676"/>
      <c r="U27676"/>
      <c r="X27676" s="60"/>
    </row>
    <row r="27677" spans="7:24" ht="15" customHeight="1">
      <c r="G27677"/>
      <c r="I27677"/>
      <c r="N27677"/>
      <c r="O27677" s="24"/>
      <c r="P27677"/>
      <c r="Q27677" s="24"/>
      <c r="R27677"/>
      <c r="S27677"/>
      <c r="T27677"/>
      <c r="U27677"/>
      <c r="X27677" s="60"/>
    </row>
    <row r="27678" spans="7:24" ht="15" customHeight="1">
      <c r="G27678"/>
      <c r="I27678"/>
      <c r="N27678"/>
      <c r="O27678" s="24"/>
      <c r="P27678"/>
      <c r="Q27678" s="24"/>
      <c r="R27678"/>
      <c r="S27678"/>
      <c r="T27678"/>
      <c r="U27678"/>
      <c r="X27678" s="60"/>
    </row>
    <row r="27679" spans="7:24" ht="15" customHeight="1">
      <c r="G27679"/>
      <c r="I27679"/>
      <c r="N27679"/>
      <c r="O27679" s="24"/>
      <c r="P27679"/>
      <c r="Q27679" s="24"/>
      <c r="R27679"/>
      <c r="S27679"/>
      <c r="T27679"/>
      <c r="U27679"/>
      <c r="X27679" s="60"/>
    </row>
    <row r="27680" spans="7:24" ht="15" customHeight="1">
      <c r="G27680"/>
      <c r="I27680"/>
      <c r="N27680"/>
      <c r="O27680" s="24"/>
      <c r="P27680"/>
      <c r="Q27680" s="24"/>
      <c r="R27680"/>
      <c r="S27680"/>
      <c r="T27680"/>
      <c r="U27680"/>
      <c r="X27680" s="60"/>
    </row>
    <row r="27681" spans="7:24" ht="15" customHeight="1">
      <c r="G27681"/>
      <c r="I27681"/>
      <c r="N27681"/>
      <c r="O27681" s="24"/>
      <c r="P27681"/>
      <c r="Q27681" s="24"/>
      <c r="R27681"/>
      <c r="S27681"/>
      <c r="T27681"/>
      <c r="U27681"/>
      <c r="X27681" s="60"/>
    </row>
    <row r="27682" spans="7:24" ht="15" customHeight="1">
      <c r="G27682"/>
      <c r="I27682"/>
      <c r="N27682"/>
      <c r="O27682" s="24"/>
      <c r="P27682"/>
      <c r="Q27682" s="24"/>
      <c r="R27682"/>
      <c r="S27682"/>
      <c r="T27682"/>
      <c r="U27682"/>
      <c r="X27682" s="60"/>
    </row>
    <row r="27683" spans="7:24" ht="15" customHeight="1">
      <c r="G27683"/>
      <c r="I27683"/>
      <c r="N27683"/>
      <c r="O27683" s="24"/>
      <c r="P27683"/>
      <c r="Q27683" s="24"/>
      <c r="R27683"/>
      <c r="S27683"/>
      <c r="T27683"/>
      <c r="U27683"/>
      <c r="X27683" s="60"/>
    </row>
    <row r="27684" spans="7:24" ht="15" customHeight="1">
      <c r="G27684"/>
      <c r="I27684"/>
      <c r="N27684"/>
      <c r="O27684" s="24"/>
      <c r="P27684"/>
      <c r="Q27684" s="24"/>
      <c r="R27684"/>
      <c r="S27684"/>
      <c r="T27684"/>
      <c r="U27684"/>
      <c r="X27684" s="60"/>
    </row>
    <row r="27685" spans="7:24" ht="15" customHeight="1">
      <c r="G27685"/>
      <c r="I27685"/>
      <c r="N27685"/>
      <c r="O27685" s="24"/>
      <c r="P27685"/>
      <c r="Q27685" s="24"/>
      <c r="R27685"/>
      <c r="S27685"/>
      <c r="T27685"/>
      <c r="U27685"/>
      <c r="X27685" s="60"/>
    </row>
    <row r="27686" spans="7:24" ht="15" customHeight="1">
      <c r="G27686"/>
      <c r="I27686"/>
      <c r="N27686"/>
      <c r="O27686" s="24"/>
      <c r="P27686"/>
      <c r="Q27686" s="24"/>
      <c r="R27686"/>
      <c r="S27686"/>
      <c r="T27686"/>
      <c r="U27686"/>
      <c r="X27686" s="60"/>
    </row>
    <row r="27687" spans="7:24" ht="15" customHeight="1">
      <c r="G27687"/>
      <c r="I27687"/>
      <c r="N27687"/>
      <c r="O27687" s="24"/>
      <c r="P27687"/>
      <c r="Q27687" s="24"/>
      <c r="R27687"/>
      <c r="S27687"/>
      <c r="T27687"/>
      <c r="U27687"/>
      <c r="X27687" s="60"/>
    </row>
    <row r="27688" spans="7:24" ht="15" customHeight="1">
      <c r="G27688"/>
      <c r="I27688"/>
      <c r="N27688"/>
      <c r="O27688" s="24"/>
      <c r="P27688"/>
      <c r="Q27688" s="24"/>
      <c r="R27688"/>
      <c r="S27688"/>
      <c r="T27688"/>
      <c r="U27688"/>
      <c r="X27688" s="60"/>
    </row>
    <row r="27689" spans="7:24" ht="15" customHeight="1">
      <c r="G27689"/>
      <c r="I27689"/>
      <c r="N27689"/>
      <c r="O27689" s="24"/>
      <c r="P27689"/>
      <c r="Q27689" s="24"/>
      <c r="R27689"/>
      <c r="S27689"/>
      <c r="T27689"/>
      <c r="U27689"/>
      <c r="X27689" s="60"/>
    </row>
    <row r="27690" spans="7:24" ht="15" customHeight="1">
      <c r="G27690"/>
      <c r="I27690"/>
      <c r="N27690"/>
      <c r="O27690" s="24"/>
      <c r="P27690"/>
      <c r="Q27690" s="24"/>
      <c r="R27690"/>
      <c r="S27690"/>
      <c r="T27690"/>
      <c r="U27690"/>
      <c r="X27690" s="60"/>
    </row>
    <row r="27691" spans="7:24" ht="15" customHeight="1">
      <c r="G27691"/>
      <c r="I27691"/>
      <c r="N27691"/>
      <c r="O27691" s="24"/>
      <c r="P27691"/>
      <c r="Q27691" s="24"/>
      <c r="R27691"/>
      <c r="S27691"/>
      <c r="T27691"/>
      <c r="U27691"/>
      <c r="X27691" s="60"/>
    </row>
    <row r="27692" spans="7:24" ht="15" customHeight="1">
      <c r="G27692"/>
      <c r="I27692"/>
      <c r="N27692"/>
      <c r="O27692" s="24"/>
      <c r="P27692"/>
      <c r="Q27692" s="24"/>
      <c r="R27692"/>
      <c r="S27692"/>
      <c r="T27692"/>
      <c r="U27692"/>
      <c r="X27692" s="60"/>
    </row>
    <row r="27693" spans="7:24" ht="15" customHeight="1">
      <c r="G27693"/>
      <c r="I27693"/>
      <c r="N27693"/>
      <c r="O27693" s="24"/>
      <c r="P27693"/>
      <c r="Q27693" s="24"/>
      <c r="R27693"/>
      <c r="S27693"/>
      <c r="T27693"/>
      <c r="U27693"/>
      <c r="X27693" s="60"/>
    </row>
    <row r="27694" spans="7:24" ht="15" customHeight="1">
      <c r="G27694"/>
      <c r="I27694"/>
      <c r="N27694"/>
      <c r="O27694" s="24"/>
      <c r="P27694"/>
      <c r="Q27694" s="24"/>
      <c r="R27694"/>
      <c r="S27694"/>
      <c r="T27694"/>
      <c r="U27694"/>
      <c r="X27694" s="60"/>
    </row>
    <row r="27695" spans="7:24" ht="15" customHeight="1">
      <c r="G27695"/>
      <c r="I27695"/>
      <c r="N27695"/>
      <c r="O27695" s="24"/>
      <c r="P27695"/>
      <c r="Q27695" s="24"/>
      <c r="R27695"/>
      <c r="S27695"/>
      <c r="T27695"/>
      <c r="U27695"/>
      <c r="X27695" s="60"/>
    </row>
    <row r="27696" spans="7:24" ht="15" customHeight="1">
      <c r="G27696"/>
      <c r="I27696"/>
      <c r="N27696"/>
      <c r="O27696" s="24"/>
      <c r="P27696"/>
      <c r="Q27696" s="24"/>
      <c r="R27696"/>
      <c r="S27696"/>
      <c r="T27696"/>
      <c r="U27696"/>
      <c r="X27696" s="60"/>
    </row>
    <row r="27697" spans="7:24" ht="15" customHeight="1">
      <c r="G27697"/>
      <c r="I27697"/>
      <c r="N27697"/>
      <c r="O27697" s="24"/>
      <c r="P27697"/>
      <c r="Q27697" s="24"/>
      <c r="R27697"/>
      <c r="S27697"/>
      <c r="T27697"/>
      <c r="U27697"/>
      <c r="X27697" s="60"/>
    </row>
    <row r="27698" spans="7:24" ht="15" customHeight="1">
      <c r="G27698"/>
      <c r="I27698"/>
      <c r="N27698"/>
      <c r="O27698" s="24"/>
      <c r="P27698"/>
      <c r="Q27698" s="24"/>
      <c r="R27698"/>
      <c r="S27698"/>
      <c r="T27698"/>
      <c r="U27698"/>
      <c r="X27698" s="60"/>
    </row>
    <row r="27699" spans="7:24" ht="15" customHeight="1">
      <c r="G27699"/>
      <c r="I27699"/>
      <c r="N27699"/>
      <c r="O27699" s="24"/>
      <c r="P27699"/>
      <c r="Q27699" s="24"/>
      <c r="R27699"/>
      <c r="S27699"/>
      <c r="T27699"/>
      <c r="U27699"/>
      <c r="X27699" s="60"/>
    </row>
    <row r="27700" spans="7:24" ht="15" customHeight="1">
      <c r="G27700"/>
      <c r="I27700"/>
      <c r="N27700"/>
      <c r="O27700" s="24"/>
      <c r="P27700"/>
      <c r="Q27700" s="24"/>
      <c r="R27700"/>
      <c r="S27700"/>
      <c r="T27700"/>
      <c r="U27700"/>
      <c r="X27700" s="60"/>
    </row>
    <row r="27701" spans="7:24" ht="15" customHeight="1">
      <c r="G27701"/>
      <c r="I27701"/>
      <c r="N27701"/>
      <c r="O27701" s="24"/>
      <c r="P27701"/>
      <c r="Q27701" s="24"/>
      <c r="R27701"/>
      <c r="S27701"/>
      <c r="T27701"/>
      <c r="U27701"/>
      <c r="X27701" s="60"/>
    </row>
    <row r="27702" spans="7:24" ht="15" customHeight="1">
      <c r="G27702"/>
      <c r="I27702"/>
      <c r="N27702"/>
      <c r="O27702" s="24"/>
      <c r="P27702"/>
      <c r="Q27702" s="24"/>
      <c r="R27702"/>
      <c r="S27702"/>
      <c r="T27702"/>
      <c r="U27702"/>
      <c r="X27702" s="60"/>
    </row>
    <row r="27703" spans="7:24" ht="15" customHeight="1">
      <c r="G27703"/>
      <c r="I27703"/>
      <c r="N27703"/>
      <c r="O27703" s="24"/>
      <c r="P27703"/>
      <c r="Q27703" s="24"/>
      <c r="R27703"/>
      <c r="S27703"/>
      <c r="T27703"/>
      <c r="U27703"/>
      <c r="X27703" s="60"/>
    </row>
    <row r="27704" spans="7:24" ht="15" customHeight="1">
      <c r="G27704"/>
      <c r="I27704"/>
      <c r="N27704"/>
      <c r="O27704" s="24"/>
      <c r="P27704"/>
      <c r="Q27704" s="24"/>
      <c r="R27704"/>
      <c r="S27704"/>
      <c r="T27704"/>
      <c r="U27704"/>
      <c r="X27704" s="60"/>
    </row>
    <row r="27705" spans="7:24" ht="15" customHeight="1">
      <c r="G27705"/>
      <c r="I27705"/>
      <c r="N27705"/>
      <c r="O27705" s="24"/>
      <c r="P27705"/>
      <c r="Q27705" s="24"/>
      <c r="R27705"/>
      <c r="S27705"/>
      <c r="T27705"/>
      <c r="U27705"/>
      <c r="X27705" s="60"/>
    </row>
    <row r="27706" spans="7:24" ht="15" customHeight="1">
      <c r="G27706"/>
      <c r="I27706"/>
      <c r="N27706"/>
      <c r="O27706" s="24"/>
      <c r="P27706"/>
      <c r="Q27706" s="24"/>
      <c r="R27706"/>
      <c r="S27706"/>
      <c r="T27706"/>
      <c r="U27706"/>
      <c r="X27706" s="60"/>
    </row>
    <row r="27707" spans="7:24" ht="15" customHeight="1">
      <c r="G27707"/>
      <c r="I27707"/>
      <c r="N27707"/>
      <c r="O27707" s="24"/>
      <c r="P27707"/>
      <c r="Q27707" s="24"/>
      <c r="R27707"/>
      <c r="S27707"/>
      <c r="T27707"/>
      <c r="U27707"/>
      <c r="X27707" s="60"/>
    </row>
    <row r="27708" spans="7:24" ht="15" customHeight="1">
      <c r="G27708"/>
      <c r="I27708"/>
      <c r="N27708"/>
      <c r="O27708" s="24"/>
      <c r="P27708"/>
      <c r="Q27708" s="24"/>
      <c r="R27708"/>
      <c r="S27708"/>
      <c r="T27708"/>
      <c r="U27708"/>
      <c r="X27708" s="60"/>
    </row>
    <row r="27709" spans="7:24" ht="15" customHeight="1">
      <c r="G27709"/>
      <c r="I27709"/>
      <c r="N27709"/>
      <c r="O27709" s="24"/>
      <c r="P27709"/>
      <c r="Q27709" s="24"/>
      <c r="R27709"/>
      <c r="S27709"/>
      <c r="T27709"/>
      <c r="U27709"/>
      <c r="X27709" s="60"/>
    </row>
    <row r="27710" spans="7:24" ht="15" customHeight="1">
      <c r="G27710"/>
      <c r="I27710"/>
      <c r="N27710"/>
      <c r="O27710" s="24"/>
      <c r="P27710"/>
      <c r="Q27710" s="24"/>
      <c r="R27710"/>
      <c r="S27710"/>
      <c r="T27710"/>
      <c r="U27710"/>
      <c r="X27710" s="60"/>
    </row>
    <row r="27711" spans="7:24" ht="15" customHeight="1">
      <c r="G27711"/>
      <c r="I27711"/>
      <c r="N27711"/>
      <c r="O27711" s="24"/>
      <c r="P27711"/>
      <c r="Q27711" s="24"/>
      <c r="R27711"/>
      <c r="S27711"/>
      <c r="T27711"/>
      <c r="U27711"/>
      <c r="X27711" s="60"/>
    </row>
    <row r="27712" spans="7:24" ht="15" customHeight="1">
      <c r="G27712"/>
      <c r="I27712"/>
      <c r="N27712"/>
      <c r="O27712" s="24"/>
      <c r="P27712"/>
      <c r="Q27712" s="24"/>
      <c r="R27712"/>
      <c r="S27712"/>
      <c r="T27712"/>
      <c r="U27712"/>
      <c r="X27712" s="60"/>
    </row>
    <row r="27713" spans="7:24" ht="15" customHeight="1">
      <c r="G27713"/>
      <c r="I27713"/>
      <c r="N27713"/>
      <c r="O27713" s="24"/>
      <c r="P27713"/>
      <c r="Q27713" s="24"/>
      <c r="R27713"/>
      <c r="S27713"/>
      <c r="T27713"/>
      <c r="U27713"/>
      <c r="X27713" s="60"/>
    </row>
    <row r="27714" spans="7:24" ht="15" customHeight="1">
      <c r="G27714"/>
      <c r="I27714"/>
      <c r="N27714"/>
      <c r="O27714" s="24"/>
      <c r="P27714"/>
      <c r="Q27714" s="24"/>
      <c r="R27714"/>
      <c r="S27714"/>
      <c r="T27714"/>
      <c r="U27714"/>
      <c r="X27714" s="60"/>
    </row>
    <row r="27715" spans="7:24" ht="15" customHeight="1">
      <c r="G27715"/>
      <c r="I27715"/>
      <c r="N27715"/>
      <c r="O27715" s="24"/>
      <c r="P27715"/>
      <c r="Q27715" s="24"/>
      <c r="R27715"/>
      <c r="S27715"/>
      <c r="T27715"/>
      <c r="U27715"/>
      <c r="X27715" s="60"/>
    </row>
    <row r="27716" spans="7:24" ht="15" customHeight="1">
      <c r="G27716"/>
      <c r="I27716"/>
      <c r="N27716"/>
      <c r="O27716" s="24"/>
      <c r="P27716"/>
      <c r="Q27716" s="24"/>
      <c r="R27716"/>
      <c r="S27716"/>
      <c r="T27716"/>
      <c r="U27716"/>
      <c r="X27716" s="60"/>
    </row>
    <row r="27717" spans="7:24" ht="15" customHeight="1">
      <c r="G27717"/>
      <c r="I27717"/>
      <c r="N27717"/>
      <c r="O27717" s="24"/>
      <c r="P27717"/>
      <c r="Q27717" s="24"/>
      <c r="R27717"/>
      <c r="S27717"/>
      <c r="T27717"/>
      <c r="U27717"/>
      <c r="X27717" s="60"/>
    </row>
    <row r="27718" spans="7:24" ht="15" customHeight="1">
      <c r="G27718"/>
      <c r="I27718"/>
      <c r="N27718"/>
      <c r="O27718" s="24"/>
      <c r="P27718"/>
      <c r="Q27718" s="24"/>
      <c r="R27718"/>
      <c r="S27718"/>
      <c r="T27718"/>
      <c r="U27718"/>
      <c r="X27718" s="60"/>
    </row>
    <row r="27719" spans="7:24" ht="15" customHeight="1">
      <c r="G27719"/>
      <c r="I27719"/>
      <c r="N27719"/>
      <c r="O27719" s="24"/>
      <c r="P27719"/>
      <c r="Q27719" s="24"/>
      <c r="R27719"/>
      <c r="S27719"/>
      <c r="T27719"/>
      <c r="U27719"/>
      <c r="X27719" s="60"/>
    </row>
    <row r="27720" spans="7:24" ht="15" customHeight="1">
      <c r="G27720"/>
      <c r="I27720"/>
      <c r="N27720"/>
      <c r="O27720" s="24"/>
      <c r="P27720"/>
      <c r="Q27720" s="24"/>
      <c r="R27720"/>
      <c r="S27720"/>
      <c r="T27720"/>
      <c r="U27720"/>
      <c r="X27720" s="60"/>
    </row>
    <row r="27721" spans="7:24" ht="15" customHeight="1">
      <c r="G27721"/>
      <c r="I27721"/>
      <c r="N27721"/>
      <c r="O27721" s="24"/>
      <c r="P27721"/>
      <c r="Q27721" s="24"/>
      <c r="R27721"/>
      <c r="S27721"/>
      <c r="T27721"/>
      <c r="U27721"/>
      <c r="X27721" s="60"/>
    </row>
    <row r="27722" spans="7:24" ht="15" customHeight="1">
      <c r="G27722"/>
      <c r="I27722"/>
      <c r="N27722"/>
      <c r="O27722" s="24"/>
      <c r="P27722"/>
      <c r="Q27722" s="24"/>
      <c r="R27722"/>
      <c r="S27722"/>
      <c r="T27722"/>
      <c r="U27722"/>
      <c r="X27722" s="60"/>
    </row>
    <row r="27723" spans="7:24" ht="15" customHeight="1">
      <c r="G27723"/>
      <c r="I27723"/>
      <c r="N27723"/>
      <c r="O27723" s="24"/>
      <c r="P27723"/>
      <c r="Q27723" s="24"/>
      <c r="R27723"/>
      <c r="S27723"/>
      <c r="T27723"/>
      <c r="U27723"/>
      <c r="X27723" s="60"/>
    </row>
    <row r="27724" spans="7:24" ht="15" customHeight="1">
      <c r="G27724"/>
      <c r="I27724"/>
      <c r="N27724"/>
      <c r="O27724" s="24"/>
      <c r="P27724"/>
      <c r="Q27724" s="24"/>
      <c r="R27724"/>
      <c r="S27724"/>
      <c r="T27724"/>
      <c r="U27724"/>
      <c r="X27724" s="60"/>
    </row>
    <row r="27725" spans="7:24" ht="15" customHeight="1">
      <c r="G27725"/>
      <c r="I27725"/>
      <c r="N27725"/>
      <c r="O27725" s="24"/>
      <c r="P27725"/>
      <c r="Q27725" s="24"/>
      <c r="R27725"/>
      <c r="S27725"/>
      <c r="T27725"/>
      <c r="U27725"/>
      <c r="X27725" s="60"/>
    </row>
    <row r="27726" spans="7:24" ht="15" customHeight="1">
      <c r="G27726"/>
      <c r="I27726"/>
      <c r="N27726"/>
      <c r="O27726" s="24"/>
      <c r="P27726"/>
      <c r="Q27726" s="24"/>
      <c r="R27726"/>
      <c r="S27726"/>
      <c r="T27726"/>
      <c r="U27726"/>
      <c r="X27726" s="60"/>
    </row>
    <row r="27727" spans="7:24" ht="15" customHeight="1">
      <c r="G27727"/>
      <c r="I27727"/>
      <c r="N27727"/>
      <c r="O27727" s="24"/>
      <c r="P27727"/>
      <c r="Q27727" s="24"/>
      <c r="R27727"/>
      <c r="S27727"/>
      <c r="T27727"/>
      <c r="U27727"/>
      <c r="X27727" s="60"/>
    </row>
    <row r="27728" spans="7:24" ht="15" customHeight="1">
      <c r="G27728"/>
      <c r="I27728"/>
      <c r="N27728"/>
      <c r="O27728" s="24"/>
      <c r="P27728"/>
      <c r="Q27728" s="24"/>
      <c r="R27728"/>
      <c r="S27728"/>
      <c r="T27728"/>
      <c r="U27728"/>
      <c r="X27728" s="60"/>
    </row>
    <row r="27729" spans="7:24" ht="15" customHeight="1">
      <c r="G27729"/>
      <c r="I27729"/>
      <c r="N27729"/>
      <c r="O27729" s="24"/>
      <c r="P27729"/>
      <c r="Q27729" s="24"/>
      <c r="R27729"/>
      <c r="S27729"/>
      <c r="T27729"/>
      <c r="U27729"/>
      <c r="X27729" s="60"/>
    </row>
    <row r="27730" spans="7:24" ht="15" customHeight="1">
      <c r="G27730"/>
      <c r="I27730"/>
      <c r="N27730"/>
      <c r="O27730" s="24"/>
      <c r="P27730"/>
      <c r="Q27730" s="24"/>
      <c r="R27730"/>
      <c r="S27730"/>
      <c r="T27730"/>
      <c r="U27730"/>
      <c r="X27730" s="60"/>
    </row>
    <row r="27731" spans="7:24" ht="15" customHeight="1">
      <c r="G27731"/>
      <c r="I27731"/>
      <c r="N27731"/>
      <c r="O27731" s="24"/>
      <c r="P27731"/>
      <c r="Q27731" s="24"/>
      <c r="R27731"/>
      <c r="S27731"/>
      <c r="T27731"/>
      <c r="U27731"/>
      <c r="X27731" s="60"/>
    </row>
    <row r="27732" spans="7:24" ht="15" customHeight="1">
      <c r="G27732"/>
      <c r="I27732"/>
      <c r="N27732"/>
      <c r="O27732" s="24"/>
      <c r="P27732"/>
      <c r="Q27732" s="24"/>
      <c r="R27732"/>
      <c r="S27732"/>
      <c r="T27732"/>
      <c r="U27732"/>
      <c r="X27732" s="60"/>
    </row>
    <row r="27733" spans="7:24" ht="15" customHeight="1">
      <c r="G27733"/>
      <c r="I27733"/>
      <c r="N27733"/>
      <c r="O27733" s="24"/>
      <c r="P27733"/>
      <c r="Q27733" s="24"/>
      <c r="R27733"/>
      <c r="S27733"/>
      <c r="T27733"/>
      <c r="U27733"/>
      <c r="X27733" s="60"/>
    </row>
    <row r="27734" spans="7:24" ht="15" customHeight="1">
      <c r="G27734"/>
      <c r="I27734"/>
      <c r="N27734"/>
      <c r="O27734" s="24"/>
      <c r="P27734"/>
      <c r="Q27734" s="24"/>
      <c r="R27734"/>
      <c r="S27734"/>
      <c r="T27734"/>
      <c r="U27734"/>
      <c r="X27734" s="60"/>
    </row>
    <row r="27735" spans="7:24" ht="15" customHeight="1">
      <c r="G27735"/>
      <c r="I27735"/>
      <c r="N27735"/>
      <c r="O27735" s="24"/>
      <c r="P27735"/>
      <c r="Q27735" s="24"/>
      <c r="R27735"/>
      <c r="S27735"/>
      <c r="T27735"/>
      <c r="U27735"/>
      <c r="X27735" s="60"/>
    </row>
    <row r="27736" spans="7:24" ht="15" customHeight="1">
      <c r="G27736"/>
      <c r="I27736"/>
      <c r="N27736"/>
      <c r="O27736" s="24"/>
      <c r="P27736"/>
      <c r="Q27736" s="24"/>
      <c r="R27736"/>
      <c r="S27736"/>
      <c r="T27736"/>
      <c r="U27736"/>
      <c r="X27736" s="60"/>
    </row>
    <row r="27737" spans="7:24" ht="15" customHeight="1">
      <c r="G27737"/>
      <c r="I27737"/>
      <c r="N27737"/>
      <c r="O27737" s="24"/>
      <c r="P27737"/>
      <c r="Q27737" s="24"/>
      <c r="R27737"/>
      <c r="S27737"/>
      <c r="T27737"/>
      <c r="U27737"/>
      <c r="X27737" s="60"/>
    </row>
    <row r="27738" spans="7:24" ht="15" customHeight="1">
      <c r="G27738"/>
      <c r="I27738"/>
      <c r="N27738"/>
      <c r="O27738" s="24"/>
      <c r="P27738"/>
      <c r="Q27738" s="24"/>
      <c r="R27738"/>
      <c r="S27738"/>
      <c r="T27738"/>
      <c r="U27738"/>
      <c r="X27738" s="60"/>
    </row>
    <row r="27739" spans="7:24" ht="15" customHeight="1">
      <c r="G27739"/>
      <c r="I27739"/>
      <c r="N27739"/>
      <c r="O27739" s="24"/>
      <c r="P27739"/>
      <c r="Q27739" s="24"/>
      <c r="R27739"/>
      <c r="S27739"/>
      <c r="T27739"/>
      <c r="U27739"/>
      <c r="X27739" s="60"/>
    </row>
    <row r="27740" spans="7:24" ht="15" customHeight="1">
      <c r="G27740"/>
      <c r="I27740"/>
      <c r="N27740"/>
      <c r="O27740" s="24"/>
      <c r="P27740"/>
      <c r="Q27740" s="24"/>
      <c r="R27740"/>
      <c r="S27740"/>
      <c r="T27740"/>
      <c r="U27740"/>
      <c r="X27740" s="60"/>
    </row>
    <row r="27741" spans="7:24" ht="15" customHeight="1">
      <c r="G27741"/>
      <c r="I27741"/>
      <c r="N27741"/>
      <c r="O27741" s="24"/>
      <c r="P27741"/>
      <c r="Q27741" s="24"/>
      <c r="R27741"/>
      <c r="S27741"/>
      <c r="T27741"/>
      <c r="U27741"/>
      <c r="X27741" s="60"/>
    </row>
    <row r="27742" spans="7:24" ht="15" customHeight="1">
      <c r="G27742"/>
      <c r="I27742"/>
      <c r="N27742"/>
      <c r="O27742" s="24"/>
      <c r="P27742"/>
      <c r="Q27742" s="24"/>
      <c r="R27742"/>
      <c r="S27742"/>
      <c r="T27742"/>
      <c r="U27742"/>
      <c r="X27742" s="60"/>
    </row>
    <row r="27743" spans="7:24" ht="15" customHeight="1">
      <c r="G27743"/>
      <c r="I27743"/>
      <c r="N27743"/>
      <c r="O27743" s="24"/>
      <c r="P27743"/>
      <c r="Q27743" s="24"/>
      <c r="R27743"/>
      <c r="S27743"/>
      <c r="T27743"/>
      <c r="U27743"/>
      <c r="X27743" s="60"/>
    </row>
    <row r="27744" spans="7:24" ht="15" customHeight="1">
      <c r="G27744"/>
      <c r="I27744"/>
      <c r="N27744"/>
      <c r="O27744" s="24"/>
      <c r="P27744"/>
      <c r="Q27744" s="24"/>
      <c r="R27744"/>
      <c r="S27744"/>
      <c r="T27744"/>
      <c r="U27744"/>
      <c r="X27744" s="60"/>
    </row>
    <row r="27745" spans="7:24" ht="15" customHeight="1">
      <c r="G27745"/>
      <c r="I27745"/>
      <c r="N27745"/>
      <c r="O27745" s="24"/>
      <c r="P27745"/>
      <c r="Q27745" s="24"/>
      <c r="R27745"/>
      <c r="S27745"/>
      <c r="T27745"/>
      <c r="U27745"/>
      <c r="X27745" s="60"/>
    </row>
    <row r="27746" spans="7:24" ht="15" customHeight="1">
      <c r="G27746"/>
      <c r="I27746"/>
      <c r="N27746"/>
      <c r="O27746" s="24"/>
      <c r="P27746"/>
      <c r="Q27746" s="24"/>
      <c r="R27746"/>
      <c r="S27746"/>
      <c r="T27746"/>
      <c r="U27746"/>
      <c r="X27746" s="60"/>
    </row>
    <row r="27747" spans="7:24" ht="15" customHeight="1">
      <c r="G27747"/>
      <c r="I27747"/>
      <c r="N27747"/>
      <c r="O27747" s="24"/>
      <c r="P27747"/>
      <c r="Q27747" s="24"/>
      <c r="R27747"/>
      <c r="S27747"/>
      <c r="T27747"/>
      <c r="U27747"/>
      <c r="X27747" s="60"/>
    </row>
    <row r="27748" spans="7:24" ht="15" customHeight="1">
      <c r="G27748"/>
      <c r="I27748"/>
      <c r="N27748"/>
      <c r="O27748" s="24"/>
      <c r="P27748"/>
      <c r="Q27748" s="24"/>
      <c r="R27748"/>
      <c r="S27748"/>
      <c r="T27748"/>
      <c r="U27748"/>
      <c r="X27748" s="60"/>
    </row>
    <row r="27749" spans="7:24" ht="15" customHeight="1">
      <c r="G27749"/>
      <c r="I27749"/>
      <c r="N27749"/>
      <c r="O27749" s="24"/>
      <c r="P27749"/>
      <c r="Q27749" s="24"/>
      <c r="R27749"/>
      <c r="S27749"/>
      <c r="T27749"/>
      <c r="U27749"/>
      <c r="X27749" s="60"/>
    </row>
    <row r="27750" spans="7:24" ht="15" customHeight="1">
      <c r="G27750"/>
      <c r="I27750"/>
      <c r="N27750"/>
      <c r="O27750" s="24"/>
      <c r="P27750"/>
      <c r="Q27750" s="24"/>
      <c r="R27750"/>
      <c r="S27750"/>
      <c r="T27750"/>
      <c r="U27750"/>
      <c r="X27750" s="60"/>
    </row>
    <row r="27751" spans="7:24" ht="15" customHeight="1">
      <c r="G27751"/>
      <c r="I27751"/>
      <c r="N27751"/>
      <c r="O27751" s="24"/>
      <c r="P27751"/>
      <c r="Q27751" s="24"/>
      <c r="R27751"/>
      <c r="S27751"/>
      <c r="T27751"/>
      <c r="U27751"/>
      <c r="X27751" s="60"/>
    </row>
    <row r="27752" spans="7:24" ht="15" customHeight="1">
      <c r="G27752"/>
      <c r="I27752"/>
      <c r="N27752"/>
      <c r="O27752" s="24"/>
      <c r="P27752"/>
      <c r="Q27752" s="24"/>
      <c r="R27752"/>
      <c r="S27752"/>
      <c r="T27752"/>
      <c r="U27752"/>
      <c r="X27752" s="60"/>
    </row>
    <row r="27753" spans="7:24" ht="15" customHeight="1">
      <c r="G27753"/>
      <c r="I27753"/>
      <c r="N27753"/>
      <c r="O27753" s="24"/>
      <c r="P27753"/>
      <c r="Q27753" s="24"/>
      <c r="R27753"/>
      <c r="S27753"/>
      <c r="T27753"/>
      <c r="U27753"/>
      <c r="X27753" s="60"/>
    </row>
    <row r="27754" spans="7:24" ht="15" customHeight="1">
      <c r="G27754"/>
      <c r="I27754"/>
      <c r="N27754"/>
      <c r="O27754" s="24"/>
      <c r="P27754"/>
      <c r="Q27754" s="24"/>
      <c r="R27754"/>
      <c r="S27754"/>
      <c r="T27754"/>
      <c r="U27754"/>
      <c r="X27754" s="60"/>
    </row>
    <row r="27755" spans="7:24" ht="15" customHeight="1">
      <c r="G27755"/>
      <c r="I27755"/>
      <c r="N27755"/>
      <c r="O27755" s="24"/>
      <c r="P27755"/>
      <c r="Q27755" s="24"/>
      <c r="R27755"/>
      <c r="S27755"/>
      <c r="T27755"/>
      <c r="U27755"/>
      <c r="X27755" s="60"/>
    </row>
    <row r="27756" spans="7:24" ht="15" customHeight="1">
      <c r="G27756"/>
      <c r="I27756"/>
      <c r="N27756"/>
      <c r="O27756" s="24"/>
      <c r="P27756"/>
      <c r="Q27756" s="24"/>
      <c r="R27756"/>
      <c r="S27756"/>
      <c r="T27756"/>
      <c r="U27756"/>
      <c r="X27756" s="60"/>
    </row>
    <row r="27757" spans="7:24" ht="15" customHeight="1">
      <c r="G27757"/>
      <c r="I27757"/>
      <c r="N27757"/>
      <c r="O27757" s="24"/>
      <c r="P27757"/>
      <c r="Q27757" s="24"/>
      <c r="R27757"/>
      <c r="S27757"/>
      <c r="T27757"/>
      <c r="U27757"/>
      <c r="X27757" s="60"/>
    </row>
    <row r="27758" spans="7:24" ht="15" customHeight="1">
      <c r="G27758"/>
      <c r="I27758"/>
      <c r="N27758"/>
      <c r="O27758" s="24"/>
      <c r="P27758"/>
      <c r="Q27758" s="24"/>
      <c r="R27758"/>
      <c r="S27758"/>
      <c r="T27758"/>
      <c r="U27758"/>
      <c r="X27758" s="60"/>
    </row>
    <row r="27759" spans="7:24" ht="15" customHeight="1">
      <c r="G27759"/>
      <c r="I27759"/>
      <c r="N27759"/>
      <c r="O27759" s="24"/>
      <c r="P27759"/>
      <c r="Q27759" s="24"/>
      <c r="R27759"/>
      <c r="S27759"/>
      <c r="T27759"/>
      <c r="U27759"/>
      <c r="X27759" s="60"/>
    </row>
    <row r="27760" spans="7:24" ht="15" customHeight="1">
      <c r="G27760"/>
      <c r="I27760"/>
      <c r="N27760"/>
      <c r="O27760" s="24"/>
      <c r="P27760"/>
      <c r="Q27760" s="24"/>
      <c r="R27760"/>
      <c r="S27760"/>
      <c r="T27760"/>
      <c r="U27760"/>
      <c r="X27760" s="60"/>
    </row>
    <row r="27761" spans="7:24" ht="15" customHeight="1">
      <c r="G27761"/>
      <c r="I27761"/>
      <c r="N27761"/>
      <c r="O27761" s="24"/>
      <c r="P27761"/>
      <c r="Q27761" s="24"/>
      <c r="R27761"/>
      <c r="S27761"/>
      <c r="T27761"/>
      <c r="U27761"/>
      <c r="X27761" s="60"/>
    </row>
    <row r="27762" spans="7:24" ht="15" customHeight="1">
      <c r="G27762"/>
      <c r="I27762"/>
      <c r="N27762"/>
      <c r="O27762" s="24"/>
      <c r="P27762"/>
      <c r="Q27762" s="24"/>
      <c r="R27762"/>
      <c r="S27762"/>
      <c r="T27762"/>
      <c r="U27762"/>
      <c r="X27762" s="60"/>
    </row>
    <row r="27763" spans="7:24" ht="15" customHeight="1">
      <c r="G27763"/>
      <c r="I27763"/>
      <c r="N27763"/>
      <c r="O27763" s="24"/>
      <c r="P27763"/>
      <c r="Q27763" s="24"/>
      <c r="R27763"/>
      <c r="S27763"/>
      <c r="T27763"/>
      <c r="U27763"/>
      <c r="X27763" s="60"/>
    </row>
    <row r="27764" spans="7:24" ht="15" customHeight="1">
      <c r="G27764"/>
      <c r="I27764"/>
      <c r="N27764"/>
      <c r="O27764" s="24"/>
      <c r="P27764"/>
      <c r="Q27764" s="24"/>
      <c r="R27764"/>
      <c r="S27764"/>
      <c r="T27764"/>
      <c r="U27764"/>
      <c r="X27764" s="60"/>
    </row>
    <row r="27765" spans="7:24" ht="15" customHeight="1">
      <c r="G27765"/>
      <c r="I27765"/>
      <c r="N27765"/>
      <c r="O27765" s="24"/>
      <c r="P27765"/>
      <c r="Q27765" s="24"/>
      <c r="R27765"/>
      <c r="S27765"/>
      <c r="T27765"/>
      <c r="U27765"/>
      <c r="X27765" s="60"/>
    </row>
    <row r="27766" spans="7:24" ht="15" customHeight="1">
      <c r="G27766"/>
      <c r="I27766"/>
      <c r="N27766"/>
      <c r="O27766" s="24"/>
      <c r="P27766"/>
      <c r="Q27766" s="24"/>
      <c r="R27766"/>
      <c r="S27766"/>
      <c r="T27766"/>
      <c r="U27766"/>
      <c r="X27766" s="60"/>
    </row>
    <row r="27767" spans="7:24" ht="15" customHeight="1">
      <c r="G27767"/>
      <c r="I27767"/>
      <c r="N27767"/>
      <c r="O27767" s="24"/>
      <c r="P27767"/>
      <c r="Q27767" s="24"/>
      <c r="R27767"/>
      <c r="S27767"/>
      <c r="T27767"/>
      <c r="U27767"/>
      <c r="X27767" s="60"/>
    </row>
    <row r="27768" spans="7:24" ht="15" customHeight="1">
      <c r="G27768"/>
      <c r="I27768"/>
      <c r="N27768"/>
      <c r="O27768" s="24"/>
      <c r="P27768"/>
      <c r="Q27768" s="24"/>
      <c r="R27768"/>
      <c r="S27768"/>
      <c r="T27768"/>
      <c r="U27768"/>
      <c r="X27768" s="60"/>
    </row>
    <row r="27769" spans="7:24" ht="15" customHeight="1">
      <c r="G27769"/>
      <c r="I27769"/>
      <c r="N27769"/>
      <c r="O27769" s="24"/>
      <c r="P27769"/>
      <c r="Q27769" s="24"/>
      <c r="R27769"/>
      <c r="S27769"/>
      <c r="T27769"/>
      <c r="U27769"/>
      <c r="X27769" s="60"/>
    </row>
    <row r="27770" spans="7:24" ht="15" customHeight="1">
      <c r="G27770"/>
      <c r="I27770"/>
      <c r="N27770"/>
      <c r="O27770" s="24"/>
      <c r="P27770"/>
      <c r="Q27770" s="24"/>
      <c r="R27770"/>
      <c r="S27770"/>
      <c r="T27770"/>
      <c r="U27770"/>
      <c r="X27770" s="60"/>
    </row>
    <row r="27771" spans="7:24" ht="15" customHeight="1">
      <c r="G27771"/>
      <c r="I27771"/>
      <c r="N27771"/>
      <c r="O27771" s="24"/>
      <c r="P27771"/>
      <c r="Q27771" s="24"/>
      <c r="R27771"/>
      <c r="S27771"/>
      <c r="T27771"/>
      <c r="U27771"/>
      <c r="X27771" s="60"/>
    </row>
    <row r="27772" spans="7:24" ht="15" customHeight="1">
      <c r="G27772"/>
      <c r="I27772"/>
      <c r="N27772"/>
      <c r="O27772" s="24"/>
      <c r="P27772"/>
      <c r="Q27772" s="24"/>
      <c r="R27772"/>
      <c r="S27772"/>
      <c r="T27772"/>
      <c r="U27772"/>
      <c r="X27772" s="60"/>
    </row>
    <row r="27773" spans="7:24" ht="15" customHeight="1">
      <c r="G27773"/>
      <c r="I27773"/>
      <c r="N27773"/>
      <c r="O27773" s="24"/>
      <c r="P27773"/>
      <c r="Q27773" s="24"/>
      <c r="R27773"/>
      <c r="S27773"/>
      <c r="T27773"/>
      <c r="U27773"/>
      <c r="X27773" s="60"/>
    </row>
    <row r="27774" spans="7:24" ht="15" customHeight="1">
      <c r="G27774"/>
      <c r="I27774"/>
      <c r="N27774"/>
      <c r="O27774" s="24"/>
      <c r="P27774"/>
      <c r="Q27774" s="24"/>
      <c r="R27774"/>
      <c r="S27774"/>
      <c r="T27774"/>
      <c r="U27774"/>
      <c r="X27774" s="60"/>
    </row>
    <row r="27775" spans="7:24" ht="15" customHeight="1">
      <c r="G27775"/>
      <c r="I27775"/>
      <c r="N27775"/>
      <c r="O27775" s="24"/>
      <c r="P27775"/>
      <c r="Q27775" s="24"/>
      <c r="R27775"/>
      <c r="S27775"/>
      <c r="T27775"/>
      <c r="U27775"/>
      <c r="X27775" s="60"/>
    </row>
    <row r="27776" spans="7:24" ht="15" customHeight="1">
      <c r="G27776"/>
      <c r="I27776"/>
      <c r="N27776"/>
      <c r="O27776" s="24"/>
      <c r="P27776"/>
      <c r="Q27776" s="24"/>
      <c r="R27776"/>
      <c r="S27776"/>
      <c r="T27776"/>
      <c r="U27776"/>
      <c r="X27776" s="60"/>
    </row>
    <row r="27777" spans="7:24" ht="15" customHeight="1">
      <c r="G27777"/>
      <c r="I27777"/>
      <c r="N27777"/>
      <c r="O27777" s="24"/>
      <c r="P27777"/>
      <c r="Q27777" s="24"/>
      <c r="R27777"/>
      <c r="S27777"/>
      <c r="T27777"/>
      <c r="U27777"/>
      <c r="X27777" s="60"/>
    </row>
    <row r="27778" spans="7:24" ht="15" customHeight="1">
      <c r="G27778"/>
      <c r="I27778"/>
      <c r="N27778"/>
      <c r="O27778" s="24"/>
      <c r="P27778"/>
      <c r="Q27778" s="24"/>
      <c r="R27778"/>
      <c r="S27778"/>
      <c r="T27778"/>
      <c r="U27778"/>
      <c r="X27778" s="60"/>
    </row>
    <row r="27779" spans="7:24" ht="15" customHeight="1">
      <c r="G27779"/>
      <c r="I27779"/>
      <c r="N27779"/>
      <c r="O27779" s="24"/>
      <c r="P27779"/>
      <c r="Q27779" s="24"/>
      <c r="R27779"/>
      <c r="S27779"/>
      <c r="T27779"/>
      <c r="U27779"/>
      <c r="X27779" s="60"/>
    </row>
    <row r="27780" spans="7:24" ht="15" customHeight="1">
      <c r="G27780"/>
      <c r="I27780"/>
      <c r="N27780"/>
      <c r="O27780" s="24"/>
      <c r="P27780"/>
      <c r="Q27780" s="24"/>
      <c r="R27780"/>
      <c r="S27780"/>
      <c r="T27780"/>
      <c r="U27780"/>
      <c r="X27780" s="60"/>
    </row>
    <row r="27781" spans="7:24" ht="15" customHeight="1">
      <c r="G27781"/>
      <c r="I27781"/>
      <c r="N27781"/>
      <c r="O27781" s="24"/>
      <c r="P27781"/>
      <c r="Q27781" s="24"/>
      <c r="R27781"/>
      <c r="S27781"/>
      <c r="T27781"/>
      <c r="U27781"/>
      <c r="X27781" s="60"/>
    </row>
    <row r="27782" spans="7:24" ht="15" customHeight="1">
      <c r="G27782"/>
      <c r="I27782"/>
      <c r="N27782"/>
      <c r="O27782" s="24"/>
      <c r="P27782"/>
      <c r="Q27782" s="24"/>
      <c r="R27782"/>
      <c r="S27782"/>
      <c r="T27782"/>
      <c r="U27782"/>
      <c r="X27782" s="60"/>
    </row>
    <row r="27783" spans="7:24" ht="15" customHeight="1">
      <c r="G27783"/>
      <c r="I27783"/>
      <c r="N27783"/>
      <c r="O27783" s="24"/>
      <c r="P27783"/>
      <c r="Q27783" s="24"/>
      <c r="R27783"/>
      <c r="S27783"/>
      <c r="T27783"/>
      <c r="U27783"/>
      <c r="X27783" s="60"/>
    </row>
    <row r="27784" spans="7:24" ht="15" customHeight="1">
      <c r="G27784"/>
      <c r="I27784"/>
      <c r="N27784"/>
      <c r="O27784" s="24"/>
      <c r="P27784"/>
      <c r="Q27784" s="24"/>
      <c r="R27784"/>
      <c r="S27784"/>
      <c r="T27784"/>
      <c r="U27784"/>
      <c r="X27784" s="60"/>
    </row>
    <row r="27785" spans="7:24" ht="15" customHeight="1">
      <c r="G27785"/>
      <c r="I27785"/>
      <c r="N27785"/>
      <c r="O27785" s="24"/>
      <c r="P27785"/>
      <c r="Q27785" s="24"/>
      <c r="R27785"/>
      <c r="S27785"/>
      <c r="T27785"/>
      <c r="U27785"/>
      <c r="X27785" s="60"/>
    </row>
    <row r="27786" spans="7:24" ht="15" customHeight="1">
      <c r="G27786"/>
      <c r="I27786"/>
      <c r="N27786"/>
      <c r="O27786" s="24"/>
      <c r="P27786"/>
      <c r="Q27786" s="24"/>
      <c r="R27786"/>
      <c r="S27786"/>
      <c r="T27786"/>
      <c r="U27786"/>
      <c r="X27786" s="60"/>
    </row>
    <row r="27787" spans="7:24" ht="15" customHeight="1">
      <c r="G27787"/>
      <c r="I27787"/>
      <c r="N27787"/>
      <c r="O27787" s="24"/>
      <c r="P27787"/>
      <c r="Q27787" s="24"/>
      <c r="R27787"/>
      <c r="S27787"/>
      <c r="T27787"/>
      <c r="U27787"/>
      <c r="X27787" s="60"/>
    </row>
    <row r="27788" spans="7:24" ht="15" customHeight="1">
      <c r="G27788"/>
      <c r="I27788"/>
      <c r="N27788"/>
      <c r="O27788" s="24"/>
      <c r="P27788"/>
      <c r="Q27788" s="24"/>
      <c r="R27788"/>
      <c r="S27788"/>
      <c r="T27788"/>
      <c r="U27788"/>
      <c r="X27788" s="60"/>
    </row>
    <row r="27789" spans="7:24" ht="15" customHeight="1">
      <c r="G27789"/>
      <c r="I27789"/>
      <c r="N27789"/>
      <c r="O27789" s="24"/>
      <c r="P27789"/>
      <c r="Q27789" s="24"/>
      <c r="R27789"/>
      <c r="S27789"/>
      <c r="T27789"/>
      <c r="U27789"/>
      <c r="X27789" s="60"/>
    </row>
    <row r="27790" spans="7:24" ht="15" customHeight="1">
      <c r="G27790"/>
      <c r="I27790"/>
      <c r="N27790"/>
      <c r="O27790" s="24"/>
      <c r="P27790"/>
      <c r="Q27790" s="24"/>
      <c r="R27790"/>
      <c r="S27790"/>
      <c r="T27790"/>
      <c r="U27790"/>
      <c r="X27790" s="60"/>
    </row>
    <row r="27791" spans="7:24" ht="15" customHeight="1">
      <c r="G27791"/>
      <c r="I27791"/>
      <c r="N27791"/>
      <c r="O27791" s="24"/>
      <c r="P27791"/>
      <c r="Q27791" s="24"/>
      <c r="R27791"/>
      <c r="S27791"/>
      <c r="T27791"/>
      <c r="U27791"/>
      <c r="X27791" s="60"/>
    </row>
    <row r="27792" spans="7:24" ht="15" customHeight="1">
      <c r="G27792"/>
      <c r="I27792"/>
      <c r="N27792"/>
      <c r="O27792" s="24"/>
      <c r="P27792"/>
      <c r="Q27792" s="24"/>
      <c r="R27792"/>
      <c r="S27792"/>
      <c r="T27792"/>
      <c r="U27792"/>
      <c r="X27792" s="60"/>
    </row>
    <row r="27793" spans="7:24" ht="15" customHeight="1">
      <c r="G27793"/>
      <c r="I27793"/>
      <c r="N27793"/>
      <c r="O27793" s="24"/>
      <c r="P27793"/>
      <c r="Q27793" s="24"/>
      <c r="R27793"/>
      <c r="S27793"/>
      <c r="T27793"/>
      <c r="U27793"/>
      <c r="X27793" s="60"/>
    </row>
    <row r="27794" spans="7:24" ht="15" customHeight="1">
      <c r="G27794"/>
      <c r="I27794"/>
      <c r="N27794"/>
      <c r="O27794" s="24"/>
      <c r="P27794"/>
      <c r="Q27794" s="24"/>
      <c r="R27794"/>
      <c r="S27794"/>
      <c r="T27794"/>
      <c r="U27794"/>
      <c r="X27794" s="60"/>
    </row>
    <row r="27795" spans="7:24" ht="15" customHeight="1">
      <c r="G27795"/>
      <c r="I27795"/>
      <c r="N27795"/>
      <c r="O27795" s="24"/>
      <c r="P27795"/>
      <c r="Q27795" s="24"/>
      <c r="R27795"/>
      <c r="S27795"/>
      <c r="T27795"/>
      <c r="U27795"/>
      <c r="X27795" s="60"/>
    </row>
    <row r="27796" spans="7:24" ht="15" customHeight="1">
      <c r="G27796"/>
      <c r="I27796"/>
      <c r="N27796"/>
      <c r="O27796" s="24"/>
      <c r="P27796"/>
      <c r="Q27796" s="24"/>
      <c r="R27796"/>
      <c r="S27796"/>
      <c r="T27796"/>
      <c r="U27796"/>
      <c r="X27796" s="60"/>
    </row>
    <row r="27797" spans="7:24" ht="15" customHeight="1">
      <c r="G27797"/>
      <c r="I27797"/>
      <c r="N27797"/>
      <c r="O27797" s="24"/>
      <c r="P27797"/>
      <c r="Q27797" s="24"/>
      <c r="R27797"/>
      <c r="S27797"/>
      <c r="T27797"/>
      <c r="U27797"/>
      <c r="X27797" s="60"/>
    </row>
    <row r="27798" spans="7:24" ht="15" customHeight="1">
      <c r="G27798"/>
      <c r="I27798"/>
      <c r="N27798"/>
      <c r="O27798" s="24"/>
      <c r="P27798"/>
      <c r="Q27798" s="24"/>
      <c r="R27798"/>
      <c r="S27798"/>
      <c r="T27798"/>
      <c r="U27798"/>
      <c r="X27798" s="60"/>
    </row>
    <row r="27799" spans="7:24" ht="15" customHeight="1">
      <c r="G27799"/>
      <c r="I27799"/>
      <c r="N27799"/>
      <c r="O27799" s="24"/>
      <c r="P27799"/>
      <c r="Q27799" s="24"/>
      <c r="R27799"/>
      <c r="S27799"/>
      <c r="T27799"/>
      <c r="U27799"/>
      <c r="X27799" s="60"/>
    </row>
    <row r="27800" spans="7:24" ht="15" customHeight="1">
      <c r="G27800"/>
      <c r="I27800"/>
      <c r="N27800"/>
      <c r="O27800" s="24"/>
      <c r="P27800"/>
      <c r="Q27800" s="24"/>
      <c r="R27800"/>
      <c r="S27800"/>
      <c r="T27800"/>
      <c r="U27800"/>
      <c r="X27800" s="60"/>
    </row>
    <row r="27801" spans="7:24" ht="15" customHeight="1">
      <c r="G27801"/>
      <c r="I27801"/>
      <c r="N27801"/>
      <c r="O27801" s="24"/>
      <c r="P27801"/>
      <c r="Q27801" s="24"/>
      <c r="R27801"/>
      <c r="S27801"/>
      <c r="T27801"/>
      <c r="U27801"/>
      <c r="X27801" s="60"/>
    </row>
    <row r="27802" spans="7:24" ht="15" customHeight="1">
      <c r="G27802"/>
      <c r="I27802"/>
      <c r="N27802"/>
      <c r="O27802" s="24"/>
      <c r="P27802"/>
      <c r="Q27802" s="24"/>
      <c r="R27802"/>
      <c r="S27802"/>
      <c r="T27802"/>
      <c r="U27802"/>
      <c r="X27802" s="60"/>
    </row>
    <row r="27803" spans="7:24" ht="15" customHeight="1">
      <c r="G27803"/>
      <c r="I27803"/>
      <c r="N27803"/>
      <c r="O27803" s="24"/>
      <c r="P27803"/>
      <c r="Q27803" s="24"/>
      <c r="R27803"/>
      <c r="S27803"/>
      <c r="T27803"/>
      <c r="U27803"/>
      <c r="X27803" s="60"/>
    </row>
    <row r="27804" spans="7:24" ht="15" customHeight="1">
      <c r="G27804"/>
      <c r="I27804"/>
      <c r="N27804"/>
      <c r="O27804" s="24"/>
      <c r="P27804"/>
      <c r="Q27804" s="24"/>
      <c r="R27804"/>
      <c r="S27804"/>
      <c r="T27804"/>
      <c r="U27804"/>
      <c r="X27804" s="60"/>
    </row>
    <row r="27805" spans="7:24" ht="15" customHeight="1">
      <c r="G27805"/>
      <c r="I27805"/>
      <c r="N27805"/>
      <c r="O27805" s="24"/>
      <c r="P27805"/>
      <c r="Q27805" s="24"/>
      <c r="R27805"/>
      <c r="S27805"/>
      <c r="T27805"/>
      <c r="U27805"/>
      <c r="X27805" s="60"/>
    </row>
    <row r="27806" spans="7:24" ht="15" customHeight="1">
      <c r="G27806"/>
      <c r="I27806"/>
      <c r="N27806"/>
      <c r="O27806" s="24"/>
      <c r="P27806"/>
      <c r="Q27806" s="24"/>
      <c r="R27806"/>
      <c r="S27806"/>
      <c r="T27806"/>
      <c r="U27806"/>
      <c r="X27806" s="60"/>
    </row>
    <row r="27807" spans="7:24" ht="15" customHeight="1">
      <c r="G27807"/>
      <c r="I27807"/>
      <c r="N27807"/>
      <c r="O27807" s="24"/>
      <c r="P27807"/>
      <c r="Q27807" s="24"/>
      <c r="R27807"/>
      <c r="S27807"/>
      <c r="T27807"/>
      <c r="U27807"/>
      <c r="X27807" s="60"/>
    </row>
    <row r="27808" spans="7:24" ht="15" customHeight="1">
      <c r="G27808"/>
      <c r="I27808"/>
      <c r="N27808"/>
      <c r="O27808" s="24"/>
      <c r="P27808"/>
      <c r="Q27808" s="24"/>
      <c r="R27808"/>
      <c r="S27808"/>
      <c r="T27808"/>
      <c r="U27808"/>
      <c r="X27808" s="60"/>
    </row>
    <row r="27809" spans="7:24" ht="15" customHeight="1">
      <c r="G27809"/>
      <c r="I27809"/>
      <c r="N27809"/>
      <c r="O27809" s="24"/>
      <c r="P27809"/>
      <c r="Q27809" s="24"/>
      <c r="R27809"/>
      <c r="S27809"/>
      <c r="T27809"/>
      <c r="U27809"/>
      <c r="X27809" s="60"/>
    </row>
    <row r="27810" spans="7:24" ht="15" customHeight="1">
      <c r="G27810"/>
      <c r="I27810"/>
      <c r="N27810"/>
      <c r="O27810" s="24"/>
      <c r="P27810"/>
      <c r="Q27810" s="24"/>
      <c r="R27810"/>
      <c r="S27810"/>
      <c r="T27810"/>
      <c r="U27810"/>
      <c r="X27810" s="60"/>
    </row>
    <row r="27811" spans="7:24" ht="15" customHeight="1">
      <c r="G27811"/>
      <c r="I27811"/>
      <c r="N27811"/>
      <c r="O27811" s="24"/>
      <c r="P27811"/>
      <c r="Q27811" s="24"/>
      <c r="R27811"/>
      <c r="S27811"/>
      <c r="T27811"/>
      <c r="U27811"/>
      <c r="X27811" s="60"/>
    </row>
    <row r="27812" spans="7:24" ht="15" customHeight="1">
      <c r="G27812"/>
      <c r="I27812"/>
      <c r="N27812"/>
      <c r="O27812" s="24"/>
      <c r="P27812"/>
      <c r="Q27812" s="24"/>
      <c r="R27812"/>
      <c r="S27812"/>
      <c r="T27812"/>
      <c r="U27812"/>
      <c r="X27812" s="60"/>
    </row>
    <row r="27813" spans="7:24" ht="15" customHeight="1">
      <c r="G27813"/>
      <c r="I27813"/>
      <c r="N27813"/>
      <c r="O27813" s="24"/>
      <c r="P27813"/>
      <c r="Q27813" s="24"/>
      <c r="R27813"/>
      <c r="S27813"/>
      <c r="T27813"/>
      <c r="U27813"/>
      <c r="X27813" s="60"/>
    </row>
    <row r="27814" spans="7:24" ht="15" customHeight="1">
      <c r="G27814"/>
      <c r="I27814"/>
      <c r="N27814"/>
      <c r="O27814" s="24"/>
      <c r="P27814"/>
      <c r="Q27814" s="24"/>
      <c r="R27814"/>
      <c r="S27814"/>
      <c r="T27814"/>
      <c r="U27814"/>
      <c r="X27814" s="60"/>
    </row>
    <row r="27815" spans="7:24" ht="15" customHeight="1">
      <c r="G27815"/>
      <c r="I27815"/>
      <c r="N27815"/>
      <c r="O27815" s="24"/>
      <c r="P27815"/>
      <c r="Q27815" s="24"/>
      <c r="R27815"/>
      <c r="S27815"/>
      <c r="T27815"/>
      <c r="U27815"/>
      <c r="X27815" s="60"/>
    </row>
    <row r="27816" spans="7:24" ht="15" customHeight="1">
      <c r="G27816"/>
      <c r="I27816"/>
      <c r="N27816"/>
      <c r="O27816" s="24"/>
      <c r="P27816"/>
      <c r="Q27816" s="24"/>
      <c r="R27816"/>
      <c r="S27816"/>
      <c r="T27816"/>
      <c r="U27816"/>
      <c r="X27816" s="60"/>
    </row>
    <row r="27817" spans="7:24" ht="15" customHeight="1">
      <c r="G27817"/>
      <c r="I27817"/>
      <c r="N27817"/>
      <c r="O27817" s="24"/>
      <c r="P27817"/>
      <c r="Q27817" s="24"/>
      <c r="R27817"/>
      <c r="S27817"/>
      <c r="T27817"/>
      <c r="U27817"/>
      <c r="X27817" s="60"/>
    </row>
    <row r="27818" spans="7:24" ht="15" customHeight="1">
      <c r="G27818"/>
      <c r="I27818"/>
      <c r="N27818"/>
      <c r="O27818" s="24"/>
      <c r="P27818"/>
      <c r="Q27818" s="24"/>
      <c r="R27818"/>
      <c r="S27818"/>
      <c r="T27818"/>
      <c r="U27818"/>
      <c r="X27818" s="60"/>
    </row>
    <row r="27819" spans="7:24" ht="15" customHeight="1">
      <c r="G27819"/>
      <c r="I27819"/>
      <c r="N27819"/>
      <c r="O27819" s="24"/>
      <c r="P27819"/>
      <c r="Q27819" s="24"/>
      <c r="R27819"/>
      <c r="S27819"/>
      <c r="T27819"/>
      <c r="U27819"/>
      <c r="X27819" s="60"/>
    </row>
    <row r="27820" spans="7:24" ht="15" customHeight="1">
      <c r="G27820"/>
      <c r="I27820"/>
      <c r="N27820"/>
      <c r="O27820" s="24"/>
      <c r="P27820"/>
      <c r="Q27820" s="24"/>
      <c r="R27820"/>
      <c r="S27820"/>
      <c r="T27820"/>
      <c r="U27820"/>
      <c r="X27820" s="60"/>
    </row>
    <row r="27821" spans="7:24" ht="15" customHeight="1">
      <c r="G27821"/>
      <c r="I27821"/>
      <c r="N27821"/>
      <c r="O27821" s="24"/>
      <c r="P27821"/>
      <c r="Q27821" s="24"/>
      <c r="R27821"/>
      <c r="S27821"/>
      <c r="T27821"/>
      <c r="U27821"/>
      <c r="X27821" s="60"/>
    </row>
    <row r="27822" spans="7:24" ht="15" customHeight="1">
      <c r="G27822"/>
      <c r="I27822"/>
      <c r="N27822"/>
      <c r="O27822" s="24"/>
      <c r="P27822"/>
      <c r="Q27822" s="24"/>
      <c r="R27822"/>
      <c r="S27822"/>
      <c r="T27822"/>
      <c r="U27822"/>
      <c r="X27822" s="60"/>
    </row>
    <row r="27823" spans="7:24" ht="15" customHeight="1">
      <c r="G27823"/>
      <c r="I27823"/>
      <c r="N27823"/>
      <c r="O27823" s="24"/>
      <c r="P27823"/>
      <c r="Q27823" s="24"/>
      <c r="R27823"/>
      <c r="S27823"/>
      <c r="T27823"/>
      <c r="U27823"/>
      <c r="X27823" s="60"/>
    </row>
    <row r="27824" spans="7:24" ht="15" customHeight="1">
      <c r="G27824"/>
      <c r="I27824"/>
      <c r="N27824"/>
      <c r="O27824" s="24"/>
      <c r="P27824"/>
      <c r="Q27824" s="24"/>
      <c r="R27824"/>
      <c r="S27824"/>
      <c r="T27824"/>
      <c r="U27824"/>
      <c r="X27824" s="60"/>
    </row>
    <row r="27825" spans="7:24" ht="15" customHeight="1">
      <c r="G27825"/>
      <c r="I27825"/>
      <c r="N27825"/>
      <c r="O27825" s="24"/>
      <c r="P27825"/>
      <c r="Q27825" s="24"/>
      <c r="R27825"/>
      <c r="S27825"/>
      <c r="T27825"/>
      <c r="U27825"/>
      <c r="X27825" s="60"/>
    </row>
    <row r="27826" spans="7:24" ht="15" customHeight="1">
      <c r="G27826"/>
      <c r="I27826"/>
      <c r="N27826"/>
      <c r="O27826" s="24"/>
      <c r="P27826"/>
      <c r="Q27826" s="24"/>
      <c r="R27826"/>
      <c r="S27826"/>
      <c r="T27826"/>
      <c r="U27826"/>
      <c r="X27826" s="60"/>
    </row>
    <row r="27827" spans="7:24" ht="15" customHeight="1">
      <c r="G27827"/>
      <c r="I27827"/>
      <c r="N27827"/>
      <c r="O27827" s="24"/>
      <c r="P27827"/>
      <c r="Q27827" s="24"/>
      <c r="R27827"/>
      <c r="S27827"/>
      <c r="T27827"/>
      <c r="U27827"/>
      <c r="X27827" s="60"/>
    </row>
    <row r="27828" spans="7:24" ht="15" customHeight="1">
      <c r="G27828"/>
      <c r="I27828"/>
      <c r="N27828"/>
      <c r="O27828" s="24"/>
      <c r="P27828"/>
      <c r="Q27828" s="24"/>
      <c r="R27828"/>
      <c r="S27828"/>
      <c r="T27828"/>
      <c r="U27828"/>
      <c r="X27828" s="60"/>
    </row>
    <row r="27829" spans="7:24" ht="15" customHeight="1">
      <c r="G27829"/>
      <c r="I27829"/>
      <c r="N27829"/>
      <c r="O27829" s="24"/>
      <c r="P27829"/>
      <c r="Q27829" s="24"/>
      <c r="R27829"/>
      <c r="S27829"/>
      <c r="T27829"/>
      <c r="U27829"/>
      <c r="X27829" s="60"/>
    </row>
    <row r="27830" spans="7:24" ht="15" customHeight="1">
      <c r="G27830"/>
      <c r="I27830"/>
      <c r="N27830"/>
      <c r="O27830" s="24"/>
      <c r="P27830"/>
      <c r="Q27830" s="24"/>
      <c r="R27830"/>
      <c r="S27830"/>
      <c r="T27830"/>
      <c r="U27830"/>
      <c r="X27830" s="60"/>
    </row>
    <row r="27831" spans="7:24" ht="15" customHeight="1">
      <c r="G27831"/>
      <c r="I27831"/>
      <c r="N27831"/>
      <c r="O27831" s="24"/>
      <c r="P27831"/>
      <c r="Q27831" s="24"/>
      <c r="R27831"/>
      <c r="S27831"/>
      <c r="T27831"/>
      <c r="U27831"/>
      <c r="X27831" s="60"/>
    </row>
    <row r="27832" spans="7:24" ht="15" customHeight="1">
      <c r="G27832"/>
      <c r="I27832"/>
      <c r="N27832"/>
      <c r="O27832" s="24"/>
      <c r="P27832"/>
      <c r="Q27832" s="24"/>
      <c r="R27832"/>
      <c r="S27832"/>
      <c r="T27832"/>
      <c r="U27832"/>
      <c r="X27832" s="60"/>
    </row>
    <row r="27833" spans="7:24" ht="15" customHeight="1">
      <c r="G27833"/>
      <c r="I27833"/>
      <c r="N27833"/>
      <c r="O27833" s="24"/>
      <c r="P27833"/>
      <c r="Q27833" s="24"/>
      <c r="R27833"/>
      <c r="S27833"/>
      <c r="T27833"/>
      <c r="U27833"/>
      <c r="X27833" s="60"/>
    </row>
    <row r="27834" spans="7:24" ht="15" customHeight="1">
      <c r="G27834"/>
      <c r="I27834"/>
      <c r="N27834"/>
      <c r="O27834" s="24"/>
      <c r="P27834"/>
      <c r="Q27834" s="24"/>
      <c r="R27834"/>
      <c r="S27834"/>
      <c r="T27834"/>
      <c r="U27834"/>
      <c r="X27834" s="60"/>
    </row>
    <row r="27835" spans="7:24" ht="15" customHeight="1">
      <c r="G27835"/>
      <c r="I27835"/>
      <c r="N27835"/>
      <c r="O27835" s="24"/>
      <c r="P27835"/>
      <c r="Q27835" s="24"/>
      <c r="R27835"/>
      <c r="S27835"/>
      <c r="T27835"/>
      <c r="U27835"/>
      <c r="X27835" s="60"/>
    </row>
    <row r="27836" spans="7:24" ht="15" customHeight="1">
      <c r="G27836"/>
      <c r="I27836"/>
      <c r="N27836"/>
      <c r="O27836" s="24"/>
      <c r="P27836"/>
      <c r="Q27836" s="24"/>
      <c r="R27836"/>
      <c r="S27836"/>
      <c r="T27836"/>
      <c r="U27836"/>
      <c r="X27836" s="60"/>
    </row>
    <row r="27837" spans="7:24" ht="15" customHeight="1">
      <c r="G27837"/>
      <c r="I27837"/>
      <c r="N27837"/>
      <c r="O27837" s="24"/>
      <c r="P27837"/>
      <c r="Q27837" s="24"/>
      <c r="R27837"/>
      <c r="S27837"/>
      <c r="T27837"/>
      <c r="U27837"/>
      <c r="X27837" s="60"/>
    </row>
    <row r="27838" spans="7:24" ht="15" customHeight="1">
      <c r="G27838"/>
      <c r="I27838"/>
      <c r="N27838"/>
      <c r="O27838" s="24"/>
      <c r="P27838"/>
      <c r="Q27838" s="24"/>
      <c r="R27838"/>
      <c r="S27838"/>
      <c r="T27838"/>
      <c r="U27838"/>
      <c r="X27838" s="60"/>
    </row>
    <row r="27839" spans="7:24" ht="15" customHeight="1">
      <c r="G27839"/>
      <c r="I27839"/>
      <c r="N27839"/>
      <c r="O27839" s="24"/>
      <c r="P27839"/>
      <c r="Q27839" s="24"/>
      <c r="R27839"/>
      <c r="S27839"/>
      <c r="T27839"/>
      <c r="U27839"/>
      <c r="X27839" s="60"/>
    </row>
    <row r="27840" spans="7:24" ht="15" customHeight="1">
      <c r="G27840"/>
      <c r="I27840"/>
      <c r="N27840"/>
      <c r="O27840" s="24"/>
      <c r="P27840"/>
      <c r="Q27840" s="24"/>
      <c r="R27840"/>
      <c r="S27840"/>
      <c r="T27840"/>
      <c r="U27840"/>
      <c r="X27840" s="60"/>
    </row>
    <row r="27841" spans="7:24" ht="15" customHeight="1">
      <c r="G27841"/>
      <c r="I27841"/>
      <c r="N27841"/>
      <c r="O27841" s="24"/>
      <c r="P27841"/>
      <c r="Q27841" s="24"/>
      <c r="R27841"/>
      <c r="S27841"/>
      <c r="T27841"/>
      <c r="U27841"/>
      <c r="X27841" s="60"/>
    </row>
    <row r="27842" spans="7:24" ht="15" customHeight="1">
      <c r="G27842"/>
      <c r="I27842"/>
      <c r="N27842"/>
      <c r="O27842" s="24"/>
      <c r="P27842"/>
      <c r="Q27842" s="24"/>
      <c r="R27842"/>
      <c r="S27842"/>
      <c r="T27842"/>
      <c r="U27842"/>
      <c r="X27842" s="60"/>
    </row>
    <row r="27843" spans="7:24" ht="15" customHeight="1">
      <c r="G27843"/>
      <c r="I27843"/>
      <c r="N27843"/>
      <c r="O27843" s="24"/>
      <c r="P27843"/>
      <c r="Q27843" s="24"/>
      <c r="R27843"/>
      <c r="S27843"/>
      <c r="T27843"/>
      <c r="U27843"/>
      <c r="X27843" s="60"/>
    </row>
    <row r="27844" spans="7:24" ht="15" customHeight="1">
      <c r="G27844"/>
      <c r="I27844"/>
      <c r="N27844"/>
      <c r="O27844" s="24"/>
      <c r="P27844"/>
      <c r="Q27844" s="24"/>
      <c r="R27844"/>
      <c r="S27844"/>
      <c r="T27844"/>
      <c r="U27844"/>
      <c r="X27844" s="60"/>
    </row>
    <row r="27845" spans="7:24" ht="15" customHeight="1">
      <c r="G27845"/>
      <c r="I27845"/>
      <c r="N27845"/>
      <c r="O27845" s="24"/>
      <c r="P27845"/>
      <c r="Q27845" s="24"/>
      <c r="R27845"/>
      <c r="S27845"/>
      <c r="T27845"/>
      <c r="U27845"/>
      <c r="X27845" s="60"/>
    </row>
    <row r="27846" spans="7:24" ht="15" customHeight="1">
      <c r="G27846"/>
      <c r="I27846"/>
      <c r="N27846"/>
      <c r="O27846" s="24"/>
      <c r="P27846"/>
      <c r="Q27846" s="24"/>
      <c r="R27846"/>
      <c r="S27846"/>
      <c r="T27846"/>
      <c r="U27846"/>
      <c r="X27846" s="60"/>
    </row>
    <row r="27847" spans="7:24" ht="15" customHeight="1">
      <c r="G27847"/>
      <c r="I27847"/>
      <c r="N27847"/>
      <c r="O27847" s="24"/>
      <c r="P27847"/>
      <c r="Q27847" s="24"/>
      <c r="R27847"/>
      <c r="S27847"/>
      <c r="T27847"/>
      <c r="U27847"/>
      <c r="X27847" s="60"/>
    </row>
    <row r="27848" spans="7:24" ht="15" customHeight="1">
      <c r="G27848"/>
      <c r="I27848"/>
      <c r="N27848"/>
      <c r="O27848" s="24"/>
      <c r="P27848"/>
      <c r="Q27848" s="24"/>
      <c r="R27848"/>
      <c r="S27848"/>
      <c r="T27848"/>
      <c r="U27848"/>
      <c r="X27848" s="60"/>
    </row>
    <row r="27849" spans="7:24" ht="15" customHeight="1">
      <c r="G27849"/>
      <c r="I27849"/>
      <c r="N27849"/>
      <c r="O27849" s="24"/>
      <c r="P27849"/>
      <c r="Q27849" s="24"/>
      <c r="R27849"/>
      <c r="S27849"/>
      <c r="T27849"/>
      <c r="U27849"/>
      <c r="X27849" s="60"/>
    </row>
    <row r="27850" spans="7:24" ht="15" customHeight="1">
      <c r="G27850"/>
      <c r="I27850"/>
      <c r="N27850"/>
      <c r="O27850" s="24"/>
      <c r="P27850"/>
      <c r="Q27850" s="24"/>
      <c r="R27850"/>
      <c r="S27850"/>
      <c r="T27850"/>
      <c r="U27850"/>
      <c r="X27850" s="60"/>
    </row>
    <row r="27851" spans="7:24" ht="15" customHeight="1">
      <c r="G27851"/>
      <c r="I27851"/>
      <c r="N27851"/>
      <c r="O27851" s="24"/>
      <c r="P27851"/>
      <c r="Q27851" s="24"/>
      <c r="R27851"/>
      <c r="S27851"/>
      <c r="T27851"/>
      <c r="U27851"/>
      <c r="X27851" s="60"/>
    </row>
    <row r="27852" spans="7:24" ht="15" customHeight="1">
      <c r="G27852"/>
      <c r="I27852"/>
      <c r="N27852"/>
      <c r="O27852" s="24"/>
      <c r="P27852"/>
      <c r="Q27852" s="24"/>
      <c r="R27852"/>
      <c r="S27852"/>
      <c r="T27852"/>
      <c r="U27852"/>
      <c r="X27852" s="60"/>
    </row>
    <row r="27853" spans="7:24" ht="15" customHeight="1">
      <c r="G27853"/>
      <c r="I27853"/>
      <c r="N27853"/>
      <c r="O27853" s="24"/>
      <c r="P27853"/>
      <c r="Q27853" s="24"/>
      <c r="R27853"/>
      <c r="S27853"/>
      <c r="T27853"/>
      <c r="U27853"/>
      <c r="X27853" s="60"/>
    </row>
    <row r="27854" spans="7:24" ht="15" customHeight="1">
      <c r="G27854"/>
      <c r="I27854"/>
      <c r="N27854"/>
      <c r="O27854" s="24"/>
      <c r="P27854"/>
      <c r="Q27854" s="24"/>
      <c r="R27854"/>
      <c r="S27854"/>
      <c r="T27854"/>
      <c r="U27854"/>
      <c r="X27854" s="60"/>
    </row>
    <row r="27855" spans="7:24" ht="15" customHeight="1">
      <c r="G27855"/>
      <c r="I27855"/>
      <c r="N27855"/>
      <c r="O27855" s="24"/>
      <c r="P27855"/>
      <c r="Q27855" s="24"/>
      <c r="R27855"/>
      <c r="S27855"/>
      <c r="T27855"/>
      <c r="U27855"/>
      <c r="X27855" s="60"/>
    </row>
    <row r="27856" spans="7:24" ht="15" customHeight="1">
      <c r="G27856"/>
      <c r="I27856"/>
      <c r="N27856"/>
      <c r="O27856" s="24"/>
      <c r="P27856"/>
      <c r="Q27856" s="24"/>
      <c r="R27856"/>
      <c r="S27856"/>
      <c r="T27856"/>
      <c r="U27856"/>
      <c r="X27856" s="60"/>
    </row>
    <row r="27857" spans="7:24" ht="15" customHeight="1">
      <c r="G27857"/>
      <c r="I27857"/>
      <c r="N27857"/>
      <c r="O27857" s="24"/>
      <c r="P27857"/>
      <c r="Q27857" s="24"/>
      <c r="R27857"/>
      <c r="S27857"/>
      <c r="T27857"/>
      <c r="U27857"/>
      <c r="X27857" s="60"/>
    </row>
    <row r="27858" spans="7:24" ht="15" customHeight="1">
      <c r="G27858"/>
      <c r="I27858"/>
      <c r="N27858"/>
      <c r="O27858" s="24"/>
      <c r="P27858"/>
      <c r="Q27858" s="24"/>
      <c r="R27858"/>
      <c r="S27858"/>
      <c r="T27858"/>
      <c r="U27858"/>
      <c r="X27858" s="60"/>
    </row>
    <row r="27859" spans="7:24" ht="15" customHeight="1">
      <c r="G27859"/>
      <c r="I27859"/>
      <c r="N27859"/>
      <c r="O27859" s="24"/>
      <c r="P27859"/>
      <c r="Q27859" s="24"/>
      <c r="R27859"/>
      <c r="S27859"/>
      <c r="T27859"/>
      <c r="U27859"/>
      <c r="X27859" s="60"/>
    </row>
    <row r="27860" spans="7:24" ht="15" customHeight="1">
      <c r="G27860"/>
      <c r="I27860"/>
      <c r="N27860"/>
      <c r="O27860" s="24"/>
      <c r="P27860"/>
      <c r="Q27860" s="24"/>
      <c r="R27860"/>
      <c r="S27860"/>
      <c r="T27860"/>
      <c r="U27860"/>
      <c r="X27860" s="60"/>
    </row>
    <row r="27861" spans="7:24" ht="15" customHeight="1">
      <c r="G27861"/>
      <c r="I27861"/>
      <c r="N27861"/>
      <c r="O27861" s="24"/>
      <c r="P27861"/>
      <c r="Q27861" s="24"/>
      <c r="R27861"/>
      <c r="S27861"/>
      <c r="T27861"/>
      <c r="U27861"/>
      <c r="X27861" s="60"/>
    </row>
    <row r="27862" spans="7:24" ht="15" customHeight="1">
      <c r="G27862"/>
      <c r="I27862"/>
      <c r="N27862"/>
      <c r="O27862" s="24"/>
      <c r="P27862"/>
      <c r="Q27862" s="24"/>
      <c r="R27862"/>
      <c r="S27862"/>
      <c r="T27862"/>
      <c r="U27862"/>
      <c r="X27862" s="60"/>
    </row>
    <row r="27863" spans="7:24" ht="15" customHeight="1">
      <c r="G27863"/>
      <c r="I27863"/>
      <c r="N27863"/>
      <c r="O27863" s="24"/>
      <c r="P27863"/>
      <c r="Q27863" s="24"/>
      <c r="R27863"/>
      <c r="S27863"/>
      <c r="T27863"/>
      <c r="U27863"/>
      <c r="X27863" s="60"/>
    </row>
    <row r="27864" spans="7:24" ht="15" customHeight="1">
      <c r="G27864"/>
      <c r="I27864"/>
      <c r="N27864"/>
      <c r="O27864" s="24"/>
      <c r="P27864"/>
      <c r="Q27864" s="24"/>
      <c r="R27864"/>
      <c r="S27864"/>
      <c r="T27864"/>
      <c r="U27864"/>
      <c r="X27864" s="60"/>
    </row>
    <row r="27865" spans="7:24" ht="15" customHeight="1">
      <c r="G27865"/>
      <c r="I27865"/>
      <c r="N27865"/>
      <c r="O27865" s="24"/>
      <c r="P27865"/>
      <c r="Q27865" s="24"/>
      <c r="R27865"/>
      <c r="S27865"/>
      <c r="T27865"/>
      <c r="U27865"/>
      <c r="X27865" s="60"/>
    </row>
    <row r="27866" spans="7:24" ht="15" customHeight="1">
      <c r="G27866"/>
      <c r="I27866"/>
      <c r="N27866"/>
      <c r="O27866" s="24"/>
      <c r="P27866"/>
      <c r="Q27866" s="24"/>
      <c r="R27866"/>
      <c r="S27866"/>
      <c r="T27866"/>
      <c r="U27866"/>
      <c r="X27866" s="60"/>
    </row>
    <row r="27867" spans="7:24" ht="15" customHeight="1">
      <c r="G27867"/>
      <c r="I27867"/>
      <c r="N27867"/>
      <c r="O27867" s="24"/>
      <c r="P27867"/>
      <c r="Q27867" s="24"/>
      <c r="R27867"/>
      <c r="S27867"/>
      <c r="T27867"/>
      <c r="U27867"/>
      <c r="X27867" s="60"/>
    </row>
    <row r="27868" spans="7:24" ht="15" customHeight="1">
      <c r="G27868"/>
      <c r="I27868"/>
      <c r="N27868"/>
      <c r="O27868" s="24"/>
      <c r="P27868"/>
      <c r="Q27868" s="24"/>
      <c r="R27868"/>
      <c r="S27868"/>
      <c r="T27868"/>
      <c r="U27868"/>
      <c r="X27868" s="60"/>
    </row>
    <row r="27869" spans="7:24" ht="15" customHeight="1">
      <c r="G27869"/>
      <c r="I27869"/>
      <c r="N27869"/>
      <c r="O27869" s="24"/>
      <c r="P27869"/>
      <c r="Q27869" s="24"/>
      <c r="R27869"/>
      <c r="S27869"/>
      <c r="T27869"/>
      <c r="U27869"/>
      <c r="X27869" s="60"/>
    </row>
    <row r="27870" spans="7:24" ht="15" customHeight="1">
      <c r="G27870"/>
      <c r="I27870"/>
      <c r="N27870"/>
      <c r="O27870" s="24"/>
      <c r="P27870"/>
      <c r="Q27870" s="24"/>
      <c r="R27870"/>
      <c r="S27870"/>
      <c r="T27870"/>
      <c r="U27870"/>
      <c r="X27870" s="60"/>
    </row>
    <row r="27871" spans="7:24" ht="15" customHeight="1">
      <c r="G27871"/>
      <c r="I27871"/>
      <c r="N27871"/>
      <c r="O27871" s="24"/>
      <c r="P27871"/>
      <c r="Q27871" s="24"/>
      <c r="R27871"/>
      <c r="S27871"/>
      <c r="T27871"/>
      <c r="U27871"/>
      <c r="X27871" s="60"/>
    </row>
    <row r="27872" spans="7:24" ht="15" customHeight="1">
      <c r="G27872"/>
      <c r="I27872"/>
      <c r="N27872"/>
      <c r="O27872" s="24"/>
      <c r="P27872"/>
      <c r="Q27872" s="24"/>
      <c r="R27872"/>
      <c r="S27872"/>
      <c r="T27872"/>
      <c r="U27872"/>
      <c r="X27872" s="60"/>
    </row>
    <row r="27873" spans="7:24" ht="15" customHeight="1">
      <c r="G27873"/>
      <c r="I27873"/>
      <c r="N27873"/>
      <c r="O27873" s="24"/>
      <c r="P27873"/>
      <c r="Q27873" s="24"/>
      <c r="R27873"/>
      <c r="S27873"/>
      <c r="T27873"/>
      <c r="U27873"/>
      <c r="X27873" s="60"/>
    </row>
    <row r="27874" spans="7:24" ht="15" customHeight="1">
      <c r="G27874"/>
      <c r="I27874"/>
      <c r="N27874"/>
      <c r="O27874" s="24"/>
      <c r="P27874"/>
      <c r="Q27874" s="24"/>
      <c r="R27874"/>
      <c r="S27874"/>
      <c r="T27874"/>
      <c r="U27874"/>
      <c r="X27874" s="60"/>
    </row>
    <row r="27875" spans="7:24" ht="15" customHeight="1">
      <c r="G27875"/>
      <c r="I27875"/>
      <c r="N27875"/>
      <c r="O27875" s="24"/>
      <c r="P27875"/>
      <c r="Q27875" s="24"/>
      <c r="R27875"/>
      <c r="S27875"/>
      <c r="T27875"/>
      <c r="U27875"/>
      <c r="X27875" s="60"/>
    </row>
    <row r="27876" spans="7:24" ht="15" customHeight="1">
      <c r="G27876"/>
      <c r="I27876"/>
      <c r="N27876"/>
      <c r="O27876" s="24"/>
      <c r="P27876"/>
      <c r="Q27876" s="24"/>
      <c r="R27876"/>
      <c r="S27876"/>
      <c r="T27876"/>
      <c r="U27876"/>
      <c r="X27876" s="60"/>
    </row>
    <row r="27877" spans="7:24" ht="15" customHeight="1">
      <c r="G27877"/>
      <c r="I27877"/>
      <c r="N27877"/>
      <c r="O27877" s="24"/>
      <c r="P27877"/>
      <c r="Q27877" s="24"/>
      <c r="R27877"/>
      <c r="S27877"/>
      <c r="T27877"/>
      <c r="U27877"/>
      <c r="X27877" s="60"/>
    </row>
    <row r="27878" spans="7:24" ht="15" customHeight="1">
      <c r="G27878"/>
      <c r="I27878"/>
      <c r="N27878"/>
      <c r="O27878" s="24"/>
      <c r="P27878"/>
      <c r="Q27878" s="24"/>
      <c r="R27878"/>
      <c r="S27878"/>
      <c r="T27878"/>
      <c r="U27878"/>
      <c r="X27878" s="60"/>
    </row>
    <row r="27879" spans="7:24" ht="15" customHeight="1">
      <c r="G27879"/>
      <c r="I27879"/>
      <c r="N27879"/>
      <c r="O27879" s="24"/>
      <c r="P27879"/>
      <c r="Q27879" s="24"/>
      <c r="R27879"/>
      <c r="S27879"/>
      <c r="T27879"/>
      <c r="U27879"/>
      <c r="X27879" s="60"/>
    </row>
    <row r="27880" spans="7:24" ht="15" customHeight="1">
      <c r="G27880"/>
      <c r="I27880"/>
      <c r="N27880"/>
      <c r="O27880" s="24"/>
      <c r="P27880"/>
      <c r="Q27880" s="24"/>
      <c r="R27880"/>
      <c r="S27880"/>
      <c r="T27880"/>
      <c r="U27880"/>
      <c r="X27880" s="60"/>
    </row>
    <row r="27881" spans="7:24" ht="15" customHeight="1">
      <c r="G27881"/>
      <c r="I27881"/>
      <c r="N27881"/>
      <c r="O27881" s="24"/>
      <c r="P27881"/>
      <c r="Q27881" s="24"/>
      <c r="R27881"/>
      <c r="S27881"/>
      <c r="T27881"/>
      <c r="U27881"/>
      <c r="X27881" s="60"/>
    </row>
    <row r="27882" spans="7:24" ht="15" customHeight="1">
      <c r="G27882"/>
      <c r="I27882"/>
      <c r="N27882"/>
      <c r="O27882" s="24"/>
      <c r="P27882"/>
      <c r="Q27882" s="24"/>
      <c r="R27882"/>
      <c r="S27882"/>
      <c r="T27882"/>
      <c r="U27882"/>
      <c r="X27882" s="60"/>
    </row>
    <row r="27883" spans="7:24" ht="15" customHeight="1">
      <c r="G27883"/>
      <c r="I27883"/>
      <c r="N27883"/>
      <c r="O27883" s="24"/>
      <c r="P27883"/>
      <c r="Q27883" s="24"/>
      <c r="R27883"/>
      <c r="S27883"/>
      <c r="T27883"/>
      <c r="U27883"/>
      <c r="X27883" s="60"/>
    </row>
    <row r="27884" spans="7:24" ht="15" customHeight="1">
      <c r="G27884"/>
      <c r="I27884"/>
      <c r="N27884"/>
      <c r="O27884" s="24"/>
      <c r="P27884"/>
      <c r="Q27884" s="24"/>
      <c r="R27884"/>
      <c r="S27884"/>
      <c r="T27884"/>
      <c r="U27884"/>
      <c r="X27884" s="60"/>
    </row>
    <row r="27885" spans="7:24" ht="15" customHeight="1">
      <c r="G27885"/>
      <c r="I27885"/>
      <c r="N27885"/>
      <c r="O27885" s="24"/>
      <c r="P27885"/>
      <c r="Q27885" s="24"/>
      <c r="R27885"/>
      <c r="S27885"/>
      <c r="T27885"/>
      <c r="U27885"/>
      <c r="X27885" s="60"/>
    </row>
    <row r="27886" spans="7:24" ht="15" customHeight="1">
      <c r="G27886"/>
      <c r="I27886"/>
      <c r="N27886"/>
      <c r="O27886" s="24"/>
      <c r="P27886"/>
      <c r="Q27886" s="24"/>
      <c r="R27886"/>
      <c r="S27886"/>
      <c r="T27886"/>
      <c r="U27886"/>
      <c r="X27886" s="60"/>
    </row>
    <row r="27887" spans="7:24" ht="15" customHeight="1">
      <c r="G27887"/>
      <c r="I27887"/>
      <c r="N27887"/>
      <c r="O27887" s="24"/>
      <c r="P27887"/>
      <c r="Q27887" s="24"/>
      <c r="R27887"/>
      <c r="S27887"/>
      <c r="T27887"/>
      <c r="U27887"/>
      <c r="X27887" s="60"/>
    </row>
    <row r="27888" spans="7:24" ht="15" customHeight="1">
      <c r="G27888"/>
      <c r="I27888"/>
      <c r="N27888"/>
      <c r="O27888" s="24"/>
      <c r="P27888"/>
      <c r="Q27888" s="24"/>
      <c r="R27888"/>
      <c r="S27888"/>
      <c r="T27888"/>
      <c r="U27888"/>
      <c r="X27888" s="60"/>
    </row>
    <row r="27889" spans="7:24" ht="15" customHeight="1">
      <c r="G27889"/>
      <c r="I27889"/>
      <c r="N27889"/>
      <c r="O27889" s="24"/>
      <c r="P27889"/>
      <c r="Q27889" s="24"/>
      <c r="R27889"/>
      <c r="S27889"/>
      <c r="T27889"/>
      <c r="U27889"/>
      <c r="X27889" s="60"/>
    </row>
    <row r="27890" spans="7:24" ht="15" customHeight="1">
      <c r="G27890"/>
      <c r="I27890"/>
      <c r="N27890"/>
      <c r="O27890" s="24"/>
      <c r="P27890"/>
      <c r="Q27890" s="24"/>
      <c r="R27890"/>
      <c r="S27890"/>
      <c r="T27890"/>
      <c r="U27890"/>
      <c r="X27890" s="60"/>
    </row>
    <row r="27891" spans="7:24" ht="15" customHeight="1">
      <c r="G27891"/>
      <c r="I27891"/>
      <c r="N27891"/>
      <c r="O27891" s="24"/>
      <c r="P27891"/>
      <c r="Q27891" s="24"/>
      <c r="R27891"/>
      <c r="S27891"/>
      <c r="T27891"/>
      <c r="U27891"/>
      <c r="X27891" s="60"/>
    </row>
    <row r="27892" spans="7:24" ht="15" customHeight="1">
      <c r="G27892"/>
      <c r="I27892"/>
      <c r="N27892"/>
      <c r="O27892" s="24"/>
      <c r="P27892"/>
      <c r="Q27892" s="24"/>
      <c r="R27892"/>
      <c r="S27892"/>
      <c r="T27892"/>
      <c r="U27892"/>
      <c r="X27892" s="60"/>
    </row>
    <row r="27893" spans="7:24" ht="15" customHeight="1">
      <c r="G27893"/>
      <c r="I27893"/>
      <c r="N27893"/>
      <c r="O27893" s="24"/>
      <c r="P27893"/>
      <c r="Q27893" s="24"/>
      <c r="R27893"/>
      <c r="S27893"/>
      <c r="T27893"/>
      <c r="U27893"/>
      <c r="X27893" s="60"/>
    </row>
    <row r="27894" spans="7:24" ht="15" customHeight="1">
      <c r="G27894"/>
      <c r="I27894"/>
      <c r="N27894"/>
      <c r="O27894" s="24"/>
      <c r="P27894"/>
      <c r="Q27894" s="24"/>
      <c r="R27894"/>
      <c r="S27894"/>
      <c r="T27894"/>
      <c r="U27894"/>
      <c r="X27894" s="60"/>
    </row>
    <row r="27895" spans="7:24" ht="15" customHeight="1">
      <c r="G27895"/>
      <c r="I27895"/>
      <c r="N27895"/>
      <c r="O27895" s="24"/>
      <c r="P27895"/>
      <c r="Q27895" s="24"/>
      <c r="R27895"/>
      <c r="S27895"/>
      <c r="T27895"/>
      <c r="U27895"/>
      <c r="X27895" s="60"/>
    </row>
    <row r="27896" spans="7:24" ht="15" customHeight="1">
      <c r="G27896"/>
      <c r="I27896"/>
      <c r="N27896"/>
      <c r="O27896" s="24"/>
      <c r="P27896"/>
      <c r="Q27896" s="24"/>
      <c r="R27896"/>
      <c r="S27896"/>
      <c r="T27896"/>
      <c r="U27896"/>
      <c r="X27896" s="60"/>
    </row>
    <row r="27897" spans="7:24" ht="15" customHeight="1">
      <c r="G27897"/>
      <c r="I27897"/>
      <c r="N27897"/>
      <c r="O27897" s="24"/>
      <c r="P27897"/>
      <c r="Q27897" s="24"/>
      <c r="R27897"/>
      <c r="S27897"/>
      <c r="T27897"/>
      <c r="U27897"/>
      <c r="X27897" s="60"/>
    </row>
    <row r="27898" spans="7:24" ht="15" customHeight="1">
      <c r="G27898"/>
      <c r="I27898"/>
      <c r="N27898"/>
      <c r="O27898" s="24"/>
      <c r="P27898"/>
      <c r="Q27898" s="24"/>
      <c r="R27898"/>
      <c r="S27898"/>
      <c r="T27898"/>
      <c r="U27898"/>
      <c r="X27898" s="60"/>
    </row>
    <row r="27899" spans="7:24" ht="15" customHeight="1">
      <c r="G27899"/>
      <c r="I27899"/>
      <c r="N27899"/>
      <c r="O27899" s="24"/>
      <c r="P27899"/>
      <c r="Q27899" s="24"/>
      <c r="R27899"/>
      <c r="S27899"/>
      <c r="T27899"/>
      <c r="U27899"/>
      <c r="X27899" s="60"/>
    </row>
    <row r="27900" spans="7:24" ht="15" customHeight="1">
      <c r="G27900"/>
      <c r="I27900"/>
      <c r="N27900"/>
      <c r="O27900" s="24"/>
      <c r="P27900"/>
      <c r="Q27900" s="24"/>
      <c r="R27900"/>
      <c r="S27900"/>
      <c r="T27900"/>
      <c r="U27900"/>
      <c r="X27900" s="60"/>
    </row>
    <row r="27901" spans="7:24" ht="15" customHeight="1">
      <c r="G27901"/>
      <c r="I27901"/>
      <c r="N27901"/>
      <c r="O27901" s="24"/>
      <c r="P27901"/>
      <c r="Q27901" s="24"/>
      <c r="R27901"/>
      <c r="S27901"/>
      <c r="T27901"/>
      <c r="U27901"/>
      <c r="X27901" s="60"/>
    </row>
    <row r="27902" spans="7:24" ht="15" customHeight="1">
      <c r="G27902"/>
      <c r="I27902"/>
      <c r="N27902"/>
      <c r="O27902" s="24"/>
      <c r="P27902"/>
      <c r="Q27902" s="24"/>
      <c r="R27902"/>
      <c r="S27902"/>
      <c r="T27902"/>
      <c r="U27902"/>
      <c r="X27902" s="60"/>
    </row>
    <row r="27903" spans="7:24" ht="15" customHeight="1">
      <c r="G27903"/>
      <c r="I27903"/>
      <c r="N27903"/>
      <c r="O27903" s="24"/>
      <c r="P27903"/>
      <c r="Q27903" s="24"/>
      <c r="R27903"/>
      <c r="S27903"/>
      <c r="T27903"/>
      <c r="U27903"/>
      <c r="X27903" s="60"/>
    </row>
    <row r="27904" spans="7:24" ht="15" customHeight="1">
      <c r="G27904"/>
      <c r="I27904"/>
      <c r="N27904"/>
      <c r="O27904" s="24"/>
      <c r="P27904"/>
      <c r="Q27904" s="24"/>
      <c r="R27904"/>
      <c r="S27904"/>
      <c r="T27904"/>
      <c r="U27904"/>
      <c r="X27904" s="60"/>
    </row>
    <row r="27905" spans="7:24" ht="15" customHeight="1">
      <c r="G27905"/>
      <c r="I27905"/>
      <c r="N27905"/>
      <c r="O27905" s="24"/>
      <c r="P27905"/>
      <c r="Q27905" s="24"/>
      <c r="R27905"/>
      <c r="S27905"/>
      <c r="T27905"/>
      <c r="U27905"/>
      <c r="X27905" s="60"/>
    </row>
    <row r="27906" spans="7:24" ht="15" customHeight="1">
      <c r="G27906"/>
      <c r="I27906"/>
      <c r="N27906"/>
      <c r="O27906" s="24"/>
      <c r="P27906"/>
      <c r="Q27906" s="24"/>
      <c r="R27906"/>
      <c r="S27906"/>
      <c r="T27906"/>
      <c r="U27906"/>
      <c r="X27906" s="60"/>
    </row>
    <row r="27907" spans="7:24" ht="15" customHeight="1">
      <c r="G27907"/>
      <c r="I27907"/>
      <c r="N27907"/>
      <c r="O27907" s="24"/>
      <c r="P27907"/>
      <c r="Q27907" s="24"/>
      <c r="R27907"/>
      <c r="S27907"/>
      <c r="T27907"/>
      <c r="U27907"/>
      <c r="X27907" s="60"/>
    </row>
    <row r="27908" spans="7:24" ht="15" customHeight="1">
      <c r="G27908"/>
      <c r="I27908"/>
      <c r="N27908"/>
      <c r="O27908" s="24"/>
      <c r="P27908"/>
      <c r="Q27908" s="24"/>
      <c r="R27908"/>
      <c r="S27908"/>
      <c r="T27908"/>
      <c r="U27908"/>
      <c r="X27908" s="60"/>
    </row>
    <row r="27909" spans="7:24" ht="15" customHeight="1">
      <c r="G27909"/>
      <c r="I27909"/>
      <c r="N27909"/>
      <c r="O27909" s="24"/>
      <c r="P27909"/>
      <c r="Q27909" s="24"/>
      <c r="R27909"/>
      <c r="S27909"/>
      <c r="T27909"/>
      <c r="U27909"/>
      <c r="X27909" s="60"/>
    </row>
    <row r="27910" spans="7:24" ht="15" customHeight="1">
      <c r="G27910"/>
      <c r="I27910"/>
      <c r="N27910"/>
      <c r="O27910" s="24"/>
      <c r="P27910"/>
      <c r="Q27910" s="24"/>
      <c r="R27910"/>
      <c r="S27910"/>
      <c r="T27910"/>
      <c r="U27910"/>
      <c r="X27910" s="60"/>
    </row>
    <row r="27911" spans="7:24" ht="15" customHeight="1">
      <c r="G27911"/>
      <c r="I27911"/>
      <c r="N27911"/>
      <c r="O27911" s="24"/>
      <c r="P27911"/>
      <c r="Q27911" s="24"/>
      <c r="R27911"/>
      <c r="S27911"/>
      <c r="T27911"/>
      <c r="U27911"/>
      <c r="X27911" s="60"/>
    </row>
    <row r="27912" spans="7:24" ht="15" customHeight="1">
      <c r="G27912"/>
      <c r="I27912"/>
      <c r="N27912"/>
      <c r="O27912" s="24"/>
      <c r="P27912"/>
      <c r="Q27912" s="24"/>
      <c r="R27912"/>
      <c r="S27912"/>
      <c r="T27912"/>
      <c r="U27912"/>
      <c r="X27912" s="60"/>
    </row>
    <row r="27913" spans="7:24" ht="15" customHeight="1">
      <c r="G27913"/>
      <c r="I27913"/>
      <c r="N27913"/>
      <c r="O27913" s="24"/>
      <c r="P27913"/>
      <c r="Q27913" s="24"/>
      <c r="R27913"/>
      <c r="S27913"/>
      <c r="T27913"/>
      <c r="U27913"/>
      <c r="X27913" s="60"/>
    </row>
    <row r="27914" spans="7:24" ht="15" customHeight="1">
      <c r="G27914"/>
      <c r="I27914"/>
      <c r="N27914"/>
      <c r="O27914" s="24"/>
      <c r="P27914"/>
      <c r="Q27914" s="24"/>
      <c r="R27914"/>
      <c r="S27914"/>
      <c r="T27914"/>
      <c r="U27914"/>
      <c r="X27914" s="60"/>
    </row>
    <row r="27915" spans="7:24" ht="15" customHeight="1">
      <c r="G27915"/>
      <c r="I27915"/>
      <c r="N27915"/>
      <c r="O27915" s="24"/>
      <c r="P27915"/>
      <c r="Q27915" s="24"/>
      <c r="R27915"/>
      <c r="S27915"/>
      <c r="T27915"/>
      <c r="U27915"/>
      <c r="X27915" s="60"/>
    </row>
    <row r="27916" spans="7:24" ht="15" customHeight="1">
      <c r="G27916"/>
      <c r="I27916"/>
      <c r="N27916"/>
      <c r="O27916" s="24"/>
      <c r="P27916"/>
      <c r="Q27916" s="24"/>
      <c r="R27916"/>
      <c r="S27916"/>
      <c r="T27916"/>
      <c r="U27916"/>
      <c r="X27916" s="60"/>
    </row>
    <row r="27917" spans="7:24" ht="15" customHeight="1">
      <c r="G27917"/>
      <c r="I27917"/>
      <c r="N27917"/>
      <c r="O27917" s="24"/>
      <c r="P27917"/>
      <c r="Q27917" s="24"/>
      <c r="R27917"/>
      <c r="S27917"/>
      <c r="T27917"/>
      <c r="U27917"/>
      <c r="X27917" s="60"/>
    </row>
    <row r="27918" spans="7:24" ht="15" customHeight="1">
      <c r="G27918"/>
      <c r="I27918"/>
      <c r="N27918"/>
      <c r="O27918" s="24"/>
      <c r="P27918"/>
      <c r="Q27918" s="24"/>
      <c r="R27918"/>
      <c r="S27918"/>
      <c r="T27918"/>
      <c r="U27918"/>
      <c r="X27918" s="60"/>
    </row>
    <row r="27919" spans="7:24" ht="15" customHeight="1">
      <c r="G27919"/>
      <c r="I27919"/>
      <c r="N27919"/>
      <c r="O27919" s="24"/>
      <c r="P27919"/>
      <c r="Q27919" s="24"/>
      <c r="R27919"/>
      <c r="S27919"/>
      <c r="T27919"/>
      <c r="U27919"/>
      <c r="X27919" s="60"/>
    </row>
    <row r="27920" spans="7:24" ht="15" customHeight="1">
      <c r="G27920"/>
      <c r="I27920"/>
      <c r="N27920"/>
      <c r="O27920" s="24"/>
      <c r="P27920"/>
      <c r="Q27920" s="24"/>
      <c r="R27920"/>
      <c r="S27920"/>
      <c r="T27920"/>
      <c r="U27920"/>
      <c r="X27920" s="60"/>
    </row>
    <row r="27921" spans="7:24" ht="15" customHeight="1">
      <c r="G27921"/>
      <c r="I27921"/>
      <c r="N27921"/>
      <c r="O27921" s="24"/>
      <c r="P27921"/>
      <c r="Q27921" s="24"/>
      <c r="R27921"/>
      <c r="S27921"/>
      <c r="T27921"/>
      <c r="U27921"/>
      <c r="X27921" s="60"/>
    </row>
    <row r="27922" spans="7:24" ht="15" customHeight="1">
      <c r="G27922"/>
      <c r="I27922"/>
      <c r="N27922"/>
      <c r="O27922" s="24"/>
      <c r="P27922"/>
      <c r="Q27922" s="24"/>
      <c r="R27922"/>
      <c r="S27922"/>
      <c r="T27922"/>
      <c r="U27922"/>
      <c r="X27922" s="60"/>
    </row>
    <row r="27923" spans="7:24" ht="15" customHeight="1">
      <c r="G27923"/>
      <c r="I27923"/>
      <c r="N27923"/>
      <c r="O27923" s="24"/>
      <c r="P27923"/>
      <c r="Q27923" s="24"/>
      <c r="R27923"/>
      <c r="S27923"/>
      <c r="T27923"/>
      <c r="U27923"/>
      <c r="X27923" s="60"/>
    </row>
    <row r="27924" spans="7:24" ht="15" customHeight="1">
      <c r="G27924"/>
      <c r="I27924"/>
      <c r="N27924"/>
      <c r="O27924" s="24"/>
      <c r="P27924"/>
      <c r="Q27924" s="24"/>
      <c r="R27924"/>
      <c r="S27924"/>
      <c r="T27924"/>
      <c r="U27924"/>
      <c r="X27924" s="60"/>
    </row>
    <row r="27925" spans="7:24" ht="15" customHeight="1">
      <c r="G27925"/>
      <c r="I27925"/>
      <c r="N27925"/>
      <c r="O27925" s="24"/>
      <c r="P27925"/>
      <c r="Q27925" s="24"/>
      <c r="R27925"/>
      <c r="S27925"/>
      <c r="T27925"/>
      <c r="U27925"/>
      <c r="X27925" s="60"/>
    </row>
    <row r="27926" spans="7:24" ht="15" customHeight="1">
      <c r="G27926"/>
      <c r="I27926"/>
      <c r="N27926"/>
      <c r="O27926" s="24"/>
      <c r="P27926"/>
      <c r="Q27926" s="24"/>
      <c r="R27926"/>
      <c r="S27926"/>
      <c r="T27926"/>
      <c r="U27926"/>
      <c r="X27926" s="60"/>
    </row>
    <row r="27927" spans="7:24" ht="15" customHeight="1">
      <c r="G27927"/>
      <c r="I27927"/>
      <c r="N27927"/>
      <c r="O27927" s="24"/>
      <c r="P27927"/>
      <c r="Q27927" s="24"/>
      <c r="R27927"/>
      <c r="S27927"/>
      <c r="T27927"/>
      <c r="U27927"/>
      <c r="X27927" s="60"/>
    </row>
    <row r="27928" spans="7:24" ht="15" customHeight="1">
      <c r="G27928"/>
      <c r="I27928"/>
      <c r="N27928"/>
      <c r="O27928" s="24"/>
      <c r="P27928"/>
      <c r="Q27928" s="24"/>
      <c r="R27928"/>
      <c r="S27928"/>
      <c r="T27928"/>
      <c r="U27928"/>
      <c r="X27928" s="60"/>
    </row>
    <row r="27929" spans="7:24" ht="15" customHeight="1">
      <c r="G27929"/>
      <c r="I27929"/>
      <c r="N27929"/>
      <c r="O27929" s="24"/>
      <c r="P27929"/>
      <c r="Q27929" s="24"/>
      <c r="R27929"/>
      <c r="S27929"/>
      <c r="T27929"/>
      <c r="U27929"/>
      <c r="X27929" s="60"/>
    </row>
    <row r="27930" spans="7:24" ht="15" customHeight="1">
      <c r="G27930"/>
      <c r="I27930"/>
      <c r="N27930"/>
      <c r="O27930" s="24"/>
      <c r="P27930"/>
      <c r="Q27930" s="24"/>
      <c r="R27930"/>
      <c r="S27930"/>
      <c r="T27930"/>
      <c r="U27930"/>
      <c r="X27930" s="60"/>
    </row>
    <row r="27931" spans="7:24" ht="15" customHeight="1">
      <c r="G27931"/>
      <c r="I27931"/>
      <c r="N27931"/>
      <c r="O27931" s="24"/>
      <c r="P27931"/>
      <c r="Q27931" s="24"/>
      <c r="R27931"/>
      <c r="S27931"/>
      <c r="T27931"/>
      <c r="U27931"/>
      <c r="X27931" s="60"/>
    </row>
    <row r="27932" spans="7:24" ht="15" customHeight="1">
      <c r="G27932"/>
      <c r="I27932"/>
      <c r="N27932"/>
      <c r="O27932" s="24"/>
      <c r="P27932"/>
      <c r="Q27932" s="24"/>
      <c r="R27932"/>
      <c r="S27932"/>
      <c r="T27932"/>
      <c r="U27932"/>
      <c r="X27932" s="60"/>
    </row>
    <row r="27933" spans="7:24" ht="15" customHeight="1">
      <c r="G27933"/>
      <c r="I27933"/>
      <c r="N27933"/>
      <c r="O27933" s="24"/>
      <c r="P27933"/>
      <c r="Q27933" s="24"/>
      <c r="R27933"/>
      <c r="S27933"/>
      <c r="T27933"/>
      <c r="U27933"/>
      <c r="X27933" s="60"/>
    </row>
    <row r="27934" spans="7:24" ht="15" customHeight="1">
      <c r="G27934"/>
      <c r="I27934"/>
      <c r="N27934"/>
      <c r="O27934" s="24"/>
      <c r="P27934"/>
      <c r="Q27934" s="24"/>
      <c r="R27934"/>
      <c r="S27934"/>
      <c r="T27934"/>
      <c r="U27934"/>
      <c r="X27934" s="60"/>
    </row>
    <row r="27935" spans="7:24" ht="15" customHeight="1">
      <c r="G27935"/>
      <c r="I27935"/>
      <c r="N27935"/>
      <c r="O27935" s="24"/>
      <c r="P27935"/>
      <c r="Q27935" s="24"/>
      <c r="R27935"/>
      <c r="S27935"/>
      <c r="T27935"/>
      <c r="U27935"/>
      <c r="X27935" s="60"/>
    </row>
    <row r="27936" spans="7:24" ht="15" customHeight="1">
      <c r="G27936"/>
      <c r="I27936"/>
      <c r="N27936"/>
      <c r="O27936" s="24"/>
      <c r="P27936"/>
      <c r="Q27936" s="24"/>
      <c r="R27936"/>
      <c r="S27936"/>
      <c r="T27936"/>
      <c r="U27936"/>
      <c r="X27936" s="60"/>
    </row>
    <row r="27937" spans="7:24" ht="15" customHeight="1">
      <c r="G27937"/>
      <c r="I27937"/>
      <c r="N27937"/>
      <c r="O27937" s="24"/>
      <c r="P27937"/>
      <c r="Q27937" s="24"/>
      <c r="R27937"/>
      <c r="S27937"/>
      <c r="T27937"/>
      <c r="U27937"/>
      <c r="X27937" s="60"/>
    </row>
    <row r="27938" spans="7:24" ht="15" customHeight="1">
      <c r="G27938"/>
      <c r="I27938"/>
      <c r="N27938"/>
      <c r="O27938" s="24"/>
      <c r="P27938"/>
      <c r="Q27938" s="24"/>
      <c r="R27938"/>
      <c r="S27938"/>
      <c r="T27938"/>
      <c r="U27938"/>
      <c r="X27938" s="60"/>
    </row>
    <row r="27939" spans="7:24" ht="15" customHeight="1">
      <c r="G27939"/>
      <c r="I27939"/>
      <c r="N27939"/>
      <c r="O27939" s="24"/>
      <c r="P27939"/>
      <c r="Q27939" s="24"/>
      <c r="R27939"/>
      <c r="S27939"/>
      <c r="T27939"/>
      <c r="U27939"/>
      <c r="X27939" s="60"/>
    </row>
    <row r="27940" spans="7:24" ht="15" customHeight="1">
      <c r="G27940"/>
      <c r="I27940"/>
      <c r="N27940"/>
      <c r="O27940" s="24"/>
      <c r="P27940"/>
      <c r="Q27940" s="24"/>
      <c r="R27940"/>
      <c r="S27940"/>
      <c r="T27940"/>
      <c r="U27940"/>
      <c r="X27940" s="60"/>
    </row>
    <row r="27941" spans="7:24" ht="15" customHeight="1">
      <c r="G27941"/>
      <c r="I27941"/>
      <c r="N27941"/>
      <c r="O27941" s="24"/>
      <c r="P27941"/>
      <c r="Q27941" s="24"/>
      <c r="R27941"/>
      <c r="S27941"/>
      <c r="T27941"/>
      <c r="U27941"/>
      <c r="X27941" s="60"/>
    </row>
    <row r="27942" spans="7:24" ht="15" customHeight="1">
      <c r="G27942"/>
      <c r="I27942"/>
      <c r="N27942"/>
      <c r="O27942" s="24"/>
      <c r="P27942"/>
      <c r="Q27942" s="24"/>
      <c r="R27942"/>
      <c r="S27942"/>
      <c r="T27942"/>
      <c r="U27942"/>
      <c r="X27942" s="60"/>
    </row>
    <row r="27943" spans="7:24" ht="15" customHeight="1">
      <c r="G27943"/>
      <c r="I27943"/>
      <c r="N27943"/>
      <c r="O27943" s="24"/>
      <c r="P27943"/>
      <c r="Q27943" s="24"/>
      <c r="R27943"/>
      <c r="S27943"/>
      <c r="T27943"/>
      <c r="U27943"/>
      <c r="X27943" s="60"/>
    </row>
    <row r="27944" spans="7:24" ht="15" customHeight="1">
      <c r="G27944"/>
      <c r="I27944"/>
      <c r="N27944"/>
      <c r="O27944" s="24"/>
      <c r="P27944"/>
      <c r="Q27944" s="24"/>
      <c r="R27944"/>
      <c r="S27944"/>
      <c r="T27944"/>
      <c r="U27944"/>
      <c r="X27944" s="60"/>
    </row>
    <row r="27945" spans="7:24" ht="15" customHeight="1">
      <c r="G27945"/>
      <c r="I27945"/>
      <c r="N27945"/>
      <c r="O27945" s="24"/>
      <c r="P27945"/>
      <c r="Q27945" s="24"/>
      <c r="R27945"/>
      <c r="S27945"/>
      <c r="T27945"/>
      <c r="U27945"/>
      <c r="X27945" s="60"/>
    </row>
    <row r="27946" spans="7:24" ht="15" customHeight="1">
      <c r="G27946"/>
      <c r="I27946"/>
      <c r="N27946"/>
      <c r="O27946" s="24"/>
      <c r="P27946"/>
      <c r="Q27946" s="24"/>
      <c r="R27946"/>
      <c r="S27946"/>
      <c r="T27946"/>
      <c r="U27946"/>
      <c r="X27946" s="60"/>
    </row>
    <row r="27947" spans="7:24" ht="15" customHeight="1">
      <c r="G27947"/>
      <c r="I27947"/>
      <c r="N27947"/>
      <c r="O27947" s="24"/>
      <c r="P27947"/>
      <c r="Q27947" s="24"/>
      <c r="R27947"/>
      <c r="S27947"/>
      <c r="T27947"/>
      <c r="U27947"/>
      <c r="X27947" s="60"/>
    </row>
    <row r="27948" spans="7:24" ht="15" customHeight="1">
      <c r="G27948"/>
      <c r="I27948"/>
      <c r="N27948"/>
      <c r="O27948" s="24"/>
      <c r="P27948"/>
      <c r="Q27948" s="24"/>
      <c r="R27948"/>
      <c r="S27948"/>
      <c r="T27948"/>
      <c r="U27948"/>
      <c r="X27948" s="60"/>
    </row>
    <row r="27949" spans="7:24" ht="15" customHeight="1">
      <c r="G27949"/>
      <c r="I27949"/>
      <c r="N27949"/>
      <c r="O27949" s="24"/>
      <c r="P27949"/>
      <c r="Q27949" s="24"/>
      <c r="R27949"/>
      <c r="S27949"/>
      <c r="T27949"/>
      <c r="U27949"/>
      <c r="X27949" s="60"/>
    </row>
    <row r="27950" spans="7:24" ht="15" customHeight="1">
      <c r="G27950"/>
      <c r="I27950"/>
      <c r="N27950"/>
      <c r="O27950" s="24"/>
      <c r="P27950"/>
      <c r="Q27950" s="24"/>
      <c r="R27950"/>
      <c r="S27950"/>
      <c r="T27950"/>
      <c r="U27950"/>
      <c r="X27950" s="60"/>
    </row>
    <row r="27951" spans="7:24" ht="15" customHeight="1">
      <c r="G27951"/>
      <c r="I27951"/>
      <c r="N27951"/>
      <c r="O27951" s="24"/>
      <c r="P27951"/>
      <c r="Q27951" s="24"/>
      <c r="R27951"/>
      <c r="S27951"/>
      <c r="T27951"/>
      <c r="U27951"/>
      <c r="X27951" s="60"/>
    </row>
    <row r="27952" spans="7:24" ht="15" customHeight="1">
      <c r="G27952"/>
      <c r="I27952"/>
      <c r="N27952"/>
      <c r="O27952" s="24"/>
      <c r="P27952"/>
      <c r="Q27952" s="24"/>
      <c r="R27952"/>
      <c r="S27952"/>
      <c r="T27952"/>
      <c r="U27952"/>
      <c r="X27952" s="60"/>
    </row>
    <row r="27953" spans="7:24" ht="15" customHeight="1">
      <c r="G27953"/>
      <c r="I27953"/>
      <c r="N27953"/>
      <c r="O27953" s="24"/>
      <c r="P27953"/>
      <c r="Q27953" s="24"/>
      <c r="R27953"/>
      <c r="S27953"/>
      <c r="T27953"/>
      <c r="U27953"/>
      <c r="X27953" s="60"/>
    </row>
    <row r="27954" spans="7:24" ht="15" customHeight="1">
      <c r="G27954"/>
      <c r="I27954"/>
      <c r="N27954"/>
      <c r="O27954" s="24"/>
      <c r="P27954"/>
      <c r="Q27954" s="24"/>
      <c r="R27954"/>
      <c r="S27954"/>
      <c r="T27954"/>
      <c r="U27954"/>
      <c r="X27954" s="60"/>
    </row>
    <row r="27955" spans="7:24" ht="15" customHeight="1">
      <c r="G27955"/>
      <c r="I27955"/>
      <c r="N27955"/>
      <c r="O27955" s="24"/>
      <c r="P27955"/>
      <c r="Q27955" s="24"/>
      <c r="R27955"/>
      <c r="S27955"/>
      <c r="T27955"/>
      <c r="U27955"/>
      <c r="X27955" s="60"/>
    </row>
    <row r="27956" spans="7:24" ht="15" customHeight="1">
      <c r="G27956"/>
      <c r="I27956"/>
      <c r="N27956"/>
      <c r="O27956" s="24"/>
      <c r="P27956"/>
      <c r="Q27956" s="24"/>
      <c r="R27956"/>
      <c r="S27956"/>
      <c r="T27956"/>
      <c r="U27956"/>
      <c r="X27956" s="60"/>
    </row>
    <row r="27957" spans="7:24" ht="15" customHeight="1">
      <c r="G27957"/>
      <c r="I27957"/>
      <c r="N27957"/>
      <c r="O27957" s="24"/>
      <c r="P27957"/>
      <c r="Q27957" s="24"/>
      <c r="R27957"/>
      <c r="S27957"/>
      <c r="T27957"/>
      <c r="U27957"/>
      <c r="X27957" s="60"/>
    </row>
    <row r="27958" spans="7:24" ht="15" customHeight="1">
      <c r="G27958"/>
      <c r="I27958"/>
      <c r="N27958"/>
      <c r="O27958" s="24"/>
      <c r="P27958"/>
      <c r="Q27958" s="24"/>
      <c r="R27958"/>
      <c r="S27958"/>
      <c r="T27958"/>
      <c r="U27958"/>
      <c r="X27958" s="60"/>
    </row>
    <row r="27959" spans="7:24" ht="15" customHeight="1">
      <c r="G27959"/>
      <c r="I27959"/>
      <c r="N27959"/>
      <c r="O27959" s="24"/>
      <c r="P27959"/>
      <c r="Q27959" s="24"/>
      <c r="R27959"/>
      <c r="S27959"/>
      <c r="T27959"/>
      <c r="U27959"/>
      <c r="X27959" s="60"/>
    </row>
    <row r="27960" spans="7:24" ht="15" customHeight="1">
      <c r="G27960"/>
      <c r="I27960"/>
      <c r="N27960"/>
      <c r="O27960" s="24"/>
      <c r="P27960"/>
      <c r="Q27960" s="24"/>
      <c r="R27960"/>
      <c r="S27960"/>
      <c r="T27960"/>
      <c r="U27960"/>
      <c r="X27960" s="60"/>
    </row>
    <row r="27961" spans="7:24" ht="15" customHeight="1">
      <c r="G27961"/>
      <c r="I27961"/>
      <c r="N27961"/>
      <c r="O27961" s="24"/>
      <c r="P27961"/>
      <c r="Q27961" s="24"/>
      <c r="R27961"/>
      <c r="S27961"/>
      <c r="T27961"/>
      <c r="U27961"/>
      <c r="X27961" s="60"/>
    </row>
    <row r="27962" spans="7:24" ht="15" customHeight="1">
      <c r="G27962"/>
      <c r="I27962"/>
      <c r="N27962"/>
      <c r="O27962" s="24"/>
      <c r="P27962"/>
      <c r="Q27962" s="24"/>
      <c r="R27962"/>
      <c r="S27962"/>
      <c r="T27962"/>
      <c r="U27962"/>
      <c r="X27962" s="60"/>
    </row>
    <row r="27963" spans="7:24" ht="15" customHeight="1">
      <c r="G27963"/>
      <c r="I27963"/>
      <c r="N27963"/>
      <c r="O27963" s="24"/>
      <c r="P27963"/>
      <c r="Q27963" s="24"/>
      <c r="R27963"/>
      <c r="S27963"/>
      <c r="T27963"/>
      <c r="U27963"/>
      <c r="X27963" s="60"/>
    </row>
    <row r="27964" spans="7:24" ht="15" customHeight="1">
      <c r="G27964"/>
      <c r="I27964"/>
      <c r="N27964"/>
      <c r="O27964" s="24"/>
      <c r="P27964"/>
      <c r="Q27964" s="24"/>
      <c r="R27964"/>
      <c r="S27964"/>
      <c r="T27964"/>
      <c r="U27964"/>
      <c r="X27964" s="60"/>
    </row>
    <row r="27965" spans="7:24" ht="15" customHeight="1">
      <c r="G27965"/>
      <c r="I27965"/>
      <c r="N27965"/>
      <c r="O27965" s="24"/>
      <c r="P27965"/>
      <c r="Q27965" s="24"/>
      <c r="R27965"/>
      <c r="S27965"/>
      <c r="T27965"/>
      <c r="U27965"/>
      <c r="X27965" s="60"/>
    </row>
    <row r="27966" spans="7:24" ht="15" customHeight="1">
      <c r="G27966"/>
      <c r="I27966"/>
      <c r="N27966"/>
      <c r="O27966" s="24"/>
      <c r="P27966"/>
      <c r="Q27966" s="24"/>
      <c r="R27966"/>
      <c r="S27966"/>
      <c r="T27966"/>
      <c r="U27966"/>
      <c r="X27966" s="60"/>
    </row>
    <row r="27967" spans="7:24" ht="15" customHeight="1">
      <c r="G27967"/>
      <c r="I27967"/>
      <c r="N27967"/>
      <c r="O27967" s="24"/>
      <c r="P27967"/>
      <c r="Q27967" s="24"/>
      <c r="R27967"/>
      <c r="S27967"/>
      <c r="T27967"/>
      <c r="U27967"/>
      <c r="X27967" s="60"/>
    </row>
    <row r="27968" spans="7:24" ht="15" customHeight="1">
      <c r="G27968"/>
      <c r="I27968"/>
      <c r="N27968"/>
      <c r="O27968" s="24"/>
      <c r="P27968"/>
      <c r="Q27968" s="24"/>
      <c r="R27968"/>
      <c r="S27968"/>
      <c r="T27968"/>
      <c r="U27968"/>
      <c r="X27968" s="60"/>
    </row>
    <row r="27969" spans="7:24" ht="15" customHeight="1">
      <c r="G27969"/>
      <c r="I27969"/>
      <c r="N27969"/>
      <c r="O27969" s="24"/>
      <c r="P27969"/>
      <c r="Q27969" s="24"/>
      <c r="R27969"/>
      <c r="S27969"/>
      <c r="T27969"/>
      <c r="U27969"/>
      <c r="X27969" s="60"/>
    </row>
    <row r="27970" spans="7:24" ht="15" customHeight="1">
      <c r="G27970"/>
      <c r="I27970"/>
      <c r="N27970"/>
      <c r="O27970" s="24"/>
      <c r="P27970"/>
      <c r="Q27970" s="24"/>
      <c r="R27970"/>
      <c r="S27970"/>
      <c r="T27970"/>
      <c r="U27970"/>
      <c r="X27970" s="60"/>
    </row>
    <row r="27971" spans="7:24" ht="15" customHeight="1">
      <c r="G27971"/>
      <c r="I27971"/>
      <c r="N27971"/>
      <c r="O27971" s="24"/>
      <c r="P27971"/>
      <c r="Q27971" s="24"/>
      <c r="R27971"/>
      <c r="S27971"/>
      <c r="T27971"/>
      <c r="U27971"/>
      <c r="X27971" s="60"/>
    </row>
    <row r="27972" spans="7:24" ht="15" customHeight="1">
      <c r="G27972"/>
      <c r="I27972"/>
      <c r="N27972"/>
      <c r="O27972" s="24"/>
      <c r="P27972"/>
      <c r="Q27972" s="24"/>
      <c r="R27972"/>
      <c r="S27972"/>
      <c r="T27972"/>
      <c r="U27972"/>
      <c r="X27972" s="60"/>
    </row>
    <row r="27973" spans="7:24" ht="15" customHeight="1">
      <c r="G27973"/>
      <c r="I27973"/>
      <c r="N27973"/>
      <c r="O27973" s="24"/>
      <c r="P27973"/>
      <c r="Q27973" s="24"/>
      <c r="R27973"/>
      <c r="S27973"/>
      <c r="T27973"/>
      <c r="U27973"/>
      <c r="X27973" s="60"/>
    </row>
    <row r="27974" spans="7:24" ht="15" customHeight="1">
      <c r="G27974"/>
      <c r="I27974"/>
      <c r="N27974"/>
      <c r="O27974" s="24"/>
      <c r="P27974"/>
      <c r="Q27974" s="24"/>
      <c r="R27974"/>
      <c r="S27974"/>
      <c r="T27974"/>
      <c r="U27974"/>
      <c r="X27974" s="60"/>
    </row>
    <row r="27975" spans="7:24" ht="15" customHeight="1">
      <c r="G27975"/>
      <c r="I27975"/>
      <c r="N27975"/>
      <c r="O27975" s="24"/>
      <c r="P27975"/>
      <c r="Q27975" s="24"/>
      <c r="R27975"/>
      <c r="S27975"/>
      <c r="T27975"/>
      <c r="U27975"/>
      <c r="X27975" s="60"/>
    </row>
    <row r="27976" spans="7:24" ht="15" customHeight="1">
      <c r="G27976"/>
      <c r="I27976"/>
      <c r="N27976"/>
      <c r="O27976" s="24"/>
      <c r="P27976"/>
      <c r="Q27976" s="24"/>
      <c r="R27976"/>
      <c r="S27976"/>
      <c r="T27976"/>
      <c r="U27976"/>
      <c r="X27976" s="60"/>
    </row>
    <row r="27977" spans="7:24" ht="15" customHeight="1">
      <c r="G27977"/>
      <c r="I27977"/>
      <c r="N27977"/>
      <c r="O27977" s="24"/>
      <c r="P27977"/>
      <c r="Q27977" s="24"/>
      <c r="R27977"/>
      <c r="S27977"/>
      <c r="T27977"/>
      <c r="U27977"/>
      <c r="X27977" s="60"/>
    </row>
    <row r="27978" spans="7:24" ht="15" customHeight="1">
      <c r="G27978"/>
      <c r="I27978"/>
      <c r="N27978"/>
      <c r="O27978" s="24"/>
      <c r="P27978"/>
      <c r="Q27978" s="24"/>
      <c r="R27978"/>
      <c r="S27978"/>
      <c r="T27978"/>
      <c r="U27978"/>
      <c r="X27978" s="60"/>
    </row>
    <row r="27979" spans="7:24" ht="15" customHeight="1">
      <c r="G27979"/>
      <c r="I27979"/>
      <c r="N27979"/>
      <c r="O27979" s="24"/>
      <c r="P27979"/>
      <c r="Q27979" s="24"/>
      <c r="R27979"/>
      <c r="S27979"/>
      <c r="T27979"/>
      <c r="U27979"/>
      <c r="X27979" s="60"/>
    </row>
    <row r="27980" spans="7:24" ht="15" customHeight="1">
      <c r="G27980"/>
      <c r="I27980"/>
      <c r="N27980"/>
      <c r="O27980" s="24"/>
      <c r="P27980"/>
      <c r="Q27980" s="24"/>
      <c r="R27980"/>
      <c r="S27980"/>
      <c r="T27980"/>
      <c r="U27980"/>
      <c r="X27980" s="60"/>
    </row>
    <row r="27981" spans="7:24" ht="15" customHeight="1">
      <c r="G27981"/>
      <c r="I27981"/>
      <c r="N27981"/>
      <c r="O27981" s="24"/>
      <c r="P27981"/>
      <c r="Q27981" s="24"/>
      <c r="R27981"/>
      <c r="S27981"/>
      <c r="T27981"/>
      <c r="U27981"/>
      <c r="X27981" s="60"/>
    </row>
    <row r="27982" spans="7:24" ht="15" customHeight="1">
      <c r="G27982"/>
      <c r="I27982"/>
      <c r="N27982"/>
      <c r="O27982" s="24"/>
      <c r="P27982"/>
      <c r="Q27982" s="24"/>
      <c r="R27982"/>
      <c r="S27982"/>
      <c r="T27982"/>
      <c r="U27982"/>
      <c r="X27982" s="60"/>
    </row>
    <row r="27983" spans="7:24" ht="15" customHeight="1">
      <c r="G27983"/>
      <c r="I27983"/>
      <c r="N27983"/>
      <c r="O27983" s="24"/>
      <c r="P27983"/>
      <c r="Q27983" s="24"/>
      <c r="R27983"/>
      <c r="S27983"/>
      <c r="T27983"/>
      <c r="U27983"/>
      <c r="X27983" s="60"/>
    </row>
    <row r="27984" spans="7:24" ht="15" customHeight="1">
      <c r="G27984"/>
      <c r="I27984"/>
      <c r="N27984"/>
      <c r="O27984" s="24"/>
      <c r="P27984"/>
      <c r="Q27984" s="24"/>
      <c r="R27984"/>
      <c r="S27984"/>
      <c r="T27984"/>
      <c r="U27984"/>
      <c r="X27984" s="60"/>
    </row>
    <row r="27985" spans="7:24" ht="15" customHeight="1">
      <c r="G27985"/>
      <c r="I27985"/>
      <c r="N27985"/>
      <c r="O27985" s="24"/>
      <c r="P27985"/>
      <c r="Q27985" s="24"/>
      <c r="R27985"/>
      <c r="S27985"/>
      <c r="T27985"/>
      <c r="U27985"/>
      <c r="X27985" s="60"/>
    </row>
    <row r="27986" spans="7:24" ht="15" customHeight="1">
      <c r="G27986"/>
      <c r="I27986"/>
      <c r="N27986"/>
      <c r="O27986" s="24"/>
      <c r="P27986"/>
      <c r="Q27986" s="24"/>
      <c r="R27986"/>
      <c r="S27986"/>
      <c r="T27986"/>
      <c r="U27986"/>
      <c r="X27986" s="60"/>
    </row>
    <row r="27987" spans="7:24" ht="15" customHeight="1">
      <c r="G27987"/>
      <c r="I27987"/>
      <c r="N27987"/>
      <c r="O27987" s="24"/>
      <c r="P27987"/>
      <c r="Q27987" s="24"/>
      <c r="R27987"/>
      <c r="S27987"/>
      <c r="T27987"/>
      <c r="U27987"/>
      <c r="X27987" s="60"/>
    </row>
    <row r="27988" spans="7:24" ht="15" customHeight="1">
      <c r="G27988"/>
      <c r="I27988"/>
      <c r="N27988"/>
      <c r="O27988" s="24"/>
      <c r="P27988"/>
      <c r="Q27988" s="24"/>
      <c r="R27988"/>
      <c r="S27988"/>
      <c r="T27988"/>
      <c r="U27988"/>
      <c r="X27988" s="60"/>
    </row>
    <row r="27989" spans="7:24" ht="15" customHeight="1">
      <c r="G27989"/>
      <c r="I27989"/>
      <c r="N27989"/>
      <c r="O27989" s="24"/>
      <c r="P27989"/>
      <c r="Q27989" s="24"/>
      <c r="R27989"/>
      <c r="S27989"/>
      <c r="T27989"/>
      <c r="U27989"/>
      <c r="X27989" s="60"/>
    </row>
    <row r="27990" spans="7:24" ht="15" customHeight="1">
      <c r="G27990"/>
      <c r="I27990"/>
      <c r="N27990"/>
      <c r="O27990" s="24"/>
      <c r="P27990"/>
      <c r="Q27990" s="24"/>
      <c r="R27990"/>
      <c r="S27990"/>
      <c r="T27990"/>
      <c r="U27990"/>
      <c r="X27990" s="60"/>
    </row>
    <row r="27991" spans="7:24" ht="15" customHeight="1">
      <c r="G27991"/>
      <c r="I27991"/>
      <c r="N27991"/>
      <c r="O27991" s="24"/>
      <c r="P27991"/>
      <c r="Q27991" s="24"/>
      <c r="R27991"/>
      <c r="S27991"/>
      <c r="T27991"/>
      <c r="U27991"/>
      <c r="X27991" s="60"/>
    </row>
    <row r="27992" spans="7:24" ht="15" customHeight="1">
      <c r="G27992"/>
      <c r="I27992"/>
      <c r="N27992"/>
      <c r="O27992" s="24"/>
      <c r="P27992"/>
      <c r="Q27992" s="24"/>
      <c r="R27992"/>
      <c r="S27992"/>
      <c r="T27992"/>
      <c r="U27992"/>
      <c r="X27992" s="60"/>
    </row>
    <row r="27993" spans="7:24" ht="15" customHeight="1">
      <c r="G27993"/>
      <c r="I27993"/>
      <c r="N27993"/>
      <c r="O27993" s="24"/>
      <c r="P27993"/>
      <c r="Q27993" s="24"/>
      <c r="R27993"/>
      <c r="S27993"/>
      <c r="T27993"/>
      <c r="U27993"/>
      <c r="X27993" s="60"/>
    </row>
    <row r="27994" spans="7:24" ht="15" customHeight="1">
      <c r="G27994"/>
      <c r="I27994"/>
      <c r="N27994"/>
      <c r="O27994" s="24"/>
      <c r="P27994"/>
      <c r="Q27994" s="24"/>
      <c r="R27994"/>
      <c r="S27994"/>
      <c r="T27994"/>
      <c r="U27994"/>
      <c r="X27994" s="60"/>
    </row>
    <row r="27995" spans="7:24" ht="15" customHeight="1">
      <c r="G27995"/>
      <c r="I27995"/>
      <c r="N27995"/>
      <c r="O27995" s="24"/>
      <c r="P27995"/>
      <c r="Q27995" s="24"/>
      <c r="R27995"/>
      <c r="S27995"/>
      <c r="T27995"/>
      <c r="U27995"/>
      <c r="X27995" s="60"/>
    </row>
    <row r="27996" spans="7:24" ht="15" customHeight="1">
      <c r="G27996"/>
      <c r="I27996"/>
      <c r="N27996"/>
      <c r="O27996" s="24"/>
      <c r="P27996"/>
      <c r="Q27996" s="24"/>
      <c r="R27996"/>
      <c r="S27996"/>
      <c r="T27996"/>
      <c r="U27996"/>
      <c r="X27996" s="60"/>
    </row>
    <row r="27997" spans="7:24" ht="15" customHeight="1">
      <c r="G27997"/>
      <c r="I27997"/>
      <c r="N27997"/>
      <c r="O27997" s="24"/>
      <c r="P27997"/>
      <c r="Q27997" s="24"/>
      <c r="R27997"/>
      <c r="S27997"/>
      <c r="T27997"/>
      <c r="U27997"/>
      <c r="X27997" s="60"/>
    </row>
    <row r="27998" spans="7:24" ht="15" customHeight="1">
      <c r="G27998"/>
      <c r="I27998"/>
      <c r="N27998"/>
      <c r="O27998" s="24"/>
      <c r="P27998"/>
      <c r="Q27998" s="24"/>
      <c r="R27998"/>
      <c r="S27998"/>
      <c r="T27998"/>
      <c r="U27998"/>
      <c r="X27998" s="60"/>
    </row>
    <row r="27999" spans="7:24" ht="15" customHeight="1">
      <c r="G27999"/>
      <c r="I27999"/>
      <c r="N27999"/>
      <c r="O27999" s="24"/>
      <c r="P27999"/>
      <c r="Q27999" s="24"/>
      <c r="R27999"/>
      <c r="S27999"/>
      <c r="T27999"/>
      <c r="U27999"/>
      <c r="X27999" s="60"/>
    </row>
    <row r="28000" spans="7:24" ht="15" customHeight="1">
      <c r="G28000"/>
      <c r="I28000"/>
      <c r="N28000"/>
      <c r="O28000" s="24"/>
      <c r="P28000"/>
      <c r="Q28000" s="24"/>
      <c r="R28000"/>
      <c r="S28000"/>
      <c r="T28000"/>
      <c r="U28000"/>
      <c r="X28000" s="60"/>
    </row>
    <row r="28001" spans="7:24" ht="15" customHeight="1">
      <c r="G28001"/>
      <c r="I28001"/>
      <c r="N28001"/>
      <c r="O28001" s="24"/>
      <c r="P28001"/>
      <c r="Q28001" s="24"/>
      <c r="R28001"/>
      <c r="S28001"/>
      <c r="T28001"/>
      <c r="U28001"/>
      <c r="X28001" s="60"/>
    </row>
    <row r="28002" spans="7:24" ht="15" customHeight="1">
      <c r="G28002"/>
      <c r="I28002"/>
      <c r="N28002"/>
      <c r="O28002" s="24"/>
      <c r="P28002"/>
      <c r="Q28002" s="24"/>
      <c r="R28002"/>
      <c r="S28002"/>
      <c r="T28002"/>
      <c r="U28002"/>
      <c r="X28002" s="60"/>
    </row>
    <row r="28003" spans="7:24" ht="15" customHeight="1">
      <c r="G28003"/>
      <c r="I28003"/>
      <c r="N28003"/>
      <c r="O28003" s="24"/>
      <c r="P28003"/>
      <c r="Q28003" s="24"/>
      <c r="R28003"/>
      <c r="S28003"/>
      <c r="T28003"/>
      <c r="U28003"/>
      <c r="X28003" s="60"/>
    </row>
    <row r="28004" spans="7:24" ht="15" customHeight="1">
      <c r="G28004"/>
      <c r="I28004"/>
      <c r="N28004"/>
      <c r="O28004" s="24"/>
      <c r="P28004"/>
      <c r="Q28004" s="24"/>
      <c r="R28004"/>
      <c r="S28004"/>
      <c r="T28004"/>
      <c r="U28004"/>
      <c r="X28004" s="60"/>
    </row>
    <row r="28005" spans="7:24" ht="15" customHeight="1">
      <c r="G28005"/>
      <c r="I28005"/>
      <c r="N28005"/>
      <c r="O28005" s="24"/>
      <c r="P28005"/>
      <c r="Q28005" s="24"/>
      <c r="R28005"/>
      <c r="S28005"/>
      <c r="T28005"/>
      <c r="U28005"/>
      <c r="X28005" s="60"/>
    </row>
    <row r="28006" spans="7:24" ht="15" customHeight="1">
      <c r="G28006"/>
      <c r="I28006"/>
      <c r="N28006"/>
      <c r="O28006" s="24"/>
      <c r="P28006"/>
      <c r="Q28006" s="24"/>
      <c r="R28006"/>
      <c r="S28006"/>
      <c r="T28006"/>
      <c r="U28006"/>
      <c r="X28006" s="60"/>
    </row>
    <row r="28007" spans="7:24" ht="15" customHeight="1">
      <c r="G28007"/>
      <c r="I28007"/>
      <c r="N28007"/>
      <c r="O28007" s="24"/>
      <c r="P28007"/>
      <c r="Q28007" s="24"/>
      <c r="R28007"/>
      <c r="S28007"/>
      <c r="T28007"/>
      <c r="U28007"/>
      <c r="X28007" s="60"/>
    </row>
    <row r="28008" spans="7:24" ht="15" customHeight="1">
      <c r="G28008"/>
      <c r="I28008"/>
      <c r="N28008"/>
      <c r="O28008" s="24"/>
      <c r="P28008"/>
      <c r="Q28008" s="24"/>
      <c r="R28008"/>
      <c r="S28008"/>
      <c r="T28008"/>
      <c r="U28008"/>
      <c r="X28008" s="60"/>
    </row>
    <row r="28009" spans="7:24" ht="15" customHeight="1">
      <c r="G28009"/>
      <c r="I28009"/>
      <c r="N28009"/>
      <c r="O28009" s="24"/>
      <c r="P28009"/>
      <c r="Q28009" s="24"/>
      <c r="R28009"/>
      <c r="S28009"/>
      <c r="T28009"/>
      <c r="U28009"/>
      <c r="X28009" s="60"/>
    </row>
    <row r="28010" spans="7:24" ht="15" customHeight="1">
      <c r="G28010"/>
      <c r="I28010"/>
      <c r="N28010"/>
      <c r="O28010" s="24"/>
      <c r="P28010"/>
      <c r="Q28010" s="24"/>
      <c r="R28010"/>
      <c r="S28010"/>
      <c r="T28010"/>
      <c r="U28010"/>
      <c r="X28010" s="60"/>
    </row>
    <row r="28011" spans="7:24" ht="15" customHeight="1">
      <c r="G28011"/>
      <c r="I28011"/>
      <c r="N28011"/>
      <c r="O28011" s="24"/>
      <c r="P28011"/>
      <c r="Q28011" s="24"/>
      <c r="R28011"/>
      <c r="S28011"/>
      <c r="T28011"/>
      <c r="U28011"/>
      <c r="X28011" s="60"/>
    </row>
    <row r="28012" spans="7:24" ht="15" customHeight="1">
      <c r="G28012"/>
      <c r="I28012"/>
      <c r="N28012"/>
      <c r="O28012" s="24"/>
      <c r="P28012"/>
      <c r="Q28012" s="24"/>
      <c r="R28012"/>
      <c r="S28012"/>
      <c r="T28012"/>
      <c r="U28012"/>
      <c r="X28012" s="60"/>
    </row>
    <row r="28013" spans="7:24" ht="15" customHeight="1">
      <c r="G28013"/>
      <c r="I28013"/>
      <c r="N28013"/>
      <c r="O28013" s="24"/>
      <c r="P28013"/>
      <c r="Q28013" s="24"/>
      <c r="R28013"/>
      <c r="S28013"/>
      <c r="T28013"/>
      <c r="U28013"/>
      <c r="X28013" s="60"/>
    </row>
    <row r="28014" spans="7:24" ht="15" customHeight="1">
      <c r="G28014"/>
      <c r="I28014"/>
      <c r="N28014"/>
      <c r="O28014" s="24"/>
      <c r="P28014"/>
      <c r="Q28014" s="24"/>
      <c r="R28014"/>
      <c r="S28014"/>
      <c r="T28014"/>
      <c r="U28014"/>
      <c r="X28014" s="60"/>
    </row>
    <row r="28015" spans="7:24" ht="15" customHeight="1">
      <c r="G28015"/>
      <c r="I28015"/>
      <c r="N28015"/>
      <c r="O28015" s="24"/>
      <c r="P28015"/>
      <c r="Q28015" s="24"/>
      <c r="R28015"/>
      <c r="S28015"/>
      <c r="T28015"/>
      <c r="U28015"/>
      <c r="X28015" s="60"/>
    </row>
    <row r="28016" spans="7:24" ht="15" customHeight="1">
      <c r="G28016"/>
      <c r="I28016"/>
      <c r="N28016"/>
      <c r="O28016" s="24"/>
      <c r="P28016"/>
      <c r="Q28016" s="24"/>
      <c r="R28016"/>
      <c r="S28016"/>
      <c r="T28016"/>
      <c r="U28016"/>
      <c r="X28016" s="60"/>
    </row>
    <row r="28017" spans="7:24" ht="15" customHeight="1">
      <c r="G28017"/>
      <c r="I28017"/>
      <c r="N28017"/>
      <c r="O28017" s="24"/>
      <c r="P28017"/>
      <c r="Q28017" s="24"/>
      <c r="R28017"/>
      <c r="S28017"/>
      <c r="T28017"/>
      <c r="U28017"/>
      <c r="X28017" s="60"/>
    </row>
    <row r="28018" spans="7:24" ht="15" customHeight="1">
      <c r="G28018"/>
      <c r="I28018"/>
      <c r="N28018"/>
      <c r="O28018" s="24"/>
      <c r="P28018"/>
      <c r="Q28018" s="24"/>
      <c r="R28018"/>
      <c r="S28018"/>
      <c r="T28018"/>
      <c r="U28018"/>
      <c r="X28018" s="60"/>
    </row>
    <row r="28019" spans="7:24" ht="15" customHeight="1">
      <c r="G28019"/>
      <c r="I28019"/>
      <c r="N28019"/>
      <c r="O28019" s="24"/>
      <c r="P28019"/>
      <c r="Q28019" s="24"/>
      <c r="R28019"/>
      <c r="S28019"/>
      <c r="T28019"/>
      <c r="U28019"/>
      <c r="X28019" s="60"/>
    </row>
    <row r="28020" spans="7:24" ht="15" customHeight="1">
      <c r="G28020"/>
      <c r="I28020"/>
      <c r="N28020"/>
      <c r="O28020" s="24"/>
      <c r="P28020"/>
      <c r="Q28020" s="24"/>
      <c r="R28020"/>
      <c r="S28020"/>
      <c r="T28020"/>
      <c r="U28020"/>
      <c r="X28020" s="60"/>
    </row>
    <row r="28021" spans="7:24" ht="15" customHeight="1">
      <c r="G28021"/>
      <c r="I28021"/>
      <c r="N28021"/>
      <c r="O28021" s="24"/>
      <c r="P28021"/>
      <c r="Q28021" s="24"/>
      <c r="R28021"/>
      <c r="S28021"/>
      <c r="T28021"/>
      <c r="U28021"/>
      <c r="X28021" s="60"/>
    </row>
    <row r="28022" spans="7:24" ht="15" customHeight="1">
      <c r="G28022"/>
      <c r="I28022"/>
      <c r="N28022"/>
      <c r="O28022" s="24"/>
      <c r="P28022"/>
      <c r="Q28022" s="24"/>
      <c r="R28022"/>
      <c r="S28022"/>
      <c r="T28022"/>
      <c r="U28022"/>
      <c r="X28022" s="60"/>
    </row>
    <row r="28023" spans="7:24" ht="15" customHeight="1">
      <c r="G28023"/>
      <c r="I28023"/>
      <c r="N28023"/>
      <c r="O28023" s="24"/>
      <c r="P28023"/>
      <c r="Q28023" s="24"/>
      <c r="R28023"/>
      <c r="S28023"/>
      <c r="T28023"/>
      <c r="U28023"/>
      <c r="X28023" s="60"/>
    </row>
    <row r="28024" spans="7:24" ht="15" customHeight="1">
      <c r="G28024"/>
      <c r="I28024"/>
      <c r="N28024"/>
      <c r="O28024" s="24"/>
      <c r="P28024"/>
      <c r="Q28024" s="24"/>
      <c r="R28024"/>
      <c r="S28024"/>
      <c r="T28024"/>
      <c r="U28024"/>
      <c r="X28024" s="60"/>
    </row>
    <row r="28025" spans="7:24" ht="15" customHeight="1">
      <c r="G28025"/>
      <c r="I28025"/>
      <c r="N28025"/>
      <c r="O28025" s="24"/>
      <c r="P28025"/>
      <c r="Q28025" s="24"/>
      <c r="R28025"/>
      <c r="S28025"/>
      <c r="T28025"/>
      <c r="U28025"/>
      <c r="X28025" s="60"/>
    </row>
    <row r="28026" spans="7:24" ht="15" customHeight="1">
      <c r="G28026"/>
      <c r="I28026"/>
      <c r="N28026"/>
      <c r="O28026" s="24"/>
      <c r="P28026"/>
      <c r="Q28026" s="24"/>
      <c r="R28026"/>
      <c r="S28026"/>
      <c r="T28026"/>
      <c r="U28026"/>
      <c r="X28026" s="60"/>
    </row>
    <row r="28027" spans="7:24" ht="15" customHeight="1">
      <c r="G28027"/>
      <c r="I28027"/>
      <c r="N28027"/>
      <c r="O28027" s="24"/>
      <c r="P28027"/>
      <c r="Q28027" s="24"/>
      <c r="R28027"/>
      <c r="S28027"/>
      <c r="T28027"/>
      <c r="U28027"/>
      <c r="X28027" s="60"/>
    </row>
    <row r="28028" spans="7:24" ht="15" customHeight="1">
      <c r="G28028"/>
      <c r="I28028"/>
      <c r="N28028"/>
      <c r="O28028" s="24"/>
      <c r="P28028"/>
      <c r="Q28028" s="24"/>
      <c r="R28028"/>
      <c r="S28028"/>
      <c r="T28028"/>
      <c r="U28028"/>
      <c r="X28028" s="60"/>
    </row>
    <row r="28029" spans="7:24" ht="15" customHeight="1">
      <c r="G28029"/>
      <c r="I28029"/>
      <c r="N28029"/>
      <c r="O28029" s="24"/>
      <c r="P28029"/>
      <c r="Q28029" s="24"/>
      <c r="R28029"/>
      <c r="S28029"/>
      <c r="T28029"/>
      <c r="U28029"/>
      <c r="X28029" s="60"/>
    </row>
    <row r="28030" spans="7:24" ht="15" customHeight="1">
      <c r="G28030"/>
      <c r="I28030"/>
      <c r="N28030"/>
      <c r="O28030" s="24"/>
      <c r="P28030"/>
      <c r="Q28030" s="24"/>
      <c r="R28030"/>
      <c r="S28030"/>
      <c r="T28030"/>
      <c r="U28030"/>
      <c r="X28030" s="60"/>
    </row>
    <row r="28031" spans="7:24" ht="15" customHeight="1">
      <c r="G28031"/>
      <c r="I28031"/>
      <c r="N28031"/>
      <c r="O28031" s="24"/>
      <c r="P28031"/>
      <c r="Q28031" s="24"/>
      <c r="R28031"/>
      <c r="S28031"/>
      <c r="T28031"/>
      <c r="U28031"/>
      <c r="X28031" s="60"/>
    </row>
    <row r="28032" spans="7:24" ht="15" customHeight="1">
      <c r="G28032"/>
      <c r="I28032"/>
      <c r="N28032"/>
      <c r="O28032" s="24"/>
      <c r="P28032"/>
      <c r="Q28032" s="24"/>
      <c r="R28032"/>
      <c r="S28032"/>
      <c r="T28032"/>
      <c r="U28032"/>
      <c r="X28032" s="60"/>
    </row>
    <row r="28033" spans="7:24" ht="15" customHeight="1">
      <c r="G28033"/>
      <c r="I28033"/>
      <c r="N28033"/>
      <c r="O28033" s="24"/>
      <c r="P28033"/>
      <c r="Q28033" s="24"/>
      <c r="R28033"/>
      <c r="S28033"/>
      <c r="T28033"/>
      <c r="U28033"/>
      <c r="X28033" s="60"/>
    </row>
    <row r="28034" spans="7:24" ht="15" customHeight="1">
      <c r="G28034"/>
      <c r="I28034"/>
      <c r="N28034"/>
      <c r="O28034" s="24"/>
      <c r="P28034"/>
      <c r="Q28034" s="24"/>
      <c r="R28034"/>
      <c r="S28034"/>
      <c r="T28034"/>
      <c r="U28034"/>
      <c r="X28034" s="60"/>
    </row>
    <row r="28035" spans="7:24" ht="15" customHeight="1">
      <c r="G28035"/>
      <c r="I28035"/>
      <c r="N28035"/>
      <c r="O28035" s="24"/>
      <c r="P28035"/>
      <c r="Q28035" s="24"/>
      <c r="R28035"/>
      <c r="S28035"/>
      <c r="T28035"/>
      <c r="U28035"/>
      <c r="X28035" s="60"/>
    </row>
    <row r="28036" spans="7:24" ht="15" customHeight="1">
      <c r="G28036"/>
      <c r="I28036"/>
      <c r="N28036"/>
      <c r="O28036" s="24"/>
      <c r="P28036"/>
      <c r="Q28036" s="24"/>
      <c r="R28036"/>
      <c r="S28036"/>
      <c r="T28036"/>
      <c r="U28036"/>
      <c r="X28036" s="60"/>
    </row>
    <row r="28037" spans="7:24" ht="15" customHeight="1">
      <c r="G28037"/>
      <c r="I28037"/>
      <c r="N28037"/>
      <c r="O28037" s="24"/>
      <c r="P28037"/>
      <c r="Q28037" s="24"/>
      <c r="R28037"/>
      <c r="S28037"/>
      <c r="T28037"/>
      <c r="U28037"/>
      <c r="X28037" s="60"/>
    </row>
    <row r="28038" spans="7:24" ht="15" customHeight="1">
      <c r="G28038"/>
      <c r="I28038"/>
      <c r="N28038"/>
      <c r="O28038" s="24"/>
      <c r="P28038"/>
      <c r="Q28038" s="24"/>
      <c r="R28038"/>
      <c r="S28038"/>
      <c r="T28038"/>
      <c r="U28038"/>
      <c r="X28038" s="60"/>
    </row>
    <row r="28039" spans="7:24" ht="15" customHeight="1">
      <c r="G28039"/>
      <c r="I28039"/>
      <c r="N28039"/>
      <c r="O28039" s="24"/>
      <c r="P28039"/>
      <c r="Q28039" s="24"/>
      <c r="R28039"/>
      <c r="S28039"/>
      <c r="T28039"/>
      <c r="U28039"/>
      <c r="X28039" s="60"/>
    </row>
    <row r="28040" spans="7:24" ht="15" customHeight="1">
      <c r="G28040"/>
      <c r="I28040"/>
      <c r="N28040"/>
      <c r="O28040" s="24"/>
      <c r="P28040"/>
      <c r="Q28040" s="24"/>
      <c r="R28040"/>
      <c r="S28040"/>
      <c r="T28040"/>
      <c r="U28040"/>
      <c r="X28040" s="60"/>
    </row>
    <row r="28041" spans="7:24" ht="15" customHeight="1">
      <c r="G28041"/>
      <c r="I28041"/>
      <c r="N28041"/>
      <c r="O28041" s="24"/>
      <c r="P28041"/>
      <c r="Q28041" s="24"/>
      <c r="R28041"/>
      <c r="S28041"/>
      <c r="T28041"/>
      <c r="U28041"/>
      <c r="X28041" s="60"/>
    </row>
    <row r="28042" spans="7:24" ht="15" customHeight="1">
      <c r="G28042"/>
      <c r="I28042"/>
      <c r="N28042"/>
      <c r="O28042" s="24"/>
      <c r="P28042"/>
      <c r="Q28042" s="24"/>
      <c r="R28042"/>
      <c r="S28042"/>
      <c r="T28042"/>
      <c r="U28042"/>
      <c r="X28042" s="60"/>
    </row>
    <row r="28043" spans="7:24" ht="15" customHeight="1">
      <c r="G28043"/>
      <c r="I28043"/>
      <c r="N28043"/>
      <c r="O28043" s="24"/>
      <c r="P28043"/>
      <c r="Q28043" s="24"/>
      <c r="R28043"/>
      <c r="S28043"/>
      <c r="T28043"/>
      <c r="U28043"/>
      <c r="X28043" s="60"/>
    </row>
    <row r="28044" spans="7:24" ht="15" customHeight="1">
      <c r="G28044"/>
      <c r="I28044"/>
      <c r="N28044"/>
      <c r="O28044" s="24"/>
      <c r="P28044"/>
      <c r="Q28044" s="24"/>
      <c r="R28044"/>
      <c r="S28044"/>
      <c r="T28044"/>
      <c r="U28044"/>
      <c r="X28044" s="60"/>
    </row>
    <row r="28045" spans="7:24" ht="15" customHeight="1">
      <c r="G28045"/>
      <c r="I28045"/>
      <c r="N28045"/>
      <c r="O28045" s="24"/>
      <c r="P28045"/>
      <c r="Q28045" s="24"/>
      <c r="R28045"/>
      <c r="S28045"/>
      <c r="T28045"/>
      <c r="U28045"/>
      <c r="X28045" s="60"/>
    </row>
    <row r="28046" spans="7:24" ht="15" customHeight="1">
      <c r="G28046"/>
      <c r="I28046"/>
      <c r="N28046"/>
      <c r="O28046" s="24"/>
      <c r="P28046"/>
      <c r="Q28046" s="24"/>
      <c r="R28046"/>
      <c r="S28046"/>
      <c r="T28046"/>
      <c r="U28046"/>
      <c r="X28046" s="60"/>
    </row>
    <row r="28047" spans="7:24" ht="15" customHeight="1">
      <c r="G28047"/>
      <c r="I28047"/>
      <c r="N28047"/>
      <c r="O28047" s="24"/>
      <c r="P28047"/>
      <c r="Q28047" s="24"/>
      <c r="R28047"/>
      <c r="S28047"/>
      <c r="T28047"/>
      <c r="U28047"/>
      <c r="X28047" s="60"/>
    </row>
    <row r="28048" spans="7:24" ht="15" customHeight="1">
      <c r="G28048"/>
      <c r="I28048"/>
      <c r="N28048"/>
      <c r="O28048" s="24"/>
      <c r="P28048"/>
      <c r="Q28048" s="24"/>
      <c r="R28048"/>
      <c r="S28048"/>
      <c r="T28048"/>
      <c r="U28048"/>
      <c r="X28048" s="60"/>
    </row>
    <row r="28049" spans="7:24" ht="15" customHeight="1">
      <c r="G28049"/>
      <c r="I28049"/>
      <c r="N28049"/>
      <c r="O28049" s="24"/>
      <c r="P28049"/>
      <c r="Q28049" s="24"/>
      <c r="R28049"/>
      <c r="S28049"/>
      <c r="T28049"/>
      <c r="U28049"/>
      <c r="X28049" s="60"/>
    </row>
    <row r="28050" spans="7:24" ht="15" customHeight="1">
      <c r="G28050"/>
      <c r="I28050"/>
      <c r="N28050"/>
      <c r="O28050" s="24"/>
      <c r="P28050"/>
      <c r="Q28050" s="24"/>
      <c r="R28050"/>
      <c r="S28050"/>
      <c r="T28050"/>
      <c r="U28050"/>
      <c r="X28050" s="60"/>
    </row>
    <row r="28051" spans="7:24" ht="15" customHeight="1">
      <c r="G28051"/>
      <c r="I28051"/>
      <c r="N28051"/>
      <c r="O28051" s="24"/>
      <c r="P28051"/>
      <c r="Q28051" s="24"/>
      <c r="R28051"/>
      <c r="S28051"/>
      <c r="T28051"/>
      <c r="U28051"/>
      <c r="X28051" s="60"/>
    </row>
    <row r="28052" spans="7:24" ht="15" customHeight="1">
      <c r="G28052"/>
      <c r="I28052"/>
      <c r="N28052"/>
      <c r="O28052" s="24"/>
      <c r="P28052"/>
      <c r="Q28052" s="24"/>
      <c r="R28052"/>
      <c r="S28052"/>
      <c r="T28052"/>
      <c r="U28052"/>
      <c r="X28052" s="60"/>
    </row>
    <row r="28053" spans="7:24" ht="15" customHeight="1">
      <c r="G28053"/>
      <c r="I28053"/>
      <c r="N28053"/>
      <c r="O28053" s="24"/>
      <c r="P28053"/>
      <c r="Q28053" s="24"/>
      <c r="R28053"/>
      <c r="S28053"/>
      <c r="T28053"/>
      <c r="U28053"/>
      <c r="X28053" s="60"/>
    </row>
    <row r="28054" spans="7:24" ht="15" customHeight="1">
      <c r="G28054"/>
      <c r="I28054"/>
      <c r="N28054"/>
      <c r="O28054" s="24"/>
      <c r="P28054"/>
      <c r="Q28054" s="24"/>
      <c r="R28054"/>
      <c r="S28054"/>
      <c r="T28054"/>
      <c r="U28054"/>
      <c r="X28054" s="60"/>
    </row>
    <row r="28055" spans="7:24" ht="15" customHeight="1">
      <c r="G28055"/>
      <c r="I28055"/>
      <c r="N28055"/>
      <c r="O28055" s="24"/>
      <c r="P28055"/>
      <c r="Q28055" s="24"/>
      <c r="R28055"/>
      <c r="S28055"/>
      <c r="T28055"/>
      <c r="U28055"/>
      <c r="X28055" s="60"/>
    </row>
    <row r="28056" spans="7:24" ht="15" customHeight="1">
      <c r="G28056"/>
      <c r="I28056"/>
      <c r="N28056"/>
      <c r="O28056" s="24"/>
      <c r="P28056"/>
      <c r="Q28056" s="24"/>
      <c r="R28056"/>
      <c r="S28056"/>
      <c r="T28056"/>
      <c r="U28056"/>
      <c r="X28056" s="60"/>
    </row>
    <row r="28057" spans="7:24" ht="15" customHeight="1">
      <c r="G28057"/>
      <c r="I28057"/>
      <c r="N28057"/>
      <c r="O28057" s="24"/>
      <c r="P28057"/>
      <c r="Q28057" s="24"/>
      <c r="R28057"/>
      <c r="S28057"/>
      <c r="T28057"/>
      <c r="U28057"/>
      <c r="X28057" s="60"/>
    </row>
    <row r="28058" spans="7:24" ht="15" customHeight="1">
      <c r="G28058"/>
      <c r="I28058"/>
      <c r="N28058"/>
      <c r="O28058" s="24"/>
      <c r="P28058"/>
      <c r="Q28058" s="24"/>
      <c r="R28058"/>
      <c r="S28058"/>
      <c r="T28058"/>
      <c r="U28058"/>
      <c r="X28058" s="60"/>
    </row>
    <row r="28059" spans="7:24" ht="15" customHeight="1">
      <c r="G28059"/>
      <c r="I28059"/>
      <c r="N28059"/>
      <c r="O28059" s="24"/>
      <c r="P28059"/>
      <c r="Q28059" s="24"/>
      <c r="R28059"/>
      <c r="S28059"/>
      <c r="T28059"/>
      <c r="U28059"/>
      <c r="X28059" s="60"/>
    </row>
    <row r="28060" spans="7:24" ht="15" customHeight="1">
      <c r="G28060"/>
      <c r="I28060"/>
      <c r="N28060"/>
      <c r="O28060" s="24"/>
      <c r="P28060"/>
      <c r="Q28060" s="24"/>
      <c r="R28060"/>
      <c r="S28060"/>
      <c r="T28060"/>
      <c r="U28060"/>
      <c r="X28060" s="60"/>
    </row>
    <row r="28061" spans="7:24" ht="15" customHeight="1">
      <c r="G28061"/>
      <c r="I28061"/>
      <c r="N28061"/>
      <c r="O28061" s="24"/>
      <c r="P28061"/>
      <c r="Q28061" s="24"/>
      <c r="R28061"/>
      <c r="S28061"/>
      <c r="T28061"/>
      <c r="U28061"/>
      <c r="X28061" s="60"/>
    </row>
    <row r="28062" spans="7:24" ht="15" customHeight="1">
      <c r="G28062"/>
      <c r="I28062"/>
      <c r="N28062"/>
      <c r="O28062" s="24"/>
      <c r="P28062"/>
      <c r="Q28062" s="24"/>
      <c r="R28062"/>
      <c r="S28062"/>
      <c r="T28062"/>
      <c r="U28062"/>
      <c r="X28062" s="60"/>
    </row>
    <row r="28063" spans="7:24" ht="15" customHeight="1">
      <c r="G28063"/>
      <c r="I28063"/>
      <c r="N28063"/>
      <c r="O28063" s="24"/>
      <c r="P28063"/>
      <c r="Q28063" s="24"/>
      <c r="R28063"/>
      <c r="S28063"/>
      <c r="T28063"/>
      <c r="U28063"/>
      <c r="X28063" s="60"/>
    </row>
    <row r="28064" spans="7:24" ht="15" customHeight="1">
      <c r="G28064"/>
      <c r="I28064"/>
      <c r="N28064"/>
      <c r="O28064" s="24"/>
      <c r="P28064"/>
      <c r="Q28064" s="24"/>
      <c r="R28064"/>
      <c r="S28064"/>
      <c r="T28064"/>
      <c r="U28064"/>
      <c r="X28064" s="60"/>
    </row>
    <row r="28065" spans="7:24" ht="15" customHeight="1">
      <c r="G28065"/>
      <c r="I28065"/>
      <c r="N28065"/>
      <c r="O28065" s="24"/>
      <c r="P28065"/>
      <c r="Q28065" s="24"/>
      <c r="R28065"/>
      <c r="S28065"/>
      <c r="T28065"/>
      <c r="U28065"/>
      <c r="X28065" s="60"/>
    </row>
    <row r="28066" spans="7:24" ht="15" customHeight="1">
      <c r="G28066"/>
      <c r="I28066"/>
      <c r="N28066"/>
      <c r="O28066" s="24"/>
      <c r="P28066"/>
      <c r="Q28066" s="24"/>
      <c r="R28066"/>
      <c r="S28066"/>
      <c r="T28066"/>
      <c r="U28066"/>
      <c r="X28066" s="60"/>
    </row>
    <row r="28067" spans="7:24" ht="15" customHeight="1">
      <c r="G28067"/>
      <c r="I28067"/>
      <c r="N28067"/>
      <c r="O28067" s="24"/>
      <c r="P28067"/>
      <c r="Q28067" s="24"/>
      <c r="R28067"/>
      <c r="S28067"/>
      <c r="T28067"/>
      <c r="U28067"/>
      <c r="X28067" s="60"/>
    </row>
    <row r="28068" spans="7:24" ht="15" customHeight="1">
      <c r="G28068"/>
      <c r="I28068"/>
      <c r="N28068"/>
      <c r="O28068" s="24"/>
      <c r="P28068"/>
      <c r="Q28068" s="24"/>
      <c r="R28068"/>
      <c r="S28068"/>
      <c r="T28068"/>
      <c r="U28068"/>
      <c r="X28068" s="60"/>
    </row>
    <row r="28069" spans="7:24" ht="15" customHeight="1">
      <c r="G28069"/>
      <c r="I28069"/>
      <c r="N28069"/>
      <c r="O28069" s="24"/>
      <c r="P28069"/>
      <c r="Q28069" s="24"/>
      <c r="R28069"/>
      <c r="S28069"/>
      <c r="T28069"/>
      <c r="U28069"/>
      <c r="X28069" s="60"/>
    </row>
    <row r="28070" spans="7:24" ht="15" customHeight="1">
      <c r="G28070"/>
      <c r="I28070"/>
      <c r="N28070"/>
      <c r="O28070" s="24"/>
      <c r="P28070"/>
      <c r="Q28070" s="24"/>
      <c r="R28070"/>
      <c r="S28070"/>
      <c r="T28070"/>
      <c r="U28070"/>
      <c r="X28070" s="60"/>
    </row>
    <row r="28071" spans="7:24" ht="15" customHeight="1">
      <c r="G28071"/>
      <c r="I28071"/>
      <c r="N28071"/>
      <c r="O28071" s="24"/>
      <c r="P28071"/>
      <c r="Q28071" s="24"/>
      <c r="R28071"/>
      <c r="S28071"/>
      <c r="T28071"/>
      <c r="U28071"/>
      <c r="X28071" s="60"/>
    </row>
    <row r="28072" spans="7:24" ht="15" customHeight="1">
      <c r="G28072"/>
      <c r="I28072"/>
      <c r="N28072"/>
      <c r="O28072" s="24"/>
      <c r="P28072"/>
      <c r="Q28072" s="24"/>
      <c r="R28072"/>
      <c r="S28072"/>
      <c r="T28072"/>
      <c r="U28072"/>
      <c r="X28072" s="60"/>
    </row>
    <row r="28073" spans="7:24" ht="15" customHeight="1">
      <c r="G28073"/>
      <c r="I28073"/>
      <c r="N28073"/>
      <c r="O28073" s="24"/>
      <c r="P28073"/>
      <c r="Q28073" s="24"/>
      <c r="R28073"/>
      <c r="S28073"/>
      <c r="T28073"/>
      <c r="U28073"/>
      <c r="X28073" s="60"/>
    </row>
    <row r="28074" spans="7:24" ht="15" customHeight="1">
      <c r="G28074"/>
      <c r="I28074"/>
      <c r="N28074"/>
      <c r="O28074" s="24"/>
      <c r="P28074"/>
      <c r="Q28074" s="24"/>
      <c r="R28074"/>
      <c r="S28074"/>
      <c r="T28074"/>
      <c r="U28074"/>
      <c r="X28074" s="60"/>
    </row>
    <row r="28075" spans="7:24" ht="15" customHeight="1">
      <c r="G28075"/>
      <c r="I28075"/>
      <c r="N28075"/>
      <c r="O28075" s="24"/>
      <c r="P28075"/>
      <c r="Q28075" s="24"/>
      <c r="R28075"/>
      <c r="S28075"/>
      <c r="T28075"/>
      <c r="U28075"/>
      <c r="X28075" s="60"/>
    </row>
    <row r="28076" spans="7:24" ht="15" customHeight="1">
      <c r="G28076"/>
      <c r="I28076"/>
      <c r="N28076"/>
      <c r="O28076" s="24"/>
      <c r="P28076"/>
      <c r="Q28076" s="24"/>
      <c r="R28076"/>
      <c r="S28076"/>
      <c r="T28076"/>
      <c r="U28076"/>
      <c r="X28076" s="60"/>
    </row>
    <row r="28077" spans="7:24" ht="15" customHeight="1">
      <c r="G28077"/>
      <c r="I28077"/>
      <c r="N28077"/>
      <c r="O28077" s="24"/>
      <c r="P28077"/>
      <c r="Q28077" s="24"/>
      <c r="R28077"/>
      <c r="S28077"/>
      <c r="T28077"/>
      <c r="U28077"/>
      <c r="X28077" s="60"/>
    </row>
    <row r="28078" spans="7:24" ht="15" customHeight="1">
      <c r="G28078"/>
      <c r="I28078"/>
      <c r="N28078"/>
      <c r="O28078" s="24"/>
      <c r="P28078"/>
      <c r="Q28078" s="24"/>
      <c r="R28078"/>
      <c r="S28078"/>
      <c r="T28078"/>
      <c r="U28078"/>
      <c r="X28078" s="60"/>
    </row>
    <row r="28079" spans="7:24" ht="15" customHeight="1">
      <c r="G28079"/>
      <c r="I28079"/>
      <c r="N28079"/>
      <c r="O28079" s="24"/>
      <c r="P28079"/>
      <c r="Q28079" s="24"/>
      <c r="R28079"/>
      <c r="S28079"/>
      <c r="T28079"/>
      <c r="U28079"/>
      <c r="X28079" s="60"/>
    </row>
    <row r="28080" spans="7:24" ht="15" customHeight="1">
      <c r="G28080"/>
      <c r="I28080"/>
      <c r="N28080"/>
      <c r="O28080" s="24"/>
      <c r="P28080"/>
      <c r="Q28080" s="24"/>
      <c r="R28080"/>
      <c r="S28080"/>
      <c r="T28080"/>
      <c r="U28080"/>
      <c r="X28080" s="60"/>
    </row>
    <row r="28081" spans="7:24" ht="15" customHeight="1">
      <c r="G28081"/>
      <c r="I28081"/>
      <c r="N28081"/>
      <c r="O28081" s="24"/>
      <c r="P28081"/>
      <c r="Q28081" s="24"/>
      <c r="R28081"/>
      <c r="S28081"/>
      <c r="T28081"/>
      <c r="U28081"/>
      <c r="X28081" s="60"/>
    </row>
    <row r="28082" spans="7:24" ht="15" customHeight="1">
      <c r="G28082"/>
      <c r="I28082"/>
      <c r="N28082"/>
      <c r="O28082" s="24"/>
      <c r="P28082"/>
      <c r="Q28082" s="24"/>
      <c r="R28082"/>
      <c r="S28082"/>
      <c r="T28082"/>
      <c r="U28082"/>
      <c r="X28082" s="60"/>
    </row>
    <row r="28083" spans="7:24" ht="15" customHeight="1">
      <c r="G28083"/>
      <c r="I28083"/>
      <c r="N28083"/>
      <c r="O28083" s="24"/>
      <c r="P28083"/>
      <c r="Q28083" s="24"/>
      <c r="R28083"/>
      <c r="S28083"/>
      <c r="T28083"/>
      <c r="U28083"/>
      <c r="X28083" s="60"/>
    </row>
    <row r="28084" spans="7:24" ht="15" customHeight="1">
      <c r="G28084"/>
      <c r="I28084"/>
      <c r="N28084"/>
      <c r="O28084" s="24"/>
      <c r="P28084"/>
      <c r="Q28084" s="24"/>
      <c r="R28084"/>
      <c r="S28084"/>
      <c r="T28084"/>
      <c r="U28084"/>
      <c r="X28084" s="60"/>
    </row>
    <row r="28085" spans="7:24" ht="15" customHeight="1">
      <c r="G28085"/>
      <c r="I28085"/>
      <c r="N28085"/>
      <c r="O28085" s="24"/>
      <c r="P28085"/>
      <c r="Q28085" s="24"/>
      <c r="R28085"/>
      <c r="S28085"/>
      <c r="T28085"/>
      <c r="U28085"/>
      <c r="X28085" s="60"/>
    </row>
    <row r="28086" spans="7:24" ht="15" customHeight="1">
      <c r="G28086"/>
      <c r="I28086"/>
      <c r="N28086"/>
      <c r="O28086" s="24"/>
      <c r="P28086"/>
      <c r="Q28086" s="24"/>
      <c r="R28086"/>
      <c r="S28086"/>
      <c r="T28086"/>
      <c r="U28086"/>
      <c r="X28086" s="60"/>
    </row>
    <row r="28087" spans="7:24" ht="15" customHeight="1">
      <c r="G28087"/>
      <c r="I28087"/>
      <c r="N28087"/>
      <c r="O28087" s="24"/>
      <c r="P28087"/>
      <c r="Q28087" s="24"/>
      <c r="R28087"/>
      <c r="S28087"/>
      <c r="T28087"/>
      <c r="U28087"/>
      <c r="X28087" s="60"/>
    </row>
    <row r="28088" spans="7:24" ht="15" customHeight="1">
      <c r="G28088"/>
      <c r="I28088"/>
      <c r="N28088"/>
      <c r="O28088" s="24"/>
      <c r="P28088"/>
      <c r="Q28088" s="24"/>
      <c r="R28088"/>
      <c r="S28088"/>
      <c r="T28088"/>
      <c r="U28088"/>
      <c r="X28088" s="60"/>
    </row>
    <row r="28089" spans="7:24" ht="15" customHeight="1">
      <c r="G28089"/>
      <c r="I28089"/>
      <c r="N28089"/>
      <c r="O28089" s="24"/>
      <c r="P28089"/>
      <c r="Q28089" s="24"/>
      <c r="R28089"/>
      <c r="S28089"/>
      <c r="T28089"/>
      <c r="U28089"/>
      <c r="X28089" s="60"/>
    </row>
    <row r="28090" spans="7:24" ht="15" customHeight="1">
      <c r="G28090"/>
      <c r="I28090"/>
      <c r="N28090"/>
      <c r="O28090" s="24"/>
      <c r="P28090"/>
      <c r="Q28090" s="24"/>
      <c r="R28090"/>
      <c r="S28090"/>
      <c r="T28090"/>
      <c r="U28090"/>
      <c r="X28090" s="60"/>
    </row>
    <row r="28091" spans="7:24" ht="15" customHeight="1">
      <c r="G28091"/>
      <c r="I28091"/>
      <c r="N28091"/>
      <c r="O28091" s="24"/>
      <c r="P28091"/>
      <c r="Q28091" s="24"/>
      <c r="R28091"/>
      <c r="S28091"/>
      <c r="T28091"/>
      <c r="U28091"/>
      <c r="X28091" s="60"/>
    </row>
    <row r="28092" spans="7:24" ht="15" customHeight="1">
      <c r="G28092"/>
      <c r="I28092"/>
      <c r="N28092"/>
      <c r="O28092" s="24"/>
      <c r="P28092"/>
      <c r="Q28092" s="24"/>
      <c r="R28092"/>
      <c r="S28092"/>
      <c r="T28092"/>
      <c r="U28092"/>
      <c r="X28092" s="60"/>
    </row>
    <row r="28093" spans="7:24" ht="15" customHeight="1">
      <c r="G28093"/>
      <c r="I28093"/>
      <c r="N28093"/>
      <c r="O28093" s="24"/>
      <c r="P28093"/>
      <c r="Q28093" s="24"/>
      <c r="R28093"/>
      <c r="S28093"/>
      <c r="T28093"/>
      <c r="U28093"/>
      <c r="X28093" s="60"/>
    </row>
    <row r="28094" spans="7:24" ht="15" customHeight="1">
      <c r="G28094"/>
      <c r="I28094"/>
      <c r="N28094"/>
      <c r="O28094" s="24"/>
      <c r="P28094"/>
      <c r="Q28094" s="24"/>
      <c r="R28094"/>
      <c r="S28094"/>
      <c r="T28094"/>
      <c r="U28094"/>
      <c r="X28094" s="60"/>
    </row>
    <row r="28095" spans="7:24" ht="15" customHeight="1">
      <c r="G28095"/>
      <c r="I28095"/>
      <c r="N28095"/>
      <c r="O28095" s="24"/>
      <c r="P28095"/>
      <c r="Q28095" s="24"/>
      <c r="R28095"/>
      <c r="S28095"/>
      <c r="T28095"/>
      <c r="U28095"/>
      <c r="X28095" s="60"/>
    </row>
    <row r="28096" spans="7:24" ht="15" customHeight="1">
      <c r="G28096"/>
      <c r="I28096"/>
      <c r="N28096"/>
      <c r="O28096" s="24"/>
      <c r="P28096"/>
      <c r="Q28096" s="24"/>
      <c r="R28096"/>
      <c r="S28096"/>
      <c r="T28096"/>
      <c r="U28096"/>
      <c r="X28096" s="60"/>
    </row>
    <row r="28097" spans="7:24" ht="15" customHeight="1">
      <c r="G28097"/>
      <c r="I28097"/>
      <c r="N28097"/>
      <c r="O28097" s="24"/>
      <c r="P28097"/>
      <c r="Q28097" s="24"/>
      <c r="R28097"/>
      <c r="S28097"/>
      <c r="T28097"/>
      <c r="U28097"/>
      <c r="X28097" s="60"/>
    </row>
    <row r="28098" spans="7:24" ht="15" customHeight="1">
      <c r="G28098"/>
      <c r="I28098"/>
      <c r="N28098"/>
      <c r="O28098" s="24"/>
      <c r="P28098"/>
      <c r="Q28098" s="24"/>
      <c r="R28098"/>
      <c r="S28098"/>
      <c r="T28098"/>
      <c r="U28098"/>
      <c r="X28098" s="60"/>
    </row>
    <row r="28099" spans="7:24" ht="15" customHeight="1">
      <c r="G28099"/>
      <c r="I28099"/>
      <c r="N28099"/>
      <c r="O28099" s="24"/>
      <c r="P28099"/>
      <c r="Q28099" s="24"/>
      <c r="R28099"/>
      <c r="S28099"/>
      <c r="T28099"/>
      <c r="U28099"/>
      <c r="X28099" s="60"/>
    </row>
    <row r="28100" spans="7:24" ht="15" customHeight="1">
      <c r="G28100"/>
      <c r="I28100"/>
      <c r="N28100"/>
      <c r="O28100" s="24"/>
      <c r="P28100"/>
      <c r="Q28100" s="24"/>
      <c r="R28100"/>
      <c r="S28100"/>
      <c r="T28100"/>
      <c r="U28100"/>
      <c r="X28100" s="60"/>
    </row>
    <row r="28101" spans="7:24" ht="15" customHeight="1">
      <c r="G28101"/>
      <c r="I28101"/>
      <c r="N28101"/>
      <c r="O28101" s="24"/>
      <c r="P28101"/>
      <c r="Q28101" s="24"/>
      <c r="R28101"/>
      <c r="S28101"/>
      <c r="T28101"/>
      <c r="U28101"/>
      <c r="X28101" s="60"/>
    </row>
    <row r="28102" spans="7:24" ht="15" customHeight="1">
      <c r="G28102"/>
      <c r="I28102"/>
      <c r="N28102"/>
      <c r="O28102" s="24"/>
      <c r="P28102"/>
      <c r="Q28102" s="24"/>
      <c r="R28102"/>
      <c r="S28102"/>
      <c r="T28102"/>
      <c r="U28102"/>
      <c r="X28102" s="60"/>
    </row>
    <row r="28103" spans="7:24" ht="15" customHeight="1">
      <c r="G28103"/>
      <c r="I28103"/>
      <c r="N28103"/>
      <c r="O28103" s="24"/>
      <c r="P28103"/>
      <c r="Q28103" s="24"/>
      <c r="R28103"/>
      <c r="S28103"/>
      <c r="T28103"/>
      <c r="U28103"/>
      <c r="X28103" s="60"/>
    </row>
    <row r="28104" spans="7:24" ht="15" customHeight="1">
      <c r="G28104"/>
      <c r="I28104"/>
      <c r="N28104"/>
      <c r="O28104" s="24"/>
      <c r="P28104"/>
      <c r="Q28104" s="24"/>
      <c r="R28104"/>
      <c r="S28104"/>
      <c r="T28104"/>
      <c r="U28104"/>
      <c r="X28104" s="60"/>
    </row>
    <row r="28105" spans="7:24" ht="15" customHeight="1">
      <c r="G28105"/>
      <c r="I28105"/>
      <c r="N28105"/>
      <c r="O28105" s="24"/>
      <c r="P28105"/>
      <c r="Q28105" s="24"/>
      <c r="R28105"/>
      <c r="S28105"/>
      <c r="T28105"/>
      <c r="U28105"/>
      <c r="X28105" s="60"/>
    </row>
    <row r="28106" spans="7:24" ht="15" customHeight="1">
      <c r="G28106"/>
      <c r="I28106"/>
      <c r="N28106"/>
      <c r="O28106" s="24"/>
      <c r="P28106"/>
      <c r="Q28106" s="24"/>
      <c r="R28106"/>
      <c r="S28106"/>
      <c r="T28106"/>
      <c r="U28106"/>
      <c r="X28106" s="60"/>
    </row>
    <row r="28107" spans="7:24" ht="15" customHeight="1">
      <c r="G28107"/>
      <c r="I28107"/>
      <c r="N28107"/>
      <c r="O28107" s="24"/>
      <c r="P28107"/>
      <c r="Q28107" s="24"/>
      <c r="R28107"/>
      <c r="S28107"/>
      <c r="T28107"/>
      <c r="U28107"/>
      <c r="X28107" s="60"/>
    </row>
    <row r="28108" spans="7:24" ht="15" customHeight="1">
      <c r="G28108"/>
      <c r="I28108"/>
      <c r="N28108"/>
      <c r="O28108" s="24"/>
      <c r="P28108"/>
      <c r="Q28108" s="24"/>
      <c r="R28108"/>
      <c r="S28108"/>
      <c r="T28108"/>
      <c r="U28108"/>
      <c r="X28108" s="60"/>
    </row>
    <row r="28109" spans="7:24" ht="15" customHeight="1">
      <c r="G28109"/>
      <c r="I28109"/>
      <c r="N28109"/>
      <c r="O28109" s="24"/>
      <c r="P28109"/>
      <c r="Q28109" s="24"/>
      <c r="R28109"/>
      <c r="S28109"/>
      <c r="T28109"/>
      <c r="U28109"/>
      <c r="X28109" s="60"/>
    </row>
    <row r="28110" spans="7:24" ht="15" customHeight="1">
      <c r="G28110"/>
      <c r="I28110"/>
      <c r="N28110"/>
      <c r="O28110" s="24"/>
      <c r="P28110"/>
      <c r="Q28110" s="24"/>
      <c r="R28110"/>
      <c r="S28110"/>
      <c r="T28110"/>
      <c r="U28110"/>
      <c r="X28110" s="60"/>
    </row>
    <row r="28111" spans="7:24" ht="15" customHeight="1">
      <c r="G28111"/>
      <c r="I28111"/>
      <c r="N28111"/>
      <c r="O28111" s="24"/>
      <c r="P28111"/>
      <c r="Q28111" s="24"/>
      <c r="R28111"/>
      <c r="S28111"/>
      <c r="T28111"/>
      <c r="U28111"/>
      <c r="X28111" s="60"/>
    </row>
    <row r="28112" spans="7:24" ht="15" customHeight="1">
      <c r="G28112"/>
      <c r="I28112"/>
      <c r="N28112"/>
      <c r="O28112" s="24"/>
      <c r="P28112"/>
      <c r="Q28112" s="24"/>
      <c r="R28112"/>
      <c r="S28112"/>
      <c r="T28112"/>
      <c r="U28112"/>
      <c r="X28112" s="60"/>
    </row>
    <row r="28113" spans="7:24" ht="15" customHeight="1">
      <c r="G28113"/>
      <c r="I28113"/>
      <c r="N28113"/>
      <c r="O28113" s="24"/>
      <c r="P28113"/>
      <c r="Q28113" s="24"/>
      <c r="R28113"/>
      <c r="S28113"/>
      <c r="T28113"/>
      <c r="U28113"/>
      <c r="X28113" s="60"/>
    </row>
    <row r="28114" spans="7:24" ht="15" customHeight="1">
      <c r="G28114"/>
      <c r="I28114"/>
      <c r="N28114"/>
      <c r="O28114" s="24"/>
      <c r="P28114"/>
      <c r="Q28114" s="24"/>
      <c r="R28114"/>
      <c r="S28114"/>
      <c r="T28114"/>
      <c r="U28114"/>
      <c r="X28114" s="60"/>
    </row>
    <row r="28115" spans="7:24" ht="15" customHeight="1">
      <c r="G28115"/>
      <c r="I28115"/>
      <c r="N28115"/>
      <c r="O28115" s="24"/>
      <c r="P28115"/>
      <c r="Q28115" s="24"/>
      <c r="R28115"/>
      <c r="S28115"/>
      <c r="T28115"/>
      <c r="U28115"/>
      <c r="X28115" s="60"/>
    </row>
    <row r="28116" spans="7:24" ht="15" customHeight="1">
      <c r="G28116"/>
      <c r="I28116"/>
      <c r="N28116"/>
      <c r="O28116" s="24"/>
      <c r="P28116"/>
      <c r="Q28116" s="24"/>
      <c r="R28116"/>
      <c r="S28116"/>
      <c r="T28116"/>
      <c r="U28116"/>
      <c r="X28116" s="60"/>
    </row>
    <row r="28117" spans="7:24" ht="15" customHeight="1">
      <c r="G28117"/>
      <c r="I28117"/>
      <c r="N28117"/>
      <c r="O28117" s="24"/>
      <c r="P28117"/>
      <c r="Q28117" s="24"/>
      <c r="R28117"/>
      <c r="S28117"/>
      <c r="T28117"/>
      <c r="U28117"/>
      <c r="X28117" s="60"/>
    </row>
    <row r="28118" spans="7:24" ht="15" customHeight="1">
      <c r="G28118"/>
      <c r="I28118"/>
      <c r="N28118"/>
      <c r="O28118" s="24"/>
      <c r="P28118"/>
      <c r="Q28118" s="24"/>
      <c r="R28118"/>
      <c r="S28118"/>
      <c r="T28118"/>
      <c r="U28118"/>
      <c r="X28118" s="60"/>
    </row>
    <row r="28119" spans="7:24" ht="15" customHeight="1">
      <c r="G28119"/>
      <c r="I28119"/>
      <c r="N28119"/>
      <c r="O28119" s="24"/>
      <c r="P28119"/>
      <c r="Q28119" s="24"/>
      <c r="R28119"/>
      <c r="S28119"/>
      <c r="T28119"/>
      <c r="U28119"/>
      <c r="X28119" s="60"/>
    </row>
    <row r="28120" spans="7:24" ht="15" customHeight="1">
      <c r="G28120"/>
      <c r="I28120"/>
      <c r="N28120"/>
      <c r="O28120" s="24"/>
      <c r="P28120"/>
      <c r="Q28120" s="24"/>
      <c r="R28120"/>
      <c r="S28120"/>
      <c r="T28120"/>
      <c r="U28120"/>
      <c r="X28120" s="60"/>
    </row>
    <row r="28121" spans="7:24" ht="15" customHeight="1">
      <c r="G28121"/>
      <c r="I28121"/>
      <c r="N28121"/>
      <c r="O28121" s="24"/>
      <c r="P28121"/>
      <c r="Q28121" s="24"/>
      <c r="R28121"/>
      <c r="S28121"/>
      <c r="T28121"/>
      <c r="U28121"/>
      <c r="X28121" s="60"/>
    </row>
    <row r="28122" spans="7:24" ht="15" customHeight="1">
      <c r="G28122"/>
      <c r="I28122"/>
      <c r="N28122"/>
      <c r="O28122" s="24"/>
      <c r="P28122"/>
      <c r="Q28122" s="24"/>
      <c r="R28122"/>
      <c r="S28122"/>
      <c r="T28122"/>
      <c r="U28122"/>
      <c r="X28122" s="60"/>
    </row>
    <row r="28123" spans="7:24" ht="15" customHeight="1">
      <c r="G28123"/>
      <c r="I28123"/>
      <c r="N28123"/>
      <c r="O28123" s="24"/>
      <c r="P28123"/>
      <c r="Q28123" s="24"/>
      <c r="R28123"/>
      <c r="S28123"/>
      <c r="T28123"/>
      <c r="U28123"/>
      <c r="X28123" s="60"/>
    </row>
    <row r="28124" spans="7:24" ht="15" customHeight="1">
      <c r="G28124"/>
      <c r="I28124"/>
      <c r="N28124"/>
      <c r="O28124" s="24"/>
      <c r="P28124"/>
      <c r="Q28124" s="24"/>
      <c r="R28124"/>
      <c r="S28124"/>
      <c r="T28124"/>
      <c r="U28124"/>
      <c r="X28124" s="60"/>
    </row>
    <row r="28125" spans="7:24" ht="15" customHeight="1">
      <c r="G28125"/>
      <c r="I28125"/>
      <c r="N28125"/>
      <c r="O28125" s="24"/>
      <c r="P28125"/>
      <c r="Q28125" s="24"/>
      <c r="R28125"/>
      <c r="S28125"/>
      <c r="T28125"/>
      <c r="U28125"/>
      <c r="X28125" s="60"/>
    </row>
    <row r="28126" spans="7:24" ht="15" customHeight="1">
      <c r="G28126"/>
      <c r="I28126"/>
      <c r="N28126"/>
      <c r="O28126" s="24"/>
      <c r="P28126"/>
      <c r="Q28126" s="24"/>
      <c r="R28126"/>
      <c r="S28126"/>
      <c r="T28126"/>
      <c r="U28126"/>
      <c r="X28126" s="60"/>
    </row>
    <row r="28127" spans="7:24" ht="15" customHeight="1">
      <c r="G28127"/>
      <c r="I28127"/>
      <c r="N28127"/>
      <c r="O28127" s="24"/>
      <c r="P28127"/>
      <c r="Q28127" s="24"/>
      <c r="R28127"/>
      <c r="S28127"/>
      <c r="T28127"/>
      <c r="U28127"/>
      <c r="X28127" s="60"/>
    </row>
    <row r="28128" spans="7:24" ht="15" customHeight="1">
      <c r="G28128"/>
      <c r="I28128"/>
      <c r="N28128"/>
      <c r="O28128" s="24"/>
      <c r="P28128"/>
      <c r="Q28128" s="24"/>
      <c r="R28128"/>
      <c r="S28128"/>
      <c r="T28128"/>
      <c r="U28128"/>
      <c r="X28128" s="60"/>
    </row>
    <row r="28129" spans="7:24" ht="15" customHeight="1">
      <c r="G28129"/>
      <c r="I28129"/>
      <c r="N28129"/>
      <c r="O28129" s="24"/>
      <c r="P28129"/>
      <c r="Q28129" s="24"/>
      <c r="R28129"/>
      <c r="S28129"/>
      <c r="T28129"/>
      <c r="U28129"/>
      <c r="X28129" s="60"/>
    </row>
    <row r="28130" spans="7:24" ht="15" customHeight="1">
      <c r="G28130"/>
      <c r="I28130"/>
      <c r="N28130"/>
      <c r="O28130" s="24"/>
      <c r="P28130"/>
      <c r="Q28130" s="24"/>
      <c r="R28130"/>
      <c r="S28130"/>
      <c r="T28130"/>
      <c r="U28130"/>
      <c r="X28130" s="60"/>
    </row>
    <row r="28131" spans="7:24" ht="15" customHeight="1">
      <c r="G28131"/>
      <c r="I28131"/>
      <c r="N28131"/>
      <c r="O28131" s="24"/>
      <c r="P28131"/>
      <c r="Q28131" s="24"/>
      <c r="R28131"/>
      <c r="S28131"/>
      <c r="T28131"/>
      <c r="U28131"/>
      <c r="X28131" s="60"/>
    </row>
    <row r="28132" spans="7:24" ht="15" customHeight="1">
      <c r="G28132"/>
      <c r="I28132"/>
      <c r="N28132"/>
      <c r="O28132" s="24"/>
      <c r="P28132"/>
      <c r="Q28132" s="24"/>
      <c r="R28132"/>
      <c r="S28132"/>
      <c r="T28132"/>
      <c r="U28132"/>
      <c r="X28132" s="60"/>
    </row>
    <row r="28133" spans="7:24" ht="15" customHeight="1">
      <c r="G28133"/>
      <c r="I28133"/>
      <c r="N28133"/>
      <c r="O28133" s="24"/>
      <c r="P28133"/>
      <c r="Q28133" s="24"/>
      <c r="R28133"/>
      <c r="S28133"/>
      <c r="T28133"/>
      <c r="U28133"/>
      <c r="X28133" s="60"/>
    </row>
    <row r="28134" spans="7:24" ht="15" customHeight="1">
      <c r="G28134"/>
      <c r="I28134"/>
      <c r="N28134"/>
      <c r="O28134" s="24"/>
      <c r="P28134"/>
      <c r="Q28134" s="24"/>
      <c r="R28134"/>
      <c r="S28134"/>
      <c r="T28134"/>
      <c r="U28134"/>
      <c r="X28134" s="60"/>
    </row>
    <row r="28135" spans="7:24" ht="15" customHeight="1">
      <c r="G28135"/>
      <c r="I28135"/>
      <c r="N28135"/>
      <c r="O28135" s="24"/>
      <c r="P28135"/>
      <c r="Q28135" s="24"/>
      <c r="R28135"/>
      <c r="S28135"/>
      <c r="T28135"/>
      <c r="U28135"/>
      <c r="X28135" s="60"/>
    </row>
    <row r="28136" spans="7:24" ht="15" customHeight="1">
      <c r="G28136"/>
      <c r="I28136"/>
      <c r="N28136"/>
      <c r="O28136" s="24"/>
      <c r="P28136"/>
      <c r="Q28136" s="24"/>
      <c r="R28136"/>
      <c r="S28136"/>
      <c r="T28136"/>
      <c r="U28136"/>
      <c r="X28136" s="60"/>
    </row>
    <row r="28137" spans="7:24" ht="15" customHeight="1">
      <c r="G28137"/>
      <c r="I28137"/>
      <c r="N28137"/>
      <c r="O28137" s="24"/>
      <c r="P28137"/>
      <c r="Q28137" s="24"/>
      <c r="R28137"/>
      <c r="S28137"/>
      <c r="T28137"/>
      <c r="U28137"/>
      <c r="X28137" s="60"/>
    </row>
    <row r="28138" spans="7:24" ht="15" customHeight="1">
      <c r="G28138"/>
      <c r="I28138"/>
      <c r="N28138"/>
      <c r="O28138" s="24"/>
      <c r="P28138"/>
      <c r="Q28138" s="24"/>
      <c r="R28138"/>
      <c r="S28138"/>
      <c r="T28138"/>
      <c r="U28138"/>
      <c r="X28138" s="60"/>
    </row>
    <row r="28139" spans="7:24" ht="15" customHeight="1">
      <c r="G28139"/>
      <c r="I28139"/>
      <c r="N28139"/>
      <c r="O28139" s="24"/>
      <c r="P28139"/>
      <c r="Q28139" s="24"/>
      <c r="R28139"/>
      <c r="S28139"/>
      <c r="T28139"/>
      <c r="U28139"/>
      <c r="X28139" s="60"/>
    </row>
    <row r="28140" spans="7:24" ht="15" customHeight="1">
      <c r="G28140"/>
      <c r="I28140"/>
      <c r="N28140"/>
      <c r="O28140" s="24"/>
      <c r="P28140"/>
      <c r="Q28140" s="24"/>
      <c r="R28140"/>
      <c r="S28140"/>
      <c r="T28140"/>
      <c r="U28140"/>
      <c r="X28140" s="60"/>
    </row>
    <row r="28141" spans="7:24" ht="15" customHeight="1">
      <c r="G28141"/>
      <c r="I28141"/>
      <c r="N28141"/>
      <c r="O28141" s="24"/>
      <c r="P28141"/>
      <c r="Q28141" s="24"/>
      <c r="R28141"/>
      <c r="S28141"/>
      <c r="T28141"/>
      <c r="U28141"/>
      <c r="X28141" s="60"/>
    </row>
    <row r="28142" spans="7:24" ht="15" customHeight="1">
      <c r="G28142"/>
      <c r="I28142"/>
      <c r="N28142"/>
      <c r="O28142" s="24"/>
      <c r="P28142"/>
      <c r="Q28142" s="24"/>
      <c r="R28142"/>
      <c r="S28142"/>
      <c r="T28142"/>
      <c r="U28142"/>
      <c r="X28142" s="60"/>
    </row>
    <row r="28143" spans="7:24" ht="15" customHeight="1">
      <c r="G28143"/>
      <c r="I28143"/>
      <c r="N28143"/>
      <c r="O28143" s="24"/>
      <c r="P28143"/>
      <c r="Q28143" s="24"/>
      <c r="R28143"/>
      <c r="S28143"/>
      <c r="T28143"/>
      <c r="U28143"/>
      <c r="X28143" s="60"/>
    </row>
    <row r="28144" spans="7:24" ht="15" customHeight="1">
      <c r="G28144"/>
      <c r="I28144"/>
      <c r="N28144"/>
      <c r="O28144" s="24"/>
      <c r="P28144"/>
      <c r="Q28144" s="24"/>
      <c r="R28144"/>
      <c r="S28144"/>
      <c r="T28144"/>
      <c r="U28144"/>
      <c r="X28144" s="60"/>
    </row>
    <row r="28145" spans="7:24" ht="15" customHeight="1">
      <c r="G28145"/>
      <c r="I28145"/>
      <c r="N28145"/>
      <c r="O28145" s="24"/>
      <c r="P28145"/>
      <c r="Q28145" s="24"/>
      <c r="R28145"/>
      <c r="S28145"/>
      <c r="T28145"/>
      <c r="U28145"/>
      <c r="X28145" s="60"/>
    </row>
    <row r="28146" spans="7:24" ht="15" customHeight="1">
      <c r="G28146"/>
      <c r="I28146"/>
      <c r="N28146"/>
      <c r="O28146" s="24"/>
      <c r="P28146"/>
      <c r="Q28146" s="24"/>
      <c r="R28146"/>
      <c r="S28146"/>
      <c r="T28146"/>
      <c r="U28146"/>
      <c r="X28146" s="60"/>
    </row>
    <row r="28147" spans="7:24" ht="15" customHeight="1">
      <c r="G28147"/>
      <c r="I28147"/>
      <c r="N28147"/>
      <c r="O28147" s="24"/>
      <c r="P28147"/>
      <c r="Q28147" s="24"/>
      <c r="R28147"/>
      <c r="S28147"/>
      <c r="T28147"/>
      <c r="U28147"/>
      <c r="X28147" s="60"/>
    </row>
    <row r="28148" spans="7:24" ht="15" customHeight="1">
      <c r="G28148"/>
      <c r="I28148"/>
      <c r="N28148"/>
      <c r="O28148" s="24"/>
      <c r="P28148"/>
      <c r="Q28148" s="24"/>
      <c r="R28148"/>
      <c r="S28148"/>
      <c r="T28148"/>
      <c r="U28148"/>
      <c r="X28148" s="60"/>
    </row>
    <row r="28149" spans="7:24" ht="15" customHeight="1">
      <c r="G28149"/>
      <c r="I28149"/>
      <c r="N28149"/>
      <c r="O28149" s="24"/>
      <c r="P28149"/>
      <c r="Q28149" s="24"/>
      <c r="R28149"/>
      <c r="S28149"/>
      <c r="T28149"/>
      <c r="U28149"/>
      <c r="X28149" s="60"/>
    </row>
    <row r="28150" spans="7:24" ht="15" customHeight="1">
      <c r="G28150"/>
      <c r="I28150"/>
      <c r="N28150"/>
      <c r="O28150" s="24"/>
      <c r="P28150"/>
      <c r="Q28150" s="24"/>
      <c r="R28150"/>
      <c r="S28150"/>
      <c r="T28150"/>
      <c r="U28150"/>
      <c r="X28150" s="60"/>
    </row>
    <row r="28151" spans="7:24" ht="15" customHeight="1">
      <c r="G28151"/>
      <c r="I28151"/>
      <c r="N28151"/>
      <c r="O28151" s="24"/>
      <c r="P28151"/>
      <c r="Q28151" s="24"/>
      <c r="R28151"/>
      <c r="S28151"/>
      <c r="T28151"/>
      <c r="U28151"/>
      <c r="X28151" s="60"/>
    </row>
    <row r="28152" spans="7:24" ht="15" customHeight="1">
      <c r="G28152"/>
      <c r="I28152"/>
      <c r="N28152"/>
      <c r="O28152" s="24"/>
      <c r="P28152"/>
      <c r="Q28152" s="24"/>
      <c r="R28152"/>
      <c r="S28152"/>
      <c r="T28152"/>
      <c r="U28152"/>
      <c r="X28152" s="60"/>
    </row>
    <row r="28153" spans="7:24" ht="15" customHeight="1">
      <c r="G28153"/>
      <c r="I28153"/>
      <c r="N28153"/>
      <c r="O28153" s="24"/>
      <c r="P28153"/>
      <c r="Q28153" s="24"/>
      <c r="R28153"/>
      <c r="S28153"/>
      <c r="T28153"/>
      <c r="U28153"/>
      <c r="X28153" s="60"/>
    </row>
    <row r="28154" spans="7:24" ht="15" customHeight="1">
      <c r="G28154"/>
      <c r="I28154"/>
      <c r="N28154"/>
      <c r="O28154" s="24"/>
      <c r="P28154"/>
      <c r="Q28154" s="24"/>
      <c r="R28154"/>
      <c r="S28154"/>
      <c r="T28154"/>
      <c r="U28154"/>
      <c r="X28154" s="60"/>
    </row>
    <row r="28155" spans="7:24" ht="15" customHeight="1">
      <c r="G28155"/>
      <c r="I28155"/>
      <c r="N28155"/>
      <c r="O28155" s="24"/>
      <c r="P28155"/>
      <c r="Q28155" s="24"/>
      <c r="R28155"/>
      <c r="S28155"/>
      <c r="T28155"/>
      <c r="U28155"/>
      <c r="X28155" s="60"/>
    </row>
    <row r="28156" spans="7:24" ht="15" customHeight="1">
      <c r="G28156"/>
      <c r="I28156"/>
      <c r="N28156"/>
      <c r="O28156" s="24"/>
      <c r="P28156"/>
      <c r="Q28156" s="24"/>
      <c r="R28156"/>
      <c r="S28156"/>
      <c r="T28156"/>
      <c r="U28156"/>
      <c r="X28156" s="60"/>
    </row>
    <row r="28157" spans="7:24" ht="15" customHeight="1">
      <c r="G28157"/>
      <c r="I28157"/>
      <c r="N28157"/>
      <c r="O28157" s="24"/>
      <c r="P28157"/>
      <c r="Q28157" s="24"/>
      <c r="R28157"/>
      <c r="S28157"/>
      <c r="T28157"/>
      <c r="U28157"/>
      <c r="X28157" s="60"/>
    </row>
    <row r="28158" spans="7:24" ht="15" customHeight="1">
      <c r="G28158"/>
      <c r="I28158"/>
      <c r="N28158"/>
      <c r="O28158" s="24"/>
      <c r="P28158"/>
      <c r="Q28158" s="24"/>
      <c r="R28158"/>
      <c r="S28158"/>
      <c r="T28158"/>
      <c r="U28158"/>
      <c r="X28158" s="60"/>
    </row>
    <row r="28159" spans="7:24" ht="15" customHeight="1">
      <c r="G28159"/>
      <c r="I28159"/>
      <c r="N28159"/>
      <c r="O28159" s="24"/>
      <c r="P28159"/>
      <c r="Q28159" s="24"/>
      <c r="R28159"/>
      <c r="S28159"/>
      <c r="T28159"/>
      <c r="U28159"/>
      <c r="X28159" s="60"/>
    </row>
    <row r="28160" spans="7:24" ht="15" customHeight="1">
      <c r="G28160"/>
      <c r="I28160"/>
      <c r="N28160"/>
      <c r="O28160" s="24"/>
      <c r="P28160"/>
      <c r="Q28160" s="24"/>
      <c r="R28160"/>
      <c r="S28160"/>
      <c r="T28160"/>
      <c r="U28160"/>
      <c r="X28160" s="60"/>
    </row>
    <row r="28161" spans="7:24" ht="15" customHeight="1">
      <c r="G28161"/>
      <c r="I28161"/>
      <c r="N28161"/>
      <c r="O28161" s="24"/>
      <c r="P28161"/>
      <c r="Q28161" s="24"/>
      <c r="R28161"/>
      <c r="S28161"/>
      <c r="T28161"/>
      <c r="U28161"/>
      <c r="X28161" s="60"/>
    </row>
    <row r="28162" spans="7:24" ht="15" customHeight="1">
      <c r="G28162"/>
      <c r="I28162"/>
      <c r="N28162"/>
      <c r="O28162" s="24"/>
      <c r="P28162"/>
      <c r="Q28162" s="24"/>
      <c r="R28162"/>
      <c r="S28162"/>
      <c r="T28162"/>
      <c r="U28162"/>
      <c r="X28162" s="60"/>
    </row>
    <row r="28163" spans="7:24" ht="15" customHeight="1">
      <c r="G28163"/>
      <c r="I28163"/>
      <c r="N28163"/>
      <c r="O28163" s="24"/>
      <c r="P28163"/>
      <c r="Q28163" s="24"/>
      <c r="R28163"/>
      <c r="S28163"/>
      <c r="T28163"/>
      <c r="U28163"/>
      <c r="X28163" s="60"/>
    </row>
    <row r="28164" spans="7:24" ht="15" customHeight="1">
      <c r="G28164"/>
      <c r="I28164"/>
      <c r="N28164"/>
      <c r="O28164" s="24"/>
      <c r="P28164"/>
      <c r="Q28164" s="24"/>
      <c r="R28164"/>
      <c r="S28164"/>
      <c r="T28164"/>
      <c r="U28164"/>
      <c r="X28164" s="60"/>
    </row>
    <row r="28165" spans="7:24" ht="15" customHeight="1">
      <c r="G28165"/>
      <c r="I28165"/>
      <c r="N28165"/>
      <c r="O28165" s="24"/>
      <c r="P28165"/>
      <c r="Q28165" s="24"/>
      <c r="R28165"/>
      <c r="S28165"/>
      <c r="T28165"/>
      <c r="U28165"/>
      <c r="X28165" s="60"/>
    </row>
    <row r="28166" spans="7:24" ht="15" customHeight="1">
      <c r="G28166"/>
      <c r="I28166"/>
      <c r="N28166"/>
      <c r="O28166" s="24"/>
      <c r="P28166"/>
      <c r="Q28166" s="24"/>
      <c r="R28166"/>
      <c r="S28166"/>
      <c r="T28166"/>
      <c r="U28166"/>
      <c r="X28166" s="60"/>
    </row>
    <row r="28167" spans="7:24" ht="15" customHeight="1">
      <c r="G28167"/>
      <c r="I28167"/>
      <c r="N28167"/>
      <c r="O28167" s="24"/>
      <c r="P28167"/>
      <c r="Q28167" s="24"/>
      <c r="R28167"/>
      <c r="S28167"/>
      <c r="T28167"/>
      <c r="U28167"/>
      <c r="X28167" s="60"/>
    </row>
    <row r="28168" spans="7:24" ht="15" customHeight="1">
      <c r="G28168"/>
      <c r="I28168"/>
      <c r="N28168"/>
      <c r="O28168" s="24"/>
      <c r="P28168"/>
      <c r="Q28168" s="24"/>
      <c r="R28168"/>
      <c r="S28168"/>
      <c r="T28168"/>
      <c r="U28168"/>
      <c r="X28168" s="60"/>
    </row>
    <row r="28169" spans="7:24" ht="15" customHeight="1">
      <c r="G28169"/>
      <c r="I28169"/>
      <c r="N28169"/>
      <c r="O28169" s="24"/>
      <c r="P28169"/>
      <c r="Q28169" s="24"/>
      <c r="R28169"/>
      <c r="S28169"/>
      <c r="T28169"/>
      <c r="U28169"/>
      <c r="X28169" s="60"/>
    </row>
    <row r="28170" spans="7:24" ht="15" customHeight="1">
      <c r="G28170"/>
      <c r="I28170"/>
      <c r="N28170"/>
      <c r="O28170" s="24"/>
      <c r="P28170"/>
      <c r="Q28170" s="24"/>
      <c r="R28170"/>
      <c r="S28170"/>
      <c r="T28170"/>
      <c r="U28170"/>
      <c r="X28170" s="60"/>
    </row>
    <row r="28171" spans="7:24" ht="15" customHeight="1">
      <c r="G28171"/>
      <c r="I28171"/>
      <c r="N28171"/>
      <c r="O28171" s="24"/>
      <c r="P28171"/>
      <c r="Q28171" s="24"/>
      <c r="R28171"/>
      <c r="S28171"/>
      <c r="T28171"/>
      <c r="U28171"/>
      <c r="X28171" s="60"/>
    </row>
    <row r="28172" spans="7:24" ht="15" customHeight="1">
      <c r="G28172"/>
      <c r="I28172"/>
      <c r="N28172"/>
      <c r="O28172" s="24"/>
      <c r="P28172"/>
      <c r="Q28172" s="24"/>
      <c r="R28172"/>
      <c r="S28172"/>
      <c r="T28172"/>
      <c r="U28172"/>
      <c r="X28172" s="60"/>
    </row>
    <row r="28173" spans="7:24" ht="15" customHeight="1">
      <c r="G28173"/>
      <c r="I28173"/>
      <c r="N28173"/>
      <c r="O28173" s="24"/>
      <c r="P28173"/>
      <c r="Q28173" s="24"/>
      <c r="R28173"/>
      <c r="S28173"/>
      <c r="T28173"/>
      <c r="U28173"/>
      <c r="X28173" s="60"/>
    </row>
    <row r="28174" spans="7:24" ht="15" customHeight="1">
      <c r="G28174"/>
      <c r="I28174"/>
      <c r="N28174"/>
      <c r="O28174" s="24"/>
      <c r="P28174"/>
      <c r="Q28174" s="24"/>
      <c r="R28174"/>
      <c r="S28174"/>
      <c r="T28174"/>
      <c r="U28174"/>
      <c r="X28174" s="60"/>
    </row>
    <row r="28175" spans="7:24" ht="15" customHeight="1">
      <c r="G28175"/>
      <c r="I28175"/>
      <c r="N28175"/>
      <c r="O28175" s="24"/>
      <c r="P28175"/>
      <c r="Q28175" s="24"/>
      <c r="R28175"/>
      <c r="S28175"/>
      <c r="T28175"/>
      <c r="U28175"/>
      <c r="X28175" s="60"/>
    </row>
    <row r="28176" spans="7:24" ht="15" customHeight="1">
      <c r="G28176"/>
      <c r="I28176"/>
      <c r="N28176"/>
      <c r="O28176" s="24"/>
      <c r="P28176"/>
      <c r="Q28176" s="24"/>
      <c r="R28176"/>
      <c r="S28176"/>
      <c r="T28176"/>
      <c r="U28176"/>
      <c r="X28176" s="60"/>
    </row>
    <row r="28177" spans="7:24" ht="15" customHeight="1">
      <c r="G28177"/>
      <c r="I28177"/>
      <c r="N28177"/>
      <c r="O28177" s="24"/>
      <c r="P28177"/>
      <c r="Q28177" s="24"/>
      <c r="R28177"/>
      <c r="S28177"/>
      <c r="T28177"/>
      <c r="U28177"/>
      <c r="X28177" s="60"/>
    </row>
    <row r="28178" spans="7:24" ht="15" customHeight="1">
      <c r="G28178"/>
      <c r="I28178"/>
      <c r="N28178"/>
      <c r="O28178" s="24"/>
      <c r="P28178"/>
      <c r="Q28178" s="24"/>
      <c r="R28178"/>
      <c r="S28178"/>
      <c r="T28178"/>
      <c r="U28178"/>
      <c r="X28178" s="60"/>
    </row>
    <row r="28179" spans="7:24" ht="15" customHeight="1">
      <c r="G28179"/>
      <c r="I28179"/>
      <c r="N28179"/>
      <c r="O28179" s="24"/>
      <c r="P28179"/>
      <c r="Q28179" s="24"/>
      <c r="R28179"/>
      <c r="S28179"/>
      <c r="T28179"/>
      <c r="U28179"/>
      <c r="X28179" s="60"/>
    </row>
    <row r="28180" spans="7:24" ht="15" customHeight="1">
      <c r="G28180"/>
      <c r="I28180"/>
      <c r="N28180"/>
      <c r="O28180" s="24"/>
      <c r="P28180"/>
      <c r="Q28180" s="24"/>
      <c r="R28180"/>
      <c r="S28180"/>
      <c r="T28180"/>
      <c r="U28180"/>
      <c r="X28180" s="60"/>
    </row>
    <row r="28181" spans="7:24" ht="15" customHeight="1">
      <c r="G28181"/>
      <c r="I28181"/>
      <c r="N28181"/>
      <c r="O28181" s="24"/>
      <c r="P28181"/>
      <c r="Q28181" s="24"/>
      <c r="R28181"/>
      <c r="S28181"/>
      <c r="T28181"/>
      <c r="U28181"/>
      <c r="X28181" s="60"/>
    </row>
    <row r="28182" spans="7:24" ht="15" customHeight="1">
      <c r="G28182"/>
      <c r="I28182"/>
      <c r="N28182"/>
      <c r="O28182" s="24"/>
      <c r="P28182"/>
      <c r="Q28182" s="24"/>
      <c r="R28182"/>
      <c r="S28182"/>
      <c r="T28182"/>
      <c r="U28182"/>
      <c r="X28182" s="60"/>
    </row>
    <row r="28183" spans="7:24" ht="15" customHeight="1">
      <c r="G28183"/>
      <c r="I28183"/>
      <c r="N28183"/>
      <c r="O28183" s="24"/>
      <c r="P28183"/>
      <c r="Q28183" s="24"/>
      <c r="R28183"/>
      <c r="S28183"/>
      <c r="T28183"/>
      <c r="U28183"/>
      <c r="X28183" s="60"/>
    </row>
    <row r="28184" spans="7:24" ht="15" customHeight="1">
      <c r="G28184"/>
      <c r="I28184"/>
      <c r="N28184"/>
      <c r="O28184" s="24"/>
      <c r="P28184"/>
      <c r="Q28184" s="24"/>
      <c r="R28184"/>
      <c r="S28184"/>
      <c r="T28184"/>
      <c r="U28184"/>
      <c r="X28184" s="60"/>
    </row>
    <row r="28185" spans="7:24" ht="15" customHeight="1">
      <c r="G28185"/>
      <c r="I28185"/>
      <c r="N28185"/>
      <c r="O28185" s="24"/>
      <c r="P28185"/>
      <c r="Q28185" s="24"/>
      <c r="R28185"/>
      <c r="S28185"/>
      <c r="T28185"/>
      <c r="U28185"/>
      <c r="X28185" s="60"/>
    </row>
    <row r="28186" spans="7:24" ht="15" customHeight="1">
      <c r="G28186"/>
      <c r="I28186"/>
      <c r="N28186"/>
      <c r="O28186" s="24"/>
      <c r="P28186"/>
      <c r="Q28186" s="24"/>
      <c r="R28186"/>
      <c r="S28186"/>
      <c r="T28186"/>
      <c r="U28186"/>
      <c r="X28186" s="60"/>
    </row>
    <row r="28187" spans="7:24" ht="15" customHeight="1">
      <c r="G28187"/>
      <c r="I28187"/>
      <c r="N28187"/>
      <c r="O28187" s="24"/>
      <c r="P28187"/>
      <c r="Q28187" s="24"/>
      <c r="R28187"/>
      <c r="S28187"/>
      <c r="T28187"/>
      <c r="U28187"/>
      <c r="X28187" s="60"/>
    </row>
    <row r="28188" spans="7:24" ht="15" customHeight="1">
      <c r="G28188"/>
      <c r="I28188"/>
      <c r="N28188"/>
      <c r="O28188" s="24"/>
      <c r="P28188"/>
      <c r="Q28188" s="24"/>
      <c r="R28188"/>
      <c r="S28188"/>
      <c r="T28188"/>
      <c r="U28188"/>
      <c r="X28188" s="60"/>
    </row>
    <row r="28189" spans="7:24" ht="15" customHeight="1">
      <c r="G28189"/>
      <c r="I28189"/>
      <c r="N28189"/>
      <c r="O28189" s="24"/>
      <c r="P28189"/>
      <c r="Q28189" s="24"/>
      <c r="R28189"/>
      <c r="S28189"/>
      <c r="T28189"/>
      <c r="U28189"/>
      <c r="X28189" s="60"/>
    </row>
    <row r="28190" spans="7:24" ht="15" customHeight="1">
      <c r="G28190"/>
      <c r="I28190"/>
      <c r="N28190"/>
      <c r="O28190" s="24"/>
      <c r="P28190"/>
      <c r="Q28190" s="24"/>
      <c r="R28190"/>
      <c r="S28190"/>
      <c r="T28190"/>
      <c r="U28190"/>
      <c r="X28190" s="60"/>
    </row>
    <row r="28191" spans="7:24" ht="15" customHeight="1">
      <c r="G28191"/>
      <c r="I28191"/>
      <c r="N28191"/>
      <c r="O28191" s="24"/>
      <c r="P28191"/>
      <c r="Q28191" s="24"/>
      <c r="R28191"/>
      <c r="S28191"/>
      <c r="T28191"/>
      <c r="U28191"/>
      <c r="X28191" s="60"/>
    </row>
    <row r="28192" spans="7:24" ht="15" customHeight="1">
      <c r="G28192"/>
      <c r="I28192"/>
      <c r="N28192"/>
      <c r="O28192" s="24"/>
      <c r="P28192"/>
      <c r="Q28192" s="24"/>
      <c r="R28192"/>
      <c r="S28192"/>
      <c r="T28192"/>
      <c r="U28192"/>
      <c r="X28192" s="60"/>
    </row>
    <row r="28193" spans="7:24" ht="15" customHeight="1">
      <c r="G28193"/>
      <c r="I28193"/>
      <c r="N28193"/>
      <c r="O28193" s="24"/>
      <c r="P28193"/>
      <c r="Q28193" s="24"/>
      <c r="R28193"/>
      <c r="S28193"/>
      <c r="T28193"/>
      <c r="U28193"/>
      <c r="X28193" s="60"/>
    </row>
    <row r="28194" spans="7:24" ht="15" customHeight="1">
      <c r="G28194"/>
      <c r="I28194"/>
      <c r="N28194"/>
      <c r="O28194" s="24"/>
      <c r="P28194"/>
      <c r="Q28194" s="24"/>
      <c r="R28194"/>
      <c r="S28194"/>
      <c r="T28194"/>
      <c r="U28194"/>
      <c r="X28194" s="60"/>
    </row>
    <row r="28195" spans="7:24" ht="15" customHeight="1">
      <c r="G28195"/>
      <c r="I28195"/>
      <c r="N28195"/>
      <c r="O28195" s="24"/>
      <c r="P28195"/>
      <c r="Q28195" s="24"/>
      <c r="R28195"/>
      <c r="S28195"/>
      <c r="T28195"/>
      <c r="U28195"/>
      <c r="X28195" s="60"/>
    </row>
    <row r="28196" spans="7:24" ht="15" customHeight="1">
      <c r="G28196"/>
      <c r="I28196"/>
      <c r="N28196"/>
      <c r="O28196" s="24"/>
      <c r="P28196"/>
      <c r="Q28196" s="24"/>
      <c r="R28196"/>
      <c r="S28196"/>
      <c r="T28196"/>
      <c r="U28196"/>
      <c r="X28196" s="60"/>
    </row>
    <row r="28197" spans="7:24" ht="15" customHeight="1">
      <c r="G28197"/>
      <c r="I28197"/>
      <c r="N28197"/>
      <c r="O28197" s="24"/>
      <c r="P28197"/>
      <c r="Q28197" s="24"/>
      <c r="R28197"/>
      <c r="S28197"/>
      <c r="T28197"/>
      <c r="U28197"/>
      <c r="X28197" s="60"/>
    </row>
    <row r="28198" spans="7:24" ht="15" customHeight="1">
      <c r="G28198"/>
      <c r="I28198"/>
      <c r="N28198"/>
      <c r="O28198" s="24"/>
      <c r="P28198"/>
      <c r="Q28198" s="24"/>
      <c r="R28198"/>
      <c r="S28198"/>
      <c r="T28198"/>
      <c r="U28198"/>
      <c r="X28198" s="60"/>
    </row>
    <row r="28199" spans="7:24" ht="15" customHeight="1">
      <c r="G28199"/>
      <c r="I28199"/>
      <c r="N28199"/>
      <c r="O28199" s="24"/>
      <c r="P28199"/>
      <c r="Q28199" s="24"/>
      <c r="R28199"/>
      <c r="S28199"/>
      <c r="T28199"/>
      <c r="U28199"/>
      <c r="X28199" s="60"/>
    </row>
    <row r="28200" spans="7:24" ht="15" customHeight="1">
      <c r="G28200"/>
      <c r="I28200"/>
      <c r="N28200"/>
      <c r="O28200" s="24"/>
      <c r="P28200"/>
      <c r="Q28200" s="24"/>
      <c r="R28200"/>
      <c r="S28200"/>
      <c r="T28200"/>
      <c r="U28200"/>
      <c r="X28200" s="60"/>
    </row>
    <row r="28201" spans="7:24" ht="15" customHeight="1">
      <c r="G28201"/>
      <c r="I28201"/>
      <c r="N28201"/>
      <c r="O28201" s="24"/>
      <c r="P28201"/>
      <c r="Q28201" s="24"/>
      <c r="R28201"/>
      <c r="S28201"/>
      <c r="T28201"/>
      <c r="U28201"/>
      <c r="X28201" s="60"/>
    </row>
    <row r="28202" spans="7:24" ht="15" customHeight="1">
      <c r="G28202"/>
      <c r="I28202"/>
      <c r="N28202"/>
      <c r="O28202" s="24"/>
      <c r="P28202"/>
      <c r="Q28202" s="24"/>
      <c r="R28202"/>
      <c r="S28202"/>
      <c r="T28202"/>
      <c r="U28202"/>
      <c r="X28202" s="60"/>
    </row>
    <row r="28203" spans="7:24" ht="15" customHeight="1">
      <c r="G28203"/>
      <c r="I28203"/>
      <c r="N28203"/>
      <c r="O28203" s="24"/>
      <c r="P28203"/>
      <c r="Q28203" s="24"/>
      <c r="R28203"/>
      <c r="S28203"/>
      <c r="T28203"/>
      <c r="U28203"/>
      <c r="X28203" s="60"/>
    </row>
    <row r="28204" spans="7:24" ht="15" customHeight="1">
      <c r="G28204"/>
      <c r="I28204"/>
      <c r="N28204"/>
      <c r="O28204" s="24"/>
      <c r="P28204"/>
      <c r="Q28204" s="24"/>
      <c r="R28204"/>
      <c r="S28204"/>
      <c r="T28204"/>
      <c r="U28204"/>
      <c r="X28204" s="60"/>
    </row>
    <row r="28205" spans="7:24" ht="15" customHeight="1">
      <c r="G28205"/>
      <c r="I28205"/>
      <c r="N28205"/>
      <c r="O28205" s="24"/>
      <c r="P28205"/>
      <c r="Q28205" s="24"/>
      <c r="R28205"/>
      <c r="S28205"/>
      <c r="T28205"/>
      <c r="U28205"/>
      <c r="X28205" s="60"/>
    </row>
    <row r="28206" spans="7:24" ht="15" customHeight="1">
      <c r="G28206"/>
      <c r="I28206"/>
      <c r="N28206"/>
      <c r="O28206" s="24"/>
      <c r="P28206"/>
      <c r="Q28206" s="24"/>
      <c r="R28206"/>
      <c r="S28206"/>
      <c r="T28206"/>
      <c r="U28206"/>
      <c r="X28206" s="60"/>
    </row>
    <row r="28207" spans="7:24" ht="15" customHeight="1">
      <c r="G28207"/>
      <c r="I28207"/>
      <c r="N28207"/>
      <c r="O28207" s="24"/>
      <c r="P28207"/>
      <c r="Q28207" s="24"/>
      <c r="R28207"/>
      <c r="S28207"/>
      <c r="T28207"/>
      <c r="U28207"/>
      <c r="X28207" s="60"/>
    </row>
    <row r="28208" spans="7:24" ht="15" customHeight="1">
      <c r="G28208"/>
      <c r="I28208"/>
      <c r="N28208"/>
      <c r="O28208" s="24"/>
      <c r="P28208"/>
      <c r="Q28208" s="24"/>
      <c r="R28208"/>
      <c r="S28208"/>
      <c r="T28208"/>
      <c r="U28208"/>
      <c r="X28208" s="60"/>
    </row>
    <row r="28209" spans="7:24" ht="15" customHeight="1">
      <c r="G28209"/>
      <c r="I28209"/>
      <c r="N28209"/>
      <c r="O28209" s="24"/>
      <c r="P28209"/>
      <c r="Q28209" s="24"/>
      <c r="R28209"/>
      <c r="S28209"/>
      <c r="T28209"/>
      <c r="U28209"/>
      <c r="X28209" s="60"/>
    </row>
    <row r="28210" spans="7:24" ht="15" customHeight="1">
      <c r="G28210"/>
      <c r="I28210"/>
      <c r="N28210"/>
      <c r="O28210" s="24"/>
      <c r="P28210"/>
      <c r="Q28210" s="24"/>
      <c r="R28210"/>
      <c r="S28210"/>
      <c r="T28210"/>
      <c r="U28210"/>
      <c r="X28210" s="60"/>
    </row>
    <row r="28211" spans="7:24" ht="15" customHeight="1">
      <c r="G28211"/>
      <c r="I28211"/>
      <c r="N28211"/>
      <c r="O28211" s="24"/>
      <c r="P28211"/>
      <c r="Q28211" s="24"/>
      <c r="R28211"/>
      <c r="S28211"/>
      <c r="T28211"/>
      <c r="U28211"/>
      <c r="X28211" s="60"/>
    </row>
    <row r="28212" spans="7:24" ht="15" customHeight="1">
      <c r="G28212"/>
      <c r="I28212"/>
      <c r="N28212"/>
      <c r="O28212" s="24"/>
      <c r="P28212"/>
      <c r="Q28212" s="24"/>
      <c r="R28212"/>
      <c r="S28212"/>
      <c r="T28212"/>
      <c r="U28212"/>
      <c r="X28212" s="60"/>
    </row>
    <row r="28213" spans="7:24" ht="15" customHeight="1">
      <c r="G28213"/>
      <c r="I28213"/>
      <c r="N28213"/>
      <c r="O28213" s="24"/>
      <c r="P28213"/>
      <c r="Q28213" s="24"/>
      <c r="R28213"/>
      <c r="S28213"/>
      <c r="T28213"/>
      <c r="U28213"/>
      <c r="X28213" s="60"/>
    </row>
    <row r="28214" spans="7:24" ht="15" customHeight="1">
      <c r="G28214"/>
      <c r="I28214"/>
      <c r="N28214"/>
      <c r="O28214" s="24"/>
      <c r="P28214"/>
      <c r="Q28214" s="24"/>
      <c r="R28214"/>
      <c r="S28214"/>
      <c r="T28214"/>
      <c r="U28214"/>
      <c r="X28214" s="60"/>
    </row>
    <row r="28215" spans="7:24" ht="15" customHeight="1">
      <c r="G28215"/>
      <c r="I28215"/>
      <c r="N28215"/>
      <c r="O28215" s="24"/>
      <c r="P28215"/>
      <c r="Q28215" s="24"/>
      <c r="R28215"/>
      <c r="S28215"/>
      <c r="T28215"/>
      <c r="U28215"/>
      <c r="X28215" s="60"/>
    </row>
    <row r="28216" spans="7:24" ht="15" customHeight="1">
      <c r="G28216"/>
      <c r="I28216"/>
      <c r="N28216"/>
      <c r="O28216" s="24"/>
      <c r="P28216"/>
      <c r="Q28216" s="24"/>
      <c r="R28216"/>
      <c r="S28216"/>
      <c r="T28216"/>
      <c r="U28216"/>
      <c r="X28216" s="60"/>
    </row>
    <row r="28217" spans="7:24" ht="15" customHeight="1">
      <c r="G28217"/>
      <c r="I28217"/>
      <c r="N28217"/>
      <c r="O28217" s="24"/>
      <c r="P28217"/>
      <c r="Q28217" s="24"/>
      <c r="R28217"/>
      <c r="S28217"/>
      <c r="T28217"/>
      <c r="U28217"/>
      <c r="X28217" s="60"/>
    </row>
    <row r="28218" spans="7:24" ht="15" customHeight="1">
      <c r="G28218"/>
      <c r="I28218"/>
      <c r="N28218"/>
      <c r="O28218" s="24"/>
      <c r="P28218"/>
      <c r="Q28218" s="24"/>
      <c r="R28218"/>
      <c r="S28218"/>
      <c r="T28218"/>
      <c r="U28218"/>
      <c r="X28218" s="60"/>
    </row>
    <row r="28219" spans="7:24" ht="15" customHeight="1">
      <c r="G28219"/>
      <c r="I28219"/>
      <c r="N28219"/>
      <c r="O28219" s="24"/>
      <c r="P28219"/>
      <c r="Q28219" s="24"/>
      <c r="R28219"/>
      <c r="S28219"/>
      <c r="T28219"/>
      <c r="U28219"/>
      <c r="X28219" s="60"/>
    </row>
    <row r="28220" spans="7:24" ht="15" customHeight="1">
      <c r="G28220"/>
      <c r="I28220"/>
      <c r="N28220"/>
      <c r="O28220" s="24"/>
      <c r="P28220"/>
      <c r="Q28220" s="24"/>
      <c r="R28220"/>
      <c r="S28220"/>
      <c r="T28220"/>
      <c r="U28220"/>
      <c r="X28220" s="60"/>
    </row>
    <row r="28221" spans="7:24" ht="15" customHeight="1">
      <c r="G28221"/>
      <c r="I28221"/>
      <c r="N28221"/>
      <c r="O28221" s="24"/>
      <c r="P28221"/>
      <c r="Q28221" s="24"/>
      <c r="R28221"/>
      <c r="S28221"/>
      <c r="T28221"/>
      <c r="U28221"/>
      <c r="X28221" s="60"/>
    </row>
    <row r="28222" spans="7:24" ht="15" customHeight="1">
      <c r="G28222"/>
      <c r="I28222"/>
      <c r="N28222"/>
      <c r="O28222" s="24"/>
      <c r="P28222"/>
      <c r="Q28222" s="24"/>
      <c r="R28222"/>
      <c r="S28222"/>
      <c r="T28222"/>
      <c r="U28222"/>
      <c r="X28222" s="60"/>
    </row>
    <row r="28223" spans="7:24" ht="15" customHeight="1">
      <c r="G28223"/>
      <c r="I28223"/>
      <c r="N28223"/>
      <c r="O28223" s="24"/>
      <c r="P28223"/>
      <c r="Q28223" s="24"/>
      <c r="R28223"/>
      <c r="S28223"/>
      <c r="T28223"/>
      <c r="U28223"/>
      <c r="X28223" s="60"/>
    </row>
    <row r="28224" spans="7:24" ht="15" customHeight="1">
      <c r="G28224"/>
      <c r="I28224"/>
      <c r="N28224"/>
      <c r="O28224" s="24"/>
      <c r="P28224"/>
      <c r="Q28224" s="24"/>
      <c r="R28224"/>
      <c r="S28224"/>
      <c r="T28224"/>
      <c r="U28224"/>
      <c r="X28224" s="60"/>
    </row>
    <row r="28225" spans="7:24" ht="15" customHeight="1">
      <c r="G28225"/>
      <c r="I28225"/>
      <c r="N28225"/>
      <c r="O28225" s="24"/>
      <c r="P28225"/>
      <c r="Q28225" s="24"/>
      <c r="R28225"/>
      <c r="S28225"/>
      <c r="T28225"/>
      <c r="U28225"/>
      <c r="X28225" s="60"/>
    </row>
    <row r="28226" spans="7:24" ht="15" customHeight="1">
      <c r="G28226"/>
      <c r="I28226"/>
      <c r="N28226"/>
      <c r="O28226" s="24"/>
      <c r="P28226"/>
      <c r="Q28226" s="24"/>
      <c r="R28226"/>
      <c r="S28226"/>
      <c r="T28226"/>
      <c r="U28226"/>
      <c r="X28226" s="60"/>
    </row>
    <row r="28227" spans="7:24" ht="15" customHeight="1">
      <c r="G28227"/>
      <c r="I28227"/>
      <c r="N28227"/>
      <c r="O28227" s="24"/>
      <c r="P28227"/>
      <c r="Q28227" s="24"/>
      <c r="R28227"/>
      <c r="S28227"/>
      <c r="T28227"/>
      <c r="U28227"/>
      <c r="X28227" s="60"/>
    </row>
    <row r="28228" spans="7:24" ht="15" customHeight="1">
      <c r="G28228"/>
      <c r="I28228"/>
      <c r="N28228"/>
      <c r="O28228" s="24"/>
      <c r="P28228"/>
      <c r="Q28228" s="24"/>
      <c r="R28228"/>
      <c r="S28228"/>
      <c r="T28228"/>
      <c r="U28228"/>
      <c r="X28228" s="60"/>
    </row>
    <row r="28229" spans="7:24" ht="15" customHeight="1">
      <c r="G28229"/>
      <c r="I28229"/>
      <c r="N28229"/>
      <c r="O28229" s="24"/>
      <c r="P28229"/>
      <c r="Q28229" s="24"/>
      <c r="R28229"/>
      <c r="S28229"/>
      <c r="T28229"/>
      <c r="U28229"/>
      <c r="X28229" s="60"/>
    </row>
    <row r="28230" spans="7:24" ht="15" customHeight="1">
      <c r="G28230"/>
      <c r="I28230"/>
      <c r="N28230"/>
      <c r="O28230" s="24"/>
      <c r="P28230"/>
      <c r="Q28230" s="24"/>
      <c r="R28230"/>
      <c r="S28230"/>
      <c r="T28230"/>
      <c r="U28230"/>
      <c r="X28230" s="60"/>
    </row>
    <row r="28231" spans="7:24" ht="15" customHeight="1">
      <c r="G28231"/>
      <c r="I28231"/>
      <c r="N28231"/>
      <c r="O28231" s="24"/>
      <c r="P28231"/>
      <c r="Q28231" s="24"/>
      <c r="R28231"/>
      <c r="S28231"/>
      <c r="T28231"/>
      <c r="U28231"/>
      <c r="X28231" s="60"/>
    </row>
    <row r="28232" spans="7:24" ht="15" customHeight="1">
      <c r="G28232"/>
      <c r="I28232"/>
      <c r="N28232"/>
      <c r="O28232" s="24"/>
      <c r="P28232"/>
      <c r="Q28232" s="24"/>
      <c r="R28232"/>
      <c r="S28232"/>
      <c r="T28232"/>
      <c r="U28232"/>
      <c r="X28232" s="60"/>
    </row>
    <row r="28233" spans="7:24" ht="15" customHeight="1">
      <c r="G28233"/>
      <c r="I28233"/>
      <c r="N28233"/>
      <c r="O28233" s="24"/>
      <c r="P28233"/>
      <c r="Q28233" s="24"/>
      <c r="R28233"/>
      <c r="S28233"/>
      <c r="T28233"/>
      <c r="U28233"/>
      <c r="X28233" s="60"/>
    </row>
    <row r="28234" spans="7:24" ht="15" customHeight="1">
      <c r="G28234"/>
      <c r="I28234"/>
      <c r="N28234"/>
      <c r="O28234" s="24"/>
      <c r="P28234"/>
      <c r="Q28234" s="24"/>
      <c r="R28234"/>
      <c r="S28234"/>
      <c r="T28234"/>
      <c r="U28234"/>
      <c r="X28234" s="60"/>
    </row>
    <row r="28235" spans="7:24" ht="15" customHeight="1">
      <c r="G28235"/>
      <c r="I28235"/>
      <c r="N28235"/>
      <c r="O28235" s="24"/>
      <c r="P28235"/>
      <c r="Q28235" s="24"/>
      <c r="R28235"/>
      <c r="S28235"/>
      <c r="T28235"/>
      <c r="U28235"/>
      <c r="X28235" s="60"/>
    </row>
    <row r="28236" spans="7:24" ht="15" customHeight="1">
      <c r="G28236"/>
      <c r="I28236"/>
      <c r="N28236"/>
      <c r="O28236" s="24"/>
      <c r="P28236"/>
      <c r="Q28236" s="24"/>
      <c r="R28236"/>
      <c r="S28236"/>
      <c r="T28236"/>
      <c r="U28236"/>
      <c r="X28236" s="60"/>
    </row>
    <row r="28237" spans="7:24" ht="15" customHeight="1">
      <c r="G28237"/>
      <c r="I28237"/>
      <c r="N28237"/>
      <c r="O28237" s="24"/>
      <c r="P28237"/>
      <c r="Q28237" s="24"/>
      <c r="R28237"/>
      <c r="S28237"/>
      <c r="T28237"/>
      <c r="U28237"/>
      <c r="X28237" s="60"/>
    </row>
    <row r="28238" spans="7:24" ht="15" customHeight="1">
      <c r="G28238"/>
      <c r="I28238"/>
      <c r="N28238"/>
      <c r="O28238" s="24"/>
      <c r="P28238"/>
      <c r="Q28238" s="24"/>
      <c r="R28238"/>
      <c r="S28238"/>
      <c r="T28238"/>
      <c r="U28238"/>
      <c r="X28238" s="60"/>
    </row>
    <row r="28239" spans="7:24" ht="15" customHeight="1">
      <c r="G28239"/>
      <c r="I28239"/>
      <c r="N28239"/>
      <c r="O28239" s="24"/>
      <c r="P28239"/>
      <c r="Q28239" s="24"/>
      <c r="R28239"/>
      <c r="S28239"/>
      <c r="T28239"/>
      <c r="U28239"/>
      <c r="X28239" s="60"/>
    </row>
    <row r="28240" spans="7:24" ht="15" customHeight="1">
      <c r="G28240"/>
      <c r="I28240"/>
      <c r="N28240"/>
      <c r="O28240" s="24"/>
      <c r="P28240"/>
      <c r="Q28240" s="24"/>
      <c r="R28240"/>
      <c r="S28240"/>
      <c r="T28240"/>
      <c r="U28240"/>
      <c r="X28240" s="60"/>
    </row>
    <row r="28241" spans="7:24" ht="15" customHeight="1">
      <c r="G28241"/>
      <c r="I28241"/>
      <c r="N28241"/>
      <c r="O28241" s="24"/>
      <c r="P28241"/>
      <c r="Q28241" s="24"/>
      <c r="R28241"/>
      <c r="S28241"/>
      <c r="T28241"/>
      <c r="U28241"/>
      <c r="X28241" s="60"/>
    </row>
    <row r="28242" spans="7:24" ht="15" customHeight="1">
      <c r="G28242"/>
      <c r="I28242"/>
      <c r="N28242"/>
      <c r="O28242" s="24"/>
      <c r="P28242"/>
      <c r="Q28242" s="24"/>
      <c r="R28242"/>
      <c r="S28242"/>
      <c r="T28242"/>
      <c r="U28242"/>
      <c r="X28242" s="60"/>
    </row>
    <row r="28243" spans="7:24" ht="15" customHeight="1">
      <c r="G28243"/>
      <c r="I28243"/>
      <c r="N28243"/>
      <c r="O28243" s="24"/>
      <c r="P28243"/>
      <c r="Q28243" s="24"/>
      <c r="R28243"/>
      <c r="S28243"/>
      <c r="T28243"/>
      <c r="U28243"/>
      <c r="X28243" s="60"/>
    </row>
    <row r="28244" spans="7:24" ht="15" customHeight="1">
      <c r="G28244"/>
      <c r="I28244"/>
      <c r="N28244"/>
      <c r="O28244" s="24"/>
      <c r="P28244"/>
      <c r="Q28244" s="24"/>
      <c r="R28244"/>
      <c r="S28244"/>
      <c r="T28244"/>
      <c r="U28244"/>
      <c r="X28244" s="60"/>
    </row>
    <row r="28245" spans="7:24" ht="15" customHeight="1">
      <c r="G28245"/>
      <c r="I28245"/>
      <c r="N28245"/>
      <c r="O28245" s="24"/>
      <c r="P28245"/>
      <c r="Q28245" s="24"/>
      <c r="R28245"/>
      <c r="S28245"/>
      <c r="T28245"/>
      <c r="U28245"/>
      <c r="X28245" s="60"/>
    </row>
    <row r="28246" spans="7:24" ht="15" customHeight="1">
      <c r="G28246"/>
      <c r="I28246"/>
      <c r="N28246"/>
      <c r="O28246" s="24"/>
      <c r="P28246"/>
      <c r="Q28246" s="24"/>
      <c r="R28246"/>
      <c r="S28246"/>
      <c r="T28246"/>
      <c r="U28246"/>
      <c r="X28246" s="60"/>
    </row>
    <row r="28247" spans="7:24" ht="15" customHeight="1">
      <c r="G28247"/>
      <c r="I28247"/>
      <c r="N28247"/>
      <c r="O28247" s="24"/>
      <c r="P28247"/>
      <c r="Q28247" s="24"/>
      <c r="R28247"/>
      <c r="S28247"/>
      <c r="T28247"/>
      <c r="U28247"/>
      <c r="X28247" s="60"/>
    </row>
    <row r="28248" spans="7:24" ht="15" customHeight="1">
      <c r="G28248"/>
      <c r="I28248"/>
      <c r="N28248"/>
      <c r="O28248" s="24"/>
      <c r="P28248"/>
      <c r="Q28248" s="24"/>
      <c r="R28248"/>
      <c r="S28248"/>
      <c r="T28248"/>
      <c r="U28248"/>
      <c r="X28248" s="60"/>
    </row>
    <row r="28249" spans="7:24" ht="15" customHeight="1">
      <c r="G28249"/>
      <c r="I28249"/>
      <c r="N28249"/>
      <c r="O28249" s="24"/>
      <c r="P28249"/>
      <c r="Q28249" s="24"/>
      <c r="R28249"/>
      <c r="S28249"/>
      <c r="T28249"/>
      <c r="U28249"/>
      <c r="X28249" s="60"/>
    </row>
    <row r="28250" spans="7:24" ht="15" customHeight="1">
      <c r="G28250"/>
      <c r="I28250"/>
      <c r="N28250"/>
      <c r="O28250" s="24"/>
      <c r="P28250"/>
      <c r="Q28250" s="24"/>
      <c r="R28250"/>
      <c r="S28250"/>
      <c r="T28250"/>
      <c r="U28250"/>
      <c r="X28250" s="60"/>
    </row>
    <row r="28251" spans="7:24" ht="15" customHeight="1">
      <c r="G28251"/>
      <c r="I28251"/>
      <c r="N28251"/>
      <c r="O28251" s="24"/>
      <c r="P28251"/>
      <c r="Q28251" s="24"/>
      <c r="R28251"/>
      <c r="S28251"/>
      <c r="T28251"/>
      <c r="U28251"/>
      <c r="X28251" s="60"/>
    </row>
    <row r="28252" spans="7:24" ht="15" customHeight="1">
      <c r="G28252"/>
      <c r="I28252"/>
      <c r="N28252"/>
      <c r="O28252" s="24"/>
      <c r="P28252"/>
      <c r="Q28252" s="24"/>
      <c r="R28252"/>
      <c r="S28252"/>
      <c r="T28252"/>
      <c r="U28252"/>
      <c r="X28252" s="60"/>
    </row>
    <row r="28253" spans="7:24" ht="15" customHeight="1">
      <c r="G28253"/>
      <c r="I28253"/>
      <c r="N28253"/>
      <c r="O28253" s="24"/>
      <c r="P28253"/>
      <c r="Q28253" s="24"/>
      <c r="R28253"/>
      <c r="S28253"/>
      <c r="T28253"/>
      <c r="U28253"/>
      <c r="X28253" s="60"/>
    </row>
    <row r="28254" spans="7:24" ht="15" customHeight="1">
      <c r="G28254"/>
      <c r="I28254"/>
      <c r="N28254"/>
      <c r="O28254" s="24"/>
      <c r="P28254"/>
      <c r="Q28254" s="24"/>
      <c r="R28254"/>
      <c r="S28254"/>
      <c r="T28254"/>
      <c r="U28254"/>
      <c r="X28254" s="60"/>
    </row>
    <row r="28255" spans="7:24" ht="15" customHeight="1">
      <c r="G28255"/>
      <c r="I28255"/>
      <c r="N28255"/>
      <c r="O28255" s="24"/>
      <c r="P28255"/>
      <c r="Q28255" s="24"/>
      <c r="R28255"/>
      <c r="S28255"/>
      <c r="T28255"/>
      <c r="U28255"/>
      <c r="X28255" s="60"/>
    </row>
    <row r="28256" spans="7:24" ht="15" customHeight="1">
      <c r="G28256"/>
      <c r="I28256"/>
      <c r="N28256"/>
      <c r="O28256" s="24"/>
      <c r="P28256"/>
      <c r="Q28256" s="24"/>
      <c r="R28256"/>
      <c r="S28256"/>
      <c r="T28256"/>
      <c r="U28256"/>
      <c r="X28256" s="60"/>
    </row>
    <row r="28257" spans="7:24" ht="15" customHeight="1">
      <c r="G28257"/>
      <c r="I28257"/>
      <c r="N28257"/>
      <c r="O28257" s="24"/>
      <c r="P28257"/>
      <c r="Q28257" s="24"/>
      <c r="R28257"/>
      <c r="S28257"/>
      <c r="T28257"/>
      <c r="U28257"/>
      <c r="X28257" s="60"/>
    </row>
    <row r="28258" spans="7:24" ht="15" customHeight="1">
      <c r="G28258"/>
      <c r="I28258"/>
      <c r="N28258"/>
      <c r="O28258" s="24"/>
      <c r="P28258"/>
      <c r="Q28258" s="24"/>
      <c r="R28258"/>
      <c r="S28258"/>
      <c r="T28258"/>
      <c r="U28258"/>
      <c r="X28258" s="60"/>
    </row>
    <row r="28259" spans="7:24" ht="15" customHeight="1">
      <c r="G28259"/>
      <c r="I28259"/>
      <c r="N28259"/>
      <c r="O28259" s="24"/>
      <c r="P28259"/>
      <c r="Q28259" s="24"/>
      <c r="R28259"/>
      <c r="S28259"/>
      <c r="T28259"/>
      <c r="U28259"/>
      <c r="X28259" s="60"/>
    </row>
    <row r="28260" spans="7:24" ht="15" customHeight="1">
      <c r="G28260"/>
      <c r="I28260"/>
      <c r="N28260"/>
      <c r="O28260" s="24"/>
      <c r="P28260"/>
      <c r="Q28260" s="24"/>
      <c r="R28260"/>
      <c r="S28260"/>
      <c r="T28260"/>
      <c r="U28260"/>
      <c r="X28260" s="60"/>
    </row>
    <row r="28261" spans="7:24" ht="15" customHeight="1">
      <c r="G28261"/>
      <c r="I28261"/>
      <c r="N28261"/>
      <c r="O28261" s="24"/>
      <c r="P28261"/>
      <c r="Q28261" s="24"/>
      <c r="R28261"/>
      <c r="S28261"/>
      <c r="T28261"/>
      <c r="U28261"/>
      <c r="X28261" s="60"/>
    </row>
    <row r="28262" spans="7:24" ht="15" customHeight="1">
      <c r="G28262"/>
      <c r="I28262"/>
      <c r="N28262"/>
      <c r="O28262" s="24"/>
      <c r="P28262"/>
      <c r="Q28262" s="24"/>
      <c r="R28262"/>
      <c r="S28262"/>
      <c r="T28262"/>
      <c r="U28262"/>
      <c r="X28262" s="60"/>
    </row>
    <row r="28263" spans="7:24" ht="15" customHeight="1">
      <c r="G28263"/>
      <c r="I28263"/>
      <c r="N28263"/>
      <c r="O28263" s="24"/>
      <c r="P28263"/>
      <c r="Q28263" s="24"/>
      <c r="R28263"/>
      <c r="S28263"/>
      <c r="T28263"/>
      <c r="U28263"/>
      <c r="X28263" s="60"/>
    </row>
    <row r="28264" spans="7:24" ht="15" customHeight="1">
      <c r="G28264"/>
      <c r="I28264"/>
      <c r="N28264"/>
      <c r="O28264" s="24"/>
      <c r="P28264"/>
      <c r="Q28264" s="24"/>
      <c r="R28264"/>
      <c r="S28264"/>
      <c r="T28264"/>
      <c r="U28264"/>
      <c r="X28264" s="60"/>
    </row>
    <row r="28265" spans="7:24" ht="15" customHeight="1">
      <c r="G28265"/>
      <c r="I28265"/>
      <c r="N28265"/>
      <c r="O28265" s="24"/>
      <c r="P28265"/>
      <c r="Q28265" s="24"/>
      <c r="R28265"/>
      <c r="S28265"/>
      <c r="T28265"/>
      <c r="U28265"/>
      <c r="X28265" s="60"/>
    </row>
    <row r="28266" spans="7:24" ht="15" customHeight="1">
      <c r="G28266"/>
      <c r="I28266"/>
      <c r="N28266"/>
      <c r="O28266" s="24"/>
      <c r="P28266"/>
      <c r="Q28266" s="24"/>
      <c r="R28266"/>
      <c r="S28266"/>
      <c r="T28266"/>
      <c r="U28266"/>
      <c r="X28266" s="60"/>
    </row>
    <row r="28267" spans="7:24" ht="15" customHeight="1">
      <c r="G28267"/>
      <c r="I28267"/>
      <c r="N28267"/>
      <c r="O28267" s="24"/>
      <c r="P28267"/>
      <c r="Q28267" s="24"/>
      <c r="R28267"/>
      <c r="S28267"/>
      <c r="T28267"/>
      <c r="U28267"/>
      <c r="X28267" s="60"/>
    </row>
    <row r="28268" spans="7:24" ht="15" customHeight="1">
      <c r="G28268"/>
      <c r="I28268"/>
      <c r="N28268"/>
      <c r="O28268" s="24"/>
      <c r="P28268"/>
      <c r="Q28268" s="24"/>
      <c r="R28268"/>
      <c r="S28268"/>
      <c r="T28268"/>
      <c r="U28268"/>
      <c r="X28268" s="60"/>
    </row>
    <row r="28269" spans="7:24" ht="15" customHeight="1">
      <c r="G28269"/>
      <c r="I28269"/>
      <c r="N28269"/>
      <c r="O28269" s="24"/>
      <c r="P28269"/>
      <c r="Q28269" s="24"/>
      <c r="R28269"/>
      <c r="S28269"/>
      <c r="T28269"/>
      <c r="U28269"/>
      <c r="X28269" s="60"/>
    </row>
    <row r="28270" spans="7:24" ht="15" customHeight="1">
      <c r="G28270"/>
      <c r="I28270"/>
      <c r="N28270"/>
      <c r="O28270" s="24"/>
      <c r="P28270"/>
      <c r="Q28270" s="24"/>
      <c r="R28270"/>
      <c r="S28270"/>
      <c r="T28270"/>
      <c r="U28270"/>
      <c r="X28270" s="60"/>
    </row>
    <row r="28271" spans="7:24" ht="15" customHeight="1">
      <c r="G28271"/>
      <c r="I28271"/>
      <c r="N28271"/>
      <c r="O28271" s="24"/>
      <c r="P28271"/>
      <c r="Q28271" s="24"/>
      <c r="R28271"/>
      <c r="S28271"/>
      <c r="T28271"/>
      <c r="U28271"/>
      <c r="X28271" s="60"/>
    </row>
    <row r="28272" spans="7:24" ht="15" customHeight="1">
      <c r="G28272"/>
      <c r="I28272"/>
      <c r="N28272"/>
      <c r="O28272" s="24"/>
      <c r="P28272"/>
      <c r="Q28272" s="24"/>
      <c r="R28272"/>
      <c r="S28272"/>
      <c r="T28272"/>
      <c r="U28272"/>
      <c r="X28272" s="60"/>
    </row>
    <row r="28273" spans="7:24" ht="15" customHeight="1">
      <c r="G28273"/>
      <c r="I28273"/>
      <c r="N28273"/>
      <c r="O28273" s="24"/>
      <c r="P28273"/>
      <c r="Q28273" s="24"/>
      <c r="R28273"/>
      <c r="S28273"/>
      <c r="T28273"/>
      <c r="U28273"/>
      <c r="X28273" s="60"/>
    </row>
    <row r="28274" spans="7:24" ht="15" customHeight="1">
      <c r="G28274"/>
      <c r="I28274"/>
      <c r="N28274"/>
      <c r="O28274" s="24"/>
      <c r="P28274"/>
      <c r="Q28274" s="24"/>
      <c r="R28274"/>
      <c r="S28274"/>
      <c r="T28274"/>
      <c r="U28274"/>
      <c r="X28274" s="60"/>
    </row>
    <row r="28275" spans="7:24" ht="15" customHeight="1">
      <c r="G28275"/>
      <c r="I28275"/>
      <c r="N28275"/>
      <c r="O28275" s="24"/>
      <c r="P28275"/>
      <c r="Q28275" s="24"/>
      <c r="R28275"/>
      <c r="S28275"/>
      <c r="T28275"/>
      <c r="U28275"/>
      <c r="X28275" s="60"/>
    </row>
    <row r="28276" spans="7:24" ht="15" customHeight="1">
      <c r="G28276"/>
      <c r="I28276"/>
      <c r="N28276"/>
      <c r="O28276" s="24"/>
      <c r="P28276"/>
      <c r="Q28276" s="24"/>
      <c r="R28276"/>
      <c r="S28276"/>
      <c r="T28276"/>
      <c r="U28276"/>
      <c r="X28276" s="60"/>
    </row>
    <row r="28277" spans="7:24" ht="15" customHeight="1">
      <c r="G28277"/>
      <c r="I28277"/>
      <c r="N28277"/>
      <c r="O28277" s="24"/>
      <c r="P28277"/>
      <c r="Q28277" s="24"/>
      <c r="R28277"/>
      <c r="S28277"/>
      <c r="T28277"/>
      <c r="U28277"/>
      <c r="X28277" s="60"/>
    </row>
    <row r="28278" spans="7:24" ht="15" customHeight="1">
      <c r="G28278"/>
      <c r="I28278"/>
      <c r="N28278"/>
      <c r="O28278" s="24"/>
      <c r="P28278"/>
      <c r="Q28278" s="24"/>
      <c r="R28278"/>
      <c r="S28278"/>
      <c r="T28278"/>
      <c r="U28278"/>
      <c r="X28278" s="60"/>
    </row>
    <row r="28279" spans="7:24" ht="15" customHeight="1">
      <c r="G28279"/>
      <c r="I28279"/>
      <c r="N28279"/>
      <c r="O28279" s="24"/>
      <c r="P28279"/>
      <c r="Q28279" s="24"/>
      <c r="R28279"/>
      <c r="S28279"/>
      <c r="T28279"/>
      <c r="U28279"/>
      <c r="X28279" s="60"/>
    </row>
    <row r="28280" spans="7:24" ht="15" customHeight="1">
      <c r="G28280"/>
      <c r="I28280"/>
      <c r="N28280"/>
      <c r="O28280" s="24"/>
      <c r="P28280"/>
      <c r="Q28280" s="24"/>
      <c r="R28280"/>
      <c r="S28280"/>
      <c r="T28280"/>
      <c r="U28280"/>
      <c r="X28280" s="60"/>
    </row>
    <row r="28281" spans="7:24" ht="15" customHeight="1">
      <c r="G28281"/>
      <c r="I28281"/>
      <c r="N28281"/>
      <c r="O28281" s="24"/>
      <c r="P28281"/>
      <c r="Q28281" s="24"/>
      <c r="R28281"/>
      <c r="S28281"/>
      <c r="T28281"/>
      <c r="U28281"/>
      <c r="X28281" s="60"/>
    </row>
    <row r="28282" spans="7:24" ht="15" customHeight="1">
      <c r="G28282"/>
      <c r="I28282"/>
      <c r="N28282"/>
      <c r="O28282" s="24"/>
      <c r="P28282"/>
      <c r="Q28282" s="24"/>
      <c r="R28282"/>
      <c r="S28282"/>
      <c r="T28282"/>
      <c r="U28282"/>
      <c r="X28282" s="60"/>
    </row>
    <row r="28283" spans="7:24" ht="15" customHeight="1">
      <c r="G28283"/>
      <c r="I28283"/>
      <c r="N28283"/>
      <c r="O28283" s="24"/>
      <c r="P28283"/>
      <c r="Q28283" s="24"/>
      <c r="R28283"/>
      <c r="S28283"/>
      <c r="T28283"/>
      <c r="U28283"/>
      <c r="X28283" s="60"/>
    </row>
    <row r="28284" spans="7:24" ht="15" customHeight="1">
      <c r="G28284"/>
      <c r="I28284"/>
      <c r="N28284"/>
      <c r="O28284" s="24"/>
      <c r="P28284"/>
      <c r="Q28284" s="24"/>
      <c r="R28284"/>
      <c r="S28284"/>
      <c r="T28284"/>
      <c r="U28284"/>
      <c r="X28284" s="60"/>
    </row>
    <row r="28285" spans="7:24" ht="15" customHeight="1">
      <c r="G28285"/>
      <c r="I28285"/>
      <c r="N28285"/>
      <c r="O28285" s="24"/>
      <c r="P28285"/>
      <c r="Q28285" s="24"/>
      <c r="R28285"/>
      <c r="S28285"/>
      <c r="T28285"/>
      <c r="U28285"/>
      <c r="X28285" s="60"/>
    </row>
    <row r="28286" spans="7:24" ht="15" customHeight="1">
      <c r="G28286"/>
      <c r="I28286"/>
      <c r="N28286"/>
      <c r="O28286" s="24"/>
      <c r="P28286"/>
      <c r="Q28286" s="24"/>
      <c r="R28286"/>
      <c r="S28286"/>
      <c r="T28286"/>
      <c r="U28286"/>
      <c r="X28286" s="60"/>
    </row>
    <row r="28287" spans="7:24" ht="15" customHeight="1">
      <c r="G28287"/>
      <c r="I28287"/>
      <c r="N28287"/>
      <c r="O28287" s="24"/>
      <c r="P28287"/>
      <c r="Q28287" s="24"/>
      <c r="R28287"/>
      <c r="S28287"/>
      <c r="T28287"/>
      <c r="U28287"/>
      <c r="X28287" s="60"/>
    </row>
    <row r="28288" spans="7:24" ht="15" customHeight="1">
      <c r="G28288"/>
      <c r="I28288"/>
      <c r="N28288"/>
      <c r="O28288" s="24"/>
      <c r="P28288"/>
      <c r="Q28288" s="24"/>
      <c r="R28288"/>
      <c r="S28288"/>
      <c r="T28288"/>
      <c r="U28288"/>
      <c r="X28288" s="60"/>
    </row>
    <row r="28289" spans="7:24" ht="15" customHeight="1">
      <c r="G28289"/>
      <c r="I28289"/>
      <c r="N28289"/>
      <c r="O28289" s="24"/>
      <c r="P28289"/>
      <c r="Q28289" s="24"/>
      <c r="R28289"/>
      <c r="S28289"/>
      <c r="T28289"/>
      <c r="U28289"/>
      <c r="X28289" s="60"/>
    </row>
    <row r="28290" spans="7:24" ht="15" customHeight="1">
      <c r="G28290"/>
      <c r="I28290"/>
      <c r="N28290"/>
      <c r="O28290" s="24"/>
      <c r="P28290"/>
      <c r="Q28290" s="24"/>
      <c r="R28290"/>
      <c r="S28290"/>
      <c r="T28290"/>
      <c r="U28290"/>
      <c r="X28290" s="60"/>
    </row>
    <row r="28291" spans="7:24" ht="15" customHeight="1">
      <c r="G28291"/>
      <c r="I28291"/>
      <c r="N28291"/>
      <c r="O28291" s="24"/>
      <c r="P28291"/>
      <c r="Q28291" s="24"/>
      <c r="R28291"/>
      <c r="S28291"/>
      <c r="T28291"/>
      <c r="U28291"/>
      <c r="X28291" s="60"/>
    </row>
    <row r="28292" spans="7:24" ht="15" customHeight="1">
      <c r="G28292"/>
      <c r="I28292"/>
      <c r="N28292"/>
      <c r="O28292" s="24"/>
      <c r="P28292"/>
      <c r="Q28292" s="24"/>
      <c r="R28292"/>
      <c r="S28292"/>
      <c r="T28292"/>
      <c r="U28292"/>
      <c r="X28292" s="60"/>
    </row>
    <row r="28293" spans="7:24" ht="15" customHeight="1">
      <c r="G28293"/>
      <c r="I28293"/>
      <c r="N28293"/>
      <c r="O28293" s="24"/>
      <c r="P28293"/>
      <c r="Q28293" s="24"/>
      <c r="R28293"/>
      <c r="S28293"/>
      <c r="T28293"/>
      <c r="U28293"/>
      <c r="X28293" s="60"/>
    </row>
    <row r="28294" spans="7:24" ht="15" customHeight="1">
      <c r="G28294"/>
      <c r="I28294"/>
      <c r="N28294"/>
      <c r="O28294" s="24"/>
      <c r="P28294"/>
      <c r="Q28294" s="24"/>
      <c r="R28294"/>
      <c r="S28294"/>
      <c r="T28294"/>
      <c r="U28294"/>
      <c r="X28294" s="60"/>
    </row>
    <row r="28295" spans="7:24" ht="15" customHeight="1">
      <c r="G28295"/>
      <c r="I28295"/>
      <c r="N28295"/>
      <c r="O28295" s="24"/>
      <c r="P28295"/>
      <c r="Q28295" s="24"/>
      <c r="R28295"/>
      <c r="S28295"/>
      <c r="T28295"/>
      <c r="U28295"/>
      <c r="X28295" s="60"/>
    </row>
    <row r="28296" spans="7:24" ht="15" customHeight="1">
      <c r="G28296"/>
      <c r="I28296"/>
      <c r="N28296"/>
      <c r="O28296" s="24"/>
      <c r="P28296"/>
      <c r="Q28296" s="24"/>
      <c r="R28296"/>
      <c r="S28296"/>
      <c r="T28296"/>
      <c r="U28296"/>
      <c r="X28296" s="60"/>
    </row>
    <row r="28297" spans="7:24" ht="15" customHeight="1">
      <c r="G28297"/>
      <c r="I28297"/>
      <c r="N28297"/>
      <c r="O28297" s="24"/>
      <c r="P28297"/>
      <c r="Q28297" s="24"/>
      <c r="R28297"/>
      <c r="S28297"/>
      <c r="T28297"/>
      <c r="U28297"/>
      <c r="X28297" s="60"/>
    </row>
    <row r="28298" spans="7:24" ht="15" customHeight="1">
      <c r="G28298"/>
      <c r="I28298"/>
      <c r="N28298"/>
      <c r="O28298" s="24"/>
      <c r="P28298"/>
      <c r="Q28298" s="24"/>
      <c r="R28298"/>
      <c r="S28298"/>
      <c r="T28298"/>
      <c r="U28298"/>
      <c r="X28298" s="60"/>
    </row>
    <row r="28299" spans="7:24" ht="15" customHeight="1">
      <c r="G28299"/>
      <c r="I28299"/>
      <c r="N28299"/>
      <c r="O28299" s="24"/>
      <c r="P28299"/>
      <c r="Q28299" s="24"/>
      <c r="R28299"/>
      <c r="S28299"/>
      <c r="T28299"/>
      <c r="U28299"/>
      <c r="X28299" s="60"/>
    </row>
    <row r="28300" spans="7:24" ht="15" customHeight="1">
      <c r="G28300"/>
      <c r="I28300"/>
      <c r="N28300"/>
      <c r="O28300" s="24"/>
      <c r="P28300"/>
      <c r="Q28300" s="24"/>
      <c r="R28300"/>
      <c r="S28300"/>
      <c r="T28300"/>
      <c r="U28300"/>
      <c r="X28300" s="60"/>
    </row>
    <row r="28301" spans="7:24" ht="15" customHeight="1">
      <c r="G28301"/>
      <c r="I28301"/>
      <c r="N28301"/>
      <c r="O28301" s="24"/>
      <c r="P28301"/>
      <c r="Q28301" s="24"/>
      <c r="R28301"/>
      <c r="S28301"/>
      <c r="T28301"/>
      <c r="U28301"/>
      <c r="X28301" s="60"/>
    </row>
    <row r="28302" spans="7:24" ht="15" customHeight="1">
      <c r="G28302"/>
      <c r="I28302"/>
      <c r="N28302"/>
      <c r="O28302" s="24"/>
      <c r="P28302"/>
      <c r="Q28302" s="24"/>
      <c r="R28302"/>
      <c r="S28302"/>
      <c r="T28302"/>
      <c r="U28302"/>
      <c r="X28302" s="60"/>
    </row>
    <row r="28303" spans="7:24" ht="15" customHeight="1">
      <c r="G28303"/>
      <c r="I28303"/>
      <c r="N28303"/>
      <c r="O28303" s="24"/>
      <c r="P28303"/>
      <c r="Q28303" s="24"/>
      <c r="R28303"/>
      <c r="S28303"/>
      <c r="T28303"/>
      <c r="U28303"/>
      <c r="X28303" s="60"/>
    </row>
    <row r="28304" spans="7:24" ht="15" customHeight="1">
      <c r="G28304"/>
      <c r="I28304"/>
      <c r="N28304"/>
      <c r="O28304" s="24"/>
      <c r="P28304"/>
      <c r="Q28304" s="24"/>
      <c r="R28304"/>
      <c r="S28304"/>
      <c r="T28304"/>
      <c r="U28304"/>
      <c r="X28304" s="60"/>
    </row>
    <row r="28305" spans="7:24" ht="15" customHeight="1">
      <c r="G28305"/>
      <c r="I28305"/>
      <c r="N28305"/>
      <c r="O28305" s="24"/>
      <c r="P28305"/>
      <c r="Q28305" s="24"/>
      <c r="R28305"/>
      <c r="S28305"/>
      <c r="T28305"/>
      <c r="U28305"/>
      <c r="X28305" s="60"/>
    </row>
    <row r="28306" spans="7:24" ht="15" customHeight="1">
      <c r="G28306"/>
      <c r="I28306"/>
      <c r="N28306"/>
      <c r="O28306" s="24"/>
      <c r="P28306"/>
      <c r="Q28306" s="24"/>
      <c r="R28306"/>
      <c r="S28306"/>
      <c r="T28306"/>
      <c r="U28306"/>
      <c r="X28306" s="60"/>
    </row>
    <row r="28307" spans="7:24" ht="15" customHeight="1">
      <c r="G28307"/>
      <c r="I28307"/>
      <c r="N28307"/>
      <c r="O28307" s="24"/>
      <c r="P28307"/>
      <c r="Q28307" s="24"/>
      <c r="R28307"/>
      <c r="S28307"/>
      <c r="T28307"/>
      <c r="U28307"/>
      <c r="X28307" s="60"/>
    </row>
    <row r="28308" spans="7:24" ht="15" customHeight="1">
      <c r="G28308"/>
      <c r="I28308"/>
      <c r="N28308"/>
      <c r="O28308" s="24"/>
      <c r="P28308"/>
      <c r="Q28308" s="24"/>
      <c r="R28308"/>
      <c r="S28308"/>
      <c r="T28308"/>
      <c r="U28308"/>
      <c r="X28308" s="60"/>
    </row>
    <row r="28309" spans="7:24" ht="15" customHeight="1">
      <c r="G28309"/>
      <c r="I28309"/>
      <c r="N28309"/>
      <c r="O28309" s="24"/>
      <c r="P28309"/>
      <c r="Q28309" s="24"/>
      <c r="R28309"/>
      <c r="S28309"/>
      <c r="T28309"/>
      <c r="U28309"/>
      <c r="X28309" s="60"/>
    </row>
    <row r="28310" spans="7:24" ht="15" customHeight="1">
      <c r="G28310"/>
      <c r="I28310"/>
      <c r="N28310"/>
      <c r="O28310" s="24"/>
      <c r="P28310"/>
      <c r="Q28310" s="24"/>
      <c r="R28310"/>
      <c r="S28310"/>
      <c r="T28310"/>
      <c r="U28310"/>
      <c r="X28310" s="60"/>
    </row>
    <row r="28311" spans="7:24" ht="15" customHeight="1">
      <c r="G28311"/>
      <c r="I28311"/>
      <c r="N28311"/>
      <c r="O28311" s="24"/>
      <c r="P28311"/>
      <c r="Q28311" s="24"/>
      <c r="R28311"/>
      <c r="S28311"/>
      <c r="T28311"/>
      <c r="U28311"/>
      <c r="X28311" s="60"/>
    </row>
    <row r="28312" spans="7:24" ht="15" customHeight="1">
      <c r="G28312"/>
      <c r="I28312"/>
      <c r="N28312"/>
      <c r="O28312" s="24"/>
      <c r="P28312"/>
      <c r="Q28312" s="24"/>
      <c r="R28312"/>
      <c r="S28312"/>
      <c r="T28312"/>
      <c r="U28312"/>
      <c r="X28312" s="60"/>
    </row>
    <row r="28313" spans="7:24" ht="15" customHeight="1">
      <c r="G28313"/>
      <c r="I28313"/>
      <c r="N28313"/>
      <c r="O28313" s="24"/>
      <c r="P28313"/>
      <c r="Q28313" s="24"/>
      <c r="R28313"/>
      <c r="S28313"/>
      <c r="T28313"/>
      <c r="U28313"/>
      <c r="X28313" s="60"/>
    </row>
    <row r="28314" spans="7:24" ht="15" customHeight="1">
      <c r="G28314"/>
      <c r="I28314"/>
      <c r="N28314"/>
      <c r="O28314" s="24"/>
      <c r="P28314"/>
      <c r="Q28314" s="24"/>
      <c r="R28314"/>
      <c r="S28314"/>
      <c r="T28314"/>
      <c r="U28314"/>
      <c r="X28314" s="60"/>
    </row>
    <row r="28315" spans="7:24" ht="15" customHeight="1">
      <c r="G28315"/>
      <c r="I28315"/>
      <c r="N28315"/>
      <c r="O28315" s="24"/>
      <c r="P28315"/>
      <c r="Q28315" s="24"/>
      <c r="R28315"/>
      <c r="S28315"/>
      <c r="T28315"/>
      <c r="U28315"/>
      <c r="X28315" s="60"/>
    </row>
    <row r="28316" spans="7:24" ht="15" customHeight="1">
      <c r="G28316"/>
      <c r="I28316"/>
      <c r="N28316"/>
      <c r="O28316" s="24"/>
      <c r="P28316"/>
      <c r="Q28316" s="24"/>
      <c r="R28316"/>
      <c r="S28316"/>
      <c r="T28316"/>
      <c r="U28316"/>
      <c r="X28316" s="60"/>
    </row>
    <row r="28317" spans="7:24" ht="15" customHeight="1">
      <c r="G28317"/>
      <c r="I28317"/>
      <c r="N28317"/>
      <c r="O28317" s="24"/>
      <c r="P28317"/>
      <c r="Q28317" s="24"/>
      <c r="R28317"/>
      <c r="S28317"/>
      <c r="T28317"/>
      <c r="U28317"/>
      <c r="X28317" s="60"/>
    </row>
    <row r="28318" spans="7:24" ht="15" customHeight="1">
      <c r="G28318"/>
      <c r="I28318"/>
      <c r="N28318"/>
      <c r="O28318" s="24"/>
      <c r="P28318"/>
      <c r="Q28318" s="24"/>
      <c r="R28318"/>
      <c r="S28318"/>
      <c r="T28318"/>
      <c r="U28318"/>
      <c r="X28318" s="60"/>
    </row>
    <row r="28319" spans="7:24" ht="15" customHeight="1">
      <c r="G28319"/>
      <c r="I28319"/>
      <c r="N28319"/>
      <c r="O28319" s="24"/>
      <c r="P28319"/>
      <c r="Q28319" s="24"/>
      <c r="R28319"/>
      <c r="S28319"/>
      <c r="T28319"/>
      <c r="U28319"/>
      <c r="X28319" s="60"/>
    </row>
    <row r="28320" spans="7:24" ht="15" customHeight="1">
      <c r="G28320"/>
      <c r="I28320"/>
      <c r="N28320"/>
      <c r="O28320" s="24"/>
      <c r="P28320"/>
      <c r="Q28320" s="24"/>
      <c r="R28320"/>
      <c r="S28320"/>
      <c r="T28320"/>
      <c r="U28320"/>
      <c r="X28320" s="60"/>
    </row>
    <row r="28321" spans="7:24" ht="15" customHeight="1">
      <c r="G28321"/>
      <c r="I28321"/>
      <c r="N28321"/>
      <c r="O28321" s="24"/>
      <c r="P28321"/>
      <c r="Q28321" s="24"/>
      <c r="R28321"/>
      <c r="S28321"/>
      <c r="T28321"/>
      <c r="U28321"/>
      <c r="X28321" s="60"/>
    </row>
    <row r="28322" spans="7:24" ht="15" customHeight="1">
      <c r="G28322"/>
      <c r="I28322"/>
      <c r="N28322"/>
      <c r="O28322" s="24"/>
      <c r="P28322"/>
      <c r="Q28322" s="24"/>
      <c r="R28322"/>
      <c r="S28322"/>
      <c r="T28322"/>
      <c r="U28322"/>
      <c r="X28322" s="60"/>
    </row>
    <row r="28323" spans="7:24" ht="15" customHeight="1">
      <c r="G28323"/>
      <c r="I28323"/>
      <c r="N28323"/>
      <c r="O28323" s="24"/>
      <c r="P28323"/>
      <c r="Q28323" s="24"/>
      <c r="R28323"/>
      <c r="S28323"/>
      <c r="T28323"/>
      <c r="U28323"/>
      <c r="X28323" s="60"/>
    </row>
    <row r="28324" spans="7:24" ht="15" customHeight="1">
      <c r="G28324"/>
      <c r="I28324"/>
      <c r="N28324"/>
      <c r="O28324" s="24"/>
      <c r="P28324"/>
      <c r="Q28324" s="24"/>
      <c r="R28324"/>
      <c r="S28324"/>
      <c r="T28324"/>
      <c r="U28324"/>
      <c r="X28324" s="60"/>
    </row>
    <row r="28325" spans="7:24" ht="15" customHeight="1">
      <c r="G28325"/>
      <c r="I28325"/>
      <c r="N28325"/>
      <c r="O28325" s="24"/>
      <c r="P28325"/>
      <c r="Q28325" s="24"/>
      <c r="R28325"/>
      <c r="S28325"/>
      <c r="T28325"/>
      <c r="U28325"/>
      <c r="X28325" s="60"/>
    </row>
    <row r="28326" spans="7:24" ht="15" customHeight="1">
      <c r="G28326"/>
      <c r="I28326"/>
      <c r="N28326"/>
      <c r="O28326" s="24"/>
      <c r="P28326"/>
      <c r="Q28326" s="24"/>
      <c r="R28326"/>
      <c r="S28326"/>
      <c r="T28326"/>
      <c r="U28326"/>
      <c r="X28326" s="60"/>
    </row>
    <row r="28327" spans="7:24" ht="15" customHeight="1">
      <c r="G28327"/>
      <c r="I28327"/>
      <c r="N28327"/>
      <c r="O28327" s="24"/>
      <c r="P28327"/>
      <c r="Q28327" s="24"/>
      <c r="R28327"/>
      <c r="S28327"/>
      <c r="T28327"/>
      <c r="U28327"/>
      <c r="X28327" s="60"/>
    </row>
    <row r="28328" spans="7:24" ht="15" customHeight="1">
      <c r="G28328"/>
      <c r="I28328"/>
      <c r="N28328"/>
      <c r="O28328" s="24"/>
      <c r="P28328"/>
      <c r="Q28328" s="24"/>
      <c r="R28328"/>
      <c r="S28328"/>
      <c r="T28328"/>
      <c r="U28328"/>
      <c r="X28328" s="60"/>
    </row>
    <row r="28329" spans="7:24" ht="15" customHeight="1">
      <c r="G28329"/>
      <c r="I28329"/>
      <c r="N28329"/>
      <c r="O28329" s="24"/>
      <c r="P28329"/>
      <c r="Q28329" s="24"/>
      <c r="R28329"/>
      <c r="S28329"/>
      <c r="T28329"/>
      <c r="U28329"/>
      <c r="X28329" s="60"/>
    </row>
    <row r="28330" spans="7:24" ht="15" customHeight="1">
      <c r="G28330"/>
      <c r="I28330"/>
      <c r="N28330"/>
      <c r="O28330" s="24"/>
      <c r="P28330"/>
      <c r="Q28330" s="24"/>
      <c r="R28330"/>
      <c r="S28330"/>
      <c r="T28330"/>
      <c r="U28330"/>
      <c r="X28330" s="60"/>
    </row>
    <row r="28331" spans="7:24" ht="15" customHeight="1">
      <c r="G28331"/>
      <c r="I28331"/>
      <c r="N28331"/>
      <c r="O28331" s="24"/>
      <c r="P28331"/>
      <c r="Q28331" s="24"/>
      <c r="R28331"/>
      <c r="S28331"/>
      <c r="T28331"/>
      <c r="U28331"/>
      <c r="X28331" s="60"/>
    </row>
    <row r="28332" spans="7:24" ht="15" customHeight="1">
      <c r="G28332"/>
      <c r="I28332"/>
      <c r="N28332"/>
      <c r="O28332" s="24"/>
      <c r="P28332"/>
      <c r="Q28332" s="24"/>
      <c r="R28332"/>
      <c r="S28332"/>
      <c r="T28332"/>
      <c r="U28332"/>
      <c r="X28332" s="60"/>
    </row>
    <row r="28333" spans="7:24" ht="15" customHeight="1">
      <c r="G28333"/>
      <c r="I28333"/>
      <c r="N28333"/>
      <c r="O28333" s="24"/>
      <c r="P28333"/>
      <c r="Q28333" s="24"/>
      <c r="R28333"/>
      <c r="S28333"/>
      <c r="T28333"/>
      <c r="U28333"/>
      <c r="X28333" s="60"/>
    </row>
    <row r="28334" spans="7:24" ht="15" customHeight="1">
      <c r="G28334"/>
      <c r="I28334"/>
      <c r="N28334"/>
      <c r="O28334" s="24"/>
      <c r="P28334"/>
      <c r="Q28334" s="24"/>
      <c r="R28334"/>
      <c r="S28334"/>
      <c r="T28334"/>
      <c r="U28334"/>
      <c r="X28334" s="60"/>
    </row>
    <row r="28335" spans="7:24" ht="15" customHeight="1">
      <c r="G28335"/>
      <c r="I28335"/>
      <c r="N28335"/>
      <c r="O28335" s="24"/>
      <c r="P28335"/>
      <c r="Q28335" s="24"/>
      <c r="R28335"/>
      <c r="S28335"/>
      <c r="T28335"/>
      <c r="U28335"/>
      <c r="X28335" s="60"/>
    </row>
    <row r="28336" spans="7:24" ht="15" customHeight="1">
      <c r="G28336"/>
      <c r="I28336"/>
      <c r="N28336"/>
      <c r="O28336" s="24"/>
      <c r="P28336"/>
      <c r="Q28336" s="24"/>
      <c r="R28336"/>
      <c r="S28336"/>
      <c r="T28336"/>
      <c r="U28336"/>
      <c r="X28336" s="60"/>
    </row>
    <row r="28337" spans="7:24" ht="15" customHeight="1">
      <c r="G28337"/>
      <c r="I28337"/>
      <c r="N28337"/>
      <c r="O28337" s="24"/>
      <c r="P28337"/>
      <c r="Q28337" s="24"/>
      <c r="R28337"/>
      <c r="S28337"/>
      <c r="T28337"/>
      <c r="U28337"/>
      <c r="X28337" s="60"/>
    </row>
    <row r="28338" spans="7:24" ht="15" customHeight="1">
      <c r="G28338"/>
      <c r="I28338"/>
      <c r="N28338"/>
      <c r="O28338" s="24"/>
      <c r="P28338"/>
      <c r="Q28338" s="24"/>
      <c r="R28338"/>
      <c r="S28338"/>
      <c r="T28338"/>
      <c r="U28338"/>
      <c r="X28338" s="60"/>
    </row>
    <row r="28339" spans="7:24" ht="15" customHeight="1">
      <c r="G28339"/>
      <c r="I28339"/>
      <c r="N28339"/>
      <c r="O28339" s="24"/>
      <c r="P28339"/>
      <c r="Q28339" s="24"/>
      <c r="R28339"/>
      <c r="S28339"/>
      <c r="T28339"/>
      <c r="U28339"/>
      <c r="X28339" s="60"/>
    </row>
    <row r="28340" spans="7:24" ht="15" customHeight="1">
      <c r="G28340"/>
      <c r="I28340"/>
      <c r="N28340"/>
      <c r="O28340" s="24"/>
      <c r="P28340"/>
      <c r="Q28340" s="24"/>
      <c r="R28340"/>
      <c r="S28340"/>
      <c r="T28340"/>
      <c r="U28340"/>
      <c r="X28340" s="60"/>
    </row>
    <row r="28341" spans="7:24" ht="15" customHeight="1">
      <c r="G28341"/>
      <c r="I28341"/>
      <c r="N28341"/>
      <c r="O28341" s="24"/>
      <c r="P28341"/>
      <c r="Q28341" s="24"/>
      <c r="R28341"/>
      <c r="S28341"/>
      <c r="T28341"/>
      <c r="U28341"/>
      <c r="X28341" s="60"/>
    </row>
    <row r="28342" spans="7:24" ht="15" customHeight="1">
      <c r="G28342"/>
      <c r="I28342"/>
      <c r="N28342"/>
      <c r="O28342" s="24"/>
      <c r="P28342"/>
      <c r="Q28342" s="24"/>
      <c r="R28342"/>
      <c r="S28342"/>
      <c r="T28342"/>
      <c r="U28342"/>
      <c r="X28342" s="60"/>
    </row>
    <row r="28343" spans="7:24" ht="15" customHeight="1">
      <c r="G28343"/>
      <c r="I28343"/>
      <c r="N28343"/>
      <c r="O28343" s="24"/>
      <c r="P28343"/>
      <c r="Q28343" s="24"/>
      <c r="R28343"/>
      <c r="S28343"/>
      <c r="T28343"/>
      <c r="U28343"/>
      <c r="X28343" s="60"/>
    </row>
    <row r="28344" spans="7:24" ht="15" customHeight="1">
      <c r="G28344"/>
      <c r="I28344"/>
      <c r="N28344"/>
      <c r="O28344" s="24"/>
      <c r="P28344"/>
      <c r="Q28344" s="24"/>
      <c r="R28344"/>
      <c r="S28344"/>
      <c r="T28344"/>
      <c r="U28344"/>
      <c r="X28344" s="60"/>
    </row>
    <row r="28345" spans="7:24" ht="15" customHeight="1">
      <c r="G28345"/>
      <c r="I28345"/>
      <c r="N28345"/>
      <c r="O28345" s="24"/>
      <c r="P28345"/>
      <c r="Q28345" s="24"/>
      <c r="R28345"/>
      <c r="S28345"/>
      <c r="T28345"/>
      <c r="U28345"/>
      <c r="X28345" s="60"/>
    </row>
    <row r="28346" spans="7:24" ht="15" customHeight="1">
      <c r="G28346"/>
      <c r="I28346"/>
      <c r="N28346"/>
      <c r="O28346" s="24"/>
      <c r="P28346"/>
      <c r="Q28346" s="24"/>
      <c r="R28346"/>
      <c r="S28346"/>
      <c r="T28346"/>
      <c r="U28346"/>
      <c r="X28346" s="60"/>
    </row>
    <row r="28347" spans="7:24" ht="15" customHeight="1">
      <c r="G28347"/>
      <c r="I28347"/>
      <c r="N28347"/>
      <c r="O28347" s="24"/>
      <c r="P28347"/>
      <c r="Q28347" s="24"/>
      <c r="R28347"/>
      <c r="S28347"/>
      <c r="T28347"/>
      <c r="U28347"/>
      <c r="X28347" s="60"/>
    </row>
    <row r="28348" spans="7:24" ht="15" customHeight="1">
      <c r="G28348"/>
      <c r="I28348"/>
      <c r="N28348"/>
      <c r="O28348" s="24"/>
      <c r="P28348"/>
      <c r="Q28348" s="24"/>
      <c r="R28348"/>
      <c r="S28348"/>
      <c r="T28348"/>
      <c r="U28348"/>
      <c r="X28348" s="60"/>
    </row>
    <row r="28349" spans="7:24" ht="15" customHeight="1">
      <c r="G28349"/>
      <c r="I28349"/>
      <c r="N28349"/>
      <c r="O28349" s="24"/>
      <c r="P28349"/>
      <c r="Q28349" s="24"/>
      <c r="R28349"/>
      <c r="S28349"/>
      <c r="T28349"/>
      <c r="U28349"/>
      <c r="X28349" s="60"/>
    </row>
    <row r="28350" spans="7:24" ht="15" customHeight="1">
      <c r="G28350"/>
      <c r="I28350"/>
      <c r="N28350"/>
      <c r="O28350" s="24"/>
      <c r="P28350"/>
      <c r="Q28350" s="24"/>
      <c r="R28350"/>
      <c r="S28350"/>
      <c r="T28350"/>
      <c r="U28350"/>
      <c r="X28350" s="60"/>
    </row>
    <row r="28351" spans="7:24" ht="15" customHeight="1">
      <c r="G28351"/>
      <c r="I28351"/>
      <c r="N28351"/>
      <c r="O28351" s="24"/>
      <c r="P28351"/>
      <c r="Q28351" s="24"/>
      <c r="R28351"/>
      <c r="S28351"/>
      <c r="T28351"/>
      <c r="U28351"/>
      <c r="X28351" s="60"/>
    </row>
    <row r="28352" spans="7:24" ht="15" customHeight="1">
      <c r="G28352"/>
      <c r="I28352"/>
      <c r="N28352"/>
      <c r="O28352" s="24"/>
      <c r="P28352"/>
      <c r="Q28352" s="24"/>
      <c r="R28352"/>
      <c r="S28352"/>
      <c r="T28352"/>
      <c r="U28352"/>
      <c r="X28352" s="60"/>
    </row>
    <row r="28353" spans="7:24" ht="15" customHeight="1">
      <c r="G28353"/>
      <c r="I28353"/>
      <c r="N28353"/>
      <c r="O28353" s="24"/>
      <c r="P28353"/>
      <c r="Q28353" s="24"/>
      <c r="R28353"/>
      <c r="S28353"/>
      <c r="T28353"/>
      <c r="U28353"/>
      <c r="X28353" s="60"/>
    </row>
    <row r="28354" spans="7:24" ht="15" customHeight="1">
      <c r="G28354"/>
      <c r="I28354"/>
      <c r="N28354"/>
      <c r="O28354" s="24"/>
      <c r="P28354"/>
      <c r="Q28354" s="24"/>
      <c r="R28354"/>
      <c r="S28354"/>
      <c r="T28354"/>
      <c r="U28354"/>
      <c r="X28354" s="60"/>
    </row>
    <row r="28355" spans="7:24" ht="15" customHeight="1">
      <c r="G28355"/>
      <c r="I28355"/>
      <c r="N28355"/>
      <c r="O28355" s="24"/>
      <c r="P28355"/>
      <c r="Q28355" s="24"/>
      <c r="R28355"/>
      <c r="S28355"/>
      <c r="T28355"/>
      <c r="U28355"/>
      <c r="X28355" s="60"/>
    </row>
    <row r="28356" spans="7:24" ht="15" customHeight="1">
      <c r="G28356"/>
      <c r="I28356"/>
      <c r="N28356"/>
      <c r="O28356" s="24"/>
      <c r="P28356"/>
      <c r="Q28356" s="24"/>
      <c r="R28356"/>
      <c r="S28356"/>
      <c r="T28356"/>
      <c r="U28356"/>
      <c r="X28356" s="60"/>
    </row>
    <row r="28357" spans="7:24" ht="15" customHeight="1">
      <c r="G28357"/>
      <c r="I28357"/>
      <c r="N28357"/>
      <c r="O28357" s="24"/>
      <c r="P28357"/>
      <c r="Q28357" s="24"/>
      <c r="R28357"/>
      <c r="S28357"/>
      <c r="T28357"/>
      <c r="U28357"/>
      <c r="X28357" s="60"/>
    </row>
    <row r="28358" spans="7:24" ht="15" customHeight="1">
      <c r="G28358"/>
      <c r="I28358"/>
      <c r="N28358"/>
      <c r="O28358" s="24"/>
      <c r="P28358"/>
      <c r="Q28358" s="24"/>
      <c r="R28358"/>
      <c r="S28358"/>
      <c r="T28358"/>
      <c r="U28358"/>
      <c r="X28358" s="60"/>
    </row>
    <row r="28359" spans="7:24" ht="15" customHeight="1">
      <c r="G28359"/>
      <c r="I28359"/>
      <c r="N28359"/>
      <c r="O28359" s="24"/>
      <c r="P28359"/>
      <c r="Q28359" s="24"/>
      <c r="R28359"/>
      <c r="S28359"/>
      <c r="T28359"/>
      <c r="U28359"/>
      <c r="X28359" s="60"/>
    </row>
    <row r="28360" spans="7:24" ht="15" customHeight="1">
      <c r="G28360"/>
      <c r="I28360"/>
      <c r="N28360"/>
      <c r="O28360" s="24"/>
      <c r="P28360"/>
      <c r="Q28360" s="24"/>
      <c r="R28360"/>
      <c r="S28360"/>
      <c r="T28360"/>
      <c r="U28360"/>
      <c r="X28360" s="60"/>
    </row>
    <row r="28361" spans="7:24" ht="15" customHeight="1">
      <c r="G28361"/>
      <c r="I28361"/>
      <c r="N28361"/>
      <c r="O28361" s="24"/>
      <c r="P28361"/>
      <c r="Q28361" s="24"/>
      <c r="R28361"/>
      <c r="S28361"/>
      <c r="T28361"/>
      <c r="U28361"/>
      <c r="X28361" s="60"/>
    </row>
    <row r="28362" spans="7:24" ht="15" customHeight="1">
      <c r="G28362"/>
      <c r="I28362"/>
      <c r="N28362"/>
      <c r="O28362" s="24"/>
      <c r="P28362"/>
      <c r="Q28362" s="24"/>
      <c r="R28362"/>
      <c r="S28362"/>
      <c r="T28362"/>
      <c r="U28362"/>
      <c r="X28362" s="60"/>
    </row>
    <row r="28363" spans="7:24" ht="15" customHeight="1">
      <c r="G28363"/>
      <c r="I28363"/>
      <c r="N28363"/>
      <c r="O28363" s="24"/>
      <c r="P28363"/>
      <c r="Q28363" s="24"/>
      <c r="R28363"/>
      <c r="S28363"/>
      <c r="T28363"/>
      <c r="U28363"/>
      <c r="X28363" s="60"/>
    </row>
    <row r="28364" spans="7:24" ht="15" customHeight="1">
      <c r="G28364"/>
      <c r="I28364"/>
      <c r="N28364"/>
      <c r="O28364" s="24"/>
      <c r="P28364"/>
      <c r="Q28364" s="24"/>
      <c r="R28364"/>
      <c r="S28364"/>
      <c r="T28364"/>
      <c r="U28364"/>
      <c r="X28364" s="60"/>
    </row>
    <row r="28365" spans="7:24" ht="15" customHeight="1">
      <c r="G28365"/>
      <c r="I28365"/>
      <c r="N28365"/>
      <c r="O28365" s="24"/>
      <c r="P28365"/>
      <c r="Q28365" s="24"/>
      <c r="R28365"/>
      <c r="S28365"/>
      <c r="T28365"/>
      <c r="U28365"/>
      <c r="X28365" s="60"/>
    </row>
    <row r="28366" spans="7:24" ht="15" customHeight="1">
      <c r="G28366"/>
      <c r="I28366"/>
      <c r="N28366"/>
      <c r="O28366" s="24"/>
      <c r="P28366"/>
      <c r="Q28366" s="24"/>
      <c r="R28366"/>
      <c r="S28366"/>
      <c r="T28366"/>
      <c r="U28366"/>
      <c r="X28366" s="60"/>
    </row>
    <row r="28367" spans="7:24" ht="15" customHeight="1">
      <c r="G28367"/>
      <c r="I28367"/>
      <c r="N28367"/>
      <c r="O28367" s="24"/>
      <c r="P28367"/>
      <c r="Q28367" s="24"/>
      <c r="R28367"/>
      <c r="S28367"/>
      <c r="T28367"/>
      <c r="U28367"/>
      <c r="X28367" s="60"/>
    </row>
    <row r="28368" spans="7:24" ht="15" customHeight="1">
      <c r="G28368"/>
      <c r="I28368"/>
      <c r="N28368"/>
      <c r="O28368" s="24"/>
      <c r="P28368"/>
      <c r="Q28368" s="24"/>
      <c r="R28368"/>
      <c r="S28368"/>
      <c r="T28368"/>
      <c r="U28368"/>
      <c r="X28368" s="60"/>
    </row>
    <row r="28369" spans="7:24" ht="15" customHeight="1">
      <c r="G28369"/>
      <c r="I28369"/>
      <c r="N28369"/>
      <c r="O28369" s="24"/>
      <c r="P28369"/>
      <c r="Q28369" s="24"/>
      <c r="R28369"/>
      <c r="S28369"/>
      <c r="T28369"/>
      <c r="U28369"/>
      <c r="X28369" s="60"/>
    </row>
    <row r="28370" spans="7:24" ht="15" customHeight="1">
      <c r="G28370"/>
      <c r="I28370"/>
      <c r="N28370"/>
      <c r="O28370" s="24"/>
      <c r="P28370"/>
      <c r="Q28370" s="24"/>
      <c r="R28370"/>
      <c r="S28370"/>
      <c r="T28370"/>
      <c r="U28370"/>
      <c r="X28370" s="60"/>
    </row>
    <row r="28371" spans="7:24" ht="15" customHeight="1">
      <c r="G28371"/>
      <c r="I28371"/>
      <c r="N28371"/>
      <c r="O28371" s="24"/>
      <c r="P28371"/>
      <c r="Q28371" s="24"/>
      <c r="R28371"/>
      <c r="S28371"/>
      <c r="T28371"/>
      <c r="U28371"/>
      <c r="X28371" s="60"/>
    </row>
    <row r="28372" spans="7:24" ht="15" customHeight="1">
      <c r="G28372"/>
      <c r="I28372"/>
      <c r="N28372"/>
      <c r="O28372" s="24"/>
      <c r="P28372"/>
      <c r="Q28372" s="24"/>
      <c r="R28372"/>
      <c r="S28372"/>
      <c r="T28372"/>
      <c r="U28372"/>
      <c r="X28372" s="60"/>
    </row>
    <row r="28373" spans="7:24" ht="15" customHeight="1">
      <c r="G28373"/>
      <c r="I28373"/>
      <c r="N28373"/>
      <c r="O28373" s="24"/>
      <c r="P28373"/>
      <c r="Q28373" s="24"/>
      <c r="R28373"/>
      <c r="S28373"/>
      <c r="T28373"/>
      <c r="U28373"/>
      <c r="X28373" s="60"/>
    </row>
    <row r="28374" spans="7:24" ht="15" customHeight="1">
      <c r="G28374"/>
      <c r="I28374"/>
      <c r="N28374"/>
      <c r="O28374" s="24"/>
      <c r="P28374"/>
      <c r="Q28374" s="24"/>
      <c r="R28374"/>
      <c r="S28374"/>
      <c r="T28374"/>
      <c r="U28374"/>
      <c r="X28374" s="60"/>
    </row>
    <row r="28375" spans="7:24" ht="15" customHeight="1">
      <c r="G28375"/>
      <c r="I28375"/>
      <c r="N28375"/>
      <c r="O28375" s="24"/>
      <c r="P28375"/>
      <c r="Q28375" s="24"/>
      <c r="R28375"/>
      <c r="S28375"/>
      <c r="T28375"/>
      <c r="U28375"/>
      <c r="X28375" s="60"/>
    </row>
    <row r="28376" spans="7:24" ht="15" customHeight="1">
      <c r="G28376"/>
      <c r="I28376"/>
      <c r="N28376"/>
      <c r="O28376" s="24"/>
      <c r="P28376"/>
      <c r="Q28376" s="24"/>
      <c r="R28376"/>
      <c r="S28376"/>
      <c r="T28376"/>
      <c r="U28376"/>
      <c r="X28376" s="60"/>
    </row>
    <row r="28377" spans="7:24" ht="15" customHeight="1">
      <c r="G28377"/>
      <c r="I28377"/>
      <c r="N28377"/>
      <c r="O28377" s="24"/>
      <c r="P28377"/>
      <c r="Q28377" s="24"/>
      <c r="R28377"/>
      <c r="S28377"/>
      <c r="T28377"/>
      <c r="U28377"/>
      <c r="X28377" s="60"/>
    </row>
    <row r="28378" spans="7:24" ht="15" customHeight="1">
      <c r="G28378"/>
      <c r="I28378"/>
      <c r="N28378"/>
      <c r="O28378" s="24"/>
      <c r="P28378"/>
      <c r="Q28378" s="24"/>
      <c r="R28378"/>
      <c r="S28378"/>
      <c r="T28378"/>
      <c r="U28378"/>
      <c r="X28378" s="60"/>
    </row>
    <row r="28379" spans="7:24" ht="15" customHeight="1">
      <c r="G28379"/>
      <c r="I28379"/>
      <c r="N28379"/>
      <c r="O28379" s="24"/>
      <c r="P28379"/>
      <c r="Q28379" s="24"/>
      <c r="R28379"/>
      <c r="S28379"/>
      <c r="T28379"/>
      <c r="U28379"/>
      <c r="X28379" s="60"/>
    </row>
    <row r="28380" spans="7:24" ht="15" customHeight="1">
      <c r="G28380"/>
      <c r="I28380"/>
      <c r="N28380"/>
      <c r="O28380" s="24"/>
      <c r="P28380"/>
      <c r="Q28380" s="24"/>
      <c r="R28380"/>
      <c r="S28380"/>
      <c r="T28380"/>
      <c r="U28380"/>
      <c r="X28380" s="60"/>
    </row>
    <row r="28381" spans="7:24" ht="15" customHeight="1">
      <c r="G28381"/>
      <c r="I28381"/>
      <c r="N28381"/>
      <c r="O28381" s="24"/>
      <c r="P28381"/>
      <c r="Q28381" s="24"/>
      <c r="R28381"/>
      <c r="S28381"/>
      <c r="T28381"/>
      <c r="U28381"/>
      <c r="X28381" s="60"/>
    </row>
    <row r="28382" spans="7:24" ht="15" customHeight="1">
      <c r="G28382"/>
      <c r="I28382"/>
      <c r="N28382"/>
      <c r="O28382" s="24"/>
      <c r="P28382"/>
      <c r="Q28382" s="24"/>
      <c r="R28382"/>
      <c r="S28382"/>
      <c r="T28382"/>
      <c r="U28382"/>
      <c r="X28382" s="60"/>
    </row>
    <row r="28383" spans="7:24" ht="15" customHeight="1">
      <c r="G28383"/>
      <c r="I28383"/>
      <c r="N28383"/>
      <c r="O28383" s="24"/>
      <c r="P28383"/>
      <c r="Q28383" s="24"/>
      <c r="R28383"/>
      <c r="S28383"/>
      <c r="T28383"/>
      <c r="U28383"/>
      <c r="X28383" s="60"/>
    </row>
    <row r="28384" spans="7:24" ht="15" customHeight="1">
      <c r="G28384"/>
      <c r="I28384"/>
      <c r="N28384"/>
      <c r="O28384" s="24"/>
      <c r="P28384"/>
      <c r="Q28384" s="24"/>
      <c r="R28384"/>
      <c r="S28384"/>
      <c r="T28384"/>
      <c r="U28384"/>
      <c r="X28384" s="60"/>
    </row>
    <row r="28385" spans="7:24" ht="15" customHeight="1">
      <c r="G28385"/>
      <c r="I28385"/>
      <c r="N28385"/>
      <c r="O28385" s="24"/>
      <c r="P28385"/>
      <c r="Q28385" s="24"/>
      <c r="R28385"/>
      <c r="S28385"/>
      <c r="T28385"/>
      <c r="U28385"/>
      <c r="X28385" s="60"/>
    </row>
    <row r="28386" spans="7:24" ht="15" customHeight="1">
      <c r="G28386"/>
      <c r="I28386"/>
      <c r="N28386"/>
      <c r="O28386" s="24"/>
      <c r="P28386"/>
      <c r="Q28386" s="24"/>
      <c r="R28386"/>
      <c r="S28386"/>
      <c r="T28386"/>
      <c r="U28386"/>
      <c r="X28386" s="60"/>
    </row>
    <row r="28387" spans="7:24" ht="15" customHeight="1">
      <c r="G28387"/>
      <c r="I28387"/>
      <c r="N28387"/>
      <c r="O28387" s="24"/>
      <c r="P28387"/>
      <c r="Q28387" s="24"/>
      <c r="R28387"/>
      <c r="S28387"/>
      <c r="T28387"/>
      <c r="U28387"/>
      <c r="X28387" s="60"/>
    </row>
    <row r="28388" spans="7:24" ht="15" customHeight="1">
      <c r="G28388"/>
      <c r="I28388"/>
      <c r="N28388"/>
      <c r="O28388" s="24"/>
      <c r="P28388"/>
      <c r="Q28388" s="24"/>
      <c r="R28388"/>
      <c r="S28388"/>
      <c r="T28388"/>
      <c r="U28388"/>
      <c r="X28388" s="60"/>
    </row>
    <row r="28389" spans="7:24" ht="15" customHeight="1">
      <c r="G28389"/>
      <c r="I28389"/>
      <c r="N28389"/>
      <c r="O28389" s="24"/>
      <c r="P28389"/>
      <c r="Q28389" s="24"/>
      <c r="R28389"/>
      <c r="S28389"/>
      <c r="T28389"/>
      <c r="U28389"/>
      <c r="X28389" s="60"/>
    </row>
    <row r="28390" spans="7:24" ht="15" customHeight="1">
      <c r="G28390"/>
      <c r="I28390"/>
      <c r="N28390"/>
      <c r="O28390" s="24"/>
      <c r="P28390"/>
      <c r="Q28390" s="24"/>
      <c r="R28390"/>
      <c r="S28390"/>
      <c r="T28390"/>
      <c r="U28390"/>
      <c r="X28390" s="60"/>
    </row>
    <row r="28391" spans="7:24" ht="15" customHeight="1">
      <c r="G28391"/>
      <c r="I28391"/>
      <c r="N28391"/>
      <c r="O28391" s="24"/>
      <c r="P28391"/>
      <c r="Q28391" s="24"/>
      <c r="R28391"/>
      <c r="S28391"/>
      <c r="T28391"/>
      <c r="U28391"/>
      <c r="X28391" s="60"/>
    </row>
    <row r="28392" spans="7:24" ht="15" customHeight="1">
      <c r="G28392"/>
      <c r="I28392"/>
      <c r="N28392"/>
      <c r="O28392" s="24"/>
      <c r="P28392"/>
      <c r="Q28392" s="24"/>
      <c r="R28392"/>
      <c r="S28392"/>
      <c r="T28392"/>
      <c r="U28392"/>
      <c r="X28392" s="60"/>
    </row>
    <row r="28393" spans="7:24" ht="15" customHeight="1">
      <c r="G28393"/>
      <c r="I28393"/>
      <c r="N28393"/>
      <c r="O28393" s="24"/>
      <c r="P28393"/>
      <c r="Q28393" s="24"/>
      <c r="R28393"/>
      <c r="S28393"/>
      <c r="T28393"/>
      <c r="U28393"/>
      <c r="X28393" s="60"/>
    </row>
    <row r="28394" spans="7:24" ht="15" customHeight="1">
      <c r="G28394"/>
      <c r="I28394"/>
      <c r="N28394"/>
      <c r="O28394" s="24"/>
      <c r="P28394"/>
      <c r="Q28394" s="24"/>
      <c r="R28394"/>
      <c r="S28394"/>
      <c r="T28394"/>
      <c r="U28394"/>
      <c r="X28394" s="60"/>
    </row>
    <row r="28395" spans="7:24" ht="15" customHeight="1">
      <c r="G28395"/>
      <c r="I28395"/>
      <c r="N28395"/>
      <c r="O28395" s="24"/>
      <c r="P28395"/>
      <c r="Q28395" s="24"/>
      <c r="R28395"/>
      <c r="S28395"/>
      <c r="T28395"/>
      <c r="U28395"/>
      <c r="X28395" s="60"/>
    </row>
    <row r="28396" spans="7:24" ht="15" customHeight="1">
      <c r="G28396"/>
      <c r="I28396"/>
      <c r="N28396"/>
      <c r="O28396" s="24"/>
      <c r="P28396"/>
      <c r="Q28396" s="24"/>
      <c r="R28396"/>
      <c r="S28396"/>
      <c r="T28396"/>
      <c r="U28396"/>
      <c r="X28396" s="60"/>
    </row>
    <row r="28397" spans="7:24" ht="15" customHeight="1">
      <c r="G28397"/>
      <c r="I28397"/>
      <c r="N28397"/>
      <c r="O28397" s="24"/>
      <c r="P28397"/>
      <c r="Q28397" s="24"/>
      <c r="R28397"/>
      <c r="S28397"/>
      <c r="T28397"/>
      <c r="U28397"/>
      <c r="X28397" s="60"/>
    </row>
    <row r="28398" spans="7:24" ht="15" customHeight="1">
      <c r="G28398"/>
      <c r="I28398"/>
      <c r="N28398"/>
      <c r="O28398" s="24"/>
      <c r="P28398"/>
      <c r="Q28398" s="24"/>
      <c r="R28398"/>
      <c r="S28398"/>
      <c r="T28398"/>
      <c r="U28398"/>
      <c r="X28398" s="60"/>
    </row>
    <row r="28399" spans="7:24" ht="15" customHeight="1">
      <c r="G28399"/>
      <c r="I28399"/>
      <c r="N28399"/>
      <c r="O28399" s="24"/>
      <c r="P28399"/>
      <c r="Q28399" s="24"/>
      <c r="R28399"/>
      <c r="S28399"/>
      <c r="T28399"/>
      <c r="U28399"/>
      <c r="X28399" s="60"/>
    </row>
    <row r="28400" spans="7:24" ht="15" customHeight="1">
      <c r="G28400"/>
      <c r="I28400"/>
      <c r="N28400"/>
      <c r="O28400" s="24"/>
      <c r="P28400"/>
      <c r="Q28400" s="24"/>
      <c r="R28400"/>
      <c r="S28400"/>
      <c r="T28400"/>
      <c r="U28400"/>
      <c r="X28400" s="60"/>
    </row>
    <row r="28401" spans="7:24" ht="15" customHeight="1">
      <c r="G28401"/>
      <c r="I28401"/>
      <c r="N28401"/>
      <c r="O28401" s="24"/>
      <c r="P28401"/>
      <c r="Q28401" s="24"/>
      <c r="R28401"/>
      <c r="S28401"/>
      <c r="T28401"/>
      <c r="U28401"/>
      <c r="X28401" s="60"/>
    </row>
    <row r="28402" spans="7:24" ht="15" customHeight="1">
      <c r="G28402"/>
      <c r="I28402"/>
      <c r="N28402"/>
      <c r="O28402" s="24"/>
      <c r="P28402"/>
      <c r="Q28402" s="24"/>
      <c r="R28402"/>
      <c r="S28402"/>
      <c r="T28402"/>
      <c r="U28402"/>
      <c r="X28402" s="60"/>
    </row>
    <row r="28403" spans="7:24" ht="15" customHeight="1">
      <c r="G28403"/>
      <c r="I28403"/>
      <c r="N28403"/>
      <c r="O28403" s="24"/>
      <c r="P28403"/>
      <c r="Q28403" s="24"/>
      <c r="R28403"/>
      <c r="S28403"/>
      <c r="T28403"/>
      <c r="U28403"/>
      <c r="X28403" s="60"/>
    </row>
    <row r="28404" spans="7:24" ht="15" customHeight="1">
      <c r="G28404"/>
      <c r="I28404"/>
      <c r="N28404"/>
      <c r="O28404" s="24"/>
      <c r="P28404"/>
      <c r="Q28404" s="24"/>
      <c r="R28404"/>
      <c r="S28404"/>
      <c r="T28404"/>
      <c r="U28404"/>
      <c r="X28404" s="60"/>
    </row>
    <row r="28405" spans="7:24" ht="15" customHeight="1">
      <c r="G28405"/>
      <c r="I28405"/>
      <c r="N28405"/>
      <c r="O28405" s="24"/>
      <c r="P28405"/>
      <c r="Q28405" s="24"/>
      <c r="R28405"/>
      <c r="S28405"/>
      <c r="T28405"/>
      <c r="U28405"/>
      <c r="X28405" s="60"/>
    </row>
    <row r="28406" spans="7:24" ht="15" customHeight="1">
      <c r="G28406"/>
      <c r="I28406"/>
      <c r="N28406"/>
      <c r="O28406" s="24"/>
      <c r="P28406"/>
      <c r="Q28406" s="24"/>
      <c r="R28406"/>
      <c r="S28406"/>
      <c r="T28406"/>
      <c r="U28406"/>
      <c r="X28406" s="60"/>
    </row>
    <row r="28407" spans="7:24" ht="15" customHeight="1">
      <c r="G28407"/>
      <c r="I28407"/>
      <c r="N28407"/>
      <c r="O28407" s="24"/>
      <c r="P28407"/>
      <c r="Q28407" s="24"/>
      <c r="R28407"/>
      <c r="S28407"/>
      <c r="T28407"/>
      <c r="U28407"/>
      <c r="X28407" s="60"/>
    </row>
    <row r="28408" spans="7:24" ht="15" customHeight="1">
      <c r="G28408"/>
      <c r="I28408"/>
      <c r="N28408"/>
      <c r="O28408" s="24"/>
      <c r="P28408"/>
      <c r="Q28408" s="24"/>
      <c r="R28408"/>
      <c r="S28408"/>
      <c r="T28408"/>
      <c r="U28408"/>
      <c r="X28408" s="60"/>
    </row>
    <row r="28409" spans="7:24" ht="15" customHeight="1">
      <c r="G28409"/>
      <c r="I28409"/>
      <c r="N28409"/>
      <c r="O28409" s="24"/>
      <c r="P28409"/>
      <c r="Q28409" s="24"/>
      <c r="R28409"/>
      <c r="S28409"/>
      <c r="T28409"/>
      <c r="U28409"/>
      <c r="X28409" s="60"/>
    </row>
    <row r="28410" spans="7:24" ht="15" customHeight="1">
      <c r="G28410"/>
      <c r="I28410"/>
      <c r="N28410"/>
      <c r="O28410" s="24"/>
      <c r="P28410"/>
      <c r="Q28410" s="24"/>
      <c r="R28410"/>
      <c r="S28410"/>
      <c r="T28410"/>
      <c r="U28410"/>
      <c r="X28410" s="60"/>
    </row>
    <row r="28411" spans="7:24" ht="15" customHeight="1">
      <c r="G28411"/>
      <c r="I28411"/>
      <c r="N28411"/>
      <c r="O28411" s="24"/>
      <c r="P28411"/>
      <c r="Q28411" s="24"/>
      <c r="R28411"/>
      <c r="S28411"/>
      <c r="T28411"/>
      <c r="U28411"/>
      <c r="X28411" s="60"/>
    </row>
    <row r="28412" spans="7:24" ht="15" customHeight="1">
      <c r="G28412"/>
      <c r="I28412"/>
      <c r="N28412"/>
      <c r="O28412" s="24"/>
      <c r="P28412"/>
      <c r="Q28412" s="24"/>
      <c r="R28412"/>
      <c r="S28412"/>
      <c r="T28412"/>
      <c r="U28412"/>
      <c r="X28412" s="60"/>
    </row>
    <row r="28413" spans="7:24" ht="15" customHeight="1">
      <c r="G28413"/>
      <c r="I28413"/>
      <c r="N28413"/>
      <c r="O28413" s="24"/>
      <c r="P28413"/>
      <c r="Q28413" s="24"/>
      <c r="R28413"/>
      <c r="S28413"/>
      <c r="T28413"/>
      <c r="U28413"/>
      <c r="X28413" s="60"/>
    </row>
    <row r="28414" spans="7:24" ht="15" customHeight="1">
      <c r="G28414"/>
      <c r="I28414"/>
      <c r="N28414"/>
      <c r="O28414" s="24"/>
      <c r="P28414"/>
      <c r="Q28414" s="24"/>
      <c r="R28414"/>
      <c r="S28414"/>
      <c r="T28414"/>
      <c r="U28414"/>
      <c r="X28414" s="60"/>
    </row>
    <row r="28415" spans="7:24" ht="15" customHeight="1">
      <c r="G28415"/>
      <c r="I28415"/>
      <c r="N28415"/>
      <c r="O28415" s="24"/>
      <c r="P28415"/>
      <c r="Q28415" s="24"/>
      <c r="R28415"/>
      <c r="S28415"/>
      <c r="T28415"/>
      <c r="U28415"/>
      <c r="X28415" s="60"/>
    </row>
    <row r="28416" spans="7:24" ht="15" customHeight="1">
      <c r="G28416"/>
      <c r="I28416"/>
      <c r="N28416"/>
      <c r="O28416" s="24"/>
      <c r="P28416"/>
      <c r="Q28416" s="24"/>
      <c r="R28416"/>
      <c r="S28416"/>
      <c r="T28416"/>
      <c r="U28416"/>
      <c r="X28416" s="60"/>
    </row>
    <row r="28417" spans="7:24" ht="15" customHeight="1">
      <c r="G28417"/>
      <c r="I28417"/>
      <c r="N28417"/>
      <c r="O28417" s="24"/>
      <c r="P28417"/>
      <c r="Q28417" s="24"/>
      <c r="R28417"/>
      <c r="S28417"/>
      <c r="T28417"/>
      <c r="U28417"/>
      <c r="X28417" s="60"/>
    </row>
    <row r="28418" spans="7:24" ht="15" customHeight="1">
      <c r="G28418"/>
      <c r="I28418"/>
      <c r="N28418"/>
      <c r="O28418" s="24"/>
      <c r="P28418"/>
      <c r="Q28418" s="24"/>
      <c r="R28418"/>
      <c r="S28418"/>
      <c r="T28418"/>
      <c r="U28418"/>
      <c r="X28418" s="60"/>
    </row>
    <row r="28419" spans="7:24" ht="15" customHeight="1">
      <c r="G28419"/>
      <c r="I28419"/>
      <c r="N28419"/>
      <c r="O28419" s="24"/>
      <c r="P28419"/>
      <c r="Q28419" s="24"/>
      <c r="R28419"/>
      <c r="S28419"/>
      <c r="T28419"/>
      <c r="U28419"/>
      <c r="X28419" s="60"/>
    </row>
    <row r="28420" spans="7:24" ht="15" customHeight="1">
      <c r="G28420"/>
      <c r="I28420"/>
      <c r="N28420"/>
      <c r="O28420" s="24"/>
      <c r="P28420"/>
      <c r="Q28420" s="24"/>
      <c r="R28420"/>
      <c r="S28420"/>
      <c r="T28420"/>
      <c r="U28420"/>
      <c r="X28420" s="60"/>
    </row>
    <row r="28421" spans="7:24" ht="15" customHeight="1">
      <c r="G28421"/>
      <c r="I28421"/>
      <c r="N28421"/>
      <c r="O28421" s="24"/>
      <c r="P28421"/>
      <c r="Q28421" s="24"/>
      <c r="R28421"/>
      <c r="S28421"/>
      <c r="T28421"/>
      <c r="U28421"/>
      <c r="X28421" s="60"/>
    </row>
    <row r="28422" spans="7:24" ht="15" customHeight="1">
      <c r="G28422"/>
      <c r="I28422"/>
      <c r="N28422"/>
      <c r="O28422" s="24"/>
      <c r="P28422"/>
      <c r="Q28422" s="24"/>
      <c r="R28422"/>
      <c r="S28422"/>
      <c r="T28422"/>
      <c r="U28422"/>
      <c r="X28422" s="60"/>
    </row>
    <row r="28423" spans="7:24" ht="15" customHeight="1">
      <c r="G28423"/>
      <c r="I28423"/>
      <c r="N28423"/>
      <c r="O28423" s="24"/>
      <c r="P28423"/>
      <c r="Q28423" s="24"/>
      <c r="R28423"/>
      <c r="S28423"/>
      <c r="T28423"/>
      <c r="U28423"/>
      <c r="X28423" s="60"/>
    </row>
    <row r="28424" spans="7:24" ht="15" customHeight="1">
      <c r="G28424"/>
      <c r="I28424"/>
      <c r="N28424"/>
      <c r="O28424" s="24"/>
      <c r="P28424"/>
      <c r="Q28424" s="24"/>
      <c r="R28424"/>
      <c r="S28424"/>
      <c r="T28424"/>
      <c r="U28424"/>
      <c r="X28424" s="60"/>
    </row>
    <row r="28425" spans="7:24" ht="15" customHeight="1">
      <c r="G28425"/>
      <c r="I28425"/>
      <c r="N28425"/>
      <c r="O28425" s="24"/>
      <c r="P28425"/>
      <c r="Q28425" s="24"/>
      <c r="R28425"/>
      <c r="S28425"/>
      <c r="T28425"/>
      <c r="U28425"/>
      <c r="X28425" s="60"/>
    </row>
    <row r="28426" spans="7:24" ht="15" customHeight="1">
      <c r="G28426"/>
      <c r="I28426"/>
      <c r="N28426"/>
      <c r="O28426" s="24"/>
      <c r="P28426"/>
      <c r="Q28426" s="24"/>
      <c r="R28426"/>
      <c r="S28426"/>
      <c r="T28426"/>
      <c r="U28426"/>
      <c r="X28426" s="60"/>
    </row>
    <row r="28427" spans="7:24" ht="15" customHeight="1">
      <c r="G28427"/>
      <c r="I28427"/>
      <c r="N28427"/>
      <c r="O28427" s="24"/>
      <c r="P28427"/>
      <c r="Q28427" s="24"/>
      <c r="R28427"/>
      <c r="S28427"/>
      <c r="T28427"/>
      <c r="U28427"/>
      <c r="X28427" s="60"/>
    </row>
    <row r="28428" spans="7:24" ht="15" customHeight="1">
      <c r="G28428"/>
      <c r="I28428"/>
      <c r="N28428"/>
      <c r="O28428" s="24"/>
      <c r="P28428"/>
      <c r="Q28428" s="24"/>
      <c r="R28428"/>
      <c r="S28428"/>
      <c r="T28428"/>
      <c r="U28428"/>
      <c r="X28428" s="60"/>
    </row>
    <row r="28429" spans="7:24" ht="15" customHeight="1">
      <c r="G28429"/>
      <c r="I28429"/>
      <c r="N28429"/>
      <c r="O28429" s="24"/>
      <c r="P28429"/>
      <c r="Q28429" s="24"/>
      <c r="R28429"/>
      <c r="S28429"/>
      <c r="T28429"/>
      <c r="U28429"/>
      <c r="X28429" s="60"/>
    </row>
    <row r="28430" spans="7:24" ht="15" customHeight="1">
      <c r="G28430"/>
      <c r="I28430"/>
      <c r="N28430"/>
      <c r="O28430" s="24"/>
      <c r="P28430"/>
      <c r="Q28430" s="24"/>
      <c r="R28430"/>
      <c r="S28430"/>
      <c r="T28430"/>
      <c r="U28430"/>
      <c r="X28430" s="60"/>
    </row>
    <row r="28431" spans="7:24" ht="15" customHeight="1">
      <c r="G28431"/>
      <c r="I28431"/>
      <c r="N28431"/>
      <c r="O28431" s="24"/>
      <c r="P28431"/>
      <c r="Q28431" s="24"/>
      <c r="R28431"/>
      <c r="S28431"/>
      <c r="T28431"/>
      <c r="U28431"/>
      <c r="X28431" s="60"/>
    </row>
    <row r="28432" spans="7:24" ht="15" customHeight="1">
      <c r="G28432"/>
      <c r="I28432"/>
      <c r="N28432"/>
      <c r="O28432" s="24"/>
      <c r="P28432"/>
      <c r="Q28432" s="24"/>
      <c r="R28432"/>
      <c r="S28432"/>
      <c r="T28432"/>
      <c r="U28432"/>
      <c r="X28432" s="60"/>
    </row>
    <row r="28433" spans="7:24" ht="15" customHeight="1">
      <c r="G28433"/>
      <c r="I28433"/>
      <c r="N28433"/>
      <c r="O28433" s="24"/>
      <c r="P28433"/>
      <c r="Q28433" s="24"/>
      <c r="R28433"/>
      <c r="S28433"/>
      <c r="T28433"/>
      <c r="U28433"/>
      <c r="X28433" s="60"/>
    </row>
    <row r="28434" spans="7:24" ht="15" customHeight="1">
      <c r="G28434"/>
      <c r="I28434"/>
      <c r="N28434"/>
      <c r="O28434" s="24"/>
      <c r="P28434"/>
      <c r="Q28434" s="24"/>
      <c r="R28434"/>
      <c r="S28434"/>
      <c r="T28434"/>
      <c r="U28434"/>
      <c r="X28434" s="60"/>
    </row>
    <row r="28435" spans="7:24" ht="15" customHeight="1">
      <c r="G28435"/>
      <c r="I28435"/>
      <c r="N28435"/>
      <c r="O28435" s="24"/>
      <c r="P28435"/>
      <c r="Q28435" s="24"/>
      <c r="R28435"/>
      <c r="S28435"/>
      <c r="T28435"/>
      <c r="U28435"/>
      <c r="X28435" s="60"/>
    </row>
    <row r="28436" spans="7:24" ht="15" customHeight="1">
      <c r="G28436"/>
      <c r="I28436"/>
      <c r="N28436"/>
      <c r="O28436" s="24"/>
      <c r="P28436"/>
      <c r="Q28436" s="24"/>
      <c r="R28436"/>
      <c r="S28436"/>
      <c r="T28436"/>
      <c r="U28436"/>
      <c r="X28436" s="60"/>
    </row>
    <row r="28437" spans="7:24" ht="15" customHeight="1">
      <c r="G28437"/>
      <c r="I28437"/>
      <c r="N28437"/>
      <c r="O28437" s="24"/>
      <c r="P28437"/>
      <c r="Q28437" s="24"/>
      <c r="R28437"/>
      <c r="S28437"/>
      <c r="T28437"/>
      <c r="U28437"/>
      <c r="X28437" s="60"/>
    </row>
    <row r="28438" spans="7:24" ht="15" customHeight="1">
      <c r="G28438"/>
      <c r="I28438"/>
      <c r="N28438"/>
      <c r="O28438" s="24"/>
      <c r="P28438"/>
      <c r="Q28438" s="24"/>
      <c r="R28438"/>
      <c r="S28438"/>
      <c r="T28438"/>
      <c r="U28438"/>
      <c r="X28438" s="60"/>
    </row>
    <row r="28439" spans="7:24" ht="15" customHeight="1">
      <c r="G28439"/>
      <c r="I28439"/>
      <c r="N28439"/>
      <c r="O28439" s="24"/>
      <c r="P28439"/>
      <c r="Q28439" s="24"/>
      <c r="R28439"/>
      <c r="S28439"/>
      <c r="T28439"/>
      <c r="U28439"/>
      <c r="X28439" s="60"/>
    </row>
    <row r="28440" spans="7:24" ht="15" customHeight="1">
      <c r="G28440"/>
      <c r="I28440"/>
      <c r="N28440"/>
      <c r="O28440" s="24"/>
      <c r="P28440"/>
      <c r="Q28440" s="24"/>
      <c r="R28440"/>
      <c r="S28440"/>
      <c r="T28440"/>
      <c r="U28440"/>
      <c r="X28440" s="60"/>
    </row>
    <row r="28441" spans="7:24" ht="15" customHeight="1">
      <c r="G28441"/>
      <c r="I28441"/>
      <c r="N28441"/>
      <c r="O28441" s="24"/>
      <c r="P28441"/>
      <c r="Q28441" s="24"/>
      <c r="R28441"/>
      <c r="S28441"/>
      <c r="T28441"/>
      <c r="U28441"/>
      <c r="X28441" s="60"/>
    </row>
    <row r="28442" spans="7:24" ht="15" customHeight="1">
      <c r="G28442"/>
      <c r="I28442"/>
      <c r="N28442"/>
      <c r="O28442" s="24"/>
      <c r="P28442"/>
      <c r="Q28442" s="24"/>
      <c r="R28442"/>
      <c r="S28442"/>
      <c r="T28442"/>
      <c r="U28442"/>
      <c r="X28442" s="60"/>
    </row>
    <row r="28443" spans="7:24" ht="15" customHeight="1">
      <c r="G28443"/>
      <c r="I28443"/>
      <c r="N28443"/>
      <c r="O28443" s="24"/>
      <c r="P28443"/>
      <c r="Q28443" s="24"/>
      <c r="R28443"/>
      <c r="S28443"/>
      <c r="T28443"/>
      <c r="U28443"/>
      <c r="X28443" s="60"/>
    </row>
    <row r="28444" spans="7:24" ht="15" customHeight="1">
      <c r="G28444"/>
      <c r="I28444"/>
      <c r="N28444"/>
      <c r="O28444" s="24"/>
      <c r="P28444"/>
      <c r="Q28444" s="24"/>
      <c r="R28444"/>
      <c r="S28444"/>
      <c r="T28444"/>
      <c r="U28444"/>
      <c r="X28444" s="60"/>
    </row>
    <row r="28445" spans="7:24" ht="15" customHeight="1">
      <c r="G28445"/>
      <c r="I28445"/>
      <c r="N28445"/>
      <c r="O28445" s="24"/>
      <c r="P28445"/>
      <c r="Q28445" s="24"/>
      <c r="R28445"/>
      <c r="S28445"/>
      <c r="T28445"/>
      <c r="U28445"/>
      <c r="X28445" s="60"/>
    </row>
    <row r="28446" spans="7:24" ht="15" customHeight="1">
      <c r="G28446"/>
      <c r="I28446"/>
      <c r="N28446"/>
      <c r="O28446" s="24"/>
      <c r="P28446"/>
      <c r="Q28446" s="24"/>
      <c r="R28446"/>
      <c r="S28446"/>
      <c r="T28446"/>
      <c r="U28446"/>
      <c r="X28446" s="60"/>
    </row>
    <row r="28447" spans="7:24" ht="15" customHeight="1">
      <c r="G28447"/>
      <c r="I28447"/>
      <c r="N28447"/>
      <c r="O28447" s="24"/>
      <c r="P28447"/>
      <c r="Q28447" s="24"/>
      <c r="R28447"/>
      <c r="S28447"/>
      <c r="T28447"/>
      <c r="U28447"/>
      <c r="X28447" s="60"/>
    </row>
    <row r="28448" spans="7:24" ht="15" customHeight="1">
      <c r="G28448"/>
      <c r="I28448"/>
      <c r="N28448"/>
      <c r="O28448" s="24"/>
      <c r="P28448"/>
      <c r="Q28448" s="24"/>
      <c r="R28448"/>
      <c r="S28448"/>
      <c r="T28448"/>
      <c r="U28448"/>
      <c r="X28448" s="60"/>
    </row>
    <row r="28449" spans="7:24" ht="15" customHeight="1">
      <c r="G28449"/>
      <c r="I28449"/>
      <c r="N28449"/>
      <c r="O28449" s="24"/>
      <c r="P28449"/>
      <c r="Q28449" s="24"/>
      <c r="R28449"/>
      <c r="S28449"/>
      <c r="T28449"/>
      <c r="U28449"/>
      <c r="X28449" s="60"/>
    </row>
    <row r="28450" spans="7:24" ht="15" customHeight="1">
      <c r="G28450"/>
      <c r="I28450"/>
      <c r="N28450"/>
      <c r="O28450" s="24"/>
      <c r="P28450"/>
      <c r="Q28450" s="24"/>
      <c r="R28450"/>
      <c r="S28450"/>
      <c r="T28450"/>
      <c r="U28450"/>
      <c r="X28450" s="60"/>
    </row>
    <row r="28451" spans="7:24" ht="15" customHeight="1">
      <c r="G28451"/>
      <c r="I28451"/>
      <c r="N28451"/>
      <c r="O28451" s="24"/>
      <c r="P28451"/>
      <c r="Q28451" s="24"/>
      <c r="R28451"/>
      <c r="S28451"/>
      <c r="T28451"/>
      <c r="U28451"/>
      <c r="X28451" s="60"/>
    </row>
    <row r="28452" spans="7:24" ht="15" customHeight="1">
      <c r="G28452"/>
      <c r="I28452"/>
      <c r="N28452"/>
      <c r="O28452" s="24"/>
      <c r="P28452"/>
      <c r="Q28452" s="24"/>
      <c r="R28452"/>
      <c r="S28452"/>
      <c r="T28452"/>
      <c r="U28452"/>
      <c r="X28452" s="60"/>
    </row>
    <row r="28453" spans="7:24" ht="15" customHeight="1">
      <c r="G28453"/>
      <c r="I28453"/>
      <c r="N28453"/>
      <c r="O28453" s="24"/>
      <c r="P28453"/>
      <c r="Q28453" s="24"/>
      <c r="R28453"/>
      <c r="S28453"/>
      <c r="T28453"/>
      <c r="U28453"/>
      <c r="X28453" s="60"/>
    </row>
    <row r="28454" spans="7:24" ht="15" customHeight="1">
      <c r="G28454"/>
      <c r="I28454"/>
      <c r="N28454"/>
      <c r="O28454" s="24"/>
      <c r="P28454"/>
      <c r="Q28454" s="24"/>
      <c r="R28454"/>
      <c r="S28454"/>
      <c r="T28454"/>
      <c r="U28454"/>
      <c r="X28454" s="60"/>
    </row>
    <row r="28455" spans="7:24" ht="15" customHeight="1">
      <c r="G28455"/>
      <c r="I28455"/>
      <c r="N28455"/>
      <c r="O28455" s="24"/>
      <c r="P28455"/>
      <c r="Q28455" s="24"/>
      <c r="R28455"/>
      <c r="S28455"/>
      <c r="T28455"/>
      <c r="U28455"/>
      <c r="X28455" s="60"/>
    </row>
    <row r="28456" spans="7:24" ht="15" customHeight="1">
      <c r="G28456"/>
      <c r="I28456"/>
      <c r="N28456"/>
      <c r="O28456" s="24"/>
      <c r="P28456"/>
      <c r="Q28456" s="24"/>
      <c r="R28456"/>
      <c r="S28456"/>
      <c r="T28456"/>
      <c r="U28456"/>
      <c r="X28456" s="60"/>
    </row>
    <row r="28457" spans="7:24" ht="15" customHeight="1">
      <c r="G28457"/>
      <c r="I28457"/>
      <c r="N28457"/>
      <c r="O28457" s="24"/>
      <c r="P28457"/>
      <c r="Q28457" s="24"/>
      <c r="R28457"/>
      <c r="S28457"/>
      <c r="T28457"/>
      <c r="U28457"/>
      <c r="X28457" s="60"/>
    </row>
    <row r="28458" spans="7:24" ht="15" customHeight="1">
      <c r="G28458"/>
      <c r="I28458"/>
      <c r="N28458"/>
      <c r="O28458" s="24"/>
      <c r="P28458"/>
      <c r="Q28458" s="24"/>
      <c r="R28458"/>
      <c r="S28458"/>
      <c r="T28458"/>
      <c r="U28458"/>
      <c r="X28458" s="60"/>
    </row>
    <row r="28459" spans="7:24" ht="15" customHeight="1">
      <c r="G28459"/>
      <c r="I28459"/>
      <c r="N28459"/>
      <c r="O28459" s="24"/>
      <c r="P28459"/>
      <c r="Q28459" s="24"/>
      <c r="R28459"/>
      <c r="S28459"/>
      <c r="T28459"/>
      <c r="U28459"/>
      <c r="X28459" s="60"/>
    </row>
    <row r="28460" spans="7:24" ht="15" customHeight="1">
      <c r="G28460"/>
      <c r="I28460"/>
      <c r="N28460"/>
      <c r="O28460" s="24"/>
      <c r="P28460"/>
      <c r="Q28460" s="24"/>
      <c r="R28460"/>
      <c r="S28460"/>
      <c r="T28460"/>
      <c r="U28460"/>
      <c r="X28460" s="60"/>
    </row>
    <row r="28461" spans="7:24" ht="15" customHeight="1">
      <c r="G28461"/>
      <c r="I28461"/>
      <c r="N28461"/>
      <c r="O28461" s="24"/>
      <c r="P28461"/>
      <c r="Q28461" s="24"/>
      <c r="R28461"/>
      <c r="S28461"/>
      <c r="T28461"/>
      <c r="U28461"/>
      <c r="X28461" s="60"/>
    </row>
    <row r="28462" spans="7:24" ht="15" customHeight="1">
      <c r="G28462"/>
      <c r="I28462"/>
      <c r="N28462"/>
      <c r="O28462" s="24"/>
      <c r="P28462"/>
      <c r="Q28462" s="24"/>
      <c r="R28462"/>
      <c r="S28462"/>
      <c r="T28462"/>
      <c r="U28462"/>
      <c r="X28462" s="60"/>
    </row>
    <row r="28463" spans="7:24" ht="15" customHeight="1">
      <c r="G28463"/>
      <c r="I28463"/>
      <c r="N28463"/>
      <c r="O28463" s="24"/>
      <c r="P28463"/>
      <c r="Q28463" s="24"/>
      <c r="R28463"/>
      <c r="S28463"/>
      <c r="T28463"/>
      <c r="U28463"/>
      <c r="X28463" s="60"/>
    </row>
    <row r="28464" spans="7:24" ht="15" customHeight="1">
      <c r="G28464"/>
      <c r="I28464"/>
      <c r="N28464"/>
      <c r="O28464" s="24"/>
      <c r="P28464"/>
      <c r="Q28464" s="24"/>
      <c r="R28464"/>
      <c r="S28464"/>
      <c r="T28464"/>
      <c r="U28464"/>
      <c r="X28464" s="60"/>
    </row>
    <row r="28465" spans="7:24" ht="15" customHeight="1">
      <c r="G28465"/>
      <c r="I28465"/>
      <c r="N28465"/>
      <c r="O28465" s="24"/>
      <c r="P28465"/>
      <c r="Q28465" s="24"/>
      <c r="R28465"/>
      <c r="S28465"/>
      <c r="T28465"/>
      <c r="U28465"/>
      <c r="X28465" s="60"/>
    </row>
    <row r="28466" spans="7:24" ht="15" customHeight="1">
      <c r="G28466"/>
      <c r="I28466"/>
      <c r="N28466"/>
      <c r="O28466" s="24"/>
      <c r="P28466"/>
      <c r="Q28466" s="24"/>
      <c r="R28466"/>
      <c r="S28466"/>
      <c r="T28466"/>
      <c r="U28466"/>
      <c r="X28466" s="60"/>
    </row>
    <row r="28467" spans="7:24" ht="15" customHeight="1">
      <c r="G28467"/>
      <c r="I28467"/>
      <c r="N28467"/>
      <c r="O28467" s="24"/>
      <c r="P28467"/>
      <c r="Q28467" s="24"/>
      <c r="R28467"/>
      <c r="S28467"/>
      <c r="T28467"/>
      <c r="U28467"/>
      <c r="X28467" s="60"/>
    </row>
    <row r="28468" spans="7:24" ht="15" customHeight="1">
      <c r="G28468"/>
      <c r="I28468"/>
      <c r="N28468"/>
      <c r="O28468" s="24"/>
      <c r="P28468"/>
      <c r="Q28468" s="24"/>
      <c r="R28468"/>
      <c r="S28468"/>
      <c r="T28468"/>
      <c r="U28468"/>
      <c r="X28468" s="60"/>
    </row>
    <row r="28469" spans="7:24" ht="15" customHeight="1">
      <c r="G28469"/>
      <c r="I28469"/>
      <c r="N28469"/>
      <c r="O28469" s="24"/>
      <c r="P28469"/>
      <c r="Q28469" s="24"/>
      <c r="R28469"/>
      <c r="S28469"/>
      <c r="T28469"/>
      <c r="U28469"/>
      <c r="X28469" s="60"/>
    </row>
    <row r="28470" spans="7:24" ht="15" customHeight="1">
      <c r="G28470"/>
      <c r="I28470"/>
      <c r="N28470"/>
      <c r="O28470" s="24"/>
      <c r="P28470"/>
      <c r="Q28470" s="24"/>
      <c r="R28470"/>
      <c r="S28470"/>
      <c r="T28470"/>
      <c r="U28470"/>
      <c r="X28470" s="60"/>
    </row>
    <row r="28471" spans="7:24" ht="15" customHeight="1">
      <c r="G28471"/>
      <c r="I28471"/>
      <c r="N28471"/>
      <c r="O28471" s="24"/>
      <c r="P28471"/>
      <c r="Q28471" s="24"/>
      <c r="R28471"/>
      <c r="S28471"/>
      <c r="T28471"/>
      <c r="U28471"/>
      <c r="X28471" s="60"/>
    </row>
    <row r="28472" spans="7:24" ht="15" customHeight="1">
      <c r="G28472"/>
      <c r="I28472"/>
      <c r="N28472"/>
      <c r="O28472" s="24"/>
      <c r="P28472"/>
      <c r="Q28472" s="24"/>
      <c r="R28472"/>
      <c r="S28472"/>
      <c r="T28472"/>
      <c r="U28472"/>
      <c r="X28472" s="60"/>
    </row>
    <row r="28473" spans="7:24" ht="15" customHeight="1">
      <c r="G28473"/>
      <c r="I28473"/>
      <c r="N28473"/>
      <c r="O28473" s="24"/>
      <c r="P28473"/>
      <c r="Q28473" s="24"/>
      <c r="R28473"/>
      <c r="S28473"/>
      <c r="T28473"/>
      <c r="U28473"/>
      <c r="X28473" s="60"/>
    </row>
    <row r="28474" spans="7:24" ht="15" customHeight="1">
      <c r="G28474"/>
      <c r="I28474"/>
      <c r="N28474"/>
      <c r="O28474" s="24"/>
      <c r="P28474"/>
      <c r="Q28474" s="24"/>
      <c r="R28474"/>
      <c r="S28474"/>
      <c r="T28474"/>
      <c r="U28474"/>
      <c r="X28474" s="60"/>
    </row>
    <row r="28475" spans="7:24" ht="15" customHeight="1">
      <c r="G28475"/>
      <c r="I28475"/>
      <c r="N28475"/>
      <c r="O28475" s="24"/>
      <c r="P28475"/>
      <c r="Q28475" s="24"/>
      <c r="R28475"/>
      <c r="S28475"/>
      <c r="T28475"/>
      <c r="U28475"/>
      <c r="X28475" s="60"/>
    </row>
    <row r="28476" spans="7:24" ht="15" customHeight="1">
      <c r="G28476"/>
      <c r="I28476"/>
      <c r="N28476"/>
      <c r="O28476" s="24"/>
      <c r="P28476"/>
      <c r="Q28476" s="24"/>
      <c r="R28476"/>
      <c r="S28476"/>
      <c r="T28476"/>
      <c r="U28476"/>
      <c r="X28476" s="60"/>
    </row>
    <row r="28477" spans="7:24" ht="15" customHeight="1">
      <c r="G28477"/>
      <c r="I28477"/>
      <c r="N28477"/>
      <c r="O28477" s="24"/>
      <c r="P28477"/>
      <c r="Q28477" s="24"/>
      <c r="R28477"/>
      <c r="S28477"/>
      <c r="T28477"/>
      <c r="U28477"/>
      <c r="X28477" s="60"/>
    </row>
    <row r="28478" spans="7:24" ht="15" customHeight="1">
      <c r="G28478"/>
      <c r="I28478"/>
      <c r="N28478"/>
      <c r="O28478" s="24"/>
      <c r="P28478"/>
      <c r="Q28478" s="24"/>
      <c r="R28478"/>
      <c r="S28478"/>
      <c r="T28478"/>
      <c r="U28478"/>
      <c r="X28478" s="60"/>
    </row>
    <row r="28479" spans="7:24" ht="15" customHeight="1">
      <c r="G28479"/>
      <c r="I28479"/>
      <c r="N28479"/>
      <c r="O28479" s="24"/>
      <c r="P28479"/>
      <c r="Q28479" s="24"/>
      <c r="R28479"/>
      <c r="S28479"/>
      <c r="T28479"/>
      <c r="U28479"/>
      <c r="X28479" s="60"/>
    </row>
    <row r="28480" spans="7:24" ht="15" customHeight="1">
      <c r="G28480"/>
      <c r="I28480"/>
      <c r="N28480"/>
      <c r="O28480" s="24"/>
      <c r="P28480"/>
      <c r="Q28480" s="24"/>
      <c r="R28480"/>
      <c r="S28480"/>
      <c r="T28480"/>
      <c r="U28480"/>
      <c r="X28480" s="60"/>
    </row>
    <row r="28481" spans="7:24" ht="15" customHeight="1">
      <c r="G28481"/>
      <c r="I28481"/>
      <c r="N28481"/>
      <c r="O28481" s="24"/>
      <c r="P28481"/>
      <c r="Q28481" s="24"/>
      <c r="R28481"/>
      <c r="S28481"/>
      <c r="T28481"/>
      <c r="U28481"/>
      <c r="X28481" s="60"/>
    </row>
    <row r="28482" spans="7:24" ht="15" customHeight="1">
      <c r="G28482"/>
      <c r="I28482"/>
      <c r="N28482"/>
      <c r="O28482" s="24"/>
      <c r="P28482"/>
      <c r="Q28482" s="24"/>
      <c r="R28482"/>
      <c r="S28482"/>
      <c r="T28482"/>
      <c r="U28482"/>
      <c r="X28482" s="60"/>
    </row>
    <row r="28483" spans="7:24" ht="15" customHeight="1">
      <c r="G28483"/>
      <c r="I28483"/>
      <c r="N28483"/>
      <c r="O28483" s="24"/>
      <c r="P28483"/>
      <c r="Q28483" s="24"/>
      <c r="R28483"/>
      <c r="S28483"/>
      <c r="T28483"/>
      <c r="U28483"/>
      <c r="X28483" s="60"/>
    </row>
    <row r="28484" spans="7:24" ht="15" customHeight="1">
      <c r="G28484"/>
      <c r="I28484"/>
      <c r="N28484"/>
      <c r="O28484" s="24"/>
      <c r="P28484"/>
      <c r="Q28484" s="24"/>
      <c r="R28484"/>
      <c r="S28484"/>
      <c r="T28484"/>
      <c r="U28484"/>
      <c r="X28484" s="60"/>
    </row>
    <row r="28485" spans="7:24" ht="15" customHeight="1">
      <c r="G28485"/>
      <c r="I28485"/>
      <c r="N28485"/>
      <c r="O28485" s="24"/>
      <c r="P28485"/>
      <c r="Q28485" s="24"/>
      <c r="R28485"/>
      <c r="S28485"/>
      <c r="T28485"/>
      <c r="U28485"/>
      <c r="X28485" s="60"/>
    </row>
    <row r="28486" spans="7:24" ht="15" customHeight="1">
      <c r="G28486"/>
      <c r="I28486"/>
      <c r="N28486"/>
      <c r="O28486" s="24"/>
      <c r="P28486"/>
      <c r="Q28486" s="24"/>
      <c r="R28486"/>
      <c r="S28486"/>
      <c r="T28486"/>
      <c r="U28486"/>
      <c r="X28486" s="60"/>
    </row>
    <row r="28487" spans="7:24" ht="15" customHeight="1">
      <c r="G28487"/>
      <c r="I28487"/>
      <c r="N28487"/>
      <c r="O28487" s="24"/>
      <c r="P28487"/>
      <c r="Q28487" s="24"/>
      <c r="R28487"/>
      <c r="S28487"/>
      <c r="T28487"/>
      <c r="U28487"/>
      <c r="X28487" s="60"/>
    </row>
    <row r="28488" spans="7:24" ht="15" customHeight="1">
      <c r="G28488"/>
      <c r="I28488"/>
      <c r="N28488"/>
      <c r="O28488" s="24"/>
      <c r="P28488"/>
      <c r="Q28488" s="24"/>
      <c r="R28488"/>
      <c r="S28488"/>
      <c r="T28488"/>
      <c r="U28488"/>
      <c r="X28488" s="60"/>
    </row>
    <row r="28489" spans="7:24" ht="15" customHeight="1">
      <c r="G28489"/>
      <c r="I28489"/>
      <c r="N28489"/>
      <c r="O28489" s="24"/>
      <c r="P28489"/>
      <c r="Q28489" s="24"/>
      <c r="R28489"/>
      <c r="S28489"/>
      <c r="T28489"/>
      <c r="U28489"/>
      <c r="X28489" s="60"/>
    </row>
    <row r="28490" spans="7:24" ht="15" customHeight="1">
      <c r="G28490"/>
      <c r="I28490"/>
      <c r="N28490"/>
      <c r="O28490" s="24"/>
      <c r="P28490"/>
      <c r="Q28490" s="24"/>
      <c r="R28490"/>
      <c r="S28490"/>
      <c r="T28490"/>
      <c r="U28490"/>
      <c r="X28490" s="60"/>
    </row>
    <row r="28491" spans="7:24" ht="15" customHeight="1">
      <c r="G28491"/>
      <c r="I28491"/>
      <c r="N28491"/>
      <c r="O28491" s="24"/>
      <c r="P28491"/>
      <c r="Q28491" s="24"/>
      <c r="R28491"/>
      <c r="S28491"/>
      <c r="T28491"/>
      <c r="U28491"/>
      <c r="X28491" s="60"/>
    </row>
    <row r="28492" spans="7:24" ht="15" customHeight="1">
      <c r="G28492"/>
      <c r="I28492"/>
      <c r="N28492"/>
      <c r="O28492" s="24"/>
      <c r="P28492"/>
      <c r="Q28492" s="24"/>
      <c r="R28492"/>
      <c r="S28492"/>
      <c r="T28492"/>
      <c r="U28492"/>
      <c r="X28492" s="60"/>
    </row>
    <row r="28493" spans="7:24" ht="15" customHeight="1">
      <c r="G28493"/>
      <c r="I28493"/>
      <c r="N28493"/>
      <c r="O28493" s="24"/>
      <c r="P28493"/>
      <c r="Q28493" s="24"/>
      <c r="R28493"/>
      <c r="S28493"/>
      <c r="T28493"/>
      <c r="U28493"/>
      <c r="X28493" s="60"/>
    </row>
    <row r="28494" spans="7:24" ht="15" customHeight="1">
      <c r="G28494"/>
      <c r="I28494"/>
      <c r="N28494"/>
      <c r="O28494" s="24"/>
      <c r="P28494"/>
      <c r="Q28494" s="24"/>
      <c r="R28494"/>
      <c r="S28494"/>
      <c r="T28494"/>
      <c r="U28494"/>
      <c r="X28494" s="60"/>
    </row>
    <row r="28495" spans="7:24" ht="15" customHeight="1">
      <c r="G28495"/>
      <c r="I28495"/>
      <c r="N28495"/>
      <c r="O28495" s="24"/>
      <c r="P28495"/>
      <c r="Q28495" s="24"/>
      <c r="R28495"/>
      <c r="S28495"/>
      <c r="T28495"/>
      <c r="U28495"/>
      <c r="X28495" s="60"/>
    </row>
    <row r="28496" spans="7:24" ht="15" customHeight="1">
      <c r="G28496"/>
      <c r="I28496"/>
      <c r="N28496"/>
      <c r="O28496" s="24"/>
      <c r="P28496"/>
      <c r="Q28496" s="24"/>
      <c r="R28496"/>
      <c r="S28496"/>
      <c r="T28496"/>
      <c r="U28496"/>
      <c r="X28496" s="60"/>
    </row>
    <row r="28497" spans="7:24" ht="15" customHeight="1">
      <c r="G28497"/>
      <c r="I28497"/>
      <c r="N28497"/>
      <c r="O28497" s="24"/>
      <c r="P28497"/>
      <c r="Q28497" s="24"/>
      <c r="R28497"/>
      <c r="S28497"/>
      <c r="T28497"/>
      <c r="U28497"/>
      <c r="X28497" s="60"/>
    </row>
    <row r="28498" spans="7:24" ht="15" customHeight="1">
      <c r="G28498"/>
      <c r="I28498"/>
      <c r="N28498"/>
      <c r="O28498" s="24"/>
      <c r="P28498"/>
      <c r="Q28498" s="24"/>
      <c r="R28498"/>
      <c r="S28498"/>
      <c r="T28498"/>
      <c r="U28498"/>
      <c r="X28498" s="60"/>
    </row>
    <row r="28499" spans="7:24" ht="15" customHeight="1">
      <c r="G28499"/>
      <c r="I28499"/>
      <c r="N28499"/>
      <c r="O28499" s="24"/>
      <c r="P28499"/>
      <c r="Q28499" s="24"/>
      <c r="R28499"/>
      <c r="S28499"/>
      <c r="T28499"/>
      <c r="U28499"/>
      <c r="X28499" s="60"/>
    </row>
    <row r="28500" spans="7:24" ht="15" customHeight="1">
      <c r="G28500"/>
      <c r="I28500"/>
      <c r="N28500"/>
      <c r="O28500" s="24"/>
      <c r="P28500"/>
      <c r="Q28500" s="24"/>
      <c r="R28500"/>
      <c r="S28500"/>
      <c r="T28500"/>
      <c r="U28500"/>
      <c r="X28500" s="60"/>
    </row>
    <row r="28501" spans="7:24" ht="15" customHeight="1">
      <c r="G28501"/>
      <c r="I28501"/>
      <c r="N28501"/>
      <c r="O28501" s="24"/>
      <c r="P28501"/>
      <c r="Q28501" s="24"/>
      <c r="R28501"/>
      <c r="S28501"/>
      <c r="T28501"/>
      <c r="U28501"/>
      <c r="X28501" s="60"/>
    </row>
    <row r="28502" spans="7:24" ht="15" customHeight="1">
      <c r="G28502"/>
      <c r="I28502"/>
      <c r="N28502"/>
      <c r="O28502" s="24"/>
      <c r="P28502"/>
      <c r="Q28502" s="24"/>
      <c r="R28502"/>
      <c r="S28502"/>
      <c r="T28502"/>
      <c r="U28502"/>
      <c r="X28502" s="60"/>
    </row>
    <row r="28503" spans="7:24" ht="15" customHeight="1">
      <c r="G28503"/>
      <c r="I28503"/>
      <c r="N28503"/>
      <c r="O28503" s="24"/>
      <c r="P28503"/>
      <c r="Q28503" s="24"/>
      <c r="R28503"/>
      <c r="S28503"/>
      <c r="T28503"/>
      <c r="U28503"/>
      <c r="X28503" s="60"/>
    </row>
    <row r="28504" spans="7:24" ht="15" customHeight="1">
      <c r="G28504"/>
      <c r="I28504"/>
      <c r="N28504"/>
      <c r="O28504" s="24"/>
      <c r="P28504"/>
      <c r="Q28504" s="24"/>
      <c r="R28504"/>
      <c r="S28504"/>
      <c r="T28504"/>
      <c r="U28504"/>
      <c r="X28504" s="60"/>
    </row>
    <row r="28505" spans="7:24" ht="15" customHeight="1">
      <c r="G28505"/>
      <c r="I28505"/>
      <c r="N28505"/>
      <c r="O28505" s="24"/>
      <c r="P28505"/>
      <c r="Q28505" s="24"/>
      <c r="R28505"/>
      <c r="S28505"/>
      <c r="T28505"/>
      <c r="U28505"/>
      <c r="X28505" s="60"/>
    </row>
    <row r="28506" spans="7:24" ht="15" customHeight="1">
      <c r="G28506"/>
      <c r="I28506"/>
      <c r="N28506"/>
      <c r="O28506" s="24"/>
      <c r="P28506"/>
      <c r="Q28506" s="24"/>
      <c r="R28506"/>
      <c r="S28506"/>
      <c r="T28506"/>
      <c r="U28506"/>
      <c r="X28506" s="60"/>
    </row>
    <row r="28507" spans="7:24" ht="15" customHeight="1">
      <c r="G28507"/>
      <c r="I28507"/>
      <c r="N28507"/>
      <c r="O28507" s="24"/>
      <c r="P28507"/>
      <c r="Q28507" s="24"/>
      <c r="R28507"/>
      <c r="S28507"/>
      <c r="T28507"/>
      <c r="U28507"/>
      <c r="X28507" s="60"/>
    </row>
    <row r="28508" spans="7:24" ht="15" customHeight="1">
      <c r="G28508"/>
      <c r="I28508"/>
      <c r="N28508"/>
      <c r="O28508" s="24"/>
      <c r="P28508"/>
      <c r="Q28508" s="24"/>
      <c r="R28508"/>
      <c r="S28508"/>
      <c r="T28508"/>
      <c r="U28508"/>
      <c r="X28508" s="60"/>
    </row>
    <row r="28509" spans="7:24" ht="15" customHeight="1">
      <c r="G28509"/>
      <c r="I28509"/>
      <c r="N28509"/>
      <c r="O28509" s="24"/>
      <c r="P28509"/>
      <c r="Q28509" s="24"/>
      <c r="R28509"/>
      <c r="S28509"/>
      <c r="T28509"/>
      <c r="U28509"/>
      <c r="X28509" s="60"/>
    </row>
    <row r="28510" spans="7:24" ht="15" customHeight="1">
      <c r="G28510"/>
      <c r="I28510"/>
      <c r="N28510"/>
      <c r="O28510" s="24"/>
      <c r="P28510"/>
      <c r="Q28510" s="24"/>
      <c r="R28510"/>
      <c r="S28510"/>
      <c r="T28510"/>
      <c r="U28510"/>
      <c r="X28510" s="60"/>
    </row>
    <row r="28511" spans="7:24" ht="15" customHeight="1">
      <c r="G28511"/>
      <c r="I28511"/>
      <c r="N28511"/>
      <c r="O28511" s="24"/>
      <c r="P28511"/>
      <c r="Q28511" s="24"/>
      <c r="R28511"/>
      <c r="S28511"/>
      <c r="T28511"/>
      <c r="U28511"/>
      <c r="X28511" s="60"/>
    </row>
    <row r="28512" spans="7:24" ht="15" customHeight="1">
      <c r="G28512"/>
      <c r="I28512"/>
      <c r="N28512"/>
      <c r="O28512" s="24"/>
      <c r="P28512"/>
      <c r="Q28512" s="24"/>
      <c r="R28512"/>
      <c r="S28512"/>
      <c r="T28512"/>
      <c r="U28512"/>
      <c r="X28512" s="60"/>
    </row>
    <row r="28513" spans="7:24" ht="15" customHeight="1">
      <c r="G28513"/>
      <c r="I28513"/>
      <c r="N28513"/>
      <c r="O28513" s="24"/>
      <c r="P28513"/>
      <c r="Q28513" s="24"/>
      <c r="R28513"/>
      <c r="S28513"/>
      <c r="T28513"/>
      <c r="U28513"/>
      <c r="X28513" s="60"/>
    </row>
    <row r="28514" spans="7:24" ht="15" customHeight="1">
      <c r="G28514"/>
      <c r="I28514"/>
      <c r="N28514"/>
      <c r="O28514" s="24"/>
      <c r="P28514"/>
      <c r="Q28514" s="24"/>
      <c r="R28514"/>
      <c r="S28514"/>
      <c r="T28514"/>
      <c r="U28514"/>
      <c r="X28514" s="60"/>
    </row>
    <row r="28515" spans="7:24" ht="15" customHeight="1">
      <c r="G28515"/>
      <c r="I28515"/>
      <c r="N28515"/>
      <c r="O28515" s="24"/>
      <c r="P28515"/>
      <c r="Q28515" s="24"/>
      <c r="R28515"/>
      <c r="S28515"/>
      <c r="T28515"/>
      <c r="U28515"/>
      <c r="X28515" s="60"/>
    </row>
    <row r="28516" spans="7:24" ht="15" customHeight="1">
      <c r="G28516"/>
      <c r="I28516"/>
      <c r="N28516"/>
      <c r="O28516" s="24"/>
      <c r="P28516"/>
      <c r="Q28516" s="24"/>
      <c r="R28516"/>
      <c r="S28516"/>
      <c r="T28516"/>
      <c r="U28516"/>
      <c r="X28516" s="60"/>
    </row>
    <row r="28517" spans="7:24" ht="15" customHeight="1">
      <c r="G28517"/>
      <c r="I28517"/>
      <c r="N28517"/>
      <c r="O28517" s="24"/>
      <c r="P28517"/>
      <c r="Q28517" s="24"/>
      <c r="R28517"/>
      <c r="S28517"/>
      <c r="T28517"/>
      <c r="U28517"/>
      <c r="X28517" s="60"/>
    </row>
    <row r="28518" spans="7:24" ht="15" customHeight="1">
      <c r="G28518"/>
      <c r="I28518"/>
      <c r="N28518"/>
      <c r="O28518" s="24"/>
      <c r="P28518"/>
      <c r="Q28518" s="24"/>
      <c r="R28518"/>
      <c r="S28518"/>
      <c r="T28518"/>
      <c r="U28518"/>
      <c r="X28518" s="60"/>
    </row>
    <row r="28519" spans="7:24" ht="15" customHeight="1">
      <c r="G28519"/>
      <c r="I28519"/>
      <c r="N28519"/>
      <c r="O28519" s="24"/>
      <c r="P28519"/>
      <c r="Q28519" s="24"/>
      <c r="R28519"/>
      <c r="S28519"/>
      <c r="T28519"/>
      <c r="U28519"/>
      <c r="X28519" s="60"/>
    </row>
    <row r="28520" spans="7:24" ht="15" customHeight="1">
      <c r="G28520"/>
      <c r="I28520"/>
      <c r="N28520"/>
      <c r="O28520" s="24"/>
      <c r="P28520"/>
      <c r="Q28520" s="24"/>
      <c r="R28520"/>
      <c r="S28520"/>
      <c r="T28520"/>
      <c r="U28520"/>
      <c r="X28520" s="60"/>
    </row>
    <row r="28521" spans="7:24" ht="15" customHeight="1">
      <c r="G28521"/>
      <c r="I28521"/>
      <c r="N28521"/>
      <c r="O28521" s="24"/>
      <c r="P28521"/>
      <c r="Q28521" s="24"/>
      <c r="R28521"/>
      <c r="S28521"/>
      <c r="T28521"/>
      <c r="U28521"/>
      <c r="X28521" s="60"/>
    </row>
    <row r="28522" spans="7:24" ht="15" customHeight="1">
      <c r="G28522"/>
      <c r="I28522"/>
      <c r="N28522"/>
      <c r="O28522" s="24"/>
      <c r="P28522"/>
      <c r="Q28522" s="24"/>
      <c r="R28522"/>
      <c r="S28522"/>
      <c r="T28522"/>
      <c r="U28522"/>
      <c r="X28522" s="60"/>
    </row>
    <row r="28523" spans="7:24" ht="15" customHeight="1">
      <c r="G28523"/>
      <c r="I28523"/>
      <c r="N28523"/>
      <c r="O28523" s="24"/>
      <c r="P28523"/>
      <c r="Q28523" s="24"/>
      <c r="R28523"/>
      <c r="S28523"/>
      <c r="T28523"/>
      <c r="U28523"/>
      <c r="X28523" s="60"/>
    </row>
    <row r="28524" spans="7:24" ht="15" customHeight="1">
      <c r="G28524"/>
      <c r="I28524"/>
      <c r="N28524"/>
      <c r="O28524" s="24"/>
      <c r="P28524"/>
      <c r="Q28524" s="24"/>
      <c r="R28524"/>
      <c r="S28524"/>
      <c r="T28524"/>
      <c r="U28524"/>
      <c r="X28524" s="60"/>
    </row>
    <row r="28525" spans="7:24" ht="15" customHeight="1">
      <c r="G28525"/>
      <c r="I28525"/>
      <c r="N28525"/>
      <c r="O28525" s="24"/>
      <c r="P28525"/>
      <c r="Q28525" s="24"/>
      <c r="R28525"/>
      <c r="S28525"/>
      <c r="T28525"/>
      <c r="U28525"/>
      <c r="X28525" s="60"/>
    </row>
    <row r="28526" spans="7:24" ht="15" customHeight="1">
      <c r="G28526"/>
      <c r="I28526"/>
      <c r="N28526"/>
      <c r="O28526" s="24"/>
      <c r="P28526"/>
      <c r="Q28526" s="24"/>
      <c r="R28526"/>
      <c r="S28526"/>
      <c r="T28526"/>
      <c r="U28526"/>
      <c r="X28526" s="60"/>
    </row>
    <row r="28527" spans="7:24" ht="15" customHeight="1">
      <c r="G28527"/>
      <c r="I28527"/>
      <c r="N28527"/>
      <c r="O28527" s="24"/>
      <c r="P28527"/>
      <c r="Q28527" s="24"/>
      <c r="R28527"/>
      <c r="S28527"/>
      <c r="T28527"/>
      <c r="U28527"/>
      <c r="X28527" s="60"/>
    </row>
    <row r="28528" spans="7:24" ht="15" customHeight="1">
      <c r="G28528"/>
      <c r="I28528"/>
      <c r="N28528"/>
      <c r="O28528" s="24"/>
      <c r="P28528"/>
      <c r="Q28528" s="24"/>
      <c r="R28528"/>
      <c r="S28528"/>
      <c r="T28528"/>
      <c r="U28528"/>
      <c r="X28528" s="60"/>
    </row>
    <row r="28529" spans="7:24" ht="15" customHeight="1">
      <c r="G28529"/>
      <c r="I28529"/>
      <c r="N28529"/>
      <c r="O28529" s="24"/>
      <c r="P28529"/>
      <c r="Q28529" s="24"/>
      <c r="R28529"/>
      <c r="S28529"/>
      <c r="T28529"/>
      <c r="U28529"/>
      <c r="X28529" s="60"/>
    </row>
    <row r="28530" spans="7:24" ht="15" customHeight="1">
      <c r="G28530"/>
      <c r="I28530"/>
      <c r="N28530"/>
      <c r="O28530" s="24"/>
      <c r="P28530"/>
      <c r="Q28530" s="24"/>
      <c r="R28530"/>
      <c r="S28530"/>
      <c r="T28530"/>
      <c r="U28530"/>
      <c r="X28530" s="60"/>
    </row>
    <row r="28531" spans="7:24" ht="15" customHeight="1">
      <c r="G28531"/>
      <c r="I28531"/>
      <c r="N28531"/>
      <c r="O28531" s="24"/>
      <c r="P28531"/>
      <c r="Q28531" s="24"/>
      <c r="R28531"/>
      <c r="S28531"/>
      <c r="T28531"/>
      <c r="U28531"/>
      <c r="X28531" s="60"/>
    </row>
    <row r="28532" spans="7:24" ht="15" customHeight="1">
      <c r="G28532"/>
      <c r="I28532"/>
      <c r="N28532"/>
      <c r="O28532" s="24"/>
      <c r="P28532"/>
      <c r="Q28532" s="24"/>
      <c r="R28532"/>
      <c r="S28532"/>
      <c r="T28532"/>
      <c r="U28532"/>
      <c r="X28532" s="60"/>
    </row>
    <row r="28533" spans="7:24" ht="15" customHeight="1">
      <c r="G28533"/>
      <c r="I28533"/>
      <c r="N28533"/>
      <c r="O28533" s="24"/>
      <c r="P28533"/>
      <c r="Q28533" s="24"/>
      <c r="R28533"/>
      <c r="S28533"/>
      <c r="T28533"/>
      <c r="U28533"/>
      <c r="X28533" s="60"/>
    </row>
    <row r="28534" spans="7:24" ht="15" customHeight="1">
      <c r="G28534"/>
      <c r="I28534"/>
      <c r="N28534"/>
      <c r="O28534" s="24"/>
      <c r="P28534"/>
      <c r="Q28534" s="24"/>
      <c r="R28534"/>
      <c r="S28534"/>
      <c r="T28534"/>
      <c r="U28534"/>
      <c r="X28534" s="60"/>
    </row>
    <row r="28535" spans="7:24" ht="15" customHeight="1">
      <c r="G28535"/>
      <c r="I28535"/>
      <c r="N28535"/>
      <c r="O28535" s="24"/>
      <c r="P28535"/>
      <c r="Q28535" s="24"/>
      <c r="R28535"/>
      <c r="S28535"/>
      <c r="T28535"/>
      <c r="U28535"/>
      <c r="X28535" s="60"/>
    </row>
    <row r="28536" spans="7:24" ht="15" customHeight="1">
      <c r="G28536"/>
      <c r="I28536"/>
      <c r="N28536"/>
      <c r="O28536" s="24"/>
      <c r="P28536"/>
      <c r="Q28536" s="24"/>
      <c r="R28536"/>
      <c r="S28536"/>
      <c r="T28536"/>
      <c r="U28536"/>
      <c r="X28536" s="60"/>
    </row>
    <row r="28537" spans="7:24" ht="15" customHeight="1">
      <c r="G28537"/>
      <c r="I28537"/>
      <c r="N28537"/>
      <c r="O28537" s="24"/>
      <c r="P28537"/>
      <c r="Q28537" s="24"/>
      <c r="R28537"/>
      <c r="S28537"/>
      <c r="T28537"/>
      <c r="U28537"/>
      <c r="X28537" s="60"/>
    </row>
    <row r="28538" spans="7:24" ht="15" customHeight="1">
      <c r="G28538"/>
      <c r="I28538"/>
      <c r="N28538"/>
      <c r="O28538" s="24"/>
      <c r="P28538"/>
      <c r="Q28538" s="24"/>
      <c r="R28538"/>
      <c r="S28538"/>
      <c r="T28538"/>
      <c r="U28538"/>
      <c r="X28538" s="60"/>
    </row>
    <row r="28539" spans="7:24" ht="15" customHeight="1">
      <c r="G28539"/>
      <c r="I28539"/>
      <c r="N28539"/>
      <c r="O28539" s="24"/>
      <c r="P28539"/>
      <c r="Q28539" s="24"/>
      <c r="R28539"/>
      <c r="S28539"/>
      <c r="T28539"/>
      <c r="U28539"/>
      <c r="X28539" s="60"/>
    </row>
    <row r="28540" spans="7:24" ht="15" customHeight="1">
      <c r="G28540"/>
      <c r="I28540"/>
      <c r="N28540"/>
      <c r="O28540" s="24"/>
      <c r="P28540"/>
      <c r="Q28540" s="24"/>
      <c r="R28540"/>
      <c r="S28540"/>
      <c r="T28540"/>
      <c r="U28540"/>
      <c r="X28540" s="60"/>
    </row>
    <row r="28541" spans="7:24" ht="15" customHeight="1">
      <c r="G28541"/>
      <c r="I28541"/>
      <c r="N28541"/>
      <c r="O28541" s="24"/>
      <c r="P28541"/>
      <c r="Q28541" s="24"/>
      <c r="R28541"/>
      <c r="S28541"/>
      <c r="T28541"/>
      <c r="U28541"/>
      <c r="X28541" s="60"/>
    </row>
    <row r="28542" spans="7:24" ht="15" customHeight="1">
      <c r="G28542"/>
      <c r="I28542"/>
      <c r="N28542"/>
      <c r="O28542" s="24"/>
      <c r="P28542"/>
      <c r="Q28542" s="24"/>
      <c r="R28542"/>
      <c r="S28542"/>
      <c r="T28542"/>
      <c r="U28542"/>
      <c r="X28542" s="60"/>
    </row>
    <row r="28543" spans="7:24" ht="15" customHeight="1">
      <c r="G28543"/>
      <c r="I28543"/>
      <c r="N28543"/>
      <c r="O28543" s="24"/>
      <c r="P28543"/>
      <c r="Q28543" s="24"/>
      <c r="R28543"/>
      <c r="S28543"/>
      <c r="T28543"/>
      <c r="U28543"/>
      <c r="X28543" s="60"/>
    </row>
    <row r="28544" spans="7:24" ht="15" customHeight="1">
      <c r="G28544"/>
      <c r="I28544"/>
      <c r="N28544"/>
      <c r="O28544" s="24"/>
      <c r="P28544"/>
      <c r="Q28544" s="24"/>
      <c r="R28544"/>
      <c r="S28544"/>
      <c r="T28544"/>
      <c r="U28544"/>
      <c r="X28544" s="60"/>
    </row>
    <row r="28545" spans="7:24" ht="15" customHeight="1">
      <c r="G28545"/>
      <c r="I28545"/>
      <c r="N28545"/>
      <c r="O28545" s="24"/>
      <c r="P28545"/>
      <c r="Q28545" s="24"/>
      <c r="R28545"/>
      <c r="S28545"/>
      <c r="T28545"/>
      <c r="U28545"/>
      <c r="X28545" s="60"/>
    </row>
    <row r="28546" spans="7:24" ht="15" customHeight="1">
      <c r="G28546"/>
      <c r="I28546"/>
      <c r="N28546"/>
      <c r="O28546" s="24"/>
      <c r="P28546"/>
      <c r="Q28546" s="24"/>
      <c r="R28546"/>
      <c r="S28546"/>
      <c r="T28546"/>
      <c r="U28546"/>
      <c r="X28546" s="60"/>
    </row>
    <row r="28547" spans="7:24" ht="15" customHeight="1">
      <c r="G28547"/>
      <c r="I28547"/>
      <c r="N28547"/>
      <c r="O28547" s="24"/>
      <c r="P28547"/>
      <c r="Q28547" s="24"/>
      <c r="R28547"/>
      <c r="S28547"/>
      <c r="T28547"/>
      <c r="U28547"/>
      <c r="X28547" s="60"/>
    </row>
    <row r="28548" spans="7:24" ht="15" customHeight="1">
      <c r="G28548"/>
      <c r="I28548"/>
      <c r="N28548"/>
      <c r="O28548" s="24"/>
      <c r="P28548"/>
      <c r="Q28548" s="24"/>
      <c r="R28548"/>
      <c r="S28548"/>
      <c r="T28548"/>
      <c r="U28548"/>
      <c r="X28548" s="60"/>
    </row>
    <row r="28549" spans="7:24" ht="15" customHeight="1">
      <c r="G28549"/>
      <c r="I28549"/>
      <c r="N28549"/>
      <c r="O28549" s="24"/>
      <c r="P28549"/>
      <c r="Q28549" s="24"/>
      <c r="R28549"/>
      <c r="S28549"/>
      <c r="T28549"/>
      <c r="U28549"/>
      <c r="X28549" s="60"/>
    </row>
    <row r="28550" spans="7:24" ht="15" customHeight="1">
      <c r="G28550"/>
      <c r="I28550"/>
      <c r="N28550"/>
      <c r="O28550" s="24"/>
      <c r="P28550"/>
      <c r="Q28550" s="24"/>
      <c r="R28550"/>
      <c r="S28550"/>
      <c r="T28550"/>
      <c r="U28550"/>
      <c r="X28550" s="60"/>
    </row>
    <row r="28551" spans="7:24" ht="15" customHeight="1">
      <c r="G28551"/>
      <c r="I28551"/>
      <c r="N28551"/>
      <c r="O28551" s="24"/>
      <c r="P28551"/>
      <c r="Q28551" s="24"/>
      <c r="R28551"/>
      <c r="S28551"/>
      <c r="T28551"/>
      <c r="U28551"/>
      <c r="X28551" s="60"/>
    </row>
    <row r="28552" spans="7:24" ht="15" customHeight="1">
      <c r="G28552"/>
      <c r="I28552"/>
      <c r="N28552"/>
      <c r="O28552" s="24"/>
      <c r="P28552"/>
      <c r="Q28552" s="24"/>
      <c r="R28552"/>
      <c r="S28552"/>
      <c r="T28552"/>
      <c r="U28552"/>
      <c r="X28552" s="60"/>
    </row>
    <row r="28553" spans="7:24" ht="15" customHeight="1">
      <c r="G28553"/>
      <c r="I28553"/>
      <c r="N28553"/>
      <c r="O28553" s="24"/>
      <c r="P28553"/>
      <c r="Q28553" s="24"/>
      <c r="R28553"/>
      <c r="S28553"/>
      <c r="T28553"/>
      <c r="U28553"/>
      <c r="X28553" s="60"/>
    </row>
    <row r="28554" spans="7:24" ht="15" customHeight="1">
      <c r="G28554"/>
      <c r="I28554"/>
      <c r="N28554"/>
      <c r="O28554" s="24"/>
      <c r="P28554"/>
      <c r="Q28554" s="24"/>
      <c r="R28554"/>
      <c r="S28554"/>
      <c r="T28554"/>
      <c r="U28554"/>
      <c r="X28554" s="60"/>
    </row>
    <row r="28555" spans="7:24" ht="15" customHeight="1">
      <c r="G28555"/>
      <c r="I28555"/>
      <c r="N28555"/>
      <c r="O28555" s="24"/>
      <c r="P28555"/>
      <c r="Q28555" s="24"/>
      <c r="R28555"/>
      <c r="S28555"/>
      <c r="T28555"/>
      <c r="U28555"/>
      <c r="X28555" s="60"/>
    </row>
    <row r="28556" spans="7:24" ht="15" customHeight="1">
      <c r="G28556"/>
      <c r="I28556"/>
      <c r="N28556"/>
      <c r="O28556" s="24"/>
      <c r="P28556"/>
      <c r="Q28556" s="24"/>
      <c r="R28556"/>
      <c r="S28556"/>
      <c r="T28556"/>
      <c r="U28556"/>
      <c r="X28556" s="60"/>
    </row>
    <row r="28557" spans="7:24" ht="15" customHeight="1">
      <c r="G28557"/>
      <c r="I28557"/>
      <c r="N28557"/>
      <c r="O28557" s="24"/>
      <c r="P28557"/>
      <c r="Q28557" s="24"/>
      <c r="R28557"/>
      <c r="S28557"/>
      <c r="T28557"/>
      <c r="U28557"/>
      <c r="X28557" s="60"/>
    </row>
    <row r="28558" spans="7:24" ht="15" customHeight="1">
      <c r="G28558"/>
      <c r="I28558"/>
      <c r="N28558"/>
      <c r="O28558" s="24"/>
      <c r="P28558"/>
      <c r="Q28558" s="24"/>
      <c r="R28558"/>
      <c r="S28558"/>
      <c r="T28558"/>
      <c r="U28558"/>
      <c r="X28558" s="60"/>
    </row>
    <row r="28559" spans="7:24" ht="15" customHeight="1">
      <c r="G28559"/>
      <c r="I28559"/>
      <c r="N28559"/>
      <c r="O28559" s="24"/>
      <c r="P28559"/>
      <c r="Q28559" s="24"/>
      <c r="R28559"/>
      <c r="S28559"/>
      <c r="T28559"/>
      <c r="U28559"/>
      <c r="X28559" s="60"/>
    </row>
    <row r="28560" spans="7:24" ht="15" customHeight="1">
      <c r="G28560"/>
      <c r="I28560"/>
      <c r="N28560"/>
      <c r="O28560" s="24"/>
      <c r="P28560"/>
      <c r="Q28560" s="24"/>
      <c r="R28560"/>
      <c r="S28560"/>
      <c r="T28560"/>
      <c r="U28560"/>
      <c r="X28560" s="60"/>
    </row>
    <row r="28561" spans="7:24" ht="15" customHeight="1">
      <c r="G28561"/>
      <c r="I28561"/>
      <c r="N28561"/>
      <c r="O28561" s="24"/>
      <c r="P28561"/>
      <c r="Q28561" s="24"/>
      <c r="R28561"/>
      <c r="S28561"/>
      <c r="T28561"/>
      <c r="U28561"/>
      <c r="X28561" s="60"/>
    </row>
    <row r="28562" spans="7:24" ht="15" customHeight="1">
      <c r="G28562"/>
      <c r="I28562"/>
      <c r="N28562"/>
      <c r="O28562" s="24"/>
      <c r="P28562"/>
      <c r="Q28562" s="24"/>
      <c r="R28562"/>
      <c r="S28562"/>
      <c r="T28562"/>
      <c r="U28562"/>
      <c r="X28562" s="60"/>
    </row>
    <row r="28563" spans="7:24" ht="15" customHeight="1">
      <c r="G28563"/>
      <c r="I28563"/>
      <c r="N28563"/>
      <c r="O28563" s="24"/>
      <c r="P28563"/>
      <c r="Q28563" s="24"/>
      <c r="R28563"/>
      <c r="S28563"/>
      <c r="T28563"/>
      <c r="U28563"/>
      <c r="X28563" s="60"/>
    </row>
    <row r="28564" spans="7:24" ht="15" customHeight="1">
      <c r="G28564"/>
      <c r="I28564"/>
      <c r="N28564"/>
      <c r="O28564" s="24"/>
      <c r="P28564"/>
      <c r="Q28564" s="24"/>
      <c r="R28564"/>
      <c r="S28564"/>
      <c r="T28564"/>
      <c r="U28564"/>
      <c r="X28564" s="60"/>
    </row>
    <row r="28565" spans="7:24" ht="15" customHeight="1">
      <c r="G28565"/>
      <c r="I28565"/>
      <c r="N28565"/>
      <c r="O28565" s="24"/>
      <c r="P28565"/>
      <c r="Q28565" s="24"/>
      <c r="R28565"/>
      <c r="S28565"/>
      <c r="T28565"/>
      <c r="U28565"/>
      <c r="X28565" s="60"/>
    </row>
    <row r="28566" spans="7:24" ht="15" customHeight="1">
      <c r="G28566"/>
      <c r="I28566"/>
      <c r="N28566"/>
      <c r="O28566" s="24"/>
      <c r="P28566"/>
      <c r="Q28566" s="24"/>
      <c r="R28566"/>
      <c r="S28566"/>
      <c r="T28566"/>
      <c r="U28566"/>
      <c r="X28566" s="60"/>
    </row>
    <row r="28567" spans="7:24" ht="15" customHeight="1">
      <c r="G28567"/>
      <c r="I28567"/>
      <c r="N28567"/>
      <c r="O28567" s="24"/>
      <c r="P28567"/>
      <c r="Q28567" s="24"/>
      <c r="R28567"/>
      <c r="S28567"/>
      <c r="T28567"/>
      <c r="U28567"/>
      <c r="X28567" s="60"/>
    </row>
    <row r="28568" spans="7:24" ht="15" customHeight="1">
      <c r="G28568"/>
      <c r="I28568"/>
      <c r="N28568"/>
      <c r="O28568" s="24"/>
      <c r="P28568"/>
      <c r="Q28568" s="24"/>
      <c r="R28568"/>
      <c r="S28568"/>
      <c r="T28568"/>
      <c r="U28568"/>
      <c r="X28568" s="60"/>
    </row>
    <row r="28569" spans="7:24" ht="15" customHeight="1">
      <c r="G28569"/>
      <c r="I28569"/>
      <c r="N28569"/>
      <c r="O28569" s="24"/>
      <c r="P28569"/>
      <c r="Q28569" s="24"/>
      <c r="R28569"/>
      <c r="S28569"/>
      <c r="T28569"/>
      <c r="U28569"/>
      <c r="X28569" s="60"/>
    </row>
    <row r="28570" spans="7:24" ht="15" customHeight="1">
      <c r="G28570"/>
      <c r="I28570"/>
      <c r="N28570"/>
      <c r="O28570" s="24"/>
      <c r="P28570"/>
      <c r="Q28570" s="24"/>
      <c r="R28570"/>
      <c r="S28570"/>
      <c r="T28570"/>
      <c r="U28570"/>
      <c r="X28570" s="60"/>
    </row>
    <row r="28571" spans="7:24" ht="15" customHeight="1">
      <c r="G28571"/>
      <c r="I28571"/>
      <c r="N28571"/>
      <c r="O28571" s="24"/>
      <c r="P28571"/>
      <c r="Q28571" s="24"/>
      <c r="R28571"/>
      <c r="S28571"/>
      <c r="T28571"/>
      <c r="U28571"/>
      <c r="X28571" s="60"/>
    </row>
    <row r="28572" spans="7:24" ht="15" customHeight="1">
      <c r="G28572"/>
      <c r="I28572"/>
      <c r="N28572"/>
      <c r="O28572" s="24"/>
      <c r="P28572"/>
      <c r="Q28572" s="24"/>
      <c r="R28572"/>
      <c r="S28572"/>
      <c r="T28572"/>
      <c r="U28572"/>
      <c r="X28572" s="60"/>
    </row>
    <row r="28573" spans="7:24" ht="15" customHeight="1">
      <c r="G28573"/>
      <c r="I28573"/>
      <c r="N28573"/>
      <c r="O28573" s="24"/>
      <c r="P28573"/>
      <c r="Q28573" s="24"/>
      <c r="R28573"/>
      <c r="S28573"/>
      <c r="T28573"/>
      <c r="U28573"/>
      <c r="X28573" s="60"/>
    </row>
    <row r="28574" spans="7:24" ht="15" customHeight="1">
      <c r="G28574"/>
      <c r="I28574"/>
      <c r="N28574"/>
      <c r="O28574" s="24"/>
      <c r="P28574"/>
      <c r="Q28574" s="24"/>
      <c r="R28574"/>
      <c r="S28574"/>
      <c r="T28574"/>
      <c r="U28574"/>
      <c r="X28574" s="60"/>
    </row>
    <row r="28575" spans="7:24" ht="15" customHeight="1">
      <c r="G28575"/>
      <c r="I28575"/>
      <c r="N28575"/>
      <c r="O28575" s="24"/>
      <c r="P28575"/>
      <c r="Q28575" s="24"/>
      <c r="R28575"/>
      <c r="S28575"/>
      <c r="T28575"/>
      <c r="U28575"/>
      <c r="X28575" s="60"/>
    </row>
    <row r="28576" spans="7:24" ht="15" customHeight="1">
      <c r="G28576"/>
      <c r="I28576"/>
      <c r="N28576"/>
      <c r="O28576" s="24"/>
      <c r="P28576"/>
      <c r="Q28576" s="24"/>
      <c r="R28576"/>
      <c r="S28576"/>
      <c r="T28576"/>
      <c r="U28576"/>
      <c r="X28576" s="60"/>
    </row>
    <row r="28577" spans="7:24" ht="15" customHeight="1">
      <c r="G28577"/>
      <c r="I28577"/>
      <c r="N28577"/>
      <c r="O28577" s="24"/>
      <c r="P28577"/>
      <c r="Q28577" s="24"/>
      <c r="R28577"/>
      <c r="S28577"/>
      <c r="T28577"/>
      <c r="U28577"/>
      <c r="X28577" s="60"/>
    </row>
    <row r="28578" spans="7:24" ht="15" customHeight="1">
      <c r="G28578"/>
      <c r="I28578"/>
      <c r="N28578"/>
      <c r="O28578" s="24"/>
      <c r="P28578"/>
      <c r="Q28578" s="24"/>
      <c r="R28578"/>
      <c r="S28578"/>
      <c r="T28578"/>
      <c r="U28578"/>
      <c r="X28578" s="60"/>
    </row>
    <row r="28579" spans="7:24" ht="15" customHeight="1">
      <c r="G28579"/>
      <c r="I28579"/>
      <c r="N28579"/>
      <c r="O28579" s="24"/>
      <c r="P28579"/>
      <c r="Q28579" s="24"/>
      <c r="R28579"/>
      <c r="S28579"/>
      <c r="T28579"/>
      <c r="U28579"/>
      <c r="X28579" s="60"/>
    </row>
    <row r="28580" spans="7:24" ht="15" customHeight="1">
      <c r="G28580"/>
      <c r="I28580"/>
      <c r="N28580"/>
      <c r="O28580" s="24"/>
      <c r="P28580"/>
      <c r="Q28580" s="24"/>
      <c r="R28580"/>
      <c r="S28580"/>
      <c r="T28580"/>
      <c r="U28580"/>
      <c r="X28580" s="60"/>
    </row>
    <row r="28581" spans="7:24" ht="15" customHeight="1">
      <c r="G28581"/>
      <c r="I28581"/>
      <c r="N28581"/>
      <c r="O28581" s="24"/>
      <c r="P28581"/>
      <c r="Q28581" s="24"/>
      <c r="R28581"/>
      <c r="S28581"/>
      <c r="T28581"/>
      <c r="U28581"/>
      <c r="X28581" s="60"/>
    </row>
    <row r="28582" spans="7:24" ht="15" customHeight="1">
      <c r="G28582"/>
      <c r="I28582"/>
      <c r="N28582"/>
      <c r="O28582" s="24"/>
      <c r="P28582"/>
      <c r="Q28582" s="24"/>
      <c r="R28582"/>
      <c r="S28582"/>
      <c r="T28582"/>
      <c r="U28582"/>
      <c r="X28582" s="60"/>
    </row>
    <row r="28583" spans="7:24" ht="15" customHeight="1">
      <c r="G28583"/>
      <c r="I28583"/>
      <c r="N28583"/>
      <c r="O28583" s="24"/>
      <c r="P28583"/>
      <c r="Q28583" s="24"/>
      <c r="R28583"/>
      <c r="S28583"/>
      <c r="T28583"/>
      <c r="U28583"/>
      <c r="X28583" s="60"/>
    </row>
    <row r="28584" spans="7:24" ht="15" customHeight="1">
      <c r="G28584"/>
      <c r="I28584"/>
      <c r="N28584"/>
      <c r="O28584" s="24"/>
      <c r="P28584"/>
      <c r="Q28584" s="24"/>
      <c r="R28584"/>
      <c r="S28584"/>
      <c r="T28584"/>
      <c r="U28584"/>
      <c r="X28584" s="60"/>
    </row>
    <row r="28585" spans="7:24" ht="15" customHeight="1">
      <c r="G28585"/>
      <c r="I28585"/>
      <c r="N28585"/>
      <c r="O28585" s="24"/>
      <c r="P28585"/>
      <c r="Q28585" s="24"/>
      <c r="R28585"/>
      <c r="S28585"/>
      <c r="T28585"/>
      <c r="U28585"/>
      <c r="X28585" s="60"/>
    </row>
    <row r="28586" spans="7:24" ht="15" customHeight="1">
      <c r="G28586"/>
      <c r="I28586"/>
      <c r="N28586"/>
      <c r="O28586" s="24"/>
      <c r="P28586"/>
      <c r="Q28586" s="24"/>
      <c r="R28586"/>
      <c r="S28586"/>
      <c r="T28586"/>
      <c r="U28586"/>
      <c r="X28586" s="60"/>
    </row>
    <row r="28587" spans="7:24" ht="15" customHeight="1">
      <c r="G28587"/>
      <c r="I28587"/>
      <c r="N28587"/>
      <c r="O28587" s="24"/>
      <c r="P28587"/>
      <c r="Q28587" s="24"/>
      <c r="R28587"/>
      <c r="S28587"/>
      <c r="T28587"/>
      <c r="U28587"/>
      <c r="X28587" s="60"/>
    </row>
    <row r="28588" spans="7:24" ht="15" customHeight="1">
      <c r="G28588"/>
      <c r="I28588"/>
      <c r="N28588"/>
      <c r="O28588" s="24"/>
      <c r="P28588"/>
      <c r="Q28588" s="24"/>
      <c r="R28588"/>
      <c r="S28588"/>
      <c r="T28588"/>
      <c r="U28588"/>
      <c r="X28588" s="60"/>
    </row>
    <row r="28589" spans="7:24" ht="15" customHeight="1">
      <c r="G28589"/>
      <c r="I28589"/>
      <c r="N28589"/>
      <c r="O28589" s="24"/>
      <c r="P28589"/>
      <c r="Q28589" s="24"/>
      <c r="R28589"/>
      <c r="S28589"/>
      <c r="T28589"/>
      <c r="U28589"/>
      <c r="X28589" s="60"/>
    </row>
    <row r="28590" spans="7:24" ht="15" customHeight="1">
      <c r="G28590"/>
      <c r="I28590"/>
      <c r="N28590"/>
      <c r="O28590" s="24"/>
      <c r="P28590"/>
      <c r="Q28590" s="24"/>
      <c r="R28590"/>
      <c r="S28590"/>
      <c r="T28590"/>
      <c r="U28590"/>
      <c r="X28590" s="60"/>
    </row>
    <row r="28591" spans="7:24" ht="15" customHeight="1">
      <c r="G28591"/>
      <c r="I28591"/>
      <c r="N28591"/>
      <c r="O28591" s="24"/>
      <c r="P28591"/>
      <c r="Q28591" s="24"/>
      <c r="R28591"/>
      <c r="S28591"/>
      <c r="T28591"/>
      <c r="U28591"/>
      <c r="X28591" s="60"/>
    </row>
    <row r="28592" spans="7:24" ht="15" customHeight="1">
      <c r="G28592"/>
      <c r="I28592"/>
      <c r="N28592"/>
      <c r="O28592" s="24"/>
      <c r="P28592"/>
      <c r="Q28592" s="24"/>
      <c r="R28592"/>
      <c r="S28592"/>
      <c r="T28592"/>
      <c r="U28592"/>
      <c r="X28592" s="60"/>
    </row>
    <row r="28593" spans="7:24" ht="15" customHeight="1">
      <c r="G28593"/>
      <c r="I28593"/>
      <c r="N28593"/>
      <c r="O28593" s="24"/>
      <c r="P28593"/>
      <c r="Q28593" s="24"/>
      <c r="R28593"/>
      <c r="S28593"/>
      <c r="T28593"/>
      <c r="U28593"/>
      <c r="X28593" s="60"/>
    </row>
    <row r="28594" spans="7:24" ht="15" customHeight="1">
      <c r="G28594"/>
      <c r="I28594"/>
      <c r="N28594"/>
      <c r="O28594" s="24"/>
      <c r="P28594"/>
      <c r="Q28594" s="24"/>
      <c r="R28594"/>
      <c r="S28594"/>
      <c r="T28594"/>
      <c r="U28594"/>
      <c r="X28594" s="60"/>
    </row>
    <row r="28595" spans="7:24" ht="15" customHeight="1">
      <c r="G28595"/>
      <c r="I28595"/>
      <c r="N28595"/>
      <c r="O28595" s="24"/>
      <c r="P28595"/>
      <c r="Q28595" s="24"/>
      <c r="R28595"/>
      <c r="S28595"/>
      <c r="T28595"/>
      <c r="U28595"/>
      <c r="X28595" s="60"/>
    </row>
    <row r="28596" spans="7:24" ht="15" customHeight="1">
      <c r="G28596"/>
      <c r="I28596"/>
      <c r="N28596"/>
      <c r="O28596" s="24"/>
      <c r="P28596"/>
      <c r="Q28596" s="24"/>
      <c r="R28596"/>
      <c r="S28596"/>
      <c r="T28596"/>
      <c r="U28596"/>
      <c r="X28596" s="60"/>
    </row>
    <row r="28597" spans="7:24" ht="15" customHeight="1">
      <c r="G28597"/>
      <c r="I28597"/>
      <c r="N28597"/>
      <c r="O28597" s="24"/>
      <c r="P28597"/>
      <c r="Q28597" s="24"/>
      <c r="R28597"/>
      <c r="S28597"/>
      <c r="T28597"/>
      <c r="U28597"/>
      <c r="X28597" s="60"/>
    </row>
    <row r="28598" spans="7:24" ht="15" customHeight="1">
      <c r="G28598"/>
      <c r="I28598"/>
      <c r="N28598"/>
      <c r="O28598" s="24"/>
      <c r="P28598"/>
      <c r="Q28598" s="24"/>
      <c r="R28598"/>
      <c r="S28598"/>
      <c r="T28598"/>
      <c r="U28598"/>
      <c r="X28598" s="60"/>
    </row>
    <row r="28599" spans="7:24" ht="15" customHeight="1">
      <c r="G28599"/>
      <c r="I28599"/>
      <c r="N28599"/>
      <c r="O28599" s="24"/>
      <c r="P28599"/>
      <c r="Q28599" s="24"/>
      <c r="R28599"/>
      <c r="S28599"/>
      <c r="T28599"/>
      <c r="U28599"/>
      <c r="X28599" s="60"/>
    </row>
    <row r="28600" spans="7:24" ht="15" customHeight="1">
      <c r="G28600"/>
      <c r="I28600"/>
      <c r="N28600"/>
      <c r="O28600" s="24"/>
      <c r="P28600"/>
      <c r="Q28600" s="24"/>
      <c r="R28600"/>
      <c r="S28600"/>
      <c r="T28600"/>
      <c r="U28600"/>
      <c r="X28600" s="60"/>
    </row>
    <row r="28601" spans="7:24" ht="15" customHeight="1">
      <c r="G28601"/>
      <c r="I28601"/>
      <c r="N28601"/>
      <c r="O28601" s="24"/>
      <c r="P28601"/>
      <c r="Q28601" s="24"/>
      <c r="R28601"/>
      <c r="S28601"/>
      <c r="T28601"/>
      <c r="U28601"/>
      <c r="X28601" s="60"/>
    </row>
    <row r="28602" spans="7:24" ht="15" customHeight="1">
      <c r="G28602"/>
      <c r="I28602"/>
      <c r="N28602"/>
      <c r="O28602" s="24"/>
      <c r="P28602"/>
      <c r="Q28602" s="24"/>
      <c r="R28602"/>
      <c r="S28602"/>
      <c r="T28602"/>
      <c r="U28602"/>
      <c r="X28602" s="60"/>
    </row>
    <row r="28603" spans="7:24" ht="15" customHeight="1">
      <c r="G28603"/>
      <c r="I28603"/>
      <c r="N28603"/>
      <c r="O28603" s="24"/>
      <c r="P28603"/>
      <c r="Q28603" s="24"/>
      <c r="R28603"/>
      <c r="S28603"/>
      <c r="T28603"/>
      <c r="U28603"/>
      <c r="X28603" s="60"/>
    </row>
    <row r="28604" spans="7:24" ht="15" customHeight="1">
      <c r="G28604"/>
      <c r="I28604"/>
      <c r="N28604"/>
      <c r="O28604" s="24"/>
      <c r="P28604"/>
      <c r="Q28604" s="24"/>
      <c r="R28604"/>
      <c r="S28604"/>
      <c r="T28604"/>
      <c r="U28604"/>
      <c r="X28604" s="60"/>
    </row>
    <row r="28605" spans="7:24" ht="15" customHeight="1">
      <c r="G28605"/>
      <c r="I28605"/>
      <c r="N28605"/>
      <c r="O28605" s="24"/>
      <c r="P28605"/>
      <c r="Q28605" s="24"/>
      <c r="R28605"/>
      <c r="S28605"/>
      <c r="T28605"/>
      <c r="U28605"/>
      <c r="X28605" s="60"/>
    </row>
    <row r="28606" spans="7:24" ht="15" customHeight="1">
      <c r="G28606"/>
      <c r="I28606"/>
      <c r="N28606"/>
      <c r="O28606" s="24"/>
      <c r="P28606"/>
      <c r="Q28606" s="24"/>
      <c r="R28606"/>
      <c r="S28606"/>
      <c r="T28606"/>
      <c r="U28606"/>
      <c r="X28606" s="60"/>
    </row>
    <row r="28607" spans="7:24" ht="15" customHeight="1">
      <c r="G28607"/>
      <c r="I28607"/>
      <c r="N28607"/>
      <c r="O28607" s="24"/>
      <c r="P28607"/>
      <c r="Q28607" s="24"/>
      <c r="R28607"/>
      <c r="S28607"/>
      <c r="T28607"/>
      <c r="U28607"/>
      <c r="X28607" s="60"/>
    </row>
    <row r="28608" spans="7:24" ht="15" customHeight="1">
      <c r="G28608"/>
      <c r="I28608"/>
      <c r="N28608"/>
      <c r="O28608" s="24"/>
      <c r="P28608"/>
      <c r="Q28608" s="24"/>
      <c r="R28608"/>
      <c r="S28608"/>
      <c r="T28608"/>
      <c r="U28608"/>
      <c r="X28608" s="60"/>
    </row>
    <row r="28609" spans="7:24" ht="15" customHeight="1">
      <c r="G28609"/>
      <c r="I28609"/>
      <c r="N28609"/>
      <c r="O28609" s="24"/>
      <c r="P28609"/>
      <c r="Q28609" s="24"/>
      <c r="R28609"/>
      <c r="S28609"/>
      <c r="T28609"/>
      <c r="U28609"/>
      <c r="X28609" s="60"/>
    </row>
    <row r="28610" spans="7:24" ht="15" customHeight="1">
      <c r="G28610"/>
      <c r="I28610"/>
      <c r="N28610"/>
      <c r="O28610" s="24"/>
      <c r="P28610"/>
      <c r="Q28610" s="24"/>
      <c r="R28610"/>
      <c r="S28610"/>
      <c r="T28610"/>
      <c r="U28610"/>
      <c r="X28610" s="60"/>
    </row>
    <row r="28611" spans="7:24" ht="15" customHeight="1">
      <c r="G28611"/>
      <c r="I28611"/>
      <c r="N28611"/>
      <c r="O28611" s="24"/>
      <c r="P28611"/>
      <c r="Q28611" s="24"/>
      <c r="R28611"/>
      <c r="S28611"/>
      <c r="T28611"/>
      <c r="U28611"/>
      <c r="X28611" s="60"/>
    </row>
    <row r="28612" spans="7:24" ht="15" customHeight="1">
      <c r="G28612"/>
      <c r="I28612"/>
      <c r="N28612"/>
      <c r="O28612" s="24"/>
      <c r="P28612"/>
      <c r="Q28612" s="24"/>
      <c r="R28612"/>
      <c r="S28612"/>
      <c r="T28612"/>
      <c r="U28612"/>
      <c r="X28612" s="60"/>
    </row>
    <row r="28613" spans="7:24" ht="15" customHeight="1">
      <c r="G28613"/>
      <c r="I28613"/>
      <c r="N28613"/>
      <c r="O28613" s="24"/>
      <c r="P28613"/>
      <c r="Q28613" s="24"/>
      <c r="R28613"/>
      <c r="S28613"/>
      <c r="T28613"/>
      <c r="U28613"/>
      <c r="X28613" s="60"/>
    </row>
    <row r="28614" spans="7:24" ht="15" customHeight="1">
      <c r="G28614"/>
      <c r="I28614"/>
      <c r="N28614"/>
      <c r="O28614" s="24"/>
      <c r="P28614"/>
      <c r="Q28614" s="24"/>
      <c r="R28614"/>
      <c r="S28614"/>
      <c r="T28614"/>
      <c r="U28614"/>
      <c r="X28614" s="60"/>
    </row>
    <row r="28615" spans="7:24" ht="15" customHeight="1">
      <c r="G28615"/>
      <c r="I28615"/>
      <c r="N28615"/>
      <c r="O28615" s="24"/>
      <c r="P28615"/>
      <c r="Q28615" s="24"/>
      <c r="R28615"/>
      <c r="S28615"/>
      <c r="T28615"/>
      <c r="U28615"/>
      <c r="X28615" s="60"/>
    </row>
    <row r="28616" spans="7:24" ht="15" customHeight="1">
      <c r="G28616"/>
      <c r="I28616"/>
      <c r="N28616"/>
      <c r="O28616" s="24"/>
      <c r="P28616"/>
      <c r="Q28616" s="24"/>
      <c r="R28616"/>
      <c r="S28616"/>
      <c r="T28616"/>
      <c r="U28616"/>
      <c r="X28616" s="60"/>
    </row>
    <row r="28617" spans="7:24" ht="15" customHeight="1">
      <c r="G28617"/>
      <c r="I28617"/>
      <c r="N28617"/>
      <c r="O28617" s="24"/>
      <c r="P28617"/>
      <c r="Q28617" s="24"/>
      <c r="R28617"/>
      <c r="S28617"/>
      <c r="T28617"/>
      <c r="U28617"/>
      <c r="X28617" s="60"/>
    </row>
    <row r="28618" spans="7:24" ht="15" customHeight="1">
      <c r="G28618"/>
      <c r="I28618"/>
      <c r="N28618"/>
      <c r="O28618" s="24"/>
      <c r="P28618"/>
      <c r="Q28618" s="24"/>
      <c r="R28618"/>
      <c r="S28618"/>
      <c r="T28618"/>
      <c r="U28618"/>
      <c r="X28618" s="60"/>
    </row>
    <row r="28619" spans="7:24" ht="15" customHeight="1">
      <c r="G28619"/>
      <c r="I28619"/>
      <c r="N28619"/>
      <c r="O28619" s="24"/>
      <c r="P28619"/>
      <c r="Q28619" s="24"/>
      <c r="R28619"/>
      <c r="S28619"/>
      <c r="T28619"/>
      <c r="U28619"/>
      <c r="X28619" s="60"/>
    </row>
    <row r="28620" spans="7:24" ht="15" customHeight="1">
      <c r="G28620"/>
      <c r="I28620"/>
      <c r="N28620"/>
      <c r="O28620" s="24"/>
      <c r="P28620"/>
      <c r="Q28620" s="24"/>
      <c r="R28620"/>
      <c r="S28620"/>
      <c r="T28620"/>
      <c r="U28620"/>
      <c r="X28620" s="60"/>
    </row>
    <row r="28621" spans="7:24" ht="15" customHeight="1">
      <c r="G28621"/>
      <c r="I28621"/>
      <c r="N28621"/>
      <c r="O28621" s="24"/>
      <c r="P28621"/>
      <c r="Q28621" s="24"/>
      <c r="R28621"/>
      <c r="S28621"/>
      <c r="T28621"/>
      <c r="U28621"/>
      <c r="X28621" s="60"/>
    </row>
    <row r="28622" spans="7:24" ht="15" customHeight="1">
      <c r="G28622"/>
      <c r="I28622"/>
      <c r="N28622"/>
      <c r="O28622" s="24"/>
      <c r="P28622"/>
      <c r="Q28622" s="24"/>
      <c r="R28622"/>
      <c r="S28622"/>
      <c r="T28622"/>
      <c r="U28622"/>
      <c r="X28622" s="60"/>
    </row>
    <row r="28623" spans="7:24" ht="15" customHeight="1">
      <c r="G28623"/>
      <c r="I28623"/>
      <c r="N28623"/>
      <c r="O28623" s="24"/>
      <c r="P28623"/>
      <c r="Q28623" s="24"/>
      <c r="R28623"/>
      <c r="S28623"/>
      <c r="T28623"/>
      <c r="U28623"/>
      <c r="X28623" s="60"/>
    </row>
    <row r="28624" spans="7:24" ht="15" customHeight="1">
      <c r="G28624"/>
      <c r="I28624"/>
      <c r="N28624"/>
      <c r="O28624" s="24"/>
      <c r="P28624"/>
      <c r="Q28624" s="24"/>
      <c r="R28624"/>
      <c r="S28624"/>
      <c r="T28624"/>
      <c r="U28624"/>
      <c r="X28624" s="60"/>
    </row>
    <row r="28625" spans="7:24" ht="15" customHeight="1">
      <c r="G28625"/>
      <c r="I28625"/>
      <c r="N28625"/>
      <c r="O28625" s="24"/>
      <c r="P28625"/>
      <c r="Q28625" s="24"/>
      <c r="R28625"/>
      <c r="S28625"/>
      <c r="T28625"/>
      <c r="U28625"/>
      <c r="X28625" s="60"/>
    </row>
    <row r="28626" spans="7:24" ht="15" customHeight="1">
      <c r="G28626"/>
      <c r="I28626"/>
      <c r="N28626"/>
      <c r="O28626" s="24"/>
      <c r="P28626"/>
      <c r="Q28626" s="24"/>
      <c r="R28626"/>
      <c r="S28626"/>
      <c r="T28626"/>
      <c r="U28626"/>
      <c r="X28626" s="60"/>
    </row>
    <row r="28627" spans="7:24" ht="15" customHeight="1">
      <c r="G28627"/>
      <c r="I28627"/>
      <c r="N28627"/>
      <c r="O28627" s="24"/>
      <c r="P28627"/>
      <c r="Q28627" s="24"/>
      <c r="R28627"/>
      <c r="S28627"/>
      <c r="T28627"/>
      <c r="U28627"/>
      <c r="X28627" s="60"/>
    </row>
    <row r="28628" spans="7:24" ht="15" customHeight="1">
      <c r="G28628"/>
      <c r="I28628"/>
      <c r="N28628"/>
      <c r="O28628" s="24"/>
      <c r="P28628"/>
      <c r="Q28628" s="24"/>
      <c r="R28628"/>
      <c r="S28628"/>
      <c r="T28628"/>
      <c r="U28628"/>
      <c r="X28628" s="60"/>
    </row>
    <row r="28629" spans="7:24" ht="15" customHeight="1">
      <c r="G28629"/>
      <c r="I28629"/>
      <c r="N28629"/>
      <c r="O28629" s="24"/>
      <c r="P28629"/>
      <c r="Q28629" s="24"/>
      <c r="R28629"/>
      <c r="S28629"/>
      <c r="T28629"/>
      <c r="U28629"/>
      <c r="X28629" s="60"/>
    </row>
    <row r="28630" spans="7:24" ht="15" customHeight="1">
      <c r="G28630"/>
      <c r="I28630"/>
      <c r="N28630"/>
      <c r="O28630" s="24"/>
      <c r="P28630"/>
      <c r="Q28630" s="24"/>
      <c r="R28630"/>
      <c r="S28630"/>
      <c r="T28630"/>
      <c r="U28630"/>
      <c r="X28630" s="60"/>
    </row>
    <row r="28631" spans="7:24" ht="15" customHeight="1">
      <c r="G28631"/>
      <c r="I28631"/>
      <c r="N28631"/>
      <c r="O28631" s="24"/>
      <c r="P28631"/>
      <c r="Q28631" s="24"/>
      <c r="R28631"/>
      <c r="S28631"/>
      <c r="T28631"/>
      <c r="U28631"/>
      <c r="X28631" s="60"/>
    </row>
    <row r="28632" spans="7:24" ht="15" customHeight="1">
      <c r="G28632"/>
      <c r="I28632"/>
      <c r="N28632"/>
      <c r="O28632" s="24"/>
      <c r="P28632"/>
      <c r="Q28632" s="24"/>
      <c r="R28632"/>
      <c r="S28632"/>
      <c r="T28632"/>
      <c r="U28632"/>
      <c r="X28632" s="60"/>
    </row>
    <row r="28633" spans="7:24" ht="15" customHeight="1">
      <c r="G28633"/>
      <c r="I28633"/>
      <c r="N28633"/>
      <c r="O28633" s="24"/>
      <c r="P28633"/>
      <c r="Q28633" s="24"/>
      <c r="R28633"/>
      <c r="S28633"/>
      <c r="T28633"/>
      <c r="U28633"/>
      <c r="X28633" s="60"/>
    </row>
    <row r="28634" spans="7:24" ht="15" customHeight="1">
      <c r="G28634"/>
      <c r="I28634"/>
      <c r="N28634"/>
      <c r="O28634" s="24"/>
      <c r="P28634"/>
      <c r="Q28634" s="24"/>
      <c r="R28634"/>
      <c r="S28634"/>
      <c r="T28634"/>
      <c r="U28634"/>
      <c r="X28634" s="60"/>
    </row>
    <row r="28635" spans="7:24" ht="15" customHeight="1">
      <c r="G28635"/>
      <c r="I28635"/>
      <c r="N28635"/>
      <c r="O28635" s="24"/>
      <c r="P28635"/>
      <c r="Q28635" s="24"/>
      <c r="R28635"/>
      <c r="S28635"/>
      <c r="T28635"/>
      <c r="U28635"/>
      <c r="X28635" s="60"/>
    </row>
    <row r="28636" spans="7:24" ht="15" customHeight="1">
      <c r="G28636"/>
      <c r="I28636"/>
      <c r="N28636"/>
      <c r="O28636" s="24"/>
      <c r="P28636"/>
      <c r="Q28636" s="24"/>
      <c r="R28636"/>
      <c r="S28636"/>
      <c r="T28636"/>
      <c r="U28636"/>
      <c r="X28636" s="60"/>
    </row>
    <row r="28637" spans="7:24" ht="15" customHeight="1">
      <c r="G28637"/>
      <c r="I28637"/>
      <c r="N28637"/>
      <c r="O28637" s="24"/>
      <c r="P28637"/>
      <c r="Q28637" s="24"/>
      <c r="R28637"/>
      <c r="S28637"/>
      <c r="T28637"/>
      <c r="U28637"/>
      <c r="X28637" s="60"/>
    </row>
    <row r="28638" spans="7:24" ht="15" customHeight="1">
      <c r="G28638"/>
      <c r="I28638"/>
      <c r="N28638"/>
      <c r="O28638" s="24"/>
      <c r="P28638"/>
      <c r="Q28638" s="24"/>
      <c r="R28638"/>
      <c r="S28638"/>
      <c r="T28638"/>
      <c r="U28638"/>
      <c r="X28638" s="60"/>
    </row>
    <row r="28639" spans="7:24" ht="15" customHeight="1">
      <c r="G28639"/>
      <c r="I28639"/>
      <c r="N28639"/>
      <c r="O28639" s="24"/>
      <c r="P28639"/>
      <c r="Q28639" s="24"/>
      <c r="R28639"/>
      <c r="S28639"/>
      <c r="T28639"/>
      <c r="U28639"/>
      <c r="X28639" s="60"/>
    </row>
    <row r="28640" spans="7:24" ht="15" customHeight="1">
      <c r="G28640"/>
      <c r="I28640"/>
      <c r="N28640"/>
      <c r="O28640" s="24"/>
      <c r="P28640"/>
      <c r="Q28640" s="24"/>
      <c r="R28640"/>
      <c r="S28640"/>
      <c r="T28640"/>
      <c r="U28640"/>
      <c r="X28640" s="60"/>
    </row>
    <row r="28641" spans="7:24" ht="15" customHeight="1">
      <c r="G28641"/>
      <c r="I28641"/>
      <c r="N28641"/>
      <c r="O28641" s="24"/>
      <c r="P28641"/>
      <c r="Q28641" s="24"/>
      <c r="R28641"/>
      <c r="S28641"/>
      <c r="T28641"/>
      <c r="U28641"/>
      <c r="X28641" s="60"/>
    </row>
    <row r="28642" spans="7:24" ht="15" customHeight="1">
      <c r="G28642"/>
      <c r="I28642"/>
      <c r="N28642"/>
      <c r="O28642" s="24"/>
      <c r="P28642"/>
      <c r="Q28642" s="24"/>
      <c r="R28642"/>
      <c r="S28642"/>
      <c r="T28642"/>
      <c r="U28642"/>
      <c r="X28642" s="60"/>
    </row>
    <row r="28643" spans="7:24" ht="15" customHeight="1">
      <c r="G28643"/>
      <c r="I28643"/>
      <c r="N28643"/>
      <c r="O28643" s="24"/>
      <c r="P28643"/>
      <c r="Q28643" s="24"/>
      <c r="R28643"/>
      <c r="S28643"/>
      <c r="T28643"/>
      <c r="U28643"/>
      <c r="X28643" s="60"/>
    </row>
    <row r="28644" spans="7:24" ht="15" customHeight="1">
      <c r="G28644"/>
      <c r="I28644"/>
      <c r="N28644"/>
      <c r="O28644" s="24"/>
      <c r="P28644"/>
      <c r="Q28644" s="24"/>
      <c r="R28644"/>
      <c r="S28644"/>
      <c r="T28644"/>
      <c r="U28644"/>
      <c r="X28644" s="60"/>
    </row>
    <row r="28645" spans="7:24" ht="15" customHeight="1">
      <c r="G28645"/>
      <c r="I28645"/>
      <c r="N28645"/>
      <c r="O28645" s="24"/>
      <c r="P28645"/>
      <c r="Q28645" s="24"/>
      <c r="R28645"/>
      <c r="S28645"/>
      <c r="T28645"/>
      <c r="U28645"/>
      <c r="X28645" s="60"/>
    </row>
    <row r="28646" spans="7:24" ht="15" customHeight="1">
      <c r="G28646"/>
      <c r="I28646"/>
      <c r="N28646"/>
      <c r="O28646" s="24"/>
      <c r="P28646"/>
      <c r="Q28646" s="24"/>
      <c r="R28646"/>
      <c r="S28646"/>
      <c r="T28646"/>
      <c r="U28646"/>
      <c r="X28646" s="60"/>
    </row>
    <row r="28647" spans="7:24" ht="15" customHeight="1">
      <c r="G28647"/>
      <c r="I28647"/>
      <c r="N28647"/>
      <c r="O28647" s="24"/>
      <c r="P28647"/>
      <c r="Q28647" s="24"/>
      <c r="R28647"/>
      <c r="S28647"/>
      <c r="T28647"/>
      <c r="U28647"/>
      <c r="X28647" s="60"/>
    </row>
    <row r="28648" spans="7:24" ht="15" customHeight="1">
      <c r="G28648"/>
      <c r="I28648"/>
      <c r="N28648"/>
      <c r="O28648" s="24"/>
      <c r="P28648"/>
      <c r="Q28648" s="24"/>
      <c r="R28648"/>
      <c r="S28648"/>
      <c r="T28648"/>
      <c r="U28648"/>
      <c r="X28648" s="60"/>
    </row>
    <row r="28649" spans="7:24" ht="15" customHeight="1">
      <c r="G28649"/>
      <c r="I28649"/>
      <c r="N28649"/>
      <c r="O28649" s="24"/>
      <c r="P28649"/>
      <c r="Q28649" s="24"/>
      <c r="R28649"/>
      <c r="S28649"/>
      <c r="T28649"/>
      <c r="U28649"/>
      <c r="X28649" s="60"/>
    </row>
    <row r="28650" spans="7:24" ht="15" customHeight="1">
      <c r="G28650"/>
      <c r="I28650"/>
      <c r="N28650"/>
      <c r="O28650" s="24"/>
      <c r="P28650"/>
      <c r="Q28650" s="24"/>
      <c r="R28650"/>
      <c r="S28650"/>
      <c r="T28650"/>
      <c r="U28650"/>
      <c r="X28650" s="60"/>
    </row>
    <row r="28651" spans="7:24" ht="15" customHeight="1">
      <c r="G28651"/>
      <c r="I28651"/>
      <c r="N28651"/>
      <c r="O28651" s="24"/>
      <c r="P28651"/>
      <c r="Q28651" s="24"/>
      <c r="R28651"/>
      <c r="S28651"/>
      <c r="T28651"/>
      <c r="U28651"/>
      <c r="X28651" s="60"/>
    </row>
    <row r="28652" spans="7:24" ht="15" customHeight="1">
      <c r="G28652"/>
      <c r="I28652"/>
      <c r="N28652"/>
      <c r="O28652" s="24"/>
      <c r="P28652"/>
      <c r="Q28652" s="24"/>
      <c r="R28652"/>
      <c r="S28652"/>
      <c r="T28652"/>
      <c r="U28652"/>
      <c r="X28652" s="60"/>
    </row>
    <row r="28653" spans="7:24" ht="15" customHeight="1">
      <c r="G28653"/>
      <c r="I28653"/>
      <c r="N28653"/>
      <c r="O28653" s="24"/>
      <c r="P28653"/>
      <c r="Q28653" s="24"/>
      <c r="R28653"/>
      <c r="S28653"/>
      <c r="T28653"/>
      <c r="U28653"/>
      <c r="X28653" s="60"/>
    </row>
    <row r="28654" spans="7:24" ht="15" customHeight="1">
      <c r="G28654"/>
      <c r="I28654"/>
      <c r="N28654"/>
      <c r="O28654" s="24"/>
      <c r="P28654"/>
      <c r="Q28654" s="24"/>
      <c r="R28654"/>
      <c r="S28654"/>
      <c r="T28654"/>
      <c r="U28654"/>
      <c r="X28654" s="60"/>
    </row>
    <row r="28655" spans="7:24" ht="15" customHeight="1">
      <c r="G28655"/>
      <c r="I28655"/>
      <c r="N28655"/>
      <c r="O28655" s="24"/>
      <c r="P28655"/>
      <c r="Q28655" s="24"/>
      <c r="R28655"/>
      <c r="S28655"/>
      <c r="T28655"/>
      <c r="U28655"/>
      <c r="X28655" s="60"/>
    </row>
    <row r="28656" spans="7:24" ht="15" customHeight="1">
      <c r="G28656"/>
      <c r="I28656"/>
      <c r="N28656"/>
      <c r="O28656" s="24"/>
      <c r="P28656"/>
      <c r="Q28656" s="24"/>
      <c r="R28656"/>
      <c r="S28656"/>
      <c r="T28656"/>
      <c r="U28656"/>
      <c r="X28656" s="60"/>
    </row>
    <row r="28657" spans="7:24" ht="15" customHeight="1">
      <c r="G28657"/>
      <c r="I28657"/>
      <c r="N28657"/>
      <c r="O28657" s="24"/>
      <c r="P28657"/>
      <c r="Q28657" s="24"/>
      <c r="R28657"/>
      <c r="S28657"/>
      <c r="T28657"/>
      <c r="U28657"/>
      <c r="X28657" s="60"/>
    </row>
    <row r="28658" spans="7:24" ht="15" customHeight="1">
      <c r="G28658"/>
      <c r="I28658"/>
      <c r="N28658"/>
      <c r="O28658" s="24"/>
      <c r="P28658"/>
      <c r="Q28658" s="24"/>
      <c r="R28658"/>
      <c r="S28658"/>
      <c r="T28658"/>
      <c r="U28658"/>
      <c r="X28658" s="60"/>
    </row>
    <row r="28659" spans="7:24" ht="15" customHeight="1">
      <c r="G28659"/>
      <c r="I28659"/>
      <c r="N28659"/>
      <c r="O28659" s="24"/>
      <c r="P28659"/>
      <c r="Q28659" s="24"/>
      <c r="R28659"/>
      <c r="S28659"/>
      <c r="T28659"/>
      <c r="U28659"/>
      <c r="X28659" s="60"/>
    </row>
    <row r="28660" spans="7:24" ht="15" customHeight="1">
      <c r="G28660"/>
      <c r="I28660"/>
      <c r="N28660"/>
      <c r="O28660" s="24"/>
      <c r="P28660"/>
      <c r="Q28660" s="24"/>
      <c r="R28660"/>
      <c r="S28660"/>
      <c r="T28660"/>
      <c r="U28660"/>
      <c r="X28660" s="60"/>
    </row>
    <row r="28661" spans="7:24" ht="15" customHeight="1">
      <c r="G28661"/>
      <c r="I28661"/>
      <c r="N28661"/>
      <c r="O28661" s="24"/>
      <c r="P28661"/>
      <c r="Q28661" s="24"/>
      <c r="R28661"/>
      <c r="S28661"/>
      <c r="T28661"/>
      <c r="U28661"/>
      <c r="X28661" s="60"/>
    </row>
    <row r="28662" spans="7:24" ht="15" customHeight="1">
      <c r="G28662"/>
      <c r="I28662"/>
      <c r="N28662"/>
      <c r="O28662" s="24"/>
      <c r="P28662"/>
      <c r="Q28662" s="24"/>
      <c r="R28662"/>
      <c r="S28662"/>
      <c r="T28662"/>
      <c r="U28662"/>
      <c r="X28662" s="60"/>
    </row>
    <row r="28663" spans="7:24" ht="15" customHeight="1">
      <c r="G28663"/>
      <c r="I28663"/>
      <c r="N28663"/>
      <c r="O28663" s="24"/>
      <c r="P28663"/>
      <c r="Q28663" s="24"/>
      <c r="R28663"/>
      <c r="S28663"/>
      <c r="T28663"/>
      <c r="U28663"/>
      <c r="X28663" s="60"/>
    </row>
    <row r="28664" spans="7:24" ht="15" customHeight="1">
      <c r="G28664"/>
      <c r="I28664"/>
      <c r="N28664"/>
      <c r="O28664" s="24"/>
      <c r="P28664"/>
      <c r="Q28664" s="24"/>
      <c r="R28664"/>
      <c r="S28664"/>
      <c r="T28664"/>
      <c r="U28664"/>
      <c r="X28664" s="60"/>
    </row>
    <row r="28665" spans="7:24" ht="15" customHeight="1">
      <c r="G28665"/>
      <c r="I28665"/>
      <c r="N28665"/>
      <c r="O28665" s="24"/>
      <c r="P28665"/>
      <c r="Q28665" s="24"/>
      <c r="R28665"/>
      <c r="S28665"/>
      <c r="T28665"/>
      <c r="U28665"/>
      <c r="X28665" s="60"/>
    </row>
    <row r="28666" spans="7:24" ht="15" customHeight="1">
      <c r="G28666"/>
      <c r="I28666"/>
      <c r="N28666"/>
      <c r="O28666" s="24"/>
      <c r="P28666"/>
      <c r="Q28666" s="24"/>
      <c r="R28666"/>
      <c r="S28666"/>
      <c r="T28666"/>
      <c r="U28666"/>
      <c r="X28666" s="60"/>
    </row>
    <row r="28667" spans="7:24" ht="15" customHeight="1">
      <c r="G28667"/>
      <c r="I28667"/>
      <c r="N28667"/>
      <c r="O28667" s="24"/>
      <c r="P28667"/>
      <c r="Q28667" s="24"/>
      <c r="R28667"/>
      <c r="S28667"/>
      <c r="T28667"/>
      <c r="U28667"/>
      <c r="X28667" s="60"/>
    </row>
    <row r="28668" spans="7:24" ht="15" customHeight="1">
      <c r="G28668"/>
      <c r="I28668"/>
      <c r="N28668"/>
      <c r="O28668" s="24"/>
      <c r="P28668"/>
      <c r="Q28668" s="24"/>
      <c r="R28668"/>
      <c r="S28668"/>
      <c r="T28668"/>
      <c r="U28668"/>
      <c r="X28668" s="60"/>
    </row>
    <row r="28669" spans="7:24" ht="15" customHeight="1">
      <c r="G28669"/>
      <c r="I28669"/>
      <c r="N28669"/>
      <c r="O28669" s="24"/>
      <c r="P28669"/>
      <c r="Q28669" s="24"/>
      <c r="R28669"/>
      <c r="S28669"/>
      <c r="T28669"/>
      <c r="U28669"/>
      <c r="X28669" s="60"/>
    </row>
    <row r="28670" spans="7:24" ht="15" customHeight="1">
      <c r="G28670"/>
      <c r="I28670"/>
      <c r="N28670"/>
      <c r="O28670" s="24"/>
      <c r="P28670"/>
      <c r="Q28670" s="24"/>
      <c r="R28670"/>
      <c r="S28670"/>
      <c r="T28670"/>
      <c r="U28670"/>
      <c r="X28670" s="60"/>
    </row>
    <row r="28671" spans="7:24" ht="15" customHeight="1">
      <c r="G28671"/>
      <c r="I28671"/>
      <c r="N28671"/>
      <c r="O28671" s="24"/>
      <c r="P28671"/>
      <c r="Q28671" s="24"/>
      <c r="R28671"/>
      <c r="S28671"/>
      <c r="T28671"/>
      <c r="U28671"/>
      <c r="X28671" s="60"/>
    </row>
    <row r="28672" spans="7:24" ht="15" customHeight="1">
      <c r="G28672"/>
      <c r="I28672"/>
      <c r="N28672"/>
      <c r="O28672" s="24"/>
      <c r="P28672"/>
      <c r="Q28672" s="24"/>
      <c r="R28672"/>
      <c r="S28672"/>
      <c r="T28672"/>
      <c r="U28672"/>
      <c r="X28672" s="60"/>
    </row>
    <row r="28673" spans="7:24" ht="15" customHeight="1">
      <c r="G28673"/>
      <c r="I28673"/>
      <c r="N28673"/>
      <c r="O28673" s="24"/>
      <c r="P28673"/>
      <c r="Q28673" s="24"/>
      <c r="R28673"/>
      <c r="S28673"/>
      <c r="T28673"/>
      <c r="U28673"/>
      <c r="X28673" s="60"/>
    </row>
    <row r="28674" spans="7:24" ht="15" customHeight="1">
      <c r="G28674"/>
      <c r="I28674"/>
      <c r="N28674"/>
      <c r="O28674" s="24"/>
      <c r="P28674"/>
      <c r="Q28674" s="24"/>
      <c r="R28674"/>
      <c r="S28674"/>
      <c r="T28674"/>
      <c r="U28674"/>
      <c r="X28674" s="60"/>
    </row>
    <row r="28675" spans="7:24" ht="15" customHeight="1">
      <c r="G28675"/>
      <c r="I28675"/>
      <c r="N28675"/>
      <c r="O28675" s="24"/>
      <c r="P28675"/>
      <c r="Q28675" s="24"/>
      <c r="R28675"/>
      <c r="S28675"/>
      <c r="T28675"/>
      <c r="U28675"/>
      <c r="X28675" s="60"/>
    </row>
    <row r="28676" spans="7:24" ht="15" customHeight="1">
      <c r="G28676"/>
      <c r="I28676"/>
      <c r="N28676"/>
      <c r="O28676" s="24"/>
      <c r="P28676"/>
      <c r="Q28676" s="24"/>
      <c r="R28676"/>
      <c r="S28676"/>
      <c r="T28676"/>
      <c r="U28676"/>
      <c r="X28676" s="60"/>
    </row>
    <row r="28677" spans="7:24" ht="15" customHeight="1">
      <c r="G28677"/>
      <c r="I28677"/>
      <c r="N28677"/>
      <c r="O28677" s="24"/>
      <c r="P28677"/>
      <c r="Q28677" s="24"/>
      <c r="R28677"/>
      <c r="S28677"/>
      <c r="T28677"/>
      <c r="U28677"/>
      <c r="X28677" s="60"/>
    </row>
    <row r="28678" spans="7:24" ht="15" customHeight="1">
      <c r="G28678"/>
      <c r="I28678"/>
      <c r="N28678"/>
      <c r="O28678" s="24"/>
      <c r="P28678"/>
      <c r="Q28678" s="24"/>
      <c r="R28678"/>
      <c r="S28678"/>
      <c r="T28678"/>
      <c r="U28678"/>
      <c r="X28678" s="60"/>
    </row>
    <row r="28679" spans="7:24" ht="15" customHeight="1">
      <c r="G28679"/>
      <c r="I28679"/>
      <c r="N28679"/>
      <c r="O28679" s="24"/>
      <c r="P28679"/>
      <c r="Q28679" s="24"/>
      <c r="R28679"/>
      <c r="S28679"/>
      <c r="T28679"/>
      <c r="U28679"/>
      <c r="X28679" s="60"/>
    </row>
    <row r="28680" spans="7:24" ht="15" customHeight="1">
      <c r="G28680"/>
      <c r="I28680"/>
      <c r="N28680"/>
      <c r="O28680" s="24"/>
      <c r="P28680"/>
      <c r="Q28680" s="24"/>
      <c r="R28680"/>
      <c r="S28680"/>
      <c r="T28680"/>
      <c r="U28680"/>
      <c r="X28680" s="60"/>
    </row>
    <row r="28681" spans="7:24" ht="15" customHeight="1">
      <c r="G28681"/>
      <c r="I28681"/>
      <c r="N28681"/>
      <c r="O28681" s="24"/>
      <c r="P28681"/>
      <c r="Q28681" s="24"/>
      <c r="R28681"/>
      <c r="S28681"/>
      <c r="T28681"/>
      <c r="U28681"/>
      <c r="X28681" s="60"/>
    </row>
    <row r="28682" spans="7:24" ht="15" customHeight="1">
      <c r="G28682"/>
      <c r="I28682"/>
      <c r="N28682"/>
      <c r="O28682" s="24"/>
      <c r="P28682"/>
      <c r="Q28682" s="24"/>
      <c r="R28682"/>
      <c r="S28682"/>
      <c r="T28682"/>
      <c r="U28682"/>
      <c r="X28682" s="60"/>
    </row>
    <row r="28683" spans="7:24" ht="15" customHeight="1">
      <c r="G28683"/>
      <c r="I28683"/>
      <c r="N28683"/>
      <c r="O28683" s="24"/>
      <c r="P28683"/>
      <c r="Q28683" s="24"/>
      <c r="R28683"/>
      <c r="S28683"/>
      <c r="T28683"/>
      <c r="U28683"/>
      <c r="X28683" s="60"/>
    </row>
    <row r="28684" spans="7:24" ht="15" customHeight="1">
      <c r="G28684"/>
      <c r="I28684"/>
      <c r="N28684"/>
      <c r="O28684" s="24"/>
      <c r="P28684"/>
      <c r="Q28684" s="24"/>
      <c r="R28684"/>
      <c r="S28684"/>
      <c r="T28684"/>
      <c r="U28684"/>
      <c r="X28684" s="60"/>
    </row>
    <row r="28685" spans="7:24" ht="15" customHeight="1">
      <c r="G28685"/>
      <c r="I28685"/>
      <c r="N28685"/>
      <c r="O28685" s="24"/>
      <c r="P28685"/>
      <c r="Q28685" s="24"/>
      <c r="R28685"/>
      <c r="S28685"/>
      <c r="T28685"/>
      <c r="U28685"/>
      <c r="X28685" s="60"/>
    </row>
    <row r="28686" spans="7:24" ht="15" customHeight="1">
      <c r="G28686"/>
      <c r="I28686"/>
      <c r="N28686"/>
      <c r="O28686" s="24"/>
      <c r="P28686"/>
      <c r="Q28686" s="24"/>
      <c r="R28686"/>
      <c r="S28686"/>
      <c r="T28686"/>
      <c r="U28686"/>
      <c r="X28686" s="60"/>
    </row>
    <row r="28687" spans="7:24" ht="15" customHeight="1">
      <c r="G28687"/>
      <c r="I28687"/>
      <c r="N28687"/>
      <c r="O28687" s="24"/>
      <c r="P28687"/>
      <c r="Q28687" s="24"/>
      <c r="R28687"/>
      <c r="S28687"/>
      <c r="T28687"/>
      <c r="U28687"/>
      <c r="X28687" s="60"/>
    </row>
    <row r="28688" spans="7:24" ht="15" customHeight="1">
      <c r="G28688"/>
      <c r="I28688"/>
      <c r="N28688"/>
      <c r="O28688" s="24"/>
      <c r="P28688"/>
      <c r="Q28688" s="24"/>
      <c r="R28688"/>
      <c r="S28688"/>
      <c r="T28688"/>
      <c r="U28688"/>
      <c r="X28688" s="60"/>
    </row>
    <row r="28689" spans="7:24" ht="15" customHeight="1">
      <c r="G28689"/>
      <c r="I28689"/>
      <c r="N28689"/>
      <c r="O28689" s="24"/>
      <c r="P28689"/>
      <c r="Q28689" s="24"/>
      <c r="R28689"/>
      <c r="S28689"/>
      <c r="T28689"/>
      <c r="U28689"/>
      <c r="X28689" s="60"/>
    </row>
    <row r="28690" spans="7:24" ht="15" customHeight="1">
      <c r="G28690"/>
      <c r="I28690"/>
      <c r="N28690"/>
      <c r="O28690" s="24"/>
      <c r="P28690"/>
      <c r="Q28690" s="24"/>
      <c r="R28690"/>
      <c r="S28690"/>
      <c r="T28690"/>
      <c r="U28690"/>
      <c r="X28690" s="60"/>
    </row>
    <row r="28691" spans="7:24" ht="15" customHeight="1">
      <c r="G28691"/>
      <c r="I28691"/>
      <c r="N28691"/>
      <c r="O28691" s="24"/>
      <c r="P28691"/>
      <c r="Q28691" s="24"/>
      <c r="R28691"/>
      <c r="S28691"/>
      <c r="T28691"/>
      <c r="U28691"/>
      <c r="X28691" s="60"/>
    </row>
    <row r="28692" spans="7:24" ht="15" customHeight="1">
      <c r="G28692"/>
      <c r="I28692"/>
      <c r="N28692"/>
      <c r="O28692" s="24"/>
      <c r="P28692"/>
      <c r="Q28692" s="24"/>
      <c r="R28692"/>
      <c r="S28692"/>
      <c r="T28692"/>
      <c r="U28692"/>
      <c r="X28692" s="60"/>
    </row>
    <row r="28693" spans="7:24" ht="15" customHeight="1">
      <c r="G28693"/>
      <c r="I28693"/>
      <c r="N28693"/>
      <c r="O28693" s="24"/>
      <c r="P28693"/>
      <c r="Q28693" s="24"/>
      <c r="R28693"/>
      <c r="S28693"/>
      <c r="T28693"/>
      <c r="U28693"/>
      <c r="X28693" s="60"/>
    </row>
    <row r="28694" spans="7:24" ht="15" customHeight="1">
      <c r="G28694"/>
      <c r="I28694"/>
      <c r="N28694"/>
      <c r="O28694" s="24"/>
      <c r="P28694"/>
      <c r="Q28694" s="24"/>
      <c r="R28694"/>
      <c r="S28694"/>
      <c r="T28694"/>
      <c r="U28694"/>
      <c r="X28694" s="60"/>
    </row>
    <row r="28695" spans="7:24" ht="15" customHeight="1">
      <c r="G28695"/>
      <c r="I28695"/>
      <c r="N28695"/>
      <c r="O28695" s="24"/>
      <c r="P28695"/>
      <c r="Q28695" s="24"/>
      <c r="R28695"/>
      <c r="S28695"/>
      <c r="T28695"/>
      <c r="U28695"/>
      <c r="X28695" s="60"/>
    </row>
    <row r="28696" spans="7:24" ht="15" customHeight="1">
      <c r="G28696"/>
      <c r="I28696"/>
      <c r="N28696"/>
      <c r="O28696" s="24"/>
      <c r="P28696"/>
      <c r="Q28696" s="24"/>
      <c r="R28696"/>
      <c r="S28696"/>
      <c r="T28696"/>
      <c r="U28696"/>
      <c r="X28696" s="60"/>
    </row>
    <row r="28697" spans="7:24" ht="15" customHeight="1">
      <c r="G28697"/>
      <c r="I28697"/>
      <c r="N28697"/>
      <c r="O28697" s="24"/>
      <c r="P28697"/>
      <c r="Q28697" s="24"/>
      <c r="R28697"/>
      <c r="S28697"/>
      <c r="T28697"/>
      <c r="U28697"/>
      <c r="X28697" s="60"/>
    </row>
    <row r="28698" spans="7:24" ht="15" customHeight="1">
      <c r="G28698"/>
      <c r="I28698"/>
      <c r="N28698"/>
      <c r="O28698" s="24"/>
      <c r="P28698"/>
      <c r="Q28698" s="24"/>
      <c r="R28698"/>
      <c r="S28698"/>
      <c r="T28698"/>
      <c r="U28698"/>
      <c r="X28698" s="60"/>
    </row>
    <row r="28699" spans="7:24" ht="15" customHeight="1">
      <c r="G28699"/>
      <c r="I28699"/>
      <c r="N28699"/>
      <c r="O28699" s="24"/>
      <c r="P28699"/>
      <c r="Q28699" s="24"/>
      <c r="R28699"/>
      <c r="S28699"/>
      <c r="T28699"/>
      <c r="U28699"/>
      <c r="X28699" s="60"/>
    </row>
    <row r="28700" spans="7:24" ht="15" customHeight="1">
      <c r="G28700"/>
      <c r="I28700"/>
      <c r="N28700"/>
      <c r="O28700" s="24"/>
      <c r="P28700"/>
      <c r="Q28700" s="24"/>
      <c r="R28700"/>
      <c r="S28700"/>
      <c r="T28700"/>
      <c r="U28700"/>
      <c r="X28700" s="60"/>
    </row>
    <row r="28701" spans="7:24" ht="15" customHeight="1">
      <c r="G28701"/>
      <c r="I28701"/>
      <c r="N28701"/>
      <c r="O28701" s="24"/>
      <c r="P28701"/>
      <c r="Q28701" s="24"/>
      <c r="R28701"/>
      <c r="S28701"/>
      <c r="T28701"/>
      <c r="U28701"/>
      <c r="X28701" s="60"/>
    </row>
    <row r="28702" spans="7:24" ht="15" customHeight="1">
      <c r="G28702"/>
      <c r="I28702"/>
      <c r="N28702"/>
      <c r="O28702" s="24"/>
      <c r="P28702"/>
      <c r="Q28702" s="24"/>
      <c r="R28702"/>
      <c r="S28702"/>
      <c r="T28702"/>
      <c r="U28702"/>
      <c r="X28702" s="60"/>
    </row>
    <row r="28703" spans="7:24" ht="15" customHeight="1">
      <c r="G28703"/>
      <c r="I28703"/>
      <c r="N28703"/>
      <c r="O28703" s="24"/>
      <c r="P28703"/>
      <c r="Q28703" s="24"/>
      <c r="R28703"/>
      <c r="S28703"/>
      <c r="T28703"/>
      <c r="U28703"/>
      <c r="X28703" s="60"/>
    </row>
    <row r="28704" spans="7:24" ht="15" customHeight="1">
      <c r="G28704"/>
      <c r="I28704"/>
      <c r="N28704"/>
      <c r="O28704" s="24"/>
      <c r="P28704"/>
      <c r="Q28704" s="24"/>
      <c r="R28704"/>
      <c r="S28704"/>
      <c r="T28704"/>
      <c r="U28704"/>
      <c r="X28704" s="60"/>
    </row>
    <row r="28705" spans="7:24" ht="15" customHeight="1">
      <c r="G28705"/>
      <c r="I28705"/>
      <c r="N28705"/>
      <c r="O28705" s="24"/>
      <c r="P28705"/>
      <c r="Q28705" s="24"/>
      <c r="R28705"/>
      <c r="S28705"/>
      <c r="T28705"/>
      <c r="U28705"/>
      <c r="X28705" s="60"/>
    </row>
    <row r="28706" spans="7:24" ht="15" customHeight="1">
      <c r="G28706"/>
      <c r="I28706"/>
      <c r="N28706"/>
      <c r="O28706" s="24"/>
      <c r="P28706"/>
      <c r="Q28706" s="24"/>
      <c r="R28706"/>
      <c r="S28706"/>
      <c r="T28706"/>
      <c r="U28706"/>
      <c r="X28706" s="60"/>
    </row>
    <row r="28707" spans="7:24" ht="15" customHeight="1">
      <c r="G28707"/>
      <c r="I28707"/>
      <c r="N28707"/>
      <c r="O28707" s="24"/>
      <c r="P28707"/>
      <c r="Q28707" s="24"/>
      <c r="R28707"/>
      <c r="S28707"/>
      <c r="T28707"/>
      <c r="U28707"/>
      <c r="X28707" s="60"/>
    </row>
    <row r="28708" spans="7:24" ht="15" customHeight="1">
      <c r="G28708"/>
      <c r="I28708"/>
      <c r="N28708"/>
      <c r="O28708" s="24"/>
      <c r="P28708"/>
      <c r="Q28708" s="24"/>
      <c r="R28708"/>
      <c r="S28708"/>
      <c r="T28708"/>
      <c r="U28708"/>
      <c r="X28708" s="60"/>
    </row>
    <row r="28709" spans="7:24" ht="15" customHeight="1">
      <c r="G28709"/>
      <c r="I28709"/>
      <c r="N28709"/>
      <c r="O28709" s="24"/>
      <c r="P28709"/>
      <c r="Q28709" s="24"/>
      <c r="R28709"/>
      <c r="S28709"/>
      <c r="T28709"/>
      <c r="U28709"/>
      <c r="X28709" s="60"/>
    </row>
    <row r="28710" spans="7:24" ht="15" customHeight="1">
      <c r="G28710"/>
      <c r="I28710"/>
      <c r="N28710"/>
      <c r="O28710" s="24"/>
      <c r="P28710"/>
      <c r="Q28710" s="24"/>
      <c r="R28710"/>
      <c r="S28710"/>
      <c r="T28710"/>
      <c r="U28710"/>
      <c r="X28710" s="60"/>
    </row>
    <row r="28711" spans="7:24" ht="15" customHeight="1">
      <c r="G28711"/>
      <c r="I28711"/>
      <c r="N28711"/>
      <c r="O28711" s="24"/>
      <c r="P28711"/>
      <c r="Q28711" s="24"/>
      <c r="R28711"/>
      <c r="S28711"/>
      <c r="T28711"/>
      <c r="U28711"/>
      <c r="X28711" s="60"/>
    </row>
    <row r="28712" spans="7:24" ht="15" customHeight="1">
      <c r="G28712"/>
      <c r="I28712"/>
      <c r="N28712"/>
      <c r="O28712" s="24"/>
      <c r="P28712"/>
      <c r="Q28712" s="24"/>
      <c r="R28712"/>
      <c r="S28712"/>
      <c r="T28712"/>
      <c r="U28712"/>
      <c r="X28712" s="60"/>
    </row>
    <row r="28713" spans="7:24" ht="15" customHeight="1">
      <c r="G28713"/>
      <c r="I28713"/>
      <c r="N28713"/>
      <c r="O28713" s="24"/>
      <c r="P28713"/>
      <c r="Q28713" s="24"/>
      <c r="R28713"/>
      <c r="S28713"/>
      <c r="T28713"/>
      <c r="U28713"/>
      <c r="X28713" s="60"/>
    </row>
    <row r="28714" spans="7:24" ht="15" customHeight="1">
      <c r="G28714"/>
      <c r="I28714"/>
      <c r="N28714"/>
      <c r="O28714" s="24"/>
      <c r="P28714"/>
      <c r="Q28714" s="24"/>
      <c r="R28714"/>
      <c r="S28714"/>
      <c r="T28714"/>
      <c r="U28714"/>
      <c r="X28714" s="60"/>
    </row>
    <row r="28715" spans="7:24" ht="15" customHeight="1">
      <c r="G28715"/>
      <c r="I28715"/>
      <c r="N28715"/>
      <c r="O28715" s="24"/>
      <c r="P28715"/>
      <c r="Q28715" s="24"/>
      <c r="R28715"/>
      <c r="S28715"/>
      <c r="T28715"/>
      <c r="U28715"/>
      <c r="X28715" s="60"/>
    </row>
    <row r="28716" spans="7:24" ht="15" customHeight="1">
      <c r="G28716"/>
      <c r="I28716"/>
      <c r="N28716"/>
      <c r="O28716" s="24"/>
      <c r="P28716"/>
      <c r="Q28716" s="24"/>
      <c r="R28716"/>
      <c r="S28716"/>
      <c r="T28716"/>
      <c r="U28716"/>
      <c r="X28716" s="60"/>
    </row>
    <row r="28717" spans="7:24" ht="15" customHeight="1">
      <c r="G28717"/>
      <c r="I28717"/>
      <c r="N28717"/>
      <c r="O28717" s="24"/>
      <c r="P28717"/>
      <c r="Q28717" s="24"/>
      <c r="R28717"/>
      <c r="S28717"/>
      <c r="T28717"/>
      <c r="U28717"/>
      <c r="X28717" s="60"/>
    </row>
    <row r="28718" spans="7:24" ht="15" customHeight="1">
      <c r="G28718"/>
      <c r="I28718"/>
      <c r="N28718"/>
      <c r="O28718" s="24"/>
      <c r="P28718"/>
      <c r="Q28718" s="24"/>
      <c r="R28718"/>
      <c r="S28718"/>
      <c r="T28718"/>
      <c r="U28718"/>
      <c r="X28718" s="60"/>
    </row>
    <row r="28719" spans="7:24" ht="15" customHeight="1">
      <c r="G28719"/>
      <c r="I28719"/>
      <c r="N28719"/>
      <c r="O28719" s="24"/>
      <c r="P28719"/>
      <c r="Q28719" s="24"/>
      <c r="R28719"/>
      <c r="S28719"/>
      <c r="T28719"/>
      <c r="U28719"/>
      <c r="X28719" s="60"/>
    </row>
    <row r="28720" spans="7:24" ht="15" customHeight="1">
      <c r="G28720"/>
      <c r="I28720"/>
      <c r="N28720"/>
      <c r="O28720" s="24"/>
      <c r="P28720"/>
      <c r="Q28720" s="24"/>
      <c r="R28720"/>
      <c r="S28720"/>
      <c r="T28720"/>
      <c r="U28720"/>
      <c r="X28720" s="60"/>
    </row>
    <row r="28721" spans="7:24" ht="15" customHeight="1">
      <c r="G28721"/>
      <c r="I28721"/>
      <c r="N28721"/>
      <c r="O28721" s="24"/>
      <c r="P28721"/>
      <c r="Q28721" s="24"/>
      <c r="R28721"/>
      <c r="S28721"/>
      <c r="T28721"/>
      <c r="U28721"/>
      <c r="X28721" s="60"/>
    </row>
    <row r="28722" spans="7:24" ht="15" customHeight="1">
      <c r="G28722"/>
      <c r="I28722"/>
      <c r="N28722"/>
      <c r="O28722" s="24"/>
      <c r="P28722"/>
      <c r="Q28722" s="24"/>
      <c r="R28722"/>
      <c r="S28722"/>
      <c r="T28722"/>
      <c r="U28722"/>
      <c r="X28722" s="60"/>
    </row>
    <row r="28723" spans="7:24" ht="15" customHeight="1">
      <c r="G28723"/>
      <c r="I28723"/>
      <c r="N28723"/>
      <c r="O28723" s="24"/>
      <c r="P28723"/>
      <c r="Q28723" s="24"/>
      <c r="R28723"/>
      <c r="S28723"/>
      <c r="T28723"/>
      <c r="U28723"/>
      <c r="X28723" s="60"/>
    </row>
    <row r="28724" spans="7:24" ht="15" customHeight="1">
      <c r="G28724"/>
      <c r="I28724"/>
      <c r="N28724"/>
      <c r="O28724" s="24"/>
      <c r="P28724"/>
      <c r="Q28724" s="24"/>
      <c r="R28724"/>
      <c r="S28724"/>
      <c r="T28724"/>
      <c r="U28724"/>
      <c r="X28724" s="60"/>
    </row>
    <row r="28725" spans="7:24" ht="15" customHeight="1">
      <c r="G28725"/>
      <c r="I28725"/>
      <c r="N28725"/>
      <c r="O28725" s="24"/>
      <c r="P28725"/>
      <c r="Q28725" s="24"/>
      <c r="R28725"/>
      <c r="S28725"/>
      <c r="T28725"/>
      <c r="U28725"/>
      <c r="X28725" s="60"/>
    </row>
    <row r="28726" spans="7:24" ht="15" customHeight="1">
      <c r="G28726"/>
      <c r="I28726"/>
      <c r="N28726"/>
      <c r="O28726" s="24"/>
      <c r="P28726"/>
      <c r="Q28726" s="24"/>
      <c r="R28726"/>
      <c r="S28726"/>
      <c r="T28726"/>
      <c r="U28726"/>
      <c r="X28726" s="60"/>
    </row>
    <row r="28727" spans="7:24" ht="15" customHeight="1">
      <c r="G28727"/>
      <c r="I28727"/>
      <c r="N28727"/>
      <c r="O28727" s="24"/>
      <c r="P28727"/>
      <c r="Q28727" s="24"/>
      <c r="R28727"/>
      <c r="S28727"/>
      <c r="T28727"/>
      <c r="U28727"/>
      <c r="X28727" s="60"/>
    </row>
    <row r="28728" spans="7:24" ht="15" customHeight="1">
      <c r="G28728"/>
      <c r="I28728"/>
      <c r="N28728"/>
      <c r="O28728" s="24"/>
      <c r="P28728"/>
      <c r="Q28728" s="24"/>
      <c r="R28728"/>
      <c r="S28728"/>
      <c r="T28728"/>
      <c r="U28728"/>
      <c r="X28728" s="60"/>
    </row>
    <row r="28729" spans="7:24" ht="15" customHeight="1">
      <c r="G28729"/>
      <c r="I28729"/>
      <c r="N28729"/>
      <c r="O28729" s="24"/>
      <c r="P28729"/>
      <c r="Q28729" s="24"/>
      <c r="R28729"/>
      <c r="S28729"/>
      <c r="T28729"/>
      <c r="U28729"/>
      <c r="X28729" s="60"/>
    </row>
    <row r="28730" spans="7:24" ht="15" customHeight="1">
      <c r="G28730"/>
      <c r="I28730"/>
      <c r="N28730"/>
      <c r="O28730" s="24"/>
      <c r="P28730"/>
      <c r="Q28730" s="24"/>
      <c r="R28730"/>
      <c r="S28730"/>
      <c r="T28730"/>
      <c r="U28730"/>
      <c r="X28730" s="60"/>
    </row>
    <row r="28731" spans="7:24" ht="15" customHeight="1">
      <c r="G28731"/>
      <c r="I28731"/>
      <c r="N28731"/>
      <c r="O28731" s="24"/>
      <c r="P28731"/>
      <c r="Q28731" s="24"/>
      <c r="R28731"/>
      <c r="S28731"/>
      <c r="T28731"/>
      <c r="U28731"/>
      <c r="X28731" s="60"/>
    </row>
    <row r="28732" spans="7:24" ht="15" customHeight="1">
      <c r="G28732"/>
      <c r="I28732"/>
      <c r="N28732"/>
      <c r="O28732" s="24"/>
      <c r="P28732"/>
      <c r="Q28732" s="24"/>
      <c r="R28732"/>
      <c r="S28732"/>
      <c r="T28732"/>
      <c r="U28732"/>
      <c r="X28732" s="60"/>
    </row>
    <row r="28733" spans="7:24" ht="15" customHeight="1">
      <c r="G28733"/>
      <c r="I28733"/>
      <c r="N28733"/>
      <c r="O28733" s="24"/>
      <c r="P28733"/>
      <c r="Q28733" s="24"/>
      <c r="R28733"/>
      <c r="S28733"/>
      <c r="T28733"/>
      <c r="U28733"/>
      <c r="X28733" s="60"/>
    </row>
    <row r="28734" spans="7:24" ht="15" customHeight="1">
      <c r="G28734"/>
      <c r="I28734"/>
      <c r="N28734"/>
      <c r="O28734" s="24"/>
      <c r="P28734"/>
      <c r="Q28734" s="24"/>
      <c r="R28734"/>
      <c r="S28734"/>
      <c r="T28734"/>
      <c r="U28734"/>
      <c r="X28734" s="60"/>
    </row>
    <row r="28735" spans="7:24" ht="15" customHeight="1">
      <c r="G28735"/>
      <c r="I28735"/>
      <c r="N28735"/>
      <c r="O28735" s="24"/>
      <c r="P28735"/>
      <c r="Q28735" s="24"/>
      <c r="R28735"/>
      <c r="S28735"/>
      <c r="T28735"/>
      <c r="U28735"/>
      <c r="X28735" s="60"/>
    </row>
    <row r="28736" spans="7:24" ht="15" customHeight="1">
      <c r="G28736"/>
      <c r="I28736"/>
      <c r="N28736"/>
      <c r="O28736" s="24"/>
      <c r="P28736"/>
      <c r="Q28736" s="24"/>
      <c r="R28736"/>
      <c r="S28736"/>
      <c r="T28736"/>
      <c r="U28736"/>
      <c r="X28736" s="60"/>
    </row>
    <row r="28737" spans="7:24" ht="15" customHeight="1">
      <c r="G28737"/>
      <c r="I28737"/>
      <c r="N28737"/>
      <c r="O28737" s="24"/>
      <c r="P28737"/>
      <c r="Q28737" s="24"/>
      <c r="R28737"/>
      <c r="S28737"/>
      <c r="T28737"/>
      <c r="U28737"/>
      <c r="X28737" s="60"/>
    </row>
    <row r="28738" spans="7:24" ht="15" customHeight="1">
      <c r="G28738"/>
      <c r="I28738"/>
      <c r="N28738"/>
      <c r="O28738" s="24"/>
      <c r="P28738"/>
      <c r="Q28738" s="24"/>
      <c r="R28738"/>
      <c r="S28738"/>
      <c r="T28738"/>
      <c r="U28738"/>
      <c r="X28738" s="60"/>
    </row>
    <row r="28739" spans="7:24" ht="15" customHeight="1">
      <c r="G28739"/>
      <c r="I28739"/>
      <c r="N28739"/>
      <c r="O28739" s="24"/>
      <c r="P28739"/>
      <c r="Q28739" s="24"/>
      <c r="R28739"/>
      <c r="S28739"/>
      <c r="T28739"/>
      <c r="U28739"/>
      <c r="X28739" s="60"/>
    </row>
    <row r="28740" spans="7:24" ht="15" customHeight="1">
      <c r="G28740"/>
      <c r="I28740"/>
      <c r="N28740"/>
      <c r="O28740" s="24"/>
      <c r="P28740"/>
      <c r="Q28740" s="24"/>
      <c r="R28740"/>
      <c r="S28740"/>
      <c r="T28740"/>
      <c r="U28740"/>
      <c r="X28740" s="60"/>
    </row>
    <row r="28741" spans="7:24" ht="15" customHeight="1">
      <c r="G28741"/>
      <c r="I28741"/>
      <c r="N28741"/>
      <c r="O28741" s="24"/>
      <c r="P28741"/>
      <c r="Q28741" s="24"/>
      <c r="R28741"/>
      <c r="S28741"/>
      <c r="T28741"/>
      <c r="U28741"/>
      <c r="X28741" s="60"/>
    </row>
    <row r="28742" spans="7:24" ht="15" customHeight="1">
      <c r="G28742"/>
      <c r="I28742"/>
      <c r="N28742"/>
      <c r="O28742" s="24"/>
      <c r="P28742"/>
      <c r="Q28742" s="24"/>
      <c r="R28742"/>
      <c r="S28742"/>
      <c r="T28742"/>
      <c r="U28742"/>
      <c r="X28742" s="60"/>
    </row>
    <row r="28743" spans="7:24" ht="15" customHeight="1">
      <c r="G28743"/>
      <c r="I28743"/>
      <c r="N28743"/>
      <c r="O28743" s="24"/>
      <c r="P28743"/>
      <c r="Q28743" s="24"/>
      <c r="R28743"/>
      <c r="S28743"/>
      <c r="T28743"/>
      <c r="U28743"/>
      <c r="X28743" s="60"/>
    </row>
    <row r="28744" spans="7:24" ht="15" customHeight="1">
      <c r="G28744"/>
      <c r="I28744"/>
      <c r="N28744"/>
      <c r="O28744" s="24"/>
      <c r="P28744"/>
      <c r="Q28744" s="24"/>
      <c r="R28744"/>
      <c r="S28744"/>
      <c r="T28744"/>
      <c r="U28744"/>
      <c r="X28744" s="60"/>
    </row>
    <row r="28745" spans="7:24" ht="15" customHeight="1">
      <c r="G28745"/>
      <c r="I28745"/>
      <c r="N28745"/>
      <c r="O28745" s="24"/>
      <c r="P28745"/>
      <c r="Q28745" s="24"/>
      <c r="R28745"/>
      <c r="S28745"/>
      <c r="T28745"/>
      <c r="U28745"/>
      <c r="X28745" s="60"/>
    </row>
    <row r="28746" spans="7:24" ht="15" customHeight="1">
      <c r="G28746"/>
      <c r="I28746"/>
      <c r="N28746"/>
      <c r="O28746" s="24"/>
      <c r="P28746"/>
      <c r="Q28746" s="24"/>
      <c r="R28746"/>
      <c r="S28746"/>
      <c r="T28746"/>
      <c r="U28746"/>
      <c r="X28746" s="60"/>
    </row>
    <row r="28747" spans="7:24" ht="15" customHeight="1">
      <c r="G28747"/>
      <c r="I28747"/>
      <c r="N28747"/>
      <c r="O28747" s="24"/>
      <c r="P28747"/>
      <c r="Q28747" s="24"/>
      <c r="R28747"/>
      <c r="S28747"/>
      <c r="T28747"/>
      <c r="U28747"/>
      <c r="X28747" s="60"/>
    </row>
    <row r="28748" spans="7:24" ht="15" customHeight="1">
      <c r="G28748"/>
      <c r="I28748"/>
      <c r="N28748"/>
      <c r="O28748" s="24"/>
      <c r="P28748"/>
      <c r="Q28748" s="24"/>
      <c r="R28748"/>
      <c r="S28748"/>
      <c r="T28748"/>
      <c r="U28748"/>
      <c r="X28748" s="60"/>
    </row>
    <row r="28749" spans="7:24" ht="15" customHeight="1">
      <c r="G28749"/>
      <c r="I28749"/>
      <c r="N28749"/>
      <c r="O28749" s="24"/>
      <c r="P28749"/>
      <c r="Q28749" s="24"/>
      <c r="R28749"/>
      <c r="S28749"/>
      <c r="T28749"/>
      <c r="U28749"/>
      <c r="X28749" s="60"/>
    </row>
    <row r="28750" spans="7:24" ht="15" customHeight="1">
      <c r="G28750"/>
      <c r="I28750"/>
      <c r="N28750"/>
      <c r="O28750" s="24"/>
      <c r="P28750"/>
      <c r="Q28750" s="24"/>
      <c r="R28750"/>
      <c r="S28750"/>
      <c r="T28750"/>
      <c r="U28750"/>
      <c r="X28750" s="60"/>
    </row>
    <row r="28751" spans="7:24" ht="15" customHeight="1">
      <c r="G28751"/>
      <c r="I28751"/>
      <c r="N28751"/>
      <c r="O28751" s="24"/>
      <c r="P28751"/>
      <c r="Q28751" s="24"/>
      <c r="R28751"/>
      <c r="S28751"/>
      <c r="T28751"/>
      <c r="U28751"/>
      <c r="X28751" s="60"/>
    </row>
    <row r="28752" spans="7:24" ht="15" customHeight="1">
      <c r="G28752"/>
      <c r="I28752"/>
      <c r="N28752"/>
      <c r="O28752" s="24"/>
      <c r="P28752"/>
      <c r="Q28752" s="24"/>
      <c r="R28752"/>
      <c r="S28752"/>
      <c r="T28752"/>
      <c r="U28752"/>
      <c r="X28752" s="60"/>
    </row>
    <row r="28753" spans="7:24" ht="15" customHeight="1">
      <c r="G28753"/>
      <c r="I28753"/>
      <c r="N28753"/>
      <c r="O28753" s="24"/>
      <c r="P28753"/>
      <c r="Q28753" s="24"/>
      <c r="R28753"/>
      <c r="S28753"/>
      <c r="T28753"/>
      <c r="U28753"/>
      <c r="X28753" s="60"/>
    </row>
    <row r="28754" spans="7:24" ht="15" customHeight="1">
      <c r="G28754"/>
      <c r="I28754"/>
      <c r="N28754"/>
      <c r="O28754" s="24"/>
      <c r="P28754"/>
      <c r="Q28754" s="24"/>
      <c r="R28754"/>
      <c r="S28754"/>
      <c r="T28754"/>
      <c r="U28754"/>
      <c r="X28754" s="60"/>
    </row>
    <row r="28755" spans="7:24" ht="15" customHeight="1">
      <c r="G28755"/>
      <c r="I28755"/>
      <c r="N28755"/>
      <c r="O28755" s="24"/>
      <c r="P28755"/>
      <c r="Q28755" s="24"/>
      <c r="R28755"/>
      <c r="S28755"/>
      <c r="T28755"/>
      <c r="U28755"/>
      <c r="X28755" s="60"/>
    </row>
    <row r="28756" spans="7:24" ht="15" customHeight="1">
      <c r="G28756"/>
      <c r="I28756"/>
      <c r="N28756"/>
      <c r="O28756" s="24"/>
      <c r="P28756"/>
      <c r="Q28756" s="24"/>
      <c r="R28756"/>
      <c r="S28756"/>
      <c r="T28756"/>
      <c r="U28756"/>
      <c r="X28756" s="60"/>
    </row>
    <row r="28757" spans="7:24" ht="15" customHeight="1">
      <c r="G28757"/>
      <c r="I28757"/>
      <c r="N28757"/>
      <c r="O28757" s="24"/>
      <c r="P28757"/>
      <c r="Q28757" s="24"/>
      <c r="R28757"/>
      <c r="S28757"/>
      <c r="T28757"/>
      <c r="U28757"/>
      <c r="X28757" s="60"/>
    </row>
    <row r="28758" spans="7:24" ht="15" customHeight="1">
      <c r="G28758"/>
      <c r="I28758"/>
      <c r="N28758"/>
      <c r="O28758" s="24"/>
      <c r="P28758"/>
      <c r="Q28758" s="24"/>
      <c r="R28758"/>
      <c r="S28758"/>
      <c r="T28758"/>
      <c r="U28758"/>
      <c r="X28758" s="60"/>
    </row>
    <row r="28759" spans="7:24" ht="15" customHeight="1">
      <c r="G28759"/>
      <c r="I28759"/>
      <c r="N28759"/>
      <c r="O28759" s="24"/>
      <c r="P28759"/>
      <c r="Q28759" s="24"/>
      <c r="R28759"/>
      <c r="S28759"/>
      <c r="T28759"/>
      <c r="U28759"/>
      <c r="X28759" s="60"/>
    </row>
    <row r="28760" spans="7:24" ht="15" customHeight="1">
      <c r="G28760"/>
      <c r="I28760"/>
      <c r="N28760"/>
      <c r="O28760" s="24"/>
      <c r="P28760"/>
      <c r="Q28760" s="24"/>
      <c r="R28760"/>
      <c r="S28760"/>
      <c r="T28760"/>
      <c r="U28760"/>
      <c r="X28760" s="60"/>
    </row>
    <row r="28761" spans="7:24" ht="15" customHeight="1">
      <c r="G28761"/>
      <c r="I28761"/>
      <c r="N28761"/>
      <c r="O28761" s="24"/>
      <c r="P28761"/>
      <c r="Q28761" s="24"/>
      <c r="R28761"/>
      <c r="S28761"/>
      <c r="T28761"/>
      <c r="U28761"/>
      <c r="X28761" s="60"/>
    </row>
    <row r="28762" spans="7:24" ht="15" customHeight="1">
      <c r="G28762"/>
      <c r="I28762"/>
      <c r="N28762"/>
      <c r="O28762" s="24"/>
      <c r="P28762"/>
      <c r="Q28762" s="24"/>
      <c r="R28762"/>
      <c r="S28762"/>
      <c r="T28762"/>
      <c r="U28762"/>
      <c r="X28762" s="60"/>
    </row>
    <row r="28763" spans="7:24" ht="15" customHeight="1">
      <c r="G28763"/>
      <c r="I28763"/>
      <c r="N28763"/>
      <c r="O28763" s="24"/>
      <c r="P28763"/>
      <c r="Q28763" s="24"/>
      <c r="R28763"/>
      <c r="S28763"/>
      <c r="T28763"/>
      <c r="U28763"/>
      <c r="X28763" s="60"/>
    </row>
    <row r="28764" spans="7:24" ht="15" customHeight="1">
      <c r="G28764"/>
      <c r="I28764"/>
      <c r="N28764"/>
      <c r="O28764" s="24"/>
      <c r="P28764"/>
      <c r="Q28764" s="24"/>
      <c r="R28764"/>
      <c r="S28764"/>
      <c r="T28764"/>
      <c r="U28764"/>
      <c r="X28764" s="60"/>
    </row>
    <row r="28765" spans="7:24" ht="15" customHeight="1">
      <c r="G28765"/>
      <c r="I28765"/>
      <c r="N28765"/>
      <c r="O28765" s="24"/>
      <c r="P28765"/>
      <c r="Q28765" s="24"/>
      <c r="R28765"/>
      <c r="S28765"/>
      <c r="T28765"/>
      <c r="U28765"/>
      <c r="X28765" s="60"/>
    </row>
    <row r="28766" spans="7:24" ht="15" customHeight="1">
      <c r="G28766"/>
      <c r="I28766"/>
      <c r="N28766"/>
      <c r="O28766" s="24"/>
      <c r="P28766"/>
      <c r="Q28766" s="24"/>
      <c r="R28766"/>
      <c r="S28766"/>
      <c r="T28766"/>
      <c r="U28766"/>
      <c r="X28766" s="60"/>
    </row>
    <row r="28767" spans="7:24" ht="15" customHeight="1">
      <c r="G28767"/>
      <c r="I28767"/>
      <c r="N28767"/>
      <c r="O28767" s="24"/>
      <c r="P28767"/>
      <c r="Q28767" s="24"/>
      <c r="R28767"/>
      <c r="S28767"/>
      <c r="T28767"/>
      <c r="U28767"/>
      <c r="X28767" s="60"/>
    </row>
    <row r="28768" spans="7:24" ht="15" customHeight="1">
      <c r="G28768"/>
      <c r="I28768"/>
      <c r="N28768"/>
      <c r="O28768" s="24"/>
      <c r="P28768"/>
      <c r="Q28768" s="24"/>
      <c r="R28768"/>
      <c r="S28768"/>
      <c r="T28768"/>
      <c r="U28768"/>
      <c r="X28768" s="60"/>
    </row>
    <row r="28769" spans="7:24" ht="15" customHeight="1">
      <c r="G28769"/>
      <c r="I28769"/>
      <c r="N28769"/>
      <c r="O28769" s="24"/>
      <c r="P28769"/>
      <c r="Q28769" s="24"/>
      <c r="R28769"/>
      <c r="S28769"/>
      <c r="T28769"/>
      <c r="U28769"/>
      <c r="X28769" s="60"/>
    </row>
    <row r="28770" spans="7:24" ht="15" customHeight="1">
      <c r="G28770"/>
      <c r="I28770"/>
      <c r="N28770"/>
      <c r="O28770" s="24"/>
      <c r="P28770"/>
      <c r="Q28770" s="24"/>
      <c r="R28770"/>
      <c r="S28770"/>
      <c r="T28770"/>
      <c r="U28770"/>
      <c r="X28770" s="60"/>
    </row>
    <row r="28771" spans="7:24" ht="15" customHeight="1">
      <c r="G28771"/>
      <c r="I28771"/>
      <c r="N28771"/>
      <c r="O28771" s="24"/>
      <c r="P28771"/>
      <c r="Q28771" s="24"/>
      <c r="R28771"/>
      <c r="S28771"/>
      <c r="T28771"/>
      <c r="U28771"/>
      <c r="X28771" s="60"/>
    </row>
    <row r="28772" spans="7:24" ht="15" customHeight="1">
      <c r="G28772"/>
      <c r="I28772"/>
      <c r="N28772"/>
      <c r="O28772" s="24"/>
      <c r="P28772"/>
      <c r="Q28772" s="24"/>
      <c r="R28772"/>
      <c r="S28772"/>
      <c r="T28772"/>
      <c r="U28772"/>
      <c r="X28772" s="60"/>
    </row>
    <row r="28773" spans="7:24" ht="15" customHeight="1">
      <c r="G28773"/>
      <c r="I28773"/>
      <c r="N28773"/>
      <c r="O28773" s="24"/>
      <c r="P28773"/>
      <c r="Q28773" s="24"/>
      <c r="R28773"/>
      <c r="S28773"/>
      <c r="T28773"/>
      <c r="U28773"/>
      <c r="X28773" s="60"/>
    </row>
    <row r="28774" spans="7:24" ht="15" customHeight="1">
      <c r="G28774"/>
      <c r="I28774"/>
      <c r="N28774"/>
      <c r="O28774" s="24"/>
      <c r="P28774"/>
      <c r="Q28774" s="24"/>
      <c r="R28774"/>
      <c r="S28774"/>
      <c r="T28774"/>
      <c r="U28774"/>
      <c r="X28774" s="60"/>
    </row>
    <row r="28775" spans="7:24" ht="15" customHeight="1">
      <c r="G28775"/>
      <c r="I28775"/>
      <c r="N28775"/>
      <c r="O28775" s="24"/>
      <c r="P28775"/>
      <c r="Q28775" s="24"/>
      <c r="R28775"/>
      <c r="S28775"/>
      <c r="T28775"/>
      <c r="U28775"/>
      <c r="X28775" s="60"/>
    </row>
    <row r="28776" spans="7:24" ht="15" customHeight="1">
      <c r="G28776"/>
      <c r="I28776"/>
      <c r="N28776"/>
      <c r="O28776" s="24"/>
      <c r="P28776"/>
      <c r="Q28776" s="24"/>
      <c r="R28776"/>
      <c r="S28776"/>
      <c r="T28776"/>
      <c r="U28776"/>
      <c r="X28776" s="60"/>
    </row>
    <row r="28777" spans="7:24" ht="15" customHeight="1">
      <c r="G28777"/>
      <c r="I28777"/>
      <c r="N28777"/>
      <c r="O28777" s="24"/>
      <c r="P28777"/>
      <c r="Q28777" s="24"/>
      <c r="R28777"/>
      <c r="S28777"/>
      <c r="T28777"/>
      <c r="U28777"/>
      <c r="X28777" s="60"/>
    </row>
    <row r="28778" spans="7:24" ht="15" customHeight="1">
      <c r="G28778"/>
      <c r="I28778"/>
      <c r="N28778"/>
      <c r="O28778" s="24"/>
      <c r="P28778"/>
      <c r="Q28778" s="24"/>
      <c r="R28778"/>
      <c r="S28778"/>
      <c r="T28778"/>
      <c r="U28778"/>
      <c r="X28778" s="60"/>
    </row>
    <row r="28779" spans="7:24" ht="15" customHeight="1">
      <c r="G28779"/>
      <c r="I28779"/>
      <c r="N28779"/>
      <c r="O28779" s="24"/>
      <c r="P28779"/>
      <c r="Q28779" s="24"/>
      <c r="R28779"/>
      <c r="S28779"/>
      <c r="T28779"/>
      <c r="U28779"/>
      <c r="X28779" s="60"/>
    </row>
    <row r="28780" spans="7:24" ht="15" customHeight="1">
      <c r="G28780"/>
      <c r="I28780"/>
      <c r="N28780"/>
      <c r="O28780" s="24"/>
      <c r="P28780"/>
      <c r="Q28780" s="24"/>
      <c r="R28780"/>
      <c r="S28780"/>
      <c r="T28780"/>
      <c r="U28780"/>
      <c r="X28780" s="60"/>
    </row>
    <row r="28781" spans="7:24" ht="15" customHeight="1">
      <c r="G28781"/>
      <c r="I28781"/>
      <c r="N28781"/>
      <c r="O28781" s="24"/>
      <c r="P28781"/>
      <c r="Q28781" s="24"/>
      <c r="R28781"/>
      <c r="S28781"/>
      <c r="T28781"/>
      <c r="U28781"/>
      <c r="X28781" s="60"/>
    </row>
    <row r="28782" spans="7:24" ht="15" customHeight="1">
      <c r="G28782"/>
      <c r="I28782"/>
      <c r="N28782"/>
      <c r="O28782" s="24"/>
      <c r="P28782"/>
      <c r="Q28782" s="24"/>
      <c r="R28782"/>
      <c r="S28782"/>
      <c r="T28782"/>
      <c r="U28782"/>
      <c r="X28782" s="60"/>
    </row>
    <row r="28783" spans="7:24" ht="15" customHeight="1">
      <c r="G28783"/>
      <c r="I28783"/>
      <c r="N28783"/>
      <c r="O28783" s="24"/>
      <c r="P28783"/>
      <c r="Q28783" s="24"/>
      <c r="R28783"/>
      <c r="S28783"/>
      <c r="T28783"/>
      <c r="U28783"/>
      <c r="X28783" s="60"/>
    </row>
    <row r="28784" spans="7:24" ht="15" customHeight="1">
      <c r="G28784"/>
      <c r="I28784"/>
      <c r="N28784"/>
      <c r="O28784" s="24"/>
      <c r="P28784"/>
      <c r="Q28784" s="24"/>
      <c r="R28784"/>
      <c r="S28784"/>
      <c r="T28784"/>
      <c r="U28784"/>
      <c r="X28784" s="60"/>
    </row>
    <row r="28785" spans="7:24" ht="15" customHeight="1">
      <c r="G28785"/>
      <c r="I28785"/>
      <c r="N28785"/>
      <c r="O28785" s="24"/>
      <c r="P28785"/>
      <c r="Q28785" s="24"/>
      <c r="R28785"/>
      <c r="S28785"/>
      <c r="T28785"/>
      <c r="U28785"/>
      <c r="X28785" s="60"/>
    </row>
    <row r="28786" spans="7:24" ht="15" customHeight="1">
      <c r="G28786"/>
      <c r="I28786"/>
      <c r="N28786"/>
      <c r="O28786" s="24"/>
      <c r="P28786"/>
      <c r="Q28786" s="24"/>
      <c r="R28786"/>
      <c r="S28786"/>
      <c r="T28786"/>
      <c r="U28786"/>
      <c r="X28786" s="60"/>
    </row>
    <row r="28787" spans="7:24" ht="15" customHeight="1">
      <c r="G28787"/>
      <c r="I28787"/>
      <c r="N28787"/>
      <c r="O28787" s="24"/>
      <c r="P28787"/>
      <c r="Q28787" s="24"/>
      <c r="R28787"/>
      <c r="S28787"/>
      <c r="T28787"/>
      <c r="U28787"/>
      <c r="X28787" s="60"/>
    </row>
    <row r="28788" spans="7:24" ht="15" customHeight="1">
      <c r="G28788"/>
      <c r="I28788"/>
      <c r="N28788"/>
      <c r="O28788" s="24"/>
      <c r="P28788"/>
      <c r="Q28788" s="24"/>
      <c r="R28788"/>
      <c r="S28788"/>
      <c r="T28788"/>
      <c r="U28788"/>
      <c r="X28788" s="60"/>
    </row>
    <row r="28789" spans="7:24" ht="15" customHeight="1">
      <c r="G28789"/>
      <c r="I28789"/>
      <c r="N28789"/>
      <c r="O28789" s="24"/>
      <c r="P28789"/>
      <c r="Q28789" s="24"/>
      <c r="R28789"/>
      <c r="S28789"/>
      <c r="T28789"/>
      <c r="U28789"/>
      <c r="X28789" s="60"/>
    </row>
    <row r="28790" spans="7:24" ht="15" customHeight="1">
      <c r="G28790"/>
      <c r="I28790"/>
      <c r="N28790"/>
      <c r="O28790" s="24"/>
      <c r="P28790"/>
      <c r="Q28790" s="24"/>
      <c r="R28790"/>
      <c r="S28790"/>
      <c r="T28790"/>
      <c r="U28790"/>
      <c r="X28790" s="60"/>
    </row>
    <row r="28791" spans="7:24" ht="15" customHeight="1">
      <c r="G28791"/>
      <c r="I28791"/>
      <c r="N28791"/>
      <c r="O28791" s="24"/>
      <c r="P28791"/>
      <c r="Q28791" s="24"/>
      <c r="R28791"/>
      <c r="S28791"/>
      <c r="T28791"/>
      <c r="U28791"/>
      <c r="X28791" s="60"/>
    </row>
    <row r="28792" spans="7:24" ht="15" customHeight="1">
      <c r="G28792"/>
      <c r="I28792"/>
      <c r="N28792"/>
      <c r="O28792" s="24"/>
      <c r="P28792"/>
      <c r="Q28792" s="24"/>
      <c r="R28792"/>
      <c r="S28792"/>
      <c r="T28792"/>
      <c r="U28792"/>
      <c r="X28792" s="60"/>
    </row>
    <row r="28793" spans="7:24" ht="15" customHeight="1">
      <c r="G28793"/>
      <c r="I28793"/>
      <c r="N28793"/>
      <c r="O28793" s="24"/>
      <c r="P28793"/>
      <c r="Q28793" s="24"/>
      <c r="R28793"/>
      <c r="S28793"/>
      <c r="T28793"/>
      <c r="U28793"/>
      <c r="X28793" s="60"/>
    </row>
    <row r="28794" spans="7:24" ht="15" customHeight="1">
      <c r="G28794"/>
      <c r="I28794"/>
      <c r="N28794"/>
      <c r="O28794" s="24"/>
      <c r="P28794"/>
      <c r="Q28794" s="24"/>
      <c r="R28794"/>
      <c r="S28794"/>
      <c r="T28794"/>
      <c r="U28794"/>
      <c r="X28794" s="60"/>
    </row>
    <row r="28795" spans="7:24" ht="15" customHeight="1">
      <c r="G28795"/>
      <c r="I28795"/>
      <c r="N28795"/>
      <c r="O28795" s="24"/>
      <c r="P28795"/>
      <c r="Q28795" s="24"/>
      <c r="R28795"/>
      <c r="S28795"/>
      <c r="T28795"/>
      <c r="U28795"/>
      <c r="X28795" s="60"/>
    </row>
    <row r="28796" spans="7:24" ht="15" customHeight="1">
      <c r="G28796"/>
      <c r="I28796"/>
      <c r="N28796"/>
      <c r="O28796" s="24"/>
      <c r="P28796"/>
      <c r="Q28796" s="24"/>
      <c r="R28796"/>
      <c r="S28796"/>
      <c r="T28796"/>
      <c r="U28796"/>
      <c r="X28796" s="60"/>
    </row>
    <row r="28797" spans="7:24" ht="15" customHeight="1">
      <c r="G28797"/>
      <c r="I28797"/>
      <c r="N28797"/>
      <c r="O28797" s="24"/>
      <c r="P28797"/>
      <c r="Q28797" s="24"/>
      <c r="R28797"/>
      <c r="S28797"/>
      <c r="T28797"/>
      <c r="U28797"/>
      <c r="X28797" s="60"/>
    </row>
    <row r="28798" spans="7:24" ht="15" customHeight="1">
      <c r="G28798"/>
      <c r="I28798"/>
      <c r="N28798"/>
      <c r="O28798" s="24"/>
      <c r="P28798"/>
      <c r="Q28798" s="24"/>
      <c r="R28798"/>
      <c r="S28798"/>
      <c r="T28798"/>
      <c r="U28798"/>
      <c r="X28798" s="60"/>
    </row>
    <row r="28799" spans="7:24" ht="15" customHeight="1">
      <c r="G28799"/>
      <c r="I28799"/>
      <c r="N28799"/>
      <c r="O28799" s="24"/>
      <c r="P28799"/>
      <c r="Q28799" s="24"/>
      <c r="R28799"/>
      <c r="S28799"/>
      <c r="T28799"/>
      <c r="U28799"/>
      <c r="X28799" s="60"/>
    </row>
    <row r="28800" spans="7:24" ht="15" customHeight="1">
      <c r="G28800"/>
      <c r="I28800"/>
      <c r="N28800"/>
      <c r="O28800" s="24"/>
      <c r="P28800"/>
      <c r="Q28800" s="24"/>
      <c r="R28800"/>
      <c r="S28800"/>
      <c r="T28800"/>
      <c r="U28800"/>
      <c r="X28800" s="60"/>
    </row>
    <row r="28801" spans="7:24" ht="15" customHeight="1">
      <c r="G28801"/>
      <c r="I28801"/>
      <c r="N28801"/>
      <c r="O28801" s="24"/>
      <c r="P28801"/>
      <c r="Q28801" s="24"/>
      <c r="R28801"/>
      <c r="S28801"/>
      <c r="T28801"/>
      <c r="U28801"/>
      <c r="X28801" s="60"/>
    </row>
    <row r="28802" spans="7:24" ht="15" customHeight="1">
      <c r="G28802"/>
      <c r="I28802"/>
      <c r="N28802"/>
      <c r="O28802" s="24"/>
      <c r="P28802"/>
      <c r="Q28802" s="24"/>
      <c r="R28802"/>
      <c r="S28802"/>
      <c r="T28802"/>
      <c r="U28802"/>
      <c r="X28802" s="60"/>
    </row>
    <row r="28803" spans="7:24" ht="15" customHeight="1">
      <c r="G28803"/>
      <c r="I28803"/>
      <c r="N28803"/>
      <c r="O28803" s="24"/>
      <c r="P28803"/>
      <c r="Q28803" s="24"/>
      <c r="R28803"/>
      <c r="S28803"/>
      <c r="T28803"/>
      <c r="U28803"/>
      <c r="X28803" s="60"/>
    </row>
    <row r="28804" spans="7:24" ht="15" customHeight="1">
      <c r="G28804"/>
      <c r="I28804"/>
      <c r="N28804"/>
      <c r="O28804" s="24"/>
      <c r="P28804"/>
      <c r="Q28804" s="24"/>
      <c r="R28804"/>
      <c r="S28804"/>
      <c r="T28804"/>
      <c r="U28804"/>
      <c r="X28804" s="60"/>
    </row>
    <row r="28805" spans="7:24" ht="15" customHeight="1">
      <c r="G28805"/>
      <c r="I28805"/>
      <c r="N28805"/>
      <c r="O28805" s="24"/>
      <c r="P28805"/>
      <c r="Q28805" s="24"/>
      <c r="R28805"/>
      <c r="S28805"/>
      <c r="T28805"/>
      <c r="U28805"/>
      <c r="X28805" s="60"/>
    </row>
    <row r="28806" spans="7:24" ht="15" customHeight="1">
      <c r="G28806"/>
      <c r="I28806"/>
      <c r="N28806"/>
      <c r="O28806" s="24"/>
      <c r="P28806"/>
      <c r="Q28806" s="24"/>
      <c r="R28806"/>
      <c r="S28806"/>
      <c r="T28806"/>
      <c r="U28806"/>
      <c r="X28806" s="60"/>
    </row>
    <row r="28807" spans="7:24" ht="15" customHeight="1">
      <c r="G28807"/>
      <c r="I28807"/>
      <c r="N28807"/>
      <c r="O28807" s="24"/>
      <c r="P28807"/>
      <c r="Q28807" s="24"/>
      <c r="R28807"/>
      <c r="S28807"/>
      <c r="T28807"/>
      <c r="U28807"/>
      <c r="X28807" s="60"/>
    </row>
    <row r="28808" spans="7:24" ht="15" customHeight="1">
      <c r="G28808"/>
      <c r="I28808"/>
      <c r="N28808"/>
      <c r="O28808" s="24"/>
      <c r="P28808"/>
      <c r="Q28808" s="24"/>
      <c r="R28808"/>
      <c r="S28808"/>
      <c r="T28808"/>
      <c r="U28808"/>
      <c r="X28808" s="60"/>
    </row>
    <row r="28809" spans="7:24" ht="15" customHeight="1">
      <c r="G28809"/>
      <c r="I28809"/>
      <c r="N28809"/>
      <c r="O28809" s="24"/>
      <c r="P28809"/>
      <c r="Q28809" s="24"/>
      <c r="R28809"/>
      <c r="S28809"/>
      <c r="T28809"/>
      <c r="U28809"/>
      <c r="X28809" s="60"/>
    </row>
    <row r="28810" spans="7:24" ht="15" customHeight="1">
      <c r="G28810"/>
      <c r="I28810"/>
      <c r="N28810"/>
      <c r="O28810" s="24"/>
      <c r="P28810"/>
      <c r="Q28810" s="24"/>
      <c r="R28810"/>
      <c r="S28810"/>
      <c r="T28810"/>
      <c r="U28810"/>
      <c r="X28810" s="60"/>
    </row>
    <row r="28811" spans="7:24" ht="15" customHeight="1">
      <c r="G28811"/>
      <c r="I28811"/>
      <c r="N28811"/>
      <c r="O28811" s="24"/>
      <c r="P28811"/>
      <c r="Q28811" s="24"/>
      <c r="R28811"/>
      <c r="S28811"/>
      <c r="T28811"/>
      <c r="U28811"/>
      <c r="X28811" s="60"/>
    </row>
    <row r="28812" spans="7:24" ht="15" customHeight="1">
      <c r="G28812"/>
      <c r="I28812"/>
      <c r="N28812"/>
      <c r="O28812" s="24"/>
      <c r="P28812"/>
      <c r="Q28812" s="24"/>
      <c r="R28812"/>
      <c r="S28812"/>
      <c r="T28812"/>
      <c r="U28812"/>
      <c r="X28812" s="60"/>
    </row>
    <row r="28813" spans="7:24" ht="15" customHeight="1">
      <c r="G28813"/>
      <c r="I28813"/>
      <c r="N28813"/>
      <c r="O28813" s="24"/>
      <c r="P28813"/>
      <c r="Q28813" s="24"/>
      <c r="R28813"/>
      <c r="S28813"/>
      <c r="T28813"/>
      <c r="U28813"/>
      <c r="X28813" s="60"/>
    </row>
    <row r="28814" spans="7:24" ht="15" customHeight="1">
      <c r="G28814"/>
      <c r="I28814"/>
      <c r="N28814"/>
      <c r="O28814" s="24"/>
      <c r="P28814"/>
      <c r="Q28814" s="24"/>
      <c r="R28814"/>
      <c r="S28814"/>
      <c r="T28814"/>
      <c r="U28814"/>
      <c r="X28814" s="60"/>
    </row>
    <row r="28815" spans="7:24" ht="15" customHeight="1">
      <c r="G28815"/>
      <c r="I28815"/>
      <c r="N28815"/>
      <c r="O28815" s="24"/>
      <c r="P28815"/>
      <c r="Q28815" s="24"/>
      <c r="R28815"/>
      <c r="S28815"/>
      <c r="T28815"/>
      <c r="U28815"/>
      <c r="X28815" s="60"/>
    </row>
    <row r="28816" spans="7:24" ht="15" customHeight="1">
      <c r="G28816"/>
      <c r="I28816"/>
      <c r="N28816"/>
      <c r="O28816" s="24"/>
      <c r="P28816"/>
      <c r="Q28816" s="24"/>
      <c r="R28816"/>
      <c r="S28816"/>
      <c r="T28816"/>
      <c r="U28816"/>
      <c r="X28816" s="60"/>
    </row>
    <row r="28817" spans="7:24" ht="15" customHeight="1">
      <c r="G28817"/>
      <c r="I28817"/>
      <c r="N28817"/>
      <c r="O28817" s="24"/>
      <c r="P28817"/>
      <c r="Q28817" s="24"/>
      <c r="R28817"/>
      <c r="S28817"/>
      <c r="T28817"/>
      <c r="U28817"/>
      <c r="X28817" s="60"/>
    </row>
    <row r="28818" spans="7:24" ht="15" customHeight="1">
      <c r="G28818"/>
      <c r="I28818"/>
      <c r="N28818"/>
      <c r="O28818" s="24"/>
      <c r="P28818"/>
      <c r="Q28818" s="24"/>
      <c r="R28818"/>
      <c r="S28818"/>
      <c r="T28818"/>
      <c r="U28818"/>
      <c r="X28818" s="60"/>
    </row>
    <row r="28819" spans="7:24" ht="15" customHeight="1">
      <c r="G28819"/>
      <c r="I28819"/>
      <c r="N28819"/>
      <c r="O28819" s="24"/>
      <c r="P28819"/>
      <c r="Q28819" s="24"/>
      <c r="R28819"/>
      <c r="S28819"/>
      <c r="T28819"/>
      <c r="U28819"/>
      <c r="X28819" s="60"/>
    </row>
    <row r="28820" spans="7:24" ht="15" customHeight="1">
      <c r="G28820"/>
      <c r="I28820"/>
      <c r="N28820"/>
      <c r="O28820" s="24"/>
      <c r="P28820"/>
      <c r="Q28820" s="24"/>
      <c r="R28820"/>
      <c r="S28820"/>
      <c r="T28820"/>
      <c r="U28820"/>
      <c r="X28820" s="60"/>
    </row>
    <row r="28821" spans="7:24" ht="15" customHeight="1">
      <c r="G28821"/>
      <c r="I28821"/>
      <c r="N28821"/>
      <c r="O28821" s="24"/>
      <c r="P28821"/>
      <c r="Q28821" s="24"/>
      <c r="R28821"/>
      <c r="S28821"/>
      <c r="T28821"/>
      <c r="U28821"/>
      <c r="X28821" s="60"/>
    </row>
    <row r="28822" spans="7:24" ht="15" customHeight="1">
      <c r="G28822"/>
      <c r="I28822"/>
      <c r="N28822"/>
      <c r="O28822" s="24"/>
      <c r="P28822"/>
      <c r="Q28822" s="24"/>
      <c r="R28822"/>
      <c r="S28822"/>
      <c r="T28822"/>
      <c r="U28822"/>
      <c r="X28822" s="60"/>
    </row>
    <row r="28823" spans="7:24" ht="15" customHeight="1">
      <c r="G28823"/>
      <c r="I28823"/>
      <c r="N28823"/>
      <c r="O28823" s="24"/>
      <c r="P28823"/>
      <c r="Q28823" s="24"/>
      <c r="R28823"/>
      <c r="S28823"/>
      <c r="T28823"/>
      <c r="U28823"/>
      <c r="X28823" s="60"/>
    </row>
    <row r="28824" spans="7:24" ht="15" customHeight="1">
      <c r="G28824"/>
      <c r="I28824"/>
      <c r="N28824"/>
      <c r="O28824" s="24"/>
      <c r="P28824"/>
      <c r="Q28824" s="24"/>
      <c r="R28824"/>
      <c r="S28824"/>
      <c r="T28824"/>
      <c r="U28824"/>
      <c r="X28824" s="60"/>
    </row>
    <row r="28825" spans="7:24" ht="15" customHeight="1">
      <c r="G28825"/>
      <c r="I28825"/>
      <c r="N28825"/>
      <c r="O28825" s="24"/>
      <c r="P28825"/>
      <c r="Q28825" s="24"/>
      <c r="R28825"/>
      <c r="S28825"/>
      <c r="T28825"/>
      <c r="U28825"/>
      <c r="X28825" s="60"/>
    </row>
    <row r="28826" spans="7:24" ht="15" customHeight="1">
      <c r="G28826"/>
      <c r="I28826"/>
      <c r="N28826"/>
      <c r="O28826" s="24"/>
      <c r="P28826"/>
      <c r="Q28826" s="24"/>
      <c r="R28826"/>
      <c r="S28826"/>
      <c r="T28826"/>
      <c r="U28826"/>
      <c r="X28826" s="60"/>
    </row>
    <row r="28827" spans="7:24" ht="15" customHeight="1">
      <c r="G28827"/>
      <c r="I28827"/>
      <c r="N28827"/>
      <c r="O28827" s="24"/>
      <c r="P28827"/>
      <c r="Q28827" s="24"/>
      <c r="R28827"/>
      <c r="S28827"/>
      <c r="T28827"/>
      <c r="U28827"/>
      <c r="X28827" s="60"/>
    </row>
    <row r="28828" spans="7:24" ht="15" customHeight="1">
      <c r="G28828"/>
      <c r="I28828"/>
      <c r="N28828"/>
      <c r="O28828" s="24"/>
      <c r="P28828"/>
      <c r="Q28828" s="24"/>
      <c r="R28828"/>
      <c r="S28828"/>
      <c r="T28828"/>
      <c r="U28828"/>
      <c r="X28828" s="60"/>
    </row>
    <row r="28829" spans="7:24" ht="15" customHeight="1">
      <c r="G28829"/>
      <c r="I28829"/>
      <c r="N28829"/>
      <c r="O28829" s="24"/>
      <c r="P28829"/>
      <c r="Q28829" s="24"/>
      <c r="R28829"/>
      <c r="S28829"/>
      <c r="T28829"/>
      <c r="U28829"/>
      <c r="X28829" s="60"/>
    </row>
    <row r="28830" spans="7:24" ht="15" customHeight="1">
      <c r="G28830"/>
      <c r="I28830"/>
      <c r="N28830"/>
      <c r="O28830" s="24"/>
      <c r="P28830"/>
      <c r="Q28830" s="24"/>
      <c r="R28830"/>
      <c r="S28830"/>
      <c r="T28830"/>
      <c r="U28830"/>
      <c r="X28830" s="60"/>
    </row>
    <row r="28831" spans="7:24" ht="15" customHeight="1">
      <c r="G28831"/>
      <c r="I28831"/>
      <c r="N28831"/>
      <c r="O28831" s="24"/>
      <c r="P28831"/>
      <c r="Q28831" s="24"/>
      <c r="R28831"/>
      <c r="S28831"/>
      <c r="T28831"/>
      <c r="U28831"/>
      <c r="X28831" s="60"/>
    </row>
    <row r="28832" spans="7:24" ht="15" customHeight="1">
      <c r="G28832"/>
      <c r="I28832"/>
      <c r="N28832"/>
      <c r="O28832" s="24"/>
      <c r="P28832"/>
      <c r="Q28832" s="24"/>
      <c r="R28832"/>
      <c r="S28832"/>
      <c r="T28832"/>
      <c r="U28832"/>
      <c r="X28832" s="60"/>
    </row>
    <row r="28833" spans="7:24" ht="15" customHeight="1">
      <c r="G28833"/>
      <c r="I28833"/>
      <c r="N28833"/>
      <c r="O28833" s="24"/>
      <c r="P28833"/>
      <c r="Q28833" s="24"/>
      <c r="R28833"/>
      <c r="S28833"/>
      <c r="T28833"/>
      <c r="U28833"/>
      <c r="X28833" s="60"/>
    </row>
    <row r="28834" spans="7:24" ht="15" customHeight="1">
      <c r="G28834"/>
      <c r="I28834"/>
      <c r="N28834"/>
      <c r="O28834" s="24"/>
      <c r="P28834"/>
      <c r="Q28834" s="24"/>
      <c r="R28834"/>
      <c r="S28834"/>
      <c r="T28834"/>
      <c r="U28834"/>
      <c r="X28834" s="60"/>
    </row>
    <row r="28835" spans="7:24" ht="15" customHeight="1">
      <c r="G28835"/>
      <c r="I28835"/>
      <c r="N28835"/>
      <c r="O28835" s="24"/>
      <c r="P28835"/>
      <c r="Q28835" s="24"/>
      <c r="R28835"/>
      <c r="S28835"/>
      <c r="T28835"/>
      <c r="U28835"/>
      <c r="X28835" s="60"/>
    </row>
    <row r="28836" spans="7:24" ht="15" customHeight="1">
      <c r="G28836"/>
      <c r="I28836"/>
      <c r="N28836"/>
      <c r="O28836" s="24"/>
      <c r="P28836"/>
      <c r="Q28836" s="24"/>
      <c r="R28836"/>
      <c r="S28836"/>
      <c r="T28836"/>
      <c r="U28836"/>
      <c r="X28836" s="60"/>
    </row>
    <row r="28837" spans="7:24" ht="15" customHeight="1">
      <c r="G28837"/>
      <c r="I28837"/>
      <c r="N28837"/>
      <c r="O28837" s="24"/>
      <c r="P28837"/>
      <c r="Q28837" s="24"/>
      <c r="R28837"/>
      <c r="S28837"/>
      <c r="T28837"/>
      <c r="U28837"/>
      <c r="X28837" s="60"/>
    </row>
    <row r="28838" spans="7:24" ht="15" customHeight="1">
      <c r="G28838"/>
      <c r="I28838"/>
      <c r="N28838"/>
      <c r="O28838" s="24"/>
      <c r="P28838"/>
      <c r="Q28838" s="24"/>
      <c r="R28838"/>
      <c r="S28838"/>
      <c r="T28838"/>
      <c r="U28838"/>
      <c r="X28838" s="60"/>
    </row>
    <row r="28839" spans="7:24" ht="15" customHeight="1">
      <c r="G28839"/>
      <c r="I28839"/>
      <c r="N28839"/>
      <c r="O28839" s="24"/>
      <c r="P28839"/>
      <c r="Q28839" s="24"/>
      <c r="R28839"/>
      <c r="S28839"/>
      <c r="T28839"/>
      <c r="U28839"/>
      <c r="X28839" s="60"/>
    </row>
    <row r="28840" spans="7:24" ht="15" customHeight="1">
      <c r="G28840"/>
      <c r="I28840"/>
      <c r="N28840"/>
      <c r="O28840" s="24"/>
      <c r="P28840"/>
      <c r="Q28840" s="24"/>
      <c r="R28840"/>
      <c r="S28840"/>
      <c r="T28840"/>
      <c r="U28840"/>
      <c r="X28840" s="60"/>
    </row>
    <row r="28841" spans="7:24" ht="15" customHeight="1">
      <c r="G28841"/>
      <c r="I28841"/>
      <c r="N28841"/>
      <c r="O28841" s="24"/>
      <c r="P28841"/>
      <c r="Q28841" s="24"/>
      <c r="R28841"/>
      <c r="S28841"/>
      <c r="T28841"/>
      <c r="U28841"/>
      <c r="X28841" s="60"/>
    </row>
    <row r="28842" spans="7:24" ht="15" customHeight="1">
      <c r="G28842"/>
      <c r="I28842"/>
      <c r="N28842"/>
      <c r="O28842" s="24"/>
      <c r="P28842"/>
      <c r="Q28842" s="24"/>
      <c r="R28842"/>
      <c r="S28842"/>
      <c r="T28842"/>
      <c r="U28842"/>
      <c r="X28842" s="60"/>
    </row>
    <row r="28843" spans="7:24" ht="15" customHeight="1">
      <c r="G28843"/>
      <c r="I28843"/>
      <c r="N28843"/>
      <c r="O28843" s="24"/>
      <c r="P28843"/>
      <c r="Q28843" s="24"/>
      <c r="R28843"/>
      <c r="S28843"/>
      <c r="T28843"/>
      <c r="U28843"/>
      <c r="X28843" s="60"/>
    </row>
    <row r="28844" spans="7:24" ht="15" customHeight="1">
      <c r="G28844"/>
      <c r="I28844"/>
      <c r="N28844"/>
      <c r="O28844" s="24"/>
      <c r="P28844"/>
      <c r="Q28844" s="24"/>
      <c r="R28844"/>
      <c r="S28844"/>
      <c r="T28844"/>
      <c r="U28844"/>
      <c r="X28844" s="60"/>
    </row>
    <row r="28845" spans="7:24" ht="15" customHeight="1">
      <c r="G28845"/>
      <c r="I28845"/>
      <c r="N28845"/>
      <c r="O28845" s="24"/>
      <c r="P28845"/>
      <c r="Q28845" s="24"/>
      <c r="R28845"/>
      <c r="S28845"/>
      <c r="T28845"/>
      <c r="U28845"/>
      <c r="X28845" s="60"/>
    </row>
    <row r="28846" spans="7:24" ht="15" customHeight="1">
      <c r="G28846"/>
      <c r="I28846"/>
      <c r="N28846"/>
      <c r="O28846" s="24"/>
      <c r="P28846"/>
      <c r="Q28846" s="24"/>
      <c r="R28846"/>
      <c r="S28846"/>
      <c r="T28846"/>
      <c r="U28846"/>
      <c r="X28846" s="60"/>
    </row>
    <row r="28847" spans="7:24" ht="15" customHeight="1">
      <c r="G28847"/>
      <c r="I28847"/>
      <c r="N28847"/>
      <c r="O28847" s="24"/>
      <c r="P28847"/>
      <c r="Q28847" s="24"/>
      <c r="R28847"/>
      <c r="S28847"/>
      <c r="T28847"/>
      <c r="U28847"/>
      <c r="X28847" s="60"/>
    </row>
    <row r="28848" spans="7:24" ht="15" customHeight="1">
      <c r="G28848"/>
      <c r="I28848"/>
      <c r="N28848"/>
      <c r="O28848" s="24"/>
      <c r="P28848"/>
      <c r="Q28848" s="24"/>
      <c r="R28848"/>
      <c r="S28848"/>
      <c r="T28848"/>
      <c r="U28848"/>
      <c r="X28848" s="60"/>
    </row>
    <row r="28849" spans="7:24" ht="15" customHeight="1">
      <c r="G28849"/>
      <c r="I28849"/>
      <c r="N28849"/>
      <c r="O28849" s="24"/>
      <c r="P28849"/>
      <c r="Q28849" s="24"/>
      <c r="R28849"/>
      <c r="S28849"/>
      <c r="T28849"/>
      <c r="U28849"/>
      <c r="X28849" s="60"/>
    </row>
    <row r="28850" spans="7:24" ht="15" customHeight="1">
      <c r="G28850"/>
      <c r="I28850"/>
      <c r="N28850"/>
      <c r="O28850" s="24"/>
      <c r="P28850"/>
      <c r="Q28850" s="24"/>
      <c r="R28850"/>
      <c r="S28850"/>
      <c r="T28850"/>
      <c r="U28850"/>
      <c r="X28850" s="60"/>
    </row>
    <row r="28851" spans="7:24" ht="15" customHeight="1">
      <c r="G28851"/>
      <c r="I28851"/>
      <c r="N28851"/>
      <c r="O28851" s="24"/>
      <c r="P28851"/>
      <c r="Q28851" s="24"/>
      <c r="R28851"/>
      <c r="S28851"/>
      <c r="T28851"/>
      <c r="U28851"/>
      <c r="X28851" s="60"/>
    </row>
    <row r="28852" spans="7:24" ht="15" customHeight="1">
      <c r="G28852"/>
      <c r="I28852"/>
      <c r="N28852"/>
      <c r="O28852" s="24"/>
      <c r="P28852"/>
      <c r="Q28852" s="24"/>
      <c r="R28852"/>
      <c r="S28852"/>
      <c r="T28852"/>
      <c r="U28852"/>
      <c r="X28852" s="60"/>
    </row>
    <row r="28853" spans="7:24" ht="15" customHeight="1">
      <c r="G28853"/>
      <c r="I28853"/>
      <c r="N28853"/>
      <c r="O28853" s="24"/>
      <c r="P28853"/>
      <c r="Q28853" s="24"/>
      <c r="R28853"/>
      <c r="S28853"/>
      <c r="T28853"/>
      <c r="U28853"/>
      <c r="X28853" s="60"/>
    </row>
    <row r="28854" spans="7:24" ht="15" customHeight="1">
      <c r="G28854"/>
      <c r="I28854"/>
      <c r="N28854"/>
      <c r="O28854" s="24"/>
      <c r="P28854"/>
      <c r="Q28854" s="24"/>
      <c r="R28854"/>
      <c r="S28854"/>
      <c r="T28854"/>
      <c r="U28854"/>
      <c r="X28854" s="60"/>
    </row>
    <row r="28855" spans="7:24" ht="15" customHeight="1">
      <c r="G28855"/>
      <c r="I28855"/>
      <c r="N28855"/>
      <c r="O28855" s="24"/>
      <c r="P28855"/>
      <c r="Q28855" s="24"/>
      <c r="R28855"/>
      <c r="S28855"/>
      <c r="T28855"/>
      <c r="U28855"/>
      <c r="X28855" s="60"/>
    </row>
    <row r="28856" spans="7:24" ht="15" customHeight="1">
      <c r="G28856"/>
      <c r="I28856"/>
      <c r="N28856"/>
      <c r="O28856" s="24"/>
      <c r="P28856"/>
      <c r="Q28856" s="24"/>
      <c r="R28856"/>
      <c r="S28856"/>
      <c r="T28856"/>
      <c r="U28856"/>
      <c r="X28856" s="60"/>
    </row>
    <row r="28857" spans="7:24" ht="15" customHeight="1">
      <c r="G28857"/>
      <c r="I28857"/>
      <c r="N28857"/>
      <c r="O28857" s="24"/>
      <c r="P28857"/>
      <c r="Q28857" s="24"/>
      <c r="R28857"/>
      <c r="S28857"/>
      <c r="T28857"/>
      <c r="U28857"/>
      <c r="X28857" s="60"/>
    </row>
    <row r="28858" spans="7:24" ht="15" customHeight="1">
      <c r="G28858"/>
      <c r="I28858"/>
      <c r="N28858"/>
      <c r="O28858" s="24"/>
      <c r="P28858"/>
      <c r="Q28858" s="24"/>
      <c r="R28858"/>
      <c r="S28858"/>
      <c r="T28858"/>
      <c r="U28858"/>
      <c r="X28858" s="60"/>
    </row>
    <row r="28859" spans="7:24" ht="15" customHeight="1">
      <c r="G28859"/>
      <c r="I28859"/>
      <c r="N28859"/>
      <c r="O28859" s="24"/>
      <c r="P28859"/>
      <c r="Q28859" s="24"/>
      <c r="R28859"/>
      <c r="S28859"/>
      <c r="T28859"/>
      <c r="U28859"/>
      <c r="X28859" s="60"/>
    </row>
    <row r="28860" spans="7:24" ht="15" customHeight="1">
      <c r="G28860"/>
      <c r="I28860"/>
      <c r="N28860"/>
      <c r="O28860" s="24"/>
      <c r="P28860"/>
      <c r="Q28860" s="24"/>
      <c r="R28860"/>
      <c r="S28860"/>
      <c r="T28860"/>
      <c r="U28860"/>
      <c r="X28860" s="60"/>
    </row>
    <row r="28861" spans="7:24" ht="15" customHeight="1">
      <c r="G28861"/>
      <c r="I28861"/>
      <c r="N28861"/>
      <c r="O28861" s="24"/>
      <c r="P28861"/>
      <c r="Q28861" s="24"/>
      <c r="R28861"/>
      <c r="S28861"/>
      <c r="T28861"/>
      <c r="U28861"/>
      <c r="X28861" s="60"/>
    </row>
    <row r="28862" spans="7:24" ht="15" customHeight="1">
      <c r="G28862"/>
      <c r="I28862"/>
      <c r="N28862"/>
      <c r="O28862" s="24"/>
      <c r="P28862"/>
      <c r="Q28862" s="24"/>
      <c r="R28862"/>
      <c r="S28862"/>
      <c r="T28862"/>
      <c r="U28862"/>
      <c r="X28862" s="60"/>
    </row>
    <row r="28863" spans="7:24" ht="15" customHeight="1">
      <c r="G28863"/>
      <c r="I28863"/>
      <c r="N28863"/>
      <c r="O28863" s="24"/>
      <c r="P28863"/>
      <c r="Q28863" s="24"/>
      <c r="R28863"/>
      <c r="S28863"/>
      <c r="T28863"/>
      <c r="U28863"/>
      <c r="X28863" s="60"/>
    </row>
    <row r="28864" spans="7:24" ht="15" customHeight="1">
      <c r="G28864"/>
      <c r="I28864"/>
      <c r="N28864"/>
      <c r="O28864" s="24"/>
      <c r="P28864"/>
      <c r="Q28864" s="24"/>
      <c r="R28864"/>
      <c r="S28864"/>
      <c r="T28864"/>
      <c r="U28864"/>
      <c r="X28864" s="60"/>
    </row>
    <row r="28865" spans="7:24" ht="15" customHeight="1">
      <c r="G28865"/>
      <c r="I28865"/>
      <c r="N28865"/>
      <c r="O28865" s="24"/>
      <c r="P28865"/>
      <c r="Q28865" s="24"/>
      <c r="R28865"/>
      <c r="S28865"/>
      <c r="T28865"/>
      <c r="U28865"/>
      <c r="X28865" s="60"/>
    </row>
    <row r="28866" spans="7:24" ht="15" customHeight="1">
      <c r="G28866"/>
      <c r="I28866"/>
      <c r="N28866"/>
      <c r="O28866" s="24"/>
      <c r="P28866"/>
      <c r="Q28866" s="24"/>
      <c r="R28866"/>
      <c r="S28866"/>
      <c r="T28866"/>
      <c r="U28866"/>
      <c r="X28866" s="60"/>
    </row>
    <row r="28867" spans="7:24" ht="15" customHeight="1">
      <c r="G28867"/>
      <c r="I28867"/>
      <c r="N28867"/>
      <c r="O28867" s="24"/>
      <c r="P28867"/>
      <c r="Q28867" s="24"/>
      <c r="R28867"/>
      <c r="S28867"/>
      <c r="T28867"/>
      <c r="U28867"/>
      <c r="X28867" s="60"/>
    </row>
    <row r="28868" spans="7:24" ht="15" customHeight="1">
      <c r="G28868"/>
      <c r="I28868"/>
      <c r="N28868"/>
      <c r="O28868" s="24"/>
      <c r="P28868"/>
      <c r="Q28868" s="24"/>
      <c r="R28868"/>
      <c r="S28868"/>
      <c r="T28868"/>
      <c r="U28868"/>
      <c r="X28868" s="60"/>
    </row>
    <row r="28869" spans="7:24" ht="15" customHeight="1">
      <c r="G28869"/>
      <c r="I28869"/>
      <c r="N28869"/>
      <c r="O28869" s="24"/>
      <c r="P28869"/>
      <c r="Q28869" s="24"/>
      <c r="R28869"/>
      <c r="S28869"/>
      <c r="T28869"/>
      <c r="U28869"/>
      <c r="X28869" s="60"/>
    </row>
    <row r="28870" spans="7:24" ht="15" customHeight="1">
      <c r="G28870"/>
      <c r="I28870"/>
      <c r="N28870"/>
      <c r="O28870" s="24"/>
      <c r="P28870"/>
      <c r="Q28870" s="24"/>
      <c r="R28870"/>
      <c r="S28870"/>
      <c r="T28870"/>
      <c r="U28870"/>
      <c r="X28870" s="60"/>
    </row>
    <row r="28871" spans="7:24" ht="15" customHeight="1">
      <c r="G28871"/>
      <c r="I28871"/>
      <c r="N28871"/>
      <c r="O28871" s="24"/>
      <c r="P28871"/>
      <c r="Q28871" s="24"/>
      <c r="R28871"/>
      <c r="S28871"/>
      <c r="T28871"/>
      <c r="U28871"/>
      <c r="X28871" s="60"/>
    </row>
    <row r="28872" spans="7:24" ht="15" customHeight="1">
      <c r="G28872"/>
      <c r="I28872"/>
      <c r="N28872"/>
      <c r="O28872" s="24"/>
      <c r="P28872"/>
      <c r="Q28872" s="24"/>
      <c r="R28872"/>
      <c r="S28872"/>
      <c r="T28872"/>
      <c r="U28872"/>
      <c r="X28872" s="60"/>
    </row>
    <row r="28873" spans="7:24" ht="15" customHeight="1">
      <c r="G28873"/>
      <c r="I28873"/>
      <c r="N28873"/>
      <c r="O28873" s="24"/>
      <c r="P28873"/>
      <c r="Q28873" s="24"/>
      <c r="R28873"/>
      <c r="S28873"/>
      <c r="T28873"/>
      <c r="U28873"/>
      <c r="X28873" s="60"/>
    </row>
    <row r="28874" spans="7:24" ht="15" customHeight="1">
      <c r="G28874"/>
      <c r="I28874"/>
      <c r="N28874"/>
      <c r="O28874" s="24"/>
      <c r="P28874"/>
      <c r="Q28874" s="24"/>
      <c r="R28874"/>
      <c r="S28874"/>
      <c r="T28874"/>
      <c r="U28874"/>
      <c r="X28874" s="60"/>
    </row>
    <row r="28875" spans="7:24" ht="15" customHeight="1">
      <c r="G28875"/>
      <c r="I28875"/>
      <c r="N28875"/>
      <c r="O28875" s="24"/>
      <c r="P28875"/>
      <c r="Q28875" s="24"/>
      <c r="R28875"/>
      <c r="S28875"/>
      <c r="T28875"/>
      <c r="U28875"/>
      <c r="X28875" s="60"/>
    </row>
    <row r="28876" spans="7:24" ht="15" customHeight="1">
      <c r="G28876"/>
      <c r="I28876"/>
      <c r="N28876"/>
      <c r="O28876" s="24"/>
      <c r="P28876"/>
      <c r="Q28876" s="24"/>
      <c r="R28876"/>
      <c r="S28876"/>
      <c r="T28876"/>
      <c r="U28876"/>
      <c r="X28876" s="60"/>
    </row>
    <row r="28877" spans="7:24" ht="15" customHeight="1">
      <c r="G28877"/>
      <c r="I28877"/>
      <c r="N28877"/>
      <c r="O28877" s="24"/>
      <c r="P28877"/>
      <c r="Q28877" s="24"/>
      <c r="R28877"/>
      <c r="S28877"/>
      <c r="T28877"/>
      <c r="U28877"/>
      <c r="X28877" s="60"/>
    </row>
    <row r="28878" spans="7:24" ht="15" customHeight="1">
      <c r="G28878"/>
      <c r="I28878"/>
      <c r="N28878"/>
      <c r="O28878" s="24"/>
      <c r="P28878"/>
      <c r="Q28878" s="24"/>
      <c r="R28878"/>
      <c r="S28878"/>
      <c r="T28878"/>
      <c r="U28878"/>
      <c r="X28878" s="60"/>
    </row>
    <row r="28879" spans="7:24" ht="15" customHeight="1">
      <c r="G28879"/>
      <c r="I28879"/>
      <c r="N28879"/>
      <c r="O28879" s="24"/>
      <c r="P28879"/>
      <c r="Q28879" s="24"/>
      <c r="R28879"/>
      <c r="S28879"/>
      <c r="T28879"/>
      <c r="U28879"/>
      <c r="X28879" s="60"/>
    </row>
    <row r="28880" spans="7:24" ht="15" customHeight="1">
      <c r="G28880"/>
      <c r="I28880"/>
      <c r="N28880"/>
      <c r="O28880" s="24"/>
      <c r="P28880"/>
      <c r="Q28880" s="24"/>
      <c r="R28880"/>
      <c r="S28880"/>
      <c r="T28880"/>
      <c r="U28880"/>
      <c r="X28880" s="60"/>
    </row>
    <row r="28881" spans="7:24" ht="15" customHeight="1">
      <c r="G28881"/>
      <c r="I28881"/>
      <c r="N28881"/>
      <c r="O28881" s="24"/>
      <c r="P28881"/>
      <c r="Q28881" s="24"/>
      <c r="R28881"/>
      <c r="S28881"/>
      <c r="T28881"/>
      <c r="U28881"/>
      <c r="X28881" s="60"/>
    </row>
    <row r="28882" spans="7:24" ht="15" customHeight="1">
      <c r="G28882"/>
      <c r="I28882"/>
      <c r="N28882"/>
      <c r="O28882" s="24"/>
      <c r="P28882"/>
      <c r="Q28882" s="24"/>
      <c r="R28882"/>
      <c r="S28882"/>
      <c r="T28882"/>
      <c r="U28882"/>
      <c r="X28882" s="60"/>
    </row>
    <row r="28883" spans="7:24" ht="15" customHeight="1">
      <c r="G28883"/>
      <c r="I28883"/>
      <c r="N28883"/>
      <c r="O28883" s="24"/>
      <c r="P28883"/>
      <c r="Q28883" s="24"/>
      <c r="R28883"/>
      <c r="S28883"/>
      <c r="T28883"/>
      <c r="U28883"/>
      <c r="X28883" s="60"/>
    </row>
    <row r="28884" spans="7:24" ht="15" customHeight="1">
      <c r="G28884"/>
      <c r="I28884"/>
      <c r="N28884"/>
      <c r="O28884" s="24"/>
      <c r="P28884"/>
      <c r="Q28884" s="24"/>
      <c r="R28884"/>
      <c r="S28884"/>
      <c r="T28884"/>
      <c r="U28884"/>
      <c r="X28884" s="60"/>
    </row>
    <row r="28885" spans="7:24" ht="15" customHeight="1">
      <c r="G28885"/>
      <c r="I28885"/>
      <c r="N28885"/>
      <c r="O28885" s="24"/>
      <c r="P28885"/>
      <c r="Q28885" s="24"/>
      <c r="R28885"/>
      <c r="S28885"/>
      <c r="T28885"/>
      <c r="U28885"/>
      <c r="X28885" s="60"/>
    </row>
    <row r="28886" spans="7:24" ht="15" customHeight="1">
      <c r="G28886"/>
      <c r="I28886"/>
      <c r="N28886"/>
      <c r="O28886" s="24"/>
      <c r="P28886"/>
      <c r="Q28886" s="24"/>
      <c r="R28886"/>
      <c r="S28886"/>
      <c r="T28886"/>
      <c r="U28886"/>
      <c r="X28886" s="60"/>
    </row>
    <row r="28887" spans="7:24" ht="15" customHeight="1">
      <c r="G28887"/>
      <c r="I28887"/>
      <c r="N28887"/>
      <c r="O28887" s="24"/>
      <c r="P28887"/>
      <c r="Q28887" s="24"/>
      <c r="R28887"/>
      <c r="S28887"/>
      <c r="T28887"/>
      <c r="U28887"/>
      <c r="X28887" s="60"/>
    </row>
    <row r="28888" spans="7:24" ht="15" customHeight="1">
      <c r="G28888"/>
      <c r="I28888"/>
      <c r="N28888"/>
      <c r="O28888" s="24"/>
      <c r="P28888"/>
      <c r="Q28888" s="24"/>
      <c r="R28888"/>
      <c r="S28888"/>
      <c r="T28888"/>
      <c r="U28888"/>
      <c r="X28888" s="60"/>
    </row>
    <row r="28889" spans="7:24" ht="15" customHeight="1">
      <c r="G28889"/>
      <c r="I28889"/>
      <c r="N28889"/>
      <c r="O28889" s="24"/>
      <c r="P28889"/>
      <c r="Q28889" s="24"/>
      <c r="R28889"/>
      <c r="S28889"/>
      <c r="T28889"/>
      <c r="U28889"/>
      <c r="X28889" s="60"/>
    </row>
    <row r="28890" spans="7:24" ht="15" customHeight="1">
      <c r="G28890"/>
      <c r="I28890"/>
      <c r="N28890"/>
      <c r="O28890" s="24"/>
      <c r="P28890"/>
      <c r="Q28890" s="24"/>
      <c r="R28890"/>
      <c r="S28890"/>
      <c r="T28890"/>
      <c r="U28890"/>
      <c r="X28890" s="60"/>
    </row>
    <row r="28891" spans="7:24" ht="15" customHeight="1">
      <c r="G28891"/>
      <c r="I28891"/>
      <c r="N28891"/>
      <c r="O28891" s="24"/>
      <c r="P28891"/>
      <c r="Q28891" s="24"/>
      <c r="R28891"/>
      <c r="S28891"/>
      <c r="T28891"/>
      <c r="U28891"/>
      <c r="X28891" s="60"/>
    </row>
    <row r="28892" spans="7:24" ht="15" customHeight="1">
      <c r="G28892"/>
      <c r="I28892"/>
      <c r="N28892"/>
      <c r="O28892" s="24"/>
      <c r="P28892"/>
      <c r="Q28892" s="24"/>
      <c r="R28892"/>
      <c r="S28892"/>
      <c r="T28892"/>
      <c r="U28892"/>
      <c r="X28892" s="60"/>
    </row>
    <row r="28893" spans="7:24" ht="15" customHeight="1">
      <c r="G28893"/>
      <c r="I28893"/>
      <c r="N28893"/>
      <c r="O28893" s="24"/>
      <c r="P28893"/>
      <c r="Q28893" s="24"/>
      <c r="R28893"/>
      <c r="S28893"/>
      <c r="T28893"/>
      <c r="U28893"/>
      <c r="X28893" s="60"/>
    </row>
    <row r="28894" spans="7:24" ht="15" customHeight="1">
      <c r="G28894"/>
      <c r="I28894"/>
      <c r="N28894"/>
      <c r="O28894" s="24"/>
      <c r="P28894"/>
      <c r="Q28894" s="24"/>
      <c r="R28894"/>
      <c r="S28894"/>
      <c r="T28894"/>
      <c r="U28894"/>
      <c r="X28894" s="60"/>
    </row>
    <row r="28895" spans="7:24" ht="15" customHeight="1">
      <c r="G28895"/>
      <c r="I28895"/>
      <c r="N28895"/>
      <c r="O28895" s="24"/>
      <c r="P28895"/>
      <c r="Q28895" s="24"/>
      <c r="R28895"/>
      <c r="S28895"/>
      <c r="T28895"/>
      <c r="U28895"/>
      <c r="X28895" s="60"/>
    </row>
    <row r="28896" spans="7:24" ht="15" customHeight="1">
      <c r="G28896"/>
      <c r="I28896"/>
      <c r="N28896"/>
      <c r="O28896" s="24"/>
      <c r="P28896"/>
      <c r="Q28896" s="24"/>
      <c r="R28896"/>
      <c r="S28896"/>
      <c r="T28896"/>
      <c r="U28896"/>
      <c r="X28896" s="60"/>
    </row>
    <row r="28897" spans="7:24" ht="15" customHeight="1">
      <c r="G28897"/>
      <c r="I28897"/>
      <c r="N28897"/>
      <c r="O28897" s="24"/>
      <c r="P28897"/>
      <c r="Q28897" s="24"/>
      <c r="R28897"/>
      <c r="S28897"/>
      <c r="T28897"/>
      <c r="U28897"/>
      <c r="X28897" s="60"/>
    </row>
    <row r="28898" spans="7:24" ht="15" customHeight="1">
      <c r="G28898"/>
      <c r="I28898"/>
      <c r="N28898"/>
      <c r="O28898" s="24"/>
      <c r="P28898"/>
      <c r="Q28898" s="24"/>
      <c r="R28898"/>
      <c r="S28898"/>
      <c r="T28898"/>
      <c r="U28898"/>
      <c r="X28898" s="60"/>
    </row>
    <row r="28899" spans="7:24" ht="15" customHeight="1">
      <c r="G28899"/>
      <c r="I28899"/>
      <c r="N28899"/>
      <c r="O28899" s="24"/>
      <c r="P28899"/>
      <c r="Q28899" s="24"/>
      <c r="R28899"/>
      <c r="S28899"/>
      <c r="T28899"/>
      <c r="U28899"/>
      <c r="X28899" s="60"/>
    </row>
    <row r="28900" spans="7:24" ht="15" customHeight="1">
      <c r="G28900"/>
      <c r="I28900"/>
      <c r="N28900"/>
      <c r="O28900" s="24"/>
      <c r="P28900"/>
      <c r="Q28900" s="24"/>
      <c r="R28900"/>
      <c r="S28900"/>
      <c r="T28900"/>
      <c r="U28900"/>
      <c r="X28900" s="60"/>
    </row>
    <row r="28901" spans="7:24" ht="15" customHeight="1">
      <c r="G28901"/>
      <c r="I28901"/>
      <c r="N28901"/>
      <c r="O28901" s="24"/>
      <c r="P28901"/>
      <c r="Q28901" s="24"/>
      <c r="R28901"/>
      <c r="S28901"/>
      <c r="T28901"/>
      <c r="U28901"/>
      <c r="X28901" s="60"/>
    </row>
    <row r="28902" spans="7:24" ht="15" customHeight="1">
      <c r="G28902"/>
      <c r="I28902"/>
      <c r="N28902"/>
      <c r="O28902" s="24"/>
      <c r="P28902"/>
      <c r="Q28902" s="24"/>
      <c r="R28902"/>
      <c r="S28902"/>
      <c r="T28902"/>
      <c r="U28902"/>
      <c r="X28902" s="60"/>
    </row>
    <row r="28903" spans="7:24" ht="15" customHeight="1">
      <c r="G28903"/>
      <c r="I28903"/>
      <c r="N28903"/>
      <c r="O28903" s="24"/>
      <c r="P28903"/>
      <c r="Q28903" s="24"/>
      <c r="R28903"/>
      <c r="S28903"/>
      <c r="T28903"/>
      <c r="U28903"/>
      <c r="X28903" s="60"/>
    </row>
    <row r="28904" spans="7:24" ht="15" customHeight="1">
      <c r="G28904"/>
      <c r="I28904"/>
      <c r="N28904"/>
      <c r="O28904" s="24"/>
      <c r="P28904"/>
      <c r="Q28904" s="24"/>
      <c r="R28904"/>
      <c r="S28904"/>
      <c r="T28904"/>
      <c r="U28904"/>
      <c r="X28904" s="60"/>
    </row>
    <row r="28905" spans="7:24" ht="15" customHeight="1">
      <c r="G28905"/>
      <c r="I28905"/>
      <c r="N28905"/>
      <c r="O28905" s="24"/>
      <c r="P28905"/>
      <c r="Q28905" s="24"/>
      <c r="R28905"/>
      <c r="S28905"/>
      <c r="T28905"/>
      <c r="U28905"/>
      <c r="X28905" s="60"/>
    </row>
    <row r="28906" spans="7:24" ht="15" customHeight="1">
      <c r="G28906"/>
      <c r="I28906"/>
      <c r="N28906"/>
      <c r="O28906" s="24"/>
      <c r="P28906"/>
      <c r="Q28906" s="24"/>
      <c r="R28906"/>
      <c r="S28906"/>
      <c r="T28906"/>
      <c r="U28906"/>
      <c r="X28906" s="60"/>
    </row>
    <row r="28907" spans="7:24" ht="15" customHeight="1">
      <c r="G28907"/>
      <c r="I28907"/>
      <c r="N28907"/>
      <c r="O28907" s="24"/>
      <c r="P28907"/>
      <c r="Q28907" s="24"/>
      <c r="R28907"/>
      <c r="S28907"/>
      <c r="T28907"/>
      <c r="U28907"/>
      <c r="X28907" s="60"/>
    </row>
    <row r="28908" spans="7:24" ht="15" customHeight="1">
      <c r="G28908"/>
      <c r="I28908"/>
      <c r="N28908"/>
      <c r="O28908" s="24"/>
      <c r="P28908"/>
      <c r="Q28908" s="24"/>
      <c r="R28908"/>
      <c r="S28908"/>
      <c r="T28908"/>
      <c r="U28908"/>
      <c r="X28908" s="60"/>
    </row>
    <row r="28909" spans="7:24" ht="15" customHeight="1">
      <c r="G28909"/>
      <c r="I28909"/>
      <c r="N28909"/>
      <c r="O28909" s="24"/>
      <c r="P28909"/>
      <c r="Q28909" s="24"/>
      <c r="R28909"/>
      <c r="S28909"/>
      <c r="T28909"/>
      <c r="U28909"/>
      <c r="X28909" s="60"/>
    </row>
    <row r="28910" spans="7:24" ht="15" customHeight="1">
      <c r="G28910"/>
      <c r="I28910"/>
      <c r="N28910"/>
      <c r="O28910" s="24"/>
      <c r="P28910"/>
      <c r="Q28910" s="24"/>
      <c r="R28910"/>
      <c r="S28910"/>
      <c r="T28910"/>
      <c r="U28910"/>
      <c r="X28910" s="60"/>
    </row>
    <row r="28911" spans="7:24" ht="15" customHeight="1">
      <c r="G28911"/>
      <c r="I28911"/>
      <c r="N28911"/>
      <c r="O28911" s="24"/>
      <c r="P28911"/>
      <c r="Q28911" s="24"/>
      <c r="R28911"/>
      <c r="S28911"/>
      <c r="T28911"/>
      <c r="U28911"/>
      <c r="X28911" s="60"/>
    </row>
    <row r="28912" spans="7:24" ht="15" customHeight="1">
      <c r="G28912"/>
      <c r="I28912"/>
      <c r="N28912"/>
      <c r="O28912" s="24"/>
      <c r="P28912"/>
      <c r="Q28912" s="24"/>
      <c r="R28912"/>
      <c r="S28912"/>
      <c r="T28912"/>
      <c r="U28912"/>
      <c r="X28912" s="60"/>
    </row>
    <row r="28913" spans="7:24" ht="15" customHeight="1">
      <c r="G28913"/>
      <c r="I28913"/>
      <c r="N28913"/>
      <c r="O28913" s="24"/>
      <c r="P28913"/>
      <c r="Q28913" s="24"/>
      <c r="R28913"/>
      <c r="S28913"/>
      <c r="T28913"/>
      <c r="U28913"/>
      <c r="X28913" s="60"/>
    </row>
    <row r="28914" spans="7:24" ht="15" customHeight="1">
      <c r="G28914"/>
      <c r="I28914"/>
      <c r="N28914"/>
      <c r="O28914" s="24"/>
      <c r="P28914"/>
      <c r="Q28914" s="24"/>
      <c r="R28914"/>
      <c r="S28914"/>
      <c r="T28914"/>
      <c r="U28914"/>
      <c r="X28914" s="60"/>
    </row>
    <row r="28915" spans="7:24" ht="15" customHeight="1">
      <c r="G28915"/>
      <c r="I28915"/>
      <c r="N28915"/>
      <c r="O28915" s="24"/>
      <c r="P28915"/>
      <c r="Q28915" s="24"/>
      <c r="R28915"/>
      <c r="S28915"/>
      <c r="T28915"/>
      <c r="U28915"/>
      <c r="X28915" s="60"/>
    </row>
    <row r="28916" spans="7:24" ht="15" customHeight="1">
      <c r="G28916"/>
      <c r="I28916"/>
      <c r="N28916"/>
      <c r="O28916" s="24"/>
      <c r="P28916"/>
      <c r="Q28916" s="24"/>
      <c r="R28916"/>
      <c r="S28916"/>
      <c r="T28916"/>
      <c r="U28916"/>
      <c r="X28916" s="60"/>
    </row>
    <row r="28917" spans="7:24" ht="15" customHeight="1">
      <c r="G28917"/>
      <c r="I28917"/>
      <c r="N28917"/>
      <c r="O28917" s="24"/>
      <c r="P28917"/>
      <c r="Q28917" s="24"/>
      <c r="R28917"/>
      <c r="S28917"/>
      <c r="T28917"/>
      <c r="U28917"/>
      <c r="X28917" s="60"/>
    </row>
    <row r="28918" spans="7:24" ht="15" customHeight="1">
      <c r="G28918"/>
      <c r="I28918"/>
      <c r="N28918"/>
      <c r="O28918" s="24"/>
      <c r="P28918"/>
      <c r="Q28918" s="24"/>
      <c r="R28918"/>
      <c r="S28918"/>
      <c r="T28918"/>
      <c r="U28918"/>
      <c r="X28918" s="60"/>
    </row>
    <row r="28919" spans="7:24" ht="15" customHeight="1">
      <c r="G28919"/>
      <c r="I28919"/>
      <c r="N28919"/>
      <c r="O28919" s="24"/>
      <c r="P28919"/>
      <c r="Q28919" s="24"/>
      <c r="R28919"/>
      <c r="S28919"/>
      <c r="T28919"/>
      <c r="U28919"/>
      <c r="X28919" s="60"/>
    </row>
    <row r="28920" spans="7:24" ht="15" customHeight="1">
      <c r="G28920"/>
      <c r="I28920"/>
      <c r="N28920"/>
      <c r="O28920" s="24"/>
      <c r="P28920"/>
      <c r="Q28920" s="24"/>
      <c r="R28920"/>
      <c r="S28920"/>
      <c r="T28920"/>
      <c r="U28920"/>
      <c r="X28920" s="60"/>
    </row>
    <row r="28921" spans="7:24" ht="15" customHeight="1">
      <c r="G28921"/>
      <c r="I28921"/>
      <c r="N28921"/>
      <c r="O28921" s="24"/>
      <c r="P28921"/>
      <c r="Q28921" s="24"/>
      <c r="R28921"/>
      <c r="S28921"/>
      <c r="T28921"/>
      <c r="U28921"/>
      <c r="X28921" s="60"/>
    </row>
    <row r="28922" spans="7:24" ht="15" customHeight="1">
      <c r="G28922"/>
      <c r="I28922"/>
      <c r="N28922"/>
      <c r="O28922" s="24"/>
      <c r="P28922"/>
      <c r="Q28922" s="24"/>
      <c r="R28922"/>
      <c r="S28922"/>
      <c r="T28922"/>
      <c r="U28922"/>
      <c r="X28922" s="60"/>
    </row>
    <row r="28923" spans="7:24" ht="15" customHeight="1">
      <c r="G28923"/>
      <c r="I28923"/>
      <c r="N28923"/>
      <c r="O28923" s="24"/>
      <c r="P28923"/>
      <c r="Q28923" s="24"/>
      <c r="R28923"/>
      <c r="S28923"/>
      <c r="T28923"/>
      <c r="U28923"/>
      <c r="X28923" s="60"/>
    </row>
    <row r="28924" spans="7:24" ht="15" customHeight="1">
      <c r="G28924"/>
      <c r="I28924"/>
      <c r="N28924"/>
      <c r="O28924" s="24"/>
      <c r="P28924"/>
      <c r="Q28924" s="24"/>
      <c r="R28924"/>
      <c r="S28924"/>
      <c r="T28924"/>
      <c r="U28924"/>
      <c r="X28924" s="60"/>
    </row>
    <row r="28925" spans="7:24" ht="15" customHeight="1">
      <c r="G28925"/>
      <c r="I28925"/>
      <c r="N28925"/>
      <c r="O28925" s="24"/>
      <c r="P28925"/>
      <c r="Q28925" s="24"/>
      <c r="R28925"/>
      <c r="S28925"/>
      <c r="T28925"/>
      <c r="U28925"/>
      <c r="X28925" s="60"/>
    </row>
    <row r="28926" spans="7:24" ht="15" customHeight="1">
      <c r="G28926"/>
      <c r="I28926"/>
      <c r="N28926"/>
      <c r="O28926" s="24"/>
      <c r="P28926"/>
      <c r="Q28926" s="24"/>
      <c r="R28926"/>
      <c r="S28926"/>
      <c r="T28926"/>
      <c r="U28926"/>
      <c r="X28926" s="60"/>
    </row>
    <row r="28927" spans="7:24" ht="15" customHeight="1">
      <c r="G28927"/>
      <c r="I28927"/>
      <c r="N28927"/>
      <c r="O28927" s="24"/>
      <c r="P28927"/>
      <c r="Q28927" s="24"/>
      <c r="R28927"/>
      <c r="S28927"/>
      <c r="T28927"/>
      <c r="U28927"/>
      <c r="X28927" s="60"/>
    </row>
    <row r="28928" spans="7:24" ht="15" customHeight="1">
      <c r="G28928"/>
      <c r="I28928"/>
      <c r="N28928"/>
      <c r="O28928" s="24"/>
      <c r="P28928"/>
      <c r="Q28928" s="24"/>
      <c r="R28928"/>
      <c r="S28928"/>
      <c r="T28928"/>
      <c r="U28928"/>
      <c r="X28928" s="60"/>
    </row>
    <row r="28929" spans="7:24" ht="15" customHeight="1">
      <c r="G28929"/>
      <c r="I28929"/>
      <c r="N28929"/>
      <c r="O28929" s="24"/>
      <c r="P28929"/>
      <c r="Q28929" s="24"/>
      <c r="R28929"/>
      <c r="S28929"/>
      <c r="T28929"/>
      <c r="U28929"/>
      <c r="X28929" s="60"/>
    </row>
    <row r="28930" spans="7:24" ht="15" customHeight="1">
      <c r="G28930"/>
      <c r="I28930"/>
      <c r="N28930"/>
      <c r="O28930" s="24"/>
      <c r="P28930"/>
      <c r="Q28930" s="24"/>
      <c r="R28930"/>
      <c r="S28930"/>
      <c r="T28930"/>
      <c r="U28930"/>
      <c r="X28930" s="60"/>
    </row>
    <row r="28931" spans="7:24" ht="15" customHeight="1">
      <c r="G28931"/>
      <c r="I28931"/>
      <c r="N28931"/>
      <c r="O28931" s="24"/>
      <c r="P28931"/>
      <c r="Q28931" s="24"/>
      <c r="R28931"/>
      <c r="S28931"/>
      <c r="T28931"/>
      <c r="U28931"/>
      <c r="X28931" s="60"/>
    </row>
    <row r="28932" spans="7:24" ht="15" customHeight="1">
      <c r="G28932"/>
      <c r="I28932"/>
      <c r="N28932"/>
      <c r="O28932" s="24"/>
      <c r="P28932"/>
      <c r="Q28932" s="24"/>
      <c r="R28932"/>
      <c r="S28932"/>
      <c r="T28932"/>
      <c r="U28932"/>
      <c r="X28932" s="60"/>
    </row>
    <row r="28933" spans="7:24" ht="15" customHeight="1">
      <c r="G28933"/>
      <c r="I28933"/>
      <c r="N28933"/>
      <c r="O28933" s="24"/>
      <c r="P28933"/>
      <c r="Q28933" s="24"/>
      <c r="R28933"/>
      <c r="S28933"/>
      <c r="T28933"/>
      <c r="U28933"/>
      <c r="X28933" s="60"/>
    </row>
    <row r="28934" spans="7:24" ht="15" customHeight="1">
      <c r="G28934"/>
      <c r="I28934"/>
      <c r="N28934"/>
      <c r="O28934" s="24"/>
      <c r="P28934"/>
      <c r="Q28934" s="24"/>
      <c r="R28934"/>
      <c r="S28934"/>
      <c r="T28934"/>
      <c r="U28934"/>
      <c r="X28934" s="60"/>
    </row>
    <row r="28935" spans="7:24" ht="15" customHeight="1">
      <c r="G28935"/>
      <c r="I28935"/>
      <c r="N28935"/>
      <c r="O28935" s="24"/>
      <c r="P28935"/>
      <c r="Q28935" s="24"/>
      <c r="R28935"/>
      <c r="S28935"/>
      <c r="T28935"/>
      <c r="U28935"/>
      <c r="X28935" s="60"/>
    </row>
    <row r="28936" spans="7:24" ht="15" customHeight="1">
      <c r="G28936"/>
      <c r="I28936"/>
      <c r="N28936"/>
      <c r="O28936" s="24"/>
      <c r="P28936"/>
      <c r="Q28936" s="24"/>
      <c r="R28936"/>
      <c r="S28936"/>
      <c r="T28936"/>
      <c r="U28936"/>
      <c r="X28936" s="60"/>
    </row>
    <row r="28937" spans="7:24" ht="15" customHeight="1">
      <c r="G28937"/>
      <c r="I28937"/>
      <c r="N28937"/>
      <c r="O28937" s="24"/>
      <c r="P28937"/>
      <c r="Q28937" s="24"/>
      <c r="R28937"/>
      <c r="S28937"/>
      <c r="T28937"/>
      <c r="U28937"/>
      <c r="X28937" s="60"/>
    </row>
    <row r="28938" spans="7:24" ht="15" customHeight="1">
      <c r="G28938"/>
      <c r="I28938"/>
      <c r="N28938"/>
      <c r="O28938" s="24"/>
      <c r="P28938"/>
      <c r="Q28938" s="24"/>
      <c r="R28938"/>
      <c r="S28938"/>
      <c r="T28938"/>
      <c r="U28938"/>
      <c r="X28938" s="60"/>
    </row>
    <row r="28939" spans="7:24" ht="15" customHeight="1">
      <c r="G28939"/>
      <c r="I28939"/>
      <c r="N28939"/>
      <c r="O28939" s="24"/>
      <c r="P28939"/>
      <c r="Q28939" s="24"/>
      <c r="R28939"/>
      <c r="S28939"/>
      <c r="T28939"/>
      <c r="U28939"/>
      <c r="X28939" s="60"/>
    </row>
    <row r="28940" spans="7:24" ht="15" customHeight="1">
      <c r="G28940"/>
      <c r="I28940"/>
      <c r="N28940"/>
      <c r="O28940" s="24"/>
      <c r="P28940"/>
      <c r="Q28940" s="24"/>
      <c r="R28940"/>
      <c r="S28940"/>
      <c r="T28940"/>
      <c r="U28940"/>
      <c r="X28940" s="60"/>
    </row>
    <row r="28941" spans="7:24" ht="15" customHeight="1">
      <c r="G28941"/>
      <c r="I28941"/>
      <c r="N28941"/>
      <c r="O28941" s="24"/>
      <c r="P28941"/>
      <c r="Q28941" s="24"/>
      <c r="R28941"/>
      <c r="S28941"/>
      <c r="T28941"/>
      <c r="U28941"/>
      <c r="X28941" s="60"/>
    </row>
    <row r="28942" spans="7:24" ht="15" customHeight="1">
      <c r="G28942"/>
      <c r="I28942"/>
      <c r="N28942"/>
      <c r="O28942" s="24"/>
      <c r="P28942"/>
      <c r="Q28942" s="24"/>
      <c r="R28942"/>
      <c r="S28942"/>
      <c r="T28942"/>
      <c r="U28942"/>
      <c r="X28942" s="60"/>
    </row>
    <row r="28943" spans="7:24" ht="15" customHeight="1">
      <c r="G28943"/>
      <c r="I28943"/>
      <c r="N28943"/>
      <c r="O28943" s="24"/>
      <c r="P28943"/>
      <c r="Q28943" s="24"/>
      <c r="R28943"/>
      <c r="S28943"/>
      <c r="T28943"/>
      <c r="U28943"/>
      <c r="X28943" s="60"/>
    </row>
    <row r="28944" spans="7:24" ht="15" customHeight="1">
      <c r="G28944"/>
      <c r="I28944"/>
      <c r="N28944"/>
      <c r="O28944" s="24"/>
      <c r="P28944"/>
      <c r="Q28944" s="24"/>
      <c r="R28944"/>
      <c r="S28944"/>
      <c r="T28944"/>
      <c r="U28944"/>
      <c r="X28944" s="60"/>
    </row>
    <row r="28945" spans="7:24" ht="15" customHeight="1">
      <c r="G28945"/>
      <c r="I28945"/>
      <c r="N28945"/>
      <c r="O28945" s="24"/>
      <c r="P28945"/>
      <c r="Q28945" s="24"/>
      <c r="R28945"/>
      <c r="S28945"/>
      <c r="T28945"/>
      <c r="U28945"/>
      <c r="X28945" s="60"/>
    </row>
    <row r="28946" spans="7:24" ht="15" customHeight="1">
      <c r="G28946"/>
      <c r="I28946"/>
      <c r="N28946"/>
      <c r="O28946" s="24"/>
      <c r="P28946"/>
      <c r="Q28946" s="24"/>
      <c r="R28946"/>
      <c r="S28946"/>
      <c r="T28946"/>
      <c r="U28946"/>
      <c r="X28946" s="60"/>
    </row>
    <row r="28947" spans="7:24" ht="15" customHeight="1">
      <c r="G28947"/>
      <c r="I28947"/>
      <c r="N28947"/>
      <c r="O28947" s="24"/>
      <c r="P28947"/>
      <c r="Q28947" s="24"/>
      <c r="R28947"/>
      <c r="S28947"/>
      <c r="T28947"/>
      <c r="U28947"/>
      <c r="X28947" s="60"/>
    </row>
    <row r="28948" spans="7:24" ht="15" customHeight="1">
      <c r="G28948"/>
      <c r="I28948"/>
      <c r="N28948"/>
      <c r="O28948" s="24"/>
      <c r="P28948"/>
      <c r="Q28948" s="24"/>
      <c r="R28948"/>
      <c r="S28948"/>
      <c r="T28948"/>
      <c r="U28948"/>
      <c r="X28948" s="60"/>
    </row>
    <row r="28949" spans="7:24" ht="15" customHeight="1">
      <c r="G28949"/>
      <c r="I28949"/>
      <c r="N28949"/>
      <c r="O28949" s="24"/>
      <c r="P28949"/>
      <c r="Q28949" s="24"/>
      <c r="R28949"/>
      <c r="S28949"/>
      <c r="T28949"/>
      <c r="U28949"/>
      <c r="X28949" s="60"/>
    </row>
    <row r="28950" spans="7:24" ht="15" customHeight="1">
      <c r="G28950"/>
      <c r="I28950"/>
      <c r="N28950"/>
      <c r="O28950" s="24"/>
      <c r="P28950"/>
      <c r="Q28950" s="24"/>
      <c r="R28950"/>
      <c r="S28950"/>
      <c r="T28950"/>
      <c r="U28950"/>
      <c r="X28950" s="60"/>
    </row>
    <row r="28951" spans="7:24" ht="15" customHeight="1">
      <c r="G28951"/>
      <c r="I28951"/>
      <c r="N28951"/>
      <c r="O28951" s="24"/>
      <c r="P28951"/>
      <c r="Q28951" s="24"/>
      <c r="R28951"/>
      <c r="S28951"/>
      <c r="T28951"/>
      <c r="U28951"/>
      <c r="X28951" s="60"/>
    </row>
    <row r="28952" spans="7:24" ht="15" customHeight="1">
      <c r="G28952"/>
      <c r="I28952"/>
      <c r="N28952"/>
      <c r="O28952" s="24"/>
      <c r="P28952"/>
      <c r="Q28952" s="24"/>
      <c r="R28952"/>
      <c r="S28952"/>
      <c r="T28952"/>
      <c r="U28952"/>
      <c r="X28952" s="60"/>
    </row>
    <row r="28953" spans="7:24" ht="15" customHeight="1">
      <c r="G28953"/>
      <c r="I28953"/>
      <c r="N28953"/>
      <c r="O28953" s="24"/>
      <c r="P28953"/>
      <c r="Q28953" s="24"/>
      <c r="R28953"/>
      <c r="S28953"/>
      <c r="T28953"/>
      <c r="U28953"/>
      <c r="X28953" s="60"/>
    </row>
    <row r="28954" spans="7:24" ht="15" customHeight="1">
      <c r="G28954"/>
      <c r="I28954"/>
      <c r="N28954"/>
      <c r="O28954" s="24"/>
      <c r="P28954"/>
      <c r="Q28954" s="24"/>
      <c r="R28954"/>
      <c r="S28954"/>
      <c r="T28954"/>
      <c r="U28954"/>
      <c r="X28954" s="60"/>
    </row>
    <row r="28955" spans="7:24" ht="15" customHeight="1">
      <c r="G28955"/>
      <c r="I28955"/>
      <c r="N28955"/>
      <c r="O28955" s="24"/>
      <c r="P28955"/>
      <c r="Q28955" s="24"/>
      <c r="R28955"/>
      <c r="S28955"/>
      <c r="T28955"/>
      <c r="U28955"/>
      <c r="X28955" s="60"/>
    </row>
    <row r="28956" spans="7:24" ht="15" customHeight="1">
      <c r="G28956"/>
      <c r="I28956"/>
      <c r="N28956"/>
      <c r="O28956" s="24"/>
      <c r="P28956"/>
      <c r="Q28956" s="24"/>
      <c r="R28956"/>
      <c r="S28956"/>
      <c r="T28956"/>
      <c r="U28956"/>
      <c r="X28956" s="60"/>
    </row>
    <row r="28957" spans="7:24" ht="15" customHeight="1">
      <c r="G28957"/>
      <c r="I28957"/>
      <c r="N28957"/>
      <c r="O28957" s="24"/>
      <c r="P28957"/>
      <c r="Q28957" s="24"/>
      <c r="R28957"/>
      <c r="S28957"/>
      <c r="T28957"/>
      <c r="U28957"/>
      <c r="X28957" s="60"/>
    </row>
    <row r="28958" spans="7:24" ht="15" customHeight="1">
      <c r="G28958"/>
      <c r="I28958"/>
      <c r="N28958"/>
      <c r="O28958" s="24"/>
      <c r="P28958"/>
      <c r="Q28958" s="24"/>
      <c r="R28958"/>
      <c r="S28958"/>
      <c r="T28958"/>
      <c r="U28958"/>
      <c r="X28958" s="60"/>
    </row>
    <row r="28959" spans="7:24" ht="15" customHeight="1">
      <c r="G28959"/>
      <c r="I28959"/>
      <c r="N28959"/>
      <c r="O28959" s="24"/>
      <c r="P28959"/>
      <c r="Q28959" s="24"/>
      <c r="R28959"/>
      <c r="S28959"/>
      <c r="T28959"/>
      <c r="U28959"/>
      <c r="X28959" s="60"/>
    </row>
    <row r="28960" spans="7:24" ht="15" customHeight="1">
      <c r="G28960"/>
      <c r="I28960"/>
      <c r="N28960"/>
      <c r="O28960" s="24"/>
      <c r="P28960"/>
      <c r="Q28960" s="24"/>
      <c r="R28960"/>
      <c r="S28960"/>
      <c r="T28960"/>
      <c r="U28960"/>
      <c r="X28960" s="60"/>
    </row>
    <row r="28961" spans="7:24" ht="15" customHeight="1">
      <c r="G28961"/>
      <c r="I28961"/>
      <c r="N28961"/>
      <c r="O28961" s="24"/>
      <c r="P28961"/>
      <c r="Q28961" s="24"/>
      <c r="R28961"/>
      <c r="S28961"/>
      <c r="T28961"/>
      <c r="U28961"/>
      <c r="X28961" s="60"/>
    </row>
    <row r="28962" spans="7:24" ht="15" customHeight="1">
      <c r="G28962"/>
      <c r="I28962"/>
      <c r="N28962"/>
      <c r="O28962" s="24"/>
      <c r="P28962"/>
      <c r="Q28962" s="24"/>
      <c r="R28962"/>
      <c r="S28962"/>
      <c r="T28962"/>
      <c r="U28962"/>
      <c r="X28962" s="60"/>
    </row>
    <row r="28963" spans="7:24" ht="15" customHeight="1">
      <c r="G28963"/>
      <c r="I28963"/>
      <c r="N28963"/>
      <c r="O28963" s="24"/>
      <c r="P28963"/>
      <c r="Q28963" s="24"/>
      <c r="R28963"/>
      <c r="S28963"/>
      <c r="T28963"/>
      <c r="U28963"/>
      <c r="X28963" s="60"/>
    </row>
    <row r="28964" spans="7:24" ht="15" customHeight="1">
      <c r="G28964"/>
      <c r="I28964"/>
      <c r="N28964"/>
      <c r="O28964" s="24"/>
      <c r="P28964"/>
      <c r="Q28964" s="24"/>
      <c r="R28964"/>
      <c r="S28964"/>
      <c r="T28964"/>
      <c r="U28964"/>
      <c r="X28964" s="60"/>
    </row>
    <row r="28965" spans="7:24" ht="15" customHeight="1">
      <c r="G28965"/>
      <c r="I28965"/>
      <c r="N28965"/>
      <c r="O28965" s="24"/>
      <c r="P28965"/>
      <c r="Q28965" s="24"/>
      <c r="R28965"/>
      <c r="S28965"/>
      <c r="T28965"/>
      <c r="U28965"/>
      <c r="X28965" s="60"/>
    </row>
    <row r="28966" spans="7:24" ht="15" customHeight="1">
      <c r="G28966"/>
      <c r="I28966"/>
      <c r="N28966"/>
      <c r="O28966" s="24"/>
      <c r="P28966"/>
      <c r="Q28966" s="24"/>
      <c r="R28966"/>
      <c r="S28966"/>
      <c r="T28966"/>
      <c r="U28966"/>
      <c r="X28966" s="60"/>
    </row>
    <row r="28967" spans="7:24" ht="15" customHeight="1">
      <c r="G28967"/>
      <c r="I28967"/>
      <c r="N28967"/>
      <c r="O28967" s="24"/>
      <c r="P28967"/>
      <c r="Q28967" s="24"/>
      <c r="R28967"/>
      <c r="S28967"/>
      <c r="T28967"/>
      <c r="U28967"/>
      <c r="X28967" s="60"/>
    </row>
    <row r="28968" spans="7:24" ht="15" customHeight="1">
      <c r="G28968"/>
      <c r="I28968"/>
      <c r="N28968"/>
      <c r="O28968" s="24"/>
      <c r="P28968"/>
      <c r="Q28968" s="24"/>
      <c r="R28968"/>
      <c r="S28968"/>
      <c r="T28968"/>
      <c r="U28968"/>
      <c r="X28968" s="60"/>
    </row>
    <row r="28969" spans="7:24" ht="15" customHeight="1">
      <c r="G28969"/>
      <c r="I28969"/>
      <c r="N28969"/>
      <c r="O28969" s="24"/>
      <c r="P28969"/>
      <c r="Q28969" s="24"/>
      <c r="R28969"/>
      <c r="S28969"/>
      <c r="T28969"/>
      <c r="U28969"/>
      <c r="X28969" s="60"/>
    </row>
    <row r="28970" spans="7:24" ht="15" customHeight="1">
      <c r="G28970"/>
      <c r="I28970"/>
      <c r="N28970"/>
      <c r="O28970" s="24"/>
      <c r="P28970"/>
      <c r="Q28970" s="24"/>
      <c r="R28970"/>
      <c r="S28970"/>
      <c r="T28970"/>
      <c r="U28970"/>
      <c r="X28970" s="60"/>
    </row>
    <row r="28971" spans="7:24" ht="15" customHeight="1">
      <c r="G28971"/>
      <c r="I28971"/>
      <c r="N28971"/>
      <c r="O28971" s="24"/>
      <c r="P28971"/>
      <c r="Q28971" s="24"/>
      <c r="R28971"/>
      <c r="S28971"/>
      <c r="T28971"/>
      <c r="U28971"/>
      <c r="X28971" s="60"/>
    </row>
    <row r="28972" spans="7:24" ht="15" customHeight="1">
      <c r="G28972"/>
      <c r="I28972"/>
      <c r="N28972"/>
      <c r="O28972" s="24"/>
      <c r="P28972"/>
      <c r="Q28972" s="24"/>
      <c r="R28972"/>
      <c r="S28972"/>
      <c r="T28972"/>
      <c r="U28972"/>
      <c r="X28972" s="60"/>
    </row>
    <row r="28973" spans="7:24" ht="15" customHeight="1">
      <c r="G28973"/>
      <c r="I28973"/>
      <c r="N28973"/>
      <c r="O28973" s="24"/>
      <c r="P28973"/>
      <c r="Q28973" s="24"/>
      <c r="R28973"/>
      <c r="S28973"/>
      <c r="T28973"/>
      <c r="U28973"/>
      <c r="X28973" s="60"/>
    </row>
    <row r="28974" spans="7:24" ht="15" customHeight="1">
      <c r="G28974"/>
      <c r="I28974"/>
      <c r="N28974"/>
      <c r="O28974" s="24"/>
      <c r="P28974"/>
      <c r="Q28974" s="24"/>
      <c r="R28974"/>
      <c r="S28974"/>
      <c r="T28974"/>
      <c r="U28974"/>
      <c r="X28974" s="60"/>
    </row>
    <row r="28975" spans="7:24" ht="15" customHeight="1">
      <c r="G28975"/>
      <c r="I28975"/>
      <c r="N28975"/>
      <c r="O28975" s="24"/>
      <c r="P28975"/>
      <c r="Q28975" s="24"/>
      <c r="R28975"/>
      <c r="S28975"/>
      <c r="T28975"/>
      <c r="U28975"/>
      <c r="X28975" s="60"/>
    </row>
    <row r="28976" spans="7:24" ht="15" customHeight="1">
      <c r="G28976"/>
      <c r="I28976"/>
      <c r="N28976"/>
      <c r="O28976" s="24"/>
      <c r="P28976"/>
      <c r="Q28976" s="24"/>
      <c r="R28976"/>
      <c r="S28976"/>
      <c r="T28976"/>
      <c r="U28976"/>
      <c r="X28976" s="60"/>
    </row>
    <row r="28977" spans="7:24" ht="15" customHeight="1">
      <c r="G28977"/>
      <c r="I28977"/>
      <c r="N28977"/>
      <c r="O28977" s="24"/>
      <c r="P28977"/>
      <c r="Q28977" s="24"/>
      <c r="R28977"/>
      <c r="S28977"/>
      <c r="T28977"/>
      <c r="U28977"/>
      <c r="X28977" s="60"/>
    </row>
    <row r="28978" spans="7:24" ht="15" customHeight="1">
      <c r="G28978"/>
      <c r="I28978"/>
      <c r="N28978"/>
      <c r="O28978" s="24"/>
      <c r="P28978"/>
      <c r="Q28978" s="24"/>
      <c r="R28978"/>
      <c r="S28978"/>
      <c r="T28978"/>
      <c r="U28978"/>
      <c r="X28978" s="60"/>
    </row>
    <row r="28979" spans="7:24" ht="15" customHeight="1">
      <c r="G28979"/>
      <c r="I28979"/>
      <c r="N28979"/>
      <c r="O28979" s="24"/>
      <c r="P28979"/>
      <c r="Q28979" s="24"/>
      <c r="R28979"/>
      <c r="S28979"/>
      <c r="T28979"/>
      <c r="U28979"/>
      <c r="X28979" s="60"/>
    </row>
    <row r="28980" spans="7:24" ht="15" customHeight="1">
      <c r="G28980"/>
      <c r="I28980"/>
      <c r="N28980"/>
      <c r="O28980" s="24"/>
      <c r="P28980"/>
      <c r="Q28980" s="24"/>
      <c r="R28980"/>
      <c r="S28980"/>
      <c r="T28980"/>
      <c r="U28980"/>
      <c r="X28980" s="60"/>
    </row>
    <row r="28981" spans="7:24" ht="15" customHeight="1">
      <c r="G28981"/>
      <c r="I28981"/>
      <c r="N28981"/>
      <c r="O28981" s="24"/>
      <c r="P28981"/>
      <c r="Q28981" s="24"/>
      <c r="R28981"/>
      <c r="S28981"/>
      <c r="T28981"/>
      <c r="U28981"/>
      <c r="X28981" s="60"/>
    </row>
    <row r="28982" spans="7:24" ht="15" customHeight="1">
      <c r="G28982"/>
      <c r="I28982"/>
      <c r="N28982"/>
      <c r="O28982" s="24"/>
      <c r="P28982"/>
      <c r="Q28982" s="24"/>
      <c r="R28982"/>
      <c r="S28982"/>
      <c r="T28982"/>
      <c r="U28982"/>
      <c r="X28982" s="60"/>
    </row>
    <row r="28983" spans="7:24" ht="15" customHeight="1">
      <c r="G28983"/>
      <c r="I28983"/>
      <c r="N28983"/>
      <c r="O28983" s="24"/>
      <c r="P28983"/>
      <c r="Q28983" s="24"/>
      <c r="R28983"/>
      <c r="S28983"/>
      <c r="T28983"/>
      <c r="U28983"/>
      <c r="X28983" s="60"/>
    </row>
    <row r="28984" spans="7:24" ht="15" customHeight="1">
      <c r="G28984"/>
      <c r="I28984"/>
      <c r="N28984"/>
      <c r="O28984" s="24"/>
      <c r="P28984"/>
      <c r="Q28984" s="24"/>
      <c r="R28984"/>
      <c r="S28984"/>
      <c r="T28984"/>
      <c r="U28984"/>
      <c r="X28984" s="60"/>
    </row>
    <row r="28985" spans="7:24" ht="15" customHeight="1">
      <c r="G28985"/>
      <c r="I28985"/>
      <c r="N28985"/>
      <c r="O28985" s="24"/>
      <c r="P28985"/>
      <c r="Q28985" s="24"/>
      <c r="R28985"/>
      <c r="S28985"/>
      <c r="T28985"/>
      <c r="U28985"/>
      <c r="X28985" s="60"/>
    </row>
    <row r="28986" spans="7:24" ht="15" customHeight="1">
      <c r="G28986"/>
      <c r="I28986"/>
      <c r="N28986"/>
      <c r="O28986" s="24"/>
      <c r="P28986"/>
      <c r="Q28986" s="24"/>
      <c r="R28986"/>
      <c r="S28986"/>
      <c r="T28986"/>
      <c r="U28986"/>
      <c r="X28986" s="60"/>
    </row>
    <row r="28987" spans="7:24" ht="15" customHeight="1">
      <c r="G28987"/>
      <c r="I28987"/>
      <c r="N28987"/>
      <c r="O28987" s="24"/>
      <c r="P28987"/>
      <c r="Q28987" s="24"/>
      <c r="R28987"/>
      <c r="S28987"/>
      <c r="T28987"/>
      <c r="U28987"/>
      <c r="X28987" s="60"/>
    </row>
    <row r="28988" spans="7:24" ht="15" customHeight="1">
      <c r="G28988"/>
      <c r="I28988"/>
      <c r="N28988"/>
      <c r="O28988" s="24"/>
      <c r="P28988"/>
      <c r="Q28988" s="24"/>
      <c r="R28988"/>
      <c r="S28988"/>
      <c r="T28988"/>
      <c r="U28988"/>
      <c r="X28988" s="60"/>
    </row>
    <row r="28989" spans="7:24" ht="15" customHeight="1">
      <c r="G28989"/>
      <c r="I28989"/>
      <c r="N28989"/>
      <c r="O28989" s="24"/>
      <c r="P28989"/>
      <c r="Q28989" s="24"/>
      <c r="R28989"/>
      <c r="S28989"/>
      <c r="T28989"/>
      <c r="U28989"/>
      <c r="X28989" s="60"/>
    </row>
    <row r="28990" spans="7:24" ht="15" customHeight="1">
      <c r="G28990"/>
      <c r="I28990"/>
      <c r="N28990"/>
      <c r="O28990" s="24"/>
      <c r="P28990"/>
      <c r="Q28990" s="24"/>
      <c r="R28990"/>
      <c r="S28990"/>
      <c r="T28990"/>
      <c r="U28990"/>
      <c r="X28990" s="60"/>
    </row>
    <row r="28991" spans="7:24" ht="15" customHeight="1">
      <c r="G28991"/>
      <c r="I28991"/>
      <c r="N28991"/>
      <c r="O28991" s="24"/>
      <c r="P28991"/>
      <c r="Q28991" s="24"/>
      <c r="R28991"/>
      <c r="S28991"/>
      <c r="T28991"/>
      <c r="U28991"/>
      <c r="X28991" s="60"/>
    </row>
    <row r="28992" spans="7:24" ht="15" customHeight="1">
      <c r="G28992"/>
      <c r="I28992"/>
      <c r="N28992"/>
      <c r="O28992" s="24"/>
      <c r="P28992"/>
      <c r="Q28992" s="24"/>
      <c r="R28992"/>
      <c r="S28992"/>
      <c r="T28992"/>
      <c r="U28992"/>
      <c r="X28992" s="60"/>
    </row>
    <row r="28993" spans="7:24" ht="15" customHeight="1">
      <c r="G28993"/>
      <c r="I28993"/>
      <c r="N28993"/>
      <c r="O28993" s="24"/>
      <c r="P28993"/>
      <c r="Q28993" s="24"/>
      <c r="R28993"/>
      <c r="S28993"/>
      <c r="T28993"/>
      <c r="U28993"/>
      <c r="X28993" s="60"/>
    </row>
    <row r="28994" spans="7:24" ht="15" customHeight="1">
      <c r="G28994"/>
      <c r="I28994"/>
      <c r="N28994"/>
      <c r="O28994" s="24"/>
      <c r="P28994"/>
      <c r="Q28994" s="24"/>
      <c r="R28994"/>
      <c r="S28994"/>
      <c r="T28994"/>
      <c r="U28994"/>
      <c r="X28994" s="60"/>
    </row>
    <row r="28995" spans="7:24" ht="15" customHeight="1">
      <c r="G28995"/>
      <c r="I28995"/>
      <c r="N28995"/>
      <c r="O28995" s="24"/>
      <c r="P28995"/>
      <c r="Q28995" s="24"/>
      <c r="R28995"/>
      <c r="S28995"/>
      <c r="T28995"/>
      <c r="U28995"/>
      <c r="X28995" s="60"/>
    </row>
    <row r="28996" spans="7:24" ht="15" customHeight="1">
      <c r="G28996"/>
      <c r="I28996"/>
      <c r="N28996"/>
      <c r="O28996" s="24"/>
      <c r="P28996"/>
      <c r="Q28996" s="24"/>
      <c r="R28996"/>
      <c r="S28996"/>
      <c r="T28996"/>
      <c r="U28996"/>
      <c r="X28996" s="60"/>
    </row>
    <row r="28997" spans="7:24" ht="15" customHeight="1">
      <c r="G28997"/>
      <c r="I28997"/>
      <c r="N28997"/>
      <c r="O28997" s="24"/>
      <c r="P28997"/>
      <c r="Q28997" s="24"/>
      <c r="R28997"/>
      <c r="S28997"/>
      <c r="T28997"/>
      <c r="U28997"/>
      <c r="X28997" s="60"/>
    </row>
    <row r="28998" spans="7:24" ht="15" customHeight="1">
      <c r="G28998"/>
      <c r="I28998"/>
      <c r="N28998"/>
      <c r="O28998" s="24"/>
      <c r="P28998"/>
      <c r="Q28998" s="24"/>
      <c r="R28998"/>
      <c r="S28998"/>
      <c r="T28998"/>
      <c r="U28998"/>
      <c r="X28998" s="60"/>
    </row>
    <row r="28999" spans="7:24" ht="15" customHeight="1">
      <c r="G28999"/>
      <c r="I28999"/>
      <c r="N28999"/>
      <c r="O28999" s="24"/>
      <c r="P28999"/>
      <c r="Q28999" s="24"/>
      <c r="R28999"/>
      <c r="S28999"/>
      <c r="T28999"/>
      <c r="U28999"/>
      <c r="X28999" s="60"/>
    </row>
    <row r="29000" spans="7:24" ht="15" customHeight="1">
      <c r="G29000"/>
      <c r="I29000"/>
      <c r="N29000"/>
      <c r="O29000" s="24"/>
      <c r="P29000"/>
      <c r="Q29000" s="24"/>
      <c r="R29000"/>
      <c r="S29000"/>
      <c r="T29000"/>
      <c r="U29000"/>
      <c r="X29000" s="60"/>
    </row>
    <row r="29001" spans="7:24" ht="15" customHeight="1">
      <c r="G29001"/>
      <c r="I29001"/>
      <c r="N29001"/>
      <c r="O29001" s="24"/>
      <c r="P29001"/>
      <c r="Q29001" s="24"/>
      <c r="R29001"/>
      <c r="S29001"/>
      <c r="T29001"/>
      <c r="U29001"/>
      <c r="X29001" s="60"/>
    </row>
    <row r="29002" spans="7:24" ht="15" customHeight="1">
      <c r="G29002"/>
      <c r="I29002"/>
      <c r="N29002"/>
      <c r="O29002" s="24"/>
      <c r="P29002"/>
      <c r="Q29002" s="24"/>
      <c r="R29002"/>
      <c r="S29002"/>
      <c r="T29002"/>
      <c r="U29002"/>
      <c r="X29002" s="60"/>
    </row>
    <row r="29003" spans="7:24" ht="15" customHeight="1">
      <c r="G29003"/>
      <c r="I29003"/>
      <c r="N29003"/>
      <c r="O29003" s="24"/>
      <c r="P29003"/>
      <c r="Q29003" s="24"/>
      <c r="R29003"/>
      <c r="S29003"/>
      <c r="T29003"/>
      <c r="U29003"/>
      <c r="X29003" s="60"/>
    </row>
    <row r="29004" spans="7:24" ht="15" customHeight="1">
      <c r="G29004"/>
      <c r="I29004"/>
      <c r="N29004"/>
      <c r="O29004" s="24"/>
      <c r="P29004"/>
      <c r="Q29004" s="24"/>
      <c r="R29004"/>
      <c r="S29004"/>
      <c r="T29004"/>
      <c r="U29004"/>
      <c r="X29004" s="60"/>
    </row>
    <row r="29005" spans="7:24" ht="15" customHeight="1">
      <c r="G29005"/>
      <c r="I29005"/>
      <c r="N29005"/>
      <c r="O29005" s="24"/>
      <c r="P29005"/>
      <c r="Q29005" s="24"/>
      <c r="R29005"/>
      <c r="S29005"/>
      <c r="T29005"/>
      <c r="U29005"/>
      <c r="X29005" s="60"/>
    </row>
    <row r="29006" spans="7:24" ht="15" customHeight="1">
      <c r="G29006"/>
      <c r="I29006"/>
      <c r="N29006"/>
      <c r="O29006" s="24"/>
      <c r="P29006"/>
      <c r="Q29006" s="24"/>
      <c r="R29006"/>
      <c r="S29006"/>
      <c r="T29006"/>
      <c r="U29006"/>
      <c r="X29006" s="60"/>
    </row>
    <row r="29007" spans="7:24" ht="15" customHeight="1">
      <c r="G29007"/>
      <c r="I29007"/>
      <c r="N29007"/>
      <c r="O29007" s="24"/>
      <c r="P29007"/>
      <c r="Q29007" s="24"/>
      <c r="R29007"/>
      <c r="S29007"/>
      <c r="T29007"/>
      <c r="U29007"/>
      <c r="X29007" s="60"/>
    </row>
    <row r="29008" spans="7:24" ht="15" customHeight="1">
      <c r="G29008"/>
      <c r="I29008"/>
      <c r="N29008"/>
      <c r="O29008" s="24"/>
      <c r="P29008"/>
      <c r="Q29008" s="24"/>
      <c r="R29008"/>
      <c r="S29008"/>
      <c r="T29008"/>
      <c r="U29008"/>
      <c r="X29008" s="60"/>
    </row>
    <row r="29009" spans="7:24" ht="15" customHeight="1">
      <c r="G29009"/>
      <c r="I29009"/>
      <c r="N29009"/>
      <c r="O29009" s="24"/>
      <c r="P29009"/>
      <c r="Q29009" s="24"/>
      <c r="R29009"/>
      <c r="S29009"/>
      <c r="T29009"/>
      <c r="U29009"/>
      <c r="X29009" s="60"/>
    </row>
    <row r="29010" spans="7:24" ht="15" customHeight="1">
      <c r="G29010"/>
      <c r="I29010"/>
      <c r="N29010"/>
      <c r="O29010" s="24"/>
      <c r="P29010"/>
      <c r="Q29010" s="24"/>
      <c r="R29010"/>
      <c r="S29010"/>
      <c r="T29010"/>
      <c r="U29010"/>
      <c r="X29010" s="60"/>
    </row>
    <row r="29011" spans="7:24" ht="15" customHeight="1">
      <c r="G29011"/>
      <c r="I29011"/>
      <c r="N29011"/>
      <c r="O29011" s="24"/>
      <c r="P29011"/>
      <c r="Q29011" s="24"/>
      <c r="R29011"/>
      <c r="S29011"/>
      <c r="T29011"/>
      <c r="U29011"/>
      <c r="X29011" s="60"/>
    </row>
    <row r="29012" spans="7:24" ht="15" customHeight="1">
      <c r="G29012"/>
      <c r="I29012"/>
      <c r="N29012"/>
      <c r="O29012" s="24"/>
      <c r="P29012"/>
      <c r="Q29012" s="24"/>
      <c r="R29012"/>
      <c r="S29012"/>
      <c r="T29012"/>
      <c r="U29012"/>
      <c r="X29012" s="60"/>
    </row>
    <row r="29013" spans="7:24" ht="15" customHeight="1">
      <c r="G29013"/>
      <c r="I29013"/>
      <c r="N29013"/>
      <c r="O29013" s="24"/>
      <c r="P29013"/>
      <c r="Q29013" s="24"/>
      <c r="R29013"/>
      <c r="S29013"/>
      <c r="T29013"/>
      <c r="U29013"/>
      <c r="X29013" s="60"/>
    </row>
    <row r="29014" spans="7:24" ht="15" customHeight="1">
      <c r="G29014"/>
      <c r="I29014"/>
      <c r="N29014"/>
      <c r="O29014" s="24"/>
      <c r="P29014"/>
      <c r="Q29014" s="24"/>
      <c r="R29014"/>
      <c r="S29014"/>
      <c r="T29014"/>
      <c r="U29014"/>
      <c r="X29014" s="60"/>
    </row>
    <row r="29015" spans="7:24" ht="15" customHeight="1">
      <c r="G29015"/>
      <c r="I29015"/>
      <c r="N29015"/>
      <c r="O29015" s="24"/>
      <c r="P29015"/>
      <c r="Q29015" s="24"/>
      <c r="R29015"/>
      <c r="S29015"/>
      <c r="T29015"/>
      <c r="U29015"/>
      <c r="X29015" s="60"/>
    </row>
    <row r="29016" spans="7:24" ht="15" customHeight="1">
      <c r="G29016"/>
      <c r="I29016"/>
      <c r="N29016"/>
      <c r="O29016" s="24"/>
      <c r="P29016"/>
      <c r="Q29016" s="24"/>
      <c r="R29016"/>
      <c r="S29016"/>
      <c r="T29016"/>
      <c r="U29016"/>
      <c r="X29016" s="60"/>
    </row>
    <row r="29017" spans="7:24" ht="15" customHeight="1">
      <c r="G29017"/>
      <c r="I29017"/>
      <c r="N29017"/>
      <c r="O29017" s="24"/>
      <c r="P29017"/>
      <c r="Q29017" s="24"/>
      <c r="R29017"/>
      <c r="S29017"/>
      <c r="T29017"/>
      <c r="U29017"/>
      <c r="X29017" s="60"/>
    </row>
    <row r="29018" spans="7:24" ht="15" customHeight="1">
      <c r="G29018"/>
      <c r="I29018"/>
      <c r="N29018"/>
      <c r="O29018" s="24"/>
      <c r="P29018"/>
      <c r="Q29018" s="24"/>
      <c r="R29018"/>
      <c r="S29018"/>
      <c r="T29018"/>
      <c r="U29018"/>
      <c r="X29018" s="60"/>
    </row>
    <row r="29019" spans="7:24" ht="15" customHeight="1">
      <c r="G29019"/>
      <c r="I29019"/>
      <c r="N29019"/>
      <c r="O29019" s="24"/>
      <c r="P29019"/>
      <c r="Q29019" s="24"/>
      <c r="R29019"/>
      <c r="S29019"/>
      <c r="T29019"/>
      <c r="U29019"/>
      <c r="X29019" s="60"/>
    </row>
    <row r="29020" spans="7:24" ht="15" customHeight="1">
      <c r="G29020"/>
      <c r="I29020"/>
      <c r="N29020"/>
      <c r="O29020" s="24"/>
      <c r="P29020"/>
      <c r="Q29020" s="24"/>
      <c r="R29020"/>
      <c r="S29020"/>
      <c r="T29020"/>
      <c r="U29020"/>
      <c r="X29020" s="60"/>
    </row>
    <row r="29021" spans="7:24" ht="15" customHeight="1">
      <c r="G29021"/>
      <c r="I29021"/>
      <c r="N29021"/>
      <c r="O29021" s="24"/>
      <c r="P29021"/>
      <c r="Q29021" s="24"/>
      <c r="R29021"/>
      <c r="S29021"/>
      <c r="T29021"/>
      <c r="U29021"/>
      <c r="X29021" s="60"/>
    </row>
    <row r="29022" spans="7:24" ht="15" customHeight="1">
      <c r="G29022"/>
      <c r="I29022"/>
      <c r="N29022"/>
      <c r="O29022" s="24"/>
      <c r="P29022"/>
      <c r="Q29022" s="24"/>
      <c r="R29022"/>
      <c r="S29022"/>
      <c r="T29022"/>
      <c r="U29022"/>
      <c r="X29022" s="60"/>
    </row>
    <row r="29023" spans="7:24" ht="15" customHeight="1">
      <c r="G29023"/>
      <c r="I29023"/>
      <c r="N29023"/>
      <c r="O29023" s="24"/>
      <c r="P29023"/>
      <c r="Q29023" s="24"/>
      <c r="R29023"/>
      <c r="S29023"/>
      <c r="T29023"/>
      <c r="U29023"/>
      <c r="X29023" s="60"/>
    </row>
    <row r="29024" spans="7:24" ht="15" customHeight="1">
      <c r="G29024"/>
      <c r="I29024"/>
      <c r="N29024"/>
      <c r="O29024" s="24"/>
      <c r="P29024"/>
      <c r="Q29024" s="24"/>
      <c r="R29024"/>
      <c r="S29024"/>
      <c r="T29024"/>
      <c r="U29024"/>
      <c r="X29024" s="60"/>
    </row>
    <row r="29025" spans="7:24" ht="15" customHeight="1">
      <c r="G29025"/>
      <c r="I29025"/>
      <c r="N29025"/>
      <c r="O29025" s="24"/>
      <c r="P29025"/>
      <c r="Q29025" s="24"/>
      <c r="R29025"/>
      <c r="S29025"/>
      <c r="T29025"/>
      <c r="U29025"/>
      <c r="X29025" s="60"/>
    </row>
    <row r="29026" spans="7:24" ht="15" customHeight="1">
      <c r="G29026"/>
      <c r="I29026"/>
      <c r="N29026"/>
      <c r="O29026" s="24"/>
      <c r="P29026"/>
      <c r="Q29026" s="24"/>
      <c r="R29026"/>
      <c r="S29026"/>
      <c r="T29026"/>
      <c r="U29026"/>
      <c r="X29026" s="60"/>
    </row>
    <row r="29027" spans="7:24" ht="15" customHeight="1">
      <c r="G29027"/>
      <c r="I29027"/>
      <c r="N29027"/>
      <c r="O29027" s="24"/>
      <c r="P29027"/>
      <c r="Q29027" s="24"/>
      <c r="R29027"/>
      <c r="S29027"/>
      <c r="T29027"/>
      <c r="U29027"/>
      <c r="X29027" s="60"/>
    </row>
    <row r="29028" spans="7:24" ht="15" customHeight="1">
      <c r="G29028"/>
      <c r="I29028"/>
      <c r="N29028"/>
      <c r="O29028" s="24"/>
      <c r="P29028"/>
      <c r="Q29028" s="24"/>
      <c r="R29028"/>
      <c r="S29028"/>
      <c r="T29028"/>
      <c r="U29028"/>
      <c r="X29028" s="60"/>
    </row>
    <row r="29029" spans="7:24" ht="15" customHeight="1">
      <c r="G29029"/>
      <c r="I29029"/>
      <c r="N29029"/>
      <c r="O29029" s="24"/>
      <c r="P29029"/>
      <c r="Q29029" s="24"/>
      <c r="R29029"/>
      <c r="S29029"/>
      <c r="T29029"/>
      <c r="U29029"/>
      <c r="X29029" s="60"/>
    </row>
    <row r="29030" spans="7:24" ht="15" customHeight="1">
      <c r="G29030"/>
      <c r="I29030"/>
      <c r="N29030"/>
      <c r="O29030" s="24"/>
      <c r="P29030"/>
      <c r="Q29030" s="24"/>
      <c r="R29030"/>
      <c r="S29030"/>
      <c r="T29030"/>
      <c r="U29030"/>
      <c r="X29030" s="60"/>
    </row>
    <row r="29031" spans="7:24" ht="15" customHeight="1">
      <c r="G29031"/>
      <c r="I29031"/>
      <c r="N29031"/>
      <c r="O29031" s="24"/>
      <c r="P29031"/>
      <c r="Q29031" s="24"/>
      <c r="R29031"/>
      <c r="S29031"/>
      <c r="T29031"/>
      <c r="U29031"/>
      <c r="X29031" s="60"/>
    </row>
    <row r="29032" spans="7:24" ht="15" customHeight="1">
      <c r="G29032"/>
      <c r="I29032"/>
      <c r="N29032"/>
      <c r="O29032" s="24"/>
      <c r="P29032"/>
      <c r="Q29032" s="24"/>
      <c r="R29032"/>
      <c r="S29032"/>
      <c r="T29032"/>
      <c r="U29032"/>
      <c r="X29032" s="60"/>
    </row>
    <row r="29033" spans="7:24" ht="15" customHeight="1">
      <c r="G29033"/>
      <c r="I29033"/>
      <c r="N29033"/>
      <c r="O29033" s="24"/>
      <c r="P29033"/>
      <c r="Q29033" s="24"/>
      <c r="R29033"/>
      <c r="S29033"/>
      <c r="T29033"/>
      <c r="U29033"/>
      <c r="X29033" s="60"/>
    </row>
    <row r="29034" spans="7:24" ht="15" customHeight="1">
      <c r="G29034"/>
      <c r="I29034"/>
      <c r="N29034"/>
      <c r="O29034" s="24"/>
      <c r="P29034"/>
      <c r="Q29034" s="24"/>
      <c r="R29034"/>
      <c r="S29034"/>
      <c r="T29034"/>
      <c r="U29034"/>
      <c r="X29034" s="60"/>
    </row>
    <row r="29035" spans="7:24" ht="15" customHeight="1">
      <c r="G29035"/>
      <c r="I29035"/>
      <c r="N29035"/>
      <c r="O29035" s="24"/>
      <c r="P29035"/>
      <c r="Q29035" s="24"/>
      <c r="R29035"/>
      <c r="S29035"/>
      <c r="T29035"/>
      <c r="U29035"/>
      <c r="X29035" s="60"/>
    </row>
    <row r="29036" spans="7:24" ht="15" customHeight="1">
      <c r="G29036"/>
      <c r="I29036"/>
      <c r="N29036"/>
      <c r="O29036" s="24"/>
      <c r="P29036"/>
      <c r="Q29036" s="24"/>
      <c r="R29036"/>
      <c r="S29036"/>
      <c r="T29036"/>
      <c r="U29036"/>
      <c r="X29036" s="60"/>
    </row>
    <row r="29037" spans="7:24" ht="15" customHeight="1">
      <c r="G29037"/>
      <c r="I29037"/>
      <c r="N29037"/>
      <c r="O29037" s="24"/>
      <c r="P29037"/>
      <c r="Q29037" s="24"/>
      <c r="R29037"/>
      <c r="S29037"/>
      <c r="T29037"/>
      <c r="U29037"/>
      <c r="X29037" s="60"/>
    </row>
    <row r="29038" spans="7:24" ht="15" customHeight="1">
      <c r="G29038"/>
      <c r="I29038"/>
      <c r="N29038"/>
      <c r="O29038" s="24"/>
      <c r="P29038"/>
      <c r="Q29038" s="24"/>
      <c r="R29038"/>
      <c r="S29038"/>
      <c r="T29038"/>
      <c r="U29038"/>
      <c r="X29038" s="60"/>
    </row>
    <row r="29039" spans="7:24" ht="15" customHeight="1">
      <c r="G29039"/>
      <c r="I29039"/>
      <c r="N29039"/>
      <c r="O29039" s="24"/>
      <c r="P29039"/>
      <c r="Q29039" s="24"/>
      <c r="R29039"/>
      <c r="S29039"/>
      <c r="T29039"/>
      <c r="U29039"/>
      <c r="X29039" s="60"/>
    </row>
    <row r="29040" spans="7:24" ht="15" customHeight="1">
      <c r="G29040"/>
      <c r="I29040"/>
      <c r="N29040"/>
      <c r="O29040" s="24"/>
      <c r="P29040"/>
      <c r="Q29040" s="24"/>
      <c r="R29040"/>
      <c r="S29040"/>
      <c r="T29040"/>
      <c r="U29040"/>
      <c r="X29040" s="60"/>
    </row>
    <row r="29041" spans="7:24" ht="15" customHeight="1">
      <c r="G29041"/>
      <c r="I29041"/>
      <c r="N29041"/>
      <c r="O29041" s="24"/>
      <c r="P29041"/>
      <c r="Q29041" s="24"/>
      <c r="R29041"/>
      <c r="S29041"/>
      <c r="T29041"/>
      <c r="U29041"/>
      <c r="X29041" s="60"/>
    </row>
    <row r="29042" spans="7:24" ht="15" customHeight="1">
      <c r="G29042"/>
      <c r="I29042"/>
      <c r="N29042"/>
      <c r="O29042" s="24"/>
      <c r="P29042"/>
      <c r="Q29042" s="24"/>
      <c r="R29042"/>
      <c r="S29042"/>
      <c r="T29042"/>
      <c r="U29042"/>
      <c r="X29042" s="60"/>
    </row>
    <row r="29043" spans="7:24" ht="15" customHeight="1">
      <c r="G29043"/>
      <c r="I29043"/>
      <c r="N29043"/>
      <c r="O29043" s="24"/>
      <c r="P29043"/>
      <c r="Q29043" s="24"/>
      <c r="R29043"/>
      <c r="S29043"/>
      <c r="T29043"/>
      <c r="U29043"/>
      <c r="X29043" s="60"/>
    </row>
    <row r="29044" spans="7:24" ht="15" customHeight="1">
      <c r="G29044"/>
      <c r="I29044"/>
      <c r="N29044"/>
      <c r="O29044" s="24"/>
      <c r="P29044"/>
      <c r="Q29044" s="24"/>
      <c r="R29044"/>
      <c r="S29044"/>
      <c r="T29044"/>
      <c r="U29044"/>
      <c r="X29044" s="60"/>
    </row>
    <row r="29045" spans="7:24" ht="15" customHeight="1">
      <c r="G29045"/>
      <c r="I29045"/>
      <c r="N29045"/>
      <c r="O29045" s="24"/>
      <c r="P29045"/>
      <c r="Q29045" s="24"/>
      <c r="R29045"/>
      <c r="S29045"/>
      <c r="T29045"/>
      <c r="U29045"/>
      <c r="X29045" s="60"/>
    </row>
    <row r="29046" spans="7:24" ht="15" customHeight="1">
      <c r="G29046"/>
      <c r="I29046"/>
      <c r="N29046"/>
      <c r="O29046" s="24"/>
      <c r="P29046"/>
      <c r="Q29046" s="24"/>
      <c r="R29046"/>
      <c r="S29046"/>
      <c r="T29046"/>
      <c r="U29046"/>
      <c r="X29046" s="60"/>
    </row>
    <row r="29047" spans="7:24" ht="15" customHeight="1">
      <c r="G29047"/>
      <c r="I29047"/>
      <c r="N29047"/>
      <c r="O29047" s="24"/>
      <c r="P29047"/>
      <c r="Q29047" s="24"/>
      <c r="R29047"/>
      <c r="S29047"/>
      <c r="T29047"/>
      <c r="U29047"/>
      <c r="X29047" s="60"/>
    </row>
    <row r="29048" spans="7:24" ht="15" customHeight="1">
      <c r="G29048"/>
      <c r="I29048"/>
      <c r="N29048"/>
      <c r="O29048" s="24"/>
      <c r="P29048"/>
      <c r="Q29048" s="24"/>
      <c r="R29048"/>
      <c r="S29048"/>
      <c r="T29048"/>
      <c r="U29048"/>
      <c r="X29048" s="60"/>
    </row>
    <row r="29049" spans="7:24" ht="15" customHeight="1">
      <c r="G29049"/>
      <c r="I29049"/>
      <c r="N29049"/>
      <c r="O29049" s="24"/>
      <c r="P29049"/>
      <c r="Q29049" s="24"/>
      <c r="R29049"/>
      <c r="S29049"/>
      <c r="T29049"/>
      <c r="U29049"/>
      <c r="X29049" s="60"/>
    </row>
    <row r="29050" spans="7:24" ht="15" customHeight="1">
      <c r="G29050"/>
      <c r="I29050"/>
      <c r="N29050"/>
      <c r="O29050" s="24"/>
      <c r="P29050"/>
      <c r="Q29050" s="24"/>
      <c r="R29050"/>
      <c r="S29050"/>
      <c r="T29050"/>
      <c r="U29050"/>
      <c r="X29050" s="60"/>
    </row>
    <row r="29051" spans="7:24" ht="15" customHeight="1">
      <c r="G29051"/>
      <c r="I29051"/>
      <c r="N29051"/>
      <c r="O29051" s="24"/>
      <c r="P29051"/>
      <c r="Q29051" s="24"/>
      <c r="R29051"/>
      <c r="S29051"/>
      <c r="T29051"/>
      <c r="U29051"/>
      <c r="X29051" s="60"/>
    </row>
    <row r="29052" spans="7:24" ht="15" customHeight="1">
      <c r="G29052"/>
      <c r="I29052"/>
      <c r="N29052"/>
      <c r="O29052" s="24"/>
      <c r="P29052"/>
      <c r="Q29052" s="24"/>
      <c r="R29052"/>
      <c r="S29052"/>
      <c r="T29052"/>
      <c r="U29052"/>
      <c r="X29052" s="60"/>
    </row>
    <row r="29053" spans="7:24" ht="15" customHeight="1">
      <c r="G29053"/>
      <c r="I29053"/>
      <c r="N29053"/>
      <c r="O29053" s="24"/>
      <c r="P29053"/>
      <c r="Q29053" s="24"/>
      <c r="R29053"/>
      <c r="S29053"/>
      <c r="T29053"/>
      <c r="U29053"/>
      <c r="X29053" s="60"/>
    </row>
    <row r="29054" spans="7:24" ht="15" customHeight="1">
      <c r="G29054"/>
      <c r="I29054"/>
      <c r="N29054"/>
      <c r="O29054" s="24"/>
      <c r="P29054"/>
      <c r="Q29054" s="24"/>
      <c r="R29054"/>
      <c r="S29054"/>
      <c r="T29054"/>
      <c r="U29054"/>
      <c r="X29054" s="60"/>
    </row>
    <row r="29055" spans="7:24" ht="15" customHeight="1">
      <c r="G29055"/>
      <c r="I29055"/>
      <c r="N29055"/>
      <c r="O29055" s="24"/>
      <c r="P29055"/>
      <c r="Q29055" s="24"/>
      <c r="R29055"/>
      <c r="S29055"/>
      <c r="T29055"/>
      <c r="U29055"/>
      <c r="X29055" s="60"/>
    </row>
    <row r="29056" spans="7:24" ht="15" customHeight="1">
      <c r="G29056"/>
      <c r="I29056"/>
      <c r="N29056"/>
      <c r="O29056" s="24"/>
      <c r="P29056"/>
      <c r="Q29056" s="24"/>
      <c r="R29056"/>
      <c r="S29056"/>
      <c r="T29056"/>
      <c r="U29056"/>
      <c r="X29056" s="60"/>
    </row>
    <row r="29057" spans="7:24" ht="15" customHeight="1">
      <c r="G29057"/>
      <c r="I29057"/>
      <c r="N29057"/>
      <c r="O29057" s="24"/>
      <c r="P29057"/>
      <c r="Q29057" s="24"/>
      <c r="R29057"/>
      <c r="S29057"/>
      <c r="T29057"/>
      <c r="U29057"/>
      <c r="X29057" s="60"/>
    </row>
    <row r="29058" spans="7:24" ht="15" customHeight="1">
      <c r="G29058"/>
      <c r="I29058"/>
      <c r="N29058"/>
      <c r="O29058" s="24"/>
      <c r="P29058"/>
      <c r="Q29058" s="24"/>
      <c r="R29058"/>
      <c r="S29058"/>
      <c r="T29058"/>
      <c r="U29058"/>
      <c r="X29058" s="60"/>
    </row>
    <row r="29059" spans="7:24" ht="15" customHeight="1">
      <c r="G29059"/>
      <c r="I29059"/>
      <c r="N29059"/>
      <c r="O29059" s="24"/>
      <c r="P29059"/>
      <c r="Q29059" s="24"/>
      <c r="R29059"/>
      <c r="S29059"/>
      <c r="T29059"/>
      <c r="U29059"/>
      <c r="X29059" s="60"/>
    </row>
    <row r="29060" spans="7:24" ht="15" customHeight="1">
      <c r="G29060"/>
      <c r="I29060"/>
      <c r="N29060"/>
      <c r="O29060" s="24"/>
      <c r="P29060"/>
      <c r="Q29060" s="24"/>
      <c r="R29060"/>
      <c r="S29060"/>
      <c r="T29060"/>
      <c r="U29060"/>
      <c r="X29060" s="60"/>
    </row>
    <row r="29061" spans="7:24" ht="15" customHeight="1">
      <c r="G29061"/>
      <c r="I29061"/>
      <c r="N29061"/>
      <c r="O29061" s="24"/>
      <c r="P29061"/>
      <c r="Q29061" s="24"/>
      <c r="R29061"/>
      <c r="S29061"/>
      <c r="T29061"/>
      <c r="U29061"/>
      <c r="X29061" s="60"/>
    </row>
    <row r="29062" spans="7:24" ht="15" customHeight="1">
      <c r="G29062"/>
      <c r="I29062"/>
      <c r="N29062"/>
      <c r="O29062" s="24"/>
      <c r="P29062"/>
      <c r="Q29062" s="24"/>
      <c r="R29062"/>
      <c r="S29062"/>
      <c r="T29062"/>
      <c r="U29062"/>
      <c r="X29062" s="60"/>
    </row>
    <row r="29063" spans="7:24" ht="15" customHeight="1">
      <c r="G29063"/>
      <c r="I29063"/>
      <c r="N29063"/>
      <c r="O29063" s="24"/>
      <c r="P29063"/>
      <c r="Q29063" s="24"/>
      <c r="R29063"/>
      <c r="S29063"/>
      <c r="T29063"/>
      <c r="U29063"/>
      <c r="X29063" s="60"/>
    </row>
    <row r="29064" spans="7:24" ht="15" customHeight="1">
      <c r="G29064"/>
      <c r="I29064"/>
      <c r="N29064"/>
      <c r="O29064" s="24"/>
      <c r="P29064"/>
      <c r="Q29064" s="24"/>
      <c r="R29064"/>
      <c r="S29064"/>
      <c r="T29064"/>
      <c r="U29064"/>
      <c r="X29064" s="60"/>
    </row>
    <row r="29065" spans="7:24" ht="15" customHeight="1">
      <c r="G29065"/>
      <c r="I29065"/>
      <c r="N29065"/>
      <c r="O29065" s="24"/>
      <c r="P29065"/>
      <c r="Q29065" s="24"/>
      <c r="R29065"/>
      <c r="S29065"/>
      <c r="T29065"/>
      <c r="U29065"/>
      <c r="X29065" s="60"/>
    </row>
    <row r="29066" spans="7:24" ht="15" customHeight="1">
      <c r="G29066"/>
      <c r="I29066"/>
      <c r="N29066"/>
      <c r="O29066" s="24"/>
      <c r="P29066"/>
      <c r="Q29066" s="24"/>
      <c r="R29066"/>
      <c r="S29066"/>
      <c r="T29066"/>
      <c r="U29066"/>
      <c r="X29066" s="60"/>
    </row>
    <row r="29067" spans="7:24" ht="15" customHeight="1">
      <c r="G29067"/>
      <c r="I29067"/>
      <c r="N29067"/>
      <c r="O29067" s="24"/>
      <c r="P29067"/>
      <c r="Q29067" s="24"/>
      <c r="R29067"/>
      <c r="S29067"/>
      <c r="T29067"/>
      <c r="U29067"/>
      <c r="X29067" s="60"/>
    </row>
    <row r="29068" spans="7:24" ht="15" customHeight="1">
      <c r="G29068"/>
      <c r="I29068"/>
      <c r="N29068"/>
      <c r="O29068" s="24"/>
      <c r="P29068"/>
      <c r="Q29068" s="24"/>
      <c r="R29068"/>
      <c r="S29068"/>
      <c r="T29068"/>
      <c r="U29068"/>
      <c r="X29068" s="60"/>
    </row>
    <row r="29069" spans="7:24" ht="15" customHeight="1">
      <c r="G29069"/>
      <c r="I29069"/>
      <c r="N29069"/>
      <c r="O29069" s="24"/>
      <c r="P29069"/>
      <c r="Q29069" s="24"/>
      <c r="R29069"/>
      <c r="S29069"/>
      <c r="T29069"/>
      <c r="U29069"/>
      <c r="X29069" s="60"/>
    </row>
    <row r="29070" spans="7:24" ht="15" customHeight="1">
      <c r="G29070"/>
      <c r="I29070"/>
      <c r="N29070"/>
      <c r="O29070" s="24"/>
      <c r="P29070"/>
      <c r="Q29070" s="24"/>
      <c r="R29070"/>
      <c r="S29070"/>
      <c r="T29070"/>
      <c r="U29070"/>
      <c r="X29070" s="60"/>
    </row>
    <row r="29071" spans="7:24" ht="15" customHeight="1">
      <c r="G29071"/>
      <c r="I29071"/>
      <c r="N29071"/>
      <c r="O29071" s="24"/>
      <c r="P29071"/>
      <c r="Q29071" s="24"/>
      <c r="R29071"/>
      <c r="S29071"/>
      <c r="T29071"/>
      <c r="U29071"/>
      <c r="X29071" s="60"/>
    </row>
    <row r="29072" spans="7:24" ht="15" customHeight="1">
      <c r="G29072"/>
      <c r="I29072"/>
      <c r="N29072"/>
      <c r="O29072" s="24"/>
      <c r="P29072"/>
      <c r="Q29072" s="24"/>
      <c r="R29072"/>
      <c r="S29072"/>
      <c r="T29072"/>
      <c r="U29072"/>
      <c r="X29072" s="60"/>
    </row>
    <row r="29073" spans="7:24" ht="15" customHeight="1">
      <c r="G29073"/>
      <c r="I29073"/>
      <c r="N29073"/>
      <c r="O29073" s="24"/>
      <c r="P29073"/>
      <c r="Q29073" s="24"/>
      <c r="R29073"/>
      <c r="S29073"/>
      <c r="T29073"/>
      <c r="U29073"/>
      <c r="X29073" s="60"/>
    </row>
    <row r="29074" spans="7:24" ht="15" customHeight="1">
      <c r="G29074"/>
      <c r="I29074"/>
      <c r="N29074"/>
      <c r="O29074" s="24"/>
      <c r="P29074"/>
      <c r="Q29074" s="24"/>
      <c r="R29074"/>
      <c r="S29074"/>
      <c r="T29074"/>
      <c r="U29074"/>
      <c r="X29074" s="60"/>
    </row>
    <row r="29075" spans="7:24" ht="15" customHeight="1">
      <c r="G29075"/>
      <c r="I29075"/>
      <c r="N29075"/>
      <c r="O29075" s="24"/>
      <c r="P29075"/>
      <c r="Q29075" s="24"/>
      <c r="R29075"/>
      <c r="S29075"/>
      <c r="T29075"/>
      <c r="U29075"/>
      <c r="X29075" s="60"/>
    </row>
    <row r="29076" spans="7:24" ht="15" customHeight="1">
      <c r="G29076"/>
      <c r="I29076"/>
      <c r="N29076"/>
      <c r="O29076" s="24"/>
      <c r="P29076"/>
      <c r="Q29076" s="24"/>
      <c r="R29076"/>
      <c r="S29076"/>
      <c r="T29076"/>
      <c r="U29076"/>
      <c r="X29076" s="60"/>
    </row>
    <row r="29077" spans="7:24" ht="15" customHeight="1">
      <c r="G29077"/>
      <c r="I29077"/>
      <c r="N29077"/>
      <c r="O29077" s="24"/>
      <c r="P29077"/>
      <c r="Q29077" s="24"/>
      <c r="R29077"/>
      <c r="S29077"/>
      <c r="T29077"/>
      <c r="U29077"/>
      <c r="X29077" s="60"/>
    </row>
    <row r="29078" spans="7:24" ht="15" customHeight="1">
      <c r="G29078"/>
      <c r="I29078"/>
      <c r="N29078"/>
      <c r="O29078" s="24"/>
      <c r="P29078"/>
      <c r="Q29078" s="24"/>
      <c r="R29078"/>
      <c r="S29078"/>
      <c r="T29078"/>
      <c r="U29078"/>
      <c r="X29078" s="60"/>
    </row>
    <row r="29079" spans="7:24" ht="15" customHeight="1">
      <c r="G29079"/>
      <c r="I29079"/>
      <c r="N29079"/>
      <c r="O29079" s="24"/>
      <c r="P29079"/>
      <c r="Q29079" s="24"/>
      <c r="R29079"/>
      <c r="S29079"/>
      <c r="T29079"/>
      <c r="U29079"/>
      <c r="X29079" s="60"/>
    </row>
    <row r="29080" spans="7:24" ht="15" customHeight="1">
      <c r="G29080"/>
      <c r="I29080"/>
      <c r="N29080"/>
      <c r="O29080" s="24"/>
      <c r="P29080"/>
      <c r="Q29080" s="24"/>
      <c r="R29080"/>
      <c r="S29080"/>
      <c r="T29080"/>
      <c r="U29080"/>
      <c r="X29080" s="60"/>
    </row>
    <row r="29081" spans="7:24" ht="15" customHeight="1">
      <c r="G29081"/>
      <c r="I29081"/>
      <c r="N29081"/>
      <c r="O29081" s="24"/>
      <c r="P29081"/>
      <c r="Q29081" s="24"/>
      <c r="R29081"/>
      <c r="S29081"/>
      <c r="T29081"/>
      <c r="U29081"/>
      <c r="X29081" s="60"/>
    </row>
    <row r="29082" spans="7:24" ht="15" customHeight="1">
      <c r="G29082"/>
      <c r="I29082"/>
      <c r="N29082"/>
      <c r="O29082" s="24"/>
      <c r="P29082"/>
      <c r="Q29082" s="24"/>
      <c r="R29082"/>
      <c r="S29082"/>
      <c r="T29082"/>
      <c r="U29082"/>
      <c r="X29082" s="60"/>
    </row>
    <row r="29083" spans="7:24" ht="15" customHeight="1">
      <c r="G29083"/>
      <c r="I29083"/>
      <c r="N29083"/>
      <c r="O29083" s="24"/>
      <c r="P29083"/>
      <c r="Q29083" s="24"/>
      <c r="R29083"/>
      <c r="S29083"/>
      <c r="T29083"/>
      <c r="U29083"/>
      <c r="X29083" s="60"/>
    </row>
    <row r="29084" spans="7:24" ht="15" customHeight="1">
      <c r="G29084"/>
      <c r="I29084"/>
      <c r="N29084"/>
      <c r="O29084" s="24"/>
      <c r="P29084"/>
      <c r="Q29084" s="24"/>
      <c r="R29084"/>
      <c r="S29084"/>
      <c r="T29084"/>
      <c r="U29084"/>
      <c r="X29084" s="60"/>
    </row>
    <row r="29085" spans="7:24" ht="15" customHeight="1">
      <c r="G29085"/>
      <c r="I29085"/>
      <c r="N29085"/>
      <c r="O29085" s="24"/>
      <c r="P29085"/>
      <c r="Q29085" s="24"/>
      <c r="R29085"/>
      <c r="S29085"/>
      <c r="T29085"/>
      <c r="U29085"/>
      <c r="X29085" s="60"/>
    </row>
    <row r="29086" spans="7:24" ht="15" customHeight="1">
      <c r="G29086"/>
      <c r="I29086"/>
      <c r="N29086"/>
      <c r="O29086" s="24"/>
      <c r="P29086"/>
      <c r="Q29086" s="24"/>
      <c r="R29086"/>
      <c r="S29086"/>
      <c r="T29086"/>
      <c r="U29086"/>
      <c r="X29086" s="60"/>
    </row>
    <row r="29087" spans="7:24" ht="15" customHeight="1">
      <c r="G29087"/>
      <c r="I29087"/>
      <c r="N29087"/>
      <c r="O29087" s="24"/>
      <c r="P29087"/>
      <c r="Q29087" s="24"/>
      <c r="R29087"/>
      <c r="S29087"/>
      <c r="T29087"/>
      <c r="U29087"/>
      <c r="X29087" s="60"/>
    </row>
    <row r="29088" spans="7:24" ht="15" customHeight="1">
      <c r="G29088"/>
      <c r="I29088"/>
      <c r="N29088"/>
      <c r="O29088" s="24"/>
      <c r="P29088"/>
      <c r="Q29088" s="24"/>
      <c r="R29088"/>
      <c r="S29088"/>
      <c r="T29088"/>
      <c r="U29088"/>
      <c r="X29088" s="60"/>
    </row>
    <row r="29089" spans="7:24" ht="15" customHeight="1">
      <c r="G29089"/>
      <c r="I29089"/>
      <c r="N29089"/>
      <c r="O29089" s="24"/>
      <c r="P29089"/>
      <c r="Q29089" s="24"/>
      <c r="R29089"/>
      <c r="S29089"/>
      <c r="T29089"/>
      <c r="U29089"/>
      <c r="X29089" s="60"/>
    </row>
    <row r="29090" spans="7:24" ht="15" customHeight="1">
      <c r="G29090"/>
      <c r="I29090"/>
      <c r="N29090"/>
      <c r="O29090" s="24"/>
      <c r="P29090"/>
      <c r="Q29090" s="24"/>
      <c r="R29090"/>
      <c r="S29090"/>
      <c r="T29090"/>
      <c r="U29090"/>
      <c r="X29090" s="60"/>
    </row>
    <row r="29091" spans="7:24" ht="15" customHeight="1">
      <c r="G29091"/>
      <c r="I29091"/>
      <c r="N29091"/>
      <c r="O29091" s="24"/>
      <c r="P29091"/>
      <c r="Q29091" s="24"/>
      <c r="R29091"/>
      <c r="S29091"/>
      <c r="T29091"/>
      <c r="U29091"/>
      <c r="X29091" s="60"/>
    </row>
    <row r="29092" spans="7:24" ht="15" customHeight="1">
      <c r="G29092"/>
      <c r="I29092"/>
      <c r="N29092"/>
      <c r="O29092" s="24"/>
      <c r="P29092"/>
      <c r="Q29092" s="24"/>
      <c r="R29092"/>
      <c r="S29092"/>
      <c r="T29092"/>
      <c r="U29092"/>
      <c r="X29092" s="60"/>
    </row>
    <row r="29093" spans="7:24" ht="15" customHeight="1">
      <c r="G29093"/>
      <c r="I29093"/>
      <c r="N29093"/>
      <c r="O29093" s="24"/>
      <c r="P29093"/>
      <c r="Q29093" s="24"/>
      <c r="R29093"/>
      <c r="S29093"/>
      <c r="T29093"/>
      <c r="U29093"/>
      <c r="X29093" s="60"/>
    </row>
    <row r="29094" spans="7:24" ht="15" customHeight="1">
      <c r="G29094"/>
      <c r="I29094"/>
      <c r="N29094"/>
      <c r="O29094" s="24"/>
      <c r="P29094"/>
      <c r="Q29094" s="24"/>
      <c r="R29094"/>
      <c r="S29094"/>
      <c r="T29094"/>
      <c r="U29094"/>
      <c r="X29094" s="60"/>
    </row>
    <row r="29095" spans="7:24" ht="15" customHeight="1">
      <c r="G29095"/>
      <c r="I29095"/>
      <c r="N29095"/>
      <c r="O29095" s="24"/>
      <c r="P29095"/>
      <c r="Q29095" s="24"/>
      <c r="R29095"/>
      <c r="S29095"/>
      <c r="T29095"/>
      <c r="U29095"/>
      <c r="X29095" s="60"/>
    </row>
    <row r="29096" spans="7:24" ht="15" customHeight="1">
      <c r="G29096"/>
      <c r="I29096"/>
      <c r="N29096"/>
      <c r="O29096" s="24"/>
      <c r="P29096"/>
      <c r="Q29096" s="24"/>
      <c r="R29096"/>
      <c r="S29096"/>
      <c r="T29096"/>
      <c r="U29096"/>
      <c r="X29096" s="60"/>
    </row>
    <row r="29097" spans="7:24" ht="15" customHeight="1">
      <c r="G29097"/>
      <c r="I29097"/>
      <c r="N29097"/>
      <c r="O29097" s="24"/>
      <c r="P29097"/>
      <c r="Q29097" s="24"/>
      <c r="R29097"/>
      <c r="S29097"/>
      <c r="T29097"/>
      <c r="U29097"/>
      <c r="X29097" s="60"/>
    </row>
    <row r="29098" spans="7:24" ht="15" customHeight="1">
      <c r="G29098"/>
      <c r="I29098"/>
      <c r="N29098"/>
      <c r="O29098" s="24"/>
      <c r="P29098"/>
      <c r="Q29098" s="24"/>
      <c r="R29098"/>
      <c r="S29098"/>
      <c r="T29098"/>
      <c r="U29098"/>
      <c r="X29098" s="60"/>
    </row>
    <row r="29099" spans="7:24" ht="15" customHeight="1">
      <c r="G29099"/>
      <c r="I29099"/>
      <c r="N29099"/>
      <c r="O29099" s="24"/>
      <c r="P29099"/>
      <c r="Q29099" s="24"/>
      <c r="R29099"/>
      <c r="S29099"/>
      <c r="T29099"/>
      <c r="U29099"/>
      <c r="X29099" s="60"/>
    </row>
    <row r="29100" spans="7:24" ht="15" customHeight="1">
      <c r="G29100"/>
      <c r="I29100"/>
      <c r="N29100"/>
      <c r="O29100" s="24"/>
      <c r="P29100"/>
      <c r="Q29100" s="24"/>
      <c r="R29100"/>
      <c r="S29100"/>
      <c r="T29100"/>
      <c r="U29100"/>
      <c r="X29100" s="60"/>
    </row>
    <row r="29101" spans="7:24" ht="15" customHeight="1">
      <c r="G29101"/>
      <c r="I29101"/>
      <c r="N29101"/>
      <c r="O29101" s="24"/>
      <c r="P29101"/>
      <c r="Q29101" s="24"/>
      <c r="R29101"/>
      <c r="S29101"/>
      <c r="T29101"/>
      <c r="U29101"/>
      <c r="X29101" s="60"/>
    </row>
    <row r="29102" spans="7:24" ht="15" customHeight="1">
      <c r="G29102"/>
      <c r="I29102"/>
      <c r="N29102"/>
      <c r="O29102" s="24"/>
      <c r="P29102"/>
      <c r="Q29102" s="24"/>
      <c r="R29102"/>
      <c r="S29102"/>
      <c r="T29102"/>
      <c r="U29102"/>
      <c r="X29102" s="60"/>
    </row>
    <row r="29103" spans="7:24" ht="15" customHeight="1">
      <c r="G29103"/>
      <c r="I29103"/>
      <c r="N29103"/>
      <c r="O29103" s="24"/>
      <c r="P29103"/>
      <c r="Q29103" s="24"/>
      <c r="R29103"/>
      <c r="S29103"/>
      <c r="T29103"/>
      <c r="U29103"/>
      <c r="X29103" s="60"/>
    </row>
    <row r="29104" spans="7:24" ht="15" customHeight="1">
      <c r="G29104"/>
      <c r="I29104"/>
      <c r="N29104"/>
      <c r="O29104" s="24"/>
      <c r="P29104"/>
      <c r="Q29104" s="24"/>
      <c r="R29104"/>
      <c r="S29104"/>
      <c r="T29104"/>
      <c r="U29104"/>
      <c r="X29104" s="60"/>
    </row>
    <row r="29105" spans="7:24" ht="15" customHeight="1">
      <c r="G29105"/>
      <c r="I29105"/>
      <c r="N29105"/>
      <c r="O29105" s="24"/>
      <c r="P29105"/>
      <c r="Q29105" s="24"/>
      <c r="R29105"/>
      <c r="S29105"/>
      <c r="T29105"/>
      <c r="U29105"/>
      <c r="X29105" s="60"/>
    </row>
    <row r="29106" spans="7:24" ht="15" customHeight="1">
      <c r="G29106"/>
      <c r="I29106"/>
      <c r="N29106"/>
      <c r="O29106" s="24"/>
      <c r="P29106"/>
      <c r="Q29106" s="24"/>
      <c r="R29106"/>
      <c r="S29106"/>
      <c r="T29106"/>
      <c r="U29106"/>
      <c r="X29106" s="60"/>
    </row>
    <row r="29107" spans="7:24" ht="15" customHeight="1">
      <c r="G29107"/>
      <c r="I29107"/>
      <c r="N29107"/>
      <c r="O29107" s="24"/>
      <c r="P29107"/>
      <c r="Q29107" s="24"/>
      <c r="R29107"/>
      <c r="S29107"/>
      <c r="T29107"/>
      <c r="U29107"/>
      <c r="X29107" s="60"/>
    </row>
    <row r="29108" spans="7:24" ht="15" customHeight="1">
      <c r="G29108"/>
      <c r="I29108"/>
      <c r="N29108"/>
      <c r="O29108" s="24"/>
      <c r="P29108"/>
      <c r="Q29108" s="24"/>
      <c r="R29108"/>
      <c r="S29108"/>
      <c r="T29108"/>
      <c r="U29108"/>
      <c r="X29108" s="60"/>
    </row>
    <row r="29109" spans="7:24" ht="15" customHeight="1">
      <c r="G29109"/>
      <c r="I29109"/>
      <c r="N29109"/>
      <c r="O29109" s="24"/>
      <c r="P29109"/>
      <c r="Q29109" s="24"/>
      <c r="R29109"/>
      <c r="S29109"/>
      <c r="T29109"/>
      <c r="U29109"/>
      <c r="X29109" s="60"/>
    </row>
    <row r="29110" spans="7:24" ht="15" customHeight="1">
      <c r="G29110"/>
      <c r="I29110"/>
      <c r="N29110"/>
      <c r="O29110" s="24"/>
      <c r="P29110"/>
      <c r="Q29110" s="24"/>
      <c r="R29110"/>
      <c r="S29110"/>
      <c r="T29110"/>
      <c r="U29110"/>
      <c r="X29110" s="60"/>
    </row>
    <row r="29111" spans="7:24" ht="15" customHeight="1">
      <c r="G29111"/>
      <c r="I29111"/>
      <c r="N29111"/>
      <c r="O29111" s="24"/>
      <c r="P29111"/>
      <c r="Q29111" s="24"/>
      <c r="R29111"/>
      <c r="S29111"/>
      <c r="T29111"/>
      <c r="U29111"/>
      <c r="X29111" s="60"/>
    </row>
    <row r="29112" spans="7:24" ht="15" customHeight="1">
      <c r="G29112"/>
      <c r="I29112"/>
      <c r="N29112"/>
      <c r="O29112" s="24"/>
      <c r="P29112"/>
      <c r="Q29112" s="24"/>
      <c r="R29112"/>
      <c r="S29112"/>
      <c r="T29112"/>
      <c r="U29112"/>
      <c r="X29112" s="60"/>
    </row>
    <row r="29113" spans="7:24" ht="15" customHeight="1">
      <c r="G29113"/>
      <c r="I29113"/>
      <c r="N29113"/>
      <c r="O29113" s="24"/>
      <c r="P29113"/>
      <c r="Q29113" s="24"/>
      <c r="R29113"/>
      <c r="S29113"/>
      <c r="T29113"/>
      <c r="U29113"/>
      <c r="X29113" s="60"/>
    </row>
    <row r="29114" spans="7:24" ht="15" customHeight="1">
      <c r="G29114"/>
      <c r="I29114"/>
      <c r="N29114"/>
      <c r="O29114" s="24"/>
      <c r="P29114"/>
      <c r="Q29114" s="24"/>
      <c r="R29114"/>
      <c r="S29114"/>
      <c r="T29114"/>
      <c r="U29114"/>
      <c r="X29114" s="60"/>
    </row>
    <row r="29115" spans="7:24" ht="15" customHeight="1">
      <c r="G29115"/>
      <c r="I29115"/>
      <c r="N29115"/>
      <c r="O29115" s="24"/>
      <c r="P29115"/>
      <c r="Q29115" s="24"/>
      <c r="R29115"/>
      <c r="S29115"/>
      <c r="T29115"/>
      <c r="U29115"/>
      <c r="X29115" s="60"/>
    </row>
    <row r="29116" spans="7:24" ht="15" customHeight="1">
      <c r="G29116"/>
      <c r="I29116"/>
      <c r="N29116"/>
      <c r="O29116" s="24"/>
      <c r="P29116"/>
      <c r="Q29116" s="24"/>
      <c r="R29116"/>
      <c r="S29116"/>
      <c r="T29116"/>
      <c r="U29116"/>
      <c r="X29116" s="60"/>
    </row>
    <row r="29117" spans="7:24" ht="15" customHeight="1">
      <c r="G29117"/>
      <c r="I29117"/>
      <c r="N29117"/>
      <c r="O29117" s="24"/>
      <c r="P29117"/>
      <c r="Q29117" s="24"/>
      <c r="R29117"/>
      <c r="S29117"/>
      <c r="T29117"/>
      <c r="U29117"/>
      <c r="X29117" s="60"/>
    </row>
    <row r="29118" spans="7:24" ht="15" customHeight="1">
      <c r="G29118"/>
      <c r="I29118"/>
      <c r="N29118"/>
      <c r="O29118" s="24"/>
      <c r="P29118"/>
      <c r="Q29118" s="24"/>
      <c r="R29118"/>
      <c r="S29118"/>
      <c r="T29118"/>
      <c r="U29118"/>
      <c r="X29118" s="60"/>
    </row>
    <row r="29119" spans="7:24" ht="15" customHeight="1">
      <c r="G29119"/>
      <c r="I29119"/>
      <c r="N29119"/>
      <c r="O29119" s="24"/>
      <c r="P29119"/>
      <c r="Q29119" s="24"/>
      <c r="R29119"/>
      <c r="S29119"/>
      <c r="T29119"/>
      <c r="U29119"/>
      <c r="X29119" s="60"/>
    </row>
    <row r="29120" spans="7:24" ht="15" customHeight="1">
      <c r="G29120"/>
      <c r="I29120"/>
      <c r="N29120"/>
      <c r="O29120" s="24"/>
      <c r="P29120"/>
      <c r="Q29120" s="24"/>
      <c r="R29120"/>
      <c r="S29120"/>
      <c r="T29120"/>
      <c r="U29120"/>
      <c r="X29120" s="60"/>
    </row>
    <row r="29121" spans="7:24" ht="15" customHeight="1">
      <c r="G29121"/>
      <c r="I29121"/>
      <c r="N29121"/>
      <c r="O29121" s="24"/>
      <c r="P29121"/>
      <c r="Q29121" s="24"/>
      <c r="R29121"/>
      <c r="S29121"/>
      <c r="T29121"/>
      <c r="U29121"/>
      <c r="X29121" s="60"/>
    </row>
    <row r="29122" spans="7:24" ht="15" customHeight="1">
      <c r="G29122"/>
      <c r="I29122"/>
      <c r="N29122"/>
      <c r="O29122" s="24"/>
      <c r="P29122"/>
      <c r="Q29122" s="24"/>
      <c r="R29122"/>
      <c r="S29122"/>
      <c r="T29122"/>
      <c r="U29122"/>
      <c r="X29122" s="60"/>
    </row>
    <row r="29123" spans="7:24" ht="15" customHeight="1">
      <c r="G29123"/>
      <c r="I29123"/>
      <c r="N29123"/>
      <c r="O29123" s="24"/>
      <c r="P29123"/>
      <c r="Q29123" s="24"/>
      <c r="R29123"/>
      <c r="S29123"/>
      <c r="T29123"/>
      <c r="U29123"/>
      <c r="X29123" s="60"/>
    </row>
    <row r="29124" spans="7:24" ht="15" customHeight="1">
      <c r="G29124"/>
      <c r="I29124"/>
      <c r="N29124"/>
      <c r="O29124" s="24"/>
      <c r="P29124"/>
      <c r="Q29124" s="24"/>
      <c r="R29124"/>
      <c r="S29124"/>
      <c r="T29124"/>
      <c r="U29124"/>
      <c r="X29124" s="60"/>
    </row>
    <row r="29125" spans="7:24" ht="15" customHeight="1">
      <c r="G29125"/>
      <c r="I29125"/>
      <c r="N29125"/>
      <c r="O29125" s="24"/>
      <c r="P29125"/>
      <c r="Q29125" s="24"/>
      <c r="R29125"/>
      <c r="S29125"/>
      <c r="T29125"/>
      <c r="U29125"/>
      <c r="X29125" s="60"/>
    </row>
    <row r="29126" spans="7:24" ht="15" customHeight="1">
      <c r="G29126"/>
      <c r="I29126"/>
      <c r="N29126"/>
      <c r="O29126" s="24"/>
      <c r="P29126"/>
      <c r="Q29126" s="24"/>
      <c r="R29126"/>
      <c r="S29126"/>
      <c r="T29126"/>
      <c r="U29126"/>
      <c r="X29126" s="60"/>
    </row>
    <row r="29127" spans="7:24" ht="15" customHeight="1">
      <c r="G29127"/>
      <c r="I29127"/>
      <c r="N29127"/>
      <c r="O29127" s="24"/>
      <c r="P29127"/>
      <c r="Q29127" s="24"/>
      <c r="R29127"/>
      <c r="S29127"/>
      <c r="T29127"/>
      <c r="U29127"/>
      <c r="X29127" s="60"/>
    </row>
    <row r="29128" spans="7:24" ht="15" customHeight="1">
      <c r="G29128"/>
      <c r="I29128"/>
      <c r="N29128"/>
      <c r="O29128" s="24"/>
      <c r="P29128"/>
      <c r="Q29128" s="24"/>
      <c r="R29128"/>
      <c r="S29128"/>
      <c r="T29128"/>
      <c r="U29128"/>
      <c r="X29128" s="60"/>
    </row>
    <row r="29129" spans="7:24" ht="15" customHeight="1">
      <c r="G29129"/>
      <c r="I29129"/>
      <c r="N29129"/>
      <c r="O29129" s="24"/>
      <c r="P29129"/>
      <c r="Q29129" s="24"/>
      <c r="R29129"/>
      <c r="S29129"/>
      <c r="T29129"/>
      <c r="U29129"/>
      <c r="X29129" s="60"/>
    </row>
    <row r="29130" spans="7:24" ht="15" customHeight="1">
      <c r="G29130"/>
      <c r="I29130"/>
      <c r="N29130"/>
      <c r="O29130" s="24"/>
      <c r="P29130"/>
      <c r="Q29130" s="24"/>
      <c r="R29130"/>
      <c r="S29130"/>
      <c r="T29130"/>
      <c r="U29130"/>
      <c r="X29130" s="60"/>
    </row>
    <row r="29131" spans="7:24" ht="15" customHeight="1">
      <c r="G29131"/>
      <c r="I29131"/>
      <c r="N29131"/>
      <c r="O29131" s="24"/>
      <c r="P29131"/>
      <c r="Q29131" s="24"/>
      <c r="R29131"/>
      <c r="S29131"/>
      <c r="T29131"/>
      <c r="U29131"/>
      <c r="X29131" s="60"/>
    </row>
    <row r="29132" spans="7:24" ht="15" customHeight="1">
      <c r="G29132"/>
      <c r="I29132"/>
      <c r="N29132"/>
      <c r="O29132" s="24"/>
      <c r="P29132"/>
      <c r="Q29132" s="24"/>
      <c r="R29132"/>
      <c r="S29132"/>
      <c r="T29132"/>
      <c r="U29132"/>
      <c r="X29132" s="60"/>
    </row>
    <row r="29133" spans="7:24" ht="15" customHeight="1">
      <c r="G29133"/>
      <c r="I29133"/>
      <c r="N29133"/>
      <c r="O29133" s="24"/>
      <c r="P29133"/>
      <c r="Q29133" s="24"/>
      <c r="R29133"/>
      <c r="S29133"/>
      <c r="T29133"/>
      <c r="U29133"/>
      <c r="X29133" s="60"/>
    </row>
    <row r="29134" spans="7:24" ht="15" customHeight="1">
      <c r="G29134"/>
      <c r="I29134"/>
      <c r="N29134"/>
      <c r="O29134" s="24"/>
      <c r="P29134"/>
      <c r="Q29134" s="24"/>
      <c r="R29134"/>
      <c r="S29134"/>
      <c r="T29134"/>
      <c r="U29134"/>
      <c r="X29134" s="60"/>
    </row>
    <row r="29135" spans="7:24" ht="15" customHeight="1">
      <c r="G29135"/>
      <c r="I29135"/>
      <c r="N29135"/>
      <c r="O29135" s="24"/>
      <c r="P29135"/>
      <c r="Q29135" s="24"/>
      <c r="R29135"/>
      <c r="S29135"/>
      <c r="T29135"/>
      <c r="U29135"/>
      <c r="X29135" s="60"/>
    </row>
    <row r="29136" spans="7:24" ht="15" customHeight="1">
      <c r="G29136"/>
      <c r="I29136"/>
      <c r="N29136"/>
      <c r="O29136" s="24"/>
      <c r="P29136"/>
      <c r="Q29136" s="24"/>
      <c r="R29136"/>
      <c r="S29136"/>
      <c r="T29136"/>
      <c r="U29136"/>
      <c r="X29136" s="60"/>
    </row>
    <row r="29137" spans="7:24" ht="15" customHeight="1">
      <c r="G29137"/>
      <c r="I29137"/>
      <c r="N29137"/>
      <c r="O29137" s="24"/>
      <c r="P29137"/>
      <c r="Q29137" s="24"/>
      <c r="R29137"/>
      <c r="S29137"/>
      <c r="T29137"/>
      <c r="U29137"/>
      <c r="X29137" s="60"/>
    </row>
    <row r="29138" spans="7:24" ht="15" customHeight="1">
      <c r="G29138"/>
      <c r="I29138"/>
      <c r="N29138"/>
      <c r="O29138" s="24"/>
      <c r="P29138"/>
      <c r="Q29138" s="24"/>
      <c r="R29138"/>
      <c r="S29138"/>
      <c r="T29138"/>
      <c r="U29138"/>
      <c r="X29138" s="60"/>
    </row>
    <row r="29139" spans="7:24" ht="15" customHeight="1">
      <c r="G29139"/>
      <c r="I29139"/>
      <c r="N29139"/>
      <c r="O29139" s="24"/>
      <c r="P29139"/>
      <c r="Q29139" s="24"/>
      <c r="R29139"/>
      <c r="S29139"/>
      <c r="T29139"/>
      <c r="U29139"/>
      <c r="X29139" s="60"/>
    </row>
    <row r="29140" spans="7:24" ht="15" customHeight="1">
      <c r="G29140"/>
      <c r="I29140"/>
      <c r="N29140"/>
      <c r="O29140" s="24"/>
      <c r="P29140"/>
      <c r="Q29140" s="24"/>
      <c r="R29140"/>
      <c r="S29140"/>
      <c r="T29140"/>
      <c r="U29140"/>
      <c r="X29140" s="60"/>
    </row>
    <row r="29141" spans="7:24" ht="15" customHeight="1">
      <c r="G29141"/>
      <c r="I29141"/>
      <c r="N29141"/>
      <c r="O29141" s="24"/>
      <c r="P29141"/>
      <c r="Q29141" s="24"/>
      <c r="R29141"/>
      <c r="S29141"/>
      <c r="T29141"/>
      <c r="U29141"/>
      <c r="X29141" s="60"/>
    </row>
    <row r="29142" spans="7:24" ht="15" customHeight="1">
      <c r="G29142"/>
      <c r="I29142"/>
      <c r="N29142"/>
      <c r="O29142" s="24"/>
      <c r="P29142"/>
      <c r="Q29142" s="24"/>
      <c r="R29142"/>
      <c r="S29142"/>
      <c r="T29142"/>
      <c r="U29142"/>
      <c r="X29142" s="60"/>
    </row>
    <row r="29143" spans="7:24" ht="15" customHeight="1">
      <c r="G29143"/>
      <c r="I29143"/>
      <c r="N29143"/>
      <c r="O29143" s="24"/>
      <c r="P29143"/>
      <c r="Q29143" s="24"/>
      <c r="R29143"/>
      <c r="S29143"/>
      <c r="T29143"/>
      <c r="U29143"/>
      <c r="X29143" s="60"/>
    </row>
    <row r="29144" spans="7:24" ht="15" customHeight="1">
      <c r="G29144"/>
      <c r="I29144"/>
      <c r="N29144"/>
      <c r="O29144" s="24"/>
      <c r="P29144"/>
      <c r="Q29144" s="24"/>
      <c r="R29144"/>
      <c r="S29144"/>
      <c r="T29144"/>
      <c r="U29144"/>
      <c r="X29144" s="60"/>
    </row>
    <row r="29145" spans="7:24" ht="15" customHeight="1">
      <c r="G29145"/>
      <c r="I29145"/>
      <c r="N29145"/>
      <c r="O29145" s="24"/>
      <c r="P29145"/>
      <c r="Q29145" s="24"/>
      <c r="R29145"/>
      <c r="S29145"/>
      <c r="T29145"/>
      <c r="U29145"/>
      <c r="X29145" s="60"/>
    </row>
    <row r="29146" spans="7:24" ht="15" customHeight="1">
      <c r="G29146"/>
      <c r="I29146"/>
      <c r="N29146"/>
      <c r="O29146" s="24"/>
      <c r="P29146"/>
      <c r="Q29146" s="24"/>
      <c r="R29146"/>
      <c r="S29146"/>
      <c r="T29146"/>
      <c r="U29146"/>
      <c r="X29146" s="60"/>
    </row>
    <row r="29147" spans="7:24" ht="15" customHeight="1">
      <c r="G29147"/>
      <c r="I29147"/>
      <c r="N29147"/>
      <c r="O29147" s="24"/>
      <c r="P29147"/>
      <c r="Q29147" s="24"/>
      <c r="R29147"/>
      <c r="S29147"/>
      <c r="T29147"/>
      <c r="U29147"/>
      <c r="X29147" s="60"/>
    </row>
    <row r="29148" spans="7:24" ht="15" customHeight="1">
      <c r="G29148"/>
      <c r="I29148"/>
      <c r="N29148"/>
      <c r="O29148" s="24"/>
      <c r="P29148"/>
      <c r="Q29148" s="24"/>
      <c r="R29148"/>
      <c r="S29148"/>
      <c r="T29148"/>
      <c r="U29148"/>
      <c r="X29148" s="60"/>
    </row>
    <row r="29149" spans="7:24" ht="15" customHeight="1">
      <c r="G29149"/>
      <c r="I29149"/>
      <c r="N29149"/>
      <c r="O29149" s="24"/>
      <c r="P29149"/>
      <c r="Q29149" s="24"/>
      <c r="R29149"/>
      <c r="S29149"/>
      <c r="T29149"/>
      <c r="U29149"/>
      <c r="X29149" s="60"/>
    </row>
    <row r="29150" spans="7:24" ht="15" customHeight="1">
      <c r="G29150"/>
      <c r="I29150"/>
      <c r="N29150"/>
      <c r="O29150" s="24"/>
      <c r="P29150"/>
      <c r="Q29150" s="24"/>
      <c r="R29150"/>
      <c r="S29150"/>
      <c r="T29150"/>
      <c r="U29150"/>
      <c r="X29150" s="60"/>
    </row>
    <row r="29151" spans="7:24" ht="15" customHeight="1">
      <c r="G29151"/>
      <c r="I29151"/>
      <c r="N29151"/>
      <c r="O29151" s="24"/>
      <c r="P29151"/>
      <c r="Q29151" s="24"/>
      <c r="R29151"/>
      <c r="S29151"/>
      <c r="T29151"/>
      <c r="U29151"/>
      <c r="X29151" s="60"/>
    </row>
    <row r="29152" spans="7:24" ht="15" customHeight="1">
      <c r="G29152"/>
      <c r="I29152"/>
      <c r="N29152"/>
      <c r="O29152" s="24"/>
      <c r="P29152"/>
      <c r="Q29152" s="24"/>
      <c r="R29152"/>
      <c r="S29152"/>
      <c r="T29152"/>
      <c r="U29152"/>
      <c r="X29152" s="60"/>
    </row>
    <row r="29153" spans="7:24" ht="15" customHeight="1">
      <c r="G29153"/>
      <c r="I29153"/>
      <c r="N29153"/>
      <c r="O29153" s="24"/>
      <c r="P29153"/>
      <c r="Q29153" s="24"/>
      <c r="R29153"/>
      <c r="S29153"/>
      <c r="T29153"/>
      <c r="U29153"/>
      <c r="X29153" s="60"/>
    </row>
    <row r="29154" spans="7:24" ht="15" customHeight="1">
      <c r="G29154"/>
      <c r="I29154"/>
      <c r="N29154"/>
      <c r="O29154" s="24"/>
      <c r="P29154"/>
      <c r="Q29154" s="24"/>
      <c r="R29154"/>
      <c r="S29154"/>
      <c r="T29154"/>
      <c r="U29154"/>
      <c r="X29154" s="60"/>
    </row>
    <row r="29155" spans="7:24" ht="15" customHeight="1">
      <c r="G29155"/>
      <c r="I29155"/>
      <c r="N29155"/>
      <c r="O29155" s="24"/>
      <c r="P29155"/>
      <c r="Q29155" s="24"/>
      <c r="R29155"/>
      <c r="S29155"/>
      <c r="T29155"/>
      <c r="U29155"/>
      <c r="X29155" s="60"/>
    </row>
    <row r="29156" spans="7:24" ht="15" customHeight="1">
      <c r="G29156"/>
      <c r="I29156"/>
      <c r="N29156"/>
      <c r="O29156" s="24"/>
      <c r="P29156"/>
      <c r="Q29156" s="24"/>
      <c r="R29156"/>
      <c r="S29156"/>
      <c r="T29156"/>
      <c r="U29156"/>
      <c r="X29156" s="60"/>
    </row>
    <row r="29157" spans="7:24" ht="15" customHeight="1">
      <c r="G29157"/>
      <c r="I29157"/>
      <c r="N29157"/>
      <c r="O29157" s="24"/>
      <c r="P29157"/>
      <c r="Q29157" s="24"/>
      <c r="R29157"/>
      <c r="S29157"/>
      <c r="T29157"/>
      <c r="U29157"/>
      <c r="X29157" s="60"/>
    </row>
    <row r="29158" spans="7:24" ht="15" customHeight="1">
      <c r="G29158"/>
      <c r="I29158"/>
      <c r="N29158"/>
      <c r="O29158" s="24"/>
      <c r="P29158"/>
      <c r="Q29158" s="24"/>
      <c r="R29158"/>
      <c r="S29158"/>
      <c r="T29158"/>
      <c r="U29158"/>
      <c r="X29158" s="60"/>
    </row>
    <row r="29159" spans="7:24" ht="15" customHeight="1">
      <c r="G29159"/>
      <c r="I29159"/>
      <c r="N29159"/>
      <c r="O29159" s="24"/>
      <c r="P29159"/>
      <c r="Q29159" s="24"/>
      <c r="R29159"/>
      <c r="S29159"/>
      <c r="T29159"/>
      <c r="U29159"/>
      <c r="X29159" s="60"/>
    </row>
    <row r="29160" spans="7:24" ht="15" customHeight="1">
      <c r="G29160"/>
      <c r="I29160"/>
      <c r="N29160"/>
      <c r="O29160" s="24"/>
      <c r="P29160"/>
      <c r="Q29160" s="24"/>
      <c r="R29160"/>
      <c r="S29160"/>
      <c r="T29160"/>
      <c r="U29160"/>
      <c r="X29160" s="60"/>
    </row>
    <row r="29161" spans="7:24" ht="15" customHeight="1">
      <c r="G29161"/>
      <c r="I29161"/>
      <c r="N29161"/>
      <c r="O29161" s="24"/>
      <c r="P29161"/>
      <c r="Q29161" s="24"/>
      <c r="R29161"/>
      <c r="S29161"/>
      <c r="T29161"/>
      <c r="U29161"/>
      <c r="X29161" s="60"/>
    </row>
    <row r="29162" spans="7:24" ht="15" customHeight="1">
      <c r="G29162"/>
      <c r="I29162"/>
      <c r="N29162"/>
      <c r="O29162" s="24"/>
      <c r="P29162"/>
      <c r="Q29162" s="24"/>
      <c r="R29162"/>
      <c r="S29162"/>
      <c r="T29162"/>
      <c r="U29162"/>
      <c r="X29162" s="60"/>
    </row>
    <row r="29163" spans="7:24" ht="15" customHeight="1">
      <c r="G29163"/>
      <c r="I29163"/>
      <c r="N29163"/>
      <c r="O29163" s="24"/>
      <c r="P29163"/>
      <c r="Q29163" s="24"/>
      <c r="R29163"/>
      <c r="S29163"/>
      <c r="T29163"/>
      <c r="U29163"/>
      <c r="X29163" s="60"/>
    </row>
    <row r="29164" spans="7:24" ht="15" customHeight="1">
      <c r="G29164"/>
      <c r="I29164"/>
      <c r="N29164"/>
      <c r="O29164" s="24"/>
      <c r="P29164"/>
      <c r="Q29164" s="24"/>
      <c r="R29164"/>
      <c r="S29164"/>
      <c r="T29164"/>
      <c r="U29164"/>
      <c r="X29164" s="60"/>
    </row>
    <row r="29165" spans="7:24" ht="15" customHeight="1">
      <c r="G29165"/>
      <c r="I29165"/>
      <c r="N29165"/>
      <c r="O29165" s="24"/>
      <c r="P29165"/>
      <c r="Q29165" s="24"/>
      <c r="R29165"/>
      <c r="S29165"/>
      <c r="T29165"/>
      <c r="U29165"/>
      <c r="X29165" s="60"/>
    </row>
    <row r="29166" spans="7:24" ht="15" customHeight="1">
      <c r="G29166"/>
      <c r="I29166"/>
      <c r="N29166"/>
      <c r="O29166" s="24"/>
      <c r="P29166"/>
      <c r="Q29166" s="24"/>
      <c r="R29166"/>
      <c r="S29166"/>
      <c r="T29166"/>
      <c r="U29166"/>
      <c r="X29166" s="60"/>
    </row>
    <row r="29167" spans="7:24" ht="15" customHeight="1">
      <c r="G29167"/>
      <c r="I29167"/>
      <c r="N29167"/>
      <c r="O29167" s="24"/>
      <c r="P29167"/>
      <c r="Q29167" s="24"/>
      <c r="R29167"/>
      <c r="S29167"/>
      <c r="T29167"/>
      <c r="U29167"/>
      <c r="X29167" s="60"/>
    </row>
    <row r="29168" spans="7:24" ht="15" customHeight="1">
      <c r="G29168"/>
      <c r="I29168"/>
      <c r="N29168"/>
      <c r="O29168" s="24"/>
      <c r="P29168"/>
      <c r="Q29168" s="24"/>
      <c r="R29168"/>
      <c r="S29168"/>
      <c r="T29168"/>
      <c r="U29168"/>
      <c r="X29168" s="60"/>
    </row>
    <row r="29169" spans="7:24" ht="15" customHeight="1">
      <c r="G29169"/>
      <c r="I29169"/>
      <c r="N29169"/>
      <c r="O29169" s="24"/>
      <c r="P29169"/>
      <c r="Q29169" s="24"/>
      <c r="R29169"/>
      <c r="S29169"/>
      <c r="T29169"/>
      <c r="U29169"/>
      <c r="X29169" s="60"/>
    </row>
    <row r="29170" spans="7:24" ht="15" customHeight="1">
      <c r="G29170"/>
      <c r="I29170"/>
      <c r="N29170"/>
      <c r="O29170" s="24"/>
      <c r="P29170"/>
      <c r="Q29170" s="24"/>
      <c r="R29170"/>
      <c r="S29170"/>
      <c r="T29170"/>
      <c r="U29170"/>
      <c r="X29170" s="60"/>
    </row>
    <row r="29171" spans="7:24" ht="15" customHeight="1">
      <c r="G29171"/>
      <c r="I29171"/>
      <c r="N29171"/>
      <c r="O29171" s="24"/>
      <c r="P29171"/>
      <c r="Q29171" s="24"/>
      <c r="R29171"/>
      <c r="S29171"/>
      <c r="T29171"/>
      <c r="U29171"/>
      <c r="X29171" s="60"/>
    </row>
    <row r="29172" spans="7:24" ht="15" customHeight="1">
      <c r="G29172"/>
      <c r="I29172"/>
      <c r="N29172"/>
      <c r="O29172" s="24"/>
      <c r="P29172"/>
      <c r="Q29172" s="24"/>
      <c r="R29172"/>
      <c r="S29172"/>
      <c r="T29172"/>
      <c r="U29172"/>
      <c r="X29172" s="60"/>
    </row>
    <row r="29173" spans="7:24" ht="15" customHeight="1">
      <c r="G29173"/>
      <c r="I29173"/>
      <c r="N29173"/>
      <c r="O29173" s="24"/>
      <c r="P29173"/>
      <c r="Q29173" s="24"/>
      <c r="R29173"/>
      <c r="S29173"/>
      <c r="T29173"/>
      <c r="U29173"/>
      <c r="X29173" s="60"/>
    </row>
    <row r="29174" spans="7:24" ht="15" customHeight="1">
      <c r="G29174"/>
      <c r="I29174"/>
      <c r="N29174"/>
      <c r="O29174" s="24"/>
      <c r="P29174"/>
      <c r="Q29174" s="24"/>
      <c r="R29174"/>
      <c r="S29174"/>
      <c r="T29174"/>
      <c r="U29174"/>
      <c r="X29174" s="60"/>
    </row>
    <row r="29175" spans="7:24" ht="15" customHeight="1">
      <c r="G29175"/>
      <c r="I29175"/>
      <c r="N29175"/>
      <c r="O29175" s="24"/>
      <c r="P29175"/>
      <c r="Q29175" s="24"/>
      <c r="R29175"/>
      <c r="S29175"/>
      <c r="T29175"/>
      <c r="U29175"/>
      <c r="X29175" s="60"/>
    </row>
    <row r="29176" spans="7:24" ht="15" customHeight="1">
      <c r="G29176"/>
      <c r="I29176"/>
      <c r="N29176"/>
      <c r="O29176" s="24"/>
      <c r="P29176"/>
      <c r="Q29176" s="24"/>
      <c r="R29176"/>
      <c r="S29176"/>
      <c r="T29176"/>
      <c r="U29176"/>
      <c r="X29176" s="60"/>
    </row>
    <row r="29177" spans="7:24" ht="15" customHeight="1">
      <c r="G29177"/>
      <c r="I29177"/>
      <c r="N29177"/>
      <c r="O29177" s="24"/>
      <c r="P29177"/>
      <c r="Q29177" s="24"/>
      <c r="R29177"/>
      <c r="S29177"/>
      <c r="T29177"/>
      <c r="U29177"/>
      <c r="X29177" s="60"/>
    </row>
    <row r="29178" spans="7:24" ht="15" customHeight="1">
      <c r="G29178"/>
      <c r="I29178"/>
      <c r="N29178"/>
      <c r="O29178" s="24"/>
      <c r="P29178"/>
      <c r="Q29178" s="24"/>
      <c r="R29178"/>
      <c r="S29178"/>
      <c r="T29178"/>
      <c r="U29178"/>
      <c r="X29178" s="60"/>
    </row>
    <row r="29179" spans="7:24" ht="15" customHeight="1">
      <c r="G29179"/>
      <c r="I29179"/>
      <c r="N29179"/>
      <c r="O29179" s="24"/>
      <c r="P29179"/>
      <c r="Q29179" s="24"/>
      <c r="R29179"/>
      <c r="S29179"/>
      <c r="T29179"/>
      <c r="U29179"/>
      <c r="X29179" s="60"/>
    </row>
    <row r="29180" spans="7:24" ht="15" customHeight="1">
      <c r="G29180"/>
      <c r="I29180"/>
      <c r="N29180"/>
      <c r="O29180" s="24"/>
      <c r="P29180"/>
      <c r="Q29180" s="24"/>
      <c r="R29180"/>
      <c r="S29180"/>
      <c r="T29180"/>
      <c r="U29180"/>
      <c r="X29180" s="60"/>
    </row>
    <row r="29181" spans="7:24" ht="15" customHeight="1">
      <c r="G29181"/>
      <c r="I29181"/>
      <c r="N29181"/>
      <c r="O29181" s="24"/>
      <c r="P29181"/>
      <c r="Q29181" s="24"/>
      <c r="R29181"/>
      <c r="S29181"/>
      <c r="T29181"/>
      <c r="U29181"/>
      <c r="X29181" s="60"/>
    </row>
    <row r="29182" spans="7:24" ht="15" customHeight="1">
      <c r="G29182"/>
      <c r="I29182"/>
      <c r="N29182"/>
      <c r="O29182" s="24"/>
      <c r="P29182"/>
      <c r="Q29182" s="24"/>
      <c r="R29182"/>
      <c r="S29182"/>
      <c r="T29182"/>
      <c r="U29182"/>
      <c r="X29182" s="60"/>
    </row>
    <row r="29183" spans="7:24" ht="15" customHeight="1">
      <c r="G29183"/>
      <c r="I29183"/>
      <c r="N29183"/>
      <c r="O29183" s="24"/>
      <c r="P29183"/>
      <c r="Q29183" s="24"/>
      <c r="R29183"/>
      <c r="S29183"/>
      <c r="T29183"/>
      <c r="U29183"/>
      <c r="X29183" s="60"/>
    </row>
    <row r="29184" spans="7:24" ht="15" customHeight="1">
      <c r="G29184"/>
      <c r="I29184"/>
      <c r="N29184"/>
      <c r="O29184" s="24"/>
      <c r="P29184"/>
      <c r="Q29184" s="24"/>
      <c r="R29184"/>
      <c r="S29184"/>
      <c r="T29184"/>
      <c r="U29184"/>
      <c r="X29184" s="60"/>
    </row>
    <row r="29185" spans="7:24" ht="15" customHeight="1">
      <c r="G29185"/>
      <c r="I29185"/>
      <c r="N29185"/>
      <c r="O29185" s="24"/>
      <c r="P29185"/>
      <c r="Q29185" s="24"/>
      <c r="R29185"/>
      <c r="S29185"/>
      <c r="T29185"/>
      <c r="U29185"/>
      <c r="X29185" s="60"/>
    </row>
    <row r="29186" spans="7:24" ht="15" customHeight="1">
      <c r="G29186"/>
      <c r="I29186"/>
      <c r="N29186"/>
      <c r="O29186" s="24"/>
      <c r="P29186"/>
      <c r="Q29186" s="24"/>
      <c r="R29186"/>
      <c r="S29186"/>
      <c r="T29186"/>
      <c r="U29186"/>
      <c r="X29186" s="60"/>
    </row>
    <row r="29187" spans="7:24" ht="15" customHeight="1">
      <c r="G29187"/>
      <c r="I29187"/>
      <c r="N29187"/>
      <c r="O29187" s="24"/>
      <c r="P29187"/>
      <c r="Q29187" s="24"/>
      <c r="R29187"/>
      <c r="S29187"/>
      <c r="T29187"/>
      <c r="U29187"/>
      <c r="X29187" s="60"/>
    </row>
    <row r="29188" spans="7:24" ht="15" customHeight="1">
      <c r="G29188"/>
      <c r="I29188"/>
      <c r="N29188"/>
      <c r="O29188" s="24"/>
      <c r="P29188"/>
      <c r="Q29188" s="24"/>
      <c r="R29188"/>
      <c r="S29188"/>
      <c r="T29188"/>
      <c r="U29188"/>
      <c r="X29188" s="60"/>
    </row>
    <row r="29189" spans="7:24" ht="15" customHeight="1">
      <c r="G29189"/>
      <c r="I29189"/>
      <c r="N29189"/>
      <c r="O29189" s="24"/>
      <c r="P29189"/>
      <c r="Q29189" s="24"/>
      <c r="R29189"/>
      <c r="S29189"/>
      <c r="T29189"/>
      <c r="U29189"/>
      <c r="X29189" s="60"/>
    </row>
    <row r="29190" spans="7:24" ht="15" customHeight="1">
      <c r="G29190"/>
      <c r="I29190"/>
      <c r="N29190"/>
      <c r="O29190" s="24"/>
      <c r="P29190"/>
      <c r="Q29190" s="24"/>
      <c r="R29190"/>
      <c r="S29190"/>
      <c r="T29190"/>
      <c r="U29190"/>
      <c r="X29190" s="60"/>
    </row>
    <row r="29191" spans="7:24" ht="15" customHeight="1">
      <c r="G29191"/>
      <c r="I29191"/>
      <c r="N29191"/>
      <c r="O29191" s="24"/>
      <c r="P29191"/>
      <c r="Q29191" s="24"/>
      <c r="R29191"/>
      <c r="S29191"/>
      <c r="T29191"/>
      <c r="U29191"/>
      <c r="X29191" s="60"/>
    </row>
    <row r="29192" spans="7:24" ht="15" customHeight="1">
      <c r="G29192"/>
      <c r="I29192"/>
      <c r="N29192"/>
      <c r="O29192" s="24"/>
      <c r="P29192"/>
      <c r="Q29192" s="24"/>
      <c r="R29192"/>
      <c r="S29192"/>
      <c r="T29192"/>
      <c r="U29192"/>
      <c r="X29192" s="60"/>
    </row>
    <row r="29193" spans="7:24" ht="15" customHeight="1">
      <c r="G29193"/>
      <c r="I29193"/>
      <c r="N29193"/>
      <c r="O29193" s="24"/>
      <c r="P29193"/>
      <c r="Q29193" s="24"/>
      <c r="R29193"/>
      <c r="S29193"/>
      <c r="T29193"/>
      <c r="U29193"/>
      <c r="X29193" s="60"/>
    </row>
    <row r="29194" spans="7:24" ht="15" customHeight="1">
      <c r="G29194"/>
      <c r="I29194"/>
      <c r="N29194"/>
      <c r="O29194" s="24"/>
      <c r="P29194"/>
      <c r="Q29194" s="24"/>
      <c r="R29194"/>
      <c r="S29194"/>
      <c r="T29194"/>
      <c r="U29194"/>
      <c r="X29194" s="60"/>
    </row>
    <row r="29195" spans="7:24" ht="15" customHeight="1">
      <c r="G29195"/>
      <c r="I29195"/>
      <c r="N29195"/>
      <c r="O29195" s="24"/>
      <c r="P29195"/>
      <c r="Q29195" s="24"/>
      <c r="R29195"/>
      <c r="S29195"/>
      <c r="T29195"/>
      <c r="U29195"/>
      <c r="X29195" s="60"/>
    </row>
    <row r="29196" spans="7:24" ht="15" customHeight="1">
      <c r="G29196"/>
      <c r="I29196"/>
      <c r="N29196"/>
      <c r="O29196" s="24"/>
      <c r="P29196"/>
      <c r="Q29196" s="24"/>
      <c r="R29196"/>
      <c r="S29196"/>
      <c r="T29196"/>
      <c r="U29196"/>
      <c r="X29196" s="60"/>
    </row>
    <row r="29197" spans="7:24" ht="15" customHeight="1">
      <c r="G29197"/>
      <c r="I29197"/>
      <c r="N29197"/>
      <c r="O29197" s="24"/>
      <c r="P29197"/>
      <c r="Q29197" s="24"/>
      <c r="R29197"/>
      <c r="S29197"/>
      <c r="T29197"/>
      <c r="U29197"/>
      <c r="X29197" s="60"/>
    </row>
    <row r="29198" spans="7:24" ht="15" customHeight="1">
      <c r="G29198"/>
      <c r="I29198"/>
      <c r="N29198"/>
      <c r="O29198" s="24"/>
      <c r="P29198"/>
      <c r="Q29198" s="24"/>
      <c r="R29198"/>
      <c r="S29198"/>
      <c r="T29198"/>
      <c r="U29198"/>
      <c r="X29198" s="60"/>
    </row>
    <row r="29199" spans="7:24" ht="15" customHeight="1">
      <c r="G29199"/>
      <c r="I29199"/>
      <c r="N29199"/>
      <c r="O29199" s="24"/>
      <c r="P29199"/>
      <c r="Q29199" s="24"/>
      <c r="R29199"/>
      <c r="S29199"/>
      <c r="T29199"/>
      <c r="U29199"/>
      <c r="X29199" s="60"/>
    </row>
    <row r="29200" spans="7:24" ht="15" customHeight="1">
      <c r="G29200"/>
      <c r="I29200"/>
      <c r="N29200"/>
      <c r="O29200" s="24"/>
      <c r="P29200"/>
      <c r="Q29200" s="24"/>
      <c r="R29200"/>
      <c r="S29200"/>
      <c r="T29200"/>
      <c r="U29200"/>
      <c r="X29200" s="60"/>
    </row>
    <row r="29201" spans="7:24" ht="15" customHeight="1">
      <c r="G29201"/>
      <c r="I29201"/>
      <c r="N29201"/>
      <c r="O29201" s="24"/>
      <c r="P29201"/>
      <c r="Q29201" s="24"/>
      <c r="R29201"/>
      <c r="S29201"/>
      <c r="T29201"/>
      <c r="U29201"/>
      <c r="X29201" s="60"/>
    </row>
    <row r="29202" spans="7:24" ht="15" customHeight="1">
      <c r="G29202"/>
      <c r="I29202"/>
      <c r="N29202"/>
      <c r="O29202" s="24"/>
      <c r="P29202"/>
      <c r="Q29202" s="24"/>
      <c r="R29202"/>
      <c r="S29202"/>
      <c r="T29202"/>
      <c r="U29202"/>
      <c r="X29202" s="60"/>
    </row>
    <row r="29203" spans="7:24" ht="15" customHeight="1">
      <c r="G29203"/>
      <c r="I29203"/>
      <c r="N29203"/>
      <c r="O29203" s="24"/>
      <c r="P29203"/>
      <c r="Q29203" s="24"/>
      <c r="R29203"/>
      <c r="S29203"/>
      <c r="T29203"/>
      <c r="U29203"/>
      <c r="X29203" s="60"/>
    </row>
    <row r="29204" spans="7:24" ht="15" customHeight="1">
      <c r="G29204"/>
      <c r="I29204"/>
      <c r="N29204"/>
      <c r="O29204" s="24"/>
      <c r="P29204"/>
      <c r="Q29204" s="24"/>
      <c r="R29204"/>
      <c r="S29204"/>
      <c r="T29204"/>
      <c r="U29204"/>
      <c r="X29204" s="60"/>
    </row>
    <row r="29205" spans="7:24" ht="15" customHeight="1">
      <c r="G29205"/>
      <c r="I29205"/>
      <c r="N29205"/>
      <c r="O29205" s="24"/>
      <c r="P29205"/>
      <c r="Q29205" s="24"/>
      <c r="R29205"/>
      <c r="S29205"/>
      <c r="T29205"/>
      <c r="U29205"/>
      <c r="X29205" s="60"/>
    </row>
    <row r="29206" spans="7:24" ht="15" customHeight="1">
      <c r="G29206"/>
      <c r="I29206"/>
      <c r="N29206"/>
      <c r="O29206" s="24"/>
      <c r="P29206"/>
      <c r="Q29206" s="24"/>
      <c r="R29206"/>
      <c r="S29206"/>
      <c r="T29206"/>
      <c r="U29206"/>
      <c r="X29206" s="60"/>
    </row>
    <row r="29207" spans="7:24" ht="15" customHeight="1">
      <c r="G29207"/>
      <c r="I29207"/>
      <c r="N29207"/>
      <c r="O29207" s="24"/>
      <c r="P29207"/>
      <c r="Q29207" s="24"/>
      <c r="R29207"/>
      <c r="S29207"/>
      <c r="T29207"/>
      <c r="U29207"/>
      <c r="X29207" s="60"/>
    </row>
    <row r="29208" spans="7:24" ht="15" customHeight="1">
      <c r="G29208"/>
      <c r="I29208"/>
      <c r="N29208"/>
      <c r="O29208" s="24"/>
      <c r="P29208"/>
      <c r="Q29208" s="24"/>
      <c r="R29208"/>
      <c r="S29208"/>
      <c r="T29208"/>
      <c r="U29208"/>
      <c r="X29208" s="60"/>
    </row>
    <row r="29209" spans="7:24" ht="15" customHeight="1">
      <c r="G29209"/>
      <c r="I29209"/>
      <c r="N29209"/>
      <c r="O29209" s="24"/>
      <c r="P29209"/>
      <c r="Q29209" s="24"/>
      <c r="R29209"/>
      <c r="S29209"/>
      <c r="T29209"/>
      <c r="U29209"/>
      <c r="X29209" s="60"/>
    </row>
    <row r="29210" spans="7:24" ht="15" customHeight="1">
      <c r="G29210"/>
      <c r="I29210"/>
      <c r="N29210"/>
      <c r="O29210" s="24"/>
      <c r="P29210"/>
      <c r="Q29210" s="24"/>
      <c r="R29210"/>
      <c r="S29210"/>
      <c r="T29210"/>
      <c r="U29210"/>
      <c r="X29210" s="60"/>
    </row>
    <row r="29211" spans="7:24" ht="15" customHeight="1">
      <c r="G29211"/>
      <c r="I29211"/>
      <c r="N29211"/>
      <c r="O29211" s="24"/>
      <c r="P29211"/>
      <c r="Q29211" s="24"/>
      <c r="R29211"/>
      <c r="S29211"/>
      <c r="T29211"/>
      <c r="U29211"/>
      <c r="X29211" s="60"/>
    </row>
    <row r="29212" spans="7:24" ht="15" customHeight="1">
      <c r="G29212"/>
      <c r="I29212"/>
      <c r="N29212"/>
      <c r="O29212" s="24"/>
      <c r="P29212"/>
      <c r="Q29212" s="24"/>
      <c r="R29212"/>
      <c r="S29212"/>
      <c r="T29212"/>
      <c r="U29212"/>
      <c r="X29212" s="60"/>
    </row>
    <row r="29213" spans="7:24" ht="15" customHeight="1">
      <c r="G29213"/>
      <c r="I29213"/>
      <c r="N29213"/>
      <c r="O29213" s="24"/>
      <c r="P29213"/>
      <c r="Q29213" s="24"/>
      <c r="R29213"/>
      <c r="S29213"/>
      <c r="T29213"/>
      <c r="U29213"/>
      <c r="X29213" s="60"/>
    </row>
    <row r="29214" spans="7:24" ht="15" customHeight="1">
      <c r="G29214"/>
      <c r="I29214"/>
      <c r="N29214"/>
      <c r="O29214" s="24"/>
      <c r="P29214"/>
      <c r="Q29214" s="24"/>
      <c r="R29214"/>
      <c r="S29214"/>
      <c r="T29214"/>
      <c r="U29214"/>
      <c r="X29214" s="60"/>
    </row>
    <row r="29215" spans="7:24" ht="15" customHeight="1">
      <c r="G29215"/>
      <c r="I29215"/>
      <c r="N29215"/>
      <c r="O29215" s="24"/>
      <c r="P29215"/>
      <c r="Q29215" s="24"/>
      <c r="R29215"/>
      <c r="S29215"/>
      <c r="T29215"/>
      <c r="U29215"/>
      <c r="X29215" s="60"/>
    </row>
    <row r="29216" spans="7:24" ht="15" customHeight="1">
      <c r="G29216"/>
      <c r="I29216"/>
      <c r="N29216"/>
      <c r="O29216" s="24"/>
      <c r="P29216"/>
      <c r="Q29216" s="24"/>
      <c r="R29216"/>
      <c r="S29216"/>
      <c r="T29216"/>
      <c r="U29216"/>
      <c r="X29216" s="60"/>
    </row>
    <row r="29217" spans="7:24" ht="15" customHeight="1">
      <c r="G29217"/>
      <c r="I29217"/>
      <c r="N29217"/>
      <c r="O29217" s="24"/>
      <c r="P29217"/>
      <c r="Q29217" s="24"/>
      <c r="R29217"/>
      <c r="S29217"/>
      <c r="T29217"/>
      <c r="U29217"/>
      <c r="X29217" s="60"/>
    </row>
    <row r="29218" spans="7:24" ht="15" customHeight="1">
      <c r="G29218"/>
      <c r="I29218"/>
      <c r="N29218"/>
      <c r="O29218" s="24"/>
      <c r="P29218"/>
      <c r="Q29218" s="24"/>
      <c r="R29218"/>
      <c r="S29218"/>
      <c r="T29218"/>
      <c r="U29218"/>
      <c r="X29218" s="60"/>
    </row>
    <row r="29219" spans="7:24" ht="15" customHeight="1">
      <c r="G29219"/>
      <c r="I29219"/>
      <c r="N29219"/>
      <c r="O29219" s="24"/>
      <c r="P29219"/>
      <c r="Q29219" s="24"/>
      <c r="R29219"/>
      <c r="S29219"/>
      <c r="T29219"/>
      <c r="U29219"/>
      <c r="X29219" s="60"/>
    </row>
    <row r="29220" spans="7:24" ht="15" customHeight="1">
      <c r="G29220"/>
      <c r="I29220"/>
      <c r="N29220"/>
      <c r="O29220" s="24"/>
      <c r="P29220"/>
      <c r="Q29220" s="24"/>
      <c r="R29220"/>
      <c r="S29220"/>
      <c r="T29220"/>
      <c r="U29220"/>
      <c r="X29220" s="60"/>
    </row>
    <row r="29221" spans="7:24" ht="15" customHeight="1">
      <c r="G29221"/>
      <c r="I29221"/>
      <c r="N29221"/>
      <c r="O29221" s="24"/>
      <c r="P29221"/>
      <c r="Q29221" s="24"/>
      <c r="R29221"/>
      <c r="S29221"/>
      <c r="T29221"/>
      <c r="U29221"/>
      <c r="X29221" s="60"/>
    </row>
    <row r="29222" spans="7:24" ht="15" customHeight="1">
      <c r="G29222"/>
      <c r="I29222"/>
      <c r="N29222"/>
      <c r="O29222" s="24"/>
      <c r="P29222"/>
      <c r="Q29222" s="24"/>
      <c r="R29222"/>
      <c r="S29222"/>
      <c r="T29222"/>
      <c r="U29222"/>
      <c r="X29222" s="60"/>
    </row>
    <row r="29223" spans="7:24" ht="15" customHeight="1">
      <c r="G29223"/>
      <c r="I29223"/>
      <c r="N29223"/>
      <c r="O29223" s="24"/>
      <c r="P29223"/>
      <c r="Q29223" s="24"/>
      <c r="R29223"/>
      <c r="S29223"/>
      <c r="T29223"/>
      <c r="U29223"/>
      <c r="X29223" s="60"/>
    </row>
    <row r="29224" spans="7:24" ht="15" customHeight="1">
      <c r="G29224"/>
      <c r="I29224"/>
      <c r="N29224"/>
      <c r="O29224" s="24"/>
      <c r="P29224"/>
      <c r="Q29224" s="24"/>
      <c r="R29224"/>
      <c r="S29224"/>
      <c r="T29224"/>
      <c r="U29224"/>
      <c r="X29224" s="60"/>
    </row>
    <row r="29225" spans="7:24" ht="15" customHeight="1">
      <c r="G29225"/>
      <c r="I29225"/>
      <c r="N29225"/>
      <c r="O29225" s="24"/>
      <c r="P29225"/>
      <c r="Q29225" s="24"/>
      <c r="R29225"/>
      <c r="S29225"/>
      <c r="T29225"/>
      <c r="U29225"/>
      <c r="X29225" s="60"/>
    </row>
    <row r="29226" spans="7:24" ht="15" customHeight="1">
      <c r="G29226"/>
      <c r="I29226"/>
      <c r="N29226"/>
      <c r="O29226" s="24"/>
      <c r="P29226"/>
      <c r="Q29226" s="24"/>
      <c r="R29226"/>
      <c r="S29226"/>
      <c r="T29226"/>
      <c r="U29226"/>
      <c r="X29226" s="60"/>
    </row>
    <row r="29227" spans="7:24" ht="15" customHeight="1">
      <c r="G29227"/>
      <c r="I29227"/>
      <c r="N29227"/>
      <c r="O29227" s="24"/>
      <c r="P29227"/>
      <c r="Q29227" s="24"/>
      <c r="R29227"/>
      <c r="S29227"/>
      <c r="T29227"/>
      <c r="U29227"/>
      <c r="X29227" s="60"/>
    </row>
    <row r="29228" spans="7:24" ht="15" customHeight="1">
      <c r="G29228"/>
      <c r="I29228"/>
      <c r="N29228"/>
      <c r="O29228" s="24"/>
      <c r="P29228"/>
      <c r="Q29228" s="24"/>
      <c r="R29228"/>
      <c r="S29228"/>
      <c r="T29228"/>
      <c r="U29228"/>
      <c r="X29228" s="60"/>
    </row>
    <row r="29229" spans="7:24" ht="15" customHeight="1">
      <c r="G29229"/>
      <c r="I29229"/>
      <c r="N29229"/>
      <c r="O29229" s="24"/>
      <c r="P29229"/>
      <c r="Q29229" s="24"/>
      <c r="R29229"/>
      <c r="S29229"/>
      <c r="T29229"/>
      <c r="U29229"/>
      <c r="X29229" s="60"/>
    </row>
    <row r="29230" spans="7:24" ht="15" customHeight="1">
      <c r="G29230"/>
      <c r="I29230"/>
      <c r="N29230"/>
      <c r="O29230" s="24"/>
      <c r="P29230"/>
      <c r="Q29230" s="24"/>
      <c r="R29230"/>
      <c r="S29230"/>
      <c r="T29230"/>
      <c r="U29230"/>
      <c r="X29230" s="60"/>
    </row>
    <row r="29231" spans="7:24" ht="15" customHeight="1">
      <c r="G29231"/>
      <c r="I29231"/>
      <c r="N29231"/>
      <c r="O29231" s="24"/>
      <c r="P29231"/>
      <c r="Q29231" s="24"/>
      <c r="R29231"/>
      <c r="S29231"/>
      <c r="T29231"/>
      <c r="U29231"/>
      <c r="X29231" s="60"/>
    </row>
    <row r="29232" spans="7:24" ht="15" customHeight="1">
      <c r="G29232"/>
      <c r="I29232"/>
      <c r="N29232"/>
      <c r="O29232" s="24"/>
      <c r="P29232"/>
      <c r="Q29232" s="24"/>
      <c r="R29232"/>
      <c r="S29232"/>
      <c r="T29232"/>
      <c r="U29232"/>
      <c r="X29232" s="60"/>
    </row>
    <row r="29233" spans="7:24" ht="15" customHeight="1">
      <c r="G29233"/>
      <c r="I29233"/>
      <c r="N29233"/>
      <c r="O29233" s="24"/>
      <c r="P29233"/>
      <c r="Q29233" s="24"/>
      <c r="R29233"/>
      <c r="S29233"/>
      <c r="T29233"/>
      <c r="U29233"/>
      <c r="X29233" s="60"/>
    </row>
    <row r="29234" spans="7:24" ht="15" customHeight="1">
      <c r="G29234"/>
      <c r="I29234"/>
      <c r="N29234"/>
      <c r="O29234" s="24"/>
      <c r="P29234"/>
      <c r="Q29234" s="24"/>
      <c r="R29234"/>
      <c r="S29234"/>
      <c r="T29234"/>
      <c r="U29234"/>
      <c r="X29234" s="60"/>
    </row>
    <row r="29235" spans="7:24" ht="15" customHeight="1">
      <c r="G29235"/>
      <c r="I29235"/>
      <c r="N29235"/>
      <c r="O29235" s="24"/>
      <c r="P29235"/>
      <c r="Q29235" s="24"/>
      <c r="R29235"/>
      <c r="S29235"/>
      <c r="T29235"/>
      <c r="U29235"/>
      <c r="X29235" s="60"/>
    </row>
    <row r="29236" spans="7:24" ht="15" customHeight="1">
      <c r="G29236"/>
      <c r="I29236"/>
      <c r="N29236"/>
      <c r="O29236" s="24"/>
      <c r="P29236"/>
      <c r="Q29236" s="24"/>
      <c r="R29236"/>
      <c r="S29236"/>
      <c r="T29236"/>
      <c r="U29236"/>
      <c r="X29236" s="60"/>
    </row>
    <row r="29237" spans="7:24" ht="15" customHeight="1">
      <c r="G29237"/>
      <c r="I29237"/>
      <c r="N29237"/>
      <c r="O29237" s="24"/>
      <c r="P29237"/>
      <c r="Q29237" s="24"/>
      <c r="R29237"/>
      <c r="S29237"/>
      <c r="T29237"/>
      <c r="U29237"/>
      <c r="X29237" s="60"/>
    </row>
    <row r="29238" spans="7:24" ht="15" customHeight="1">
      <c r="G29238"/>
      <c r="I29238"/>
      <c r="N29238"/>
      <c r="O29238" s="24"/>
      <c r="P29238"/>
      <c r="Q29238" s="24"/>
      <c r="R29238"/>
      <c r="S29238"/>
      <c r="T29238"/>
      <c r="U29238"/>
      <c r="X29238" s="60"/>
    </row>
    <row r="29239" spans="7:24" ht="15" customHeight="1">
      <c r="G29239"/>
      <c r="I29239"/>
      <c r="N29239"/>
      <c r="O29239" s="24"/>
      <c r="P29239"/>
      <c r="Q29239" s="24"/>
      <c r="R29239"/>
      <c r="S29239"/>
      <c r="T29239"/>
      <c r="U29239"/>
      <c r="X29239" s="60"/>
    </row>
    <row r="29240" spans="7:24" ht="15" customHeight="1">
      <c r="G29240"/>
      <c r="I29240"/>
      <c r="N29240"/>
      <c r="O29240" s="24"/>
      <c r="P29240"/>
      <c r="Q29240" s="24"/>
      <c r="R29240"/>
      <c r="S29240"/>
      <c r="T29240"/>
      <c r="U29240"/>
      <c r="X29240" s="60"/>
    </row>
    <row r="29241" spans="7:24" ht="15" customHeight="1">
      <c r="G29241"/>
      <c r="I29241"/>
      <c r="N29241"/>
      <c r="O29241" s="24"/>
      <c r="P29241"/>
      <c r="Q29241" s="24"/>
      <c r="R29241"/>
      <c r="S29241"/>
      <c r="T29241"/>
      <c r="U29241"/>
      <c r="X29241" s="60"/>
    </row>
    <row r="29242" spans="7:24" ht="15" customHeight="1">
      <c r="G29242"/>
      <c r="I29242"/>
      <c r="N29242"/>
      <c r="O29242" s="24"/>
      <c r="P29242"/>
      <c r="Q29242" s="24"/>
      <c r="R29242"/>
      <c r="S29242"/>
      <c r="T29242"/>
      <c r="U29242"/>
      <c r="X29242" s="60"/>
    </row>
    <row r="29243" spans="7:24" ht="15" customHeight="1">
      <c r="G29243"/>
      <c r="I29243"/>
      <c r="N29243"/>
      <c r="O29243" s="24"/>
      <c r="P29243"/>
      <c r="Q29243" s="24"/>
      <c r="R29243"/>
      <c r="S29243"/>
      <c r="T29243"/>
      <c r="U29243"/>
      <c r="X29243" s="60"/>
    </row>
    <row r="29244" spans="7:24" ht="15" customHeight="1">
      <c r="G29244"/>
      <c r="I29244"/>
      <c r="N29244"/>
      <c r="O29244" s="24"/>
      <c r="P29244"/>
      <c r="Q29244" s="24"/>
      <c r="R29244"/>
      <c r="S29244"/>
      <c r="T29244"/>
      <c r="U29244"/>
      <c r="X29244" s="60"/>
    </row>
    <row r="29245" spans="7:24" ht="15" customHeight="1">
      <c r="G29245"/>
      <c r="I29245"/>
      <c r="N29245"/>
      <c r="O29245" s="24"/>
      <c r="P29245"/>
      <c r="Q29245" s="24"/>
      <c r="R29245"/>
      <c r="S29245"/>
      <c r="T29245"/>
      <c r="U29245"/>
      <c r="X29245" s="60"/>
    </row>
    <row r="29246" spans="7:24" ht="15" customHeight="1">
      <c r="G29246"/>
      <c r="I29246"/>
      <c r="N29246"/>
      <c r="O29246" s="24"/>
      <c r="P29246"/>
      <c r="Q29246" s="24"/>
      <c r="R29246"/>
      <c r="S29246"/>
      <c r="T29246"/>
      <c r="U29246"/>
      <c r="X29246" s="60"/>
    </row>
    <row r="29247" spans="7:24" ht="15" customHeight="1">
      <c r="G29247"/>
      <c r="I29247"/>
      <c r="N29247"/>
      <c r="O29247" s="24"/>
      <c r="P29247"/>
      <c r="Q29247" s="24"/>
      <c r="R29247"/>
      <c r="S29247"/>
      <c r="T29247"/>
      <c r="U29247"/>
      <c r="X29247" s="60"/>
    </row>
    <row r="29248" spans="7:24" ht="15" customHeight="1">
      <c r="G29248"/>
      <c r="I29248"/>
      <c r="N29248"/>
      <c r="O29248" s="24"/>
      <c r="P29248"/>
      <c r="Q29248" s="24"/>
      <c r="R29248"/>
      <c r="S29248"/>
      <c r="T29248"/>
      <c r="U29248"/>
      <c r="X29248" s="60"/>
    </row>
    <row r="29249" spans="7:24" ht="15" customHeight="1">
      <c r="G29249"/>
      <c r="I29249"/>
      <c r="N29249"/>
      <c r="O29249" s="24"/>
      <c r="P29249"/>
      <c r="Q29249" s="24"/>
      <c r="R29249"/>
      <c r="S29249"/>
      <c r="T29249"/>
      <c r="U29249"/>
      <c r="X29249" s="60"/>
    </row>
    <row r="29250" spans="7:24" ht="15" customHeight="1">
      <c r="G29250"/>
      <c r="I29250"/>
      <c r="N29250"/>
      <c r="O29250" s="24"/>
      <c r="P29250"/>
      <c r="Q29250" s="24"/>
      <c r="R29250"/>
      <c r="S29250"/>
      <c r="T29250"/>
      <c r="U29250"/>
      <c r="X29250" s="60"/>
    </row>
    <row r="29251" spans="7:24" ht="15" customHeight="1">
      <c r="G29251"/>
      <c r="I29251"/>
      <c r="N29251"/>
      <c r="O29251" s="24"/>
      <c r="P29251"/>
      <c r="Q29251" s="24"/>
      <c r="R29251"/>
      <c r="S29251"/>
      <c r="T29251"/>
      <c r="U29251"/>
      <c r="X29251" s="60"/>
    </row>
    <row r="29252" spans="7:24" ht="15" customHeight="1">
      <c r="G29252"/>
      <c r="I29252"/>
      <c r="N29252"/>
      <c r="O29252" s="24"/>
      <c r="P29252"/>
      <c r="Q29252" s="24"/>
      <c r="R29252"/>
      <c r="S29252"/>
      <c r="T29252"/>
      <c r="U29252"/>
      <c r="X29252" s="60"/>
    </row>
    <row r="29253" spans="7:24" ht="15" customHeight="1">
      <c r="G29253"/>
      <c r="I29253"/>
      <c r="N29253"/>
      <c r="O29253" s="24"/>
      <c r="P29253"/>
      <c r="Q29253" s="24"/>
      <c r="R29253"/>
      <c r="S29253"/>
      <c r="T29253"/>
      <c r="U29253"/>
      <c r="X29253" s="60"/>
    </row>
    <row r="29254" spans="7:24" ht="15" customHeight="1">
      <c r="G29254"/>
      <c r="I29254"/>
      <c r="N29254"/>
      <c r="O29254" s="24"/>
      <c r="P29254"/>
      <c r="Q29254" s="24"/>
      <c r="R29254"/>
      <c r="S29254"/>
      <c r="T29254"/>
      <c r="U29254"/>
      <c r="X29254" s="60"/>
    </row>
    <row r="29255" spans="7:24" ht="15" customHeight="1">
      <c r="G29255"/>
      <c r="I29255"/>
      <c r="N29255"/>
      <c r="O29255" s="24"/>
      <c r="P29255"/>
      <c r="Q29255" s="24"/>
      <c r="R29255"/>
      <c r="S29255"/>
      <c r="T29255"/>
      <c r="U29255"/>
      <c r="X29255" s="60"/>
    </row>
    <row r="29256" spans="7:24" ht="15" customHeight="1">
      <c r="G29256"/>
      <c r="I29256"/>
      <c r="N29256"/>
      <c r="O29256" s="24"/>
      <c r="P29256"/>
      <c r="Q29256" s="24"/>
      <c r="R29256"/>
      <c r="S29256"/>
      <c r="T29256"/>
      <c r="U29256"/>
      <c r="X29256" s="60"/>
    </row>
    <row r="29257" spans="7:24" ht="15" customHeight="1">
      <c r="G29257"/>
      <c r="I29257"/>
      <c r="N29257"/>
      <c r="O29257" s="24"/>
      <c r="P29257"/>
      <c r="Q29257" s="24"/>
      <c r="R29257"/>
      <c r="S29257"/>
      <c r="T29257"/>
      <c r="U29257"/>
      <c r="X29257" s="60"/>
    </row>
    <row r="29258" spans="7:24" ht="15" customHeight="1">
      <c r="G29258"/>
      <c r="I29258"/>
      <c r="N29258"/>
      <c r="O29258" s="24"/>
      <c r="P29258"/>
      <c r="Q29258" s="24"/>
      <c r="R29258"/>
      <c r="S29258"/>
      <c r="T29258"/>
      <c r="U29258"/>
      <c r="X29258" s="60"/>
    </row>
    <row r="29259" spans="7:24" ht="15" customHeight="1">
      <c r="G29259"/>
      <c r="I29259"/>
      <c r="N29259"/>
      <c r="O29259" s="24"/>
      <c r="P29259"/>
      <c r="Q29259" s="24"/>
      <c r="R29259"/>
      <c r="S29259"/>
      <c r="T29259"/>
      <c r="U29259"/>
      <c r="X29259" s="60"/>
    </row>
    <row r="29260" spans="7:24" ht="15" customHeight="1">
      <c r="G29260"/>
      <c r="I29260"/>
      <c r="N29260"/>
      <c r="O29260" s="24"/>
      <c r="P29260"/>
      <c r="Q29260" s="24"/>
      <c r="R29260"/>
      <c r="S29260"/>
      <c r="T29260"/>
      <c r="U29260"/>
      <c r="X29260" s="60"/>
    </row>
    <row r="29261" spans="7:24" ht="15" customHeight="1">
      <c r="G29261"/>
      <c r="I29261"/>
      <c r="N29261"/>
      <c r="O29261" s="24"/>
      <c r="P29261"/>
      <c r="Q29261" s="24"/>
      <c r="R29261"/>
      <c r="S29261"/>
      <c r="T29261"/>
      <c r="U29261"/>
      <c r="X29261" s="60"/>
    </row>
    <row r="29262" spans="7:24" ht="15" customHeight="1">
      <c r="G29262"/>
      <c r="I29262"/>
      <c r="N29262"/>
      <c r="O29262" s="24"/>
      <c r="P29262"/>
      <c r="Q29262" s="24"/>
      <c r="R29262"/>
      <c r="S29262"/>
      <c r="T29262"/>
      <c r="U29262"/>
      <c r="X29262" s="60"/>
    </row>
    <row r="29263" spans="7:24" ht="15" customHeight="1">
      <c r="G29263"/>
      <c r="I29263"/>
      <c r="N29263"/>
      <c r="O29263" s="24"/>
      <c r="P29263"/>
      <c r="Q29263" s="24"/>
      <c r="R29263"/>
      <c r="S29263"/>
      <c r="T29263"/>
      <c r="U29263"/>
      <c r="X29263" s="60"/>
    </row>
    <row r="29264" spans="7:24" ht="15" customHeight="1">
      <c r="G29264"/>
      <c r="I29264"/>
      <c r="N29264"/>
      <c r="O29264" s="24"/>
      <c r="P29264"/>
      <c r="Q29264" s="24"/>
      <c r="R29264"/>
      <c r="S29264"/>
      <c r="T29264"/>
      <c r="U29264"/>
      <c r="X29264" s="60"/>
    </row>
    <row r="29265" spans="7:24" ht="15" customHeight="1">
      <c r="G29265"/>
      <c r="I29265"/>
      <c r="N29265"/>
      <c r="O29265" s="24"/>
      <c r="P29265"/>
      <c r="Q29265" s="24"/>
      <c r="R29265"/>
      <c r="S29265"/>
      <c r="T29265"/>
      <c r="U29265"/>
      <c r="X29265" s="60"/>
    </row>
    <row r="29266" spans="7:24" ht="15" customHeight="1">
      <c r="G29266"/>
      <c r="I29266"/>
      <c r="N29266"/>
      <c r="O29266" s="24"/>
      <c r="P29266"/>
      <c r="Q29266" s="24"/>
      <c r="R29266"/>
      <c r="S29266"/>
      <c r="T29266"/>
      <c r="U29266"/>
      <c r="X29266" s="60"/>
    </row>
    <row r="29267" spans="7:24" ht="15" customHeight="1">
      <c r="G29267"/>
      <c r="I29267"/>
      <c r="N29267"/>
      <c r="O29267" s="24"/>
      <c r="P29267"/>
      <c r="Q29267" s="24"/>
      <c r="R29267"/>
      <c r="S29267"/>
      <c r="T29267"/>
      <c r="U29267"/>
      <c r="X29267" s="60"/>
    </row>
    <row r="29268" spans="7:24" ht="15" customHeight="1">
      <c r="G29268"/>
      <c r="I29268"/>
      <c r="N29268"/>
      <c r="O29268" s="24"/>
      <c r="P29268"/>
      <c r="Q29268" s="24"/>
      <c r="R29268"/>
      <c r="S29268"/>
      <c r="T29268"/>
      <c r="U29268"/>
      <c r="X29268" s="60"/>
    </row>
    <row r="29269" spans="7:24" ht="15" customHeight="1">
      <c r="G29269"/>
      <c r="I29269"/>
      <c r="N29269"/>
      <c r="O29269" s="24"/>
      <c r="P29269"/>
      <c r="Q29269" s="24"/>
      <c r="R29269"/>
      <c r="S29269"/>
      <c r="T29269"/>
      <c r="U29269"/>
      <c r="X29269" s="60"/>
    </row>
    <row r="29270" spans="7:24" ht="15" customHeight="1">
      <c r="G29270"/>
      <c r="I29270"/>
      <c r="N29270"/>
      <c r="O29270" s="24"/>
      <c r="P29270"/>
      <c r="Q29270" s="24"/>
      <c r="R29270"/>
      <c r="S29270"/>
      <c r="T29270"/>
      <c r="U29270"/>
      <c r="X29270" s="60"/>
    </row>
    <row r="29271" spans="7:24" ht="15" customHeight="1">
      <c r="G29271"/>
      <c r="I29271"/>
      <c r="N29271"/>
      <c r="O29271" s="24"/>
      <c r="P29271"/>
      <c r="Q29271" s="24"/>
      <c r="R29271"/>
      <c r="S29271"/>
      <c r="T29271"/>
      <c r="U29271"/>
      <c r="X29271" s="60"/>
    </row>
    <row r="29272" spans="7:24" ht="15" customHeight="1">
      <c r="G29272"/>
      <c r="I29272"/>
      <c r="N29272"/>
      <c r="O29272" s="24"/>
      <c r="P29272"/>
      <c r="Q29272" s="24"/>
      <c r="R29272"/>
      <c r="S29272"/>
      <c r="T29272"/>
      <c r="U29272"/>
      <c r="X29272" s="60"/>
    </row>
    <row r="29273" spans="7:24" ht="15" customHeight="1">
      <c r="G29273"/>
      <c r="I29273"/>
      <c r="N29273"/>
      <c r="O29273" s="24"/>
      <c r="P29273"/>
      <c r="Q29273" s="24"/>
      <c r="R29273"/>
      <c r="S29273"/>
      <c r="T29273"/>
      <c r="U29273"/>
      <c r="X29273" s="60"/>
    </row>
    <row r="29274" spans="7:24" ht="15" customHeight="1">
      <c r="G29274"/>
      <c r="I29274"/>
      <c r="N29274"/>
      <c r="O29274" s="24"/>
      <c r="P29274"/>
      <c r="Q29274" s="24"/>
      <c r="R29274"/>
      <c r="S29274"/>
      <c r="T29274"/>
      <c r="U29274"/>
      <c r="X29274" s="60"/>
    </row>
    <row r="29275" spans="7:24" ht="15" customHeight="1">
      <c r="G29275"/>
      <c r="I29275"/>
      <c r="N29275"/>
      <c r="O29275" s="24"/>
      <c r="P29275"/>
      <c r="Q29275" s="24"/>
      <c r="R29275"/>
      <c r="S29275"/>
      <c r="T29275"/>
      <c r="U29275"/>
      <c r="X29275" s="60"/>
    </row>
    <row r="29276" spans="7:24" ht="15" customHeight="1">
      <c r="G29276"/>
      <c r="I29276"/>
      <c r="N29276"/>
      <c r="O29276" s="24"/>
      <c r="P29276"/>
      <c r="Q29276" s="24"/>
      <c r="R29276"/>
      <c r="S29276"/>
      <c r="T29276"/>
      <c r="U29276"/>
      <c r="X29276" s="60"/>
    </row>
    <row r="29277" spans="7:24" ht="15" customHeight="1">
      <c r="G29277"/>
      <c r="I29277"/>
      <c r="N29277"/>
      <c r="O29277" s="24"/>
      <c r="P29277"/>
      <c r="Q29277" s="24"/>
      <c r="R29277"/>
      <c r="S29277"/>
      <c r="T29277"/>
      <c r="U29277"/>
      <c r="X29277" s="60"/>
    </row>
    <row r="29278" spans="7:24" ht="15" customHeight="1">
      <c r="G29278"/>
      <c r="I29278"/>
      <c r="N29278"/>
      <c r="O29278" s="24"/>
      <c r="P29278"/>
      <c r="Q29278" s="24"/>
      <c r="R29278"/>
      <c r="S29278"/>
      <c r="T29278"/>
      <c r="U29278"/>
      <c r="X29278" s="60"/>
    </row>
    <row r="29279" spans="7:24" ht="15" customHeight="1">
      <c r="G29279"/>
      <c r="I29279"/>
      <c r="N29279"/>
      <c r="O29279" s="24"/>
      <c r="P29279"/>
      <c r="Q29279" s="24"/>
      <c r="R29279"/>
      <c r="S29279"/>
      <c r="T29279"/>
      <c r="U29279"/>
      <c r="X29279" s="60"/>
    </row>
    <row r="29280" spans="7:24" ht="15" customHeight="1">
      <c r="G29280"/>
      <c r="I29280"/>
      <c r="N29280"/>
      <c r="O29280" s="24"/>
      <c r="P29280"/>
      <c r="Q29280" s="24"/>
      <c r="R29280"/>
      <c r="S29280"/>
      <c r="T29280"/>
      <c r="U29280"/>
      <c r="X29280" s="60"/>
    </row>
    <row r="29281" spans="7:24" ht="15" customHeight="1">
      <c r="G29281"/>
      <c r="I29281"/>
      <c r="N29281"/>
      <c r="O29281" s="24"/>
      <c r="P29281"/>
      <c r="Q29281" s="24"/>
      <c r="R29281"/>
      <c r="S29281"/>
      <c r="T29281"/>
      <c r="U29281"/>
      <c r="X29281" s="60"/>
    </row>
    <row r="29282" spans="7:24" ht="15" customHeight="1">
      <c r="G29282"/>
      <c r="I29282"/>
      <c r="N29282"/>
      <c r="O29282" s="24"/>
      <c r="P29282"/>
      <c r="Q29282" s="24"/>
      <c r="R29282"/>
      <c r="S29282"/>
      <c r="T29282"/>
      <c r="U29282"/>
      <c r="X29282" s="60"/>
    </row>
    <row r="29283" spans="7:24" ht="15" customHeight="1">
      <c r="G29283"/>
      <c r="I29283"/>
      <c r="N29283"/>
      <c r="O29283" s="24"/>
      <c r="P29283"/>
      <c r="Q29283" s="24"/>
      <c r="R29283"/>
      <c r="S29283"/>
      <c r="T29283"/>
      <c r="U29283"/>
      <c r="X29283" s="60"/>
    </row>
    <row r="29284" spans="7:24" ht="15" customHeight="1">
      <c r="G29284"/>
      <c r="I29284"/>
      <c r="N29284"/>
      <c r="O29284" s="24"/>
      <c r="P29284"/>
      <c r="Q29284" s="24"/>
      <c r="R29284"/>
      <c r="S29284"/>
      <c r="T29284"/>
      <c r="U29284"/>
      <c r="X29284" s="60"/>
    </row>
    <row r="29285" spans="7:24" ht="15" customHeight="1">
      <c r="G29285"/>
      <c r="I29285"/>
      <c r="N29285"/>
      <c r="O29285" s="24"/>
      <c r="P29285"/>
      <c r="Q29285" s="24"/>
      <c r="R29285"/>
      <c r="S29285"/>
      <c r="T29285"/>
      <c r="U29285"/>
      <c r="X29285" s="60"/>
    </row>
    <row r="29286" spans="7:24" ht="15" customHeight="1">
      <c r="G29286"/>
      <c r="I29286"/>
      <c r="N29286"/>
      <c r="O29286" s="24"/>
      <c r="P29286"/>
      <c r="Q29286" s="24"/>
      <c r="R29286"/>
      <c r="S29286"/>
      <c r="T29286"/>
      <c r="U29286"/>
      <c r="X29286" s="60"/>
    </row>
    <row r="29287" spans="7:24" ht="15" customHeight="1">
      <c r="G29287"/>
      <c r="I29287"/>
      <c r="N29287"/>
      <c r="O29287" s="24"/>
      <c r="P29287"/>
      <c r="Q29287" s="24"/>
      <c r="R29287"/>
      <c r="S29287"/>
      <c r="T29287"/>
      <c r="U29287"/>
      <c r="X29287" s="60"/>
    </row>
    <row r="29288" spans="7:24" ht="15" customHeight="1">
      <c r="G29288"/>
      <c r="I29288"/>
      <c r="N29288"/>
      <c r="O29288" s="24"/>
      <c r="P29288"/>
      <c r="Q29288" s="24"/>
      <c r="R29288"/>
      <c r="S29288"/>
      <c r="T29288"/>
      <c r="U29288"/>
      <c r="X29288" s="60"/>
    </row>
    <row r="29289" spans="7:24" ht="15" customHeight="1">
      <c r="G29289"/>
      <c r="I29289"/>
      <c r="N29289"/>
      <c r="O29289" s="24"/>
      <c r="P29289"/>
      <c r="Q29289" s="24"/>
      <c r="R29289"/>
      <c r="S29289"/>
      <c r="T29289"/>
      <c r="U29289"/>
      <c r="X29289" s="60"/>
    </row>
    <row r="29290" spans="7:24" ht="15" customHeight="1">
      <c r="G29290"/>
      <c r="I29290"/>
      <c r="N29290"/>
      <c r="O29290" s="24"/>
      <c r="P29290"/>
      <c r="Q29290" s="24"/>
      <c r="R29290"/>
      <c r="S29290"/>
      <c r="T29290"/>
      <c r="U29290"/>
      <c r="X29290" s="60"/>
    </row>
    <row r="29291" spans="7:24" ht="15" customHeight="1">
      <c r="G29291"/>
      <c r="I29291"/>
      <c r="N29291"/>
      <c r="O29291" s="24"/>
      <c r="P29291"/>
      <c r="Q29291" s="24"/>
      <c r="R29291"/>
      <c r="S29291"/>
      <c r="T29291"/>
      <c r="U29291"/>
      <c r="X29291" s="60"/>
    </row>
    <row r="29292" spans="7:24" ht="15" customHeight="1">
      <c r="G29292"/>
      <c r="I29292"/>
      <c r="N29292"/>
      <c r="O29292" s="24"/>
      <c r="P29292"/>
      <c r="Q29292" s="24"/>
      <c r="R29292"/>
      <c r="S29292"/>
      <c r="T29292"/>
      <c r="U29292"/>
      <c r="X29292" s="60"/>
    </row>
    <row r="29293" spans="7:24" ht="15" customHeight="1">
      <c r="G29293"/>
      <c r="I29293"/>
      <c r="N29293"/>
      <c r="O29293" s="24"/>
      <c r="P29293"/>
      <c r="Q29293" s="24"/>
      <c r="R29293"/>
      <c r="S29293"/>
      <c r="T29293"/>
      <c r="U29293"/>
      <c r="X29293" s="60"/>
    </row>
    <row r="29294" spans="7:24" ht="15" customHeight="1">
      <c r="G29294"/>
      <c r="I29294"/>
      <c r="N29294"/>
      <c r="O29294" s="24"/>
      <c r="P29294"/>
      <c r="Q29294" s="24"/>
      <c r="R29294"/>
      <c r="S29294"/>
      <c r="T29294"/>
      <c r="U29294"/>
      <c r="X29294" s="60"/>
    </row>
    <row r="29295" spans="7:24" ht="15" customHeight="1">
      <c r="G29295"/>
      <c r="I29295"/>
      <c r="N29295"/>
      <c r="O29295" s="24"/>
      <c r="P29295"/>
      <c r="Q29295" s="24"/>
      <c r="R29295"/>
      <c r="S29295"/>
      <c r="T29295"/>
      <c r="U29295"/>
      <c r="X29295" s="60"/>
    </row>
    <row r="29296" spans="7:24" ht="15" customHeight="1">
      <c r="G29296"/>
      <c r="I29296"/>
      <c r="N29296"/>
      <c r="O29296" s="24"/>
      <c r="P29296"/>
      <c r="Q29296" s="24"/>
      <c r="R29296"/>
      <c r="S29296"/>
      <c r="T29296"/>
      <c r="U29296"/>
      <c r="X29296" s="60"/>
    </row>
    <row r="29297" spans="7:24" ht="15" customHeight="1">
      <c r="G29297"/>
      <c r="I29297"/>
      <c r="N29297"/>
      <c r="O29297" s="24"/>
      <c r="P29297"/>
      <c r="Q29297" s="24"/>
      <c r="R29297"/>
      <c r="S29297"/>
      <c r="T29297"/>
      <c r="U29297"/>
      <c r="X29297" s="60"/>
    </row>
    <row r="29298" spans="7:24" ht="15" customHeight="1">
      <c r="G29298"/>
      <c r="I29298"/>
      <c r="N29298"/>
      <c r="O29298" s="24"/>
      <c r="P29298"/>
      <c r="Q29298" s="24"/>
      <c r="R29298"/>
      <c r="S29298"/>
      <c r="T29298"/>
      <c r="U29298"/>
      <c r="X29298" s="60"/>
    </row>
    <row r="29299" spans="7:24" ht="15" customHeight="1">
      <c r="G29299"/>
      <c r="I29299"/>
      <c r="N29299"/>
      <c r="O29299" s="24"/>
      <c r="P29299"/>
      <c r="Q29299" s="24"/>
      <c r="R29299"/>
      <c r="S29299"/>
      <c r="T29299"/>
      <c r="U29299"/>
      <c r="X29299" s="60"/>
    </row>
    <row r="29300" spans="7:24" ht="15" customHeight="1">
      <c r="G29300"/>
      <c r="I29300"/>
      <c r="N29300"/>
      <c r="O29300" s="24"/>
      <c r="P29300"/>
      <c r="Q29300" s="24"/>
      <c r="R29300"/>
      <c r="S29300"/>
      <c r="T29300"/>
      <c r="U29300"/>
      <c r="X29300" s="60"/>
    </row>
    <row r="29301" spans="7:24" ht="15" customHeight="1">
      <c r="G29301"/>
      <c r="I29301"/>
      <c r="N29301"/>
      <c r="O29301" s="24"/>
      <c r="P29301"/>
      <c r="Q29301" s="24"/>
      <c r="R29301"/>
      <c r="S29301"/>
      <c r="T29301"/>
      <c r="U29301"/>
      <c r="X29301" s="60"/>
    </row>
    <row r="29302" spans="7:24" ht="15" customHeight="1">
      <c r="G29302"/>
      <c r="I29302"/>
      <c r="N29302"/>
      <c r="O29302" s="24"/>
      <c r="P29302"/>
      <c r="Q29302" s="24"/>
      <c r="R29302"/>
      <c r="S29302"/>
      <c r="T29302"/>
      <c r="U29302"/>
      <c r="X29302" s="60"/>
    </row>
    <row r="29303" spans="7:24" ht="15" customHeight="1">
      <c r="G29303"/>
      <c r="I29303"/>
      <c r="N29303"/>
      <c r="O29303" s="24"/>
      <c r="P29303"/>
      <c r="Q29303" s="24"/>
      <c r="R29303"/>
      <c r="S29303"/>
      <c r="T29303"/>
      <c r="U29303"/>
      <c r="X29303" s="60"/>
    </row>
    <row r="29304" spans="7:24" ht="15" customHeight="1">
      <c r="G29304"/>
      <c r="I29304"/>
      <c r="N29304"/>
      <c r="O29304" s="24"/>
      <c r="P29304"/>
      <c r="Q29304" s="24"/>
      <c r="R29304"/>
      <c r="S29304"/>
      <c r="T29304"/>
      <c r="U29304"/>
      <c r="X29304" s="60"/>
    </row>
    <row r="29305" spans="7:24" ht="15" customHeight="1">
      <c r="G29305"/>
      <c r="I29305"/>
      <c r="N29305"/>
      <c r="O29305" s="24"/>
      <c r="P29305"/>
      <c r="Q29305" s="24"/>
      <c r="R29305"/>
      <c r="S29305"/>
      <c r="T29305"/>
      <c r="U29305"/>
      <c r="X29305" s="60"/>
    </row>
    <row r="29306" spans="7:24" ht="15" customHeight="1">
      <c r="G29306"/>
      <c r="I29306"/>
      <c r="N29306"/>
      <c r="O29306" s="24"/>
      <c r="P29306"/>
      <c r="Q29306" s="24"/>
      <c r="R29306"/>
      <c r="S29306"/>
      <c r="T29306"/>
      <c r="U29306"/>
      <c r="X29306" s="60"/>
    </row>
    <row r="29307" spans="7:24" ht="15" customHeight="1">
      <c r="G29307"/>
      <c r="I29307"/>
      <c r="N29307"/>
      <c r="O29307" s="24"/>
      <c r="P29307"/>
      <c r="Q29307" s="24"/>
      <c r="R29307"/>
      <c r="S29307"/>
      <c r="T29307"/>
      <c r="U29307"/>
      <c r="X29307" s="60"/>
    </row>
    <row r="29308" spans="7:24" ht="15" customHeight="1">
      <c r="G29308"/>
      <c r="I29308"/>
      <c r="N29308"/>
      <c r="O29308" s="24"/>
      <c r="P29308"/>
      <c r="Q29308" s="24"/>
      <c r="R29308"/>
      <c r="S29308"/>
      <c r="T29308"/>
      <c r="U29308"/>
      <c r="X29308" s="60"/>
    </row>
    <row r="29309" spans="7:24" ht="15" customHeight="1">
      <c r="G29309"/>
      <c r="I29309"/>
      <c r="N29309"/>
      <c r="O29309" s="24"/>
      <c r="P29309"/>
      <c r="Q29309" s="24"/>
      <c r="R29309"/>
      <c r="S29309"/>
      <c r="T29309"/>
      <c r="U29309"/>
      <c r="X29309" s="60"/>
    </row>
    <row r="29310" spans="7:24" ht="15" customHeight="1">
      <c r="G29310"/>
      <c r="I29310"/>
      <c r="N29310"/>
      <c r="O29310" s="24"/>
      <c r="P29310"/>
      <c r="Q29310" s="24"/>
      <c r="R29310"/>
      <c r="S29310"/>
      <c r="T29310"/>
      <c r="U29310"/>
      <c r="X29310" s="60"/>
    </row>
    <row r="29311" spans="7:24" ht="15" customHeight="1">
      <c r="G29311"/>
      <c r="I29311"/>
      <c r="N29311"/>
      <c r="O29311" s="24"/>
      <c r="P29311"/>
      <c r="Q29311" s="24"/>
      <c r="R29311"/>
      <c r="S29311"/>
      <c r="T29311"/>
      <c r="U29311"/>
      <c r="X29311" s="60"/>
    </row>
    <row r="29312" spans="7:24" ht="15" customHeight="1">
      <c r="G29312"/>
      <c r="I29312"/>
      <c r="N29312"/>
      <c r="O29312" s="24"/>
      <c r="P29312"/>
      <c r="Q29312" s="24"/>
      <c r="R29312"/>
      <c r="S29312"/>
      <c r="T29312"/>
      <c r="U29312"/>
      <c r="X29312" s="60"/>
    </row>
    <row r="29313" spans="7:24" ht="15" customHeight="1">
      <c r="G29313"/>
      <c r="I29313"/>
      <c r="N29313"/>
      <c r="O29313" s="24"/>
      <c r="P29313"/>
      <c r="Q29313" s="24"/>
      <c r="R29313"/>
      <c r="S29313"/>
      <c r="T29313"/>
      <c r="U29313"/>
      <c r="X29313" s="60"/>
    </row>
    <row r="29314" spans="7:24" ht="15" customHeight="1">
      <c r="G29314"/>
      <c r="I29314"/>
      <c r="N29314"/>
      <c r="O29314" s="24"/>
      <c r="P29314"/>
      <c r="Q29314" s="24"/>
      <c r="R29314"/>
      <c r="S29314"/>
      <c r="T29314"/>
      <c r="U29314"/>
      <c r="X29314" s="60"/>
    </row>
    <row r="29315" spans="7:24" ht="15" customHeight="1">
      <c r="G29315"/>
      <c r="I29315"/>
      <c r="N29315"/>
      <c r="O29315" s="24"/>
      <c r="P29315"/>
      <c r="Q29315" s="24"/>
      <c r="R29315"/>
      <c r="S29315"/>
      <c r="T29315"/>
      <c r="U29315"/>
      <c r="X29315" s="60"/>
    </row>
    <row r="29316" spans="7:24" ht="15" customHeight="1">
      <c r="G29316"/>
      <c r="I29316"/>
      <c r="N29316"/>
      <c r="O29316" s="24"/>
      <c r="P29316"/>
      <c r="Q29316" s="24"/>
      <c r="R29316"/>
      <c r="S29316"/>
      <c r="T29316"/>
      <c r="U29316"/>
      <c r="X29316" s="60"/>
    </row>
    <row r="29317" spans="7:24" ht="15" customHeight="1">
      <c r="G29317"/>
      <c r="I29317"/>
      <c r="N29317"/>
      <c r="O29317" s="24"/>
      <c r="P29317"/>
      <c r="Q29317" s="24"/>
      <c r="R29317"/>
      <c r="S29317"/>
      <c r="T29317"/>
      <c r="U29317"/>
      <c r="X29317" s="60"/>
    </row>
    <row r="29318" spans="7:24" ht="15" customHeight="1">
      <c r="G29318"/>
      <c r="I29318"/>
      <c r="N29318"/>
      <c r="O29318" s="24"/>
      <c r="P29318"/>
      <c r="Q29318" s="24"/>
      <c r="R29318"/>
      <c r="S29318"/>
      <c r="T29318"/>
      <c r="U29318"/>
      <c r="X29318" s="60"/>
    </row>
    <row r="29319" spans="7:24" ht="15" customHeight="1">
      <c r="G29319"/>
      <c r="I29319"/>
      <c r="N29319"/>
      <c r="O29319" s="24"/>
      <c r="P29319"/>
      <c r="Q29319" s="24"/>
      <c r="R29319"/>
      <c r="S29319"/>
      <c r="T29319"/>
      <c r="U29319"/>
      <c r="X29319" s="60"/>
    </row>
    <row r="29320" spans="7:24" ht="15" customHeight="1">
      <c r="G29320"/>
      <c r="I29320"/>
      <c r="N29320"/>
      <c r="O29320" s="24"/>
      <c r="P29320"/>
      <c r="Q29320" s="24"/>
      <c r="R29320"/>
      <c r="S29320"/>
      <c r="T29320"/>
      <c r="U29320"/>
      <c r="X29320" s="60"/>
    </row>
    <row r="29321" spans="7:24" ht="15" customHeight="1">
      <c r="G29321"/>
      <c r="I29321"/>
      <c r="N29321"/>
      <c r="O29321" s="24"/>
      <c r="P29321"/>
      <c r="Q29321" s="24"/>
      <c r="R29321"/>
      <c r="S29321"/>
      <c r="T29321"/>
      <c r="U29321"/>
      <c r="X29321" s="60"/>
    </row>
    <row r="29322" spans="7:24" ht="15" customHeight="1">
      <c r="G29322"/>
      <c r="I29322"/>
      <c r="N29322"/>
      <c r="O29322" s="24"/>
      <c r="P29322"/>
      <c r="Q29322" s="24"/>
      <c r="R29322"/>
      <c r="S29322"/>
      <c r="T29322"/>
      <c r="U29322"/>
      <c r="X29322" s="60"/>
    </row>
    <row r="29323" spans="7:24" ht="15" customHeight="1">
      <c r="G29323"/>
      <c r="I29323"/>
      <c r="N29323"/>
      <c r="O29323" s="24"/>
      <c r="P29323"/>
      <c r="Q29323" s="24"/>
      <c r="R29323"/>
      <c r="S29323"/>
      <c r="T29323"/>
      <c r="U29323"/>
      <c r="X29323" s="60"/>
    </row>
    <row r="29324" spans="7:24" ht="15" customHeight="1">
      <c r="G29324"/>
      <c r="I29324"/>
      <c r="N29324"/>
      <c r="O29324" s="24"/>
      <c r="P29324"/>
      <c r="Q29324" s="24"/>
      <c r="R29324"/>
      <c r="S29324"/>
      <c r="T29324"/>
      <c r="U29324"/>
      <c r="X29324" s="60"/>
    </row>
    <row r="29325" spans="7:24" ht="15" customHeight="1">
      <c r="G29325"/>
      <c r="I29325"/>
      <c r="N29325"/>
      <c r="O29325" s="24"/>
      <c r="P29325"/>
      <c r="Q29325" s="24"/>
      <c r="R29325"/>
      <c r="S29325"/>
      <c r="T29325"/>
      <c r="U29325"/>
      <c r="X29325" s="60"/>
    </row>
    <row r="29326" spans="7:24" ht="15" customHeight="1">
      <c r="G29326"/>
      <c r="I29326"/>
      <c r="N29326"/>
      <c r="O29326" s="24"/>
      <c r="P29326"/>
      <c r="Q29326" s="24"/>
      <c r="R29326"/>
      <c r="S29326"/>
      <c r="T29326"/>
      <c r="U29326"/>
      <c r="X29326" s="60"/>
    </row>
    <row r="29327" spans="7:24" ht="15" customHeight="1">
      <c r="G29327"/>
      <c r="I29327"/>
      <c r="N29327"/>
      <c r="O29327" s="24"/>
      <c r="P29327"/>
      <c r="Q29327" s="24"/>
      <c r="R29327"/>
      <c r="S29327"/>
      <c r="T29327"/>
      <c r="U29327"/>
      <c r="X29327" s="60"/>
    </row>
    <row r="29328" spans="7:24" ht="15" customHeight="1">
      <c r="G29328"/>
      <c r="I29328"/>
      <c r="N29328"/>
      <c r="O29328" s="24"/>
      <c r="P29328"/>
      <c r="Q29328" s="24"/>
      <c r="R29328"/>
      <c r="S29328"/>
      <c r="T29328"/>
      <c r="U29328"/>
      <c r="X29328" s="60"/>
    </row>
    <row r="29329" spans="7:24" ht="15" customHeight="1">
      <c r="G29329"/>
      <c r="I29329"/>
      <c r="N29329"/>
      <c r="O29329" s="24"/>
      <c r="P29329"/>
      <c r="Q29329" s="24"/>
      <c r="R29329"/>
      <c r="S29329"/>
      <c r="T29329"/>
      <c r="U29329"/>
      <c r="X29329" s="60"/>
    </row>
    <row r="29330" spans="7:24" ht="15" customHeight="1">
      <c r="G29330"/>
      <c r="I29330"/>
      <c r="N29330"/>
      <c r="O29330" s="24"/>
      <c r="P29330"/>
      <c r="Q29330" s="24"/>
      <c r="R29330"/>
      <c r="S29330"/>
      <c r="T29330"/>
      <c r="U29330"/>
      <c r="X29330" s="60"/>
    </row>
    <row r="29331" spans="7:24" ht="15" customHeight="1">
      <c r="G29331"/>
      <c r="I29331"/>
      <c r="N29331"/>
      <c r="O29331" s="24"/>
      <c r="P29331"/>
      <c r="Q29331" s="24"/>
      <c r="R29331"/>
      <c r="S29331"/>
      <c r="T29331"/>
      <c r="U29331"/>
      <c r="X29331" s="60"/>
    </row>
    <row r="29332" spans="7:24" ht="15" customHeight="1">
      <c r="G29332"/>
      <c r="I29332"/>
      <c r="N29332"/>
      <c r="O29332" s="24"/>
      <c r="P29332"/>
      <c r="Q29332" s="24"/>
      <c r="R29332"/>
      <c r="S29332"/>
      <c r="T29332"/>
      <c r="U29332"/>
      <c r="X29332" s="60"/>
    </row>
    <row r="29333" spans="7:24" ht="15" customHeight="1">
      <c r="G29333"/>
      <c r="I29333"/>
      <c r="N29333"/>
      <c r="O29333" s="24"/>
      <c r="P29333"/>
      <c r="Q29333" s="24"/>
      <c r="R29333"/>
      <c r="S29333"/>
      <c r="T29333"/>
      <c r="U29333"/>
      <c r="X29333" s="60"/>
    </row>
    <row r="29334" spans="7:24" ht="15" customHeight="1">
      <c r="G29334"/>
      <c r="I29334"/>
      <c r="N29334"/>
      <c r="O29334" s="24"/>
      <c r="P29334"/>
      <c r="Q29334" s="24"/>
      <c r="R29334"/>
      <c r="S29334"/>
      <c r="T29334"/>
      <c r="U29334"/>
      <c r="X29334" s="60"/>
    </row>
    <row r="29335" spans="7:24" ht="15" customHeight="1">
      <c r="G29335"/>
      <c r="I29335"/>
      <c r="N29335"/>
      <c r="O29335" s="24"/>
      <c r="P29335"/>
      <c r="Q29335" s="24"/>
      <c r="R29335"/>
      <c r="S29335"/>
      <c r="T29335"/>
      <c r="U29335"/>
      <c r="X29335" s="60"/>
    </row>
    <row r="29336" spans="7:24" ht="15" customHeight="1">
      <c r="G29336"/>
      <c r="I29336"/>
      <c r="N29336"/>
      <c r="O29336" s="24"/>
      <c r="P29336"/>
      <c r="Q29336" s="24"/>
      <c r="R29336"/>
      <c r="S29336"/>
      <c r="T29336"/>
      <c r="U29336"/>
      <c r="X29336" s="60"/>
    </row>
    <row r="29337" spans="7:24" ht="15" customHeight="1">
      <c r="G29337"/>
      <c r="I29337"/>
      <c r="N29337"/>
      <c r="O29337" s="24"/>
      <c r="P29337"/>
      <c r="Q29337" s="24"/>
      <c r="R29337"/>
      <c r="S29337"/>
      <c r="T29337"/>
      <c r="U29337"/>
      <c r="X29337" s="60"/>
    </row>
    <row r="29338" spans="7:24" ht="15" customHeight="1">
      <c r="G29338"/>
      <c r="I29338"/>
      <c r="N29338"/>
      <c r="O29338" s="24"/>
      <c r="P29338"/>
      <c r="Q29338" s="24"/>
      <c r="R29338"/>
      <c r="S29338"/>
      <c r="T29338"/>
      <c r="U29338"/>
      <c r="X29338" s="60"/>
    </row>
    <row r="29339" spans="7:24" ht="15" customHeight="1">
      <c r="G29339"/>
      <c r="I29339"/>
      <c r="N29339"/>
      <c r="O29339" s="24"/>
      <c r="P29339"/>
      <c r="Q29339" s="24"/>
      <c r="R29339"/>
      <c r="S29339"/>
      <c r="T29339"/>
      <c r="U29339"/>
      <c r="X29339" s="60"/>
    </row>
    <row r="29340" spans="7:24" ht="15" customHeight="1">
      <c r="G29340"/>
      <c r="I29340"/>
      <c r="N29340"/>
      <c r="O29340" s="24"/>
      <c r="P29340"/>
      <c r="Q29340" s="24"/>
      <c r="R29340"/>
      <c r="S29340"/>
      <c r="T29340"/>
      <c r="U29340"/>
      <c r="X29340" s="60"/>
    </row>
    <row r="29341" spans="7:24" ht="15" customHeight="1">
      <c r="G29341"/>
      <c r="I29341"/>
      <c r="N29341"/>
      <c r="O29341" s="24"/>
      <c r="P29341"/>
      <c r="Q29341" s="24"/>
      <c r="R29341"/>
      <c r="S29341"/>
      <c r="T29341"/>
      <c r="U29341"/>
      <c r="X29341" s="60"/>
    </row>
    <row r="29342" spans="7:24" ht="15" customHeight="1">
      <c r="G29342"/>
      <c r="I29342"/>
      <c r="N29342"/>
      <c r="O29342" s="24"/>
      <c r="P29342"/>
      <c r="Q29342" s="24"/>
      <c r="R29342"/>
      <c r="S29342"/>
      <c r="T29342"/>
      <c r="U29342"/>
      <c r="X29342" s="60"/>
    </row>
    <row r="29343" spans="7:24" ht="15" customHeight="1">
      <c r="G29343"/>
      <c r="I29343"/>
      <c r="N29343"/>
      <c r="O29343" s="24"/>
      <c r="P29343"/>
      <c r="Q29343" s="24"/>
      <c r="R29343"/>
      <c r="S29343"/>
      <c r="T29343"/>
      <c r="U29343"/>
      <c r="X29343" s="60"/>
    </row>
    <row r="29344" spans="7:24" ht="15" customHeight="1">
      <c r="G29344"/>
      <c r="I29344"/>
      <c r="N29344"/>
      <c r="O29344" s="24"/>
      <c r="P29344"/>
      <c r="Q29344" s="24"/>
      <c r="R29344"/>
      <c r="S29344"/>
      <c r="T29344"/>
      <c r="U29344"/>
      <c r="X29344" s="60"/>
    </row>
    <row r="29345" spans="7:24" ht="15" customHeight="1">
      <c r="G29345"/>
      <c r="I29345"/>
      <c r="N29345"/>
      <c r="O29345" s="24"/>
      <c r="P29345"/>
      <c r="Q29345" s="24"/>
      <c r="R29345"/>
      <c r="S29345"/>
      <c r="T29345"/>
      <c r="U29345"/>
      <c r="X29345" s="60"/>
    </row>
    <row r="29346" spans="7:24" ht="15" customHeight="1">
      <c r="G29346"/>
      <c r="I29346"/>
      <c r="N29346"/>
      <c r="O29346" s="24"/>
      <c r="P29346"/>
      <c r="Q29346" s="24"/>
      <c r="R29346"/>
      <c r="S29346"/>
      <c r="T29346"/>
      <c r="U29346"/>
      <c r="X29346" s="60"/>
    </row>
    <row r="29347" spans="7:24" ht="15" customHeight="1">
      <c r="G29347"/>
      <c r="I29347"/>
      <c r="N29347"/>
      <c r="O29347" s="24"/>
      <c r="P29347"/>
      <c r="Q29347" s="24"/>
      <c r="R29347"/>
      <c r="S29347"/>
      <c r="T29347"/>
      <c r="U29347"/>
      <c r="X29347" s="60"/>
    </row>
    <row r="29348" spans="7:24" ht="15" customHeight="1">
      <c r="G29348"/>
      <c r="I29348"/>
      <c r="N29348"/>
      <c r="O29348" s="24"/>
      <c r="P29348"/>
      <c r="Q29348" s="24"/>
      <c r="R29348"/>
      <c r="S29348"/>
      <c r="T29348"/>
      <c r="U29348"/>
      <c r="X29348" s="60"/>
    </row>
    <row r="29349" spans="7:24" ht="15" customHeight="1">
      <c r="G29349"/>
      <c r="I29349"/>
      <c r="N29349"/>
      <c r="O29349" s="24"/>
      <c r="P29349"/>
      <c r="Q29349" s="24"/>
      <c r="R29349"/>
      <c r="S29349"/>
      <c r="T29349"/>
      <c r="U29349"/>
      <c r="X29349" s="60"/>
    </row>
    <row r="29350" spans="7:24" ht="15" customHeight="1">
      <c r="G29350"/>
      <c r="I29350"/>
      <c r="N29350"/>
      <c r="O29350" s="24"/>
      <c r="P29350"/>
      <c r="Q29350" s="24"/>
      <c r="R29350"/>
      <c r="S29350"/>
      <c r="T29350"/>
      <c r="U29350"/>
      <c r="X29350" s="60"/>
    </row>
    <row r="29351" spans="7:24" ht="15" customHeight="1">
      <c r="G29351"/>
      <c r="I29351"/>
      <c r="N29351"/>
      <c r="O29351" s="24"/>
      <c r="P29351"/>
      <c r="Q29351" s="24"/>
      <c r="R29351"/>
      <c r="S29351"/>
      <c r="T29351"/>
      <c r="U29351"/>
      <c r="X29351" s="60"/>
    </row>
    <row r="29352" spans="7:24" ht="15" customHeight="1">
      <c r="G29352"/>
      <c r="I29352"/>
      <c r="N29352"/>
      <c r="O29352" s="24"/>
      <c r="P29352"/>
      <c r="Q29352" s="24"/>
      <c r="R29352"/>
      <c r="S29352"/>
      <c r="T29352"/>
      <c r="U29352"/>
      <c r="X29352" s="60"/>
    </row>
    <row r="29353" spans="7:24" ht="15" customHeight="1">
      <c r="G29353"/>
      <c r="I29353"/>
      <c r="N29353"/>
      <c r="O29353" s="24"/>
      <c r="P29353"/>
      <c r="Q29353" s="24"/>
      <c r="R29353"/>
      <c r="S29353"/>
      <c r="T29353"/>
      <c r="U29353"/>
      <c r="X29353" s="60"/>
    </row>
    <row r="29354" spans="7:24" ht="15" customHeight="1">
      <c r="G29354"/>
      <c r="I29354"/>
      <c r="N29354"/>
      <c r="O29354" s="24"/>
      <c r="P29354"/>
      <c r="Q29354" s="24"/>
      <c r="R29354"/>
      <c r="S29354"/>
      <c r="T29354"/>
      <c r="U29354"/>
      <c r="X29354" s="60"/>
    </row>
    <row r="29355" spans="7:24" ht="15" customHeight="1">
      <c r="G29355"/>
      <c r="I29355"/>
      <c r="N29355"/>
      <c r="O29355" s="24"/>
      <c r="P29355"/>
      <c r="Q29355" s="24"/>
      <c r="R29355"/>
      <c r="S29355"/>
      <c r="T29355"/>
      <c r="U29355"/>
      <c r="X29355" s="60"/>
    </row>
    <row r="29356" spans="7:24" ht="15" customHeight="1">
      <c r="G29356"/>
      <c r="I29356"/>
      <c r="N29356"/>
      <c r="O29356" s="24"/>
      <c r="P29356"/>
      <c r="Q29356" s="24"/>
      <c r="R29356"/>
      <c r="S29356"/>
      <c r="T29356"/>
      <c r="U29356"/>
      <c r="X29356" s="60"/>
    </row>
    <row r="29357" spans="7:24" ht="15" customHeight="1">
      <c r="G29357"/>
      <c r="I29357"/>
      <c r="N29357"/>
      <c r="O29357" s="24"/>
      <c r="P29357"/>
      <c r="Q29357" s="24"/>
      <c r="R29357"/>
      <c r="S29357"/>
      <c r="T29357"/>
      <c r="U29357"/>
      <c r="X29357" s="60"/>
    </row>
    <row r="29358" spans="7:24" ht="15" customHeight="1">
      <c r="G29358"/>
      <c r="I29358"/>
      <c r="N29358"/>
      <c r="O29358" s="24"/>
      <c r="P29358"/>
      <c r="Q29358" s="24"/>
      <c r="R29358"/>
      <c r="S29358"/>
      <c r="T29358"/>
      <c r="U29358"/>
      <c r="X29358" s="60"/>
    </row>
    <row r="29359" spans="7:24" ht="15" customHeight="1">
      <c r="G29359"/>
      <c r="I29359"/>
      <c r="N29359"/>
      <c r="O29359" s="24"/>
      <c r="P29359"/>
      <c r="Q29359" s="24"/>
      <c r="R29359"/>
      <c r="S29359"/>
      <c r="T29359"/>
      <c r="U29359"/>
      <c r="X29359" s="60"/>
    </row>
    <row r="29360" spans="7:24" ht="15" customHeight="1">
      <c r="G29360"/>
      <c r="I29360"/>
      <c r="N29360"/>
      <c r="O29360" s="24"/>
      <c r="P29360"/>
      <c r="Q29360" s="24"/>
      <c r="R29360"/>
      <c r="S29360"/>
      <c r="T29360"/>
      <c r="U29360"/>
      <c r="X29360" s="60"/>
    </row>
    <row r="29361" spans="7:24" ht="15" customHeight="1">
      <c r="G29361"/>
      <c r="I29361"/>
      <c r="N29361"/>
      <c r="O29361" s="24"/>
      <c r="P29361"/>
      <c r="Q29361" s="24"/>
      <c r="R29361"/>
      <c r="S29361"/>
      <c r="T29361"/>
      <c r="U29361"/>
      <c r="X29361" s="60"/>
    </row>
    <row r="29362" spans="7:24" ht="15" customHeight="1">
      <c r="G29362"/>
      <c r="I29362"/>
      <c r="N29362"/>
      <c r="O29362" s="24"/>
      <c r="P29362"/>
      <c r="Q29362" s="24"/>
      <c r="R29362"/>
      <c r="S29362"/>
      <c r="T29362"/>
      <c r="U29362"/>
      <c r="X29362" s="60"/>
    </row>
    <row r="29363" spans="7:24" ht="15" customHeight="1">
      <c r="G29363"/>
      <c r="I29363"/>
      <c r="N29363"/>
      <c r="O29363" s="24"/>
      <c r="P29363"/>
      <c r="Q29363" s="24"/>
      <c r="R29363"/>
      <c r="S29363"/>
      <c r="T29363"/>
      <c r="U29363"/>
      <c r="X29363" s="60"/>
    </row>
    <row r="29364" spans="7:24" ht="15" customHeight="1">
      <c r="G29364"/>
      <c r="I29364"/>
      <c r="N29364"/>
      <c r="O29364" s="24"/>
      <c r="P29364"/>
      <c r="Q29364" s="24"/>
      <c r="R29364"/>
      <c r="S29364"/>
      <c r="T29364"/>
      <c r="U29364"/>
      <c r="X29364" s="60"/>
    </row>
    <row r="29365" spans="7:24" ht="15" customHeight="1">
      <c r="G29365"/>
      <c r="I29365"/>
      <c r="N29365"/>
      <c r="O29365" s="24"/>
      <c r="P29365"/>
      <c r="Q29365" s="24"/>
      <c r="R29365"/>
      <c r="S29365"/>
      <c r="T29365"/>
      <c r="U29365"/>
      <c r="X29365" s="60"/>
    </row>
    <row r="29366" spans="7:24" ht="15" customHeight="1">
      <c r="G29366"/>
      <c r="I29366"/>
      <c r="N29366"/>
      <c r="O29366" s="24"/>
      <c r="P29366"/>
      <c r="Q29366" s="24"/>
      <c r="R29366"/>
      <c r="S29366"/>
      <c r="T29366"/>
      <c r="U29366"/>
      <c r="X29366" s="60"/>
    </row>
    <row r="29367" spans="7:24" ht="15" customHeight="1">
      <c r="G29367"/>
      <c r="I29367"/>
      <c r="N29367"/>
      <c r="O29367" s="24"/>
      <c r="P29367"/>
      <c r="Q29367" s="24"/>
      <c r="R29367"/>
      <c r="S29367"/>
      <c r="T29367"/>
      <c r="U29367"/>
      <c r="X29367" s="60"/>
    </row>
    <row r="29368" spans="7:24" ht="15" customHeight="1">
      <c r="G29368"/>
      <c r="I29368"/>
      <c r="N29368"/>
      <c r="O29368" s="24"/>
      <c r="P29368"/>
      <c r="Q29368" s="24"/>
      <c r="R29368"/>
      <c r="S29368"/>
      <c r="T29368"/>
      <c r="U29368"/>
      <c r="X29368" s="60"/>
    </row>
    <row r="29369" spans="7:24" ht="15" customHeight="1">
      <c r="G29369"/>
      <c r="I29369"/>
      <c r="N29369"/>
      <c r="O29369" s="24"/>
      <c r="P29369"/>
      <c r="Q29369" s="24"/>
      <c r="R29369"/>
      <c r="S29369"/>
      <c r="T29369"/>
      <c r="U29369"/>
      <c r="X29369" s="60"/>
    </row>
    <row r="29370" spans="7:24" ht="15" customHeight="1">
      <c r="G29370"/>
      <c r="I29370"/>
      <c r="N29370"/>
      <c r="O29370" s="24"/>
      <c r="P29370"/>
      <c r="Q29370" s="24"/>
      <c r="R29370"/>
      <c r="S29370"/>
      <c r="T29370"/>
      <c r="U29370"/>
      <c r="X29370" s="60"/>
    </row>
    <row r="29371" spans="7:24" ht="15" customHeight="1">
      <c r="G29371"/>
      <c r="I29371"/>
      <c r="N29371"/>
      <c r="O29371" s="24"/>
      <c r="P29371"/>
      <c r="Q29371" s="24"/>
      <c r="R29371"/>
      <c r="S29371"/>
      <c r="T29371"/>
      <c r="U29371"/>
      <c r="X29371" s="60"/>
    </row>
    <row r="29372" spans="7:24" ht="15" customHeight="1">
      <c r="G29372"/>
      <c r="I29372"/>
      <c r="N29372"/>
      <c r="O29372" s="24"/>
      <c r="P29372"/>
      <c r="Q29372" s="24"/>
      <c r="R29372"/>
      <c r="S29372"/>
      <c r="T29372"/>
      <c r="U29372"/>
      <c r="X29372" s="60"/>
    </row>
    <row r="29373" spans="7:24" ht="15" customHeight="1">
      <c r="G29373"/>
      <c r="I29373"/>
      <c r="N29373"/>
      <c r="O29373" s="24"/>
      <c r="P29373"/>
      <c r="Q29373" s="24"/>
      <c r="R29373"/>
      <c r="S29373"/>
      <c r="T29373"/>
      <c r="U29373"/>
      <c r="X29373" s="60"/>
    </row>
    <row r="29374" spans="7:24" ht="15" customHeight="1">
      <c r="G29374"/>
      <c r="I29374"/>
      <c r="N29374"/>
      <c r="O29374" s="24"/>
      <c r="P29374"/>
      <c r="Q29374" s="24"/>
      <c r="R29374"/>
      <c r="S29374"/>
      <c r="T29374"/>
      <c r="U29374"/>
      <c r="X29374" s="60"/>
    </row>
    <row r="29375" spans="7:24" ht="15" customHeight="1">
      <c r="G29375"/>
      <c r="I29375"/>
      <c r="N29375"/>
      <c r="O29375" s="24"/>
      <c r="P29375"/>
      <c r="Q29375" s="24"/>
      <c r="R29375"/>
      <c r="S29375"/>
      <c r="T29375"/>
      <c r="U29375"/>
      <c r="X29375" s="60"/>
    </row>
    <row r="29376" spans="7:24" ht="15" customHeight="1">
      <c r="G29376"/>
      <c r="I29376"/>
      <c r="N29376"/>
      <c r="O29376" s="24"/>
      <c r="P29376"/>
      <c r="Q29376" s="24"/>
      <c r="R29376"/>
      <c r="S29376"/>
      <c r="T29376"/>
      <c r="U29376"/>
      <c r="X29376" s="60"/>
    </row>
    <row r="29377" spans="7:24" ht="15" customHeight="1">
      <c r="G29377"/>
      <c r="I29377"/>
      <c r="N29377"/>
      <c r="O29377" s="24"/>
      <c r="P29377"/>
      <c r="Q29377" s="24"/>
      <c r="R29377"/>
      <c r="S29377"/>
      <c r="T29377"/>
      <c r="U29377"/>
      <c r="X29377" s="60"/>
    </row>
    <row r="29378" spans="7:24" ht="15" customHeight="1">
      <c r="G29378"/>
      <c r="I29378"/>
      <c r="N29378"/>
      <c r="O29378" s="24"/>
      <c r="P29378"/>
      <c r="Q29378" s="24"/>
      <c r="R29378"/>
      <c r="S29378"/>
      <c r="T29378"/>
      <c r="U29378"/>
      <c r="X29378" s="60"/>
    </row>
    <row r="29379" spans="7:24" ht="15" customHeight="1">
      <c r="G29379"/>
      <c r="I29379"/>
      <c r="N29379"/>
      <c r="O29379" s="24"/>
      <c r="P29379"/>
      <c r="Q29379" s="24"/>
      <c r="R29379"/>
      <c r="S29379"/>
      <c r="T29379"/>
      <c r="U29379"/>
      <c r="X29379" s="60"/>
    </row>
    <row r="29380" spans="7:24" ht="15" customHeight="1">
      <c r="G29380"/>
      <c r="I29380"/>
      <c r="N29380"/>
      <c r="O29380" s="24"/>
      <c r="P29380"/>
      <c r="Q29380" s="24"/>
      <c r="R29380"/>
      <c r="S29380"/>
      <c r="T29380"/>
      <c r="U29380"/>
      <c r="X29380" s="60"/>
    </row>
    <row r="29381" spans="7:24" ht="15" customHeight="1">
      <c r="G29381"/>
      <c r="I29381"/>
      <c r="N29381"/>
      <c r="O29381" s="24"/>
      <c r="P29381"/>
      <c r="Q29381" s="24"/>
      <c r="R29381"/>
      <c r="S29381"/>
      <c r="T29381"/>
      <c r="U29381"/>
      <c r="X29381" s="60"/>
    </row>
    <row r="29382" spans="7:24" ht="15" customHeight="1">
      <c r="G29382"/>
      <c r="I29382"/>
      <c r="N29382"/>
      <c r="O29382" s="24"/>
      <c r="P29382"/>
      <c r="Q29382" s="24"/>
      <c r="R29382"/>
      <c r="S29382"/>
      <c r="T29382"/>
      <c r="U29382"/>
      <c r="X29382" s="60"/>
    </row>
    <row r="29383" spans="7:24" ht="15" customHeight="1">
      <c r="G29383"/>
      <c r="I29383"/>
      <c r="N29383"/>
      <c r="O29383" s="24"/>
      <c r="P29383"/>
      <c r="Q29383" s="24"/>
      <c r="R29383"/>
      <c r="S29383"/>
      <c r="T29383"/>
      <c r="U29383"/>
      <c r="X29383" s="60"/>
    </row>
    <row r="29384" spans="7:24" ht="15" customHeight="1">
      <c r="G29384"/>
      <c r="I29384"/>
      <c r="N29384"/>
      <c r="O29384" s="24"/>
      <c r="P29384"/>
      <c r="Q29384" s="24"/>
      <c r="R29384"/>
      <c r="S29384"/>
      <c r="T29384"/>
      <c r="U29384"/>
      <c r="X29384" s="60"/>
    </row>
    <row r="29385" spans="7:24" ht="15" customHeight="1">
      <c r="G29385"/>
      <c r="I29385"/>
      <c r="N29385"/>
      <c r="O29385" s="24"/>
      <c r="P29385"/>
      <c r="Q29385" s="24"/>
      <c r="R29385"/>
      <c r="S29385"/>
      <c r="T29385"/>
      <c r="U29385"/>
      <c r="X29385" s="60"/>
    </row>
    <row r="29386" spans="7:24" ht="15" customHeight="1">
      <c r="G29386"/>
      <c r="I29386"/>
      <c r="N29386"/>
      <c r="O29386" s="24"/>
      <c r="P29386"/>
      <c r="Q29386" s="24"/>
      <c r="R29386"/>
      <c r="S29386"/>
      <c r="T29386"/>
      <c r="U29386"/>
      <c r="X29386" s="60"/>
    </row>
    <row r="29387" spans="7:24" ht="15" customHeight="1">
      <c r="G29387"/>
      <c r="I29387"/>
      <c r="N29387"/>
      <c r="O29387" s="24"/>
      <c r="P29387"/>
      <c r="Q29387" s="24"/>
      <c r="R29387"/>
      <c r="S29387"/>
      <c r="T29387"/>
      <c r="U29387"/>
      <c r="X29387" s="60"/>
    </row>
    <row r="29388" spans="7:24" ht="15" customHeight="1">
      <c r="G29388"/>
      <c r="I29388"/>
      <c r="N29388"/>
      <c r="O29388" s="24"/>
      <c r="P29388"/>
      <c r="Q29388" s="24"/>
      <c r="R29388"/>
      <c r="S29388"/>
      <c r="T29388"/>
      <c r="U29388"/>
      <c r="X29388" s="60"/>
    </row>
    <row r="29389" spans="7:24" ht="15" customHeight="1">
      <c r="G29389"/>
      <c r="I29389"/>
      <c r="N29389"/>
      <c r="O29389" s="24"/>
      <c r="P29389"/>
      <c r="Q29389" s="24"/>
      <c r="R29389"/>
      <c r="S29389"/>
      <c r="T29389"/>
      <c r="U29389"/>
      <c r="X29389" s="60"/>
    </row>
    <row r="29390" spans="7:24" ht="15" customHeight="1">
      <c r="G29390"/>
      <c r="I29390"/>
      <c r="N29390"/>
      <c r="O29390" s="24"/>
      <c r="P29390"/>
      <c r="Q29390" s="24"/>
      <c r="R29390"/>
      <c r="S29390"/>
      <c r="T29390"/>
      <c r="U29390"/>
      <c r="X29390" s="60"/>
    </row>
    <row r="29391" spans="7:24" ht="15" customHeight="1">
      <c r="G29391"/>
      <c r="I29391"/>
      <c r="N29391"/>
      <c r="O29391" s="24"/>
      <c r="P29391"/>
      <c r="Q29391" s="24"/>
      <c r="R29391"/>
      <c r="S29391"/>
      <c r="T29391"/>
      <c r="U29391"/>
      <c r="X29391" s="60"/>
    </row>
    <row r="29392" spans="7:24" ht="15" customHeight="1">
      <c r="G29392"/>
      <c r="I29392"/>
      <c r="N29392"/>
      <c r="O29392" s="24"/>
      <c r="P29392"/>
      <c r="Q29392" s="24"/>
      <c r="R29392"/>
      <c r="S29392"/>
      <c r="T29392"/>
      <c r="U29392"/>
      <c r="X29392" s="60"/>
    </row>
    <row r="29393" spans="7:24" ht="15" customHeight="1">
      <c r="G29393"/>
      <c r="I29393"/>
      <c r="N29393"/>
      <c r="O29393" s="24"/>
      <c r="P29393"/>
      <c r="Q29393" s="24"/>
      <c r="R29393"/>
      <c r="S29393"/>
      <c r="T29393"/>
      <c r="U29393"/>
      <c r="X29393" s="60"/>
    </row>
    <row r="29394" spans="7:24" ht="15" customHeight="1">
      <c r="G29394"/>
      <c r="I29394"/>
      <c r="N29394"/>
      <c r="O29394" s="24"/>
      <c r="P29394"/>
      <c r="Q29394" s="24"/>
      <c r="R29394"/>
      <c r="S29394"/>
      <c r="T29394"/>
      <c r="U29394"/>
      <c r="X29394" s="60"/>
    </row>
    <row r="29395" spans="7:24" ht="15" customHeight="1">
      <c r="G29395"/>
      <c r="I29395"/>
      <c r="N29395"/>
      <c r="O29395" s="24"/>
      <c r="P29395"/>
      <c r="Q29395" s="24"/>
      <c r="R29395"/>
      <c r="S29395"/>
      <c r="T29395"/>
      <c r="U29395"/>
      <c r="X29395" s="60"/>
    </row>
    <row r="29396" spans="7:24" ht="15" customHeight="1">
      <c r="G29396"/>
      <c r="I29396"/>
      <c r="N29396"/>
      <c r="O29396" s="24"/>
      <c r="P29396"/>
      <c r="Q29396" s="24"/>
      <c r="R29396"/>
      <c r="S29396"/>
      <c r="T29396"/>
      <c r="U29396"/>
      <c r="X29396" s="60"/>
    </row>
    <row r="29397" spans="7:24" ht="15" customHeight="1">
      <c r="G29397"/>
      <c r="I29397"/>
      <c r="N29397"/>
      <c r="O29397" s="24"/>
      <c r="P29397"/>
      <c r="Q29397" s="24"/>
      <c r="R29397"/>
      <c r="S29397"/>
      <c r="T29397"/>
      <c r="U29397"/>
      <c r="X29397" s="60"/>
    </row>
    <row r="29398" spans="7:24" ht="15" customHeight="1">
      <c r="G29398"/>
      <c r="I29398"/>
      <c r="N29398"/>
      <c r="O29398" s="24"/>
      <c r="P29398"/>
      <c r="Q29398" s="24"/>
      <c r="R29398"/>
      <c r="S29398"/>
      <c r="T29398"/>
      <c r="U29398"/>
      <c r="X29398" s="60"/>
    </row>
    <row r="29399" spans="7:24" ht="15" customHeight="1">
      <c r="G29399"/>
      <c r="I29399"/>
      <c r="N29399"/>
      <c r="O29399" s="24"/>
      <c r="P29399"/>
      <c r="Q29399" s="24"/>
      <c r="R29399"/>
      <c r="S29399"/>
      <c r="T29399"/>
      <c r="U29399"/>
      <c r="X29399" s="60"/>
    </row>
    <row r="29400" spans="7:24" ht="15" customHeight="1">
      <c r="G29400"/>
      <c r="I29400"/>
      <c r="N29400"/>
      <c r="O29400" s="24"/>
      <c r="P29400"/>
      <c r="Q29400" s="24"/>
      <c r="R29400"/>
      <c r="S29400"/>
      <c r="T29400"/>
      <c r="U29400"/>
      <c r="X29400" s="60"/>
    </row>
    <row r="29401" spans="7:24" ht="15" customHeight="1">
      <c r="G29401"/>
      <c r="I29401"/>
      <c r="N29401"/>
      <c r="O29401" s="24"/>
      <c r="P29401"/>
      <c r="Q29401" s="24"/>
      <c r="R29401"/>
      <c r="S29401"/>
      <c r="T29401"/>
      <c r="U29401"/>
      <c r="X29401" s="60"/>
    </row>
    <row r="29402" spans="7:24" ht="15" customHeight="1">
      <c r="G29402"/>
      <c r="I29402"/>
      <c r="N29402"/>
      <c r="O29402" s="24"/>
      <c r="P29402"/>
      <c r="Q29402" s="24"/>
      <c r="R29402"/>
      <c r="S29402"/>
      <c r="T29402"/>
      <c r="U29402"/>
      <c r="X29402" s="60"/>
    </row>
    <row r="29403" spans="7:24" ht="15" customHeight="1">
      <c r="G29403"/>
      <c r="I29403"/>
      <c r="N29403"/>
      <c r="O29403" s="24"/>
      <c r="P29403"/>
      <c r="Q29403" s="24"/>
      <c r="R29403"/>
      <c r="S29403"/>
      <c r="T29403"/>
      <c r="U29403"/>
      <c r="X29403" s="60"/>
    </row>
    <row r="29404" spans="7:24" ht="15" customHeight="1">
      <c r="G29404"/>
      <c r="I29404"/>
      <c r="N29404"/>
      <c r="O29404" s="24"/>
      <c r="P29404"/>
      <c r="Q29404" s="24"/>
      <c r="R29404"/>
      <c r="S29404"/>
      <c r="T29404"/>
      <c r="U29404"/>
      <c r="X29404" s="60"/>
    </row>
    <row r="29405" spans="7:24" ht="15" customHeight="1">
      <c r="G29405"/>
      <c r="I29405"/>
      <c r="N29405"/>
      <c r="O29405" s="24"/>
      <c r="P29405"/>
      <c r="Q29405" s="24"/>
      <c r="R29405"/>
      <c r="S29405"/>
      <c r="T29405"/>
      <c r="U29405"/>
      <c r="X29405" s="60"/>
    </row>
    <row r="29406" spans="7:24" ht="15" customHeight="1">
      <c r="G29406"/>
      <c r="I29406"/>
      <c r="N29406"/>
      <c r="O29406" s="24"/>
      <c r="P29406"/>
      <c r="Q29406" s="24"/>
      <c r="R29406"/>
      <c r="S29406"/>
      <c r="T29406"/>
      <c r="U29406"/>
      <c r="X29406" s="60"/>
    </row>
    <row r="29407" spans="7:24" ht="15" customHeight="1">
      <c r="G29407"/>
      <c r="I29407"/>
      <c r="N29407"/>
      <c r="O29407" s="24"/>
      <c r="P29407"/>
      <c r="Q29407" s="24"/>
      <c r="R29407"/>
      <c r="S29407"/>
      <c r="T29407"/>
      <c r="U29407"/>
      <c r="X29407" s="60"/>
    </row>
    <row r="29408" spans="7:24" ht="15" customHeight="1">
      <c r="G29408"/>
      <c r="I29408"/>
      <c r="N29408"/>
      <c r="O29408" s="24"/>
      <c r="P29408"/>
      <c r="Q29408" s="24"/>
      <c r="R29408"/>
      <c r="S29408"/>
      <c r="T29408"/>
      <c r="U29408"/>
      <c r="X29408" s="60"/>
    </row>
    <row r="29409" spans="7:24" ht="15" customHeight="1">
      <c r="G29409"/>
      <c r="I29409"/>
      <c r="N29409"/>
      <c r="O29409" s="24"/>
      <c r="P29409"/>
      <c r="Q29409" s="24"/>
      <c r="R29409"/>
      <c r="S29409"/>
      <c r="T29409"/>
      <c r="U29409"/>
      <c r="X29409" s="60"/>
    </row>
    <row r="29410" spans="7:24" ht="15" customHeight="1">
      <c r="G29410"/>
      <c r="I29410"/>
      <c r="N29410"/>
      <c r="O29410" s="24"/>
      <c r="P29410"/>
      <c r="Q29410" s="24"/>
      <c r="R29410"/>
      <c r="S29410"/>
      <c r="T29410"/>
      <c r="U29410"/>
      <c r="X29410" s="60"/>
    </row>
    <row r="29411" spans="7:24" ht="15" customHeight="1">
      <c r="G29411"/>
      <c r="I29411"/>
      <c r="N29411"/>
      <c r="O29411" s="24"/>
      <c r="P29411"/>
      <c r="Q29411" s="24"/>
      <c r="R29411"/>
      <c r="S29411"/>
      <c r="T29411"/>
      <c r="U29411"/>
      <c r="X29411" s="60"/>
    </row>
    <row r="29412" spans="7:24" ht="15" customHeight="1">
      <c r="G29412"/>
      <c r="I29412"/>
      <c r="N29412"/>
      <c r="O29412" s="24"/>
      <c r="P29412"/>
      <c r="Q29412" s="24"/>
      <c r="R29412"/>
      <c r="S29412"/>
      <c r="T29412"/>
      <c r="U29412"/>
      <c r="X29412" s="60"/>
    </row>
    <row r="29413" spans="7:24" ht="15" customHeight="1">
      <c r="G29413"/>
      <c r="I29413"/>
      <c r="N29413"/>
      <c r="O29413" s="24"/>
      <c r="P29413"/>
      <c r="Q29413" s="24"/>
      <c r="R29413"/>
      <c r="S29413"/>
      <c r="T29413"/>
      <c r="U29413"/>
      <c r="X29413" s="60"/>
    </row>
    <row r="29414" spans="7:24" ht="15" customHeight="1">
      <c r="G29414"/>
      <c r="I29414"/>
      <c r="N29414"/>
      <c r="O29414" s="24"/>
      <c r="P29414"/>
      <c r="Q29414" s="24"/>
      <c r="R29414"/>
      <c r="S29414"/>
      <c r="T29414"/>
      <c r="U29414"/>
      <c r="X29414" s="60"/>
    </row>
    <row r="29415" spans="7:24" ht="15" customHeight="1">
      <c r="G29415"/>
      <c r="I29415"/>
      <c r="N29415"/>
      <c r="O29415" s="24"/>
      <c r="P29415"/>
      <c r="Q29415" s="24"/>
      <c r="R29415"/>
      <c r="S29415"/>
      <c r="T29415"/>
      <c r="U29415"/>
      <c r="X29415" s="60"/>
    </row>
    <row r="29416" spans="7:24" ht="15" customHeight="1">
      <c r="G29416"/>
      <c r="I29416"/>
      <c r="N29416"/>
      <c r="O29416" s="24"/>
      <c r="P29416"/>
      <c r="Q29416" s="24"/>
      <c r="R29416"/>
      <c r="S29416"/>
      <c r="T29416"/>
      <c r="U29416"/>
      <c r="X29416" s="60"/>
    </row>
    <row r="29417" spans="7:24" ht="15" customHeight="1">
      <c r="G29417"/>
      <c r="I29417"/>
      <c r="N29417"/>
      <c r="O29417" s="24"/>
      <c r="P29417"/>
      <c r="Q29417" s="24"/>
      <c r="R29417"/>
      <c r="S29417"/>
      <c r="T29417"/>
      <c r="U29417"/>
      <c r="X29417" s="60"/>
    </row>
    <row r="29418" spans="7:24" ht="15" customHeight="1">
      <c r="G29418"/>
      <c r="I29418"/>
      <c r="N29418"/>
      <c r="O29418" s="24"/>
      <c r="P29418"/>
      <c r="Q29418" s="24"/>
      <c r="R29418"/>
      <c r="S29418"/>
      <c r="T29418"/>
      <c r="U29418"/>
      <c r="X29418" s="60"/>
    </row>
    <row r="29419" spans="7:24" ht="15" customHeight="1">
      <c r="G29419"/>
      <c r="I29419"/>
      <c r="N29419"/>
      <c r="O29419" s="24"/>
      <c r="P29419"/>
      <c r="Q29419" s="24"/>
      <c r="R29419"/>
      <c r="S29419"/>
      <c r="T29419"/>
      <c r="U29419"/>
      <c r="X29419" s="60"/>
    </row>
    <row r="29420" spans="7:24" ht="15" customHeight="1">
      <c r="G29420"/>
      <c r="I29420"/>
      <c r="N29420"/>
      <c r="O29420" s="24"/>
      <c r="P29420"/>
      <c r="Q29420" s="24"/>
      <c r="R29420"/>
      <c r="S29420"/>
      <c r="T29420"/>
      <c r="U29420"/>
      <c r="X29420" s="60"/>
    </row>
    <row r="29421" spans="7:24" ht="15" customHeight="1">
      <c r="G29421"/>
      <c r="I29421"/>
      <c r="N29421"/>
      <c r="O29421" s="24"/>
      <c r="P29421"/>
      <c r="Q29421" s="24"/>
      <c r="R29421"/>
      <c r="S29421"/>
      <c r="T29421"/>
      <c r="U29421"/>
      <c r="X29421" s="60"/>
    </row>
    <row r="29422" spans="7:24" ht="15" customHeight="1">
      <c r="G29422"/>
      <c r="I29422"/>
      <c r="N29422"/>
      <c r="O29422" s="24"/>
      <c r="P29422"/>
      <c r="Q29422" s="24"/>
      <c r="R29422"/>
      <c r="S29422"/>
      <c r="T29422"/>
      <c r="U29422"/>
      <c r="X29422" s="60"/>
    </row>
    <row r="29423" spans="7:24" ht="15" customHeight="1">
      <c r="G29423"/>
      <c r="I29423"/>
      <c r="N29423"/>
      <c r="O29423" s="24"/>
      <c r="P29423"/>
      <c r="Q29423" s="24"/>
      <c r="R29423"/>
      <c r="S29423"/>
      <c r="T29423"/>
      <c r="U29423"/>
      <c r="X29423" s="60"/>
    </row>
    <row r="29424" spans="7:24" ht="15" customHeight="1">
      <c r="G29424"/>
      <c r="I29424"/>
      <c r="N29424"/>
      <c r="O29424" s="24"/>
      <c r="P29424"/>
      <c r="Q29424" s="24"/>
      <c r="R29424"/>
      <c r="S29424"/>
      <c r="T29424"/>
      <c r="U29424"/>
      <c r="X29424" s="60"/>
    </row>
    <row r="29425" spans="7:24" ht="15" customHeight="1">
      <c r="G29425"/>
      <c r="I29425"/>
      <c r="N29425"/>
      <c r="O29425" s="24"/>
      <c r="P29425"/>
      <c r="Q29425" s="24"/>
      <c r="R29425"/>
      <c r="S29425"/>
      <c r="T29425"/>
      <c r="U29425"/>
      <c r="X29425" s="60"/>
    </row>
    <row r="29426" spans="7:24" ht="15" customHeight="1">
      <c r="G29426"/>
      <c r="I29426"/>
      <c r="N29426"/>
      <c r="O29426" s="24"/>
      <c r="P29426"/>
      <c r="Q29426" s="24"/>
      <c r="R29426"/>
      <c r="S29426"/>
      <c r="T29426"/>
      <c r="U29426"/>
      <c r="X29426" s="60"/>
    </row>
    <row r="29427" spans="7:24" ht="15" customHeight="1">
      <c r="G29427"/>
      <c r="I29427"/>
      <c r="N29427"/>
      <c r="O29427" s="24"/>
      <c r="P29427"/>
      <c r="Q29427" s="24"/>
      <c r="R29427"/>
      <c r="S29427"/>
      <c r="T29427"/>
      <c r="U29427"/>
      <c r="X29427" s="60"/>
    </row>
    <row r="29428" spans="7:24" ht="15" customHeight="1">
      <c r="G29428"/>
      <c r="I29428"/>
      <c r="N29428"/>
      <c r="O29428" s="24"/>
      <c r="P29428"/>
      <c r="Q29428" s="24"/>
      <c r="R29428"/>
      <c r="S29428"/>
      <c r="T29428"/>
      <c r="U29428"/>
      <c r="X29428" s="60"/>
    </row>
    <row r="29429" spans="7:24" ht="15" customHeight="1">
      <c r="G29429"/>
      <c r="I29429"/>
      <c r="N29429"/>
      <c r="O29429" s="24"/>
      <c r="P29429"/>
      <c r="Q29429" s="24"/>
      <c r="R29429"/>
      <c r="S29429"/>
      <c r="T29429"/>
      <c r="U29429"/>
      <c r="X29429" s="60"/>
    </row>
    <row r="29430" spans="7:24" ht="15" customHeight="1">
      <c r="G29430"/>
      <c r="I29430"/>
      <c r="N29430"/>
      <c r="O29430" s="24"/>
      <c r="P29430"/>
      <c r="Q29430" s="24"/>
      <c r="R29430"/>
      <c r="S29430"/>
      <c r="T29430"/>
      <c r="U29430"/>
      <c r="X29430" s="60"/>
    </row>
    <row r="29431" spans="7:24" ht="15" customHeight="1">
      <c r="G29431"/>
      <c r="I29431"/>
      <c r="N29431"/>
      <c r="O29431" s="24"/>
      <c r="P29431"/>
      <c r="Q29431" s="24"/>
      <c r="R29431"/>
      <c r="S29431"/>
      <c r="T29431"/>
      <c r="U29431"/>
      <c r="X29431" s="60"/>
    </row>
    <row r="29432" spans="7:24" ht="15" customHeight="1">
      <c r="G29432"/>
      <c r="I29432"/>
      <c r="N29432"/>
      <c r="O29432" s="24"/>
      <c r="P29432"/>
      <c r="Q29432" s="24"/>
      <c r="R29432"/>
      <c r="S29432"/>
      <c r="T29432"/>
      <c r="U29432"/>
      <c r="X29432" s="60"/>
    </row>
    <row r="29433" spans="7:24" ht="15" customHeight="1">
      <c r="G29433"/>
      <c r="I29433"/>
      <c r="N29433"/>
      <c r="O29433" s="24"/>
      <c r="P29433"/>
      <c r="Q29433" s="24"/>
      <c r="R29433"/>
      <c r="S29433"/>
      <c r="T29433"/>
      <c r="U29433"/>
      <c r="X29433" s="60"/>
    </row>
    <row r="29434" spans="7:24" ht="15" customHeight="1">
      <c r="G29434"/>
      <c r="I29434"/>
      <c r="N29434"/>
      <c r="O29434" s="24"/>
      <c r="P29434"/>
      <c r="Q29434" s="24"/>
      <c r="R29434"/>
      <c r="S29434"/>
      <c r="T29434"/>
      <c r="U29434"/>
      <c r="X29434" s="60"/>
    </row>
    <row r="29435" spans="7:24" ht="15" customHeight="1">
      <c r="G29435"/>
      <c r="I29435"/>
      <c r="N29435"/>
      <c r="O29435" s="24"/>
      <c r="P29435"/>
      <c r="Q29435" s="24"/>
      <c r="R29435"/>
      <c r="S29435"/>
      <c r="T29435"/>
      <c r="U29435"/>
      <c r="X29435" s="60"/>
    </row>
    <row r="29436" spans="7:24" ht="15" customHeight="1">
      <c r="G29436"/>
      <c r="I29436"/>
      <c r="N29436"/>
      <c r="O29436" s="24"/>
      <c r="P29436"/>
      <c r="Q29436" s="24"/>
      <c r="R29436"/>
      <c r="S29436"/>
      <c r="T29436"/>
      <c r="U29436"/>
      <c r="X29436" s="60"/>
    </row>
    <row r="29437" spans="7:24" ht="15" customHeight="1">
      <c r="G29437"/>
      <c r="I29437"/>
      <c r="N29437"/>
      <c r="O29437" s="24"/>
      <c r="P29437"/>
      <c r="Q29437" s="24"/>
      <c r="R29437"/>
      <c r="S29437"/>
      <c r="T29437"/>
      <c r="U29437"/>
      <c r="X29437" s="60"/>
    </row>
    <row r="29438" spans="7:24" ht="15" customHeight="1">
      <c r="G29438"/>
      <c r="I29438"/>
      <c r="N29438"/>
      <c r="O29438" s="24"/>
      <c r="P29438"/>
      <c r="Q29438" s="24"/>
      <c r="R29438"/>
      <c r="S29438"/>
      <c r="T29438"/>
      <c r="U29438"/>
      <c r="X29438" s="60"/>
    </row>
    <row r="29439" spans="7:24" ht="15" customHeight="1">
      <c r="G29439"/>
      <c r="I29439"/>
      <c r="N29439"/>
      <c r="O29439" s="24"/>
      <c r="P29439"/>
      <c r="Q29439" s="24"/>
      <c r="R29439"/>
      <c r="S29439"/>
      <c r="T29439"/>
      <c r="U29439"/>
      <c r="X29439" s="60"/>
    </row>
    <row r="29440" spans="7:24" ht="15" customHeight="1">
      <c r="G29440"/>
      <c r="I29440"/>
      <c r="N29440"/>
      <c r="O29440" s="24"/>
      <c r="P29440"/>
      <c r="Q29440" s="24"/>
      <c r="R29440"/>
      <c r="S29440"/>
      <c r="T29440"/>
      <c r="U29440"/>
      <c r="X29440" s="60"/>
    </row>
    <row r="29441" spans="7:24" ht="15" customHeight="1">
      <c r="G29441"/>
      <c r="I29441"/>
      <c r="N29441"/>
      <c r="O29441" s="24"/>
      <c r="P29441"/>
      <c r="Q29441" s="24"/>
      <c r="R29441"/>
      <c r="S29441"/>
      <c r="T29441"/>
      <c r="U29441"/>
      <c r="X29441" s="60"/>
    </row>
    <row r="29442" spans="7:24" ht="15" customHeight="1">
      <c r="G29442"/>
      <c r="I29442"/>
      <c r="N29442"/>
      <c r="O29442" s="24"/>
      <c r="P29442"/>
      <c r="Q29442" s="24"/>
      <c r="R29442"/>
      <c r="S29442"/>
      <c r="T29442"/>
      <c r="U29442"/>
      <c r="X29442" s="60"/>
    </row>
    <row r="29443" spans="7:24" ht="15" customHeight="1">
      <c r="G29443"/>
      <c r="I29443"/>
      <c r="N29443"/>
      <c r="O29443" s="24"/>
      <c r="P29443"/>
      <c r="Q29443" s="24"/>
      <c r="R29443"/>
      <c r="S29443"/>
      <c r="T29443"/>
      <c r="U29443"/>
      <c r="X29443" s="60"/>
    </row>
    <row r="29444" spans="7:24" ht="15" customHeight="1">
      <c r="G29444"/>
      <c r="I29444"/>
      <c r="N29444"/>
      <c r="O29444" s="24"/>
      <c r="P29444"/>
      <c r="Q29444" s="24"/>
      <c r="R29444"/>
      <c r="S29444"/>
      <c r="T29444"/>
      <c r="U29444"/>
      <c r="X29444" s="60"/>
    </row>
    <row r="29445" spans="7:24" ht="15" customHeight="1">
      <c r="G29445"/>
      <c r="I29445"/>
      <c r="N29445"/>
      <c r="O29445" s="24"/>
      <c r="P29445"/>
      <c r="Q29445" s="24"/>
      <c r="R29445"/>
      <c r="S29445"/>
      <c r="T29445"/>
      <c r="U29445"/>
      <c r="X29445" s="60"/>
    </row>
    <row r="29446" spans="7:24" ht="15" customHeight="1">
      <c r="G29446"/>
      <c r="I29446"/>
      <c r="N29446"/>
      <c r="O29446" s="24"/>
      <c r="P29446"/>
      <c r="Q29446" s="24"/>
      <c r="R29446"/>
      <c r="S29446"/>
      <c r="T29446"/>
      <c r="U29446"/>
      <c r="X29446" s="60"/>
    </row>
    <row r="29447" spans="7:24" ht="15" customHeight="1">
      <c r="G29447"/>
      <c r="I29447"/>
      <c r="N29447"/>
      <c r="O29447" s="24"/>
      <c r="P29447"/>
      <c r="Q29447" s="24"/>
      <c r="R29447"/>
      <c r="S29447"/>
      <c r="T29447"/>
      <c r="U29447"/>
      <c r="X29447" s="60"/>
    </row>
    <row r="29448" spans="7:24" ht="15" customHeight="1">
      <c r="G29448"/>
      <c r="I29448"/>
      <c r="N29448"/>
      <c r="O29448" s="24"/>
      <c r="P29448"/>
      <c r="Q29448" s="24"/>
      <c r="R29448"/>
      <c r="S29448"/>
      <c r="T29448"/>
      <c r="U29448"/>
      <c r="X29448" s="60"/>
    </row>
    <row r="29449" spans="7:24" ht="15" customHeight="1">
      <c r="G29449"/>
      <c r="I29449"/>
      <c r="N29449"/>
      <c r="O29449" s="24"/>
      <c r="P29449"/>
      <c r="Q29449" s="24"/>
      <c r="R29449"/>
      <c r="S29449"/>
      <c r="T29449"/>
      <c r="U29449"/>
      <c r="X29449" s="60"/>
    </row>
    <row r="29450" spans="7:24" ht="15" customHeight="1">
      <c r="G29450"/>
      <c r="I29450"/>
      <c r="N29450"/>
      <c r="O29450" s="24"/>
      <c r="P29450"/>
      <c r="Q29450" s="24"/>
      <c r="R29450"/>
      <c r="S29450"/>
      <c r="T29450"/>
      <c r="U29450"/>
      <c r="X29450" s="60"/>
    </row>
    <row r="29451" spans="7:24" ht="15" customHeight="1">
      <c r="G29451"/>
      <c r="I29451"/>
      <c r="N29451"/>
      <c r="O29451" s="24"/>
      <c r="P29451"/>
      <c r="Q29451" s="24"/>
      <c r="R29451"/>
      <c r="S29451"/>
      <c r="T29451"/>
      <c r="U29451"/>
      <c r="X29451" s="60"/>
    </row>
    <row r="29452" spans="7:24" ht="15" customHeight="1">
      <c r="G29452"/>
      <c r="I29452"/>
      <c r="N29452"/>
      <c r="O29452" s="24"/>
      <c r="P29452"/>
      <c r="Q29452" s="24"/>
      <c r="R29452"/>
      <c r="S29452"/>
      <c r="T29452"/>
      <c r="U29452"/>
      <c r="X29452" s="60"/>
    </row>
    <row r="29453" spans="7:24" ht="15" customHeight="1">
      <c r="G29453"/>
      <c r="I29453"/>
      <c r="N29453"/>
      <c r="O29453" s="24"/>
      <c r="P29453"/>
      <c r="Q29453" s="24"/>
      <c r="R29453"/>
      <c r="S29453"/>
      <c r="T29453"/>
      <c r="U29453"/>
      <c r="X29453" s="60"/>
    </row>
    <row r="29454" spans="7:24" ht="15" customHeight="1">
      <c r="G29454"/>
      <c r="I29454"/>
      <c r="N29454"/>
      <c r="O29454" s="24"/>
      <c r="P29454"/>
      <c r="Q29454" s="24"/>
      <c r="R29454"/>
      <c r="S29454"/>
      <c r="T29454"/>
      <c r="U29454"/>
      <c r="X29454" s="60"/>
    </row>
    <row r="29455" spans="7:24" ht="15" customHeight="1">
      <c r="G29455"/>
      <c r="I29455"/>
      <c r="N29455"/>
      <c r="O29455" s="24"/>
      <c r="P29455"/>
      <c r="Q29455" s="24"/>
      <c r="R29455"/>
      <c r="S29455"/>
      <c r="T29455"/>
      <c r="U29455"/>
      <c r="X29455" s="60"/>
    </row>
    <row r="29456" spans="7:24" ht="15" customHeight="1">
      <c r="G29456"/>
      <c r="I29456"/>
      <c r="N29456"/>
      <c r="O29456" s="24"/>
      <c r="P29456"/>
      <c r="Q29456" s="24"/>
      <c r="R29456"/>
      <c r="S29456"/>
      <c r="T29456"/>
      <c r="U29456"/>
      <c r="X29456" s="60"/>
    </row>
    <row r="29457" spans="7:24" ht="15" customHeight="1">
      <c r="G29457"/>
      <c r="I29457"/>
      <c r="N29457"/>
      <c r="O29457" s="24"/>
      <c r="P29457"/>
      <c r="Q29457" s="24"/>
      <c r="R29457"/>
      <c r="S29457"/>
      <c r="T29457"/>
      <c r="U29457"/>
      <c r="X29457" s="60"/>
    </row>
    <row r="29458" spans="7:24" ht="15" customHeight="1">
      <c r="G29458"/>
      <c r="I29458"/>
      <c r="N29458"/>
      <c r="O29458" s="24"/>
      <c r="P29458"/>
      <c r="Q29458" s="24"/>
      <c r="R29458"/>
      <c r="S29458"/>
      <c r="T29458"/>
      <c r="U29458"/>
      <c r="X29458" s="60"/>
    </row>
    <row r="29459" spans="7:24" ht="15" customHeight="1">
      <c r="G29459"/>
      <c r="I29459"/>
      <c r="N29459"/>
      <c r="O29459" s="24"/>
      <c r="P29459"/>
      <c r="Q29459" s="24"/>
      <c r="R29459"/>
      <c r="S29459"/>
      <c r="T29459"/>
      <c r="U29459"/>
      <c r="X29459" s="60"/>
    </row>
    <row r="29460" spans="7:24" ht="15" customHeight="1">
      <c r="G29460"/>
      <c r="I29460"/>
      <c r="N29460"/>
      <c r="O29460" s="24"/>
      <c r="P29460"/>
      <c r="Q29460" s="24"/>
      <c r="R29460"/>
      <c r="S29460"/>
      <c r="T29460"/>
      <c r="U29460"/>
      <c r="X29460" s="60"/>
    </row>
    <row r="29461" spans="7:24" ht="15" customHeight="1">
      <c r="G29461"/>
      <c r="I29461"/>
      <c r="N29461"/>
      <c r="O29461" s="24"/>
      <c r="P29461"/>
      <c r="Q29461" s="24"/>
      <c r="R29461"/>
      <c r="S29461"/>
      <c r="T29461"/>
      <c r="U29461"/>
      <c r="X29461" s="60"/>
    </row>
    <row r="29462" spans="7:24" ht="15" customHeight="1">
      <c r="G29462"/>
      <c r="I29462"/>
      <c r="N29462"/>
      <c r="O29462" s="24"/>
      <c r="P29462"/>
      <c r="Q29462" s="24"/>
      <c r="R29462"/>
      <c r="S29462"/>
      <c r="T29462"/>
      <c r="U29462"/>
      <c r="X29462" s="60"/>
    </row>
    <row r="29463" spans="7:24" ht="15" customHeight="1">
      <c r="G29463"/>
      <c r="I29463"/>
      <c r="N29463"/>
      <c r="O29463" s="24"/>
      <c r="P29463"/>
      <c r="Q29463" s="24"/>
      <c r="R29463"/>
      <c r="S29463"/>
      <c r="T29463"/>
      <c r="U29463"/>
      <c r="X29463" s="60"/>
    </row>
    <row r="29464" spans="7:24" ht="15" customHeight="1">
      <c r="G29464"/>
      <c r="I29464"/>
      <c r="N29464"/>
      <c r="O29464" s="24"/>
      <c r="P29464"/>
      <c r="Q29464" s="24"/>
      <c r="R29464"/>
      <c r="S29464"/>
      <c r="T29464"/>
      <c r="U29464"/>
      <c r="X29464" s="60"/>
    </row>
    <row r="29465" spans="7:24" ht="15" customHeight="1">
      <c r="G29465"/>
      <c r="I29465"/>
      <c r="N29465"/>
      <c r="O29465" s="24"/>
      <c r="P29465"/>
      <c r="Q29465" s="24"/>
      <c r="R29465"/>
      <c r="S29465"/>
      <c r="T29465"/>
      <c r="U29465"/>
      <c r="X29465" s="60"/>
    </row>
    <row r="29466" spans="7:24" ht="15" customHeight="1">
      <c r="G29466"/>
      <c r="I29466"/>
      <c r="N29466"/>
      <c r="O29466" s="24"/>
      <c r="P29466"/>
      <c r="Q29466" s="24"/>
      <c r="R29466"/>
      <c r="S29466"/>
      <c r="T29466"/>
      <c r="U29466"/>
      <c r="X29466" s="60"/>
    </row>
    <row r="29467" spans="7:24" ht="15" customHeight="1">
      <c r="G29467"/>
      <c r="I29467"/>
      <c r="N29467"/>
      <c r="O29467" s="24"/>
      <c r="P29467"/>
      <c r="Q29467" s="24"/>
      <c r="R29467"/>
      <c r="S29467"/>
      <c r="T29467"/>
      <c r="U29467"/>
      <c r="X29467" s="60"/>
    </row>
    <row r="29468" spans="7:24" ht="15" customHeight="1">
      <c r="G29468"/>
      <c r="I29468"/>
      <c r="N29468"/>
      <c r="O29468" s="24"/>
      <c r="P29468"/>
      <c r="Q29468" s="24"/>
      <c r="R29468"/>
      <c r="S29468"/>
      <c r="T29468"/>
      <c r="U29468"/>
      <c r="X29468" s="60"/>
    </row>
    <row r="29469" spans="7:24" ht="15" customHeight="1">
      <c r="G29469"/>
      <c r="I29469"/>
      <c r="N29469"/>
      <c r="O29469" s="24"/>
      <c r="P29469"/>
      <c r="Q29469" s="24"/>
      <c r="R29469"/>
      <c r="S29469"/>
      <c r="T29469"/>
      <c r="U29469"/>
      <c r="X29469" s="60"/>
    </row>
    <row r="29470" spans="7:24" ht="15" customHeight="1">
      <c r="G29470"/>
      <c r="I29470"/>
      <c r="N29470"/>
      <c r="O29470" s="24"/>
      <c r="P29470"/>
      <c r="Q29470" s="24"/>
      <c r="R29470"/>
      <c r="S29470"/>
      <c r="T29470"/>
      <c r="U29470"/>
      <c r="X29470" s="60"/>
    </row>
    <row r="29471" spans="7:24" ht="15" customHeight="1">
      <c r="G29471"/>
      <c r="I29471"/>
      <c r="N29471"/>
      <c r="O29471" s="24"/>
      <c r="P29471"/>
      <c r="Q29471" s="24"/>
      <c r="R29471"/>
      <c r="S29471"/>
      <c r="T29471"/>
      <c r="U29471"/>
      <c r="X29471" s="60"/>
    </row>
    <row r="29472" spans="7:24" ht="15" customHeight="1">
      <c r="G29472"/>
      <c r="I29472"/>
      <c r="N29472"/>
      <c r="O29472" s="24"/>
      <c r="P29472"/>
      <c r="Q29472" s="24"/>
      <c r="R29472"/>
      <c r="S29472"/>
      <c r="T29472"/>
      <c r="U29472"/>
      <c r="X29472" s="60"/>
    </row>
    <row r="29473" spans="7:24" ht="15" customHeight="1">
      <c r="G29473"/>
      <c r="I29473"/>
      <c r="N29473"/>
      <c r="O29473" s="24"/>
      <c r="P29473"/>
      <c r="Q29473" s="24"/>
      <c r="R29473"/>
      <c r="S29473"/>
      <c r="T29473"/>
      <c r="U29473"/>
      <c r="X29473" s="60"/>
    </row>
    <row r="29474" spans="7:24" ht="15" customHeight="1">
      <c r="G29474"/>
      <c r="I29474"/>
      <c r="N29474"/>
      <c r="O29474" s="24"/>
      <c r="P29474"/>
      <c r="Q29474" s="24"/>
      <c r="R29474"/>
      <c r="S29474"/>
      <c r="T29474"/>
      <c r="U29474"/>
      <c r="X29474" s="60"/>
    </row>
    <row r="29475" spans="7:24" ht="15" customHeight="1">
      <c r="G29475"/>
      <c r="I29475"/>
      <c r="N29475"/>
      <c r="O29475" s="24"/>
      <c r="P29475"/>
      <c r="Q29475" s="24"/>
      <c r="R29475"/>
      <c r="S29475"/>
      <c r="T29475"/>
      <c r="U29475"/>
      <c r="X29475" s="60"/>
    </row>
    <row r="29476" spans="7:24" ht="15" customHeight="1">
      <c r="G29476"/>
      <c r="I29476"/>
      <c r="N29476"/>
      <c r="O29476" s="24"/>
      <c r="P29476"/>
      <c r="Q29476" s="24"/>
      <c r="R29476"/>
      <c r="S29476"/>
      <c r="T29476"/>
      <c r="U29476"/>
      <c r="X29476" s="60"/>
    </row>
    <row r="29477" spans="7:24" ht="15" customHeight="1">
      <c r="G29477"/>
      <c r="I29477"/>
      <c r="N29477"/>
      <c r="O29477" s="24"/>
      <c r="P29477"/>
      <c r="Q29477" s="24"/>
      <c r="R29477"/>
      <c r="S29477"/>
      <c r="T29477"/>
      <c r="U29477"/>
      <c r="X29477" s="60"/>
    </row>
    <row r="29478" spans="7:24" ht="15" customHeight="1">
      <c r="G29478"/>
      <c r="I29478"/>
      <c r="N29478"/>
      <c r="O29478" s="24"/>
      <c r="P29478"/>
      <c r="Q29478" s="24"/>
      <c r="R29478"/>
      <c r="S29478"/>
      <c r="T29478"/>
      <c r="U29478"/>
      <c r="X29478" s="60"/>
    </row>
    <row r="29479" spans="7:24" ht="15" customHeight="1">
      <c r="G29479"/>
      <c r="I29479"/>
      <c r="N29479"/>
      <c r="O29479" s="24"/>
      <c r="P29479"/>
      <c r="Q29479" s="24"/>
      <c r="R29479"/>
      <c r="S29479"/>
      <c r="T29479"/>
      <c r="U29479"/>
      <c r="X29479" s="60"/>
    </row>
    <row r="29480" spans="7:24" ht="15" customHeight="1">
      <c r="G29480"/>
      <c r="I29480"/>
      <c r="N29480"/>
      <c r="O29480" s="24"/>
      <c r="P29480"/>
      <c r="Q29480" s="24"/>
      <c r="R29480"/>
      <c r="S29480"/>
      <c r="T29480"/>
      <c r="U29480"/>
      <c r="X29480" s="60"/>
    </row>
    <row r="29481" spans="7:24" ht="15" customHeight="1">
      <c r="G29481"/>
      <c r="I29481"/>
      <c r="N29481"/>
      <c r="O29481" s="24"/>
      <c r="P29481"/>
      <c r="Q29481" s="24"/>
      <c r="R29481"/>
      <c r="S29481"/>
      <c r="T29481"/>
      <c r="U29481"/>
      <c r="X29481" s="60"/>
    </row>
    <row r="29482" spans="7:24" ht="15" customHeight="1">
      <c r="G29482"/>
      <c r="I29482"/>
      <c r="N29482"/>
      <c r="O29482" s="24"/>
      <c r="P29482"/>
      <c r="Q29482" s="24"/>
      <c r="R29482"/>
      <c r="S29482"/>
      <c r="T29482"/>
      <c r="U29482"/>
      <c r="X29482" s="60"/>
    </row>
    <row r="29483" spans="7:24" ht="15" customHeight="1">
      <c r="G29483"/>
      <c r="I29483"/>
      <c r="N29483"/>
      <c r="O29483" s="24"/>
      <c r="P29483"/>
      <c r="Q29483" s="24"/>
      <c r="R29483"/>
      <c r="S29483"/>
      <c r="T29483"/>
      <c r="U29483"/>
      <c r="X29483" s="60"/>
    </row>
    <row r="29484" spans="7:24" ht="15" customHeight="1">
      <c r="G29484"/>
      <c r="I29484"/>
      <c r="N29484"/>
      <c r="O29484" s="24"/>
      <c r="P29484"/>
      <c r="Q29484" s="24"/>
      <c r="R29484"/>
      <c r="S29484"/>
      <c r="T29484"/>
      <c r="U29484"/>
      <c r="X29484" s="60"/>
    </row>
    <row r="29485" spans="7:24" ht="15" customHeight="1">
      <c r="G29485"/>
      <c r="I29485"/>
      <c r="N29485"/>
      <c r="O29485" s="24"/>
      <c r="P29485"/>
      <c r="Q29485" s="24"/>
      <c r="R29485"/>
      <c r="S29485"/>
      <c r="T29485"/>
      <c r="U29485"/>
      <c r="X29485" s="60"/>
    </row>
    <row r="29486" spans="7:24" ht="15" customHeight="1">
      <c r="G29486"/>
      <c r="I29486"/>
      <c r="N29486"/>
      <c r="O29486" s="24"/>
      <c r="P29486"/>
      <c r="Q29486" s="24"/>
      <c r="R29486"/>
      <c r="S29486"/>
      <c r="T29486"/>
      <c r="U29486"/>
      <c r="X29486" s="60"/>
    </row>
    <row r="29487" spans="7:24" ht="15" customHeight="1">
      <c r="G29487"/>
      <c r="I29487"/>
      <c r="N29487"/>
      <c r="O29487" s="24"/>
      <c r="P29487"/>
      <c r="Q29487" s="24"/>
      <c r="R29487"/>
      <c r="S29487"/>
      <c r="T29487"/>
      <c r="U29487"/>
      <c r="X29487" s="60"/>
    </row>
    <row r="29488" spans="7:24" ht="15" customHeight="1">
      <c r="G29488"/>
      <c r="I29488"/>
      <c r="N29488"/>
      <c r="O29488" s="24"/>
      <c r="P29488"/>
      <c r="Q29488" s="24"/>
      <c r="R29488"/>
      <c r="S29488"/>
      <c r="T29488"/>
      <c r="U29488"/>
      <c r="X29488" s="60"/>
    </row>
    <row r="29489" spans="7:24" ht="15" customHeight="1">
      <c r="G29489"/>
      <c r="I29489"/>
      <c r="N29489"/>
      <c r="O29489" s="24"/>
      <c r="P29489"/>
      <c r="Q29489" s="24"/>
      <c r="R29489"/>
      <c r="S29489"/>
      <c r="T29489"/>
      <c r="U29489"/>
      <c r="X29489" s="60"/>
    </row>
    <row r="29490" spans="7:24" ht="15" customHeight="1">
      <c r="G29490"/>
      <c r="I29490"/>
      <c r="N29490"/>
      <c r="O29490" s="24"/>
      <c r="P29490"/>
      <c r="Q29490" s="24"/>
      <c r="R29490"/>
      <c r="S29490"/>
      <c r="T29490"/>
      <c r="U29490"/>
      <c r="X29490" s="60"/>
    </row>
    <row r="29491" spans="7:24" ht="15" customHeight="1">
      <c r="G29491"/>
      <c r="I29491"/>
      <c r="N29491"/>
      <c r="O29491" s="24"/>
      <c r="P29491"/>
      <c r="Q29491" s="24"/>
      <c r="R29491"/>
      <c r="S29491"/>
      <c r="T29491"/>
      <c r="U29491"/>
      <c r="X29491" s="60"/>
    </row>
    <row r="29492" spans="7:24" ht="15" customHeight="1">
      <c r="G29492"/>
      <c r="I29492"/>
      <c r="N29492"/>
      <c r="O29492" s="24"/>
      <c r="P29492"/>
      <c r="Q29492" s="24"/>
      <c r="R29492"/>
      <c r="S29492"/>
      <c r="T29492"/>
      <c r="U29492"/>
      <c r="X29492" s="60"/>
    </row>
    <row r="29493" spans="7:24" ht="15" customHeight="1">
      <c r="G29493"/>
      <c r="I29493"/>
      <c r="N29493"/>
      <c r="O29493" s="24"/>
      <c r="P29493"/>
      <c r="Q29493" s="24"/>
      <c r="R29493"/>
      <c r="S29493"/>
      <c r="T29493"/>
      <c r="U29493"/>
      <c r="X29493" s="60"/>
    </row>
    <row r="29494" spans="7:24" ht="15" customHeight="1">
      <c r="G29494"/>
      <c r="I29494"/>
      <c r="N29494"/>
      <c r="O29494" s="24"/>
      <c r="P29494"/>
      <c r="Q29494" s="24"/>
      <c r="R29494"/>
      <c r="S29494"/>
      <c r="T29494"/>
      <c r="U29494"/>
      <c r="X29494" s="60"/>
    </row>
    <row r="29495" spans="7:24" ht="15" customHeight="1">
      <c r="G29495"/>
      <c r="I29495"/>
      <c r="N29495"/>
      <c r="O29495" s="24"/>
      <c r="P29495"/>
      <c r="Q29495" s="24"/>
      <c r="R29495"/>
      <c r="S29495"/>
      <c r="T29495"/>
      <c r="U29495"/>
      <c r="X29495" s="60"/>
    </row>
    <row r="29496" spans="7:24" ht="15" customHeight="1">
      <c r="G29496"/>
      <c r="I29496"/>
      <c r="N29496"/>
      <c r="O29496" s="24"/>
      <c r="P29496"/>
      <c r="Q29496" s="24"/>
      <c r="R29496"/>
      <c r="S29496"/>
      <c r="T29496"/>
      <c r="U29496"/>
      <c r="X29496" s="60"/>
    </row>
    <row r="29497" spans="7:24" ht="15" customHeight="1">
      <c r="G29497"/>
      <c r="I29497"/>
      <c r="N29497"/>
      <c r="O29497" s="24"/>
      <c r="P29497"/>
      <c r="Q29497" s="24"/>
      <c r="R29497"/>
      <c r="S29497"/>
      <c r="T29497"/>
      <c r="U29497"/>
      <c r="X29497" s="60"/>
    </row>
    <row r="29498" spans="7:24" ht="15" customHeight="1">
      <c r="G29498"/>
      <c r="I29498"/>
      <c r="N29498"/>
      <c r="O29498" s="24"/>
      <c r="P29498"/>
      <c r="Q29498" s="24"/>
      <c r="R29498"/>
      <c r="S29498"/>
      <c r="T29498"/>
      <c r="U29498"/>
      <c r="X29498" s="60"/>
    </row>
    <row r="29499" spans="7:24" ht="15" customHeight="1">
      <c r="G29499"/>
      <c r="I29499"/>
      <c r="N29499"/>
      <c r="O29499" s="24"/>
      <c r="P29499"/>
      <c r="Q29499" s="24"/>
      <c r="R29499"/>
      <c r="S29499"/>
      <c r="T29499"/>
      <c r="U29499"/>
      <c r="X29499" s="60"/>
    </row>
    <row r="29500" spans="7:24" ht="15" customHeight="1">
      <c r="G29500"/>
      <c r="I29500"/>
      <c r="N29500"/>
      <c r="O29500" s="24"/>
      <c r="P29500"/>
      <c r="Q29500" s="24"/>
      <c r="R29500"/>
      <c r="S29500"/>
      <c r="T29500"/>
      <c r="U29500"/>
      <c r="X29500" s="60"/>
    </row>
    <row r="29501" spans="7:24" ht="15" customHeight="1">
      <c r="G29501"/>
      <c r="I29501"/>
      <c r="N29501"/>
      <c r="O29501" s="24"/>
      <c r="P29501"/>
      <c r="Q29501" s="24"/>
      <c r="R29501"/>
      <c r="S29501"/>
      <c r="T29501"/>
      <c r="U29501"/>
      <c r="X29501" s="60"/>
    </row>
    <row r="29502" spans="7:24" ht="15" customHeight="1">
      <c r="G29502"/>
      <c r="I29502"/>
      <c r="N29502"/>
      <c r="O29502" s="24"/>
      <c r="P29502"/>
      <c r="Q29502" s="24"/>
      <c r="R29502"/>
      <c r="S29502"/>
      <c r="T29502"/>
      <c r="U29502"/>
      <c r="X29502" s="60"/>
    </row>
    <row r="29503" spans="7:24" ht="15" customHeight="1">
      <c r="G29503"/>
      <c r="I29503"/>
      <c r="N29503"/>
      <c r="O29503" s="24"/>
      <c r="P29503"/>
      <c r="Q29503" s="24"/>
      <c r="R29503"/>
      <c r="S29503"/>
      <c r="T29503"/>
      <c r="U29503"/>
      <c r="X29503" s="60"/>
    </row>
    <row r="29504" spans="7:24" ht="15" customHeight="1">
      <c r="G29504"/>
      <c r="I29504"/>
      <c r="N29504"/>
      <c r="O29504" s="24"/>
      <c r="P29504"/>
      <c r="Q29504" s="24"/>
      <c r="R29504"/>
      <c r="S29504"/>
      <c r="T29504"/>
      <c r="U29504"/>
      <c r="X29504" s="60"/>
    </row>
    <row r="29505" spans="7:24" ht="15" customHeight="1">
      <c r="G29505"/>
      <c r="I29505"/>
      <c r="N29505"/>
      <c r="O29505" s="24"/>
      <c r="P29505"/>
      <c r="Q29505" s="24"/>
      <c r="R29505"/>
      <c r="S29505"/>
      <c r="T29505"/>
      <c r="U29505"/>
      <c r="X29505" s="60"/>
    </row>
    <row r="29506" spans="7:24" ht="15" customHeight="1">
      <c r="G29506"/>
      <c r="I29506"/>
      <c r="N29506"/>
      <c r="O29506" s="24"/>
      <c r="P29506"/>
      <c r="Q29506" s="24"/>
      <c r="R29506"/>
      <c r="S29506"/>
      <c r="T29506"/>
      <c r="U29506"/>
      <c r="X29506" s="60"/>
    </row>
    <row r="29507" spans="7:24" ht="15" customHeight="1">
      <c r="G29507"/>
      <c r="I29507"/>
      <c r="N29507"/>
      <c r="O29507" s="24"/>
      <c r="P29507"/>
      <c r="Q29507" s="24"/>
      <c r="R29507"/>
      <c r="S29507"/>
      <c r="T29507"/>
      <c r="U29507"/>
      <c r="X29507" s="60"/>
    </row>
    <row r="29508" spans="7:24" ht="15" customHeight="1">
      <c r="G29508"/>
      <c r="I29508"/>
      <c r="N29508"/>
      <c r="O29508" s="24"/>
      <c r="P29508"/>
      <c r="Q29508" s="24"/>
      <c r="R29508"/>
      <c r="S29508"/>
      <c r="T29508"/>
      <c r="U29508"/>
      <c r="X29508" s="60"/>
    </row>
    <row r="29509" spans="7:24" ht="15" customHeight="1">
      <c r="G29509"/>
      <c r="I29509"/>
      <c r="N29509"/>
      <c r="O29509" s="24"/>
      <c r="P29509"/>
      <c r="Q29509" s="24"/>
      <c r="R29509"/>
      <c r="S29509"/>
      <c r="T29509"/>
      <c r="U29509"/>
      <c r="X29509" s="60"/>
    </row>
    <row r="29510" spans="7:24" ht="15" customHeight="1">
      <c r="G29510"/>
      <c r="I29510"/>
      <c r="N29510"/>
      <c r="O29510" s="24"/>
      <c r="P29510"/>
      <c r="Q29510" s="24"/>
      <c r="R29510"/>
      <c r="S29510"/>
      <c r="T29510"/>
      <c r="U29510"/>
      <c r="X29510" s="60"/>
    </row>
    <row r="29511" spans="7:24" ht="15" customHeight="1">
      <c r="G29511"/>
      <c r="I29511"/>
      <c r="N29511"/>
      <c r="O29511" s="24"/>
      <c r="P29511"/>
      <c r="Q29511" s="24"/>
      <c r="R29511"/>
      <c r="S29511"/>
      <c r="T29511"/>
      <c r="U29511"/>
      <c r="X29511" s="60"/>
    </row>
    <row r="29512" spans="7:24" ht="15" customHeight="1">
      <c r="G29512"/>
      <c r="I29512"/>
      <c r="N29512"/>
      <c r="O29512" s="24"/>
      <c r="P29512"/>
      <c r="Q29512" s="24"/>
      <c r="R29512"/>
      <c r="S29512"/>
      <c r="T29512"/>
      <c r="U29512"/>
      <c r="X29512" s="60"/>
    </row>
    <row r="29513" spans="7:24" ht="15" customHeight="1">
      <c r="G29513"/>
      <c r="I29513"/>
      <c r="N29513"/>
      <c r="O29513" s="24"/>
      <c r="P29513"/>
      <c r="Q29513" s="24"/>
      <c r="R29513"/>
      <c r="S29513"/>
      <c r="T29513"/>
      <c r="U29513"/>
      <c r="X29513" s="60"/>
    </row>
    <row r="29514" spans="7:24" ht="15" customHeight="1">
      <c r="G29514"/>
      <c r="I29514"/>
      <c r="N29514"/>
      <c r="O29514" s="24"/>
      <c r="P29514"/>
      <c r="Q29514" s="24"/>
      <c r="R29514"/>
      <c r="S29514"/>
      <c r="T29514"/>
      <c r="U29514"/>
      <c r="X29514" s="60"/>
    </row>
    <row r="29515" spans="7:24" ht="15" customHeight="1">
      <c r="G29515"/>
      <c r="I29515"/>
      <c r="N29515"/>
      <c r="O29515" s="24"/>
      <c r="P29515"/>
      <c r="Q29515" s="24"/>
      <c r="R29515"/>
      <c r="S29515"/>
      <c r="T29515"/>
      <c r="U29515"/>
      <c r="X29515" s="60"/>
    </row>
    <row r="29516" spans="7:24" ht="15" customHeight="1">
      <c r="G29516"/>
      <c r="I29516"/>
      <c r="N29516"/>
      <c r="O29516" s="24"/>
      <c r="P29516"/>
      <c r="Q29516" s="24"/>
      <c r="R29516"/>
      <c r="S29516"/>
      <c r="T29516"/>
      <c r="U29516"/>
      <c r="X29516" s="60"/>
    </row>
    <row r="29517" spans="7:24" ht="15" customHeight="1">
      <c r="G29517"/>
      <c r="I29517"/>
      <c r="N29517"/>
      <c r="O29517" s="24"/>
      <c r="P29517"/>
      <c r="Q29517" s="24"/>
      <c r="R29517"/>
      <c r="S29517"/>
      <c r="T29517"/>
      <c r="U29517"/>
      <c r="X29517" s="60"/>
    </row>
    <row r="29518" spans="7:24" ht="15" customHeight="1">
      <c r="G29518"/>
      <c r="I29518"/>
      <c r="N29518"/>
      <c r="O29518" s="24"/>
      <c r="P29518"/>
      <c r="Q29518" s="24"/>
      <c r="R29518"/>
      <c r="S29518"/>
      <c r="T29518"/>
      <c r="U29518"/>
      <c r="X29518" s="60"/>
    </row>
    <row r="29519" spans="7:24" ht="15" customHeight="1">
      <c r="G29519"/>
      <c r="I29519"/>
      <c r="N29519"/>
      <c r="O29519" s="24"/>
      <c r="P29519"/>
      <c r="Q29519" s="24"/>
      <c r="R29519"/>
      <c r="S29519"/>
      <c r="T29519"/>
      <c r="U29519"/>
      <c r="X29519" s="60"/>
    </row>
    <row r="29520" spans="7:24" ht="15" customHeight="1">
      <c r="G29520"/>
      <c r="I29520"/>
      <c r="N29520"/>
      <c r="O29520" s="24"/>
      <c r="P29520"/>
      <c r="Q29520" s="24"/>
      <c r="R29520"/>
      <c r="S29520"/>
      <c r="T29520"/>
      <c r="U29520"/>
      <c r="X29520" s="60"/>
    </row>
    <row r="29521" spans="7:24" ht="15" customHeight="1">
      <c r="G29521"/>
      <c r="I29521"/>
      <c r="N29521"/>
      <c r="O29521" s="24"/>
      <c r="P29521"/>
      <c r="Q29521" s="24"/>
      <c r="R29521"/>
      <c r="S29521"/>
      <c r="T29521"/>
      <c r="U29521"/>
      <c r="X29521" s="60"/>
    </row>
    <row r="29522" spans="7:24" ht="15" customHeight="1">
      <c r="G29522"/>
      <c r="I29522"/>
      <c r="N29522"/>
      <c r="O29522" s="24"/>
      <c r="P29522"/>
      <c r="Q29522" s="24"/>
      <c r="R29522"/>
      <c r="S29522"/>
      <c r="T29522"/>
      <c r="U29522"/>
      <c r="X29522" s="60"/>
    </row>
    <row r="29523" spans="7:24" ht="15" customHeight="1">
      <c r="G29523"/>
      <c r="I29523"/>
      <c r="N29523"/>
      <c r="O29523" s="24"/>
      <c r="P29523"/>
      <c r="Q29523" s="24"/>
      <c r="R29523"/>
      <c r="S29523"/>
      <c r="T29523"/>
      <c r="U29523"/>
      <c r="X29523" s="60"/>
    </row>
    <row r="29524" spans="7:24" ht="15" customHeight="1">
      <c r="G29524"/>
      <c r="I29524"/>
      <c r="N29524"/>
      <c r="O29524" s="24"/>
      <c r="P29524"/>
      <c r="Q29524" s="24"/>
      <c r="R29524"/>
      <c r="S29524"/>
      <c r="T29524"/>
      <c r="U29524"/>
      <c r="X29524" s="60"/>
    </row>
    <row r="29525" spans="7:24" ht="15" customHeight="1">
      <c r="G29525"/>
      <c r="I29525"/>
      <c r="N29525"/>
      <c r="O29525" s="24"/>
      <c r="P29525"/>
      <c r="Q29525" s="24"/>
      <c r="R29525"/>
      <c r="S29525"/>
      <c r="T29525"/>
      <c r="U29525"/>
      <c r="X29525" s="60"/>
    </row>
    <row r="29526" spans="7:24" ht="15" customHeight="1">
      <c r="G29526"/>
      <c r="I29526"/>
      <c r="N29526"/>
      <c r="O29526" s="24"/>
      <c r="P29526"/>
      <c r="Q29526" s="24"/>
      <c r="R29526"/>
      <c r="S29526"/>
      <c r="T29526"/>
      <c r="U29526"/>
      <c r="X29526" s="60"/>
    </row>
    <row r="29527" spans="7:24" ht="15" customHeight="1">
      <c r="G29527"/>
      <c r="I29527"/>
      <c r="N29527"/>
      <c r="O29527" s="24"/>
      <c r="P29527"/>
      <c r="Q29527" s="24"/>
      <c r="R29527"/>
      <c r="S29527"/>
      <c r="T29527"/>
      <c r="U29527"/>
      <c r="X29527" s="60"/>
    </row>
    <row r="29528" spans="7:24" ht="15" customHeight="1">
      <c r="G29528"/>
      <c r="I29528"/>
      <c r="N29528"/>
      <c r="O29528" s="24"/>
      <c r="P29528"/>
      <c r="Q29528" s="24"/>
      <c r="R29528"/>
      <c r="S29528"/>
      <c r="T29528"/>
      <c r="U29528"/>
      <c r="X29528" s="60"/>
    </row>
    <row r="29529" spans="7:24" ht="15" customHeight="1">
      <c r="G29529"/>
      <c r="I29529"/>
      <c r="N29529"/>
      <c r="O29529" s="24"/>
      <c r="P29529"/>
      <c r="Q29529" s="24"/>
      <c r="R29529"/>
      <c r="S29529"/>
      <c r="T29529"/>
      <c r="U29529"/>
      <c r="X29529" s="60"/>
    </row>
    <row r="29530" spans="7:24" ht="15" customHeight="1">
      <c r="G29530"/>
      <c r="I29530"/>
      <c r="N29530"/>
      <c r="O29530" s="24"/>
      <c r="P29530"/>
      <c r="Q29530" s="24"/>
      <c r="R29530"/>
      <c r="S29530"/>
      <c r="T29530"/>
      <c r="U29530"/>
      <c r="X29530" s="60"/>
    </row>
    <row r="29531" spans="7:24" ht="15" customHeight="1">
      <c r="G29531"/>
      <c r="I29531"/>
      <c r="N29531"/>
      <c r="O29531" s="24"/>
      <c r="P29531"/>
      <c r="Q29531" s="24"/>
      <c r="R29531"/>
      <c r="S29531"/>
      <c r="T29531"/>
      <c r="U29531"/>
      <c r="X29531" s="60"/>
    </row>
    <row r="29532" spans="7:24" ht="15" customHeight="1">
      <c r="G29532"/>
      <c r="I29532"/>
      <c r="N29532"/>
      <c r="O29532" s="24"/>
      <c r="P29532"/>
      <c r="Q29532" s="24"/>
      <c r="R29532"/>
      <c r="S29532"/>
      <c r="T29532"/>
      <c r="U29532"/>
      <c r="X29532" s="60"/>
    </row>
    <row r="29533" spans="7:24" ht="15" customHeight="1">
      <c r="G29533"/>
      <c r="I29533"/>
      <c r="N29533"/>
      <c r="O29533" s="24"/>
      <c r="P29533"/>
      <c r="Q29533" s="24"/>
      <c r="R29533"/>
      <c r="S29533"/>
      <c r="T29533"/>
      <c r="U29533"/>
      <c r="X29533" s="60"/>
    </row>
    <row r="29534" spans="7:24" ht="15" customHeight="1">
      <c r="G29534"/>
      <c r="I29534"/>
      <c r="N29534"/>
      <c r="O29534" s="24"/>
      <c r="P29534"/>
      <c r="Q29534" s="24"/>
      <c r="R29534"/>
      <c r="S29534"/>
      <c r="T29534"/>
      <c r="U29534"/>
      <c r="X29534" s="60"/>
    </row>
    <row r="29535" spans="7:24" ht="15" customHeight="1">
      <c r="G29535"/>
      <c r="I29535"/>
      <c r="N29535"/>
      <c r="O29535" s="24"/>
      <c r="P29535"/>
      <c r="Q29535" s="24"/>
      <c r="R29535"/>
      <c r="S29535"/>
      <c r="T29535"/>
      <c r="U29535"/>
      <c r="X29535" s="60"/>
    </row>
    <row r="29536" spans="7:24" ht="15" customHeight="1">
      <c r="G29536"/>
      <c r="I29536"/>
      <c r="N29536"/>
      <c r="O29536" s="24"/>
      <c r="P29536"/>
      <c r="Q29536" s="24"/>
      <c r="R29536"/>
      <c r="S29536"/>
      <c r="T29536"/>
      <c r="U29536"/>
      <c r="X29536" s="60"/>
    </row>
    <row r="29537" spans="7:24" ht="15" customHeight="1">
      <c r="G29537"/>
      <c r="I29537"/>
      <c r="N29537"/>
      <c r="O29537" s="24"/>
      <c r="P29537"/>
      <c r="Q29537" s="24"/>
      <c r="R29537"/>
      <c r="S29537"/>
      <c r="T29537"/>
      <c r="U29537"/>
      <c r="X29537" s="60"/>
    </row>
    <row r="29538" spans="7:24" ht="15" customHeight="1">
      <c r="G29538"/>
      <c r="I29538"/>
      <c r="N29538"/>
      <c r="O29538" s="24"/>
      <c r="P29538"/>
      <c r="Q29538" s="24"/>
      <c r="R29538"/>
      <c r="S29538"/>
      <c r="T29538"/>
      <c r="U29538"/>
      <c r="X29538" s="60"/>
    </row>
    <row r="29539" spans="7:24" ht="15" customHeight="1">
      <c r="G29539"/>
      <c r="I29539"/>
      <c r="N29539"/>
      <c r="O29539" s="24"/>
      <c r="P29539"/>
      <c r="Q29539" s="24"/>
      <c r="R29539"/>
      <c r="S29539"/>
      <c r="T29539"/>
      <c r="U29539"/>
      <c r="X29539" s="60"/>
    </row>
    <row r="29540" spans="7:24" ht="15" customHeight="1">
      <c r="G29540"/>
      <c r="I29540"/>
      <c r="N29540"/>
      <c r="O29540" s="24"/>
      <c r="P29540"/>
      <c r="Q29540" s="24"/>
      <c r="R29540"/>
      <c r="S29540"/>
      <c r="T29540"/>
      <c r="U29540"/>
      <c r="X29540" s="60"/>
    </row>
    <row r="29541" spans="7:24" ht="15" customHeight="1">
      <c r="G29541"/>
      <c r="I29541"/>
      <c r="N29541"/>
      <c r="O29541" s="24"/>
      <c r="P29541"/>
      <c r="Q29541" s="24"/>
      <c r="R29541"/>
      <c r="S29541"/>
      <c r="T29541"/>
      <c r="U29541"/>
      <c r="X29541" s="60"/>
    </row>
    <row r="29542" spans="7:24" ht="15" customHeight="1">
      <c r="G29542"/>
      <c r="I29542"/>
      <c r="N29542"/>
      <c r="O29542" s="24"/>
      <c r="P29542"/>
      <c r="Q29542" s="24"/>
      <c r="R29542"/>
      <c r="S29542"/>
      <c r="T29542"/>
      <c r="U29542"/>
      <c r="X29542" s="60"/>
    </row>
    <row r="29543" spans="7:24" ht="15" customHeight="1">
      <c r="G29543"/>
      <c r="I29543"/>
      <c r="N29543"/>
      <c r="O29543" s="24"/>
      <c r="P29543"/>
      <c r="Q29543" s="24"/>
      <c r="R29543"/>
      <c r="S29543"/>
      <c r="T29543"/>
      <c r="U29543"/>
      <c r="X29543" s="60"/>
    </row>
    <row r="29544" spans="7:24" ht="15" customHeight="1">
      <c r="G29544"/>
      <c r="I29544"/>
      <c r="N29544"/>
      <c r="O29544" s="24"/>
      <c r="P29544"/>
      <c r="Q29544" s="24"/>
      <c r="R29544"/>
      <c r="S29544"/>
      <c r="T29544"/>
      <c r="U29544"/>
      <c r="X29544" s="60"/>
    </row>
    <row r="29545" spans="7:24" ht="15" customHeight="1">
      <c r="G29545"/>
      <c r="I29545"/>
      <c r="N29545"/>
      <c r="O29545" s="24"/>
      <c r="P29545"/>
      <c r="Q29545" s="24"/>
      <c r="R29545"/>
      <c r="S29545"/>
      <c r="T29545"/>
      <c r="U29545"/>
      <c r="X29545" s="60"/>
    </row>
    <row r="29546" spans="7:24" ht="15" customHeight="1">
      <c r="G29546"/>
      <c r="I29546"/>
      <c r="N29546"/>
      <c r="O29546" s="24"/>
      <c r="P29546"/>
      <c r="Q29546" s="24"/>
      <c r="R29546"/>
      <c r="S29546"/>
      <c r="T29546"/>
      <c r="U29546"/>
      <c r="X29546" s="60"/>
    </row>
    <row r="29547" spans="7:24" ht="15" customHeight="1">
      <c r="G29547"/>
      <c r="I29547"/>
      <c r="N29547"/>
      <c r="O29547" s="24"/>
      <c r="P29547"/>
      <c r="Q29547" s="24"/>
      <c r="R29547"/>
      <c r="S29547"/>
      <c r="T29547"/>
      <c r="U29547"/>
      <c r="X29547" s="60"/>
    </row>
    <row r="29548" spans="7:24" ht="15" customHeight="1">
      <c r="G29548"/>
      <c r="I29548"/>
      <c r="N29548"/>
      <c r="O29548" s="24"/>
      <c r="P29548"/>
      <c r="Q29548" s="24"/>
      <c r="R29548"/>
      <c r="S29548"/>
      <c r="T29548"/>
      <c r="U29548"/>
      <c r="X29548" s="60"/>
    </row>
    <row r="29549" spans="7:24" ht="15" customHeight="1">
      <c r="G29549"/>
      <c r="I29549"/>
      <c r="N29549"/>
      <c r="O29549" s="24"/>
      <c r="P29549"/>
      <c r="Q29549" s="24"/>
      <c r="R29549"/>
      <c r="S29549"/>
      <c r="T29549"/>
      <c r="U29549"/>
      <c r="X29549" s="60"/>
    </row>
    <row r="29550" spans="7:24" ht="15" customHeight="1">
      <c r="G29550"/>
      <c r="I29550"/>
      <c r="N29550"/>
      <c r="O29550" s="24"/>
      <c r="P29550"/>
      <c r="Q29550" s="24"/>
      <c r="R29550"/>
      <c r="S29550"/>
      <c r="T29550"/>
      <c r="U29550"/>
      <c r="X29550" s="60"/>
    </row>
    <row r="29551" spans="7:24" ht="15" customHeight="1">
      <c r="G29551"/>
      <c r="I29551"/>
      <c r="N29551"/>
      <c r="O29551" s="24"/>
      <c r="P29551"/>
      <c r="Q29551" s="24"/>
      <c r="R29551"/>
      <c r="S29551"/>
      <c r="T29551"/>
      <c r="U29551"/>
      <c r="X29551" s="60"/>
    </row>
    <row r="29552" spans="7:24" ht="15" customHeight="1">
      <c r="G29552"/>
      <c r="I29552"/>
      <c r="N29552"/>
      <c r="O29552" s="24"/>
      <c r="P29552"/>
      <c r="Q29552" s="24"/>
      <c r="R29552"/>
      <c r="S29552"/>
      <c r="T29552"/>
      <c r="U29552"/>
      <c r="X29552" s="60"/>
    </row>
    <row r="29553" spans="7:24" ht="15" customHeight="1">
      <c r="G29553"/>
      <c r="I29553"/>
      <c r="N29553"/>
      <c r="O29553" s="24"/>
      <c r="P29553"/>
      <c r="Q29553" s="24"/>
      <c r="R29553"/>
      <c r="S29553"/>
      <c r="T29553"/>
      <c r="U29553"/>
      <c r="X29553" s="60"/>
    </row>
    <row r="29554" spans="7:24" ht="15" customHeight="1">
      <c r="G29554"/>
      <c r="I29554"/>
      <c r="N29554"/>
      <c r="O29554" s="24"/>
      <c r="P29554"/>
      <c r="Q29554" s="24"/>
      <c r="R29554"/>
      <c r="S29554"/>
      <c r="T29554"/>
      <c r="U29554"/>
      <c r="X29554" s="60"/>
    </row>
    <row r="29555" spans="7:24" ht="15" customHeight="1">
      <c r="G29555"/>
      <c r="I29555"/>
      <c r="N29555"/>
      <c r="O29555" s="24"/>
      <c r="P29555"/>
      <c r="Q29555" s="24"/>
      <c r="R29555"/>
      <c r="S29555"/>
      <c r="T29555"/>
      <c r="U29555"/>
      <c r="X29555" s="60"/>
    </row>
    <row r="29556" spans="7:24" ht="15" customHeight="1">
      <c r="G29556"/>
      <c r="I29556"/>
      <c r="N29556"/>
      <c r="O29556" s="24"/>
      <c r="P29556"/>
      <c r="Q29556" s="24"/>
      <c r="R29556"/>
      <c r="S29556"/>
      <c r="T29556"/>
      <c r="U29556"/>
      <c r="X29556" s="60"/>
    </row>
    <row r="29557" spans="7:24" ht="15" customHeight="1">
      <c r="G29557"/>
      <c r="I29557"/>
      <c r="N29557"/>
      <c r="O29557" s="24"/>
      <c r="P29557"/>
      <c r="Q29557" s="24"/>
      <c r="R29557"/>
      <c r="S29557"/>
      <c r="T29557"/>
      <c r="U29557"/>
      <c r="X29557" s="60"/>
    </row>
    <row r="29558" spans="7:24" ht="15" customHeight="1">
      <c r="G29558"/>
      <c r="I29558"/>
      <c r="N29558"/>
      <c r="O29558" s="24"/>
      <c r="P29558"/>
      <c r="Q29558" s="24"/>
      <c r="R29558"/>
      <c r="S29558"/>
      <c r="T29558"/>
      <c r="U29558"/>
      <c r="X29558" s="60"/>
    </row>
    <row r="29559" spans="7:24" ht="15" customHeight="1">
      <c r="G29559"/>
      <c r="I29559"/>
      <c r="N29559"/>
      <c r="O29559" s="24"/>
      <c r="P29559"/>
      <c r="Q29559" s="24"/>
      <c r="R29559"/>
      <c r="S29559"/>
      <c r="T29559"/>
      <c r="U29559"/>
      <c r="X29559" s="60"/>
    </row>
    <row r="29560" spans="7:24" ht="15" customHeight="1">
      <c r="G29560"/>
      <c r="I29560"/>
      <c r="N29560"/>
      <c r="O29560" s="24"/>
      <c r="P29560"/>
      <c r="Q29560" s="24"/>
      <c r="R29560"/>
      <c r="S29560"/>
      <c r="T29560"/>
      <c r="U29560"/>
      <c r="X29560" s="60"/>
    </row>
    <row r="29561" spans="7:24" ht="15" customHeight="1">
      <c r="G29561"/>
      <c r="I29561"/>
      <c r="N29561"/>
      <c r="O29561" s="24"/>
      <c r="P29561"/>
      <c r="Q29561" s="24"/>
      <c r="R29561"/>
      <c r="S29561"/>
      <c r="T29561"/>
      <c r="U29561"/>
      <c r="X29561" s="60"/>
    </row>
    <row r="29562" spans="7:24" ht="15" customHeight="1">
      <c r="G29562"/>
      <c r="I29562"/>
      <c r="N29562"/>
      <c r="O29562" s="24"/>
      <c r="P29562"/>
      <c r="Q29562" s="24"/>
      <c r="R29562"/>
      <c r="S29562"/>
      <c r="T29562"/>
      <c r="U29562"/>
      <c r="X29562" s="60"/>
    </row>
    <row r="29563" spans="7:24" ht="15" customHeight="1">
      <c r="G29563"/>
      <c r="I29563"/>
      <c r="N29563"/>
      <c r="O29563" s="24"/>
      <c r="P29563"/>
      <c r="Q29563" s="24"/>
      <c r="R29563"/>
      <c r="S29563"/>
      <c r="T29563"/>
      <c r="U29563"/>
      <c r="X29563" s="60"/>
    </row>
    <row r="29564" spans="7:24" ht="15" customHeight="1">
      <c r="G29564"/>
      <c r="I29564"/>
      <c r="N29564"/>
      <c r="O29564" s="24"/>
      <c r="P29564"/>
      <c r="Q29564" s="24"/>
      <c r="R29564"/>
      <c r="S29564"/>
      <c r="T29564"/>
      <c r="U29564"/>
      <c r="X29564" s="60"/>
    </row>
    <row r="29565" spans="7:24" ht="15" customHeight="1">
      <c r="G29565"/>
      <c r="I29565"/>
      <c r="N29565"/>
      <c r="O29565" s="24"/>
      <c r="P29565"/>
      <c r="Q29565" s="24"/>
      <c r="R29565"/>
      <c r="S29565"/>
      <c r="T29565"/>
      <c r="U29565"/>
      <c r="X29565" s="60"/>
    </row>
    <row r="29566" spans="7:24" ht="15" customHeight="1">
      <c r="G29566"/>
      <c r="I29566"/>
      <c r="N29566"/>
      <c r="O29566" s="24"/>
      <c r="P29566"/>
      <c r="Q29566" s="24"/>
      <c r="R29566"/>
      <c r="S29566"/>
      <c r="T29566"/>
      <c r="U29566"/>
      <c r="X29566" s="60"/>
    </row>
    <row r="29567" spans="7:24" ht="15" customHeight="1">
      <c r="G29567"/>
      <c r="I29567"/>
      <c r="N29567"/>
      <c r="O29567" s="24"/>
      <c r="P29567"/>
      <c r="Q29567" s="24"/>
      <c r="R29567"/>
      <c r="S29567"/>
      <c r="T29567"/>
      <c r="U29567"/>
      <c r="X29567" s="60"/>
    </row>
    <row r="29568" spans="7:24" ht="15" customHeight="1">
      <c r="G29568"/>
      <c r="I29568"/>
      <c r="N29568"/>
      <c r="O29568" s="24"/>
      <c r="P29568"/>
      <c r="Q29568" s="24"/>
      <c r="R29568"/>
      <c r="S29568"/>
      <c r="T29568"/>
      <c r="U29568"/>
      <c r="X29568" s="60"/>
    </row>
    <row r="29569" spans="7:24" ht="15" customHeight="1">
      <c r="G29569"/>
      <c r="I29569"/>
      <c r="N29569"/>
      <c r="O29569" s="24"/>
      <c r="P29569"/>
      <c r="Q29569" s="24"/>
      <c r="R29569"/>
      <c r="S29569"/>
      <c r="T29569"/>
      <c r="U29569"/>
      <c r="X29569" s="60"/>
    </row>
    <row r="29570" spans="7:24" ht="15" customHeight="1">
      <c r="G29570"/>
      <c r="I29570"/>
      <c r="N29570"/>
      <c r="O29570" s="24"/>
      <c r="P29570"/>
      <c r="Q29570" s="24"/>
      <c r="R29570"/>
      <c r="S29570"/>
      <c r="T29570"/>
      <c r="U29570"/>
      <c r="X29570" s="60"/>
    </row>
    <row r="29571" spans="7:24" ht="15" customHeight="1">
      <c r="G29571"/>
      <c r="I29571"/>
      <c r="N29571"/>
      <c r="O29571" s="24"/>
      <c r="P29571"/>
      <c r="Q29571" s="24"/>
      <c r="R29571"/>
      <c r="S29571"/>
      <c r="T29571"/>
      <c r="U29571"/>
      <c r="X29571" s="60"/>
    </row>
    <row r="29572" spans="7:24" ht="15" customHeight="1">
      <c r="G29572"/>
      <c r="I29572"/>
      <c r="N29572"/>
      <c r="O29572" s="24"/>
      <c r="P29572"/>
      <c r="Q29572" s="24"/>
      <c r="R29572"/>
      <c r="S29572"/>
      <c r="T29572"/>
      <c r="U29572"/>
      <c r="X29572" s="60"/>
    </row>
    <row r="29573" spans="7:24" ht="15" customHeight="1">
      <c r="G29573"/>
      <c r="I29573"/>
      <c r="N29573"/>
      <c r="O29573" s="24"/>
      <c r="P29573"/>
      <c r="Q29573" s="24"/>
      <c r="R29573"/>
      <c r="S29573"/>
      <c r="T29573"/>
      <c r="U29573"/>
      <c r="X29573" s="60"/>
    </row>
    <row r="29574" spans="7:24" ht="15" customHeight="1">
      <c r="G29574"/>
      <c r="I29574"/>
      <c r="N29574"/>
      <c r="O29574" s="24"/>
      <c r="P29574"/>
      <c r="Q29574" s="24"/>
      <c r="R29574"/>
      <c r="S29574"/>
      <c r="T29574"/>
      <c r="U29574"/>
      <c r="X29574" s="60"/>
    </row>
    <row r="29575" spans="7:24" ht="15" customHeight="1">
      <c r="G29575"/>
      <c r="I29575"/>
      <c r="N29575"/>
      <c r="O29575" s="24"/>
      <c r="P29575"/>
      <c r="Q29575" s="24"/>
      <c r="R29575"/>
      <c r="S29575"/>
      <c r="T29575"/>
      <c r="U29575"/>
      <c r="X29575" s="60"/>
    </row>
    <row r="29576" spans="7:24" ht="15" customHeight="1">
      <c r="G29576"/>
      <c r="I29576"/>
      <c r="N29576"/>
      <c r="O29576" s="24"/>
      <c r="P29576"/>
      <c r="Q29576" s="24"/>
      <c r="R29576"/>
      <c r="S29576"/>
      <c r="T29576"/>
      <c r="U29576"/>
      <c r="X29576" s="60"/>
    </row>
    <row r="29577" spans="7:24" ht="15" customHeight="1">
      <c r="G29577"/>
      <c r="I29577"/>
      <c r="N29577"/>
      <c r="O29577" s="24"/>
      <c r="P29577"/>
      <c r="Q29577" s="24"/>
      <c r="R29577"/>
      <c r="S29577"/>
      <c r="T29577"/>
      <c r="U29577"/>
      <c r="X29577" s="60"/>
    </row>
    <row r="29578" spans="7:24" ht="15" customHeight="1">
      <c r="G29578"/>
      <c r="I29578"/>
      <c r="N29578"/>
      <c r="O29578" s="24"/>
      <c r="P29578"/>
      <c r="Q29578" s="24"/>
      <c r="R29578"/>
      <c r="S29578"/>
      <c r="T29578"/>
      <c r="U29578"/>
      <c r="X29578" s="60"/>
    </row>
    <row r="29579" spans="7:24" ht="15" customHeight="1">
      <c r="G29579"/>
      <c r="I29579"/>
      <c r="N29579"/>
      <c r="O29579" s="24"/>
      <c r="P29579"/>
      <c r="Q29579" s="24"/>
      <c r="R29579"/>
      <c r="S29579"/>
      <c r="T29579"/>
      <c r="U29579"/>
      <c r="X29579" s="60"/>
    </row>
    <row r="29580" spans="7:24" ht="15" customHeight="1">
      <c r="G29580"/>
      <c r="I29580"/>
      <c r="N29580"/>
      <c r="O29580" s="24"/>
      <c r="P29580"/>
      <c r="Q29580" s="24"/>
      <c r="R29580"/>
      <c r="S29580"/>
      <c r="T29580"/>
      <c r="U29580"/>
      <c r="X29580" s="60"/>
    </row>
    <row r="29581" spans="7:24" ht="15" customHeight="1">
      <c r="G29581"/>
      <c r="I29581"/>
      <c r="N29581"/>
      <c r="O29581" s="24"/>
      <c r="P29581"/>
      <c r="Q29581" s="24"/>
      <c r="R29581"/>
      <c r="S29581"/>
      <c r="T29581"/>
      <c r="U29581"/>
      <c r="X29581" s="60"/>
    </row>
    <row r="29582" spans="7:24" ht="15" customHeight="1">
      <c r="G29582"/>
      <c r="I29582"/>
      <c r="N29582"/>
      <c r="O29582" s="24"/>
      <c r="P29582"/>
      <c r="Q29582" s="24"/>
      <c r="R29582"/>
      <c r="S29582"/>
      <c r="T29582"/>
      <c r="U29582"/>
      <c r="X29582" s="60"/>
    </row>
    <row r="29583" spans="7:24" ht="15" customHeight="1">
      <c r="G29583"/>
      <c r="I29583"/>
      <c r="N29583"/>
      <c r="O29583" s="24"/>
      <c r="P29583"/>
      <c r="Q29583" s="24"/>
      <c r="R29583"/>
      <c r="S29583"/>
      <c r="T29583"/>
      <c r="U29583"/>
      <c r="X29583" s="60"/>
    </row>
    <row r="29584" spans="7:24" ht="15" customHeight="1">
      <c r="G29584"/>
      <c r="I29584"/>
      <c r="N29584"/>
      <c r="O29584" s="24"/>
      <c r="P29584"/>
      <c r="Q29584" s="24"/>
      <c r="R29584"/>
      <c r="S29584"/>
      <c r="T29584"/>
      <c r="U29584"/>
      <c r="X29584" s="60"/>
    </row>
    <row r="29585" spans="7:24" ht="15" customHeight="1">
      <c r="G29585"/>
      <c r="I29585"/>
      <c r="N29585"/>
      <c r="O29585" s="24"/>
      <c r="P29585"/>
      <c r="Q29585" s="24"/>
      <c r="R29585"/>
      <c r="S29585"/>
      <c r="T29585"/>
      <c r="U29585"/>
      <c r="X29585" s="60"/>
    </row>
    <row r="29586" spans="7:24" ht="15" customHeight="1">
      <c r="G29586"/>
      <c r="I29586"/>
      <c r="N29586"/>
      <c r="O29586" s="24"/>
      <c r="P29586"/>
      <c r="Q29586" s="24"/>
      <c r="R29586"/>
      <c r="S29586"/>
      <c r="T29586"/>
      <c r="U29586"/>
      <c r="X29586" s="60"/>
    </row>
    <row r="29587" spans="7:24" ht="15" customHeight="1">
      <c r="G29587"/>
      <c r="I29587"/>
      <c r="N29587"/>
      <c r="O29587" s="24"/>
      <c r="P29587"/>
      <c r="Q29587" s="24"/>
      <c r="R29587"/>
      <c r="S29587"/>
      <c r="T29587"/>
      <c r="U29587"/>
      <c r="X29587" s="60"/>
    </row>
    <row r="29588" spans="7:24" ht="15" customHeight="1">
      <c r="G29588"/>
      <c r="I29588"/>
      <c r="N29588"/>
      <c r="O29588" s="24"/>
      <c r="P29588"/>
      <c r="Q29588" s="24"/>
      <c r="R29588"/>
      <c r="S29588"/>
      <c r="T29588"/>
      <c r="U29588"/>
      <c r="X29588" s="60"/>
    </row>
    <row r="29589" spans="7:24" ht="15" customHeight="1">
      <c r="G29589"/>
      <c r="I29589"/>
      <c r="N29589"/>
      <c r="O29589" s="24"/>
      <c r="P29589"/>
      <c r="Q29589" s="24"/>
      <c r="R29589"/>
      <c r="S29589"/>
      <c r="T29589"/>
      <c r="U29589"/>
      <c r="X29589" s="60"/>
    </row>
    <row r="29590" spans="7:24" ht="15" customHeight="1">
      <c r="G29590"/>
      <c r="I29590"/>
      <c r="N29590"/>
      <c r="O29590" s="24"/>
      <c r="P29590"/>
      <c r="Q29590" s="24"/>
      <c r="R29590"/>
      <c r="S29590"/>
      <c r="T29590"/>
      <c r="U29590"/>
      <c r="X29590" s="60"/>
    </row>
    <row r="29591" spans="7:24" ht="15" customHeight="1">
      <c r="G29591"/>
      <c r="I29591"/>
      <c r="N29591"/>
      <c r="O29591" s="24"/>
      <c r="P29591"/>
      <c r="Q29591" s="24"/>
      <c r="R29591"/>
      <c r="S29591"/>
      <c r="T29591"/>
      <c r="U29591"/>
      <c r="X29591" s="60"/>
    </row>
    <row r="29592" spans="7:24" ht="15" customHeight="1">
      <c r="G29592"/>
      <c r="I29592"/>
      <c r="N29592"/>
      <c r="O29592" s="24"/>
      <c r="P29592"/>
      <c r="Q29592" s="24"/>
      <c r="R29592"/>
      <c r="S29592"/>
      <c r="T29592"/>
      <c r="U29592"/>
      <c r="X29592" s="60"/>
    </row>
    <row r="29593" spans="7:24" ht="15" customHeight="1">
      <c r="G29593"/>
      <c r="I29593"/>
      <c r="N29593"/>
      <c r="O29593" s="24"/>
      <c r="P29593"/>
      <c r="Q29593" s="24"/>
      <c r="R29593"/>
      <c r="S29593"/>
      <c r="T29593"/>
      <c r="U29593"/>
      <c r="X29593" s="60"/>
    </row>
    <row r="29594" spans="7:24" ht="15" customHeight="1">
      <c r="G29594"/>
      <c r="I29594"/>
      <c r="N29594"/>
      <c r="O29594" s="24"/>
      <c r="P29594"/>
      <c r="Q29594" s="24"/>
      <c r="R29594"/>
      <c r="S29594"/>
      <c r="T29594"/>
      <c r="U29594"/>
      <c r="X29594" s="60"/>
    </row>
    <row r="29595" spans="7:24" ht="15" customHeight="1">
      <c r="G29595"/>
      <c r="I29595"/>
      <c r="N29595"/>
      <c r="O29595" s="24"/>
      <c r="P29595"/>
      <c r="Q29595" s="24"/>
      <c r="R29595"/>
      <c r="S29595"/>
      <c r="T29595"/>
      <c r="U29595"/>
      <c r="X29595" s="60"/>
    </row>
    <row r="29596" spans="7:24" ht="15" customHeight="1">
      <c r="G29596"/>
      <c r="I29596"/>
      <c r="N29596"/>
      <c r="O29596" s="24"/>
      <c r="P29596"/>
      <c r="Q29596" s="24"/>
      <c r="R29596"/>
      <c r="S29596"/>
      <c r="T29596"/>
      <c r="U29596"/>
      <c r="X29596" s="60"/>
    </row>
    <row r="29597" spans="7:24" ht="15" customHeight="1">
      <c r="G29597"/>
      <c r="I29597"/>
      <c r="N29597"/>
      <c r="O29597" s="24"/>
      <c r="P29597"/>
      <c r="Q29597" s="24"/>
      <c r="R29597"/>
      <c r="S29597"/>
      <c r="T29597"/>
      <c r="U29597"/>
      <c r="X29597" s="60"/>
    </row>
    <row r="29598" spans="7:24" ht="15" customHeight="1">
      <c r="G29598"/>
      <c r="I29598"/>
      <c r="N29598"/>
      <c r="O29598" s="24"/>
      <c r="P29598"/>
      <c r="Q29598" s="24"/>
      <c r="R29598"/>
      <c r="S29598"/>
      <c r="T29598"/>
      <c r="U29598"/>
      <c r="X29598" s="60"/>
    </row>
    <row r="29599" spans="7:24" ht="15" customHeight="1">
      <c r="G29599"/>
      <c r="I29599"/>
      <c r="N29599"/>
      <c r="O29599" s="24"/>
      <c r="P29599"/>
      <c r="Q29599" s="24"/>
      <c r="R29599"/>
      <c r="S29599"/>
      <c r="T29599"/>
      <c r="U29599"/>
      <c r="X29599" s="60"/>
    </row>
    <row r="29600" spans="7:24" ht="15" customHeight="1">
      <c r="G29600"/>
      <c r="I29600"/>
      <c r="N29600"/>
      <c r="O29600" s="24"/>
      <c r="P29600"/>
      <c r="Q29600" s="24"/>
      <c r="R29600"/>
      <c r="S29600"/>
      <c r="T29600"/>
      <c r="U29600"/>
      <c r="X29600" s="60"/>
    </row>
    <row r="29601" spans="7:24" ht="15" customHeight="1">
      <c r="G29601"/>
      <c r="I29601"/>
      <c r="N29601"/>
      <c r="O29601" s="24"/>
      <c r="P29601"/>
      <c r="Q29601" s="24"/>
      <c r="R29601"/>
      <c r="S29601"/>
      <c r="T29601"/>
      <c r="U29601"/>
      <c r="X29601" s="60"/>
    </row>
    <row r="29602" spans="7:24" ht="15" customHeight="1">
      <c r="G29602"/>
      <c r="I29602"/>
      <c r="N29602"/>
      <c r="O29602" s="24"/>
      <c r="P29602"/>
      <c r="Q29602" s="24"/>
      <c r="R29602"/>
      <c r="S29602"/>
      <c r="T29602"/>
      <c r="U29602"/>
      <c r="X29602" s="60"/>
    </row>
    <row r="29603" spans="7:24" ht="15" customHeight="1">
      <c r="G29603"/>
      <c r="I29603"/>
      <c r="N29603"/>
      <c r="O29603" s="24"/>
      <c r="P29603"/>
      <c r="Q29603" s="24"/>
      <c r="R29603"/>
      <c r="S29603"/>
      <c r="T29603"/>
      <c r="U29603"/>
      <c r="X29603" s="60"/>
    </row>
    <row r="29604" spans="7:24" ht="15" customHeight="1">
      <c r="G29604"/>
      <c r="I29604"/>
      <c r="N29604"/>
      <c r="O29604" s="24"/>
      <c r="P29604"/>
      <c r="Q29604" s="24"/>
      <c r="R29604"/>
      <c r="S29604"/>
      <c r="T29604"/>
      <c r="U29604"/>
      <c r="X29604" s="60"/>
    </row>
    <row r="29605" spans="7:24" ht="15" customHeight="1">
      <c r="G29605"/>
      <c r="I29605"/>
      <c r="N29605"/>
      <c r="O29605" s="24"/>
      <c r="P29605"/>
      <c r="Q29605" s="24"/>
      <c r="R29605"/>
      <c r="S29605"/>
      <c r="T29605"/>
      <c r="U29605"/>
      <c r="X29605" s="60"/>
    </row>
    <row r="29606" spans="7:24" ht="15" customHeight="1">
      <c r="G29606"/>
      <c r="I29606"/>
      <c r="N29606"/>
      <c r="O29606" s="24"/>
      <c r="P29606"/>
      <c r="Q29606" s="24"/>
      <c r="R29606"/>
      <c r="S29606"/>
      <c r="T29606"/>
      <c r="U29606"/>
      <c r="X29606" s="60"/>
    </row>
    <row r="29607" spans="7:24" ht="15" customHeight="1">
      <c r="G29607"/>
      <c r="I29607"/>
      <c r="N29607"/>
      <c r="O29607" s="24"/>
      <c r="P29607"/>
      <c r="Q29607" s="24"/>
      <c r="R29607"/>
      <c r="S29607"/>
      <c r="T29607"/>
      <c r="U29607"/>
      <c r="X29607" s="60"/>
    </row>
    <row r="29608" spans="7:24" ht="15" customHeight="1">
      <c r="G29608"/>
      <c r="I29608"/>
      <c r="N29608"/>
      <c r="O29608" s="24"/>
      <c r="P29608"/>
      <c r="Q29608" s="24"/>
      <c r="R29608"/>
      <c r="S29608"/>
      <c r="T29608"/>
      <c r="U29608"/>
      <c r="X29608" s="60"/>
    </row>
    <row r="29609" spans="7:24" ht="15" customHeight="1">
      <c r="G29609"/>
      <c r="I29609"/>
      <c r="N29609"/>
      <c r="O29609" s="24"/>
      <c r="P29609"/>
      <c r="Q29609" s="24"/>
      <c r="R29609"/>
      <c r="S29609"/>
      <c r="T29609"/>
      <c r="U29609"/>
      <c r="X29609" s="60"/>
    </row>
    <row r="29610" spans="7:24" ht="15" customHeight="1">
      <c r="G29610"/>
      <c r="I29610"/>
      <c r="N29610"/>
      <c r="O29610" s="24"/>
      <c r="P29610"/>
      <c r="Q29610" s="24"/>
      <c r="R29610"/>
      <c r="S29610"/>
      <c r="T29610"/>
      <c r="U29610"/>
      <c r="X29610" s="60"/>
    </row>
    <row r="29611" spans="7:24" ht="15" customHeight="1">
      <c r="G29611"/>
      <c r="I29611"/>
      <c r="N29611"/>
      <c r="O29611" s="24"/>
      <c r="P29611"/>
      <c r="Q29611" s="24"/>
      <c r="R29611"/>
      <c r="S29611"/>
      <c r="T29611"/>
      <c r="U29611"/>
      <c r="X29611" s="60"/>
    </row>
    <row r="29612" spans="7:24" ht="15" customHeight="1">
      <c r="G29612"/>
      <c r="I29612"/>
      <c r="N29612"/>
      <c r="O29612" s="24"/>
      <c r="P29612"/>
      <c r="Q29612" s="24"/>
      <c r="R29612"/>
      <c r="S29612"/>
      <c r="T29612"/>
      <c r="U29612"/>
      <c r="X29612" s="60"/>
    </row>
    <row r="29613" spans="7:24" ht="15" customHeight="1">
      <c r="G29613"/>
      <c r="I29613"/>
      <c r="N29613"/>
      <c r="O29613" s="24"/>
      <c r="P29613"/>
      <c r="Q29613" s="24"/>
      <c r="R29613"/>
      <c r="S29613"/>
      <c r="T29613"/>
      <c r="U29613"/>
      <c r="X29613" s="60"/>
    </row>
    <row r="29614" spans="7:24" ht="15" customHeight="1">
      <c r="G29614"/>
      <c r="I29614"/>
      <c r="N29614"/>
      <c r="O29614" s="24"/>
      <c r="P29614"/>
      <c r="Q29614" s="24"/>
      <c r="R29614"/>
      <c r="S29614"/>
      <c r="T29614"/>
      <c r="U29614"/>
      <c r="X29614" s="60"/>
    </row>
    <row r="29615" spans="7:24" ht="15" customHeight="1">
      <c r="G29615"/>
      <c r="I29615"/>
      <c r="N29615"/>
      <c r="O29615" s="24"/>
      <c r="P29615"/>
      <c r="Q29615" s="24"/>
      <c r="R29615"/>
      <c r="S29615"/>
      <c r="T29615"/>
      <c r="U29615"/>
      <c r="X29615" s="60"/>
    </row>
    <row r="29616" spans="7:24" ht="15" customHeight="1">
      <c r="G29616"/>
      <c r="I29616"/>
      <c r="N29616"/>
      <c r="O29616" s="24"/>
      <c r="P29616"/>
      <c r="Q29616" s="24"/>
      <c r="R29616"/>
      <c r="S29616"/>
      <c r="T29616"/>
      <c r="U29616"/>
      <c r="X29616" s="60"/>
    </row>
    <row r="29617" spans="7:24" ht="15" customHeight="1">
      <c r="G29617"/>
      <c r="I29617"/>
      <c r="N29617"/>
      <c r="O29617" s="24"/>
      <c r="P29617"/>
      <c r="Q29617" s="24"/>
      <c r="R29617"/>
      <c r="S29617"/>
      <c r="T29617"/>
      <c r="U29617"/>
      <c r="X29617" s="60"/>
    </row>
    <row r="29618" spans="7:24" ht="15" customHeight="1">
      <c r="G29618"/>
      <c r="I29618"/>
      <c r="N29618"/>
      <c r="O29618" s="24"/>
      <c r="P29618"/>
      <c r="Q29618" s="24"/>
      <c r="R29618"/>
      <c r="S29618"/>
      <c r="T29618"/>
      <c r="U29618"/>
      <c r="X29618" s="60"/>
    </row>
    <row r="29619" spans="7:24" ht="15" customHeight="1">
      <c r="G29619"/>
      <c r="I29619"/>
      <c r="N29619"/>
      <c r="O29619" s="24"/>
      <c r="P29619"/>
      <c r="Q29619" s="24"/>
      <c r="R29619"/>
      <c r="S29619"/>
      <c r="T29619"/>
      <c r="U29619"/>
      <c r="X29619" s="60"/>
    </row>
    <row r="29620" spans="7:24" ht="15" customHeight="1">
      <c r="G29620"/>
      <c r="I29620"/>
      <c r="N29620"/>
      <c r="O29620" s="24"/>
      <c r="P29620"/>
      <c r="Q29620" s="24"/>
      <c r="R29620"/>
      <c r="S29620"/>
      <c r="T29620"/>
      <c r="U29620"/>
      <c r="X29620" s="60"/>
    </row>
    <row r="29621" spans="7:24" ht="15" customHeight="1">
      <c r="G29621"/>
      <c r="I29621"/>
      <c r="N29621"/>
      <c r="O29621" s="24"/>
      <c r="P29621"/>
      <c r="Q29621" s="24"/>
      <c r="R29621"/>
      <c r="S29621"/>
      <c r="T29621"/>
      <c r="U29621"/>
      <c r="X29621" s="60"/>
    </row>
    <row r="29622" spans="7:24" ht="15" customHeight="1">
      <c r="G29622"/>
      <c r="I29622"/>
      <c r="N29622"/>
      <c r="O29622" s="24"/>
      <c r="P29622"/>
      <c r="Q29622" s="24"/>
      <c r="R29622"/>
      <c r="S29622"/>
      <c r="T29622"/>
      <c r="U29622"/>
      <c r="X29622" s="60"/>
    </row>
    <row r="29623" spans="7:24" ht="15" customHeight="1">
      <c r="G29623"/>
      <c r="I29623"/>
      <c r="N29623"/>
      <c r="O29623" s="24"/>
      <c r="P29623"/>
      <c r="Q29623" s="24"/>
      <c r="R29623"/>
      <c r="S29623"/>
      <c r="T29623"/>
      <c r="U29623"/>
      <c r="X29623" s="60"/>
    </row>
    <row r="29624" spans="7:24" ht="15" customHeight="1">
      <c r="G29624"/>
      <c r="I29624"/>
      <c r="N29624"/>
      <c r="O29624" s="24"/>
      <c r="P29624"/>
      <c r="Q29624" s="24"/>
      <c r="R29624"/>
      <c r="S29624"/>
      <c r="T29624"/>
      <c r="U29624"/>
      <c r="X29624" s="60"/>
    </row>
    <row r="29625" spans="7:24" ht="15" customHeight="1">
      <c r="G29625"/>
      <c r="I29625"/>
      <c r="N29625"/>
      <c r="O29625" s="24"/>
      <c r="P29625"/>
      <c r="Q29625" s="24"/>
      <c r="R29625"/>
      <c r="S29625"/>
      <c r="T29625"/>
      <c r="U29625"/>
      <c r="X29625" s="60"/>
    </row>
    <row r="29626" spans="7:24" ht="15" customHeight="1">
      <c r="G29626"/>
      <c r="I29626"/>
      <c r="N29626"/>
      <c r="O29626" s="24"/>
      <c r="P29626"/>
      <c r="Q29626" s="24"/>
      <c r="R29626"/>
      <c r="S29626"/>
      <c r="T29626"/>
      <c r="U29626"/>
      <c r="X29626" s="60"/>
    </row>
    <row r="29627" spans="7:24" ht="15" customHeight="1">
      <c r="G29627"/>
      <c r="I29627"/>
      <c r="N29627"/>
      <c r="O29627" s="24"/>
      <c r="P29627"/>
      <c r="Q29627" s="24"/>
      <c r="R29627"/>
      <c r="S29627"/>
      <c r="T29627"/>
      <c r="U29627"/>
      <c r="X29627" s="60"/>
    </row>
    <row r="29628" spans="7:24" ht="15" customHeight="1">
      <c r="G29628"/>
      <c r="I29628"/>
      <c r="N29628"/>
      <c r="O29628" s="24"/>
      <c r="P29628"/>
      <c r="Q29628" s="24"/>
      <c r="R29628"/>
      <c r="S29628"/>
      <c r="T29628"/>
      <c r="U29628"/>
      <c r="X29628" s="60"/>
    </row>
    <row r="29629" spans="7:24" ht="15" customHeight="1">
      <c r="G29629"/>
      <c r="I29629"/>
      <c r="N29629"/>
      <c r="O29629" s="24"/>
      <c r="P29629"/>
      <c r="Q29629" s="24"/>
      <c r="R29629"/>
      <c r="S29629"/>
      <c r="T29629"/>
      <c r="U29629"/>
      <c r="X29629" s="60"/>
    </row>
    <row r="29630" spans="7:24" ht="15" customHeight="1">
      <c r="G29630"/>
      <c r="I29630"/>
      <c r="N29630"/>
      <c r="O29630" s="24"/>
      <c r="P29630"/>
      <c r="Q29630" s="24"/>
      <c r="R29630"/>
      <c r="S29630"/>
      <c r="T29630"/>
      <c r="U29630"/>
      <c r="X29630" s="60"/>
    </row>
    <row r="29631" spans="7:24" ht="15" customHeight="1">
      <c r="G29631"/>
      <c r="I29631"/>
      <c r="N29631"/>
      <c r="O29631" s="24"/>
      <c r="P29631"/>
      <c r="Q29631" s="24"/>
      <c r="R29631"/>
      <c r="S29631"/>
      <c r="T29631"/>
      <c r="U29631"/>
      <c r="X29631" s="60"/>
    </row>
    <row r="29632" spans="7:24" ht="15" customHeight="1">
      <c r="G29632"/>
      <c r="I29632"/>
      <c r="N29632"/>
      <c r="O29632" s="24"/>
      <c r="P29632"/>
      <c r="Q29632" s="24"/>
      <c r="R29632"/>
      <c r="S29632"/>
      <c r="T29632"/>
      <c r="U29632"/>
      <c r="X29632" s="60"/>
    </row>
    <row r="29633" spans="7:24" ht="15" customHeight="1">
      <c r="G29633"/>
      <c r="I29633"/>
      <c r="N29633"/>
      <c r="O29633" s="24"/>
      <c r="P29633"/>
      <c r="Q29633" s="24"/>
      <c r="R29633"/>
      <c r="S29633"/>
      <c r="T29633"/>
      <c r="U29633"/>
      <c r="X29633" s="60"/>
    </row>
    <row r="29634" spans="7:24" ht="15" customHeight="1">
      <c r="G29634"/>
      <c r="I29634"/>
      <c r="N29634"/>
      <c r="O29634" s="24"/>
      <c r="P29634"/>
      <c r="Q29634" s="24"/>
      <c r="R29634"/>
      <c r="S29634"/>
      <c r="T29634"/>
      <c r="U29634"/>
      <c r="X29634" s="60"/>
    </row>
    <row r="29635" spans="7:24" ht="15" customHeight="1">
      <c r="G29635"/>
      <c r="I29635"/>
      <c r="N29635"/>
      <c r="O29635" s="24"/>
      <c r="P29635"/>
      <c r="Q29635" s="24"/>
      <c r="R29635"/>
      <c r="S29635"/>
      <c r="T29635"/>
      <c r="U29635"/>
      <c r="X29635" s="60"/>
    </row>
    <row r="29636" spans="7:24" ht="15" customHeight="1">
      <c r="G29636"/>
      <c r="I29636"/>
      <c r="N29636"/>
      <c r="O29636" s="24"/>
      <c r="P29636"/>
      <c r="Q29636" s="24"/>
      <c r="R29636"/>
      <c r="S29636"/>
      <c r="T29636"/>
      <c r="U29636"/>
      <c r="X29636" s="60"/>
    </row>
    <row r="29637" spans="7:24" ht="15" customHeight="1">
      <c r="G29637"/>
      <c r="I29637"/>
      <c r="N29637"/>
      <c r="O29637" s="24"/>
      <c r="P29637"/>
      <c r="Q29637" s="24"/>
      <c r="R29637"/>
      <c r="S29637"/>
      <c r="T29637"/>
      <c r="U29637"/>
      <c r="X29637" s="60"/>
    </row>
    <row r="29638" spans="7:24" ht="15" customHeight="1">
      <c r="G29638"/>
      <c r="I29638"/>
      <c r="N29638"/>
      <c r="O29638" s="24"/>
      <c r="P29638"/>
      <c r="Q29638" s="24"/>
      <c r="R29638"/>
      <c r="S29638"/>
      <c r="T29638"/>
      <c r="U29638"/>
      <c r="X29638" s="60"/>
    </row>
    <row r="29639" spans="7:24" ht="15" customHeight="1">
      <c r="G29639"/>
      <c r="I29639"/>
      <c r="N29639"/>
      <c r="O29639" s="24"/>
      <c r="P29639"/>
      <c r="Q29639" s="24"/>
      <c r="R29639"/>
      <c r="S29639"/>
      <c r="T29639"/>
      <c r="U29639"/>
      <c r="X29639" s="60"/>
    </row>
    <row r="29640" spans="7:24" ht="15" customHeight="1">
      <c r="G29640"/>
      <c r="I29640"/>
      <c r="N29640"/>
      <c r="O29640" s="24"/>
      <c r="P29640"/>
      <c r="Q29640" s="24"/>
      <c r="R29640"/>
      <c r="S29640"/>
      <c r="T29640"/>
      <c r="U29640"/>
      <c r="X29640" s="60"/>
    </row>
    <row r="29641" spans="7:24" ht="15" customHeight="1">
      <c r="G29641"/>
      <c r="I29641"/>
      <c r="N29641"/>
      <c r="O29641" s="24"/>
      <c r="P29641"/>
      <c r="Q29641" s="24"/>
      <c r="R29641"/>
      <c r="S29641"/>
      <c r="T29641"/>
      <c r="U29641"/>
      <c r="X29641" s="60"/>
    </row>
    <row r="29642" spans="7:24" ht="15" customHeight="1">
      <c r="G29642"/>
      <c r="I29642"/>
      <c r="N29642"/>
      <c r="O29642" s="24"/>
      <c r="P29642"/>
      <c r="Q29642" s="24"/>
      <c r="R29642"/>
      <c r="S29642"/>
      <c r="T29642"/>
      <c r="U29642"/>
      <c r="X29642" s="60"/>
    </row>
    <row r="29643" spans="7:24" ht="15" customHeight="1">
      <c r="G29643"/>
      <c r="I29643"/>
      <c r="N29643"/>
      <c r="O29643" s="24"/>
      <c r="P29643"/>
      <c r="Q29643" s="24"/>
      <c r="R29643"/>
      <c r="S29643"/>
      <c r="T29643"/>
      <c r="U29643"/>
      <c r="X29643" s="60"/>
    </row>
    <row r="29644" spans="7:24" ht="15" customHeight="1">
      <c r="G29644"/>
      <c r="I29644"/>
      <c r="N29644"/>
      <c r="O29644" s="24"/>
      <c r="P29644"/>
      <c r="Q29644" s="24"/>
      <c r="R29644"/>
      <c r="S29644"/>
      <c r="T29644"/>
      <c r="U29644"/>
      <c r="X29644" s="60"/>
    </row>
    <row r="29645" spans="7:24" ht="15" customHeight="1">
      <c r="G29645"/>
      <c r="I29645"/>
      <c r="N29645"/>
      <c r="O29645" s="24"/>
      <c r="P29645"/>
      <c r="Q29645" s="24"/>
      <c r="R29645"/>
      <c r="S29645"/>
      <c r="T29645"/>
      <c r="U29645"/>
      <c r="X29645" s="60"/>
    </row>
    <row r="29646" spans="7:24" ht="15" customHeight="1">
      <c r="G29646"/>
      <c r="I29646"/>
      <c r="N29646"/>
      <c r="O29646" s="24"/>
      <c r="P29646"/>
      <c r="Q29646" s="24"/>
      <c r="R29646"/>
      <c r="S29646"/>
      <c r="T29646"/>
      <c r="U29646"/>
      <c r="X29646" s="60"/>
    </row>
    <row r="29647" spans="7:24" ht="15" customHeight="1">
      <c r="G29647"/>
      <c r="I29647"/>
      <c r="N29647"/>
      <c r="O29647" s="24"/>
      <c r="P29647"/>
      <c r="Q29647" s="24"/>
      <c r="R29647"/>
      <c r="S29647"/>
      <c r="T29647"/>
      <c r="U29647"/>
      <c r="X29647" s="60"/>
    </row>
    <row r="29648" spans="7:24" ht="15" customHeight="1">
      <c r="G29648"/>
      <c r="I29648"/>
      <c r="N29648"/>
      <c r="O29648" s="24"/>
      <c r="P29648"/>
      <c r="Q29648" s="24"/>
      <c r="R29648"/>
      <c r="S29648"/>
      <c r="T29648"/>
      <c r="U29648"/>
      <c r="X29648" s="60"/>
    </row>
    <row r="29649" spans="7:24" ht="15" customHeight="1">
      <c r="G29649"/>
      <c r="I29649"/>
      <c r="N29649"/>
      <c r="O29649" s="24"/>
      <c r="P29649"/>
      <c r="Q29649" s="24"/>
      <c r="R29649"/>
      <c r="S29649"/>
      <c r="T29649"/>
      <c r="U29649"/>
      <c r="X29649" s="60"/>
    </row>
    <row r="29650" spans="7:24" ht="15" customHeight="1">
      <c r="G29650"/>
      <c r="I29650"/>
      <c r="N29650"/>
      <c r="O29650" s="24"/>
      <c r="P29650"/>
      <c r="Q29650" s="24"/>
      <c r="R29650"/>
      <c r="S29650"/>
      <c r="T29650"/>
      <c r="U29650"/>
      <c r="X29650" s="60"/>
    </row>
    <row r="29651" spans="7:24" ht="15" customHeight="1">
      <c r="G29651"/>
      <c r="I29651"/>
      <c r="N29651"/>
      <c r="O29651" s="24"/>
      <c r="P29651"/>
      <c r="Q29651" s="24"/>
      <c r="R29651"/>
      <c r="S29651"/>
      <c r="T29651"/>
      <c r="U29651"/>
      <c r="X29651" s="60"/>
    </row>
    <row r="29652" spans="7:24" ht="15" customHeight="1">
      <c r="G29652"/>
      <c r="I29652"/>
      <c r="N29652"/>
      <c r="O29652" s="24"/>
      <c r="P29652"/>
      <c r="Q29652" s="24"/>
      <c r="R29652"/>
      <c r="S29652"/>
      <c r="T29652"/>
      <c r="U29652"/>
      <c r="X29652" s="60"/>
    </row>
    <row r="29653" spans="7:24" ht="15" customHeight="1">
      <c r="G29653"/>
      <c r="I29653"/>
      <c r="N29653"/>
      <c r="O29653" s="24"/>
      <c r="P29653"/>
      <c r="Q29653" s="24"/>
      <c r="R29653"/>
      <c r="S29653"/>
      <c r="T29653"/>
      <c r="U29653"/>
      <c r="X29653" s="60"/>
    </row>
    <row r="29654" spans="7:24" ht="15" customHeight="1">
      <c r="G29654"/>
      <c r="I29654"/>
      <c r="N29654"/>
      <c r="O29654" s="24"/>
      <c r="P29654"/>
      <c r="Q29654" s="24"/>
      <c r="R29654"/>
      <c r="S29654"/>
      <c r="T29654"/>
      <c r="U29654"/>
      <c r="X29654" s="60"/>
    </row>
    <row r="29655" spans="7:24" ht="15" customHeight="1">
      <c r="G29655"/>
      <c r="I29655"/>
      <c r="N29655"/>
      <c r="O29655" s="24"/>
      <c r="P29655"/>
      <c r="Q29655" s="24"/>
      <c r="R29655"/>
      <c r="S29655"/>
      <c r="T29655"/>
      <c r="U29655"/>
      <c r="X29655" s="60"/>
    </row>
    <row r="29656" spans="7:24" ht="15" customHeight="1">
      <c r="G29656"/>
      <c r="I29656"/>
      <c r="N29656"/>
      <c r="O29656" s="24"/>
      <c r="P29656"/>
      <c r="Q29656" s="24"/>
      <c r="R29656"/>
      <c r="S29656"/>
      <c r="T29656"/>
      <c r="U29656"/>
      <c r="X29656" s="60"/>
    </row>
    <row r="29657" spans="7:24" ht="15" customHeight="1">
      <c r="G29657"/>
      <c r="I29657"/>
      <c r="N29657"/>
      <c r="O29657" s="24"/>
      <c r="P29657"/>
      <c r="Q29657" s="24"/>
      <c r="R29657"/>
      <c r="S29657"/>
      <c r="T29657"/>
      <c r="U29657"/>
      <c r="X29657" s="60"/>
    </row>
    <row r="29658" spans="7:24" ht="15" customHeight="1">
      <c r="G29658"/>
      <c r="I29658"/>
      <c r="N29658"/>
      <c r="O29658" s="24"/>
      <c r="P29658"/>
      <c r="Q29658" s="24"/>
      <c r="R29658"/>
      <c r="S29658"/>
      <c r="T29658"/>
      <c r="U29658"/>
      <c r="X29658" s="60"/>
    </row>
    <row r="29659" spans="7:24" ht="15" customHeight="1">
      <c r="G29659"/>
      <c r="I29659"/>
      <c r="N29659"/>
      <c r="O29659" s="24"/>
      <c r="P29659"/>
      <c r="Q29659" s="24"/>
      <c r="R29659"/>
      <c r="S29659"/>
      <c r="T29659"/>
      <c r="U29659"/>
      <c r="X29659" s="60"/>
    </row>
    <row r="29660" spans="7:24" ht="15" customHeight="1">
      <c r="G29660"/>
      <c r="I29660"/>
      <c r="N29660"/>
      <c r="O29660" s="24"/>
      <c r="P29660"/>
      <c r="Q29660" s="24"/>
      <c r="R29660"/>
      <c r="S29660"/>
      <c r="T29660"/>
      <c r="U29660"/>
      <c r="X29660" s="60"/>
    </row>
    <row r="29661" spans="7:24" ht="15" customHeight="1">
      <c r="G29661"/>
      <c r="I29661"/>
      <c r="N29661"/>
      <c r="O29661" s="24"/>
      <c r="P29661"/>
      <c r="Q29661" s="24"/>
      <c r="R29661"/>
      <c r="S29661"/>
      <c r="T29661"/>
      <c r="U29661"/>
      <c r="X29661" s="60"/>
    </row>
    <row r="29662" spans="7:24" ht="15" customHeight="1">
      <c r="G29662"/>
      <c r="I29662"/>
      <c r="N29662"/>
      <c r="O29662" s="24"/>
      <c r="P29662"/>
      <c r="Q29662" s="24"/>
      <c r="R29662"/>
      <c r="S29662"/>
      <c r="T29662"/>
      <c r="U29662"/>
      <c r="X29662" s="60"/>
    </row>
    <row r="29663" spans="7:24" ht="15" customHeight="1">
      <c r="G29663"/>
      <c r="I29663"/>
      <c r="N29663"/>
      <c r="O29663" s="24"/>
      <c r="P29663"/>
      <c r="Q29663" s="24"/>
      <c r="R29663"/>
      <c r="S29663"/>
      <c r="T29663"/>
      <c r="U29663"/>
      <c r="X29663" s="60"/>
    </row>
    <row r="29664" spans="7:24" ht="15" customHeight="1">
      <c r="G29664"/>
      <c r="I29664"/>
      <c r="N29664"/>
      <c r="O29664" s="24"/>
      <c r="P29664"/>
      <c r="Q29664" s="24"/>
      <c r="R29664"/>
      <c r="S29664"/>
      <c r="T29664"/>
      <c r="U29664"/>
      <c r="X29664" s="60"/>
    </row>
    <row r="29665" spans="7:24" ht="15" customHeight="1">
      <c r="G29665"/>
      <c r="I29665"/>
      <c r="N29665"/>
      <c r="O29665" s="24"/>
      <c r="P29665"/>
      <c r="Q29665" s="24"/>
      <c r="R29665"/>
      <c r="S29665"/>
      <c r="T29665"/>
      <c r="U29665"/>
      <c r="X29665" s="60"/>
    </row>
    <row r="29666" spans="7:24" ht="15" customHeight="1">
      <c r="G29666"/>
      <c r="I29666"/>
      <c r="N29666"/>
      <c r="O29666" s="24"/>
      <c r="P29666"/>
      <c r="Q29666" s="24"/>
      <c r="R29666"/>
      <c r="S29666"/>
      <c r="T29666"/>
      <c r="U29666"/>
      <c r="X29666" s="60"/>
    </row>
    <row r="29667" spans="7:24" ht="15" customHeight="1">
      <c r="G29667"/>
      <c r="I29667"/>
      <c r="N29667"/>
      <c r="O29667" s="24"/>
      <c r="P29667"/>
      <c r="Q29667" s="24"/>
      <c r="R29667"/>
      <c r="S29667"/>
      <c r="T29667"/>
      <c r="U29667"/>
      <c r="X29667" s="60"/>
    </row>
    <row r="29668" spans="7:24" ht="15" customHeight="1">
      <c r="G29668"/>
      <c r="I29668"/>
      <c r="N29668"/>
      <c r="O29668" s="24"/>
      <c r="P29668"/>
      <c r="Q29668" s="24"/>
      <c r="R29668"/>
      <c r="S29668"/>
      <c r="T29668"/>
      <c r="U29668"/>
      <c r="X29668" s="60"/>
    </row>
    <row r="29669" spans="7:24" ht="15" customHeight="1">
      <c r="G29669"/>
      <c r="I29669"/>
      <c r="N29669"/>
      <c r="O29669" s="24"/>
      <c r="P29669"/>
      <c r="Q29669" s="24"/>
      <c r="R29669"/>
      <c r="S29669"/>
      <c r="T29669"/>
      <c r="U29669"/>
      <c r="X29669" s="60"/>
    </row>
    <row r="29670" spans="7:24" ht="15" customHeight="1">
      <c r="G29670"/>
      <c r="I29670"/>
      <c r="N29670"/>
      <c r="O29670" s="24"/>
      <c r="P29670"/>
      <c r="Q29670" s="24"/>
      <c r="R29670"/>
      <c r="S29670"/>
      <c r="T29670"/>
      <c r="U29670"/>
      <c r="X29670" s="60"/>
    </row>
    <row r="29671" spans="7:24" ht="15" customHeight="1">
      <c r="G29671"/>
      <c r="I29671"/>
      <c r="N29671"/>
      <c r="O29671" s="24"/>
      <c r="P29671"/>
      <c r="Q29671" s="24"/>
      <c r="R29671"/>
      <c r="S29671"/>
      <c r="T29671"/>
      <c r="U29671"/>
      <c r="X29671" s="60"/>
    </row>
    <row r="29672" spans="7:24" ht="15" customHeight="1">
      <c r="G29672"/>
      <c r="I29672"/>
      <c r="N29672"/>
      <c r="O29672" s="24"/>
      <c r="P29672"/>
      <c r="Q29672" s="24"/>
      <c r="R29672"/>
      <c r="S29672"/>
      <c r="T29672"/>
      <c r="U29672"/>
      <c r="X29672" s="60"/>
    </row>
    <row r="29673" spans="7:24" ht="15" customHeight="1">
      <c r="G29673"/>
      <c r="I29673"/>
      <c r="N29673"/>
      <c r="O29673" s="24"/>
      <c r="P29673"/>
      <c r="Q29673" s="24"/>
      <c r="R29673"/>
      <c r="S29673"/>
      <c r="T29673"/>
      <c r="U29673"/>
      <c r="X29673" s="60"/>
    </row>
    <row r="29674" spans="7:24" ht="15" customHeight="1">
      <c r="G29674"/>
      <c r="I29674"/>
      <c r="N29674"/>
      <c r="O29674" s="24"/>
      <c r="P29674"/>
      <c r="Q29674" s="24"/>
      <c r="R29674"/>
      <c r="S29674"/>
      <c r="T29674"/>
      <c r="U29674"/>
      <c r="X29674" s="60"/>
    </row>
    <row r="29675" spans="7:24" ht="15" customHeight="1">
      <c r="G29675"/>
      <c r="I29675"/>
      <c r="N29675"/>
      <c r="O29675" s="24"/>
      <c r="P29675"/>
      <c r="Q29675" s="24"/>
      <c r="R29675"/>
      <c r="S29675"/>
      <c r="T29675"/>
      <c r="U29675"/>
      <c r="X29675" s="60"/>
    </row>
    <row r="29676" spans="7:24" ht="15" customHeight="1">
      <c r="G29676"/>
      <c r="I29676"/>
      <c r="N29676"/>
      <c r="O29676" s="24"/>
      <c r="P29676"/>
      <c r="Q29676" s="24"/>
      <c r="R29676"/>
      <c r="S29676"/>
      <c r="T29676"/>
      <c r="U29676"/>
      <c r="X29676" s="60"/>
    </row>
    <row r="29677" spans="7:24" ht="15" customHeight="1">
      <c r="G29677"/>
      <c r="I29677"/>
      <c r="N29677"/>
      <c r="O29677" s="24"/>
      <c r="P29677"/>
      <c r="Q29677" s="24"/>
      <c r="R29677"/>
      <c r="S29677"/>
      <c r="T29677"/>
      <c r="U29677"/>
      <c r="X29677" s="60"/>
    </row>
    <row r="29678" spans="7:24" ht="15" customHeight="1">
      <c r="G29678"/>
      <c r="I29678"/>
      <c r="N29678"/>
      <c r="O29678" s="24"/>
      <c r="P29678"/>
      <c r="Q29678" s="24"/>
      <c r="R29678"/>
      <c r="S29678"/>
      <c r="T29678"/>
      <c r="U29678"/>
      <c r="X29678" s="60"/>
    </row>
    <row r="29679" spans="7:24" ht="15" customHeight="1">
      <c r="G29679"/>
      <c r="I29679"/>
      <c r="N29679"/>
      <c r="O29679" s="24"/>
      <c r="P29679"/>
      <c r="Q29679" s="24"/>
      <c r="R29679"/>
      <c r="S29679"/>
      <c r="T29679"/>
      <c r="U29679"/>
      <c r="X29679" s="60"/>
    </row>
    <row r="29680" spans="7:24" ht="15" customHeight="1">
      <c r="G29680"/>
      <c r="I29680"/>
      <c r="N29680"/>
      <c r="O29680" s="24"/>
      <c r="P29680"/>
      <c r="Q29680" s="24"/>
      <c r="R29680"/>
      <c r="S29680"/>
      <c r="T29680"/>
      <c r="U29680"/>
      <c r="X29680" s="60"/>
    </row>
    <row r="29681" spans="7:24" ht="15" customHeight="1">
      <c r="G29681"/>
      <c r="I29681"/>
      <c r="N29681"/>
      <c r="O29681" s="24"/>
      <c r="P29681"/>
      <c r="Q29681" s="24"/>
      <c r="R29681"/>
      <c r="S29681"/>
      <c r="T29681"/>
      <c r="U29681"/>
      <c r="X29681" s="60"/>
    </row>
    <row r="29682" spans="7:24" ht="15" customHeight="1">
      <c r="G29682"/>
      <c r="I29682"/>
      <c r="N29682"/>
      <c r="O29682" s="24"/>
      <c r="P29682"/>
      <c r="Q29682" s="24"/>
      <c r="R29682"/>
      <c r="S29682"/>
      <c r="T29682"/>
      <c r="U29682"/>
      <c r="X29682" s="60"/>
    </row>
    <row r="29683" spans="7:24" ht="15" customHeight="1">
      <c r="G29683"/>
      <c r="I29683"/>
      <c r="N29683"/>
      <c r="O29683" s="24"/>
      <c r="P29683"/>
      <c r="Q29683" s="24"/>
      <c r="R29683"/>
      <c r="S29683"/>
      <c r="T29683"/>
      <c r="U29683"/>
      <c r="X29683" s="60"/>
    </row>
    <row r="29684" spans="7:24" ht="15" customHeight="1">
      <c r="G29684"/>
      <c r="I29684"/>
      <c r="N29684"/>
      <c r="O29684" s="24"/>
      <c r="P29684"/>
      <c r="Q29684" s="24"/>
      <c r="R29684"/>
      <c r="S29684"/>
      <c r="T29684"/>
      <c r="U29684"/>
      <c r="X29684" s="60"/>
    </row>
    <row r="29685" spans="7:24" ht="15" customHeight="1">
      <c r="G29685"/>
      <c r="I29685"/>
      <c r="N29685"/>
      <c r="O29685" s="24"/>
      <c r="P29685"/>
      <c r="Q29685" s="24"/>
      <c r="R29685"/>
      <c r="S29685"/>
      <c r="T29685"/>
      <c r="U29685"/>
      <c r="X29685" s="60"/>
    </row>
    <row r="29686" spans="7:24" ht="15" customHeight="1">
      <c r="G29686"/>
      <c r="I29686"/>
      <c r="N29686"/>
      <c r="O29686" s="24"/>
      <c r="P29686"/>
      <c r="Q29686" s="24"/>
      <c r="R29686"/>
      <c r="S29686"/>
      <c r="T29686"/>
      <c r="U29686"/>
      <c r="X29686" s="60"/>
    </row>
    <row r="29687" spans="7:24" ht="15" customHeight="1">
      <c r="G29687"/>
      <c r="I29687"/>
      <c r="N29687"/>
      <c r="O29687" s="24"/>
      <c r="P29687"/>
      <c r="Q29687" s="24"/>
      <c r="R29687"/>
      <c r="S29687"/>
      <c r="T29687"/>
      <c r="U29687"/>
      <c r="X29687" s="60"/>
    </row>
    <row r="29688" spans="7:24" ht="15" customHeight="1">
      <c r="G29688"/>
      <c r="I29688"/>
      <c r="N29688"/>
      <c r="O29688" s="24"/>
      <c r="P29688"/>
      <c r="Q29688" s="24"/>
      <c r="R29688"/>
      <c r="S29688"/>
      <c r="T29688"/>
      <c r="U29688"/>
      <c r="X29688" s="60"/>
    </row>
    <row r="29689" spans="7:24" ht="15" customHeight="1">
      <c r="G29689"/>
      <c r="I29689"/>
      <c r="N29689"/>
      <c r="O29689" s="24"/>
      <c r="P29689"/>
      <c r="Q29689" s="24"/>
      <c r="R29689"/>
      <c r="S29689"/>
      <c r="T29689"/>
      <c r="U29689"/>
      <c r="X29689" s="60"/>
    </row>
    <row r="29690" spans="7:24" ht="15" customHeight="1">
      <c r="G29690"/>
      <c r="I29690"/>
      <c r="N29690"/>
      <c r="O29690" s="24"/>
      <c r="P29690"/>
      <c r="Q29690" s="24"/>
      <c r="R29690"/>
      <c r="S29690"/>
      <c r="T29690"/>
      <c r="U29690"/>
      <c r="X29690" s="60"/>
    </row>
    <row r="29691" spans="7:24" ht="15" customHeight="1">
      <c r="G29691"/>
      <c r="I29691"/>
      <c r="N29691"/>
      <c r="O29691" s="24"/>
      <c r="P29691"/>
      <c r="Q29691" s="24"/>
      <c r="R29691"/>
      <c r="S29691"/>
      <c r="T29691"/>
      <c r="U29691"/>
      <c r="X29691" s="60"/>
    </row>
    <row r="29692" spans="7:24" ht="15" customHeight="1">
      <c r="G29692"/>
      <c r="I29692"/>
      <c r="N29692"/>
      <c r="O29692" s="24"/>
      <c r="P29692"/>
      <c r="Q29692" s="24"/>
      <c r="R29692"/>
      <c r="S29692"/>
      <c r="T29692"/>
      <c r="U29692"/>
      <c r="X29692" s="60"/>
    </row>
    <row r="29693" spans="7:24" ht="15" customHeight="1">
      <c r="G29693"/>
      <c r="I29693"/>
      <c r="N29693"/>
      <c r="O29693" s="24"/>
      <c r="P29693"/>
      <c r="Q29693" s="24"/>
      <c r="R29693"/>
      <c r="S29693"/>
      <c r="T29693"/>
      <c r="U29693"/>
      <c r="X29693" s="60"/>
    </row>
    <row r="29694" spans="7:24" ht="15" customHeight="1">
      <c r="G29694"/>
      <c r="I29694"/>
      <c r="N29694"/>
      <c r="O29694" s="24"/>
      <c r="P29694"/>
      <c r="Q29694" s="24"/>
      <c r="R29694"/>
      <c r="S29694"/>
      <c r="T29694"/>
      <c r="U29694"/>
      <c r="X29694" s="60"/>
    </row>
    <row r="29695" spans="7:24" ht="15" customHeight="1">
      <c r="G29695"/>
      <c r="I29695"/>
      <c r="N29695"/>
      <c r="O29695" s="24"/>
      <c r="P29695"/>
      <c r="Q29695" s="24"/>
      <c r="R29695"/>
      <c r="S29695"/>
      <c r="T29695"/>
      <c r="U29695"/>
      <c r="X29695" s="60"/>
    </row>
    <row r="29696" spans="7:24" ht="15" customHeight="1">
      <c r="G29696"/>
      <c r="I29696"/>
      <c r="N29696"/>
      <c r="O29696" s="24"/>
      <c r="P29696"/>
      <c r="Q29696" s="24"/>
      <c r="R29696"/>
      <c r="S29696"/>
      <c r="T29696"/>
      <c r="U29696"/>
      <c r="X29696" s="60"/>
    </row>
    <row r="29697" spans="7:24" ht="15" customHeight="1">
      <c r="G29697"/>
      <c r="I29697"/>
      <c r="N29697"/>
      <c r="O29697" s="24"/>
      <c r="P29697"/>
      <c r="Q29697" s="24"/>
      <c r="R29697"/>
      <c r="S29697"/>
      <c r="T29697"/>
      <c r="U29697"/>
      <c r="X29697" s="60"/>
    </row>
    <row r="29698" spans="7:24" ht="15" customHeight="1">
      <c r="G29698"/>
      <c r="I29698"/>
      <c r="N29698"/>
      <c r="O29698" s="24"/>
      <c r="P29698"/>
      <c r="Q29698" s="24"/>
      <c r="R29698"/>
      <c r="S29698"/>
      <c r="T29698"/>
      <c r="U29698"/>
      <c r="X29698" s="60"/>
    </row>
    <row r="29699" spans="7:24" ht="15" customHeight="1">
      <c r="G29699"/>
      <c r="I29699"/>
      <c r="N29699"/>
      <c r="O29699" s="24"/>
      <c r="P29699"/>
      <c r="Q29699" s="24"/>
      <c r="R29699"/>
      <c r="S29699"/>
      <c r="T29699"/>
      <c r="U29699"/>
      <c r="X29699" s="60"/>
    </row>
    <row r="29700" spans="7:24" ht="15" customHeight="1">
      <c r="G29700"/>
      <c r="I29700"/>
      <c r="N29700"/>
      <c r="O29700" s="24"/>
      <c r="P29700"/>
      <c r="Q29700" s="24"/>
      <c r="R29700"/>
      <c r="S29700"/>
      <c r="T29700"/>
      <c r="U29700"/>
      <c r="X29700" s="60"/>
    </row>
    <row r="29701" spans="7:24" ht="15" customHeight="1">
      <c r="G29701"/>
      <c r="I29701"/>
      <c r="N29701"/>
      <c r="O29701" s="24"/>
      <c r="P29701"/>
      <c r="Q29701" s="24"/>
      <c r="R29701"/>
      <c r="S29701"/>
      <c r="T29701"/>
      <c r="U29701"/>
      <c r="X29701" s="60"/>
    </row>
    <row r="29702" spans="7:24" ht="15" customHeight="1">
      <c r="G29702"/>
      <c r="I29702"/>
      <c r="N29702"/>
      <c r="O29702" s="24"/>
      <c r="P29702"/>
      <c r="Q29702" s="24"/>
      <c r="R29702"/>
      <c r="S29702"/>
      <c r="T29702"/>
      <c r="U29702"/>
      <c r="X29702" s="60"/>
    </row>
    <row r="29703" spans="7:24" ht="15" customHeight="1">
      <c r="G29703"/>
      <c r="I29703"/>
      <c r="N29703"/>
      <c r="O29703" s="24"/>
      <c r="P29703"/>
      <c r="Q29703" s="24"/>
      <c r="R29703"/>
      <c r="S29703"/>
      <c r="T29703"/>
      <c r="U29703"/>
      <c r="X29703" s="60"/>
    </row>
    <row r="29704" spans="7:24" ht="15" customHeight="1">
      <c r="G29704"/>
      <c r="I29704"/>
      <c r="N29704"/>
      <c r="O29704" s="24"/>
      <c r="P29704"/>
      <c r="Q29704" s="24"/>
      <c r="R29704"/>
      <c r="S29704"/>
      <c r="T29704"/>
      <c r="U29704"/>
      <c r="X29704" s="60"/>
    </row>
    <row r="29705" spans="7:24" ht="15" customHeight="1">
      <c r="G29705"/>
      <c r="I29705"/>
      <c r="N29705"/>
      <c r="O29705" s="24"/>
      <c r="P29705"/>
      <c r="Q29705" s="24"/>
      <c r="R29705"/>
      <c r="S29705"/>
      <c r="T29705"/>
      <c r="U29705"/>
      <c r="X29705" s="60"/>
    </row>
    <row r="29706" spans="7:24" ht="15" customHeight="1">
      <c r="G29706"/>
      <c r="I29706"/>
      <c r="N29706"/>
      <c r="O29706" s="24"/>
      <c r="P29706"/>
      <c r="Q29706" s="24"/>
      <c r="R29706"/>
      <c r="S29706"/>
      <c r="T29706"/>
      <c r="U29706"/>
      <c r="X29706" s="60"/>
    </row>
    <row r="29707" spans="7:24" ht="15" customHeight="1">
      <c r="G29707"/>
      <c r="I29707"/>
      <c r="N29707"/>
      <c r="O29707" s="24"/>
      <c r="P29707"/>
      <c r="Q29707" s="24"/>
      <c r="R29707"/>
      <c r="S29707"/>
      <c r="T29707"/>
      <c r="U29707"/>
      <c r="X29707" s="60"/>
    </row>
    <row r="29708" spans="7:24" ht="15" customHeight="1">
      <c r="G29708"/>
      <c r="I29708"/>
      <c r="N29708"/>
      <c r="O29708" s="24"/>
      <c r="P29708"/>
      <c r="Q29708" s="24"/>
      <c r="R29708"/>
      <c r="S29708"/>
      <c r="T29708"/>
      <c r="U29708"/>
      <c r="X29708" s="60"/>
    </row>
    <row r="29709" spans="7:24" ht="15" customHeight="1">
      <c r="G29709"/>
      <c r="I29709"/>
      <c r="N29709"/>
      <c r="O29709" s="24"/>
      <c r="P29709"/>
      <c r="Q29709" s="24"/>
      <c r="R29709"/>
      <c r="S29709"/>
      <c r="T29709"/>
      <c r="U29709"/>
      <c r="X29709" s="60"/>
    </row>
    <row r="29710" spans="7:24" ht="15" customHeight="1">
      <c r="G29710"/>
      <c r="I29710"/>
      <c r="N29710"/>
      <c r="O29710" s="24"/>
      <c r="P29710"/>
      <c r="Q29710" s="24"/>
      <c r="R29710"/>
      <c r="S29710"/>
      <c r="T29710"/>
      <c r="U29710"/>
      <c r="X29710" s="60"/>
    </row>
    <row r="29711" spans="7:24" ht="15" customHeight="1">
      <c r="G29711"/>
      <c r="I29711"/>
      <c r="N29711"/>
      <c r="O29711" s="24"/>
      <c r="P29711"/>
      <c r="Q29711" s="24"/>
      <c r="R29711"/>
      <c r="S29711"/>
      <c r="T29711"/>
      <c r="U29711"/>
      <c r="X29711" s="60"/>
    </row>
    <row r="29712" spans="7:24" ht="15" customHeight="1">
      <c r="G29712"/>
      <c r="I29712"/>
      <c r="N29712"/>
      <c r="O29712" s="24"/>
      <c r="P29712"/>
      <c r="Q29712" s="24"/>
      <c r="R29712"/>
      <c r="S29712"/>
      <c r="T29712"/>
      <c r="U29712"/>
      <c r="X29712" s="60"/>
    </row>
    <row r="29713" spans="7:24" ht="15" customHeight="1">
      <c r="G29713"/>
      <c r="I29713"/>
      <c r="N29713"/>
      <c r="O29713" s="24"/>
      <c r="P29713"/>
      <c r="Q29713" s="24"/>
      <c r="R29713"/>
      <c r="S29713"/>
      <c r="T29713"/>
      <c r="U29713"/>
      <c r="X29713" s="60"/>
    </row>
    <row r="29714" spans="7:24" ht="15" customHeight="1">
      <c r="G29714"/>
      <c r="I29714"/>
      <c r="N29714"/>
      <c r="O29714" s="24"/>
      <c r="P29714"/>
      <c r="Q29714" s="24"/>
      <c r="R29714"/>
      <c r="S29714"/>
      <c r="T29714"/>
      <c r="U29714"/>
      <c r="X29714" s="60"/>
    </row>
    <row r="29715" spans="7:24" ht="15" customHeight="1">
      <c r="G29715"/>
      <c r="I29715"/>
      <c r="N29715"/>
      <c r="O29715" s="24"/>
      <c r="P29715"/>
      <c r="Q29715" s="24"/>
      <c r="R29715"/>
      <c r="S29715"/>
      <c r="T29715"/>
      <c r="U29715"/>
      <c r="X29715" s="60"/>
    </row>
    <row r="29716" spans="7:24" ht="15" customHeight="1">
      <c r="G29716"/>
      <c r="I29716"/>
      <c r="N29716"/>
      <c r="O29716" s="24"/>
      <c r="P29716"/>
      <c r="Q29716" s="24"/>
      <c r="R29716"/>
      <c r="S29716"/>
      <c r="T29716"/>
      <c r="U29716"/>
      <c r="X29716" s="60"/>
    </row>
    <row r="29717" spans="7:24" ht="15" customHeight="1">
      <c r="G29717"/>
      <c r="I29717"/>
      <c r="N29717"/>
      <c r="O29717" s="24"/>
      <c r="P29717"/>
      <c r="Q29717" s="24"/>
      <c r="R29717"/>
      <c r="S29717"/>
      <c r="T29717"/>
      <c r="U29717"/>
      <c r="X29717" s="60"/>
    </row>
    <row r="29718" spans="7:24" ht="15" customHeight="1">
      <c r="G29718"/>
      <c r="I29718"/>
      <c r="N29718"/>
      <c r="O29718" s="24"/>
      <c r="P29718"/>
      <c r="Q29718" s="24"/>
      <c r="R29718"/>
      <c r="S29718"/>
      <c r="T29718"/>
      <c r="U29718"/>
      <c r="X29718" s="60"/>
    </row>
    <row r="29719" spans="7:24" ht="15" customHeight="1">
      <c r="G29719"/>
      <c r="I29719"/>
      <c r="N29719"/>
      <c r="O29719" s="24"/>
      <c r="P29719"/>
      <c r="Q29719" s="24"/>
      <c r="R29719"/>
      <c r="S29719"/>
      <c r="T29719"/>
      <c r="U29719"/>
      <c r="X29719" s="60"/>
    </row>
    <row r="29720" spans="7:24" ht="15" customHeight="1">
      <c r="G29720"/>
      <c r="I29720"/>
      <c r="N29720"/>
      <c r="O29720" s="24"/>
      <c r="P29720"/>
      <c r="Q29720" s="24"/>
      <c r="R29720"/>
      <c r="S29720"/>
      <c r="T29720"/>
      <c r="U29720"/>
      <c r="X29720" s="60"/>
    </row>
    <row r="29721" spans="7:24" ht="15" customHeight="1">
      <c r="G29721"/>
      <c r="I29721"/>
      <c r="N29721"/>
      <c r="O29721" s="24"/>
      <c r="P29721"/>
      <c r="Q29721" s="24"/>
      <c r="R29721"/>
      <c r="S29721"/>
      <c r="T29721"/>
      <c r="U29721"/>
      <c r="X29721" s="60"/>
    </row>
    <row r="29722" spans="7:24" ht="15" customHeight="1">
      <c r="G29722"/>
      <c r="I29722"/>
      <c r="N29722"/>
      <c r="O29722" s="24"/>
      <c r="P29722"/>
      <c r="Q29722" s="24"/>
      <c r="R29722"/>
      <c r="S29722"/>
      <c r="T29722"/>
      <c r="U29722"/>
      <c r="X29722" s="60"/>
    </row>
    <row r="29723" spans="7:24" ht="15" customHeight="1">
      <c r="G29723"/>
      <c r="I29723"/>
      <c r="N29723"/>
      <c r="O29723" s="24"/>
      <c r="P29723"/>
      <c r="Q29723" s="24"/>
      <c r="R29723"/>
      <c r="S29723"/>
      <c r="T29723"/>
      <c r="U29723"/>
      <c r="X29723" s="60"/>
    </row>
    <row r="29724" spans="7:24" ht="15" customHeight="1">
      <c r="G29724"/>
      <c r="I29724"/>
      <c r="N29724"/>
      <c r="O29724" s="24"/>
      <c r="P29724"/>
      <c r="Q29724" s="24"/>
      <c r="R29724"/>
      <c r="S29724"/>
      <c r="T29724"/>
      <c r="U29724"/>
      <c r="X29724" s="60"/>
    </row>
    <row r="29725" spans="7:24" ht="15" customHeight="1">
      <c r="G29725"/>
      <c r="I29725"/>
      <c r="N29725"/>
      <c r="O29725" s="24"/>
      <c r="P29725"/>
      <c r="Q29725" s="24"/>
      <c r="R29725"/>
      <c r="S29725"/>
      <c r="T29725"/>
      <c r="U29725"/>
      <c r="X29725" s="60"/>
    </row>
    <row r="29726" spans="7:24" ht="15" customHeight="1">
      <c r="G29726"/>
      <c r="I29726"/>
      <c r="N29726"/>
      <c r="O29726" s="24"/>
      <c r="P29726"/>
      <c r="Q29726" s="24"/>
      <c r="R29726"/>
      <c r="S29726"/>
      <c r="T29726"/>
      <c r="U29726"/>
      <c r="X29726" s="60"/>
    </row>
    <row r="29727" spans="7:24" ht="15" customHeight="1">
      <c r="G29727"/>
      <c r="I29727"/>
      <c r="N29727"/>
      <c r="O29727" s="24"/>
      <c r="P29727"/>
      <c r="Q29727" s="24"/>
      <c r="R29727"/>
      <c r="S29727"/>
      <c r="T29727"/>
      <c r="U29727"/>
      <c r="X29727" s="60"/>
    </row>
    <row r="29728" spans="7:24" ht="15" customHeight="1">
      <c r="G29728"/>
      <c r="I29728"/>
      <c r="N29728"/>
      <c r="O29728" s="24"/>
      <c r="P29728"/>
      <c r="Q29728" s="24"/>
      <c r="R29728"/>
      <c r="S29728"/>
      <c r="T29728"/>
      <c r="U29728"/>
      <c r="X29728" s="60"/>
    </row>
    <row r="29729" spans="7:24" ht="15" customHeight="1">
      <c r="G29729"/>
      <c r="I29729"/>
      <c r="N29729"/>
      <c r="O29729" s="24"/>
      <c r="P29729"/>
      <c r="Q29729" s="24"/>
      <c r="R29729"/>
      <c r="S29729"/>
      <c r="T29729"/>
      <c r="U29729"/>
      <c r="X29729" s="60"/>
    </row>
    <row r="29730" spans="7:24" ht="15" customHeight="1">
      <c r="G29730"/>
      <c r="I29730"/>
      <c r="N29730"/>
      <c r="O29730" s="24"/>
      <c r="P29730"/>
      <c r="Q29730" s="24"/>
      <c r="R29730"/>
      <c r="S29730"/>
      <c r="T29730"/>
      <c r="U29730"/>
      <c r="X29730" s="60"/>
    </row>
    <row r="29731" spans="7:24" ht="15" customHeight="1">
      <c r="G29731"/>
      <c r="I29731"/>
      <c r="N29731"/>
      <c r="O29731" s="24"/>
      <c r="P29731"/>
      <c r="Q29731" s="24"/>
      <c r="R29731"/>
      <c r="S29731"/>
      <c r="T29731"/>
      <c r="U29731"/>
      <c r="X29731" s="60"/>
    </row>
    <row r="29732" spans="7:24" ht="15" customHeight="1">
      <c r="G29732"/>
      <c r="I29732"/>
      <c r="N29732"/>
      <c r="O29732" s="24"/>
      <c r="P29732"/>
      <c r="Q29732" s="24"/>
      <c r="R29732"/>
      <c r="S29732"/>
      <c r="T29732"/>
      <c r="U29732"/>
      <c r="X29732" s="60"/>
    </row>
    <row r="29733" spans="7:24" ht="15" customHeight="1">
      <c r="G29733"/>
      <c r="I29733"/>
      <c r="N29733"/>
      <c r="O29733" s="24"/>
      <c r="P29733"/>
      <c r="Q29733" s="24"/>
      <c r="R29733"/>
      <c r="S29733"/>
      <c r="T29733"/>
      <c r="U29733"/>
      <c r="X29733" s="60"/>
    </row>
    <row r="29734" spans="7:24" ht="15" customHeight="1">
      <c r="G29734"/>
      <c r="I29734"/>
      <c r="N29734"/>
      <c r="O29734" s="24"/>
      <c r="P29734"/>
      <c r="Q29734" s="24"/>
      <c r="R29734"/>
      <c r="S29734"/>
      <c r="T29734"/>
      <c r="U29734"/>
      <c r="X29734" s="60"/>
    </row>
    <row r="29735" spans="7:24" ht="15" customHeight="1">
      <c r="G29735"/>
      <c r="I29735"/>
      <c r="N29735"/>
      <c r="O29735" s="24"/>
      <c r="P29735"/>
      <c r="Q29735" s="24"/>
      <c r="R29735"/>
      <c r="S29735"/>
      <c r="T29735"/>
      <c r="U29735"/>
      <c r="X29735" s="60"/>
    </row>
    <row r="29736" spans="7:24" ht="15" customHeight="1">
      <c r="G29736"/>
      <c r="I29736"/>
      <c r="N29736"/>
      <c r="O29736" s="24"/>
      <c r="P29736"/>
      <c r="Q29736" s="24"/>
      <c r="R29736"/>
      <c r="S29736"/>
      <c r="T29736"/>
      <c r="U29736"/>
      <c r="X29736" s="60"/>
    </row>
    <row r="29737" spans="7:24" ht="15" customHeight="1">
      <c r="G29737"/>
      <c r="I29737"/>
      <c r="N29737"/>
      <c r="O29737" s="24"/>
      <c r="P29737"/>
      <c r="Q29737" s="24"/>
      <c r="R29737"/>
      <c r="S29737"/>
      <c r="T29737"/>
      <c r="U29737"/>
      <c r="X29737" s="60"/>
    </row>
    <row r="29738" spans="7:24" ht="15" customHeight="1">
      <c r="G29738"/>
      <c r="I29738"/>
      <c r="N29738"/>
      <c r="O29738" s="24"/>
      <c r="P29738"/>
      <c r="Q29738" s="24"/>
      <c r="R29738"/>
      <c r="S29738"/>
      <c r="T29738"/>
      <c r="U29738"/>
      <c r="X29738" s="60"/>
    </row>
    <row r="29739" spans="7:24" ht="15" customHeight="1">
      <c r="G29739"/>
      <c r="I29739"/>
      <c r="N29739"/>
      <c r="O29739" s="24"/>
      <c r="P29739"/>
      <c r="Q29739" s="24"/>
      <c r="R29739"/>
      <c r="S29739"/>
      <c r="T29739"/>
      <c r="U29739"/>
      <c r="X29739" s="60"/>
    </row>
    <row r="29740" spans="7:24" ht="15" customHeight="1">
      <c r="G29740"/>
      <c r="I29740"/>
      <c r="N29740"/>
      <c r="O29740" s="24"/>
      <c r="P29740"/>
      <c r="Q29740" s="24"/>
      <c r="R29740"/>
      <c r="S29740"/>
      <c r="T29740"/>
      <c r="U29740"/>
      <c r="X29740" s="60"/>
    </row>
    <row r="29741" spans="7:24" ht="15" customHeight="1">
      <c r="G29741"/>
      <c r="I29741"/>
      <c r="N29741"/>
      <c r="O29741" s="24"/>
      <c r="P29741"/>
      <c r="Q29741" s="24"/>
      <c r="R29741"/>
      <c r="S29741"/>
      <c r="T29741"/>
      <c r="U29741"/>
      <c r="X29741" s="60"/>
    </row>
    <row r="29742" spans="7:24" ht="15" customHeight="1">
      <c r="G29742"/>
      <c r="I29742"/>
      <c r="N29742"/>
      <c r="O29742" s="24"/>
      <c r="P29742"/>
      <c r="Q29742" s="24"/>
      <c r="R29742"/>
      <c r="S29742"/>
      <c r="T29742"/>
      <c r="U29742"/>
      <c r="X29742" s="60"/>
    </row>
    <row r="29743" spans="7:24" ht="15" customHeight="1">
      <c r="G29743"/>
      <c r="I29743"/>
      <c r="N29743"/>
      <c r="O29743" s="24"/>
      <c r="P29743"/>
      <c r="Q29743" s="24"/>
      <c r="R29743"/>
      <c r="S29743"/>
      <c r="T29743"/>
      <c r="U29743"/>
      <c r="X29743" s="60"/>
    </row>
    <row r="29744" spans="7:24" ht="15" customHeight="1">
      <c r="G29744"/>
      <c r="I29744"/>
      <c r="N29744"/>
      <c r="O29744" s="24"/>
      <c r="P29744"/>
      <c r="Q29744" s="24"/>
      <c r="R29744"/>
      <c r="S29744"/>
      <c r="T29744"/>
      <c r="U29744"/>
      <c r="X29744" s="60"/>
    </row>
    <row r="29745" spans="7:24" ht="15" customHeight="1">
      <c r="G29745"/>
      <c r="I29745"/>
      <c r="N29745"/>
      <c r="O29745" s="24"/>
      <c r="P29745"/>
      <c r="Q29745" s="24"/>
      <c r="R29745"/>
      <c r="S29745"/>
      <c r="T29745"/>
      <c r="U29745"/>
      <c r="X29745" s="60"/>
    </row>
    <row r="29746" spans="7:24" ht="15" customHeight="1">
      <c r="G29746"/>
      <c r="I29746"/>
      <c r="N29746"/>
      <c r="O29746" s="24"/>
      <c r="P29746"/>
      <c r="Q29746" s="24"/>
      <c r="R29746"/>
      <c r="S29746"/>
      <c r="T29746"/>
      <c r="U29746"/>
      <c r="X29746" s="60"/>
    </row>
    <row r="29747" spans="7:24" ht="15" customHeight="1">
      <c r="G29747"/>
      <c r="I29747"/>
      <c r="N29747"/>
      <c r="O29747" s="24"/>
      <c r="P29747"/>
      <c r="Q29747" s="24"/>
      <c r="R29747"/>
      <c r="S29747"/>
      <c r="T29747"/>
      <c r="U29747"/>
      <c r="X29747" s="60"/>
    </row>
    <row r="29748" spans="7:24" ht="15" customHeight="1">
      <c r="G29748"/>
      <c r="I29748"/>
      <c r="N29748"/>
      <c r="O29748" s="24"/>
      <c r="P29748"/>
      <c r="Q29748" s="24"/>
      <c r="R29748"/>
      <c r="S29748"/>
      <c r="T29748"/>
      <c r="U29748"/>
      <c r="X29748" s="60"/>
    </row>
    <row r="29749" spans="7:24" ht="15" customHeight="1">
      <c r="G29749"/>
      <c r="I29749"/>
      <c r="N29749"/>
      <c r="O29749" s="24"/>
      <c r="P29749"/>
      <c r="Q29749" s="24"/>
      <c r="R29749"/>
      <c r="S29749"/>
      <c r="T29749"/>
      <c r="U29749"/>
      <c r="X29749" s="60"/>
    </row>
    <row r="29750" spans="7:24" ht="15" customHeight="1">
      <c r="G29750"/>
      <c r="I29750"/>
      <c r="N29750"/>
      <c r="O29750" s="24"/>
      <c r="P29750"/>
      <c r="Q29750" s="24"/>
      <c r="R29750"/>
      <c r="S29750"/>
      <c r="T29750"/>
      <c r="U29750"/>
      <c r="X29750" s="60"/>
    </row>
    <row r="29751" spans="7:24" ht="15" customHeight="1">
      <c r="G29751"/>
      <c r="I29751"/>
      <c r="N29751"/>
      <c r="O29751" s="24"/>
      <c r="P29751"/>
      <c r="Q29751" s="24"/>
      <c r="R29751"/>
      <c r="S29751"/>
      <c r="T29751"/>
      <c r="U29751"/>
      <c r="X29751" s="60"/>
    </row>
    <row r="29752" spans="7:24" ht="15" customHeight="1">
      <c r="G29752"/>
      <c r="I29752"/>
      <c r="N29752"/>
      <c r="O29752" s="24"/>
      <c r="P29752"/>
      <c r="Q29752" s="24"/>
      <c r="R29752"/>
      <c r="S29752"/>
      <c r="T29752"/>
      <c r="U29752"/>
      <c r="X29752" s="60"/>
    </row>
    <row r="29753" spans="7:24" ht="15" customHeight="1">
      <c r="G29753"/>
      <c r="I29753"/>
      <c r="N29753"/>
      <c r="O29753" s="24"/>
      <c r="P29753"/>
      <c r="Q29753" s="24"/>
      <c r="R29753"/>
      <c r="S29753"/>
      <c r="T29753"/>
      <c r="U29753"/>
      <c r="X29753" s="60"/>
    </row>
    <row r="29754" spans="7:24" ht="15" customHeight="1">
      <c r="G29754"/>
      <c r="I29754"/>
      <c r="N29754"/>
      <c r="O29754" s="24"/>
      <c r="P29754"/>
      <c r="Q29754" s="24"/>
      <c r="R29754"/>
      <c r="S29754"/>
      <c r="T29754"/>
      <c r="U29754"/>
      <c r="X29754" s="60"/>
    </row>
    <row r="29755" spans="7:24" ht="15" customHeight="1">
      <c r="G29755"/>
      <c r="I29755"/>
      <c r="N29755"/>
      <c r="O29755" s="24"/>
      <c r="P29755"/>
      <c r="Q29755" s="24"/>
      <c r="R29755"/>
      <c r="S29755"/>
      <c r="T29755"/>
      <c r="U29755"/>
      <c r="X29755" s="60"/>
    </row>
    <row r="29756" spans="7:24" ht="15" customHeight="1">
      <c r="G29756"/>
      <c r="I29756"/>
      <c r="N29756"/>
      <c r="O29756" s="24"/>
      <c r="P29756"/>
      <c r="Q29756" s="24"/>
      <c r="R29756"/>
      <c r="S29756"/>
      <c r="T29756"/>
      <c r="U29756"/>
      <c r="X29756" s="60"/>
    </row>
    <row r="29757" spans="7:24" ht="15" customHeight="1">
      <c r="G29757"/>
      <c r="I29757"/>
      <c r="N29757"/>
      <c r="O29757" s="24"/>
      <c r="P29757"/>
      <c r="Q29757" s="24"/>
      <c r="R29757"/>
      <c r="S29757"/>
      <c r="T29757"/>
      <c r="U29757"/>
      <c r="X29757" s="60"/>
    </row>
    <row r="29758" spans="7:24" ht="15" customHeight="1">
      <c r="G29758"/>
      <c r="I29758"/>
      <c r="N29758"/>
      <c r="O29758" s="24"/>
      <c r="P29758"/>
      <c r="Q29758" s="24"/>
      <c r="R29758"/>
      <c r="S29758"/>
      <c r="T29758"/>
      <c r="U29758"/>
      <c r="X29758" s="60"/>
    </row>
    <row r="29759" spans="7:24" ht="15" customHeight="1">
      <c r="G29759"/>
      <c r="I29759"/>
      <c r="N29759"/>
      <c r="O29759" s="24"/>
      <c r="P29759"/>
      <c r="Q29759" s="24"/>
      <c r="R29759"/>
      <c r="S29759"/>
      <c r="T29759"/>
      <c r="U29759"/>
      <c r="X29759" s="60"/>
    </row>
    <row r="29760" spans="7:24" ht="15" customHeight="1">
      <c r="G29760"/>
      <c r="I29760"/>
      <c r="N29760"/>
      <c r="O29760" s="24"/>
      <c r="P29760"/>
      <c r="Q29760" s="24"/>
      <c r="R29760"/>
      <c r="S29760"/>
      <c r="T29760"/>
      <c r="U29760"/>
      <c r="X29760" s="60"/>
    </row>
    <row r="29761" spans="7:24" ht="15" customHeight="1">
      <c r="G29761"/>
      <c r="I29761"/>
      <c r="N29761"/>
      <c r="O29761" s="24"/>
      <c r="P29761"/>
      <c r="Q29761" s="24"/>
      <c r="R29761"/>
      <c r="S29761"/>
      <c r="T29761"/>
      <c r="U29761"/>
      <c r="X29761" s="60"/>
    </row>
    <row r="29762" spans="7:24" ht="15" customHeight="1">
      <c r="G29762"/>
      <c r="I29762"/>
      <c r="N29762"/>
      <c r="O29762" s="24"/>
      <c r="P29762"/>
      <c r="Q29762" s="24"/>
      <c r="R29762"/>
      <c r="S29762"/>
      <c r="T29762"/>
      <c r="U29762"/>
      <c r="X29762" s="60"/>
    </row>
    <row r="29763" spans="7:24" ht="15" customHeight="1">
      <c r="G29763"/>
      <c r="I29763"/>
      <c r="N29763"/>
      <c r="O29763" s="24"/>
      <c r="P29763"/>
      <c r="Q29763" s="24"/>
      <c r="R29763"/>
      <c r="S29763"/>
      <c r="T29763"/>
      <c r="U29763"/>
      <c r="X29763" s="60"/>
    </row>
    <row r="29764" spans="7:24" ht="15" customHeight="1">
      <c r="G29764"/>
      <c r="I29764"/>
      <c r="N29764"/>
      <c r="O29764" s="24"/>
      <c r="P29764"/>
      <c r="Q29764" s="24"/>
      <c r="R29764"/>
      <c r="S29764"/>
      <c r="T29764"/>
      <c r="U29764"/>
      <c r="X29764" s="60"/>
    </row>
    <row r="29765" spans="7:24" ht="15" customHeight="1">
      <c r="G29765"/>
      <c r="I29765"/>
      <c r="N29765"/>
      <c r="O29765" s="24"/>
      <c r="P29765"/>
      <c r="Q29765" s="24"/>
      <c r="R29765"/>
      <c r="S29765"/>
      <c r="T29765"/>
      <c r="U29765"/>
      <c r="X29765" s="60"/>
    </row>
    <row r="29766" spans="7:24" ht="15" customHeight="1">
      <c r="G29766"/>
      <c r="I29766"/>
      <c r="N29766"/>
      <c r="O29766" s="24"/>
      <c r="P29766"/>
      <c r="Q29766" s="24"/>
      <c r="R29766"/>
      <c r="S29766"/>
      <c r="T29766"/>
      <c r="U29766"/>
      <c r="X29766" s="60"/>
    </row>
    <row r="29767" spans="7:24" ht="15" customHeight="1">
      <c r="G29767"/>
      <c r="I29767"/>
      <c r="N29767"/>
      <c r="O29767" s="24"/>
      <c r="P29767"/>
      <c r="Q29767" s="24"/>
      <c r="R29767"/>
      <c r="S29767"/>
      <c r="T29767"/>
      <c r="U29767"/>
      <c r="X29767" s="60"/>
    </row>
    <row r="29768" spans="7:24" ht="15" customHeight="1">
      <c r="G29768"/>
      <c r="I29768"/>
      <c r="N29768"/>
      <c r="O29768" s="24"/>
      <c r="P29768"/>
      <c r="Q29768" s="24"/>
      <c r="R29768"/>
      <c r="S29768"/>
      <c r="T29768"/>
      <c r="U29768"/>
      <c r="X29768" s="60"/>
    </row>
    <row r="29769" spans="7:24" ht="15" customHeight="1">
      <c r="G29769"/>
      <c r="I29769"/>
      <c r="N29769"/>
      <c r="O29769" s="24"/>
      <c r="P29769"/>
      <c r="Q29769" s="24"/>
      <c r="R29769"/>
      <c r="S29769"/>
      <c r="T29769"/>
      <c r="U29769"/>
      <c r="X29769" s="60"/>
    </row>
    <row r="29770" spans="7:24" ht="15" customHeight="1">
      <c r="G29770"/>
      <c r="I29770"/>
      <c r="N29770"/>
      <c r="O29770" s="24"/>
      <c r="P29770"/>
      <c r="Q29770" s="24"/>
      <c r="R29770"/>
      <c r="S29770"/>
      <c r="T29770"/>
      <c r="U29770"/>
      <c r="X29770" s="60"/>
    </row>
    <row r="29771" spans="7:24" ht="15" customHeight="1">
      <c r="G29771"/>
      <c r="I29771"/>
      <c r="N29771"/>
      <c r="O29771" s="24"/>
      <c r="P29771"/>
      <c r="Q29771" s="24"/>
      <c r="R29771"/>
      <c r="S29771"/>
      <c r="T29771"/>
      <c r="U29771"/>
      <c r="X29771" s="60"/>
    </row>
    <row r="29772" spans="7:24" ht="15" customHeight="1">
      <c r="G29772"/>
      <c r="I29772"/>
      <c r="N29772"/>
      <c r="O29772" s="24"/>
      <c r="P29772"/>
      <c r="Q29772" s="24"/>
      <c r="R29772"/>
      <c r="S29772"/>
      <c r="T29772"/>
      <c r="U29772"/>
      <c r="X29772" s="60"/>
    </row>
    <row r="29773" spans="7:24" ht="15" customHeight="1">
      <c r="G29773"/>
      <c r="I29773"/>
      <c r="N29773"/>
      <c r="O29773" s="24"/>
      <c r="P29773"/>
      <c r="Q29773" s="24"/>
      <c r="R29773"/>
      <c r="S29773"/>
      <c r="T29773"/>
      <c r="U29773"/>
      <c r="X29773" s="60"/>
    </row>
    <row r="29774" spans="7:24" ht="15" customHeight="1">
      <c r="G29774"/>
      <c r="I29774"/>
      <c r="N29774"/>
      <c r="O29774" s="24"/>
      <c r="P29774"/>
      <c r="Q29774" s="24"/>
      <c r="R29774"/>
      <c r="S29774"/>
      <c r="T29774"/>
      <c r="U29774"/>
      <c r="X29774" s="60"/>
    </row>
    <row r="29775" spans="7:24" ht="15" customHeight="1">
      <c r="G29775"/>
      <c r="I29775"/>
      <c r="N29775"/>
      <c r="O29775" s="24"/>
      <c r="P29775"/>
      <c r="Q29775" s="24"/>
      <c r="R29775"/>
      <c r="S29775"/>
      <c r="T29775"/>
      <c r="U29775"/>
      <c r="X29775" s="60"/>
    </row>
    <row r="29776" spans="7:24" ht="15" customHeight="1">
      <c r="G29776"/>
      <c r="I29776"/>
      <c r="N29776"/>
      <c r="O29776" s="24"/>
      <c r="P29776"/>
      <c r="Q29776" s="24"/>
      <c r="R29776"/>
      <c r="S29776"/>
      <c r="T29776"/>
      <c r="U29776"/>
      <c r="X29776" s="60"/>
    </row>
    <row r="29777" spans="7:24" ht="15" customHeight="1">
      <c r="G29777"/>
      <c r="I29777"/>
      <c r="N29777"/>
      <c r="O29777" s="24"/>
      <c r="P29777"/>
      <c r="Q29777" s="24"/>
      <c r="R29777"/>
      <c r="S29777"/>
      <c r="T29777"/>
      <c r="U29777"/>
      <c r="X29777" s="60"/>
    </row>
    <row r="29778" spans="7:24" ht="15" customHeight="1">
      <c r="G29778"/>
      <c r="I29778"/>
      <c r="N29778"/>
      <c r="O29778" s="24"/>
      <c r="P29778"/>
      <c r="Q29778" s="24"/>
      <c r="R29778"/>
      <c r="S29778"/>
      <c r="T29778"/>
      <c r="U29778"/>
      <c r="X29778" s="60"/>
    </row>
    <row r="29779" spans="7:24" ht="15" customHeight="1">
      <c r="G29779"/>
      <c r="I29779"/>
      <c r="N29779"/>
      <c r="O29779" s="24"/>
      <c r="P29779"/>
      <c r="Q29779" s="24"/>
      <c r="R29779"/>
      <c r="S29779"/>
      <c r="T29779"/>
      <c r="U29779"/>
      <c r="X29779" s="60"/>
    </row>
    <row r="29780" spans="7:24" ht="15" customHeight="1">
      <c r="G29780"/>
      <c r="I29780"/>
      <c r="N29780"/>
      <c r="O29780" s="24"/>
      <c r="P29780"/>
      <c r="Q29780" s="24"/>
      <c r="R29780"/>
      <c r="S29780"/>
      <c r="T29780"/>
      <c r="U29780"/>
      <c r="X29780" s="60"/>
    </row>
    <row r="29781" spans="7:24" ht="15" customHeight="1">
      <c r="G29781"/>
      <c r="I29781"/>
      <c r="N29781"/>
      <c r="O29781" s="24"/>
      <c r="P29781"/>
      <c r="Q29781" s="24"/>
      <c r="R29781"/>
      <c r="S29781"/>
      <c r="T29781"/>
      <c r="U29781"/>
      <c r="X29781" s="60"/>
    </row>
    <row r="29782" spans="7:24" ht="15" customHeight="1">
      <c r="G29782"/>
      <c r="I29782"/>
      <c r="N29782"/>
      <c r="O29782" s="24"/>
      <c r="P29782"/>
      <c r="Q29782" s="24"/>
      <c r="R29782"/>
      <c r="S29782"/>
      <c r="T29782"/>
      <c r="U29782"/>
      <c r="X29782" s="60"/>
    </row>
    <row r="29783" spans="7:24" ht="15" customHeight="1">
      <c r="G29783"/>
      <c r="I29783"/>
      <c r="N29783"/>
      <c r="O29783" s="24"/>
      <c r="P29783"/>
      <c r="Q29783" s="24"/>
      <c r="R29783"/>
      <c r="S29783"/>
      <c r="T29783"/>
      <c r="U29783"/>
      <c r="X29783" s="60"/>
    </row>
    <row r="29784" spans="7:24" ht="15" customHeight="1">
      <c r="G29784"/>
      <c r="I29784"/>
      <c r="N29784"/>
      <c r="O29784" s="24"/>
      <c r="P29784"/>
      <c r="Q29784" s="24"/>
      <c r="R29784"/>
      <c r="S29784"/>
      <c r="T29784"/>
      <c r="U29784"/>
      <c r="X29784" s="60"/>
    </row>
    <row r="29785" spans="7:24" ht="15" customHeight="1">
      <c r="G29785"/>
      <c r="I29785"/>
      <c r="N29785"/>
      <c r="O29785" s="24"/>
      <c r="P29785"/>
      <c r="Q29785" s="24"/>
      <c r="R29785"/>
      <c r="S29785"/>
      <c r="T29785"/>
      <c r="U29785"/>
      <c r="X29785" s="60"/>
    </row>
    <row r="29786" spans="7:24" ht="15" customHeight="1">
      <c r="G29786"/>
      <c r="I29786"/>
      <c r="N29786"/>
      <c r="O29786" s="24"/>
      <c r="P29786"/>
      <c r="Q29786" s="24"/>
      <c r="R29786"/>
      <c r="S29786"/>
      <c r="T29786"/>
      <c r="U29786"/>
      <c r="X29786" s="60"/>
    </row>
    <row r="29787" spans="7:24" ht="15" customHeight="1">
      <c r="G29787"/>
      <c r="I29787"/>
      <c r="N29787"/>
      <c r="O29787" s="24"/>
      <c r="P29787"/>
      <c r="Q29787" s="24"/>
      <c r="R29787"/>
      <c r="S29787"/>
      <c r="T29787"/>
      <c r="U29787"/>
      <c r="X29787" s="60"/>
    </row>
    <row r="29788" spans="7:24" ht="15" customHeight="1">
      <c r="G29788"/>
      <c r="I29788"/>
      <c r="N29788"/>
      <c r="O29788" s="24"/>
      <c r="P29788"/>
      <c r="Q29788" s="24"/>
      <c r="R29788"/>
      <c r="S29788"/>
      <c r="T29788"/>
      <c r="U29788"/>
      <c r="X29788" s="60"/>
    </row>
    <row r="29789" spans="7:24" ht="15" customHeight="1">
      <c r="G29789"/>
      <c r="I29789"/>
      <c r="N29789"/>
      <c r="O29789" s="24"/>
      <c r="P29789"/>
      <c r="Q29789" s="24"/>
      <c r="R29789"/>
      <c r="S29789"/>
      <c r="T29789"/>
      <c r="U29789"/>
      <c r="X29789" s="60"/>
    </row>
    <row r="29790" spans="7:24" ht="15" customHeight="1">
      <c r="G29790"/>
      <c r="I29790"/>
      <c r="N29790"/>
      <c r="O29790" s="24"/>
      <c r="P29790"/>
      <c r="Q29790" s="24"/>
      <c r="R29790"/>
      <c r="S29790"/>
      <c r="T29790"/>
      <c r="U29790"/>
      <c r="X29790" s="60"/>
    </row>
    <row r="29791" spans="7:24" ht="15" customHeight="1">
      <c r="G29791"/>
      <c r="I29791"/>
      <c r="N29791"/>
      <c r="O29791" s="24"/>
      <c r="P29791"/>
      <c r="Q29791" s="24"/>
      <c r="R29791"/>
      <c r="S29791"/>
      <c r="T29791"/>
      <c r="U29791"/>
      <c r="X29791" s="60"/>
    </row>
    <row r="29792" spans="7:24" ht="15" customHeight="1">
      <c r="G29792"/>
      <c r="I29792"/>
      <c r="N29792"/>
      <c r="O29792" s="24"/>
      <c r="P29792"/>
      <c r="Q29792" s="24"/>
      <c r="R29792"/>
      <c r="S29792"/>
      <c r="T29792"/>
      <c r="U29792"/>
      <c r="X29792" s="60"/>
    </row>
    <row r="29793" spans="7:24" ht="15" customHeight="1">
      <c r="G29793"/>
      <c r="I29793"/>
      <c r="N29793"/>
      <c r="O29793" s="24"/>
      <c r="P29793"/>
      <c r="Q29793" s="24"/>
      <c r="R29793"/>
      <c r="S29793"/>
      <c r="T29793"/>
      <c r="U29793"/>
      <c r="X29793" s="60"/>
    </row>
    <row r="29794" spans="7:24" ht="15" customHeight="1">
      <c r="G29794"/>
      <c r="I29794"/>
      <c r="N29794"/>
      <c r="O29794" s="24"/>
      <c r="P29794"/>
      <c r="Q29794" s="24"/>
      <c r="R29794"/>
      <c r="S29794"/>
      <c r="T29794"/>
      <c r="U29794"/>
      <c r="X29794" s="60"/>
    </row>
    <row r="29795" spans="7:24" ht="15" customHeight="1">
      <c r="G29795"/>
      <c r="I29795"/>
      <c r="N29795"/>
      <c r="O29795" s="24"/>
      <c r="P29795"/>
      <c r="Q29795" s="24"/>
      <c r="R29795"/>
      <c r="S29795"/>
      <c r="T29795"/>
      <c r="U29795"/>
      <c r="X29795" s="60"/>
    </row>
    <row r="29796" spans="7:24" ht="15" customHeight="1">
      <c r="G29796"/>
      <c r="I29796"/>
      <c r="N29796"/>
      <c r="O29796" s="24"/>
      <c r="P29796"/>
      <c r="Q29796" s="24"/>
      <c r="R29796"/>
      <c r="S29796"/>
      <c r="T29796"/>
      <c r="U29796"/>
      <c r="X29796" s="60"/>
    </row>
    <row r="29797" spans="7:24" ht="15" customHeight="1">
      <c r="G29797"/>
      <c r="I29797"/>
      <c r="N29797"/>
      <c r="O29797" s="24"/>
      <c r="P29797"/>
      <c r="Q29797" s="24"/>
      <c r="R29797"/>
      <c r="S29797"/>
      <c r="T29797"/>
      <c r="U29797"/>
      <c r="X29797" s="60"/>
    </row>
    <row r="29798" spans="7:24" ht="15" customHeight="1">
      <c r="G29798"/>
      <c r="I29798"/>
      <c r="N29798"/>
      <c r="O29798" s="24"/>
      <c r="P29798"/>
      <c r="Q29798" s="24"/>
      <c r="R29798"/>
      <c r="S29798"/>
      <c r="T29798"/>
      <c r="U29798"/>
      <c r="X29798" s="60"/>
    </row>
    <row r="29799" spans="7:24" ht="15" customHeight="1">
      <c r="G29799"/>
      <c r="I29799"/>
      <c r="N29799"/>
      <c r="O29799" s="24"/>
      <c r="P29799"/>
      <c r="Q29799" s="24"/>
      <c r="R29799"/>
      <c r="S29799"/>
      <c r="T29799"/>
      <c r="U29799"/>
      <c r="X29799" s="60"/>
    </row>
    <row r="29800" spans="7:24" ht="15" customHeight="1">
      <c r="G29800"/>
      <c r="I29800"/>
      <c r="N29800"/>
      <c r="O29800" s="24"/>
      <c r="P29800"/>
      <c r="Q29800" s="24"/>
      <c r="R29800"/>
      <c r="S29800"/>
      <c r="T29800"/>
      <c r="U29800"/>
      <c r="X29800" s="60"/>
    </row>
    <row r="29801" spans="7:24" ht="15" customHeight="1">
      <c r="G29801"/>
      <c r="I29801"/>
      <c r="N29801"/>
      <c r="O29801" s="24"/>
      <c r="P29801"/>
      <c r="Q29801" s="24"/>
      <c r="R29801"/>
      <c r="S29801"/>
      <c r="T29801"/>
      <c r="U29801"/>
      <c r="X29801" s="60"/>
    </row>
    <row r="29802" spans="7:24" ht="15" customHeight="1">
      <c r="G29802"/>
      <c r="I29802"/>
      <c r="N29802"/>
      <c r="O29802" s="24"/>
      <c r="P29802"/>
      <c r="Q29802" s="24"/>
      <c r="R29802"/>
      <c r="S29802"/>
      <c r="T29802"/>
      <c r="U29802"/>
      <c r="X29802" s="60"/>
    </row>
    <row r="29803" spans="7:24" ht="15" customHeight="1">
      <c r="G29803"/>
      <c r="I29803"/>
      <c r="N29803"/>
      <c r="O29803" s="24"/>
      <c r="P29803"/>
      <c r="Q29803" s="24"/>
      <c r="R29803"/>
      <c r="S29803"/>
      <c r="T29803"/>
      <c r="U29803"/>
      <c r="X29803" s="60"/>
    </row>
    <row r="29804" spans="7:24" ht="15" customHeight="1">
      <c r="G29804"/>
      <c r="I29804"/>
      <c r="N29804"/>
      <c r="O29804" s="24"/>
      <c r="P29804"/>
      <c r="Q29804" s="24"/>
      <c r="R29804"/>
      <c r="S29804"/>
      <c r="T29804"/>
      <c r="U29804"/>
      <c r="X29804" s="60"/>
    </row>
    <row r="29805" spans="7:24" ht="15" customHeight="1">
      <c r="G29805"/>
      <c r="I29805"/>
      <c r="N29805"/>
      <c r="O29805" s="24"/>
      <c r="P29805"/>
      <c r="Q29805" s="24"/>
      <c r="R29805"/>
      <c r="S29805"/>
      <c r="T29805"/>
      <c r="U29805"/>
      <c r="X29805" s="60"/>
    </row>
    <row r="29806" spans="7:24" ht="15" customHeight="1">
      <c r="G29806"/>
      <c r="I29806"/>
      <c r="N29806"/>
      <c r="O29806" s="24"/>
      <c r="P29806"/>
      <c r="Q29806" s="24"/>
      <c r="R29806"/>
      <c r="S29806"/>
      <c r="T29806"/>
      <c r="U29806"/>
      <c r="X29806" s="60"/>
    </row>
    <row r="29807" spans="7:24" ht="15" customHeight="1">
      <c r="G29807"/>
      <c r="I29807"/>
      <c r="N29807"/>
      <c r="O29807" s="24"/>
      <c r="P29807"/>
      <c r="Q29807" s="24"/>
      <c r="R29807"/>
      <c r="S29807"/>
      <c r="T29807"/>
      <c r="U29807"/>
      <c r="X29807" s="60"/>
    </row>
    <row r="29808" spans="7:24" ht="15" customHeight="1">
      <c r="G29808"/>
      <c r="I29808"/>
      <c r="N29808"/>
      <c r="O29808" s="24"/>
      <c r="P29808"/>
      <c r="Q29808" s="24"/>
      <c r="R29808"/>
      <c r="S29808"/>
      <c r="T29808"/>
      <c r="U29808"/>
      <c r="X29808" s="60"/>
    </row>
    <row r="29809" spans="7:24" ht="15" customHeight="1">
      <c r="G29809"/>
      <c r="I29809"/>
      <c r="N29809"/>
      <c r="O29809" s="24"/>
      <c r="P29809"/>
      <c r="Q29809" s="24"/>
      <c r="R29809"/>
      <c r="S29809"/>
      <c r="T29809"/>
      <c r="U29809"/>
      <c r="X29809" s="60"/>
    </row>
    <row r="29810" spans="7:24" ht="15" customHeight="1">
      <c r="G29810"/>
      <c r="I29810"/>
      <c r="N29810"/>
      <c r="O29810" s="24"/>
      <c r="P29810"/>
      <c r="Q29810" s="24"/>
      <c r="R29810"/>
      <c r="S29810"/>
      <c r="T29810"/>
      <c r="U29810"/>
      <c r="X29810" s="60"/>
    </row>
    <row r="29811" spans="7:24" ht="15" customHeight="1">
      <c r="G29811"/>
      <c r="I29811"/>
      <c r="N29811"/>
      <c r="O29811" s="24"/>
      <c r="P29811"/>
      <c r="Q29811" s="24"/>
      <c r="R29811"/>
      <c r="S29811"/>
      <c r="T29811"/>
      <c r="U29811"/>
      <c r="X29811" s="60"/>
    </row>
    <row r="29812" spans="7:24" ht="15" customHeight="1">
      <c r="G29812"/>
      <c r="I29812"/>
      <c r="N29812"/>
      <c r="O29812" s="24"/>
      <c r="P29812"/>
      <c r="Q29812" s="24"/>
      <c r="R29812"/>
      <c r="S29812"/>
      <c r="T29812"/>
      <c r="U29812"/>
      <c r="X29812" s="60"/>
    </row>
    <row r="29813" spans="7:24" ht="15" customHeight="1">
      <c r="G29813"/>
      <c r="I29813"/>
      <c r="N29813"/>
      <c r="O29813" s="24"/>
      <c r="P29813"/>
      <c r="Q29813" s="24"/>
      <c r="R29813"/>
      <c r="S29813"/>
      <c r="T29813"/>
      <c r="U29813"/>
      <c r="X29813" s="60"/>
    </row>
    <row r="29814" spans="7:24" ht="15" customHeight="1">
      <c r="G29814"/>
      <c r="I29814"/>
      <c r="N29814"/>
      <c r="O29814" s="24"/>
      <c r="P29814"/>
      <c r="Q29814" s="24"/>
      <c r="R29814"/>
      <c r="S29814"/>
      <c r="T29814"/>
      <c r="U29814"/>
      <c r="X29814" s="60"/>
    </row>
    <row r="29815" spans="7:24" ht="15" customHeight="1">
      <c r="G29815"/>
      <c r="I29815"/>
      <c r="N29815"/>
      <c r="O29815" s="24"/>
      <c r="P29815"/>
      <c r="Q29815" s="24"/>
      <c r="R29815"/>
      <c r="S29815"/>
      <c r="T29815"/>
      <c r="U29815"/>
      <c r="X29815" s="60"/>
    </row>
    <row r="29816" spans="7:24" ht="15" customHeight="1">
      <c r="G29816"/>
      <c r="I29816"/>
      <c r="N29816"/>
      <c r="O29816" s="24"/>
      <c r="P29816"/>
      <c r="Q29816" s="24"/>
      <c r="R29816"/>
      <c r="S29816"/>
      <c r="T29816"/>
      <c r="U29816"/>
      <c r="X29816" s="60"/>
    </row>
    <row r="29817" spans="7:24" ht="15" customHeight="1">
      <c r="G29817"/>
      <c r="I29817"/>
      <c r="N29817"/>
      <c r="O29817" s="24"/>
      <c r="P29817"/>
      <c r="Q29817" s="24"/>
      <c r="R29817"/>
      <c r="S29817"/>
      <c r="T29817"/>
      <c r="U29817"/>
      <c r="X29817" s="60"/>
    </row>
    <row r="29818" spans="7:24" ht="15" customHeight="1">
      <c r="G29818"/>
      <c r="I29818"/>
      <c r="N29818"/>
      <c r="O29818" s="24"/>
      <c r="P29818"/>
      <c r="Q29818" s="24"/>
      <c r="R29818"/>
      <c r="S29818"/>
      <c r="T29818"/>
      <c r="U29818"/>
      <c r="X29818" s="60"/>
    </row>
    <row r="29819" spans="7:24" ht="15" customHeight="1">
      <c r="G29819"/>
      <c r="I29819"/>
      <c r="N29819"/>
      <c r="O29819" s="24"/>
      <c r="P29819"/>
      <c r="Q29819" s="24"/>
      <c r="R29819"/>
      <c r="S29819"/>
      <c r="T29819"/>
      <c r="U29819"/>
      <c r="X29819" s="60"/>
    </row>
    <row r="29820" spans="7:24" ht="15" customHeight="1">
      <c r="G29820"/>
      <c r="I29820"/>
      <c r="N29820"/>
      <c r="O29820" s="24"/>
      <c r="P29820"/>
      <c r="Q29820" s="24"/>
      <c r="R29820"/>
      <c r="S29820"/>
      <c r="T29820"/>
      <c r="U29820"/>
      <c r="X29820" s="60"/>
    </row>
    <row r="29821" spans="7:24" ht="15" customHeight="1">
      <c r="G29821"/>
      <c r="I29821"/>
      <c r="N29821"/>
      <c r="O29821" s="24"/>
      <c r="P29821"/>
      <c r="Q29821" s="24"/>
      <c r="R29821"/>
      <c r="S29821"/>
      <c r="T29821"/>
      <c r="U29821"/>
      <c r="X29821" s="60"/>
    </row>
    <row r="29822" spans="7:24" ht="15" customHeight="1">
      <c r="G29822"/>
      <c r="I29822"/>
      <c r="N29822"/>
      <c r="O29822" s="24"/>
      <c r="P29822"/>
      <c r="Q29822" s="24"/>
      <c r="R29822"/>
      <c r="S29822"/>
      <c r="T29822"/>
      <c r="U29822"/>
      <c r="X29822" s="60"/>
    </row>
    <row r="29823" spans="7:24" ht="15" customHeight="1">
      <c r="G29823"/>
      <c r="I29823"/>
      <c r="N29823"/>
      <c r="O29823" s="24"/>
      <c r="P29823"/>
      <c r="Q29823" s="24"/>
      <c r="R29823"/>
      <c r="S29823"/>
      <c r="T29823"/>
      <c r="U29823"/>
      <c r="X29823" s="60"/>
    </row>
    <row r="29824" spans="7:24" ht="15" customHeight="1">
      <c r="G29824"/>
      <c r="I29824"/>
      <c r="N29824"/>
      <c r="O29824" s="24"/>
      <c r="P29824"/>
      <c r="Q29824" s="24"/>
      <c r="R29824"/>
      <c r="S29824"/>
      <c r="T29824"/>
      <c r="U29824"/>
      <c r="X29824" s="60"/>
    </row>
    <row r="29825" spans="7:24" ht="15" customHeight="1">
      <c r="G29825"/>
      <c r="I29825"/>
      <c r="N29825"/>
      <c r="O29825" s="24"/>
      <c r="P29825"/>
      <c r="Q29825" s="24"/>
      <c r="R29825"/>
      <c r="S29825"/>
      <c r="T29825"/>
      <c r="U29825"/>
      <c r="X29825" s="60"/>
    </row>
    <row r="29826" spans="7:24" ht="15" customHeight="1">
      <c r="G29826"/>
      <c r="I29826"/>
      <c r="N29826"/>
      <c r="O29826" s="24"/>
      <c r="P29826"/>
      <c r="Q29826" s="24"/>
      <c r="R29826"/>
      <c r="S29826"/>
      <c r="T29826"/>
      <c r="U29826"/>
      <c r="X29826" s="60"/>
    </row>
    <row r="29827" spans="7:24" ht="15" customHeight="1">
      <c r="G29827"/>
      <c r="I29827"/>
      <c r="N29827"/>
      <c r="O29827" s="24"/>
      <c r="P29827"/>
      <c r="Q29827" s="24"/>
      <c r="R29827"/>
      <c r="S29827"/>
      <c r="T29827"/>
      <c r="U29827"/>
      <c r="X29827" s="60"/>
    </row>
    <row r="29828" spans="7:24" ht="15" customHeight="1">
      <c r="G29828"/>
      <c r="I29828"/>
      <c r="N29828"/>
      <c r="O29828" s="24"/>
      <c r="P29828"/>
      <c r="Q29828" s="24"/>
      <c r="R29828"/>
      <c r="S29828"/>
      <c r="T29828"/>
      <c r="U29828"/>
      <c r="X29828" s="60"/>
    </row>
    <row r="29829" spans="7:24" ht="15" customHeight="1">
      <c r="G29829"/>
      <c r="I29829"/>
      <c r="N29829"/>
      <c r="O29829" s="24"/>
      <c r="P29829"/>
      <c r="Q29829" s="24"/>
      <c r="R29829"/>
      <c r="S29829"/>
      <c r="T29829"/>
      <c r="U29829"/>
      <c r="X29829" s="60"/>
    </row>
    <row r="29830" spans="7:24" ht="15" customHeight="1">
      <c r="G29830"/>
      <c r="I29830"/>
      <c r="N29830"/>
      <c r="O29830" s="24"/>
      <c r="P29830"/>
      <c r="Q29830" s="24"/>
      <c r="R29830"/>
      <c r="S29830"/>
      <c r="T29830"/>
      <c r="U29830"/>
      <c r="X29830" s="60"/>
    </row>
    <row r="29831" spans="7:24" ht="15" customHeight="1">
      <c r="G29831"/>
      <c r="I29831"/>
      <c r="N29831"/>
      <c r="O29831" s="24"/>
      <c r="P29831"/>
      <c r="Q29831" s="24"/>
      <c r="R29831"/>
      <c r="S29831"/>
      <c r="T29831"/>
      <c r="U29831"/>
      <c r="X29831" s="60"/>
    </row>
    <row r="29832" spans="7:24" ht="15" customHeight="1">
      <c r="G29832"/>
      <c r="I29832"/>
      <c r="N29832"/>
      <c r="O29832" s="24"/>
      <c r="P29832"/>
      <c r="Q29832" s="24"/>
      <c r="R29832"/>
      <c r="S29832"/>
      <c r="T29832"/>
      <c r="U29832"/>
      <c r="X29832" s="60"/>
    </row>
    <row r="29833" spans="7:24" ht="15" customHeight="1">
      <c r="G29833"/>
      <c r="I29833"/>
      <c r="N29833"/>
      <c r="O29833" s="24"/>
      <c r="P29833"/>
      <c r="Q29833" s="24"/>
      <c r="R29833"/>
      <c r="S29833"/>
      <c r="T29833"/>
      <c r="U29833"/>
      <c r="X29833" s="60"/>
    </row>
    <row r="29834" spans="7:24" ht="15" customHeight="1">
      <c r="G29834"/>
      <c r="I29834"/>
      <c r="N29834"/>
      <c r="O29834" s="24"/>
      <c r="P29834"/>
      <c r="Q29834" s="24"/>
      <c r="R29834"/>
      <c r="S29834"/>
      <c r="T29834"/>
      <c r="U29834"/>
      <c r="X29834" s="60"/>
    </row>
    <row r="29835" spans="7:24" ht="15" customHeight="1">
      <c r="G29835"/>
      <c r="I29835"/>
      <c r="N29835"/>
      <c r="O29835" s="24"/>
      <c r="P29835"/>
      <c r="Q29835" s="24"/>
      <c r="R29835"/>
      <c r="S29835"/>
      <c r="T29835"/>
      <c r="U29835"/>
      <c r="X29835" s="60"/>
    </row>
    <row r="29836" spans="7:24" ht="15" customHeight="1">
      <c r="G29836"/>
      <c r="I29836"/>
      <c r="N29836"/>
      <c r="O29836" s="24"/>
      <c r="P29836"/>
      <c r="Q29836" s="24"/>
      <c r="R29836"/>
      <c r="S29836"/>
      <c r="T29836"/>
      <c r="U29836"/>
      <c r="X29836" s="60"/>
    </row>
    <row r="29837" spans="7:24" ht="15" customHeight="1">
      <c r="G29837"/>
      <c r="I29837"/>
      <c r="N29837"/>
      <c r="O29837" s="24"/>
      <c r="P29837"/>
      <c r="Q29837" s="24"/>
      <c r="R29837"/>
      <c r="S29837"/>
      <c r="T29837"/>
      <c r="U29837"/>
      <c r="X29837" s="60"/>
    </row>
    <row r="29838" spans="7:24" ht="15" customHeight="1">
      <c r="G29838"/>
      <c r="I29838"/>
      <c r="N29838"/>
      <c r="O29838" s="24"/>
      <c r="P29838"/>
      <c r="Q29838" s="24"/>
      <c r="R29838"/>
      <c r="S29838"/>
      <c r="T29838"/>
      <c r="U29838"/>
      <c r="X29838" s="60"/>
    </row>
    <row r="29839" spans="7:24" ht="15" customHeight="1">
      <c r="G29839"/>
      <c r="I29839"/>
      <c r="N29839"/>
      <c r="O29839" s="24"/>
      <c r="P29839"/>
      <c r="Q29839" s="24"/>
      <c r="R29839"/>
      <c r="S29839"/>
      <c r="T29839"/>
      <c r="U29839"/>
      <c r="X29839" s="60"/>
    </row>
    <row r="29840" spans="7:24" ht="15" customHeight="1">
      <c r="G29840"/>
      <c r="I29840"/>
      <c r="N29840"/>
      <c r="O29840" s="24"/>
      <c r="P29840"/>
      <c r="Q29840" s="24"/>
      <c r="R29840"/>
      <c r="S29840"/>
      <c r="T29840"/>
      <c r="U29840"/>
      <c r="X29840" s="60"/>
    </row>
    <row r="29841" spans="7:24" ht="15" customHeight="1">
      <c r="G29841"/>
      <c r="I29841"/>
      <c r="N29841"/>
      <c r="O29841" s="24"/>
      <c r="P29841"/>
      <c r="Q29841" s="24"/>
      <c r="R29841"/>
      <c r="S29841"/>
      <c r="T29841"/>
      <c r="U29841"/>
      <c r="X29841" s="60"/>
    </row>
    <row r="29842" spans="7:24" ht="15" customHeight="1">
      <c r="G29842"/>
      <c r="I29842"/>
      <c r="N29842"/>
      <c r="O29842" s="24"/>
      <c r="P29842"/>
      <c r="Q29842" s="24"/>
      <c r="R29842"/>
      <c r="S29842"/>
      <c r="T29842"/>
      <c r="U29842"/>
      <c r="X29842" s="60"/>
    </row>
    <row r="29843" spans="7:24" ht="15" customHeight="1">
      <c r="G29843"/>
      <c r="I29843"/>
      <c r="N29843"/>
      <c r="O29843" s="24"/>
      <c r="P29843"/>
      <c r="Q29843" s="24"/>
      <c r="R29843"/>
      <c r="S29843"/>
      <c r="T29843"/>
      <c r="U29843"/>
      <c r="X29843" s="60"/>
    </row>
    <row r="29844" spans="7:24" ht="15" customHeight="1">
      <c r="G29844"/>
      <c r="I29844"/>
      <c r="N29844"/>
      <c r="O29844" s="24"/>
      <c r="P29844"/>
      <c r="Q29844" s="24"/>
      <c r="R29844"/>
      <c r="S29844"/>
      <c r="T29844"/>
      <c r="U29844"/>
      <c r="X29844" s="60"/>
    </row>
    <row r="29845" spans="7:24" ht="15" customHeight="1">
      <c r="G29845"/>
      <c r="I29845"/>
      <c r="N29845"/>
      <c r="O29845" s="24"/>
      <c r="P29845"/>
      <c r="Q29845" s="24"/>
      <c r="R29845"/>
      <c r="S29845"/>
      <c r="T29845"/>
      <c r="U29845"/>
      <c r="X29845" s="60"/>
    </row>
    <row r="29846" spans="7:24" ht="15" customHeight="1">
      <c r="G29846"/>
      <c r="I29846"/>
      <c r="N29846"/>
      <c r="O29846" s="24"/>
      <c r="P29846"/>
      <c r="Q29846" s="24"/>
      <c r="R29846"/>
      <c r="S29846"/>
      <c r="T29846"/>
      <c r="U29846"/>
      <c r="X29846" s="60"/>
    </row>
    <row r="29847" spans="7:24" ht="15" customHeight="1">
      <c r="G29847"/>
      <c r="I29847"/>
      <c r="N29847"/>
      <c r="O29847" s="24"/>
      <c r="P29847"/>
      <c r="Q29847" s="24"/>
      <c r="R29847"/>
      <c r="S29847"/>
      <c r="T29847"/>
      <c r="U29847"/>
      <c r="X29847" s="60"/>
    </row>
    <row r="29848" spans="7:24" ht="15" customHeight="1">
      <c r="G29848"/>
      <c r="I29848"/>
      <c r="N29848"/>
      <c r="O29848" s="24"/>
      <c r="P29848"/>
      <c r="Q29848" s="24"/>
      <c r="R29848"/>
      <c r="S29848"/>
      <c r="T29848"/>
      <c r="U29848"/>
      <c r="X29848" s="60"/>
    </row>
    <row r="29849" spans="7:24" ht="15" customHeight="1">
      <c r="G29849"/>
      <c r="I29849"/>
      <c r="N29849"/>
      <c r="O29849" s="24"/>
      <c r="P29849"/>
      <c r="Q29849" s="24"/>
      <c r="R29849"/>
      <c r="S29849"/>
      <c r="T29849"/>
      <c r="U29849"/>
      <c r="X29849" s="60"/>
    </row>
    <row r="29850" spans="7:24" ht="15" customHeight="1">
      <c r="G29850"/>
      <c r="I29850"/>
      <c r="N29850"/>
      <c r="O29850" s="24"/>
      <c r="P29850"/>
      <c r="Q29850" s="24"/>
      <c r="R29850"/>
      <c r="S29850"/>
      <c r="T29850"/>
      <c r="U29850"/>
      <c r="X29850" s="60"/>
    </row>
    <row r="29851" spans="7:24" ht="15" customHeight="1">
      <c r="G29851"/>
      <c r="I29851"/>
      <c r="N29851"/>
      <c r="O29851" s="24"/>
      <c r="P29851"/>
      <c r="Q29851" s="24"/>
      <c r="R29851"/>
      <c r="S29851"/>
      <c r="T29851"/>
      <c r="U29851"/>
      <c r="X29851" s="60"/>
    </row>
    <row r="29852" spans="7:24" ht="15" customHeight="1">
      <c r="G29852"/>
      <c r="I29852"/>
      <c r="N29852"/>
      <c r="O29852" s="24"/>
      <c r="P29852"/>
      <c r="Q29852" s="24"/>
      <c r="R29852"/>
      <c r="S29852"/>
      <c r="T29852"/>
      <c r="U29852"/>
      <c r="X29852" s="60"/>
    </row>
    <row r="29853" spans="7:24" ht="15" customHeight="1">
      <c r="G29853"/>
      <c r="I29853"/>
      <c r="N29853"/>
      <c r="O29853" s="24"/>
      <c r="P29853"/>
      <c r="Q29853" s="24"/>
      <c r="R29853"/>
      <c r="S29853"/>
      <c r="T29853"/>
      <c r="U29853"/>
      <c r="X29853" s="60"/>
    </row>
    <row r="29854" spans="7:24" ht="15" customHeight="1">
      <c r="G29854"/>
      <c r="I29854"/>
      <c r="N29854"/>
      <c r="O29854" s="24"/>
      <c r="P29854"/>
      <c r="Q29854" s="24"/>
      <c r="R29854"/>
      <c r="S29854"/>
      <c r="T29854"/>
      <c r="U29854"/>
      <c r="X29854" s="60"/>
    </row>
    <row r="29855" spans="7:24" ht="15" customHeight="1">
      <c r="G29855"/>
      <c r="I29855"/>
      <c r="N29855"/>
      <c r="O29855" s="24"/>
      <c r="P29855"/>
      <c r="Q29855" s="24"/>
      <c r="R29855"/>
      <c r="S29855"/>
      <c r="T29855"/>
      <c r="U29855"/>
      <c r="X29855" s="60"/>
    </row>
    <row r="29856" spans="7:24" ht="15" customHeight="1">
      <c r="G29856"/>
      <c r="I29856"/>
      <c r="N29856"/>
      <c r="O29856" s="24"/>
      <c r="P29856"/>
      <c r="Q29856" s="24"/>
      <c r="R29856"/>
      <c r="S29856"/>
      <c r="T29856"/>
      <c r="U29856"/>
      <c r="X29856" s="60"/>
    </row>
    <row r="29857" spans="7:24" ht="15" customHeight="1">
      <c r="G29857"/>
      <c r="I29857"/>
      <c r="N29857"/>
      <c r="O29857" s="24"/>
      <c r="P29857"/>
      <c r="Q29857" s="24"/>
      <c r="R29857"/>
      <c r="S29857"/>
      <c r="T29857"/>
      <c r="U29857"/>
      <c r="X29857" s="60"/>
    </row>
    <row r="29858" spans="7:24" ht="15" customHeight="1">
      <c r="G29858"/>
      <c r="I29858"/>
      <c r="N29858"/>
      <c r="O29858" s="24"/>
      <c r="P29858"/>
      <c r="Q29858" s="24"/>
      <c r="R29858"/>
      <c r="S29858"/>
      <c r="T29858"/>
      <c r="U29858"/>
      <c r="X29858" s="60"/>
    </row>
    <row r="29859" spans="7:24" ht="15" customHeight="1">
      <c r="G29859"/>
      <c r="I29859"/>
      <c r="N29859"/>
      <c r="O29859" s="24"/>
      <c r="P29859"/>
      <c r="Q29859" s="24"/>
      <c r="R29859"/>
      <c r="S29859"/>
      <c r="T29859"/>
      <c r="U29859"/>
      <c r="X29859" s="60"/>
    </row>
    <row r="29860" spans="7:24" ht="15" customHeight="1">
      <c r="G29860"/>
      <c r="I29860"/>
      <c r="N29860"/>
      <c r="O29860" s="24"/>
      <c r="P29860"/>
      <c r="Q29860" s="24"/>
      <c r="R29860"/>
      <c r="S29860"/>
      <c r="T29860"/>
      <c r="U29860"/>
      <c r="X29860" s="60"/>
    </row>
    <row r="29861" spans="7:24" ht="15" customHeight="1">
      <c r="G29861"/>
      <c r="I29861"/>
      <c r="N29861"/>
      <c r="O29861" s="24"/>
      <c r="P29861"/>
      <c r="Q29861" s="24"/>
      <c r="R29861"/>
      <c r="S29861"/>
      <c r="T29861"/>
      <c r="U29861"/>
      <c r="X29861" s="60"/>
    </row>
    <row r="29862" spans="7:24" ht="15" customHeight="1">
      <c r="G29862"/>
      <c r="I29862"/>
      <c r="N29862"/>
      <c r="O29862" s="24"/>
      <c r="P29862"/>
      <c r="Q29862" s="24"/>
      <c r="R29862"/>
      <c r="S29862"/>
      <c r="T29862"/>
      <c r="U29862"/>
      <c r="X29862" s="60"/>
    </row>
    <row r="29863" spans="7:24" ht="15" customHeight="1">
      <c r="G29863"/>
      <c r="I29863"/>
      <c r="N29863"/>
      <c r="O29863" s="24"/>
      <c r="P29863"/>
      <c r="Q29863" s="24"/>
      <c r="R29863"/>
      <c r="S29863"/>
      <c r="T29863"/>
      <c r="U29863"/>
      <c r="X29863" s="60"/>
    </row>
    <row r="29864" spans="7:24" ht="15" customHeight="1">
      <c r="G29864"/>
      <c r="I29864"/>
      <c r="N29864"/>
      <c r="O29864" s="24"/>
      <c r="P29864"/>
      <c r="Q29864" s="24"/>
      <c r="R29864"/>
      <c r="S29864"/>
      <c r="T29864"/>
      <c r="U29864"/>
      <c r="X29864" s="60"/>
    </row>
    <row r="29865" spans="7:24" ht="15" customHeight="1">
      <c r="G29865"/>
      <c r="I29865"/>
      <c r="N29865"/>
      <c r="O29865" s="24"/>
      <c r="P29865"/>
      <c r="Q29865" s="24"/>
      <c r="R29865"/>
      <c r="S29865"/>
      <c r="T29865"/>
      <c r="U29865"/>
      <c r="X29865" s="60"/>
    </row>
    <row r="29866" spans="7:24" ht="15" customHeight="1">
      <c r="G29866"/>
      <c r="I29866"/>
      <c r="N29866"/>
      <c r="O29866" s="24"/>
      <c r="P29866"/>
      <c r="Q29866" s="24"/>
      <c r="R29866"/>
      <c r="S29866"/>
      <c r="T29866"/>
      <c r="U29866"/>
      <c r="X29866" s="60"/>
    </row>
    <row r="29867" spans="7:24" ht="15" customHeight="1">
      <c r="G29867"/>
      <c r="I29867"/>
      <c r="N29867"/>
      <c r="O29867" s="24"/>
      <c r="P29867"/>
      <c r="Q29867" s="24"/>
      <c r="R29867"/>
      <c r="S29867"/>
      <c r="T29867"/>
      <c r="U29867"/>
      <c r="X29867" s="60"/>
    </row>
    <row r="29868" spans="7:24" ht="15" customHeight="1">
      <c r="G29868"/>
      <c r="I29868"/>
      <c r="N29868"/>
      <c r="O29868" s="24"/>
      <c r="P29868"/>
      <c r="Q29868" s="24"/>
      <c r="R29868"/>
      <c r="S29868"/>
      <c r="T29868"/>
      <c r="U29868"/>
      <c r="X29868" s="60"/>
    </row>
    <row r="29869" spans="7:24" ht="15" customHeight="1">
      <c r="G29869"/>
      <c r="I29869"/>
      <c r="N29869"/>
      <c r="O29869" s="24"/>
      <c r="P29869"/>
      <c r="Q29869" s="24"/>
      <c r="R29869"/>
      <c r="S29869"/>
      <c r="T29869"/>
      <c r="U29869"/>
      <c r="X29869" s="60"/>
    </row>
    <row r="29870" spans="7:24" ht="15" customHeight="1">
      <c r="G29870"/>
      <c r="I29870"/>
      <c r="N29870"/>
      <c r="O29870" s="24"/>
      <c r="P29870"/>
      <c r="Q29870" s="24"/>
      <c r="R29870"/>
      <c r="S29870"/>
      <c r="T29870"/>
      <c r="U29870"/>
      <c r="X29870" s="60"/>
    </row>
    <row r="29871" spans="7:24" ht="15" customHeight="1">
      <c r="G29871"/>
      <c r="I29871"/>
      <c r="N29871"/>
      <c r="O29871" s="24"/>
      <c r="P29871"/>
      <c r="Q29871" s="24"/>
      <c r="R29871"/>
      <c r="S29871"/>
      <c r="T29871"/>
      <c r="U29871"/>
      <c r="X29871" s="60"/>
    </row>
    <row r="29872" spans="7:24" ht="15" customHeight="1">
      <c r="G29872"/>
      <c r="I29872"/>
      <c r="N29872"/>
      <c r="O29872" s="24"/>
      <c r="P29872"/>
      <c r="Q29872" s="24"/>
      <c r="R29872"/>
      <c r="S29872"/>
      <c r="T29872"/>
      <c r="U29872"/>
      <c r="X29872" s="60"/>
    </row>
    <row r="29873" spans="7:24" ht="15" customHeight="1">
      <c r="G29873"/>
      <c r="I29873"/>
      <c r="N29873"/>
      <c r="O29873" s="24"/>
      <c r="P29873"/>
      <c r="Q29873" s="24"/>
      <c r="R29873"/>
      <c r="S29873"/>
      <c r="T29873"/>
      <c r="U29873"/>
      <c r="X29873" s="60"/>
    </row>
    <row r="29874" spans="7:24" ht="15" customHeight="1">
      <c r="G29874"/>
      <c r="I29874"/>
      <c r="N29874"/>
      <c r="O29874" s="24"/>
      <c r="P29874"/>
      <c r="Q29874" s="24"/>
      <c r="R29874"/>
      <c r="S29874"/>
      <c r="T29874"/>
      <c r="U29874"/>
      <c r="X29874" s="60"/>
    </row>
    <row r="29875" spans="7:24" ht="15" customHeight="1">
      <c r="G29875"/>
      <c r="I29875"/>
      <c r="N29875"/>
      <c r="O29875" s="24"/>
      <c r="P29875"/>
      <c r="Q29875" s="24"/>
      <c r="R29875"/>
      <c r="S29875"/>
      <c r="T29875"/>
      <c r="U29875"/>
      <c r="X29875" s="60"/>
    </row>
    <row r="29876" spans="7:24" ht="15" customHeight="1">
      <c r="G29876"/>
      <c r="I29876"/>
      <c r="N29876"/>
      <c r="O29876" s="24"/>
      <c r="P29876"/>
      <c r="Q29876" s="24"/>
      <c r="R29876"/>
      <c r="S29876"/>
      <c r="T29876"/>
      <c r="U29876"/>
      <c r="X29876" s="60"/>
    </row>
    <row r="29877" spans="7:24" ht="15" customHeight="1">
      <c r="G29877"/>
      <c r="I29877"/>
      <c r="N29877"/>
      <c r="O29877" s="24"/>
      <c r="P29877"/>
      <c r="Q29877" s="24"/>
      <c r="R29877"/>
      <c r="S29877"/>
      <c r="T29877"/>
      <c r="U29877"/>
      <c r="X29877" s="60"/>
    </row>
    <row r="29878" spans="7:24" ht="15" customHeight="1">
      <c r="G29878"/>
      <c r="I29878"/>
      <c r="N29878"/>
      <c r="O29878" s="24"/>
      <c r="P29878"/>
      <c r="Q29878" s="24"/>
      <c r="R29878"/>
      <c r="S29878"/>
      <c r="T29878"/>
      <c r="U29878"/>
      <c r="X29878" s="60"/>
    </row>
    <row r="29879" spans="7:24" ht="15" customHeight="1">
      <c r="G29879"/>
      <c r="I29879"/>
      <c r="N29879"/>
      <c r="O29879" s="24"/>
      <c r="P29879"/>
      <c r="Q29879" s="24"/>
      <c r="R29879"/>
      <c r="S29879"/>
      <c r="T29879"/>
      <c r="U29879"/>
      <c r="X29879" s="60"/>
    </row>
    <row r="29880" spans="7:24" ht="15" customHeight="1">
      <c r="G29880"/>
      <c r="I29880"/>
      <c r="N29880"/>
      <c r="O29880" s="24"/>
      <c r="P29880"/>
      <c r="Q29880" s="24"/>
      <c r="R29880"/>
      <c r="S29880"/>
      <c r="T29880"/>
      <c r="U29880"/>
      <c r="X29880" s="60"/>
    </row>
    <row r="29881" spans="7:24" ht="15" customHeight="1">
      <c r="G29881"/>
      <c r="I29881"/>
      <c r="N29881"/>
      <c r="O29881" s="24"/>
      <c r="P29881"/>
      <c r="Q29881" s="24"/>
      <c r="R29881"/>
      <c r="S29881"/>
      <c r="T29881"/>
      <c r="U29881"/>
      <c r="X29881" s="60"/>
    </row>
    <row r="29882" spans="7:24" ht="15" customHeight="1">
      <c r="G29882"/>
      <c r="I29882"/>
      <c r="N29882"/>
      <c r="O29882" s="24"/>
      <c r="P29882"/>
      <c r="Q29882" s="24"/>
      <c r="R29882"/>
      <c r="S29882"/>
      <c r="T29882"/>
      <c r="U29882"/>
      <c r="X29882" s="60"/>
    </row>
    <row r="29883" spans="7:24" ht="15" customHeight="1">
      <c r="G29883"/>
      <c r="I29883"/>
      <c r="N29883"/>
      <c r="O29883" s="24"/>
      <c r="P29883"/>
      <c r="Q29883" s="24"/>
      <c r="R29883"/>
      <c r="S29883"/>
      <c r="T29883"/>
      <c r="U29883"/>
      <c r="X29883" s="60"/>
    </row>
    <row r="29884" spans="7:24" ht="15" customHeight="1">
      <c r="G29884"/>
      <c r="I29884"/>
      <c r="N29884"/>
      <c r="O29884" s="24"/>
      <c r="P29884"/>
      <c r="Q29884" s="24"/>
      <c r="R29884"/>
      <c r="S29884"/>
      <c r="T29884"/>
      <c r="U29884"/>
      <c r="X29884" s="60"/>
    </row>
    <row r="29885" spans="7:24" ht="15" customHeight="1">
      <c r="G29885"/>
      <c r="I29885"/>
      <c r="N29885"/>
      <c r="O29885" s="24"/>
      <c r="P29885"/>
      <c r="Q29885" s="24"/>
      <c r="R29885"/>
      <c r="S29885"/>
      <c r="T29885"/>
      <c r="U29885"/>
      <c r="X29885" s="60"/>
    </row>
    <row r="29886" spans="7:24" ht="15" customHeight="1">
      <c r="G29886"/>
      <c r="I29886"/>
      <c r="N29886"/>
      <c r="O29886" s="24"/>
      <c r="P29886"/>
      <c r="Q29886" s="24"/>
      <c r="R29886"/>
      <c r="S29886"/>
      <c r="T29886"/>
      <c r="U29886"/>
      <c r="X29886" s="60"/>
    </row>
    <row r="29887" spans="7:24" ht="15" customHeight="1">
      <c r="G29887"/>
      <c r="I29887"/>
      <c r="N29887"/>
      <c r="O29887" s="24"/>
      <c r="P29887"/>
      <c r="Q29887" s="24"/>
      <c r="R29887"/>
      <c r="S29887"/>
      <c r="T29887"/>
      <c r="U29887"/>
      <c r="X29887" s="60"/>
    </row>
    <row r="29888" spans="7:24" ht="15" customHeight="1">
      <c r="G29888"/>
      <c r="I29888"/>
      <c r="N29888"/>
      <c r="O29888" s="24"/>
      <c r="P29888"/>
      <c r="Q29888" s="24"/>
      <c r="R29888"/>
      <c r="S29888"/>
      <c r="T29888"/>
      <c r="U29888"/>
      <c r="X29888" s="60"/>
    </row>
    <row r="29889" spans="7:24" ht="15" customHeight="1">
      <c r="G29889"/>
      <c r="I29889"/>
      <c r="N29889"/>
      <c r="O29889" s="24"/>
      <c r="P29889"/>
      <c r="Q29889" s="24"/>
      <c r="R29889"/>
      <c r="S29889"/>
      <c r="T29889"/>
      <c r="U29889"/>
      <c r="X29889" s="60"/>
    </row>
    <row r="29890" spans="7:24" ht="15" customHeight="1">
      <c r="G29890"/>
      <c r="I29890"/>
      <c r="N29890"/>
      <c r="O29890" s="24"/>
      <c r="P29890"/>
      <c r="Q29890" s="24"/>
      <c r="R29890"/>
      <c r="S29890"/>
      <c r="T29890"/>
      <c r="U29890"/>
      <c r="X29890" s="60"/>
    </row>
    <row r="29891" spans="7:24" ht="15" customHeight="1">
      <c r="G29891"/>
      <c r="I29891"/>
      <c r="N29891"/>
      <c r="O29891" s="24"/>
      <c r="P29891"/>
      <c r="Q29891" s="24"/>
      <c r="R29891"/>
      <c r="S29891"/>
      <c r="T29891"/>
      <c r="U29891"/>
      <c r="X29891" s="60"/>
    </row>
    <row r="29892" spans="7:24" ht="15" customHeight="1">
      <c r="G29892"/>
      <c r="I29892"/>
      <c r="N29892"/>
      <c r="O29892" s="24"/>
      <c r="P29892"/>
      <c r="Q29892" s="24"/>
      <c r="R29892"/>
      <c r="S29892"/>
      <c r="T29892"/>
      <c r="U29892"/>
      <c r="X29892" s="60"/>
    </row>
    <row r="29893" spans="7:24" ht="15" customHeight="1">
      <c r="G29893"/>
      <c r="I29893"/>
      <c r="N29893"/>
      <c r="O29893" s="24"/>
      <c r="P29893"/>
      <c r="Q29893" s="24"/>
      <c r="R29893"/>
      <c r="S29893"/>
      <c r="T29893"/>
      <c r="U29893"/>
      <c r="X29893" s="60"/>
    </row>
    <row r="29894" spans="7:24" ht="15" customHeight="1">
      <c r="G29894"/>
      <c r="I29894"/>
      <c r="N29894"/>
      <c r="O29894" s="24"/>
      <c r="P29894"/>
      <c r="Q29894" s="24"/>
      <c r="R29894"/>
      <c r="S29894"/>
      <c r="T29894"/>
      <c r="U29894"/>
      <c r="X29894" s="60"/>
    </row>
    <row r="29895" spans="7:24" ht="15" customHeight="1">
      <c r="G29895"/>
      <c r="I29895"/>
      <c r="N29895"/>
      <c r="O29895" s="24"/>
      <c r="P29895"/>
      <c r="Q29895" s="24"/>
      <c r="R29895"/>
      <c r="S29895"/>
      <c r="T29895"/>
      <c r="U29895"/>
      <c r="X29895" s="60"/>
    </row>
    <row r="29896" spans="7:24" ht="15" customHeight="1">
      <c r="G29896"/>
      <c r="I29896"/>
      <c r="N29896"/>
      <c r="O29896" s="24"/>
      <c r="P29896"/>
      <c r="Q29896" s="24"/>
      <c r="R29896"/>
      <c r="S29896"/>
      <c r="T29896"/>
      <c r="U29896"/>
      <c r="X29896" s="60"/>
    </row>
    <row r="29897" spans="7:24" ht="15" customHeight="1">
      <c r="G29897"/>
      <c r="I29897"/>
      <c r="N29897"/>
      <c r="O29897" s="24"/>
      <c r="P29897"/>
      <c r="Q29897" s="24"/>
      <c r="R29897"/>
      <c r="S29897"/>
      <c r="T29897"/>
      <c r="U29897"/>
      <c r="X29897" s="60"/>
    </row>
    <row r="29898" spans="7:24" ht="15" customHeight="1">
      <c r="G29898"/>
      <c r="I29898"/>
      <c r="N29898"/>
      <c r="O29898" s="24"/>
      <c r="P29898"/>
      <c r="Q29898" s="24"/>
      <c r="R29898"/>
      <c r="S29898"/>
      <c r="T29898"/>
      <c r="U29898"/>
      <c r="X29898" s="60"/>
    </row>
    <row r="29899" spans="7:24" ht="15" customHeight="1">
      <c r="G29899"/>
      <c r="I29899"/>
      <c r="N29899"/>
      <c r="O29899" s="24"/>
      <c r="P29899"/>
      <c r="Q29899" s="24"/>
      <c r="R29899"/>
      <c r="S29899"/>
      <c r="T29899"/>
      <c r="U29899"/>
      <c r="X29899" s="60"/>
    </row>
    <row r="29900" spans="7:24" ht="15" customHeight="1">
      <c r="G29900"/>
      <c r="I29900"/>
      <c r="N29900"/>
      <c r="O29900" s="24"/>
      <c r="P29900"/>
      <c r="Q29900" s="24"/>
      <c r="R29900"/>
      <c r="S29900"/>
      <c r="T29900"/>
      <c r="U29900"/>
      <c r="X29900" s="60"/>
    </row>
    <row r="29901" spans="7:24" ht="15" customHeight="1">
      <c r="G29901"/>
      <c r="I29901"/>
      <c r="N29901"/>
      <c r="O29901" s="24"/>
      <c r="P29901"/>
      <c r="Q29901" s="24"/>
      <c r="R29901"/>
      <c r="S29901"/>
      <c r="T29901"/>
      <c r="U29901"/>
      <c r="X29901" s="60"/>
    </row>
    <row r="29902" spans="7:24" ht="15" customHeight="1">
      <c r="G29902"/>
      <c r="I29902"/>
      <c r="N29902"/>
      <c r="O29902" s="24"/>
      <c r="P29902"/>
      <c r="Q29902" s="24"/>
      <c r="R29902"/>
      <c r="S29902"/>
      <c r="T29902"/>
      <c r="U29902"/>
      <c r="X29902" s="60"/>
    </row>
    <row r="29903" spans="7:24" ht="15" customHeight="1">
      <c r="G29903"/>
      <c r="I29903"/>
      <c r="N29903"/>
      <c r="O29903" s="24"/>
      <c r="P29903"/>
      <c r="Q29903" s="24"/>
      <c r="R29903"/>
      <c r="S29903"/>
      <c r="T29903"/>
      <c r="U29903"/>
      <c r="X29903" s="60"/>
    </row>
    <row r="29904" spans="7:24" ht="15" customHeight="1">
      <c r="G29904"/>
      <c r="I29904"/>
      <c r="N29904"/>
      <c r="O29904" s="24"/>
      <c r="P29904"/>
      <c r="Q29904" s="24"/>
      <c r="R29904"/>
      <c r="S29904"/>
      <c r="T29904"/>
      <c r="U29904"/>
      <c r="X29904" s="60"/>
    </row>
    <row r="29905" spans="7:24" ht="15" customHeight="1">
      <c r="G29905"/>
      <c r="I29905"/>
      <c r="N29905"/>
      <c r="O29905" s="24"/>
      <c r="P29905"/>
      <c r="Q29905" s="24"/>
      <c r="R29905"/>
      <c r="S29905"/>
      <c r="T29905"/>
      <c r="U29905"/>
      <c r="X29905" s="60"/>
    </row>
    <row r="29906" spans="7:24" ht="15" customHeight="1">
      <c r="G29906"/>
      <c r="I29906"/>
      <c r="N29906"/>
      <c r="O29906" s="24"/>
      <c r="P29906"/>
      <c r="Q29906" s="24"/>
      <c r="R29906"/>
      <c r="S29906"/>
      <c r="T29906"/>
      <c r="U29906"/>
      <c r="X29906" s="60"/>
    </row>
    <row r="29907" spans="7:24" ht="15" customHeight="1">
      <c r="G29907"/>
      <c r="I29907"/>
      <c r="N29907"/>
      <c r="O29907" s="24"/>
      <c r="P29907"/>
      <c r="Q29907" s="24"/>
      <c r="R29907"/>
      <c r="S29907"/>
      <c r="T29907"/>
      <c r="U29907"/>
      <c r="X29907" s="60"/>
    </row>
    <row r="29908" spans="7:24" ht="15" customHeight="1">
      <c r="G29908"/>
      <c r="I29908"/>
      <c r="N29908"/>
      <c r="O29908" s="24"/>
      <c r="P29908"/>
      <c r="Q29908" s="24"/>
      <c r="R29908"/>
      <c r="S29908"/>
      <c r="T29908"/>
      <c r="U29908"/>
      <c r="X29908" s="60"/>
    </row>
    <row r="29909" spans="7:24" ht="15" customHeight="1">
      <c r="G29909"/>
      <c r="I29909"/>
      <c r="N29909"/>
      <c r="O29909" s="24"/>
      <c r="P29909"/>
      <c r="Q29909" s="24"/>
      <c r="R29909"/>
      <c r="S29909"/>
      <c r="T29909"/>
      <c r="U29909"/>
      <c r="X29909" s="60"/>
    </row>
    <row r="29910" spans="7:24" ht="15" customHeight="1">
      <c r="G29910"/>
      <c r="I29910"/>
      <c r="N29910"/>
      <c r="O29910" s="24"/>
      <c r="P29910"/>
      <c r="Q29910" s="24"/>
      <c r="R29910"/>
      <c r="S29910"/>
      <c r="T29910"/>
      <c r="U29910"/>
      <c r="X29910" s="60"/>
    </row>
    <row r="29911" spans="7:24" ht="15" customHeight="1">
      <c r="G29911"/>
      <c r="I29911"/>
      <c r="N29911"/>
      <c r="O29911" s="24"/>
      <c r="P29911"/>
      <c r="Q29911" s="24"/>
      <c r="R29911"/>
      <c r="S29911"/>
      <c r="T29911"/>
      <c r="U29911"/>
      <c r="X29911" s="60"/>
    </row>
    <row r="29912" spans="7:24" ht="15" customHeight="1">
      <c r="G29912"/>
      <c r="I29912"/>
      <c r="N29912"/>
      <c r="O29912" s="24"/>
      <c r="P29912"/>
      <c r="Q29912" s="24"/>
      <c r="R29912"/>
      <c r="S29912"/>
      <c r="T29912"/>
      <c r="U29912"/>
      <c r="X29912" s="60"/>
    </row>
    <row r="29913" spans="7:24" ht="15" customHeight="1">
      <c r="G29913"/>
      <c r="I29913"/>
      <c r="N29913"/>
      <c r="O29913" s="24"/>
      <c r="P29913"/>
      <c r="Q29913" s="24"/>
      <c r="R29913"/>
      <c r="S29913"/>
      <c r="T29913"/>
      <c r="U29913"/>
      <c r="X29913" s="60"/>
    </row>
    <row r="29914" spans="7:24" ht="15" customHeight="1">
      <c r="G29914"/>
      <c r="I29914"/>
      <c r="N29914"/>
      <c r="O29914" s="24"/>
      <c r="P29914"/>
      <c r="Q29914" s="24"/>
      <c r="R29914"/>
      <c r="S29914"/>
      <c r="T29914"/>
      <c r="U29914"/>
      <c r="X29914" s="60"/>
    </row>
    <row r="29915" spans="7:24" ht="15" customHeight="1">
      <c r="G29915"/>
      <c r="I29915"/>
      <c r="N29915"/>
      <c r="O29915" s="24"/>
      <c r="P29915"/>
      <c r="Q29915" s="24"/>
      <c r="R29915"/>
      <c r="S29915"/>
      <c r="T29915"/>
      <c r="U29915"/>
      <c r="X29915" s="60"/>
    </row>
    <row r="29916" spans="7:24" ht="15" customHeight="1">
      <c r="G29916"/>
      <c r="I29916"/>
      <c r="N29916"/>
      <c r="O29916" s="24"/>
      <c r="P29916"/>
      <c r="Q29916" s="24"/>
      <c r="R29916"/>
      <c r="S29916"/>
      <c r="T29916"/>
      <c r="U29916"/>
      <c r="X29916" s="60"/>
    </row>
    <row r="29917" spans="7:24" ht="15" customHeight="1">
      <c r="G29917"/>
      <c r="I29917"/>
      <c r="N29917"/>
      <c r="O29917" s="24"/>
      <c r="P29917"/>
      <c r="Q29917" s="24"/>
      <c r="R29917"/>
      <c r="S29917"/>
      <c r="T29917"/>
      <c r="U29917"/>
      <c r="X29917" s="60"/>
    </row>
    <row r="29918" spans="7:24" ht="15" customHeight="1">
      <c r="G29918"/>
      <c r="I29918"/>
      <c r="N29918"/>
      <c r="O29918" s="24"/>
      <c r="P29918"/>
      <c r="Q29918" s="24"/>
      <c r="R29918"/>
      <c r="S29918"/>
      <c r="T29918"/>
      <c r="U29918"/>
      <c r="X29918" s="60"/>
    </row>
    <row r="29919" spans="7:24" ht="15" customHeight="1">
      <c r="G29919"/>
      <c r="I29919"/>
      <c r="N29919"/>
      <c r="O29919" s="24"/>
      <c r="P29919"/>
      <c r="Q29919" s="24"/>
      <c r="R29919"/>
      <c r="S29919"/>
      <c r="T29919"/>
      <c r="U29919"/>
      <c r="X29919" s="60"/>
    </row>
    <row r="29920" spans="7:24" ht="15" customHeight="1">
      <c r="G29920"/>
      <c r="I29920"/>
      <c r="N29920"/>
      <c r="O29920" s="24"/>
      <c r="P29920"/>
      <c r="Q29920" s="24"/>
      <c r="R29920"/>
      <c r="S29920"/>
      <c r="T29920"/>
      <c r="U29920"/>
      <c r="X29920" s="60"/>
    </row>
    <row r="29921" spans="7:24" ht="15" customHeight="1">
      <c r="G29921"/>
      <c r="I29921"/>
      <c r="N29921"/>
      <c r="O29921" s="24"/>
      <c r="P29921"/>
      <c r="Q29921" s="24"/>
      <c r="R29921"/>
      <c r="S29921"/>
      <c r="T29921"/>
      <c r="U29921"/>
      <c r="X29921" s="60"/>
    </row>
    <row r="29922" spans="7:24" ht="15" customHeight="1">
      <c r="G29922"/>
      <c r="I29922"/>
      <c r="N29922"/>
      <c r="O29922" s="24"/>
      <c r="P29922"/>
      <c r="Q29922" s="24"/>
      <c r="R29922"/>
      <c r="S29922"/>
      <c r="T29922"/>
      <c r="U29922"/>
      <c r="X29922" s="60"/>
    </row>
    <row r="29923" spans="7:24" ht="15" customHeight="1">
      <c r="G29923"/>
      <c r="I29923"/>
      <c r="N29923"/>
      <c r="O29923" s="24"/>
      <c r="P29923"/>
      <c r="Q29923" s="24"/>
      <c r="R29923"/>
      <c r="S29923"/>
      <c r="T29923"/>
      <c r="U29923"/>
      <c r="X29923" s="60"/>
    </row>
    <row r="29924" spans="7:24" ht="15" customHeight="1">
      <c r="G29924"/>
      <c r="I29924"/>
      <c r="N29924"/>
      <c r="O29924" s="24"/>
      <c r="P29924"/>
      <c r="Q29924" s="24"/>
      <c r="R29924"/>
      <c r="S29924"/>
      <c r="T29924"/>
      <c r="U29924"/>
      <c r="X29924" s="60"/>
    </row>
    <row r="29925" spans="7:24" ht="15" customHeight="1">
      <c r="G29925"/>
      <c r="I29925"/>
      <c r="N29925"/>
      <c r="O29925" s="24"/>
      <c r="P29925"/>
      <c r="Q29925" s="24"/>
      <c r="R29925"/>
      <c r="S29925"/>
      <c r="T29925"/>
      <c r="U29925"/>
      <c r="X29925" s="60"/>
    </row>
    <row r="29926" spans="7:24" ht="15" customHeight="1">
      <c r="G29926"/>
      <c r="I29926"/>
      <c r="N29926"/>
      <c r="O29926" s="24"/>
      <c r="P29926"/>
      <c r="Q29926" s="24"/>
      <c r="R29926"/>
      <c r="S29926"/>
      <c r="T29926"/>
      <c r="U29926"/>
      <c r="X29926" s="60"/>
    </row>
    <row r="29927" spans="7:24" ht="15" customHeight="1">
      <c r="G29927"/>
      <c r="I29927"/>
      <c r="N29927"/>
      <c r="O29927" s="24"/>
      <c r="P29927"/>
      <c r="Q29927" s="24"/>
      <c r="R29927"/>
      <c r="S29927"/>
      <c r="T29927"/>
      <c r="U29927"/>
      <c r="X29927" s="60"/>
    </row>
    <row r="29928" spans="7:24" ht="15" customHeight="1">
      <c r="G29928"/>
      <c r="I29928"/>
      <c r="N29928"/>
      <c r="O29928" s="24"/>
      <c r="P29928"/>
      <c r="Q29928" s="24"/>
      <c r="R29928"/>
      <c r="S29928"/>
      <c r="T29928"/>
      <c r="U29928"/>
      <c r="X29928" s="60"/>
    </row>
    <row r="29929" spans="7:24" ht="15" customHeight="1">
      <c r="G29929"/>
      <c r="I29929"/>
      <c r="N29929"/>
      <c r="O29929" s="24"/>
      <c r="P29929"/>
      <c r="Q29929" s="24"/>
      <c r="R29929"/>
      <c r="S29929"/>
      <c r="T29929"/>
      <c r="U29929"/>
      <c r="X29929" s="60"/>
    </row>
    <row r="29930" spans="7:24" ht="15" customHeight="1">
      <c r="G29930"/>
      <c r="I29930"/>
      <c r="N29930"/>
      <c r="O29930" s="24"/>
      <c r="P29930"/>
      <c r="Q29930" s="24"/>
      <c r="R29930"/>
      <c r="S29930"/>
      <c r="T29930"/>
      <c r="U29930"/>
      <c r="X29930" s="60"/>
    </row>
    <row r="29931" spans="7:24" ht="15" customHeight="1">
      <c r="G29931"/>
      <c r="I29931"/>
      <c r="N29931"/>
      <c r="O29931" s="24"/>
      <c r="P29931"/>
      <c r="Q29931" s="24"/>
      <c r="R29931"/>
      <c r="S29931"/>
      <c r="T29931"/>
      <c r="U29931"/>
      <c r="X29931" s="60"/>
    </row>
    <row r="29932" spans="7:24" ht="15" customHeight="1">
      <c r="G29932"/>
      <c r="I29932"/>
      <c r="N29932"/>
      <c r="O29932" s="24"/>
      <c r="P29932"/>
      <c r="Q29932" s="24"/>
      <c r="R29932"/>
      <c r="S29932"/>
      <c r="T29932"/>
      <c r="U29932"/>
      <c r="X29932" s="60"/>
    </row>
    <row r="29933" spans="7:24" ht="15" customHeight="1">
      <c r="G29933"/>
      <c r="I29933"/>
      <c r="N29933"/>
      <c r="O29933" s="24"/>
      <c r="P29933"/>
      <c r="Q29933" s="24"/>
      <c r="R29933"/>
      <c r="S29933"/>
      <c r="T29933"/>
      <c r="U29933"/>
      <c r="X29933" s="60"/>
    </row>
    <row r="29934" spans="7:24" ht="15" customHeight="1">
      <c r="G29934"/>
      <c r="I29934"/>
      <c r="N29934"/>
      <c r="O29934" s="24"/>
      <c r="P29934"/>
      <c r="Q29934" s="24"/>
      <c r="R29934"/>
      <c r="S29934"/>
      <c r="T29934"/>
      <c r="U29934"/>
      <c r="X29934" s="60"/>
    </row>
    <row r="29935" spans="7:24" ht="15" customHeight="1">
      <c r="G29935"/>
      <c r="I29935"/>
      <c r="N29935"/>
      <c r="O29935" s="24"/>
      <c r="P29935"/>
      <c r="Q29935" s="24"/>
      <c r="R29935"/>
      <c r="S29935"/>
      <c r="T29935"/>
      <c r="U29935"/>
      <c r="X29935" s="60"/>
    </row>
    <row r="29936" spans="7:24" ht="15" customHeight="1">
      <c r="G29936"/>
      <c r="I29936"/>
      <c r="N29936"/>
      <c r="O29936" s="24"/>
      <c r="P29936"/>
      <c r="Q29936" s="24"/>
      <c r="R29936"/>
      <c r="S29936"/>
      <c r="T29936"/>
      <c r="U29936"/>
      <c r="X29936" s="60"/>
    </row>
    <row r="29937" spans="7:24" ht="15" customHeight="1">
      <c r="G29937"/>
      <c r="I29937"/>
      <c r="N29937"/>
      <c r="O29937" s="24"/>
      <c r="P29937"/>
      <c r="Q29937" s="24"/>
      <c r="R29937"/>
      <c r="S29937"/>
      <c r="T29937"/>
      <c r="U29937"/>
      <c r="X29937" s="60"/>
    </row>
    <row r="29938" spans="7:24" ht="15" customHeight="1">
      <c r="G29938"/>
      <c r="I29938"/>
      <c r="N29938"/>
      <c r="O29938" s="24"/>
      <c r="P29938"/>
      <c r="Q29938" s="24"/>
      <c r="R29938"/>
      <c r="S29938"/>
      <c r="T29938"/>
      <c r="U29938"/>
      <c r="X29938" s="60"/>
    </row>
    <row r="29939" spans="7:24" ht="15" customHeight="1">
      <c r="G29939"/>
      <c r="I29939"/>
      <c r="N29939"/>
      <c r="O29939" s="24"/>
      <c r="P29939"/>
      <c r="Q29939" s="24"/>
      <c r="R29939"/>
      <c r="S29939"/>
      <c r="T29939"/>
      <c r="U29939"/>
      <c r="X29939" s="60"/>
    </row>
    <row r="29940" spans="7:24" ht="15" customHeight="1">
      <c r="G29940"/>
      <c r="I29940"/>
      <c r="N29940"/>
      <c r="O29940" s="24"/>
      <c r="P29940"/>
      <c r="Q29940" s="24"/>
      <c r="R29940"/>
      <c r="S29940"/>
      <c r="T29940"/>
      <c r="U29940"/>
      <c r="X29940" s="60"/>
    </row>
    <row r="29941" spans="7:24" ht="15" customHeight="1">
      <c r="G29941"/>
      <c r="I29941"/>
      <c r="N29941"/>
      <c r="O29941" s="24"/>
      <c r="P29941"/>
      <c r="Q29941" s="24"/>
      <c r="R29941"/>
      <c r="S29941"/>
      <c r="T29941"/>
      <c r="U29941"/>
      <c r="X29941" s="60"/>
    </row>
    <row r="29942" spans="7:24" ht="15" customHeight="1">
      <c r="G29942"/>
      <c r="I29942"/>
      <c r="N29942"/>
      <c r="O29942" s="24"/>
      <c r="P29942"/>
      <c r="Q29942" s="24"/>
      <c r="R29942"/>
      <c r="S29942"/>
      <c r="T29942"/>
      <c r="U29942"/>
      <c r="X29942" s="60"/>
    </row>
    <row r="29943" spans="7:24" ht="15" customHeight="1">
      <c r="G29943"/>
      <c r="I29943"/>
      <c r="N29943"/>
      <c r="O29943" s="24"/>
      <c r="P29943"/>
      <c r="Q29943" s="24"/>
      <c r="R29943"/>
      <c r="S29943"/>
      <c r="T29943"/>
      <c r="U29943"/>
      <c r="X29943" s="60"/>
    </row>
    <row r="29944" spans="7:24" ht="15" customHeight="1">
      <c r="G29944"/>
      <c r="I29944"/>
      <c r="N29944"/>
      <c r="O29944" s="24"/>
      <c r="P29944"/>
      <c r="Q29944" s="24"/>
      <c r="R29944"/>
      <c r="S29944"/>
      <c r="T29944"/>
      <c r="U29944"/>
      <c r="X29944" s="60"/>
    </row>
    <row r="29945" spans="7:24" ht="15" customHeight="1">
      <c r="G29945"/>
      <c r="I29945"/>
      <c r="N29945"/>
      <c r="O29945" s="24"/>
      <c r="P29945"/>
      <c r="Q29945" s="24"/>
      <c r="R29945"/>
      <c r="S29945"/>
      <c r="T29945"/>
      <c r="U29945"/>
      <c r="X29945" s="60"/>
    </row>
    <row r="29946" spans="7:24" ht="15" customHeight="1">
      <c r="G29946"/>
      <c r="I29946"/>
      <c r="N29946"/>
      <c r="O29946" s="24"/>
      <c r="P29946"/>
      <c r="Q29946" s="24"/>
      <c r="R29946"/>
      <c r="S29946"/>
      <c r="T29946"/>
      <c r="U29946"/>
      <c r="X29946" s="60"/>
    </row>
    <row r="29947" spans="7:24" ht="15" customHeight="1">
      <c r="G29947"/>
      <c r="I29947"/>
      <c r="N29947"/>
      <c r="O29947" s="24"/>
      <c r="P29947"/>
      <c r="Q29947" s="24"/>
      <c r="R29947"/>
      <c r="S29947"/>
      <c r="T29947"/>
      <c r="U29947"/>
      <c r="X29947" s="60"/>
    </row>
    <row r="29948" spans="7:24" ht="15" customHeight="1">
      <c r="G29948"/>
      <c r="I29948"/>
      <c r="N29948"/>
      <c r="O29948" s="24"/>
      <c r="P29948"/>
      <c r="Q29948" s="24"/>
      <c r="R29948"/>
      <c r="S29948"/>
      <c r="T29948"/>
      <c r="U29948"/>
      <c r="X29948" s="60"/>
    </row>
    <row r="29949" spans="7:24" ht="15" customHeight="1">
      <c r="G29949"/>
      <c r="I29949"/>
      <c r="N29949"/>
      <c r="O29949" s="24"/>
      <c r="P29949"/>
      <c r="Q29949" s="24"/>
      <c r="R29949"/>
      <c r="S29949"/>
      <c r="T29949"/>
      <c r="U29949"/>
      <c r="X29949" s="60"/>
    </row>
    <row r="29950" spans="7:24" ht="15" customHeight="1">
      <c r="G29950"/>
      <c r="I29950"/>
      <c r="N29950"/>
      <c r="O29950" s="24"/>
      <c r="P29950"/>
      <c r="Q29950" s="24"/>
      <c r="R29950"/>
      <c r="S29950"/>
      <c r="T29950"/>
      <c r="U29950"/>
      <c r="X29950" s="60"/>
    </row>
    <row r="29951" spans="7:24" ht="15" customHeight="1">
      <c r="G29951"/>
      <c r="I29951"/>
      <c r="N29951"/>
      <c r="O29951" s="24"/>
      <c r="P29951"/>
      <c r="Q29951" s="24"/>
      <c r="R29951"/>
      <c r="S29951"/>
      <c r="T29951"/>
      <c r="U29951"/>
      <c r="X29951" s="60"/>
    </row>
    <row r="29952" spans="7:24" ht="15" customHeight="1">
      <c r="G29952"/>
      <c r="I29952"/>
      <c r="N29952"/>
      <c r="O29952" s="24"/>
      <c r="P29952"/>
      <c r="Q29952" s="24"/>
      <c r="R29952"/>
      <c r="S29952"/>
      <c r="T29952"/>
      <c r="U29952"/>
      <c r="X29952" s="60"/>
    </row>
    <row r="29953" spans="7:24" ht="15" customHeight="1">
      <c r="G29953"/>
      <c r="I29953"/>
      <c r="N29953"/>
      <c r="O29953" s="24"/>
      <c r="P29953"/>
      <c r="Q29953" s="24"/>
      <c r="R29953"/>
      <c r="S29953"/>
      <c r="T29953"/>
      <c r="U29953"/>
      <c r="X29953" s="60"/>
    </row>
    <row r="29954" spans="7:24" ht="15" customHeight="1">
      <c r="G29954"/>
      <c r="I29954"/>
      <c r="N29954"/>
      <c r="O29954" s="24"/>
      <c r="P29954"/>
      <c r="Q29954" s="24"/>
      <c r="R29954"/>
      <c r="S29954"/>
      <c r="T29954"/>
      <c r="U29954"/>
      <c r="X29954" s="60"/>
    </row>
    <row r="29955" spans="7:24" ht="15" customHeight="1">
      <c r="G29955"/>
      <c r="I29955"/>
      <c r="N29955"/>
      <c r="O29955" s="24"/>
      <c r="P29955"/>
      <c r="Q29955" s="24"/>
      <c r="R29955"/>
      <c r="S29955"/>
      <c r="T29955"/>
      <c r="U29955"/>
      <c r="X29955" s="60"/>
    </row>
    <row r="29956" spans="7:24" ht="15" customHeight="1">
      <c r="G29956"/>
      <c r="I29956"/>
      <c r="N29956"/>
      <c r="O29956" s="24"/>
      <c r="P29956"/>
      <c r="Q29956" s="24"/>
      <c r="R29956"/>
      <c r="S29956"/>
      <c r="T29956"/>
      <c r="U29956"/>
      <c r="X29956" s="60"/>
    </row>
    <row r="29957" spans="7:24" ht="15" customHeight="1">
      <c r="G29957"/>
      <c r="I29957"/>
      <c r="N29957"/>
      <c r="O29957" s="24"/>
      <c r="P29957"/>
      <c r="Q29957" s="24"/>
      <c r="R29957"/>
      <c r="S29957"/>
      <c r="T29957"/>
      <c r="U29957"/>
      <c r="X29957" s="60"/>
    </row>
    <row r="29958" spans="7:24" ht="15" customHeight="1">
      <c r="G29958"/>
      <c r="I29958"/>
      <c r="N29958"/>
      <c r="O29958" s="24"/>
      <c r="P29958"/>
      <c r="Q29958" s="24"/>
      <c r="R29958"/>
      <c r="S29958"/>
      <c r="T29958"/>
      <c r="U29958"/>
      <c r="X29958" s="60"/>
    </row>
    <row r="29959" spans="7:24" ht="15" customHeight="1">
      <c r="G29959"/>
      <c r="I29959"/>
      <c r="N29959"/>
      <c r="O29959" s="24"/>
      <c r="P29959"/>
      <c r="Q29959" s="24"/>
      <c r="R29959"/>
      <c r="S29959"/>
      <c r="T29959"/>
      <c r="U29959"/>
      <c r="X29959" s="60"/>
    </row>
    <row r="29960" spans="7:24" ht="15" customHeight="1">
      <c r="G29960"/>
      <c r="I29960"/>
      <c r="N29960"/>
      <c r="O29960" s="24"/>
      <c r="P29960"/>
      <c r="Q29960" s="24"/>
      <c r="R29960"/>
      <c r="S29960"/>
      <c r="T29960"/>
      <c r="U29960"/>
      <c r="X29960" s="60"/>
    </row>
    <row r="29961" spans="7:24" ht="15" customHeight="1">
      <c r="G29961"/>
      <c r="I29961"/>
      <c r="N29961"/>
      <c r="O29961" s="24"/>
      <c r="P29961"/>
      <c r="Q29961" s="24"/>
      <c r="R29961"/>
      <c r="S29961"/>
      <c r="T29961"/>
      <c r="U29961"/>
      <c r="X29961" s="60"/>
    </row>
    <row r="29962" spans="7:24" ht="15" customHeight="1">
      <c r="G29962"/>
      <c r="I29962"/>
      <c r="N29962"/>
      <c r="O29962" s="24"/>
      <c r="P29962"/>
      <c r="Q29962" s="24"/>
      <c r="R29962"/>
      <c r="S29962"/>
      <c r="T29962"/>
      <c r="U29962"/>
      <c r="X29962" s="60"/>
    </row>
    <row r="29963" spans="7:24" ht="15" customHeight="1">
      <c r="G29963"/>
      <c r="I29963"/>
      <c r="N29963"/>
      <c r="O29963" s="24"/>
      <c r="P29963"/>
      <c r="Q29963" s="24"/>
      <c r="R29963"/>
      <c r="S29963"/>
      <c r="T29963"/>
      <c r="U29963"/>
      <c r="X29963" s="60"/>
    </row>
    <row r="29964" spans="7:24" ht="15" customHeight="1">
      <c r="G29964"/>
      <c r="I29964"/>
      <c r="N29964"/>
      <c r="O29964" s="24"/>
      <c r="P29964"/>
      <c r="Q29964" s="24"/>
      <c r="R29964"/>
      <c r="S29964"/>
      <c r="T29964"/>
      <c r="U29964"/>
      <c r="X29964" s="60"/>
    </row>
    <row r="29965" spans="7:24" ht="15" customHeight="1">
      <c r="G29965"/>
      <c r="I29965"/>
      <c r="N29965"/>
      <c r="O29965" s="24"/>
      <c r="P29965"/>
      <c r="Q29965" s="24"/>
      <c r="R29965"/>
      <c r="S29965"/>
      <c r="T29965"/>
      <c r="U29965"/>
      <c r="X29965" s="60"/>
    </row>
    <row r="29966" spans="7:24" ht="15" customHeight="1">
      <c r="G29966"/>
      <c r="I29966"/>
      <c r="N29966"/>
      <c r="O29966" s="24"/>
      <c r="P29966"/>
      <c r="Q29966" s="24"/>
      <c r="R29966"/>
      <c r="S29966"/>
      <c r="T29966"/>
      <c r="U29966"/>
      <c r="X29966" s="60"/>
    </row>
    <row r="29967" spans="7:24" ht="15" customHeight="1">
      <c r="G29967"/>
      <c r="I29967"/>
      <c r="N29967"/>
      <c r="O29967" s="24"/>
      <c r="P29967"/>
      <c r="Q29967" s="24"/>
      <c r="R29967"/>
      <c r="S29967"/>
      <c r="T29967"/>
      <c r="U29967"/>
      <c r="X29967" s="60"/>
    </row>
    <row r="29968" spans="7:24" ht="15" customHeight="1">
      <c r="G29968"/>
      <c r="I29968"/>
      <c r="N29968"/>
      <c r="O29968" s="24"/>
      <c r="P29968"/>
      <c r="Q29968" s="24"/>
      <c r="R29968"/>
      <c r="S29968"/>
      <c r="T29968"/>
      <c r="U29968"/>
      <c r="X29968" s="60"/>
    </row>
    <row r="29969" spans="7:24" ht="15" customHeight="1">
      <c r="G29969"/>
      <c r="I29969"/>
      <c r="N29969"/>
      <c r="O29969" s="24"/>
      <c r="P29969"/>
      <c r="Q29969" s="24"/>
      <c r="R29969"/>
      <c r="S29969"/>
      <c r="T29969"/>
      <c r="U29969"/>
      <c r="X29969" s="60"/>
    </row>
    <row r="29970" spans="7:24" ht="15" customHeight="1">
      <c r="G29970"/>
      <c r="I29970"/>
      <c r="N29970"/>
      <c r="O29970" s="24"/>
      <c r="P29970"/>
      <c r="Q29970" s="24"/>
      <c r="R29970"/>
      <c r="S29970"/>
      <c r="T29970"/>
      <c r="U29970"/>
      <c r="X29970" s="60"/>
    </row>
    <row r="29971" spans="7:24" ht="15" customHeight="1">
      <c r="G29971"/>
      <c r="I29971"/>
      <c r="N29971"/>
      <c r="O29971" s="24"/>
      <c r="P29971"/>
      <c r="Q29971" s="24"/>
      <c r="R29971"/>
      <c r="S29971"/>
      <c r="T29971"/>
      <c r="U29971"/>
      <c r="X29971" s="60"/>
    </row>
    <row r="29972" spans="7:24" ht="15" customHeight="1">
      <c r="G29972"/>
      <c r="I29972"/>
      <c r="N29972"/>
      <c r="O29972" s="24"/>
      <c r="P29972"/>
      <c r="Q29972" s="24"/>
      <c r="R29972"/>
      <c r="S29972"/>
      <c r="T29972"/>
      <c r="U29972"/>
      <c r="X29972" s="60"/>
    </row>
    <row r="29973" spans="7:24" ht="15" customHeight="1">
      <c r="G29973"/>
      <c r="I29973"/>
      <c r="N29973"/>
      <c r="O29973" s="24"/>
      <c r="P29973"/>
      <c r="Q29973" s="24"/>
      <c r="R29973"/>
      <c r="S29973"/>
      <c r="T29973"/>
      <c r="U29973"/>
      <c r="X29973" s="60"/>
    </row>
    <row r="29974" spans="7:24" ht="15" customHeight="1">
      <c r="G29974"/>
      <c r="I29974"/>
      <c r="N29974"/>
      <c r="O29974" s="24"/>
      <c r="P29974"/>
      <c r="Q29974" s="24"/>
      <c r="R29974"/>
      <c r="S29974"/>
      <c r="T29974"/>
      <c r="U29974"/>
      <c r="X29974" s="60"/>
    </row>
    <row r="29975" spans="7:24" ht="15" customHeight="1">
      <c r="G29975"/>
      <c r="I29975"/>
      <c r="N29975"/>
      <c r="O29975" s="24"/>
      <c r="P29975"/>
      <c r="Q29975" s="24"/>
      <c r="R29975"/>
      <c r="S29975"/>
      <c r="T29975"/>
      <c r="U29975"/>
      <c r="X29975" s="60"/>
    </row>
    <row r="29976" spans="7:24" ht="15" customHeight="1">
      <c r="G29976"/>
      <c r="I29976"/>
      <c r="N29976"/>
      <c r="O29976" s="24"/>
      <c r="P29976"/>
      <c r="Q29976" s="24"/>
      <c r="R29976"/>
      <c r="S29976"/>
      <c r="T29976"/>
      <c r="U29976"/>
      <c r="X29976" s="60"/>
    </row>
    <row r="29977" spans="7:24" ht="15" customHeight="1">
      <c r="G29977"/>
      <c r="I29977"/>
      <c r="N29977"/>
      <c r="O29977" s="24"/>
      <c r="P29977"/>
      <c r="Q29977" s="24"/>
      <c r="R29977"/>
      <c r="S29977"/>
      <c r="T29977"/>
      <c r="U29977"/>
      <c r="X29977" s="60"/>
    </row>
    <row r="29978" spans="7:24" ht="15" customHeight="1">
      <c r="G29978"/>
      <c r="I29978"/>
      <c r="N29978"/>
      <c r="O29978" s="24"/>
      <c r="P29978"/>
      <c r="Q29978" s="24"/>
      <c r="R29978"/>
      <c r="S29978"/>
      <c r="T29978"/>
      <c r="U29978"/>
      <c r="X29978" s="60"/>
    </row>
    <row r="29979" spans="7:24" ht="15" customHeight="1">
      <c r="G29979"/>
      <c r="I29979"/>
      <c r="N29979"/>
      <c r="O29979" s="24"/>
      <c r="P29979"/>
      <c r="Q29979" s="24"/>
      <c r="R29979"/>
      <c r="S29979"/>
      <c r="T29979"/>
      <c r="U29979"/>
      <c r="X29979" s="60"/>
    </row>
    <row r="29980" spans="7:24" ht="15" customHeight="1">
      <c r="G29980"/>
      <c r="I29980"/>
      <c r="N29980"/>
      <c r="O29980" s="24"/>
      <c r="P29980"/>
      <c r="Q29980" s="24"/>
      <c r="R29980"/>
      <c r="S29980"/>
      <c r="T29980"/>
      <c r="U29980"/>
      <c r="X29980" s="60"/>
    </row>
    <row r="29981" spans="7:24" ht="15" customHeight="1">
      <c r="G29981"/>
      <c r="I29981"/>
      <c r="N29981"/>
      <c r="O29981" s="24"/>
      <c r="P29981"/>
      <c r="Q29981" s="24"/>
      <c r="R29981"/>
      <c r="S29981"/>
      <c r="T29981"/>
      <c r="U29981"/>
      <c r="X29981" s="60"/>
    </row>
    <row r="29982" spans="7:24" ht="15" customHeight="1">
      <c r="G29982"/>
      <c r="I29982"/>
      <c r="N29982"/>
      <c r="O29982" s="24"/>
      <c r="P29982"/>
      <c r="Q29982" s="24"/>
      <c r="R29982"/>
      <c r="S29982"/>
      <c r="T29982"/>
      <c r="U29982"/>
      <c r="X29982" s="60"/>
    </row>
    <row r="29983" spans="7:24" ht="15" customHeight="1">
      <c r="G29983"/>
      <c r="I29983"/>
      <c r="N29983"/>
      <c r="O29983" s="24"/>
      <c r="P29983"/>
      <c r="Q29983" s="24"/>
      <c r="R29983"/>
      <c r="S29983"/>
      <c r="T29983"/>
      <c r="U29983"/>
      <c r="X29983" s="60"/>
    </row>
    <row r="29984" spans="7:24" ht="15" customHeight="1">
      <c r="G29984"/>
      <c r="I29984"/>
      <c r="N29984"/>
      <c r="O29984" s="24"/>
      <c r="P29984"/>
      <c r="Q29984" s="24"/>
      <c r="R29984"/>
      <c r="S29984"/>
      <c r="T29984"/>
      <c r="U29984"/>
      <c r="X29984" s="60"/>
    </row>
    <row r="29985" spans="7:24" ht="15" customHeight="1">
      <c r="G29985"/>
      <c r="I29985"/>
      <c r="N29985"/>
      <c r="O29985" s="24"/>
      <c r="P29985"/>
      <c r="Q29985" s="24"/>
      <c r="R29985"/>
      <c r="S29985"/>
      <c r="T29985"/>
      <c r="U29985"/>
      <c r="X29985" s="60"/>
    </row>
    <row r="29986" spans="7:24" ht="15" customHeight="1">
      <c r="G29986"/>
      <c r="I29986"/>
      <c r="N29986"/>
      <c r="O29986" s="24"/>
      <c r="P29986"/>
      <c r="Q29986" s="24"/>
      <c r="R29986"/>
      <c r="S29986"/>
      <c r="T29986"/>
      <c r="U29986"/>
      <c r="X29986" s="60"/>
    </row>
    <row r="29987" spans="7:24" ht="15" customHeight="1">
      <c r="G29987"/>
      <c r="I29987"/>
      <c r="N29987"/>
      <c r="O29987" s="24"/>
      <c r="P29987"/>
      <c r="Q29987" s="24"/>
      <c r="R29987"/>
      <c r="S29987"/>
      <c r="T29987"/>
      <c r="U29987"/>
      <c r="X29987" s="60"/>
    </row>
    <row r="29988" spans="7:24" ht="15" customHeight="1">
      <c r="G29988"/>
      <c r="I29988"/>
      <c r="N29988"/>
      <c r="O29988" s="24"/>
      <c r="P29988"/>
      <c r="Q29988" s="24"/>
      <c r="R29988"/>
      <c r="S29988"/>
      <c r="T29988"/>
      <c r="U29988"/>
      <c r="X29988" s="60"/>
    </row>
    <row r="29989" spans="7:24" ht="15" customHeight="1">
      <c r="G29989"/>
      <c r="I29989"/>
      <c r="N29989"/>
      <c r="O29989" s="24"/>
      <c r="P29989"/>
      <c r="Q29989" s="24"/>
      <c r="R29989"/>
      <c r="S29989"/>
      <c r="T29989"/>
      <c r="U29989"/>
      <c r="X29989" s="60"/>
    </row>
    <row r="29990" spans="7:24" ht="15" customHeight="1">
      <c r="G29990"/>
      <c r="I29990"/>
      <c r="N29990"/>
      <c r="O29990" s="24"/>
      <c r="P29990"/>
      <c r="Q29990" s="24"/>
      <c r="R29990"/>
      <c r="S29990"/>
      <c r="T29990"/>
      <c r="U29990"/>
      <c r="X29990" s="60"/>
    </row>
    <row r="29991" spans="7:24" ht="15" customHeight="1">
      <c r="G29991"/>
      <c r="I29991"/>
      <c r="N29991"/>
      <c r="O29991" s="24"/>
      <c r="P29991"/>
      <c r="Q29991" s="24"/>
      <c r="R29991"/>
      <c r="S29991"/>
      <c r="T29991"/>
      <c r="U29991"/>
      <c r="X29991" s="60"/>
    </row>
    <row r="29992" spans="7:24" ht="15" customHeight="1">
      <c r="G29992"/>
      <c r="I29992"/>
      <c r="N29992"/>
      <c r="O29992" s="24"/>
      <c r="P29992"/>
      <c r="Q29992" s="24"/>
      <c r="R29992"/>
      <c r="S29992"/>
      <c r="T29992"/>
      <c r="U29992"/>
      <c r="X29992" s="60"/>
    </row>
    <row r="29993" spans="7:24" ht="15" customHeight="1">
      <c r="G29993"/>
      <c r="I29993"/>
      <c r="N29993"/>
      <c r="O29993" s="24"/>
      <c r="P29993"/>
      <c r="Q29993" s="24"/>
      <c r="R29993"/>
      <c r="S29993"/>
      <c r="T29993"/>
      <c r="U29993"/>
      <c r="X29993" s="60"/>
    </row>
    <row r="29994" spans="7:24" ht="15" customHeight="1">
      <c r="G29994"/>
      <c r="I29994"/>
      <c r="N29994"/>
      <c r="O29994" s="24"/>
      <c r="P29994"/>
      <c r="Q29994" s="24"/>
      <c r="R29994"/>
      <c r="S29994"/>
      <c r="T29994"/>
      <c r="U29994"/>
      <c r="X29994" s="60"/>
    </row>
    <row r="29995" spans="7:24" ht="15" customHeight="1">
      <c r="G29995"/>
      <c r="I29995"/>
      <c r="N29995"/>
      <c r="O29995" s="24"/>
      <c r="P29995"/>
      <c r="Q29995" s="24"/>
      <c r="R29995"/>
      <c r="S29995"/>
      <c r="T29995"/>
      <c r="U29995"/>
      <c r="X29995" s="60"/>
    </row>
    <row r="29996" spans="7:24" ht="15" customHeight="1">
      <c r="G29996"/>
      <c r="I29996"/>
      <c r="N29996"/>
      <c r="O29996" s="24"/>
      <c r="P29996"/>
      <c r="Q29996" s="24"/>
      <c r="R29996"/>
      <c r="S29996"/>
      <c r="T29996"/>
      <c r="U29996"/>
      <c r="X29996" s="60"/>
    </row>
    <row r="29997" spans="7:24" ht="15" customHeight="1">
      <c r="G29997"/>
      <c r="I29997"/>
      <c r="N29997"/>
      <c r="O29997" s="24"/>
      <c r="P29997"/>
      <c r="Q29997" s="24"/>
      <c r="R29997"/>
      <c r="S29997"/>
      <c r="T29997"/>
      <c r="U29997"/>
      <c r="X29997" s="60"/>
    </row>
    <row r="29998" spans="7:24" ht="15" customHeight="1">
      <c r="G29998"/>
      <c r="I29998"/>
      <c r="N29998"/>
      <c r="O29998" s="24"/>
      <c r="P29998"/>
      <c r="Q29998" s="24"/>
      <c r="R29998"/>
      <c r="S29998"/>
      <c r="T29998"/>
      <c r="U29998"/>
      <c r="X29998" s="60"/>
    </row>
    <row r="29999" spans="7:24" ht="15" customHeight="1">
      <c r="G29999"/>
      <c r="I29999"/>
      <c r="N29999"/>
      <c r="O29999" s="24"/>
      <c r="P29999"/>
      <c r="Q29999" s="24"/>
      <c r="R29999"/>
      <c r="S29999"/>
      <c r="T29999"/>
      <c r="U29999"/>
      <c r="X29999" s="60"/>
    </row>
    <row r="30000" spans="7:24" ht="15" customHeight="1">
      <c r="G30000"/>
      <c r="I30000"/>
      <c r="N30000"/>
      <c r="O30000" s="24"/>
      <c r="P30000"/>
      <c r="Q30000" s="24"/>
      <c r="R30000"/>
      <c r="S30000"/>
      <c r="T30000"/>
      <c r="U30000"/>
      <c r="X30000" s="60"/>
    </row>
    <row r="30001" spans="7:24" ht="15" customHeight="1">
      <c r="G30001"/>
      <c r="I30001"/>
      <c r="N30001"/>
      <c r="O30001" s="24"/>
      <c r="P30001"/>
      <c r="Q30001" s="24"/>
      <c r="R30001"/>
      <c r="S30001"/>
      <c r="T30001"/>
      <c r="U30001"/>
      <c r="X30001" s="60"/>
    </row>
    <row r="30002" spans="7:24" ht="15" customHeight="1">
      <c r="G30002"/>
      <c r="I30002"/>
      <c r="N30002"/>
      <c r="O30002" s="24"/>
      <c r="P30002"/>
      <c r="Q30002" s="24"/>
      <c r="R30002"/>
      <c r="S30002"/>
      <c r="T30002"/>
      <c r="U30002"/>
      <c r="X30002" s="60"/>
    </row>
    <row r="30003" spans="7:24" ht="15" customHeight="1">
      <c r="G30003"/>
      <c r="I30003"/>
      <c r="N30003"/>
      <c r="O30003" s="24"/>
      <c r="P30003"/>
      <c r="Q30003" s="24"/>
      <c r="R30003"/>
      <c r="S30003"/>
      <c r="T30003"/>
      <c r="U30003"/>
      <c r="X30003" s="60"/>
    </row>
    <row r="30004" spans="7:24" ht="15" customHeight="1">
      <c r="G30004"/>
      <c r="I30004"/>
      <c r="N30004"/>
      <c r="O30004" s="24"/>
      <c r="P30004"/>
      <c r="Q30004" s="24"/>
      <c r="R30004"/>
      <c r="S30004"/>
      <c r="T30004"/>
      <c r="U30004"/>
      <c r="X30004" s="60"/>
    </row>
    <row r="30005" spans="7:24" ht="15" customHeight="1">
      <c r="G30005"/>
      <c r="I30005"/>
      <c r="N30005"/>
      <c r="O30005" s="24"/>
      <c r="P30005"/>
      <c r="Q30005" s="24"/>
      <c r="R30005"/>
      <c r="S30005"/>
      <c r="T30005"/>
      <c r="U30005"/>
      <c r="X30005" s="60"/>
    </row>
    <row r="30006" spans="7:24" ht="15" customHeight="1">
      <c r="G30006"/>
      <c r="I30006"/>
      <c r="N30006"/>
      <c r="O30006" s="24"/>
      <c r="P30006"/>
      <c r="Q30006" s="24"/>
      <c r="R30006"/>
      <c r="S30006"/>
      <c r="T30006"/>
      <c r="U30006"/>
      <c r="X30006" s="60"/>
    </row>
    <row r="30007" spans="7:24" ht="15" customHeight="1">
      <c r="G30007"/>
      <c r="I30007"/>
      <c r="N30007"/>
      <c r="O30007" s="24"/>
      <c r="P30007"/>
      <c r="Q30007" s="24"/>
      <c r="R30007"/>
      <c r="S30007"/>
      <c r="T30007"/>
      <c r="U30007"/>
      <c r="X30007" s="60"/>
    </row>
    <row r="30008" spans="7:24" ht="15" customHeight="1">
      <c r="G30008"/>
      <c r="I30008"/>
      <c r="N30008"/>
      <c r="O30008" s="24"/>
      <c r="P30008"/>
      <c r="Q30008" s="24"/>
      <c r="R30008"/>
      <c r="S30008"/>
      <c r="T30008"/>
      <c r="U30008"/>
      <c r="X30008" s="60"/>
    </row>
    <row r="30009" spans="7:24" ht="15" customHeight="1">
      <c r="G30009"/>
      <c r="I30009"/>
      <c r="N30009"/>
      <c r="O30009" s="24"/>
      <c r="P30009"/>
      <c r="Q30009" s="24"/>
      <c r="R30009"/>
      <c r="S30009"/>
      <c r="T30009"/>
      <c r="U30009"/>
      <c r="X30009" s="60"/>
    </row>
    <row r="30010" spans="7:24" ht="15" customHeight="1">
      <c r="G30010"/>
      <c r="I30010"/>
      <c r="N30010"/>
      <c r="O30010" s="24"/>
      <c r="P30010"/>
      <c r="Q30010" s="24"/>
      <c r="R30010"/>
      <c r="S30010"/>
      <c r="T30010"/>
      <c r="U30010"/>
      <c r="X30010" s="60"/>
    </row>
    <row r="30011" spans="7:24" ht="15" customHeight="1">
      <c r="G30011"/>
      <c r="I30011"/>
      <c r="N30011"/>
      <c r="O30011" s="24"/>
      <c r="P30011"/>
      <c r="Q30011" s="24"/>
      <c r="R30011"/>
      <c r="S30011"/>
      <c r="T30011"/>
      <c r="U30011"/>
      <c r="X30011" s="60"/>
    </row>
    <row r="30012" spans="7:24" ht="15" customHeight="1">
      <c r="G30012"/>
      <c r="I30012"/>
      <c r="N30012"/>
      <c r="O30012" s="24"/>
      <c r="P30012"/>
      <c r="Q30012" s="24"/>
      <c r="R30012"/>
      <c r="S30012"/>
      <c r="T30012"/>
      <c r="U30012"/>
      <c r="X30012" s="60"/>
    </row>
    <row r="30013" spans="7:24" ht="15" customHeight="1">
      <c r="G30013"/>
      <c r="I30013"/>
      <c r="N30013"/>
      <c r="O30013" s="24"/>
      <c r="P30013"/>
      <c r="Q30013" s="24"/>
      <c r="R30013"/>
      <c r="S30013"/>
      <c r="T30013"/>
      <c r="U30013"/>
      <c r="X30013" s="60"/>
    </row>
    <row r="30014" spans="7:24" ht="15" customHeight="1">
      <c r="G30014"/>
      <c r="I30014"/>
      <c r="N30014"/>
      <c r="O30014" s="24"/>
      <c r="P30014"/>
      <c r="Q30014" s="24"/>
      <c r="R30014"/>
      <c r="S30014"/>
      <c r="T30014"/>
      <c r="U30014"/>
      <c r="X30014" s="60"/>
    </row>
    <row r="30015" spans="7:24" ht="15" customHeight="1">
      <c r="G30015"/>
      <c r="I30015"/>
      <c r="N30015"/>
      <c r="O30015" s="24"/>
      <c r="P30015"/>
      <c r="Q30015" s="24"/>
      <c r="R30015"/>
      <c r="S30015"/>
      <c r="T30015"/>
      <c r="U30015"/>
      <c r="X30015" s="60"/>
    </row>
    <row r="30016" spans="7:24" ht="15" customHeight="1">
      <c r="G30016"/>
      <c r="I30016"/>
      <c r="N30016"/>
      <c r="O30016" s="24"/>
      <c r="P30016"/>
      <c r="Q30016" s="24"/>
      <c r="R30016"/>
      <c r="S30016"/>
      <c r="T30016"/>
      <c r="U30016"/>
      <c r="X30016" s="60"/>
    </row>
    <row r="30017" spans="7:24" ht="15" customHeight="1">
      <c r="G30017"/>
      <c r="I30017"/>
      <c r="N30017"/>
      <c r="O30017" s="24"/>
      <c r="P30017"/>
      <c r="Q30017" s="24"/>
      <c r="R30017"/>
      <c r="S30017"/>
      <c r="T30017"/>
      <c r="U30017"/>
      <c r="X30017" s="60"/>
    </row>
    <row r="30018" spans="7:24" ht="15" customHeight="1">
      <c r="G30018"/>
      <c r="I30018"/>
      <c r="N30018"/>
      <c r="O30018" s="24"/>
      <c r="P30018"/>
      <c r="Q30018" s="24"/>
      <c r="R30018"/>
      <c r="S30018"/>
      <c r="T30018"/>
      <c r="U30018"/>
      <c r="X30018" s="60"/>
    </row>
    <row r="30019" spans="7:24" ht="15" customHeight="1">
      <c r="G30019"/>
      <c r="I30019"/>
      <c r="N30019"/>
      <c r="O30019" s="24"/>
      <c r="P30019"/>
      <c r="Q30019" s="24"/>
      <c r="R30019"/>
      <c r="S30019"/>
      <c r="T30019"/>
      <c r="U30019"/>
      <c r="X30019" s="60"/>
    </row>
    <row r="30020" spans="7:24" ht="15" customHeight="1">
      <c r="G30020"/>
      <c r="I30020"/>
      <c r="N30020"/>
      <c r="O30020" s="24"/>
      <c r="P30020"/>
      <c r="Q30020" s="24"/>
      <c r="R30020"/>
      <c r="S30020"/>
      <c r="T30020"/>
      <c r="U30020"/>
      <c r="X30020" s="60"/>
    </row>
    <row r="30021" spans="7:24" ht="15" customHeight="1">
      <c r="G30021"/>
      <c r="I30021"/>
      <c r="N30021"/>
      <c r="O30021" s="24"/>
      <c r="P30021"/>
      <c r="Q30021" s="24"/>
      <c r="R30021"/>
      <c r="S30021"/>
      <c r="T30021"/>
      <c r="U30021"/>
      <c r="X30021" s="60"/>
    </row>
    <row r="30022" spans="7:24" ht="15" customHeight="1">
      <c r="G30022"/>
      <c r="I30022"/>
      <c r="N30022"/>
      <c r="O30022" s="24"/>
      <c r="P30022"/>
      <c r="Q30022" s="24"/>
      <c r="R30022"/>
      <c r="S30022"/>
      <c r="T30022"/>
      <c r="U30022"/>
      <c r="X30022" s="60"/>
    </row>
    <row r="30023" spans="7:24" ht="15" customHeight="1">
      <c r="G30023"/>
      <c r="I30023"/>
      <c r="N30023"/>
      <c r="O30023" s="24"/>
      <c r="P30023"/>
      <c r="Q30023" s="24"/>
      <c r="R30023"/>
      <c r="S30023"/>
      <c r="T30023"/>
      <c r="U30023"/>
      <c r="X30023" s="60"/>
    </row>
    <row r="30024" spans="7:24" ht="15" customHeight="1">
      <c r="G30024"/>
      <c r="I30024"/>
      <c r="N30024"/>
      <c r="O30024" s="24"/>
      <c r="P30024"/>
      <c r="Q30024" s="24"/>
      <c r="R30024"/>
      <c r="S30024"/>
      <c r="T30024"/>
      <c r="U30024"/>
      <c r="X30024" s="60"/>
    </row>
    <row r="30025" spans="7:24" ht="15" customHeight="1">
      <c r="G30025"/>
      <c r="I30025"/>
      <c r="N30025"/>
      <c r="O30025" s="24"/>
      <c r="P30025"/>
      <c r="Q30025" s="24"/>
      <c r="R30025"/>
      <c r="S30025"/>
      <c r="T30025"/>
      <c r="U30025"/>
      <c r="X30025" s="60"/>
    </row>
    <row r="30026" spans="7:24" ht="15" customHeight="1">
      <c r="G30026"/>
      <c r="I30026"/>
      <c r="N30026"/>
      <c r="O30026" s="24"/>
      <c r="P30026"/>
      <c r="Q30026" s="24"/>
      <c r="R30026"/>
      <c r="S30026"/>
      <c r="T30026"/>
      <c r="U30026"/>
      <c r="X30026" s="60"/>
    </row>
    <row r="30027" spans="7:24" ht="15" customHeight="1">
      <c r="G30027"/>
      <c r="I30027"/>
      <c r="N30027"/>
      <c r="O30027" s="24"/>
      <c r="P30027"/>
      <c r="Q30027" s="24"/>
      <c r="R30027"/>
      <c r="S30027"/>
      <c r="T30027"/>
      <c r="U30027"/>
      <c r="X30027" s="60"/>
    </row>
    <row r="30028" spans="7:24" ht="15" customHeight="1">
      <c r="G30028"/>
      <c r="I30028"/>
      <c r="N30028"/>
      <c r="O30028" s="24"/>
      <c r="P30028"/>
      <c r="Q30028" s="24"/>
      <c r="R30028"/>
      <c r="S30028"/>
      <c r="T30028"/>
      <c r="U30028"/>
      <c r="X30028" s="60"/>
    </row>
    <row r="30029" spans="7:24" ht="15" customHeight="1">
      <c r="G30029"/>
      <c r="I30029"/>
      <c r="N30029"/>
      <c r="O30029" s="24"/>
      <c r="P30029"/>
      <c r="Q30029" s="24"/>
      <c r="R30029"/>
      <c r="S30029"/>
      <c r="T30029"/>
      <c r="U30029"/>
      <c r="X30029" s="60"/>
    </row>
    <row r="30030" spans="7:24" ht="15" customHeight="1">
      <c r="G30030"/>
      <c r="I30030"/>
      <c r="N30030"/>
      <c r="O30030" s="24"/>
      <c r="P30030"/>
      <c r="Q30030" s="24"/>
      <c r="R30030"/>
      <c r="S30030"/>
      <c r="T30030"/>
      <c r="U30030"/>
      <c r="X30030" s="60"/>
    </row>
    <row r="30031" spans="7:24" ht="15" customHeight="1">
      <c r="G30031"/>
      <c r="I30031"/>
      <c r="N30031"/>
      <c r="O30031" s="24"/>
      <c r="P30031"/>
      <c r="Q30031" s="24"/>
      <c r="R30031"/>
      <c r="S30031"/>
      <c r="T30031"/>
      <c r="U30031"/>
      <c r="X30031" s="60"/>
    </row>
    <row r="30032" spans="7:24" ht="15" customHeight="1">
      <c r="G30032"/>
      <c r="I30032"/>
      <c r="N30032"/>
      <c r="O30032" s="24"/>
      <c r="P30032"/>
      <c r="Q30032" s="24"/>
      <c r="R30032"/>
      <c r="S30032"/>
      <c r="T30032"/>
      <c r="U30032"/>
      <c r="X30032" s="60"/>
    </row>
    <row r="30033" spans="7:24" ht="15" customHeight="1">
      <c r="G30033"/>
      <c r="I30033"/>
      <c r="N30033"/>
      <c r="O30033" s="24"/>
      <c r="P30033"/>
      <c r="Q30033" s="24"/>
      <c r="R30033"/>
      <c r="S30033"/>
      <c r="T30033"/>
      <c r="U30033"/>
      <c r="X30033" s="60"/>
    </row>
    <row r="30034" spans="7:24" ht="15" customHeight="1">
      <c r="G30034"/>
      <c r="I30034"/>
      <c r="N30034"/>
      <c r="O30034" s="24"/>
      <c r="P30034"/>
      <c r="Q30034" s="24"/>
      <c r="R30034"/>
      <c r="S30034"/>
      <c r="T30034"/>
      <c r="U30034"/>
      <c r="X30034" s="60"/>
    </row>
    <row r="30035" spans="7:24" ht="15" customHeight="1">
      <c r="G30035"/>
      <c r="I30035"/>
      <c r="N30035"/>
      <c r="O30035" s="24"/>
      <c r="P30035"/>
      <c r="Q30035" s="24"/>
      <c r="R30035"/>
      <c r="S30035"/>
      <c r="T30035"/>
      <c r="U30035"/>
      <c r="X30035" s="60"/>
    </row>
    <row r="30036" spans="7:24" ht="15" customHeight="1">
      <c r="G30036"/>
      <c r="I30036"/>
      <c r="N30036"/>
      <c r="O30036" s="24"/>
      <c r="P30036"/>
      <c r="Q30036" s="24"/>
      <c r="R30036"/>
      <c r="S30036"/>
      <c r="T30036"/>
      <c r="U30036"/>
      <c r="X30036" s="60"/>
    </row>
    <row r="30037" spans="7:24" ht="15" customHeight="1">
      <c r="G30037"/>
      <c r="I30037"/>
      <c r="N30037"/>
      <c r="O30037" s="24"/>
      <c r="P30037"/>
      <c r="Q30037" s="24"/>
      <c r="R30037"/>
      <c r="S30037"/>
      <c r="T30037"/>
      <c r="U30037"/>
      <c r="X30037" s="60"/>
    </row>
    <row r="30038" spans="7:24" ht="15" customHeight="1">
      <c r="G30038"/>
      <c r="I30038"/>
      <c r="N30038"/>
      <c r="O30038" s="24"/>
      <c r="P30038"/>
      <c r="Q30038" s="24"/>
      <c r="R30038"/>
      <c r="S30038"/>
      <c r="T30038"/>
      <c r="U30038"/>
      <c r="X30038" s="60"/>
    </row>
    <row r="30039" spans="7:24" ht="15" customHeight="1">
      <c r="G30039"/>
      <c r="I30039"/>
      <c r="N30039"/>
      <c r="O30039" s="24"/>
      <c r="P30039"/>
      <c r="Q30039" s="24"/>
      <c r="R30039"/>
      <c r="S30039"/>
      <c r="T30039"/>
      <c r="U30039"/>
      <c r="X30039" s="60"/>
    </row>
    <row r="30040" spans="7:24" ht="15" customHeight="1">
      <c r="G30040"/>
      <c r="I30040"/>
      <c r="N30040"/>
      <c r="O30040" s="24"/>
      <c r="P30040"/>
      <c r="Q30040" s="24"/>
      <c r="R30040"/>
      <c r="S30040"/>
      <c r="T30040"/>
      <c r="U30040"/>
      <c r="X30040" s="60"/>
    </row>
    <row r="30041" spans="7:24" ht="15" customHeight="1">
      <c r="G30041"/>
      <c r="I30041"/>
      <c r="N30041"/>
      <c r="O30041" s="24"/>
      <c r="P30041"/>
      <c r="Q30041" s="24"/>
      <c r="R30041"/>
      <c r="S30041"/>
      <c r="T30041"/>
      <c r="U30041"/>
      <c r="X30041" s="60"/>
    </row>
    <row r="30042" spans="7:24" ht="15" customHeight="1">
      <c r="G30042"/>
      <c r="I30042"/>
      <c r="N30042"/>
      <c r="O30042" s="24"/>
      <c r="P30042"/>
      <c r="Q30042" s="24"/>
      <c r="R30042"/>
      <c r="S30042"/>
      <c r="T30042"/>
      <c r="U30042"/>
      <c r="X30042" s="60"/>
    </row>
    <row r="30043" spans="7:24" ht="15" customHeight="1">
      <c r="G30043"/>
      <c r="I30043"/>
      <c r="N30043"/>
      <c r="O30043" s="24"/>
      <c r="P30043"/>
      <c r="Q30043" s="24"/>
      <c r="R30043"/>
      <c r="S30043"/>
      <c r="T30043"/>
      <c r="U30043"/>
      <c r="X30043" s="60"/>
    </row>
    <row r="30044" spans="7:24" ht="15" customHeight="1">
      <c r="G30044"/>
      <c r="I30044"/>
      <c r="N30044"/>
      <c r="O30044" s="24"/>
      <c r="P30044"/>
      <c r="Q30044" s="24"/>
      <c r="R30044"/>
      <c r="S30044"/>
      <c r="T30044"/>
      <c r="U30044"/>
      <c r="X30044" s="60"/>
    </row>
    <row r="30045" spans="7:24" ht="15" customHeight="1">
      <c r="G30045"/>
      <c r="I30045"/>
      <c r="N30045"/>
      <c r="O30045" s="24"/>
      <c r="P30045"/>
      <c r="Q30045" s="24"/>
      <c r="R30045"/>
      <c r="S30045"/>
      <c r="T30045"/>
      <c r="U30045"/>
      <c r="X30045" s="60"/>
    </row>
    <row r="30046" spans="7:24" ht="15" customHeight="1">
      <c r="G30046"/>
      <c r="I30046"/>
      <c r="N30046"/>
      <c r="O30046" s="24"/>
      <c r="P30046"/>
      <c r="Q30046" s="24"/>
      <c r="R30046"/>
      <c r="S30046"/>
      <c r="T30046"/>
      <c r="U30046"/>
      <c r="X30046" s="60"/>
    </row>
    <row r="30047" spans="7:24" ht="15" customHeight="1">
      <c r="G30047"/>
      <c r="I30047"/>
      <c r="N30047"/>
      <c r="O30047" s="24"/>
      <c r="P30047"/>
      <c r="Q30047" s="24"/>
      <c r="R30047"/>
      <c r="S30047"/>
      <c r="T30047"/>
      <c r="U30047"/>
      <c r="X30047" s="60"/>
    </row>
    <row r="30048" spans="7:24" ht="15" customHeight="1">
      <c r="G30048"/>
      <c r="I30048"/>
      <c r="N30048"/>
      <c r="O30048" s="24"/>
      <c r="P30048"/>
      <c r="Q30048" s="24"/>
      <c r="R30048"/>
      <c r="S30048"/>
      <c r="T30048"/>
      <c r="U30048"/>
      <c r="X30048" s="60"/>
    </row>
    <row r="30049" spans="7:24" ht="15" customHeight="1">
      <c r="G30049"/>
      <c r="I30049"/>
      <c r="N30049"/>
      <c r="O30049" s="24"/>
      <c r="P30049"/>
      <c r="Q30049" s="24"/>
      <c r="R30049"/>
      <c r="S30049"/>
      <c r="T30049"/>
      <c r="U30049"/>
      <c r="X30049" s="60"/>
    </row>
    <row r="30050" spans="7:24" ht="15" customHeight="1">
      <c r="G30050"/>
      <c r="I30050"/>
      <c r="N30050"/>
      <c r="O30050" s="24"/>
      <c r="P30050"/>
      <c r="Q30050" s="24"/>
      <c r="R30050"/>
      <c r="S30050"/>
      <c r="T30050"/>
      <c r="U30050"/>
      <c r="X30050" s="60"/>
    </row>
    <row r="30051" spans="7:24" ht="15" customHeight="1">
      <c r="G30051"/>
      <c r="I30051"/>
      <c r="N30051"/>
      <c r="O30051" s="24"/>
      <c r="P30051"/>
      <c r="Q30051" s="24"/>
      <c r="R30051"/>
      <c r="S30051"/>
      <c r="T30051"/>
      <c r="U30051"/>
      <c r="X30051" s="60"/>
    </row>
    <row r="30052" spans="7:24" ht="15" customHeight="1">
      <c r="G30052"/>
      <c r="I30052"/>
      <c r="N30052"/>
      <c r="O30052" s="24"/>
      <c r="P30052"/>
      <c r="Q30052" s="24"/>
      <c r="R30052"/>
      <c r="S30052"/>
      <c r="T30052"/>
      <c r="U30052"/>
      <c r="X30052" s="60"/>
    </row>
    <row r="30053" spans="7:24" ht="15" customHeight="1">
      <c r="G30053"/>
      <c r="I30053"/>
      <c r="N30053"/>
      <c r="O30053" s="24"/>
      <c r="P30053"/>
      <c r="Q30053" s="24"/>
      <c r="R30053"/>
      <c r="S30053"/>
      <c r="T30053"/>
      <c r="U30053"/>
      <c r="X30053" s="60"/>
    </row>
    <row r="30054" spans="7:24" ht="15" customHeight="1">
      <c r="G30054"/>
      <c r="I30054"/>
      <c r="N30054"/>
      <c r="O30054" s="24"/>
      <c r="P30054"/>
      <c r="Q30054" s="24"/>
      <c r="R30054"/>
      <c r="S30054"/>
      <c r="T30054"/>
      <c r="U30054"/>
      <c r="X30054" s="60"/>
    </row>
    <row r="30055" spans="7:24" ht="15" customHeight="1">
      <c r="G30055"/>
      <c r="I30055"/>
      <c r="N30055"/>
      <c r="O30055" s="24"/>
      <c r="P30055"/>
      <c r="Q30055" s="24"/>
      <c r="R30055"/>
      <c r="S30055"/>
      <c r="T30055"/>
      <c r="U30055"/>
      <c r="X30055" s="60"/>
    </row>
    <row r="30056" spans="7:24" ht="15" customHeight="1">
      <c r="G30056"/>
      <c r="I30056"/>
      <c r="N30056"/>
      <c r="O30056" s="24"/>
      <c r="P30056"/>
      <c r="Q30056" s="24"/>
      <c r="R30056"/>
      <c r="S30056"/>
      <c r="T30056"/>
      <c r="U30056"/>
      <c r="X30056" s="60"/>
    </row>
    <row r="30057" spans="7:24" ht="15" customHeight="1">
      <c r="G30057"/>
      <c r="I30057"/>
      <c r="N30057"/>
      <c r="O30057" s="24"/>
      <c r="P30057"/>
      <c r="Q30057" s="24"/>
      <c r="R30057"/>
      <c r="S30057"/>
      <c r="T30057"/>
      <c r="U30057"/>
      <c r="X30057" s="60"/>
    </row>
    <row r="30058" spans="7:24" ht="15" customHeight="1">
      <c r="G30058"/>
      <c r="I30058"/>
      <c r="N30058"/>
      <c r="O30058" s="24"/>
      <c r="P30058"/>
      <c r="Q30058" s="24"/>
      <c r="R30058"/>
      <c r="S30058"/>
      <c r="T30058"/>
      <c r="U30058"/>
      <c r="X30058" s="60"/>
    </row>
    <row r="30059" spans="7:24" ht="15" customHeight="1">
      <c r="G30059"/>
      <c r="I30059"/>
      <c r="N30059"/>
      <c r="O30059" s="24"/>
      <c r="P30059"/>
      <c r="Q30059" s="24"/>
      <c r="R30059"/>
      <c r="S30059"/>
      <c r="T30059"/>
      <c r="U30059"/>
      <c r="X30059" s="60"/>
    </row>
    <row r="30060" spans="7:24" ht="15" customHeight="1">
      <c r="G30060"/>
      <c r="I30060"/>
      <c r="N30060"/>
      <c r="O30060" s="24"/>
      <c r="P30060"/>
      <c r="Q30060" s="24"/>
      <c r="R30060"/>
      <c r="S30060"/>
      <c r="T30060"/>
      <c r="U30060"/>
      <c r="X30060" s="60"/>
    </row>
    <row r="30061" spans="7:24" ht="15" customHeight="1">
      <c r="G30061"/>
      <c r="I30061"/>
      <c r="N30061"/>
      <c r="O30061" s="24"/>
      <c r="P30061"/>
      <c r="Q30061" s="24"/>
      <c r="R30061"/>
      <c r="S30061"/>
      <c r="T30061"/>
      <c r="U30061"/>
      <c r="X30061" s="60"/>
    </row>
    <row r="30062" spans="7:24" ht="15" customHeight="1">
      <c r="G30062"/>
      <c r="I30062"/>
      <c r="N30062"/>
      <c r="O30062" s="24"/>
      <c r="P30062"/>
      <c r="Q30062" s="24"/>
      <c r="R30062"/>
      <c r="S30062"/>
      <c r="T30062"/>
      <c r="U30062"/>
      <c r="X30062" s="60"/>
    </row>
    <row r="30063" spans="7:24" ht="15" customHeight="1">
      <c r="G30063"/>
      <c r="I30063"/>
      <c r="N30063"/>
      <c r="O30063" s="24"/>
      <c r="P30063"/>
      <c r="Q30063" s="24"/>
      <c r="R30063"/>
      <c r="S30063"/>
      <c r="T30063"/>
      <c r="U30063"/>
      <c r="X30063" s="60"/>
    </row>
    <row r="30064" spans="7:24" ht="15" customHeight="1">
      <c r="G30064"/>
      <c r="I30064"/>
      <c r="N30064"/>
      <c r="O30064" s="24"/>
      <c r="P30064"/>
      <c r="Q30064" s="24"/>
      <c r="R30064"/>
      <c r="S30064"/>
      <c r="T30064"/>
      <c r="U30064"/>
      <c r="X30064" s="60"/>
    </row>
    <row r="30065" spans="7:24" ht="15" customHeight="1">
      <c r="G30065"/>
      <c r="I30065"/>
      <c r="N30065"/>
      <c r="O30065" s="24"/>
      <c r="P30065"/>
      <c r="Q30065" s="24"/>
      <c r="R30065"/>
      <c r="S30065"/>
      <c r="T30065"/>
      <c r="U30065"/>
      <c r="X30065" s="60"/>
    </row>
    <row r="30066" spans="7:24" ht="15" customHeight="1">
      <c r="G30066"/>
      <c r="I30066"/>
      <c r="N30066"/>
      <c r="O30066" s="24"/>
      <c r="P30066"/>
      <c r="Q30066" s="24"/>
      <c r="R30066"/>
      <c r="S30066"/>
      <c r="T30066"/>
      <c r="U30066"/>
      <c r="X30066" s="60"/>
    </row>
    <row r="30067" spans="7:24" ht="15" customHeight="1">
      <c r="G30067"/>
      <c r="I30067"/>
      <c r="N30067"/>
      <c r="O30067" s="24"/>
      <c r="P30067"/>
      <c r="Q30067" s="24"/>
      <c r="R30067"/>
      <c r="S30067"/>
      <c r="T30067"/>
      <c r="U30067"/>
      <c r="X30067" s="60"/>
    </row>
    <row r="30068" spans="7:24" ht="15" customHeight="1">
      <c r="G30068"/>
      <c r="I30068"/>
      <c r="N30068"/>
      <c r="O30068" s="24"/>
      <c r="P30068"/>
      <c r="Q30068" s="24"/>
      <c r="R30068"/>
      <c r="S30068"/>
      <c r="T30068"/>
      <c r="U30068"/>
      <c r="X30068" s="60"/>
    </row>
    <row r="30069" spans="7:24" ht="15" customHeight="1">
      <c r="G30069"/>
      <c r="I30069"/>
      <c r="N30069"/>
      <c r="O30069" s="24"/>
      <c r="P30069"/>
      <c r="Q30069" s="24"/>
      <c r="R30069"/>
      <c r="S30069"/>
      <c r="T30069"/>
      <c r="U30069"/>
      <c r="X30069" s="60"/>
    </row>
    <row r="30070" spans="7:24" ht="15" customHeight="1">
      <c r="G30070"/>
      <c r="I30070"/>
      <c r="N30070"/>
      <c r="O30070" s="24"/>
      <c r="P30070"/>
      <c r="Q30070" s="24"/>
      <c r="R30070"/>
      <c r="S30070"/>
      <c r="T30070"/>
      <c r="U30070"/>
      <c r="X30070" s="60"/>
    </row>
    <row r="30071" spans="7:24" ht="15" customHeight="1">
      <c r="G30071"/>
      <c r="I30071"/>
      <c r="N30071"/>
      <c r="O30071" s="24"/>
      <c r="P30071"/>
      <c r="Q30071" s="24"/>
      <c r="R30071"/>
      <c r="S30071"/>
      <c r="T30071"/>
      <c r="U30071"/>
      <c r="X30071" s="60"/>
    </row>
    <row r="30072" spans="7:24" ht="15" customHeight="1">
      <c r="G30072"/>
      <c r="I30072"/>
      <c r="N30072"/>
      <c r="O30072" s="24"/>
      <c r="P30072"/>
      <c r="Q30072" s="24"/>
      <c r="R30072"/>
      <c r="S30072"/>
      <c r="T30072"/>
      <c r="U30072"/>
      <c r="X30072" s="60"/>
    </row>
    <row r="30073" spans="7:24" ht="15" customHeight="1">
      <c r="G30073"/>
      <c r="I30073"/>
      <c r="N30073"/>
      <c r="O30073" s="24"/>
      <c r="P30073"/>
      <c r="Q30073" s="24"/>
      <c r="R30073"/>
      <c r="S30073"/>
      <c r="T30073"/>
      <c r="U30073"/>
      <c r="X30073" s="60"/>
    </row>
    <row r="30074" spans="7:24" ht="15" customHeight="1">
      <c r="G30074"/>
      <c r="I30074"/>
      <c r="N30074"/>
      <c r="O30074" s="24"/>
      <c r="P30074"/>
      <c r="Q30074" s="24"/>
      <c r="R30074"/>
      <c r="S30074"/>
      <c r="T30074"/>
      <c r="U30074"/>
      <c r="X30074" s="60"/>
    </row>
    <row r="30075" spans="7:24" ht="15" customHeight="1">
      <c r="G30075"/>
      <c r="I30075"/>
      <c r="N30075"/>
      <c r="O30075" s="24"/>
      <c r="P30075"/>
      <c r="Q30075" s="24"/>
      <c r="R30075"/>
      <c r="S30075"/>
      <c r="T30075"/>
      <c r="U30075"/>
      <c r="X30075" s="60"/>
    </row>
    <row r="30076" spans="7:24" ht="15" customHeight="1">
      <c r="G30076"/>
      <c r="I30076"/>
      <c r="N30076"/>
      <c r="O30076" s="24"/>
      <c r="P30076"/>
      <c r="Q30076" s="24"/>
      <c r="R30076"/>
      <c r="S30076"/>
      <c r="T30076"/>
      <c r="U30076"/>
      <c r="X30076" s="60"/>
    </row>
    <row r="30077" spans="7:24" ht="15" customHeight="1">
      <c r="G30077"/>
      <c r="I30077"/>
      <c r="N30077"/>
      <c r="O30077" s="24"/>
      <c r="P30077"/>
      <c r="Q30077" s="24"/>
      <c r="R30077"/>
      <c r="S30077"/>
      <c r="T30077"/>
      <c r="U30077"/>
      <c r="X30077" s="60"/>
    </row>
    <row r="30078" spans="7:24" ht="15" customHeight="1">
      <c r="G30078"/>
      <c r="I30078"/>
      <c r="N30078"/>
      <c r="O30078" s="24"/>
      <c r="P30078"/>
      <c r="Q30078" s="24"/>
      <c r="R30078"/>
      <c r="S30078"/>
      <c r="T30078"/>
      <c r="U30078"/>
      <c r="X30078" s="60"/>
    </row>
    <row r="30079" spans="7:24" ht="15" customHeight="1">
      <c r="G30079"/>
      <c r="I30079"/>
      <c r="N30079"/>
      <c r="O30079" s="24"/>
      <c r="P30079"/>
      <c r="Q30079" s="24"/>
      <c r="R30079"/>
      <c r="S30079"/>
      <c r="T30079"/>
      <c r="U30079"/>
      <c r="X30079" s="60"/>
    </row>
    <row r="30080" spans="7:24" ht="15" customHeight="1">
      <c r="G30080"/>
      <c r="I30080"/>
      <c r="N30080"/>
      <c r="O30080" s="24"/>
      <c r="P30080"/>
      <c r="Q30080" s="24"/>
      <c r="R30080"/>
      <c r="S30080"/>
      <c r="T30080"/>
      <c r="U30080"/>
      <c r="X30080" s="60"/>
    </row>
    <row r="30081" spans="7:24" ht="15" customHeight="1">
      <c r="G30081"/>
      <c r="I30081"/>
      <c r="N30081"/>
      <c r="O30081" s="24"/>
      <c r="P30081"/>
      <c r="Q30081" s="24"/>
      <c r="R30081"/>
      <c r="S30081"/>
      <c r="T30081"/>
      <c r="U30081"/>
      <c r="X30081" s="60"/>
    </row>
    <row r="30082" spans="7:24" ht="15" customHeight="1">
      <c r="G30082"/>
      <c r="I30082"/>
      <c r="N30082"/>
      <c r="O30082" s="24"/>
      <c r="P30082"/>
      <c r="Q30082" s="24"/>
      <c r="R30082"/>
      <c r="S30082"/>
      <c r="T30082"/>
      <c r="U30082"/>
      <c r="X30082" s="60"/>
    </row>
    <row r="30083" spans="7:24" ht="15" customHeight="1">
      <c r="G30083"/>
      <c r="I30083"/>
      <c r="N30083"/>
      <c r="O30083" s="24"/>
      <c r="P30083"/>
      <c r="Q30083" s="24"/>
      <c r="R30083"/>
      <c r="S30083"/>
      <c r="T30083"/>
      <c r="U30083"/>
      <c r="X30083" s="60"/>
    </row>
    <row r="30084" spans="7:24" ht="15" customHeight="1">
      <c r="G30084"/>
      <c r="I30084"/>
      <c r="N30084"/>
      <c r="O30084" s="24"/>
      <c r="P30084"/>
      <c r="Q30084" s="24"/>
      <c r="R30084"/>
      <c r="S30084"/>
      <c r="T30084"/>
      <c r="U30084"/>
      <c r="X30084" s="60"/>
    </row>
    <row r="30085" spans="7:24" ht="15" customHeight="1">
      <c r="G30085"/>
      <c r="I30085"/>
      <c r="N30085"/>
      <c r="O30085" s="24"/>
      <c r="P30085"/>
      <c r="Q30085" s="24"/>
      <c r="R30085"/>
      <c r="S30085"/>
      <c r="T30085"/>
      <c r="U30085"/>
      <c r="X30085" s="60"/>
    </row>
    <row r="30086" spans="7:24" ht="15" customHeight="1">
      <c r="G30086"/>
      <c r="I30086"/>
      <c r="N30086"/>
      <c r="O30086" s="24"/>
      <c r="P30086"/>
      <c r="Q30086" s="24"/>
      <c r="R30086"/>
      <c r="S30086"/>
      <c r="T30086"/>
      <c r="U30086"/>
      <c r="X30086" s="60"/>
    </row>
    <row r="30087" spans="7:24" ht="15" customHeight="1">
      <c r="G30087"/>
      <c r="I30087"/>
      <c r="N30087"/>
      <c r="O30087" s="24"/>
      <c r="P30087"/>
      <c r="Q30087" s="24"/>
      <c r="R30087"/>
      <c r="S30087"/>
      <c r="T30087"/>
      <c r="U30087"/>
      <c r="X30087" s="60"/>
    </row>
    <row r="30088" spans="7:24" ht="15" customHeight="1">
      <c r="G30088"/>
      <c r="I30088"/>
      <c r="N30088"/>
      <c r="O30088" s="24"/>
      <c r="P30088"/>
      <c r="Q30088" s="24"/>
      <c r="R30088"/>
      <c r="S30088"/>
      <c r="T30088"/>
      <c r="U30088"/>
      <c r="X30088" s="60"/>
    </row>
    <row r="30089" spans="7:24" ht="15" customHeight="1">
      <c r="G30089"/>
      <c r="I30089"/>
      <c r="N30089"/>
      <c r="O30089" s="24"/>
      <c r="P30089"/>
      <c r="Q30089" s="24"/>
      <c r="R30089"/>
      <c r="S30089"/>
      <c r="T30089"/>
      <c r="U30089"/>
      <c r="X30089" s="60"/>
    </row>
    <row r="30090" spans="7:24" ht="15" customHeight="1">
      <c r="G30090"/>
      <c r="I30090"/>
      <c r="N30090"/>
      <c r="O30090" s="24"/>
      <c r="P30090"/>
      <c r="Q30090" s="24"/>
      <c r="R30090"/>
      <c r="S30090"/>
      <c r="T30090"/>
      <c r="U30090"/>
      <c r="X30090" s="60"/>
    </row>
    <row r="30091" spans="7:24" ht="15" customHeight="1">
      <c r="G30091"/>
      <c r="I30091"/>
      <c r="N30091"/>
      <c r="O30091" s="24"/>
      <c r="P30091"/>
      <c r="Q30091" s="24"/>
      <c r="R30091"/>
      <c r="S30091"/>
      <c r="T30091"/>
      <c r="U30091"/>
      <c r="X30091" s="60"/>
    </row>
    <row r="30092" spans="7:24" ht="15" customHeight="1">
      <c r="G30092"/>
      <c r="I30092"/>
      <c r="N30092"/>
      <c r="O30092" s="24"/>
      <c r="P30092"/>
      <c r="Q30092" s="24"/>
      <c r="R30092"/>
      <c r="S30092"/>
      <c r="T30092"/>
      <c r="U30092"/>
      <c r="X30092" s="60"/>
    </row>
    <row r="30093" spans="7:24" ht="15" customHeight="1">
      <c r="G30093"/>
      <c r="I30093"/>
      <c r="N30093"/>
      <c r="O30093" s="24"/>
      <c r="P30093"/>
      <c r="Q30093" s="24"/>
      <c r="R30093"/>
      <c r="S30093"/>
      <c r="T30093"/>
      <c r="U30093"/>
      <c r="X30093" s="60"/>
    </row>
    <row r="30094" spans="7:24" ht="15" customHeight="1">
      <c r="G30094"/>
      <c r="I30094"/>
      <c r="N30094"/>
      <c r="O30094" s="24"/>
      <c r="P30094"/>
      <c r="Q30094" s="24"/>
      <c r="R30094"/>
      <c r="S30094"/>
      <c r="T30094"/>
      <c r="U30094"/>
      <c r="X30094" s="60"/>
    </row>
    <row r="30095" spans="7:24" ht="15" customHeight="1">
      <c r="G30095"/>
      <c r="I30095"/>
      <c r="N30095"/>
      <c r="O30095" s="24"/>
      <c r="P30095"/>
      <c r="Q30095" s="24"/>
      <c r="R30095"/>
      <c r="S30095"/>
      <c r="T30095"/>
      <c r="U30095"/>
      <c r="X30095" s="60"/>
    </row>
    <row r="30096" spans="7:24" ht="15" customHeight="1">
      <c r="G30096"/>
      <c r="I30096"/>
      <c r="N30096"/>
      <c r="O30096" s="24"/>
      <c r="P30096"/>
      <c r="Q30096" s="24"/>
      <c r="R30096"/>
      <c r="S30096"/>
      <c r="T30096"/>
      <c r="U30096"/>
      <c r="X30096" s="60"/>
    </row>
    <row r="30097" spans="7:24" ht="15" customHeight="1">
      <c r="G30097"/>
      <c r="I30097"/>
      <c r="N30097"/>
      <c r="O30097" s="24"/>
      <c r="P30097"/>
      <c r="Q30097" s="24"/>
      <c r="R30097"/>
      <c r="S30097"/>
      <c r="T30097"/>
      <c r="U30097"/>
      <c r="X30097" s="60"/>
    </row>
    <row r="30098" spans="7:24" ht="15" customHeight="1">
      <c r="G30098"/>
      <c r="I30098"/>
      <c r="N30098"/>
      <c r="O30098" s="24"/>
      <c r="P30098"/>
      <c r="Q30098" s="24"/>
      <c r="R30098"/>
      <c r="S30098"/>
      <c r="T30098"/>
      <c r="U30098"/>
      <c r="X30098" s="60"/>
    </row>
    <row r="30099" spans="7:24" ht="15" customHeight="1">
      <c r="G30099"/>
      <c r="I30099"/>
      <c r="N30099"/>
      <c r="O30099" s="24"/>
      <c r="P30099"/>
      <c r="Q30099" s="24"/>
      <c r="R30099"/>
      <c r="S30099"/>
      <c r="T30099"/>
      <c r="U30099"/>
      <c r="X30099" s="60"/>
    </row>
    <row r="30100" spans="7:24" ht="15" customHeight="1">
      <c r="G30100"/>
      <c r="I30100"/>
      <c r="N30100"/>
      <c r="O30100" s="24"/>
      <c r="P30100"/>
      <c r="Q30100" s="24"/>
      <c r="R30100"/>
      <c r="S30100"/>
      <c r="T30100"/>
      <c r="U30100"/>
      <c r="X30100" s="60"/>
    </row>
    <row r="30101" spans="7:24" ht="15" customHeight="1">
      <c r="G30101"/>
      <c r="I30101"/>
      <c r="N30101"/>
      <c r="O30101" s="24"/>
      <c r="P30101"/>
      <c r="Q30101" s="24"/>
      <c r="R30101"/>
      <c r="S30101"/>
      <c r="T30101"/>
      <c r="U30101"/>
      <c r="X30101" s="60"/>
    </row>
    <row r="30102" spans="7:24" ht="15" customHeight="1">
      <c r="G30102"/>
      <c r="I30102"/>
      <c r="N30102"/>
      <c r="O30102" s="24"/>
      <c r="P30102"/>
      <c r="Q30102" s="24"/>
      <c r="R30102"/>
      <c r="S30102"/>
      <c r="T30102"/>
      <c r="U30102"/>
      <c r="X30102" s="60"/>
    </row>
    <row r="30103" spans="7:24" ht="15" customHeight="1">
      <c r="G30103"/>
      <c r="I30103"/>
      <c r="N30103"/>
      <c r="O30103" s="24"/>
      <c r="P30103"/>
      <c r="Q30103" s="24"/>
      <c r="R30103"/>
      <c r="S30103"/>
      <c r="T30103"/>
      <c r="U30103"/>
      <c r="X30103" s="60"/>
    </row>
    <row r="30104" spans="7:24" ht="15" customHeight="1">
      <c r="G30104"/>
      <c r="I30104"/>
      <c r="N30104"/>
      <c r="O30104" s="24"/>
      <c r="P30104"/>
      <c r="Q30104" s="24"/>
      <c r="R30104"/>
      <c r="S30104"/>
      <c r="T30104"/>
      <c r="U30104"/>
      <c r="X30104" s="60"/>
    </row>
    <row r="30105" spans="7:24" ht="15" customHeight="1">
      <c r="G30105"/>
      <c r="I30105"/>
      <c r="N30105"/>
      <c r="O30105" s="24"/>
      <c r="P30105"/>
      <c r="Q30105" s="24"/>
      <c r="R30105"/>
      <c r="S30105"/>
      <c r="T30105"/>
      <c r="U30105"/>
      <c r="X30105" s="60"/>
    </row>
    <row r="30106" spans="7:24" ht="15" customHeight="1">
      <c r="G30106"/>
      <c r="I30106"/>
      <c r="N30106"/>
      <c r="O30106" s="24"/>
      <c r="P30106"/>
      <c r="Q30106" s="24"/>
      <c r="R30106"/>
      <c r="S30106"/>
      <c r="T30106"/>
      <c r="U30106"/>
      <c r="X30106" s="60"/>
    </row>
    <row r="30107" spans="7:24" ht="15" customHeight="1">
      <c r="G30107"/>
      <c r="I30107"/>
      <c r="N30107"/>
      <c r="O30107" s="24"/>
      <c r="P30107"/>
      <c r="Q30107" s="24"/>
      <c r="R30107"/>
      <c r="S30107"/>
      <c r="T30107"/>
      <c r="U30107"/>
      <c r="X30107" s="60"/>
    </row>
    <row r="30108" spans="7:24" ht="15" customHeight="1">
      <c r="G30108"/>
      <c r="I30108"/>
      <c r="N30108"/>
      <c r="O30108" s="24"/>
      <c r="P30108"/>
      <c r="Q30108" s="24"/>
      <c r="R30108"/>
      <c r="S30108"/>
      <c r="T30108"/>
      <c r="U30108"/>
      <c r="X30108" s="60"/>
    </row>
    <row r="30109" spans="7:24" ht="15" customHeight="1">
      <c r="G30109"/>
      <c r="I30109"/>
      <c r="N30109"/>
      <c r="O30109" s="24"/>
      <c r="P30109"/>
      <c r="Q30109" s="24"/>
      <c r="R30109"/>
      <c r="S30109"/>
      <c r="T30109"/>
      <c r="U30109"/>
      <c r="X30109" s="60"/>
    </row>
    <row r="30110" spans="7:24" ht="15" customHeight="1">
      <c r="G30110"/>
      <c r="I30110"/>
      <c r="N30110"/>
      <c r="O30110" s="24"/>
      <c r="P30110"/>
      <c r="Q30110" s="24"/>
      <c r="R30110"/>
      <c r="S30110"/>
      <c r="T30110"/>
      <c r="U30110"/>
      <c r="X30110" s="60"/>
    </row>
    <row r="30111" spans="7:24" ht="15" customHeight="1">
      <c r="G30111"/>
      <c r="I30111"/>
      <c r="N30111"/>
      <c r="O30111" s="24"/>
      <c r="P30111"/>
      <c r="Q30111" s="24"/>
      <c r="R30111"/>
      <c r="S30111"/>
      <c r="T30111"/>
      <c r="U30111"/>
      <c r="X30111" s="60"/>
    </row>
    <row r="30112" spans="7:24" ht="15" customHeight="1">
      <c r="G30112"/>
      <c r="I30112"/>
      <c r="N30112"/>
      <c r="O30112" s="24"/>
      <c r="P30112"/>
      <c r="Q30112" s="24"/>
      <c r="R30112"/>
      <c r="S30112"/>
      <c r="T30112"/>
      <c r="U30112"/>
      <c r="X30112" s="60"/>
    </row>
    <row r="30113" spans="7:24" ht="15" customHeight="1">
      <c r="G30113"/>
      <c r="I30113"/>
      <c r="N30113"/>
      <c r="O30113" s="24"/>
      <c r="P30113"/>
      <c r="Q30113" s="24"/>
      <c r="R30113"/>
      <c r="S30113"/>
      <c r="T30113"/>
      <c r="U30113"/>
      <c r="X30113" s="60"/>
    </row>
    <row r="30114" spans="7:24" ht="15" customHeight="1">
      <c r="G30114"/>
      <c r="I30114"/>
      <c r="N30114"/>
      <c r="O30114" s="24"/>
      <c r="P30114"/>
      <c r="Q30114" s="24"/>
      <c r="R30114"/>
      <c r="S30114"/>
      <c r="T30114"/>
      <c r="U30114"/>
      <c r="X30114" s="60"/>
    </row>
    <row r="30115" spans="7:24" ht="15" customHeight="1">
      <c r="G30115"/>
      <c r="I30115"/>
      <c r="N30115"/>
      <c r="O30115" s="24"/>
      <c r="P30115"/>
      <c r="Q30115" s="24"/>
      <c r="R30115"/>
      <c r="S30115"/>
      <c r="T30115"/>
      <c r="U30115"/>
      <c r="X30115" s="60"/>
    </row>
    <row r="30116" spans="7:24" ht="15" customHeight="1">
      <c r="G30116"/>
      <c r="I30116"/>
      <c r="N30116"/>
      <c r="O30116" s="24"/>
      <c r="P30116"/>
      <c r="Q30116" s="24"/>
      <c r="R30116"/>
      <c r="S30116"/>
      <c r="T30116"/>
      <c r="U30116"/>
      <c r="X30116" s="60"/>
    </row>
    <row r="30117" spans="7:24" ht="15" customHeight="1">
      <c r="G30117"/>
      <c r="I30117"/>
      <c r="N30117"/>
      <c r="O30117" s="24"/>
      <c r="P30117"/>
      <c r="Q30117" s="24"/>
      <c r="R30117"/>
      <c r="S30117"/>
      <c r="T30117"/>
      <c r="U30117"/>
      <c r="X30117" s="60"/>
    </row>
    <row r="30118" spans="7:24" ht="15" customHeight="1">
      <c r="G30118"/>
      <c r="I30118"/>
      <c r="N30118"/>
      <c r="O30118" s="24"/>
      <c r="P30118"/>
      <c r="Q30118" s="24"/>
      <c r="R30118"/>
      <c r="S30118"/>
      <c r="T30118"/>
      <c r="U30118"/>
      <c r="X30118" s="60"/>
    </row>
    <row r="30119" spans="7:24" ht="15" customHeight="1">
      <c r="G30119"/>
      <c r="I30119"/>
      <c r="N30119"/>
      <c r="O30119" s="24"/>
      <c r="P30119"/>
      <c r="Q30119" s="24"/>
      <c r="R30119"/>
      <c r="S30119"/>
      <c r="T30119"/>
      <c r="U30119"/>
      <c r="X30119" s="60"/>
    </row>
    <row r="30120" spans="7:24" ht="15" customHeight="1">
      <c r="G30120"/>
      <c r="I30120"/>
      <c r="N30120"/>
      <c r="O30120" s="24"/>
      <c r="P30120"/>
      <c r="Q30120" s="24"/>
      <c r="R30120"/>
      <c r="S30120"/>
      <c r="T30120"/>
      <c r="U30120"/>
      <c r="X30120" s="60"/>
    </row>
    <row r="30121" spans="7:24" ht="15" customHeight="1">
      <c r="G30121"/>
      <c r="I30121"/>
      <c r="N30121"/>
      <c r="O30121" s="24"/>
      <c r="P30121"/>
      <c r="Q30121" s="24"/>
      <c r="R30121"/>
      <c r="S30121"/>
      <c r="T30121"/>
      <c r="U30121"/>
      <c r="X30121" s="60"/>
    </row>
    <row r="30122" spans="7:24" ht="15" customHeight="1">
      <c r="G30122"/>
      <c r="I30122"/>
      <c r="N30122"/>
      <c r="O30122" s="24"/>
      <c r="P30122"/>
      <c r="Q30122" s="24"/>
      <c r="R30122"/>
      <c r="S30122"/>
      <c r="T30122"/>
      <c r="U30122"/>
      <c r="X30122" s="60"/>
    </row>
    <row r="30123" spans="7:24" ht="15" customHeight="1">
      <c r="G30123"/>
      <c r="I30123"/>
      <c r="N30123"/>
      <c r="O30123" s="24"/>
      <c r="P30123"/>
      <c r="Q30123" s="24"/>
      <c r="R30123"/>
      <c r="S30123"/>
      <c r="T30123"/>
      <c r="U30123"/>
      <c r="X30123" s="60"/>
    </row>
    <row r="30124" spans="7:24" ht="15" customHeight="1">
      <c r="G30124"/>
      <c r="I30124"/>
      <c r="N30124"/>
      <c r="O30124" s="24"/>
      <c r="P30124"/>
      <c r="Q30124" s="24"/>
      <c r="R30124"/>
      <c r="S30124"/>
      <c r="T30124"/>
      <c r="U30124"/>
      <c r="X30124" s="60"/>
    </row>
    <row r="30125" spans="7:24" ht="15" customHeight="1">
      <c r="G30125"/>
      <c r="I30125"/>
      <c r="N30125"/>
      <c r="O30125" s="24"/>
      <c r="P30125"/>
      <c r="Q30125" s="24"/>
      <c r="R30125"/>
      <c r="S30125"/>
      <c r="T30125"/>
      <c r="U30125"/>
      <c r="X30125" s="60"/>
    </row>
    <row r="30126" spans="7:24" ht="15" customHeight="1">
      <c r="G30126"/>
      <c r="I30126"/>
      <c r="N30126"/>
      <c r="O30126" s="24"/>
      <c r="P30126"/>
      <c r="Q30126" s="24"/>
      <c r="R30126"/>
      <c r="S30126"/>
      <c r="T30126"/>
      <c r="U30126"/>
      <c r="X30126" s="60"/>
    </row>
    <row r="30127" spans="7:24" ht="15" customHeight="1">
      <c r="G30127"/>
      <c r="I30127"/>
      <c r="N30127"/>
      <c r="O30127" s="24"/>
      <c r="P30127"/>
      <c r="Q30127" s="24"/>
      <c r="R30127"/>
      <c r="S30127"/>
      <c r="T30127"/>
      <c r="U30127"/>
      <c r="X30127" s="60"/>
    </row>
    <row r="30128" spans="7:24" ht="15" customHeight="1">
      <c r="G30128"/>
      <c r="I30128"/>
      <c r="N30128"/>
      <c r="O30128" s="24"/>
      <c r="P30128"/>
      <c r="Q30128" s="24"/>
      <c r="R30128"/>
      <c r="S30128"/>
      <c r="T30128"/>
      <c r="U30128"/>
      <c r="X30128" s="60"/>
    </row>
    <row r="30129" spans="7:24" ht="15" customHeight="1">
      <c r="G30129"/>
      <c r="I30129"/>
      <c r="N30129"/>
      <c r="O30129" s="24"/>
      <c r="P30129"/>
      <c r="Q30129" s="24"/>
      <c r="R30129"/>
      <c r="S30129"/>
      <c r="T30129"/>
      <c r="U30129"/>
      <c r="X30129" s="60"/>
    </row>
    <row r="30130" spans="7:24" ht="15" customHeight="1">
      <c r="G30130"/>
      <c r="I30130"/>
      <c r="N30130"/>
      <c r="O30130" s="24"/>
      <c r="P30130"/>
      <c r="Q30130" s="24"/>
      <c r="R30130"/>
      <c r="S30130"/>
      <c r="T30130"/>
      <c r="U30130"/>
      <c r="X30130" s="60"/>
    </row>
    <row r="30131" spans="7:24" ht="15" customHeight="1">
      <c r="G30131"/>
      <c r="I30131"/>
      <c r="N30131"/>
      <c r="O30131" s="24"/>
      <c r="P30131"/>
      <c r="Q30131" s="24"/>
      <c r="R30131"/>
      <c r="S30131"/>
      <c r="T30131"/>
      <c r="U30131"/>
      <c r="X30131" s="60"/>
    </row>
    <row r="30132" spans="7:24" ht="15" customHeight="1">
      <c r="G30132"/>
      <c r="I30132"/>
      <c r="N30132"/>
      <c r="O30132" s="24"/>
      <c r="P30132"/>
      <c r="Q30132" s="24"/>
      <c r="R30132"/>
      <c r="S30132"/>
      <c r="T30132"/>
      <c r="U30132"/>
      <c r="X30132" s="60"/>
    </row>
    <row r="30133" spans="7:24" ht="15" customHeight="1">
      <c r="G30133"/>
      <c r="I30133"/>
      <c r="N30133"/>
      <c r="O30133" s="24"/>
      <c r="P30133"/>
      <c r="Q30133" s="24"/>
      <c r="R30133"/>
      <c r="S30133"/>
      <c r="T30133"/>
      <c r="U30133"/>
      <c r="X30133" s="60"/>
    </row>
    <row r="30134" spans="7:24" ht="15" customHeight="1">
      <c r="G30134"/>
      <c r="I30134"/>
      <c r="N30134"/>
      <c r="O30134" s="24"/>
      <c r="P30134"/>
      <c r="Q30134" s="24"/>
      <c r="R30134"/>
      <c r="S30134"/>
      <c r="T30134"/>
      <c r="U30134"/>
      <c r="X30134" s="60"/>
    </row>
    <row r="30135" spans="7:24" ht="15" customHeight="1">
      <c r="G30135"/>
      <c r="I30135"/>
      <c r="N30135"/>
      <c r="O30135" s="24"/>
      <c r="P30135"/>
      <c r="Q30135" s="24"/>
      <c r="R30135"/>
      <c r="S30135"/>
      <c r="T30135"/>
      <c r="U30135"/>
      <c r="X30135" s="60"/>
    </row>
    <row r="30136" spans="7:24" ht="15" customHeight="1">
      <c r="G30136"/>
      <c r="I30136"/>
      <c r="N30136"/>
      <c r="O30136" s="24"/>
      <c r="P30136"/>
      <c r="Q30136" s="24"/>
      <c r="R30136"/>
      <c r="S30136"/>
      <c r="T30136"/>
      <c r="U30136"/>
      <c r="X30136" s="60"/>
    </row>
    <row r="30137" spans="7:24" ht="15" customHeight="1">
      <c r="G30137"/>
      <c r="I30137"/>
      <c r="N30137"/>
      <c r="O30137" s="24"/>
      <c r="P30137"/>
      <c r="Q30137" s="24"/>
      <c r="R30137"/>
      <c r="S30137"/>
      <c r="T30137"/>
      <c r="U30137"/>
      <c r="X30137" s="60"/>
    </row>
    <row r="30138" spans="7:24" ht="15" customHeight="1">
      <c r="G30138"/>
      <c r="I30138"/>
      <c r="N30138"/>
      <c r="O30138" s="24"/>
      <c r="P30138"/>
      <c r="Q30138" s="24"/>
      <c r="R30138"/>
      <c r="S30138"/>
      <c r="T30138"/>
      <c r="U30138"/>
      <c r="X30138" s="60"/>
    </row>
    <row r="30139" spans="7:24" ht="15" customHeight="1">
      <c r="G30139"/>
      <c r="I30139"/>
      <c r="N30139"/>
      <c r="O30139" s="24"/>
      <c r="P30139"/>
      <c r="Q30139" s="24"/>
      <c r="R30139"/>
      <c r="S30139"/>
      <c r="T30139"/>
      <c r="U30139"/>
      <c r="X30139" s="60"/>
    </row>
    <row r="30140" spans="7:24" ht="15" customHeight="1">
      <c r="G30140"/>
      <c r="I30140"/>
      <c r="N30140"/>
      <c r="O30140" s="24"/>
      <c r="P30140"/>
      <c r="Q30140" s="24"/>
      <c r="R30140"/>
      <c r="S30140"/>
      <c r="T30140"/>
      <c r="U30140"/>
      <c r="X30140" s="60"/>
    </row>
    <row r="30141" spans="7:24" ht="15" customHeight="1">
      <c r="G30141"/>
      <c r="I30141"/>
      <c r="N30141"/>
      <c r="O30141" s="24"/>
      <c r="P30141"/>
      <c r="Q30141" s="24"/>
      <c r="R30141"/>
      <c r="S30141"/>
      <c r="T30141"/>
      <c r="U30141"/>
      <c r="X30141" s="60"/>
    </row>
    <row r="30142" spans="7:24" ht="15" customHeight="1">
      <c r="G30142"/>
      <c r="I30142"/>
      <c r="N30142"/>
      <c r="O30142" s="24"/>
      <c r="P30142"/>
      <c r="Q30142" s="24"/>
      <c r="R30142"/>
      <c r="S30142"/>
      <c r="T30142"/>
      <c r="U30142"/>
      <c r="X30142" s="60"/>
    </row>
    <row r="30143" spans="7:24" ht="15" customHeight="1">
      <c r="G30143"/>
      <c r="I30143"/>
      <c r="N30143"/>
      <c r="O30143" s="24"/>
      <c r="P30143"/>
      <c r="Q30143" s="24"/>
      <c r="R30143"/>
      <c r="S30143"/>
      <c r="T30143"/>
      <c r="U30143"/>
      <c r="X30143" s="60"/>
    </row>
    <row r="30144" spans="7:24" ht="15" customHeight="1">
      <c r="G30144"/>
      <c r="I30144"/>
      <c r="N30144"/>
      <c r="O30144" s="24"/>
      <c r="P30144"/>
      <c r="Q30144" s="24"/>
      <c r="R30144"/>
      <c r="S30144"/>
      <c r="T30144"/>
      <c r="U30144"/>
      <c r="X30144" s="60"/>
    </row>
    <row r="30145" spans="7:24" ht="15" customHeight="1">
      <c r="G30145"/>
      <c r="I30145"/>
      <c r="N30145"/>
      <c r="O30145" s="24"/>
      <c r="P30145"/>
      <c r="Q30145" s="24"/>
      <c r="R30145"/>
      <c r="S30145"/>
      <c r="T30145"/>
      <c r="U30145"/>
      <c r="X30145" s="60"/>
    </row>
    <row r="30146" spans="7:24" ht="15" customHeight="1">
      <c r="G30146"/>
      <c r="I30146"/>
      <c r="N30146"/>
      <c r="O30146" s="24"/>
      <c r="P30146"/>
      <c r="Q30146" s="24"/>
      <c r="R30146"/>
      <c r="S30146"/>
      <c r="T30146"/>
      <c r="U30146"/>
      <c r="X30146" s="60"/>
    </row>
    <row r="30147" spans="7:24" ht="15" customHeight="1">
      <c r="G30147"/>
      <c r="I30147"/>
      <c r="N30147"/>
      <c r="O30147" s="24"/>
      <c r="P30147"/>
      <c r="Q30147" s="24"/>
      <c r="R30147"/>
      <c r="S30147"/>
      <c r="T30147"/>
      <c r="U30147"/>
      <c r="X30147" s="60"/>
    </row>
    <row r="30148" spans="7:24" ht="15" customHeight="1">
      <c r="G30148"/>
      <c r="I30148"/>
      <c r="N30148"/>
      <c r="O30148" s="24"/>
      <c r="P30148"/>
      <c r="Q30148" s="24"/>
      <c r="R30148"/>
      <c r="S30148"/>
      <c r="T30148"/>
      <c r="U30148"/>
      <c r="X30148" s="60"/>
    </row>
    <row r="30149" spans="7:24" ht="15" customHeight="1">
      <c r="G30149"/>
      <c r="I30149"/>
      <c r="N30149"/>
      <c r="O30149" s="24"/>
      <c r="P30149"/>
      <c r="Q30149" s="24"/>
      <c r="R30149"/>
      <c r="S30149"/>
      <c r="T30149"/>
      <c r="U30149"/>
      <c r="X30149" s="60"/>
    </row>
    <row r="30150" spans="7:24" ht="15" customHeight="1">
      <c r="G30150"/>
      <c r="I30150"/>
      <c r="N30150"/>
      <c r="O30150" s="24"/>
      <c r="P30150"/>
      <c r="Q30150" s="24"/>
      <c r="R30150"/>
      <c r="S30150"/>
      <c r="T30150"/>
      <c r="U30150"/>
      <c r="X30150" s="60"/>
    </row>
    <row r="30151" spans="7:24" ht="15" customHeight="1">
      <c r="G30151"/>
      <c r="I30151"/>
      <c r="N30151"/>
      <c r="O30151" s="24"/>
      <c r="P30151"/>
      <c r="Q30151" s="24"/>
      <c r="R30151"/>
      <c r="S30151"/>
      <c r="T30151"/>
      <c r="U30151"/>
      <c r="X30151" s="60"/>
    </row>
    <row r="30152" spans="7:24" ht="15" customHeight="1">
      <c r="G30152"/>
      <c r="I30152"/>
      <c r="N30152"/>
      <c r="O30152" s="24"/>
      <c r="P30152"/>
      <c r="Q30152" s="24"/>
      <c r="R30152"/>
      <c r="S30152"/>
      <c r="T30152"/>
      <c r="U30152"/>
      <c r="X30152" s="60"/>
    </row>
    <row r="30153" spans="7:24" ht="15" customHeight="1">
      <c r="G30153"/>
      <c r="I30153"/>
      <c r="N30153"/>
      <c r="O30153" s="24"/>
      <c r="P30153"/>
      <c r="Q30153" s="24"/>
      <c r="R30153"/>
      <c r="S30153"/>
      <c r="T30153"/>
      <c r="U30153"/>
      <c r="X30153" s="60"/>
    </row>
    <row r="30154" spans="7:24" ht="15" customHeight="1">
      <c r="G30154"/>
      <c r="I30154"/>
      <c r="N30154"/>
      <c r="O30154" s="24"/>
      <c r="P30154"/>
      <c r="Q30154" s="24"/>
      <c r="R30154"/>
      <c r="S30154"/>
      <c r="T30154"/>
      <c r="U30154"/>
      <c r="X30154" s="60"/>
    </row>
    <row r="30155" spans="7:24" ht="15" customHeight="1">
      <c r="G30155"/>
      <c r="I30155"/>
      <c r="N30155"/>
      <c r="O30155" s="24"/>
      <c r="P30155"/>
      <c r="Q30155" s="24"/>
      <c r="R30155"/>
      <c r="S30155"/>
      <c r="T30155"/>
      <c r="U30155"/>
      <c r="X30155" s="60"/>
    </row>
    <row r="30156" spans="7:24" ht="15" customHeight="1">
      <c r="G30156"/>
      <c r="I30156"/>
      <c r="N30156"/>
      <c r="O30156" s="24"/>
      <c r="P30156"/>
      <c r="Q30156" s="24"/>
      <c r="R30156"/>
      <c r="S30156"/>
      <c r="T30156"/>
      <c r="U30156"/>
      <c r="X30156" s="60"/>
    </row>
    <row r="30157" spans="7:24" ht="15" customHeight="1">
      <c r="G30157"/>
      <c r="I30157"/>
      <c r="N30157"/>
      <c r="O30157" s="24"/>
      <c r="P30157"/>
      <c r="Q30157" s="24"/>
      <c r="R30157"/>
      <c r="S30157"/>
      <c r="T30157"/>
      <c r="U30157"/>
      <c r="X30157" s="60"/>
    </row>
    <row r="30158" spans="7:24" ht="15" customHeight="1">
      <c r="G30158"/>
      <c r="I30158"/>
      <c r="N30158"/>
      <c r="O30158" s="24"/>
      <c r="P30158"/>
      <c r="Q30158" s="24"/>
      <c r="R30158"/>
      <c r="S30158"/>
      <c r="T30158"/>
      <c r="U30158"/>
      <c r="X30158" s="60"/>
    </row>
    <row r="30159" spans="7:24" ht="15" customHeight="1">
      <c r="G30159"/>
      <c r="I30159"/>
      <c r="N30159"/>
      <c r="O30159" s="24"/>
      <c r="P30159"/>
      <c r="Q30159" s="24"/>
      <c r="R30159"/>
      <c r="S30159"/>
      <c r="T30159"/>
      <c r="U30159"/>
      <c r="X30159" s="60"/>
    </row>
    <row r="30160" spans="7:24" ht="15" customHeight="1">
      <c r="G30160"/>
      <c r="I30160"/>
      <c r="N30160"/>
      <c r="O30160" s="24"/>
      <c r="P30160"/>
      <c r="Q30160" s="24"/>
      <c r="R30160"/>
      <c r="S30160"/>
      <c r="T30160"/>
      <c r="U30160"/>
      <c r="X30160" s="60"/>
    </row>
    <row r="30161" spans="7:24" ht="15" customHeight="1">
      <c r="G30161"/>
      <c r="I30161"/>
      <c r="N30161"/>
      <c r="O30161" s="24"/>
      <c r="P30161"/>
      <c r="Q30161" s="24"/>
      <c r="R30161"/>
      <c r="S30161"/>
      <c r="T30161"/>
      <c r="U30161"/>
      <c r="X30161" s="60"/>
    </row>
    <row r="30162" spans="7:24" ht="15" customHeight="1">
      <c r="G30162"/>
      <c r="I30162"/>
      <c r="N30162"/>
      <c r="O30162" s="24"/>
      <c r="P30162"/>
      <c r="Q30162" s="24"/>
      <c r="R30162"/>
      <c r="S30162"/>
      <c r="T30162"/>
      <c r="U30162"/>
      <c r="X30162" s="60"/>
    </row>
    <row r="30163" spans="7:24" ht="15" customHeight="1">
      <c r="G30163"/>
      <c r="I30163"/>
      <c r="N30163"/>
      <c r="O30163" s="24"/>
      <c r="P30163"/>
      <c r="Q30163" s="24"/>
      <c r="R30163"/>
      <c r="S30163"/>
      <c r="T30163"/>
      <c r="U30163"/>
      <c r="X30163" s="60"/>
    </row>
    <row r="30164" spans="7:24" ht="15" customHeight="1">
      <c r="G30164"/>
      <c r="I30164"/>
      <c r="N30164"/>
      <c r="O30164" s="24"/>
      <c r="P30164"/>
      <c r="Q30164" s="24"/>
      <c r="R30164"/>
      <c r="S30164"/>
      <c r="T30164"/>
      <c r="U30164"/>
      <c r="X30164" s="60"/>
    </row>
    <row r="30165" spans="7:24" ht="15" customHeight="1">
      <c r="G30165"/>
      <c r="I30165"/>
      <c r="N30165"/>
      <c r="O30165" s="24"/>
      <c r="P30165"/>
      <c r="Q30165" s="24"/>
      <c r="R30165"/>
      <c r="S30165"/>
      <c r="T30165"/>
      <c r="U30165"/>
      <c r="X30165" s="60"/>
    </row>
    <row r="30166" spans="7:24" ht="15" customHeight="1">
      <c r="G30166"/>
      <c r="I30166"/>
      <c r="N30166"/>
      <c r="O30166" s="24"/>
      <c r="P30166"/>
      <c r="Q30166" s="24"/>
      <c r="R30166"/>
      <c r="S30166"/>
      <c r="T30166"/>
      <c r="U30166"/>
      <c r="X30166" s="60"/>
    </row>
    <row r="30167" spans="7:24" ht="15" customHeight="1">
      <c r="G30167"/>
      <c r="I30167"/>
      <c r="N30167"/>
      <c r="O30167" s="24"/>
      <c r="P30167"/>
      <c r="Q30167" s="24"/>
      <c r="R30167"/>
      <c r="S30167"/>
      <c r="T30167"/>
      <c r="U30167"/>
      <c r="X30167" s="60"/>
    </row>
    <row r="30168" spans="7:24" ht="15" customHeight="1">
      <c r="G30168"/>
      <c r="I30168"/>
      <c r="N30168"/>
      <c r="O30168" s="24"/>
      <c r="P30168"/>
      <c r="Q30168" s="24"/>
      <c r="R30168"/>
      <c r="S30168"/>
      <c r="T30168"/>
      <c r="U30168"/>
      <c r="X30168" s="60"/>
    </row>
    <row r="30169" spans="7:24" ht="15" customHeight="1">
      <c r="G30169"/>
      <c r="I30169"/>
      <c r="N30169"/>
      <c r="O30169" s="24"/>
      <c r="P30169"/>
      <c r="Q30169" s="24"/>
      <c r="R30169"/>
      <c r="S30169"/>
      <c r="T30169"/>
      <c r="U30169"/>
      <c r="X30169" s="60"/>
    </row>
    <row r="30170" spans="7:24" ht="15" customHeight="1">
      <c r="G30170"/>
      <c r="I30170"/>
      <c r="N30170"/>
      <c r="O30170" s="24"/>
      <c r="P30170"/>
      <c r="Q30170" s="24"/>
      <c r="R30170"/>
      <c r="S30170"/>
      <c r="T30170"/>
      <c r="U30170"/>
      <c r="X30170" s="60"/>
    </row>
    <row r="30171" spans="7:24" ht="15" customHeight="1">
      <c r="G30171"/>
      <c r="I30171"/>
      <c r="N30171"/>
      <c r="O30171" s="24"/>
      <c r="P30171"/>
      <c r="Q30171" s="24"/>
      <c r="R30171"/>
      <c r="S30171"/>
      <c r="T30171"/>
      <c r="U30171"/>
      <c r="X30171" s="60"/>
    </row>
    <row r="30172" spans="7:24" ht="15" customHeight="1">
      <c r="G30172"/>
      <c r="I30172"/>
      <c r="N30172"/>
      <c r="O30172" s="24"/>
      <c r="P30172"/>
      <c r="Q30172" s="24"/>
      <c r="R30172"/>
      <c r="S30172"/>
      <c r="T30172"/>
      <c r="U30172"/>
      <c r="X30172" s="60"/>
    </row>
    <row r="30173" spans="7:24" ht="15" customHeight="1">
      <c r="G30173"/>
      <c r="I30173"/>
      <c r="N30173"/>
      <c r="O30173" s="24"/>
      <c r="P30173"/>
      <c r="Q30173" s="24"/>
      <c r="R30173"/>
      <c r="S30173"/>
      <c r="T30173"/>
      <c r="U30173"/>
      <c r="X30173" s="60"/>
    </row>
    <row r="30174" spans="7:24" ht="15" customHeight="1">
      <c r="G30174"/>
      <c r="I30174"/>
      <c r="N30174"/>
      <c r="O30174" s="24"/>
      <c r="P30174"/>
      <c r="Q30174" s="24"/>
      <c r="R30174"/>
      <c r="S30174"/>
      <c r="T30174"/>
      <c r="U30174"/>
      <c r="X30174" s="60"/>
    </row>
    <row r="30175" spans="7:24" ht="15" customHeight="1">
      <c r="G30175"/>
      <c r="I30175"/>
      <c r="N30175"/>
      <c r="O30175" s="24"/>
      <c r="P30175"/>
      <c r="Q30175" s="24"/>
      <c r="R30175"/>
      <c r="S30175"/>
      <c r="T30175"/>
      <c r="U30175"/>
      <c r="X30175" s="60"/>
    </row>
    <row r="30176" spans="7:24" ht="15" customHeight="1">
      <c r="G30176"/>
      <c r="I30176"/>
      <c r="N30176"/>
      <c r="O30176" s="24"/>
      <c r="P30176"/>
      <c r="Q30176" s="24"/>
      <c r="R30176"/>
      <c r="S30176"/>
      <c r="T30176"/>
      <c r="U30176"/>
      <c r="X30176" s="60"/>
    </row>
    <row r="30177" spans="7:24" ht="15" customHeight="1">
      <c r="G30177"/>
      <c r="I30177"/>
      <c r="N30177"/>
      <c r="O30177" s="24"/>
      <c r="P30177"/>
      <c r="Q30177" s="24"/>
      <c r="R30177"/>
      <c r="S30177"/>
      <c r="T30177"/>
      <c r="U30177"/>
      <c r="X30177" s="60"/>
    </row>
    <row r="30178" spans="7:24" ht="15" customHeight="1">
      <c r="G30178"/>
      <c r="I30178"/>
      <c r="N30178"/>
      <c r="O30178" s="24"/>
      <c r="P30178"/>
      <c r="Q30178" s="24"/>
      <c r="R30178"/>
      <c r="S30178"/>
      <c r="T30178"/>
      <c r="U30178"/>
      <c r="X30178" s="60"/>
    </row>
    <row r="30179" spans="7:24" ht="15" customHeight="1">
      <c r="G30179"/>
      <c r="I30179"/>
      <c r="N30179"/>
      <c r="O30179" s="24"/>
      <c r="P30179"/>
      <c r="Q30179" s="24"/>
      <c r="R30179"/>
      <c r="S30179"/>
      <c r="T30179"/>
      <c r="U30179"/>
      <c r="X30179" s="60"/>
    </row>
    <row r="30180" spans="7:24" ht="15" customHeight="1">
      <c r="G30180"/>
      <c r="I30180"/>
      <c r="N30180"/>
      <c r="O30180" s="24"/>
      <c r="P30180"/>
      <c r="Q30180" s="24"/>
      <c r="R30180"/>
      <c r="S30180"/>
      <c r="T30180"/>
      <c r="U30180"/>
      <c r="X30180" s="60"/>
    </row>
    <row r="30181" spans="7:24" ht="15" customHeight="1">
      <c r="G30181"/>
      <c r="I30181"/>
      <c r="N30181"/>
      <c r="O30181" s="24"/>
      <c r="P30181"/>
      <c r="Q30181" s="24"/>
      <c r="R30181"/>
      <c r="S30181"/>
      <c r="T30181"/>
      <c r="U30181"/>
      <c r="X30181" s="60"/>
    </row>
    <row r="30182" spans="7:24" ht="15" customHeight="1">
      <c r="G30182"/>
      <c r="I30182"/>
      <c r="N30182"/>
      <c r="O30182" s="24"/>
      <c r="P30182"/>
      <c r="Q30182" s="24"/>
      <c r="R30182"/>
      <c r="S30182"/>
      <c r="T30182"/>
      <c r="U30182"/>
      <c r="X30182" s="60"/>
    </row>
    <row r="30183" spans="7:24" ht="15" customHeight="1">
      <c r="G30183"/>
      <c r="I30183"/>
      <c r="N30183"/>
      <c r="O30183" s="24"/>
      <c r="P30183"/>
      <c r="Q30183" s="24"/>
      <c r="R30183"/>
      <c r="S30183"/>
      <c r="T30183"/>
      <c r="U30183"/>
      <c r="X30183" s="60"/>
    </row>
    <row r="30184" spans="7:24" ht="15" customHeight="1">
      <c r="G30184"/>
      <c r="I30184"/>
      <c r="N30184"/>
      <c r="O30184" s="24"/>
      <c r="P30184"/>
      <c r="Q30184" s="24"/>
      <c r="R30184"/>
      <c r="S30184"/>
      <c r="T30184"/>
      <c r="U30184"/>
      <c r="X30184" s="60"/>
    </row>
    <row r="30185" spans="7:24" ht="15" customHeight="1">
      <c r="G30185"/>
      <c r="I30185"/>
      <c r="N30185"/>
      <c r="O30185" s="24"/>
      <c r="P30185"/>
      <c r="Q30185" s="24"/>
      <c r="R30185"/>
      <c r="S30185"/>
      <c r="T30185"/>
      <c r="U30185"/>
      <c r="X30185" s="60"/>
    </row>
    <row r="30186" spans="7:24" ht="15" customHeight="1">
      <c r="G30186"/>
      <c r="I30186"/>
      <c r="N30186"/>
      <c r="O30186" s="24"/>
      <c r="P30186"/>
      <c r="Q30186" s="24"/>
      <c r="R30186"/>
      <c r="S30186"/>
      <c r="T30186"/>
      <c r="U30186"/>
      <c r="X30186" s="60"/>
    </row>
    <row r="30187" spans="7:24" ht="15" customHeight="1">
      <c r="G30187"/>
      <c r="I30187"/>
      <c r="N30187"/>
      <c r="O30187" s="24"/>
      <c r="P30187"/>
      <c r="Q30187" s="24"/>
      <c r="R30187"/>
      <c r="S30187"/>
      <c r="T30187"/>
      <c r="U30187"/>
      <c r="X30187" s="60"/>
    </row>
    <row r="30188" spans="7:24" ht="15" customHeight="1">
      <c r="G30188"/>
      <c r="I30188"/>
      <c r="N30188"/>
      <c r="O30188" s="24"/>
      <c r="P30188"/>
      <c r="Q30188" s="24"/>
      <c r="R30188"/>
      <c r="S30188"/>
      <c r="T30188"/>
      <c r="U30188"/>
      <c r="X30188" s="60"/>
    </row>
    <row r="30189" spans="7:24" ht="15" customHeight="1">
      <c r="G30189"/>
      <c r="I30189"/>
      <c r="N30189"/>
      <c r="O30189" s="24"/>
      <c r="P30189"/>
      <c r="Q30189" s="24"/>
      <c r="R30189"/>
      <c r="S30189"/>
      <c r="T30189"/>
      <c r="U30189"/>
      <c r="X30189" s="60"/>
    </row>
    <row r="30190" spans="7:24" ht="15" customHeight="1">
      <c r="G30190"/>
      <c r="I30190"/>
      <c r="N30190"/>
      <c r="O30190" s="24"/>
      <c r="P30190"/>
      <c r="Q30190" s="24"/>
      <c r="R30190"/>
      <c r="S30190"/>
      <c r="T30190"/>
      <c r="U30190"/>
      <c r="X30190" s="60"/>
    </row>
    <row r="30191" spans="7:24" ht="15" customHeight="1">
      <c r="G30191"/>
      <c r="I30191"/>
      <c r="N30191"/>
      <c r="O30191" s="24"/>
      <c r="P30191"/>
      <c r="Q30191" s="24"/>
      <c r="R30191"/>
      <c r="S30191"/>
      <c r="T30191"/>
      <c r="U30191"/>
      <c r="X30191" s="60"/>
    </row>
    <row r="30192" spans="7:24" ht="15" customHeight="1">
      <c r="G30192"/>
      <c r="I30192"/>
      <c r="N30192"/>
      <c r="O30192" s="24"/>
      <c r="P30192"/>
      <c r="Q30192" s="24"/>
      <c r="R30192"/>
      <c r="S30192"/>
      <c r="T30192"/>
      <c r="U30192"/>
      <c r="X30192" s="60"/>
    </row>
    <row r="30193" spans="7:24" ht="15" customHeight="1">
      <c r="G30193"/>
      <c r="I30193"/>
      <c r="N30193"/>
      <c r="O30193" s="24"/>
      <c r="P30193"/>
      <c r="Q30193" s="24"/>
      <c r="R30193"/>
      <c r="S30193"/>
      <c r="T30193"/>
      <c r="U30193"/>
      <c r="X30193" s="60"/>
    </row>
    <row r="30194" spans="7:24" ht="15" customHeight="1">
      <c r="G30194"/>
      <c r="I30194"/>
      <c r="N30194"/>
      <c r="O30194" s="24"/>
      <c r="P30194"/>
      <c r="Q30194" s="24"/>
      <c r="R30194"/>
      <c r="S30194"/>
      <c r="T30194"/>
      <c r="U30194"/>
      <c r="X30194" s="60"/>
    </row>
    <row r="30195" spans="7:24" ht="15" customHeight="1">
      <c r="G30195"/>
      <c r="I30195"/>
      <c r="N30195"/>
      <c r="O30195" s="24"/>
      <c r="P30195"/>
      <c r="Q30195" s="24"/>
      <c r="R30195"/>
      <c r="S30195"/>
      <c r="T30195"/>
      <c r="U30195"/>
      <c r="X30195" s="60"/>
    </row>
    <row r="30196" spans="7:24" ht="15" customHeight="1">
      <c r="G30196"/>
      <c r="I30196"/>
      <c r="N30196"/>
      <c r="O30196" s="24"/>
      <c r="P30196"/>
      <c r="Q30196" s="24"/>
      <c r="R30196"/>
      <c r="S30196"/>
      <c r="T30196"/>
      <c r="U30196"/>
      <c r="X30196" s="60"/>
    </row>
    <row r="30197" spans="7:24" ht="15" customHeight="1">
      <c r="G30197"/>
      <c r="I30197"/>
      <c r="N30197"/>
      <c r="O30197" s="24"/>
      <c r="P30197"/>
      <c r="Q30197" s="24"/>
      <c r="R30197"/>
      <c r="S30197"/>
      <c r="T30197"/>
      <c r="U30197"/>
      <c r="X30197" s="60"/>
    </row>
    <row r="30198" spans="7:24" ht="15" customHeight="1">
      <c r="G30198"/>
      <c r="I30198"/>
      <c r="N30198"/>
      <c r="O30198" s="24"/>
      <c r="P30198"/>
      <c r="Q30198" s="24"/>
      <c r="R30198"/>
      <c r="S30198"/>
      <c r="T30198"/>
      <c r="U30198"/>
      <c r="X30198" s="60"/>
    </row>
    <row r="30199" spans="7:24" ht="15" customHeight="1">
      <c r="G30199"/>
      <c r="I30199"/>
      <c r="N30199"/>
      <c r="O30199" s="24"/>
      <c r="P30199"/>
      <c r="Q30199" s="24"/>
      <c r="R30199"/>
      <c r="S30199"/>
      <c r="T30199"/>
      <c r="U30199"/>
      <c r="X30199" s="60"/>
    </row>
    <row r="30200" spans="7:24" ht="15" customHeight="1">
      <c r="G30200"/>
      <c r="I30200"/>
      <c r="N30200"/>
      <c r="O30200" s="24"/>
      <c r="P30200"/>
      <c r="Q30200" s="24"/>
      <c r="R30200"/>
      <c r="S30200"/>
      <c r="T30200"/>
      <c r="U30200"/>
      <c r="X30200" s="60"/>
    </row>
    <row r="30201" spans="7:24" ht="15" customHeight="1">
      <c r="G30201"/>
      <c r="I30201"/>
      <c r="N30201"/>
      <c r="O30201" s="24"/>
      <c r="P30201"/>
      <c r="Q30201" s="24"/>
      <c r="R30201"/>
      <c r="S30201"/>
      <c r="T30201"/>
      <c r="U30201"/>
      <c r="X30201" s="60"/>
    </row>
    <row r="30202" spans="7:24" ht="15" customHeight="1">
      <c r="G30202"/>
      <c r="I30202"/>
      <c r="N30202"/>
      <c r="O30202" s="24"/>
      <c r="P30202"/>
      <c r="Q30202" s="24"/>
      <c r="R30202"/>
      <c r="S30202"/>
      <c r="T30202"/>
      <c r="U30202"/>
      <c r="X30202" s="60"/>
    </row>
    <row r="30203" spans="7:24" ht="15" customHeight="1">
      <c r="G30203"/>
      <c r="I30203"/>
      <c r="N30203"/>
      <c r="O30203" s="24"/>
      <c r="P30203"/>
      <c r="Q30203" s="24"/>
      <c r="R30203"/>
      <c r="S30203"/>
      <c r="T30203"/>
      <c r="U30203"/>
      <c r="X30203" s="60"/>
    </row>
    <row r="30204" spans="7:24" ht="15" customHeight="1">
      <c r="G30204"/>
      <c r="I30204"/>
      <c r="N30204"/>
      <c r="O30204" s="24"/>
      <c r="P30204"/>
      <c r="Q30204" s="24"/>
      <c r="R30204"/>
      <c r="S30204"/>
      <c r="T30204"/>
      <c r="U30204"/>
      <c r="X30204" s="60"/>
    </row>
    <row r="30205" spans="7:24" ht="15" customHeight="1">
      <c r="G30205"/>
      <c r="I30205"/>
      <c r="N30205"/>
      <c r="O30205" s="24"/>
      <c r="P30205"/>
      <c r="Q30205" s="24"/>
      <c r="R30205"/>
      <c r="S30205"/>
      <c r="T30205"/>
      <c r="U30205"/>
      <c r="X30205" s="60"/>
    </row>
    <row r="30206" spans="7:24" ht="15" customHeight="1">
      <c r="G30206"/>
      <c r="I30206"/>
      <c r="N30206"/>
      <c r="O30206" s="24"/>
      <c r="P30206"/>
      <c r="Q30206" s="24"/>
      <c r="R30206"/>
      <c r="S30206"/>
      <c r="T30206"/>
      <c r="U30206"/>
      <c r="X30206" s="60"/>
    </row>
    <row r="30207" spans="7:24" ht="15" customHeight="1">
      <c r="G30207"/>
      <c r="I30207"/>
      <c r="N30207"/>
      <c r="O30207" s="24"/>
      <c r="P30207"/>
      <c r="Q30207" s="24"/>
      <c r="R30207"/>
      <c r="S30207"/>
      <c r="T30207"/>
      <c r="U30207"/>
      <c r="X30207" s="60"/>
    </row>
    <row r="30208" spans="7:24" ht="15" customHeight="1">
      <c r="G30208"/>
      <c r="I30208"/>
      <c r="N30208"/>
      <c r="O30208" s="24"/>
      <c r="P30208"/>
      <c r="Q30208" s="24"/>
      <c r="R30208"/>
      <c r="S30208"/>
      <c r="T30208"/>
      <c r="U30208"/>
      <c r="X30208" s="60"/>
    </row>
    <row r="30209" spans="7:24" ht="15" customHeight="1">
      <c r="G30209"/>
      <c r="I30209"/>
      <c r="N30209"/>
      <c r="O30209" s="24"/>
      <c r="P30209"/>
      <c r="Q30209" s="24"/>
      <c r="R30209"/>
      <c r="S30209"/>
      <c r="T30209"/>
      <c r="U30209"/>
      <c r="X30209" s="60"/>
    </row>
    <row r="30210" spans="7:24" ht="15" customHeight="1">
      <c r="G30210"/>
      <c r="I30210"/>
      <c r="N30210"/>
      <c r="O30210" s="24"/>
      <c r="P30210"/>
      <c r="Q30210" s="24"/>
      <c r="R30210"/>
      <c r="S30210"/>
      <c r="T30210"/>
      <c r="U30210"/>
      <c r="X30210" s="60"/>
    </row>
    <row r="30211" spans="7:24" ht="15" customHeight="1">
      <c r="G30211"/>
      <c r="I30211"/>
      <c r="N30211"/>
      <c r="O30211" s="24"/>
      <c r="P30211"/>
      <c r="Q30211" s="24"/>
      <c r="R30211"/>
      <c r="S30211"/>
      <c r="T30211"/>
      <c r="U30211"/>
      <c r="X30211" s="60"/>
    </row>
    <row r="30212" spans="7:24" ht="15" customHeight="1">
      <c r="G30212"/>
      <c r="I30212"/>
      <c r="N30212"/>
      <c r="O30212" s="24"/>
      <c r="P30212"/>
      <c r="Q30212" s="24"/>
      <c r="R30212"/>
      <c r="S30212"/>
      <c r="T30212"/>
      <c r="U30212"/>
      <c r="X30212" s="60"/>
    </row>
    <row r="30213" spans="7:24" ht="15" customHeight="1">
      <c r="G30213"/>
      <c r="I30213"/>
      <c r="N30213"/>
      <c r="O30213" s="24"/>
      <c r="P30213"/>
      <c r="Q30213" s="24"/>
      <c r="R30213"/>
      <c r="S30213"/>
      <c r="T30213"/>
      <c r="U30213"/>
      <c r="X30213" s="60"/>
    </row>
    <row r="30214" spans="7:24" ht="15" customHeight="1">
      <c r="G30214"/>
      <c r="I30214"/>
      <c r="N30214"/>
      <c r="O30214" s="24"/>
      <c r="P30214"/>
      <c r="Q30214" s="24"/>
      <c r="R30214"/>
      <c r="S30214"/>
      <c r="T30214"/>
      <c r="U30214"/>
      <c r="X30214" s="60"/>
    </row>
    <row r="30215" spans="7:24" ht="15" customHeight="1">
      <c r="G30215"/>
      <c r="I30215"/>
      <c r="N30215"/>
      <c r="O30215" s="24"/>
      <c r="P30215"/>
      <c r="Q30215" s="24"/>
      <c r="R30215"/>
      <c r="S30215"/>
      <c r="T30215"/>
      <c r="U30215"/>
      <c r="X30215" s="60"/>
    </row>
    <row r="30216" spans="7:24" ht="15" customHeight="1">
      <c r="G30216"/>
      <c r="I30216"/>
      <c r="N30216"/>
      <c r="O30216" s="24"/>
      <c r="P30216"/>
      <c r="Q30216" s="24"/>
      <c r="R30216"/>
      <c r="S30216"/>
      <c r="T30216"/>
      <c r="U30216"/>
      <c r="X30216" s="60"/>
    </row>
    <row r="30217" spans="7:24" ht="15" customHeight="1">
      <c r="G30217"/>
      <c r="I30217"/>
      <c r="N30217"/>
      <c r="O30217" s="24"/>
      <c r="P30217"/>
      <c r="Q30217" s="24"/>
      <c r="R30217"/>
      <c r="S30217"/>
      <c r="T30217"/>
      <c r="U30217"/>
      <c r="X30217" s="60"/>
    </row>
    <row r="30218" spans="7:24" ht="15" customHeight="1">
      <c r="G30218"/>
      <c r="I30218"/>
      <c r="N30218"/>
      <c r="O30218" s="24"/>
      <c r="P30218"/>
      <c r="Q30218" s="24"/>
      <c r="R30218"/>
      <c r="S30218"/>
      <c r="T30218"/>
      <c r="U30218"/>
      <c r="X30218" s="60"/>
    </row>
    <row r="30219" spans="7:24" ht="15" customHeight="1">
      <c r="G30219"/>
      <c r="I30219"/>
      <c r="N30219"/>
      <c r="O30219" s="24"/>
      <c r="P30219"/>
      <c r="Q30219" s="24"/>
      <c r="R30219"/>
      <c r="S30219"/>
      <c r="T30219"/>
      <c r="U30219"/>
      <c r="X30219" s="60"/>
    </row>
    <row r="30220" spans="7:24" ht="15" customHeight="1">
      <c r="G30220"/>
      <c r="I30220"/>
      <c r="N30220"/>
      <c r="O30220" s="24"/>
      <c r="P30220"/>
      <c r="Q30220" s="24"/>
      <c r="R30220"/>
      <c r="S30220"/>
      <c r="T30220"/>
      <c r="U30220"/>
      <c r="X30220" s="60"/>
    </row>
    <row r="30221" spans="7:24" ht="15" customHeight="1">
      <c r="G30221"/>
      <c r="I30221"/>
      <c r="N30221"/>
      <c r="O30221" s="24"/>
      <c r="P30221"/>
      <c r="Q30221" s="24"/>
      <c r="R30221"/>
      <c r="S30221"/>
      <c r="T30221"/>
      <c r="U30221"/>
      <c r="X30221" s="60"/>
    </row>
    <row r="30222" spans="7:24" ht="15" customHeight="1">
      <c r="G30222"/>
      <c r="I30222"/>
      <c r="N30222"/>
      <c r="O30222" s="24"/>
      <c r="P30222"/>
      <c r="Q30222" s="24"/>
      <c r="R30222"/>
      <c r="S30222"/>
      <c r="T30222"/>
      <c r="U30222"/>
      <c r="X30222" s="60"/>
    </row>
    <row r="30223" spans="7:24" ht="15" customHeight="1">
      <c r="G30223"/>
      <c r="I30223"/>
      <c r="N30223"/>
      <c r="O30223" s="24"/>
      <c r="P30223"/>
      <c r="Q30223" s="24"/>
      <c r="R30223"/>
      <c r="S30223"/>
      <c r="T30223"/>
      <c r="U30223"/>
      <c r="X30223" s="60"/>
    </row>
    <row r="30224" spans="7:24" ht="15" customHeight="1">
      <c r="G30224"/>
      <c r="I30224"/>
      <c r="N30224"/>
      <c r="O30224" s="24"/>
      <c r="P30224"/>
      <c r="Q30224" s="24"/>
      <c r="R30224"/>
      <c r="S30224"/>
      <c r="T30224"/>
      <c r="U30224"/>
      <c r="X30224" s="60"/>
    </row>
    <row r="30225" spans="7:24" ht="15" customHeight="1">
      <c r="G30225"/>
      <c r="I30225"/>
      <c r="N30225"/>
      <c r="O30225" s="24"/>
      <c r="P30225"/>
      <c r="Q30225" s="24"/>
      <c r="R30225"/>
      <c r="S30225"/>
      <c r="T30225"/>
      <c r="U30225"/>
      <c r="X30225" s="60"/>
    </row>
    <row r="30226" spans="7:24" ht="15" customHeight="1">
      <c r="G30226"/>
      <c r="I30226"/>
      <c r="N30226"/>
      <c r="O30226" s="24"/>
      <c r="P30226"/>
      <c r="Q30226" s="24"/>
      <c r="R30226"/>
      <c r="S30226"/>
      <c r="T30226"/>
      <c r="U30226"/>
      <c r="X30226" s="60"/>
    </row>
    <row r="30227" spans="7:24" ht="15" customHeight="1">
      <c r="G30227"/>
      <c r="I30227"/>
      <c r="N30227"/>
      <c r="O30227" s="24"/>
      <c r="P30227"/>
      <c r="Q30227" s="24"/>
      <c r="R30227"/>
      <c r="S30227"/>
      <c r="T30227"/>
      <c r="U30227"/>
      <c r="X30227" s="60"/>
    </row>
    <row r="30228" spans="7:24" ht="15" customHeight="1">
      <c r="G30228"/>
      <c r="I30228"/>
      <c r="N30228"/>
      <c r="O30228" s="24"/>
      <c r="P30228"/>
      <c r="Q30228" s="24"/>
      <c r="R30228"/>
      <c r="S30228"/>
      <c r="T30228"/>
      <c r="U30228"/>
      <c r="X30228" s="60"/>
    </row>
    <row r="30229" spans="7:24" ht="15" customHeight="1">
      <c r="G30229"/>
      <c r="I30229"/>
      <c r="N30229"/>
      <c r="O30229" s="24"/>
      <c r="P30229"/>
      <c r="Q30229" s="24"/>
      <c r="R30229"/>
      <c r="S30229"/>
      <c r="T30229"/>
      <c r="U30229"/>
      <c r="X30229" s="60"/>
    </row>
    <row r="30230" spans="7:24" ht="15" customHeight="1">
      <c r="G30230"/>
      <c r="I30230"/>
      <c r="N30230"/>
      <c r="O30230" s="24"/>
      <c r="P30230"/>
      <c r="Q30230" s="24"/>
      <c r="R30230"/>
      <c r="S30230"/>
      <c r="T30230"/>
      <c r="U30230"/>
      <c r="X30230" s="60"/>
    </row>
    <row r="30231" spans="7:24" ht="15" customHeight="1">
      <c r="G30231"/>
      <c r="I30231"/>
      <c r="N30231"/>
      <c r="O30231" s="24"/>
      <c r="P30231"/>
      <c r="Q30231" s="24"/>
      <c r="R30231"/>
      <c r="S30231"/>
      <c r="T30231"/>
      <c r="U30231"/>
      <c r="X30231" s="60"/>
    </row>
    <row r="30232" spans="7:24" ht="15" customHeight="1">
      <c r="G30232"/>
      <c r="I30232"/>
      <c r="N30232"/>
      <c r="O30232" s="24"/>
      <c r="P30232"/>
      <c r="Q30232" s="24"/>
      <c r="R30232"/>
      <c r="S30232"/>
      <c r="T30232"/>
      <c r="U30232"/>
      <c r="X30232" s="60"/>
    </row>
    <row r="30233" spans="7:24" ht="15" customHeight="1">
      <c r="G30233"/>
      <c r="I30233"/>
      <c r="N30233"/>
      <c r="O30233" s="24"/>
      <c r="P30233"/>
      <c r="Q30233" s="24"/>
      <c r="R30233"/>
      <c r="S30233"/>
      <c r="T30233"/>
      <c r="U30233"/>
      <c r="X30233" s="60"/>
    </row>
    <row r="30234" spans="7:24" ht="15" customHeight="1">
      <c r="G30234"/>
      <c r="I30234"/>
      <c r="N30234"/>
      <c r="O30234" s="24"/>
      <c r="P30234"/>
      <c r="Q30234" s="24"/>
      <c r="R30234"/>
      <c r="S30234"/>
      <c r="T30234"/>
      <c r="U30234"/>
      <c r="X30234" s="60"/>
    </row>
    <row r="30235" spans="7:24" ht="15" customHeight="1">
      <c r="G30235"/>
      <c r="I30235"/>
      <c r="N30235"/>
      <c r="O30235" s="24"/>
      <c r="P30235"/>
      <c r="Q30235" s="24"/>
      <c r="R30235"/>
      <c r="S30235"/>
      <c r="T30235"/>
      <c r="U30235"/>
      <c r="X30235" s="60"/>
    </row>
    <row r="30236" spans="7:24" ht="15" customHeight="1">
      <c r="G30236"/>
      <c r="I30236"/>
      <c r="N30236"/>
      <c r="O30236" s="24"/>
      <c r="P30236"/>
      <c r="Q30236" s="24"/>
      <c r="R30236"/>
      <c r="S30236"/>
      <c r="T30236"/>
      <c r="U30236"/>
      <c r="X30236" s="60"/>
    </row>
    <row r="30237" spans="7:24" ht="15" customHeight="1">
      <c r="G30237"/>
      <c r="I30237"/>
      <c r="N30237"/>
      <c r="O30237" s="24"/>
      <c r="P30237"/>
      <c r="Q30237" s="24"/>
      <c r="R30237"/>
      <c r="S30237"/>
      <c r="T30237"/>
      <c r="U30237"/>
      <c r="X30237" s="60"/>
    </row>
    <row r="30238" spans="7:24" ht="15" customHeight="1">
      <c r="G30238"/>
      <c r="I30238"/>
      <c r="N30238"/>
      <c r="O30238" s="24"/>
      <c r="P30238"/>
      <c r="Q30238" s="24"/>
      <c r="R30238"/>
      <c r="S30238"/>
      <c r="T30238"/>
      <c r="U30238"/>
      <c r="X30238" s="60"/>
    </row>
    <row r="30239" spans="7:24" ht="15" customHeight="1">
      <c r="G30239"/>
      <c r="I30239"/>
      <c r="N30239"/>
      <c r="O30239" s="24"/>
      <c r="P30239"/>
      <c r="Q30239" s="24"/>
      <c r="R30239"/>
      <c r="S30239"/>
      <c r="T30239"/>
      <c r="U30239"/>
      <c r="X30239" s="60"/>
    </row>
    <row r="30240" spans="7:24" ht="15" customHeight="1">
      <c r="G30240"/>
      <c r="I30240"/>
      <c r="N30240"/>
      <c r="O30240" s="24"/>
      <c r="P30240"/>
      <c r="Q30240" s="24"/>
      <c r="R30240"/>
      <c r="S30240"/>
      <c r="T30240"/>
      <c r="U30240"/>
      <c r="X30240" s="60"/>
    </row>
    <row r="30241" spans="7:24" ht="15" customHeight="1">
      <c r="G30241"/>
      <c r="I30241"/>
      <c r="N30241"/>
      <c r="O30241" s="24"/>
      <c r="P30241"/>
      <c r="Q30241" s="24"/>
      <c r="R30241"/>
      <c r="S30241"/>
      <c r="T30241"/>
      <c r="U30241"/>
      <c r="X30241" s="60"/>
    </row>
    <row r="30242" spans="7:24" ht="15" customHeight="1">
      <c r="G30242"/>
      <c r="I30242"/>
      <c r="N30242"/>
      <c r="O30242" s="24"/>
      <c r="P30242"/>
      <c r="Q30242" s="24"/>
      <c r="R30242"/>
      <c r="S30242"/>
      <c r="T30242"/>
      <c r="U30242"/>
      <c r="X30242" s="60"/>
    </row>
    <row r="30243" spans="7:24" ht="15" customHeight="1">
      <c r="G30243"/>
      <c r="I30243"/>
      <c r="N30243"/>
      <c r="O30243" s="24"/>
      <c r="P30243"/>
      <c r="Q30243" s="24"/>
      <c r="R30243"/>
      <c r="S30243"/>
      <c r="T30243"/>
      <c r="U30243"/>
      <c r="X30243" s="60"/>
    </row>
    <row r="30244" spans="7:24" ht="15" customHeight="1">
      <c r="G30244"/>
      <c r="I30244"/>
      <c r="N30244"/>
      <c r="O30244" s="24"/>
      <c r="P30244"/>
      <c r="Q30244" s="24"/>
      <c r="R30244"/>
      <c r="S30244"/>
      <c r="T30244"/>
      <c r="U30244"/>
      <c r="X30244" s="60"/>
    </row>
    <row r="30245" spans="7:24" ht="15" customHeight="1">
      <c r="G30245"/>
      <c r="I30245"/>
      <c r="N30245"/>
      <c r="O30245" s="24"/>
      <c r="P30245"/>
      <c r="Q30245" s="24"/>
      <c r="R30245"/>
      <c r="S30245"/>
      <c r="T30245"/>
      <c r="U30245"/>
      <c r="X30245" s="60"/>
    </row>
    <row r="30246" spans="7:24" ht="15" customHeight="1">
      <c r="G30246"/>
      <c r="I30246"/>
      <c r="N30246"/>
      <c r="O30246" s="24"/>
      <c r="P30246"/>
      <c r="Q30246" s="24"/>
      <c r="R30246"/>
      <c r="S30246"/>
      <c r="T30246"/>
      <c r="U30246"/>
      <c r="X30246" s="60"/>
    </row>
    <row r="30247" spans="7:24" ht="15" customHeight="1">
      <c r="G30247"/>
      <c r="I30247"/>
      <c r="N30247"/>
      <c r="O30247" s="24"/>
      <c r="P30247"/>
      <c r="Q30247" s="24"/>
      <c r="R30247"/>
      <c r="S30247"/>
      <c r="T30247"/>
      <c r="U30247"/>
      <c r="X30247" s="60"/>
    </row>
    <row r="30248" spans="7:24" ht="15" customHeight="1">
      <c r="G30248"/>
      <c r="I30248"/>
      <c r="N30248"/>
      <c r="O30248" s="24"/>
      <c r="P30248"/>
      <c r="Q30248" s="24"/>
      <c r="R30248"/>
      <c r="S30248"/>
      <c r="T30248"/>
      <c r="U30248"/>
      <c r="X30248" s="60"/>
    </row>
    <row r="30249" spans="7:24" ht="15" customHeight="1">
      <c r="G30249"/>
      <c r="I30249"/>
      <c r="N30249"/>
      <c r="O30249" s="24"/>
      <c r="P30249"/>
      <c r="Q30249" s="24"/>
      <c r="R30249"/>
      <c r="S30249"/>
      <c r="T30249"/>
      <c r="U30249"/>
      <c r="X30249" s="60"/>
    </row>
    <row r="30250" spans="7:24" ht="15" customHeight="1">
      <c r="G30250"/>
      <c r="I30250"/>
      <c r="N30250"/>
      <c r="O30250" s="24"/>
      <c r="P30250"/>
      <c r="Q30250" s="24"/>
      <c r="R30250"/>
      <c r="S30250"/>
      <c r="T30250"/>
      <c r="U30250"/>
      <c r="X30250" s="60"/>
    </row>
    <row r="30251" spans="7:24" ht="15" customHeight="1">
      <c r="G30251"/>
      <c r="I30251"/>
      <c r="N30251"/>
      <c r="O30251" s="24"/>
      <c r="P30251"/>
      <c r="Q30251" s="24"/>
      <c r="R30251"/>
      <c r="S30251"/>
      <c r="T30251"/>
      <c r="U30251"/>
      <c r="X30251" s="60"/>
    </row>
    <row r="30252" spans="7:24" ht="15" customHeight="1">
      <c r="G30252"/>
      <c r="I30252"/>
      <c r="N30252"/>
      <c r="O30252" s="24"/>
      <c r="P30252"/>
      <c r="Q30252" s="24"/>
      <c r="R30252"/>
      <c r="S30252"/>
      <c r="T30252"/>
      <c r="U30252"/>
      <c r="X30252" s="60"/>
    </row>
    <row r="30253" spans="7:24" ht="15" customHeight="1">
      <c r="G30253"/>
      <c r="I30253"/>
      <c r="N30253"/>
      <c r="O30253" s="24"/>
      <c r="P30253"/>
      <c r="Q30253" s="24"/>
      <c r="R30253"/>
      <c r="S30253"/>
      <c r="T30253"/>
      <c r="U30253"/>
      <c r="X30253" s="60"/>
    </row>
    <row r="30254" spans="7:24" ht="15" customHeight="1">
      <c r="G30254"/>
      <c r="I30254"/>
      <c r="N30254"/>
      <c r="O30254" s="24"/>
      <c r="P30254"/>
      <c r="Q30254" s="24"/>
      <c r="R30254"/>
      <c r="S30254"/>
      <c r="T30254"/>
      <c r="U30254"/>
      <c r="X30254" s="60"/>
    </row>
    <row r="30255" spans="7:24" ht="15" customHeight="1">
      <c r="G30255"/>
      <c r="I30255"/>
      <c r="N30255"/>
      <c r="O30255" s="24"/>
      <c r="P30255"/>
      <c r="Q30255" s="24"/>
      <c r="R30255"/>
      <c r="S30255"/>
      <c r="T30255"/>
      <c r="U30255"/>
      <c r="X30255" s="60"/>
    </row>
    <row r="30256" spans="7:24" ht="15" customHeight="1">
      <c r="G30256"/>
      <c r="I30256"/>
      <c r="N30256"/>
      <c r="O30256" s="24"/>
      <c r="P30256"/>
      <c r="Q30256" s="24"/>
      <c r="R30256"/>
      <c r="S30256"/>
      <c r="T30256"/>
      <c r="U30256"/>
      <c r="X30256" s="60"/>
    </row>
    <row r="30257" spans="7:24" ht="15" customHeight="1">
      <c r="G30257"/>
      <c r="I30257"/>
      <c r="N30257"/>
      <c r="O30257" s="24"/>
      <c r="P30257"/>
      <c r="Q30257" s="24"/>
      <c r="R30257"/>
      <c r="S30257"/>
      <c r="T30257"/>
      <c r="U30257"/>
      <c r="X30257" s="60"/>
    </row>
    <row r="30258" spans="7:24" ht="15" customHeight="1">
      <c r="G30258"/>
      <c r="I30258"/>
      <c r="N30258"/>
      <c r="O30258" s="24"/>
      <c r="P30258"/>
      <c r="Q30258" s="24"/>
      <c r="R30258"/>
      <c r="S30258"/>
      <c r="T30258"/>
      <c r="U30258"/>
      <c r="X30258" s="60"/>
    </row>
    <row r="30259" spans="7:24" ht="15" customHeight="1">
      <c r="G30259"/>
      <c r="I30259"/>
      <c r="N30259"/>
      <c r="O30259" s="24"/>
      <c r="P30259"/>
      <c r="Q30259" s="24"/>
      <c r="R30259"/>
      <c r="S30259"/>
      <c r="T30259"/>
      <c r="U30259"/>
      <c r="X30259" s="60"/>
    </row>
    <row r="30260" spans="7:24" ht="15" customHeight="1">
      <c r="G30260"/>
      <c r="I30260"/>
      <c r="N30260"/>
      <c r="O30260" s="24"/>
      <c r="P30260"/>
      <c r="Q30260" s="24"/>
      <c r="R30260"/>
      <c r="S30260"/>
      <c r="T30260"/>
      <c r="U30260"/>
      <c r="X30260" s="60"/>
    </row>
    <row r="30261" spans="7:24" ht="15" customHeight="1">
      <c r="G30261"/>
      <c r="I30261"/>
      <c r="N30261"/>
      <c r="O30261" s="24"/>
      <c r="P30261"/>
      <c r="Q30261" s="24"/>
      <c r="R30261"/>
      <c r="S30261"/>
      <c r="T30261"/>
      <c r="U30261"/>
      <c r="X30261" s="60"/>
    </row>
    <row r="30262" spans="7:24" ht="15" customHeight="1">
      <c r="G30262"/>
      <c r="I30262"/>
      <c r="N30262"/>
      <c r="O30262" s="24"/>
      <c r="P30262"/>
      <c r="Q30262" s="24"/>
      <c r="R30262"/>
      <c r="S30262"/>
      <c r="T30262"/>
      <c r="U30262"/>
      <c r="X30262" s="60"/>
    </row>
    <row r="30263" spans="7:24" ht="15" customHeight="1">
      <c r="G30263"/>
      <c r="I30263"/>
      <c r="N30263"/>
      <c r="O30263" s="24"/>
      <c r="P30263"/>
      <c r="Q30263" s="24"/>
      <c r="R30263"/>
      <c r="S30263"/>
      <c r="T30263"/>
      <c r="U30263"/>
      <c r="X30263" s="60"/>
    </row>
    <row r="30264" spans="7:24" ht="15" customHeight="1">
      <c r="G30264"/>
      <c r="I30264"/>
      <c r="N30264"/>
      <c r="O30264" s="24"/>
      <c r="P30264"/>
      <c r="Q30264" s="24"/>
      <c r="R30264"/>
      <c r="S30264"/>
      <c r="T30264"/>
      <c r="U30264"/>
      <c r="X30264" s="60"/>
    </row>
    <row r="30265" spans="7:24" ht="15" customHeight="1">
      <c r="G30265"/>
      <c r="I30265"/>
      <c r="N30265"/>
      <c r="O30265" s="24"/>
      <c r="P30265"/>
      <c r="Q30265" s="24"/>
      <c r="R30265"/>
      <c r="S30265"/>
      <c r="T30265"/>
      <c r="U30265"/>
      <c r="X30265" s="60"/>
    </row>
    <row r="30266" spans="7:24" ht="15" customHeight="1">
      <c r="G30266"/>
      <c r="I30266"/>
      <c r="N30266"/>
      <c r="O30266" s="24"/>
      <c r="P30266"/>
      <c r="Q30266" s="24"/>
      <c r="R30266"/>
      <c r="S30266"/>
      <c r="T30266"/>
      <c r="U30266"/>
      <c r="X30266" s="60"/>
    </row>
    <row r="30267" spans="7:24" ht="15" customHeight="1">
      <c r="G30267"/>
      <c r="I30267"/>
      <c r="N30267"/>
      <c r="O30267" s="24"/>
      <c r="P30267"/>
      <c r="Q30267" s="24"/>
      <c r="R30267"/>
      <c r="S30267"/>
      <c r="T30267"/>
      <c r="U30267"/>
      <c r="X30267" s="60"/>
    </row>
    <row r="30268" spans="7:24" ht="15" customHeight="1">
      <c r="G30268"/>
      <c r="I30268"/>
      <c r="N30268"/>
      <c r="O30268" s="24"/>
      <c r="P30268"/>
      <c r="Q30268" s="24"/>
      <c r="R30268"/>
      <c r="S30268"/>
      <c r="T30268"/>
      <c r="U30268"/>
      <c r="X30268" s="60"/>
    </row>
    <row r="30269" spans="7:24" ht="15" customHeight="1">
      <c r="G30269"/>
      <c r="I30269"/>
      <c r="N30269"/>
      <c r="O30269" s="24"/>
      <c r="P30269"/>
      <c r="Q30269" s="24"/>
      <c r="R30269"/>
      <c r="S30269"/>
      <c r="T30269"/>
      <c r="U30269"/>
      <c r="X30269" s="60"/>
    </row>
    <row r="30270" spans="7:24" ht="15" customHeight="1">
      <c r="G30270"/>
      <c r="I30270"/>
      <c r="N30270"/>
      <c r="O30270" s="24"/>
      <c r="P30270"/>
      <c r="Q30270" s="24"/>
      <c r="R30270"/>
      <c r="S30270"/>
      <c r="T30270"/>
      <c r="U30270"/>
      <c r="X30270" s="60"/>
    </row>
    <row r="30271" spans="7:24" ht="15" customHeight="1">
      <c r="G30271"/>
      <c r="I30271"/>
      <c r="N30271"/>
      <c r="O30271" s="24"/>
      <c r="P30271"/>
      <c r="Q30271" s="24"/>
      <c r="R30271"/>
      <c r="S30271"/>
      <c r="T30271"/>
      <c r="U30271"/>
      <c r="X30271" s="60"/>
    </row>
    <row r="30272" spans="7:24" ht="15" customHeight="1">
      <c r="G30272"/>
      <c r="I30272"/>
      <c r="N30272"/>
      <c r="O30272" s="24"/>
      <c r="P30272"/>
      <c r="Q30272" s="24"/>
      <c r="R30272"/>
      <c r="S30272"/>
      <c r="T30272"/>
      <c r="U30272"/>
      <c r="X30272" s="60"/>
    </row>
    <row r="30273" spans="7:24" ht="15" customHeight="1">
      <c r="G30273"/>
      <c r="I30273"/>
      <c r="N30273"/>
      <c r="O30273" s="24"/>
      <c r="P30273"/>
      <c r="Q30273" s="24"/>
      <c r="R30273"/>
      <c r="S30273"/>
      <c r="T30273"/>
      <c r="U30273"/>
      <c r="X30273" s="60"/>
    </row>
    <row r="30274" spans="7:24" ht="15" customHeight="1">
      <c r="G30274"/>
      <c r="I30274"/>
      <c r="N30274"/>
      <c r="O30274" s="24"/>
      <c r="P30274"/>
      <c r="Q30274" s="24"/>
      <c r="R30274"/>
      <c r="S30274"/>
      <c r="T30274"/>
      <c r="U30274"/>
      <c r="X30274" s="60"/>
    </row>
    <row r="30275" spans="7:24" ht="15" customHeight="1">
      <c r="G30275"/>
      <c r="I30275"/>
      <c r="N30275"/>
      <c r="O30275" s="24"/>
      <c r="P30275"/>
      <c r="Q30275" s="24"/>
      <c r="R30275"/>
      <c r="S30275"/>
      <c r="T30275"/>
      <c r="U30275"/>
      <c r="X30275" s="60"/>
    </row>
    <row r="30276" spans="7:24" ht="15" customHeight="1">
      <c r="G30276"/>
      <c r="I30276"/>
      <c r="N30276"/>
      <c r="O30276" s="24"/>
      <c r="P30276"/>
      <c r="Q30276" s="24"/>
      <c r="R30276"/>
      <c r="S30276"/>
      <c r="T30276"/>
      <c r="U30276"/>
      <c r="X30276" s="60"/>
    </row>
    <row r="30277" spans="7:24" ht="15" customHeight="1">
      <c r="G30277"/>
      <c r="I30277"/>
      <c r="N30277"/>
      <c r="O30277" s="24"/>
      <c r="P30277"/>
      <c r="Q30277" s="24"/>
      <c r="R30277"/>
      <c r="S30277"/>
      <c r="T30277"/>
      <c r="U30277"/>
      <c r="X30277" s="60"/>
    </row>
    <row r="30278" spans="7:24" ht="15" customHeight="1">
      <c r="G30278"/>
      <c r="I30278"/>
      <c r="N30278"/>
      <c r="O30278" s="24"/>
      <c r="P30278"/>
      <c r="Q30278" s="24"/>
      <c r="R30278"/>
      <c r="S30278"/>
      <c r="T30278"/>
      <c r="U30278"/>
      <c r="X30278" s="60"/>
    </row>
    <row r="30279" spans="7:24" ht="15" customHeight="1">
      <c r="G30279"/>
      <c r="I30279"/>
      <c r="N30279"/>
      <c r="O30279" s="24"/>
      <c r="P30279"/>
      <c r="Q30279" s="24"/>
      <c r="R30279"/>
      <c r="S30279"/>
      <c r="T30279"/>
      <c r="U30279"/>
      <c r="X30279" s="60"/>
    </row>
    <row r="30280" spans="7:24" ht="15" customHeight="1">
      <c r="G30280"/>
      <c r="I30280"/>
      <c r="N30280"/>
      <c r="O30280" s="24"/>
      <c r="P30280"/>
      <c r="Q30280" s="24"/>
      <c r="R30280"/>
      <c r="S30280"/>
      <c r="T30280"/>
      <c r="U30280"/>
      <c r="X30280" s="60"/>
    </row>
    <row r="30281" spans="7:24" ht="15" customHeight="1">
      <c r="G30281"/>
      <c r="I30281"/>
      <c r="N30281"/>
      <c r="O30281" s="24"/>
      <c r="P30281"/>
      <c r="Q30281" s="24"/>
      <c r="R30281"/>
      <c r="S30281"/>
      <c r="T30281"/>
      <c r="U30281"/>
      <c r="X30281" s="60"/>
    </row>
    <row r="30282" spans="7:24" ht="15" customHeight="1">
      <c r="G30282"/>
      <c r="I30282"/>
      <c r="N30282"/>
      <c r="O30282" s="24"/>
      <c r="P30282"/>
      <c r="Q30282" s="24"/>
      <c r="R30282"/>
      <c r="S30282"/>
      <c r="T30282"/>
      <c r="U30282"/>
      <c r="X30282" s="60"/>
    </row>
    <row r="30283" spans="7:24" ht="15" customHeight="1">
      <c r="G30283"/>
      <c r="I30283"/>
      <c r="N30283"/>
      <c r="O30283" s="24"/>
      <c r="P30283"/>
      <c r="Q30283" s="24"/>
      <c r="R30283"/>
      <c r="S30283"/>
      <c r="T30283"/>
      <c r="U30283"/>
      <c r="X30283" s="60"/>
    </row>
    <row r="30284" spans="7:24" ht="15" customHeight="1">
      <c r="G30284"/>
      <c r="I30284"/>
      <c r="N30284"/>
      <c r="O30284" s="24"/>
      <c r="P30284"/>
      <c r="Q30284" s="24"/>
      <c r="R30284"/>
      <c r="S30284"/>
      <c r="T30284"/>
      <c r="U30284"/>
      <c r="X30284" s="60"/>
    </row>
    <row r="30285" spans="7:24" ht="15" customHeight="1">
      <c r="G30285"/>
      <c r="I30285"/>
      <c r="N30285"/>
      <c r="O30285" s="24"/>
      <c r="P30285"/>
      <c r="Q30285" s="24"/>
      <c r="R30285"/>
      <c r="S30285"/>
      <c r="T30285"/>
      <c r="U30285"/>
      <c r="X30285" s="60"/>
    </row>
    <row r="30286" spans="7:24" ht="15" customHeight="1">
      <c r="G30286"/>
      <c r="I30286"/>
      <c r="N30286"/>
      <c r="O30286" s="24"/>
      <c r="P30286"/>
      <c r="Q30286" s="24"/>
      <c r="R30286"/>
      <c r="S30286"/>
      <c r="T30286"/>
      <c r="U30286"/>
      <c r="X30286" s="60"/>
    </row>
    <row r="30287" spans="7:24" ht="15" customHeight="1">
      <c r="G30287"/>
      <c r="I30287"/>
      <c r="N30287"/>
      <c r="O30287" s="24"/>
      <c r="P30287"/>
      <c r="Q30287" s="24"/>
      <c r="R30287"/>
      <c r="S30287"/>
      <c r="T30287"/>
      <c r="U30287"/>
      <c r="X30287" s="60"/>
    </row>
    <row r="30288" spans="7:24" ht="15" customHeight="1">
      <c r="G30288"/>
      <c r="I30288"/>
      <c r="N30288"/>
      <c r="O30288" s="24"/>
      <c r="P30288"/>
      <c r="Q30288" s="24"/>
      <c r="R30288"/>
      <c r="S30288"/>
      <c r="T30288"/>
      <c r="U30288"/>
      <c r="X30288" s="60"/>
    </row>
    <row r="30289" spans="7:24" ht="15" customHeight="1">
      <c r="G30289"/>
      <c r="I30289"/>
      <c r="N30289"/>
      <c r="O30289" s="24"/>
      <c r="P30289"/>
      <c r="Q30289" s="24"/>
      <c r="R30289"/>
      <c r="S30289"/>
      <c r="T30289"/>
      <c r="U30289"/>
      <c r="X30289" s="60"/>
    </row>
    <row r="30290" spans="7:24" ht="15" customHeight="1">
      <c r="G30290"/>
      <c r="I30290"/>
      <c r="N30290"/>
      <c r="O30290" s="24"/>
      <c r="P30290"/>
      <c r="Q30290" s="24"/>
      <c r="R30290"/>
      <c r="S30290"/>
      <c r="T30290"/>
      <c r="U30290"/>
      <c r="X30290" s="60"/>
    </row>
    <row r="30291" spans="7:24" ht="15" customHeight="1">
      <c r="G30291"/>
      <c r="I30291"/>
      <c r="N30291"/>
      <c r="O30291" s="24"/>
      <c r="P30291"/>
      <c r="Q30291" s="24"/>
      <c r="R30291"/>
      <c r="S30291"/>
      <c r="T30291"/>
      <c r="U30291"/>
      <c r="X30291" s="60"/>
    </row>
    <row r="30292" spans="7:24" ht="15" customHeight="1">
      <c r="G30292"/>
      <c r="I30292"/>
      <c r="N30292"/>
      <c r="O30292" s="24"/>
      <c r="P30292"/>
      <c r="Q30292" s="24"/>
      <c r="R30292"/>
      <c r="S30292"/>
      <c r="T30292"/>
      <c r="U30292"/>
      <c r="X30292" s="60"/>
    </row>
    <row r="30293" spans="7:24" ht="15" customHeight="1">
      <c r="G30293"/>
      <c r="I30293"/>
      <c r="N30293"/>
      <c r="O30293" s="24"/>
      <c r="P30293"/>
      <c r="Q30293" s="24"/>
      <c r="R30293"/>
      <c r="S30293"/>
      <c r="T30293"/>
      <c r="U30293"/>
      <c r="X30293" s="60"/>
    </row>
    <row r="30294" spans="7:24" ht="15" customHeight="1">
      <c r="G30294"/>
      <c r="I30294"/>
      <c r="N30294"/>
      <c r="O30294" s="24"/>
      <c r="P30294"/>
      <c r="Q30294" s="24"/>
      <c r="R30294"/>
      <c r="S30294"/>
      <c r="T30294"/>
      <c r="U30294"/>
      <c r="X30294" s="60"/>
    </row>
    <row r="30295" spans="7:24" ht="15" customHeight="1">
      <c r="G30295"/>
      <c r="I30295"/>
      <c r="N30295"/>
      <c r="O30295" s="24"/>
      <c r="P30295"/>
      <c r="Q30295" s="24"/>
      <c r="R30295"/>
      <c r="S30295"/>
      <c r="T30295"/>
      <c r="U30295"/>
      <c r="X30295" s="60"/>
    </row>
    <row r="30296" spans="7:24" ht="15" customHeight="1">
      <c r="G30296"/>
      <c r="I30296"/>
      <c r="N30296"/>
      <c r="O30296" s="24"/>
      <c r="P30296"/>
      <c r="Q30296" s="24"/>
      <c r="R30296"/>
      <c r="S30296"/>
      <c r="T30296"/>
      <c r="U30296"/>
      <c r="X30296" s="60"/>
    </row>
    <row r="30297" spans="7:24" ht="15" customHeight="1">
      <c r="G30297"/>
      <c r="I30297"/>
      <c r="N30297"/>
      <c r="O30297" s="24"/>
      <c r="P30297"/>
      <c r="Q30297" s="24"/>
      <c r="R30297"/>
      <c r="S30297"/>
      <c r="T30297"/>
      <c r="U30297"/>
      <c r="X30297" s="60"/>
    </row>
    <row r="30298" spans="7:24" ht="15" customHeight="1">
      <c r="G30298"/>
      <c r="I30298"/>
      <c r="N30298"/>
      <c r="O30298" s="24"/>
      <c r="P30298"/>
      <c r="Q30298" s="24"/>
      <c r="R30298"/>
      <c r="S30298"/>
      <c r="T30298"/>
      <c r="U30298"/>
      <c r="X30298" s="60"/>
    </row>
    <row r="30299" spans="7:24" ht="15" customHeight="1">
      <c r="G30299"/>
      <c r="I30299"/>
      <c r="N30299"/>
      <c r="O30299" s="24"/>
      <c r="P30299"/>
      <c r="Q30299" s="24"/>
      <c r="R30299"/>
      <c r="S30299"/>
      <c r="T30299"/>
      <c r="U30299"/>
      <c r="X30299" s="60"/>
    </row>
    <row r="30300" spans="7:24" ht="15" customHeight="1">
      <c r="G30300"/>
      <c r="I30300"/>
      <c r="N30300"/>
      <c r="O30300" s="24"/>
      <c r="P30300"/>
      <c r="Q30300" s="24"/>
      <c r="R30300"/>
      <c r="S30300"/>
      <c r="T30300"/>
      <c r="U30300"/>
      <c r="X30300" s="60"/>
    </row>
    <row r="30301" spans="7:24" ht="15" customHeight="1">
      <c r="G30301"/>
      <c r="I30301"/>
      <c r="N30301"/>
      <c r="O30301" s="24"/>
      <c r="P30301"/>
      <c r="Q30301" s="24"/>
      <c r="R30301"/>
      <c r="S30301"/>
      <c r="T30301"/>
      <c r="U30301"/>
      <c r="X30301" s="60"/>
    </row>
    <row r="30302" spans="7:24" ht="15" customHeight="1">
      <c r="G30302"/>
      <c r="I30302"/>
      <c r="N30302"/>
      <c r="O30302" s="24"/>
      <c r="P30302"/>
      <c r="Q30302" s="24"/>
      <c r="R30302"/>
      <c r="S30302"/>
      <c r="T30302"/>
      <c r="U30302"/>
      <c r="X30302" s="60"/>
    </row>
    <row r="30303" spans="7:24" ht="15" customHeight="1">
      <c r="G30303"/>
      <c r="I30303"/>
      <c r="N30303"/>
      <c r="O30303" s="24"/>
      <c r="P30303"/>
      <c r="Q30303" s="24"/>
      <c r="R30303"/>
      <c r="S30303"/>
      <c r="T30303"/>
      <c r="U30303"/>
      <c r="X30303" s="60"/>
    </row>
    <row r="30304" spans="7:24" ht="15" customHeight="1">
      <c r="G30304"/>
      <c r="I30304"/>
      <c r="N30304"/>
      <c r="O30304" s="24"/>
      <c r="P30304"/>
      <c r="Q30304" s="24"/>
      <c r="R30304"/>
      <c r="S30304"/>
      <c r="T30304"/>
      <c r="U30304"/>
      <c r="X30304" s="60"/>
    </row>
    <row r="30305" spans="7:24" ht="15" customHeight="1">
      <c r="G30305"/>
      <c r="I30305"/>
      <c r="N30305"/>
      <c r="O30305" s="24"/>
      <c r="P30305"/>
      <c r="Q30305" s="24"/>
      <c r="R30305"/>
      <c r="S30305"/>
      <c r="T30305"/>
      <c r="U30305"/>
      <c r="X30305" s="60"/>
    </row>
    <row r="30306" spans="7:24" ht="15" customHeight="1">
      <c r="G30306"/>
      <c r="I30306"/>
      <c r="N30306"/>
      <c r="O30306" s="24"/>
      <c r="P30306"/>
      <c r="Q30306" s="24"/>
      <c r="R30306"/>
      <c r="S30306"/>
      <c r="T30306"/>
      <c r="U30306"/>
      <c r="X30306" s="60"/>
    </row>
    <row r="30307" spans="7:24" ht="15" customHeight="1">
      <c r="G30307"/>
      <c r="I30307"/>
      <c r="N30307"/>
      <c r="O30307" s="24"/>
      <c r="P30307"/>
      <c r="Q30307" s="24"/>
      <c r="R30307"/>
      <c r="S30307"/>
      <c r="T30307"/>
      <c r="U30307"/>
      <c r="X30307" s="60"/>
    </row>
    <row r="30308" spans="7:24" ht="15" customHeight="1">
      <c r="G30308"/>
      <c r="I30308"/>
      <c r="N30308"/>
      <c r="O30308" s="24"/>
      <c r="P30308"/>
      <c r="Q30308" s="24"/>
      <c r="R30308"/>
      <c r="S30308"/>
      <c r="T30308"/>
      <c r="U30308"/>
      <c r="X30308" s="60"/>
    </row>
    <row r="30309" spans="7:24" ht="15" customHeight="1">
      <c r="G30309"/>
      <c r="I30309"/>
      <c r="N30309"/>
      <c r="O30309" s="24"/>
      <c r="P30309"/>
      <c r="Q30309" s="24"/>
      <c r="R30309"/>
      <c r="S30309"/>
      <c r="T30309"/>
      <c r="U30309"/>
      <c r="X30309" s="60"/>
    </row>
    <row r="30310" spans="7:24" ht="15" customHeight="1">
      <c r="G30310"/>
      <c r="I30310"/>
      <c r="N30310"/>
      <c r="O30310" s="24"/>
      <c r="P30310"/>
      <c r="Q30310" s="24"/>
      <c r="R30310"/>
      <c r="S30310"/>
      <c r="T30310"/>
      <c r="U30310"/>
      <c r="X30310" s="60"/>
    </row>
    <row r="30311" spans="7:24" ht="15" customHeight="1">
      <c r="G30311"/>
      <c r="I30311"/>
      <c r="N30311"/>
      <c r="O30311" s="24"/>
      <c r="P30311"/>
      <c r="Q30311" s="24"/>
      <c r="R30311"/>
      <c r="S30311"/>
      <c r="T30311"/>
      <c r="U30311"/>
      <c r="X30311" s="60"/>
    </row>
    <row r="30312" spans="7:24" ht="15" customHeight="1">
      <c r="G30312"/>
      <c r="I30312"/>
      <c r="N30312"/>
      <c r="O30312" s="24"/>
      <c r="P30312"/>
      <c r="Q30312" s="24"/>
      <c r="R30312"/>
      <c r="S30312"/>
      <c r="T30312"/>
      <c r="U30312"/>
      <c r="X30312" s="60"/>
    </row>
    <row r="30313" spans="7:24" ht="15" customHeight="1">
      <c r="G30313"/>
      <c r="I30313"/>
      <c r="N30313"/>
      <c r="O30313" s="24"/>
      <c r="P30313"/>
      <c r="Q30313" s="24"/>
      <c r="R30313"/>
      <c r="S30313"/>
      <c r="T30313"/>
      <c r="U30313"/>
      <c r="X30313" s="60"/>
    </row>
    <row r="30314" spans="7:24" ht="15" customHeight="1">
      <c r="G30314"/>
      <c r="I30314"/>
      <c r="N30314"/>
      <c r="O30314" s="24"/>
      <c r="P30314"/>
      <c r="Q30314" s="24"/>
      <c r="R30314"/>
      <c r="S30314"/>
      <c r="T30314"/>
      <c r="U30314"/>
      <c r="X30314" s="60"/>
    </row>
    <row r="30315" spans="7:24" ht="15" customHeight="1">
      <c r="G30315"/>
      <c r="I30315"/>
      <c r="N30315"/>
      <c r="O30315" s="24"/>
      <c r="P30315"/>
      <c r="Q30315" s="24"/>
      <c r="R30315"/>
      <c r="S30315"/>
      <c r="T30315"/>
      <c r="U30315"/>
      <c r="X30315" s="60"/>
    </row>
    <row r="30316" spans="7:24" ht="15" customHeight="1">
      <c r="G30316"/>
      <c r="I30316"/>
      <c r="N30316"/>
      <c r="O30316" s="24"/>
      <c r="P30316"/>
      <c r="Q30316" s="24"/>
      <c r="R30316"/>
      <c r="S30316"/>
      <c r="T30316"/>
      <c r="U30316"/>
      <c r="X30316" s="60"/>
    </row>
    <row r="30317" spans="7:24" ht="15" customHeight="1">
      <c r="G30317"/>
      <c r="I30317"/>
      <c r="N30317"/>
      <c r="O30317" s="24"/>
      <c r="P30317"/>
      <c r="Q30317" s="24"/>
      <c r="R30317"/>
      <c r="S30317"/>
      <c r="T30317"/>
      <c r="U30317"/>
      <c r="X30317" s="60"/>
    </row>
    <row r="30318" spans="7:24" ht="15" customHeight="1">
      <c r="G30318"/>
      <c r="I30318"/>
      <c r="N30318"/>
      <c r="O30318" s="24"/>
      <c r="P30318"/>
      <c r="Q30318" s="24"/>
      <c r="R30318"/>
      <c r="S30318"/>
      <c r="T30318"/>
      <c r="U30318"/>
      <c r="X30318" s="60"/>
    </row>
    <row r="30319" spans="7:24" ht="15" customHeight="1">
      <c r="G30319"/>
      <c r="I30319"/>
      <c r="N30319"/>
      <c r="O30319" s="24"/>
      <c r="P30319"/>
      <c r="Q30319" s="24"/>
      <c r="R30319"/>
      <c r="S30319"/>
      <c r="T30319"/>
      <c r="U30319"/>
      <c r="X30319" s="60"/>
    </row>
    <row r="30320" spans="7:24" ht="15" customHeight="1">
      <c r="G30320"/>
      <c r="I30320"/>
      <c r="N30320"/>
      <c r="O30320" s="24"/>
      <c r="P30320"/>
      <c r="Q30320" s="24"/>
      <c r="R30320"/>
      <c r="S30320"/>
      <c r="T30320"/>
      <c r="U30320"/>
      <c r="X30320" s="60"/>
    </row>
    <row r="30321" spans="7:24" ht="15" customHeight="1">
      <c r="G30321"/>
      <c r="I30321"/>
      <c r="N30321"/>
      <c r="O30321" s="24"/>
      <c r="P30321"/>
      <c r="Q30321" s="24"/>
      <c r="R30321"/>
      <c r="S30321"/>
      <c r="T30321"/>
      <c r="U30321"/>
      <c r="X30321" s="60"/>
    </row>
    <row r="30322" spans="7:24" ht="15" customHeight="1">
      <c r="G30322"/>
      <c r="I30322"/>
      <c r="N30322"/>
      <c r="O30322" s="24"/>
      <c r="P30322"/>
      <c r="Q30322" s="24"/>
      <c r="R30322"/>
      <c r="S30322"/>
      <c r="T30322"/>
      <c r="U30322"/>
      <c r="X30322" s="60"/>
    </row>
    <row r="30323" spans="7:24" ht="15" customHeight="1">
      <c r="G30323"/>
      <c r="I30323"/>
      <c r="N30323"/>
      <c r="O30323" s="24"/>
      <c r="P30323"/>
      <c r="Q30323" s="24"/>
      <c r="R30323"/>
      <c r="S30323"/>
      <c r="T30323"/>
      <c r="U30323"/>
      <c r="X30323" s="60"/>
    </row>
    <row r="30324" spans="7:24" ht="15" customHeight="1">
      <c r="G30324"/>
      <c r="I30324"/>
      <c r="N30324"/>
      <c r="O30324" s="24"/>
      <c r="P30324"/>
      <c r="Q30324" s="24"/>
      <c r="R30324"/>
      <c r="S30324"/>
      <c r="T30324"/>
      <c r="U30324"/>
      <c r="X30324" s="60"/>
    </row>
    <row r="30325" spans="7:24" ht="15" customHeight="1">
      <c r="G30325"/>
      <c r="I30325"/>
      <c r="N30325"/>
      <c r="O30325" s="24"/>
      <c r="P30325"/>
      <c r="Q30325" s="24"/>
      <c r="R30325"/>
      <c r="S30325"/>
      <c r="T30325"/>
      <c r="U30325"/>
      <c r="X30325" s="60"/>
    </row>
    <row r="30326" spans="7:24" ht="15" customHeight="1">
      <c r="G30326"/>
      <c r="I30326"/>
      <c r="N30326"/>
      <c r="O30326" s="24"/>
      <c r="P30326"/>
      <c r="Q30326" s="24"/>
      <c r="R30326"/>
      <c r="S30326"/>
      <c r="T30326"/>
      <c r="U30326"/>
      <c r="X30326" s="60"/>
    </row>
    <row r="30327" spans="7:24" ht="15" customHeight="1">
      <c r="G30327"/>
      <c r="I30327"/>
      <c r="N30327"/>
      <c r="O30327" s="24"/>
      <c r="P30327"/>
      <c r="Q30327" s="24"/>
      <c r="R30327"/>
      <c r="S30327"/>
      <c r="T30327"/>
      <c r="U30327"/>
      <c r="X30327" s="60"/>
    </row>
    <row r="30328" spans="7:24" ht="15" customHeight="1">
      <c r="G30328"/>
      <c r="I30328"/>
      <c r="N30328"/>
      <c r="O30328" s="24"/>
      <c r="P30328"/>
      <c r="Q30328" s="24"/>
      <c r="R30328"/>
      <c r="S30328"/>
      <c r="T30328"/>
      <c r="U30328"/>
      <c r="X30328" s="60"/>
    </row>
    <row r="30329" spans="7:24" ht="15" customHeight="1">
      <c r="G30329"/>
      <c r="I30329"/>
      <c r="N30329"/>
      <c r="O30329" s="24"/>
      <c r="P30329"/>
      <c r="Q30329" s="24"/>
      <c r="R30329"/>
      <c r="S30329"/>
      <c r="T30329"/>
      <c r="U30329"/>
      <c r="X30329" s="60"/>
    </row>
    <row r="30330" spans="7:24" ht="15" customHeight="1">
      <c r="G30330"/>
      <c r="I30330"/>
      <c r="N30330"/>
      <c r="O30330" s="24"/>
      <c r="P30330"/>
      <c r="Q30330" s="24"/>
      <c r="R30330"/>
      <c r="S30330"/>
      <c r="T30330"/>
      <c r="U30330"/>
      <c r="X30330" s="60"/>
    </row>
    <row r="30331" spans="7:24" ht="15" customHeight="1">
      <c r="G30331"/>
      <c r="I30331"/>
      <c r="N30331"/>
      <c r="O30331" s="24"/>
      <c r="P30331"/>
      <c r="Q30331" s="24"/>
      <c r="R30331"/>
      <c r="S30331"/>
      <c r="T30331"/>
      <c r="U30331"/>
      <c r="X30331" s="60"/>
    </row>
    <row r="30332" spans="7:24" ht="15" customHeight="1">
      <c r="G30332"/>
      <c r="I30332"/>
      <c r="N30332"/>
      <c r="O30332" s="24"/>
      <c r="P30332"/>
      <c r="Q30332" s="24"/>
      <c r="R30332"/>
      <c r="S30332"/>
      <c r="T30332"/>
      <c r="U30332"/>
      <c r="X30332" s="60"/>
    </row>
    <row r="30333" spans="7:24" ht="15" customHeight="1">
      <c r="G30333"/>
      <c r="I30333"/>
      <c r="N30333"/>
      <c r="O30333" s="24"/>
      <c r="P30333"/>
      <c r="Q30333" s="24"/>
      <c r="R30333"/>
      <c r="S30333"/>
      <c r="T30333"/>
      <c r="U30333"/>
      <c r="X30333" s="60"/>
    </row>
    <row r="30334" spans="7:24" ht="15" customHeight="1">
      <c r="G30334"/>
      <c r="I30334"/>
      <c r="N30334"/>
      <c r="O30334" s="24"/>
      <c r="P30334"/>
      <c r="Q30334" s="24"/>
      <c r="R30334"/>
      <c r="S30334"/>
      <c r="T30334"/>
      <c r="U30334"/>
      <c r="X30334" s="60"/>
    </row>
    <row r="30335" spans="7:24" ht="15" customHeight="1">
      <c r="G30335"/>
      <c r="I30335"/>
      <c r="N30335"/>
      <c r="O30335" s="24"/>
      <c r="P30335"/>
      <c r="Q30335" s="24"/>
      <c r="R30335"/>
      <c r="S30335"/>
      <c r="T30335"/>
      <c r="U30335"/>
      <c r="X30335" s="60"/>
    </row>
    <row r="30336" spans="7:24" ht="15" customHeight="1">
      <c r="G30336"/>
      <c r="I30336"/>
      <c r="N30336"/>
      <c r="O30336" s="24"/>
      <c r="P30336"/>
      <c r="Q30336" s="24"/>
      <c r="R30336"/>
      <c r="S30336"/>
      <c r="T30336"/>
      <c r="U30336"/>
      <c r="X30336" s="60"/>
    </row>
    <row r="30337" spans="7:24" ht="15" customHeight="1">
      <c r="G30337"/>
      <c r="I30337"/>
      <c r="N30337"/>
      <c r="O30337" s="24"/>
      <c r="P30337"/>
      <c r="Q30337" s="24"/>
      <c r="R30337"/>
      <c r="S30337"/>
      <c r="T30337"/>
      <c r="U30337"/>
      <c r="X30337" s="60"/>
    </row>
    <row r="30338" spans="7:24" ht="15" customHeight="1">
      <c r="G30338"/>
      <c r="I30338"/>
      <c r="N30338"/>
      <c r="O30338" s="24"/>
      <c r="P30338"/>
      <c r="Q30338" s="24"/>
      <c r="R30338"/>
      <c r="S30338"/>
      <c r="T30338"/>
      <c r="U30338"/>
      <c r="X30338" s="60"/>
    </row>
    <row r="30339" spans="7:24" ht="15" customHeight="1">
      <c r="G30339"/>
      <c r="I30339"/>
      <c r="N30339"/>
      <c r="O30339" s="24"/>
      <c r="P30339"/>
      <c r="Q30339" s="24"/>
      <c r="R30339"/>
      <c r="S30339"/>
      <c r="T30339"/>
      <c r="U30339"/>
      <c r="X30339" s="60"/>
    </row>
    <row r="30340" spans="7:24" ht="15" customHeight="1">
      <c r="G30340"/>
      <c r="I30340"/>
      <c r="N30340"/>
      <c r="O30340" s="24"/>
      <c r="P30340"/>
      <c r="Q30340" s="24"/>
      <c r="R30340"/>
      <c r="S30340"/>
      <c r="T30340"/>
      <c r="U30340"/>
      <c r="X30340" s="60"/>
    </row>
    <row r="30341" spans="7:24" ht="15" customHeight="1">
      <c r="G30341"/>
      <c r="I30341"/>
      <c r="N30341"/>
      <c r="O30341" s="24"/>
      <c r="P30341"/>
      <c r="Q30341" s="24"/>
      <c r="R30341"/>
      <c r="S30341"/>
      <c r="T30341"/>
      <c r="U30341"/>
      <c r="X30341" s="60"/>
    </row>
    <row r="30342" spans="7:24" ht="15" customHeight="1">
      <c r="G30342"/>
      <c r="I30342"/>
      <c r="N30342"/>
      <c r="O30342" s="24"/>
      <c r="P30342"/>
      <c r="Q30342" s="24"/>
      <c r="R30342"/>
      <c r="S30342"/>
      <c r="T30342"/>
      <c r="U30342"/>
      <c r="X30342" s="60"/>
    </row>
    <row r="30343" spans="7:24" ht="15" customHeight="1">
      <c r="G30343"/>
      <c r="I30343"/>
      <c r="N30343"/>
      <c r="O30343" s="24"/>
      <c r="P30343"/>
      <c r="Q30343" s="24"/>
      <c r="R30343"/>
      <c r="S30343"/>
      <c r="T30343"/>
      <c r="U30343"/>
      <c r="X30343" s="60"/>
    </row>
    <row r="30344" spans="7:24" ht="15" customHeight="1">
      <c r="G30344"/>
      <c r="I30344"/>
      <c r="N30344"/>
      <c r="O30344" s="24"/>
      <c r="P30344"/>
      <c r="Q30344" s="24"/>
      <c r="R30344"/>
      <c r="S30344"/>
      <c r="T30344"/>
      <c r="U30344"/>
      <c r="X30344" s="60"/>
    </row>
    <row r="30345" spans="7:24" ht="15" customHeight="1">
      <c r="G30345"/>
      <c r="I30345"/>
      <c r="N30345"/>
      <c r="O30345" s="24"/>
      <c r="P30345"/>
      <c r="Q30345" s="24"/>
      <c r="R30345"/>
      <c r="S30345"/>
      <c r="T30345"/>
      <c r="U30345"/>
      <c r="X30345" s="60"/>
    </row>
    <row r="30346" spans="7:24" ht="15" customHeight="1">
      <c r="G30346"/>
      <c r="I30346"/>
      <c r="N30346"/>
      <c r="O30346" s="24"/>
      <c r="P30346"/>
      <c r="Q30346" s="24"/>
      <c r="R30346"/>
      <c r="S30346"/>
      <c r="T30346"/>
      <c r="U30346"/>
      <c r="X30346" s="60"/>
    </row>
    <row r="30347" spans="7:24" ht="15" customHeight="1">
      <c r="G30347"/>
      <c r="I30347"/>
      <c r="N30347"/>
      <c r="O30347" s="24"/>
      <c r="P30347"/>
      <c r="Q30347" s="24"/>
      <c r="R30347"/>
      <c r="S30347"/>
      <c r="T30347"/>
      <c r="U30347"/>
      <c r="X30347" s="60"/>
    </row>
    <row r="30348" spans="7:24" ht="15" customHeight="1">
      <c r="G30348"/>
      <c r="I30348"/>
      <c r="N30348"/>
      <c r="O30348" s="24"/>
      <c r="P30348"/>
      <c r="Q30348" s="24"/>
      <c r="R30348"/>
      <c r="S30348"/>
      <c r="T30348"/>
      <c r="U30348"/>
      <c r="X30348" s="60"/>
    </row>
    <row r="30349" spans="7:24" ht="15" customHeight="1">
      <c r="G30349"/>
      <c r="I30349"/>
      <c r="N30349"/>
      <c r="O30349" s="24"/>
      <c r="P30349"/>
      <c r="Q30349" s="24"/>
      <c r="R30349"/>
      <c r="S30349"/>
      <c r="T30349"/>
      <c r="U30349"/>
      <c r="X30349" s="60"/>
    </row>
    <row r="30350" spans="7:24" ht="15" customHeight="1">
      <c r="G30350"/>
      <c r="I30350"/>
      <c r="N30350"/>
      <c r="O30350" s="24"/>
      <c r="P30350"/>
      <c r="Q30350" s="24"/>
      <c r="R30350"/>
      <c r="S30350"/>
      <c r="T30350"/>
      <c r="U30350"/>
      <c r="X30350" s="60"/>
    </row>
    <row r="30351" spans="7:24" ht="15" customHeight="1">
      <c r="G30351"/>
      <c r="I30351"/>
      <c r="N30351"/>
      <c r="O30351" s="24"/>
      <c r="P30351"/>
      <c r="Q30351" s="24"/>
      <c r="R30351"/>
      <c r="S30351"/>
      <c r="T30351"/>
      <c r="U30351"/>
      <c r="X30351" s="60"/>
    </row>
    <row r="30352" spans="7:24" ht="15" customHeight="1">
      <c r="G30352"/>
      <c r="I30352"/>
      <c r="N30352"/>
      <c r="O30352" s="24"/>
      <c r="P30352"/>
      <c r="Q30352" s="24"/>
      <c r="R30352"/>
      <c r="S30352"/>
      <c r="T30352"/>
      <c r="U30352"/>
      <c r="X30352" s="60"/>
    </row>
    <row r="30353" spans="7:24" ht="15" customHeight="1">
      <c r="G30353"/>
      <c r="I30353"/>
      <c r="N30353"/>
      <c r="O30353" s="24"/>
      <c r="P30353"/>
      <c r="Q30353" s="24"/>
      <c r="R30353"/>
      <c r="S30353"/>
      <c r="T30353"/>
      <c r="U30353"/>
      <c r="X30353" s="60"/>
    </row>
    <row r="30354" spans="7:24" ht="15" customHeight="1">
      <c r="G30354"/>
      <c r="I30354"/>
      <c r="N30354"/>
      <c r="O30354" s="24"/>
      <c r="P30354"/>
      <c r="Q30354" s="24"/>
      <c r="R30354"/>
      <c r="S30354"/>
      <c r="T30354"/>
      <c r="U30354"/>
      <c r="X30354" s="60"/>
    </row>
    <row r="30355" spans="7:24" ht="15" customHeight="1">
      <c r="G30355"/>
      <c r="I30355"/>
      <c r="N30355"/>
      <c r="O30355" s="24"/>
      <c r="P30355"/>
      <c r="Q30355" s="24"/>
      <c r="R30355"/>
      <c r="S30355"/>
      <c r="T30355"/>
      <c r="U30355"/>
      <c r="X30355" s="60"/>
    </row>
    <row r="30356" spans="7:24" ht="15" customHeight="1">
      <c r="G30356"/>
      <c r="I30356"/>
      <c r="N30356"/>
      <c r="O30356" s="24"/>
      <c r="P30356"/>
      <c r="Q30356" s="24"/>
      <c r="R30356"/>
      <c r="S30356"/>
      <c r="T30356"/>
      <c r="U30356"/>
      <c r="X30356" s="60"/>
    </row>
    <row r="30357" spans="7:24" ht="15" customHeight="1">
      <c r="G30357"/>
      <c r="I30357"/>
      <c r="N30357"/>
      <c r="O30357" s="24"/>
      <c r="P30357"/>
      <c r="Q30357" s="24"/>
      <c r="R30357"/>
      <c r="S30357"/>
      <c r="T30357"/>
      <c r="U30357"/>
      <c r="X30357" s="60"/>
    </row>
    <row r="30358" spans="7:24" ht="15" customHeight="1">
      <c r="G30358"/>
      <c r="I30358"/>
      <c r="N30358"/>
      <c r="O30358" s="24"/>
      <c r="P30358"/>
      <c r="Q30358" s="24"/>
      <c r="R30358"/>
      <c r="S30358"/>
      <c r="T30358"/>
      <c r="U30358"/>
      <c r="X30358" s="60"/>
    </row>
    <row r="30359" spans="7:24" ht="15" customHeight="1">
      <c r="G30359"/>
      <c r="I30359"/>
      <c r="N30359"/>
      <c r="O30359" s="24"/>
      <c r="P30359"/>
      <c r="Q30359" s="24"/>
      <c r="R30359"/>
      <c r="S30359"/>
      <c r="T30359"/>
      <c r="U30359"/>
      <c r="X30359" s="60"/>
    </row>
    <row r="30360" spans="7:24" ht="15" customHeight="1">
      <c r="G30360"/>
      <c r="I30360"/>
      <c r="N30360"/>
      <c r="O30360" s="24"/>
      <c r="P30360"/>
      <c r="Q30360" s="24"/>
      <c r="R30360"/>
      <c r="S30360"/>
      <c r="T30360"/>
      <c r="U30360"/>
      <c r="X30360" s="60"/>
    </row>
    <row r="30361" spans="7:24" ht="15" customHeight="1">
      <c r="G30361"/>
      <c r="I30361"/>
      <c r="N30361"/>
      <c r="O30361" s="24"/>
      <c r="P30361"/>
      <c r="Q30361" s="24"/>
      <c r="R30361"/>
      <c r="S30361"/>
      <c r="T30361"/>
      <c r="U30361"/>
      <c r="X30361" s="60"/>
    </row>
    <row r="30362" spans="7:24" ht="15" customHeight="1">
      <c r="G30362"/>
      <c r="I30362"/>
      <c r="N30362"/>
      <c r="O30362" s="24"/>
      <c r="P30362"/>
      <c r="Q30362" s="24"/>
      <c r="R30362"/>
      <c r="S30362"/>
      <c r="T30362"/>
      <c r="U30362"/>
      <c r="X30362" s="60"/>
    </row>
    <row r="30363" spans="7:24" ht="15" customHeight="1">
      <c r="G30363"/>
      <c r="I30363"/>
      <c r="N30363"/>
      <c r="O30363" s="24"/>
      <c r="P30363"/>
      <c r="Q30363" s="24"/>
      <c r="R30363"/>
      <c r="S30363"/>
      <c r="T30363"/>
      <c r="U30363"/>
      <c r="X30363" s="60"/>
    </row>
    <row r="30364" spans="7:24" ht="15" customHeight="1">
      <c r="G30364"/>
      <c r="I30364"/>
      <c r="N30364"/>
      <c r="O30364" s="24"/>
      <c r="P30364"/>
      <c r="Q30364" s="24"/>
      <c r="R30364"/>
      <c r="S30364"/>
      <c r="T30364"/>
      <c r="U30364"/>
      <c r="X30364" s="60"/>
    </row>
    <row r="30365" spans="7:24" ht="15" customHeight="1">
      <c r="G30365"/>
      <c r="I30365"/>
      <c r="N30365"/>
      <c r="O30365" s="24"/>
      <c r="P30365"/>
      <c r="Q30365" s="24"/>
      <c r="R30365"/>
      <c r="S30365"/>
      <c r="T30365"/>
      <c r="U30365"/>
      <c r="X30365" s="60"/>
    </row>
    <row r="30366" spans="7:24" ht="15" customHeight="1">
      <c r="G30366"/>
      <c r="I30366"/>
      <c r="N30366"/>
      <c r="O30366" s="24"/>
      <c r="P30366"/>
      <c r="Q30366" s="24"/>
      <c r="R30366"/>
      <c r="S30366"/>
      <c r="T30366"/>
      <c r="U30366"/>
      <c r="X30366" s="60"/>
    </row>
    <row r="30367" spans="7:24" ht="15" customHeight="1">
      <c r="G30367"/>
      <c r="I30367"/>
      <c r="N30367"/>
      <c r="O30367" s="24"/>
      <c r="P30367"/>
      <c r="Q30367" s="24"/>
      <c r="R30367"/>
      <c r="S30367"/>
      <c r="T30367"/>
      <c r="U30367"/>
      <c r="X30367" s="60"/>
    </row>
    <row r="30368" spans="7:24" ht="15" customHeight="1">
      <c r="G30368"/>
      <c r="I30368"/>
      <c r="N30368"/>
      <c r="O30368" s="24"/>
      <c r="P30368"/>
      <c r="Q30368" s="24"/>
      <c r="R30368"/>
      <c r="S30368"/>
      <c r="T30368"/>
      <c r="U30368"/>
      <c r="X30368" s="60"/>
    </row>
    <row r="30369" spans="7:24" ht="15" customHeight="1">
      <c r="G30369"/>
      <c r="I30369"/>
      <c r="N30369"/>
      <c r="O30369" s="24"/>
      <c r="P30369"/>
      <c r="Q30369" s="24"/>
      <c r="R30369"/>
      <c r="S30369"/>
      <c r="T30369"/>
      <c r="U30369"/>
      <c r="X30369" s="60"/>
    </row>
    <row r="30370" spans="7:24" ht="15" customHeight="1">
      <c r="G30370"/>
      <c r="I30370"/>
      <c r="N30370"/>
      <c r="O30370" s="24"/>
      <c r="P30370"/>
      <c r="Q30370" s="24"/>
      <c r="R30370"/>
      <c r="S30370"/>
      <c r="T30370"/>
      <c r="U30370"/>
      <c r="X30370" s="60"/>
    </row>
    <row r="30371" spans="7:24" ht="15" customHeight="1">
      <c r="G30371"/>
      <c r="I30371"/>
      <c r="N30371"/>
      <c r="O30371" s="24"/>
      <c r="P30371"/>
      <c r="Q30371" s="24"/>
      <c r="R30371"/>
      <c r="S30371"/>
      <c r="T30371"/>
      <c r="U30371"/>
      <c r="X30371" s="60"/>
    </row>
    <row r="30372" spans="7:24" ht="15" customHeight="1">
      <c r="G30372"/>
      <c r="I30372"/>
      <c r="N30372"/>
      <c r="O30372" s="24"/>
      <c r="P30372"/>
      <c r="Q30372" s="24"/>
      <c r="R30372"/>
      <c r="S30372"/>
      <c r="T30372"/>
      <c r="U30372"/>
      <c r="X30372" s="60"/>
    </row>
    <row r="30373" spans="7:24" ht="15" customHeight="1">
      <c r="G30373"/>
      <c r="I30373"/>
      <c r="N30373"/>
      <c r="O30373" s="24"/>
      <c r="P30373"/>
      <c r="Q30373" s="24"/>
      <c r="R30373"/>
      <c r="S30373"/>
      <c r="T30373"/>
      <c r="U30373"/>
      <c r="X30373" s="60"/>
    </row>
    <row r="30374" spans="7:24" ht="15" customHeight="1">
      <c r="G30374"/>
      <c r="I30374"/>
      <c r="N30374"/>
      <c r="O30374" s="24"/>
      <c r="P30374"/>
      <c r="Q30374" s="24"/>
      <c r="R30374"/>
      <c r="S30374"/>
      <c r="T30374"/>
      <c r="U30374"/>
      <c r="X30374" s="60"/>
    </row>
    <row r="30375" spans="7:24" ht="15" customHeight="1">
      <c r="G30375"/>
      <c r="I30375"/>
      <c r="N30375"/>
      <c r="O30375" s="24"/>
      <c r="P30375"/>
      <c r="Q30375" s="24"/>
      <c r="R30375"/>
      <c r="S30375"/>
      <c r="T30375"/>
      <c r="U30375"/>
      <c r="X30375" s="60"/>
    </row>
    <row r="30376" spans="7:24" ht="15" customHeight="1">
      <c r="G30376"/>
      <c r="I30376"/>
      <c r="N30376"/>
      <c r="O30376" s="24"/>
      <c r="P30376"/>
      <c r="Q30376" s="24"/>
      <c r="R30376"/>
      <c r="S30376"/>
      <c r="T30376"/>
      <c r="U30376"/>
      <c r="X30376" s="60"/>
    </row>
    <row r="30377" spans="7:24" ht="15" customHeight="1">
      <c r="G30377"/>
      <c r="I30377"/>
      <c r="N30377"/>
      <c r="O30377" s="24"/>
      <c r="P30377"/>
      <c r="Q30377" s="24"/>
      <c r="R30377"/>
      <c r="S30377"/>
      <c r="T30377"/>
      <c r="U30377"/>
      <c r="X30377" s="60"/>
    </row>
    <row r="30378" spans="7:24" ht="15" customHeight="1">
      <c r="G30378"/>
      <c r="I30378"/>
      <c r="N30378"/>
      <c r="O30378" s="24"/>
      <c r="P30378"/>
      <c r="Q30378" s="24"/>
      <c r="R30378"/>
      <c r="S30378"/>
      <c r="T30378"/>
      <c r="U30378"/>
      <c r="X30378" s="60"/>
    </row>
    <row r="30379" spans="7:24" ht="15" customHeight="1">
      <c r="G30379"/>
      <c r="I30379"/>
      <c r="N30379"/>
      <c r="O30379" s="24"/>
      <c r="P30379"/>
      <c r="Q30379" s="24"/>
      <c r="R30379"/>
      <c r="S30379"/>
      <c r="T30379"/>
      <c r="U30379"/>
      <c r="X30379" s="60"/>
    </row>
    <row r="30380" spans="7:24" ht="15" customHeight="1">
      <c r="G30380"/>
      <c r="I30380"/>
      <c r="N30380"/>
      <c r="O30380" s="24"/>
      <c r="P30380"/>
      <c r="Q30380" s="24"/>
      <c r="R30380"/>
      <c r="S30380"/>
      <c r="T30380"/>
      <c r="U30380"/>
      <c r="X30380" s="60"/>
    </row>
    <row r="30381" spans="7:24" ht="15" customHeight="1">
      <c r="G30381"/>
      <c r="I30381"/>
      <c r="N30381"/>
      <c r="O30381" s="24"/>
      <c r="P30381"/>
      <c r="Q30381" s="24"/>
      <c r="R30381"/>
      <c r="S30381"/>
      <c r="T30381"/>
      <c r="U30381"/>
      <c r="X30381" s="60"/>
    </row>
    <row r="30382" spans="7:24" ht="15" customHeight="1">
      <c r="G30382"/>
      <c r="I30382"/>
      <c r="N30382"/>
      <c r="O30382" s="24"/>
      <c r="P30382"/>
      <c r="Q30382" s="24"/>
      <c r="R30382"/>
      <c r="S30382"/>
      <c r="T30382"/>
      <c r="U30382"/>
      <c r="X30382" s="60"/>
    </row>
    <row r="30383" spans="7:24" ht="15" customHeight="1">
      <c r="G30383"/>
      <c r="I30383"/>
      <c r="N30383"/>
      <c r="O30383" s="24"/>
      <c r="P30383"/>
      <c r="Q30383" s="24"/>
      <c r="R30383"/>
      <c r="S30383"/>
      <c r="T30383"/>
      <c r="U30383"/>
      <c r="X30383" s="60"/>
    </row>
    <row r="30384" spans="7:24" ht="15" customHeight="1">
      <c r="G30384"/>
      <c r="I30384"/>
      <c r="N30384"/>
      <c r="O30384" s="24"/>
      <c r="P30384"/>
      <c r="Q30384" s="24"/>
      <c r="R30384"/>
      <c r="S30384"/>
      <c r="T30384"/>
      <c r="U30384"/>
      <c r="X30384" s="60"/>
    </row>
    <row r="30385" spans="7:24" ht="15" customHeight="1">
      <c r="G30385"/>
      <c r="I30385"/>
      <c r="N30385"/>
      <c r="O30385" s="24"/>
      <c r="P30385"/>
      <c r="Q30385" s="24"/>
      <c r="R30385"/>
      <c r="S30385"/>
      <c r="T30385"/>
      <c r="U30385"/>
      <c r="X30385" s="60"/>
    </row>
    <row r="30386" spans="7:24" ht="15" customHeight="1">
      <c r="G30386"/>
      <c r="I30386"/>
      <c r="N30386"/>
      <c r="O30386" s="24"/>
      <c r="P30386"/>
      <c r="Q30386" s="24"/>
      <c r="R30386"/>
      <c r="S30386"/>
      <c r="T30386"/>
      <c r="U30386"/>
      <c r="X30386" s="60"/>
    </row>
    <row r="30387" spans="7:24" ht="15" customHeight="1">
      <c r="G30387"/>
      <c r="I30387"/>
      <c r="N30387"/>
      <c r="O30387" s="24"/>
      <c r="P30387"/>
      <c r="Q30387" s="24"/>
      <c r="R30387"/>
      <c r="S30387"/>
      <c r="T30387"/>
      <c r="U30387"/>
      <c r="X30387" s="60"/>
    </row>
    <row r="30388" spans="7:24" ht="15" customHeight="1">
      <c r="G30388"/>
      <c r="I30388"/>
      <c r="N30388"/>
      <c r="O30388" s="24"/>
      <c r="P30388"/>
      <c r="Q30388" s="24"/>
      <c r="R30388"/>
      <c r="S30388"/>
      <c r="T30388"/>
      <c r="U30388"/>
      <c r="X30388" s="60"/>
    </row>
    <row r="30389" spans="7:24" ht="15" customHeight="1">
      <c r="G30389"/>
      <c r="I30389"/>
      <c r="N30389"/>
      <c r="O30389" s="24"/>
      <c r="P30389"/>
      <c r="Q30389" s="24"/>
      <c r="R30389"/>
      <c r="S30389"/>
      <c r="T30389"/>
      <c r="U30389"/>
      <c r="X30389" s="60"/>
    </row>
    <row r="30390" spans="7:24" ht="15" customHeight="1">
      <c r="G30390"/>
      <c r="I30390"/>
      <c r="N30390"/>
      <c r="O30390" s="24"/>
      <c r="P30390"/>
      <c r="Q30390" s="24"/>
      <c r="R30390"/>
      <c r="S30390"/>
      <c r="T30390"/>
      <c r="U30390"/>
      <c r="X30390" s="60"/>
    </row>
    <row r="30391" spans="7:24" ht="15" customHeight="1">
      <c r="G30391"/>
      <c r="I30391"/>
      <c r="N30391"/>
      <c r="O30391" s="24"/>
      <c r="P30391"/>
      <c r="Q30391" s="24"/>
      <c r="R30391"/>
      <c r="S30391"/>
      <c r="T30391"/>
      <c r="U30391"/>
      <c r="X30391" s="60"/>
    </row>
    <row r="30392" spans="7:24" ht="15" customHeight="1">
      <c r="G30392"/>
      <c r="I30392"/>
      <c r="N30392"/>
      <c r="O30392" s="24"/>
      <c r="P30392"/>
      <c r="Q30392" s="24"/>
      <c r="R30392"/>
      <c r="S30392"/>
      <c r="T30392"/>
      <c r="U30392"/>
      <c r="X30392" s="60"/>
    </row>
    <row r="30393" spans="7:24" ht="15" customHeight="1">
      <c r="G30393"/>
      <c r="I30393"/>
      <c r="N30393"/>
      <c r="O30393" s="24"/>
      <c r="P30393"/>
      <c r="Q30393" s="24"/>
      <c r="R30393"/>
      <c r="S30393"/>
      <c r="T30393"/>
      <c r="U30393"/>
      <c r="X30393" s="60"/>
    </row>
    <row r="30394" spans="7:24" ht="15" customHeight="1">
      <c r="G30394"/>
      <c r="I30394"/>
      <c r="N30394"/>
      <c r="O30394" s="24"/>
      <c r="P30394"/>
      <c r="Q30394" s="24"/>
      <c r="R30394"/>
      <c r="S30394"/>
      <c r="T30394"/>
      <c r="U30394"/>
      <c r="X30394" s="60"/>
    </row>
    <row r="30395" spans="7:24" ht="15" customHeight="1">
      <c r="G30395"/>
      <c r="I30395"/>
      <c r="N30395"/>
      <c r="O30395" s="24"/>
      <c r="P30395"/>
      <c r="Q30395" s="24"/>
      <c r="R30395"/>
      <c r="S30395"/>
      <c r="T30395"/>
      <c r="U30395"/>
      <c r="X30395" s="60"/>
    </row>
    <row r="30396" spans="7:24" ht="15" customHeight="1">
      <c r="G30396"/>
      <c r="I30396"/>
      <c r="N30396"/>
      <c r="O30396" s="24"/>
      <c r="P30396"/>
      <c r="Q30396" s="24"/>
      <c r="R30396"/>
      <c r="S30396"/>
      <c r="T30396"/>
      <c r="U30396"/>
      <c r="X30396" s="60"/>
    </row>
    <row r="30397" spans="7:24" ht="15" customHeight="1">
      <c r="G30397"/>
      <c r="I30397"/>
      <c r="N30397"/>
      <c r="O30397" s="24"/>
      <c r="P30397"/>
      <c r="Q30397" s="24"/>
      <c r="R30397"/>
      <c r="S30397"/>
      <c r="T30397"/>
      <c r="U30397"/>
      <c r="X30397" s="60"/>
    </row>
    <row r="30398" spans="7:24" ht="15" customHeight="1">
      <c r="G30398"/>
      <c r="I30398"/>
      <c r="N30398"/>
      <c r="O30398" s="24"/>
      <c r="P30398"/>
      <c r="Q30398" s="24"/>
      <c r="R30398"/>
      <c r="S30398"/>
      <c r="T30398"/>
      <c r="U30398"/>
      <c r="X30398" s="60"/>
    </row>
    <row r="30399" spans="7:24" ht="15" customHeight="1">
      <c r="G30399"/>
      <c r="I30399"/>
      <c r="N30399"/>
      <c r="O30399" s="24"/>
      <c r="P30399"/>
      <c r="Q30399" s="24"/>
      <c r="R30399"/>
      <c r="S30399"/>
      <c r="T30399"/>
      <c r="U30399"/>
      <c r="X30399" s="60"/>
    </row>
    <row r="30400" spans="7:24" ht="15" customHeight="1">
      <c r="G30400"/>
      <c r="I30400"/>
      <c r="N30400"/>
      <c r="O30400" s="24"/>
      <c r="P30400"/>
      <c r="Q30400" s="24"/>
      <c r="R30400"/>
      <c r="S30400"/>
      <c r="T30400"/>
      <c r="U30400"/>
      <c r="X30400" s="60"/>
    </row>
    <row r="30401" spans="7:24" ht="15" customHeight="1">
      <c r="G30401"/>
      <c r="I30401"/>
      <c r="N30401"/>
      <c r="O30401" s="24"/>
      <c r="P30401"/>
      <c r="Q30401" s="24"/>
      <c r="R30401"/>
      <c r="S30401"/>
      <c r="T30401"/>
      <c r="U30401"/>
      <c r="X30401" s="60"/>
    </row>
    <row r="30402" spans="7:24" ht="15" customHeight="1">
      <c r="G30402"/>
      <c r="I30402"/>
      <c r="N30402"/>
      <c r="O30402" s="24"/>
      <c r="P30402"/>
      <c r="Q30402" s="24"/>
      <c r="R30402"/>
      <c r="S30402"/>
      <c r="T30402"/>
      <c r="U30402"/>
      <c r="X30402" s="60"/>
    </row>
    <row r="30403" spans="7:24" ht="15" customHeight="1">
      <c r="G30403"/>
      <c r="I30403"/>
      <c r="N30403"/>
      <c r="O30403" s="24"/>
      <c r="P30403"/>
      <c r="Q30403" s="24"/>
      <c r="R30403"/>
      <c r="S30403"/>
      <c r="T30403"/>
      <c r="U30403"/>
      <c r="X30403" s="60"/>
    </row>
    <row r="30404" spans="7:24" ht="15" customHeight="1">
      <c r="G30404"/>
      <c r="I30404"/>
      <c r="N30404"/>
      <c r="O30404" s="24"/>
      <c r="P30404"/>
      <c r="Q30404" s="24"/>
      <c r="R30404"/>
      <c r="S30404"/>
      <c r="T30404"/>
      <c r="U30404"/>
      <c r="X30404" s="60"/>
    </row>
    <row r="30405" spans="7:24" ht="15" customHeight="1">
      <c r="G30405"/>
      <c r="I30405"/>
      <c r="N30405"/>
      <c r="O30405" s="24"/>
      <c r="P30405"/>
      <c r="Q30405" s="24"/>
      <c r="R30405"/>
      <c r="S30405"/>
      <c r="T30405"/>
      <c r="U30405"/>
      <c r="X30405" s="60"/>
    </row>
    <row r="30406" spans="7:24" ht="15" customHeight="1">
      <c r="G30406"/>
      <c r="I30406"/>
      <c r="N30406"/>
      <c r="O30406" s="24"/>
      <c r="P30406"/>
      <c r="Q30406" s="24"/>
      <c r="R30406"/>
      <c r="S30406"/>
      <c r="T30406"/>
      <c r="U30406"/>
      <c r="X30406" s="60"/>
    </row>
    <row r="30407" spans="7:24" ht="15" customHeight="1">
      <c r="G30407"/>
      <c r="I30407"/>
      <c r="N30407"/>
      <c r="O30407" s="24"/>
      <c r="P30407"/>
      <c r="Q30407" s="24"/>
      <c r="R30407"/>
      <c r="S30407"/>
      <c r="T30407"/>
      <c r="U30407"/>
      <c r="X30407" s="60"/>
    </row>
    <row r="30408" spans="7:24" ht="15" customHeight="1">
      <c r="G30408"/>
      <c r="I30408"/>
      <c r="N30408"/>
      <c r="O30408" s="24"/>
      <c r="P30408"/>
      <c r="Q30408" s="24"/>
      <c r="R30408"/>
      <c r="S30408"/>
      <c r="T30408"/>
      <c r="U30408"/>
      <c r="X30408" s="60"/>
    </row>
    <row r="30409" spans="7:24" ht="15" customHeight="1">
      <c r="G30409"/>
      <c r="I30409"/>
      <c r="N30409"/>
      <c r="O30409" s="24"/>
      <c r="P30409"/>
      <c r="Q30409" s="24"/>
      <c r="R30409"/>
      <c r="S30409"/>
      <c r="T30409"/>
      <c r="U30409"/>
      <c r="X30409" s="60"/>
    </row>
    <row r="30410" spans="7:24" ht="15" customHeight="1">
      <c r="G30410"/>
      <c r="I30410"/>
      <c r="N30410"/>
      <c r="O30410" s="24"/>
      <c r="P30410"/>
      <c r="Q30410" s="24"/>
      <c r="R30410"/>
      <c r="S30410"/>
      <c r="T30410"/>
      <c r="U30410"/>
      <c r="X30410" s="60"/>
    </row>
    <row r="30411" spans="7:24" ht="15" customHeight="1">
      <c r="G30411"/>
      <c r="I30411"/>
      <c r="N30411"/>
      <c r="O30411" s="24"/>
      <c r="P30411"/>
      <c r="Q30411" s="24"/>
      <c r="R30411"/>
      <c r="S30411"/>
      <c r="T30411"/>
      <c r="U30411"/>
      <c r="X30411" s="60"/>
    </row>
    <row r="30412" spans="7:24" ht="15" customHeight="1">
      <c r="G30412"/>
      <c r="I30412"/>
      <c r="N30412"/>
      <c r="O30412" s="24"/>
      <c r="P30412"/>
      <c r="Q30412" s="24"/>
      <c r="R30412"/>
      <c r="S30412"/>
      <c r="T30412"/>
      <c r="U30412"/>
      <c r="X30412" s="60"/>
    </row>
    <row r="30413" spans="7:24" ht="15" customHeight="1">
      <c r="G30413"/>
      <c r="I30413"/>
      <c r="N30413"/>
      <c r="O30413" s="24"/>
      <c r="P30413"/>
      <c r="Q30413" s="24"/>
      <c r="R30413"/>
      <c r="S30413"/>
      <c r="T30413"/>
      <c r="U30413"/>
      <c r="X30413" s="60"/>
    </row>
    <row r="30414" spans="7:24" ht="15" customHeight="1">
      <c r="G30414"/>
      <c r="I30414"/>
      <c r="N30414"/>
      <c r="O30414" s="24"/>
      <c r="P30414"/>
      <c r="Q30414" s="24"/>
      <c r="R30414"/>
      <c r="S30414"/>
      <c r="T30414"/>
      <c r="U30414"/>
      <c r="X30414" s="60"/>
    </row>
    <row r="30415" spans="7:24" ht="15" customHeight="1">
      <c r="G30415"/>
      <c r="I30415"/>
      <c r="N30415"/>
      <c r="O30415" s="24"/>
      <c r="P30415"/>
      <c r="Q30415" s="24"/>
      <c r="R30415"/>
      <c r="S30415"/>
      <c r="T30415"/>
      <c r="U30415"/>
      <c r="X30415" s="60"/>
    </row>
    <row r="30416" spans="7:24" ht="15" customHeight="1">
      <c r="G30416"/>
      <c r="I30416"/>
      <c r="N30416"/>
      <c r="O30416" s="24"/>
      <c r="P30416"/>
      <c r="Q30416" s="24"/>
      <c r="R30416"/>
      <c r="S30416"/>
      <c r="T30416"/>
      <c r="U30416"/>
      <c r="X30416" s="60"/>
    </row>
    <row r="30417" spans="7:24" ht="15" customHeight="1">
      <c r="G30417"/>
      <c r="I30417"/>
      <c r="N30417"/>
      <c r="O30417" s="24"/>
      <c r="P30417"/>
      <c r="Q30417" s="24"/>
      <c r="R30417"/>
      <c r="S30417"/>
      <c r="T30417"/>
      <c r="U30417"/>
      <c r="X30417" s="60"/>
    </row>
    <row r="30418" spans="7:24" ht="15" customHeight="1">
      <c r="G30418"/>
      <c r="I30418"/>
      <c r="N30418"/>
      <c r="O30418" s="24"/>
      <c r="P30418"/>
      <c r="Q30418" s="24"/>
      <c r="R30418"/>
      <c r="S30418"/>
      <c r="T30418"/>
      <c r="U30418"/>
      <c r="X30418" s="60"/>
    </row>
    <row r="30419" spans="7:24" ht="15" customHeight="1">
      <c r="G30419"/>
      <c r="I30419"/>
      <c r="N30419"/>
      <c r="O30419" s="24"/>
      <c r="P30419"/>
      <c r="Q30419" s="24"/>
      <c r="R30419"/>
      <c r="S30419"/>
      <c r="T30419"/>
      <c r="U30419"/>
      <c r="X30419" s="60"/>
    </row>
    <row r="30420" spans="7:24" ht="15" customHeight="1">
      <c r="G30420"/>
      <c r="I30420"/>
      <c r="N30420"/>
      <c r="O30420" s="24"/>
      <c r="P30420"/>
      <c r="Q30420" s="24"/>
      <c r="R30420"/>
      <c r="S30420"/>
      <c r="T30420"/>
      <c r="U30420"/>
      <c r="X30420" s="60"/>
    </row>
    <row r="30421" spans="7:24" ht="15" customHeight="1">
      <c r="G30421"/>
      <c r="I30421"/>
      <c r="N30421"/>
      <c r="O30421" s="24"/>
      <c r="P30421"/>
      <c r="Q30421" s="24"/>
      <c r="R30421"/>
      <c r="S30421"/>
      <c r="T30421"/>
      <c r="U30421"/>
      <c r="X30421" s="60"/>
    </row>
    <row r="30422" spans="7:24" ht="15" customHeight="1">
      <c r="G30422"/>
      <c r="I30422"/>
      <c r="N30422"/>
      <c r="O30422" s="24"/>
      <c r="P30422"/>
      <c r="Q30422" s="24"/>
      <c r="R30422"/>
      <c r="S30422"/>
      <c r="T30422"/>
      <c r="U30422"/>
      <c r="X30422" s="60"/>
    </row>
    <row r="30423" spans="7:24" ht="15" customHeight="1">
      <c r="G30423"/>
      <c r="I30423"/>
      <c r="N30423"/>
      <c r="O30423" s="24"/>
      <c r="P30423"/>
      <c r="Q30423" s="24"/>
      <c r="R30423"/>
      <c r="S30423"/>
      <c r="T30423"/>
      <c r="U30423"/>
      <c r="X30423" s="60"/>
    </row>
    <row r="30424" spans="7:24" ht="15" customHeight="1">
      <c r="G30424"/>
      <c r="I30424"/>
      <c r="N30424"/>
      <c r="O30424" s="24"/>
      <c r="P30424"/>
      <c r="Q30424" s="24"/>
      <c r="R30424"/>
      <c r="S30424"/>
      <c r="T30424"/>
      <c r="U30424"/>
      <c r="X30424" s="60"/>
    </row>
    <row r="30425" spans="7:24" ht="15" customHeight="1">
      <c r="G30425"/>
      <c r="I30425"/>
      <c r="N30425"/>
      <c r="O30425" s="24"/>
      <c r="P30425"/>
      <c r="Q30425" s="24"/>
      <c r="R30425"/>
      <c r="S30425"/>
      <c r="T30425"/>
      <c r="U30425"/>
      <c r="X30425" s="60"/>
    </row>
    <row r="30426" spans="7:24" ht="15" customHeight="1">
      <c r="G30426"/>
      <c r="I30426"/>
      <c r="N30426"/>
      <c r="O30426" s="24"/>
      <c r="P30426"/>
      <c r="Q30426" s="24"/>
      <c r="R30426"/>
      <c r="S30426"/>
      <c r="T30426"/>
      <c r="U30426"/>
      <c r="X30426" s="60"/>
    </row>
    <row r="30427" spans="7:24" ht="15" customHeight="1">
      <c r="G30427"/>
      <c r="I30427"/>
      <c r="N30427"/>
      <c r="O30427" s="24"/>
      <c r="P30427"/>
      <c r="Q30427" s="24"/>
      <c r="R30427"/>
      <c r="S30427"/>
      <c r="T30427"/>
      <c r="U30427"/>
      <c r="X30427" s="60"/>
    </row>
    <row r="30428" spans="7:24" ht="15" customHeight="1">
      <c r="G30428"/>
      <c r="I30428"/>
      <c r="N30428"/>
      <c r="O30428" s="24"/>
      <c r="P30428"/>
      <c r="Q30428" s="24"/>
      <c r="R30428"/>
      <c r="S30428"/>
      <c r="T30428"/>
      <c r="U30428"/>
      <c r="X30428" s="60"/>
    </row>
    <row r="30429" spans="7:24" ht="15" customHeight="1">
      <c r="G30429"/>
      <c r="I30429"/>
      <c r="N30429"/>
      <c r="O30429" s="24"/>
      <c r="P30429"/>
      <c r="Q30429" s="24"/>
      <c r="R30429"/>
      <c r="S30429"/>
      <c r="T30429"/>
      <c r="U30429"/>
      <c r="X30429" s="60"/>
    </row>
    <row r="30430" spans="7:24" ht="15" customHeight="1">
      <c r="G30430"/>
      <c r="I30430"/>
      <c r="N30430"/>
      <c r="O30430" s="24"/>
      <c r="P30430"/>
      <c r="Q30430" s="24"/>
      <c r="R30430"/>
      <c r="S30430"/>
      <c r="T30430"/>
      <c r="U30430"/>
      <c r="X30430" s="60"/>
    </row>
    <row r="30431" spans="7:24" ht="15" customHeight="1">
      <c r="G30431"/>
      <c r="I30431"/>
      <c r="N30431"/>
      <c r="O30431" s="24"/>
      <c r="P30431"/>
      <c r="Q30431" s="24"/>
      <c r="R30431"/>
      <c r="S30431"/>
      <c r="T30431"/>
      <c r="U30431"/>
      <c r="X30431" s="60"/>
    </row>
    <row r="30432" spans="7:24" ht="15" customHeight="1">
      <c r="G30432"/>
      <c r="I30432"/>
      <c r="N30432"/>
      <c r="O30432" s="24"/>
      <c r="P30432"/>
      <c r="Q30432" s="24"/>
      <c r="R30432"/>
      <c r="S30432"/>
      <c r="T30432"/>
      <c r="U30432"/>
      <c r="X30432" s="60"/>
    </row>
    <row r="30433" spans="7:24" ht="15" customHeight="1">
      <c r="G30433"/>
      <c r="I30433"/>
      <c r="N30433"/>
      <c r="O30433" s="24"/>
      <c r="P30433"/>
      <c r="Q30433" s="24"/>
      <c r="R30433"/>
      <c r="S30433"/>
      <c r="T30433"/>
      <c r="U30433"/>
      <c r="X30433" s="60"/>
    </row>
    <row r="30434" spans="7:24" ht="15" customHeight="1">
      <c r="G30434"/>
      <c r="I30434"/>
      <c r="N30434"/>
      <c r="O30434" s="24"/>
      <c r="P30434"/>
      <c r="Q30434" s="24"/>
      <c r="R30434"/>
      <c r="S30434"/>
      <c r="T30434"/>
      <c r="U30434"/>
      <c r="X30434" s="60"/>
    </row>
    <row r="30435" spans="7:24" ht="15" customHeight="1">
      <c r="G30435"/>
      <c r="I30435"/>
      <c r="N30435"/>
      <c r="O30435" s="24"/>
      <c r="P30435"/>
      <c r="Q30435" s="24"/>
      <c r="R30435"/>
      <c r="S30435"/>
      <c r="T30435"/>
      <c r="U30435"/>
      <c r="X30435" s="60"/>
    </row>
    <row r="30436" spans="7:24" ht="15" customHeight="1">
      <c r="G30436"/>
      <c r="I30436"/>
      <c r="N30436"/>
      <c r="O30436" s="24"/>
      <c r="P30436"/>
      <c r="Q30436" s="24"/>
      <c r="R30436"/>
      <c r="S30436"/>
      <c r="T30436"/>
      <c r="U30436"/>
      <c r="X30436" s="60"/>
    </row>
    <row r="30437" spans="7:24" ht="15" customHeight="1">
      <c r="G30437"/>
      <c r="I30437"/>
      <c r="N30437"/>
      <c r="O30437" s="24"/>
      <c r="P30437"/>
      <c r="Q30437" s="24"/>
      <c r="R30437"/>
      <c r="S30437"/>
      <c r="T30437"/>
      <c r="U30437"/>
      <c r="X30437" s="60"/>
    </row>
    <row r="30438" spans="7:24" ht="15" customHeight="1">
      <c r="G30438"/>
      <c r="I30438"/>
      <c r="N30438"/>
      <c r="O30438" s="24"/>
      <c r="P30438"/>
      <c r="Q30438" s="24"/>
      <c r="R30438"/>
      <c r="S30438"/>
      <c r="T30438"/>
      <c r="U30438"/>
      <c r="X30438" s="60"/>
    </row>
    <row r="30439" spans="7:24" ht="15" customHeight="1">
      <c r="G30439"/>
      <c r="I30439"/>
      <c r="N30439"/>
      <c r="O30439" s="24"/>
      <c r="P30439"/>
      <c r="Q30439" s="24"/>
      <c r="R30439"/>
      <c r="S30439"/>
      <c r="T30439"/>
      <c r="U30439"/>
      <c r="X30439" s="60"/>
    </row>
    <row r="30440" spans="7:24" ht="15" customHeight="1">
      <c r="G30440"/>
      <c r="I30440"/>
      <c r="N30440"/>
      <c r="O30440" s="24"/>
      <c r="P30440"/>
      <c r="Q30440" s="24"/>
      <c r="R30440"/>
      <c r="S30440"/>
      <c r="T30440"/>
      <c r="U30440"/>
      <c r="X30440" s="60"/>
    </row>
    <row r="30441" spans="7:24" ht="15" customHeight="1">
      <c r="G30441"/>
      <c r="I30441"/>
      <c r="N30441"/>
      <c r="O30441" s="24"/>
      <c r="P30441"/>
      <c r="Q30441" s="24"/>
      <c r="R30441"/>
      <c r="S30441"/>
      <c r="T30441"/>
      <c r="U30441"/>
      <c r="X30441" s="60"/>
    </row>
    <row r="30442" spans="7:24" ht="15" customHeight="1">
      <c r="G30442"/>
      <c r="I30442"/>
      <c r="N30442"/>
      <c r="O30442" s="24"/>
      <c r="P30442"/>
      <c r="Q30442" s="24"/>
      <c r="R30442"/>
      <c r="S30442"/>
      <c r="T30442"/>
      <c r="U30442"/>
      <c r="X30442" s="60"/>
    </row>
    <row r="30443" spans="7:24" ht="15" customHeight="1">
      <c r="G30443"/>
      <c r="I30443"/>
      <c r="N30443"/>
      <c r="O30443" s="24"/>
      <c r="P30443"/>
      <c r="Q30443" s="24"/>
      <c r="R30443"/>
      <c r="S30443"/>
      <c r="T30443"/>
      <c r="U30443"/>
      <c r="X30443" s="60"/>
    </row>
    <row r="30444" spans="7:24" ht="15" customHeight="1">
      <c r="G30444"/>
      <c r="I30444"/>
      <c r="N30444"/>
      <c r="O30444" s="24"/>
      <c r="P30444"/>
      <c r="Q30444" s="24"/>
      <c r="R30444"/>
      <c r="S30444"/>
      <c r="T30444"/>
      <c r="U30444"/>
      <c r="X30444" s="60"/>
    </row>
    <row r="30445" spans="7:24" ht="15" customHeight="1">
      <c r="G30445"/>
      <c r="I30445"/>
      <c r="N30445"/>
      <c r="O30445" s="24"/>
      <c r="P30445"/>
      <c r="Q30445" s="24"/>
      <c r="R30445"/>
      <c r="S30445"/>
      <c r="T30445"/>
      <c r="U30445"/>
      <c r="X30445" s="60"/>
    </row>
    <row r="30446" spans="7:24" ht="15" customHeight="1">
      <c r="G30446"/>
      <c r="I30446"/>
      <c r="N30446"/>
      <c r="O30446" s="24"/>
      <c r="P30446"/>
      <c r="Q30446" s="24"/>
      <c r="R30446"/>
      <c r="S30446"/>
      <c r="T30446"/>
      <c r="U30446"/>
      <c r="X30446" s="60"/>
    </row>
    <row r="30447" spans="7:24" ht="15" customHeight="1">
      <c r="G30447"/>
      <c r="I30447"/>
      <c r="N30447"/>
      <c r="O30447" s="24"/>
      <c r="P30447"/>
      <c r="Q30447" s="24"/>
      <c r="R30447"/>
      <c r="S30447"/>
      <c r="T30447"/>
      <c r="U30447"/>
      <c r="X30447" s="60"/>
    </row>
    <row r="30448" spans="7:24" ht="15" customHeight="1">
      <c r="G30448"/>
      <c r="I30448"/>
      <c r="N30448"/>
      <c r="O30448" s="24"/>
      <c r="P30448"/>
      <c r="Q30448" s="24"/>
      <c r="R30448"/>
      <c r="S30448"/>
      <c r="T30448"/>
      <c r="U30448"/>
      <c r="X30448" s="60"/>
    </row>
    <row r="30449" spans="7:24" ht="15" customHeight="1">
      <c r="G30449"/>
      <c r="I30449"/>
      <c r="N30449"/>
      <c r="O30449" s="24"/>
      <c r="P30449"/>
      <c r="Q30449" s="24"/>
      <c r="R30449"/>
      <c r="S30449"/>
      <c r="T30449"/>
      <c r="U30449"/>
      <c r="X30449" s="60"/>
    </row>
    <row r="30450" spans="7:24" ht="15" customHeight="1">
      <c r="G30450"/>
      <c r="I30450"/>
      <c r="N30450"/>
      <c r="O30450" s="24"/>
      <c r="P30450"/>
      <c r="Q30450" s="24"/>
      <c r="R30450"/>
      <c r="S30450"/>
      <c r="T30450"/>
      <c r="U30450"/>
      <c r="X30450" s="60"/>
    </row>
    <row r="30451" spans="7:24" ht="15" customHeight="1">
      <c r="G30451"/>
      <c r="I30451"/>
      <c r="N30451"/>
      <c r="O30451" s="24"/>
      <c r="P30451"/>
      <c r="Q30451" s="24"/>
      <c r="R30451"/>
      <c r="S30451"/>
      <c r="T30451"/>
      <c r="U30451"/>
      <c r="X30451" s="60"/>
    </row>
    <row r="30452" spans="7:24" ht="15" customHeight="1">
      <c r="G30452"/>
      <c r="I30452"/>
      <c r="N30452"/>
      <c r="O30452" s="24"/>
      <c r="P30452"/>
      <c r="Q30452" s="24"/>
      <c r="R30452"/>
      <c r="S30452"/>
      <c r="T30452"/>
      <c r="U30452"/>
      <c r="X30452" s="60"/>
    </row>
    <row r="30453" spans="7:24" ht="15" customHeight="1">
      <c r="G30453"/>
      <c r="I30453"/>
      <c r="N30453"/>
      <c r="O30453" s="24"/>
      <c r="P30453"/>
      <c r="Q30453" s="24"/>
      <c r="R30453"/>
      <c r="S30453"/>
      <c r="T30453"/>
      <c r="U30453"/>
      <c r="X30453" s="60"/>
    </row>
    <row r="30454" spans="7:24" ht="15" customHeight="1">
      <c r="G30454"/>
      <c r="I30454"/>
      <c r="N30454"/>
      <c r="O30454" s="24"/>
      <c r="P30454"/>
      <c r="Q30454" s="24"/>
      <c r="R30454"/>
      <c r="S30454"/>
      <c r="T30454"/>
      <c r="U30454"/>
      <c r="X30454" s="60"/>
    </row>
    <row r="30455" spans="7:24" ht="15" customHeight="1">
      <c r="G30455"/>
      <c r="I30455"/>
      <c r="N30455"/>
      <c r="O30455" s="24"/>
      <c r="P30455"/>
      <c r="Q30455" s="24"/>
      <c r="R30455"/>
      <c r="S30455"/>
      <c r="T30455"/>
      <c r="U30455"/>
      <c r="X30455" s="60"/>
    </row>
    <row r="30456" spans="7:24" ht="15" customHeight="1">
      <c r="G30456"/>
      <c r="I30456"/>
      <c r="N30456"/>
      <c r="O30456" s="24"/>
      <c r="P30456"/>
      <c r="Q30456" s="24"/>
      <c r="R30456"/>
      <c r="S30456"/>
      <c r="T30456"/>
      <c r="U30456"/>
      <c r="X30456" s="60"/>
    </row>
    <row r="30457" spans="7:24" ht="15" customHeight="1">
      <c r="G30457"/>
      <c r="I30457"/>
      <c r="N30457"/>
      <c r="O30457" s="24"/>
      <c r="P30457"/>
      <c r="Q30457" s="24"/>
      <c r="R30457"/>
      <c r="S30457"/>
      <c r="T30457"/>
      <c r="U30457"/>
      <c r="X30457" s="60"/>
    </row>
    <row r="30458" spans="7:24" ht="15" customHeight="1">
      <c r="G30458"/>
      <c r="I30458"/>
      <c r="N30458"/>
      <c r="O30458" s="24"/>
      <c r="P30458"/>
      <c r="Q30458" s="24"/>
      <c r="R30458"/>
      <c r="S30458"/>
      <c r="T30458"/>
      <c r="U30458"/>
      <c r="X30458" s="60"/>
    </row>
    <row r="30459" spans="7:24" ht="15" customHeight="1">
      <c r="G30459"/>
      <c r="I30459"/>
      <c r="N30459"/>
      <c r="O30459" s="24"/>
      <c r="P30459"/>
      <c r="Q30459" s="24"/>
      <c r="R30459"/>
      <c r="S30459"/>
      <c r="T30459"/>
      <c r="U30459"/>
      <c r="X30459" s="60"/>
    </row>
    <row r="30460" spans="7:24" ht="15" customHeight="1">
      <c r="G30460"/>
      <c r="I30460"/>
      <c r="N30460"/>
      <c r="O30460" s="24"/>
      <c r="P30460"/>
      <c r="Q30460" s="24"/>
      <c r="R30460"/>
      <c r="S30460"/>
      <c r="T30460"/>
      <c r="U30460"/>
      <c r="X30460" s="60"/>
    </row>
    <row r="30461" spans="7:24" ht="15" customHeight="1">
      <c r="G30461"/>
      <c r="I30461"/>
      <c r="N30461"/>
      <c r="O30461" s="24"/>
      <c r="P30461"/>
      <c r="Q30461" s="24"/>
      <c r="R30461"/>
      <c r="S30461"/>
      <c r="T30461"/>
      <c r="U30461"/>
      <c r="X30461" s="60"/>
    </row>
    <row r="30462" spans="7:24" ht="15" customHeight="1">
      <c r="G30462"/>
      <c r="I30462"/>
      <c r="N30462"/>
      <c r="O30462" s="24"/>
      <c r="P30462"/>
      <c r="Q30462" s="24"/>
      <c r="R30462"/>
      <c r="S30462"/>
      <c r="T30462"/>
      <c r="U30462"/>
      <c r="X30462" s="60"/>
    </row>
    <row r="30463" spans="7:24" ht="15" customHeight="1">
      <c r="G30463"/>
      <c r="I30463"/>
      <c r="N30463"/>
      <c r="O30463" s="24"/>
      <c r="P30463"/>
      <c r="Q30463" s="24"/>
      <c r="R30463"/>
      <c r="S30463"/>
      <c r="T30463"/>
      <c r="U30463"/>
      <c r="X30463" s="60"/>
    </row>
    <row r="30464" spans="7:24" ht="15" customHeight="1">
      <c r="G30464"/>
      <c r="I30464"/>
      <c r="N30464"/>
      <c r="O30464" s="24"/>
      <c r="P30464"/>
      <c r="Q30464" s="24"/>
      <c r="R30464"/>
      <c r="S30464"/>
      <c r="T30464"/>
      <c r="U30464"/>
      <c r="X30464" s="60"/>
    </row>
    <row r="30465" spans="7:24" ht="15" customHeight="1">
      <c r="G30465"/>
      <c r="I30465"/>
      <c r="N30465"/>
      <c r="O30465" s="24"/>
      <c r="P30465"/>
      <c r="Q30465" s="24"/>
      <c r="R30465"/>
      <c r="S30465"/>
      <c r="T30465"/>
      <c r="U30465"/>
      <c r="X30465" s="60"/>
    </row>
    <row r="30466" spans="7:24" ht="15" customHeight="1">
      <c r="G30466"/>
      <c r="I30466"/>
      <c r="N30466"/>
      <c r="O30466" s="24"/>
      <c r="P30466"/>
      <c r="Q30466" s="24"/>
      <c r="R30466"/>
      <c r="S30466"/>
      <c r="T30466"/>
      <c r="U30466"/>
      <c r="X30466" s="60"/>
    </row>
    <row r="30467" spans="7:24" ht="15" customHeight="1">
      <c r="G30467"/>
      <c r="I30467"/>
      <c r="N30467"/>
      <c r="O30467" s="24"/>
      <c r="P30467"/>
      <c r="Q30467" s="24"/>
      <c r="R30467"/>
      <c r="S30467"/>
      <c r="T30467"/>
      <c r="U30467"/>
      <c r="X30467" s="60"/>
    </row>
    <row r="30468" spans="7:24" ht="15" customHeight="1">
      <c r="G30468"/>
      <c r="I30468"/>
      <c r="N30468"/>
      <c r="O30468" s="24"/>
      <c r="P30468"/>
      <c r="Q30468" s="24"/>
      <c r="R30468"/>
      <c r="S30468"/>
      <c r="T30468"/>
      <c r="U30468"/>
      <c r="X30468" s="60"/>
    </row>
    <row r="30469" spans="7:24" ht="15" customHeight="1">
      <c r="G30469"/>
      <c r="I30469"/>
      <c r="N30469"/>
      <c r="O30469" s="24"/>
      <c r="P30469"/>
      <c r="Q30469" s="24"/>
      <c r="R30469"/>
      <c r="S30469"/>
      <c r="T30469"/>
      <c r="U30469"/>
      <c r="X30469" s="60"/>
    </row>
    <row r="30470" spans="7:24" ht="15" customHeight="1">
      <c r="G30470"/>
      <c r="I30470"/>
      <c r="N30470"/>
      <c r="O30470" s="24"/>
      <c r="P30470"/>
      <c r="Q30470" s="24"/>
      <c r="R30470"/>
      <c r="S30470"/>
      <c r="T30470"/>
      <c r="U30470"/>
      <c r="X30470" s="60"/>
    </row>
    <row r="30471" spans="7:24" ht="15" customHeight="1">
      <c r="G30471"/>
      <c r="I30471"/>
      <c r="N30471"/>
      <c r="O30471" s="24"/>
      <c r="P30471"/>
      <c r="Q30471" s="24"/>
      <c r="R30471"/>
      <c r="S30471"/>
      <c r="T30471"/>
      <c r="U30471"/>
      <c r="X30471" s="60"/>
    </row>
    <row r="30472" spans="7:24" ht="15" customHeight="1">
      <c r="G30472"/>
      <c r="I30472"/>
      <c r="N30472"/>
      <c r="O30472" s="24"/>
      <c r="P30472"/>
      <c r="Q30472" s="24"/>
      <c r="R30472"/>
      <c r="S30472"/>
      <c r="T30472"/>
      <c r="U30472"/>
      <c r="X30472" s="60"/>
    </row>
    <row r="30473" spans="7:24" ht="15" customHeight="1">
      <c r="G30473"/>
      <c r="I30473"/>
      <c r="N30473"/>
      <c r="O30473" s="24"/>
      <c r="P30473"/>
      <c r="Q30473" s="24"/>
      <c r="R30473"/>
      <c r="S30473"/>
      <c r="T30473"/>
      <c r="U30473"/>
      <c r="X30473" s="60"/>
    </row>
    <row r="30474" spans="7:24" ht="15" customHeight="1">
      <c r="G30474"/>
      <c r="I30474"/>
      <c r="N30474"/>
      <c r="O30474" s="24"/>
      <c r="P30474"/>
      <c r="Q30474" s="24"/>
      <c r="R30474"/>
      <c r="S30474"/>
      <c r="T30474"/>
      <c r="U30474"/>
      <c r="X30474" s="60"/>
    </row>
    <row r="30475" spans="7:24" ht="15" customHeight="1">
      <c r="G30475"/>
      <c r="I30475"/>
      <c r="N30475"/>
      <c r="O30475" s="24"/>
      <c r="P30475"/>
      <c r="Q30475" s="24"/>
      <c r="R30475"/>
      <c r="S30475"/>
      <c r="T30475"/>
      <c r="U30475"/>
      <c r="X30475" s="60"/>
    </row>
    <row r="30476" spans="7:24" ht="15" customHeight="1">
      <c r="G30476"/>
      <c r="I30476"/>
      <c r="N30476"/>
      <c r="O30476" s="24"/>
      <c r="P30476"/>
      <c r="Q30476" s="24"/>
      <c r="R30476"/>
      <c r="S30476"/>
      <c r="T30476"/>
      <c r="U30476"/>
      <c r="X30476" s="60"/>
    </row>
    <row r="30477" spans="7:24" ht="15" customHeight="1">
      <c r="G30477"/>
      <c r="I30477"/>
      <c r="N30477"/>
      <c r="O30477" s="24"/>
      <c r="P30477"/>
      <c r="Q30477" s="24"/>
      <c r="R30477"/>
      <c r="S30477"/>
      <c r="T30477"/>
      <c r="U30477"/>
      <c r="X30477" s="60"/>
    </row>
    <row r="30478" spans="7:24" ht="15" customHeight="1">
      <c r="G30478"/>
      <c r="I30478"/>
      <c r="N30478"/>
      <c r="O30478" s="24"/>
      <c r="P30478"/>
      <c r="Q30478" s="24"/>
      <c r="R30478"/>
      <c r="S30478"/>
      <c r="T30478"/>
      <c r="U30478"/>
      <c r="X30478" s="60"/>
    </row>
    <row r="30479" spans="7:24" ht="15" customHeight="1">
      <c r="G30479"/>
      <c r="I30479"/>
      <c r="N30479"/>
      <c r="O30479" s="24"/>
      <c r="P30479"/>
      <c r="Q30479" s="24"/>
      <c r="R30479"/>
      <c r="S30479"/>
      <c r="T30479"/>
      <c r="U30479"/>
      <c r="X30479" s="60"/>
    </row>
    <row r="30480" spans="7:24" ht="15" customHeight="1">
      <c r="G30480"/>
      <c r="I30480"/>
      <c r="N30480"/>
      <c r="O30480" s="24"/>
      <c r="P30480"/>
      <c r="Q30480" s="24"/>
      <c r="R30480"/>
      <c r="S30480"/>
      <c r="T30480"/>
      <c r="U30480"/>
      <c r="X30480" s="60"/>
    </row>
    <row r="30481" spans="7:24" ht="15" customHeight="1">
      <c r="G30481"/>
      <c r="I30481"/>
      <c r="N30481"/>
      <c r="O30481" s="24"/>
      <c r="P30481"/>
      <c r="Q30481" s="24"/>
      <c r="R30481"/>
      <c r="S30481"/>
      <c r="T30481"/>
      <c r="U30481"/>
      <c r="X30481" s="60"/>
    </row>
    <row r="30482" spans="7:24" ht="15" customHeight="1">
      <c r="G30482"/>
      <c r="I30482"/>
      <c r="N30482"/>
      <c r="O30482" s="24"/>
      <c r="P30482"/>
      <c r="Q30482" s="24"/>
      <c r="R30482"/>
      <c r="S30482"/>
      <c r="T30482"/>
      <c r="U30482"/>
      <c r="X30482" s="60"/>
    </row>
    <row r="30483" spans="7:24" ht="15" customHeight="1">
      <c r="G30483"/>
      <c r="I30483"/>
      <c r="N30483"/>
      <c r="O30483" s="24"/>
      <c r="P30483"/>
      <c r="Q30483" s="24"/>
      <c r="R30483"/>
      <c r="S30483"/>
      <c r="T30483"/>
      <c r="U30483"/>
      <c r="X30483" s="60"/>
    </row>
    <row r="30484" spans="7:24" ht="15" customHeight="1">
      <c r="G30484"/>
      <c r="I30484"/>
      <c r="N30484"/>
      <c r="O30484" s="24"/>
      <c r="P30484"/>
      <c r="Q30484" s="24"/>
      <c r="R30484"/>
      <c r="S30484"/>
      <c r="T30484"/>
      <c r="U30484"/>
      <c r="X30484" s="60"/>
    </row>
    <row r="30485" spans="7:24" ht="15" customHeight="1">
      <c r="G30485"/>
      <c r="I30485"/>
      <c r="N30485"/>
      <c r="O30485" s="24"/>
      <c r="P30485"/>
      <c r="Q30485" s="24"/>
      <c r="R30485"/>
      <c r="S30485"/>
      <c r="T30485"/>
      <c r="U30485"/>
      <c r="X30485" s="60"/>
    </row>
    <row r="30486" spans="7:24" ht="15" customHeight="1">
      <c r="G30486"/>
      <c r="I30486"/>
      <c r="N30486"/>
      <c r="O30486" s="24"/>
      <c r="P30486"/>
      <c r="Q30486" s="24"/>
      <c r="R30486"/>
      <c r="S30486"/>
      <c r="T30486"/>
      <c r="U30486"/>
      <c r="X30486" s="60"/>
    </row>
    <row r="30487" spans="7:24" ht="15" customHeight="1">
      <c r="G30487"/>
      <c r="I30487"/>
      <c r="N30487"/>
      <c r="O30487" s="24"/>
      <c r="P30487"/>
      <c r="Q30487" s="24"/>
      <c r="R30487"/>
      <c r="S30487"/>
      <c r="T30487"/>
      <c r="U30487"/>
      <c r="X30487" s="60"/>
    </row>
    <row r="30488" spans="7:24" ht="15" customHeight="1">
      <c r="G30488"/>
      <c r="I30488"/>
      <c r="N30488"/>
      <c r="O30488" s="24"/>
      <c r="P30488"/>
      <c r="Q30488" s="24"/>
      <c r="R30488"/>
      <c r="S30488"/>
      <c r="T30488"/>
      <c r="U30488"/>
      <c r="X30488" s="60"/>
    </row>
    <row r="30489" spans="7:24" ht="15" customHeight="1">
      <c r="G30489"/>
      <c r="I30489"/>
      <c r="N30489"/>
      <c r="O30489" s="24"/>
      <c r="P30489"/>
      <c r="Q30489" s="24"/>
      <c r="R30489"/>
      <c r="S30489"/>
      <c r="T30489"/>
      <c r="U30489"/>
      <c r="X30489" s="60"/>
    </row>
    <row r="30490" spans="7:24" ht="15" customHeight="1">
      <c r="G30490"/>
      <c r="I30490"/>
      <c r="N30490"/>
      <c r="O30490" s="24"/>
      <c r="P30490"/>
      <c r="Q30490" s="24"/>
      <c r="R30490"/>
      <c r="S30490"/>
      <c r="T30490"/>
      <c r="U30490"/>
      <c r="X30490" s="60"/>
    </row>
    <row r="30491" spans="7:24" ht="15" customHeight="1">
      <c r="G30491"/>
      <c r="I30491"/>
      <c r="N30491"/>
      <c r="O30491" s="24"/>
      <c r="P30491"/>
      <c r="Q30491" s="24"/>
      <c r="R30491"/>
      <c r="S30491"/>
      <c r="T30491"/>
      <c r="U30491"/>
      <c r="X30491" s="60"/>
    </row>
    <row r="30492" spans="7:24" ht="15" customHeight="1">
      <c r="G30492"/>
      <c r="I30492"/>
      <c r="N30492"/>
      <c r="O30492" s="24"/>
      <c r="P30492"/>
      <c r="Q30492" s="24"/>
      <c r="R30492"/>
      <c r="S30492"/>
      <c r="T30492"/>
      <c r="U30492"/>
      <c r="X30492" s="60"/>
    </row>
    <row r="30493" spans="7:24" ht="15" customHeight="1">
      <c r="G30493"/>
      <c r="I30493"/>
      <c r="N30493"/>
      <c r="O30493" s="24"/>
      <c r="P30493"/>
      <c r="Q30493" s="24"/>
      <c r="R30493"/>
      <c r="S30493"/>
      <c r="T30493"/>
      <c r="U30493"/>
      <c r="X30493" s="60"/>
    </row>
    <row r="30494" spans="7:24" ht="15" customHeight="1">
      <c r="G30494"/>
      <c r="I30494"/>
      <c r="N30494"/>
      <c r="O30494" s="24"/>
      <c r="P30494"/>
      <c r="Q30494" s="24"/>
      <c r="R30494"/>
      <c r="S30494"/>
      <c r="T30494"/>
      <c r="U30494"/>
      <c r="X30494" s="60"/>
    </row>
    <row r="30495" spans="7:24" ht="15" customHeight="1">
      <c r="G30495"/>
      <c r="I30495"/>
      <c r="N30495"/>
      <c r="O30495" s="24"/>
      <c r="P30495"/>
      <c r="Q30495" s="24"/>
      <c r="R30495"/>
      <c r="S30495"/>
      <c r="T30495"/>
      <c r="U30495"/>
      <c r="X30495" s="60"/>
    </row>
    <row r="30496" spans="7:24" ht="15" customHeight="1">
      <c r="G30496"/>
      <c r="I30496"/>
      <c r="N30496"/>
      <c r="O30496" s="24"/>
      <c r="P30496"/>
      <c r="Q30496" s="24"/>
      <c r="R30496"/>
      <c r="S30496"/>
      <c r="T30496"/>
      <c r="U30496"/>
      <c r="X30496" s="60"/>
    </row>
    <row r="30497" spans="7:24" ht="15" customHeight="1">
      <c r="G30497"/>
      <c r="I30497"/>
      <c r="N30497"/>
      <c r="O30497" s="24"/>
      <c r="P30497"/>
      <c r="Q30497" s="24"/>
      <c r="R30497"/>
      <c r="S30497"/>
      <c r="T30497"/>
      <c r="U30497"/>
      <c r="X30497" s="60"/>
    </row>
    <row r="30498" spans="7:24" ht="15" customHeight="1">
      <c r="G30498"/>
      <c r="I30498"/>
      <c r="N30498"/>
      <c r="O30498" s="24"/>
      <c r="P30498"/>
      <c r="Q30498" s="24"/>
      <c r="R30498"/>
      <c r="S30498"/>
      <c r="T30498"/>
      <c r="U30498"/>
      <c r="X30498" s="60"/>
    </row>
    <row r="30499" spans="7:24" ht="15" customHeight="1">
      <c r="G30499"/>
      <c r="I30499"/>
      <c r="N30499"/>
      <c r="O30499" s="24"/>
      <c r="P30499"/>
      <c r="Q30499" s="24"/>
      <c r="R30499"/>
      <c r="S30499"/>
      <c r="T30499"/>
      <c r="U30499"/>
      <c r="X30499" s="60"/>
    </row>
    <row r="30500" spans="7:24" ht="15" customHeight="1">
      <c r="G30500"/>
      <c r="I30500"/>
      <c r="N30500"/>
      <c r="O30500" s="24"/>
      <c r="P30500"/>
      <c r="Q30500" s="24"/>
      <c r="R30500"/>
      <c r="S30500"/>
      <c r="T30500"/>
      <c r="U30500"/>
      <c r="X30500" s="60"/>
    </row>
    <row r="30501" spans="7:24" ht="15" customHeight="1">
      <c r="G30501"/>
      <c r="I30501"/>
      <c r="N30501"/>
      <c r="O30501" s="24"/>
      <c r="P30501"/>
      <c r="Q30501" s="24"/>
      <c r="R30501"/>
      <c r="S30501"/>
      <c r="T30501"/>
      <c r="U30501"/>
      <c r="X30501" s="60"/>
    </row>
    <row r="30502" spans="7:24" ht="15" customHeight="1">
      <c r="G30502"/>
      <c r="I30502"/>
      <c r="N30502"/>
      <c r="O30502" s="24"/>
      <c r="P30502"/>
      <c r="Q30502" s="24"/>
      <c r="R30502"/>
      <c r="S30502"/>
      <c r="T30502"/>
      <c r="U30502"/>
      <c r="X30502" s="60"/>
    </row>
    <row r="30503" spans="7:24" ht="15" customHeight="1">
      <c r="G30503"/>
      <c r="I30503"/>
      <c r="N30503"/>
      <c r="O30503" s="24"/>
      <c r="P30503"/>
      <c r="Q30503" s="24"/>
      <c r="R30503"/>
      <c r="S30503"/>
      <c r="T30503"/>
      <c r="U30503"/>
      <c r="X30503" s="60"/>
    </row>
    <row r="30504" spans="7:24" ht="15" customHeight="1">
      <c r="G30504"/>
      <c r="I30504"/>
      <c r="N30504"/>
      <c r="O30504" s="24"/>
      <c r="P30504"/>
      <c r="Q30504" s="24"/>
      <c r="R30504"/>
      <c r="S30504"/>
      <c r="T30504"/>
      <c r="U30504"/>
      <c r="X30504" s="60"/>
    </row>
    <row r="30505" spans="7:24" ht="15" customHeight="1">
      <c r="G30505"/>
      <c r="I30505"/>
      <c r="N30505"/>
      <c r="O30505" s="24"/>
      <c r="P30505"/>
      <c r="Q30505" s="24"/>
      <c r="R30505"/>
      <c r="S30505"/>
      <c r="T30505"/>
      <c r="U30505"/>
      <c r="X30505" s="60"/>
    </row>
    <row r="30506" spans="7:24" ht="15" customHeight="1">
      <c r="G30506"/>
      <c r="I30506"/>
      <c r="N30506"/>
      <c r="O30506" s="24"/>
      <c r="P30506"/>
      <c r="Q30506" s="24"/>
      <c r="R30506"/>
      <c r="S30506"/>
      <c r="T30506"/>
      <c r="U30506"/>
      <c r="X30506" s="60"/>
    </row>
    <row r="30507" spans="7:24" ht="15" customHeight="1">
      <c r="G30507"/>
      <c r="I30507"/>
      <c r="N30507"/>
      <c r="O30507" s="24"/>
      <c r="P30507"/>
      <c r="Q30507" s="24"/>
      <c r="R30507"/>
      <c r="S30507"/>
      <c r="T30507"/>
      <c r="U30507"/>
      <c r="X30507" s="60"/>
    </row>
    <row r="30508" spans="7:24" ht="15" customHeight="1">
      <c r="G30508"/>
      <c r="I30508"/>
      <c r="N30508"/>
      <c r="O30508" s="24"/>
      <c r="P30508"/>
      <c r="Q30508" s="24"/>
      <c r="R30508"/>
      <c r="S30508"/>
      <c r="T30508"/>
      <c r="U30508"/>
      <c r="X30508" s="60"/>
    </row>
    <row r="30509" spans="7:24" ht="15" customHeight="1">
      <c r="G30509"/>
      <c r="I30509"/>
      <c r="N30509"/>
      <c r="O30509" s="24"/>
      <c r="P30509"/>
      <c r="Q30509" s="24"/>
      <c r="R30509"/>
      <c r="S30509"/>
      <c r="T30509"/>
      <c r="U30509"/>
      <c r="X30509" s="60"/>
    </row>
    <row r="30510" spans="7:24" ht="15" customHeight="1">
      <c r="G30510"/>
      <c r="I30510"/>
      <c r="N30510"/>
      <c r="O30510" s="24"/>
      <c r="P30510"/>
      <c r="Q30510" s="24"/>
      <c r="R30510"/>
      <c r="S30510"/>
      <c r="T30510"/>
      <c r="U30510"/>
      <c r="X30510" s="60"/>
    </row>
    <row r="30511" spans="7:24" ht="15" customHeight="1">
      <c r="G30511"/>
      <c r="I30511"/>
      <c r="N30511"/>
      <c r="O30511" s="24"/>
      <c r="P30511"/>
      <c r="Q30511" s="24"/>
      <c r="R30511"/>
      <c r="S30511"/>
      <c r="T30511"/>
      <c r="U30511"/>
      <c r="X30511" s="60"/>
    </row>
    <row r="30512" spans="7:24" ht="15" customHeight="1">
      <c r="G30512"/>
      <c r="I30512"/>
      <c r="N30512"/>
      <c r="O30512" s="24"/>
      <c r="P30512"/>
      <c r="Q30512" s="24"/>
      <c r="R30512"/>
      <c r="S30512"/>
      <c r="T30512"/>
      <c r="U30512"/>
      <c r="X30512" s="60"/>
    </row>
    <row r="30513" spans="7:24" ht="15" customHeight="1">
      <c r="G30513"/>
      <c r="I30513"/>
      <c r="N30513"/>
      <c r="O30513" s="24"/>
      <c r="P30513"/>
      <c r="Q30513" s="24"/>
      <c r="R30513"/>
      <c r="S30513"/>
      <c r="T30513"/>
      <c r="U30513"/>
      <c r="X30513" s="60"/>
    </row>
    <row r="30514" spans="7:24" ht="15" customHeight="1">
      <c r="G30514"/>
      <c r="I30514"/>
      <c r="N30514"/>
      <c r="O30514" s="24"/>
      <c r="P30514"/>
      <c r="Q30514" s="24"/>
      <c r="R30514"/>
      <c r="S30514"/>
      <c r="T30514"/>
      <c r="U30514"/>
      <c r="X30514" s="60"/>
    </row>
    <row r="30515" spans="7:24" ht="15" customHeight="1">
      <c r="G30515"/>
      <c r="I30515"/>
      <c r="N30515"/>
      <c r="O30515" s="24"/>
      <c r="P30515"/>
      <c r="Q30515" s="24"/>
      <c r="R30515"/>
      <c r="S30515"/>
      <c r="T30515"/>
      <c r="U30515"/>
      <c r="X30515" s="60"/>
    </row>
    <row r="30516" spans="7:24" ht="15" customHeight="1">
      <c r="G30516"/>
      <c r="I30516"/>
      <c r="N30516"/>
      <c r="O30516" s="24"/>
      <c r="P30516"/>
      <c r="Q30516" s="24"/>
      <c r="R30516"/>
      <c r="S30516"/>
      <c r="T30516"/>
      <c r="U30516"/>
      <c r="X30516" s="60"/>
    </row>
    <row r="30517" spans="7:24" ht="15" customHeight="1">
      <c r="G30517"/>
      <c r="I30517"/>
      <c r="N30517"/>
      <c r="O30517" s="24"/>
      <c r="P30517"/>
      <c r="Q30517" s="24"/>
      <c r="R30517"/>
      <c r="S30517"/>
      <c r="T30517"/>
      <c r="U30517"/>
      <c r="X30517" s="60"/>
    </row>
    <row r="30518" spans="7:24" ht="15" customHeight="1">
      <c r="G30518"/>
      <c r="I30518"/>
      <c r="N30518"/>
      <c r="O30518" s="24"/>
      <c r="P30518"/>
      <c r="Q30518" s="24"/>
      <c r="R30518"/>
      <c r="S30518"/>
      <c r="T30518"/>
      <c r="U30518"/>
      <c r="X30518" s="60"/>
    </row>
    <row r="30519" spans="7:24" ht="15" customHeight="1">
      <c r="G30519"/>
      <c r="I30519"/>
      <c r="N30519"/>
      <c r="O30519" s="24"/>
      <c r="P30519"/>
      <c r="Q30519" s="24"/>
      <c r="R30519"/>
      <c r="S30519"/>
      <c r="T30519"/>
      <c r="U30519"/>
      <c r="X30519" s="60"/>
    </row>
    <row r="30520" spans="7:24" ht="15" customHeight="1">
      <c r="G30520"/>
      <c r="I30520"/>
      <c r="N30520"/>
      <c r="O30520" s="24"/>
      <c r="P30520"/>
      <c r="Q30520" s="24"/>
      <c r="R30520"/>
      <c r="S30520"/>
      <c r="T30520"/>
      <c r="U30520"/>
      <c r="X30520" s="60"/>
    </row>
    <row r="30521" spans="7:24" ht="15" customHeight="1">
      <c r="G30521"/>
      <c r="I30521"/>
      <c r="N30521"/>
      <c r="O30521" s="24"/>
      <c r="P30521"/>
      <c r="Q30521" s="24"/>
      <c r="R30521"/>
      <c r="S30521"/>
      <c r="T30521"/>
      <c r="U30521"/>
      <c r="X30521" s="60"/>
    </row>
    <row r="30522" spans="7:24" ht="15" customHeight="1">
      <c r="G30522"/>
      <c r="I30522"/>
      <c r="N30522"/>
      <c r="O30522" s="24"/>
      <c r="P30522"/>
      <c r="Q30522" s="24"/>
      <c r="R30522"/>
      <c r="S30522"/>
      <c r="T30522"/>
      <c r="U30522"/>
      <c r="X30522" s="60"/>
    </row>
    <row r="30523" spans="7:24" ht="15" customHeight="1">
      <c r="G30523"/>
      <c r="I30523"/>
      <c r="N30523"/>
      <c r="O30523" s="24"/>
      <c r="P30523"/>
      <c r="Q30523" s="24"/>
      <c r="R30523"/>
      <c r="S30523"/>
      <c r="T30523"/>
      <c r="U30523"/>
      <c r="X30523" s="60"/>
    </row>
    <row r="30524" spans="7:24" ht="15" customHeight="1">
      <c r="G30524"/>
      <c r="I30524"/>
      <c r="N30524"/>
      <c r="O30524" s="24"/>
      <c r="P30524"/>
      <c r="Q30524" s="24"/>
      <c r="R30524"/>
      <c r="S30524"/>
      <c r="T30524"/>
      <c r="U30524"/>
      <c r="X30524" s="60"/>
    </row>
    <row r="30525" spans="7:24" ht="15" customHeight="1">
      <c r="G30525"/>
      <c r="I30525"/>
      <c r="N30525"/>
      <c r="O30525" s="24"/>
      <c r="P30525"/>
      <c r="Q30525" s="24"/>
      <c r="R30525"/>
      <c r="S30525"/>
      <c r="T30525"/>
      <c r="U30525"/>
      <c r="X30525" s="60"/>
    </row>
    <row r="30526" spans="7:24" ht="15" customHeight="1">
      <c r="G30526"/>
      <c r="I30526"/>
      <c r="N30526"/>
      <c r="O30526" s="24"/>
      <c r="P30526"/>
      <c r="Q30526" s="24"/>
      <c r="R30526"/>
      <c r="S30526"/>
      <c r="T30526"/>
      <c r="U30526"/>
      <c r="X30526" s="60"/>
    </row>
    <row r="30527" spans="7:24" ht="15" customHeight="1">
      <c r="G30527"/>
      <c r="I30527"/>
      <c r="N30527"/>
      <c r="O30527" s="24"/>
      <c r="P30527"/>
      <c r="Q30527" s="24"/>
      <c r="R30527"/>
      <c r="S30527"/>
      <c r="T30527"/>
      <c r="U30527"/>
      <c r="X30527" s="60"/>
    </row>
    <row r="30528" spans="7:24" ht="15" customHeight="1">
      <c r="G30528"/>
      <c r="I30528"/>
      <c r="N30528"/>
      <c r="O30528" s="24"/>
      <c r="P30528"/>
      <c r="Q30528" s="24"/>
      <c r="R30528"/>
      <c r="S30528"/>
      <c r="T30528"/>
      <c r="U30528"/>
      <c r="X30528" s="60"/>
    </row>
    <row r="30529" spans="7:24" ht="15" customHeight="1">
      <c r="G30529"/>
      <c r="I30529"/>
      <c r="N30529"/>
      <c r="O30529" s="24"/>
      <c r="P30529"/>
      <c r="Q30529" s="24"/>
      <c r="R30529"/>
      <c r="S30529"/>
      <c r="T30529"/>
      <c r="U30529"/>
      <c r="X30529" s="60"/>
    </row>
    <row r="30530" spans="7:24" ht="15" customHeight="1">
      <c r="G30530"/>
      <c r="I30530"/>
      <c r="N30530"/>
      <c r="O30530" s="24"/>
      <c r="P30530"/>
      <c r="Q30530" s="24"/>
      <c r="R30530"/>
      <c r="S30530"/>
      <c r="T30530"/>
      <c r="U30530"/>
      <c r="X30530" s="60"/>
    </row>
    <row r="30531" spans="7:24" ht="15" customHeight="1">
      <c r="G30531"/>
      <c r="I30531"/>
      <c r="N30531"/>
      <c r="O30531" s="24"/>
      <c r="P30531"/>
      <c r="Q30531" s="24"/>
      <c r="R30531"/>
      <c r="S30531"/>
      <c r="T30531"/>
      <c r="U30531"/>
      <c r="X30531" s="60"/>
    </row>
    <row r="30532" spans="7:24" ht="15" customHeight="1">
      <c r="G30532"/>
      <c r="I30532"/>
      <c r="N30532"/>
      <c r="O30532" s="24"/>
      <c r="P30532"/>
      <c r="Q30532" s="24"/>
      <c r="R30532"/>
      <c r="S30532"/>
      <c r="T30532"/>
      <c r="U30532"/>
      <c r="X30532" s="60"/>
    </row>
    <row r="30533" spans="7:24" ht="15" customHeight="1">
      <c r="G30533"/>
      <c r="I30533"/>
      <c r="N30533"/>
      <c r="O30533" s="24"/>
      <c r="P30533"/>
      <c r="Q30533" s="24"/>
      <c r="R30533"/>
      <c r="S30533"/>
      <c r="T30533"/>
      <c r="U30533"/>
      <c r="X30533" s="60"/>
    </row>
    <row r="30534" spans="7:24" ht="15" customHeight="1">
      <c r="G30534"/>
      <c r="I30534"/>
      <c r="N30534"/>
      <c r="O30534" s="24"/>
      <c r="P30534"/>
      <c r="Q30534" s="24"/>
      <c r="R30534"/>
      <c r="S30534"/>
      <c r="T30534"/>
      <c r="U30534"/>
      <c r="X30534" s="60"/>
    </row>
    <row r="30535" spans="7:24" ht="15" customHeight="1">
      <c r="G30535"/>
      <c r="I30535"/>
      <c r="N30535"/>
      <c r="O30535" s="24"/>
      <c r="P30535"/>
      <c r="Q30535" s="24"/>
      <c r="R30535"/>
      <c r="S30535"/>
      <c r="T30535"/>
      <c r="U30535"/>
      <c r="X30535" s="60"/>
    </row>
    <row r="30536" spans="7:24" ht="15" customHeight="1">
      <c r="G30536"/>
      <c r="I30536"/>
      <c r="N30536"/>
      <c r="O30536" s="24"/>
      <c r="P30536"/>
      <c r="Q30536" s="24"/>
      <c r="R30536"/>
      <c r="S30536"/>
      <c r="T30536"/>
      <c r="U30536"/>
      <c r="X30536" s="60"/>
    </row>
    <row r="30537" spans="7:24" ht="15" customHeight="1">
      <c r="G30537"/>
      <c r="I30537"/>
      <c r="N30537"/>
      <c r="O30537" s="24"/>
      <c r="P30537"/>
      <c r="Q30537" s="24"/>
      <c r="R30537"/>
      <c r="S30537"/>
      <c r="T30537"/>
      <c r="U30537"/>
      <c r="X30537" s="60"/>
    </row>
    <row r="30538" spans="7:24" ht="15" customHeight="1">
      <c r="G30538"/>
      <c r="I30538"/>
      <c r="N30538"/>
      <c r="O30538" s="24"/>
      <c r="P30538"/>
      <c r="Q30538" s="24"/>
      <c r="R30538"/>
      <c r="S30538"/>
      <c r="T30538"/>
      <c r="U30538"/>
      <c r="X30538" s="60"/>
    </row>
    <row r="30539" spans="7:24" ht="15" customHeight="1">
      <c r="G30539"/>
      <c r="I30539"/>
      <c r="N30539"/>
      <c r="O30539" s="24"/>
      <c r="P30539"/>
      <c r="Q30539" s="24"/>
      <c r="R30539"/>
      <c r="S30539"/>
      <c r="T30539"/>
      <c r="U30539"/>
      <c r="X30539" s="60"/>
    </row>
    <row r="30540" spans="7:24" ht="15" customHeight="1">
      <c r="G30540"/>
      <c r="I30540"/>
      <c r="N30540"/>
      <c r="O30540" s="24"/>
      <c r="P30540"/>
      <c r="Q30540" s="24"/>
      <c r="R30540"/>
      <c r="S30540"/>
      <c r="T30540"/>
      <c r="U30540"/>
      <c r="X30540" s="60"/>
    </row>
    <row r="30541" spans="7:24" ht="15" customHeight="1">
      <c r="G30541"/>
      <c r="I30541"/>
      <c r="N30541"/>
      <c r="O30541" s="24"/>
      <c r="P30541"/>
      <c r="Q30541" s="24"/>
      <c r="R30541"/>
      <c r="S30541"/>
      <c r="T30541"/>
      <c r="U30541"/>
      <c r="X30541" s="60"/>
    </row>
    <row r="30542" spans="7:24" ht="15" customHeight="1">
      <c r="G30542"/>
      <c r="I30542"/>
      <c r="N30542"/>
      <c r="O30542" s="24"/>
      <c r="P30542"/>
      <c r="Q30542" s="24"/>
      <c r="R30542"/>
      <c r="S30542"/>
      <c r="T30542"/>
      <c r="U30542"/>
      <c r="X30542" s="60"/>
    </row>
    <row r="30543" spans="7:24" ht="15" customHeight="1">
      <c r="G30543"/>
      <c r="I30543"/>
      <c r="N30543"/>
      <c r="O30543" s="24"/>
      <c r="P30543"/>
      <c r="Q30543" s="24"/>
      <c r="R30543"/>
      <c r="S30543"/>
      <c r="T30543"/>
      <c r="U30543"/>
      <c r="X30543" s="60"/>
    </row>
    <row r="30544" spans="7:24" ht="15" customHeight="1">
      <c r="G30544"/>
      <c r="I30544"/>
      <c r="N30544"/>
      <c r="O30544" s="24"/>
      <c r="P30544"/>
      <c r="Q30544" s="24"/>
      <c r="R30544"/>
      <c r="S30544"/>
      <c r="T30544"/>
      <c r="U30544"/>
      <c r="X30544" s="60"/>
    </row>
    <row r="30545" spans="7:24" ht="15" customHeight="1">
      <c r="G30545"/>
      <c r="I30545"/>
      <c r="N30545"/>
      <c r="O30545" s="24"/>
      <c r="P30545"/>
      <c r="Q30545" s="24"/>
      <c r="R30545"/>
      <c r="S30545"/>
      <c r="T30545"/>
      <c r="U30545"/>
      <c r="X30545" s="60"/>
    </row>
    <row r="30546" spans="7:24" ht="15" customHeight="1">
      <c r="G30546"/>
      <c r="I30546"/>
      <c r="N30546"/>
      <c r="O30546" s="24"/>
      <c r="P30546"/>
      <c r="Q30546" s="24"/>
      <c r="R30546"/>
      <c r="S30546"/>
      <c r="T30546"/>
      <c r="U30546"/>
      <c r="X30546" s="60"/>
    </row>
    <row r="30547" spans="7:24" ht="15" customHeight="1">
      <c r="G30547"/>
      <c r="I30547"/>
      <c r="N30547"/>
      <c r="O30547" s="24"/>
      <c r="P30547"/>
      <c r="Q30547" s="24"/>
      <c r="R30547"/>
      <c r="S30547"/>
      <c r="T30547"/>
      <c r="U30547"/>
      <c r="X30547" s="60"/>
    </row>
    <row r="30548" spans="7:24" ht="15" customHeight="1">
      <c r="G30548"/>
      <c r="I30548"/>
      <c r="N30548"/>
      <c r="O30548" s="24"/>
      <c r="P30548"/>
      <c r="Q30548" s="24"/>
      <c r="R30548"/>
      <c r="S30548"/>
      <c r="T30548"/>
      <c r="U30548"/>
      <c r="X30548" s="60"/>
    </row>
    <row r="30549" spans="7:24" ht="15" customHeight="1">
      <c r="G30549"/>
      <c r="I30549"/>
      <c r="N30549"/>
      <c r="O30549" s="24"/>
      <c r="P30549"/>
      <c r="Q30549" s="24"/>
      <c r="R30549"/>
      <c r="S30549"/>
      <c r="T30549"/>
      <c r="U30549"/>
      <c r="X30549" s="60"/>
    </row>
    <row r="30550" spans="7:24" ht="15" customHeight="1">
      <c r="G30550"/>
      <c r="I30550"/>
      <c r="N30550"/>
      <c r="O30550" s="24"/>
      <c r="P30550"/>
      <c r="Q30550" s="24"/>
      <c r="R30550"/>
      <c r="S30550"/>
      <c r="T30550"/>
      <c r="U30550"/>
      <c r="X30550" s="60"/>
    </row>
    <row r="30551" spans="7:24" ht="15" customHeight="1">
      <c r="G30551"/>
      <c r="I30551"/>
      <c r="N30551"/>
      <c r="O30551" s="24"/>
      <c r="P30551"/>
      <c r="Q30551" s="24"/>
      <c r="R30551"/>
      <c r="S30551"/>
      <c r="T30551"/>
      <c r="U30551"/>
      <c r="X30551" s="60"/>
    </row>
    <row r="30552" spans="7:24" ht="15" customHeight="1">
      <c r="G30552"/>
      <c r="I30552"/>
      <c r="N30552"/>
      <c r="O30552" s="24"/>
      <c r="P30552"/>
      <c r="Q30552" s="24"/>
      <c r="R30552"/>
      <c r="S30552"/>
      <c r="T30552"/>
      <c r="U30552"/>
      <c r="X30552" s="60"/>
    </row>
    <row r="30553" spans="7:24" ht="15" customHeight="1">
      <c r="G30553"/>
      <c r="I30553"/>
      <c r="N30553"/>
      <c r="O30553" s="24"/>
      <c r="P30553"/>
      <c r="Q30553" s="24"/>
      <c r="R30553"/>
      <c r="S30553"/>
      <c r="T30553"/>
      <c r="U30553"/>
      <c r="X30553" s="60"/>
    </row>
    <row r="30554" spans="7:24" ht="15" customHeight="1">
      <c r="G30554"/>
      <c r="I30554"/>
      <c r="N30554"/>
      <c r="O30554" s="24"/>
      <c r="P30554"/>
      <c r="Q30554" s="24"/>
      <c r="R30554"/>
      <c r="S30554"/>
      <c r="T30554"/>
      <c r="U30554"/>
      <c r="X30554" s="60"/>
    </row>
    <row r="30555" spans="7:24" ht="15" customHeight="1">
      <c r="G30555"/>
      <c r="I30555"/>
      <c r="N30555"/>
      <c r="O30555" s="24"/>
      <c r="P30555"/>
      <c r="Q30555" s="24"/>
      <c r="R30555"/>
      <c r="S30555"/>
      <c r="T30555"/>
      <c r="U30555"/>
      <c r="X30555" s="60"/>
    </row>
    <row r="30556" spans="7:24" ht="15" customHeight="1">
      <c r="G30556"/>
      <c r="I30556"/>
      <c r="N30556"/>
      <c r="O30556" s="24"/>
      <c r="P30556"/>
      <c r="Q30556" s="24"/>
      <c r="R30556"/>
      <c r="S30556"/>
      <c r="T30556"/>
      <c r="U30556"/>
      <c r="X30556" s="60"/>
    </row>
    <row r="30557" spans="7:24" ht="15" customHeight="1">
      <c r="G30557"/>
      <c r="I30557"/>
      <c r="N30557"/>
      <c r="O30557" s="24"/>
      <c r="P30557"/>
      <c r="Q30557" s="24"/>
      <c r="R30557"/>
      <c r="S30557"/>
      <c r="T30557"/>
      <c r="U30557"/>
      <c r="X30557" s="60"/>
    </row>
    <row r="30558" spans="7:24" ht="15" customHeight="1">
      <c r="G30558"/>
      <c r="I30558"/>
      <c r="N30558"/>
      <c r="O30558" s="24"/>
      <c r="P30558"/>
      <c r="Q30558" s="24"/>
      <c r="R30558"/>
      <c r="S30558"/>
      <c r="T30558"/>
      <c r="U30558"/>
      <c r="X30558" s="60"/>
    </row>
    <row r="30559" spans="7:24" ht="15" customHeight="1">
      <c r="G30559"/>
      <c r="I30559"/>
      <c r="N30559"/>
      <c r="O30559" s="24"/>
      <c r="P30559"/>
      <c r="Q30559" s="24"/>
      <c r="R30559"/>
      <c r="S30559"/>
      <c r="T30559"/>
      <c r="U30559"/>
      <c r="X30559" s="60"/>
    </row>
    <row r="30560" spans="7:24" ht="15" customHeight="1">
      <c r="G30560"/>
      <c r="I30560"/>
      <c r="N30560"/>
      <c r="O30560" s="24"/>
      <c r="P30560"/>
      <c r="Q30560" s="24"/>
      <c r="R30560"/>
      <c r="S30560"/>
      <c r="T30560"/>
      <c r="U30560"/>
      <c r="X30560" s="60"/>
    </row>
    <row r="30561" spans="7:24" ht="15" customHeight="1">
      <c r="G30561"/>
      <c r="I30561"/>
      <c r="N30561"/>
      <c r="O30561" s="24"/>
      <c r="P30561"/>
      <c r="Q30561" s="24"/>
      <c r="R30561"/>
      <c r="S30561"/>
      <c r="T30561"/>
      <c r="U30561"/>
      <c r="X30561" s="60"/>
    </row>
    <row r="30562" spans="7:24" ht="15" customHeight="1">
      <c r="G30562"/>
      <c r="I30562"/>
      <c r="N30562"/>
      <c r="O30562" s="24"/>
      <c r="P30562"/>
      <c r="Q30562" s="24"/>
      <c r="R30562"/>
      <c r="S30562"/>
      <c r="T30562"/>
      <c r="U30562"/>
      <c r="X30562" s="60"/>
    </row>
    <row r="30563" spans="7:24" ht="15" customHeight="1">
      <c r="G30563"/>
      <c r="I30563"/>
      <c r="N30563"/>
      <c r="O30563" s="24"/>
      <c r="P30563"/>
      <c r="Q30563" s="24"/>
      <c r="R30563"/>
      <c r="S30563"/>
      <c r="T30563"/>
      <c r="U30563"/>
      <c r="X30563" s="60"/>
    </row>
    <row r="30564" spans="7:24" ht="15" customHeight="1">
      <c r="G30564"/>
      <c r="I30564"/>
      <c r="N30564"/>
      <c r="O30564" s="24"/>
      <c r="P30564"/>
      <c r="Q30564" s="24"/>
      <c r="R30564"/>
      <c r="S30564"/>
      <c r="T30564"/>
      <c r="U30564"/>
      <c r="X30564" s="60"/>
    </row>
    <row r="30565" spans="7:24" ht="15" customHeight="1">
      <c r="G30565"/>
      <c r="I30565"/>
      <c r="N30565"/>
      <c r="O30565" s="24"/>
      <c r="P30565"/>
      <c r="Q30565" s="24"/>
      <c r="R30565"/>
      <c r="S30565"/>
      <c r="T30565"/>
      <c r="U30565"/>
      <c r="X30565" s="60"/>
    </row>
    <row r="30566" spans="7:24" ht="15" customHeight="1">
      <c r="G30566"/>
      <c r="I30566"/>
      <c r="N30566"/>
      <c r="O30566" s="24"/>
      <c r="P30566"/>
      <c r="Q30566" s="24"/>
      <c r="R30566"/>
      <c r="S30566"/>
      <c r="T30566"/>
      <c r="U30566"/>
      <c r="X30566" s="60"/>
    </row>
    <row r="30567" spans="7:24" ht="15" customHeight="1">
      <c r="G30567"/>
      <c r="I30567"/>
      <c r="N30567"/>
      <c r="O30567" s="24"/>
      <c r="P30567"/>
      <c r="Q30567" s="24"/>
      <c r="R30567"/>
      <c r="S30567"/>
      <c r="T30567"/>
      <c r="U30567"/>
      <c r="X30567" s="60"/>
    </row>
    <row r="30568" spans="7:24" ht="15" customHeight="1">
      <c r="G30568"/>
      <c r="I30568"/>
      <c r="N30568"/>
      <c r="O30568" s="24"/>
      <c r="P30568"/>
      <c r="Q30568" s="24"/>
      <c r="R30568"/>
      <c r="S30568"/>
      <c r="T30568"/>
      <c r="U30568"/>
      <c r="X30568" s="60"/>
    </row>
    <row r="30569" spans="7:24" ht="15" customHeight="1">
      <c r="G30569"/>
      <c r="I30569"/>
      <c r="N30569"/>
      <c r="O30569" s="24"/>
      <c r="P30569"/>
      <c r="Q30569" s="24"/>
      <c r="R30569"/>
      <c r="S30569"/>
      <c r="T30569"/>
      <c r="U30569"/>
      <c r="X30569" s="60"/>
    </row>
    <row r="30570" spans="7:24" ht="15" customHeight="1">
      <c r="G30570"/>
      <c r="I30570"/>
      <c r="N30570"/>
      <c r="O30570" s="24"/>
      <c r="P30570"/>
      <c r="Q30570" s="24"/>
      <c r="R30570"/>
      <c r="S30570"/>
      <c r="T30570"/>
      <c r="U30570"/>
      <c r="X30570" s="60"/>
    </row>
    <row r="30571" spans="7:24" ht="15" customHeight="1">
      <c r="G30571"/>
      <c r="I30571"/>
      <c r="N30571"/>
      <c r="O30571" s="24"/>
      <c r="P30571"/>
      <c r="Q30571" s="24"/>
      <c r="R30571"/>
      <c r="S30571"/>
      <c r="T30571"/>
      <c r="U30571"/>
      <c r="X30571" s="60"/>
    </row>
    <row r="30572" spans="7:24" ht="15" customHeight="1">
      <c r="G30572"/>
      <c r="I30572"/>
      <c r="N30572"/>
      <c r="O30572" s="24"/>
      <c r="P30572"/>
      <c r="Q30572" s="24"/>
      <c r="R30572"/>
      <c r="S30572"/>
      <c r="T30572"/>
      <c r="U30572"/>
      <c r="X30572" s="60"/>
    </row>
    <row r="30573" spans="7:24" ht="15" customHeight="1">
      <c r="G30573"/>
      <c r="I30573"/>
      <c r="N30573"/>
      <c r="O30573" s="24"/>
      <c r="P30573"/>
      <c r="Q30573" s="24"/>
      <c r="R30573"/>
      <c r="S30573"/>
      <c r="T30573"/>
      <c r="U30573"/>
      <c r="X30573" s="60"/>
    </row>
    <row r="30574" spans="7:24" ht="15" customHeight="1">
      <c r="G30574"/>
      <c r="I30574"/>
      <c r="N30574"/>
      <c r="O30574" s="24"/>
      <c r="P30574"/>
      <c r="Q30574" s="24"/>
      <c r="R30574"/>
      <c r="S30574"/>
      <c r="T30574"/>
      <c r="U30574"/>
      <c r="X30574" s="60"/>
    </row>
    <row r="30575" spans="7:24" ht="15" customHeight="1">
      <c r="G30575"/>
      <c r="I30575"/>
      <c r="N30575"/>
      <c r="O30575" s="24"/>
      <c r="P30575"/>
      <c r="Q30575" s="24"/>
      <c r="R30575"/>
      <c r="S30575"/>
      <c r="T30575"/>
      <c r="U30575"/>
      <c r="X30575" s="60"/>
    </row>
    <row r="30576" spans="7:24" ht="15" customHeight="1">
      <c r="G30576"/>
      <c r="I30576"/>
      <c r="N30576"/>
      <c r="O30576" s="24"/>
      <c r="P30576"/>
      <c r="Q30576" s="24"/>
      <c r="R30576"/>
      <c r="S30576"/>
      <c r="T30576"/>
      <c r="U30576"/>
      <c r="X30576" s="60"/>
    </row>
    <row r="30577" spans="7:24" ht="15" customHeight="1">
      <c r="G30577"/>
      <c r="I30577"/>
      <c r="N30577"/>
      <c r="O30577" s="24"/>
      <c r="P30577"/>
      <c r="Q30577" s="24"/>
      <c r="R30577"/>
      <c r="S30577"/>
      <c r="T30577"/>
      <c r="U30577"/>
      <c r="X30577" s="60"/>
    </row>
    <row r="30578" spans="7:24" ht="15" customHeight="1">
      <c r="G30578"/>
      <c r="I30578"/>
      <c r="N30578"/>
      <c r="O30578" s="24"/>
      <c r="P30578"/>
      <c r="Q30578" s="24"/>
      <c r="R30578"/>
      <c r="S30578"/>
      <c r="T30578"/>
      <c r="U30578"/>
      <c r="X30578" s="60"/>
    </row>
    <row r="30579" spans="7:24" ht="15" customHeight="1">
      <c r="G30579"/>
      <c r="I30579"/>
      <c r="N30579"/>
      <c r="O30579" s="24"/>
      <c r="P30579"/>
      <c r="Q30579" s="24"/>
      <c r="R30579"/>
      <c r="S30579"/>
      <c r="T30579"/>
      <c r="U30579"/>
      <c r="X30579" s="60"/>
    </row>
    <row r="30580" spans="7:24" ht="15" customHeight="1">
      <c r="G30580"/>
      <c r="I30580"/>
      <c r="N30580"/>
      <c r="O30580" s="24"/>
      <c r="P30580"/>
      <c r="Q30580" s="24"/>
      <c r="R30580"/>
      <c r="S30580"/>
      <c r="T30580"/>
      <c r="U30580"/>
      <c r="X30580" s="60"/>
    </row>
    <row r="30581" spans="7:24" ht="15" customHeight="1">
      <c r="G30581"/>
      <c r="I30581"/>
      <c r="N30581"/>
      <c r="O30581" s="24"/>
      <c r="P30581"/>
      <c r="Q30581" s="24"/>
      <c r="R30581"/>
      <c r="S30581"/>
      <c r="T30581"/>
      <c r="U30581"/>
      <c r="X30581" s="60"/>
    </row>
    <row r="30582" spans="7:24" ht="15" customHeight="1">
      <c r="G30582"/>
      <c r="I30582"/>
      <c r="N30582"/>
      <c r="O30582" s="24"/>
      <c r="P30582"/>
      <c r="Q30582" s="24"/>
      <c r="R30582"/>
      <c r="S30582"/>
      <c r="T30582"/>
      <c r="U30582"/>
      <c r="X30582" s="60"/>
    </row>
    <row r="30583" spans="7:24" ht="15" customHeight="1">
      <c r="G30583"/>
      <c r="I30583"/>
      <c r="N30583"/>
      <c r="O30583" s="24"/>
      <c r="P30583"/>
      <c r="Q30583" s="24"/>
      <c r="R30583"/>
      <c r="S30583"/>
      <c r="T30583"/>
      <c r="U30583"/>
      <c r="X30583" s="60"/>
    </row>
    <row r="30584" spans="7:24" ht="15" customHeight="1">
      <c r="G30584"/>
      <c r="I30584"/>
      <c r="N30584"/>
      <c r="O30584" s="24"/>
      <c r="P30584"/>
      <c r="Q30584" s="24"/>
      <c r="R30584"/>
      <c r="S30584"/>
      <c r="T30584"/>
      <c r="U30584"/>
      <c r="X30584" s="60"/>
    </row>
    <row r="30585" spans="7:24" ht="15" customHeight="1">
      <c r="G30585"/>
      <c r="I30585"/>
      <c r="N30585"/>
      <c r="O30585" s="24"/>
      <c r="P30585"/>
      <c r="Q30585" s="24"/>
      <c r="R30585"/>
      <c r="S30585"/>
      <c r="T30585"/>
      <c r="U30585"/>
      <c r="X30585" s="60"/>
    </row>
    <row r="30586" spans="7:24" ht="15" customHeight="1">
      <c r="G30586"/>
      <c r="I30586"/>
      <c r="N30586"/>
      <c r="O30586" s="24"/>
      <c r="P30586"/>
      <c r="Q30586" s="24"/>
      <c r="R30586"/>
      <c r="S30586"/>
      <c r="T30586"/>
      <c r="U30586"/>
      <c r="X30586" s="60"/>
    </row>
    <row r="30587" spans="7:24" ht="15" customHeight="1">
      <c r="G30587"/>
      <c r="I30587"/>
      <c r="N30587"/>
      <c r="O30587" s="24"/>
      <c r="P30587"/>
      <c r="Q30587" s="24"/>
      <c r="R30587"/>
      <c r="S30587"/>
      <c r="T30587"/>
      <c r="U30587"/>
      <c r="X30587" s="60"/>
    </row>
    <row r="30588" spans="7:24" ht="15" customHeight="1">
      <c r="G30588"/>
      <c r="I30588"/>
      <c r="N30588"/>
      <c r="O30588" s="24"/>
      <c r="P30588"/>
      <c r="Q30588" s="24"/>
      <c r="R30588"/>
      <c r="S30588"/>
      <c r="T30588"/>
      <c r="U30588"/>
      <c r="X30588" s="60"/>
    </row>
    <row r="30589" spans="7:24" ht="15" customHeight="1">
      <c r="G30589"/>
      <c r="I30589"/>
      <c r="N30589"/>
      <c r="O30589" s="24"/>
      <c r="P30589"/>
      <c r="Q30589" s="24"/>
      <c r="R30589"/>
      <c r="S30589"/>
      <c r="T30589"/>
      <c r="U30589"/>
      <c r="X30589" s="60"/>
    </row>
    <row r="30590" spans="7:24" ht="15" customHeight="1">
      <c r="G30590"/>
      <c r="I30590"/>
      <c r="N30590"/>
      <c r="O30590" s="24"/>
      <c r="P30590"/>
      <c r="Q30590" s="24"/>
      <c r="R30590"/>
      <c r="S30590"/>
      <c r="T30590"/>
      <c r="U30590"/>
      <c r="X30590" s="60"/>
    </row>
    <row r="30591" spans="7:24" ht="15" customHeight="1">
      <c r="G30591"/>
      <c r="I30591"/>
      <c r="N30591"/>
      <c r="O30591" s="24"/>
      <c r="P30591"/>
      <c r="Q30591" s="24"/>
      <c r="R30591"/>
      <c r="S30591"/>
      <c r="T30591"/>
      <c r="U30591"/>
      <c r="X30591" s="60"/>
    </row>
    <row r="30592" spans="7:24" ht="15" customHeight="1">
      <c r="G30592"/>
      <c r="I30592"/>
      <c r="N30592"/>
      <c r="O30592" s="24"/>
      <c r="P30592"/>
      <c r="Q30592" s="24"/>
      <c r="R30592"/>
      <c r="S30592"/>
      <c r="T30592"/>
      <c r="U30592"/>
      <c r="X30592" s="60"/>
    </row>
    <row r="30593" spans="7:24" ht="15" customHeight="1">
      <c r="G30593"/>
      <c r="I30593"/>
      <c r="N30593"/>
      <c r="O30593" s="24"/>
      <c r="P30593"/>
      <c r="Q30593" s="24"/>
      <c r="R30593"/>
      <c r="S30593"/>
      <c r="T30593"/>
      <c r="U30593"/>
      <c r="X30593" s="60"/>
    </row>
    <row r="30594" spans="7:24" ht="15" customHeight="1">
      <c r="G30594"/>
      <c r="I30594"/>
      <c r="N30594"/>
      <c r="O30594" s="24"/>
      <c r="P30594"/>
      <c r="Q30594" s="24"/>
      <c r="R30594"/>
      <c r="S30594"/>
      <c r="T30594"/>
      <c r="U30594"/>
      <c r="X30594" s="60"/>
    </row>
    <row r="30595" spans="7:24" ht="15" customHeight="1">
      <c r="G30595"/>
      <c r="I30595"/>
      <c r="N30595"/>
      <c r="O30595" s="24"/>
      <c r="P30595"/>
      <c r="Q30595" s="24"/>
      <c r="R30595"/>
      <c r="S30595"/>
      <c r="T30595"/>
      <c r="U30595"/>
      <c r="X30595" s="60"/>
    </row>
    <row r="30596" spans="7:24" ht="15" customHeight="1">
      <c r="G30596"/>
      <c r="I30596"/>
      <c r="N30596"/>
      <c r="O30596" s="24"/>
      <c r="P30596"/>
      <c r="Q30596" s="24"/>
      <c r="R30596"/>
      <c r="S30596"/>
      <c r="T30596"/>
      <c r="U30596"/>
      <c r="X30596" s="60"/>
    </row>
    <row r="30597" spans="7:24" ht="15" customHeight="1">
      <c r="G30597"/>
      <c r="I30597"/>
      <c r="N30597"/>
      <c r="O30597" s="24"/>
      <c r="P30597"/>
      <c r="Q30597" s="24"/>
      <c r="R30597"/>
      <c r="S30597"/>
      <c r="T30597"/>
      <c r="U30597"/>
      <c r="X30597" s="60"/>
    </row>
    <row r="30598" spans="7:24" ht="15" customHeight="1">
      <c r="G30598"/>
      <c r="I30598"/>
      <c r="N30598"/>
      <c r="O30598" s="24"/>
      <c r="P30598"/>
      <c r="Q30598" s="24"/>
      <c r="R30598"/>
      <c r="S30598"/>
      <c r="T30598"/>
      <c r="U30598"/>
      <c r="X30598" s="60"/>
    </row>
    <row r="30599" spans="7:24" ht="15" customHeight="1">
      <c r="G30599"/>
      <c r="I30599"/>
      <c r="N30599"/>
      <c r="O30599" s="24"/>
      <c r="P30599"/>
      <c r="Q30599" s="24"/>
      <c r="R30599"/>
      <c r="S30599"/>
      <c r="T30599"/>
      <c r="U30599"/>
      <c r="X30599" s="60"/>
    </row>
    <row r="30600" spans="7:24" ht="15" customHeight="1">
      <c r="G30600"/>
      <c r="I30600"/>
      <c r="N30600"/>
      <c r="O30600" s="24"/>
      <c r="P30600"/>
      <c r="Q30600" s="24"/>
      <c r="R30600"/>
      <c r="S30600"/>
      <c r="T30600"/>
      <c r="U30600"/>
      <c r="X30600" s="60"/>
    </row>
    <row r="30601" spans="7:24" ht="15" customHeight="1">
      <c r="G30601"/>
      <c r="I30601"/>
      <c r="N30601"/>
      <c r="O30601" s="24"/>
      <c r="P30601"/>
      <c r="Q30601" s="24"/>
      <c r="R30601"/>
      <c r="S30601"/>
      <c r="T30601"/>
      <c r="U30601"/>
      <c r="X30601" s="60"/>
    </row>
    <row r="30602" spans="7:24" ht="15" customHeight="1">
      <c r="G30602"/>
      <c r="I30602"/>
      <c r="N30602"/>
      <c r="O30602" s="24"/>
      <c r="P30602"/>
      <c r="Q30602" s="24"/>
      <c r="R30602"/>
      <c r="S30602"/>
      <c r="T30602"/>
      <c r="U30602"/>
      <c r="X30602" s="60"/>
    </row>
    <row r="30603" spans="7:24" ht="15" customHeight="1">
      <c r="G30603"/>
      <c r="I30603"/>
      <c r="N30603"/>
      <c r="O30603" s="24"/>
      <c r="P30603"/>
      <c r="Q30603" s="24"/>
      <c r="R30603"/>
      <c r="S30603"/>
      <c r="T30603"/>
      <c r="U30603"/>
      <c r="X30603" s="60"/>
    </row>
    <row r="30604" spans="7:24" ht="15" customHeight="1">
      <c r="G30604"/>
      <c r="I30604"/>
      <c r="N30604"/>
      <c r="O30604" s="24"/>
      <c r="P30604"/>
      <c r="Q30604" s="24"/>
      <c r="R30604"/>
      <c r="S30604"/>
      <c r="T30604"/>
      <c r="U30604"/>
      <c r="X30604" s="60"/>
    </row>
    <row r="30605" spans="7:24" ht="15" customHeight="1">
      <c r="G30605"/>
      <c r="I30605"/>
      <c r="N30605"/>
      <c r="O30605" s="24"/>
      <c r="P30605"/>
      <c r="Q30605" s="24"/>
      <c r="R30605"/>
      <c r="S30605"/>
      <c r="T30605"/>
      <c r="U30605"/>
      <c r="X30605" s="60"/>
    </row>
    <row r="30606" spans="7:24" ht="15" customHeight="1">
      <c r="G30606"/>
      <c r="I30606"/>
      <c r="N30606"/>
      <c r="O30606" s="24"/>
      <c r="P30606"/>
      <c r="Q30606" s="24"/>
      <c r="R30606"/>
      <c r="S30606"/>
      <c r="T30606"/>
      <c r="U30606"/>
      <c r="X30606" s="60"/>
    </row>
    <row r="30607" spans="7:24" ht="15" customHeight="1">
      <c r="G30607"/>
      <c r="I30607"/>
      <c r="N30607"/>
      <c r="O30607" s="24"/>
      <c r="P30607"/>
      <c r="Q30607" s="24"/>
      <c r="R30607"/>
      <c r="S30607"/>
      <c r="T30607"/>
      <c r="U30607"/>
      <c r="X30607" s="60"/>
    </row>
    <row r="30608" spans="7:24" ht="15" customHeight="1">
      <c r="G30608"/>
      <c r="I30608"/>
      <c r="N30608"/>
      <c r="O30608" s="24"/>
      <c r="P30608"/>
      <c r="Q30608" s="24"/>
      <c r="R30608"/>
      <c r="S30608"/>
      <c r="T30608"/>
      <c r="U30608"/>
      <c r="X30608" s="60"/>
    </row>
    <row r="30609" spans="7:24" ht="15" customHeight="1">
      <c r="G30609"/>
      <c r="I30609"/>
      <c r="N30609"/>
      <c r="O30609" s="24"/>
      <c r="P30609"/>
      <c r="Q30609" s="24"/>
      <c r="R30609"/>
      <c r="S30609"/>
      <c r="T30609"/>
      <c r="U30609"/>
      <c r="X30609" s="60"/>
    </row>
    <row r="30610" spans="7:24" ht="15" customHeight="1">
      <c r="G30610"/>
      <c r="I30610"/>
      <c r="N30610"/>
      <c r="O30610" s="24"/>
      <c r="P30610"/>
      <c r="Q30610" s="24"/>
      <c r="R30610"/>
      <c r="S30610"/>
      <c r="T30610"/>
      <c r="U30610"/>
      <c r="X30610" s="60"/>
    </row>
    <row r="30611" spans="7:24" ht="15" customHeight="1">
      <c r="G30611"/>
      <c r="I30611"/>
      <c r="N30611"/>
      <c r="O30611" s="24"/>
      <c r="P30611"/>
      <c r="Q30611" s="24"/>
      <c r="R30611"/>
      <c r="S30611"/>
      <c r="T30611"/>
      <c r="U30611"/>
      <c r="X30611" s="60"/>
    </row>
    <row r="30612" spans="7:24" ht="15" customHeight="1">
      <c r="G30612"/>
      <c r="I30612"/>
      <c r="N30612"/>
      <c r="O30612" s="24"/>
      <c r="P30612"/>
      <c r="Q30612" s="24"/>
      <c r="R30612"/>
      <c r="S30612"/>
      <c r="T30612"/>
      <c r="U30612"/>
      <c r="X30612" s="60"/>
    </row>
    <row r="30613" spans="7:24" ht="15" customHeight="1">
      <c r="G30613"/>
      <c r="I30613"/>
      <c r="N30613"/>
      <c r="O30613" s="24"/>
      <c r="P30613"/>
      <c r="Q30613" s="24"/>
      <c r="R30613"/>
      <c r="S30613"/>
      <c r="T30613"/>
      <c r="U30613"/>
      <c r="X30613" s="60"/>
    </row>
    <row r="30614" spans="7:24" ht="15" customHeight="1">
      <c r="G30614"/>
      <c r="I30614"/>
      <c r="N30614"/>
      <c r="O30614" s="24"/>
      <c r="P30614"/>
      <c r="Q30614" s="24"/>
      <c r="R30614"/>
      <c r="S30614"/>
      <c r="T30614"/>
      <c r="U30614"/>
      <c r="X30614" s="60"/>
    </row>
    <row r="30615" spans="7:24" ht="15" customHeight="1">
      <c r="G30615"/>
      <c r="I30615"/>
      <c r="N30615"/>
      <c r="O30615" s="24"/>
      <c r="P30615"/>
      <c r="Q30615" s="24"/>
      <c r="R30615"/>
      <c r="S30615"/>
      <c r="T30615"/>
      <c r="U30615"/>
      <c r="X30615" s="60"/>
    </row>
    <row r="30616" spans="7:24" ht="15" customHeight="1">
      <c r="G30616"/>
      <c r="I30616"/>
      <c r="N30616"/>
      <c r="O30616" s="24"/>
      <c r="P30616"/>
      <c r="Q30616" s="24"/>
      <c r="R30616"/>
      <c r="S30616"/>
      <c r="T30616"/>
      <c r="U30616"/>
      <c r="X30616" s="60"/>
    </row>
    <row r="30617" spans="7:24" ht="15" customHeight="1">
      <c r="G30617"/>
      <c r="I30617"/>
      <c r="N30617"/>
      <c r="O30617" s="24"/>
      <c r="P30617"/>
      <c r="Q30617" s="24"/>
      <c r="R30617"/>
      <c r="S30617"/>
      <c r="T30617"/>
      <c r="U30617"/>
      <c r="X30617" s="60"/>
    </row>
    <row r="30618" spans="7:24" ht="15" customHeight="1">
      <c r="G30618"/>
      <c r="I30618"/>
      <c r="N30618"/>
      <c r="O30618" s="24"/>
      <c r="P30618"/>
      <c r="Q30618" s="24"/>
      <c r="R30618"/>
      <c r="S30618"/>
      <c r="T30618"/>
      <c r="U30618"/>
      <c r="X30618" s="60"/>
    </row>
    <row r="30619" spans="7:24" ht="15" customHeight="1">
      <c r="G30619"/>
      <c r="I30619"/>
      <c r="N30619"/>
      <c r="O30619" s="24"/>
      <c r="P30619"/>
      <c r="Q30619" s="24"/>
      <c r="R30619"/>
      <c r="S30619"/>
      <c r="T30619"/>
      <c r="U30619"/>
      <c r="X30619" s="60"/>
    </row>
    <row r="30620" spans="7:24" ht="15" customHeight="1">
      <c r="G30620"/>
      <c r="I30620"/>
      <c r="N30620"/>
      <c r="O30620" s="24"/>
      <c r="P30620"/>
      <c r="Q30620" s="24"/>
      <c r="R30620"/>
      <c r="S30620"/>
      <c r="T30620"/>
      <c r="U30620"/>
      <c r="X30620" s="60"/>
    </row>
    <row r="30621" spans="7:24" ht="15" customHeight="1">
      <c r="G30621"/>
      <c r="I30621"/>
      <c r="N30621"/>
      <c r="O30621" s="24"/>
      <c r="P30621"/>
      <c r="Q30621" s="24"/>
      <c r="R30621"/>
      <c r="S30621"/>
      <c r="T30621"/>
      <c r="U30621"/>
      <c r="X30621" s="60"/>
    </row>
    <row r="30622" spans="7:24" ht="15" customHeight="1">
      <c r="G30622"/>
      <c r="I30622"/>
      <c r="N30622"/>
      <c r="O30622" s="24"/>
      <c r="P30622"/>
      <c r="Q30622" s="24"/>
      <c r="R30622"/>
      <c r="S30622"/>
      <c r="T30622"/>
      <c r="U30622"/>
      <c r="X30622" s="60"/>
    </row>
    <row r="30623" spans="7:24" ht="15" customHeight="1">
      <c r="G30623"/>
      <c r="I30623"/>
      <c r="N30623"/>
      <c r="O30623" s="24"/>
      <c r="P30623"/>
      <c r="Q30623" s="24"/>
      <c r="R30623"/>
      <c r="S30623"/>
      <c r="T30623"/>
      <c r="U30623"/>
      <c r="X30623" s="60"/>
    </row>
    <row r="30624" spans="7:24" ht="15" customHeight="1">
      <c r="G30624"/>
      <c r="I30624"/>
      <c r="N30624"/>
      <c r="O30624" s="24"/>
      <c r="P30624"/>
      <c r="Q30624" s="24"/>
      <c r="R30624"/>
      <c r="S30624"/>
      <c r="T30624"/>
      <c r="U30624"/>
      <c r="X30624" s="60"/>
    </row>
    <row r="30625" spans="7:24" ht="15" customHeight="1">
      <c r="G30625"/>
      <c r="I30625"/>
      <c r="N30625"/>
      <c r="O30625" s="24"/>
      <c r="P30625"/>
      <c r="Q30625" s="24"/>
      <c r="R30625"/>
      <c r="S30625"/>
      <c r="T30625"/>
      <c r="U30625"/>
      <c r="X30625" s="60"/>
    </row>
    <row r="30626" spans="7:24" ht="15" customHeight="1">
      <c r="G30626"/>
      <c r="I30626"/>
      <c r="N30626"/>
      <c r="O30626" s="24"/>
      <c r="P30626"/>
      <c r="Q30626" s="24"/>
      <c r="R30626"/>
      <c r="S30626"/>
      <c r="T30626"/>
      <c r="U30626"/>
      <c r="X30626" s="60"/>
    </row>
    <row r="30627" spans="7:24" ht="15" customHeight="1">
      <c r="G30627"/>
      <c r="I30627"/>
      <c r="N30627"/>
      <c r="O30627" s="24"/>
      <c r="P30627"/>
      <c r="Q30627" s="24"/>
      <c r="R30627"/>
      <c r="S30627"/>
      <c r="T30627"/>
      <c r="U30627"/>
      <c r="X30627" s="60"/>
    </row>
    <row r="30628" spans="7:24" ht="15" customHeight="1">
      <c r="G30628"/>
      <c r="I30628"/>
      <c r="N30628"/>
      <c r="O30628" s="24"/>
      <c r="P30628"/>
      <c r="Q30628" s="24"/>
      <c r="R30628"/>
      <c r="S30628"/>
      <c r="T30628"/>
      <c r="U30628"/>
      <c r="X30628" s="60"/>
    </row>
    <row r="30629" spans="7:24" ht="15" customHeight="1">
      <c r="G30629"/>
      <c r="I30629"/>
      <c r="N30629"/>
      <c r="O30629" s="24"/>
      <c r="P30629"/>
      <c r="Q30629" s="24"/>
      <c r="R30629"/>
      <c r="S30629"/>
      <c r="T30629"/>
      <c r="U30629"/>
      <c r="X30629" s="60"/>
    </row>
    <row r="30630" spans="7:24" ht="15" customHeight="1">
      <c r="G30630"/>
      <c r="I30630"/>
      <c r="N30630"/>
      <c r="O30630" s="24"/>
      <c r="P30630"/>
      <c r="Q30630" s="24"/>
      <c r="R30630"/>
      <c r="S30630"/>
      <c r="T30630"/>
      <c r="U30630"/>
      <c r="X30630" s="60"/>
    </row>
    <row r="30631" spans="7:24" ht="15" customHeight="1">
      <c r="G30631"/>
      <c r="I30631"/>
      <c r="N30631"/>
      <c r="O30631" s="24"/>
      <c r="P30631"/>
      <c r="Q30631" s="24"/>
      <c r="R30631"/>
      <c r="S30631"/>
      <c r="T30631"/>
      <c r="U30631"/>
      <c r="X30631" s="60"/>
    </row>
    <row r="30632" spans="7:24" ht="15" customHeight="1">
      <c r="G30632"/>
      <c r="I30632"/>
      <c r="N30632"/>
      <c r="O30632" s="24"/>
      <c r="P30632"/>
      <c r="Q30632" s="24"/>
      <c r="R30632"/>
      <c r="S30632"/>
      <c r="T30632"/>
      <c r="U30632"/>
      <c r="X30632" s="60"/>
    </row>
    <row r="30633" spans="7:24" ht="15" customHeight="1">
      <c r="G30633"/>
      <c r="I30633"/>
      <c r="N30633"/>
      <c r="O30633" s="24"/>
      <c r="P30633"/>
      <c r="Q30633" s="24"/>
      <c r="R30633"/>
      <c r="S30633"/>
      <c r="T30633"/>
      <c r="U30633"/>
      <c r="X30633" s="60"/>
    </row>
    <row r="30634" spans="7:24" ht="15" customHeight="1">
      <c r="G30634"/>
      <c r="I30634"/>
      <c r="N30634"/>
      <c r="O30634" s="24"/>
      <c r="P30634"/>
      <c r="Q30634" s="24"/>
      <c r="R30634"/>
      <c r="S30634"/>
      <c r="T30634"/>
      <c r="U30634"/>
      <c r="X30634" s="60"/>
    </row>
    <row r="30635" spans="7:24" ht="15" customHeight="1">
      <c r="G30635"/>
      <c r="I30635"/>
      <c r="N30635"/>
      <c r="O30635" s="24"/>
      <c r="P30635"/>
      <c r="Q30635" s="24"/>
      <c r="R30635"/>
      <c r="S30635"/>
      <c r="T30635"/>
      <c r="U30635"/>
      <c r="X30635" s="60"/>
    </row>
    <row r="30636" spans="7:24" ht="15" customHeight="1">
      <c r="G30636"/>
      <c r="I30636"/>
      <c r="N30636"/>
      <c r="O30636" s="24"/>
      <c r="P30636"/>
      <c r="Q30636" s="24"/>
      <c r="R30636"/>
      <c r="S30636"/>
      <c r="T30636"/>
      <c r="U30636"/>
      <c r="X30636" s="60"/>
    </row>
    <row r="30637" spans="7:24" ht="15" customHeight="1">
      <c r="G30637"/>
      <c r="I30637"/>
      <c r="N30637"/>
      <c r="O30637" s="24"/>
      <c r="P30637"/>
      <c r="Q30637" s="24"/>
      <c r="R30637"/>
      <c r="S30637"/>
      <c r="T30637"/>
      <c r="U30637"/>
      <c r="X30637" s="60"/>
    </row>
    <row r="30638" spans="7:24" ht="15" customHeight="1">
      <c r="G30638"/>
      <c r="I30638"/>
      <c r="N30638"/>
      <c r="O30638" s="24"/>
      <c r="P30638"/>
      <c r="Q30638" s="24"/>
      <c r="R30638"/>
      <c r="S30638"/>
      <c r="T30638"/>
      <c r="U30638"/>
      <c r="X30638" s="60"/>
    </row>
    <row r="30639" spans="7:24" ht="15" customHeight="1">
      <c r="G30639"/>
      <c r="I30639"/>
      <c r="N30639"/>
      <c r="O30639" s="24"/>
      <c r="P30639"/>
      <c r="Q30639" s="24"/>
      <c r="R30639"/>
      <c r="S30639"/>
      <c r="T30639"/>
      <c r="U30639"/>
      <c r="X30639" s="60"/>
    </row>
    <row r="30640" spans="7:24" ht="15" customHeight="1">
      <c r="G30640"/>
      <c r="I30640"/>
      <c r="N30640"/>
      <c r="O30640" s="24"/>
      <c r="P30640"/>
      <c r="Q30640" s="24"/>
      <c r="R30640"/>
      <c r="S30640"/>
      <c r="T30640"/>
      <c r="U30640"/>
      <c r="X30640" s="60"/>
    </row>
    <row r="30641" spans="7:24" ht="15" customHeight="1">
      <c r="G30641"/>
      <c r="I30641"/>
      <c r="N30641"/>
      <c r="O30641" s="24"/>
      <c r="P30641"/>
      <c r="Q30641" s="24"/>
      <c r="R30641"/>
      <c r="S30641"/>
      <c r="T30641"/>
      <c r="U30641"/>
      <c r="X30641" s="60"/>
    </row>
    <row r="30642" spans="7:24" ht="15" customHeight="1">
      <c r="G30642"/>
      <c r="I30642"/>
      <c r="N30642"/>
      <c r="O30642" s="24"/>
      <c r="P30642"/>
      <c r="Q30642" s="24"/>
      <c r="R30642"/>
      <c r="S30642"/>
      <c r="T30642"/>
      <c r="U30642"/>
      <c r="X30642" s="60"/>
    </row>
    <row r="30643" spans="7:24" ht="15" customHeight="1">
      <c r="G30643"/>
      <c r="I30643"/>
      <c r="N30643"/>
      <c r="O30643" s="24"/>
      <c r="P30643"/>
      <c r="Q30643" s="24"/>
      <c r="R30643"/>
      <c r="S30643"/>
      <c r="T30643"/>
      <c r="U30643"/>
      <c r="X30643" s="60"/>
    </row>
    <row r="30644" spans="7:24" ht="15" customHeight="1">
      <c r="G30644"/>
      <c r="I30644"/>
      <c r="N30644"/>
      <c r="O30644" s="24"/>
      <c r="P30644"/>
      <c r="Q30644" s="24"/>
      <c r="R30644"/>
      <c r="S30644"/>
      <c r="T30644"/>
      <c r="U30644"/>
      <c r="X30644" s="60"/>
    </row>
    <row r="30645" spans="7:24" ht="15" customHeight="1">
      <c r="G30645"/>
      <c r="I30645"/>
      <c r="N30645"/>
      <c r="O30645" s="24"/>
      <c r="P30645"/>
      <c r="Q30645" s="24"/>
      <c r="R30645"/>
      <c r="S30645"/>
      <c r="T30645"/>
      <c r="U30645"/>
      <c r="X30645" s="60"/>
    </row>
    <row r="30646" spans="7:24" ht="15" customHeight="1">
      <c r="G30646"/>
      <c r="I30646"/>
      <c r="N30646"/>
      <c r="O30646" s="24"/>
      <c r="P30646"/>
      <c r="Q30646" s="24"/>
      <c r="R30646"/>
      <c r="S30646"/>
      <c r="T30646"/>
      <c r="U30646"/>
      <c r="X30646" s="60"/>
    </row>
    <row r="30647" spans="7:24" ht="15" customHeight="1">
      <c r="G30647"/>
      <c r="I30647"/>
      <c r="N30647"/>
      <c r="O30647" s="24"/>
      <c r="P30647"/>
      <c r="Q30647" s="24"/>
      <c r="R30647"/>
      <c r="S30647"/>
      <c r="T30647"/>
      <c r="U30647"/>
      <c r="X30647" s="60"/>
    </row>
    <row r="30648" spans="7:24" ht="15" customHeight="1">
      <c r="G30648"/>
      <c r="I30648"/>
      <c r="N30648"/>
      <c r="O30648" s="24"/>
      <c r="P30648"/>
      <c r="Q30648" s="24"/>
      <c r="R30648"/>
      <c r="S30648"/>
      <c r="T30648"/>
      <c r="U30648"/>
      <c r="X30648" s="60"/>
    </row>
    <row r="30649" spans="7:24" ht="15" customHeight="1">
      <c r="G30649"/>
      <c r="I30649"/>
      <c r="N30649"/>
      <c r="O30649" s="24"/>
      <c r="P30649"/>
      <c r="Q30649" s="24"/>
      <c r="R30649"/>
      <c r="S30649"/>
      <c r="T30649"/>
      <c r="U30649"/>
      <c r="X30649" s="60"/>
    </row>
    <row r="30650" spans="7:24" ht="15" customHeight="1">
      <c r="G30650"/>
      <c r="I30650"/>
      <c r="N30650"/>
      <c r="O30650" s="24"/>
      <c r="P30650"/>
      <c r="Q30650" s="24"/>
      <c r="R30650"/>
      <c r="S30650"/>
      <c r="T30650"/>
      <c r="U30650"/>
      <c r="X30650" s="60"/>
    </row>
    <row r="30651" spans="7:24" ht="15" customHeight="1">
      <c r="G30651"/>
      <c r="I30651"/>
      <c r="N30651"/>
      <c r="O30651" s="24"/>
      <c r="P30651"/>
      <c r="Q30651" s="24"/>
      <c r="R30651"/>
      <c r="S30651"/>
      <c r="T30651"/>
      <c r="U30651"/>
      <c r="X30651" s="60"/>
    </row>
    <row r="30652" spans="7:24" ht="15" customHeight="1">
      <c r="G30652"/>
      <c r="I30652"/>
      <c r="N30652"/>
      <c r="O30652" s="24"/>
      <c r="P30652"/>
      <c r="Q30652" s="24"/>
      <c r="R30652"/>
      <c r="S30652"/>
      <c r="T30652"/>
      <c r="U30652"/>
      <c r="X30652" s="60"/>
    </row>
    <row r="30653" spans="7:24" ht="15" customHeight="1">
      <c r="G30653"/>
      <c r="I30653"/>
      <c r="N30653"/>
      <c r="O30653" s="24"/>
      <c r="P30653"/>
      <c r="Q30653" s="24"/>
      <c r="R30653"/>
      <c r="S30653"/>
      <c r="T30653"/>
      <c r="U30653"/>
      <c r="X30653" s="60"/>
    </row>
    <row r="30654" spans="7:24" ht="15" customHeight="1">
      <c r="G30654"/>
      <c r="I30654"/>
      <c r="N30654"/>
      <c r="O30654" s="24"/>
      <c r="P30654"/>
      <c r="Q30654" s="24"/>
      <c r="R30654"/>
      <c r="S30654"/>
      <c r="T30654"/>
      <c r="U30654"/>
      <c r="X30654" s="60"/>
    </row>
    <row r="30655" spans="7:24" ht="15" customHeight="1">
      <c r="G30655"/>
      <c r="I30655"/>
      <c r="N30655"/>
      <c r="O30655" s="24"/>
      <c r="P30655"/>
      <c r="Q30655" s="24"/>
      <c r="R30655"/>
      <c r="S30655"/>
      <c r="T30655"/>
      <c r="U30655"/>
      <c r="X30655" s="60"/>
    </row>
    <row r="30656" spans="7:24" ht="15" customHeight="1">
      <c r="G30656"/>
      <c r="I30656"/>
      <c r="N30656"/>
      <c r="O30656" s="24"/>
      <c r="P30656"/>
      <c r="Q30656" s="24"/>
      <c r="R30656"/>
      <c r="S30656"/>
      <c r="T30656"/>
      <c r="U30656"/>
      <c r="X30656" s="60"/>
    </row>
    <row r="30657" spans="7:24" ht="15" customHeight="1">
      <c r="G30657"/>
      <c r="I30657"/>
      <c r="N30657"/>
      <c r="O30657" s="24"/>
      <c r="P30657"/>
      <c r="Q30657" s="24"/>
      <c r="R30657"/>
      <c r="S30657"/>
      <c r="T30657"/>
      <c r="U30657"/>
      <c r="X30657" s="60"/>
    </row>
    <row r="30658" spans="7:24" ht="15" customHeight="1">
      <c r="G30658"/>
      <c r="I30658"/>
      <c r="N30658"/>
      <c r="O30658" s="24"/>
      <c r="P30658"/>
      <c r="Q30658" s="24"/>
      <c r="R30658"/>
      <c r="S30658"/>
      <c r="T30658"/>
      <c r="U30658"/>
      <c r="X30658" s="60"/>
    </row>
    <row r="30659" spans="7:24" ht="15" customHeight="1">
      <c r="G30659"/>
      <c r="I30659"/>
      <c r="N30659"/>
      <c r="O30659" s="24"/>
      <c r="P30659"/>
      <c r="Q30659" s="24"/>
      <c r="R30659"/>
      <c r="S30659"/>
      <c r="T30659"/>
      <c r="U30659"/>
      <c r="X30659" s="60"/>
    </row>
    <row r="30660" spans="7:24" ht="15" customHeight="1">
      <c r="G30660"/>
      <c r="I30660"/>
      <c r="N30660"/>
      <c r="O30660" s="24"/>
      <c r="P30660"/>
      <c r="Q30660" s="24"/>
      <c r="R30660"/>
      <c r="S30660"/>
      <c r="T30660"/>
      <c r="U30660"/>
      <c r="X30660" s="60"/>
    </row>
    <row r="30661" spans="7:24" ht="15" customHeight="1">
      <c r="G30661"/>
      <c r="I30661"/>
      <c r="N30661"/>
      <c r="O30661" s="24"/>
      <c r="P30661"/>
      <c r="Q30661" s="24"/>
      <c r="R30661"/>
      <c r="S30661"/>
      <c r="T30661"/>
      <c r="U30661"/>
      <c r="X30661" s="60"/>
    </row>
    <row r="30662" spans="7:24" ht="15" customHeight="1">
      <c r="G30662"/>
      <c r="I30662"/>
      <c r="N30662"/>
      <c r="O30662" s="24"/>
      <c r="P30662"/>
      <c r="Q30662" s="24"/>
      <c r="R30662"/>
      <c r="S30662"/>
      <c r="T30662"/>
      <c r="U30662"/>
      <c r="X30662" s="60"/>
    </row>
    <row r="30663" spans="7:24" ht="15" customHeight="1">
      <c r="G30663"/>
      <c r="I30663"/>
      <c r="N30663"/>
      <c r="O30663" s="24"/>
      <c r="P30663"/>
      <c r="Q30663" s="24"/>
      <c r="R30663"/>
      <c r="S30663"/>
      <c r="T30663"/>
      <c r="U30663"/>
      <c r="X30663" s="60"/>
    </row>
    <row r="30664" spans="7:24" ht="15" customHeight="1">
      <c r="G30664"/>
      <c r="I30664"/>
      <c r="N30664"/>
      <c r="O30664" s="24"/>
      <c r="P30664"/>
      <c r="Q30664" s="24"/>
      <c r="R30664"/>
      <c r="S30664"/>
      <c r="T30664"/>
      <c r="U30664"/>
      <c r="X30664" s="60"/>
    </row>
    <row r="30665" spans="7:24" ht="15" customHeight="1">
      <c r="G30665"/>
      <c r="I30665"/>
      <c r="N30665"/>
      <c r="O30665" s="24"/>
      <c r="P30665"/>
      <c r="Q30665" s="24"/>
      <c r="R30665"/>
      <c r="S30665"/>
      <c r="T30665"/>
      <c r="U30665"/>
      <c r="X30665" s="60"/>
    </row>
    <row r="30666" spans="7:24" ht="15" customHeight="1">
      <c r="G30666"/>
      <c r="I30666"/>
      <c r="N30666"/>
      <c r="O30666" s="24"/>
      <c r="P30666"/>
      <c r="Q30666" s="24"/>
      <c r="R30666"/>
      <c r="S30666"/>
      <c r="T30666"/>
      <c r="U30666"/>
      <c r="X30666" s="60"/>
    </row>
    <row r="30667" spans="7:24" ht="15" customHeight="1">
      <c r="G30667"/>
      <c r="I30667"/>
      <c r="N30667"/>
      <c r="O30667" s="24"/>
      <c r="P30667"/>
      <c r="Q30667" s="24"/>
      <c r="R30667"/>
      <c r="S30667"/>
      <c r="T30667"/>
      <c r="U30667"/>
      <c r="X30667" s="60"/>
    </row>
    <row r="30668" spans="7:24" ht="15" customHeight="1">
      <c r="G30668"/>
      <c r="I30668"/>
      <c r="N30668"/>
      <c r="O30668" s="24"/>
      <c r="P30668"/>
      <c r="Q30668" s="24"/>
      <c r="R30668"/>
      <c r="S30668"/>
      <c r="T30668"/>
      <c r="U30668"/>
      <c r="X30668" s="60"/>
    </row>
    <row r="30669" spans="7:24" ht="15" customHeight="1">
      <c r="G30669"/>
      <c r="I30669"/>
      <c r="N30669"/>
      <c r="O30669" s="24"/>
      <c r="P30669"/>
      <c r="Q30669" s="24"/>
      <c r="R30669"/>
      <c r="S30669"/>
      <c r="T30669"/>
      <c r="U30669"/>
      <c r="X30669" s="60"/>
    </row>
    <row r="30670" spans="7:24" ht="15" customHeight="1">
      <c r="G30670"/>
      <c r="I30670"/>
      <c r="N30670"/>
      <c r="O30670" s="24"/>
      <c r="P30670"/>
      <c r="Q30670" s="24"/>
      <c r="R30670"/>
      <c r="S30670"/>
      <c r="T30670"/>
      <c r="U30670"/>
      <c r="X30670" s="60"/>
    </row>
    <row r="30671" spans="7:24" ht="15" customHeight="1">
      <c r="G30671"/>
      <c r="I30671"/>
      <c r="N30671"/>
      <c r="O30671" s="24"/>
      <c r="P30671"/>
      <c r="Q30671" s="24"/>
      <c r="R30671"/>
      <c r="S30671"/>
      <c r="T30671"/>
      <c r="U30671"/>
      <c r="X30671" s="60"/>
    </row>
    <row r="30672" spans="7:24" ht="15" customHeight="1">
      <c r="G30672"/>
      <c r="I30672"/>
      <c r="N30672"/>
      <c r="O30672" s="24"/>
      <c r="P30672"/>
      <c r="Q30672" s="24"/>
      <c r="R30672"/>
      <c r="S30672"/>
      <c r="T30672"/>
      <c r="U30672"/>
      <c r="X30672" s="60"/>
    </row>
    <row r="30673" spans="7:24" ht="15" customHeight="1">
      <c r="G30673"/>
      <c r="I30673"/>
      <c r="N30673"/>
      <c r="O30673" s="24"/>
      <c r="P30673"/>
      <c r="Q30673" s="24"/>
      <c r="R30673"/>
      <c r="S30673"/>
      <c r="T30673"/>
      <c r="U30673"/>
      <c r="X30673" s="60"/>
    </row>
    <row r="30674" spans="7:24" ht="15" customHeight="1">
      <c r="G30674"/>
      <c r="I30674"/>
      <c r="N30674"/>
      <c r="O30674" s="24"/>
      <c r="P30674"/>
      <c r="Q30674" s="24"/>
      <c r="R30674"/>
      <c r="S30674"/>
      <c r="T30674"/>
      <c r="U30674"/>
      <c r="X30674" s="60"/>
    </row>
    <row r="30675" spans="7:24" ht="15" customHeight="1">
      <c r="G30675"/>
      <c r="I30675"/>
      <c r="N30675"/>
      <c r="O30675" s="24"/>
      <c r="P30675"/>
      <c r="Q30675" s="24"/>
      <c r="R30675"/>
      <c r="S30675"/>
      <c r="T30675"/>
      <c r="U30675"/>
      <c r="X30675" s="60"/>
    </row>
    <row r="30676" spans="7:24" ht="15" customHeight="1">
      <c r="G30676"/>
      <c r="I30676"/>
      <c r="N30676"/>
      <c r="O30676" s="24"/>
      <c r="P30676"/>
      <c r="Q30676" s="24"/>
      <c r="R30676"/>
      <c r="S30676"/>
      <c r="T30676"/>
      <c r="U30676"/>
      <c r="X30676" s="60"/>
    </row>
    <row r="30677" spans="7:24" ht="15" customHeight="1">
      <c r="G30677"/>
      <c r="I30677"/>
      <c r="N30677"/>
      <c r="O30677" s="24"/>
      <c r="P30677"/>
      <c r="Q30677" s="24"/>
      <c r="R30677"/>
      <c r="S30677"/>
      <c r="T30677"/>
      <c r="U30677"/>
      <c r="X30677" s="60"/>
    </row>
    <row r="30678" spans="7:24" ht="15" customHeight="1">
      <c r="G30678"/>
      <c r="I30678"/>
      <c r="N30678"/>
      <c r="O30678" s="24"/>
      <c r="P30678"/>
      <c r="Q30678" s="24"/>
      <c r="R30678"/>
      <c r="S30678"/>
      <c r="T30678"/>
      <c r="U30678"/>
      <c r="X30678" s="60"/>
    </row>
    <row r="30679" spans="7:24" ht="15" customHeight="1">
      <c r="G30679"/>
      <c r="I30679"/>
      <c r="N30679"/>
      <c r="O30679" s="24"/>
      <c r="P30679"/>
      <c r="Q30679" s="24"/>
      <c r="R30679"/>
      <c r="S30679"/>
      <c r="T30679"/>
      <c r="U30679"/>
      <c r="X30679" s="60"/>
    </row>
    <row r="30680" spans="7:24" ht="15" customHeight="1">
      <c r="G30680"/>
      <c r="I30680"/>
      <c r="N30680"/>
      <c r="O30680" s="24"/>
      <c r="P30680"/>
      <c r="Q30680" s="24"/>
      <c r="R30680"/>
      <c r="S30680"/>
      <c r="T30680"/>
      <c r="U30680"/>
      <c r="X30680" s="60"/>
    </row>
    <row r="30681" spans="7:24" ht="15" customHeight="1">
      <c r="G30681"/>
      <c r="I30681"/>
      <c r="N30681"/>
      <c r="O30681" s="24"/>
      <c r="P30681"/>
      <c r="Q30681" s="24"/>
      <c r="R30681"/>
      <c r="S30681"/>
      <c r="T30681"/>
      <c r="U30681"/>
      <c r="X30681" s="60"/>
    </row>
    <row r="30682" spans="7:24" ht="15" customHeight="1">
      <c r="G30682"/>
      <c r="I30682"/>
      <c r="N30682"/>
      <c r="O30682" s="24"/>
      <c r="P30682"/>
      <c r="Q30682" s="24"/>
      <c r="R30682"/>
      <c r="S30682"/>
      <c r="T30682"/>
      <c r="U30682"/>
      <c r="X30682" s="60"/>
    </row>
    <row r="30683" spans="7:24" ht="15" customHeight="1">
      <c r="G30683"/>
      <c r="I30683"/>
      <c r="N30683"/>
      <c r="O30683" s="24"/>
      <c r="P30683"/>
      <c r="Q30683" s="24"/>
      <c r="R30683"/>
      <c r="S30683"/>
      <c r="T30683"/>
      <c r="U30683"/>
      <c r="X30683" s="60"/>
    </row>
    <row r="30684" spans="7:24" ht="15" customHeight="1">
      <c r="G30684"/>
      <c r="I30684"/>
      <c r="N30684"/>
      <c r="O30684" s="24"/>
      <c r="P30684"/>
      <c r="Q30684" s="24"/>
      <c r="R30684"/>
      <c r="S30684"/>
      <c r="T30684"/>
      <c r="U30684"/>
      <c r="X30684" s="60"/>
    </row>
    <row r="30685" spans="7:24" ht="15" customHeight="1">
      <c r="G30685"/>
      <c r="I30685"/>
      <c r="N30685"/>
      <c r="O30685" s="24"/>
      <c r="P30685"/>
      <c r="Q30685" s="24"/>
      <c r="R30685"/>
      <c r="S30685"/>
      <c r="T30685"/>
      <c r="U30685"/>
      <c r="X30685" s="60"/>
    </row>
    <row r="30686" spans="7:24" ht="15" customHeight="1">
      <c r="G30686"/>
      <c r="I30686"/>
      <c r="N30686"/>
      <c r="O30686" s="24"/>
      <c r="P30686"/>
      <c r="Q30686" s="24"/>
      <c r="R30686"/>
      <c r="S30686"/>
      <c r="T30686"/>
      <c r="U30686"/>
      <c r="X30686" s="60"/>
    </row>
    <row r="30687" spans="7:24" ht="15" customHeight="1">
      <c r="G30687"/>
      <c r="I30687"/>
      <c r="N30687"/>
      <c r="O30687" s="24"/>
      <c r="P30687"/>
      <c r="Q30687" s="24"/>
      <c r="R30687"/>
      <c r="S30687"/>
      <c r="T30687"/>
      <c r="U30687"/>
      <c r="X30687" s="60"/>
    </row>
    <row r="30688" spans="7:24" ht="15" customHeight="1">
      <c r="G30688"/>
      <c r="I30688"/>
      <c r="N30688"/>
      <c r="O30688" s="24"/>
      <c r="P30688"/>
      <c r="Q30688" s="24"/>
      <c r="R30688"/>
      <c r="S30688"/>
      <c r="T30688"/>
      <c r="U30688"/>
      <c r="X30688" s="60"/>
    </row>
    <row r="30689" spans="7:24" ht="15" customHeight="1">
      <c r="G30689"/>
      <c r="I30689"/>
      <c r="N30689"/>
      <c r="O30689" s="24"/>
      <c r="P30689"/>
      <c r="Q30689" s="24"/>
      <c r="R30689"/>
      <c r="S30689"/>
      <c r="T30689"/>
      <c r="U30689"/>
      <c r="X30689" s="60"/>
    </row>
    <row r="30690" spans="7:24" ht="15" customHeight="1">
      <c r="G30690"/>
      <c r="I30690"/>
      <c r="N30690"/>
      <c r="O30690" s="24"/>
      <c r="P30690"/>
      <c r="Q30690" s="24"/>
      <c r="R30690"/>
      <c r="S30690"/>
      <c r="T30690"/>
      <c r="U30690"/>
      <c r="X30690" s="60"/>
    </row>
    <row r="30691" spans="7:24" ht="15" customHeight="1">
      <c r="G30691"/>
      <c r="I30691"/>
      <c r="N30691"/>
      <c r="O30691" s="24"/>
      <c r="P30691"/>
      <c r="Q30691" s="24"/>
      <c r="R30691"/>
      <c r="S30691"/>
      <c r="T30691"/>
      <c r="U30691"/>
      <c r="X30691" s="60"/>
    </row>
    <row r="30692" spans="7:24" ht="15" customHeight="1">
      <c r="G30692"/>
      <c r="I30692"/>
      <c r="N30692"/>
      <c r="O30692" s="24"/>
      <c r="P30692"/>
      <c r="Q30692" s="24"/>
      <c r="R30692"/>
      <c r="S30692"/>
      <c r="T30692"/>
      <c r="U30692"/>
      <c r="X30692" s="60"/>
    </row>
    <row r="30693" spans="7:24" ht="15" customHeight="1">
      <c r="G30693"/>
      <c r="I30693"/>
      <c r="N30693"/>
      <c r="O30693" s="24"/>
      <c r="P30693"/>
      <c r="Q30693" s="24"/>
      <c r="R30693"/>
      <c r="S30693"/>
      <c r="T30693"/>
      <c r="U30693"/>
      <c r="X30693" s="60"/>
    </row>
    <row r="30694" spans="7:24" ht="15" customHeight="1">
      <c r="G30694"/>
      <c r="I30694"/>
      <c r="N30694"/>
      <c r="O30694" s="24"/>
      <c r="P30694"/>
      <c r="Q30694" s="24"/>
      <c r="R30694"/>
      <c r="S30694"/>
      <c r="T30694"/>
      <c r="U30694"/>
      <c r="X30694" s="60"/>
    </row>
    <row r="30695" spans="7:24" ht="15" customHeight="1">
      <c r="G30695"/>
      <c r="I30695"/>
      <c r="N30695"/>
      <c r="O30695" s="24"/>
      <c r="P30695"/>
      <c r="Q30695" s="24"/>
      <c r="R30695"/>
      <c r="S30695"/>
      <c r="T30695"/>
      <c r="U30695"/>
      <c r="X30695" s="60"/>
    </row>
    <row r="30696" spans="7:24" ht="15" customHeight="1">
      <c r="G30696"/>
      <c r="I30696"/>
      <c r="N30696"/>
      <c r="O30696" s="24"/>
      <c r="P30696"/>
      <c r="Q30696" s="24"/>
      <c r="R30696"/>
      <c r="S30696"/>
      <c r="T30696"/>
      <c r="U30696"/>
      <c r="X30696" s="60"/>
    </row>
    <row r="30697" spans="7:24" ht="15" customHeight="1">
      <c r="G30697"/>
      <c r="I30697"/>
      <c r="N30697"/>
      <c r="O30697" s="24"/>
      <c r="P30697"/>
      <c r="Q30697" s="24"/>
      <c r="R30697"/>
      <c r="S30697"/>
      <c r="T30697"/>
      <c r="U30697"/>
      <c r="X30697" s="60"/>
    </row>
    <row r="30698" spans="7:24" ht="15" customHeight="1">
      <c r="G30698"/>
      <c r="I30698"/>
      <c r="N30698"/>
      <c r="O30698" s="24"/>
      <c r="P30698"/>
      <c r="Q30698" s="24"/>
      <c r="R30698"/>
      <c r="S30698"/>
      <c r="T30698"/>
      <c r="U30698"/>
      <c r="X30698" s="60"/>
    </row>
    <row r="30699" spans="7:24" ht="15" customHeight="1">
      <c r="G30699"/>
      <c r="I30699"/>
      <c r="N30699"/>
      <c r="O30699" s="24"/>
      <c r="P30699"/>
      <c r="Q30699" s="24"/>
      <c r="R30699"/>
      <c r="S30699"/>
      <c r="T30699"/>
      <c r="U30699"/>
      <c r="X30699" s="60"/>
    </row>
    <row r="30700" spans="7:24" ht="15" customHeight="1">
      <c r="G30700"/>
      <c r="I30700"/>
      <c r="N30700"/>
      <c r="O30700" s="24"/>
      <c r="P30700"/>
      <c r="Q30700" s="24"/>
      <c r="R30700"/>
      <c r="S30700"/>
      <c r="T30700"/>
      <c r="U30700"/>
      <c r="X30700" s="60"/>
    </row>
    <row r="30701" spans="7:24" ht="15" customHeight="1">
      <c r="G30701"/>
      <c r="I30701"/>
      <c r="N30701"/>
      <c r="O30701" s="24"/>
      <c r="P30701"/>
      <c r="Q30701" s="24"/>
      <c r="R30701"/>
      <c r="S30701"/>
      <c r="T30701"/>
      <c r="U30701"/>
      <c r="X30701" s="60"/>
    </row>
    <row r="30702" spans="7:24" ht="15" customHeight="1">
      <c r="G30702"/>
      <c r="I30702"/>
      <c r="N30702"/>
      <c r="O30702" s="24"/>
      <c r="P30702"/>
      <c r="Q30702" s="24"/>
      <c r="R30702"/>
      <c r="S30702"/>
      <c r="T30702"/>
      <c r="U30702"/>
      <c r="X30702" s="60"/>
    </row>
    <row r="30703" spans="7:24" ht="15" customHeight="1">
      <c r="G30703"/>
      <c r="I30703"/>
      <c r="N30703"/>
      <c r="O30703" s="24"/>
      <c r="P30703"/>
      <c r="Q30703" s="24"/>
      <c r="R30703"/>
      <c r="S30703"/>
      <c r="T30703"/>
      <c r="U30703"/>
      <c r="X30703" s="60"/>
    </row>
    <row r="30704" spans="7:24" ht="15" customHeight="1">
      <c r="G30704"/>
      <c r="I30704"/>
      <c r="N30704"/>
      <c r="O30704" s="24"/>
      <c r="P30704"/>
      <c r="Q30704" s="24"/>
      <c r="R30704"/>
      <c r="S30704"/>
      <c r="T30704"/>
      <c r="U30704"/>
      <c r="X30704" s="60"/>
    </row>
    <row r="30705" spans="7:24" ht="15" customHeight="1">
      <c r="G30705"/>
      <c r="I30705"/>
      <c r="N30705"/>
      <c r="O30705" s="24"/>
      <c r="P30705"/>
      <c r="Q30705" s="24"/>
      <c r="R30705"/>
      <c r="S30705"/>
      <c r="T30705"/>
      <c r="U30705"/>
      <c r="X30705" s="60"/>
    </row>
    <row r="30706" spans="7:24" ht="15" customHeight="1">
      <c r="G30706"/>
      <c r="I30706"/>
      <c r="N30706"/>
      <c r="O30706" s="24"/>
      <c r="P30706"/>
      <c r="Q30706" s="24"/>
      <c r="R30706"/>
      <c r="S30706"/>
      <c r="T30706"/>
      <c r="U30706"/>
      <c r="X30706" s="60"/>
    </row>
    <row r="30707" spans="7:24" ht="15" customHeight="1">
      <c r="G30707"/>
      <c r="I30707"/>
      <c r="N30707"/>
      <c r="O30707" s="24"/>
      <c r="P30707"/>
      <c r="Q30707" s="24"/>
      <c r="R30707"/>
      <c r="S30707"/>
      <c r="T30707"/>
      <c r="U30707"/>
      <c r="X30707" s="60"/>
    </row>
    <row r="30708" spans="7:24" ht="15" customHeight="1">
      <c r="G30708"/>
      <c r="I30708"/>
      <c r="N30708"/>
      <c r="O30708" s="24"/>
      <c r="P30708"/>
      <c r="Q30708" s="24"/>
      <c r="R30708"/>
      <c r="S30708"/>
      <c r="T30708"/>
      <c r="U30708"/>
      <c r="X30708" s="60"/>
    </row>
    <row r="30709" spans="7:24" ht="15" customHeight="1">
      <c r="G30709"/>
      <c r="I30709"/>
      <c r="N30709"/>
      <c r="O30709" s="24"/>
      <c r="P30709"/>
      <c r="Q30709" s="24"/>
      <c r="R30709"/>
      <c r="S30709"/>
      <c r="T30709"/>
      <c r="U30709"/>
      <c r="X30709" s="60"/>
    </row>
    <row r="30710" spans="7:24" ht="15" customHeight="1">
      <c r="G30710"/>
      <c r="I30710"/>
      <c r="N30710"/>
      <c r="O30710" s="24"/>
      <c r="P30710"/>
      <c r="Q30710" s="24"/>
      <c r="R30710"/>
      <c r="S30710"/>
      <c r="T30710"/>
      <c r="U30710"/>
      <c r="X30710" s="60"/>
    </row>
    <row r="30711" spans="7:24" ht="15" customHeight="1">
      <c r="G30711"/>
      <c r="I30711"/>
      <c r="N30711"/>
      <c r="O30711" s="24"/>
      <c r="P30711"/>
      <c r="Q30711" s="24"/>
      <c r="R30711"/>
      <c r="S30711"/>
      <c r="T30711"/>
      <c r="U30711"/>
      <c r="X30711" s="60"/>
    </row>
    <row r="30712" spans="7:24" ht="15" customHeight="1">
      <c r="G30712"/>
      <c r="I30712"/>
      <c r="N30712"/>
      <c r="O30712" s="24"/>
      <c r="P30712"/>
      <c r="Q30712" s="24"/>
      <c r="R30712"/>
      <c r="S30712"/>
      <c r="T30712"/>
      <c r="U30712"/>
      <c r="X30712" s="60"/>
    </row>
    <row r="30713" spans="7:24" ht="15" customHeight="1">
      <c r="G30713"/>
      <c r="I30713"/>
      <c r="N30713"/>
      <c r="O30713" s="24"/>
      <c r="P30713"/>
      <c r="Q30713" s="24"/>
      <c r="R30713"/>
      <c r="S30713"/>
      <c r="T30713"/>
      <c r="U30713"/>
      <c r="X30713" s="60"/>
    </row>
    <row r="30714" spans="7:24" ht="15" customHeight="1">
      <c r="G30714"/>
      <c r="I30714"/>
      <c r="N30714"/>
      <c r="O30714" s="24"/>
      <c r="P30714"/>
      <c r="Q30714" s="24"/>
      <c r="R30714"/>
      <c r="S30714"/>
      <c r="T30714"/>
      <c r="U30714"/>
      <c r="X30714" s="60"/>
    </row>
    <row r="30715" spans="7:24" ht="15" customHeight="1">
      <c r="G30715"/>
      <c r="I30715"/>
      <c r="N30715"/>
      <c r="O30715" s="24"/>
      <c r="P30715"/>
      <c r="Q30715" s="24"/>
      <c r="R30715"/>
      <c r="S30715"/>
      <c r="T30715"/>
      <c r="U30715"/>
      <c r="X30715" s="60"/>
    </row>
    <row r="30716" spans="7:24" ht="15" customHeight="1">
      <c r="G30716"/>
      <c r="I30716"/>
      <c r="N30716"/>
      <c r="O30716" s="24"/>
      <c r="P30716"/>
      <c r="Q30716" s="24"/>
      <c r="R30716"/>
      <c r="S30716"/>
      <c r="T30716"/>
      <c r="U30716"/>
      <c r="X30716" s="60"/>
    </row>
    <row r="30717" spans="7:24" ht="15" customHeight="1">
      <c r="G30717"/>
      <c r="I30717"/>
      <c r="N30717"/>
      <c r="O30717" s="24"/>
      <c r="P30717"/>
      <c r="Q30717" s="24"/>
      <c r="R30717"/>
      <c r="S30717"/>
      <c r="T30717"/>
      <c r="U30717"/>
      <c r="X30717" s="60"/>
    </row>
    <row r="30718" spans="7:24" ht="15" customHeight="1">
      <c r="G30718"/>
      <c r="I30718"/>
      <c r="N30718"/>
      <c r="O30718" s="24"/>
      <c r="P30718"/>
      <c r="Q30718" s="24"/>
      <c r="R30718"/>
      <c r="S30718"/>
      <c r="T30718"/>
      <c r="U30718"/>
      <c r="X30718" s="60"/>
    </row>
    <row r="30719" spans="7:24" ht="15" customHeight="1">
      <c r="G30719"/>
      <c r="I30719"/>
      <c r="N30719"/>
      <c r="O30719" s="24"/>
      <c r="P30719"/>
      <c r="Q30719" s="24"/>
      <c r="R30719"/>
      <c r="S30719"/>
      <c r="T30719"/>
      <c r="U30719"/>
      <c r="X30719" s="60"/>
    </row>
    <row r="30720" spans="7:24" ht="15" customHeight="1">
      <c r="G30720"/>
      <c r="I30720"/>
      <c r="N30720"/>
      <c r="O30720" s="24"/>
      <c r="P30720"/>
      <c r="Q30720" s="24"/>
      <c r="R30720"/>
      <c r="S30720"/>
      <c r="T30720"/>
      <c r="U30720"/>
      <c r="X30720" s="60"/>
    </row>
    <row r="30721" spans="7:24" ht="15" customHeight="1">
      <c r="G30721"/>
      <c r="I30721"/>
      <c r="N30721"/>
      <c r="O30721" s="24"/>
      <c r="P30721"/>
      <c r="Q30721" s="24"/>
      <c r="R30721"/>
      <c r="S30721"/>
      <c r="T30721"/>
      <c r="U30721"/>
      <c r="X30721" s="60"/>
    </row>
    <row r="30722" spans="7:24" ht="15" customHeight="1">
      <c r="G30722"/>
      <c r="I30722"/>
      <c r="N30722"/>
      <c r="O30722" s="24"/>
      <c r="P30722"/>
      <c r="Q30722" s="24"/>
      <c r="R30722"/>
      <c r="S30722"/>
      <c r="T30722"/>
      <c r="U30722"/>
      <c r="X30722" s="60"/>
    </row>
    <row r="30723" spans="7:24" ht="15" customHeight="1">
      <c r="G30723"/>
      <c r="I30723"/>
      <c r="N30723"/>
      <c r="O30723" s="24"/>
      <c r="P30723"/>
      <c r="Q30723" s="24"/>
      <c r="R30723"/>
      <c r="S30723"/>
      <c r="T30723"/>
      <c r="U30723"/>
      <c r="X30723" s="60"/>
    </row>
    <row r="30724" spans="7:24" ht="15" customHeight="1">
      <c r="G30724"/>
      <c r="I30724"/>
      <c r="N30724"/>
      <c r="O30724" s="24"/>
      <c r="P30724"/>
      <c r="Q30724" s="24"/>
      <c r="R30724"/>
      <c r="S30724"/>
      <c r="T30724"/>
      <c r="U30724"/>
      <c r="X30724" s="60"/>
    </row>
    <row r="30725" spans="7:24" ht="15" customHeight="1">
      <c r="G30725"/>
      <c r="I30725"/>
      <c r="N30725"/>
      <c r="O30725" s="24"/>
      <c r="P30725"/>
      <c r="Q30725" s="24"/>
      <c r="R30725"/>
      <c r="S30725"/>
      <c r="T30725"/>
      <c r="U30725"/>
      <c r="X30725" s="60"/>
    </row>
    <row r="30726" spans="7:24" ht="15" customHeight="1">
      <c r="G30726"/>
      <c r="I30726"/>
      <c r="N30726"/>
      <c r="O30726" s="24"/>
      <c r="P30726"/>
      <c r="Q30726" s="24"/>
      <c r="R30726"/>
      <c r="S30726"/>
      <c r="T30726"/>
      <c r="U30726"/>
      <c r="X30726" s="60"/>
    </row>
    <row r="30727" spans="7:24" ht="15" customHeight="1">
      <c r="G30727"/>
      <c r="I30727"/>
      <c r="N30727"/>
      <c r="O30727" s="24"/>
      <c r="P30727"/>
      <c r="Q30727" s="24"/>
      <c r="R30727"/>
      <c r="S30727"/>
      <c r="T30727"/>
      <c r="U30727"/>
      <c r="X30727" s="60"/>
    </row>
    <row r="30728" spans="7:24" ht="15" customHeight="1">
      <c r="G30728"/>
      <c r="I30728"/>
      <c r="N30728"/>
      <c r="O30728" s="24"/>
      <c r="P30728"/>
      <c r="Q30728" s="24"/>
      <c r="R30728"/>
      <c r="S30728"/>
      <c r="T30728"/>
      <c r="U30728"/>
      <c r="X30728" s="60"/>
    </row>
    <row r="30729" spans="7:24" ht="15" customHeight="1">
      <c r="G30729"/>
      <c r="I30729"/>
      <c r="N30729"/>
      <c r="O30729" s="24"/>
      <c r="P30729"/>
      <c r="Q30729" s="24"/>
      <c r="R30729"/>
      <c r="S30729"/>
      <c r="T30729"/>
      <c r="U30729"/>
      <c r="X30729" s="60"/>
    </row>
    <row r="30730" spans="7:24" ht="15" customHeight="1">
      <c r="G30730"/>
      <c r="I30730"/>
      <c r="N30730"/>
      <c r="O30730" s="24"/>
      <c r="P30730"/>
      <c r="Q30730" s="24"/>
      <c r="R30730"/>
      <c r="S30730"/>
      <c r="T30730"/>
      <c r="U30730"/>
      <c r="X30730" s="60"/>
    </row>
    <row r="30731" spans="7:24" ht="15" customHeight="1">
      <c r="G30731"/>
      <c r="I30731"/>
      <c r="N30731"/>
      <c r="O30731" s="24"/>
      <c r="P30731"/>
      <c r="Q30731" s="24"/>
      <c r="R30731"/>
      <c r="S30731"/>
      <c r="T30731"/>
      <c r="U30731"/>
      <c r="X30731" s="60"/>
    </row>
    <row r="30732" spans="7:24" ht="15" customHeight="1">
      <c r="G30732"/>
      <c r="I30732"/>
      <c r="N30732"/>
      <c r="O30732" s="24"/>
      <c r="P30732"/>
      <c r="Q30732" s="24"/>
      <c r="R30732"/>
      <c r="S30732"/>
      <c r="T30732"/>
      <c r="U30732"/>
      <c r="X30732" s="60"/>
    </row>
    <row r="30733" spans="7:24" ht="15" customHeight="1">
      <c r="G30733"/>
      <c r="I30733"/>
      <c r="N30733"/>
      <c r="O30733" s="24"/>
      <c r="P30733"/>
      <c r="Q30733" s="24"/>
      <c r="R30733"/>
      <c r="S30733"/>
      <c r="T30733"/>
      <c r="U30733"/>
      <c r="X30733" s="60"/>
    </row>
    <row r="30734" spans="7:24" ht="15" customHeight="1">
      <c r="G30734"/>
      <c r="I30734"/>
      <c r="N30734"/>
      <c r="O30734" s="24"/>
      <c r="P30734"/>
      <c r="Q30734" s="24"/>
      <c r="R30734"/>
      <c r="S30734"/>
      <c r="T30734"/>
      <c r="U30734"/>
      <c r="X30734" s="60"/>
    </row>
    <row r="30735" spans="7:24" ht="15" customHeight="1">
      <c r="G30735"/>
      <c r="I30735"/>
      <c r="N30735"/>
      <c r="O30735" s="24"/>
      <c r="P30735"/>
      <c r="Q30735" s="24"/>
      <c r="R30735"/>
      <c r="S30735"/>
      <c r="T30735"/>
      <c r="U30735"/>
      <c r="X30735" s="60"/>
    </row>
    <row r="30736" spans="7:24" ht="15" customHeight="1">
      <c r="G30736"/>
      <c r="I30736"/>
      <c r="N30736"/>
      <c r="O30736" s="24"/>
      <c r="P30736"/>
      <c r="Q30736" s="24"/>
      <c r="R30736"/>
      <c r="S30736"/>
      <c r="T30736"/>
      <c r="U30736"/>
      <c r="X30736" s="60"/>
    </row>
    <row r="30737" spans="7:24" ht="15" customHeight="1">
      <c r="G30737"/>
      <c r="I30737"/>
      <c r="N30737"/>
      <c r="O30737" s="24"/>
      <c r="P30737"/>
      <c r="Q30737" s="24"/>
      <c r="R30737"/>
      <c r="S30737"/>
      <c r="T30737"/>
      <c r="U30737"/>
      <c r="X30737" s="60"/>
    </row>
    <row r="30738" spans="7:24" ht="15" customHeight="1">
      <c r="G30738"/>
      <c r="I30738"/>
      <c r="N30738"/>
      <c r="O30738" s="24"/>
      <c r="P30738"/>
      <c r="Q30738" s="24"/>
      <c r="R30738"/>
      <c r="S30738"/>
      <c r="T30738"/>
      <c r="U30738"/>
      <c r="X30738" s="60"/>
    </row>
    <row r="30739" spans="7:24" ht="15" customHeight="1">
      <c r="G30739"/>
      <c r="I30739"/>
      <c r="N30739"/>
      <c r="O30739" s="24"/>
      <c r="P30739"/>
      <c r="Q30739" s="24"/>
      <c r="R30739"/>
      <c r="S30739"/>
      <c r="T30739"/>
      <c r="U30739"/>
      <c r="X30739" s="60"/>
    </row>
    <row r="30740" spans="7:24" ht="15" customHeight="1">
      <c r="G30740"/>
      <c r="I30740"/>
      <c r="N30740"/>
      <c r="O30740" s="24"/>
      <c r="P30740"/>
      <c r="Q30740" s="24"/>
      <c r="R30740"/>
      <c r="S30740"/>
      <c r="T30740"/>
      <c r="U30740"/>
      <c r="X30740" s="60"/>
    </row>
    <row r="30741" spans="7:24" ht="15" customHeight="1">
      <c r="G30741"/>
      <c r="I30741"/>
      <c r="N30741"/>
      <c r="O30741" s="24"/>
      <c r="P30741"/>
      <c r="Q30741" s="24"/>
      <c r="R30741"/>
      <c r="S30741"/>
      <c r="T30741"/>
      <c r="U30741"/>
      <c r="X30741" s="60"/>
    </row>
    <row r="30742" spans="7:24" ht="15" customHeight="1">
      <c r="G30742"/>
      <c r="I30742"/>
      <c r="N30742"/>
      <c r="O30742" s="24"/>
      <c r="P30742"/>
      <c r="Q30742" s="24"/>
      <c r="R30742"/>
      <c r="S30742"/>
      <c r="T30742"/>
      <c r="U30742"/>
      <c r="X30742" s="60"/>
    </row>
    <row r="30743" spans="7:24" ht="15" customHeight="1">
      <c r="G30743"/>
      <c r="I30743"/>
      <c r="N30743"/>
      <c r="O30743" s="24"/>
      <c r="P30743"/>
      <c r="Q30743" s="24"/>
      <c r="R30743"/>
      <c r="S30743"/>
      <c r="T30743"/>
      <c r="U30743"/>
      <c r="X30743" s="60"/>
    </row>
    <row r="30744" spans="7:24" ht="15" customHeight="1">
      <c r="G30744"/>
      <c r="I30744"/>
      <c r="N30744"/>
      <c r="O30744" s="24"/>
      <c r="P30744"/>
      <c r="Q30744" s="24"/>
      <c r="R30744"/>
      <c r="S30744"/>
      <c r="T30744"/>
      <c r="U30744"/>
      <c r="X30744" s="60"/>
    </row>
    <row r="30745" spans="7:24" ht="15" customHeight="1">
      <c r="G30745"/>
      <c r="I30745"/>
      <c r="N30745"/>
      <c r="O30745" s="24"/>
      <c r="P30745"/>
      <c r="Q30745" s="24"/>
      <c r="R30745"/>
      <c r="S30745"/>
      <c r="T30745"/>
      <c r="U30745"/>
      <c r="X30745" s="60"/>
    </row>
    <row r="30746" spans="7:24" ht="15" customHeight="1">
      <c r="G30746"/>
      <c r="I30746"/>
      <c r="N30746"/>
      <c r="O30746" s="24"/>
      <c r="P30746"/>
      <c r="Q30746" s="24"/>
      <c r="R30746"/>
      <c r="S30746"/>
      <c r="T30746"/>
      <c r="U30746"/>
      <c r="X30746" s="60"/>
    </row>
    <row r="30747" spans="7:24" ht="15" customHeight="1">
      <c r="G30747"/>
      <c r="I30747"/>
      <c r="N30747"/>
      <c r="O30747" s="24"/>
      <c r="P30747"/>
      <c r="Q30747" s="24"/>
      <c r="R30747"/>
      <c r="S30747"/>
      <c r="T30747"/>
      <c r="U30747"/>
      <c r="X30747" s="60"/>
    </row>
    <row r="30748" spans="7:24" ht="15" customHeight="1">
      <c r="G30748"/>
      <c r="I30748"/>
      <c r="N30748"/>
      <c r="O30748" s="24"/>
      <c r="P30748"/>
      <c r="Q30748" s="24"/>
      <c r="R30748"/>
      <c r="S30748"/>
      <c r="T30748"/>
      <c r="U30748"/>
      <c r="X30748" s="60"/>
    </row>
    <row r="30749" spans="7:24" ht="15" customHeight="1">
      <c r="G30749"/>
      <c r="I30749"/>
      <c r="N30749"/>
      <c r="O30749" s="24"/>
      <c r="P30749"/>
      <c r="Q30749" s="24"/>
      <c r="R30749"/>
      <c r="S30749"/>
      <c r="T30749"/>
      <c r="U30749"/>
      <c r="X30749" s="60"/>
    </row>
    <row r="30750" spans="7:24" ht="15" customHeight="1">
      <c r="G30750"/>
      <c r="I30750"/>
      <c r="N30750"/>
      <c r="O30750" s="24"/>
      <c r="P30750"/>
      <c r="Q30750" s="24"/>
      <c r="R30750"/>
      <c r="S30750"/>
      <c r="T30750"/>
      <c r="U30750"/>
      <c r="X30750" s="60"/>
    </row>
    <row r="30751" spans="7:24" ht="15" customHeight="1">
      <c r="G30751"/>
      <c r="I30751"/>
      <c r="N30751"/>
      <c r="O30751" s="24"/>
      <c r="P30751"/>
      <c r="Q30751" s="24"/>
      <c r="R30751"/>
      <c r="S30751"/>
      <c r="T30751"/>
      <c r="U30751"/>
      <c r="X30751" s="60"/>
    </row>
    <row r="30752" spans="7:24" ht="15" customHeight="1">
      <c r="G30752"/>
      <c r="I30752"/>
      <c r="N30752"/>
      <c r="O30752" s="24"/>
      <c r="P30752"/>
      <c r="Q30752" s="24"/>
      <c r="R30752"/>
      <c r="S30752"/>
      <c r="T30752"/>
      <c r="U30752"/>
      <c r="X30752" s="60"/>
    </row>
    <row r="30753" spans="7:24" ht="15" customHeight="1">
      <c r="G30753"/>
      <c r="I30753"/>
      <c r="N30753"/>
      <c r="O30753" s="24"/>
      <c r="P30753"/>
      <c r="Q30753" s="24"/>
      <c r="R30753"/>
      <c r="S30753"/>
      <c r="T30753"/>
      <c r="U30753"/>
      <c r="X30753" s="60"/>
    </row>
    <row r="30754" spans="7:24" ht="15" customHeight="1">
      <c r="G30754"/>
      <c r="I30754"/>
      <c r="N30754"/>
      <c r="O30754" s="24"/>
      <c r="P30754"/>
      <c r="Q30754" s="24"/>
      <c r="R30754"/>
      <c r="S30754"/>
      <c r="T30754"/>
      <c r="U30754"/>
      <c r="X30754" s="60"/>
    </row>
    <row r="30755" spans="7:24" ht="15" customHeight="1">
      <c r="G30755"/>
      <c r="I30755"/>
      <c r="N30755"/>
      <c r="O30755" s="24"/>
      <c r="P30755"/>
      <c r="Q30755" s="24"/>
      <c r="R30755"/>
      <c r="S30755"/>
      <c r="T30755"/>
      <c r="U30755"/>
      <c r="X30755" s="60"/>
    </row>
    <row r="30756" spans="7:24" ht="15" customHeight="1">
      <c r="G30756"/>
      <c r="I30756"/>
      <c r="N30756"/>
      <c r="O30756" s="24"/>
      <c r="P30756"/>
      <c r="Q30756" s="24"/>
      <c r="R30756"/>
      <c r="S30756"/>
      <c r="T30756"/>
      <c r="U30756"/>
      <c r="X30756" s="60"/>
    </row>
    <row r="30757" spans="7:24" ht="15" customHeight="1">
      <c r="G30757"/>
      <c r="I30757"/>
      <c r="N30757"/>
      <c r="O30757" s="24"/>
      <c r="P30757"/>
      <c r="Q30757" s="24"/>
      <c r="R30757"/>
      <c r="S30757"/>
      <c r="T30757"/>
      <c r="U30757"/>
      <c r="X30757" s="60"/>
    </row>
    <row r="30758" spans="7:24" ht="15" customHeight="1">
      <c r="G30758"/>
      <c r="I30758"/>
      <c r="N30758"/>
      <c r="O30758" s="24"/>
      <c r="P30758"/>
      <c r="Q30758" s="24"/>
      <c r="R30758"/>
      <c r="S30758"/>
      <c r="T30758"/>
      <c r="U30758"/>
      <c r="X30758" s="60"/>
    </row>
    <row r="30759" spans="7:24" ht="15" customHeight="1">
      <c r="G30759"/>
      <c r="I30759"/>
      <c r="N30759"/>
      <c r="O30759" s="24"/>
      <c r="P30759"/>
      <c r="Q30759" s="24"/>
      <c r="R30759"/>
      <c r="S30759"/>
      <c r="T30759"/>
      <c r="U30759"/>
      <c r="X30759" s="60"/>
    </row>
    <row r="30760" spans="7:24" ht="15" customHeight="1">
      <c r="G30760"/>
      <c r="I30760"/>
      <c r="N30760"/>
      <c r="O30760" s="24"/>
      <c r="P30760"/>
      <c r="Q30760" s="24"/>
      <c r="R30760"/>
      <c r="S30760"/>
      <c r="T30760"/>
      <c r="U30760"/>
      <c r="X30760" s="60"/>
    </row>
    <row r="30761" spans="7:24" ht="15" customHeight="1">
      <c r="G30761"/>
      <c r="I30761"/>
      <c r="N30761"/>
      <c r="O30761" s="24"/>
      <c r="P30761"/>
      <c r="Q30761" s="24"/>
      <c r="R30761"/>
      <c r="S30761"/>
      <c r="T30761"/>
      <c r="U30761"/>
      <c r="X30761" s="60"/>
    </row>
    <row r="30762" spans="7:24" ht="15" customHeight="1">
      <c r="G30762"/>
      <c r="I30762"/>
      <c r="N30762"/>
      <c r="O30762" s="24"/>
      <c r="P30762"/>
      <c r="Q30762" s="24"/>
      <c r="R30762"/>
      <c r="S30762"/>
      <c r="T30762"/>
      <c r="U30762"/>
      <c r="X30762" s="60"/>
    </row>
    <row r="30763" spans="7:24" ht="15" customHeight="1">
      <c r="G30763"/>
      <c r="I30763"/>
      <c r="N30763"/>
      <c r="O30763" s="24"/>
      <c r="P30763"/>
      <c r="Q30763" s="24"/>
      <c r="R30763"/>
      <c r="S30763"/>
      <c r="T30763"/>
      <c r="U30763"/>
      <c r="X30763" s="60"/>
    </row>
    <row r="30764" spans="7:24" ht="15" customHeight="1">
      <c r="G30764"/>
      <c r="I30764"/>
      <c r="N30764"/>
      <c r="O30764" s="24"/>
      <c r="P30764"/>
      <c r="Q30764" s="24"/>
      <c r="R30764"/>
      <c r="S30764"/>
      <c r="T30764"/>
      <c r="U30764"/>
      <c r="X30764" s="60"/>
    </row>
    <row r="30765" spans="7:24" ht="15" customHeight="1">
      <c r="G30765"/>
      <c r="I30765"/>
      <c r="N30765"/>
      <c r="O30765" s="24"/>
      <c r="P30765"/>
      <c r="Q30765" s="24"/>
      <c r="R30765"/>
      <c r="S30765"/>
      <c r="T30765"/>
      <c r="U30765"/>
      <c r="X30765" s="60"/>
    </row>
    <row r="30766" spans="7:24" ht="15" customHeight="1">
      <c r="G30766"/>
      <c r="I30766"/>
      <c r="N30766"/>
      <c r="O30766" s="24"/>
      <c r="P30766"/>
      <c r="Q30766" s="24"/>
      <c r="R30766"/>
      <c r="S30766"/>
      <c r="T30766"/>
      <c r="U30766"/>
      <c r="X30766" s="60"/>
    </row>
    <row r="30767" spans="7:24" ht="15" customHeight="1">
      <c r="G30767"/>
      <c r="I30767"/>
      <c r="N30767"/>
      <c r="O30767" s="24"/>
      <c r="P30767"/>
      <c r="Q30767" s="24"/>
      <c r="R30767"/>
      <c r="S30767"/>
      <c r="T30767"/>
      <c r="U30767"/>
      <c r="X30767" s="60"/>
    </row>
    <row r="30768" spans="7:24" ht="15" customHeight="1">
      <c r="G30768"/>
      <c r="I30768"/>
      <c r="N30768"/>
      <c r="O30768" s="24"/>
      <c r="P30768"/>
      <c r="Q30768" s="24"/>
      <c r="R30768"/>
      <c r="S30768"/>
      <c r="T30768"/>
      <c r="U30768"/>
      <c r="X30768" s="60"/>
    </row>
    <row r="30769" spans="7:24" ht="15" customHeight="1">
      <c r="G30769"/>
      <c r="I30769"/>
      <c r="N30769"/>
      <c r="O30769" s="24"/>
      <c r="P30769"/>
      <c r="Q30769" s="24"/>
      <c r="R30769"/>
      <c r="S30769"/>
      <c r="T30769"/>
      <c r="U30769"/>
      <c r="X30769" s="60"/>
    </row>
    <row r="30770" spans="7:24" ht="15" customHeight="1">
      <c r="G30770"/>
      <c r="I30770"/>
      <c r="N30770"/>
      <c r="O30770" s="24"/>
      <c r="P30770"/>
      <c r="Q30770" s="24"/>
      <c r="R30770"/>
      <c r="S30770"/>
      <c r="T30770"/>
      <c r="U30770"/>
      <c r="X30770" s="60"/>
    </row>
    <row r="30771" spans="7:24" ht="15" customHeight="1">
      <c r="G30771"/>
      <c r="I30771"/>
      <c r="N30771"/>
      <c r="O30771" s="24"/>
      <c r="P30771"/>
      <c r="Q30771" s="24"/>
      <c r="R30771"/>
      <c r="S30771"/>
      <c r="T30771"/>
      <c r="U30771"/>
      <c r="X30771" s="60"/>
    </row>
    <row r="30772" spans="7:24" ht="15" customHeight="1">
      <c r="G30772"/>
      <c r="I30772"/>
      <c r="N30772"/>
      <c r="O30772" s="24"/>
      <c r="P30772"/>
      <c r="Q30772" s="24"/>
      <c r="R30772"/>
      <c r="S30772"/>
      <c r="T30772"/>
      <c r="U30772"/>
      <c r="X30772" s="60"/>
    </row>
    <row r="30773" spans="7:24" ht="15" customHeight="1">
      <c r="G30773"/>
      <c r="I30773"/>
      <c r="N30773"/>
      <c r="O30773" s="24"/>
      <c r="P30773"/>
      <c r="Q30773" s="24"/>
      <c r="R30773"/>
      <c r="S30773"/>
      <c r="T30773"/>
      <c r="U30773"/>
      <c r="X30773" s="60"/>
    </row>
    <row r="30774" spans="7:24" ht="15" customHeight="1">
      <c r="G30774"/>
      <c r="I30774"/>
      <c r="N30774"/>
      <c r="O30774" s="24"/>
      <c r="P30774"/>
      <c r="Q30774" s="24"/>
      <c r="R30774"/>
      <c r="S30774"/>
      <c r="T30774"/>
      <c r="U30774"/>
      <c r="X30774" s="60"/>
    </row>
    <row r="30775" spans="7:24" ht="15" customHeight="1">
      <c r="G30775"/>
      <c r="I30775"/>
      <c r="N30775"/>
      <c r="O30775" s="24"/>
      <c r="P30775"/>
      <c r="Q30775" s="24"/>
      <c r="R30775"/>
      <c r="S30775"/>
      <c r="T30775"/>
      <c r="U30775"/>
      <c r="X30775" s="60"/>
    </row>
    <row r="30776" spans="7:24" ht="15" customHeight="1">
      <c r="G30776"/>
      <c r="I30776"/>
      <c r="N30776"/>
      <c r="O30776" s="24"/>
      <c r="P30776"/>
      <c r="Q30776" s="24"/>
      <c r="R30776"/>
      <c r="S30776"/>
      <c r="T30776"/>
      <c r="U30776"/>
      <c r="X30776" s="60"/>
    </row>
    <row r="30777" spans="7:24" ht="15" customHeight="1">
      <c r="G30777"/>
      <c r="I30777"/>
      <c r="N30777"/>
      <c r="O30777" s="24"/>
      <c r="P30777"/>
      <c r="Q30777" s="24"/>
      <c r="R30777"/>
      <c r="S30777"/>
      <c r="T30777"/>
      <c r="U30777"/>
      <c r="X30777" s="60"/>
    </row>
    <row r="30778" spans="7:24" ht="15" customHeight="1">
      <c r="G30778"/>
      <c r="I30778"/>
      <c r="N30778"/>
      <c r="O30778" s="24"/>
      <c r="P30778"/>
      <c r="Q30778" s="24"/>
      <c r="R30778"/>
      <c r="S30778"/>
      <c r="T30778"/>
      <c r="U30778"/>
      <c r="X30778" s="60"/>
    </row>
    <row r="30779" spans="7:24" ht="15" customHeight="1">
      <c r="G30779"/>
      <c r="I30779"/>
      <c r="N30779"/>
      <c r="O30779" s="24"/>
      <c r="P30779"/>
      <c r="Q30779" s="24"/>
      <c r="R30779"/>
      <c r="S30779"/>
      <c r="T30779"/>
      <c r="U30779"/>
      <c r="X30779" s="60"/>
    </row>
    <row r="30780" spans="7:24" ht="15" customHeight="1">
      <c r="G30780"/>
      <c r="I30780"/>
      <c r="N30780"/>
      <c r="O30780" s="24"/>
      <c r="P30780"/>
      <c r="Q30780" s="24"/>
      <c r="R30780"/>
      <c r="S30780"/>
      <c r="T30780"/>
      <c r="U30780"/>
      <c r="X30780" s="60"/>
    </row>
    <row r="30781" spans="7:24" ht="15" customHeight="1">
      <c r="G30781"/>
      <c r="I30781"/>
      <c r="N30781"/>
      <c r="O30781" s="24"/>
      <c r="P30781"/>
      <c r="Q30781" s="24"/>
      <c r="R30781"/>
      <c r="S30781"/>
      <c r="T30781"/>
      <c r="U30781"/>
      <c r="X30781" s="60"/>
    </row>
    <row r="30782" spans="7:24" ht="15" customHeight="1">
      <c r="G30782"/>
      <c r="I30782"/>
      <c r="N30782"/>
      <c r="O30782" s="24"/>
      <c r="P30782"/>
      <c r="Q30782" s="24"/>
      <c r="R30782"/>
      <c r="S30782"/>
      <c r="T30782"/>
      <c r="U30782"/>
      <c r="X30782" s="60"/>
    </row>
    <row r="30783" spans="7:24" ht="15" customHeight="1">
      <c r="G30783"/>
      <c r="I30783"/>
      <c r="N30783"/>
      <c r="O30783" s="24"/>
      <c r="P30783"/>
      <c r="Q30783" s="24"/>
      <c r="R30783"/>
      <c r="S30783"/>
      <c r="T30783"/>
      <c r="U30783"/>
      <c r="X30783" s="60"/>
    </row>
    <row r="30784" spans="7:24" ht="15" customHeight="1">
      <c r="G30784"/>
      <c r="I30784"/>
      <c r="N30784"/>
      <c r="O30784" s="24"/>
      <c r="P30784"/>
      <c r="Q30784" s="24"/>
      <c r="R30784"/>
      <c r="S30784"/>
      <c r="T30784"/>
      <c r="U30784"/>
      <c r="X30784" s="60"/>
    </row>
    <row r="30785" spans="7:24" ht="15" customHeight="1">
      <c r="G30785"/>
      <c r="I30785"/>
      <c r="N30785"/>
      <c r="O30785" s="24"/>
      <c r="P30785"/>
      <c r="Q30785" s="24"/>
      <c r="R30785"/>
      <c r="S30785"/>
      <c r="T30785"/>
      <c r="U30785"/>
      <c r="X30785" s="60"/>
    </row>
    <row r="30786" spans="7:24" ht="15" customHeight="1">
      <c r="G30786"/>
      <c r="I30786"/>
      <c r="N30786"/>
      <c r="O30786" s="24"/>
      <c r="P30786"/>
      <c r="Q30786" s="24"/>
      <c r="R30786"/>
      <c r="S30786"/>
      <c r="T30786"/>
      <c r="U30786"/>
      <c r="X30786" s="60"/>
    </row>
    <row r="30787" spans="7:24" ht="15" customHeight="1">
      <c r="G30787"/>
      <c r="I30787"/>
      <c r="N30787"/>
      <c r="O30787" s="24"/>
      <c r="P30787"/>
      <c r="Q30787" s="24"/>
      <c r="R30787"/>
      <c r="S30787"/>
      <c r="T30787"/>
      <c r="U30787"/>
      <c r="X30787" s="60"/>
    </row>
    <row r="30788" spans="7:24" ht="15" customHeight="1">
      <c r="G30788"/>
      <c r="I30788"/>
      <c r="N30788"/>
      <c r="O30788" s="24"/>
      <c r="P30788"/>
      <c r="Q30788" s="24"/>
      <c r="R30788"/>
      <c r="S30788"/>
      <c r="T30788"/>
      <c r="U30788"/>
      <c r="X30788" s="60"/>
    </row>
    <row r="30789" spans="7:24" ht="15" customHeight="1">
      <c r="G30789"/>
      <c r="I30789"/>
      <c r="N30789"/>
      <c r="O30789" s="24"/>
      <c r="P30789"/>
      <c r="Q30789" s="24"/>
      <c r="R30789"/>
      <c r="S30789"/>
      <c r="T30789"/>
      <c r="U30789"/>
      <c r="X30789" s="60"/>
    </row>
    <row r="30790" spans="7:24" ht="15" customHeight="1">
      <c r="G30790"/>
      <c r="I30790"/>
      <c r="N30790"/>
      <c r="O30790" s="24"/>
      <c r="P30790"/>
      <c r="Q30790" s="24"/>
      <c r="R30790"/>
      <c r="S30790"/>
      <c r="T30790"/>
      <c r="U30790"/>
      <c r="X30790" s="60"/>
    </row>
    <row r="30791" spans="7:24" ht="15" customHeight="1">
      <c r="G30791"/>
      <c r="I30791"/>
      <c r="N30791"/>
      <c r="O30791" s="24"/>
      <c r="P30791"/>
      <c r="Q30791" s="24"/>
      <c r="R30791"/>
      <c r="S30791"/>
      <c r="T30791"/>
      <c r="U30791"/>
      <c r="X30791" s="60"/>
    </row>
    <row r="30792" spans="7:24" ht="15" customHeight="1">
      <c r="G30792"/>
      <c r="I30792"/>
      <c r="N30792"/>
      <c r="O30792" s="24"/>
      <c r="P30792"/>
      <c r="Q30792" s="24"/>
      <c r="R30792"/>
      <c r="S30792"/>
      <c r="T30792"/>
      <c r="U30792"/>
      <c r="X30792" s="60"/>
    </row>
    <row r="30793" spans="7:24" ht="15" customHeight="1">
      <c r="G30793"/>
      <c r="I30793"/>
      <c r="N30793"/>
      <c r="O30793" s="24"/>
      <c r="P30793"/>
      <c r="Q30793" s="24"/>
      <c r="R30793"/>
      <c r="S30793"/>
      <c r="T30793"/>
      <c r="U30793"/>
      <c r="X30793" s="60"/>
    </row>
    <row r="30794" spans="7:24" ht="15" customHeight="1">
      <c r="G30794"/>
      <c r="I30794"/>
      <c r="N30794"/>
      <c r="O30794" s="24"/>
      <c r="P30794"/>
      <c r="Q30794" s="24"/>
      <c r="R30794"/>
      <c r="S30794"/>
      <c r="T30794"/>
      <c r="U30794"/>
      <c r="X30794" s="60"/>
    </row>
    <row r="30795" spans="7:24" ht="15" customHeight="1">
      <c r="G30795"/>
      <c r="I30795"/>
      <c r="N30795"/>
      <c r="O30795" s="24"/>
      <c r="P30795"/>
      <c r="Q30795" s="24"/>
      <c r="R30795"/>
      <c r="S30795"/>
      <c r="T30795"/>
      <c r="U30795"/>
      <c r="X30795" s="60"/>
    </row>
    <row r="30796" spans="7:24" ht="15" customHeight="1">
      <c r="G30796"/>
      <c r="I30796"/>
      <c r="N30796"/>
      <c r="O30796" s="24"/>
      <c r="P30796"/>
      <c r="Q30796" s="24"/>
      <c r="R30796"/>
      <c r="S30796"/>
      <c r="T30796"/>
      <c r="U30796"/>
      <c r="X30796" s="60"/>
    </row>
    <row r="30797" spans="7:24" ht="15" customHeight="1">
      <c r="G30797"/>
      <c r="I30797"/>
      <c r="N30797"/>
      <c r="O30797" s="24"/>
      <c r="P30797"/>
      <c r="Q30797" s="24"/>
      <c r="R30797"/>
      <c r="S30797"/>
      <c r="T30797"/>
      <c r="U30797"/>
      <c r="X30797" s="60"/>
    </row>
    <row r="30798" spans="7:24" ht="15" customHeight="1">
      <c r="G30798"/>
      <c r="I30798"/>
      <c r="N30798"/>
      <c r="O30798" s="24"/>
      <c r="P30798"/>
      <c r="Q30798" s="24"/>
      <c r="R30798"/>
      <c r="S30798"/>
      <c r="T30798"/>
      <c r="U30798"/>
      <c r="X30798" s="60"/>
    </row>
    <row r="30799" spans="7:24" ht="15" customHeight="1">
      <c r="G30799"/>
      <c r="I30799"/>
      <c r="N30799"/>
      <c r="O30799" s="24"/>
      <c r="P30799"/>
      <c r="Q30799" s="24"/>
      <c r="R30799"/>
      <c r="S30799"/>
      <c r="T30799"/>
      <c r="U30799"/>
      <c r="X30799" s="60"/>
    </row>
    <row r="30800" spans="7:24" ht="15" customHeight="1">
      <c r="G30800"/>
      <c r="I30800"/>
      <c r="N30800"/>
      <c r="O30800" s="24"/>
      <c r="P30800"/>
      <c r="Q30800" s="24"/>
      <c r="R30800"/>
      <c r="S30800"/>
      <c r="T30800"/>
      <c r="U30800"/>
      <c r="X30800" s="60"/>
    </row>
    <row r="30801" spans="7:24" ht="15" customHeight="1">
      <c r="G30801"/>
      <c r="I30801"/>
      <c r="N30801"/>
      <c r="O30801" s="24"/>
      <c r="P30801"/>
      <c r="Q30801" s="24"/>
      <c r="R30801"/>
      <c r="S30801"/>
      <c r="T30801"/>
      <c r="U30801"/>
      <c r="X30801" s="60"/>
    </row>
    <row r="30802" spans="7:24" ht="15" customHeight="1">
      <c r="G30802"/>
      <c r="I30802"/>
      <c r="N30802"/>
      <c r="O30802" s="24"/>
      <c r="P30802"/>
      <c r="Q30802" s="24"/>
      <c r="R30802"/>
      <c r="S30802"/>
      <c r="T30802"/>
      <c r="U30802"/>
      <c r="X30802" s="60"/>
    </row>
    <row r="30803" spans="7:24" ht="15" customHeight="1">
      <c r="G30803"/>
      <c r="I30803"/>
      <c r="N30803"/>
      <c r="O30803" s="24"/>
      <c r="P30803"/>
      <c r="Q30803" s="24"/>
      <c r="R30803"/>
      <c r="S30803"/>
      <c r="T30803"/>
      <c r="U30803"/>
      <c r="X30803" s="60"/>
    </row>
    <row r="30804" spans="7:24" ht="15" customHeight="1">
      <c r="G30804"/>
      <c r="I30804"/>
      <c r="N30804"/>
      <c r="O30804" s="24"/>
      <c r="P30804"/>
      <c r="Q30804" s="24"/>
      <c r="R30804"/>
      <c r="S30804"/>
      <c r="T30804"/>
      <c r="U30804"/>
      <c r="X30804" s="60"/>
    </row>
    <row r="30805" spans="7:24" ht="15" customHeight="1">
      <c r="G30805"/>
      <c r="I30805"/>
      <c r="N30805"/>
      <c r="O30805" s="24"/>
      <c r="P30805"/>
      <c r="Q30805" s="24"/>
      <c r="R30805"/>
      <c r="S30805"/>
      <c r="T30805"/>
      <c r="U30805"/>
      <c r="X30805" s="60"/>
    </row>
    <row r="30806" spans="7:24" ht="15" customHeight="1">
      <c r="G30806"/>
      <c r="I30806"/>
      <c r="N30806"/>
      <c r="O30806" s="24"/>
      <c r="P30806"/>
      <c r="Q30806" s="24"/>
      <c r="R30806"/>
      <c r="S30806"/>
      <c r="T30806"/>
      <c r="U30806"/>
      <c r="X30806" s="60"/>
    </row>
    <row r="30807" spans="7:24" ht="15" customHeight="1">
      <c r="G30807"/>
      <c r="I30807"/>
      <c r="N30807"/>
      <c r="O30807" s="24"/>
      <c r="P30807"/>
      <c r="Q30807" s="24"/>
      <c r="R30807"/>
      <c r="S30807"/>
      <c r="T30807"/>
      <c r="U30807"/>
      <c r="X30807" s="60"/>
    </row>
    <row r="30808" spans="7:24" ht="15" customHeight="1">
      <c r="G30808"/>
      <c r="I30808"/>
      <c r="N30808"/>
      <c r="O30808" s="24"/>
      <c r="P30808"/>
      <c r="Q30808" s="24"/>
      <c r="R30808"/>
      <c r="S30808"/>
      <c r="T30808"/>
      <c r="U30808"/>
      <c r="X30808" s="60"/>
    </row>
    <row r="30809" spans="7:24" ht="15" customHeight="1">
      <c r="G30809"/>
      <c r="I30809"/>
      <c r="N30809"/>
      <c r="O30809" s="24"/>
      <c r="P30809"/>
      <c r="Q30809" s="24"/>
      <c r="R30809"/>
      <c r="S30809"/>
      <c r="T30809"/>
      <c r="U30809"/>
      <c r="X30809" s="60"/>
    </row>
    <row r="30810" spans="7:24" ht="15" customHeight="1">
      <c r="G30810"/>
      <c r="I30810"/>
      <c r="N30810"/>
      <c r="O30810" s="24"/>
      <c r="P30810"/>
      <c r="Q30810" s="24"/>
      <c r="R30810"/>
      <c r="S30810"/>
      <c r="T30810"/>
      <c r="U30810"/>
      <c r="X30810" s="60"/>
    </row>
    <row r="30811" spans="7:24" ht="15" customHeight="1">
      <c r="G30811"/>
      <c r="I30811"/>
      <c r="N30811"/>
      <c r="O30811" s="24"/>
      <c r="P30811"/>
      <c r="Q30811" s="24"/>
      <c r="R30811"/>
      <c r="S30811"/>
      <c r="T30811"/>
      <c r="U30811"/>
      <c r="X30811" s="60"/>
    </row>
    <row r="30812" spans="7:24" ht="15" customHeight="1">
      <c r="G30812"/>
      <c r="I30812"/>
      <c r="N30812"/>
      <c r="O30812" s="24"/>
      <c r="P30812"/>
      <c r="Q30812" s="24"/>
      <c r="R30812"/>
      <c r="S30812"/>
      <c r="T30812"/>
      <c r="U30812"/>
      <c r="X30812" s="60"/>
    </row>
    <row r="30813" spans="7:24" ht="15" customHeight="1">
      <c r="G30813"/>
      <c r="I30813"/>
      <c r="N30813"/>
      <c r="O30813" s="24"/>
      <c r="P30813"/>
      <c r="Q30813" s="24"/>
      <c r="R30813"/>
      <c r="S30813"/>
      <c r="T30813"/>
      <c r="U30813"/>
      <c r="X30813" s="60"/>
    </row>
    <row r="30814" spans="7:24" ht="15" customHeight="1">
      <c r="G30814"/>
      <c r="I30814"/>
      <c r="N30814"/>
      <c r="O30814" s="24"/>
      <c r="P30814"/>
      <c r="Q30814" s="24"/>
      <c r="R30814"/>
      <c r="S30814"/>
      <c r="T30814"/>
      <c r="U30814"/>
      <c r="X30814" s="60"/>
    </row>
    <row r="30815" spans="7:24" ht="15" customHeight="1">
      <c r="G30815"/>
      <c r="I30815"/>
      <c r="N30815"/>
      <c r="O30815" s="24"/>
      <c r="P30815"/>
      <c r="Q30815" s="24"/>
      <c r="R30815"/>
      <c r="S30815"/>
      <c r="T30815"/>
      <c r="U30815"/>
      <c r="X30815" s="60"/>
    </row>
    <row r="30816" spans="7:24" ht="15" customHeight="1">
      <c r="G30816"/>
      <c r="I30816"/>
      <c r="N30816"/>
      <c r="O30816" s="24"/>
      <c r="P30816"/>
      <c r="Q30816" s="24"/>
      <c r="R30816"/>
      <c r="S30816"/>
      <c r="T30816"/>
      <c r="U30816"/>
      <c r="X30816" s="60"/>
    </row>
    <row r="30817" spans="7:24" ht="15" customHeight="1">
      <c r="G30817"/>
      <c r="I30817"/>
      <c r="N30817"/>
      <c r="O30817" s="24"/>
      <c r="P30817"/>
      <c r="Q30817" s="24"/>
      <c r="R30817"/>
      <c r="S30817"/>
      <c r="T30817"/>
      <c r="U30817"/>
      <c r="X30817" s="60"/>
    </row>
    <row r="30818" spans="7:24" ht="15" customHeight="1">
      <c r="G30818"/>
      <c r="I30818"/>
      <c r="N30818"/>
      <c r="O30818" s="24"/>
      <c r="P30818"/>
      <c r="Q30818" s="24"/>
      <c r="R30818"/>
      <c r="S30818"/>
      <c r="T30818"/>
      <c r="U30818"/>
      <c r="X30818" s="60"/>
    </row>
    <row r="30819" spans="7:24" ht="15" customHeight="1">
      <c r="G30819"/>
      <c r="I30819"/>
      <c r="N30819"/>
      <c r="O30819" s="24"/>
      <c r="P30819"/>
      <c r="Q30819" s="24"/>
      <c r="R30819"/>
      <c r="S30819"/>
      <c r="T30819"/>
      <c r="U30819"/>
      <c r="X30819" s="60"/>
    </row>
    <row r="30820" spans="7:24" ht="15" customHeight="1">
      <c r="G30820"/>
      <c r="I30820"/>
      <c r="N30820"/>
      <c r="O30820" s="24"/>
      <c r="P30820"/>
      <c r="Q30820" s="24"/>
      <c r="R30820"/>
      <c r="S30820"/>
      <c r="T30820"/>
      <c r="U30820"/>
      <c r="X30820" s="60"/>
    </row>
    <row r="30821" spans="7:24" ht="15" customHeight="1">
      <c r="G30821"/>
      <c r="I30821"/>
      <c r="N30821"/>
      <c r="O30821" s="24"/>
      <c r="P30821"/>
      <c r="Q30821" s="24"/>
      <c r="R30821"/>
      <c r="S30821"/>
      <c r="T30821"/>
      <c r="U30821"/>
      <c r="X30821" s="60"/>
    </row>
    <row r="30822" spans="7:24" ht="15" customHeight="1">
      <c r="G30822"/>
      <c r="I30822"/>
      <c r="N30822"/>
      <c r="O30822" s="24"/>
      <c r="P30822"/>
      <c r="Q30822" s="24"/>
      <c r="R30822"/>
      <c r="S30822"/>
      <c r="T30822"/>
      <c r="U30822"/>
      <c r="X30822" s="60"/>
    </row>
    <row r="30823" spans="7:24" ht="15" customHeight="1">
      <c r="G30823"/>
      <c r="I30823"/>
      <c r="N30823"/>
      <c r="O30823" s="24"/>
      <c r="P30823"/>
      <c r="Q30823" s="24"/>
      <c r="R30823"/>
      <c r="S30823"/>
      <c r="T30823"/>
      <c r="U30823"/>
      <c r="X30823" s="60"/>
    </row>
    <row r="30824" spans="7:24" ht="15" customHeight="1">
      <c r="G30824"/>
      <c r="I30824"/>
      <c r="N30824"/>
      <c r="O30824" s="24"/>
      <c r="P30824"/>
      <c r="Q30824" s="24"/>
      <c r="R30824"/>
      <c r="S30824"/>
      <c r="T30824"/>
      <c r="U30824"/>
      <c r="X30824" s="60"/>
    </row>
    <row r="30825" spans="7:24" ht="15" customHeight="1">
      <c r="G30825"/>
      <c r="I30825"/>
      <c r="N30825"/>
      <c r="O30825" s="24"/>
      <c r="P30825"/>
      <c r="Q30825" s="24"/>
      <c r="R30825"/>
      <c r="S30825"/>
      <c r="T30825"/>
      <c r="U30825"/>
      <c r="X30825" s="60"/>
    </row>
    <row r="30826" spans="7:24" ht="15" customHeight="1">
      <c r="G30826"/>
      <c r="I30826"/>
      <c r="N30826"/>
      <c r="O30826" s="24"/>
      <c r="P30826"/>
      <c r="Q30826" s="24"/>
      <c r="R30826"/>
      <c r="S30826"/>
      <c r="T30826"/>
      <c r="U30826"/>
      <c r="X30826" s="60"/>
    </row>
    <row r="30827" spans="7:24" ht="15" customHeight="1">
      <c r="G30827"/>
      <c r="I30827"/>
      <c r="N30827"/>
      <c r="O30827" s="24"/>
      <c r="P30827"/>
      <c r="Q30827" s="24"/>
      <c r="R30827"/>
      <c r="S30827"/>
      <c r="T30827"/>
      <c r="U30827"/>
      <c r="X30827" s="60"/>
    </row>
    <row r="30828" spans="7:24" ht="15" customHeight="1">
      <c r="G30828"/>
      <c r="I30828"/>
      <c r="N30828"/>
      <c r="O30828" s="24"/>
      <c r="P30828"/>
      <c r="Q30828" s="24"/>
      <c r="R30828"/>
      <c r="S30828"/>
      <c r="T30828"/>
      <c r="U30828"/>
      <c r="X30828" s="60"/>
    </row>
    <row r="30829" spans="7:24" ht="15" customHeight="1">
      <c r="G30829"/>
      <c r="I30829"/>
      <c r="N30829"/>
      <c r="O30829" s="24"/>
      <c r="P30829"/>
      <c r="Q30829" s="24"/>
      <c r="R30829"/>
      <c r="S30829"/>
      <c r="T30829"/>
      <c r="U30829"/>
      <c r="X30829" s="60"/>
    </row>
    <row r="30830" spans="7:24" ht="15" customHeight="1">
      <c r="G30830"/>
      <c r="I30830"/>
      <c r="N30830"/>
      <c r="O30830" s="24"/>
      <c r="P30830"/>
      <c r="Q30830" s="24"/>
      <c r="R30830"/>
      <c r="S30830"/>
      <c r="T30830"/>
      <c r="U30830"/>
      <c r="X30830" s="60"/>
    </row>
    <row r="30831" spans="7:24" ht="15" customHeight="1">
      <c r="G30831"/>
      <c r="I30831"/>
      <c r="N30831"/>
      <c r="O30831" s="24"/>
      <c r="P30831"/>
      <c r="Q30831" s="24"/>
      <c r="R30831"/>
      <c r="S30831"/>
      <c r="T30831"/>
      <c r="U30831"/>
      <c r="X30831" s="60"/>
    </row>
    <row r="30832" spans="7:24" ht="15" customHeight="1">
      <c r="G30832"/>
      <c r="I30832"/>
      <c r="N30832"/>
      <c r="O30832" s="24"/>
      <c r="P30832"/>
      <c r="Q30832" s="24"/>
      <c r="R30832"/>
      <c r="S30832"/>
      <c r="T30832"/>
      <c r="U30832"/>
      <c r="X30832" s="60"/>
    </row>
    <row r="30833" spans="7:24" ht="15" customHeight="1">
      <c r="G30833"/>
      <c r="I30833"/>
      <c r="N30833"/>
      <c r="O30833" s="24"/>
      <c r="P30833"/>
      <c r="Q30833" s="24"/>
      <c r="R30833"/>
      <c r="S30833"/>
      <c r="T30833"/>
      <c r="U30833"/>
      <c r="X30833" s="60"/>
    </row>
    <row r="30834" spans="7:24" ht="15" customHeight="1">
      <c r="G30834"/>
      <c r="I30834"/>
      <c r="N30834"/>
      <c r="O30834" s="24"/>
      <c r="P30834"/>
      <c r="Q30834" s="24"/>
      <c r="R30834"/>
      <c r="S30834"/>
      <c r="T30834"/>
      <c r="U30834"/>
      <c r="X30834" s="60"/>
    </row>
    <row r="30835" spans="7:24" ht="15" customHeight="1">
      <c r="G30835"/>
      <c r="I30835"/>
      <c r="N30835"/>
      <c r="O30835" s="24"/>
      <c r="P30835"/>
      <c r="Q30835" s="24"/>
      <c r="R30835"/>
      <c r="S30835"/>
      <c r="T30835"/>
      <c r="U30835"/>
      <c r="X30835" s="60"/>
    </row>
    <row r="30836" spans="7:24" ht="15" customHeight="1">
      <c r="G30836"/>
      <c r="I30836"/>
      <c r="N30836"/>
      <c r="O30836" s="24"/>
      <c r="P30836"/>
      <c r="Q30836" s="24"/>
      <c r="R30836"/>
      <c r="S30836"/>
      <c r="T30836"/>
      <c r="U30836"/>
      <c r="X30836" s="60"/>
    </row>
    <row r="30837" spans="7:24" ht="15" customHeight="1">
      <c r="G30837"/>
      <c r="I30837"/>
      <c r="N30837"/>
      <c r="O30837" s="24"/>
      <c r="P30837"/>
      <c r="Q30837" s="24"/>
      <c r="R30837"/>
      <c r="S30837"/>
      <c r="T30837"/>
      <c r="U30837"/>
      <c r="X30837" s="60"/>
    </row>
    <row r="30838" spans="7:24" ht="15" customHeight="1">
      <c r="G30838"/>
      <c r="I30838"/>
      <c r="N30838"/>
      <c r="O30838" s="24"/>
      <c r="P30838"/>
      <c r="Q30838" s="24"/>
      <c r="R30838"/>
      <c r="S30838"/>
      <c r="T30838"/>
      <c r="U30838"/>
      <c r="X30838" s="60"/>
    </row>
    <row r="30839" spans="7:24" ht="15" customHeight="1">
      <c r="G30839"/>
      <c r="I30839"/>
      <c r="N30839"/>
      <c r="O30839" s="24"/>
      <c r="P30839"/>
      <c r="Q30839" s="24"/>
      <c r="R30839"/>
      <c r="S30839"/>
      <c r="T30839"/>
      <c r="U30839"/>
      <c r="X30839" s="60"/>
    </row>
    <row r="30840" spans="7:24" ht="15" customHeight="1">
      <c r="G30840"/>
      <c r="I30840"/>
      <c r="N30840"/>
      <c r="O30840" s="24"/>
      <c r="P30840"/>
      <c r="Q30840" s="24"/>
      <c r="R30840"/>
      <c r="S30840"/>
      <c r="T30840"/>
      <c r="U30840"/>
      <c r="X30840" s="60"/>
    </row>
    <row r="30841" spans="7:24" ht="15" customHeight="1">
      <c r="G30841"/>
      <c r="I30841"/>
      <c r="N30841"/>
      <c r="O30841" s="24"/>
      <c r="P30841"/>
      <c r="Q30841" s="24"/>
      <c r="R30841"/>
      <c r="S30841"/>
      <c r="T30841"/>
      <c r="U30841"/>
      <c r="X30841" s="60"/>
    </row>
    <row r="30842" spans="7:24" ht="15" customHeight="1">
      <c r="G30842"/>
      <c r="I30842"/>
      <c r="N30842"/>
      <c r="O30842" s="24"/>
      <c r="P30842"/>
      <c r="Q30842" s="24"/>
      <c r="R30842"/>
      <c r="S30842"/>
      <c r="T30842"/>
      <c r="U30842"/>
      <c r="X30842" s="60"/>
    </row>
    <row r="30843" spans="7:24" ht="15" customHeight="1">
      <c r="G30843"/>
      <c r="I30843"/>
      <c r="N30843"/>
      <c r="O30843" s="24"/>
      <c r="P30843"/>
      <c r="Q30843" s="24"/>
      <c r="R30843"/>
      <c r="S30843"/>
      <c r="T30843"/>
      <c r="U30843"/>
      <c r="X30843" s="60"/>
    </row>
    <row r="30844" spans="7:24" ht="15" customHeight="1">
      <c r="G30844"/>
      <c r="I30844"/>
      <c r="N30844"/>
      <c r="O30844" s="24"/>
      <c r="P30844"/>
      <c r="Q30844" s="24"/>
      <c r="R30844"/>
      <c r="S30844"/>
      <c r="T30844"/>
      <c r="U30844"/>
      <c r="X30844" s="60"/>
    </row>
    <row r="30845" spans="7:24" ht="15" customHeight="1">
      <c r="G30845"/>
      <c r="I30845"/>
      <c r="N30845"/>
      <c r="O30845" s="24"/>
      <c r="P30845"/>
      <c r="Q30845" s="24"/>
      <c r="R30845"/>
      <c r="S30845"/>
      <c r="T30845"/>
      <c r="U30845"/>
      <c r="X30845" s="60"/>
    </row>
    <row r="30846" spans="7:24" ht="15" customHeight="1">
      <c r="G30846"/>
      <c r="I30846"/>
      <c r="N30846"/>
      <c r="O30846" s="24"/>
      <c r="P30846"/>
      <c r="Q30846" s="24"/>
      <c r="R30846"/>
      <c r="S30846"/>
      <c r="T30846"/>
      <c r="U30846"/>
      <c r="X30846" s="60"/>
    </row>
    <row r="30847" spans="7:24" ht="15" customHeight="1">
      <c r="G30847"/>
      <c r="I30847"/>
      <c r="N30847"/>
      <c r="O30847" s="24"/>
      <c r="P30847"/>
      <c r="Q30847" s="24"/>
      <c r="R30847"/>
      <c r="S30847"/>
      <c r="T30847"/>
      <c r="U30847"/>
      <c r="X30847" s="60"/>
    </row>
    <row r="30848" spans="7:24" ht="15" customHeight="1">
      <c r="G30848"/>
      <c r="I30848"/>
      <c r="N30848"/>
      <c r="O30848" s="24"/>
      <c r="P30848"/>
      <c r="Q30848" s="24"/>
      <c r="R30848"/>
      <c r="S30848"/>
      <c r="T30848"/>
      <c r="U30848"/>
      <c r="X30848" s="60"/>
    </row>
    <row r="30849" spans="7:24" ht="15" customHeight="1">
      <c r="G30849"/>
      <c r="I30849"/>
      <c r="N30849"/>
      <c r="O30849" s="24"/>
      <c r="P30849"/>
      <c r="Q30849" s="24"/>
      <c r="R30849"/>
      <c r="S30849"/>
      <c r="T30849"/>
      <c r="U30849"/>
      <c r="X30849" s="60"/>
    </row>
    <row r="30850" spans="7:24" ht="15" customHeight="1">
      <c r="G30850"/>
      <c r="I30850"/>
      <c r="N30850"/>
      <c r="O30850" s="24"/>
      <c r="P30850"/>
      <c r="Q30850" s="24"/>
      <c r="R30850"/>
      <c r="S30850"/>
      <c r="T30850"/>
      <c r="U30850"/>
      <c r="X30850" s="60"/>
    </row>
    <row r="30851" spans="7:24" ht="15" customHeight="1">
      <c r="G30851"/>
      <c r="I30851"/>
      <c r="N30851"/>
      <c r="O30851" s="24"/>
      <c r="P30851"/>
      <c r="Q30851" s="24"/>
      <c r="R30851"/>
      <c r="S30851"/>
      <c r="T30851"/>
      <c r="U30851"/>
      <c r="X30851" s="60"/>
    </row>
    <row r="30852" spans="7:24" ht="15" customHeight="1">
      <c r="G30852"/>
      <c r="I30852"/>
      <c r="N30852"/>
      <c r="O30852" s="24"/>
      <c r="P30852"/>
      <c r="Q30852" s="24"/>
      <c r="R30852"/>
      <c r="S30852"/>
      <c r="T30852"/>
      <c r="U30852"/>
      <c r="X30852" s="60"/>
    </row>
    <row r="30853" spans="7:24" ht="15" customHeight="1">
      <c r="G30853"/>
      <c r="I30853"/>
      <c r="N30853"/>
      <c r="O30853" s="24"/>
      <c r="P30853"/>
      <c r="Q30853" s="24"/>
      <c r="R30853"/>
      <c r="S30853"/>
      <c r="T30853"/>
      <c r="U30853"/>
      <c r="X30853" s="60"/>
    </row>
    <row r="30854" spans="7:24" ht="15" customHeight="1">
      <c r="G30854"/>
      <c r="I30854"/>
      <c r="N30854"/>
      <c r="O30854" s="24"/>
      <c r="P30854"/>
      <c r="Q30854" s="24"/>
      <c r="R30854"/>
      <c r="S30854"/>
      <c r="T30854"/>
      <c r="U30854"/>
      <c r="X30854" s="60"/>
    </row>
    <row r="30855" spans="7:24" ht="15" customHeight="1">
      <c r="G30855"/>
      <c r="I30855"/>
      <c r="N30855"/>
      <c r="O30855" s="24"/>
      <c r="P30855"/>
      <c r="Q30855" s="24"/>
      <c r="R30855"/>
      <c r="S30855"/>
      <c r="T30855"/>
      <c r="U30855"/>
      <c r="X30855" s="60"/>
    </row>
    <row r="30856" spans="7:24" ht="15" customHeight="1">
      <c r="G30856"/>
      <c r="I30856"/>
      <c r="N30856"/>
      <c r="O30856" s="24"/>
      <c r="P30856"/>
      <c r="Q30856" s="24"/>
      <c r="R30856"/>
      <c r="S30856"/>
      <c r="T30856"/>
      <c r="U30856"/>
      <c r="X30856" s="60"/>
    </row>
    <row r="30857" spans="7:24" ht="15" customHeight="1">
      <c r="G30857"/>
      <c r="I30857"/>
      <c r="N30857"/>
      <c r="O30857" s="24"/>
      <c r="P30857"/>
      <c r="Q30857" s="24"/>
      <c r="R30857"/>
      <c r="S30857"/>
      <c r="T30857"/>
      <c r="U30857"/>
      <c r="X30857" s="60"/>
    </row>
    <row r="30858" spans="7:24" ht="15" customHeight="1">
      <c r="G30858"/>
      <c r="I30858"/>
      <c r="N30858"/>
      <c r="O30858" s="24"/>
      <c r="P30858"/>
      <c r="Q30858" s="24"/>
      <c r="R30858"/>
      <c r="S30858"/>
      <c r="T30858"/>
      <c r="U30858"/>
      <c r="X30858" s="60"/>
    </row>
    <row r="30859" spans="7:24" ht="15" customHeight="1">
      <c r="G30859"/>
      <c r="I30859"/>
      <c r="N30859"/>
      <c r="O30859" s="24"/>
      <c r="P30859"/>
      <c r="Q30859" s="24"/>
      <c r="R30859"/>
      <c r="S30859"/>
      <c r="T30859"/>
      <c r="U30859"/>
      <c r="X30859" s="60"/>
    </row>
    <row r="30860" spans="7:24" ht="15" customHeight="1">
      <c r="G30860"/>
      <c r="I30860"/>
      <c r="N30860"/>
      <c r="O30860" s="24"/>
      <c r="P30860"/>
      <c r="Q30860" s="24"/>
      <c r="R30860"/>
      <c r="S30860"/>
      <c r="T30860"/>
      <c r="U30860"/>
      <c r="X30860" s="60"/>
    </row>
    <row r="30861" spans="7:24" ht="15" customHeight="1">
      <c r="G30861"/>
      <c r="I30861"/>
      <c r="N30861"/>
      <c r="O30861" s="24"/>
      <c r="P30861"/>
      <c r="Q30861" s="24"/>
      <c r="R30861"/>
      <c r="S30861"/>
      <c r="T30861"/>
      <c r="U30861"/>
      <c r="X30861" s="60"/>
    </row>
    <row r="30862" spans="7:24" ht="15" customHeight="1">
      <c r="G30862"/>
      <c r="I30862"/>
      <c r="N30862"/>
      <c r="O30862" s="24"/>
      <c r="P30862"/>
      <c r="Q30862" s="24"/>
      <c r="R30862"/>
      <c r="S30862"/>
      <c r="T30862"/>
      <c r="U30862"/>
      <c r="X30862" s="60"/>
    </row>
    <row r="30863" spans="7:24" ht="15" customHeight="1">
      <c r="G30863"/>
      <c r="I30863"/>
      <c r="N30863"/>
      <c r="O30863" s="24"/>
      <c r="P30863"/>
      <c r="Q30863" s="24"/>
      <c r="R30863"/>
      <c r="S30863"/>
      <c r="T30863"/>
      <c r="U30863"/>
      <c r="X30863" s="60"/>
    </row>
    <row r="30864" spans="7:24" ht="15" customHeight="1">
      <c r="G30864"/>
      <c r="I30864"/>
      <c r="N30864"/>
      <c r="O30864" s="24"/>
      <c r="P30864"/>
      <c r="Q30864" s="24"/>
      <c r="R30864"/>
      <c r="S30864"/>
      <c r="T30864"/>
      <c r="U30864"/>
      <c r="X30864" s="60"/>
    </row>
    <row r="30865" spans="7:24" ht="15" customHeight="1">
      <c r="G30865"/>
      <c r="I30865"/>
      <c r="N30865"/>
      <c r="O30865" s="24"/>
      <c r="P30865"/>
      <c r="Q30865" s="24"/>
      <c r="R30865"/>
      <c r="S30865"/>
      <c r="T30865"/>
      <c r="U30865"/>
      <c r="X30865" s="60"/>
    </row>
    <row r="30866" spans="7:24" ht="15" customHeight="1">
      <c r="G30866"/>
      <c r="I30866"/>
      <c r="N30866"/>
      <c r="O30866" s="24"/>
      <c r="P30866"/>
      <c r="Q30866" s="24"/>
      <c r="R30866"/>
      <c r="S30866"/>
      <c r="T30866"/>
      <c r="U30866"/>
      <c r="X30866" s="60"/>
    </row>
    <row r="30867" spans="7:24" ht="15" customHeight="1">
      <c r="G30867"/>
      <c r="I30867"/>
      <c r="N30867"/>
      <c r="O30867" s="24"/>
      <c r="P30867"/>
      <c r="Q30867" s="24"/>
      <c r="R30867"/>
      <c r="S30867"/>
      <c r="T30867"/>
      <c r="U30867"/>
      <c r="X30867" s="60"/>
    </row>
    <row r="30868" spans="7:24" ht="15" customHeight="1">
      <c r="G30868"/>
      <c r="I30868"/>
      <c r="N30868"/>
      <c r="O30868" s="24"/>
      <c r="P30868"/>
      <c r="Q30868" s="24"/>
      <c r="R30868"/>
      <c r="S30868"/>
      <c r="T30868"/>
      <c r="U30868"/>
      <c r="X30868" s="60"/>
    </row>
    <row r="30869" spans="7:24" ht="15" customHeight="1">
      <c r="G30869"/>
      <c r="I30869"/>
      <c r="N30869"/>
      <c r="O30869" s="24"/>
      <c r="P30869"/>
      <c r="Q30869" s="24"/>
      <c r="R30869"/>
      <c r="S30869"/>
      <c r="T30869"/>
      <c r="U30869"/>
      <c r="X30869" s="60"/>
    </row>
    <row r="30870" spans="7:24" ht="15" customHeight="1">
      <c r="G30870"/>
      <c r="I30870"/>
      <c r="N30870"/>
      <c r="O30870" s="24"/>
      <c r="P30870"/>
      <c r="Q30870" s="24"/>
      <c r="R30870"/>
      <c r="S30870"/>
      <c r="T30870"/>
      <c r="U30870"/>
      <c r="X30870" s="60"/>
    </row>
    <row r="30871" spans="7:24" ht="15" customHeight="1">
      <c r="G30871"/>
      <c r="I30871"/>
      <c r="N30871"/>
      <c r="O30871" s="24"/>
      <c r="P30871"/>
      <c r="Q30871" s="24"/>
      <c r="R30871"/>
      <c r="S30871"/>
      <c r="T30871"/>
      <c r="U30871"/>
      <c r="X30871" s="60"/>
    </row>
    <row r="30872" spans="7:24" ht="15" customHeight="1">
      <c r="G30872"/>
      <c r="I30872"/>
      <c r="N30872"/>
      <c r="O30872" s="24"/>
      <c r="P30872"/>
      <c r="Q30872" s="24"/>
      <c r="R30872"/>
      <c r="S30872"/>
      <c r="T30872"/>
      <c r="U30872"/>
      <c r="X30872" s="60"/>
    </row>
    <row r="30873" spans="7:24" ht="15" customHeight="1">
      <c r="G30873"/>
      <c r="I30873"/>
      <c r="N30873"/>
      <c r="O30873" s="24"/>
      <c r="P30873"/>
      <c r="Q30873" s="24"/>
      <c r="R30873"/>
      <c r="S30873"/>
      <c r="T30873"/>
      <c r="U30873"/>
      <c r="X30873" s="60"/>
    </row>
    <row r="30874" spans="7:24" ht="15" customHeight="1">
      <c r="G30874"/>
      <c r="I30874"/>
      <c r="N30874"/>
      <c r="O30874" s="24"/>
      <c r="P30874"/>
      <c r="Q30874" s="24"/>
      <c r="R30874"/>
      <c r="S30874"/>
      <c r="T30874"/>
      <c r="U30874"/>
      <c r="X30874" s="60"/>
    </row>
    <row r="30875" spans="7:24" ht="15" customHeight="1">
      <c r="G30875"/>
      <c r="I30875"/>
      <c r="N30875"/>
      <c r="O30875" s="24"/>
      <c r="P30875"/>
      <c r="Q30875" s="24"/>
      <c r="R30875"/>
      <c r="S30875"/>
      <c r="T30875"/>
      <c r="U30875"/>
      <c r="X30875" s="60"/>
    </row>
    <row r="30876" spans="7:24" ht="15" customHeight="1">
      <c r="G30876"/>
      <c r="I30876"/>
      <c r="N30876"/>
      <c r="O30876" s="24"/>
      <c r="P30876"/>
      <c r="Q30876" s="24"/>
      <c r="R30876"/>
      <c r="S30876"/>
      <c r="T30876"/>
      <c r="U30876"/>
      <c r="X30876" s="60"/>
    </row>
    <row r="30877" spans="7:24" ht="15" customHeight="1">
      <c r="G30877"/>
      <c r="I30877"/>
      <c r="N30877"/>
      <c r="O30877" s="24"/>
      <c r="P30877"/>
      <c r="Q30877" s="24"/>
      <c r="R30877"/>
      <c r="S30877"/>
      <c r="T30877"/>
      <c r="U30877"/>
      <c r="X30877" s="60"/>
    </row>
    <row r="30878" spans="7:24" ht="15" customHeight="1">
      <c r="G30878"/>
      <c r="I30878"/>
      <c r="N30878"/>
      <c r="O30878" s="24"/>
      <c r="P30878"/>
      <c r="Q30878" s="24"/>
      <c r="R30878"/>
      <c r="S30878"/>
      <c r="T30878"/>
      <c r="U30878"/>
      <c r="X30878" s="60"/>
    </row>
    <row r="30879" spans="7:24" ht="15" customHeight="1">
      <c r="G30879"/>
      <c r="I30879"/>
      <c r="N30879"/>
      <c r="O30879" s="24"/>
      <c r="P30879"/>
      <c r="Q30879" s="24"/>
      <c r="R30879"/>
      <c r="S30879"/>
      <c r="T30879"/>
      <c r="U30879"/>
      <c r="X30879" s="60"/>
    </row>
    <row r="30880" spans="7:24" ht="15" customHeight="1">
      <c r="G30880"/>
      <c r="I30880"/>
      <c r="N30880"/>
      <c r="O30880" s="24"/>
      <c r="P30880"/>
      <c r="Q30880" s="24"/>
      <c r="R30880"/>
      <c r="S30880"/>
      <c r="T30880"/>
      <c r="U30880"/>
      <c r="X30880" s="60"/>
    </row>
    <row r="30881" spans="7:24" ht="15" customHeight="1">
      <c r="G30881"/>
      <c r="I30881"/>
      <c r="N30881"/>
      <c r="O30881" s="24"/>
      <c r="P30881"/>
      <c r="Q30881" s="24"/>
      <c r="R30881"/>
      <c r="S30881"/>
      <c r="T30881"/>
      <c r="U30881"/>
      <c r="X30881" s="60"/>
    </row>
    <row r="30882" spans="7:24" ht="15" customHeight="1">
      <c r="G30882"/>
      <c r="I30882"/>
      <c r="N30882"/>
      <c r="O30882" s="24"/>
      <c r="P30882"/>
      <c r="Q30882" s="24"/>
      <c r="R30882"/>
      <c r="S30882"/>
      <c r="T30882"/>
      <c r="U30882"/>
      <c r="X30882" s="60"/>
    </row>
    <row r="30883" spans="7:24" ht="15" customHeight="1">
      <c r="G30883"/>
      <c r="I30883"/>
      <c r="N30883"/>
      <c r="O30883" s="24"/>
      <c r="P30883"/>
      <c r="Q30883" s="24"/>
      <c r="R30883"/>
      <c r="S30883"/>
      <c r="T30883"/>
      <c r="U30883"/>
      <c r="X30883" s="60"/>
    </row>
    <row r="30884" spans="7:24" ht="15" customHeight="1">
      <c r="G30884"/>
      <c r="I30884"/>
      <c r="N30884"/>
      <c r="O30884" s="24"/>
      <c r="P30884"/>
      <c r="Q30884" s="24"/>
      <c r="R30884"/>
      <c r="S30884"/>
      <c r="T30884"/>
      <c r="U30884"/>
      <c r="X30884" s="60"/>
    </row>
    <row r="30885" spans="7:24" ht="15" customHeight="1">
      <c r="G30885"/>
      <c r="I30885"/>
      <c r="N30885"/>
      <c r="O30885" s="24"/>
      <c r="P30885"/>
      <c r="Q30885" s="24"/>
      <c r="R30885"/>
      <c r="S30885"/>
      <c r="T30885"/>
      <c r="U30885"/>
      <c r="X30885" s="60"/>
    </row>
    <row r="30886" spans="7:24" ht="15" customHeight="1">
      <c r="G30886"/>
      <c r="I30886"/>
      <c r="N30886"/>
      <c r="O30886" s="24"/>
      <c r="P30886"/>
      <c r="Q30886" s="24"/>
      <c r="R30886"/>
      <c r="S30886"/>
      <c r="T30886"/>
      <c r="U30886"/>
      <c r="X30886" s="60"/>
    </row>
    <row r="30887" spans="7:24" ht="15" customHeight="1">
      <c r="G30887"/>
      <c r="I30887"/>
      <c r="N30887"/>
      <c r="O30887" s="24"/>
      <c r="P30887"/>
      <c r="Q30887" s="24"/>
      <c r="R30887"/>
      <c r="S30887"/>
      <c r="T30887"/>
      <c r="U30887"/>
      <c r="X30887" s="60"/>
    </row>
    <row r="30888" spans="7:24" ht="15" customHeight="1">
      <c r="G30888"/>
      <c r="I30888"/>
      <c r="N30888"/>
      <c r="O30888" s="24"/>
      <c r="P30888"/>
      <c r="Q30888" s="24"/>
      <c r="R30888"/>
      <c r="S30888"/>
      <c r="T30888"/>
      <c r="U30888"/>
      <c r="X30888" s="60"/>
    </row>
    <row r="30889" spans="7:24" ht="15" customHeight="1">
      <c r="G30889"/>
      <c r="I30889"/>
      <c r="N30889"/>
      <c r="O30889" s="24"/>
      <c r="P30889"/>
      <c r="Q30889" s="24"/>
      <c r="R30889"/>
      <c r="S30889"/>
      <c r="T30889"/>
      <c r="U30889"/>
      <c r="X30889" s="60"/>
    </row>
    <row r="30890" spans="7:24" ht="15" customHeight="1">
      <c r="G30890"/>
      <c r="I30890"/>
      <c r="N30890"/>
      <c r="O30890" s="24"/>
      <c r="P30890"/>
      <c r="Q30890" s="24"/>
      <c r="R30890"/>
      <c r="S30890"/>
      <c r="T30890"/>
      <c r="U30890"/>
      <c r="X30890" s="60"/>
    </row>
    <row r="30891" spans="7:24" ht="15" customHeight="1">
      <c r="G30891"/>
      <c r="I30891"/>
      <c r="N30891"/>
      <c r="O30891" s="24"/>
      <c r="P30891"/>
      <c r="Q30891" s="24"/>
      <c r="R30891"/>
      <c r="S30891"/>
      <c r="T30891"/>
      <c r="U30891"/>
      <c r="X30891" s="60"/>
    </row>
    <row r="30892" spans="7:24" ht="15" customHeight="1">
      <c r="G30892"/>
      <c r="I30892"/>
      <c r="N30892"/>
      <c r="O30892" s="24"/>
      <c r="P30892"/>
      <c r="Q30892" s="24"/>
      <c r="R30892"/>
      <c r="S30892"/>
      <c r="T30892"/>
      <c r="U30892"/>
      <c r="X30892" s="60"/>
    </row>
    <row r="30893" spans="7:24" ht="15" customHeight="1">
      <c r="G30893"/>
      <c r="I30893"/>
      <c r="N30893"/>
      <c r="O30893" s="24"/>
      <c r="P30893"/>
      <c r="Q30893" s="24"/>
      <c r="R30893"/>
      <c r="S30893"/>
      <c r="T30893"/>
      <c r="U30893"/>
      <c r="X30893" s="60"/>
    </row>
    <row r="30894" spans="7:24" ht="15" customHeight="1">
      <c r="G30894"/>
      <c r="I30894"/>
      <c r="N30894"/>
      <c r="O30894" s="24"/>
      <c r="P30894"/>
      <c r="Q30894" s="24"/>
      <c r="R30894"/>
      <c r="S30894"/>
      <c r="T30894"/>
      <c r="U30894"/>
      <c r="X30894" s="60"/>
    </row>
    <row r="30895" spans="7:24" ht="15" customHeight="1">
      <c r="G30895"/>
      <c r="I30895"/>
      <c r="N30895"/>
      <c r="O30895" s="24"/>
      <c r="P30895"/>
      <c r="Q30895" s="24"/>
      <c r="R30895"/>
      <c r="S30895"/>
      <c r="T30895"/>
      <c r="U30895"/>
      <c r="X30895" s="60"/>
    </row>
    <row r="30896" spans="7:24" ht="15" customHeight="1">
      <c r="G30896"/>
      <c r="I30896"/>
      <c r="N30896"/>
      <c r="O30896" s="24"/>
      <c r="P30896"/>
      <c r="Q30896" s="24"/>
      <c r="R30896"/>
      <c r="S30896"/>
      <c r="T30896"/>
      <c r="U30896"/>
      <c r="X30896" s="60"/>
    </row>
    <row r="30897" spans="7:24" ht="15" customHeight="1">
      <c r="G30897"/>
      <c r="I30897"/>
      <c r="N30897"/>
      <c r="O30897" s="24"/>
      <c r="P30897"/>
      <c r="Q30897" s="24"/>
      <c r="R30897"/>
      <c r="S30897"/>
      <c r="T30897"/>
      <c r="U30897"/>
      <c r="X30897" s="60"/>
    </row>
    <row r="30898" spans="7:24" ht="15" customHeight="1">
      <c r="G30898"/>
      <c r="I30898"/>
      <c r="N30898"/>
      <c r="O30898" s="24"/>
      <c r="P30898"/>
      <c r="Q30898" s="24"/>
      <c r="R30898"/>
      <c r="S30898"/>
      <c r="T30898"/>
      <c r="U30898"/>
      <c r="X30898" s="60"/>
    </row>
    <row r="30899" spans="7:24" ht="15" customHeight="1">
      <c r="G30899"/>
      <c r="I30899"/>
      <c r="N30899"/>
      <c r="O30899" s="24"/>
      <c r="P30899"/>
      <c r="Q30899" s="24"/>
      <c r="R30899"/>
      <c r="S30899"/>
      <c r="T30899"/>
      <c r="U30899"/>
      <c r="X30899" s="60"/>
    </row>
    <row r="30900" spans="7:24" ht="15" customHeight="1">
      <c r="G30900"/>
      <c r="I30900"/>
      <c r="N30900"/>
      <c r="O30900" s="24"/>
      <c r="P30900"/>
      <c r="Q30900" s="24"/>
      <c r="R30900"/>
      <c r="S30900"/>
      <c r="T30900"/>
      <c r="U30900"/>
      <c r="X30900" s="60"/>
    </row>
    <row r="30901" spans="7:24" ht="15" customHeight="1">
      <c r="G30901"/>
      <c r="I30901"/>
      <c r="N30901"/>
      <c r="O30901" s="24"/>
      <c r="P30901"/>
      <c r="Q30901" s="24"/>
      <c r="R30901"/>
      <c r="S30901"/>
      <c r="T30901"/>
      <c r="U30901"/>
      <c r="X30901" s="60"/>
    </row>
    <row r="30902" spans="7:24" ht="15" customHeight="1">
      <c r="G30902"/>
      <c r="I30902"/>
      <c r="N30902"/>
      <c r="O30902" s="24"/>
      <c r="P30902"/>
      <c r="Q30902" s="24"/>
      <c r="R30902"/>
      <c r="S30902"/>
      <c r="T30902"/>
      <c r="U30902"/>
      <c r="X30902" s="60"/>
    </row>
    <row r="30903" spans="7:24" ht="15" customHeight="1">
      <c r="G30903"/>
      <c r="I30903"/>
      <c r="N30903"/>
      <c r="O30903" s="24"/>
      <c r="P30903"/>
      <c r="Q30903" s="24"/>
      <c r="R30903"/>
      <c r="S30903"/>
      <c r="T30903"/>
      <c r="U30903"/>
      <c r="X30903" s="60"/>
    </row>
    <row r="30904" spans="7:24" ht="15" customHeight="1">
      <c r="G30904"/>
      <c r="I30904"/>
      <c r="N30904"/>
      <c r="O30904" s="24"/>
      <c r="P30904"/>
      <c r="Q30904" s="24"/>
      <c r="R30904"/>
      <c r="S30904"/>
      <c r="T30904"/>
      <c r="U30904"/>
      <c r="X30904" s="60"/>
    </row>
    <row r="30905" spans="7:24" ht="15" customHeight="1">
      <c r="G30905"/>
      <c r="I30905"/>
      <c r="N30905"/>
      <c r="O30905" s="24"/>
      <c r="P30905"/>
      <c r="Q30905" s="24"/>
      <c r="R30905"/>
      <c r="S30905"/>
      <c r="T30905"/>
      <c r="U30905"/>
      <c r="X30905" s="60"/>
    </row>
    <row r="30906" spans="7:24" ht="15" customHeight="1">
      <c r="G30906"/>
      <c r="I30906"/>
      <c r="N30906"/>
      <c r="O30906" s="24"/>
      <c r="P30906"/>
      <c r="Q30906" s="24"/>
      <c r="R30906"/>
      <c r="S30906"/>
      <c r="T30906"/>
      <c r="U30906"/>
      <c r="X30906" s="60"/>
    </row>
    <row r="30907" spans="7:24" ht="15" customHeight="1">
      <c r="G30907"/>
      <c r="I30907"/>
      <c r="N30907"/>
      <c r="O30907" s="24"/>
      <c r="P30907"/>
      <c r="Q30907" s="24"/>
      <c r="R30907"/>
      <c r="S30907"/>
      <c r="T30907"/>
      <c r="U30907"/>
      <c r="X30907" s="60"/>
    </row>
    <row r="30908" spans="7:24" ht="15" customHeight="1">
      <c r="G30908"/>
      <c r="I30908"/>
      <c r="N30908"/>
      <c r="O30908" s="24"/>
      <c r="P30908"/>
      <c r="Q30908" s="24"/>
      <c r="R30908"/>
      <c r="S30908"/>
      <c r="T30908"/>
      <c r="U30908"/>
      <c r="X30908" s="60"/>
    </row>
    <row r="30909" spans="7:24" ht="15" customHeight="1">
      <c r="G30909"/>
      <c r="I30909"/>
      <c r="N30909"/>
      <c r="O30909" s="24"/>
      <c r="P30909"/>
      <c r="Q30909" s="24"/>
      <c r="R30909"/>
      <c r="S30909"/>
      <c r="T30909"/>
      <c r="U30909"/>
      <c r="X30909" s="60"/>
    </row>
    <row r="30910" spans="7:24" ht="15" customHeight="1">
      <c r="G30910"/>
      <c r="I30910"/>
      <c r="N30910"/>
      <c r="O30910" s="24"/>
      <c r="P30910"/>
      <c r="Q30910" s="24"/>
      <c r="R30910"/>
      <c r="S30910"/>
      <c r="T30910"/>
      <c r="U30910"/>
      <c r="X30910" s="60"/>
    </row>
    <row r="30911" spans="7:24" ht="15" customHeight="1">
      <c r="G30911"/>
      <c r="I30911"/>
      <c r="N30911"/>
      <c r="O30911" s="24"/>
      <c r="P30911"/>
      <c r="Q30911" s="24"/>
      <c r="R30911"/>
      <c r="S30911"/>
      <c r="T30911"/>
      <c r="U30911"/>
      <c r="X30911" s="60"/>
    </row>
    <row r="30912" spans="7:24" ht="15" customHeight="1">
      <c r="G30912"/>
      <c r="I30912"/>
      <c r="N30912"/>
      <c r="O30912" s="24"/>
      <c r="P30912"/>
      <c r="Q30912" s="24"/>
      <c r="R30912"/>
      <c r="S30912"/>
      <c r="T30912"/>
      <c r="U30912"/>
      <c r="X30912" s="60"/>
    </row>
    <row r="30913" spans="7:24" ht="15" customHeight="1">
      <c r="G30913"/>
      <c r="I30913"/>
      <c r="N30913"/>
      <c r="O30913" s="24"/>
      <c r="P30913"/>
      <c r="Q30913" s="24"/>
      <c r="R30913"/>
      <c r="S30913"/>
      <c r="T30913"/>
      <c r="U30913"/>
      <c r="X30913" s="60"/>
    </row>
    <row r="30914" spans="7:24" ht="15" customHeight="1">
      <c r="G30914"/>
      <c r="I30914"/>
      <c r="N30914"/>
      <c r="O30914" s="24"/>
      <c r="P30914"/>
      <c r="Q30914" s="24"/>
      <c r="R30914"/>
      <c r="S30914"/>
      <c r="T30914"/>
      <c r="U30914"/>
      <c r="X30914" s="60"/>
    </row>
    <row r="30915" spans="7:24" ht="15" customHeight="1">
      <c r="G30915"/>
      <c r="I30915"/>
      <c r="N30915"/>
      <c r="O30915" s="24"/>
      <c r="P30915"/>
      <c r="Q30915" s="24"/>
      <c r="R30915"/>
      <c r="S30915"/>
      <c r="T30915"/>
      <c r="U30915"/>
      <c r="X30915" s="60"/>
    </row>
    <row r="30916" spans="7:24" ht="15" customHeight="1">
      <c r="G30916"/>
      <c r="I30916"/>
      <c r="N30916"/>
      <c r="O30916" s="24"/>
      <c r="P30916"/>
      <c r="Q30916" s="24"/>
      <c r="R30916"/>
      <c r="S30916"/>
      <c r="T30916"/>
      <c r="U30916"/>
      <c r="X30916" s="60"/>
    </row>
    <row r="30917" spans="7:24" ht="15" customHeight="1">
      <c r="G30917"/>
      <c r="I30917"/>
      <c r="N30917"/>
      <c r="O30917" s="24"/>
      <c r="P30917"/>
      <c r="Q30917" s="24"/>
      <c r="R30917"/>
      <c r="S30917"/>
      <c r="T30917"/>
      <c r="U30917"/>
      <c r="X30917" s="60"/>
    </row>
    <row r="30918" spans="7:24" ht="15" customHeight="1">
      <c r="G30918"/>
      <c r="I30918"/>
      <c r="N30918"/>
      <c r="O30918" s="24"/>
      <c r="P30918"/>
      <c r="Q30918" s="24"/>
      <c r="R30918"/>
      <c r="S30918"/>
      <c r="T30918"/>
      <c r="U30918"/>
      <c r="X30918" s="60"/>
    </row>
    <row r="30919" spans="7:24" ht="15" customHeight="1">
      <c r="G30919"/>
      <c r="I30919"/>
      <c r="N30919"/>
      <c r="O30919" s="24"/>
      <c r="P30919"/>
      <c r="Q30919" s="24"/>
      <c r="R30919"/>
      <c r="S30919"/>
      <c r="T30919"/>
      <c r="U30919"/>
      <c r="X30919" s="60"/>
    </row>
    <row r="30920" spans="7:24" ht="15" customHeight="1">
      <c r="G30920"/>
      <c r="I30920"/>
      <c r="N30920"/>
      <c r="O30920" s="24"/>
      <c r="P30920"/>
      <c r="Q30920" s="24"/>
      <c r="R30920"/>
      <c r="S30920"/>
      <c r="T30920"/>
      <c r="U30920"/>
      <c r="X30920" s="60"/>
    </row>
    <row r="30921" spans="7:24" ht="15" customHeight="1">
      <c r="G30921"/>
      <c r="I30921"/>
      <c r="N30921"/>
      <c r="O30921" s="24"/>
      <c r="P30921"/>
      <c r="Q30921" s="24"/>
      <c r="R30921"/>
      <c r="S30921"/>
      <c r="T30921"/>
      <c r="U30921"/>
      <c r="X30921" s="60"/>
    </row>
    <row r="30922" spans="7:24" ht="15" customHeight="1">
      <c r="G30922"/>
      <c r="I30922"/>
      <c r="N30922"/>
      <c r="O30922" s="24"/>
      <c r="P30922"/>
      <c r="Q30922" s="24"/>
      <c r="R30922"/>
      <c r="S30922"/>
      <c r="T30922"/>
      <c r="U30922"/>
      <c r="X30922" s="60"/>
    </row>
    <row r="30923" spans="7:24" ht="15" customHeight="1">
      <c r="G30923"/>
      <c r="I30923"/>
      <c r="N30923"/>
      <c r="O30923" s="24"/>
      <c r="P30923"/>
      <c r="Q30923" s="24"/>
      <c r="R30923"/>
      <c r="S30923"/>
      <c r="T30923"/>
      <c r="U30923"/>
      <c r="X30923" s="60"/>
    </row>
    <row r="30924" spans="7:24" ht="15" customHeight="1">
      <c r="G30924"/>
      <c r="I30924"/>
      <c r="N30924"/>
      <c r="O30924" s="24"/>
      <c r="P30924"/>
      <c r="Q30924" s="24"/>
      <c r="R30924"/>
      <c r="S30924"/>
      <c r="T30924"/>
      <c r="U30924"/>
      <c r="X30924" s="60"/>
    </row>
    <row r="30925" spans="7:24" ht="15" customHeight="1">
      <c r="G30925"/>
      <c r="I30925"/>
      <c r="N30925"/>
      <c r="O30925" s="24"/>
      <c r="P30925"/>
      <c r="Q30925" s="24"/>
      <c r="R30925"/>
      <c r="S30925"/>
      <c r="T30925"/>
      <c r="U30925"/>
      <c r="X30925" s="60"/>
    </row>
    <row r="30926" spans="7:24" ht="15" customHeight="1">
      <c r="G30926"/>
      <c r="I30926"/>
      <c r="N30926"/>
      <c r="O30926" s="24"/>
      <c r="P30926"/>
      <c r="Q30926" s="24"/>
      <c r="R30926"/>
      <c r="S30926"/>
      <c r="T30926"/>
      <c r="U30926"/>
      <c r="X30926" s="60"/>
    </row>
    <row r="30927" spans="7:24" ht="15" customHeight="1">
      <c r="G30927"/>
      <c r="I30927"/>
      <c r="N30927"/>
      <c r="O30927" s="24"/>
      <c r="P30927"/>
      <c r="Q30927" s="24"/>
      <c r="R30927"/>
      <c r="S30927"/>
      <c r="T30927"/>
      <c r="U30927"/>
      <c r="X30927" s="60"/>
    </row>
    <row r="30928" spans="7:24" ht="15" customHeight="1">
      <c r="G30928"/>
      <c r="I30928"/>
      <c r="N30928"/>
      <c r="O30928" s="24"/>
      <c r="P30928"/>
      <c r="Q30928" s="24"/>
      <c r="R30928"/>
      <c r="S30928"/>
      <c r="T30928"/>
      <c r="U30928"/>
      <c r="X30928" s="60"/>
    </row>
    <row r="30929" spans="7:24" ht="15" customHeight="1">
      <c r="G30929"/>
      <c r="I30929"/>
      <c r="N30929"/>
      <c r="O30929" s="24"/>
      <c r="P30929"/>
      <c r="Q30929" s="24"/>
      <c r="R30929"/>
      <c r="S30929"/>
      <c r="T30929"/>
      <c r="U30929"/>
      <c r="X30929" s="60"/>
    </row>
    <row r="30930" spans="7:24" ht="15" customHeight="1">
      <c r="G30930"/>
      <c r="I30930"/>
      <c r="N30930"/>
      <c r="O30930" s="24"/>
      <c r="P30930"/>
      <c r="Q30930" s="24"/>
      <c r="R30930"/>
      <c r="S30930"/>
      <c r="T30930"/>
      <c r="U30930"/>
      <c r="X30930" s="60"/>
    </row>
    <row r="30931" spans="7:24" ht="15" customHeight="1">
      <c r="G30931"/>
      <c r="I30931"/>
      <c r="N30931"/>
      <c r="O30931" s="24"/>
      <c r="P30931"/>
      <c r="Q30931" s="24"/>
      <c r="R30931"/>
      <c r="S30931"/>
      <c r="T30931"/>
      <c r="U30931"/>
      <c r="X30931" s="60"/>
    </row>
    <row r="30932" spans="7:24" ht="15" customHeight="1">
      <c r="G30932"/>
      <c r="I30932"/>
      <c r="N30932"/>
      <c r="O30932" s="24"/>
      <c r="P30932"/>
      <c r="Q30932" s="24"/>
      <c r="R30932"/>
      <c r="S30932"/>
      <c r="T30932"/>
      <c r="U30932"/>
      <c r="X30932" s="60"/>
    </row>
    <row r="30933" spans="7:24" ht="15" customHeight="1">
      <c r="G30933"/>
      <c r="I30933"/>
      <c r="N30933"/>
      <c r="O30933" s="24"/>
      <c r="P30933"/>
      <c r="Q30933" s="24"/>
      <c r="R30933"/>
      <c r="S30933"/>
      <c r="T30933"/>
      <c r="U30933"/>
      <c r="X30933" s="60"/>
    </row>
    <row r="30934" spans="7:24" ht="15" customHeight="1">
      <c r="G30934"/>
      <c r="I30934"/>
      <c r="N30934"/>
      <c r="O30934" s="24"/>
      <c r="P30934"/>
      <c r="Q30934" s="24"/>
      <c r="R30934"/>
      <c r="S30934"/>
      <c r="T30934"/>
      <c r="U30934"/>
      <c r="X30934" s="60"/>
    </row>
    <row r="30935" spans="7:24" ht="15" customHeight="1">
      <c r="G30935"/>
      <c r="I30935"/>
      <c r="N30935"/>
      <c r="O30935" s="24"/>
      <c r="P30935"/>
      <c r="Q30935" s="24"/>
      <c r="R30935"/>
      <c r="S30935"/>
      <c r="T30935"/>
      <c r="U30935"/>
      <c r="X30935" s="60"/>
    </row>
    <row r="30936" spans="7:24" ht="15" customHeight="1">
      <c r="G30936"/>
      <c r="I30936"/>
      <c r="N30936"/>
      <c r="O30936" s="24"/>
      <c r="P30936"/>
      <c r="Q30936" s="24"/>
      <c r="R30936"/>
      <c r="S30936"/>
      <c r="T30936"/>
      <c r="U30936"/>
      <c r="X30936" s="60"/>
    </row>
    <row r="30937" spans="7:24" ht="15" customHeight="1">
      <c r="G30937"/>
      <c r="I30937"/>
      <c r="N30937"/>
      <c r="O30937" s="24"/>
      <c r="P30937"/>
      <c r="Q30937" s="24"/>
      <c r="R30937"/>
      <c r="S30937"/>
      <c r="T30937"/>
      <c r="U30937"/>
      <c r="X30937" s="60"/>
    </row>
    <row r="30938" spans="7:24" ht="15" customHeight="1">
      <c r="G30938"/>
      <c r="I30938"/>
      <c r="N30938"/>
      <c r="O30938" s="24"/>
      <c r="P30938"/>
      <c r="Q30938" s="24"/>
      <c r="R30938"/>
      <c r="S30938"/>
      <c r="T30938"/>
      <c r="U30938"/>
      <c r="X30938" s="60"/>
    </row>
    <row r="30939" spans="7:24" ht="15" customHeight="1">
      <c r="G30939"/>
      <c r="I30939"/>
      <c r="N30939"/>
      <c r="O30939" s="24"/>
      <c r="P30939"/>
      <c r="Q30939" s="24"/>
      <c r="R30939"/>
      <c r="S30939"/>
      <c r="T30939"/>
      <c r="U30939"/>
      <c r="X30939" s="60"/>
    </row>
    <row r="30940" spans="7:24" ht="15" customHeight="1">
      <c r="G30940"/>
      <c r="I30940"/>
      <c r="N30940"/>
      <c r="O30940" s="24"/>
      <c r="P30940"/>
      <c r="Q30940" s="24"/>
      <c r="R30940"/>
      <c r="S30940"/>
      <c r="T30940"/>
      <c r="U30940"/>
      <c r="X30940" s="60"/>
    </row>
    <row r="30941" spans="7:24" ht="15" customHeight="1">
      <c r="G30941"/>
      <c r="I30941"/>
      <c r="N30941"/>
      <c r="O30941" s="24"/>
      <c r="P30941"/>
      <c r="Q30941" s="24"/>
      <c r="R30941"/>
      <c r="S30941"/>
      <c r="T30941"/>
      <c r="U30941"/>
      <c r="X30941" s="60"/>
    </row>
    <row r="30942" spans="7:24" ht="15" customHeight="1">
      <c r="G30942"/>
      <c r="I30942"/>
      <c r="N30942"/>
      <c r="O30942" s="24"/>
      <c r="P30942"/>
      <c r="Q30942" s="24"/>
      <c r="R30942"/>
      <c r="S30942"/>
      <c r="T30942"/>
      <c r="U30942"/>
      <c r="X30942" s="60"/>
    </row>
    <row r="30943" spans="7:24" ht="15" customHeight="1">
      <c r="G30943"/>
      <c r="I30943"/>
      <c r="N30943"/>
      <c r="O30943" s="24"/>
      <c r="P30943"/>
      <c r="Q30943" s="24"/>
      <c r="R30943"/>
      <c r="S30943"/>
      <c r="T30943"/>
      <c r="U30943"/>
      <c r="X30943" s="60"/>
    </row>
    <row r="30944" spans="7:24" ht="15" customHeight="1">
      <c r="G30944"/>
      <c r="I30944"/>
      <c r="N30944"/>
      <c r="O30944" s="24"/>
      <c r="P30944"/>
      <c r="Q30944" s="24"/>
      <c r="R30944"/>
      <c r="S30944"/>
      <c r="T30944"/>
      <c r="U30944"/>
      <c r="X30944" s="60"/>
    </row>
    <row r="30945" spans="7:24" ht="15" customHeight="1">
      <c r="G30945"/>
      <c r="I30945"/>
      <c r="N30945"/>
      <c r="O30945" s="24"/>
      <c r="P30945"/>
      <c r="Q30945" s="24"/>
      <c r="R30945"/>
      <c r="S30945"/>
      <c r="T30945"/>
      <c r="U30945"/>
      <c r="X30945" s="60"/>
    </row>
    <row r="30946" spans="7:24" ht="15" customHeight="1">
      <c r="G30946"/>
      <c r="I30946"/>
      <c r="N30946"/>
      <c r="O30946" s="24"/>
      <c r="P30946"/>
      <c r="Q30946" s="24"/>
      <c r="R30946"/>
      <c r="S30946"/>
      <c r="T30946"/>
      <c r="U30946"/>
      <c r="X30946" s="60"/>
    </row>
    <row r="30947" spans="7:24" ht="15" customHeight="1">
      <c r="G30947"/>
      <c r="I30947"/>
      <c r="N30947"/>
      <c r="O30947" s="24"/>
      <c r="P30947"/>
      <c r="Q30947" s="24"/>
      <c r="R30947"/>
      <c r="S30947"/>
      <c r="T30947"/>
      <c r="U30947"/>
      <c r="X30947" s="60"/>
    </row>
    <row r="30948" spans="7:24" ht="15" customHeight="1">
      <c r="G30948"/>
      <c r="I30948"/>
      <c r="N30948"/>
      <c r="O30948" s="24"/>
      <c r="P30948"/>
      <c r="Q30948" s="24"/>
      <c r="R30948"/>
      <c r="S30948"/>
      <c r="T30948"/>
      <c r="U30948"/>
      <c r="X30948" s="60"/>
    </row>
    <row r="30949" spans="7:24" ht="15" customHeight="1">
      <c r="G30949"/>
      <c r="I30949"/>
      <c r="N30949"/>
      <c r="O30949" s="24"/>
      <c r="P30949"/>
      <c r="Q30949" s="24"/>
      <c r="R30949"/>
      <c r="S30949"/>
      <c r="T30949"/>
      <c r="U30949"/>
      <c r="X30949" s="60"/>
    </row>
    <row r="30950" spans="7:24" ht="15" customHeight="1">
      <c r="G30950"/>
      <c r="I30950"/>
      <c r="N30950"/>
      <c r="O30950" s="24"/>
      <c r="P30950"/>
      <c r="Q30950" s="24"/>
      <c r="R30950"/>
      <c r="S30950"/>
      <c r="T30950"/>
      <c r="U30950"/>
      <c r="X30950" s="60"/>
    </row>
    <row r="30951" spans="7:24" ht="15" customHeight="1">
      <c r="G30951"/>
      <c r="I30951"/>
      <c r="N30951"/>
      <c r="O30951" s="24"/>
      <c r="P30951"/>
      <c r="Q30951" s="24"/>
      <c r="R30951"/>
      <c r="S30951"/>
      <c r="T30951"/>
      <c r="U30951"/>
      <c r="X30951" s="60"/>
    </row>
    <row r="30952" spans="7:24" ht="15" customHeight="1">
      <c r="G30952"/>
      <c r="I30952"/>
      <c r="N30952"/>
      <c r="O30952" s="24"/>
      <c r="P30952"/>
      <c r="Q30952" s="24"/>
      <c r="R30952"/>
      <c r="S30952"/>
      <c r="T30952"/>
      <c r="U30952"/>
      <c r="X30952" s="60"/>
    </row>
    <row r="30953" spans="7:24" ht="15" customHeight="1">
      <c r="G30953"/>
      <c r="I30953"/>
      <c r="N30953"/>
      <c r="O30953" s="24"/>
      <c r="P30953"/>
      <c r="Q30953" s="24"/>
      <c r="R30953"/>
      <c r="S30953"/>
      <c r="T30953"/>
      <c r="U30953"/>
      <c r="X30953" s="60"/>
    </row>
    <row r="30954" spans="7:24" ht="15" customHeight="1">
      <c r="G30954"/>
      <c r="I30954"/>
      <c r="N30954"/>
      <c r="O30954" s="24"/>
      <c r="P30954"/>
      <c r="Q30954" s="24"/>
      <c r="R30954"/>
      <c r="S30954"/>
      <c r="T30954"/>
      <c r="U30954"/>
      <c r="X30954" s="60"/>
    </row>
    <row r="30955" spans="7:24" ht="15" customHeight="1">
      <c r="G30955"/>
      <c r="I30955"/>
      <c r="N30955"/>
      <c r="O30955" s="24"/>
      <c r="P30955"/>
      <c r="Q30955" s="24"/>
      <c r="R30955"/>
      <c r="S30955"/>
      <c r="T30955"/>
      <c r="U30955"/>
      <c r="X30955" s="60"/>
    </row>
    <row r="30956" spans="7:24" ht="15" customHeight="1">
      <c r="G30956"/>
      <c r="I30956"/>
      <c r="N30956"/>
      <c r="O30956" s="24"/>
      <c r="P30956"/>
      <c r="Q30956" s="24"/>
      <c r="R30956"/>
      <c r="S30956"/>
      <c r="T30956"/>
      <c r="U30956"/>
      <c r="X30956" s="60"/>
    </row>
    <row r="30957" spans="7:24" ht="15" customHeight="1">
      <c r="G30957"/>
      <c r="I30957"/>
      <c r="N30957"/>
      <c r="O30957" s="24"/>
      <c r="P30957"/>
      <c r="Q30957" s="24"/>
      <c r="R30957"/>
      <c r="S30957"/>
      <c r="T30957"/>
      <c r="U30957"/>
      <c r="X30957" s="60"/>
    </row>
    <row r="30958" spans="7:24" ht="15" customHeight="1">
      <c r="G30958"/>
      <c r="I30958"/>
      <c r="N30958"/>
      <c r="O30958" s="24"/>
      <c r="P30958"/>
      <c r="Q30958" s="24"/>
      <c r="R30958"/>
      <c r="S30958"/>
      <c r="T30958"/>
      <c r="U30958"/>
      <c r="X30958" s="60"/>
    </row>
    <row r="30959" spans="7:24" ht="15" customHeight="1">
      <c r="G30959"/>
      <c r="I30959"/>
      <c r="N30959"/>
      <c r="O30959" s="24"/>
      <c r="P30959"/>
      <c r="Q30959" s="24"/>
      <c r="R30959"/>
      <c r="S30959"/>
      <c r="T30959"/>
      <c r="U30959"/>
      <c r="X30959" s="60"/>
    </row>
    <row r="30960" spans="7:24" ht="15" customHeight="1">
      <c r="G30960"/>
      <c r="I30960"/>
      <c r="N30960"/>
      <c r="O30960" s="24"/>
      <c r="P30960"/>
      <c r="Q30960" s="24"/>
      <c r="R30960"/>
      <c r="S30960"/>
      <c r="T30960"/>
      <c r="U30960"/>
      <c r="X30960" s="60"/>
    </row>
    <row r="30961" spans="7:24" ht="15" customHeight="1">
      <c r="G30961"/>
      <c r="I30961"/>
      <c r="N30961"/>
      <c r="O30961" s="24"/>
      <c r="P30961"/>
      <c r="Q30961" s="24"/>
      <c r="R30961"/>
      <c r="S30961"/>
      <c r="T30961"/>
      <c r="U30961"/>
      <c r="X30961" s="60"/>
    </row>
    <row r="30962" spans="7:24" ht="15" customHeight="1">
      <c r="G30962"/>
      <c r="I30962"/>
      <c r="N30962"/>
      <c r="O30962" s="24"/>
      <c r="P30962"/>
      <c r="Q30962" s="24"/>
      <c r="R30962"/>
      <c r="S30962"/>
      <c r="T30962"/>
      <c r="U30962"/>
      <c r="X30962" s="60"/>
    </row>
    <row r="30963" spans="7:24" ht="15" customHeight="1">
      <c r="G30963"/>
      <c r="I30963"/>
      <c r="N30963"/>
      <c r="O30963" s="24"/>
      <c r="P30963"/>
      <c r="Q30963" s="24"/>
      <c r="R30963"/>
      <c r="S30963"/>
      <c r="T30963"/>
      <c r="U30963"/>
      <c r="X30963" s="60"/>
    </row>
    <row r="30964" spans="7:24" ht="15" customHeight="1">
      <c r="G30964"/>
      <c r="I30964"/>
      <c r="N30964"/>
      <c r="O30964" s="24"/>
      <c r="P30964"/>
      <c r="Q30964" s="24"/>
      <c r="R30964"/>
      <c r="S30964"/>
      <c r="T30964"/>
      <c r="U30964"/>
      <c r="X30964" s="60"/>
    </row>
    <row r="30965" spans="7:24" ht="15" customHeight="1">
      <c r="G30965"/>
      <c r="I30965"/>
      <c r="N30965"/>
      <c r="O30965" s="24"/>
      <c r="P30965"/>
      <c r="Q30965" s="24"/>
      <c r="R30965"/>
      <c r="S30965"/>
      <c r="T30965"/>
      <c r="U30965"/>
      <c r="X30965" s="60"/>
    </row>
    <row r="30966" spans="7:24" ht="15" customHeight="1">
      <c r="G30966"/>
      <c r="I30966"/>
      <c r="N30966"/>
      <c r="O30966" s="24"/>
      <c r="P30966"/>
      <c r="Q30966" s="24"/>
      <c r="R30966"/>
      <c r="S30966"/>
      <c r="T30966"/>
      <c r="U30966"/>
      <c r="X30966" s="60"/>
    </row>
    <row r="30967" spans="7:24" ht="15" customHeight="1">
      <c r="G30967"/>
      <c r="I30967"/>
      <c r="N30967"/>
      <c r="O30967" s="24"/>
      <c r="P30967"/>
      <c r="Q30967" s="24"/>
      <c r="R30967"/>
      <c r="S30967"/>
      <c r="T30967"/>
      <c r="U30967"/>
      <c r="X30967" s="60"/>
    </row>
    <row r="30968" spans="7:24" ht="15" customHeight="1">
      <c r="G30968"/>
      <c r="I30968"/>
      <c r="N30968"/>
      <c r="O30968" s="24"/>
      <c r="P30968"/>
      <c r="Q30968" s="24"/>
      <c r="R30968"/>
      <c r="S30968"/>
      <c r="T30968"/>
      <c r="U30968"/>
      <c r="X30968" s="60"/>
    </row>
    <row r="30969" spans="7:24" ht="15" customHeight="1">
      <c r="G30969"/>
      <c r="I30969"/>
      <c r="N30969"/>
      <c r="O30969" s="24"/>
      <c r="P30969"/>
      <c r="Q30969" s="24"/>
      <c r="R30969"/>
      <c r="S30969"/>
      <c r="T30969"/>
      <c r="U30969"/>
      <c r="X30969" s="60"/>
    </row>
    <row r="30970" spans="7:24" ht="15" customHeight="1">
      <c r="G30970"/>
      <c r="I30970"/>
      <c r="N30970"/>
      <c r="O30970" s="24"/>
      <c r="P30970"/>
      <c r="Q30970" s="24"/>
      <c r="R30970"/>
      <c r="S30970"/>
      <c r="T30970"/>
      <c r="U30970"/>
      <c r="X30970" s="60"/>
    </row>
    <row r="30971" spans="7:24" ht="15" customHeight="1">
      <c r="G30971"/>
      <c r="I30971"/>
      <c r="N30971"/>
      <c r="O30971" s="24"/>
      <c r="P30971"/>
      <c r="Q30971" s="24"/>
      <c r="R30971"/>
      <c r="S30971"/>
      <c r="T30971"/>
      <c r="U30971"/>
      <c r="X30971" s="60"/>
    </row>
    <row r="30972" spans="7:24" ht="15" customHeight="1">
      <c r="G30972"/>
      <c r="I30972"/>
      <c r="N30972"/>
      <c r="O30972" s="24"/>
      <c r="P30972"/>
      <c r="Q30972" s="24"/>
      <c r="R30972"/>
      <c r="S30972"/>
      <c r="T30972"/>
      <c r="U30972"/>
      <c r="X30972" s="60"/>
    </row>
    <row r="30973" spans="7:24" ht="15" customHeight="1">
      <c r="G30973"/>
      <c r="I30973"/>
      <c r="N30973"/>
      <c r="O30973" s="24"/>
      <c r="P30973"/>
      <c r="Q30973" s="24"/>
      <c r="R30973"/>
      <c r="S30973"/>
      <c r="T30973"/>
      <c r="U30973"/>
      <c r="X30973" s="60"/>
    </row>
    <row r="30974" spans="7:24" ht="15" customHeight="1">
      <c r="G30974"/>
      <c r="I30974"/>
      <c r="N30974"/>
      <c r="O30974" s="24"/>
      <c r="P30974"/>
      <c r="Q30974" s="24"/>
      <c r="R30974"/>
      <c r="S30974"/>
      <c r="T30974"/>
      <c r="U30974"/>
      <c r="X30974" s="60"/>
    </row>
    <row r="30975" spans="7:24" ht="15" customHeight="1">
      <c r="G30975"/>
      <c r="I30975"/>
      <c r="N30975"/>
      <c r="O30975" s="24"/>
      <c r="P30975"/>
      <c r="Q30975" s="24"/>
      <c r="R30975"/>
      <c r="S30975"/>
      <c r="T30975"/>
      <c r="U30975"/>
      <c r="X30975" s="60"/>
    </row>
    <row r="30976" spans="7:24" ht="15" customHeight="1">
      <c r="G30976"/>
      <c r="I30976"/>
      <c r="N30976"/>
      <c r="O30976" s="24"/>
      <c r="P30976"/>
      <c r="Q30976" s="24"/>
      <c r="R30976"/>
      <c r="S30976"/>
      <c r="T30976"/>
      <c r="U30976"/>
      <c r="X30976" s="60"/>
    </row>
    <row r="30977" spans="7:24" ht="15" customHeight="1">
      <c r="G30977"/>
      <c r="I30977"/>
      <c r="N30977"/>
      <c r="O30977" s="24"/>
      <c r="P30977"/>
      <c r="Q30977" s="24"/>
      <c r="R30977"/>
      <c r="S30977"/>
      <c r="T30977"/>
      <c r="U30977"/>
      <c r="X30977" s="60"/>
    </row>
    <row r="30978" spans="7:24" ht="15" customHeight="1">
      <c r="G30978"/>
      <c r="I30978"/>
      <c r="N30978"/>
      <c r="O30978" s="24"/>
      <c r="P30978"/>
      <c r="Q30978" s="24"/>
      <c r="R30978"/>
      <c r="S30978"/>
      <c r="T30978"/>
      <c r="U30978"/>
      <c r="X30978" s="60"/>
    </row>
    <row r="30979" spans="7:24" ht="15" customHeight="1">
      <c r="G30979"/>
      <c r="I30979"/>
      <c r="N30979"/>
      <c r="O30979" s="24"/>
      <c r="P30979"/>
      <c r="Q30979" s="24"/>
      <c r="R30979"/>
      <c r="S30979"/>
      <c r="T30979"/>
      <c r="U30979"/>
      <c r="X30979" s="60"/>
    </row>
    <row r="30980" spans="7:24" ht="15" customHeight="1">
      <c r="G30980"/>
      <c r="I30980"/>
      <c r="N30980"/>
      <c r="O30980" s="24"/>
      <c r="P30980"/>
      <c r="Q30980" s="24"/>
      <c r="R30980"/>
      <c r="S30980"/>
      <c r="T30980"/>
      <c r="U30980"/>
      <c r="X30980" s="60"/>
    </row>
    <row r="30981" spans="7:24" ht="15" customHeight="1">
      <c r="G30981"/>
      <c r="I30981"/>
      <c r="N30981"/>
      <c r="O30981" s="24"/>
      <c r="P30981"/>
      <c r="Q30981" s="24"/>
      <c r="R30981"/>
      <c r="S30981"/>
      <c r="T30981"/>
      <c r="U30981"/>
      <c r="X30981" s="60"/>
    </row>
    <row r="30982" spans="7:24" ht="15" customHeight="1">
      <c r="G30982"/>
      <c r="I30982"/>
      <c r="N30982"/>
      <c r="O30982" s="24"/>
      <c r="P30982"/>
      <c r="Q30982" s="24"/>
      <c r="R30982"/>
      <c r="S30982"/>
      <c r="T30982"/>
      <c r="U30982"/>
      <c r="X30982" s="60"/>
    </row>
    <row r="30983" spans="7:24" ht="15" customHeight="1">
      <c r="G30983"/>
      <c r="I30983"/>
      <c r="N30983"/>
      <c r="O30983" s="24"/>
      <c r="P30983"/>
      <c r="Q30983" s="24"/>
      <c r="R30983"/>
      <c r="S30983"/>
      <c r="T30983"/>
      <c r="U30983"/>
      <c r="X30983" s="60"/>
    </row>
    <row r="30984" spans="7:24" ht="15" customHeight="1">
      <c r="G30984"/>
      <c r="I30984"/>
      <c r="N30984"/>
      <c r="O30984" s="24"/>
      <c r="P30984"/>
      <c r="Q30984" s="24"/>
      <c r="R30984"/>
      <c r="S30984"/>
      <c r="T30984"/>
      <c r="U30984"/>
      <c r="X30984" s="60"/>
    </row>
    <row r="30985" spans="7:24" ht="15" customHeight="1">
      <c r="G30985"/>
      <c r="I30985"/>
      <c r="N30985"/>
      <c r="O30985" s="24"/>
      <c r="P30985"/>
      <c r="Q30985" s="24"/>
      <c r="R30985"/>
      <c r="S30985"/>
      <c r="T30985"/>
      <c r="U30985"/>
      <c r="X30985" s="60"/>
    </row>
    <row r="30986" spans="7:24" ht="15" customHeight="1">
      <c r="G30986"/>
      <c r="I30986"/>
      <c r="N30986"/>
      <c r="O30986" s="24"/>
      <c r="P30986"/>
      <c r="Q30986" s="24"/>
      <c r="R30986"/>
      <c r="S30986"/>
      <c r="T30986"/>
      <c r="U30986"/>
      <c r="X30986" s="60"/>
    </row>
    <row r="30987" spans="7:24" ht="15" customHeight="1">
      <c r="G30987"/>
      <c r="I30987"/>
      <c r="N30987"/>
      <c r="O30987" s="24"/>
      <c r="P30987"/>
      <c r="Q30987" s="24"/>
      <c r="R30987"/>
      <c r="S30987"/>
      <c r="T30987"/>
      <c r="U30987"/>
      <c r="X30987" s="60"/>
    </row>
    <row r="30988" spans="7:24" ht="15" customHeight="1">
      <c r="G30988"/>
      <c r="I30988"/>
      <c r="N30988"/>
      <c r="O30988" s="24"/>
      <c r="P30988"/>
      <c r="Q30988" s="24"/>
      <c r="R30988"/>
      <c r="S30988"/>
      <c r="T30988"/>
      <c r="U30988"/>
      <c r="X30988" s="60"/>
    </row>
    <row r="30989" spans="7:24" ht="15" customHeight="1">
      <c r="G30989"/>
      <c r="I30989"/>
      <c r="N30989"/>
      <c r="O30989" s="24"/>
      <c r="P30989"/>
      <c r="Q30989" s="24"/>
      <c r="R30989"/>
      <c r="S30989"/>
      <c r="T30989"/>
      <c r="U30989"/>
      <c r="X30989" s="60"/>
    </row>
    <row r="30990" spans="7:24" ht="15" customHeight="1">
      <c r="G30990"/>
      <c r="I30990"/>
      <c r="N30990"/>
      <c r="O30990" s="24"/>
      <c r="P30990"/>
      <c r="Q30990" s="24"/>
      <c r="R30990"/>
      <c r="S30990"/>
      <c r="T30990"/>
      <c r="U30990"/>
      <c r="X30990" s="60"/>
    </row>
    <row r="30991" spans="7:24" ht="15" customHeight="1">
      <c r="G30991"/>
      <c r="I30991"/>
      <c r="N30991"/>
      <c r="O30991" s="24"/>
      <c r="P30991"/>
      <c r="Q30991" s="24"/>
      <c r="R30991"/>
      <c r="S30991"/>
      <c r="T30991"/>
      <c r="U30991"/>
      <c r="X30991" s="60"/>
    </row>
    <row r="30992" spans="7:24" ht="15" customHeight="1">
      <c r="G30992"/>
      <c r="I30992"/>
      <c r="N30992"/>
      <c r="O30992" s="24"/>
      <c r="P30992"/>
      <c r="Q30992" s="24"/>
      <c r="R30992"/>
      <c r="S30992"/>
      <c r="T30992"/>
      <c r="U30992"/>
      <c r="X30992" s="60"/>
    </row>
    <row r="30993" spans="7:24" ht="15" customHeight="1">
      <c r="G30993"/>
      <c r="I30993"/>
      <c r="N30993"/>
      <c r="O30993" s="24"/>
      <c r="P30993"/>
      <c r="Q30993" s="24"/>
      <c r="R30993"/>
      <c r="S30993"/>
      <c r="T30993"/>
      <c r="U30993"/>
      <c r="X30993" s="60"/>
    </row>
    <row r="30994" spans="7:24" ht="15" customHeight="1">
      <c r="G30994"/>
      <c r="I30994"/>
      <c r="N30994"/>
      <c r="O30994" s="24"/>
      <c r="P30994"/>
      <c r="Q30994" s="24"/>
      <c r="R30994"/>
      <c r="S30994"/>
      <c r="T30994"/>
      <c r="U30994"/>
      <c r="X30994" s="60"/>
    </row>
    <row r="30995" spans="7:24" ht="15" customHeight="1">
      <c r="G30995"/>
      <c r="I30995"/>
      <c r="N30995"/>
      <c r="O30995" s="24"/>
      <c r="P30995"/>
      <c r="Q30995" s="24"/>
      <c r="R30995"/>
      <c r="S30995"/>
      <c r="T30995"/>
      <c r="U30995"/>
      <c r="X30995" s="60"/>
    </row>
    <row r="30996" spans="7:24" ht="15" customHeight="1">
      <c r="G30996"/>
      <c r="I30996"/>
      <c r="N30996"/>
      <c r="O30996" s="24"/>
      <c r="P30996"/>
      <c r="Q30996" s="24"/>
      <c r="R30996"/>
      <c r="S30996"/>
      <c r="T30996"/>
      <c r="U30996"/>
      <c r="X30996" s="60"/>
    </row>
    <row r="30997" spans="7:24" ht="15" customHeight="1">
      <c r="G30997"/>
      <c r="I30997"/>
      <c r="N30997"/>
      <c r="O30997" s="24"/>
      <c r="P30997"/>
      <c r="Q30997" s="24"/>
      <c r="R30997"/>
      <c r="S30997"/>
      <c r="T30997"/>
      <c r="U30997"/>
      <c r="X30997" s="60"/>
    </row>
    <row r="30998" spans="7:24" ht="15" customHeight="1">
      <c r="G30998"/>
      <c r="I30998"/>
      <c r="N30998"/>
      <c r="O30998" s="24"/>
      <c r="P30998"/>
      <c r="Q30998" s="24"/>
      <c r="R30998"/>
      <c r="S30998"/>
      <c r="T30998"/>
      <c r="U30998"/>
      <c r="X30998" s="60"/>
    </row>
    <row r="30999" spans="7:24" ht="15" customHeight="1">
      <c r="G30999"/>
      <c r="I30999"/>
      <c r="N30999"/>
      <c r="O30999" s="24"/>
      <c r="P30999"/>
      <c r="Q30999" s="24"/>
      <c r="R30999"/>
      <c r="S30999"/>
      <c r="T30999"/>
      <c r="U30999"/>
      <c r="X30999" s="60"/>
    </row>
    <row r="31000" spans="7:24" ht="15" customHeight="1">
      <c r="G31000"/>
      <c r="I31000"/>
      <c r="N31000"/>
      <c r="O31000" s="24"/>
      <c r="P31000"/>
      <c r="Q31000" s="24"/>
      <c r="R31000"/>
      <c r="S31000"/>
      <c r="T31000"/>
      <c r="U31000"/>
      <c r="X31000" s="60"/>
    </row>
    <row r="31001" spans="7:24" ht="15" customHeight="1">
      <c r="G31001"/>
      <c r="I31001"/>
      <c r="N31001"/>
      <c r="O31001" s="24"/>
      <c r="P31001"/>
      <c r="Q31001" s="24"/>
      <c r="R31001"/>
      <c r="S31001"/>
      <c r="T31001"/>
      <c r="U31001"/>
      <c r="X31001" s="60"/>
    </row>
    <row r="31002" spans="7:24" ht="15" customHeight="1">
      <c r="G31002"/>
      <c r="I31002"/>
      <c r="N31002"/>
      <c r="O31002" s="24"/>
      <c r="P31002"/>
      <c r="Q31002" s="24"/>
      <c r="R31002"/>
      <c r="S31002"/>
      <c r="T31002"/>
      <c r="U31002"/>
      <c r="X31002" s="60"/>
    </row>
    <row r="31003" spans="7:24" ht="15" customHeight="1">
      <c r="G31003"/>
      <c r="I31003"/>
      <c r="N31003"/>
      <c r="O31003" s="24"/>
      <c r="P31003"/>
      <c r="Q31003" s="24"/>
      <c r="R31003"/>
      <c r="S31003"/>
      <c r="T31003"/>
      <c r="U31003"/>
      <c r="X31003" s="60"/>
    </row>
    <row r="31004" spans="7:24" ht="15" customHeight="1">
      <c r="G31004"/>
      <c r="I31004"/>
      <c r="N31004"/>
      <c r="O31004" s="24"/>
      <c r="P31004"/>
      <c r="Q31004" s="24"/>
      <c r="R31004"/>
      <c r="S31004"/>
      <c r="T31004"/>
      <c r="U31004"/>
      <c r="X31004" s="60"/>
    </row>
    <row r="31005" spans="7:24" ht="15" customHeight="1">
      <c r="G31005"/>
      <c r="I31005"/>
      <c r="N31005"/>
      <c r="O31005" s="24"/>
      <c r="P31005"/>
      <c r="Q31005" s="24"/>
      <c r="R31005"/>
      <c r="S31005"/>
      <c r="T31005"/>
      <c r="U31005"/>
      <c r="X31005" s="60"/>
    </row>
    <row r="31006" spans="7:24" ht="15" customHeight="1">
      <c r="G31006"/>
      <c r="I31006"/>
      <c r="N31006"/>
      <c r="O31006" s="24"/>
      <c r="P31006"/>
      <c r="Q31006" s="24"/>
      <c r="R31006"/>
      <c r="S31006"/>
      <c r="T31006"/>
      <c r="U31006"/>
      <c r="X31006" s="60"/>
    </row>
    <row r="31007" spans="7:24" ht="15" customHeight="1">
      <c r="G31007"/>
      <c r="I31007"/>
      <c r="N31007"/>
      <c r="O31007" s="24"/>
      <c r="P31007"/>
      <c r="Q31007" s="24"/>
      <c r="R31007"/>
      <c r="S31007"/>
      <c r="T31007"/>
      <c r="U31007"/>
      <c r="X31007" s="60"/>
    </row>
    <row r="31008" spans="7:24" ht="15" customHeight="1">
      <c r="G31008"/>
      <c r="I31008"/>
      <c r="N31008"/>
      <c r="O31008" s="24"/>
      <c r="P31008"/>
      <c r="Q31008" s="24"/>
      <c r="R31008"/>
      <c r="S31008"/>
      <c r="T31008"/>
      <c r="U31008"/>
      <c r="X31008" s="60"/>
    </row>
    <row r="31009" spans="7:24" ht="15" customHeight="1">
      <c r="G31009"/>
      <c r="I31009"/>
      <c r="N31009"/>
      <c r="O31009" s="24"/>
      <c r="P31009"/>
      <c r="Q31009" s="24"/>
      <c r="R31009"/>
      <c r="S31009"/>
      <c r="T31009"/>
      <c r="U31009"/>
      <c r="X31009" s="60"/>
    </row>
    <row r="31010" spans="7:24" ht="15" customHeight="1">
      <c r="G31010"/>
      <c r="I31010"/>
      <c r="N31010"/>
      <c r="O31010" s="24"/>
      <c r="P31010"/>
      <c r="Q31010" s="24"/>
      <c r="R31010"/>
      <c r="S31010"/>
      <c r="T31010"/>
      <c r="U31010"/>
      <c r="X31010" s="60"/>
    </row>
    <row r="31011" spans="7:24" ht="15" customHeight="1">
      <c r="G31011"/>
      <c r="I31011"/>
      <c r="N31011"/>
      <c r="O31011" s="24"/>
      <c r="P31011"/>
      <c r="Q31011" s="24"/>
      <c r="R31011"/>
      <c r="S31011"/>
      <c r="T31011"/>
      <c r="U31011"/>
      <c r="X31011" s="60"/>
    </row>
    <row r="31012" spans="7:24" ht="15" customHeight="1">
      <c r="G31012"/>
      <c r="I31012"/>
      <c r="N31012"/>
      <c r="O31012" s="24"/>
      <c r="P31012"/>
      <c r="Q31012" s="24"/>
      <c r="R31012"/>
      <c r="S31012"/>
      <c r="T31012"/>
      <c r="U31012"/>
      <c r="X31012" s="60"/>
    </row>
    <row r="31013" spans="7:24" ht="15" customHeight="1">
      <c r="G31013"/>
      <c r="I31013"/>
      <c r="N31013"/>
      <c r="O31013" s="24"/>
      <c r="P31013"/>
      <c r="Q31013" s="24"/>
      <c r="R31013"/>
      <c r="S31013"/>
      <c r="T31013"/>
      <c r="U31013"/>
      <c r="X31013" s="60"/>
    </row>
    <row r="31014" spans="7:24" ht="15" customHeight="1">
      <c r="G31014"/>
      <c r="I31014"/>
      <c r="N31014"/>
      <c r="O31014" s="24"/>
      <c r="P31014"/>
      <c r="Q31014" s="24"/>
      <c r="R31014"/>
      <c r="S31014"/>
      <c r="T31014"/>
      <c r="U31014"/>
      <c r="X31014" s="60"/>
    </row>
    <row r="31015" spans="7:24" ht="15" customHeight="1">
      <c r="G31015"/>
      <c r="I31015"/>
      <c r="N31015"/>
      <c r="O31015" s="24"/>
      <c r="P31015"/>
      <c r="Q31015" s="24"/>
      <c r="R31015"/>
      <c r="S31015"/>
      <c r="T31015"/>
      <c r="U31015"/>
      <c r="X31015" s="60"/>
    </row>
    <row r="31016" spans="7:24" ht="15" customHeight="1">
      <c r="G31016"/>
      <c r="I31016"/>
      <c r="N31016"/>
      <c r="O31016" s="24"/>
      <c r="P31016"/>
      <c r="Q31016" s="24"/>
      <c r="R31016"/>
      <c r="S31016"/>
      <c r="T31016"/>
      <c r="U31016"/>
      <c r="X31016" s="60"/>
    </row>
    <row r="31017" spans="7:24" ht="15" customHeight="1">
      <c r="G31017"/>
      <c r="I31017"/>
      <c r="N31017"/>
      <c r="O31017" s="24"/>
      <c r="P31017"/>
      <c r="Q31017" s="24"/>
      <c r="R31017"/>
      <c r="S31017"/>
      <c r="T31017"/>
      <c r="U31017"/>
      <c r="X31017" s="60"/>
    </row>
    <row r="31018" spans="7:24" ht="15" customHeight="1">
      <c r="G31018"/>
      <c r="I31018"/>
      <c r="N31018"/>
      <c r="O31018" s="24"/>
      <c r="P31018"/>
      <c r="Q31018" s="24"/>
      <c r="R31018"/>
      <c r="S31018"/>
      <c r="T31018"/>
      <c r="U31018"/>
      <c r="X31018" s="60"/>
    </row>
    <row r="31019" spans="7:24" ht="15" customHeight="1">
      <c r="G31019"/>
      <c r="I31019"/>
      <c r="N31019"/>
      <c r="O31019" s="24"/>
      <c r="P31019"/>
      <c r="Q31019" s="24"/>
      <c r="R31019"/>
      <c r="S31019"/>
      <c r="T31019"/>
      <c r="U31019"/>
      <c r="X31019" s="60"/>
    </row>
    <row r="31020" spans="7:24" ht="15" customHeight="1">
      <c r="G31020"/>
      <c r="I31020"/>
      <c r="N31020"/>
      <c r="O31020" s="24"/>
      <c r="P31020"/>
      <c r="Q31020" s="24"/>
      <c r="R31020"/>
      <c r="S31020"/>
      <c r="T31020"/>
      <c r="U31020"/>
      <c r="X31020" s="60"/>
    </row>
    <row r="31021" spans="7:24" ht="15" customHeight="1">
      <c r="G31021"/>
      <c r="I31021"/>
      <c r="N31021"/>
      <c r="O31021" s="24"/>
      <c r="P31021"/>
      <c r="Q31021" s="24"/>
      <c r="R31021"/>
      <c r="S31021"/>
      <c r="T31021"/>
      <c r="U31021"/>
      <c r="X31021" s="60"/>
    </row>
    <row r="31022" spans="7:24" ht="15" customHeight="1">
      <c r="G31022"/>
      <c r="I31022"/>
      <c r="N31022"/>
      <c r="O31022" s="24"/>
      <c r="P31022"/>
      <c r="Q31022" s="24"/>
      <c r="R31022"/>
      <c r="S31022"/>
      <c r="T31022"/>
      <c r="U31022"/>
      <c r="X31022" s="60"/>
    </row>
    <row r="31023" spans="7:24" ht="15" customHeight="1">
      <c r="G31023"/>
      <c r="I31023"/>
      <c r="N31023"/>
      <c r="O31023" s="24"/>
      <c r="P31023"/>
      <c r="Q31023" s="24"/>
      <c r="R31023"/>
      <c r="S31023"/>
      <c r="T31023"/>
      <c r="U31023"/>
      <c r="X31023" s="60"/>
    </row>
    <row r="31024" spans="7:24" ht="15" customHeight="1">
      <c r="G31024"/>
      <c r="I31024"/>
      <c r="N31024"/>
      <c r="O31024" s="24"/>
      <c r="P31024"/>
      <c r="Q31024" s="24"/>
      <c r="R31024"/>
      <c r="S31024"/>
      <c r="T31024"/>
      <c r="U31024"/>
      <c r="X31024" s="60"/>
    </row>
    <row r="31025" spans="7:24" ht="15" customHeight="1">
      <c r="G31025"/>
      <c r="I31025"/>
      <c r="N31025"/>
      <c r="O31025" s="24"/>
      <c r="P31025"/>
      <c r="Q31025" s="24"/>
      <c r="R31025"/>
      <c r="S31025"/>
      <c r="T31025"/>
      <c r="U31025"/>
      <c r="X31025" s="60"/>
    </row>
    <row r="31026" spans="7:24" ht="15" customHeight="1">
      <c r="G31026"/>
      <c r="I31026"/>
      <c r="N31026"/>
      <c r="O31026" s="24"/>
      <c r="P31026"/>
      <c r="Q31026" s="24"/>
      <c r="R31026"/>
      <c r="S31026"/>
      <c r="T31026"/>
      <c r="U31026"/>
      <c r="X31026" s="60"/>
    </row>
    <row r="31027" spans="7:24" ht="15" customHeight="1">
      <c r="G31027"/>
      <c r="I31027"/>
      <c r="N31027"/>
      <c r="O31027" s="24"/>
      <c r="P31027"/>
      <c r="Q31027" s="24"/>
      <c r="R31027"/>
      <c r="S31027"/>
      <c r="T31027"/>
      <c r="U31027"/>
      <c r="X31027" s="60"/>
    </row>
    <row r="31028" spans="7:24" ht="15" customHeight="1">
      <c r="G31028"/>
      <c r="I31028"/>
      <c r="N31028"/>
      <c r="O31028" s="24"/>
      <c r="P31028"/>
      <c r="Q31028" s="24"/>
      <c r="R31028"/>
      <c r="S31028"/>
      <c r="T31028"/>
      <c r="U31028"/>
      <c r="X31028" s="60"/>
    </row>
    <row r="31029" spans="7:24" ht="15" customHeight="1">
      <c r="G31029"/>
      <c r="I31029"/>
      <c r="N31029"/>
      <c r="O31029" s="24"/>
      <c r="P31029"/>
      <c r="Q31029" s="24"/>
      <c r="R31029"/>
      <c r="S31029"/>
      <c r="T31029"/>
      <c r="U31029"/>
      <c r="X31029" s="60"/>
    </row>
    <row r="31030" spans="7:24" ht="15" customHeight="1">
      <c r="G31030"/>
      <c r="I31030"/>
      <c r="N31030"/>
      <c r="O31030" s="24"/>
      <c r="P31030"/>
      <c r="Q31030" s="24"/>
      <c r="R31030"/>
      <c r="S31030"/>
      <c r="T31030"/>
      <c r="U31030"/>
      <c r="X31030" s="60"/>
    </row>
    <row r="31031" spans="7:24" ht="15" customHeight="1">
      <c r="G31031"/>
      <c r="I31031"/>
      <c r="N31031"/>
      <c r="O31031" s="24"/>
      <c r="P31031"/>
      <c r="Q31031" s="24"/>
      <c r="R31031"/>
      <c r="S31031"/>
      <c r="T31031"/>
      <c r="U31031"/>
      <c r="X31031" s="60"/>
    </row>
    <row r="31032" spans="7:24" ht="15" customHeight="1">
      <c r="G31032"/>
      <c r="I31032"/>
      <c r="N31032"/>
      <c r="O31032" s="24"/>
      <c r="P31032"/>
      <c r="Q31032" s="24"/>
      <c r="R31032"/>
      <c r="S31032"/>
      <c r="T31032"/>
      <c r="U31032"/>
      <c r="X31032" s="60"/>
    </row>
    <row r="31033" spans="7:24" ht="15" customHeight="1">
      <c r="G31033"/>
      <c r="I31033"/>
      <c r="N31033"/>
      <c r="O31033" s="24"/>
      <c r="P31033"/>
      <c r="Q31033" s="24"/>
      <c r="R31033"/>
      <c r="S31033"/>
      <c r="T31033"/>
      <c r="U31033"/>
      <c r="X31033" s="60"/>
    </row>
    <row r="31034" spans="7:24" ht="15" customHeight="1">
      <c r="G31034"/>
      <c r="I31034"/>
      <c r="N31034"/>
      <c r="O31034" s="24"/>
      <c r="P31034"/>
      <c r="Q31034" s="24"/>
      <c r="R31034"/>
      <c r="S31034"/>
      <c r="T31034"/>
      <c r="U31034"/>
      <c r="X31034" s="60"/>
    </row>
    <row r="31035" spans="7:24" ht="15" customHeight="1">
      <c r="G31035"/>
      <c r="I31035"/>
      <c r="N31035"/>
      <c r="O31035" s="24"/>
      <c r="P31035"/>
      <c r="Q31035" s="24"/>
      <c r="R31035"/>
      <c r="S31035"/>
      <c r="T31035"/>
      <c r="U31035"/>
      <c r="X31035" s="60"/>
    </row>
    <row r="31036" spans="7:24" ht="15" customHeight="1">
      <c r="G31036"/>
      <c r="I31036"/>
      <c r="N31036"/>
      <c r="O31036" s="24"/>
      <c r="P31036"/>
      <c r="Q31036" s="24"/>
      <c r="R31036"/>
      <c r="S31036"/>
      <c r="T31036"/>
      <c r="U31036"/>
      <c r="X31036" s="60"/>
    </row>
    <row r="31037" spans="7:24" ht="15" customHeight="1">
      <c r="G31037"/>
      <c r="I31037"/>
      <c r="N31037"/>
      <c r="O31037" s="24"/>
      <c r="P31037"/>
      <c r="Q31037" s="24"/>
      <c r="R31037"/>
      <c r="S31037"/>
      <c r="T31037"/>
      <c r="U31037"/>
      <c r="X31037" s="60"/>
    </row>
    <row r="31038" spans="7:24" ht="15" customHeight="1">
      <c r="G31038"/>
      <c r="I31038"/>
      <c r="N31038"/>
      <c r="O31038" s="24"/>
      <c r="P31038"/>
      <c r="Q31038" s="24"/>
      <c r="R31038"/>
      <c r="S31038"/>
      <c r="T31038"/>
      <c r="U31038"/>
      <c r="X31038" s="60"/>
    </row>
    <row r="31039" spans="7:24" ht="15" customHeight="1">
      <c r="G31039"/>
      <c r="I31039"/>
      <c r="N31039"/>
      <c r="O31039" s="24"/>
      <c r="P31039"/>
      <c r="Q31039" s="24"/>
      <c r="R31039"/>
      <c r="S31039"/>
      <c r="T31039"/>
      <c r="U31039"/>
      <c r="X31039" s="60"/>
    </row>
    <row r="31040" spans="7:24" ht="15" customHeight="1">
      <c r="G31040"/>
      <c r="I31040"/>
      <c r="N31040"/>
      <c r="O31040" s="24"/>
      <c r="P31040"/>
      <c r="Q31040" s="24"/>
      <c r="R31040"/>
      <c r="S31040"/>
      <c r="T31040"/>
      <c r="U31040"/>
      <c r="X31040" s="60"/>
    </row>
    <row r="31041" spans="7:24" ht="15" customHeight="1">
      <c r="G31041"/>
      <c r="I31041"/>
      <c r="N31041"/>
      <c r="O31041" s="24"/>
      <c r="P31041"/>
      <c r="Q31041" s="24"/>
      <c r="R31041"/>
      <c r="S31041"/>
      <c r="T31041"/>
      <c r="U31041"/>
      <c r="X31041" s="60"/>
    </row>
    <row r="31042" spans="7:24" ht="15" customHeight="1">
      <c r="G31042"/>
      <c r="I31042"/>
      <c r="N31042"/>
      <c r="O31042" s="24"/>
      <c r="P31042"/>
      <c r="Q31042" s="24"/>
      <c r="R31042"/>
      <c r="S31042"/>
      <c r="T31042"/>
      <c r="U31042"/>
      <c r="X31042" s="60"/>
    </row>
    <row r="31043" spans="7:24" ht="15" customHeight="1">
      <c r="G31043"/>
      <c r="I31043"/>
      <c r="N31043"/>
      <c r="O31043" s="24"/>
      <c r="P31043"/>
      <c r="Q31043" s="24"/>
      <c r="R31043"/>
      <c r="S31043"/>
      <c r="T31043"/>
      <c r="U31043"/>
      <c r="X31043" s="60"/>
    </row>
    <row r="31044" spans="7:24" ht="15" customHeight="1">
      <c r="G31044"/>
      <c r="I31044"/>
      <c r="N31044"/>
      <c r="O31044" s="24"/>
      <c r="P31044"/>
      <c r="Q31044" s="24"/>
      <c r="R31044"/>
      <c r="S31044"/>
      <c r="T31044"/>
      <c r="U31044"/>
      <c r="X31044" s="60"/>
    </row>
    <row r="31045" spans="7:24" ht="15" customHeight="1">
      <c r="G31045"/>
      <c r="I31045"/>
      <c r="N31045"/>
      <c r="O31045" s="24"/>
      <c r="P31045"/>
      <c r="Q31045" s="24"/>
      <c r="R31045"/>
      <c r="S31045"/>
      <c r="T31045"/>
      <c r="U31045"/>
      <c r="X31045" s="60"/>
    </row>
    <row r="31046" spans="7:24" ht="15" customHeight="1">
      <c r="G31046"/>
      <c r="I31046"/>
      <c r="N31046"/>
      <c r="O31046" s="24"/>
      <c r="P31046"/>
      <c r="Q31046" s="24"/>
      <c r="R31046"/>
      <c r="S31046"/>
      <c r="T31046"/>
      <c r="U31046"/>
      <c r="X31046" s="60"/>
    </row>
    <row r="31047" spans="7:24" ht="15" customHeight="1">
      <c r="G31047"/>
      <c r="I31047"/>
      <c r="N31047"/>
      <c r="O31047" s="24"/>
      <c r="P31047"/>
      <c r="Q31047" s="24"/>
      <c r="R31047"/>
      <c r="S31047"/>
      <c r="T31047"/>
      <c r="U31047"/>
      <c r="X31047" s="60"/>
    </row>
    <row r="31048" spans="7:24" ht="15" customHeight="1">
      <c r="G31048"/>
      <c r="I31048"/>
      <c r="N31048"/>
      <c r="O31048" s="24"/>
      <c r="P31048"/>
      <c r="Q31048" s="24"/>
      <c r="R31048"/>
      <c r="S31048"/>
      <c r="T31048"/>
      <c r="U31048"/>
      <c r="X31048" s="60"/>
    </row>
    <row r="31049" spans="7:24" ht="15" customHeight="1">
      <c r="G31049"/>
      <c r="I31049"/>
      <c r="N31049"/>
      <c r="O31049" s="24"/>
      <c r="P31049"/>
      <c r="Q31049" s="24"/>
      <c r="R31049"/>
      <c r="S31049"/>
      <c r="T31049"/>
      <c r="U31049"/>
      <c r="X31049" s="60"/>
    </row>
    <row r="31050" spans="7:24" ht="15" customHeight="1">
      <c r="G31050"/>
      <c r="I31050"/>
      <c r="N31050"/>
      <c r="O31050" s="24"/>
      <c r="P31050"/>
      <c r="Q31050" s="24"/>
      <c r="R31050"/>
      <c r="S31050"/>
      <c r="T31050"/>
      <c r="U31050"/>
      <c r="X31050" s="60"/>
    </row>
    <row r="31051" spans="7:24" ht="15" customHeight="1">
      <c r="G31051"/>
      <c r="I31051"/>
      <c r="N31051"/>
      <c r="O31051" s="24"/>
      <c r="P31051"/>
      <c r="Q31051" s="24"/>
      <c r="R31051"/>
      <c r="S31051"/>
      <c r="T31051"/>
      <c r="U31051"/>
      <c r="X31051" s="60"/>
    </row>
    <row r="31052" spans="7:24" ht="15" customHeight="1">
      <c r="G31052"/>
      <c r="I31052"/>
      <c r="N31052"/>
      <c r="O31052" s="24"/>
      <c r="P31052"/>
      <c r="Q31052" s="24"/>
      <c r="R31052"/>
      <c r="S31052"/>
      <c r="T31052"/>
      <c r="U31052"/>
      <c r="X31052" s="60"/>
    </row>
    <row r="31053" spans="7:24" ht="15" customHeight="1">
      <c r="G31053"/>
      <c r="I31053"/>
      <c r="N31053"/>
      <c r="O31053" s="24"/>
      <c r="P31053"/>
      <c r="Q31053" s="24"/>
      <c r="R31053"/>
      <c r="S31053"/>
      <c r="T31053"/>
      <c r="U31053"/>
      <c r="X31053" s="60"/>
    </row>
    <row r="31054" spans="7:24" ht="15" customHeight="1">
      <c r="G31054"/>
      <c r="I31054"/>
      <c r="N31054"/>
      <c r="O31054" s="24"/>
      <c r="P31054"/>
      <c r="Q31054" s="24"/>
      <c r="R31054"/>
      <c r="S31054"/>
      <c r="T31054"/>
      <c r="U31054"/>
      <c r="X31054" s="60"/>
    </row>
    <row r="31055" spans="7:24" ht="15" customHeight="1">
      <c r="G31055"/>
      <c r="I31055"/>
      <c r="N31055"/>
      <c r="O31055" s="24"/>
      <c r="P31055"/>
      <c r="Q31055" s="24"/>
      <c r="R31055"/>
      <c r="S31055"/>
      <c r="T31055"/>
      <c r="U31055"/>
      <c r="X31055" s="60"/>
    </row>
    <row r="31056" spans="7:24" ht="15" customHeight="1">
      <c r="G31056"/>
      <c r="I31056"/>
      <c r="N31056"/>
      <c r="O31056" s="24"/>
      <c r="P31056"/>
      <c r="Q31056" s="24"/>
      <c r="R31056"/>
      <c r="S31056"/>
      <c r="T31056"/>
      <c r="U31056"/>
      <c r="X31056" s="60"/>
    </row>
    <row r="31057" spans="7:24" ht="15" customHeight="1">
      <c r="G31057"/>
      <c r="I31057"/>
      <c r="N31057"/>
      <c r="O31057" s="24"/>
      <c r="P31057"/>
      <c r="Q31057" s="24"/>
      <c r="R31057"/>
      <c r="S31057"/>
      <c r="T31057"/>
      <c r="U31057"/>
      <c r="X31057" s="60"/>
    </row>
    <row r="31058" spans="7:24" ht="15" customHeight="1">
      <c r="G31058"/>
      <c r="I31058"/>
      <c r="N31058"/>
      <c r="O31058" s="24"/>
      <c r="P31058"/>
      <c r="Q31058" s="24"/>
      <c r="R31058"/>
      <c r="S31058"/>
      <c r="T31058"/>
      <c r="U31058"/>
      <c r="X31058" s="60"/>
    </row>
    <row r="31059" spans="7:24" ht="15" customHeight="1">
      <c r="G31059"/>
      <c r="I31059"/>
      <c r="N31059"/>
      <c r="O31059" s="24"/>
      <c r="P31059"/>
      <c r="Q31059" s="24"/>
      <c r="R31059"/>
      <c r="S31059"/>
      <c r="T31059"/>
      <c r="U31059"/>
      <c r="X31059" s="60"/>
    </row>
    <row r="31060" spans="7:24" ht="15" customHeight="1">
      <c r="G31060"/>
      <c r="I31060"/>
      <c r="N31060"/>
      <c r="O31060" s="24"/>
      <c r="P31060"/>
      <c r="Q31060" s="24"/>
      <c r="R31060"/>
      <c r="S31060"/>
      <c r="T31060"/>
      <c r="U31060"/>
      <c r="X31060" s="60"/>
    </row>
    <row r="31061" spans="7:24" ht="15" customHeight="1">
      <c r="G31061"/>
      <c r="I31061"/>
      <c r="N31061"/>
      <c r="O31061" s="24"/>
      <c r="P31061"/>
      <c r="Q31061" s="24"/>
      <c r="R31061"/>
      <c r="S31061"/>
      <c r="T31061"/>
      <c r="U31061"/>
      <c r="X31061" s="60"/>
    </row>
    <row r="31062" spans="7:24" ht="15" customHeight="1">
      <c r="G31062"/>
      <c r="I31062"/>
      <c r="N31062"/>
      <c r="O31062" s="24"/>
      <c r="P31062"/>
      <c r="Q31062" s="24"/>
      <c r="R31062"/>
      <c r="S31062"/>
      <c r="T31062"/>
      <c r="U31062"/>
      <c r="X31062" s="60"/>
    </row>
    <row r="31063" spans="7:24" ht="15" customHeight="1">
      <c r="G31063"/>
      <c r="I31063"/>
      <c r="N31063"/>
      <c r="O31063" s="24"/>
      <c r="P31063"/>
      <c r="Q31063" s="24"/>
      <c r="R31063"/>
      <c r="S31063"/>
      <c r="T31063"/>
      <c r="U31063"/>
      <c r="X31063" s="60"/>
    </row>
    <row r="31064" spans="7:24" ht="15" customHeight="1">
      <c r="G31064"/>
      <c r="I31064"/>
      <c r="N31064"/>
      <c r="O31064" s="24"/>
      <c r="P31064"/>
      <c r="Q31064" s="24"/>
      <c r="R31064"/>
      <c r="S31064"/>
      <c r="T31064"/>
      <c r="U31064"/>
      <c r="X31064" s="60"/>
    </row>
    <row r="31065" spans="7:24" ht="15" customHeight="1">
      <c r="G31065"/>
      <c r="I31065"/>
      <c r="N31065"/>
      <c r="O31065" s="24"/>
      <c r="P31065"/>
      <c r="Q31065" s="24"/>
      <c r="R31065"/>
      <c r="S31065"/>
      <c r="T31065"/>
      <c r="U31065"/>
      <c r="X31065" s="60"/>
    </row>
    <row r="31066" spans="7:24" ht="15" customHeight="1">
      <c r="G31066"/>
      <c r="I31066"/>
      <c r="N31066"/>
      <c r="O31066" s="24"/>
      <c r="P31066"/>
      <c r="Q31066" s="24"/>
      <c r="R31066"/>
      <c r="S31066"/>
      <c r="T31066"/>
      <c r="U31066"/>
      <c r="X31066" s="60"/>
    </row>
    <row r="31067" spans="7:24" ht="15" customHeight="1">
      <c r="G31067"/>
      <c r="I31067"/>
      <c r="N31067"/>
      <c r="O31067" s="24"/>
      <c r="P31067"/>
      <c r="Q31067" s="24"/>
      <c r="R31067"/>
      <c r="S31067"/>
      <c r="T31067"/>
      <c r="U31067"/>
      <c r="X31067" s="60"/>
    </row>
    <row r="31068" spans="7:24" ht="15" customHeight="1">
      <c r="G31068"/>
      <c r="I31068"/>
      <c r="N31068"/>
      <c r="O31068" s="24"/>
      <c r="P31068"/>
      <c r="Q31068" s="24"/>
      <c r="R31068"/>
      <c r="S31068"/>
      <c r="T31068"/>
      <c r="U31068"/>
      <c r="X31068" s="60"/>
    </row>
    <row r="31069" spans="7:24" ht="15" customHeight="1">
      <c r="G31069"/>
      <c r="I31069"/>
      <c r="N31069"/>
      <c r="O31069" s="24"/>
      <c r="P31069"/>
      <c r="Q31069" s="24"/>
      <c r="R31069"/>
      <c r="S31069"/>
      <c r="T31069"/>
      <c r="U31069"/>
      <c r="X31069" s="60"/>
    </row>
    <row r="31070" spans="7:24" ht="15" customHeight="1">
      <c r="G31070"/>
      <c r="I31070"/>
      <c r="N31070"/>
      <c r="O31070" s="24"/>
      <c r="P31070"/>
      <c r="Q31070" s="24"/>
      <c r="R31070"/>
      <c r="S31070"/>
      <c r="T31070"/>
      <c r="U31070"/>
      <c r="X31070" s="60"/>
    </row>
    <row r="31071" spans="7:24" ht="15" customHeight="1">
      <c r="G31071"/>
      <c r="I31071"/>
      <c r="N31071"/>
      <c r="O31071" s="24"/>
      <c r="P31071"/>
      <c r="Q31071" s="24"/>
      <c r="R31071"/>
      <c r="S31071"/>
      <c r="T31071"/>
      <c r="U31071"/>
      <c r="X31071" s="60"/>
    </row>
    <row r="31072" spans="7:24" ht="15" customHeight="1">
      <c r="G31072"/>
      <c r="I31072"/>
      <c r="N31072"/>
      <c r="O31072" s="24"/>
      <c r="P31072"/>
      <c r="Q31072" s="24"/>
      <c r="R31072"/>
      <c r="S31072"/>
      <c r="T31072"/>
      <c r="U31072"/>
      <c r="X31072" s="60"/>
    </row>
    <row r="31073" spans="7:24" ht="15" customHeight="1">
      <c r="G31073"/>
      <c r="I31073"/>
      <c r="N31073"/>
      <c r="O31073" s="24"/>
      <c r="P31073"/>
      <c r="Q31073" s="24"/>
      <c r="R31073"/>
      <c r="S31073"/>
      <c r="T31073"/>
      <c r="U31073"/>
      <c r="X31073" s="60"/>
    </row>
    <row r="31074" spans="7:24" ht="15" customHeight="1">
      <c r="G31074"/>
      <c r="I31074"/>
      <c r="N31074"/>
      <c r="O31074" s="24"/>
      <c r="P31074"/>
      <c r="Q31074" s="24"/>
      <c r="R31074"/>
      <c r="S31074"/>
      <c r="T31074"/>
      <c r="U31074"/>
      <c r="X31074" s="60"/>
    </row>
    <row r="31075" spans="7:24" ht="15" customHeight="1">
      <c r="G31075"/>
      <c r="I31075"/>
      <c r="N31075"/>
      <c r="O31075" s="24"/>
      <c r="P31075"/>
      <c r="Q31075" s="24"/>
      <c r="R31075"/>
      <c r="S31075"/>
      <c r="T31075"/>
      <c r="U31075"/>
      <c r="X31075" s="60"/>
    </row>
    <row r="31076" spans="7:24" ht="15" customHeight="1">
      <c r="G31076"/>
      <c r="I31076"/>
      <c r="N31076"/>
      <c r="O31076" s="24"/>
      <c r="P31076"/>
      <c r="Q31076" s="24"/>
      <c r="R31076"/>
      <c r="S31076"/>
      <c r="T31076"/>
      <c r="U31076"/>
      <c r="X31076" s="60"/>
    </row>
    <row r="31077" spans="7:24" ht="15" customHeight="1">
      <c r="G31077"/>
      <c r="I31077"/>
      <c r="N31077"/>
      <c r="O31077" s="24"/>
      <c r="P31077"/>
      <c r="Q31077" s="24"/>
      <c r="R31077"/>
      <c r="S31077"/>
      <c r="T31077"/>
      <c r="U31077"/>
      <c r="X31077" s="60"/>
    </row>
    <row r="31078" spans="7:24" ht="15" customHeight="1">
      <c r="G31078"/>
      <c r="I31078"/>
      <c r="N31078"/>
      <c r="O31078" s="24"/>
      <c r="P31078"/>
      <c r="Q31078" s="24"/>
      <c r="R31078"/>
      <c r="S31078"/>
      <c r="T31078"/>
      <c r="U31078"/>
      <c r="X31078" s="60"/>
    </row>
    <row r="31079" spans="7:24" ht="15" customHeight="1">
      <c r="G31079"/>
      <c r="I31079"/>
      <c r="N31079"/>
      <c r="O31079" s="24"/>
      <c r="P31079"/>
      <c r="Q31079" s="24"/>
      <c r="R31079"/>
      <c r="S31079"/>
      <c r="T31079"/>
      <c r="U31079"/>
      <c r="X31079" s="60"/>
    </row>
    <row r="31080" spans="7:24" ht="15" customHeight="1">
      <c r="G31080"/>
      <c r="I31080"/>
      <c r="N31080"/>
      <c r="O31080" s="24"/>
      <c r="P31080"/>
      <c r="Q31080" s="24"/>
      <c r="R31080"/>
      <c r="S31080"/>
      <c r="T31080"/>
      <c r="U31080"/>
      <c r="X31080" s="60"/>
    </row>
    <row r="31081" spans="7:24" ht="15" customHeight="1">
      <c r="G31081"/>
      <c r="I31081"/>
      <c r="N31081"/>
      <c r="O31081" s="24"/>
      <c r="P31081"/>
      <c r="Q31081" s="24"/>
      <c r="R31081"/>
      <c r="S31081"/>
      <c r="T31081"/>
      <c r="U31081"/>
      <c r="X31081" s="60"/>
    </row>
    <row r="31082" spans="7:24" ht="15" customHeight="1">
      <c r="G31082"/>
      <c r="I31082"/>
      <c r="N31082"/>
      <c r="O31082" s="24"/>
      <c r="P31082"/>
      <c r="Q31082" s="24"/>
      <c r="R31082"/>
      <c r="S31082"/>
      <c r="T31082"/>
      <c r="U31082"/>
      <c r="X31082" s="60"/>
    </row>
    <row r="31083" spans="7:24" ht="15" customHeight="1">
      <c r="G31083"/>
      <c r="I31083"/>
      <c r="N31083"/>
      <c r="O31083" s="24"/>
      <c r="P31083"/>
      <c r="Q31083" s="24"/>
      <c r="R31083"/>
      <c r="S31083"/>
      <c r="T31083"/>
      <c r="U31083"/>
      <c r="X31083" s="60"/>
    </row>
    <row r="31084" spans="7:24" ht="15" customHeight="1">
      <c r="G31084"/>
      <c r="I31084"/>
      <c r="N31084"/>
      <c r="O31084" s="24"/>
      <c r="P31084"/>
      <c r="Q31084" s="24"/>
      <c r="R31084"/>
      <c r="S31084"/>
      <c r="T31084"/>
      <c r="U31084"/>
      <c r="X31084" s="60"/>
    </row>
    <row r="31085" spans="7:24" ht="15" customHeight="1">
      <c r="G31085"/>
      <c r="I31085"/>
      <c r="N31085"/>
      <c r="O31085" s="24"/>
      <c r="P31085"/>
      <c r="Q31085" s="24"/>
      <c r="R31085"/>
      <c r="S31085"/>
      <c r="T31085"/>
      <c r="U31085"/>
      <c r="X31085" s="60"/>
    </row>
    <row r="31086" spans="7:24" ht="15" customHeight="1">
      <c r="G31086"/>
      <c r="I31086"/>
      <c r="N31086"/>
      <c r="O31086" s="24"/>
      <c r="P31086"/>
      <c r="Q31086" s="24"/>
      <c r="R31086"/>
      <c r="S31086"/>
      <c r="T31086"/>
      <c r="U31086"/>
      <c r="X31086" s="60"/>
    </row>
    <row r="31087" spans="7:24" ht="15" customHeight="1">
      <c r="G31087"/>
      <c r="I31087"/>
      <c r="N31087"/>
      <c r="O31087" s="24"/>
      <c r="P31087"/>
      <c r="Q31087" s="24"/>
      <c r="R31087"/>
      <c r="S31087"/>
      <c r="T31087"/>
      <c r="U31087"/>
      <c r="X31087" s="60"/>
    </row>
    <row r="31088" spans="7:24" ht="15" customHeight="1">
      <c r="G31088"/>
      <c r="I31088"/>
      <c r="N31088"/>
      <c r="O31088" s="24"/>
      <c r="P31088"/>
      <c r="Q31088" s="24"/>
      <c r="R31088"/>
      <c r="S31088"/>
      <c r="T31088"/>
      <c r="U31088"/>
      <c r="X31088" s="60"/>
    </row>
    <row r="31089" spans="7:24" ht="15" customHeight="1">
      <c r="G31089"/>
      <c r="I31089"/>
      <c r="N31089"/>
      <c r="O31089" s="24"/>
      <c r="P31089"/>
      <c r="Q31089" s="24"/>
      <c r="R31089"/>
      <c r="S31089"/>
      <c r="T31089"/>
      <c r="U31089"/>
      <c r="X31089" s="60"/>
    </row>
    <row r="31090" spans="7:24" ht="15" customHeight="1">
      <c r="G31090"/>
      <c r="I31090"/>
      <c r="N31090"/>
      <c r="O31090" s="24"/>
      <c r="P31090"/>
      <c r="Q31090" s="24"/>
      <c r="R31090"/>
      <c r="S31090"/>
      <c r="T31090"/>
      <c r="U31090"/>
      <c r="X31090" s="60"/>
    </row>
    <row r="31091" spans="7:24" ht="15" customHeight="1">
      <c r="G31091"/>
      <c r="I31091"/>
      <c r="N31091"/>
      <c r="O31091" s="24"/>
      <c r="P31091"/>
      <c r="Q31091" s="24"/>
      <c r="R31091"/>
      <c r="S31091"/>
      <c r="T31091"/>
      <c r="U31091"/>
      <c r="X31091" s="60"/>
    </row>
    <row r="31092" spans="7:24" ht="15" customHeight="1">
      <c r="G31092"/>
      <c r="I31092"/>
      <c r="N31092"/>
      <c r="O31092" s="24"/>
      <c r="P31092"/>
      <c r="Q31092" s="24"/>
      <c r="R31092"/>
      <c r="S31092"/>
      <c r="T31092"/>
      <c r="U31092"/>
      <c r="X31092" s="60"/>
    </row>
    <row r="31093" spans="7:24" ht="15" customHeight="1">
      <c r="G31093"/>
      <c r="I31093"/>
      <c r="N31093"/>
      <c r="O31093" s="24"/>
      <c r="P31093"/>
      <c r="Q31093" s="24"/>
      <c r="R31093"/>
      <c r="S31093"/>
      <c r="T31093"/>
      <c r="U31093"/>
      <c r="X31093" s="60"/>
    </row>
    <row r="31094" spans="7:24" ht="15" customHeight="1">
      <c r="G31094"/>
      <c r="I31094"/>
      <c r="N31094"/>
      <c r="O31094" s="24"/>
      <c r="P31094"/>
      <c r="Q31094" s="24"/>
      <c r="R31094"/>
      <c r="S31094"/>
      <c r="T31094"/>
      <c r="U31094"/>
      <c r="X31094" s="60"/>
    </row>
    <row r="31095" spans="7:24" ht="15" customHeight="1">
      <c r="G31095"/>
      <c r="I31095"/>
      <c r="N31095"/>
      <c r="O31095" s="24"/>
      <c r="P31095"/>
      <c r="Q31095" s="24"/>
      <c r="R31095"/>
      <c r="S31095"/>
      <c r="T31095"/>
      <c r="U31095"/>
      <c r="X31095" s="60"/>
    </row>
    <row r="31096" spans="7:24" ht="15" customHeight="1">
      <c r="G31096"/>
      <c r="I31096"/>
      <c r="N31096"/>
      <c r="O31096" s="24"/>
      <c r="P31096"/>
      <c r="Q31096" s="24"/>
      <c r="R31096"/>
      <c r="S31096"/>
      <c r="T31096"/>
      <c r="U31096"/>
      <c r="X31096" s="60"/>
    </row>
    <row r="31097" spans="7:24" ht="15" customHeight="1">
      <c r="G31097"/>
      <c r="I31097"/>
      <c r="N31097"/>
      <c r="O31097" s="24"/>
      <c r="P31097"/>
      <c r="Q31097" s="24"/>
      <c r="R31097"/>
      <c r="S31097"/>
      <c r="T31097"/>
      <c r="U31097"/>
      <c r="X31097" s="60"/>
    </row>
    <row r="31098" spans="7:24" ht="15" customHeight="1">
      <c r="G31098"/>
      <c r="I31098"/>
      <c r="N31098"/>
      <c r="O31098" s="24"/>
      <c r="P31098"/>
      <c r="Q31098" s="24"/>
      <c r="R31098"/>
      <c r="S31098"/>
      <c r="T31098"/>
      <c r="U31098"/>
      <c r="X31098" s="60"/>
    </row>
    <row r="31099" spans="7:24" ht="15" customHeight="1">
      <c r="G31099"/>
      <c r="I31099"/>
      <c r="N31099"/>
      <c r="O31099" s="24"/>
      <c r="P31099"/>
      <c r="Q31099" s="24"/>
      <c r="R31099"/>
      <c r="S31099"/>
      <c r="T31099"/>
      <c r="U31099"/>
      <c r="X31099" s="60"/>
    </row>
    <row r="31100" spans="7:24" ht="15" customHeight="1">
      <c r="G31100"/>
      <c r="I31100"/>
      <c r="N31100"/>
      <c r="O31100" s="24"/>
      <c r="P31100"/>
      <c r="Q31100" s="24"/>
      <c r="R31100"/>
      <c r="S31100"/>
      <c r="T31100"/>
      <c r="U31100"/>
      <c r="X31100" s="60"/>
    </row>
    <row r="31101" spans="7:24" ht="15" customHeight="1">
      <c r="G31101"/>
      <c r="I31101"/>
      <c r="N31101"/>
      <c r="O31101" s="24"/>
      <c r="P31101"/>
      <c r="Q31101" s="24"/>
      <c r="R31101"/>
      <c r="S31101"/>
      <c r="T31101"/>
      <c r="U31101"/>
      <c r="X31101" s="60"/>
    </row>
    <row r="31102" spans="7:24" ht="15" customHeight="1">
      <c r="G31102"/>
      <c r="I31102"/>
      <c r="N31102"/>
      <c r="O31102" s="24"/>
      <c r="P31102"/>
      <c r="Q31102" s="24"/>
      <c r="R31102"/>
      <c r="S31102"/>
      <c r="T31102"/>
      <c r="U31102"/>
      <c r="X31102" s="60"/>
    </row>
    <row r="31103" spans="7:24" ht="15" customHeight="1">
      <c r="G31103"/>
      <c r="I31103"/>
      <c r="N31103"/>
      <c r="O31103" s="24"/>
      <c r="P31103"/>
      <c r="Q31103" s="24"/>
      <c r="R31103"/>
      <c r="S31103"/>
      <c r="T31103"/>
      <c r="U31103"/>
      <c r="X31103" s="60"/>
    </row>
    <row r="31104" spans="7:24" ht="15" customHeight="1">
      <c r="G31104"/>
      <c r="I31104"/>
      <c r="N31104"/>
      <c r="O31104" s="24"/>
      <c r="P31104"/>
      <c r="Q31104" s="24"/>
      <c r="R31104"/>
      <c r="S31104"/>
      <c r="T31104"/>
      <c r="U31104"/>
      <c r="X31104" s="60"/>
    </row>
    <row r="31105" spans="7:24" ht="15" customHeight="1">
      <c r="G31105"/>
      <c r="I31105"/>
      <c r="N31105"/>
      <c r="O31105" s="24"/>
      <c r="P31105"/>
      <c r="Q31105" s="24"/>
      <c r="R31105"/>
      <c r="S31105"/>
      <c r="T31105"/>
      <c r="U31105"/>
      <c r="X31105" s="60"/>
    </row>
    <row r="31106" spans="7:24" ht="15" customHeight="1">
      <c r="G31106"/>
      <c r="I31106"/>
      <c r="N31106"/>
      <c r="O31106" s="24"/>
      <c r="P31106"/>
      <c r="Q31106" s="24"/>
      <c r="R31106"/>
      <c r="S31106"/>
      <c r="T31106"/>
      <c r="U31106"/>
      <c r="X31106" s="60"/>
    </row>
    <row r="31107" spans="7:24" ht="15" customHeight="1">
      <c r="G31107"/>
      <c r="I31107"/>
      <c r="N31107"/>
      <c r="O31107" s="24"/>
      <c r="P31107"/>
      <c r="Q31107" s="24"/>
      <c r="R31107"/>
      <c r="S31107"/>
      <c r="T31107"/>
      <c r="U31107"/>
      <c r="X31107" s="60"/>
    </row>
    <row r="31108" spans="7:24" ht="15" customHeight="1">
      <c r="G31108"/>
      <c r="I31108"/>
      <c r="N31108"/>
      <c r="O31108" s="24"/>
      <c r="P31108"/>
      <c r="Q31108" s="24"/>
      <c r="R31108"/>
      <c r="S31108"/>
      <c r="T31108"/>
      <c r="U31108"/>
      <c r="X31108" s="60"/>
    </row>
    <row r="31109" spans="7:24" ht="15" customHeight="1">
      <c r="G31109"/>
      <c r="I31109"/>
      <c r="N31109"/>
      <c r="O31109" s="24"/>
      <c r="P31109"/>
      <c r="Q31109" s="24"/>
      <c r="R31109"/>
      <c r="S31109"/>
      <c r="T31109"/>
      <c r="U31109"/>
      <c r="X31109" s="60"/>
    </row>
    <row r="31110" spans="7:24" ht="15" customHeight="1">
      <c r="G31110"/>
      <c r="I31110"/>
      <c r="N31110"/>
      <c r="O31110" s="24"/>
      <c r="P31110"/>
      <c r="Q31110" s="24"/>
      <c r="R31110"/>
      <c r="S31110"/>
      <c r="T31110"/>
      <c r="U31110"/>
      <c r="X31110" s="60"/>
    </row>
    <row r="31111" spans="7:24" ht="15" customHeight="1">
      <c r="G31111"/>
      <c r="I31111"/>
      <c r="N31111"/>
      <c r="O31111" s="24"/>
      <c r="P31111"/>
      <c r="Q31111" s="24"/>
      <c r="R31111"/>
      <c r="S31111"/>
      <c r="T31111"/>
      <c r="U31111"/>
      <c r="X31111" s="60"/>
    </row>
    <row r="31112" spans="7:24" ht="15" customHeight="1">
      <c r="G31112"/>
      <c r="I31112"/>
      <c r="N31112"/>
      <c r="O31112" s="24"/>
      <c r="P31112"/>
      <c r="Q31112" s="24"/>
      <c r="R31112"/>
      <c r="S31112"/>
      <c r="T31112"/>
      <c r="U31112"/>
      <c r="X31112" s="60"/>
    </row>
    <row r="31113" spans="7:24" ht="15" customHeight="1">
      <c r="G31113"/>
      <c r="I31113"/>
      <c r="N31113"/>
      <c r="O31113" s="24"/>
      <c r="P31113"/>
      <c r="Q31113" s="24"/>
      <c r="R31113"/>
      <c r="S31113"/>
      <c r="T31113"/>
      <c r="U31113"/>
      <c r="X31113" s="60"/>
    </row>
    <row r="31114" spans="7:24" ht="15" customHeight="1">
      <c r="G31114"/>
      <c r="I31114"/>
      <c r="N31114"/>
      <c r="O31114" s="24"/>
      <c r="P31114"/>
      <c r="Q31114" s="24"/>
      <c r="R31114"/>
      <c r="S31114"/>
      <c r="T31114"/>
      <c r="U31114"/>
      <c r="X31114" s="60"/>
    </row>
    <row r="31115" spans="7:24" ht="15" customHeight="1">
      <c r="G31115"/>
      <c r="I31115"/>
      <c r="N31115"/>
      <c r="O31115" s="24"/>
      <c r="P31115"/>
      <c r="Q31115" s="24"/>
      <c r="R31115"/>
      <c r="S31115"/>
      <c r="T31115"/>
      <c r="U31115"/>
      <c r="X31115" s="60"/>
    </row>
    <row r="31116" spans="7:24" ht="15" customHeight="1">
      <c r="G31116"/>
      <c r="I31116"/>
      <c r="N31116"/>
      <c r="O31116" s="24"/>
      <c r="P31116"/>
      <c r="Q31116" s="24"/>
      <c r="R31116"/>
      <c r="S31116"/>
      <c r="T31116"/>
      <c r="U31116"/>
      <c r="X31116" s="60"/>
    </row>
    <row r="31117" spans="7:24" ht="15" customHeight="1">
      <c r="G31117"/>
      <c r="I31117"/>
      <c r="N31117"/>
      <c r="O31117" s="24"/>
      <c r="P31117"/>
      <c r="Q31117" s="24"/>
      <c r="R31117"/>
      <c r="S31117"/>
      <c r="T31117"/>
      <c r="U31117"/>
      <c r="X31117" s="60"/>
    </row>
    <row r="31118" spans="7:24" ht="15" customHeight="1">
      <c r="G31118"/>
      <c r="I31118"/>
      <c r="N31118"/>
      <c r="O31118" s="24"/>
      <c r="P31118"/>
      <c r="Q31118" s="24"/>
      <c r="R31118"/>
      <c r="S31118"/>
      <c r="T31118"/>
      <c r="U31118"/>
      <c r="X31118" s="60"/>
    </row>
    <row r="31119" spans="7:24" ht="15" customHeight="1">
      <c r="G31119"/>
      <c r="I31119"/>
      <c r="N31119"/>
      <c r="O31119" s="24"/>
      <c r="P31119"/>
      <c r="Q31119" s="24"/>
      <c r="R31119"/>
      <c r="S31119"/>
      <c r="T31119"/>
      <c r="U31119"/>
      <c r="X31119" s="60"/>
    </row>
    <row r="31120" spans="7:24" ht="15" customHeight="1">
      <c r="G31120"/>
      <c r="I31120"/>
      <c r="N31120"/>
      <c r="O31120" s="24"/>
      <c r="P31120"/>
      <c r="Q31120" s="24"/>
      <c r="R31120"/>
      <c r="S31120"/>
      <c r="T31120"/>
      <c r="U31120"/>
      <c r="X31120" s="60"/>
    </row>
    <row r="31121" spans="7:24" ht="15" customHeight="1">
      <c r="G31121"/>
      <c r="I31121"/>
      <c r="N31121"/>
      <c r="O31121" s="24"/>
      <c r="P31121"/>
      <c r="Q31121" s="24"/>
      <c r="R31121"/>
      <c r="S31121"/>
      <c r="T31121"/>
      <c r="U31121"/>
      <c r="X31121" s="60"/>
    </row>
    <row r="31122" spans="7:24" ht="15" customHeight="1">
      <c r="G31122"/>
      <c r="I31122"/>
      <c r="N31122"/>
      <c r="O31122" s="24"/>
      <c r="P31122"/>
      <c r="Q31122" s="24"/>
      <c r="R31122"/>
      <c r="S31122"/>
      <c r="T31122"/>
      <c r="U31122"/>
      <c r="X31122" s="60"/>
    </row>
    <row r="31123" spans="7:24" ht="15" customHeight="1">
      <c r="G31123"/>
      <c r="I31123"/>
      <c r="N31123"/>
      <c r="O31123" s="24"/>
      <c r="P31123"/>
      <c r="Q31123" s="24"/>
      <c r="R31123"/>
      <c r="S31123"/>
      <c r="T31123"/>
      <c r="U31123"/>
      <c r="X31123" s="60"/>
    </row>
    <row r="31124" spans="7:24" ht="15" customHeight="1">
      <c r="G31124"/>
      <c r="I31124"/>
      <c r="N31124"/>
      <c r="O31124" s="24"/>
      <c r="P31124"/>
      <c r="Q31124" s="24"/>
      <c r="R31124"/>
      <c r="S31124"/>
      <c r="T31124"/>
      <c r="U31124"/>
      <c r="X31124" s="60"/>
    </row>
    <row r="31125" spans="7:24" ht="15" customHeight="1">
      <c r="G31125"/>
      <c r="I31125"/>
      <c r="N31125"/>
      <c r="O31125" s="24"/>
      <c r="P31125"/>
      <c r="Q31125" s="24"/>
      <c r="R31125"/>
      <c r="S31125"/>
      <c r="T31125"/>
      <c r="U31125"/>
      <c r="X31125" s="60"/>
    </row>
    <row r="31126" spans="7:24" ht="15" customHeight="1">
      <c r="G31126"/>
      <c r="I31126"/>
      <c r="N31126"/>
      <c r="O31126" s="24"/>
      <c r="P31126"/>
      <c r="Q31126" s="24"/>
      <c r="R31126"/>
      <c r="S31126"/>
      <c r="T31126"/>
      <c r="U31126"/>
      <c r="X31126" s="60"/>
    </row>
    <row r="31127" spans="7:24" ht="15" customHeight="1">
      <c r="G31127"/>
      <c r="I31127"/>
      <c r="N31127"/>
      <c r="O31127" s="24"/>
      <c r="P31127"/>
      <c r="Q31127" s="24"/>
      <c r="R31127"/>
      <c r="S31127"/>
      <c r="T31127"/>
      <c r="U31127"/>
      <c r="X31127" s="60"/>
    </row>
    <row r="31128" spans="7:24" ht="15" customHeight="1">
      <c r="G31128"/>
      <c r="I31128"/>
      <c r="N31128"/>
      <c r="O31128" s="24"/>
      <c r="P31128"/>
      <c r="Q31128" s="24"/>
      <c r="R31128"/>
      <c r="S31128"/>
      <c r="T31128"/>
      <c r="U31128"/>
      <c r="X31128" s="60"/>
    </row>
    <row r="31129" spans="7:24" ht="15" customHeight="1">
      <c r="G31129"/>
      <c r="I31129"/>
      <c r="N31129"/>
      <c r="O31129" s="24"/>
      <c r="P31129"/>
      <c r="Q31129" s="24"/>
      <c r="R31129"/>
      <c r="S31129"/>
      <c r="T31129"/>
      <c r="U31129"/>
      <c r="X31129" s="60"/>
    </row>
    <row r="31130" spans="7:24" ht="15" customHeight="1">
      <c r="G31130"/>
      <c r="I31130"/>
      <c r="N31130"/>
      <c r="O31130" s="24"/>
      <c r="P31130"/>
      <c r="Q31130" s="24"/>
      <c r="R31130"/>
      <c r="S31130"/>
      <c r="T31130"/>
      <c r="U31130"/>
      <c r="X31130" s="60"/>
    </row>
    <row r="31131" spans="7:24" ht="15" customHeight="1">
      <c r="G31131"/>
      <c r="I31131"/>
      <c r="N31131"/>
      <c r="O31131" s="24"/>
      <c r="P31131"/>
      <c r="Q31131" s="24"/>
      <c r="R31131"/>
      <c r="S31131"/>
      <c r="T31131"/>
      <c r="U31131"/>
      <c r="X31131" s="60"/>
    </row>
    <row r="31132" spans="7:24" ht="15" customHeight="1">
      <c r="G31132"/>
      <c r="I31132"/>
      <c r="N31132"/>
      <c r="O31132" s="24"/>
      <c r="P31132"/>
      <c r="Q31132" s="24"/>
      <c r="R31132"/>
      <c r="S31132"/>
      <c r="T31132"/>
      <c r="U31132"/>
      <c r="X31132" s="60"/>
    </row>
    <row r="31133" spans="7:24" ht="15" customHeight="1">
      <c r="G31133"/>
      <c r="I31133"/>
      <c r="N31133"/>
      <c r="O31133" s="24"/>
      <c r="P31133"/>
      <c r="Q31133" s="24"/>
      <c r="R31133"/>
      <c r="S31133"/>
      <c r="T31133"/>
      <c r="U31133"/>
      <c r="X31133" s="60"/>
    </row>
    <row r="31134" spans="7:24" ht="15" customHeight="1">
      <c r="G31134"/>
      <c r="I31134"/>
      <c r="N31134"/>
      <c r="O31134" s="24"/>
      <c r="P31134"/>
      <c r="Q31134" s="24"/>
      <c r="R31134"/>
      <c r="S31134"/>
      <c r="T31134"/>
      <c r="U31134"/>
      <c r="X31134" s="60"/>
    </row>
    <row r="31135" spans="7:24" ht="15" customHeight="1">
      <c r="G31135"/>
      <c r="I31135"/>
      <c r="N31135"/>
      <c r="O31135" s="24"/>
      <c r="P31135"/>
      <c r="Q31135" s="24"/>
      <c r="R31135"/>
      <c r="S31135"/>
      <c r="T31135"/>
      <c r="U31135"/>
      <c r="X31135" s="60"/>
    </row>
    <row r="31136" spans="7:24" ht="15" customHeight="1">
      <c r="G31136"/>
      <c r="I31136"/>
      <c r="N31136"/>
      <c r="O31136" s="24"/>
      <c r="P31136"/>
      <c r="Q31136" s="24"/>
      <c r="R31136"/>
      <c r="S31136"/>
      <c r="T31136"/>
      <c r="U31136"/>
      <c r="X31136" s="60"/>
    </row>
    <row r="31137" spans="7:24" ht="15" customHeight="1">
      <c r="G31137"/>
      <c r="I31137"/>
      <c r="N31137"/>
      <c r="O31137" s="24"/>
      <c r="P31137"/>
      <c r="Q31137" s="24"/>
      <c r="R31137"/>
      <c r="S31137"/>
      <c r="T31137"/>
      <c r="U31137"/>
      <c r="X31137" s="60"/>
    </row>
    <row r="31138" spans="7:24" ht="15" customHeight="1">
      <c r="G31138"/>
      <c r="I31138"/>
      <c r="N31138"/>
      <c r="O31138" s="24"/>
      <c r="P31138"/>
      <c r="Q31138" s="24"/>
      <c r="R31138"/>
      <c r="S31138"/>
      <c r="T31138"/>
      <c r="U31138"/>
      <c r="X31138" s="60"/>
    </row>
    <row r="31139" spans="7:24" ht="15" customHeight="1">
      <c r="G31139"/>
      <c r="I31139"/>
      <c r="N31139"/>
      <c r="O31139" s="24"/>
      <c r="P31139"/>
      <c r="Q31139" s="24"/>
      <c r="R31139"/>
      <c r="S31139"/>
      <c r="T31139"/>
      <c r="U31139"/>
      <c r="X31139" s="60"/>
    </row>
    <row r="31140" spans="7:24" ht="15" customHeight="1">
      <c r="G31140"/>
      <c r="I31140"/>
      <c r="N31140"/>
      <c r="O31140" s="24"/>
      <c r="P31140"/>
      <c r="Q31140" s="24"/>
      <c r="R31140"/>
      <c r="S31140"/>
      <c r="T31140"/>
      <c r="U31140"/>
      <c r="X31140" s="60"/>
    </row>
    <row r="31141" spans="7:24" ht="15" customHeight="1">
      <c r="G31141"/>
      <c r="I31141"/>
      <c r="N31141"/>
      <c r="O31141" s="24"/>
      <c r="P31141"/>
      <c r="Q31141" s="24"/>
      <c r="R31141"/>
      <c r="S31141"/>
      <c r="T31141"/>
      <c r="U31141"/>
      <c r="X31141" s="60"/>
    </row>
    <row r="31142" spans="7:24" ht="15" customHeight="1">
      <c r="G31142"/>
      <c r="I31142"/>
      <c r="N31142"/>
      <c r="O31142" s="24"/>
      <c r="P31142"/>
      <c r="Q31142" s="24"/>
      <c r="R31142"/>
      <c r="S31142"/>
      <c r="T31142"/>
      <c r="U31142"/>
      <c r="X31142" s="60"/>
    </row>
    <row r="31143" spans="7:24" ht="15" customHeight="1">
      <c r="G31143"/>
      <c r="I31143"/>
      <c r="N31143"/>
      <c r="O31143" s="24"/>
      <c r="P31143"/>
      <c r="Q31143" s="24"/>
      <c r="R31143"/>
      <c r="S31143"/>
      <c r="T31143"/>
      <c r="U31143"/>
      <c r="X31143" s="60"/>
    </row>
    <row r="31144" spans="7:24" ht="15" customHeight="1">
      <c r="G31144"/>
      <c r="I31144"/>
      <c r="N31144"/>
      <c r="O31144" s="24"/>
      <c r="P31144"/>
      <c r="Q31144" s="24"/>
      <c r="R31144"/>
      <c r="S31144"/>
      <c r="T31144"/>
      <c r="U31144"/>
      <c r="X31144" s="60"/>
    </row>
    <row r="31145" spans="7:24" ht="15" customHeight="1">
      <c r="G31145"/>
      <c r="I31145"/>
      <c r="N31145"/>
      <c r="O31145" s="24"/>
      <c r="P31145"/>
      <c r="Q31145" s="24"/>
      <c r="R31145"/>
      <c r="S31145"/>
      <c r="T31145"/>
      <c r="U31145"/>
      <c r="X31145" s="60"/>
    </row>
    <row r="31146" spans="7:24" ht="15" customHeight="1">
      <c r="G31146"/>
      <c r="I31146"/>
      <c r="N31146"/>
      <c r="O31146" s="24"/>
      <c r="P31146"/>
      <c r="Q31146" s="24"/>
      <c r="R31146"/>
      <c r="S31146"/>
      <c r="T31146"/>
      <c r="U31146"/>
      <c r="X31146" s="60"/>
    </row>
    <row r="31147" spans="7:24" ht="15" customHeight="1">
      <c r="G31147"/>
      <c r="I31147"/>
      <c r="N31147"/>
      <c r="O31147" s="24"/>
      <c r="P31147"/>
      <c r="Q31147" s="24"/>
      <c r="R31147"/>
      <c r="S31147"/>
      <c r="T31147"/>
      <c r="U31147"/>
      <c r="X31147" s="60"/>
    </row>
    <row r="31148" spans="7:24" ht="15" customHeight="1">
      <c r="G31148"/>
      <c r="I31148"/>
      <c r="N31148"/>
      <c r="O31148" s="24"/>
      <c r="P31148"/>
      <c r="Q31148" s="24"/>
      <c r="R31148"/>
      <c r="S31148"/>
      <c r="T31148"/>
      <c r="U31148"/>
      <c r="X31148" s="60"/>
    </row>
    <row r="31149" spans="7:24" ht="15" customHeight="1">
      <c r="G31149"/>
      <c r="I31149"/>
      <c r="N31149"/>
      <c r="O31149" s="24"/>
      <c r="P31149"/>
      <c r="Q31149" s="24"/>
      <c r="R31149"/>
      <c r="S31149"/>
      <c r="T31149"/>
      <c r="U31149"/>
      <c r="X31149" s="60"/>
    </row>
    <row r="31150" spans="7:24" ht="15" customHeight="1">
      <c r="G31150"/>
      <c r="I31150"/>
      <c r="N31150"/>
      <c r="O31150" s="24"/>
      <c r="P31150"/>
      <c r="Q31150" s="24"/>
      <c r="R31150"/>
      <c r="S31150"/>
      <c r="T31150"/>
      <c r="U31150"/>
      <c r="X31150" s="60"/>
    </row>
    <row r="31151" spans="7:24" ht="15" customHeight="1">
      <c r="G31151"/>
      <c r="I31151"/>
      <c r="N31151"/>
      <c r="O31151" s="24"/>
      <c r="P31151"/>
      <c r="Q31151" s="24"/>
      <c r="R31151"/>
      <c r="S31151"/>
      <c r="T31151"/>
      <c r="U31151"/>
      <c r="X31151" s="60"/>
    </row>
    <row r="31152" spans="7:24" ht="15" customHeight="1">
      <c r="G31152"/>
      <c r="I31152"/>
      <c r="N31152"/>
      <c r="O31152" s="24"/>
      <c r="P31152"/>
      <c r="Q31152" s="24"/>
      <c r="R31152"/>
      <c r="S31152"/>
      <c r="T31152"/>
      <c r="U31152"/>
      <c r="X31152" s="60"/>
    </row>
    <row r="31153" spans="7:24" ht="15" customHeight="1">
      <c r="G31153"/>
      <c r="I31153"/>
      <c r="N31153"/>
      <c r="O31153" s="24"/>
      <c r="P31153"/>
      <c r="Q31153" s="24"/>
      <c r="R31153"/>
      <c r="S31153"/>
      <c r="T31153"/>
      <c r="U31153"/>
      <c r="X31153" s="60"/>
    </row>
    <row r="31154" spans="7:24" ht="15" customHeight="1">
      <c r="G31154"/>
      <c r="I31154"/>
      <c r="N31154"/>
      <c r="O31154" s="24"/>
      <c r="P31154"/>
      <c r="Q31154" s="24"/>
      <c r="R31154"/>
      <c r="S31154"/>
      <c r="T31154"/>
      <c r="U31154"/>
      <c r="X31154" s="60"/>
    </row>
    <row r="31155" spans="7:24" ht="15" customHeight="1">
      <c r="G31155"/>
      <c r="I31155"/>
      <c r="N31155"/>
      <c r="O31155" s="24"/>
      <c r="P31155"/>
      <c r="Q31155" s="24"/>
      <c r="R31155"/>
      <c r="S31155"/>
      <c r="T31155"/>
      <c r="U31155"/>
      <c r="X31155" s="60"/>
    </row>
    <row r="31156" spans="7:24" ht="15" customHeight="1">
      <c r="G31156"/>
      <c r="I31156"/>
      <c r="N31156"/>
      <c r="O31156" s="24"/>
      <c r="P31156"/>
      <c r="Q31156" s="24"/>
      <c r="R31156"/>
      <c r="S31156"/>
      <c r="T31156"/>
      <c r="U31156"/>
      <c r="X31156" s="60"/>
    </row>
    <row r="31157" spans="7:24" ht="15" customHeight="1">
      <c r="G31157"/>
      <c r="I31157"/>
      <c r="N31157"/>
      <c r="O31157" s="24"/>
      <c r="P31157"/>
      <c r="Q31157" s="24"/>
      <c r="R31157"/>
      <c r="S31157"/>
      <c r="T31157"/>
      <c r="U31157"/>
      <c r="X31157" s="60"/>
    </row>
    <row r="31158" spans="7:24" ht="15" customHeight="1">
      <c r="G31158"/>
      <c r="I31158"/>
      <c r="N31158"/>
      <c r="O31158" s="24"/>
      <c r="P31158"/>
      <c r="Q31158" s="24"/>
      <c r="R31158"/>
      <c r="S31158"/>
      <c r="T31158"/>
      <c r="U31158"/>
      <c r="X31158" s="60"/>
    </row>
    <row r="31159" spans="7:24" ht="15" customHeight="1">
      <c r="G31159"/>
      <c r="I31159"/>
      <c r="N31159"/>
      <c r="O31159" s="24"/>
      <c r="P31159"/>
      <c r="Q31159" s="24"/>
      <c r="R31159"/>
      <c r="S31159"/>
      <c r="T31159"/>
      <c r="U31159"/>
      <c r="X31159" s="60"/>
    </row>
    <row r="31160" spans="7:24" ht="15" customHeight="1">
      <c r="G31160"/>
      <c r="I31160"/>
      <c r="N31160"/>
      <c r="O31160" s="24"/>
      <c r="P31160"/>
      <c r="Q31160" s="24"/>
      <c r="R31160"/>
      <c r="S31160"/>
      <c r="T31160"/>
      <c r="U31160"/>
      <c r="X31160" s="60"/>
    </row>
    <row r="31161" spans="7:24" ht="15" customHeight="1">
      <c r="G31161"/>
      <c r="I31161"/>
      <c r="N31161"/>
      <c r="O31161" s="24"/>
      <c r="P31161"/>
      <c r="Q31161" s="24"/>
      <c r="R31161"/>
      <c r="S31161"/>
      <c r="T31161"/>
      <c r="U31161"/>
      <c r="X31161" s="60"/>
    </row>
    <row r="31162" spans="7:24" ht="15" customHeight="1">
      <c r="G31162"/>
      <c r="I31162"/>
      <c r="N31162"/>
      <c r="O31162" s="24"/>
      <c r="P31162"/>
      <c r="Q31162" s="24"/>
      <c r="R31162"/>
      <c r="S31162"/>
      <c r="T31162"/>
      <c r="U31162"/>
      <c r="X31162" s="60"/>
    </row>
    <row r="31163" spans="7:24" ht="15" customHeight="1">
      <c r="G31163"/>
      <c r="I31163"/>
      <c r="N31163"/>
      <c r="O31163" s="24"/>
      <c r="P31163"/>
      <c r="Q31163" s="24"/>
      <c r="R31163"/>
      <c r="S31163"/>
      <c r="T31163"/>
      <c r="U31163"/>
      <c r="X31163" s="60"/>
    </row>
    <row r="31164" spans="7:24" ht="15" customHeight="1">
      <c r="G31164"/>
      <c r="I31164"/>
      <c r="N31164"/>
      <c r="O31164" s="24"/>
      <c r="P31164"/>
      <c r="Q31164" s="24"/>
      <c r="R31164"/>
      <c r="S31164"/>
      <c r="T31164"/>
      <c r="U31164"/>
      <c r="X31164" s="60"/>
    </row>
    <row r="31165" spans="7:24" ht="15" customHeight="1">
      <c r="G31165"/>
      <c r="I31165"/>
      <c r="N31165"/>
      <c r="O31165" s="24"/>
      <c r="P31165"/>
      <c r="Q31165" s="24"/>
      <c r="R31165"/>
      <c r="S31165"/>
      <c r="T31165"/>
      <c r="U31165"/>
      <c r="X31165" s="60"/>
    </row>
    <row r="31166" spans="7:24" ht="15" customHeight="1">
      <c r="G31166"/>
      <c r="I31166"/>
      <c r="N31166"/>
      <c r="O31166" s="24"/>
      <c r="P31166"/>
      <c r="Q31166" s="24"/>
      <c r="R31166"/>
      <c r="S31166"/>
      <c r="T31166"/>
      <c r="U31166"/>
      <c r="X31166" s="60"/>
    </row>
    <row r="31167" spans="7:24" ht="15" customHeight="1">
      <c r="G31167"/>
      <c r="I31167"/>
      <c r="N31167"/>
      <c r="O31167" s="24"/>
      <c r="P31167"/>
      <c r="Q31167" s="24"/>
      <c r="R31167"/>
      <c r="S31167"/>
      <c r="T31167"/>
      <c r="U31167"/>
      <c r="X31167" s="60"/>
    </row>
    <row r="31168" spans="7:24" ht="15" customHeight="1">
      <c r="G31168"/>
      <c r="I31168"/>
      <c r="N31168"/>
      <c r="O31168" s="24"/>
      <c r="P31168"/>
      <c r="Q31168" s="24"/>
      <c r="R31168"/>
      <c r="S31168"/>
      <c r="T31168"/>
      <c r="U31168"/>
      <c r="X31168" s="60"/>
    </row>
    <row r="31169" spans="7:24" ht="15" customHeight="1">
      <c r="G31169"/>
      <c r="I31169"/>
      <c r="N31169"/>
      <c r="O31169" s="24"/>
      <c r="P31169"/>
      <c r="Q31169" s="24"/>
      <c r="R31169"/>
      <c r="S31169"/>
      <c r="T31169"/>
      <c r="U31169"/>
      <c r="X31169" s="60"/>
    </row>
    <row r="31170" spans="7:24" ht="15" customHeight="1">
      <c r="G31170"/>
      <c r="I31170"/>
      <c r="N31170"/>
      <c r="O31170" s="24"/>
      <c r="P31170"/>
      <c r="Q31170" s="24"/>
      <c r="R31170"/>
      <c r="S31170"/>
      <c r="T31170"/>
      <c r="U31170"/>
      <c r="X31170" s="60"/>
    </row>
    <row r="31171" spans="7:24" ht="15" customHeight="1">
      <c r="G31171"/>
      <c r="I31171"/>
      <c r="N31171"/>
      <c r="O31171" s="24"/>
      <c r="P31171"/>
      <c r="Q31171" s="24"/>
      <c r="R31171"/>
      <c r="S31171"/>
      <c r="T31171"/>
      <c r="U31171"/>
      <c r="X31171" s="60"/>
    </row>
    <row r="31172" spans="7:24" ht="15" customHeight="1">
      <c r="G31172"/>
      <c r="I31172"/>
      <c r="N31172"/>
      <c r="O31172" s="24"/>
      <c r="P31172"/>
      <c r="Q31172" s="24"/>
      <c r="R31172"/>
      <c r="S31172"/>
      <c r="T31172"/>
      <c r="U31172"/>
      <c r="X31172" s="60"/>
    </row>
    <row r="31173" spans="7:24" ht="15" customHeight="1">
      <c r="G31173"/>
      <c r="I31173"/>
      <c r="N31173"/>
      <c r="O31173" s="24"/>
      <c r="P31173"/>
      <c r="Q31173" s="24"/>
      <c r="R31173"/>
      <c r="S31173"/>
      <c r="T31173"/>
      <c r="U31173"/>
      <c r="X31173" s="60"/>
    </row>
    <row r="31174" spans="7:24" ht="15" customHeight="1">
      <c r="G31174"/>
      <c r="I31174"/>
      <c r="N31174"/>
      <c r="O31174" s="24"/>
      <c r="P31174"/>
      <c r="Q31174" s="24"/>
      <c r="R31174"/>
      <c r="S31174"/>
      <c r="T31174"/>
      <c r="U31174"/>
      <c r="X31174" s="60"/>
    </row>
    <row r="31175" spans="7:24" ht="15" customHeight="1">
      <c r="G31175"/>
      <c r="I31175"/>
      <c r="N31175"/>
      <c r="O31175" s="24"/>
      <c r="P31175"/>
      <c r="Q31175" s="24"/>
      <c r="R31175"/>
      <c r="S31175"/>
      <c r="T31175"/>
      <c r="U31175"/>
      <c r="X31175" s="60"/>
    </row>
    <row r="31176" spans="7:24" ht="15" customHeight="1">
      <c r="G31176"/>
      <c r="I31176"/>
      <c r="N31176"/>
      <c r="O31176" s="24"/>
      <c r="P31176"/>
      <c r="Q31176" s="24"/>
      <c r="R31176"/>
      <c r="S31176"/>
      <c r="T31176"/>
      <c r="U31176"/>
      <c r="X31176" s="60"/>
    </row>
    <row r="31177" spans="7:24" ht="15" customHeight="1">
      <c r="G31177"/>
      <c r="I31177"/>
      <c r="N31177"/>
      <c r="O31177" s="24"/>
      <c r="P31177"/>
      <c r="Q31177" s="24"/>
      <c r="R31177"/>
      <c r="S31177"/>
      <c r="T31177"/>
      <c r="U31177"/>
      <c r="X31177" s="60"/>
    </row>
    <row r="31178" spans="7:24" ht="15" customHeight="1">
      <c r="G31178"/>
      <c r="I31178"/>
      <c r="N31178"/>
      <c r="O31178" s="24"/>
      <c r="P31178"/>
      <c r="Q31178" s="24"/>
      <c r="R31178"/>
      <c r="S31178"/>
      <c r="T31178"/>
      <c r="U31178"/>
      <c r="X31178" s="60"/>
    </row>
    <row r="31179" spans="7:24" ht="15" customHeight="1">
      <c r="G31179"/>
      <c r="I31179"/>
      <c r="N31179"/>
      <c r="O31179" s="24"/>
      <c r="P31179"/>
      <c r="Q31179" s="24"/>
      <c r="R31179"/>
      <c r="S31179"/>
      <c r="T31179"/>
      <c r="U31179"/>
      <c r="X31179" s="60"/>
    </row>
    <row r="31180" spans="7:24" ht="15" customHeight="1">
      <c r="G31180"/>
      <c r="I31180"/>
      <c r="N31180"/>
      <c r="O31180" s="24"/>
      <c r="P31180"/>
      <c r="Q31180" s="24"/>
      <c r="R31180"/>
      <c r="S31180"/>
      <c r="T31180"/>
      <c r="U31180"/>
      <c r="X31180" s="60"/>
    </row>
    <row r="31181" spans="7:24" ht="15" customHeight="1">
      <c r="G31181"/>
      <c r="I31181"/>
      <c r="N31181"/>
      <c r="O31181" s="24"/>
      <c r="P31181"/>
      <c r="Q31181" s="24"/>
      <c r="R31181"/>
      <c r="S31181"/>
      <c r="T31181"/>
      <c r="U31181"/>
      <c r="X31181" s="60"/>
    </row>
    <row r="31182" spans="7:24" ht="15" customHeight="1">
      <c r="G31182"/>
      <c r="I31182"/>
      <c r="N31182"/>
      <c r="O31182" s="24"/>
      <c r="P31182"/>
      <c r="Q31182" s="24"/>
      <c r="R31182"/>
      <c r="S31182"/>
      <c r="T31182"/>
      <c r="U31182"/>
      <c r="X31182" s="60"/>
    </row>
    <row r="31183" spans="7:24" ht="15" customHeight="1">
      <c r="G31183"/>
      <c r="I31183"/>
      <c r="N31183"/>
      <c r="O31183" s="24"/>
      <c r="P31183"/>
      <c r="Q31183" s="24"/>
      <c r="R31183"/>
      <c r="S31183"/>
      <c r="T31183"/>
      <c r="U31183"/>
      <c r="X31183" s="60"/>
    </row>
    <row r="31184" spans="7:24" ht="15" customHeight="1">
      <c r="G31184"/>
      <c r="I31184"/>
      <c r="N31184"/>
      <c r="O31184" s="24"/>
      <c r="P31184"/>
      <c r="Q31184" s="24"/>
      <c r="R31184"/>
      <c r="S31184"/>
      <c r="T31184"/>
      <c r="U31184"/>
      <c r="X31184" s="60"/>
    </row>
    <row r="31185" spans="7:24" ht="15" customHeight="1">
      <c r="G31185"/>
      <c r="I31185"/>
      <c r="N31185"/>
      <c r="O31185" s="24"/>
      <c r="P31185"/>
      <c r="Q31185" s="24"/>
      <c r="R31185"/>
      <c r="S31185"/>
      <c r="T31185"/>
      <c r="U31185"/>
      <c r="X31185" s="60"/>
    </row>
    <row r="31186" spans="7:24" ht="15" customHeight="1">
      <c r="G31186"/>
      <c r="I31186"/>
      <c r="N31186"/>
      <c r="O31186" s="24"/>
      <c r="P31186"/>
      <c r="Q31186" s="24"/>
      <c r="R31186"/>
      <c r="S31186"/>
      <c r="T31186"/>
      <c r="U31186"/>
      <c r="X31186" s="60"/>
    </row>
    <row r="31187" spans="7:24" ht="15" customHeight="1">
      <c r="G31187"/>
      <c r="I31187"/>
      <c r="N31187"/>
      <c r="O31187" s="24"/>
      <c r="P31187"/>
      <c r="Q31187" s="24"/>
      <c r="R31187"/>
      <c r="S31187"/>
      <c r="T31187"/>
      <c r="U31187"/>
      <c r="X31187" s="60"/>
    </row>
    <row r="31188" spans="7:24" ht="15" customHeight="1">
      <c r="G31188"/>
      <c r="I31188"/>
      <c r="N31188"/>
      <c r="O31188" s="24"/>
      <c r="P31188"/>
      <c r="Q31188" s="24"/>
      <c r="R31188"/>
      <c r="S31188"/>
      <c r="T31188"/>
      <c r="U31188"/>
      <c r="X31188" s="60"/>
    </row>
    <row r="31189" spans="7:24" ht="15" customHeight="1">
      <c r="G31189"/>
      <c r="I31189"/>
      <c r="N31189"/>
      <c r="O31189" s="24"/>
      <c r="P31189"/>
      <c r="Q31189" s="24"/>
      <c r="R31189"/>
      <c r="S31189"/>
      <c r="T31189"/>
      <c r="U31189"/>
      <c r="X31189" s="60"/>
    </row>
    <row r="31190" spans="7:24" ht="15" customHeight="1">
      <c r="G31190"/>
      <c r="I31190"/>
      <c r="N31190"/>
      <c r="O31190" s="24"/>
      <c r="P31190"/>
      <c r="Q31190" s="24"/>
      <c r="R31190"/>
      <c r="S31190"/>
      <c r="T31190"/>
      <c r="U31190"/>
      <c r="X31190" s="60"/>
    </row>
    <row r="31191" spans="7:24" ht="15" customHeight="1">
      <c r="G31191"/>
      <c r="I31191"/>
      <c r="N31191"/>
      <c r="O31191" s="24"/>
      <c r="P31191"/>
      <c r="Q31191" s="24"/>
      <c r="R31191"/>
      <c r="S31191"/>
      <c r="T31191"/>
      <c r="U31191"/>
      <c r="X31191" s="60"/>
    </row>
    <row r="31192" spans="7:24" ht="15" customHeight="1">
      <c r="G31192"/>
      <c r="I31192"/>
      <c r="N31192"/>
      <c r="O31192" s="24"/>
      <c r="P31192"/>
      <c r="Q31192" s="24"/>
      <c r="R31192"/>
      <c r="S31192"/>
      <c r="T31192"/>
      <c r="U31192"/>
      <c r="X31192" s="60"/>
    </row>
    <row r="31193" spans="7:24" ht="15" customHeight="1">
      <c r="G31193"/>
      <c r="I31193"/>
      <c r="N31193"/>
      <c r="O31193" s="24"/>
      <c r="P31193"/>
      <c r="Q31193" s="24"/>
      <c r="R31193"/>
      <c r="S31193"/>
      <c r="T31193"/>
      <c r="U31193"/>
      <c r="X31193" s="60"/>
    </row>
    <row r="31194" spans="7:24" ht="15" customHeight="1">
      <c r="G31194"/>
      <c r="I31194"/>
      <c r="N31194"/>
      <c r="O31194" s="24"/>
      <c r="P31194"/>
      <c r="Q31194" s="24"/>
      <c r="R31194"/>
      <c r="S31194"/>
      <c r="T31194"/>
      <c r="U31194"/>
      <c r="X31194" s="60"/>
    </row>
    <row r="31195" spans="7:24" ht="15" customHeight="1">
      <c r="G31195"/>
      <c r="I31195"/>
      <c r="N31195"/>
      <c r="O31195" s="24"/>
      <c r="P31195"/>
      <c r="Q31195" s="24"/>
      <c r="R31195"/>
      <c r="S31195"/>
      <c r="T31195"/>
      <c r="U31195"/>
      <c r="X31195" s="60"/>
    </row>
    <row r="31196" spans="7:24" ht="15" customHeight="1">
      <c r="G31196"/>
      <c r="I31196"/>
      <c r="N31196"/>
      <c r="O31196" s="24"/>
      <c r="P31196"/>
      <c r="Q31196" s="24"/>
      <c r="R31196"/>
      <c r="S31196"/>
      <c r="T31196"/>
      <c r="U31196"/>
      <c r="X31196" s="60"/>
    </row>
    <row r="31197" spans="7:24" ht="15" customHeight="1">
      <c r="G31197"/>
      <c r="I31197"/>
      <c r="N31197"/>
      <c r="O31197" s="24"/>
      <c r="P31197"/>
      <c r="Q31197" s="24"/>
      <c r="R31197"/>
      <c r="S31197"/>
      <c r="T31197"/>
      <c r="U31197"/>
      <c r="X31197" s="60"/>
    </row>
    <row r="31198" spans="7:24" ht="15" customHeight="1">
      <c r="G31198"/>
      <c r="I31198"/>
      <c r="N31198"/>
      <c r="O31198" s="24"/>
      <c r="P31198"/>
      <c r="Q31198" s="24"/>
      <c r="R31198"/>
      <c r="S31198"/>
      <c r="T31198"/>
      <c r="U31198"/>
      <c r="X31198" s="60"/>
    </row>
    <row r="31199" spans="7:24" ht="15" customHeight="1">
      <c r="G31199"/>
      <c r="I31199"/>
      <c r="N31199"/>
      <c r="O31199" s="24"/>
      <c r="P31199"/>
      <c r="Q31199" s="24"/>
      <c r="R31199"/>
      <c r="S31199"/>
      <c r="T31199"/>
      <c r="U31199"/>
      <c r="X31199" s="60"/>
    </row>
    <row r="31200" spans="7:24" ht="15" customHeight="1">
      <c r="G31200"/>
      <c r="I31200"/>
      <c r="N31200"/>
      <c r="O31200" s="24"/>
      <c r="P31200"/>
      <c r="Q31200" s="24"/>
      <c r="R31200"/>
      <c r="S31200"/>
      <c r="T31200"/>
      <c r="U31200"/>
      <c r="X31200" s="60"/>
    </row>
    <row r="31201" spans="7:24" ht="15" customHeight="1">
      <c r="G31201"/>
      <c r="I31201"/>
      <c r="N31201"/>
      <c r="O31201" s="24"/>
      <c r="P31201"/>
      <c r="Q31201" s="24"/>
      <c r="R31201"/>
      <c r="S31201"/>
      <c r="T31201"/>
      <c r="U31201"/>
      <c r="X31201" s="60"/>
    </row>
    <row r="31202" spans="7:24" ht="15" customHeight="1">
      <c r="G31202"/>
      <c r="I31202"/>
      <c r="N31202"/>
      <c r="O31202" s="24"/>
      <c r="P31202"/>
      <c r="Q31202" s="24"/>
      <c r="R31202"/>
      <c r="S31202"/>
      <c r="T31202"/>
      <c r="U31202"/>
      <c r="X31202" s="60"/>
    </row>
    <row r="31203" spans="7:24" ht="15" customHeight="1">
      <c r="G31203"/>
      <c r="I31203"/>
      <c r="N31203"/>
      <c r="O31203" s="24"/>
      <c r="P31203"/>
      <c r="Q31203" s="24"/>
      <c r="R31203"/>
      <c r="S31203"/>
      <c r="T31203"/>
      <c r="U31203"/>
      <c r="X31203" s="60"/>
    </row>
    <row r="31204" spans="7:24" ht="15" customHeight="1">
      <c r="G31204"/>
      <c r="I31204"/>
      <c r="N31204"/>
      <c r="O31204" s="24"/>
      <c r="P31204"/>
      <c r="Q31204" s="24"/>
      <c r="R31204"/>
      <c r="S31204"/>
      <c r="T31204"/>
      <c r="U31204"/>
      <c r="X31204" s="60"/>
    </row>
    <row r="31205" spans="7:24" ht="15" customHeight="1">
      <c r="G31205"/>
      <c r="I31205"/>
      <c r="N31205"/>
      <c r="O31205" s="24"/>
      <c r="P31205"/>
      <c r="Q31205" s="24"/>
      <c r="R31205"/>
      <c r="S31205"/>
      <c r="T31205"/>
      <c r="U31205"/>
      <c r="X31205" s="60"/>
    </row>
    <row r="31206" spans="7:24" ht="15" customHeight="1">
      <c r="G31206"/>
      <c r="I31206"/>
      <c r="N31206"/>
      <c r="O31206" s="24"/>
      <c r="P31206"/>
      <c r="Q31206" s="24"/>
      <c r="R31206"/>
      <c r="S31206"/>
      <c r="T31206"/>
      <c r="U31206"/>
      <c r="X31206" s="60"/>
    </row>
    <row r="31207" spans="7:24" ht="15" customHeight="1">
      <c r="G31207"/>
      <c r="I31207"/>
      <c r="N31207"/>
      <c r="O31207" s="24"/>
      <c r="P31207"/>
      <c r="Q31207" s="24"/>
      <c r="R31207"/>
      <c r="S31207"/>
      <c r="T31207"/>
      <c r="U31207"/>
      <c r="X31207" s="60"/>
    </row>
    <row r="31208" spans="7:24" ht="15" customHeight="1">
      <c r="G31208"/>
      <c r="I31208"/>
      <c r="N31208"/>
      <c r="O31208" s="24"/>
      <c r="P31208"/>
      <c r="Q31208" s="24"/>
      <c r="R31208"/>
      <c r="S31208"/>
      <c r="T31208"/>
      <c r="U31208"/>
      <c r="X31208" s="60"/>
    </row>
    <row r="31209" spans="7:24" ht="15" customHeight="1">
      <c r="G31209"/>
      <c r="I31209"/>
      <c r="N31209"/>
      <c r="O31209" s="24"/>
      <c r="P31209"/>
      <c r="Q31209" s="24"/>
      <c r="R31209"/>
      <c r="S31209"/>
      <c r="T31209"/>
      <c r="U31209"/>
      <c r="X31209" s="60"/>
    </row>
    <row r="31210" spans="7:24" ht="15" customHeight="1">
      <c r="G31210"/>
      <c r="I31210"/>
      <c r="N31210"/>
      <c r="O31210" s="24"/>
      <c r="P31210"/>
      <c r="Q31210" s="24"/>
      <c r="R31210"/>
      <c r="S31210"/>
      <c r="T31210"/>
      <c r="U31210"/>
      <c r="X31210" s="60"/>
    </row>
    <row r="31211" spans="7:24" ht="15" customHeight="1">
      <c r="G31211"/>
      <c r="I31211"/>
      <c r="N31211"/>
      <c r="O31211" s="24"/>
      <c r="P31211"/>
      <c r="Q31211" s="24"/>
      <c r="R31211"/>
      <c r="S31211"/>
      <c r="T31211"/>
      <c r="U31211"/>
      <c r="X31211" s="60"/>
    </row>
    <row r="31212" spans="7:24" ht="15" customHeight="1">
      <c r="G31212"/>
      <c r="I31212"/>
      <c r="N31212"/>
      <c r="O31212" s="24"/>
      <c r="P31212"/>
      <c r="Q31212" s="24"/>
      <c r="R31212"/>
      <c r="S31212"/>
      <c r="T31212"/>
      <c r="U31212"/>
      <c r="X31212" s="60"/>
    </row>
    <row r="31213" spans="7:24" ht="15" customHeight="1">
      <c r="G31213"/>
      <c r="I31213"/>
      <c r="N31213"/>
      <c r="O31213" s="24"/>
      <c r="P31213"/>
      <c r="Q31213" s="24"/>
      <c r="R31213"/>
      <c r="S31213"/>
      <c r="T31213"/>
      <c r="U31213"/>
      <c r="X31213" s="60"/>
    </row>
    <row r="31214" spans="7:24" ht="15" customHeight="1">
      <c r="G31214"/>
      <c r="I31214"/>
      <c r="N31214"/>
      <c r="O31214" s="24"/>
      <c r="P31214"/>
      <c r="Q31214" s="24"/>
      <c r="R31214"/>
      <c r="S31214"/>
      <c r="T31214"/>
      <c r="U31214"/>
      <c r="X31214" s="60"/>
    </row>
    <row r="31215" spans="7:24" ht="15" customHeight="1">
      <c r="G31215"/>
      <c r="I31215"/>
      <c r="N31215"/>
      <c r="O31215" s="24"/>
      <c r="P31215"/>
      <c r="Q31215" s="24"/>
      <c r="R31215"/>
      <c r="S31215"/>
      <c r="T31215"/>
      <c r="U31215"/>
      <c r="X31215" s="60"/>
    </row>
    <row r="31216" spans="7:24" ht="15" customHeight="1">
      <c r="G31216"/>
      <c r="I31216"/>
      <c r="N31216"/>
      <c r="O31216" s="24"/>
      <c r="P31216"/>
      <c r="Q31216" s="24"/>
      <c r="R31216"/>
      <c r="S31216"/>
      <c r="T31216"/>
      <c r="U31216"/>
      <c r="X31216" s="60"/>
    </row>
    <row r="31217" spans="7:24" ht="15" customHeight="1">
      <c r="G31217"/>
      <c r="I31217"/>
      <c r="N31217"/>
      <c r="O31217" s="24"/>
      <c r="P31217"/>
      <c r="Q31217" s="24"/>
      <c r="R31217"/>
      <c r="S31217"/>
      <c r="T31217"/>
      <c r="U31217"/>
      <c r="X31217" s="60"/>
    </row>
    <row r="31218" spans="7:24" ht="15" customHeight="1">
      <c r="G31218"/>
      <c r="I31218"/>
      <c r="N31218"/>
      <c r="O31218" s="24"/>
      <c r="P31218"/>
      <c r="Q31218" s="24"/>
      <c r="R31218"/>
      <c r="S31218"/>
      <c r="T31218"/>
      <c r="U31218"/>
      <c r="X31218" s="60"/>
    </row>
    <row r="31219" spans="7:24" ht="15" customHeight="1">
      <c r="G31219"/>
      <c r="I31219"/>
      <c r="N31219"/>
      <c r="O31219" s="24"/>
      <c r="P31219"/>
      <c r="Q31219" s="24"/>
      <c r="R31219"/>
      <c r="S31219"/>
      <c r="T31219"/>
      <c r="U31219"/>
      <c r="X31219" s="60"/>
    </row>
    <row r="31220" spans="7:24" ht="15" customHeight="1">
      <c r="G31220"/>
      <c r="I31220"/>
      <c r="N31220"/>
      <c r="O31220" s="24"/>
      <c r="P31220"/>
      <c r="Q31220" s="24"/>
      <c r="R31220"/>
      <c r="S31220"/>
      <c r="T31220"/>
      <c r="U31220"/>
      <c r="X31220" s="60"/>
    </row>
    <row r="31221" spans="7:24" ht="15" customHeight="1">
      <c r="G31221"/>
      <c r="I31221"/>
      <c r="N31221"/>
      <c r="O31221" s="24"/>
      <c r="P31221"/>
      <c r="Q31221" s="24"/>
      <c r="R31221"/>
      <c r="S31221"/>
      <c r="T31221"/>
      <c r="U31221"/>
      <c r="X31221" s="60"/>
    </row>
    <row r="31222" spans="7:24" ht="15" customHeight="1">
      <c r="G31222"/>
      <c r="I31222"/>
      <c r="N31222"/>
      <c r="O31222" s="24"/>
      <c r="P31222"/>
      <c r="Q31222" s="24"/>
      <c r="R31222"/>
      <c r="S31222"/>
      <c r="T31222"/>
      <c r="U31222"/>
      <c r="X31222" s="60"/>
    </row>
    <row r="31223" spans="7:24" ht="15" customHeight="1">
      <c r="G31223"/>
      <c r="I31223"/>
      <c r="N31223"/>
      <c r="O31223" s="24"/>
      <c r="P31223"/>
      <c r="Q31223" s="24"/>
      <c r="R31223"/>
      <c r="S31223"/>
      <c r="T31223"/>
      <c r="U31223"/>
      <c r="X31223" s="60"/>
    </row>
    <row r="31224" spans="7:24" ht="15" customHeight="1">
      <c r="G31224"/>
      <c r="I31224"/>
      <c r="N31224"/>
      <c r="O31224" s="24"/>
      <c r="P31224"/>
      <c r="Q31224" s="24"/>
      <c r="R31224"/>
      <c r="S31224"/>
      <c r="T31224"/>
      <c r="U31224"/>
      <c r="X31224" s="60"/>
    </row>
    <row r="31225" spans="7:24" ht="15" customHeight="1">
      <c r="G31225"/>
      <c r="I31225"/>
      <c r="N31225"/>
      <c r="O31225" s="24"/>
      <c r="P31225"/>
      <c r="Q31225" s="24"/>
      <c r="R31225"/>
      <c r="S31225"/>
      <c r="T31225"/>
      <c r="U31225"/>
      <c r="X31225" s="60"/>
    </row>
    <row r="31226" spans="7:24" ht="15" customHeight="1">
      <c r="G31226"/>
      <c r="I31226"/>
      <c r="N31226"/>
      <c r="O31226" s="24"/>
      <c r="P31226"/>
      <c r="Q31226" s="24"/>
      <c r="R31226"/>
      <c r="S31226"/>
      <c r="T31226"/>
      <c r="U31226"/>
      <c r="X31226" s="60"/>
    </row>
    <row r="31227" spans="7:24" ht="15" customHeight="1">
      <c r="G31227"/>
      <c r="I31227"/>
      <c r="N31227"/>
      <c r="O31227" s="24"/>
      <c r="P31227"/>
      <c r="Q31227" s="24"/>
      <c r="R31227"/>
      <c r="S31227"/>
      <c r="T31227"/>
      <c r="U31227"/>
      <c r="X31227" s="60"/>
    </row>
    <row r="31228" spans="7:24" ht="15" customHeight="1">
      <c r="G31228"/>
      <c r="I31228"/>
      <c r="N31228"/>
      <c r="O31228" s="24"/>
      <c r="P31228"/>
      <c r="Q31228" s="24"/>
      <c r="R31228"/>
      <c r="S31228"/>
      <c r="T31228"/>
      <c r="U31228"/>
      <c r="X31228" s="60"/>
    </row>
    <row r="31229" spans="7:24" ht="15" customHeight="1">
      <c r="G31229"/>
      <c r="I31229"/>
      <c r="N31229"/>
      <c r="O31229" s="24"/>
      <c r="P31229"/>
      <c r="Q31229" s="24"/>
      <c r="R31229"/>
      <c r="S31229"/>
      <c r="T31229"/>
      <c r="U31229"/>
      <c r="X31229" s="60"/>
    </row>
    <row r="31230" spans="7:24" ht="15" customHeight="1">
      <c r="G31230"/>
      <c r="I31230"/>
      <c r="N31230"/>
      <c r="O31230" s="24"/>
      <c r="P31230"/>
      <c r="Q31230" s="24"/>
      <c r="R31230"/>
      <c r="S31230"/>
      <c r="T31230"/>
      <c r="U31230"/>
      <c r="X31230" s="60"/>
    </row>
    <row r="31231" spans="7:24" ht="15" customHeight="1">
      <c r="G31231"/>
      <c r="I31231"/>
      <c r="N31231"/>
      <c r="O31231" s="24"/>
      <c r="P31231"/>
      <c r="Q31231" s="24"/>
      <c r="R31231"/>
      <c r="S31231"/>
      <c r="T31231"/>
      <c r="U31231"/>
      <c r="X31231" s="60"/>
    </row>
    <row r="31232" spans="7:24" ht="15" customHeight="1">
      <c r="G31232"/>
      <c r="I31232"/>
      <c r="N31232"/>
      <c r="O31232" s="24"/>
      <c r="P31232"/>
      <c r="Q31232" s="24"/>
      <c r="R31232"/>
      <c r="S31232"/>
      <c r="T31232"/>
      <c r="U31232"/>
      <c r="X31232" s="60"/>
    </row>
    <row r="31233" spans="7:24" ht="15" customHeight="1">
      <c r="G31233"/>
      <c r="I31233"/>
      <c r="N31233"/>
      <c r="O31233" s="24"/>
      <c r="P31233"/>
      <c r="Q31233" s="24"/>
      <c r="R31233"/>
      <c r="S31233"/>
      <c r="T31233"/>
      <c r="U31233"/>
      <c r="X31233" s="60"/>
    </row>
    <row r="31234" spans="7:24" ht="15" customHeight="1">
      <c r="G31234"/>
      <c r="I31234"/>
      <c r="N31234"/>
      <c r="O31234" s="24"/>
      <c r="P31234"/>
      <c r="Q31234" s="24"/>
      <c r="R31234"/>
      <c r="S31234"/>
      <c r="T31234"/>
      <c r="U31234"/>
      <c r="X31234" s="60"/>
    </row>
    <row r="31235" spans="7:24" ht="15" customHeight="1">
      <c r="G31235"/>
      <c r="I31235"/>
      <c r="N31235"/>
      <c r="O31235" s="24"/>
      <c r="P31235"/>
      <c r="Q31235" s="24"/>
      <c r="R31235"/>
      <c r="S31235"/>
      <c r="T31235"/>
      <c r="U31235"/>
      <c r="X31235" s="60"/>
    </row>
    <row r="31236" spans="7:24" ht="15" customHeight="1">
      <c r="G31236"/>
      <c r="I31236"/>
      <c r="N31236"/>
      <c r="O31236" s="24"/>
      <c r="P31236"/>
      <c r="Q31236" s="24"/>
      <c r="R31236"/>
      <c r="S31236"/>
      <c r="T31236"/>
      <c r="U31236"/>
      <c r="X31236" s="60"/>
    </row>
    <row r="31237" spans="7:24" ht="15" customHeight="1">
      <c r="G31237"/>
      <c r="I31237"/>
      <c r="N31237"/>
      <c r="O31237" s="24"/>
      <c r="P31237"/>
      <c r="Q31237" s="24"/>
      <c r="R31237"/>
      <c r="S31237"/>
      <c r="T31237"/>
      <c r="U31237"/>
      <c r="X31237" s="60"/>
    </row>
    <row r="31238" spans="7:24" ht="15" customHeight="1">
      <c r="G31238"/>
      <c r="I31238"/>
      <c r="N31238"/>
      <c r="O31238" s="24"/>
      <c r="P31238"/>
      <c r="Q31238" s="24"/>
      <c r="R31238"/>
      <c r="S31238"/>
      <c r="T31238"/>
      <c r="U31238"/>
      <c r="X31238" s="60"/>
    </row>
    <row r="31239" spans="7:24" ht="15" customHeight="1">
      <c r="G31239"/>
      <c r="I31239"/>
      <c r="N31239"/>
      <c r="O31239" s="24"/>
      <c r="P31239"/>
      <c r="Q31239" s="24"/>
      <c r="R31239"/>
      <c r="S31239"/>
      <c r="T31239"/>
      <c r="U31239"/>
      <c r="X31239" s="60"/>
    </row>
    <row r="31240" spans="7:24" ht="15" customHeight="1">
      <c r="G31240"/>
      <c r="I31240"/>
      <c r="N31240"/>
      <c r="O31240" s="24"/>
      <c r="P31240"/>
      <c r="Q31240" s="24"/>
      <c r="R31240"/>
      <c r="S31240"/>
      <c r="T31240"/>
      <c r="U31240"/>
      <c r="X31240" s="60"/>
    </row>
    <row r="31241" spans="7:24" ht="15" customHeight="1">
      <c r="G31241"/>
      <c r="I31241"/>
      <c r="N31241"/>
      <c r="O31241" s="24"/>
      <c r="P31241"/>
      <c r="Q31241" s="24"/>
      <c r="R31241"/>
      <c r="S31241"/>
      <c r="T31241"/>
      <c r="U31241"/>
      <c r="X31241" s="60"/>
    </row>
    <row r="31242" spans="7:24" ht="15" customHeight="1">
      <c r="G31242"/>
      <c r="I31242"/>
      <c r="N31242"/>
      <c r="O31242" s="24"/>
      <c r="P31242"/>
      <c r="Q31242" s="24"/>
      <c r="R31242"/>
      <c r="S31242"/>
      <c r="T31242"/>
      <c r="U31242"/>
      <c r="X31242" s="60"/>
    </row>
    <row r="31243" spans="7:24" ht="15" customHeight="1">
      <c r="G31243"/>
      <c r="I31243"/>
      <c r="N31243"/>
      <c r="O31243" s="24"/>
      <c r="P31243"/>
      <c r="Q31243" s="24"/>
      <c r="R31243"/>
      <c r="S31243"/>
      <c r="T31243"/>
      <c r="U31243"/>
      <c r="X31243" s="60"/>
    </row>
    <row r="31244" spans="7:24" ht="15" customHeight="1">
      <c r="G31244"/>
      <c r="I31244"/>
      <c r="N31244"/>
      <c r="O31244" s="24"/>
      <c r="P31244"/>
      <c r="Q31244" s="24"/>
      <c r="R31244"/>
      <c r="S31244"/>
      <c r="T31244"/>
      <c r="U31244"/>
      <c r="X31244" s="60"/>
    </row>
    <row r="31245" spans="7:24" ht="15" customHeight="1">
      <c r="G31245"/>
      <c r="I31245"/>
      <c r="N31245"/>
      <c r="O31245" s="24"/>
      <c r="P31245"/>
      <c r="Q31245" s="24"/>
      <c r="R31245"/>
      <c r="S31245"/>
      <c r="T31245"/>
      <c r="U31245"/>
      <c r="X31245" s="60"/>
    </row>
    <row r="31246" spans="7:24" ht="15" customHeight="1">
      <c r="G31246"/>
      <c r="I31246"/>
      <c r="N31246"/>
      <c r="O31246" s="24"/>
      <c r="P31246"/>
      <c r="Q31246" s="24"/>
      <c r="R31246"/>
      <c r="S31246"/>
      <c r="T31246"/>
      <c r="U31246"/>
      <c r="X31246" s="60"/>
    </row>
    <row r="31247" spans="7:24" ht="15" customHeight="1">
      <c r="G31247"/>
      <c r="I31247"/>
      <c r="N31247"/>
      <c r="O31247" s="24"/>
      <c r="P31247"/>
      <c r="Q31247" s="24"/>
      <c r="R31247"/>
      <c r="S31247"/>
      <c r="T31247"/>
      <c r="U31247"/>
      <c r="X31247" s="60"/>
    </row>
    <row r="31248" spans="7:24" ht="15" customHeight="1">
      <c r="G31248"/>
      <c r="I31248"/>
      <c r="N31248"/>
      <c r="O31248" s="24"/>
      <c r="P31248"/>
      <c r="Q31248" s="24"/>
      <c r="R31248"/>
      <c r="S31248"/>
      <c r="T31248"/>
      <c r="U31248"/>
      <c r="X31248" s="60"/>
    </row>
    <row r="31249" spans="7:24" ht="15" customHeight="1">
      <c r="G31249"/>
      <c r="I31249"/>
      <c r="N31249"/>
      <c r="O31249" s="24"/>
      <c r="P31249"/>
      <c r="Q31249" s="24"/>
      <c r="R31249"/>
      <c r="S31249"/>
      <c r="T31249"/>
      <c r="U31249"/>
      <c r="X31249" s="60"/>
    </row>
    <row r="31250" spans="7:24" ht="15" customHeight="1">
      <c r="G31250"/>
      <c r="I31250"/>
      <c r="N31250"/>
      <c r="O31250" s="24"/>
      <c r="P31250"/>
      <c r="Q31250" s="24"/>
      <c r="R31250"/>
      <c r="S31250"/>
      <c r="T31250"/>
      <c r="U31250"/>
      <c r="X31250" s="60"/>
    </row>
    <row r="31251" spans="7:24" ht="15" customHeight="1">
      <c r="G31251"/>
      <c r="I31251"/>
      <c r="N31251"/>
      <c r="O31251" s="24"/>
      <c r="P31251"/>
      <c r="Q31251" s="24"/>
      <c r="R31251"/>
      <c r="S31251"/>
      <c r="T31251"/>
      <c r="U31251"/>
      <c r="X31251" s="60"/>
    </row>
    <row r="31252" spans="7:24" ht="15" customHeight="1">
      <c r="G31252"/>
      <c r="I31252"/>
      <c r="N31252"/>
      <c r="O31252" s="24"/>
      <c r="P31252"/>
      <c r="Q31252" s="24"/>
      <c r="R31252"/>
      <c r="S31252"/>
      <c r="T31252"/>
      <c r="U31252"/>
      <c r="X31252" s="60"/>
    </row>
    <row r="31253" spans="7:24" ht="15" customHeight="1">
      <c r="G31253"/>
      <c r="I31253"/>
      <c r="N31253"/>
      <c r="O31253" s="24"/>
      <c r="P31253"/>
      <c r="Q31253" s="24"/>
      <c r="R31253"/>
      <c r="S31253"/>
      <c r="T31253"/>
      <c r="U31253"/>
      <c r="X31253" s="60"/>
    </row>
    <row r="31254" spans="7:24" ht="15" customHeight="1">
      <c r="G31254"/>
      <c r="I31254"/>
      <c r="N31254"/>
      <c r="O31254" s="24"/>
      <c r="P31254"/>
      <c r="Q31254" s="24"/>
      <c r="R31254"/>
      <c r="S31254"/>
      <c r="T31254"/>
      <c r="U31254"/>
      <c r="X31254" s="60"/>
    </row>
    <row r="31255" spans="7:24" ht="15" customHeight="1">
      <c r="G31255"/>
      <c r="I31255"/>
      <c r="N31255"/>
      <c r="O31255" s="24"/>
      <c r="P31255"/>
      <c r="Q31255" s="24"/>
      <c r="R31255"/>
      <c r="S31255"/>
      <c r="T31255"/>
      <c r="U31255"/>
      <c r="X31255" s="60"/>
    </row>
    <row r="31256" spans="7:24" ht="15" customHeight="1">
      <c r="G31256"/>
      <c r="I31256"/>
      <c r="N31256"/>
      <c r="O31256" s="24"/>
      <c r="P31256"/>
      <c r="Q31256" s="24"/>
      <c r="R31256"/>
      <c r="S31256"/>
      <c r="T31256"/>
      <c r="U31256"/>
      <c r="X31256" s="60"/>
    </row>
    <row r="31257" spans="7:24" ht="15" customHeight="1">
      <c r="G31257"/>
      <c r="I31257"/>
      <c r="N31257"/>
      <c r="O31257" s="24"/>
      <c r="P31257"/>
      <c r="Q31257" s="24"/>
      <c r="R31257"/>
      <c r="S31257"/>
      <c r="T31257"/>
      <c r="U31257"/>
      <c r="X31257" s="60"/>
    </row>
    <row r="31258" spans="7:24" ht="15" customHeight="1">
      <c r="G31258"/>
      <c r="I31258"/>
      <c r="N31258"/>
      <c r="O31258" s="24"/>
      <c r="P31258"/>
      <c r="Q31258" s="24"/>
      <c r="R31258"/>
      <c r="S31258"/>
      <c r="T31258"/>
      <c r="U31258"/>
      <c r="X31258" s="60"/>
    </row>
    <row r="31259" spans="7:24" ht="15" customHeight="1">
      <c r="G31259"/>
      <c r="I31259"/>
      <c r="N31259"/>
      <c r="O31259" s="24"/>
      <c r="P31259"/>
      <c r="Q31259" s="24"/>
      <c r="R31259"/>
      <c r="S31259"/>
      <c r="T31259"/>
      <c r="U31259"/>
      <c r="X31259" s="60"/>
    </row>
    <row r="31260" spans="7:24" ht="15" customHeight="1">
      <c r="G31260"/>
      <c r="I31260"/>
      <c r="N31260"/>
      <c r="O31260" s="24"/>
      <c r="P31260"/>
      <c r="Q31260" s="24"/>
      <c r="R31260"/>
      <c r="S31260"/>
      <c r="T31260"/>
      <c r="U31260"/>
      <c r="X31260" s="60"/>
    </row>
    <row r="31261" spans="7:24" ht="15" customHeight="1">
      <c r="G31261"/>
      <c r="I31261"/>
      <c r="N31261"/>
      <c r="O31261" s="24"/>
      <c r="P31261"/>
      <c r="Q31261" s="24"/>
      <c r="R31261"/>
      <c r="S31261"/>
      <c r="T31261"/>
      <c r="U31261"/>
      <c r="X31261" s="60"/>
    </row>
    <row r="31262" spans="7:24" ht="15" customHeight="1">
      <c r="G31262"/>
      <c r="I31262"/>
      <c r="N31262"/>
      <c r="O31262" s="24"/>
      <c r="P31262"/>
      <c r="Q31262" s="24"/>
      <c r="R31262"/>
      <c r="S31262"/>
      <c r="T31262"/>
      <c r="U31262"/>
      <c r="X31262" s="60"/>
    </row>
    <row r="31263" spans="7:24" ht="15" customHeight="1">
      <c r="G31263"/>
      <c r="I31263"/>
      <c r="N31263"/>
      <c r="O31263" s="24"/>
      <c r="P31263"/>
      <c r="Q31263" s="24"/>
      <c r="R31263"/>
      <c r="S31263"/>
      <c r="T31263"/>
      <c r="U31263"/>
      <c r="X31263" s="60"/>
    </row>
    <row r="31264" spans="7:24" ht="15" customHeight="1">
      <c r="G31264"/>
      <c r="I31264"/>
      <c r="N31264"/>
      <c r="O31264" s="24"/>
      <c r="P31264"/>
      <c r="Q31264" s="24"/>
      <c r="R31264"/>
      <c r="S31264"/>
      <c r="T31264"/>
      <c r="U31264"/>
      <c r="X31264" s="60"/>
    </row>
    <row r="31265" spans="7:24" ht="15" customHeight="1">
      <c r="G31265"/>
      <c r="I31265"/>
      <c r="N31265"/>
      <c r="O31265" s="24"/>
      <c r="P31265"/>
      <c r="Q31265" s="24"/>
      <c r="R31265"/>
      <c r="S31265"/>
      <c r="T31265"/>
      <c r="U31265"/>
      <c r="X31265" s="60"/>
    </row>
    <row r="31266" spans="7:24" ht="15" customHeight="1">
      <c r="G31266"/>
      <c r="I31266"/>
      <c r="N31266"/>
      <c r="O31266" s="24"/>
      <c r="P31266"/>
      <c r="Q31266" s="24"/>
      <c r="R31266"/>
      <c r="S31266"/>
      <c r="T31266"/>
      <c r="U31266"/>
      <c r="X31266" s="60"/>
    </row>
    <row r="31267" spans="7:24" ht="15" customHeight="1">
      <c r="G31267"/>
      <c r="I31267"/>
      <c r="N31267"/>
      <c r="O31267" s="24"/>
      <c r="P31267"/>
      <c r="Q31267" s="24"/>
      <c r="R31267"/>
      <c r="S31267"/>
      <c r="T31267"/>
      <c r="U31267"/>
      <c r="X31267" s="60"/>
    </row>
    <row r="31268" spans="7:24" ht="15" customHeight="1">
      <c r="G31268"/>
      <c r="I31268"/>
      <c r="N31268"/>
      <c r="O31268" s="24"/>
      <c r="P31268"/>
      <c r="Q31268" s="24"/>
      <c r="R31268"/>
      <c r="S31268"/>
      <c r="T31268"/>
      <c r="U31268"/>
      <c r="X31268" s="60"/>
    </row>
    <row r="31269" spans="7:24" ht="15" customHeight="1">
      <c r="G31269"/>
      <c r="I31269"/>
      <c r="N31269"/>
      <c r="O31269" s="24"/>
      <c r="P31269"/>
      <c r="Q31269" s="24"/>
      <c r="R31269"/>
      <c r="S31269"/>
      <c r="T31269"/>
      <c r="U31269"/>
      <c r="X31269" s="60"/>
    </row>
    <row r="31270" spans="7:24" ht="15" customHeight="1">
      <c r="G31270"/>
      <c r="I31270"/>
      <c r="N31270"/>
      <c r="O31270" s="24"/>
      <c r="P31270"/>
      <c r="Q31270" s="24"/>
      <c r="R31270"/>
      <c r="S31270"/>
      <c r="T31270"/>
      <c r="U31270"/>
      <c r="X31270" s="60"/>
    </row>
    <row r="31271" spans="7:24" ht="15" customHeight="1">
      <c r="G31271"/>
      <c r="I31271"/>
      <c r="N31271"/>
      <c r="O31271" s="24"/>
      <c r="P31271"/>
      <c r="Q31271" s="24"/>
      <c r="R31271"/>
      <c r="S31271"/>
      <c r="T31271"/>
      <c r="U31271"/>
      <c r="X31271" s="60"/>
    </row>
    <row r="31272" spans="7:24" ht="15" customHeight="1">
      <c r="G31272"/>
      <c r="I31272"/>
      <c r="N31272"/>
      <c r="O31272" s="24"/>
      <c r="P31272"/>
      <c r="Q31272" s="24"/>
      <c r="R31272"/>
      <c r="S31272"/>
      <c r="T31272"/>
      <c r="U31272"/>
      <c r="X31272" s="60"/>
    </row>
    <row r="31273" spans="7:24" ht="15" customHeight="1">
      <c r="G31273"/>
      <c r="I31273"/>
      <c r="N31273"/>
      <c r="O31273" s="24"/>
      <c r="P31273"/>
      <c r="Q31273" s="24"/>
      <c r="R31273"/>
      <c r="S31273"/>
      <c r="T31273"/>
      <c r="U31273"/>
      <c r="X31273" s="60"/>
    </row>
    <row r="31274" spans="7:24" ht="15" customHeight="1">
      <c r="G31274"/>
      <c r="I31274"/>
      <c r="N31274"/>
      <c r="O31274" s="24"/>
      <c r="P31274"/>
      <c r="Q31274" s="24"/>
      <c r="R31274"/>
      <c r="S31274"/>
      <c r="T31274"/>
      <c r="U31274"/>
      <c r="X31274" s="60"/>
    </row>
    <row r="31275" spans="7:24" ht="15" customHeight="1">
      <c r="G31275"/>
      <c r="I31275"/>
      <c r="N31275"/>
      <c r="O31275" s="24"/>
      <c r="P31275"/>
      <c r="Q31275" s="24"/>
      <c r="R31275"/>
      <c r="S31275"/>
      <c r="T31275"/>
      <c r="U31275"/>
      <c r="X31275" s="60"/>
    </row>
    <row r="31276" spans="7:24" ht="15" customHeight="1">
      <c r="G31276"/>
      <c r="I31276"/>
      <c r="N31276"/>
      <c r="O31276" s="24"/>
      <c r="P31276"/>
      <c r="Q31276" s="24"/>
      <c r="R31276"/>
      <c r="S31276"/>
      <c r="T31276"/>
      <c r="U31276"/>
      <c r="X31276" s="60"/>
    </row>
    <row r="31277" spans="7:24" ht="15" customHeight="1">
      <c r="G31277"/>
      <c r="I31277"/>
      <c r="N31277"/>
      <c r="O31277" s="24"/>
      <c r="P31277"/>
      <c r="Q31277" s="24"/>
      <c r="R31277"/>
      <c r="S31277"/>
      <c r="T31277"/>
      <c r="U31277"/>
      <c r="X31277" s="60"/>
    </row>
    <row r="31278" spans="7:24" ht="15" customHeight="1">
      <c r="G31278"/>
      <c r="I31278"/>
      <c r="N31278"/>
      <c r="O31278" s="24"/>
      <c r="P31278"/>
      <c r="Q31278" s="24"/>
      <c r="R31278"/>
      <c r="S31278"/>
      <c r="T31278"/>
      <c r="U31278"/>
      <c r="X31278" s="60"/>
    </row>
    <row r="31279" spans="7:24" ht="15" customHeight="1">
      <c r="G31279"/>
      <c r="I31279"/>
      <c r="N31279"/>
      <c r="O31279" s="24"/>
      <c r="P31279"/>
      <c r="Q31279" s="24"/>
      <c r="R31279"/>
      <c r="S31279"/>
      <c r="T31279"/>
      <c r="U31279"/>
      <c r="X31279" s="60"/>
    </row>
    <row r="31280" spans="7:24" ht="15" customHeight="1">
      <c r="G31280"/>
      <c r="I31280"/>
      <c r="N31280"/>
      <c r="O31280" s="24"/>
      <c r="P31280"/>
      <c r="Q31280" s="24"/>
      <c r="R31280"/>
      <c r="S31280"/>
      <c r="T31280"/>
      <c r="U31280"/>
      <c r="X31280" s="60"/>
    </row>
    <row r="31281" spans="7:24" ht="15" customHeight="1">
      <c r="G31281"/>
      <c r="I31281"/>
      <c r="N31281"/>
      <c r="O31281" s="24"/>
      <c r="P31281"/>
      <c r="Q31281" s="24"/>
      <c r="R31281"/>
      <c r="S31281"/>
      <c r="T31281"/>
      <c r="U31281"/>
      <c r="X31281" s="60"/>
    </row>
    <row r="31282" spans="7:24" ht="15" customHeight="1">
      <c r="G31282"/>
      <c r="I31282"/>
      <c r="N31282"/>
      <c r="O31282" s="24"/>
      <c r="P31282"/>
      <c r="Q31282" s="24"/>
      <c r="R31282"/>
      <c r="S31282"/>
      <c r="T31282"/>
      <c r="U31282"/>
      <c r="X31282" s="60"/>
    </row>
    <row r="31283" spans="7:24" ht="15" customHeight="1">
      <c r="G31283"/>
      <c r="I31283"/>
      <c r="N31283"/>
      <c r="O31283" s="24"/>
      <c r="P31283"/>
      <c r="Q31283" s="24"/>
      <c r="R31283"/>
      <c r="S31283"/>
      <c r="T31283"/>
      <c r="U31283"/>
      <c r="X31283" s="60"/>
    </row>
    <row r="31284" spans="7:24" ht="15" customHeight="1">
      <c r="G31284"/>
      <c r="I31284"/>
      <c r="N31284"/>
      <c r="O31284" s="24"/>
      <c r="P31284"/>
      <c r="Q31284" s="24"/>
      <c r="R31284"/>
      <c r="S31284"/>
      <c r="T31284"/>
      <c r="U31284"/>
      <c r="X31284" s="60"/>
    </row>
    <row r="31285" spans="7:24" ht="15" customHeight="1">
      <c r="G31285"/>
      <c r="I31285"/>
      <c r="N31285"/>
      <c r="O31285" s="24"/>
      <c r="P31285"/>
      <c r="Q31285" s="24"/>
      <c r="R31285"/>
      <c r="S31285"/>
      <c r="T31285"/>
      <c r="U31285"/>
      <c r="X31285" s="60"/>
    </row>
    <row r="31286" spans="7:24" ht="15" customHeight="1">
      <c r="G31286"/>
      <c r="I31286"/>
      <c r="N31286"/>
      <c r="O31286" s="24"/>
      <c r="P31286"/>
      <c r="Q31286" s="24"/>
      <c r="R31286"/>
      <c r="S31286"/>
      <c r="T31286"/>
      <c r="U31286"/>
      <c r="X31286" s="60"/>
    </row>
    <row r="31287" spans="7:24" ht="15" customHeight="1">
      <c r="G31287"/>
      <c r="I31287"/>
      <c r="N31287"/>
      <c r="O31287" s="24"/>
      <c r="P31287"/>
      <c r="Q31287" s="24"/>
      <c r="R31287"/>
      <c r="S31287"/>
      <c r="T31287"/>
      <c r="U31287"/>
      <c r="X31287" s="60"/>
    </row>
    <row r="31288" spans="7:24" ht="15" customHeight="1">
      <c r="G31288"/>
      <c r="I31288"/>
      <c r="N31288"/>
      <c r="O31288" s="24"/>
      <c r="P31288"/>
      <c r="Q31288" s="24"/>
      <c r="R31288"/>
      <c r="S31288"/>
      <c r="T31288"/>
      <c r="U31288"/>
      <c r="X31288" s="60"/>
    </row>
    <row r="31289" spans="7:24" ht="15" customHeight="1">
      <c r="G31289"/>
      <c r="I31289"/>
      <c r="N31289"/>
      <c r="O31289" s="24"/>
      <c r="P31289"/>
      <c r="Q31289" s="24"/>
      <c r="R31289"/>
      <c r="S31289"/>
      <c r="T31289"/>
      <c r="U31289"/>
      <c r="X31289" s="60"/>
    </row>
    <row r="31290" spans="7:24" ht="15" customHeight="1">
      <c r="G31290"/>
      <c r="I31290"/>
      <c r="N31290"/>
      <c r="O31290" s="24"/>
      <c r="P31290"/>
      <c r="Q31290" s="24"/>
      <c r="R31290"/>
      <c r="S31290"/>
      <c r="T31290"/>
      <c r="U31290"/>
      <c r="X31290" s="60"/>
    </row>
    <row r="31291" spans="7:24" ht="15" customHeight="1">
      <c r="G31291"/>
      <c r="I31291"/>
      <c r="N31291"/>
      <c r="O31291" s="24"/>
      <c r="P31291"/>
      <c r="Q31291" s="24"/>
      <c r="R31291"/>
      <c r="S31291"/>
      <c r="T31291"/>
      <c r="U31291"/>
      <c r="X31291" s="60"/>
    </row>
    <row r="31292" spans="7:24" ht="15" customHeight="1">
      <c r="G31292"/>
      <c r="I31292"/>
      <c r="N31292"/>
      <c r="O31292" s="24"/>
      <c r="P31292"/>
      <c r="Q31292" s="24"/>
      <c r="R31292"/>
      <c r="S31292"/>
      <c r="T31292"/>
      <c r="U31292"/>
      <c r="X31292" s="60"/>
    </row>
    <row r="31293" spans="7:24" ht="15" customHeight="1">
      <c r="G31293"/>
      <c r="I31293"/>
      <c r="N31293"/>
      <c r="O31293" s="24"/>
      <c r="P31293"/>
      <c r="Q31293" s="24"/>
      <c r="R31293"/>
      <c r="S31293"/>
      <c r="T31293"/>
      <c r="U31293"/>
      <c r="X31293" s="60"/>
    </row>
    <row r="31294" spans="7:24" ht="15" customHeight="1">
      <c r="G31294"/>
      <c r="I31294"/>
      <c r="N31294"/>
      <c r="O31294" s="24"/>
      <c r="P31294"/>
      <c r="Q31294" s="24"/>
      <c r="R31294"/>
      <c r="S31294"/>
      <c r="T31294"/>
      <c r="U31294"/>
      <c r="X31294" s="60"/>
    </row>
    <row r="31295" spans="7:24" ht="15" customHeight="1">
      <c r="G31295"/>
      <c r="I31295"/>
      <c r="N31295"/>
      <c r="O31295" s="24"/>
      <c r="P31295"/>
      <c r="Q31295" s="24"/>
      <c r="R31295"/>
      <c r="S31295"/>
      <c r="T31295"/>
      <c r="U31295"/>
      <c r="X31295" s="60"/>
    </row>
    <row r="31296" spans="7:24" ht="15" customHeight="1">
      <c r="G31296"/>
      <c r="I31296"/>
      <c r="N31296"/>
      <c r="O31296" s="24"/>
      <c r="P31296"/>
      <c r="Q31296" s="24"/>
      <c r="R31296"/>
      <c r="S31296"/>
      <c r="T31296"/>
      <c r="U31296"/>
      <c r="X31296" s="60"/>
    </row>
    <row r="31297" spans="7:24" ht="15" customHeight="1">
      <c r="G31297"/>
      <c r="I31297"/>
      <c r="N31297"/>
      <c r="O31297" s="24"/>
      <c r="P31297"/>
      <c r="Q31297" s="24"/>
      <c r="R31297"/>
      <c r="S31297"/>
      <c r="T31297"/>
      <c r="U31297"/>
      <c r="X31297" s="60"/>
    </row>
    <row r="31298" spans="7:24" ht="15" customHeight="1">
      <c r="G31298"/>
      <c r="I31298"/>
      <c r="N31298"/>
      <c r="O31298" s="24"/>
      <c r="P31298"/>
      <c r="Q31298" s="24"/>
      <c r="R31298"/>
      <c r="S31298"/>
      <c r="T31298"/>
      <c r="U31298"/>
      <c r="X31298" s="60"/>
    </row>
    <row r="31299" spans="7:24" ht="15" customHeight="1">
      <c r="G31299"/>
      <c r="I31299"/>
      <c r="N31299"/>
      <c r="O31299" s="24"/>
      <c r="P31299"/>
      <c r="Q31299" s="24"/>
      <c r="R31299"/>
      <c r="S31299"/>
      <c r="T31299"/>
      <c r="U31299"/>
      <c r="X31299" s="60"/>
    </row>
    <row r="31300" spans="7:24" ht="15" customHeight="1">
      <c r="G31300"/>
      <c r="I31300"/>
      <c r="N31300"/>
      <c r="O31300" s="24"/>
      <c r="P31300"/>
      <c r="Q31300" s="24"/>
      <c r="R31300"/>
      <c r="S31300"/>
      <c r="T31300"/>
      <c r="U31300"/>
      <c r="X31300" s="60"/>
    </row>
    <row r="31301" spans="7:24" ht="15" customHeight="1">
      <c r="G31301"/>
      <c r="I31301"/>
      <c r="N31301"/>
      <c r="O31301" s="24"/>
      <c r="P31301"/>
      <c r="Q31301" s="24"/>
      <c r="R31301"/>
      <c r="S31301"/>
      <c r="T31301"/>
      <c r="U31301"/>
      <c r="X31301" s="60"/>
    </row>
    <row r="31302" spans="7:24" ht="15" customHeight="1">
      <c r="G31302"/>
      <c r="I31302"/>
      <c r="N31302"/>
      <c r="O31302" s="24"/>
      <c r="P31302"/>
      <c r="Q31302" s="24"/>
      <c r="R31302"/>
      <c r="S31302"/>
      <c r="T31302"/>
      <c r="U31302"/>
      <c r="X31302" s="60"/>
    </row>
    <row r="31303" spans="7:24" ht="15" customHeight="1">
      <c r="G31303"/>
      <c r="I31303"/>
      <c r="N31303"/>
      <c r="O31303" s="24"/>
      <c r="P31303"/>
      <c r="Q31303" s="24"/>
      <c r="R31303"/>
      <c r="S31303"/>
      <c r="T31303"/>
      <c r="U31303"/>
      <c r="X31303" s="60"/>
    </row>
    <row r="31304" spans="7:24" ht="15" customHeight="1">
      <c r="G31304"/>
      <c r="I31304"/>
      <c r="N31304"/>
      <c r="O31304" s="24"/>
      <c r="P31304"/>
      <c r="Q31304" s="24"/>
      <c r="R31304"/>
      <c r="S31304"/>
      <c r="T31304"/>
      <c r="U31304"/>
      <c r="X31304" s="60"/>
    </row>
    <row r="31305" spans="7:24" ht="15" customHeight="1">
      <c r="G31305"/>
      <c r="I31305"/>
      <c r="N31305"/>
      <c r="O31305" s="24"/>
      <c r="P31305"/>
      <c r="Q31305" s="24"/>
      <c r="R31305"/>
      <c r="S31305"/>
      <c r="T31305"/>
      <c r="U31305"/>
      <c r="X31305" s="60"/>
    </row>
    <row r="31306" spans="7:24" ht="15" customHeight="1">
      <c r="G31306"/>
      <c r="I31306"/>
      <c r="N31306"/>
      <c r="O31306" s="24"/>
      <c r="P31306"/>
      <c r="Q31306" s="24"/>
      <c r="R31306"/>
      <c r="S31306"/>
      <c r="T31306"/>
      <c r="U31306"/>
      <c r="X31306" s="60"/>
    </row>
    <row r="31307" spans="7:24" ht="15" customHeight="1">
      <c r="G31307"/>
      <c r="I31307"/>
      <c r="N31307"/>
      <c r="O31307" s="24"/>
      <c r="P31307"/>
      <c r="Q31307" s="24"/>
      <c r="R31307"/>
      <c r="S31307"/>
      <c r="T31307"/>
      <c r="U31307"/>
      <c r="X31307" s="60"/>
    </row>
    <row r="31308" spans="7:24" ht="15" customHeight="1">
      <c r="G31308"/>
      <c r="I31308"/>
      <c r="N31308"/>
      <c r="O31308" s="24"/>
      <c r="P31308"/>
      <c r="Q31308" s="24"/>
      <c r="R31308"/>
      <c r="S31308"/>
      <c r="T31308"/>
      <c r="U31308"/>
      <c r="X31308" s="60"/>
    </row>
    <row r="31309" spans="7:24" ht="15" customHeight="1">
      <c r="G31309"/>
      <c r="I31309"/>
      <c r="N31309"/>
      <c r="O31309" s="24"/>
      <c r="P31309"/>
      <c r="Q31309" s="24"/>
      <c r="R31309"/>
      <c r="S31309"/>
      <c r="T31309"/>
      <c r="U31309"/>
      <c r="X31309" s="60"/>
    </row>
    <row r="31310" spans="7:24" ht="15" customHeight="1">
      <c r="G31310"/>
      <c r="I31310"/>
      <c r="N31310"/>
      <c r="O31310" s="24"/>
      <c r="P31310"/>
      <c r="Q31310" s="24"/>
      <c r="R31310"/>
      <c r="S31310"/>
      <c r="T31310"/>
      <c r="U31310"/>
      <c r="X31310" s="60"/>
    </row>
    <row r="31311" spans="7:24" ht="15" customHeight="1">
      <c r="G31311"/>
      <c r="I31311"/>
      <c r="N31311"/>
      <c r="O31311" s="24"/>
      <c r="P31311"/>
      <c r="Q31311" s="24"/>
      <c r="R31311"/>
      <c r="S31311"/>
      <c r="T31311"/>
      <c r="U31311"/>
      <c r="X31311" s="60"/>
    </row>
    <row r="31312" spans="7:24" ht="15" customHeight="1">
      <c r="G31312"/>
      <c r="I31312"/>
      <c r="N31312"/>
      <c r="O31312" s="24"/>
      <c r="P31312"/>
      <c r="Q31312" s="24"/>
      <c r="R31312"/>
      <c r="S31312"/>
      <c r="T31312"/>
      <c r="U31312"/>
      <c r="X31312" s="60"/>
    </row>
    <row r="31313" spans="7:24" ht="15" customHeight="1">
      <c r="G31313"/>
      <c r="I31313"/>
      <c r="N31313"/>
      <c r="O31313" s="24"/>
      <c r="P31313"/>
      <c r="Q31313" s="24"/>
      <c r="R31313"/>
      <c r="S31313"/>
      <c r="T31313"/>
      <c r="U31313"/>
      <c r="X31313" s="60"/>
    </row>
    <row r="31314" spans="7:24" ht="15" customHeight="1">
      <c r="G31314"/>
      <c r="I31314"/>
      <c r="N31314"/>
      <c r="O31314" s="24"/>
      <c r="P31314"/>
      <c r="Q31314" s="24"/>
      <c r="R31314"/>
      <c r="S31314"/>
      <c r="T31314"/>
      <c r="U31314"/>
      <c r="X31314" s="60"/>
    </row>
    <row r="31315" spans="7:24" ht="15" customHeight="1">
      <c r="G31315"/>
      <c r="I31315"/>
      <c r="N31315"/>
      <c r="O31315" s="24"/>
      <c r="P31315"/>
      <c r="Q31315" s="24"/>
      <c r="R31315"/>
      <c r="S31315"/>
      <c r="T31315"/>
      <c r="U31315"/>
      <c r="X31315" s="60"/>
    </row>
    <row r="31316" spans="7:24" ht="15" customHeight="1">
      <c r="G31316"/>
      <c r="I31316"/>
      <c r="N31316"/>
      <c r="O31316" s="24"/>
      <c r="P31316"/>
      <c r="Q31316" s="24"/>
      <c r="R31316"/>
      <c r="S31316"/>
      <c r="T31316"/>
      <c r="U31316"/>
      <c r="X31316" s="60"/>
    </row>
    <row r="31317" spans="7:24" ht="15" customHeight="1">
      <c r="G31317"/>
      <c r="I31317"/>
      <c r="N31317"/>
      <c r="O31317" s="24"/>
      <c r="P31317"/>
      <c r="Q31317" s="24"/>
      <c r="R31317"/>
      <c r="S31317"/>
      <c r="T31317"/>
      <c r="U31317"/>
      <c r="X31317" s="60"/>
    </row>
    <row r="31318" spans="7:24" ht="15" customHeight="1">
      <c r="G31318"/>
      <c r="I31318"/>
      <c r="N31318"/>
      <c r="O31318" s="24"/>
      <c r="P31318"/>
      <c r="Q31318" s="24"/>
      <c r="R31318"/>
      <c r="S31318"/>
      <c r="T31318"/>
      <c r="U31318"/>
      <c r="X31318" s="60"/>
    </row>
    <row r="31319" spans="7:24" ht="15" customHeight="1">
      <c r="G31319"/>
      <c r="I31319"/>
      <c r="N31319"/>
      <c r="O31319" s="24"/>
      <c r="P31319"/>
      <c r="Q31319" s="24"/>
      <c r="R31319"/>
      <c r="S31319"/>
      <c r="T31319"/>
      <c r="U31319"/>
      <c r="X31319" s="60"/>
    </row>
    <row r="31320" spans="7:24" ht="15" customHeight="1">
      <c r="G31320"/>
      <c r="I31320"/>
      <c r="N31320"/>
      <c r="O31320" s="24"/>
      <c r="P31320"/>
      <c r="Q31320" s="24"/>
      <c r="R31320"/>
      <c r="S31320"/>
      <c r="T31320"/>
      <c r="U31320"/>
      <c r="X31320" s="60"/>
    </row>
    <row r="31321" spans="7:24" ht="15" customHeight="1">
      <c r="G31321"/>
      <c r="I31321"/>
      <c r="N31321"/>
      <c r="O31321" s="24"/>
      <c r="P31321"/>
      <c r="Q31321" s="24"/>
      <c r="R31321"/>
      <c r="S31321"/>
      <c r="T31321"/>
      <c r="U31321"/>
      <c r="X31321" s="60"/>
    </row>
    <row r="31322" spans="7:24" ht="15" customHeight="1">
      <c r="G31322"/>
      <c r="I31322"/>
      <c r="N31322"/>
      <c r="O31322" s="24"/>
      <c r="P31322"/>
      <c r="Q31322" s="24"/>
      <c r="R31322"/>
      <c r="S31322"/>
      <c r="T31322"/>
      <c r="U31322"/>
      <c r="X31322" s="60"/>
    </row>
    <row r="31323" spans="7:24" ht="15" customHeight="1">
      <c r="G31323"/>
      <c r="I31323"/>
      <c r="N31323"/>
      <c r="O31323" s="24"/>
      <c r="P31323"/>
      <c r="Q31323" s="24"/>
      <c r="R31323"/>
      <c r="S31323"/>
      <c r="T31323"/>
      <c r="U31323"/>
      <c r="X31323" s="60"/>
    </row>
    <row r="31324" spans="7:24" ht="15" customHeight="1">
      <c r="G31324"/>
      <c r="I31324"/>
      <c r="N31324"/>
      <c r="O31324" s="24"/>
      <c r="P31324"/>
      <c r="Q31324" s="24"/>
      <c r="R31324"/>
      <c r="S31324"/>
      <c r="T31324"/>
      <c r="U31324"/>
      <c r="X31324" s="60"/>
    </row>
    <row r="31325" spans="7:24" ht="15" customHeight="1">
      <c r="G31325"/>
      <c r="I31325"/>
      <c r="N31325"/>
      <c r="O31325" s="24"/>
      <c r="P31325"/>
      <c r="Q31325" s="24"/>
      <c r="R31325"/>
      <c r="S31325"/>
      <c r="T31325"/>
      <c r="U31325"/>
      <c r="X31325" s="60"/>
    </row>
    <row r="31326" spans="7:24" ht="15" customHeight="1">
      <c r="G31326"/>
      <c r="I31326"/>
      <c r="N31326"/>
      <c r="O31326" s="24"/>
      <c r="P31326"/>
      <c r="Q31326" s="24"/>
      <c r="R31326"/>
      <c r="S31326"/>
      <c r="T31326"/>
      <c r="U31326"/>
      <c r="X31326" s="60"/>
    </row>
    <row r="31327" spans="7:24" ht="15" customHeight="1">
      <c r="G31327"/>
      <c r="I31327"/>
      <c r="N31327"/>
      <c r="O31327" s="24"/>
      <c r="P31327"/>
      <c r="Q31327" s="24"/>
      <c r="R31327"/>
      <c r="S31327"/>
      <c r="T31327"/>
      <c r="U31327"/>
      <c r="X31327" s="60"/>
    </row>
    <row r="31328" spans="7:24" ht="15" customHeight="1">
      <c r="G31328"/>
      <c r="I31328"/>
      <c r="N31328"/>
      <c r="O31328" s="24"/>
      <c r="P31328"/>
      <c r="Q31328" s="24"/>
      <c r="R31328"/>
      <c r="S31328"/>
      <c r="T31328"/>
      <c r="U31328"/>
      <c r="X31328" s="60"/>
    </row>
    <row r="31329" spans="7:24" ht="15" customHeight="1">
      <c r="G31329"/>
      <c r="I31329"/>
      <c r="N31329"/>
      <c r="O31329" s="24"/>
      <c r="P31329"/>
      <c r="Q31329" s="24"/>
      <c r="R31329"/>
      <c r="S31329"/>
      <c r="T31329"/>
      <c r="U31329"/>
      <c r="X31329" s="60"/>
    </row>
    <row r="31330" spans="7:24" ht="15" customHeight="1">
      <c r="G31330"/>
      <c r="I31330"/>
      <c r="N31330"/>
      <c r="O31330" s="24"/>
      <c r="P31330"/>
      <c r="Q31330" s="24"/>
      <c r="R31330"/>
      <c r="S31330"/>
      <c r="T31330"/>
      <c r="U31330"/>
      <c r="X31330" s="60"/>
    </row>
    <row r="31331" spans="7:24" ht="15" customHeight="1">
      <c r="G31331"/>
      <c r="I31331"/>
      <c r="N31331"/>
      <c r="O31331" s="24"/>
      <c r="P31331"/>
      <c r="Q31331" s="24"/>
      <c r="R31331"/>
      <c r="S31331"/>
      <c r="T31331"/>
      <c r="U31331"/>
      <c r="X31331" s="60"/>
    </row>
    <row r="31332" spans="7:24" ht="15" customHeight="1">
      <c r="G31332"/>
      <c r="I31332"/>
      <c r="N31332"/>
      <c r="O31332" s="24"/>
      <c r="P31332"/>
      <c r="Q31332" s="24"/>
      <c r="R31332"/>
      <c r="S31332"/>
      <c r="T31332"/>
      <c r="U31332"/>
      <c r="X31332" s="60"/>
    </row>
    <row r="31333" spans="7:24" ht="15" customHeight="1">
      <c r="G31333"/>
      <c r="I31333"/>
      <c r="N31333"/>
      <c r="O31333" s="24"/>
      <c r="P31333"/>
      <c r="Q31333" s="24"/>
      <c r="R31333"/>
      <c r="S31333"/>
      <c r="T31333"/>
      <c r="U31333"/>
      <c r="X31333" s="60"/>
    </row>
    <row r="31334" spans="7:24" ht="15" customHeight="1">
      <c r="G31334"/>
      <c r="I31334"/>
      <c r="N31334"/>
      <c r="O31334" s="24"/>
      <c r="P31334"/>
      <c r="Q31334" s="24"/>
      <c r="R31334"/>
      <c r="S31334"/>
      <c r="T31334"/>
      <c r="U31334"/>
      <c r="X31334" s="60"/>
    </row>
    <row r="31335" spans="7:24" ht="15" customHeight="1">
      <c r="G31335"/>
      <c r="I31335"/>
      <c r="N31335"/>
      <c r="O31335" s="24"/>
      <c r="P31335"/>
      <c r="Q31335" s="24"/>
      <c r="R31335"/>
      <c r="S31335"/>
      <c r="T31335"/>
      <c r="U31335"/>
      <c r="X31335" s="60"/>
    </row>
    <row r="31336" spans="7:24" ht="15" customHeight="1">
      <c r="G31336"/>
      <c r="I31336"/>
      <c r="N31336"/>
      <c r="O31336" s="24"/>
      <c r="P31336"/>
      <c r="Q31336" s="24"/>
      <c r="R31336"/>
      <c r="S31336"/>
      <c r="T31336"/>
      <c r="U31336"/>
      <c r="X31336" s="60"/>
    </row>
    <row r="31337" spans="7:24" ht="15" customHeight="1">
      <c r="G31337"/>
      <c r="I31337"/>
      <c r="N31337"/>
      <c r="O31337" s="24"/>
      <c r="P31337"/>
      <c r="Q31337" s="24"/>
      <c r="R31337"/>
      <c r="S31337"/>
      <c r="T31337"/>
      <c r="U31337"/>
      <c r="X31337" s="60"/>
    </row>
    <row r="31338" spans="7:24" ht="15" customHeight="1">
      <c r="G31338"/>
      <c r="I31338"/>
      <c r="N31338"/>
      <c r="O31338" s="24"/>
      <c r="P31338"/>
      <c r="Q31338" s="24"/>
      <c r="R31338"/>
      <c r="S31338"/>
      <c r="T31338"/>
      <c r="U31338"/>
      <c r="X31338" s="60"/>
    </row>
    <row r="31339" spans="7:24" ht="15" customHeight="1">
      <c r="G31339"/>
      <c r="I31339"/>
      <c r="N31339"/>
      <c r="O31339" s="24"/>
      <c r="P31339"/>
      <c r="Q31339" s="24"/>
      <c r="R31339"/>
      <c r="S31339"/>
      <c r="T31339"/>
      <c r="U31339"/>
      <c r="X31339" s="60"/>
    </row>
    <row r="31340" spans="7:24" ht="15" customHeight="1">
      <c r="G31340"/>
      <c r="I31340"/>
      <c r="N31340"/>
      <c r="O31340" s="24"/>
      <c r="P31340"/>
      <c r="Q31340" s="24"/>
      <c r="R31340"/>
      <c r="S31340"/>
      <c r="T31340"/>
      <c r="U31340"/>
      <c r="X31340" s="60"/>
    </row>
    <row r="31341" spans="7:24" ht="15" customHeight="1">
      <c r="G31341"/>
      <c r="I31341"/>
      <c r="N31341"/>
      <c r="O31341" s="24"/>
      <c r="P31341"/>
      <c r="Q31341" s="24"/>
      <c r="R31341"/>
      <c r="S31341"/>
      <c r="T31341"/>
      <c r="U31341"/>
      <c r="X31341" s="60"/>
    </row>
    <row r="31342" spans="7:24" ht="15" customHeight="1">
      <c r="G31342"/>
      <c r="I31342"/>
      <c r="N31342"/>
      <c r="O31342" s="24"/>
      <c r="P31342"/>
      <c r="Q31342" s="24"/>
      <c r="R31342"/>
      <c r="S31342"/>
      <c r="T31342"/>
      <c r="U31342"/>
      <c r="X31342" s="60"/>
    </row>
    <row r="31343" spans="7:24" ht="15" customHeight="1">
      <c r="G31343"/>
      <c r="I31343"/>
      <c r="N31343"/>
      <c r="O31343" s="24"/>
      <c r="P31343"/>
      <c r="Q31343" s="24"/>
      <c r="R31343"/>
      <c r="S31343"/>
      <c r="T31343"/>
      <c r="U31343"/>
      <c r="X31343" s="60"/>
    </row>
    <row r="31344" spans="7:24" ht="15" customHeight="1">
      <c r="G31344"/>
      <c r="I31344"/>
      <c r="N31344"/>
      <c r="O31344" s="24"/>
      <c r="P31344"/>
      <c r="Q31344" s="24"/>
      <c r="R31344"/>
      <c r="S31344"/>
      <c r="T31344"/>
      <c r="U31344"/>
      <c r="X31344" s="60"/>
    </row>
    <row r="31345" spans="7:24" ht="15" customHeight="1">
      <c r="G31345"/>
      <c r="I31345"/>
      <c r="N31345"/>
      <c r="O31345" s="24"/>
      <c r="P31345"/>
      <c r="Q31345" s="24"/>
      <c r="R31345"/>
      <c r="S31345"/>
      <c r="T31345"/>
      <c r="U31345"/>
      <c r="X31345" s="60"/>
    </row>
    <row r="31346" spans="7:24" ht="15" customHeight="1">
      <c r="G31346"/>
      <c r="I31346"/>
      <c r="N31346"/>
      <c r="O31346" s="24"/>
      <c r="P31346"/>
      <c r="Q31346" s="24"/>
      <c r="R31346"/>
      <c r="S31346"/>
      <c r="T31346"/>
      <c r="U31346"/>
      <c r="X31346" s="60"/>
    </row>
    <row r="31347" spans="7:24" ht="15" customHeight="1">
      <c r="G31347"/>
      <c r="I31347"/>
      <c r="N31347"/>
      <c r="O31347" s="24"/>
      <c r="P31347"/>
      <c r="Q31347" s="24"/>
      <c r="R31347"/>
      <c r="S31347"/>
      <c r="T31347"/>
      <c r="U31347"/>
      <c r="X31347" s="60"/>
    </row>
    <row r="31348" spans="7:24" ht="15" customHeight="1">
      <c r="G31348"/>
      <c r="I31348"/>
      <c r="N31348"/>
      <c r="O31348" s="24"/>
      <c r="P31348"/>
      <c r="Q31348" s="24"/>
      <c r="R31348"/>
      <c r="S31348"/>
      <c r="T31348"/>
      <c r="U31348"/>
      <c r="X31348" s="60"/>
    </row>
    <row r="31349" spans="7:24" ht="15" customHeight="1">
      <c r="G31349"/>
      <c r="I31349"/>
      <c r="N31349"/>
      <c r="O31349" s="24"/>
      <c r="P31349"/>
      <c r="Q31349" s="24"/>
      <c r="R31349"/>
      <c r="S31349"/>
      <c r="T31349"/>
      <c r="U31349"/>
      <c r="X31349" s="60"/>
    </row>
    <row r="31350" spans="7:24" ht="15" customHeight="1">
      <c r="G31350"/>
      <c r="I31350"/>
      <c r="N31350"/>
      <c r="O31350" s="24"/>
      <c r="P31350"/>
      <c r="Q31350" s="24"/>
      <c r="R31350"/>
      <c r="S31350"/>
      <c r="T31350"/>
      <c r="U31350"/>
      <c r="X31350" s="60"/>
    </row>
    <row r="31351" spans="7:24" ht="15" customHeight="1">
      <c r="G31351"/>
      <c r="I31351"/>
      <c r="N31351"/>
      <c r="O31351" s="24"/>
      <c r="P31351"/>
      <c r="Q31351" s="24"/>
      <c r="R31351"/>
      <c r="S31351"/>
      <c r="T31351"/>
      <c r="U31351"/>
      <c r="X31351" s="60"/>
    </row>
    <row r="31352" spans="7:24" ht="15" customHeight="1">
      <c r="G31352"/>
      <c r="I31352"/>
      <c r="N31352"/>
      <c r="O31352" s="24"/>
      <c r="P31352"/>
      <c r="Q31352" s="24"/>
      <c r="R31352"/>
      <c r="S31352"/>
      <c r="T31352"/>
      <c r="U31352"/>
      <c r="X31352" s="60"/>
    </row>
    <row r="31353" spans="7:24" ht="15" customHeight="1">
      <c r="G31353"/>
      <c r="I31353"/>
      <c r="N31353"/>
      <c r="O31353" s="24"/>
      <c r="P31353"/>
      <c r="Q31353" s="24"/>
      <c r="R31353"/>
      <c r="S31353"/>
      <c r="T31353"/>
      <c r="U31353"/>
      <c r="X31353" s="60"/>
    </row>
    <row r="31354" spans="7:24" ht="15" customHeight="1">
      <c r="G31354"/>
      <c r="I31354"/>
      <c r="N31354"/>
      <c r="O31354" s="24"/>
      <c r="P31354"/>
      <c r="Q31354" s="24"/>
      <c r="R31354"/>
      <c r="S31354"/>
      <c r="T31354"/>
      <c r="U31354"/>
      <c r="X31354" s="60"/>
    </row>
    <row r="31355" spans="7:24" ht="15" customHeight="1">
      <c r="G31355"/>
      <c r="I31355"/>
      <c r="N31355"/>
      <c r="O31355" s="24"/>
      <c r="P31355"/>
      <c r="Q31355" s="24"/>
      <c r="R31355"/>
      <c r="S31355"/>
      <c r="T31355"/>
      <c r="U31355"/>
      <c r="X31355" s="60"/>
    </row>
    <row r="31356" spans="7:24" ht="15" customHeight="1">
      <c r="G31356"/>
      <c r="I31356"/>
      <c r="N31356"/>
      <c r="O31356" s="24"/>
      <c r="P31356"/>
      <c r="Q31356" s="24"/>
      <c r="R31356"/>
      <c r="S31356"/>
      <c r="T31356"/>
      <c r="U31356"/>
      <c r="X31356" s="60"/>
    </row>
    <row r="31357" spans="7:24" ht="15" customHeight="1">
      <c r="G31357"/>
      <c r="I31357"/>
      <c r="N31357"/>
      <c r="O31357" s="24"/>
      <c r="P31357"/>
      <c r="Q31357" s="24"/>
      <c r="R31357"/>
      <c r="S31357"/>
      <c r="T31357"/>
      <c r="U31357"/>
      <c r="X31357" s="60"/>
    </row>
    <row r="31358" spans="7:24" ht="15" customHeight="1">
      <c r="G31358"/>
      <c r="I31358"/>
      <c r="N31358"/>
      <c r="O31358" s="24"/>
      <c r="P31358"/>
      <c r="Q31358" s="24"/>
      <c r="R31358"/>
      <c r="S31358"/>
      <c r="T31358"/>
      <c r="U31358"/>
      <c r="X31358" s="60"/>
    </row>
    <row r="31359" spans="7:24" ht="15" customHeight="1">
      <c r="G31359"/>
      <c r="I31359"/>
      <c r="N31359"/>
      <c r="O31359" s="24"/>
      <c r="P31359"/>
      <c r="Q31359" s="24"/>
      <c r="R31359"/>
      <c r="S31359"/>
      <c r="T31359"/>
      <c r="U31359"/>
      <c r="X31359" s="60"/>
    </row>
    <row r="31360" spans="7:24" ht="15" customHeight="1">
      <c r="G31360"/>
      <c r="I31360"/>
      <c r="N31360"/>
      <c r="O31360" s="24"/>
      <c r="P31360"/>
      <c r="Q31360" s="24"/>
      <c r="R31360"/>
      <c r="S31360"/>
      <c r="T31360"/>
      <c r="U31360"/>
      <c r="X31360" s="60"/>
    </row>
    <row r="31361" spans="7:24" ht="15" customHeight="1">
      <c r="G31361"/>
      <c r="I31361"/>
      <c r="N31361"/>
      <c r="O31361" s="24"/>
      <c r="P31361"/>
      <c r="Q31361" s="24"/>
      <c r="R31361"/>
      <c r="S31361"/>
      <c r="T31361"/>
      <c r="U31361"/>
      <c r="X31361" s="60"/>
    </row>
    <row r="31362" spans="7:24" ht="15" customHeight="1">
      <c r="G31362"/>
      <c r="I31362"/>
      <c r="N31362"/>
      <c r="O31362" s="24"/>
      <c r="P31362"/>
      <c r="Q31362" s="24"/>
      <c r="R31362"/>
      <c r="S31362"/>
      <c r="T31362"/>
      <c r="U31362"/>
      <c r="X31362" s="60"/>
    </row>
    <row r="31363" spans="7:24" ht="15" customHeight="1">
      <c r="G31363"/>
      <c r="I31363"/>
      <c r="N31363"/>
      <c r="O31363" s="24"/>
      <c r="P31363"/>
      <c r="Q31363" s="24"/>
      <c r="R31363"/>
      <c r="S31363"/>
      <c r="T31363"/>
      <c r="U31363"/>
      <c r="X31363" s="60"/>
    </row>
    <row r="31364" spans="7:24" ht="15" customHeight="1">
      <c r="G31364"/>
      <c r="I31364"/>
      <c r="N31364"/>
      <c r="O31364" s="24"/>
      <c r="P31364"/>
      <c r="Q31364" s="24"/>
      <c r="R31364"/>
      <c r="S31364"/>
      <c r="T31364"/>
      <c r="U31364"/>
      <c r="X31364" s="60"/>
    </row>
    <row r="31365" spans="7:24" ht="15" customHeight="1">
      <c r="G31365"/>
      <c r="I31365"/>
      <c r="N31365"/>
      <c r="O31365" s="24"/>
      <c r="P31365"/>
      <c r="Q31365" s="24"/>
      <c r="R31365"/>
      <c r="S31365"/>
      <c r="T31365"/>
      <c r="U31365"/>
      <c r="X31365" s="60"/>
    </row>
    <row r="31366" spans="7:24" ht="15" customHeight="1">
      <c r="G31366"/>
      <c r="I31366"/>
      <c r="N31366"/>
      <c r="O31366" s="24"/>
      <c r="P31366"/>
      <c r="Q31366" s="24"/>
      <c r="R31366"/>
      <c r="S31366"/>
      <c r="T31366"/>
      <c r="U31366"/>
      <c r="X31366" s="60"/>
    </row>
    <row r="31367" spans="7:24" ht="15" customHeight="1">
      <c r="G31367"/>
      <c r="I31367"/>
      <c r="N31367"/>
      <c r="O31367" s="24"/>
      <c r="P31367"/>
      <c r="Q31367" s="24"/>
      <c r="R31367"/>
      <c r="S31367"/>
      <c r="T31367"/>
      <c r="U31367"/>
      <c r="X31367" s="60"/>
    </row>
    <row r="31368" spans="7:24" ht="15" customHeight="1">
      <c r="G31368"/>
      <c r="I31368"/>
      <c r="N31368"/>
      <c r="O31368" s="24"/>
      <c r="P31368"/>
      <c r="Q31368" s="24"/>
      <c r="R31368"/>
      <c r="S31368"/>
      <c r="T31368"/>
      <c r="U31368"/>
      <c r="X31368" s="60"/>
    </row>
    <row r="31369" spans="7:24" ht="15" customHeight="1">
      <c r="G31369"/>
      <c r="I31369"/>
      <c r="N31369"/>
      <c r="O31369" s="24"/>
      <c r="P31369"/>
      <c r="Q31369" s="24"/>
      <c r="R31369"/>
      <c r="S31369"/>
      <c r="T31369"/>
      <c r="U31369"/>
      <c r="X31369" s="60"/>
    </row>
    <row r="31370" spans="7:24" ht="15" customHeight="1">
      <c r="G31370"/>
      <c r="I31370"/>
      <c r="N31370"/>
      <c r="O31370" s="24"/>
      <c r="P31370"/>
      <c r="Q31370" s="24"/>
      <c r="R31370"/>
      <c r="S31370"/>
      <c r="T31370"/>
      <c r="U31370"/>
      <c r="X31370" s="60"/>
    </row>
    <row r="31371" spans="7:24" ht="15" customHeight="1">
      <c r="G31371"/>
      <c r="I31371"/>
      <c r="N31371"/>
      <c r="O31371" s="24"/>
      <c r="P31371"/>
      <c r="Q31371" s="24"/>
      <c r="R31371"/>
      <c r="S31371"/>
      <c r="T31371"/>
      <c r="U31371"/>
      <c r="X31371" s="60"/>
    </row>
    <row r="31372" spans="7:24" ht="15" customHeight="1">
      <c r="G31372"/>
      <c r="I31372"/>
      <c r="N31372"/>
      <c r="O31372" s="24"/>
      <c r="P31372"/>
      <c r="Q31372" s="24"/>
      <c r="R31372"/>
      <c r="S31372"/>
      <c r="T31372"/>
      <c r="U31372"/>
      <c r="X31372" s="60"/>
    </row>
    <row r="31373" spans="7:24" ht="15" customHeight="1">
      <c r="G31373"/>
      <c r="I31373"/>
      <c r="N31373"/>
      <c r="O31373" s="24"/>
      <c r="P31373"/>
      <c r="Q31373" s="24"/>
      <c r="R31373"/>
      <c r="S31373"/>
      <c r="T31373"/>
      <c r="U31373"/>
      <c r="X31373" s="60"/>
    </row>
    <row r="31374" spans="7:24" ht="15" customHeight="1">
      <c r="G31374"/>
      <c r="I31374"/>
      <c r="N31374"/>
      <c r="O31374" s="24"/>
      <c r="P31374"/>
      <c r="Q31374" s="24"/>
      <c r="R31374"/>
      <c r="S31374"/>
      <c r="T31374"/>
      <c r="U31374"/>
      <c r="X31374" s="60"/>
    </row>
    <row r="31375" spans="7:24" ht="15" customHeight="1">
      <c r="G31375"/>
      <c r="I31375"/>
      <c r="N31375"/>
      <c r="O31375" s="24"/>
      <c r="P31375"/>
      <c r="Q31375" s="24"/>
      <c r="R31375"/>
      <c r="S31375"/>
      <c r="T31375"/>
      <c r="U31375"/>
      <c r="X31375" s="60"/>
    </row>
    <row r="31376" spans="7:24" ht="15" customHeight="1">
      <c r="G31376"/>
      <c r="I31376"/>
      <c r="N31376"/>
      <c r="O31376" s="24"/>
      <c r="P31376"/>
      <c r="Q31376" s="24"/>
      <c r="R31376"/>
      <c r="S31376"/>
      <c r="T31376"/>
      <c r="U31376"/>
      <c r="X31376" s="60"/>
    </row>
    <row r="31377" spans="7:24" ht="15" customHeight="1">
      <c r="G31377"/>
      <c r="I31377"/>
      <c r="N31377"/>
      <c r="O31377" s="24"/>
      <c r="P31377"/>
      <c r="Q31377" s="24"/>
      <c r="R31377"/>
      <c r="S31377"/>
      <c r="T31377"/>
      <c r="U31377"/>
      <c r="X31377" s="60"/>
    </row>
    <row r="31378" spans="7:24" ht="15" customHeight="1">
      <c r="G31378"/>
      <c r="I31378"/>
      <c r="N31378"/>
      <c r="O31378" s="24"/>
      <c r="P31378"/>
      <c r="Q31378" s="24"/>
      <c r="R31378"/>
      <c r="S31378"/>
      <c r="T31378"/>
      <c r="U31378"/>
      <c r="X31378" s="60"/>
    </row>
    <row r="31379" spans="7:24" ht="15" customHeight="1">
      <c r="G31379"/>
      <c r="I31379"/>
      <c r="N31379"/>
      <c r="O31379" s="24"/>
      <c r="P31379"/>
      <c r="Q31379" s="24"/>
      <c r="R31379"/>
      <c r="S31379"/>
      <c r="T31379"/>
      <c r="U31379"/>
      <c r="X31379" s="60"/>
    </row>
    <row r="31380" spans="7:24" ht="15" customHeight="1">
      <c r="G31380"/>
      <c r="I31380"/>
      <c r="N31380"/>
      <c r="O31380" s="24"/>
      <c r="P31380"/>
      <c r="Q31380" s="24"/>
      <c r="R31380"/>
      <c r="S31380"/>
      <c r="T31380"/>
      <c r="U31380"/>
      <c r="X31380" s="60"/>
    </row>
    <row r="31381" spans="7:24" ht="15" customHeight="1">
      <c r="G31381"/>
      <c r="I31381"/>
      <c r="N31381"/>
      <c r="O31381" s="24"/>
      <c r="P31381"/>
      <c r="Q31381" s="24"/>
      <c r="R31381"/>
      <c r="S31381"/>
      <c r="T31381"/>
      <c r="U31381"/>
      <c r="X31381" s="60"/>
    </row>
    <row r="31382" spans="7:24" ht="15" customHeight="1">
      <c r="G31382"/>
      <c r="I31382"/>
      <c r="N31382"/>
      <c r="O31382" s="24"/>
      <c r="P31382"/>
      <c r="Q31382" s="24"/>
      <c r="R31382"/>
      <c r="S31382"/>
      <c r="T31382"/>
      <c r="U31382"/>
      <c r="X31382" s="60"/>
    </row>
    <row r="31383" spans="7:24" ht="15" customHeight="1">
      <c r="G31383"/>
      <c r="I31383"/>
      <c r="N31383"/>
      <c r="O31383" s="24"/>
      <c r="P31383"/>
      <c r="Q31383" s="24"/>
      <c r="R31383"/>
      <c r="S31383"/>
      <c r="T31383"/>
      <c r="U31383"/>
      <c r="X31383" s="60"/>
    </row>
    <row r="31384" spans="7:24" ht="15" customHeight="1">
      <c r="G31384"/>
      <c r="I31384"/>
      <c r="N31384"/>
      <c r="O31384" s="24"/>
      <c r="P31384"/>
      <c r="Q31384" s="24"/>
      <c r="R31384"/>
      <c r="S31384"/>
      <c r="T31384"/>
      <c r="U31384"/>
      <c r="X31384" s="60"/>
    </row>
    <row r="31385" spans="7:24" ht="15" customHeight="1">
      <c r="G31385"/>
      <c r="I31385"/>
      <c r="N31385"/>
      <c r="O31385" s="24"/>
      <c r="P31385"/>
      <c r="Q31385" s="24"/>
      <c r="R31385"/>
      <c r="S31385"/>
      <c r="T31385"/>
      <c r="U31385"/>
      <c r="X31385" s="60"/>
    </row>
    <row r="31386" spans="7:24" ht="15" customHeight="1">
      <c r="G31386"/>
      <c r="I31386"/>
      <c r="N31386"/>
      <c r="O31386" s="24"/>
      <c r="P31386"/>
      <c r="Q31386" s="24"/>
      <c r="R31386"/>
      <c r="S31386"/>
      <c r="T31386"/>
      <c r="U31386"/>
      <c r="X31386" s="60"/>
    </row>
    <row r="31387" spans="7:24" ht="15" customHeight="1">
      <c r="G31387"/>
      <c r="I31387"/>
      <c r="N31387"/>
      <c r="O31387" s="24"/>
      <c r="P31387"/>
      <c r="Q31387" s="24"/>
      <c r="R31387"/>
      <c r="S31387"/>
      <c r="T31387"/>
      <c r="U31387"/>
      <c r="X31387" s="60"/>
    </row>
    <row r="31388" spans="7:24" ht="15" customHeight="1">
      <c r="G31388"/>
      <c r="I31388"/>
      <c r="N31388"/>
      <c r="O31388" s="24"/>
      <c r="P31388"/>
      <c r="Q31388" s="24"/>
      <c r="R31388"/>
      <c r="S31388"/>
      <c r="T31388"/>
      <c r="U31388"/>
      <c r="X31388" s="60"/>
    </row>
    <row r="31389" spans="7:24" ht="15" customHeight="1">
      <c r="G31389"/>
      <c r="I31389"/>
      <c r="N31389"/>
      <c r="O31389" s="24"/>
      <c r="P31389"/>
      <c r="Q31389" s="24"/>
      <c r="R31389"/>
      <c r="S31389"/>
      <c r="T31389"/>
      <c r="U31389"/>
      <c r="X31389" s="60"/>
    </row>
    <row r="31390" spans="7:24" ht="15" customHeight="1">
      <c r="G31390"/>
      <c r="I31390"/>
      <c r="N31390"/>
      <c r="O31390" s="24"/>
      <c r="P31390"/>
      <c r="Q31390" s="24"/>
      <c r="R31390"/>
      <c r="S31390"/>
      <c r="T31390"/>
      <c r="U31390"/>
      <c r="X31390" s="60"/>
    </row>
    <row r="31391" spans="7:24" ht="15" customHeight="1">
      <c r="G31391"/>
      <c r="I31391"/>
      <c r="N31391"/>
      <c r="O31391" s="24"/>
      <c r="P31391"/>
      <c r="Q31391" s="24"/>
      <c r="R31391"/>
      <c r="S31391"/>
      <c r="T31391"/>
      <c r="U31391"/>
      <c r="X31391" s="60"/>
    </row>
    <row r="31392" spans="7:24" ht="15" customHeight="1">
      <c r="G31392"/>
      <c r="I31392"/>
      <c r="N31392"/>
      <c r="O31392" s="24"/>
      <c r="P31392"/>
      <c r="Q31392" s="24"/>
      <c r="R31392"/>
      <c r="S31392"/>
      <c r="T31392"/>
      <c r="U31392"/>
      <c r="X31392" s="60"/>
    </row>
    <row r="31393" spans="7:24" ht="15" customHeight="1">
      <c r="G31393"/>
      <c r="I31393"/>
      <c r="N31393"/>
      <c r="O31393" s="24"/>
      <c r="P31393"/>
      <c r="Q31393" s="24"/>
      <c r="R31393"/>
      <c r="S31393"/>
      <c r="T31393"/>
      <c r="U31393"/>
      <c r="X31393" s="60"/>
    </row>
    <row r="31394" spans="7:24" ht="15" customHeight="1">
      <c r="G31394"/>
      <c r="I31394"/>
      <c r="N31394"/>
      <c r="O31394" s="24"/>
      <c r="P31394"/>
      <c r="Q31394" s="24"/>
      <c r="R31394"/>
      <c r="S31394"/>
      <c r="T31394"/>
      <c r="U31394"/>
      <c r="X31394" s="60"/>
    </row>
    <row r="31395" spans="7:24" ht="15" customHeight="1">
      <c r="G31395"/>
      <c r="I31395"/>
      <c r="N31395"/>
      <c r="O31395" s="24"/>
      <c r="P31395"/>
      <c r="Q31395" s="24"/>
      <c r="R31395"/>
      <c r="S31395"/>
      <c r="T31395"/>
      <c r="U31395"/>
      <c r="X31395" s="60"/>
    </row>
    <row r="31396" spans="7:24" ht="15" customHeight="1">
      <c r="G31396"/>
      <c r="I31396"/>
      <c r="N31396"/>
      <c r="O31396" s="24"/>
      <c r="P31396"/>
      <c r="Q31396" s="24"/>
      <c r="R31396"/>
      <c r="S31396"/>
      <c r="T31396"/>
      <c r="U31396"/>
      <c r="X31396" s="60"/>
    </row>
    <row r="31397" spans="7:24" ht="15" customHeight="1">
      <c r="G31397"/>
      <c r="I31397"/>
      <c r="N31397"/>
      <c r="O31397" s="24"/>
      <c r="P31397"/>
      <c r="Q31397" s="24"/>
      <c r="R31397"/>
      <c r="S31397"/>
      <c r="T31397"/>
      <c r="U31397"/>
      <c r="X31397" s="60"/>
    </row>
    <row r="31398" spans="7:24" ht="15" customHeight="1">
      <c r="G31398"/>
      <c r="I31398"/>
      <c r="N31398"/>
      <c r="O31398" s="24"/>
      <c r="P31398"/>
      <c r="Q31398" s="24"/>
      <c r="R31398"/>
      <c r="S31398"/>
      <c r="T31398"/>
      <c r="U31398"/>
      <c r="X31398" s="60"/>
    </row>
    <row r="31399" spans="7:24" ht="15" customHeight="1">
      <c r="G31399"/>
      <c r="I31399"/>
      <c r="N31399"/>
      <c r="O31399" s="24"/>
      <c r="P31399"/>
      <c r="Q31399" s="24"/>
      <c r="R31399"/>
      <c r="S31399"/>
      <c r="T31399"/>
      <c r="U31399"/>
      <c r="X31399" s="60"/>
    </row>
    <row r="31400" spans="7:24" ht="15" customHeight="1">
      <c r="G31400"/>
      <c r="I31400"/>
      <c r="N31400"/>
      <c r="O31400" s="24"/>
      <c r="P31400"/>
      <c r="Q31400" s="24"/>
      <c r="R31400"/>
      <c r="S31400"/>
      <c r="T31400"/>
      <c r="U31400"/>
      <c r="X31400" s="60"/>
    </row>
    <row r="31401" spans="7:24" ht="15" customHeight="1">
      <c r="G31401"/>
      <c r="I31401"/>
      <c r="N31401"/>
      <c r="O31401" s="24"/>
      <c r="P31401"/>
      <c r="Q31401" s="24"/>
      <c r="R31401"/>
      <c r="S31401"/>
      <c r="T31401"/>
      <c r="U31401"/>
      <c r="X31401" s="60"/>
    </row>
    <row r="31402" spans="7:24" ht="15" customHeight="1">
      <c r="G31402"/>
      <c r="I31402"/>
      <c r="N31402"/>
      <c r="O31402" s="24"/>
      <c r="P31402"/>
      <c r="Q31402" s="24"/>
      <c r="R31402"/>
      <c r="S31402"/>
      <c r="T31402"/>
      <c r="U31402"/>
      <c r="X31402" s="60"/>
    </row>
    <row r="31403" spans="7:24" ht="15" customHeight="1">
      <c r="G31403"/>
      <c r="I31403"/>
      <c r="N31403"/>
      <c r="O31403" s="24"/>
      <c r="P31403"/>
      <c r="Q31403" s="24"/>
      <c r="R31403"/>
      <c r="S31403"/>
      <c r="T31403"/>
      <c r="U31403"/>
      <c r="X31403" s="60"/>
    </row>
    <row r="31404" spans="7:24" ht="15" customHeight="1">
      <c r="G31404"/>
      <c r="I31404"/>
      <c r="N31404"/>
      <c r="O31404" s="24"/>
      <c r="P31404"/>
      <c r="Q31404" s="24"/>
      <c r="R31404"/>
      <c r="S31404"/>
      <c r="T31404"/>
      <c r="U31404"/>
      <c r="X31404" s="60"/>
    </row>
    <row r="31405" spans="7:24" ht="15" customHeight="1">
      <c r="G31405"/>
      <c r="I31405"/>
      <c r="N31405"/>
      <c r="O31405" s="24"/>
      <c r="P31405"/>
      <c r="Q31405" s="24"/>
      <c r="R31405"/>
      <c r="S31405"/>
      <c r="T31405"/>
      <c r="U31405"/>
      <c r="X31405" s="60"/>
    </row>
    <row r="31406" spans="7:24" ht="15" customHeight="1">
      <c r="G31406"/>
      <c r="I31406"/>
      <c r="N31406"/>
      <c r="O31406" s="24"/>
      <c r="P31406"/>
      <c r="Q31406" s="24"/>
      <c r="R31406"/>
      <c r="S31406"/>
      <c r="T31406"/>
      <c r="U31406"/>
      <c r="X31406" s="60"/>
    </row>
    <row r="31407" spans="7:24" ht="15" customHeight="1">
      <c r="G31407"/>
      <c r="I31407"/>
      <c r="N31407"/>
      <c r="O31407" s="24"/>
      <c r="P31407"/>
      <c r="Q31407" s="24"/>
      <c r="R31407"/>
      <c r="S31407"/>
      <c r="T31407"/>
      <c r="U31407"/>
      <c r="X31407" s="60"/>
    </row>
    <row r="31408" spans="7:24" ht="15" customHeight="1">
      <c r="G31408"/>
      <c r="I31408"/>
      <c r="N31408"/>
      <c r="O31408" s="24"/>
      <c r="P31408"/>
      <c r="Q31408" s="24"/>
      <c r="R31408"/>
      <c r="S31408"/>
      <c r="T31408"/>
      <c r="U31408"/>
      <c r="X31408" s="60"/>
    </row>
    <row r="31409" spans="7:24" ht="15" customHeight="1">
      <c r="G31409"/>
      <c r="I31409"/>
      <c r="N31409"/>
      <c r="O31409" s="24"/>
      <c r="P31409"/>
      <c r="Q31409" s="24"/>
      <c r="R31409"/>
      <c r="S31409"/>
      <c r="T31409"/>
      <c r="U31409"/>
      <c r="X31409" s="60"/>
    </row>
    <row r="31410" spans="7:24" ht="15" customHeight="1">
      <c r="G31410"/>
      <c r="I31410"/>
      <c r="N31410"/>
      <c r="O31410" s="24"/>
      <c r="P31410"/>
      <c r="Q31410" s="24"/>
      <c r="R31410"/>
      <c r="S31410"/>
      <c r="T31410"/>
      <c r="U31410"/>
      <c r="X31410" s="60"/>
    </row>
    <row r="31411" spans="7:24" ht="15" customHeight="1">
      <c r="G31411"/>
      <c r="I31411"/>
      <c r="N31411"/>
      <c r="O31411" s="24"/>
      <c r="P31411"/>
      <c r="Q31411" s="24"/>
      <c r="R31411"/>
      <c r="S31411"/>
      <c r="T31411"/>
      <c r="U31411"/>
      <c r="X31411" s="60"/>
    </row>
    <row r="31412" spans="7:24" ht="15" customHeight="1">
      <c r="G31412"/>
      <c r="I31412"/>
      <c r="N31412"/>
      <c r="O31412" s="24"/>
      <c r="P31412"/>
      <c r="Q31412" s="24"/>
      <c r="R31412"/>
      <c r="S31412"/>
      <c r="T31412"/>
      <c r="U31412"/>
      <c r="X31412" s="60"/>
    </row>
    <row r="31413" spans="7:24" ht="15" customHeight="1">
      <c r="G31413"/>
      <c r="I31413"/>
      <c r="N31413"/>
      <c r="O31413" s="24"/>
      <c r="P31413"/>
      <c r="Q31413" s="24"/>
      <c r="R31413"/>
      <c r="S31413"/>
      <c r="T31413"/>
      <c r="U31413"/>
      <c r="X31413" s="60"/>
    </row>
    <row r="31414" spans="7:24" ht="15" customHeight="1">
      <c r="G31414"/>
      <c r="I31414"/>
      <c r="N31414"/>
      <c r="O31414" s="24"/>
      <c r="P31414"/>
      <c r="Q31414" s="24"/>
      <c r="R31414"/>
      <c r="S31414"/>
      <c r="T31414"/>
      <c r="U31414"/>
      <c r="X31414" s="60"/>
    </row>
    <row r="31415" spans="7:24" ht="15" customHeight="1">
      <c r="G31415"/>
      <c r="I31415"/>
      <c r="N31415"/>
      <c r="O31415" s="24"/>
      <c r="P31415"/>
      <c r="Q31415" s="24"/>
      <c r="R31415"/>
      <c r="S31415"/>
      <c r="T31415"/>
      <c r="U31415"/>
      <c r="X31415" s="60"/>
    </row>
    <row r="31416" spans="7:24" ht="15" customHeight="1">
      <c r="G31416"/>
      <c r="I31416"/>
      <c r="N31416"/>
      <c r="O31416" s="24"/>
      <c r="P31416"/>
      <c r="Q31416" s="24"/>
      <c r="R31416"/>
      <c r="S31416"/>
      <c r="T31416"/>
      <c r="U31416"/>
      <c r="X31416" s="60"/>
    </row>
    <row r="31417" spans="7:24" ht="15" customHeight="1">
      <c r="G31417"/>
      <c r="I31417"/>
      <c r="N31417"/>
      <c r="O31417" s="24"/>
      <c r="P31417"/>
      <c r="Q31417" s="24"/>
      <c r="R31417"/>
      <c r="S31417"/>
      <c r="T31417"/>
      <c r="U31417"/>
      <c r="X31417" s="60"/>
    </row>
    <row r="31418" spans="7:24" ht="15" customHeight="1">
      <c r="G31418"/>
      <c r="I31418"/>
      <c r="N31418"/>
      <c r="O31418" s="24"/>
      <c r="P31418"/>
      <c r="Q31418" s="24"/>
      <c r="R31418"/>
      <c r="S31418"/>
      <c r="T31418"/>
      <c r="U31418"/>
      <c r="X31418" s="60"/>
    </row>
    <row r="31419" spans="7:24" ht="15" customHeight="1">
      <c r="G31419"/>
      <c r="I31419"/>
      <c r="N31419"/>
      <c r="O31419" s="24"/>
      <c r="P31419"/>
      <c r="Q31419" s="24"/>
      <c r="R31419"/>
      <c r="S31419"/>
      <c r="T31419"/>
      <c r="U31419"/>
      <c r="X31419" s="60"/>
    </row>
    <row r="31420" spans="7:24" ht="15" customHeight="1">
      <c r="G31420"/>
      <c r="I31420"/>
      <c r="N31420"/>
      <c r="O31420" s="24"/>
      <c r="P31420"/>
      <c r="Q31420" s="24"/>
      <c r="R31420"/>
      <c r="S31420"/>
      <c r="T31420"/>
      <c r="U31420"/>
      <c r="X31420" s="60"/>
    </row>
    <row r="31421" spans="7:24" ht="15" customHeight="1">
      <c r="G31421"/>
      <c r="I31421"/>
      <c r="N31421"/>
      <c r="O31421" s="24"/>
      <c r="P31421"/>
      <c r="Q31421" s="24"/>
      <c r="R31421"/>
      <c r="S31421"/>
      <c r="T31421"/>
      <c r="U31421"/>
      <c r="X31421" s="60"/>
    </row>
    <row r="31422" spans="7:24" ht="15" customHeight="1">
      <c r="G31422"/>
      <c r="I31422"/>
      <c r="N31422"/>
      <c r="O31422" s="24"/>
      <c r="P31422"/>
      <c r="Q31422" s="24"/>
      <c r="R31422"/>
      <c r="S31422"/>
      <c r="T31422"/>
      <c r="U31422"/>
      <c r="X31422" s="60"/>
    </row>
    <row r="31423" spans="7:24" ht="15" customHeight="1">
      <c r="G31423"/>
      <c r="I31423"/>
      <c r="N31423"/>
      <c r="O31423" s="24"/>
      <c r="P31423"/>
      <c r="Q31423" s="24"/>
      <c r="R31423"/>
      <c r="S31423"/>
      <c r="T31423"/>
      <c r="U31423"/>
      <c r="X31423" s="60"/>
    </row>
    <row r="31424" spans="7:24" ht="15" customHeight="1">
      <c r="G31424"/>
      <c r="I31424"/>
      <c r="N31424"/>
      <c r="O31424" s="24"/>
      <c r="P31424"/>
      <c r="Q31424" s="24"/>
      <c r="R31424"/>
      <c r="S31424"/>
      <c r="T31424"/>
      <c r="U31424"/>
      <c r="X31424" s="60"/>
    </row>
    <row r="31425" spans="7:24" ht="15" customHeight="1">
      <c r="G31425"/>
      <c r="I31425"/>
      <c r="N31425"/>
      <c r="O31425" s="24"/>
      <c r="P31425"/>
      <c r="Q31425" s="24"/>
      <c r="R31425"/>
      <c r="S31425"/>
      <c r="T31425"/>
      <c r="U31425"/>
      <c r="X31425" s="60"/>
    </row>
    <row r="31426" spans="7:24" ht="15" customHeight="1">
      <c r="G31426"/>
      <c r="I31426"/>
      <c r="N31426"/>
      <c r="O31426" s="24"/>
      <c r="P31426"/>
      <c r="Q31426" s="24"/>
      <c r="R31426"/>
      <c r="S31426"/>
      <c r="T31426"/>
      <c r="U31426"/>
      <c r="X31426" s="60"/>
    </row>
    <row r="31427" spans="7:24" ht="15" customHeight="1">
      <c r="G31427"/>
      <c r="I31427"/>
      <c r="N31427"/>
      <c r="O31427" s="24"/>
      <c r="P31427"/>
      <c r="Q31427" s="24"/>
      <c r="R31427"/>
      <c r="S31427"/>
      <c r="T31427"/>
      <c r="U31427"/>
      <c r="X31427" s="60"/>
    </row>
    <row r="31428" spans="7:24" ht="15" customHeight="1">
      <c r="G31428"/>
      <c r="I31428"/>
      <c r="N31428"/>
      <c r="O31428" s="24"/>
      <c r="P31428"/>
      <c r="Q31428" s="24"/>
      <c r="R31428"/>
      <c r="S31428"/>
      <c r="T31428"/>
      <c r="U31428"/>
      <c r="X31428" s="60"/>
    </row>
    <row r="31429" spans="7:24" ht="15" customHeight="1">
      <c r="G31429"/>
      <c r="I31429"/>
      <c r="N31429"/>
      <c r="O31429" s="24"/>
      <c r="P31429"/>
      <c r="Q31429" s="24"/>
      <c r="R31429"/>
      <c r="S31429"/>
      <c r="T31429"/>
      <c r="U31429"/>
      <c r="X31429" s="60"/>
    </row>
    <row r="31430" spans="7:24" ht="15" customHeight="1">
      <c r="G31430"/>
      <c r="I31430"/>
      <c r="N31430"/>
      <c r="O31430" s="24"/>
      <c r="P31430"/>
      <c r="Q31430" s="24"/>
      <c r="R31430"/>
      <c r="S31430"/>
      <c r="T31430"/>
      <c r="U31430"/>
      <c r="X31430" s="60"/>
    </row>
    <row r="31431" spans="7:24" ht="15" customHeight="1">
      <c r="G31431"/>
      <c r="I31431"/>
      <c r="N31431"/>
      <c r="O31431" s="24"/>
      <c r="P31431"/>
      <c r="Q31431" s="24"/>
      <c r="R31431"/>
      <c r="S31431"/>
      <c r="T31431"/>
      <c r="U31431"/>
      <c r="X31431" s="60"/>
    </row>
    <row r="31432" spans="7:24" ht="15" customHeight="1">
      <c r="G31432"/>
      <c r="I31432"/>
      <c r="N31432"/>
      <c r="O31432" s="24"/>
      <c r="P31432"/>
      <c r="Q31432" s="24"/>
      <c r="R31432"/>
      <c r="S31432"/>
      <c r="T31432"/>
      <c r="U31432"/>
      <c r="X31432" s="60"/>
    </row>
    <row r="31433" spans="7:24" ht="15" customHeight="1">
      <c r="G31433"/>
      <c r="I31433"/>
      <c r="N31433"/>
      <c r="O31433" s="24"/>
      <c r="P31433"/>
      <c r="Q31433" s="24"/>
      <c r="R31433"/>
      <c r="S31433"/>
      <c r="T31433"/>
      <c r="U31433"/>
      <c r="X31433" s="60"/>
    </row>
    <row r="31434" spans="7:24" ht="15" customHeight="1">
      <c r="G31434"/>
      <c r="I31434"/>
      <c r="N31434"/>
      <c r="O31434" s="24"/>
      <c r="P31434"/>
      <c r="Q31434" s="24"/>
      <c r="R31434"/>
      <c r="S31434"/>
      <c r="T31434"/>
      <c r="U31434"/>
      <c r="X31434" s="60"/>
    </row>
    <row r="31435" spans="7:24" ht="15" customHeight="1">
      <c r="G31435"/>
      <c r="I31435"/>
      <c r="N31435"/>
      <c r="O31435" s="24"/>
      <c r="P31435"/>
      <c r="Q31435" s="24"/>
      <c r="R31435"/>
      <c r="S31435"/>
      <c r="T31435"/>
      <c r="U31435"/>
      <c r="X31435" s="60"/>
    </row>
    <row r="31436" spans="7:24" ht="15" customHeight="1">
      <c r="G31436"/>
      <c r="I31436"/>
      <c r="N31436"/>
      <c r="O31436" s="24"/>
      <c r="P31436"/>
      <c r="Q31436" s="24"/>
      <c r="R31436"/>
      <c r="S31436"/>
      <c r="T31436"/>
      <c r="U31436"/>
      <c r="X31436" s="60"/>
    </row>
    <row r="31437" spans="7:24" ht="15" customHeight="1">
      <c r="G31437"/>
      <c r="I31437"/>
      <c r="N31437"/>
      <c r="O31437" s="24"/>
      <c r="P31437"/>
      <c r="Q31437" s="24"/>
      <c r="R31437"/>
      <c r="S31437"/>
      <c r="T31437"/>
      <c r="U31437"/>
      <c r="X31437" s="60"/>
    </row>
    <row r="31438" spans="7:24" ht="15" customHeight="1">
      <c r="G31438"/>
      <c r="I31438"/>
      <c r="N31438"/>
      <c r="O31438" s="24"/>
      <c r="P31438"/>
      <c r="Q31438" s="24"/>
      <c r="R31438"/>
      <c r="S31438"/>
      <c r="T31438"/>
      <c r="U31438"/>
      <c r="X31438" s="60"/>
    </row>
    <row r="31439" spans="7:24" ht="15" customHeight="1">
      <c r="G31439"/>
      <c r="I31439"/>
      <c r="N31439"/>
      <c r="O31439" s="24"/>
      <c r="P31439"/>
      <c r="Q31439" s="24"/>
      <c r="R31439"/>
      <c r="S31439"/>
      <c r="T31439"/>
      <c r="U31439"/>
      <c r="X31439" s="60"/>
    </row>
    <row r="31440" spans="7:24" ht="15" customHeight="1">
      <c r="G31440"/>
      <c r="I31440"/>
      <c r="N31440"/>
      <c r="O31440" s="24"/>
      <c r="P31440"/>
      <c r="Q31440" s="24"/>
      <c r="R31440"/>
      <c r="S31440"/>
      <c r="T31440"/>
      <c r="U31440"/>
      <c r="X31440" s="60"/>
    </row>
    <row r="31441" spans="7:24" ht="15" customHeight="1">
      <c r="G31441"/>
      <c r="I31441"/>
      <c r="N31441"/>
      <c r="O31441" s="24"/>
      <c r="P31441"/>
      <c r="Q31441" s="24"/>
      <c r="R31441"/>
      <c r="S31441"/>
      <c r="T31441"/>
      <c r="U31441"/>
      <c r="X31441" s="60"/>
    </row>
    <row r="31442" spans="7:24" ht="15" customHeight="1">
      <c r="G31442"/>
      <c r="I31442"/>
      <c r="N31442"/>
      <c r="O31442" s="24"/>
      <c r="P31442"/>
      <c r="Q31442" s="24"/>
      <c r="R31442"/>
      <c r="S31442"/>
      <c r="T31442"/>
      <c r="U31442"/>
      <c r="X31442" s="60"/>
    </row>
    <row r="31443" spans="7:24" ht="15" customHeight="1">
      <c r="G31443"/>
      <c r="I31443"/>
      <c r="N31443"/>
      <c r="O31443" s="24"/>
      <c r="P31443"/>
      <c r="Q31443" s="24"/>
      <c r="R31443"/>
      <c r="S31443"/>
      <c r="T31443"/>
      <c r="U31443"/>
      <c r="X31443" s="60"/>
    </row>
    <row r="31444" spans="7:24" ht="15" customHeight="1">
      <c r="G31444"/>
      <c r="I31444"/>
      <c r="N31444"/>
      <c r="O31444" s="24"/>
      <c r="P31444"/>
      <c r="Q31444" s="24"/>
      <c r="R31444"/>
      <c r="S31444"/>
      <c r="T31444"/>
      <c r="U31444"/>
      <c r="X31444" s="60"/>
    </row>
    <row r="31445" spans="7:24" ht="15" customHeight="1">
      <c r="G31445"/>
      <c r="I31445"/>
      <c r="N31445"/>
      <c r="O31445" s="24"/>
      <c r="P31445"/>
      <c r="Q31445" s="24"/>
      <c r="R31445"/>
      <c r="S31445"/>
      <c r="T31445"/>
      <c r="U31445"/>
      <c r="X31445" s="60"/>
    </row>
    <row r="31446" spans="7:24" ht="15" customHeight="1">
      <c r="G31446"/>
      <c r="I31446"/>
      <c r="N31446"/>
      <c r="O31446" s="24"/>
      <c r="P31446"/>
      <c r="Q31446" s="24"/>
      <c r="R31446"/>
      <c r="S31446"/>
      <c r="T31446"/>
      <c r="U31446"/>
      <c r="X31446" s="60"/>
    </row>
    <row r="31447" spans="7:24" ht="15" customHeight="1">
      <c r="G31447"/>
      <c r="I31447"/>
      <c r="N31447"/>
      <c r="O31447" s="24"/>
      <c r="P31447"/>
      <c r="Q31447" s="24"/>
      <c r="R31447"/>
      <c r="S31447"/>
      <c r="T31447"/>
      <c r="U31447"/>
      <c r="X31447" s="60"/>
    </row>
    <row r="31448" spans="7:24" ht="15" customHeight="1">
      <c r="G31448"/>
      <c r="I31448"/>
      <c r="N31448"/>
      <c r="O31448" s="24"/>
      <c r="P31448"/>
      <c r="Q31448" s="24"/>
      <c r="R31448"/>
      <c r="S31448"/>
      <c r="T31448"/>
      <c r="U31448"/>
      <c r="X31448" s="60"/>
    </row>
    <row r="31449" spans="7:24" ht="15" customHeight="1">
      <c r="G31449"/>
      <c r="I31449"/>
      <c r="N31449"/>
      <c r="O31449" s="24"/>
      <c r="P31449"/>
      <c r="Q31449" s="24"/>
      <c r="R31449"/>
      <c r="S31449"/>
      <c r="T31449"/>
      <c r="U31449"/>
      <c r="X31449" s="60"/>
    </row>
    <row r="31450" spans="7:24" ht="15" customHeight="1">
      <c r="G31450"/>
      <c r="I31450"/>
      <c r="N31450"/>
      <c r="O31450" s="24"/>
      <c r="P31450"/>
      <c r="Q31450" s="24"/>
      <c r="R31450"/>
      <c r="S31450"/>
      <c r="T31450"/>
      <c r="U31450"/>
      <c r="X31450" s="60"/>
    </row>
    <row r="31451" spans="7:24" ht="15" customHeight="1">
      <c r="G31451"/>
      <c r="I31451"/>
      <c r="N31451"/>
      <c r="O31451" s="24"/>
      <c r="P31451"/>
      <c r="Q31451" s="24"/>
      <c r="R31451"/>
      <c r="S31451"/>
      <c r="T31451"/>
      <c r="U31451"/>
      <c r="X31451" s="60"/>
    </row>
    <row r="31452" spans="7:24" ht="15" customHeight="1">
      <c r="G31452"/>
      <c r="I31452"/>
      <c r="N31452"/>
      <c r="O31452" s="24"/>
      <c r="P31452"/>
      <c r="Q31452" s="24"/>
      <c r="R31452"/>
      <c r="S31452"/>
      <c r="T31452"/>
      <c r="U31452"/>
      <c r="X31452" s="60"/>
    </row>
    <row r="31453" spans="7:24" ht="15" customHeight="1">
      <c r="G31453"/>
      <c r="I31453"/>
      <c r="N31453"/>
      <c r="O31453" s="24"/>
      <c r="P31453"/>
      <c r="Q31453" s="24"/>
      <c r="R31453"/>
      <c r="S31453"/>
      <c r="T31453"/>
      <c r="U31453"/>
      <c r="X31453" s="60"/>
    </row>
    <row r="31454" spans="7:24" ht="15" customHeight="1">
      <c r="G31454"/>
      <c r="I31454"/>
      <c r="N31454"/>
      <c r="O31454" s="24"/>
      <c r="P31454"/>
      <c r="Q31454" s="24"/>
      <c r="R31454"/>
      <c r="S31454"/>
      <c r="T31454"/>
      <c r="U31454"/>
      <c r="X31454" s="60"/>
    </row>
    <row r="31455" spans="7:24" ht="15" customHeight="1">
      <c r="G31455"/>
      <c r="I31455"/>
      <c r="N31455"/>
      <c r="O31455" s="24"/>
      <c r="P31455"/>
      <c r="Q31455" s="24"/>
      <c r="R31455"/>
      <c r="S31455"/>
      <c r="T31455"/>
      <c r="U31455"/>
      <c r="X31455" s="60"/>
    </row>
    <row r="31456" spans="7:24" ht="15" customHeight="1">
      <c r="G31456"/>
      <c r="I31456"/>
      <c r="N31456"/>
      <c r="O31456" s="24"/>
      <c r="P31456"/>
      <c r="Q31456" s="24"/>
      <c r="R31456"/>
      <c r="S31456"/>
      <c r="T31456"/>
      <c r="U31456"/>
      <c r="X31456" s="60"/>
    </row>
    <row r="31457" spans="7:24" ht="15" customHeight="1">
      <c r="G31457"/>
      <c r="I31457"/>
      <c r="N31457"/>
      <c r="O31457" s="24"/>
      <c r="P31457"/>
      <c r="Q31457" s="24"/>
      <c r="R31457"/>
      <c r="S31457"/>
      <c r="T31457"/>
      <c r="U31457"/>
      <c r="X31457" s="60"/>
    </row>
    <row r="31458" spans="7:24" ht="15" customHeight="1">
      <c r="G31458"/>
      <c r="I31458"/>
      <c r="N31458"/>
      <c r="O31458" s="24"/>
      <c r="P31458"/>
      <c r="Q31458" s="24"/>
      <c r="R31458"/>
      <c r="S31458"/>
      <c r="T31458"/>
      <c r="U31458"/>
      <c r="X31458" s="60"/>
    </row>
    <row r="31459" spans="7:24" ht="15" customHeight="1">
      <c r="G31459"/>
      <c r="I31459"/>
      <c r="N31459"/>
      <c r="O31459" s="24"/>
      <c r="P31459"/>
      <c r="Q31459" s="24"/>
      <c r="R31459"/>
      <c r="S31459"/>
      <c r="T31459"/>
      <c r="U31459"/>
      <c r="X31459" s="60"/>
    </row>
    <row r="31460" spans="7:24" ht="15" customHeight="1">
      <c r="G31460"/>
      <c r="I31460"/>
      <c r="N31460"/>
      <c r="O31460" s="24"/>
      <c r="P31460"/>
      <c r="Q31460" s="24"/>
      <c r="R31460"/>
      <c r="S31460"/>
      <c r="T31460"/>
      <c r="U31460"/>
      <c r="X31460" s="60"/>
    </row>
    <row r="31461" spans="7:24" ht="15" customHeight="1">
      <c r="G31461"/>
      <c r="I31461"/>
      <c r="N31461"/>
      <c r="O31461" s="24"/>
      <c r="P31461"/>
      <c r="Q31461" s="24"/>
      <c r="R31461"/>
      <c r="S31461"/>
      <c r="T31461"/>
      <c r="U31461"/>
      <c r="X31461" s="60"/>
    </row>
    <row r="31462" spans="7:24" ht="15" customHeight="1">
      <c r="G31462"/>
      <c r="I31462"/>
      <c r="N31462"/>
      <c r="O31462" s="24"/>
      <c r="P31462"/>
      <c r="Q31462" s="24"/>
      <c r="R31462"/>
      <c r="S31462"/>
      <c r="T31462"/>
      <c r="U31462"/>
      <c r="X31462" s="60"/>
    </row>
    <row r="31463" spans="7:24" ht="15" customHeight="1">
      <c r="G31463"/>
      <c r="I31463"/>
      <c r="N31463"/>
      <c r="O31463" s="24"/>
      <c r="P31463"/>
      <c r="Q31463" s="24"/>
      <c r="R31463"/>
      <c r="S31463"/>
      <c r="T31463"/>
      <c r="U31463"/>
      <c r="X31463" s="60"/>
    </row>
    <row r="31464" spans="7:24" ht="15" customHeight="1">
      <c r="G31464"/>
      <c r="I31464"/>
      <c r="N31464"/>
      <c r="O31464" s="24"/>
      <c r="P31464"/>
      <c r="Q31464" s="24"/>
      <c r="R31464"/>
      <c r="S31464"/>
      <c r="T31464"/>
      <c r="U31464"/>
      <c r="X31464" s="60"/>
    </row>
    <row r="31465" spans="7:24" ht="15" customHeight="1">
      <c r="G31465"/>
      <c r="I31465"/>
      <c r="N31465"/>
      <c r="O31465" s="24"/>
      <c r="P31465"/>
      <c r="Q31465" s="24"/>
      <c r="R31465"/>
      <c r="S31465"/>
      <c r="T31465"/>
      <c r="U31465"/>
      <c r="X31465" s="60"/>
    </row>
    <row r="31466" spans="7:24" ht="15" customHeight="1">
      <c r="G31466"/>
      <c r="I31466"/>
      <c r="N31466"/>
      <c r="O31466" s="24"/>
      <c r="P31466"/>
      <c r="Q31466" s="24"/>
      <c r="R31466"/>
      <c r="S31466"/>
      <c r="T31466"/>
      <c r="U31466"/>
      <c r="X31466" s="60"/>
    </row>
    <row r="31467" spans="7:24" ht="15" customHeight="1">
      <c r="G31467"/>
      <c r="I31467"/>
      <c r="N31467"/>
      <c r="O31467" s="24"/>
      <c r="P31467"/>
      <c r="Q31467" s="24"/>
      <c r="R31467"/>
      <c r="S31467"/>
      <c r="T31467"/>
      <c r="U31467"/>
      <c r="X31467" s="60"/>
    </row>
    <row r="31468" spans="7:24" ht="15" customHeight="1">
      <c r="G31468"/>
      <c r="I31468"/>
      <c r="N31468"/>
      <c r="O31468" s="24"/>
      <c r="P31468"/>
      <c r="Q31468" s="24"/>
      <c r="R31468"/>
      <c r="S31468"/>
      <c r="T31468"/>
      <c r="U31468"/>
      <c r="X31468" s="60"/>
    </row>
    <row r="31469" spans="7:24" ht="15" customHeight="1">
      <c r="G31469"/>
      <c r="I31469"/>
      <c r="N31469"/>
      <c r="O31469" s="24"/>
      <c r="P31469"/>
      <c r="Q31469" s="24"/>
      <c r="R31469"/>
      <c r="S31469"/>
      <c r="T31469"/>
      <c r="U31469"/>
      <c r="X31469" s="60"/>
    </row>
    <row r="31470" spans="7:24" ht="15" customHeight="1">
      <c r="G31470"/>
      <c r="I31470"/>
      <c r="N31470"/>
      <c r="O31470" s="24"/>
      <c r="P31470"/>
      <c r="Q31470" s="24"/>
      <c r="R31470"/>
      <c r="S31470"/>
      <c r="T31470"/>
      <c r="U31470"/>
      <c r="X31470" s="60"/>
    </row>
    <row r="31471" spans="7:24" ht="15" customHeight="1">
      <c r="G31471"/>
      <c r="I31471"/>
      <c r="N31471"/>
      <c r="O31471" s="24"/>
      <c r="P31471"/>
      <c r="Q31471" s="24"/>
      <c r="R31471"/>
      <c r="S31471"/>
      <c r="T31471"/>
      <c r="U31471"/>
      <c r="X31471" s="60"/>
    </row>
    <row r="31472" spans="7:24" ht="15" customHeight="1">
      <c r="G31472"/>
      <c r="I31472"/>
      <c r="N31472"/>
      <c r="O31472" s="24"/>
      <c r="P31472"/>
      <c r="Q31472" s="24"/>
      <c r="R31472"/>
      <c r="S31472"/>
      <c r="T31472"/>
      <c r="U31472"/>
      <c r="X31472" s="60"/>
    </row>
    <row r="31473" spans="7:24" ht="15" customHeight="1">
      <c r="G31473"/>
      <c r="I31473"/>
      <c r="N31473"/>
      <c r="O31473" s="24"/>
      <c r="P31473"/>
      <c r="Q31473" s="24"/>
      <c r="R31473"/>
      <c r="S31473"/>
      <c r="T31473"/>
      <c r="U31473"/>
      <c r="X31473" s="60"/>
    </row>
    <row r="31474" spans="7:24" ht="15" customHeight="1">
      <c r="G31474"/>
      <c r="I31474"/>
      <c r="N31474"/>
      <c r="O31474" s="24"/>
      <c r="P31474"/>
      <c r="Q31474" s="24"/>
      <c r="R31474"/>
      <c r="S31474"/>
      <c r="T31474"/>
      <c r="U31474"/>
      <c r="X31474" s="60"/>
    </row>
    <row r="31475" spans="7:24" ht="15" customHeight="1">
      <c r="G31475"/>
      <c r="I31475"/>
      <c r="N31475"/>
      <c r="O31475" s="24"/>
      <c r="P31475"/>
      <c r="Q31475" s="24"/>
      <c r="R31475"/>
      <c r="S31475"/>
      <c r="T31475"/>
      <c r="U31475"/>
      <c r="X31475" s="60"/>
    </row>
    <row r="31476" spans="7:24" ht="15" customHeight="1">
      <c r="G31476"/>
      <c r="I31476"/>
      <c r="N31476"/>
      <c r="O31476" s="24"/>
      <c r="P31476"/>
      <c r="Q31476" s="24"/>
      <c r="R31476"/>
      <c r="S31476"/>
      <c r="T31476"/>
      <c r="U31476"/>
      <c r="X31476" s="60"/>
    </row>
    <row r="31477" spans="7:24" ht="15" customHeight="1">
      <c r="G31477"/>
      <c r="I31477"/>
      <c r="N31477"/>
      <c r="O31477" s="24"/>
      <c r="P31477"/>
      <c r="Q31477" s="24"/>
      <c r="R31477"/>
      <c r="S31477"/>
      <c r="T31477"/>
      <c r="U31477"/>
      <c r="X31477" s="60"/>
    </row>
    <row r="31478" spans="7:24" ht="15" customHeight="1">
      <c r="G31478"/>
      <c r="I31478"/>
      <c r="N31478"/>
      <c r="O31478" s="24"/>
      <c r="P31478"/>
      <c r="Q31478" s="24"/>
      <c r="R31478"/>
      <c r="S31478"/>
      <c r="T31478"/>
      <c r="U31478"/>
      <c r="X31478" s="60"/>
    </row>
    <row r="31479" spans="7:24" ht="15" customHeight="1">
      <c r="G31479"/>
      <c r="I31479"/>
      <c r="N31479"/>
      <c r="O31479" s="24"/>
      <c r="P31479"/>
      <c r="Q31479" s="24"/>
      <c r="R31479"/>
      <c r="S31479"/>
      <c r="T31479"/>
      <c r="U31479"/>
      <c r="X31479" s="60"/>
    </row>
    <row r="31480" spans="7:24" ht="15" customHeight="1">
      <c r="G31480"/>
      <c r="I31480"/>
      <c r="N31480"/>
      <c r="O31480" s="24"/>
      <c r="P31480"/>
      <c r="Q31480" s="24"/>
      <c r="R31480"/>
      <c r="S31480"/>
      <c r="T31480"/>
      <c r="U31480"/>
      <c r="X31480" s="60"/>
    </row>
    <row r="31481" spans="7:24" ht="15" customHeight="1">
      <c r="G31481"/>
      <c r="I31481"/>
      <c r="N31481"/>
      <c r="O31481" s="24"/>
      <c r="P31481"/>
      <c r="Q31481" s="24"/>
      <c r="R31481"/>
      <c r="S31481"/>
      <c r="T31481"/>
      <c r="U31481"/>
      <c r="X31481" s="60"/>
    </row>
    <row r="31482" spans="7:24" ht="15" customHeight="1">
      <c r="G31482"/>
      <c r="I31482"/>
      <c r="N31482"/>
      <c r="O31482" s="24"/>
      <c r="P31482"/>
      <c r="Q31482" s="24"/>
      <c r="R31482"/>
      <c r="S31482"/>
      <c r="T31482"/>
      <c r="U31482"/>
      <c r="X31482" s="60"/>
    </row>
    <row r="31483" spans="7:24" ht="15" customHeight="1">
      <c r="G31483"/>
      <c r="I31483"/>
      <c r="N31483"/>
      <c r="O31483" s="24"/>
      <c r="P31483"/>
      <c r="Q31483" s="24"/>
      <c r="R31483"/>
      <c r="S31483"/>
      <c r="T31483"/>
      <c r="U31483"/>
      <c r="X31483" s="60"/>
    </row>
    <row r="31484" spans="7:24" ht="15" customHeight="1">
      <c r="G31484"/>
      <c r="I31484"/>
      <c r="N31484"/>
      <c r="O31484" s="24"/>
      <c r="P31484"/>
      <c r="Q31484" s="24"/>
      <c r="R31484"/>
      <c r="S31484"/>
      <c r="T31484"/>
      <c r="U31484"/>
      <c r="X31484" s="60"/>
    </row>
    <row r="31485" spans="7:24" ht="15" customHeight="1">
      <c r="G31485"/>
      <c r="I31485"/>
      <c r="N31485"/>
      <c r="O31485" s="24"/>
      <c r="P31485"/>
      <c r="Q31485" s="24"/>
      <c r="R31485"/>
      <c r="S31485"/>
      <c r="T31485"/>
      <c r="U31485"/>
      <c r="X31485" s="60"/>
    </row>
    <row r="31486" spans="7:24" ht="15" customHeight="1">
      <c r="G31486"/>
      <c r="I31486"/>
      <c r="N31486"/>
      <c r="O31486" s="24"/>
      <c r="P31486"/>
      <c r="Q31486" s="24"/>
      <c r="R31486"/>
      <c r="S31486"/>
      <c r="T31486"/>
      <c r="U31486"/>
      <c r="X31486" s="60"/>
    </row>
    <row r="31487" spans="7:24" ht="15" customHeight="1">
      <c r="G31487"/>
      <c r="I31487"/>
      <c r="N31487"/>
      <c r="O31487" s="24"/>
      <c r="P31487"/>
      <c r="Q31487" s="24"/>
      <c r="R31487"/>
      <c r="S31487"/>
      <c r="T31487"/>
      <c r="U31487"/>
      <c r="X31487" s="60"/>
    </row>
    <row r="31488" spans="7:24" ht="15" customHeight="1">
      <c r="G31488"/>
      <c r="I31488"/>
      <c r="N31488"/>
      <c r="O31488" s="24"/>
      <c r="P31488"/>
      <c r="Q31488" s="24"/>
      <c r="R31488"/>
      <c r="S31488"/>
      <c r="T31488"/>
      <c r="U31488"/>
      <c r="X31488" s="60"/>
    </row>
    <row r="31489" spans="7:24" ht="15" customHeight="1">
      <c r="G31489"/>
      <c r="I31489"/>
      <c r="N31489"/>
      <c r="O31489" s="24"/>
      <c r="P31489"/>
      <c r="Q31489" s="24"/>
      <c r="R31489"/>
      <c r="S31489"/>
      <c r="T31489"/>
      <c r="U31489"/>
      <c r="X31489" s="60"/>
    </row>
    <row r="31490" spans="7:24" ht="15" customHeight="1">
      <c r="G31490"/>
      <c r="I31490"/>
      <c r="N31490"/>
      <c r="O31490" s="24"/>
      <c r="P31490"/>
      <c r="Q31490" s="24"/>
      <c r="R31490"/>
      <c r="S31490"/>
      <c r="T31490"/>
      <c r="U31490"/>
      <c r="X31490" s="60"/>
    </row>
    <row r="31491" spans="7:24" ht="15" customHeight="1">
      <c r="G31491"/>
      <c r="I31491"/>
      <c r="N31491"/>
      <c r="O31491" s="24"/>
      <c r="P31491"/>
      <c r="Q31491" s="24"/>
      <c r="R31491"/>
      <c r="S31491"/>
      <c r="T31491"/>
      <c r="U31491"/>
      <c r="X31491" s="60"/>
    </row>
    <row r="31492" spans="7:24" ht="15" customHeight="1">
      <c r="G31492"/>
      <c r="I31492"/>
      <c r="N31492"/>
      <c r="O31492" s="24"/>
      <c r="P31492"/>
      <c r="Q31492" s="24"/>
      <c r="R31492"/>
      <c r="S31492"/>
      <c r="T31492"/>
      <c r="U31492"/>
      <c r="X31492" s="60"/>
    </row>
    <row r="31493" spans="7:24" ht="15" customHeight="1">
      <c r="G31493"/>
      <c r="I31493"/>
      <c r="N31493"/>
      <c r="O31493" s="24"/>
      <c r="P31493"/>
      <c r="Q31493" s="24"/>
      <c r="R31493"/>
      <c r="S31493"/>
      <c r="T31493"/>
      <c r="U31493"/>
      <c r="X31493" s="60"/>
    </row>
    <row r="31494" spans="7:24" ht="15" customHeight="1">
      <c r="G31494"/>
      <c r="I31494"/>
      <c r="N31494"/>
      <c r="O31494" s="24"/>
      <c r="P31494"/>
      <c r="Q31494" s="24"/>
      <c r="R31494"/>
      <c r="S31494"/>
      <c r="T31494"/>
      <c r="U31494"/>
      <c r="X31494" s="60"/>
    </row>
    <row r="31495" spans="7:24" ht="15" customHeight="1">
      <c r="G31495"/>
      <c r="I31495"/>
      <c r="N31495"/>
      <c r="O31495" s="24"/>
      <c r="P31495"/>
      <c r="Q31495" s="24"/>
      <c r="R31495"/>
      <c r="S31495"/>
      <c r="T31495"/>
      <c r="U31495"/>
      <c r="X31495" s="60"/>
    </row>
    <row r="31496" spans="7:24" ht="15" customHeight="1">
      <c r="G31496"/>
      <c r="I31496"/>
      <c r="N31496"/>
      <c r="O31496" s="24"/>
      <c r="P31496"/>
      <c r="Q31496" s="24"/>
      <c r="R31496"/>
      <c r="S31496"/>
      <c r="T31496"/>
      <c r="U31496"/>
      <c r="X31496" s="60"/>
    </row>
    <row r="31497" spans="7:24" ht="15" customHeight="1">
      <c r="G31497"/>
      <c r="I31497"/>
      <c r="N31497"/>
      <c r="O31497" s="24"/>
      <c r="P31497"/>
      <c r="Q31497" s="24"/>
      <c r="R31497"/>
      <c r="S31497"/>
      <c r="T31497"/>
      <c r="U31497"/>
      <c r="X31497" s="60"/>
    </row>
    <row r="31498" spans="7:24" ht="15" customHeight="1">
      <c r="G31498"/>
      <c r="I31498"/>
      <c r="N31498"/>
      <c r="O31498" s="24"/>
      <c r="P31498"/>
      <c r="Q31498" s="24"/>
      <c r="R31498"/>
      <c r="S31498"/>
      <c r="T31498"/>
      <c r="U31498"/>
      <c r="X31498" s="60"/>
    </row>
    <row r="31499" spans="7:24" ht="15" customHeight="1">
      <c r="G31499"/>
      <c r="I31499"/>
      <c r="N31499"/>
      <c r="O31499" s="24"/>
      <c r="P31499"/>
      <c r="Q31499" s="24"/>
      <c r="R31499"/>
      <c r="S31499"/>
      <c r="T31499"/>
      <c r="U31499"/>
      <c r="X31499" s="60"/>
    </row>
    <row r="31500" spans="7:24" ht="15" customHeight="1">
      <c r="G31500"/>
      <c r="I31500"/>
      <c r="N31500"/>
      <c r="O31500" s="24"/>
      <c r="P31500"/>
      <c r="Q31500" s="24"/>
      <c r="R31500"/>
      <c r="S31500"/>
      <c r="T31500"/>
      <c r="U31500"/>
      <c r="X31500" s="60"/>
    </row>
    <row r="31501" spans="7:24" ht="15" customHeight="1">
      <c r="G31501"/>
      <c r="I31501"/>
      <c r="N31501"/>
      <c r="O31501" s="24"/>
      <c r="P31501"/>
      <c r="Q31501" s="24"/>
      <c r="R31501"/>
      <c r="S31501"/>
      <c r="T31501"/>
      <c r="U31501"/>
      <c r="X31501" s="60"/>
    </row>
    <row r="31502" spans="7:24" ht="15" customHeight="1">
      <c r="G31502"/>
      <c r="I31502"/>
      <c r="N31502"/>
      <c r="O31502" s="24"/>
      <c r="P31502"/>
      <c r="Q31502" s="24"/>
      <c r="R31502"/>
      <c r="S31502"/>
      <c r="T31502"/>
      <c r="U31502"/>
      <c r="X31502" s="60"/>
    </row>
    <row r="31503" spans="7:24" ht="15" customHeight="1">
      <c r="G31503"/>
      <c r="I31503"/>
      <c r="N31503"/>
      <c r="O31503" s="24"/>
      <c r="P31503"/>
      <c r="Q31503" s="24"/>
      <c r="R31503"/>
      <c r="S31503"/>
      <c r="T31503"/>
      <c r="U31503"/>
      <c r="X31503" s="60"/>
    </row>
    <row r="31504" spans="7:24" ht="15" customHeight="1">
      <c r="G31504"/>
      <c r="I31504"/>
      <c r="N31504"/>
      <c r="O31504" s="24"/>
      <c r="P31504"/>
      <c r="Q31504" s="24"/>
      <c r="R31504"/>
      <c r="S31504"/>
      <c r="T31504"/>
      <c r="U31504"/>
      <c r="X31504" s="60"/>
    </row>
    <row r="31505" spans="7:24" ht="15" customHeight="1">
      <c r="G31505"/>
      <c r="I31505"/>
      <c r="N31505"/>
      <c r="O31505" s="24"/>
      <c r="P31505"/>
      <c r="Q31505" s="24"/>
      <c r="R31505"/>
      <c r="S31505"/>
      <c r="T31505"/>
      <c r="U31505"/>
      <c r="X31505" s="60"/>
    </row>
    <row r="31506" spans="7:24" ht="15" customHeight="1">
      <c r="G31506"/>
      <c r="I31506"/>
      <c r="N31506"/>
      <c r="O31506" s="24"/>
      <c r="P31506"/>
      <c r="Q31506" s="24"/>
      <c r="R31506"/>
      <c r="S31506"/>
      <c r="T31506"/>
      <c r="U31506"/>
      <c r="X31506" s="60"/>
    </row>
    <row r="31507" spans="7:24" ht="15" customHeight="1">
      <c r="G31507"/>
      <c r="I31507"/>
      <c r="N31507"/>
      <c r="O31507" s="24"/>
      <c r="P31507"/>
      <c r="Q31507" s="24"/>
      <c r="R31507"/>
      <c r="S31507"/>
      <c r="T31507"/>
      <c r="U31507"/>
      <c r="X31507" s="60"/>
    </row>
    <row r="31508" spans="7:24" ht="15" customHeight="1">
      <c r="G31508"/>
      <c r="I31508"/>
      <c r="N31508"/>
      <c r="O31508" s="24"/>
      <c r="P31508"/>
      <c r="Q31508" s="24"/>
      <c r="R31508"/>
      <c r="S31508"/>
      <c r="T31508"/>
      <c r="U31508"/>
      <c r="X31508" s="60"/>
    </row>
    <row r="31509" spans="7:24" ht="15" customHeight="1">
      <c r="G31509"/>
      <c r="I31509"/>
      <c r="N31509"/>
      <c r="O31509" s="24"/>
      <c r="P31509"/>
      <c r="Q31509" s="24"/>
      <c r="R31509"/>
      <c r="S31509"/>
      <c r="T31509"/>
      <c r="U31509"/>
      <c r="X31509" s="60"/>
    </row>
    <row r="31510" spans="7:24" ht="15" customHeight="1">
      <c r="G31510"/>
      <c r="I31510"/>
      <c r="N31510"/>
      <c r="O31510" s="24"/>
      <c r="P31510"/>
      <c r="Q31510" s="24"/>
      <c r="R31510"/>
      <c r="S31510"/>
      <c r="T31510"/>
      <c r="U31510"/>
      <c r="X31510" s="60"/>
    </row>
    <row r="31511" spans="7:24" ht="15" customHeight="1">
      <c r="G31511"/>
      <c r="I31511"/>
      <c r="N31511"/>
      <c r="O31511" s="24"/>
      <c r="P31511"/>
      <c r="Q31511" s="24"/>
      <c r="R31511"/>
      <c r="S31511"/>
      <c r="T31511"/>
      <c r="U31511"/>
      <c r="X31511" s="60"/>
    </row>
    <row r="31512" spans="7:24" ht="15" customHeight="1">
      <c r="G31512"/>
      <c r="I31512"/>
      <c r="N31512"/>
      <c r="O31512" s="24"/>
      <c r="P31512"/>
      <c r="Q31512" s="24"/>
      <c r="R31512"/>
      <c r="S31512"/>
      <c r="T31512"/>
      <c r="U31512"/>
      <c r="X31512" s="60"/>
    </row>
    <row r="31513" spans="7:24" ht="15" customHeight="1">
      <c r="G31513"/>
      <c r="I31513"/>
      <c r="N31513"/>
      <c r="O31513" s="24"/>
      <c r="P31513"/>
      <c r="Q31513" s="24"/>
      <c r="R31513"/>
      <c r="S31513"/>
      <c r="T31513"/>
      <c r="U31513"/>
      <c r="X31513" s="60"/>
    </row>
    <row r="31514" spans="7:24" ht="15" customHeight="1">
      <c r="G31514"/>
      <c r="I31514"/>
      <c r="N31514"/>
      <c r="O31514" s="24"/>
      <c r="P31514"/>
      <c r="Q31514" s="24"/>
      <c r="R31514"/>
      <c r="S31514"/>
      <c r="T31514"/>
      <c r="U31514"/>
      <c r="X31514" s="60"/>
    </row>
    <row r="31515" spans="7:24" ht="15" customHeight="1">
      <c r="G31515"/>
      <c r="I31515"/>
      <c r="N31515"/>
      <c r="O31515" s="24"/>
      <c r="P31515"/>
      <c r="Q31515" s="24"/>
      <c r="R31515"/>
      <c r="S31515"/>
      <c r="T31515"/>
      <c r="U31515"/>
      <c r="X31515" s="60"/>
    </row>
    <row r="31516" spans="7:24" ht="15" customHeight="1">
      <c r="G31516"/>
      <c r="I31516"/>
      <c r="N31516"/>
      <c r="O31516" s="24"/>
      <c r="P31516"/>
      <c r="Q31516" s="24"/>
      <c r="R31516"/>
      <c r="S31516"/>
      <c r="T31516"/>
      <c r="U31516"/>
      <c r="X31516" s="60"/>
    </row>
    <row r="31517" spans="7:24" ht="15" customHeight="1">
      <c r="G31517"/>
      <c r="I31517"/>
      <c r="N31517"/>
      <c r="O31517" s="24"/>
      <c r="P31517"/>
      <c r="Q31517" s="24"/>
      <c r="R31517"/>
      <c r="S31517"/>
      <c r="T31517"/>
      <c r="U31517"/>
      <c r="X31517" s="60"/>
    </row>
    <row r="31518" spans="7:24" ht="15" customHeight="1">
      <c r="G31518"/>
      <c r="I31518"/>
      <c r="N31518"/>
      <c r="O31518" s="24"/>
      <c r="P31518"/>
      <c r="Q31518" s="24"/>
      <c r="R31518"/>
      <c r="S31518"/>
      <c r="T31518"/>
      <c r="U31518"/>
      <c r="X31518" s="60"/>
    </row>
    <row r="31519" spans="7:24" ht="15" customHeight="1">
      <c r="G31519"/>
      <c r="I31519"/>
      <c r="N31519"/>
      <c r="O31519" s="24"/>
      <c r="P31519"/>
      <c r="Q31519" s="24"/>
      <c r="R31519"/>
      <c r="S31519"/>
      <c r="T31519"/>
      <c r="U31519"/>
      <c r="X31519" s="60"/>
    </row>
    <row r="31520" spans="7:24" ht="15" customHeight="1">
      <c r="G31520"/>
      <c r="I31520"/>
      <c r="N31520"/>
      <c r="O31520" s="24"/>
      <c r="P31520"/>
      <c r="Q31520" s="24"/>
      <c r="R31520"/>
      <c r="S31520"/>
      <c r="T31520"/>
      <c r="U31520"/>
      <c r="X31520" s="60"/>
    </row>
    <row r="31521" spans="7:24" ht="15" customHeight="1">
      <c r="G31521"/>
      <c r="I31521"/>
      <c r="N31521"/>
      <c r="O31521" s="24"/>
      <c r="P31521"/>
      <c r="Q31521" s="24"/>
      <c r="R31521"/>
      <c r="S31521"/>
      <c r="T31521"/>
      <c r="U31521"/>
      <c r="X31521" s="60"/>
    </row>
    <row r="31522" spans="7:24" ht="15" customHeight="1">
      <c r="G31522"/>
      <c r="I31522"/>
      <c r="N31522"/>
      <c r="O31522" s="24"/>
      <c r="P31522"/>
      <c r="Q31522" s="24"/>
      <c r="R31522"/>
      <c r="S31522"/>
      <c r="T31522"/>
      <c r="U31522"/>
      <c r="X31522" s="60"/>
    </row>
    <row r="31523" spans="7:24" ht="15" customHeight="1">
      <c r="G31523"/>
      <c r="I31523"/>
      <c r="N31523"/>
      <c r="O31523" s="24"/>
      <c r="P31523"/>
      <c r="Q31523" s="24"/>
      <c r="R31523"/>
      <c r="S31523"/>
      <c r="T31523"/>
      <c r="U31523"/>
      <c r="X31523" s="60"/>
    </row>
    <row r="31524" spans="7:24" ht="15" customHeight="1">
      <c r="G31524"/>
      <c r="I31524"/>
      <c r="N31524"/>
      <c r="O31524" s="24"/>
      <c r="P31524"/>
      <c r="Q31524" s="24"/>
      <c r="R31524"/>
      <c r="S31524"/>
      <c r="T31524"/>
      <c r="U31524"/>
      <c r="X31524" s="60"/>
    </row>
    <row r="31525" spans="7:24" ht="15" customHeight="1">
      <c r="G31525"/>
      <c r="I31525"/>
      <c r="N31525"/>
      <c r="O31525" s="24"/>
      <c r="P31525"/>
      <c r="Q31525" s="24"/>
      <c r="R31525"/>
      <c r="S31525"/>
      <c r="T31525"/>
      <c r="U31525"/>
      <c r="X31525" s="60"/>
    </row>
    <row r="31526" spans="7:24" ht="15" customHeight="1">
      <c r="G31526"/>
      <c r="I31526"/>
      <c r="N31526"/>
      <c r="O31526" s="24"/>
      <c r="P31526"/>
      <c r="Q31526" s="24"/>
      <c r="R31526"/>
      <c r="S31526"/>
      <c r="T31526"/>
      <c r="U31526"/>
      <c r="X31526" s="60"/>
    </row>
    <row r="31527" spans="7:24" ht="15" customHeight="1">
      <c r="G31527"/>
      <c r="I31527"/>
      <c r="N31527"/>
      <c r="O31527" s="24"/>
      <c r="P31527"/>
      <c r="Q31527" s="24"/>
      <c r="R31527"/>
      <c r="S31527"/>
      <c r="T31527"/>
      <c r="U31527"/>
      <c r="X31527" s="60"/>
    </row>
    <row r="31528" spans="7:24" ht="15" customHeight="1">
      <c r="G31528"/>
      <c r="I31528"/>
      <c r="N31528"/>
      <c r="O31528" s="24"/>
      <c r="P31528"/>
      <c r="Q31528" s="24"/>
      <c r="R31528"/>
      <c r="S31528"/>
      <c r="T31528"/>
      <c r="U31528"/>
      <c r="X31528" s="60"/>
    </row>
    <row r="31529" spans="7:24" ht="15" customHeight="1">
      <c r="G31529"/>
      <c r="I31529"/>
      <c r="N31529"/>
      <c r="O31529" s="24"/>
      <c r="P31529"/>
      <c r="Q31529" s="24"/>
      <c r="R31529"/>
      <c r="S31529"/>
      <c r="T31529"/>
      <c r="U31529"/>
      <c r="X31529" s="60"/>
    </row>
    <row r="31530" spans="7:24" ht="15" customHeight="1">
      <c r="G31530"/>
      <c r="I31530"/>
      <c r="N31530"/>
      <c r="O31530" s="24"/>
      <c r="P31530"/>
      <c r="Q31530" s="24"/>
      <c r="R31530"/>
      <c r="S31530"/>
      <c r="T31530"/>
      <c r="U31530"/>
      <c r="X31530" s="60"/>
    </row>
    <row r="31531" spans="7:24" ht="15" customHeight="1">
      <c r="G31531"/>
      <c r="I31531"/>
      <c r="N31531"/>
      <c r="O31531" s="24"/>
      <c r="P31531"/>
      <c r="Q31531" s="24"/>
      <c r="R31531"/>
      <c r="S31531"/>
      <c r="T31531"/>
      <c r="U31531"/>
      <c r="X31531" s="60"/>
    </row>
    <row r="31532" spans="7:24" ht="15" customHeight="1">
      <c r="G31532"/>
      <c r="I31532"/>
      <c r="N31532"/>
      <c r="O31532" s="24"/>
      <c r="P31532"/>
      <c r="Q31532" s="24"/>
      <c r="R31532"/>
      <c r="S31532"/>
      <c r="T31532"/>
      <c r="U31532"/>
      <c r="X31532" s="60"/>
    </row>
    <row r="31533" spans="7:24" ht="15" customHeight="1">
      <c r="G31533"/>
      <c r="I31533"/>
      <c r="N31533"/>
      <c r="O31533" s="24"/>
      <c r="P31533"/>
      <c r="Q31533" s="24"/>
      <c r="R31533"/>
      <c r="S31533"/>
      <c r="T31533"/>
      <c r="U31533"/>
      <c r="X31533" s="60"/>
    </row>
    <row r="31534" spans="7:24" ht="15" customHeight="1">
      <c r="G31534"/>
      <c r="I31534"/>
      <c r="N31534"/>
      <c r="O31534" s="24"/>
      <c r="P31534"/>
      <c r="Q31534" s="24"/>
      <c r="R31534"/>
      <c r="S31534"/>
      <c r="T31534"/>
      <c r="U31534"/>
      <c r="X31534" s="60"/>
    </row>
    <row r="31535" spans="7:24" ht="15" customHeight="1">
      <c r="G31535"/>
      <c r="I31535"/>
      <c r="N31535"/>
      <c r="O31535" s="24"/>
      <c r="P31535"/>
      <c r="Q31535" s="24"/>
      <c r="R31535"/>
      <c r="S31535"/>
      <c r="T31535"/>
      <c r="U31535"/>
      <c r="X31535" s="60"/>
    </row>
    <row r="31536" spans="7:24" ht="15" customHeight="1">
      <c r="G31536"/>
      <c r="I31536"/>
      <c r="N31536"/>
      <c r="O31536" s="24"/>
      <c r="P31536"/>
      <c r="Q31536" s="24"/>
      <c r="R31536"/>
      <c r="S31536"/>
      <c r="T31536"/>
      <c r="U31536"/>
      <c r="X31536" s="60"/>
    </row>
    <row r="31537" spans="7:24" ht="15" customHeight="1">
      <c r="G31537"/>
      <c r="I31537"/>
      <c r="N31537"/>
      <c r="O31537" s="24"/>
      <c r="P31537"/>
      <c r="Q31537" s="24"/>
      <c r="R31537"/>
      <c r="S31537"/>
      <c r="T31537"/>
      <c r="U31537"/>
      <c r="X31537" s="60"/>
    </row>
    <row r="31538" spans="7:24" ht="15" customHeight="1">
      <c r="G31538"/>
      <c r="I31538"/>
      <c r="N31538"/>
      <c r="O31538" s="24"/>
      <c r="P31538"/>
      <c r="Q31538" s="24"/>
      <c r="R31538"/>
      <c r="S31538"/>
      <c r="T31538"/>
      <c r="U31538"/>
      <c r="X31538" s="60"/>
    </row>
    <row r="31539" spans="7:24" ht="15" customHeight="1">
      <c r="G31539"/>
      <c r="I31539"/>
      <c r="N31539"/>
      <c r="O31539" s="24"/>
      <c r="P31539"/>
      <c r="Q31539" s="24"/>
      <c r="R31539"/>
      <c r="S31539"/>
      <c r="T31539"/>
      <c r="U31539"/>
      <c r="X31539" s="60"/>
    </row>
    <row r="31540" spans="7:24" ht="15" customHeight="1">
      <c r="G31540"/>
      <c r="I31540"/>
      <c r="N31540"/>
      <c r="O31540" s="24"/>
      <c r="P31540"/>
      <c r="Q31540" s="24"/>
      <c r="R31540"/>
      <c r="S31540"/>
      <c r="T31540"/>
      <c r="U31540"/>
      <c r="X31540" s="60"/>
    </row>
    <row r="31541" spans="7:24" ht="15" customHeight="1">
      <c r="G31541"/>
      <c r="I31541"/>
      <c r="N31541"/>
      <c r="O31541" s="24"/>
      <c r="P31541"/>
      <c r="Q31541" s="24"/>
      <c r="R31541"/>
      <c r="S31541"/>
      <c r="T31541"/>
      <c r="U31541"/>
      <c r="X31541" s="60"/>
    </row>
    <row r="31542" spans="7:24" ht="15" customHeight="1">
      <c r="G31542"/>
      <c r="I31542"/>
      <c r="N31542"/>
      <c r="O31542" s="24"/>
      <c r="P31542"/>
      <c r="Q31542" s="24"/>
      <c r="R31542"/>
      <c r="S31542"/>
      <c r="T31542"/>
      <c r="U31542"/>
      <c r="X31542" s="60"/>
    </row>
    <row r="31543" spans="7:24" ht="15" customHeight="1">
      <c r="G31543"/>
      <c r="I31543"/>
      <c r="N31543"/>
      <c r="O31543" s="24"/>
      <c r="P31543"/>
      <c r="Q31543" s="24"/>
      <c r="R31543"/>
      <c r="S31543"/>
      <c r="T31543"/>
      <c r="U31543"/>
      <c r="X31543" s="60"/>
    </row>
    <row r="31544" spans="7:24" ht="15" customHeight="1">
      <c r="G31544"/>
      <c r="I31544"/>
      <c r="N31544"/>
      <c r="O31544" s="24"/>
      <c r="P31544"/>
      <c r="Q31544" s="24"/>
      <c r="R31544"/>
      <c r="S31544"/>
      <c r="T31544"/>
      <c r="U31544"/>
      <c r="X31544" s="60"/>
    </row>
    <row r="31545" spans="7:24" ht="15" customHeight="1">
      <c r="G31545"/>
      <c r="I31545"/>
      <c r="N31545"/>
      <c r="O31545" s="24"/>
      <c r="P31545"/>
      <c r="Q31545" s="24"/>
      <c r="R31545"/>
      <c r="S31545"/>
      <c r="T31545"/>
      <c r="U31545"/>
      <c r="X31545" s="60"/>
    </row>
    <row r="31546" spans="7:24" ht="15" customHeight="1">
      <c r="G31546"/>
      <c r="I31546"/>
      <c r="N31546"/>
      <c r="O31546" s="24"/>
      <c r="P31546"/>
      <c r="Q31546" s="24"/>
      <c r="R31546"/>
      <c r="S31546"/>
      <c r="T31546"/>
      <c r="U31546"/>
      <c r="X31546" s="60"/>
    </row>
    <row r="31547" spans="7:24" ht="15" customHeight="1">
      <c r="G31547"/>
      <c r="I31547"/>
      <c r="N31547"/>
      <c r="O31547" s="24"/>
      <c r="P31547"/>
      <c r="Q31547" s="24"/>
      <c r="R31547"/>
      <c r="S31547"/>
      <c r="T31547"/>
      <c r="U31547"/>
      <c r="X31547" s="60"/>
    </row>
    <row r="31548" spans="7:24" ht="15" customHeight="1">
      <c r="G31548"/>
      <c r="I31548"/>
      <c r="N31548"/>
      <c r="O31548" s="24"/>
      <c r="P31548"/>
      <c r="Q31548" s="24"/>
      <c r="R31548"/>
      <c r="S31548"/>
      <c r="T31548"/>
      <c r="U31548"/>
      <c r="X31548" s="60"/>
    </row>
    <row r="31549" spans="7:24" ht="15" customHeight="1">
      <c r="G31549"/>
      <c r="I31549"/>
      <c r="N31549"/>
      <c r="O31549" s="24"/>
      <c r="P31549"/>
      <c r="Q31549" s="24"/>
      <c r="R31549"/>
      <c r="S31549"/>
      <c r="T31549"/>
      <c r="U31549"/>
      <c r="X31549" s="60"/>
    </row>
    <row r="31550" spans="7:24" ht="15" customHeight="1">
      <c r="G31550"/>
      <c r="I31550"/>
      <c r="N31550"/>
      <c r="O31550" s="24"/>
      <c r="P31550"/>
      <c r="Q31550" s="24"/>
      <c r="R31550"/>
      <c r="S31550"/>
      <c r="T31550"/>
      <c r="U31550"/>
      <c r="X31550" s="60"/>
    </row>
    <row r="31551" spans="7:24" ht="15" customHeight="1">
      <c r="G31551"/>
      <c r="I31551"/>
      <c r="N31551"/>
      <c r="O31551" s="24"/>
      <c r="P31551"/>
      <c r="Q31551" s="24"/>
      <c r="R31551"/>
      <c r="S31551"/>
      <c r="T31551"/>
      <c r="U31551"/>
      <c r="X31551" s="60"/>
    </row>
    <row r="31552" spans="7:24" ht="15" customHeight="1">
      <c r="G31552"/>
      <c r="I31552"/>
      <c r="N31552"/>
      <c r="O31552" s="24"/>
      <c r="P31552"/>
      <c r="Q31552" s="24"/>
      <c r="R31552"/>
      <c r="S31552"/>
      <c r="T31552"/>
      <c r="U31552"/>
      <c r="X31552" s="60"/>
    </row>
    <row r="31553" spans="7:24" ht="15" customHeight="1">
      <c r="G31553"/>
      <c r="I31553"/>
      <c r="N31553"/>
      <c r="O31553" s="24"/>
      <c r="P31553"/>
      <c r="Q31553" s="24"/>
      <c r="R31553"/>
      <c r="S31553"/>
      <c r="T31553"/>
      <c r="U31553"/>
      <c r="X31553" s="60"/>
    </row>
    <row r="31554" spans="7:24" ht="15" customHeight="1">
      <c r="G31554"/>
      <c r="I31554"/>
      <c r="N31554"/>
      <c r="O31554" s="24"/>
      <c r="P31554"/>
      <c r="Q31554" s="24"/>
      <c r="R31554"/>
      <c r="S31554"/>
      <c r="T31554"/>
      <c r="U31554"/>
      <c r="X31554" s="60"/>
    </row>
    <row r="31555" spans="7:24" ht="15" customHeight="1">
      <c r="G31555"/>
      <c r="I31555"/>
      <c r="N31555"/>
      <c r="O31555" s="24"/>
      <c r="P31555"/>
      <c r="Q31555" s="24"/>
      <c r="R31555"/>
      <c r="S31555"/>
      <c r="T31555"/>
      <c r="U31555"/>
      <c r="X31555" s="60"/>
    </row>
    <row r="31556" spans="7:24" ht="15" customHeight="1">
      <c r="G31556"/>
      <c r="I31556"/>
      <c r="N31556"/>
      <c r="O31556" s="24"/>
      <c r="P31556"/>
      <c r="Q31556" s="24"/>
      <c r="R31556"/>
      <c r="S31556"/>
      <c r="T31556"/>
      <c r="U31556"/>
      <c r="X31556" s="60"/>
    </row>
    <row r="31557" spans="7:24" ht="15" customHeight="1">
      <c r="G31557"/>
      <c r="I31557"/>
      <c r="N31557"/>
      <c r="O31557" s="24"/>
      <c r="P31557"/>
      <c r="Q31557" s="24"/>
      <c r="R31557"/>
      <c r="S31557"/>
      <c r="T31557"/>
      <c r="U31557"/>
      <c r="X31557" s="60"/>
    </row>
    <row r="31558" spans="7:24" ht="15" customHeight="1">
      <c r="G31558"/>
      <c r="I31558"/>
      <c r="N31558"/>
      <c r="O31558" s="24"/>
      <c r="P31558"/>
      <c r="Q31558" s="24"/>
      <c r="R31558"/>
      <c r="S31558"/>
      <c r="T31558"/>
      <c r="U31558"/>
      <c r="X31558" s="60"/>
    </row>
    <row r="31559" spans="7:24" ht="15" customHeight="1">
      <c r="G31559"/>
      <c r="I31559"/>
      <c r="N31559"/>
      <c r="O31559" s="24"/>
      <c r="P31559"/>
      <c r="Q31559" s="24"/>
      <c r="R31559"/>
      <c r="S31559"/>
      <c r="T31559"/>
      <c r="U31559"/>
      <c r="X31559" s="60"/>
    </row>
    <row r="31560" spans="7:24" ht="15" customHeight="1">
      <c r="G31560"/>
      <c r="I31560"/>
      <c r="N31560"/>
      <c r="O31560" s="24"/>
      <c r="P31560"/>
      <c r="Q31560" s="24"/>
      <c r="R31560"/>
      <c r="S31560"/>
      <c r="T31560"/>
      <c r="U31560"/>
      <c r="X31560" s="60"/>
    </row>
    <row r="31561" spans="7:24" ht="15" customHeight="1">
      <c r="G31561"/>
      <c r="I31561"/>
      <c r="N31561"/>
      <c r="O31561" s="24"/>
      <c r="P31561"/>
      <c r="Q31561" s="24"/>
      <c r="R31561"/>
      <c r="S31561"/>
      <c r="T31561"/>
      <c r="U31561"/>
      <c r="X31561" s="60"/>
    </row>
    <row r="31562" spans="7:24" ht="15" customHeight="1">
      <c r="G31562"/>
      <c r="I31562"/>
      <c r="N31562"/>
      <c r="O31562" s="24"/>
      <c r="P31562"/>
      <c r="Q31562" s="24"/>
      <c r="R31562"/>
      <c r="S31562"/>
      <c r="T31562"/>
      <c r="U31562"/>
      <c r="X31562" s="60"/>
    </row>
    <row r="31563" spans="7:24" ht="15" customHeight="1">
      <c r="G31563"/>
      <c r="I31563"/>
      <c r="N31563"/>
      <c r="O31563" s="24"/>
      <c r="P31563"/>
      <c r="Q31563" s="24"/>
      <c r="R31563"/>
      <c r="S31563"/>
      <c r="T31563"/>
      <c r="U31563"/>
      <c r="X31563" s="60"/>
    </row>
    <row r="31564" spans="7:24" ht="15" customHeight="1">
      <c r="G31564"/>
      <c r="I31564"/>
      <c r="N31564"/>
      <c r="O31564" s="24"/>
      <c r="P31564"/>
      <c r="Q31564" s="24"/>
      <c r="R31564"/>
      <c r="S31564"/>
      <c r="T31564"/>
      <c r="U31564"/>
      <c r="X31564" s="60"/>
    </row>
    <row r="31565" spans="7:24" ht="15" customHeight="1">
      <c r="G31565"/>
      <c r="I31565"/>
      <c r="N31565"/>
      <c r="O31565" s="24"/>
      <c r="P31565"/>
      <c r="Q31565" s="24"/>
      <c r="R31565"/>
      <c r="S31565"/>
      <c r="T31565"/>
      <c r="U31565"/>
      <c r="X31565" s="60"/>
    </row>
    <row r="31566" spans="7:24" ht="15" customHeight="1">
      <c r="G31566"/>
      <c r="I31566"/>
      <c r="N31566"/>
      <c r="O31566" s="24"/>
      <c r="P31566"/>
      <c r="Q31566" s="24"/>
      <c r="R31566"/>
      <c r="S31566"/>
      <c r="T31566"/>
      <c r="U31566"/>
      <c r="X31566" s="60"/>
    </row>
    <row r="31567" spans="7:24" ht="15" customHeight="1">
      <c r="G31567"/>
      <c r="I31567"/>
      <c r="N31567"/>
      <c r="O31567" s="24"/>
      <c r="P31567"/>
      <c r="Q31567" s="24"/>
      <c r="R31567"/>
      <c r="S31567"/>
      <c r="T31567"/>
      <c r="U31567"/>
      <c r="X31567" s="60"/>
    </row>
    <row r="31568" spans="7:24" ht="15" customHeight="1">
      <c r="G31568"/>
      <c r="I31568"/>
      <c r="N31568"/>
      <c r="O31568" s="24"/>
      <c r="P31568"/>
      <c r="Q31568" s="24"/>
      <c r="R31568"/>
      <c r="S31568"/>
      <c r="T31568"/>
      <c r="U31568"/>
      <c r="X31568" s="60"/>
    </row>
    <row r="31569" spans="7:24" ht="15" customHeight="1">
      <c r="G31569"/>
      <c r="I31569"/>
      <c r="N31569"/>
      <c r="O31569" s="24"/>
      <c r="P31569"/>
      <c r="Q31569" s="24"/>
      <c r="R31569"/>
      <c r="S31569"/>
      <c r="T31569"/>
      <c r="U31569"/>
      <c r="X31569" s="60"/>
    </row>
    <row r="31570" spans="7:24" ht="15" customHeight="1">
      <c r="G31570"/>
      <c r="I31570"/>
      <c r="N31570"/>
      <c r="O31570" s="24"/>
      <c r="P31570"/>
      <c r="Q31570" s="24"/>
      <c r="R31570"/>
      <c r="S31570"/>
      <c r="T31570"/>
      <c r="U31570"/>
      <c r="X31570" s="60"/>
    </row>
    <row r="31571" spans="7:24" ht="15" customHeight="1">
      <c r="G31571"/>
      <c r="I31571"/>
      <c r="N31571"/>
      <c r="O31571" s="24"/>
      <c r="P31571"/>
      <c r="Q31571" s="24"/>
      <c r="R31571"/>
      <c r="S31571"/>
      <c r="T31571"/>
      <c r="U31571"/>
      <c r="X31571" s="60"/>
    </row>
    <row r="31572" spans="7:24" ht="15" customHeight="1">
      <c r="G31572"/>
      <c r="I31572"/>
      <c r="N31572"/>
      <c r="O31572" s="24"/>
      <c r="P31572"/>
      <c r="Q31572" s="24"/>
      <c r="R31572"/>
      <c r="S31572"/>
      <c r="T31572"/>
      <c r="U31572"/>
      <c r="X31572" s="60"/>
    </row>
    <row r="31573" spans="7:24" ht="15" customHeight="1">
      <c r="G31573"/>
      <c r="I31573"/>
      <c r="N31573"/>
      <c r="O31573" s="24"/>
      <c r="P31573"/>
      <c r="Q31573" s="24"/>
      <c r="R31573"/>
      <c r="S31573"/>
      <c r="T31573"/>
      <c r="U31573"/>
      <c r="X31573" s="60"/>
    </row>
    <row r="31574" spans="7:24" ht="15" customHeight="1">
      <c r="G31574"/>
      <c r="I31574"/>
      <c r="N31574"/>
      <c r="O31574" s="24"/>
      <c r="P31574"/>
      <c r="Q31574" s="24"/>
      <c r="R31574"/>
      <c r="S31574"/>
      <c r="T31574"/>
      <c r="U31574"/>
      <c r="X31574" s="60"/>
    </row>
    <row r="31575" spans="7:24" ht="15" customHeight="1">
      <c r="G31575"/>
      <c r="I31575"/>
      <c r="N31575"/>
      <c r="O31575" s="24"/>
      <c r="P31575"/>
      <c r="Q31575" s="24"/>
      <c r="R31575"/>
      <c r="S31575"/>
      <c r="T31575"/>
      <c r="U31575"/>
      <c r="X31575" s="60"/>
    </row>
    <row r="31576" spans="7:24" ht="15" customHeight="1">
      <c r="G31576"/>
      <c r="I31576"/>
      <c r="N31576"/>
      <c r="O31576" s="24"/>
      <c r="P31576"/>
      <c r="Q31576" s="24"/>
      <c r="R31576"/>
      <c r="S31576"/>
      <c r="T31576"/>
      <c r="U31576"/>
      <c r="X31576" s="60"/>
    </row>
    <row r="31577" spans="7:24" ht="15" customHeight="1">
      <c r="G31577"/>
      <c r="I31577"/>
      <c r="N31577"/>
      <c r="O31577" s="24"/>
      <c r="P31577"/>
      <c r="Q31577" s="24"/>
      <c r="R31577"/>
      <c r="S31577"/>
      <c r="T31577"/>
      <c r="U31577"/>
      <c r="X31577" s="60"/>
    </row>
    <row r="31578" spans="7:24" ht="15" customHeight="1">
      <c r="G31578"/>
      <c r="I31578"/>
      <c r="N31578"/>
      <c r="O31578" s="24"/>
      <c r="P31578"/>
      <c r="Q31578" s="24"/>
      <c r="R31578"/>
      <c r="S31578"/>
      <c r="T31578"/>
      <c r="U31578"/>
      <c r="X31578" s="60"/>
    </row>
    <row r="31579" spans="7:24" ht="15" customHeight="1">
      <c r="G31579"/>
      <c r="I31579"/>
      <c r="N31579"/>
      <c r="O31579" s="24"/>
      <c r="P31579"/>
      <c r="Q31579" s="24"/>
      <c r="R31579"/>
      <c r="S31579"/>
      <c r="T31579"/>
      <c r="U31579"/>
      <c r="X31579" s="60"/>
    </row>
    <row r="31580" spans="7:24" ht="15" customHeight="1">
      <c r="G31580"/>
      <c r="I31580"/>
      <c r="N31580"/>
      <c r="O31580" s="24"/>
      <c r="P31580"/>
      <c r="Q31580" s="24"/>
      <c r="R31580"/>
      <c r="S31580"/>
      <c r="T31580"/>
      <c r="U31580"/>
      <c r="X31580" s="60"/>
    </row>
    <row r="31581" spans="7:24" ht="15" customHeight="1">
      <c r="G31581"/>
      <c r="I31581"/>
      <c r="N31581"/>
      <c r="O31581" s="24"/>
      <c r="P31581"/>
      <c r="Q31581" s="24"/>
      <c r="R31581"/>
      <c r="S31581"/>
      <c r="T31581"/>
      <c r="U31581"/>
      <c r="X31581" s="60"/>
    </row>
    <row r="31582" spans="7:24" ht="15" customHeight="1">
      <c r="G31582"/>
      <c r="I31582"/>
      <c r="N31582"/>
      <c r="O31582" s="24"/>
      <c r="P31582"/>
      <c r="Q31582" s="24"/>
      <c r="R31582"/>
      <c r="S31582"/>
      <c r="T31582"/>
      <c r="U31582"/>
      <c r="X31582" s="60"/>
    </row>
    <row r="31583" spans="7:24" ht="15" customHeight="1">
      <c r="G31583"/>
      <c r="I31583"/>
      <c r="N31583"/>
      <c r="O31583" s="24"/>
      <c r="P31583"/>
      <c r="Q31583" s="24"/>
      <c r="R31583"/>
      <c r="S31583"/>
      <c r="T31583"/>
      <c r="U31583"/>
      <c r="X31583" s="60"/>
    </row>
    <row r="31584" spans="7:24" ht="15" customHeight="1">
      <c r="G31584"/>
      <c r="I31584"/>
      <c r="N31584"/>
      <c r="O31584" s="24"/>
      <c r="P31584"/>
      <c r="Q31584" s="24"/>
      <c r="R31584"/>
      <c r="S31584"/>
      <c r="T31584"/>
      <c r="U31584"/>
      <c r="X31584" s="60"/>
    </row>
    <row r="31585" spans="7:24" ht="15" customHeight="1">
      <c r="G31585"/>
      <c r="I31585"/>
      <c r="N31585"/>
      <c r="O31585" s="24"/>
      <c r="P31585"/>
      <c r="Q31585" s="24"/>
      <c r="R31585"/>
      <c r="S31585"/>
      <c r="T31585"/>
      <c r="U31585"/>
      <c r="X31585" s="60"/>
    </row>
    <row r="31586" spans="7:24" ht="15" customHeight="1">
      <c r="G31586"/>
      <c r="I31586"/>
      <c r="N31586"/>
      <c r="O31586" s="24"/>
      <c r="P31586"/>
      <c r="Q31586" s="24"/>
      <c r="R31586"/>
      <c r="S31586"/>
      <c r="T31586"/>
      <c r="U31586"/>
      <c r="X31586" s="60"/>
    </row>
    <row r="31587" spans="7:24" ht="15" customHeight="1">
      <c r="G31587"/>
      <c r="I31587"/>
      <c r="N31587"/>
      <c r="O31587" s="24"/>
      <c r="P31587"/>
      <c r="Q31587" s="24"/>
      <c r="R31587"/>
      <c r="S31587"/>
      <c r="T31587"/>
      <c r="U31587"/>
      <c r="X31587" s="60"/>
    </row>
    <row r="31588" spans="7:24" ht="15" customHeight="1">
      <c r="G31588"/>
      <c r="I31588"/>
      <c r="N31588"/>
      <c r="O31588" s="24"/>
      <c r="P31588"/>
      <c r="Q31588" s="24"/>
      <c r="R31588"/>
      <c r="S31588"/>
      <c r="T31588"/>
      <c r="U31588"/>
      <c r="X31588" s="60"/>
    </row>
    <row r="31589" spans="7:24" ht="15" customHeight="1">
      <c r="G31589"/>
      <c r="I31589"/>
      <c r="N31589"/>
      <c r="O31589" s="24"/>
      <c r="P31589"/>
      <c r="Q31589" s="24"/>
      <c r="R31589"/>
      <c r="S31589"/>
      <c r="T31589"/>
      <c r="U31589"/>
      <c r="X31589" s="60"/>
    </row>
    <row r="31590" spans="7:24" ht="15" customHeight="1">
      <c r="G31590"/>
      <c r="I31590"/>
      <c r="N31590"/>
      <c r="O31590" s="24"/>
      <c r="P31590"/>
      <c r="Q31590" s="24"/>
      <c r="R31590"/>
      <c r="S31590"/>
      <c r="T31590"/>
      <c r="U31590"/>
      <c r="X31590" s="60"/>
    </row>
    <row r="31591" spans="7:24" ht="15" customHeight="1">
      <c r="G31591"/>
      <c r="I31591"/>
      <c r="N31591"/>
      <c r="O31591" s="24"/>
      <c r="P31591"/>
      <c r="Q31591" s="24"/>
      <c r="R31591"/>
      <c r="S31591"/>
      <c r="T31591"/>
      <c r="U31591"/>
      <c r="X31591" s="60"/>
    </row>
    <row r="31592" spans="7:24" ht="15" customHeight="1">
      <c r="G31592"/>
      <c r="I31592"/>
      <c r="N31592"/>
      <c r="O31592" s="24"/>
      <c r="P31592"/>
      <c r="Q31592" s="24"/>
      <c r="R31592"/>
      <c r="S31592"/>
      <c r="T31592"/>
      <c r="U31592"/>
      <c r="X31592" s="60"/>
    </row>
    <row r="31593" spans="7:24" ht="15" customHeight="1">
      <c r="G31593"/>
      <c r="I31593"/>
      <c r="N31593"/>
      <c r="O31593" s="24"/>
      <c r="P31593"/>
      <c r="Q31593" s="24"/>
      <c r="R31593"/>
      <c r="S31593"/>
      <c r="T31593"/>
      <c r="U31593"/>
      <c r="X31593" s="60"/>
    </row>
    <row r="31594" spans="7:24" ht="15" customHeight="1">
      <c r="G31594"/>
      <c r="I31594"/>
      <c r="N31594"/>
      <c r="O31594" s="24"/>
      <c r="P31594"/>
      <c r="Q31594" s="24"/>
      <c r="R31594"/>
      <c r="S31594"/>
      <c r="T31594"/>
      <c r="U31594"/>
      <c r="X31594" s="60"/>
    </row>
    <row r="31595" spans="7:24" ht="15" customHeight="1">
      <c r="G31595"/>
      <c r="I31595"/>
      <c r="N31595"/>
      <c r="O31595" s="24"/>
      <c r="P31595"/>
      <c r="Q31595" s="24"/>
      <c r="R31595"/>
      <c r="S31595"/>
      <c r="T31595"/>
      <c r="U31595"/>
      <c r="X31595" s="60"/>
    </row>
    <row r="31596" spans="7:24" ht="15" customHeight="1">
      <c r="G31596"/>
      <c r="I31596"/>
      <c r="N31596"/>
      <c r="O31596" s="24"/>
      <c r="P31596"/>
      <c r="Q31596" s="24"/>
      <c r="R31596"/>
      <c r="S31596"/>
      <c r="T31596"/>
      <c r="U31596"/>
      <c r="X31596" s="60"/>
    </row>
    <row r="31597" spans="7:24" ht="15" customHeight="1">
      <c r="G31597"/>
      <c r="I31597"/>
      <c r="N31597"/>
      <c r="O31597" s="24"/>
      <c r="P31597"/>
      <c r="Q31597" s="24"/>
      <c r="R31597"/>
      <c r="S31597"/>
      <c r="T31597"/>
      <c r="U31597"/>
      <c r="X31597" s="60"/>
    </row>
    <row r="31598" spans="7:24" ht="15" customHeight="1">
      <c r="G31598"/>
      <c r="I31598"/>
      <c r="N31598"/>
      <c r="O31598" s="24"/>
      <c r="P31598"/>
      <c r="Q31598" s="24"/>
      <c r="R31598"/>
      <c r="S31598"/>
      <c r="T31598"/>
      <c r="U31598"/>
      <c r="X31598" s="60"/>
    </row>
    <row r="31599" spans="7:24" ht="15" customHeight="1">
      <c r="G31599"/>
      <c r="I31599"/>
      <c r="N31599"/>
      <c r="O31599" s="24"/>
      <c r="P31599"/>
      <c r="Q31599" s="24"/>
      <c r="R31599"/>
      <c r="S31599"/>
      <c r="T31599"/>
      <c r="U31599"/>
      <c r="X31599" s="60"/>
    </row>
    <row r="31600" spans="7:24" ht="15" customHeight="1">
      <c r="G31600"/>
      <c r="I31600"/>
      <c r="N31600"/>
      <c r="O31600" s="24"/>
      <c r="P31600"/>
      <c r="Q31600" s="24"/>
      <c r="R31600"/>
      <c r="S31600"/>
      <c r="T31600"/>
      <c r="U31600"/>
      <c r="X31600" s="60"/>
    </row>
    <row r="31601" spans="7:24" ht="15" customHeight="1">
      <c r="G31601"/>
      <c r="I31601"/>
      <c r="N31601"/>
      <c r="O31601" s="24"/>
      <c r="P31601"/>
      <c r="Q31601" s="24"/>
      <c r="R31601"/>
      <c r="S31601"/>
      <c r="T31601"/>
      <c r="U31601"/>
      <c r="X31601" s="60"/>
    </row>
    <row r="31602" spans="7:24" ht="15" customHeight="1">
      <c r="G31602"/>
      <c r="I31602"/>
      <c r="N31602"/>
      <c r="O31602" s="24"/>
      <c r="P31602"/>
      <c r="Q31602" s="24"/>
      <c r="R31602"/>
      <c r="S31602"/>
      <c r="T31602"/>
      <c r="U31602"/>
      <c r="X31602" s="60"/>
    </row>
    <row r="31603" spans="7:24" ht="15" customHeight="1">
      <c r="G31603"/>
      <c r="I31603"/>
      <c r="N31603"/>
      <c r="O31603" s="24"/>
      <c r="P31603"/>
      <c r="Q31603" s="24"/>
      <c r="R31603"/>
      <c r="S31603"/>
      <c r="T31603"/>
      <c r="U31603"/>
      <c r="X31603" s="60"/>
    </row>
    <row r="31604" spans="7:24" ht="15" customHeight="1">
      <c r="G31604"/>
      <c r="I31604"/>
      <c r="N31604"/>
      <c r="O31604" s="24"/>
      <c r="P31604"/>
      <c r="Q31604" s="24"/>
      <c r="R31604"/>
      <c r="S31604"/>
      <c r="T31604"/>
      <c r="U31604"/>
      <c r="X31604" s="60"/>
    </row>
    <row r="31605" spans="7:24" ht="15" customHeight="1">
      <c r="G31605"/>
      <c r="I31605"/>
      <c r="N31605"/>
      <c r="O31605" s="24"/>
      <c r="P31605"/>
      <c r="Q31605" s="24"/>
      <c r="R31605"/>
      <c r="S31605"/>
      <c r="T31605"/>
      <c r="U31605"/>
      <c r="X31605" s="60"/>
    </row>
    <row r="31606" spans="7:24" ht="15" customHeight="1">
      <c r="G31606"/>
      <c r="I31606"/>
      <c r="N31606"/>
      <c r="O31606" s="24"/>
      <c r="P31606"/>
      <c r="Q31606" s="24"/>
      <c r="R31606"/>
      <c r="S31606"/>
      <c r="T31606"/>
      <c r="U31606"/>
      <c r="X31606" s="60"/>
    </row>
    <row r="31607" spans="7:24" ht="15" customHeight="1">
      <c r="G31607"/>
      <c r="I31607"/>
      <c r="N31607"/>
      <c r="O31607" s="24"/>
      <c r="P31607"/>
      <c r="Q31607" s="24"/>
      <c r="R31607"/>
      <c r="S31607"/>
      <c r="T31607"/>
      <c r="U31607"/>
      <c r="X31607" s="60"/>
    </row>
    <row r="31608" spans="7:24" ht="15" customHeight="1">
      <c r="G31608"/>
      <c r="I31608"/>
      <c r="N31608"/>
      <c r="O31608" s="24"/>
      <c r="P31608"/>
      <c r="Q31608" s="24"/>
      <c r="R31608"/>
      <c r="S31608"/>
      <c r="T31608"/>
      <c r="U31608"/>
      <c r="X31608" s="60"/>
    </row>
    <row r="31609" spans="7:24" ht="15" customHeight="1">
      <c r="G31609"/>
      <c r="I31609"/>
      <c r="N31609"/>
      <c r="O31609" s="24"/>
      <c r="P31609"/>
      <c r="Q31609" s="24"/>
      <c r="R31609"/>
      <c r="S31609"/>
      <c r="T31609"/>
      <c r="U31609"/>
      <c r="X31609" s="60"/>
    </row>
    <row r="31610" spans="7:24" ht="15" customHeight="1">
      <c r="G31610"/>
      <c r="I31610"/>
      <c r="N31610"/>
      <c r="O31610" s="24"/>
      <c r="P31610"/>
      <c r="Q31610" s="24"/>
      <c r="R31610"/>
      <c r="S31610"/>
      <c r="T31610"/>
      <c r="U31610"/>
      <c r="X31610" s="60"/>
    </row>
    <row r="31611" spans="7:24" ht="15" customHeight="1">
      <c r="G31611"/>
      <c r="I31611"/>
      <c r="N31611"/>
      <c r="O31611" s="24"/>
      <c r="P31611"/>
      <c r="Q31611" s="24"/>
      <c r="R31611"/>
      <c r="S31611"/>
      <c r="T31611"/>
      <c r="U31611"/>
      <c r="X31611" s="60"/>
    </row>
    <row r="31612" spans="7:24" ht="15" customHeight="1">
      <c r="G31612"/>
      <c r="I31612"/>
      <c r="N31612"/>
      <c r="O31612" s="24"/>
      <c r="P31612"/>
      <c r="Q31612" s="24"/>
      <c r="R31612"/>
      <c r="S31612"/>
      <c r="T31612"/>
      <c r="U31612"/>
      <c r="X31612" s="60"/>
    </row>
    <row r="31613" spans="7:24" ht="15" customHeight="1">
      <c r="G31613"/>
      <c r="I31613"/>
      <c r="N31613"/>
      <c r="O31613" s="24"/>
      <c r="P31613"/>
      <c r="Q31613" s="24"/>
      <c r="R31613"/>
      <c r="S31613"/>
      <c r="T31613"/>
      <c r="U31613"/>
      <c r="X31613" s="60"/>
    </row>
    <row r="31614" spans="7:24" ht="15" customHeight="1">
      <c r="G31614"/>
      <c r="I31614"/>
      <c r="N31614"/>
      <c r="O31614" s="24"/>
      <c r="P31614"/>
      <c r="Q31614" s="24"/>
      <c r="R31614"/>
      <c r="S31614"/>
      <c r="T31614"/>
      <c r="U31614"/>
      <c r="X31614" s="60"/>
    </row>
    <row r="31615" spans="7:24" ht="15" customHeight="1">
      <c r="G31615"/>
      <c r="I31615"/>
      <c r="N31615"/>
      <c r="O31615" s="24"/>
      <c r="P31615"/>
      <c r="Q31615" s="24"/>
      <c r="R31615"/>
      <c r="S31615"/>
      <c r="T31615"/>
      <c r="U31615"/>
      <c r="X31615" s="60"/>
    </row>
    <row r="31616" spans="7:24" ht="15" customHeight="1">
      <c r="G31616"/>
      <c r="I31616"/>
      <c r="N31616"/>
      <c r="O31616" s="24"/>
      <c r="P31616"/>
      <c r="Q31616" s="24"/>
      <c r="R31616"/>
      <c r="S31616"/>
      <c r="T31616"/>
      <c r="U31616"/>
      <c r="X31616" s="60"/>
    </row>
    <row r="31617" spans="7:24" ht="15" customHeight="1">
      <c r="G31617"/>
      <c r="I31617"/>
      <c r="N31617"/>
      <c r="O31617" s="24"/>
      <c r="P31617"/>
      <c r="Q31617" s="24"/>
      <c r="R31617"/>
      <c r="S31617"/>
      <c r="T31617"/>
      <c r="U31617"/>
      <c r="X31617" s="60"/>
    </row>
    <row r="31618" spans="7:24" ht="15" customHeight="1">
      <c r="G31618"/>
      <c r="I31618"/>
      <c r="N31618"/>
      <c r="O31618" s="24"/>
      <c r="P31618"/>
      <c r="Q31618" s="24"/>
      <c r="R31618"/>
      <c r="S31618"/>
      <c r="T31618"/>
      <c r="U31618"/>
      <c r="X31618" s="60"/>
    </row>
    <row r="31619" spans="7:24" ht="15" customHeight="1">
      <c r="G31619"/>
      <c r="I31619"/>
      <c r="N31619"/>
      <c r="O31619" s="24"/>
      <c r="P31619"/>
      <c r="Q31619" s="24"/>
      <c r="R31619"/>
      <c r="S31619"/>
      <c r="T31619"/>
      <c r="U31619"/>
      <c r="X31619" s="60"/>
    </row>
    <row r="31620" spans="7:24" ht="15" customHeight="1">
      <c r="G31620"/>
      <c r="I31620"/>
      <c r="N31620"/>
      <c r="O31620" s="24"/>
      <c r="P31620"/>
      <c r="Q31620" s="24"/>
      <c r="R31620"/>
      <c r="S31620"/>
      <c r="T31620"/>
      <c r="U31620"/>
      <c r="X31620" s="60"/>
    </row>
    <row r="31621" spans="7:24" ht="15" customHeight="1">
      <c r="G31621"/>
      <c r="I31621"/>
      <c r="N31621"/>
      <c r="O31621" s="24"/>
      <c r="P31621"/>
      <c r="Q31621" s="24"/>
      <c r="R31621"/>
      <c r="S31621"/>
      <c r="T31621"/>
      <c r="U31621"/>
      <c r="X31621" s="60"/>
    </row>
    <row r="31622" spans="7:24" ht="15" customHeight="1">
      <c r="G31622"/>
      <c r="I31622"/>
      <c r="N31622"/>
      <c r="O31622" s="24"/>
      <c r="P31622"/>
      <c r="Q31622" s="24"/>
      <c r="R31622"/>
      <c r="S31622"/>
      <c r="T31622"/>
      <c r="U31622"/>
      <c r="X31622" s="60"/>
    </row>
    <row r="31623" spans="7:24" ht="15" customHeight="1">
      <c r="G31623"/>
      <c r="I31623"/>
      <c r="N31623"/>
      <c r="O31623" s="24"/>
      <c r="P31623"/>
      <c r="Q31623" s="24"/>
      <c r="R31623"/>
      <c r="S31623"/>
      <c r="T31623"/>
      <c r="U31623"/>
      <c r="X31623" s="60"/>
    </row>
    <row r="31624" spans="7:24" ht="15" customHeight="1">
      <c r="G31624"/>
      <c r="I31624"/>
      <c r="N31624"/>
      <c r="O31624" s="24"/>
      <c r="P31624"/>
      <c r="Q31624" s="24"/>
      <c r="R31624"/>
      <c r="S31624"/>
      <c r="T31624"/>
      <c r="U31624"/>
      <c r="X31624" s="60"/>
    </row>
    <row r="31625" spans="7:24" ht="15" customHeight="1">
      <c r="G31625"/>
      <c r="I31625"/>
      <c r="N31625"/>
      <c r="O31625" s="24"/>
      <c r="P31625"/>
      <c r="Q31625" s="24"/>
      <c r="R31625"/>
      <c r="S31625"/>
      <c r="T31625"/>
      <c r="U31625"/>
      <c r="X31625" s="60"/>
    </row>
    <row r="31626" spans="7:24" ht="15" customHeight="1">
      <c r="G31626"/>
      <c r="I31626"/>
      <c r="N31626"/>
      <c r="O31626" s="24"/>
      <c r="P31626"/>
      <c r="Q31626" s="24"/>
      <c r="R31626"/>
      <c r="S31626"/>
      <c r="T31626"/>
      <c r="U31626"/>
      <c r="X31626" s="60"/>
    </row>
    <row r="31627" spans="7:24" ht="15" customHeight="1">
      <c r="G31627"/>
      <c r="I31627"/>
      <c r="N31627"/>
      <c r="O31627" s="24"/>
      <c r="P31627"/>
      <c r="Q31627" s="24"/>
      <c r="R31627"/>
      <c r="S31627"/>
      <c r="T31627"/>
      <c r="U31627"/>
      <c r="X31627" s="60"/>
    </row>
    <row r="31628" spans="7:24" ht="15" customHeight="1">
      <c r="G31628"/>
      <c r="I31628"/>
      <c r="N31628"/>
      <c r="O31628" s="24"/>
      <c r="P31628"/>
      <c r="Q31628" s="24"/>
      <c r="R31628"/>
      <c r="S31628"/>
      <c r="T31628"/>
      <c r="U31628"/>
      <c r="X31628" s="60"/>
    </row>
    <row r="31629" spans="7:24" ht="15" customHeight="1">
      <c r="G31629"/>
      <c r="I31629"/>
      <c r="N31629"/>
      <c r="O31629" s="24"/>
      <c r="P31629"/>
      <c r="Q31629" s="24"/>
      <c r="R31629"/>
      <c r="S31629"/>
      <c r="T31629"/>
      <c r="U31629"/>
      <c r="X31629" s="60"/>
    </row>
    <row r="31630" spans="7:24" ht="15" customHeight="1">
      <c r="G31630"/>
      <c r="I31630"/>
      <c r="N31630"/>
      <c r="O31630" s="24"/>
      <c r="P31630"/>
      <c r="Q31630" s="24"/>
      <c r="R31630"/>
      <c r="S31630"/>
      <c r="T31630"/>
      <c r="U31630"/>
      <c r="X31630" s="60"/>
    </row>
    <row r="31631" spans="7:24" ht="15" customHeight="1">
      <c r="G31631"/>
      <c r="I31631"/>
      <c r="N31631"/>
      <c r="O31631" s="24"/>
      <c r="P31631"/>
      <c r="Q31631" s="24"/>
      <c r="R31631"/>
      <c r="S31631"/>
      <c r="T31631"/>
      <c r="U31631"/>
      <c r="X31631" s="60"/>
    </row>
    <row r="31632" spans="7:24" ht="15" customHeight="1">
      <c r="G31632"/>
      <c r="I31632"/>
      <c r="N31632"/>
      <c r="O31632" s="24"/>
      <c r="P31632"/>
      <c r="Q31632" s="24"/>
      <c r="R31632"/>
      <c r="S31632"/>
      <c r="T31632"/>
      <c r="U31632"/>
      <c r="X31632" s="60"/>
    </row>
    <row r="31633" spans="7:24" ht="15" customHeight="1">
      <c r="G31633"/>
      <c r="I31633"/>
      <c r="N31633"/>
      <c r="O31633" s="24"/>
      <c r="P31633"/>
      <c r="Q31633" s="24"/>
      <c r="R31633"/>
      <c r="S31633"/>
      <c r="T31633"/>
      <c r="U31633"/>
      <c r="X31633" s="60"/>
    </row>
    <row r="31634" spans="7:24" ht="15" customHeight="1">
      <c r="G31634"/>
      <c r="I31634"/>
      <c r="N31634"/>
      <c r="O31634" s="24"/>
      <c r="P31634"/>
      <c r="Q31634" s="24"/>
      <c r="R31634"/>
      <c r="S31634"/>
      <c r="T31634"/>
      <c r="U31634"/>
      <c r="X31634" s="60"/>
    </row>
    <row r="31635" spans="7:24" ht="15" customHeight="1">
      <c r="G31635"/>
      <c r="I31635"/>
      <c r="N31635"/>
      <c r="O31635" s="24"/>
      <c r="P31635"/>
      <c r="Q31635" s="24"/>
      <c r="R31635"/>
      <c r="S31635"/>
      <c r="T31635"/>
      <c r="U31635"/>
      <c r="X31635" s="60"/>
    </row>
    <row r="31636" spans="7:24" ht="15" customHeight="1">
      <c r="G31636"/>
      <c r="I31636"/>
      <c r="N31636"/>
      <c r="O31636" s="24"/>
      <c r="P31636"/>
      <c r="Q31636" s="24"/>
      <c r="R31636"/>
      <c r="S31636"/>
      <c r="T31636"/>
      <c r="U31636"/>
      <c r="X31636" s="60"/>
    </row>
    <row r="31637" spans="7:24" ht="15" customHeight="1">
      <c r="G31637"/>
      <c r="I31637"/>
      <c r="N31637"/>
      <c r="O31637" s="24"/>
      <c r="P31637"/>
      <c r="Q31637" s="24"/>
      <c r="R31637"/>
      <c r="S31637"/>
      <c r="T31637"/>
      <c r="U31637"/>
      <c r="X31637" s="60"/>
    </row>
    <row r="31638" spans="7:24" ht="15" customHeight="1">
      <c r="G31638"/>
      <c r="I31638"/>
      <c r="N31638"/>
      <c r="O31638" s="24"/>
      <c r="P31638"/>
      <c r="Q31638" s="24"/>
      <c r="R31638"/>
      <c r="S31638"/>
      <c r="T31638"/>
      <c r="U31638"/>
      <c r="X31638" s="60"/>
    </row>
    <row r="31639" spans="7:24" ht="15" customHeight="1">
      <c r="G31639"/>
      <c r="I31639"/>
      <c r="N31639"/>
      <c r="O31639" s="24"/>
      <c r="P31639"/>
      <c r="Q31639" s="24"/>
      <c r="R31639"/>
      <c r="S31639"/>
      <c r="T31639"/>
      <c r="U31639"/>
      <c r="X31639" s="60"/>
    </row>
    <row r="31640" spans="7:24" ht="15" customHeight="1">
      <c r="G31640"/>
      <c r="I31640"/>
      <c r="N31640"/>
      <c r="O31640" s="24"/>
      <c r="P31640"/>
      <c r="Q31640" s="24"/>
      <c r="R31640"/>
      <c r="S31640"/>
      <c r="T31640"/>
      <c r="U31640"/>
      <c r="X31640" s="60"/>
    </row>
    <row r="31641" spans="7:24" ht="15" customHeight="1">
      <c r="G31641"/>
      <c r="I31641"/>
      <c r="N31641"/>
      <c r="O31641" s="24"/>
      <c r="P31641"/>
      <c r="Q31641" s="24"/>
      <c r="R31641"/>
      <c r="S31641"/>
      <c r="T31641"/>
      <c r="U31641"/>
      <c r="X31641" s="60"/>
    </row>
    <row r="31642" spans="7:24" ht="15" customHeight="1">
      <c r="G31642"/>
      <c r="I31642"/>
      <c r="N31642"/>
      <c r="O31642" s="24"/>
      <c r="P31642"/>
      <c r="Q31642" s="24"/>
      <c r="R31642"/>
      <c r="S31642"/>
      <c r="T31642"/>
      <c r="U31642"/>
      <c r="X31642" s="60"/>
    </row>
    <row r="31643" spans="7:24" ht="15" customHeight="1">
      <c r="G31643"/>
      <c r="I31643"/>
      <c r="N31643"/>
      <c r="O31643" s="24"/>
      <c r="P31643"/>
      <c r="Q31643" s="24"/>
      <c r="R31643"/>
      <c r="S31643"/>
      <c r="T31643"/>
      <c r="U31643"/>
      <c r="X31643" s="60"/>
    </row>
    <row r="31644" spans="7:24" ht="15" customHeight="1">
      <c r="G31644"/>
      <c r="I31644"/>
      <c r="N31644"/>
      <c r="O31644" s="24"/>
      <c r="P31644"/>
      <c r="Q31644" s="24"/>
      <c r="R31644"/>
      <c r="S31644"/>
      <c r="T31644"/>
      <c r="U31644"/>
      <c r="X31644" s="60"/>
    </row>
    <row r="31645" spans="7:24" ht="15" customHeight="1">
      <c r="G31645"/>
      <c r="I31645"/>
      <c r="N31645"/>
      <c r="O31645" s="24"/>
      <c r="P31645"/>
      <c r="Q31645" s="24"/>
      <c r="R31645"/>
      <c r="S31645"/>
      <c r="T31645"/>
      <c r="U31645"/>
      <c r="X31645" s="60"/>
    </row>
    <row r="31646" spans="7:24" ht="15" customHeight="1">
      <c r="G31646"/>
      <c r="I31646"/>
      <c r="N31646"/>
      <c r="O31646" s="24"/>
      <c r="P31646"/>
      <c r="Q31646" s="24"/>
      <c r="R31646"/>
      <c r="S31646"/>
      <c r="T31646"/>
      <c r="U31646"/>
      <c r="X31646" s="60"/>
    </row>
    <row r="31647" spans="7:24" ht="15" customHeight="1">
      <c r="G31647"/>
      <c r="I31647"/>
      <c r="N31647"/>
      <c r="O31647" s="24"/>
      <c r="P31647"/>
      <c r="Q31647" s="24"/>
      <c r="R31647"/>
      <c r="S31647"/>
      <c r="T31647"/>
      <c r="U31647"/>
      <c r="X31647" s="60"/>
    </row>
    <row r="31648" spans="7:24" ht="15" customHeight="1">
      <c r="G31648"/>
      <c r="I31648"/>
      <c r="N31648"/>
      <c r="O31648" s="24"/>
      <c r="P31648"/>
      <c r="Q31648" s="24"/>
      <c r="R31648"/>
      <c r="S31648"/>
      <c r="T31648"/>
      <c r="U31648"/>
      <c r="X31648" s="60"/>
    </row>
    <row r="31649" spans="7:24" ht="15" customHeight="1">
      <c r="G31649"/>
      <c r="I31649"/>
      <c r="N31649"/>
      <c r="O31649" s="24"/>
      <c r="P31649"/>
      <c r="Q31649" s="24"/>
      <c r="R31649"/>
      <c r="S31649"/>
      <c r="T31649"/>
      <c r="U31649"/>
      <c r="X31649" s="60"/>
    </row>
    <row r="31650" spans="7:24" ht="15" customHeight="1">
      <c r="G31650"/>
      <c r="I31650"/>
      <c r="N31650"/>
      <c r="O31650" s="24"/>
      <c r="P31650"/>
      <c r="Q31650" s="24"/>
      <c r="R31650"/>
      <c r="S31650"/>
      <c r="T31650"/>
      <c r="U31650"/>
      <c r="X31650" s="60"/>
    </row>
    <row r="31651" spans="7:24" ht="15" customHeight="1">
      <c r="G31651"/>
      <c r="I31651"/>
      <c r="N31651"/>
      <c r="O31651" s="24"/>
      <c r="P31651"/>
      <c r="Q31651" s="24"/>
      <c r="R31651"/>
      <c r="S31651"/>
      <c r="T31651"/>
      <c r="U31651"/>
      <c r="X31651" s="60"/>
    </row>
    <row r="31652" spans="7:24" ht="15" customHeight="1">
      <c r="G31652"/>
      <c r="I31652"/>
      <c r="N31652"/>
      <c r="O31652" s="24"/>
      <c r="P31652"/>
      <c r="Q31652" s="24"/>
      <c r="R31652"/>
      <c r="S31652"/>
      <c r="T31652"/>
      <c r="U31652"/>
      <c r="X31652" s="60"/>
    </row>
    <row r="31653" spans="7:24" ht="15" customHeight="1">
      <c r="G31653"/>
      <c r="I31653"/>
      <c r="N31653"/>
      <c r="O31653" s="24"/>
      <c r="P31653"/>
      <c r="Q31653" s="24"/>
      <c r="R31653"/>
      <c r="S31653"/>
      <c r="T31653"/>
      <c r="U31653"/>
      <c r="X31653" s="60"/>
    </row>
    <row r="31654" spans="7:24" ht="15" customHeight="1">
      <c r="G31654"/>
      <c r="I31654"/>
      <c r="N31654"/>
      <c r="O31654" s="24"/>
      <c r="P31654"/>
      <c r="Q31654" s="24"/>
      <c r="R31654"/>
      <c r="S31654"/>
      <c r="T31654"/>
      <c r="U31654"/>
      <c r="X31654" s="60"/>
    </row>
    <row r="31655" spans="7:24" ht="15" customHeight="1">
      <c r="G31655"/>
      <c r="I31655"/>
      <c r="N31655"/>
      <c r="O31655" s="24"/>
      <c r="P31655"/>
      <c r="Q31655" s="24"/>
      <c r="R31655"/>
      <c r="S31655"/>
      <c r="T31655"/>
      <c r="U31655"/>
      <c r="X31655" s="60"/>
    </row>
    <row r="31656" spans="7:24" ht="15" customHeight="1">
      <c r="G31656"/>
      <c r="I31656"/>
      <c r="N31656"/>
      <c r="O31656" s="24"/>
      <c r="P31656"/>
      <c r="Q31656" s="24"/>
      <c r="R31656"/>
      <c r="S31656"/>
      <c r="T31656"/>
      <c r="U31656"/>
      <c r="X31656" s="60"/>
    </row>
    <row r="31657" spans="7:24" ht="15" customHeight="1">
      <c r="G31657"/>
      <c r="I31657"/>
      <c r="N31657"/>
      <c r="O31657" s="24"/>
      <c r="P31657"/>
      <c r="Q31657" s="24"/>
      <c r="R31657"/>
      <c r="S31657"/>
      <c r="T31657"/>
      <c r="U31657"/>
      <c r="X31657" s="60"/>
    </row>
    <row r="31658" spans="7:24" ht="15" customHeight="1">
      <c r="G31658"/>
      <c r="I31658"/>
      <c r="N31658"/>
      <c r="O31658" s="24"/>
      <c r="P31658"/>
      <c r="Q31658" s="24"/>
      <c r="R31658"/>
      <c r="S31658"/>
      <c r="T31658"/>
      <c r="U31658"/>
      <c r="X31658" s="60"/>
    </row>
    <row r="31659" spans="7:24" ht="15" customHeight="1">
      <c r="G31659"/>
      <c r="I31659"/>
      <c r="N31659"/>
      <c r="O31659" s="24"/>
      <c r="P31659"/>
      <c r="Q31659" s="24"/>
      <c r="R31659"/>
      <c r="S31659"/>
      <c r="T31659"/>
      <c r="U31659"/>
      <c r="X31659" s="60"/>
    </row>
    <row r="31660" spans="7:24" ht="15" customHeight="1">
      <c r="G31660"/>
      <c r="I31660"/>
      <c r="N31660"/>
      <c r="O31660" s="24"/>
      <c r="P31660"/>
      <c r="Q31660" s="24"/>
      <c r="R31660"/>
      <c r="S31660"/>
      <c r="T31660"/>
      <c r="U31660"/>
      <c r="X31660" s="60"/>
    </row>
    <row r="31661" spans="7:24" ht="15" customHeight="1">
      <c r="G31661"/>
      <c r="I31661"/>
      <c r="N31661"/>
      <c r="O31661" s="24"/>
      <c r="P31661"/>
      <c r="Q31661" s="24"/>
      <c r="R31661"/>
      <c r="S31661"/>
      <c r="T31661"/>
      <c r="U31661"/>
      <c r="X31661" s="60"/>
    </row>
    <row r="31662" spans="7:24" ht="15" customHeight="1">
      <c r="G31662"/>
      <c r="I31662"/>
      <c r="N31662"/>
      <c r="O31662" s="24"/>
      <c r="P31662"/>
      <c r="Q31662" s="24"/>
      <c r="R31662"/>
      <c r="S31662"/>
      <c r="T31662"/>
      <c r="U31662"/>
      <c r="X31662" s="60"/>
    </row>
    <row r="31663" spans="7:24" ht="15" customHeight="1">
      <c r="G31663"/>
      <c r="I31663"/>
      <c r="N31663"/>
      <c r="O31663" s="24"/>
      <c r="P31663"/>
      <c r="Q31663" s="24"/>
      <c r="R31663"/>
      <c r="S31663"/>
      <c r="T31663"/>
      <c r="U31663"/>
      <c r="X31663" s="60"/>
    </row>
    <row r="31664" spans="7:24" ht="15" customHeight="1">
      <c r="G31664"/>
      <c r="I31664"/>
      <c r="N31664"/>
      <c r="O31664" s="24"/>
      <c r="P31664"/>
      <c r="Q31664" s="24"/>
      <c r="R31664"/>
      <c r="S31664"/>
      <c r="T31664"/>
      <c r="U31664"/>
      <c r="X31664" s="60"/>
    </row>
    <row r="31665" spans="7:24" ht="15" customHeight="1">
      <c r="G31665"/>
      <c r="I31665"/>
      <c r="N31665"/>
      <c r="O31665" s="24"/>
      <c r="P31665"/>
      <c r="Q31665" s="24"/>
      <c r="R31665"/>
      <c r="S31665"/>
      <c r="T31665"/>
      <c r="U31665"/>
      <c r="X31665" s="60"/>
    </row>
    <row r="31666" spans="7:24" ht="15" customHeight="1">
      <c r="G31666"/>
      <c r="I31666"/>
      <c r="N31666"/>
      <c r="O31666" s="24"/>
      <c r="P31666"/>
      <c r="Q31666" s="24"/>
      <c r="R31666"/>
      <c r="S31666"/>
      <c r="T31666"/>
      <c r="U31666"/>
      <c r="X31666" s="60"/>
    </row>
    <row r="31667" spans="7:24" ht="15" customHeight="1">
      <c r="G31667"/>
      <c r="I31667"/>
      <c r="N31667"/>
      <c r="O31667" s="24"/>
      <c r="P31667"/>
      <c r="Q31667" s="24"/>
      <c r="R31667"/>
      <c r="S31667"/>
      <c r="T31667"/>
      <c r="U31667"/>
      <c r="X31667" s="60"/>
    </row>
    <row r="31668" spans="7:24" ht="15" customHeight="1">
      <c r="G31668"/>
      <c r="I31668"/>
      <c r="N31668"/>
      <c r="O31668" s="24"/>
      <c r="P31668"/>
      <c r="Q31668" s="24"/>
      <c r="R31668"/>
      <c r="S31668"/>
      <c r="T31668"/>
      <c r="U31668"/>
      <c r="X31668" s="60"/>
    </row>
    <row r="31669" spans="7:24" ht="15" customHeight="1">
      <c r="G31669"/>
      <c r="I31669"/>
      <c r="N31669"/>
      <c r="O31669" s="24"/>
      <c r="P31669"/>
      <c r="Q31669" s="24"/>
      <c r="R31669"/>
      <c r="S31669"/>
      <c r="T31669"/>
      <c r="U31669"/>
      <c r="X31669" s="60"/>
    </row>
    <row r="31670" spans="7:24" ht="15" customHeight="1">
      <c r="G31670"/>
      <c r="I31670"/>
      <c r="N31670"/>
      <c r="O31670" s="24"/>
      <c r="P31670"/>
      <c r="Q31670" s="24"/>
      <c r="R31670"/>
      <c r="S31670"/>
      <c r="T31670"/>
      <c r="U31670"/>
      <c r="X31670" s="60"/>
    </row>
    <row r="31671" spans="7:24" ht="15" customHeight="1">
      <c r="G31671"/>
      <c r="I31671"/>
      <c r="N31671"/>
      <c r="O31671" s="24"/>
      <c r="P31671"/>
      <c r="Q31671" s="24"/>
      <c r="R31671"/>
      <c r="S31671"/>
      <c r="T31671"/>
      <c r="U31671"/>
      <c r="X31671" s="60"/>
    </row>
    <row r="31672" spans="7:24" ht="15" customHeight="1">
      <c r="G31672"/>
      <c r="I31672"/>
      <c r="N31672"/>
      <c r="O31672" s="24"/>
      <c r="P31672"/>
      <c r="Q31672" s="24"/>
      <c r="R31672"/>
      <c r="S31672"/>
      <c r="T31672"/>
      <c r="U31672"/>
      <c r="X31672" s="60"/>
    </row>
    <row r="31673" spans="7:24" ht="15" customHeight="1">
      <c r="G31673"/>
      <c r="I31673"/>
      <c r="N31673"/>
      <c r="O31673" s="24"/>
      <c r="P31673"/>
      <c r="Q31673" s="24"/>
      <c r="R31673"/>
      <c r="S31673"/>
      <c r="T31673"/>
      <c r="U31673"/>
      <c r="X31673" s="60"/>
    </row>
    <row r="31674" spans="7:24" ht="15" customHeight="1">
      <c r="G31674"/>
      <c r="I31674"/>
      <c r="N31674"/>
      <c r="O31674" s="24"/>
      <c r="P31674"/>
      <c r="Q31674" s="24"/>
      <c r="R31674"/>
      <c r="S31674"/>
      <c r="T31674"/>
      <c r="U31674"/>
      <c r="X31674" s="60"/>
    </row>
    <row r="31675" spans="7:24" ht="15" customHeight="1">
      <c r="G31675"/>
      <c r="I31675"/>
      <c r="N31675"/>
      <c r="O31675" s="24"/>
      <c r="P31675"/>
      <c r="Q31675" s="24"/>
      <c r="R31675"/>
      <c r="S31675"/>
      <c r="T31675"/>
      <c r="U31675"/>
      <c r="X31675" s="60"/>
    </row>
    <row r="31676" spans="7:24" ht="15" customHeight="1">
      <c r="G31676"/>
      <c r="I31676"/>
      <c r="N31676"/>
      <c r="O31676" s="24"/>
      <c r="P31676"/>
      <c r="Q31676" s="24"/>
      <c r="R31676"/>
      <c r="S31676"/>
      <c r="T31676"/>
      <c r="U31676"/>
      <c r="X31676" s="60"/>
    </row>
    <row r="31677" spans="7:24" ht="15" customHeight="1">
      <c r="G31677"/>
      <c r="I31677"/>
      <c r="N31677"/>
      <c r="O31677" s="24"/>
      <c r="P31677"/>
      <c r="Q31677" s="24"/>
      <c r="R31677"/>
      <c r="S31677"/>
      <c r="T31677"/>
      <c r="U31677"/>
      <c r="X31677" s="60"/>
    </row>
    <row r="31678" spans="7:24" ht="15" customHeight="1">
      <c r="G31678"/>
      <c r="I31678"/>
      <c r="N31678"/>
      <c r="O31678" s="24"/>
      <c r="P31678"/>
      <c r="Q31678" s="24"/>
      <c r="R31678"/>
      <c r="S31678"/>
      <c r="T31678"/>
      <c r="U31678"/>
      <c r="X31678" s="60"/>
    </row>
    <row r="31679" spans="7:24" ht="15" customHeight="1">
      <c r="G31679"/>
      <c r="I31679"/>
      <c r="N31679"/>
      <c r="O31679" s="24"/>
      <c r="P31679"/>
      <c r="Q31679" s="24"/>
      <c r="R31679"/>
      <c r="S31679"/>
      <c r="T31679"/>
      <c r="U31679"/>
      <c r="X31679" s="60"/>
    </row>
    <row r="31680" spans="7:24" ht="15" customHeight="1">
      <c r="G31680"/>
      <c r="I31680"/>
      <c r="N31680"/>
      <c r="O31680" s="24"/>
      <c r="P31680"/>
      <c r="Q31680" s="24"/>
      <c r="R31680"/>
      <c r="S31680"/>
      <c r="T31680"/>
      <c r="U31680"/>
      <c r="X31680" s="60"/>
    </row>
    <row r="31681" spans="7:24" ht="15" customHeight="1">
      <c r="G31681"/>
      <c r="I31681"/>
      <c r="N31681"/>
      <c r="O31681" s="24"/>
      <c r="P31681"/>
      <c r="Q31681" s="24"/>
      <c r="R31681"/>
      <c r="S31681"/>
      <c r="T31681"/>
      <c r="U31681"/>
      <c r="X31681" s="60"/>
    </row>
    <row r="31682" spans="7:24" ht="15" customHeight="1">
      <c r="G31682"/>
      <c r="I31682"/>
      <c r="N31682"/>
      <c r="O31682" s="24"/>
      <c r="P31682"/>
      <c r="Q31682" s="24"/>
      <c r="R31682"/>
      <c r="S31682"/>
      <c r="T31682"/>
      <c r="U31682"/>
      <c r="X31682" s="60"/>
    </row>
    <row r="31683" spans="7:24" ht="15" customHeight="1">
      <c r="G31683"/>
      <c r="I31683"/>
      <c r="N31683"/>
      <c r="O31683" s="24"/>
      <c r="P31683"/>
      <c r="Q31683" s="24"/>
      <c r="R31683"/>
      <c r="S31683"/>
      <c r="T31683"/>
      <c r="U31683"/>
      <c r="X31683" s="60"/>
    </row>
    <row r="31684" spans="7:24" ht="15" customHeight="1">
      <c r="G31684"/>
      <c r="I31684"/>
      <c r="N31684"/>
      <c r="O31684" s="24"/>
      <c r="P31684"/>
      <c r="Q31684" s="24"/>
      <c r="R31684"/>
      <c r="S31684"/>
      <c r="T31684"/>
      <c r="U31684"/>
      <c r="X31684" s="60"/>
    </row>
    <row r="31685" spans="7:24" ht="15" customHeight="1">
      <c r="G31685"/>
      <c r="I31685"/>
      <c r="N31685"/>
      <c r="O31685" s="24"/>
      <c r="P31685"/>
      <c r="Q31685" s="24"/>
      <c r="R31685"/>
      <c r="S31685"/>
      <c r="T31685"/>
      <c r="U31685"/>
      <c r="X31685" s="60"/>
    </row>
    <row r="31686" spans="7:24" ht="15" customHeight="1">
      <c r="G31686"/>
      <c r="I31686"/>
      <c r="N31686"/>
      <c r="O31686" s="24"/>
      <c r="P31686"/>
      <c r="Q31686" s="24"/>
      <c r="R31686"/>
      <c r="S31686"/>
      <c r="T31686"/>
      <c r="U31686"/>
      <c r="X31686" s="60"/>
    </row>
    <row r="31687" spans="7:24" ht="15" customHeight="1">
      <c r="G31687"/>
      <c r="I31687"/>
      <c r="N31687"/>
      <c r="O31687" s="24"/>
      <c r="P31687"/>
      <c r="Q31687" s="24"/>
      <c r="R31687"/>
      <c r="S31687"/>
      <c r="T31687"/>
      <c r="U31687"/>
      <c r="X31687" s="60"/>
    </row>
    <row r="31688" spans="7:24" ht="15" customHeight="1">
      <c r="G31688"/>
      <c r="I31688"/>
      <c r="N31688"/>
      <c r="O31688" s="24"/>
      <c r="P31688"/>
      <c r="Q31688" s="24"/>
      <c r="R31688"/>
      <c r="S31688"/>
      <c r="T31688"/>
      <c r="U31688"/>
      <c r="X31688" s="60"/>
    </row>
    <row r="31689" spans="7:24" ht="15" customHeight="1">
      <c r="G31689"/>
      <c r="I31689"/>
      <c r="N31689"/>
      <c r="O31689" s="24"/>
      <c r="P31689"/>
      <c r="Q31689" s="24"/>
      <c r="R31689"/>
      <c r="S31689"/>
      <c r="T31689"/>
      <c r="U31689"/>
      <c r="X31689" s="60"/>
    </row>
    <row r="31690" spans="7:24" ht="15" customHeight="1">
      <c r="G31690"/>
      <c r="I31690"/>
      <c r="N31690"/>
      <c r="O31690" s="24"/>
      <c r="P31690"/>
      <c r="Q31690" s="24"/>
      <c r="R31690"/>
      <c r="S31690"/>
      <c r="T31690"/>
      <c r="U31690"/>
      <c r="X31690" s="60"/>
    </row>
    <row r="31691" spans="7:24" ht="15" customHeight="1">
      <c r="G31691"/>
      <c r="I31691"/>
      <c r="N31691"/>
      <c r="O31691" s="24"/>
      <c r="P31691"/>
      <c r="Q31691" s="24"/>
      <c r="R31691"/>
      <c r="S31691"/>
      <c r="T31691"/>
      <c r="U31691"/>
      <c r="X31691" s="60"/>
    </row>
    <row r="31692" spans="7:24" ht="15" customHeight="1">
      <c r="G31692"/>
      <c r="I31692"/>
      <c r="N31692"/>
      <c r="O31692" s="24"/>
      <c r="P31692"/>
      <c r="Q31692" s="24"/>
      <c r="R31692"/>
      <c r="S31692"/>
      <c r="T31692"/>
      <c r="U31692"/>
      <c r="X31692" s="60"/>
    </row>
    <row r="31693" spans="7:24" ht="15" customHeight="1">
      <c r="G31693"/>
      <c r="I31693"/>
      <c r="N31693"/>
      <c r="O31693" s="24"/>
      <c r="P31693"/>
      <c r="Q31693" s="24"/>
      <c r="R31693"/>
      <c r="S31693"/>
      <c r="T31693"/>
      <c r="U31693"/>
      <c r="X31693" s="60"/>
    </row>
    <row r="31694" spans="7:24" ht="15" customHeight="1">
      <c r="G31694"/>
      <c r="I31694"/>
      <c r="N31694"/>
      <c r="O31694" s="24"/>
      <c r="P31694"/>
      <c r="Q31694" s="24"/>
      <c r="R31694"/>
      <c r="S31694"/>
      <c r="T31694"/>
      <c r="U31694"/>
      <c r="X31694" s="60"/>
    </row>
    <row r="31695" spans="7:24" ht="15" customHeight="1">
      <c r="G31695"/>
      <c r="I31695"/>
      <c r="N31695"/>
      <c r="O31695" s="24"/>
      <c r="P31695"/>
      <c r="Q31695" s="24"/>
      <c r="R31695"/>
      <c r="S31695"/>
      <c r="T31695"/>
      <c r="U31695"/>
      <c r="X31695" s="60"/>
    </row>
    <row r="31696" spans="7:24" ht="15" customHeight="1">
      <c r="G31696"/>
      <c r="I31696"/>
      <c r="N31696"/>
      <c r="O31696" s="24"/>
      <c r="P31696"/>
      <c r="Q31696" s="24"/>
      <c r="R31696"/>
      <c r="S31696"/>
      <c r="T31696"/>
      <c r="U31696"/>
      <c r="X31696" s="60"/>
    </row>
    <row r="31697" spans="7:24" ht="15" customHeight="1">
      <c r="G31697"/>
      <c r="I31697"/>
      <c r="N31697"/>
      <c r="O31697" s="24"/>
      <c r="P31697"/>
      <c r="Q31697" s="24"/>
      <c r="R31697"/>
      <c r="S31697"/>
      <c r="T31697"/>
      <c r="U31697"/>
      <c r="X31697" s="60"/>
    </row>
    <row r="31698" spans="7:24" ht="15" customHeight="1">
      <c r="G31698"/>
      <c r="I31698"/>
      <c r="N31698"/>
      <c r="O31698" s="24"/>
      <c r="P31698"/>
      <c r="Q31698" s="24"/>
      <c r="R31698"/>
      <c r="S31698"/>
      <c r="T31698"/>
      <c r="U31698"/>
      <c r="X31698" s="60"/>
    </row>
    <row r="31699" spans="7:24" ht="15" customHeight="1">
      <c r="G31699"/>
      <c r="I31699"/>
      <c r="N31699"/>
      <c r="O31699" s="24"/>
      <c r="P31699"/>
      <c r="Q31699" s="24"/>
      <c r="R31699"/>
      <c r="S31699"/>
      <c r="T31699"/>
      <c r="U31699"/>
      <c r="X31699" s="60"/>
    </row>
    <row r="31700" spans="7:24" ht="15" customHeight="1">
      <c r="G31700"/>
      <c r="I31700"/>
      <c r="N31700"/>
      <c r="O31700" s="24"/>
      <c r="P31700"/>
      <c r="Q31700" s="24"/>
      <c r="R31700"/>
      <c r="S31700"/>
      <c r="T31700"/>
      <c r="U31700"/>
      <c r="X31700" s="60"/>
    </row>
    <row r="31701" spans="7:24" ht="15" customHeight="1">
      <c r="G31701"/>
      <c r="I31701"/>
      <c r="N31701"/>
      <c r="O31701" s="24"/>
      <c r="P31701"/>
      <c r="Q31701" s="24"/>
      <c r="R31701"/>
      <c r="S31701"/>
      <c r="T31701"/>
      <c r="U31701"/>
      <c r="X31701" s="60"/>
    </row>
    <row r="31702" spans="7:24" ht="15" customHeight="1">
      <c r="G31702"/>
      <c r="I31702"/>
      <c r="N31702"/>
      <c r="O31702" s="24"/>
      <c r="P31702"/>
      <c r="Q31702" s="24"/>
      <c r="R31702"/>
      <c r="S31702"/>
      <c r="T31702"/>
      <c r="U31702"/>
      <c r="X31702" s="60"/>
    </row>
    <row r="31703" spans="7:24" ht="15" customHeight="1">
      <c r="G31703"/>
      <c r="I31703"/>
      <c r="N31703"/>
      <c r="O31703" s="24"/>
      <c r="P31703"/>
      <c r="Q31703" s="24"/>
      <c r="R31703"/>
      <c r="S31703"/>
      <c r="T31703"/>
      <c r="U31703"/>
      <c r="X31703" s="60"/>
    </row>
    <row r="31704" spans="7:24" ht="15" customHeight="1">
      <c r="G31704"/>
      <c r="I31704"/>
      <c r="N31704"/>
      <c r="O31704" s="24"/>
      <c r="P31704"/>
      <c r="Q31704" s="24"/>
      <c r="R31704"/>
      <c r="S31704"/>
      <c r="T31704"/>
      <c r="U31704"/>
      <c r="X31704" s="60"/>
    </row>
    <row r="31705" spans="7:24" ht="15" customHeight="1">
      <c r="G31705"/>
      <c r="I31705"/>
      <c r="N31705"/>
      <c r="O31705" s="24"/>
      <c r="P31705"/>
      <c r="Q31705" s="24"/>
      <c r="R31705"/>
      <c r="S31705"/>
      <c r="T31705"/>
      <c r="U31705"/>
      <c r="X31705" s="60"/>
    </row>
    <row r="31706" spans="7:24" ht="15" customHeight="1">
      <c r="G31706"/>
      <c r="I31706"/>
      <c r="N31706"/>
      <c r="O31706" s="24"/>
      <c r="P31706"/>
      <c r="Q31706" s="24"/>
      <c r="R31706"/>
      <c r="S31706"/>
      <c r="T31706"/>
      <c r="U31706"/>
      <c r="X31706" s="60"/>
    </row>
    <row r="31707" spans="7:24" ht="15" customHeight="1">
      <c r="G31707"/>
      <c r="I31707"/>
      <c r="N31707"/>
      <c r="O31707" s="24"/>
      <c r="P31707"/>
      <c r="Q31707" s="24"/>
      <c r="R31707"/>
      <c r="S31707"/>
      <c r="T31707"/>
      <c r="U31707"/>
      <c r="X31707" s="60"/>
    </row>
    <row r="31708" spans="7:24" ht="15" customHeight="1">
      <c r="G31708"/>
      <c r="I31708"/>
      <c r="N31708"/>
      <c r="O31708" s="24"/>
      <c r="P31708"/>
      <c r="Q31708" s="24"/>
      <c r="R31708"/>
      <c r="S31708"/>
      <c r="T31708"/>
      <c r="U31708"/>
      <c r="X31708" s="60"/>
    </row>
    <row r="31709" spans="7:24" ht="15" customHeight="1">
      <c r="G31709"/>
      <c r="I31709"/>
      <c r="N31709"/>
      <c r="O31709" s="24"/>
      <c r="P31709"/>
      <c r="Q31709" s="24"/>
      <c r="R31709"/>
      <c r="S31709"/>
      <c r="T31709"/>
      <c r="U31709"/>
      <c r="X31709" s="60"/>
    </row>
    <row r="31710" spans="7:24" ht="15" customHeight="1">
      <c r="G31710"/>
      <c r="I31710"/>
      <c r="N31710"/>
      <c r="O31710" s="24"/>
      <c r="P31710"/>
      <c r="Q31710" s="24"/>
      <c r="R31710"/>
      <c r="S31710"/>
      <c r="T31710"/>
      <c r="U31710"/>
      <c r="X31710" s="60"/>
    </row>
    <row r="31711" spans="7:24" ht="15" customHeight="1">
      <c r="G31711"/>
      <c r="I31711"/>
      <c r="N31711"/>
      <c r="O31711" s="24"/>
      <c r="P31711"/>
      <c r="Q31711" s="24"/>
      <c r="R31711"/>
      <c r="S31711"/>
      <c r="T31711"/>
      <c r="U31711"/>
      <c r="X31711" s="60"/>
    </row>
    <row r="31712" spans="7:24" ht="15" customHeight="1">
      <c r="G31712"/>
      <c r="I31712"/>
      <c r="N31712"/>
      <c r="O31712" s="24"/>
      <c r="P31712"/>
      <c r="Q31712" s="24"/>
      <c r="R31712"/>
      <c r="S31712"/>
      <c r="T31712"/>
      <c r="U31712"/>
      <c r="X31712" s="60"/>
    </row>
    <row r="31713" spans="7:24" ht="15" customHeight="1">
      <c r="G31713"/>
      <c r="I31713"/>
      <c r="N31713"/>
      <c r="O31713" s="24"/>
      <c r="P31713"/>
      <c r="Q31713" s="24"/>
      <c r="R31713"/>
      <c r="S31713"/>
      <c r="T31713"/>
      <c r="U31713"/>
      <c r="X31713" s="60"/>
    </row>
    <row r="31714" spans="7:24" ht="15" customHeight="1">
      <c r="G31714"/>
      <c r="I31714"/>
      <c r="N31714"/>
      <c r="O31714" s="24"/>
      <c r="P31714"/>
      <c r="Q31714" s="24"/>
      <c r="R31714"/>
      <c r="S31714"/>
      <c r="T31714"/>
      <c r="U31714"/>
      <c r="X31714" s="60"/>
    </row>
    <row r="31715" spans="7:24" ht="15" customHeight="1">
      <c r="G31715"/>
      <c r="I31715"/>
      <c r="N31715"/>
      <c r="O31715" s="24"/>
      <c r="P31715"/>
      <c r="Q31715" s="24"/>
      <c r="R31715"/>
      <c r="S31715"/>
      <c r="T31715"/>
      <c r="U31715"/>
      <c r="X31715" s="60"/>
    </row>
    <row r="31716" spans="7:24" ht="15" customHeight="1">
      <c r="G31716"/>
      <c r="I31716"/>
      <c r="N31716"/>
      <c r="O31716" s="24"/>
      <c r="P31716"/>
      <c r="Q31716" s="24"/>
      <c r="R31716"/>
      <c r="S31716"/>
      <c r="T31716"/>
      <c r="U31716"/>
      <c r="X31716" s="60"/>
    </row>
    <row r="31717" spans="7:24" ht="15" customHeight="1">
      <c r="G31717"/>
      <c r="I31717"/>
      <c r="N31717"/>
      <c r="O31717" s="24"/>
      <c r="P31717"/>
      <c r="Q31717" s="24"/>
      <c r="R31717"/>
      <c r="S31717"/>
      <c r="T31717"/>
      <c r="U31717"/>
      <c r="X31717" s="60"/>
    </row>
    <row r="31718" spans="7:24" ht="15" customHeight="1">
      <c r="G31718"/>
      <c r="I31718"/>
      <c r="N31718"/>
      <c r="O31718" s="24"/>
      <c r="P31718"/>
      <c r="Q31718" s="24"/>
      <c r="R31718"/>
      <c r="S31718"/>
      <c r="T31718"/>
      <c r="U31718"/>
      <c r="X31718" s="60"/>
    </row>
    <row r="31719" spans="7:24" ht="15" customHeight="1">
      <c r="G31719"/>
      <c r="I31719"/>
      <c r="N31719"/>
      <c r="O31719" s="24"/>
      <c r="P31719"/>
      <c r="Q31719" s="24"/>
      <c r="R31719"/>
      <c r="S31719"/>
      <c r="T31719"/>
      <c r="U31719"/>
      <c r="X31719" s="60"/>
    </row>
    <row r="31720" spans="7:24" ht="15" customHeight="1">
      <c r="G31720"/>
      <c r="I31720"/>
      <c r="N31720"/>
      <c r="O31720" s="24"/>
      <c r="P31720"/>
      <c r="Q31720" s="24"/>
      <c r="R31720"/>
      <c r="S31720"/>
      <c r="T31720"/>
      <c r="U31720"/>
      <c r="X31720" s="60"/>
    </row>
    <row r="31721" spans="7:24" ht="15" customHeight="1">
      <c r="G31721"/>
      <c r="I31721"/>
      <c r="N31721"/>
      <c r="O31721" s="24"/>
      <c r="P31721"/>
      <c r="Q31721" s="24"/>
      <c r="R31721"/>
      <c r="S31721"/>
      <c r="T31721"/>
      <c r="U31721"/>
      <c r="X31721" s="60"/>
    </row>
    <row r="31722" spans="7:24" ht="15" customHeight="1">
      <c r="G31722"/>
      <c r="I31722"/>
      <c r="N31722"/>
      <c r="O31722" s="24"/>
      <c r="P31722"/>
      <c r="Q31722" s="24"/>
      <c r="R31722"/>
      <c r="S31722"/>
      <c r="T31722"/>
      <c r="U31722"/>
      <c r="X31722" s="60"/>
    </row>
    <row r="31723" spans="7:24" ht="15" customHeight="1">
      <c r="G31723"/>
      <c r="I31723"/>
      <c r="N31723"/>
      <c r="O31723" s="24"/>
      <c r="P31723"/>
      <c r="Q31723" s="24"/>
      <c r="R31723"/>
      <c r="S31723"/>
      <c r="T31723"/>
      <c r="U31723"/>
      <c r="X31723" s="60"/>
    </row>
    <row r="31724" spans="7:24" ht="15" customHeight="1">
      <c r="G31724"/>
      <c r="I31724"/>
      <c r="N31724"/>
      <c r="O31724" s="24"/>
      <c r="P31724"/>
      <c r="Q31724" s="24"/>
      <c r="R31724"/>
      <c r="S31724"/>
      <c r="T31724"/>
      <c r="U31724"/>
      <c r="X31724" s="60"/>
    </row>
    <row r="31725" spans="7:24" ht="15" customHeight="1">
      <c r="G31725"/>
      <c r="I31725"/>
      <c r="N31725"/>
      <c r="O31725" s="24"/>
      <c r="P31725"/>
      <c r="Q31725" s="24"/>
      <c r="R31725"/>
      <c r="S31725"/>
      <c r="T31725"/>
      <c r="U31725"/>
      <c r="X31725" s="60"/>
    </row>
    <row r="31726" spans="7:24" ht="15" customHeight="1">
      <c r="G31726"/>
      <c r="I31726"/>
      <c r="N31726"/>
      <c r="O31726" s="24"/>
      <c r="P31726"/>
      <c r="Q31726" s="24"/>
      <c r="R31726"/>
      <c r="S31726"/>
      <c r="T31726"/>
      <c r="U31726"/>
      <c r="X31726" s="60"/>
    </row>
    <row r="31727" spans="7:24" ht="15" customHeight="1">
      <c r="G31727"/>
      <c r="I31727"/>
      <c r="N31727"/>
      <c r="O31727" s="24"/>
      <c r="P31727"/>
      <c r="Q31727" s="24"/>
      <c r="R31727"/>
      <c r="S31727"/>
      <c r="T31727"/>
      <c r="U31727"/>
      <c r="X31727" s="60"/>
    </row>
    <row r="31728" spans="7:24" ht="15" customHeight="1">
      <c r="G31728"/>
      <c r="I31728"/>
      <c r="N31728"/>
      <c r="O31728" s="24"/>
      <c r="P31728"/>
      <c r="Q31728" s="24"/>
      <c r="R31728"/>
      <c r="S31728"/>
      <c r="T31728"/>
      <c r="U31728"/>
      <c r="X31728" s="60"/>
    </row>
    <row r="31729" spans="7:24" ht="15" customHeight="1">
      <c r="G31729"/>
      <c r="I31729"/>
      <c r="N31729"/>
      <c r="O31729" s="24"/>
      <c r="P31729"/>
      <c r="Q31729" s="24"/>
      <c r="R31729"/>
      <c r="S31729"/>
      <c r="T31729"/>
      <c r="U31729"/>
      <c r="X31729" s="60"/>
    </row>
    <row r="31730" spans="7:24" ht="15" customHeight="1">
      <c r="G31730"/>
      <c r="I31730"/>
      <c r="N31730"/>
      <c r="O31730" s="24"/>
      <c r="P31730"/>
      <c r="Q31730" s="24"/>
      <c r="R31730"/>
      <c r="S31730"/>
      <c r="T31730"/>
      <c r="U31730"/>
      <c r="X31730" s="60"/>
    </row>
    <row r="31731" spans="7:24" ht="15" customHeight="1">
      <c r="G31731"/>
      <c r="I31731"/>
      <c r="N31731"/>
      <c r="O31731" s="24"/>
      <c r="P31731"/>
      <c r="Q31731" s="24"/>
      <c r="R31731"/>
      <c r="S31731"/>
      <c r="T31731"/>
      <c r="U31731"/>
      <c r="X31731" s="60"/>
    </row>
    <row r="31732" spans="7:24" ht="15" customHeight="1">
      <c r="G31732"/>
      <c r="I31732"/>
      <c r="N31732"/>
      <c r="O31732" s="24"/>
      <c r="P31732"/>
      <c r="Q31732" s="24"/>
      <c r="R31732"/>
      <c r="S31732"/>
      <c r="T31732"/>
      <c r="U31732"/>
      <c r="X31732" s="60"/>
    </row>
    <row r="31733" spans="7:24" ht="15" customHeight="1">
      <c r="G31733"/>
      <c r="I31733"/>
      <c r="N31733"/>
      <c r="O31733" s="24"/>
      <c r="P31733"/>
      <c r="Q31733" s="24"/>
      <c r="R31733"/>
      <c r="S31733"/>
      <c r="T31733"/>
      <c r="U31733"/>
      <c r="X31733" s="60"/>
    </row>
    <row r="31734" spans="7:24" ht="15" customHeight="1">
      <c r="G31734"/>
      <c r="I31734"/>
      <c r="N31734"/>
      <c r="O31734" s="24"/>
      <c r="P31734"/>
      <c r="Q31734" s="24"/>
      <c r="R31734"/>
      <c r="S31734"/>
      <c r="T31734"/>
      <c r="U31734"/>
      <c r="X31734" s="60"/>
    </row>
    <row r="31735" spans="7:24" ht="15" customHeight="1">
      <c r="G31735"/>
      <c r="I31735"/>
      <c r="N31735"/>
      <c r="O31735" s="24"/>
      <c r="P31735"/>
      <c r="Q31735" s="24"/>
      <c r="R31735"/>
      <c r="S31735"/>
      <c r="T31735"/>
      <c r="U31735"/>
      <c r="X31735" s="60"/>
    </row>
    <row r="31736" spans="7:24" ht="15" customHeight="1">
      <c r="G31736"/>
      <c r="I31736"/>
      <c r="N31736"/>
      <c r="O31736" s="24"/>
      <c r="P31736"/>
      <c r="Q31736" s="24"/>
      <c r="R31736"/>
      <c r="S31736"/>
      <c r="T31736"/>
      <c r="U31736"/>
      <c r="X31736" s="60"/>
    </row>
    <row r="31737" spans="7:24" ht="15" customHeight="1">
      <c r="G31737"/>
      <c r="I31737"/>
      <c r="N31737"/>
      <c r="O31737" s="24"/>
      <c r="P31737"/>
      <c r="Q31737" s="24"/>
      <c r="R31737"/>
      <c r="S31737"/>
      <c r="T31737"/>
      <c r="U31737"/>
      <c r="X31737" s="60"/>
    </row>
    <row r="31738" spans="7:24" ht="15" customHeight="1">
      <c r="G31738"/>
      <c r="I31738"/>
      <c r="N31738"/>
      <c r="O31738" s="24"/>
      <c r="P31738"/>
      <c r="Q31738" s="24"/>
      <c r="R31738"/>
      <c r="S31738"/>
      <c r="T31738"/>
      <c r="U31738"/>
      <c r="X31738" s="60"/>
    </row>
    <row r="31739" spans="7:24" ht="15" customHeight="1">
      <c r="G31739"/>
      <c r="I31739"/>
      <c r="N31739"/>
      <c r="O31739" s="24"/>
      <c r="P31739"/>
      <c r="Q31739" s="24"/>
      <c r="R31739"/>
      <c r="S31739"/>
      <c r="T31739"/>
      <c r="U31739"/>
      <c r="X31739" s="60"/>
    </row>
    <row r="31740" spans="7:24" ht="15" customHeight="1">
      <c r="G31740"/>
      <c r="I31740"/>
      <c r="N31740"/>
      <c r="O31740" s="24"/>
      <c r="P31740"/>
      <c r="Q31740" s="24"/>
      <c r="R31740"/>
      <c r="S31740"/>
      <c r="T31740"/>
      <c r="U31740"/>
      <c r="X31740" s="60"/>
    </row>
    <row r="31741" spans="7:24" ht="15" customHeight="1">
      <c r="G31741"/>
      <c r="I31741"/>
      <c r="N31741"/>
      <c r="O31741" s="24"/>
      <c r="P31741"/>
      <c r="Q31741" s="24"/>
      <c r="R31741"/>
      <c r="S31741"/>
      <c r="T31741"/>
      <c r="U31741"/>
      <c r="X31741" s="60"/>
    </row>
    <row r="31742" spans="7:24" ht="15" customHeight="1">
      <c r="G31742"/>
      <c r="I31742"/>
      <c r="N31742"/>
      <c r="O31742" s="24"/>
      <c r="P31742"/>
      <c r="Q31742" s="24"/>
      <c r="R31742"/>
      <c r="S31742"/>
      <c r="T31742"/>
      <c r="U31742"/>
      <c r="X31742" s="60"/>
    </row>
    <row r="31743" spans="7:24" ht="15" customHeight="1">
      <c r="G31743"/>
      <c r="I31743"/>
      <c r="N31743"/>
      <c r="O31743" s="24"/>
      <c r="P31743"/>
      <c r="Q31743" s="24"/>
      <c r="R31743"/>
      <c r="S31743"/>
      <c r="T31743"/>
      <c r="U31743"/>
      <c r="X31743" s="60"/>
    </row>
    <row r="31744" spans="7:24" ht="15" customHeight="1">
      <c r="G31744"/>
      <c r="I31744"/>
      <c r="N31744"/>
      <c r="O31744" s="24"/>
      <c r="P31744"/>
      <c r="Q31744" s="24"/>
      <c r="R31744"/>
      <c r="S31744"/>
      <c r="T31744"/>
      <c r="U31744"/>
      <c r="X31744" s="60"/>
    </row>
    <row r="31745" spans="7:24" ht="15" customHeight="1">
      <c r="G31745"/>
      <c r="I31745"/>
      <c r="N31745"/>
      <c r="O31745" s="24"/>
      <c r="P31745"/>
      <c r="Q31745" s="24"/>
      <c r="R31745"/>
      <c r="S31745"/>
      <c r="T31745"/>
      <c r="U31745"/>
      <c r="X31745" s="60"/>
    </row>
    <row r="31746" spans="7:24" ht="15" customHeight="1">
      <c r="G31746"/>
      <c r="I31746"/>
      <c r="N31746"/>
      <c r="O31746" s="24"/>
      <c r="P31746"/>
      <c r="Q31746" s="24"/>
      <c r="R31746"/>
      <c r="S31746"/>
      <c r="T31746"/>
      <c r="U31746"/>
      <c r="X31746" s="60"/>
    </row>
    <row r="31747" spans="7:24" ht="15" customHeight="1">
      <c r="G31747"/>
      <c r="I31747"/>
      <c r="N31747"/>
      <c r="O31747" s="24"/>
      <c r="P31747"/>
      <c r="Q31747" s="24"/>
      <c r="R31747"/>
      <c r="S31747"/>
      <c r="T31747"/>
      <c r="U31747"/>
      <c r="X31747" s="60"/>
    </row>
    <row r="31748" spans="7:24" ht="15" customHeight="1">
      <c r="G31748"/>
      <c r="I31748"/>
      <c r="N31748"/>
      <c r="O31748" s="24"/>
      <c r="P31748"/>
      <c r="Q31748" s="24"/>
      <c r="R31748"/>
      <c r="S31748"/>
      <c r="T31748"/>
      <c r="U31748"/>
      <c r="X31748" s="60"/>
    </row>
    <row r="31749" spans="7:24" ht="15" customHeight="1">
      <c r="G31749"/>
      <c r="I31749"/>
      <c r="N31749"/>
      <c r="O31749" s="24"/>
      <c r="P31749"/>
      <c r="Q31749" s="24"/>
      <c r="R31749"/>
      <c r="S31749"/>
      <c r="T31749"/>
      <c r="U31749"/>
      <c r="X31749" s="60"/>
    </row>
    <row r="31750" spans="7:24" ht="15" customHeight="1">
      <c r="G31750"/>
      <c r="I31750"/>
      <c r="N31750"/>
      <c r="O31750" s="24"/>
      <c r="P31750"/>
      <c r="Q31750" s="24"/>
      <c r="R31750"/>
      <c r="S31750"/>
      <c r="T31750"/>
      <c r="U31750"/>
      <c r="X31750" s="60"/>
    </row>
    <row r="31751" spans="7:24" ht="15" customHeight="1">
      <c r="G31751"/>
      <c r="I31751"/>
      <c r="N31751"/>
      <c r="O31751" s="24"/>
      <c r="P31751"/>
      <c r="Q31751" s="24"/>
      <c r="R31751"/>
      <c r="S31751"/>
      <c r="T31751"/>
      <c r="U31751"/>
      <c r="X31751" s="60"/>
    </row>
    <row r="31752" spans="7:24" ht="15" customHeight="1">
      <c r="G31752"/>
      <c r="I31752"/>
      <c r="N31752"/>
      <c r="O31752" s="24"/>
      <c r="P31752"/>
      <c r="Q31752" s="24"/>
      <c r="R31752"/>
      <c r="S31752"/>
      <c r="T31752"/>
      <c r="U31752"/>
      <c r="X31752" s="60"/>
    </row>
    <row r="31753" spans="7:24" ht="15" customHeight="1">
      <c r="G31753"/>
      <c r="I31753"/>
      <c r="N31753"/>
      <c r="O31753" s="24"/>
      <c r="P31753"/>
      <c r="Q31753" s="24"/>
      <c r="R31753"/>
      <c r="S31753"/>
      <c r="T31753"/>
      <c r="U31753"/>
      <c r="X31753" s="60"/>
    </row>
    <row r="31754" spans="7:24" ht="15" customHeight="1">
      <c r="G31754"/>
      <c r="I31754"/>
      <c r="N31754"/>
      <c r="O31754" s="24"/>
      <c r="P31754"/>
      <c r="Q31754" s="24"/>
      <c r="R31754"/>
      <c r="S31754"/>
      <c r="T31754"/>
      <c r="U31754"/>
      <c r="X31754" s="60"/>
    </row>
    <row r="31755" spans="7:24" ht="15" customHeight="1">
      <c r="G31755"/>
      <c r="I31755"/>
      <c r="N31755"/>
      <c r="O31755" s="24"/>
      <c r="P31755"/>
      <c r="Q31755" s="24"/>
      <c r="R31755"/>
      <c r="S31755"/>
      <c r="T31755"/>
      <c r="U31755"/>
      <c r="X31755" s="60"/>
    </row>
    <row r="31756" spans="7:24" ht="15" customHeight="1">
      <c r="G31756"/>
      <c r="I31756"/>
      <c r="N31756"/>
      <c r="O31756" s="24"/>
      <c r="P31756"/>
      <c r="Q31756" s="24"/>
      <c r="R31756"/>
      <c r="S31756"/>
      <c r="T31756"/>
      <c r="U31756"/>
      <c r="X31756" s="60"/>
    </row>
    <row r="31757" spans="7:24" ht="15" customHeight="1">
      <c r="G31757"/>
      <c r="I31757"/>
      <c r="N31757"/>
      <c r="O31757" s="24"/>
      <c r="P31757"/>
      <c r="Q31757" s="24"/>
      <c r="R31757"/>
      <c r="S31757"/>
      <c r="T31757"/>
      <c r="U31757"/>
      <c r="X31757" s="60"/>
    </row>
    <row r="31758" spans="7:24" ht="15" customHeight="1">
      <c r="G31758"/>
      <c r="I31758"/>
      <c r="N31758"/>
      <c r="O31758" s="24"/>
      <c r="P31758"/>
      <c r="Q31758" s="24"/>
      <c r="R31758"/>
      <c r="S31758"/>
      <c r="T31758"/>
      <c r="U31758"/>
      <c r="X31758" s="60"/>
    </row>
    <row r="31759" spans="7:24" ht="15" customHeight="1">
      <c r="G31759"/>
      <c r="I31759"/>
      <c r="N31759"/>
      <c r="O31759" s="24"/>
      <c r="P31759"/>
      <c r="Q31759" s="24"/>
      <c r="R31759"/>
      <c r="S31759"/>
      <c r="T31759"/>
      <c r="U31759"/>
      <c r="X31759" s="60"/>
    </row>
    <row r="31760" spans="7:24" ht="15" customHeight="1">
      <c r="G31760"/>
      <c r="I31760"/>
      <c r="N31760"/>
      <c r="O31760" s="24"/>
      <c r="P31760"/>
      <c r="Q31760" s="24"/>
      <c r="R31760"/>
      <c r="S31760"/>
      <c r="T31760"/>
      <c r="U31760"/>
      <c r="X31760" s="60"/>
    </row>
    <row r="31761" spans="7:24" ht="15" customHeight="1">
      <c r="G31761"/>
      <c r="I31761"/>
      <c r="N31761"/>
      <c r="O31761" s="24"/>
      <c r="P31761"/>
      <c r="Q31761" s="24"/>
      <c r="R31761"/>
      <c r="S31761"/>
      <c r="T31761"/>
      <c r="U31761"/>
      <c r="X31761" s="60"/>
    </row>
    <row r="31762" spans="7:24" ht="15" customHeight="1">
      <c r="G31762"/>
      <c r="I31762"/>
      <c r="N31762"/>
      <c r="O31762" s="24"/>
      <c r="P31762"/>
      <c r="Q31762" s="24"/>
      <c r="R31762"/>
      <c r="S31762"/>
      <c r="T31762"/>
      <c r="U31762"/>
      <c r="X31762" s="60"/>
    </row>
    <row r="31763" spans="7:24" ht="15" customHeight="1">
      <c r="G31763"/>
      <c r="I31763"/>
      <c r="N31763"/>
      <c r="O31763" s="24"/>
      <c r="P31763"/>
      <c r="Q31763" s="24"/>
      <c r="R31763"/>
      <c r="S31763"/>
      <c r="T31763"/>
      <c r="U31763"/>
      <c r="X31763" s="60"/>
    </row>
    <row r="31764" spans="7:24" ht="15" customHeight="1">
      <c r="G31764"/>
      <c r="I31764"/>
      <c r="N31764"/>
      <c r="O31764" s="24"/>
      <c r="P31764"/>
      <c r="Q31764" s="24"/>
      <c r="R31764"/>
      <c r="S31764"/>
      <c r="T31764"/>
      <c r="U31764"/>
      <c r="X31764" s="60"/>
    </row>
    <row r="31765" spans="7:24" ht="15" customHeight="1">
      <c r="G31765"/>
      <c r="I31765"/>
      <c r="N31765"/>
      <c r="O31765" s="24"/>
      <c r="P31765"/>
      <c r="Q31765" s="24"/>
      <c r="R31765"/>
      <c r="S31765"/>
      <c r="T31765"/>
      <c r="U31765"/>
      <c r="X31765" s="60"/>
    </row>
    <row r="31766" spans="7:24" ht="15" customHeight="1">
      <c r="G31766"/>
      <c r="I31766"/>
      <c r="N31766"/>
      <c r="O31766" s="24"/>
      <c r="P31766"/>
      <c r="Q31766" s="24"/>
      <c r="R31766"/>
      <c r="S31766"/>
      <c r="T31766"/>
      <c r="U31766"/>
      <c r="X31766" s="60"/>
    </row>
    <row r="31767" spans="7:24" ht="15" customHeight="1">
      <c r="G31767"/>
      <c r="I31767"/>
      <c r="N31767"/>
      <c r="O31767" s="24"/>
      <c r="P31767"/>
      <c r="Q31767" s="24"/>
      <c r="R31767"/>
      <c r="S31767"/>
      <c r="T31767"/>
      <c r="U31767"/>
      <c r="X31767" s="60"/>
    </row>
    <row r="31768" spans="7:24" ht="15" customHeight="1">
      <c r="G31768"/>
      <c r="I31768"/>
      <c r="N31768"/>
      <c r="O31768" s="24"/>
      <c r="P31768"/>
      <c r="Q31768" s="24"/>
      <c r="R31768"/>
      <c r="S31768"/>
      <c r="T31768"/>
      <c r="U31768"/>
      <c r="X31768" s="60"/>
    </row>
    <row r="31769" spans="7:24" ht="15" customHeight="1">
      <c r="G31769"/>
      <c r="I31769"/>
      <c r="N31769"/>
      <c r="O31769" s="24"/>
      <c r="P31769"/>
      <c r="Q31769" s="24"/>
      <c r="R31769"/>
      <c r="S31769"/>
      <c r="T31769"/>
      <c r="U31769"/>
      <c r="X31769" s="60"/>
    </row>
    <row r="31770" spans="7:24" ht="15" customHeight="1">
      <c r="G31770"/>
      <c r="I31770"/>
      <c r="N31770"/>
      <c r="O31770" s="24"/>
      <c r="P31770"/>
      <c r="Q31770" s="24"/>
      <c r="R31770"/>
      <c r="S31770"/>
      <c r="T31770"/>
      <c r="U31770"/>
      <c r="X31770" s="60"/>
    </row>
    <row r="31771" spans="7:24" ht="15" customHeight="1">
      <c r="G31771"/>
      <c r="I31771"/>
      <c r="N31771"/>
      <c r="O31771" s="24"/>
      <c r="P31771"/>
      <c r="Q31771" s="24"/>
      <c r="R31771"/>
      <c r="S31771"/>
      <c r="T31771"/>
      <c r="U31771"/>
      <c r="X31771" s="60"/>
    </row>
    <row r="31772" spans="7:24" ht="15" customHeight="1">
      <c r="G31772"/>
      <c r="I31772"/>
      <c r="N31772"/>
      <c r="O31772" s="24"/>
      <c r="P31772"/>
      <c r="Q31772" s="24"/>
      <c r="R31772"/>
      <c r="S31772"/>
      <c r="T31772"/>
      <c r="U31772"/>
      <c r="X31772" s="60"/>
    </row>
    <row r="31773" spans="7:24" ht="15" customHeight="1">
      <c r="G31773"/>
      <c r="I31773"/>
      <c r="N31773"/>
      <c r="O31773" s="24"/>
      <c r="P31773"/>
      <c r="Q31773" s="24"/>
      <c r="R31773"/>
      <c r="S31773"/>
      <c r="T31773"/>
      <c r="U31773"/>
      <c r="X31773" s="60"/>
    </row>
    <row r="31774" spans="7:24" ht="15" customHeight="1">
      <c r="G31774"/>
      <c r="I31774"/>
      <c r="N31774"/>
      <c r="O31774" s="24"/>
      <c r="P31774"/>
      <c r="Q31774" s="24"/>
      <c r="R31774"/>
      <c r="S31774"/>
      <c r="T31774"/>
      <c r="U31774"/>
      <c r="X31774" s="60"/>
    </row>
    <row r="31775" spans="7:24" ht="15" customHeight="1">
      <c r="G31775"/>
      <c r="I31775"/>
      <c r="N31775"/>
      <c r="O31775" s="24"/>
      <c r="P31775"/>
      <c r="Q31775" s="24"/>
      <c r="R31775"/>
      <c r="S31775"/>
      <c r="T31775"/>
      <c r="U31775"/>
      <c r="X31775" s="60"/>
    </row>
    <row r="31776" spans="7:24" ht="15" customHeight="1">
      <c r="G31776"/>
      <c r="I31776"/>
      <c r="N31776"/>
      <c r="O31776" s="24"/>
      <c r="P31776"/>
      <c r="Q31776" s="24"/>
      <c r="R31776"/>
      <c r="S31776"/>
      <c r="T31776"/>
      <c r="U31776"/>
      <c r="X31776" s="60"/>
    </row>
    <row r="31777" spans="7:24" ht="15" customHeight="1">
      <c r="G31777"/>
      <c r="I31777"/>
      <c r="N31777"/>
      <c r="O31777" s="24"/>
      <c r="P31777"/>
      <c r="Q31777" s="24"/>
      <c r="R31777"/>
      <c r="S31777"/>
      <c r="T31777"/>
      <c r="U31777"/>
      <c r="X31777" s="60"/>
    </row>
    <row r="31778" spans="7:24" ht="15" customHeight="1">
      <c r="G31778"/>
      <c r="I31778"/>
      <c r="N31778"/>
      <c r="O31778" s="24"/>
      <c r="P31778"/>
      <c r="Q31778" s="24"/>
      <c r="R31778"/>
      <c r="S31778"/>
      <c r="T31778"/>
      <c r="U31778"/>
      <c r="X31778" s="60"/>
    </row>
    <row r="31779" spans="7:24" ht="15" customHeight="1">
      <c r="G31779"/>
      <c r="I31779"/>
      <c r="N31779"/>
      <c r="O31779" s="24"/>
      <c r="P31779"/>
      <c r="Q31779" s="24"/>
      <c r="R31779"/>
      <c r="S31779"/>
      <c r="T31779"/>
      <c r="U31779"/>
      <c r="X31779" s="60"/>
    </row>
    <row r="31780" spans="7:24" ht="15" customHeight="1">
      <c r="G31780"/>
      <c r="I31780"/>
      <c r="N31780"/>
      <c r="O31780" s="24"/>
      <c r="P31780"/>
      <c r="Q31780" s="24"/>
      <c r="R31780"/>
      <c r="S31780"/>
      <c r="T31780"/>
      <c r="U31780"/>
      <c r="X31780" s="60"/>
    </row>
    <row r="31781" spans="7:24" ht="15" customHeight="1">
      <c r="G31781"/>
      <c r="I31781"/>
      <c r="N31781"/>
      <c r="O31781" s="24"/>
      <c r="P31781"/>
      <c r="Q31781" s="24"/>
      <c r="R31781"/>
      <c r="S31781"/>
      <c r="T31781"/>
      <c r="U31781"/>
      <c r="X31781" s="60"/>
    </row>
    <row r="31782" spans="7:24" ht="15" customHeight="1">
      <c r="G31782"/>
      <c r="I31782"/>
      <c r="N31782"/>
      <c r="O31782" s="24"/>
      <c r="P31782"/>
      <c r="Q31782" s="24"/>
      <c r="R31782"/>
      <c r="S31782"/>
      <c r="T31782"/>
      <c r="U31782"/>
      <c r="X31782" s="60"/>
    </row>
    <row r="31783" spans="7:24" ht="15" customHeight="1">
      <c r="G31783"/>
      <c r="I31783"/>
      <c r="N31783"/>
      <c r="O31783" s="24"/>
      <c r="P31783"/>
      <c r="Q31783" s="24"/>
      <c r="R31783"/>
      <c r="S31783"/>
      <c r="T31783"/>
      <c r="U31783"/>
      <c r="X31783" s="60"/>
    </row>
    <row r="31784" spans="7:24" ht="15" customHeight="1">
      <c r="G31784"/>
      <c r="I31784"/>
      <c r="N31784"/>
      <c r="O31784" s="24"/>
      <c r="P31784"/>
      <c r="Q31784" s="24"/>
      <c r="R31784"/>
      <c r="S31784"/>
      <c r="T31784"/>
      <c r="U31784"/>
      <c r="X31784" s="60"/>
    </row>
    <row r="31785" spans="7:24" ht="15" customHeight="1">
      <c r="G31785"/>
      <c r="I31785"/>
      <c r="N31785"/>
      <c r="O31785" s="24"/>
      <c r="P31785"/>
      <c r="Q31785" s="24"/>
      <c r="R31785"/>
      <c r="S31785"/>
      <c r="T31785"/>
      <c r="U31785"/>
      <c r="X31785" s="60"/>
    </row>
    <row r="31786" spans="7:24" ht="15" customHeight="1">
      <c r="G31786"/>
      <c r="I31786"/>
      <c r="N31786"/>
      <c r="O31786" s="24"/>
      <c r="P31786"/>
      <c r="Q31786" s="24"/>
      <c r="R31786"/>
      <c r="S31786"/>
      <c r="T31786"/>
      <c r="U31786"/>
      <c r="X31786" s="60"/>
    </row>
    <row r="31787" spans="7:24" ht="15" customHeight="1">
      <c r="G31787"/>
      <c r="I31787"/>
      <c r="N31787"/>
      <c r="O31787" s="24"/>
      <c r="P31787"/>
      <c r="Q31787" s="24"/>
      <c r="R31787"/>
      <c r="S31787"/>
      <c r="T31787"/>
      <c r="U31787"/>
      <c r="X31787" s="60"/>
    </row>
    <row r="31788" spans="7:24" ht="15" customHeight="1">
      <c r="G31788"/>
      <c r="I31788"/>
      <c r="N31788"/>
      <c r="O31788" s="24"/>
      <c r="P31788"/>
      <c r="Q31788" s="24"/>
      <c r="R31788"/>
      <c r="S31788"/>
      <c r="T31788"/>
      <c r="U31788"/>
      <c r="X31788" s="60"/>
    </row>
    <row r="31789" spans="7:24" ht="15" customHeight="1">
      <c r="G31789"/>
      <c r="I31789"/>
      <c r="N31789"/>
      <c r="O31789" s="24"/>
      <c r="P31789"/>
      <c r="Q31789" s="24"/>
      <c r="R31789"/>
      <c r="S31789"/>
      <c r="T31789"/>
      <c r="U31789"/>
      <c r="X31789" s="60"/>
    </row>
    <row r="31790" spans="7:24" ht="15" customHeight="1">
      <c r="G31790"/>
      <c r="I31790"/>
      <c r="N31790"/>
      <c r="O31790" s="24"/>
      <c r="P31790"/>
      <c r="Q31790" s="24"/>
      <c r="R31790"/>
      <c r="S31790"/>
      <c r="T31790"/>
      <c r="U31790"/>
      <c r="X31790" s="60"/>
    </row>
    <row r="31791" spans="7:24" ht="15" customHeight="1">
      <c r="G31791"/>
      <c r="I31791"/>
      <c r="N31791"/>
      <c r="O31791" s="24"/>
      <c r="P31791"/>
      <c r="Q31791" s="24"/>
      <c r="R31791"/>
      <c r="S31791"/>
      <c r="T31791"/>
      <c r="U31791"/>
      <c r="X31791" s="60"/>
    </row>
    <row r="31792" spans="7:24" ht="15" customHeight="1">
      <c r="G31792"/>
      <c r="I31792"/>
      <c r="N31792"/>
      <c r="O31792" s="24"/>
      <c r="P31792"/>
      <c r="Q31792" s="24"/>
      <c r="R31792"/>
      <c r="S31792"/>
      <c r="T31792"/>
      <c r="U31792"/>
      <c r="X31792" s="60"/>
    </row>
    <row r="31793" spans="7:24" ht="15" customHeight="1">
      <c r="G31793"/>
      <c r="I31793"/>
      <c r="N31793"/>
      <c r="O31793" s="24"/>
      <c r="P31793"/>
      <c r="Q31793" s="24"/>
      <c r="R31793"/>
      <c r="S31793"/>
      <c r="T31793"/>
      <c r="U31793"/>
      <c r="X31793" s="60"/>
    </row>
    <row r="31794" spans="7:24" ht="15" customHeight="1">
      <c r="G31794"/>
      <c r="I31794"/>
      <c r="N31794"/>
      <c r="O31794" s="24"/>
      <c r="P31794"/>
      <c r="Q31794" s="24"/>
      <c r="R31794"/>
      <c r="S31794"/>
      <c r="T31794"/>
      <c r="U31794"/>
      <c r="X31794" s="60"/>
    </row>
    <row r="31795" spans="7:24" ht="15" customHeight="1">
      <c r="G31795"/>
      <c r="I31795"/>
      <c r="N31795"/>
      <c r="O31795" s="24"/>
      <c r="P31795"/>
      <c r="Q31795" s="24"/>
      <c r="R31795"/>
      <c r="S31795"/>
      <c r="T31795"/>
      <c r="U31795"/>
      <c r="X31795" s="60"/>
    </row>
    <row r="31796" spans="7:24" ht="15" customHeight="1">
      <c r="G31796"/>
      <c r="I31796"/>
      <c r="N31796"/>
      <c r="O31796" s="24"/>
      <c r="P31796"/>
      <c r="Q31796" s="24"/>
      <c r="R31796"/>
      <c r="S31796"/>
      <c r="T31796"/>
      <c r="U31796"/>
      <c r="X31796" s="60"/>
    </row>
    <row r="31797" spans="7:24" ht="15" customHeight="1">
      <c r="G31797"/>
      <c r="I31797"/>
      <c r="N31797"/>
      <c r="O31797" s="24"/>
      <c r="P31797"/>
      <c r="Q31797" s="24"/>
      <c r="R31797"/>
      <c r="S31797"/>
      <c r="T31797"/>
      <c r="U31797"/>
      <c r="X31797" s="60"/>
    </row>
    <row r="31798" spans="7:24" ht="15" customHeight="1">
      <c r="G31798"/>
      <c r="I31798"/>
      <c r="N31798"/>
      <c r="O31798" s="24"/>
      <c r="P31798"/>
      <c r="Q31798" s="24"/>
      <c r="R31798"/>
      <c r="S31798"/>
      <c r="T31798"/>
      <c r="U31798"/>
      <c r="X31798" s="60"/>
    </row>
    <row r="31799" spans="7:24" ht="15" customHeight="1">
      <c r="G31799"/>
      <c r="I31799"/>
      <c r="N31799"/>
      <c r="O31799" s="24"/>
      <c r="P31799"/>
      <c r="Q31799" s="24"/>
      <c r="R31799"/>
      <c r="S31799"/>
      <c r="T31799"/>
      <c r="U31799"/>
      <c r="X31799" s="60"/>
    </row>
    <row r="31800" spans="7:24" ht="15" customHeight="1">
      <c r="G31800"/>
      <c r="I31800"/>
      <c r="N31800"/>
      <c r="O31800" s="24"/>
      <c r="P31800"/>
      <c r="Q31800" s="24"/>
      <c r="R31800"/>
      <c r="S31800"/>
      <c r="T31800"/>
      <c r="U31800"/>
      <c r="X31800" s="60"/>
    </row>
    <row r="31801" spans="7:24" ht="15" customHeight="1">
      <c r="G31801"/>
      <c r="I31801"/>
      <c r="N31801"/>
      <c r="O31801" s="24"/>
      <c r="P31801"/>
      <c r="Q31801" s="24"/>
      <c r="R31801"/>
      <c r="S31801"/>
      <c r="T31801"/>
      <c r="U31801"/>
      <c r="X31801" s="60"/>
    </row>
    <row r="31802" spans="7:24" ht="15" customHeight="1">
      <c r="G31802"/>
      <c r="I31802"/>
      <c r="N31802"/>
      <c r="O31802" s="24"/>
      <c r="P31802"/>
      <c r="Q31802" s="24"/>
      <c r="R31802"/>
      <c r="S31802"/>
      <c r="T31802"/>
      <c r="U31802"/>
      <c r="X31802" s="60"/>
    </row>
    <row r="31803" spans="7:24" ht="15" customHeight="1">
      <c r="G31803"/>
      <c r="I31803"/>
      <c r="N31803"/>
      <c r="O31803" s="24"/>
      <c r="P31803"/>
      <c r="Q31803" s="24"/>
      <c r="R31803"/>
      <c r="S31803"/>
      <c r="T31803"/>
      <c r="U31803"/>
      <c r="X31803" s="60"/>
    </row>
    <row r="31804" spans="7:24" ht="15" customHeight="1">
      <c r="G31804"/>
      <c r="I31804"/>
      <c r="N31804"/>
      <c r="O31804" s="24"/>
      <c r="P31804"/>
      <c r="Q31804" s="24"/>
      <c r="R31804"/>
      <c r="S31804"/>
      <c r="T31804"/>
      <c r="U31804"/>
      <c r="X31804" s="60"/>
    </row>
    <row r="31805" spans="7:24" ht="15" customHeight="1">
      <c r="G31805"/>
      <c r="I31805"/>
      <c r="N31805"/>
      <c r="O31805" s="24"/>
      <c r="P31805"/>
      <c r="Q31805" s="24"/>
      <c r="R31805"/>
      <c r="S31805"/>
      <c r="T31805"/>
      <c r="U31805"/>
      <c r="X31805" s="60"/>
    </row>
    <row r="31806" spans="7:24" ht="15" customHeight="1">
      <c r="G31806"/>
      <c r="I31806"/>
      <c r="N31806"/>
      <c r="O31806" s="24"/>
      <c r="P31806"/>
      <c r="Q31806" s="24"/>
      <c r="R31806"/>
      <c r="S31806"/>
      <c r="T31806"/>
      <c r="U31806"/>
      <c r="X31806" s="60"/>
    </row>
    <row r="31807" spans="7:24" ht="15" customHeight="1">
      <c r="G31807"/>
      <c r="I31807"/>
      <c r="N31807"/>
      <c r="O31807" s="24"/>
      <c r="P31807"/>
      <c r="Q31807" s="24"/>
      <c r="R31807"/>
      <c r="S31807"/>
      <c r="T31807"/>
      <c r="U31807"/>
      <c r="X31807" s="60"/>
    </row>
    <row r="31808" spans="7:24" ht="15" customHeight="1">
      <c r="G31808"/>
      <c r="I31808"/>
      <c r="N31808"/>
      <c r="O31808" s="24"/>
      <c r="P31808"/>
      <c r="Q31808" s="24"/>
      <c r="R31808"/>
      <c r="S31808"/>
      <c r="T31808"/>
      <c r="U31808"/>
      <c r="X31808" s="60"/>
    </row>
    <row r="31809" spans="7:24" ht="15" customHeight="1">
      <c r="G31809"/>
      <c r="I31809"/>
      <c r="N31809"/>
      <c r="O31809" s="24"/>
      <c r="P31809"/>
      <c r="Q31809" s="24"/>
      <c r="R31809"/>
      <c r="S31809"/>
      <c r="T31809"/>
      <c r="U31809"/>
      <c r="X31809" s="60"/>
    </row>
    <row r="31810" spans="7:24" ht="15" customHeight="1">
      <c r="G31810"/>
      <c r="I31810"/>
      <c r="N31810"/>
      <c r="O31810" s="24"/>
      <c r="P31810"/>
      <c r="Q31810" s="24"/>
      <c r="R31810"/>
      <c r="S31810"/>
      <c r="T31810"/>
      <c r="U31810"/>
      <c r="X31810" s="60"/>
    </row>
    <row r="31811" spans="7:24" ht="15" customHeight="1">
      <c r="G31811"/>
      <c r="I31811"/>
      <c r="N31811"/>
      <c r="O31811" s="24"/>
      <c r="P31811"/>
      <c r="Q31811" s="24"/>
      <c r="R31811"/>
      <c r="S31811"/>
      <c r="T31811"/>
      <c r="U31811"/>
      <c r="X31811" s="60"/>
    </row>
    <row r="31812" spans="7:24" ht="15" customHeight="1">
      <c r="G31812"/>
      <c r="I31812"/>
      <c r="N31812"/>
      <c r="O31812" s="24"/>
      <c r="P31812"/>
      <c r="Q31812" s="24"/>
      <c r="R31812"/>
      <c r="S31812"/>
      <c r="T31812"/>
      <c r="U31812"/>
      <c r="X31812" s="60"/>
    </row>
    <row r="31813" spans="7:24" ht="15" customHeight="1">
      <c r="G31813"/>
      <c r="I31813"/>
      <c r="N31813"/>
      <c r="O31813" s="24"/>
      <c r="P31813"/>
      <c r="Q31813" s="24"/>
      <c r="R31813"/>
      <c r="S31813"/>
      <c r="T31813"/>
      <c r="U31813"/>
      <c r="X31813" s="60"/>
    </row>
    <row r="31814" spans="7:24" ht="15" customHeight="1">
      <c r="G31814"/>
      <c r="I31814"/>
      <c r="N31814"/>
      <c r="O31814" s="24"/>
      <c r="P31814"/>
      <c r="Q31814" s="24"/>
      <c r="R31814"/>
      <c r="S31814"/>
      <c r="T31814"/>
      <c r="U31814"/>
      <c r="X31814" s="60"/>
    </row>
    <row r="31815" spans="7:24" ht="15" customHeight="1">
      <c r="G31815"/>
      <c r="I31815"/>
      <c r="N31815"/>
      <c r="O31815" s="24"/>
      <c r="P31815"/>
      <c r="Q31815" s="24"/>
      <c r="R31815"/>
      <c r="S31815"/>
      <c r="T31815"/>
      <c r="U31815"/>
      <c r="X31815" s="60"/>
    </row>
    <row r="31816" spans="7:24" ht="15" customHeight="1">
      <c r="G31816"/>
      <c r="I31816"/>
      <c r="N31816"/>
      <c r="O31816" s="24"/>
      <c r="P31816"/>
      <c r="Q31816" s="24"/>
      <c r="R31816"/>
      <c r="S31816"/>
      <c r="T31816"/>
      <c r="U31816"/>
      <c r="X31816" s="60"/>
    </row>
    <row r="31817" spans="7:24" ht="15" customHeight="1">
      <c r="G31817"/>
      <c r="I31817"/>
      <c r="N31817"/>
      <c r="O31817" s="24"/>
      <c r="P31817"/>
      <c r="Q31817" s="24"/>
      <c r="R31817"/>
      <c r="S31817"/>
      <c r="T31817"/>
      <c r="U31817"/>
      <c r="X31817" s="60"/>
    </row>
    <row r="31818" spans="7:24" ht="15" customHeight="1">
      <c r="G31818"/>
      <c r="I31818"/>
      <c r="N31818"/>
      <c r="O31818" s="24"/>
      <c r="P31818"/>
      <c r="Q31818" s="24"/>
      <c r="R31818"/>
      <c r="S31818"/>
      <c r="T31818"/>
      <c r="U31818"/>
      <c r="X31818" s="60"/>
    </row>
    <row r="31819" spans="7:24" ht="15" customHeight="1">
      <c r="G31819"/>
      <c r="I31819"/>
      <c r="N31819"/>
      <c r="O31819" s="24"/>
      <c r="P31819"/>
      <c r="Q31819" s="24"/>
      <c r="R31819"/>
      <c r="S31819"/>
      <c r="T31819"/>
      <c r="U31819"/>
      <c r="X31819" s="60"/>
    </row>
    <row r="31820" spans="7:24" ht="15" customHeight="1">
      <c r="G31820"/>
      <c r="I31820"/>
      <c r="N31820"/>
      <c r="O31820" s="24"/>
      <c r="P31820"/>
      <c r="Q31820" s="24"/>
      <c r="R31820"/>
      <c r="S31820"/>
      <c r="T31820"/>
      <c r="U31820"/>
      <c r="X31820" s="60"/>
    </row>
    <row r="31821" spans="7:24" ht="15" customHeight="1">
      <c r="G31821"/>
      <c r="I31821"/>
      <c r="N31821"/>
      <c r="O31821" s="24"/>
      <c r="P31821"/>
      <c r="Q31821" s="24"/>
      <c r="R31821"/>
      <c r="S31821"/>
      <c r="T31821"/>
      <c r="U31821"/>
      <c r="X31821" s="60"/>
    </row>
    <row r="31822" spans="7:24" ht="15" customHeight="1">
      <c r="G31822"/>
      <c r="I31822"/>
      <c r="N31822"/>
      <c r="O31822" s="24"/>
      <c r="P31822"/>
      <c r="Q31822" s="24"/>
      <c r="R31822"/>
      <c r="S31822"/>
      <c r="T31822"/>
      <c r="U31822"/>
      <c r="X31822" s="60"/>
    </row>
    <row r="31823" spans="7:24" ht="15" customHeight="1">
      <c r="G31823"/>
      <c r="I31823"/>
      <c r="N31823"/>
      <c r="O31823" s="24"/>
      <c r="P31823"/>
      <c r="Q31823" s="24"/>
      <c r="R31823"/>
      <c r="S31823"/>
      <c r="T31823"/>
      <c r="U31823"/>
      <c r="X31823" s="60"/>
    </row>
    <row r="31824" spans="7:24" ht="15" customHeight="1">
      <c r="G31824"/>
      <c r="I31824"/>
      <c r="N31824"/>
      <c r="O31824" s="24"/>
      <c r="P31824"/>
      <c r="Q31824" s="24"/>
      <c r="R31824"/>
      <c r="S31824"/>
      <c r="T31824"/>
      <c r="U31824"/>
      <c r="X31824" s="60"/>
    </row>
    <row r="31825" spans="7:24" ht="15" customHeight="1">
      <c r="G31825"/>
      <c r="I31825"/>
      <c r="N31825"/>
      <c r="O31825" s="24"/>
      <c r="P31825"/>
      <c r="Q31825" s="24"/>
      <c r="R31825"/>
      <c r="S31825"/>
      <c r="T31825"/>
      <c r="U31825"/>
      <c r="X31825" s="60"/>
    </row>
    <row r="31826" spans="7:24" ht="15" customHeight="1">
      <c r="G31826"/>
      <c r="I31826"/>
      <c r="N31826"/>
      <c r="O31826" s="24"/>
      <c r="P31826"/>
      <c r="Q31826" s="24"/>
      <c r="R31826"/>
      <c r="S31826"/>
      <c r="T31826"/>
      <c r="U31826"/>
      <c r="X31826" s="60"/>
    </row>
    <row r="31827" spans="7:24" ht="15" customHeight="1">
      <c r="G31827"/>
      <c r="I31827"/>
      <c r="N31827"/>
      <c r="O31827" s="24"/>
      <c r="P31827"/>
      <c r="Q31827" s="24"/>
      <c r="R31827"/>
      <c r="S31827"/>
      <c r="T31827"/>
      <c r="U31827"/>
      <c r="X31827" s="60"/>
    </row>
    <row r="31828" spans="7:24" ht="15" customHeight="1">
      <c r="G31828"/>
      <c r="I31828"/>
      <c r="N31828"/>
      <c r="O31828" s="24"/>
      <c r="P31828"/>
      <c r="Q31828" s="24"/>
      <c r="R31828"/>
      <c r="S31828"/>
      <c r="T31828"/>
      <c r="U31828"/>
      <c r="X31828" s="60"/>
    </row>
    <row r="31829" spans="7:24" ht="15" customHeight="1">
      <c r="G31829"/>
      <c r="I31829"/>
      <c r="N31829"/>
      <c r="O31829" s="24"/>
      <c r="P31829"/>
      <c r="Q31829" s="24"/>
      <c r="R31829"/>
      <c r="S31829"/>
      <c r="T31829"/>
      <c r="U31829"/>
      <c r="X31829" s="60"/>
    </row>
    <row r="31830" spans="7:24" ht="15" customHeight="1">
      <c r="G31830"/>
      <c r="I31830"/>
      <c r="N31830"/>
      <c r="O31830" s="24"/>
      <c r="P31830"/>
      <c r="Q31830" s="24"/>
      <c r="R31830"/>
      <c r="S31830"/>
      <c r="T31830"/>
      <c r="U31830"/>
      <c r="X31830" s="60"/>
    </row>
    <row r="31831" spans="7:24" ht="15" customHeight="1">
      <c r="G31831"/>
      <c r="I31831"/>
      <c r="N31831"/>
      <c r="O31831" s="24"/>
      <c r="P31831"/>
      <c r="Q31831" s="24"/>
      <c r="R31831"/>
      <c r="S31831"/>
      <c r="T31831"/>
      <c r="U31831"/>
      <c r="X31831" s="60"/>
    </row>
    <row r="31832" spans="7:24" ht="15" customHeight="1">
      <c r="G31832"/>
      <c r="I31832"/>
      <c r="N31832"/>
      <c r="O31832" s="24"/>
      <c r="P31832"/>
      <c r="Q31832" s="24"/>
      <c r="R31832"/>
      <c r="S31832"/>
      <c r="T31832"/>
      <c r="U31832"/>
      <c r="X31832" s="60"/>
    </row>
    <row r="31833" spans="7:24" ht="15" customHeight="1">
      <c r="G31833"/>
      <c r="I31833"/>
      <c r="N31833"/>
      <c r="O31833" s="24"/>
      <c r="P31833"/>
      <c r="Q31833" s="24"/>
      <c r="R31833"/>
      <c r="S31833"/>
      <c r="T31833"/>
      <c r="U31833"/>
      <c r="X31833" s="60"/>
    </row>
    <row r="31834" spans="7:24" ht="15" customHeight="1">
      <c r="G31834"/>
      <c r="I31834"/>
      <c r="N31834"/>
      <c r="O31834" s="24"/>
      <c r="P31834"/>
      <c r="Q31834" s="24"/>
      <c r="R31834"/>
      <c r="S31834"/>
      <c r="T31834"/>
      <c r="U31834"/>
      <c r="X31834" s="60"/>
    </row>
    <row r="31835" spans="7:24" ht="15" customHeight="1">
      <c r="G31835"/>
      <c r="I31835"/>
      <c r="N31835"/>
      <c r="O31835" s="24"/>
      <c r="P31835"/>
      <c r="Q31835" s="24"/>
      <c r="R31835"/>
      <c r="S31835"/>
      <c r="T31835"/>
      <c r="U31835"/>
      <c r="X31835" s="60"/>
    </row>
    <row r="31836" spans="7:24" ht="15" customHeight="1">
      <c r="G31836"/>
      <c r="I31836"/>
      <c r="N31836"/>
      <c r="O31836" s="24"/>
      <c r="P31836"/>
      <c r="Q31836" s="24"/>
      <c r="R31836"/>
      <c r="S31836"/>
      <c r="T31836"/>
      <c r="U31836"/>
      <c r="X31836" s="60"/>
    </row>
    <row r="31837" spans="7:24" ht="15" customHeight="1">
      <c r="G31837"/>
      <c r="I31837"/>
      <c r="N31837"/>
      <c r="O31837" s="24"/>
      <c r="P31837"/>
      <c r="Q31837" s="24"/>
      <c r="R31837"/>
      <c r="S31837"/>
      <c r="T31837"/>
      <c r="U31837"/>
      <c r="X31837" s="60"/>
    </row>
    <row r="31838" spans="7:24" ht="15" customHeight="1">
      <c r="G31838"/>
      <c r="I31838"/>
      <c r="N31838"/>
      <c r="O31838" s="24"/>
      <c r="P31838"/>
      <c r="Q31838" s="24"/>
      <c r="R31838"/>
      <c r="S31838"/>
      <c r="T31838"/>
      <c r="U31838"/>
      <c r="X31838" s="60"/>
    </row>
    <row r="31839" spans="7:24" ht="15" customHeight="1">
      <c r="G31839"/>
      <c r="I31839"/>
      <c r="N31839"/>
      <c r="O31839" s="24"/>
      <c r="P31839"/>
      <c r="Q31839" s="24"/>
      <c r="R31839"/>
      <c r="S31839"/>
      <c r="T31839"/>
      <c r="U31839"/>
      <c r="X31839" s="60"/>
    </row>
    <row r="31840" spans="7:24" ht="15" customHeight="1">
      <c r="G31840"/>
      <c r="I31840"/>
      <c r="N31840"/>
      <c r="O31840" s="24"/>
      <c r="P31840"/>
      <c r="Q31840" s="24"/>
      <c r="R31840"/>
      <c r="S31840"/>
      <c r="T31840"/>
      <c r="U31840"/>
      <c r="X31840" s="60"/>
    </row>
    <row r="31841" spans="7:24" ht="15" customHeight="1">
      <c r="G31841"/>
      <c r="I31841"/>
      <c r="N31841"/>
      <c r="O31841" s="24"/>
      <c r="P31841"/>
      <c r="Q31841" s="24"/>
      <c r="R31841"/>
      <c r="S31841"/>
      <c r="T31841"/>
      <c r="U31841"/>
      <c r="X31841" s="60"/>
    </row>
    <row r="31842" spans="7:24" ht="15" customHeight="1">
      <c r="G31842"/>
      <c r="I31842"/>
      <c r="N31842"/>
      <c r="O31842" s="24"/>
      <c r="P31842"/>
      <c r="Q31842" s="24"/>
      <c r="R31842"/>
      <c r="S31842"/>
      <c r="T31842"/>
      <c r="U31842"/>
      <c r="X31842" s="60"/>
    </row>
    <row r="31843" spans="7:24" ht="15" customHeight="1">
      <c r="G31843"/>
      <c r="I31843"/>
      <c r="N31843"/>
      <c r="O31843" s="24"/>
      <c r="P31843"/>
      <c r="Q31843" s="24"/>
      <c r="R31843"/>
      <c r="S31843"/>
      <c r="T31843"/>
      <c r="U31843"/>
      <c r="X31843" s="60"/>
    </row>
    <row r="31844" spans="7:24" ht="15" customHeight="1">
      <c r="G31844"/>
      <c r="I31844"/>
      <c r="N31844"/>
      <c r="O31844" s="24"/>
      <c r="P31844"/>
      <c r="Q31844" s="24"/>
      <c r="R31844"/>
      <c r="S31844"/>
      <c r="T31844"/>
      <c r="U31844"/>
      <c r="X31844" s="60"/>
    </row>
    <row r="31845" spans="7:24" ht="15" customHeight="1">
      <c r="G31845"/>
      <c r="I31845"/>
      <c r="N31845"/>
      <c r="O31845" s="24"/>
      <c r="P31845"/>
      <c r="Q31845" s="24"/>
      <c r="R31845"/>
      <c r="S31845"/>
      <c r="T31845"/>
      <c r="U31845"/>
      <c r="X31845" s="60"/>
    </row>
    <row r="31846" spans="7:24" ht="15" customHeight="1">
      <c r="G31846"/>
      <c r="I31846"/>
      <c r="N31846"/>
      <c r="O31846" s="24"/>
      <c r="P31846"/>
      <c r="Q31846" s="24"/>
      <c r="R31846"/>
      <c r="S31846"/>
      <c r="T31846"/>
      <c r="U31846"/>
      <c r="X31846" s="60"/>
    </row>
    <row r="31847" spans="7:24" ht="15" customHeight="1">
      <c r="G31847"/>
      <c r="I31847"/>
      <c r="N31847"/>
      <c r="O31847" s="24"/>
      <c r="P31847"/>
      <c r="Q31847" s="24"/>
      <c r="R31847"/>
      <c r="S31847"/>
      <c r="T31847"/>
      <c r="U31847"/>
      <c r="X31847" s="60"/>
    </row>
    <row r="31848" spans="7:24" ht="15" customHeight="1">
      <c r="G31848"/>
      <c r="I31848"/>
      <c r="N31848"/>
      <c r="O31848" s="24"/>
      <c r="P31848"/>
      <c r="Q31848" s="24"/>
      <c r="R31848"/>
      <c r="S31848"/>
      <c r="T31848"/>
      <c r="U31848"/>
      <c r="X31848" s="60"/>
    </row>
    <row r="31849" spans="7:24" ht="15" customHeight="1">
      <c r="G31849"/>
      <c r="I31849"/>
      <c r="N31849"/>
      <c r="O31849" s="24"/>
      <c r="P31849"/>
      <c r="Q31849" s="24"/>
      <c r="R31849"/>
      <c r="S31849"/>
      <c r="T31849"/>
      <c r="U31849"/>
      <c r="X31849" s="60"/>
    </row>
    <row r="31850" spans="7:24" ht="15" customHeight="1">
      <c r="G31850"/>
      <c r="I31850"/>
      <c r="N31850"/>
      <c r="O31850" s="24"/>
      <c r="P31850"/>
      <c r="Q31850" s="24"/>
      <c r="R31850"/>
      <c r="S31850"/>
      <c r="T31850"/>
      <c r="U31850"/>
      <c r="X31850" s="60"/>
    </row>
    <row r="31851" spans="7:24" ht="15" customHeight="1">
      <c r="G31851"/>
      <c r="I31851"/>
      <c r="N31851"/>
      <c r="O31851" s="24"/>
      <c r="P31851"/>
      <c r="Q31851" s="24"/>
      <c r="R31851"/>
      <c r="S31851"/>
      <c r="T31851"/>
      <c r="U31851"/>
      <c r="X31851" s="60"/>
    </row>
    <row r="31852" spans="7:24" ht="15" customHeight="1">
      <c r="G31852"/>
      <c r="I31852"/>
      <c r="N31852"/>
      <c r="O31852" s="24"/>
      <c r="P31852"/>
      <c r="Q31852" s="24"/>
      <c r="R31852"/>
      <c r="S31852"/>
      <c r="T31852"/>
      <c r="U31852"/>
      <c r="X31852" s="60"/>
    </row>
    <row r="31853" spans="7:24" ht="15" customHeight="1">
      <c r="G31853"/>
      <c r="I31853"/>
      <c r="N31853"/>
      <c r="O31853" s="24"/>
      <c r="P31853"/>
      <c r="Q31853" s="24"/>
      <c r="R31853"/>
      <c r="S31853"/>
      <c r="T31853"/>
      <c r="U31853"/>
      <c r="X31853" s="60"/>
    </row>
    <row r="31854" spans="7:24" ht="15" customHeight="1">
      <c r="G31854"/>
      <c r="I31854"/>
      <c r="N31854"/>
      <c r="O31854" s="24"/>
      <c r="P31854"/>
      <c r="Q31854" s="24"/>
      <c r="R31854"/>
      <c r="S31854"/>
      <c r="T31854"/>
      <c r="U31854"/>
      <c r="X31854" s="60"/>
    </row>
    <row r="31855" spans="7:24" ht="15" customHeight="1">
      <c r="G31855"/>
      <c r="I31855"/>
      <c r="N31855"/>
      <c r="O31855" s="24"/>
      <c r="P31855"/>
      <c r="Q31855" s="24"/>
      <c r="R31855"/>
      <c r="S31855"/>
      <c r="T31855"/>
      <c r="U31855"/>
      <c r="X31855" s="60"/>
    </row>
    <row r="31856" spans="7:24" ht="15" customHeight="1">
      <c r="G31856"/>
      <c r="I31856"/>
      <c r="N31856"/>
      <c r="O31856" s="24"/>
      <c r="P31856"/>
      <c r="Q31856" s="24"/>
      <c r="R31856"/>
      <c r="S31856"/>
      <c r="T31856"/>
      <c r="U31856"/>
      <c r="X31856" s="60"/>
    </row>
    <row r="31857" spans="7:24" ht="15" customHeight="1">
      <c r="G31857"/>
      <c r="I31857"/>
      <c r="N31857"/>
      <c r="O31857" s="24"/>
      <c r="P31857"/>
      <c r="Q31857" s="24"/>
      <c r="R31857"/>
      <c r="S31857"/>
      <c r="T31857"/>
      <c r="U31857"/>
      <c r="X31857" s="60"/>
    </row>
    <row r="31858" spans="7:24" ht="15" customHeight="1">
      <c r="G31858"/>
      <c r="I31858"/>
      <c r="N31858"/>
      <c r="O31858" s="24"/>
      <c r="P31858"/>
      <c r="Q31858" s="24"/>
      <c r="R31858"/>
      <c r="S31858"/>
      <c r="T31858"/>
      <c r="U31858"/>
      <c r="X31858" s="60"/>
    </row>
    <row r="31859" spans="7:24" ht="15" customHeight="1">
      <c r="G31859"/>
      <c r="I31859"/>
      <c r="N31859"/>
      <c r="O31859" s="24"/>
      <c r="P31859"/>
      <c r="Q31859" s="24"/>
      <c r="R31859"/>
      <c r="S31859"/>
      <c r="T31859"/>
      <c r="U31859"/>
      <c r="X31859" s="60"/>
    </row>
    <row r="31860" spans="7:24" ht="15" customHeight="1">
      <c r="G31860"/>
      <c r="I31860"/>
      <c r="N31860"/>
      <c r="O31860" s="24"/>
      <c r="P31860"/>
      <c r="Q31860" s="24"/>
      <c r="R31860"/>
      <c r="S31860"/>
      <c r="T31860"/>
      <c r="U31860"/>
      <c r="X31860" s="60"/>
    </row>
    <row r="31861" spans="7:24" ht="15" customHeight="1">
      <c r="G31861"/>
      <c r="I31861"/>
      <c r="N31861"/>
      <c r="O31861" s="24"/>
      <c r="P31861"/>
      <c r="Q31861" s="24"/>
      <c r="R31861"/>
      <c r="S31861"/>
      <c r="T31861"/>
      <c r="U31861"/>
      <c r="X31861" s="60"/>
    </row>
    <row r="31862" spans="7:24" ht="15" customHeight="1">
      <c r="G31862"/>
      <c r="I31862"/>
      <c r="N31862"/>
      <c r="O31862" s="24"/>
      <c r="P31862"/>
      <c r="Q31862" s="24"/>
      <c r="R31862"/>
      <c r="S31862"/>
      <c r="T31862"/>
      <c r="U31862"/>
      <c r="X31862" s="60"/>
    </row>
    <row r="31863" spans="7:24" ht="15" customHeight="1">
      <c r="G31863"/>
      <c r="I31863"/>
      <c r="N31863"/>
      <c r="O31863" s="24"/>
      <c r="P31863"/>
      <c r="Q31863" s="24"/>
      <c r="R31863"/>
      <c r="S31863"/>
      <c r="T31863"/>
      <c r="U31863"/>
      <c r="X31863" s="60"/>
    </row>
    <row r="31864" spans="7:24" ht="15" customHeight="1">
      <c r="G31864"/>
      <c r="I31864"/>
      <c r="N31864"/>
      <c r="O31864" s="24"/>
      <c r="P31864"/>
      <c r="Q31864" s="24"/>
      <c r="R31864"/>
      <c r="S31864"/>
      <c r="T31864"/>
      <c r="U31864"/>
      <c r="X31864" s="60"/>
    </row>
    <row r="31865" spans="7:24" ht="15" customHeight="1">
      <c r="G31865"/>
      <c r="I31865"/>
      <c r="N31865"/>
      <c r="O31865" s="24"/>
      <c r="P31865"/>
      <c r="Q31865" s="24"/>
      <c r="R31865"/>
      <c r="S31865"/>
      <c r="T31865"/>
      <c r="U31865"/>
      <c r="X31865" s="60"/>
    </row>
    <row r="31866" spans="7:24" ht="15" customHeight="1">
      <c r="G31866"/>
      <c r="I31866"/>
      <c r="N31866"/>
      <c r="O31866" s="24"/>
      <c r="P31866"/>
      <c r="Q31866" s="24"/>
      <c r="R31866"/>
      <c r="S31866"/>
      <c r="T31866"/>
      <c r="U31866"/>
      <c r="X31866" s="60"/>
    </row>
    <row r="31867" spans="7:24" ht="15" customHeight="1">
      <c r="G31867"/>
      <c r="I31867"/>
      <c r="N31867"/>
      <c r="O31867" s="24"/>
      <c r="P31867"/>
      <c r="Q31867" s="24"/>
      <c r="R31867"/>
      <c r="S31867"/>
      <c r="T31867"/>
      <c r="U31867"/>
      <c r="X31867" s="60"/>
    </row>
    <row r="31868" spans="7:24" ht="15" customHeight="1">
      <c r="G31868"/>
      <c r="I31868"/>
      <c r="N31868"/>
      <c r="O31868" s="24"/>
      <c r="P31868"/>
      <c r="Q31868" s="24"/>
      <c r="R31868"/>
      <c r="S31868"/>
      <c r="T31868"/>
      <c r="U31868"/>
      <c r="X31868" s="60"/>
    </row>
    <row r="31869" spans="7:24" ht="15" customHeight="1">
      <c r="G31869"/>
      <c r="I31869"/>
      <c r="N31869"/>
      <c r="O31869" s="24"/>
      <c r="P31869"/>
      <c r="Q31869" s="24"/>
      <c r="R31869"/>
      <c r="S31869"/>
      <c r="T31869"/>
      <c r="U31869"/>
      <c r="X31869" s="60"/>
    </row>
    <row r="31870" spans="7:24" ht="15" customHeight="1">
      <c r="G31870"/>
      <c r="I31870"/>
      <c r="N31870"/>
      <c r="O31870" s="24"/>
      <c r="P31870"/>
      <c r="Q31870" s="24"/>
      <c r="R31870"/>
      <c r="S31870"/>
      <c r="T31870"/>
      <c r="U31870"/>
      <c r="X31870" s="60"/>
    </row>
    <row r="31871" spans="7:24" ht="15" customHeight="1">
      <c r="G31871"/>
      <c r="I31871"/>
      <c r="N31871"/>
      <c r="O31871" s="24"/>
      <c r="P31871"/>
      <c r="Q31871" s="24"/>
      <c r="R31871"/>
      <c r="S31871"/>
      <c r="T31871"/>
      <c r="U31871"/>
      <c r="X31871" s="60"/>
    </row>
    <row r="31872" spans="7:24" ht="15" customHeight="1">
      <c r="G31872"/>
      <c r="I31872"/>
      <c r="N31872"/>
      <c r="O31872" s="24"/>
      <c r="P31872"/>
      <c r="Q31872" s="24"/>
      <c r="R31872"/>
      <c r="S31872"/>
      <c r="T31872"/>
      <c r="U31872"/>
      <c r="X31872" s="60"/>
    </row>
    <row r="31873" spans="7:24" ht="15" customHeight="1">
      <c r="G31873"/>
      <c r="I31873"/>
      <c r="N31873"/>
      <c r="O31873" s="24"/>
      <c r="P31873"/>
      <c r="Q31873" s="24"/>
      <c r="R31873"/>
      <c r="S31873"/>
      <c r="T31873"/>
      <c r="U31873"/>
      <c r="X31873" s="60"/>
    </row>
    <row r="31874" spans="7:24" ht="15" customHeight="1">
      <c r="G31874"/>
      <c r="I31874"/>
      <c r="N31874"/>
      <c r="O31874" s="24"/>
      <c r="P31874"/>
      <c r="Q31874" s="24"/>
      <c r="R31874"/>
      <c r="S31874"/>
      <c r="T31874"/>
      <c r="U31874"/>
      <c r="X31874" s="60"/>
    </row>
    <row r="31875" spans="7:24" ht="15" customHeight="1">
      <c r="G31875"/>
      <c r="I31875"/>
      <c r="N31875"/>
      <c r="O31875" s="24"/>
      <c r="P31875"/>
      <c r="Q31875" s="24"/>
      <c r="R31875"/>
      <c r="S31875"/>
      <c r="T31875"/>
      <c r="U31875"/>
      <c r="X31875" s="60"/>
    </row>
    <row r="31876" spans="7:24" ht="15" customHeight="1">
      <c r="G31876"/>
      <c r="I31876"/>
      <c r="N31876"/>
      <c r="O31876" s="24"/>
      <c r="P31876"/>
      <c r="Q31876" s="24"/>
      <c r="R31876"/>
      <c r="S31876"/>
      <c r="T31876"/>
      <c r="U31876"/>
      <c r="X31876" s="60"/>
    </row>
    <row r="31877" spans="7:24" ht="15" customHeight="1">
      <c r="G31877"/>
      <c r="I31877"/>
      <c r="N31877"/>
      <c r="O31877" s="24"/>
      <c r="P31877"/>
      <c r="Q31877" s="24"/>
      <c r="R31877"/>
      <c r="S31877"/>
      <c r="T31877"/>
      <c r="U31877"/>
      <c r="X31877" s="60"/>
    </row>
    <row r="31878" spans="7:24" ht="15" customHeight="1">
      <c r="G31878"/>
      <c r="I31878"/>
      <c r="N31878"/>
      <c r="O31878" s="24"/>
      <c r="P31878"/>
      <c r="Q31878" s="24"/>
      <c r="R31878"/>
      <c r="S31878"/>
      <c r="T31878"/>
      <c r="U31878"/>
      <c r="X31878" s="60"/>
    </row>
    <row r="31879" spans="7:24" ht="15" customHeight="1">
      <c r="G31879"/>
      <c r="I31879"/>
      <c r="N31879"/>
      <c r="O31879" s="24"/>
      <c r="P31879"/>
      <c r="Q31879" s="24"/>
      <c r="R31879"/>
      <c r="S31879"/>
      <c r="T31879"/>
      <c r="U31879"/>
      <c r="X31879" s="60"/>
    </row>
    <row r="31880" spans="7:24" ht="15" customHeight="1">
      <c r="G31880"/>
      <c r="I31880"/>
      <c r="N31880"/>
      <c r="O31880" s="24"/>
      <c r="P31880"/>
      <c r="Q31880" s="24"/>
      <c r="R31880"/>
      <c r="S31880"/>
      <c r="T31880"/>
      <c r="U31880"/>
      <c r="X31880" s="60"/>
    </row>
    <row r="31881" spans="7:24" ht="15" customHeight="1">
      <c r="G31881"/>
      <c r="I31881"/>
      <c r="N31881"/>
      <c r="O31881" s="24"/>
      <c r="P31881"/>
      <c r="Q31881" s="24"/>
      <c r="R31881"/>
      <c r="S31881"/>
      <c r="T31881"/>
      <c r="U31881"/>
      <c r="X31881" s="60"/>
    </row>
    <row r="31882" spans="7:24" ht="15" customHeight="1">
      <c r="G31882"/>
      <c r="I31882"/>
      <c r="N31882"/>
      <c r="O31882" s="24"/>
      <c r="P31882"/>
      <c r="Q31882" s="24"/>
      <c r="R31882"/>
      <c r="S31882"/>
      <c r="T31882"/>
      <c r="U31882"/>
      <c r="X31882" s="60"/>
    </row>
    <row r="31883" spans="7:24" ht="15" customHeight="1">
      <c r="G31883"/>
      <c r="I31883"/>
      <c r="N31883"/>
      <c r="O31883" s="24"/>
      <c r="P31883"/>
      <c r="Q31883" s="24"/>
      <c r="R31883"/>
      <c r="S31883"/>
      <c r="T31883"/>
      <c r="U31883"/>
      <c r="X31883" s="60"/>
    </row>
    <row r="31884" spans="7:24" ht="15" customHeight="1">
      <c r="G31884"/>
      <c r="I31884"/>
      <c r="N31884"/>
      <c r="O31884" s="24"/>
      <c r="P31884"/>
      <c r="Q31884" s="24"/>
      <c r="R31884"/>
      <c r="S31884"/>
      <c r="T31884"/>
      <c r="U31884"/>
      <c r="X31884" s="60"/>
    </row>
    <row r="31885" spans="7:24" ht="15" customHeight="1">
      <c r="G31885"/>
      <c r="I31885"/>
      <c r="N31885"/>
      <c r="O31885" s="24"/>
      <c r="P31885"/>
      <c r="Q31885" s="24"/>
      <c r="R31885"/>
      <c r="S31885"/>
      <c r="T31885"/>
      <c r="U31885"/>
      <c r="X31885" s="60"/>
    </row>
    <row r="31886" spans="7:24" ht="15" customHeight="1">
      <c r="G31886"/>
      <c r="I31886"/>
      <c r="N31886"/>
      <c r="O31886" s="24"/>
      <c r="P31886"/>
      <c r="Q31886" s="24"/>
      <c r="R31886"/>
      <c r="S31886"/>
      <c r="T31886"/>
      <c r="U31886"/>
      <c r="X31886" s="60"/>
    </row>
    <row r="31887" spans="7:24" ht="15" customHeight="1">
      <c r="G31887"/>
      <c r="I31887"/>
      <c r="N31887"/>
      <c r="O31887" s="24"/>
      <c r="P31887"/>
      <c r="Q31887" s="24"/>
      <c r="R31887"/>
      <c r="S31887"/>
      <c r="T31887"/>
      <c r="U31887"/>
      <c r="X31887" s="60"/>
    </row>
    <row r="31888" spans="7:24" ht="15" customHeight="1">
      <c r="G31888"/>
      <c r="I31888"/>
      <c r="N31888"/>
      <c r="O31888" s="24"/>
      <c r="P31888"/>
      <c r="Q31888" s="24"/>
      <c r="R31888"/>
      <c r="S31888"/>
      <c r="T31888"/>
      <c r="U31888"/>
      <c r="X31888" s="60"/>
    </row>
    <row r="31889" spans="7:24" ht="15" customHeight="1">
      <c r="G31889"/>
      <c r="I31889"/>
      <c r="N31889"/>
      <c r="O31889" s="24"/>
      <c r="P31889"/>
      <c r="Q31889" s="24"/>
      <c r="R31889"/>
      <c r="S31889"/>
      <c r="T31889"/>
      <c r="U31889"/>
      <c r="X31889" s="60"/>
    </row>
    <row r="31890" spans="7:24" ht="15" customHeight="1">
      <c r="G31890"/>
      <c r="I31890"/>
      <c r="N31890"/>
      <c r="O31890" s="24"/>
      <c r="P31890"/>
      <c r="Q31890" s="24"/>
      <c r="R31890"/>
      <c r="S31890"/>
      <c r="T31890"/>
      <c r="U31890"/>
      <c r="X31890" s="60"/>
    </row>
    <row r="31891" spans="7:24" ht="15" customHeight="1">
      <c r="G31891"/>
      <c r="I31891"/>
      <c r="N31891"/>
      <c r="O31891" s="24"/>
      <c r="P31891"/>
      <c r="Q31891" s="24"/>
      <c r="R31891"/>
      <c r="S31891"/>
      <c r="T31891"/>
      <c r="U31891"/>
      <c r="X31891" s="60"/>
    </row>
    <row r="31892" spans="7:24" ht="15" customHeight="1">
      <c r="G31892"/>
      <c r="I31892"/>
      <c r="N31892"/>
      <c r="O31892" s="24"/>
      <c r="P31892"/>
      <c r="Q31892" s="24"/>
      <c r="R31892"/>
      <c r="S31892"/>
      <c r="T31892"/>
      <c r="U31892"/>
      <c r="X31892" s="60"/>
    </row>
    <row r="31893" spans="7:24" ht="15" customHeight="1">
      <c r="G31893"/>
      <c r="I31893"/>
      <c r="N31893"/>
      <c r="O31893" s="24"/>
      <c r="P31893"/>
      <c r="Q31893" s="24"/>
      <c r="R31893"/>
      <c r="S31893"/>
      <c r="T31893"/>
      <c r="U31893"/>
      <c r="X31893" s="60"/>
    </row>
    <row r="31894" spans="7:24" ht="15" customHeight="1">
      <c r="G31894"/>
      <c r="I31894"/>
      <c r="N31894"/>
      <c r="O31894" s="24"/>
      <c r="P31894"/>
      <c r="Q31894" s="24"/>
      <c r="R31894"/>
      <c r="S31894"/>
      <c r="T31894"/>
      <c r="U31894"/>
      <c r="X31894" s="60"/>
    </row>
    <row r="31895" spans="7:24" ht="15" customHeight="1">
      <c r="G31895"/>
      <c r="I31895"/>
      <c r="N31895"/>
      <c r="O31895" s="24"/>
      <c r="P31895"/>
      <c r="Q31895" s="24"/>
      <c r="R31895"/>
      <c r="S31895"/>
      <c r="T31895"/>
      <c r="U31895"/>
      <c r="X31895" s="60"/>
    </row>
    <row r="31896" spans="7:24" ht="15" customHeight="1">
      <c r="G31896"/>
      <c r="I31896"/>
      <c r="N31896"/>
      <c r="O31896" s="24"/>
      <c r="P31896"/>
      <c r="Q31896" s="24"/>
      <c r="R31896"/>
      <c r="S31896"/>
      <c r="T31896"/>
      <c r="U31896"/>
      <c r="X31896" s="60"/>
    </row>
    <row r="31897" spans="7:24" ht="15" customHeight="1">
      <c r="G31897"/>
      <c r="I31897"/>
      <c r="N31897"/>
      <c r="O31897" s="24"/>
      <c r="P31897"/>
      <c r="Q31897" s="24"/>
      <c r="R31897"/>
      <c r="S31897"/>
      <c r="T31897"/>
      <c r="U31897"/>
      <c r="X31897" s="60"/>
    </row>
    <row r="31898" spans="7:24" ht="15" customHeight="1">
      <c r="G31898"/>
      <c r="I31898"/>
      <c r="N31898"/>
      <c r="O31898" s="24"/>
      <c r="P31898"/>
      <c r="Q31898" s="24"/>
      <c r="R31898"/>
      <c r="S31898"/>
      <c r="T31898"/>
      <c r="U31898"/>
      <c r="X31898" s="60"/>
    </row>
    <row r="31899" spans="7:24" ht="15" customHeight="1">
      <c r="G31899"/>
      <c r="I31899"/>
      <c r="N31899"/>
      <c r="O31899" s="24"/>
      <c r="P31899"/>
      <c r="Q31899" s="24"/>
      <c r="R31899"/>
      <c r="S31899"/>
      <c r="T31899"/>
      <c r="U31899"/>
      <c r="X31899" s="60"/>
    </row>
    <row r="31900" spans="7:24" ht="15" customHeight="1">
      <c r="G31900"/>
      <c r="I31900"/>
      <c r="N31900"/>
      <c r="O31900" s="24"/>
      <c r="P31900"/>
      <c r="Q31900" s="24"/>
      <c r="R31900"/>
      <c r="S31900"/>
      <c r="T31900"/>
      <c r="U31900"/>
      <c r="X31900" s="60"/>
    </row>
    <row r="31901" spans="7:24" ht="15" customHeight="1">
      <c r="G31901"/>
      <c r="I31901"/>
      <c r="N31901"/>
      <c r="O31901" s="24"/>
      <c r="P31901"/>
      <c r="Q31901" s="24"/>
      <c r="R31901"/>
      <c r="S31901"/>
      <c r="T31901"/>
      <c r="U31901"/>
      <c r="X31901" s="60"/>
    </row>
    <row r="31902" spans="7:24" ht="15" customHeight="1">
      <c r="G31902"/>
      <c r="I31902"/>
      <c r="N31902"/>
      <c r="O31902" s="24"/>
      <c r="P31902"/>
      <c r="Q31902" s="24"/>
      <c r="R31902"/>
      <c r="S31902"/>
      <c r="T31902"/>
      <c r="U31902"/>
      <c r="X31902" s="60"/>
    </row>
    <row r="31903" spans="7:24" ht="15" customHeight="1">
      <c r="G31903"/>
      <c r="I31903"/>
      <c r="N31903"/>
      <c r="O31903" s="24"/>
      <c r="P31903"/>
      <c r="Q31903" s="24"/>
      <c r="R31903"/>
      <c r="S31903"/>
      <c r="T31903"/>
      <c r="U31903"/>
      <c r="X31903" s="60"/>
    </row>
    <row r="31904" spans="7:24" ht="15" customHeight="1">
      <c r="G31904"/>
      <c r="I31904"/>
      <c r="N31904"/>
      <c r="O31904" s="24"/>
      <c r="P31904"/>
      <c r="Q31904" s="24"/>
      <c r="R31904"/>
      <c r="S31904"/>
      <c r="T31904"/>
      <c r="U31904"/>
      <c r="X31904" s="60"/>
    </row>
    <row r="31905" spans="7:24" ht="15" customHeight="1">
      <c r="G31905"/>
      <c r="I31905"/>
      <c r="N31905"/>
      <c r="O31905" s="24"/>
      <c r="P31905"/>
      <c r="Q31905" s="24"/>
      <c r="R31905"/>
      <c r="S31905"/>
      <c r="T31905"/>
      <c r="U31905"/>
      <c r="X31905" s="60"/>
    </row>
    <row r="31906" spans="7:24" ht="15" customHeight="1">
      <c r="G31906"/>
      <c r="I31906"/>
      <c r="N31906"/>
      <c r="O31906" s="24"/>
      <c r="P31906"/>
      <c r="Q31906" s="24"/>
      <c r="R31906"/>
      <c r="S31906"/>
      <c r="T31906"/>
      <c r="U31906"/>
      <c r="X31906" s="60"/>
    </row>
    <row r="31907" spans="7:24" ht="15" customHeight="1">
      <c r="G31907"/>
      <c r="I31907"/>
      <c r="N31907"/>
      <c r="O31907" s="24"/>
      <c r="P31907"/>
      <c r="Q31907" s="24"/>
      <c r="R31907"/>
      <c r="S31907"/>
      <c r="T31907"/>
      <c r="U31907"/>
      <c r="X31907" s="60"/>
    </row>
    <row r="31908" spans="7:24" ht="15" customHeight="1">
      <c r="G31908"/>
      <c r="I31908"/>
      <c r="N31908"/>
      <c r="O31908" s="24"/>
      <c r="P31908"/>
      <c r="Q31908" s="24"/>
      <c r="R31908"/>
      <c r="S31908"/>
      <c r="T31908"/>
      <c r="U31908"/>
      <c r="X31908" s="60"/>
    </row>
    <row r="31909" spans="7:24" ht="15" customHeight="1">
      <c r="G31909"/>
      <c r="I31909"/>
      <c r="N31909"/>
      <c r="O31909" s="24"/>
      <c r="P31909"/>
      <c r="Q31909" s="24"/>
      <c r="R31909"/>
      <c r="S31909"/>
      <c r="T31909"/>
      <c r="U31909"/>
      <c r="X31909" s="60"/>
    </row>
    <row r="31910" spans="7:24" ht="15" customHeight="1">
      <c r="G31910"/>
      <c r="I31910"/>
      <c r="N31910"/>
      <c r="O31910" s="24"/>
      <c r="P31910"/>
      <c r="Q31910" s="24"/>
      <c r="R31910"/>
      <c r="S31910"/>
      <c r="T31910"/>
      <c r="U31910"/>
      <c r="X31910" s="60"/>
    </row>
    <row r="31911" spans="7:24" ht="15" customHeight="1">
      <c r="G31911"/>
      <c r="I31911"/>
      <c r="N31911"/>
      <c r="O31911" s="24"/>
      <c r="P31911"/>
      <c r="Q31911" s="24"/>
      <c r="R31911"/>
      <c r="S31911"/>
      <c r="T31911"/>
      <c r="U31911"/>
      <c r="X31911" s="60"/>
    </row>
    <row r="31912" spans="7:24" ht="15" customHeight="1">
      <c r="G31912"/>
      <c r="I31912"/>
      <c r="N31912"/>
      <c r="O31912" s="24"/>
      <c r="P31912"/>
      <c r="Q31912" s="24"/>
      <c r="R31912"/>
      <c r="S31912"/>
      <c r="T31912"/>
      <c r="U31912"/>
      <c r="X31912" s="60"/>
    </row>
    <row r="31913" spans="7:24" ht="15" customHeight="1">
      <c r="G31913"/>
      <c r="I31913"/>
      <c r="N31913"/>
      <c r="O31913" s="24"/>
      <c r="P31913"/>
      <c r="Q31913" s="24"/>
      <c r="R31913"/>
      <c r="S31913"/>
      <c r="T31913"/>
      <c r="U31913"/>
      <c r="X31913" s="60"/>
    </row>
    <row r="31914" spans="7:24" ht="15" customHeight="1">
      <c r="G31914"/>
      <c r="I31914"/>
      <c r="N31914"/>
      <c r="O31914" s="24"/>
      <c r="P31914"/>
      <c r="Q31914" s="24"/>
      <c r="R31914"/>
      <c r="S31914"/>
      <c r="T31914"/>
      <c r="U31914"/>
      <c r="X31914" s="60"/>
    </row>
    <row r="31915" spans="7:24" ht="15" customHeight="1">
      <c r="G31915"/>
      <c r="I31915"/>
      <c r="N31915"/>
      <c r="O31915" s="24"/>
      <c r="P31915"/>
      <c r="Q31915" s="24"/>
      <c r="R31915"/>
      <c r="S31915"/>
      <c r="T31915"/>
      <c r="U31915"/>
      <c r="X31915" s="60"/>
    </row>
    <row r="31916" spans="7:24" ht="15" customHeight="1">
      <c r="G31916"/>
      <c r="I31916"/>
      <c r="N31916"/>
      <c r="O31916" s="24"/>
      <c r="P31916"/>
      <c r="Q31916" s="24"/>
      <c r="R31916"/>
      <c r="S31916"/>
      <c r="T31916"/>
      <c r="U31916"/>
      <c r="X31916" s="60"/>
    </row>
    <row r="31917" spans="7:24" ht="15" customHeight="1">
      <c r="G31917"/>
      <c r="I31917"/>
      <c r="N31917"/>
      <c r="O31917" s="24"/>
      <c r="P31917"/>
      <c r="Q31917" s="24"/>
      <c r="R31917"/>
      <c r="S31917"/>
      <c r="T31917"/>
      <c r="U31917"/>
      <c r="X31917" s="60"/>
    </row>
    <row r="31918" spans="7:24" ht="15" customHeight="1">
      <c r="G31918"/>
      <c r="I31918"/>
      <c r="N31918"/>
      <c r="O31918" s="24"/>
      <c r="P31918"/>
      <c r="Q31918" s="24"/>
      <c r="R31918"/>
      <c r="S31918"/>
      <c r="T31918"/>
      <c r="U31918"/>
      <c r="X31918" s="60"/>
    </row>
    <row r="31919" spans="7:24" ht="15" customHeight="1">
      <c r="G31919"/>
      <c r="I31919"/>
      <c r="N31919"/>
      <c r="O31919" s="24"/>
      <c r="P31919"/>
      <c r="Q31919" s="24"/>
      <c r="R31919"/>
      <c r="S31919"/>
      <c r="T31919"/>
      <c r="U31919"/>
      <c r="X31919" s="60"/>
    </row>
    <row r="31920" spans="7:24" ht="15" customHeight="1">
      <c r="G31920"/>
      <c r="I31920"/>
      <c r="N31920"/>
      <c r="O31920" s="24"/>
      <c r="P31920"/>
      <c r="Q31920" s="24"/>
      <c r="R31920"/>
      <c r="S31920"/>
      <c r="T31920"/>
      <c r="U31920"/>
      <c r="X31920" s="60"/>
    </row>
    <row r="31921" spans="7:24" ht="15" customHeight="1">
      <c r="G31921"/>
      <c r="I31921"/>
      <c r="N31921"/>
      <c r="O31921" s="24"/>
      <c r="P31921"/>
      <c r="Q31921" s="24"/>
      <c r="R31921"/>
      <c r="S31921"/>
      <c r="T31921"/>
      <c r="U31921"/>
      <c r="X31921" s="60"/>
    </row>
    <row r="31922" spans="7:24" ht="15" customHeight="1">
      <c r="G31922"/>
      <c r="I31922"/>
      <c r="N31922"/>
      <c r="O31922" s="24"/>
      <c r="P31922"/>
      <c r="Q31922" s="24"/>
      <c r="R31922"/>
      <c r="S31922"/>
      <c r="T31922"/>
      <c r="U31922"/>
      <c r="X31922" s="60"/>
    </row>
    <row r="31923" spans="7:24" ht="15" customHeight="1">
      <c r="G31923"/>
      <c r="I31923"/>
      <c r="N31923"/>
      <c r="O31923" s="24"/>
      <c r="P31923"/>
      <c r="Q31923" s="24"/>
      <c r="R31923"/>
      <c r="S31923"/>
      <c r="T31923"/>
      <c r="U31923"/>
      <c r="X31923" s="60"/>
    </row>
    <row r="31924" spans="7:24" ht="15" customHeight="1">
      <c r="G31924"/>
      <c r="I31924"/>
      <c r="N31924"/>
      <c r="O31924" s="24"/>
      <c r="P31924"/>
      <c r="Q31924" s="24"/>
      <c r="R31924"/>
      <c r="S31924"/>
      <c r="T31924"/>
      <c r="U31924"/>
      <c r="X31924" s="60"/>
    </row>
    <row r="31925" spans="7:24" ht="15" customHeight="1">
      <c r="G31925"/>
      <c r="I31925"/>
      <c r="N31925"/>
      <c r="O31925" s="24"/>
      <c r="P31925"/>
      <c r="Q31925" s="24"/>
      <c r="R31925"/>
      <c r="S31925"/>
      <c r="T31925"/>
      <c r="U31925"/>
      <c r="X31925" s="60"/>
    </row>
    <row r="31926" spans="7:24" ht="15" customHeight="1">
      <c r="G31926"/>
      <c r="I31926"/>
      <c r="N31926"/>
      <c r="O31926" s="24"/>
      <c r="P31926"/>
      <c r="Q31926" s="24"/>
      <c r="R31926"/>
      <c r="S31926"/>
      <c r="T31926"/>
      <c r="U31926"/>
      <c r="X31926" s="60"/>
    </row>
    <row r="31927" spans="7:24" ht="15" customHeight="1">
      <c r="G31927"/>
      <c r="I31927"/>
      <c r="N31927"/>
      <c r="O31927" s="24"/>
      <c r="P31927"/>
      <c r="Q31927" s="24"/>
      <c r="R31927"/>
      <c r="S31927"/>
      <c r="T31927"/>
      <c r="U31927"/>
      <c r="X31927" s="60"/>
    </row>
    <row r="31928" spans="7:24" ht="15" customHeight="1">
      <c r="G31928"/>
      <c r="I31928"/>
      <c r="N31928"/>
      <c r="O31928" s="24"/>
      <c r="P31928"/>
      <c r="Q31928" s="24"/>
      <c r="R31928"/>
      <c r="S31928"/>
      <c r="T31928"/>
      <c r="U31928"/>
      <c r="X31928" s="60"/>
    </row>
    <row r="31929" spans="7:24" ht="15" customHeight="1">
      <c r="G31929"/>
      <c r="I31929"/>
      <c r="N31929"/>
      <c r="O31929" s="24"/>
      <c r="P31929"/>
      <c r="Q31929" s="24"/>
      <c r="R31929"/>
      <c r="S31929"/>
      <c r="T31929"/>
      <c r="U31929"/>
      <c r="X31929" s="60"/>
    </row>
    <row r="31930" spans="7:24" ht="15" customHeight="1">
      <c r="G31930"/>
      <c r="I31930"/>
      <c r="N31930"/>
      <c r="O31930" s="24"/>
      <c r="P31930"/>
      <c r="Q31930" s="24"/>
      <c r="R31930"/>
      <c r="S31930"/>
      <c r="T31930"/>
      <c r="U31930"/>
      <c r="X31930" s="60"/>
    </row>
    <row r="31931" spans="7:24" ht="15" customHeight="1">
      <c r="G31931"/>
      <c r="I31931"/>
      <c r="N31931"/>
      <c r="O31931" s="24"/>
      <c r="P31931"/>
      <c r="Q31931" s="24"/>
      <c r="R31931"/>
      <c r="S31931"/>
      <c r="T31931"/>
      <c r="U31931"/>
      <c r="X31931" s="60"/>
    </row>
    <row r="31932" spans="7:24" ht="15" customHeight="1">
      <c r="G31932"/>
      <c r="I31932"/>
      <c r="N31932"/>
      <c r="O31932" s="24"/>
      <c r="P31932"/>
      <c r="Q31932" s="24"/>
      <c r="R31932"/>
      <c r="S31932"/>
      <c r="T31932"/>
      <c r="U31932"/>
      <c r="X31932" s="60"/>
    </row>
    <row r="31933" spans="7:24" ht="15" customHeight="1">
      <c r="G31933"/>
      <c r="I31933"/>
      <c r="N31933"/>
      <c r="O31933" s="24"/>
      <c r="P31933"/>
      <c r="Q31933" s="24"/>
      <c r="R31933"/>
      <c r="S31933"/>
      <c r="T31933"/>
      <c r="U31933"/>
      <c r="X31933" s="60"/>
    </row>
    <row r="31934" spans="7:24" ht="15" customHeight="1">
      <c r="G31934"/>
      <c r="I31934"/>
      <c r="N31934"/>
      <c r="O31934" s="24"/>
      <c r="P31934"/>
      <c r="Q31934" s="24"/>
      <c r="R31934"/>
      <c r="S31934"/>
      <c r="T31934"/>
      <c r="U31934"/>
      <c r="X31934" s="60"/>
    </row>
    <row r="31935" spans="7:24" ht="15" customHeight="1">
      <c r="G31935"/>
      <c r="I31935"/>
      <c r="N31935"/>
      <c r="O31935" s="24"/>
      <c r="P31935"/>
      <c r="Q31935" s="24"/>
      <c r="R31935"/>
      <c r="S31935"/>
      <c r="T31935"/>
      <c r="U31935"/>
      <c r="X31935" s="60"/>
    </row>
    <row r="31936" spans="7:24" ht="15" customHeight="1">
      <c r="G31936"/>
      <c r="I31936"/>
      <c r="N31936"/>
      <c r="O31936" s="24"/>
      <c r="P31936"/>
      <c r="Q31936" s="24"/>
      <c r="R31936"/>
      <c r="S31936"/>
      <c r="T31936"/>
      <c r="U31936"/>
      <c r="X31936" s="60"/>
    </row>
    <row r="31937" spans="7:24" ht="15" customHeight="1">
      <c r="G31937"/>
      <c r="I31937"/>
      <c r="N31937"/>
      <c r="O31937" s="24"/>
      <c r="P31937"/>
      <c r="Q31937" s="24"/>
      <c r="R31937"/>
      <c r="S31937"/>
      <c r="T31937"/>
      <c r="U31937"/>
      <c r="X31937" s="60"/>
    </row>
    <row r="31938" spans="7:24" ht="15" customHeight="1">
      <c r="G31938"/>
      <c r="I31938"/>
      <c r="N31938"/>
      <c r="O31938" s="24"/>
      <c r="P31938"/>
      <c r="Q31938" s="24"/>
      <c r="R31938"/>
      <c r="S31938"/>
      <c r="T31938"/>
      <c r="U31938"/>
      <c r="X31938" s="60"/>
    </row>
    <row r="31939" spans="7:24" ht="15" customHeight="1">
      <c r="G31939"/>
      <c r="I31939"/>
      <c r="N31939"/>
      <c r="O31939" s="24"/>
      <c r="P31939"/>
      <c r="Q31939" s="24"/>
      <c r="R31939"/>
      <c r="S31939"/>
      <c r="T31939"/>
      <c r="U31939"/>
      <c r="X31939" s="60"/>
    </row>
    <row r="31940" spans="7:24" ht="15" customHeight="1">
      <c r="G31940"/>
      <c r="I31940"/>
      <c r="N31940"/>
      <c r="O31940" s="24"/>
      <c r="P31940"/>
      <c r="Q31940" s="24"/>
      <c r="R31940"/>
      <c r="S31940"/>
      <c r="T31940"/>
      <c r="U31940"/>
      <c r="X31940" s="60"/>
    </row>
    <row r="31941" spans="7:24" ht="15" customHeight="1">
      <c r="G31941"/>
      <c r="I31941"/>
      <c r="N31941"/>
      <c r="O31941" s="24"/>
      <c r="P31941"/>
      <c r="Q31941" s="24"/>
      <c r="R31941"/>
      <c r="S31941"/>
      <c r="T31941"/>
      <c r="U31941"/>
      <c r="X31941" s="60"/>
    </row>
    <row r="31942" spans="7:24" ht="15" customHeight="1">
      <c r="G31942"/>
      <c r="I31942"/>
      <c r="N31942"/>
      <c r="O31942" s="24"/>
      <c r="P31942"/>
      <c r="Q31942" s="24"/>
      <c r="R31942"/>
      <c r="S31942"/>
      <c r="T31942"/>
      <c r="U31942"/>
      <c r="X31942" s="60"/>
    </row>
    <row r="31943" spans="7:24" ht="15" customHeight="1">
      <c r="G31943"/>
      <c r="I31943"/>
      <c r="N31943"/>
      <c r="O31943" s="24"/>
      <c r="P31943"/>
      <c r="Q31943" s="24"/>
      <c r="R31943"/>
      <c r="S31943"/>
      <c r="T31943"/>
      <c r="U31943"/>
      <c r="X31943" s="60"/>
    </row>
    <row r="31944" spans="7:24" ht="15" customHeight="1">
      <c r="G31944"/>
      <c r="I31944"/>
      <c r="N31944"/>
      <c r="O31944" s="24"/>
      <c r="P31944"/>
      <c r="Q31944" s="24"/>
      <c r="R31944"/>
      <c r="S31944"/>
      <c r="T31944"/>
      <c r="U31944"/>
      <c r="X31944" s="60"/>
    </row>
    <row r="31945" spans="7:24" ht="15" customHeight="1">
      <c r="G31945"/>
      <c r="I31945"/>
      <c r="N31945"/>
      <c r="O31945" s="24"/>
      <c r="P31945"/>
      <c r="Q31945" s="24"/>
      <c r="R31945"/>
      <c r="S31945"/>
      <c r="T31945"/>
      <c r="U31945"/>
      <c r="X31945" s="60"/>
    </row>
    <row r="31946" spans="7:24" ht="15" customHeight="1">
      <c r="G31946"/>
      <c r="I31946"/>
      <c r="N31946"/>
      <c r="O31946" s="24"/>
      <c r="P31946"/>
      <c r="Q31946" s="24"/>
      <c r="R31946"/>
      <c r="S31946"/>
      <c r="T31946"/>
      <c r="U31946"/>
      <c r="X31946" s="60"/>
    </row>
    <row r="31947" spans="7:24" ht="15" customHeight="1">
      <c r="G31947"/>
      <c r="I31947"/>
      <c r="N31947"/>
      <c r="O31947" s="24"/>
      <c r="P31947"/>
      <c r="Q31947" s="24"/>
      <c r="R31947"/>
      <c r="S31947"/>
      <c r="T31947"/>
      <c r="U31947"/>
      <c r="X31947" s="60"/>
    </row>
    <row r="31948" spans="7:24" ht="15" customHeight="1">
      <c r="G31948"/>
      <c r="I31948"/>
      <c r="N31948"/>
      <c r="O31948" s="24"/>
      <c r="P31948"/>
      <c r="Q31948" s="24"/>
      <c r="R31948"/>
      <c r="S31948"/>
      <c r="T31948"/>
      <c r="U31948"/>
      <c r="X31948" s="60"/>
    </row>
    <row r="31949" spans="7:24" ht="15" customHeight="1">
      <c r="G31949"/>
      <c r="I31949"/>
      <c r="N31949"/>
      <c r="O31949" s="24"/>
      <c r="P31949"/>
      <c r="Q31949" s="24"/>
      <c r="R31949"/>
      <c r="S31949"/>
      <c r="T31949"/>
      <c r="U31949"/>
      <c r="X31949" s="60"/>
    </row>
    <row r="31950" spans="7:24" ht="15" customHeight="1">
      <c r="G31950"/>
      <c r="I31950"/>
      <c r="N31950"/>
      <c r="O31950" s="24"/>
      <c r="P31950"/>
      <c r="Q31950" s="24"/>
      <c r="R31950"/>
      <c r="S31950"/>
      <c r="T31950"/>
      <c r="U31950"/>
      <c r="X31950" s="60"/>
    </row>
    <row r="31951" spans="7:24" ht="15" customHeight="1">
      <c r="G31951"/>
      <c r="I31951"/>
      <c r="N31951"/>
      <c r="O31951" s="24"/>
      <c r="P31951"/>
      <c r="Q31951" s="24"/>
      <c r="R31951"/>
      <c r="S31951"/>
      <c r="T31951"/>
      <c r="U31951"/>
      <c r="X31951" s="60"/>
    </row>
    <row r="31952" spans="7:24" ht="15" customHeight="1">
      <c r="G31952"/>
      <c r="I31952"/>
      <c r="N31952"/>
      <c r="O31952" s="24"/>
      <c r="P31952"/>
      <c r="Q31952" s="24"/>
      <c r="R31952"/>
      <c r="S31952"/>
      <c r="T31952"/>
      <c r="U31952"/>
      <c r="X31952" s="60"/>
    </row>
    <row r="31953" spans="7:24" ht="15" customHeight="1">
      <c r="G31953"/>
      <c r="I31953"/>
      <c r="N31953"/>
      <c r="O31953" s="24"/>
      <c r="P31953"/>
      <c r="Q31953" s="24"/>
      <c r="R31953"/>
      <c r="S31953"/>
      <c r="T31953"/>
      <c r="U31953"/>
      <c r="X31953" s="60"/>
    </row>
    <row r="31954" spans="7:24" ht="15" customHeight="1">
      <c r="G31954"/>
      <c r="I31954"/>
      <c r="N31954"/>
      <c r="O31954" s="24"/>
      <c r="P31954"/>
      <c r="Q31954" s="24"/>
      <c r="R31954"/>
      <c r="S31954"/>
      <c r="T31954"/>
      <c r="U31954"/>
      <c r="X31954" s="60"/>
    </row>
    <row r="31955" spans="7:24" ht="15" customHeight="1">
      <c r="G31955"/>
      <c r="I31955"/>
      <c r="N31955"/>
      <c r="O31955" s="24"/>
      <c r="P31955"/>
      <c r="Q31955" s="24"/>
      <c r="R31955"/>
      <c r="S31955"/>
      <c r="T31955"/>
      <c r="U31955"/>
      <c r="X31955" s="60"/>
    </row>
    <row r="31956" spans="7:24" ht="15" customHeight="1">
      <c r="G31956"/>
      <c r="I31956"/>
      <c r="N31956"/>
      <c r="O31956" s="24"/>
      <c r="P31956"/>
      <c r="Q31956" s="24"/>
      <c r="R31956"/>
      <c r="S31956"/>
      <c r="T31956"/>
      <c r="U31956"/>
      <c r="X31956" s="60"/>
    </row>
    <row r="31957" spans="7:24" ht="15" customHeight="1">
      <c r="G31957"/>
      <c r="I31957"/>
      <c r="N31957"/>
      <c r="O31957" s="24"/>
      <c r="P31957"/>
      <c r="Q31957" s="24"/>
      <c r="R31957"/>
      <c r="S31957"/>
      <c r="T31957"/>
      <c r="U31957"/>
      <c r="X31957" s="60"/>
    </row>
    <row r="31958" spans="7:24" ht="15" customHeight="1">
      <c r="G31958"/>
      <c r="I31958"/>
      <c r="N31958"/>
      <c r="O31958" s="24"/>
      <c r="P31958"/>
      <c r="Q31958" s="24"/>
      <c r="R31958"/>
      <c r="S31958"/>
      <c r="T31958"/>
      <c r="U31958"/>
      <c r="X31958" s="60"/>
    </row>
    <row r="31959" spans="7:24" ht="15" customHeight="1">
      <c r="G31959"/>
      <c r="I31959"/>
      <c r="N31959"/>
      <c r="O31959" s="24"/>
      <c r="P31959"/>
      <c r="Q31959" s="24"/>
      <c r="R31959"/>
      <c r="S31959"/>
      <c r="T31959"/>
      <c r="U31959"/>
      <c r="X31959" s="60"/>
    </row>
    <row r="31960" spans="7:24" ht="15" customHeight="1">
      <c r="G31960"/>
      <c r="I31960"/>
      <c r="N31960"/>
      <c r="O31960" s="24"/>
      <c r="P31960"/>
      <c r="Q31960" s="24"/>
      <c r="R31960"/>
      <c r="S31960"/>
      <c r="T31960"/>
      <c r="U31960"/>
      <c r="X31960" s="60"/>
    </row>
    <row r="31961" spans="7:24" ht="15" customHeight="1">
      <c r="G31961"/>
      <c r="I31961"/>
      <c r="N31961"/>
      <c r="O31961" s="24"/>
      <c r="P31961"/>
      <c r="Q31961" s="24"/>
      <c r="R31961"/>
      <c r="S31961"/>
      <c r="T31961"/>
      <c r="U31961"/>
      <c r="X31961" s="60"/>
    </row>
    <row r="31962" spans="7:24" ht="15" customHeight="1">
      <c r="G31962"/>
      <c r="I31962"/>
      <c r="N31962"/>
      <c r="O31962" s="24"/>
      <c r="P31962"/>
      <c r="Q31962" s="24"/>
      <c r="R31962"/>
      <c r="S31962"/>
      <c r="T31962"/>
      <c r="U31962"/>
      <c r="X31962" s="60"/>
    </row>
    <row r="31963" spans="7:24" ht="15" customHeight="1">
      <c r="G31963"/>
      <c r="I31963"/>
      <c r="N31963"/>
      <c r="O31963" s="24"/>
      <c r="P31963"/>
      <c r="Q31963" s="24"/>
      <c r="R31963"/>
      <c r="S31963"/>
      <c r="T31963"/>
      <c r="U31963"/>
      <c r="X31963" s="60"/>
    </row>
    <row r="31964" spans="7:24" ht="15" customHeight="1">
      <c r="G31964"/>
      <c r="I31964"/>
      <c r="N31964"/>
      <c r="O31964" s="24"/>
      <c r="P31964"/>
      <c r="Q31964" s="24"/>
      <c r="R31964"/>
      <c r="S31964"/>
      <c r="T31964"/>
      <c r="U31964"/>
      <c r="X31964" s="60"/>
    </row>
    <row r="31965" spans="7:24" ht="15" customHeight="1">
      <c r="G31965"/>
      <c r="I31965"/>
      <c r="N31965"/>
      <c r="O31965" s="24"/>
      <c r="P31965"/>
      <c r="Q31965" s="24"/>
      <c r="R31965"/>
      <c r="S31965"/>
      <c r="T31965"/>
      <c r="U31965"/>
      <c r="X31965" s="60"/>
    </row>
    <row r="31966" spans="7:24" ht="15" customHeight="1">
      <c r="G31966"/>
      <c r="I31966"/>
      <c r="N31966"/>
      <c r="O31966" s="24"/>
      <c r="P31966"/>
      <c r="Q31966" s="24"/>
      <c r="R31966"/>
      <c r="S31966"/>
      <c r="T31966"/>
      <c r="U31966"/>
      <c r="X31966" s="60"/>
    </row>
    <row r="31967" spans="7:24" ht="15" customHeight="1">
      <c r="G31967"/>
      <c r="I31967"/>
      <c r="N31967"/>
      <c r="O31967" s="24"/>
      <c r="P31967"/>
      <c r="Q31967" s="24"/>
      <c r="R31967"/>
      <c r="S31967"/>
      <c r="T31967"/>
      <c r="U31967"/>
      <c r="X31967" s="60"/>
    </row>
    <row r="31968" spans="7:24" ht="15" customHeight="1">
      <c r="G31968"/>
      <c r="I31968"/>
      <c r="N31968"/>
      <c r="O31968" s="24"/>
      <c r="P31968"/>
      <c r="Q31968" s="24"/>
      <c r="R31968"/>
      <c r="S31968"/>
      <c r="T31968"/>
      <c r="U31968"/>
      <c r="X31968" s="60"/>
    </row>
    <row r="31969" spans="7:24" ht="15" customHeight="1">
      <c r="G31969"/>
      <c r="I31969"/>
      <c r="N31969"/>
      <c r="O31969" s="24"/>
      <c r="P31969"/>
      <c r="Q31969" s="24"/>
      <c r="R31969"/>
      <c r="S31969"/>
      <c r="T31969"/>
      <c r="U31969"/>
      <c r="X31969" s="60"/>
    </row>
    <row r="31970" spans="7:24" ht="15" customHeight="1">
      <c r="G31970"/>
      <c r="I31970"/>
      <c r="N31970"/>
      <c r="O31970" s="24"/>
      <c r="P31970"/>
      <c r="Q31970" s="24"/>
      <c r="R31970"/>
      <c r="S31970"/>
      <c r="T31970"/>
      <c r="U31970"/>
      <c r="X31970" s="60"/>
    </row>
    <row r="31971" spans="7:24" ht="15" customHeight="1">
      <c r="G31971"/>
      <c r="I31971"/>
      <c r="N31971"/>
      <c r="O31971" s="24"/>
      <c r="P31971"/>
      <c r="Q31971" s="24"/>
      <c r="R31971"/>
      <c r="S31971"/>
      <c r="T31971"/>
      <c r="U31971"/>
      <c r="X31971" s="60"/>
    </row>
    <row r="31972" spans="7:24" ht="15" customHeight="1">
      <c r="G31972"/>
      <c r="I31972"/>
      <c r="N31972"/>
      <c r="O31972" s="24"/>
      <c r="P31972"/>
      <c r="Q31972" s="24"/>
      <c r="R31972"/>
      <c r="S31972"/>
      <c r="T31972"/>
      <c r="U31972"/>
      <c r="X31972" s="60"/>
    </row>
    <row r="31973" spans="7:24" ht="15" customHeight="1">
      <c r="G31973"/>
      <c r="I31973"/>
      <c r="N31973"/>
      <c r="O31973" s="24"/>
      <c r="P31973"/>
      <c r="Q31973" s="24"/>
      <c r="R31973"/>
      <c r="S31973"/>
      <c r="T31973"/>
      <c r="U31973"/>
      <c r="X31973" s="60"/>
    </row>
    <row r="31974" spans="7:24" ht="15" customHeight="1">
      <c r="G31974"/>
      <c r="I31974"/>
      <c r="N31974"/>
      <c r="O31974" s="24"/>
      <c r="P31974"/>
      <c r="Q31974" s="24"/>
      <c r="R31974"/>
      <c r="S31974"/>
      <c r="T31974"/>
      <c r="U31974"/>
      <c r="X31974" s="60"/>
    </row>
    <row r="31975" spans="7:24" ht="15" customHeight="1">
      <c r="G31975"/>
      <c r="I31975"/>
      <c r="N31975"/>
      <c r="O31975" s="24"/>
      <c r="P31975"/>
      <c r="Q31975" s="24"/>
      <c r="R31975"/>
      <c r="S31975"/>
      <c r="T31975"/>
      <c r="U31975"/>
      <c r="X31975" s="60"/>
    </row>
    <row r="31976" spans="7:24" ht="15" customHeight="1">
      <c r="G31976"/>
      <c r="I31976"/>
      <c r="N31976"/>
      <c r="O31976" s="24"/>
      <c r="P31976"/>
      <c r="Q31976" s="24"/>
      <c r="R31976"/>
      <c r="S31976"/>
      <c r="T31976"/>
      <c r="U31976"/>
      <c r="X31976" s="60"/>
    </row>
    <row r="31977" spans="7:24" ht="15" customHeight="1">
      <c r="G31977"/>
      <c r="I31977"/>
      <c r="N31977"/>
      <c r="O31977" s="24"/>
      <c r="P31977"/>
      <c r="Q31977" s="24"/>
      <c r="R31977"/>
      <c r="S31977"/>
      <c r="T31977"/>
      <c r="U31977"/>
      <c r="X31977" s="60"/>
    </row>
    <row r="31978" spans="7:24" ht="15" customHeight="1">
      <c r="G31978"/>
      <c r="I31978"/>
      <c r="N31978"/>
      <c r="O31978" s="24"/>
      <c r="P31978"/>
      <c r="Q31978" s="24"/>
      <c r="R31978"/>
      <c r="S31978"/>
      <c r="T31978"/>
      <c r="U31978"/>
      <c r="X31978" s="60"/>
    </row>
    <row r="31979" spans="7:24" ht="15" customHeight="1">
      <c r="G31979"/>
      <c r="I31979"/>
      <c r="N31979"/>
      <c r="O31979" s="24"/>
      <c r="P31979"/>
      <c r="Q31979" s="24"/>
      <c r="R31979"/>
      <c r="S31979"/>
      <c r="T31979"/>
      <c r="U31979"/>
      <c r="X31979" s="60"/>
    </row>
    <row r="31980" spans="7:24" ht="15" customHeight="1">
      <c r="G31980"/>
      <c r="I31980"/>
      <c r="N31980"/>
      <c r="O31980" s="24"/>
      <c r="P31980"/>
      <c r="Q31980" s="24"/>
      <c r="R31980"/>
      <c r="S31980"/>
      <c r="T31980"/>
      <c r="U31980"/>
      <c r="X31980" s="60"/>
    </row>
    <row r="31981" spans="7:24" ht="15" customHeight="1">
      <c r="G31981"/>
      <c r="I31981"/>
      <c r="N31981"/>
      <c r="O31981" s="24"/>
      <c r="P31981"/>
      <c r="Q31981" s="24"/>
      <c r="R31981"/>
      <c r="S31981"/>
      <c r="T31981"/>
      <c r="U31981"/>
      <c r="X31981" s="60"/>
    </row>
    <row r="31982" spans="7:24" ht="15" customHeight="1">
      <c r="G31982"/>
      <c r="I31982"/>
      <c r="N31982"/>
      <c r="O31982" s="24"/>
      <c r="P31982"/>
      <c r="Q31982" s="24"/>
      <c r="R31982"/>
      <c r="S31982"/>
      <c r="T31982"/>
      <c r="U31982"/>
      <c r="X31982" s="60"/>
    </row>
    <row r="31983" spans="7:24" ht="15" customHeight="1">
      <c r="G31983"/>
      <c r="I31983"/>
      <c r="N31983"/>
      <c r="O31983" s="24"/>
      <c r="P31983"/>
      <c r="Q31983" s="24"/>
      <c r="R31983"/>
      <c r="S31983"/>
      <c r="T31983"/>
      <c r="U31983"/>
      <c r="X31983" s="60"/>
    </row>
    <row r="31984" spans="7:24" ht="15" customHeight="1">
      <c r="G31984"/>
      <c r="I31984"/>
      <c r="N31984"/>
      <c r="O31984" s="24"/>
      <c r="P31984"/>
      <c r="Q31984" s="24"/>
      <c r="R31984"/>
      <c r="S31984"/>
      <c r="T31984"/>
      <c r="U31984"/>
      <c r="X31984" s="60"/>
    </row>
    <row r="31985" spans="7:24" ht="15" customHeight="1">
      <c r="G31985"/>
      <c r="I31985"/>
      <c r="N31985"/>
      <c r="O31985" s="24"/>
      <c r="P31985"/>
      <c r="Q31985" s="24"/>
      <c r="R31985"/>
      <c r="S31985"/>
      <c r="T31985"/>
      <c r="U31985"/>
      <c r="X31985" s="60"/>
    </row>
    <row r="31986" spans="7:24" ht="15" customHeight="1">
      <c r="G31986"/>
      <c r="I31986"/>
      <c r="N31986"/>
      <c r="O31986" s="24"/>
      <c r="P31986"/>
      <c r="Q31986" s="24"/>
      <c r="R31986"/>
      <c r="S31986"/>
      <c r="T31986"/>
      <c r="U31986"/>
      <c r="X31986" s="60"/>
    </row>
    <row r="31987" spans="7:24" ht="15" customHeight="1">
      <c r="G31987"/>
      <c r="I31987"/>
      <c r="N31987"/>
      <c r="O31987" s="24"/>
      <c r="P31987"/>
      <c r="Q31987" s="24"/>
      <c r="R31987"/>
      <c r="S31987"/>
      <c r="T31987"/>
      <c r="U31987"/>
      <c r="X31987" s="60"/>
    </row>
    <row r="31988" spans="7:24" ht="15" customHeight="1">
      <c r="G31988"/>
      <c r="I31988"/>
      <c r="N31988"/>
      <c r="O31988" s="24"/>
      <c r="P31988"/>
      <c r="Q31988" s="24"/>
      <c r="R31988"/>
      <c r="S31988"/>
      <c r="T31988"/>
      <c r="U31988"/>
      <c r="X31988" s="60"/>
    </row>
    <row r="31989" spans="7:24" ht="15" customHeight="1">
      <c r="G31989"/>
      <c r="I31989"/>
      <c r="N31989"/>
      <c r="O31989" s="24"/>
      <c r="P31989"/>
      <c r="Q31989" s="24"/>
      <c r="R31989"/>
      <c r="S31989"/>
      <c r="T31989"/>
      <c r="U31989"/>
      <c r="X31989" s="60"/>
    </row>
    <row r="31990" spans="7:24" ht="15" customHeight="1">
      <c r="G31990"/>
      <c r="I31990"/>
      <c r="N31990"/>
      <c r="O31990" s="24"/>
      <c r="P31990"/>
      <c r="Q31990" s="24"/>
      <c r="R31990"/>
      <c r="S31990"/>
      <c r="T31990"/>
      <c r="U31990"/>
      <c r="X31990" s="60"/>
    </row>
    <row r="31991" spans="7:24" ht="15" customHeight="1">
      <c r="G31991"/>
      <c r="I31991"/>
      <c r="N31991"/>
      <c r="O31991" s="24"/>
      <c r="P31991"/>
      <c r="Q31991" s="24"/>
      <c r="R31991"/>
      <c r="S31991"/>
      <c r="T31991"/>
      <c r="U31991"/>
      <c r="X31991" s="60"/>
    </row>
    <row r="31992" spans="7:24" ht="15" customHeight="1">
      <c r="G31992"/>
      <c r="I31992"/>
      <c r="N31992"/>
      <c r="O31992" s="24"/>
      <c r="P31992"/>
      <c r="Q31992" s="24"/>
      <c r="R31992"/>
      <c r="S31992"/>
      <c r="T31992"/>
      <c r="U31992"/>
      <c r="X31992" s="60"/>
    </row>
    <row r="31993" spans="7:24" ht="15" customHeight="1">
      <c r="G31993"/>
      <c r="I31993"/>
      <c r="N31993"/>
      <c r="O31993" s="24"/>
      <c r="P31993"/>
      <c r="Q31993" s="24"/>
      <c r="R31993"/>
      <c r="S31993"/>
      <c r="T31993"/>
      <c r="U31993"/>
      <c r="X31993" s="60"/>
    </row>
    <row r="31994" spans="7:24" ht="15" customHeight="1">
      <c r="G31994"/>
      <c r="I31994"/>
      <c r="N31994"/>
      <c r="O31994" s="24"/>
      <c r="P31994"/>
      <c r="Q31994" s="24"/>
      <c r="R31994"/>
      <c r="S31994"/>
      <c r="T31994"/>
      <c r="U31994"/>
      <c r="X31994" s="60"/>
    </row>
    <row r="31995" spans="7:24" ht="15" customHeight="1">
      <c r="G31995"/>
      <c r="I31995"/>
      <c r="N31995"/>
      <c r="O31995" s="24"/>
      <c r="P31995"/>
      <c r="Q31995" s="24"/>
      <c r="R31995"/>
      <c r="S31995"/>
      <c r="T31995"/>
      <c r="U31995"/>
      <c r="X31995" s="60"/>
    </row>
    <row r="31996" spans="7:24" ht="15" customHeight="1">
      <c r="G31996"/>
      <c r="I31996"/>
      <c r="N31996"/>
      <c r="O31996" s="24"/>
      <c r="P31996"/>
      <c r="Q31996" s="24"/>
      <c r="R31996"/>
      <c r="S31996"/>
      <c r="T31996"/>
      <c r="U31996"/>
      <c r="X31996" s="60"/>
    </row>
    <row r="31997" spans="7:24" ht="15" customHeight="1">
      <c r="G31997"/>
      <c r="I31997"/>
      <c r="N31997"/>
      <c r="O31997" s="24"/>
      <c r="P31997"/>
      <c r="Q31997" s="24"/>
      <c r="R31997"/>
      <c r="S31997"/>
      <c r="T31997"/>
      <c r="U31997"/>
      <c r="X31997" s="60"/>
    </row>
    <row r="31998" spans="7:24" ht="15" customHeight="1">
      <c r="G31998"/>
      <c r="I31998"/>
      <c r="N31998"/>
      <c r="O31998" s="24"/>
      <c r="P31998"/>
      <c r="Q31998" s="24"/>
      <c r="R31998"/>
      <c r="S31998"/>
      <c r="T31998"/>
      <c r="U31998"/>
      <c r="X31998" s="60"/>
    </row>
    <row r="31999" spans="7:24" ht="15" customHeight="1">
      <c r="G31999"/>
      <c r="I31999"/>
      <c r="N31999"/>
      <c r="O31999" s="24"/>
      <c r="P31999"/>
      <c r="Q31999" s="24"/>
      <c r="R31999"/>
      <c r="S31999"/>
      <c r="T31999"/>
      <c r="U31999"/>
      <c r="X31999" s="60"/>
    </row>
    <row r="32000" spans="7:24" ht="15" customHeight="1">
      <c r="G32000"/>
      <c r="I32000"/>
      <c r="N32000"/>
      <c r="O32000" s="24"/>
      <c r="P32000"/>
      <c r="Q32000" s="24"/>
      <c r="R32000"/>
      <c r="S32000"/>
      <c r="T32000"/>
      <c r="U32000"/>
      <c r="X32000" s="60"/>
    </row>
    <row r="32001" spans="7:24" ht="15" customHeight="1">
      <c r="G32001"/>
      <c r="I32001"/>
      <c r="N32001"/>
      <c r="O32001" s="24"/>
      <c r="P32001"/>
      <c r="Q32001" s="24"/>
      <c r="R32001"/>
      <c r="S32001"/>
      <c r="T32001"/>
      <c r="U32001"/>
      <c r="X32001" s="60"/>
    </row>
    <row r="32002" spans="7:24" ht="15" customHeight="1">
      <c r="G32002"/>
      <c r="I32002"/>
      <c r="N32002"/>
      <c r="O32002" s="24"/>
      <c r="P32002"/>
      <c r="Q32002" s="24"/>
      <c r="R32002"/>
      <c r="S32002"/>
      <c r="T32002"/>
      <c r="U32002"/>
      <c r="X32002" s="60"/>
    </row>
    <row r="32003" spans="7:24" ht="15" customHeight="1">
      <c r="G32003"/>
      <c r="I32003"/>
      <c r="N32003"/>
      <c r="O32003" s="24"/>
      <c r="P32003"/>
      <c r="Q32003" s="24"/>
      <c r="R32003"/>
      <c r="S32003"/>
      <c r="T32003"/>
      <c r="U32003"/>
      <c r="X32003" s="60"/>
    </row>
    <row r="32004" spans="7:24" ht="15" customHeight="1">
      <c r="G32004"/>
      <c r="I32004"/>
      <c r="N32004"/>
      <c r="O32004" s="24"/>
      <c r="P32004"/>
      <c r="Q32004" s="24"/>
      <c r="R32004"/>
      <c r="S32004"/>
      <c r="T32004"/>
      <c r="U32004"/>
      <c r="X32004" s="60"/>
    </row>
    <row r="32005" spans="7:24" ht="15" customHeight="1">
      <c r="G32005"/>
      <c r="I32005"/>
      <c r="N32005"/>
      <c r="O32005" s="24"/>
      <c r="P32005"/>
      <c r="Q32005" s="24"/>
      <c r="R32005"/>
      <c r="S32005"/>
      <c r="T32005"/>
      <c r="U32005"/>
      <c r="X32005" s="60"/>
    </row>
    <row r="32006" spans="7:24" ht="15" customHeight="1">
      <c r="G32006"/>
      <c r="I32006"/>
      <c r="N32006"/>
      <c r="O32006" s="24"/>
      <c r="P32006"/>
      <c r="Q32006" s="24"/>
      <c r="R32006"/>
      <c r="S32006"/>
      <c r="T32006"/>
      <c r="U32006"/>
      <c r="X32006" s="60"/>
    </row>
    <row r="32007" spans="7:24" ht="15" customHeight="1">
      <c r="G32007"/>
      <c r="I32007"/>
      <c r="N32007"/>
      <c r="O32007" s="24"/>
      <c r="P32007"/>
      <c r="Q32007" s="24"/>
      <c r="R32007"/>
      <c r="S32007"/>
      <c r="T32007"/>
      <c r="U32007"/>
      <c r="X32007" s="60"/>
    </row>
    <row r="32008" spans="7:24" ht="15" customHeight="1">
      <c r="G32008"/>
      <c r="I32008"/>
      <c r="N32008"/>
      <c r="O32008" s="24"/>
      <c r="P32008"/>
      <c r="Q32008" s="24"/>
      <c r="R32008"/>
      <c r="S32008"/>
      <c r="T32008"/>
      <c r="U32008"/>
      <c r="X32008" s="60"/>
    </row>
    <row r="32009" spans="7:24" ht="15" customHeight="1">
      <c r="G32009"/>
      <c r="I32009"/>
      <c r="N32009"/>
      <c r="O32009" s="24"/>
      <c r="P32009"/>
      <c r="Q32009" s="24"/>
      <c r="R32009"/>
      <c r="S32009"/>
      <c r="T32009"/>
      <c r="U32009"/>
      <c r="X32009" s="60"/>
    </row>
    <row r="32010" spans="7:24" ht="15" customHeight="1">
      <c r="G32010"/>
      <c r="I32010"/>
      <c r="N32010"/>
      <c r="O32010" s="24"/>
      <c r="P32010"/>
      <c r="Q32010" s="24"/>
      <c r="R32010"/>
      <c r="S32010"/>
      <c r="T32010"/>
      <c r="U32010"/>
      <c r="X32010" s="60"/>
    </row>
    <row r="32011" spans="7:24" ht="15" customHeight="1">
      <c r="G32011"/>
      <c r="I32011"/>
      <c r="N32011"/>
      <c r="O32011" s="24"/>
      <c r="P32011"/>
      <c r="Q32011" s="24"/>
      <c r="R32011"/>
      <c r="S32011"/>
      <c r="T32011"/>
      <c r="U32011"/>
      <c r="X32011" s="60"/>
    </row>
    <row r="32012" spans="7:24" ht="15" customHeight="1">
      <c r="G32012"/>
      <c r="I32012"/>
      <c r="N32012"/>
      <c r="O32012" s="24"/>
      <c r="P32012"/>
      <c r="Q32012" s="24"/>
      <c r="R32012"/>
      <c r="S32012"/>
      <c r="T32012"/>
      <c r="U32012"/>
      <c r="X32012" s="60"/>
    </row>
    <row r="32013" spans="7:24" ht="15" customHeight="1">
      <c r="G32013"/>
      <c r="I32013"/>
      <c r="N32013"/>
      <c r="O32013" s="24"/>
      <c r="P32013"/>
      <c r="Q32013" s="24"/>
      <c r="R32013"/>
      <c r="S32013"/>
      <c r="T32013"/>
      <c r="U32013"/>
      <c r="X32013" s="60"/>
    </row>
    <row r="32014" spans="7:24" ht="15" customHeight="1">
      <c r="G32014"/>
      <c r="I32014"/>
      <c r="N32014"/>
      <c r="O32014" s="24"/>
      <c r="P32014"/>
      <c r="Q32014" s="24"/>
      <c r="R32014"/>
      <c r="S32014"/>
      <c r="T32014"/>
      <c r="U32014"/>
      <c r="X32014" s="60"/>
    </row>
    <row r="32015" spans="7:24" ht="15" customHeight="1">
      <c r="G32015"/>
      <c r="I32015"/>
      <c r="N32015"/>
      <c r="O32015" s="24"/>
      <c r="P32015"/>
      <c r="Q32015" s="24"/>
      <c r="R32015"/>
      <c r="S32015"/>
      <c r="T32015"/>
      <c r="U32015"/>
      <c r="X32015" s="60"/>
    </row>
    <row r="32016" spans="7:24" ht="15" customHeight="1">
      <c r="G32016"/>
      <c r="I32016"/>
      <c r="N32016"/>
      <c r="O32016" s="24"/>
      <c r="P32016"/>
      <c r="Q32016" s="24"/>
      <c r="R32016"/>
      <c r="S32016"/>
      <c r="T32016"/>
      <c r="U32016"/>
      <c r="X32016" s="60"/>
    </row>
    <row r="32017" spans="7:24" ht="15" customHeight="1">
      <c r="G32017"/>
      <c r="I32017"/>
      <c r="N32017"/>
      <c r="O32017" s="24"/>
      <c r="P32017"/>
      <c r="Q32017" s="24"/>
      <c r="R32017"/>
      <c r="S32017"/>
      <c r="T32017"/>
      <c r="U32017"/>
      <c r="X32017" s="60"/>
    </row>
    <row r="32018" spans="7:24" ht="15" customHeight="1">
      <c r="G32018"/>
      <c r="I32018"/>
      <c r="N32018"/>
      <c r="O32018" s="24"/>
      <c r="P32018"/>
      <c r="Q32018" s="24"/>
      <c r="R32018"/>
      <c r="S32018"/>
      <c r="T32018"/>
      <c r="U32018"/>
      <c r="X32018" s="60"/>
    </row>
    <row r="32019" spans="7:24" ht="15" customHeight="1">
      <c r="G32019"/>
      <c r="I32019"/>
      <c r="N32019"/>
      <c r="O32019" s="24"/>
      <c r="P32019"/>
      <c r="Q32019" s="24"/>
      <c r="R32019"/>
      <c r="S32019"/>
      <c r="T32019"/>
      <c r="U32019"/>
      <c r="X32019" s="60"/>
    </row>
    <row r="32020" spans="7:24" ht="15" customHeight="1">
      <c r="G32020"/>
      <c r="I32020"/>
      <c r="N32020"/>
      <c r="O32020" s="24"/>
      <c r="P32020"/>
      <c r="Q32020" s="24"/>
      <c r="R32020"/>
      <c r="S32020"/>
      <c r="T32020"/>
      <c r="U32020"/>
      <c r="X32020" s="60"/>
    </row>
    <row r="32021" spans="7:24" ht="15" customHeight="1">
      <c r="G32021"/>
      <c r="I32021"/>
      <c r="N32021"/>
      <c r="O32021" s="24"/>
      <c r="P32021"/>
      <c r="Q32021" s="24"/>
      <c r="R32021"/>
      <c r="S32021"/>
      <c r="T32021"/>
      <c r="U32021"/>
      <c r="X32021" s="60"/>
    </row>
    <row r="32022" spans="7:24" ht="15" customHeight="1">
      <c r="G32022"/>
      <c r="I32022"/>
      <c r="N32022"/>
      <c r="O32022" s="24"/>
      <c r="P32022"/>
      <c r="Q32022" s="24"/>
      <c r="R32022"/>
      <c r="S32022"/>
      <c r="T32022"/>
      <c r="U32022"/>
      <c r="X32022" s="60"/>
    </row>
    <row r="32023" spans="7:24" ht="15" customHeight="1">
      <c r="G32023"/>
      <c r="I32023"/>
      <c r="N32023"/>
      <c r="O32023" s="24"/>
      <c r="P32023"/>
      <c r="Q32023" s="24"/>
      <c r="R32023"/>
      <c r="S32023"/>
      <c r="T32023"/>
      <c r="U32023"/>
      <c r="X32023" s="60"/>
    </row>
    <row r="32024" spans="7:24" ht="15" customHeight="1">
      <c r="G32024"/>
      <c r="I32024"/>
      <c r="N32024"/>
      <c r="O32024" s="24"/>
      <c r="P32024"/>
      <c r="Q32024" s="24"/>
      <c r="R32024"/>
      <c r="S32024"/>
      <c r="T32024"/>
      <c r="U32024"/>
      <c r="X32024" s="60"/>
    </row>
    <row r="32025" spans="7:24" ht="15" customHeight="1">
      <c r="G32025"/>
      <c r="I32025"/>
      <c r="N32025"/>
      <c r="O32025" s="24"/>
      <c r="P32025"/>
      <c r="Q32025" s="24"/>
      <c r="R32025"/>
      <c r="S32025"/>
      <c r="T32025"/>
      <c r="U32025"/>
      <c r="X32025" s="60"/>
    </row>
    <row r="32026" spans="7:24" ht="15" customHeight="1">
      <c r="G32026"/>
      <c r="I32026"/>
      <c r="N32026"/>
      <c r="O32026" s="24"/>
      <c r="P32026"/>
      <c r="Q32026" s="24"/>
      <c r="R32026"/>
      <c r="S32026"/>
      <c r="T32026"/>
      <c r="U32026"/>
      <c r="X32026" s="60"/>
    </row>
    <row r="32027" spans="7:24" ht="15" customHeight="1">
      <c r="G32027"/>
      <c r="I32027"/>
      <c r="N32027"/>
      <c r="O32027" s="24"/>
      <c r="P32027"/>
      <c r="Q32027" s="24"/>
      <c r="R32027"/>
      <c r="S32027"/>
      <c r="T32027"/>
      <c r="U32027"/>
      <c r="X32027" s="60"/>
    </row>
    <row r="32028" spans="7:24" ht="15" customHeight="1">
      <c r="G32028"/>
      <c r="I32028"/>
      <c r="N32028"/>
      <c r="O32028" s="24"/>
      <c r="P32028"/>
      <c r="Q32028" s="24"/>
      <c r="R32028"/>
      <c r="S32028"/>
      <c r="T32028"/>
      <c r="U32028"/>
      <c r="X32028" s="60"/>
    </row>
    <row r="32029" spans="7:24" ht="15" customHeight="1">
      <c r="G32029"/>
      <c r="I32029"/>
      <c r="N32029"/>
      <c r="O32029" s="24"/>
      <c r="P32029"/>
      <c r="Q32029" s="24"/>
      <c r="R32029"/>
      <c r="S32029"/>
      <c r="T32029"/>
      <c r="U32029"/>
      <c r="X32029" s="60"/>
    </row>
    <row r="32030" spans="7:24" ht="15" customHeight="1">
      <c r="G32030"/>
      <c r="I32030"/>
      <c r="N32030"/>
      <c r="O32030" s="24"/>
      <c r="P32030"/>
      <c r="Q32030" s="24"/>
      <c r="R32030"/>
      <c r="S32030"/>
      <c r="T32030"/>
      <c r="U32030"/>
      <c r="X32030" s="60"/>
    </row>
    <row r="32031" spans="7:24" ht="15" customHeight="1">
      <c r="G32031"/>
      <c r="I32031"/>
      <c r="N32031"/>
      <c r="O32031" s="24"/>
      <c r="P32031"/>
      <c r="Q32031" s="24"/>
      <c r="R32031"/>
      <c r="S32031"/>
      <c r="T32031"/>
      <c r="U32031"/>
      <c r="X32031" s="60"/>
    </row>
    <row r="32032" spans="7:24" ht="15" customHeight="1">
      <c r="G32032"/>
      <c r="I32032"/>
      <c r="N32032"/>
      <c r="O32032" s="24"/>
      <c r="P32032"/>
      <c r="Q32032" s="24"/>
      <c r="R32032"/>
      <c r="S32032"/>
      <c r="T32032"/>
      <c r="U32032"/>
      <c r="X32032" s="60"/>
    </row>
    <row r="32033" spans="7:24" ht="15" customHeight="1">
      <c r="G32033"/>
      <c r="I32033"/>
      <c r="N32033"/>
      <c r="O32033" s="24"/>
      <c r="P32033"/>
      <c r="Q32033" s="24"/>
      <c r="R32033"/>
      <c r="S32033"/>
      <c r="T32033"/>
      <c r="U32033"/>
      <c r="X32033" s="60"/>
    </row>
    <row r="32034" spans="7:24" ht="15" customHeight="1">
      <c r="G32034"/>
      <c r="I32034"/>
      <c r="N32034"/>
      <c r="O32034" s="24"/>
      <c r="P32034"/>
      <c r="Q32034" s="24"/>
      <c r="R32034"/>
      <c r="S32034"/>
      <c r="T32034"/>
      <c r="U32034"/>
      <c r="X32034" s="60"/>
    </row>
    <row r="32035" spans="7:24" ht="15" customHeight="1">
      <c r="G32035"/>
      <c r="I32035"/>
      <c r="N32035"/>
      <c r="O32035" s="24"/>
      <c r="P32035"/>
      <c r="Q32035" s="24"/>
      <c r="R32035"/>
      <c r="S32035"/>
      <c r="T32035"/>
      <c r="U32035"/>
      <c r="X32035" s="60"/>
    </row>
    <row r="32036" spans="7:24" ht="15" customHeight="1">
      <c r="G32036"/>
      <c r="I32036"/>
      <c r="N32036"/>
      <c r="O32036" s="24"/>
      <c r="P32036"/>
      <c r="Q32036" s="24"/>
      <c r="R32036"/>
      <c r="S32036"/>
      <c r="T32036"/>
      <c r="U32036"/>
      <c r="X32036" s="60"/>
    </row>
    <row r="32037" spans="7:24" ht="15" customHeight="1">
      <c r="G32037"/>
      <c r="I32037"/>
      <c r="N32037"/>
      <c r="O32037" s="24"/>
      <c r="P32037"/>
      <c r="Q32037" s="24"/>
      <c r="R32037"/>
      <c r="S32037"/>
      <c r="T32037"/>
      <c r="U32037"/>
      <c r="X32037" s="60"/>
    </row>
    <row r="32038" spans="7:24" ht="15" customHeight="1">
      <c r="G32038"/>
      <c r="I32038"/>
      <c r="N32038"/>
      <c r="O32038" s="24"/>
      <c r="P32038"/>
      <c r="Q32038" s="24"/>
      <c r="R32038"/>
      <c r="S32038"/>
      <c r="T32038"/>
      <c r="U32038"/>
      <c r="X32038" s="60"/>
    </row>
    <row r="32039" spans="7:24" ht="15" customHeight="1">
      <c r="G32039"/>
      <c r="I32039"/>
      <c r="N32039"/>
      <c r="O32039" s="24"/>
      <c r="P32039"/>
      <c r="Q32039" s="24"/>
      <c r="R32039"/>
      <c r="S32039"/>
      <c r="T32039"/>
      <c r="U32039"/>
      <c r="X32039" s="60"/>
    </row>
    <row r="32040" spans="7:24" ht="15" customHeight="1">
      <c r="G32040"/>
      <c r="I32040"/>
      <c r="N32040"/>
      <c r="O32040" s="24"/>
      <c r="P32040"/>
      <c r="Q32040" s="24"/>
      <c r="R32040"/>
      <c r="S32040"/>
      <c r="T32040"/>
      <c r="U32040"/>
      <c r="X32040" s="60"/>
    </row>
    <row r="32041" spans="7:24" ht="15" customHeight="1">
      <c r="G32041"/>
      <c r="I32041"/>
      <c r="N32041"/>
      <c r="O32041" s="24"/>
      <c r="P32041"/>
      <c r="Q32041" s="24"/>
      <c r="R32041"/>
      <c r="S32041"/>
      <c r="T32041"/>
      <c r="U32041"/>
      <c r="X32041" s="60"/>
    </row>
    <row r="32042" spans="7:24" ht="15" customHeight="1">
      <c r="G32042"/>
      <c r="I32042"/>
      <c r="N32042"/>
      <c r="O32042" s="24"/>
      <c r="P32042"/>
      <c r="Q32042" s="24"/>
      <c r="R32042"/>
      <c r="S32042"/>
      <c r="T32042"/>
      <c r="U32042"/>
      <c r="X32042" s="60"/>
    </row>
    <row r="32043" spans="7:24" ht="15" customHeight="1">
      <c r="G32043"/>
      <c r="I32043"/>
      <c r="N32043"/>
      <c r="O32043" s="24"/>
      <c r="P32043"/>
      <c r="Q32043" s="24"/>
      <c r="R32043"/>
      <c r="S32043"/>
      <c r="T32043"/>
      <c r="U32043"/>
      <c r="X32043" s="60"/>
    </row>
    <row r="32044" spans="7:24" ht="15" customHeight="1">
      <c r="G32044"/>
      <c r="I32044"/>
      <c r="N32044"/>
      <c r="O32044" s="24"/>
      <c r="P32044"/>
      <c r="Q32044" s="24"/>
      <c r="R32044"/>
      <c r="S32044"/>
      <c r="T32044"/>
      <c r="U32044"/>
      <c r="X32044" s="60"/>
    </row>
    <row r="32045" spans="7:24" ht="15" customHeight="1">
      <c r="G32045"/>
      <c r="I32045"/>
      <c r="N32045"/>
      <c r="O32045" s="24"/>
      <c r="P32045"/>
      <c r="Q32045" s="24"/>
      <c r="R32045"/>
      <c r="S32045"/>
      <c r="T32045"/>
      <c r="U32045"/>
      <c r="X32045" s="60"/>
    </row>
    <row r="32046" spans="7:24" ht="15" customHeight="1">
      <c r="G32046"/>
      <c r="I32046"/>
      <c r="N32046"/>
      <c r="O32046" s="24"/>
      <c r="P32046"/>
      <c r="Q32046" s="24"/>
      <c r="R32046"/>
      <c r="S32046"/>
      <c r="T32046"/>
      <c r="U32046"/>
      <c r="X32046" s="60"/>
    </row>
    <row r="32047" spans="7:24" ht="15" customHeight="1">
      <c r="G32047"/>
      <c r="I32047"/>
      <c r="N32047"/>
      <c r="O32047" s="24"/>
      <c r="P32047"/>
      <c r="Q32047" s="24"/>
      <c r="R32047"/>
      <c r="S32047"/>
      <c r="T32047"/>
      <c r="U32047"/>
      <c r="X32047" s="60"/>
    </row>
    <row r="32048" spans="7:24" ht="15" customHeight="1">
      <c r="G32048"/>
      <c r="I32048"/>
      <c r="N32048"/>
      <c r="O32048" s="24"/>
      <c r="P32048"/>
      <c r="Q32048" s="24"/>
      <c r="R32048"/>
      <c r="S32048"/>
      <c r="T32048"/>
      <c r="U32048"/>
      <c r="X32048" s="60"/>
    </row>
    <row r="32049" spans="7:24" ht="15" customHeight="1">
      <c r="G32049"/>
      <c r="I32049"/>
      <c r="N32049"/>
      <c r="O32049" s="24"/>
      <c r="P32049"/>
      <c r="Q32049" s="24"/>
      <c r="R32049"/>
      <c r="S32049"/>
      <c r="T32049"/>
      <c r="U32049"/>
      <c r="X32049" s="60"/>
    </row>
    <row r="32050" spans="7:24" ht="15" customHeight="1">
      <c r="G32050"/>
      <c r="I32050"/>
      <c r="N32050"/>
      <c r="O32050" s="24"/>
      <c r="P32050"/>
      <c r="Q32050" s="24"/>
      <c r="R32050"/>
      <c r="S32050"/>
      <c r="T32050"/>
      <c r="U32050"/>
      <c r="X32050" s="60"/>
    </row>
    <row r="32051" spans="7:24" ht="15" customHeight="1">
      <c r="G32051"/>
      <c r="I32051"/>
      <c r="N32051"/>
      <c r="O32051" s="24"/>
      <c r="P32051"/>
      <c r="Q32051" s="24"/>
      <c r="R32051"/>
      <c r="S32051"/>
      <c r="T32051"/>
      <c r="U32051"/>
      <c r="X32051" s="60"/>
    </row>
    <row r="32052" spans="7:24" ht="15" customHeight="1">
      <c r="G32052"/>
      <c r="I32052"/>
      <c r="N32052"/>
      <c r="O32052" s="24"/>
      <c r="P32052"/>
      <c r="Q32052" s="24"/>
      <c r="R32052"/>
      <c r="S32052"/>
      <c r="T32052"/>
      <c r="U32052"/>
      <c r="X32052" s="60"/>
    </row>
    <row r="32053" spans="7:24" ht="15" customHeight="1">
      <c r="G32053"/>
      <c r="I32053"/>
      <c r="N32053"/>
      <c r="O32053" s="24"/>
      <c r="P32053"/>
      <c r="Q32053" s="24"/>
      <c r="R32053"/>
      <c r="S32053"/>
      <c r="T32053"/>
      <c r="U32053"/>
      <c r="X32053" s="60"/>
    </row>
    <row r="32054" spans="7:24" ht="15" customHeight="1">
      <c r="G32054"/>
      <c r="I32054"/>
      <c r="N32054"/>
      <c r="O32054" s="24"/>
      <c r="P32054"/>
      <c r="Q32054" s="24"/>
      <c r="R32054"/>
      <c r="S32054"/>
      <c r="T32054"/>
      <c r="U32054"/>
      <c r="X32054" s="60"/>
    </row>
    <row r="32055" spans="7:24" ht="15" customHeight="1">
      <c r="G32055"/>
      <c r="I32055"/>
      <c r="N32055"/>
      <c r="O32055" s="24"/>
      <c r="P32055"/>
      <c r="Q32055" s="24"/>
      <c r="R32055"/>
      <c r="S32055"/>
      <c r="T32055"/>
      <c r="U32055"/>
      <c r="X32055" s="60"/>
    </row>
    <row r="32056" spans="7:24" ht="15" customHeight="1">
      <c r="G32056"/>
      <c r="I32056"/>
      <c r="N32056"/>
      <c r="O32056" s="24"/>
      <c r="P32056"/>
      <c r="Q32056" s="24"/>
      <c r="R32056"/>
      <c r="S32056"/>
      <c r="T32056"/>
      <c r="U32056"/>
      <c r="X32056" s="60"/>
    </row>
    <row r="32057" spans="7:24" ht="15" customHeight="1">
      <c r="G32057"/>
      <c r="I32057"/>
      <c r="N32057"/>
      <c r="O32057" s="24"/>
      <c r="P32057"/>
      <c r="Q32057" s="24"/>
      <c r="R32057"/>
      <c r="S32057"/>
      <c r="T32057"/>
      <c r="U32057"/>
      <c r="X32057" s="60"/>
    </row>
    <row r="32058" spans="7:24" ht="15" customHeight="1">
      <c r="G32058"/>
      <c r="I32058"/>
      <c r="N32058"/>
      <c r="O32058" s="24"/>
      <c r="P32058"/>
      <c r="Q32058" s="24"/>
      <c r="R32058"/>
      <c r="S32058"/>
      <c r="T32058"/>
      <c r="U32058"/>
      <c r="X32058" s="60"/>
    </row>
    <row r="32059" spans="7:24" ht="15" customHeight="1">
      <c r="G32059"/>
      <c r="I32059"/>
      <c r="N32059"/>
      <c r="O32059" s="24"/>
      <c r="P32059"/>
      <c r="Q32059" s="24"/>
      <c r="R32059"/>
      <c r="S32059"/>
      <c r="T32059"/>
      <c r="U32059"/>
      <c r="X32059" s="60"/>
    </row>
    <row r="32060" spans="7:24" ht="15" customHeight="1">
      <c r="G32060"/>
      <c r="I32060"/>
      <c r="N32060"/>
      <c r="O32060" s="24"/>
      <c r="P32060"/>
      <c r="Q32060" s="24"/>
      <c r="R32060"/>
      <c r="S32060"/>
      <c r="T32060"/>
      <c r="U32060"/>
      <c r="X32060" s="60"/>
    </row>
    <row r="32061" spans="7:24" ht="15" customHeight="1">
      <c r="G32061"/>
      <c r="I32061"/>
      <c r="N32061"/>
      <c r="O32061" s="24"/>
      <c r="P32061"/>
      <c r="Q32061" s="24"/>
      <c r="R32061"/>
      <c r="S32061"/>
      <c r="T32061"/>
      <c r="U32061"/>
      <c r="X32061" s="60"/>
    </row>
    <row r="32062" spans="7:24" ht="15" customHeight="1">
      <c r="G32062"/>
      <c r="I32062"/>
      <c r="N32062"/>
      <c r="O32062" s="24"/>
      <c r="P32062"/>
      <c r="Q32062" s="24"/>
      <c r="R32062"/>
      <c r="S32062"/>
      <c r="T32062"/>
      <c r="U32062"/>
      <c r="X32062" s="60"/>
    </row>
    <row r="32063" spans="7:24" ht="15" customHeight="1">
      <c r="G32063"/>
      <c r="I32063"/>
      <c r="N32063"/>
      <c r="O32063" s="24"/>
      <c r="P32063"/>
      <c r="Q32063" s="24"/>
      <c r="R32063"/>
      <c r="S32063"/>
      <c r="T32063"/>
      <c r="U32063"/>
      <c r="X32063" s="60"/>
    </row>
    <row r="32064" spans="7:24" ht="15" customHeight="1">
      <c r="G32064"/>
      <c r="I32064"/>
      <c r="N32064"/>
      <c r="O32064" s="24"/>
      <c r="P32064"/>
      <c r="Q32064" s="24"/>
      <c r="R32064"/>
      <c r="S32064"/>
      <c r="T32064"/>
      <c r="U32064"/>
      <c r="X32064" s="60"/>
    </row>
    <row r="32065" spans="7:24" ht="15" customHeight="1">
      <c r="G32065"/>
      <c r="I32065"/>
      <c r="N32065"/>
      <c r="O32065" s="24"/>
      <c r="P32065"/>
      <c r="Q32065" s="24"/>
      <c r="R32065"/>
      <c r="S32065"/>
      <c r="T32065"/>
      <c r="U32065"/>
      <c r="X32065" s="60"/>
    </row>
    <row r="32066" spans="7:24" ht="15" customHeight="1">
      <c r="G32066"/>
      <c r="I32066"/>
      <c r="N32066"/>
      <c r="O32066" s="24"/>
      <c r="P32066"/>
      <c r="Q32066" s="24"/>
      <c r="R32066"/>
      <c r="S32066"/>
      <c r="T32066"/>
      <c r="U32066"/>
      <c r="X32066" s="60"/>
    </row>
    <row r="32067" spans="7:24" ht="15" customHeight="1">
      <c r="G32067"/>
      <c r="I32067"/>
      <c r="N32067"/>
      <c r="O32067" s="24"/>
      <c r="P32067"/>
      <c r="Q32067" s="24"/>
      <c r="R32067"/>
      <c r="S32067"/>
      <c r="T32067"/>
      <c r="U32067"/>
      <c r="X32067" s="60"/>
    </row>
    <row r="32068" spans="7:24" ht="15" customHeight="1">
      <c r="G32068"/>
      <c r="I32068"/>
      <c r="N32068"/>
      <c r="O32068" s="24"/>
      <c r="P32068"/>
      <c r="Q32068" s="24"/>
      <c r="R32068"/>
      <c r="S32068"/>
      <c r="T32068"/>
      <c r="U32068"/>
      <c r="X32068" s="60"/>
    </row>
    <row r="32069" spans="7:24" ht="15" customHeight="1">
      <c r="G32069"/>
      <c r="I32069"/>
      <c r="N32069"/>
      <c r="O32069" s="24"/>
      <c r="P32069"/>
      <c r="Q32069" s="24"/>
      <c r="R32069"/>
      <c r="S32069"/>
      <c r="T32069"/>
      <c r="U32069"/>
      <c r="X32069" s="60"/>
    </row>
    <row r="32070" spans="7:24" ht="15" customHeight="1">
      <c r="G32070"/>
      <c r="I32070"/>
      <c r="N32070"/>
      <c r="O32070" s="24"/>
      <c r="P32070"/>
      <c r="Q32070" s="24"/>
      <c r="R32070"/>
      <c r="S32070"/>
      <c r="T32070"/>
      <c r="U32070"/>
      <c r="X32070" s="60"/>
    </row>
    <row r="32071" spans="7:24" ht="15" customHeight="1">
      <c r="G32071"/>
      <c r="I32071"/>
      <c r="N32071"/>
      <c r="O32071" s="24"/>
      <c r="P32071"/>
      <c r="Q32071" s="24"/>
      <c r="R32071"/>
      <c r="S32071"/>
      <c r="T32071"/>
      <c r="U32071"/>
      <c r="X32071" s="60"/>
    </row>
    <row r="32072" spans="7:24" ht="15" customHeight="1">
      <c r="G32072"/>
      <c r="I32072"/>
      <c r="N32072"/>
      <c r="O32072" s="24"/>
      <c r="P32072"/>
      <c r="Q32072" s="24"/>
      <c r="R32072"/>
      <c r="S32072"/>
      <c r="T32072"/>
      <c r="U32072"/>
      <c r="X32072" s="60"/>
    </row>
    <row r="32073" spans="7:24" ht="15" customHeight="1">
      <c r="G32073"/>
      <c r="I32073"/>
      <c r="N32073"/>
      <c r="O32073" s="24"/>
      <c r="P32073"/>
      <c r="Q32073" s="24"/>
      <c r="R32073"/>
      <c r="S32073"/>
      <c r="T32073"/>
      <c r="U32073"/>
      <c r="X32073" s="60"/>
    </row>
    <row r="32074" spans="7:24" ht="15" customHeight="1">
      <c r="G32074"/>
      <c r="I32074"/>
      <c r="N32074"/>
      <c r="O32074" s="24"/>
      <c r="P32074"/>
      <c r="Q32074" s="24"/>
      <c r="R32074"/>
      <c r="S32074"/>
      <c r="T32074"/>
      <c r="U32074"/>
      <c r="X32074" s="60"/>
    </row>
    <row r="32075" spans="7:24" ht="15" customHeight="1">
      <c r="G32075"/>
      <c r="I32075"/>
      <c r="N32075"/>
      <c r="O32075" s="24"/>
      <c r="P32075"/>
      <c r="Q32075" s="24"/>
      <c r="R32075"/>
      <c r="S32075"/>
      <c r="T32075"/>
      <c r="U32075"/>
      <c r="X32075" s="60"/>
    </row>
    <row r="32076" spans="7:24" ht="15" customHeight="1">
      <c r="G32076"/>
      <c r="I32076"/>
      <c r="N32076"/>
      <c r="O32076" s="24"/>
      <c r="P32076"/>
      <c r="Q32076" s="24"/>
      <c r="R32076"/>
      <c r="S32076"/>
      <c r="T32076"/>
      <c r="U32076"/>
      <c r="X32076" s="60"/>
    </row>
    <row r="32077" spans="7:24" ht="15" customHeight="1">
      <c r="G32077"/>
      <c r="I32077"/>
      <c r="N32077"/>
      <c r="O32077" s="24"/>
      <c r="P32077"/>
      <c r="Q32077" s="24"/>
      <c r="R32077"/>
      <c r="S32077"/>
      <c r="T32077"/>
      <c r="U32077"/>
      <c r="X32077" s="60"/>
    </row>
    <row r="32078" spans="7:24" ht="15" customHeight="1">
      <c r="G32078"/>
      <c r="I32078"/>
      <c r="N32078"/>
      <c r="O32078" s="24"/>
      <c r="P32078"/>
      <c r="Q32078" s="24"/>
      <c r="R32078"/>
      <c r="S32078"/>
      <c r="T32078"/>
      <c r="U32078"/>
      <c r="X32078" s="60"/>
    </row>
    <row r="32079" spans="7:24" ht="15" customHeight="1">
      <c r="G32079"/>
      <c r="I32079"/>
      <c r="N32079"/>
      <c r="O32079" s="24"/>
      <c r="P32079"/>
      <c r="Q32079" s="24"/>
      <c r="R32079"/>
      <c r="S32079"/>
      <c r="T32079"/>
      <c r="U32079"/>
      <c r="X32079" s="60"/>
    </row>
    <row r="32080" spans="7:24" ht="15" customHeight="1">
      <c r="G32080"/>
      <c r="I32080"/>
      <c r="N32080"/>
      <c r="O32080" s="24"/>
      <c r="P32080"/>
      <c r="Q32080" s="24"/>
      <c r="R32080"/>
      <c r="S32080"/>
      <c r="T32080"/>
      <c r="U32080"/>
      <c r="X32080" s="60"/>
    </row>
    <row r="32081" spans="7:24" ht="15" customHeight="1">
      <c r="G32081"/>
      <c r="I32081"/>
      <c r="N32081"/>
      <c r="O32081" s="24"/>
      <c r="P32081"/>
      <c r="Q32081" s="24"/>
      <c r="R32081"/>
      <c r="S32081"/>
      <c r="T32081"/>
      <c r="U32081"/>
      <c r="X32081" s="60"/>
    </row>
    <row r="32082" spans="7:24" ht="15" customHeight="1">
      <c r="G32082"/>
      <c r="I32082"/>
      <c r="N32082"/>
      <c r="O32082" s="24"/>
      <c r="P32082"/>
      <c r="Q32082" s="24"/>
      <c r="R32082"/>
      <c r="S32082"/>
      <c r="T32082"/>
      <c r="U32082"/>
      <c r="X32082" s="60"/>
    </row>
    <row r="32083" spans="7:24" ht="15" customHeight="1">
      <c r="G32083"/>
      <c r="I32083"/>
      <c r="N32083"/>
      <c r="O32083" s="24"/>
      <c r="P32083"/>
      <c r="Q32083" s="24"/>
      <c r="R32083"/>
      <c r="S32083"/>
      <c r="T32083"/>
      <c r="U32083"/>
      <c r="X32083" s="60"/>
    </row>
    <row r="32084" spans="7:24" ht="15" customHeight="1">
      <c r="G32084"/>
      <c r="I32084"/>
      <c r="N32084"/>
      <c r="O32084" s="24"/>
      <c r="P32084"/>
      <c r="Q32084" s="24"/>
      <c r="R32084"/>
      <c r="S32084"/>
      <c r="T32084"/>
      <c r="U32084"/>
      <c r="X32084" s="60"/>
    </row>
    <row r="32085" spans="7:24" ht="15" customHeight="1">
      <c r="G32085"/>
      <c r="I32085"/>
      <c r="N32085"/>
      <c r="O32085" s="24"/>
      <c r="P32085"/>
      <c r="Q32085" s="24"/>
      <c r="R32085"/>
      <c r="S32085"/>
      <c r="T32085"/>
      <c r="U32085"/>
      <c r="X32085" s="60"/>
    </row>
    <row r="32086" spans="7:24" ht="15" customHeight="1">
      <c r="G32086"/>
      <c r="I32086"/>
      <c r="N32086"/>
      <c r="O32086" s="24"/>
      <c r="P32086"/>
      <c r="Q32086" s="24"/>
      <c r="R32086"/>
      <c r="S32086"/>
      <c r="T32086"/>
      <c r="U32086"/>
      <c r="X32086" s="60"/>
    </row>
    <row r="32087" spans="7:24" ht="15" customHeight="1">
      <c r="G32087"/>
      <c r="I32087"/>
      <c r="N32087"/>
      <c r="O32087" s="24"/>
      <c r="P32087"/>
      <c r="Q32087" s="24"/>
      <c r="R32087"/>
      <c r="S32087"/>
      <c r="T32087"/>
      <c r="U32087"/>
      <c r="X32087" s="60"/>
    </row>
    <row r="32088" spans="7:24" ht="15" customHeight="1">
      <c r="G32088"/>
      <c r="I32088"/>
      <c r="N32088"/>
      <c r="O32088" s="24"/>
      <c r="P32088"/>
      <c r="Q32088" s="24"/>
      <c r="R32088"/>
      <c r="S32088"/>
      <c r="T32088"/>
      <c r="U32088"/>
      <c r="X32088" s="60"/>
    </row>
    <row r="32089" spans="7:24" ht="15" customHeight="1">
      <c r="G32089"/>
      <c r="I32089"/>
      <c r="N32089"/>
      <c r="O32089" s="24"/>
      <c r="P32089"/>
      <c r="Q32089" s="24"/>
      <c r="R32089"/>
      <c r="S32089"/>
      <c r="T32089"/>
      <c r="U32089"/>
      <c r="X32089" s="60"/>
    </row>
    <row r="32090" spans="7:24" ht="15" customHeight="1">
      <c r="G32090"/>
      <c r="I32090"/>
      <c r="N32090"/>
      <c r="O32090" s="24"/>
      <c r="P32090"/>
      <c r="Q32090" s="24"/>
      <c r="R32090"/>
      <c r="S32090"/>
      <c r="T32090"/>
      <c r="U32090"/>
      <c r="X32090" s="60"/>
    </row>
    <row r="32091" spans="7:24" ht="15" customHeight="1">
      <c r="G32091"/>
      <c r="I32091"/>
      <c r="N32091"/>
      <c r="O32091" s="24"/>
      <c r="P32091"/>
      <c r="Q32091" s="24"/>
      <c r="R32091"/>
      <c r="S32091"/>
      <c r="T32091"/>
      <c r="U32091"/>
      <c r="X32091" s="60"/>
    </row>
    <row r="32092" spans="7:24" ht="15" customHeight="1">
      <c r="G32092"/>
      <c r="I32092"/>
      <c r="N32092"/>
      <c r="O32092" s="24"/>
      <c r="P32092"/>
      <c r="Q32092" s="24"/>
      <c r="R32092"/>
      <c r="S32092"/>
      <c r="T32092"/>
      <c r="U32092"/>
      <c r="X32092" s="60"/>
    </row>
    <row r="32093" spans="7:24" ht="15" customHeight="1">
      <c r="G32093"/>
      <c r="I32093"/>
      <c r="N32093"/>
      <c r="O32093" s="24"/>
      <c r="P32093"/>
      <c r="Q32093" s="24"/>
      <c r="R32093"/>
      <c r="S32093"/>
      <c r="T32093"/>
      <c r="U32093"/>
      <c r="X32093" s="60"/>
    </row>
    <row r="32094" spans="7:24" ht="15" customHeight="1">
      <c r="G32094"/>
      <c r="I32094"/>
      <c r="N32094"/>
      <c r="O32094" s="24"/>
      <c r="P32094"/>
      <c r="Q32094" s="24"/>
      <c r="R32094"/>
      <c r="S32094"/>
      <c r="T32094"/>
      <c r="U32094"/>
      <c r="X32094" s="60"/>
    </row>
    <row r="32095" spans="7:24" ht="15" customHeight="1">
      <c r="G32095"/>
      <c r="I32095"/>
      <c r="N32095"/>
      <c r="O32095" s="24"/>
      <c r="P32095"/>
      <c r="Q32095" s="24"/>
      <c r="R32095"/>
      <c r="S32095"/>
      <c r="T32095"/>
      <c r="U32095"/>
      <c r="X32095" s="60"/>
    </row>
    <row r="32096" spans="7:24" ht="15" customHeight="1">
      <c r="G32096"/>
      <c r="I32096"/>
      <c r="N32096"/>
      <c r="O32096" s="24"/>
      <c r="P32096"/>
      <c r="Q32096" s="24"/>
      <c r="R32096"/>
      <c r="S32096"/>
      <c r="T32096"/>
      <c r="U32096"/>
      <c r="X32096" s="60"/>
    </row>
    <row r="32097" spans="7:24" ht="15" customHeight="1">
      <c r="G32097"/>
      <c r="I32097"/>
      <c r="N32097"/>
      <c r="O32097" s="24"/>
      <c r="P32097"/>
      <c r="Q32097" s="24"/>
      <c r="R32097"/>
      <c r="S32097"/>
      <c r="T32097"/>
      <c r="U32097"/>
      <c r="X32097" s="60"/>
    </row>
    <row r="32098" spans="7:24" ht="15" customHeight="1">
      <c r="G32098"/>
      <c r="I32098"/>
      <c r="N32098"/>
      <c r="O32098" s="24"/>
      <c r="P32098"/>
      <c r="Q32098" s="24"/>
      <c r="R32098"/>
      <c r="S32098"/>
      <c r="T32098"/>
      <c r="U32098"/>
      <c r="X32098" s="60"/>
    </row>
    <row r="32099" spans="7:24" ht="15" customHeight="1">
      <c r="G32099"/>
      <c r="I32099"/>
      <c r="N32099"/>
      <c r="O32099" s="24"/>
      <c r="P32099"/>
      <c r="Q32099" s="24"/>
      <c r="R32099"/>
      <c r="S32099"/>
      <c r="T32099"/>
      <c r="U32099"/>
      <c r="X32099" s="60"/>
    </row>
    <row r="32100" spans="7:24" ht="15" customHeight="1">
      <c r="G32100"/>
      <c r="I32100"/>
      <c r="N32100"/>
      <c r="O32100" s="24"/>
      <c r="P32100"/>
      <c r="Q32100" s="24"/>
      <c r="R32100"/>
      <c r="S32100"/>
      <c r="T32100"/>
      <c r="U32100"/>
      <c r="X32100" s="60"/>
    </row>
    <row r="32101" spans="7:24" ht="15" customHeight="1">
      <c r="G32101"/>
      <c r="I32101"/>
      <c r="N32101"/>
      <c r="O32101" s="24"/>
      <c r="P32101"/>
      <c r="Q32101" s="24"/>
      <c r="R32101"/>
      <c r="S32101"/>
      <c r="T32101"/>
      <c r="U32101"/>
      <c r="X32101" s="60"/>
    </row>
    <row r="32102" spans="7:24" ht="15" customHeight="1">
      <c r="G32102"/>
      <c r="I32102"/>
      <c r="N32102"/>
      <c r="O32102" s="24"/>
      <c r="P32102"/>
      <c r="Q32102" s="24"/>
      <c r="R32102"/>
      <c r="S32102"/>
      <c r="T32102"/>
      <c r="U32102"/>
      <c r="X32102" s="60"/>
    </row>
    <row r="32103" spans="7:24" ht="15" customHeight="1">
      <c r="G32103"/>
      <c r="I32103"/>
      <c r="N32103"/>
      <c r="O32103" s="24"/>
      <c r="P32103"/>
      <c r="Q32103" s="24"/>
      <c r="R32103"/>
      <c r="S32103"/>
      <c r="T32103"/>
      <c r="U32103"/>
      <c r="X32103" s="60"/>
    </row>
    <row r="32104" spans="7:24" ht="15" customHeight="1">
      <c r="G32104"/>
      <c r="I32104"/>
      <c r="N32104"/>
      <c r="O32104" s="24"/>
      <c r="P32104"/>
      <c r="Q32104" s="24"/>
      <c r="R32104"/>
      <c r="S32104"/>
      <c r="T32104"/>
      <c r="U32104"/>
      <c r="X32104" s="60"/>
    </row>
    <row r="32105" spans="7:24" ht="15" customHeight="1">
      <c r="G32105"/>
      <c r="I32105"/>
      <c r="N32105"/>
      <c r="O32105" s="24"/>
      <c r="P32105"/>
      <c r="Q32105" s="24"/>
      <c r="R32105"/>
      <c r="S32105"/>
      <c r="T32105"/>
      <c r="U32105"/>
      <c r="X32105" s="60"/>
    </row>
    <row r="32106" spans="7:24" ht="15" customHeight="1">
      <c r="G32106"/>
      <c r="I32106"/>
      <c r="N32106"/>
      <c r="O32106" s="24"/>
      <c r="P32106"/>
      <c r="Q32106" s="24"/>
      <c r="R32106"/>
      <c r="S32106"/>
      <c r="T32106"/>
      <c r="U32106"/>
      <c r="X32106" s="60"/>
    </row>
    <row r="32107" spans="7:24" ht="15" customHeight="1">
      <c r="G32107"/>
      <c r="I32107"/>
      <c r="N32107"/>
      <c r="O32107" s="24"/>
      <c r="P32107"/>
      <c r="Q32107" s="24"/>
      <c r="R32107"/>
      <c r="S32107"/>
      <c r="T32107"/>
      <c r="U32107"/>
      <c r="X32107" s="60"/>
    </row>
    <row r="32108" spans="7:24" ht="15" customHeight="1">
      <c r="G32108"/>
      <c r="I32108"/>
      <c r="N32108"/>
      <c r="O32108" s="24"/>
      <c r="P32108"/>
      <c r="Q32108" s="24"/>
      <c r="R32108"/>
      <c r="S32108"/>
      <c r="T32108"/>
      <c r="U32108"/>
      <c r="X32108" s="60"/>
    </row>
    <row r="32109" spans="7:24" ht="15" customHeight="1">
      <c r="G32109"/>
      <c r="I32109"/>
      <c r="N32109"/>
      <c r="O32109" s="24"/>
      <c r="P32109"/>
      <c r="Q32109" s="24"/>
      <c r="R32109"/>
      <c r="S32109"/>
      <c r="T32109"/>
      <c r="U32109"/>
      <c r="X32109" s="60"/>
    </row>
    <row r="32110" spans="7:24" ht="15" customHeight="1">
      <c r="G32110"/>
      <c r="I32110"/>
      <c r="N32110"/>
      <c r="O32110" s="24"/>
      <c r="P32110"/>
      <c r="Q32110" s="24"/>
      <c r="R32110"/>
      <c r="S32110"/>
      <c r="T32110"/>
      <c r="U32110"/>
      <c r="X32110" s="60"/>
    </row>
    <row r="32111" spans="7:24" ht="15" customHeight="1">
      <c r="G32111"/>
      <c r="I32111"/>
      <c r="N32111"/>
      <c r="O32111" s="24"/>
      <c r="P32111"/>
      <c r="Q32111" s="24"/>
      <c r="R32111"/>
      <c r="S32111"/>
      <c r="T32111"/>
      <c r="U32111"/>
      <c r="X32111" s="60"/>
    </row>
    <row r="32112" spans="7:24" ht="15" customHeight="1">
      <c r="G32112"/>
      <c r="I32112"/>
      <c r="N32112"/>
      <c r="O32112" s="24"/>
      <c r="P32112"/>
      <c r="Q32112" s="24"/>
      <c r="R32112"/>
      <c r="S32112"/>
      <c r="T32112"/>
      <c r="U32112"/>
      <c r="X32112" s="60"/>
    </row>
    <row r="32113" spans="7:24" ht="15" customHeight="1">
      <c r="G32113"/>
      <c r="I32113"/>
      <c r="N32113"/>
      <c r="O32113" s="24"/>
      <c r="P32113"/>
      <c r="Q32113" s="24"/>
      <c r="R32113"/>
      <c r="S32113"/>
      <c r="T32113"/>
      <c r="U32113"/>
      <c r="X32113" s="60"/>
    </row>
    <row r="32114" spans="7:24" ht="15" customHeight="1">
      <c r="G32114"/>
      <c r="I32114"/>
      <c r="N32114"/>
      <c r="O32114" s="24"/>
      <c r="P32114"/>
      <c r="Q32114" s="24"/>
      <c r="R32114"/>
      <c r="S32114"/>
      <c r="T32114"/>
      <c r="U32114"/>
      <c r="X32114" s="60"/>
    </row>
    <row r="32115" spans="7:24" ht="15" customHeight="1">
      <c r="G32115"/>
      <c r="I32115"/>
      <c r="N32115"/>
      <c r="O32115" s="24"/>
      <c r="P32115"/>
      <c r="Q32115" s="24"/>
      <c r="R32115"/>
      <c r="S32115"/>
      <c r="T32115"/>
      <c r="U32115"/>
      <c r="X32115" s="60"/>
    </row>
    <row r="32116" spans="7:24" ht="15" customHeight="1">
      <c r="G32116"/>
      <c r="I32116"/>
      <c r="N32116"/>
      <c r="O32116" s="24"/>
      <c r="P32116"/>
      <c r="Q32116" s="24"/>
      <c r="R32116"/>
      <c r="S32116"/>
      <c r="T32116"/>
      <c r="U32116"/>
      <c r="X32116" s="60"/>
    </row>
    <row r="32117" spans="7:24" ht="15" customHeight="1">
      <c r="G32117"/>
      <c r="I32117"/>
      <c r="N32117"/>
      <c r="O32117" s="24"/>
      <c r="P32117"/>
      <c r="Q32117" s="24"/>
      <c r="R32117"/>
      <c r="S32117"/>
      <c r="T32117"/>
      <c r="U32117"/>
      <c r="X32117" s="60"/>
    </row>
    <row r="32118" spans="7:24" ht="15" customHeight="1">
      <c r="G32118"/>
      <c r="I32118"/>
      <c r="N32118"/>
      <c r="O32118" s="24"/>
      <c r="P32118"/>
      <c r="Q32118" s="24"/>
      <c r="R32118"/>
      <c r="S32118"/>
      <c r="T32118"/>
      <c r="U32118"/>
      <c r="X32118" s="60"/>
    </row>
    <row r="32119" spans="7:24" ht="15" customHeight="1">
      <c r="G32119"/>
      <c r="I32119"/>
      <c r="N32119"/>
      <c r="O32119" s="24"/>
      <c r="P32119"/>
      <c r="Q32119" s="24"/>
      <c r="R32119"/>
      <c r="S32119"/>
      <c r="T32119"/>
      <c r="U32119"/>
      <c r="X32119" s="60"/>
    </row>
    <row r="32120" spans="7:24" ht="15" customHeight="1">
      <c r="G32120"/>
      <c r="I32120"/>
      <c r="N32120"/>
      <c r="O32120" s="24"/>
      <c r="P32120"/>
      <c r="Q32120" s="24"/>
      <c r="R32120"/>
      <c r="S32120"/>
      <c r="T32120"/>
      <c r="U32120"/>
      <c r="X32120" s="60"/>
    </row>
    <row r="32121" spans="7:24" ht="15" customHeight="1">
      <c r="G32121"/>
      <c r="I32121"/>
      <c r="N32121"/>
      <c r="O32121" s="24"/>
      <c r="P32121"/>
      <c r="Q32121" s="24"/>
      <c r="R32121"/>
      <c r="S32121"/>
      <c r="T32121"/>
      <c r="U32121"/>
      <c r="X32121" s="60"/>
    </row>
    <row r="32122" spans="7:24" ht="15" customHeight="1">
      <c r="G32122"/>
      <c r="I32122"/>
      <c r="N32122"/>
      <c r="O32122" s="24"/>
      <c r="P32122"/>
      <c r="Q32122" s="24"/>
      <c r="R32122"/>
      <c r="S32122"/>
      <c r="T32122"/>
      <c r="U32122"/>
      <c r="X32122" s="60"/>
    </row>
    <row r="32123" spans="7:24" ht="15" customHeight="1">
      <c r="G32123"/>
      <c r="I32123"/>
      <c r="N32123"/>
      <c r="O32123" s="24"/>
      <c r="P32123"/>
      <c r="Q32123" s="24"/>
      <c r="R32123"/>
      <c r="S32123"/>
      <c r="T32123"/>
      <c r="U32123"/>
      <c r="X32123" s="60"/>
    </row>
    <row r="32124" spans="7:24" ht="15" customHeight="1">
      <c r="G32124"/>
      <c r="I32124"/>
      <c r="N32124"/>
      <c r="O32124" s="24"/>
      <c r="P32124"/>
      <c r="Q32124" s="24"/>
      <c r="R32124"/>
      <c r="S32124"/>
      <c r="T32124"/>
      <c r="U32124"/>
      <c r="X32124" s="60"/>
    </row>
    <row r="32125" spans="7:24" ht="15" customHeight="1">
      <c r="G32125"/>
      <c r="I32125"/>
      <c r="N32125"/>
      <c r="O32125" s="24"/>
      <c r="P32125"/>
      <c r="Q32125" s="24"/>
      <c r="R32125"/>
      <c r="S32125"/>
      <c r="T32125"/>
      <c r="U32125"/>
      <c r="X32125" s="60"/>
    </row>
    <row r="32126" spans="7:24" ht="15" customHeight="1">
      <c r="G32126"/>
      <c r="I32126"/>
      <c r="N32126"/>
      <c r="O32126" s="24"/>
      <c r="P32126"/>
      <c r="Q32126" s="24"/>
      <c r="R32126"/>
      <c r="S32126"/>
      <c r="T32126"/>
      <c r="U32126"/>
      <c r="X32126" s="60"/>
    </row>
    <row r="32127" spans="7:24" ht="15" customHeight="1">
      <c r="G32127"/>
      <c r="I32127"/>
      <c r="N32127"/>
      <c r="O32127" s="24"/>
      <c r="P32127"/>
      <c r="Q32127" s="24"/>
      <c r="R32127"/>
      <c r="S32127"/>
      <c r="T32127"/>
      <c r="U32127"/>
      <c r="X32127" s="60"/>
    </row>
    <row r="32128" spans="7:24" ht="15" customHeight="1">
      <c r="G32128"/>
      <c r="I32128"/>
      <c r="N32128"/>
      <c r="O32128" s="24"/>
      <c r="P32128"/>
      <c r="Q32128" s="24"/>
      <c r="R32128"/>
      <c r="S32128"/>
      <c r="T32128"/>
      <c r="U32128"/>
      <c r="X32128" s="60"/>
    </row>
    <row r="32129" spans="7:24" ht="15" customHeight="1">
      <c r="G32129"/>
      <c r="I32129"/>
      <c r="N32129"/>
      <c r="O32129" s="24"/>
      <c r="P32129"/>
      <c r="Q32129" s="24"/>
      <c r="R32129"/>
      <c r="S32129"/>
      <c r="T32129"/>
      <c r="U32129"/>
      <c r="X32129" s="60"/>
    </row>
    <row r="32130" spans="7:24" ht="15" customHeight="1">
      <c r="G32130"/>
      <c r="I32130"/>
      <c r="N32130"/>
      <c r="O32130" s="24"/>
      <c r="P32130"/>
      <c r="Q32130" s="24"/>
      <c r="R32130"/>
      <c r="S32130"/>
      <c r="T32130"/>
      <c r="U32130"/>
      <c r="X32130" s="60"/>
    </row>
    <row r="32131" spans="7:24" ht="15" customHeight="1">
      <c r="G32131"/>
      <c r="I32131"/>
      <c r="N32131"/>
      <c r="O32131" s="24"/>
      <c r="P32131"/>
      <c r="Q32131" s="24"/>
      <c r="R32131"/>
      <c r="S32131"/>
      <c r="T32131"/>
      <c r="U32131"/>
      <c r="X32131" s="60"/>
    </row>
    <row r="32132" spans="7:24" ht="15" customHeight="1">
      <c r="G32132"/>
      <c r="I32132"/>
      <c r="N32132"/>
      <c r="O32132" s="24"/>
      <c r="P32132"/>
      <c r="Q32132" s="24"/>
      <c r="R32132"/>
      <c r="S32132"/>
      <c r="T32132"/>
      <c r="U32132"/>
      <c r="X32132" s="60"/>
    </row>
    <row r="32133" spans="7:24" ht="15" customHeight="1">
      <c r="G32133"/>
      <c r="I32133"/>
      <c r="N32133"/>
      <c r="O32133" s="24"/>
      <c r="P32133"/>
      <c r="Q32133" s="24"/>
      <c r="R32133"/>
      <c r="S32133"/>
      <c r="T32133"/>
      <c r="U32133"/>
      <c r="X32133" s="60"/>
    </row>
    <row r="32134" spans="7:24" ht="15" customHeight="1">
      <c r="G32134"/>
      <c r="I32134"/>
      <c r="N32134"/>
      <c r="O32134" s="24"/>
      <c r="P32134"/>
      <c r="Q32134" s="24"/>
      <c r="R32134"/>
      <c r="S32134"/>
      <c r="T32134"/>
      <c r="U32134"/>
      <c r="X32134" s="60"/>
    </row>
    <row r="32135" spans="7:24" ht="15" customHeight="1">
      <c r="G32135"/>
      <c r="I32135"/>
      <c r="N32135"/>
      <c r="O32135" s="24"/>
      <c r="P32135"/>
      <c r="Q32135" s="24"/>
      <c r="R32135"/>
      <c r="S32135"/>
      <c r="T32135"/>
      <c r="U32135"/>
      <c r="X32135" s="60"/>
    </row>
    <row r="32136" spans="7:24" ht="15" customHeight="1">
      <c r="G32136"/>
      <c r="I32136"/>
      <c r="N32136"/>
      <c r="O32136" s="24"/>
      <c r="P32136"/>
      <c r="Q32136" s="24"/>
      <c r="R32136"/>
      <c r="S32136"/>
      <c r="T32136"/>
      <c r="U32136"/>
      <c r="X32136" s="60"/>
    </row>
    <row r="32137" spans="7:24" ht="15" customHeight="1">
      <c r="G32137"/>
      <c r="I32137"/>
      <c r="N32137"/>
      <c r="O32137" s="24"/>
      <c r="P32137"/>
      <c r="Q32137" s="24"/>
      <c r="R32137"/>
      <c r="S32137"/>
      <c r="T32137"/>
      <c r="U32137"/>
      <c r="X32137" s="60"/>
    </row>
    <row r="32138" spans="7:24" ht="15" customHeight="1">
      <c r="G32138"/>
      <c r="I32138"/>
      <c r="N32138"/>
      <c r="O32138" s="24"/>
      <c r="P32138"/>
      <c r="Q32138" s="24"/>
      <c r="R32138"/>
      <c r="S32138"/>
      <c r="T32138"/>
      <c r="U32138"/>
      <c r="X32138" s="60"/>
    </row>
    <row r="32139" spans="7:24" ht="15" customHeight="1">
      <c r="G32139"/>
      <c r="I32139"/>
      <c r="N32139"/>
      <c r="O32139" s="24"/>
      <c r="P32139"/>
      <c r="Q32139" s="24"/>
      <c r="R32139"/>
      <c r="S32139"/>
      <c r="T32139"/>
      <c r="U32139"/>
      <c r="X32139" s="60"/>
    </row>
    <row r="32140" spans="7:24" ht="15" customHeight="1">
      <c r="G32140"/>
      <c r="I32140"/>
      <c r="N32140"/>
      <c r="O32140" s="24"/>
      <c r="P32140"/>
      <c r="Q32140" s="24"/>
      <c r="R32140"/>
      <c r="S32140"/>
      <c r="T32140"/>
      <c r="U32140"/>
      <c r="X32140" s="60"/>
    </row>
    <row r="32141" spans="7:24" ht="15" customHeight="1">
      <c r="G32141"/>
      <c r="I32141"/>
      <c r="N32141"/>
      <c r="O32141" s="24"/>
      <c r="P32141"/>
      <c r="Q32141" s="24"/>
      <c r="R32141"/>
      <c r="S32141"/>
      <c r="T32141"/>
      <c r="U32141"/>
      <c r="X32141" s="60"/>
    </row>
    <row r="32142" spans="7:24" ht="15" customHeight="1">
      <c r="G32142"/>
      <c r="I32142"/>
      <c r="N32142"/>
      <c r="O32142" s="24"/>
      <c r="P32142"/>
      <c r="Q32142" s="24"/>
      <c r="R32142"/>
      <c r="S32142"/>
      <c r="T32142"/>
      <c r="U32142"/>
      <c r="X32142" s="60"/>
    </row>
    <row r="32143" spans="7:24" ht="15" customHeight="1">
      <c r="G32143"/>
      <c r="I32143"/>
      <c r="N32143"/>
      <c r="O32143" s="24"/>
      <c r="P32143"/>
      <c r="Q32143" s="24"/>
      <c r="R32143"/>
      <c r="S32143"/>
      <c r="T32143"/>
      <c r="U32143"/>
      <c r="X32143" s="60"/>
    </row>
    <row r="32144" spans="7:24" ht="15" customHeight="1">
      <c r="G32144"/>
      <c r="I32144"/>
      <c r="N32144"/>
      <c r="O32144" s="24"/>
      <c r="P32144"/>
      <c r="Q32144" s="24"/>
      <c r="R32144"/>
      <c r="S32144"/>
      <c r="T32144"/>
      <c r="U32144"/>
      <c r="X32144" s="60"/>
    </row>
    <row r="32145" spans="7:24" ht="15" customHeight="1">
      <c r="G32145"/>
      <c r="I32145"/>
      <c r="N32145"/>
      <c r="O32145" s="24"/>
      <c r="P32145"/>
      <c r="Q32145" s="24"/>
      <c r="R32145"/>
      <c r="S32145"/>
      <c r="T32145"/>
      <c r="U32145"/>
      <c r="X32145" s="60"/>
    </row>
    <row r="32146" spans="7:24" ht="15" customHeight="1">
      <c r="G32146"/>
      <c r="I32146"/>
      <c r="N32146"/>
      <c r="O32146" s="24"/>
      <c r="P32146"/>
      <c r="Q32146" s="24"/>
      <c r="R32146"/>
      <c r="S32146"/>
      <c r="T32146"/>
      <c r="U32146"/>
      <c r="X32146" s="60"/>
    </row>
    <row r="32147" spans="7:24" ht="15" customHeight="1">
      <c r="G32147"/>
      <c r="I32147"/>
      <c r="N32147"/>
      <c r="O32147" s="24"/>
      <c r="P32147"/>
      <c r="Q32147" s="24"/>
      <c r="R32147"/>
      <c r="S32147"/>
      <c r="T32147"/>
      <c r="U32147"/>
      <c r="X32147" s="60"/>
    </row>
    <row r="32148" spans="7:24" ht="15" customHeight="1">
      <c r="G32148"/>
      <c r="I32148"/>
      <c r="N32148"/>
      <c r="O32148" s="24"/>
      <c r="P32148"/>
      <c r="Q32148" s="24"/>
      <c r="R32148"/>
      <c r="S32148"/>
      <c r="T32148"/>
      <c r="U32148"/>
      <c r="X32148" s="60"/>
    </row>
    <row r="32149" spans="7:24" ht="15" customHeight="1">
      <c r="G32149"/>
      <c r="I32149"/>
      <c r="N32149"/>
      <c r="O32149" s="24"/>
      <c r="P32149"/>
      <c r="Q32149" s="24"/>
      <c r="R32149"/>
      <c r="S32149"/>
      <c r="T32149"/>
      <c r="U32149"/>
      <c r="X32149" s="60"/>
    </row>
    <row r="32150" spans="7:24" ht="15" customHeight="1">
      <c r="G32150"/>
      <c r="I32150"/>
      <c r="N32150"/>
      <c r="O32150" s="24"/>
      <c r="P32150"/>
      <c r="Q32150" s="24"/>
      <c r="R32150"/>
      <c r="S32150"/>
      <c r="T32150"/>
      <c r="U32150"/>
      <c r="X32150" s="60"/>
    </row>
    <row r="32151" spans="7:24" ht="15" customHeight="1">
      <c r="G32151"/>
      <c r="I32151"/>
      <c r="N32151"/>
      <c r="O32151" s="24"/>
      <c r="P32151"/>
      <c r="Q32151" s="24"/>
      <c r="R32151"/>
      <c r="S32151"/>
      <c r="T32151"/>
      <c r="U32151"/>
      <c r="X32151" s="60"/>
    </row>
    <row r="32152" spans="7:24" ht="15" customHeight="1">
      <c r="G32152"/>
      <c r="I32152"/>
      <c r="N32152"/>
      <c r="O32152" s="24"/>
      <c r="P32152"/>
      <c r="Q32152" s="24"/>
      <c r="R32152"/>
      <c r="S32152"/>
      <c r="T32152"/>
      <c r="U32152"/>
      <c r="X32152" s="60"/>
    </row>
    <row r="32153" spans="7:24" ht="15" customHeight="1">
      <c r="G32153"/>
      <c r="I32153"/>
      <c r="N32153"/>
      <c r="O32153" s="24"/>
      <c r="P32153"/>
      <c r="Q32153" s="24"/>
      <c r="R32153"/>
      <c r="S32153"/>
      <c r="T32153"/>
      <c r="U32153"/>
      <c r="X32153" s="60"/>
    </row>
    <row r="32154" spans="7:24" ht="15" customHeight="1">
      <c r="G32154"/>
      <c r="I32154"/>
      <c r="N32154"/>
      <c r="O32154" s="24"/>
      <c r="P32154"/>
      <c r="Q32154" s="24"/>
      <c r="R32154"/>
      <c r="S32154"/>
      <c r="T32154"/>
      <c r="U32154"/>
      <c r="X32154" s="60"/>
    </row>
    <row r="32155" spans="7:24" ht="15" customHeight="1">
      <c r="G32155"/>
      <c r="I32155"/>
      <c r="N32155"/>
      <c r="O32155" s="24"/>
      <c r="P32155"/>
      <c r="Q32155" s="24"/>
      <c r="R32155"/>
      <c r="S32155"/>
      <c r="T32155"/>
      <c r="U32155"/>
      <c r="X32155" s="60"/>
    </row>
    <row r="32156" spans="7:24" ht="15" customHeight="1">
      <c r="G32156"/>
      <c r="I32156"/>
      <c r="N32156"/>
      <c r="O32156" s="24"/>
      <c r="P32156"/>
      <c r="Q32156" s="24"/>
      <c r="R32156"/>
      <c r="S32156"/>
      <c r="T32156"/>
      <c r="U32156"/>
      <c r="X32156" s="60"/>
    </row>
    <row r="32157" spans="7:24" ht="15" customHeight="1">
      <c r="G32157"/>
      <c r="I32157"/>
      <c r="N32157"/>
      <c r="O32157" s="24"/>
      <c r="P32157"/>
      <c r="Q32157" s="24"/>
      <c r="R32157"/>
      <c r="S32157"/>
      <c r="T32157"/>
      <c r="U32157"/>
      <c r="X32157" s="60"/>
    </row>
    <row r="32158" spans="7:24" ht="15" customHeight="1">
      <c r="G32158"/>
      <c r="I32158"/>
      <c r="N32158"/>
      <c r="O32158" s="24"/>
      <c r="P32158"/>
      <c r="Q32158" s="24"/>
      <c r="R32158"/>
      <c r="S32158"/>
      <c r="T32158"/>
      <c r="U32158"/>
      <c r="X32158" s="60"/>
    </row>
    <row r="32159" spans="7:24" ht="15" customHeight="1">
      <c r="G32159"/>
      <c r="I32159"/>
      <c r="N32159"/>
      <c r="O32159" s="24"/>
      <c r="P32159"/>
      <c r="Q32159" s="24"/>
      <c r="R32159"/>
      <c r="S32159"/>
      <c r="T32159"/>
      <c r="U32159"/>
      <c r="X32159" s="60"/>
    </row>
    <row r="32160" spans="7:24" ht="15" customHeight="1">
      <c r="G32160"/>
      <c r="I32160"/>
      <c r="N32160"/>
      <c r="O32160" s="24"/>
      <c r="P32160"/>
      <c r="Q32160" s="24"/>
      <c r="R32160"/>
      <c r="S32160"/>
      <c r="T32160"/>
      <c r="U32160"/>
      <c r="X32160" s="60"/>
    </row>
    <row r="32161" spans="7:24" ht="15" customHeight="1">
      <c r="G32161"/>
      <c r="I32161"/>
      <c r="N32161"/>
      <c r="O32161" s="24"/>
      <c r="P32161"/>
      <c r="Q32161" s="24"/>
      <c r="R32161"/>
      <c r="S32161"/>
      <c r="T32161"/>
      <c r="U32161"/>
      <c r="X32161" s="60"/>
    </row>
    <row r="32162" spans="7:24" ht="15" customHeight="1">
      <c r="G32162"/>
      <c r="I32162"/>
      <c r="N32162"/>
      <c r="O32162" s="24"/>
      <c r="P32162"/>
      <c r="Q32162" s="24"/>
      <c r="R32162"/>
      <c r="S32162"/>
      <c r="T32162"/>
      <c r="U32162"/>
      <c r="X32162" s="60"/>
    </row>
    <row r="32163" spans="7:24" ht="15" customHeight="1">
      <c r="G32163"/>
      <c r="I32163"/>
      <c r="N32163"/>
      <c r="O32163" s="24"/>
      <c r="P32163"/>
      <c r="Q32163" s="24"/>
      <c r="R32163"/>
      <c r="S32163"/>
      <c r="T32163"/>
      <c r="U32163"/>
      <c r="X32163" s="60"/>
    </row>
    <row r="32164" spans="7:24" ht="15" customHeight="1">
      <c r="G32164"/>
      <c r="I32164"/>
      <c r="N32164"/>
      <c r="O32164" s="24"/>
      <c r="P32164"/>
      <c r="Q32164" s="24"/>
      <c r="R32164"/>
      <c r="S32164"/>
      <c r="T32164"/>
      <c r="U32164"/>
      <c r="X32164" s="60"/>
    </row>
    <row r="32165" spans="7:24" ht="15" customHeight="1">
      <c r="G32165"/>
      <c r="I32165"/>
      <c r="N32165"/>
      <c r="O32165" s="24"/>
      <c r="P32165"/>
      <c r="Q32165" s="24"/>
      <c r="R32165"/>
      <c r="S32165"/>
      <c r="T32165"/>
      <c r="U32165"/>
      <c r="X32165" s="60"/>
    </row>
    <row r="32166" spans="7:24" ht="15" customHeight="1">
      <c r="G32166"/>
      <c r="I32166"/>
      <c r="N32166"/>
      <c r="O32166" s="24"/>
      <c r="P32166"/>
      <c r="Q32166" s="24"/>
      <c r="R32166"/>
      <c r="S32166"/>
      <c r="T32166"/>
      <c r="U32166"/>
      <c r="X32166" s="60"/>
    </row>
    <row r="32167" spans="7:24" ht="15" customHeight="1">
      <c r="G32167"/>
      <c r="I32167"/>
      <c r="N32167"/>
      <c r="O32167" s="24"/>
      <c r="P32167"/>
      <c r="Q32167" s="24"/>
      <c r="R32167"/>
      <c r="S32167"/>
      <c r="T32167"/>
      <c r="U32167"/>
      <c r="X32167" s="60"/>
    </row>
    <row r="32168" spans="7:24" ht="15" customHeight="1">
      <c r="G32168"/>
      <c r="I32168"/>
      <c r="N32168"/>
      <c r="O32168" s="24"/>
      <c r="P32168"/>
      <c r="Q32168" s="24"/>
      <c r="R32168"/>
      <c r="S32168"/>
      <c r="T32168"/>
      <c r="U32168"/>
      <c r="X32168" s="60"/>
    </row>
    <row r="32169" spans="7:24" ht="15" customHeight="1">
      <c r="G32169"/>
      <c r="I32169"/>
      <c r="N32169"/>
      <c r="O32169" s="24"/>
      <c r="P32169"/>
      <c r="Q32169" s="24"/>
      <c r="R32169"/>
      <c r="S32169"/>
      <c r="T32169"/>
      <c r="U32169"/>
      <c r="X32169" s="60"/>
    </row>
    <row r="32170" spans="7:24" ht="15" customHeight="1">
      <c r="G32170"/>
      <c r="I32170"/>
      <c r="N32170"/>
      <c r="O32170" s="24"/>
      <c r="P32170"/>
      <c r="Q32170" s="24"/>
      <c r="R32170"/>
      <c r="S32170"/>
      <c r="T32170"/>
      <c r="U32170"/>
      <c r="X32170" s="60"/>
    </row>
    <row r="32171" spans="7:24" ht="15" customHeight="1">
      <c r="G32171"/>
      <c r="I32171"/>
      <c r="N32171"/>
      <c r="O32171" s="24"/>
      <c r="P32171"/>
      <c r="Q32171" s="24"/>
      <c r="R32171"/>
      <c r="S32171"/>
      <c r="T32171"/>
      <c r="U32171"/>
      <c r="X32171" s="60"/>
    </row>
    <row r="32172" spans="7:24" ht="15" customHeight="1">
      <c r="G32172"/>
      <c r="I32172"/>
      <c r="N32172"/>
      <c r="O32172" s="24"/>
      <c r="P32172"/>
      <c r="Q32172" s="24"/>
      <c r="R32172"/>
      <c r="S32172"/>
      <c r="T32172"/>
      <c r="U32172"/>
      <c r="X32172" s="60"/>
    </row>
    <row r="32173" spans="7:24" ht="15" customHeight="1">
      <c r="G32173"/>
      <c r="I32173"/>
      <c r="N32173"/>
      <c r="O32173" s="24"/>
      <c r="P32173"/>
      <c r="Q32173" s="24"/>
      <c r="R32173"/>
      <c r="S32173"/>
      <c r="T32173"/>
      <c r="U32173"/>
      <c r="X32173" s="60"/>
    </row>
    <row r="32174" spans="7:24" ht="15" customHeight="1">
      <c r="G32174"/>
      <c r="I32174"/>
      <c r="N32174"/>
      <c r="O32174" s="24"/>
      <c r="P32174"/>
      <c r="Q32174" s="24"/>
      <c r="R32174"/>
      <c r="S32174"/>
      <c r="T32174"/>
      <c r="U32174"/>
      <c r="X32174" s="60"/>
    </row>
    <row r="32175" spans="7:24" ht="15" customHeight="1">
      <c r="G32175"/>
      <c r="I32175"/>
      <c r="N32175"/>
      <c r="O32175" s="24"/>
      <c r="P32175"/>
      <c r="Q32175" s="24"/>
      <c r="R32175"/>
      <c r="S32175"/>
      <c r="T32175"/>
      <c r="U32175"/>
      <c r="X32175" s="60"/>
    </row>
    <row r="32176" spans="7:24" ht="15" customHeight="1">
      <c r="G32176"/>
      <c r="I32176"/>
      <c r="N32176"/>
      <c r="O32176" s="24"/>
      <c r="P32176"/>
      <c r="Q32176" s="24"/>
      <c r="R32176"/>
      <c r="S32176"/>
      <c r="T32176"/>
      <c r="U32176"/>
      <c r="X32176" s="60"/>
    </row>
    <row r="32177" spans="7:24" ht="15" customHeight="1">
      <c r="G32177"/>
      <c r="I32177"/>
      <c r="N32177"/>
      <c r="O32177" s="24"/>
      <c r="P32177"/>
      <c r="Q32177" s="24"/>
      <c r="R32177"/>
      <c r="S32177"/>
      <c r="T32177"/>
      <c r="U32177"/>
      <c r="X32177" s="60"/>
    </row>
    <row r="32178" spans="7:24" ht="15" customHeight="1">
      <c r="G32178"/>
      <c r="I32178"/>
      <c r="N32178"/>
      <c r="O32178" s="24"/>
      <c r="P32178"/>
      <c r="Q32178" s="24"/>
      <c r="R32178"/>
      <c r="S32178"/>
      <c r="T32178"/>
      <c r="U32178"/>
      <c r="X32178" s="60"/>
    </row>
    <row r="32179" spans="7:24" ht="15" customHeight="1">
      <c r="G32179"/>
      <c r="I32179"/>
      <c r="N32179"/>
      <c r="O32179" s="24"/>
      <c r="P32179"/>
      <c r="Q32179" s="24"/>
      <c r="R32179"/>
      <c r="S32179"/>
      <c r="T32179"/>
      <c r="U32179"/>
      <c r="X32179" s="60"/>
    </row>
    <row r="32180" spans="7:24" ht="15" customHeight="1">
      <c r="G32180"/>
      <c r="I32180"/>
      <c r="N32180"/>
      <c r="O32180" s="24"/>
      <c r="P32180"/>
      <c r="Q32180" s="24"/>
      <c r="R32180"/>
      <c r="S32180"/>
      <c r="T32180"/>
      <c r="U32180"/>
      <c r="X32180" s="60"/>
    </row>
    <row r="32181" spans="7:24" ht="15" customHeight="1">
      <c r="G32181"/>
      <c r="I32181"/>
      <c r="N32181"/>
      <c r="O32181" s="24"/>
      <c r="P32181"/>
      <c r="Q32181" s="24"/>
      <c r="R32181"/>
      <c r="S32181"/>
      <c r="T32181"/>
      <c r="U32181"/>
      <c r="X32181" s="60"/>
    </row>
    <row r="32182" spans="7:24" ht="15" customHeight="1">
      <c r="G32182"/>
      <c r="I32182"/>
      <c r="N32182"/>
      <c r="O32182" s="24"/>
      <c r="P32182"/>
      <c r="Q32182" s="24"/>
      <c r="R32182"/>
      <c r="S32182"/>
      <c r="T32182"/>
      <c r="U32182"/>
      <c r="X32182" s="60"/>
    </row>
    <row r="32183" spans="7:24" ht="15" customHeight="1">
      <c r="G32183"/>
      <c r="I32183"/>
      <c r="N32183"/>
      <c r="O32183" s="24"/>
      <c r="P32183"/>
      <c r="Q32183" s="24"/>
      <c r="R32183"/>
      <c r="S32183"/>
      <c r="T32183"/>
      <c r="U32183"/>
      <c r="X32183" s="60"/>
    </row>
    <row r="32184" spans="7:24" ht="15" customHeight="1">
      <c r="G32184"/>
      <c r="I32184"/>
      <c r="N32184"/>
      <c r="O32184" s="24"/>
      <c r="P32184"/>
      <c r="Q32184" s="24"/>
      <c r="R32184"/>
      <c r="S32184"/>
      <c r="T32184"/>
      <c r="U32184"/>
      <c r="X32184" s="60"/>
    </row>
    <row r="32185" spans="7:24" ht="15" customHeight="1">
      <c r="G32185"/>
      <c r="I32185"/>
      <c r="N32185"/>
      <c r="O32185" s="24"/>
      <c r="P32185"/>
      <c r="Q32185" s="24"/>
      <c r="R32185"/>
      <c r="S32185"/>
      <c r="T32185"/>
      <c r="U32185"/>
      <c r="X32185" s="60"/>
    </row>
    <row r="32186" spans="7:24" ht="15" customHeight="1">
      <c r="G32186"/>
      <c r="I32186"/>
      <c r="N32186"/>
      <c r="O32186" s="24"/>
      <c r="P32186"/>
      <c r="Q32186" s="24"/>
      <c r="R32186"/>
      <c r="S32186"/>
      <c r="T32186"/>
      <c r="U32186"/>
      <c r="X32186" s="60"/>
    </row>
    <row r="32187" spans="7:24" ht="15" customHeight="1">
      <c r="G32187"/>
      <c r="I32187"/>
      <c r="N32187"/>
      <c r="O32187" s="24"/>
      <c r="P32187"/>
      <c r="Q32187" s="24"/>
      <c r="R32187"/>
      <c r="S32187"/>
      <c r="T32187"/>
      <c r="U32187"/>
      <c r="X32187" s="60"/>
    </row>
    <row r="32188" spans="7:24" ht="15" customHeight="1">
      <c r="G32188"/>
      <c r="I32188"/>
      <c r="N32188"/>
      <c r="O32188" s="24"/>
      <c r="P32188"/>
      <c r="Q32188" s="24"/>
      <c r="R32188"/>
      <c r="S32188"/>
      <c r="T32188"/>
      <c r="U32188"/>
      <c r="X32188" s="60"/>
    </row>
    <row r="32189" spans="7:24" ht="15" customHeight="1">
      <c r="G32189"/>
      <c r="I32189"/>
      <c r="N32189"/>
      <c r="O32189" s="24"/>
      <c r="P32189"/>
      <c r="Q32189" s="24"/>
      <c r="R32189"/>
      <c r="S32189"/>
      <c r="T32189"/>
      <c r="U32189"/>
      <c r="X32189" s="60"/>
    </row>
    <row r="32190" spans="7:24" ht="15" customHeight="1">
      <c r="G32190"/>
      <c r="I32190"/>
      <c r="N32190"/>
      <c r="O32190" s="24"/>
      <c r="P32190"/>
      <c r="Q32190" s="24"/>
      <c r="R32190"/>
      <c r="S32190"/>
      <c r="T32190"/>
      <c r="U32190"/>
      <c r="X32190" s="60"/>
    </row>
    <row r="32191" spans="7:24" ht="15" customHeight="1">
      <c r="G32191"/>
      <c r="I32191"/>
      <c r="N32191"/>
      <c r="O32191" s="24"/>
      <c r="P32191"/>
      <c r="Q32191" s="24"/>
      <c r="R32191"/>
      <c r="S32191"/>
      <c r="T32191"/>
      <c r="U32191"/>
      <c r="X32191" s="60"/>
    </row>
    <row r="32192" spans="7:24" ht="15" customHeight="1">
      <c r="G32192"/>
      <c r="I32192"/>
      <c r="N32192"/>
      <c r="O32192" s="24"/>
      <c r="P32192"/>
      <c r="Q32192" s="24"/>
      <c r="R32192"/>
      <c r="S32192"/>
      <c r="T32192"/>
      <c r="U32192"/>
      <c r="X32192" s="60"/>
    </row>
    <row r="32193" spans="7:24" ht="15" customHeight="1">
      <c r="G32193"/>
      <c r="I32193"/>
      <c r="N32193"/>
      <c r="O32193" s="24"/>
      <c r="P32193"/>
      <c r="Q32193" s="24"/>
      <c r="R32193"/>
      <c r="S32193"/>
      <c r="T32193"/>
      <c r="U32193"/>
      <c r="X32193" s="60"/>
    </row>
    <row r="32194" spans="7:24" ht="15" customHeight="1">
      <c r="G32194"/>
      <c r="I32194"/>
      <c r="N32194"/>
      <c r="O32194" s="24"/>
      <c r="P32194"/>
      <c r="Q32194" s="24"/>
      <c r="R32194"/>
      <c r="S32194"/>
      <c r="T32194"/>
      <c r="U32194"/>
      <c r="X32194" s="60"/>
    </row>
    <row r="32195" spans="7:24" ht="15" customHeight="1">
      <c r="G32195"/>
      <c r="I32195"/>
      <c r="N32195"/>
      <c r="O32195" s="24"/>
      <c r="P32195"/>
      <c r="Q32195" s="24"/>
      <c r="R32195"/>
      <c r="S32195"/>
      <c r="T32195"/>
      <c r="U32195"/>
      <c r="X32195" s="60"/>
    </row>
    <row r="32196" spans="7:24" ht="15" customHeight="1">
      <c r="G32196"/>
      <c r="I32196"/>
      <c r="N32196"/>
      <c r="O32196" s="24"/>
      <c r="P32196"/>
      <c r="Q32196" s="24"/>
      <c r="R32196"/>
      <c r="S32196"/>
      <c r="T32196"/>
      <c r="U32196"/>
      <c r="X32196" s="60"/>
    </row>
    <row r="32197" spans="7:24" ht="15" customHeight="1">
      <c r="G32197"/>
      <c r="I32197"/>
      <c r="N32197"/>
      <c r="O32197" s="24"/>
      <c r="P32197"/>
      <c r="Q32197" s="24"/>
      <c r="R32197"/>
      <c r="S32197"/>
      <c r="T32197"/>
      <c r="U32197"/>
      <c r="X32197" s="60"/>
    </row>
    <row r="32198" spans="7:24" ht="15" customHeight="1">
      <c r="G32198"/>
      <c r="I32198"/>
      <c r="N32198"/>
      <c r="O32198" s="24"/>
      <c r="P32198"/>
      <c r="Q32198" s="24"/>
      <c r="R32198"/>
      <c r="S32198"/>
      <c r="T32198"/>
      <c r="U32198"/>
      <c r="X32198" s="60"/>
    </row>
    <row r="32199" spans="7:24" ht="15" customHeight="1">
      <c r="G32199"/>
      <c r="I32199"/>
      <c r="N32199"/>
      <c r="O32199" s="24"/>
      <c r="P32199"/>
      <c r="Q32199" s="24"/>
      <c r="R32199"/>
      <c r="S32199"/>
      <c r="T32199"/>
      <c r="U32199"/>
      <c r="X32199" s="60"/>
    </row>
    <row r="32200" spans="7:24" ht="15" customHeight="1">
      <c r="G32200"/>
      <c r="I32200"/>
      <c r="N32200"/>
      <c r="O32200" s="24"/>
      <c r="P32200"/>
      <c r="Q32200" s="24"/>
      <c r="R32200"/>
      <c r="S32200"/>
      <c r="T32200"/>
      <c r="U32200"/>
      <c r="X32200" s="60"/>
    </row>
    <row r="32201" spans="7:24" ht="15" customHeight="1">
      <c r="G32201"/>
      <c r="I32201"/>
      <c r="N32201"/>
      <c r="O32201" s="24"/>
      <c r="P32201"/>
      <c r="Q32201" s="24"/>
      <c r="R32201"/>
      <c r="S32201"/>
      <c r="T32201"/>
      <c r="U32201"/>
      <c r="X32201" s="60"/>
    </row>
    <row r="32202" spans="7:24" ht="15" customHeight="1">
      <c r="G32202"/>
      <c r="I32202"/>
      <c r="N32202"/>
      <c r="O32202" s="24"/>
      <c r="P32202"/>
      <c r="Q32202" s="24"/>
      <c r="R32202"/>
      <c r="S32202"/>
      <c r="T32202"/>
      <c r="U32202"/>
      <c r="X32202" s="60"/>
    </row>
    <row r="32203" spans="7:24" ht="15" customHeight="1">
      <c r="G32203"/>
      <c r="I32203"/>
      <c r="N32203"/>
      <c r="O32203" s="24"/>
      <c r="P32203"/>
      <c r="Q32203" s="24"/>
      <c r="R32203"/>
      <c r="S32203"/>
      <c r="T32203"/>
      <c r="U32203"/>
      <c r="X32203" s="60"/>
    </row>
    <row r="32204" spans="7:24" ht="15" customHeight="1">
      <c r="G32204"/>
      <c r="I32204"/>
      <c r="N32204"/>
      <c r="O32204" s="24"/>
      <c r="P32204"/>
      <c r="Q32204" s="24"/>
      <c r="R32204"/>
      <c r="S32204"/>
      <c r="T32204"/>
      <c r="U32204"/>
      <c r="X32204" s="60"/>
    </row>
    <row r="32205" spans="7:24" ht="15" customHeight="1">
      <c r="G32205"/>
      <c r="I32205"/>
      <c r="N32205"/>
      <c r="O32205" s="24"/>
      <c r="P32205"/>
      <c r="Q32205" s="24"/>
      <c r="R32205"/>
      <c r="S32205"/>
      <c r="T32205"/>
      <c r="U32205"/>
      <c r="X32205" s="60"/>
    </row>
    <row r="32206" spans="7:24" ht="15" customHeight="1">
      <c r="G32206"/>
      <c r="I32206"/>
      <c r="N32206"/>
      <c r="O32206" s="24"/>
      <c r="P32206"/>
      <c r="Q32206" s="24"/>
      <c r="R32206"/>
      <c r="S32206"/>
      <c r="T32206"/>
      <c r="U32206"/>
      <c r="X32206" s="60"/>
    </row>
    <row r="32207" spans="7:24" ht="15" customHeight="1">
      <c r="G32207"/>
      <c r="I32207"/>
      <c r="N32207"/>
      <c r="O32207" s="24"/>
      <c r="P32207"/>
      <c r="Q32207" s="24"/>
      <c r="R32207"/>
      <c r="S32207"/>
      <c r="T32207"/>
      <c r="U32207"/>
      <c r="X32207" s="60"/>
    </row>
    <row r="32208" spans="7:24" ht="15" customHeight="1">
      <c r="G32208"/>
      <c r="I32208"/>
      <c r="N32208"/>
      <c r="O32208" s="24"/>
      <c r="P32208"/>
      <c r="Q32208" s="24"/>
      <c r="R32208"/>
      <c r="S32208"/>
      <c r="T32208"/>
      <c r="U32208"/>
      <c r="X32208" s="60"/>
    </row>
    <row r="32209" spans="7:24" ht="15" customHeight="1">
      <c r="G32209"/>
      <c r="I32209"/>
      <c r="N32209"/>
      <c r="O32209" s="24"/>
      <c r="P32209"/>
      <c r="Q32209" s="24"/>
      <c r="R32209"/>
      <c r="S32209"/>
      <c r="T32209"/>
      <c r="U32209"/>
      <c r="X32209" s="60"/>
    </row>
    <row r="32210" spans="7:24" ht="15" customHeight="1">
      <c r="G32210"/>
      <c r="I32210"/>
      <c r="N32210"/>
      <c r="O32210" s="24"/>
      <c r="P32210"/>
      <c r="Q32210" s="24"/>
      <c r="R32210"/>
      <c r="S32210"/>
      <c r="T32210"/>
      <c r="U32210"/>
      <c r="X32210" s="60"/>
    </row>
    <row r="32211" spans="7:24" ht="15" customHeight="1">
      <c r="G32211"/>
      <c r="I32211"/>
      <c r="N32211"/>
      <c r="O32211" s="24"/>
      <c r="P32211"/>
      <c r="Q32211" s="24"/>
      <c r="R32211"/>
      <c r="S32211"/>
      <c r="T32211"/>
      <c r="U32211"/>
      <c r="X32211" s="60"/>
    </row>
    <row r="32212" spans="7:24" ht="15" customHeight="1">
      <c r="G32212"/>
      <c r="I32212"/>
      <c r="N32212"/>
      <c r="O32212" s="24"/>
      <c r="P32212"/>
      <c r="Q32212" s="24"/>
      <c r="R32212"/>
      <c r="S32212"/>
      <c r="T32212"/>
      <c r="U32212"/>
      <c r="X32212" s="60"/>
    </row>
    <row r="32213" spans="7:24" ht="15" customHeight="1">
      <c r="G32213"/>
      <c r="I32213"/>
      <c r="N32213"/>
      <c r="O32213" s="24"/>
      <c r="P32213"/>
      <c r="Q32213" s="24"/>
      <c r="R32213"/>
      <c r="S32213"/>
      <c r="T32213"/>
      <c r="U32213"/>
      <c r="X32213" s="60"/>
    </row>
    <row r="32214" spans="7:24" ht="15" customHeight="1">
      <c r="G32214"/>
      <c r="I32214"/>
      <c r="N32214"/>
      <c r="O32214" s="24"/>
      <c r="P32214"/>
      <c r="Q32214" s="24"/>
      <c r="R32214"/>
      <c r="S32214"/>
      <c r="T32214"/>
      <c r="U32214"/>
      <c r="X32214" s="60"/>
    </row>
    <row r="32215" spans="7:24" ht="15" customHeight="1">
      <c r="G32215"/>
      <c r="I32215"/>
      <c r="N32215"/>
      <c r="O32215" s="24"/>
      <c r="P32215"/>
      <c r="Q32215" s="24"/>
      <c r="R32215"/>
      <c r="S32215"/>
      <c r="T32215"/>
      <c r="U32215"/>
      <c r="X32215" s="60"/>
    </row>
    <row r="32216" spans="7:24" ht="15" customHeight="1">
      <c r="G32216"/>
      <c r="I32216"/>
      <c r="N32216"/>
      <c r="O32216" s="24"/>
      <c r="P32216"/>
      <c r="Q32216" s="24"/>
      <c r="R32216"/>
      <c r="S32216"/>
      <c r="T32216"/>
      <c r="U32216"/>
      <c r="X32216" s="60"/>
    </row>
    <row r="32217" spans="7:24" ht="15" customHeight="1">
      <c r="G32217"/>
      <c r="I32217"/>
      <c r="N32217"/>
      <c r="O32217" s="24"/>
      <c r="P32217"/>
      <c r="Q32217" s="24"/>
      <c r="R32217"/>
      <c r="S32217"/>
      <c r="T32217"/>
      <c r="U32217"/>
      <c r="X32217" s="60"/>
    </row>
    <row r="32218" spans="7:24" ht="15" customHeight="1">
      <c r="G32218"/>
      <c r="I32218"/>
      <c r="N32218"/>
      <c r="O32218" s="24"/>
      <c r="P32218"/>
      <c r="Q32218" s="24"/>
      <c r="R32218"/>
      <c r="S32218"/>
      <c r="T32218"/>
      <c r="U32218"/>
      <c r="X32218" s="60"/>
    </row>
    <row r="32219" spans="7:24" ht="15" customHeight="1">
      <c r="G32219"/>
      <c r="I32219"/>
      <c r="N32219"/>
      <c r="O32219" s="24"/>
      <c r="P32219"/>
      <c r="Q32219" s="24"/>
      <c r="R32219"/>
      <c r="S32219"/>
      <c r="T32219"/>
      <c r="U32219"/>
      <c r="X32219" s="60"/>
    </row>
    <row r="32220" spans="7:24" ht="15" customHeight="1">
      <c r="G32220"/>
      <c r="I32220"/>
      <c r="N32220"/>
      <c r="O32220" s="24"/>
      <c r="P32220"/>
      <c r="Q32220" s="24"/>
      <c r="R32220"/>
      <c r="S32220"/>
      <c r="T32220"/>
      <c r="U32220"/>
      <c r="X32220" s="60"/>
    </row>
    <row r="32221" spans="7:24" ht="15" customHeight="1">
      <c r="G32221"/>
      <c r="I32221"/>
      <c r="N32221"/>
      <c r="O32221" s="24"/>
      <c r="P32221"/>
      <c r="Q32221" s="24"/>
      <c r="R32221"/>
      <c r="S32221"/>
      <c r="T32221"/>
      <c r="U32221"/>
      <c r="X32221" s="60"/>
    </row>
    <row r="32222" spans="7:24" ht="15" customHeight="1">
      <c r="G32222"/>
      <c r="I32222"/>
      <c r="N32222"/>
      <c r="O32222" s="24"/>
      <c r="P32222"/>
      <c r="Q32222" s="24"/>
      <c r="R32222"/>
      <c r="S32222"/>
      <c r="T32222"/>
      <c r="U32222"/>
      <c r="X32222" s="60"/>
    </row>
    <row r="32223" spans="7:24" ht="15" customHeight="1">
      <c r="G32223"/>
      <c r="I32223"/>
      <c r="N32223"/>
      <c r="O32223" s="24"/>
      <c r="P32223"/>
      <c r="Q32223" s="24"/>
      <c r="R32223"/>
      <c r="S32223"/>
      <c r="T32223"/>
      <c r="U32223"/>
      <c r="X32223" s="60"/>
    </row>
    <row r="32224" spans="7:24" ht="15" customHeight="1">
      <c r="G32224"/>
      <c r="I32224"/>
      <c r="N32224"/>
      <c r="O32224" s="24"/>
      <c r="P32224"/>
      <c r="Q32224" s="24"/>
      <c r="R32224"/>
      <c r="S32224"/>
      <c r="T32224"/>
      <c r="U32224"/>
      <c r="X32224" s="60"/>
    </row>
    <row r="32225" spans="7:24" ht="15" customHeight="1">
      <c r="G32225"/>
      <c r="I32225"/>
      <c r="N32225"/>
      <c r="O32225" s="24"/>
      <c r="P32225"/>
      <c r="Q32225" s="24"/>
      <c r="R32225"/>
      <c r="S32225"/>
      <c r="T32225"/>
      <c r="U32225"/>
      <c r="X32225" s="60"/>
    </row>
    <row r="32226" spans="7:24" ht="15" customHeight="1">
      <c r="G32226"/>
      <c r="I32226"/>
      <c r="N32226"/>
      <c r="O32226" s="24"/>
      <c r="P32226"/>
      <c r="Q32226" s="24"/>
      <c r="R32226"/>
      <c r="S32226"/>
      <c r="T32226"/>
      <c r="U32226"/>
      <c r="X32226" s="60"/>
    </row>
    <row r="32227" spans="7:24" ht="15" customHeight="1">
      <c r="G32227"/>
      <c r="I32227"/>
      <c r="N32227"/>
      <c r="O32227" s="24"/>
      <c r="P32227"/>
      <c r="Q32227" s="24"/>
      <c r="R32227"/>
      <c r="S32227"/>
      <c r="T32227"/>
      <c r="U32227"/>
      <c r="X32227" s="60"/>
    </row>
    <row r="32228" spans="7:24" ht="15" customHeight="1">
      <c r="G32228"/>
      <c r="I32228"/>
      <c r="N32228"/>
      <c r="O32228" s="24"/>
      <c r="P32228"/>
      <c r="Q32228" s="24"/>
      <c r="R32228"/>
      <c r="S32228"/>
      <c r="T32228"/>
      <c r="U32228"/>
      <c r="X32228" s="60"/>
    </row>
    <row r="32229" spans="7:24" ht="15" customHeight="1">
      <c r="G32229"/>
      <c r="I32229"/>
      <c r="N32229"/>
      <c r="O32229" s="24"/>
      <c r="P32229"/>
      <c r="Q32229" s="24"/>
      <c r="R32229"/>
      <c r="S32229"/>
      <c r="T32229"/>
      <c r="U32229"/>
      <c r="X32229" s="60"/>
    </row>
    <row r="32230" spans="7:24" ht="15" customHeight="1">
      <c r="G32230"/>
      <c r="I32230"/>
      <c r="N32230"/>
      <c r="O32230" s="24"/>
      <c r="P32230"/>
      <c r="Q32230" s="24"/>
      <c r="R32230"/>
      <c r="S32230"/>
      <c r="T32230"/>
      <c r="U32230"/>
      <c r="X32230" s="60"/>
    </row>
    <row r="32231" spans="7:24" ht="15" customHeight="1">
      <c r="G32231"/>
      <c r="I32231"/>
      <c r="N32231"/>
      <c r="O32231" s="24"/>
      <c r="P32231"/>
      <c r="Q32231" s="24"/>
      <c r="R32231"/>
      <c r="S32231"/>
      <c r="T32231"/>
      <c r="U32231"/>
      <c r="X32231" s="60"/>
    </row>
    <row r="32232" spans="7:24" ht="15" customHeight="1">
      <c r="G32232"/>
      <c r="I32232"/>
      <c r="N32232"/>
      <c r="O32232" s="24"/>
      <c r="P32232"/>
      <c r="Q32232" s="24"/>
      <c r="R32232"/>
      <c r="S32232"/>
      <c r="T32232"/>
      <c r="U32232"/>
      <c r="X32232" s="60"/>
    </row>
    <row r="32233" spans="7:24" ht="15" customHeight="1">
      <c r="G32233"/>
      <c r="I32233"/>
      <c r="N32233"/>
      <c r="O32233" s="24"/>
      <c r="P32233"/>
      <c r="Q32233" s="24"/>
      <c r="R32233"/>
      <c r="S32233"/>
      <c r="T32233"/>
      <c r="U32233"/>
      <c r="X32233" s="60"/>
    </row>
    <row r="32234" spans="7:24" ht="15" customHeight="1">
      <c r="G32234"/>
      <c r="I32234"/>
      <c r="N32234"/>
      <c r="O32234" s="24"/>
      <c r="P32234"/>
      <c r="Q32234" s="24"/>
      <c r="R32234"/>
      <c r="S32234"/>
      <c r="T32234"/>
      <c r="U32234"/>
      <c r="X32234" s="60"/>
    </row>
    <row r="32235" spans="7:24" ht="15" customHeight="1">
      <c r="G32235"/>
      <c r="I32235"/>
      <c r="N32235"/>
      <c r="O32235" s="24"/>
      <c r="P32235"/>
      <c r="Q32235" s="24"/>
      <c r="R32235"/>
      <c r="S32235"/>
      <c r="T32235"/>
      <c r="U32235"/>
      <c r="X32235" s="60"/>
    </row>
    <row r="32236" spans="7:24" ht="15" customHeight="1">
      <c r="G32236"/>
      <c r="I32236"/>
      <c r="N32236"/>
      <c r="O32236" s="24"/>
      <c r="P32236"/>
      <c r="Q32236" s="24"/>
      <c r="R32236"/>
      <c r="S32236"/>
      <c r="T32236"/>
      <c r="U32236"/>
      <c r="X32236" s="60"/>
    </row>
    <row r="32237" spans="7:24" ht="15" customHeight="1">
      <c r="G32237"/>
      <c r="I32237"/>
      <c r="N32237"/>
      <c r="O32237" s="24"/>
      <c r="P32237"/>
      <c r="Q32237" s="24"/>
      <c r="R32237"/>
      <c r="S32237"/>
      <c r="T32237"/>
      <c r="U32237"/>
      <c r="X32237" s="60"/>
    </row>
    <row r="32238" spans="7:24" ht="15" customHeight="1">
      <c r="G32238"/>
      <c r="I32238"/>
      <c r="N32238"/>
      <c r="O32238" s="24"/>
      <c r="P32238"/>
      <c r="Q32238" s="24"/>
      <c r="R32238"/>
      <c r="S32238"/>
      <c r="T32238"/>
      <c r="U32238"/>
      <c r="X32238" s="60"/>
    </row>
    <row r="32239" spans="7:24" ht="15" customHeight="1">
      <c r="G32239"/>
      <c r="I32239"/>
      <c r="N32239"/>
      <c r="O32239" s="24"/>
      <c r="P32239"/>
      <c r="Q32239" s="24"/>
      <c r="R32239"/>
      <c r="S32239"/>
      <c r="T32239"/>
      <c r="U32239"/>
      <c r="X32239" s="60"/>
    </row>
    <row r="32240" spans="7:24" ht="15" customHeight="1">
      <c r="G32240"/>
      <c r="I32240"/>
      <c r="N32240"/>
      <c r="O32240" s="24"/>
      <c r="P32240"/>
      <c r="Q32240" s="24"/>
      <c r="R32240"/>
      <c r="S32240"/>
      <c r="T32240"/>
      <c r="U32240"/>
      <c r="X32240" s="60"/>
    </row>
    <row r="32241" spans="7:24" ht="15" customHeight="1">
      <c r="G32241"/>
      <c r="I32241"/>
      <c r="N32241"/>
      <c r="O32241" s="24"/>
      <c r="P32241"/>
      <c r="Q32241" s="24"/>
      <c r="R32241"/>
      <c r="S32241"/>
      <c r="T32241"/>
      <c r="U32241"/>
      <c r="X32241" s="60"/>
    </row>
    <row r="32242" spans="7:24" ht="15" customHeight="1">
      <c r="G32242"/>
      <c r="I32242"/>
      <c r="N32242"/>
      <c r="O32242" s="24"/>
      <c r="P32242"/>
      <c r="Q32242" s="24"/>
      <c r="R32242"/>
      <c r="S32242"/>
      <c r="T32242"/>
      <c r="U32242"/>
      <c r="X32242" s="60"/>
    </row>
    <row r="32243" spans="7:24" ht="15" customHeight="1">
      <c r="G32243"/>
      <c r="I32243"/>
      <c r="N32243"/>
      <c r="O32243" s="24"/>
      <c r="P32243"/>
      <c r="Q32243" s="24"/>
      <c r="R32243"/>
      <c r="S32243"/>
      <c r="T32243"/>
      <c r="U32243"/>
      <c r="X32243" s="60"/>
    </row>
    <row r="32244" spans="7:24" ht="15" customHeight="1">
      <c r="G32244"/>
      <c r="I32244"/>
      <c r="N32244"/>
      <c r="O32244" s="24"/>
      <c r="P32244"/>
      <c r="Q32244" s="24"/>
      <c r="R32244"/>
      <c r="S32244"/>
      <c r="T32244"/>
      <c r="U32244"/>
      <c r="X32244" s="60"/>
    </row>
    <row r="32245" spans="7:24" ht="15" customHeight="1">
      <c r="G32245"/>
      <c r="I32245"/>
      <c r="N32245"/>
      <c r="O32245" s="24"/>
      <c r="P32245"/>
      <c r="Q32245" s="24"/>
      <c r="R32245"/>
      <c r="S32245"/>
      <c r="T32245"/>
      <c r="U32245"/>
      <c r="X32245" s="60"/>
    </row>
    <row r="32246" spans="7:24" ht="15" customHeight="1">
      <c r="G32246"/>
      <c r="I32246"/>
      <c r="N32246"/>
      <c r="O32246" s="24"/>
      <c r="P32246"/>
      <c r="Q32246" s="24"/>
      <c r="R32246"/>
      <c r="S32246"/>
      <c r="T32246"/>
      <c r="U32246"/>
      <c r="X32246" s="60"/>
    </row>
    <row r="32247" spans="7:24" ht="15" customHeight="1">
      <c r="G32247"/>
      <c r="I32247"/>
      <c r="N32247"/>
      <c r="O32247" s="24"/>
      <c r="P32247"/>
      <c r="Q32247" s="24"/>
      <c r="R32247"/>
      <c r="S32247"/>
      <c r="T32247"/>
      <c r="U32247"/>
      <c r="X32247" s="60"/>
    </row>
    <row r="32248" spans="7:24" ht="15" customHeight="1">
      <c r="G32248"/>
      <c r="I32248"/>
      <c r="N32248"/>
      <c r="O32248" s="24"/>
      <c r="P32248"/>
      <c r="Q32248" s="24"/>
      <c r="R32248"/>
      <c r="S32248"/>
      <c r="T32248"/>
      <c r="U32248"/>
      <c r="X32248" s="60"/>
    </row>
    <row r="32249" spans="7:24" ht="15" customHeight="1">
      <c r="G32249"/>
      <c r="I32249"/>
      <c r="N32249"/>
      <c r="O32249" s="24"/>
      <c r="P32249"/>
      <c r="Q32249" s="24"/>
      <c r="R32249"/>
      <c r="S32249"/>
      <c r="T32249"/>
      <c r="U32249"/>
      <c r="X32249" s="60"/>
    </row>
    <row r="32250" spans="7:24" ht="15" customHeight="1">
      <c r="G32250"/>
      <c r="I32250"/>
      <c r="N32250"/>
      <c r="O32250" s="24"/>
      <c r="P32250"/>
      <c r="Q32250" s="24"/>
      <c r="R32250"/>
      <c r="S32250"/>
      <c r="T32250"/>
      <c r="U32250"/>
      <c r="X32250" s="60"/>
    </row>
    <row r="32251" spans="7:24" ht="15" customHeight="1">
      <c r="G32251"/>
      <c r="I32251"/>
      <c r="N32251"/>
      <c r="O32251" s="24"/>
      <c r="P32251"/>
      <c r="Q32251" s="24"/>
      <c r="R32251"/>
      <c r="S32251"/>
      <c r="T32251"/>
      <c r="U32251"/>
      <c r="X32251" s="60"/>
    </row>
    <row r="32252" spans="7:24" ht="15" customHeight="1">
      <c r="G32252"/>
      <c r="I32252"/>
      <c r="N32252"/>
      <c r="O32252" s="24"/>
      <c r="P32252"/>
      <c r="Q32252" s="24"/>
      <c r="R32252"/>
      <c r="S32252"/>
      <c r="T32252"/>
      <c r="U32252"/>
      <c r="X32252" s="60"/>
    </row>
    <row r="32253" spans="7:24" ht="15" customHeight="1">
      <c r="G32253"/>
      <c r="I32253"/>
      <c r="N32253"/>
      <c r="O32253" s="24"/>
      <c r="P32253"/>
      <c r="Q32253" s="24"/>
      <c r="R32253"/>
      <c r="S32253"/>
      <c r="T32253"/>
      <c r="U32253"/>
      <c r="X32253" s="60"/>
    </row>
    <row r="32254" spans="7:24" ht="15" customHeight="1">
      <c r="G32254"/>
      <c r="I32254"/>
      <c r="N32254"/>
      <c r="O32254" s="24"/>
      <c r="P32254"/>
      <c r="Q32254" s="24"/>
      <c r="R32254"/>
      <c r="S32254"/>
      <c r="T32254"/>
      <c r="U32254"/>
      <c r="X32254" s="60"/>
    </row>
    <row r="32255" spans="7:24" ht="15" customHeight="1">
      <c r="G32255"/>
      <c r="I32255"/>
      <c r="N32255"/>
      <c r="O32255" s="24"/>
      <c r="P32255"/>
      <c r="Q32255" s="24"/>
      <c r="R32255"/>
      <c r="S32255"/>
      <c r="T32255"/>
      <c r="U32255"/>
      <c r="X32255" s="60"/>
    </row>
    <row r="32256" spans="7:24" ht="15" customHeight="1">
      <c r="G32256"/>
      <c r="I32256"/>
      <c r="N32256"/>
      <c r="O32256" s="24"/>
      <c r="P32256"/>
      <c r="Q32256" s="24"/>
      <c r="R32256"/>
      <c r="S32256"/>
      <c r="T32256"/>
      <c r="U32256"/>
      <c r="X32256" s="60"/>
    </row>
    <row r="32257" spans="7:24" ht="15" customHeight="1">
      <c r="G32257"/>
      <c r="I32257"/>
      <c r="N32257"/>
      <c r="O32257" s="24"/>
      <c r="P32257"/>
      <c r="Q32257" s="24"/>
      <c r="R32257"/>
      <c r="S32257"/>
      <c r="T32257"/>
      <c r="U32257"/>
      <c r="X32257" s="60"/>
    </row>
    <row r="32258" spans="7:24" ht="15" customHeight="1">
      <c r="G32258"/>
      <c r="I32258"/>
      <c r="N32258"/>
      <c r="O32258" s="24"/>
      <c r="P32258"/>
      <c r="Q32258" s="24"/>
      <c r="R32258"/>
      <c r="S32258"/>
      <c r="T32258"/>
      <c r="U32258"/>
      <c r="X32258" s="60"/>
    </row>
    <row r="32259" spans="7:24" ht="15" customHeight="1">
      <c r="G32259"/>
      <c r="I32259"/>
      <c r="N32259"/>
      <c r="O32259" s="24"/>
      <c r="P32259"/>
      <c r="Q32259" s="24"/>
      <c r="R32259"/>
      <c r="S32259"/>
      <c r="T32259"/>
      <c r="U32259"/>
      <c r="X32259" s="60"/>
    </row>
    <row r="32260" spans="7:24" ht="15" customHeight="1">
      <c r="G32260"/>
      <c r="I32260"/>
      <c r="N32260"/>
      <c r="O32260" s="24"/>
      <c r="P32260"/>
      <c r="Q32260" s="24"/>
      <c r="R32260"/>
      <c r="S32260"/>
      <c r="T32260"/>
      <c r="U32260"/>
      <c r="X32260" s="60"/>
    </row>
    <row r="32261" spans="7:24" ht="15" customHeight="1">
      <c r="G32261"/>
      <c r="I32261"/>
      <c r="N32261"/>
      <c r="O32261" s="24"/>
      <c r="P32261"/>
      <c r="Q32261" s="24"/>
      <c r="R32261"/>
      <c r="S32261"/>
      <c r="T32261"/>
      <c r="U32261"/>
      <c r="X32261" s="60"/>
    </row>
    <row r="32262" spans="7:24" ht="15" customHeight="1">
      <c r="G32262"/>
      <c r="I32262"/>
      <c r="N32262"/>
      <c r="O32262" s="24"/>
      <c r="P32262"/>
      <c r="Q32262" s="24"/>
      <c r="R32262"/>
      <c r="S32262"/>
      <c r="T32262"/>
      <c r="U32262"/>
      <c r="X32262" s="60"/>
    </row>
    <row r="32263" spans="7:24" ht="15" customHeight="1">
      <c r="G32263"/>
      <c r="I32263"/>
      <c r="N32263"/>
      <c r="O32263" s="24"/>
      <c r="P32263"/>
      <c r="Q32263" s="24"/>
      <c r="R32263"/>
      <c r="S32263"/>
      <c r="T32263"/>
      <c r="U32263"/>
      <c r="X32263" s="60"/>
    </row>
    <row r="32264" spans="7:24" ht="15" customHeight="1">
      <c r="G32264"/>
      <c r="I32264"/>
      <c r="N32264"/>
      <c r="O32264" s="24"/>
      <c r="P32264"/>
      <c r="Q32264" s="24"/>
      <c r="R32264"/>
      <c r="S32264"/>
      <c r="T32264"/>
      <c r="U32264"/>
      <c r="X32264" s="60"/>
    </row>
    <row r="32265" spans="7:24" ht="15" customHeight="1">
      <c r="G32265"/>
      <c r="I32265"/>
      <c r="N32265"/>
      <c r="O32265" s="24"/>
      <c r="P32265"/>
      <c r="Q32265" s="24"/>
      <c r="R32265"/>
      <c r="S32265"/>
      <c r="T32265"/>
      <c r="U32265"/>
      <c r="X32265" s="60"/>
    </row>
    <row r="32266" spans="7:24" ht="15" customHeight="1">
      <c r="G32266"/>
      <c r="I32266"/>
      <c r="N32266"/>
      <c r="O32266" s="24"/>
      <c r="P32266"/>
      <c r="Q32266" s="24"/>
      <c r="R32266"/>
      <c r="S32266"/>
      <c r="T32266"/>
      <c r="U32266"/>
      <c r="X32266" s="60"/>
    </row>
    <row r="32267" spans="7:24" ht="15" customHeight="1">
      <c r="G32267"/>
      <c r="I32267"/>
      <c r="N32267"/>
      <c r="O32267" s="24"/>
      <c r="P32267"/>
      <c r="Q32267" s="24"/>
      <c r="R32267"/>
      <c r="S32267"/>
      <c r="T32267"/>
      <c r="U32267"/>
      <c r="X32267" s="60"/>
    </row>
    <row r="32268" spans="7:24" ht="15" customHeight="1">
      <c r="G32268"/>
      <c r="I32268"/>
      <c r="N32268"/>
      <c r="O32268" s="24"/>
      <c r="P32268"/>
      <c r="Q32268" s="24"/>
      <c r="R32268"/>
      <c r="S32268"/>
      <c r="T32268"/>
      <c r="U32268"/>
      <c r="X32268" s="60"/>
    </row>
    <row r="32269" spans="7:24" ht="15" customHeight="1">
      <c r="G32269"/>
      <c r="I32269"/>
      <c r="N32269"/>
      <c r="O32269" s="24"/>
      <c r="P32269"/>
      <c r="Q32269" s="24"/>
      <c r="R32269"/>
      <c r="S32269"/>
      <c r="T32269"/>
      <c r="U32269"/>
      <c r="X32269" s="60"/>
    </row>
    <row r="32270" spans="7:24" ht="15" customHeight="1">
      <c r="G32270"/>
      <c r="I32270"/>
      <c r="N32270"/>
      <c r="O32270" s="24"/>
      <c r="P32270"/>
      <c r="Q32270" s="24"/>
      <c r="R32270"/>
      <c r="S32270"/>
      <c r="T32270"/>
      <c r="U32270"/>
      <c r="X32270" s="60"/>
    </row>
    <row r="32271" spans="7:24" ht="15" customHeight="1">
      <c r="G32271"/>
      <c r="I32271"/>
      <c r="N32271"/>
      <c r="O32271" s="24"/>
      <c r="P32271"/>
      <c r="Q32271" s="24"/>
      <c r="R32271"/>
      <c r="S32271"/>
      <c r="T32271"/>
      <c r="U32271"/>
      <c r="X32271" s="60"/>
    </row>
    <row r="32272" spans="7:24" ht="15" customHeight="1">
      <c r="G32272"/>
      <c r="I32272"/>
      <c r="N32272"/>
      <c r="O32272" s="24"/>
      <c r="P32272"/>
      <c r="Q32272" s="24"/>
      <c r="R32272"/>
      <c r="S32272"/>
      <c r="T32272"/>
      <c r="U32272"/>
      <c r="X32272" s="60"/>
    </row>
    <row r="32273" spans="7:24" ht="15" customHeight="1">
      <c r="G32273"/>
      <c r="I32273"/>
      <c r="N32273"/>
      <c r="O32273" s="24"/>
      <c r="P32273"/>
      <c r="Q32273" s="24"/>
      <c r="R32273"/>
      <c r="S32273"/>
      <c r="T32273"/>
      <c r="U32273"/>
      <c r="X32273" s="60"/>
    </row>
    <row r="32274" spans="7:24" ht="15" customHeight="1">
      <c r="G32274"/>
      <c r="I32274"/>
      <c r="N32274"/>
      <c r="O32274" s="24"/>
      <c r="P32274"/>
      <c r="Q32274" s="24"/>
      <c r="R32274"/>
      <c r="S32274"/>
      <c r="T32274"/>
      <c r="U32274"/>
      <c r="X32274" s="60"/>
    </row>
    <row r="32275" spans="7:24" ht="15" customHeight="1">
      <c r="G32275"/>
      <c r="I32275"/>
      <c r="N32275"/>
      <c r="O32275" s="24"/>
      <c r="P32275"/>
      <c r="Q32275" s="24"/>
      <c r="R32275"/>
      <c r="S32275"/>
      <c r="T32275"/>
      <c r="U32275"/>
      <c r="X32275" s="60"/>
    </row>
    <row r="32276" spans="7:24" ht="15" customHeight="1">
      <c r="G32276"/>
      <c r="I32276"/>
      <c r="N32276"/>
      <c r="O32276" s="24"/>
      <c r="P32276"/>
      <c r="Q32276" s="24"/>
      <c r="R32276"/>
      <c r="S32276"/>
      <c r="T32276"/>
      <c r="U32276"/>
      <c r="X32276" s="60"/>
    </row>
    <row r="32277" spans="7:24" ht="15" customHeight="1">
      <c r="G32277"/>
      <c r="I32277"/>
      <c r="N32277"/>
      <c r="O32277" s="24"/>
      <c r="P32277"/>
      <c r="Q32277" s="24"/>
      <c r="R32277"/>
      <c r="S32277"/>
      <c r="T32277"/>
      <c r="U32277"/>
      <c r="X32277" s="60"/>
    </row>
    <row r="32278" spans="7:24" ht="15" customHeight="1">
      <c r="G32278"/>
      <c r="I32278"/>
      <c r="N32278"/>
      <c r="O32278" s="24"/>
      <c r="P32278"/>
      <c r="Q32278" s="24"/>
      <c r="R32278"/>
      <c r="S32278"/>
      <c r="T32278"/>
      <c r="U32278"/>
      <c r="X32278" s="60"/>
    </row>
    <row r="32279" spans="7:24" ht="15" customHeight="1">
      <c r="G32279"/>
      <c r="I32279"/>
      <c r="N32279"/>
      <c r="O32279" s="24"/>
      <c r="P32279"/>
      <c r="Q32279" s="24"/>
      <c r="R32279"/>
      <c r="S32279"/>
      <c r="T32279"/>
      <c r="U32279"/>
      <c r="X32279" s="60"/>
    </row>
    <row r="32280" spans="7:24" ht="15" customHeight="1">
      <c r="G32280"/>
      <c r="I32280"/>
      <c r="N32280"/>
      <c r="O32280" s="24"/>
      <c r="P32280"/>
      <c r="Q32280" s="24"/>
      <c r="R32280"/>
      <c r="S32280"/>
      <c r="T32280"/>
      <c r="U32280"/>
      <c r="X32280" s="60"/>
    </row>
    <row r="32281" spans="7:24" ht="15" customHeight="1">
      <c r="G32281"/>
      <c r="I32281"/>
      <c r="N32281"/>
      <c r="O32281" s="24"/>
      <c r="P32281"/>
      <c r="Q32281" s="24"/>
      <c r="R32281"/>
      <c r="S32281"/>
      <c r="T32281"/>
      <c r="U32281"/>
      <c r="X32281" s="60"/>
    </row>
    <row r="32282" spans="7:24" ht="15" customHeight="1">
      <c r="G32282"/>
      <c r="I32282"/>
      <c r="N32282"/>
      <c r="O32282" s="24"/>
      <c r="P32282"/>
      <c r="Q32282" s="24"/>
      <c r="R32282"/>
      <c r="S32282"/>
      <c r="T32282"/>
      <c r="U32282"/>
      <c r="X32282" s="60"/>
    </row>
    <row r="32283" spans="7:24" ht="15" customHeight="1">
      <c r="G32283"/>
      <c r="I32283"/>
      <c r="N32283"/>
      <c r="O32283" s="24"/>
      <c r="P32283"/>
      <c r="Q32283" s="24"/>
      <c r="R32283"/>
      <c r="S32283"/>
      <c r="T32283"/>
      <c r="U32283"/>
      <c r="X32283" s="60"/>
    </row>
    <row r="32284" spans="7:24" ht="15" customHeight="1">
      <c r="G32284"/>
      <c r="I32284"/>
      <c r="N32284"/>
      <c r="O32284" s="24"/>
      <c r="P32284"/>
      <c r="Q32284" s="24"/>
      <c r="R32284"/>
      <c r="S32284"/>
      <c r="T32284"/>
      <c r="U32284"/>
      <c r="X32284" s="60"/>
    </row>
    <row r="32285" spans="7:24" ht="15" customHeight="1">
      <c r="G32285"/>
      <c r="I32285"/>
      <c r="N32285"/>
      <c r="O32285" s="24"/>
      <c r="P32285"/>
      <c r="Q32285" s="24"/>
      <c r="R32285"/>
      <c r="S32285"/>
      <c r="T32285"/>
      <c r="U32285"/>
      <c r="X32285" s="60"/>
    </row>
    <row r="32286" spans="7:24" ht="15" customHeight="1">
      <c r="G32286"/>
      <c r="I32286"/>
      <c r="N32286"/>
      <c r="O32286" s="24"/>
      <c r="P32286"/>
      <c r="Q32286" s="24"/>
      <c r="R32286"/>
      <c r="S32286"/>
      <c r="T32286"/>
      <c r="U32286"/>
      <c r="X32286" s="60"/>
    </row>
    <row r="32287" spans="7:24" ht="15" customHeight="1">
      <c r="G32287"/>
      <c r="I32287"/>
      <c r="N32287"/>
      <c r="O32287" s="24"/>
      <c r="P32287"/>
      <c r="Q32287" s="24"/>
      <c r="R32287"/>
      <c r="S32287"/>
      <c r="T32287"/>
      <c r="U32287"/>
      <c r="X32287" s="60"/>
    </row>
    <row r="32288" spans="7:24" ht="15" customHeight="1">
      <c r="G32288"/>
      <c r="I32288"/>
      <c r="N32288"/>
      <c r="O32288" s="24"/>
      <c r="P32288"/>
      <c r="Q32288" s="24"/>
      <c r="R32288"/>
      <c r="S32288"/>
      <c r="T32288"/>
      <c r="U32288"/>
      <c r="X32288" s="60"/>
    </row>
    <row r="32289" spans="7:24" ht="15" customHeight="1">
      <c r="G32289"/>
      <c r="I32289"/>
      <c r="N32289"/>
      <c r="O32289" s="24"/>
      <c r="P32289"/>
      <c r="Q32289" s="24"/>
      <c r="R32289"/>
      <c r="S32289"/>
      <c r="T32289"/>
      <c r="U32289"/>
      <c r="X32289" s="60"/>
    </row>
    <row r="32290" spans="7:24" ht="15" customHeight="1">
      <c r="G32290"/>
      <c r="I32290"/>
      <c r="N32290"/>
      <c r="O32290" s="24"/>
      <c r="P32290"/>
      <c r="Q32290" s="24"/>
      <c r="R32290"/>
      <c r="S32290"/>
      <c r="T32290"/>
      <c r="U32290"/>
      <c r="X32290" s="60"/>
    </row>
    <row r="32291" spans="7:24" ht="15" customHeight="1">
      <c r="G32291"/>
      <c r="I32291"/>
      <c r="N32291"/>
      <c r="O32291" s="24"/>
      <c r="P32291"/>
      <c r="Q32291" s="24"/>
      <c r="R32291"/>
      <c r="S32291"/>
      <c r="T32291"/>
      <c r="U32291"/>
      <c r="X32291" s="60"/>
    </row>
    <row r="32292" spans="7:24" ht="15" customHeight="1">
      <c r="G32292"/>
      <c r="I32292"/>
      <c r="N32292"/>
      <c r="O32292" s="24"/>
      <c r="P32292"/>
      <c r="Q32292" s="24"/>
      <c r="R32292"/>
      <c r="S32292"/>
      <c r="T32292"/>
      <c r="U32292"/>
      <c r="X32292" s="60"/>
    </row>
    <row r="32293" spans="7:24" ht="15" customHeight="1">
      <c r="G32293"/>
      <c r="I32293"/>
      <c r="N32293"/>
      <c r="O32293" s="24"/>
      <c r="P32293"/>
      <c r="Q32293" s="24"/>
      <c r="R32293"/>
      <c r="S32293"/>
      <c r="T32293"/>
      <c r="U32293"/>
      <c r="X32293" s="60"/>
    </row>
    <row r="32294" spans="7:24" ht="15" customHeight="1">
      <c r="G32294"/>
      <c r="I32294"/>
      <c r="N32294"/>
      <c r="O32294" s="24"/>
      <c r="P32294"/>
      <c r="Q32294" s="24"/>
      <c r="R32294"/>
      <c r="S32294"/>
      <c r="T32294"/>
      <c r="U32294"/>
      <c r="X32294" s="60"/>
    </row>
    <row r="32295" spans="7:24" ht="15" customHeight="1">
      <c r="G32295"/>
      <c r="I32295"/>
      <c r="N32295"/>
      <c r="O32295" s="24"/>
      <c r="P32295"/>
      <c r="Q32295" s="24"/>
      <c r="R32295"/>
      <c r="S32295"/>
      <c r="T32295"/>
      <c r="U32295"/>
      <c r="X32295" s="60"/>
    </row>
    <row r="32296" spans="7:24" ht="15" customHeight="1">
      <c r="G32296"/>
      <c r="I32296"/>
      <c r="N32296"/>
      <c r="O32296" s="24"/>
      <c r="P32296"/>
      <c r="Q32296" s="24"/>
      <c r="R32296"/>
      <c r="S32296"/>
      <c r="T32296"/>
      <c r="U32296"/>
      <c r="X32296" s="60"/>
    </row>
    <row r="32297" spans="7:24" ht="15" customHeight="1">
      <c r="G32297"/>
      <c r="I32297"/>
      <c r="N32297"/>
      <c r="O32297" s="24"/>
      <c r="P32297"/>
      <c r="Q32297" s="24"/>
      <c r="R32297"/>
      <c r="S32297"/>
      <c r="T32297"/>
      <c r="U32297"/>
      <c r="X32297" s="60"/>
    </row>
    <row r="32298" spans="7:24" ht="15" customHeight="1">
      <c r="G32298"/>
      <c r="I32298"/>
      <c r="N32298"/>
      <c r="O32298" s="24"/>
      <c r="P32298"/>
      <c r="Q32298" s="24"/>
      <c r="R32298"/>
      <c r="S32298"/>
      <c r="T32298"/>
      <c r="U32298"/>
      <c r="X32298" s="60"/>
    </row>
    <row r="32299" spans="7:24" ht="15" customHeight="1">
      <c r="G32299"/>
      <c r="I32299"/>
      <c r="N32299"/>
      <c r="O32299" s="24"/>
      <c r="P32299"/>
      <c r="Q32299" s="24"/>
      <c r="R32299"/>
      <c r="S32299"/>
      <c r="T32299"/>
      <c r="U32299"/>
      <c r="X32299" s="60"/>
    </row>
    <row r="32300" spans="7:24" ht="15" customHeight="1">
      <c r="G32300"/>
      <c r="I32300"/>
      <c r="N32300"/>
      <c r="O32300" s="24"/>
      <c r="P32300"/>
      <c r="Q32300" s="24"/>
      <c r="R32300"/>
      <c r="S32300"/>
      <c r="T32300"/>
      <c r="U32300"/>
      <c r="X32300" s="60"/>
    </row>
    <row r="32301" spans="7:24" ht="15" customHeight="1">
      <c r="G32301"/>
      <c r="I32301"/>
      <c r="N32301"/>
      <c r="O32301" s="24"/>
      <c r="P32301"/>
      <c r="Q32301" s="24"/>
      <c r="R32301"/>
      <c r="S32301"/>
      <c r="T32301"/>
      <c r="U32301"/>
      <c r="X32301" s="60"/>
    </row>
    <row r="32302" spans="7:24" ht="15" customHeight="1">
      <c r="G32302"/>
      <c r="I32302"/>
      <c r="N32302"/>
      <c r="O32302" s="24"/>
      <c r="P32302"/>
      <c r="Q32302" s="24"/>
      <c r="R32302"/>
      <c r="S32302"/>
      <c r="T32302"/>
      <c r="U32302"/>
      <c r="X32302" s="60"/>
    </row>
    <row r="32303" spans="7:24" ht="15" customHeight="1">
      <c r="G32303"/>
      <c r="I32303"/>
      <c r="N32303"/>
      <c r="O32303" s="24"/>
      <c r="P32303"/>
      <c r="Q32303" s="24"/>
      <c r="R32303"/>
      <c r="S32303"/>
      <c r="T32303"/>
      <c r="U32303"/>
      <c r="X32303" s="60"/>
    </row>
    <row r="32304" spans="7:24" ht="15" customHeight="1">
      <c r="G32304"/>
      <c r="I32304"/>
      <c r="N32304"/>
      <c r="O32304" s="24"/>
      <c r="P32304"/>
      <c r="Q32304" s="24"/>
      <c r="R32304"/>
      <c r="S32304"/>
      <c r="T32304"/>
      <c r="U32304"/>
      <c r="X32304" s="60"/>
    </row>
    <row r="32305" spans="7:24" ht="15" customHeight="1">
      <c r="G32305"/>
      <c r="I32305"/>
      <c r="N32305"/>
      <c r="O32305" s="24"/>
      <c r="P32305"/>
      <c r="Q32305" s="24"/>
      <c r="R32305"/>
      <c r="S32305"/>
      <c r="T32305"/>
      <c r="U32305"/>
      <c r="X32305" s="60"/>
    </row>
    <row r="32306" spans="7:24" ht="15" customHeight="1">
      <c r="G32306"/>
      <c r="I32306"/>
      <c r="N32306"/>
      <c r="O32306" s="24"/>
      <c r="P32306"/>
      <c r="Q32306" s="24"/>
      <c r="R32306"/>
      <c r="S32306"/>
      <c r="T32306"/>
      <c r="U32306"/>
      <c r="X32306" s="60"/>
    </row>
    <row r="32307" spans="7:24" ht="15" customHeight="1">
      <c r="G32307"/>
      <c r="I32307"/>
      <c r="N32307"/>
      <c r="O32307" s="24"/>
      <c r="P32307"/>
      <c r="Q32307" s="24"/>
      <c r="R32307"/>
      <c r="S32307"/>
      <c r="T32307"/>
      <c r="U32307"/>
      <c r="X32307" s="60"/>
    </row>
    <row r="32308" spans="7:24" ht="15" customHeight="1">
      <c r="G32308"/>
      <c r="I32308"/>
      <c r="N32308"/>
      <c r="O32308" s="24"/>
      <c r="P32308"/>
      <c r="Q32308" s="24"/>
      <c r="R32308"/>
      <c r="S32308"/>
      <c r="T32308"/>
      <c r="U32308"/>
      <c r="X32308" s="60"/>
    </row>
    <row r="32309" spans="7:24" ht="15" customHeight="1">
      <c r="G32309"/>
      <c r="I32309"/>
      <c r="N32309"/>
      <c r="O32309" s="24"/>
      <c r="P32309"/>
      <c r="Q32309" s="24"/>
      <c r="R32309"/>
      <c r="S32309"/>
      <c r="T32309"/>
      <c r="U32309"/>
      <c r="X32309" s="60"/>
    </row>
    <row r="32310" spans="7:24" ht="15" customHeight="1">
      <c r="G32310"/>
      <c r="I32310"/>
      <c r="N32310"/>
      <c r="O32310" s="24"/>
      <c r="P32310"/>
      <c r="Q32310" s="24"/>
      <c r="R32310"/>
      <c r="S32310"/>
      <c r="T32310"/>
      <c r="U32310"/>
      <c r="X32310" s="60"/>
    </row>
    <row r="32311" spans="7:24" ht="15" customHeight="1">
      <c r="G32311"/>
      <c r="I32311"/>
      <c r="N32311"/>
      <c r="O32311" s="24"/>
      <c r="P32311"/>
      <c r="Q32311" s="24"/>
      <c r="R32311"/>
      <c r="S32311"/>
      <c r="T32311"/>
      <c r="U32311"/>
      <c r="X32311" s="60"/>
    </row>
    <row r="32312" spans="7:24" ht="15" customHeight="1">
      <c r="G32312"/>
      <c r="I32312"/>
      <c r="N32312"/>
      <c r="O32312" s="24"/>
      <c r="P32312"/>
      <c r="Q32312" s="24"/>
      <c r="R32312"/>
      <c r="S32312"/>
      <c r="T32312"/>
      <c r="U32312"/>
      <c r="X32312" s="60"/>
    </row>
    <row r="32313" spans="7:24" ht="15" customHeight="1">
      <c r="G32313"/>
      <c r="I32313"/>
      <c r="N32313"/>
      <c r="O32313" s="24"/>
      <c r="P32313"/>
      <c r="Q32313" s="24"/>
      <c r="R32313"/>
      <c r="S32313"/>
      <c r="T32313"/>
      <c r="U32313"/>
      <c r="X32313" s="60"/>
    </row>
    <row r="32314" spans="7:24" ht="15" customHeight="1">
      <c r="G32314"/>
      <c r="I32314"/>
      <c r="N32314"/>
      <c r="O32314" s="24"/>
      <c r="P32314"/>
      <c r="Q32314" s="24"/>
      <c r="R32314"/>
      <c r="S32314"/>
      <c r="T32314"/>
      <c r="U32314"/>
      <c r="X32314" s="60"/>
    </row>
    <row r="32315" spans="7:24" ht="15" customHeight="1">
      <c r="G32315"/>
      <c r="I32315"/>
      <c r="N32315"/>
      <c r="O32315" s="24"/>
      <c r="P32315"/>
      <c r="Q32315" s="24"/>
      <c r="R32315"/>
      <c r="S32315"/>
      <c r="T32315"/>
      <c r="U32315"/>
      <c r="X32315" s="60"/>
    </row>
    <row r="32316" spans="7:24" ht="15" customHeight="1">
      <c r="G32316"/>
      <c r="I32316"/>
      <c r="N32316"/>
      <c r="O32316" s="24"/>
      <c r="P32316"/>
      <c r="Q32316" s="24"/>
      <c r="R32316"/>
      <c r="S32316"/>
      <c r="T32316"/>
      <c r="U32316"/>
      <c r="X32316" s="60"/>
    </row>
    <row r="32317" spans="7:24" ht="15" customHeight="1">
      <c r="G32317"/>
      <c r="I32317"/>
      <c r="N32317"/>
      <c r="O32317" s="24"/>
      <c r="P32317"/>
      <c r="Q32317" s="24"/>
      <c r="R32317"/>
      <c r="S32317"/>
      <c r="T32317"/>
      <c r="U32317"/>
      <c r="X32317" s="60"/>
    </row>
    <row r="32318" spans="7:24" ht="15" customHeight="1">
      <c r="G32318"/>
      <c r="I32318"/>
      <c r="N32318"/>
      <c r="O32318" s="24"/>
      <c r="P32318"/>
      <c r="Q32318" s="24"/>
      <c r="R32318"/>
      <c r="S32318"/>
      <c r="T32318"/>
      <c r="U32318"/>
      <c r="X32318" s="60"/>
    </row>
    <row r="32319" spans="7:24" ht="15" customHeight="1">
      <c r="G32319"/>
      <c r="I32319"/>
      <c r="N32319"/>
      <c r="O32319" s="24"/>
      <c r="P32319"/>
      <c r="Q32319" s="24"/>
      <c r="R32319"/>
      <c r="S32319"/>
      <c r="T32319"/>
      <c r="U32319"/>
      <c r="X32319" s="60"/>
    </row>
    <row r="32320" spans="7:24" ht="15" customHeight="1">
      <c r="G32320"/>
      <c r="I32320"/>
      <c r="N32320"/>
      <c r="O32320" s="24"/>
      <c r="P32320"/>
      <c r="Q32320" s="24"/>
      <c r="R32320"/>
      <c r="S32320"/>
      <c r="T32320"/>
      <c r="U32320"/>
      <c r="X32320" s="60"/>
    </row>
    <row r="32321" spans="7:24" ht="15" customHeight="1">
      <c r="G32321"/>
      <c r="I32321"/>
      <c r="N32321"/>
      <c r="O32321" s="24"/>
      <c r="P32321"/>
      <c r="Q32321" s="24"/>
      <c r="R32321"/>
      <c r="S32321"/>
      <c r="T32321"/>
      <c r="U32321"/>
      <c r="X32321" s="60"/>
    </row>
    <row r="32322" spans="7:24" ht="15" customHeight="1">
      <c r="G32322"/>
      <c r="I32322"/>
      <c r="N32322"/>
      <c r="O32322" s="24"/>
      <c r="P32322"/>
      <c r="Q32322" s="24"/>
      <c r="R32322"/>
      <c r="S32322"/>
      <c r="T32322"/>
      <c r="U32322"/>
      <c r="X32322" s="60"/>
    </row>
    <row r="32323" spans="7:24" ht="15" customHeight="1">
      <c r="G32323"/>
      <c r="I32323"/>
      <c r="N32323"/>
      <c r="O32323" s="24"/>
      <c r="P32323"/>
      <c r="Q32323" s="24"/>
      <c r="R32323"/>
      <c r="S32323"/>
      <c r="T32323"/>
      <c r="U32323"/>
      <c r="X32323" s="60"/>
    </row>
    <row r="32324" spans="7:24" ht="15" customHeight="1">
      <c r="G32324"/>
      <c r="I32324"/>
      <c r="N32324"/>
      <c r="O32324" s="24"/>
      <c r="P32324"/>
      <c r="Q32324" s="24"/>
      <c r="R32324"/>
      <c r="S32324"/>
      <c r="T32324"/>
      <c r="U32324"/>
      <c r="X32324" s="60"/>
    </row>
    <row r="32325" spans="7:24" ht="15" customHeight="1">
      <c r="G32325"/>
      <c r="I32325"/>
      <c r="N32325"/>
      <c r="O32325" s="24"/>
      <c r="P32325"/>
      <c r="Q32325" s="24"/>
      <c r="R32325"/>
      <c r="S32325"/>
      <c r="T32325"/>
      <c r="U32325"/>
      <c r="X32325" s="60"/>
    </row>
    <row r="32326" spans="7:24" ht="15" customHeight="1">
      <c r="G32326"/>
      <c r="I32326"/>
      <c r="N32326"/>
      <c r="O32326" s="24"/>
      <c r="P32326"/>
      <c r="Q32326" s="24"/>
      <c r="R32326"/>
      <c r="S32326"/>
      <c r="T32326"/>
      <c r="U32326"/>
      <c r="X32326" s="60"/>
    </row>
    <row r="32327" spans="7:24" ht="15" customHeight="1">
      <c r="G32327"/>
      <c r="I32327"/>
      <c r="N32327"/>
      <c r="O32327" s="24"/>
      <c r="P32327"/>
      <c r="Q32327" s="24"/>
      <c r="R32327"/>
      <c r="S32327"/>
      <c r="T32327"/>
      <c r="U32327"/>
      <c r="X32327" s="60"/>
    </row>
    <row r="32328" spans="7:24" ht="15" customHeight="1">
      <c r="G32328"/>
      <c r="I32328"/>
      <c r="N32328"/>
      <c r="O32328" s="24"/>
      <c r="P32328"/>
      <c r="Q32328" s="24"/>
      <c r="R32328"/>
      <c r="S32328"/>
      <c r="T32328"/>
      <c r="U32328"/>
      <c r="X32328" s="60"/>
    </row>
    <row r="32329" spans="7:24" ht="15" customHeight="1">
      <c r="G32329"/>
      <c r="I32329"/>
      <c r="N32329"/>
      <c r="O32329" s="24"/>
      <c r="P32329"/>
      <c r="Q32329" s="24"/>
      <c r="R32329"/>
      <c r="S32329"/>
      <c r="T32329"/>
      <c r="U32329"/>
      <c r="X32329" s="60"/>
    </row>
    <row r="32330" spans="7:24" ht="15" customHeight="1">
      <c r="G32330"/>
      <c r="I32330"/>
      <c r="N32330"/>
      <c r="O32330" s="24"/>
      <c r="P32330"/>
      <c r="Q32330" s="24"/>
      <c r="R32330"/>
      <c r="S32330"/>
      <c r="T32330"/>
      <c r="U32330"/>
      <c r="X32330" s="60"/>
    </row>
    <row r="32331" spans="7:24" ht="15" customHeight="1">
      <c r="G32331"/>
      <c r="I32331"/>
      <c r="N32331"/>
      <c r="O32331" s="24"/>
      <c r="P32331"/>
      <c r="Q32331" s="24"/>
      <c r="R32331"/>
      <c r="S32331"/>
      <c r="T32331"/>
      <c r="U32331"/>
      <c r="X32331" s="60"/>
    </row>
    <row r="32332" spans="7:24" ht="15" customHeight="1">
      <c r="G32332"/>
      <c r="I32332"/>
      <c r="N32332"/>
      <c r="O32332" s="24"/>
      <c r="P32332"/>
      <c r="Q32332" s="24"/>
      <c r="R32332"/>
      <c r="S32332"/>
      <c r="T32332"/>
      <c r="U32332"/>
      <c r="X32332" s="60"/>
    </row>
    <row r="32333" spans="7:24" ht="15" customHeight="1">
      <c r="G32333"/>
      <c r="I32333"/>
      <c r="N32333"/>
      <c r="O32333" s="24"/>
      <c r="P32333"/>
      <c r="Q32333" s="24"/>
      <c r="R32333"/>
      <c r="S32333"/>
      <c r="T32333"/>
      <c r="U32333"/>
      <c r="X32333" s="60"/>
    </row>
    <row r="32334" spans="7:24" ht="15" customHeight="1">
      <c r="G32334"/>
      <c r="I32334"/>
      <c r="N32334"/>
      <c r="O32334" s="24"/>
      <c r="P32334"/>
      <c r="Q32334" s="24"/>
      <c r="R32334"/>
      <c r="S32334"/>
      <c r="T32334"/>
      <c r="U32334"/>
      <c r="X32334" s="60"/>
    </row>
    <row r="32335" spans="7:24" ht="15" customHeight="1">
      <c r="G32335"/>
      <c r="I32335"/>
      <c r="N32335"/>
      <c r="O32335" s="24"/>
      <c r="P32335"/>
      <c r="Q32335" s="24"/>
      <c r="R32335"/>
      <c r="S32335"/>
      <c r="T32335"/>
      <c r="U32335"/>
      <c r="X32335" s="60"/>
    </row>
    <row r="32336" spans="7:24" ht="15" customHeight="1">
      <c r="G32336"/>
      <c r="I32336"/>
      <c r="N32336"/>
      <c r="O32336" s="24"/>
      <c r="P32336"/>
      <c r="Q32336" s="24"/>
      <c r="R32336"/>
      <c r="S32336"/>
      <c r="T32336"/>
      <c r="U32336"/>
      <c r="X32336" s="60"/>
    </row>
    <row r="32337" spans="7:24" ht="15" customHeight="1">
      <c r="G32337"/>
      <c r="I32337"/>
      <c r="N32337"/>
      <c r="O32337" s="24"/>
      <c r="P32337"/>
      <c r="Q32337" s="24"/>
      <c r="R32337"/>
      <c r="S32337"/>
      <c r="T32337"/>
      <c r="U32337"/>
      <c r="X32337" s="60"/>
    </row>
    <row r="32338" spans="7:24" ht="15" customHeight="1">
      <c r="G32338"/>
      <c r="I32338"/>
      <c r="N32338"/>
      <c r="O32338" s="24"/>
      <c r="P32338"/>
      <c r="Q32338" s="24"/>
      <c r="R32338"/>
      <c r="S32338"/>
      <c r="T32338"/>
      <c r="U32338"/>
      <c r="X32338" s="60"/>
    </row>
    <row r="32339" spans="7:24" ht="15" customHeight="1">
      <c r="G32339"/>
      <c r="I32339"/>
      <c r="N32339"/>
      <c r="O32339" s="24"/>
      <c r="P32339"/>
      <c r="Q32339" s="24"/>
      <c r="R32339"/>
      <c r="S32339"/>
      <c r="T32339"/>
      <c r="U32339"/>
      <c r="X32339" s="60"/>
    </row>
    <row r="32340" spans="7:24" ht="15" customHeight="1">
      <c r="G32340"/>
      <c r="I32340"/>
      <c r="N32340"/>
      <c r="O32340" s="24"/>
      <c r="P32340"/>
      <c r="Q32340" s="24"/>
      <c r="R32340"/>
      <c r="S32340"/>
      <c r="T32340"/>
      <c r="U32340"/>
      <c r="X32340" s="60"/>
    </row>
    <row r="32341" spans="7:24" ht="15" customHeight="1">
      <c r="G32341"/>
      <c r="I32341"/>
      <c r="N32341"/>
      <c r="O32341" s="24"/>
      <c r="P32341"/>
      <c r="Q32341" s="24"/>
      <c r="R32341"/>
      <c r="S32341"/>
      <c r="T32341"/>
      <c r="U32341"/>
      <c r="X32341" s="60"/>
    </row>
    <row r="32342" spans="7:24" ht="15" customHeight="1">
      <c r="G32342"/>
      <c r="I32342"/>
      <c r="N32342"/>
      <c r="O32342" s="24"/>
      <c r="P32342"/>
      <c r="Q32342" s="24"/>
      <c r="R32342"/>
      <c r="S32342"/>
      <c r="T32342"/>
      <c r="U32342"/>
      <c r="X32342" s="60"/>
    </row>
    <row r="32343" spans="7:24" ht="15" customHeight="1">
      <c r="G32343"/>
      <c r="I32343"/>
      <c r="N32343"/>
      <c r="O32343" s="24"/>
      <c r="P32343"/>
      <c r="Q32343" s="24"/>
      <c r="R32343"/>
      <c r="S32343"/>
      <c r="T32343"/>
      <c r="U32343"/>
      <c r="X32343" s="60"/>
    </row>
    <row r="32344" spans="7:24" ht="15" customHeight="1">
      <c r="G32344"/>
      <c r="I32344"/>
      <c r="N32344"/>
      <c r="O32344" s="24"/>
      <c r="P32344"/>
      <c r="Q32344" s="24"/>
      <c r="R32344"/>
      <c r="S32344"/>
      <c r="T32344"/>
      <c r="U32344"/>
      <c r="X32344" s="60"/>
    </row>
    <row r="32345" spans="7:24" ht="15" customHeight="1">
      <c r="G32345"/>
      <c r="I32345"/>
      <c r="N32345"/>
      <c r="O32345" s="24"/>
      <c r="P32345"/>
      <c r="Q32345" s="24"/>
      <c r="R32345"/>
      <c r="S32345"/>
      <c r="T32345"/>
      <c r="U32345"/>
      <c r="X32345" s="60"/>
    </row>
    <row r="32346" spans="7:24" ht="15" customHeight="1">
      <c r="G32346"/>
      <c r="I32346"/>
      <c r="N32346"/>
      <c r="O32346" s="24"/>
      <c r="P32346"/>
      <c r="Q32346" s="24"/>
      <c r="R32346"/>
      <c r="S32346"/>
      <c r="T32346"/>
      <c r="U32346"/>
      <c r="X32346" s="60"/>
    </row>
    <row r="32347" spans="7:24" ht="15" customHeight="1">
      <c r="G32347"/>
      <c r="I32347"/>
      <c r="N32347"/>
      <c r="O32347" s="24"/>
      <c r="P32347"/>
      <c r="Q32347" s="24"/>
      <c r="R32347"/>
      <c r="S32347"/>
      <c r="T32347"/>
      <c r="U32347"/>
      <c r="X32347" s="60"/>
    </row>
    <row r="32348" spans="7:24" ht="15" customHeight="1">
      <c r="G32348"/>
      <c r="I32348"/>
      <c r="N32348"/>
      <c r="O32348" s="24"/>
      <c r="P32348"/>
      <c r="Q32348" s="24"/>
      <c r="R32348"/>
      <c r="S32348"/>
      <c r="T32348"/>
      <c r="U32348"/>
      <c r="X32348" s="60"/>
    </row>
    <row r="32349" spans="7:24" ht="15" customHeight="1">
      <c r="G32349"/>
      <c r="I32349"/>
      <c r="N32349"/>
      <c r="O32349" s="24"/>
      <c r="P32349"/>
      <c r="Q32349" s="24"/>
      <c r="R32349"/>
      <c r="S32349"/>
      <c r="T32349"/>
      <c r="U32349"/>
      <c r="X32349" s="60"/>
    </row>
    <row r="32350" spans="7:24" ht="15" customHeight="1">
      <c r="G32350"/>
      <c r="I32350"/>
      <c r="N32350"/>
      <c r="O32350" s="24"/>
      <c r="P32350"/>
      <c r="Q32350" s="24"/>
      <c r="R32350"/>
      <c r="S32350"/>
      <c r="T32350"/>
      <c r="U32350"/>
      <c r="X32350" s="60"/>
    </row>
    <row r="32351" spans="7:24" ht="15" customHeight="1">
      <c r="G32351"/>
      <c r="I32351"/>
      <c r="N32351"/>
      <c r="O32351" s="24"/>
      <c r="P32351"/>
      <c r="Q32351" s="24"/>
      <c r="R32351"/>
      <c r="S32351"/>
      <c r="T32351"/>
      <c r="U32351"/>
      <c r="X32351" s="60"/>
    </row>
    <row r="32352" spans="7:24" ht="15" customHeight="1">
      <c r="G32352"/>
      <c r="I32352"/>
      <c r="N32352"/>
      <c r="O32352" s="24"/>
      <c r="P32352"/>
      <c r="Q32352" s="24"/>
      <c r="R32352"/>
      <c r="S32352"/>
      <c r="T32352"/>
      <c r="U32352"/>
      <c r="X32352" s="60"/>
    </row>
    <row r="32353" spans="7:24" ht="15" customHeight="1">
      <c r="G32353"/>
      <c r="I32353"/>
      <c r="N32353"/>
      <c r="O32353" s="24"/>
      <c r="P32353"/>
      <c r="Q32353" s="24"/>
      <c r="R32353"/>
      <c r="S32353"/>
      <c r="T32353"/>
      <c r="U32353"/>
      <c r="X32353" s="60"/>
    </row>
    <row r="32354" spans="7:24" ht="15" customHeight="1">
      <c r="G32354"/>
      <c r="I32354"/>
      <c r="N32354"/>
      <c r="O32354" s="24"/>
      <c r="P32354"/>
      <c r="Q32354" s="24"/>
      <c r="R32354"/>
      <c r="S32354"/>
      <c r="T32354"/>
      <c r="U32354"/>
      <c r="X32354" s="60"/>
    </row>
    <row r="32355" spans="7:24" ht="15" customHeight="1">
      <c r="G32355"/>
      <c r="I32355"/>
      <c r="N32355"/>
      <c r="O32355" s="24"/>
      <c r="P32355"/>
      <c r="Q32355" s="24"/>
      <c r="R32355"/>
      <c r="S32355"/>
      <c r="T32355"/>
      <c r="U32355"/>
      <c r="X32355" s="60"/>
    </row>
    <row r="32356" spans="7:24" ht="15" customHeight="1">
      <c r="G32356"/>
      <c r="I32356"/>
      <c r="N32356"/>
      <c r="O32356" s="24"/>
      <c r="P32356"/>
      <c r="Q32356" s="24"/>
      <c r="R32356"/>
      <c r="S32356"/>
      <c r="T32356"/>
      <c r="U32356"/>
      <c r="X32356" s="60"/>
    </row>
    <row r="32357" spans="7:24" ht="15" customHeight="1">
      <c r="G32357"/>
      <c r="I32357"/>
      <c r="N32357"/>
      <c r="O32357" s="24"/>
      <c r="P32357"/>
      <c r="Q32357" s="24"/>
      <c r="R32357"/>
      <c r="S32357"/>
      <c r="T32357"/>
      <c r="U32357"/>
      <c r="X32357" s="60"/>
    </row>
    <row r="32358" spans="7:24" ht="15" customHeight="1">
      <c r="G32358"/>
      <c r="I32358"/>
      <c r="N32358"/>
      <c r="O32358" s="24"/>
      <c r="P32358"/>
      <c r="Q32358" s="24"/>
      <c r="R32358"/>
      <c r="S32358"/>
      <c r="T32358"/>
      <c r="U32358"/>
      <c r="X32358" s="60"/>
    </row>
    <row r="32359" spans="7:24" ht="15" customHeight="1">
      <c r="G32359"/>
      <c r="I32359"/>
      <c r="N32359"/>
      <c r="O32359" s="24"/>
      <c r="P32359"/>
      <c r="Q32359" s="24"/>
      <c r="R32359"/>
      <c r="S32359"/>
      <c r="T32359"/>
      <c r="U32359"/>
      <c r="X32359" s="60"/>
    </row>
    <row r="32360" spans="7:24" ht="15" customHeight="1">
      <c r="G32360"/>
      <c r="I32360"/>
      <c r="N32360"/>
      <c r="O32360" s="24"/>
      <c r="P32360"/>
      <c r="Q32360" s="24"/>
      <c r="R32360"/>
      <c r="S32360"/>
      <c r="T32360"/>
      <c r="U32360"/>
      <c r="X32360" s="60"/>
    </row>
    <row r="32361" spans="7:24" ht="15" customHeight="1">
      <c r="G32361"/>
      <c r="I32361"/>
      <c r="N32361"/>
      <c r="O32361" s="24"/>
      <c r="P32361"/>
      <c r="Q32361" s="24"/>
      <c r="R32361"/>
      <c r="S32361"/>
      <c r="T32361"/>
      <c r="U32361"/>
      <c r="X32361" s="60"/>
    </row>
    <row r="32362" spans="7:24" ht="15" customHeight="1">
      <c r="G32362"/>
      <c r="I32362"/>
      <c r="N32362"/>
      <c r="O32362" s="24"/>
      <c r="P32362"/>
      <c r="Q32362" s="24"/>
      <c r="R32362"/>
      <c r="S32362"/>
      <c r="T32362"/>
      <c r="U32362"/>
      <c r="X32362" s="60"/>
    </row>
    <row r="32363" spans="7:24" ht="15" customHeight="1">
      <c r="G32363"/>
      <c r="I32363"/>
      <c r="N32363"/>
      <c r="O32363" s="24"/>
      <c r="P32363"/>
      <c r="Q32363" s="24"/>
      <c r="R32363"/>
      <c r="S32363"/>
      <c r="T32363"/>
      <c r="U32363"/>
      <c r="X32363" s="60"/>
    </row>
    <row r="32364" spans="7:24" ht="15" customHeight="1">
      <c r="G32364"/>
      <c r="I32364"/>
      <c r="N32364"/>
      <c r="O32364" s="24"/>
      <c r="P32364"/>
      <c r="Q32364" s="24"/>
      <c r="R32364"/>
      <c r="S32364"/>
      <c r="T32364"/>
      <c r="U32364"/>
      <c r="X32364" s="60"/>
    </row>
    <row r="32365" spans="7:24" ht="15" customHeight="1">
      <c r="G32365"/>
      <c r="I32365"/>
      <c r="N32365"/>
      <c r="O32365" s="24"/>
      <c r="P32365"/>
      <c r="Q32365" s="24"/>
      <c r="R32365"/>
      <c r="S32365"/>
      <c r="T32365"/>
      <c r="U32365"/>
      <c r="X32365" s="60"/>
    </row>
    <row r="32366" spans="7:24" ht="15" customHeight="1">
      <c r="G32366"/>
      <c r="I32366"/>
      <c r="N32366"/>
      <c r="O32366" s="24"/>
      <c r="P32366"/>
      <c r="Q32366" s="24"/>
      <c r="R32366"/>
      <c r="S32366"/>
      <c r="T32366"/>
      <c r="U32366"/>
      <c r="X32366" s="60"/>
    </row>
    <row r="32367" spans="7:24" ht="15" customHeight="1">
      <c r="G32367"/>
      <c r="I32367"/>
      <c r="N32367"/>
      <c r="O32367" s="24"/>
      <c r="P32367"/>
      <c r="Q32367" s="24"/>
      <c r="R32367"/>
      <c r="S32367"/>
      <c r="T32367"/>
      <c r="U32367"/>
      <c r="X32367" s="60"/>
    </row>
    <row r="32368" spans="7:24" ht="15" customHeight="1">
      <c r="G32368"/>
      <c r="I32368"/>
      <c r="N32368"/>
      <c r="O32368" s="24"/>
      <c r="P32368"/>
      <c r="Q32368" s="24"/>
      <c r="R32368"/>
      <c r="S32368"/>
      <c r="T32368"/>
      <c r="U32368"/>
      <c r="X32368" s="60"/>
    </row>
    <row r="32369" spans="7:24" ht="15" customHeight="1">
      <c r="G32369"/>
      <c r="I32369"/>
      <c r="N32369"/>
      <c r="O32369" s="24"/>
      <c r="P32369"/>
      <c r="Q32369" s="24"/>
      <c r="R32369"/>
      <c r="S32369"/>
      <c r="T32369"/>
      <c r="U32369"/>
      <c r="X32369" s="60"/>
    </row>
    <row r="32370" spans="7:24" ht="15" customHeight="1">
      <c r="G32370"/>
      <c r="I32370"/>
      <c r="N32370"/>
      <c r="O32370" s="24"/>
      <c r="P32370"/>
      <c r="Q32370" s="24"/>
      <c r="R32370"/>
      <c r="S32370"/>
      <c r="T32370"/>
      <c r="U32370"/>
      <c r="X32370" s="60"/>
    </row>
    <row r="32371" spans="7:24" ht="15" customHeight="1">
      <c r="G32371"/>
      <c r="I32371"/>
      <c r="N32371"/>
      <c r="O32371" s="24"/>
      <c r="P32371"/>
      <c r="Q32371" s="24"/>
      <c r="R32371"/>
      <c r="S32371"/>
      <c r="T32371"/>
      <c r="U32371"/>
      <c r="X32371" s="60"/>
    </row>
    <row r="32372" spans="7:24" ht="15" customHeight="1">
      <c r="G32372"/>
      <c r="I32372"/>
      <c r="N32372"/>
      <c r="O32372" s="24"/>
      <c r="P32372"/>
      <c r="Q32372" s="24"/>
      <c r="R32372"/>
      <c r="S32372"/>
      <c r="T32372"/>
      <c r="U32372"/>
      <c r="X32372" s="60"/>
    </row>
    <row r="32373" spans="7:24" ht="15" customHeight="1">
      <c r="G32373"/>
      <c r="I32373"/>
      <c r="N32373"/>
      <c r="O32373" s="24"/>
      <c r="P32373"/>
      <c r="Q32373" s="24"/>
      <c r="R32373"/>
      <c r="S32373"/>
      <c r="T32373"/>
      <c r="U32373"/>
      <c r="X32373" s="60"/>
    </row>
    <row r="32374" spans="7:24" ht="15" customHeight="1">
      <c r="G32374"/>
      <c r="I32374"/>
      <c r="N32374"/>
      <c r="O32374" s="24"/>
      <c r="P32374"/>
      <c r="Q32374" s="24"/>
      <c r="R32374"/>
      <c r="S32374"/>
      <c r="T32374"/>
      <c r="U32374"/>
      <c r="X32374" s="60"/>
    </row>
    <row r="32375" spans="7:24" ht="15" customHeight="1">
      <c r="G32375"/>
      <c r="I32375"/>
      <c r="N32375"/>
      <c r="O32375" s="24"/>
      <c r="P32375"/>
      <c r="Q32375" s="24"/>
      <c r="R32375"/>
      <c r="S32375"/>
      <c r="T32375"/>
      <c r="U32375"/>
      <c r="X32375" s="60"/>
    </row>
    <row r="32376" spans="7:24" ht="15" customHeight="1">
      <c r="G32376"/>
      <c r="I32376"/>
      <c r="N32376"/>
      <c r="O32376" s="24"/>
      <c r="P32376"/>
      <c r="Q32376" s="24"/>
      <c r="R32376"/>
      <c r="S32376"/>
      <c r="T32376"/>
      <c r="U32376"/>
      <c r="X32376" s="60"/>
    </row>
    <row r="32377" spans="7:24" ht="15" customHeight="1">
      <c r="G32377"/>
      <c r="I32377"/>
      <c r="N32377"/>
      <c r="O32377" s="24"/>
      <c r="P32377"/>
      <c r="Q32377" s="24"/>
      <c r="R32377"/>
      <c r="S32377"/>
      <c r="T32377"/>
      <c r="U32377"/>
      <c r="X32377" s="60"/>
    </row>
    <row r="32378" spans="7:24" ht="15" customHeight="1">
      <c r="G32378"/>
      <c r="I32378"/>
      <c r="N32378"/>
      <c r="O32378" s="24"/>
      <c r="P32378"/>
      <c r="Q32378" s="24"/>
      <c r="R32378"/>
      <c r="S32378"/>
      <c r="T32378"/>
      <c r="U32378"/>
      <c r="X32378" s="60"/>
    </row>
    <row r="32379" spans="7:24" ht="15" customHeight="1">
      <c r="G32379"/>
      <c r="I32379"/>
      <c r="N32379"/>
      <c r="O32379" s="24"/>
      <c r="P32379"/>
      <c r="Q32379" s="24"/>
      <c r="R32379"/>
      <c r="S32379"/>
      <c r="T32379"/>
      <c r="U32379"/>
      <c r="X32379" s="60"/>
    </row>
    <row r="32380" spans="7:24" ht="15" customHeight="1">
      <c r="G32380"/>
      <c r="I32380"/>
      <c r="N32380"/>
      <c r="O32380" s="24"/>
      <c r="P32380"/>
      <c r="Q32380" s="24"/>
      <c r="R32380"/>
      <c r="S32380"/>
      <c r="T32380"/>
      <c r="U32380"/>
      <c r="X32380" s="60"/>
    </row>
    <row r="32381" spans="7:24" ht="15" customHeight="1">
      <c r="G32381"/>
      <c r="I32381"/>
      <c r="N32381"/>
      <c r="O32381" s="24"/>
      <c r="P32381"/>
      <c r="Q32381" s="24"/>
      <c r="R32381"/>
      <c r="S32381"/>
      <c r="T32381"/>
      <c r="U32381"/>
      <c r="X32381" s="60"/>
    </row>
    <row r="32382" spans="7:24" ht="15" customHeight="1">
      <c r="G32382"/>
      <c r="I32382"/>
      <c r="N32382"/>
      <c r="O32382" s="24"/>
      <c r="P32382"/>
      <c r="Q32382" s="24"/>
      <c r="R32382"/>
      <c r="S32382"/>
      <c r="T32382"/>
      <c r="U32382"/>
      <c r="X32382" s="60"/>
    </row>
    <row r="32383" spans="7:24" ht="15" customHeight="1">
      <c r="G32383"/>
      <c r="I32383"/>
      <c r="N32383"/>
      <c r="O32383" s="24"/>
      <c r="P32383"/>
      <c r="Q32383" s="24"/>
      <c r="R32383"/>
      <c r="S32383"/>
      <c r="T32383"/>
      <c r="U32383"/>
      <c r="X32383" s="60"/>
    </row>
    <row r="32384" spans="7:24" ht="15" customHeight="1">
      <c r="G32384"/>
      <c r="I32384"/>
      <c r="N32384"/>
      <c r="O32384" s="24"/>
      <c r="P32384"/>
      <c r="Q32384" s="24"/>
      <c r="R32384"/>
      <c r="S32384"/>
      <c r="T32384"/>
      <c r="U32384"/>
      <c r="X32384" s="60"/>
    </row>
    <row r="32385" spans="7:24" ht="15" customHeight="1">
      <c r="G32385"/>
      <c r="I32385"/>
      <c r="N32385"/>
      <c r="O32385" s="24"/>
      <c r="P32385"/>
      <c r="Q32385" s="24"/>
      <c r="R32385"/>
      <c r="S32385"/>
      <c r="T32385"/>
      <c r="U32385"/>
      <c r="X32385" s="60"/>
    </row>
    <row r="32386" spans="7:24" ht="15" customHeight="1">
      <c r="G32386"/>
      <c r="I32386"/>
      <c r="N32386"/>
      <c r="O32386" s="24"/>
      <c r="P32386"/>
      <c r="Q32386" s="24"/>
      <c r="R32386"/>
      <c r="S32386"/>
      <c r="T32386"/>
      <c r="U32386"/>
      <c r="X32386" s="60"/>
    </row>
    <row r="32387" spans="7:24" ht="15" customHeight="1">
      <c r="G32387"/>
      <c r="I32387"/>
      <c r="N32387"/>
      <c r="O32387" s="24"/>
      <c r="P32387"/>
      <c r="Q32387" s="24"/>
      <c r="R32387"/>
      <c r="S32387"/>
      <c r="T32387"/>
      <c r="U32387"/>
      <c r="X32387" s="60"/>
    </row>
    <row r="32388" spans="7:24" ht="15" customHeight="1">
      <c r="G32388"/>
      <c r="I32388"/>
      <c r="N32388"/>
      <c r="O32388" s="24"/>
      <c r="P32388"/>
      <c r="Q32388" s="24"/>
      <c r="R32388"/>
      <c r="S32388"/>
      <c r="T32388"/>
      <c r="U32388"/>
      <c r="X32388" s="60"/>
    </row>
    <row r="32389" spans="7:24" ht="15" customHeight="1">
      <c r="G32389"/>
      <c r="I32389"/>
      <c r="N32389"/>
      <c r="O32389" s="24"/>
      <c r="P32389"/>
      <c r="Q32389" s="24"/>
      <c r="R32389"/>
      <c r="S32389"/>
      <c r="T32389"/>
      <c r="U32389"/>
      <c r="X32389" s="60"/>
    </row>
    <row r="32390" spans="7:24" ht="15" customHeight="1">
      <c r="G32390"/>
      <c r="I32390"/>
      <c r="N32390"/>
      <c r="O32390" s="24"/>
      <c r="P32390"/>
      <c r="Q32390" s="24"/>
      <c r="R32390"/>
      <c r="S32390"/>
      <c r="T32390"/>
      <c r="U32390"/>
      <c r="X32390" s="60"/>
    </row>
    <row r="32391" spans="7:24" ht="15" customHeight="1">
      <c r="G32391"/>
      <c r="I32391"/>
      <c r="N32391"/>
      <c r="O32391" s="24"/>
      <c r="P32391"/>
      <c r="Q32391" s="24"/>
      <c r="R32391"/>
      <c r="S32391"/>
      <c r="T32391"/>
      <c r="U32391"/>
      <c r="X32391" s="60"/>
    </row>
    <row r="32392" spans="7:24" ht="15" customHeight="1">
      <c r="G32392"/>
      <c r="I32392"/>
      <c r="N32392"/>
      <c r="O32392" s="24"/>
      <c r="P32392"/>
      <c r="Q32392" s="24"/>
      <c r="R32392"/>
      <c r="S32392"/>
      <c r="T32392"/>
      <c r="U32392"/>
      <c r="X32392" s="60"/>
    </row>
    <row r="32393" spans="7:24" ht="15" customHeight="1">
      <c r="G32393"/>
      <c r="I32393"/>
      <c r="N32393"/>
      <c r="O32393" s="24"/>
      <c r="P32393"/>
      <c r="Q32393" s="24"/>
      <c r="R32393"/>
      <c r="S32393"/>
      <c r="T32393"/>
      <c r="U32393"/>
      <c r="X32393" s="60"/>
    </row>
    <row r="32394" spans="7:24" ht="15" customHeight="1">
      <c r="G32394"/>
      <c r="I32394"/>
      <c r="N32394"/>
      <c r="O32394" s="24"/>
      <c r="P32394"/>
      <c r="Q32394" s="24"/>
      <c r="R32394"/>
      <c r="S32394"/>
      <c r="T32394"/>
      <c r="U32394"/>
      <c r="X32394" s="60"/>
    </row>
    <row r="32395" spans="7:24" ht="15" customHeight="1">
      <c r="G32395"/>
      <c r="I32395"/>
      <c r="N32395"/>
      <c r="O32395" s="24"/>
      <c r="P32395"/>
      <c r="Q32395" s="24"/>
      <c r="R32395"/>
      <c r="S32395"/>
      <c r="T32395"/>
      <c r="U32395"/>
      <c r="X32395" s="60"/>
    </row>
    <row r="32396" spans="7:24" ht="15" customHeight="1">
      <c r="G32396"/>
      <c r="I32396"/>
      <c r="N32396"/>
      <c r="O32396" s="24"/>
      <c r="P32396"/>
      <c r="Q32396" s="24"/>
      <c r="R32396"/>
      <c r="S32396"/>
      <c r="T32396"/>
      <c r="U32396"/>
      <c r="X32396" s="60"/>
    </row>
    <row r="32397" spans="7:24" ht="15" customHeight="1">
      <c r="G32397"/>
      <c r="I32397"/>
      <c r="N32397"/>
      <c r="O32397" s="24"/>
      <c r="P32397"/>
      <c r="Q32397" s="24"/>
      <c r="R32397"/>
      <c r="S32397"/>
      <c r="T32397"/>
      <c r="U32397"/>
      <c r="X32397" s="60"/>
    </row>
    <row r="32398" spans="7:24" ht="15" customHeight="1">
      <c r="G32398"/>
      <c r="I32398"/>
      <c r="N32398"/>
      <c r="O32398" s="24"/>
      <c r="P32398"/>
      <c r="Q32398" s="24"/>
      <c r="R32398"/>
      <c r="S32398"/>
      <c r="T32398"/>
      <c r="U32398"/>
      <c r="X32398" s="60"/>
    </row>
    <row r="32399" spans="7:24" ht="15" customHeight="1">
      <c r="G32399"/>
      <c r="I32399"/>
      <c r="N32399"/>
      <c r="O32399" s="24"/>
      <c r="P32399"/>
      <c r="Q32399" s="24"/>
      <c r="R32399"/>
      <c r="S32399"/>
      <c r="T32399"/>
      <c r="U32399"/>
      <c r="X32399" s="60"/>
    </row>
    <row r="32400" spans="7:24" ht="15" customHeight="1">
      <c r="G32400"/>
      <c r="I32400"/>
      <c r="N32400"/>
      <c r="O32400" s="24"/>
      <c r="P32400"/>
      <c r="Q32400" s="24"/>
      <c r="R32400"/>
      <c r="S32400"/>
      <c r="T32400"/>
      <c r="U32400"/>
      <c r="X32400" s="60"/>
    </row>
    <row r="32401" spans="7:24" ht="15" customHeight="1">
      <c r="G32401"/>
      <c r="I32401"/>
      <c r="N32401"/>
      <c r="O32401" s="24"/>
      <c r="P32401"/>
      <c r="Q32401" s="24"/>
      <c r="R32401"/>
      <c r="S32401"/>
      <c r="T32401"/>
      <c r="U32401"/>
      <c r="X32401" s="60"/>
    </row>
    <row r="32402" spans="7:24" ht="15" customHeight="1">
      <c r="G32402"/>
      <c r="I32402"/>
      <c r="N32402"/>
      <c r="O32402" s="24"/>
      <c r="P32402"/>
      <c r="Q32402" s="24"/>
      <c r="R32402"/>
      <c r="S32402"/>
      <c r="T32402"/>
      <c r="U32402"/>
      <c r="X32402" s="60"/>
    </row>
    <row r="32403" spans="7:24" ht="15" customHeight="1">
      <c r="G32403"/>
      <c r="I32403"/>
      <c r="N32403"/>
      <c r="O32403" s="24"/>
      <c r="P32403"/>
      <c r="Q32403" s="24"/>
      <c r="R32403"/>
      <c r="S32403"/>
      <c r="T32403"/>
      <c r="U32403"/>
      <c r="X32403" s="60"/>
    </row>
    <row r="32404" spans="7:24" ht="15" customHeight="1">
      <c r="G32404"/>
      <c r="I32404"/>
      <c r="N32404"/>
      <c r="O32404" s="24"/>
      <c r="P32404"/>
      <c r="Q32404" s="24"/>
      <c r="R32404"/>
      <c r="S32404"/>
      <c r="T32404"/>
      <c r="U32404"/>
      <c r="X32404" s="60"/>
    </row>
    <row r="32405" spans="7:24" ht="15" customHeight="1">
      <c r="G32405"/>
      <c r="I32405"/>
      <c r="N32405"/>
      <c r="O32405" s="24"/>
      <c r="P32405"/>
      <c r="Q32405" s="24"/>
      <c r="R32405"/>
      <c r="S32405"/>
      <c r="T32405"/>
      <c r="U32405"/>
      <c r="X32405" s="60"/>
    </row>
    <row r="32406" spans="7:24" ht="15" customHeight="1">
      <c r="G32406"/>
      <c r="I32406"/>
      <c r="N32406"/>
      <c r="O32406" s="24"/>
      <c r="P32406"/>
      <c r="Q32406" s="24"/>
      <c r="R32406"/>
      <c r="S32406"/>
      <c r="T32406"/>
      <c r="U32406"/>
      <c r="X32406" s="60"/>
    </row>
    <row r="32407" spans="7:24" ht="15" customHeight="1">
      <c r="G32407"/>
      <c r="I32407"/>
      <c r="N32407"/>
      <c r="O32407" s="24"/>
      <c r="P32407"/>
      <c r="Q32407" s="24"/>
      <c r="R32407"/>
      <c r="S32407"/>
      <c r="T32407"/>
      <c r="U32407"/>
      <c r="X32407" s="60"/>
    </row>
    <row r="32408" spans="7:24" ht="15" customHeight="1">
      <c r="G32408"/>
      <c r="I32408"/>
      <c r="N32408"/>
      <c r="O32408" s="24"/>
      <c r="P32408"/>
      <c r="Q32408" s="24"/>
      <c r="R32408"/>
      <c r="S32408"/>
      <c r="T32408"/>
      <c r="U32408"/>
      <c r="X32408" s="60"/>
    </row>
    <row r="32409" spans="7:24" ht="15" customHeight="1">
      <c r="G32409"/>
      <c r="I32409"/>
      <c r="N32409"/>
      <c r="O32409" s="24"/>
      <c r="P32409"/>
      <c r="Q32409" s="24"/>
      <c r="R32409"/>
      <c r="S32409"/>
      <c r="T32409"/>
      <c r="U32409"/>
      <c r="X32409" s="60"/>
    </row>
    <row r="32410" spans="7:24" ht="15" customHeight="1">
      <c r="G32410"/>
      <c r="I32410"/>
      <c r="N32410"/>
      <c r="O32410" s="24"/>
      <c r="P32410"/>
      <c r="Q32410" s="24"/>
      <c r="R32410"/>
      <c r="S32410"/>
      <c r="T32410"/>
      <c r="U32410"/>
      <c r="X32410" s="60"/>
    </row>
    <row r="32411" spans="7:24" ht="15" customHeight="1">
      <c r="G32411"/>
      <c r="I32411"/>
      <c r="N32411"/>
      <c r="O32411" s="24"/>
      <c r="P32411"/>
      <c r="Q32411" s="24"/>
      <c r="R32411"/>
      <c r="S32411"/>
      <c r="T32411"/>
      <c r="U32411"/>
      <c r="X32411" s="60"/>
    </row>
    <row r="32412" spans="7:24" ht="15" customHeight="1">
      <c r="G32412"/>
      <c r="I32412"/>
      <c r="N32412"/>
      <c r="O32412" s="24"/>
      <c r="P32412"/>
      <c r="Q32412" s="24"/>
      <c r="R32412"/>
      <c r="S32412"/>
      <c r="T32412"/>
      <c r="U32412"/>
      <c r="X32412" s="60"/>
    </row>
    <row r="32413" spans="7:24" ht="15" customHeight="1">
      <c r="G32413"/>
      <c r="I32413"/>
      <c r="N32413"/>
      <c r="O32413" s="24"/>
      <c r="P32413"/>
      <c r="Q32413" s="24"/>
      <c r="R32413"/>
      <c r="S32413"/>
      <c r="T32413"/>
      <c r="U32413"/>
      <c r="X32413" s="60"/>
    </row>
    <row r="32414" spans="7:24" ht="15" customHeight="1">
      <c r="G32414"/>
      <c r="I32414"/>
      <c r="N32414"/>
      <c r="O32414" s="24"/>
      <c r="P32414"/>
      <c r="Q32414" s="24"/>
      <c r="R32414"/>
      <c r="S32414"/>
      <c r="T32414"/>
      <c r="U32414"/>
      <c r="X32414" s="60"/>
    </row>
    <row r="32415" spans="7:24" ht="15" customHeight="1">
      <c r="G32415"/>
      <c r="I32415"/>
      <c r="N32415"/>
      <c r="O32415" s="24"/>
      <c r="P32415"/>
      <c r="Q32415" s="24"/>
      <c r="R32415"/>
      <c r="S32415"/>
      <c r="T32415"/>
      <c r="U32415"/>
      <c r="X32415" s="60"/>
    </row>
    <row r="32416" spans="7:24" ht="15" customHeight="1">
      <c r="G32416"/>
      <c r="I32416"/>
      <c r="N32416"/>
      <c r="O32416" s="24"/>
      <c r="P32416"/>
      <c r="Q32416" s="24"/>
      <c r="R32416"/>
      <c r="S32416"/>
      <c r="T32416"/>
      <c r="U32416"/>
      <c r="X32416" s="60"/>
    </row>
    <row r="32417" spans="7:24" ht="15" customHeight="1">
      <c r="G32417"/>
      <c r="I32417"/>
      <c r="N32417"/>
      <c r="O32417" s="24"/>
      <c r="P32417"/>
      <c r="Q32417" s="24"/>
      <c r="R32417"/>
      <c r="S32417"/>
      <c r="T32417"/>
      <c r="U32417"/>
      <c r="X32417" s="60"/>
    </row>
    <row r="32418" spans="7:24" ht="15" customHeight="1">
      <c r="G32418"/>
      <c r="I32418"/>
      <c r="N32418"/>
      <c r="O32418" s="24"/>
      <c r="P32418"/>
      <c r="Q32418" s="24"/>
      <c r="R32418"/>
      <c r="S32418"/>
      <c r="T32418"/>
      <c r="U32418"/>
      <c r="X32418" s="60"/>
    </row>
    <row r="32419" spans="7:24" ht="15" customHeight="1">
      <c r="G32419"/>
      <c r="I32419"/>
      <c r="N32419"/>
      <c r="O32419" s="24"/>
      <c r="P32419"/>
      <c r="Q32419" s="24"/>
      <c r="R32419"/>
      <c r="S32419"/>
      <c r="T32419"/>
      <c r="U32419"/>
      <c r="X32419" s="60"/>
    </row>
    <row r="32420" spans="7:24" ht="15" customHeight="1">
      <c r="G32420"/>
      <c r="I32420"/>
      <c r="N32420"/>
      <c r="O32420" s="24"/>
      <c r="P32420"/>
      <c r="Q32420" s="24"/>
      <c r="R32420"/>
      <c r="S32420"/>
      <c r="T32420"/>
      <c r="U32420"/>
      <c r="X32420" s="60"/>
    </row>
    <row r="32421" spans="7:24" ht="15" customHeight="1">
      <c r="G32421"/>
      <c r="I32421"/>
      <c r="N32421"/>
      <c r="O32421" s="24"/>
      <c r="P32421"/>
      <c r="Q32421" s="24"/>
      <c r="R32421"/>
      <c r="S32421"/>
      <c r="T32421"/>
      <c r="U32421"/>
      <c r="X32421" s="60"/>
    </row>
    <row r="32422" spans="7:24" ht="15" customHeight="1">
      <c r="G32422"/>
      <c r="I32422"/>
      <c r="N32422"/>
      <c r="O32422" s="24"/>
      <c r="P32422"/>
      <c r="Q32422" s="24"/>
      <c r="R32422"/>
      <c r="S32422"/>
      <c r="T32422"/>
      <c r="U32422"/>
      <c r="X32422" s="60"/>
    </row>
    <row r="32423" spans="7:24" ht="15" customHeight="1">
      <c r="G32423"/>
      <c r="I32423"/>
      <c r="N32423"/>
      <c r="O32423" s="24"/>
      <c r="P32423"/>
      <c r="Q32423" s="24"/>
      <c r="R32423"/>
      <c r="S32423"/>
      <c r="T32423"/>
      <c r="U32423"/>
      <c r="X32423" s="60"/>
    </row>
    <row r="32424" spans="7:24" ht="15" customHeight="1">
      <c r="G32424"/>
      <c r="I32424"/>
      <c r="N32424"/>
      <c r="O32424" s="24"/>
      <c r="P32424"/>
      <c r="Q32424" s="24"/>
      <c r="R32424"/>
      <c r="S32424"/>
      <c r="T32424"/>
      <c r="U32424"/>
      <c r="X32424" s="60"/>
    </row>
    <row r="32425" spans="7:24" ht="15" customHeight="1">
      <c r="G32425"/>
      <c r="I32425"/>
      <c r="N32425"/>
      <c r="O32425" s="24"/>
      <c r="P32425"/>
      <c r="Q32425" s="24"/>
      <c r="R32425"/>
      <c r="S32425"/>
      <c r="T32425"/>
      <c r="U32425"/>
      <c r="X32425" s="60"/>
    </row>
    <row r="32426" spans="7:24" ht="15" customHeight="1">
      <c r="G32426"/>
      <c r="I32426"/>
      <c r="N32426"/>
      <c r="O32426" s="24"/>
      <c r="P32426"/>
      <c r="Q32426" s="24"/>
      <c r="R32426"/>
      <c r="S32426"/>
      <c r="T32426"/>
      <c r="U32426"/>
      <c r="X32426" s="60"/>
    </row>
    <row r="32427" spans="7:24" ht="15" customHeight="1">
      <c r="G32427"/>
      <c r="I32427"/>
      <c r="N32427"/>
      <c r="O32427" s="24"/>
      <c r="P32427"/>
      <c r="Q32427" s="24"/>
      <c r="R32427"/>
      <c r="S32427"/>
      <c r="T32427"/>
      <c r="U32427"/>
      <c r="X32427" s="60"/>
    </row>
    <row r="32428" spans="7:24" ht="15" customHeight="1">
      <c r="G32428"/>
      <c r="I32428"/>
      <c r="N32428"/>
      <c r="O32428" s="24"/>
      <c r="P32428"/>
      <c r="Q32428" s="24"/>
      <c r="R32428"/>
      <c r="S32428"/>
      <c r="T32428"/>
      <c r="U32428"/>
      <c r="X32428" s="60"/>
    </row>
    <row r="32429" spans="7:24" ht="15" customHeight="1">
      <c r="G32429"/>
      <c r="I32429"/>
      <c r="N32429"/>
      <c r="O32429" s="24"/>
      <c r="P32429"/>
      <c r="Q32429" s="24"/>
      <c r="R32429"/>
      <c r="S32429"/>
      <c r="T32429"/>
      <c r="U32429"/>
      <c r="X32429" s="60"/>
    </row>
    <row r="32430" spans="7:24" ht="15" customHeight="1">
      <c r="G32430"/>
      <c r="I32430"/>
      <c r="N32430"/>
      <c r="O32430" s="24"/>
      <c r="P32430"/>
      <c r="Q32430" s="24"/>
      <c r="R32430"/>
      <c r="S32430"/>
      <c r="T32430"/>
      <c r="U32430"/>
      <c r="X32430" s="60"/>
    </row>
    <row r="32431" spans="7:24" ht="15" customHeight="1">
      <c r="G32431"/>
      <c r="I32431"/>
      <c r="N32431"/>
      <c r="O32431" s="24"/>
      <c r="P32431"/>
      <c r="Q32431" s="24"/>
      <c r="R32431"/>
      <c r="S32431"/>
      <c r="T32431"/>
      <c r="U32431"/>
      <c r="X32431" s="60"/>
    </row>
    <row r="32432" spans="7:24" ht="15" customHeight="1">
      <c r="G32432"/>
      <c r="I32432"/>
      <c r="N32432"/>
      <c r="O32432" s="24"/>
      <c r="P32432"/>
      <c r="Q32432" s="24"/>
      <c r="R32432"/>
      <c r="S32432"/>
      <c r="T32432"/>
      <c r="U32432"/>
      <c r="X32432" s="60"/>
    </row>
    <row r="32433" spans="7:24" ht="15" customHeight="1">
      <c r="G32433"/>
      <c r="I32433"/>
      <c r="N32433"/>
      <c r="O32433" s="24"/>
      <c r="P32433"/>
      <c r="Q32433" s="24"/>
      <c r="R32433"/>
      <c r="S32433"/>
      <c r="T32433"/>
      <c r="U32433"/>
      <c r="X32433" s="60"/>
    </row>
    <row r="32434" spans="7:24" ht="15" customHeight="1">
      <c r="G32434"/>
      <c r="I32434"/>
      <c r="N32434"/>
      <c r="O32434" s="24"/>
      <c r="P32434"/>
      <c r="Q32434" s="24"/>
      <c r="R32434"/>
      <c r="S32434"/>
      <c r="T32434"/>
      <c r="U32434"/>
      <c r="X32434" s="60"/>
    </row>
    <row r="32435" spans="7:24" ht="15" customHeight="1">
      <c r="G32435"/>
      <c r="I32435"/>
      <c r="N32435"/>
      <c r="O32435" s="24"/>
      <c r="P32435"/>
      <c r="Q32435" s="24"/>
      <c r="R32435"/>
      <c r="S32435"/>
      <c r="T32435"/>
      <c r="U32435"/>
      <c r="X32435" s="60"/>
    </row>
    <row r="32436" spans="7:24" ht="15" customHeight="1">
      <c r="G32436"/>
      <c r="I32436"/>
      <c r="N32436"/>
      <c r="O32436" s="24"/>
      <c r="P32436"/>
      <c r="Q32436" s="24"/>
      <c r="R32436"/>
      <c r="S32436"/>
      <c r="T32436"/>
      <c r="U32436"/>
      <c r="X32436" s="60"/>
    </row>
    <row r="32437" spans="7:24" ht="15" customHeight="1">
      <c r="G32437"/>
      <c r="I32437"/>
      <c r="N32437"/>
      <c r="O32437" s="24"/>
      <c r="P32437"/>
      <c r="Q32437" s="24"/>
      <c r="R32437"/>
      <c r="S32437"/>
      <c r="T32437"/>
      <c r="U32437"/>
      <c r="X32437" s="60"/>
    </row>
    <row r="32438" spans="7:24" ht="15" customHeight="1">
      <c r="G32438"/>
      <c r="I32438"/>
      <c r="N32438"/>
      <c r="O32438" s="24"/>
      <c r="P32438"/>
      <c r="Q32438" s="24"/>
      <c r="R32438"/>
      <c r="S32438"/>
      <c r="T32438"/>
      <c r="U32438"/>
      <c r="X32438" s="60"/>
    </row>
    <row r="32439" spans="7:24" ht="15" customHeight="1">
      <c r="G32439"/>
      <c r="I32439"/>
      <c r="N32439"/>
      <c r="O32439" s="24"/>
      <c r="P32439"/>
      <c r="Q32439" s="24"/>
      <c r="R32439"/>
      <c r="S32439"/>
      <c r="T32439"/>
      <c r="U32439"/>
      <c r="X32439" s="60"/>
    </row>
    <row r="32440" spans="7:24" ht="15" customHeight="1">
      <c r="G32440"/>
      <c r="I32440"/>
      <c r="N32440"/>
      <c r="O32440" s="24"/>
      <c r="P32440"/>
      <c r="Q32440" s="24"/>
      <c r="R32440"/>
      <c r="S32440"/>
      <c r="T32440"/>
      <c r="U32440"/>
      <c r="X32440" s="60"/>
    </row>
    <row r="32441" spans="7:24" ht="15" customHeight="1">
      <c r="G32441"/>
      <c r="I32441"/>
      <c r="N32441"/>
      <c r="O32441" s="24"/>
      <c r="P32441"/>
      <c r="Q32441" s="24"/>
      <c r="R32441"/>
      <c r="S32441"/>
      <c r="T32441"/>
      <c r="U32441"/>
      <c r="X32441" s="60"/>
    </row>
    <row r="32442" spans="7:24" ht="15" customHeight="1">
      <c r="G32442"/>
      <c r="I32442"/>
      <c r="N32442"/>
      <c r="O32442" s="24"/>
      <c r="P32442"/>
      <c r="Q32442" s="24"/>
      <c r="R32442"/>
      <c r="S32442"/>
      <c r="T32442"/>
      <c r="U32442"/>
      <c r="X32442" s="60"/>
    </row>
    <row r="32443" spans="7:24" ht="15" customHeight="1">
      <c r="G32443"/>
      <c r="I32443"/>
      <c r="N32443"/>
      <c r="O32443" s="24"/>
      <c r="P32443"/>
      <c r="Q32443" s="24"/>
      <c r="R32443"/>
      <c r="S32443"/>
      <c r="T32443"/>
      <c r="U32443"/>
      <c r="X32443" s="60"/>
    </row>
    <row r="32444" spans="7:24" ht="15" customHeight="1">
      <c r="G32444"/>
      <c r="I32444"/>
      <c r="N32444"/>
      <c r="O32444" s="24"/>
      <c r="P32444"/>
      <c r="Q32444" s="24"/>
      <c r="R32444"/>
      <c r="S32444"/>
      <c r="T32444"/>
      <c r="U32444"/>
      <c r="X32444" s="60"/>
    </row>
    <row r="32445" spans="7:24" ht="15" customHeight="1">
      <c r="G32445"/>
      <c r="I32445"/>
      <c r="N32445"/>
      <c r="O32445" s="24"/>
      <c r="P32445"/>
      <c r="Q32445" s="24"/>
      <c r="R32445"/>
      <c r="S32445"/>
      <c r="T32445"/>
      <c r="U32445"/>
      <c r="X32445" s="60"/>
    </row>
    <row r="32446" spans="7:24" ht="15" customHeight="1">
      <c r="G32446"/>
      <c r="I32446"/>
      <c r="N32446"/>
      <c r="O32446" s="24"/>
      <c r="P32446"/>
      <c r="Q32446" s="24"/>
      <c r="R32446"/>
      <c r="S32446"/>
      <c r="T32446"/>
      <c r="U32446"/>
      <c r="X32446" s="60"/>
    </row>
    <row r="32447" spans="7:24" ht="15" customHeight="1">
      <c r="G32447"/>
      <c r="I32447"/>
      <c r="N32447"/>
      <c r="O32447" s="24"/>
      <c r="P32447"/>
      <c r="Q32447" s="24"/>
      <c r="R32447"/>
      <c r="S32447"/>
      <c r="T32447"/>
      <c r="U32447"/>
      <c r="X32447" s="60"/>
    </row>
    <row r="32448" spans="7:24" ht="15" customHeight="1">
      <c r="G32448"/>
      <c r="I32448"/>
      <c r="N32448"/>
      <c r="O32448" s="24"/>
      <c r="P32448"/>
      <c r="Q32448" s="24"/>
      <c r="R32448"/>
      <c r="S32448"/>
      <c r="T32448"/>
      <c r="U32448"/>
      <c r="X32448" s="60"/>
    </row>
    <row r="32449" spans="7:24" ht="15" customHeight="1">
      <c r="G32449"/>
      <c r="I32449"/>
      <c r="N32449"/>
      <c r="O32449" s="24"/>
      <c r="P32449"/>
      <c r="Q32449" s="24"/>
      <c r="R32449"/>
      <c r="S32449"/>
      <c r="T32449"/>
      <c r="U32449"/>
      <c r="X32449" s="60"/>
    </row>
    <row r="32450" spans="7:24" ht="15" customHeight="1">
      <c r="G32450"/>
      <c r="I32450"/>
      <c r="N32450"/>
      <c r="O32450" s="24"/>
      <c r="P32450"/>
      <c r="Q32450" s="24"/>
      <c r="R32450"/>
      <c r="S32450"/>
      <c r="T32450"/>
      <c r="U32450"/>
      <c r="X32450" s="60"/>
    </row>
    <row r="32451" spans="7:24" ht="15" customHeight="1">
      <c r="G32451"/>
      <c r="I32451"/>
      <c r="N32451"/>
      <c r="O32451" s="24"/>
      <c r="P32451"/>
      <c r="Q32451" s="24"/>
      <c r="R32451"/>
      <c r="S32451"/>
      <c r="T32451"/>
      <c r="U32451"/>
      <c r="X32451" s="60"/>
    </row>
    <row r="32452" spans="7:24" ht="15" customHeight="1">
      <c r="G32452"/>
      <c r="I32452"/>
      <c r="N32452"/>
      <c r="O32452" s="24"/>
      <c r="P32452"/>
      <c r="Q32452" s="24"/>
      <c r="R32452"/>
      <c r="S32452"/>
      <c r="T32452"/>
      <c r="U32452"/>
      <c r="X32452" s="60"/>
    </row>
    <row r="32453" spans="7:24" ht="15" customHeight="1">
      <c r="G32453"/>
      <c r="I32453"/>
      <c r="N32453"/>
      <c r="O32453" s="24"/>
      <c r="P32453"/>
      <c r="Q32453" s="24"/>
      <c r="R32453"/>
      <c r="S32453"/>
      <c r="T32453"/>
      <c r="U32453"/>
      <c r="X32453" s="60"/>
    </row>
    <row r="32454" spans="7:24" ht="15" customHeight="1">
      <c r="G32454"/>
      <c r="I32454"/>
      <c r="N32454"/>
      <c r="O32454" s="24"/>
      <c r="P32454"/>
      <c r="Q32454" s="24"/>
      <c r="R32454"/>
      <c r="S32454"/>
      <c r="T32454"/>
      <c r="U32454"/>
      <c r="X32454" s="60"/>
    </row>
    <row r="32455" spans="7:24" ht="15" customHeight="1">
      <c r="G32455"/>
      <c r="I32455"/>
      <c r="N32455"/>
      <c r="O32455" s="24"/>
      <c r="P32455"/>
      <c r="Q32455" s="24"/>
      <c r="R32455"/>
      <c r="S32455"/>
      <c r="T32455"/>
      <c r="U32455"/>
      <c r="X32455" s="60"/>
    </row>
    <row r="32456" spans="7:24" ht="15" customHeight="1">
      <c r="G32456"/>
      <c r="I32456"/>
      <c r="N32456"/>
      <c r="O32456" s="24"/>
      <c r="P32456"/>
      <c r="Q32456" s="24"/>
      <c r="R32456"/>
      <c r="S32456"/>
      <c r="T32456"/>
      <c r="U32456"/>
      <c r="X32456" s="60"/>
    </row>
    <row r="32457" spans="7:24" ht="15" customHeight="1">
      <c r="G32457"/>
      <c r="I32457"/>
      <c r="N32457"/>
      <c r="O32457" s="24"/>
      <c r="P32457"/>
      <c r="Q32457" s="24"/>
      <c r="R32457"/>
      <c r="S32457"/>
      <c r="T32457"/>
      <c r="U32457"/>
      <c r="X32457" s="60"/>
    </row>
    <row r="32458" spans="7:24" ht="15" customHeight="1">
      <c r="G32458"/>
      <c r="I32458"/>
      <c r="N32458"/>
      <c r="O32458" s="24"/>
      <c r="P32458"/>
      <c r="Q32458" s="24"/>
      <c r="R32458"/>
      <c r="S32458"/>
      <c r="T32458"/>
      <c r="U32458"/>
      <c r="X32458" s="60"/>
    </row>
    <row r="32459" spans="7:24" ht="15" customHeight="1">
      <c r="G32459"/>
      <c r="I32459"/>
      <c r="N32459"/>
      <c r="O32459" s="24"/>
      <c r="P32459"/>
      <c r="Q32459" s="24"/>
      <c r="R32459"/>
      <c r="S32459"/>
      <c r="T32459"/>
      <c r="U32459"/>
      <c r="X32459" s="60"/>
    </row>
    <row r="32460" spans="7:24" ht="15" customHeight="1">
      <c r="G32460"/>
      <c r="I32460"/>
      <c r="N32460"/>
      <c r="O32460" s="24"/>
      <c r="P32460"/>
      <c r="Q32460" s="24"/>
      <c r="R32460"/>
      <c r="S32460"/>
      <c r="T32460"/>
      <c r="U32460"/>
      <c r="X32460" s="60"/>
    </row>
    <row r="32461" spans="7:24" ht="15" customHeight="1">
      <c r="G32461"/>
      <c r="I32461"/>
      <c r="N32461"/>
      <c r="O32461" s="24"/>
      <c r="P32461"/>
      <c r="Q32461" s="24"/>
      <c r="R32461"/>
      <c r="S32461"/>
      <c r="T32461"/>
      <c r="U32461"/>
      <c r="X32461" s="60"/>
    </row>
    <row r="32462" spans="7:24" ht="15" customHeight="1">
      <c r="G32462"/>
      <c r="I32462"/>
      <c r="N32462"/>
      <c r="O32462" s="24"/>
      <c r="P32462"/>
      <c r="Q32462" s="24"/>
      <c r="R32462"/>
      <c r="S32462"/>
      <c r="T32462"/>
      <c r="U32462"/>
      <c r="X32462" s="60"/>
    </row>
    <row r="32463" spans="7:24" ht="15" customHeight="1">
      <c r="G32463"/>
      <c r="I32463"/>
      <c r="N32463"/>
      <c r="O32463" s="24"/>
      <c r="P32463"/>
      <c r="Q32463" s="24"/>
      <c r="R32463"/>
      <c r="S32463"/>
      <c r="T32463"/>
      <c r="U32463"/>
      <c r="X32463" s="60"/>
    </row>
    <row r="32464" spans="7:24" ht="15" customHeight="1">
      <c r="G32464"/>
      <c r="I32464"/>
      <c r="N32464"/>
      <c r="O32464" s="24"/>
      <c r="P32464"/>
      <c r="Q32464" s="24"/>
      <c r="R32464"/>
      <c r="S32464"/>
      <c r="T32464"/>
      <c r="U32464"/>
      <c r="X32464" s="60"/>
    </row>
    <row r="32465" spans="7:24" ht="15" customHeight="1">
      <c r="G32465"/>
      <c r="I32465"/>
      <c r="N32465"/>
      <c r="O32465" s="24"/>
      <c r="P32465"/>
      <c r="Q32465" s="24"/>
      <c r="R32465"/>
      <c r="S32465"/>
      <c r="T32465"/>
      <c r="U32465"/>
      <c r="X32465" s="60"/>
    </row>
    <row r="32466" spans="7:24" ht="15" customHeight="1">
      <c r="G32466"/>
      <c r="I32466"/>
      <c r="N32466"/>
      <c r="O32466" s="24"/>
      <c r="P32466"/>
      <c r="Q32466" s="24"/>
      <c r="R32466"/>
      <c r="S32466"/>
      <c r="T32466"/>
      <c r="U32466"/>
      <c r="X32466" s="60"/>
    </row>
    <row r="32467" spans="7:24" ht="15" customHeight="1">
      <c r="G32467"/>
      <c r="I32467"/>
      <c r="N32467"/>
      <c r="O32467" s="24"/>
      <c r="P32467"/>
      <c r="Q32467" s="24"/>
      <c r="R32467"/>
      <c r="S32467"/>
      <c r="T32467"/>
      <c r="U32467"/>
      <c r="X32467" s="60"/>
    </row>
    <row r="32468" spans="7:24" ht="15" customHeight="1">
      <c r="G32468"/>
      <c r="I32468"/>
      <c r="N32468"/>
      <c r="O32468" s="24"/>
      <c r="P32468"/>
      <c r="Q32468" s="24"/>
      <c r="R32468"/>
      <c r="S32468"/>
      <c r="T32468"/>
      <c r="U32468"/>
      <c r="X32468" s="60"/>
    </row>
    <row r="32469" spans="7:24" ht="15" customHeight="1">
      <c r="G32469"/>
      <c r="I32469"/>
      <c r="N32469"/>
      <c r="O32469" s="24"/>
      <c r="P32469"/>
      <c r="Q32469" s="24"/>
      <c r="R32469"/>
      <c r="S32469"/>
      <c r="T32469"/>
      <c r="U32469"/>
      <c r="X32469" s="60"/>
    </row>
    <row r="32470" spans="7:24" ht="15" customHeight="1">
      <c r="G32470"/>
      <c r="I32470"/>
      <c r="N32470"/>
      <c r="O32470" s="24"/>
      <c r="P32470"/>
      <c r="Q32470" s="24"/>
      <c r="R32470"/>
      <c r="S32470"/>
      <c r="T32470"/>
      <c r="U32470"/>
      <c r="X32470" s="60"/>
    </row>
    <row r="32471" spans="7:24" ht="15" customHeight="1">
      <c r="G32471"/>
      <c r="I32471"/>
      <c r="N32471"/>
      <c r="O32471" s="24"/>
      <c r="P32471"/>
      <c r="Q32471" s="24"/>
      <c r="R32471"/>
      <c r="S32471"/>
      <c r="T32471"/>
      <c r="U32471"/>
      <c r="X32471" s="60"/>
    </row>
    <row r="32472" spans="7:24" ht="15" customHeight="1">
      <c r="G32472"/>
      <c r="I32472"/>
      <c r="N32472"/>
      <c r="O32472" s="24"/>
      <c r="P32472"/>
      <c r="Q32472" s="24"/>
      <c r="R32472"/>
      <c r="S32472"/>
      <c r="T32472"/>
      <c r="U32472"/>
      <c r="X32472" s="60"/>
    </row>
    <row r="32473" spans="7:24" ht="15" customHeight="1">
      <c r="G32473"/>
      <c r="I32473"/>
      <c r="N32473"/>
      <c r="O32473" s="24"/>
      <c r="P32473"/>
      <c r="Q32473" s="24"/>
      <c r="R32473"/>
      <c r="S32473"/>
      <c r="T32473"/>
      <c r="U32473"/>
      <c r="X32473" s="60"/>
    </row>
    <row r="32474" spans="7:24" ht="15" customHeight="1">
      <c r="G32474"/>
      <c r="I32474"/>
      <c r="N32474"/>
      <c r="O32474" s="24"/>
      <c r="P32474"/>
      <c r="Q32474" s="24"/>
      <c r="R32474"/>
      <c r="S32474"/>
      <c r="T32474"/>
      <c r="U32474"/>
      <c r="X32474" s="60"/>
    </row>
    <row r="32475" spans="7:24" ht="15" customHeight="1">
      <c r="G32475"/>
      <c r="I32475"/>
      <c r="N32475"/>
      <c r="O32475" s="24"/>
      <c r="P32475"/>
      <c r="Q32475" s="24"/>
      <c r="R32475"/>
      <c r="S32475"/>
      <c r="T32475"/>
      <c r="U32475"/>
      <c r="X32475" s="60"/>
    </row>
    <row r="32476" spans="7:24" ht="15" customHeight="1">
      <c r="G32476"/>
      <c r="I32476"/>
      <c r="N32476"/>
      <c r="O32476" s="24"/>
      <c r="P32476"/>
      <c r="Q32476" s="24"/>
      <c r="R32476"/>
      <c r="S32476"/>
      <c r="T32476"/>
      <c r="U32476"/>
      <c r="X32476" s="60"/>
    </row>
    <row r="32477" spans="7:24" ht="15" customHeight="1">
      <c r="G32477"/>
      <c r="I32477"/>
      <c r="N32477"/>
      <c r="O32477" s="24"/>
      <c r="P32477"/>
      <c r="Q32477" s="24"/>
      <c r="R32477"/>
      <c r="S32477"/>
      <c r="T32477"/>
      <c r="U32477"/>
      <c r="X32477" s="60"/>
    </row>
    <row r="32478" spans="7:24" ht="15" customHeight="1">
      <c r="G32478"/>
      <c r="I32478"/>
      <c r="N32478"/>
      <c r="O32478" s="24"/>
      <c r="P32478"/>
      <c r="Q32478" s="24"/>
      <c r="R32478"/>
      <c r="S32478"/>
      <c r="T32478"/>
      <c r="U32478"/>
      <c r="X32478" s="60"/>
    </row>
    <row r="32479" spans="7:24" ht="15" customHeight="1">
      <c r="G32479"/>
      <c r="I32479"/>
      <c r="N32479"/>
      <c r="O32479" s="24"/>
      <c r="P32479"/>
      <c r="Q32479" s="24"/>
      <c r="R32479"/>
      <c r="S32479"/>
      <c r="T32479"/>
      <c r="U32479"/>
      <c r="X32479" s="60"/>
    </row>
    <row r="32480" spans="7:24" ht="15" customHeight="1">
      <c r="G32480"/>
      <c r="I32480"/>
      <c r="N32480"/>
      <c r="O32480" s="24"/>
      <c r="P32480"/>
      <c r="Q32480" s="24"/>
      <c r="R32480"/>
      <c r="S32480"/>
      <c r="T32480"/>
      <c r="U32480"/>
      <c r="X32480" s="60"/>
    </row>
    <row r="32481" spans="7:24" ht="15" customHeight="1">
      <c r="G32481"/>
      <c r="I32481"/>
      <c r="N32481"/>
      <c r="O32481" s="24"/>
      <c r="P32481"/>
      <c r="Q32481" s="24"/>
      <c r="R32481"/>
      <c r="S32481"/>
      <c r="T32481"/>
      <c r="U32481"/>
      <c r="X32481" s="60"/>
    </row>
    <row r="32482" spans="7:24" ht="15" customHeight="1">
      <c r="G32482"/>
      <c r="I32482"/>
      <c r="N32482"/>
      <c r="O32482" s="24"/>
      <c r="P32482"/>
      <c r="Q32482" s="24"/>
      <c r="R32482"/>
      <c r="S32482"/>
      <c r="T32482"/>
      <c r="U32482"/>
      <c r="X32482" s="60"/>
    </row>
    <row r="32483" spans="7:24" ht="15" customHeight="1">
      <c r="G32483"/>
      <c r="I32483"/>
      <c r="N32483"/>
      <c r="O32483" s="24"/>
      <c r="P32483"/>
      <c r="Q32483" s="24"/>
      <c r="R32483"/>
      <c r="S32483"/>
      <c r="T32483"/>
      <c r="U32483"/>
      <c r="X32483" s="60"/>
    </row>
    <row r="32484" spans="7:24" ht="15" customHeight="1">
      <c r="G32484"/>
      <c r="I32484"/>
      <c r="N32484"/>
      <c r="O32484" s="24"/>
      <c r="P32484"/>
      <c r="Q32484" s="24"/>
      <c r="R32484"/>
      <c r="S32484"/>
      <c r="T32484"/>
      <c r="U32484"/>
      <c r="X32484" s="60"/>
    </row>
    <row r="32485" spans="7:24" ht="15" customHeight="1">
      <c r="G32485"/>
      <c r="I32485"/>
      <c r="N32485"/>
      <c r="O32485" s="24"/>
      <c r="P32485"/>
      <c r="Q32485" s="24"/>
      <c r="R32485"/>
      <c r="S32485"/>
      <c r="T32485"/>
      <c r="U32485"/>
      <c r="X32485" s="60"/>
    </row>
    <row r="32486" spans="7:24" ht="15" customHeight="1">
      <c r="G32486"/>
      <c r="I32486"/>
      <c r="N32486"/>
      <c r="O32486" s="24"/>
      <c r="P32486"/>
      <c r="Q32486" s="24"/>
      <c r="R32486"/>
      <c r="S32486"/>
      <c r="T32486"/>
      <c r="U32486"/>
      <c r="X32486" s="60"/>
    </row>
    <row r="32487" spans="7:24" ht="15" customHeight="1">
      <c r="G32487"/>
      <c r="I32487"/>
      <c r="N32487"/>
      <c r="O32487" s="24"/>
      <c r="P32487"/>
      <c r="Q32487" s="24"/>
      <c r="R32487"/>
      <c r="S32487"/>
      <c r="T32487"/>
      <c r="U32487"/>
      <c r="X32487" s="60"/>
    </row>
    <row r="32488" spans="7:24" ht="15" customHeight="1">
      <c r="G32488"/>
      <c r="I32488"/>
      <c r="N32488"/>
      <c r="O32488" s="24"/>
      <c r="P32488"/>
      <c r="Q32488" s="24"/>
      <c r="R32488"/>
      <c r="S32488"/>
      <c r="T32488"/>
      <c r="U32488"/>
      <c r="X32488" s="60"/>
    </row>
    <row r="32489" spans="7:24" ht="15" customHeight="1">
      <c r="G32489"/>
      <c r="I32489"/>
      <c r="N32489"/>
      <c r="O32489" s="24"/>
      <c r="P32489"/>
      <c r="Q32489" s="24"/>
      <c r="R32489"/>
      <c r="S32489"/>
      <c r="T32489"/>
      <c r="U32489"/>
      <c r="X32489" s="60"/>
    </row>
    <row r="32490" spans="7:24" ht="15" customHeight="1">
      <c r="G32490"/>
      <c r="I32490"/>
      <c r="N32490"/>
      <c r="O32490" s="24"/>
      <c r="P32490"/>
      <c r="Q32490" s="24"/>
      <c r="R32490"/>
      <c r="S32490"/>
      <c r="T32490"/>
      <c r="U32490"/>
      <c r="X32490" s="60"/>
    </row>
    <row r="32491" spans="7:24" ht="15" customHeight="1">
      <c r="G32491"/>
      <c r="I32491"/>
      <c r="N32491"/>
      <c r="O32491" s="24"/>
      <c r="P32491"/>
      <c r="Q32491" s="24"/>
      <c r="R32491"/>
      <c r="S32491"/>
      <c r="T32491"/>
      <c r="U32491"/>
      <c r="X32491" s="60"/>
    </row>
    <row r="32492" spans="7:24" ht="15" customHeight="1">
      <c r="G32492"/>
      <c r="I32492"/>
      <c r="N32492"/>
      <c r="O32492" s="24"/>
      <c r="P32492"/>
      <c r="Q32492" s="24"/>
      <c r="R32492"/>
      <c r="S32492"/>
      <c r="T32492"/>
      <c r="U32492"/>
      <c r="X32492" s="60"/>
    </row>
    <row r="32493" spans="7:24" ht="15" customHeight="1">
      <c r="G32493"/>
      <c r="I32493"/>
      <c r="N32493"/>
      <c r="O32493" s="24"/>
      <c r="P32493"/>
      <c r="Q32493" s="24"/>
      <c r="R32493"/>
      <c r="S32493"/>
      <c r="T32493"/>
      <c r="U32493"/>
      <c r="X32493" s="60"/>
    </row>
    <row r="32494" spans="7:24" ht="15" customHeight="1">
      <c r="G32494"/>
      <c r="I32494"/>
      <c r="N32494"/>
      <c r="O32494" s="24"/>
      <c r="P32494"/>
      <c r="Q32494" s="24"/>
      <c r="R32494"/>
      <c r="S32494"/>
      <c r="T32494"/>
      <c r="U32494"/>
      <c r="X32494" s="60"/>
    </row>
    <row r="32495" spans="7:24" ht="15" customHeight="1">
      <c r="G32495"/>
      <c r="I32495"/>
      <c r="N32495"/>
      <c r="O32495" s="24"/>
      <c r="P32495"/>
      <c r="Q32495" s="24"/>
      <c r="R32495"/>
      <c r="S32495"/>
      <c r="T32495"/>
      <c r="U32495"/>
      <c r="X32495" s="60"/>
    </row>
    <row r="32496" spans="7:24" ht="15" customHeight="1">
      <c r="G32496"/>
      <c r="I32496"/>
      <c r="N32496"/>
      <c r="O32496" s="24"/>
      <c r="P32496"/>
      <c r="Q32496" s="24"/>
      <c r="R32496"/>
      <c r="S32496"/>
      <c r="T32496"/>
      <c r="U32496"/>
      <c r="X32496" s="60"/>
    </row>
    <row r="32497" spans="7:24" ht="15" customHeight="1">
      <c r="G32497"/>
      <c r="I32497"/>
      <c r="N32497"/>
      <c r="O32497" s="24"/>
      <c r="P32497"/>
      <c r="Q32497" s="24"/>
      <c r="R32497"/>
      <c r="S32497"/>
      <c r="T32497"/>
      <c r="U32497"/>
      <c r="X32497" s="60"/>
    </row>
    <row r="32498" spans="7:24" ht="15" customHeight="1">
      <c r="G32498"/>
      <c r="I32498"/>
      <c r="N32498"/>
      <c r="O32498" s="24"/>
      <c r="P32498"/>
      <c r="Q32498" s="24"/>
      <c r="R32498"/>
      <c r="S32498"/>
      <c r="T32498"/>
      <c r="U32498"/>
      <c r="X32498" s="60"/>
    </row>
    <row r="32499" spans="7:24" ht="15" customHeight="1">
      <c r="G32499"/>
      <c r="I32499"/>
      <c r="N32499"/>
      <c r="O32499" s="24"/>
      <c r="P32499"/>
      <c r="Q32499" s="24"/>
      <c r="R32499"/>
      <c r="S32499"/>
      <c r="T32499"/>
      <c r="U32499"/>
      <c r="X32499" s="60"/>
    </row>
    <row r="32500" spans="7:24" ht="15" customHeight="1">
      <c r="G32500"/>
      <c r="I32500"/>
      <c r="N32500"/>
      <c r="O32500" s="24"/>
      <c r="P32500"/>
      <c r="Q32500" s="24"/>
      <c r="R32500"/>
      <c r="S32500"/>
      <c r="T32500"/>
      <c r="U32500"/>
      <c r="X32500" s="60"/>
    </row>
    <row r="32501" spans="7:24" ht="15" customHeight="1">
      <c r="G32501"/>
      <c r="I32501"/>
      <c r="N32501"/>
      <c r="O32501" s="24"/>
      <c r="P32501"/>
      <c r="Q32501" s="24"/>
      <c r="R32501"/>
      <c r="S32501"/>
      <c r="T32501"/>
      <c r="U32501"/>
      <c r="X32501" s="60"/>
    </row>
    <row r="32502" spans="7:24" ht="15" customHeight="1">
      <c r="G32502"/>
      <c r="I32502"/>
      <c r="N32502"/>
      <c r="O32502" s="24"/>
      <c r="P32502"/>
      <c r="Q32502" s="24"/>
      <c r="R32502"/>
      <c r="S32502"/>
      <c r="T32502"/>
      <c r="U32502"/>
      <c r="X32502" s="60"/>
    </row>
    <row r="32503" spans="7:24" ht="15" customHeight="1">
      <c r="G32503"/>
      <c r="I32503"/>
      <c r="N32503"/>
      <c r="O32503" s="24"/>
      <c r="P32503"/>
      <c r="Q32503" s="24"/>
      <c r="R32503"/>
      <c r="S32503"/>
      <c r="T32503"/>
      <c r="U32503"/>
      <c r="X32503" s="60"/>
    </row>
    <row r="32504" spans="7:24" ht="15" customHeight="1">
      <c r="G32504"/>
      <c r="I32504"/>
      <c r="N32504"/>
      <c r="O32504" s="24"/>
      <c r="P32504"/>
      <c r="Q32504" s="24"/>
      <c r="R32504"/>
      <c r="S32504"/>
      <c r="T32504"/>
      <c r="U32504"/>
      <c r="X32504" s="60"/>
    </row>
    <row r="32505" spans="7:24" ht="15" customHeight="1">
      <c r="G32505"/>
      <c r="I32505"/>
      <c r="N32505"/>
      <c r="O32505" s="24"/>
      <c r="P32505"/>
      <c r="Q32505" s="24"/>
      <c r="R32505"/>
      <c r="S32505"/>
      <c r="T32505"/>
      <c r="U32505"/>
      <c r="X32505" s="60"/>
    </row>
    <row r="32506" spans="7:24" ht="15" customHeight="1">
      <c r="G32506"/>
      <c r="I32506"/>
      <c r="N32506"/>
      <c r="O32506" s="24"/>
      <c r="P32506"/>
      <c r="Q32506" s="24"/>
      <c r="R32506"/>
      <c r="S32506"/>
      <c r="T32506"/>
      <c r="U32506"/>
      <c r="X32506" s="60"/>
    </row>
    <row r="32507" spans="7:24" ht="15" customHeight="1">
      <c r="G32507"/>
      <c r="I32507"/>
      <c r="N32507"/>
      <c r="O32507" s="24"/>
      <c r="P32507"/>
      <c r="Q32507" s="24"/>
      <c r="R32507"/>
      <c r="S32507"/>
      <c r="T32507"/>
      <c r="U32507"/>
      <c r="X32507" s="60"/>
    </row>
    <row r="32508" spans="7:24" ht="15" customHeight="1">
      <c r="G32508"/>
      <c r="I32508"/>
      <c r="N32508"/>
      <c r="O32508" s="24"/>
      <c r="P32508"/>
      <c r="Q32508" s="24"/>
      <c r="R32508"/>
      <c r="S32508"/>
      <c r="T32508"/>
      <c r="U32508"/>
      <c r="X32508" s="60"/>
    </row>
    <row r="32509" spans="7:24" ht="15" customHeight="1">
      <c r="G32509"/>
      <c r="I32509"/>
      <c r="N32509"/>
      <c r="O32509" s="24"/>
      <c r="P32509"/>
      <c r="Q32509" s="24"/>
      <c r="R32509"/>
      <c r="S32509"/>
      <c r="T32509"/>
      <c r="U32509"/>
      <c r="X32509" s="60"/>
    </row>
    <row r="32510" spans="7:24" ht="15" customHeight="1">
      <c r="G32510"/>
      <c r="I32510"/>
      <c r="N32510"/>
      <c r="O32510" s="24"/>
      <c r="P32510"/>
      <c r="Q32510" s="24"/>
      <c r="R32510"/>
      <c r="S32510"/>
      <c r="T32510"/>
      <c r="U32510"/>
      <c r="X32510" s="60"/>
    </row>
    <row r="32511" spans="7:24" ht="15" customHeight="1">
      <c r="G32511"/>
      <c r="I32511"/>
      <c r="N32511"/>
      <c r="O32511" s="24"/>
      <c r="P32511"/>
      <c r="Q32511" s="24"/>
      <c r="R32511"/>
      <c r="S32511"/>
      <c r="T32511"/>
      <c r="U32511"/>
      <c r="X32511" s="60"/>
    </row>
    <row r="32512" spans="7:24" ht="15" customHeight="1">
      <c r="G32512"/>
      <c r="I32512"/>
      <c r="N32512"/>
      <c r="O32512" s="24"/>
      <c r="P32512"/>
      <c r="Q32512" s="24"/>
      <c r="R32512"/>
      <c r="S32512"/>
      <c r="T32512"/>
      <c r="U32512"/>
      <c r="X32512" s="60"/>
    </row>
    <row r="32513" spans="7:24" ht="15" customHeight="1">
      <c r="G32513"/>
      <c r="I32513"/>
      <c r="N32513"/>
      <c r="O32513" s="24"/>
      <c r="P32513"/>
      <c r="Q32513" s="24"/>
      <c r="R32513"/>
      <c r="S32513"/>
      <c r="T32513"/>
      <c r="U32513"/>
      <c r="X32513" s="60"/>
    </row>
    <row r="32514" spans="7:24" ht="15" customHeight="1">
      <c r="G32514"/>
      <c r="I32514"/>
      <c r="N32514"/>
      <c r="O32514" s="24"/>
      <c r="P32514"/>
      <c r="Q32514" s="24"/>
      <c r="R32514"/>
      <c r="S32514"/>
      <c r="T32514"/>
      <c r="U32514"/>
      <c r="X32514" s="60"/>
    </row>
    <row r="32515" spans="7:24" ht="15" customHeight="1">
      <c r="G32515"/>
      <c r="I32515"/>
      <c r="N32515"/>
      <c r="O32515" s="24"/>
      <c r="P32515"/>
      <c r="Q32515" s="24"/>
      <c r="R32515"/>
      <c r="S32515"/>
      <c r="T32515"/>
      <c r="U32515"/>
      <c r="X32515" s="60"/>
    </row>
    <row r="32516" spans="7:24" ht="15" customHeight="1">
      <c r="G32516"/>
      <c r="I32516"/>
      <c r="N32516"/>
      <c r="O32516" s="24"/>
      <c r="P32516"/>
      <c r="Q32516" s="24"/>
      <c r="R32516"/>
      <c r="S32516"/>
      <c r="T32516"/>
      <c r="U32516"/>
      <c r="X32516" s="60"/>
    </row>
    <row r="32517" spans="7:24" ht="15" customHeight="1">
      <c r="G32517"/>
      <c r="I32517"/>
      <c r="N32517"/>
      <c r="O32517" s="24"/>
      <c r="P32517"/>
      <c r="Q32517" s="24"/>
      <c r="R32517"/>
      <c r="S32517"/>
      <c r="T32517"/>
      <c r="U32517"/>
      <c r="X32517" s="60"/>
    </row>
    <row r="32518" spans="7:24" ht="15" customHeight="1">
      <c r="G32518"/>
      <c r="I32518"/>
      <c r="N32518"/>
      <c r="O32518" s="24"/>
      <c r="P32518"/>
      <c r="Q32518" s="24"/>
      <c r="R32518"/>
      <c r="S32518"/>
      <c r="T32518"/>
      <c r="U32518"/>
      <c r="X32518" s="60"/>
    </row>
    <row r="32519" spans="7:24" ht="15" customHeight="1">
      <c r="G32519"/>
      <c r="I32519"/>
      <c r="N32519"/>
      <c r="O32519" s="24"/>
      <c r="P32519"/>
      <c r="Q32519" s="24"/>
      <c r="R32519"/>
      <c r="S32519"/>
      <c r="T32519"/>
      <c r="U32519"/>
      <c r="X32519" s="60"/>
    </row>
    <row r="32520" spans="7:24" ht="15" customHeight="1">
      <c r="G32520"/>
      <c r="I32520"/>
      <c r="N32520"/>
      <c r="O32520" s="24"/>
      <c r="P32520"/>
      <c r="Q32520" s="24"/>
      <c r="R32520"/>
      <c r="S32520"/>
      <c r="T32520"/>
      <c r="U32520"/>
      <c r="X32520" s="60"/>
    </row>
    <row r="32521" spans="7:24" ht="15" customHeight="1">
      <c r="G32521"/>
      <c r="I32521"/>
      <c r="N32521"/>
      <c r="O32521" s="24"/>
      <c r="P32521"/>
      <c r="Q32521" s="24"/>
      <c r="R32521"/>
      <c r="S32521"/>
      <c r="T32521"/>
      <c r="U32521"/>
      <c r="X32521" s="60"/>
    </row>
    <row r="32522" spans="7:24" ht="15" customHeight="1">
      <c r="G32522"/>
      <c r="I32522"/>
      <c r="N32522"/>
      <c r="O32522" s="24"/>
      <c r="P32522"/>
      <c r="Q32522" s="24"/>
      <c r="R32522"/>
      <c r="S32522"/>
      <c r="T32522"/>
      <c r="U32522"/>
      <c r="X32522" s="60"/>
    </row>
    <row r="32523" spans="7:24" ht="15" customHeight="1">
      <c r="G32523"/>
      <c r="I32523"/>
      <c r="N32523"/>
      <c r="O32523" s="24"/>
      <c r="P32523"/>
      <c r="Q32523" s="24"/>
      <c r="R32523"/>
      <c r="S32523"/>
      <c r="T32523"/>
      <c r="U32523"/>
      <c r="X32523" s="60"/>
    </row>
    <row r="32524" spans="7:24" ht="15" customHeight="1">
      <c r="G32524"/>
      <c r="I32524"/>
      <c r="N32524"/>
      <c r="O32524" s="24"/>
      <c r="P32524"/>
      <c r="Q32524" s="24"/>
      <c r="R32524"/>
      <c r="S32524"/>
      <c r="T32524"/>
      <c r="U32524"/>
      <c r="X32524" s="60"/>
    </row>
    <row r="32525" spans="7:24" ht="15" customHeight="1">
      <c r="G32525"/>
      <c r="I32525"/>
      <c r="N32525"/>
      <c r="O32525" s="24"/>
      <c r="P32525"/>
      <c r="Q32525" s="24"/>
      <c r="R32525"/>
      <c r="S32525"/>
      <c r="T32525"/>
      <c r="U32525"/>
      <c r="X32525" s="60"/>
    </row>
    <row r="32526" spans="7:24" ht="15" customHeight="1">
      <c r="G32526"/>
      <c r="I32526"/>
      <c r="N32526"/>
      <c r="O32526" s="24"/>
      <c r="P32526"/>
      <c r="Q32526" s="24"/>
      <c r="R32526"/>
      <c r="S32526"/>
      <c r="T32526"/>
      <c r="U32526"/>
      <c r="X32526" s="60"/>
    </row>
    <row r="32527" spans="7:24" ht="15" customHeight="1">
      <c r="G32527"/>
      <c r="I32527"/>
      <c r="N32527"/>
      <c r="O32527" s="24"/>
      <c r="P32527"/>
      <c r="Q32527" s="24"/>
      <c r="R32527"/>
      <c r="S32527"/>
      <c r="T32527"/>
      <c r="U32527"/>
      <c r="X32527" s="60"/>
    </row>
    <row r="32528" spans="7:24" ht="15" customHeight="1">
      <c r="G32528"/>
      <c r="I32528"/>
      <c r="N32528"/>
      <c r="O32528" s="24"/>
      <c r="P32528"/>
      <c r="Q32528" s="24"/>
      <c r="R32528"/>
      <c r="S32528"/>
      <c r="T32528"/>
      <c r="U32528"/>
      <c r="X32528" s="60"/>
    </row>
    <row r="32529" spans="7:24" ht="15" customHeight="1">
      <c r="G32529"/>
      <c r="I32529"/>
      <c r="N32529"/>
      <c r="O32529" s="24"/>
      <c r="P32529"/>
      <c r="Q32529" s="24"/>
      <c r="R32529"/>
      <c r="S32529"/>
      <c r="T32529"/>
      <c r="U32529"/>
      <c r="X32529" s="60"/>
    </row>
    <row r="32530" spans="7:24" ht="15" customHeight="1">
      <c r="G32530"/>
      <c r="I32530"/>
      <c r="N32530"/>
      <c r="O32530" s="24"/>
      <c r="P32530"/>
      <c r="Q32530" s="24"/>
      <c r="R32530"/>
      <c r="S32530"/>
      <c r="T32530"/>
      <c r="U32530"/>
      <c r="X32530" s="60"/>
    </row>
    <row r="32531" spans="7:24" ht="15" customHeight="1">
      <c r="G32531"/>
      <c r="I32531"/>
      <c r="N32531"/>
      <c r="O32531" s="24"/>
      <c r="P32531"/>
      <c r="Q32531" s="24"/>
      <c r="R32531"/>
      <c r="S32531"/>
      <c r="T32531"/>
      <c r="U32531"/>
      <c r="X32531" s="60"/>
    </row>
    <row r="32532" spans="7:24" ht="15" customHeight="1">
      <c r="G32532"/>
      <c r="I32532"/>
      <c r="N32532"/>
      <c r="O32532" s="24"/>
      <c r="P32532"/>
      <c r="Q32532" s="24"/>
      <c r="R32532"/>
      <c r="S32532"/>
      <c r="T32532"/>
      <c r="U32532"/>
      <c r="X32532" s="60"/>
    </row>
    <row r="32533" spans="7:24" ht="15" customHeight="1">
      <c r="G32533"/>
      <c r="I32533"/>
      <c r="N32533"/>
      <c r="O32533" s="24"/>
      <c r="P32533"/>
      <c r="Q32533" s="24"/>
      <c r="R32533"/>
      <c r="S32533"/>
      <c r="T32533"/>
      <c r="U32533"/>
      <c r="X32533" s="60"/>
    </row>
    <row r="32534" spans="7:24" ht="15" customHeight="1">
      <c r="G32534"/>
      <c r="I32534"/>
      <c r="N32534"/>
      <c r="O32534" s="24"/>
      <c r="P32534"/>
      <c r="Q32534" s="24"/>
      <c r="R32534"/>
      <c r="S32534"/>
      <c r="T32534"/>
      <c r="U32534"/>
      <c r="X32534" s="60"/>
    </row>
    <row r="32535" spans="7:24" ht="15" customHeight="1">
      <c r="G32535"/>
      <c r="I32535"/>
      <c r="N32535"/>
      <c r="O32535" s="24"/>
      <c r="P32535"/>
      <c r="Q32535" s="24"/>
      <c r="R32535"/>
      <c r="S32535"/>
      <c r="T32535"/>
      <c r="U32535"/>
      <c r="X32535" s="60"/>
    </row>
    <row r="32536" spans="7:24" ht="15" customHeight="1">
      <c r="G32536"/>
      <c r="I32536"/>
      <c r="N32536"/>
      <c r="O32536" s="24"/>
      <c r="P32536"/>
      <c r="Q32536" s="24"/>
      <c r="R32536"/>
      <c r="S32536"/>
      <c r="T32536"/>
      <c r="U32536"/>
      <c r="X32536" s="60"/>
    </row>
    <row r="32537" spans="7:24" ht="15" customHeight="1">
      <c r="G32537"/>
      <c r="I32537"/>
      <c r="N32537"/>
      <c r="O32537" s="24"/>
      <c r="P32537"/>
      <c r="Q32537" s="24"/>
      <c r="R32537"/>
      <c r="S32537"/>
      <c r="T32537"/>
      <c r="U32537"/>
      <c r="X32537" s="60"/>
    </row>
    <row r="32538" spans="7:24" ht="15" customHeight="1">
      <c r="G32538"/>
      <c r="I32538"/>
      <c r="N32538"/>
      <c r="O32538" s="24"/>
      <c r="P32538"/>
      <c r="Q32538" s="24"/>
      <c r="R32538"/>
      <c r="S32538"/>
      <c r="T32538"/>
      <c r="U32538"/>
      <c r="X32538" s="60"/>
    </row>
    <row r="32539" spans="7:24" ht="15" customHeight="1">
      <c r="G32539"/>
      <c r="I32539"/>
      <c r="N32539"/>
      <c r="O32539" s="24"/>
      <c r="P32539"/>
      <c r="Q32539" s="24"/>
      <c r="R32539"/>
      <c r="S32539"/>
      <c r="T32539"/>
      <c r="U32539"/>
      <c r="X32539" s="60"/>
    </row>
    <row r="32540" spans="7:24" ht="15" customHeight="1">
      <c r="G32540"/>
      <c r="I32540"/>
      <c r="N32540"/>
      <c r="O32540" s="24"/>
      <c r="P32540"/>
      <c r="Q32540" s="24"/>
      <c r="R32540"/>
      <c r="S32540"/>
      <c r="T32540"/>
      <c r="U32540"/>
      <c r="X32540" s="60"/>
    </row>
    <row r="32541" spans="7:24" ht="15" customHeight="1">
      <c r="G32541"/>
      <c r="I32541"/>
      <c r="N32541"/>
      <c r="O32541" s="24"/>
      <c r="P32541"/>
      <c r="Q32541" s="24"/>
      <c r="R32541"/>
      <c r="S32541"/>
      <c r="T32541"/>
      <c r="U32541"/>
      <c r="X32541" s="60"/>
    </row>
    <row r="32542" spans="7:24" ht="15" customHeight="1">
      <c r="G32542"/>
      <c r="I32542"/>
      <c r="N32542"/>
      <c r="O32542" s="24"/>
      <c r="P32542"/>
      <c r="Q32542" s="24"/>
      <c r="R32542"/>
      <c r="S32542"/>
      <c r="T32542"/>
      <c r="U32542"/>
      <c r="X32542" s="60"/>
    </row>
    <row r="32543" spans="7:24" ht="15" customHeight="1">
      <c r="G32543"/>
      <c r="I32543"/>
      <c r="N32543"/>
      <c r="O32543" s="24"/>
      <c r="P32543"/>
      <c r="Q32543" s="24"/>
      <c r="R32543"/>
      <c r="S32543"/>
      <c r="T32543"/>
      <c r="U32543"/>
      <c r="X32543" s="60"/>
    </row>
    <row r="32544" spans="7:24" ht="15" customHeight="1">
      <c r="G32544"/>
      <c r="I32544"/>
      <c r="N32544"/>
      <c r="O32544" s="24"/>
      <c r="P32544"/>
      <c r="Q32544" s="24"/>
      <c r="R32544"/>
      <c r="S32544"/>
      <c r="T32544"/>
      <c r="U32544"/>
      <c r="X32544" s="60"/>
    </row>
    <row r="32545" spans="7:24" ht="15" customHeight="1">
      <c r="G32545"/>
      <c r="I32545"/>
      <c r="N32545"/>
      <c r="O32545" s="24"/>
      <c r="P32545"/>
      <c r="Q32545" s="24"/>
      <c r="R32545"/>
      <c r="S32545"/>
      <c r="T32545"/>
      <c r="U32545"/>
      <c r="X32545" s="60"/>
    </row>
    <row r="32546" spans="7:24" ht="15" customHeight="1">
      <c r="G32546"/>
      <c r="I32546"/>
      <c r="N32546"/>
      <c r="O32546" s="24"/>
      <c r="P32546"/>
      <c r="Q32546" s="24"/>
      <c r="R32546"/>
      <c r="S32546"/>
      <c r="T32546"/>
      <c r="U32546"/>
      <c r="X32546" s="60"/>
    </row>
    <row r="32547" spans="7:24" ht="15" customHeight="1">
      <c r="G32547"/>
      <c r="I32547"/>
      <c r="N32547"/>
      <c r="O32547" s="24"/>
      <c r="P32547"/>
      <c r="Q32547" s="24"/>
      <c r="R32547"/>
      <c r="S32547"/>
      <c r="T32547"/>
      <c r="U32547"/>
      <c r="X32547" s="60"/>
    </row>
    <row r="32548" spans="7:24" ht="15" customHeight="1">
      <c r="G32548"/>
      <c r="I32548"/>
      <c r="N32548"/>
      <c r="O32548" s="24"/>
      <c r="P32548"/>
      <c r="Q32548" s="24"/>
      <c r="R32548"/>
      <c r="S32548"/>
      <c r="T32548"/>
      <c r="U32548"/>
      <c r="X32548" s="60"/>
    </row>
    <row r="32549" spans="7:24" ht="15" customHeight="1">
      <c r="G32549"/>
      <c r="I32549"/>
      <c r="N32549"/>
      <c r="O32549" s="24"/>
      <c r="P32549"/>
      <c r="Q32549" s="24"/>
      <c r="R32549"/>
      <c r="S32549"/>
      <c r="T32549"/>
      <c r="U32549"/>
      <c r="X32549" s="60"/>
    </row>
    <row r="32550" spans="7:24" ht="15" customHeight="1">
      <c r="G32550"/>
      <c r="I32550"/>
      <c r="N32550"/>
      <c r="O32550" s="24"/>
      <c r="P32550"/>
      <c r="Q32550" s="24"/>
      <c r="R32550"/>
      <c r="S32550"/>
      <c r="T32550"/>
      <c r="U32550"/>
      <c r="X32550" s="60"/>
    </row>
    <row r="32551" spans="7:24" ht="15" customHeight="1">
      <c r="G32551"/>
      <c r="I32551"/>
      <c r="N32551"/>
      <c r="O32551" s="24"/>
      <c r="P32551"/>
      <c r="Q32551" s="24"/>
      <c r="R32551"/>
      <c r="S32551"/>
      <c r="T32551"/>
      <c r="U32551"/>
      <c r="X32551" s="60"/>
    </row>
    <row r="32552" spans="7:24" ht="15" customHeight="1">
      <c r="G32552"/>
      <c r="I32552"/>
      <c r="N32552"/>
      <c r="O32552" s="24"/>
      <c r="P32552"/>
      <c r="Q32552" s="24"/>
      <c r="R32552"/>
      <c r="S32552"/>
      <c r="T32552"/>
      <c r="U32552"/>
      <c r="X32552" s="60"/>
    </row>
    <row r="32553" spans="7:24" ht="15" customHeight="1">
      <c r="G32553"/>
      <c r="I32553"/>
      <c r="N32553"/>
      <c r="O32553" s="24"/>
      <c r="P32553"/>
      <c r="Q32553" s="24"/>
      <c r="R32553"/>
      <c r="S32553"/>
      <c r="T32553"/>
      <c r="U32553"/>
      <c r="X32553" s="60"/>
    </row>
    <row r="32554" spans="7:24" ht="15" customHeight="1">
      <c r="G32554"/>
      <c r="I32554"/>
      <c r="N32554"/>
      <c r="O32554" s="24"/>
      <c r="P32554"/>
      <c r="Q32554" s="24"/>
      <c r="R32554"/>
      <c r="S32554"/>
      <c r="T32554"/>
      <c r="U32554"/>
      <c r="X32554" s="60"/>
    </row>
    <row r="32555" spans="7:24" ht="15" customHeight="1">
      <c r="G32555"/>
      <c r="I32555"/>
      <c r="N32555"/>
      <c r="O32555" s="24"/>
      <c r="P32555"/>
      <c r="Q32555" s="24"/>
      <c r="R32555"/>
      <c r="S32555"/>
      <c r="T32555"/>
      <c r="U32555"/>
      <c r="X32555" s="60"/>
    </row>
    <row r="32556" spans="7:24" ht="15" customHeight="1">
      <c r="G32556"/>
      <c r="I32556"/>
      <c r="N32556"/>
      <c r="O32556" s="24"/>
      <c r="P32556"/>
      <c r="Q32556" s="24"/>
      <c r="R32556"/>
      <c r="S32556"/>
      <c r="T32556"/>
      <c r="U32556"/>
      <c r="X32556" s="60"/>
    </row>
    <row r="32557" spans="7:24" ht="15" customHeight="1">
      <c r="G32557"/>
      <c r="I32557"/>
      <c r="N32557"/>
      <c r="O32557" s="24"/>
      <c r="P32557"/>
      <c r="Q32557" s="24"/>
      <c r="R32557"/>
      <c r="S32557"/>
      <c r="T32557"/>
      <c r="U32557"/>
      <c r="X32557" s="60"/>
    </row>
    <row r="32558" spans="7:24" ht="15" customHeight="1">
      <c r="G32558"/>
      <c r="I32558"/>
      <c r="N32558"/>
      <c r="O32558" s="24"/>
      <c r="P32558"/>
      <c r="Q32558" s="24"/>
      <c r="R32558"/>
      <c r="S32558"/>
      <c r="T32558"/>
      <c r="U32558"/>
      <c r="X32558" s="60"/>
    </row>
    <row r="32559" spans="7:24" ht="15" customHeight="1">
      <c r="G32559"/>
      <c r="I32559"/>
      <c r="N32559"/>
      <c r="O32559" s="24"/>
      <c r="P32559"/>
      <c r="Q32559" s="24"/>
      <c r="R32559"/>
      <c r="S32559"/>
      <c r="T32559"/>
      <c r="U32559"/>
      <c r="X32559" s="60"/>
    </row>
    <row r="32560" spans="7:24" ht="15" customHeight="1">
      <c r="G32560"/>
      <c r="I32560"/>
      <c r="N32560"/>
      <c r="O32560" s="24"/>
      <c r="P32560"/>
      <c r="Q32560" s="24"/>
      <c r="R32560"/>
      <c r="S32560"/>
      <c r="T32560"/>
      <c r="U32560"/>
      <c r="X32560" s="60"/>
    </row>
    <row r="32561" spans="7:24" ht="15" customHeight="1">
      <c r="G32561"/>
      <c r="I32561"/>
      <c r="N32561"/>
      <c r="O32561" s="24"/>
      <c r="P32561"/>
      <c r="Q32561" s="24"/>
      <c r="R32561"/>
      <c r="S32561"/>
      <c r="T32561"/>
      <c r="U32561"/>
      <c r="X32561" s="60"/>
    </row>
    <row r="32562" spans="7:24" ht="15" customHeight="1">
      <c r="G32562"/>
      <c r="I32562"/>
      <c r="N32562"/>
      <c r="O32562" s="24"/>
      <c r="P32562"/>
      <c r="Q32562" s="24"/>
      <c r="R32562"/>
      <c r="S32562"/>
      <c r="T32562"/>
      <c r="U32562"/>
      <c r="X32562" s="60"/>
    </row>
    <row r="32563" spans="7:24" ht="15" customHeight="1">
      <c r="G32563"/>
      <c r="I32563"/>
      <c r="N32563"/>
      <c r="O32563" s="24"/>
      <c r="P32563"/>
      <c r="Q32563" s="24"/>
      <c r="R32563"/>
      <c r="S32563"/>
      <c r="T32563"/>
      <c r="U32563"/>
      <c r="X32563" s="60"/>
    </row>
    <row r="32564" spans="7:24" ht="15" customHeight="1">
      <c r="G32564"/>
      <c r="I32564"/>
      <c r="N32564"/>
      <c r="O32564" s="24"/>
      <c r="P32564"/>
      <c r="Q32564" s="24"/>
      <c r="R32564"/>
      <c r="S32564"/>
      <c r="T32564"/>
      <c r="U32564"/>
      <c r="X32564" s="60"/>
    </row>
    <row r="32565" spans="7:24" ht="15" customHeight="1">
      <c r="G32565"/>
      <c r="I32565"/>
      <c r="N32565"/>
      <c r="O32565" s="24"/>
      <c r="P32565"/>
      <c r="Q32565" s="24"/>
      <c r="R32565"/>
      <c r="S32565"/>
      <c r="T32565"/>
      <c r="U32565"/>
      <c r="X32565" s="60"/>
    </row>
    <row r="32566" spans="7:24" ht="15" customHeight="1">
      <c r="G32566"/>
      <c r="I32566"/>
      <c r="N32566"/>
      <c r="O32566" s="24"/>
      <c r="P32566"/>
      <c r="Q32566" s="24"/>
      <c r="R32566"/>
      <c r="S32566"/>
      <c r="T32566"/>
      <c r="U32566"/>
      <c r="X32566" s="60"/>
    </row>
    <row r="32567" spans="7:24" ht="15" customHeight="1">
      <c r="G32567"/>
      <c r="I32567"/>
      <c r="N32567"/>
      <c r="O32567" s="24"/>
      <c r="P32567"/>
      <c r="Q32567" s="24"/>
      <c r="R32567"/>
      <c r="S32567"/>
      <c r="T32567"/>
      <c r="U32567"/>
      <c r="X32567" s="60"/>
    </row>
    <row r="32568" spans="7:24" ht="15" customHeight="1">
      <c r="G32568"/>
      <c r="I32568"/>
      <c r="N32568"/>
      <c r="O32568" s="24"/>
      <c r="P32568"/>
      <c r="Q32568" s="24"/>
      <c r="R32568"/>
      <c r="S32568"/>
      <c r="T32568"/>
      <c r="U32568"/>
      <c r="X32568" s="60"/>
    </row>
    <row r="32569" spans="7:24" ht="15" customHeight="1">
      <c r="G32569"/>
      <c r="I32569"/>
      <c r="N32569"/>
      <c r="O32569" s="24"/>
      <c r="P32569"/>
      <c r="Q32569" s="24"/>
      <c r="R32569"/>
      <c r="S32569"/>
      <c r="T32569"/>
      <c r="U32569"/>
      <c r="X32569" s="60"/>
    </row>
    <row r="32570" spans="7:24" ht="15" customHeight="1">
      <c r="G32570"/>
      <c r="I32570"/>
      <c r="N32570"/>
      <c r="O32570" s="24"/>
      <c r="P32570"/>
      <c r="Q32570" s="24"/>
      <c r="R32570"/>
      <c r="S32570"/>
      <c r="T32570"/>
      <c r="U32570"/>
      <c r="X32570" s="60"/>
    </row>
    <row r="32571" spans="7:24" ht="15" customHeight="1">
      <c r="G32571"/>
      <c r="I32571"/>
      <c r="N32571"/>
      <c r="O32571" s="24"/>
      <c r="P32571"/>
      <c r="Q32571" s="24"/>
      <c r="R32571"/>
      <c r="S32571"/>
      <c r="T32571"/>
      <c r="U32571"/>
      <c r="X32571" s="60"/>
    </row>
    <row r="32572" spans="7:24" ht="15" customHeight="1">
      <c r="G32572"/>
      <c r="I32572"/>
      <c r="N32572"/>
      <c r="O32572" s="24"/>
      <c r="P32572"/>
      <c r="Q32572" s="24"/>
      <c r="R32572"/>
      <c r="S32572"/>
      <c r="T32572"/>
      <c r="U32572"/>
      <c r="X32572" s="60"/>
    </row>
    <row r="32573" spans="7:24" ht="15" customHeight="1">
      <c r="G32573"/>
      <c r="I32573"/>
      <c r="N32573"/>
      <c r="O32573" s="24"/>
      <c r="P32573"/>
      <c r="Q32573" s="24"/>
      <c r="R32573"/>
      <c r="S32573"/>
      <c r="T32573"/>
      <c r="U32573"/>
      <c r="X32573" s="60"/>
    </row>
    <row r="32574" spans="7:24" ht="15" customHeight="1">
      <c r="G32574"/>
      <c r="I32574"/>
      <c r="N32574"/>
      <c r="O32574" s="24"/>
      <c r="P32574"/>
      <c r="Q32574" s="24"/>
      <c r="R32574"/>
      <c r="S32574"/>
      <c r="T32574"/>
      <c r="U32574"/>
      <c r="X32574" s="60"/>
    </row>
    <row r="32575" spans="7:24" ht="15" customHeight="1">
      <c r="G32575"/>
      <c r="I32575"/>
      <c r="N32575"/>
      <c r="O32575" s="24"/>
      <c r="P32575"/>
      <c r="Q32575" s="24"/>
      <c r="R32575"/>
      <c r="S32575"/>
      <c r="T32575"/>
      <c r="U32575"/>
      <c r="X32575" s="60"/>
    </row>
    <row r="32576" spans="7:24" ht="15" customHeight="1">
      <c r="G32576"/>
      <c r="I32576"/>
      <c r="N32576"/>
      <c r="O32576" s="24"/>
      <c r="P32576"/>
      <c r="Q32576" s="24"/>
      <c r="R32576"/>
      <c r="S32576"/>
      <c r="T32576"/>
      <c r="U32576"/>
      <c r="X32576" s="60"/>
    </row>
    <row r="32577" spans="7:24" ht="15" customHeight="1">
      <c r="G32577"/>
      <c r="I32577"/>
      <c r="N32577"/>
      <c r="O32577" s="24"/>
      <c r="P32577"/>
      <c r="Q32577" s="24"/>
      <c r="R32577"/>
      <c r="S32577"/>
      <c r="T32577"/>
      <c r="U32577"/>
      <c r="X32577" s="60"/>
    </row>
    <row r="32578" spans="7:24" ht="15" customHeight="1">
      <c r="G32578"/>
      <c r="I32578"/>
      <c r="N32578"/>
      <c r="O32578" s="24"/>
      <c r="P32578"/>
      <c r="Q32578" s="24"/>
      <c r="R32578"/>
      <c r="S32578"/>
      <c r="T32578"/>
      <c r="U32578"/>
      <c r="X32578" s="60"/>
    </row>
    <row r="32579" spans="7:24" ht="15" customHeight="1">
      <c r="G32579"/>
      <c r="I32579"/>
      <c r="N32579"/>
      <c r="O32579" s="24"/>
      <c r="P32579"/>
      <c r="Q32579" s="24"/>
      <c r="R32579"/>
      <c r="S32579"/>
      <c r="T32579"/>
      <c r="U32579"/>
      <c r="X32579" s="60"/>
    </row>
    <row r="32580" spans="7:24" ht="15" customHeight="1">
      <c r="G32580"/>
      <c r="I32580"/>
      <c r="N32580"/>
      <c r="O32580" s="24"/>
      <c r="P32580"/>
      <c r="Q32580" s="24"/>
      <c r="R32580"/>
      <c r="S32580"/>
      <c r="T32580"/>
      <c r="U32580"/>
      <c r="X32580" s="60"/>
    </row>
    <row r="32581" spans="7:24" ht="15" customHeight="1">
      <c r="G32581"/>
      <c r="I32581"/>
      <c r="N32581"/>
      <c r="O32581" s="24"/>
      <c r="P32581"/>
      <c r="Q32581" s="24"/>
      <c r="R32581"/>
      <c r="S32581"/>
      <c r="T32581"/>
      <c r="U32581"/>
      <c r="X32581" s="60"/>
    </row>
    <row r="32582" spans="7:24" ht="15" customHeight="1">
      <c r="G32582"/>
      <c r="I32582"/>
      <c r="N32582"/>
      <c r="O32582" s="24"/>
      <c r="P32582"/>
      <c r="Q32582" s="24"/>
      <c r="R32582"/>
      <c r="S32582"/>
      <c r="T32582"/>
      <c r="U32582"/>
      <c r="X32582" s="60"/>
    </row>
    <row r="32583" spans="7:24" ht="15" customHeight="1">
      <c r="G32583"/>
      <c r="I32583"/>
      <c r="N32583"/>
      <c r="O32583" s="24"/>
      <c r="P32583"/>
      <c r="Q32583" s="24"/>
      <c r="R32583"/>
      <c r="S32583"/>
      <c r="T32583"/>
      <c r="U32583"/>
      <c r="X32583" s="60"/>
    </row>
    <row r="32584" spans="7:24" ht="15" customHeight="1">
      <c r="G32584"/>
      <c r="I32584"/>
      <c r="N32584"/>
      <c r="O32584" s="24"/>
      <c r="P32584"/>
      <c r="Q32584" s="24"/>
      <c r="R32584"/>
      <c r="S32584"/>
      <c r="T32584"/>
      <c r="U32584"/>
      <c r="X32584" s="60"/>
    </row>
    <row r="32585" spans="7:24" ht="15" customHeight="1">
      <c r="G32585"/>
      <c r="I32585"/>
      <c r="N32585"/>
      <c r="O32585" s="24"/>
      <c r="P32585"/>
      <c r="Q32585" s="24"/>
      <c r="R32585"/>
      <c r="S32585"/>
      <c r="T32585"/>
      <c r="U32585"/>
      <c r="X32585" s="60"/>
    </row>
    <row r="32586" spans="7:24" ht="15" customHeight="1">
      <c r="G32586"/>
      <c r="I32586"/>
      <c r="N32586"/>
      <c r="O32586" s="24"/>
      <c r="P32586"/>
      <c r="Q32586" s="24"/>
      <c r="R32586"/>
      <c r="S32586"/>
      <c r="T32586"/>
      <c r="U32586"/>
      <c r="X32586" s="60"/>
    </row>
    <row r="32587" spans="7:24" ht="15" customHeight="1">
      <c r="G32587"/>
      <c r="I32587"/>
      <c r="N32587"/>
      <c r="O32587" s="24"/>
      <c r="P32587"/>
      <c r="Q32587" s="24"/>
      <c r="R32587"/>
      <c r="S32587"/>
      <c r="T32587"/>
      <c r="U32587"/>
      <c r="X32587" s="60"/>
    </row>
    <row r="32588" spans="7:24" ht="15" customHeight="1">
      <c r="G32588"/>
      <c r="I32588"/>
      <c r="N32588"/>
      <c r="O32588" s="24"/>
      <c r="P32588"/>
      <c r="Q32588" s="24"/>
      <c r="R32588"/>
      <c r="S32588"/>
      <c r="T32588"/>
      <c r="U32588"/>
      <c r="X32588" s="60"/>
    </row>
    <row r="32589" spans="7:24" ht="15" customHeight="1">
      <c r="G32589"/>
      <c r="I32589"/>
      <c r="N32589"/>
      <c r="O32589" s="24"/>
      <c r="P32589"/>
      <c r="Q32589" s="24"/>
      <c r="R32589"/>
      <c r="S32589"/>
      <c r="T32589"/>
      <c r="U32589"/>
      <c r="X32589" s="60"/>
    </row>
    <row r="32590" spans="7:24" ht="15" customHeight="1">
      <c r="G32590"/>
      <c r="I32590"/>
      <c r="N32590"/>
      <c r="O32590" s="24"/>
      <c r="P32590"/>
      <c r="Q32590" s="24"/>
      <c r="R32590"/>
      <c r="S32590"/>
      <c r="T32590"/>
      <c r="U32590"/>
      <c r="X32590" s="60"/>
    </row>
    <row r="32591" spans="7:24" ht="15" customHeight="1">
      <c r="G32591"/>
      <c r="I32591"/>
      <c r="N32591"/>
      <c r="O32591" s="24"/>
      <c r="P32591"/>
      <c r="Q32591" s="24"/>
      <c r="R32591"/>
      <c r="S32591"/>
      <c r="T32591"/>
      <c r="U32591"/>
      <c r="X32591" s="60"/>
    </row>
    <row r="32592" spans="7:24" ht="15" customHeight="1">
      <c r="G32592"/>
      <c r="I32592"/>
      <c r="N32592"/>
      <c r="O32592" s="24"/>
      <c r="P32592"/>
      <c r="Q32592" s="24"/>
      <c r="R32592"/>
      <c r="S32592"/>
      <c r="T32592"/>
      <c r="U32592"/>
      <c r="X32592" s="60"/>
    </row>
    <row r="32593" spans="7:24" ht="15" customHeight="1">
      <c r="G32593"/>
      <c r="I32593"/>
      <c r="N32593"/>
      <c r="O32593" s="24"/>
      <c r="P32593"/>
      <c r="Q32593" s="24"/>
      <c r="R32593"/>
      <c r="S32593"/>
      <c r="T32593"/>
      <c r="U32593"/>
      <c r="X32593" s="60"/>
    </row>
    <row r="32594" spans="7:24" ht="15" customHeight="1">
      <c r="G32594"/>
      <c r="I32594"/>
      <c r="N32594"/>
      <c r="O32594" s="24"/>
      <c r="P32594"/>
      <c r="Q32594" s="24"/>
      <c r="R32594"/>
      <c r="S32594"/>
      <c r="T32594"/>
      <c r="U32594"/>
      <c r="X32594" s="60"/>
    </row>
    <row r="32595" spans="7:24" ht="15" customHeight="1">
      <c r="G32595"/>
      <c r="I32595"/>
      <c r="N32595"/>
      <c r="O32595" s="24"/>
      <c r="P32595"/>
      <c r="Q32595" s="24"/>
      <c r="R32595"/>
      <c r="S32595"/>
      <c r="T32595"/>
      <c r="U32595"/>
      <c r="X32595" s="60"/>
    </row>
    <row r="32596" spans="7:24" ht="15" customHeight="1">
      <c r="G32596"/>
      <c r="I32596"/>
      <c r="N32596"/>
      <c r="O32596" s="24"/>
      <c r="P32596"/>
      <c r="Q32596" s="24"/>
      <c r="R32596"/>
      <c r="S32596"/>
      <c r="T32596"/>
      <c r="U32596"/>
      <c r="X32596" s="60"/>
    </row>
    <row r="32597" spans="7:24" ht="15" customHeight="1">
      <c r="G32597"/>
      <c r="I32597"/>
      <c r="N32597"/>
      <c r="O32597" s="24"/>
      <c r="P32597"/>
      <c r="Q32597" s="24"/>
      <c r="R32597"/>
      <c r="S32597"/>
      <c r="T32597"/>
      <c r="U32597"/>
      <c r="X32597" s="60"/>
    </row>
    <row r="32598" spans="7:24" ht="15" customHeight="1">
      <c r="G32598"/>
      <c r="I32598"/>
      <c r="N32598"/>
      <c r="O32598" s="24"/>
      <c r="P32598"/>
      <c r="Q32598" s="24"/>
      <c r="R32598"/>
      <c r="S32598"/>
      <c r="T32598"/>
      <c r="U32598"/>
      <c r="X32598" s="60"/>
    </row>
    <row r="32599" spans="7:24" ht="15" customHeight="1">
      <c r="G32599"/>
      <c r="I32599"/>
      <c r="N32599"/>
      <c r="O32599" s="24"/>
      <c r="P32599"/>
      <c r="Q32599" s="24"/>
      <c r="R32599"/>
      <c r="S32599"/>
      <c r="T32599"/>
      <c r="U32599"/>
      <c r="X32599" s="60"/>
    </row>
    <row r="32600" spans="7:24" ht="15" customHeight="1">
      <c r="G32600"/>
      <c r="I32600"/>
      <c r="N32600"/>
      <c r="O32600" s="24"/>
      <c r="P32600"/>
      <c r="Q32600" s="24"/>
      <c r="R32600"/>
      <c r="S32600"/>
      <c r="T32600"/>
      <c r="U32600"/>
      <c r="X32600" s="60"/>
    </row>
    <row r="32601" spans="7:24" ht="15" customHeight="1">
      <c r="G32601"/>
      <c r="I32601"/>
      <c r="N32601"/>
      <c r="O32601" s="24"/>
      <c r="P32601"/>
      <c r="Q32601" s="24"/>
      <c r="R32601"/>
      <c r="S32601"/>
      <c r="T32601"/>
      <c r="U32601"/>
      <c r="X32601" s="60"/>
    </row>
    <row r="32602" spans="7:24" ht="15" customHeight="1">
      <c r="G32602"/>
      <c r="I32602"/>
      <c r="N32602"/>
      <c r="O32602" s="24"/>
      <c r="P32602"/>
      <c r="Q32602" s="24"/>
      <c r="R32602"/>
      <c r="S32602"/>
      <c r="T32602"/>
      <c r="U32602"/>
      <c r="X32602" s="60"/>
    </row>
    <row r="32603" spans="7:24" ht="15" customHeight="1">
      <c r="G32603"/>
      <c r="I32603"/>
      <c r="N32603"/>
      <c r="O32603" s="24"/>
      <c r="P32603"/>
      <c r="Q32603" s="24"/>
      <c r="R32603"/>
      <c r="S32603"/>
      <c r="T32603"/>
      <c r="U32603"/>
      <c r="X32603" s="60"/>
    </row>
    <row r="32604" spans="7:24" ht="15" customHeight="1">
      <c r="G32604"/>
      <c r="I32604"/>
      <c r="N32604"/>
      <c r="O32604" s="24"/>
      <c r="P32604"/>
      <c r="Q32604" s="24"/>
      <c r="R32604"/>
      <c r="S32604"/>
      <c r="T32604"/>
      <c r="U32604"/>
      <c r="X32604" s="60"/>
    </row>
    <row r="32605" spans="7:24" ht="15" customHeight="1">
      <c r="G32605"/>
      <c r="I32605"/>
      <c r="N32605"/>
      <c r="O32605" s="24"/>
      <c r="P32605"/>
      <c r="Q32605" s="24"/>
      <c r="R32605"/>
      <c r="S32605"/>
      <c r="T32605"/>
      <c r="U32605"/>
      <c r="X32605" s="60"/>
    </row>
    <row r="32606" spans="7:24" ht="15" customHeight="1">
      <c r="G32606"/>
      <c r="I32606"/>
      <c r="N32606"/>
      <c r="O32606" s="24"/>
      <c r="P32606"/>
      <c r="Q32606" s="24"/>
      <c r="R32606"/>
      <c r="S32606"/>
      <c r="T32606"/>
      <c r="U32606"/>
      <c r="X32606" s="60"/>
    </row>
    <row r="32607" spans="7:24" ht="15" customHeight="1">
      <c r="G32607"/>
      <c r="I32607"/>
      <c r="N32607"/>
      <c r="O32607" s="24"/>
      <c r="P32607"/>
      <c r="Q32607" s="24"/>
      <c r="R32607"/>
      <c r="S32607"/>
      <c r="T32607"/>
      <c r="U32607"/>
      <c r="X32607" s="60"/>
    </row>
    <row r="32608" spans="7:24" ht="15" customHeight="1">
      <c r="G32608"/>
      <c r="I32608"/>
      <c r="N32608"/>
      <c r="O32608" s="24"/>
      <c r="P32608"/>
      <c r="Q32608" s="24"/>
      <c r="R32608"/>
      <c r="S32608"/>
      <c r="T32608"/>
      <c r="U32608"/>
      <c r="X32608" s="60"/>
    </row>
    <row r="32609" spans="7:24" ht="15" customHeight="1">
      <c r="G32609"/>
      <c r="I32609"/>
      <c r="N32609"/>
      <c r="O32609" s="24"/>
      <c r="P32609"/>
      <c r="Q32609" s="24"/>
      <c r="R32609"/>
      <c r="S32609"/>
      <c r="T32609"/>
      <c r="U32609"/>
      <c r="X32609" s="60"/>
    </row>
    <row r="32610" spans="7:24" ht="15" customHeight="1">
      <c r="G32610"/>
      <c r="I32610"/>
      <c r="N32610"/>
      <c r="O32610" s="24"/>
      <c r="P32610"/>
      <c r="Q32610" s="24"/>
      <c r="R32610"/>
      <c r="S32610"/>
      <c r="T32610"/>
      <c r="U32610"/>
      <c r="X32610" s="60"/>
    </row>
    <row r="32611" spans="7:24" ht="15" customHeight="1">
      <c r="G32611"/>
      <c r="I32611"/>
      <c r="N32611"/>
      <c r="O32611" s="24"/>
      <c r="P32611"/>
      <c r="Q32611" s="24"/>
      <c r="R32611"/>
      <c r="S32611"/>
      <c r="T32611"/>
      <c r="U32611"/>
      <c r="X32611" s="60"/>
    </row>
    <row r="32612" spans="7:24" ht="15" customHeight="1">
      <c r="G32612"/>
      <c r="I32612"/>
      <c r="N32612"/>
      <c r="O32612" s="24"/>
      <c r="P32612"/>
      <c r="Q32612" s="24"/>
      <c r="R32612"/>
      <c r="S32612"/>
      <c r="T32612"/>
      <c r="U32612"/>
      <c r="X32612" s="60"/>
    </row>
    <row r="32613" spans="7:24" ht="15" customHeight="1">
      <c r="G32613"/>
      <c r="I32613"/>
      <c r="N32613"/>
      <c r="O32613" s="24"/>
      <c r="P32613"/>
      <c r="Q32613" s="24"/>
      <c r="R32613"/>
      <c r="S32613"/>
      <c r="T32613"/>
      <c r="U32613"/>
      <c r="X32613" s="60"/>
    </row>
    <row r="32614" spans="7:24" ht="15" customHeight="1">
      <c r="G32614"/>
      <c r="I32614"/>
      <c r="N32614"/>
      <c r="O32614" s="24"/>
      <c r="P32614"/>
      <c r="Q32614" s="24"/>
      <c r="R32614"/>
      <c r="S32614"/>
      <c r="T32614"/>
      <c r="U32614"/>
      <c r="X32614" s="60"/>
    </row>
    <row r="32615" spans="7:24" ht="15" customHeight="1">
      <c r="G32615"/>
      <c r="I32615"/>
      <c r="N32615"/>
      <c r="O32615" s="24"/>
      <c r="P32615"/>
      <c r="Q32615" s="24"/>
      <c r="R32615"/>
      <c r="S32615"/>
      <c r="T32615"/>
      <c r="U32615"/>
      <c r="X32615" s="60"/>
    </row>
    <row r="32616" spans="7:24" ht="15" customHeight="1">
      <c r="G32616"/>
      <c r="I32616"/>
      <c r="N32616"/>
      <c r="O32616" s="24"/>
      <c r="P32616"/>
      <c r="Q32616" s="24"/>
      <c r="R32616"/>
      <c r="S32616"/>
      <c r="T32616"/>
      <c r="U32616"/>
      <c r="X32616" s="60"/>
    </row>
    <row r="32617" spans="7:24" ht="15" customHeight="1">
      <c r="G32617"/>
      <c r="I32617"/>
      <c r="N32617"/>
      <c r="O32617" s="24"/>
      <c r="P32617"/>
      <c r="Q32617" s="24"/>
      <c r="R32617"/>
      <c r="S32617"/>
      <c r="T32617"/>
      <c r="U32617"/>
      <c r="X32617" s="60"/>
    </row>
    <row r="32618" spans="7:24" ht="15" customHeight="1">
      <c r="G32618"/>
      <c r="I32618"/>
      <c r="N32618"/>
      <c r="O32618" s="24"/>
      <c r="P32618"/>
      <c r="Q32618" s="24"/>
      <c r="R32618"/>
      <c r="S32618"/>
      <c r="T32618"/>
      <c r="U32618"/>
      <c r="X32618" s="60"/>
    </row>
    <row r="32619" spans="7:24" ht="15" customHeight="1">
      <c r="G32619"/>
      <c r="I32619"/>
      <c r="N32619"/>
      <c r="O32619" s="24"/>
      <c r="P32619"/>
      <c r="Q32619" s="24"/>
      <c r="R32619"/>
      <c r="S32619"/>
      <c r="T32619"/>
      <c r="U32619"/>
      <c r="X32619" s="60"/>
    </row>
    <row r="32620" spans="7:24" ht="15" customHeight="1">
      <c r="G32620"/>
      <c r="I32620"/>
      <c r="N32620"/>
      <c r="O32620" s="24"/>
      <c r="P32620"/>
      <c r="Q32620" s="24"/>
      <c r="R32620"/>
      <c r="S32620"/>
      <c r="T32620"/>
      <c r="U32620"/>
      <c r="X32620" s="60"/>
    </row>
    <row r="32621" spans="7:24" ht="15" customHeight="1">
      <c r="G32621"/>
      <c r="I32621"/>
      <c r="N32621"/>
      <c r="O32621" s="24"/>
      <c r="P32621"/>
      <c r="Q32621" s="24"/>
      <c r="R32621"/>
      <c r="S32621"/>
      <c r="T32621"/>
      <c r="U32621"/>
      <c r="X32621" s="60"/>
    </row>
    <row r="32622" spans="7:24" ht="15" customHeight="1">
      <c r="G32622"/>
      <c r="I32622"/>
      <c r="N32622"/>
      <c r="O32622" s="24"/>
      <c r="P32622"/>
      <c r="Q32622" s="24"/>
      <c r="R32622"/>
      <c r="S32622"/>
      <c r="T32622"/>
      <c r="U32622"/>
      <c r="X32622" s="60"/>
    </row>
    <row r="32623" spans="7:24" ht="15" customHeight="1">
      <c r="G32623"/>
      <c r="I32623"/>
      <c r="N32623"/>
      <c r="O32623" s="24"/>
      <c r="P32623"/>
      <c r="Q32623" s="24"/>
      <c r="R32623"/>
      <c r="S32623"/>
      <c r="T32623"/>
      <c r="U32623"/>
      <c r="X32623" s="60"/>
    </row>
    <row r="32624" spans="7:24" ht="15" customHeight="1">
      <c r="G32624"/>
      <c r="I32624"/>
      <c r="N32624"/>
      <c r="O32624" s="24"/>
      <c r="P32624"/>
      <c r="Q32624" s="24"/>
      <c r="R32624"/>
      <c r="S32624"/>
      <c r="T32624"/>
      <c r="U32624"/>
      <c r="X32624" s="60"/>
    </row>
    <row r="32625" spans="7:24" ht="15" customHeight="1">
      <c r="G32625"/>
      <c r="I32625"/>
      <c r="N32625"/>
      <c r="O32625" s="24"/>
      <c r="P32625"/>
      <c r="Q32625" s="24"/>
      <c r="R32625"/>
      <c r="S32625"/>
      <c r="T32625"/>
      <c r="U32625"/>
      <c r="X32625" s="60"/>
    </row>
    <row r="32626" spans="7:24" ht="15" customHeight="1">
      <c r="G32626"/>
      <c r="I32626"/>
      <c r="N32626"/>
      <c r="O32626" s="24"/>
      <c r="P32626"/>
      <c r="Q32626" s="24"/>
      <c r="R32626"/>
      <c r="S32626"/>
      <c r="T32626"/>
      <c r="U32626"/>
      <c r="X32626" s="60"/>
    </row>
    <row r="32627" spans="7:24" ht="15" customHeight="1">
      <c r="G32627"/>
      <c r="I32627"/>
      <c r="N32627"/>
      <c r="O32627" s="24"/>
      <c r="P32627"/>
      <c r="Q32627" s="24"/>
      <c r="R32627"/>
      <c r="S32627"/>
      <c r="T32627"/>
      <c r="U32627"/>
      <c r="X32627" s="60"/>
    </row>
    <row r="32628" spans="7:24" ht="15" customHeight="1">
      <c r="G32628"/>
      <c r="I32628"/>
      <c r="N32628"/>
      <c r="O32628" s="24"/>
      <c r="P32628"/>
      <c r="Q32628" s="24"/>
      <c r="R32628"/>
      <c r="S32628"/>
      <c r="T32628"/>
      <c r="U32628"/>
      <c r="X32628" s="60"/>
    </row>
    <row r="32629" spans="7:24" ht="15" customHeight="1">
      <c r="G32629"/>
      <c r="I32629"/>
      <c r="N32629"/>
      <c r="O32629" s="24"/>
      <c r="P32629"/>
      <c r="Q32629" s="24"/>
      <c r="R32629"/>
      <c r="S32629"/>
      <c r="T32629"/>
      <c r="U32629"/>
      <c r="X32629" s="60"/>
    </row>
    <row r="32630" spans="7:24" ht="15" customHeight="1">
      <c r="G32630"/>
      <c r="I32630"/>
      <c r="N32630"/>
      <c r="O32630" s="24"/>
      <c r="P32630"/>
      <c r="Q32630" s="24"/>
      <c r="R32630"/>
      <c r="S32630"/>
      <c r="T32630"/>
      <c r="U32630"/>
      <c r="X32630" s="60"/>
    </row>
    <row r="32631" spans="7:24" ht="15" customHeight="1">
      <c r="G32631"/>
      <c r="I32631"/>
      <c r="N32631"/>
      <c r="O32631" s="24"/>
      <c r="P32631"/>
      <c r="Q32631" s="24"/>
      <c r="R32631"/>
      <c r="S32631"/>
      <c r="T32631"/>
      <c r="U32631"/>
      <c r="X32631" s="60"/>
    </row>
    <row r="32632" spans="7:24" ht="15" customHeight="1">
      <c r="G32632"/>
      <c r="I32632"/>
      <c r="N32632"/>
      <c r="O32632" s="24"/>
      <c r="P32632"/>
      <c r="Q32632" s="24"/>
      <c r="R32632"/>
      <c r="S32632"/>
      <c r="T32632"/>
      <c r="U32632"/>
      <c r="X32632" s="60"/>
    </row>
    <row r="32633" spans="7:24" ht="15" customHeight="1">
      <c r="G32633"/>
      <c r="I32633"/>
      <c r="N32633"/>
      <c r="O32633" s="24"/>
      <c r="P32633"/>
      <c r="Q32633" s="24"/>
      <c r="R32633"/>
      <c r="S32633"/>
      <c r="T32633"/>
      <c r="U32633"/>
      <c r="X32633" s="60"/>
    </row>
    <row r="32634" spans="7:24" ht="15" customHeight="1">
      <c r="G32634"/>
      <c r="I32634"/>
      <c r="N32634"/>
      <c r="O32634" s="24"/>
      <c r="P32634"/>
      <c r="Q32634" s="24"/>
      <c r="R32634"/>
      <c r="S32634"/>
      <c r="T32634"/>
      <c r="U32634"/>
      <c r="X32634" s="60"/>
    </row>
    <row r="32635" spans="7:24" ht="15" customHeight="1">
      <c r="G32635"/>
      <c r="I32635"/>
      <c r="N32635"/>
      <c r="O32635" s="24"/>
      <c r="P32635"/>
      <c r="Q32635" s="24"/>
      <c r="R32635"/>
      <c r="S32635"/>
      <c r="T32635"/>
      <c r="U32635"/>
      <c r="X32635" s="60"/>
    </row>
    <row r="32636" spans="7:24" ht="15" customHeight="1">
      <c r="G32636"/>
      <c r="I32636"/>
      <c r="N32636"/>
      <c r="O32636" s="24"/>
      <c r="P32636"/>
      <c r="Q32636" s="24"/>
      <c r="R32636"/>
      <c r="S32636"/>
      <c r="T32636"/>
      <c r="U32636"/>
      <c r="X32636" s="60"/>
    </row>
    <row r="32637" spans="7:24" ht="15" customHeight="1">
      <c r="G32637"/>
      <c r="I32637"/>
      <c r="N32637"/>
      <c r="O32637" s="24"/>
      <c r="P32637"/>
      <c r="Q32637" s="24"/>
      <c r="R32637"/>
      <c r="S32637"/>
      <c r="T32637"/>
      <c r="U32637"/>
      <c r="X32637" s="60"/>
    </row>
    <row r="32638" spans="7:24" ht="15" customHeight="1">
      <c r="G32638"/>
      <c r="I32638"/>
      <c r="N32638"/>
      <c r="O32638" s="24"/>
      <c r="P32638"/>
      <c r="Q32638" s="24"/>
      <c r="R32638"/>
      <c r="S32638"/>
      <c r="T32638"/>
      <c r="U32638"/>
      <c r="X32638" s="60"/>
    </row>
    <row r="32639" spans="7:24" ht="15" customHeight="1">
      <c r="G32639"/>
      <c r="I32639"/>
      <c r="N32639"/>
      <c r="O32639" s="24"/>
      <c r="P32639"/>
      <c r="Q32639" s="24"/>
      <c r="R32639"/>
      <c r="S32639"/>
      <c r="T32639"/>
      <c r="U32639"/>
      <c r="X32639" s="60"/>
    </row>
    <row r="32640" spans="7:24" ht="15" customHeight="1">
      <c r="G32640"/>
      <c r="I32640"/>
      <c r="N32640"/>
      <c r="O32640" s="24"/>
      <c r="P32640"/>
      <c r="Q32640" s="24"/>
      <c r="R32640"/>
      <c r="S32640"/>
      <c r="T32640"/>
      <c r="U32640"/>
      <c r="X32640" s="60"/>
    </row>
    <row r="32641" spans="7:24" ht="15" customHeight="1">
      <c r="G32641"/>
      <c r="I32641"/>
      <c r="N32641"/>
      <c r="O32641" s="24"/>
      <c r="P32641"/>
      <c r="Q32641" s="24"/>
      <c r="R32641"/>
      <c r="S32641"/>
      <c r="T32641"/>
      <c r="U32641"/>
      <c r="X32641" s="60"/>
    </row>
    <row r="32642" spans="7:24" ht="15" customHeight="1">
      <c r="G32642"/>
      <c r="I32642"/>
      <c r="N32642"/>
      <c r="O32642" s="24"/>
      <c r="P32642"/>
      <c r="Q32642" s="24"/>
      <c r="R32642"/>
      <c r="S32642"/>
      <c r="T32642"/>
      <c r="U32642"/>
      <c r="X32642" s="60"/>
    </row>
    <row r="32643" spans="7:24" ht="15" customHeight="1">
      <c r="G32643"/>
      <c r="I32643"/>
      <c r="N32643"/>
      <c r="O32643" s="24"/>
      <c r="P32643"/>
      <c r="Q32643" s="24"/>
      <c r="R32643"/>
      <c r="S32643"/>
      <c r="T32643"/>
      <c r="U32643"/>
      <c r="X32643" s="60"/>
    </row>
    <row r="32644" spans="7:24" ht="15" customHeight="1">
      <c r="G32644"/>
      <c r="I32644"/>
      <c r="N32644"/>
      <c r="O32644" s="24"/>
      <c r="P32644"/>
      <c r="Q32644" s="24"/>
      <c r="R32644"/>
      <c r="S32644"/>
      <c r="T32644"/>
      <c r="U32644"/>
      <c r="X32644" s="60"/>
    </row>
    <row r="32645" spans="7:24" ht="15" customHeight="1">
      <c r="G32645"/>
      <c r="I32645"/>
      <c r="N32645"/>
      <c r="O32645" s="24"/>
      <c r="P32645"/>
      <c r="Q32645" s="24"/>
      <c r="R32645"/>
      <c r="S32645"/>
      <c r="T32645"/>
      <c r="U32645"/>
      <c r="X32645" s="60"/>
    </row>
    <row r="32646" spans="7:24" ht="15" customHeight="1">
      <c r="G32646"/>
      <c r="I32646"/>
      <c r="N32646"/>
      <c r="O32646" s="24"/>
      <c r="P32646"/>
      <c r="Q32646" s="24"/>
      <c r="R32646"/>
      <c r="S32646"/>
      <c r="T32646"/>
      <c r="U32646"/>
      <c r="X32646" s="60"/>
    </row>
    <row r="32647" spans="7:24" ht="15" customHeight="1">
      <c r="G32647"/>
      <c r="I32647"/>
      <c r="N32647"/>
      <c r="O32647" s="24"/>
      <c r="P32647"/>
      <c r="Q32647" s="24"/>
      <c r="R32647"/>
      <c r="S32647"/>
      <c r="T32647"/>
      <c r="U32647"/>
      <c r="X32647" s="60"/>
    </row>
    <row r="32648" spans="7:24" ht="15" customHeight="1">
      <c r="G32648"/>
      <c r="I32648"/>
      <c r="N32648"/>
      <c r="O32648" s="24"/>
      <c r="P32648"/>
      <c r="Q32648" s="24"/>
      <c r="R32648"/>
      <c r="S32648"/>
      <c r="T32648"/>
      <c r="U32648"/>
      <c r="X32648" s="60"/>
    </row>
    <row r="32649" spans="7:24" ht="15" customHeight="1">
      <c r="G32649"/>
      <c r="I32649"/>
      <c r="N32649"/>
      <c r="O32649" s="24"/>
      <c r="P32649"/>
      <c r="Q32649" s="24"/>
      <c r="R32649"/>
      <c r="S32649"/>
      <c r="T32649"/>
      <c r="U32649"/>
      <c r="X32649" s="60"/>
    </row>
    <row r="32650" spans="7:24" ht="15" customHeight="1">
      <c r="G32650"/>
      <c r="I32650"/>
      <c r="N32650"/>
      <c r="O32650" s="24"/>
      <c r="P32650"/>
      <c r="Q32650" s="24"/>
      <c r="R32650"/>
      <c r="S32650"/>
      <c r="T32650"/>
      <c r="U32650"/>
      <c r="X32650" s="60"/>
    </row>
    <row r="32651" spans="7:24" ht="15" customHeight="1">
      <c r="G32651"/>
      <c r="I32651"/>
      <c r="N32651"/>
      <c r="O32651" s="24"/>
      <c r="P32651"/>
      <c r="Q32651" s="24"/>
      <c r="R32651"/>
      <c r="S32651"/>
      <c r="T32651"/>
      <c r="U32651"/>
      <c r="X32651" s="60"/>
    </row>
    <row r="32652" spans="7:24" ht="15" customHeight="1">
      <c r="G32652"/>
      <c r="I32652"/>
      <c r="N32652"/>
      <c r="O32652" s="24"/>
      <c r="P32652"/>
      <c r="Q32652" s="24"/>
      <c r="R32652"/>
      <c r="S32652"/>
      <c r="T32652"/>
      <c r="U32652"/>
      <c r="X32652" s="60"/>
    </row>
    <row r="32653" spans="7:24" ht="15" customHeight="1">
      <c r="G32653"/>
      <c r="I32653"/>
      <c r="N32653"/>
      <c r="O32653" s="24"/>
      <c r="P32653"/>
      <c r="Q32653" s="24"/>
      <c r="R32653"/>
      <c r="S32653"/>
      <c r="T32653"/>
      <c r="U32653"/>
      <c r="X32653" s="60"/>
    </row>
    <row r="32654" spans="7:24" ht="15" customHeight="1">
      <c r="G32654"/>
      <c r="I32654"/>
      <c r="N32654"/>
      <c r="O32654" s="24"/>
      <c r="P32654"/>
      <c r="Q32654" s="24"/>
      <c r="R32654"/>
      <c r="S32654"/>
      <c r="T32654"/>
      <c r="U32654"/>
      <c r="X32654" s="60"/>
    </row>
    <row r="32655" spans="7:24" ht="15" customHeight="1">
      <c r="G32655"/>
      <c r="I32655"/>
      <c r="N32655"/>
      <c r="O32655" s="24"/>
      <c r="P32655"/>
      <c r="Q32655" s="24"/>
      <c r="R32655"/>
      <c r="S32655"/>
      <c r="T32655"/>
      <c r="U32655"/>
      <c r="X32655" s="60"/>
    </row>
    <row r="32656" spans="7:24" ht="15" customHeight="1">
      <c r="G32656"/>
      <c r="I32656"/>
      <c r="N32656"/>
      <c r="O32656" s="24"/>
      <c r="P32656"/>
      <c r="Q32656" s="24"/>
      <c r="R32656"/>
      <c r="S32656"/>
      <c r="T32656"/>
      <c r="U32656"/>
      <c r="X32656" s="60"/>
    </row>
    <row r="32657" spans="7:24" ht="15" customHeight="1">
      <c r="G32657"/>
      <c r="I32657"/>
      <c r="N32657"/>
      <c r="O32657" s="24"/>
      <c r="P32657"/>
      <c r="Q32657" s="24"/>
      <c r="R32657"/>
      <c r="S32657"/>
      <c r="T32657"/>
      <c r="U32657"/>
      <c r="X32657" s="60"/>
    </row>
    <row r="32658" spans="7:24" ht="15" customHeight="1">
      <c r="G32658"/>
      <c r="I32658"/>
      <c r="N32658"/>
      <c r="O32658" s="24"/>
      <c r="P32658"/>
      <c r="Q32658" s="24"/>
      <c r="R32658"/>
      <c r="S32658"/>
      <c r="T32658"/>
      <c r="U32658"/>
      <c r="X32658" s="60"/>
    </row>
    <row r="32659" spans="7:24" ht="15" customHeight="1">
      <c r="G32659"/>
      <c r="I32659"/>
      <c r="N32659"/>
      <c r="O32659" s="24"/>
      <c r="P32659"/>
      <c r="Q32659" s="24"/>
      <c r="R32659"/>
      <c r="S32659"/>
      <c r="T32659"/>
      <c r="U32659"/>
      <c r="X32659" s="60"/>
    </row>
    <row r="32660" spans="7:24" ht="15" customHeight="1">
      <c r="G32660"/>
      <c r="I32660"/>
      <c r="N32660"/>
      <c r="O32660" s="24"/>
      <c r="P32660"/>
      <c r="Q32660" s="24"/>
      <c r="R32660"/>
      <c r="S32660"/>
      <c r="T32660"/>
      <c r="U32660"/>
      <c r="X32660" s="60"/>
    </row>
    <row r="32661" spans="7:24" ht="15" customHeight="1">
      <c r="G32661"/>
      <c r="I32661"/>
      <c r="N32661"/>
      <c r="O32661" s="24"/>
      <c r="P32661"/>
      <c r="Q32661" s="24"/>
      <c r="R32661"/>
      <c r="S32661"/>
      <c r="T32661"/>
      <c r="U32661"/>
      <c r="X32661" s="60"/>
    </row>
    <row r="32662" spans="7:24" ht="15" customHeight="1">
      <c r="G32662"/>
      <c r="I32662"/>
      <c r="N32662"/>
      <c r="O32662" s="24"/>
      <c r="P32662"/>
      <c r="Q32662" s="24"/>
      <c r="R32662"/>
      <c r="S32662"/>
      <c r="T32662"/>
      <c r="U32662"/>
      <c r="X32662" s="60"/>
    </row>
    <row r="32663" spans="7:24" ht="15" customHeight="1">
      <c r="G32663"/>
      <c r="I32663"/>
      <c r="N32663"/>
      <c r="O32663" s="24"/>
      <c r="P32663"/>
      <c r="Q32663" s="24"/>
      <c r="R32663"/>
      <c r="S32663"/>
      <c r="T32663"/>
      <c r="U32663"/>
      <c r="X32663" s="60"/>
    </row>
    <row r="32664" spans="7:24" ht="15" customHeight="1">
      <c r="G32664"/>
      <c r="I32664"/>
      <c r="N32664"/>
      <c r="O32664" s="24"/>
      <c r="P32664"/>
      <c r="Q32664" s="24"/>
      <c r="R32664"/>
      <c r="S32664"/>
      <c r="T32664"/>
      <c r="U32664"/>
      <c r="X32664" s="60"/>
    </row>
    <row r="32665" spans="7:24" ht="15" customHeight="1">
      <c r="G32665"/>
      <c r="I32665"/>
      <c r="N32665"/>
      <c r="O32665" s="24"/>
      <c r="P32665"/>
      <c r="Q32665" s="24"/>
      <c r="R32665"/>
      <c r="S32665"/>
      <c r="T32665"/>
      <c r="U32665"/>
      <c r="X32665" s="60"/>
    </row>
    <row r="32666" spans="7:24" ht="15" customHeight="1">
      <c r="G32666"/>
      <c r="I32666"/>
      <c r="N32666"/>
      <c r="O32666" s="24"/>
      <c r="P32666"/>
      <c r="Q32666" s="24"/>
      <c r="R32666"/>
      <c r="S32666"/>
      <c r="T32666"/>
      <c r="U32666"/>
      <c r="X32666" s="60"/>
    </row>
    <row r="32667" spans="7:24" ht="15" customHeight="1">
      <c r="G32667"/>
      <c r="I32667"/>
      <c r="N32667"/>
      <c r="O32667" s="24"/>
      <c r="P32667"/>
      <c r="Q32667" s="24"/>
      <c r="R32667"/>
      <c r="S32667"/>
      <c r="T32667"/>
      <c r="U32667"/>
      <c r="X32667" s="60"/>
    </row>
    <row r="32668" spans="7:24" ht="15" customHeight="1">
      <c r="G32668"/>
      <c r="I32668"/>
      <c r="N32668"/>
      <c r="O32668" s="24"/>
      <c r="P32668"/>
      <c r="Q32668" s="24"/>
      <c r="R32668"/>
      <c r="S32668"/>
      <c r="T32668"/>
      <c r="U32668"/>
      <c r="X32668" s="60"/>
    </row>
    <row r="32669" spans="7:24" ht="15" customHeight="1">
      <c r="G32669"/>
      <c r="I32669"/>
      <c r="N32669"/>
      <c r="O32669" s="24"/>
      <c r="P32669"/>
      <c r="Q32669" s="24"/>
      <c r="R32669"/>
      <c r="S32669"/>
      <c r="T32669"/>
      <c r="U32669"/>
      <c r="X32669" s="60"/>
    </row>
    <row r="32670" spans="7:24" ht="15" customHeight="1">
      <c r="G32670"/>
      <c r="I32670"/>
      <c r="N32670"/>
      <c r="O32670" s="24"/>
      <c r="P32670"/>
      <c r="Q32670" s="24"/>
      <c r="R32670"/>
      <c r="S32670"/>
      <c r="T32670"/>
      <c r="U32670"/>
      <c r="X32670" s="60"/>
    </row>
    <row r="32671" spans="7:24" ht="15" customHeight="1">
      <c r="G32671"/>
      <c r="I32671"/>
      <c r="N32671"/>
      <c r="O32671" s="24"/>
      <c r="P32671"/>
      <c r="Q32671" s="24"/>
      <c r="R32671"/>
      <c r="S32671"/>
      <c r="T32671"/>
      <c r="U32671"/>
      <c r="X32671" s="60"/>
    </row>
    <row r="32672" spans="7:24" ht="15" customHeight="1">
      <c r="G32672"/>
      <c r="I32672"/>
      <c r="N32672"/>
      <c r="O32672" s="24"/>
      <c r="P32672"/>
      <c r="Q32672" s="24"/>
      <c r="R32672"/>
      <c r="S32672"/>
      <c r="T32672"/>
      <c r="U32672"/>
      <c r="X32672" s="60"/>
    </row>
    <row r="32673" spans="7:24" ht="15" customHeight="1">
      <c r="G32673"/>
      <c r="I32673"/>
      <c r="N32673"/>
      <c r="O32673" s="24"/>
      <c r="P32673"/>
      <c r="Q32673" s="24"/>
      <c r="R32673"/>
      <c r="S32673"/>
      <c r="T32673"/>
      <c r="U32673"/>
      <c r="X32673" s="60"/>
    </row>
    <row r="32674" spans="7:24" ht="15" customHeight="1">
      <c r="G32674"/>
      <c r="I32674"/>
      <c r="N32674"/>
      <c r="O32674" s="24"/>
      <c r="P32674"/>
      <c r="Q32674" s="24"/>
      <c r="R32674"/>
      <c r="S32674"/>
      <c r="T32674"/>
      <c r="U32674"/>
      <c r="X32674" s="60"/>
    </row>
    <row r="32675" spans="7:24" ht="15" customHeight="1">
      <c r="G32675"/>
      <c r="I32675"/>
      <c r="N32675"/>
      <c r="O32675" s="24"/>
      <c r="P32675"/>
      <c r="Q32675" s="24"/>
      <c r="R32675"/>
      <c r="S32675"/>
      <c r="T32675"/>
      <c r="U32675"/>
      <c r="X32675" s="60"/>
    </row>
    <row r="32676" spans="7:24" ht="15" customHeight="1">
      <c r="G32676"/>
      <c r="I32676"/>
      <c r="N32676"/>
      <c r="O32676" s="24"/>
      <c r="P32676"/>
      <c r="Q32676" s="24"/>
      <c r="R32676"/>
      <c r="S32676"/>
      <c r="T32676"/>
      <c r="U32676"/>
      <c r="X32676" s="60"/>
    </row>
    <row r="32677" spans="7:24" ht="15" customHeight="1">
      <c r="G32677"/>
      <c r="I32677"/>
      <c r="N32677"/>
      <c r="O32677" s="24"/>
      <c r="P32677"/>
      <c r="Q32677" s="24"/>
      <c r="R32677"/>
      <c r="S32677"/>
      <c r="T32677"/>
      <c r="U32677"/>
      <c r="X32677" s="60"/>
    </row>
    <row r="32678" spans="7:24" ht="15" customHeight="1">
      <c r="G32678"/>
      <c r="I32678"/>
      <c r="N32678"/>
      <c r="O32678" s="24"/>
      <c r="P32678"/>
      <c r="Q32678" s="24"/>
      <c r="R32678"/>
      <c r="S32678"/>
      <c r="T32678"/>
      <c r="U32678"/>
      <c r="X32678" s="60"/>
    </row>
    <row r="32679" spans="7:24" ht="15" customHeight="1">
      <c r="G32679"/>
      <c r="I32679"/>
      <c r="N32679"/>
      <c r="O32679" s="24"/>
      <c r="P32679"/>
      <c r="Q32679" s="24"/>
      <c r="R32679"/>
      <c r="S32679"/>
      <c r="T32679"/>
      <c r="U32679"/>
      <c r="X32679" s="60"/>
    </row>
    <row r="32680" spans="7:24" ht="15" customHeight="1">
      <c r="G32680"/>
      <c r="I32680"/>
      <c r="N32680"/>
      <c r="O32680" s="24"/>
      <c r="P32680"/>
      <c r="Q32680" s="24"/>
      <c r="R32680"/>
      <c r="S32680"/>
      <c r="T32680"/>
      <c r="U32680"/>
      <c r="X32680" s="60"/>
    </row>
    <row r="32681" spans="7:24" ht="15" customHeight="1">
      <c r="G32681"/>
      <c r="I32681"/>
      <c r="N32681"/>
      <c r="O32681" s="24"/>
      <c r="P32681"/>
      <c r="Q32681" s="24"/>
      <c r="R32681"/>
      <c r="S32681"/>
      <c r="T32681"/>
      <c r="U32681"/>
      <c r="X32681" s="60"/>
    </row>
    <row r="32682" spans="7:24" ht="15" customHeight="1">
      <c r="G32682"/>
      <c r="I32682"/>
      <c r="N32682"/>
      <c r="O32682" s="24"/>
      <c r="P32682"/>
      <c r="Q32682" s="24"/>
      <c r="R32682"/>
      <c r="S32682"/>
      <c r="T32682"/>
      <c r="U32682"/>
      <c r="X32682" s="60"/>
    </row>
    <row r="32683" spans="7:24" ht="15" customHeight="1">
      <c r="G32683"/>
      <c r="I32683"/>
      <c r="N32683"/>
      <c r="O32683" s="24"/>
      <c r="P32683"/>
      <c r="Q32683" s="24"/>
      <c r="R32683"/>
      <c r="S32683"/>
      <c r="T32683"/>
      <c r="U32683"/>
      <c r="X32683" s="60"/>
    </row>
    <row r="32684" spans="7:24" ht="15" customHeight="1">
      <c r="G32684"/>
      <c r="I32684"/>
      <c r="N32684"/>
      <c r="O32684" s="24"/>
      <c r="P32684"/>
      <c r="Q32684" s="24"/>
      <c r="R32684"/>
      <c r="S32684"/>
      <c r="T32684"/>
      <c r="U32684"/>
      <c r="X32684" s="60"/>
    </row>
    <row r="32685" spans="7:24" ht="15" customHeight="1">
      <c r="G32685"/>
      <c r="I32685"/>
      <c r="N32685"/>
      <c r="O32685" s="24"/>
      <c r="P32685"/>
      <c r="Q32685" s="24"/>
      <c r="R32685"/>
      <c r="S32685"/>
      <c r="T32685"/>
      <c r="U32685"/>
      <c r="X32685" s="60"/>
    </row>
    <row r="32686" spans="7:24" ht="15" customHeight="1">
      <c r="G32686"/>
      <c r="I32686"/>
      <c r="N32686"/>
      <c r="O32686" s="24"/>
      <c r="P32686"/>
      <c r="Q32686" s="24"/>
      <c r="R32686"/>
      <c r="S32686"/>
      <c r="T32686"/>
      <c r="U32686"/>
      <c r="X32686" s="60"/>
    </row>
    <row r="32687" spans="7:24" ht="15" customHeight="1">
      <c r="G32687"/>
      <c r="I32687"/>
      <c r="N32687"/>
      <c r="O32687" s="24"/>
      <c r="P32687"/>
      <c r="Q32687" s="24"/>
      <c r="R32687"/>
      <c r="S32687"/>
      <c r="T32687"/>
      <c r="U32687"/>
      <c r="X32687" s="60"/>
    </row>
    <row r="32688" spans="7:24" ht="15" customHeight="1">
      <c r="G32688"/>
      <c r="I32688"/>
      <c r="N32688"/>
      <c r="O32688" s="24"/>
      <c r="P32688"/>
      <c r="Q32688" s="24"/>
      <c r="R32688"/>
      <c r="S32688"/>
      <c r="T32688"/>
      <c r="U32688"/>
      <c r="X32688" s="60"/>
    </row>
    <row r="32689" spans="7:24" ht="15" customHeight="1">
      <c r="G32689"/>
      <c r="I32689"/>
      <c r="N32689"/>
      <c r="O32689" s="24"/>
      <c r="P32689"/>
      <c r="Q32689" s="24"/>
      <c r="R32689"/>
      <c r="S32689"/>
      <c r="T32689"/>
      <c r="U32689"/>
      <c r="X32689" s="60"/>
    </row>
    <row r="32690" spans="7:24" ht="15" customHeight="1">
      <c r="G32690"/>
      <c r="I32690"/>
      <c r="N32690"/>
      <c r="O32690" s="24"/>
      <c r="P32690"/>
      <c r="Q32690" s="24"/>
      <c r="R32690"/>
      <c r="S32690"/>
      <c r="T32690"/>
      <c r="U32690"/>
      <c r="X32690" s="60"/>
    </row>
    <row r="32691" spans="7:24" ht="15" customHeight="1">
      <c r="G32691"/>
      <c r="I32691"/>
      <c r="N32691"/>
      <c r="O32691" s="24"/>
      <c r="P32691"/>
      <c r="Q32691" s="24"/>
      <c r="R32691"/>
      <c r="S32691"/>
      <c r="T32691"/>
      <c r="U32691"/>
      <c r="X32691" s="60"/>
    </row>
    <row r="32692" spans="7:24" ht="15" customHeight="1">
      <c r="G32692"/>
      <c r="I32692"/>
      <c r="N32692"/>
      <c r="O32692" s="24"/>
      <c r="P32692"/>
      <c r="Q32692" s="24"/>
      <c r="R32692"/>
      <c r="S32692"/>
      <c r="T32692"/>
      <c r="U32692"/>
      <c r="X32692" s="60"/>
    </row>
    <row r="32693" spans="7:24" ht="15" customHeight="1">
      <c r="G32693"/>
      <c r="I32693"/>
      <c r="N32693"/>
      <c r="O32693" s="24"/>
      <c r="P32693"/>
      <c r="Q32693" s="24"/>
      <c r="R32693"/>
      <c r="S32693"/>
      <c r="T32693"/>
      <c r="U32693"/>
      <c r="X32693" s="60"/>
    </row>
    <row r="32694" spans="7:24" ht="15" customHeight="1">
      <c r="G32694"/>
      <c r="I32694"/>
      <c r="N32694"/>
      <c r="O32694" s="24"/>
      <c r="P32694"/>
      <c r="Q32694" s="24"/>
      <c r="R32694"/>
      <c r="S32694"/>
      <c r="T32694"/>
      <c r="U32694"/>
      <c r="X32694" s="60"/>
    </row>
    <row r="32695" spans="7:24" ht="15" customHeight="1">
      <c r="G32695"/>
      <c r="I32695"/>
      <c r="N32695"/>
      <c r="O32695" s="24"/>
      <c r="P32695"/>
      <c r="Q32695" s="24"/>
      <c r="R32695"/>
      <c r="S32695"/>
      <c r="T32695"/>
      <c r="U32695"/>
      <c r="X32695" s="60"/>
    </row>
    <row r="32696" spans="7:24" ht="15" customHeight="1">
      <c r="G32696"/>
      <c r="I32696"/>
      <c r="N32696"/>
      <c r="O32696" s="24"/>
      <c r="P32696"/>
      <c r="Q32696" s="24"/>
      <c r="R32696"/>
      <c r="S32696"/>
      <c r="T32696"/>
      <c r="U32696"/>
      <c r="X32696" s="60"/>
    </row>
    <row r="32697" spans="7:24" ht="15" customHeight="1">
      <c r="G32697"/>
      <c r="I32697"/>
      <c r="N32697"/>
      <c r="O32697" s="24"/>
      <c r="P32697"/>
      <c r="Q32697" s="24"/>
      <c r="R32697"/>
      <c r="S32697"/>
      <c r="T32697"/>
      <c r="U32697"/>
      <c r="X32697" s="60"/>
    </row>
    <row r="32698" spans="7:24" ht="15" customHeight="1">
      <c r="G32698"/>
      <c r="I32698"/>
      <c r="N32698"/>
      <c r="O32698" s="24"/>
      <c r="P32698"/>
      <c r="Q32698" s="24"/>
      <c r="R32698"/>
      <c r="S32698"/>
      <c r="T32698"/>
      <c r="U32698"/>
      <c r="X32698" s="60"/>
    </row>
    <row r="32699" spans="7:24" ht="15" customHeight="1">
      <c r="G32699"/>
      <c r="I32699"/>
      <c r="N32699"/>
      <c r="O32699" s="24"/>
      <c r="P32699"/>
      <c r="Q32699" s="24"/>
      <c r="R32699"/>
      <c r="S32699"/>
      <c r="T32699"/>
      <c r="U32699"/>
      <c r="X32699" s="60"/>
    </row>
    <row r="32700" spans="7:24" ht="15" customHeight="1">
      <c r="G32700"/>
      <c r="I32700"/>
      <c r="N32700"/>
      <c r="O32700" s="24"/>
      <c r="P32700"/>
      <c r="Q32700" s="24"/>
      <c r="R32700"/>
      <c r="S32700"/>
      <c r="T32700"/>
      <c r="U32700"/>
      <c r="X32700" s="60"/>
    </row>
    <row r="32701" spans="7:24" ht="15" customHeight="1">
      <c r="G32701"/>
      <c r="I32701"/>
      <c r="N32701"/>
      <c r="O32701" s="24"/>
      <c r="P32701"/>
      <c r="Q32701" s="24"/>
      <c r="R32701"/>
      <c r="S32701"/>
      <c r="T32701"/>
      <c r="U32701"/>
      <c r="X32701" s="60"/>
    </row>
    <row r="32702" spans="7:24" ht="15" customHeight="1">
      <c r="G32702"/>
      <c r="I32702"/>
      <c r="N32702"/>
      <c r="O32702" s="24"/>
      <c r="P32702"/>
      <c r="Q32702" s="24"/>
      <c r="R32702"/>
      <c r="S32702"/>
      <c r="T32702"/>
      <c r="U32702"/>
      <c r="X32702" s="60"/>
    </row>
    <row r="32703" spans="7:24" ht="15" customHeight="1">
      <c r="G32703"/>
      <c r="I32703"/>
      <c r="N32703"/>
      <c r="O32703" s="24"/>
      <c r="P32703"/>
      <c r="Q32703" s="24"/>
      <c r="R32703"/>
      <c r="S32703"/>
      <c r="T32703"/>
      <c r="U32703"/>
      <c r="X32703" s="60"/>
    </row>
    <row r="32704" spans="7:24" ht="15" customHeight="1">
      <c r="G32704"/>
      <c r="I32704"/>
      <c r="N32704"/>
      <c r="O32704" s="24"/>
      <c r="P32704"/>
      <c r="Q32704" s="24"/>
      <c r="R32704"/>
      <c r="S32704"/>
      <c r="T32704"/>
      <c r="U32704"/>
      <c r="X32704" s="60"/>
    </row>
    <row r="32705" spans="7:24" ht="15" customHeight="1">
      <c r="G32705"/>
      <c r="I32705"/>
      <c r="N32705"/>
      <c r="O32705" s="24"/>
      <c r="P32705"/>
      <c r="Q32705" s="24"/>
      <c r="R32705"/>
      <c r="S32705"/>
      <c r="T32705"/>
      <c r="U32705"/>
      <c r="X32705" s="60"/>
    </row>
    <row r="32706" spans="7:24" ht="15" customHeight="1">
      <c r="G32706"/>
      <c r="I32706"/>
      <c r="N32706"/>
      <c r="O32706" s="24"/>
      <c r="P32706"/>
      <c r="Q32706" s="24"/>
      <c r="R32706"/>
      <c r="S32706"/>
      <c r="T32706"/>
      <c r="U32706"/>
      <c r="X32706" s="60"/>
    </row>
    <row r="32707" spans="7:24" ht="15" customHeight="1">
      <c r="G32707"/>
      <c r="I32707"/>
      <c r="N32707"/>
      <c r="O32707" s="24"/>
      <c r="P32707"/>
      <c r="Q32707" s="24"/>
      <c r="R32707"/>
      <c r="S32707"/>
      <c r="T32707"/>
      <c r="U32707"/>
      <c r="X32707" s="60"/>
    </row>
    <row r="32708" spans="7:24" ht="15" customHeight="1">
      <c r="G32708"/>
      <c r="I32708"/>
      <c r="N32708"/>
      <c r="O32708" s="24"/>
      <c r="P32708"/>
      <c r="Q32708" s="24"/>
      <c r="R32708"/>
      <c r="S32708"/>
      <c r="T32708"/>
      <c r="U32708"/>
      <c r="X32708" s="60"/>
    </row>
    <row r="32709" spans="7:24" ht="15" customHeight="1">
      <c r="G32709"/>
      <c r="I32709"/>
      <c r="N32709"/>
      <c r="O32709" s="24"/>
      <c r="P32709"/>
      <c r="Q32709" s="24"/>
      <c r="R32709"/>
      <c r="S32709"/>
      <c r="T32709"/>
      <c r="U32709"/>
      <c r="X32709" s="60"/>
    </row>
    <row r="32710" spans="7:24" ht="15" customHeight="1">
      <c r="G32710"/>
      <c r="I32710"/>
      <c r="N32710"/>
      <c r="O32710" s="24"/>
      <c r="P32710"/>
      <c r="Q32710" s="24"/>
      <c r="R32710"/>
      <c r="S32710"/>
      <c r="T32710"/>
      <c r="U32710"/>
      <c r="X32710" s="60"/>
    </row>
    <row r="32711" spans="7:24" ht="15" customHeight="1">
      <c r="G32711"/>
      <c r="I32711"/>
      <c r="N32711"/>
      <c r="O32711" s="24"/>
      <c r="P32711"/>
      <c r="Q32711" s="24"/>
      <c r="R32711"/>
      <c r="S32711"/>
      <c r="T32711"/>
      <c r="U32711"/>
      <c r="X32711" s="60"/>
    </row>
    <row r="32712" spans="7:24" ht="15" customHeight="1">
      <c r="G32712"/>
      <c r="I32712"/>
      <c r="N32712"/>
      <c r="O32712" s="24"/>
      <c r="P32712"/>
      <c r="Q32712" s="24"/>
      <c r="R32712"/>
      <c r="S32712"/>
      <c r="T32712"/>
      <c r="U32712"/>
      <c r="X32712" s="60"/>
    </row>
    <row r="32713" spans="7:24" ht="15" customHeight="1">
      <c r="G32713"/>
      <c r="I32713"/>
      <c r="N32713"/>
      <c r="O32713" s="24"/>
      <c r="P32713"/>
      <c r="Q32713" s="24"/>
      <c r="R32713"/>
      <c r="S32713"/>
      <c r="T32713"/>
      <c r="U32713"/>
      <c r="X32713" s="60"/>
    </row>
    <row r="32714" spans="7:24" ht="15" customHeight="1">
      <c r="G32714"/>
      <c r="I32714"/>
      <c r="N32714"/>
      <c r="O32714" s="24"/>
      <c r="P32714"/>
      <c r="Q32714" s="24"/>
      <c r="R32714"/>
      <c r="S32714"/>
      <c r="T32714"/>
      <c r="U32714"/>
      <c r="X32714" s="60"/>
    </row>
    <row r="32715" spans="7:24" ht="15" customHeight="1">
      <c r="G32715"/>
      <c r="I32715"/>
      <c r="N32715"/>
      <c r="O32715" s="24"/>
      <c r="P32715"/>
      <c r="Q32715" s="24"/>
      <c r="R32715"/>
      <c r="S32715"/>
      <c r="T32715"/>
      <c r="U32715"/>
      <c r="X32715" s="60"/>
    </row>
    <row r="32716" spans="7:24" ht="15" customHeight="1">
      <c r="G32716"/>
      <c r="I32716"/>
      <c r="N32716"/>
      <c r="O32716" s="24"/>
      <c r="P32716"/>
      <c r="Q32716" s="24"/>
      <c r="R32716"/>
      <c r="S32716"/>
      <c r="T32716"/>
      <c r="U32716"/>
      <c r="X32716" s="60"/>
    </row>
    <row r="32717" spans="7:24" ht="15" customHeight="1">
      <c r="G32717"/>
      <c r="I32717"/>
      <c r="N32717"/>
      <c r="O32717" s="24"/>
      <c r="P32717"/>
      <c r="Q32717" s="24"/>
      <c r="R32717"/>
      <c r="S32717"/>
      <c r="T32717"/>
      <c r="U32717"/>
      <c r="X32717" s="60"/>
    </row>
    <row r="32718" spans="7:24" ht="15" customHeight="1">
      <c r="G32718"/>
      <c r="I32718"/>
      <c r="N32718"/>
      <c r="O32718" s="24"/>
      <c r="P32718"/>
      <c r="Q32718" s="24"/>
      <c r="R32718"/>
      <c r="S32718"/>
      <c r="T32718"/>
      <c r="U32718"/>
      <c r="X32718" s="60"/>
    </row>
    <row r="32719" spans="7:24" ht="15" customHeight="1">
      <c r="G32719"/>
      <c r="I32719"/>
      <c r="N32719"/>
      <c r="O32719" s="24"/>
      <c r="P32719"/>
      <c r="Q32719" s="24"/>
      <c r="R32719"/>
      <c r="S32719"/>
      <c r="T32719"/>
      <c r="U32719"/>
      <c r="X32719" s="60"/>
    </row>
    <row r="32720" spans="7:24" ht="15" customHeight="1">
      <c r="G32720"/>
      <c r="I32720"/>
      <c r="N32720"/>
      <c r="O32720" s="24"/>
      <c r="P32720"/>
      <c r="Q32720" s="24"/>
      <c r="R32720"/>
      <c r="S32720"/>
      <c r="T32720"/>
      <c r="U32720"/>
      <c r="X32720" s="60"/>
    </row>
    <row r="32721" spans="7:24" ht="15" customHeight="1">
      <c r="G32721"/>
      <c r="I32721"/>
      <c r="N32721"/>
      <c r="O32721" s="24"/>
      <c r="P32721"/>
      <c r="Q32721" s="24"/>
      <c r="R32721"/>
      <c r="S32721"/>
      <c r="T32721"/>
      <c r="U32721"/>
      <c r="X32721" s="60"/>
    </row>
    <row r="32722" spans="7:24" ht="15" customHeight="1">
      <c r="G32722"/>
      <c r="I32722"/>
      <c r="N32722"/>
      <c r="O32722" s="24"/>
      <c r="P32722"/>
      <c r="Q32722" s="24"/>
      <c r="R32722"/>
      <c r="S32722"/>
      <c r="T32722"/>
      <c r="U32722"/>
      <c r="X32722" s="60"/>
    </row>
    <row r="32723" spans="7:24" ht="15" customHeight="1">
      <c r="G32723"/>
      <c r="I32723"/>
      <c r="N32723"/>
      <c r="O32723" s="24"/>
      <c r="P32723"/>
      <c r="Q32723" s="24"/>
      <c r="R32723"/>
      <c r="S32723"/>
      <c r="T32723"/>
      <c r="U32723"/>
      <c r="X32723" s="60"/>
    </row>
    <row r="32724" spans="7:24" ht="15" customHeight="1">
      <c r="G32724"/>
      <c r="I32724"/>
      <c r="N32724"/>
      <c r="O32724" s="24"/>
      <c r="P32724"/>
      <c r="Q32724" s="24"/>
      <c r="R32724"/>
      <c r="S32724"/>
      <c r="T32724"/>
      <c r="U32724"/>
      <c r="X32724" s="60"/>
    </row>
    <row r="32725" spans="7:24" ht="15" customHeight="1">
      <c r="G32725"/>
      <c r="I32725"/>
      <c r="N32725"/>
      <c r="O32725" s="24"/>
      <c r="P32725"/>
      <c r="Q32725" s="24"/>
      <c r="R32725"/>
      <c r="S32725"/>
      <c r="T32725"/>
      <c r="U32725"/>
      <c r="X32725" s="60"/>
    </row>
    <row r="32726" spans="7:24" ht="15" customHeight="1">
      <c r="G32726"/>
      <c r="I32726"/>
      <c r="N32726"/>
      <c r="O32726" s="24"/>
      <c r="P32726"/>
      <c r="Q32726" s="24"/>
      <c r="R32726"/>
      <c r="S32726"/>
      <c r="T32726"/>
      <c r="U32726"/>
      <c r="X32726" s="60"/>
    </row>
    <row r="32727" spans="7:24" ht="15" customHeight="1">
      <c r="G32727"/>
      <c r="I32727"/>
      <c r="N32727"/>
      <c r="O32727" s="24"/>
      <c r="P32727"/>
      <c r="Q32727" s="24"/>
      <c r="R32727"/>
      <c r="S32727"/>
      <c r="T32727"/>
      <c r="U32727"/>
      <c r="X32727" s="60"/>
    </row>
    <row r="32728" spans="7:24" ht="15" customHeight="1">
      <c r="G32728"/>
      <c r="I32728"/>
      <c r="N32728"/>
      <c r="O32728" s="24"/>
      <c r="P32728"/>
      <c r="Q32728" s="24"/>
      <c r="R32728"/>
      <c r="S32728"/>
      <c r="T32728"/>
      <c r="U32728"/>
      <c r="X32728" s="60"/>
    </row>
    <row r="32729" spans="7:24" ht="15" customHeight="1">
      <c r="G32729"/>
      <c r="I32729"/>
      <c r="N32729"/>
      <c r="O32729" s="24"/>
      <c r="P32729"/>
      <c r="Q32729" s="24"/>
      <c r="R32729"/>
      <c r="S32729"/>
      <c r="T32729"/>
      <c r="U32729"/>
      <c r="X32729" s="60"/>
    </row>
    <row r="32730" spans="7:24" ht="15" customHeight="1">
      <c r="G32730"/>
      <c r="I32730"/>
      <c r="N32730"/>
      <c r="O32730" s="24"/>
      <c r="P32730"/>
      <c r="Q32730" s="24"/>
      <c r="R32730"/>
      <c r="S32730"/>
      <c r="T32730"/>
      <c r="U32730"/>
      <c r="X32730" s="60"/>
    </row>
    <row r="32731" spans="7:24" ht="15" customHeight="1">
      <c r="G32731"/>
      <c r="I32731"/>
      <c r="N32731"/>
      <c r="O32731" s="24"/>
      <c r="P32731"/>
      <c r="Q32731" s="24"/>
      <c r="R32731"/>
      <c r="S32731"/>
      <c r="T32731"/>
      <c r="U32731"/>
      <c r="X32731" s="60"/>
    </row>
    <row r="32732" spans="7:24" ht="15" customHeight="1">
      <c r="G32732"/>
      <c r="I32732"/>
      <c r="N32732"/>
      <c r="O32732" s="24"/>
      <c r="P32732"/>
      <c r="Q32732" s="24"/>
      <c r="R32732"/>
      <c r="S32732"/>
      <c r="T32732"/>
      <c r="U32732"/>
      <c r="X32732" s="60"/>
    </row>
    <row r="32733" spans="7:24" ht="15" customHeight="1">
      <c r="G32733"/>
      <c r="I32733"/>
      <c r="N32733"/>
      <c r="O32733" s="24"/>
      <c r="P32733"/>
      <c r="Q32733" s="24"/>
      <c r="R32733"/>
      <c r="S32733"/>
      <c r="T32733"/>
      <c r="U32733"/>
      <c r="X32733" s="60"/>
    </row>
    <row r="32734" spans="7:24" ht="15" customHeight="1">
      <c r="G32734"/>
      <c r="I32734"/>
      <c r="N32734"/>
      <c r="O32734" s="24"/>
      <c r="P32734"/>
      <c r="Q32734" s="24"/>
      <c r="R32734"/>
      <c r="S32734"/>
      <c r="T32734"/>
      <c r="U32734"/>
      <c r="X32734" s="60"/>
    </row>
    <row r="32735" spans="7:24" ht="15" customHeight="1">
      <c r="G32735"/>
      <c r="I32735"/>
      <c r="N32735"/>
      <c r="O32735" s="24"/>
      <c r="P32735"/>
      <c r="Q32735" s="24"/>
      <c r="R32735"/>
      <c r="S32735"/>
      <c r="T32735"/>
      <c r="U32735"/>
      <c r="X32735" s="60"/>
    </row>
    <row r="32736" spans="7:24" ht="15" customHeight="1">
      <c r="G32736"/>
      <c r="I32736"/>
      <c r="N32736"/>
      <c r="O32736" s="24"/>
      <c r="P32736"/>
      <c r="Q32736" s="24"/>
      <c r="R32736"/>
      <c r="S32736"/>
      <c r="T32736"/>
      <c r="U32736"/>
      <c r="X32736" s="60"/>
    </row>
    <row r="32737" spans="7:24" ht="15" customHeight="1">
      <c r="G32737"/>
      <c r="I32737"/>
      <c r="N32737"/>
      <c r="O32737" s="24"/>
      <c r="P32737"/>
      <c r="Q32737" s="24"/>
      <c r="R32737"/>
      <c r="S32737"/>
      <c r="T32737"/>
      <c r="U32737"/>
      <c r="X32737" s="60"/>
    </row>
    <row r="32738" spans="7:24" ht="15" customHeight="1">
      <c r="G32738"/>
      <c r="I32738"/>
      <c r="N32738"/>
      <c r="O32738" s="24"/>
      <c r="P32738"/>
      <c r="Q32738" s="24"/>
      <c r="R32738"/>
      <c r="S32738"/>
      <c r="T32738"/>
      <c r="U32738"/>
      <c r="X32738" s="60"/>
    </row>
    <row r="32739" spans="7:24" ht="15" customHeight="1">
      <c r="G32739"/>
      <c r="I32739"/>
      <c r="N32739"/>
      <c r="O32739" s="24"/>
      <c r="P32739"/>
      <c r="Q32739" s="24"/>
      <c r="R32739"/>
      <c r="S32739"/>
      <c r="T32739"/>
      <c r="U32739"/>
      <c r="X32739" s="60"/>
    </row>
    <row r="32740" spans="7:24" ht="15" customHeight="1">
      <c r="G32740"/>
      <c r="I32740"/>
      <c r="N32740"/>
      <c r="O32740" s="24"/>
      <c r="P32740"/>
      <c r="Q32740" s="24"/>
      <c r="R32740"/>
      <c r="S32740"/>
      <c r="T32740"/>
      <c r="U32740"/>
      <c r="X32740" s="60"/>
    </row>
    <row r="32741" spans="7:24" ht="15" customHeight="1">
      <c r="G32741"/>
      <c r="I32741"/>
      <c r="N32741"/>
      <c r="O32741" s="24"/>
      <c r="P32741"/>
      <c r="Q32741" s="24"/>
      <c r="R32741"/>
      <c r="S32741"/>
      <c r="T32741"/>
      <c r="U32741"/>
      <c r="X32741" s="60"/>
    </row>
    <row r="32742" spans="7:24" ht="15" customHeight="1">
      <c r="G32742"/>
      <c r="I32742"/>
      <c r="N32742"/>
      <c r="O32742" s="24"/>
      <c r="P32742"/>
      <c r="Q32742" s="24"/>
      <c r="R32742"/>
      <c r="S32742"/>
      <c r="T32742"/>
      <c r="U32742"/>
      <c r="X32742" s="60"/>
    </row>
    <row r="32743" spans="7:24" ht="15" customHeight="1">
      <c r="G32743"/>
      <c r="I32743"/>
      <c r="N32743"/>
      <c r="O32743" s="24"/>
      <c r="P32743"/>
      <c r="Q32743" s="24"/>
      <c r="R32743"/>
      <c r="S32743"/>
      <c r="T32743"/>
      <c r="U32743"/>
      <c r="X32743" s="60"/>
    </row>
    <row r="32744" spans="7:24" ht="15" customHeight="1">
      <c r="G32744"/>
      <c r="I32744"/>
      <c r="N32744"/>
      <c r="O32744" s="24"/>
      <c r="P32744"/>
      <c r="Q32744" s="24"/>
      <c r="R32744"/>
      <c r="S32744"/>
      <c r="T32744"/>
      <c r="U32744"/>
      <c r="X32744" s="60"/>
    </row>
    <row r="32745" spans="7:24" ht="15" customHeight="1">
      <c r="G32745"/>
      <c r="I32745"/>
      <c r="N32745"/>
      <c r="O32745" s="24"/>
      <c r="P32745"/>
      <c r="Q32745" s="24"/>
      <c r="R32745"/>
      <c r="S32745"/>
      <c r="T32745"/>
      <c r="U32745"/>
      <c r="X32745" s="60"/>
    </row>
    <row r="32746" spans="7:24" ht="15" customHeight="1">
      <c r="G32746"/>
      <c r="I32746"/>
      <c r="N32746"/>
      <c r="O32746" s="24"/>
      <c r="P32746"/>
      <c r="Q32746" s="24"/>
      <c r="R32746"/>
      <c r="S32746"/>
      <c r="T32746"/>
      <c r="U32746"/>
      <c r="X32746" s="60"/>
    </row>
    <row r="32747" spans="7:24" ht="15" customHeight="1">
      <c r="G32747"/>
      <c r="I32747"/>
      <c r="N32747"/>
      <c r="O32747" s="24"/>
      <c r="P32747"/>
      <c r="Q32747" s="24"/>
      <c r="R32747"/>
      <c r="S32747"/>
      <c r="T32747"/>
      <c r="U32747"/>
      <c r="X32747" s="60"/>
    </row>
    <row r="32748" spans="7:24" ht="15" customHeight="1">
      <c r="G32748"/>
      <c r="I32748"/>
      <c r="N32748"/>
      <c r="O32748" s="24"/>
      <c r="P32748"/>
      <c r="Q32748" s="24"/>
      <c r="R32748"/>
      <c r="S32748"/>
      <c r="T32748"/>
      <c r="U32748"/>
      <c r="X32748" s="60"/>
    </row>
    <row r="32749" spans="7:24" ht="15" customHeight="1">
      <c r="G32749"/>
      <c r="I32749"/>
      <c r="N32749"/>
      <c r="O32749" s="24"/>
      <c r="P32749"/>
      <c r="Q32749" s="24"/>
      <c r="R32749"/>
      <c r="S32749"/>
      <c r="T32749"/>
      <c r="U32749"/>
      <c r="X32749" s="60"/>
    </row>
    <row r="32750" spans="7:24" ht="15" customHeight="1">
      <c r="G32750"/>
      <c r="I32750"/>
      <c r="N32750"/>
      <c r="O32750" s="24"/>
      <c r="P32750"/>
      <c r="Q32750" s="24"/>
      <c r="R32750"/>
      <c r="S32750"/>
      <c r="T32750"/>
      <c r="U32750"/>
      <c r="X32750" s="60"/>
    </row>
    <row r="32751" spans="7:24" ht="15" customHeight="1">
      <c r="G32751"/>
      <c r="I32751"/>
      <c r="N32751"/>
      <c r="O32751" s="24"/>
      <c r="P32751"/>
      <c r="Q32751" s="24"/>
      <c r="R32751"/>
      <c r="S32751"/>
      <c r="T32751"/>
      <c r="U32751"/>
      <c r="X32751" s="60"/>
    </row>
    <row r="32752" spans="7:24" ht="15" customHeight="1">
      <c r="G32752"/>
      <c r="I32752"/>
      <c r="N32752"/>
      <c r="O32752" s="24"/>
      <c r="P32752"/>
      <c r="Q32752" s="24"/>
      <c r="R32752"/>
      <c r="S32752"/>
      <c r="T32752"/>
      <c r="U32752"/>
      <c r="X32752" s="60"/>
    </row>
    <row r="32753" spans="7:24" ht="15" customHeight="1">
      <c r="G32753"/>
      <c r="I32753"/>
      <c r="N32753"/>
      <c r="O32753" s="24"/>
      <c r="P32753"/>
      <c r="Q32753" s="24"/>
      <c r="R32753"/>
      <c r="S32753"/>
      <c r="T32753"/>
      <c r="U32753"/>
      <c r="X32753" s="60"/>
    </row>
    <row r="32754" spans="7:24" ht="15" customHeight="1">
      <c r="G32754"/>
      <c r="I32754"/>
      <c r="N32754"/>
      <c r="O32754" s="24"/>
      <c r="P32754"/>
      <c r="Q32754" s="24"/>
      <c r="R32754"/>
      <c r="S32754"/>
      <c r="T32754"/>
      <c r="U32754"/>
      <c r="X32754" s="60"/>
    </row>
    <row r="32755" spans="7:24" ht="15" customHeight="1">
      <c r="G32755"/>
      <c r="I32755"/>
      <c r="N32755"/>
      <c r="O32755" s="24"/>
      <c r="P32755"/>
      <c r="Q32755" s="24"/>
      <c r="R32755"/>
      <c r="S32755"/>
      <c r="T32755"/>
      <c r="U32755"/>
      <c r="X32755" s="60"/>
    </row>
    <row r="32756" spans="7:24" ht="15" customHeight="1">
      <c r="G32756"/>
      <c r="I32756"/>
      <c r="N32756"/>
      <c r="O32756" s="24"/>
      <c r="P32756"/>
      <c r="Q32756" s="24"/>
      <c r="R32756"/>
      <c r="S32756"/>
      <c r="T32756"/>
      <c r="U32756"/>
      <c r="X32756" s="60"/>
    </row>
    <row r="32757" spans="7:24" ht="15" customHeight="1">
      <c r="G32757"/>
      <c r="I32757"/>
      <c r="N32757"/>
      <c r="O32757" s="24"/>
      <c r="P32757"/>
      <c r="Q32757" s="24"/>
      <c r="R32757"/>
      <c r="S32757"/>
      <c r="T32757"/>
      <c r="U32757"/>
      <c r="X32757" s="60"/>
    </row>
    <row r="32758" spans="7:24" ht="15" customHeight="1">
      <c r="G32758"/>
      <c r="I32758"/>
      <c r="N32758"/>
      <c r="O32758" s="24"/>
      <c r="P32758"/>
      <c r="Q32758" s="24"/>
      <c r="R32758"/>
      <c r="S32758"/>
      <c r="T32758"/>
      <c r="U32758"/>
      <c r="X32758" s="60"/>
    </row>
    <row r="32759" spans="7:24" ht="15" customHeight="1">
      <c r="G32759"/>
      <c r="I32759"/>
      <c r="N32759"/>
      <c r="O32759" s="24"/>
      <c r="P32759"/>
      <c r="Q32759" s="24"/>
      <c r="R32759"/>
      <c r="S32759"/>
      <c r="T32759"/>
      <c r="U32759"/>
      <c r="X32759" s="60"/>
    </row>
    <row r="32760" spans="7:24" ht="15" customHeight="1">
      <c r="G32760"/>
      <c r="I32760"/>
      <c r="N32760"/>
      <c r="O32760" s="24"/>
      <c r="P32760"/>
      <c r="Q32760" s="24"/>
      <c r="R32760"/>
      <c r="S32760"/>
      <c r="T32760"/>
      <c r="U32760"/>
      <c r="X32760" s="60"/>
    </row>
    <row r="32761" spans="7:24" ht="15" customHeight="1">
      <c r="G32761"/>
      <c r="I32761"/>
      <c r="N32761"/>
      <c r="O32761" s="24"/>
      <c r="P32761"/>
      <c r="Q32761" s="24"/>
      <c r="R32761"/>
      <c r="S32761"/>
      <c r="T32761"/>
      <c r="U32761"/>
      <c r="X32761" s="60"/>
    </row>
    <row r="32762" spans="7:24" ht="15" customHeight="1">
      <c r="G32762"/>
      <c r="I32762"/>
      <c r="N32762"/>
      <c r="O32762" s="24"/>
      <c r="P32762"/>
      <c r="Q32762" s="24"/>
      <c r="R32762"/>
      <c r="S32762"/>
      <c r="T32762"/>
      <c r="U32762"/>
      <c r="X32762" s="60"/>
    </row>
    <row r="32763" spans="7:24" ht="15" customHeight="1">
      <c r="G32763"/>
      <c r="I32763"/>
      <c r="N32763"/>
      <c r="O32763" s="24"/>
      <c r="P32763"/>
      <c r="Q32763" s="24"/>
      <c r="R32763"/>
      <c r="S32763"/>
      <c r="T32763"/>
      <c r="U32763"/>
      <c r="X32763" s="60"/>
    </row>
    <row r="32764" spans="7:24" ht="15" customHeight="1">
      <c r="G32764"/>
      <c r="I32764"/>
      <c r="N32764"/>
      <c r="O32764" s="24"/>
      <c r="P32764"/>
      <c r="Q32764" s="24"/>
      <c r="R32764"/>
      <c r="S32764"/>
      <c r="T32764"/>
      <c r="U32764"/>
      <c r="X32764" s="60"/>
    </row>
    <row r="32765" spans="7:24" ht="15" customHeight="1">
      <c r="G32765"/>
      <c r="I32765"/>
      <c r="N32765"/>
      <c r="O32765" s="24"/>
      <c r="P32765"/>
      <c r="Q32765" s="24"/>
      <c r="R32765"/>
      <c r="S32765"/>
      <c r="T32765"/>
      <c r="U32765"/>
      <c r="X32765" s="60"/>
    </row>
    <row r="32766" spans="7:24" ht="15" customHeight="1">
      <c r="G32766"/>
      <c r="I32766"/>
      <c r="N32766"/>
      <c r="O32766" s="24"/>
      <c r="P32766"/>
      <c r="Q32766" s="24"/>
      <c r="R32766"/>
      <c r="S32766"/>
      <c r="T32766"/>
      <c r="U32766"/>
      <c r="X32766" s="60"/>
    </row>
    <row r="32767" spans="7:24" ht="15" customHeight="1">
      <c r="G32767"/>
      <c r="I32767"/>
      <c r="N32767"/>
      <c r="O32767" s="24"/>
      <c r="P32767"/>
      <c r="Q32767" s="24"/>
      <c r="R32767"/>
      <c r="S32767"/>
      <c r="T32767"/>
      <c r="U32767"/>
      <c r="X32767" s="60"/>
    </row>
    <row r="32768" spans="7:24" ht="15" customHeight="1">
      <c r="G32768"/>
      <c r="I32768"/>
      <c r="N32768"/>
      <c r="O32768" s="24"/>
      <c r="P32768"/>
      <c r="Q32768" s="24"/>
      <c r="R32768"/>
      <c r="S32768"/>
      <c r="T32768"/>
      <c r="U32768"/>
      <c r="X32768" s="60"/>
    </row>
    <row r="32769" spans="7:24" ht="15" customHeight="1">
      <c r="G32769"/>
      <c r="I32769"/>
      <c r="N32769"/>
      <c r="O32769" s="24"/>
      <c r="P32769"/>
      <c r="Q32769" s="24"/>
      <c r="R32769"/>
      <c r="S32769"/>
      <c r="T32769"/>
      <c r="U32769"/>
      <c r="X32769" s="60"/>
    </row>
    <row r="32770" spans="7:24" ht="15" customHeight="1">
      <c r="G32770"/>
      <c r="I32770"/>
      <c r="N32770"/>
      <c r="O32770" s="24"/>
      <c r="P32770"/>
      <c r="Q32770" s="24"/>
      <c r="R32770"/>
      <c r="S32770"/>
      <c r="T32770"/>
      <c r="U32770"/>
      <c r="X32770" s="60"/>
    </row>
    <row r="32771" spans="7:24" ht="15" customHeight="1">
      <c r="G32771"/>
      <c r="I32771"/>
      <c r="N32771"/>
      <c r="O32771" s="24"/>
      <c r="P32771"/>
      <c r="Q32771" s="24"/>
      <c r="R32771"/>
      <c r="S32771"/>
      <c r="T32771"/>
      <c r="U32771"/>
      <c r="X32771" s="60"/>
    </row>
    <row r="32772" spans="7:24" ht="15" customHeight="1">
      <c r="G32772"/>
      <c r="I32772"/>
      <c r="N32772"/>
      <c r="O32772" s="24"/>
      <c r="P32772"/>
      <c r="Q32772" s="24"/>
      <c r="R32772"/>
      <c r="S32772"/>
      <c r="T32772"/>
      <c r="U32772"/>
      <c r="X32772" s="60"/>
    </row>
    <row r="32773" spans="7:24" ht="15" customHeight="1">
      <c r="G32773"/>
      <c r="I32773"/>
      <c r="N32773"/>
      <c r="O32773" s="24"/>
      <c r="P32773"/>
      <c r="Q32773" s="24"/>
      <c r="R32773"/>
      <c r="S32773"/>
      <c r="T32773"/>
      <c r="U32773"/>
      <c r="X32773" s="60"/>
    </row>
    <row r="32774" spans="7:24" ht="15" customHeight="1">
      <c r="G32774"/>
      <c r="I32774"/>
      <c r="N32774"/>
      <c r="O32774" s="24"/>
      <c r="P32774"/>
      <c r="Q32774" s="24"/>
      <c r="R32774"/>
      <c r="S32774"/>
      <c r="T32774"/>
      <c r="U32774"/>
      <c r="X32774" s="60"/>
    </row>
    <row r="32775" spans="7:24" ht="15" customHeight="1">
      <c r="G32775"/>
      <c r="I32775"/>
      <c r="N32775"/>
      <c r="O32775" s="24"/>
      <c r="P32775"/>
      <c r="Q32775" s="24"/>
      <c r="R32775"/>
      <c r="S32775"/>
      <c r="T32775"/>
      <c r="U32775"/>
      <c r="X32775" s="60"/>
    </row>
    <row r="32776" spans="7:24" ht="15" customHeight="1">
      <c r="G32776"/>
      <c r="I32776"/>
      <c r="N32776"/>
      <c r="O32776" s="24"/>
      <c r="P32776"/>
      <c r="Q32776" s="24"/>
      <c r="R32776"/>
      <c r="S32776"/>
      <c r="T32776"/>
      <c r="U32776"/>
      <c r="X32776" s="60"/>
    </row>
    <row r="32777" spans="7:24" ht="15" customHeight="1">
      <c r="G32777"/>
      <c r="I32777"/>
      <c r="N32777"/>
      <c r="O32777" s="24"/>
      <c r="P32777"/>
      <c r="Q32777" s="24"/>
      <c r="R32777"/>
      <c r="S32777"/>
      <c r="T32777"/>
      <c r="U32777"/>
      <c r="X32777" s="60"/>
    </row>
    <row r="32778" spans="7:24" ht="15" customHeight="1">
      <c r="G32778"/>
      <c r="I32778"/>
      <c r="N32778"/>
      <c r="O32778" s="24"/>
      <c r="P32778"/>
      <c r="Q32778" s="24"/>
      <c r="R32778"/>
      <c r="S32778"/>
      <c r="T32778"/>
      <c r="U32778"/>
      <c r="X32778" s="60"/>
    </row>
    <row r="32779" spans="7:24" ht="15" customHeight="1">
      <c r="G32779"/>
      <c r="I32779"/>
      <c r="N32779"/>
      <c r="O32779" s="24"/>
      <c r="P32779"/>
      <c r="Q32779" s="24"/>
      <c r="R32779"/>
      <c r="S32779"/>
      <c r="T32779"/>
      <c r="U32779"/>
      <c r="X32779" s="60"/>
    </row>
    <row r="32780" spans="7:24" ht="15" customHeight="1">
      <c r="G32780"/>
      <c r="I32780"/>
      <c r="N32780"/>
      <c r="O32780" s="24"/>
      <c r="P32780"/>
      <c r="Q32780" s="24"/>
      <c r="R32780"/>
      <c r="S32780"/>
      <c r="T32780"/>
      <c r="U32780"/>
      <c r="X32780" s="60"/>
    </row>
    <row r="32781" spans="7:24" ht="15" customHeight="1">
      <c r="G32781"/>
      <c r="I32781"/>
      <c r="N32781"/>
      <c r="O32781" s="24"/>
      <c r="P32781"/>
      <c r="Q32781" s="24"/>
      <c r="R32781"/>
      <c r="S32781"/>
      <c r="T32781"/>
      <c r="U32781"/>
      <c r="X32781" s="60"/>
    </row>
    <row r="32782" spans="7:24" ht="15" customHeight="1">
      <c r="G32782"/>
      <c r="I32782"/>
      <c r="N32782"/>
      <c r="O32782" s="24"/>
      <c r="P32782"/>
      <c r="Q32782" s="24"/>
      <c r="R32782"/>
      <c r="S32782"/>
      <c r="T32782"/>
      <c r="U32782"/>
      <c r="X32782" s="60"/>
    </row>
    <row r="32783" spans="7:24" ht="15" customHeight="1">
      <c r="G32783"/>
      <c r="I32783"/>
      <c r="N32783"/>
      <c r="O32783" s="24"/>
      <c r="P32783"/>
      <c r="Q32783" s="24"/>
      <c r="R32783"/>
      <c r="S32783"/>
      <c r="T32783"/>
      <c r="U32783"/>
      <c r="X32783" s="60"/>
    </row>
    <row r="32784" spans="7:24" ht="15" customHeight="1">
      <c r="G32784"/>
      <c r="I32784"/>
      <c r="N32784"/>
      <c r="O32784" s="24"/>
      <c r="P32784"/>
      <c r="Q32784" s="24"/>
      <c r="R32784"/>
      <c r="S32784"/>
      <c r="T32784"/>
      <c r="U32784"/>
      <c r="X32784" s="60"/>
    </row>
    <row r="32785" spans="7:24" ht="15" customHeight="1">
      <c r="G32785"/>
      <c r="I32785"/>
      <c r="N32785"/>
      <c r="O32785" s="24"/>
      <c r="P32785"/>
      <c r="Q32785" s="24"/>
      <c r="R32785"/>
      <c r="S32785"/>
      <c r="T32785"/>
      <c r="U32785"/>
      <c r="X32785" s="60"/>
    </row>
    <row r="32786" spans="7:24" ht="15" customHeight="1">
      <c r="G32786"/>
      <c r="I32786"/>
      <c r="N32786"/>
      <c r="O32786" s="24"/>
      <c r="P32786"/>
      <c r="Q32786" s="24"/>
      <c r="R32786"/>
      <c r="S32786"/>
      <c r="T32786"/>
      <c r="U32786"/>
      <c r="X32786" s="60"/>
    </row>
    <row r="32787" spans="7:24" ht="15" customHeight="1">
      <c r="G32787"/>
      <c r="I32787"/>
      <c r="N32787"/>
      <c r="O32787" s="24"/>
      <c r="P32787"/>
      <c r="Q32787" s="24"/>
      <c r="R32787"/>
      <c r="S32787"/>
      <c r="T32787"/>
      <c r="U32787"/>
      <c r="X32787" s="60"/>
    </row>
    <row r="32788" spans="7:24" ht="15" customHeight="1">
      <c r="G32788"/>
      <c r="I32788"/>
      <c r="N32788"/>
      <c r="O32788" s="24"/>
      <c r="P32788"/>
      <c r="Q32788" s="24"/>
      <c r="R32788"/>
      <c r="S32788"/>
      <c r="T32788"/>
      <c r="U32788"/>
      <c r="X32788" s="60"/>
    </row>
    <row r="32789" spans="7:24" ht="15" customHeight="1">
      <c r="G32789"/>
      <c r="I32789"/>
      <c r="N32789"/>
      <c r="O32789" s="24"/>
      <c r="P32789"/>
      <c r="Q32789" s="24"/>
      <c r="R32789"/>
      <c r="S32789"/>
      <c r="T32789"/>
      <c r="U32789"/>
      <c r="X32789" s="60"/>
    </row>
    <row r="32790" spans="7:24" ht="15" customHeight="1">
      <c r="G32790"/>
      <c r="I32790"/>
      <c r="N32790"/>
      <c r="O32790" s="24"/>
      <c r="P32790"/>
      <c r="Q32790" s="24"/>
      <c r="R32790"/>
      <c r="S32790"/>
      <c r="T32790"/>
      <c r="U32790"/>
      <c r="X32790" s="60"/>
    </row>
    <row r="32791" spans="7:24" ht="15" customHeight="1">
      <c r="G32791"/>
      <c r="I32791"/>
      <c r="N32791"/>
      <c r="O32791" s="24"/>
      <c r="P32791"/>
      <c r="Q32791" s="24"/>
      <c r="R32791"/>
      <c r="S32791"/>
      <c r="T32791"/>
      <c r="U32791"/>
      <c r="X32791" s="60"/>
    </row>
    <row r="32792" spans="7:24" ht="15" customHeight="1">
      <c r="G32792"/>
      <c r="I32792"/>
      <c r="N32792"/>
      <c r="O32792" s="24"/>
      <c r="P32792"/>
      <c r="Q32792" s="24"/>
      <c r="R32792"/>
      <c r="S32792"/>
      <c r="T32792"/>
      <c r="U32792"/>
      <c r="X32792" s="60"/>
    </row>
    <row r="32793" spans="7:24" ht="15" customHeight="1">
      <c r="G32793"/>
      <c r="I32793"/>
      <c r="N32793"/>
      <c r="O32793" s="24"/>
      <c r="P32793"/>
      <c r="Q32793" s="24"/>
      <c r="R32793"/>
      <c r="S32793"/>
      <c r="T32793"/>
      <c r="U32793"/>
      <c r="X32793" s="60"/>
    </row>
    <row r="32794" spans="7:24" ht="15" customHeight="1">
      <c r="G32794"/>
      <c r="I32794"/>
      <c r="N32794"/>
      <c r="O32794" s="24"/>
      <c r="P32794"/>
      <c r="Q32794" s="24"/>
      <c r="R32794"/>
      <c r="S32794"/>
      <c r="T32794"/>
      <c r="U32794"/>
      <c r="X32794" s="60"/>
    </row>
    <row r="32795" spans="7:24" ht="15" customHeight="1">
      <c r="G32795"/>
      <c r="I32795"/>
      <c r="N32795"/>
      <c r="O32795" s="24"/>
      <c r="P32795"/>
      <c r="Q32795" s="24"/>
      <c r="R32795"/>
      <c r="S32795"/>
      <c r="T32795"/>
      <c r="U32795"/>
      <c r="X32795" s="60"/>
    </row>
    <row r="32796" spans="7:24" ht="15" customHeight="1">
      <c r="G32796"/>
      <c r="I32796"/>
      <c r="N32796"/>
      <c r="O32796" s="24"/>
      <c r="P32796"/>
      <c r="Q32796" s="24"/>
      <c r="R32796"/>
      <c r="S32796"/>
      <c r="T32796"/>
      <c r="U32796"/>
      <c r="X32796" s="60"/>
    </row>
    <row r="32797" spans="7:24" ht="15" customHeight="1">
      <c r="G32797"/>
      <c r="I32797"/>
      <c r="N32797"/>
      <c r="O32797" s="24"/>
      <c r="P32797"/>
      <c r="Q32797" s="24"/>
      <c r="R32797"/>
      <c r="S32797"/>
      <c r="T32797"/>
      <c r="U32797"/>
      <c r="X32797" s="60"/>
    </row>
    <row r="32798" spans="7:24" ht="15" customHeight="1">
      <c r="G32798"/>
      <c r="I32798"/>
      <c r="N32798"/>
      <c r="O32798" s="24"/>
      <c r="P32798"/>
      <c r="Q32798" s="24"/>
      <c r="R32798"/>
      <c r="S32798"/>
      <c r="T32798"/>
      <c r="U32798"/>
      <c r="X32798" s="60"/>
    </row>
    <row r="32799" spans="7:24" ht="15" customHeight="1">
      <c r="G32799"/>
      <c r="I32799"/>
      <c r="N32799"/>
      <c r="O32799" s="24"/>
      <c r="P32799"/>
      <c r="Q32799" s="24"/>
      <c r="R32799"/>
      <c r="S32799"/>
      <c r="T32799"/>
      <c r="U32799"/>
      <c r="X32799" s="60"/>
    </row>
    <row r="32800" spans="7:24" ht="15" customHeight="1">
      <c r="G32800"/>
      <c r="I32800"/>
      <c r="N32800"/>
      <c r="O32800" s="24"/>
      <c r="P32800"/>
      <c r="Q32800" s="24"/>
      <c r="R32800"/>
      <c r="S32800"/>
      <c r="T32800"/>
      <c r="U32800"/>
      <c r="X32800" s="60"/>
    </row>
    <row r="32801" spans="7:24" ht="15" customHeight="1">
      <c r="G32801"/>
      <c r="I32801"/>
      <c r="N32801"/>
      <c r="O32801" s="24"/>
      <c r="P32801"/>
      <c r="Q32801" s="24"/>
      <c r="R32801"/>
      <c r="S32801"/>
      <c r="T32801"/>
      <c r="U32801"/>
      <c r="X32801" s="60"/>
    </row>
    <row r="32802" spans="7:24" ht="15" customHeight="1">
      <c r="G32802"/>
      <c r="I32802"/>
      <c r="N32802"/>
      <c r="O32802" s="24"/>
      <c r="P32802"/>
      <c r="Q32802" s="24"/>
      <c r="R32802"/>
      <c r="S32802"/>
      <c r="T32802"/>
      <c r="U32802"/>
      <c r="X32802" s="60"/>
    </row>
    <row r="32803" spans="7:24" ht="15" customHeight="1">
      <c r="G32803"/>
      <c r="I32803"/>
      <c r="N32803"/>
      <c r="O32803" s="24"/>
      <c r="P32803"/>
      <c r="Q32803" s="24"/>
      <c r="R32803"/>
      <c r="S32803"/>
      <c r="T32803"/>
      <c r="U32803"/>
      <c r="X32803" s="60"/>
    </row>
    <row r="32804" spans="7:24" ht="15" customHeight="1">
      <c r="G32804"/>
      <c r="I32804"/>
      <c r="N32804"/>
      <c r="O32804" s="24"/>
      <c r="P32804"/>
      <c r="Q32804" s="24"/>
      <c r="R32804"/>
      <c r="S32804"/>
      <c r="T32804"/>
      <c r="U32804"/>
      <c r="X32804" s="60"/>
    </row>
    <row r="32805" spans="7:24" ht="15" customHeight="1">
      <c r="G32805"/>
      <c r="I32805"/>
      <c r="N32805"/>
      <c r="O32805" s="24"/>
      <c r="P32805"/>
      <c r="Q32805" s="24"/>
      <c r="R32805"/>
      <c r="S32805"/>
      <c r="T32805"/>
      <c r="U32805"/>
      <c r="X32805" s="60"/>
    </row>
    <row r="32806" spans="7:24" ht="15" customHeight="1">
      <c r="G32806"/>
      <c r="I32806"/>
      <c r="N32806"/>
      <c r="O32806" s="24"/>
      <c r="P32806"/>
      <c r="Q32806" s="24"/>
      <c r="R32806"/>
      <c r="S32806"/>
      <c r="T32806"/>
      <c r="U32806"/>
      <c r="X32806" s="60"/>
    </row>
    <row r="32807" spans="7:24" ht="15" customHeight="1">
      <c r="G32807"/>
      <c r="I32807"/>
      <c r="N32807"/>
      <c r="O32807" s="24"/>
      <c r="P32807"/>
      <c r="Q32807" s="24"/>
      <c r="R32807"/>
      <c r="S32807"/>
      <c r="T32807"/>
      <c r="U32807"/>
      <c r="X32807" s="60"/>
    </row>
    <row r="32808" spans="7:24" ht="15" customHeight="1">
      <c r="G32808"/>
      <c r="I32808"/>
      <c r="N32808"/>
      <c r="O32808" s="24"/>
      <c r="P32808"/>
      <c r="Q32808" s="24"/>
      <c r="R32808"/>
      <c r="S32808"/>
      <c r="T32808"/>
      <c r="U32808"/>
      <c r="X32808" s="60"/>
    </row>
    <row r="32809" spans="7:24" ht="15" customHeight="1">
      <c r="G32809"/>
      <c r="I32809"/>
      <c r="N32809"/>
      <c r="O32809" s="24"/>
      <c r="P32809"/>
      <c r="Q32809" s="24"/>
      <c r="R32809"/>
      <c r="S32809"/>
      <c r="T32809"/>
      <c r="U32809"/>
      <c r="X32809" s="60"/>
    </row>
    <row r="32810" spans="7:24" ht="15" customHeight="1">
      <c r="G32810"/>
      <c r="I32810"/>
      <c r="N32810"/>
      <c r="O32810" s="24"/>
      <c r="P32810"/>
      <c r="Q32810" s="24"/>
      <c r="R32810"/>
      <c r="S32810"/>
      <c r="T32810"/>
      <c r="U32810"/>
      <c r="X32810" s="60"/>
    </row>
    <row r="32811" spans="7:24" ht="15" customHeight="1">
      <c r="G32811"/>
      <c r="I32811"/>
      <c r="N32811"/>
      <c r="O32811" s="24"/>
      <c r="P32811"/>
      <c r="Q32811" s="24"/>
      <c r="R32811"/>
      <c r="S32811"/>
      <c r="T32811"/>
      <c r="U32811"/>
      <c r="X32811" s="60"/>
    </row>
    <row r="32812" spans="7:24" ht="15" customHeight="1">
      <c r="G32812"/>
      <c r="I32812"/>
      <c r="N32812"/>
      <c r="O32812" s="24"/>
      <c r="P32812"/>
      <c r="Q32812" s="24"/>
      <c r="R32812"/>
      <c r="S32812"/>
      <c r="T32812"/>
      <c r="U32812"/>
      <c r="X32812" s="60"/>
    </row>
    <row r="32813" spans="7:24" ht="15" customHeight="1">
      <c r="G32813"/>
      <c r="I32813"/>
      <c r="N32813"/>
      <c r="O32813" s="24"/>
      <c r="P32813"/>
      <c r="Q32813" s="24"/>
      <c r="R32813"/>
      <c r="S32813"/>
      <c r="T32813"/>
      <c r="U32813"/>
      <c r="X32813" s="60"/>
    </row>
    <row r="32814" spans="7:24" ht="15" customHeight="1">
      <c r="G32814"/>
      <c r="I32814"/>
      <c r="N32814"/>
      <c r="O32814" s="24"/>
      <c r="P32814"/>
      <c r="Q32814" s="24"/>
      <c r="R32814"/>
      <c r="S32814"/>
      <c r="T32814"/>
      <c r="U32814"/>
      <c r="X32814" s="60"/>
    </row>
    <row r="32815" spans="7:24" ht="15" customHeight="1">
      <c r="G32815"/>
      <c r="I32815"/>
      <c r="N32815"/>
      <c r="O32815" s="24"/>
      <c r="P32815"/>
      <c r="Q32815" s="24"/>
      <c r="R32815"/>
      <c r="S32815"/>
      <c r="T32815"/>
      <c r="U32815"/>
      <c r="X32815" s="60"/>
    </row>
    <row r="32816" spans="7:24" ht="15" customHeight="1">
      <c r="G32816"/>
      <c r="I32816"/>
      <c r="N32816"/>
      <c r="O32816" s="24"/>
      <c r="P32816"/>
      <c r="Q32816" s="24"/>
      <c r="R32816"/>
      <c r="S32816"/>
      <c r="T32816"/>
      <c r="U32816"/>
      <c r="X32816" s="60"/>
    </row>
    <row r="32817" spans="7:24" ht="15" customHeight="1">
      <c r="G32817"/>
      <c r="I32817"/>
      <c r="N32817"/>
      <c r="O32817" s="24"/>
      <c r="P32817"/>
      <c r="Q32817" s="24"/>
      <c r="R32817"/>
      <c r="S32817"/>
      <c r="T32817"/>
      <c r="U32817"/>
      <c r="X32817" s="60"/>
    </row>
    <row r="32818" spans="7:24" ht="15" customHeight="1">
      <c r="G32818"/>
      <c r="I32818"/>
      <c r="N32818"/>
      <c r="O32818" s="24"/>
      <c r="P32818"/>
      <c r="Q32818" s="24"/>
      <c r="R32818"/>
      <c r="S32818"/>
      <c r="T32818"/>
      <c r="U32818"/>
      <c r="X32818" s="60"/>
    </row>
    <row r="32819" spans="7:24" ht="15" customHeight="1">
      <c r="G32819"/>
      <c r="I32819"/>
      <c r="N32819"/>
      <c r="O32819" s="24"/>
      <c r="P32819"/>
      <c r="Q32819" s="24"/>
      <c r="R32819"/>
      <c r="S32819"/>
      <c r="T32819"/>
      <c r="U32819"/>
      <c r="X32819" s="60"/>
    </row>
    <row r="32820" spans="7:24" ht="15" customHeight="1">
      <c r="G32820"/>
      <c r="I32820"/>
      <c r="N32820"/>
      <c r="O32820" s="24"/>
      <c r="P32820"/>
      <c r="Q32820" s="24"/>
      <c r="R32820"/>
      <c r="S32820"/>
      <c r="T32820"/>
      <c r="U32820"/>
      <c r="X32820" s="60"/>
    </row>
    <row r="32821" spans="7:24" ht="15" customHeight="1">
      <c r="G32821"/>
      <c r="I32821"/>
      <c r="N32821"/>
      <c r="O32821" s="24"/>
      <c r="P32821"/>
      <c r="Q32821" s="24"/>
      <c r="R32821"/>
      <c r="S32821"/>
      <c r="T32821"/>
      <c r="U32821"/>
      <c r="X32821" s="60"/>
    </row>
    <row r="32822" spans="7:24" ht="15" customHeight="1">
      <c r="G32822"/>
      <c r="I32822"/>
      <c r="N32822"/>
      <c r="O32822" s="24"/>
      <c r="P32822"/>
      <c r="Q32822" s="24"/>
      <c r="R32822"/>
      <c r="S32822"/>
      <c r="T32822"/>
      <c r="U32822"/>
      <c r="X32822" s="60"/>
    </row>
    <row r="32823" spans="7:24" ht="15" customHeight="1">
      <c r="G32823"/>
      <c r="I32823"/>
      <c r="N32823"/>
      <c r="O32823" s="24"/>
      <c r="P32823"/>
      <c r="Q32823" s="24"/>
      <c r="R32823"/>
      <c r="S32823"/>
      <c r="T32823"/>
      <c r="U32823"/>
      <c r="X32823" s="60"/>
    </row>
    <row r="32824" spans="7:24" ht="15" customHeight="1">
      <c r="G32824"/>
      <c r="I32824"/>
      <c r="N32824"/>
      <c r="O32824" s="24"/>
      <c r="P32824"/>
      <c r="Q32824" s="24"/>
      <c r="R32824"/>
      <c r="S32824"/>
      <c r="T32824"/>
      <c r="U32824"/>
      <c r="X32824" s="60"/>
    </row>
    <row r="32825" spans="7:24" ht="15" customHeight="1">
      <c r="G32825"/>
      <c r="I32825"/>
      <c r="N32825"/>
      <c r="O32825" s="24"/>
      <c r="P32825"/>
      <c r="Q32825" s="24"/>
      <c r="R32825"/>
      <c r="S32825"/>
      <c r="T32825"/>
      <c r="U32825"/>
      <c r="X32825" s="60"/>
    </row>
    <row r="32826" spans="7:24" ht="15" customHeight="1">
      <c r="G32826"/>
      <c r="I32826"/>
      <c r="N32826"/>
      <c r="O32826" s="24"/>
      <c r="P32826"/>
      <c r="Q32826" s="24"/>
      <c r="R32826"/>
      <c r="S32826"/>
      <c r="T32826"/>
      <c r="U32826"/>
      <c r="X32826" s="60"/>
    </row>
    <row r="32827" spans="7:24" ht="15" customHeight="1">
      <c r="G32827"/>
      <c r="I32827"/>
      <c r="N32827"/>
      <c r="O32827" s="24"/>
      <c r="P32827"/>
      <c r="Q32827" s="24"/>
      <c r="R32827"/>
      <c r="S32827"/>
      <c r="T32827"/>
      <c r="U32827"/>
      <c r="X32827" s="60"/>
    </row>
    <row r="32828" spans="7:24" ht="15" customHeight="1">
      <c r="G32828"/>
      <c r="I32828"/>
      <c r="N32828"/>
      <c r="O32828" s="24"/>
      <c r="P32828"/>
      <c r="Q32828" s="24"/>
      <c r="R32828"/>
      <c r="S32828"/>
      <c r="T32828"/>
      <c r="U32828"/>
      <c r="X32828" s="60"/>
    </row>
    <row r="32829" spans="7:24" ht="15" customHeight="1">
      <c r="G32829"/>
      <c r="I32829"/>
      <c r="N32829"/>
      <c r="O32829" s="24"/>
      <c r="P32829"/>
      <c r="Q32829" s="24"/>
      <c r="R32829"/>
      <c r="S32829"/>
      <c r="T32829"/>
      <c r="U32829"/>
      <c r="X32829" s="60"/>
    </row>
    <row r="32830" spans="7:24" ht="15" customHeight="1">
      <c r="G32830"/>
      <c r="I32830"/>
      <c r="N32830"/>
      <c r="O32830" s="24"/>
      <c r="P32830"/>
      <c r="Q32830" s="24"/>
      <c r="R32830"/>
      <c r="S32830"/>
      <c r="T32830"/>
      <c r="U32830"/>
      <c r="X32830" s="60"/>
    </row>
    <row r="32831" spans="7:24" ht="15" customHeight="1">
      <c r="G32831"/>
      <c r="I32831"/>
      <c r="N32831"/>
      <c r="O32831" s="24"/>
      <c r="P32831"/>
      <c r="Q32831" s="24"/>
      <c r="R32831"/>
      <c r="S32831"/>
      <c r="T32831"/>
      <c r="U32831"/>
      <c r="X32831" s="60"/>
    </row>
    <row r="32832" spans="7:24" ht="15" customHeight="1">
      <c r="G32832"/>
      <c r="I32832"/>
      <c r="N32832"/>
      <c r="O32832" s="24"/>
      <c r="P32832"/>
      <c r="Q32832" s="24"/>
      <c r="R32832"/>
      <c r="S32832"/>
      <c r="T32832"/>
      <c r="U32832"/>
      <c r="X32832" s="60"/>
    </row>
    <row r="32833" spans="7:24" ht="15" customHeight="1">
      <c r="G32833"/>
      <c r="I32833"/>
      <c r="N32833"/>
      <c r="O32833" s="24"/>
      <c r="P32833"/>
      <c r="Q32833" s="24"/>
      <c r="R32833"/>
      <c r="S32833"/>
      <c r="T32833"/>
      <c r="U32833"/>
      <c r="X32833" s="60"/>
    </row>
    <row r="32834" spans="7:24" ht="15" customHeight="1">
      <c r="G32834"/>
      <c r="I32834"/>
      <c r="N32834"/>
      <c r="O32834" s="24"/>
      <c r="P32834"/>
      <c r="Q32834" s="24"/>
      <c r="R32834"/>
      <c r="S32834"/>
      <c r="T32834"/>
      <c r="U32834"/>
      <c r="X32834" s="60"/>
    </row>
    <row r="32835" spans="7:24" ht="15" customHeight="1">
      <c r="G32835"/>
      <c r="I32835"/>
      <c r="N32835"/>
      <c r="O32835" s="24"/>
      <c r="P32835"/>
      <c r="Q32835" s="24"/>
      <c r="R32835"/>
      <c r="S32835"/>
      <c r="T32835"/>
      <c r="U32835"/>
      <c r="X32835" s="60"/>
    </row>
    <row r="32836" spans="7:24" ht="15" customHeight="1">
      <c r="G32836"/>
      <c r="I32836"/>
      <c r="N32836"/>
      <c r="O32836" s="24"/>
      <c r="P32836"/>
      <c r="Q32836" s="24"/>
      <c r="R32836"/>
      <c r="S32836"/>
      <c r="T32836"/>
      <c r="U32836"/>
      <c r="X32836" s="60"/>
    </row>
    <row r="32837" spans="7:24" ht="15" customHeight="1">
      <c r="G32837"/>
      <c r="I32837"/>
      <c r="N32837"/>
      <c r="O32837" s="24"/>
      <c r="P32837"/>
      <c r="Q32837" s="24"/>
      <c r="R32837"/>
      <c r="S32837"/>
      <c r="T32837"/>
      <c r="U32837"/>
      <c r="X32837" s="60"/>
    </row>
    <row r="32838" spans="7:24" ht="15" customHeight="1">
      <c r="G32838"/>
      <c r="I32838"/>
      <c r="N32838"/>
      <c r="O32838" s="24"/>
      <c r="P32838"/>
      <c r="Q32838" s="24"/>
      <c r="R32838"/>
      <c r="S32838"/>
      <c r="T32838"/>
      <c r="U32838"/>
      <c r="X32838" s="60"/>
    </row>
    <row r="32839" spans="7:24" ht="15" customHeight="1">
      <c r="G32839"/>
      <c r="I32839"/>
      <c r="N32839"/>
      <c r="O32839" s="24"/>
      <c r="P32839"/>
      <c r="Q32839" s="24"/>
      <c r="R32839"/>
      <c r="S32839"/>
      <c r="T32839"/>
      <c r="U32839"/>
      <c r="X32839" s="60"/>
    </row>
    <row r="32840" spans="7:24" ht="15" customHeight="1">
      <c r="G32840"/>
      <c r="I32840"/>
      <c r="N32840"/>
      <c r="O32840" s="24"/>
      <c r="P32840"/>
      <c r="Q32840" s="24"/>
      <c r="R32840"/>
      <c r="S32840"/>
      <c r="T32840"/>
      <c r="U32840"/>
      <c r="X32840" s="60"/>
    </row>
    <row r="32841" spans="7:24" ht="15" customHeight="1">
      <c r="G32841"/>
      <c r="I32841"/>
      <c r="N32841"/>
      <c r="O32841" s="24"/>
      <c r="P32841"/>
      <c r="Q32841" s="24"/>
      <c r="R32841"/>
      <c r="S32841"/>
      <c r="T32841"/>
      <c r="U32841"/>
      <c r="X32841" s="60"/>
    </row>
    <row r="32842" spans="7:24" ht="15" customHeight="1">
      <c r="G32842"/>
      <c r="I32842"/>
      <c r="N32842"/>
      <c r="O32842" s="24"/>
      <c r="P32842"/>
      <c r="Q32842" s="24"/>
      <c r="R32842"/>
      <c r="S32842"/>
      <c r="T32842"/>
      <c r="U32842"/>
      <c r="X32842" s="60"/>
    </row>
    <row r="32843" spans="7:24" ht="15" customHeight="1">
      <c r="G32843"/>
      <c r="I32843"/>
      <c r="N32843"/>
      <c r="O32843" s="24"/>
      <c r="P32843"/>
      <c r="Q32843" s="24"/>
      <c r="R32843"/>
      <c r="S32843"/>
      <c r="T32843"/>
      <c r="U32843"/>
      <c r="X32843" s="60"/>
    </row>
    <row r="32844" spans="7:24" ht="15" customHeight="1">
      <c r="G32844"/>
      <c r="I32844"/>
      <c r="N32844"/>
      <c r="O32844" s="24"/>
      <c r="P32844"/>
      <c r="Q32844" s="24"/>
      <c r="R32844"/>
      <c r="S32844"/>
      <c r="T32844"/>
      <c r="U32844"/>
      <c r="X32844" s="60"/>
    </row>
    <row r="32845" spans="7:24" ht="15" customHeight="1">
      <c r="G32845"/>
      <c r="I32845"/>
      <c r="N32845"/>
      <c r="O32845" s="24"/>
      <c r="P32845"/>
      <c r="Q32845" s="24"/>
      <c r="R32845"/>
      <c r="S32845"/>
      <c r="T32845"/>
      <c r="U32845"/>
      <c r="X32845" s="60"/>
    </row>
    <row r="32846" spans="7:24" ht="15" customHeight="1">
      <c r="G32846"/>
      <c r="I32846"/>
      <c r="N32846"/>
      <c r="O32846" s="24"/>
      <c r="P32846"/>
      <c r="Q32846" s="24"/>
      <c r="R32846"/>
      <c r="S32846"/>
      <c r="T32846"/>
      <c r="U32846"/>
      <c r="X32846" s="60"/>
    </row>
    <row r="32847" spans="7:24" ht="15" customHeight="1">
      <c r="G32847"/>
      <c r="I32847"/>
      <c r="N32847"/>
      <c r="O32847" s="24"/>
      <c r="P32847"/>
      <c r="Q32847" s="24"/>
      <c r="R32847"/>
      <c r="S32847"/>
      <c r="T32847"/>
      <c r="U32847"/>
      <c r="X32847" s="60"/>
    </row>
    <row r="32848" spans="7:24" ht="15" customHeight="1">
      <c r="G32848"/>
      <c r="I32848"/>
      <c r="N32848"/>
      <c r="O32848" s="24"/>
      <c r="P32848"/>
      <c r="Q32848" s="24"/>
      <c r="R32848"/>
      <c r="S32848"/>
      <c r="T32848"/>
      <c r="U32848"/>
      <c r="X32848" s="60"/>
    </row>
    <row r="32849" spans="7:24" ht="15" customHeight="1">
      <c r="G32849"/>
      <c r="I32849"/>
      <c r="N32849"/>
      <c r="O32849" s="24"/>
      <c r="P32849"/>
      <c r="Q32849" s="24"/>
      <c r="R32849"/>
      <c r="S32849"/>
      <c r="T32849"/>
      <c r="U32849"/>
      <c r="X32849" s="60"/>
    </row>
    <row r="32850" spans="7:24" ht="15" customHeight="1">
      <c r="G32850"/>
      <c r="I32850"/>
      <c r="N32850"/>
      <c r="O32850" s="24"/>
      <c r="P32850"/>
      <c r="Q32850" s="24"/>
      <c r="R32850"/>
      <c r="S32850"/>
      <c r="T32850"/>
      <c r="U32850"/>
      <c r="X32850" s="60"/>
    </row>
    <row r="32851" spans="7:24" ht="15" customHeight="1">
      <c r="G32851"/>
      <c r="I32851"/>
      <c r="N32851"/>
      <c r="O32851" s="24"/>
      <c r="P32851"/>
      <c r="Q32851" s="24"/>
      <c r="R32851"/>
      <c r="S32851"/>
      <c r="T32851"/>
      <c r="U32851"/>
      <c r="X32851" s="60"/>
    </row>
    <row r="32852" spans="7:24" ht="15" customHeight="1">
      <c r="G32852"/>
      <c r="I32852"/>
      <c r="N32852"/>
      <c r="O32852" s="24"/>
      <c r="P32852"/>
      <c r="Q32852" s="24"/>
      <c r="R32852"/>
      <c r="S32852"/>
      <c r="T32852"/>
      <c r="U32852"/>
      <c r="X32852" s="60"/>
    </row>
    <row r="32853" spans="7:24" ht="15" customHeight="1">
      <c r="G32853"/>
      <c r="I32853"/>
      <c r="N32853"/>
      <c r="O32853" s="24"/>
      <c r="P32853"/>
      <c r="Q32853" s="24"/>
      <c r="R32853"/>
      <c r="S32853"/>
      <c r="T32853"/>
      <c r="U32853"/>
      <c r="X32853" s="60"/>
    </row>
    <row r="32854" spans="7:24" ht="15" customHeight="1">
      <c r="G32854"/>
      <c r="I32854"/>
      <c r="N32854"/>
      <c r="O32854" s="24"/>
      <c r="P32854"/>
      <c r="Q32854" s="24"/>
      <c r="R32854"/>
      <c r="S32854"/>
      <c r="T32854"/>
      <c r="U32854"/>
      <c r="X32854" s="60"/>
    </row>
    <row r="32855" spans="7:24" ht="15" customHeight="1">
      <c r="G32855"/>
      <c r="I32855"/>
      <c r="N32855"/>
      <c r="O32855" s="24"/>
      <c r="P32855"/>
      <c r="Q32855" s="24"/>
      <c r="R32855"/>
      <c r="S32855"/>
      <c r="T32855"/>
      <c r="U32855"/>
      <c r="X32855" s="60"/>
    </row>
    <row r="32856" spans="7:24" ht="15" customHeight="1">
      <c r="G32856"/>
      <c r="I32856"/>
      <c r="N32856"/>
      <c r="O32856" s="24"/>
      <c r="P32856"/>
      <c r="Q32856" s="24"/>
      <c r="R32856"/>
      <c r="S32856"/>
      <c r="T32856"/>
      <c r="U32856"/>
      <c r="X32856" s="60"/>
    </row>
    <row r="32857" spans="7:24" ht="15" customHeight="1">
      <c r="G32857"/>
      <c r="I32857"/>
      <c r="N32857"/>
      <c r="O32857" s="24"/>
      <c r="P32857"/>
      <c r="Q32857" s="24"/>
      <c r="R32857"/>
      <c r="S32857"/>
      <c r="T32857"/>
      <c r="U32857"/>
      <c r="X32857" s="60"/>
    </row>
    <row r="32858" spans="7:24" ht="15" customHeight="1">
      <c r="G32858"/>
      <c r="I32858"/>
      <c r="N32858"/>
      <c r="O32858" s="24"/>
      <c r="P32858"/>
      <c r="Q32858" s="24"/>
      <c r="R32858"/>
      <c r="S32858"/>
      <c r="T32858"/>
      <c r="U32858"/>
      <c r="X32858" s="60"/>
    </row>
    <row r="32859" spans="7:24" ht="15" customHeight="1">
      <c r="G32859"/>
      <c r="I32859"/>
      <c r="N32859"/>
      <c r="O32859" s="24"/>
      <c r="P32859"/>
      <c r="Q32859" s="24"/>
      <c r="R32859"/>
      <c r="S32859"/>
      <c r="T32859"/>
      <c r="U32859"/>
      <c r="X32859" s="60"/>
    </row>
    <row r="32860" spans="7:24" ht="15" customHeight="1">
      <c r="G32860"/>
      <c r="I32860"/>
      <c r="N32860"/>
      <c r="O32860" s="24"/>
      <c r="P32860"/>
      <c r="Q32860" s="24"/>
      <c r="R32860"/>
      <c r="S32860"/>
      <c r="T32860"/>
      <c r="U32860"/>
      <c r="X32860" s="60"/>
    </row>
    <row r="32861" spans="7:24" ht="15" customHeight="1">
      <c r="G32861"/>
      <c r="I32861"/>
      <c r="N32861"/>
      <c r="O32861" s="24"/>
      <c r="P32861"/>
      <c r="Q32861" s="24"/>
      <c r="R32861"/>
      <c r="S32861"/>
      <c r="T32861"/>
      <c r="U32861"/>
      <c r="X32861" s="60"/>
    </row>
    <row r="32862" spans="7:24" ht="15" customHeight="1">
      <c r="G32862"/>
      <c r="I32862"/>
      <c r="N32862"/>
      <c r="O32862" s="24"/>
      <c r="P32862"/>
      <c r="Q32862" s="24"/>
      <c r="R32862"/>
      <c r="S32862"/>
      <c r="T32862"/>
      <c r="U32862"/>
      <c r="X32862" s="60"/>
    </row>
    <row r="32863" spans="7:24" ht="15" customHeight="1">
      <c r="G32863"/>
      <c r="I32863"/>
      <c r="N32863"/>
      <c r="O32863" s="24"/>
      <c r="P32863"/>
      <c r="Q32863" s="24"/>
      <c r="R32863"/>
      <c r="S32863"/>
      <c r="T32863"/>
      <c r="U32863"/>
      <c r="X32863" s="60"/>
    </row>
    <row r="32864" spans="7:24" ht="15" customHeight="1">
      <c r="G32864"/>
      <c r="I32864"/>
      <c r="N32864"/>
      <c r="O32864" s="24"/>
      <c r="P32864"/>
      <c r="Q32864" s="24"/>
      <c r="R32864"/>
      <c r="S32864"/>
      <c r="T32864"/>
      <c r="U32864"/>
      <c r="X32864" s="60"/>
    </row>
    <row r="32865" spans="7:24" ht="15" customHeight="1">
      <c r="G32865"/>
      <c r="I32865"/>
      <c r="N32865"/>
      <c r="O32865" s="24"/>
      <c r="P32865"/>
      <c r="Q32865" s="24"/>
      <c r="R32865"/>
      <c r="S32865"/>
      <c r="T32865"/>
      <c r="U32865"/>
      <c r="X32865" s="60"/>
    </row>
    <row r="32866" spans="7:24" ht="15" customHeight="1">
      <c r="G32866"/>
      <c r="I32866"/>
      <c r="N32866"/>
      <c r="O32866" s="24"/>
      <c r="P32866"/>
      <c r="Q32866" s="24"/>
      <c r="R32866"/>
      <c r="S32866"/>
      <c r="T32866"/>
      <c r="U32866"/>
      <c r="X32866" s="60"/>
    </row>
    <row r="32867" spans="7:24" ht="15" customHeight="1">
      <c r="G32867"/>
      <c r="I32867"/>
      <c r="N32867"/>
      <c r="O32867" s="24"/>
      <c r="P32867"/>
      <c r="Q32867" s="24"/>
      <c r="R32867"/>
      <c r="S32867"/>
      <c r="T32867"/>
      <c r="U32867"/>
      <c r="X32867" s="60"/>
    </row>
    <row r="32868" spans="7:24" ht="15" customHeight="1">
      <c r="G32868"/>
      <c r="I32868"/>
      <c r="N32868"/>
      <c r="O32868" s="24"/>
      <c r="P32868"/>
      <c r="Q32868" s="24"/>
      <c r="R32868"/>
      <c r="S32868"/>
      <c r="T32868"/>
      <c r="U32868"/>
      <c r="X32868" s="60"/>
    </row>
    <row r="32869" spans="7:24" ht="15" customHeight="1">
      <c r="G32869"/>
      <c r="I32869"/>
      <c r="N32869"/>
      <c r="O32869" s="24"/>
      <c r="P32869"/>
      <c r="Q32869" s="24"/>
      <c r="R32869"/>
      <c r="S32869"/>
      <c r="T32869"/>
      <c r="U32869"/>
      <c r="X32869" s="60"/>
    </row>
    <row r="32870" spans="7:24" ht="15" customHeight="1">
      <c r="G32870"/>
      <c r="I32870"/>
      <c r="N32870"/>
      <c r="O32870" s="24"/>
      <c r="P32870"/>
      <c r="Q32870" s="24"/>
      <c r="R32870"/>
      <c r="S32870"/>
      <c r="T32870"/>
      <c r="U32870"/>
      <c r="X32870" s="60"/>
    </row>
    <row r="32871" spans="7:24" ht="15" customHeight="1">
      <c r="G32871"/>
      <c r="I32871"/>
      <c r="N32871"/>
      <c r="O32871" s="24"/>
      <c r="P32871"/>
      <c r="Q32871" s="24"/>
      <c r="R32871"/>
      <c r="S32871"/>
      <c r="T32871"/>
      <c r="U32871"/>
      <c r="X32871" s="60"/>
    </row>
    <row r="32872" spans="7:24" ht="15" customHeight="1">
      <c r="G32872"/>
      <c r="I32872"/>
      <c r="N32872"/>
      <c r="O32872" s="24"/>
      <c r="P32872"/>
      <c r="Q32872" s="24"/>
      <c r="R32872"/>
      <c r="S32872"/>
      <c r="T32872"/>
      <c r="U32872"/>
      <c r="X32872" s="60"/>
    </row>
    <row r="32873" spans="7:24" ht="15" customHeight="1">
      <c r="G32873"/>
      <c r="I32873"/>
      <c r="N32873"/>
      <c r="O32873" s="24"/>
      <c r="P32873"/>
      <c r="Q32873" s="24"/>
      <c r="R32873"/>
      <c r="S32873"/>
      <c r="T32873"/>
      <c r="U32873"/>
      <c r="X32873" s="60"/>
    </row>
    <row r="32874" spans="7:24" ht="15" customHeight="1">
      <c r="G32874"/>
      <c r="I32874"/>
      <c r="N32874"/>
      <c r="O32874" s="24"/>
      <c r="P32874"/>
      <c r="Q32874" s="24"/>
      <c r="R32874"/>
      <c r="S32874"/>
      <c r="T32874"/>
      <c r="U32874"/>
      <c r="X32874" s="60"/>
    </row>
    <row r="32875" spans="7:24" ht="15" customHeight="1">
      <c r="G32875"/>
      <c r="I32875"/>
      <c r="N32875"/>
      <c r="O32875" s="24"/>
      <c r="P32875"/>
      <c r="Q32875" s="24"/>
      <c r="R32875"/>
      <c r="S32875"/>
      <c r="T32875"/>
      <c r="U32875"/>
      <c r="X32875" s="60"/>
    </row>
    <row r="32876" spans="7:24" ht="15" customHeight="1">
      <c r="G32876"/>
      <c r="I32876"/>
      <c r="N32876"/>
      <c r="O32876" s="24"/>
      <c r="P32876"/>
      <c r="Q32876" s="24"/>
      <c r="R32876"/>
      <c r="S32876"/>
      <c r="T32876"/>
      <c r="U32876"/>
      <c r="X32876" s="60"/>
    </row>
    <row r="32877" spans="7:24" ht="15" customHeight="1">
      <c r="G32877"/>
      <c r="I32877"/>
      <c r="N32877"/>
      <c r="O32877" s="24"/>
      <c r="P32877"/>
      <c r="Q32877" s="24"/>
      <c r="R32877"/>
      <c r="S32877"/>
      <c r="T32877"/>
      <c r="U32877"/>
      <c r="X32877" s="60"/>
    </row>
    <row r="32878" spans="7:24" ht="15" customHeight="1">
      <c r="G32878"/>
      <c r="I32878"/>
      <c r="N32878"/>
      <c r="O32878" s="24"/>
      <c r="P32878"/>
      <c r="Q32878" s="24"/>
      <c r="R32878"/>
      <c r="S32878"/>
      <c r="T32878"/>
      <c r="U32878"/>
      <c r="X32878" s="60"/>
    </row>
    <row r="32879" spans="7:24" ht="15" customHeight="1">
      <c r="G32879"/>
      <c r="I32879"/>
      <c r="N32879"/>
      <c r="O32879" s="24"/>
      <c r="P32879"/>
      <c r="Q32879" s="24"/>
      <c r="R32879"/>
      <c r="S32879"/>
      <c r="T32879"/>
      <c r="U32879"/>
      <c r="X32879" s="60"/>
    </row>
    <row r="32880" spans="7:24" ht="15" customHeight="1">
      <c r="G32880"/>
      <c r="I32880"/>
      <c r="N32880"/>
      <c r="O32880" s="24"/>
      <c r="P32880"/>
      <c r="Q32880" s="24"/>
      <c r="R32880"/>
      <c r="S32880"/>
      <c r="T32880"/>
      <c r="U32880"/>
      <c r="X32880" s="60"/>
    </row>
    <row r="32881" spans="7:24" ht="15" customHeight="1">
      <c r="G32881"/>
      <c r="I32881"/>
      <c r="N32881"/>
      <c r="O32881" s="24"/>
      <c r="P32881"/>
      <c r="Q32881" s="24"/>
      <c r="R32881"/>
      <c r="S32881"/>
      <c r="T32881"/>
      <c r="U32881"/>
      <c r="X32881" s="60"/>
    </row>
    <row r="32882" spans="7:24" ht="15" customHeight="1">
      <c r="G32882"/>
      <c r="I32882"/>
      <c r="N32882"/>
      <c r="O32882" s="24"/>
      <c r="P32882"/>
      <c r="Q32882" s="24"/>
      <c r="R32882"/>
      <c r="S32882"/>
      <c r="T32882"/>
      <c r="U32882"/>
      <c r="X32882" s="60"/>
    </row>
    <row r="32883" spans="7:24" ht="15" customHeight="1">
      <c r="G32883"/>
      <c r="I32883"/>
      <c r="N32883"/>
      <c r="O32883" s="24"/>
      <c r="P32883"/>
      <c r="Q32883" s="24"/>
      <c r="R32883"/>
      <c r="S32883"/>
      <c r="T32883"/>
      <c r="U32883"/>
      <c r="X32883" s="60"/>
    </row>
    <row r="32884" spans="7:24" ht="15" customHeight="1">
      <c r="G32884"/>
      <c r="I32884"/>
      <c r="N32884"/>
      <c r="O32884" s="24"/>
      <c r="P32884"/>
      <c r="Q32884" s="24"/>
      <c r="R32884"/>
      <c r="S32884"/>
      <c r="T32884"/>
      <c r="U32884"/>
      <c r="X32884" s="60"/>
    </row>
    <row r="32885" spans="7:24" ht="15" customHeight="1">
      <c r="G32885"/>
      <c r="I32885"/>
      <c r="N32885"/>
      <c r="O32885" s="24"/>
      <c r="P32885"/>
      <c r="Q32885" s="24"/>
      <c r="R32885"/>
      <c r="S32885"/>
      <c r="T32885"/>
      <c r="U32885"/>
      <c r="X32885" s="60"/>
    </row>
    <row r="32886" spans="7:24" ht="15" customHeight="1">
      <c r="G32886"/>
      <c r="I32886"/>
      <c r="N32886"/>
      <c r="O32886" s="24"/>
      <c r="P32886"/>
      <c r="Q32886" s="24"/>
      <c r="R32886"/>
      <c r="S32886"/>
      <c r="T32886"/>
      <c r="U32886"/>
      <c r="X32886" s="60"/>
    </row>
    <row r="32887" spans="7:24" ht="15" customHeight="1">
      <c r="G32887"/>
      <c r="I32887"/>
      <c r="N32887"/>
      <c r="O32887" s="24"/>
      <c r="P32887"/>
      <c r="Q32887" s="24"/>
      <c r="R32887"/>
      <c r="S32887"/>
      <c r="T32887"/>
      <c r="U32887"/>
      <c r="X32887" s="60"/>
    </row>
    <row r="32888" spans="7:24" ht="15" customHeight="1">
      <c r="G32888"/>
      <c r="I32888"/>
      <c r="N32888"/>
      <c r="O32888" s="24"/>
      <c r="P32888"/>
      <c r="Q32888" s="24"/>
      <c r="R32888"/>
      <c r="S32888"/>
      <c r="T32888"/>
      <c r="U32888"/>
      <c r="X32888" s="60"/>
    </row>
    <row r="32889" spans="7:24" ht="15" customHeight="1">
      <c r="G32889"/>
      <c r="I32889"/>
      <c r="N32889"/>
      <c r="O32889" s="24"/>
      <c r="P32889"/>
      <c r="Q32889" s="24"/>
      <c r="R32889"/>
      <c r="S32889"/>
      <c r="T32889"/>
      <c r="U32889"/>
      <c r="X32889" s="60"/>
    </row>
    <row r="32890" spans="7:24" ht="15" customHeight="1">
      <c r="G32890"/>
      <c r="I32890"/>
      <c r="N32890"/>
      <c r="O32890" s="24"/>
      <c r="P32890"/>
      <c r="Q32890" s="24"/>
      <c r="R32890"/>
      <c r="S32890"/>
      <c r="T32890"/>
      <c r="U32890"/>
      <c r="X32890" s="60"/>
    </row>
    <row r="32891" spans="7:24" ht="15" customHeight="1">
      <c r="G32891"/>
      <c r="I32891"/>
      <c r="N32891"/>
      <c r="O32891" s="24"/>
      <c r="P32891"/>
      <c r="Q32891" s="24"/>
      <c r="R32891"/>
      <c r="S32891"/>
      <c r="T32891"/>
      <c r="U32891"/>
      <c r="X32891" s="60"/>
    </row>
    <row r="32892" spans="7:24" ht="15" customHeight="1">
      <c r="G32892"/>
      <c r="I32892"/>
      <c r="N32892"/>
      <c r="O32892" s="24"/>
      <c r="P32892"/>
      <c r="Q32892" s="24"/>
      <c r="R32892"/>
      <c r="S32892"/>
      <c r="T32892"/>
      <c r="U32892"/>
      <c r="X32892" s="60"/>
    </row>
    <row r="32893" spans="7:24" ht="15" customHeight="1">
      <c r="G32893"/>
      <c r="I32893"/>
      <c r="N32893"/>
      <c r="O32893" s="24"/>
      <c r="P32893"/>
      <c r="Q32893" s="24"/>
      <c r="R32893"/>
      <c r="S32893"/>
      <c r="T32893"/>
      <c r="U32893"/>
      <c r="X32893" s="60"/>
    </row>
    <row r="32894" spans="7:24" ht="15" customHeight="1">
      <c r="G32894"/>
      <c r="I32894"/>
      <c r="N32894"/>
      <c r="O32894" s="24"/>
      <c r="P32894"/>
      <c r="Q32894" s="24"/>
      <c r="R32894"/>
      <c r="S32894"/>
      <c r="T32894"/>
      <c r="U32894"/>
      <c r="X32894" s="60"/>
    </row>
    <row r="32895" spans="7:24" ht="15" customHeight="1">
      <c r="G32895"/>
      <c r="I32895"/>
      <c r="N32895"/>
      <c r="O32895" s="24"/>
      <c r="P32895"/>
      <c r="Q32895" s="24"/>
      <c r="R32895"/>
      <c r="S32895"/>
      <c r="T32895"/>
      <c r="U32895"/>
      <c r="X32895" s="60"/>
    </row>
    <row r="32896" spans="7:24" ht="15" customHeight="1">
      <c r="G32896"/>
      <c r="I32896"/>
      <c r="N32896"/>
      <c r="O32896" s="24"/>
      <c r="P32896"/>
      <c r="Q32896" s="24"/>
      <c r="R32896"/>
      <c r="S32896"/>
      <c r="T32896"/>
      <c r="U32896"/>
      <c r="X32896" s="60"/>
    </row>
    <row r="32897" spans="7:24" ht="15" customHeight="1">
      <c r="G32897"/>
      <c r="I32897"/>
      <c r="N32897"/>
      <c r="O32897" s="24"/>
      <c r="P32897"/>
      <c r="Q32897" s="24"/>
      <c r="R32897"/>
      <c r="S32897"/>
      <c r="T32897"/>
      <c r="U32897"/>
      <c r="X32897" s="60"/>
    </row>
    <row r="32898" spans="7:24" ht="15" customHeight="1">
      <c r="G32898"/>
      <c r="I32898"/>
      <c r="N32898"/>
      <c r="O32898" s="24"/>
      <c r="P32898"/>
      <c r="Q32898" s="24"/>
      <c r="R32898"/>
      <c r="S32898"/>
      <c r="T32898"/>
      <c r="U32898"/>
      <c r="X32898" s="60"/>
    </row>
    <row r="32899" spans="7:24" ht="15" customHeight="1">
      <c r="G32899"/>
      <c r="I32899"/>
      <c r="N32899"/>
      <c r="O32899" s="24"/>
      <c r="P32899"/>
      <c r="Q32899" s="24"/>
      <c r="R32899"/>
      <c r="S32899"/>
      <c r="T32899"/>
      <c r="U32899"/>
      <c r="X32899" s="60"/>
    </row>
    <row r="32900" spans="7:24" ht="15" customHeight="1">
      <c r="G32900"/>
      <c r="I32900"/>
      <c r="N32900"/>
      <c r="O32900" s="24"/>
      <c r="P32900"/>
      <c r="Q32900" s="24"/>
      <c r="R32900"/>
      <c r="S32900"/>
      <c r="T32900"/>
      <c r="U32900"/>
      <c r="X32900" s="60"/>
    </row>
    <row r="32901" spans="7:24" ht="15" customHeight="1">
      <c r="G32901"/>
      <c r="I32901"/>
      <c r="N32901"/>
      <c r="O32901" s="24"/>
      <c r="P32901"/>
      <c r="Q32901" s="24"/>
      <c r="R32901"/>
      <c r="S32901"/>
      <c r="T32901"/>
      <c r="U32901"/>
      <c r="X32901" s="60"/>
    </row>
    <row r="32902" spans="7:24" ht="15" customHeight="1">
      <c r="G32902"/>
      <c r="I32902"/>
      <c r="N32902"/>
      <c r="O32902" s="24"/>
      <c r="P32902"/>
      <c r="Q32902" s="24"/>
      <c r="R32902"/>
      <c r="S32902"/>
      <c r="T32902"/>
      <c r="U32902"/>
      <c r="X32902" s="60"/>
    </row>
    <row r="32903" spans="7:24" ht="15" customHeight="1">
      <c r="G32903"/>
      <c r="I32903"/>
      <c r="N32903"/>
      <c r="O32903" s="24"/>
      <c r="P32903"/>
      <c r="Q32903" s="24"/>
      <c r="R32903"/>
      <c r="S32903"/>
      <c r="T32903"/>
      <c r="U32903"/>
      <c r="X32903" s="60"/>
    </row>
    <row r="32904" spans="7:24" ht="15" customHeight="1">
      <c r="G32904"/>
      <c r="I32904"/>
      <c r="N32904"/>
      <c r="O32904" s="24"/>
      <c r="P32904"/>
      <c r="Q32904" s="24"/>
      <c r="R32904"/>
      <c r="S32904"/>
      <c r="T32904"/>
      <c r="U32904"/>
      <c r="X32904" s="60"/>
    </row>
    <row r="32905" spans="7:24" ht="15" customHeight="1">
      <c r="G32905"/>
      <c r="I32905"/>
      <c r="N32905"/>
      <c r="O32905" s="24"/>
      <c r="P32905"/>
      <c r="Q32905" s="24"/>
      <c r="R32905"/>
      <c r="S32905"/>
      <c r="T32905"/>
      <c r="U32905"/>
      <c r="X32905" s="60"/>
    </row>
    <row r="32906" spans="7:24" ht="15" customHeight="1">
      <c r="G32906"/>
      <c r="I32906"/>
      <c r="N32906"/>
      <c r="O32906" s="24"/>
      <c r="P32906"/>
      <c r="Q32906" s="24"/>
      <c r="R32906"/>
      <c r="S32906"/>
      <c r="T32906"/>
      <c r="U32906"/>
      <c r="X32906" s="60"/>
    </row>
    <row r="32907" spans="7:24" ht="15" customHeight="1">
      <c r="G32907"/>
      <c r="I32907"/>
      <c r="N32907"/>
      <c r="O32907" s="24"/>
      <c r="P32907"/>
      <c r="Q32907" s="24"/>
      <c r="R32907"/>
      <c r="S32907"/>
      <c r="T32907"/>
      <c r="U32907"/>
      <c r="X32907" s="60"/>
    </row>
    <row r="32908" spans="7:24" ht="15" customHeight="1">
      <c r="G32908"/>
      <c r="I32908"/>
      <c r="N32908"/>
      <c r="O32908" s="24"/>
      <c r="P32908"/>
      <c r="Q32908" s="24"/>
      <c r="R32908"/>
      <c r="S32908"/>
      <c r="T32908"/>
      <c r="U32908"/>
      <c r="X32908" s="60"/>
    </row>
    <row r="32909" spans="7:24" ht="15" customHeight="1">
      <c r="G32909"/>
      <c r="I32909"/>
      <c r="N32909"/>
      <c r="O32909" s="24"/>
      <c r="P32909"/>
      <c r="Q32909" s="24"/>
      <c r="R32909"/>
      <c r="S32909"/>
      <c r="T32909"/>
      <c r="U32909"/>
      <c r="X32909" s="60"/>
    </row>
    <row r="32910" spans="7:24" ht="15" customHeight="1">
      <c r="G32910"/>
      <c r="I32910"/>
      <c r="N32910"/>
      <c r="O32910" s="24"/>
      <c r="P32910"/>
      <c r="Q32910" s="24"/>
      <c r="R32910"/>
      <c r="S32910"/>
      <c r="T32910"/>
      <c r="U32910"/>
      <c r="X32910" s="60"/>
    </row>
    <row r="32911" spans="7:24" ht="15" customHeight="1">
      <c r="G32911"/>
      <c r="I32911"/>
      <c r="N32911"/>
      <c r="O32911" s="24"/>
      <c r="P32911"/>
      <c r="Q32911" s="24"/>
      <c r="R32911"/>
      <c r="S32911"/>
      <c r="T32911"/>
      <c r="U32911"/>
      <c r="X32911" s="60"/>
    </row>
    <row r="32912" spans="7:24" ht="15" customHeight="1">
      <c r="G32912"/>
      <c r="I32912"/>
      <c r="N32912"/>
      <c r="O32912" s="24"/>
      <c r="P32912"/>
      <c r="Q32912" s="24"/>
      <c r="R32912"/>
      <c r="S32912"/>
      <c r="T32912"/>
      <c r="U32912"/>
      <c r="X32912" s="60"/>
    </row>
    <row r="32913" spans="7:24" ht="15" customHeight="1">
      <c r="G32913"/>
      <c r="I32913"/>
      <c r="N32913"/>
      <c r="O32913" s="24"/>
      <c r="P32913"/>
      <c r="Q32913" s="24"/>
      <c r="R32913"/>
      <c r="S32913"/>
      <c r="T32913"/>
      <c r="U32913"/>
      <c r="X32913" s="60"/>
    </row>
    <row r="32914" spans="7:24" ht="15" customHeight="1">
      <c r="G32914"/>
      <c r="I32914"/>
      <c r="N32914"/>
      <c r="O32914" s="24"/>
      <c r="P32914"/>
      <c r="Q32914" s="24"/>
      <c r="R32914"/>
      <c r="S32914"/>
      <c r="T32914"/>
      <c r="U32914"/>
      <c r="X32914" s="60"/>
    </row>
    <row r="32915" spans="7:24" ht="15" customHeight="1">
      <c r="G32915"/>
      <c r="I32915"/>
      <c r="N32915"/>
      <c r="O32915" s="24"/>
      <c r="P32915"/>
      <c r="Q32915" s="24"/>
      <c r="R32915"/>
      <c r="S32915"/>
      <c r="T32915"/>
      <c r="U32915"/>
      <c r="X32915" s="60"/>
    </row>
    <row r="32916" spans="7:24" ht="15" customHeight="1">
      <c r="G32916"/>
      <c r="I32916"/>
      <c r="N32916"/>
      <c r="O32916" s="24"/>
      <c r="P32916"/>
      <c r="Q32916" s="24"/>
      <c r="R32916"/>
      <c r="S32916"/>
      <c r="T32916"/>
      <c r="U32916"/>
      <c r="X32916" s="60"/>
    </row>
    <row r="32917" spans="7:24" ht="15" customHeight="1">
      <c r="G32917"/>
      <c r="I32917"/>
      <c r="N32917"/>
      <c r="O32917" s="24"/>
      <c r="P32917"/>
      <c r="Q32917" s="24"/>
      <c r="R32917"/>
      <c r="S32917"/>
      <c r="T32917"/>
      <c r="U32917"/>
      <c r="X32917" s="60"/>
    </row>
    <row r="32918" spans="7:24" ht="15" customHeight="1">
      <c r="G32918"/>
      <c r="I32918"/>
      <c r="N32918"/>
      <c r="O32918" s="24"/>
      <c r="P32918"/>
      <c r="Q32918" s="24"/>
      <c r="R32918"/>
      <c r="S32918"/>
      <c r="T32918"/>
      <c r="U32918"/>
      <c r="X32918" s="60"/>
    </row>
    <row r="32919" spans="7:24" ht="15" customHeight="1">
      <c r="G32919"/>
      <c r="I32919"/>
      <c r="N32919"/>
      <c r="O32919" s="24"/>
      <c r="P32919"/>
      <c r="Q32919" s="24"/>
      <c r="R32919"/>
      <c r="S32919"/>
      <c r="T32919"/>
      <c r="U32919"/>
      <c r="X32919" s="60"/>
    </row>
    <row r="32920" spans="7:24" ht="15" customHeight="1">
      <c r="G32920"/>
      <c r="I32920"/>
      <c r="N32920"/>
      <c r="O32920" s="24"/>
      <c r="P32920"/>
      <c r="Q32920" s="24"/>
      <c r="R32920"/>
      <c r="S32920"/>
      <c r="T32920"/>
      <c r="U32920"/>
      <c r="X32920" s="60"/>
    </row>
    <row r="32921" spans="7:24" ht="15" customHeight="1">
      <c r="G32921"/>
      <c r="I32921"/>
      <c r="N32921"/>
      <c r="O32921" s="24"/>
      <c r="P32921"/>
      <c r="Q32921" s="24"/>
      <c r="R32921"/>
      <c r="S32921"/>
      <c r="T32921"/>
      <c r="U32921"/>
      <c r="X32921" s="60"/>
    </row>
    <row r="32922" spans="7:24" ht="15" customHeight="1">
      <c r="G32922"/>
      <c r="I32922"/>
      <c r="N32922"/>
      <c r="O32922" s="24"/>
      <c r="P32922"/>
      <c r="Q32922" s="24"/>
      <c r="R32922"/>
      <c r="S32922"/>
      <c r="T32922"/>
      <c r="U32922"/>
      <c r="X32922" s="60"/>
    </row>
    <row r="32923" spans="7:24" ht="15" customHeight="1">
      <c r="G32923"/>
      <c r="I32923"/>
      <c r="N32923"/>
      <c r="O32923" s="24"/>
      <c r="P32923"/>
      <c r="Q32923" s="24"/>
      <c r="R32923"/>
      <c r="S32923"/>
      <c r="T32923"/>
      <c r="U32923"/>
      <c r="X32923" s="60"/>
    </row>
    <row r="32924" spans="7:24" ht="15" customHeight="1">
      <c r="G32924"/>
      <c r="I32924"/>
      <c r="N32924"/>
      <c r="O32924" s="24"/>
      <c r="P32924"/>
      <c r="Q32924" s="24"/>
      <c r="R32924"/>
      <c r="S32924"/>
      <c r="T32924"/>
      <c r="U32924"/>
      <c r="X32924" s="60"/>
    </row>
    <row r="32925" spans="7:24" ht="15" customHeight="1">
      <c r="G32925"/>
      <c r="I32925"/>
      <c r="N32925"/>
      <c r="O32925" s="24"/>
      <c r="P32925"/>
      <c r="Q32925" s="24"/>
      <c r="R32925"/>
      <c r="S32925"/>
      <c r="T32925"/>
      <c r="U32925"/>
      <c r="X32925" s="60"/>
    </row>
    <row r="32926" spans="7:24" ht="15" customHeight="1">
      <c r="G32926"/>
      <c r="I32926"/>
      <c r="N32926"/>
      <c r="O32926" s="24"/>
      <c r="P32926"/>
      <c r="Q32926" s="24"/>
      <c r="R32926"/>
      <c r="S32926"/>
      <c r="T32926"/>
      <c r="U32926"/>
      <c r="X32926" s="60"/>
    </row>
    <row r="32927" spans="7:24" ht="15" customHeight="1">
      <c r="G32927"/>
      <c r="I32927"/>
      <c r="N32927"/>
      <c r="O32927" s="24"/>
      <c r="P32927"/>
      <c r="Q32927" s="24"/>
      <c r="R32927"/>
      <c r="S32927"/>
      <c r="T32927"/>
      <c r="U32927"/>
      <c r="X32927" s="60"/>
    </row>
    <row r="32928" spans="7:24" ht="15" customHeight="1">
      <c r="G32928"/>
      <c r="I32928"/>
      <c r="N32928"/>
      <c r="O32928" s="24"/>
      <c r="P32928"/>
      <c r="Q32928" s="24"/>
      <c r="R32928"/>
      <c r="S32928"/>
      <c r="T32928"/>
      <c r="U32928"/>
      <c r="X32928" s="60"/>
    </row>
    <row r="32929" spans="7:24" ht="15" customHeight="1">
      <c r="G32929"/>
      <c r="I32929"/>
      <c r="N32929"/>
      <c r="O32929" s="24"/>
      <c r="P32929"/>
      <c r="Q32929" s="24"/>
      <c r="R32929"/>
      <c r="S32929"/>
      <c r="T32929"/>
      <c r="U32929"/>
      <c r="X32929" s="60"/>
    </row>
    <row r="32930" spans="7:24" ht="15" customHeight="1">
      <c r="G32930"/>
      <c r="I32930"/>
      <c r="N32930"/>
      <c r="O32930" s="24"/>
      <c r="P32930"/>
      <c r="Q32930" s="24"/>
      <c r="R32930"/>
      <c r="S32930"/>
      <c r="T32930"/>
      <c r="U32930"/>
      <c r="X32930" s="60"/>
    </row>
    <row r="32931" spans="7:24" ht="15" customHeight="1">
      <c r="G32931"/>
      <c r="I32931"/>
      <c r="N32931"/>
      <c r="O32931" s="24"/>
      <c r="P32931"/>
      <c r="Q32931" s="24"/>
      <c r="R32931"/>
      <c r="S32931"/>
      <c r="T32931"/>
      <c r="U32931"/>
      <c r="X32931" s="60"/>
    </row>
    <row r="32932" spans="7:24" ht="15" customHeight="1">
      <c r="G32932"/>
      <c r="I32932"/>
      <c r="N32932"/>
      <c r="O32932" s="24"/>
      <c r="P32932"/>
      <c r="Q32932" s="24"/>
      <c r="R32932"/>
      <c r="S32932"/>
      <c r="T32932"/>
      <c r="U32932"/>
      <c r="X32932" s="60"/>
    </row>
    <row r="32933" spans="7:24" ht="15" customHeight="1">
      <c r="G32933"/>
      <c r="I32933"/>
      <c r="N32933"/>
      <c r="O32933" s="24"/>
      <c r="P32933"/>
      <c r="Q32933" s="24"/>
      <c r="R32933"/>
      <c r="S32933"/>
      <c r="T32933"/>
      <c r="U32933"/>
      <c r="X32933" s="60"/>
    </row>
    <row r="32934" spans="7:24" ht="15" customHeight="1">
      <c r="G32934"/>
      <c r="I32934"/>
      <c r="N32934"/>
      <c r="O32934" s="24"/>
      <c r="P32934"/>
      <c r="Q32934" s="24"/>
      <c r="R32934"/>
      <c r="S32934"/>
      <c r="T32934"/>
      <c r="U32934"/>
      <c r="X32934" s="60"/>
    </row>
    <row r="32935" spans="7:24" ht="15" customHeight="1">
      <c r="G32935"/>
      <c r="I32935"/>
      <c r="N32935"/>
      <c r="O32935" s="24"/>
      <c r="P32935"/>
      <c r="Q32935" s="24"/>
      <c r="R32935"/>
      <c r="S32935"/>
      <c r="T32935"/>
      <c r="U32935"/>
      <c r="X32935" s="60"/>
    </row>
    <row r="32936" spans="7:24" ht="15" customHeight="1">
      <c r="G32936"/>
      <c r="I32936"/>
      <c r="N32936"/>
      <c r="O32936" s="24"/>
      <c r="P32936"/>
      <c r="Q32936" s="24"/>
      <c r="R32936"/>
      <c r="S32936"/>
      <c r="T32936"/>
      <c r="U32936"/>
      <c r="X32936" s="60"/>
    </row>
    <row r="32937" spans="7:24" ht="15" customHeight="1">
      <c r="G32937"/>
      <c r="I32937"/>
      <c r="N32937"/>
      <c r="O32937" s="24"/>
      <c r="P32937"/>
      <c r="Q32937" s="24"/>
      <c r="R32937"/>
      <c r="S32937"/>
      <c r="T32937"/>
      <c r="U32937"/>
      <c r="X32937" s="60"/>
    </row>
    <row r="32938" spans="7:24" ht="15" customHeight="1">
      <c r="G32938"/>
      <c r="I32938"/>
      <c r="N32938"/>
      <c r="O32938" s="24"/>
      <c r="P32938"/>
      <c r="Q32938" s="24"/>
      <c r="R32938"/>
      <c r="S32938"/>
      <c r="T32938"/>
      <c r="U32938"/>
      <c r="X32938" s="60"/>
    </row>
    <row r="32939" spans="7:24" ht="15" customHeight="1">
      <c r="G32939"/>
      <c r="I32939"/>
      <c r="N32939"/>
      <c r="O32939" s="24"/>
      <c r="P32939"/>
      <c r="Q32939" s="24"/>
      <c r="R32939"/>
      <c r="S32939"/>
      <c r="T32939"/>
      <c r="U32939"/>
      <c r="X32939" s="60"/>
    </row>
    <row r="32940" spans="7:24" ht="15" customHeight="1">
      <c r="G32940"/>
      <c r="I32940"/>
      <c r="N32940"/>
      <c r="O32940" s="24"/>
      <c r="P32940"/>
      <c r="Q32940" s="24"/>
      <c r="R32940"/>
      <c r="S32940"/>
      <c r="T32940"/>
      <c r="U32940"/>
      <c r="X32940" s="60"/>
    </row>
    <row r="32941" spans="7:24" ht="15" customHeight="1">
      <c r="G32941"/>
      <c r="I32941"/>
      <c r="N32941"/>
      <c r="O32941" s="24"/>
      <c r="P32941"/>
      <c r="Q32941" s="24"/>
      <c r="R32941"/>
      <c r="S32941"/>
      <c r="T32941"/>
      <c r="U32941"/>
      <c r="X32941" s="60"/>
    </row>
    <row r="32942" spans="7:24" ht="15" customHeight="1">
      <c r="G32942"/>
      <c r="I32942"/>
      <c r="N32942"/>
      <c r="O32942" s="24"/>
      <c r="P32942"/>
      <c r="Q32942" s="24"/>
      <c r="R32942"/>
      <c r="S32942"/>
      <c r="T32942"/>
      <c r="U32942"/>
      <c r="X32942" s="60"/>
    </row>
    <row r="32943" spans="7:24" ht="15" customHeight="1">
      <c r="G32943"/>
      <c r="I32943"/>
      <c r="N32943"/>
      <c r="O32943" s="24"/>
      <c r="P32943"/>
      <c r="Q32943" s="24"/>
      <c r="R32943"/>
      <c r="S32943"/>
      <c r="T32943"/>
      <c r="U32943"/>
      <c r="X32943" s="60"/>
    </row>
    <row r="32944" spans="7:24" ht="15" customHeight="1">
      <c r="G32944"/>
      <c r="I32944"/>
      <c r="N32944"/>
      <c r="O32944" s="24"/>
      <c r="P32944"/>
      <c r="Q32944" s="24"/>
      <c r="R32944"/>
      <c r="S32944"/>
      <c r="T32944"/>
      <c r="U32944"/>
      <c r="X32944" s="60"/>
    </row>
    <row r="32945" spans="7:24" ht="15" customHeight="1">
      <c r="G32945"/>
      <c r="I32945"/>
      <c r="N32945"/>
      <c r="O32945" s="24"/>
      <c r="P32945"/>
      <c r="Q32945" s="24"/>
      <c r="R32945"/>
      <c r="S32945"/>
      <c r="T32945"/>
      <c r="U32945"/>
      <c r="X32945" s="60"/>
    </row>
    <row r="32946" spans="7:24" ht="15" customHeight="1">
      <c r="G32946"/>
      <c r="I32946"/>
      <c r="N32946"/>
      <c r="O32946" s="24"/>
      <c r="P32946"/>
      <c r="Q32946" s="24"/>
      <c r="R32946"/>
      <c r="S32946"/>
      <c r="T32946"/>
      <c r="U32946"/>
      <c r="X32946" s="60"/>
    </row>
    <row r="32947" spans="7:24" ht="15" customHeight="1">
      <c r="G32947"/>
      <c r="I32947"/>
      <c r="N32947"/>
      <c r="O32947" s="24"/>
      <c r="P32947"/>
      <c r="Q32947" s="24"/>
      <c r="R32947"/>
      <c r="S32947"/>
      <c r="T32947"/>
      <c r="U32947"/>
      <c r="X32947" s="60"/>
    </row>
    <row r="32948" spans="7:24" ht="15" customHeight="1">
      <c r="G32948"/>
      <c r="I32948"/>
      <c r="N32948"/>
      <c r="O32948" s="24"/>
      <c r="P32948"/>
      <c r="Q32948" s="24"/>
      <c r="R32948"/>
      <c r="S32948"/>
      <c r="T32948"/>
      <c r="U32948"/>
      <c r="X32948" s="60"/>
    </row>
    <row r="32949" spans="7:24" ht="15" customHeight="1">
      <c r="G32949"/>
      <c r="I32949"/>
      <c r="N32949"/>
      <c r="O32949" s="24"/>
      <c r="P32949"/>
      <c r="Q32949" s="24"/>
      <c r="R32949"/>
      <c r="S32949"/>
      <c r="T32949"/>
      <c r="U32949"/>
      <c r="X32949" s="60"/>
    </row>
    <row r="32950" spans="7:24" ht="15" customHeight="1">
      <c r="G32950"/>
      <c r="I32950"/>
      <c r="N32950"/>
      <c r="O32950" s="24"/>
      <c r="P32950"/>
      <c r="Q32950" s="24"/>
      <c r="R32950"/>
      <c r="S32950"/>
      <c r="T32950"/>
      <c r="U32950"/>
      <c r="X32950" s="60"/>
    </row>
    <row r="32951" spans="7:24" ht="15" customHeight="1">
      <c r="G32951"/>
      <c r="I32951"/>
      <c r="N32951"/>
      <c r="O32951" s="24"/>
      <c r="P32951"/>
      <c r="Q32951" s="24"/>
      <c r="R32951"/>
      <c r="S32951"/>
      <c r="T32951"/>
      <c r="U32951"/>
      <c r="X32951" s="60"/>
    </row>
    <row r="32952" spans="7:24" ht="15" customHeight="1">
      <c r="G32952"/>
      <c r="I32952"/>
      <c r="N32952"/>
      <c r="O32952" s="24"/>
      <c r="P32952"/>
      <c r="Q32952" s="24"/>
      <c r="R32952"/>
      <c r="S32952"/>
      <c r="T32952"/>
      <c r="U32952"/>
      <c r="X32952" s="60"/>
    </row>
    <row r="32953" spans="7:24" ht="15" customHeight="1">
      <c r="G32953"/>
      <c r="I32953"/>
      <c r="N32953"/>
      <c r="O32953" s="24"/>
      <c r="P32953"/>
      <c r="Q32953" s="24"/>
      <c r="R32953"/>
      <c r="S32953"/>
      <c r="T32953"/>
      <c r="U32953"/>
      <c r="X32953" s="60"/>
    </row>
    <row r="32954" spans="7:24" ht="15" customHeight="1">
      <c r="G32954"/>
      <c r="I32954"/>
      <c r="N32954"/>
      <c r="O32954" s="24"/>
      <c r="P32954"/>
      <c r="Q32954" s="24"/>
      <c r="R32954"/>
      <c r="S32954"/>
      <c r="T32954"/>
      <c r="U32954"/>
      <c r="X32954" s="60"/>
    </row>
    <row r="32955" spans="7:24" ht="15" customHeight="1">
      <c r="G32955"/>
      <c r="I32955"/>
      <c r="N32955"/>
      <c r="O32955" s="24"/>
      <c r="P32955"/>
      <c r="Q32955" s="24"/>
      <c r="R32955"/>
      <c r="S32955"/>
      <c r="T32955"/>
      <c r="U32955"/>
      <c r="X32955" s="60"/>
    </row>
    <row r="32956" spans="7:24" ht="15" customHeight="1">
      <c r="G32956"/>
      <c r="I32956"/>
      <c r="N32956"/>
      <c r="O32956" s="24"/>
      <c r="P32956"/>
      <c r="Q32956" s="24"/>
      <c r="R32956"/>
      <c r="S32956"/>
      <c r="T32956"/>
      <c r="U32956"/>
      <c r="X32956" s="60"/>
    </row>
    <row r="32957" spans="7:24" ht="15" customHeight="1">
      <c r="G32957"/>
      <c r="I32957"/>
      <c r="N32957"/>
      <c r="O32957" s="24"/>
      <c r="P32957"/>
      <c r="Q32957" s="24"/>
      <c r="R32957"/>
      <c r="S32957"/>
      <c r="T32957"/>
      <c r="U32957"/>
      <c r="X32957" s="60"/>
    </row>
    <row r="32958" spans="7:24" ht="15" customHeight="1">
      <c r="G32958"/>
      <c r="I32958"/>
      <c r="N32958"/>
      <c r="O32958" s="24"/>
      <c r="P32958"/>
      <c r="Q32958" s="24"/>
      <c r="R32958"/>
      <c r="S32958"/>
      <c r="T32958"/>
      <c r="U32958"/>
      <c r="X32958" s="60"/>
    </row>
    <row r="32959" spans="7:24" ht="15" customHeight="1">
      <c r="G32959"/>
      <c r="I32959"/>
      <c r="N32959"/>
      <c r="O32959" s="24"/>
      <c r="P32959"/>
      <c r="Q32959" s="24"/>
      <c r="R32959"/>
      <c r="S32959"/>
      <c r="T32959"/>
      <c r="U32959"/>
      <c r="X32959" s="60"/>
    </row>
    <row r="32960" spans="7:24" ht="15" customHeight="1">
      <c r="G32960"/>
      <c r="I32960"/>
      <c r="N32960"/>
      <c r="O32960" s="24"/>
      <c r="P32960"/>
      <c r="Q32960" s="24"/>
      <c r="R32960"/>
      <c r="S32960"/>
      <c r="T32960"/>
      <c r="U32960"/>
      <c r="X32960" s="60"/>
    </row>
    <row r="32961" spans="7:24" ht="15" customHeight="1">
      <c r="G32961"/>
      <c r="I32961"/>
      <c r="N32961"/>
      <c r="O32961" s="24"/>
      <c r="P32961"/>
      <c r="Q32961" s="24"/>
      <c r="R32961"/>
      <c r="S32961"/>
      <c r="T32961"/>
      <c r="U32961"/>
      <c r="X32961" s="60"/>
    </row>
    <row r="32962" spans="7:24" ht="15" customHeight="1">
      <c r="G32962"/>
      <c r="I32962"/>
      <c r="N32962"/>
      <c r="O32962" s="24"/>
      <c r="P32962"/>
      <c r="Q32962" s="24"/>
      <c r="R32962"/>
      <c r="S32962"/>
      <c r="T32962"/>
      <c r="U32962"/>
      <c r="X32962" s="60"/>
    </row>
    <row r="32963" spans="7:24" ht="15" customHeight="1">
      <c r="G32963"/>
      <c r="I32963"/>
      <c r="N32963"/>
      <c r="O32963" s="24"/>
      <c r="P32963"/>
      <c r="Q32963" s="24"/>
      <c r="R32963"/>
      <c r="S32963"/>
      <c r="T32963"/>
      <c r="U32963"/>
      <c r="X32963" s="60"/>
    </row>
    <row r="32964" spans="7:24" ht="15" customHeight="1">
      <c r="G32964"/>
      <c r="I32964"/>
      <c r="N32964"/>
      <c r="O32964" s="24"/>
      <c r="P32964"/>
      <c r="Q32964" s="24"/>
      <c r="R32964"/>
      <c r="S32964"/>
      <c r="T32964"/>
      <c r="U32964"/>
      <c r="X32964" s="60"/>
    </row>
    <row r="32965" spans="7:24" ht="15" customHeight="1">
      <c r="G32965"/>
      <c r="I32965"/>
      <c r="N32965"/>
      <c r="O32965" s="24"/>
      <c r="P32965"/>
      <c r="Q32965" s="24"/>
      <c r="R32965"/>
      <c r="S32965"/>
      <c r="T32965"/>
      <c r="U32965"/>
      <c r="X32965" s="60"/>
    </row>
    <row r="32966" spans="7:24" ht="15" customHeight="1">
      <c r="G32966"/>
      <c r="I32966"/>
      <c r="N32966"/>
      <c r="O32966" s="24"/>
      <c r="P32966"/>
      <c r="Q32966" s="24"/>
      <c r="R32966"/>
      <c r="S32966"/>
      <c r="T32966"/>
      <c r="U32966"/>
      <c r="X32966" s="60"/>
    </row>
    <row r="32967" spans="7:24" ht="15" customHeight="1">
      <c r="G32967"/>
      <c r="I32967"/>
      <c r="N32967"/>
      <c r="O32967" s="24"/>
      <c r="P32967"/>
      <c r="Q32967" s="24"/>
      <c r="R32967"/>
      <c r="S32967"/>
      <c r="T32967"/>
      <c r="U32967"/>
      <c r="X32967" s="60"/>
    </row>
    <row r="32968" spans="7:24" ht="15" customHeight="1">
      <c r="G32968"/>
      <c r="I32968"/>
      <c r="N32968"/>
      <c r="O32968" s="24"/>
      <c r="P32968"/>
      <c r="Q32968" s="24"/>
      <c r="R32968"/>
      <c r="S32968"/>
      <c r="T32968"/>
      <c r="U32968"/>
      <c r="X32968" s="60"/>
    </row>
    <row r="32969" spans="7:24" ht="15" customHeight="1">
      <c r="G32969"/>
      <c r="I32969"/>
      <c r="N32969"/>
      <c r="O32969" s="24"/>
      <c r="P32969"/>
      <c r="Q32969" s="24"/>
      <c r="R32969"/>
      <c r="S32969"/>
      <c r="T32969"/>
      <c r="U32969"/>
      <c r="X32969" s="60"/>
    </row>
    <row r="32970" spans="7:24" ht="15" customHeight="1">
      <c r="G32970"/>
      <c r="I32970"/>
      <c r="N32970"/>
      <c r="O32970" s="24"/>
      <c r="P32970"/>
      <c r="Q32970" s="24"/>
      <c r="R32970"/>
      <c r="S32970"/>
      <c r="T32970"/>
      <c r="U32970"/>
      <c r="X32970" s="60"/>
    </row>
    <row r="32971" spans="7:24" ht="15" customHeight="1">
      <c r="G32971"/>
      <c r="I32971"/>
      <c r="N32971"/>
      <c r="O32971" s="24"/>
      <c r="P32971"/>
      <c r="Q32971" s="24"/>
      <c r="R32971"/>
      <c r="S32971"/>
      <c r="T32971"/>
      <c r="U32971"/>
      <c r="X32971" s="60"/>
    </row>
    <row r="32972" spans="7:24" ht="15" customHeight="1">
      <c r="G32972"/>
      <c r="I32972"/>
      <c r="N32972"/>
      <c r="O32972" s="24"/>
      <c r="P32972"/>
      <c r="Q32972" s="24"/>
      <c r="R32972"/>
      <c r="S32972"/>
      <c r="T32972"/>
      <c r="U32972"/>
      <c r="X32972" s="60"/>
    </row>
    <row r="32973" spans="7:24" ht="15" customHeight="1">
      <c r="G32973"/>
      <c r="I32973"/>
      <c r="N32973"/>
      <c r="O32973" s="24"/>
      <c r="P32973"/>
      <c r="Q32973" s="24"/>
      <c r="R32973"/>
      <c r="S32973"/>
      <c r="T32973"/>
      <c r="U32973"/>
      <c r="X32973" s="60"/>
    </row>
    <row r="32974" spans="7:24" ht="15" customHeight="1">
      <c r="G32974"/>
      <c r="I32974"/>
      <c r="N32974"/>
      <c r="O32974" s="24"/>
      <c r="P32974"/>
      <c r="Q32974" s="24"/>
      <c r="R32974"/>
      <c r="S32974"/>
      <c r="T32974"/>
      <c r="U32974"/>
      <c r="X32974" s="60"/>
    </row>
    <row r="32975" spans="7:24" ht="15" customHeight="1">
      <c r="G32975"/>
      <c r="I32975"/>
      <c r="N32975"/>
      <c r="O32975" s="24"/>
      <c r="P32975"/>
      <c r="Q32975" s="24"/>
      <c r="R32975"/>
      <c r="S32975"/>
      <c r="T32975"/>
      <c r="U32975"/>
      <c r="X32975" s="60"/>
    </row>
    <row r="32976" spans="7:24" ht="15" customHeight="1">
      <c r="G32976"/>
      <c r="I32976"/>
      <c r="N32976"/>
      <c r="O32976" s="24"/>
      <c r="P32976"/>
      <c r="Q32976" s="24"/>
      <c r="R32976"/>
      <c r="S32976"/>
      <c r="T32976"/>
      <c r="U32976"/>
      <c r="X32976" s="60"/>
    </row>
    <row r="32977" spans="7:24" ht="15" customHeight="1">
      <c r="G32977"/>
      <c r="I32977"/>
      <c r="N32977"/>
      <c r="O32977" s="24"/>
      <c r="P32977"/>
      <c r="Q32977" s="24"/>
      <c r="R32977"/>
      <c r="S32977"/>
      <c r="T32977"/>
      <c r="U32977"/>
      <c r="X32977" s="60"/>
    </row>
    <row r="32978" spans="7:24" ht="15" customHeight="1">
      <c r="G32978"/>
      <c r="I32978"/>
      <c r="N32978"/>
      <c r="O32978" s="24"/>
      <c r="P32978"/>
      <c r="Q32978" s="24"/>
      <c r="R32978"/>
      <c r="S32978"/>
      <c r="T32978"/>
      <c r="U32978"/>
      <c r="X32978" s="60"/>
    </row>
    <row r="32979" spans="7:24" ht="15" customHeight="1">
      <c r="G32979"/>
      <c r="I32979"/>
      <c r="N32979"/>
      <c r="O32979" s="24"/>
      <c r="P32979"/>
      <c r="Q32979" s="24"/>
      <c r="R32979"/>
      <c r="S32979"/>
      <c r="T32979"/>
      <c r="U32979"/>
      <c r="X32979" s="60"/>
    </row>
    <row r="32980" spans="7:24" ht="15" customHeight="1">
      <c r="G32980"/>
      <c r="I32980"/>
      <c r="N32980"/>
      <c r="O32980" s="24"/>
      <c r="P32980"/>
      <c r="Q32980" s="24"/>
      <c r="R32980"/>
      <c r="S32980"/>
      <c r="T32980"/>
      <c r="U32980"/>
      <c r="X32980" s="60"/>
    </row>
    <row r="32981" spans="7:24" ht="15" customHeight="1">
      <c r="G32981"/>
      <c r="I32981"/>
      <c r="N32981"/>
      <c r="O32981" s="24"/>
      <c r="P32981"/>
      <c r="Q32981" s="24"/>
      <c r="R32981"/>
      <c r="S32981"/>
      <c r="T32981"/>
      <c r="U32981"/>
      <c r="X32981" s="60"/>
    </row>
    <row r="32982" spans="7:24" ht="15" customHeight="1">
      <c r="G32982"/>
      <c r="I32982"/>
      <c r="N32982"/>
      <c r="O32982" s="24"/>
      <c r="P32982"/>
      <c r="Q32982" s="24"/>
      <c r="R32982"/>
      <c r="S32982"/>
      <c r="T32982"/>
      <c r="U32982"/>
      <c r="X32982" s="60"/>
    </row>
    <row r="32983" spans="7:24" ht="15" customHeight="1">
      <c r="G32983"/>
      <c r="I32983"/>
      <c r="N32983"/>
      <c r="O32983" s="24"/>
      <c r="P32983"/>
      <c r="Q32983" s="24"/>
      <c r="R32983"/>
      <c r="S32983"/>
      <c r="T32983"/>
      <c r="U32983"/>
      <c r="X32983" s="60"/>
    </row>
    <row r="32984" spans="7:24" ht="15" customHeight="1">
      <c r="G32984"/>
      <c r="I32984"/>
      <c r="N32984"/>
      <c r="O32984" s="24"/>
      <c r="P32984"/>
      <c r="Q32984" s="24"/>
      <c r="R32984"/>
      <c r="S32984"/>
      <c r="T32984"/>
      <c r="U32984"/>
      <c r="X32984" s="60"/>
    </row>
    <row r="32985" spans="7:24" ht="15" customHeight="1">
      <c r="G32985"/>
      <c r="I32985"/>
      <c r="N32985"/>
      <c r="O32985" s="24"/>
      <c r="P32985"/>
      <c r="Q32985" s="24"/>
      <c r="R32985"/>
      <c r="S32985"/>
      <c r="T32985"/>
      <c r="U32985"/>
      <c r="X32985" s="60"/>
    </row>
    <row r="32986" spans="7:24" ht="15" customHeight="1">
      <c r="G32986"/>
      <c r="I32986"/>
      <c r="N32986"/>
      <c r="O32986" s="24"/>
      <c r="P32986"/>
      <c r="Q32986" s="24"/>
      <c r="R32986"/>
      <c r="S32986"/>
      <c r="T32986"/>
      <c r="U32986"/>
      <c r="X32986" s="60"/>
    </row>
    <row r="32987" spans="7:24" ht="15" customHeight="1">
      <c r="G32987"/>
      <c r="I32987"/>
      <c r="N32987"/>
      <c r="O32987" s="24"/>
      <c r="P32987"/>
      <c r="Q32987" s="24"/>
      <c r="R32987"/>
      <c r="S32987"/>
      <c r="T32987"/>
      <c r="U32987"/>
      <c r="X32987" s="60"/>
    </row>
    <row r="32988" spans="7:24" ht="15" customHeight="1">
      <c r="G32988"/>
      <c r="I32988"/>
      <c r="N32988"/>
      <c r="O32988" s="24"/>
      <c r="P32988"/>
      <c r="Q32988" s="24"/>
      <c r="R32988"/>
      <c r="S32988"/>
      <c r="T32988"/>
      <c r="U32988"/>
      <c r="X32988" s="60"/>
    </row>
    <row r="32989" spans="7:24" ht="15" customHeight="1">
      <c r="G32989"/>
      <c r="I32989"/>
      <c r="N32989"/>
      <c r="O32989" s="24"/>
      <c r="P32989"/>
      <c r="Q32989" s="24"/>
      <c r="R32989"/>
      <c r="S32989"/>
      <c r="T32989"/>
      <c r="U32989"/>
      <c r="X32989" s="60"/>
    </row>
    <row r="32990" spans="7:24" ht="15" customHeight="1">
      <c r="G32990"/>
      <c r="I32990"/>
      <c r="N32990"/>
      <c r="O32990" s="24"/>
      <c r="P32990"/>
      <c r="Q32990" s="24"/>
      <c r="R32990"/>
      <c r="S32990"/>
      <c r="T32990"/>
      <c r="U32990"/>
      <c r="X32990" s="60"/>
    </row>
    <row r="32991" spans="7:24" ht="15" customHeight="1">
      <c r="G32991"/>
      <c r="I32991"/>
      <c r="N32991"/>
      <c r="O32991" s="24"/>
      <c r="P32991"/>
      <c r="Q32991" s="24"/>
      <c r="R32991"/>
      <c r="S32991"/>
      <c r="T32991"/>
      <c r="U32991"/>
      <c r="X32991" s="60"/>
    </row>
    <row r="32992" spans="7:24" ht="15" customHeight="1">
      <c r="G32992"/>
      <c r="I32992"/>
      <c r="N32992"/>
      <c r="O32992" s="24"/>
      <c r="P32992"/>
      <c r="Q32992" s="24"/>
      <c r="R32992"/>
      <c r="S32992"/>
      <c r="T32992"/>
      <c r="U32992"/>
      <c r="X32992" s="60"/>
    </row>
    <row r="32993" spans="7:24" ht="15" customHeight="1">
      <c r="G32993"/>
      <c r="I32993"/>
      <c r="N32993"/>
      <c r="O32993" s="24"/>
      <c r="P32993"/>
      <c r="Q32993" s="24"/>
      <c r="R32993"/>
      <c r="S32993"/>
      <c r="T32993"/>
      <c r="U32993"/>
      <c r="X32993" s="60"/>
    </row>
    <row r="32994" spans="7:24" ht="15" customHeight="1">
      <c r="G32994"/>
      <c r="I32994"/>
      <c r="N32994"/>
      <c r="O32994" s="24"/>
      <c r="P32994"/>
      <c r="Q32994" s="24"/>
      <c r="R32994"/>
      <c r="S32994"/>
      <c r="T32994"/>
      <c r="U32994"/>
      <c r="X32994" s="60"/>
    </row>
    <row r="32995" spans="7:24" ht="15" customHeight="1">
      <c r="G32995"/>
      <c r="I32995"/>
      <c r="N32995"/>
      <c r="O32995" s="24"/>
      <c r="P32995"/>
      <c r="Q32995" s="24"/>
      <c r="R32995"/>
      <c r="S32995"/>
      <c r="T32995"/>
      <c r="U32995"/>
      <c r="X32995" s="60"/>
    </row>
    <row r="32996" spans="7:24" ht="15" customHeight="1">
      <c r="G32996"/>
      <c r="I32996"/>
      <c r="N32996"/>
      <c r="O32996" s="24"/>
      <c r="P32996"/>
      <c r="Q32996" s="24"/>
      <c r="R32996"/>
      <c r="S32996"/>
      <c r="T32996"/>
      <c r="U32996"/>
      <c r="X32996" s="60"/>
    </row>
    <row r="32997" spans="7:24" ht="15" customHeight="1">
      <c r="G32997"/>
      <c r="I32997"/>
      <c r="N32997"/>
      <c r="O32997" s="24"/>
      <c r="P32997"/>
      <c r="Q32997" s="24"/>
      <c r="R32997"/>
      <c r="S32997"/>
      <c r="T32997"/>
      <c r="U32997"/>
      <c r="X32997" s="60"/>
    </row>
    <row r="32998" spans="7:24" ht="15" customHeight="1">
      <c r="G32998"/>
      <c r="I32998"/>
      <c r="N32998"/>
      <c r="O32998" s="24"/>
      <c r="P32998"/>
      <c r="Q32998" s="24"/>
      <c r="R32998"/>
      <c r="S32998"/>
      <c r="T32998"/>
      <c r="U32998"/>
      <c r="X32998" s="60"/>
    </row>
    <row r="32999" spans="7:24" ht="15" customHeight="1">
      <c r="G32999"/>
      <c r="I32999"/>
      <c r="N32999"/>
      <c r="O32999" s="24"/>
      <c r="P32999"/>
      <c r="Q32999" s="24"/>
      <c r="R32999"/>
      <c r="S32999"/>
      <c r="T32999"/>
      <c r="U32999"/>
      <c r="X32999" s="60"/>
    </row>
    <row r="33000" spans="7:24" ht="15" customHeight="1">
      <c r="G33000"/>
      <c r="I33000"/>
      <c r="N33000"/>
      <c r="O33000" s="24"/>
      <c r="P33000"/>
      <c r="Q33000" s="24"/>
      <c r="R33000"/>
      <c r="S33000"/>
      <c r="T33000"/>
      <c r="U33000"/>
      <c r="X33000" s="60"/>
    </row>
    <row r="33001" spans="7:24" ht="15" customHeight="1">
      <c r="G33001"/>
      <c r="I33001"/>
      <c r="N33001"/>
      <c r="O33001" s="24"/>
      <c r="P33001"/>
      <c r="Q33001" s="24"/>
      <c r="R33001"/>
      <c r="S33001"/>
      <c r="T33001"/>
      <c r="U33001"/>
      <c r="X33001" s="60"/>
    </row>
    <row r="33002" spans="7:24" ht="15" customHeight="1">
      <c r="G33002"/>
      <c r="I33002"/>
      <c r="N33002"/>
      <c r="O33002" s="24"/>
      <c r="P33002"/>
      <c r="Q33002" s="24"/>
      <c r="R33002"/>
      <c r="S33002"/>
      <c r="T33002"/>
      <c r="U33002"/>
      <c r="X33002" s="60"/>
    </row>
    <row r="33003" spans="7:24" ht="15" customHeight="1">
      <c r="G33003"/>
      <c r="I33003"/>
      <c r="N33003"/>
      <c r="O33003" s="24"/>
      <c r="P33003"/>
      <c r="Q33003" s="24"/>
      <c r="R33003"/>
      <c r="S33003"/>
      <c r="T33003"/>
      <c r="U33003"/>
      <c r="X33003" s="60"/>
    </row>
    <row r="33004" spans="7:24" ht="15" customHeight="1">
      <c r="G33004"/>
      <c r="I33004"/>
      <c r="N33004"/>
      <c r="O33004" s="24"/>
      <c r="P33004"/>
      <c r="Q33004" s="24"/>
      <c r="R33004"/>
      <c r="S33004"/>
      <c r="T33004"/>
      <c r="U33004"/>
      <c r="X33004" s="60"/>
    </row>
    <row r="33005" spans="7:24" ht="15" customHeight="1">
      <c r="G33005"/>
      <c r="I33005"/>
      <c r="N33005"/>
      <c r="O33005" s="24"/>
      <c r="P33005"/>
      <c r="Q33005" s="24"/>
      <c r="R33005"/>
      <c r="S33005"/>
      <c r="T33005"/>
      <c r="U33005"/>
      <c r="X33005" s="60"/>
    </row>
    <row r="33006" spans="7:24" ht="15" customHeight="1">
      <c r="G33006"/>
      <c r="I33006"/>
      <c r="N33006"/>
      <c r="O33006" s="24"/>
      <c r="P33006"/>
      <c r="Q33006" s="24"/>
      <c r="R33006"/>
      <c r="S33006"/>
      <c r="T33006"/>
      <c r="U33006"/>
      <c r="X33006" s="60"/>
    </row>
    <row r="33007" spans="7:24" ht="15" customHeight="1">
      <c r="G33007"/>
      <c r="I33007"/>
      <c r="N33007"/>
      <c r="O33007" s="24"/>
      <c r="P33007"/>
      <c r="Q33007" s="24"/>
      <c r="R33007"/>
      <c r="S33007"/>
      <c r="T33007"/>
      <c r="U33007"/>
      <c r="X33007" s="60"/>
    </row>
    <row r="33008" spans="7:24" ht="15" customHeight="1">
      <c r="G33008"/>
      <c r="I33008"/>
      <c r="N33008"/>
      <c r="O33008" s="24"/>
      <c r="P33008"/>
      <c r="Q33008" s="24"/>
      <c r="R33008"/>
      <c r="S33008"/>
      <c r="T33008"/>
      <c r="U33008"/>
      <c r="X33008" s="60"/>
    </row>
    <row r="33009" spans="7:24" ht="15" customHeight="1">
      <c r="G33009"/>
      <c r="I33009"/>
      <c r="N33009"/>
      <c r="O33009" s="24"/>
      <c r="P33009"/>
      <c r="Q33009" s="24"/>
      <c r="R33009"/>
      <c r="S33009"/>
      <c r="T33009"/>
      <c r="U33009"/>
      <c r="X33009" s="60"/>
    </row>
    <row r="33010" spans="7:24" ht="15" customHeight="1">
      <c r="G33010"/>
      <c r="I33010"/>
      <c r="N33010"/>
      <c r="O33010" s="24"/>
      <c r="P33010"/>
      <c r="Q33010" s="24"/>
      <c r="R33010"/>
      <c r="S33010"/>
      <c r="T33010"/>
      <c r="U33010"/>
      <c r="X33010" s="60"/>
    </row>
    <row r="33011" spans="7:24" ht="15" customHeight="1">
      <c r="G33011"/>
      <c r="I33011"/>
      <c r="N33011"/>
      <c r="O33011" s="24"/>
      <c r="P33011"/>
      <c r="Q33011" s="24"/>
      <c r="R33011"/>
      <c r="S33011"/>
      <c r="T33011"/>
      <c r="U33011"/>
      <c r="X33011" s="60"/>
    </row>
    <row r="33012" spans="7:24" ht="15" customHeight="1">
      <c r="G33012"/>
      <c r="I33012"/>
      <c r="N33012"/>
      <c r="O33012" s="24"/>
      <c r="P33012"/>
      <c r="Q33012" s="24"/>
      <c r="R33012"/>
      <c r="S33012"/>
      <c r="T33012"/>
      <c r="U33012"/>
      <c r="X33012" s="60"/>
    </row>
    <row r="33013" spans="7:24" ht="15" customHeight="1">
      <c r="G33013"/>
      <c r="I33013"/>
      <c r="N33013"/>
      <c r="O33013" s="24"/>
      <c r="P33013"/>
      <c r="Q33013" s="24"/>
      <c r="R33013"/>
      <c r="S33013"/>
      <c r="T33013"/>
      <c r="U33013"/>
      <c r="X33013" s="60"/>
    </row>
    <row r="33014" spans="7:24" ht="15" customHeight="1">
      <c r="G33014"/>
      <c r="I33014"/>
      <c r="N33014"/>
      <c r="O33014" s="24"/>
      <c r="P33014"/>
      <c r="Q33014" s="24"/>
      <c r="R33014"/>
      <c r="S33014"/>
      <c r="T33014"/>
      <c r="U33014"/>
      <c r="X33014" s="60"/>
    </row>
    <row r="33015" spans="7:24" ht="15" customHeight="1">
      <c r="G33015"/>
      <c r="I33015"/>
      <c r="N33015"/>
      <c r="O33015" s="24"/>
      <c r="P33015"/>
      <c r="Q33015" s="24"/>
      <c r="R33015"/>
      <c r="S33015"/>
      <c r="T33015"/>
      <c r="U33015"/>
      <c r="X33015" s="60"/>
    </row>
    <row r="33016" spans="7:24" ht="15" customHeight="1">
      <c r="G33016"/>
      <c r="I33016"/>
      <c r="N33016"/>
      <c r="O33016" s="24"/>
      <c r="P33016"/>
      <c r="Q33016" s="24"/>
      <c r="R33016"/>
      <c r="S33016"/>
      <c r="T33016"/>
      <c r="U33016"/>
      <c r="X33016" s="60"/>
    </row>
    <row r="33017" spans="7:24" ht="15" customHeight="1">
      <c r="G33017"/>
      <c r="I33017"/>
      <c r="N33017"/>
      <c r="O33017" s="24"/>
      <c r="P33017"/>
      <c r="Q33017" s="24"/>
      <c r="R33017"/>
      <c r="S33017"/>
      <c r="T33017"/>
      <c r="U33017"/>
      <c r="X33017" s="60"/>
    </row>
    <row r="33018" spans="7:24" ht="15" customHeight="1">
      <c r="G33018"/>
      <c r="I33018"/>
      <c r="N33018"/>
      <c r="O33018" s="24"/>
      <c r="P33018"/>
      <c r="Q33018" s="24"/>
      <c r="R33018"/>
      <c r="S33018"/>
      <c r="T33018"/>
      <c r="U33018"/>
      <c r="X33018" s="60"/>
    </row>
    <row r="33019" spans="7:24" ht="15" customHeight="1">
      <c r="G33019"/>
      <c r="I33019"/>
      <c r="N33019"/>
      <c r="O33019" s="24"/>
      <c r="P33019"/>
      <c r="Q33019" s="24"/>
      <c r="R33019"/>
      <c r="S33019"/>
      <c r="T33019"/>
      <c r="U33019"/>
      <c r="X33019" s="60"/>
    </row>
    <row r="33020" spans="7:24" ht="15" customHeight="1">
      <c r="G33020"/>
      <c r="I33020"/>
      <c r="N33020"/>
      <c r="O33020" s="24"/>
      <c r="P33020"/>
      <c r="Q33020" s="24"/>
      <c r="R33020"/>
      <c r="S33020"/>
      <c r="T33020"/>
      <c r="U33020"/>
      <c r="X33020" s="60"/>
    </row>
    <row r="33021" spans="7:24" ht="15" customHeight="1">
      <c r="G33021"/>
      <c r="I33021"/>
      <c r="N33021"/>
      <c r="O33021" s="24"/>
      <c r="P33021"/>
      <c r="Q33021" s="24"/>
      <c r="R33021"/>
      <c r="S33021"/>
      <c r="T33021"/>
      <c r="U33021"/>
      <c r="X33021" s="60"/>
    </row>
    <row r="33022" spans="7:24" ht="15" customHeight="1">
      <c r="G33022"/>
      <c r="I33022"/>
      <c r="N33022"/>
      <c r="O33022" s="24"/>
      <c r="P33022"/>
      <c r="Q33022" s="24"/>
      <c r="R33022"/>
      <c r="S33022"/>
      <c r="T33022"/>
      <c r="U33022"/>
      <c r="X33022" s="60"/>
    </row>
    <row r="33023" spans="7:24" ht="15" customHeight="1">
      <c r="G33023"/>
      <c r="I33023"/>
      <c r="N33023"/>
      <c r="O33023" s="24"/>
      <c r="P33023"/>
      <c r="Q33023" s="24"/>
      <c r="R33023"/>
      <c r="S33023"/>
      <c r="T33023"/>
      <c r="U33023"/>
      <c r="X33023" s="60"/>
    </row>
    <row r="33024" spans="7:24" ht="15" customHeight="1">
      <c r="G33024"/>
      <c r="I33024"/>
      <c r="N33024"/>
      <c r="O33024" s="24"/>
      <c r="P33024"/>
      <c r="Q33024" s="24"/>
      <c r="R33024"/>
      <c r="S33024"/>
      <c r="T33024"/>
      <c r="U33024"/>
      <c r="X33024" s="60"/>
    </row>
    <row r="33025" spans="7:24" ht="15" customHeight="1">
      <c r="G33025"/>
      <c r="I33025"/>
      <c r="N33025"/>
      <c r="O33025" s="24"/>
      <c r="P33025"/>
      <c r="Q33025" s="24"/>
      <c r="R33025"/>
      <c r="S33025"/>
      <c r="T33025"/>
      <c r="U33025"/>
      <c r="X33025" s="60"/>
    </row>
    <row r="33026" spans="7:24" ht="15" customHeight="1">
      <c r="G33026"/>
      <c r="I33026"/>
      <c r="N33026"/>
      <c r="O33026" s="24"/>
      <c r="P33026"/>
      <c r="Q33026" s="24"/>
      <c r="R33026"/>
      <c r="S33026"/>
      <c r="T33026"/>
      <c r="U33026"/>
      <c r="X33026" s="60"/>
    </row>
    <row r="33027" spans="7:24" ht="15" customHeight="1">
      <c r="G33027"/>
      <c r="I33027"/>
      <c r="N33027"/>
      <c r="O33027" s="24"/>
      <c r="P33027"/>
      <c r="Q33027" s="24"/>
      <c r="R33027"/>
      <c r="S33027"/>
      <c r="T33027"/>
      <c r="U33027"/>
      <c r="X33027" s="60"/>
    </row>
    <row r="33028" spans="7:24" ht="15" customHeight="1">
      <c r="G33028"/>
      <c r="I33028"/>
      <c r="N33028"/>
      <c r="O33028" s="24"/>
      <c r="P33028"/>
      <c r="Q33028" s="24"/>
      <c r="R33028"/>
      <c r="S33028"/>
      <c r="T33028"/>
      <c r="U33028"/>
      <c r="X33028" s="60"/>
    </row>
    <row r="33029" spans="7:24" ht="15" customHeight="1">
      <c r="G33029"/>
      <c r="I33029"/>
      <c r="N33029"/>
      <c r="O33029" s="24"/>
      <c r="P33029"/>
      <c r="Q33029" s="24"/>
      <c r="R33029"/>
      <c r="S33029"/>
      <c r="T33029"/>
      <c r="U33029"/>
      <c r="X33029" s="60"/>
    </row>
    <row r="33030" spans="7:24" ht="15" customHeight="1">
      <c r="G33030"/>
      <c r="I33030"/>
      <c r="N33030"/>
      <c r="O33030" s="24"/>
      <c r="P33030"/>
      <c r="Q33030" s="24"/>
      <c r="R33030"/>
      <c r="S33030"/>
      <c r="T33030"/>
      <c r="U33030"/>
      <c r="X33030" s="60"/>
    </row>
    <row r="33031" spans="7:24" ht="15" customHeight="1">
      <c r="G33031"/>
      <c r="I33031"/>
      <c r="N33031"/>
      <c r="O33031" s="24"/>
      <c r="P33031"/>
      <c r="Q33031" s="24"/>
      <c r="R33031"/>
      <c r="S33031"/>
      <c r="T33031"/>
      <c r="U33031"/>
      <c r="X33031" s="60"/>
    </row>
    <row r="33032" spans="7:24" ht="15" customHeight="1">
      <c r="G33032"/>
      <c r="I33032"/>
      <c r="N33032"/>
      <c r="O33032" s="24"/>
      <c r="P33032"/>
      <c r="Q33032" s="24"/>
      <c r="R33032"/>
      <c r="S33032"/>
      <c r="T33032"/>
      <c r="U33032"/>
      <c r="X33032" s="60"/>
    </row>
    <row r="33033" spans="7:24" ht="15" customHeight="1">
      <c r="G33033"/>
      <c r="I33033"/>
      <c r="N33033"/>
      <c r="O33033" s="24"/>
      <c r="P33033"/>
      <c r="Q33033" s="24"/>
      <c r="R33033"/>
      <c r="S33033"/>
      <c r="T33033"/>
      <c r="U33033"/>
      <c r="X33033" s="60"/>
    </row>
    <row r="33034" spans="7:24" ht="15" customHeight="1">
      <c r="G33034"/>
      <c r="I33034"/>
      <c r="N33034"/>
      <c r="O33034" s="24"/>
      <c r="P33034"/>
      <c r="Q33034" s="24"/>
      <c r="R33034"/>
      <c r="S33034"/>
      <c r="T33034"/>
      <c r="U33034"/>
      <c r="X33034" s="60"/>
    </row>
    <row r="33035" spans="7:24" ht="15" customHeight="1">
      <c r="G33035"/>
      <c r="I33035"/>
      <c r="N33035"/>
      <c r="O33035" s="24"/>
      <c r="P33035"/>
      <c r="Q33035" s="24"/>
      <c r="R33035"/>
      <c r="S33035"/>
      <c r="T33035"/>
      <c r="U33035"/>
      <c r="X33035" s="60"/>
    </row>
    <row r="33036" spans="7:24" ht="15" customHeight="1">
      <c r="G33036"/>
      <c r="I33036"/>
      <c r="N33036"/>
      <c r="O33036" s="24"/>
      <c r="P33036"/>
      <c r="Q33036" s="24"/>
      <c r="R33036"/>
      <c r="S33036"/>
      <c r="T33036"/>
      <c r="U33036"/>
      <c r="X33036" s="60"/>
    </row>
    <row r="33037" spans="7:24" ht="15" customHeight="1">
      <c r="G33037"/>
      <c r="I33037"/>
      <c r="N33037"/>
      <c r="O33037" s="24"/>
      <c r="P33037"/>
      <c r="Q33037" s="24"/>
      <c r="R33037"/>
      <c r="S33037"/>
      <c r="T33037"/>
      <c r="U33037"/>
      <c r="X33037" s="60"/>
    </row>
    <row r="33038" spans="7:24" ht="15" customHeight="1">
      <c r="G33038"/>
      <c r="I33038"/>
      <c r="N33038"/>
      <c r="O33038" s="24"/>
      <c r="P33038"/>
      <c r="Q33038" s="24"/>
      <c r="R33038"/>
      <c r="S33038"/>
      <c r="T33038"/>
      <c r="U33038"/>
      <c r="X33038" s="60"/>
    </row>
    <row r="33039" spans="7:24" ht="15" customHeight="1">
      <c r="G33039"/>
      <c r="I33039"/>
      <c r="N33039"/>
      <c r="O33039" s="24"/>
      <c r="P33039"/>
      <c r="Q33039" s="24"/>
      <c r="R33039"/>
      <c r="S33039"/>
      <c r="T33039"/>
      <c r="U33039"/>
      <c r="X33039" s="60"/>
    </row>
    <row r="33040" spans="7:24" ht="15" customHeight="1">
      <c r="G33040"/>
      <c r="I33040"/>
      <c r="N33040"/>
      <c r="O33040" s="24"/>
      <c r="P33040"/>
      <c r="Q33040" s="24"/>
      <c r="R33040"/>
      <c r="S33040"/>
      <c r="T33040"/>
      <c r="U33040"/>
      <c r="X33040" s="60"/>
    </row>
    <row r="33041" spans="7:24" ht="15" customHeight="1">
      <c r="G33041"/>
      <c r="I33041"/>
      <c r="N33041"/>
      <c r="O33041" s="24"/>
      <c r="P33041"/>
      <c r="Q33041" s="24"/>
      <c r="R33041"/>
      <c r="S33041"/>
      <c r="T33041"/>
      <c r="U33041"/>
      <c r="X33041" s="60"/>
    </row>
    <row r="33042" spans="7:24" ht="15" customHeight="1">
      <c r="G33042"/>
      <c r="I33042"/>
      <c r="N33042"/>
      <c r="O33042" s="24"/>
      <c r="P33042"/>
      <c r="Q33042" s="24"/>
      <c r="R33042"/>
      <c r="S33042"/>
      <c r="T33042"/>
      <c r="U33042"/>
      <c r="X33042" s="60"/>
    </row>
    <row r="33043" spans="7:24" ht="15" customHeight="1">
      <c r="G33043"/>
      <c r="I33043"/>
      <c r="N33043"/>
      <c r="O33043" s="24"/>
      <c r="P33043"/>
      <c r="Q33043" s="24"/>
      <c r="R33043"/>
      <c r="S33043"/>
      <c r="T33043"/>
      <c r="U33043"/>
      <c r="X33043" s="60"/>
    </row>
    <row r="33044" spans="7:24" ht="15" customHeight="1">
      <c r="G33044"/>
      <c r="I33044"/>
      <c r="N33044"/>
      <c r="O33044" s="24"/>
      <c r="P33044"/>
      <c r="Q33044" s="24"/>
      <c r="R33044"/>
      <c r="S33044"/>
      <c r="T33044"/>
      <c r="U33044"/>
      <c r="X33044" s="60"/>
    </row>
    <row r="33045" spans="7:24" ht="15" customHeight="1">
      <c r="G33045"/>
      <c r="I33045"/>
      <c r="N33045"/>
      <c r="O33045" s="24"/>
      <c r="P33045"/>
      <c r="Q33045" s="24"/>
      <c r="R33045"/>
      <c r="S33045"/>
      <c r="T33045"/>
      <c r="U33045"/>
      <c r="X33045" s="60"/>
    </row>
    <row r="33046" spans="7:24" ht="15" customHeight="1">
      <c r="G33046"/>
      <c r="I33046"/>
      <c r="N33046"/>
      <c r="O33046" s="24"/>
      <c r="P33046"/>
      <c r="Q33046" s="24"/>
      <c r="R33046"/>
      <c r="S33046"/>
      <c r="T33046"/>
      <c r="U33046"/>
      <c r="X33046" s="60"/>
    </row>
    <row r="33047" spans="7:24" ht="15" customHeight="1">
      <c r="G33047"/>
      <c r="I33047"/>
      <c r="N33047"/>
      <c r="O33047" s="24"/>
      <c r="P33047"/>
      <c r="Q33047" s="24"/>
      <c r="R33047"/>
      <c r="S33047"/>
      <c r="T33047"/>
      <c r="U33047"/>
      <c r="X33047" s="60"/>
    </row>
    <row r="33048" spans="7:24" ht="15" customHeight="1">
      <c r="G33048"/>
      <c r="I33048"/>
      <c r="N33048"/>
      <c r="O33048" s="24"/>
      <c r="P33048"/>
      <c r="Q33048" s="24"/>
      <c r="R33048"/>
      <c r="S33048"/>
      <c r="T33048"/>
      <c r="U33048"/>
      <c r="X33048" s="60"/>
    </row>
    <row r="33049" spans="7:24" ht="15" customHeight="1">
      <c r="G33049"/>
      <c r="I33049"/>
      <c r="N33049"/>
      <c r="O33049" s="24"/>
      <c r="P33049"/>
      <c r="Q33049" s="24"/>
      <c r="R33049"/>
      <c r="S33049"/>
      <c r="T33049"/>
      <c r="U33049"/>
      <c r="X33049" s="60"/>
    </row>
    <row r="33050" spans="7:24" ht="15" customHeight="1">
      <c r="G33050"/>
      <c r="I33050"/>
      <c r="N33050"/>
      <c r="O33050" s="24"/>
      <c r="P33050"/>
      <c r="Q33050" s="24"/>
      <c r="R33050"/>
      <c r="S33050"/>
      <c r="T33050"/>
      <c r="U33050"/>
      <c r="X33050" s="60"/>
    </row>
    <row r="33051" spans="7:24" ht="15" customHeight="1">
      <c r="G33051"/>
      <c r="I33051"/>
      <c r="N33051"/>
      <c r="O33051" s="24"/>
      <c r="P33051"/>
      <c r="Q33051" s="24"/>
      <c r="R33051"/>
      <c r="S33051"/>
      <c r="T33051"/>
      <c r="U33051"/>
      <c r="X33051" s="60"/>
    </row>
    <row r="33052" spans="7:24" ht="15" customHeight="1">
      <c r="G33052"/>
      <c r="I33052"/>
      <c r="N33052"/>
      <c r="O33052" s="24"/>
      <c r="P33052"/>
      <c r="Q33052" s="24"/>
      <c r="R33052"/>
      <c r="S33052"/>
      <c r="T33052"/>
      <c r="U33052"/>
      <c r="X33052" s="60"/>
    </row>
    <row r="33053" spans="7:24" ht="15" customHeight="1">
      <c r="G33053"/>
      <c r="I33053"/>
      <c r="N33053"/>
      <c r="O33053" s="24"/>
      <c r="P33053"/>
      <c r="Q33053" s="24"/>
      <c r="R33053"/>
      <c r="S33053"/>
      <c r="T33053"/>
      <c r="U33053"/>
      <c r="X33053" s="60"/>
    </row>
    <row r="33054" spans="7:24" ht="15" customHeight="1">
      <c r="G33054"/>
      <c r="I33054"/>
      <c r="N33054"/>
      <c r="O33054" s="24"/>
      <c r="P33054"/>
      <c r="Q33054" s="24"/>
      <c r="R33054"/>
      <c r="S33054"/>
      <c r="T33054"/>
      <c r="U33054"/>
      <c r="X33054" s="60"/>
    </row>
    <row r="33055" spans="7:24" ht="15" customHeight="1">
      <c r="G33055"/>
      <c r="I33055"/>
      <c r="N33055"/>
      <c r="O33055" s="24"/>
      <c r="P33055"/>
      <c r="Q33055" s="24"/>
      <c r="R33055"/>
      <c r="S33055"/>
      <c r="T33055"/>
      <c r="U33055"/>
      <c r="X33055" s="60"/>
    </row>
    <row r="33056" spans="7:24" ht="15" customHeight="1">
      <c r="G33056"/>
      <c r="I33056"/>
      <c r="N33056"/>
      <c r="O33056" s="24"/>
      <c r="P33056"/>
      <c r="Q33056" s="24"/>
      <c r="R33056"/>
      <c r="S33056"/>
      <c r="T33056"/>
      <c r="U33056"/>
      <c r="X33056" s="60"/>
    </row>
    <row r="33057" spans="7:24" ht="15" customHeight="1">
      <c r="G33057"/>
      <c r="I33057"/>
      <c r="N33057"/>
      <c r="O33057" s="24"/>
      <c r="P33057"/>
      <c r="Q33057" s="24"/>
      <c r="R33057"/>
      <c r="S33057"/>
      <c r="T33057"/>
      <c r="U33057"/>
      <c r="X33057" s="60"/>
    </row>
    <row r="33058" spans="7:24" ht="15" customHeight="1">
      <c r="G33058"/>
      <c r="I33058"/>
      <c r="N33058"/>
      <c r="O33058" s="24"/>
      <c r="P33058"/>
      <c r="Q33058" s="24"/>
      <c r="R33058"/>
      <c r="S33058"/>
      <c r="T33058"/>
      <c r="U33058"/>
      <c r="X33058" s="60"/>
    </row>
    <row r="33059" spans="7:24" ht="15" customHeight="1">
      <c r="G33059"/>
      <c r="I33059"/>
      <c r="N33059"/>
      <c r="O33059" s="24"/>
      <c r="P33059"/>
      <c r="Q33059" s="24"/>
      <c r="R33059"/>
      <c r="S33059"/>
      <c r="T33059"/>
      <c r="U33059"/>
      <c r="X33059" s="60"/>
    </row>
    <row r="33060" spans="7:24" ht="15" customHeight="1">
      <c r="G33060"/>
      <c r="I33060"/>
      <c r="N33060"/>
      <c r="O33060" s="24"/>
      <c r="P33060"/>
      <c r="Q33060" s="24"/>
      <c r="R33060"/>
      <c r="S33060"/>
      <c r="T33060"/>
      <c r="U33060"/>
      <c r="X33060" s="60"/>
    </row>
    <row r="33061" spans="7:24" ht="15" customHeight="1">
      <c r="G33061"/>
      <c r="I33061"/>
      <c r="N33061"/>
      <c r="O33061" s="24"/>
      <c r="P33061"/>
      <c r="Q33061" s="24"/>
      <c r="R33061"/>
      <c r="S33061"/>
      <c r="T33061"/>
      <c r="U33061"/>
      <c r="X33061" s="60"/>
    </row>
    <row r="33062" spans="7:24" ht="15" customHeight="1">
      <c r="G33062"/>
      <c r="I33062"/>
      <c r="N33062"/>
      <c r="O33062" s="24"/>
      <c r="P33062"/>
      <c r="Q33062" s="24"/>
      <c r="R33062"/>
      <c r="S33062"/>
      <c r="T33062"/>
      <c r="U33062"/>
      <c r="X33062" s="60"/>
    </row>
    <row r="33063" spans="7:24" ht="15" customHeight="1">
      <c r="G33063"/>
      <c r="I33063"/>
      <c r="N33063"/>
      <c r="O33063" s="24"/>
      <c r="P33063"/>
      <c r="Q33063" s="24"/>
      <c r="R33063"/>
      <c r="S33063"/>
      <c r="T33063"/>
      <c r="U33063"/>
      <c r="X33063" s="60"/>
    </row>
    <row r="33064" spans="7:24" ht="15" customHeight="1">
      <c r="G33064"/>
      <c r="I33064"/>
      <c r="N33064"/>
      <c r="O33064" s="24"/>
      <c r="P33064"/>
      <c r="Q33064" s="24"/>
      <c r="R33064"/>
      <c r="S33064"/>
      <c r="T33064"/>
      <c r="U33064"/>
      <c r="X33064" s="60"/>
    </row>
    <row r="33065" spans="7:24" ht="15" customHeight="1">
      <c r="G33065"/>
      <c r="I33065"/>
      <c r="N33065"/>
      <c r="O33065" s="24"/>
      <c r="P33065"/>
      <c r="Q33065" s="24"/>
      <c r="R33065"/>
      <c r="S33065"/>
      <c r="T33065"/>
      <c r="U33065"/>
      <c r="X33065" s="60"/>
    </row>
    <row r="33066" spans="7:24" ht="15" customHeight="1">
      <c r="G33066"/>
      <c r="I33066"/>
      <c r="N33066"/>
      <c r="O33066" s="24"/>
      <c r="P33066"/>
      <c r="Q33066" s="24"/>
      <c r="R33066"/>
      <c r="S33066"/>
      <c r="T33066"/>
      <c r="U33066"/>
      <c r="X33066" s="60"/>
    </row>
    <row r="33067" spans="7:24" ht="15" customHeight="1">
      <c r="G33067"/>
      <c r="I33067"/>
      <c r="N33067"/>
      <c r="O33067" s="24"/>
      <c r="P33067"/>
      <c r="Q33067" s="24"/>
      <c r="R33067"/>
      <c r="S33067"/>
      <c r="T33067"/>
      <c r="U33067"/>
      <c r="X33067" s="60"/>
    </row>
    <row r="33068" spans="7:24" ht="15" customHeight="1">
      <c r="G33068"/>
      <c r="I33068"/>
      <c r="N33068"/>
      <c r="O33068" s="24"/>
      <c r="P33068"/>
      <c r="Q33068" s="24"/>
      <c r="R33068"/>
      <c r="S33068"/>
      <c r="T33068"/>
      <c r="U33068"/>
      <c r="X33068" s="60"/>
    </row>
    <row r="33069" spans="7:24" ht="15" customHeight="1">
      <c r="G33069"/>
      <c r="I33069"/>
      <c r="N33069"/>
      <c r="O33069" s="24"/>
      <c r="P33069"/>
      <c r="Q33069" s="24"/>
      <c r="R33069"/>
      <c r="S33069"/>
      <c r="T33069"/>
      <c r="U33069"/>
      <c r="X33069" s="60"/>
    </row>
    <row r="33070" spans="7:24" ht="15" customHeight="1">
      <c r="G33070"/>
      <c r="I33070"/>
      <c r="N33070"/>
      <c r="O33070" s="24"/>
      <c r="P33070"/>
      <c r="Q33070" s="24"/>
      <c r="R33070"/>
      <c r="S33070"/>
      <c r="T33070"/>
      <c r="U33070"/>
      <c r="X33070" s="60"/>
    </row>
    <row r="33071" spans="7:24" ht="15" customHeight="1">
      <c r="G33071"/>
      <c r="I33071"/>
      <c r="N33071"/>
      <c r="O33071" s="24"/>
      <c r="P33071"/>
      <c r="Q33071" s="24"/>
      <c r="R33071"/>
      <c r="S33071"/>
      <c r="T33071"/>
      <c r="U33071"/>
      <c r="X33071" s="60"/>
    </row>
    <row r="33072" spans="7:24" ht="15" customHeight="1">
      <c r="G33072"/>
      <c r="I33072"/>
      <c r="N33072"/>
      <c r="O33072" s="24"/>
      <c r="P33072"/>
      <c r="Q33072" s="24"/>
      <c r="R33072"/>
      <c r="S33072"/>
      <c r="T33072"/>
      <c r="U33072"/>
      <c r="X33072" s="60"/>
    </row>
    <row r="33073" spans="7:24" ht="15" customHeight="1">
      <c r="G33073"/>
      <c r="I33073"/>
      <c r="N33073"/>
      <c r="O33073" s="24"/>
      <c r="P33073"/>
      <c r="Q33073" s="24"/>
      <c r="R33073"/>
      <c r="S33073"/>
      <c r="T33073"/>
      <c r="U33073"/>
      <c r="X33073" s="60"/>
    </row>
    <row r="33074" spans="7:24" ht="15" customHeight="1">
      <c r="G33074"/>
      <c r="I33074"/>
      <c r="N33074"/>
      <c r="O33074" s="24"/>
      <c r="P33074"/>
      <c r="Q33074" s="24"/>
      <c r="R33074"/>
      <c r="S33074"/>
      <c r="T33074"/>
      <c r="U33074"/>
      <c r="X33074" s="60"/>
    </row>
    <row r="33075" spans="7:24" ht="15" customHeight="1">
      <c r="G33075"/>
      <c r="I33075"/>
      <c r="N33075"/>
      <c r="O33075" s="24"/>
      <c r="P33075"/>
      <c r="Q33075" s="24"/>
      <c r="R33075"/>
      <c r="S33075"/>
      <c r="T33075"/>
      <c r="U33075"/>
      <c r="X33075" s="60"/>
    </row>
    <row r="33076" spans="7:24" ht="15" customHeight="1">
      <c r="G33076"/>
      <c r="I33076"/>
      <c r="N33076"/>
      <c r="O33076" s="24"/>
      <c r="P33076"/>
      <c r="Q33076" s="24"/>
      <c r="R33076"/>
      <c r="S33076"/>
      <c r="T33076"/>
      <c r="U33076"/>
      <c r="X33076" s="60"/>
    </row>
    <row r="33077" spans="7:24" ht="15" customHeight="1">
      <c r="G33077"/>
      <c r="I33077"/>
      <c r="N33077"/>
      <c r="O33077" s="24"/>
      <c r="P33077"/>
      <c r="Q33077" s="24"/>
      <c r="R33077"/>
      <c r="S33077"/>
      <c r="T33077"/>
      <c r="U33077"/>
      <c r="X33077" s="60"/>
    </row>
    <row r="33078" spans="7:24" ht="15" customHeight="1">
      <c r="G33078"/>
      <c r="I33078"/>
      <c r="N33078"/>
      <c r="O33078" s="24"/>
      <c r="P33078"/>
      <c r="Q33078" s="24"/>
      <c r="R33078"/>
      <c r="S33078"/>
      <c r="T33078"/>
      <c r="U33078"/>
      <c r="X33078" s="60"/>
    </row>
    <row r="33079" spans="7:24" ht="15" customHeight="1">
      <c r="G33079"/>
      <c r="I33079"/>
      <c r="N33079"/>
      <c r="O33079" s="24"/>
      <c r="P33079"/>
      <c r="Q33079" s="24"/>
      <c r="R33079"/>
      <c r="S33079"/>
      <c r="T33079"/>
      <c r="U33079"/>
      <c r="X33079" s="60"/>
    </row>
    <row r="33080" spans="7:24" ht="15" customHeight="1">
      <c r="G33080"/>
      <c r="I33080"/>
      <c r="N33080"/>
      <c r="O33080" s="24"/>
      <c r="P33080"/>
      <c r="Q33080" s="24"/>
      <c r="R33080"/>
      <c r="S33080"/>
      <c r="T33080"/>
      <c r="U33080"/>
      <c r="X33080" s="60"/>
    </row>
    <row r="33081" spans="7:24" ht="15" customHeight="1">
      <c r="G33081"/>
      <c r="I33081"/>
      <c r="N33081"/>
      <c r="O33081" s="24"/>
      <c r="P33081"/>
      <c r="Q33081" s="24"/>
      <c r="R33081"/>
      <c r="S33081"/>
      <c r="T33081"/>
      <c r="U33081"/>
      <c r="X33081" s="60"/>
    </row>
    <row r="33082" spans="7:24" ht="15" customHeight="1">
      <c r="G33082"/>
      <c r="I33082"/>
      <c r="N33082"/>
      <c r="O33082" s="24"/>
      <c r="P33082"/>
      <c r="Q33082" s="24"/>
      <c r="R33082"/>
      <c r="S33082"/>
      <c r="T33082"/>
      <c r="U33082"/>
      <c r="X33082" s="60"/>
    </row>
    <row r="33083" spans="7:24" ht="15" customHeight="1">
      <c r="G33083"/>
      <c r="I33083"/>
      <c r="N33083"/>
      <c r="O33083" s="24"/>
      <c r="P33083"/>
      <c r="Q33083" s="24"/>
      <c r="R33083"/>
      <c r="S33083"/>
      <c r="T33083"/>
      <c r="U33083"/>
      <c r="X33083" s="60"/>
    </row>
    <row r="33084" spans="7:24" ht="15" customHeight="1">
      <c r="G33084"/>
      <c r="I33084"/>
      <c r="N33084"/>
      <c r="O33084" s="24"/>
      <c r="P33084"/>
      <c r="Q33084" s="24"/>
      <c r="R33084"/>
      <c r="S33084"/>
      <c r="T33084"/>
      <c r="U33084"/>
      <c r="X33084" s="60"/>
    </row>
    <row r="33085" spans="7:24" ht="15" customHeight="1">
      <c r="G33085"/>
      <c r="I33085"/>
      <c r="N33085"/>
      <c r="O33085" s="24"/>
      <c r="P33085"/>
      <c r="Q33085" s="24"/>
      <c r="R33085"/>
      <c r="S33085"/>
      <c r="T33085"/>
      <c r="U33085"/>
      <c r="X33085" s="60"/>
    </row>
    <row r="33086" spans="7:24" ht="15" customHeight="1">
      <c r="G33086"/>
      <c r="I33086"/>
      <c r="N33086"/>
      <c r="O33086" s="24"/>
      <c r="P33086"/>
      <c r="Q33086" s="24"/>
      <c r="R33086"/>
      <c r="S33086"/>
      <c r="T33086"/>
      <c r="U33086"/>
      <c r="X33086" s="60"/>
    </row>
    <row r="33087" spans="7:24" ht="15" customHeight="1">
      <c r="G33087"/>
      <c r="I33087"/>
      <c r="N33087"/>
      <c r="O33087" s="24"/>
      <c r="P33087"/>
      <c r="Q33087" s="24"/>
      <c r="R33087"/>
      <c r="S33087"/>
      <c r="T33087"/>
      <c r="U33087"/>
      <c r="X33087" s="60"/>
    </row>
    <row r="33088" spans="7:24" ht="15" customHeight="1">
      <c r="G33088"/>
      <c r="I33088"/>
      <c r="N33088"/>
      <c r="O33088" s="24"/>
      <c r="P33088"/>
      <c r="Q33088" s="24"/>
      <c r="R33088"/>
      <c r="S33088"/>
      <c r="T33088"/>
      <c r="U33088"/>
      <c r="X33088" s="60"/>
    </row>
    <row r="33089" spans="7:24" ht="15" customHeight="1">
      <c r="G33089"/>
      <c r="I33089"/>
      <c r="N33089"/>
      <c r="O33089" s="24"/>
      <c r="P33089"/>
      <c r="Q33089" s="24"/>
      <c r="R33089"/>
      <c r="S33089"/>
      <c r="T33089"/>
      <c r="U33089"/>
      <c r="X33089" s="60"/>
    </row>
    <row r="33090" spans="7:24" ht="15" customHeight="1">
      <c r="G33090"/>
      <c r="I33090"/>
      <c r="N33090"/>
      <c r="O33090" s="24"/>
      <c r="P33090"/>
      <c r="Q33090" s="24"/>
      <c r="R33090"/>
      <c r="S33090"/>
      <c r="T33090"/>
      <c r="U33090"/>
      <c r="X33090" s="60"/>
    </row>
    <row r="33091" spans="7:24" ht="15" customHeight="1">
      <c r="G33091"/>
      <c r="I33091"/>
      <c r="N33091"/>
      <c r="O33091" s="24"/>
      <c r="P33091"/>
      <c r="Q33091" s="24"/>
      <c r="R33091"/>
      <c r="S33091"/>
      <c r="T33091"/>
      <c r="U33091"/>
      <c r="X33091" s="60"/>
    </row>
    <row r="33092" spans="7:24" ht="15" customHeight="1">
      <c r="G33092"/>
      <c r="I33092"/>
      <c r="N33092"/>
      <c r="O33092" s="24"/>
      <c r="P33092"/>
      <c r="Q33092" s="24"/>
      <c r="R33092"/>
      <c r="S33092"/>
      <c r="T33092"/>
      <c r="U33092"/>
      <c r="X33092" s="60"/>
    </row>
    <row r="33093" spans="7:24" ht="15" customHeight="1">
      <c r="G33093"/>
      <c r="I33093"/>
      <c r="N33093"/>
      <c r="O33093" s="24"/>
      <c r="P33093"/>
      <c r="Q33093" s="24"/>
      <c r="R33093"/>
      <c r="S33093"/>
      <c r="T33093"/>
      <c r="U33093"/>
      <c r="X33093" s="60"/>
    </row>
    <row r="33094" spans="7:24" ht="15" customHeight="1">
      <c r="G33094"/>
      <c r="I33094"/>
      <c r="N33094"/>
      <c r="O33094" s="24"/>
      <c r="P33094"/>
      <c r="Q33094" s="24"/>
      <c r="R33094"/>
      <c r="S33094"/>
      <c r="T33094"/>
      <c r="U33094"/>
      <c r="X33094" s="60"/>
    </row>
    <row r="33095" spans="7:24" ht="15" customHeight="1">
      <c r="G33095"/>
      <c r="I33095"/>
      <c r="N33095"/>
      <c r="O33095" s="24"/>
      <c r="P33095"/>
      <c r="Q33095" s="24"/>
      <c r="R33095"/>
      <c r="S33095"/>
      <c r="T33095"/>
      <c r="U33095"/>
      <c r="X33095" s="60"/>
    </row>
    <row r="33096" spans="7:24" ht="15" customHeight="1">
      <c r="G33096"/>
      <c r="I33096"/>
      <c r="N33096"/>
      <c r="O33096" s="24"/>
      <c r="P33096"/>
      <c r="Q33096" s="24"/>
      <c r="R33096"/>
      <c r="S33096"/>
      <c r="T33096"/>
      <c r="U33096"/>
      <c r="X33096" s="60"/>
    </row>
    <row r="33097" spans="7:24" ht="15" customHeight="1">
      <c r="G33097"/>
      <c r="I33097"/>
      <c r="N33097"/>
      <c r="O33097" s="24"/>
      <c r="P33097"/>
      <c r="Q33097" s="24"/>
      <c r="R33097"/>
      <c r="S33097"/>
      <c r="T33097"/>
      <c r="U33097"/>
      <c r="X33097" s="60"/>
    </row>
    <row r="33098" spans="7:24" ht="15" customHeight="1">
      <c r="G33098"/>
      <c r="I33098"/>
      <c r="N33098"/>
      <c r="O33098" s="24"/>
      <c r="P33098"/>
      <c r="Q33098" s="24"/>
      <c r="R33098"/>
      <c r="S33098"/>
      <c r="T33098"/>
      <c r="U33098"/>
      <c r="X33098" s="60"/>
    </row>
    <row r="33099" spans="7:24" ht="15" customHeight="1">
      <c r="G33099"/>
      <c r="I33099"/>
      <c r="N33099"/>
      <c r="O33099" s="24"/>
      <c r="P33099"/>
      <c r="Q33099" s="24"/>
      <c r="R33099"/>
      <c r="S33099"/>
      <c r="T33099"/>
      <c r="U33099"/>
      <c r="X33099" s="60"/>
    </row>
    <row r="33100" spans="7:24" ht="15" customHeight="1">
      <c r="G33100"/>
      <c r="I33100"/>
      <c r="N33100"/>
      <c r="O33100" s="24"/>
      <c r="P33100"/>
      <c r="Q33100" s="24"/>
      <c r="R33100"/>
      <c r="S33100"/>
      <c r="T33100"/>
      <c r="U33100"/>
      <c r="X33100" s="60"/>
    </row>
    <row r="33101" spans="7:24" ht="15" customHeight="1">
      <c r="G33101"/>
      <c r="I33101"/>
      <c r="N33101"/>
      <c r="O33101" s="24"/>
      <c r="P33101"/>
      <c r="Q33101" s="24"/>
      <c r="R33101"/>
      <c r="S33101"/>
      <c r="T33101"/>
      <c r="U33101"/>
      <c r="X33101" s="60"/>
    </row>
    <row r="33102" spans="7:24" ht="15" customHeight="1">
      <c r="G33102"/>
      <c r="I33102"/>
      <c r="N33102"/>
      <c r="O33102" s="24"/>
      <c r="P33102"/>
      <c r="Q33102" s="24"/>
      <c r="R33102"/>
      <c r="S33102"/>
      <c r="T33102"/>
      <c r="U33102"/>
      <c r="X33102" s="60"/>
    </row>
    <row r="33103" spans="7:24" ht="15" customHeight="1">
      <c r="G33103"/>
      <c r="I33103"/>
      <c r="N33103"/>
      <c r="O33103" s="24"/>
      <c r="P33103"/>
      <c r="Q33103" s="24"/>
      <c r="R33103"/>
      <c r="S33103"/>
      <c r="T33103"/>
      <c r="U33103"/>
      <c r="X33103" s="60"/>
    </row>
    <row r="33104" spans="7:24" ht="15" customHeight="1">
      <c r="G33104"/>
      <c r="I33104"/>
      <c r="N33104"/>
      <c r="O33104" s="24"/>
      <c r="P33104"/>
      <c r="Q33104" s="24"/>
      <c r="R33104"/>
      <c r="S33104"/>
      <c r="T33104"/>
      <c r="U33104"/>
      <c r="X33104" s="60"/>
    </row>
    <row r="33105" spans="7:24" ht="15" customHeight="1">
      <c r="G33105"/>
      <c r="I33105"/>
      <c r="N33105"/>
      <c r="O33105" s="24"/>
      <c r="P33105"/>
      <c r="Q33105" s="24"/>
      <c r="R33105"/>
      <c r="S33105"/>
      <c r="T33105"/>
      <c r="U33105"/>
      <c r="X33105" s="60"/>
    </row>
    <row r="33106" spans="7:24" ht="15" customHeight="1">
      <c r="G33106"/>
      <c r="I33106"/>
      <c r="N33106"/>
      <c r="O33106" s="24"/>
      <c r="P33106"/>
      <c r="Q33106" s="24"/>
      <c r="R33106"/>
      <c r="S33106"/>
      <c r="T33106"/>
      <c r="U33106"/>
      <c r="X33106" s="60"/>
    </row>
    <row r="33107" spans="7:24" ht="15" customHeight="1">
      <c r="G33107"/>
      <c r="I33107"/>
      <c r="N33107"/>
      <c r="O33107" s="24"/>
      <c r="P33107"/>
      <c r="Q33107" s="24"/>
      <c r="R33107"/>
      <c r="S33107"/>
      <c r="T33107"/>
      <c r="U33107"/>
      <c r="X33107" s="60"/>
    </row>
    <row r="33108" spans="7:24" ht="15" customHeight="1">
      <c r="G33108"/>
      <c r="I33108"/>
      <c r="N33108"/>
      <c r="O33108" s="24"/>
      <c r="P33108"/>
      <c r="Q33108" s="24"/>
      <c r="R33108"/>
      <c r="S33108"/>
      <c r="T33108"/>
      <c r="U33108"/>
      <c r="X33108" s="60"/>
    </row>
    <row r="33109" spans="7:24" ht="15" customHeight="1">
      <c r="G33109"/>
      <c r="I33109"/>
      <c r="N33109"/>
      <c r="O33109" s="24"/>
      <c r="P33109"/>
      <c r="Q33109" s="24"/>
      <c r="R33109"/>
      <c r="S33109"/>
      <c r="T33109"/>
      <c r="U33109"/>
      <c r="X33109" s="60"/>
    </row>
    <row r="33110" spans="7:24" ht="15" customHeight="1">
      <c r="G33110"/>
      <c r="I33110"/>
      <c r="N33110"/>
      <c r="O33110" s="24"/>
      <c r="P33110"/>
      <c r="Q33110" s="24"/>
      <c r="R33110"/>
      <c r="S33110"/>
      <c r="T33110"/>
      <c r="U33110"/>
      <c r="X33110" s="60"/>
    </row>
    <row r="33111" spans="7:24" ht="15" customHeight="1">
      <c r="G33111"/>
      <c r="I33111"/>
      <c r="N33111"/>
      <c r="O33111" s="24"/>
      <c r="P33111"/>
      <c r="Q33111" s="24"/>
      <c r="R33111"/>
      <c r="S33111"/>
      <c r="T33111"/>
      <c r="U33111"/>
      <c r="X33111" s="60"/>
    </row>
    <row r="33112" spans="7:24" ht="15" customHeight="1">
      <c r="G33112"/>
      <c r="I33112"/>
      <c r="N33112"/>
      <c r="O33112" s="24"/>
      <c r="P33112"/>
      <c r="Q33112" s="24"/>
      <c r="R33112"/>
      <c r="S33112"/>
      <c r="T33112"/>
      <c r="U33112"/>
      <c r="X33112" s="60"/>
    </row>
    <row r="33113" spans="7:24" ht="15" customHeight="1">
      <c r="G33113"/>
      <c r="I33113"/>
      <c r="N33113"/>
      <c r="O33113" s="24"/>
      <c r="P33113"/>
      <c r="Q33113" s="24"/>
      <c r="R33113"/>
      <c r="S33113"/>
      <c r="T33113"/>
      <c r="U33113"/>
      <c r="X33113" s="60"/>
    </row>
    <row r="33114" spans="7:24" ht="15" customHeight="1">
      <c r="G33114"/>
      <c r="I33114"/>
      <c r="N33114"/>
      <c r="O33114" s="24"/>
      <c r="P33114"/>
      <c r="Q33114" s="24"/>
      <c r="R33114"/>
      <c r="S33114"/>
      <c r="T33114"/>
      <c r="U33114"/>
      <c r="X33114" s="60"/>
    </row>
    <row r="33115" spans="7:24" ht="15" customHeight="1">
      <c r="G33115"/>
      <c r="I33115"/>
      <c r="N33115"/>
      <c r="O33115" s="24"/>
      <c r="P33115"/>
      <c r="Q33115" s="24"/>
      <c r="R33115"/>
      <c r="S33115"/>
      <c r="T33115"/>
      <c r="U33115"/>
      <c r="X33115" s="60"/>
    </row>
    <row r="33116" spans="7:24" ht="15" customHeight="1">
      <c r="G33116"/>
      <c r="I33116"/>
      <c r="N33116"/>
      <c r="O33116" s="24"/>
      <c r="P33116"/>
      <c r="Q33116" s="24"/>
      <c r="R33116"/>
      <c r="S33116"/>
      <c r="T33116"/>
      <c r="U33116"/>
      <c r="X33116" s="60"/>
    </row>
    <row r="33117" spans="7:24" ht="15" customHeight="1">
      <c r="G33117"/>
      <c r="I33117"/>
      <c r="N33117"/>
      <c r="O33117" s="24"/>
      <c r="P33117"/>
      <c r="Q33117" s="24"/>
      <c r="R33117"/>
      <c r="S33117"/>
      <c r="T33117"/>
      <c r="U33117"/>
      <c r="X33117" s="60"/>
    </row>
    <row r="33118" spans="7:24" ht="15" customHeight="1">
      <c r="G33118"/>
      <c r="I33118"/>
      <c r="N33118"/>
      <c r="O33118" s="24"/>
      <c r="P33118"/>
      <c r="Q33118" s="24"/>
      <c r="R33118"/>
      <c r="S33118"/>
      <c r="T33118"/>
      <c r="U33118"/>
      <c r="X33118" s="60"/>
    </row>
    <row r="33119" spans="7:24" ht="15" customHeight="1">
      <c r="G33119"/>
      <c r="I33119"/>
      <c r="N33119"/>
      <c r="O33119" s="24"/>
      <c r="P33119"/>
      <c r="Q33119" s="24"/>
      <c r="R33119"/>
      <c r="S33119"/>
      <c r="T33119"/>
      <c r="U33119"/>
      <c r="X33119" s="60"/>
    </row>
    <row r="33120" spans="7:24" ht="15" customHeight="1">
      <c r="G33120"/>
      <c r="I33120"/>
      <c r="N33120"/>
      <c r="O33120" s="24"/>
      <c r="P33120"/>
      <c r="Q33120" s="24"/>
      <c r="R33120"/>
      <c r="S33120"/>
      <c r="T33120"/>
      <c r="U33120"/>
      <c r="X33120" s="60"/>
    </row>
    <row r="33121" spans="7:24" ht="15" customHeight="1">
      <c r="G33121"/>
      <c r="I33121"/>
      <c r="N33121"/>
      <c r="O33121" s="24"/>
      <c r="P33121"/>
      <c r="Q33121" s="24"/>
      <c r="R33121"/>
      <c r="S33121"/>
      <c r="T33121"/>
      <c r="U33121"/>
      <c r="X33121" s="60"/>
    </row>
    <row r="33122" spans="7:24" ht="15" customHeight="1">
      <c r="G33122"/>
      <c r="I33122"/>
      <c r="N33122"/>
      <c r="O33122" s="24"/>
      <c r="P33122"/>
      <c r="Q33122" s="24"/>
      <c r="R33122"/>
      <c r="S33122"/>
      <c r="T33122"/>
      <c r="U33122"/>
      <c r="X33122" s="60"/>
    </row>
    <row r="33123" spans="7:24" ht="15" customHeight="1">
      <c r="G33123"/>
      <c r="I33123"/>
      <c r="N33123"/>
      <c r="O33123" s="24"/>
      <c r="P33123"/>
      <c r="Q33123" s="24"/>
      <c r="R33123"/>
      <c r="S33123"/>
      <c r="T33123"/>
      <c r="U33123"/>
      <c r="X33123" s="60"/>
    </row>
    <row r="33124" spans="7:24" ht="15" customHeight="1">
      <c r="G33124"/>
      <c r="I33124"/>
      <c r="N33124"/>
      <c r="O33124" s="24"/>
      <c r="P33124"/>
      <c r="Q33124" s="24"/>
      <c r="R33124"/>
      <c r="S33124"/>
      <c r="T33124"/>
      <c r="U33124"/>
      <c r="X33124" s="60"/>
    </row>
    <row r="33125" spans="7:24" ht="15" customHeight="1">
      <c r="G33125"/>
      <c r="I33125"/>
      <c r="N33125"/>
      <c r="O33125" s="24"/>
      <c r="P33125"/>
      <c r="Q33125" s="24"/>
      <c r="R33125"/>
      <c r="S33125"/>
      <c r="T33125"/>
      <c r="U33125"/>
      <c r="X33125" s="60"/>
    </row>
    <row r="33126" spans="7:24" ht="15" customHeight="1">
      <c r="G33126"/>
      <c r="I33126"/>
      <c r="N33126"/>
      <c r="O33126" s="24"/>
      <c r="P33126"/>
      <c r="Q33126" s="24"/>
      <c r="R33126"/>
      <c r="S33126"/>
      <c r="T33126"/>
      <c r="U33126"/>
      <c r="X33126" s="60"/>
    </row>
    <row r="33127" spans="7:24" ht="15" customHeight="1">
      <c r="G33127"/>
      <c r="I33127"/>
      <c r="N33127"/>
      <c r="O33127" s="24"/>
      <c r="P33127"/>
      <c r="Q33127" s="24"/>
      <c r="R33127"/>
      <c r="S33127"/>
      <c r="T33127"/>
      <c r="U33127"/>
      <c r="X33127" s="60"/>
    </row>
    <row r="33128" spans="7:24" ht="15" customHeight="1">
      <c r="G33128"/>
      <c r="I33128"/>
      <c r="N33128"/>
      <c r="O33128" s="24"/>
      <c r="P33128"/>
      <c r="Q33128" s="24"/>
      <c r="R33128"/>
      <c r="S33128"/>
      <c r="T33128"/>
      <c r="U33128"/>
      <c r="X33128" s="60"/>
    </row>
    <row r="33129" spans="7:24" ht="15" customHeight="1">
      <c r="G33129"/>
      <c r="I33129"/>
      <c r="N33129"/>
      <c r="O33129" s="24"/>
      <c r="P33129"/>
      <c r="Q33129" s="24"/>
      <c r="R33129"/>
      <c r="S33129"/>
      <c r="T33129"/>
      <c r="U33129"/>
      <c r="X33129" s="60"/>
    </row>
    <row r="33130" spans="7:24" ht="15" customHeight="1">
      <c r="G33130"/>
      <c r="I33130"/>
      <c r="N33130"/>
      <c r="O33130" s="24"/>
      <c r="P33130"/>
      <c r="Q33130" s="24"/>
      <c r="R33130"/>
      <c r="S33130"/>
      <c r="T33130"/>
      <c r="U33130"/>
      <c r="X33130" s="60"/>
    </row>
    <row r="33131" spans="7:24" ht="15" customHeight="1">
      <c r="G33131"/>
      <c r="I33131"/>
      <c r="N33131"/>
      <c r="O33131" s="24"/>
      <c r="P33131"/>
      <c r="Q33131" s="24"/>
      <c r="R33131"/>
      <c r="S33131"/>
      <c r="T33131"/>
      <c r="U33131"/>
      <c r="X33131" s="60"/>
    </row>
    <row r="33132" spans="7:24" ht="15" customHeight="1">
      <c r="G33132"/>
      <c r="I33132"/>
      <c r="N33132"/>
      <c r="O33132" s="24"/>
      <c r="P33132"/>
      <c r="Q33132" s="24"/>
      <c r="R33132"/>
      <c r="S33132"/>
      <c r="T33132"/>
      <c r="U33132"/>
      <c r="X33132" s="60"/>
    </row>
    <row r="33133" spans="7:24" ht="15" customHeight="1">
      <c r="G33133"/>
      <c r="I33133"/>
      <c r="N33133"/>
      <c r="O33133" s="24"/>
      <c r="P33133"/>
      <c r="Q33133" s="24"/>
      <c r="R33133"/>
      <c r="S33133"/>
      <c r="T33133"/>
      <c r="U33133"/>
      <c r="X33133" s="60"/>
    </row>
    <row r="33134" spans="7:24" ht="15" customHeight="1">
      <c r="G33134"/>
      <c r="I33134"/>
      <c r="N33134"/>
      <c r="O33134" s="24"/>
      <c r="P33134"/>
      <c r="Q33134" s="24"/>
      <c r="R33134"/>
      <c r="S33134"/>
      <c r="T33134"/>
      <c r="U33134"/>
      <c r="X33134" s="60"/>
    </row>
    <row r="33135" spans="7:24" ht="15" customHeight="1">
      <c r="G33135"/>
      <c r="I33135"/>
      <c r="N33135"/>
      <c r="O33135" s="24"/>
      <c r="P33135"/>
      <c r="Q33135" s="24"/>
      <c r="R33135"/>
      <c r="S33135"/>
      <c r="T33135"/>
      <c r="U33135"/>
      <c r="X33135" s="60"/>
    </row>
    <row r="33136" spans="7:24" ht="15" customHeight="1">
      <c r="G33136"/>
      <c r="I33136"/>
      <c r="N33136"/>
      <c r="O33136" s="24"/>
      <c r="P33136"/>
      <c r="Q33136" s="24"/>
      <c r="R33136"/>
      <c r="S33136"/>
      <c r="T33136"/>
      <c r="U33136"/>
      <c r="X33136" s="60"/>
    </row>
    <row r="33137" spans="7:24" ht="15" customHeight="1">
      <c r="G33137"/>
      <c r="I33137"/>
      <c r="N33137"/>
      <c r="O33137" s="24"/>
      <c r="P33137"/>
      <c r="Q33137" s="24"/>
      <c r="R33137"/>
      <c r="S33137"/>
      <c r="T33137"/>
      <c r="U33137"/>
      <c r="X33137" s="60"/>
    </row>
    <row r="33138" spans="7:24" ht="15" customHeight="1">
      <c r="G33138"/>
      <c r="I33138"/>
      <c r="N33138"/>
      <c r="O33138" s="24"/>
      <c r="P33138"/>
      <c r="Q33138" s="24"/>
      <c r="R33138"/>
      <c r="S33138"/>
      <c r="T33138"/>
      <c r="U33138"/>
      <c r="X33138" s="60"/>
    </row>
    <row r="33139" spans="7:24" ht="15" customHeight="1">
      <c r="G33139"/>
      <c r="I33139"/>
      <c r="N33139"/>
      <c r="O33139" s="24"/>
      <c r="P33139"/>
      <c r="Q33139" s="24"/>
      <c r="R33139"/>
      <c r="S33139"/>
      <c r="T33139"/>
      <c r="U33139"/>
      <c r="X33139" s="60"/>
    </row>
    <row r="33140" spans="7:24" ht="15" customHeight="1">
      <c r="G33140"/>
      <c r="I33140"/>
      <c r="N33140"/>
      <c r="O33140" s="24"/>
      <c r="P33140"/>
      <c r="Q33140" s="24"/>
      <c r="R33140"/>
      <c r="S33140"/>
      <c r="T33140"/>
      <c r="U33140"/>
      <c r="X33140" s="60"/>
    </row>
    <row r="33141" spans="7:24" ht="15" customHeight="1">
      <c r="G33141"/>
      <c r="I33141"/>
      <c r="N33141"/>
      <c r="O33141" s="24"/>
      <c r="P33141"/>
      <c r="Q33141" s="24"/>
      <c r="R33141"/>
      <c r="S33141"/>
      <c r="T33141"/>
      <c r="U33141"/>
      <c r="X33141" s="60"/>
    </row>
    <row r="33142" spans="7:24" ht="15" customHeight="1">
      <c r="G33142"/>
      <c r="I33142"/>
      <c r="N33142"/>
      <c r="O33142" s="24"/>
      <c r="P33142"/>
      <c r="Q33142" s="24"/>
      <c r="R33142"/>
      <c r="S33142"/>
      <c r="T33142"/>
      <c r="U33142"/>
      <c r="X33142" s="60"/>
    </row>
    <row r="33143" spans="7:24" ht="15" customHeight="1">
      <c r="G33143"/>
      <c r="I33143"/>
      <c r="N33143"/>
      <c r="O33143" s="24"/>
      <c r="P33143"/>
      <c r="Q33143" s="24"/>
      <c r="R33143"/>
      <c r="S33143"/>
      <c r="T33143"/>
      <c r="U33143"/>
      <c r="X33143" s="60"/>
    </row>
    <row r="33144" spans="7:24" ht="15" customHeight="1">
      <c r="G33144"/>
      <c r="I33144"/>
      <c r="N33144"/>
      <c r="O33144" s="24"/>
      <c r="P33144"/>
      <c r="Q33144" s="24"/>
      <c r="R33144"/>
      <c r="S33144"/>
      <c r="T33144"/>
      <c r="U33144"/>
      <c r="X33144" s="60"/>
    </row>
    <row r="33145" spans="7:24" ht="15" customHeight="1">
      <c r="G33145"/>
      <c r="I33145"/>
      <c r="N33145"/>
      <c r="O33145" s="24"/>
      <c r="P33145"/>
      <c r="Q33145" s="24"/>
      <c r="R33145"/>
      <c r="S33145"/>
      <c r="T33145"/>
      <c r="U33145"/>
      <c r="X33145" s="60"/>
    </row>
    <row r="33146" spans="7:24" ht="15" customHeight="1">
      <c r="G33146"/>
      <c r="I33146"/>
      <c r="N33146"/>
      <c r="O33146" s="24"/>
      <c r="P33146"/>
      <c r="Q33146" s="24"/>
      <c r="R33146"/>
      <c r="S33146"/>
      <c r="T33146"/>
      <c r="U33146"/>
      <c r="X33146" s="60"/>
    </row>
    <row r="33147" spans="7:24" ht="15" customHeight="1">
      <c r="G33147"/>
      <c r="I33147"/>
      <c r="N33147"/>
      <c r="O33147" s="24"/>
      <c r="P33147"/>
      <c r="Q33147" s="24"/>
      <c r="R33147"/>
      <c r="S33147"/>
      <c r="T33147"/>
      <c r="U33147"/>
      <c r="X33147" s="60"/>
    </row>
    <row r="33148" spans="7:24" ht="15" customHeight="1">
      <c r="G33148"/>
      <c r="I33148"/>
      <c r="N33148"/>
      <c r="O33148" s="24"/>
      <c r="P33148"/>
      <c r="Q33148" s="24"/>
      <c r="R33148"/>
      <c r="S33148"/>
      <c r="T33148"/>
      <c r="U33148"/>
      <c r="X33148" s="60"/>
    </row>
    <row r="33149" spans="7:24" ht="15" customHeight="1">
      <c r="G33149"/>
      <c r="I33149"/>
      <c r="N33149"/>
      <c r="O33149" s="24"/>
      <c r="P33149"/>
      <c r="Q33149" s="24"/>
      <c r="R33149"/>
      <c r="S33149"/>
      <c r="T33149"/>
      <c r="U33149"/>
      <c r="X33149" s="60"/>
    </row>
    <row r="33150" spans="7:24" ht="15" customHeight="1">
      <c r="G33150"/>
      <c r="I33150"/>
      <c r="N33150"/>
      <c r="O33150" s="24"/>
      <c r="P33150"/>
      <c r="Q33150" s="24"/>
      <c r="R33150"/>
      <c r="S33150"/>
      <c r="T33150"/>
      <c r="U33150"/>
      <c r="X33150" s="60"/>
    </row>
    <row r="33151" spans="7:24" ht="15" customHeight="1">
      <c r="G33151"/>
      <c r="I33151"/>
      <c r="N33151"/>
      <c r="O33151" s="24"/>
      <c r="P33151"/>
      <c r="Q33151" s="24"/>
      <c r="R33151"/>
      <c r="S33151"/>
      <c r="T33151"/>
      <c r="U33151"/>
      <c r="X33151" s="60"/>
    </row>
    <row r="33152" spans="7:24" ht="15" customHeight="1">
      <c r="G33152"/>
      <c r="I33152"/>
      <c r="N33152"/>
      <c r="O33152" s="24"/>
      <c r="P33152"/>
      <c r="Q33152" s="24"/>
      <c r="R33152"/>
      <c r="S33152"/>
      <c r="T33152"/>
      <c r="U33152"/>
      <c r="X33152" s="60"/>
    </row>
    <row r="33153" spans="7:24" ht="15" customHeight="1">
      <c r="G33153"/>
      <c r="I33153"/>
      <c r="N33153"/>
      <c r="O33153" s="24"/>
      <c r="P33153"/>
      <c r="Q33153" s="24"/>
      <c r="R33153"/>
      <c r="S33153"/>
      <c r="T33153"/>
      <c r="U33153"/>
      <c r="X33153" s="60"/>
    </row>
    <row r="33154" spans="7:24" ht="15" customHeight="1">
      <c r="G33154"/>
      <c r="I33154"/>
      <c r="N33154"/>
      <c r="O33154" s="24"/>
      <c r="P33154"/>
      <c r="Q33154" s="24"/>
      <c r="R33154"/>
      <c r="S33154"/>
      <c r="T33154"/>
      <c r="U33154"/>
      <c r="X33154" s="60"/>
    </row>
    <row r="33155" spans="7:24" ht="15" customHeight="1">
      <c r="G33155"/>
      <c r="I33155"/>
      <c r="N33155"/>
      <c r="O33155" s="24"/>
      <c r="P33155"/>
      <c r="Q33155" s="24"/>
      <c r="R33155"/>
      <c r="S33155"/>
      <c r="T33155"/>
      <c r="U33155"/>
      <c r="X33155" s="60"/>
    </row>
    <row r="33156" spans="7:24" ht="15" customHeight="1">
      <c r="G33156"/>
      <c r="I33156"/>
      <c r="N33156"/>
      <c r="O33156" s="24"/>
      <c r="P33156"/>
      <c r="Q33156" s="24"/>
      <c r="R33156"/>
      <c r="S33156"/>
      <c r="T33156"/>
      <c r="U33156"/>
      <c r="X33156" s="60"/>
    </row>
    <row r="33157" spans="7:24" ht="15" customHeight="1">
      <c r="G33157"/>
      <c r="I33157"/>
      <c r="N33157"/>
      <c r="O33157" s="24"/>
      <c r="P33157"/>
      <c r="Q33157" s="24"/>
      <c r="R33157"/>
      <c r="S33157"/>
      <c r="T33157"/>
      <c r="U33157"/>
      <c r="X33157" s="60"/>
    </row>
    <row r="33158" spans="7:24" ht="15" customHeight="1">
      <c r="G33158"/>
      <c r="I33158"/>
      <c r="N33158"/>
      <c r="O33158" s="24"/>
      <c r="P33158"/>
      <c r="Q33158" s="24"/>
      <c r="R33158"/>
      <c r="S33158"/>
      <c r="T33158"/>
      <c r="U33158"/>
      <c r="X33158" s="60"/>
    </row>
    <row r="33159" spans="7:24" ht="15" customHeight="1">
      <c r="G33159"/>
      <c r="I33159"/>
      <c r="N33159"/>
      <c r="O33159" s="24"/>
      <c r="P33159"/>
      <c r="Q33159" s="24"/>
      <c r="R33159"/>
      <c r="S33159"/>
      <c r="T33159"/>
      <c r="U33159"/>
      <c r="X33159" s="60"/>
    </row>
    <row r="33160" spans="7:24" ht="15" customHeight="1">
      <c r="G33160"/>
      <c r="I33160"/>
      <c r="N33160"/>
      <c r="O33160" s="24"/>
      <c r="P33160"/>
      <c r="Q33160" s="24"/>
      <c r="R33160"/>
      <c r="S33160"/>
      <c r="T33160"/>
      <c r="U33160"/>
      <c r="X33160" s="60"/>
    </row>
    <row r="33161" spans="7:24" ht="15" customHeight="1">
      <c r="G33161"/>
      <c r="I33161"/>
      <c r="N33161"/>
      <c r="O33161" s="24"/>
      <c r="P33161"/>
      <c r="Q33161" s="24"/>
      <c r="R33161"/>
      <c r="S33161"/>
      <c r="T33161"/>
      <c r="U33161"/>
      <c r="X33161" s="60"/>
    </row>
    <row r="33162" spans="7:24" ht="15" customHeight="1">
      <c r="G33162"/>
      <c r="I33162"/>
      <c r="N33162"/>
      <c r="O33162" s="24"/>
      <c r="P33162"/>
      <c r="Q33162" s="24"/>
      <c r="R33162"/>
      <c r="S33162"/>
      <c r="T33162"/>
      <c r="U33162"/>
      <c r="X33162" s="60"/>
    </row>
    <row r="33163" spans="7:24" ht="15" customHeight="1">
      <c r="G33163"/>
      <c r="I33163"/>
      <c r="N33163"/>
      <c r="O33163" s="24"/>
      <c r="P33163"/>
      <c r="Q33163" s="24"/>
      <c r="R33163"/>
      <c r="S33163"/>
      <c r="T33163"/>
      <c r="U33163"/>
      <c r="X33163" s="60"/>
    </row>
    <row r="33164" spans="7:24" ht="15" customHeight="1">
      <c r="G33164"/>
      <c r="I33164"/>
      <c r="N33164"/>
      <c r="O33164" s="24"/>
      <c r="P33164"/>
      <c r="Q33164" s="24"/>
      <c r="R33164"/>
      <c r="S33164"/>
      <c r="T33164"/>
      <c r="U33164"/>
      <c r="X33164" s="60"/>
    </row>
    <row r="33165" spans="7:24" ht="15" customHeight="1">
      <c r="G33165"/>
      <c r="I33165"/>
      <c r="N33165"/>
      <c r="O33165" s="24"/>
      <c r="P33165"/>
      <c r="Q33165" s="24"/>
      <c r="R33165"/>
      <c r="S33165"/>
      <c r="T33165"/>
      <c r="U33165"/>
      <c r="X33165" s="60"/>
    </row>
    <row r="33166" spans="7:24" ht="15" customHeight="1">
      <c r="G33166"/>
      <c r="I33166"/>
      <c r="N33166"/>
      <c r="O33166" s="24"/>
      <c r="P33166"/>
      <c r="Q33166" s="24"/>
      <c r="R33166"/>
      <c r="S33166"/>
      <c r="T33166"/>
      <c r="U33166"/>
      <c r="X33166" s="60"/>
    </row>
    <row r="33167" spans="7:24" ht="15" customHeight="1">
      <c r="G33167"/>
      <c r="I33167"/>
      <c r="N33167"/>
      <c r="O33167" s="24"/>
      <c r="P33167"/>
      <c r="Q33167" s="24"/>
      <c r="R33167"/>
      <c r="S33167"/>
      <c r="T33167"/>
      <c r="U33167"/>
      <c r="X33167" s="60"/>
    </row>
    <row r="33168" spans="7:24" ht="15" customHeight="1">
      <c r="G33168"/>
      <c r="I33168"/>
      <c r="N33168"/>
      <c r="O33168" s="24"/>
      <c r="P33168"/>
      <c r="Q33168" s="24"/>
      <c r="R33168"/>
      <c r="S33168"/>
      <c r="T33168"/>
      <c r="U33168"/>
      <c r="X33168" s="60"/>
    </row>
    <row r="33169" spans="7:24" ht="15" customHeight="1">
      <c r="G33169"/>
      <c r="I33169"/>
      <c r="N33169"/>
      <c r="O33169" s="24"/>
      <c r="P33169"/>
      <c r="Q33169" s="24"/>
      <c r="R33169"/>
      <c r="S33169"/>
      <c r="T33169"/>
      <c r="U33169"/>
      <c r="X33169" s="60"/>
    </row>
    <row r="33170" spans="7:24" ht="15" customHeight="1">
      <c r="G33170"/>
      <c r="I33170"/>
      <c r="N33170"/>
      <c r="O33170" s="24"/>
      <c r="P33170"/>
      <c r="Q33170" s="24"/>
      <c r="R33170"/>
      <c r="S33170"/>
      <c r="T33170"/>
      <c r="U33170"/>
      <c r="X33170" s="60"/>
    </row>
    <row r="33171" spans="7:24" ht="15" customHeight="1">
      <c r="G33171"/>
      <c r="I33171"/>
      <c r="N33171"/>
      <c r="O33171" s="24"/>
      <c r="P33171"/>
      <c r="Q33171" s="24"/>
      <c r="R33171"/>
      <c r="S33171"/>
      <c r="T33171"/>
      <c r="U33171"/>
      <c r="X33171" s="60"/>
    </row>
    <row r="33172" spans="7:24" ht="15" customHeight="1">
      <c r="G33172"/>
      <c r="I33172"/>
      <c r="N33172"/>
      <c r="O33172" s="24"/>
      <c r="P33172"/>
      <c r="Q33172" s="24"/>
      <c r="R33172"/>
      <c r="S33172"/>
      <c r="T33172"/>
      <c r="U33172"/>
      <c r="X33172" s="60"/>
    </row>
    <row r="33173" spans="7:24" ht="15" customHeight="1">
      <c r="G33173"/>
      <c r="I33173"/>
      <c r="N33173"/>
      <c r="O33173" s="24"/>
      <c r="P33173"/>
      <c r="Q33173" s="24"/>
      <c r="R33173"/>
      <c r="S33173"/>
      <c r="T33173"/>
      <c r="U33173"/>
      <c r="X33173" s="60"/>
    </row>
    <row r="33174" spans="7:24" ht="15" customHeight="1">
      <c r="G33174"/>
      <c r="I33174"/>
      <c r="N33174"/>
      <c r="O33174" s="24"/>
      <c r="P33174"/>
      <c r="Q33174" s="24"/>
      <c r="R33174"/>
      <c r="S33174"/>
      <c r="T33174"/>
      <c r="U33174"/>
      <c r="X33174" s="60"/>
    </row>
    <row r="33175" spans="7:24" ht="15" customHeight="1">
      <c r="G33175"/>
      <c r="I33175"/>
      <c r="N33175"/>
      <c r="O33175" s="24"/>
      <c r="P33175"/>
      <c r="Q33175" s="24"/>
      <c r="R33175"/>
      <c r="S33175"/>
      <c r="T33175"/>
      <c r="U33175"/>
      <c r="X33175" s="60"/>
    </row>
    <row r="33176" spans="7:24" ht="15" customHeight="1">
      <c r="G33176"/>
      <c r="I33176"/>
      <c r="N33176"/>
      <c r="O33176" s="24"/>
      <c r="P33176"/>
      <c r="Q33176" s="24"/>
      <c r="R33176"/>
      <c r="S33176"/>
      <c r="T33176"/>
      <c r="U33176"/>
      <c r="X33176" s="60"/>
    </row>
    <row r="33177" spans="7:24" ht="15" customHeight="1">
      <c r="G33177"/>
      <c r="I33177"/>
      <c r="N33177"/>
      <c r="O33177" s="24"/>
      <c r="P33177"/>
      <c r="Q33177" s="24"/>
      <c r="R33177"/>
      <c r="S33177"/>
      <c r="T33177"/>
      <c r="U33177"/>
      <c r="X33177" s="60"/>
    </row>
    <row r="33178" spans="7:24" ht="15" customHeight="1">
      <c r="G33178"/>
      <c r="I33178"/>
      <c r="N33178"/>
      <c r="O33178" s="24"/>
      <c r="P33178"/>
      <c r="Q33178" s="24"/>
      <c r="R33178"/>
      <c r="S33178"/>
      <c r="T33178"/>
      <c r="U33178"/>
      <c r="X33178" s="60"/>
    </row>
    <row r="33179" spans="7:24" ht="15" customHeight="1">
      <c r="G33179"/>
      <c r="I33179"/>
      <c r="N33179"/>
      <c r="O33179" s="24"/>
      <c r="P33179"/>
      <c r="Q33179" s="24"/>
      <c r="R33179"/>
      <c r="S33179"/>
      <c r="T33179"/>
      <c r="U33179"/>
      <c r="X33179" s="60"/>
    </row>
    <row r="33180" spans="7:24" ht="15" customHeight="1">
      <c r="G33180"/>
      <c r="I33180"/>
      <c r="N33180"/>
      <c r="O33180" s="24"/>
      <c r="P33180"/>
      <c r="Q33180" s="24"/>
      <c r="R33180"/>
      <c r="S33180"/>
      <c r="T33180"/>
      <c r="U33180"/>
      <c r="X33180" s="60"/>
    </row>
    <row r="33181" spans="7:24" ht="15" customHeight="1">
      <c r="G33181"/>
      <c r="I33181"/>
      <c r="N33181"/>
      <c r="O33181" s="24"/>
      <c r="P33181"/>
      <c r="Q33181" s="24"/>
      <c r="R33181"/>
      <c r="S33181"/>
      <c r="T33181"/>
      <c r="U33181"/>
      <c r="X33181" s="60"/>
    </row>
    <row r="33182" spans="7:24" ht="15" customHeight="1">
      <c r="G33182"/>
      <c r="I33182"/>
      <c r="N33182"/>
      <c r="O33182" s="24"/>
      <c r="P33182"/>
      <c r="Q33182" s="24"/>
      <c r="R33182"/>
      <c r="S33182"/>
      <c r="T33182"/>
      <c r="U33182"/>
      <c r="X33182" s="60"/>
    </row>
    <row r="33183" spans="7:24" ht="15" customHeight="1">
      <c r="G33183"/>
      <c r="I33183"/>
      <c r="N33183"/>
      <c r="O33183" s="24"/>
      <c r="P33183"/>
      <c r="Q33183" s="24"/>
      <c r="R33183"/>
      <c r="S33183"/>
      <c r="T33183"/>
      <c r="U33183"/>
      <c r="X33183" s="60"/>
    </row>
    <row r="33184" spans="7:24" ht="15" customHeight="1">
      <c r="G33184"/>
      <c r="I33184"/>
      <c r="N33184"/>
      <c r="O33184" s="24"/>
      <c r="P33184"/>
      <c r="Q33184" s="24"/>
      <c r="R33184"/>
      <c r="S33184"/>
      <c r="T33184"/>
      <c r="U33184"/>
      <c r="X33184" s="60"/>
    </row>
    <row r="33185" spans="7:24" ht="15" customHeight="1">
      <c r="G33185"/>
      <c r="I33185"/>
      <c r="N33185"/>
      <c r="O33185" s="24"/>
      <c r="P33185"/>
      <c r="Q33185" s="24"/>
      <c r="R33185"/>
      <c r="S33185"/>
      <c r="T33185"/>
      <c r="U33185"/>
      <c r="X33185" s="60"/>
    </row>
    <row r="33186" spans="7:24" ht="15" customHeight="1">
      <c r="G33186"/>
      <c r="I33186"/>
      <c r="N33186"/>
      <c r="O33186" s="24"/>
      <c r="P33186"/>
      <c r="Q33186" s="24"/>
      <c r="R33186"/>
      <c r="S33186"/>
      <c r="T33186"/>
      <c r="U33186"/>
      <c r="X33186" s="60"/>
    </row>
    <row r="33187" spans="7:24" ht="15" customHeight="1">
      <c r="G33187"/>
      <c r="I33187"/>
      <c r="N33187"/>
      <c r="O33187" s="24"/>
      <c r="P33187"/>
      <c r="Q33187" s="24"/>
      <c r="R33187"/>
      <c r="S33187"/>
      <c r="T33187"/>
      <c r="U33187"/>
      <c r="X33187" s="60"/>
    </row>
    <row r="33188" spans="7:24" ht="15" customHeight="1">
      <c r="G33188"/>
      <c r="I33188"/>
      <c r="N33188"/>
      <c r="O33188" s="24"/>
      <c r="P33188"/>
      <c r="Q33188" s="24"/>
      <c r="R33188"/>
      <c r="S33188"/>
      <c r="T33188"/>
      <c r="U33188"/>
      <c r="X33188" s="60"/>
    </row>
    <row r="33189" spans="7:24" ht="15" customHeight="1">
      <c r="G33189"/>
      <c r="I33189"/>
      <c r="N33189"/>
      <c r="O33189" s="24"/>
      <c r="P33189"/>
      <c r="Q33189" s="24"/>
      <c r="R33189"/>
      <c r="S33189"/>
      <c r="T33189"/>
      <c r="U33189"/>
      <c r="X33189" s="60"/>
    </row>
    <row r="33190" spans="7:24" ht="15" customHeight="1">
      <c r="G33190"/>
      <c r="I33190"/>
      <c r="N33190"/>
      <c r="O33190" s="24"/>
      <c r="P33190"/>
      <c r="Q33190" s="24"/>
      <c r="R33190"/>
      <c r="S33190"/>
      <c r="T33190"/>
      <c r="U33190"/>
      <c r="X33190" s="60"/>
    </row>
    <row r="33191" spans="7:24" ht="15" customHeight="1">
      <c r="G33191"/>
      <c r="I33191"/>
      <c r="N33191"/>
      <c r="O33191" s="24"/>
      <c r="P33191"/>
      <c r="Q33191" s="24"/>
      <c r="R33191"/>
      <c r="S33191"/>
      <c r="T33191"/>
      <c r="U33191"/>
      <c r="X33191" s="60"/>
    </row>
    <row r="33192" spans="7:24" ht="15" customHeight="1">
      <c r="G33192"/>
      <c r="I33192"/>
      <c r="N33192"/>
      <c r="O33192" s="24"/>
      <c r="P33192"/>
      <c r="Q33192" s="24"/>
      <c r="R33192"/>
      <c r="S33192"/>
      <c r="T33192"/>
      <c r="U33192"/>
      <c r="X33192" s="60"/>
    </row>
    <row r="33193" spans="7:24" ht="15" customHeight="1">
      <c r="G33193"/>
      <c r="I33193"/>
      <c r="N33193"/>
      <c r="O33193" s="24"/>
      <c r="P33193"/>
      <c r="Q33193" s="24"/>
      <c r="R33193"/>
      <c r="S33193"/>
      <c r="T33193"/>
      <c r="U33193"/>
      <c r="X33193" s="60"/>
    </row>
    <row r="33194" spans="7:24" ht="15" customHeight="1">
      <c r="G33194"/>
      <c r="I33194"/>
      <c r="N33194"/>
      <c r="O33194" s="24"/>
      <c r="P33194"/>
      <c r="Q33194" s="24"/>
      <c r="R33194"/>
      <c r="S33194"/>
      <c r="T33194"/>
      <c r="U33194"/>
      <c r="X33194" s="60"/>
    </row>
    <row r="33195" spans="7:24" ht="15" customHeight="1">
      <c r="G33195"/>
      <c r="I33195"/>
      <c r="N33195"/>
      <c r="O33195" s="24"/>
      <c r="P33195"/>
      <c r="Q33195" s="24"/>
      <c r="R33195"/>
      <c r="S33195"/>
      <c r="T33195"/>
      <c r="U33195"/>
      <c r="X33195" s="60"/>
    </row>
    <row r="33196" spans="7:24" ht="15" customHeight="1">
      <c r="G33196"/>
      <c r="I33196"/>
      <c r="N33196"/>
      <c r="O33196" s="24"/>
      <c r="P33196"/>
      <c r="Q33196" s="24"/>
      <c r="R33196"/>
      <c r="S33196"/>
      <c r="T33196"/>
      <c r="U33196"/>
      <c r="X33196" s="60"/>
    </row>
    <row r="33197" spans="7:24" ht="15" customHeight="1">
      <c r="G33197"/>
      <c r="I33197"/>
      <c r="N33197"/>
      <c r="O33197" s="24"/>
      <c r="P33197"/>
      <c r="Q33197" s="24"/>
      <c r="R33197"/>
      <c r="S33197"/>
      <c r="T33197"/>
      <c r="U33197"/>
      <c r="X33197" s="60"/>
    </row>
    <row r="33198" spans="7:24" ht="15" customHeight="1">
      <c r="G33198"/>
      <c r="I33198"/>
      <c r="N33198"/>
      <c r="O33198" s="24"/>
      <c r="P33198"/>
      <c r="Q33198" s="24"/>
      <c r="R33198"/>
      <c r="S33198"/>
      <c r="T33198"/>
      <c r="U33198"/>
      <c r="X33198" s="60"/>
    </row>
    <row r="33199" spans="7:24" ht="15" customHeight="1">
      <c r="G33199"/>
      <c r="I33199"/>
      <c r="N33199"/>
      <c r="O33199" s="24"/>
      <c r="P33199"/>
      <c r="Q33199" s="24"/>
      <c r="R33199"/>
      <c r="S33199"/>
      <c r="T33199"/>
      <c r="U33199"/>
      <c r="X33199" s="60"/>
    </row>
    <row r="33200" spans="7:24" ht="15" customHeight="1">
      <c r="G33200"/>
      <c r="I33200"/>
      <c r="N33200"/>
      <c r="O33200" s="24"/>
      <c r="P33200"/>
      <c r="Q33200" s="24"/>
      <c r="R33200"/>
      <c r="S33200"/>
      <c r="T33200"/>
      <c r="U33200"/>
      <c r="X33200" s="60"/>
    </row>
    <row r="33201" spans="7:24" ht="15" customHeight="1">
      <c r="G33201"/>
      <c r="I33201"/>
      <c r="N33201"/>
      <c r="O33201" s="24"/>
      <c r="P33201"/>
      <c r="Q33201" s="24"/>
      <c r="R33201"/>
      <c r="S33201"/>
      <c r="T33201"/>
      <c r="U33201"/>
      <c r="X33201" s="60"/>
    </row>
    <row r="33202" spans="7:24" ht="15" customHeight="1">
      <c r="G33202"/>
      <c r="I33202"/>
      <c r="N33202"/>
      <c r="O33202" s="24"/>
      <c r="P33202"/>
      <c r="Q33202" s="24"/>
      <c r="R33202"/>
      <c r="S33202"/>
      <c r="T33202"/>
      <c r="U33202"/>
      <c r="X33202" s="60"/>
    </row>
    <row r="33203" spans="7:24" ht="15" customHeight="1">
      <c r="G33203"/>
      <c r="I33203"/>
      <c r="N33203"/>
      <c r="O33203" s="24"/>
      <c r="P33203"/>
      <c r="Q33203" s="24"/>
      <c r="R33203"/>
      <c r="S33203"/>
      <c r="T33203"/>
      <c r="U33203"/>
      <c r="X33203" s="60"/>
    </row>
    <row r="33204" spans="7:24" ht="15" customHeight="1">
      <c r="G33204"/>
      <c r="I33204"/>
      <c r="N33204"/>
      <c r="O33204" s="24"/>
      <c r="P33204"/>
      <c r="Q33204" s="24"/>
      <c r="R33204"/>
      <c r="S33204"/>
      <c r="T33204"/>
      <c r="U33204"/>
      <c r="X33204" s="60"/>
    </row>
    <row r="33205" spans="7:24" ht="15" customHeight="1">
      <c r="G33205"/>
      <c r="I33205"/>
      <c r="N33205"/>
      <c r="O33205" s="24"/>
      <c r="P33205"/>
      <c r="Q33205" s="24"/>
      <c r="R33205"/>
      <c r="S33205"/>
      <c r="T33205"/>
      <c r="U33205"/>
      <c r="X33205" s="60"/>
    </row>
    <row r="33206" spans="7:24" ht="15" customHeight="1">
      <c r="G33206"/>
      <c r="I33206"/>
      <c r="N33206"/>
      <c r="O33206" s="24"/>
      <c r="P33206"/>
      <c r="Q33206" s="24"/>
      <c r="R33206"/>
      <c r="S33206"/>
      <c r="T33206"/>
      <c r="U33206"/>
      <c r="X33206" s="60"/>
    </row>
    <row r="33207" spans="7:24" ht="15" customHeight="1">
      <c r="G33207"/>
      <c r="I33207"/>
      <c r="N33207"/>
      <c r="O33207" s="24"/>
      <c r="P33207"/>
      <c r="Q33207" s="24"/>
      <c r="R33207"/>
      <c r="S33207"/>
      <c r="T33207"/>
      <c r="U33207"/>
      <c r="X33207" s="60"/>
    </row>
    <row r="33208" spans="7:24" ht="15" customHeight="1">
      <c r="G33208"/>
      <c r="I33208"/>
      <c r="N33208"/>
      <c r="O33208" s="24"/>
      <c r="P33208"/>
      <c r="Q33208" s="24"/>
      <c r="R33208"/>
      <c r="S33208"/>
      <c r="T33208"/>
      <c r="U33208"/>
      <c r="X33208" s="60"/>
    </row>
    <row r="33209" spans="7:24" ht="15" customHeight="1">
      <c r="G33209"/>
      <c r="I33209"/>
      <c r="N33209"/>
      <c r="O33209" s="24"/>
      <c r="P33209"/>
      <c r="Q33209" s="24"/>
      <c r="R33209"/>
      <c r="S33209"/>
      <c r="T33209"/>
      <c r="U33209"/>
      <c r="X33209" s="60"/>
    </row>
    <row r="33210" spans="7:24" ht="15" customHeight="1">
      <c r="G33210"/>
      <c r="I33210"/>
      <c r="N33210"/>
      <c r="O33210" s="24"/>
      <c r="P33210"/>
      <c r="Q33210" s="24"/>
      <c r="R33210"/>
      <c r="S33210"/>
      <c r="T33210"/>
      <c r="U33210"/>
      <c r="X33210" s="60"/>
    </row>
    <row r="33211" spans="7:24" ht="15" customHeight="1">
      <c r="G33211"/>
      <c r="I33211"/>
      <c r="N33211"/>
      <c r="O33211" s="24"/>
      <c r="P33211"/>
      <c r="Q33211" s="24"/>
      <c r="R33211"/>
      <c r="S33211"/>
      <c r="T33211"/>
      <c r="U33211"/>
      <c r="X33211" s="60"/>
    </row>
    <row r="33212" spans="7:24" ht="15" customHeight="1">
      <c r="G33212"/>
      <c r="I33212"/>
      <c r="N33212"/>
      <c r="O33212" s="24"/>
      <c r="P33212"/>
      <c r="Q33212" s="24"/>
      <c r="R33212"/>
      <c r="S33212"/>
      <c r="T33212"/>
      <c r="U33212"/>
      <c r="X33212" s="60"/>
    </row>
    <row r="33213" spans="7:24" ht="15" customHeight="1">
      <c r="G33213"/>
      <c r="I33213"/>
      <c r="N33213"/>
      <c r="O33213" s="24"/>
      <c r="P33213"/>
      <c r="Q33213" s="24"/>
      <c r="R33213"/>
      <c r="S33213"/>
      <c r="T33213"/>
      <c r="U33213"/>
      <c r="X33213" s="60"/>
    </row>
    <row r="33214" spans="7:24" ht="15" customHeight="1">
      <c r="G33214"/>
      <c r="I33214"/>
      <c r="N33214"/>
      <c r="O33214" s="24"/>
      <c r="P33214"/>
      <c r="Q33214" s="24"/>
      <c r="R33214"/>
      <c r="S33214"/>
      <c r="T33214"/>
      <c r="U33214"/>
      <c r="X33214" s="60"/>
    </row>
    <row r="33215" spans="7:24" ht="15" customHeight="1">
      <c r="G33215"/>
      <c r="I33215"/>
      <c r="N33215"/>
      <c r="O33215" s="24"/>
      <c r="P33215"/>
      <c r="Q33215" s="24"/>
      <c r="R33215"/>
      <c r="S33215"/>
      <c r="T33215"/>
      <c r="U33215"/>
      <c r="X33215" s="60"/>
    </row>
    <row r="33216" spans="7:24" ht="15" customHeight="1">
      <c r="G33216"/>
      <c r="I33216"/>
      <c r="N33216"/>
      <c r="O33216" s="24"/>
      <c r="P33216"/>
      <c r="Q33216" s="24"/>
      <c r="R33216"/>
      <c r="S33216"/>
      <c r="T33216"/>
      <c r="U33216"/>
      <c r="X33216" s="60"/>
    </row>
    <row r="33217" spans="7:24" ht="15" customHeight="1">
      <c r="G33217"/>
      <c r="I33217"/>
      <c r="N33217"/>
      <c r="O33217" s="24"/>
      <c r="P33217"/>
      <c r="Q33217" s="24"/>
      <c r="R33217"/>
      <c r="S33217"/>
      <c r="T33217"/>
      <c r="U33217"/>
      <c r="X33217" s="60"/>
    </row>
    <row r="33218" spans="7:24" ht="15" customHeight="1">
      <c r="G33218"/>
      <c r="I33218"/>
      <c r="N33218"/>
      <c r="O33218" s="24"/>
      <c r="P33218"/>
      <c r="Q33218" s="24"/>
      <c r="R33218"/>
      <c r="S33218"/>
      <c r="T33218"/>
      <c r="U33218"/>
      <c r="X33218" s="60"/>
    </row>
    <row r="33219" spans="7:24" ht="15" customHeight="1">
      <c r="G33219"/>
      <c r="I33219"/>
      <c r="N33219"/>
      <c r="O33219" s="24"/>
      <c r="P33219"/>
      <c r="Q33219" s="24"/>
      <c r="R33219"/>
      <c r="S33219"/>
      <c r="T33219"/>
      <c r="U33219"/>
      <c r="X33219" s="60"/>
    </row>
    <row r="33220" spans="7:24" ht="15" customHeight="1">
      <c r="G33220"/>
      <c r="I33220"/>
      <c r="N33220"/>
      <c r="O33220" s="24"/>
      <c r="P33220"/>
      <c r="Q33220" s="24"/>
      <c r="R33220"/>
      <c r="S33220"/>
      <c r="T33220"/>
      <c r="U33220"/>
      <c r="X33220" s="60"/>
    </row>
    <row r="33221" spans="7:24" ht="15" customHeight="1">
      <c r="G33221"/>
      <c r="I33221"/>
      <c r="N33221"/>
      <c r="O33221" s="24"/>
      <c r="P33221"/>
      <c r="Q33221" s="24"/>
      <c r="R33221"/>
      <c r="S33221"/>
      <c r="T33221"/>
      <c r="U33221"/>
      <c r="X33221" s="60"/>
    </row>
    <row r="33222" spans="7:24" ht="15" customHeight="1">
      <c r="G33222"/>
      <c r="I33222"/>
      <c r="N33222"/>
      <c r="O33222" s="24"/>
      <c r="P33222"/>
      <c r="Q33222" s="24"/>
      <c r="R33222"/>
      <c r="S33222"/>
      <c r="T33222"/>
      <c r="U33222"/>
      <c r="X33222" s="60"/>
    </row>
    <row r="33223" spans="7:24" ht="15" customHeight="1">
      <c r="G33223"/>
      <c r="I33223"/>
      <c r="N33223"/>
      <c r="O33223" s="24"/>
      <c r="P33223"/>
      <c r="Q33223" s="24"/>
      <c r="R33223"/>
      <c r="S33223"/>
      <c r="T33223"/>
      <c r="U33223"/>
      <c r="X33223" s="60"/>
    </row>
    <row r="33224" spans="7:24" ht="15" customHeight="1">
      <c r="G33224"/>
      <c r="I33224"/>
      <c r="N33224"/>
      <c r="O33224" s="24"/>
      <c r="P33224"/>
      <c r="Q33224" s="24"/>
      <c r="R33224"/>
      <c r="S33224"/>
      <c r="T33224"/>
      <c r="U33224"/>
      <c r="X33224" s="60"/>
    </row>
    <row r="33225" spans="7:24" ht="15" customHeight="1">
      <c r="G33225"/>
      <c r="I33225"/>
      <c r="N33225"/>
      <c r="O33225" s="24"/>
      <c r="P33225"/>
      <c r="Q33225" s="24"/>
      <c r="R33225"/>
      <c r="S33225"/>
      <c r="T33225"/>
      <c r="U33225"/>
      <c r="X33225" s="60"/>
    </row>
    <row r="33226" spans="7:24" ht="15" customHeight="1">
      <c r="G33226"/>
      <c r="I33226"/>
      <c r="N33226"/>
      <c r="O33226" s="24"/>
      <c r="P33226"/>
      <c r="Q33226" s="24"/>
      <c r="R33226"/>
      <c r="S33226"/>
      <c r="T33226"/>
      <c r="U33226"/>
      <c r="X33226" s="60"/>
    </row>
    <row r="33227" spans="7:24" ht="15" customHeight="1">
      <c r="G33227"/>
      <c r="I33227"/>
      <c r="N33227"/>
      <c r="O33227" s="24"/>
      <c r="P33227"/>
      <c r="Q33227" s="24"/>
      <c r="R33227"/>
      <c r="S33227"/>
      <c r="T33227"/>
      <c r="U33227"/>
      <c r="X33227" s="60"/>
    </row>
    <row r="33228" spans="7:24" ht="15" customHeight="1">
      <c r="G33228"/>
      <c r="I33228"/>
      <c r="N33228"/>
      <c r="O33228" s="24"/>
      <c r="P33228"/>
      <c r="Q33228" s="24"/>
      <c r="R33228"/>
      <c r="S33228"/>
      <c r="T33228"/>
      <c r="U33228"/>
      <c r="X33228" s="60"/>
    </row>
    <row r="33229" spans="7:24" ht="15" customHeight="1">
      <c r="G33229"/>
      <c r="I33229"/>
      <c r="N33229"/>
      <c r="O33229" s="24"/>
      <c r="P33229"/>
      <c r="Q33229" s="24"/>
      <c r="R33229"/>
      <c r="S33229"/>
      <c r="T33229"/>
      <c r="U33229"/>
      <c r="X33229" s="60"/>
    </row>
    <row r="33230" spans="7:24" ht="15" customHeight="1">
      <c r="G33230"/>
      <c r="I33230"/>
      <c r="N33230"/>
      <c r="O33230" s="24"/>
      <c r="P33230"/>
      <c r="Q33230" s="24"/>
      <c r="R33230"/>
      <c r="S33230"/>
      <c r="T33230"/>
      <c r="U33230"/>
      <c r="X33230" s="60"/>
    </row>
    <row r="33231" spans="7:24" ht="15" customHeight="1">
      <c r="G33231"/>
      <c r="I33231"/>
      <c r="N33231"/>
      <c r="O33231" s="24"/>
      <c r="P33231"/>
      <c r="Q33231" s="24"/>
      <c r="R33231"/>
      <c r="S33231"/>
      <c r="T33231"/>
      <c r="U33231"/>
      <c r="X33231" s="60"/>
    </row>
    <row r="33232" spans="7:24" ht="15" customHeight="1">
      <c r="G33232"/>
      <c r="I33232"/>
      <c r="N33232"/>
      <c r="O33232" s="24"/>
      <c r="P33232"/>
      <c r="Q33232" s="24"/>
      <c r="R33232"/>
      <c r="S33232"/>
      <c r="T33232"/>
      <c r="U33232"/>
      <c r="X33232" s="60"/>
    </row>
    <row r="33233" spans="7:24" ht="15" customHeight="1">
      <c r="G33233"/>
      <c r="I33233"/>
      <c r="N33233"/>
      <c r="O33233" s="24"/>
      <c r="P33233"/>
      <c r="Q33233" s="24"/>
      <c r="R33233"/>
      <c r="S33233"/>
      <c r="T33233"/>
      <c r="U33233"/>
      <c r="X33233" s="60"/>
    </row>
    <row r="33234" spans="7:24" ht="15" customHeight="1">
      <c r="G33234"/>
      <c r="I33234"/>
      <c r="N33234"/>
      <c r="O33234" s="24"/>
      <c r="P33234"/>
      <c r="Q33234" s="24"/>
      <c r="R33234"/>
      <c r="S33234"/>
      <c r="T33234"/>
      <c r="U33234"/>
      <c r="X33234" s="60"/>
    </row>
    <row r="33235" spans="7:24" ht="15" customHeight="1">
      <c r="G33235"/>
      <c r="I33235"/>
      <c r="N33235"/>
      <c r="O33235" s="24"/>
      <c r="P33235"/>
      <c r="Q33235" s="24"/>
      <c r="R33235"/>
      <c r="S33235"/>
      <c r="T33235"/>
      <c r="U33235"/>
      <c r="X33235" s="60"/>
    </row>
    <row r="33236" spans="7:24" ht="15" customHeight="1">
      <c r="G33236"/>
      <c r="I33236"/>
      <c r="N33236"/>
      <c r="O33236" s="24"/>
      <c r="P33236"/>
      <c r="Q33236" s="24"/>
      <c r="R33236"/>
      <c r="S33236"/>
      <c r="T33236"/>
      <c r="U33236"/>
      <c r="X33236" s="60"/>
    </row>
    <row r="33237" spans="7:24" ht="15" customHeight="1">
      <c r="G33237"/>
      <c r="I33237"/>
      <c r="N33237"/>
      <c r="O33237" s="24"/>
      <c r="P33237"/>
      <c r="Q33237" s="24"/>
      <c r="R33237"/>
      <c r="S33237"/>
      <c r="T33237"/>
      <c r="U33237"/>
      <c r="X33237" s="60"/>
    </row>
    <row r="33238" spans="7:24" ht="15" customHeight="1">
      <c r="G33238"/>
      <c r="I33238"/>
      <c r="N33238"/>
      <c r="O33238" s="24"/>
      <c r="P33238"/>
      <c r="Q33238" s="24"/>
      <c r="R33238"/>
      <c r="S33238"/>
      <c r="T33238"/>
      <c r="U33238"/>
      <c r="X33238" s="60"/>
    </row>
    <row r="33239" spans="7:24" ht="15" customHeight="1">
      <c r="G33239"/>
      <c r="I33239"/>
      <c r="N33239"/>
      <c r="O33239" s="24"/>
      <c r="P33239"/>
      <c r="Q33239" s="24"/>
      <c r="R33239"/>
      <c r="S33239"/>
      <c r="T33239"/>
      <c r="U33239"/>
      <c r="X33239" s="60"/>
    </row>
    <row r="33240" spans="7:24" ht="15" customHeight="1">
      <c r="G33240"/>
      <c r="I33240"/>
      <c r="N33240"/>
      <c r="O33240" s="24"/>
      <c r="P33240"/>
      <c r="Q33240" s="24"/>
      <c r="R33240"/>
      <c r="S33240"/>
      <c r="T33240"/>
      <c r="U33240"/>
      <c r="X33240" s="60"/>
    </row>
    <row r="33241" spans="7:24" ht="15" customHeight="1">
      <c r="G33241"/>
      <c r="I33241"/>
      <c r="N33241"/>
      <c r="O33241" s="24"/>
      <c r="P33241"/>
      <c r="Q33241" s="24"/>
      <c r="R33241"/>
      <c r="S33241"/>
      <c r="T33241"/>
      <c r="U33241"/>
      <c r="X33241" s="60"/>
    </row>
    <row r="33242" spans="7:24" ht="15" customHeight="1">
      <c r="G33242"/>
      <c r="I33242"/>
      <c r="N33242"/>
      <c r="O33242" s="24"/>
      <c r="P33242"/>
      <c r="Q33242" s="24"/>
      <c r="R33242"/>
      <c r="S33242"/>
      <c r="T33242"/>
      <c r="U33242"/>
      <c r="X33242" s="60"/>
    </row>
    <row r="33243" spans="7:24" ht="15" customHeight="1">
      <c r="G33243"/>
      <c r="I33243"/>
      <c r="N33243"/>
      <c r="O33243" s="24"/>
      <c r="P33243"/>
      <c r="Q33243" s="24"/>
      <c r="R33243"/>
      <c r="S33243"/>
      <c r="T33243"/>
      <c r="U33243"/>
      <c r="X33243" s="60"/>
    </row>
    <row r="33244" spans="7:24" ht="15" customHeight="1">
      <c r="G33244"/>
      <c r="I33244"/>
      <c r="N33244"/>
      <c r="O33244" s="24"/>
      <c r="P33244"/>
      <c r="Q33244" s="24"/>
      <c r="R33244"/>
      <c r="S33244"/>
      <c r="T33244"/>
      <c r="U33244"/>
      <c r="X33244" s="60"/>
    </row>
    <row r="33245" spans="7:24" ht="15" customHeight="1">
      <c r="G33245"/>
      <c r="I33245"/>
      <c r="N33245"/>
      <c r="O33245" s="24"/>
      <c r="P33245"/>
      <c r="Q33245" s="24"/>
      <c r="R33245"/>
      <c r="S33245"/>
      <c r="T33245"/>
      <c r="U33245"/>
      <c r="X33245" s="60"/>
    </row>
    <row r="33246" spans="7:24" ht="15" customHeight="1">
      <c r="G33246"/>
      <c r="I33246"/>
      <c r="N33246"/>
      <c r="O33246" s="24"/>
      <c r="P33246"/>
      <c r="Q33246" s="24"/>
      <c r="R33246"/>
      <c r="S33246"/>
      <c r="T33246"/>
      <c r="U33246"/>
      <c r="X33246" s="60"/>
    </row>
    <row r="33247" spans="7:24" ht="15" customHeight="1">
      <c r="G33247"/>
      <c r="I33247"/>
      <c r="N33247"/>
      <c r="O33247" s="24"/>
      <c r="P33247"/>
      <c r="Q33247" s="24"/>
      <c r="R33247"/>
      <c r="S33247"/>
      <c r="T33247"/>
      <c r="U33247"/>
      <c r="X33247" s="60"/>
    </row>
    <row r="33248" spans="7:24" ht="15" customHeight="1">
      <c r="G33248"/>
      <c r="I33248"/>
      <c r="N33248"/>
      <c r="O33248" s="24"/>
      <c r="P33248"/>
      <c r="Q33248" s="24"/>
      <c r="R33248"/>
      <c r="S33248"/>
      <c r="T33248"/>
      <c r="U33248"/>
      <c r="X33248" s="60"/>
    </row>
    <row r="33249" spans="7:24" ht="15" customHeight="1">
      <c r="G33249"/>
      <c r="I33249"/>
      <c r="N33249"/>
      <c r="O33249" s="24"/>
      <c r="P33249"/>
      <c r="Q33249" s="24"/>
      <c r="R33249"/>
      <c r="S33249"/>
      <c r="T33249"/>
      <c r="U33249"/>
      <c r="X33249" s="60"/>
    </row>
    <row r="33250" spans="7:24" ht="15" customHeight="1">
      <c r="G33250"/>
      <c r="I33250"/>
      <c r="N33250"/>
      <c r="O33250" s="24"/>
      <c r="P33250"/>
      <c r="Q33250" s="24"/>
      <c r="R33250"/>
      <c r="S33250"/>
      <c r="T33250"/>
      <c r="U33250"/>
      <c r="X33250" s="60"/>
    </row>
    <row r="33251" spans="7:24" ht="15" customHeight="1">
      <c r="G33251"/>
      <c r="I33251"/>
      <c r="N33251"/>
      <c r="O33251" s="24"/>
      <c r="P33251"/>
      <c r="Q33251" s="24"/>
      <c r="R33251"/>
      <c r="S33251"/>
      <c r="T33251"/>
      <c r="U33251"/>
      <c r="X33251" s="60"/>
    </row>
    <row r="33252" spans="7:24" ht="15" customHeight="1">
      <c r="G33252"/>
      <c r="I33252"/>
      <c r="N33252"/>
      <c r="O33252" s="24"/>
      <c r="P33252"/>
      <c r="Q33252" s="24"/>
      <c r="R33252"/>
      <c r="S33252"/>
      <c r="T33252"/>
      <c r="U33252"/>
      <c r="X33252" s="60"/>
    </row>
    <row r="33253" spans="7:24" ht="15" customHeight="1">
      <c r="G33253"/>
      <c r="I33253"/>
      <c r="N33253"/>
      <c r="O33253" s="24"/>
      <c r="P33253"/>
      <c r="Q33253" s="24"/>
      <c r="R33253"/>
      <c r="S33253"/>
      <c r="T33253"/>
      <c r="U33253"/>
      <c r="X33253" s="60"/>
    </row>
    <row r="33254" spans="7:24" ht="15" customHeight="1">
      <c r="G33254"/>
      <c r="I33254"/>
      <c r="N33254"/>
      <c r="O33254" s="24"/>
      <c r="P33254"/>
      <c r="Q33254" s="24"/>
      <c r="R33254"/>
      <c r="S33254"/>
      <c r="T33254"/>
      <c r="U33254"/>
      <c r="X33254" s="60"/>
    </row>
    <row r="33255" spans="7:24" ht="15" customHeight="1">
      <c r="G33255"/>
      <c r="I33255"/>
      <c r="N33255"/>
      <c r="O33255" s="24"/>
      <c r="P33255"/>
      <c r="Q33255" s="24"/>
      <c r="R33255"/>
      <c r="S33255"/>
      <c r="T33255"/>
      <c r="U33255"/>
      <c r="X33255" s="60"/>
    </row>
    <row r="33256" spans="7:24" ht="15" customHeight="1">
      <c r="G33256"/>
      <c r="I33256"/>
      <c r="N33256"/>
      <c r="O33256" s="24"/>
      <c r="P33256"/>
      <c r="Q33256" s="24"/>
      <c r="R33256"/>
      <c r="S33256"/>
      <c r="T33256"/>
      <c r="U33256"/>
      <c r="X33256" s="60"/>
    </row>
    <row r="33257" spans="7:24" ht="15" customHeight="1">
      <c r="G33257"/>
      <c r="I33257"/>
      <c r="N33257"/>
      <c r="O33257" s="24"/>
      <c r="P33257"/>
      <c r="Q33257" s="24"/>
      <c r="R33257"/>
      <c r="S33257"/>
      <c r="T33257"/>
      <c r="U33257"/>
      <c r="X33257" s="60"/>
    </row>
    <row r="33258" spans="7:24" ht="15" customHeight="1">
      <c r="G33258"/>
      <c r="I33258"/>
      <c r="N33258"/>
      <c r="O33258" s="24"/>
      <c r="P33258"/>
      <c r="Q33258" s="24"/>
      <c r="R33258"/>
      <c r="S33258"/>
      <c r="T33258"/>
      <c r="U33258"/>
      <c r="X33258" s="60"/>
    </row>
    <row r="33259" spans="7:24" ht="15" customHeight="1">
      <c r="G33259"/>
      <c r="I33259"/>
      <c r="N33259"/>
      <c r="O33259" s="24"/>
      <c r="P33259"/>
      <c r="Q33259" s="24"/>
      <c r="R33259"/>
      <c r="S33259"/>
      <c r="T33259"/>
      <c r="U33259"/>
      <c r="X33259" s="60"/>
    </row>
    <row r="33260" spans="7:24" ht="15" customHeight="1">
      <c r="G33260"/>
      <c r="I33260"/>
      <c r="N33260"/>
      <c r="O33260" s="24"/>
      <c r="P33260"/>
      <c r="Q33260" s="24"/>
      <c r="R33260"/>
      <c r="S33260"/>
      <c r="T33260"/>
      <c r="U33260"/>
      <c r="X33260" s="60"/>
    </row>
    <row r="33261" spans="7:24" ht="15" customHeight="1">
      <c r="G33261"/>
      <c r="I33261"/>
      <c r="N33261"/>
      <c r="O33261" s="24"/>
      <c r="P33261"/>
      <c r="Q33261" s="24"/>
      <c r="R33261"/>
      <c r="S33261"/>
      <c r="T33261"/>
      <c r="U33261"/>
      <c r="X33261" s="60"/>
    </row>
    <row r="33262" spans="7:24" ht="15" customHeight="1">
      <c r="G33262"/>
      <c r="I33262"/>
      <c r="N33262"/>
      <c r="O33262" s="24"/>
      <c r="P33262"/>
      <c r="Q33262" s="24"/>
      <c r="R33262"/>
      <c r="S33262"/>
      <c r="T33262"/>
      <c r="U33262"/>
      <c r="X33262" s="60"/>
    </row>
    <row r="33263" spans="7:24" ht="15" customHeight="1">
      <c r="G33263"/>
      <c r="I33263"/>
      <c r="N33263"/>
      <c r="O33263" s="24"/>
      <c r="P33263"/>
      <c r="Q33263" s="24"/>
      <c r="R33263"/>
      <c r="S33263"/>
      <c r="T33263"/>
      <c r="U33263"/>
      <c r="X33263" s="60"/>
    </row>
    <row r="33264" spans="7:24" ht="15" customHeight="1">
      <c r="G33264"/>
      <c r="I33264"/>
      <c r="N33264"/>
      <c r="O33264" s="24"/>
      <c r="P33264"/>
      <c r="Q33264" s="24"/>
      <c r="R33264"/>
      <c r="S33264"/>
      <c r="T33264"/>
      <c r="U33264"/>
      <c r="X33264" s="60"/>
    </row>
    <row r="33265" spans="7:24" ht="15" customHeight="1">
      <c r="G33265"/>
      <c r="I33265"/>
      <c r="N33265"/>
      <c r="O33265" s="24"/>
      <c r="P33265"/>
      <c r="Q33265" s="24"/>
      <c r="R33265"/>
      <c r="S33265"/>
      <c r="T33265"/>
      <c r="U33265"/>
      <c r="X33265" s="60"/>
    </row>
    <row r="33266" spans="7:24" ht="15" customHeight="1">
      <c r="G33266"/>
      <c r="I33266"/>
      <c r="N33266"/>
      <c r="O33266" s="24"/>
      <c r="P33266"/>
      <c r="Q33266" s="24"/>
      <c r="R33266"/>
      <c r="S33266"/>
      <c r="T33266"/>
      <c r="U33266"/>
      <c r="X33266" s="60"/>
    </row>
    <row r="33267" spans="7:24" ht="15" customHeight="1">
      <c r="G33267"/>
      <c r="I33267"/>
      <c r="N33267"/>
      <c r="O33267" s="24"/>
      <c r="P33267"/>
      <c r="Q33267" s="24"/>
      <c r="R33267"/>
      <c r="S33267"/>
      <c r="T33267"/>
      <c r="U33267"/>
      <c r="X33267" s="60"/>
    </row>
    <row r="33268" spans="7:24" ht="15" customHeight="1">
      <c r="G33268"/>
      <c r="I33268"/>
      <c r="N33268"/>
      <c r="O33268" s="24"/>
      <c r="P33268"/>
      <c r="Q33268" s="24"/>
      <c r="R33268"/>
      <c r="S33268"/>
      <c r="T33268"/>
      <c r="U33268"/>
      <c r="X33268" s="60"/>
    </row>
    <row r="33269" spans="7:24" ht="15" customHeight="1">
      <c r="G33269"/>
      <c r="I33269"/>
      <c r="N33269"/>
      <c r="O33269" s="24"/>
      <c r="P33269"/>
      <c r="Q33269" s="24"/>
      <c r="R33269"/>
      <c r="S33269"/>
      <c r="T33269"/>
      <c r="U33269"/>
      <c r="X33269" s="60"/>
    </row>
    <row r="33270" spans="7:24" ht="15" customHeight="1">
      <c r="G33270"/>
      <c r="I33270"/>
      <c r="N33270"/>
      <c r="O33270" s="24"/>
      <c r="P33270"/>
      <c r="Q33270" s="24"/>
      <c r="R33270"/>
      <c r="S33270"/>
      <c r="T33270"/>
      <c r="U33270"/>
      <c r="X33270" s="60"/>
    </row>
    <row r="33271" spans="7:24" ht="15" customHeight="1">
      <c r="G33271"/>
      <c r="I33271"/>
      <c r="N33271"/>
      <c r="O33271" s="24"/>
      <c r="P33271"/>
      <c r="Q33271" s="24"/>
      <c r="R33271"/>
      <c r="S33271"/>
      <c r="T33271"/>
      <c r="U33271"/>
      <c r="X33271" s="60"/>
    </row>
    <row r="33272" spans="7:24" ht="15" customHeight="1">
      <c r="G33272"/>
      <c r="I33272"/>
      <c r="N33272"/>
      <c r="O33272" s="24"/>
      <c r="P33272"/>
      <c r="Q33272" s="24"/>
      <c r="R33272"/>
      <c r="S33272"/>
      <c r="T33272"/>
      <c r="U33272"/>
      <c r="X33272" s="60"/>
    </row>
    <row r="33273" spans="7:24" ht="15" customHeight="1">
      <c r="G33273"/>
      <c r="I33273"/>
      <c r="N33273"/>
      <c r="O33273" s="24"/>
      <c r="P33273"/>
      <c r="Q33273" s="24"/>
      <c r="R33273"/>
      <c r="S33273"/>
      <c r="T33273"/>
      <c r="U33273"/>
      <c r="X33273" s="60"/>
    </row>
    <row r="33274" spans="7:24" ht="15" customHeight="1">
      <c r="G33274"/>
      <c r="I33274"/>
      <c r="N33274"/>
      <c r="O33274" s="24"/>
      <c r="P33274"/>
      <c r="Q33274" s="24"/>
      <c r="R33274"/>
      <c r="S33274"/>
      <c r="T33274"/>
      <c r="U33274"/>
      <c r="X33274" s="60"/>
    </row>
    <row r="33275" spans="7:24" ht="15" customHeight="1">
      <c r="G33275"/>
      <c r="I33275"/>
      <c r="N33275"/>
      <c r="O33275" s="24"/>
      <c r="P33275"/>
      <c r="Q33275" s="24"/>
      <c r="R33275"/>
      <c r="S33275"/>
      <c r="T33275"/>
      <c r="U33275"/>
      <c r="X33275" s="60"/>
    </row>
    <row r="33276" spans="7:24" ht="15" customHeight="1">
      <c r="G33276"/>
      <c r="I33276"/>
      <c r="N33276"/>
      <c r="O33276" s="24"/>
      <c r="P33276"/>
      <c r="Q33276" s="24"/>
      <c r="R33276"/>
      <c r="S33276"/>
      <c r="T33276"/>
      <c r="U33276"/>
      <c r="X33276" s="60"/>
    </row>
    <row r="33277" spans="7:24" ht="15" customHeight="1">
      <c r="G33277"/>
      <c r="I33277"/>
      <c r="N33277"/>
      <c r="O33277" s="24"/>
      <c r="P33277"/>
      <c r="Q33277" s="24"/>
      <c r="R33277"/>
      <c r="S33277"/>
      <c r="T33277"/>
      <c r="U33277"/>
      <c r="X33277" s="60"/>
    </row>
    <row r="33278" spans="7:24" ht="15" customHeight="1">
      <c r="G33278"/>
      <c r="I33278"/>
      <c r="N33278"/>
      <c r="O33278" s="24"/>
      <c r="P33278"/>
      <c r="Q33278" s="24"/>
      <c r="R33278"/>
      <c r="S33278"/>
      <c r="T33278"/>
      <c r="U33278"/>
      <c r="X33278" s="60"/>
    </row>
    <row r="33279" spans="7:24" ht="15" customHeight="1">
      <c r="G33279"/>
      <c r="I33279"/>
      <c r="N33279"/>
      <c r="O33279" s="24"/>
      <c r="P33279"/>
      <c r="Q33279" s="24"/>
      <c r="R33279"/>
      <c r="S33279"/>
      <c r="T33279"/>
      <c r="U33279"/>
      <c r="X33279" s="60"/>
    </row>
    <row r="33280" spans="7:24" ht="15" customHeight="1">
      <c r="G33280"/>
      <c r="I33280"/>
      <c r="N33280"/>
      <c r="O33280" s="24"/>
      <c r="P33280"/>
      <c r="Q33280" s="24"/>
      <c r="R33280"/>
      <c r="S33280"/>
      <c r="T33280"/>
      <c r="U33280"/>
      <c r="X33280" s="60"/>
    </row>
    <row r="33281" spans="7:24" ht="15" customHeight="1">
      <c r="G33281"/>
      <c r="I33281"/>
      <c r="N33281"/>
      <c r="O33281" s="24"/>
      <c r="P33281"/>
      <c r="Q33281" s="24"/>
      <c r="R33281"/>
      <c r="S33281"/>
      <c r="T33281"/>
      <c r="U33281"/>
      <c r="X33281" s="60"/>
    </row>
    <row r="33282" spans="7:24" ht="15" customHeight="1">
      <c r="G33282"/>
      <c r="I33282"/>
      <c r="N33282"/>
      <c r="O33282" s="24"/>
      <c r="P33282"/>
      <c r="Q33282" s="24"/>
      <c r="R33282"/>
      <c r="S33282"/>
      <c r="T33282"/>
      <c r="U33282"/>
      <c r="X33282" s="60"/>
    </row>
    <row r="33283" spans="7:24" ht="15" customHeight="1">
      <c r="G33283"/>
      <c r="I33283"/>
      <c r="N33283"/>
      <c r="O33283" s="24"/>
      <c r="P33283"/>
      <c r="Q33283" s="24"/>
      <c r="R33283"/>
      <c r="S33283"/>
      <c r="T33283"/>
      <c r="U33283"/>
      <c r="X33283" s="60"/>
    </row>
    <row r="33284" spans="7:24" ht="15" customHeight="1">
      <c r="G33284"/>
      <c r="I33284"/>
      <c r="N33284"/>
      <c r="O33284" s="24"/>
      <c r="P33284"/>
      <c r="Q33284" s="24"/>
      <c r="R33284"/>
      <c r="S33284"/>
      <c r="T33284"/>
      <c r="U33284"/>
      <c r="X33284" s="60"/>
    </row>
    <row r="33285" spans="7:24" ht="15" customHeight="1">
      <c r="G33285"/>
      <c r="I33285"/>
      <c r="N33285"/>
      <c r="O33285" s="24"/>
      <c r="P33285"/>
      <c r="Q33285" s="24"/>
      <c r="R33285"/>
      <c r="S33285"/>
      <c r="T33285"/>
      <c r="U33285"/>
      <c r="X33285" s="60"/>
    </row>
    <row r="33286" spans="7:24" ht="15" customHeight="1">
      <c r="G33286"/>
      <c r="I33286"/>
      <c r="N33286"/>
      <c r="O33286" s="24"/>
      <c r="P33286"/>
      <c r="Q33286" s="24"/>
      <c r="R33286"/>
      <c r="S33286"/>
      <c r="T33286"/>
      <c r="U33286"/>
      <c r="X33286" s="60"/>
    </row>
    <row r="33287" spans="7:24" ht="15" customHeight="1">
      <c r="G33287"/>
      <c r="I33287"/>
      <c r="N33287"/>
      <c r="O33287" s="24"/>
      <c r="P33287"/>
      <c r="Q33287" s="24"/>
      <c r="R33287"/>
      <c r="S33287"/>
      <c r="T33287"/>
      <c r="U33287"/>
      <c r="X33287" s="60"/>
    </row>
    <row r="33288" spans="7:24" ht="15" customHeight="1">
      <c r="G33288"/>
      <c r="I33288"/>
      <c r="N33288"/>
      <c r="O33288" s="24"/>
      <c r="P33288"/>
      <c r="Q33288" s="24"/>
      <c r="R33288"/>
      <c r="S33288"/>
      <c r="T33288"/>
      <c r="U33288"/>
      <c r="X33288" s="60"/>
    </row>
    <row r="33289" spans="7:24" ht="15" customHeight="1">
      <c r="G33289"/>
      <c r="I33289"/>
      <c r="N33289"/>
      <c r="O33289" s="24"/>
      <c r="P33289"/>
      <c r="Q33289" s="24"/>
      <c r="R33289"/>
      <c r="S33289"/>
      <c r="T33289"/>
      <c r="U33289"/>
      <c r="X33289" s="60"/>
    </row>
    <row r="33290" spans="7:24" ht="15" customHeight="1">
      <c r="G33290"/>
      <c r="I33290"/>
      <c r="N33290"/>
      <c r="O33290" s="24"/>
      <c r="P33290"/>
      <c r="Q33290" s="24"/>
      <c r="R33290"/>
      <c r="S33290"/>
      <c r="T33290"/>
      <c r="U33290"/>
      <c r="X33290" s="60"/>
    </row>
    <row r="33291" spans="7:24" ht="15" customHeight="1">
      <c r="G33291"/>
      <c r="I33291"/>
      <c r="N33291"/>
      <c r="O33291" s="24"/>
      <c r="P33291"/>
      <c r="Q33291" s="24"/>
      <c r="R33291"/>
      <c r="S33291"/>
      <c r="T33291"/>
      <c r="U33291"/>
      <c r="X33291" s="60"/>
    </row>
    <row r="33292" spans="7:24" ht="15" customHeight="1">
      <c r="G33292"/>
      <c r="I33292"/>
      <c r="N33292"/>
      <c r="O33292" s="24"/>
      <c r="P33292"/>
      <c r="Q33292" s="24"/>
      <c r="R33292"/>
      <c r="S33292"/>
      <c r="T33292"/>
      <c r="U33292"/>
      <c r="X33292" s="60"/>
    </row>
    <row r="33293" spans="7:24" ht="15" customHeight="1">
      <c r="G33293"/>
      <c r="I33293"/>
      <c r="N33293"/>
      <c r="O33293" s="24"/>
      <c r="P33293"/>
      <c r="Q33293" s="24"/>
      <c r="R33293"/>
      <c r="S33293"/>
      <c r="T33293"/>
      <c r="U33293"/>
      <c r="X33293" s="60"/>
    </row>
    <row r="33294" spans="7:24" ht="15" customHeight="1">
      <c r="G33294"/>
      <c r="I33294"/>
      <c r="N33294"/>
      <c r="O33294" s="24"/>
      <c r="P33294"/>
      <c r="Q33294" s="24"/>
      <c r="R33294"/>
      <c r="S33294"/>
      <c r="T33294"/>
      <c r="U33294"/>
      <c r="X33294" s="60"/>
    </row>
    <row r="33295" spans="7:24" ht="15" customHeight="1">
      <c r="G33295"/>
      <c r="I33295"/>
      <c r="N33295"/>
      <c r="O33295" s="24"/>
      <c r="P33295"/>
      <c r="Q33295" s="24"/>
      <c r="R33295"/>
      <c r="S33295"/>
      <c r="T33295"/>
      <c r="U33295"/>
      <c r="X33295" s="60"/>
    </row>
    <row r="33296" spans="7:24" ht="15" customHeight="1">
      <c r="G33296"/>
      <c r="I33296"/>
      <c r="N33296"/>
      <c r="O33296" s="24"/>
      <c r="P33296"/>
      <c r="Q33296" s="24"/>
      <c r="R33296"/>
      <c r="S33296"/>
      <c r="T33296"/>
      <c r="U33296"/>
      <c r="X33296" s="60"/>
    </row>
    <row r="33297" spans="7:24" ht="15" customHeight="1">
      <c r="G33297"/>
      <c r="I33297"/>
      <c r="N33297"/>
      <c r="O33297" s="24"/>
      <c r="P33297"/>
      <c r="Q33297" s="24"/>
      <c r="R33297"/>
      <c r="S33297"/>
      <c r="T33297"/>
      <c r="U33297"/>
      <c r="X33297" s="60"/>
    </row>
    <row r="33298" spans="7:24" ht="15" customHeight="1">
      <c r="G33298"/>
      <c r="I33298"/>
      <c r="N33298"/>
      <c r="O33298" s="24"/>
      <c r="P33298"/>
      <c r="Q33298" s="24"/>
      <c r="R33298"/>
      <c r="S33298"/>
      <c r="T33298"/>
      <c r="U33298"/>
      <c r="X33298" s="60"/>
    </row>
    <row r="33299" spans="7:24" ht="15" customHeight="1">
      <c r="G33299"/>
      <c r="I33299"/>
      <c r="N33299"/>
      <c r="O33299" s="24"/>
      <c r="P33299"/>
      <c r="Q33299" s="24"/>
      <c r="R33299"/>
      <c r="S33299"/>
      <c r="T33299"/>
      <c r="U33299"/>
      <c r="X33299" s="60"/>
    </row>
    <row r="33300" spans="7:24" ht="15" customHeight="1">
      <c r="G33300"/>
      <c r="I33300"/>
      <c r="N33300"/>
      <c r="O33300" s="24"/>
      <c r="P33300"/>
      <c r="Q33300" s="24"/>
      <c r="R33300"/>
      <c r="S33300"/>
      <c r="T33300"/>
      <c r="U33300"/>
      <c r="X33300" s="60"/>
    </row>
    <row r="33301" spans="7:24" ht="15" customHeight="1">
      <c r="G33301"/>
      <c r="I33301"/>
      <c r="N33301"/>
      <c r="O33301" s="24"/>
      <c r="P33301"/>
      <c r="Q33301" s="24"/>
      <c r="R33301"/>
      <c r="S33301"/>
      <c r="T33301"/>
      <c r="U33301"/>
      <c r="X33301" s="60"/>
    </row>
    <row r="33302" spans="7:24" ht="15" customHeight="1">
      <c r="G33302"/>
      <c r="I33302"/>
      <c r="N33302"/>
      <c r="O33302" s="24"/>
      <c r="P33302"/>
      <c r="Q33302" s="24"/>
      <c r="R33302"/>
      <c r="S33302"/>
      <c r="T33302"/>
      <c r="U33302"/>
      <c r="X33302" s="60"/>
    </row>
    <row r="33303" spans="7:24" ht="15" customHeight="1">
      <c r="G33303"/>
      <c r="I33303"/>
      <c r="N33303"/>
      <c r="O33303" s="24"/>
      <c r="P33303"/>
      <c r="Q33303" s="24"/>
      <c r="R33303"/>
      <c r="S33303"/>
      <c r="T33303"/>
      <c r="U33303"/>
      <c r="X33303" s="60"/>
    </row>
    <row r="33304" spans="7:24" ht="15" customHeight="1">
      <c r="G33304"/>
      <c r="I33304"/>
      <c r="N33304"/>
      <c r="O33304" s="24"/>
      <c r="P33304"/>
      <c r="Q33304" s="24"/>
      <c r="R33304"/>
      <c r="S33304"/>
      <c r="T33304"/>
      <c r="U33304"/>
      <c r="X33304" s="60"/>
    </row>
    <row r="33305" spans="7:24" ht="15" customHeight="1">
      <c r="G33305"/>
      <c r="I33305"/>
      <c r="N33305"/>
      <c r="O33305" s="24"/>
      <c r="P33305"/>
      <c r="Q33305" s="24"/>
      <c r="R33305"/>
      <c r="S33305"/>
      <c r="T33305"/>
      <c r="U33305"/>
      <c r="X33305" s="60"/>
    </row>
    <row r="33306" spans="7:24" ht="15" customHeight="1">
      <c r="G33306"/>
      <c r="I33306"/>
      <c r="N33306"/>
      <c r="O33306" s="24"/>
      <c r="P33306"/>
      <c r="Q33306" s="24"/>
      <c r="R33306"/>
      <c r="S33306"/>
      <c r="T33306"/>
      <c r="U33306"/>
      <c r="X33306" s="60"/>
    </row>
    <row r="33307" spans="7:24" ht="15" customHeight="1">
      <c r="G33307"/>
      <c r="I33307"/>
      <c r="N33307"/>
      <c r="O33307" s="24"/>
      <c r="P33307"/>
      <c r="Q33307" s="24"/>
      <c r="R33307"/>
      <c r="S33307"/>
      <c r="T33307"/>
      <c r="U33307"/>
      <c r="X33307" s="60"/>
    </row>
    <row r="33308" spans="7:24" ht="15" customHeight="1">
      <c r="G33308"/>
      <c r="I33308"/>
      <c r="N33308"/>
      <c r="O33308" s="24"/>
      <c r="P33308"/>
      <c r="Q33308" s="24"/>
      <c r="R33308"/>
      <c r="S33308"/>
      <c r="T33308"/>
      <c r="U33308"/>
      <c r="X33308" s="60"/>
    </row>
    <row r="33309" spans="7:24" ht="15" customHeight="1">
      <c r="G33309"/>
      <c r="I33309"/>
      <c r="N33309"/>
      <c r="O33309" s="24"/>
      <c r="P33309"/>
      <c r="Q33309" s="24"/>
      <c r="R33309"/>
      <c r="S33309"/>
      <c r="T33309"/>
      <c r="U33309"/>
      <c r="X33309" s="60"/>
    </row>
    <row r="33310" spans="7:24" ht="15" customHeight="1">
      <c r="G33310"/>
      <c r="I33310"/>
      <c r="N33310"/>
      <c r="O33310" s="24"/>
      <c r="P33310"/>
      <c r="Q33310" s="24"/>
      <c r="R33310"/>
      <c r="S33310"/>
      <c r="T33310"/>
      <c r="U33310"/>
      <c r="X33310" s="60"/>
    </row>
    <row r="33311" spans="7:24" ht="15" customHeight="1">
      <c r="G33311"/>
      <c r="I33311"/>
      <c r="N33311"/>
      <c r="O33311" s="24"/>
      <c r="P33311"/>
      <c r="Q33311" s="24"/>
      <c r="R33311"/>
      <c r="S33311"/>
      <c r="T33311"/>
      <c r="U33311"/>
      <c r="X33311" s="60"/>
    </row>
    <row r="33312" spans="7:24" ht="15" customHeight="1">
      <c r="G33312"/>
      <c r="I33312"/>
      <c r="N33312"/>
      <c r="O33312" s="24"/>
      <c r="P33312"/>
      <c r="Q33312" s="24"/>
      <c r="R33312"/>
      <c r="S33312"/>
      <c r="T33312"/>
      <c r="U33312"/>
      <c r="X33312" s="60"/>
    </row>
    <row r="33313" spans="7:24" ht="15" customHeight="1">
      <c r="G33313"/>
      <c r="I33313"/>
      <c r="N33313"/>
      <c r="O33313" s="24"/>
      <c r="P33313"/>
      <c r="Q33313" s="24"/>
      <c r="R33313"/>
      <c r="S33313"/>
      <c r="T33313"/>
      <c r="U33313"/>
      <c r="X33313" s="60"/>
    </row>
    <row r="33314" spans="7:24" ht="15" customHeight="1">
      <c r="G33314"/>
      <c r="I33314"/>
      <c r="N33314"/>
      <c r="O33314" s="24"/>
      <c r="P33314"/>
      <c r="Q33314" s="24"/>
      <c r="R33314"/>
      <c r="S33314"/>
      <c r="T33314"/>
      <c r="U33314"/>
      <c r="X33314" s="60"/>
    </row>
    <row r="33315" spans="7:24" ht="15" customHeight="1">
      <c r="G33315"/>
      <c r="I33315"/>
      <c r="N33315"/>
      <c r="O33315" s="24"/>
      <c r="P33315"/>
      <c r="Q33315" s="24"/>
      <c r="R33315"/>
      <c r="S33315"/>
      <c r="T33315"/>
      <c r="U33315"/>
      <c r="X33315" s="60"/>
    </row>
    <row r="33316" spans="7:24" ht="15" customHeight="1">
      <c r="G33316"/>
      <c r="I33316"/>
      <c r="N33316"/>
      <c r="O33316" s="24"/>
      <c r="P33316"/>
      <c r="Q33316" s="24"/>
      <c r="R33316"/>
      <c r="S33316"/>
      <c r="T33316"/>
      <c r="U33316"/>
      <c r="X33316" s="60"/>
    </row>
    <row r="33317" spans="7:24" ht="15" customHeight="1">
      <c r="G33317"/>
      <c r="I33317"/>
      <c r="N33317"/>
      <c r="O33317" s="24"/>
      <c r="P33317"/>
      <c r="Q33317" s="24"/>
      <c r="R33317"/>
      <c r="S33317"/>
      <c r="T33317"/>
      <c r="U33317"/>
      <c r="X33317" s="60"/>
    </row>
    <row r="33318" spans="7:24" ht="15" customHeight="1">
      <c r="G33318"/>
      <c r="I33318"/>
      <c r="N33318"/>
      <c r="O33318" s="24"/>
      <c r="P33318"/>
      <c r="Q33318" s="24"/>
      <c r="R33318"/>
      <c r="S33318"/>
      <c r="T33318"/>
      <c r="U33318"/>
      <c r="X33318" s="60"/>
    </row>
    <row r="33319" spans="7:24" ht="15" customHeight="1">
      <c r="G33319"/>
      <c r="I33319"/>
      <c r="N33319"/>
      <c r="O33319" s="24"/>
      <c r="P33319"/>
      <c r="Q33319" s="24"/>
      <c r="R33319"/>
      <c r="S33319"/>
      <c r="T33319"/>
      <c r="U33319"/>
      <c r="X33319" s="60"/>
    </row>
    <row r="33320" spans="7:24" ht="15" customHeight="1">
      <c r="G33320"/>
      <c r="I33320"/>
      <c r="N33320"/>
      <c r="O33320" s="24"/>
      <c r="P33320"/>
      <c r="Q33320" s="24"/>
      <c r="R33320"/>
      <c r="S33320"/>
      <c r="T33320"/>
      <c r="U33320"/>
      <c r="X33320" s="60"/>
    </row>
    <row r="33321" spans="7:24" ht="15" customHeight="1">
      <c r="G33321"/>
      <c r="I33321"/>
      <c r="N33321"/>
      <c r="O33321" s="24"/>
      <c r="P33321"/>
      <c r="Q33321" s="24"/>
      <c r="R33321"/>
      <c r="S33321"/>
      <c r="T33321"/>
      <c r="U33321"/>
      <c r="X33321" s="60"/>
    </row>
    <row r="33322" spans="7:24" ht="15" customHeight="1">
      <c r="G33322"/>
      <c r="I33322"/>
      <c r="N33322"/>
      <c r="O33322" s="24"/>
      <c r="P33322"/>
      <c r="Q33322" s="24"/>
      <c r="R33322"/>
      <c r="S33322"/>
      <c r="T33322"/>
      <c r="U33322"/>
      <c r="X33322" s="60"/>
    </row>
    <row r="33323" spans="7:24" ht="15" customHeight="1">
      <c r="G33323"/>
      <c r="I33323"/>
      <c r="N33323"/>
      <c r="O33323" s="24"/>
      <c r="P33323"/>
      <c r="Q33323" s="24"/>
      <c r="R33323"/>
      <c r="S33323"/>
      <c r="T33323"/>
      <c r="U33323"/>
      <c r="X33323" s="60"/>
    </row>
    <row r="33324" spans="7:24" ht="15" customHeight="1">
      <c r="G33324"/>
      <c r="I33324"/>
      <c r="N33324"/>
      <c r="O33324" s="24"/>
      <c r="P33324"/>
      <c r="Q33324" s="24"/>
      <c r="R33324"/>
      <c r="S33324"/>
      <c r="T33324"/>
      <c r="U33324"/>
      <c r="X33324" s="60"/>
    </row>
    <row r="33325" spans="7:24" ht="15" customHeight="1">
      <c r="G33325"/>
      <c r="I33325"/>
      <c r="N33325"/>
      <c r="O33325" s="24"/>
      <c r="P33325"/>
      <c r="Q33325" s="24"/>
      <c r="R33325"/>
      <c r="S33325"/>
      <c r="T33325"/>
      <c r="U33325"/>
      <c r="X33325" s="60"/>
    </row>
    <row r="33326" spans="7:24" ht="15" customHeight="1">
      <c r="G33326"/>
      <c r="I33326"/>
      <c r="N33326"/>
      <c r="O33326" s="24"/>
      <c r="P33326"/>
      <c r="Q33326" s="24"/>
      <c r="R33326"/>
      <c r="S33326"/>
      <c r="T33326"/>
      <c r="U33326"/>
      <c r="X33326" s="60"/>
    </row>
    <row r="33327" spans="7:24" ht="15" customHeight="1">
      <c r="G33327"/>
      <c r="I33327"/>
      <c r="N33327"/>
      <c r="O33327" s="24"/>
      <c r="P33327"/>
      <c r="Q33327" s="24"/>
      <c r="R33327"/>
      <c r="S33327"/>
      <c r="T33327"/>
      <c r="U33327"/>
      <c r="X33327" s="60"/>
    </row>
    <row r="33328" spans="7:24" ht="15" customHeight="1">
      <c r="G33328"/>
      <c r="I33328"/>
      <c r="N33328"/>
      <c r="O33328" s="24"/>
      <c r="P33328"/>
      <c r="Q33328" s="24"/>
      <c r="R33328"/>
      <c r="S33328"/>
      <c r="T33328"/>
      <c r="U33328"/>
      <c r="X33328" s="60"/>
    </row>
    <row r="33329" spans="7:24" ht="15" customHeight="1">
      <c r="G33329"/>
      <c r="I33329"/>
      <c r="N33329"/>
      <c r="O33329" s="24"/>
      <c r="P33329"/>
      <c r="Q33329" s="24"/>
      <c r="R33329"/>
      <c r="S33329"/>
      <c r="T33329"/>
      <c r="U33329"/>
      <c r="X33329" s="60"/>
    </row>
    <row r="33330" spans="7:24" ht="15" customHeight="1">
      <c r="G33330"/>
      <c r="I33330"/>
      <c r="N33330"/>
      <c r="O33330" s="24"/>
      <c r="P33330"/>
      <c r="Q33330" s="24"/>
      <c r="R33330"/>
      <c r="S33330"/>
      <c r="T33330"/>
      <c r="U33330"/>
      <c r="X33330" s="60"/>
    </row>
    <row r="33331" spans="7:24" ht="15" customHeight="1">
      <c r="G33331"/>
      <c r="I33331"/>
      <c r="N33331"/>
      <c r="O33331" s="24"/>
      <c r="P33331"/>
      <c r="Q33331" s="24"/>
      <c r="R33331"/>
      <c r="S33331"/>
      <c r="T33331"/>
      <c r="U33331"/>
      <c r="X33331" s="60"/>
    </row>
    <row r="33332" spans="7:24" ht="15" customHeight="1">
      <c r="G33332"/>
      <c r="I33332"/>
      <c r="N33332"/>
      <c r="O33332" s="24"/>
      <c r="P33332"/>
      <c r="Q33332" s="24"/>
      <c r="R33332"/>
      <c r="S33332"/>
      <c r="T33332"/>
      <c r="U33332"/>
      <c r="X33332" s="60"/>
    </row>
    <row r="33333" spans="7:24" ht="15" customHeight="1">
      <c r="G33333"/>
      <c r="I33333"/>
      <c r="N33333"/>
      <c r="O33333" s="24"/>
      <c r="P33333"/>
      <c r="Q33333" s="24"/>
      <c r="R33333"/>
      <c r="S33333"/>
      <c r="T33333"/>
      <c r="U33333"/>
      <c r="X33333" s="60"/>
    </row>
    <row r="33334" spans="7:24" ht="15" customHeight="1">
      <c r="G33334"/>
      <c r="I33334"/>
      <c r="N33334"/>
      <c r="O33334" s="24"/>
      <c r="P33334"/>
      <c r="Q33334" s="24"/>
      <c r="R33334"/>
      <c r="S33334"/>
      <c r="T33334"/>
      <c r="U33334"/>
      <c r="X33334" s="60"/>
    </row>
    <row r="33335" spans="7:24" ht="15" customHeight="1">
      <c r="G33335"/>
      <c r="I33335"/>
      <c r="N33335"/>
      <c r="O33335" s="24"/>
      <c r="P33335"/>
      <c r="Q33335" s="24"/>
      <c r="R33335"/>
      <c r="S33335"/>
      <c r="T33335"/>
      <c r="U33335"/>
      <c r="X33335" s="60"/>
    </row>
    <row r="33336" spans="7:24" ht="15" customHeight="1">
      <c r="G33336"/>
      <c r="I33336"/>
      <c r="N33336"/>
      <c r="O33336" s="24"/>
      <c r="P33336"/>
      <c r="Q33336" s="24"/>
      <c r="R33336"/>
      <c r="S33336"/>
      <c r="T33336"/>
      <c r="U33336"/>
      <c r="X33336" s="60"/>
    </row>
    <row r="33337" spans="7:24" ht="15" customHeight="1">
      <c r="G33337"/>
      <c r="I33337"/>
      <c r="N33337"/>
      <c r="O33337" s="24"/>
      <c r="P33337"/>
      <c r="Q33337" s="24"/>
      <c r="R33337"/>
      <c r="S33337"/>
      <c r="T33337"/>
      <c r="U33337"/>
      <c r="X33337" s="60"/>
    </row>
    <row r="33338" spans="7:24" ht="15" customHeight="1">
      <c r="G33338"/>
      <c r="I33338"/>
      <c r="N33338"/>
      <c r="O33338" s="24"/>
      <c r="P33338"/>
      <c r="Q33338" s="24"/>
      <c r="R33338"/>
      <c r="S33338"/>
      <c r="T33338"/>
      <c r="U33338"/>
      <c r="X33338" s="60"/>
    </row>
    <row r="33339" spans="7:24" ht="15" customHeight="1">
      <c r="G33339"/>
      <c r="I33339"/>
      <c r="N33339"/>
      <c r="O33339" s="24"/>
      <c r="P33339"/>
      <c r="Q33339" s="24"/>
      <c r="R33339"/>
      <c r="S33339"/>
      <c r="T33339"/>
      <c r="U33339"/>
      <c r="X33339" s="60"/>
    </row>
    <row r="33340" spans="7:24" ht="15" customHeight="1">
      <c r="G33340"/>
      <c r="I33340"/>
      <c r="N33340"/>
      <c r="O33340" s="24"/>
      <c r="P33340"/>
      <c r="Q33340" s="24"/>
      <c r="R33340"/>
      <c r="S33340"/>
      <c r="T33340"/>
      <c r="U33340"/>
      <c r="X33340" s="60"/>
    </row>
    <row r="33341" spans="7:24" ht="15" customHeight="1">
      <c r="G33341"/>
      <c r="I33341"/>
      <c r="N33341"/>
      <c r="O33341" s="24"/>
      <c r="P33341"/>
      <c r="Q33341" s="24"/>
      <c r="R33341"/>
      <c r="S33341"/>
      <c r="T33341"/>
      <c r="U33341"/>
      <c r="X33341" s="60"/>
    </row>
    <row r="33342" spans="7:24" ht="15" customHeight="1">
      <c r="G33342"/>
      <c r="I33342"/>
      <c r="N33342"/>
      <c r="O33342" s="24"/>
      <c r="P33342"/>
      <c r="Q33342" s="24"/>
      <c r="R33342"/>
      <c r="S33342"/>
      <c r="T33342"/>
      <c r="U33342"/>
      <c r="X33342" s="60"/>
    </row>
    <row r="33343" spans="7:24" ht="15" customHeight="1">
      <c r="G33343"/>
      <c r="I33343"/>
      <c r="N33343"/>
      <c r="O33343" s="24"/>
      <c r="P33343"/>
      <c r="Q33343" s="24"/>
      <c r="R33343"/>
      <c r="S33343"/>
      <c r="T33343"/>
      <c r="U33343"/>
      <c r="X33343" s="60"/>
    </row>
    <row r="33344" spans="7:24" ht="15" customHeight="1">
      <c r="G33344"/>
      <c r="I33344"/>
      <c r="N33344"/>
      <c r="O33344" s="24"/>
      <c r="P33344"/>
      <c r="Q33344" s="24"/>
      <c r="R33344"/>
      <c r="S33344"/>
      <c r="T33344"/>
      <c r="U33344"/>
      <c r="X33344" s="60"/>
    </row>
    <row r="33345" spans="7:24" ht="15" customHeight="1">
      <c r="G33345"/>
      <c r="I33345"/>
      <c r="N33345"/>
      <c r="O33345" s="24"/>
      <c r="P33345"/>
      <c r="Q33345" s="24"/>
      <c r="R33345"/>
      <c r="S33345"/>
      <c r="T33345"/>
      <c r="U33345"/>
      <c r="X33345" s="60"/>
    </row>
    <row r="33346" spans="7:24" ht="15" customHeight="1">
      <c r="G33346"/>
      <c r="I33346"/>
      <c r="N33346"/>
      <c r="O33346" s="24"/>
      <c r="P33346"/>
      <c r="Q33346" s="24"/>
      <c r="R33346"/>
      <c r="S33346"/>
      <c r="T33346"/>
      <c r="U33346"/>
      <c r="X33346" s="60"/>
    </row>
    <row r="33347" spans="7:24" ht="15" customHeight="1">
      <c r="G33347"/>
      <c r="I33347"/>
      <c r="N33347"/>
      <c r="O33347" s="24"/>
      <c r="P33347"/>
      <c r="Q33347" s="24"/>
      <c r="R33347"/>
      <c r="S33347"/>
      <c r="T33347"/>
      <c r="U33347"/>
      <c r="X33347" s="60"/>
    </row>
    <row r="33348" spans="7:24" ht="15" customHeight="1">
      <c r="G33348"/>
      <c r="I33348"/>
      <c r="N33348"/>
      <c r="O33348" s="24"/>
      <c r="P33348"/>
      <c r="Q33348" s="24"/>
      <c r="R33348"/>
      <c r="S33348"/>
      <c r="T33348"/>
      <c r="U33348"/>
      <c r="X33348" s="60"/>
    </row>
    <row r="33349" spans="7:24" ht="15" customHeight="1">
      <c r="G33349"/>
      <c r="I33349"/>
      <c r="N33349"/>
      <c r="O33349" s="24"/>
      <c r="P33349"/>
      <c r="Q33349" s="24"/>
      <c r="R33349"/>
      <c r="S33349"/>
      <c r="T33349"/>
      <c r="U33349"/>
      <c r="X33349" s="60"/>
    </row>
    <row r="33350" spans="7:24" ht="15" customHeight="1">
      <c r="G33350"/>
      <c r="I33350"/>
      <c r="N33350"/>
      <c r="O33350" s="24"/>
      <c r="P33350"/>
      <c r="Q33350" s="24"/>
      <c r="R33350"/>
      <c r="S33350"/>
      <c r="T33350"/>
      <c r="U33350"/>
      <c r="X33350" s="60"/>
    </row>
    <row r="33351" spans="7:24" ht="15" customHeight="1">
      <c r="G33351"/>
      <c r="I33351"/>
      <c r="N33351"/>
      <c r="O33351" s="24"/>
      <c r="P33351"/>
      <c r="Q33351" s="24"/>
      <c r="R33351"/>
      <c r="S33351"/>
      <c r="T33351"/>
      <c r="U33351"/>
      <c r="X33351" s="60"/>
    </row>
    <row r="33352" spans="7:24" ht="15" customHeight="1">
      <c r="G33352"/>
      <c r="I33352"/>
      <c r="N33352"/>
      <c r="O33352" s="24"/>
      <c r="P33352"/>
      <c r="Q33352" s="24"/>
      <c r="R33352"/>
      <c r="S33352"/>
      <c r="T33352"/>
      <c r="U33352"/>
      <c r="X33352" s="60"/>
    </row>
    <row r="33353" spans="7:24" ht="15" customHeight="1">
      <c r="G33353"/>
      <c r="I33353"/>
      <c r="N33353"/>
      <c r="O33353" s="24"/>
      <c r="P33353"/>
      <c r="Q33353" s="24"/>
      <c r="R33353"/>
      <c r="S33353"/>
      <c r="T33353"/>
      <c r="U33353"/>
      <c r="X33353" s="60"/>
    </row>
    <row r="33354" spans="7:24" ht="15" customHeight="1">
      <c r="G33354"/>
      <c r="I33354"/>
      <c r="N33354"/>
      <c r="O33354" s="24"/>
      <c r="P33354"/>
      <c r="Q33354" s="24"/>
      <c r="R33354"/>
      <c r="S33354"/>
      <c r="T33354"/>
      <c r="U33354"/>
      <c r="X33354" s="60"/>
    </row>
    <row r="33355" spans="7:24" ht="15" customHeight="1">
      <c r="G33355"/>
      <c r="I33355"/>
      <c r="N33355"/>
      <c r="O33355" s="24"/>
      <c r="P33355"/>
      <c r="Q33355" s="24"/>
      <c r="R33355"/>
      <c r="S33355"/>
      <c r="T33355"/>
      <c r="U33355"/>
      <c r="X33355" s="60"/>
    </row>
    <row r="33356" spans="7:24" ht="15" customHeight="1">
      <c r="G33356"/>
      <c r="I33356"/>
      <c r="N33356"/>
      <c r="O33356" s="24"/>
      <c r="P33356"/>
      <c r="Q33356" s="24"/>
      <c r="R33356"/>
      <c r="S33356"/>
      <c r="T33356"/>
      <c r="U33356"/>
      <c r="X33356" s="60"/>
    </row>
    <row r="33357" spans="7:24" ht="15" customHeight="1">
      <c r="G33357"/>
      <c r="I33357"/>
      <c r="N33357"/>
      <c r="O33357" s="24"/>
      <c r="P33357"/>
      <c r="Q33357" s="24"/>
      <c r="R33357"/>
      <c r="S33357"/>
      <c r="T33357"/>
      <c r="U33357"/>
      <c r="X33357" s="60"/>
    </row>
    <row r="33358" spans="7:24" ht="15" customHeight="1">
      <c r="G33358"/>
      <c r="I33358"/>
      <c r="N33358"/>
      <c r="O33358" s="24"/>
      <c r="P33358"/>
      <c r="Q33358" s="24"/>
      <c r="R33358"/>
      <c r="S33358"/>
      <c r="T33358"/>
      <c r="U33358"/>
      <c r="X33358" s="60"/>
    </row>
    <row r="33359" spans="7:24" ht="15" customHeight="1">
      <c r="G33359"/>
      <c r="I33359"/>
      <c r="N33359"/>
      <c r="O33359" s="24"/>
      <c r="P33359"/>
      <c r="Q33359" s="24"/>
      <c r="R33359"/>
      <c r="S33359"/>
      <c r="T33359"/>
      <c r="U33359"/>
      <c r="X33359" s="60"/>
    </row>
    <row r="33360" spans="7:24" ht="15" customHeight="1">
      <c r="G33360"/>
      <c r="I33360"/>
      <c r="N33360"/>
      <c r="O33360" s="24"/>
      <c r="P33360"/>
      <c r="Q33360" s="24"/>
      <c r="R33360"/>
      <c r="S33360"/>
      <c r="T33360"/>
      <c r="U33360"/>
      <c r="X33360" s="60"/>
    </row>
    <row r="33361" spans="7:24" ht="15" customHeight="1">
      <c r="G33361"/>
      <c r="I33361"/>
      <c r="N33361"/>
      <c r="O33361" s="24"/>
      <c r="P33361"/>
      <c r="Q33361" s="24"/>
      <c r="R33361"/>
      <c r="S33361"/>
      <c r="T33361"/>
      <c r="U33361"/>
      <c r="X33361" s="60"/>
    </row>
    <row r="33362" spans="7:24" ht="15" customHeight="1">
      <c r="G33362"/>
      <c r="I33362"/>
      <c r="N33362"/>
      <c r="O33362" s="24"/>
      <c r="P33362"/>
      <c r="Q33362" s="24"/>
      <c r="R33362"/>
      <c r="S33362"/>
      <c r="T33362"/>
      <c r="U33362"/>
      <c r="X33362" s="60"/>
    </row>
    <row r="33363" spans="7:24" ht="15" customHeight="1">
      <c r="G33363"/>
      <c r="I33363"/>
      <c r="N33363"/>
      <c r="O33363" s="24"/>
      <c r="P33363"/>
      <c r="Q33363" s="24"/>
      <c r="R33363"/>
      <c r="S33363"/>
      <c r="T33363"/>
      <c r="U33363"/>
      <c r="X33363" s="60"/>
    </row>
    <row r="33364" spans="7:24" ht="15" customHeight="1">
      <c r="G33364"/>
      <c r="I33364"/>
      <c r="N33364"/>
      <c r="O33364" s="24"/>
      <c r="P33364"/>
      <c r="Q33364" s="24"/>
      <c r="R33364"/>
      <c r="S33364"/>
      <c r="T33364"/>
      <c r="U33364"/>
      <c r="X33364" s="60"/>
    </row>
    <row r="33365" spans="7:24" ht="15" customHeight="1">
      <c r="G33365"/>
      <c r="I33365"/>
      <c r="N33365"/>
      <c r="O33365" s="24"/>
      <c r="P33365"/>
      <c r="Q33365" s="24"/>
      <c r="R33365"/>
      <c r="S33365"/>
      <c r="T33365"/>
      <c r="U33365"/>
      <c r="X33365" s="60"/>
    </row>
    <row r="33366" spans="7:24" ht="15" customHeight="1">
      <c r="G33366"/>
      <c r="I33366"/>
      <c r="N33366"/>
      <c r="O33366" s="24"/>
      <c r="P33366"/>
      <c r="Q33366" s="24"/>
      <c r="R33366"/>
      <c r="S33366"/>
      <c r="T33366"/>
      <c r="U33366"/>
      <c r="X33366" s="60"/>
    </row>
    <row r="33367" spans="7:24" ht="15" customHeight="1">
      <c r="G33367"/>
      <c r="I33367"/>
      <c r="N33367"/>
      <c r="O33367" s="24"/>
      <c r="P33367"/>
      <c r="Q33367" s="24"/>
      <c r="R33367"/>
      <c r="S33367"/>
      <c r="T33367"/>
      <c r="U33367"/>
      <c r="X33367" s="60"/>
    </row>
    <row r="33368" spans="7:24" ht="15" customHeight="1">
      <c r="G33368"/>
      <c r="I33368"/>
      <c r="N33368"/>
      <c r="O33368" s="24"/>
      <c r="P33368"/>
      <c r="Q33368" s="24"/>
      <c r="R33368"/>
      <c r="S33368"/>
      <c r="T33368"/>
      <c r="U33368"/>
      <c r="X33368" s="60"/>
    </row>
    <row r="33369" spans="7:24" ht="15" customHeight="1">
      <c r="G33369"/>
      <c r="I33369"/>
      <c r="N33369"/>
      <c r="O33369" s="24"/>
      <c r="P33369"/>
      <c r="Q33369" s="24"/>
      <c r="R33369"/>
      <c r="S33369"/>
      <c r="T33369"/>
      <c r="U33369"/>
      <c r="X33369" s="60"/>
    </row>
    <row r="33370" spans="7:24" ht="15" customHeight="1">
      <c r="G33370"/>
      <c r="I33370"/>
      <c r="N33370"/>
      <c r="O33370" s="24"/>
      <c r="P33370"/>
      <c r="Q33370" s="24"/>
      <c r="R33370"/>
      <c r="S33370"/>
      <c r="T33370"/>
      <c r="U33370"/>
      <c r="X33370" s="60"/>
    </row>
    <row r="33371" spans="7:24" ht="15" customHeight="1">
      <c r="G33371"/>
      <c r="I33371"/>
      <c r="N33371"/>
      <c r="O33371" s="24"/>
      <c r="P33371"/>
      <c r="Q33371" s="24"/>
      <c r="R33371"/>
      <c r="S33371"/>
      <c r="T33371"/>
      <c r="U33371"/>
      <c r="X33371" s="60"/>
    </row>
    <row r="33372" spans="7:24" ht="15" customHeight="1">
      <c r="G33372"/>
      <c r="I33372"/>
      <c r="N33372"/>
      <c r="O33372" s="24"/>
      <c r="P33372"/>
      <c r="Q33372" s="24"/>
      <c r="R33372"/>
      <c r="S33372"/>
      <c r="T33372"/>
      <c r="U33372"/>
      <c r="X33372" s="60"/>
    </row>
    <row r="33373" spans="7:24" ht="15" customHeight="1">
      <c r="G33373"/>
      <c r="I33373"/>
      <c r="N33373"/>
      <c r="O33373" s="24"/>
      <c r="P33373"/>
      <c r="Q33373" s="24"/>
      <c r="R33373"/>
      <c r="S33373"/>
      <c r="T33373"/>
      <c r="U33373"/>
      <c r="X33373" s="60"/>
    </row>
    <row r="33374" spans="7:24" ht="15" customHeight="1">
      <c r="G33374"/>
      <c r="I33374"/>
      <c r="N33374"/>
      <c r="O33374" s="24"/>
      <c r="P33374"/>
      <c r="Q33374" s="24"/>
      <c r="R33374"/>
      <c r="S33374"/>
      <c r="T33374"/>
      <c r="U33374"/>
      <c r="X33374" s="60"/>
    </row>
    <row r="33375" spans="7:24" ht="15" customHeight="1">
      <c r="G33375"/>
      <c r="I33375"/>
      <c r="N33375"/>
      <c r="O33375" s="24"/>
      <c r="P33375"/>
      <c r="Q33375" s="24"/>
      <c r="R33375"/>
      <c r="S33375"/>
      <c r="T33375"/>
      <c r="U33375"/>
      <c r="X33375" s="60"/>
    </row>
    <row r="33376" spans="7:24" ht="15" customHeight="1">
      <c r="G33376"/>
      <c r="I33376"/>
      <c r="N33376"/>
      <c r="O33376" s="24"/>
      <c r="P33376"/>
      <c r="Q33376" s="24"/>
      <c r="R33376"/>
      <c r="S33376"/>
      <c r="T33376"/>
      <c r="U33376"/>
      <c r="X33376" s="60"/>
    </row>
    <row r="33377" spans="7:24" ht="15" customHeight="1">
      <c r="G33377"/>
      <c r="I33377"/>
      <c r="N33377"/>
      <c r="O33377" s="24"/>
      <c r="P33377"/>
      <c r="Q33377" s="24"/>
      <c r="R33377"/>
      <c r="S33377"/>
      <c r="T33377"/>
      <c r="U33377"/>
      <c r="X33377" s="60"/>
    </row>
    <row r="33378" spans="7:24" ht="15" customHeight="1">
      <c r="G33378"/>
      <c r="I33378"/>
      <c r="N33378"/>
      <c r="O33378" s="24"/>
      <c r="P33378"/>
      <c r="Q33378" s="24"/>
      <c r="R33378"/>
      <c r="S33378"/>
      <c r="T33378"/>
      <c r="U33378"/>
      <c r="X33378" s="60"/>
    </row>
    <row r="33379" spans="7:24" ht="15" customHeight="1">
      <c r="G33379"/>
      <c r="I33379"/>
      <c r="N33379"/>
      <c r="O33379" s="24"/>
      <c r="P33379"/>
      <c r="Q33379" s="24"/>
      <c r="R33379"/>
      <c r="S33379"/>
      <c r="T33379"/>
      <c r="U33379"/>
      <c r="X33379" s="60"/>
    </row>
    <row r="33380" spans="7:24" ht="15" customHeight="1">
      <c r="G33380"/>
      <c r="I33380"/>
      <c r="N33380"/>
      <c r="O33380" s="24"/>
      <c r="P33380"/>
      <c r="Q33380" s="24"/>
      <c r="R33380"/>
      <c r="S33380"/>
      <c r="T33380"/>
      <c r="U33380"/>
      <c r="X33380" s="60"/>
    </row>
    <row r="33381" spans="7:24" ht="15" customHeight="1">
      <c r="G33381"/>
      <c r="I33381"/>
      <c r="N33381"/>
      <c r="O33381" s="24"/>
      <c r="P33381"/>
      <c r="Q33381" s="24"/>
      <c r="R33381"/>
      <c r="S33381"/>
      <c r="T33381"/>
      <c r="U33381"/>
      <c r="X33381" s="60"/>
    </row>
    <row r="33382" spans="7:24" ht="15" customHeight="1">
      <c r="G33382"/>
      <c r="I33382"/>
      <c r="N33382"/>
      <c r="O33382" s="24"/>
      <c r="P33382"/>
      <c r="Q33382" s="24"/>
      <c r="R33382"/>
      <c r="S33382"/>
      <c r="T33382"/>
      <c r="U33382"/>
      <c r="X33382" s="60"/>
    </row>
    <row r="33383" spans="7:24" ht="15" customHeight="1">
      <c r="G33383"/>
      <c r="I33383"/>
      <c r="N33383"/>
      <c r="O33383" s="24"/>
      <c r="P33383"/>
      <c r="Q33383" s="24"/>
      <c r="R33383"/>
      <c r="S33383"/>
      <c r="T33383"/>
      <c r="U33383"/>
      <c r="X33383" s="60"/>
    </row>
    <row r="33384" spans="7:24" ht="15" customHeight="1">
      <c r="G33384"/>
      <c r="I33384"/>
      <c r="N33384"/>
      <c r="O33384" s="24"/>
      <c r="P33384"/>
      <c r="Q33384" s="24"/>
      <c r="R33384"/>
      <c r="S33384"/>
      <c r="T33384"/>
      <c r="U33384"/>
      <c r="X33384" s="60"/>
    </row>
    <row r="33385" spans="7:24" ht="15" customHeight="1">
      <c r="G33385"/>
      <c r="I33385"/>
      <c r="N33385"/>
      <c r="O33385" s="24"/>
      <c r="P33385"/>
      <c r="Q33385" s="24"/>
      <c r="R33385"/>
      <c r="S33385"/>
      <c r="T33385"/>
      <c r="U33385"/>
      <c r="X33385" s="60"/>
    </row>
    <row r="33386" spans="7:24" ht="15" customHeight="1">
      <c r="G33386"/>
      <c r="I33386"/>
      <c r="N33386"/>
      <c r="O33386" s="24"/>
      <c r="P33386"/>
      <c r="Q33386" s="24"/>
      <c r="R33386"/>
      <c r="S33386"/>
      <c r="T33386"/>
      <c r="U33386"/>
      <c r="X33386" s="60"/>
    </row>
    <row r="33387" spans="7:24" ht="15" customHeight="1">
      <c r="G33387"/>
      <c r="I33387"/>
      <c r="N33387"/>
      <c r="O33387" s="24"/>
      <c r="P33387"/>
      <c r="Q33387" s="24"/>
      <c r="R33387"/>
      <c r="S33387"/>
      <c r="T33387"/>
      <c r="U33387"/>
      <c r="X33387" s="60"/>
    </row>
    <row r="33388" spans="7:24" ht="15" customHeight="1">
      <c r="G33388"/>
      <c r="I33388"/>
      <c r="N33388"/>
      <c r="O33388" s="24"/>
      <c r="P33388"/>
      <c r="Q33388" s="24"/>
      <c r="R33388"/>
      <c r="S33388"/>
      <c r="T33388"/>
      <c r="U33388"/>
      <c r="X33388" s="60"/>
    </row>
    <row r="33389" spans="7:24" ht="15" customHeight="1">
      <c r="G33389"/>
      <c r="I33389"/>
      <c r="N33389"/>
      <c r="O33389" s="24"/>
      <c r="P33389"/>
      <c r="Q33389" s="24"/>
      <c r="R33389"/>
      <c r="S33389"/>
      <c r="T33389"/>
      <c r="U33389"/>
      <c r="X33389" s="60"/>
    </row>
    <row r="33390" spans="7:24" ht="15" customHeight="1">
      <c r="G33390"/>
      <c r="I33390"/>
      <c r="N33390"/>
      <c r="O33390" s="24"/>
      <c r="P33390"/>
      <c r="Q33390" s="24"/>
      <c r="R33390"/>
      <c r="S33390"/>
      <c r="T33390"/>
      <c r="U33390"/>
      <c r="X33390" s="60"/>
    </row>
    <row r="33391" spans="7:24" ht="15" customHeight="1">
      <c r="G33391"/>
      <c r="I33391"/>
      <c r="N33391"/>
      <c r="O33391" s="24"/>
      <c r="P33391"/>
      <c r="Q33391" s="24"/>
      <c r="R33391"/>
      <c r="S33391"/>
      <c r="T33391"/>
      <c r="U33391"/>
      <c r="X33391" s="60"/>
    </row>
    <row r="33392" spans="7:24" ht="15" customHeight="1">
      <c r="G33392"/>
      <c r="I33392"/>
      <c r="N33392"/>
      <c r="O33392" s="24"/>
      <c r="P33392"/>
      <c r="Q33392" s="24"/>
      <c r="R33392"/>
      <c r="S33392"/>
      <c r="T33392"/>
      <c r="U33392"/>
      <c r="X33392" s="60"/>
    </row>
    <row r="33393" spans="7:24" ht="15" customHeight="1">
      <c r="G33393"/>
      <c r="I33393"/>
      <c r="N33393"/>
      <c r="O33393" s="24"/>
      <c r="P33393"/>
      <c r="Q33393" s="24"/>
      <c r="R33393"/>
      <c r="S33393"/>
      <c r="T33393"/>
      <c r="U33393"/>
      <c r="X33393" s="60"/>
    </row>
    <row r="33394" spans="7:24" ht="15" customHeight="1">
      <c r="G33394"/>
      <c r="I33394"/>
      <c r="N33394"/>
      <c r="O33394" s="24"/>
      <c r="P33394"/>
      <c r="Q33394" s="24"/>
      <c r="R33394"/>
      <c r="S33394"/>
      <c r="T33394"/>
      <c r="U33394"/>
      <c r="X33394" s="60"/>
    </row>
    <row r="33395" spans="7:24" ht="15" customHeight="1">
      <c r="G33395"/>
      <c r="I33395"/>
      <c r="N33395"/>
      <c r="O33395" s="24"/>
      <c r="P33395"/>
      <c r="Q33395" s="24"/>
      <c r="R33395"/>
      <c r="S33395"/>
      <c r="T33395"/>
      <c r="U33395"/>
      <c r="X33395" s="60"/>
    </row>
    <row r="33396" spans="7:24" ht="15" customHeight="1">
      <c r="G33396"/>
      <c r="I33396"/>
      <c r="N33396"/>
      <c r="O33396" s="24"/>
      <c r="P33396"/>
      <c r="Q33396" s="24"/>
      <c r="R33396"/>
      <c r="S33396"/>
      <c r="T33396"/>
      <c r="U33396"/>
      <c r="X33396" s="60"/>
    </row>
    <row r="33397" spans="7:24" ht="15" customHeight="1">
      <c r="G33397"/>
      <c r="I33397"/>
      <c r="N33397"/>
      <c r="O33397" s="24"/>
      <c r="P33397"/>
      <c r="Q33397" s="24"/>
      <c r="R33397"/>
      <c r="S33397"/>
      <c r="T33397"/>
      <c r="U33397"/>
      <c r="X33397" s="60"/>
    </row>
    <row r="33398" spans="7:24" ht="15" customHeight="1">
      <c r="G33398"/>
      <c r="I33398"/>
      <c r="N33398"/>
      <c r="O33398" s="24"/>
      <c r="P33398"/>
      <c r="Q33398" s="24"/>
      <c r="R33398"/>
      <c r="S33398"/>
      <c r="T33398"/>
      <c r="U33398"/>
      <c r="X33398" s="60"/>
    </row>
    <row r="33399" spans="7:24" ht="15" customHeight="1">
      <c r="G33399"/>
      <c r="I33399"/>
      <c r="N33399"/>
      <c r="O33399" s="24"/>
      <c r="P33399"/>
      <c r="Q33399" s="24"/>
      <c r="R33399"/>
      <c r="S33399"/>
      <c r="T33399"/>
      <c r="U33399"/>
      <c r="X33399" s="60"/>
    </row>
    <row r="33400" spans="7:24" ht="15" customHeight="1">
      <c r="G33400"/>
      <c r="I33400"/>
      <c r="N33400"/>
      <c r="O33400" s="24"/>
      <c r="P33400"/>
      <c r="Q33400" s="24"/>
      <c r="R33400"/>
      <c r="S33400"/>
      <c r="T33400"/>
      <c r="U33400"/>
      <c r="X33400" s="60"/>
    </row>
    <row r="33401" spans="7:24" ht="15" customHeight="1">
      <c r="G33401"/>
      <c r="I33401"/>
      <c r="N33401"/>
      <c r="O33401" s="24"/>
      <c r="P33401"/>
      <c r="Q33401" s="24"/>
      <c r="R33401"/>
      <c r="S33401"/>
      <c r="T33401"/>
      <c r="U33401"/>
      <c r="X33401" s="60"/>
    </row>
    <row r="33402" spans="7:24" ht="15" customHeight="1">
      <c r="G33402"/>
      <c r="I33402"/>
      <c r="N33402"/>
      <c r="O33402" s="24"/>
      <c r="P33402"/>
      <c r="Q33402" s="24"/>
      <c r="R33402"/>
      <c r="S33402"/>
      <c r="T33402"/>
      <c r="U33402"/>
      <c r="X33402" s="60"/>
    </row>
    <row r="33403" spans="7:24" ht="15" customHeight="1">
      <c r="G33403"/>
      <c r="I33403"/>
      <c r="N33403"/>
      <c r="O33403" s="24"/>
      <c r="P33403"/>
      <c r="Q33403" s="24"/>
      <c r="R33403"/>
      <c r="S33403"/>
      <c r="T33403"/>
      <c r="U33403"/>
      <c r="X33403" s="60"/>
    </row>
    <row r="33404" spans="7:24" ht="15" customHeight="1">
      <c r="G33404"/>
      <c r="I33404"/>
      <c r="N33404"/>
      <c r="O33404" s="24"/>
      <c r="P33404"/>
      <c r="Q33404" s="24"/>
      <c r="R33404"/>
      <c r="S33404"/>
      <c r="T33404"/>
      <c r="U33404"/>
      <c r="X33404" s="60"/>
    </row>
    <row r="33405" spans="7:24" ht="15" customHeight="1">
      <c r="G33405"/>
      <c r="I33405"/>
      <c r="N33405"/>
      <c r="O33405" s="24"/>
      <c r="P33405"/>
      <c r="Q33405" s="24"/>
      <c r="R33405"/>
      <c r="S33405"/>
      <c r="T33405"/>
      <c r="U33405"/>
      <c r="X33405" s="60"/>
    </row>
    <row r="33406" spans="7:24" ht="15" customHeight="1">
      <c r="G33406"/>
      <c r="I33406"/>
      <c r="N33406"/>
      <c r="O33406" s="24"/>
      <c r="P33406"/>
      <c r="Q33406" s="24"/>
      <c r="R33406"/>
      <c r="S33406"/>
      <c r="T33406"/>
      <c r="U33406"/>
      <c r="X33406" s="60"/>
    </row>
    <row r="33407" spans="7:24" ht="15" customHeight="1">
      <c r="G33407"/>
      <c r="I33407"/>
      <c r="N33407"/>
      <c r="O33407" s="24"/>
      <c r="P33407"/>
      <c r="Q33407" s="24"/>
      <c r="R33407"/>
      <c r="S33407"/>
      <c r="T33407"/>
      <c r="U33407"/>
      <c r="X33407" s="60"/>
    </row>
    <row r="33408" spans="7:24" ht="15" customHeight="1">
      <c r="G33408"/>
      <c r="I33408"/>
      <c r="N33408"/>
      <c r="O33408" s="24"/>
      <c r="P33408"/>
      <c r="Q33408" s="24"/>
      <c r="R33408"/>
      <c r="S33408"/>
      <c r="T33408"/>
      <c r="U33408"/>
      <c r="X33408" s="60"/>
    </row>
    <row r="33409" spans="7:24" ht="15" customHeight="1">
      <c r="G33409"/>
      <c r="I33409"/>
      <c r="N33409"/>
      <c r="O33409" s="24"/>
      <c r="P33409"/>
      <c r="Q33409" s="24"/>
      <c r="R33409"/>
      <c r="S33409"/>
      <c r="T33409"/>
      <c r="U33409"/>
      <c r="X33409" s="60"/>
    </row>
    <row r="33410" spans="7:24" ht="15" customHeight="1">
      <c r="G33410"/>
      <c r="I33410"/>
      <c r="N33410"/>
      <c r="O33410" s="24"/>
      <c r="P33410"/>
      <c r="Q33410" s="24"/>
      <c r="R33410"/>
      <c r="S33410"/>
      <c r="T33410"/>
      <c r="U33410"/>
      <c r="X33410" s="60"/>
    </row>
    <row r="33411" spans="7:24" ht="15" customHeight="1">
      <c r="G33411"/>
      <c r="I33411"/>
      <c r="N33411"/>
      <c r="O33411" s="24"/>
      <c r="P33411"/>
      <c r="Q33411" s="24"/>
      <c r="R33411"/>
      <c r="S33411"/>
      <c r="T33411"/>
      <c r="U33411"/>
      <c r="X33411" s="60"/>
    </row>
    <row r="33412" spans="7:24" ht="15" customHeight="1">
      <c r="G33412"/>
      <c r="I33412"/>
      <c r="N33412"/>
      <c r="O33412" s="24"/>
      <c r="P33412"/>
      <c r="Q33412" s="24"/>
      <c r="R33412"/>
      <c r="S33412"/>
      <c r="T33412"/>
      <c r="U33412"/>
      <c r="X33412" s="60"/>
    </row>
    <row r="33413" spans="7:24" ht="15" customHeight="1">
      <c r="G33413"/>
      <c r="I33413"/>
      <c r="N33413"/>
      <c r="O33413" s="24"/>
      <c r="P33413"/>
      <c r="Q33413" s="24"/>
      <c r="R33413"/>
      <c r="S33413"/>
      <c r="T33413"/>
      <c r="U33413"/>
      <c r="X33413" s="60"/>
    </row>
    <row r="33414" spans="7:24" ht="15" customHeight="1">
      <c r="G33414"/>
      <c r="I33414"/>
      <c r="N33414"/>
      <c r="O33414" s="24"/>
      <c r="P33414"/>
      <c r="Q33414" s="24"/>
      <c r="R33414"/>
      <c r="S33414"/>
      <c r="T33414"/>
      <c r="U33414"/>
      <c r="X33414" s="60"/>
    </row>
    <row r="33415" spans="7:24" ht="15" customHeight="1">
      <c r="G33415"/>
      <c r="I33415"/>
      <c r="N33415"/>
      <c r="O33415" s="24"/>
      <c r="P33415"/>
      <c r="Q33415" s="24"/>
      <c r="R33415"/>
      <c r="S33415"/>
      <c r="T33415"/>
      <c r="U33415"/>
      <c r="X33415" s="60"/>
    </row>
    <row r="33416" spans="7:24" ht="15" customHeight="1">
      <c r="G33416"/>
      <c r="I33416"/>
      <c r="N33416"/>
      <c r="O33416" s="24"/>
      <c r="P33416"/>
      <c r="Q33416" s="24"/>
      <c r="R33416"/>
      <c r="S33416"/>
      <c r="T33416"/>
      <c r="U33416"/>
      <c r="X33416" s="60"/>
    </row>
    <row r="33417" spans="7:24" ht="15" customHeight="1">
      <c r="G33417"/>
      <c r="I33417"/>
      <c r="N33417"/>
      <c r="O33417" s="24"/>
      <c r="P33417"/>
      <c r="Q33417" s="24"/>
      <c r="R33417"/>
      <c r="S33417"/>
      <c r="T33417"/>
      <c r="U33417"/>
      <c r="X33417" s="60"/>
    </row>
    <row r="33418" spans="7:24" ht="15" customHeight="1">
      <c r="G33418"/>
      <c r="I33418"/>
      <c r="N33418"/>
      <c r="O33418" s="24"/>
      <c r="P33418"/>
      <c r="Q33418" s="24"/>
      <c r="R33418"/>
      <c r="S33418"/>
      <c r="T33418"/>
      <c r="U33418"/>
      <c r="X33418" s="60"/>
    </row>
    <row r="33419" spans="7:24" ht="15" customHeight="1">
      <c r="G33419"/>
      <c r="I33419"/>
      <c r="N33419"/>
      <c r="O33419" s="24"/>
      <c r="P33419"/>
      <c r="Q33419" s="24"/>
      <c r="R33419"/>
      <c r="S33419"/>
      <c r="T33419"/>
      <c r="U33419"/>
      <c r="X33419" s="60"/>
    </row>
    <row r="33420" spans="7:24" ht="15" customHeight="1">
      <c r="G33420"/>
      <c r="I33420"/>
      <c r="N33420"/>
      <c r="O33420" s="24"/>
      <c r="P33420"/>
      <c r="Q33420" s="24"/>
      <c r="R33420"/>
      <c r="S33420"/>
      <c r="T33420"/>
      <c r="U33420"/>
      <c r="X33420" s="60"/>
    </row>
    <row r="33421" spans="7:24" ht="15" customHeight="1">
      <c r="G33421"/>
      <c r="I33421"/>
      <c r="N33421"/>
      <c r="O33421" s="24"/>
      <c r="P33421"/>
      <c r="Q33421" s="24"/>
      <c r="R33421"/>
      <c r="S33421"/>
      <c r="T33421"/>
      <c r="U33421"/>
      <c r="X33421" s="60"/>
    </row>
    <row r="33422" spans="7:24" ht="15" customHeight="1">
      <c r="G33422"/>
      <c r="I33422"/>
      <c r="N33422"/>
      <c r="O33422" s="24"/>
      <c r="P33422"/>
      <c r="Q33422" s="24"/>
      <c r="R33422"/>
      <c r="S33422"/>
      <c r="T33422"/>
      <c r="U33422"/>
      <c r="X33422" s="60"/>
    </row>
    <row r="33423" spans="7:24" ht="15" customHeight="1">
      <c r="G33423"/>
      <c r="I33423"/>
      <c r="N33423"/>
      <c r="O33423" s="24"/>
      <c r="P33423"/>
      <c r="Q33423" s="24"/>
      <c r="R33423"/>
      <c r="S33423"/>
      <c r="T33423"/>
      <c r="U33423"/>
      <c r="X33423" s="60"/>
    </row>
    <row r="33424" spans="7:24" ht="15" customHeight="1">
      <c r="G33424"/>
      <c r="I33424"/>
      <c r="N33424"/>
      <c r="O33424" s="24"/>
      <c r="P33424"/>
      <c r="Q33424" s="24"/>
      <c r="R33424"/>
      <c r="S33424"/>
      <c r="T33424"/>
      <c r="U33424"/>
      <c r="X33424" s="60"/>
    </row>
    <row r="33425" spans="7:24" ht="15" customHeight="1">
      <c r="G33425"/>
      <c r="I33425"/>
      <c r="N33425"/>
      <c r="O33425" s="24"/>
      <c r="P33425"/>
      <c r="Q33425" s="24"/>
      <c r="R33425"/>
      <c r="S33425"/>
      <c r="T33425"/>
      <c r="U33425"/>
      <c r="X33425" s="60"/>
    </row>
    <row r="33426" spans="7:24" ht="15" customHeight="1">
      <c r="G33426"/>
      <c r="I33426"/>
      <c r="N33426"/>
      <c r="O33426" s="24"/>
      <c r="P33426"/>
      <c r="Q33426" s="24"/>
      <c r="R33426"/>
      <c r="S33426"/>
      <c r="T33426"/>
      <c r="U33426"/>
      <c r="X33426" s="60"/>
    </row>
    <row r="33427" spans="7:24" ht="15" customHeight="1">
      <c r="G33427"/>
      <c r="I33427"/>
      <c r="N33427"/>
      <c r="O33427" s="24"/>
      <c r="P33427"/>
      <c r="Q33427" s="24"/>
      <c r="R33427"/>
      <c r="S33427"/>
      <c r="T33427"/>
      <c r="U33427"/>
      <c r="X33427" s="60"/>
    </row>
    <row r="33428" spans="7:24" ht="15" customHeight="1">
      <c r="G33428"/>
      <c r="I33428"/>
      <c r="N33428"/>
      <c r="O33428" s="24"/>
      <c r="P33428"/>
      <c r="Q33428" s="24"/>
      <c r="R33428"/>
      <c r="S33428"/>
      <c r="T33428"/>
      <c r="U33428"/>
      <c r="X33428" s="60"/>
    </row>
    <row r="33429" spans="7:24" ht="15" customHeight="1">
      <c r="G33429"/>
      <c r="I33429"/>
      <c r="N33429"/>
      <c r="O33429" s="24"/>
      <c r="P33429"/>
      <c r="Q33429" s="24"/>
      <c r="R33429"/>
      <c r="S33429"/>
      <c r="T33429"/>
      <c r="U33429"/>
      <c r="X33429" s="60"/>
    </row>
    <row r="33430" spans="7:24" ht="15" customHeight="1">
      <c r="G33430"/>
      <c r="I33430"/>
      <c r="N33430"/>
      <c r="O33430" s="24"/>
      <c r="P33430"/>
      <c r="Q33430" s="24"/>
      <c r="R33430"/>
      <c r="S33430"/>
      <c r="T33430"/>
      <c r="U33430"/>
      <c r="X33430" s="60"/>
    </row>
    <row r="33431" spans="7:24" ht="15" customHeight="1">
      <c r="G33431"/>
      <c r="I33431"/>
      <c r="N33431"/>
      <c r="O33431" s="24"/>
      <c r="P33431"/>
      <c r="Q33431" s="24"/>
      <c r="R33431"/>
      <c r="S33431"/>
      <c r="T33431"/>
      <c r="U33431"/>
      <c r="X33431" s="60"/>
    </row>
    <row r="33432" spans="7:24" ht="15" customHeight="1">
      <c r="G33432"/>
      <c r="I33432"/>
      <c r="N33432"/>
      <c r="O33432" s="24"/>
      <c r="P33432"/>
      <c r="Q33432" s="24"/>
      <c r="R33432"/>
      <c r="S33432"/>
      <c r="T33432"/>
      <c r="U33432"/>
      <c r="X33432" s="60"/>
    </row>
    <row r="33433" spans="7:24" ht="15" customHeight="1">
      <c r="G33433"/>
      <c r="I33433"/>
      <c r="N33433"/>
      <c r="O33433" s="24"/>
      <c r="P33433"/>
      <c r="Q33433" s="24"/>
      <c r="R33433"/>
      <c r="S33433"/>
      <c r="T33433"/>
      <c r="U33433"/>
      <c r="X33433" s="60"/>
    </row>
    <row r="33434" spans="7:24" ht="15" customHeight="1">
      <c r="G33434"/>
      <c r="I33434"/>
      <c r="N33434"/>
      <c r="O33434" s="24"/>
      <c r="P33434"/>
      <c r="Q33434" s="24"/>
      <c r="R33434"/>
      <c r="S33434"/>
      <c r="T33434"/>
      <c r="U33434"/>
      <c r="X33434" s="60"/>
    </row>
    <row r="33435" spans="7:24" ht="15" customHeight="1">
      <c r="G33435"/>
      <c r="I33435"/>
      <c r="N33435"/>
      <c r="O33435" s="24"/>
      <c r="P33435"/>
      <c r="Q33435" s="24"/>
      <c r="R33435"/>
      <c r="S33435"/>
      <c r="T33435"/>
      <c r="U33435"/>
      <c r="X33435" s="60"/>
    </row>
    <row r="33436" spans="7:24" ht="15" customHeight="1">
      <c r="G33436"/>
      <c r="I33436"/>
      <c r="N33436"/>
      <c r="O33436" s="24"/>
      <c r="P33436"/>
      <c r="Q33436" s="24"/>
      <c r="R33436"/>
      <c r="S33436"/>
      <c r="T33436"/>
      <c r="U33436"/>
      <c r="X33436" s="60"/>
    </row>
    <row r="33437" spans="7:24" ht="15" customHeight="1">
      <c r="G33437"/>
      <c r="I33437"/>
      <c r="N33437"/>
      <c r="O33437" s="24"/>
      <c r="P33437"/>
      <c r="Q33437" s="24"/>
      <c r="R33437"/>
      <c r="S33437"/>
      <c r="T33437"/>
      <c r="U33437"/>
      <c r="X33437" s="60"/>
    </row>
    <row r="33438" spans="7:24" ht="15" customHeight="1">
      <c r="G33438"/>
      <c r="I33438"/>
      <c r="N33438"/>
      <c r="O33438" s="24"/>
      <c r="P33438"/>
      <c r="Q33438" s="24"/>
      <c r="R33438"/>
      <c r="S33438"/>
      <c r="T33438"/>
      <c r="U33438"/>
      <c r="X33438" s="60"/>
    </row>
    <row r="33439" spans="7:24" ht="15" customHeight="1">
      <c r="G33439"/>
      <c r="I33439"/>
      <c r="N33439"/>
      <c r="O33439" s="24"/>
      <c r="P33439"/>
      <c r="Q33439" s="24"/>
      <c r="R33439"/>
      <c r="S33439"/>
      <c r="T33439"/>
      <c r="U33439"/>
      <c r="X33439" s="60"/>
    </row>
    <row r="33440" spans="7:24" ht="15" customHeight="1">
      <c r="G33440"/>
      <c r="I33440"/>
      <c r="N33440"/>
      <c r="O33440" s="24"/>
      <c r="P33440"/>
      <c r="Q33440" s="24"/>
      <c r="R33440"/>
      <c r="S33440"/>
      <c r="T33440"/>
      <c r="U33440"/>
      <c r="X33440" s="60"/>
    </row>
    <row r="33441" spans="7:24" ht="15" customHeight="1">
      <c r="G33441"/>
      <c r="I33441"/>
      <c r="N33441"/>
      <c r="O33441" s="24"/>
      <c r="P33441"/>
      <c r="Q33441" s="24"/>
      <c r="R33441"/>
      <c r="S33441"/>
      <c r="T33441"/>
      <c r="U33441"/>
      <c r="X33441" s="60"/>
    </row>
    <row r="33442" spans="7:24" ht="15" customHeight="1">
      <c r="G33442"/>
      <c r="I33442"/>
      <c r="N33442"/>
      <c r="O33442" s="24"/>
      <c r="P33442"/>
      <c r="Q33442" s="24"/>
      <c r="R33442"/>
      <c r="S33442"/>
      <c r="T33442"/>
      <c r="U33442"/>
      <c r="X33442" s="60"/>
    </row>
    <row r="33443" spans="7:24" ht="15" customHeight="1">
      <c r="G33443"/>
      <c r="I33443"/>
      <c r="N33443"/>
      <c r="O33443" s="24"/>
      <c r="P33443"/>
      <c r="Q33443" s="24"/>
      <c r="R33443"/>
      <c r="S33443"/>
      <c r="T33443"/>
      <c r="U33443"/>
      <c r="X33443" s="60"/>
    </row>
    <row r="33444" spans="7:24" ht="15" customHeight="1">
      <c r="G33444"/>
      <c r="I33444"/>
      <c r="N33444"/>
      <c r="O33444" s="24"/>
      <c r="P33444"/>
      <c r="Q33444" s="24"/>
      <c r="R33444"/>
      <c r="S33444"/>
      <c r="T33444"/>
      <c r="U33444"/>
      <c r="X33444" s="60"/>
    </row>
    <row r="33445" spans="7:24" ht="15" customHeight="1">
      <c r="G33445"/>
      <c r="I33445"/>
      <c r="N33445"/>
      <c r="O33445" s="24"/>
      <c r="P33445"/>
      <c r="Q33445" s="24"/>
      <c r="R33445"/>
      <c r="S33445"/>
      <c r="T33445"/>
      <c r="U33445"/>
      <c r="X33445" s="60"/>
    </row>
    <row r="33446" spans="7:24" ht="15" customHeight="1">
      <c r="G33446"/>
      <c r="I33446"/>
      <c r="N33446"/>
      <c r="O33446" s="24"/>
      <c r="P33446"/>
      <c r="Q33446" s="24"/>
      <c r="R33446"/>
      <c r="S33446"/>
      <c r="T33446"/>
      <c r="U33446"/>
      <c r="X33446" s="60"/>
    </row>
    <row r="33447" spans="7:24" ht="15" customHeight="1">
      <c r="G33447"/>
      <c r="I33447"/>
      <c r="N33447"/>
      <c r="O33447" s="24"/>
      <c r="P33447"/>
      <c r="Q33447" s="24"/>
      <c r="R33447"/>
      <c r="S33447"/>
      <c r="T33447"/>
      <c r="U33447"/>
      <c r="X33447" s="60"/>
    </row>
    <row r="33448" spans="7:24" ht="15" customHeight="1">
      <c r="G33448"/>
      <c r="I33448"/>
      <c r="N33448"/>
      <c r="O33448" s="24"/>
      <c r="P33448"/>
      <c r="Q33448" s="24"/>
      <c r="R33448"/>
      <c r="S33448"/>
      <c r="T33448"/>
      <c r="U33448"/>
      <c r="X33448" s="60"/>
    </row>
    <row r="33449" spans="7:24" ht="15" customHeight="1">
      <c r="G33449"/>
      <c r="I33449"/>
      <c r="N33449"/>
      <c r="O33449" s="24"/>
      <c r="P33449"/>
      <c r="Q33449" s="24"/>
      <c r="R33449"/>
      <c r="S33449"/>
      <c r="T33449"/>
      <c r="U33449"/>
      <c r="X33449" s="60"/>
    </row>
    <row r="33450" spans="7:24" ht="15" customHeight="1">
      <c r="G33450"/>
      <c r="I33450"/>
      <c r="N33450"/>
      <c r="O33450" s="24"/>
      <c r="P33450"/>
      <c r="Q33450" s="24"/>
      <c r="R33450"/>
      <c r="S33450"/>
      <c r="T33450"/>
      <c r="U33450"/>
      <c r="X33450" s="60"/>
    </row>
    <row r="33451" spans="7:24" ht="15" customHeight="1">
      <c r="G33451"/>
      <c r="I33451"/>
      <c r="N33451"/>
      <c r="O33451" s="24"/>
      <c r="P33451"/>
      <c r="Q33451" s="24"/>
      <c r="R33451"/>
      <c r="S33451"/>
      <c r="T33451"/>
      <c r="U33451"/>
      <c r="X33451" s="60"/>
    </row>
    <row r="33452" spans="7:24" ht="15" customHeight="1">
      <c r="G33452"/>
      <c r="I33452"/>
      <c r="N33452"/>
      <c r="O33452" s="24"/>
      <c r="P33452"/>
      <c r="Q33452" s="24"/>
      <c r="R33452"/>
      <c r="S33452"/>
      <c r="T33452"/>
      <c r="U33452"/>
      <c r="X33452" s="60"/>
    </row>
    <row r="33453" spans="7:24" ht="15" customHeight="1">
      <c r="G33453"/>
      <c r="I33453"/>
      <c r="N33453"/>
      <c r="O33453" s="24"/>
      <c r="P33453"/>
      <c r="Q33453" s="24"/>
      <c r="R33453"/>
      <c r="S33453"/>
      <c r="T33453"/>
      <c r="U33453"/>
      <c r="X33453" s="60"/>
    </row>
    <row r="33454" spans="7:24" ht="15" customHeight="1">
      <c r="G33454"/>
      <c r="I33454"/>
      <c r="N33454"/>
      <c r="O33454" s="24"/>
      <c r="P33454"/>
      <c r="Q33454" s="24"/>
      <c r="R33454"/>
      <c r="S33454"/>
      <c r="T33454"/>
      <c r="U33454"/>
      <c r="X33454" s="60"/>
    </row>
    <row r="33455" spans="7:24" ht="15" customHeight="1">
      <c r="G33455"/>
      <c r="I33455"/>
      <c r="N33455"/>
      <c r="O33455" s="24"/>
      <c r="P33455"/>
      <c r="Q33455" s="24"/>
      <c r="R33455"/>
      <c r="S33455"/>
      <c r="T33455"/>
      <c r="U33455"/>
      <c r="X33455" s="60"/>
    </row>
    <row r="33456" spans="7:24" ht="15" customHeight="1">
      <c r="G33456"/>
      <c r="I33456"/>
      <c r="N33456"/>
      <c r="O33456" s="24"/>
      <c r="P33456"/>
      <c r="Q33456" s="24"/>
      <c r="R33456"/>
      <c r="S33456"/>
      <c r="T33456"/>
      <c r="U33456"/>
      <c r="X33456" s="60"/>
    </row>
    <row r="33457" spans="7:24" ht="15" customHeight="1">
      <c r="G33457"/>
      <c r="I33457"/>
      <c r="N33457"/>
      <c r="O33457" s="24"/>
      <c r="P33457"/>
      <c r="Q33457" s="24"/>
      <c r="R33457"/>
      <c r="S33457"/>
      <c r="T33457"/>
      <c r="U33457"/>
      <c r="X33457" s="60"/>
    </row>
    <row r="33458" spans="7:24" ht="15" customHeight="1">
      <c r="G33458"/>
      <c r="I33458"/>
      <c r="N33458"/>
      <c r="O33458" s="24"/>
      <c r="P33458"/>
      <c r="Q33458" s="24"/>
      <c r="R33458"/>
      <c r="S33458"/>
      <c r="T33458"/>
      <c r="U33458"/>
      <c r="X33458" s="60"/>
    </row>
    <row r="33459" spans="7:24" ht="15" customHeight="1">
      <c r="G33459"/>
      <c r="I33459"/>
      <c r="N33459"/>
      <c r="O33459" s="24"/>
      <c r="P33459"/>
      <c r="Q33459" s="24"/>
      <c r="R33459"/>
      <c r="S33459"/>
      <c r="T33459"/>
      <c r="U33459"/>
      <c r="X33459" s="60"/>
    </row>
    <row r="33460" spans="7:24" ht="15" customHeight="1">
      <c r="G33460"/>
      <c r="I33460"/>
      <c r="N33460"/>
      <c r="O33460" s="24"/>
      <c r="P33460"/>
      <c r="Q33460" s="24"/>
      <c r="R33460"/>
      <c r="S33460"/>
      <c r="T33460"/>
      <c r="U33460"/>
      <c r="X33460" s="60"/>
    </row>
    <row r="33461" spans="7:24" ht="15" customHeight="1">
      <c r="G33461"/>
      <c r="I33461"/>
      <c r="N33461"/>
      <c r="O33461" s="24"/>
      <c r="P33461"/>
      <c r="Q33461" s="24"/>
      <c r="R33461"/>
      <c r="S33461"/>
      <c r="T33461"/>
      <c r="U33461"/>
      <c r="X33461" s="60"/>
    </row>
    <row r="33462" spans="7:24" ht="15" customHeight="1">
      <c r="G33462"/>
      <c r="I33462"/>
      <c r="N33462"/>
      <c r="O33462" s="24"/>
      <c r="P33462"/>
      <c r="Q33462" s="24"/>
      <c r="R33462"/>
      <c r="S33462"/>
      <c r="T33462"/>
      <c r="U33462"/>
      <c r="X33462" s="60"/>
    </row>
    <row r="33463" spans="7:24" ht="15" customHeight="1">
      <c r="G33463"/>
      <c r="I33463"/>
      <c r="N33463"/>
      <c r="O33463" s="24"/>
      <c r="P33463"/>
      <c r="Q33463" s="24"/>
      <c r="R33463"/>
      <c r="S33463"/>
      <c r="T33463"/>
      <c r="U33463"/>
      <c r="X33463" s="60"/>
    </row>
    <row r="33464" spans="7:24" ht="15" customHeight="1">
      <c r="G33464"/>
      <c r="I33464"/>
      <c r="N33464"/>
      <c r="O33464" s="24"/>
      <c r="P33464"/>
      <c r="Q33464" s="24"/>
      <c r="R33464"/>
      <c r="S33464"/>
      <c r="T33464"/>
      <c r="U33464"/>
      <c r="X33464" s="60"/>
    </row>
    <row r="33465" spans="7:24" ht="15" customHeight="1">
      <c r="G33465"/>
      <c r="I33465"/>
      <c r="N33465"/>
      <c r="O33465" s="24"/>
      <c r="P33465"/>
      <c r="Q33465" s="24"/>
      <c r="R33465"/>
      <c r="S33465"/>
      <c r="T33465"/>
      <c r="U33465"/>
      <c r="X33465" s="60"/>
    </row>
    <row r="33466" spans="7:24" ht="15" customHeight="1">
      <c r="G33466"/>
      <c r="I33466"/>
      <c r="N33466"/>
      <c r="O33466" s="24"/>
      <c r="P33466"/>
      <c r="Q33466" s="24"/>
      <c r="R33466"/>
      <c r="S33466"/>
      <c r="T33466"/>
      <c r="U33466"/>
      <c r="X33466" s="60"/>
    </row>
    <row r="33467" spans="7:24" ht="15" customHeight="1">
      <c r="G33467"/>
      <c r="I33467"/>
      <c r="N33467"/>
      <c r="O33467" s="24"/>
      <c r="P33467"/>
      <c r="Q33467" s="24"/>
      <c r="R33467"/>
      <c r="S33467"/>
      <c r="T33467"/>
      <c r="U33467"/>
      <c r="X33467" s="60"/>
    </row>
    <row r="33468" spans="7:24" ht="15" customHeight="1">
      <c r="G33468"/>
      <c r="I33468"/>
      <c r="N33468"/>
      <c r="O33468" s="24"/>
      <c r="P33468"/>
      <c r="Q33468" s="24"/>
      <c r="R33468"/>
      <c r="S33468"/>
      <c r="T33468"/>
      <c r="U33468"/>
      <c r="X33468" s="60"/>
    </row>
    <row r="33469" spans="7:24" ht="15" customHeight="1">
      <c r="G33469"/>
      <c r="I33469"/>
      <c r="N33469"/>
      <c r="O33469" s="24"/>
      <c r="P33469"/>
      <c r="Q33469" s="24"/>
      <c r="R33469"/>
      <c r="S33469"/>
      <c r="T33469"/>
      <c r="U33469"/>
      <c r="X33469" s="60"/>
    </row>
    <row r="33470" spans="7:24" ht="15" customHeight="1">
      <c r="G33470"/>
      <c r="I33470"/>
      <c r="N33470"/>
      <c r="O33470" s="24"/>
      <c r="P33470"/>
      <c r="Q33470" s="24"/>
      <c r="R33470"/>
      <c r="S33470"/>
      <c r="T33470"/>
      <c r="U33470"/>
      <c r="X33470" s="60"/>
    </row>
    <row r="33471" spans="7:24" ht="15" customHeight="1">
      <c r="G33471"/>
      <c r="I33471"/>
      <c r="N33471"/>
      <c r="O33471" s="24"/>
      <c r="P33471"/>
      <c r="Q33471" s="24"/>
      <c r="R33471"/>
      <c r="S33471"/>
      <c r="T33471"/>
      <c r="U33471"/>
      <c r="X33471" s="60"/>
    </row>
    <row r="33472" spans="7:24" ht="15" customHeight="1">
      <c r="G33472"/>
      <c r="I33472"/>
      <c r="N33472"/>
      <c r="O33472" s="24"/>
      <c r="P33472"/>
      <c r="Q33472" s="24"/>
      <c r="R33472"/>
      <c r="S33472"/>
      <c r="T33472"/>
      <c r="U33472"/>
      <c r="X33472" s="60"/>
    </row>
    <row r="33473" spans="7:24" ht="15" customHeight="1">
      <c r="G33473"/>
      <c r="I33473"/>
      <c r="N33473"/>
      <c r="O33473" s="24"/>
      <c r="P33473"/>
      <c r="Q33473" s="24"/>
      <c r="R33473"/>
      <c r="S33473"/>
      <c r="T33473"/>
      <c r="U33473"/>
      <c r="X33473" s="60"/>
    </row>
    <row r="33474" spans="7:24" ht="15" customHeight="1">
      <c r="G33474"/>
      <c r="I33474"/>
      <c r="N33474"/>
      <c r="O33474" s="24"/>
      <c r="P33474"/>
      <c r="Q33474" s="24"/>
      <c r="R33474"/>
      <c r="S33474"/>
      <c r="T33474"/>
      <c r="U33474"/>
      <c r="X33474" s="60"/>
    </row>
    <row r="33475" spans="7:24" ht="15" customHeight="1">
      <c r="G33475"/>
      <c r="I33475"/>
      <c r="N33475"/>
      <c r="O33475" s="24"/>
      <c r="P33475"/>
      <c r="Q33475" s="24"/>
      <c r="R33475"/>
      <c r="S33475"/>
      <c r="T33475"/>
      <c r="U33475"/>
      <c r="X33475" s="60"/>
    </row>
    <row r="33476" spans="7:24" ht="15" customHeight="1">
      <c r="G33476"/>
      <c r="I33476"/>
      <c r="N33476"/>
      <c r="O33476" s="24"/>
      <c r="P33476"/>
      <c r="Q33476" s="24"/>
      <c r="R33476"/>
      <c r="S33476"/>
      <c r="T33476"/>
      <c r="U33476"/>
      <c r="X33476" s="60"/>
    </row>
    <row r="33477" spans="7:24" ht="15" customHeight="1">
      <c r="G33477"/>
      <c r="I33477"/>
      <c r="N33477"/>
      <c r="O33477" s="24"/>
      <c r="P33477"/>
      <c r="Q33477" s="24"/>
      <c r="R33477"/>
      <c r="S33477"/>
      <c r="T33477"/>
      <c r="U33477"/>
      <c r="X33477" s="60"/>
    </row>
    <row r="33478" spans="7:24" ht="15" customHeight="1">
      <c r="G33478"/>
      <c r="I33478"/>
      <c r="N33478"/>
      <c r="O33478" s="24"/>
      <c r="P33478"/>
      <c r="Q33478" s="24"/>
      <c r="R33478"/>
      <c r="S33478"/>
      <c r="T33478"/>
      <c r="U33478"/>
      <c r="X33478" s="60"/>
    </row>
    <row r="33479" spans="7:24" ht="15" customHeight="1">
      <c r="G33479"/>
      <c r="I33479"/>
      <c r="N33479"/>
      <c r="O33479" s="24"/>
      <c r="P33479"/>
      <c r="Q33479" s="24"/>
      <c r="R33479"/>
      <c r="S33479"/>
      <c r="T33479"/>
      <c r="U33479"/>
      <c r="X33479" s="60"/>
    </row>
    <row r="33480" spans="7:24" ht="15" customHeight="1">
      <c r="G33480"/>
      <c r="I33480"/>
      <c r="N33480"/>
      <c r="O33480" s="24"/>
      <c r="P33480"/>
      <c r="Q33480" s="24"/>
      <c r="R33480"/>
      <c r="S33480"/>
      <c r="T33480"/>
      <c r="U33480"/>
      <c r="X33480" s="60"/>
    </row>
    <row r="33481" spans="7:24" ht="15" customHeight="1">
      <c r="G33481"/>
      <c r="I33481"/>
      <c r="N33481"/>
      <c r="O33481" s="24"/>
      <c r="P33481"/>
      <c r="Q33481" s="24"/>
      <c r="R33481"/>
      <c r="S33481"/>
      <c r="T33481"/>
      <c r="U33481"/>
      <c r="X33481" s="60"/>
    </row>
    <row r="33482" spans="7:24" ht="15" customHeight="1">
      <c r="G33482"/>
      <c r="I33482"/>
      <c r="N33482"/>
      <c r="O33482" s="24"/>
      <c r="P33482"/>
      <c r="Q33482" s="24"/>
      <c r="R33482"/>
      <c r="S33482"/>
      <c r="T33482"/>
      <c r="U33482"/>
      <c r="X33482" s="60"/>
    </row>
    <row r="33483" spans="7:24" ht="15" customHeight="1">
      <c r="G33483"/>
      <c r="I33483"/>
      <c r="N33483"/>
      <c r="O33483" s="24"/>
      <c r="P33483"/>
      <c r="Q33483" s="24"/>
      <c r="R33483"/>
      <c r="S33483"/>
      <c r="T33483"/>
      <c r="U33483"/>
      <c r="X33483" s="60"/>
    </row>
    <row r="33484" spans="7:24" ht="15" customHeight="1">
      <c r="G33484"/>
      <c r="I33484"/>
      <c r="N33484"/>
      <c r="O33484" s="24"/>
      <c r="P33484"/>
      <c r="Q33484" s="24"/>
      <c r="R33484"/>
      <c r="S33484"/>
      <c r="T33484"/>
      <c r="U33484"/>
      <c r="X33484" s="60"/>
    </row>
    <row r="33485" spans="7:24" ht="15" customHeight="1">
      <c r="G33485"/>
      <c r="I33485"/>
      <c r="N33485"/>
      <c r="O33485" s="24"/>
      <c r="P33485"/>
      <c r="Q33485" s="24"/>
      <c r="R33485"/>
      <c r="S33485"/>
      <c r="T33485"/>
      <c r="U33485"/>
      <c r="X33485" s="60"/>
    </row>
    <row r="33486" spans="7:24" ht="15" customHeight="1">
      <c r="G33486"/>
      <c r="I33486"/>
      <c r="N33486"/>
      <c r="O33486" s="24"/>
      <c r="P33486"/>
      <c r="Q33486" s="24"/>
      <c r="R33486"/>
      <c r="S33486"/>
      <c r="T33486"/>
      <c r="U33486"/>
      <c r="X33486" s="60"/>
    </row>
    <row r="33487" spans="7:24" ht="15" customHeight="1">
      <c r="G33487"/>
      <c r="I33487"/>
      <c r="N33487"/>
      <c r="O33487" s="24"/>
      <c r="P33487"/>
      <c r="Q33487" s="24"/>
      <c r="R33487"/>
      <c r="S33487"/>
      <c r="T33487"/>
      <c r="U33487"/>
      <c r="X33487" s="60"/>
    </row>
    <row r="33488" spans="7:24" ht="15" customHeight="1">
      <c r="G33488"/>
      <c r="I33488"/>
      <c r="N33488"/>
      <c r="O33488" s="24"/>
      <c r="P33488"/>
      <c r="Q33488" s="24"/>
      <c r="R33488"/>
      <c r="S33488"/>
      <c r="T33488"/>
      <c r="U33488"/>
      <c r="X33488" s="60"/>
    </row>
    <row r="33489" spans="7:24" ht="15" customHeight="1">
      <c r="G33489"/>
      <c r="I33489"/>
      <c r="N33489"/>
      <c r="O33489" s="24"/>
      <c r="P33489"/>
      <c r="Q33489" s="24"/>
      <c r="R33489"/>
      <c r="S33489"/>
      <c r="T33489"/>
      <c r="U33489"/>
      <c r="X33489" s="60"/>
    </row>
    <row r="33490" spans="7:24" ht="15" customHeight="1">
      <c r="G33490"/>
      <c r="I33490"/>
      <c r="N33490"/>
      <c r="O33490" s="24"/>
      <c r="P33490"/>
      <c r="Q33490" s="24"/>
      <c r="R33490"/>
      <c r="S33490"/>
      <c r="T33490"/>
      <c r="U33490"/>
      <c r="X33490" s="60"/>
    </row>
    <row r="33491" spans="7:24" ht="15" customHeight="1">
      <c r="G33491"/>
      <c r="I33491"/>
      <c r="N33491"/>
      <c r="O33491" s="24"/>
      <c r="P33491"/>
      <c r="Q33491" s="24"/>
      <c r="R33491"/>
      <c r="S33491"/>
      <c r="T33491"/>
      <c r="U33491"/>
      <c r="X33491" s="60"/>
    </row>
    <row r="33492" spans="7:24" ht="15" customHeight="1">
      <c r="G33492"/>
      <c r="I33492"/>
      <c r="N33492"/>
      <c r="O33492" s="24"/>
      <c r="P33492"/>
      <c r="Q33492" s="24"/>
      <c r="R33492"/>
      <c r="S33492"/>
      <c r="T33492"/>
      <c r="U33492"/>
      <c r="X33492" s="60"/>
    </row>
    <row r="33493" spans="7:24" ht="15" customHeight="1">
      <c r="G33493"/>
      <c r="I33493"/>
      <c r="N33493"/>
      <c r="O33493" s="24"/>
      <c r="P33493"/>
      <c r="Q33493" s="24"/>
      <c r="R33493"/>
      <c r="S33493"/>
      <c r="T33493"/>
      <c r="U33493"/>
      <c r="X33493" s="60"/>
    </row>
    <row r="33494" spans="7:24" ht="15" customHeight="1">
      <c r="G33494"/>
      <c r="I33494"/>
      <c r="N33494"/>
      <c r="O33494" s="24"/>
      <c r="P33494"/>
      <c r="Q33494" s="24"/>
      <c r="R33494"/>
      <c r="S33494"/>
      <c r="T33494"/>
      <c r="U33494"/>
      <c r="X33494" s="60"/>
    </row>
    <row r="33495" spans="7:24" ht="15" customHeight="1">
      <c r="G33495"/>
      <c r="I33495"/>
      <c r="N33495"/>
      <c r="O33495" s="24"/>
      <c r="P33495"/>
      <c r="Q33495" s="24"/>
      <c r="R33495"/>
      <c r="S33495"/>
      <c r="T33495"/>
      <c r="U33495"/>
      <c r="X33495" s="60"/>
    </row>
    <row r="33496" spans="7:24" ht="15" customHeight="1">
      <c r="G33496"/>
      <c r="I33496"/>
      <c r="N33496"/>
      <c r="O33496" s="24"/>
      <c r="P33496"/>
      <c r="Q33496" s="24"/>
      <c r="R33496"/>
      <c r="S33496"/>
      <c r="T33496"/>
      <c r="U33496"/>
      <c r="X33496" s="60"/>
    </row>
    <row r="33497" spans="7:24" ht="15" customHeight="1">
      <c r="G33497"/>
      <c r="I33497"/>
      <c r="N33497"/>
      <c r="O33497" s="24"/>
      <c r="P33497"/>
      <c r="Q33497" s="24"/>
      <c r="R33497"/>
      <c r="S33497"/>
      <c r="T33497"/>
      <c r="U33497"/>
      <c r="X33497" s="60"/>
    </row>
    <row r="33498" spans="7:24" ht="15" customHeight="1">
      <c r="G33498"/>
      <c r="I33498"/>
      <c r="N33498"/>
      <c r="O33498" s="24"/>
      <c r="P33498"/>
      <c r="Q33498" s="24"/>
      <c r="R33498"/>
      <c r="S33498"/>
      <c r="T33498"/>
      <c r="U33498"/>
      <c r="X33498" s="60"/>
    </row>
    <row r="33499" spans="7:24" ht="15" customHeight="1">
      <c r="G33499"/>
      <c r="I33499"/>
      <c r="N33499"/>
      <c r="O33499" s="24"/>
      <c r="P33499"/>
      <c r="Q33499" s="24"/>
      <c r="R33499"/>
      <c r="S33499"/>
      <c r="T33499"/>
      <c r="U33499"/>
      <c r="X33499" s="60"/>
    </row>
    <row r="33500" spans="7:24" ht="15" customHeight="1">
      <c r="G33500"/>
      <c r="I33500"/>
      <c r="N33500"/>
      <c r="O33500" s="24"/>
      <c r="P33500"/>
      <c r="Q33500" s="24"/>
      <c r="R33500"/>
      <c r="S33500"/>
      <c r="T33500"/>
      <c r="U33500"/>
      <c r="X33500" s="60"/>
    </row>
    <row r="33501" spans="7:24" ht="15" customHeight="1">
      <c r="G33501"/>
      <c r="I33501"/>
      <c r="N33501"/>
      <c r="O33501" s="24"/>
      <c r="P33501"/>
      <c r="Q33501" s="24"/>
      <c r="R33501"/>
      <c r="S33501"/>
      <c r="T33501"/>
      <c r="U33501"/>
      <c r="X33501" s="60"/>
    </row>
    <row r="33502" spans="7:24" ht="15" customHeight="1">
      <c r="G33502"/>
      <c r="I33502"/>
      <c r="N33502"/>
      <c r="O33502" s="24"/>
      <c r="P33502"/>
      <c r="Q33502" s="24"/>
      <c r="R33502"/>
      <c r="S33502"/>
      <c r="T33502"/>
      <c r="U33502"/>
      <c r="X33502" s="60"/>
    </row>
    <row r="33503" spans="7:24" ht="15" customHeight="1">
      <c r="G33503"/>
      <c r="I33503"/>
      <c r="N33503"/>
      <c r="O33503" s="24"/>
      <c r="P33503"/>
      <c r="Q33503" s="24"/>
      <c r="R33503"/>
      <c r="S33503"/>
      <c r="T33503"/>
      <c r="U33503"/>
      <c r="X33503" s="60"/>
    </row>
    <row r="33504" spans="7:24" ht="15" customHeight="1">
      <c r="G33504"/>
      <c r="I33504"/>
      <c r="N33504"/>
      <c r="O33504" s="24"/>
      <c r="P33504"/>
      <c r="Q33504" s="24"/>
      <c r="R33504"/>
      <c r="S33504"/>
      <c r="T33504"/>
      <c r="U33504"/>
      <c r="X33504" s="60"/>
    </row>
    <row r="33505" spans="7:24" ht="15" customHeight="1">
      <c r="G33505"/>
      <c r="I33505"/>
      <c r="N33505"/>
      <c r="O33505" s="24"/>
      <c r="P33505"/>
      <c r="Q33505" s="24"/>
      <c r="R33505"/>
      <c r="S33505"/>
      <c r="T33505"/>
      <c r="U33505"/>
      <c r="X33505" s="60"/>
    </row>
    <row r="33506" spans="7:24" ht="15" customHeight="1">
      <c r="G33506"/>
      <c r="I33506"/>
      <c r="N33506"/>
      <c r="O33506" s="24"/>
      <c r="P33506"/>
      <c r="Q33506" s="24"/>
      <c r="R33506"/>
      <c r="S33506"/>
      <c r="T33506"/>
      <c r="U33506"/>
      <c r="X33506" s="60"/>
    </row>
    <row r="33507" spans="7:24" ht="15" customHeight="1">
      <c r="G33507"/>
      <c r="I33507"/>
      <c r="N33507"/>
      <c r="O33507" s="24"/>
      <c r="P33507"/>
      <c r="Q33507" s="24"/>
      <c r="R33507"/>
      <c r="S33507"/>
      <c r="T33507"/>
      <c r="U33507"/>
      <c r="X33507" s="60"/>
    </row>
    <row r="33508" spans="7:24" ht="15" customHeight="1">
      <c r="G33508"/>
      <c r="I33508"/>
      <c r="N33508"/>
      <c r="O33508" s="24"/>
      <c r="P33508"/>
      <c r="Q33508" s="24"/>
      <c r="R33508"/>
      <c r="S33508"/>
      <c r="T33508"/>
      <c r="U33508"/>
      <c r="X33508" s="60"/>
    </row>
    <row r="33509" spans="7:24" ht="15" customHeight="1">
      <c r="G33509"/>
      <c r="I33509"/>
      <c r="N33509"/>
      <c r="O33509" s="24"/>
      <c r="P33509"/>
      <c r="Q33509" s="24"/>
      <c r="R33509"/>
      <c r="S33509"/>
      <c r="T33509"/>
      <c r="U33509"/>
      <c r="X33509" s="60"/>
    </row>
    <row r="33510" spans="7:24" ht="15" customHeight="1">
      <c r="G33510"/>
      <c r="I33510"/>
      <c r="N33510"/>
      <c r="O33510" s="24"/>
      <c r="P33510"/>
      <c r="Q33510" s="24"/>
      <c r="R33510"/>
      <c r="S33510"/>
      <c r="T33510"/>
      <c r="U33510"/>
      <c r="X33510" s="60"/>
    </row>
    <row r="33511" spans="7:24" ht="15" customHeight="1">
      <c r="G33511"/>
      <c r="I33511"/>
      <c r="N33511"/>
      <c r="O33511" s="24"/>
      <c r="P33511"/>
      <c r="Q33511" s="24"/>
      <c r="R33511"/>
      <c r="S33511"/>
      <c r="T33511"/>
      <c r="U33511"/>
      <c r="X33511" s="60"/>
    </row>
    <row r="33512" spans="7:24" ht="15" customHeight="1">
      <c r="G33512"/>
      <c r="I33512"/>
      <c r="N33512"/>
      <c r="O33512" s="24"/>
      <c r="P33512"/>
      <c r="Q33512" s="24"/>
      <c r="R33512"/>
      <c r="S33512"/>
      <c r="T33512"/>
      <c r="U33512"/>
      <c r="X33512" s="60"/>
    </row>
    <row r="33513" spans="7:24" ht="15" customHeight="1">
      <c r="G33513"/>
      <c r="I33513"/>
      <c r="N33513"/>
      <c r="O33513" s="24"/>
      <c r="P33513"/>
      <c r="Q33513" s="24"/>
      <c r="R33513"/>
      <c r="S33513"/>
      <c r="T33513"/>
      <c r="U33513"/>
      <c r="X33513" s="60"/>
    </row>
    <row r="33514" spans="7:24" ht="15" customHeight="1">
      <c r="G33514"/>
      <c r="I33514"/>
      <c r="N33514"/>
      <c r="O33514" s="24"/>
      <c r="P33514"/>
      <c r="Q33514" s="24"/>
      <c r="R33514"/>
      <c r="S33514"/>
      <c r="T33514"/>
      <c r="U33514"/>
      <c r="X33514" s="60"/>
    </row>
    <row r="33515" spans="7:24" ht="15" customHeight="1">
      <c r="G33515"/>
      <c r="I33515"/>
      <c r="N33515"/>
      <c r="O33515" s="24"/>
      <c r="P33515"/>
      <c r="Q33515" s="24"/>
      <c r="R33515"/>
      <c r="S33515"/>
      <c r="T33515"/>
      <c r="U33515"/>
      <c r="X33515" s="60"/>
    </row>
    <row r="33516" spans="7:24" ht="15" customHeight="1">
      <c r="G33516"/>
      <c r="I33516"/>
      <c r="N33516"/>
      <c r="O33516" s="24"/>
      <c r="P33516"/>
      <c r="Q33516" s="24"/>
      <c r="R33516"/>
      <c r="S33516"/>
      <c r="T33516"/>
      <c r="U33516"/>
      <c r="X33516" s="60"/>
    </row>
    <row r="33517" spans="7:24" ht="15" customHeight="1">
      <c r="G33517"/>
      <c r="I33517"/>
      <c r="N33517"/>
      <c r="O33517" s="24"/>
      <c r="P33517"/>
      <c r="Q33517" s="24"/>
      <c r="R33517"/>
      <c r="S33517"/>
      <c r="T33517"/>
      <c r="U33517"/>
      <c r="X33517" s="60"/>
    </row>
    <row r="33518" spans="7:24" ht="15" customHeight="1">
      <c r="G33518"/>
      <c r="I33518"/>
      <c r="N33518"/>
      <c r="O33518" s="24"/>
      <c r="P33518"/>
      <c r="Q33518" s="24"/>
      <c r="R33518"/>
      <c r="S33518"/>
      <c r="T33518"/>
      <c r="U33518"/>
      <c r="X33518" s="60"/>
    </row>
    <row r="33519" spans="7:24" ht="15" customHeight="1">
      <c r="G33519"/>
      <c r="I33519"/>
      <c r="N33519"/>
      <c r="O33519" s="24"/>
      <c r="P33519"/>
      <c r="Q33519" s="24"/>
      <c r="R33519"/>
      <c r="S33519"/>
      <c r="T33519"/>
      <c r="U33519"/>
      <c r="X33519" s="60"/>
    </row>
    <row r="33520" spans="7:24" ht="15" customHeight="1">
      <c r="G33520"/>
      <c r="I33520"/>
      <c r="N33520"/>
      <c r="O33520" s="24"/>
      <c r="P33520"/>
      <c r="Q33520" s="24"/>
      <c r="R33520"/>
      <c r="S33520"/>
      <c r="T33520"/>
      <c r="U33520"/>
      <c r="X33520" s="60"/>
    </row>
    <row r="33521" spans="7:24" ht="15" customHeight="1">
      <c r="G33521"/>
      <c r="I33521"/>
      <c r="N33521"/>
      <c r="O33521" s="24"/>
      <c r="P33521"/>
      <c r="Q33521" s="24"/>
      <c r="R33521"/>
      <c r="S33521"/>
      <c r="T33521"/>
      <c r="U33521"/>
      <c r="X33521" s="60"/>
    </row>
    <row r="33522" spans="7:24" ht="15" customHeight="1">
      <c r="G33522"/>
      <c r="I33522"/>
      <c r="N33522"/>
      <c r="O33522" s="24"/>
      <c r="P33522"/>
      <c r="Q33522" s="24"/>
      <c r="R33522"/>
      <c r="S33522"/>
      <c r="T33522"/>
      <c r="U33522"/>
      <c r="X33522" s="60"/>
    </row>
    <row r="33523" spans="7:24" ht="15" customHeight="1">
      <c r="G33523"/>
      <c r="I33523"/>
      <c r="N33523"/>
      <c r="O33523" s="24"/>
      <c r="P33523"/>
      <c r="Q33523" s="24"/>
      <c r="R33523"/>
      <c r="S33523"/>
      <c r="T33523"/>
      <c r="U33523"/>
      <c r="X33523" s="60"/>
    </row>
    <row r="33524" spans="7:24" ht="15" customHeight="1">
      <c r="G33524"/>
      <c r="I33524"/>
      <c r="N33524"/>
      <c r="O33524" s="24"/>
      <c r="P33524"/>
      <c r="Q33524" s="24"/>
      <c r="R33524"/>
      <c r="S33524"/>
      <c r="T33524"/>
      <c r="U33524"/>
      <c r="X33524" s="60"/>
    </row>
    <row r="33525" spans="7:24" ht="15" customHeight="1">
      <c r="G33525"/>
      <c r="I33525"/>
      <c r="N33525"/>
      <c r="O33525" s="24"/>
      <c r="P33525"/>
      <c r="Q33525" s="24"/>
      <c r="R33525"/>
      <c r="S33525"/>
      <c r="T33525"/>
      <c r="U33525"/>
      <c r="X33525" s="60"/>
    </row>
    <row r="33526" spans="7:24" ht="15" customHeight="1">
      <c r="G33526"/>
      <c r="I33526"/>
      <c r="N33526"/>
      <c r="O33526" s="24"/>
      <c r="P33526"/>
      <c r="Q33526" s="24"/>
      <c r="R33526"/>
      <c r="S33526"/>
      <c r="T33526"/>
      <c r="U33526"/>
      <c r="X33526" s="60"/>
    </row>
    <row r="33527" spans="7:24" ht="15" customHeight="1">
      <c r="G33527"/>
      <c r="I33527"/>
      <c r="N33527"/>
      <c r="O33527" s="24"/>
      <c r="P33527"/>
      <c r="Q33527" s="24"/>
      <c r="R33527"/>
      <c r="S33527"/>
      <c r="T33527"/>
      <c r="U33527"/>
      <c r="X33527" s="60"/>
    </row>
    <row r="33528" spans="7:24" ht="15" customHeight="1">
      <c r="G33528"/>
      <c r="I33528"/>
      <c r="N33528"/>
      <c r="O33528" s="24"/>
      <c r="P33528"/>
      <c r="Q33528" s="24"/>
      <c r="R33528"/>
      <c r="S33528"/>
      <c r="T33528"/>
      <c r="U33528"/>
      <c r="X33528" s="60"/>
    </row>
    <row r="33529" spans="7:24" ht="15" customHeight="1">
      <c r="G33529"/>
      <c r="I33529"/>
      <c r="N33529"/>
      <c r="O33529" s="24"/>
      <c r="P33529"/>
      <c r="Q33529" s="24"/>
      <c r="R33529"/>
      <c r="S33529"/>
      <c r="T33529"/>
      <c r="U33529"/>
      <c r="X33529" s="60"/>
    </row>
    <row r="33530" spans="7:24" ht="15" customHeight="1">
      <c r="G33530"/>
      <c r="I33530"/>
      <c r="N33530"/>
      <c r="O33530" s="24"/>
      <c r="P33530"/>
      <c r="Q33530" s="24"/>
      <c r="R33530"/>
      <c r="S33530"/>
      <c r="T33530"/>
      <c r="U33530"/>
      <c r="X33530" s="60"/>
    </row>
    <row r="33531" spans="7:24" ht="15" customHeight="1">
      <c r="G33531"/>
      <c r="I33531"/>
      <c r="N33531"/>
      <c r="O33531" s="24"/>
      <c r="P33531"/>
      <c r="Q33531" s="24"/>
      <c r="R33531"/>
      <c r="S33531"/>
      <c r="T33531"/>
      <c r="U33531"/>
      <c r="X33531" s="60"/>
    </row>
    <row r="33532" spans="7:24" ht="15" customHeight="1">
      <c r="G33532"/>
      <c r="I33532"/>
      <c r="N33532"/>
      <c r="O33532" s="24"/>
      <c r="P33532"/>
      <c r="Q33532" s="24"/>
      <c r="R33532"/>
      <c r="S33532"/>
      <c r="T33532"/>
      <c r="U33532"/>
      <c r="X33532" s="60"/>
    </row>
    <row r="33533" spans="7:24" ht="15" customHeight="1">
      <c r="G33533"/>
      <c r="I33533"/>
      <c r="N33533"/>
      <c r="O33533" s="24"/>
      <c r="P33533"/>
      <c r="Q33533" s="24"/>
      <c r="R33533"/>
      <c r="S33533"/>
      <c r="T33533"/>
      <c r="U33533"/>
      <c r="X33533" s="60"/>
    </row>
    <row r="33534" spans="7:24" ht="15" customHeight="1">
      <c r="G33534"/>
      <c r="I33534"/>
      <c r="N33534"/>
      <c r="O33534" s="24"/>
      <c r="P33534"/>
      <c r="Q33534" s="24"/>
      <c r="R33534"/>
      <c r="S33534"/>
      <c r="T33534"/>
      <c r="U33534"/>
      <c r="X33534" s="60"/>
    </row>
    <row r="33535" spans="7:24" ht="15" customHeight="1">
      <c r="G33535"/>
      <c r="I33535"/>
      <c r="N33535"/>
      <c r="O33535" s="24"/>
      <c r="P33535"/>
      <c r="Q33535" s="24"/>
      <c r="R33535"/>
      <c r="S33535"/>
      <c r="T33535"/>
      <c r="U33535"/>
      <c r="X33535" s="60"/>
    </row>
    <row r="33536" spans="7:24" ht="15" customHeight="1">
      <c r="G33536"/>
      <c r="I33536"/>
      <c r="N33536"/>
      <c r="O33536" s="24"/>
      <c r="P33536"/>
      <c r="Q33536" s="24"/>
      <c r="R33536"/>
      <c r="S33536"/>
      <c r="T33536"/>
      <c r="U33536"/>
      <c r="X33536" s="60"/>
    </row>
    <row r="33537" spans="7:24" ht="15" customHeight="1">
      <c r="G33537"/>
      <c r="I33537"/>
      <c r="N33537"/>
      <c r="O33537" s="24"/>
      <c r="P33537"/>
      <c r="Q33537" s="24"/>
      <c r="R33537"/>
      <c r="S33537"/>
      <c r="T33537"/>
      <c r="U33537"/>
      <c r="X33537" s="60"/>
    </row>
    <row r="33538" spans="7:24" ht="15" customHeight="1">
      <c r="G33538"/>
      <c r="I33538"/>
      <c r="N33538"/>
      <c r="O33538" s="24"/>
      <c r="P33538"/>
      <c r="Q33538" s="24"/>
      <c r="R33538"/>
      <c r="S33538"/>
      <c r="T33538"/>
      <c r="U33538"/>
      <c r="X33538" s="60"/>
    </row>
    <row r="33539" spans="7:24" ht="15" customHeight="1">
      <c r="G33539"/>
      <c r="I33539"/>
      <c r="N33539"/>
      <c r="O33539" s="24"/>
      <c r="P33539"/>
      <c r="Q33539" s="24"/>
      <c r="R33539"/>
      <c r="S33539"/>
      <c r="T33539"/>
      <c r="U33539"/>
      <c r="X33539" s="60"/>
    </row>
    <row r="33540" spans="7:24" ht="15" customHeight="1">
      <c r="G33540"/>
      <c r="I33540"/>
      <c r="N33540"/>
      <c r="O33540" s="24"/>
      <c r="P33540"/>
      <c r="Q33540" s="24"/>
      <c r="R33540"/>
      <c r="S33540"/>
      <c r="T33540"/>
      <c r="U33540"/>
      <c r="X33540" s="60"/>
    </row>
    <row r="33541" spans="7:24" ht="15" customHeight="1">
      <c r="G33541"/>
      <c r="I33541"/>
      <c r="N33541"/>
      <c r="O33541" s="24"/>
      <c r="P33541"/>
      <c r="Q33541" s="24"/>
      <c r="R33541"/>
      <c r="S33541"/>
      <c r="T33541"/>
      <c r="U33541"/>
      <c r="X33541" s="60"/>
    </row>
    <row r="33542" spans="7:24" ht="15" customHeight="1">
      <c r="G33542"/>
      <c r="I33542"/>
      <c r="N33542"/>
      <c r="O33542" s="24"/>
      <c r="P33542"/>
      <c r="Q33542" s="24"/>
      <c r="R33542"/>
      <c r="S33542"/>
      <c r="T33542"/>
      <c r="U33542"/>
      <c r="X33542" s="60"/>
    </row>
    <row r="33543" spans="7:24" ht="15" customHeight="1">
      <c r="G33543"/>
      <c r="I33543"/>
      <c r="N33543"/>
      <c r="O33543" s="24"/>
      <c r="P33543"/>
      <c r="Q33543" s="24"/>
      <c r="R33543"/>
      <c r="S33543"/>
      <c r="T33543"/>
      <c r="U33543"/>
      <c r="X33543" s="60"/>
    </row>
    <row r="33544" spans="7:24" ht="15" customHeight="1">
      <c r="G33544"/>
      <c r="I33544"/>
      <c r="N33544"/>
      <c r="O33544" s="24"/>
      <c r="P33544"/>
      <c r="Q33544" s="24"/>
      <c r="R33544"/>
      <c r="S33544"/>
      <c r="T33544"/>
      <c r="U33544"/>
      <c r="X33544" s="60"/>
    </row>
    <row r="33545" spans="7:24" ht="15" customHeight="1">
      <c r="G33545"/>
      <c r="I33545"/>
      <c r="N33545"/>
      <c r="O33545" s="24"/>
      <c r="P33545"/>
      <c r="Q33545" s="24"/>
      <c r="R33545"/>
      <c r="S33545"/>
      <c r="T33545"/>
      <c r="U33545"/>
      <c r="X33545" s="60"/>
    </row>
    <row r="33546" spans="7:24" ht="15" customHeight="1">
      <c r="G33546"/>
      <c r="I33546"/>
      <c r="N33546"/>
      <c r="O33546" s="24"/>
      <c r="P33546"/>
      <c r="Q33546" s="24"/>
      <c r="R33546"/>
      <c r="S33546"/>
      <c r="T33546"/>
      <c r="U33546"/>
      <c r="X33546" s="60"/>
    </row>
    <row r="33547" spans="7:24" ht="15" customHeight="1">
      <c r="G33547"/>
      <c r="I33547"/>
      <c r="N33547"/>
      <c r="O33547" s="24"/>
      <c r="P33547"/>
      <c r="Q33547" s="24"/>
      <c r="R33547"/>
      <c r="S33547"/>
      <c r="T33547"/>
      <c r="U33547"/>
      <c r="X33547" s="60"/>
    </row>
    <row r="33548" spans="7:24" ht="15" customHeight="1">
      <c r="G33548"/>
      <c r="I33548"/>
      <c r="N33548"/>
      <c r="O33548" s="24"/>
      <c r="P33548"/>
      <c r="Q33548" s="24"/>
      <c r="R33548"/>
      <c r="S33548"/>
      <c r="T33548"/>
      <c r="U33548"/>
      <c r="X33548" s="60"/>
    </row>
    <row r="33549" spans="7:24" ht="15" customHeight="1">
      <c r="G33549"/>
      <c r="I33549"/>
      <c r="N33549"/>
      <c r="O33549" s="24"/>
      <c r="P33549"/>
      <c r="Q33549" s="24"/>
      <c r="R33549"/>
      <c r="S33549"/>
      <c r="T33549"/>
      <c r="U33549"/>
      <c r="X33549" s="60"/>
    </row>
    <row r="33550" spans="7:24" ht="15" customHeight="1">
      <c r="G33550"/>
      <c r="I33550"/>
      <c r="N33550"/>
      <c r="O33550" s="24"/>
      <c r="P33550"/>
      <c r="Q33550" s="24"/>
      <c r="R33550"/>
      <c r="S33550"/>
      <c r="T33550"/>
      <c r="U33550"/>
      <c r="X33550" s="60"/>
    </row>
    <row r="33551" spans="7:24" ht="15" customHeight="1">
      <c r="G33551"/>
      <c r="I33551"/>
      <c r="N33551"/>
      <c r="O33551" s="24"/>
      <c r="P33551"/>
      <c r="Q33551" s="24"/>
      <c r="R33551"/>
      <c r="S33551"/>
      <c r="T33551"/>
      <c r="U33551"/>
      <c r="X33551" s="60"/>
    </row>
    <row r="33552" spans="7:24" ht="15" customHeight="1">
      <c r="G33552"/>
      <c r="I33552"/>
      <c r="N33552"/>
      <c r="O33552" s="24"/>
      <c r="P33552"/>
      <c r="Q33552" s="24"/>
      <c r="R33552"/>
      <c r="S33552"/>
      <c r="T33552"/>
      <c r="U33552"/>
      <c r="X33552" s="60"/>
    </row>
    <row r="33553" spans="7:24" ht="15" customHeight="1">
      <c r="G33553"/>
      <c r="I33553"/>
      <c r="N33553"/>
      <c r="O33553" s="24"/>
      <c r="P33553"/>
      <c r="Q33553" s="24"/>
      <c r="R33553"/>
      <c r="S33553"/>
      <c r="T33553"/>
      <c r="U33553"/>
      <c r="X33553" s="60"/>
    </row>
    <row r="33554" spans="7:24" ht="15" customHeight="1">
      <c r="G33554"/>
      <c r="I33554"/>
      <c r="N33554"/>
      <c r="O33554" s="24"/>
      <c r="P33554"/>
      <c r="Q33554" s="24"/>
      <c r="R33554"/>
      <c r="S33554"/>
      <c r="T33554"/>
      <c r="U33554"/>
      <c r="X33554" s="60"/>
    </row>
    <row r="33555" spans="7:24" ht="15" customHeight="1">
      <c r="G33555"/>
      <c r="I33555"/>
      <c r="N33555"/>
      <c r="O33555" s="24"/>
      <c r="P33555"/>
      <c r="Q33555" s="24"/>
      <c r="R33555"/>
      <c r="S33555"/>
      <c r="T33555"/>
      <c r="U33555"/>
      <c r="X33555" s="60"/>
    </row>
    <row r="33556" spans="7:24" ht="15" customHeight="1">
      <c r="G33556"/>
      <c r="I33556"/>
      <c r="N33556"/>
      <c r="O33556" s="24"/>
      <c r="P33556"/>
      <c r="Q33556" s="24"/>
      <c r="R33556"/>
      <c r="S33556"/>
      <c r="T33556"/>
      <c r="U33556"/>
      <c r="X33556" s="60"/>
    </row>
    <row r="33557" spans="7:24" ht="15" customHeight="1">
      <c r="G33557"/>
      <c r="I33557"/>
      <c r="N33557"/>
      <c r="O33557" s="24"/>
      <c r="P33557"/>
      <c r="Q33557" s="24"/>
      <c r="R33557"/>
      <c r="S33557"/>
      <c r="T33557"/>
      <c r="U33557"/>
      <c r="X33557" s="60"/>
    </row>
    <row r="33558" spans="7:24" ht="15" customHeight="1">
      <c r="G33558"/>
      <c r="I33558"/>
      <c r="N33558"/>
      <c r="O33558" s="24"/>
      <c r="P33558"/>
      <c r="Q33558" s="24"/>
      <c r="R33558"/>
      <c r="S33558"/>
      <c r="T33558"/>
      <c r="U33558"/>
      <c r="X33558" s="60"/>
    </row>
    <row r="33559" spans="7:24" ht="15" customHeight="1">
      <c r="G33559"/>
      <c r="I33559"/>
      <c r="N33559"/>
      <c r="O33559" s="24"/>
      <c r="P33559"/>
      <c r="Q33559" s="24"/>
      <c r="R33559"/>
      <c r="S33559"/>
      <c r="T33559"/>
      <c r="U33559"/>
      <c r="X33559" s="60"/>
    </row>
    <row r="33560" spans="7:24" ht="15" customHeight="1">
      <c r="G33560"/>
      <c r="I33560"/>
      <c r="N33560"/>
      <c r="O33560" s="24"/>
      <c r="P33560"/>
      <c r="Q33560" s="24"/>
      <c r="R33560"/>
      <c r="S33560"/>
      <c r="T33560"/>
      <c r="U33560"/>
      <c r="X33560" s="60"/>
    </row>
    <row r="33561" spans="7:24" ht="15" customHeight="1">
      <c r="G33561"/>
      <c r="I33561"/>
      <c r="N33561"/>
      <c r="O33561" s="24"/>
      <c r="P33561"/>
      <c r="Q33561" s="24"/>
      <c r="R33561"/>
      <c r="S33561"/>
      <c r="T33561"/>
      <c r="U33561"/>
      <c r="X33561" s="60"/>
    </row>
    <row r="33562" spans="7:24" ht="15" customHeight="1">
      <c r="G33562"/>
      <c r="I33562"/>
      <c r="N33562"/>
      <c r="O33562" s="24"/>
      <c r="P33562"/>
      <c r="Q33562" s="24"/>
      <c r="R33562"/>
      <c r="S33562"/>
      <c r="T33562"/>
      <c r="U33562"/>
      <c r="X33562" s="60"/>
    </row>
    <row r="33563" spans="7:24" ht="15" customHeight="1">
      <c r="G33563"/>
      <c r="I33563"/>
      <c r="N33563"/>
      <c r="O33563" s="24"/>
      <c r="P33563"/>
      <c r="Q33563" s="24"/>
      <c r="R33563"/>
      <c r="S33563"/>
      <c r="T33563"/>
      <c r="U33563"/>
      <c r="X33563" s="60"/>
    </row>
    <row r="33564" spans="7:24" ht="15" customHeight="1">
      <c r="G33564"/>
      <c r="I33564"/>
      <c r="N33564"/>
      <c r="O33564" s="24"/>
      <c r="P33564"/>
      <c r="Q33564" s="24"/>
      <c r="R33564"/>
      <c r="S33564"/>
      <c r="T33564"/>
      <c r="U33564"/>
      <c r="X33564" s="60"/>
    </row>
    <row r="33565" spans="7:24" ht="15" customHeight="1">
      <c r="G33565"/>
      <c r="I33565"/>
      <c r="N33565"/>
      <c r="O33565" s="24"/>
      <c r="P33565"/>
      <c r="Q33565" s="24"/>
      <c r="R33565"/>
      <c r="S33565"/>
      <c r="T33565"/>
      <c r="U33565"/>
      <c r="X33565" s="60"/>
    </row>
    <row r="33566" spans="7:24" ht="15" customHeight="1">
      <c r="G33566"/>
      <c r="I33566"/>
      <c r="N33566"/>
      <c r="O33566" s="24"/>
      <c r="P33566"/>
      <c r="Q33566" s="24"/>
      <c r="R33566"/>
      <c r="S33566"/>
      <c r="T33566"/>
      <c r="U33566"/>
      <c r="X33566" s="60"/>
    </row>
    <row r="33567" spans="7:24" ht="15" customHeight="1">
      <c r="G33567"/>
      <c r="I33567"/>
      <c r="N33567"/>
      <c r="O33567" s="24"/>
      <c r="P33567"/>
      <c r="Q33567" s="24"/>
      <c r="R33567"/>
      <c r="S33567"/>
      <c r="T33567"/>
      <c r="U33567"/>
      <c r="X33567" s="60"/>
    </row>
    <row r="33568" spans="7:24" ht="15" customHeight="1">
      <c r="G33568"/>
      <c r="I33568"/>
      <c r="N33568"/>
      <c r="O33568" s="24"/>
      <c r="P33568"/>
      <c r="Q33568" s="24"/>
      <c r="R33568"/>
      <c r="S33568"/>
      <c r="T33568"/>
      <c r="U33568"/>
      <c r="X33568" s="60"/>
    </row>
    <row r="33569" spans="7:24" ht="15" customHeight="1">
      <c r="G33569"/>
      <c r="I33569"/>
      <c r="N33569"/>
      <c r="O33569" s="24"/>
      <c r="P33569"/>
      <c r="Q33569" s="24"/>
      <c r="R33569"/>
      <c r="S33569"/>
      <c r="T33569"/>
      <c r="U33569"/>
      <c r="X33569" s="60"/>
    </row>
    <row r="33570" spans="7:24" ht="15" customHeight="1">
      <c r="G33570"/>
      <c r="I33570"/>
      <c r="N33570"/>
      <c r="O33570" s="24"/>
      <c r="P33570"/>
      <c r="Q33570" s="24"/>
      <c r="R33570"/>
      <c r="S33570"/>
      <c r="T33570"/>
      <c r="U33570"/>
      <c r="X33570" s="60"/>
    </row>
    <row r="33571" spans="7:24" ht="15" customHeight="1">
      <c r="G33571"/>
      <c r="I33571"/>
      <c r="N33571"/>
      <c r="O33571" s="24"/>
      <c r="P33571"/>
      <c r="Q33571" s="24"/>
      <c r="R33571"/>
      <c r="S33571"/>
      <c r="T33571"/>
      <c r="U33571"/>
      <c r="X33571" s="60"/>
    </row>
    <row r="33572" spans="7:24" ht="15" customHeight="1">
      <c r="G33572"/>
      <c r="I33572"/>
      <c r="N33572"/>
      <c r="O33572" s="24"/>
      <c r="P33572"/>
      <c r="Q33572" s="24"/>
      <c r="R33572"/>
      <c r="S33572"/>
      <c r="T33572"/>
      <c r="U33572"/>
      <c r="X33572" s="60"/>
    </row>
    <row r="33573" spans="7:24" ht="15" customHeight="1">
      <c r="G33573"/>
      <c r="I33573"/>
      <c r="N33573"/>
      <c r="O33573" s="24"/>
      <c r="P33573"/>
      <c r="Q33573" s="24"/>
      <c r="R33573"/>
      <c r="S33573"/>
      <c r="T33573"/>
      <c r="U33573"/>
      <c r="X33573" s="60"/>
    </row>
    <row r="33574" spans="7:24" ht="15" customHeight="1">
      <c r="G33574"/>
      <c r="I33574"/>
      <c r="N33574"/>
      <c r="O33574" s="24"/>
      <c r="P33574"/>
      <c r="Q33574" s="24"/>
      <c r="R33574"/>
      <c r="S33574"/>
      <c r="T33574"/>
      <c r="U33574"/>
      <c r="X33574" s="60"/>
    </row>
    <row r="33575" spans="7:24" ht="15" customHeight="1">
      <c r="G33575"/>
      <c r="I33575"/>
      <c r="N33575"/>
      <c r="O33575" s="24"/>
      <c r="P33575"/>
      <c r="Q33575" s="24"/>
      <c r="R33575"/>
      <c r="S33575"/>
      <c r="T33575"/>
      <c r="U33575"/>
      <c r="X33575" s="60"/>
    </row>
    <row r="33576" spans="7:24" ht="15" customHeight="1">
      <c r="G33576"/>
      <c r="I33576"/>
      <c r="N33576"/>
      <c r="O33576" s="24"/>
      <c r="P33576"/>
      <c r="Q33576" s="24"/>
      <c r="R33576"/>
      <c r="S33576"/>
      <c r="T33576"/>
      <c r="U33576"/>
      <c r="X33576" s="60"/>
    </row>
    <row r="33577" spans="7:24" ht="15" customHeight="1">
      <c r="G33577"/>
      <c r="I33577"/>
      <c r="N33577"/>
      <c r="O33577" s="24"/>
      <c r="P33577"/>
      <c r="Q33577" s="24"/>
      <c r="R33577"/>
      <c r="S33577"/>
      <c r="T33577"/>
      <c r="U33577"/>
      <c r="X33577" s="60"/>
    </row>
    <row r="33578" spans="7:24" ht="15" customHeight="1">
      <c r="G33578"/>
      <c r="I33578"/>
      <c r="N33578"/>
      <c r="O33578" s="24"/>
      <c r="P33578"/>
      <c r="Q33578" s="24"/>
      <c r="R33578"/>
      <c r="S33578"/>
      <c r="T33578"/>
      <c r="U33578"/>
      <c r="X33578" s="60"/>
    </row>
    <row r="33579" spans="7:24" ht="15" customHeight="1">
      <c r="G33579"/>
      <c r="I33579"/>
      <c r="N33579"/>
      <c r="O33579" s="24"/>
      <c r="P33579"/>
      <c r="Q33579" s="24"/>
      <c r="R33579"/>
      <c r="S33579"/>
      <c r="T33579"/>
      <c r="U33579"/>
      <c r="X33579" s="60"/>
    </row>
    <row r="33580" spans="7:24" ht="15" customHeight="1">
      <c r="G33580"/>
      <c r="I33580"/>
      <c r="N33580"/>
      <c r="O33580" s="24"/>
      <c r="P33580"/>
      <c r="Q33580" s="24"/>
      <c r="R33580"/>
      <c r="S33580"/>
      <c r="T33580"/>
      <c r="U33580"/>
      <c r="X33580" s="60"/>
    </row>
    <row r="33581" spans="7:24" ht="15" customHeight="1">
      <c r="G33581"/>
      <c r="I33581"/>
      <c r="N33581"/>
      <c r="O33581" s="24"/>
      <c r="P33581"/>
      <c r="Q33581" s="24"/>
      <c r="R33581"/>
      <c r="S33581"/>
      <c r="T33581"/>
      <c r="U33581"/>
      <c r="X33581" s="60"/>
    </row>
    <row r="33582" spans="7:24" ht="15" customHeight="1">
      <c r="G33582"/>
      <c r="I33582"/>
      <c r="N33582"/>
      <c r="O33582" s="24"/>
      <c r="P33582"/>
      <c r="Q33582" s="24"/>
      <c r="R33582"/>
      <c r="S33582"/>
      <c r="T33582"/>
      <c r="U33582"/>
      <c r="X33582" s="60"/>
    </row>
    <row r="33583" spans="7:24" ht="15" customHeight="1">
      <c r="G33583"/>
      <c r="I33583"/>
      <c r="N33583"/>
      <c r="O33583" s="24"/>
      <c r="P33583"/>
      <c r="Q33583" s="24"/>
      <c r="R33583"/>
      <c r="S33583"/>
      <c r="T33583"/>
      <c r="U33583"/>
      <c r="X33583" s="60"/>
    </row>
    <row r="33584" spans="7:24" ht="15" customHeight="1">
      <c r="G33584"/>
      <c r="I33584"/>
      <c r="N33584"/>
      <c r="O33584" s="24"/>
      <c r="P33584"/>
      <c r="Q33584" s="24"/>
      <c r="R33584"/>
      <c r="S33584"/>
      <c r="T33584"/>
      <c r="U33584"/>
      <c r="X33584" s="60"/>
    </row>
    <row r="33585" spans="7:24" ht="15" customHeight="1">
      <c r="G33585"/>
      <c r="I33585"/>
      <c r="N33585"/>
      <c r="O33585" s="24"/>
      <c r="P33585"/>
      <c r="Q33585" s="24"/>
      <c r="R33585"/>
      <c r="S33585"/>
      <c r="T33585"/>
      <c r="U33585"/>
      <c r="X33585" s="60"/>
    </row>
    <row r="33586" spans="7:24" ht="15" customHeight="1">
      <c r="G33586"/>
      <c r="I33586"/>
      <c r="N33586"/>
      <c r="O33586" s="24"/>
      <c r="P33586"/>
      <c r="Q33586" s="24"/>
      <c r="R33586"/>
      <c r="S33586"/>
      <c r="T33586"/>
      <c r="U33586"/>
      <c r="X33586" s="60"/>
    </row>
    <row r="33587" spans="7:24" ht="15" customHeight="1">
      <c r="G33587"/>
      <c r="I33587"/>
      <c r="N33587"/>
      <c r="O33587" s="24"/>
      <c r="P33587"/>
      <c r="Q33587" s="24"/>
      <c r="R33587"/>
      <c r="S33587"/>
      <c r="T33587"/>
      <c r="U33587"/>
      <c r="X33587" s="60"/>
    </row>
    <row r="33588" spans="7:24" ht="15" customHeight="1">
      <c r="G33588"/>
      <c r="I33588"/>
      <c r="N33588"/>
      <c r="O33588" s="24"/>
      <c r="P33588"/>
      <c r="Q33588" s="24"/>
      <c r="R33588"/>
      <c r="S33588"/>
      <c r="T33588"/>
      <c r="U33588"/>
      <c r="X33588" s="60"/>
    </row>
    <row r="33589" spans="7:24" ht="15" customHeight="1">
      <c r="G33589"/>
      <c r="I33589"/>
      <c r="N33589"/>
      <c r="O33589" s="24"/>
      <c r="P33589"/>
      <c r="Q33589" s="24"/>
      <c r="R33589"/>
      <c r="S33589"/>
      <c r="T33589"/>
      <c r="U33589"/>
      <c r="X33589" s="60"/>
    </row>
    <row r="33590" spans="7:24" ht="15" customHeight="1">
      <c r="G33590"/>
      <c r="I33590"/>
      <c r="N33590"/>
      <c r="O33590" s="24"/>
      <c r="P33590"/>
      <c r="Q33590" s="24"/>
      <c r="R33590"/>
      <c r="S33590"/>
      <c r="T33590"/>
      <c r="U33590"/>
      <c r="X33590" s="60"/>
    </row>
    <row r="33591" spans="7:24" ht="15" customHeight="1">
      <c r="G33591"/>
      <c r="I33591"/>
      <c r="N33591"/>
      <c r="O33591" s="24"/>
      <c r="P33591"/>
      <c r="Q33591" s="24"/>
      <c r="R33591"/>
      <c r="S33591"/>
      <c r="T33591"/>
      <c r="U33591"/>
      <c r="X33591" s="60"/>
    </row>
    <row r="33592" spans="7:24" ht="15" customHeight="1">
      <c r="G33592"/>
      <c r="I33592"/>
      <c r="N33592"/>
      <c r="O33592" s="24"/>
      <c r="P33592"/>
      <c r="Q33592" s="24"/>
      <c r="R33592"/>
      <c r="S33592"/>
      <c r="T33592"/>
      <c r="U33592"/>
      <c r="X33592" s="60"/>
    </row>
    <row r="33593" spans="7:24" ht="15" customHeight="1">
      <c r="G33593"/>
      <c r="I33593"/>
      <c r="N33593"/>
      <c r="O33593" s="24"/>
      <c r="P33593"/>
      <c r="Q33593" s="24"/>
      <c r="R33593"/>
      <c r="S33593"/>
      <c r="T33593"/>
      <c r="U33593"/>
      <c r="X33593" s="60"/>
    </row>
    <row r="33594" spans="7:24" ht="15" customHeight="1">
      <c r="G33594"/>
      <c r="I33594"/>
      <c r="N33594"/>
      <c r="O33594" s="24"/>
      <c r="P33594"/>
      <c r="Q33594" s="24"/>
      <c r="R33594"/>
      <c r="S33594"/>
      <c r="T33594"/>
      <c r="U33594"/>
      <c r="X33594" s="60"/>
    </row>
    <row r="33595" spans="7:24" ht="15" customHeight="1">
      <c r="G33595"/>
      <c r="I33595"/>
      <c r="N33595"/>
      <c r="O33595" s="24"/>
      <c r="P33595"/>
      <c r="Q33595" s="24"/>
      <c r="R33595"/>
      <c r="S33595"/>
      <c r="T33595"/>
      <c r="U33595"/>
      <c r="X33595" s="60"/>
    </row>
    <row r="33596" spans="7:24" ht="15" customHeight="1">
      <c r="G33596"/>
      <c r="I33596"/>
      <c r="N33596"/>
      <c r="O33596" s="24"/>
      <c r="P33596"/>
      <c r="Q33596" s="24"/>
      <c r="R33596"/>
      <c r="S33596"/>
      <c r="T33596"/>
      <c r="U33596"/>
      <c r="X33596" s="60"/>
    </row>
    <row r="33597" spans="7:24" ht="15" customHeight="1">
      <c r="G33597"/>
      <c r="I33597"/>
      <c r="N33597"/>
      <c r="O33597" s="24"/>
      <c r="P33597"/>
      <c r="Q33597" s="24"/>
      <c r="R33597"/>
      <c r="S33597"/>
      <c r="T33597"/>
      <c r="U33597"/>
      <c r="X33597" s="60"/>
    </row>
    <row r="33598" spans="7:24" ht="15" customHeight="1">
      <c r="G33598"/>
      <c r="I33598"/>
      <c r="N33598"/>
      <c r="O33598" s="24"/>
      <c r="P33598"/>
      <c r="Q33598" s="24"/>
      <c r="R33598"/>
      <c r="S33598"/>
      <c r="T33598"/>
      <c r="U33598"/>
      <c r="X33598" s="60"/>
    </row>
    <row r="33599" spans="7:24" ht="15" customHeight="1">
      <c r="G33599"/>
      <c r="I33599"/>
      <c r="N33599"/>
      <c r="O33599" s="24"/>
      <c r="P33599"/>
      <c r="Q33599" s="24"/>
      <c r="R33599"/>
      <c r="S33599"/>
      <c r="T33599"/>
      <c r="U33599"/>
      <c r="X33599" s="60"/>
    </row>
    <row r="33600" spans="7:24" ht="15" customHeight="1">
      <c r="G33600"/>
      <c r="I33600"/>
      <c r="N33600"/>
      <c r="O33600" s="24"/>
      <c r="P33600"/>
      <c r="Q33600" s="24"/>
      <c r="R33600"/>
      <c r="S33600"/>
      <c r="T33600"/>
      <c r="U33600"/>
      <c r="X33600" s="60"/>
    </row>
    <row r="33601" spans="7:24" ht="15" customHeight="1">
      <c r="G33601"/>
      <c r="I33601"/>
      <c r="N33601"/>
      <c r="O33601" s="24"/>
      <c r="P33601"/>
      <c r="Q33601" s="24"/>
      <c r="R33601"/>
      <c r="S33601"/>
      <c r="T33601"/>
      <c r="U33601"/>
      <c r="X33601" s="60"/>
    </row>
    <row r="33602" spans="7:24" ht="15" customHeight="1">
      <c r="G33602"/>
      <c r="I33602"/>
      <c r="N33602"/>
      <c r="O33602" s="24"/>
      <c r="P33602"/>
      <c r="Q33602" s="24"/>
      <c r="R33602"/>
      <c r="S33602"/>
      <c r="T33602"/>
      <c r="U33602"/>
      <c r="X33602" s="60"/>
    </row>
    <row r="33603" spans="7:24" ht="15" customHeight="1">
      <c r="G33603"/>
      <c r="I33603"/>
      <c r="N33603"/>
      <c r="O33603" s="24"/>
      <c r="P33603"/>
      <c r="Q33603" s="24"/>
      <c r="R33603"/>
      <c r="S33603"/>
      <c r="T33603"/>
      <c r="U33603"/>
      <c r="X33603" s="60"/>
    </row>
    <row r="33604" spans="7:24" ht="15" customHeight="1">
      <c r="G33604"/>
      <c r="I33604"/>
      <c r="N33604"/>
      <c r="O33604" s="24"/>
      <c r="P33604"/>
      <c r="Q33604" s="24"/>
      <c r="R33604"/>
      <c r="S33604"/>
      <c r="T33604"/>
      <c r="U33604"/>
      <c r="X33604" s="60"/>
    </row>
    <row r="33605" spans="7:24" ht="15" customHeight="1">
      <c r="G33605"/>
      <c r="I33605"/>
      <c r="N33605"/>
      <c r="O33605" s="24"/>
      <c r="P33605"/>
      <c r="Q33605" s="24"/>
      <c r="R33605"/>
      <c r="S33605"/>
      <c r="T33605"/>
      <c r="U33605"/>
      <c r="X33605" s="60"/>
    </row>
    <row r="33606" spans="7:24" ht="15" customHeight="1">
      <c r="G33606"/>
      <c r="I33606"/>
      <c r="N33606"/>
      <c r="O33606" s="24"/>
      <c r="P33606"/>
      <c r="Q33606" s="24"/>
      <c r="R33606"/>
      <c r="S33606"/>
      <c r="T33606"/>
      <c r="U33606"/>
      <c r="X33606" s="60"/>
    </row>
    <row r="33607" spans="7:24" ht="15" customHeight="1">
      <c r="G33607"/>
      <c r="I33607"/>
      <c r="N33607"/>
      <c r="O33607" s="24"/>
      <c r="P33607"/>
      <c r="Q33607" s="24"/>
      <c r="R33607"/>
      <c r="S33607"/>
      <c r="T33607"/>
      <c r="U33607"/>
      <c r="X33607" s="60"/>
    </row>
    <row r="33608" spans="7:24" ht="15" customHeight="1">
      <c r="G33608"/>
      <c r="I33608"/>
      <c r="N33608"/>
      <c r="O33608" s="24"/>
      <c r="P33608"/>
      <c r="Q33608" s="24"/>
      <c r="R33608"/>
      <c r="S33608"/>
      <c r="T33608"/>
      <c r="U33608"/>
      <c r="X33608" s="60"/>
    </row>
    <row r="33609" spans="7:24" ht="15" customHeight="1">
      <c r="G33609"/>
      <c r="I33609"/>
      <c r="N33609"/>
      <c r="O33609" s="24"/>
      <c r="P33609"/>
      <c r="Q33609" s="24"/>
      <c r="R33609"/>
      <c r="S33609"/>
      <c r="T33609"/>
      <c r="U33609"/>
      <c r="X33609" s="60"/>
    </row>
    <row r="33610" spans="7:24" ht="15" customHeight="1">
      <c r="G33610"/>
      <c r="I33610"/>
      <c r="N33610"/>
      <c r="O33610" s="24"/>
      <c r="P33610"/>
      <c r="Q33610" s="24"/>
      <c r="R33610"/>
      <c r="S33610"/>
      <c r="T33610"/>
      <c r="U33610"/>
      <c r="X33610" s="60"/>
    </row>
    <row r="33611" spans="7:24" ht="15" customHeight="1">
      <c r="G33611"/>
      <c r="I33611"/>
      <c r="N33611"/>
      <c r="O33611" s="24"/>
      <c r="P33611"/>
      <c r="Q33611" s="24"/>
      <c r="R33611"/>
      <c r="S33611"/>
      <c r="T33611"/>
      <c r="U33611"/>
      <c r="X33611" s="60"/>
    </row>
    <row r="33612" spans="7:24" ht="15" customHeight="1">
      <c r="G33612"/>
      <c r="I33612"/>
      <c r="N33612"/>
      <c r="O33612" s="24"/>
      <c r="P33612"/>
      <c r="Q33612" s="24"/>
      <c r="R33612"/>
      <c r="S33612"/>
      <c r="T33612"/>
      <c r="U33612"/>
      <c r="X33612" s="60"/>
    </row>
    <row r="33613" spans="7:24" ht="15" customHeight="1">
      <c r="G33613"/>
      <c r="I33613"/>
      <c r="N33613"/>
      <c r="O33613" s="24"/>
      <c r="P33613"/>
      <c r="Q33613" s="24"/>
      <c r="R33613"/>
      <c r="S33613"/>
      <c r="T33613"/>
      <c r="U33613"/>
      <c r="X33613" s="60"/>
    </row>
    <row r="33614" spans="7:24" ht="15" customHeight="1">
      <c r="G33614"/>
      <c r="I33614"/>
      <c r="N33614"/>
      <c r="O33614" s="24"/>
      <c r="P33614"/>
      <c r="Q33614" s="24"/>
      <c r="R33614"/>
      <c r="S33614"/>
      <c r="T33614"/>
      <c r="U33614"/>
      <c r="X33614" s="60"/>
    </row>
    <row r="33615" spans="7:24" ht="15" customHeight="1">
      <c r="G33615"/>
      <c r="I33615"/>
      <c r="N33615"/>
      <c r="O33615" s="24"/>
      <c r="P33615"/>
      <c r="Q33615" s="24"/>
      <c r="R33615"/>
      <c r="S33615"/>
      <c r="T33615"/>
      <c r="U33615"/>
      <c r="X33615" s="60"/>
    </row>
    <row r="33616" spans="7:24" ht="15" customHeight="1">
      <c r="G33616"/>
      <c r="I33616"/>
      <c r="N33616"/>
      <c r="O33616" s="24"/>
      <c r="P33616"/>
      <c r="Q33616" s="24"/>
      <c r="R33616"/>
      <c r="S33616"/>
      <c r="T33616"/>
      <c r="U33616"/>
      <c r="X33616" s="60"/>
    </row>
    <row r="33617" spans="7:24" ht="15" customHeight="1">
      <c r="G33617"/>
      <c r="I33617"/>
      <c r="N33617"/>
      <c r="O33617" s="24"/>
      <c r="P33617"/>
      <c r="Q33617" s="24"/>
      <c r="R33617"/>
      <c r="S33617"/>
      <c r="T33617"/>
      <c r="U33617"/>
      <c r="X33617" s="60"/>
    </row>
    <row r="33618" spans="7:24" ht="15" customHeight="1">
      <c r="G33618"/>
      <c r="I33618"/>
      <c r="N33618"/>
      <c r="O33618" s="24"/>
      <c r="P33618"/>
      <c r="Q33618" s="24"/>
      <c r="R33618"/>
      <c r="S33618"/>
      <c r="T33618"/>
      <c r="U33618"/>
      <c r="X33618" s="60"/>
    </row>
    <row r="33619" spans="7:24" ht="15" customHeight="1">
      <c r="G33619"/>
      <c r="I33619"/>
      <c r="N33619"/>
      <c r="O33619" s="24"/>
      <c r="P33619"/>
      <c r="Q33619" s="24"/>
      <c r="R33619"/>
      <c r="S33619"/>
      <c r="T33619"/>
      <c r="U33619"/>
      <c r="X33619" s="60"/>
    </row>
    <row r="33620" spans="7:24" ht="15" customHeight="1">
      <c r="G33620"/>
      <c r="I33620"/>
      <c r="N33620"/>
      <c r="O33620" s="24"/>
      <c r="P33620"/>
      <c r="Q33620" s="24"/>
      <c r="R33620"/>
      <c r="S33620"/>
      <c r="T33620"/>
      <c r="U33620"/>
      <c r="X33620" s="60"/>
    </row>
    <row r="33621" spans="7:24" ht="15" customHeight="1">
      <c r="G33621"/>
      <c r="I33621"/>
      <c r="N33621"/>
      <c r="O33621" s="24"/>
      <c r="P33621"/>
      <c r="Q33621" s="24"/>
      <c r="R33621"/>
      <c r="S33621"/>
      <c r="T33621"/>
      <c r="U33621"/>
      <c r="X33621" s="60"/>
    </row>
    <row r="33622" spans="7:24" ht="15" customHeight="1">
      <c r="G33622"/>
      <c r="I33622"/>
      <c r="N33622"/>
      <c r="O33622" s="24"/>
      <c r="P33622"/>
      <c r="Q33622" s="24"/>
      <c r="R33622"/>
      <c r="S33622"/>
      <c r="T33622"/>
      <c r="U33622"/>
      <c r="X33622" s="60"/>
    </row>
    <row r="33623" spans="7:24" ht="15" customHeight="1">
      <c r="G33623"/>
      <c r="I33623"/>
      <c r="N33623"/>
      <c r="O33623" s="24"/>
      <c r="P33623"/>
      <c r="Q33623" s="24"/>
      <c r="R33623"/>
      <c r="S33623"/>
      <c r="T33623"/>
      <c r="U33623"/>
      <c r="X33623" s="60"/>
    </row>
    <row r="33624" spans="7:24" ht="15" customHeight="1">
      <c r="G33624"/>
      <c r="I33624"/>
      <c r="N33624"/>
      <c r="O33624" s="24"/>
      <c r="P33624"/>
      <c r="Q33624" s="24"/>
      <c r="R33624"/>
      <c r="S33624"/>
      <c r="T33624"/>
      <c r="U33624"/>
      <c r="X33624" s="60"/>
    </row>
    <row r="33625" spans="7:24" ht="15" customHeight="1">
      <c r="G33625"/>
      <c r="I33625"/>
      <c r="N33625"/>
      <c r="O33625" s="24"/>
      <c r="P33625"/>
      <c r="Q33625" s="24"/>
      <c r="R33625"/>
      <c r="S33625"/>
      <c r="T33625"/>
      <c r="U33625"/>
      <c r="X33625" s="60"/>
    </row>
    <row r="33626" spans="7:24" ht="15" customHeight="1">
      <c r="G33626"/>
      <c r="I33626"/>
      <c r="N33626"/>
      <c r="O33626" s="24"/>
      <c r="P33626"/>
      <c r="Q33626" s="24"/>
      <c r="R33626"/>
      <c r="S33626"/>
      <c r="T33626"/>
      <c r="U33626"/>
      <c r="X33626" s="60"/>
    </row>
    <row r="33627" spans="7:24" ht="15" customHeight="1">
      <c r="G33627"/>
      <c r="I33627"/>
      <c r="N33627"/>
      <c r="O33627" s="24"/>
      <c r="P33627"/>
      <c r="Q33627" s="24"/>
      <c r="R33627"/>
      <c r="S33627"/>
      <c r="T33627"/>
      <c r="U33627"/>
      <c r="X33627" s="60"/>
    </row>
    <row r="33628" spans="7:24" ht="15" customHeight="1">
      <c r="G33628"/>
      <c r="I33628"/>
      <c r="N33628"/>
      <c r="O33628" s="24"/>
      <c r="P33628"/>
      <c r="Q33628" s="24"/>
      <c r="R33628"/>
      <c r="S33628"/>
      <c r="T33628"/>
      <c r="U33628"/>
      <c r="X33628" s="60"/>
    </row>
    <row r="33629" spans="7:24" ht="15" customHeight="1">
      <c r="G33629"/>
      <c r="I33629"/>
      <c r="N33629"/>
      <c r="O33629" s="24"/>
      <c r="P33629"/>
      <c r="Q33629" s="24"/>
      <c r="R33629"/>
      <c r="S33629"/>
      <c r="T33629"/>
      <c r="U33629"/>
      <c r="X33629" s="60"/>
    </row>
    <row r="33630" spans="7:24" ht="15" customHeight="1">
      <c r="G33630"/>
      <c r="I33630"/>
      <c r="N33630"/>
      <c r="O33630" s="24"/>
      <c r="P33630"/>
      <c r="Q33630" s="24"/>
      <c r="R33630"/>
      <c r="S33630"/>
      <c r="T33630"/>
      <c r="U33630"/>
      <c r="X33630" s="60"/>
    </row>
    <row r="33631" spans="7:24" ht="15" customHeight="1">
      <c r="G33631"/>
      <c r="I33631"/>
      <c r="N33631"/>
      <c r="O33631" s="24"/>
      <c r="P33631"/>
      <c r="Q33631" s="24"/>
      <c r="R33631"/>
      <c r="S33631"/>
      <c r="T33631"/>
      <c r="U33631"/>
      <c r="X33631" s="60"/>
    </row>
    <row r="33632" spans="7:24" ht="15" customHeight="1">
      <c r="G33632"/>
      <c r="I33632"/>
      <c r="N33632"/>
      <c r="O33632" s="24"/>
      <c r="P33632"/>
      <c r="Q33632" s="24"/>
      <c r="R33632"/>
      <c r="S33632"/>
      <c r="T33632"/>
      <c r="U33632"/>
      <c r="X33632" s="60"/>
    </row>
    <row r="33633" spans="7:24" ht="15" customHeight="1">
      <c r="G33633"/>
      <c r="I33633"/>
      <c r="N33633"/>
      <c r="O33633" s="24"/>
      <c r="P33633"/>
      <c r="Q33633" s="24"/>
      <c r="R33633"/>
      <c r="S33633"/>
      <c r="T33633"/>
      <c r="U33633"/>
      <c r="X33633" s="60"/>
    </row>
    <row r="33634" spans="7:24" ht="15" customHeight="1">
      <c r="G33634"/>
      <c r="I33634"/>
      <c r="N33634"/>
      <c r="O33634" s="24"/>
      <c r="P33634"/>
      <c r="Q33634" s="24"/>
      <c r="R33634"/>
      <c r="S33634"/>
      <c r="T33634"/>
      <c r="U33634"/>
      <c r="X33634" s="60"/>
    </row>
    <row r="33635" spans="7:24" ht="15" customHeight="1">
      <c r="G33635"/>
      <c r="I33635"/>
      <c r="N33635"/>
      <c r="O33635" s="24"/>
      <c r="P33635"/>
      <c r="Q33635" s="24"/>
      <c r="R33635"/>
      <c r="S33635"/>
      <c r="T33635"/>
      <c r="U33635"/>
      <c r="X33635" s="60"/>
    </row>
    <row r="33636" spans="7:24" ht="15" customHeight="1">
      <c r="G33636"/>
      <c r="I33636"/>
      <c r="N33636"/>
      <c r="O33636" s="24"/>
      <c r="P33636"/>
      <c r="Q33636" s="24"/>
      <c r="R33636"/>
      <c r="S33636"/>
      <c r="T33636"/>
      <c r="U33636"/>
      <c r="X33636" s="60"/>
    </row>
    <row r="33637" spans="7:24" ht="15" customHeight="1">
      <c r="G33637"/>
      <c r="I33637"/>
      <c r="N33637"/>
      <c r="O33637" s="24"/>
      <c r="P33637"/>
      <c r="Q33637" s="24"/>
      <c r="R33637"/>
      <c r="S33637"/>
      <c r="T33637"/>
      <c r="U33637"/>
      <c r="X33637" s="60"/>
    </row>
    <row r="33638" spans="7:24" ht="15" customHeight="1">
      <c r="G33638"/>
      <c r="I33638"/>
      <c r="N33638"/>
      <c r="O33638" s="24"/>
      <c r="P33638"/>
      <c r="Q33638" s="24"/>
      <c r="R33638"/>
      <c r="S33638"/>
      <c r="T33638"/>
      <c r="U33638"/>
      <c r="X33638" s="60"/>
    </row>
    <row r="33639" spans="7:24" ht="15" customHeight="1">
      <c r="G33639"/>
      <c r="I33639"/>
      <c r="N33639"/>
      <c r="O33639" s="24"/>
      <c r="P33639"/>
      <c r="Q33639" s="24"/>
      <c r="R33639"/>
      <c r="S33639"/>
      <c r="T33639"/>
      <c r="U33639"/>
      <c r="X33639" s="60"/>
    </row>
    <row r="33640" spans="7:24" ht="15" customHeight="1">
      <c r="G33640"/>
      <c r="I33640"/>
      <c r="N33640"/>
      <c r="O33640" s="24"/>
      <c r="P33640"/>
      <c r="Q33640" s="24"/>
      <c r="R33640"/>
      <c r="S33640"/>
      <c r="T33640"/>
      <c r="U33640"/>
      <c r="X33640" s="60"/>
    </row>
    <row r="33641" spans="7:24" ht="15" customHeight="1">
      <c r="G33641"/>
      <c r="I33641"/>
      <c r="N33641"/>
      <c r="O33641" s="24"/>
      <c r="P33641"/>
      <c r="Q33641" s="24"/>
      <c r="R33641"/>
      <c r="S33641"/>
      <c r="T33641"/>
      <c r="U33641"/>
      <c r="X33641" s="60"/>
    </row>
    <row r="33642" spans="7:24" ht="15" customHeight="1">
      <c r="G33642"/>
      <c r="I33642"/>
      <c r="N33642"/>
      <c r="O33642" s="24"/>
      <c r="P33642"/>
      <c r="Q33642" s="24"/>
      <c r="R33642"/>
      <c r="S33642"/>
      <c r="T33642"/>
      <c r="U33642"/>
      <c r="X33642" s="60"/>
    </row>
    <row r="33643" spans="7:24" ht="15" customHeight="1">
      <c r="G33643"/>
      <c r="I33643"/>
      <c r="N33643"/>
      <c r="O33643" s="24"/>
      <c r="P33643"/>
      <c r="Q33643" s="24"/>
      <c r="R33643"/>
      <c r="S33643"/>
      <c r="T33643"/>
      <c r="U33643"/>
      <c r="X33643" s="60"/>
    </row>
    <row r="33644" spans="7:24" ht="15" customHeight="1">
      <c r="G33644"/>
      <c r="I33644"/>
      <c r="N33644"/>
      <c r="O33644" s="24"/>
      <c r="P33644"/>
      <c r="Q33644" s="24"/>
      <c r="R33644"/>
      <c r="S33644"/>
      <c r="T33644"/>
      <c r="U33644"/>
      <c r="X33644" s="60"/>
    </row>
    <row r="33645" spans="7:24" ht="15" customHeight="1">
      <c r="G33645"/>
      <c r="I33645"/>
      <c r="N33645"/>
      <c r="O33645" s="24"/>
      <c r="P33645"/>
      <c r="Q33645" s="24"/>
      <c r="R33645"/>
      <c r="S33645"/>
      <c r="T33645"/>
      <c r="U33645"/>
      <c r="X33645" s="60"/>
    </row>
    <row r="33646" spans="7:24" ht="15" customHeight="1">
      <c r="G33646"/>
      <c r="I33646"/>
      <c r="N33646"/>
      <c r="O33646" s="24"/>
      <c r="P33646"/>
      <c r="Q33646" s="24"/>
      <c r="R33646"/>
      <c r="S33646"/>
      <c r="T33646"/>
      <c r="U33646"/>
      <c r="X33646" s="60"/>
    </row>
    <row r="33647" spans="7:24" ht="15" customHeight="1">
      <c r="G33647"/>
      <c r="I33647"/>
      <c r="N33647"/>
      <c r="O33647" s="24"/>
      <c r="P33647"/>
      <c r="Q33647" s="24"/>
      <c r="R33647"/>
      <c r="S33647"/>
      <c r="T33647"/>
      <c r="U33647"/>
      <c r="X33647" s="60"/>
    </row>
    <row r="33648" spans="7:24" ht="15" customHeight="1">
      <c r="G33648"/>
      <c r="I33648"/>
      <c r="N33648"/>
      <c r="O33648" s="24"/>
      <c r="P33648"/>
      <c r="Q33648" s="24"/>
      <c r="R33648"/>
      <c r="S33648"/>
      <c r="T33648"/>
      <c r="U33648"/>
      <c r="X33648" s="60"/>
    </row>
    <row r="33649" spans="7:24" ht="15" customHeight="1">
      <c r="G33649"/>
      <c r="I33649"/>
      <c r="N33649"/>
      <c r="O33649" s="24"/>
      <c r="P33649"/>
      <c r="Q33649" s="24"/>
      <c r="R33649"/>
      <c r="S33649"/>
      <c r="T33649"/>
      <c r="U33649"/>
      <c r="X33649" s="60"/>
    </row>
    <row r="33650" spans="7:24" ht="15" customHeight="1">
      <c r="G33650"/>
      <c r="I33650"/>
      <c r="N33650"/>
      <c r="O33650" s="24"/>
      <c r="P33650"/>
      <c r="Q33650" s="24"/>
      <c r="R33650"/>
      <c r="S33650"/>
      <c r="T33650"/>
      <c r="U33650"/>
      <c r="X33650" s="60"/>
    </row>
    <row r="33651" spans="7:24" ht="15" customHeight="1">
      <c r="G33651"/>
      <c r="I33651"/>
      <c r="N33651"/>
      <c r="O33651" s="24"/>
      <c r="P33651"/>
      <c r="Q33651" s="24"/>
      <c r="R33651"/>
      <c r="S33651"/>
      <c r="T33651"/>
      <c r="U33651"/>
      <c r="X33651" s="60"/>
    </row>
    <row r="33652" spans="7:24" ht="15" customHeight="1">
      <c r="G33652"/>
      <c r="I33652"/>
      <c r="N33652"/>
      <c r="O33652" s="24"/>
      <c r="P33652"/>
      <c r="Q33652" s="24"/>
      <c r="R33652"/>
      <c r="S33652"/>
      <c r="T33652"/>
      <c r="U33652"/>
      <c r="X33652" s="60"/>
    </row>
    <row r="33653" spans="7:24" ht="15" customHeight="1">
      <c r="G33653"/>
      <c r="I33653"/>
      <c r="N33653"/>
      <c r="O33653" s="24"/>
      <c r="P33653"/>
      <c r="Q33653" s="24"/>
      <c r="R33653"/>
      <c r="S33653"/>
      <c r="T33653"/>
      <c r="U33653"/>
      <c r="X33653" s="60"/>
    </row>
    <row r="33654" spans="7:24" ht="15" customHeight="1">
      <c r="G33654"/>
      <c r="I33654"/>
      <c r="N33654"/>
      <c r="O33654" s="24"/>
      <c r="P33654"/>
      <c r="Q33654" s="24"/>
      <c r="R33654"/>
      <c r="S33654"/>
      <c r="T33654"/>
      <c r="U33654"/>
      <c r="X33654" s="60"/>
    </row>
    <row r="33655" spans="7:24" ht="15" customHeight="1">
      <c r="G33655"/>
      <c r="I33655"/>
      <c r="N33655"/>
      <c r="O33655" s="24"/>
      <c r="P33655"/>
      <c r="Q33655" s="24"/>
      <c r="R33655"/>
      <c r="S33655"/>
      <c r="T33655"/>
      <c r="U33655"/>
      <c r="X33655" s="60"/>
    </row>
    <row r="33656" spans="7:24" ht="15" customHeight="1">
      <c r="G33656"/>
      <c r="I33656"/>
      <c r="N33656"/>
      <c r="O33656" s="24"/>
      <c r="P33656"/>
      <c r="Q33656" s="24"/>
      <c r="R33656"/>
      <c r="S33656"/>
      <c r="T33656"/>
      <c r="U33656"/>
      <c r="X33656" s="60"/>
    </row>
    <row r="33657" spans="7:24" ht="15" customHeight="1">
      <c r="G33657"/>
      <c r="I33657"/>
      <c r="N33657"/>
      <c r="O33657" s="24"/>
      <c r="P33657"/>
      <c r="Q33657" s="24"/>
      <c r="R33657"/>
      <c r="S33657"/>
      <c r="T33657"/>
      <c r="U33657"/>
      <c r="X33657" s="60"/>
    </row>
    <row r="33658" spans="7:24" ht="15" customHeight="1">
      <c r="G33658"/>
      <c r="I33658"/>
      <c r="N33658"/>
      <c r="O33658" s="24"/>
      <c r="P33658"/>
      <c r="Q33658" s="24"/>
      <c r="R33658"/>
      <c r="S33658"/>
      <c r="T33658"/>
      <c r="U33658"/>
      <c r="X33658" s="60"/>
    </row>
    <row r="33659" spans="7:24" ht="15" customHeight="1">
      <c r="G33659"/>
      <c r="I33659"/>
      <c r="N33659"/>
      <c r="O33659" s="24"/>
      <c r="P33659"/>
      <c r="Q33659" s="24"/>
      <c r="R33659"/>
      <c r="S33659"/>
      <c r="T33659"/>
      <c r="U33659"/>
      <c r="X33659" s="60"/>
    </row>
    <row r="33660" spans="7:24" ht="15" customHeight="1">
      <c r="G33660"/>
      <c r="I33660"/>
      <c r="N33660"/>
      <c r="O33660" s="24"/>
      <c r="P33660"/>
      <c r="Q33660" s="24"/>
      <c r="R33660"/>
      <c r="S33660"/>
      <c r="T33660"/>
      <c r="U33660"/>
      <c r="X33660" s="60"/>
    </row>
    <row r="33661" spans="7:24" ht="15" customHeight="1">
      <c r="G33661"/>
      <c r="I33661"/>
      <c r="N33661"/>
      <c r="O33661" s="24"/>
      <c r="P33661"/>
      <c r="Q33661" s="24"/>
      <c r="R33661"/>
      <c r="S33661"/>
      <c r="T33661"/>
      <c r="U33661"/>
      <c r="X33661" s="60"/>
    </row>
    <row r="33662" spans="7:24" ht="15" customHeight="1">
      <c r="G33662"/>
      <c r="I33662"/>
      <c r="N33662"/>
      <c r="O33662" s="24"/>
      <c r="P33662"/>
      <c r="Q33662" s="24"/>
      <c r="R33662"/>
      <c r="S33662"/>
      <c r="T33662"/>
      <c r="U33662"/>
      <c r="X33662" s="60"/>
    </row>
    <row r="33663" spans="7:24" ht="15" customHeight="1">
      <c r="G33663"/>
      <c r="I33663"/>
      <c r="N33663"/>
      <c r="O33663" s="24"/>
      <c r="P33663"/>
      <c r="Q33663" s="24"/>
      <c r="R33663"/>
      <c r="S33663"/>
      <c r="T33663"/>
      <c r="U33663"/>
      <c r="X33663" s="60"/>
    </row>
    <row r="33664" spans="7:24" ht="15" customHeight="1">
      <c r="G33664"/>
      <c r="I33664"/>
      <c r="N33664"/>
      <c r="O33664" s="24"/>
      <c r="P33664"/>
      <c r="Q33664" s="24"/>
      <c r="R33664"/>
      <c r="S33664"/>
      <c r="T33664"/>
      <c r="U33664"/>
      <c r="X33664" s="60"/>
    </row>
    <row r="33665" spans="7:24" ht="15" customHeight="1">
      <c r="G33665"/>
      <c r="I33665"/>
      <c r="N33665"/>
      <c r="O33665" s="24"/>
      <c r="P33665"/>
      <c r="Q33665" s="24"/>
      <c r="R33665"/>
      <c r="S33665"/>
      <c r="T33665"/>
      <c r="U33665"/>
      <c r="X33665" s="60"/>
    </row>
    <row r="33666" spans="7:24" ht="15" customHeight="1">
      <c r="G33666"/>
      <c r="I33666"/>
      <c r="N33666"/>
      <c r="O33666" s="24"/>
      <c r="P33666"/>
      <c r="Q33666" s="24"/>
      <c r="R33666"/>
      <c r="S33666"/>
      <c r="T33666"/>
      <c r="U33666"/>
      <c r="X33666" s="60"/>
    </row>
    <row r="33667" spans="7:24" ht="15" customHeight="1">
      <c r="G33667"/>
      <c r="I33667"/>
      <c r="N33667"/>
      <c r="O33667" s="24"/>
      <c r="P33667"/>
      <c r="Q33667" s="24"/>
      <c r="R33667"/>
      <c r="S33667"/>
      <c r="T33667"/>
      <c r="U33667"/>
      <c r="X33667" s="60"/>
    </row>
    <row r="33668" spans="7:24" ht="15" customHeight="1">
      <c r="G33668"/>
      <c r="I33668"/>
      <c r="N33668"/>
      <c r="O33668" s="24"/>
      <c r="P33668"/>
      <c r="Q33668" s="24"/>
      <c r="R33668"/>
      <c r="S33668"/>
      <c r="T33668"/>
      <c r="U33668"/>
      <c r="X33668" s="60"/>
    </row>
    <row r="33669" spans="7:24" ht="15" customHeight="1">
      <c r="G33669"/>
      <c r="I33669"/>
      <c r="N33669"/>
      <c r="O33669" s="24"/>
      <c r="P33669"/>
      <c r="Q33669" s="24"/>
      <c r="R33669"/>
      <c r="S33669"/>
      <c r="T33669"/>
      <c r="U33669"/>
      <c r="X33669" s="60"/>
    </row>
    <row r="33670" spans="7:24" ht="15" customHeight="1">
      <c r="G33670"/>
      <c r="I33670"/>
      <c r="N33670"/>
      <c r="O33670" s="24"/>
      <c r="P33670"/>
      <c r="Q33670" s="24"/>
      <c r="R33670"/>
      <c r="S33670"/>
      <c r="T33670"/>
      <c r="U33670"/>
      <c r="X33670" s="60"/>
    </row>
    <row r="33671" spans="7:24" ht="15" customHeight="1">
      <c r="G33671"/>
      <c r="I33671"/>
      <c r="N33671"/>
      <c r="O33671" s="24"/>
      <c r="P33671"/>
      <c r="Q33671" s="24"/>
      <c r="R33671"/>
      <c r="S33671"/>
      <c r="T33671"/>
      <c r="U33671"/>
      <c r="X33671" s="60"/>
    </row>
    <row r="33672" spans="7:24" ht="15" customHeight="1">
      <c r="G33672"/>
      <c r="I33672"/>
      <c r="N33672"/>
      <c r="O33672" s="24"/>
      <c r="P33672"/>
      <c r="Q33672" s="24"/>
      <c r="R33672"/>
      <c r="S33672"/>
      <c r="T33672"/>
      <c r="U33672"/>
      <c r="X33672" s="60"/>
    </row>
    <row r="33673" spans="7:24" ht="15" customHeight="1">
      <c r="G33673"/>
      <c r="I33673"/>
      <c r="N33673"/>
      <c r="O33673" s="24"/>
      <c r="P33673"/>
      <c r="Q33673" s="24"/>
      <c r="R33673"/>
      <c r="S33673"/>
      <c r="T33673"/>
      <c r="U33673"/>
      <c r="X33673" s="60"/>
    </row>
    <row r="33674" spans="7:24" ht="15" customHeight="1">
      <c r="G33674"/>
      <c r="I33674"/>
      <c r="N33674"/>
      <c r="O33674" s="24"/>
      <c r="P33674"/>
      <c r="Q33674" s="24"/>
      <c r="R33674"/>
      <c r="S33674"/>
      <c r="T33674"/>
      <c r="U33674"/>
      <c r="X33674" s="60"/>
    </row>
    <row r="33675" spans="7:24" ht="15" customHeight="1">
      <c r="G33675"/>
      <c r="I33675"/>
      <c r="N33675"/>
      <c r="O33675" s="24"/>
      <c r="P33675"/>
      <c r="Q33675" s="24"/>
      <c r="R33675"/>
      <c r="S33675"/>
      <c r="T33675"/>
      <c r="U33675"/>
      <c r="X33675" s="60"/>
    </row>
    <row r="33676" spans="7:24" ht="15" customHeight="1">
      <c r="G33676"/>
      <c r="I33676"/>
      <c r="N33676"/>
      <c r="O33676" s="24"/>
      <c r="P33676"/>
      <c r="Q33676" s="24"/>
      <c r="R33676"/>
      <c r="S33676"/>
      <c r="T33676"/>
      <c r="U33676"/>
      <c r="X33676" s="60"/>
    </row>
    <row r="33677" spans="7:24" ht="15" customHeight="1">
      <c r="G33677"/>
      <c r="I33677"/>
      <c r="N33677"/>
      <c r="O33677" s="24"/>
      <c r="P33677"/>
      <c r="Q33677" s="24"/>
      <c r="R33677"/>
      <c r="S33677"/>
      <c r="T33677"/>
      <c r="U33677"/>
      <c r="X33677" s="60"/>
    </row>
    <row r="33678" spans="7:24" ht="15" customHeight="1">
      <c r="G33678"/>
      <c r="I33678"/>
      <c r="N33678"/>
      <c r="O33678" s="24"/>
      <c r="P33678"/>
      <c r="Q33678" s="24"/>
      <c r="R33678"/>
      <c r="S33678"/>
      <c r="T33678"/>
      <c r="U33678"/>
      <c r="X33678" s="60"/>
    </row>
    <row r="33679" spans="7:24" ht="15" customHeight="1">
      <c r="G33679"/>
      <c r="I33679"/>
      <c r="N33679"/>
      <c r="O33679" s="24"/>
      <c r="P33679"/>
      <c r="Q33679" s="24"/>
      <c r="R33679"/>
      <c r="S33679"/>
      <c r="T33679"/>
      <c r="U33679"/>
      <c r="X33679" s="60"/>
    </row>
    <row r="33680" spans="7:24" ht="15" customHeight="1">
      <c r="G33680"/>
      <c r="I33680"/>
      <c r="N33680"/>
      <c r="O33680" s="24"/>
      <c r="P33680"/>
      <c r="Q33680" s="24"/>
      <c r="R33680"/>
      <c r="S33680"/>
      <c r="T33680"/>
      <c r="U33680"/>
      <c r="X33680" s="60"/>
    </row>
    <row r="33681" spans="7:24" ht="15" customHeight="1">
      <c r="G33681"/>
      <c r="I33681"/>
      <c r="N33681"/>
      <c r="O33681" s="24"/>
      <c r="P33681"/>
      <c r="Q33681" s="24"/>
      <c r="R33681"/>
      <c r="S33681"/>
      <c r="T33681"/>
      <c r="U33681"/>
      <c r="X33681" s="60"/>
    </row>
    <row r="33682" spans="7:24" ht="15" customHeight="1">
      <c r="G33682"/>
      <c r="I33682"/>
      <c r="N33682"/>
      <c r="O33682" s="24"/>
      <c r="P33682"/>
      <c r="Q33682" s="24"/>
      <c r="R33682"/>
      <c r="S33682"/>
      <c r="T33682"/>
      <c r="U33682"/>
      <c r="X33682" s="60"/>
    </row>
    <row r="33683" spans="7:24" ht="15" customHeight="1">
      <c r="G33683"/>
      <c r="I33683"/>
      <c r="N33683"/>
      <c r="O33683" s="24"/>
      <c r="P33683"/>
      <c r="Q33683" s="24"/>
      <c r="R33683"/>
      <c r="S33683"/>
      <c r="T33683"/>
      <c r="U33683"/>
      <c r="X33683" s="60"/>
    </row>
    <row r="33684" spans="7:24" ht="15" customHeight="1">
      <c r="G33684"/>
      <c r="I33684"/>
      <c r="N33684"/>
      <c r="O33684" s="24"/>
      <c r="P33684"/>
      <c r="Q33684" s="24"/>
      <c r="R33684"/>
      <c r="S33684"/>
      <c r="T33684"/>
      <c r="U33684"/>
      <c r="X33684" s="60"/>
    </row>
    <row r="33685" spans="7:24" ht="15" customHeight="1">
      <c r="G33685"/>
      <c r="I33685"/>
      <c r="N33685"/>
      <c r="O33685" s="24"/>
      <c r="P33685"/>
      <c r="Q33685" s="24"/>
      <c r="R33685"/>
      <c r="S33685"/>
      <c r="T33685"/>
      <c r="U33685"/>
      <c r="X33685" s="60"/>
    </row>
    <row r="33686" spans="7:24" ht="15" customHeight="1">
      <c r="G33686"/>
      <c r="I33686"/>
      <c r="N33686"/>
      <c r="O33686" s="24"/>
      <c r="P33686"/>
      <c r="Q33686" s="24"/>
      <c r="R33686"/>
      <c r="S33686"/>
      <c r="T33686"/>
      <c r="U33686"/>
      <c r="X33686" s="60"/>
    </row>
    <row r="33687" spans="7:24" ht="15" customHeight="1">
      <c r="G33687"/>
      <c r="I33687"/>
      <c r="N33687"/>
      <c r="O33687" s="24"/>
      <c r="P33687"/>
      <c r="Q33687" s="24"/>
      <c r="R33687"/>
      <c r="S33687"/>
      <c r="T33687"/>
      <c r="U33687"/>
      <c r="X33687" s="60"/>
    </row>
    <row r="33688" spans="7:24" ht="15" customHeight="1">
      <c r="G33688"/>
      <c r="I33688"/>
      <c r="N33688"/>
      <c r="O33688" s="24"/>
      <c r="P33688"/>
      <c r="Q33688" s="24"/>
      <c r="R33688"/>
      <c r="S33688"/>
      <c r="T33688"/>
      <c r="U33688"/>
      <c r="X33688" s="60"/>
    </row>
    <row r="33689" spans="7:24" ht="15" customHeight="1">
      <c r="G33689"/>
      <c r="I33689"/>
      <c r="N33689"/>
      <c r="O33689" s="24"/>
      <c r="P33689"/>
      <c r="Q33689" s="24"/>
      <c r="R33689"/>
      <c r="S33689"/>
      <c r="T33689"/>
      <c r="U33689"/>
      <c r="X33689" s="60"/>
    </row>
    <row r="33690" spans="7:24" ht="15" customHeight="1">
      <c r="G33690"/>
      <c r="I33690"/>
      <c r="N33690"/>
      <c r="O33690" s="24"/>
      <c r="P33690"/>
      <c r="Q33690" s="24"/>
      <c r="R33690"/>
      <c r="S33690"/>
      <c r="T33690"/>
      <c r="U33690"/>
      <c r="X33690" s="60"/>
    </row>
    <row r="33691" spans="7:24" ht="15" customHeight="1">
      <c r="G33691"/>
      <c r="I33691"/>
      <c r="N33691"/>
      <c r="O33691" s="24"/>
      <c r="P33691"/>
      <c r="Q33691" s="24"/>
      <c r="R33691"/>
      <c r="S33691"/>
      <c r="T33691"/>
      <c r="U33691"/>
      <c r="X33691" s="60"/>
    </row>
    <row r="33692" spans="7:24" ht="15" customHeight="1">
      <c r="G33692"/>
      <c r="I33692"/>
      <c r="N33692"/>
      <c r="O33692" s="24"/>
      <c r="P33692"/>
      <c r="Q33692" s="24"/>
      <c r="R33692"/>
      <c r="S33692"/>
      <c r="T33692"/>
      <c r="U33692"/>
      <c r="X33692" s="60"/>
    </row>
    <row r="33693" spans="7:24" ht="15" customHeight="1">
      <c r="G33693"/>
      <c r="I33693"/>
      <c r="N33693"/>
      <c r="O33693" s="24"/>
      <c r="P33693"/>
      <c r="Q33693" s="24"/>
      <c r="R33693"/>
      <c r="S33693"/>
      <c r="T33693"/>
      <c r="U33693"/>
      <c r="X33693" s="60"/>
    </row>
    <row r="33694" spans="7:24" ht="15" customHeight="1">
      <c r="G33694"/>
      <c r="I33694"/>
      <c r="N33694"/>
      <c r="O33694" s="24"/>
      <c r="P33694"/>
      <c r="Q33694" s="24"/>
      <c r="R33694"/>
      <c r="S33694"/>
      <c r="T33694"/>
      <c r="U33694"/>
      <c r="X33694" s="60"/>
    </row>
    <row r="33695" spans="7:24" ht="15" customHeight="1">
      <c r="G33695"/>
      <c r="I33695"/>
      <c r="N33695"/>
      <c r="O33695" s="24"/>
      <c r="P33695"/>
      <c r="Q33695" s="24"/>
      <c r="R33695"/>
      <c r="S33695"/>
      <c r="T33695"/>
      <c r="U33695"/>
      <c r="X33695" s="60"/>
    </row>
    <row r="33696" spans="7:24" ht="15" customHeight="1">
      <c r="G33696"/>
      <c r="I33696"/>
      <c r="N33696"/>
      <c r="O33696" s="24"/>
      <c r="P33696"/>
      <c r="Q33696" s="24"/>
      <c r="R33696"/>
      <c r="S33696"/>
      <c r="T33696"/>
      <c r="U33696"/>
      <c r="X33696" s="60"/>
    </row>
    <row r="33697" spans="7:24" ht="15" customHeight="1">
      <c r="G33697"/>
      <c r="I33697"/>
      <c r="N33697"/>
      <c r="O33697" s="24"/>
      <c r="P33697"/>
      <c r="Q33697" s="24"/>
      <c r="R33697"/>
      <c r="S33697"/>
      <c r="T33697"/>
      <c r="U33697"/>
      <c r="X33697" s="60"/>
    </row>
    <row r="33698" spans="7:24" ht="15" customHeight="1">
      <c r="G33698"/>
      <c r="I33698"/>
      <c r="N33698"/>
      <c r="O33698" s="24"/>
      <c r="P33698"/>
      <c r="Q33698" s="24"/>
      <c r="R33698"/>
      <c r="S33698"/>
      <c r="T33698"/>
      <c r="U33698"/>
      <c r="X33698" s="60"/>
    </row>
    <row r="33699" spans="7:24" ht="15" customHeight="1">
      <c r="G33699"/>
      <c r="I33699"/>
      <c r="N33699"/>
      <c r="O33699" s="24"/>
      <c r="P33699"/>
      <c r="Q33699" s="24"/>
      <c r="R33699"/>
      <c r="S33699"/>
      <c r="T33699"/>
      <c r="U33699"/>
      <c r="X33699" s="60"/>
    </row>
    <row r="33700" spans="7:24" ht="15" customHeight="1">
      <c r="G33700"/>
      <c r="I33700"/>
      <c r="N33700"/>
      <c r="O33700" s="24"/>
      <c r="P33700"/>
      <c r="Q33700" s="24"/>
      <c r="R33700"/>
      <c r="S33700"/>
      <c r="T33700"/>
      <c r="U33700"/>
      <c r="X33700" s="60"/>
    </row>
    <row r="33701" spans="7:24" ht="15" customHeight="1">
      <c r="G33701"/>
      <c r="I33701"/>
      <c r="N33701"/>
      <c r="O33701" s="24"/>
      <c r="P33701"/>
      <c r="Q33701" s="24"/>
      <c r="R33701"/>
      <c r="S33701"/>
      <c r="T33701"/>
      <c r="U33701"/>
      <c r="X33701" s="60"/>
    </row>
    <row r="33702" spans="7:24" ht="15" customHeight="1">
      <c r="G33702"/>
      <c r="I33702"/>
      <c r="N33702"/>
      <c r="O33702" s="24"/>
      <c r="P33702"/>
      <c r="Q33702" s="24"/>
      <c r="R33702"/>
      <c r="S33702"/>
      <c r="T33702"/>
      <c r="U33702"/>
      <c r="X33702" s="60"/>
    </row>
    <row r="33703" spans="7:24" ht="15" customHeight="1">
      <c r="G33703"/>
      <c r="I33703"/>
      <c r="N33703"/>
      <c r="O33703" s="24"/>
      <c r="P33703"/>
      <c r="Q33703" s="24"/>
      <c r="R33703"/>
      <c r="S33703"/>
      <c r="T33703"/>
      <c r="U33703"/>
      <c r="X33703" s="60"/>
    </row>
    <row r="33704" spans="7:24" ht="15" customHeight="1">
      <c r="G33704"/>
      <c r="I33704"/>
      <c r="N33704"/>
      <c r="O33704" s="24"/>
      <c r="P33704"/>
      <c r="Q33704" s="24"/>
      <c r="R33704"/>
      <c r="S33704"/>
      <c r="T33704"/>
      <c r="U33704"/>
      <c r="X33704" s="60"/>
    </row>
    <row r="33705" spans="7:24" ht="15" customHeight="1">
      <c r="G33705"/>
      <c r="I33705"/>
      <c r="N33705"/>
      <c r="O33705" s="24"/>
      <c r="P33705"/>
      <c r="Q33705" s="24"/>
      <c r="R33705"/>
      <c r="S33705"/>
      <c r="T33705"/>
      <c r="U33705"/>
      <c r="X33705" s="60"/>
    </row>
    <row r="33706" spans="7:24" ht="15" customHeight="1">
      <c r="G33706"/>
      <c r="I33706"/>
      <c r="N33706"/>
      <c r="O33706" s="24"/>
      <c r="P33706"/>
      <c r="Q33706" s="24"/>
      <c r="R33706"/>
      <c r="S33706"/>
      <c r="T33706"/>
      <c r="U33706"/>
      <c r="X33706" s="60"/>
    </row>
    <row r="33707" spans="7:24" ht="15" customHeight="1">
      <c r="G33707"/>
      <c r="I33707"/>
      <c r="N33707"/>
      <c r="O33707" s="24"/>
      <c r="P33707"/>
      <c r="Q33707" s="24"/>
      <c r="R33707"/>
      <c r="S33707"/>
      <c r="T33707"/>
      <c r="U33707"/>
      <c r="X33707" s="60"/>
    </row>
    <row r="33708" spans="7:24" ht="15" customHeight="1">
      <c r="G33708"/>
      <c r="I33708"/>
      <c r="N33708"/>
      <c r="O33708" s="24"/>
      <c r="P33708"/>
      <c r="Q33708" s="24"/>
      <c r="R33708"/>
      <c r="S33708"/>
      <c r="T33708"/>
      <c r="U33708"/>
      <c r="X33708" s="60"/>
    </row>
    <row r="33709" spans="7:24" ht="15" customHeight="1">
      <c r="G33709"/>
      <c r="I33709"/>
      <c r="N33709"/>
      <c r="O33709" s="24"/>
      <c r="P33709"/>
      <c r="Q33709" s="24"/>
      <c r="R33709"/>
      <c r="S33709"/>
      <c r="T33709"/>
      <c r="U33709"/>
      <c r="X33709" s="60"/>
    </row>
    <row r="33710" spans="7:24" ht="15" customHeight="1">
      <c r="G33710"/>
      <c r="I33710"/>
      <c r="N33710"/>
      <c r="O33710" s="24"/>
      <c r="P33710"/>
      <c r="Q33710" s="24"/>
      <c r="R33710"/>
      <c r="S33710"/>
      <c r="T33710"/>
      <c r="U33710"/>
      <c r="X33710" s="60"/>
    </row>
    <row r="33711" spans="7:24" ht="15" customHeight="1">
      <c r="G33711"/>
      <c r="I33711"/>
      <c r="N33711"/>
      <c r="O33711" s="24"/>
      <c r="P33711"/>
      <c r="Q33711" s="24"/>
      <c r="R33711"/>
      <c r="S33711"/>
      <c r="T33711"/>
      <c r="U33711"/>
      <c r="X33711" s="60"/>
    </row>
    <row r="33712" spans="7:24" ht="15" customHeight="1">
      <c r="G33712"/>
      <c r="I33712"/>
      <c r="N33712"/>
      <c r="O33712" s="24"/>
      <c r="P33712"/>
      <c r="Q33712" s="24"/>
      <c r="R33712"/>
      <c r="S33712"/>
      <c r="T33712"/>
      <c r="U33712"/>
      <c r="X33712" s="60"/>
    </row>
    <row r="33713" spans="7:24" ht="15" customHeight="1">
      <c r="G33713"/>
      <c r="I33713"/>
      <c r="N33713"/>
      <c r="O33713" s="24"/>
      <c r="P33713"/>
      <c r="Q33713" s="24"/>
      <c r="R33713"/>
      <c r="S33713"/>
      <c r="T33713"/>
      <c r="U33713"/>
      <c r="X33713" s="60"/>
    </row>
    <row r="33714" spans="7:24" ht="15" customHeight="1">
      <c r="G33714"/>
      <c r="I33714"/>
      <c r="N33714"/>
      <c r="O33714" s="24"/>
      <c r="P33714"/>
      <c r="Q33714" s="24"/>
      <c r="R33714"/>
      <c r="S33714"/>
      <c r="T33714"/>
      <c r="U33714"/>
      <c r="X33714" s="60"/>
    </row>
    <row r="33715" spans="7:24" ht="15" customHeight="1">
      <c r="G33715"/>
      <c r="I33715"/>
      <c r="N33715"/>
      <c r="O33715" s="24"/>
      <c r="P33715"/>
      <c r="Q33715" s="24"/>
      <c r="R33715"/>
      <c r="S33715"/>
      <c r="T33715"/>
      <c r="U33715"/>
      <c r="X33715" s="60"/>
    </row>
    <row r="33716" spans="7:24" ht="15" customHeight="1">
      <c r="G33716"/>
      <c r="I33716"/>
      <c r="N33716"/>
      <c r="O33716" s="24"/>
      <c r="P33716"/>
      <c r="Q33716" s="24"/>
      <c r="R33716"/>
      <c r="S33716"/>
      <c r="T33716"/>
      <c r="U33716"/>
      <c r="X33716" s="60"/>
    </row>
    <row r="33717" spans="7:24" ht="15" customHeight="1">
      <c r="G33717"/>
      <c r="I33717"/>
      <c r="N33717"/>
      <c r="O33717" s="24"/>
      <c r="P33717"/>
      <c r="Q33717" s="24"/>
      <c r="R33717"/>
      <c r="S33717"/>
      <c r="T33717"/>
      <c r="U33717"/>
      <c r="X33717" s="60"/>
    </row>
    <row r="33718" spans="7:24" ht="15" customHeight="1">
      <c r="G33718"/>
      <c r="I33718"/>
      <c r="N33718"/>
      <c r="O33718" s="24"/>
      <c r="P33718"/>
      <c r="Q33718" s="24"/>
      <c r="R33718"/>
      <c r="S33718"/>
      <c r="T33718"/>
      <c r="U33718"/>
      <c r="X33718" s="60"/>
    </row>
    <row r="33719" spans="7:24" ht="15" customHeight="1">
      <c r="G33719"/>
      <c r="I33719"/>
      <c r="N33719"/>
      <c r="O33719" s="24"/>
      <c r="P33719"/>
      <c r="Q33719" s="24"/>
      <c r="R33719"/>
      <c r="S33719"/>
      <c r="T33719"/>
      <c r="U33719"/>
      <c r="X33719" s="60"/>
    </row>
    <row r="33720" spans="7:24" ht="15" customHeight="1">
      <c r="G33720"/>
      <c r="I33720"/>
      <c r="N33720"/>
      <c r="O33720" s="24"/>
      <c r="P33720"/>
      <c r="Q33720" s="24"/>
      <c r="R33720"/>
      <c r="S33720"/>
      <c r="T33720"/>
      <c r="U33720"/>
      <c r="X33720" s="60"/>
    </row>
    <row r="33721" spans="7:24" ht="15" customHeight="1">
      <c r="G33721"/>
      <c r="I33721"/>
      <c r="N33721"/>
      <c r="O33721" s="24"/>
      <c r="P33721"/>
      <c r="Q33721" s="24"/>
      <c r="R33721"/>
      <c r="S33721"/>
      <c r="T33721"/>
      <c r="U33721"/>
      <c r="X33721" s="60"/>
    </row>
    <row r="33722" spans="7:24" ht="15" customHeight="1">
      <c r="G33722"/>
      <c r="I33722"/>
      <c r="N33722"/>
      <c r="O33722" s="24"/>
      <c r="P33722"/>
      <c r="Q33722" s="24"/>
      <c r="R33722"/>
      <c r="S33722"/>
      <c r="T33722"/>
      <c r="U33722"/>
      <c r="X33722" s="60"/>
    </row>
    <row r="33723" spans="7:24" ht="15" customHeight="1">
      <c r="G33723"/>
      <c r="I33723"/>
      <c r="N33723"/>
      <c r="O33723" s="24"/>
      <c r="P33723"/>
      <c r="Q33723" s="24"/>
      <c r="R33723"/>
      <c r="S33723"/>
      <c r="T33723"/>
      <c r="U33723"/>
      <c r="X33723" s="60"/>
    </row>
    <row r="33724" spans="7:24" ht="15" customHeight="1">
      <c r="G33724"/>
      <c r="I33724"/>
      <c r="N33724"/>
      <c r="O33724" s="24"/>
      <c r="P33724"/>
      <c r="Q33724" s="24"/>
      <c r="R33724"/>
      <c r="S33724"/>
      <c r="T33724"/>
      <c r="U33724"/>
      <c r="X33724" s="60"/>
    </row>
    <row r="33725" spans="7:24" ht="15" customHeight="1">
      <c r="G33725"/>
      <c r="I33725"/>
      <c r="N33725"/>
      <c r="O33725" s="24"/>
      <c r="P33725"/>
      <c r="Q33725" s="24"/>
      <c r="R33725"/>
      <c r="S33725"/>
      <c r="T33725"/>
      <c r="U33725"/>
      <c r="X33725" s="60"/>
    </row>
    <row r="33726" spans="7:24" ht="15" customHeight="1">
      <c r="G33726"/>
      <c r="I33726"/>
      <c r="N33726"/>
      <c r="O33726" s="24"/>
      <c r="P33726"/>
      <c r="Q33726" s="24"/>
      <c r="R33726"/>
      <c r="S33726"/>
      <c r="T33726"/>
      <c r="U33726"/>
      <c r="X33726" s="60"/>
    </row>
    <row r="33727" spans="7:24" ht="15" customHeight="1">
      <c r="G33727"/>
      <c r="I33727"/>
      <c r="N33727"/>
      <c r="O33727" s="24"/>
      <c r="P33727"/>
      <c r="Q33727" s="24"/>
      <c r="R33727"/>
      <c r="S33727"/>
      <c r="T33727"/>
      <c r="U33727"/>
      <c r="X33727" s="60"/>
    </row>
    <row r="33728" spans="7:24" ht="15" customHeight="1">
      <c r="G33728"/>
      <c r="I33728"/>
      <c r="N33728"/>
      <c r="O33728" s="24"/>
      <c r="P33728"/>
      <c r="Q33728" s="24"/>
      <c r="R33728"/>
      <c r="S33728"/>
      <c r="T33728"/>
      <c r="U33728"/>
      <c r="X33728" s="60"/>
    </row>
    <row r="33729" spans="7:24" ht="15" customHeight="1">
      <c r="G33729"/>
      <c r="I33729"/>
      <c r="N33729"/>
      <c r="O33729" s="24"/>
      <c r="P33729"/>
      <c r="Q33729" s="24"/>
      <c r="R33729"/>
      <c r="S33729"/>
      <c r="T33729"/>
      <c r="U33729"/>
      <c r="X33729" s="60"/>
    </row>
    <row r="33730" spans="7:24" ht="15" customHeight="1">
      <c r="G33730"/>
      <c r="I33730"/>
      <c r="N33730"/>
      <c r="O33730" s="24"/>
      <c r="P33730"/>
      <c r="Q33730" s="24"/>
      <c r="R33730"/>
      <c r="S33730"/>
      <c r="T33730"/>
      <c r="U33730"/>
      <c r="X33730" s="60"/>
    </row>
    <row r="33731" spans="7:24" ht="15" customHeight="1">
      <c r="G33731"/>
      <c r="I33731"/>
      <c r="N33731"/>
      <c r="O33731" s="24"/>
      <c r="P33731"/>
      <c r="Q33731" s="24"/>
      <c r="R33731"/>
      <c r="S33731"/>
      <c r="T33731"/>
      <c r="U33731"/>
      <c r="X33731" s="60"/>
    </row>
    <row r="33732" spans="7:24" ht="15" customHeight="1">
      <c r="G33732"/>
      <c r="I33732"/>
      <c r="N33732"/>
      <c r="O33732" s="24"/>
      <c r="P33732"/>
      <c r="Q33732" s="24"/>
      <c r="R33732"/>
      <c r="S33732"/>
      <c r="T33732"/>
      <c r="U33732"/>
      <c r="X33732" s="60"/>
    </row>
    <row r="33733" spans="7:24" ht="15" customHeight="1">
      <c r="G33733"/>
      <c r="I33733"/>
      <c r="N33733"/>
      <c r="O33733" s="24"/>
      <c r="P33733"/>
      <c r="Q33733" s="24"/>
      <c r="R33733"/>
      <c r="S33733"/>
      <c r="T33733"/>
      <c r="U33733"/>
      <c r="X33733" s="60"/>
    </row>
    <row r="33734" spans="7:24" ht="15" customHeight="1">
      <c r="G33734"/>
      <c r="I33734"/>
      <c r="N33734"/>
      <c r="O33734" s="24"/>
      <c r="P33734"/>
      <c r="Q33734" s="24"/>
      <c r="R33734"/>
      <c r="S33734"/>
      <c r="T33734"/>
      <c r="U33734"/>
      <c r="X33734" s="60"/>
    </row>
    <row r="33735" spans="7:24" ht="15" customHeight="1">
      <c r="G33735"/>
      <c r="I33735"/>
      <c r="N33735"/>
      <c r="O33735" s="24"/>
      <c r="P33735"/>
      <c r="Q33735" s="24"/>
      <c r="R33735"/>
      <c r="S33735"/>
      <c r="T33735"/>
      <c r="U33735"/>
      <c r="X33735" s="60"/>
    </row>
    <row r="33736" spans="7:24" ht="15" customHeight="1">
      <c r="G33736"/>
      <c r="I33736"/>
      <c r="N33736"/>
      <c r="O33736" s="24"/>
      <c r="P33736"/>
      <c r="Q33736" s="24"/>
      <c r="R33736"/>
      <c r="S33736"/>
      <c r="T33736"/>
      <c r="U33736"/>
      <c r="X33736" s="60"/>
    </row>
    <row r="33737" spans="7:24" ht="15" customHeight="1">
      <c r="G33737"/>
      <c r="I33737"/>
      <c r="N33737"/>
      <c r="O33737" s="24"/>
      <c r="P33737"/>
      <c r="Q33737" s="24"/>
      <c r="R33737"/>
      <c r="S33737"/>
      <c r="T33737"/>
      <c r="U33737"/>
      <c r="X33737" s="60"/>
    </row>
    <row r="33738" spans="7:24" ht="15" customHeight="1">
      <c r="G33738"/>
      <c r="I33738"/>
      <c r="N33738"/>
      <c r="O33738" s="24"/>
      <c r="P33738"/>
      <c r="Q33738" s="24"/>
      <c r="R33738"/>
      <c r="S33738"/>
      <c r="T33738"/>
      <c r="U33738"/>
      <c r="X33738" s="60"/>
    </row>
    <row r="33739" spans="7:24" ht="15" customHeight="1">
      <c r="G33739"/>
      <c r="I33739"/>
      <c r="N33739"/>
      <c r="O33739" s="24"/>
      <c r="P33739"/>
      <c r="Q33739" s="24"/>
      <c r="R33739"/>
      <c r="S33739"/>
      <c r="T33739"/>
      <c r="U33739"/>
      <c r="X33739" s="60"/>
    </row>
    <row r="33740" spans="7:24" ht="15" customHeight="1">
      <c r="G33740"/>
      <c r="I33740"/>
      <c r="N33740"/>
      <c r="O33740" s="24"/>
      <c r="P33740"/>
      <c r="Q33740" s="24"/>
      <c r="R33740"/>
      <c r="S33740"/>
      <c r="T33740"/>
      <c r="U33740"/>
      <c r="X33740" s="60"/>
    </row>
    <row r="33741" spans="7:24" ht="15" customHeight="1">
      <c r="G33741"/>
      <c r="I33741"/>
      <c r="N33741"/>
      <c r="O33741" s="24"/>
      <c r="P33741"/>
      <c r="Q33741" s="24"/>
      <c r="R33741"/>
      <c r="S33741"/>
      <c r="T33741"/>
      <c r="U33741"/>
      <c r="X33741" s="60"/>
    </row>
    <row r="33742" spans="7:24" ht="15" customHeight="1">
      <c r="G33742"/>
      <c r="I33742"/>
      <c r="N33742"/>
      <c r="O33742" s="24"/>
      <c r="P33742"/>
      <c r="Q33742" s="24"/>
      <c r="R33742"/>
      <c r="S33742"/>
      <c r="T33742"/>
      <c r="U33742"/>
      <c r="X33742" s="60"/>
    </row>
    <row r="33743" spans="7:24" ht="15" customHeight="1">
      <c r="G33743"/>
      <c r="I33743"/>
      <c r="N33743"/>
      <c r="O33743" s="24"/>
      <c r="P33743"/>
      <c r="Q33743" s="24"/>
      <c r="R33743"/>
      <c r="S33743"/>
      <c r="T33743"/>
      <c r="U33743"/>
      <c r="X33743" s="60"/>
    </row>
    <row r="33744" spans="7:24" ht="15" customHeight="1">
      <c r="G33744"/>
      <c r="I33744"/>
      <c r="N33744"/>
      <c r="O33744" s="24"/>
      <c r="P33744"/>
      <c r="Q33744" s="24"/>
      <c r="R33744"/>
      <c r="S33744"/>
      <c r="T33744"/>
      <c r="U33744"/>
      <c r="X33744" s="60"/>
    </row>
    <row r="33745" spans="7:24" ht="15" customHeight="1">
      <c r="G33745"/>
      <c r="I33745"/>
      <c r="N33745"/>
      <c r="O33745" s="24"/>
      <c r="P33745"/>
      <c r="Q33745" s="24"/>
      <c r="R33745"/>
      <c r="S33745"/>
      <c r="T33745"/>
      <c r="U33745"/>
      <c r="X33745" s="60"/>
    </row>
    <row r="33746" spans="7:24" ht="15" customHeight="1">
      <c r="G33746"/>
      <c r="I33746"/>
      <c r="N33746"/>
      <c r="O33746" s="24"/>
      <c r="P33746"/>
      <c r="Q33746" s="24"/>
      <c r="R33746"/>
      <c r="S33746"/>
      <c r="T33746"/>
      <c r="U33746"/>
      <c r="X33746" s="60"/>
    </row>
    <row r="33747" spans="7:24" ht="15" customHeight="1">
      <c r="G33747"/>
      <c r="I33747"/>
      <c r="N33747"/>
      <c r="O33747" s="24"/>
      <c r="P33747"/>
      <c r="Q33747" s="24"/>
      <c r="R33747"/>
      <c r="S33747"/>
      <c r="T33747"/>
      <c r="U33747"/>
      <c r="X33747" s="60"/>
    </row>
    <row r="33748" spans="7:24" ht="15" customHeight="1">
      <c r="G33748"/>
      <c r="I33748"/>
      <c r="N33748"/>
      <c r="O33748" s="24"/>
      <c r="P33748"/>
      <c r="Q33748" s="24"/>
      <c r="R33748"/>
      <c r="S33748"/>
      <c r="T33748"/>
      <c r="U33748"/>
      <c r="X33748" s="60"/>
    </row>
    <row r="33749" spans="7:24" ht="15" customHeight="1">
      <c r="G33749"/>
      <c r="I33749"/>
      <c r="N33749"/>
      <c r="O33749" s="24"/>
      <c r="P33749"/>
      <c r="Q33749" s="24"/>
      <c r="R33749"/>
      <c r="S33749"/>
      <c r="T33749"/>
      <c r="U33749"/>
      <c r="X33749" s="60"/>
    </row>
    <row r="33750" spans="7:24" ht="15" customHeight="1">
      <c r="G33750"/>
      <c r="I33750"/>
      <c r="N33750"/>
      <c r="O33750" s="24"/>
      <c r="P33750"/>
      <c r="Q33750" s="24"/>
      <c r="R33750"/>
      <c r="S33750"/>
      <c r="T33750"/>
      <c r="U33750"/>
      <c r="X33750" s="60"/>
    </row>
    <row r="33751" spans="7:24" ht="15" customHeight="1">
      <c r="G33751"/>
      <c r="I33751"/>
      <c r="N33751"/>
      <c r="O33751" s="24"/>
      <c r="P33751"/>
      <c r="Q33751" s="24"/>
      <c r="R33751"/>
      <c r="S33751"/>
      <c r="T33751"/>
      <c r="U33751"/>
      <c r="X33751" s="60"/>
    </row>
    <row r="33752" spans="7:24" ht="15" customHeight="1">
      <c r="G33752"/>
      <c r="I33752"/>
      <c r="N33752"/>
      <c r="O33752" s="24"/>
      <c r="P33752"/>
      <c r="Q33752" s="24"/>
      <c r="R33752"/>
      <c r="S33752"/>
      <c r="T33752"/>
      <c r="U33752"/>
      <c r="X33752" s="60"/>
    </row>
    <row r="33753" spans="7:24" ht="15" customHeight="1">
      <c r="G33753"/>
      <c r="I33753"/>
      <c r="N33753"/>
      <c r="O33753" s="24"/>
      <c r="P33753"/>
      <c r="Q33753" s="24"/>
      <c r="R33753"/>
      <c r="S33753"/>
      <c r="T33753"/>
      <c r="U33753"/>
      <c r="X33753" s="60"/>
    </row>
    <row r="33754" spans="7:24" ht="15" customHeight="1">
      <c r="G33754"/>
      <c r="I33754"/>
      <c r="N33754"/>
      <c r="O33754" s="24"/>
      <c r="P33754"/>
      <c r="Q33754" s="24"/>
      <c r="R33754"/>
      <c r="S33754"/>
      <c r="T33754"/>
      <c r="U33754"/>
      <c r="X33754" s="60"/>
    </row>
    <row r="33755" spans="7:24" ht="15" customHeight="1">
      <c r="G33755"/>
      <c r="I33755"/>
      <c r="N33755"/>
      <c r="O33755" s="24"/>
      <c r="P33755"/>
      <c r="Q33755" s="24"/>
      <c r="R33755"/>
      <c r="S33755"/>
      <c r="T33755"/>
      <c r="U33755"/>
      <c r="X33755" s="60"/>
    </row>
    <row r="33756" spans="7:24" ht="15" customHeight="1">
      <c r="G33756"/>
      <c r="I33756"/>
      <c r="N33756"/>
      <c r="O33756" s="24"/>
      <c r="P33756"/>
      <c r="Q33756" s="24"/>
      <c r="R33756"/>
      <c r="S33756"/>
      <c r="T33756"/>
      <c r="U33756"/>
      <c r="X33756" s="60"/>
    </row>
    <row r="33757" spans="7:24" ht="15" customHeight="1">
      <c r="G33757"/>
      <c r="I33757"/>
      <c r="N33757"/>
      <c r="O33757" s="24"/>
      <c r="P33757"/>
      <c r="Q33757" s="24"/>
      <c r="R33757"/>
      <c r="S33757"/>
      <c r="T33757"/>
      <c r="U33757"/>
      <c r="X33757" s="60"/>
    </row>
    <row r="33758" spans="7:24" ht="15" customHeight="1">
      <c r="G33758"/>
      <c r="I33758"/>
      <c r="N33758"/>
      <c r="O33758" s="24"/>
      <c r="P33758"/>
      <c r="Q33758" s="24"/>
      <c r="R33758"/>
      <c r="S33758"/>
      <c r="T33758"/>
      <c r="U33758"/>
      <c r="X33758" s="60"/>
    </row>
    <row r="33759" spans="7:24" ht="15" customHeight="1">
      <c r="G33759"/>
      <c r="I33759"/>
      <c r="N33759"/>
      <c r="O33759" s="24"/>
      <c r="P33759"/>
      <c r="Q33759" s="24"/>
      <c r="R33759"/>
      <c r="S33759"/>
      <c r="T33759"/>
      <c r="U33759"/>
      <c r="X33759" s="60"/>
    </row>
    <row r="33760" spans="7:24" ht="15" customHeight="1">
      <c r="G33760"/>
      <c r="I33760"/>
      <c r="N33760"/>
      <c r="O33760" s="24"/>
      <c r="P33760"/>
      <c r="Q33760" s="24"/>
      <c r="R33760"/>
      <c r="S33760"/>
      <c r="T33760"/>
      <c r="U33760"/>
      <c r="X33760" s="60"/>
    </row>
    <row r="33761" spans="7:24" ht="15" customHeight="1">
      <c r="G33761"/>
      <c r="I33761"/>
      <c r="N33761"/>
      <c r="O33761" s="24"/>
      <c r="P33761"/>
      <c r="Q33761" s="24"/>
      <c r="R33761"/>
      <c r="S33761"/>
      <c r="T33761"/>
      <c r="U33761"/>
      <c r="X33761" s="60"/>
    </row>
    <row r="33762" spans="7:24" ht="15" customHeight="1">
      <c r="G33762"/>
      <c r="I33762"/>
      <c r="N33762"/>
      <c r="O33762" s="24"/>
      <c r="P33762"/>
      <c r="Q33762" s="24"/>
      <c r="R33762"/>
      <c r="S33762"/>
      <c r="T33762"/>
      <c r="U33762"/>
      <c r="X33762" s="60"/>
    </row>
    <row r="33763" spans="7:24" ht="15" customHeight="1">
      <c r="G33763"/>
      <c r="I33763"/>
      <c r="N33763"/>
      <c r="O33763" s="24"/>
      <c r="P33763"/>
      <c r="Q33763" s="24"/>
      <c r="R33763"/>
      <c r="S33763"/>
      <c r="T33763"/>
      <c r="U33763"/>
      <c r="X33763" s="60"/>
    </row>
    <row r="33764" spans="7:24" ht="15" customHeight="1">
      <c r="G33764"/>
      <c r="I33764"/>
      <c r="N33764"/>
      <c r="O33764" s="24"/>
      <c r="P33764"/>
      <c r="Q33764" s="24"/>
      <c r="R33764"/>
      <c r="S33764"/>
      <c r="T33764"/>
      <c r="U33764"/>
      <c r="X33764" s="60"/>
    </row>
    <row r="33765" spans="7:24" ht="15" customHeight="1">
      <c r="G33765"/>
      <c r="I33765"/>
      <c r="N33765"/>
      <c r="O33765" s="24"/>
      <c r="P33765"/>
      <c r="Q33765" s="24"/>
      <c r="R33765"/>
      <c r="S33765"/>
      <c r="T33765"/>
      <c r="U33765"/>
      <c r="X33765" s="60"/>
    </row>
    <row r="33766" spans="7:24" ht="15" customHeight="1">
      <c r="G33766"/>
      <c r="I33766"/>
      <c r="N33766"/>
      <c r="O33766" s="24"/>
      <c r="P33766"/>
      <c r="Q33766" s="24"/>
      <c r="R33766"/>
      <c r="S33766"/>
      <c r="T33766"/>
      <c r="U33766"/>
      <c r="X33766" s="60"/>
    </row>
    <row r="33767" spans="7:24" ht="15" customHeight="1">
      <c r="G33767"/>
      <c r="I33767"/>
      <c r="N33767"/>
      <c r="O33767" s="24"/>
      <c r="P33767"/>
      <c r="Q33767" s="24"/>
      <c r="R33767"/>
      <c r="S33767"/>
      <c r="T33767"/>
      <c r="U33767"/>
      <c r="X33767" s="60"/>
    </row>
    <row r="33768" spans="7:24" ht="15" customHeight="1">
      <c r="G33768"/>
      <c r="I33768"/>
      <c r="N33768"/>
      <c r="O33768" s="24"/>
      <c r="P33768"/>
      <c r="Q33768" s="24"/>
      <c r="R33768"/>
      <c r="S33768"/>
      <c r="T33768"/>
      <c r="U33768"/>
      <c r="X33768" s="60"/>
    </row>
    <row r="33769" spans="7:24" ht="15" customHeight="1">
      <c r="G33769"/>
      <c r="I33769"/>
      <c r="N33769"/>
      <c r="O33769" s="24"/>
      <c r="P33769"/>
      <c r="Q33769" s="24"/>
      <c r="R33769"/>
      <c r="S33769"/>
      <c r="T33769"/>
      <c r="U33769"/>
      <c r="X33769" s="60"/>
    </row>
    <row r="33770" spans="7:24" ht="15" customHeight="1">
      <c r="G33770"/>
      <c r="I33770"/>
      <c r="N33770"/>
      <c r="O33770" s="24"/>
      <c r="P33770"/>
      <c r="Q33770" s="24"/>
      <c r="R33770"/>
      <c r="S33770"/>
      <c r="T33770"/>
      <c r="U33770"/>
      <c r="X33770" s="60"/>
    </row>
    <row r="33771" spans="7:24" ht="15" customHeight="1">
      <c r="G33771"/>
      <c r="I33771"/>
      <c r="N33771"/>
      <c r="O33771" s="24"/>
      <c r="P33771"/>
      <c r="Q33771" s="24"/>
      <c r="R33771"/>
      <c r="S33771"/>
      <c r="T33771"/>
      <c r="U33771"/>
      <c r="X33771" s="60"/>
    </row>
    <row r="33772" spans="7:24" ht="15" customHeight="1">
      <c r="G33772"/>
      <c r="I33772"/>
      <c r="N33772"/>
      <c r="O33772" s="24"/>
      <c r="P33772"/>
      <c r="Q33772" s="24"/>
      <c r="R33772"/>
      <c r="S33772"/>
      <c r="T33772"/>
      <c r="U33772"/>
      <c r="X33772" s="60"/>
    </row>
    <row r="33773" spans="7:24" ht="15" customHeight="1">
      <c r="G33773"/>
      <c r="I33773"/>
      <c r="N33773"/>
      <c r="O33773" s="24"/>
      <c r="P33773"/>
      <c r="Q33773" s="24"/>
      <c r="R33773"/>
      <c r="S33773"/>
      <c r="T33773"/>
      <c r="U33773"/>
      <c r="X33773" s="60"/>
    </row>
    <row r="33774" spans="7:24" ht="15" customHeight="1">
      <c r="G33774"/>
      <c r="I33774"/>
      <c r="N33774"/>
      <c r="O33774" s="24"/>
      <c r="P33774"/>
      <c r="Q33774" s="24"/>
      <c r="R33774"/>
      <c r="S33774"/>
      <c r="T33774"/>
      <c r="U33774"/>
      <c r="X33774" s="60"/>
    </row>
    <row r="33775" spans="7:24" ht="15" customHeight="1">
      <c r="G33775"/>
      <c r="I33775"/>
      <c r="N33775"/>
      <c r="O33775" s="24"/>
      <c r="P33775"/>
      <c r="Q33775" s="24"/>
      <c r="R33775"/>
      <c r="S33775"/>
      <c r="T33775"/>
      <c r="U33775"/>
      <c r="X33775" s="60"/>
    </row>
    <row r="33776" spans="7:24" ht="15" customHeight="1">
      <c r="G33776"/>
      <c r="I33776"/>
      <c r="N33776"/>
      <c r="O33776" s="24"/>
      <c r="P33776"/>
      <c r="Q33776" s="24"/>
      <c r="R33776"/>
      <c r="S33776"/>
      <c r="T33776"/>
      <c r="U33776"/>
      <c r="X33776" s="60"/>
    </row>
    <row r="33777" spans="7:24" ht="15" customHeight="1">
      <c r="G33777"/>
      <c r="I33777"/>
      <c r="N33777"/>
      <c r="O33777" s="24"/>
      <c r="P33777"/>
      <c r="Q33777" s="24"/>
      <c r="R33777"/>
      <c r="S33777"/>
      <c r="T33777"/>
      <c r="U33777"/>
      <c r="X33777" s="60"/>
    </row>
    <row r="33778" spans="7:24" ht="15" customHeight="1">
      <c r="G33778"/>
      <c r="I33778"/>
      <c r="N33778"/>
      <c r="O33778" s="24"/>
      <c r="P33778"/>
      <c r="Q33778" s="24"/>
      <c r="R33778"/>
      <c r="S33778"/>
      <c r="T33778"/>
      <c r="U33778"/>
      <c r="X33778" s="60"/>
    </row>
    <row r="33779" spans="7:24" ht="15" customHeight="1">
      <c r="G33779"/>
      <c r="I33779"/>
      <c r="N33779"/>
      <c r="O33779" s="24"/>
      <c r="P33779"/>
      <c r="Q33779" s="24"/>
      <c r="R33779"/>
      <c r="S33779"/>
      <c r="T33779"/>
      <c r="U33779"/>
      <c r="X33779" s="60"/>
    </row>
    <row r="33780" spans="7:24" ht="15" customHeight="1">
      <c r="G33780"/>
      <c r="I33780"/>
      <c r="N33780"/>
      <c r="O33780" s="24"/>
      <c r="P33780"/>
      <c r="Q33780" s="24"/>
      <c r="R33780"/>
      <c r="S33780"/>
      <c r="T33780"/>
      <c r="U33780"/>
      <c r="X33780" s="60"/>
    </row>
    <row r="33781" spans="7:24" ht="15" customHeight="1">
      <c r="G33781"/>
      <c r="I33781"/>
      <c r="N33781"/>
      <c r="O33781" s="24"/>
      <c r="P33781"/>
      <c r="Q33781" s="24"/>
      <c r="R33781"/>
      <c r="S33781"/>
      <c r="T33781"/>
      <c r="U33781"/>
      <c r="X33781" s="60"/>
    </row>
    <row r="33782" spans="7:24" ht="15" customHeight="1">
      <c r="G33782"/>
      <c r="I33782"/>
      <c r="N33782"/>
      <c r="O33782" s="24"/>
      <c r="P33782"/>
      <c r="Q33782" s="24"/>
      <c r="R33782"/>
      <c r="S33782"/>
      <c r="T33782"/>
      <c r="U33782"/>
      <c r="X33782" s="60"/>
    </row>
    <row r="33783" spans="7:24" ht="15" customHeight="1">
      <c r="G33783"/>
      <c r="I33783"/>
      <c r="N33783"/>
      <c r="O33783" s="24"/>
      <c r="P33783"/>
      <c r="Q33783" s="24"/>
      <c r="R33783"/>
      <c r="S33783"/>
      <c r="T33783"/>
      <c r="U33783"/>
      <c r="X33783" s="60"/>
    </row>
    <row r="33784" spans="7:24" ht="15" customHeight="1">
      <c r="G33784"/>
      <c r="I33784"/>
      <c r="N33784"/>
      <c r="O33784" s="24"/>
      <c r="P33784"/>
      <c r="Q33784" s="24"/>
      <c r="R33784"/>
      <c r="S33784"/>
      <c r="T33784"/>
      <c r="U33784"/>
      <c r="X33784" s="60"/>
    </row>
    <row r="33785" spans="7:24" ht="15" customHeight="1">
      <c r="G33785"/>
      <c r="I33785"/>
      <c r="N33785"/>
      <c r="O33785" s="24"/>
      <c r="P33785"/>
      <c r="Q33785" s="24"/>
      <c r="R33785"/>
      <c r="S33785"/>
      <c r="T33785"/>
      <c r="U33785"/>
      <c r="X33785" s="60"/>
    </row>
    <row r="33786" spans="7:24" ht="15" customHeight="1">
      <c r="G33786"/>
      <c r="I33786"/>
      <c r="N33786"/>
      <c r="O33786" s="24"/>
      <c r="P33786"/>
      <c r="Q33786" s="24"/>
      <c r="R33786"/>
      <c r="S33786"/>
      <c r="T33786"/>
      <c r="U33786"/>
      <c r="X33786" s="60"/>
    </row>
    <row r="33787" spans="7:24" ht="15" customHeight="1">
      <c r="G33787"/>
      <c r="I33787"/>
      <c r="N33787"/>
      <c r="O33787" s="24"/>
      <c r="P33787"/>
      <c r="Q33787" s="24"/>
      <c r="R33787"/>
      <c r="S33787"/>
      <c r="T33787"/>
      <c r="U33787"/>
      <c r="X33787" s="60"/>
    </row>
    <row r="33788" spans="7:24" ht="15" customHeight="1">
      <c r="G33788"/>
      <c r="I33788"/>
      <c r="N33788"/>
      <c r="O33788" s="24"/>
      <c r="P33788"/>
      <c r="Q33788" s="24"/>
      <c r="R33788"/>
      <c r="S33788"/>
      <c r="T33788"/>
      <c r="U33788"/>
      <c r="X33788" s="60"/>
    </row>
    <row r="33789" spans="7:24" ht="15" customHeight="1">
      <c r="G33789"/>
      <c r="I33789"/>
      <c r="N33789"/>
      <c r="O33789" s="24"/>
      <c r="P33789"/>
      <c r="Q33789" s="24"/>
      <c r="R33789"/>
      <c r="S33789"/>
      <c r="T33789"/>
      <c r="U33789"/>
      <c r="X33789" s="60"/>
    </row>
    <row r="33790" spans="7:24" ht="15" customHeight="1">
      <c r="G33790"/>
      <c r="I33790"/>
      <c r="N33790"/>
      <c r="O33790" s="24"/>
      <c r="P33790"/>
      <c r="Q33790" s="24"/>
      <c r="R33790"/>
      <c r="S33790"/>
      <c r="T33790"/>
      <c r="U33790"/>
      <c r="X33790" s="60"/>
    </row>
    <row r="33791" spans="7:24" ht="15" customHeight="1">
      <c r="G33791"/>
      <c r="I33791"/>
      <c r="N33791"/>
      <c r="O33791" s="24"/>
      <c r="P33791"/>
      <c r="Q33791" s="24"/>
      <c r="R33791"/>
      <c r="S33791"/>
      <c r="T33791"/>
      <c r="U33791"/>
      <c r="X33791" s="60"/>
    </row>
    <row r="33792" spans="7:24" ht="15" customHeight="1">
      <c r="G33792"/>
      <c r="I33792"/>
      <c r="N33792"/>
      <c r="O33792" s="24"/>
      <c r="P33792"/>
      <c r="Q33792" s="24"/>
      <c r="R33792"/>
      <c r="S33792"/>
      <c r="T33792"/>
      <c r="U33792"/>
      <c r="X33792" s="60"/>
    </row>
    <row r="33793" spans="7:24" ht="15" customHeight="1">
      <c r="G33793"/>
      <c r="I33793"/>
      <c r="N33793"/>
      <c r="O33793" s="24"/>
      <c r="P33793"/>
      <c r="Q33793" s="24"/>
      <c r="R33793"/>
      <c r="S33793"/>
      <c r="T33793"/>
      <c r="U33793"/>
      <c r="X33793" s="60"/>
    </row>
    <row r="33794" spans="7:24" ht="15" customHeight="1">
      <c r="G33794"/>
      <c r="I33794"/>
      <c r="N33794"/>
      <c r="O33794" s="24"/>
      <c r="P33794"/>
      <c r="Q33794" s="24"/>
      <c r="R33794"/>
      <c r="S33794"/>
      <c r="T33794"/>
      <c r="U33794"/>
      <c r="X33794" s="60"/>
    </row>
    <row r="33795" spans="7:24" ht="15" customHeight="1">
      <c r="G33795"/>
      <c r="I33795"/>
      <c r="N33795"/>
      <c r="O33795" s="24"/>
      <c r="P33795"/>
      <c r="Q33795" s="24"/>
      <c r="R33795"/>
      <c r="S33795"/>
      <c r="T33795"/>
      <c r="U33795"/>
      <c r="X33795" s="60"/>
    </row>
    <row r="33796" spans="7:24" ht="15" customHeight="1">
      <c r="G33796"/>
      <c r="I33796"/>
      <c r="N33796"/>
      <c r="O33796" s="24"/>
      <c r="P33796"/>
      <c r="Q33796" s="24"/>
      <c r="R33796"/>
      <c r="S33796"/>
      <c r="T33796"/>
      <c r="U33796"/>
      <c r="X33796" s="60"/>
    </row>
    <row r="33797" spans="7:24" ht="15" customHeight="1">
      <c r="G33797"/>
      <c r="I33797"/>
      <c r="N33797"/>
      <c r="O33797" s="24"/>
      <c r="P33797"/>
      <c r="Q33797" s="24"/>
      <c r="R33797"/>
      <c r="S33797"/>
      <c r="T33797"/>
      <c r="U33797"/>
      <c r="X33797" s="60"/>
    </row>
    <row r="33798" spans="7:24" ht="15" customHeight="1">
      <c r="G33798"/>
      <c r="I33798"/>
      <c r="N33798"/>
      <c r="O33798" s="24"/>
      <c r="P33798"/>
      <c r="Q33798" s="24"/>
      <c r="R33798"/>
      <c r="S33798"/>
      <c r="T33798"/>
      <c r="U33798"/>
      <c r="X33798" s="60"/>
    </row>
    <row r="33799" spans="7:24" ht="15" customHeight="1">
      <c r="G33799"/>
      <c r="I33799"/>
      <c r="N33799"/>
      <c r="O33799" s="24"/>
      <c r="P33799"/>
      <c r="Q33799" s="24"/>
      <c r="R33799"/>
      <c r="S33799"/>
      <c r="T33799"/>
      <c r="U33799"/>
      <c r="X33799" s="60"/>
    </row>
    <row r="33800" spans="7:24" ht="15" customHeight="1">
      <c r="G33800"/>
      <c r="I33800"/>
      <c r="N33800"/>
      <c r="O33800" s="24"/>
      <c r="P33800"/>
      <c r="Q33800" s="24"/>
      <c r="R33800"/>
      <c r="S33800"/>
      <c r="T33800"/>
      <c r="U33800"/>
      <c r="X33800" s="60"/>
    </row>
    <row r="33801" spans="7:24" ht="15" customHeight="1">
      <c r="G33801"/>
      <c r="I33801"/>
      <c r="N33801"/>
      <c r="O33801" s="24"/>
      <c r="P33801"/>
      <c r="Q33801" s="24"/>
      <c r="R33801"/>
      <c r="S33801"/>
      <c r="T33801"/>
      <c r="U33801"/>
      <c r="X33801" s="60"/>
    </row>
    <row r="33802" spans="7:24" ht="15" customHeight="1">
      <c r="G33802"/>
      <c r="I33802"/>
      <c r="N33802"/>
      <c r="O33802" s="24"/>
      <c r="P33802"/>
      <c r="Q33802" s="24"/>
      <c r="R33802"/>
      <c r="S33802"/>
      <c r="T33802"/>
      <c r="U33802"/>
      <c r="X33802" s="60"/>
    </row>
    <row r="33803" spans="7:24" ht="15" customHeight="1">
      <c r="G33803"/>
      <c r="I33803"/>
      <c r="N33803"/>
      <c r="O33803" s="24"/>
      <c r="P33803"/>
      <c r="Q33803" s="24"/>
      <c r="R33803"/>
      <c r="S33803"/>
      <c r="T33803"/>
      <c r="U33803"/>
      <c r="X33803" s="60"/>
    </row>
    <row r="33804" spans="7:24" ht="15" customHeight="1">
      <c r="G33804"/>
      <c r="I33804"/>
      <c r="N33804"/>
      <c r="O33804" s="24"/>
      <c r="P33804"/>
      <c r="Q33804" s="24"/>
      <c r="R33804"/>
      <c r="S33804"/>
      <c r="T33804"/>
      <c r="U33804"/>
      <c r="X33804" s="60"/>
    </row>
    <row r="33805" spans="7:24" ht="15" customHeight="1">
      <c r="G33805"/>
      <c r="I33805"/>
      <c r="N33805"/>
      <c r="O33805" s="24"/>
      <c r="P33805"/>
      <c r="Q33805" s="24"/>
      <c r="R33805"/>
      <c r="S33805"/>
      <c r="T33805"/>
      <c r="U33805"/>
      <c r="X33805" s="60"/>
    </row>
    <row r="33806" spans="7:24" ht="15" customHeight="1">
      <c r="G33806"/>
      <c r="I33806"/>
      <c r="N33806"/>
      <c r="O33806" s="24"/>
      <c r="P33806"/>
      <c r="Q33806" s="24"/>
      <c r="R33806"/>
      <c r="S33806"/>
      <c r="T33806"/>
      <c r="U33806"/>
      <c r="X33806" s="60"/>
    </row>
    <row r="33807" spans="7:24" ht="15" customHeight="1">
      <c r="G33807"/>
      <c r="I33807"/>
      <c r="N33807"/>
      <c r="O33807" s="24"/>
      <c r="P33807"/>
      <c r="Q33807" s="24"/>
      <c r="R33807"/>
      <c r="S33807"/>
      <c r="T33807"/>
      <c r="U33807"/>
      <c r="X33807" s="60"/>
    </row>
    <row r="33808" spans="7:24" ht="15" customHeight="1">
      <c r="G33808"/>
      <c r="I33808"/>
      <c r="N33808"/>
      <c r="O33808" s="24"/>
      <c r="P33808"/>
      <c r="Q33808" s="24"/>
      <c r="R33808"/>
      <c r="S33808"/>
      <c r="T33808"/>
      <c r="U33808"/>
      <c r="X33808" s="60"/>
    </row>
    <row r="33809" spans="7:24" ht="15" customHeight="1">
      <c r="G33809"/>
      <c r="I33809"/>
      <c r="N33809"/>
      <c r="O33809" s="24"/>
      <c r="P33809"/>
      <c r="Q33809" s="24"/>
      <c r="R33809"/>
      <c r="S33809"/>
      <c r="T33809"/>
      <c r="U33809"/>
      <c r="X33809" s="60"/>
    </row>
    <row r="33810" spans="7:24" ht="15" customHeight="1">
      <c r="G33810"/>
      <c r="I33810"/>
      <c r="N33810"/>
      <c r="O33810" s="24"/>
      <c r="P33810"/>
      <c r="Q33810" s="24"/>
      <c r="R33810"/>
      <c r="S33810"/>
      <c r="T33810"/>
      <c r="U33810"/>
      <c r="X33810" s="60"/>
    </row>
    <row r="33811" spans="7:24" ht="15" customHeight="1">
      <c r="G33811"/>
      <c r="I33811"/>
      <c r="N33811"/>
      <c r="O33811" s="24"/>
      <c r="P33811"/>
      <c r="Q33811" s="24"/>
      <c r="R33811"/>
      <c r="S33811"/>
      <c r="T33811"/>
      <c r="U33811"/>
      <c r="X33811" s="60"/>
    </row>
    <row r="33812" spans="7:24" ht="15" customHeight="1">
      <c r="G33812"/>
      <c r="I33812"/>
      <c r="N33812"/>
      <c r="O33812" s="24"/>
      <c r="P33812"/>
      <c r="Q33812" s="24"/>
      <c r="R33812"/>
      <c r="S33812"/>
      <c r="T33812"/>
      <c r="U33812"/>
      <c r="X33812" s="60"/>
    </row>
    <row r="33813" spans="7:24" ht="15" customHeight="1">
      <c r="G33813"/>
      <c r="I33813"/>
      <c r="N33813"/>
      <c r="O33813" s="24"/>
      <c r="P33813"/>
      <c r="Q33813" s="24"/>
      <c r="R33813"/>
      <c r="S33813"/>
      <c r="T33813"/>
      <c r="U33813"/>
      <c r="X33813" s="60"/>
    </row>
    <row r="33814" spans="7:24" ht="15" customHeight="1">
      <c r="G33814"/>
      <c r="I33814"/>
      <c r="N33814"/>
      <c r="O33814" s="24"/>
      <c r="P33814"/>
      <c r="Q33814" s="24"/>
      <c r="R33814"/>
      <c r="S33814"/>
      <c r="T33814"/>
      <c r="U33814"/>
      <c r="X33814" s="60"/>
    </row>
    <row r="33815" spans="7:24" ht="15" customHeight="1">
      <c r="G33815"/>
      <c r="I33815"/>
      <c r="N33815"/>
      <c r="O33815" s="24"/>
      <c r="P33815"/>
      <c r="Q33815" s="24"/>
      <c r="R33815"/>
      <c r="S33815"/>
      <c r="T33815"/>
      <c r="U33815"/>
      <c r="X33815" s="60"/>
    </row>
    <row r="33816" spans="7:24" ht="15" customHeight="1">
      <c r="G33816"/>
      <c r="I33816"/>
      <c r="N33816"/>
      <c r="O33816" s="24"/>
      <c r="P33816"/>
      <c r="Q33816" s="24"/>
      <c r="R33816"/>
      <c r="S33816"/>
      <c r="T33816"/>
      <c r="U33816"/>
      <c r="X33816" s="60"/>
    </row>
    <row r="33817" spans="7:24" ht="15" customHeight="1">
      <c r="G33817"/>
      <c r="I33817"/>
      <c r="N33817"/>
      <c r="O33817" s="24"/>
      <c r="P33817"/>
      <c r="Q33817" s="24"/>
      <c r="R33817"/>
      <c r="S33817"/>
      <c r="T33817"/>
      <c r="U33817"/>
      <c r="X33817" s="60"/>
    </row>
    <row r="33818" spans="7:24" ht="15" customHeight="1">
      <c r="G33818"/>
      <c r="I33818"/>
      <c r="N33818"/>
      <c r="O33818" s="24"/>
      <c r="P33818"/>
      <c r="Q33818" s="24"/>
      <c r="R33818"/>
      <c r="S33818"/>
      <c r="T33818"/>
      <c r="U33818"/>
      <c r="X33818" s="60"/>
    </row>
    <row r="33819" spans="7:24" ht="15" customHeight="1">
      <c r="G33819"/>
      <c r="I33819"/>
      <c r="N33819"/>
      <c r="O33819" s="24"/>
      <c r="P33819"/>
      <c r="Q33819" s="24"/>
      <c r="R33819"/>
      <c r="S33819"/>
      <c r="T33819"/>
      <c r="U33819"/>
      <c r="X33819" s="60"/>
    </row>
    <row r="33820" spans="7:24" ht="15" customHeight="1">
      <c r="G33820"/>
      <c r="I33820"/>
      <c r="N33820"/>
      <c r="O33820" s="24"/>
      <c r="P33820"/>
      <c r="Q33820" s="24"/>
      <c r="R33820"/>
      <c r="S33820"/>
      <c r="T33820"/>
      <c r="U33820"/>
      <c r="X33820" s="60"/>
    </row>
    <row r="33821" spans="7:24" ht="15" customHeight="1">
      <c r="G33821"/>
      <c r="I33821"/>
      <c r="N33821"/>
      <c r="O33821" s="24"/>
      <c r="P33821"/>
      <c r="Q33821" s="24"/>
      <c r="R33821"/>
      <c r="S33821"/>
      <c r="T33821"/>
      <c r="U33821"/>
      <c r="X33821" s="60"/>
    </row>
    <row r="33822" spans="7:24" ht="15" customHeight="1">
      <c r="G33822"/>
      <c r="I33822"/>
      <c r="N33822"/>
      <c r="O33822" s="24"/>
      <c r="P33822"/>
      <c r="Q33822" s="24"/>
      <c r="R33822"/>
      <c r="S33822"/>
      <c r="T33822"/>
      <c r="U33822"/>
      <c r="X33822" s="60"/>
    </row>
    <row r="33823" spans="7:24" ht="15" customHeight="1">
      <c r="G33823"/>
      <c r="I33823"/>
      <c r="N33823"/>
      <c r="O33823" s="24"/>
      <c r="P33823"/>
      <c r="Q33823" s="24"/>
      <c r="R33823"/>
      <c r="S33823"/>
      <c r="T33823"/>
      <c r="U33823"/>
      <c r="X33823" s="60"/>
    </row>
    <row r="33824" spans="7:24" ht="15" customHeight="1">
      <c r="G33824"/>
      <c r="I33824"/>
      <c r="N33824"/>
      <c r="O33824" s="24"/>
      <c r="P33824"/>
      <c r="Q33824" s="24"/>
      <c r="R33824"/>
      <c r="S33824"/>
      <c r="T33824"/>
      <c r="U33824"/>
      <c r="X33824" s="60"/>
    </row>
    <row r="33825" spans="7:24" ht="15" customHeight="1">
      <c r="G33825"/>
      <c r="I33825"/>
      <c r="N33825"/>
      <c r="O33825" s="24"/>
      <c r="P33825"/>
      <c r="Q33825" s="24"/>
      <c r="R33825"/>
      <c r="S33825"/>
      <c r="T33825"/>
      <c r="U33825"/>
      <c r="X33825" s="60"/>
    </row>
    <row r="33826" spans="7:24" ht="15" customHeight="1">
      <c r="G33826"/>
      <c r="I33826"/>
      <c r="N33826"/>
      <c r="O33826" s="24"/>
      <c r="P33826"/>
      <c r="Q33826" s="24"/>
      <c r="R33826"/>
      <c r="S33826"/>
      <c r="T33826"/>
      <c r="U33826"/>
      <c r="X33826" s="60"/>
    </row>
    <row r="33827" spans="7:24" ht="15" customHeight="1">
      <c r="G33827"/>
      <c r="I33827"/>
      <c r="N33827"/>
      <c r="O33827" s="24"/>
      <c r="P33827"/>
      <c r="Q33827" s="24"/>
      <c r="R33827"/>
      <c r="S33827"/>
      <c r="T33827"/>
      <c r="U33827"/>
      <c r="X33827" s="60"/>
    </row>
    <row r="33828" spans="7:24" ht="15" customHeight="1">
      <c r="G33828"/>
      <c r="I33828"/>
      <c r="N33828"/>
      <c r="O33828" s="24"/>
      <c r="P33828"/>
      <c r="Q33828" s="24"/>
      <c r="R33828"/>
      <c r="S33828"/>
      <c r="T33828"/>
      <c r="U33828"/>
      <c r="X33828" s="60"/>
    </row>
    <row r="33829" spans="7:24" ht="15" customHeight="1">
      <c r="G33829"/>
      <c r="I33829"/>
      <c r="N33829"/>
      <c r="O33829" s="24"/>
      <c r="P33829"/>
      <c r="Q33829" s="24"/>
      <c r="R33829"/>
      <c r="S33829"/>
      <c r="T33829"/>
      <c r="U33829"/>
      <c r="X33829" s="60"/>
    </row>
    <row r="33830" spans="7:24" ht="15" customHeight="1">
      <c r="G33830"/>
      <c r="I33830"/>
      <c r="N33830"/>
      <c r="O33830" s="24"/>
      <c r="P33830"/>
      <c r="Q33830" s="24"/>
      <c r="R33830"/>
      <c r="S33830"/>
      <c r="T33830"/>
      <c r="U33830"/>
      <c r="X33830" s="60"/>
    </row>
    <row r="33831" spans="7:24" ht="15" customHeight="1">
      <c r="G33831"/>
      <c r="I33831"/>
      <c r="N33831"/>
      <c r="O33831" s="24"/>
      <c r="P33831"/>
      <c r="Q33831" s="24"/>
      <c r="R33831"/>
      <c r="S33831"/>
      <c r="T33831"/>
      <c r="U33831"/>
      <c r="X33831" s="60"/>
    </row>
    <row r="33832" spans="7:24" ht="15" customHeight="1">
      <c r="G33832"/>
      <c r="I33832"/>
      <c r="N33832"/>
      <c r="O33832" s="24"/>
      <c r="P33832"/>
      <c r="Q33832" s="24"/>
      <c r="R33832"/>
      <c r="S33832"/>
      <c r="T33832"/>
      <c r="U33832"/>
      <c r="X33832" s="60"/>
    </row>
    <row r="33833" spans="7:24" ht="15" customHeight="1">
      <c r="G33833"/>
      <c r="I33833"/>
      <c r="N33833"/>
      <c r="O33833" s="24"/>
      <c r="P33833"/>
      <c r="Q33833" s="24"/>
      <c r="R33833"/>
      <c r="S33833"/>
      <c r="T33833"/>
      <c r="U33833"/>
      <c r="X33833" s="60"/>
    </row>
    <row r="33834" spans="7:24" ht="15" customHeight="1">
      <c r="G33834"/>
      <c r="I33834"/>
      <c r="N33834"/>
      <c r="O33834" s="24"/>
      <c r="P33834"/>
      <c r="Q33834" s="24"/>
      <c r="R33834"/>
      <c r="S33834"/>
      <c r="T33834"/>
      <c r="U33834"/>
      <c r="X33834" s="60"/>
    </row>
    <row r="33835" spans="7:24" ht="15" customHeight="1">
      <c r="G33835"/>
      <c r="I33835"/>
      <c r="N33835"/>
      <c r="O33835" s="24"/>
      <c r="P33835"/>
      <c r="Q33835" s="24"/>
      <c r="R33835"/>
      <c r="S33835"/>
      <c r="T33835"/>
      <c r="U33835"/>
      <c r="X33835" s="60"/>
    </row>
    <row r="33836" spans="7:24" ht="15" customHeight="1">
      <c r="G33836"/>
      <c r="I33836"/>
      <c r="N33836"/>
      <c r="O33836" s="24"/>
      <c r="P33836"/>
      <c r="Q33836" s="24"/>
      <c r="R33836"/>
      <c r="S33836"/>
      <c r="T33836"/>
      <c r="U33836"/>
      <c r="X33836" s="60"/>
    </row>
    <row r="33837" spans="7:24" ht="15" customHeight="1">
      <c r="G33837"/>
      <c r="I33837"/>
      <c r="N33837"/>
      <c r="O33837" s="24"/>
      <c r="P33837"/>
      <c r="Q33837" s="24"/>
      <c r="R33837"/>
      <c r="S33837"/>
      <c r="T33837"/>
      <c r="U33837"/>
      <c r="X33837" s="60"/>
    </row>
    <row r="33838" spans="7:24" ht="15" customHeight="1">
      <c r="G33838"/>
      <c r="I33838"/>
      <c r="N33838"/>
      <c r="O33838" s="24"/>
      <c r="P33838"/>
      <c r="Q33838" s="24"/>
      <c r="R33838"/>
      <c r="S33838"/>
      <c r="T33838"/>
      <c r="U33838"/>
      <c r="X33838" s="60"/>
    </row>
    <row r="33839" spans="7:24" ht="15" customHeight="1">
      <c r="G33839"/>
      <c r="I33839"/>
      <c r="N33839"/>
      <c r="O33839" s="24"/>
      <c r="P33839"/>
      <c r="Q33839" s="24"/>
      <c r="R33839"/>
      <c r="S33839"/>
      <c r="T33839"/>
      <c r="U33839"/>
      <c r="X33839" s="60"/>
    </row>
    <row r="33840" spans="7:24" ht="15" customHeight="1">
      <c r="G33840"/>
      <c r="I33840"/>
      <c r="N33840"/>
      <c r="O33840" s="24"/>
      <c r="P33840"/>
      <c r="Q33840" s="24"/>
      <c r="R33840"/>
      <c r="S33840"/>
      <c r="T33840"/>
      <c r="U33840"/>
      <c r="X33840" s="60"/>
    </row>
    <row r="33841" spans="7:24" ht="15" customHeight="1">
      <c r="G33841"/>
      <c r="I33841"/>
      <c r="N33841"/>
      <c r="O33841" s="24"/>
      <c r="P33841"/>
      <c r="Q33841" s="24"/>
      <c r="R33841"/>
      <c r="S33841"/>
      <c r="T33841"/>
      <c r="U33841"/>
      <c r="X33841" s="60"/>
    </row>
    <row r="33842" spans="7:24" ht="15" customHeight="1">
      <c r="G33842"/>
      <c r="I33842"/>
      <c r="N33842"/>
      <c r="O33842" s="24"/>
      <c r="P33842"/>
      <c r="Q33842" s="24"/>
      <c r="R33842"/>
      <c r="S33842"/>
      <c r="T33842"/>
      <c r="U33842"/>
      <c r="X33842" s="60"/>
    </row>
    <row r="33843" spans="7:24" ht="15" customHeight="1">
      <c r="G33843"/>
      <c r="I33843"/>
      <c r="N33843"/>
      <c r="O33843" s="24"/>
      <c r="P33843"/>
      <c r="Q33843" s="24"/>
      <c r="R33843"/>
      <c r="S33843"/>
      <c r="T33843"/>
      <c r="U33843"/>
      <c r="X33843" s="60"/>
    </row>
    <row r="33844" spans="7:24" ht="15" customHeight="1">
      <c r="G33844"/>
      <c r="I33844"/>
      <c r="N33844"/>
      <c r="O33844" s="24"/>
      <c r="P33844"/>
      <c r="Q33844" s="24"/>
      <c r="R33844"/>
      <c r="S33844"/>
      <c r="T33844"/>
      <c r="U33844"/>
      <c r="X33844" s="60"/>
    </row>
    <row r="33845" spans="7:24" ht="15" customHeight="1">
      <c r="G33845"/>
      <c r="I33845"/>
      <c r="N33845"/>
      <c r="O33845" s="24"/>
      <c r="P33845"/>
      <c r="Q33845" s="24"/>
      <c r="R33845"/>
      <c r="S33845"/>
      <c r="T33845"/>
      <c r="U33845"/>
      <c r="X33845" s="60"/>
    </row>
    <row r="33846" spans="7:24" ht="15" customHeight="1">
      <c r="G33846"/>
      <c r="I33846"/>
      <c r="N33846"/>
      <c r="O33846" s="24"/>
      <c r="P33846"/>
      <c r="Q33846" s="24"/>
      <c r="R33846"/>
      <c r="S33846"/>
      <c r="T33846"/>
      <c r="U33846"/>
      <c r="X33846" s="60"/>
    </row>
    <row r="33847" spans="7:24" ht="15" customHeight="1">
      <c r="G33847"/>
      <c r="I33847"/>
      <c r="N33847"/>
      <c r="O33847" s="24"/>
      <c r="P33847"/>
      <c r="Q33847" s="24"/>
      <c r="R33847"/>
      <c r="S33847"/>
      <c r="T33847"/>
      <c r="U33847"/>
      <c r="X33847" s="60"/>
    </row>
    <row r="33848" spans="7:24" ht="15" customHeight="1">
      <c r="G33848"/>
      <c r="I33848"/>
      <c r="N33848"/>
      <c r="O33848" s="24"/>
      <c r="P33848"/>
      <c r="Q33848" s="24"/>
      <c r="R33848"/>
      <c r="S33848"/>
      <c r="T33848"/>
      <c r="U33848"/>
      <c r="X33848" s="60"/>
    </row>
    <row r="33849" spans="7:24" ht="15" customHeight="1">
      <c r="G33849"/>
      <c r="I33849"/>
      <c r="N33849"/>
      <c r="O33849" s="24"/>
      <c r="P33849"/>
      <c r="Q33849" s="24"/>
      <c r="R33849"/>
      <c r="S33849"/>
      <c r="T33849"/>
      <c r="U33849"/>
      <c r="X33849" s="60"/>
    </row>
    <row r="33850" spans="7:24" ht="15" customHeight="1">
      <c r="G33850"/>
      <c r="I33850"/>
      <c r="N33850"/>
      <c r="O33850" s="24"/>
      <c r="P33850"/>
      <c r="Q33850" s="24"/>
      <c r="R33850"/>
      <c r="S33850"/>
      <c r="T33850"/>
      <c r="U33850"/>
      <c r="X33850" s="60"/>
    </row>
    <row r="33851" spans="7:24" ht="15" customHeight="1">
      <c r="G33851"/>
      <c r="I33851"/>
      <c r="N33851"/>
      <c r="O33851" s="24"/>
      <c r="P33851"/>
      <c r="Q33851" s="24"/>
      <c r="R33851"/>
      <c r="S33851"/>
      <c r="T33851"/>
      <c r="U33851"/>
      <c r="X33851" s="60"/>
    </row>
    <row r="33852" spans="7:24" ht="15" customHeight="1">
      <c r="G33852"/>
      <c r="I33852"/>
      <c r="N33852"/>
      <c r="O33852" s="24"/>
      <c r="P33852"/>
      <c r="Q33852" s="24"/>
      <c r="R33852"/>
      <c r="S33852"/>
      <c r="T33852"/>
      <c r="U33852"/>
      <c r="X33852" s="60"/>
    </row>
    <row r="33853" spans="7:24" ht="15" customHeight="1">
      <c r="G33853"/>
      <c r="I33853"/>
      <c r="N33853"/>
      <c r="O33853" s="24"/>
      <c r="P33853"/>
      <c r="Q33853" s="24"/>
      <c r="R33853"/>
      <c r="S33853"/>
      <c r="T33853"/>
      <c r="U33853"/>
      <c r="X33853" s="60"/>
    </row>
    <row r="33854" spans="7:24" ht="15" customHeight="1">
      <c r="G33854"/>
      <c r="I33854"/>
      <c r="N33854"/>
      <c r="O33854" s="24"/>
      <c r="P33854"/>
      <c r="Q33854" s="24"/>
      <c r="R33854"/>
      <c r="S33854"/>
      <c r="T33854"/>
      <c r="U33854"/>
      <c r="X33854" s="60"/>
    </row>
    <row r="33855" spans="7:24" ht="15" customHeight="1">
      <c r="G33855"/>
      <c r="I33855"/>
      <c r="N33855"/>
      <c r="O33855" s="24"/>
      <c r="P33855"/>
      <c r="Q33855" s="24"/>
      <c r="R33855"/>
      <c r="S33855"/>
      <c r="T33855"/>
      <c r="U33855"/>
      <c r="X33855" s="60"/>
    </row>
    <row r="33856" spans="7:24" ht="15" customHeight="1">
      <c r="G33856"/>
      <c r="I33856"/>
      <c r="N33856"/>
      <c r="O33856" s="24"/>
      <c r="P33856"/>
      <c r="Q33856" s="24"/>
      <c r="R33856"/>
      <c r="S33856"/>
      <c r="T33856"/>
      <c r="U33856"/>
      <c r="X33856" s="60"/>
    </row>
    <row r="33857" spans="7:24" ht="15" customHeight="1">
      <c r="G33857"/>
      <c r="I33857"/>
      <c r="N33857"/>
      <c r="O33857" s="24"/>
      <c r="P33857"/>
      <c r="Q33857" s="24"/>
      <c r="R33857"/>
      <c r="S33857"/>
      <c r="T33857"/>
      <c r="U33857"/>
      <c r="X33857" s="60"/>
    </row>
    <row r="33858" spans="7:24" ht="15" customHeight="1">
      <c r="G33858"/>
      <c r="I33858"/>
      <c r="N33858"/>
      <c r="O33858" s="24"/>
      <c r="P33858"/>
      <c r="Q33858" s="24"/>
      <c r="R33858"/>
      <c r="S33858"/>
      <c r="T33858"/>
      <c r="U33858"/>
      <c r="X33858" s="60"/>
    </row>
    <row r="33859" spans="7:24" ht="15" customHeight="1">
      <c r="G33859"/>
      <c r="I33859"/>
      <c r="N33859"/>
      <c r="O33859" s="24"/>
      <c r="P33859"/>
      <c r="Q33859" s="24"/>
      <c r="R33859"/>
      <c r="S33859"/>
      <c r="T33859"/>
      <c r="U33859"/>
      <c r="X33859" s="60"/>
    </row>
    <row r="33860" spans="7:24" ht="15" customHeight="1">
      <c r="G33860"/>
      <c r="I33860"/>
      <c r="N33860"/>
      <c r="O33860" s="24"/>
      <c r="P33860"/>
      <c r="Q33860" s="24"/>
      <c r="R33860"/>
      <c r="S33860"/>
      <c r="T33860"/>
      <c r="U33860"/>
      <c r="X33860" s="60"/>
    </row>
    <row r="33861" spans="7:24" ht="15" customHeight="1">
      <c r="G33861"/>
      <c r="I33861"/>
      <c r="N33861"/>
      <c r="O33861" s="24"/>
      <c r="P33861"/>
      <c r="Q33861" s="24"/>
      <c r="R33861"/>
      <c r="S33861"/>
      <c r="T33861"/>
      <c r="U33861"/>
      <c r="X33861" s="60"/>
    </row>
    <row r="33862" spans="7:24" ht="15" customHeight="1">
      <c r="G33862"/>
      <c r="I33862"/>
      <c r="N33862"/>
      <c r="O33862" s="24"/>
      <c r="P33862"/>
      <c r="Q33862" s="24"/>
      <c r="R33862"/>
      <c r="S33862"/>
      <c r="T33862"/>
      <c r="U33862"/>
      <c r="X33862" s="60"/>
    </row>
    <row r="33863" spans="7:24" ht="15" customHeight="1">
      <c r="G33863"/>
      <c r="I33863"/>
      <c r="N33863"/>
      <c r="O33863" s="24"/>
      <c r="P33863"/>
      <c r="Q33863" s="24"/>
      <c r="R33863"/>
      <c r="S33863"/>
      <c r="T33863"/>
      <c r="U33863"/>
      <c r="X33863" s="60"/>
    </row>
    <row r="33864" spans="7:24" ht="15" customHeight="1">
      <c r="G33864"/>
      <c r="I33864"/>
      <c r="N33864"/>
      <c r="O33864" s="24"/>
      <c r="P33864"/>
      <c r="Q33864" s="24"/>
      <c r="R33864"/>
      <c r="S33864"/>
      <c r="T33864"/>
      <c r="U33864"/>
      <c r="X33864" s="60"/>
    </row>
    <row r="33865" spans="7:24" ht="15" customHeight="1">
      <c r="G33865"/>
      <c r="I33865"/>
      <c r="N33865"/>
      <c r="O33865" s="24"/>
      <c r="P33865"/>
      <c r="Q33865" s="24"/>
      <c r="R33865"/>
      <c r="S33865"/>
      <c r="T33865"/>
      <c r="U33865"/>
      <c r="X33865" s="60"/>
    </row>
    <row r="33866" spans="7:24" ht="15" customHeight="1">
      <c r="G33866"/>
      <c r="I33866"/>
      <c r="N33866"/>
      <c r="O33866" s="24"/>
      <c r="P33866"/>
      <c r="Q33866" s="24"/>
      <c r="R33866"/>
      <c r="S33866"/>
      <c r="T33866"/>
      <c r="U33866"/>
      <c r="X33866" s="60"/>
    </row>
    <row r="33867" spans="7:24" ht="15" customHeight="1">
      <c r="G33867"/>
      <c r="I33867"/>
      <c r="N33867"/>
      <c r="O33867" s="24"/>
      <c r="P33867"/>
      <c r="Q33867" s="24"/>
      <c r="R33867"/>
      <c r="S33867"/>
      <c r="T33867"/>
      <c r="U33867"/>
      <c r="X33867" s="60"/>
    </row>
    <row r="33868" spans="7:24" ht="15" customHeight="1">
      <c r="G33868"/>
      <c r="I33868"/>
      <c r="N33868"/>
      <c r="O33868" s="24"/>
      <c r="P33868"/>
      <c r="Q33868" s="24"/>
      <c r="R33868"/>
      <c r="S33868"/>
      <c r="T33868"/>
      <c r="U33868"/>
      <c r="X33868" s="60"/>
    </row>
    <row r="33869" spans="7:24" ht="15" customHeight="1">
      <c r="G33869"/>
      <c r="I33869"/>
      <c r="N33869"/>
      <c r="O33869" s="24"/>
      <c r="P33869"/>
      <c r="Q33869" s="24"/>
      <c r="R33869"/>
      <c r="S33869"/>
      <c r="T33869"/>
      <c r="U33869"/>
      <c r="X33869" s="60"/>
    </row>
    <row r="33870" spans="7:24" ht="15" customHeight="1">
      <c r="G33870"/>
      <c r="I33870"/>
      <c r="N33870"/>
      <c r="O33870" s="24"/>
      <c r="P33870"/>
      <c r="Q33870" s="24"/>
      <c r="R33870"/>
      <c r="S33870"/>
      <c r="T33870"/>
      <c r="U33870"/>
      <c r="X33870" s="60"/>
    </row>
    <row r="33871" spans="7:24" ht="15" customHeight="1">
      <c r="G33871"/>
      <c r="I33871"/>
      <c r="N33871"/>
      <c r="O33871" s="24"/>
      <c r="P33871"/>
      <c r="Q33871" s="24"/>
      <c r="R33871"/>
      <c r="S33871"/>
      <c r="T33871"/>
      <c r="U33871"/>
      <c r="X33871" s="60"/>
    </row>
    <row r="33872" spans="7:24" ht="15" customHeight="1">
      <c r="G33872"/>
      <c r="I33872"/>
      <c r="N33872"/>
      <c r="O33872" s="24"/>
      <c r="P33872"/>
      <c r="Q33872" s="24"/>
      <c r="R33872"/>
      <c r="S33872"/>
      <c r="T33872"/>
      <c r="U33872"/>
      <c r="X33872" s="60"/>
    </row>
    <row r="33873" spans="7:24" ht="15" customHeight="1">
      <c r="G33873"/>
      <c r="I33873"/>
      <c r="N33873"/>
      <c r="O33873" s="24"/>
      <c r="P33873"/>
      <c r="Q33873" s="24"/>
      <c r="R33873"/>
      <c r="S33873"/>
      <c r="T33873"/>
      <c r="U33873"/>
      <c r="X33873" s="60"/>
    </row>
    <row r="33874" spans="7:24" ht="15" customHeight="1">
      <c r="G33874"/>
      <c r="I33874"/>
      <c r="N33874"/>
      <c r="O33874" s="24"/>
      <c r="P33874"/>
      <c r="Q33874" s="24"/>
      <c r="R33874"/>
      <c r="S33874"/>
      <c r="T33874"/>
      <c r="U33874"/>
      <c r="X33874" s="60"/>
    </row>
    <row r="33875" spans="7:24" ht="15" customHeight="1">
      <c r="G33875"/>
      <c r="I33875"/>
      <c r="N33875"/>
      <c r="O33875" s="24"/>
      <c r="P33875"/>
      <c r="Q33875" s="24"/>
      <c r="R33875"/>
      <c r="S33875"/>
      <c r="T33875"/>
      <c r="U33875"/>
      <c r="X33875" s="60"/>
    </row>
    <row r="33876" spans="7:24" ht="15" customHeight="1">
      <c r="G33876"/>
      <c r="I33876"/>
      <c r="N33876"/>
      <c r="O33876" s="24"/>
      <c r="P33876"/>
      <c r="Q33876" s="24"/>
      <c r="R33876"/>
      <c r="S33876"/>
      <c r="T33876"/>
      <c r="U33876"/>
      <c r="X33876" s="60"/>
    </row>
    <row r="33877" spans="7:24" ht="15" customHeight="1">
      <c r="G33877"/>
      <c r="I33877"/>
      <c r="N33877"/>
      <c r="O33877" s="24"/>
      <c r="P33877"/>
      <c r="Q33877" s="24"/>
      <c r="R33877"/>
      <c r="S33877"/>
      <c r="T33877"/>
      <c r="U33877"/>
      <c r="X33877" s="60"/>
    </row>
    <row r="33878" spans="7:24" ht="15" customHeight="1">
      <c r="G33878"/>
      <c r="I33878"/>
      <c r="N33878"/>
      <c r="O33878" s="24"/>
      <c r="P33878"/>
      <c r="Q33878" s="24"/>
      <c r="R33878"/>
      <c r="S33878"/>
      <c r="T33878"/>
      <c r="U33878"/>
      <c r="X33878" s="60"/>
    </row>
    <row r="33879" spans="7:24" ht="15" customHeight="1">
      <c r="G33879"/>
      <c r="I33879"/>
      <c r="N33879"/>
      <c r="O33879" s="24"/>
      <c r="P33879"/>
      <c r="Q33879" s="24"/>
      <c r="R33879"/>
      <c r="S33879"/>
      <c r="T33879"/>
      <c r="U33879"/>
      <c r="X33879" s="60"/>
    </row>
    <row r="33880" spans="7:24" ht="15" customHeight="1">
      <c r="G33880"/>
      <c r="I33880"/>
      <c r="N33880"/>
      <c r="O33880" s="24"/>
      <c r="P33880"/>
      <c r="Q33880" s="24"/>
      <c r="R33880"/>
      <c r="S33880"/>
      <c r="T33880"/>
      <c r="U33880"/>
      <c r="X33880" s="60"/>
    </row>
    <row r="33881" spans="7:24" ht="15" customHeight="1">
      <c r="G33881"/>
      <c r="I33881"/>
      <c r="N33881"/>
      <c r="O33881" s="24"/>
      <c r="P33881"/>
      <c r="Q33881" s="24"/>
      <c r="R33881"/>
      <c r="S33881"/>
      <c r="T33881"/>
      <c r="U33881"/>
      <c r="X33881" s="60"/>
    </row>
    <row r="33882" spans="7:24" ht="15" customHeight="1">
      <c r="G33882"/>
      <c r="I33882"/>
      <c r="N33882"/>
      <c r="O33882" s="24"/>
      <c r="P33882"/>
      <c r="Q33882" s="24"/>
      <c r="R33882"/>
      <c r="S33882"/>
      <c r="T33882"/>
      <c r="U33882"/>
      <c r="X33882" s="60"/>
    </row>
    <row r="33883" spans="7:24" ht="15" customHeight="1">
      <c r="G33883"/>
      <c r="I33883"/>
      <c r="N33883"/>
      <c r="O33883" s="24"/>
      <c r="P33883"/>
      <c r="Q33883" s="24"/>
      <c r="R33883"/>
      <c r="S33883"/>
      <c r="T33883"/>
      <c r="U33883"/>
      <c r="X33883" s="60"/>
    </row>
    <row r="33884" spans="7:24" ht="15" customHeight="1">
      <c r="G33884"/>
      <c r="I33884"/>
      <c r="N33884"/>
      <c r="O33884" s="24"/>
      <c r="P33884"/>
      <c r="Q33884" s="24"/>
      <c r="R33884"/>
      <c r="S33884"/>
      <c r="T33884"/>
      <c r="U33884"/>
      <c r="X33884" s="60"/>
    </row>
    <row r="33885" spans="7:24" ht="15" customHeight="1">
      <c r="G33885"/>
      <c r="I33885"/>
      <c r="N33885"/>
      <c r="O33885" s="24"/>
      <c r="P33885"/>
      <c r="Q33885" s="24"/>
      <c r="R33885"/>
      <c r="S33885"/>
      <c r="T33885"/>
      <c r="U33885"/>
      <c r="X33885" s="60"/>
    </row>
    <row r="33886" spans="7:24" ht="15" customHeight="1">
      <c r="G33886"/>
      <c r="I33886"/>
      <c r="N33886"/>
      <c r="O33886" s="24"/>
      <c r="P33886"/>
      <c r="Q33886" s="24"/>
      <c r="R33886"/>
      <c r="S33886"/>
      <c r="T33886"/>
      <c r="U33886"/>
      <c r="X33886" s="60"/>
    </row>
    <row r="33887" spans="7:24" ht="15" customHeight="1">
      <c r="G33887"/>
      <c r="I33887"/>
      <c r="N33887"/>
      <c r="O33887" s="24"/>
      <c r="P33887"/>
      <c r="Q33887" s="24"/>
      <c r="R33887"/>
      <c r="S33887"/>
      <c r="T33887"/>
      <c r="U33887"/>
      <c r="X33887" s="60"/>
    </row>
    <row r="33888" spans="7:24" ht="15" customHeight="1">
      <c r="G33888"/>
      <c r="I33888"/>
      <c r="N33888"/>
      <c r="O33888" s="24"/>
      <c r="P33888"/>
      <c r="Q33888" s="24"/>
      <c r="R33888"/>
      <c r="S33888"/>
      <c r="T33888"/>
      <c r="U33888"/>
      <c r="X33888" s="60"/>
    </row>
    <row r="33889" spans="7:24" ht="15" customHeight="1">
      <c r="G33889"/>
      <c r="I33889"/>
      <c r="N33889"/>
      <c r="O33889" s="24"/>
      <c r="P33889"/>
      <c r="Q33889" s="24"/>
      <c r="R33889"/>
      <c r="S33889"/>
      <c r="T33889"/>
      <c r="U33889"/>
      <c r="X33889" s="60"/>
    </row>
    <row r="33890" spans="7:24" ht="15" customHeight="1">
      <c r="G33890"/>
      <c r="I33890"/>
      <c r="N33890"/>
      <c r="O33890" s="24"/>
      <c r="P33890"/>
      <c r="Q33890" s="24"/>
      <c r="R33890"/>
      <c r="S33890"/>
      <c r="T33890"/>
      <c r="U33890"/>
      <c r="X33890" s="60"/>
    </row>
    <row r="33891" spans="7:24" ht="15" customHeight="1">
      <c r="G33891"/>
      <c r="I33891"/>
      <c r="N33891"/>
      <c r="O33891" s="24"/>
      <c r="P33891"/>
      <c r="Q33891" s="24"/>
      <c r="R33891"/>
      <c r="S33891"/>
      <c r="T33891"/>
      <c r="U33891"/>
      <c r="X33891" s="60"/>
    </row>
    <row r="33892" spans="7:24" ht="15" customHeight="1">
      <c r="G33892"/>
      <c r="I33892"/>
      <c r="N33892"/>
      <c r="O33892" s="24"/>
      <c r="P33892"/>
      <c r="Q33892" s="24"/>
      <c r="R33892"/>
      <c r="S33892"/>
      <c r="T33892"/>
      <c r="U33892"/>
      <c r="X33892" s="60"/>
    </row>
    <row r="33893" spans="7:24" ht="15" customHeight="1">
      <c r="G33893"/>
      <c r="I33893"/>
      <c r="N33893"/>
      <c r="O33893" s="24"/>
      <c r="P33893"/>
      <c r="Q33893" s="24"/>
      <c r="R33893"/>
      <c r="S33893"/>
      <c r="T33893"/>
      <c r="U33893"/>
      <c r="X33893" s="60"/>
    </row>
    <row r="33894" spans="7:24" ht="15" customHeight="1">
      <c r="G33894"/>
      <c r="I33894"/>
      <c r="N33894"/>
      <c r="O33894" s="24"/>
      <c r="P33894"/>
      <c r="Q33894" s="24"/>
      <c r="R33894"/>
      <c r="S33894"/>
      <c r="T33894"/>
      <c r="U33894"/>
      <c r="X33894" s="60"/>
    </row>
    <row r="33895" spans="7:24" ht="15" customHeight="1">
      <c r="G33895"/>
      <c r="I33895"/>
      <c r="N33895"/>
      <c r="O33895" s="24"/>
      <c r="P33895"/>
      <c r="Q33895" s="24"/>
      <c r="R33895"/>
      <c r="S33895"/>
      <c r="T33895"/>
      <c r="U33895"/>
      <c r="X33895" s="60"/>
    </row>
    <row r="33896" spans="7:24" ht="15" customHeight="1">
      <c r="G33896"/>
      <c r="I33896"/>
      <c r="N33896"/>
      <c r="O33896" s="24"/>
      <c r="P33896"/>
      <c r="Q33896" s="24"/>
      <c r="R33896"/>
      <c r="S33896"/>
      <c r="T33896"/>
      <c r="U33896"/>
      <c r="X33896" s="60"/>
    </row>
    <row r="33897" spans="7:24" ht="15" customHeight="1">
      <c r="G33897"/>
      <c r="I33897"/>
      <c r="N33897"/>
      <c r="O33897" s="24"/>
      <c r="P33897"/>
      <c r="Q33897" s="24"/>
      <c r="R33897"/>
      <c r="S33897"/>
      <c r="T33897"/>
      <c r="U33897"/>
      <c r="X33897" s="60"/>
    </row>
    <row r="33898" spans="7:24" ht="15" customHeight="1">
      <c r="G33898"/>
      <c r="I33898"/>
      <c r="N33898"/>
      <c r="O33898" s="24"/>
      <c r="P33898"/>
      <c r="Q33898" s="24"/>
      <c r="R33898"/>
      <c r="S33898"/>
      <c r="T33898"/>
      <c r="U33898"/>
      <c r="X33898" s="60"/>
    </row>
    <row r="33899" spans="7:24" ht="15" customHeight="1">
      <c r="G33899"/>
      <c r="I33899"/>
      <c r="N33899"/>
      <c r="O33899" s="24"/>
      <c r="P33899"/>
      <c r="Q33899" s="24"/>
      <c r="R33899"/>
      <c r="S33899"/>
      <c r="T33899"/>
      <c r="U33899"/>
      <c r="X33899" s="60"/>
    </row>
    <row r="33900" spans="7:24" ht="15" customHeight="1">
      <c r="G33900"/>
      <c r="I33900"/>
      <c r="N33900"/>
      <c r="O33900" s="24"/>
      <c r="P33900"/>
      <c r="Q33900" s="24"/>
      <c r="R33900"/>
      <c r="S33900"/>
      <c r="T33900"/>
      <c r="U33900"/>
      <c r="X33900" s="60"/>
    </row>
    <row r="33901" spans="7:24" ht="15" customHeight="1">
      <c r="G33901"/>
      <c r="I33901"/>
      <c r="N33901"/>
      <c r="O33901" s="24"/>
      <c r="P33901"/>
      <c r="Q33901" s="24"/>
      <c r="R33901"/>
      <c r="S33901"/>
      <c r="T33901"/>
      <c r="U33901"/>
      <c r="X33901" s="60"/>
    </row>
    <row r="33902" spans="7:24" ht="15" customHeight="1">
      <c r="G33902"/>
      <c r="I33902"/>
      <c r="N33902"/>
      <c r="O33902" s="24"/>
      <c r="P33902"/>
      <c r="Q33902" s="24"/>
      <c r="R33902"/>
      <c r="S33902"/>
      <c r="T33902"/>
      <c r="U33902"/>
      <c r="X33902" s="60"/>
    </row>
    <row r="33903" spans="7:24" ht="15" customHeight="1">
      <c r="G33903"/>
      <c r="I33903"/>
      <c r="N33903"/>
      <c r="O33903" s="24"/>
      <c r="P33903"/>
      <c r="Q33903" s="24"/>
      <c r="R33903"/>
      <c r="S33903"/>
      <c r="T33903"/>
      <c r="U33903"/>
      <c r="X33903" s="60"/>
    </row>
    <row r="33904" spans="7:24" ht="15" customHeight="1">
      <c r="G33904"/>
      <c r="I33904"/>
      <c r="N33904"/>
      <c r="O33904" s="24"/>
      <c r="P33904"/>
      <c r="Q33904" s="24"/>
      <c r="R33904"/>
      <c r="S33904"/>
      <c r="T33904"/>
      <c r="U33904"/>
      <c r="X33904" s="60"/>
    </row>
    <row r="33905" spans="7:24" ht="15" customHeight="1">
      <c r="G33905"/>
      <c r="I33905"/>
      <c r="N33905"/>
      <c r="O33905" s="24"/>
      <c r="P33905"/>
      <c r="Q33905" s="24"/>
      <c r="R33905"/>
      <c r="S33905"/>
      <c r="T33905"/>
      <c r="U33905"/>
      <c r="X33905" s="60"/>
    </row>
    <row r="33906" spans="7:24" ht="15" customHeight="1">
      <c r="G33906"/>
      <c r="I33906"/>
      <c r="N33906"/>
      <c r="O33906" s="24"/>
      <c r="P33906"/>
      <c r="Q33906" s="24"/>
      <c r="R33906"/>
      <c r="S33906"/>
      <c r="T33906"/>
      <c r="U33906"/>
      <c r="X33906" s="60"/>
    </row>
    <row r="33907" spans="7:24" ht="15" customHeight="1">
      <c r="G33907"/>
      <c r="I33907"/>
      <c r="N33907"/>
      <c r="O33907" s="24"/>
      <c r="P33907"/>
      <c r="Q33907" s="24"/>
      <c r="R33907"/>
      <c r="S33907"/>
      <c r="T33907"/>
      <c r="U33907"/>
      <c r="X33907" s="60"/>
    </row>
    <row r="33908" spans="7:24" ht="15" customHeight="1">
      <c r="G33908"/>
      <c r="I33908"/>
      <c r="N33908"/>
      <c r="O33908" s="24"/>
      <c r="P33908"/>
      <c r="Q33908" s="24"/>
      <c r="R33908"/>
      <c r="S33908"/>
      <c r="T33908"/>
      <c r="U33908"/>
      <c r="X33908" s="60"/>
    </row>
    <row r="33909" spans="7:24" ht="15" customHeight="1">
      <c r="G33909"/>
      <c r="I33909"/>
      <c r="N33909"/>
      <c r="O33909" s="24"/>
      <c r="P33909"/>
      <c r="Q33909" s="24"/>
      <c r="R33909"/>
      <c r="S33909"/>
      <c r="T33909"/>
      <c r="U33909"/>
      <c r="X33909" s="60"/>
    </row>
    <row r="33910" spans="7:24" ht="15" customHeight="1">
      <c r="G33910"/>
      <c r="I33910"/>
      <c r="N33910"/>
      <c r="O33910" s="24"/>
      <c r="P33910"/>
      <c r="Q33910" s="24"/>
      <c r="R33910"/>
      <c r="S33910"/>
      <c r="T33910"/>
      <c r="U33910"/>
      <c r="X33910" s="60"/>
    </row>
    <row r="33911" spans="7:24" ht="15" customHeight="1">
      <c r="G33911"/>
      <c r="I33911"/>
      <c r="N33911"/>
      <c r="O33911" s="24"/>
      <c r="P33911"/>
      <c r="Q33911" s="24"/>
      <c r="R33911"/>
      <c r="S33911"/>
      <c r="T33911"/>
      <c r="U33911"/>
      <c r="X33911" s="60"/>
    </row>
    <row r="33912" spans="7:24" ht="15" customHeight="1">
      <c r="G33912"/>
      <c r="I33912"/>
      <c r="N33912"/>
      <c r="O33912" s="24"/>
      <c r="P33912"/>
      <c r="Q33912" s="24"/>
      <c r="R33912"/>
      <c r="S33912"/>
      <c r="T33912"/>
      <c r="U33912"/>
      <c r="X33912" s="60"/>
    </row>
    <row r="33913" spans="7:24" ht="15" customHeight="1">
      <c r="G33913"/>
      <c r="I33913"/>
      <c r="N33913"/>
      <c r="O33913" s="24"/>
      <c r="P33913"/>
      <c r="Q33913" s="24"/>
      <c r="R33913"/>
      <c r="S33913"/>
      <c r="T33913"/>
      <c r="U33913"/>
      <c r="X33913" s="60"/>
    </row>
    <row r="33914" spans="7:24" ht="15" customHeight="1">
      <c r="G33914"/>
      <c r="I33914"/>
      <c r="N33914"/>
      <c r="O33914" s="24"/>
      <c r="P33914"/>
      <c r="Q33914" s="24"/>
      <c r="R33914"/>
      <c r="S33914"/>
      <c r="T33914"/>
      <c r="U33914"/>
      <c r="X33914" s="60"/>
    </row>
    <row r="33915" spans="7:24" ht="15" customHeight="1">
      <c r="G33915"/>
      <c r="I33915"/>
      <c r="N33915"/>
      <c r="O33915" s="24"/>
      <c r="P33915"/>
      <c r="Q33915" s="24"/>
      <c r="R33915"/>
      <c r="S33915"/>
      <c r="T33915"/>
      <c r="U33915"/>
      <c r="X33915" s="60"/>
    </row>
    <row r="33916" spans="7:24" ht="15" customHeight="1">
      <c r="G33916"/>
      <c r="I33916"/>
      <c r="N33916"/>
      <c r="O33916" s="24"/>
      <c r="P33916"/>
      <c r="Q33916" s="24"/>
      <c r="R33916"/>
      <c r="S33916"/>
      <c r="T33916"/>
      <c r="U33916"/>
      <c r="X33916" s="60"/>
    </row>
    <row r="33917" spans="7:24" ht="15" customHeight="1">
      <c r="G33917"/>
      <c r="I33917"/>
      <c r="N33917"/>
      <c r="O33917" s="24"/>
      <c r="P33917"/>
      <c r="Q33917" s="24"/>
      <c r="R33917"/>
      <c r="S33917"/>
      <c r="T33917"/>
      <c r="U33917"/>
      <c r="X33917" s="60"/>
    </row>
    <row r="33918" spans="7:24" ht="15" customHeight="1">
      <c r="G33918"/>
      <c r="I33918"/>
      <c r="N33918"/>
      <c r="O33918" s="24"/>
      <c r="P33918"/>
      <c r="Q33918" s="24"/>
      <c r="R33918"/>
      <c r="S33918"/>
      <c r="T33918"/>
      <c r="U33918"/>
      <c r="X33918" s="60"/>
    </row>
    <row r="33919" spans="7:24" ht="15" customHeight="1">
      <c r="G33919"/>
      <c r="I33919"/>
      <c r="N33919"/>
      <c r="O33919" s="24"/>
      <c r="P33919"/>
      <c r="Q33919" s="24"/>
      <c r="R33919"/>
      <c r="S33919"/>
      <c r="T33919"/>
      <c r="U33919"/>
      <c r="X33919" s="60"/>
    </row>
    <row r="33920" spans="7:24" ht="15" customHeight="1">
      <c r="G33920"/>
      <c r="I33920"/>
      <c r="N33920"/>
      <c r="O33920" s="24"/>
      <c r="P33920"/>
      <c r="Q33920" s="24"/>
      <c r="R33920"/>
      <c r="S33920"/>
      <c r="T33920"/>
      <c r="U33920"/>
      <c r="X33920" s="60"/>
    </row>
    <row r="33921" spans="7:24" ht="15" customHeight="1">
      <c r="G33921"/>
      <c r="I33921"/>
      <c r="N33921"/>
      <c r="O33921" s="24"/>
      <c r="P33921"/>
      <c r="Q33921" s="24"/>
      <c r="R33921"/>
      <c r="S33921"/>
      <c r="T33921"/>
      <c r="U33921"/>
      <c r="X33921" s="60"/>
    </row>
    <row r="33922" spans="7:24" ht="15" customHeight="1">
      <c r="G33922"/>
      <c r="I33922"/>
      <c r="N33922"/>
      <c r="O33922" s="24"/>
      <c r="P33922"/>
      <c r="Q33922" s="24"/>
      <c r="R33922"/>
      <c r="S33922"/>
      <c r="T33922"/>
      <c r="U33922"/>
      <c r="X33922" s="60"/>
    </row>
    <row r="33923" spans="7:24" ht="15" customHeight="1">
      <c r="G33923"/>
      <c r="I33923"/>
      <c r="N33923"/>
      <c r="O33923" s="24"/>
      <c r="P33923"/>
      <c r="Q33923" s="24"/>
      <c r="R33923"/>
      <c r="S33923"/>
      <c r="T33923"/>
      <c r="U33923"/>
      <c r="X33923" s="60"/>
    </row>
    <row r="33924" spans="7:24" ht="15" customHeight="1">
      <c r="G33924"/>
      <c r="I33924"/>
      <c r="N33924"/>
      <c r="O33924" s="24"/>
      <c r="P33924"/>
      <c r="Q33924" s="24"/>
      <c r="R33924"/>
      <c r="S33924"/>
      <c r="T33924"/>
      <c r="U33924"/>
      <c r="X33924" s="60"/>
    </row>
    <row r="33925" spans="7:24" ht="15" customHeight="1">
      <c r="G33925"/>
      <c r="I33925"/>
      <c r="N33925"/>
      <c r="O33925" s="24"/>
      <c r="P33925"/>
      <c r="Q33925" s="24"/>
      <c r="R33925"/>
      <c r="S33925"/>
      <c r="T33925"/>
      <c r="U33925"/>
      <c r="X33925" s="60"/>
    </row>
    <row r="33926" spans="7:24" ht="15" customHeight="1">
      <c r="G33926"/>
      <c r="I33926"/>
      <c r="N33926"/>
      <c r="O33926" s="24"/>
      <c r="P33926"/>
      <c r="Q33926" s="24"/>
      <c r="R33926"/>
      <c r="S33926"/>
      <c r="T33926"/>
      <c r="U33926"/>
      <c r="X33926" s="60"/>
    </row>
    <row r="33927" spans="7:24" ht="15" customHeight="1">
      <c r="G33927"/>
      <c r="I33927"/>
      <c r="N33927"/>
      <c r="O33927" s="24"/>
      <c r="P33927"/>
      <c r="Q33927" s="24"/>
      <c r="R33927"/>
      <c r="S33927"/>
      <c r="T33927"/>
      <c r="U33927"/>
      <c r="X33927" s="60"/>
    </row>
    <row r="33928" spans="7:24" ht="15" customHeight="1">
      <c r="G33928"/>
      <c r="I33928"/>
      <c r="N33928"/>
      <c r="O33928" s="24"/>
      <c r="P33928"/>
      <c r="Q33928" s="24"/>
      <c r="R33928"/>
      <c r="S33928"/>
      <c r="T33928"/>
      <c r="U33928"/>
      <c r="X33928" s="60"/>
    </row>
    <row r="33929" spans="7:24" ht="15" customHeight="1">
      <c r="G33929"/>
      <c r="I33929"/>
      <c r="N33929"/>
      <c r="O33929" s="24"/>
      <c r="P33929"/>
      <c r="Q33929" s="24"/>
      <c r="R33929"/>
      <c r="S33929"/>
      <c r="T33929"/>
      <c r="U33929"/>
      <c r="X33929" s="60"/>
    </row>
    <row r="33930" spans="7:24" ht="15" customHeight="1">
      <c r="G33930"/>
      <c r="I33930"/>
      <c r="N33930"/>
      <c r="O33930" s="24"/>
      <c r="P33930"/>
      <c r="Q33930" s="24"/>
      <c r="R33930"/>
      <c r="S33930"/>
      <c r="T33930"/>
      <c r="U33930"/>
      <c r="X33930" s="60"/>
    </row>
    <row r="33931" spans="7:24" ht="15" customHeight="1">
      <c r="G33931"/>
      <c r="I33931"/>
      <c r="N33931"/>
      <c r="O33931" s="24"/>
      <c r="P33931"/>
      <c r="Q33931" s="24"/>
      <c r="R33931"/>
      <c r="S33931"/>
      <c r="T33931"/>
      <c r="U33931"/>
      <c r="X33931" s="60"/>
    </row>
    <row r="33932" spans="7:24" ht="15" customHeight="1">
      <c r="G33932"/>
      <c r="I33932"/>
      <c r="N33932"/>
      <c r="O33932" s="24"/>
      <c r="P33932"/>
      <c r="Q33932" s="24"/>
      <c r="R33932"/>
      <c r="S33932"/>
      <c r="T33932"/>
      <c r="U33932"/>
      <c r="X33932" s="60"/>
    </row>
    <row r="33933" spans="7:24" ht="15" customHeight="1">
      <c r="G33933"/>
      <c r="I33933"/>
      <c r="N33933"/>
      <c r="O33933" s="24"/>
      <c r="P33933"/>
      <c r="Q33933" s="24"/>
      <c r="R33933"/>
      <c r="S33933"/>
      <c r="T33933"/>
      <c r="U33933"/>
      <c r="X33933" s="60"/>
    </row>
    <row r="33934" spans="7:24" ht="15" customHeight="1">
      <c r="G33934"/>
      <c r="I33934"/>
      <c r="N33934"/>
      <c r="O33934" s="24"/>
      <c r="P33934"/>
      <c r="Q33934" s="24"/>
      <c r="R33934"/>
      <c r="S33934"/>
      <c r="T33934"/>
      <c r="U33934"/>
      <c r="X33934" s="60"/>
    </row>
    <row r="33935" spans="7:24" ht="15" customHeight="1">
      <c r="G33935"/>
      <c r="I33935"/>
      <c r="N33935"/>
      <c r="O33935" s="24"/>
      <c r="P33935"/>
      <c r="Q33935" s="24"/>
      <c r="R33935"/>
      <c r="S33935"/>
      <c r="T33935"/>
      <c r="U33935"/>
      <c r="X33935" s="60"/>
    </row>
    <row r="33936" spans="7:24" ht="15" customHeight="1">
      <c r="G33936"/>
      <c r="I33936"/>
      <c r="N33936"/>
      <c r="O33936" s="24"/>
      <c r="P33936"/>
      <c r="Q33936" s="24"/>
      <c r="R33936"/>
      <c r="S33936"/>
      <c r="T33936"/>
      <c r="U33936"/>
      <c r="X33936" s="60"/>
    </row>
    <row r="33937" spans="7:24" ht="15" customHeight="1">
      <c r="G33937"/>
      <c r="I33937"/>
      <c r="N33937"/>
      <c r="O33937" s="24"/>
      <c r="P33937"/>
      <c r="Q33937" s="24"/>
      <c r="R33937"/>
      <c r="S33937"/>
      <c r="T33937"/>
      <c r="U33937"/>
      <c r="X33937" s="60"/>
    </row>
    <row r="33938" spans="7:24" ht="15" customHeight="1">
      <c r="G33938"/>
      <c r="I33938"/>
      <c r="N33938"/>
      <c r="O33938" s="24"/>
      <c r="P33938"/>
      <c r="Q33938" s="24"/>
      <c r="R33938"/>
      <c r="S33938"/>
      <c r="T33938"/>
      <c r="U33938"/>
      <c r="X33938" s="60"/>
    </row>
    <row r="33939" spans="7:24" ht="15" customHeight="1">
      <c r="G33939"/>
      <c r="I33939"/>
      <c r="N33939"/>
      <c r="O33939" s="24"/>
      <c r="P33939"/>
      <c r="Q33939" s="24"/>
      <c r="R33939"/>
      <c r="S33939"/>
      <c r="T33939"/>
      <c r="U33939"/>
      <c r="X33939" s="60"/>
    </row>
    <row r="33940" spans="7:24" ht="15" customHeight="1">
      <c r="G33940"/>
      <c r="I33940"/>
      <c r="N33940"/>
      <c r="O33940" s="24"/>
      <c r="P33940"/>
      <c r="Q33940" s="24"/>
      <c r="R33940"/>
      <c r="S33940"/>
      <c r="T33940"/>
      <c r="U33940"/>
      <c r="X33940" s="60"/>
    </row>
    <row r="33941" spans="7:24" ht="15" customHeight="1">
      <c r="G33941"/>
      <c r="I33941"/>
      <c r="N33941"/>
      <c r="O33941" s="24"/>
      <c r="P33941"/>
      <c r="Q33941" s="24"/>
      <c r="R33941"/>
      <c r="S33941"/>
      <c r="T33941"/>
      <c r="U33941"/>
      <c r="X33941" s="60"/>
    </row>
    <row r="33942" spans="7:24" ht="15" customHeight="1">
      <c r="G33942"/>
      <c r="I33942"/>
      <c r="N33942"/>
      <c r="O33942" s="24"/>
      <c r="P33942"/>
      <c r="Q33942" s="24"/>
      <c r="R33942"/>
      <c r="S33942"/>
      <c r="T33942"/>
      <c r="U33942"/>
      <c r="X33942" s="60"/>
    </row>
    <row r="33943" spans="7:24" ht="15" customHeight="1">
      <c r="G33943"/>
      <c r="I33943"/>
      <c r="N33943"/>
      <c r="O33943" s="24"/>
      <c r="P33943"/>
      <c r="Q33943" s="24"/>
      <c r="R33943"/>
      <c r="S33943"/>
      <c r="T33943"/>
      <c r="U33943"/>
      <c r="X33943" s="60"/>
    </row>
    <row r="33944" spans="7:24" ht="15" customHeight="1">
      <c r="G33944"/>
      <c r="I33944"/>
      <c r="N33944"/>
      <c r="O33944" s="24"/>
      <c r="P33944"/>
      <c r="Q33944" s="24"/>
      <c r="R33944"/>
      <c r="S33944"/>
      <c r="T33944"/>
      <c r="U33944"/>
      <c r="X33944" s="60"/>
    </row>
    <row r="33945" spans="7:24" ht="15" customHeight="1">
      <c r="G33945"/>
      <c r="I33945"/>
      <c r="N33945"/>
      <c r="O33945" s="24"/>
      <c r="P33945"/>
      <c r="Q33945" s="24"/>
      <c r="R33945"/>
      <c r="S33945"/>
      <c r="T33945"/>
      <c r="U33945"/>
      <c r="X33945" s="60"/>
    </row>
    <row r="33946" spans="7:24" ht="15" customHeight="1">
      <c r="G33946"/>
      <c r="I33946"/>
      <c r="N33946"/>
      <c r="O33946" s="24"/>
      <c r="P33946"/>
      <c r="Q33946" s="24"/>
      <c r="R33946"/>
      <c r="S33946"/>
      <c r="T33946"/>
      <c r="U33946"/>
      <c r="X33946" s="60"/>
    </row>
    <row r="33947" spans="7:24" ht="15" customHeight="1">
      <c r="G33947"/>
      <c r="I33947"/>
      <c r="N33947"/>
      <c r="O33947" s="24"/>
      <c r="P33947"/>
      <c r="Q33947" s="24"/>
      <c r="R33947"/>
      <c r="S33947"/>
      <c r="T33947"/>
      <c r="U33947"/>
      <c r="X33947" s="60"/>
    </row>
    <row r="33948" spans="7:24" ht="15" customHeight="1">
      <c r="G33948"/>
      <c r="I33948"/>
      <c r="N33948"/>
      <c r="O33948" s="24"/>
      <c r="P33948"/>
      <c r="Q33948" s="24"/>
      <c r="R33948"/>
      <c r="S33948"/>
      <c r="T33948"/>
      <c r="U33948"/>
      <c r="X33948" s="60"/>
    </row>
    <row r="33949" spans="7:24" ht="15" customHeight="1">
      <c r="G33949"/>
      <c r="I33949"/>
      <c r="N33949"/>
      <c r="O33949" s="24"/>
      <c r="P33949"/>
      <c r="Q33949" s="24"/>
      <c r="R33949"/>
      <c r="S33949"/>
      <c r="T33949"/>
      <c r="U33949"/>
      <c r="X33949" s="60"/>
    </row>
    <row r="33950" spans="7:24" ht="15" customHeight="1">
      <c r="G33950"/>
      <c r="I33950"/>
      <c r="N33950"/>
      <c r="O33950" s="24"/>
      <c r="P33950"/>
      <c r="Q33950" s="24"/>
      <c r="R33950"/>
      <c r="S33950"/>
      <c r="T33950"/>
      <c r="U33950"/>
      <c r="X33950" s="60"/>
    </row>
    <row r="33951" spans="7:24" ht="15" customHeight="1">
      <c r="G33951"/>
      <c r="I33951"/>
      <c r="N33951"/>
      <c r="O33951" s="24"/>
      <c r="P33951"/>
      <c r="Q33951" s="24"/>
      <c r="R33951"/>
      <c r="S33951"/>
      <c r="T33951"/>
      <c r="U33951"/>
      <c r="X33951" s="60"/>
    </row>
    <row r="33952" spans="7:24" ht="15" customHeight="1">
      <c r="G33952"/>
      <c r="I33952"/>
      <c r="N33952"/>
      <c r="O33952" s="24"/>
      <c r="P33952"/>
      <c r="Q33952" s="24"/>
      <c r="R33952"/>
      <c r="S33952"/>
      <c r="T33952"/>
      <c r="U33952"/>
      <c r="X33952" s="60"/>
    </row>
    <row r="33953" spans="7:24" ht="15" customHeight="1">
      <c r="G33953"/>
      <c r="I33953"/>
      <c r="N33953"/>
      <c r="O33953" s="24"/>
      <c r="P33953"/>
      <c r="Q33953" s="24"/>
      <c r="R33953"/>
      <c r="S33953"/>
      <c r="T33953"/>
      <c r="U33953"/>
      <c r="X33953" s="60"/>
    </row>
    <row r="33954" spans="7:24" ht="15" customHeight="1">
      <c r="G33954"/>
      <c r="I33954"/>
      <c r="N33954"/>
      <c r="O33954" s="24"/>
      <c r="P33954"/>
      <c r="Q33954" s="24"/>
      <c r="R33954"/>
      <c r="S33954"/>
      <c r="T33954"/>
      <c r="U33954"/>
      <c r="X33954" s="60"/>
    </row>
    <row r="33955" spans="7:24" ht="15" customHeight="1">
      <c r="G33955"/>
      <c r="I33955"/>
      <c r="N33955"/>
      <c r="O33955" s="24"/>
      <c r="P33955"/>
      <c r="Q33955" s="24"/>
      <c r="R33955"/>
      <c r="S33955"/>
      <c r="T33955"/>
      <c r="U33955"/>
      <c r="X33955" s="60"/>
    </row>
    <row r="33956" spans="7:24" ht="15" customHeight="1">
      <c r="G33956"/>
      <c r="I33956"/>
      <c r="N33956"/>
      <c r="O33956" s="24"/>
      <c r="P33956"/>
      <c r="Q33956" s="24"/>
      <c r="R33956"/>
      <c r="S33956"/>
      <c r="T33956"/>
      <c r="U33956"/>
      <c r="X33956" s="60"/>
    </row>
    <row r="33957" spans="7:24" ht="15" customHeight="1">
      <c r="G33957"/>
      <c r="I33957"/>
      <c r="N33957"/>
      <c r="O33957" s="24"/>
      <c r="P33957"/>
      <c r="Q33957" s="24"/>
      <c r="R33957"/>
      <c r="S33957"/>
      <c r="T33957"/>
      <c r="U33957"/>
      <c r="X33957" s="60"/>
    </row>
    <row r="33958" spans="7:24" ht="15" customHeight="1">
      <c r="G33958"/>
      <c r="I33958"/>
      <c r="N33958"/>
      <c r="O33958" s="24"/>
      <c r="P33958"/>
      <c r="Q33958" s="24"/>
      <c r="R33958"/>
      <c r="S33958"/>
      <c r="T33958"/>
      <c r="U33958"/>
      <c r="X33958" s="60"/>
    </row>
    <row r="33959" spans="7:24" ht="15" customHeight="1">
      <c r="G33959"/>
      <c r="I33959"/>
      <c r="N33959"/>
      <c r="O33959" s="24"/>
      <c r="P33959"/>
      <c r="Q33959" s="24"/>
      <c r="R33959"/>
      <c r="S33959"/>
      <c r="T33959"/>
      <c r="U33959"/>
      <c r="X33959" s="60"/>
    </row>
    <row r="33960" spans="7:24" ht="15" customHeight="1">
      <c r="G33960"/>
      <c r="I33960"/>
      <c r="N33960"/>
      <c r="O33960" s="24"/>
      <c r="P33960"/>
      <c r="Q33960" s="24"/>
      <c r="R33960"/>
      <c r="S33960"/>
      <c r="T33960"/>
      <c r="U33960"/>
      <c r="X33960" s="60"/>
    </row>
    <row r="33961" spans="7:24" ht="15" customHeight="1">
      <c r="G33961"/>
      <c r="I33961"/>
      <c r="N33961"/>
      <c r="O33961" s="24"/>
      <c r="P33961"/>
      <c r="Q33961" s="24"/>
      <c r="R33961"/>
      <c r="S33961"/>
      <c r="T33961"/>
      <c r="U33961"/>
      <c r="X33961" s="60"/>
    </row>
    <row r="33962" spans="7:24" ht="15" customHeight="1">
      <c r="G33962"/>
      <c r="I33962"/>
      <c r="N33962"/>
      <c r="O33962" s="24"/>
      <c r="P33962"/>
      <c r="Q33962" s="24"/>
      <c r="R33962"/>
      <c r="S33962"/>
      <c r="T33962"/>
      <c r="U33962"/>
      <c r="X33962" s="60"/>
    </row>
    <row r="33963" spans="7:24" ht="15" customHeight="1">
      <c r="G33963"/>
      <c r="I33963"/>
      <c r="N33963"/>
      <c r="O33963" s="24"/>
      <c r="P33963"/>
      <c r="Q33963" s="24"/>
      <c r="R33963"/>
      <c r="S33963"/>
      <c r="T33963"/>
      <c r="U33963"/>
      <c r="X33963" s="60"/>
    </row>
    <row r="33964" spans="7:24" ht="15" customHeight="1">
      <c r="G33964"/>
      <c r="I33964"/>
      <c r="N33964"/>
      <c r="O33964" s="24"/>
      <c r="P33964"/>
      <c r="Q33964" s="24"/>
      <c r="R33964"/>
      <c r="S33964"/>
      <c r="T33964"/>
      <c r="U33964"/>
      <c r="X33964" s="60"/>
    </row>
    <row r="33965" spans="7:24" ht="15" customHeight="1">
      <c r="G33965"/>
      <c r="I33965"/>
      <c r="N33965"/>
      <c r="O33965" s="24"/>
      <c r="P33965"/>
      <c r="Q33965" s="24"/>
      <c r="R33965"/>
      <c r="S33965"/>
      <c r="T33965"/>
      <c r="U33965"/>
      <c r="X33965" s="60"/>
    </row>
    <row r="33966" spans="7:24" ht="15" customHeight="1">
      <c r="G33966"/>
      <c r="I33966"/>
      <c r="N33966"/>
      <c r="O33966" s="24"/>
      <c r="P33966"/>
      <c r="Q33966" s="24"/>
      <c r="R33966"/>
      <c r="S33966"/>
      <c r="T33966"/>
      <c r="U33966"/>
      <c r="X33966" s="60"/>
    </row>
    <row r="33967" spans="7:24" ht="15" customHeight="1">
      <c r="G33967"/>
      <c r="I33967"/>
      <c r="N33967"/>
      <c r="O33967" s="24"/>
      <c r="P33967"/>
      <c r="Q33967" s="24"/>
      <c r="R33967"/>
      <c r="S33967"/>
      <c r="T33967"/>
      <c r="U33967"/>
      <c r="X33967" s="60"/>
    </row>
    <row r="33968" spans="7:24" ht="15" customHeight="1">
      <c r="G33968"/>
      <c r="I33968"/>
      <c r="N33968"/>
      <c r="O33968" s="24"/>
      <c r="P33968"/>
      <c r="Q33968" s="24"/>
      <c r="R33968"/>
      <c r="S33968"/>
      <c r="T33968"/>
      <c r="U33968"/>
      <c r="X33968" s="60"/>
    </row>
    <row r="33969" spans="7:24" ht="15" customHeight="1">
      <c r="G33969"/>
      <c r="I33969"/>
      <c r="N33969"/>
      <c r="O33969" s="24"/>
      <c r="P33969"/>
      <c r="Q33969" s="24"/>
      <c r="R33969"/>
      <c r="S33969"/>
      <c r="T33969"/>
      <c r="U33969"/>
      <c r="X33969" s="60"/>
    </row>
    <row r="33970" spans="7:24" ht="15" customHeight="1">
      <c r="G33970"/>
      <c r="I33970"/>
      <c r="N33970"/>
      <c r="O33970" s="24"/>
      <c r="P33970"/>
      <c r="Q33970" s="24"/>
      <c r="R33970"/>
      <c r="S33970"/>
      <c r="T33970"/>
      <c r="U33970"/>
      <c r="X33970" s="60"/>
    </row>
    <row r="33971" spans="7:24" ht="15" customHeight="1">
      <c r="G33971"/>
      <c r="I33971"/>
      <c r="N33971"/>
      <c r="O33971" s="24"/>
      <c r="P33971"/>
      <c r="Q33971" s="24"/>
      <c r="R33971"/>
      <c r="S33971"/>
      <c r="T33971"/>
      <c r="U33971"/>
      <c r="X33971" s="60"/>
    </row>
    <row r="33972" spans="7:24" ht="15" customHeight="1">
      <c r="G33972"/>
      <c r="I33972"/>
      <c r="N33972"/>
      <c r="O33972" s="24"/>
      <c r="P33972"/>
      <c r="Q33972" s="24"/>
      <c r="R33972"/>
      <c r="S33972"/>
      <c r="T33972"/>
      <c r="U33972"/>
      <c r="X33972" s="60"/>
    </row>
    <row r="33973" spans="7:24" ht="15" customHeight="1">
      <c r="G33973"/>
      <c r="I33973"/>
      <c r="N33973"/>
      <c r="O33973" s="24"/>
      <c r="P33973"/>
      <c r="Q33973" s="24"/>
      <c r="R33973"/>
      <c r="S33973"/>
      <c r="T33973"/>
      <c r="U33973"/>
      <c r="X33973" s="60"/>
    </row>
    <row r="33974" spans="7:24" ht="15" customHeight="1">
      <c r="G33974"/>
      <c r="I33974"/>
      <c r="N33974"/>
      <c r="O33974" s="24"/>
      <c r="P33974"/>
      <c r="Q33974" s="24"/>
      <c r="R33974"/>
      <c r="S33974"/>
      <c r="T33974"/>
      <c r="U33974"/>
      <c r="X33974" s="60"/>
    </row>
    <row r="33975" spans="7:24" ht="15" customHeight="1">
      <c r="G33975"/>
      <c r="I33975"/>
      <c r="N33975"/>
      <c r="O33975" s="24"/>
      <c r="P33975"/>
      <c r="Q33975" s="24"/>
      <c r="R33975"/>
      <c r="S33975"/>
      <c r="T33975"/>
      <c r="U33975"/>
      <c r="X33975" s="60"/>
    </row>
    <row r="33976" spans="7:24" ht="15" customHeight="1">
      <c r="G33976"/>
      <c r="I33976"/>
      <c r="N33976"/>
      <c r="O33976" s="24"/>
      <c r="P33976"/>
      <c r="Q33976" s="24"/>
      <c r="R33976"/>
      <c r="S33976"/>
      <c r="T33976"/>
      <c r="U33976"/>
      <c r="X33976" s="60"/>
    </row>
    <row r="33977" spans="7:24" ht="15" customHeight="1">
      <c r="G33977"/>
      <c r="I33977"/>
      <c r="N33977"/>
      <c r="O33977" s="24"/>
      <c r="P33977"/>
      <c r="Q33977" s="24"/>
      <c r="R33977"/>
      <c r="S33977"/>
      <c r="T33977"/>
      <c r="U33977"/>
      <c r="X33977" s="60"/>
    </row>
    <row r="33978" spans="7:24" ht="15" customHeight="1">
      <c r="G33978"/>
      <c r="I33978"/>
      <c r="N33978"/>
      <c r="O33978" s="24"/>
      <c r="P33978"/>
      <c r="Q33978" s="24"/>
      <c r="R33978"/>
      <c r="S33978"/>
      <c r="T33978"/>
      <c r="U33978"/>
      <c r="X33978" s="60"/>
    </row>
    <row r="33979" spans="7:24" ht="15" customHeight="1">
      <c r="G33979"/>
      <c r="I33979"/>
      <c r="N33979"/>
      <c r="O33979" s="24"/>
      <c r="P33979"/>
      <c r="Q33979" s="24"/>
      <c r="R33979"/>
      <c r="S33979"/>
      <c r="T33979"/>
      <c r="U33979"/>
      <c r="X33979" s="60"/>
    </row>
    <row r="33980" spans="7:24" ht="15" customHeight="1">
      <c r="G33980"/>
      <c r="I33980"/>
      <c r="N33980"/>
      <c r="O33980" s="24"/>
      <c r="P33980"/>
      <c r="Q33980" s="24"/>
      <c r="R33980"/>
      <c r="S33980"/>
      <c r="T33980"/>
      <c r="U33980"/>
      <c r="X33980" s="60"/>
    </row>
    <row r="33981" spans="7:24" ht="15" customHeight="1">
      <c r="G33981"/>
      <c r="I33981"/>
      <c r="N33981"/>
      <c r="O33981" s="24"/>
      <c r="P33981"/>
      <c r="Q33981" s="24"/>
      <c r="R33981"/>
      <c r="S33981"/>
      <c r="T33981"/>
      <c r="U33981"/>
      <c r="X33981" s="60"/>
    </row>
    <row r="33982" spans="7:24" ht="15" customHeight="1">
      <c r="G33982"/>
      <c r="I33982"/>
      <c r="N33982"/>
      <c r="O33982" s="24"/>
      <c r="P33982"/>
      <c r="Q33982" s="24"/>
      <c r="R33982"/>
      <c r="S33982"/>
      <c r="T33982"/>
      <c r="U33982"/>
      <c r="X33982" s="60"/>
    </row>
    <row r="33983" spans="7:24" ht="15" customHeight="1">
      <c r="G33983"/>
      <c r="I33983"/>
      <c r="N33983"/>
      <c r="O33983" s="24"/>
      <c r="P33983"/>
      <c r="Q33983" s="24"/>
      <c r="R33983"/>
      <c r="S33983"/>
      <c r="T33983"/>
      <c r="U33983"/>
      <c r="X33983" s="60"/>
    </row>
    <row r="33984" spans="7:24" ht="15" customHeight="1">
      <c r="G33984"/>
      <c r="I33984"/>
      <c r="N33984"/>
      <c r="O33984" s="24"/>
      <c r="P33984"/>
      <c r="Q33984" s="24"/>
      <c r="R33984"/>
      <c r="S33984"/>
      <c r="T33984"/>
      <c r="U33984"/>
      <c r="X33984" s="60"/>
    </row>
    <row r="33985" spans="7:24" ht="15" customHeight="1">
      <c r="G33985"/>
      <c r="I33985"/>
      <c r="N33985"/>
      <c r="O33985" s="24"/>
      <c r="P33985"/>
      <c r="Q33985" s="24"/>
      <c r="R33985"/>
      <c r="S33985"/>
      <c r="T33985"/>
      <c r="U33985"/>
      <c r="X33985" s="60"/>
    </row>
    <row r="33986" spans="7:24" ht="15" customHeight="1">
      <c r="G33986"/>
      <c r="I33986"/>
      <c r="N33986"/>
      <c r="O33986" s="24"/>
      <c r="P33986"/>
      <c r="Q33986" s="24"/>
      <c r="R33986"/>
      <c r="S33986"/>
      <c r="T33986"/>
      <c r="U33986"/>
      <c r="X33986" s="60"/>
    </row>
    <row r="33987" spans="7:24" ht="15" customHeight="1">
      <c r="G33987"/>
      <c r="I33987"/>
      <c r="N33987"/>
      <c r="O33987" s="24"/>
      <c r="P33987"/>
      <c r="Q33987" s="24"/>
      <c r="R33987"/>
      <c r="S33987"/>
      <c r="T33987"/>
      <c r="U33987"/>
      <c r="X33987" s="60"/>
    </row>
    <row r="33988" spans="7:24" ht="15" customHeight="1">
      <c r="G33988"/>
      <c r="I33988"/>
      <c r="N33988"/>
      <c r="O33988" s="24"/>
      <c r="P33988"/>
      <c r="Q33988" s="24"/>
      <c r="R33988"/>
      <c r="S33988"/>
      <c r="T33988"/>
      <c r="U33988"/>
      <c r="X33988" s="60"/>
    </row>
    <row r="33989" spans="7:24" ht="15" customHeight="1">
      <c r="G33989"/>
      <c r="I33989"/>
      <c r="N33989"/>
      <c r="O33989" s="24"/>
      <c r="P33989"/>
      <c r="Q33989" s="24"/>
      <c r="R33989"/>
      <c r="S33989"/>
      <c r="T33989"/>
      <c r="U33989"/>
      <c r="X33989" s="60"/>
    </row>
    <row r="33990" spans="7:24" ht="15" customHeight="1">
      <c r="G33990"/>
      <c r="I33990"/>
      <c r="N33990"/>
      <c r="O33990" s="24"/>
      <c r="P33990"/>
      <c r="Q33990" s="24"/>
      <c r="R33990"/>
      <c r="S33990"/>
      <c r="T33990"/>
      <c r="U33990"/>
      <c r="X33990" s="60"/>
    </row>
    <row r="33991" spans="7:24" ht="15" customHeight="1">
      <c r="G33991"/>
      <c r="I33991"/>
      <c r="N33991"/>
      <c r="O33991" s="24"/>
      <c r="P33991"/>
      <c r="Q33991" s="24"/>
      <c r="R33991"/>
      <c r="S33991"/>
      <c r="T33991"/>
      <c r="U33991"/>
      <c r="X33991" s="60"/>
    </row>
    <row r="33992" spans="7:24" ht="15" customHeight="1">
      <c r="G33992"/>
      <c r="I33992"/>
      <c r="N33992"/>
      <c r="O33992" s="24"/>
      <c r="P33992"/>
      <c r="Q33992" s="24"/>
      <c r="R33992"/>
      <c r="S33992"/>
      <c r="T33992"/>
      <c r="U33992"/>
      <c r="X33992" s="60"/>
    </row>
    <row r="33993" spans="7:24" ht="15" customHeight="1">
      <c r="G33993"/>
      <c r="I33993"/>
      <c r="N33993"/>
      <c r="O33993" s="24"/>
      <c r="P33993"/>
      <c r="Q33993" s="24"/>
      <c r="R33993"/>
      <c r="S33993"/>
      <c r="T33993"/>
      <c r="U33993"/>
      <c r="X33993" s="60"/>
    </row>
    <row r="33994" spans="7:24" ht="15" customHeight="1">
      <c r="G33994"/>
      <c r="I33994"/>
      <c r="N33994"/>
      <c r="O33994" s="24"/>
      <c r="P33994"/>
      <c r="Q33994" s="24"/>
      <c r="R33994"/>
      <c r="S33994"/>
      <c r="T33994"/>
      <c r="U33994"/>
      <c r="X33994" s="60"/>
    </row>
    <row r="33995" spans="7:24" ht="15" customHeight="1">
      <c r="G33995"/>
      <c r="I33995"/>
      <c r="N33995"/>
      <c r="O33995" s="24"/>
      <c r="P33995"/>
      <c r="Q33995" s="24"/>
      <c r="R33995"/>
      <c r="S33995"/>
      <c r="T33995"/>
      <c r="U33995"/>
      <c r="X33995" s="60"/>
    </row>
    <row r="33996" spans="7:24" ht="15" customHeight="1">
      <c r="G33996"/>
      <c r="I33996"/>
      <c r="N33996"/>
      <c r="O33996" s="24"/>
      <c r="P33996"/>
      <c r="Q33996" s="24"/>
      <c r="R33996"/>
      <c r="S33996"/>
      <c r="T33996"/>
      <c r="U33996"/>
      <c r="X33996" s="60"/>
    </row>
    <row r="33997" spans="7:24" ht="15" customHeight="1">
      <c r="G33997"/>
      <c r="I33997"/>
      <c r="N33997"/>
      <c r="O33997" s="24"/>
      <c r="P33997"/>
      <c r="Q33997" s="24"/>
      <c r="R33997"/>
      <c r="S33997"/>
      <c r="T33997"/>
      <c r="U33997"/>
      <c r="X33997" s="60"/>
    </row>
    <row r="33998" spans="7:24" ht="15" customHeight="1">
      <c r="G33998"/>
      <c r="I33998"/>
      <c r="N33998"/>
      <c r="O33998" s="24"/>
      <c r="P33998"/>
      <c r="Q33998" s="24"/>
      <c r="R33998"/>
      <c r="S33998"/>
      <c r="T33998"/>
      <c r="U33998"/>
      <c r="X33998" s="60"/>
    </row>
    <row r="33999" spans="7:24" ht="15" customHeight="1">
      <c r="G33999"/>
      <c r="I33999"/>
      <c r="N33999"/>
      <c r="O33999" s="24"/>
      <c r="P33999"/>
      <c r="Q33999" s="24"/>
      <c r="R33999"/>
      <c r="S33999"/>
      <c r="T33999"/>
      <c r="U33999"/>
      <c r="X33999" s="60"/>
    </row>
    <row r="34000" spans="7:24" ht="15" customHeight="1">
      <c r="G34000"/>
      <c r="I34000"/>
      <c r="N34000"/>
      <c r="O34000" s="24"/>
      <c r="P34000"/>
      <c r="Q34000" s="24"/>
      <c r="R34000"/>
      <c r="S34000"/>
      <c r="T34000"/>
      <c r="U34000"/>
      <c r="X34000" s="60"/>
    </row>
    <row r="34001" spans="7:24" ht="15" customHeight="1">
      <c r="G34001"/>
      <c r="I34001"/>
      <c r="N34001"/>
      <c r="O34001" s="24"/>
      <c r="P34001"/>
      <c r="Q34001" s="24"/>
      <c r="R34001"/>
      <c r="S34001"/>
      <c r="T34001"/>
      <c r="U34001"/>
      <c r="X34001" s="60"/>
    </row>
    <row r="34002" spans="7:24" ht="15" customHeight="1">
      <c r="G34002"/>
      <c r="I34002"/>
      <c r="N34002"/>
      <c r="O34002" s="24"/>
      <c r="P34002"/>
      <c r="Q34002" s="24"/>
      <c r="R34002"/>
      <c r="S34002"/>
      <c r="T34002"/>
      <c r="U34002"/>
      <c r="X34002" s="60"/>
    </row>
    <row r="34003" spans="7:24" ht="15" customHeight="1">
      <c r="G34003"/>
      <c r="I34003"/>
      <c r="N34003"/>
      <c r="O34003" s="24"/>
      <c r="P34003"/>
      <c r="Q34003" s="24"/>
      <c r="R34003"/>
      <c r="S34003"/>
      <c r="T34003"/>
      <c r="U34003"/>
      <c r="X34003" s="60"/>
    </row>
    <row r="34004" spans="7:24" ht="15" customHeight="1">
      <c r="G34004"/>
      <c r="I34004"/>
      <c r="N34004"/>
      <c r="O34004" s="24"/>
      <c r="P34004"/>
      <c r="Q34004" s="24"/>
      <c r="R34004"/>
      <c r="S34004"/>
      <c r="T34004"/>
      <c r="U34004"/>
      <c r="X34004" s="60"/>
    </row>
    <row r="34005" spans="7:24" ht="15" customHeight="1">
      <c r="G34005"/>
      <c r="I34005"/>
      <c r="N34005"/>
      <c r="O34005" s="24"/>
      <c r="P34005"/>
      <c r="Q34005" s="24"/>
      <c r="R34005"/>
      <c r="S34005"/>
      <c r="T34005"/>
      <c r="U34005"/>
      <c r="X34005" s="60"/>
    </row>
    <row r="34006" spans="7:24" ht="15" customHeight="1">
      <c r="G34006"/>
      <c r="I34006"/>
      <c r="N34006"/>
      <c r="O34006" s="24"/>
      <c r="P34006"/>
      <c r="Q34006" s="24"/>
      <c r="R34006"/>
      <c r="S34006"/>
      <c r="T34006"/>
      <c r="U34006"/>
      <c r="X34006" s="60"/>
    </row>
    <row r="34007" spans="7:24" ht="15" customHeight="1">
      <c r="G34007"/>
      <c r="I34007"/>
      <c r="N34007"/>
      <c r="O34007" s="24"/>
      <c r="P34007"/>
      <c r="Q34007" s="24"/>
      <c r="R34007"/>
      <c r="S34007"/>
      <c r="T34007"/>
      <c r="U34007"/>
      <c r="X34007" s="60"/>
    </row>
    <row r="34008" spans="7:24" ht="15" customHeight="1">
      <c r="G34008"/>
      <c r="I34008"/>
      <c r="N34008"/>
      <c r="O34008" s="24"/>
      <c r="P34008"/>
      <c r="Q34008" s="24"/>
      <c r="R34008"/>
      <c r="S34008"/>
      <c r="T34008"/>
      <c r="U34008"/>
      <c r="X34008" s="60"/>
    </row>
    <row r="34009" spans="7:24" ht="15" customHeight="1">
      <c r="G34009"/>
      <c r="I34009"/>
      <c r="N34009"/>
      <c r="O34009" s="24"/>
      <c r="P34009"/>
      <c r="Q34009" s="24"/>
      <c r="R34009"/>
      <c r="S34009"/>
      <c r="T34009"/>
      <c r="U34009"/>
      <c r="X34009" s="60"/>
    </row>
    <row r="34010" spans="7:24" ht="15" customHeight="1">
      <c r="G34010"/>
      <c r="I34010"/>
      <c r="N34010"/>
      <c r="O34010" s="24"/>
      <c r="P34010"/>
      <c r="Q34010" s="24"/>
      <c r="R34010"/>
      <c r="S34010"/>
      <c r="T34010"/>
      <c r="U34010"/>
      <c r="X34010" s="60"/>
    </row>
    <row r="34011" spans="7:24" ht="15" customHeight="1">
      <c r="G34011"/>
      <c r="I34011"/>
      <c r="N34011"/>
      <c r="O34011" s="24"/>
      <c r="P34011"/>
      <c r="Q34011" s="24"/>
      <c r="R34011"/>
      <c r="S34011"/>
      <c r="T34011"/>
      <c r="U34011"/>
      <c r="X34011" s="60"/>
    </row>
    <row r="34012" spans="7:24" ht="15" customHeight="1">
      <c r="G34012"/>
      <c r="I34012"/>
      <c r="N34012"/>
      <c r="O34012" s="24"/>
      <c r="P34012"/>
      <c r="Q34012" s="24"/>
      <c r="R34012"/>
      <c r="S34012"/>
      <c r="T34012"/>
      <c r="U34012"/>
      <c r="X34012" s="60"/>
    </row>
    <row r="34013" spans="7:24" ht="15" customHeight="1">
      <c r="G34013"/>
      <c r="I34013"/>
      <c r="N34013"/>
      <c r="O34013" s="24"/>
      <c r="P34013"/>
      <c r="Q34013" s="24"/>
      <c r="R34013"/>
      <c r="S34013"/>
      <c r="T34013"/>
      <c r="U34013"/>
      <c r="X34013" s="60"/>
    </row>
    <row r="34014" spans="7:24" ht="15" customHeight="1">
      <c r="G34014"/>
      <c r="I34014"/>
      <c r="N34014"/>
      <c r="O34014" s="24"/>
      <c r="P34014"/>
      <c r="Q34014" s="24"/>
      <c r="R34014"/>
      <c r="S34014"/>
      <c r="T34014"/>
      <c r="U34014"/>
      <c r="X34014" s="60"/>
    </row>
    <row r="34015" spans="7:24" ht="15" customHeight="1">
      <c r="G34015"/>
      <c r="I34015"/>
      <c r="N34015"/>
      <c r="O34015" s="24"/>
      <c r="P34015"/>
      <c r="Q34015" s="24"/>
      <c r="R34015"/>
      <c r="S34015"/>
      <c r="T34015"/>
      <c r="U34015"/>
      <c r="X34015" s="60"/>
    </row>
    <row r="34016" spans="7:24" ht="15" customHeight="1">
      <c r="G34016"/>
      <c r="I34016"/>
      <c r="N34016"/>
      <c r="O34016" s="24"/>
      <c r="P34016"/>
      <c r="Q34016" s="24"/>
      <c r="R34016"/>
      <c r="S34016"/>
      <c r="T34016"/>
      <c r="U34016"/>
      <c r="X34016" s="60"/>
    </row>
    <row r="34017" spans="7:24" ht="15" customHeight="1">
      <c r="G34017"/>
      <c r="I34017"/>
      <c r="N34017"/>
      <c r="O34017" s="24"/>
      <c r="P34017"/>
      <c r="Q34017" s="24"/>
      <c r="R34017"/>
      <c r="S34017"/>
      <c r="T34017"/>
      <c r="U34017"/>
      <c r="X34017" s="60"/>
    </row>
    <row r="34018" spans="7:24" ht="15" customHeight="1">
      <c r="G34018"/>
      <c r="I34018"/>
      <c r="N34018"/>
      <c r="O34018" s="24"/>
      <c r="P34018"/>
      <c r="Q34018" s="24"/>
      <c r="R34018"/>
      <c r="S34018"/>
      <c r="T34018"/>
      <c r="U34018"/>
      <c r="X34018" s="60"/>
    </row>
    <row r="34019" spans="7:24" ht="15" customHeight="1">
      <c r="G34019"/>
      <c r="I34019"/>
      <c r="N34019"/>
      <c r="O34019" s="24"/>
      <c r="P34019"/>
      <c r="Q34019" s="24"/>
      <c r="R34019"/>
      <c r="S34019"/>
      <c r="T34019"/>
      <c r="U34019"/>
      <c r="X34019" s="60"/>
    </row>
    <row r="34020" spans="7:24" ht="15" customHeight="1">
      <c r="G34020"/>
      <c r="I34020"/>
      <c r="N34020"/>
      <c r="O34020" s="24"/>
      <c r="P34020"/>
      <c r="Q34020" s="24"/>
      <c r="R34020"/>
      <c r="S34020"/>
      <c r="T34020"/>
      <c r="U34020"/>
      <c r="X34020" s="60"/>
    </row>
    <row r="34021" spans="7:24" ht="15" customHeight="1">
      <c r="G34021"/>
      <c r="I34021"/>
      <c r="N34021"/>
      <c r="O34021" s="24"/>
      <c r="P34021"/>
      <c r="Q34021" s="24"/>
      <c r="R34021"/>
      <c r="S34021"/>
      <c r="T34021"/>
      <c r="U34021"/>
      <c r="X34021" s="60"/>
    </row>
    <row r="34022" spans="7:24" ht="15" customHeight="1">
      <c r="G34022"/>
      <c r="I34022"/>
      <c r="N34022"/>
      <c r="O34022" s="24"/>
      <c r="P34022"/>
      <c r="Q34022" s="24"/>
      <c r="R34022"/>
      <c r="S34022"/>
      <c r="T34022"/>
      <c r="U34022"/>
      <c r="X34022" s="60"/>
    </row>
    <row r="34023" spans="7:24" ht="15" customHeight="1">
      <c r="G34023"/>
      <c r="I34023"/>
      <c r="N34023"/>
      <c r="O34023" s="24"/>
      <c r="P34023"/>
      <c r="Q34023" s="24"/>
      <c r="R34023"/>
      <c r="S34023"/>
      <c r="T34023"/>
      <c r="U34023"/>
      <c r="X34023" s="60"/>
    </row>
    <row r="34024" spans="7:24" ht="15" customHeight="1">
      <c r="G34024"/>
      <c r="I34024"/>
      <c r="N34024"/>
      <c r="O34024" s="24"/>
      <c r="P34024"/>
      <c r="Q34024" s="24"/>
      <c r="R34024"/>
      <c r="S34024"/>
      <c r="T34024"/>
      <c r="U34024"/>
      <c r="X34024" s="60"/>
    </row>
    <row r="34025" spans="7:24" ht="15" customHeight="1">
      <c r="G34025"/>
      <c r="I34025"/>
      <c r="N34025"/>
      <c r="O34025" s="24"/>
      <c r="P34025"/>
      <c r="Q34025" s="24"/>
      <c r="R34025"/>
      <c r="S34025"/>
      <c r="T34025"/>
      <c r="U34025"/>
      <c r="X34025" s="60"/>
    </row>
    <row r="34026" spans="7:24" ht="15" customHeight="1">
      <c r="G34026"/>
      <c r="I34026"/>
      <c r="N34026"/>
      <c r="O34026" s="24"/>
      <c r="P34026"/>
      <c r="Q34026" s="24"/>
      <c r="R34026"/>
      <c r="S34026"/>
      <c r="T34026"/>
      <c r="U34026"/>
      <c r="X34026" s="60"/>
    </row>
    <row r="34027" spans="7:24" ht="15" customHeight="1">
      <c r="G34027"/>
      <c r="I34027"/>
      <c r="N34027"/>
      <c r="O34027" s="24"/>
      <c r="P34027"/>
      <c r="Q34027" s="24"/>
      <c r="R34027"/>
      <c r="S34027"/>
      <c r="T34027"/>
      <c r="U34027"/>
      <c r="X34027" s="60"/>
    </row>
    <row r="34028" spans="7:24" ht="15" customHeight="1">
      <c r="G34028"/>
      <c r="I34028"/>
      <c r="N34028"/>
      <c r="O34028" s="24"/>
      <c r="P34028"/>
      <c r="Q34028" s="24"/>
      <c r="R34028"/>
      <c r="S34028"/>
      <c r="T34028"/>
      <c r="U34028"/>
      <c r="X34028" s="60"/>
    </row>
    <row r="34029" spans="7:24" ht="15" customHeight="1">
      <c r="G34029"/>
      <c r="I34029"/>
      <c r="N34029"/>
      <c r="O34029" s="24"/>
      <c r="P34029"/>
      <c r="Q34029" s="24"/>
      <c r="R34029"/>
      <c r="S34029"/>
      <c r="T34029"/>
      <c r="U34029"/>
      <c r="X34029" s="60"/>
    </row>
    <row r="34030" spans="7:24" ht="15" customHeight="1">
      <c r="G34030"/>
      <c r="I34030"/>
      <c r="N34030"/>
      <c r="O34030" s="24"/>
      <c r="P34030"/>
      <c r="Q34030" s="24"/>
      <c r="R34030"/>
      <c r="S34030"/>
      <c r="T34030"/>
      <c r="U34030"/>
      <c r="X34030" s="60"/>
    </row>
    <row r="34031" spans="7:24" ht="15" customHeight="1">
      <c r="G34031"/>
      <c r="I34031"/>
      <c r="N34031"/>
      <c r="O34031" s="24"/>
      <c r="P34031"/>
      <c r="Q34031" s="24"/>
      <c r="R34031"/>
      <c r="S34031"/>
      <c r="T34031"/>
      <c r="U34031"/>
      <c r="X34031" s="60"/>
    </row>
    <row r="34032" spans="7:24" ht="15" customHeight="1">
      <c r="G34032"/>
      <c r="I34032"/>
      <c r="N34032"/>
      <c r="O34032" s="24"/>
      <c r="P34032"/>
      <c r="Q34032" s="24"/>
      <c r="R34032"/>
      <c r="S34032"/>
      <c r="T34032"/>
      <c r="U34032"/>
      <c r="X34032" s="60"/>
    </row>
    <row r="34033" spans="7:24" ht="15" customHeight="1">
      <c r="G34033"/>
      <c r="I34033"/>
      <c r="N34033"/>
      <c r="O34033" s="24"/>
      <c r="P34033"/>
      <c r="Q34033" s="24"/>
      <c r="R34033"/>
      <c r="S34033"/>
      <c r="T34033"/>
      <c r="U34033"/>
      <c r="X34033" s="60"/>
    </row>
    <row r="34034" spans="7:24" ht="15" customHeight="1">
      <c r="G34034"/>
      <c r="I34034"/>
      <c r="N34034"/>
      <c r="O34034" s="24"/>
      <c r="P34034"/>
      <c r="Q34034" s="24"/>
      <c r="R34034"/>
      <c r="S34034"/>
      <c r="T34034"/>
      <c r="U34034"/>
      <c r="X34034" s="60"/>
    </row>
    <row r="34035" spans="7:24" ht="15" customHeight="1">
      <c r="G34035"/>
      <c r="I34035"/>
      <c r="N34035"/>
      <c r="O34035" s="24"/>
      <c r="P34035"/>
      <c r="Q34035" s="24"/>
      <c r="R34035"/>
      <c r="S34035"/>
      <c r="T34035"/>
      <c r="U34035"/>
      <c r="X34035" s="60"/>
    </row>
    <row r="34036" spans="7:24" ht="15" customHeight="1">
      <c r="G34036"/>
      <c r="I34036"/>
      <c r="N34036"/>
      <c r="O34036" s="24"/>
      <c r="P34036"/>
      <c r="Q34036" s="24"/>
      <c r="R34036"/>
      <c r="S34036"/>
      <c r="T34036"/>
      <c r="U34036"/>
      <c r="X34036" s="60"/>
    </row>
    <row r="34037" spans="7:24" ht="15" customHeight="1">
      <c r="G34037"/>
      <c r="I34037"/>
      <c r="N34037"/>
      <c r="O34037" s="24"/>
      <c r="P34037"/>
      <c r="Q34037" s="24"/>
      <c r="R34037"/>
      <c r="S34037"/>
      <c r="T34037"/>
      <c r="U34037"/>
      <c r="X34037" s="60"/>
    </row>
    <row r="34038" spans="7:24" ht="15" customHeight="1">
      <c r="G34038"/>
      <c r="I34038"/>
      <c r="N34038"/>
      <c r="O34038" s="24"/>
      <c r="P34038"/>
      <c r="Q34038" s="24"/>
      <c r="R34038"/>
      <c r="S34038"/>
      <c r="T34038"/>
      <c r="U34038"/>
      <c r="X34038" s="60"/>
    </row>
    <row r="34039" spans="7:24" ht="15" customHeight="1">
      <c r="G34039"/>
      <c r="I34039"/>
      <c r="N34039"/>
      <c r="O34039" s="24"/>
      <c r="P34039"/>
      <c r="Q34039" s="24"/>
      <c r="R34039"/>
      <c r="S34039"/>
      <c r="T34039"/>
      <c r="U34039"/>
      <c r="X34039" s="60"/>
    </row>
    <row r="34040" spans="7:24" ht="15" customHeight="1">
      <c r="G34040"/>
      <c r="I34040"/>
      <c r="N34040"/>
      <c r="O34040" s="24"/>
      <c r="P34040"/>
      <c r="Q34040" s="24"/>
      <c r="R34040"/>
      <c r="S34040"/>
      <c r="T34040"/>
      <c r="U34040"/>
      <c r="X34040" s="60"/>
    </row>
    <row r="34041" spans="7:24" ht="15" customHeight="1">
      <c r="G34041"/>
      <c r="I34041"/>
      <c r="N34041"/>
      <c r="O34041" s="24"/>
      <c r="P34041"/>
      <c r="Q34041" s="24"/>
      <c r="R34041"/>
      <c r="S34041"/>
      <c r="T34041"/>
      <c r="U34041"/>
      <c r="X34041" s="60"/>
    </row>
    <row r="34042" spans="7:24" ht="15" customHeight="1">
      <c r="G34042"/>
      <c r="I34042"/>
      <c r="N34042"/>
      <c r="O34042" s="24"/>
      <c r="P34042"/>
      <c r="Q34042" s="24"/>
      <c r="R34042"/>
      <c r="S34042"/>
      <c r="T34042"/>
      <c r="U34042"/>
      <c r="X34042" s="60"/>
    </row>
    <row r="34043" spans="7:24" ht="15" customHeight="1">
      <c r="G34043"/>
      <c r="I34043"/>
      <c r="N34043"/>
      <c r="O34043" s="24"/>
      <c r="P34043"/>
      <c r="Q34043" s="24"/>
      <c r="R34043"/>
      <c r="S34043"/>
      <c r="T34043"/>
      <c r="U34043"/>
      <c r="X34043" s="60"/>
    </row>
    <row r="34044" spans="7:24" ht="15" customHeight="1">
      <c r="G34044"/>
      <c r="I34044"/>
      <c r="N34044"/>
      <c r="O34044" s="24"/>
      <c r="P34044"/>
      <c r="Q34044" s="24"/>
      <c r="R34044"/>
      <c r="S34044"/>
      <c r="T34044"/>
      <c r="U34044"/>
      <c r="X34044" s="60"/>
    </row>
    <row r="34045" spans="7:24" ht="15" customHeight="1">
      <c r="G34045"/>
      <c r="I34045"/>
      <c r="N34045"/>
      <c r="O34045" s="24"/>
      <c r="P34045"/>
      <c r="Q34045" s="24"/>
      <c r="R34045"/>
      <c r="S34045"/>
      <c r="T34045"/>
      <c r="U34045"/>
      <c r="X34045" s="60"/>
    </row>
    <row r="34046" spans="7:24" ht="15" customHeight="1">
      <c r="G34046"/>
      <c r="I34046"/>
      <c r="N34046"/>
      <c r="O34046" s="24"/>
      <c r="P34046"/>
      <c r="Q34046" s="24"/>
      <c r="R34046"/>
      <c r="S34046"/>
      <c r="T34046"/>
      <c r="U34046"/>
      <c r="X34046" s="60"/>
    </row>
    <row r="34047" spans="7:24" ht="15" customHeight="1">
      <c r="G34047"/>
      <c r="I34047"/>
      <c r="N34047"/>
      <c r="O34047" s="24"/>
      <c r="P34047"/>
      <c r="Q34047" s="24"/>
      <c r="R34047"/>
      <c r="S34047"/>
      <c r="T34047"/>
      <c r="U34047"/>
      <c r="X34047" s="60"/>
    </row>
    <row r="34048" spans="7:24" ht="15" customHeight="1">
      <c r="G34048"/>
      <c r="I34048"/>
      <c r="N34048"/>
      <c r="O34048" s="24"/>
      <c r="P34048"/>
      <c r="Q34048" s="24"/>
      <c r="R34048"/>
      <c r="S34048"/>
      <c r="T34048"/>
      <c r="U34048"/>
      <c r="X34048" s="60"/>
    </row>
    <row r="34049" spans="7:24" ht="15" customHeight="1">
      <c r="G34049"/>
      <c r="I34049"/>
      <c r="N34049"/>
      <c r="O34049" s="24"/>
      <c r="P34049"/>
      <c r="Q34049" s="24"/>
      <c r="R34049"/>
      <c r="S34049"/>
      <c r="T34049"/>
      <c r="U34049"/>
      <c r="X34049" s="60"/>
    </row>
    <row r="34050" spans="7:24" ht="15" customHeight="1">
      <c r="G34050"/>
      <c r="I34050"/>
      <c r="N34050"/>
      <c r="O34050" s="24"/>
      <c r="P34050"/>
      <c r="Q34050" s="24"/>
      <c r="R34050"/>
      <c r="S34050"/>
      <c r="T34050"/>
      <c r="U34050"/>
      <c r="X34050" s="60"/>
    </row>
    <row r="34051" spans="7:24" ht="15" customHeight="1">
      <c r="G34051"/>
      <c r="I34051"/>
      <c r="N34051"/>
      <c r="O34051" s="24"/>
      <c r="P34051"/>
      <c r="Q34051" s="24"/>
      <c r="R34051"/>
      <c r="S34051"/>
      <c r="T34051"/>
      <c r="U34051"/>
      <c r="X34051" s="60"/>
    </row>
    <row r="34052" spans="7:24" ht="15" customHeight="1">
      <c r="G34052"/>
      <c r="I34052"/>
      <c r="N34052"/>
      <c r="O34052" s="24"/>
      <c r="P34052"/>
      <c r="Q34052" s="24"/>
      <c r="R34052"/>
      <c r="S34052"/>
      <c r="T34052"/>
      <c r="U34052"/>
      <c r="X34052" s="60"/>
    </row>
    <row r="34053" spans="7:24" ht="15" customHeight="1">
      <c r="G34053"/>
      <c r="I34053"/>
      <c r="N34053"/>
      <c r="O34053" s="24"/>
      <c r="P34053"/>
      <c r="Q34053" s="24"/>
      <c r="R34053"/>
      <c r="S34053"/>
      <c r="T34053"/>
      <c r="U34053"/>
      <c r="X34053" s="60"/>
    </row>
    <row r="34054" spans="7:24" ht="15" customHeight="1">
      <c r="G34054"/>
      <c r="I34054"/>
      <c r="N34054"/>
      <c r="O34054" s="24"/>
      <c r="P34054"/>
      <c r="Q34054" s="24"/>
      <c r="R34054"/>
      <c r="S34054"/>
      <c r="T34054"/>
      <c r="U34054"/>
      <c r="X34054" s="60"/>
    </row>
    <row r="34055" spans="7:24" ht="15" customHeight="1">
      <c r="G34055"/>
      <c r="I34055"/>
      <c r="N34055"/>
      <c r="O34055" s="24"/>
      <c r="P34055"/>
      <c r="Q34055" s="24"/>
      <c r="R34055"/>
      <c r="S34055"/>
      <c r="T34055"/>
      <c r="U34055"/>
      <c r="X34055" s="60"/>
    </row>
    <row r="34056" spans="7:24" ht="15" customHeight="1">
      <c r="G34056"/>
      <c r="I34056"/>
      <c r="N34056"/>
      <c r="O34056" s="24"/>
      <c r="P34056"/>
      <c r="Q34056" s="24"/>
      <c r="R34056"/>
      <c r="S34056"/>
      <c r="T34056"/>
      <c r="U34056"/>
      <c r="X34056" s="60"/>
    </row>
    <row r="34057" spans="7:24" ht="15" customHeight="1">
      <c r="G34057"/>
      <c r="I34057"/>
      <c r="N34057"/>
      <c r="O34057" s="24"/>
      <c r="P34057"/>
      <c r="Q34057" s="24"/>
      <c r="R34057"/>
      <c r="S34057"/>
      <c r="T34057"/>
      <c r="U34057"/>
      <c r="X34057" s="60"/>
    </row>
    <row r="34058" spans="7:24" ht="15" customHeight="1">
      <c r="G34058"/>
      <c r="I34058"/>
      <c r="N34058"/>
      <c r="O34058" s="24"/>
      <c r="P34058"/>
      <c r="Q34058" s="24"/>
      <c r="R34058"/>
      <c r="S34058"/>
      <c r="T34058"/>
      <c r="U34058"/>
      <c r="X34058" s="60"/>
    </row>
    <row r="34059" spans="7:24" ht="15" customHeight="1">
      <c r="G34059"/>
      <c r="I34059"/>
      <c r="N34059"/>
      <c r="O34059" s="24"/>
      <c r="P34059"/>
      <c r="Q34059" s="24"/>
      <c r="R34059"/>
      <c r="S34059"/>
      <c r="T34059"/>
      <c r="U34059"/>
      <c r="X34059" s="60"/>
    </row>
    <row r="34060" spans="7:24" ht="15" customHeight="1">
      <c r="G34060"/>
      <c r="I34060"/>
      <c r="N34060"/>
      <c r="O34060" s="24"/>
      <c r="P34060"/>
      <c r="Q34060" s="24"/>
      <c r="R34060"/>
      <c r="S34060"/>
      <c r="T34060"/>
      <c r="U34060"/>
      <c r="X34060" s="60"/>
    </row>
    <row r="34061" spans="7:24" ht="15" customHeight="1">
      <c r="G34061"/>
      <c r="I34061"/>
      <c r="N34061"/>
      <c r="O34061" s="24"/>
      <c r="P34061"/>
      <c r="Q34061" s="24"/>
      <c r="R34061"/>
      <c r="S34061"/>
      <c r="T34061"/>
      <c r="U34061"/>
      <c r="X34061" s="60"/>
    </row>
    <row r="34062" spans="7:24" ht="15" customHeight="1">
      <c r="G34062"/>
      <c r="I34062"/>
      <c r="N34062"/>
      <c r="O34062" s="24"/>
      <c r="P34062"/>
      <c r="Q34062" s="24"/>
      <c r="R34062"/>
      <c r="S34062"/>
      <c r="T34062"/>
      <c r="U34062"/>
      <c r="X34062" s="60"/>
    </row>
    <row r="34063" spans="7:24" ht="15" customHeight="1">
      <c r="G34063"/>
      <c r="I34063"/>
      <c r="N34063"/>
      <c r="O34063" s="24"/>
      <c r="P34063"/>
      <c r="Q34063" s="24"/>
      <c r="R34063"/>
      <c r="S34063"/>
      <c r="T34063"/>
      <c r="U34063"/>
      <c r="X34063" s="60"/>
    </row>
    <row r="34064" spans="7:24" ht="15" customHeight="1">
      <c r="G34064"/>
      <c r="I34064"/>
      <c r="N34064"/>
      <c r="O34064" s="24"/>
      <c r="P34064"/>
      <c r="Q34064" s="24"/>
      <c r="R34064"/>
      <c r="S34064"/>
      <c r="T34064"/>
      <c r="U34064"/>
      <c r="X34064" s="60"/>
    </row>
    <row r="34065" spans="7:24" ht="15" customHeight="1">
      <c r="G34065"/>
      <c r="I34065"/>
      <c r="N34065"/>
      <c r="O34065" s="24"/>
      <c r="P34065"/>
      <c r="Q34065" s="24"/>
      <c r="R34065"/>
      <c r="S34065"/>
      <c r="T34065"/>
      <c r="U34065"/>
      <c r="X34065" s="60"/>
    </row>
    <row r="34066" spans="7:24" ht="15" customHeight="1">
      <c r="G34066"/>
      <c r="I34066"/>
      <c r="N34066"/>
      <c r="O34066" s="24"/>
      <c r="P34066"/>
      <c r="Q34066" s="24"/>
      <c r="R34066"/>
      <c r="S34066"/>
      <c r="T34066"/>
      <c r="U34066"/>
      <c r="X34066" s="60"/>
    </row>
    <row r="34067" spans="7:24" ht="15" customHeight="1">
      <c r="G34067"/>
      <c r="I34067"/>
      <c r="N34067"/>
      <c r="O34067" s="24"/>
      <c r="P34067"/>
      <c r="Q34067" s="24"/>
      <c r="R34067"/>
      <c r="S34067"/>
      <c r="T34067"/>
      <c r="U34067"/>
      <c r="X34067" s="60"/>
    </row>
    <row r="34068" spans="7:24" ht="15" customHeight="1">
      <c r="G34068"/>
      <c r="I34068"/>
      <c r="N34068"/>
      <c r="O34068" s="24"/>
      <c r="P34068"/>
      <c r="Q34068" s="24"/>
      <c r="R34068"/>
      <c r="S34068"/>
      <c r="T34068"/>
      <c r="U34068"/>
      <c r="X34068" s="60"/>
    </row>
    <row r="34069" spans="7:24" ht="15" customHeight="1">
      <c r="G34069"/>
      <c r="I34069"/>
      <c r="N34069"/>
      <c r="O34069" s="24"/>
      <c r="P34069"/>
      <c r="Q34069" s="24"/>
      <c r="R34069"/>
      <c r="S34069"/>
      <c r="T34069"/>
      <c r="U34069"/>
      <c r="X34069" s="60"/>
    </row>
    <row r="34070" spans="7:24" ht="15" customHeight="1">
      <c r="G34070"/>
      <c r="I34070"/>
      <c r="N34070"/>
      <c r="O34070" s="24"/>
      <c r="P34070"/>
      <c r="Q34070" s="24"/>
      <c r="R34070"/>
      <c r="S34070"/>
      <c r="T34070"/>
      <c r="U34070"/>
      <c r="X34070" s="60"/>
    </row>
    <row r="34071" spans="7:24" ht="15" customHeight="1">
      <c r="G34071"/>
      <c r="I34071"/>
      <c r="N34071"/>
      <c r="O34071" s="24"/>
      <c r="P34071"/>
      <c r="Q34071" s="24"/>
      <c r="R34071"/>
      <c r="S34071"/>
      <c r="T34071"/>
      <c r="U34071"/>
      <c r="X34071" s="60"/>
    </row>
    <row r="34072" spans="7:24" ht="15" customHeight="1">
      <c r="G34072"/>
      <c r="I34072"/>
      <c r="N34072"/>
      <c r="O34072" s="24"/>
      <c r="P34072"/>
      <c r="Q34072" s="24"/>
      <c r="R34072"/>
      <c r="S34072"/>
      <c r="T34072"/>
      <c r="U34072"/>
      <c r="X34072" s="60"/>
    </row>
    <row r="34073" spans="7:24" ht="15" customHeight="1">
      <c r="G34073"/>
      <c r="I34073"/>
      <c r="N34073"/>
      <c r="O34073" s="24"/>
      <c r="P34073"/>
      <c r="Q34073" s="24"/>
      <c r="R34073"/>
      <c r="S34073"/>
      <c r="T34073"/>
      <c r="U34073"/>
      <c r="X34073" s="60"/>
    </row>
    <row r="34074" spans="7:24" ht="15" customHeight="1">
      <c r="G34074"/>
      <c r="I34074"/>
      <c r="N34074"/>
      <c r="O34074" s="24"/>
      <c r="P34074"/>
      <c r="Q34074" s="24"/>
      <c r="R34074"/>
      <c r="S34074"/>
      <c r="T34074"/>
      <c r="U34074"/>
      <c r="X34074" s="60"/>
    </row>
    <row r="34075" spans="7:24" ht="15" customHeight="1">
      <c r="G34075"/>
      <c r="I34075"/>
      <c r="N34075"/>
      <c r="O34075" s="24"/>
      <c r="P34075"/>
      <c r="Q34075" s="24"/>
      <c r="R34075"/>
      <c r="S34075"/>
      <c r="T34075"/>
      <c r="U34075"/>
      <c r="X34075" s="60"/>
    </row>
    <row r="34076" spans="7:24" ht="15" customHeight="1">
      <c r="G34076"/>
      <c r="I34076"/>
      <c r="N34076"/>
      <c r="O34076" s="24"/>
      <c r="P34076"/>
      <c r="Q34076" s="24"/>
      <c r="R34076"/>
      <c r="S34076"/>
      <c r="T34076"/>
      <c r="U34076"/>
      <c r="X34076" s="60"/>
    </row>
    <row r="34077" spans="7:24" ht="15" customHeight="1">
      <c r="G34077"/>
      <c r="I34077"/>
      <c r="N34077"/>
      <c r="O34077" s="24"/>
      <c r="P34077"/>
      <c r="Q34077" s="24"/>
      <c r="R34077"/>
      <c r="S34077"/>
      <c r="T34077"/>
      <c r="U34077"/>
      <c r="X34077" s="60"/>
    </row>
    <row r="34078" spans="7:24" ht="15" customHeight="1">
      <c r="G34078"/>
      <c r="I34078"/>
      <c r="N34078"/>
      <c r="O34078" s="24"/>
      <c r="P34078"/>
      <c r="Q34078" s="24"/>
      <c r="R34078"/>
      <c r="S34078"/>
      <c r="T34078"/>
      <c r="U34078"/>
      <c r="X34078" s="60"/>
    </row>
    <row r="34079" spans="7:24" ht="15" customHeight="1">
      <c r="G34079"/>
      <c r="I34079"/>
      <c r="N34079"/>
      <c r="O34079" s="24"/>
      <c r="P34079"/>
      <c r="Q34079" s="24"/>
      <c r="R34079"/>
      <c r="S34079"/>
      <c r="T34079"/>
      <c r="U34079"/>
      <c r="X34079" s="60"/>
    </row>
    <row r="34080" spans="7:24" ht="15" customHeight="1">
      <c r="G34080"/>
      <c r="I34080"/>
      <c r="N34080"/>
      <c r="O34080" s="24"/>
      <c r="P34080"/>
      <c r="Q34080" s="24"/>
      <c r="R34080"/>
      <c r="S34080"/>
      <c r="T34080"/>
      <c r="U34080"/>
      <c r="X34080" s="60"/>
    </row>
    <row r="34081" spans="7:24" ht="15" customHeight="1">
      <c r="G34081"/>
      <c r="I34081"/>
      <c r="N34081"/>
      <c r="O34081" s="24"/>
      <c r="P34081"/>
      <c r="Q34081" s="24"/>
      <c r="R34081"/>
      <c r="S34081"/>
      <c r="T34081"/>
      <c r="U34081"/>
      <c r="X34081" s="60"/>
    </row>
    <row r="34082" spans="7:24" ht="15" customHeight="1">
      <c r="G34082"/>
      <c r="I34082"/>
      <c r="N34082"/>
      <c r="O34082" s="24"/>
      <c r="P34082"/>
      <c r="Q34082" s="24"/>
      <c r="R34082"/>
      <c r="S34082"/>
      <c r="T34082"/>
      <c r="U34082"/>
      <c r="X34082" s="60"/>
    </row>
    <row r="34083" spans="7:24" ht="15" customHeight="1">
      <c r="G34083"/>
      <c r="I34083"/>
      <c r="N34083"/>
      <c r="O34083" s="24"/>
      <c r="P34083"/>
      <c r="Q34083" s="24"/>
      <c r="R34083"/>
      <c r="S34083"/>
      <c r="T34083"/>
      <c r="U34083"/>
      <c r="X34083" s="60"/>
    </row>
    <row r="34084" spans="7:24" ht="15" customHeight="1">
      <c r="G34084"/>
      <c r="I34084"/>
      <c r="N34084"/>
      <c r="O34084" s="24"/>
      <c r="P34084"/>
      <c r="Q34084" s="24"/>
      <c r="R34084"/>
      <c r="S34084"/>
      <c r="T34084"/>
      <c r="U34084"/>
      <c r="X34084" s="60"/>
    </row>
    <row r="34085" spans="7:24" ht="15" customHeight="1">
      <c r="G34085"/>
      <c r="I34085"/>
      <c r="N34085"/>
      <c r="O34085" s="24"/>
      <c r="P34085"/>
      <c r="Q34085" s="24"/>
      <c r="R34085"/>
      <c r="S34085"/>
      <c r="T34085"/>
      <c r="U34085"/>
      <c r="X34085" s="60"/>
    </row>
    <row r="34086" spans="7:24" ht="15" customHeight="1">
      <c r="G34086"/>
      <c r="I34086"/>
      <c r="N34086"/>
      <c r="O34086" s="24"/>
      <c r="P34086"/>
      <c r="Q34086" s="24"/>
      <c r="R34086"/>
      <c r="S34086"/>
      <c r="T34086"/>
      <c r="U34086"/>
      <c r="X34086" s="60"/>
    </row>
    <row r="34087" spans="7:24" ht="15" customHeight="1">
      <c r="G34087"/>
      <c r="I34087"/>
      <c r="N34087"/>
      <c r="O34087" s="24"/>
      <c r="P34087"/>
      <c r="Q34087" s="24"/>
      <c r="R34087"/>
      <c r="S34087"/>
      <c r="T34087"/>
      <c r="U34087"/>
      <c r="X34087" s="60"/>
    </row>
    <row r="34088" spans="7:24" ht="15" customHeight="1">
      <c r="G34088"/>
      <c r="I34088"/>
      <c r="N34088"/>
      <c r="O34088" s="24"/>
      <c r="P34088"/>
      <c r="Q34088" s="24"/>
      <c r="R34088"/>
      <c r="S34088"/>
      <c r="T34088"/>
      <c r="U34088"/>
      <c r="X34088" s="60"/>
    </row>
    <row r="34089" spans="7:24" ht="15" customHeight="1">
      <c r="G34089"/>
      <c r="I34089"/>
      <c r="N34089"/>
      <c r="O34089" s="24"/>
      <c r="P34089"/>
      <c r="Q34089" s="24"/>
      <c r="R34089"/>
      <c r="S34089"/>
      <c r="T34089"/>
      <c r="U34089"/>
      <c r="X34089" s="60"/>
    </row>
    <row r="34090" spans="7:24" ht="15" customHeight="1">
      <c r="G34090"/>
      <c r="I34090"/>
      <c r="N34090"/>
      <c r="O34090" s="24"/>
      <c r="P34090"/>
      <c r="Q34090" s="24"/>
      <c r="R34090"/>
      <c r="S34090"/>
      <c r="T34090"/>
      <c r="U34090"/>
      <c r="X34090" s="60"/>
    </row>
    <row r="34091" spans="7:24" ht="15" customHeight="1">
      <c r="G34091"/>
      <c r="I34091"/>
      <c r="N34091"/>
      <c r="O34091" s="24"/>
      <c r="P34091"/>
      <c r="Q34091" s="24"/>
      <c r="R34091"/>
      <c r="S34091"/>
      <c r="T34091"/>
      <c r="U34091"/>
      <c r="X34091" s="60"/>
    </row>
    <row r="34092" spans="7:24" ht="15" customHeight="1">
      <c r="G34092"/>
      <c r="I34092"/>
      <c r="N34092"/>
      <c r="O34092" s="24"/>
      <c r="P34092"/>
      <c r="Q34092" s="24"/>
      <c r="R34092"/>
      <c r="S34092"/>
      <c r="T34092"/>
      <c r="U34092"/>
      <c r="X34092" s="60"/>
    </row>
    <row r="34093" spans="7:24" ht="15" customHeight="1">
      <c r="G34093"/>
      <c r="I34093"/>
      <c r="N34093"/>
      <c r="O34093" s="24"/>
      <c r="P34093"/>
      <c r="Q34093" s="24"/>
      <c r="R34093"/>
      <c r="S34093"/>
      <c r="T34093"/>
      <c r="U34093"/>
      <c r="X34093" s="60"/>
    </row>
    <row r="34094" spans="7:24" ht="15" customHeight="1">
      <c r="G34094"/>
      <c r="I34094"/>
      <c r="N34094"/>
      <c r="O34094" s="24"/>
      <c r="P34094"/>
      <c r="Q34094" s="24"/>
      <c r="R34094"/>
      <c r="S34094"/>
      <c r="T34094"/>
      <c r="U34094"/>
      <c r="X34094" s="60"/>
    </row>
    <row r="34095" spans="7:24" ht="15" customHeight="1">
      <c r="G34095"/>
      <c r="I34095"/>
      <c r="N34095"/>
      <c r="O34095" s="24"/>
      <c r="P34095"/>
      <c r="Q34095" s="24"/>
      <c r="R34095"/>
      <c r="S34095"/>
      <c r="T34095"/>
      <c r="U34095"/>
      <c r="X34095" s="60"/>
    </row>
    <row r="34096" spans="7:24" ht="15" customHeight="1">
      <c r="G34096"/>
      <c r="I34096"/>
      <c r="N34096"/>
      <c r="O34096" s="24"/>
      <c r="P34096"/>
      <c r="Q34096" s="24"/>
      <c r="R34096"/>
      <c r="S34096"/>
      <c r="T34096"/>
      <c r="U34096"/>
      <c r="X34096" s="60"/>
    </row>
    <row r="34097" spans="7:24" ht="15" customHeight="1">
      <c r="G34097"/>
      <c r="I34097"/>
      <c r="N34097"/>
      <c r="O34097" s="24"/>
      <c r="P34097"/>
      <c r="Q34097" s="24"/>
      <c r="R34097"/>
      <c r="S34097"/>
      <c r="T34097"/>
      <c r="U34097"/>
      <c r="X34097" s="60"/>
    </row>
    <row r="34098" spans="7:24" ht="15" customHeight="1">
      <c r="G34098"/>
      <c r="I34098"/>
      <c r="N34098"/>
      <c r="O34098" s="24"/>
      <c r="P34098"/>
      <c r="Q34098" s="24"/>
      <c r="R34098"/>
      <c r="S34098"/>
      <c r="T34098"/>
      <c r="U34098"/>
      <c r="X34098" s="60"/>
    </row>
    <row r="34099" spans="7:24" ht="15" customHeight="1">
      <c r="G34099"/>
      <c r="I34099"/>
      <c r="N34099"/>
      <c r="O34099" s="24"/>
      <c r="P34099"/>
      <c r="Q34099" s="24"/>
      <c r="R34099"/>
      <c r="S34099"/>
      <c r="T34099"/>
      <c r="U34099"/>
      <c r="X34099" s="60"/>
    </row>
    <row r="34100" spans="7:24" ht="15" customHeight="1">
      <c r="G34100"/>
      <c r="I34100"/>
      <c r="N34100"/>
      <c r="O34100" s="24"/>
      <c r="P34100"/>
      <c r="Q34100" s="24"/>
      <c r="R34100"/>
      <c r="S34100"/>
      <c r="T34100"/>
      <c r="U34100"/>
      <c r="X34100" s="60"/>
    </row>
    <row r="34101" spans="7:24" ht="15" customHeight="1">
      <c r="G34101"/>
      <c r="I34101"/>
      <c r="N34101"/>
      <c r="O34101" s="24"/>
      <c r="P34101"/>
      <c r="Q34101" s="24"/>
      <c r="R34101"/>
      <c r="S34101"/>
      <c r="T34101"/>
      <c r="U34101"/>
      <c r="X34101" s="60"/>
    </row>
    <row r="34102" spans="7:24" ht="15" customHeight="1">
      <c r="G34102"/>
      <c r="I34102"/>
      <c r="N34102"/>
      <c r="O34102" s="24"/>
      <c r="P34102"/>
      <c r="Q34102" s="24"/>
      <c r="R34102"/>
      <c r="S34102"/>
      <c r="T34102"/>
      <c r="U34102"/>
      <c r="X34102" s="60"/>
    </row>
    <row r="34103" spans="7:24" ht="15" customHeight="1">
      <c r="G34103"/>
      <c r="I34103"/>
      <c r="N34103"/>
      <c r="O34103" s="24"/>
      <c r="P34103"/>
      <c r="Q34103" s="24"/>
      <c r="R34103"/>
      <c r="S34103"/>
      <c r="T34103"/>
      <c r="U34103"/>
      <c r="X34103" s="60"/>
    </row>
    <row r="34104" spans="7:24" ht="15" customHeight="1">
      <c r="G34104"/>
      <c r="I34104"/>
      <c r="N34104"/>
      <c r="O34104" s="24"/>
      <c r="P34104"/>
      <c r="Q34104" s="24"/>
      <c r="R34104"/>
      <c r="S34104"/>
      <c r="T34104"/>
      <c r="U34104"/>
      <c r="X34104" s="60"/>
    </row>
    <row r="34105" spans="7:24" ht="15" customHeight="1">
      <c r="G34105"/>
      <c r="I34105"/>
      <c r="N34105"/>
      <c r="O34105" s="24"/>
      <c r="P34105"/>
      <c r="Q34105" s="24"/>
      <c r="R34105"/>
      <c r="S34105"/>
      <c r="T34105"/>
      <c r="U34105"/>
      <c r="X34105" s="60"/>
    </row>
    <row r="34106" spans="7:24" ht="15" customHeight="1">
      <c r="G34106"/>
      <c r="I34106"/>
      <c r="N34106"/>
      <c r="O34106" s="24"/>
      <c r="P34106"/>
      <c r="Q34106" s="24"/>
      <c r="R34106"/>
      <c r="S34106"/>
      <c r="T34106"/>
      <c r="U34106"/>
      <c r="X34106" s="60"/>
    </row>
    <row r="34107" spans="7:24" ht="15" customHeight="1">
      <c r="G34107"/>
      <c r="I34107"/>
      <c r="N34107"/>
      <c r="O34107" s="24"/>
      <c r="P34107"/>
      <c r="Q34107" s="24"/>
      <c r="R34107"/>
      <c r="S34107"/>
      <c r="T34107"/>
      <c r="U34107"/>
      <c r="X34107" s="60"/>
    </row>
    <row r="34108" spans="7:24" ht="15" customHeight="1">
      <c r="G34108"/>
      <c r="I34108"/>
      <c r="N34108"/>
      <c r="O34108" s="24"/>
      <c r="P34108"/>
      <c r="Q34108" s="24"/>
      <c r="R34108"/>
      <c r="S34108"/>
      <c r="T34108"/>
      <c r="U34108"/>
      <c r="X34108" s="60"/>
    </row>
    <row r="34109" spans="7:24" ht="15" customHeight="1">
      <c r="G34109"/>
      <c r="I34109"/>
      <c r="N34109"/>
      <c r="O34109" s="24"/>
      <c r="P34109"/>
      <c r="Q34109" s="24"/>
      <c r="R34109"/>
      <c r="S34109"/>
      <c r="T34109"/>
      <c r="U34109"/>
      <c r="X34109" s="60"/>
    </row>
    <row r="34110" spans="7:24" ht="15" customHeight="1">
      <c r="G34110"/>
      <c r="I34110"/>
      <c r="N34110"/>
      <c r="O34110" s="24"/>
      <c r="P34110"/>
      <c r="Q34110" s="24"/>
      <c r="R34110"/>
      <c r="S34110"/>
      <c r="T34110"/>
      <c r="U34110"/>
      <c r="X34110" s="60"/>
    </row>
    <row r="34111" spans="7:24" ht="15" customHeight="1">
      <c r="G34111"/>
      <c r="I34111"/>
      <c r="N34111"/>
      <c r="O34111" s="24"/>
      <c r="P34111"/>
      <c r="Q34111" s="24"/>
      <c r="R34111"/>
      <c r="S34111"/>
      <c r="T34111"/>
      <c r="U34111"/>
      <c r="X34111" s="60"/>
    </row>
    <row r="34112" spans="7:24" ht="15" customHeight="1">
      <c r="G34112"/>
      <c r="I34112"/>
      <c r="N34112"/>
      <c r="O34112" s="24"/>
      <c r="P34112"/>
      <c r="Q34112" s="24"/>
      <c r="R34112"/>
      <c r="S34112"/>
      <c r="T34112"/>
      <c r="U34112"/>
      <c r="X34112" s="60"/>
    </row>
    <row r="34113" spans="7:24" ht="15" customHeight="1">
      <c r="G34113"/>
      <c r="I34113"/>
      <c r="N34113"/>
      <c r="O34113" s="24"/>
      <c r="P34113"/>
      <c r="Q34113" s="24"/>
      <c r="R34113"/>
      <c r="S34113"/>
      <c r="T34113"/>
      <c r="U34113"/>
      <c r="X34113" s="60"/>
    </row>
    <row r="34114" spans="7:24" ht="15" customHeight="1">
      <c r="G34114"/>
      <c r="I34114"/>
      <c r="N34114"/>
      <c r="O34114" s="24"/>
      <c r="P34114"/>
      <c r="Q34114" s="24"/>
      <c r="R34114"/>
      <c r="S34114"/>
      <c r="T34114"/>
      <c r="U34114"/>
      <c r="X34114" s="60"/>
    </row>
    <row r="34115" spans="7:24" ht="15" customHeight="1">
      <c r="G34115"/>
      <c r="I34115"/>
      <c r="N34115"/>
      <c r="O34115" s="24"/>
      <c r="P34115"/>
      <c r="Q34115" s="24"/>
      <c r="R34115"/>
      <c r="S34115"/>
      <c r="T34115"/>
      <c r="U34115"/>
      <c r="X34115" s="60"/>
    </row>
    <row r="34116" spans="7:24" ht="15" customHeight="1">
      <c r="G34116"/>
      <c r="I34116"/>
      <c r="N34116"/>
      <c r="O34116" s="24"/>
      <c r="P34116"/>
      <c r="Q34116" s="24"/>
      <c r="R34116"/>
      <c r="S34116"/>
      <c r="T34116"/>
      <c r="U34116"/>
      <c r="X34116" s="60"/>
    </row>
    <row r="34117" spans="7:24" ht="15" customHeight="1">
      <c r="G34117"/>
      <c r="I34117"/>
      <c r="N34117"/>
      <c r="O34117" s="24"/>
      <c r="P34117"/>
      <c r="Q34117" s="24"/>
      <c r="R34117"/>
      <c r="S34117"/>
      <c r="T34117"/>
      <c r="U34117"/>
      <c r="X34117" s="60"/>
    </row>
    <row r="34118" spans="7:24" ht="15" customHeight="1">
      <c r="G34118"/>
      <c r="I34118"/>
      <c r="N34118"/>
      <c r="O34118" s="24"/>
      <c r="P34118"/>
      <c r="Q34118" s="24"/>
      <c r="R34118"/>
      <c r="S34118"/>
      <c r="T34118"/>
      <c r="U34118"/>
      <c r="X34118" s="60"/>
    </row>
    <row r="34119" spans="7:24" ht="15" customHeight="1">
      <c r="G34119"/>
      <c r="I34119"/>
      <c r="N34119"/>
      <c r="O34119" s="24"/>
      <c r="P34119"/>
      <c r="Q34119" s="24"/>
      <c r="R34119"/>
      <c r="S34119"/>
      <c r="T34119"/>
      <c r="U34119"/>
      <c r="X34119" s="60"/>
    </row>
    <row r="34120" spans="7:24" ht="15" customHeight="1">
      <c r="G34120"/>
      <c r="I34120"/>
      <c r="N34120"/>
      <c r="O34120" s="24"/>
      <c r="P34120"/>
      <c r="Q34120" s="24"/>
      <c r="R34120"/>
      <c r="S34120"/>
      <c r="T34120"/>
      <c r="U34120"/>
      <c r="X34120" s="60"/>
    </row>
    <row r="34121" spans="7:24" ht="15" customHeight="1">
      <c r="G34121"/>
      <c r="I34121"/>
      <c r="N34121"/>
      <c r="O34121" s="24"/>
      <c r="P34121"/>
      <c r="Q34121" s="24"/>
      <c r="R34121"/>
      <c r="S34121"/>
      <c r="T34121"/>
      <c r="U34121"/>
      <c r="X34121" s="60"/>
    </row>
    <row r="34122" spans="7:24" ht="15" customHeight="1">
      <c r="G34122"/>
      <c r="I34122"/>
      <c r="N34122"/>
      <c r="O34122" s="24"/>
      <c r="P34122"/>
      <c r="Q34122" s="24"/>
      <c r="R34122"/>
      <c r="S34122"/>
      <c r="T34122"/>
      <c r="U34122"/>
      <c r="X34122" s="60"/>
    </row>
    <row r="34123" spans="7:24" ht="15" customHeight="1">
      <c r="G34123"/>
      <c r="I34123"/>
      <c r="N34123"/>
      <c r="O34123" s="24"/>
      <c r="P34123"/>
      <c r="Q34123" s="24"/>
      <c r="R34123"/>
      <c r="S34123"/>
      <c r="T34123"/>
      <c r="U34123"/>
      <c r="X34123" s="60"/>
    </row>
    <row r="34124" spans="7:24" ht="15" customHeight="1">
      <c r="G34124"/>
      <c r="I34124"/>
      <c r="N34124"/>
      <c r="O34124" s="24"/>
      <c r="P34124"/>
      <c r="Q34124" s="24"/>
      <c r="R34124"/>
      <c r="S34124"/>
      <c r="T34124"/>
      <c r="U34124"/>
      <c r="X34124" s="60"/>
    </row>
    <row r="34125" spans="7:24" ht="15" customHeight="1">
      <c r="G34125"/>
      <c r="I34125"/>
      <c r="N34125"/>
      <c r="O34125" s="24"/>
      <c r="P34125"/>
      <c r="Q34125" s="24"/>
      <c r="R34125"/>
      <c r="S34125"/>
      <c r="T34125"/>
      <c r="U34125"/>
      <c r="X34125" s="60"/>
    </row>
    <row r="34126" spans="7:24" ht="15" customHeight="1">
      <c r="G34126"/>
      <c r="I34126"/>
      <c r="N34126"/>
      <c r="O34126" s="24"/>
      <c r="P34126"/>
      <c r="Q34126" s="24"/>
      <c r="R34126"/>
      <c r="S34126"/>
      <c r="T34126"/>
      <c r="U34126"/>
      <c r="X34126" s="60"/>
    </row>
    <row r="34127" spans="7:24" ht="15" customHeight="1">
      <c r="G34127"/>
      <c r="I34127"/>
      <c r="N34127"/>
      <c r="O34127" s="24"/>
      <c r="P34127"/>
      <c r="Q34127" s="24"/>
      <c r="R34127"/>
      <c r="S34127"/>
      <c r="T34127"/>
      <c r="U34127"/>
      <c r="X34127" s="60"/>
    </row>
    <row r="34128" spans="7:24" ht="15" customHeight="1">
      <c r="G34128"/>
      <c r="I34128"/>
      <c r="N34128"/>
      <c r="O34128" s="24"/>
      <c r="P34128"/>
      <c r="Q34128" s="24"/>
      <c r="R34128"/>
      <c r="S34128"/>
      <c r="T34128"/>
      <c r="U34128"/>
      <c r="X34128" s="60"/>
    </row>
    <row r="34129" spans="7:24" ht="15" customHeight="1">
      <c r="G34129"/>
      <c r="I34129"/>
      <c r="N34129"/>
      <c r="O34129" s="24"/>
      <c r="P34129"/>
      <c r="Q34129" s="24"/>
      <c r="R34129"/>
      <c r="S34129"/>
      <c r="T34129"/>
      <c r="U34129"/>
      <c r="X34129" s="60"/>
    </row>
    <row r="34130" spans="7:24" ht="15" customHeight="1">
      <c r="G34130"/>
      <c r="I34130"/>
      <c r="N34130"/>
      <c r="O34130" s="24"/>
      <c r="P34130"/>
      <c r="Q34130" s="24"/>
      <c r="R34130"/>
      <c r="S34130"/>
      <c r="T34130"/>
      <c r="U34130"/>
      <c r="X34130" s="60"/>
    </row>
    <row r="34131" spans="7:24" ht="15" customHeight="1">
      <c r="G34131"/>
      <c r="I34131"/>
      <c r="N34131"/>
      <c r="O34131" s="24"/>
      <c r="P34131"/>
      <c r="Q34131" s="24"/>
      <c r="R34131"/>
      <c r="S34131"/>
      <c r="T34131"/>
      <c r="U34131"/>
      <c r="X34131" s="60"/>
    </row>
    <row r="34132" spans="7:24" ht="15" customHeight="1">
      <c r="G34132"/>
      <c r="I34132"/>
      <c r="N34132"/>
      <c r="O34132" s="24"/>
      <c r="P34132"/>
      <c r="Q34132" s="24"/>
      <c r="R34132"/>
      <c r="S34132"/>
      <c r="T34132"/>
      <c r="U34132"/>
      <c r="X34132" s="60"/>
    </row>
    <row r="34133" spans="7:24" ht="15" customHeight="1">
      <c r="G34133"/>
      <c r="I34133"/>
      <c r="N34133"/>
      <c r="O34133" s="24"/>
      <c r="P34133"/>
      <c r="Q34133" s="24"/>
      <c r="R34133"/>
      <c r="S34133"/>
      <c r="T34133"/>
      <c r="U34133"/>
      <c r="X34133" s="60"/>
    </row>
    <row r="34134" spans="7:24" ht="15" customHeight="1">
      <c r="G34134"/>
      <c r="I34134"/>
      <c r="N34134"/>
      <c r="O34134" s="24"/>
      <c r="P34134"/>
      <c r="Q34134" s="24"/>
      <c r="R34134"/>
      <c r="S34134"/>
      <c r="T34134"/>
      <c r="U34134"/>
      <c r="X34134" s="60"/>
    </row>
    <row r="34135" spans="7:24" ht="15" customHeight="1">
      <c r="G34135"/>
      <c r="I34135"/>
      <c r="N34135"/>
      <c r="O34135" s="24"/>
      <c r="P34135"/>
      <c r="Q34135" s="24"/>
      <c r="R34135"/>
      <c r="S34135"/>
      <c r="T34135"/>
      <c r="U34135"/>
      <c r="X34135" s="60"/>
    </row>
    <row r="34136" spans="7:24" ht="15" customHeight="1">
      <c r="G34136"/>
      <c r="I34136"/>
      <c r="N34136"/>
      <c r="O34136" s="24"/>
      <c r="P34136"/>
      <c r="Q34136" s="24"/>
      <c r="R34136"/>
      <c r="S34136"/>
      <c r="T34136"/>
      <c r="U34136"/>
      <c r="X34136" s="60"/>
    </row>
    <row r="34137" spans="7:24" ht="15" customHeight="1">
      <c r="G34137"/>
      <c r="I34137"/>
      <c r="N34137"/>
      <c r="O34137" s="24"/>
      <c r="P34137"/>
      <c r="Q34137" s="24"/>
      <c r="R34137"/>
      <c r="S34137"/>
      <c r="T34137"/>
      <c r="U34137"/>
      <c r="X34137" s="60"/>
    </row>
    <row r="34138" spans="7:24" ht="15" customHeight="1">
      <c r="G34138"/>
      <c r="I34138"/>
      <c r="N34138"/>
      <c r="O34138" s="24"/>
      <c r="P34138"/>
      <c r="Q34138" s="24"/>
      <c r="R34138"/>
      <c r="S34138"/>
      <c r="T34138"/>
      <c r="U34138"/>
      <c r="X34138" s="60"/>
    </row>
    <row r="34139" spans="7:24" ht="15" customHeight="1">
      <c r="G34139"/>
      <c r="I34139"/>
      <c r="N34139"/>
      <c r="O34139" s="24"/>
      <c r="P34139"/>
      <c r="Q34139" s="24"/>
      <c r="R34139"/>
      <c r="S34139"/>
      <c r="T34139"/>
      <c r="U34139"/>
      <c r="X34139" s="60"/>
    </row>
    <row r="34140" spans="7:24" ht="15" customHeight="1">
      <c r="G34140"/>
      <c r="I34140"/>
      <c r="N34140"/>
      <c r="O34140" s="24"/>
      <c r="P34140"/>
      <c r="Q34140" s="24"/>
      <c r="R34140"/>
      <c r="S34140"/>
      <c r="T34140"/>
      <c r="U34140"/>
      <c r="X34140" s="60"/>
    </row>
    <row r="34141" spans="7:24" ht="15" customHeight="1">
      <c r="G34141"/>
      <c r="I34141"/>
      <c r="N34141"/>
      <c r="O34141" s="24"/>
      <c r="P34141"/>
      <c r="Q34141" s="24"/>
      <c r="R34141"/>
      <c r="S34141"/>
      <c r="T34141"/>
      <c r="U34141"/>
      <c r="X34141" s="60"/>
    </row>
    <row r="34142" spans="7:24" ht="15" customHeight="1">
      <c r="G34142"/>
      <c r="I34142"/>
      <c r="N34142"/>
      <c r="O34142" s="24"/>
      <c r="P34142"/>
      <c r="Q34142" s="24"/>
      <c r="R34142"/>
      <c r="S34142"/>
      <c r="T34142"/>
      <c r="U34142"/>
      <c r="X34142" s="60"/>
    </row>
    <row r="34143" spans="7:24" ht="15" customHeight="1">
      <c r="G34143"/>
      <c r="I34143"/>
      <c r="N34143"/>
      <c r="O34143" s="24"/>
      <c r="P34143"/>
      <c r="Q34143" s="24"/>
      <c r="R34143"/>
      <c r="S34143"/>
      <c r="T34143"/>
      <c r="U34143"/>
      <c r="X34143" s="60"/>
    </row>
    <row r="34144" spans="7:24" ht="15" customHeight="1">
      <c r="G34144"/>
      <c r="I34144"/>
      <c r="N34144"/>
      <c r="O34144" s="24"/>
      <c r="P34144"/>
      <c r="Q34144" s="24"/>
      <c r="R34144"/>
      <c r="S34144"/>
      <c r="T34144"/>
      <c r="U34144"/>
      <c r="X34144" s="60"/>
    </row>
    <row r="34145" spans="7:24" ht="15" customHeight="1">
      <c r="G34145"/>
      <c r="I34145"/>
      <c r="N34145"/>
      <c r="O34145" s="24"/>
      <c r="P34145"/>
      <c r="Q34145" s="24"/>
      <c r="R34145"/>
      <c r="S34145"/>
      <c r="T34145"/>
      <c r="U34145"/>
      <c r="X34145" s="60"/>
    </row>
    <row r="34146" spans="7:24" ht="15" customHeight="1">
      <c r="G34146"/>
      <c r="I34146"/>
      <c r="N34146"/>
      <c r="O34146" s="24"/>
      <c r="P34146"/>
      <c r="Q34146" s="24"/>
      <c r="R34146"/>
      <c r="S34146"/>
      <c r="T34146"/>
      <c r="U34146"/>
      <c r="X34146" s="60"/>
    </row>
    <row r="34147" spans="7:24" ht="15" customHeight="1">
      <c r="G34147"/>
      <c r="I34147"/>
      <c r="N34147"/>
      <c r="O34147" s="24"/>
      <c r="P34147"/>
      <c r="Q34147" s="24"/>
      <c r="R34147"/>
      <c r="S34147"/>
      <c r="T34147"/>
      <c r="U34147"/>
      <c r="X34147" s="60"/>
    </row>
    <row r="34148" spans="7:24" ht="15" customHeight="1">
      <c r="G34148"/>
      <c r="I34148"/>
      <c r="N34148"/>
      <c r="O34148" s="24"/>
      <c r="P34148"/>
      <c r="Q34148" s="24"/>
      <c r="R34148"/>
      <c r="S34148"/>
      <c r="T34148"/>
      <c r="U34148"/>
      <c r="X34148" s="60"/>
    </row>
    <row r="34149" spans="7:24" ht="15" customHeight="1">
      <c r="G34149"/>
      <c r="I34149"/>
      <c r="N34149"/>
      <c r="O34149" s="24"/>
      <c r="P34149"/>
      <c r="Q34149" s="24"/>
      <c r="R34149"/>
      <c r="S34149"/>
      <c r="T34149"/>
      <c r="U34149"/>
      <c r="X34149" s="60"/>
    </row>
    <row r="34150" spans="7:24" ht="15" customHeight="1">
      <c r="G34150"/>
      <c r="I34150"/>
      <c r="N34150"/>
      <c r="O34150" s="24"/>
      <c r="P34150"/>
      <c r="Q34150" s="24"/>
      <c r="R34150"/>
      <c r="S34150"/>
      <c r="T34150"/>
      <c r="U34150"/>
      <c r="X34150" s="60"/>
    </row>
    <row r="34151" spans="7:24" ht="15" customHeight="1">
      <c r="G34151"/>
      <c r="I34151"/>
      <c r="N34151"/>
      <c r="O34151" s="24"/>
      <c r="P34151"/>
      <c r="Q34151" s="24"/>
      <c r="R34151"/>
      <c r="S34151"/>
      <c r="T34151"/>
      <c r="U34151"/>
      <c r="X34151" s="60"/>
    </row>
    <row r="34152" spans="7:24" ht="15" customHeight="1">
      <c r="G34152"/>
      <c r="I34152"/>
      <c r="N34152"/>
      <c r="O34152" s="24"/>
      <c r="P34152"/>
      <c r="Q34152" s="24"/>
      <c r="R34152"/>
      <c r="S34152"/>
      <c r="T34152"/>
      <c r="U34152"/>
      <c r="X34152" s="60"/>
    </row>
    <row r="34153" spans="7:24" ht="15" customHeight="1">
      <c r="G34153"/>
      <c r="I34153"/>
      <c r="N34153"/>
      <c r="O34153" s="24"/>
      <c r="P34153"/>
      <c r="Q34153" s="24"/>
      <c r="R34153"/>
      <c r="S34153"/>
      <c r="T34153"/>
      <c r="U34153"/>
      <c r="X34153" s="60"/>
    </row>
    <row r="34154" spans="7:24" ht="15" customHeight="1">
      <c r="G34154"/>
      <c r="I34154"/>
      <c r="N34154"/>
      <c r="O34154" s="24"/>
      <c r="P34154"/>
      <c r="Q34154" s="24"/>
      <c r="R34154"/>
      <c r="S34154"/>
      <c r="T34154"/>
      <c r="U34154"/>
      <c r="X34154" s="60"/>
    </row>
    <row r="34155" spans="7:24" ht="15" customHeight="1">
      <c r="G34155"/>
      <c r="I34155"/>
      <c r="N34155"/>
      <c r="O34155" s="24"/>
      <c r="P34155"/>
      <c r="Q34155" s="24"/>
      <c r="R34155"/>
      <c r="S34155"/>
      <c r="T34155"/>
      <c r="U34155"/>
      <c r="X34155" s="60"/>
    </row>
    <row r="34156" spans="7:24" ht="15" customHeight="1">
      <c r="G34156"/>
      <c r="I34156"/>
      <c r="N34156"/>
      <c r="O34156" s="24"/>
      <c r="P34156"/>
      <c r="Q34156" s="24"/>
      <c r="R34156"/>
      <c r="S34156"/>
      <c r="T34156"/>
      <c r="U34156"/>
      <c r="X34156" s="60"/>
    </row>
    <row r="34157" spans="7:24" ht="15" customHeight="1">
      <c r="G34157"/>
      <c r="I34157"/>
      <c r="N34157"/>
      <c r="O34157" s="24"/>
      <c r="P34157"/>
      <c r="Q34157" s="24"/>
      <c r="R34157"/>
      <c r="S34157"/>
      <c r="T34157"/>
      <c r="U34157"/>
      <c r="X34157" s="60"/>
    </row>
    <row r="34158" spans="7:24" ht="15" customHeight="1">
      <c r="G34158"/>
      <c r="I34158"/>
      <c r="N34158"/>
      <c r="O34158" s="24"/>
      <c r="P34158"/>
      <c r="Q34158" s="24"/>
      <c r="R34158"/>
      <c r="S34158"/>
      <c r="T34158"/>
      <c r="U34158"/>
      <c r="X34158" s="60"/>
    </row>
    <row r="34159" spans="7:24" ht="15" customHeight="1">
      <c r="G34159"/>
      <c r="I34159"/>
      <c r="N34159"/>
      <c r="O34159" s="24"/>
      <c r="P34159"/>
      <c r="Q34159" s="24"/>
      <c r="R34159"/>
      <c r="S34159"/>
      <c r="T34159"/>
      <c r="U34159"/>
      <c r="X34159" s="60"/>
    </row>
    <row r="34160" spans="7:24" ht="15" customHeight="1">
      <c r="G34160"/>
      <c r="I34160"/>
      <c r="N34160"/>
      <c r="O34160" s="24"/>
      <c r="P34160"/>
      <c r="Q34160" s="24"/>
      <c r="R34160"/>
      <c r="S34160"/>
      <c r="T34160"/>
      <c r="U34160"/>
      <c r="X34160" s="60"/>
    </row>
    <row r="34161" spans="7:24" ht="15" customHeight="1">
      <c r="G34161"/>
      <c r="I34161"/>
      <c r="N34161"/>
      <c r="O34161" s="24"/>
      <c r="P34161"/>
      <c r="Q34161" s="24"/>
      <c r="R34161"/>
      <c r="S34161"/>
      <c r="T34161"/>
      <c r="U34161"/>
      <c r="X34161" s="60"/>
    </row>
    <row r="34162" spans="7:24" ht="15" customHeight="1">
      <c r="G34162"/>
      <c r="I34162"/>
      <c r="N34162"/>
      <c r="O34162" s="24"/>
      <c r="P34162"/>
      <c r="Q34162" s="24"/>
      <c r="R34162"/>
      <c r="S34162"/>
      <c r="T34162"/>
      <c r="U34162"/>
      <c r="X34162" s="60"/>
    </row>
    <row r="34163" spans="7:24" ht="15" customHeight="1">
      <c r="G34163"/>
      <c r="I34163"/>
      <c r="N34163"/>
      <c r="O34163" s="24"/>
      <c r="P34163"/>
      <c r="Q34163" s="24"/>
      <c r="R34163"/>
      <c r="S34163"/>
      <c r="T34163"/>
      <c r="U34163"/>
      <c r="X34163" s="60"/>
    </row>
    <row r="34164" spans="7:24" ht="15" customHeight="1">
      <c r="G34164"/>
      <c r="I34164"/>
      <c r="N34164"/>
      <c r="O34164" s="24"/>
      <c r="P34164"/>
      <c r="Q34164" s="24"/>
      <c r="R34164"/>
      <c r="S34164"/>
      <c r="T34164"/>
      <c r="U34164"/>
      <c r="X34164" s="60"/>
    </row>
    <row r="34165" spans="7:24" ht="15" customHeight="1">
      <c r="G34165"/>
      <c r="I34165"/>
      <c r="N34165"/>
      <c r="O34165" s="24"/>
      <c r="P34165"/>
      <c r="Q34165" s="24"/>
      <c r="R34165"/>
      <c r="S34165"/>
      <c r="T34165"/>
      <c r="U34165"/>
      <c r="X34165" s="60"/>
    </row>
    <row r="34166" spans="7:24" ht="15" customHeight="1">
      <c r="G34166"/>
      <c r="I34166"/>
      <c r="N34166"/>
      <c r="O34166" s="24"/>
      <c r="P34166"/>
      <c r="Q34166" s="24"/>
      <c r="R34166"/>
      <c r="S34166"/>
      <c r="T34166"/>
      <c r="U34166"/>
      <c r="X34166" s="60"/>
    </row>
    <row r="34167" spans="7:24" ht="15" customHeight="1">
      <c r="G34167"/>
      <c r="I34167"/>
      <c r="N34167"/>
      <c r="O34167" s="24"/>
      <c r="P34167"/>
      <c r="Q34167" s="24"/>
      <c r="R34167"/>
      <c r="S34167"/>
      <c r="T34167"/>
      <c r="U34167"/>
      <c r="X34167" s="60"/>
    </row>
    <row r="34168" spans="7:24" ht="15" customHeight="1">
      <c r="G34168"/>
      <c r="I34168"/>
      <c r="N34168"/>
      <c r="O34168" s="24"/>
      <c r="P34168"/>
      <c r="Q34168" s="24"/>
      <c r="R34168"/>
      <c r="S34168"/>
      <c r="T34168"/>
      <c r="U34168"/>
      <c r="X34168" s="60"/>
    </row>
    <row r="34169" spans="7:24" ht="15" customHeight="1">
      <c r="G34169"/>
      <c r="I34169"/>
      <c r="N34169"/>
      <c r="O34169" s="24"/>
      <c r="P34169"/>
      <c r="Q34169" s="24"/>
      <c r="R34169"/>
      <c r="S34169"/>
      <c r="T34169"/>
      <c r="U34169"/>
      <c r="X34169" s="60"/>
    </row>
    <row r="34170" spans="7:24" ht="15" customHeight="1">
      <c r="G34170"/>
      <c r="I34170"/>
      <c r="N34170"/>
      <c r="O34170" s="24"/>
      <c r="P34170"/>
      <c r="Q34170" s="24"/>
      <c r="R34170"/>
      <c r="S34170"/>
      <c r="T34170"/>
      <c r="U34170"/>
      <c r="X34170" s="60"/>
    </row>
    <row r="34171" spans="7:24" ht="15" customHeight="1">
      <c r="G34171"/>
      <c r="I34171"/>
      <c r="N34171"/>
      <c r="O34171" s="24"/>
      <c r="P34171"/>
      <c r="Q34171" s="24"/>
      <c r="R34171"/>
      <c r="S34171"/>
      <c r="T34171"/>
      <c r="U34171"/>
      <c r="X34171" s="60"/>
    </row>
    <row r="34172" spans="7:24" ht="15" customHeight="1">
      <c r="G34172"/>
      <c r="I34172"/>
      <c r="N34172"/>
      <c r="O34172" s="24"/>
      <c r="P34172"/>
      <c r="Q34172" s="24"/>
      <c r="R34172"/>
      <c r="S34172"/>
      <c r="T34172"/>
      <c r="U34172"/>
      <c r="X34172" s="60"/>
    </row>
    <row r="34173" spans="7:24" ht="15" customHeight="1">
      <c r="G34173"/>
      <c r="I34173"/>
      <c r="N34173"/>
      <c r="O34173" s="24"/>
      <c r="P34173"/>
      <c r="Q34173" s="24"/>
      <c r="R34173"/>
      <c r="S34173"/>
      <c r="T34173"/>
      <c r="U34173"/>
      <c r="X34173" s="60"/>
    </row>
    <row r="34174" spans="7:24" ht="15" customHeight="1">
      <c r="G34174"/>
      <c r="I34174"/>
      <c r="N34174"/>
      <c r="O34174" s="24"/>
      <c r="P34174"/>
      <c r="Q34174" s="24"/>
      <c r="R34174"/>
      <c r="S34174"/>
      <c r="T34174"/>
      <c r="U34174"/>
      <c r="X34174" s="60"/>
    </row>
    <row r="34175" spans="7:24" ht="15" customHeight="1">
      <c r="G34175"/>
      <c r="I34175"/>
      <c r="N34175"/>
      <c r="O34175" s="24"/>
      <c r="P34175"/>
      <c r="Q34175" s="24"/>
      <c r="R34175"/>
      <c r="S34175"/>
      <c r="T34175"/>
      <c r="U34175"/>
      <c r="X34175" s="60"/>
    </row>
    <row r="34176" spans="7:24" ht="15" customHeight="1">
      <c r="G34176"/>
      <c r="I34176"/>
      <c r="N34176"/>
      <c r="O34176" s="24"/>
      <c r="P34176"/>
      <c r="Q34176" s="24"/>
      <c r="R34176"/>
      <c r="S34176"/>
      <c r="T34176"/>
      <c r="U34176"/>
      <c r="X34176" s="60"/>
    </row>
    <row r="34177" spans="7:24" ht="15" customHeight="1">
      <c r="G34177"/>
      <c r="I34177"/>
      <c r="N34177"/>
      <c r="O34177" s="24"/>
      <c r="P34177"/>
      <c r="Q34177" s="24"/>
      <c r="R34177"/>
      <c r="S34177"/>
      <c r="T34177"/>
      <c r="U34177"/>
      <c r="X34177" s="60"/>
    </row>
    <row r="34178" spans="7:24" ht="15" customHeight="1">
      <c r="G34178"/>
      <c r="I34178"/>
      <c r="N34178"/>
      <c r="O34178" s="24"/>
      <c r="P34178"/>
      <c r="Q34178" s="24"/>
      <c r="R34178"/>
      <c r="S34178"/>
      <c r="T34178"/>
      <c r="U34178"/>
      <c r="X34178" s="60"/>
    </row>
    <row r="34179" spans="7:24" ht="15" customHeight="1">
      <c r="G34179"/>
      <c r="I34179"/>
      <c r="N34179"/>
      <c r="O34179" s="24"/>
      <c r="P34179"/>
      <c r="Q34179" s="24"/>
      <c r="R34179"/>
      <c r="S34179"/>
      <c r="T34179"/>
      <c r="U34179"/>
      <c r="X34179" s="60"/>
    </row>
    <row r="34180" spans="7:24" ht="15" customHeight="1">
      <c r="G34180"/>
      <c r="I34180"/>
      <c r="N34180"/>
      <c r="O34180" s="24"/>
      <c r="P34180"/>
      <c r="Q34180" s="24"/>
      <c r="R34180"/>
      <c r="S34180"/>
      <c r="T34180"/>
      <c r="U34180"/>
      <c r="X34180" s="60"/>
    </row>
    <row r="34181" spans="7:24" ht="15" customHeight="1">
      <c r="G34181"/>
      <c r="I34181"/>
      <c r="N34181"/>
      <c r="O34181" s="24"/>
      <c r="P34181"/>
      <c r="Q34181" s="24"/>
      <c r="R34181"/>
      <c r="S34181"/>
      <c r="T34181"/>
      <c r="U34181"/>
      <c r="X34181" s="60"/>
    </row>
    <row r="34182" spans="7:24" ht="15" customHeight="1">
      <c r="G34182"/>
      <c r="I34182"/>
      <c r="N34182"/>
      <c r="O34182" s="24"/>
      <c r="P34182"/>
      <c r="Q34182" s="24"/>
      <c r="R34182"/>
      <c r="S34182"/>
      <c r="T34182"/>
      <c r="U34182"/>
      <c r="X34182" s="60"/>
    </row>
    <row r="34183" spans="7:24" ht="15" customHeight="1">
      <c r="G34183"/>
      <c r="I34183"/>
      <c r="N34183"/>
      <c r="O34183" s="24"/>
      <c r="P34183"/>
      <c r="Q34183" s="24"/>
      <c r="R34183"/>
      <c r="S34183"/>
      <c r="T34183"/>
      <c r="U34183"/>
      <c r="X34183" s="60"/>
    </row>
    <row r="34184" spans="7:24" ht="15" customHeight="1">
      <c r="G34184"/>
      <c r="I34184"/>
      <c r="N34184"/>
      <c r="O34184" s="24"/>
      <c r="P34184"/>
      <c r="Q34184" s="24"/>
      <c r="R34184"/>
      <c r="S34184"/>
      <c r="T34184"/>
      <c r="U34184"/>
      <c r="X34184" s="60"/>
    </row>
    <row r="34185" spans="7:24" ht="15" customHeight="1">
      <c r="G34185"/>
      <c r="I34185"/>
      <c r="N34185"/>
      <c r="O34185" s="24"/>
      <c r="P34185"/>
      <c r="Q34185" s="24"/>
      <c r="R34185"/>
      <c r="S34185"/>
      <c r="T34185"/>
      <c r="U34185"/>
      <c r="X34185" s="60"/>
    </row>
    <row r="34186" spans="7:24" ht="15" customHeight="1">
      <c r="G34186"/>
      <c r="I34186"/>
      <c r="N34186"/>
      <c r="O34186" s="24"/>
      <c r="P34186"/>
      <c r="Q34186" s="24"/>
      <c r="R34186"/>
      <c r="S34186"/>
      <c r="T34186"/>
      <c r="U34186"/>
      <c r="X34186" s="60"/>
    </row>
    <row r="34187" spans="7:24" ht="15" customHeight="1">
      <c r="G34187"/>
      <c r="I34187"/>
      <c r="N34187"/>
      <c r="O34187" s="24"/>
      <c r="P34187"/>
      <c r="Q34187" s="24"/>
      <c r="R34187"/>
      <c r="S34187"/>
      <c r="T34187"/>
      <c r="U34187"/>
      <c r="X34187" s="60"/>
    </row>
    <row r="34188" spans="7:24" ht="15" customHeight="1">
      <c r="G34188"/>
      <c r="I34188"/>
      <c r="N34188"/>
      <c r="O34188" s="24"/>
      <c r="P34188"/>
      <c r="Q34188" s="24"/>
      <c r="R34188"/>
      <c r="S34188"/>
      <c r="T34188"/>
      <c r="U34188"/>
      <c r="X34188" s="60"/>
    </row>
    <row r="34189" spans="7:24" ht="15" customHeight="1">
      <c r="G34189"/>
      <c r="I34189"/>
      <c r="N34189"/>
      <c r="O34189" s="24"/>
      <c r="P34189"/>
      <c r="Q34189" s="24"/>
      <c r="R34189"/>
      <c r="S34189"/>
      <c r="T34189"/>
      <c r="U34189"/>
      <c r="X34189" s="60"/>
    </row>
    <row r="34190" spans="7:24" ht="15" customHeight="1">
      <c r="G34190"/>
      <c r="I34190"/>
      <c r="N34190"/>
      <c r="O34190" s="24"/>
      <c r="P34190"/>
      <c r="Q34190" s="24"/>
      <c r="R34190"/>
      <c r="S34190"/>
      <c r="T34190"/>
      <c r="U34190"/>
      <c r="X34190" s="60"/>
    </row>
    <row r="34191" spans="7:24" ht="15" customHeight="1">
      <c r="G34191"/>
      <c r="I34191"/>
      <c r="N34191"/>
      <c r="O34191" s="24"/>
      <c r="P34191"/>
      <c r="Q34191" s="24"/>
      <c r="R34191"/>
      <c r="S34191"/>
      <c r="T34191"/>
      <c r="U34191"/>
      <c r="X34191" s="60"/>
    </row>
    <row r="34192" spans="7:24" ht="15" customHeight="1">
      <c r="G34192"/>
      <c r="I34192"/>
      <c r="N34192"/>
      <c r="O34192" s="24"/>
      <c r="P34192"/>
      <c r="Q34192" s="24"/>
      <c r="R34192"/>
      <c r="S34192"/>
      <c r="T34192"/>
      <c r="U34192"/>
      <c r="X34192" s="60"/>
    </row>
    <row r="34193" spans="7:24" ht="15" customHeight="1">
      <c r="G34193"/>
      <c r="I34193"/>
      <c r="N34193"/>
      <c r="O34193" s="24"/>
      <c r="P34193"/>
      <c r="Q34193" s="24"/>
      <c r="R34193"/>
      <c r="S34193"/>
      <c r="T34193"/>
      <c r="U34193"/>
      <c r="X34193" s="60"/>
    </row>
    <row r="34194" spans="7:24" ht="15" customHeight="1">
      <c r="G34194"/>
      <c r="I34194"/>
      <c r="N34194"/>
      <c r="O34194" s="24"/>
      <c r="P34194"/>
      <c r="Q34194" s="24"/>
      <c r="R34194"/>
      <c r="S34194"/>
      <c r="T34194"/>
      <c r="U34194"/>
      <c r="X34194" s="60"/>
    </row>
    <row r="34195" spans="7:24" ht="15" customHeight="1">
      <c r="G34195"/>
      <c r="I34195"/>
      <c r="N34195"/>
      <c r="O34195" s="24"/>
      <c r="P34195"/>
      <c r="Q34195" s="24"/>
      <c r="R34195"/>
      <c r="S34195"/>
      <c r="T34195"/>
      <c r="U34195"/>
      <c r="X34195" s="60"/>
    </row>
    <row r="34196" spans="7:24" ht="15" customHeight="1">
      <c r="G34196"/>
      <c r="I34196"/>
      <c r="N34196"/>
      <c r="O34196" s="24"/>
      <c r="P34196"/>
      <c r="Q34196" s="24"/>
      <c r="R34196"/>
      <c r="S34196"/>
      <c r="T34196"/>
      <c r="U34196"/>
      <c r="X34196" s="60"/>
    </row>
    <row r="34197" spans="7:24" ht="15" customHeight="1">
      <c r="G34197"/>
      <c r="I34197"/>
      <c r="N34197"/>
      <c r="O34197" s="24"/>
      <c r="P34197"/>
      <c r="Q34197" s="24"/>
      <c r="R34197"/>
      <c r="S34197"/>
      <c r="T34197"/>
      <c r="U34197"/>
      <c r="X34197" s="60"/>
    </row>
    <row r="34198" spans="7:24" ht="15" customHeight="1">
      <c r="G34198"/>
      <c r="I34198"/>
      <c r="N34198"/>
      <c r="O34198" s="24"/>
      <c r="P34198"/>
      <c r="Q34198" s="24"/>
      <c r="R34198"/>
      <c r="S34198"/>
      <c r="T34198"/>
      <c r="U34198"/>
      <c r="X34198" s="60"/>
    </row>
    <row r="34199" spans="7:24" ht="15" customHeight="1">
      <c r="G34199"/>
      <c r="I34199"/>
      <c r="N34199"/>
      <c r="O34199" s="24"/>
      <c r="P34199"/>
      <c r="Q34199" s="24"/>
      <c r="R34199"/>
      <c r="S34199"/>
      <c r="T34199"/>
      <c r="U34199"/>
      <c r="X34199" s="60"/>
    </row>
    <row r="34200" spans="7:24" ht="15" customHeight="1">
      <c r="G34200"/>
      <c r="I34200"/>
      <c r="N34200"/>
      <c r="O34200" s="24"/>
      <c r="P34200"/>
      <c r="Q34200" s="24"/>
      <c r="R34200"/>
      <c r="S34200"/>
      <c r="T34200"/>
      <c r="U34200"/>
      <c r="X34200" s="60"/>
    </row>
    <row r="34201" spans="7:24" ht="15" customHeight="1">
      <c r="G34201"/>
      <c r="I34201"/>
      <c r="N34201"/>
      <c r="O34201" s="24"/>
      <c r="P34201"/>
      <c r="Q34201" s="24"/>
      <c r="R34201"/>
      <c r="S34201"/>
      <c r="T34201"/>
      <c r="U34201"/>
      <c r="X34201" s="60"/>
    </row>
    <row r="34202" spans="7:24" ht="15" customHeight="1">
      <c r="G34202"/>
      <c r="I34202"/>
      <c r="N34202"/>
      <c r="O34202" s="24"/>
      <c r="P34202"/>
      <c r="Q34202" s="24"/>
      <c r="R34202"/>
      <c r="S34202"/>
      <c r="T34202"/>
      <c r="U34202"/>
      <c r="X34202" s="60"/>
    </row>
    <row r="34203" spans="7:24" ht="15" customHeight="1">
      <c r="G34203"/>
      <c r="I34203"/>
      <c r="N34203"/>
      <c r="O34203" s="24"/>
      <c r="P34203"/>
      <c r="Q34203" s="24"/>
      <c r="R34203"/>
      <c r="S34203"/>
      <c r="T34203"/>
      <c r="U34203"/>
      <c r="X34203" s="60"/>
    </row>
    <row r="34204" spans="7:24" ht="15" customHeight="1">
      <c r="G34204"/>
      <c r="I34204"/>
      <c r="N34204"/>
      <c r="O34204" s="24"/>
      <c r="P34204"/>
      <c r="Q34204" s="24"/>
      <c r="R34204"/>
      <c r="S34204"/>
      <c r="T34204"/>
      <c r="U34204"/>
      <c r="X34204" s="60"/>
    </row>
    <row r="34205" spans="7:24" ht="15" customHeight="1">
      <c r="G34205"/>
      <c r="I34205"/>
      <c r="N34205"/>
      <c r="O34205" s="24"/>
      <c r="P34205"/>
      <c r="Q34205" s="24"/>
      <c r="R34205"/>
      <c r="S34205"/>
      <c r="T34205"/>
      <c r="U34205"/>
      <c r="X34205" s="60"/>
    </row>
    <row r="34206" spans="7:24" ht="15" customHeight="1">
      <c r="G34206"/>
      <c r="I34206"/>
      <c r="N34206"/>
      <c r="O34206" s="24"/>
      <c r="P34206"/>
      <c r="Q34206" s="24"/>
      <c r="R34206"/>
      <c r="S34206"/>
      <c r="T34206"/>
      <c r="U34206"/>
      <c r="X34206" s="60"/>
    </row>
    <row r="34207" spans="7:24" ht="15" customHeight="1">
      <c r="G34207"/>
      <c r="I34207"/>
      <c r="N34207"/>
      <c r="O34207" s="24"/>
      <c r="P34207"/>
      <c r="Q34207" s="24"/>
      <c r="R34207"/>
      <c r="S34207"/>
      <c r="T34207"/>
      <c r="U34207"/>
      <c r="X34207" s="60"/>
    </row>
    <row r="34208" spans="7:24" ht="15" customHeight="1">
      <c r="G34208"/>
      <c r="I34208"/>
      <c r="N34208"/>
      <c r="O34208" s="24"/>
      <c r="P34208"/>
      <c r="Q34208" s="24"/>
      <c r="R34208"/>
      <c r="S34208"/>
      <c r="T34208"/>
      <c r="U34208"/>
      <c r="X34208" s="60"/>
    </row>
    <row r="34209" spans="7:24" ht="15" customHeight="1">
      <c r="G34209"/>
      <c r="I34209"/>
      <c r="N34209"/>
      <c r="O34209" s="24"/>
      <c r="P34209"/>
      <c r="Q34209" s="24"/>
      <c r="R34209"/>
      <c r="S34209"/>
      <c r="T34209"/>
      <c r="U34209"/>
      <c r="X34209" s="60"/>
    </row>
    <row r="34210" spans="7:24" ht="15" customHeight="1">
      <c r="G34210"/>
      <c r="I34210"/>
      <c r="N34210"/>
      <c r="O34210" s="24"/>
      <c r="P34210"/>
      <c r="Q34210" s="24"/>
      <c r="R34210"/>
      <c r="S34210"/>
      <c r="T34210"/>
      <c r="U34210"/>
      <c r="X34210" s="60"/>
    </row>
    <row r="34211" spans="7:24" ht="15" customHeight="1">
      <c r="G34211"/>
      <c r="I34211"/>
      <c r="N34211"/>
      <c r="O34211" s="24"/>
      <c r="P34211"/>
      <c r="Q34211" s="24"/>
      <c r="R34211"/>
      <c r="S34211"/>
      <c r="T34211"/>
      <c r="U34211"/>
      <c r="X34211" s="60"/>
    </row>
    <row r="34212" spans="7:24" ht="15" customHeight="1">
      <c r="G34212"/>
      <c r="I34212"/>
      <c r="N34212"/>
      <c r="O34212" s="24"/>
      <c r="P34212"/>
      <c r="Q34212" s="24"/>
      <c r="R34212"/>
      <c r="S34212"/>
      <c r="T34212"/>
      <c r="U34212"/>
      <c r="X34212" s="60"/>
    </row>
    <row r="34213" spans="7:24" ht="15" customHeight="1">
      <c r="G34213"/>
      <c r="I34213"/>
      <c r="N34213"/>
      <c r="O34213" s="24"/>
      <c r="P34213"/>
      <c r="Q34213" s="24"/>
      <c r="R34213"/>
      <c r="S34213"/>
      <c r="T34213"/>
      <c r="U34213"/>
      <c r="X34213" s="60"/>
    </row>
    <row r="34214" spans="7:24" ht="15" customHeight="1">
      <c r="G34214"/>
      <c r="I34214"/>
      <c r="N34214"/>
      <c r="O34214" s="24"/>
      <c r="P34214"/>
      <c r="Q34214" s="24"/>
      <c r="R34214"/>
      <c r="S34214"/>
      <c r="T34214"/>
      <c r="U34214"/>
      <c r="X34214" s="60"/>
    </row>
    <row r="34215" spans="7:24" ht="15" customHeight="1">
      <c r="G34215"/>
      <c r="I34215"/>
      <c r="N34215"/>
      <c r="O34215" s="24"/>
      <c r="P34215"/>
      <c r="Q34215" s="24"/>
      <c r="R34215"/>
      <c r="S34215"/>
      <c r="T34215"/>
      <c r="U34215"/>
      <c r="X34215" s="60"/>
    </row>
    <row r="34216" spans="7:24" ht="15" customHeight="1">
      <c r="G34216"/>
      <c r="I34216"/>
      <c r="N34216"/>
      <c r="O34216" s="24"/>
      <c r="P34216"/>
      <c r="Q34216" s="24"/>
      <c r="R34216"/>
      <c r="S34216"/>
      <c r="T34216"/>
      <c r="U34216"/>
      <c r="X34216" s="60"/>
    </row>
    <row r="34217" spans="7:24" ht="15" customHeight="1">
      <c r="G34217"/>
      <c r="I34217"/>
      <c r="N34217"/>
      <c r="O34217" s="24"/>
      <c r="P34217"/>
      <c r="Q34217" s="24"/>
      <c r="R34217"/>
      <c r="S34217"/>
      <c r="T34217"/>
      <c r="U34217"/>
      <c r="X34217" s="60"/>
    </row>
    <row r="34218" spans="7:24" ht="15" customHeight="1">
      <c r="G34218"/>
      <c r="I34218"/>
      <c r="N34218"/>
      <c r="O34218" s="24"/>
      <c r="P34218"/>
      <c r="Q34218" s="24"/>
      <c r="R34218"/>
      <c r="S34218"/>
      <c r="T34218"/>
      <c r="U34218"/>
      <c r="X34218" s="60"/>
    </row>
    <row r="34219" spans="7:24" ht="15" customHeight="1">
      <c r="G34219"/>
      <c r="I34219"/>
      <c r="N34219"/>
      <c r="O34219" s="24"/>
      <c r="P34219"/>
      <c r="Q34219" s="24"/>
      <c r="R34219"/>
      <c r="S34219"/>
      <c r="T34219"/>
      <c r="U34219"/>
      <c r="X34219" s="60"/>
    </row>
    <row r="34220" spans="7:24" ht="15" customHeight="1">
      <c r="G34220"/>
      <c r="I34220"/>
      <c r="N34220"/>
      <c r="O34220" s="24"/>
      <c r="P34220"/>
      <c r="Q34220" s="24"/>
      <c r="R34220"/>
      <c r="S34220"/>
      <c r="T34220"/>
      <c r="U34220"/>
      <c r="X34220" s="60"/>
    </row>
    <row r="34221" spans="7:24" ht="15" customHeight="1">
      <c r="G34221"/>
      <c r="I34221"/>
      <c r="N34221"/>
      <c r="O34221" s="24"/>
      <c r="P34221"/>
      <c r="Q34221" s="24"/>
      <c r="R34221"/>
      <c r="S34221"/>
      <c r="T34221"/>
      <c r="U34221"/>
      <c r="X34221" s="60"/>
    </row>
    <row r="34222" spans="7:24" ht="15" customHeight="1">
      <c r="G34222"/>
      <c r="I34222"/>
      <c r="N34222"/>
      <c r="O34222" s="24"/>
      <c r="P34222"/>
      <c r="Q34222" s="24"/>
      <c r="R34222"/>
      <c r="S34222"/>
      <c r="T34222"/>
      <c r="U34222"/>
      <c r="X34222" s="60"/>
    </row>
    <row r="34223" spans="7:24" ht="15" customHeight="1">
      <c r="G34223"/>
      <c r="I34223"/>
      <c r="N34223"/>
      <c r="O34223" s="24"/>
      <c r="P34223"/>
      <c r="Q34223" s="24"/>
      <c r="R34223"/>
      <c r="S34223"/>
      <c r="T34223"/>
      <c r="U34223"/>
      <c r="X34223" s="60"/>
    </row>
    <row r="34224" spans="7:24" ht="15" customHeight="1">
      <c r="G34224"/>
      <c r="I34224"/>
      <c r="N34224"/>
      <c r="O34224" s="24"/>
      <c r="P34224"/>
      <c r="Q34224" s="24"/>
      <c r="R34224"/>
      <c r="S34224"/>
      <c r="T34224"/>
      <c r="U34224"/>
      <c r="X34224" s="60"/>
    </row>
    <row r="34225" spans="7:24" ht="15" customHeight="1">
      <c r="G34225"/>
      <c r="I34225"/>
      <c r="N34225"/>
      <c r="O34225" s="24"/>
      <c r="P34225"/>
      <c r="Q34225" s="24"/>
      <c r="R34225"/>
      <c r="S34225"/>
      <c r="T34225"/>
      <c r="U34225"/>
      <c r="X34225" s="60"/>
    </row>
    <row r="34226" spans="7:24" ht="15" customHeight="1">
      <c r="G34226"/>
      <c r="I34226"/>
      <c r="N34226"/>
      <c r="O34226" s="24"/>
      <c r="P34226"/>
      <c r="Q34226" s="24"/>
      <c r="R34226"/>
      <c r="S34226"/>
      <c r="T34226"/>
      <c r="U34226"/>
      <c r="X34226" s="60"/>
    </row>
    <row r="34227" spans="7:24" ht="15" customHeight="1">
      <c r="G34227"/>
      <c r="I34227"/>
      <c r="N34227"/>
      <c r="O34227" s="24"/>
      <c r="P34227"/>
      <c r="Q34227" s="24"/>
      <c r="R34227"/>
      <c r="S34227"/>
      <c r="T34227"/>
      <c r="U34227"/>
      <c r="X34227" s="60"/>
    </row>
    <row r="34228" spans="7:24" ht="15" customHeight="1">
      <c r="G34228"/>
      <c r="I34228"/>
      <c r="N34228"/>
      <c r="O34228" s="24"/>
      <c r="P34228"/>
      <c r="Q34228" s="24"/>
      <c r="R34228"/>
      <c r="S34228"/>
      <c r="T34228"/>
      <c r="U34228"/>
      <c r="X34228" s="60"/>
    </row>
    <row r="34229" spans="7:24" ht="15" customHeight="1">
      <c r="G34229"/>
      <c r="I34229"/>
      <c r="N34229"/>
      <c r="O34229" s="24"/>
      <c r="P34229"/>
      <c r="Q34229" s="24"/>
      <c r="R34229"/>
      <c r="S34229"/>
      <c r="T34229"/>
      <c r="U34229"/>
      <c r="X34229" s="60"/>
    </row>
    <row r="34230" spans="7:24" ht="15" customHeight="1">
      <c r="G34230"/>
      <c r="I34230"/>
      <c r="N34230"/>
      <c r="O34230" s="24"/>
      <c r="P34230"/>
      <c r="Q34230" s="24"/>
      <c r="R34230"/>
      <c r="S34230"/>
      <c r="T34230"/>
      <c r="U34230"/>
      <c r="X34230" s="60"/>
    </row>
    <row r="34231" spans="7:24" ht="15" customHeight="1">
      <c r="G34231"/>
      <c r="I34231"/>
      <c r="N34231"/>
      <c r="O34231" s="24"/>
      <c r="P34231"/>
      <c r="Q34231" s="24"/>
      <c r="R34231"/>
      <c r="S34231"/>
      <c r="T34231"/>
      <c r="U34231"/>
      <c r="X34231" s="60"/>
    </row>
    <row r="34232" spans="7:24" ht="15" customHeight="1">
      <c r="G34232"/>
      <c r="I34232"/>
      <c r="N34232"/>
      <c r="O34232" s="24"/>
      <c r="P34232"/>
      <c r="Q34232" s="24"/>
      <c r="R34232"/>
      <c r="S34232"/>
      <c r="T34232"/>
      <c r="U34232"/>
      <c r="X34232" s="60"/>
    </row>
    <row r="34233" spans="7:24" ht="15" customHeight="1">
      <c r="G34233"/>
      <c r="I34233"/>
      <c r="N34233"/>
      <c r="O34233" s="24"/>
      <c r="P34233"/>
      <c r="Q34233" s="24"/>
      <c r="R34233"/>
      <c r="S34233"/>
      <c r="T34233"/>
      <c r="U34233"/>
      <c r="X34233" s="60"/>
    </row>
    <row r="34234" spans="7:24" ht="15" customHeight="1">
      <c r="G34234"/>
      <c r="I34234"/>
      <c r="N34234"/>
      <c r="O34234" s="24"/>
      <c r="P34234"/>
      <c r="Q34234" s="24"/>
      <c r="R34234"/>
      <c r="S34234"/>
      <c r="T34234"/>
      <c r="U34234"/>
      <c r="X34234" s="60"/>
    </row>
    <row r="34235" spans="7:24" ht="15" customHeight="1">
      <c r="G34235"/>
      <c r="I34235"/>
      <c r="N34235"/>
      <c r="O34235" s="24"/>
      <c r="P34235"/>
      <c r="Q34235" s="24"/>
      <c r="R34235"/>
      <c r="S34235"/>
      <c r="T34235"/>
      <c r="U34235"/>
      <c r="X34235" s="60"/>
    </row>
    <row r="34236" spans="7:24" ht="15" customHeight="1">
      <c r="G34236"/>
      <c r="I34236"/>
      <c r="N34236"/>
      <c r="O34236" s="24"/>
      <c r="P34236"/>
      <c r="Q34236" s="24"/>
      <c r="R34236"/>
      <c r="S34236"/>
      <c r="T34236"/>
      <c r="U34236"/>
      <c r="X34236" s="60"/>
    </row>
    <row r="34237" spans="7:24" ht="15" customHeight="1">
      <c r="G34237"/>
      <c r="I34237"/>
      <c r="N34237"/>
      <c r="O34237" s="24"/>
      <c r="P34237"/>
      <c r="Q34237" s="24"/>
      <c r="R34237"/>
      <c r="S34237"/>
      <c r="T34237"/>
      <c r="U34237"/>
      <c r="X34237" s="60"/>
    </row>
    <row r="34238" spans="7:24" ht="15" customHeight="1">
      <c r="G34238"/>
      <c r="I34238"/>
      <c r="N34238"/>
      <c r="O34238" s="24"/>
      <c r="P34238"/>
      <c r="Q34238" s="24"/>
      <c r="R34238"/>
      <c r="S34238"/>
      <c r="T34238"/>
      <c r="U34238"/>
      <c r="X34238" s="60"/>
    </row>
    <row r="34239" spans="7:24" ht="15" customHeight="1">
      <c r="G34239"/>
      <c r="I34239"/>
      <c r="N34239"/>
      <c r="O34239" s="24"/>
      <c r="P34239"/>
      <c r="Q34239" s="24"/>
      <c r="R34239"/>
      <c r="S34239"/>
      <c r="T34239"/>
      <c r="U34239"/>
      <c r="X34239" s="60"/>
    </row>
    <row r="34240" spans="7:24" ht="15" customHeight="1">
      <c r="G34240"/>
      <c r="I34240"/>
      <c r="N34240"/>
      <c r="O34240" s="24"/>
      <c r="P34240"/>
      <c r="Q34240" s="24"/>
      <c r="R34240"/>
      <c r="S34240"/>
      <c r="T34240"/>
      <c r="U34240"/>
      <c r="X34240" s="60"/>
    </row>
    <row r="34241" spans="7:24" ht="15" customHeight="1">
      <c r="G34241"/>
      <c r="I34241"/>
      <c r="N34241"/>
      <c r="O34241" s="24"/>
      <c r="P34241"/>
      <c r="Q34241" s="24"/>
      <c r="R34241"/>
      <c r="S34241"/>
      <c r="T34241"/>
      <c r="U34241"/>
      <c r="X34241" s="60"/>
    </row>
    <row r="34242" spans="7:24" ht="15" customHeight="1">
      <c r="G34242"/>
      <c r="I34242"/>
      <c r="N34242"/>
      <c r="O34242" s="24"/>
      <c r="P34242"/>
      <c r="Q34242" s="24"/>
      <c r="R34242"/>
      <c r="S34242"/>
      <c r="T34242"/>
      <c r="U34242"/>
      <c r="X34242" s="60"/>
    </row>
    <row r="34243" spans="7:24" ht="15" customHeight="1">
      <c r="G34243"/>
      <c r="I34243"/>
      <c r="N34243"/>
      <c r="O34243" s="24"/>
      <c r="P34243"/>
      <c r="Q34243" s="24"/>
      <c r="R34243"/>
      <c r="S34243"/>
      <c r="T34243"/>
      <c r="U34243"/>
      <c r="X34243" s="60"/>
    </row>
    <row r="34244" spans="7:24" ht="15" customHeight="1">
      <c r="G34244"/>
      <c r="I34244"/>
      <c r="N34244"/>
      <c r="O34244" s="24"/>
      <c r="P34244"/>
      <c r="Q34244" s="24"/>
      <c r="R34244"/>
      <c r="S34244"/>
      <c r="T34244"/>
      <c r="U34244"/>
      <c r="X34244" s="60"/>
    </row>
    <row r="34245" spans="7:24" ht="15" customHeight="1">
      <c r="G34245"/>
      <c r="I34245"/>
      <c r="N34245"/>
      <c r="O34245" s="24"/>
      <c r="P34245"/>
      <c r="Q34245" s="24"/>
      <c r="R34245"/>
      <c r="S34245"/>
      <c r="T34245"/>
      <c r="U34245"/>
      <c r="X34245" s="60"/>
    </row>
    <row r="34246" spans="7:24" ht="15" customHeight="1">
      <c r="G34246"/>
      <c r="I34246"/>
      <c r="N34246"/>
      <c r="O34246" s="24"/>
      <c r="P34246"/>
      <c r="Q34246" s="24"/>
      <c r="R34246"/>
      <c r="S34246"/>
      <c r="T34246"/>
      <c r="U34246"/>
      <c r="X34246" s="60"/>
    </row>
    <row r="34247" spans="7:24" ht="15" customHeight="1">
      <c r="G34247"/>
      <c r="I34247"/>
      <c r="N34247"/>
      <c r="O34247" s="24"/>
      <c r="P34247"/>
      <c r="Q34247" s="24"/>
      <c r="R34247"/>
      <c r="S34247"/>
      <c r="T34247"/>
      <c r="U34247"/>
      <c r="X34247" s="60"/>
    </row>
    <row r="34248" spans="7:24" ht="15" customHeight="1">
      <c r="G34248"/>
      <c r="I34248"/>
      <c r="N34248"/>
      <c r="O34248" s="24"/>
      <c r="P34248"/>
      <c r="Q34248" s="24"/>
      <c r="R34248"/>
      <c r="S34248"/>
      <c r="T34248"/>
      <c r="U34248"/>
      <c r="X34248" s="60"/>
    </row>
    <row r="34249" spans="7:24" ht="15" customHeight="1">
      <c r="G34249"/>
      <c r="I34249"/>
      <c r="N34249"/>
      <c r="O34249" s="24"/>
      <c r="P34249"/>
      <c r="Q34249" s="24"/>
      <c r="R34249"/>
      <c r="S34249"/>
      <c r="T34249"/>
      <c r="U34249"/>
      <c r="X34249" s="60"/>
    </row>
    <row r="34250" spans="7:24" ht="15" customHeight="1">
      <c r="G34250"/>
      <c r="I34250"/>
      <c r="N34250"/>
      <c r="O34250" s="24"/>
      <c r="P34250"/>
      <c r="Q34250" s="24"/>
      <c r="R34250"/>
      <c r="S34250"/>
      <c r="T34250"/>
      <c r="U34250"/>
      <c r="X34250" s="60"/>
    </row>
    <row r="34251" spans="7:24" ht="15" customHeight="1">
      <c r="G34251"/>
      <c r="I34251"/>
      <c r="N34251"/>
      <c r="O34251" s="24"/>
      <c r="P34251"/>
      <c r="Q34251" s="24"/>
      <c r="R34251"/>
      <c r="S34251"/>
      <c r="T34251"/>
      <c r="U34251"/>
      <c r="X34251" s="60"/>
    </row>
    <row r="34252" spans="7:24" ht="15" customHeight="1">
      <c r="G34252"/>
      <c r="I34252"/>
      <c r="N34252"/>
      <c r="O34252" s="24"/>
      <c r="P34252"/>
      <c r="Q34252" s="24"/>
      <c r="R34252"/>
      <c r="S34252"/>
      <c r="T34252"/>
      <c r="U34252"/>
      <c r="X34252" s="60"/>
    </row>
    <row r="34253" spans="7:24" ht="15" customHeight="1">
      <c r="G34253"/>
      <c r="I34253"/>
      <c r="N34253"/>
      <c r="O34253" s="24"/>
      <c r="P34253"/>
      <c r="Q34253" s="24"/>
      <c r="R34253"/>
      <c r="S34253"/>
      <c r="T34253"/>
      <c r="U34253"/>
      <c r="X34253" s="60"/>
    </row>
    <row r="34254" spans="7:24" ht="15" customHeight="1">
      <c r="G34254"/>
      <c r="I34254"/>
      <c r="N34254"/>
      <c r="O34254" s="24"/>
      <c r="P34254"/>
      <c r="Q34254" s="24"/>
      <c r="R34254"/>
      <c r="S34254"/>
      <c r="T34254"/>
      <c r="U34254"/>
      <c r="X34254" s="60"/>
    </row>
    <row r="34255" spans="7:24" ht="15" customHeight="1">
      <c r="G34255"/>
      <c r="I34255"/>
      <c r="N34255"/>
      <c r="O34255" s="24"/>
      <c r="P34255"/>
      <c r="Q34255" s="24"/>
      <c r="R34255"/>
      <c r="S34255"/>
      <c r="T34255"/>
      <c r="U34255"/>
      <c r="X34255" s="60"/>
    </row>
    <row r="34256" spans="7:24" ht="15" customHeight="1">
      <c r="G34256"/>
      <c r="I34256"/>
      <c r="N34256"/>
      <c r="O34256" s="24"/>
      <c r="P34256"/>
      <c r="Q34256" s="24"/>
      <c r="R34256"/>
      <c r="S34256"/>
      <c r="T34256"/>
      <c r="U34256"/>
      <c r="X34256" s="60"/>
    </row>
    <row r="34257" spans="7:24" ht="15" customHeight="1">
      <c r="G34257"/>
      <c r="I34257"/>
      <c r="N34257"/>
      <c r="O34257" s="24"/>
      <c r="P34257"/>
      <c r="Q34257" s="24"/>
      <c r="R34257"/>
      <c r="S34257"/>
      <c r="T34257"/>
      <c r="U34257"/>
      <c r="X34257" s="60"/>
    </row>
    <row r="34258" spans="7:24" ht="15" customHeight="1">
      <c r="G34258"/>
      <c r="I34258"/>
      <c r="N34258"/>
      <c r="O34258" s="24"/>
      <c r="P34258"/>
      <c r="Q34258" s="24"/>
      <c r="R34258"/>
      <c r="S34258"/>
      <c r="T34258"/>
      <c r="U34258"/>
      <c r="X34258" s="60"/>
    </row>
    <row r="34259" spans="7:24" ht="15" customHeight="1">
      <c r="G34259"/>
      <c r="I34259"/>
      <c r="N34259"/>
      <c r="O34259" s="24"/>
      <c r="P34259"/>
      <c r="Q34259" s="24"/>
      <c r="R34259"/>
      <c r="S34259"/>
      <c r="T34259"/>
      <c r="U34259"/>
      <c r="X34259" s="60"/>
    </row>
    <row r="34260" spans="7:24" ht="15" customHeight="1">
      <c r="G34260"/>
      <c r="I34260"/>
      <c r="N34260"/>
      <c r="O34260" s="24"/>
      <c r="P34260"/>
      <c r="Q34260" s="24"/>
      <c r="R34260"/>
      <c r="S34260"/>
      <c r="T34260"/>
      <c r="U34260"/>
      <c r="X34260" s="60"/>
    </row>
    <row r="34261" spans="7:24" ht="15" customHeight="1">
      <c r="G34261"/>
      <c r="I34261"/>
      <c r="N34261"/>
      <c r="O34261" s="24"/>
      <c r="P34261"/>
      <c r="Q34261" s="24"/>
      <c r="R34261"/>
      <c r="S34261"/>
      <c r="T34261"/>
      <c r="U34261"/>
      <c r="X34261" s="60"/>
    </row>
    <row r="34262" spans="7:24" ht="15" customHeight="1">
      <c r="G34262"/>
      <c r="I34262"/>
      <c r="N34262"/>
      <c r="O34262" s="24"/>
      <c r="P34262"/>
      <c r="Q34262" s="24"/>
      <c r="R34262"/>
      <c r="S34262"/>
      <c r="T34262"/>
      <c r="U34262"/>
      <c r="X34262" s="60"/>
    </row>
    <row r="34263" spans="7:24" ht="15" customHeight="1">
      <c r="G34263"/>
      <c r="I34263"/>
      <c r="N34263"/>
      <c r="O34263" s="24"/>
      <c r="P34263"/>
      <c r="Q34263" s="24"/>
      <c r="R34263"/>
      <c r="S34263"/>
      <c r="T34263"/>
      <c r="U34263"/>
      <c r="X34263" s="60"/>
    </row>
    <row r="34264" spans="7:24" ht="15" customHeight="1">
      <c r="G34264"/>
      <c r="I34264"/>
      <c r="N34264"/>
      <c r="O34264" s="24"/>
      <c r="P34264"/>
      <c r="Q34264" s="24"/>
      <c r="R34264"/>
      <c r="S34264"/>
      <c r="T34264"/>
      <c r="U34264"/>
      <c r="X34264" s="60"/>
    </row>
    <row r="34265" spans="7:24" ht="15" customHeight="1">
      <c r="G34265"/>
      <c r="I34265"/>
      <c r="N34265"/>
      <c r="O34265" s="24"/>
      <c r="P34265"/>
      <c r="Q34265" s="24"/>
      <c r="R34265"/>
      <c r="S34265"/>
      <c r="T34265"/>
      <c r="U34265"/>
      <c r="X34265" s="60"/>
    </row>
    <row r="34266" spans="7:24" ht="15" customHeight="1">
      <c r="G34266"/>
      <c r="I34266"/>
      <c r="N34266"/>
      <c r="O34266" s="24"/>
      <c r="P34266"/>
      <c r="Q34266" s="24"/>
      <c r="R34266"/>
      <c r="S34266"/>
      <c r="T34266"/>
      <c r="U34266"/>
      <c r="X34266" s="60"/>
    </row>
    <row r="34267" spans="7:24" ht="15" customHeight="1">
      <c r="G34267"/>
      <c r="I34267"/>
      <c r="N34267"/>
      <c r="O34267" s="24"/>
      <c r="P34267"/>
      <c r="Q34267" s="24"/>
      <c r="R34267"/>
      <c r="S34267"/>
      <c r="T34267"/>
      <c r="U34267"/>
      <c r="X34267" s="60"/>
    </row>
    <row r="34268" spans="7:24" ht="15" customHeight="1">
      <c r="G34268"/>
      <c r="I34268"/>
      <c r="N34268"/>
      <c r="O34268" s="24"/>
      <c r="P34268"/>
      <c r="Q34268" s="24"/>
      <c r="R34268"/>
      <c r="S34268"/>
      <c r="T34268"/>
      <c r="U34268"/>
      <c r="X34268" s="60"/>
    </row>
    <row r="34269" spans="7:24" ht="15" customHeight="1">
      <c r="G34269"/>
      <c r="I34269"/>
      <c r="N34269"/>
      <c r="O34269" s="24"/>
      <c r="P34269"/>
      <c r="Q34269" s="24"/>
      <c r="R34269"/>
      <c r="S34269"/>
      <c r="T34269"/>
      <c r="U34269"/>
      <c r="X34269" s="60"/>
    </row>
    <row r="34270" spans="7:24" ht="15" customHeight="1">
      <c r="G34270"/>
      <c r="I34270"/>
      <c r="N34270"/>
      <c r="O34270" s="24"/>
      <c r="P34270"/>
      <c r="Q34270" s="24"/>
      <c r="R34270"/>
      <c r="S34270"/>
      <c r="T34270"/>
      <c r="U34270"/>
      <c r="X34270" s="60"/>
    </row>
    <row r="34271" spans="7:24" ht="15" customHeight="1">
      <c r="G34271"/>
      <c r="I34271"/>
      <c r="N34271"/>
      <c r="O34271" s="24"/>
      <c r="P34271"/>
      <c r="Q34271" s="24"/>
      <c r="R34271"/>
      <c r="S34271"/>
      <c r="T34271"/>
      <c r="U34271"/>
      <c r="X34271" s="60"/>
    </row>
    <row r="34272" spans="7:24" ht="15" customHeight="1">
      <c r="G34272"/>
      <c r="I34272"/>
      <c r="N34272"/>
      <c r="O34272" s="24"/>
      <c r="P34272"/>
      <c r="Q34272" s="24"/>
      <c r="R34272"/>
      <c r="S34272"/>
      <c r="T34272"/>
      <c r="U34272"/>
      <c r="X34272" s="60"/>
    </row>
    <row r="34273" spans="7:24" ht="15" customHeight="1">
      <c r="G34273"/>
      <c r="I34273"/>
      <c r="N34273"/>
      <c r="O34273" s="24"/>
      <c r="P34273"/>
      <c r="Q34273" s="24"/>
      <c r="R34273"/>
      <c r="S34273"/>
      <c r="T34273"/>
      <c r="U34273"/>
      <c r="X34273" s="60"/>
    </row>
    <row r="34274" spans="7:24" ht="15" customHeight="1">
      <c r="G34274"/>
      <c r="I34274"/>
      <c r="N34274"/>
      <c r="O34274" s="24"/>
      <c r="P34274"/>
      <c r="Q34274" s="24"/>
      <c r="R34274"/>
      <c r="S34274"/>
      <c r="T34274"/>
      <c r="U34274"/>
      <c r="X34274" s="60"/>
    </row>
    <row r="34275" spans="7:24" ht="15" customHeight="1">
      <c r="G34275"/>
      <c r="I34275"/>
      <c r="N34275"/>
      <c r="O34275" s="24"/>
      <c r="P34275"/>
      <c r="Q34275" s="24"/>
      <c r="R34275"/>
      <c r="S34275"/>
      <c r="T34275"/>
      <c r="U34275"/>
      <c r="X34275" s="60"/>
    </row>
    <row r="34276" spans="7:24" ht="15" customHeight="1">
      <c r="G34276"/>
      <c r="I34276"/>
      <c r="N34276"/>
      <c r="O34276" s="24"/>
      <c r="P34276"/>
      <c r="Q34276" s="24"/>
      <c r="R34276"/>
      <c r="S34276"/>
      <c r="T34276"/>
      <c r="U34276"/>
      <c r="X34276" s="60"/>
    </row>
    <row r="34277" spans="7:24" ht="15" customHeight="1">
      <c r="G34277"/>
      <c r="I34277"/>
      <c r="N34277"/>
      <c r="O34277" s="24"/>
      <c r="P34277"/>
      <c r="Q34277" s="24"/>
      <c r="R34277"/>
      <c r="S34277"/>
      <c r="T34277"/>
      <c r="U34277"/>
      <c r="X34277" s="60"/>
    </row>
    <row r="34278" spans="7:24" ht="15" customHeight="1">
      <c r="G34278"/>
      <c r="I34278"/>
      <c r="N34278"/>
      <c r="O34278" s="24"/>
      <c r="P34278"/>
      <c r="Q34278" s="24"/>
      <c r="R34278"/>
      <c r="S34278"/>
      <c r="T34278"/>
      <c r="U34278"/>
      <c r="X34278" s="60"/>
    </row>
    <row r="34279" spans="7:24" ht="15" customHeight="1">
      <c r="G34279"/>
      <c r="I34279"/>
      <c r="N34279"/>
      <c r="O34279" s="24"/>
      <c r="P34279"/>
      <c r="Q34279" s="24"/>
      <c r="R34279"/>
      <c r="S34279"/>
      <c r="T34279"/>
      <c r="U34279"/>
      <c r="X34279" s="60"/>
    </row>
    <row r="34280" spans="7:24" ht="15" customHeight="1">
      <c r="G34280"/>
      <c r="I34280"/>
      <c r="N34280"/>
      <c r="O34280" s="24"/>
      <c r="P34280"/>
      <c r="Q34280" s="24"/>
      <c r="R34280"/>
      <c r="S34280"/>
      <c r="T34280"/>
      <c r="U34280"/>
      <c r="X34280" s="60"/>
    </row>
    <row r="34281" spans="7:24" ht="15" customHeight="1">
      <c r="G34281"/>
      <c r="I34281"/>
      <c r="N34281"/>
      <c r="O34281" s="24"/>
      <c r="P34281"/>
      <c r="Q34281" s="24"/>
      <c r="R34281"/>
      <c r="S34281"/>
      <c r="T34281"/>
      <c r="U34281"/>
      <c r="X34281" s="60"/>
    </row>
    <row r="34282" spans="7:24" ht="15" customHeight="1">
      <c r="G34282"/>
      <c r="I34282"/>
      <c r="N34282"/>
      <c r="O34282" s="24"/>
      <c r="P34282"/>
      <c r="Q34282" s="24"/>
      <c r="R34282"/>
      <c r="S34282"/>
      <c r="T34282"/>
      <c r="U34282"/>
      <c r="X34282" s="60"/>
    </row>
    <row r="34283" spans="7:24" ht="15" customHeight="1">
      <c r="G34283"/>
      <c r="I34283"/>
      <c r="N34283"/>
      <c r="O34283" s="24"/>
      <c r="P34283"/>
      <c r="Q34283" s="24"/>
      <c r="R34283"/>
      <c r="S34283"/>
      <c r="T34283"/>
      <c r="U34283"/>
      <c r="X34283" s="60"/>
    </row>
    <row r="34284" spans="7:24" ht="15" customHeight="1">
      <c r="G34284"/>
      <c r="I34284"/>
      <c r="N34284"/>
      <c r="O34284" s="24"/>
      <c r="P34284"/>
      <c r="Q34284" s="24"/>
      <c r="R34284"/>
      <c r="S34284"/>
      <c r="T34284"/>
      <c r="U34284"/>
      <c r="X34284" s="60"/>
    </row>
    <row r="34285" spans="7:24" ht="15" customHeight="1">
      <c r="G34285"/>
      <c r="I34285"/>
      <c r="N34285"/>
      <c r="O34285" s="24"/>
      <c r="P34285"/>
      <c r="Q34285" s="24"/>
      <c r="R34285"/>
      <c r="S34285"/>
      <c r="T34285"/>
      <c r="U34285"/>
      <c r="X34285" s="60"/>
    </row>
    <row r="34286" spans="7:24" ht="15" customHeight="1">
      <c r="G34286"/>
      <c r="I34286"/>
      <c r="N34286"/>
      <c r="O34286" s="24"/>
      <c r="P34286"/>
      <c r="Q34286" s="24"/>
      <c r="R34286"/>
      <c r="S34286"/>
      <c r="T34286"/>
      <c r="U34286"/>
      <c r="X34286" s="60"/>
    </row>
    <row r="34287" spans="7:24" ht="15" customHeight="1">
      <c r="G34287"/>
      <c r="I34287"/>
      <c r="N34287"/>
      <c r="O34287" s="24"/>
      <c r="P34287"/>
      <c r="Q34287" s="24"/>
      <c r="R34287"/>
      <c r="S34287"/>
      <c r="T34287"/>
      <c r="U34287"/>
      <c r="X34287" s="60"/>
    </row>
    <row r="34288" spans="7:24" ht="15" customHeight="1">
      <c r="G34288"/>
      <c r="I34288"/>
      <c r="N34288"/>
      <c r="O34288" s="24"/>
      <c r="P34288"/>
      <c r="Q34288" s="24"/>
      <c r="R34288"/>
      <c r="S34288"/>
      <c r="T34288"/>
      <c r="U34288"/>
      <c r="X34288" s="60"/>
    </row>
    <row r="34289" spans="7:24" ht="15" customHeight="1">
      <c r="G34289"/>
      <c r="I34289"/>
      <c r="N34289"/>
      <c r="O34289" s="24"/>
      <c r="P34289"/>
      <c r="Q34289" s="24"/>
      <c r="R34289"/>
      <c r="S34289"/>
      <c r="T34289"/>
      <c r="U34289"/>
      <c r="X34289" s="60"/>
    </row>
    <row r="34290" spans="7:24" ht="15" customHeight="1">
      <c r="G34290"/>
      <c r="I34290"/>
      <c r="N34290"/>
      <c r="O34290" s="24"/>
      <c r="P34290"/>
      <c r="Q34290" s="24"/>
      <c r="R34290"/>
      <c r="S34290"/>
      <c r="T34290"/>
      <c r="U34290"/>
      <c r="X34290" s="60"/>
    </row>
    <row r="34291" spans="7:24" ht="15" customHeight="1">
      <c r="G34291"/>
      <c r="I34291"/>
      <c r="N34291"/>
      <c r="O34291" s="24"/>
      <c r="P34291"/>
      <c r="Q34291" s="24"/>
      <c r="R34291"/>
      <c r="S34291"/>
      <c r="T34291"/>
      <c r="U34291"/>
      <c r="X34291" s="60"/>
    </row>
    <row r="34292" spans="7:24" ht="15" customHeight="1">
      <c r="G34292"/>
      <c r="I34292"/>
      <c r="N34292"/>
      <c r="O34292" s="24"/>
      <c r="P34292"/>
      <c r="Q34292" s="24"/>
      <c r="R34292"/>
      <c r="S34292"/>
      <c r="T34292"/>
      <c r="U34292"/>
      <c r="X34292" s="60"/>
    </row>
    <row r="34293" spans="7:24" ht="15" customHeight="1">
      <c r="G34293"/>
      <c r="I34293"/>
      <c r="N34293"/>
      <c r="O34293" s="24"/>
      <c r="P34293"/>
      <c r="Q34293" s="24"/>
      <c r="R34293"/>
      <c r="S34293"/>
      <c r="T34293"/>
      <c r="U34293"/>
      <c r="X34293" s="60"/>
    </row>
    <row r="34294" spans="7:24" ht="15" customHeight="1">
      <c r="G34294"/>
      <c r="I34294"/>
      <c r="N34294"/>
      <c r="O34294" s="24"/>
      <c r="P34294"/>
      <c r="Q34294" s="24"/>
      <c r="R34294"/>
      <c r="S34294"/>
      <c r="T34294"/>
      <c r="U34294"/>
      <c r="X34294" s="60"/>
    </row>
    <row r="34295" spans="7:24" ht="15" customHeight="1">
      <c r="G34295"/>
      <c r="I34295"/>
      <c r="N34295"/>
      <c r="O34295" s="24"/>
      <c r="P34295"/>
      <c r="Q34295" s="24"/>
      <c r="R34295"/>
      <c r="S34295"/>
      <c r="T34295"/>
      <c r="U34295"/>
      <c r="X34295" s="60"/>
    </row>
    <row r="34296" spans="7:24" ht="15" customHeight="1">
      <c r="G34296"/>
      <c r="I34296"/>
      <c r="N34296"/>
      <c r="O34296" s="24"/>
      <c r="P34296"/>
      <c r="Q34296" s="24"/>
      <c r="R34296"/>
      <c r="S34296"/>
      <c r="T34296"/>
      <c r="U34296"/>
      <c r="X34296" s="60"/>
    </row>
    <row r="34297" spans="7:24" ht="15" customHeight="1">
      <c r="G34297"/>
      <c r="I34297"/>
      <c r="N34297"/>
      <c r="O34297" s="24"/>
      <c r="P34297"/>
      <c r="Q34297" s="24"/>
      <c r="R34297"/>
      <c r="S34297"/>
      <c r="T34297"/>
      <c r="U34297"/>
      <c r="X34297" s="60"/>
    </row>
    <row r="34298" spans="7:24" ht="15" customHeight="1">
      <c r="G34298"/>
      <c r="I34298"/>
      <c r="N34298"/>
      <c r="O34298" s="24"/>
      <c r="P34298"/>
      <c r="Q34298" s="24"/>
      <c r="R34298"/>
      <c r="S34298"/>
      <c r="T34298"/>
      <c r="U34298"/>
      <c r="X34298" s="60"/>
    </row>
    <row r="34299" spans="7:24" ht="15" customHeight="1">
      <c r="G34299"/>
      <c r="I34299"/>
      <c r="N34299"/>
      <c r="O34299" s="24"/>
      <c r="P34299"/>
      <c r="Q34299" s="24"/>
      <c r="R34299"/>
      <c r="S34299"/>
      <c r="T34299"/>
      <c r="U34299"/>
      <c r="X34299" s="60"/>
    </row>
    <row r="34300" spans="7:24" ht="15" customHeight="1">
      <c r="G34300"/>
      <c r="I34300"/>
      <c r="N34300"/>
      <c r="O34300" s="24"/>
      <c r="P34300"/>
      <c r="Q34300" s="24"/>
      <c r="R34300"/>
      <c r="S34300"/>
      <c r="T34300"/>
      <c r="U34300"/>
      <c r="X34300" s="60"/>
    </row>
    <row r="34301" spans="7:24" ht="15" customHeight="1">
      <c r="G34301"/>
      <c r="I34301"/>
      <c r="N34301"/>
      <c r="O34301" s="24"/>
      <c r="P34301"/>
      <c r="Q34301" s="24"/>
      <c r="R34301"/>
      <c r="S34301"/>
      <c r="T34301"/>
      <c r="U34301"/>
      <c r="X34301" s="60"/>
    </row>
    <row r="34302" spans="7:24" ht="15" customHeight="1">
      <c r="G34302"/>
      <c r="I34302"/>
      <c r="N34302"/>
      <c r="O34302" s="24"/>
      <c r="P34302"/>
      <c r="Q34302" s="24"/>
      <c r="R34302"/>
      <c r="S34302"/>
      <c r="T34302"/>
      <c r="U34302"/>
      <c r="X34302" s="60"/>
    </row>
    <row r="34303" spans="7:24" ht="15" customHeight="1">
      <c r="G34303"/>
      <c r="I34303"/>
      <c r="N34303"/>
      <c r="O34303" s="24"/>
      <c r="P34303"/>
      <c r="Q34303" s="24"/>
      <c r="R34303"/>
      <c r="S34303"/>
      <c r="T34303"/>
      <c r="U34303"/>
      <c r="X34303" s="60"/>
    </row>
    <row r="34304" spans="7:24" ht="15" customHeight="1">
      <c r="G34304"/>
      <c r="I34304"/>
      <c r="N34304"/>
      <c r="O34304" s="24"/>
      <c r="P34304"/>
      <c r="Q34304" s="24"/>
      <c r="R34304"/>
      <c r="S34304"/>
      <c r="T34304"/>
      <c r="U34304"/>
      <c r="X34304" s="60"/>
    </row>
    <row r="34305" spans="7:24" ht="15" customHeight="1">
      <c r="G34305"/>
      <c r="I34305"/>
      <c r="N34305"/>
      <c r="O34305" s="24"/>
      <c r="P34305"/>
      <c r="Q34305" s="24"/>
      <c r="R34305"/>
      <c r="S34305"/>
      <c r="T34305"/>
      <c r="U34305"/>
      <c r="X34305" s="60"/>
    </row>
    <row r="34306" spans="7:24" ht="15" customHeight="1">
      <c r="G34306"/>
      <c r="I34306"/>
      <c r="N34306"/>
      <c r="O34306" s="24"/>
      <c r="P34306"/>
      <c r="Q34306" s="24"/>
      <c r="R34306"/>
      <c r="S34306"/>
      <c r="T34306"/>
      <c r="U34306"/>
      <c r="X34306" s="60"/>
    </row>
    <row r="34307" spans="7:24" ht="15" customHeight="1">
      <c r="G34307"/>
      <c r="I34307"/>
      <c r="N34307"/>
      <c r="O34307" s="24"/>
      <c r="P34307"/>
      <c r="Q34307" s="24"/>
      <c r="R34307"/>
      <c r="S34307"/>
      <c r="T34307"/>
      <c r="U34307"/>
      <c r="X34307" s="60"/>
    </row>
    <row r="34308" spans="7:24" ht="15" customHeight="1">
      <c r="G34308"/>
      <c r="I34308"/>
      <c r="N34308"/>
      <c r="O34308" s="24"/>
      <c r="P34308"/>
      <c r="Q34308" s="24"/>
      <c r="R34308"/>
      <c r="S34308"/>
      <c r="T34308"/>
      <c r="U34308"/>
      <c r="X34308" s="60"/>
    </row>
    <row r="34309" spans="7:24" ht="15" customHeight="1">
      <c r="G34309"/>
      <c r="I34309"/>
      <c r="N34309"/>
      <c r="O34309" s="24"/>
      <c r="P34309"/>
      <c r="Q34309" s="24"/>
      <c r="R34309"/>
      <c r="S34309"/>
      <c r="T34309"/>
      <c r="U34309"/>
      <c r="X34309" s="60"/>
    </row>
    <row r="34310" spans="7:24" ht="15" customHeight="1">
      <c r="G34310"/>
      <c r="I34310"/>
      <c r="N34310"/>
      <c r="O34310" s="24"/>
      <c r="P34310"/>
      <c r="Q34310" s="24"/>
      <c r="R34310"/>
      <c r="S34310"/>
      <c r="T34310"/>
      <c r="U34310"/>
      <c r="X34310" s="60"/>
    </row>
    <row r="34311" spans="7:24" ht="15" customHeight="1">
      <c r="G34311"/>
      <c r="I34311"/>
      <c r="N34311"/>
      <c r="O34311" s="24"/>
      <c r="P34311"/>
      <c r="Q34311" s="24"/>
      <c r="R34311"/>
      <c r="S34311"/>
      <c r="T34311"/>
      <c r="U34311"/>
      <c r="X34311" s="60"/>
    </row>
    <row r="34312" spans="7:24" ht="15" customHeight="1">
      <c r="G34312"/>
      <c r="I34312"/>
      <c r="N34312"/>
      <c r="O34312" s="24"/>
      <c r="P34312"/>
      <c r="Q34312" s="24"/>
      <c r="R34312"/>
      <c r="S34312"/>
      <c r="T34312"/>
      <c r="U34312"/>
      <c r="X34312" s="60"/>
    </row>
    <row r="34313" spans="7:24" ht="15" customHeight="1">
      <c r="G34313"/>
      <c r="I34313"/>
      <c r="N34313"/>
      <c r="O34313" s="24"/>
      <c r="P34313"/>
      <c r="Q34313" s="24"/>
      <c r="R34313"/>
      <c r="S34313"/>
      <c r="T34313"/>
      <c r="U34313"/>
      <c r="X34313" s="60"/>
    </row>
    <row r="34314" spans="7:24" ht="15" customHeight="1">
      <c r="G34314"/>
      <c r="I34314"/>
      <c r="N34314"/>
      <c r="O34314" s="24"/>
      <c r="P34314"/>
      <c r="Q34314" s="24"/>
      <c r="R34314"/>
      <c r="S34314"/>
      <c r="T34314"/>
      <c r="U34314"/>
      <c r="X34314" s="60"/>
    </row>
    <row r="34315" spans="7:24" ht="15" customHeight="1">
      <c r="G34315"/>
      <c r="I34315"/>
      <c r="N34315"/>
      <c r="O34315" s="24"/>
      <c r="P34315"/>
      <c r="Q34315" s="24"/>
      <c r="R34315"/>
      <c r="S34315"/>
      <c r="T34315"/>
      <c r="U34315"/>
      <c r="X34315" s="60"/>
    </row>
    <row r="34316" spans="7:24" ht="15" customHeight="1">
      <c r="G34316"/>
      <c r="I34316"/>
      <c r="N34316"/>
      <c r="O34316" s="24"/>
      <c r="P34316"/>
      <c r="Q34316" s="24"/>
      <c r="R34316"/>
      <c r="S34316"/>
      <c r="T34316"/>
      <c r="U34316"/>
      <c r="X34316" s="60"/>
    </row>
    <row r="34317" spans="7:24" ht="15" customHeight="1">
      <c r="G34317"/>
      <c r="I34317"/>
      <c r="N34317"/>
      <c r="O34317" s="24"/>
      <c r="P34317"/>
      <c r="Q34317" s="24"/>
      <c r="R34317"/>
      <c r="S34317"/>
      <c r="T34317"/>
      <c r="U34317"/>
      <c r="X34317" s="60"/>
    </row>
    <row r="34318" spans="7:24" ht="15" customHeight="1">
      <c r="G34318"/>
      <c r="I34318"/>
      <c r="N34318"/>
      <c r="O34318" s="24"/>
      <c r="P34318"/>
      <c r="Q34318" s="24"/>
      <c r="R34318"/>
      <c r="S34318"/>
      <c r="T34318"/>
      <c r="U34318"/>
      <c r="X34318" s="60"/>
    </row>
    <row r="34319" spans="7:24" ht="15" customHeight="1">
      <c r="G34319"/>
      <c r="I34319"/>
      <c r="N34319"/>
      <c r="O34319" s="24"/>
      <c r="P34319"/>
      <c r="Q34319" s="24"/>
      <c r="R34319"/>
      <c r="S34319"/>
      <c r="T34319"/>
      <c r="U34319"/>
      <c r="X34319" s="60"/>
    </row>
    <row r="34320" spans="7:24" ht="15" customHeight="1">
      <c r="G34320"/>
      <c r="I34320"/>
      <c r="N34320"/>
      <c r="O34320" s="24"/>
      <c r="P34320"/>
      <c r="Q34320" s="24"/>
      <c r="R34320"/>
      <c r="S34320"/>
      <c r="T34320"/>
      <c r="U34320"/>
      <c r="X34320" s="60"/>
    </row>
    <row r="34321" spans="7:24" ht="15" customHeight="1">
      <c r="G34321"/>
      <c r="I34321"/>
      <c r="N34321"/>
      <c r="O34321" s="24"/>
      <c r="P34321"/>
      <c r="Q34321" s="24"/>
      <c r="R34321"/>
      <c r="S34321"/>
      <c r="T34321"/>
      <c r="U34321"/>
      <c r="X34321" s="60"/>
    </row>
    <row r="34322" spans="7:24" ht="15" customHeight="1">
      <c r="G34322"/>
      <c r="I34322"/>
      <c r="N34322"/>
      <c r="O34322" s="24"/>
      <c r="P34322"/>
      <c r="Q34322" s="24"/>
      <c r="R34322"/>
      <c r="S34322"/>
      <c r="T34322"/>
      <c r="U34322"/>
      <c r="X34322" s="60"/>
    </row>
    <row r="34323" spans="7:24" ht="15" customHeight="1">
      <c r="G34323"/>
      <c r="I34323"/>
      <c r="N34323"/>
      <c r="O34323" s="24"/>
      <c r="P34323"/>
      <c r="Q34323" s="24"/>
      <c r="R34323"/>
      <c r="S34323"/>
      <c r="T34323"/>
      <c r="U34323"/>
      <c r="X34323" s="60"/>
    </row>
    <row r="34324" spans="7:24" ht="15" customHeight="1">
      <c r="G34324"/>
      <c r="I34324"/>
      <c r="N34324"/>
      <c r="O34324" s="24"/>
      <c r="P34324"/>
      <c r="Q34324" s="24"/>
      <c r="R34324"/>
      <c r="S34324"/>
      <c r="T34324"/>
      <c r="U34324"/>
      <c r="X34324" s="60"/>
    </row>
    <row r="34325" spans="7:24" ht="15" customHeight="1">
      <c r="G34325"/>
      <c r="I34325"/>
      <c r="N34325"/>
      <c r="O34325" s="24"/>
      <c r="P34325"/>
      <c r="Q34325" s="24"/>
      <c r="R34325"/>
      <c r="S34325"/>
      <c r="T34325"/>
      <c r="U34325"/>
      <c r="X34325" s="60"/>
    </row>
    <row r="34326" spans="7:24" ht="15" customHeight="1">
      <c r="G34326"/>
      <c r="I34326"/>
      <c r="N34326"/>
      <c r="O34326" s="24"/>
      <c r="P34326"/>
      <c r="Q34326" s="24"/>
      <c r="R34326"/>
      <c r="S34326"/>
      <c r="T34326"/>
      <c r="U34326"/>
      <c r="X34326" s="60"/>
    </row>
    <row r="34327" spans="7:24" ht="15" customHeight="1">
      <c r="G34327"/>
      <c r="I34327"/>
      <c r="N34327"/>
      <c r="O34327" s="24"/>
      <c r="P34327"/>
      <c r="Q34327" s="24"/>
      <c r="R34327"/>
      <c r="S34327"/>
      <c r="T34327"/>
      <c r="U34327"/>
      <c r="X34327" s="60"/>
    </row>
    <row r="34328" spans="7:24" ht="15" customHeight="1">
      <c r="G34328"/>
      <c r="I34328"/>
      <c r="N34328"/>
      <c r="O34328" s="24"/>
      <c r="P34328"/>
      <c r="Q34328" s="24"/>
      <c r="R34328"/>
      <c r="S34328"/>
      <c r="T34328"/>
      <c r="U34328"/>
      <c r="X34328" s="60"/>
    </row>
    <row r="34329" spans="7:24" ht="15" customHeight="1">
      <c r="G34329"/>
      <c r="I34329"/>
      <c r="N34329"/>
      <c r="O34329" s="24"/>
      <c r="P34329"/>
      <c r="Q34329" s="24"/>
      <c r="R34329"/>
      <c r="S34329"/>
      <c r="T34329"/>
      <c r="U34329"/>
      <c r="X34329" s="60"/>
    </row>
    <row r="34330" spans="7:24" ht="15" customHeight="1">
      <c r="G34330"/>
      <c r="I34330"/>
      <c r="N34330"/>
      <c r="O34330" s="24"/>
      <c r="P34330"/>
      <c r="Q34330" s="24"/>
      <c r="R34330"/>
      <c r="S34330"/>
      <c r="T34330"/>
      <c r="U34330"/>
      <c r="X34330" s="60"/>
    </row>
    <row r="34331" spans="7:24" ht="15" customHeight="1">
      <c r="G34331"/>
      <c r="I34331"/>
      <c r="N34331"/>
      <c r="O34331" s="24"/>
      <c r="P34331"/>
      <c r="Q34331" s="24"/>
      <c r="R34331"/>
      <c r="S34331"/>
      <c r="T34331"/>
      <c r="U34331"/>
      <c r="X34331" s="60"/>
    </row>
    <row r="34332" spans="7:24" ht="15" customHeight="1">
      <c r="G34332"/>
      <c r="I34332"/>
      <c r="N34332"/>
      <c r="O34332" s="24"/>
      <c r="P34332"/>
      <c r="Q34332" s="24"/>
      <c r="R34332"/>
      <c r="S34332"/>
      <c r="T34332"/>
      <c r="U34332"/>
      <c r="X34332" s="60"/>
    </row>
    <row r="34333" spans="7:24" ht="15" customHeight="1">
      <c r="G34333"/>
      <c r="I34333"/>
      <c r="N34333"/>
      <c r="O34333" s="24"/>
      <c r="P34333"/>
      <c r="Q34333" s="24"/>
      <c r="R34333"/>
      <c r="S34333"/>
      <c r="T34333"/>
      <c r="U34333"/>
      <c r="X34333" s="60"/>
    </row>
    <row r="34334" spans="7:24" ht="15" customHeight="1">
      <c r="G34334"/>
      <c r="I34334"/>
      <c r="N34334"/>
      <c r="O34334" s="24"/>
      <c r="P34334"/>
      <c r="Q34334" s="24"/>
      <c r="R34334"/>
      <c r="S34334"/>
      <c r="T34334"/>
      <c r="U34334"/>
      <c r="X34334" s="60"/>
    </row>
    <row r="34335" spans="7:24" ht="15" customHeight="1">
      <c r="G34335"/>
      <c r="I34335"/>
      <c r="N34335"/>
      <c r="O34335" s="24"/>
      <c r="P34335"/>
      <c r="Q34335" s="24"/>
      <c r="R34335"/>
      <c r="S34335"/>
      <c r="T34335"/>
      <c r="U34335"/>
      <c r="X34335" s="60"/>
    </row>
    <row r="34336" spans="7:24" ht="15" customHeight="1">
      <c r="G34336"/>
      <c r="I34336"/>
      <c r="N34336"/>
      <c r="O34336" s="24"/>
      <c r="P34336"/>
      <c r="Q34336" s="24"/>
      <c r="R34336"/>
      <c r="S34336"/>
      <c r="T34336"/>
      <c r="U34336"/>
      <c r="X34336" s="60"/>
    </row>
    <row r="34337" spans="7:24" ht="15" customHeight="1">
      <c r="G34337"/>
      <c r="I34337"/>
      <c r="N34337"/>
      <c r="O34337" s="24"/>
      <c r="P34337"/>
      <c r="Q34337" s="24"/>
      <c r="R34337"/>
      <c r="S34337"/>
      <c r="T34337"/>
      <c r="U34337"/>
      <c r="X34337" s="60"/>
    </row>
    <row r="34338" spans="7:24" ht="15" customHeight="1">
      <c r="G34338"/>
      <c r="I34338"/>
      <c r="N34338"/>
      <c r="O34338" s="24"/>
      <c r="P34338"/>
      <c r="Q34338" s="24"/>
      <c r="R34338"/>
      <c r="S34338"/>
      <c r="T34338"/>
      <c r="U34338"/>
      <c r="X34338" s="60"/>
    </row>
    <row r="34339" spans="7:24" ht="15" customHeight="1">
      <c r="G34339"/>
      <c r="I34339"/>
      <c r="N34339"/>
      <c r="O34339" s="24"/>
      <c r="P34339"/>
      <c r="Q34339" s="24"/>
      <c r="R34339"/>
      <c r="S34339"/>
      <c r="T34339"/>
      <c r="U34339"/>
      <c r="X34339" s="60"/>
    </row>
    <row r="34340" spans="7:24" ht="15" customHeight="1">
      <c r="G34340"/>
      <c r="I34340"/>
      <c r="N34340"/>
      <c r="O34340" s="24"/>
      <c r="P34340"/>
      <c r="Q34340" s="24"/>
      <c r="R34340"/>
      <c r="S34340"/>
      <c r="T34340"/>
      <c r="U34340"/>
      <c r="X34340" s="60"/>
    </row>
    <row r="34341" spans="7:24" ht="15" customHeight="1">
      <c r="G34341"/>
      <c r="I34341"/>
      <c r="N34341"/>
      <c r="O34341" s="24"/>
      <c r="P34341"/>
      <c r="Q34341" s="24"/>
      <c r="R34341"/>
      <c r="S34341"/>
      <c r="T34341"/>
      <c r="U34341"/>
      <c r="X34341" s="60"/>
    </row>
    <row r="34342" spans="7:24" ht="15" customHeight="1">
      <c r="G34342"/>
      <c r="I34342"/>
      <c r="N34342"/>
      <c r="O34342" s="24"/>
      <c r="P34342"/>
      <c r="Q34342" s="24"/>
      <c r="R34342"/>
      <c r="S34342"/>
      <c r="T34342"/>
      <c r="U34342"/>
      <c r="X34342" s="60"/>
    </row>
    <row r="34343" spans="7:24" ht="15" customHeight="1">
      <c r="G34343"/>
      <c r="I34343"/>
      <c r="N34343"/>
      <c r="O34343" s="24"/>
      <c r="P34343"/>
      <c r="Q34343" s="24"/>
      <c r="R34343"/>
      <c r="S34343"/>
      <c r="T34343"/>
      <c r="U34343"/>
      <c r="X34343" s="60"/>
    </row>
    <row r="34344" spans="7:24" ht="15" customHeight="1">
      <c r="G34344"/>
      <c r="I34344"/>
      <c r="N34344"/>
      <c r="O34344" s="24"/>
      <c r="P34344"/>
      <c r="Q34344" s="24"/>
      <c r="R34344"/>
      <c r="S34344"/>
      <c r="T34344"/>
      <c r="U34344"/>
      <c r="X34344" s="60"/>
    </row>
    <row r="34345" spans="7:24" ht="15" customHeight="1">
      <c r="G34345"/>
      <c r="I34345"/>
      <c r="N34345"/>
      <c r="O34345" s="24"/>
      <c r="P34345"/>
      <c r="Q34345" s="24"/>
      <c r="R34345"/>
      <c r="S34345"/>
      <c r="T34345"/>
      <c r="U34345"/>
      <c r="X34345" s="60"/>
    </row>
    <row r="34346" spans="7:24" ht="15" customHeight="1">
      <c r="G34346"/>
      <c r="I34346"/>
      <c r="N34346"/>
      <c r="O34346" s="24"/>
      <c r="P34346"/>
      <c r="Q34346" s="24"/>
      <c r="R34346"/>
      <c r="S34346"/>
      <c r="T34346"/>
      <c r="U34346"/>
      <c r="X34346" s="60"/>
    </row>
    <row r="34347" spans="7:24" ht="15" customHeight="1">
      <c r="G34347"/>
      <c r="I34347"/>
      <c r="N34347"/>
      <c r="O34347" s="24"/>
      <c r="P34347"/>
      <c r="Q34347" s="24"/>
      <c r="R34347"/>
      <c r="S34347"/>
      <c r="T34347"/>
      <c r="U34347"/>
      <c r="X34347" s="60"/>
    </row>
    <row r="34348" spans="7:24" ht="15" customHeight="1">
      <c r="G34348"/>
      <c r="I34348"/>
      <c r="N34348"/>
      <c r="O34348" s="24"/>
      <c r="P34348"/>
      <c r="Q34348" s="24"/>
      <c r="R34348"/>
      <c r="S34348"/>
      <c r="T34348"/>
      <c r="U34348"/>
      <c r="X34348" s="60"/>
    </row>
    <row r="34349" spans="7:24" ht="15" customHeight="1">
      <c r="G34349"/>
      <c r="I34349"/>
      <c r="N34349"/>
      <c r="O34349" s="24"/>
      <c r="P34349"/>
      <c r="Q34349" s="24"/>
      <c r="R34349"/>
      <c r="S34349"/>
      <c r="T34349"/>
      <c r="U34349"/>
      <c r="X34349" s="60"/>
    </row>
    <row r="34350" spans="7:24" ht="15" customHeight="1">
      <c r="G34350"/>
      <c r="I34350"/>
      <c r="N34350"/>
      <c r="O34350" s="24"/>
      <c r="P34350"/>
      <c r="Q34350" s="24"/>
      <c r="R34350"/>
      <c r="S34350"/>
      <c r="T34350"/>
      <c r="U34350"/>
      <c r="X34350" s="60"/>
    </row>
    <row r="34351" spans="7:24" ht="15" customHeight="1">
      <c r="G34351"/>
      <c r="I34351"/>
      <c r="N34351"/>
      <c r="O34351" s="24"/>
      <c r="P34351"/>
      <c r="Q34351" s="24"/>
      <c r="R34351"/>
      <c r="S34351"/>
      <c r="T34351"/>
      <c r="U34351"/>
      <c r="X34351" s="60"/>
    </row>
    <row r="34352" spans="7:24" ht="15" customHeight="1">
      <c r="G34352"/>
      <c r="I34352"/>
      <c r="N34352"/>
      <c r="O34352" s="24"/>
      <c r="P34352"/>
      <c r="Q34352" s="24"/>
      <c r="R34352"/>
      <c r="S34352"/>
      <c r="T34352"/>
      <c r="U34352"/>
      <c r="X34352" s="60"/>
    </row>
    <row r="34353" spans="7:24" ht="15" customHeight="1">
      <c r="G34353"/>
      <c r="I34353"/>
      <c r="N34353"/>
      <c r="O34353" s="24"/>
      <c r="P34353"/>
      <c r="Q34353" s="24"/>
      <c r="R34353"/>
      <c r="S34353"/>
      <c r="T34353"/>
      <c r="U34353"/>
      <c r="X34353" s="60"/>
    </row>
    <row r="34354" spans="7:24" ht="15" customHeight="1">
      <c r="G34354"/>
      <c r="I34354"/>
      <c r="N34354"/>
      <c r="O34354" s="24"/>
      <c r="P34354"/>
      <c r="Q34354" s="24"/>
      <c r="R34354"/>
      <c r="S34354"/>
      <c r="T34354"/>
      <c r="U34354"/>
      <c r="X34354" s="60"/>
    </row>
    <row r="34355" spans="7:24" ht="15" customHeight="1">
      <c r="G34355"/>
      <c r="I34355"/>
      <c r="N34355"/>
      <c r="O34355" s="24"/>
      <c r="P34355"/>
      <c r="Q34355" s="24"/>
      <c r="R34355"/>
      <c r="S34355"/>
      <c r="T34355"/>
      <c r="U34355"/>
      <c r="X34355" s="60"/>
    </row>
    <row r="34356" spans="7:24" ht="15" customHeight="1">
      <c r="G34356"/>
      <c r="I34356"/>
      <c r="N34356"/>
      <c r="O34356" s="24"/>
      <c r="P34356"/>
      <c r="Q34356" s="24"/>
      <c r="R34356"/>
      <c r="S34356"/>
      <c r="T34356"/>
      <c r="U34356"/>
      <c r="X34356" s="60"/>
    </row>
    <row r="34357" spans="7:24" ht="15" customHeight="1">
      <c r="G34357"/>
      <c r="I34357"/>
      <c r="N34357"/>
      <c r="O34357" s="24"/>
      <c r="P34357"/>
      <c r="Q34357" s="24"/>
      <c r="R34357"/>
      <c r="S34357"/>
      <c r="T34357"/>
      <c r="U34357"/>
      <c r="X34357" s="60"/>
    </row>
    <row r="34358" spans="7:24" ht="15" customHeight="1">
      <c r="G34358"/>
      <c r="I34358"/>
      <c r="N34358"/>
      <c r="O34358" s="24"/>
      <c r="P34358"/>
      <c r="Q34358" s="24"/>
      <c r="R34358"/>
      <c r="S34358"/>
      <c r="T34358"/>
      <c r="U34358"/>
      <c r="X34358" s="60"/>
    </row>
    <row r="34359" spans="7:24" ht="15" customHeight="1">
      <c r="G34359"/>
      <c r="I34359"/>
      <c r="N34359"/>
      <c r="O34359" s="24"/>
      <c r="P34359"/>
      <c r="Q34359" s="24"/>
      <c r="R34359"/>
      <c r="S34359"/>
      <c r="T34359"/>
      <c r="U34359"/>
      <c r="X34359" s="60"/>
    </row>
    <row r="34360" spans="7:24" ht="15" customHeight="1">
      <c r="G34360"/>
      <c r="I34360"/>
      <c r="N34360"/>
      <c r="O34360" s="24"/>
      <c r="P34360"/>
      <c r="Q34360" s="24"/>
      <c r="R34360"/>
      <c r="S34360"/>
      <c r="T34360"/>
      <c r="U34360"/>
      <c r="X34360" s="60"/>
    </row>
    <row r="34361" spans="7:24" ht="15" customHeight="1">
      <c r="G34361"/>
      <c r="I34361"/>
      <c r="N34361"/>
      <c r="O34361" s="24"/>
      <c r="P34361"/>
      <c r="Q34361" s="24"/>
      <c r="R34361"/>
      <c r="S34361"/>
      <c r="T34361"/>
      <c r="U34361"/>
      <c r="X34361" s="60"/>
    </row>
    <row r="34362" spans="7:24" ht="15" customHeight="1">
      <c r="G34362"/>
      <c r="I34362"/>
      <c r="N34362"/>
      <c r="O34362" s="24"/>
      <c r="P34362"/>
      <c r="Q34362" s="24"/>
      <c r="R34362"/>
      <c r="S34362"/>
      <c r="T34362"/>
      <c r="U34362"/>
      <c r="X34362" s="60"/>
    </row>
    <row r="34363" spans="7:24" ht="15" customHeight="1">
      <c r="G34363"/>
      <c r="I34363"/>
      <c r="N34363"/>
      <c r="O34363" s="24"/>
      <c r="P34363"/>
      <c r="Q34363" s="24"/>
      <c r="R34363"/>
      <c r="S34363"/>
      <c r="T34363"/>
      <c r="U34363"/>
      <c r="X34363" s="60"/>
    </row>
    <row r="34364" spans="7:24" ht="15" customHeight="1">
      <c r="G34364"/>
      <c r="I34364"/>
      <c r="N34364"/>
      <c r="O34364" s="24"/>
      <c r="P34364"/>
      <c r="Q34364" s="24"/>
      <c r="R34364"/>
      <c r="S34364"/>
      <c r="T34364"/>
      <c r="U34364"/>
      <c r="X34364" s="60"/>
    </row>
    <row r="34365" spans="7:24" ht="15" customHeight="1">
      <c r="G34365"/>
      <c r="I34365"/>
      <c r="N34365"/>
      <c r="O34365" s="24"/>
      <c r="P34365"/>
      <c r="Q34365" s="24"/>
      <c r="R34365"/>
      <c r="S34365"/>
      <c r="T34365"/>
      <c r="U34365"/>
      <c r="X34365" s="60"/>
    </row>
    <row r="34366" spans="7:24" ht="15" customHeight="1">
      <c r="G34366"/>
      <c r="I34366"/>
      <c r="N34366"/>
      <c r="O34366" s="24"/>
      <c r="P34366"/>
      <c r="Q34366" s="24"/>
      <c r="R34366"/>
      <c r="S34366"/>
      <c r="T34366"/>
      <c r="U34366"/>
      <c r="X34366" s="60"/>
    </row>
    <row r="34367" spans="7:24" ht="15" customHeight="1">
      <c r="G34367"/>
      <c r="I34367"/>
      <c r="N34367"/>
      <c r="O34367" s="24"/>
      <c r="P34367"/>
      <c r="Q34367" s="24"/>
      <c r="R34367"/>
      <c r="S34367"/>
      <c r="T34367"/>
      <c r="U34367"/>
      <c r="X34367" s="60"/>
    </row>
    <row r="34368" spans="7:24" ht="15" customHeight="1">
      <c r="G34368"/>
      <c r="I34368"/>
      <c r="N34368"/>
      <c r="O34368" s="24"/>
      <c r="P34368"/>
      <c r="Q34368" s="24"/>
      <c r="R34368"/>
      <c r="S34368"/>
      <c r="T34368"/>
      <c r="U34368"/>
      <c r="X34368" s="60"/>
    </row>
    <row r="34369" spans="7:24" ht="15" customHeight="1">
      <c r="G34369"/>
      <c r="I34369"/>
      <c r="N34369"/>
      <c r="O34369" s="24"/>
      <c r="P34369"/>
      <c r="Q34369" s="24"/>
      <c r="R34369"/>
      <c r="S34369"/>
      <c r="T34369"/>
      <c r="U34369"/>
      <c r="X34369" s="60"/>
    </row>
    <row r="34370" spans="7:24" ht="15" customHeight="1">
      <c r="G34370"/>
      <c r="I34370"/>
      <c r="N34370"/>
      <c r="O34370" s="24"/>
      <c r="P34370"/>
      <c r="Q34370" s="24"/>
      <c r="R34370"/>
      <c r="S34370"/>
      <c r="T34370"/>
      <c r="U34370"/>
      <c r="X34370" s="60"/>
    </row>
    <row r="34371" spans="7:24" ht="15" customHeight="1">
      <c r="G34371"/>
      <c r="I34371"/>
      <c r="N34371"/>
      <c r="O34371" s="24"/>
      <c r="P34371"/>
      <c r="Q34371" s="24"/>
      <c r="R34371"/>
      <c r="S34371"/>
      <c r="T34371"/>
      <c r="U34371"/>
      <c r="X34371" s="60"/>
    </row>
    <row r="34372" spans="7:24" ht="15" customHeight="1">
      <c r="G34372"/>
      <c r="I34372"/>
      <c r="N34372"/>
      <c r="O34372" s="24"/>
      <c r="P34372"/>
      <c r="Q34372" s="24"/>
      <c r="R34372"/>
      <c r="S34372"/>
      <c r="T34372"/>
      <c r="U34372"/>
      <c r="X34372" s="60"/>
    </row>
    <row r="34373" spans="7:24" ht="15" customHeight="1">
      <c r="G34373"/>
      <c r="I34373"/>
      <c r="N34373"/>
      <c r="O34373" s="24"/>
      <c r="P34373"/>
      <c r="Q34373" s="24"/>
      <c r="R34373"/>
      <c r="S34373"/>
      <c r="T34373"/>
      <c r="U34373"/>
      <c r="X34373" s="60"/>
    </row>
    <row r="34374" spans="7:24" ht="15" customHeight="1">
      <c r="G34374"/>
      <c r="I34374"/>
      <c r="N34374"/>
      <c r="O34374" s="24"/>
      <c r="P34374"/>
      <c r="Q34374" s="24"/>
      <c r="R34374"/>
      <c r="S34374"/>
      <c r="T34374"/>
      <c r="U34374"/>
      <c r="X34374" s="60"/>
    </row>
    <row r="34375" spans="7:24" ht="15" customHeight="1">
      <c r="G34375"/>
      <c r="I34375"/>
      <c r="N34375"/>
      <c r="O34375" s="24"/>
      <c r="P34375"/>
      <c r="Q34375" s="24"/>
      <c r="R34375"/>
      <c r="S34375"/>
      <c r="T34375"/>
      <c r="U34375"/>
      <c r="X34375" s="60"/>
    </row>
    <row r="34376" spans="7:24" ht="15" customHeight="1">
      <c r="G34376"/>
      <c r="I34376"/>
      <c r="N34376"/>
      <c r="O34376" s="24"/>
      <c r="P34376"/>
      <c r="Q34376" s="24"/>
      <c r="R34376"/>
      <c r="S34376"/>
      <c r="T34376"/>
      <c r="U34376"/>
      <c r="X34376" s="60"/>
    </row>
    <row r="34377" spans="7:24" ht="15" customHeight="1">
      <c r="G34377"/>
      <c r="I34377"/>
      <c r="N34377"/>
      <c r="O34377" s="24"/>
      <c r="P34377"/>
      <c r="Q34377" s="24"/>
      <c r="R34377"/>
      <c r="S34377"/>
      <c r="T34377"/>
      <c r="U34377"/>
      <c r="X34377" s="60"/>
    </row>
    <row r="34378" spans="7:24" ht="15" customHeight="1">
      <c r="G34378"/>
      <c r="I34378"/>
      <c r="N34378"/>
      <c r="O34378" s="24"/>
      <c r="P34378"/>
      <c r="Q34378" s="24"/>
      <c r="R34378"/>
      <c r="S34378"/>
      <c r="T34378"/>
      <c r="U34378"/>
      <c r="X34378" s="60"/>
    </row>
    <row r="34379" spans="7:24" ht="15" customHeight="1">
      <c r="G34379"/>
      <c r="I34379"/>
      <c r="N34379"/>
      <c r="O34379" s="24"/>
      <c r="P34379"/>
      <c r="Q34379" s="24"/>
      <c r="R34379"/>
      <c r="S34379"/>
      <c r="T34379"/>
      <c r="U34379"/>
      <c r="X34379" s="60"/>
    </row>
    <row r="34380" spans="7:24" ht="15" customHeight="1">
      <c r="G34380"/>
      <c r="I34380"/>
      <c r="N34380"/>
      <c r="O34380" s="24"/>
      <c r="P34380"/>
      <c r="Q34380" s="24"/>
      <c r="R34380"/>
      <c r="S34380"/>
      <c r="T34380"/>
      <c r="U34380"/>
      <c r="X34380" s="60"/>
    </row>
    <row r="34381" spans="7:24" ht="15" customHeight="1">
      <c r="G34381"/>
      <c r="I34381"/>
      <c r="N34381"/>
      <c r="O34381" s="24"/>
      <c r="P34381"/>
      <c r="Q34381" s="24"/>
      <c r="R34381"/>
      <c r="S34381"/>
      <c r="T34381"/>
      <c r="U34381"/>
      <c r="X34381" s="60"/>
    </row>
    <row r="34382" spans="7:24" ht="15" customHeight="1">
      <c r="G34382"/>
      <c r="I34382"/>
      <c r="N34382"/>
      <c r="O34382" s="24"/>
      <c r="P34382"/>
      <c r="Q34382" s="24"/>
      <c r="R34382"/>
      <c r="S34382"/>
      <c r="T34382"/>
      <c r="U34382"/>
      <c r="X34382" s="60"/>
    </row>
    <row r="34383" spans="7:24" ht="15" customHeight="1">
      <c r="G34383"/>
      <c r="I34383"/>
      <c r="N34383"/>
      <c r="O34383" s="24"/>
      <c r="P34383"/>
      <c r="Q34383" s="24"/>
      <c r="R34383"/>
      <c r="S34383"/>
      <c r="T34383"/>
      <c r="U34383"/>
      <c r="X34383" s="60"/>
    </row>
    <row r="34384" spans="7:24" ht="15" customHeight="1">
      <c r="G34384"/>
      <c r="I34384"/>
      <c r="N34384"/>
      <c r="O34384" s="24"/>
      <c r="P34384"/>
      <c r="Q34384" s="24"/>
      <c r="R34384"/>
      <c r="S34384"/>
      <c r="T34384"/>
      <c r="U34384"/>
      <c r="X34384" s="60"/>
    </row>
    <row r="34385" spans="7:24" ht="15" customHeight="1">
      <c r="G34385"/>
      <c r="I34385"/>
      <c r="N34385"/>
      <c r="O34385" s="24"/>
      <c r="P34385"/>
      <c r="Q34385" s="24"/>
      <c r="R34385"/>
      <c r="S34385"/>
      <c r="T34385"/>
      <c r="U34385"/>
      <c r="X34385" s="60"/>
    </row>
    <row r="34386" spans="7:24" ht="15" customHeight="1">
      <c r="G34386"/>
      <c r="I34386"/>
      <c r="N34386"/>
      <c r="O34386" s="24"/>
      <c r="P34386"/>
      <c r="Q34386" s="24"/>
      <c r="R34386"/>
      <c r="S34386"/>
      <c r="T34386"/>
      <c r="U34386"/>
      <c r="X34386" s="60"/>
    </row>
    <row r="34387" spans="7:24" ht="15" customHeight="1">
      <c r="G34387"/>
      <c r="I34387"/>
      <c r="N34387"/>
      <c r="O34387" s="24"/>
      <c r="P34387"/>
      <c r="Q34387" s="24"/>
      <c r="R34387"/>
      <c r="S34387"/>
      <c r="T34387"/>
      <c r="U34387"/>
      <c r="X34387" s="60"/>
    </row>
    <row r="34388" spans="7:24" ht="15" customHeight="1">
      <c r="G34388"/>
      <c r="I34388"/>
      <c r="N34388"/>
      <c r="O34388" s="24"/>
      <c r="P34388"/>
      <c r="Q34388" s="24"/>
      <c r="R34388"/>
      <c r="S34388"/>
      <c r="T34388"/>
      <c r="U34388"/>
      <c r="X34388" s="60"/>
    </row>
    <row r="34389" spans="7:24" ht="15" customHeight="1">
      <c r="G34389"/>
      <c r="I34389"/>
      <c r="N34389"/>
      <c r="O34389" s="24"/>
      <c r="P34389"/>
      <c r="Q34389" s="24"/>
      <c r="R34389"/>
      <c r="S34389"/>
      <c r="T34389"/>
      <c r="U34389"/>
      <c r="X34389" s="60"/>
    </row>
    <row r="34390" spans="7:24" ht="15" customHeight="1">
      <c r="G34390"/>
      <c r="I34390"/>
      <c r="N34390"/>
      <c r="O34390" s="24"/>
      <c r="P34390"/>
      <c r="Q34390" s="24"/>
      <c r="R34390"/>
      <c r="S34390"/>
      <c r="T34390"/>
      <c r="U34390"/>
      <c r="X34390" s="60"/>
    </row>
    <row r="34391" spans="7:24" ht="15" customHeight="1">
      <c r="G34391"/>
      <c r="I34391"/>
      <c r="N34391"/>
      <c r="O34391" s="24"/>
      <c r="P34391"/>
      <c r="Q34391" s="24"/>
      <c r="R34391"/>
      <c r="S34391"/>
      <c r="T34391"/>
      <c r="U34391"/>
      <c r="X34391" s="60"/>
    </row>
    <row r="34392" spans="7:24" ht="15" customHeight="1">
      <c r="G34392"/>
      <c r="I34392"/>
      <c r="N34392"/>
      <c r="O34392" s="24"/>
      <c r="P34392"/>
      <c r="Q34392" s="24"/>
      <c r="R34392"/>
      <c r="S34392"/>
      <c r="T34392"/>
      <c r="U34392"/>
      <c r="X34392" s="60"/>
    </row>
    <row r="34393" spans="7:24" ht="15" customHeight="1">
      <c r="G34393"/>
      <c r="I34393"/>
      <c r="N34393"/>
      <c r="O34393" s="24"/>
      <c r="P34393"/>
      <c r="Q34393" s="24"/>
      <c r="R34393"/>
      <c r="S34393"/>
      <c r="T34393"/>
      <c r="U34393"/>
      <c r="X34393" s="60"/>
    </row>
    <row r="34394" spans="7:24" ht="15" customHeight="1">
      <c r="G34394"/>
      <c r="I34394"/>
      <c r="N34394"/>
      <c r="O34394" s="24"/>
      <c r="P34394"/>
      <c r="Q34394" s="24"/>
      <c r="R34394"/>
      <c r="S34394"/>
      <c r="T34394"/>
      <c r="U34394"/>
      <c r="X34394" s="60"/>
    </row>
    <row r="34395" spans="7:24" ht="15" customHeight="1">
      <c r="G34395"/>
      <c r="I34395"/>
      <c r="N34395"/>
      <c r="O34395" s="24"/>
      <c r="P34395"/>
      <c r="Q34395" s="24"/>
      <c r="R34395"/>
      <c r="S34395"/>
      <c r="T34395"/>
      <c r="U34395"/>
      <c r="X34395" s="60"/>
    </row>
    <row r="34396" spans="7:24" ht="15" customHeight="1">
      <c r="G34396"/>
      <c r="I34396"/>
      <c r="N34396"/>
      <c r="O34396" s="24"/>
      <c r="P34396"/>
      <c r="Q34396" s="24"/>
      <c r="R34396"/>
      <c r="S34396"/>
      <c r="T34396"/>
      <c r="U34396"/>
      <c r="X34396" s="60"/>
    </row>
    <row r="34397" spans="7:24" ht="15" customHeight="1">
      <c r="G34397"/>
      <c r="I34397"/>
      <c r="N34397"/>
      <c r="O34397" s="24"/>
      <c r="P34397"/>
      <c r="Q34397" s="24"/>
      <c r="R34397"/>
      <c r="S34397"/>
      <c r="T34397"/>
      <c r="U34397"/>
      <c r="X34397" s="60"/>
    </row>
    <row r="34398" spans="7:24" ht="15" customHeight="1">
      <c r="G34398"/>
      <c r="I34398"/>
      <c r="N34398"/>
      <c r="O34398" s="24"/>
      <c r="P34398"/>
      <c r="Q34398" s="24"/>
      <c r="R34398"/>
      <c r="S34398"/>
      <c r="T34398"/>
      <c r="U34398"/>
      <c r="X34398" s="60"/>
    </row>
    <row r="34399" spans="7:24" ht="15" customHeight="1">
      <c r="G34399"/>
      <c r="I34399"/>
      <c r="N34399"/>
      <c r="O34399" s="24"/>
      <c r="P34399"/>
      <c r="Q34399" s="24"/>
      <c r="R34399"/>
      <c r="S34399"/>
      <c r="T34399"/>
      <c r="U34399"/>
      <c r="X34399" s="60"/>
    </row>
    <row r="34400" spans="7:24" ht="15" customHeight="1">
      <c r="G34400"/>
      <c r="I34400"/>
      <c r="N34400"/>
      <c r="O34400" s="24"/>
      <c r="P34400"/>
      <c r="Q34400" s="24"/>
      <c r="R34400"/>
      <c r="S34400"/>
      <c r="T34400"/>
      <c r="U34400"/>
      <c r="X34400" s="60"/>
    </row>
    <row r="34401" spans="7:24" ht="15" customHeight="1">
      <c r="G34401"/>
      <c r="I34401"/>
      <c r="N34401"/>
      <c r="O34401" s="24"/>
      <c r="P34401"/>
      <c r="Q34401" s="24"/>
      <c r="R34401"/>
      <c r="S34401"/>
      <c r="T34401"/>
      <c r="U34401"/>
      <c r="X34401" s="60"/>
    </row>
    <row r="34402" spans="7:24" ht="15" customHeight="1">
      <c r="G34402"/>
      <c r="I34402"/>
      <c r="N34402"/>
      <c r="O34402" s="24"/>
      <c r="P34402"/>
      <c r="Q34402" s="24"/>
      <c r="R34402"/>
      <c r="S34402"/>
      <c r="T34402"/>
      <c r="U34402"/>
      <c r="X34402" s="60"/>
    </row>
    <row r="34403" spans="7:24" ht="15" customHeight="1">
      <c r="G34403"/>
      <c r="I34403"/>
      <c r="N34403"/>
      <c r="O34403" s="24"/>
      <c r="P34403"/>
      <c r="Q34403" s="24"/>
      <c r="R34403"/>
      <c r="S34403"/>
      <c r="T34403"/>
      <c r="U34403"/>
      <c r="X34403" s="60"/>
    </row>
    <row r="34404" spans="7:24" ht="15" customHeight="1">
      <c r="G34404"/>
      <c r="I34404"/>
      <c r="N34404"/>
      <c r="O34404" s="24"/>
      <c r="P34404"/>
      <c r="Q34404" s="24"/>
      <c r="R34404"/>
      <c r="S34404"/>
      <c r="T34404"/>
      <c r="U34404"/>
      <c r="X34404" s="60"/>
    </row>
    <row r="34405" spans="7:24" ht="15" customHeight="1">
      <c r="G34405"/>
      <c r="I34405"/>
      <c r="N34405"/>
      <c r="O34405" s="24"/>
      <c r="P34405"/>
      <c r="Q34405" s="24"/>
      <c r="R34405"/>
      <c r="S34405"/>
      <c r="T34405"/>
      <c r="U34405"/>
      <c r="X34405" s="60"/>
    </row>
    <row r="34406" spans="7:24" ht="15" customHeight="1">
      <c r="G34406"/>
      <c r="I34406"/>
      <c r="N34406"/>
      <c r="O34406" s="24"/>
      <c r="P34406"/>
      <c r="Q34406" s="24"/>
      <c r="R34406"/>
      <c r="S34406"/>
      <c r="T34406"/>
      <c r="U34406"/>
      <c r="X34406" s="60"/>
    </row>
    <row r="34407" spans="7:24" ht="15" customHeight="1">
      <c r="G34407"/>
      <c r="I34407"/>
      <c r="N34407"/>
      <c r="O34407" s="24"/>
      <c r="P34407"/>
      <c r="Q34407" s="24"/>
      <c r="R34407"/>
      <c r="S34407"/>
      <c r="T34407"/>
      <c r="U34407"/>
      <c r="X34407" s="60"/>
    </row>
    <row r="34408" spans="7:24" ht="15" customHeight="1">
      <c r="G34408"/>
      <c r="I34408"/>
      <c r="N34408"/>
      <c r="O34408" s="24"/>
      <c r="P34408"/>
      <c r="Q34408" s="24"/>
      <c r="R34408"/>
      <c r="S34408"/>
      <c r="T34408"/>
      <c r="U34408"/>
      <c r="X34408" s="60"/>
    </row>
    <row r="34409" spans="7:24" ht="15" customHeight="1">
      <c r="G34409"/>
      <c r="I34409"/>
      <c r="N34409"/>
      <c r="O34409" s="24"/>
      <c r="P34409"/>
      <c r="Q34409" s="24"/>
      <c r="R34409"/>
      <c r="S34409"/>
      <c r="T34409"/>
      <c r="U34409"/>
      <c r="X34409" s="60"/>
    </row>
    <row r="34410" spans="7:24" ht="15" customHeight="1">
      <c r="G34410"/>
      <c r="I34410"/>
      <c r="N34410"/>
      <c r="O34410" s="24"/>
      <c r="P34410"/>
      <c r="Q34410" s="24"/>
      <c r="R34410"/>
      <c r="S34410"/>
      <c r="T34410"/>
      <c r="U34410"/>
      <c r="X34410" s="60"/>
    </row>
    <row r="34411" spans="7:24" ht="15" customHeight="1">
      <c r="G34411"/>
      <c r="I34411"/>
      <c r="N34411"/>
      <c r="O34411" s="24"/>
      <c r="P34411"/>
      <c r="Q34411" s="24"/>
      <c r="R34411"/>
      <c r="S34411"/>
      <c r="T34411"/>
      <c r="U34411"/>
      <c r="X34411" s="60"/>
    </row>
    <row r="34412" spans="7:24" ht="15" customHeight="1">
      <c r="G34412"/>
      <c r="I34412"/>
      <c r="N34412"/>
      <c r="O34412" s="24"/>
      <c r="P34412"/>
      <c r="Q34412" s="24"/>
      <c r="R34412"/>
      <c r="S34412"/>
      <c r="T34412"/>
      <c r="U34412"/>
      <c r="X34412" s="60"/>
    </row>
    <row r="34413" spans="7:24" ht="15" customHeight="1">
      <c r="G34413"/>
      <c r="I34413"/>
      <c r="N34413"/>
      <c r="O34413" s="24"/>
      <c r="P34413"/>
      <c r="Q34413" s="24"/>
      <c r="R34413"/>
      <c r="S34413"/>
      <c r="T34413"/>
      <c r="U34413"/>
      <c r="X34413" s="60"/>
    </row>
    <row r="34414" spans="7:24" ht="15" customHeight="1">
      <c r="G34414"/>
      <c r="I34414"/>
      <c r="N34414"/>
      <c r="O34414" s="24"/>
      <c r="P34414"/>
      <c r="Q34414" s="24"/>
      <c r="R34414"/>
      <c r="S34414"/>
      <c r="T34414"/>
      <c r="U34414"/>
      <c r="X34414" s="60"/>
    </row>
    <row r="34415" spans="7:24" ht="15" customHeight="1">
      <c r="G34415"/>
      <c r="I34415"/>
      <c r="N34415"/>
      <c r="O34415" s="24"/>
      <c r="P34415"/>
      <c r="Q34415" s="24"/>
      <c r="R34415"/>
      <c r="S34415"/>
      <c r="T34415"/>
      <c r="U34415"/>
      <c r="X34415" s="60"/>
    </row>
    <row r="34416" spans="7:24" ht="15" customHeight="1">
      <c r="G34416"/>
      <c r="I34416"/>
      <c r="N34416"/>
      <c r="O34416" s="24"/>
      <c r="P34416"/>
      <c r="Q34416" s="24"/>
      <c r="R34416"/>
      <c r="S34416"/>
      <c r="T34416"/>
      <c r="U34416"/>
      <c r="X34416" s="60"/>
    </row>
    <row r="34417" spans="7:24" ht="15" customHeight="1">
      <c r="G34417"/>
      <c r="I34417"/>
      <c r="N34417"/>
      <c r="O34417" s="24"/>
      <c r="P34417"/>
      <c r="Q34417" s="24"/>
      <c r="R34417"/>
      <c r="S34417"/>
      <c r="T34417"/>
      <c r="U34417"/>
      <c r="X34417" s="60"/>
    </row>
    <row r="34418" spans="7:24" ht="15" customHeight="1">
      <c r="G34418"/>
      <c r="I34418"/>
      <c r="N34418"/>
      <c r="O34418" s="24"/>
      <c r="P34418"/>
      <c r="Q34418" s="24"/>
      <c r="R34418"/>
      <c r="S34418"/>
      <c r="T34418"/>
      <c r="U34418"/>
      <c r="X34418" s="60"/>
    </row>
    <row r="34419" spans="7:24" ht="15" customHeight="1">
      <c r="G34419"/>
      <c r="I34419"/>
      <c r="N34419"/>
      <c r="O34419" s="24"/>
      <c r="P34419"/>
      <c r="Q34419" s="24"/>
      <c r="R34419"/>
      <c r="S34419"/>
      <c r="T34419"/>
      <c r="U34419"/>
      <c r="X34419" s="60"/>
    </row>
    <row r="34420" spans="7:24" ht="15" customHeight="1">
      <c r="G34420"/>
      <c r="I34420"/>
      <c r="N34420"/>
      <c r="O34420" s="24"/>
      <c r="P34420"/>
      <c r="Q34420" s="24"/>
      <c r="R34420"/>
      <c r="S34420"/>
      <c r="T34420"/>
      <c r="U34420"/>
      <c r="X34420" s="60"/>
    </row>
    <row r="34421" spans="7:24" ht="15" customHeight="1">
      <c r="G34421"/>
      <c r="I34421"/>
      <c r="N34421"/>
      <c r="O34421" s="24"/>
      <c r="P34421"/>
      <c r="Q34421" s="24"/>
      <c r="R34421"/>
      <c r="S34421"/>
      <c r="T34421"/>
      <c r="U34421"/>
      <c r="X34421" s="60"/>
    </row>
    <row r="34422" spans="7:24" ht="15" customHeight="1">
      <c r="G34422"/>
      <c r="I34422"/>
      <c r="N34422"/>
      <c r="O34422" s="24"/>
      <c r="P34422"/>
      <c r="Q34422" s="24"/>
      <c r="R34422"/>
      <c r="S34422"/>
      <c r="T34422"/>
      <c r="U34422"/>
      <c r="X34422" s="60"/>
    </row>
    <row r="34423" spans="7:24" ht="15" customHeight="1">
      <c r="G34423"/>
      <c r="I34423"/>
      <c r="N34423"/>
      <c r="O34423" s="24"/>
      <c r="P34423"/>
      <c r="Q34423" s="24"/>
      <c r="R34423"/>
      <c r="S34423"/>
      <c r="T34423"/>
      <c r="U34423"/>
      <c r="X34423" s="60"/>
    </row>
    <row r="34424" spans="7:24" ht="15" customHeight="1">
      <c r="G34424"/>
      <c r="I34424"/>
      <c r="N34424"/>
      <c r="O34424" s="24"/>
      <c r="P34424"/>
      <c r="Q34424" s="24"/>
      <c r="R34424"/>
      <c r="S34424"/>
      <c r="T34424"/>
      <c r="U34424"/>
      <c r="X34424" s="60"/>
    </row>
    <row r="34425" spans="7:24" ht="15" customHeight="1">
      <c r="G34425"/>
      <c r="I34425"/>
      <c r="N34425"/>
      <c r="O34425" s="24"/>
      <c r="P34425"/>
      <c r="Q34425" s="24"/>
      <c r="R34425"/>
      <c r="S34425"/>
      <c r="T34425"/>
      <c r="U34425"/>
      <c r="X34425" s="60"/>
    </row>
    <row r="34426" spans="7:24" ht="15" customHeight="1">
      <c r="G34426"/>
      <c r="I34426"/>
      <c r="N34426"/>
      <c r="O34426" s="24"/>
      <c r="P34426"/>
      <c r="Q34426" s="24"/>
      <c r="R34426"/>
      <c r="S34426"/>
      <c r="T34426"/>
      <c r="U34426"/>
      <c r="X34426" s="60"/>
    </row>
    <row r="34427" spans="7:24" ht="15" customHeight="1">
      <c r="G34427"/>
      <c r="I34427"/>
      <c r="N34427"/>
      <c r="O34427" s="24"/>
      <c r="P34427"/>
      <c r="Q34427" s="24"/>
      <c r="R34427"/>
      <c r="S34427"/>
      <c r="T34427"/>
      <c r="U34427"/>
      <c r="X34427" s="60"/>
    </row>
    <row r="34428" spans="7:24" ht="15" customHeight="1">
      <c r="G34428"/>
      <c r="I34428"/>
      <c r="N34428"/>
      <c r="O34428" s="24"/>
      <c r="P34428"/>
      <c r="Q34428" s="24"/>
      <c r="R34428"/>
      <c r="S34428"/>
      <c r="T34428"/>
      <c r="U34428"/>
      <c r="X34428" s="60"/>
    </row>
    <row r="34429" spans="7:24" ht="15" customHeight="1">
      <c r="G34429"/>
      <c r="I34429"/>
      <c r="N34429"/>
      <c r="O34429" s="24"/>
      <c r="P34429"/>
      <c r="Q34429" s="24"/>
      <c r="R34429"/>
      <c r="S34429"/>
      <c r="T34429"/>
      <c r="U34429"/>
      <c r="X34429" s="60"/>
    </row>
    <row r="34430" spans="7:24" ht="15" customHeight="1">
      <c r="G34430"/>
      <c r="I34430"/>
      <c r="N34430"/>
      <c r="O34430" s="24"/>
      <c r="P34430"/>
      <c r="Q34430" s="24"/>
      <c r="R34430"/>
      <c r="S34430"/>
      <c r="T34430"/>
      <c r="U34430"/>
      <c r="X34430" s="60"/>
    </row>
    <row r="34431" spans="7:24" ht="15" customHeight="1">
      <c r="G34431"/>
      <c r="I34431"/>
      <c r="N34431"/>
      <c r="O34431" s="24"/>
      <c r="P34431"/>
      <c r="Q34431" s="24"/>
      <c r="R34431"/>
      <c r="S34431"/>
      <c r="T34431"/>
      <c r="U34431"/>
      <c r="X34431" s="60"/>
    </row>
    <row r="34432" spans="7:24" ht="15" customHeight="1">
      <c r="G34432"/>
      <c r="I34432"/>
      <c r="N34432"/>
      <c r="O34432" s="24"/>
      <c r="P34432"/>
      <c r="Q34432" s="24"/>
      <c r="R34432"/>
      <c r="S34432"/>
      <c r="T34432"/>
      <c r="U34432"/>
      <c r="X34432" s="60"/>
    </row>
    <row r="34433" spans="7:24" ht="15" customHeight="1">
      <c r="G34433"/>
      <c r="I34433"/>
      <c r="N34433"/>
      <c r="O34433" s="24"/>
      <c r="P34433"/>
      <c r="Q34433" s="24"/>
      <c r="R34433"/>
      <c r="S34433"/>
      <c r="T34433"/>
      <c r="U34433"/>
      <c r="X34433" s="60"/>
    </row>
    <row r="34434" spans="7:24" ht="15" customHeight="1">
      <c r="G34434"/>
      <c r="I34434"/>
      <c r="N34434"/>
      <c r="O34434" s="24"/>
      <c r="P34434"/>
      <c r="Q34434" s="24"/>
      <c r="R34434"/>
      <c r="S34434"/>
      <c r="T34434"/>
      <c r="U34434"/>
      <c r="X34434" s="60"/>
    </row>
    <row r="34435" spans="7:24" ht="15" customHeight="1">
      <c r="G34435"/>
      <c r="I34435"/>
      <c r="N34435"/>
      <c r="O34435" s="24"/>
      <c r="P34435"/>
      <c r="Q34435" s="24"/>
      <c r="R34435"/>
      <c r="S34435"/>
      <c r="T34435"/>
      <c r="U34435"/>
      <c r="X34435" s="60"/>
    </row>
    <row r="34436" spans="7:24" ht="15" customHeight="1">
      <c r="G34436"/>
      <c r="I34436"/>
      <c r="N34436"/>
      <c r="O34436" s="24"/>
      <c r="P34436"/>
      <c r="Q34436" s="24"/>
      <c r="R34436"/>
      <c r="S34436"/>
      <c r="T34436"/>
      <c r="U34436"/>
      <c r="X34436" s="60"/>
    </row>
    <row r="34437" spans="7:24" ht="15" customHeight="1">
      <c r="G34437"/>
      <c r="I34437"/>
      <c r="N34437"/>
      <c r="O34437" s="24"/>
      <c r="P34437"/>
      <c r="Q34437" s="24"/>
      <c r="R34437"/>
      <c r="S34437"/>
      <c r="T34437"/>
      <c r="U34437"/>
      <c r="X34437" s="60"/>
    </row>
    <row r="34438" spans="7:24" ht="15" customHeight="1">
      <c r="G34438"/>
      <c r="I34438"/>
      <c r="N34438"/>
      <c r="O34438" s="24"/>
      <c r="P34438"/>
      <c r="Q34438" s="24"/>
      <c r="R34438"/>
      <c r="S34438"/>
      <c r="T34438"/>
      <c r="U34438"/>
      <c r="X34438" s="60"/>
    </row>
    <row r="34439" spans="7:24" ht="15" customHeight="1">
      <c r="G34439"/>
      <c r="I34439"/>
      <c r="N34439"/>
      <c r="O34439" s="24"/>
      <c r="P34439"/>
      <c r="Q34439" s="24"/>
      <c r="R34439"/>
      <c r="S34439"/>
      <c r="T34439"/>
      <c r="U34439"/>
      <c r="X34439" s="60"/>
    </row>
    <row r="34440" spans="7:24" ht="15" customHeight="1">
      <c r="G34440"/>
      <c r="I34440"/>
      <c r="N34440"/>
      <c r="O34440" s="24"/>
      <c r="P34440"/>
      <c r="Q34440" s="24"/>
      <c r="R34440"/>
      <c r="S34440"/>
      <c r="T34440"/>
      <c r="U34440"/>
      <c r="X34440" s="60"/>
    </row>
    <row r="34441" spans="7:24" ht="15" customHeight="1">
      <c r="G34441"/>
      <c r="I34441"/>
      <c r="N34441"/>
      <c r="O34441" s="24"/>
      <c r="P34441"/>
      <c r="Q34441" s="24"/>
      <c r="R34441"/>
      <c r="S34441"/>
      <c r="T34441"/>
      <c r="U34441"/>
      <c r="X34441" s="60"/>
    </row>
    <row r="34442" spans="7:24" ht="15" customHeight="1">
      <c r="G34442"/>
      <c r="I34442"/>
      <c r="N34442"/>
      <c r="O34442" s="24"/>
      <c r="P34442"/>
      <c r="Q34442" s="24"/>
      <c r="R34442"/>
      <c r="S34442"/>
      <c r="T34442"/>
      <c r="U34442"/>
      <c r="X34442" s="60"/>
    </row>
    <row r="34443" spans="7:24" ht="15" customHeight="1">
      <c r="G34443"/>
      <c r="I34443"/>
      <c r="N34443"/>
      <c r="O34443" s="24"/>
      <c r="P34443"/>
      <c r="Q34443" s="24"/>
      <c r="R34443"/>
      <c r="S34443"/>
      <c r="T34443"/>
      <c r="U34443"/>
      <c r="X34443" s="60"/>
    </row>
    <row r="34444" spans="7:24" ht="15" customHeight="1">
      <c r="G34444"/>
      <c r="I34444"/>
      <c r="N34444"/>
      <c r="O34444" s="24"/>
      <c r="P34444"/>
      <c r="Q34444" s="24"/>
      <c r="R34444"/>
      <c r="S34444"/>
      <c r="T34444"/>
      <c r="U34444"/>
      <c r="X34444" s="60"/>
    </row>
    <row r="34445" spans="7:24" ht="15" customHeight="1">
      <c r="G34445"/>
      <c r="I34445"/>
      <c r="N34445"/>
      <c r="O34445" s="24"/>
      <c r="P34445"/>
      <c r="Q34445" s="24"/>
      <c r="R34445"/>
      <c r="S34445"/>
      <c r="T34445"/>
      <c r="U34445"/>
      <c r="X34445" s="60"/>
    </row>
    <row r="34446" spans="7:24" ht="15" customHeight="1">
      <c r="G34446"/>
      <c r="I34446"/>
      <c r="N34446"/>
      <c r="O34446" s="24"/>
      <c r="P34446"/>
      <c r="Q34446" s="24"/>
      <c r="R34446"/>
      <c r="S34446"/>
      <c r="T34446"/>
      <c r="U34446"/>
      <c r="X34446" s="60"/>
    </row>
    <row r="34447" spans="7:24" ht="15" customHeight="1">
      <c r="G34447"/>
      <c r="I34447"/>
      <c r="N34447"/>
      <c r="O34447" s="24"/>
      <c r="P34447"/>
      <c r="Q34447" s="24"/>
      <c r="R34447"/>
      <c r="S34447"/>
      <c r="T34447"/>
      <c r="U34447"/>
      <c r="X34447" s="60"/>
    </row>
    <row r="34448" spans="7:24" ht="15" customHeight="1">
      <c r="G34448"/>
      <c r="I34448"/>
      <c r="N34448"/>
      <c r="O34448" s="24"/>
      <c r="P34448"/>
      <c r="Q34448" s="24"/>
      <c r="R34448"/>
      <c r="S34448"/>
      <c r="T34448"/>
      <c r="U34448"/>
      <c r="X34448" s="60"/>
    </row>
    <row r="34449" spans="7:24" ht="15" customHeight="1">
      <c r="G34449"/>
      <c r="I34449"/>
      <c r="N34449"/>
      <c r="O34449" s="24"/>
      <c r="P34449"/>
      <c r="Q34449" s="24"/>
      <c r="R34449"/>
      <c r="S34449"/>
      <c r="T34449"/>
      <c r="U34449"/>
      <c r="X34449" s="60"/>
    </row>
    <row r="34450" spans="7:24" ht="15" customHeight="1">
      <c r="G34450"/>
      <c r="I34450"/>
      <c r="N34450"/>
      <c r="O34450" s="24"/>
      <c r="P34450"/>
      <c r="Q34450" s="24"/>
      <c r="R34450"/>
      <c r="S34450"/>
      <c r="T34450"/>
      <c r="U34450"/>
      <c r="X34450" s="60"/>
    </row>
    <row r="34451" spans="7:24" ht="15" customHeight="1">
      <c r="G34451"/>
      <c r="I34451"/>
      <c r="N34451"/>
      <c r="O34451" s="24"/>
      <c r="P34451"/>
      <c r="Q34451" s="24"/>
      <c r="R34451"/>
      <c r="S34451"/>
      <c r="T34451"/>
      <c r="U34451"/>
      <c r="X34451" s="60"/>
    </row>
    <row r="34452" spans="7:24" ht="15" customHeight="1">
      <c r="G34452"/>
      <c r="I34452"/>
      <c r="N34452"/>
      <c r="O34452" s="24"/>
      <c r="P34452"/>
      <c r="Q34452" s="24"/>
      <c r="R34452"/>
      <c r="S34452"/>
      <c r="T34452"/>
      <c r="U34452"/>
      <c r="X34452" s="60"/>
    </row>
    <row r="34453" spans="7:24" ht="15" customHeight="1">
      <c r="G34453"/>
      <c r="I34453"/>
      <c r="N34453"/>
      <c r="O34453" s="24"/>
      <c r="P34453"/>
      <c r="Q34453" s="24"/>
      <c r="R34453"/>
      <c r="S34453"/>
      <c r="T34453"/>
      <c r="U34453"/>
      <c r="X34453" s="60"/>
    </row>
    <row r="34454" spans="7:24" ht="15" customHeight="1">
      <c r="G34454"/>
      <c r="I34454"/>
      <c r="N34454"/>
      <c r="O34454" s="24"/>
      <c r="P34454"/>
      <c r="Q34454" s="24"/>
      <c r="R34454"/>
      <c r="S34454"/>
      <c r="T34454"/>
      <c r="U34454"/>
      <c r="X34454" s="60"/>
    </row>
    <row r="34455" spans="7:24" ht="15" customHeight="1">
      <c r="G34455"/>
      <c r="I34455"/>
      <c r="N34455"/>
      <c r="O34455" s="24"/>
      <c r="P34455"/>
      <c r="Q34455" s="24"/>
      <c r="R34455"/>
      <c r="S34455"/>
      <c r="T34455"/>
      <c r="U34455"/>
      <c r="X34455" s="60"/>
    </row>
    <row r="34456" spans="7:24" ht="15" customHeight="1">
      <c r="G34456"/>
      <c r="I34456"/>
      <c r="N34456"/>
      <c r="O34456" s="24"/>
      <c r="P34456"/>
      <c r="Q34456" s="24"/>
      <c r="R34456"/>
      <c r="S34456"/>
      <c r="T34456"/>
      <c r="U34456"/>
      <c r="X34456" s="60"/>
    </row>
    <row r="34457" spans="7:24" ht="15" customHeight="1">
      <c r="G34457"/>
      <c r="I34457"/>
      <c r="N34457"/>
      <c r="O34457" s="24"/>
      <c r="P34457"/>
      <c r="Q34457" s="24"/>
      <c r="R34457"/>
      <c r="S34457"/>
      <c r="T34457"/>
      <c r="U34457"/>
      <c r="X34457" s="60"/>
    </row>
    <row r="34458" spans="7:24" ht="15" customHeight="1">
      <c r="G34458"/>
      <c r="I34458"/>
      <c r="N34458"/>
      <c r="O34458" s="24"/>
      <c r="P34458"/>
      <c r="Q34458" s="24"/>
      <c r="R34458"/>
      <c r="S34458"/>
      <c r="T34458"/>
      <c r="U34458"/>
      <c r="X34458" s="60"/>
    </row>
    <row r="34459" spans="7:24" ht="15" customHeight="1">
      <c r="G34459"/>
      <c r="I34459"/>
      <c r="N34459"/>
      <c r="O34459" s="24"/>
      <c r="P34459"/>
      <c r="Q34459" s="24"/>
      <c r="R34459"/>
      <c r="S34459"/>
      <c r="T34459"/>
      <c r="U34459"/>
      <c r="X34459" s="60"/>
    </row>
    <row r="34460" spans="7:24" ht="15" customHeight="1">
      <c r="G34460"/>
      <c r="I34460"/>
      <c r="N34460"/>
      <c r="O34460" s="24"/>
      <c r="P34460"/>
      <c r="Q34460" s="24"/>
      <c r="R34460"/>
      <c r="S34460"/>
      <c r="T34460"/>
      <c r="U34460"/>
      <c r="X34460" s="60"/>
    </row>
    <row r="34461" spans="7:24" ht="15" customHeight="1">
      <c r="G34461"/>
      <c r="I34461"/>
      <c r="N34461"/>
      <c r="O34461" s="24"/>
      <c r="P34461"/>
      <c r="Q34461" s="24"/>
      <c r="R34461"/>
      <c r="S34461"/>
      <c r="T34461"/>
      <c r="U34461"/>
      <c r="X34461" s="60"/>
    </row>
    <row r="34462" spans="7:24" ht="15" customHeight="1">
      <c r="G34462"/>
      <c r="I34462"/>
      <c r="N34462"/>
      <c r="O34462" s="24"/>
      <c r="P34462"/>
      <c r="Q34462" s="24"/>
      <c r="R34462"/>
      <c r="S34462"/>
      <c r="T34462"/>
      <c r="U34462"/>
      <c r="X34462" s="60"/>
    </row>
    <row r="34463" spans="7:24" ht="15" customHeight="1">
      <c r="G34463"/>
      <c r="I34463"/>
      <c r="N34463"/>
      <c r="O34463" s="24"/>
      <c r="P34463"/>
      <c r="Q34463" s="24"/>
      <c r="R34463"/>
      <c r="S34463"/>
      <c r="T34463"/>
      <c r="U34463"/>
      <c r="X34463" s="60"/>
    </row>
    <row r="34464" spans="7:24" ht="15" customHeight="1">
      <c r="G34464"/>
      <c r="I34464"/>
      <c r="N34464"/>
      <c r="O34464" s="24"/>
      <c r="P34464"/>
      <c r="Q34464" s="24"/>
      <c r="R34464"/>
      <c r="S34464"/>
      <c r="T34464"/>
      <c r="U34464"/>
      <c r="X34464" s="60"/>
    </row>
    <row r="34465" spans="7:24" ht="15" customHeight="1">
      <c r="G34465"/>
      <c r="I34465"/>
      <c r="N34465"/>
      <c r="O34465" s="24"/>
      <c r="P34465"/>
      <c r="Q34465" s="24"/>
      <c r="R34465"/>
      <c r="S34465"/>
      <c r="T34465"/>
      <c r="U34465"/>
      <c r="X34465" s="60"/>
    </row>
    <row r="34466" spans="7:24" ht="15" customHeight="1">
      <c r="G34466"/>
      <c r="I34466"/>
      <c r="N34466"/>
      <c r="O34466" s="24"/>
      <c r="P34466"/>
      <c r="Q34466" s="24"/>
      <c r="R34466"/>
      <c r="S34466"/>
      <c r="T34466"/>
      <c r="U34466"/>
      <c r="X34466" s="60"/>
    </row>
    <row r="34467" spans="7:24" ht="15" customHeight="1">
      <c r="G34467"/>
      <c r="I34467"/>
      <c r="N34467"/>
      <c r="O34467" s="24"/>
      <c r="P34467"/>
      <c r="Q34467" s="24"/>
      <c r="R34467"/>
      <c r="S34467"/>
      <c r="T34467"/>
      <c r="U34467"/>
      <c r="X34467" s="60"/>
    </row>
    <row r="34468" spans="7:24" ht="15" customHeight="1">
      <c r="G34468"/>
      <c r="I34468"/>
      <c r="N34468"/>
      <c r="O34468" s="24"/>
      <c r="P34468"/>
      <c r="Q34468" s="24"/>
      <c r="R34468"/>
      <c r="S34468"/>
      <c r="T34468"/>
      <c r="U34468"/>
      <c r="X34468" s="60"/>
    </row>
    <row r="34469" spans="7:24" ht="15" customHeight="1">
      <c r="G34469"/>
      <c r="I34469"/>
      <c r="N34469"/>
      <c r="O34469" s="24"/>
      <c r="P34469"/>
      <c r="Q34469" s="24"/>
      <c r="R34469"/>
      <c r="S34469"/>
      <c r="T34469"/>
      <c r="U34469"/>
      <c r="X34469" s="60"/>
    </row>
    <row r="34470" spans="7:24" ht="15" customHeight="1">
      <c r="G34470"/>
      <c r="I34470"/>
      <c r="N34470"/>
      <c r="O34470" s="24"/>
      <c r="P34470"/>
      <c r="Q34470" s="24"/>
      <c r="R34470"/>
      <c r="S34470"/>
      <c r="T34470"/>
      <c r="U34470"/>
      <c r="X34470" s="60"/>
    </row>
    <row r="34471" spans="7:24" ht="15" customHeight="1">
      <c r="G34471"/>
      <c r="I34471"/>
      <c r="N34471"/>
      <c r="O34471" s="24"/>
      <c r="P34471"/>
      <c r="Q34471" s="24"/>
      <c r="R34471"/>
      <c r="S34471"/>
      <c r="T34471"/>
      <c r="U34471"/>
      <c r="X34471" s="60"/>
    </row>
    <row r="34472" spans="7:24" ht="15" customHeight="1">
      <c r="G34472"/>
      <c r="I34472"/>
      <c r="N34472"/>
      <c r="O34472" s="24"/>
      <c r="P34472"/>
      <c r="Q34472" s="24"/>
      <c r="R34472"/>
      <c r="S34472"/>
      <c r="T34472"/>
      <c r="U34472"/>
      <c r="X34472" s="60"/>
    </row>
    <row r="34473" spans="7:24" ht="15" customHeight="1">
      <c r="G34473"/>
      <c r="I34473"/>
      <c r="N34473"/>
      <c r="O34473" s="24"/>
      <c r="P34473"/>
      <c r="Q34473" s="24"/>
      <c r="R34473"/>
      <c r="S34473"/>
      <c r="T34473"/>
      <c r="U34473"/>
      <c r="X34473" s="60"/>
    </row>
    <row r="34474" spans="7:24" ht="15" customHeight="1">
      <c r="G34474"/>
      <c r="I34474"/>
      <c r="N34474"/>
      <c r="O34474" s="24"/>
      <c r="P34474"/>
      <c r="Q34474" s="24"/>
      <c r="R34474"/>
      <c r="S34474"/>
      <c r="T34474"/>
      <c r="U34474"/>
      <c r="X34474" s="60"/>
    </row>
    <row r="34475" spans="7:24" ht="15" customHeight="1">
      <c r="G34475"/>
      <c r="I34475"/>
      <c r="N34475"/>
      <c r="O34475" s="24"/>
      <c r="P34475"/>
      <c r="Q34475" s="24"/>
      <c r="R34475"/>
      <c r="S34475"/>
      <c r="T34475"/>
      <c r="U34475"/>
      <c r="X34475" s="60"/>
    </row>
    <row r="34476" spans="7:24" ht="15" customHeight="1">
      <c r="G34476"/>
      <c r="I34476"/>
      <c r="N34476"/>
      <c r="O34476" s="24"/>
      <c r="P34476"/>
      <c r="Q34476" s="24"/>
      <c r="R34476"/>
      <c r="S34476"/>
      <c r="T34476"/>
      <c r="U34476"/>
      <c r="X34476" s="60"/>
    </row>
    <row r="34477" spans="7:24" ht="15" customHeight="1">
      <c r="G34477"/>
      <c r="I34477"/>
      <c r="N34477"/>
      <c r="O34477" s="24"/>
      <c r="P34477"/>
      <c r="Q34477" s="24"/>
      <c r="R34477"/>
      <c r="S34477"/>
      <c r="T34477"/>
      <c r="U34477"/>
      <c r="X34477" s="60"/>
    </row>
    <row r="34478" spans="7:24" ht="15" customHeight="1">
      <c r="G34478"/>
      <c r="I34478"/>
      <c r="N34478"/>
      <c r="O34478" s="24"/>
      <c r="P34478"/>
      <c r="Q34478" s="24"/>
      <c r="R34478"/>
      <c r="S34478"/>
      <c r="T34478"/>
      <c r="U34478"/>
      <c r="X34478" s="60"/>
    </row>
    <row r="34479" spans="7:24" ht="15" customHeight="1">
      <c r="G34479"/>
      <c r="I34479"/>
      <c r="N34479"/>
      <c r="O34479" s="24"/>
      <c r="P34479"/>
      <c r="Q34479" s="24"/>
      <c r="R34479"/>
      <c r="S34479"/>
      <c r="T34479"/>
      <c r="U34479"/>
      <c r="X34479" s="60"/>
    </row>
    <row r="34480" spans="7:24" ht="15" customHeight="1">
      <c r="G34480"/>
      <c r="I34480"/>
      <c r="N34480"/>
      <c r="O34480" s="24"/>
      <c r="P34480"/>
      <c r="Q34480" s="24"/>
      <c r="R34480"/>
      <c r="S34480"/>
      <c r="T34480"/>
      <c r="U34480"/>
      <c r="X34480" s="60"/>
    </row>
    <row r="34481" spans="7:24" ht="15" customHeight="1">
      <c r="G34481"/>
      <c r="I34481"/>
      <c r="N34481"/>
      <c r="O34481" s="24"/>
      <c r="P34481"/>
      <c r="Q34481" s="24"/>
      <c r="R34481"/>
      <c r="S34481"/>
      <c r="T34481"/>
      <c r="U34481"/>
      <c r="X34481" s="60"/>
    </row>
    <row r="34482" spans="7:24" ht="15" customHeight="1">
      <c r="G34482"/>
      <c r="I34482"/>
      <c r="N34482"/>
      <c r="O34482" s="24"/>
      <c r="P34482"/>
      <c r="Q34482" s="24"/>
      <c r="R34482"/>
      <c r="S34482"/>
      <c r="T34482"/>
      <c r="U34482"/>
      <c r="X34482" s="60"/>
    </row>
    <row r="34483" spans="7:24" ht="15" customHeight="1">
      <c r="G34483"/>
      <c r="I34483"/>
      <c r="N34483"/>
      <c r="O34483" s="24"/>
      <c r="P34483"/>
      <c r="Q34483" s="24"/>
      <c r="R34483"/>
      <c r="S34483"/>
      <c r="T34483"/>
      <c r="U34483"/>
      <c r="X34483" s="60"/>
    </row>
    <row r="34484" spans="7:24" ht="15" customHeight="1">
      <c r="G34484"/>
      <c r="I34484"/>
      <c r="N34484"/>
      <c r="O34484" s="24"/>
      <c r="P34484"/>
      <c r="Q34484" s="24"/>
      <c r="R34484"/>
      <c r="S34484"/>
      <c r="T34484"/>
      <c r="U34484"/>
      <c r="X34484" s="60"/>
    </row>
    <row r="34485" spans="7:24" ht="15" customHeight="1">
      <c r="G34485"/>
      <c r="I34485"/>
      <c r="N34485"/>
      <c r="O34485" s="24"/>
      <c r="P34485"/>
      <c r="Q34485" s="24"/>
      <c r="R34485"/>
      <c r="S34485"/>
      <c r="T34485"/>
      <c r="U34485"/>
      <c r="X34485" s="60"/>
    </row>
    <row r="34486" spans="7:24" ht="15" customHeight="1">
      <c r="G34486"/>
      <c r="I34486"/>
      <c r="N34486"/>
      <c r="O34486" s="24"/>
      <c r="P34486"/>
      <c r="Q34486" s="24"/>
      <c r="R34486"/>
      <c r="S34486"/>
      <c r="T34486"/>
      <c r="U34486"/>
      <c r="X34486" s="60"/>
    </row>
    <row r="34487" spans="7:24" ht="15" customHeight="1">
      <c r="G34487"/>
      <c r="I34487"/>
      <c r="N34487"/>
      <c r="O34487" s="24"/>
      <c r="P34487"/>
      <c r="Q34487" s="24"/>
      <c r="R34487"/>
      <c r="S34487"/>
      <c r="T34487"/>
      <c r="U34487"/>
      <c r="X34487" s="60"/>
    </row>
    <row r="34488" spans="7:24" ht="15" customHeight="1">
      <c r="G34488"/>
      <c r="I34488"/>
      <c r="N34488"/>
      <c r="O34488" s="24"/>
      <c r="P34488"/>
      <c r="Q34488" s="24"/>
      <c r="R34488"/>
      <c r="S34488"/>
      <c r="T34488"/>
      <c r="U34488"/>
      <c r="X34488" s="60"/>
    </row>
    <row r="34489" spans="7:24" ht="15" customHeight="1">
      <c r="G34489"/>
      <c r="I34489"/>
      <c r="N34489"/>
      <c r="O34489" s="24"/>
      <c r="P34489"/>
      <c r="Q34489" s="24"/>
      <c r="R34489"/>
      <c r="S34489"/>
      <c r="T34489"/>
      <c r="U34489"/>
      <c r="X34489" s="60"/>
    </row>
    <row r="34490" spans="7:24" ht="15" customHeight="1">
      <c r="G34490"/>
      <c r="I34490"/>
      <c r="N34490"/>
      <c r="O34490" s="24"/>
      <c r="P34490"/>
      <c r="Q34490" s="24"/>
      <c r="R34490"/>
      <c r="S34490"/>
      <c r="T34490"/>
      <c r="U34490"/>
      <c r="X34490" s="60"/>
    </row>
    <row r="34491" spans="7:24" ht="15" customHeight="1">
      <c r="G34491"/>
      <c r="I34491"/>
      <c r="N34491"/>
      <c r="O34491" s="24"/>
      <c r="P34491"/>
      <c r="Q34491" s="24"/>
      <c r="R34491"/>
      <c r="S34491"/>
      <c r="T34491"/>
      <c r="U34491"/>
      <c r="X34491" s="60"/>
    </row>
    <row r="34492" spans="7:24" ht="15" customHeight="1">
      <c r="G34492"/>
      <c r="I34492"/>
      <c r="N34492"/>
      <c r="O34492" s="24"/>
      <c r="P34492"/>
      <c r="Q34492" s="24"/>
      <c r="R34492"/>
      <c r="S34492"/>
      <c r="T34492"/>
      <c r="U34492"/>
      <c r="X34492" s="60"/>
    </row>
    <row r="34493" spans="7:24" ht="15" customHeight="1">
      <c r="G34493"/>
      <c r="I34493"/>
      <c r="N34493"/>
      <c r="O34493" s="24"/>
      <c r="P34493"/>
      <c r="Q34493" s="24"/>
      <c r="R34493"/>
      <c r="S34493"/>
      <c r="T34493"/>
      <c r="U34493"/>
      <c r="X34493" s="60"/>
    </row>
    <row r="34494" spans="7:24" ht="15" customHeight="1">
      <c r="G34494"/>
      <c r="I34494"/>
      <c r="N34494"/>
      <c r="O34494" s="24"/>
      <c r="P34494"/>
      <c r="Q34494" s="24"/>
      <c r="R34494"/>
      <c r="S34494"/>
      <c r="T34494"/>
      <c r="U34494"/>
      <c r="X34494" s="60"/>
    </row>
    <row r="34495" spans="7:24" ht="15" customHeight="1">
      <c r="G34495"/>
      <c r="I34495"/>
      <c r="N34495"/>
      <c r="O34495" s="24"/>
      <c r="P34495"/>
      <c r="Q34495" s="24"/>
      <c r="R34495"/>
      <c r="S34495"/>
      <c r="T34495"/>
      <c r="U34495"/>
      <c r="X34495" s="60"/>
    </row>
    <row r="34496" spans="7:24" ht="15" customHeight="1">
      <c r="G34496"/>
      <c r="I34496"/>
      <c r="N34496"/>
      <c r="O34496" s="24"/>
      <c r="P34496"/>
      <c r="Q34496" s="24"/>
      <c r="R34496"/>
      <c r="S34496"/>
      <c r="T34496"/>
      <c r="U34496"/>
      <c r="X34496" s="60"/>
    </row>
    <row r="34497" spans="7:24" ht="15" customHeight="1">
      <c r="G34497"/>
      <c r="I34497"/>
      <c r="N34497"/>
      <c r="O34497" s="24"/>
      <c r="P34497"/>
      <c r="Q34497" s="24"/>
      <c r="R34497"/>
      <c r="S34497"/>
      <c r="T34497"/>
      <c r="U34497"/>
      <c r="X34497" s="60"/>
    </row>
    <row r="34498" spans="7:24" ht="15" customHeight="1">
      <c r="G34498"/>
      <c r="I34498"/>
      <c r="N34498"/>
      <c r="O34498" s="24"/>
      <c r="P34498"/>
      <c r="Q34498" s="24"/>
      <c r="R34498"/>
      <c r="S34498"/>
      <c r="T34498"/>
      <c r="U34498"/>
      <c r="X34498" s="60"/>
    </row>
    <row r="34499" spans="7:24" ht="15" customHeight="1">
      <c r="G34499"/>
      <c r="I34499"/>
      <c r="N34499"/>
      <c r="O34499" s="24"/>
      <c r="P34499"/>
      <c r="Q34499" s="24"/>
      <c r="R34499"/>
      <c r="S34499"/>
      <c r="T34499"/>
      <c r="U34499"/>
      <c r="X34499" s="60"/>
    </row>
    <row r="34500" spans="7:24" ht="15" customHeight="1">
      <c r="G34500"/>
      <c r="I34500"/>
      <c r="N34500"/>
      <c r="O34500" s="24"/>
      <c r="P34500"/>
      <c r="Q34500" s="24"/>
      <c r="R34500"/>
      <c r="S34500"/>
      <c r="T34500"/>
      <c r="U34500"/>
      <c r="X34500" s="60"/>
    </row>
    <row r="34501" spans="7:24" ht="15" customHeight="1">
      <c r="G34501"/>
      <c r="I34501"/>
      <c r="N34501"/>
      <c r="O34501" s="24"/>
      <c r="P34501"/>
      <c r="Q34501" s="24"/>
      <c r="R34501"/>
      <c r="S34501"/>
      <c r="T34501"/>
      <c r="U34501"/>
      <c r="X34501" s="60"/>
    </row>
    <row r="34502" spans="7:24" ht="15" customHeight="1">
      <c r="G34502"/>
      <c r="I34502"/>
      <c r="N34502"/>
      <c r="O34502" s="24"/>
      <c r="P34502"/>
      <c r="Q34502" s="24"/>
      <c r="R34502"/>
      <c r="S34502"/>
      <c r="T34502"/>
      <c r="U34502"/>
      <c r="X34502" s="60"/>
    </row>
    <row r="34503" spans="7:24" ht="15" customHeight="1">
      <c r="G34503"/>
      <c r="I34503"/>
      <c r="N34503"/>
      <c r="O34503" s="24"/>
      <c r="P34503"/>
      <c r="Q34503" s="24"/>
      <c r="R34503"/>
      <c r="S34503"/>
      <c r="T34503"/>
      <c r="U34503"/>
      <c r="X34503" s="60"/>
    </row>
    <row r="34504" spans="7:24" ht="15" customHeight="1">
      <c r="G34504"/>
      <c r="I34504"/>
      <c r="N34504"/>
      <c r="O34504" s="24"/>
      <c r="P34504"/>
      <c r="Q34504" s="24"/>
      <c r="R34504"/>
      <c r="S34504"/>
      <c r="T34504"/>
      <c r="U34504"/>
      <c r="X34504" s="60"/>
    </row>
    <row r="34505" spans="7:24" ht="15" customHeight="1">
      <c r="G34505"/>
      <c r="I34505"/>
      <c r="N34505"/>
      <c r="O34505" s="24"/>
      <c r="P34505"/>
      <c r="Q34505" s="24"/>
      <c r="R34505"/>
      <c r="S34505"/>
      <c r="T34505"/>
      <c r="U34505"/>
      <c r="X34505" s="60"/>
    </row>
    <row r="34506" spans="7:24" ht="15" customHeight="1">
      <c r="G34506"/>
      <c r="I34506"/>
      <c r="N34506"/>
      <c r="O34506" s="24"/>
      <c r="P34506"/>
      <c r="Q34506" s="24"/>
      <c r="R34506"/>
      <c r="S34506"/>
      <c r="T34506"/>
      <c r="U34506"/>
      <c r="X34506" s="60"/>
    </row>
    <row r="34507" spans="7:24" ht="15" customHeight="1">
      <c r="G34507"/>
      <c r="I34507"/>
      <c r="N34507"/>
      <c r="O34507" s="24"/>
      <c r="P34507"/>
      <c r="Q34507" s="24"/>
      <c r="R34507"/>
      <c r="S34507"/>
      <c r="T34507"/>
      <c r="U34507"/>
      <c r="X34507" s="60"/>
    </row>
    <row r="34508" spans="7:24" ht="15" customHeight="1">
      <c r="G34508"/>
      <c r="I34508"/>
      <c r="N34508"/>
      <c r="O34508" s="24"/>
      <c r="P34508"/>
      <c r="Q34508" s="24"/>
      <c r="R34508"/>
      <c r="S34508"/>
      <c r="T34508"/>
      <c r="U34508"/>
      <c r="X34508" s="60"/>
    </row>
    <row r="34509" spans="7:24" ht="15" customHeight="1">
      <c r="G34509"/>
      <c r="I34509"/>
      <c r="N34509"/>
      <c r="O34509" s="24"/>
      <c r="P34509"/>
      <c r="Q34509" s="24"/>
      <c r="R34509"/>
      <c r="S34509"/>
      <c r="T34509"/>
      <c r="U34509"/>
      <c r="X34509" s="60"/>
    </row>
    <row r="34510" spans="7:24" ht="15" customHeight="1">
      <c r="G34510"/>
      <c r="I34510"/>
      <c r="N34510"/>
      <c r="O34510" s="24"/>
      <c r="P34510"/>
      <c r="Q34510" s="24"/>
      <c r="R34510"/>
      <c r="S34510"/>
      <c r="T34510"/>
      <c r="U34510"/>
      <c r="X34510" s="60"/>
    </row>
    <row r="34511" spans="7:24" ht="15" customHeight="1">
      <c r="G34511"/>
      <c r="I34511"/>
      <c r="N34511"/>
      <c r="O34511" s="24"/>
      <c r="P34511"/>
      <c r="Q34511" s="24"/>
      <c r="R34511"/>
      <c r="S34511"/>
      <c r="T34511"/>
      <c r="U34511"/>
      <c r="X34511" s="60"/>
    </row>
    <row r="34512" spans="7:24" ht="15" customHeight="1">
      <c r="G34512"/>
      <c r="I34512"/>
      <c r="N34512"/>
      <c r="O34512" s="24"/>
      <c r="P34512"/>
      <c r="Q34512" s="24"/>
      <c r="R34512"/>
      <c r="S34512"/>
      <c r="T34512"/>
      <c r="U34512"/>
      <c r="X34512" s="60"/>
    </row>
    <row r="34513" spans="7:24" ht="15" customHeight="1">
      <c r="G34513"/>
      <c r="I34513"/>
      <c r="N34513"/>
      <c r="O34513" s="24"/>
      <c r="P34513"/>
      <c r="Q34513" s="24"/>
      <c r="R34513"/>
      <c r="S34513"/>
      <c r="T34513"/>
      <c r="U34513"/>
      <c r="X34513" s="60"/>
    </row>
    <row r="34514" spans="7:24" ht="15" customHeight="1">
      <c r="G34514"/>
      <c r="I34514"/>
      <c r="N34514"/>
      <c r="O34514" s="24"/>
      <c r="P34514"/>
      <c r="Q34514" s="24"/>
      <c r="R34514"/>
      <c r="S34514"/>
      <c r="T34514"/>
      <c r="U34514"/>
      <c r="X34514" s="60"/>
    </row>
    <row r="34515" spans="7:24" ht="15" customHeight="1">
      <c r="G34515"/>
      <c r="I34515"/>
      <c r="N34515"/>
      <c r="O34515" s="24"/>
      <c r="P34515"/>
      <c r="Q34515" s="24"/>
      <c r="R34515"/>
      <c r="S34515"/>
      <c r="T34515"/>
      <c r="U34515"/>
      <c r="X34515" s="60"/>
    </row>
    <row r="34516" spans="7:24" ht="15" customHeight="1">
      <c r="G34516"/>
      <c r="I34516"/>
      <c r="N34516"/>
      <c r="O34516" s="24"/>
      <c r="P34516"/>
      <c r="Q34516" s="24"/>
      <c r="R34516"/>
      <c r="S34516"/>
      <c r="T34516"/>
      <c r="U34516"/>
      <c r="X34516" s="60"/>
    </row>
    <row r="34517" spans="7:24" ht="15" customHeight="1">
      <c r="G34517"/>
      <c r="I34517"/>
      <c r="N34517"/>
      <c r="O34517" s="24"/>
      <c r="P34517"/>
      <c r="Q34517" s="24"/>
      <c r="R34517"/>
      <c r="S34517"/>
      <c r="T34517"/>
      <c r="U34517"/>
      <c r="X34517" s="60"/>
    </row>
    <row r="34518" spans="7:24" ht="15" customHeight="1">
      <c r="G34518"/>
      <c r="I34518"/>
      <c r="N34518"/>
      <c r="O34518" s="24"/>
      <c r="P34518"/>
      <c r="Q34518" s="24"/>
      <c r="R34518"/>
      <c r="S34518"/>
      <c r="T34518"/>
      <c r="U34518"/>
      <c r="X34518" s="60"/>
    </row>
    <row r="34519" spans="7:24" ht="15" customHeight="1">
      <c r="G34519"/>
      <c r="I34519"/>
      <c r="N34519"/>
      <c r="O34519" s="24"/>
      <c r="P34519"/>
      <c r="Q34519" s="24"/>
      <c r="R34519"/>
      <c r="S34519"/>
      <c r="T34519"/>
      <c r="U34519"/>
      <c r="X34519" s="60"/>
    </row>
    <row r="34520" spans="7:24" ht="15" customHeight="1">
      <c r="G34520"/>
      <c r="I34520"/>
      <c r="N34520"/>
      <c r="O34520" s="24"/>
      <c r="P34520"/>
      <c r="Q34520" s="24"/>
      <c r="R34520"/>
      <c r="S34520"/>
      <c r="T34520"/>
      <c r="U34520"/>
      <c r="X34520" s="60"/>
    </row>
    <row r="34521" spans="7:24" ht="15" customHeight="1">
      <c r="G34521"/>
      <c r="I34521"/>
      <c r="N34521"/>
      <c r="O34521" s="24"/>
      <c r="P34521"/>
      <c r="Q34521" s="24"/>
      <c r="R34521"/>
      <c r="S34521"/>
      <c r="T34521"/>
      <c r="U34521"/>
      <c r="X34521" s="60"/>
    </row>
    <row r="34522" spans="7:24" ht="15" customHeight="1">
      <c r="G34522"/>
      <c r="I34522"/>
      <c r="N34522"/>
      <c r="O34522" s="24"/>
      <c r="P34522"/>
      <c r="Q34522" s="24"/>
      <c r="R34522"/>
      <c r="S34522"/>
      <c r="T34522"/>
      <c r="U34522"/>
      <c r="X34522" s="60"/>
    </row>
    <row r="34523" spans="7:24" ht="15" customHeight="1">
      <c r="G34523"/>
      <c r="I34523"/>
      <c r="N34523"/>
      <c r="O34523" s="24"/>
      <c r="P34523"/>
      <c r="Q34523" s="24"/>
      <c r="R34523"/>
      <c r="S34523"/>
      <c r="T34523"/>
      <c r="U34523"/>
      <c r="X34523" s="60"/>
    </row>
    <row r="34524" spans="7:24" ht="15" customHeight="1">
      <c r="G34524"/>
      <c r="I34524"/>
      <c r="N34524"/>
      <c r="O34524" s="24"/>
      <c r="P34524"/>
      <c r="Q34524" s="24"/>
      <c r="R34524"/>
      <c r="S34524"/>
      <c r="T34524"/>
      <c r="U34524"/>
      <c r="X34524" s="60"/>
    </row>
    <row r="34525" spans="7:24" ht="15" customHeight="1">
      <c r="G34525"/>
      <c r="I34525"/>
      <c r="N34525"/>
      <c r="O34525" s="24"/>
      <c r="P34525"/>
      <c r="Q34525" s="24"/>
      <c r="R34525"/>
      <c r="S34525"/>
      <c r="T34525"/>
      <c r="U34525"/>
      <c r="X34525" s="60"/>
    </row>
    <row r="34526" spans="7:24" ht="15" customHeight="1">
      <c r="G34526"/>
      <c r="I34526"/>
      <c r="N34526"/>
      <c r="O34526" s="24"/>
      <c r="P34526"/>
      <c r="Q34526" s="24"/>
      <c r="R34526"/>
      <c r="S34526"/>
      <c r="T34526"/>
      <c r="U34526"/>
      <c r="X34526" s="60"/>
    </row>
    <row r="34527" spans="7:24" ht="15" customHeight="1">
      <c r="G34527"/>
      <c r="I34527"/>
      <c r="N34527"/>
      <c r="O34527" s="24"/>
      <c r="P34527"/>
      <c r="Q34527" s="24"/>
      <c r="R34527"/>
      <c r="S34527"/>
      <c r="T34527"/>
      <c r="U34527"/>
      <c r="X34527" s="60"/>
    </row>
    <row r="34528" spans="7:24" ht="15" customHeight="1">
      <c r="G34528"/>
      <c r="I34528"/>
      <c r="N34528"/>
      <c r="O34528" s="24"/>
      <c r="P34528"/>
      <c r="Q34528" s="24"/>
      <c r="R34528"/>
      <c r="S34528"/>
      <c r="T34528"/>
      <c r="U34528"/>
      <c r="X34528" s="60"/>
    </row>
    <row r="34529" spans="7:24" ht="15" customHeight="1">
      <c r="G34529"/>
      <c r="I34529"/>
      <c r="N34529"/>
      <c r="O34529" s="24"/>
      <c r="P34529"/>
      <c r="Q34529" s="24"/>
      <c r="R34529"/>
      <c r="S34529"/>
      <c r="T34529"/>
      <c r="U34529"/>
      <c r="X34529" s="60"/>
    </row>
    <row r="34530" spans="7:24" ht="15" customHeight="1">
      <c r="G34530"/>
      <c r="I34530"/>
      <c r="N34530"/>
      <c r="O34530" s="24"/>
      <c r="P34530"/>
      <c r="Q34530" s="24"/>
      <c r="R34530"/>
      <c r="S34530"/>
      <c r="T34530"/>
      <c r="U34530"/>
      <c r="X34530" s="60"/>
    </row>
    <row r="34531" spans="7:24" ht="15" customHeight="1">
      <c r="G34531"/>
      <c r="I34531"/>
      <c r="N34531"/>
      <c r="O34531" s="24"/>
      <c r="P34531"/>
      <c r="Q34531" s="24"/>
      <c r="R34531"/>
      <c r="S34531"/>
      <c r="T34531"/>
      <c r="U34531"/>
      <c r="X34531" s="60"/>
    </row>
    <row r="34532" spans="7:24" ht="15" customHeight="1">
      <c r="G34532"/>
      <c r="I34532"/>
      <c r="N34532"/>
      <c r="O34532" s="24"/>
      <c r="P34532"/>
      <c r="Q34532" s="24"/>
      <c r="R34532"/>
      <c r="S34532"/>
      <c r="T34532"/>
      <c r="U34532"/>
      <c r="X34532" s="60"/>
    </row>
    <row r="34533" spans="7:24" ht="15" customHeight="1">
      <c r="G34533"/>
      <c r="I34533"/>
      <c r="N34533"/>
      <c r="O34533" s="24"/>
      <c r="P34533"/>
      <c r="Q34533" s="24"/>
      <c r="R34533"/>
      <c r="S34533"/>
      <c r="T34533"/>
      <c r="U34533"/>
      <c r="X34533" s="60"/>
    </row>
    <row r="34534" spans="7:24" ht="15" customHeight="1">
      <c r="G34534"/>
      <c r="I34534"/>
      <c r="N34534"/>
      <c r="O34534" s="24"/>
      <c r="P34534"/>
      <c r="Q34534" s="24"/>
      <c r="R34534"/>
      <c r="S34534"/>
      <c r="T34534"/>
      <c r="U34534"/>
      <c r="X34534" s="60"/>
    </row>
    <row r="34535" spans="7:24" ht="15" customHeight="1">
      <c r="G34535"/>
      <c r="I34535"/>
      <c r="N34535"/>
      <c r="O34535" s="24"/>
      <c r="P34535"/>
      <c r="Q34535" s="24"/>
      <c r="R34535"/>
      <c r="S34535"/>
      <c r="T34535"/>
      <c r="U34535"/>
      <c r="X34535" s="60"/>
    </row>
    <row r="34536" spans="7:24" ht="15" customHeight="1">
      <c r="G34536"/>
      <c r="I34536"/>
      <c r="N34536"/>
      <c r="O34536" s="24"/>
      <c r="P34536"/>
      <c r="Q34536" s="24"/>
      <c r="R34536"/>
      <c r="S34536"/>
      <c r="T34536"/>
      <c r="U34536"/>
      <c r="X34536" s="60"/>
    </row>
    <row r="34537" spans="7:24" ht="15" customHeight="1">
      <c r="G34537"/>
      <c r="I34537"/>
      <c r="N34537"/>
      <c r="O34537" s="24"/>
      <c r="P34537"/>
      <c r="Q34537" s="24"/>
      <c r="R34537"/>
      <c r="S34537"/>
      <c r="T34537"/>
      <c r="U34537"/>
      <c r="X34537" s="60"/>
    </row>
    <row r="34538" spans="7:24" ht="15" customHeight="1">
      <c r="G34538"/>
      <c r="I34538"/>
      <c r="N34538"/>
      <c r="O34538" s="24"/>
      <c r="P34538"/>
      <c r="Q34538" s="24"/>
      <c r="R34538"/>
      <c r="S34538"/>
      <c r="T34538"/>
      <c r="U34538"/>
      <c r="X34538" s="60"/>
    </row>
    <row r="34539" spans="7:24" ht="15" customHeight="1">
      <c r="G34539"/>
      <c r="I34539"/>
      <c r="N34539"/>
      <c r="O34539" s="24"/>
      <c r="P34539"/>
      <c r="Q34539" s="24"/>
      <c r="R34539"/>
      <c r="S34539"/>
      <c r="T34539"/>
      <c r="U34539"/>
      <c r="X34539" s="60"/>
    </row>
    <row r="34540" spans="7:24" ht="15" customHeight="1">
      <c r="G34540"/>
      <c r="I34540"/>
      <c r="N34540"/>
      <c r="O34540" s="24"/>
      <c r="P34540"/>
      <c r="Q34540" s="24"/>
      <c r="R34540"/>
      <c r="S34540"/>
      <c r="T34540"/>
      <c r="U34540"/>
      <c r="X34540" s="60"/>
    </row>
    <row r="34541" spans="7:24" ht="15" customHeight="1">
      <c r="G34541"/>
      <c r="I34541"/>
      <c r="N34541"/>
      <c r="O34541" s="24"/>
      <c r="P34541"/>
      <c r="Q34541" s="24"/>
      <c r="R34541"/>
      <c r="S34541"/>
      <c r="T34541"/>
      <c r="U34541"/>
      <c r="X34541" s="60"/>
    </row>
    <row r="34542" spans="7:24" ht="15" customHeight="1">
      <c r="G34542"/>
      <c r="I34542"/>
      <c r="N34542"/>
      <c r="O34542" s="24"/>
      <c r="P34542"/>
      <c r="Q34542" s="24"/>
      <c r="R34542"/>
      <c r="S34542"/>
      <c r="T34542"/>
      <c r="U34542"/>
      <c r="X34542" s="60"/>
    </row>
    <row r="34543" spans="7:24" ht="15" customHeight="1">
      <c r="G34543"/>
      <c r="I34543"/>
      <c r="N34543"/>
      <c r="O34543" s="24"/>
      <c r="P34543"/>
      <c r="Q34543" s="24"/>
      <c r="R34543"/>
      <c r="S34543"/>
      <c r="T34543"/>
      <c r="U34543"/>
      <c r="X34543" s="60"/>
    </row>
    <row r="34544" spans="7:24" ht="15" customHeight="1">
      <c r="G34544"/>
      <c r="I34544"/>
      <c r="N34544"/>
      <c r="O34544" s="24"/>
      <c r="P34544"/>
      <c r="Q34544" s="24"/>
      <c r="R34544"/>
      <c r="S34544"/>
      <c r="T34544"/>
      <c r="U34544"/>
      <c r="X34544" s="60"/>
    </row>
    <row r="34545" spans="7:24" ht="15" customHeight="1">
      <c r="G34545"/>
      <c r="I34545"/>
      <c r="N34545"/>
      <c r="O34545" s="24"/>
      <c r="P34545"/>
      <c r="Q34545" s="24"/>
      <c r="R34545"/>
      <c r="S34545"/>
      <c r="T34545"/>
      <c r="U34545"/>
      <c r="X34545" s="60"/>
    </row>
    <row r="34546" spans="7:24" ht="15" customHeight="1">
      <c r="G34546"/>
      <c r="I34546"/>
      <c r="N34546"/>
      <c r="O34546" s="24"/>
      <c r="P34546"/>
      <c r="Q34546" s="24"/>
      <c r="R34546"/>
      <c r="S34546"/>
      <c r="T34546"/>
      <c r="U34546"/>
      <c r="X34546" s="60"/>
    </row>
    <row r="34547" spans="7:24" ht="15" customHeight="1">
      <c r="G34547"/>
      <c r="I34547"/>
      <c r="N34547"/>
      <c r="O34547" s="24"/>
      <c r="P34547"/>
      <c r="Q34547" s="24"/>
      <c r="R34547"/>
      <c r="S34547"/>
      <c r="T34547"/>
      <c r="U34547"/>
      <c r="X34547" s="60"/>
    </row>
    <row r="34548" spans="7:24" ht="15" customHeight="1">
      <c r="G34548"/>
      <c r="I34548"/>
      <c r="N34548"/>
      <c r="O34548" s="24"/>
      <c r="P34548"/>
      <c r="Q34548" s="24"/>
      <c r="R34548"/>
      <c r="S34548"/>
      <c r="T34548"/>
      <c r="U34548"/>
      <c r="X34548" s="60"/>
    </row>
    <row r="34549" spans="7:24" ht="15" customHeight="1">
      <c r="G34549"/>
      <c r="I34549"/>
      <c r="N34549"/>
      <c r="O34549" s="24"/>
      <c r="P34549"/>
      <c r="Q34549" s="24"/>
      <c r="R34549"/>
      <c r="S34549"/>
      <c r="T34549"/>
      <c r="U34549"/>
      <c r="X34549" s="60"/>
    </row>
    <row r="34550" spans="7:24" ht="15" customHeight="1">
      <c r="G34550"/>
      <c r="I34550"/>
      <c r="N34550"/>
      <c r="O34550" s="24"/>
      <c r="P34550"/>
      <c r="Q34550" s="24"/>
      <c r="R34550"/>
      <c r="S34550"/>
      <c r="T34550"/>
      <c r="U34550"/>
      <c r="X34550" s="60"/>
    </row>
    <row r="34551" spans="7:24" ht="15" customHeight="1">
      <c r="G34551"/>
      <c r="I34551"/>
      <c r="N34551"/>
      <c r="O34551" s="24"/>
      <c r="P34551"/>
      <c r="Q34551" s="24"/>
      <c r="R34551"/>
      <c r="S34551"/>
      <c r="T34551"/>
      <c r="U34551"/>
      <c r="X34551" s="60"/>
    </row>
    <row r="34552" spans="7:24" ht="15" customHeight="1">
      <c r="G34552"/>
      <c r="I34552"/>
      <c r="N34552"/>
      <c r="O34552" s="24"/>
      <c r="P34552"/>
      <c r="Q34552" s="24"/>
      <c r="R34552"/>
      <c r="S34552"/>
      <c r="T34552"/>
      <c r="U34552"/>
      <c r="X34552" s="60"/>
    </row>
    <row r="34553" spans="7:24" ht="15" customHeight="1">
      <c r="G34553"/>
      <c r="I34553"/>
      <c r="N34553"/>
      <c r="O34553" s="24"/>
      <c r="P34553"/>
      <c r="Q34553" s="24"/>
      <c r="R34553"/>
      <c r="S34553"/>
      <c r="T34553"/>
      <c r="U34553"/>
      <c r="X34553" s="60"/>
    </row>
    <row r="34554" spans="7:24" ht="15" customHeight="1">
      <c r="G34554"/>
      <c r="I34554"/>
      <c r="N34554"/>
      <c r="O34554" s="24"/>
      <c r="P34554"/>
      <c r="Q34554" s="24"/>
      <c r="R34554"/>
      <c r="S34554"/>
      <c r="T34554"/>
      <c r="U34554"/>
      <c r="X34554" s="60"/>
    </row>
    <row r="34555" spans="7:24" ht="15" customHeight="1">
      <c r="G34555"/>
      <c r="I34555"/>
      <c r="N34555"/>
      <c r="O34555" s="24"/>
      <c r="P34555"/>
      <c r="Q34555" s="24"/>
      <c r="R34555"/>
      <c r="S34555"/>
      <c r="T34555"/>
      <c r="U34555"/>
      <c r="X34555" s="60"/>
    </row>
    <row r="34556" spans="7:24" ht="15" customHeight="1">
      <c r="G34556"/>
      <c r="I34556"/>
      <c r="N34556"/>
      <c r="O34556" s="24"/>
      <c r="P34556"/>
      <c r="Q34556" s="24"/>
      <c r="R34556"/>
      <c r="S34556"/>
      <c r="T34556"/>
      <c r="U34556"/>
      <c r="X34556" s="60"/>
    </row>
    <row r="34557" spans="7:24" ht="15" customHeight="1">
      <c r="G34557"/>
      <c r="I34557"/>
      <c r="N34557"/>
      <c r="O34557" s="24"/>
      <c r="P34557"/>
      <c r="Q34557" s="24"/>
      <c r="R34557"/>
      <c r="S34557"/>
      <c r="T34557"/>
      <c r="U34557"/>
      <c r="X34557" s="60"/>
    </row>
    <row r="34558" spans="7:24" ht="15" customHeight="1">
      <c r="G34558"/>
      <c r="I34558"/>
      <c r="N34558"/>
      <c r="O34558" s="24"/>
      <c r="P34558"/>
      <c r="Q34558" s="24"/>
      <c r="R34558"/>
      <c r="S34558"/>
      <c r="T34558"/>
      <c r="U34558"/>
      <c r="X34558" s="60"/>
    </row>
    <row r="34559" spans="7:24" ht="15" customHeight="1">
      <c r="G34559"/>
      <c r="I34559"/>
      <c r="N34559"/>
      <c r="O34559" s="24"/>
      <c r="P34559"/>
      <c r="Q34559" s="24"/>
      <c r="R34559"/>
      <c r="S34559"/>
      <c r="T34559"/>
      <c r="U34559"/>
      <c r="X34559" s="60"/>
    </row>
    <row r="34560" spans="7:24" ht="15" customHeight="1">
      <c r="G34560"/>
      <c r="I34560"/>
      <c r="N34560"/>
      <c r="O34560" s="24"/>
      <c r="P34560"/>
      <c r="Q34560" s="24"/>
      <c r="R34560"/>
      <c r="S34560"/>
      <c r="T34560"/>
      <c r="U34560"/>
      <c r="X34560" s="60"/>
    </row>
    <row r="34561" spans="7:24" ht="15" customHeight="1">
      <c r="G34561"/>
      <c r="I34561"/>
      <c r="N34561"/>
      <c r="O34561" s="24"/>
      <c r="P34561"/>
      <c r="Q34561" s="24"/>
      <c r="R34561"/>
      <c r="S34561"/>
      <c r="T34561"/>
      <c r="U34561"/>
      <c r="X34561" s="60"/>
    </row>
    <row r="34562" spans="7:24" ht="15" customHeight="1">
      <c r="G34562"/>
      <c r="I34562"/>
      <c r="N34562"/>
      <c r="O34562" s="24"/>
      <c r="P34562"/>
      <c r="Q34562" s="24"/>
      <c r="R34562"/>
      <c r="S34562"/>
      <c r="T34562"/>
      <c r="U34562"/>
      <c r="X34562" s="60"/>
    </row>
    <row r="34563" spans="7:24" ht="15" customHeight="1">
      <c r="G34563"/>
      <c r="I34563"/>
      <c r="N34563"/>
      <c r="O34563" s="24"/>
      <c r="P34563"/>
      <c r="Q34563" s="24"/>
      <c r="R34563"/>
      <c r="S34563"/>
      <c r="T34563"/>
      <c r="U34563"/>
      <c r="X34563" s="60"/>
    </row>
    <row r="34564" spans="7:24" ht="15" customHeight="1">
      <c r="G34564"/>
      <c r="I34564"/>
      <c r="N34564"/>
      <c r="O34564" s="24"/>
      <c r="P34564"/>
      <c r="Q34564" s="24"/>
      <c r="R34564"/>
      <c r="S34564"/>
      <c r="T34564"/>
      <c r="U34564"/>
      <c r="X34564" s="60"/>
    </row>
    <row r="34565" spans="7:24" ht="15" customHeight="1">
      <c r="G34565"/>
      <c r="I34565"/>
      <c r="N34565"/>
      <c r="O34565" s="24"/>
      <c r="P34565"/>
      <c r="Q34565" s="24"/>
      <c r="R34565"/>
      <c r="S34565"/>
      <c r="T34565"/>
      <c r="U34565"/>
      <c r="X34565" s="60"/>
    </row>
    <row r="34566" spans="7:24" ht="15" customHeight="1">
      <c r="G34566"/>
      <c r="I34566"/>
      <c r="N34566"/>
      <c r="O34566" s="24"/>
      <c r="P34566"/>
      <c r="Q34566" s="24"/>
      <c r="R34566"/>
      <c r="S34566"/>
      <c r="T34566"/>
      <c r="U34566"/>
      <c r="X34566" s="60"/>
    </row>
    <row r="34567" spans="7:24" ht="15" customHeight="1">
      <c r="G34567"/>
      <c r="I34567"/>
      <c r="N34567"/>
      <c r="O34567" s="24"/>
      <c r="P34567"/>
      <c r="Q34567" s="24"/>
      <c r="R34567"/>
      <c r="S34567"/>
      <c r="T34567"/>
      <c r="U34567"/>
      <c r="X34567" s="60"/>
    </row>
    <row r="34568" spans="7:24" ht="15" customHeight="1">
      <c r="G34568"/>
      <c r="I34568"/>
      <c r="N34568"/>
      <c r="O34568" s="24"/>
      <c r="P34568"/>
      <c r="Q34568" s="24"/>
      <c r="R34568"/>
      <c r="S34568"/>
      <c r="T34568"/>
      <c r="U34568"/>
      <c r="X34568" s="60"/>
    </row>
    <row r="34569" spans="7:24" ht="15" customHeight="1">
      <c r="G34569"/>
      <c r="I34569"/>
      <c r="N34569"/>
      <c r="O34569" s="24"/>
      <c r="P34569"/>
      <c r="Q34569" s="24"/>
      <c r="R34569"/>
      <c r="S34569"/>
      <c r="T34569"/>
      <c r="U34569"/>
      <c r="X34569" s="60"/>
    </row>
    <row r="34570" spans="7:24" ht="15" customHeight="1">
      <c r="G34570"/>
      <c r="I34570"/>
      <c r="N34570"/>
      <c r="O34570" s="24"/>
      <c r="P34570"/>
      <c r="Q34570" s="24"/>
      <c r="R34570"/>
      <c r="S34570"/>
      <c r="T34570"/>
      <c r="U34570"/>
      <c r="X34570" s="60"/>
    </row>
    <row r="34571" spans="7:24" ht="15" customHeight="1">
      <c r="G34571"/>
      <c r="I34571"/>
      <c r="N34571"/>
      <c r="O34571" s="24"/>
      <c r="P34571"/>
      <c r="Q34571" s="24"/>
      <c r="R34571"/>
      <c r="S34571"/>
      <c r="T34571"/>
      <c r="U34571"/>
      <c r="X34571" s="60"/>
    </row>
    <row r="34572" spans="7:24" ht="15" customHeight="1">
      <c r="G34572"/>
      <c r="I34572"/>
      <c r="N34572"/>
      <c r="O34572" s="24"/>
      <c r="P34572"/>
      <c r="Q34572" s="24"/>
      <c r="R34572"/>
      <c r="S34572"/>
      <c r="T34572"/>
      <c r="U34572"/>
      <c r="X34572" s="60"/>
    </row>
    <row r="34573" spans="7:24" ht="15" customHeight="1">
      <c r="G34573"/>
      <c r="I34573"/>
      <c r="N34573"/>
      <c r="O34573" s="24"/>
      <c r="P34573"/>
      <c r="Q34573" s="24"/>
      <c r="R34573"/>
      <c r="S34573"/>
      <c r="T34573"/>
      <c r="U34573"/>
      <c r="X34573" s="60"/>
    </row>
    <row r="34574" spans="7:24" ht="15" customHeight="1">
      <c r="G34574"/>
      <c r="I34574"/>
      <c r="N34574"/>
      <c r="O34574" s="24"/>
      <c r="P34574"/>
      <c r="Q34574" s="24"/>
      <c r="R34574"/>
      <c r="S34574"/>
      <c r="T34574"/>
      <c r="U34574"/>
      <c r="X34574" s="60"/>
    </row>
    <row r="34575" spans="7:24" ht="15" customHeight="1">
      <c r="G34575"/>
      <c r="I34575"/>
      <c r="N34575"/>
      <c r="O34575" s="24"/>
      <c r="P34575"/>
      <c r="Q34575" s="24"/>
      <c r="R34575"/>
      <c r="S34575"/>
      <c r="T34575"/>
      <c r="U34575"/>
      <c r="X34575" s="60"/>
    </row>
    <row r="34576" spans="7:24" ht="15" customHeight="1">
      <c r="G34576"/>
      <c r="I34576"/>
      <c r="N34576"/>
      <c r="O34576" s="24"/>
      <c r="P34576"/>
      <c r="Q34576" s="24"/>
      <c r="R34576"/>
      <c r="S34576"/>
      <c r="T34576"/>
      <c r="U34576"/>
      <c r="X34576" s="60"/>
    </row>
    <row r="34577" spans="7:24" ht="15" customHeight="1">
      <c r="G34577"/>
      <c r="I34577"/>
      <c r="N34577"/>
      <c r="O34577" s="24"/>
      <c r="P34577"/>
      <c r="Q34577" s="24"/>
      <c r="R34577"/>
      <c r="S34577"/>
      <c r="T34577"/>
      <c r="U34577"/>
      <c r="X34577" s="60"/>
    </row>
    <row r="34578" spans="7:24" ht="15" customHeight="1">
      <c r="G34578"/>
      <c r="I34578"/>
      <c r="N34578"/>
      <c r="O34578" s="24"/>
      <c r="P34578"/>
      <c r="Q34578" s="24"/>
      <c r="R34578"/>
      <c r="S34578"/>
      <c r="T34578"/>
      <c r="U34578"/>
      <c r="X34578" s="60"/>
    </row>
    <row r="34579" spans="7:24" ht="15" customHeight="1">
      <c r="G34579"/>
      <c r="I34579"/>
      <c r="N34579"/>
      <c r="O34579" s="24"/>
      <c r="P34579"/>
      <c r="Q34579" s="24"/>
      <c r="R34579"/>
      <c r="S34579"/>
      <c r="T34579"/>
      <c r="U34579"/>
      <c r="X34579" s="60"/>
    </row>
    <row r="34580" spans="7:24" ht="15" customHeight="1">
      <c r="G34580"/>
      <c r="I34580"/>
      <c r="N34580"/>
      <c r="O34580" s="24"/>
      <c r="P34580"/>
      <c r="Q34580" s="24"/>
      <c r="R34580"/>
      <c r="S34580"/>
      <c r="T34580"/>
      <c r="U34580"/>
      <c r="X34580" s="60"/>
    </row>
    <row r="34581" spans="7:24" ht="15" customHeight="1">
      <c r="G34581"/>
      <c r="I34581"/>
      <c r="N34581"/>
      <c r="O34581" s="24"/>
      <c r="P34581"/>
      <c r="Q34581" s="24"/>
      <c r="R34581"/>
      <c r="S34581"/>
      <c r="T34581"/>
      <c r="U34581"/>
      <c r="X34581" s="60"/>
    </row>
    <row r="34582" spans="7:24" ht="15" customHeight="1">
      <c r="G34582"/>
      <c r="I34582"/>
      <c r="N34582"/>
      <c r="O34582" s="24"/>
      <c r="P34582"/>
      <c r="Q34582" s="24"/>
      <c r="R34582"/>
      <c r="S34582"/>
      <c r="T34582"/>
      <c r="U34582"/>
      <c r="X34582" s="60"/>
    </row>
    <row r="34583" spans="7:24" ht="15" customHeight="1">
      <c r="G34583"/>
      <c r="I34583"/>
      <c r="N34583"/>
      <c r="O34583" s="24"/>
      <c r="P34583"/>
      <c r="Q34583" s="24"/>
      <c r="R34583"/>
      <c r="S34583"/>
      <c r="T34583"/>
      <c r="U34583"/>
      <c r="X34583" s="60"/>
    </row>
    <row r="34584" spans="7:24" ht="15" customHeight="1">
      <c r="G34584"/>
      <c r="I34584"/>
      <c r="N34584"/>
      <c r="O34584" s="24"/>
      <c r="P34584"/>
      <c r="Q34584" s="24"/>
      <c r="R34584"/>
      <c r="S34584"/>
      <c r="T34584"/>
      <c r="U34584"/>
      <c r="X34584" s="60"/>
    </row>
    <row r="34585" spans="7:24" ht="15" customHeight="1">
      <c r="G34585"/>
      <c r="I34585"/>
      <c r="N34585"/>
      <c r="O34585" s="24"/>
      <c r="P34585"/>
      <c r="Q34585" s="24"/>
      <c r="R34585"/>
      <c r="S34585"/>
      <c r="T34585"/>
      <c r="U34585"/>
      <c r="X34585" s="60"/>
    </row>
    <row r="34586" spans="7:24" ht="15" customHeight="1">
      <c r="G34586"/>
      <c r="I34586"/>
      <c r="N34586"/>
      <c r="O34586" s="24"/>
      <c r="P34586"/>
      <c r="Q34586" s="24"/>
      <c r="R34586"/>
      <c r="S34586"/>
      <c r="T34586"/>
      <c r="U34586"/>
      <c r="X34586" s="60"/>
    </row>
    <row r="34587" spans="7:24" ht="15" customHeight="1">
      <c r="G34587"/>
      <c r="I34587"/>
      <c r="N34587"/>
      <c r="O34587" s="24"/>
      <c r="P34587"/>
      <c r="Q34587" s="24"/>
      <c r="R34587"/>
      <c r="S34587"/>
      <c r="T34587"/>
      <c r="U34587"/>
      <c r="X34587" s="60"/>
    </row>
    <row r="34588" spans="7:24" ht="15" customHeight="1">
      <c r="G34588"/>
      <c r="I34588"/>
      <c r="N34588"/>
      <c r="O34588" s="24"/>
      <c r="P34588"/>
      <c r="Q34588" s="24"/>
      <c r="R34588"/>
      <c r="S34588"/>
      <c r="T34588"/>
      <c r="U34588"/>
      <c r="X34588" s="60"/>
    </row>
    <row r="34589" spans="7:24" ht="15" customHeight="1">
      <c r="G34589"/>
      <c r="I34589"/>
      <c r="N34589"/>
      <c r="O34589" s="24"/>
      <c r="P34589"/>
      <c r="Q34589" s="24"/>
      <c r="R34589"/>
      <c r="S34589"/>
      <c r="T34589"/>
      <c r="U34589"/>
      <c r="X34589" s="60"/>
    </row>
    <row r="34590" spans="7:24" ht="15" customHeight="1">
      <c r="G34590"/>
      <c r="I34590"/>
      <c r="N34590"/>
      <c r="O34590" s="24"/>
      <c r="P34590"/>
      <c r="Q34590" s="24"/>
      <c r="R34590"/>
      <c r="S34590"/>
      <c r="T34590"/>
      <c r="U34590"/>
      <c r="X34590" s="60"/>
    </row>
    <row r="34591" spans="7:24" ht="15" customHeight="1">
      <c r="G34591"/>
      <c r="I34591"/>
      <c r="N34591"/>
      <c r="O34591" s="24"/>
      <c r="P34591"/>
      <c r="Q34591" s="24"/>
      <c r="R34591"/>
      <c r="S34591"/>
      <c r="T34591"/>
      <c r="U34591"/>
      <c r="X34591" s="60"/>
    </row>
    <row r="34592" spans="7:24" ht="15" customHeight="1">
      <c r="G34592"/>
      <c r="I34592"/>
      <c r="N34592"/>
      <c r="O34592" s="24"/>
      <c r="P34592"/>
      <c r="Q34592" s="24"/>
      <c r="R34592"/>
      <c r="S34592"/>
      <c r="T34592"/>
      <c r="U34592"/>
      <c r="X34592" s="60"/>
    </row>
    <row r="34593" spans="7:24" ht="15" customHeight="1">
      <c r="G34593"/>
      <c r="I34593"/>
      <c r="N34593"/>
      <c r="O34593" s="24"/>
      <c r="P34593"/>
      <c r="Q34593" s="24"/>
      <c r="R34593"/>
      <c r="S34593"/>
      <c r="T34593"/>
      <c r="U34593"/>
      <c r="X34593" s="60"/>
    </row>
    <row r="34594" spans="7:24" ht="15" customHeight="1">
      <c r="G34594"/>
      <c r="I34594"/>
      <c r="N34594"/>
      <c r="O34594" s="24"/>
      <c r="P34594"/>
      <c r="Q34594" s="24"/>
      <c r="R34594"/>
      <c r="S34594"/>
      <c r="T34594"/>
      <c r="U34594"/>
      <c r="X34594" s="60"/>
    </row>
    <row r="34595" spans="7:24" ht="15" customHeight="1">
      <c r="G34595"/>
      <c r="I34595"/>
      <c r="N34595"/>
      <c r="O34595" s="24"/>
      <c r="P34595"/>
      <c r="Q34595" s="24"/>
      <c r="R34595"/>
      <c r="S34595"/>
      <c r="T34595"/>
      <c r="U34595"/>
      <c r="X34595" s="60"/>
    </row>
    <row r="34596" spans="7:24" ht="15" customHeight="1">
      <c r="G34596"/>
      <c r="I34596"/>
      <c r="N34596"/>
      <c r="O34596" s="24"/>
      <c r="P34596"/>
      <c r="Q34596" s="24"/>
      <c r="R34596"/>
      <c r="S34596"/>
      <c r="T34596"/>
      <c r="U34596"/>
      <c r="X34596" s="60"/>
    </row>
    <row r="34597" spans="7:24" ht="15" customHeight="1">
      <c r="G34597"/>
      <c r="I34597"/>
      <c r="N34597"/>
      <c r="O34597" s="24"/>
      <c r="P34597"/>
      <c r="Q34597" s="24"/>
      <c r="R34597"/>
      <c r="S34597"/>
      <c r="T34597"/>
      <c r="U34597"/>
      <c r="X34597" s="60"/>
    </row>
    <row r="34598" spans="7:24" ht="15" customHeight="1">
      <c r="G34598"/>
      <c r="I34598"/>
      <c r="N34598"/>
      <c r="O34598" s="24"/>
      <c r="P34598"/>
      <c r="Q34598" s="24"/>
      <c r="R34598"/>
      <c r="S34598"/>
      <c r="T34598"/>
      <c r="U34598"/>
      <c r="X34598" s="60"/>
    </row>
    <row r="34599" spans="7:24" ht="15" customHeight="1">
      <c r="G34599"/>
      <c r="I34599"/>
      <c r="N34599"/>
      <c r="O34599" s="24"/>
      <c r="P34599"/>
      <c r="Q34599" s="24"/>
      <c r="R34599"/>
      <c r="S34599"/>
      <c r="T34599"/>
      <c r="U34599"/>
      <c r="X34599" s="60"/>
    </row>
    <row r="34600" spans="7:24" ht="15" customHeight="1">
      <c r="G34600"/>
      <c r="I34600"/>
      <c r="N34600"/>
      <c r="O34600" s="24"/>
      <c r="P34600"/>
      <c r="Q34600" s="24"/>
      <c r="R34600"/>
      <c r="S34600"/>
      <c r="T34600"/>
      <c r="U34600"/>
      <c r="X34600" s="60"/>
    </row>
    <row r="34601" spans="7:24" ht="15" customHeight="1">
      <c r="G34601"/>
      <c r="I34601"/>
      <c r="N34601"/>
      <c r="O34601" s="24"/>
      <c r="P34601"/>
      <c r="Q34601" s="24"/>
      <c r="R34601"/>
      <c r="S34601"/>
      <c r="T34601"/>
      <c r="U34601"/>
      <c r="X34601" s="60"/>
    </row>
    <row r="34602" spans="7:24" ht="15" customHeight="1">
      <c r="G34602"/>
      <c r="I34602"/>
      <c r="N34602"/>
      <c r="O34602" s="24"/>
      <c r="P34602"/>
      <c r="Q34602" s="24"/>
      <c r="R34602"/>
      <c r="S34602"/>
      <c r="T34602"/>
      <c r="U34602"/>
      <c r="X34602" s="60"/>
    </row>
    <row r="34603" spans="7:24" ht="15" customHeight="1">
      <c r="G34603"/>
      <c r="I34603"/>
      <c r="N34603"/>
      <c r="O34603" s="24"/>
      <c r="P34603"/>
      <c r="Q34603" s="24"/>
      <c r="R34603"/>
      <c r="S34603"/>
      <c r="T34603"/>
      <c r="U34603"/>
      <c r="X34603" s="60"/>
    </row>
    <row r="34604" spans="7:24" ht="15" customHeight="1">
      <c r="G34604"/>
      <c r="I34604"/>
      <c r="N34604"/>
      <c r="O34604" s="24"/>
      <c r="P34604"/>
      <c r="Q34604" s="24"/>
      <c r="R34604"/>
      <c r="S34604"/>
      <c r="T34604"/>
      <c r="U34604"/>
      <c r="X34604" s="60"/>
    </row>
    <row r="34605" spans="7:24" ht="15" customHeight="1">
      <c r="G34605"/>
      <c r="I34605"/>
      <c r="N34605"/>
      <c r="O34605" s="24"/>
      <c r="P34605"/>
      <c r="Q34605" s="24"/>
      <c r="R34605"/>
      <c r="S34605"/>
      <c r="T34605"/>
      <c r="U34605"/>
      <c r="X34605" s="60"/>
    </row>
    <row r="34606" spans="7:24" ht="15" customHeight="1">
      <c r="G34606"/>
      <c r="I34606"/>
      <c r="N34606"/>
      <c r="O34606" s="24"/>
      <c r="P34606"/>
      <c r="Q34606" s="24"/>
      <c r="R34606"/>
      <c r="S34606"/>
      <c r="T34606"/>
      <c r="U34606"/>
      <c r="X34606" s="60"/>
    </row>
    <row r="34607" spans="7:24" ht="15" customHeight="1">
      <c r="G34607"/>
      <c r="I34607"/>
      <c r="N34607"/>
      <c r="O34607" s="24"/>
      <c r="P34607"/>
      <c r="Q34607" s="24"/>
      <c r="R34607"/>
      <c r="S34607"/>
      <c r="T34607"/>
      <c r="U34607"/>
      <c r="X34607" s="60"/>
    </row>
    <row r="34608" spans="7:24" ht="15" customHeight="1">
      <c r="G34608"/>
      <c r="I34608"/>
      <c r="N34608"/>
      <c r="O34608" s="24"/>
      <c r="P34608"/>
      <c r="Q34608" s="24"/>
      <c r="R34608"/>
      <c r="S34608"/>
      <c r="T34608"/>
      <c r="U34608"/>
      <c r="X34608" s="60"/>
    </row>
    <row r="34609" spans="7:24" ht="15" customHeight="1">
      <c r="G34609"/>
      <c r="I34609"/>
      <c r="N34609"/>
      <c r="O34609" s="24"/>
      <c r="P34609"/>
      <c r="Q34609" s="24"/>
      <c r="R34609"/>
      <c r="S34609"/>
      <c r="T34609"/>
      <c r="U34609"/>
      <c r="X34609" s="60"/>
    </row>
    <row r="34610" spans="7:24" ht="15" customHeight="1">
      <c r="G34610"/>
      <c r="I34610"/>
      <c r="N34610"/>
      <c r="O34610" s="24"/>
      <c r="P34610"/>
      <c r="Q34610" s="24"/>
      <c r="R34610"/>
      <c r="S34610"/>
      <c r="T34610"/>
      <c r="U34610"/>
      <c r="X34610" s="60"/>
    </row>
    <row r="34611" spans="7:24" ht="15" customHeight="1">
      <c r="G34611"/>
      <c r="I34611"/>
      <c r="N34611"/>
      <c r="O34611" s="24"/>
      <c r="P34611"/>
      <c r="Q34611" s="24"/>
      <c r="R34611"/>
      <c r="S34611"/>
      <c r="T34611"/>
      <c r="U34611"/>
      <c r="X34611" s="60"/>
    </row>
    <row r="34612" spans="7:24" ht="15" customHeight="1">
      <c r="G34612"/>
      <c r="I34612"/>
      <c r="N34612"/>
      <c r="O34612" s="24"/>
      <c r="P34612"/>
      <c r="Q34612" s="24"/>
      <c r="R34612"/>
      <c r="S34612"/>
      <c r="T34612"/>
      <c r="U34612"/>
      <c r="X34612" s="60"/>
    </row>
    <row r="34613" spans="7:24" ht="15" customHeight="1">
      <c r="G34613"/>
      <c r="I34613"/>
      <c r="N34613"/>
      <c r="O34613" s="24"/>
      <c r="P34613"/>
      <c r="Q34613" s="24"/>
      <c r="R34613"/>
      <c r="S34613"/>
      <c r="T34613"/>
      <c r="U34613"/>
      <c r="X34613" s="60"/>
    </row>
    <row r="34614" spans="7:24" ht="15" customHeight="1">
      <c r="G34614"/>
      <c r="I34614"/>
      <c r="N34614"/>
      <c r="O34614" s="24"/>
      <c r="P34614"/>
      <c r="Q34614" s="24"/>
      <c r="R34614"/>
      <c r="S34614"/>
      <c r="T34614"/>
      <c r="U34614"/>
      <c r="X34614" s="60"/>
    </row>
    <row r="34615" spans="7:24" ht="15" customHeight="1">
      <c r="G34615"/>
      <c r="I34615"/>
      <c r="N34615"/>
      <c r="O34615" s="24"/>
      <c r="P34615"/>
      <c r="Q34615" s="24"/>
      <c r="R34615"/>
      <c r="S34615"/>
      <c r="T34615"/>
      <c r="U34615"/>
      <c r="X34615" s="60"/>
    </row>
    <row r="34616" spans="7:24" ht="15" customHeight="1">
      <c r="G34616"/>
      <c r="I34616"/>
      <c r="N34616"/>
      <c r="O34616" s="24"/>
      <c r="P34616"/>
      <c r="Q34616" s="24"/>
      <c r="R34616"/>
      <c r="S34616"/>
      <c r="T34616"/>
      <c r="U34616"/>
      <c r="X34616" s="60"/>
    </row>
    <row r="34617" spans="7:24" ht="15" customHeight="1">
      <c r="G34617"/>
      <c r="I34617"/>
      <c r="N34617"/>
      <c r="O34617" s="24"/>
      <c r="P34617"/>
      <c r="Q34617" s="24"/>
      <c r="R34617"/>
      <c r="S34617"/>
      <c r="T34617"/>
      <c r="U34617"/>
      <c r="X34617" s="60"/>
    </row>
    <row r="34618" spans="7:24" ht="15" customHeight="1">
      <c r="G34618"/>
      <c r="I34618"/>
      <c r="N34618"/>
      <c r="O34618" s="24"/>
      <c r="P34618"/>
      <c r="Q34618" s="24"/>
      <c r="R34618"/>
      <c r="S34618"/>
      <c r="T34618"/>
      <c r="U34618"/>
      <c r="X34618" s="60"/>
    </row>
    <row r="34619" spans="7:24" ht="15" customHeight="1">
      <c r="G34619"/>
      <c r="I34619"/>
      <c r="N34619"/>
      <c r="O34619" s="24"/>
      <c r="P34619"/>
      <c r="Q34619" s="24"/>
      <c r="R34619"/>
      <c r="S34619"/>
      <c r="T34619"/>
      <c r="U34619"/>
      <c r="X34619" s="60"/>
    </row>
    <row r="34620" spans="7:24" ht="15" customHeight="1">
      <c r="G34620"/>
      <c r="I34620"/>
      <c r="N34620"/>
      <c r="O34620" s="24"/>
      <c r="P34620"/>
      <c r="Q34620" s="24"/>
      <c r="R34620"/>
      <c r="S34620"/>
      <c r="T34620"/>
      <c r="U34620"/>
      <c r="X34620" s="60"/>
    </row>
    <row r="34621" spans="7:24" ht="15" customHeight="1">
      <c r="G34621"/>
      <c r="I34621"/>
      <c r="N34621"/>
      <c r="O34621" s="24"/>
      <c r="P34621"/>
      <c r="Q34621" s="24"/>
      <c r="R34621"/>
      <c r="S34621"/>
      <c r="T34621"/>
      <c r="U34621"/>
      <c r="X34621" s="60"/>
    </row>
    <row r="34622" spans="7:24" ht="15" customHeight="1">
      <c r="G34622"/>
      <c r="I34622"/>
      <c r="N34622"/>
      <c r="O34622" s="24"/>
      <c r="P34622"/>
      <c r="Q34622" s="24"/>
      <c r="R34622"/>
      <c r="S34622"/>
      <c r="T34622"/>
      <c r="U34622"/>
      <c r="X34622" s="60"/>
    </row>
    <row r="34623" spans="7:24" ht="15" customHeight="1">
      <c r="G34623"/>
      <c r="I34623"/>
      <c r="N34623"/>
      <c r="O34623" s="24"/>
      <c r="P34623"/>
      <c r="Q34623" s="24"/>
      <c r="R34623"/>
      <c r="S34623"/>
      <c r="T34623"/>
      <c r="U34623"/>
      <c r="X34623" s="60"/>
    </row>
    <row r="34624" spans="7:24" ht="15" customHeight="1">
      <c r="G34624"/>
      <c r="I34624"/>
      <c r="N34624"/>
      <c r="O34624" s="24"/>
      <c r="P34624"/>
      <c r="Q34624" s="24"/>
      <c r="R34624"/>
      <c r="S34624"/>
      <c r="T34624"/>
      <c r="U34624"/>
      <c r="X34624" s="60"/>
    </row>
    <row r="34625" spans="7:24" ht="15" customHeight="1">
      <c r="G34625"/>
      <c r="I34625"/>
      <c r="N34625"/>
      <c r="O34625" s="24"/>
      <c r="P34625"/>
      <c r="Q34625" s="24"/>
      <c r="R34625"/>
      <c r="S34625"/>
      <c r="T34625"/>
      <c r="U34625"/>
      <c r="X34625" s="60"/>
    </row>
    <row r="34626" spans="7:24" ht="15" customHeight="1">
      <c r="G34626"/>
      <c r="I34626"/>
      <c r="N34626"/>
      <c r="O34626" s="24"/>
      <c r="P34626"/>
      <c r="Q34626" s="24"/>
      <c r="R34626"/>
      <c r="S34626"/>
      <c r="T34626"/>
      <c r="U34626"/>
      <c r="X34626" s="60"/>
    </row>
    <row r="34627" spans="7:24" ht="15" customHeight="1">
      <c r="G34627"/>
      <c r="I34627"/>
      <c r="N34627"/>
      <c r="O34627" s="24"/>
      <c r="P34627"/>
      <c r="Q34627" s="24"/>
      <c r="R34627"/>
      <c r="S34627"/>
      <c r="T34627"/>
      <c r="U34627"/>
      <c r="X34627" s="60"/>
    </row>
    <row r="34628" spans="7:24" ht="15" customHeight="1">
      <c r="G34628"/>
      <c r="I34628"/>
      <c r="N34628"/>
      <c r="O34628" s="24"/>
      <c r="P34628"/>
      <c r="Q34628" s="24"/>
      <c r="R34628"/>
      <c r="S34628"/>
      <c r="T34628"/>
      <c r="U34628"/>
      <c r="X34628" s="60"/>
    </row>
    <row r="34629" spans="7:24" ht="15" customHeight="1">
      <c r="G34629"/>
      <c r="I34629"/>
      <c r="N34629"/>
      <c r="O34629" s="24"/>
      <c r="P34629"/>
      <c r="Q34629" s="24"/>
      <c r="R34629"/>
      <c r="S34629"/>
      <c r="T34629"/>
      <c r="U34629"/>
      <c r="X34629" s="60"/>
    </row>
    <row r="34630" spans="7:24" ht="15" customHeight="1">
      <c r="G34630"/>
      <c r="I34630"/>
      <c r="N34630"/>
      <c r="O34630" s="24"/>
      <c r="P34630"/>
      <c r="Q34630" s="24"/>
      <c r="R34630"/>
      <c r="S34630"/>
      <c r="T34630"/>
      <c r="U34630"/>
      <c r="X34630" s="60"/>
    </row>
    <row r="34631" spans="7:24" ht="15" customHeight="1">
      <c r="G34631"/>
      <c r="I34631"/>
      <c r="N34631"/>
      <c r="O34631" s="24"/>
      <c r="P34631"/>
      <c r="Q34631" s="24"/>
      <c r="R34631"/>
      <c r="S34631"/>
      <c r="T34631"/>
      <c r="U34631"/>
      <c r="X34631" s="60"/>
    </row>
    <row r="34632" spans="7:24" ht="15" customHeight="1">
      <c r="G34632"/>
      <c r="I34632"/>
      <c r="N34632"/>
      <c r="O34632" s="24"/>
      <c r="P34632"/>
      <c r="Q34632" s="24"/>
      <c r="R34632"/>
      <c r="S34632"/>
      <c r="T34632"/>
      <c r="U34632"/>
      <c r="X34632" s="60"/>
    </row>
    <row r="34633" spans="7:24" ht="15" customHeight="1">
      <c r="G34633"/>
      <c r="I34633"/>
      <c r="N34633"/>
      <c r="O34633" s="24"/>
      <c r="P34633"/>
      <c r="Q34633" s="24"/>
      <c r="R34633"/>
      <c r="S34633"/>
      <c r="T34633"/>
      <c r="U34633"/>
      <c r="X34633" s="60"/>
    </row>
    <row r="34634" spans="7:24" ht="15" customHeight="1">
      <c r="G34634"/>
      <c r="I34634"/>
      <c r="N34634"/>
      <c r="O34634" s="24"/>
      <c r="P34634"/>
      <c r="Q34634" s="24"/>
      <c r="R34634"/>
      <c r="S34634"/>
      <c r="T34634"/>
      <c r="U34634"/>
      <c r="X34634" s="60"/>
    </row>
    <row r="34635" spans="7:24" ht="15" customHeight="1">
      <c r="G34635"/>
      <c r="I34635"/>
      <c r="N34635"/>
      <c r="O34635" s="24"/>
      <c r="P34635"/>
      <c r="Q34635" s="24"/>
      <c r="R34635"/>
      <c r="S34635"/>
      <c r="T34635"/>
      <c r="U34635"/>
      <c r="X34635" s="60"/>
    </row>
    <row r="34636" spans="7:24" ht="15" customHeight="1">
      <c r="G34636"/>
      <c r="I34636"/>
      <c r="N34636"/>
      <c r="O34636" s="24"/>
      <c r="P34636"/>
      <c r="Q34636" s="24"/>
      <c r="R34636"/>
      <c r="S34636"/>
      <c r="T34636"/>
      <c r="U34636"/>
      <c r="X34636" s="60"/>
    </row>
    <row r="34637" spans="7:24" ht="15" customHeight="1">
      <c r="G34637"/>
      <c r="I34637"/>
      <c r="N34637"/>
      <c r="O34637" s="24"/>
      <c r="P34637"/>
      <c r="Q34637" s="24"/>
      <c r="R34637"/>
      <c r="S34637"/>
      <c r="T34637"/>
      <c r="U34637"/>
      <c r="X34637" s="60"/>
    </row>
    <row r="34638" spans="7:24" ht="15" customHeight="1">
      <c r="G34638"/>
      <c r="I34638"/>
      <c r="N34638"/>
      <c r="O34638" s="24"/>
      <c r="P34638"/>
      <c r="Q34638" s="24"/>
      <c r="R34638"/>
      <c r="S34638"/>
      <c r="T34638"/>
      <c r="U34638"/>
      <c r="X34638" s="60"/>
    </row>
    <row r="34639" spans="7:24" ht="15" customHeight="1">
      <c r="G34639"/>
      <c r="I34639"/>
      <c r="N34639"/>
      <c r="O34639" s="24"/>
      <c r="P34639"/>
      <c r="Q34639" s="24"/>
      <c r="R34639"/>
      <c r="S34639"/>
      <c r="T34639"/>
      <c r="U34639"/>
      <c r="X34639" s="60"/>
    </row>
    <row r="34640" spans="7:24" ht="15" customHeight="1">
      <c r="G34640"/>
      <c r="I34640"/>
      <c r="N34640"/>
      <c r="O34640" s="24"/>
      <c r="P34640"/>
      <c r="Q34640" s="24"/>
      <c r="R34640"/>
      <c r="S34640"/>
      <c r="T34640"/>
      <c r="U34640"/>
      <c r="X34640" s="60"/>
    </row>
    <row r="34641" spans="7:24" ht="15" customHeight="1">
      <c r="G34641"/>
      <c r="I34641"/>
      <c r="N34641"/>
      <c r="O34641" s="24"/>
      <c r="P34641"/>
      <c r="Q34641" s="24"/>
      <c r="R34641"/>
      <c r="S34641"/>
      <c r="T34641"/>
      <c r="U34641"/>
      <c r="X34641" s="60"/>
    </row>
    <row r="34642" spans="7:24" ht="15" customHeight="1">
      <c r="G34642"/>
      <c r="I34642"/>
      <c r="N34642"/>
      <c r="O34642" s="24"/>
      <c r="P34642"/>
      <c r="Q34642" s="24"/>
      <c r="R34642"/>
      <c r="S34642"/>
      <c r="T34642"/>
      <c r="U34642"/>
      <c r="X34642" s="60"/>
    </row>
    <row r="34643" spans="7:24" ht="15" customHeight="1">
      <c r="G34643"/>
      <c r="I34643"/>
      <c r="N34643"/>
      <c r="O34643" s="24"/>
      <c r="P34643"/>
      <c r="Q34643" s="24"/>
      <c r="R34643"/>
      <c r="S34643"/>
      <c r="T34643"/>
      <c r="U34643"/>
      <c r="X34643" s="60"/>
    </row>
    <row r="34644" spans="7:24" ht="15" customHeight="1">
      <c r="G34644"/>
      <c r="I34644"/>
      <c r="N34644"/>
      <c r="O34644" s="24"/>
      <c r="P34644"/>
      <c r="Q34644" s="24"/>
      <c r="R34644"/>
      <c r="S34644"/>
      <c r="T34644"/>
      <c r="U34644"/>
      <c r="X34644" s="60"/>
    </row>
    <row r="34645" spans="7:24" ht="15" customHeight="1">
      <c r="G34645"/>
      <c r="I34645"/>
      <c r="N34645"/>
      <c r="O34645" s="24"/>
      <c r="P34645"/>
      <c r="Q34645" s="24"/>
      <c r="R34645"/>
      <c r="S34645"/>
      <c r="T34645"/>
      <c r="U34645"/>
      <c r="X34645" s="60"/>
    </row>
    <row r="34646" spans="7:24" ht="15" customHeight="1">
      <c r="G34646"/>
      <c r="I34646"/>
      <c r="N34646"/>
      <c r="O34646" s="24"/>
      <c r="P34646"/>
      <c r="Q34646" s="24"/>
      <c r="R34646"/>
      <c r="S34646"/>
      <c r="T34646"/>
      <c r="U34646"/>
      <c r="X34646" s="60"/>
    </row>
    <row r="34647" spans="7:24" ht="15" customHeight="1">
      <c r="G34647"/>
      <c r="I34647"/>
      <c r="N34647"/>
      <c r="O34647" s="24"/>
      <c r="P34647"/>
      <c r="Q34647" s="24"/>
      <c r="R34647"/>
      <c r="S34647"/>
      <c r="T34647"/>
      <c r="U34647"/>
      <c r="X34647" s="60"/>
    </row>
    <row r="34648" spans="7:24" ht="15" customHeight="1">
      <c r="G34648"/>
      <c r="I34648"/>
      <c r="N34648"/>
      <c r="O34648" s="24"/>
      <c r="P34648"/>
      <c r="Q34648" s="24"/>
      <c r="R34648"/>
      <c r="S34648"/>
      <c r="T34648"/>
      <c r="U34648"/>
      <c r="X34648" s="60"/>
    </row>
    <row r="34649" spans="7:24" ht="15" customHeight="1">
      <c r="G34649"/>
      <c r="I34649"/>
      <c r="N34649"/>
      <c r="O34649" s="24"/>
      <c r="P34649"/>
      <c r="Q34649" s="24"/>
      <c r="R34649"/>
      <c r="S34649"/>
      <c r="T34649"/>
      <c r="U34649"/>
      <c r="X34649" s="60"/>
    </row>
    <row r="34650" spans="7:24" ht="15" customHeight="1">
      <c r="G34650"/>
      <c r="I34650"/>
      <c r="N34650"/>
      <c r="O34650" s="24"/>
      <c r="P34650"/>
      <c r="Q34650" s="24"/>
      <c r="R34650"/>
      <c r="S34650"/>
      <c r="T34650"/>
      <c r="U34650"/>
      <c r="X34650" s="60"/>
    </row>
    <row r="34651" spans="7:24" ht="15" customHeight="1">
      <c r="G34651"/>
      <c r="I34651"/>
      <c r="N34651"/>
      <c r="O34651" s="24"/>
      <c r="P34651"/>
      <c r="Q34651" s="24"/>
      <c r="R34651"/>
      <c r="S34651"/>
      <c r="T34651"/>
      <c r="U34651"/>
      <c r="X34651" s="60"/>
    </row>
    <row r="34652" spans="7:24" ht="15" customHeight="1">
      <c r="G34652"/>
      <c r="I34652"/>
      <c r="N34652"/>
      <c r="O34652" s="24"/>
      <c r="P34652"/>
      <c r="Q34652" s="24"/>
      <c r="R34652"/>
      <c r="S34652"/>
      <c r="T34652"/>
      <c r="U34652"/>
      <c r="X34652" s="60"/>
    </row>
    <row r="34653" spans="7:24" ht="15" customHeight="1">
      <c r="G34653"/>
      <c r="I34653"/>
      <c r="N34653"/>
      <c r="O34653" s="24"/>
      <c r="P34653"/>
      <c r="Q34653" s="24"/>
      <c r="R34653"/>
      <c r="S34653"/>
      <c r="T34653"/>
      <c r="U34653"/>
      <c r="X34653" s="60"/>
    </row>
    <row r="34654" spans="7:24" ht="15" customHeight="1">
      <c r="G34654"/>
      <c r="I34654"/>
      <c r="N34654"/>
      <c r="O34654" s="24"/>
      <c r="P34654"/>
      <c r="Q34654" s="24"/>
      <c r="R34654"/>
      <c r="S34654"/>
      <c r="T34654"/>
      <c r="U34654"/>
      <c r="X34654" s="60"/>
    </row>
    <row r="34655" spans="7:24" ht="15" customHeight="1">
      <c r="G34655"/>
      <c r="I34655"/>
      <c r="N34655"/>
      <c r="O34655" s="24"/>
      <c r="P34655"/>
      <c r="Q34655" s="24"/>
      <c r="R34655"/>
      <c r="S34655"/>
      <c r="T34655"/>
      <c r="U34655"/>
      <c r="X34655" s="60"/>
    </row>
    <row r="34656" spans="7:24" ht="15" customHeight="1">
      <c r="G34656"/>
      <c r="I34656"/>
      <c r="N34656"/>
      <c r="O34656" s="24"/>
      <c r="P34656"/>
      <c r="Q34656" s="24"/>
      <c r="R34656"/>
      <c r="S34656"/>
      <c r="T34656"/>
      <c r="U34656"/>
      <c r="X34656" s="60"/>
    </row>
    <row r="34657" spans="7:24" ht="15" customHeight="1">
      <c r="G34657"/>
      <c r="I34657"/>
      <c r="N34657"/>
      <c r="O34657" s="24"/>
      <c r="P34657"/>
      <c r="Q34657" s="24"/>
      <c r="R34657"/>
      <c r="S34657"/>
      <c r="T34657"/>
      <c r="U34657"/>
      <c r="X34657" s="60"/>
    </row>
    <row r="34658" spans="7:24" ht="15" customHeight="1">
      <c r="G34658"/>
      <c r="I34658"/>
      <c r="N34658"/>
      <c r="O34658" s="24"/>
      <c r="P34658"/>
      <c r="Q34658" s="24"/>
      <c r="R34658"/>
      <c r="S34658"/>
      <c r="T34658"/>
      <c r="U34658"/>
      <c r="X34658" s="60"/>
    </row>
    <row r="34659" spans="7:24" ht="15" customHeight="1">
      <c r="G34659"/>
      <c r="I34659"/>
      <c r="N34659"/>
      <c r="O34659" s="24"/>
      <c r="P34659"/>
      <c r="Q34659" s="24"/>
      <c r="R34659"/>
      <c r="S34659"/>
      <c r="T34659"/>
      <c r="U34659"/>
      <c r="X34659" s="60"/>
    </row>
    <row r="34660" spans="7:24" ht="15" customHeight="1">
      <c r="G34660"/>
      <c r="I34660"/>
      <c r="N34660"/>
      <c r="O34660" s="24"/>
      <c r="P34660"/>
      <c r="Q34660" s="24"/>
      <c r="R34660"/>
      <c r="S34660"/>
      <c r="T34660"/>
      <c r="U34660"/>
      <c r="X34660" s="60"/>
    </row>
    <row r="34661" spans="7:24" ht="15" customHeight="1">
      <c r="G34661"/>
      <c r="I34661"/>
      <c r="N34661"/>
      <c r="O34661" s="24"/>
      <c r="P34661"/>
      <c r="Q34661" s="24"/>
      <c r="R34661"/>
      <c r="S34661"/>
      <c r="T34661"/>
      <c r="U34661"/>
      <c r="X34661" s="60"/>
    </row>
    <row r="34662" spans="7:24" ht="15" customHeight="1">
      <c r="G34662"/>
      <c r="I34662"/>
      <c r="N34662"/>
      <c r="O34662" s="24"/>
      <c r="P34662"/>
      <c r="Q34662" s="24"/>
      <c r="R34662"/>
      <c r="S34662"/>
      <c r="T34662"/>
      <c r="U34662"/>
      <c r="X34662" s="60"/>
    </row>
    <row r="34663" spans="7:24" ht="15" customHeight="1">
      <c r="G34663"/>
      <c r="I34663"/>
      <c r="N34663"/>
      <c r="O34663" s="24"/>
      <c r="P34663"/>
      <c r="Q34663" s="24"/>
      <c r="R34663"/>
      <c r="S34663"/>
      <c r="T34663"/>
      <c r="U34663"/>
      <c r="X34663" s="60"/>
    </row>
    <row r="34664" spans="7:24" ht="15" customHeight="1">
      <c r="G34664"/>
      <c r="I34664"/>
      <c r="N34664"/>
      <c r="O34664" s="24"/>
      <c r="P34664"/>
      <c r="Q34664" s="24"/>
      <c r="R34664"/>
      <c r="S34664"/>
      <c r="T34664"/>
      <c r="U34664"/>
      <c r="X34664" s="60"/>
    </row>
    <row r="34665" spans="7:24" ht="15" customHeight="1">
      <c r="G34665"/>
      <c r="I34665"/>
      <c r="N34665"/>
      <c r="O34665" s="24"/>
      <c r="P34665"/>
      <c r="Q34665" s="24"/>
      <c r="R34665"/>
      <c r="S34665"/>
      <c r="T34665"/>
      <c r="U34665"/>
      <c r="X34665" s="60"/>
    </row>
    <row r="34666" spans="7:24" ht="15" customHeight="1">
      <c r="G34666"/>
      <c r="I34666"/>
      <c r="N34666"/>
      <c r="O34666" s="24"/>
      <c r="P34666"/>
      <c r="Q34666" s="24"/>
      <c r="R34666"/>
      <c r="S34666"/>
      <c r="T34666"/>
      <c r="U34666"/>
      <c r="X34666" s="60"/>
    </row>
    <row r="34667" spans="7:24" ht="15" customHeight="1">
      <c r="G34667"/>
      <c r="I34667"/>
      <c r="N34667"/>
      <c r="O34667" s="24"/>
      <c r="P34667"/>
      <c r="Q34667" s="24"/>
      <c r="R34667"/>
      <c r="S34667"/>
      <c r="T34667"/>
      <c r="U34667"/>
      <c r="X34667" s="60"/>
    </row>
    <row r="34668" spans="7:24" ht="15" customHeight="1">
      <c r="G34668"/>
      <c r="I34668"/>
      <c r="N34668"/>
      <c r="O34668" s="24"/>
      <c r="P34668"/>
      <c r="Q34668" s="24"/>
      <c r="R34668"/>
      <c r="S34668"/>
      <c r="T34668"/>
      <c r="U34668"/>
      <c r="X34668" s="60"/>
    </row>
    <row r="34669" spans="7:24" ht="15" customHeight="1">
      <c r="G34669"/>
      <c r="I34669"/>
      <c r="N34669"/>
      <c r="O34669" s="24"/>
      <c r="P34669"/>
      <c r="Q34669" s="24"/>
      <c r="R34669"/>
      <c r="S34669"/>
      <c r="T34669"/>
      <c r="U34669"/>
      <c r="X34669" s="60"/>
    </row>
    <row r="34670" spans="7:24" ht="15" customHeight="1">
      <c r="G34670"/>
      <c r="I34670"/>
      <c r="N34670"/>
      <c r="O34670" s="24"/>
      <c r="P34670"/>
      <c r="Q34670" s="24"/>
      <c r="R34670"/>
      <c r="S34670"/>
      <c r="T34670"/>
      <c r="U34670"/>
      <c r="X34670" s="60"/>
    </row>
    <row r="34671" spans="7:24" ht="15" customHeight="1">
      <c r="G34671"/>
      <c r="I34671"/>
      <c r="N34671"/>
      <c r="O34671" s="24"/>
      <c r="P34671"/>
      <c r="Q34671" s="24"/>
      <c r="R34671"/>
      <c r="S34671"/>
      <c r="T34671"/>
      <c r="U34671"/>
      <c r="X34671" s="60"/>
    </row>
    <row r="34672" spans="7:24" ht="15" customHeight="1">
      <c r="G34672"/>
      <c r="I34672"/>
      <c r="N34672"/>
      <c r="O34672" s="24"/>
      <c r="P34672"/>
      <c r="Q34672" s="24"/>
      <c r="R34672"/>
      <c r="S34672"/>
      <c r="T34672"/>
      <c r="U34672"/>
      <c r="X34672" s="60"/>
    </row>
    <row r="34673" spans="7:24" ht="15" customHeight="1">
      <c r="G34673"/>
      <c r="I34673"/>
      <c r="N34673"/>
      <c r="O34673" s="24"/>
      <c r="P34673"/>
      <c r="Q34673" s="24"/>
      <c r="R34673"/>
      <c r="S34673"/>
      <c r="T34673"/>
      <c r="U34673"/>
      <c r="X34673" s="60"/>
    </row>
    <row r="34674" spans="7:24" ht="15" customHeight="1">
      <c r="G34674"/>
      <c r="I34674"/>
      <c r="N34674"/>
      <c r="O34674" s="24"/>
      <c r="P34674"/>
      <c r="Q34674" s="24"/>
      <c r="R34674"/>
      <c r="S34674"/>
      <c r="T34674"/>
      <c r="U34674"/>
      <c r="X34674" s="60"/>
    </row>
    <row r="34675" spans="7:24" ht="15" customHeight="1">
      <c r="G34675"/>
      <c r="I34675"/>
      <c r="N34675"/>
      <c r="O34675" s="24"/>
      <c r="P34675"/>
      <c r="Q34675" s="24"/>
      <c r="R34675"/>
      <c r="S34675"/>
      <c r="T34675"/>
      <c r="U34675"/>
      <c r="X34675" s="60"/>
    </row>
    <row r="34676" spans="7:24" ht="15" customHeight="1">
      <c r="G34676"/>
      <c r="I34676"/>
      <c r="N34676"/>
      <c r="O34676" s="24"/>
      <c r="P34676"/>
      <c r="Q34676" s="24"/>
      <c r="R34676"/>
      <c r="S34676"/>
      <c r="T34676"/>
      <c r="U34676"/>
      <c r="X34676" s="60"/>
    </row>
    <row r="34677" spans="7:24" ht="15" customHeight="1">
      <c r="G34677"/>
      <c r="I34677"/>
      <c r="N34677"/>
      <c r="O34677" s="24"/>
      <c r="P34677"/>
      <c r="Q34677" s="24"/>
      <c r="R34677"/>
      <c r="S34677"/>
      <c r="T34677"/>
      <c r="U34677"/>
      <c r="X34677" s="60"/>
    </row>
    <row r="34678" spans="7:24" ht="15" customHeight="1">
      <c r="G34678"/>
      <c r="I34678"/>
      <c r="N34678"/>
      <c r="O34678" s="24"/>
      <c r="P34678"/>
      <c r="Q34678" s="24"/>
      <c r="R34678"/>
      <c r="S34678"/>
      <c r="T34678"/>
      <c r="U34678"/>
      <c r="X34678" s="60"/>
    </row>
    <row r="34679" spans="7:24" ht="15" customHeight="1">
      <c r="G34679"/>
      <c r="I34679"/>
      <c r="N34679"/>
      <c r="O34679" s="24"/>
      <c r="P34679"/>
      <c r="Q34679" s="24"/>
      <c r="R34679"/>
      <c r="S34679"/>
      <c r="T34679"/>
      <c r="U34679"/>
      <c r="X34679" s="60"/>
    </row>
    <row r="34680" spans="7:24" ht="15" customHeight="1">
      <c r="G34680"/>
      <c r="I34680"/>
      <c r="N34680"/>
      <c r="O34680" s="24"/>
      <c r="P34680"/>
      <c r="Q34680" s="24"/>
      <c r="R34680"/>
      <c r="S34680"/>
      <c r="T34680"/>
      <c r="U34680"/>
      <c r="X34680" s="60"/>
    </row>
    <row r="34681" spans="7:24" ht="15" customHeight="1">
      <c r="G34681"/>
      <c r="I34681"/>
      <c r="N34681"/>
      <c r="O34681" s="24"/>
      <c r="P34681"/>
      <c r="Q34681" s="24"/>
      <c r="R34681"/>
      <c r="S34681"/>
      <c r="T34681"/>
      <c r="U34681"/>
      <c r="X34681" s="60"/>
    </row>
    <row r="34682" spans="7:24" ht="15" customHeight="1">
      <c r="G34682"/>
      <c r="I34682"/>
      <c r="N34682"/>
      <c r="O34682" s="24"/>
      <c r="P34682"/>
      <c r="Q34682" s="24"/>
      <c r="R34682"/>
      <c r="S34682"/>
      <c r="T34682"/>
      <c r="U34682"/>
      <c r="X34682" s="60"/>
    </row>
    <row r="34683" spans="7:24" ht="15" customHeight="1">
      <c r="G34683"/>
      <c r="I34683"/>
      <c r="N34683"/>
      <c r="O34683" s="24"/>
      <c r="P34683"/>
      <c r="Q34683" s="24"/>
      <c r="R34683"/>
      <c r="S34683"/>
      <c r="T34683"/>
      <c r="U34683"/>
      <c r="X34683" s="60"/>
    </row>
    <row r="34684" spans="7:24" ht="15" customHeight="1">
      <c r="G34684"/>
      <c r="I34684"/>
      <c r="N34684"/>
      <c r="O34684" s="24"/>
      <c r="P34684"/>
      <c r="Q34684" s="24"/>
      <c r="R34684"/>
      <c r="S34684"/>
      <c r="T34684"/>
      <c r="U34684"/>
      <c r="X34684" s="60"/>
    </row>
    <row r="34685" spans="7:24" ht="15" customHeight="1">
      <c r="G34685"/>
      <c r="I34685"/>
      <c r="N34685"/>
      <c r="O34685" s="24"/>
      <c r="P34685"/>
      <c r="Q34685" s="24"/>
      <c r="R34685"/>
      <c r="S34685"/>
      <c r="T34685"/>
      <c r="U34685"/>
      <c r="X34685" s="60"/>
    </row>
    <row r="34686" spans="7:24" ht="15" customHeight="1">
      <c r="G34686"/>
      <c r="I34686"/>
      <c r="N34686"/>
      <c r="O34686" s="24"/>
      <c r="P34686"/>
      <c r="Q34686" s="24"/>
      <c r="R34686"/>
      <c r="S34686"/>
      <c r="T34686"/>
      <c r="U34686"/>
      <c r="X34686" s="60"/>
    </row>
    <row r="34687" spans="7:24" ht="15" customHeight="1">
      <c r="G34687"/>
      <c r="I34687"/>
      <c r="N34687"/>
      <c r="O34687" s="24"/>
      <c r="P34687"/>
      <c r="Q34687" s="24"/>
      <c r="R34687"/>
      <c r="S34687"/>
      <c r="T34687"/>
      <c r="U34687"/>
      <c r="X34687" s="60"/>
    </row>
    <row r="34688" spans="7:24" ht="15" customHeight="1">
      <c r="G34688"/>
      <c r="I34688"/>
      <c r="N34688"/>
      <c r="O34688" s="24"/>
      <c r="P34688"/>
      <c r="Q34688" s="24"/>
      <c r="R34688"/>
      <c r="S34688"/>
      <c r="T34688"/>
      <c r="U34688"/>
      <c r="X34688" s="60"/>
    </row>
    <row r="34689" spans="7:24" ht="15" customHeight="1">
      <c r="G34689"/>
      <c r="I34689"/>
      <c r="N34689"/>
      <c r="O34689" s="24"/>
      <c r="P34689"/>
      <c r="Q34689" s="24"/>
      <c r="R34689"/>
      <c r="S34689"/>
      <c r="T34689"/>
      <c r="U34689"/>
      <c r="X34689" s="60"/>
    </row>
    <row r="34690" spans="7:24" ht="15" customHeight="1">
      <c r="G34690"/>
      <c r="I34690"/>
      <c r="N34690"/>
      <c r="O34690" s="24"/>
      <c r="P34690"/>
      <c r="Q34690" s="24"/>
      <c r="R34690"/>
      <c r="S34690"/>
      <c r="T34690"/>
      <c r="U34690"/>
      <c r="X34690" s="60"/>
    </row>
    <row r="34691" spans="7:24" ht="15" customHeight="1">
      <c r="G34691"/>
      <c r="I34691"/>
      <c r="N34691"/>
      <c r="O34691" s="24"/>
      <c r="P34691"/>
      <c r="Q34691" s="24"/>
      <c r="R34691"/>
      <c r="S34691"/>
      <c r="T34691"/>
      <c r="U34691"/>
      <c r="X34691" s="60"/>
    </row>
    <row r="34692" spans="7:24" ht="15" customHeight="1">
      <c r="G34692"/>
      <c r="I34692"/>
      <c r="N34692"/>
      <c r="O34692" s="24"/>
      <c r="P34692"/>
      <c r="Q34692" s="24"/>
      <c r="R34692"/>
      <c r="S34692"/>
      <c r="T34692"/>
      <c r="U34692"/>
      <c r="X34692" s="60"/>
    </row>
    <row r="34693" spans="7:24" ht="15" customHeight="1">
      <c r="G34693"/>
      <c r="I34693"/>
      <c r="N34693"/>
      <c r="O34693" s="24"/>
      <c r="P34693"/>
      <c r="Q34693" s="24"/>
      <c r="R34693"/>
      <c r="S34693"/>
      <c r="T34693"/>
      <c r="U34693"/>
      <c r="X34693" s="60"/>
    </row>
    <row r="34694" spans="7:24" ht="15" customHeight="1">
      <c r="G34694"/>
      <c r="I34694"/>
      <c r="N34694"/>
      <c r="O34694" s="24"/>
      <c r="P34694"/>
      <c r="Q34694" s="24"/>
      <c r="R34694"/>
      <c r="S34694"/>
      <c r="T34694"/>
      <c r="U34694"/>
      <c r="X34694" s="60"/>
    </row>
    <row r="34695" spans="7:24" ht="15" customHeight="1">
      <c r="G34695"/>
      <c r="I34695"/>
      <c r="N34695"/>
      <c r="O34695" s="24"/>
      <c r="P34695"/>
      <c r="Q34695" s="24"/>
      <c r="R34695"/>
      <c r="S34695"/>
      <c r="T34695"/>
      <c r="U34695"/>
      <c r="X34695" s="60"/>
    </row>
    <row r="34696" spans="7:24" ht="15" customHeight="1">
      <c r="G34696"/>
      <c r="I34696"/>
      <c r="N34696"/>
      <c r="O34696" s="24"/>
      <c r="P34696"/>
      <c r="Q34696" s="24"/>
      <c r="R34696"/>
      <c r="S34696"/>
      <c r="T34696"/>
      <c r="U34696"/>
      <c r="X34696" s="60"/>
    </row>
    <row r="34697" spans="7:24" ht="15" customHeight="1">
      <c r="G34697"/>
      <c r="I34697"/>
      <c r="N34697"/>
      <c r="O34697" s="24"/>
      <c r="P34697"/>
      <c r="Q34697" s="24"/>
      <c r="R34697"/>
      <c r="S34697"/>
      <c r="T34697"/>
      <c r="U34697"/>
      <c r="X34697" s="60"/>
    </row>
    <row r="34698" spans="7:24" ht="15" customHeight="1">
      <c r="G34698"/>
      <c r="I34698"/>
      <c r="N34698"/>
      <c r="O34698" s="24"/>
      <c r="P34698"/>
      <c r="Q34698" s="24"/>
      <c r="R34698"/>
      <c r="S34698"/>
      <c r="T34698"/>
      <c r="U34698"/>
      <c r="X34698" s="60"/>
    </row>
    <row r="34699" spans="7:24" ht="15" customHeight="1">
      <c r="G34699"/>
      <c r="I34699"/>
      <c r="N34699"/>
      <c r="O34699" s="24"/>
      <c r="P34699"/>
      <c r="Q34699" s="24"/>
      <c r="R34699"/>
      <c r="S34699"/>
      <c r="T34699"/>
      <c r="U34699"/>
      <c r="X34699" s="60"/>
    </row>
    <row r="34700" spans="7:24" ht="15" customHeight="1">
      <c r="G34700"/>
      <c r="I34700"/>
      <c r="N34700"/>
      <c r="O34700" s="24"/>
      <c r="P34700"/>
      <c r="Q34700" s="24"/>
      <c r="R34700"/>
      <c r="S34700"/>
      <c r="T34700"/>
      <c r="U34700"/>
      <c r="X34700" s="60"/>
    </row>
    <row r="34701" spans="7:24" ht="15" customHeight="1">
      <c r="G34701"/>
      <c r="I34701"/>
      <c r="N34701"/>
      <c r="O34701" s="24"/>
      <c r="P34701"/>
      <c r="Q34701" s="24"/>
      <c r="R34701"/>
      <c r="S34701"/>
      <c r="T34701"/>
      <c r="U34701"/>
      <c r="X34701" s="60"/>
    </row>
    <row r="34702" spans="7:24" ht="15" customHeight="1">
      <c r="G34702"/>
      <c r="I34702"/>
      <c r="N34702"/>
      <c r="O34702" s="24"/>
      <c r="P34702"/>
      <c r="Q34702" s="24"/>
      <c r="R34702"/>
      <c r="S34702"/>
      <c r="T34702"/>
      <c r="U34702"/>
      <c r="X34702" s="60"/>
    </row>
    <row r="34703" spans="7:24" ht="15" customHeight="1">
      <c r="G34703"/>
      <c r="I34703"/>
      <c r="N34703"/>
      <c r="O34703" s="24"/>
      <c r="P34703"/>
      <c r="Q34703" s="24"/>
      <c r="R34703"/>
      <c r="S34703"/>
      <c r="T34703"/>
      <c r="U34703"/>
      <c r="X34703" s="60"/>
    </row>
    <row r="34704" spans="7:24" ht="15" customHeight="1">
      <c r="G34704"/>
      <c r="I34704"/>
      <c r="N34704"/>
      <c r="O34704" s="24"/>
      <c r="P34704"/>
      <c r="Q34704" s="24"/>
      <c r="R34704"/>
      <c r="S34704"/>
      <c r="T34704"/>
      <c r="U34704"/>
      <c r="X34704" s="60"/>
    </row>
    <row r="34705" spans="7:24" ht="15" customHeight="1">
      <c r="G34705"/>
      <c r="I34705"/>
      <c r="N34705"/>
      <c r="O34705" s="24"/>
      <c r="P34705"/>
      <c r="Q34705" s="24"/>
      <c r="R34705"/>
      <c r="S34705"/>
      <c r="T34705"/>
      <c r="U34705"/>
      <c r="X34705" s="60"/>
    </row>
    <row r="34706" spans="7:24" ht="15" customHeight="1">
      <c r="G34706"/>
      <c r="I34706"/>
      <c r="N34706"/>
      <c r="O34706" s="24"/>
      <c r="P34706"/>
      <c r="Q34706" s="24"/>
      <c r="R34706"/>
      <c r="S34706"/>
      <c r="T34706"/>
      <c r="U34706"/>
      <c r="X34706" s="60"/>
    </row>
    <row r="34707" spans="7:24" ht="15" customHeight="1">
      <c r="G34707"/>
      <c r="I34707"/>
      <c r="N34707"/>
      <c r="O34707" s="24"/>
      <c r="P34707"/>
      <c r="Q34707" s="24"/>
      <c r="R34707"/>
      <c r="S34707"/>
      <c r="T34707"/>
      <c r="U34707"/>
      <c r="X34707" s="60"/>
    </row>
    <row r="34708" spans="7:24" ht="15" customHeight="1">
      <c r="G34708"/>
      <c r="I34708"/>
      <c r="N34708"/>
      <c r="O34708" s="24"/>
      <c r="P34708"/>
      <c r="Q34708" s="24"/>
      <c r="R34708"/>
      <c r="S34708"/>
      <c r="T34708"/>
      <c r="U34708"/>
      <c r="X34708" s="60"/>
    </row>
    <row r="34709" spans="7:24" ht="15" customHeight="1">
      <c r="G34709"/>
      <c r="I34709"/>
      <c r="N34709"/>
      <c r="O34709" s="24"/>
      <c r="P34709"/>
      <c r="Q34709" s="24"/>
      <c r="R34709"/>
      <c r="S34709"/>
      <c r="T34709"/>
      <c r="U34709"/>
      <c r="X34709" s="60"/>
    </row>
    <row r="34710" spans="7:24" ht="15" customHeight="1">
      <c r="G34710"/>
      <c r="I34710"/>
      <c r="N34710"/>
      <c r="O34710" s="24"/>
      <c r="P34710"/>
      <c r="Q34710" s="24"/>
      <c r="R34710"/>
      <c r="S34710"/>
      <c r="T34710"/>
      <c r="U34710"/>
      <c r="X34710" s="60"/>
    </row>
    <row r="34711" spans="7:24" ht="15" customHeight="1">
      <c r="G34711"/>
      <c r="I34711"/>
      <c r="N34711"/>
      <c r="O34711" s="24"/>
      <c r="P34711"/>
      <c r="Q34711" s="24"/>
      <c r="R34711"/>
      <c r="S34711"/>
      <c r="T34711"/>
      <c r="U34711"/>
      <c r="X34711" s="60"/>
    </row>
    <row r="34712" spans="7:24" ht="15" customHeight="1">
      <c r="G34712"/>
      <c r="I34712"/>
      <c r="N34712"/>
      <c r="O34712" s="24"/>
      <c r="P34712"/>
      <c r="Q34712" s="24"/>
      <c r="R34712"/>
      <c r="S34712"/>
      <c r="T34712"/>
      <c r="U34712"/>
      <c r="X34712" s="60"/>
    </row>
    <row r="34713" spans="7:24" ht="15" customHeight="1">
      <c r="G34713"/>
      <c r="I34713"/>
      <c r="N34713"/>
      <c r="O34713" s="24"/>
      <c r="P34713"/>
      <c r="Q34713" s="24"/>
      <c r="R34713"/>
      <c r="S34713"/>
      <c r="T34713"/>
      <c r="U34713"/>
      <c r="X34713" s="60"/>
    </row>
    <row r="34714" spans="7:24" ht="15" customHeight="1">
      <c r="G34714"/>
      <c r="I34714"/>
      <c r="N34714"/>
      <c r="O34714" s="24"/>
      <c r="P34714"/>
      <c r="Q34714" s="24"/>
      <c r="R34714"/>
      <c r="S34714"/>
      <c r="T34714"/>
      <c r="U34714"/>
      <c r="X34714" s="60"/>
    </row>
    <row r="34715" spans="7:24" ht="15" customHeight="1">
      <c r="G34715"/>
      <c r="I34715"/>
      <c r="N34715"/>
      <c r="O34715" s="24"/>
      <c r="P34715"/>
      <c r="Q34715" s="24"/>
      <c r="R34715"/>
      <c r="S34715"/>
      <c r="T34715"/>
      <c r="U34715"/>
      <c r="X34715" s="60"/>
    </row>
    <row r="34716" spans="7:24" ht="15" customHeight="1">
      <c r="G34716"/>
      <c r="I34716"/>
      <c r="N34716"/>
      <c r="O34716" s="24"/>
      <c r="P34716"/>
      <c r="Q34716" s="24"/>
      <c r="R34716"/>
      <c r="S34716"/>
      <c r="T34716"/>
      <c r="U34716"/>
      <c r="X34716" s="60"/>
    </row>
    <row r="34717" spans="7:24" ht="15" customHeight="1">
      <c r="G34717"/>
      <c r="I34717"/>
      <c r="N34717"/>
      <c r="O34717" s="24"/>
      <c r="P34717"/>
      <c r="Q34717" s="24"/>
      <c r="R34717"/>
      <c r="S34717"/>
      <c r="T34717"/>
      <c r="U34717"/>
      <c r="X34717" s="60"/>
    </row>
    <row r="34718" spans="7:24" ht="15" customHeight="1">
      <c r="G34718"/>
      <c r="I34718"/>
      <c r="N34718"/>
      <c r="O34718" s="24"/>
      <c r="P34718"/>
      <c r="Q34718" s="24"/>
      <c r="R34718"/>
      <c r="S34718"/>
      <c r="T34718"/>
      <c r="U34718"/>
      <c r="X34718" s="60"/>
    </row>
    <row r="34719" spans="7:24" ht="15" customHeight="1">
      <c r="G34719"/>
      <c r="I34719"/>
      <c r="N34719"/>
      <c r="O34719" s="24"/>
      <c r="P34719"/>
      <c r="Q34719" s="24"/>
      <c r="R34719"/>
      <c r="S34719"/>
      <c r="T34719"/>
      <c r="U34719"/>
      <c r="X34719" s="60"/>
    </row>
    <row r="34720" spans="7:24" ht="15" customHeight="1">
      <c r="G34720"/>
      <c r="I34720"/>
      <c r="N34720"/>
      <c r="O34720" s="24"/>
      <c r="P34720"/>
      <c r="Q34720" s="24"/>
      <c r="R34720"/>
      <c r="S34720"/>
      <c r="T34720"/>
      <c r="U34720"/>
      <c r="X34720" s="60"/>
    </row>
    <row r="34721" spans="7:24" ht="15" customHeight="1">
      <c r="G34721"/>
      <c r="I34721"/>
      <c r="N34721"/>
      <c r="O34721" s="24"/>
      <c r="P34721"/>
      <c r="Q34721" s="24"/>
      <c r="R34721"/>
      <c r="S34721"/>
      <c r="T34721"/>
      <c r="U34721"/>
      <c r="X34721" s="60"/>
    </row>
    <row r="34722" spans="7:24" ht="15" customHeight="1">
      <c r="G34722"/>
      <c r="I34722"/>
      <c r="N34722"/>
      <c r="O34722" s="24"/>
      <c r="P34722"/>
      <c r="Q34722" s="24"/>
      <c r="R34722"/>
      <c r="S34722"/>
      <c r="T34722"/>
      <c r="U34722"/>
      <c r="X34722" s="60"/>
    </row>
    <row r="34723" spans="7:24" ht="15" customHeight="1">
      <c r="G34723"/>
      <c r="I34723"/>
      <c r="N34723"/>
      <c r="O34723" s="24"/>
      <c r="P34723"/>
      <c r="Q34723" s="24"/>
      <c r="R34723"/>
      <c r="S34723"/>
      <c r="T34723"/>
      <c r="U34723"/>
      <c r="X34723" s="60"/>
    </row>
    <row r="34724" spans="7:24" ht="15" customHeight="1">
      <c r="G34724"/>
      <c r="I34724"/>
      <c r="N34724"/>
      <c r="O34724" s="24"/>
      <c r="P34724"/>
      <c r="Q34724" s="24"/>
      <c r="R34724"/>
      <c r="S34724"/>
      <c r="T34724"/>
      <c r="U34724"/>
      <c r="X34724" s="60"/>
    </row>
    <row r="34725" spans="7:24" ht="15" customHeight="1">
      <c r="G34725"/>
      <c r="I34725"/>
      <c r="N34725"/>
      <c r="O34725" s="24"/>
      <c r="P34725"/>
      <c r="Q34725" s="24"/>
      <c r="R34725"/>
      <c r="S34725"/>
      <c r="T34725"/>
      <c r="U34725"/>
      <c r="X34725" s="60"/>
    </row>
    <row r="34726" spans="7:24" ht="15" customHeight="1">
      <c r="G34726"/>
      <c r="I34726"/>
      <c r="N34726"/>
      <c r="O34726" s="24"/>
      <c r="P34726"/>
      <c r="Q34726" s="24"/>
      <c r="R34726"/>
      <c r="S34726"/>
      <c r="T34726"/>
      <c r="U34726"/>
      <c r="X34726" s="60"/>
    </row>
    <row r="34727" spans="7:24" ht="15" customHeight="1">
      <c r="G34727"/>
      <c r="I34727"/>
      <c r="N34727"/>
      <c r="O34727" s="24"/>
      <c r="P34727"/>
      <c r="Q34727" s="24"/>
      <c r="R34727"/>
      <c r="S34727"/>
      <c r="T34727"/>
      <c r="U34727"/>
      <c r="X34727" s="60"/>
    </row>
    <row r="34728" spans="7:24" ht="15" customHeight="1">
      <c r="G34728"/>
      <c r="I34728"/>
      <c r="N34728"/>
      <c r="O34728" s="24"/>
      <c r="P34728"/>
      <c r="Q34728" s="24"/>
      <c r="R34728"/>
      <c r="S34728"/>
      <c r="T34728"/>
      <c r="U34728"/>
      <c r="X34728" s="60"/>
    </row>
    <row r="34729" spans="7:24" ht="15" customHeight="1">
      <c r="G34729"/>
      <c r="I34729"/>
      <c r="N34729"/>
      <c r="O34729" s="24"/>
      <c r="P34729"/>
      <c r="Q34729" s="24"/>
      <c r="R34729"/>
      <c r="S34729"/>
      <c r="T34729"/>
      <c r="U34729"/>
      <c r="X34729" s="60"/>
    </row>
    <row r="34730" spans="7:24" ht="15" customHeight="1">
      <c r="G34730"/>
      <c r="I34730"/>
      <c r="N34730"/>
      <c r="O34730" s="24"/>
      <c r="P34730"/>
      <c r="Q34730" s="24"/>
      <c r="R34730"/>
      <c r="S34730"/>
      <c r="T34730"/>
      <c r="U34730"/>
      <c r="X34730" s="60"/>
    </row>
    <row r="34731" spans="7:24" ht="15" customHeight="1">
      <c r="G34731"/>
      <c r="I34731"/>
      <c r="N34731"/>
      <c r="O34731" s="24"/>
      <c r="P34731"/>
      <c r="Q34731" s="24"/>
      <c r="R34731"/>
      <c r="S34731"/>
      <c r="T34731"/>
      <c r="U34731"/>
      <c r="X34731" s="60"/>
    </row>
    <row r="34732" spans="7:24" ht="15" customHeight="1">
      <c r="G34732"/>
      <c r="I34732"/>
      <c r="N34732"/>
      <c r="O34732" s="24"/>
      <c r="P34732"/>
      <c r="Q34732" s="24"/>
      <c r="R34732"/>
      <c r="S34732"/>
      <c r="T34732"/>
      <c r="U34732"/>
      <c r="X34732" s="60"/>
    </row>
    <row r="34733" spans="7:24" ht="15" customHeight="1">
      <c r="G34733"/>
      <c r="I34733"/>
      <c r="N34733"/>
      <c r="O34733" s="24"/>
      <c r="P34733"/>
      <c r="Q34733" s="24"/>
      <c r="R34733"/>
      <c r="S34733"/>
      <c r="T34733"/>
      <c r="U34733"/>
      <c r="X34733" s="60"/>
    </row>
    <row r="34734" spans="7:24" ht="15" customHeight="1">
      <c r="G34734"/>
      <c r="I34734"/>
      <c r="N34734"/>
      <c r="O34734" s="24"/>
      <c r="P34734"/>
      <c r="Q34734" s="24"/>
      <c r="R34734"/>
      <c r="S34734"/>
      <c r="T34734"/>
      <c r="U34734"/>
      <c r="X34734" s="60"/>
    </row>
    <row r="34735" spans="7:24" ht="15" customHeight="1">
      <c r="G34735"/>
      <c r="I34735"/>
      <c r="N34735"/>
      <c r="O34735" s="24"/>
      <c r="P34735"/>
      <c r="Q34735" s="24"/>
      <c r="R34735"/>
      <c r="S34735"/>
      <c r="T34735"/>
      <c r="U34735"/>
      <c r="X34735" s="60"/>
    </row>
    <row r="34736" spans="7:24" ht="15" customHeight="1">
      <c r="G34736"/>
      <c r="I34736"/>
      <c r="N34736"/>
      <c r="O34736" s="24"/>
      <c r="P34736"/>
      <c r="Q34736" s="24"/>
      <c r="R34736"/>
      <c r="S34736"/>
      <c r="T34736"/>
      <c r="U34736"/>
      <c r="X34736" s="60"/>
    </row>
    <row r="34737" spans="7:24" ht="15" customHeight="1">
      <c r="G34737"/>
      <c r="I34737"/>
      <c r="N34737"/>
      <c r="O34737" s="24"/>
      <c r="P34737"/>
      <c r="Q34737" s="24"/>
      <c r="R34737"/>
      <c r="S34737"/>
      <c r="T34737"/>
      <c r="U34737"/>
      <c r="X34737" s="60"/>
    </row>
    <row r="34738" spans="7:24" ht="15" customHeight="1">
      <c r="G34738"/>
      <c r="I34738"/>
      <c r="N34738"/>
      <c r="O34738" s="24"/>
      <c r="P34738"/>
      <c r="Q34738" s="24"/>
      <c r="R34738"/>
      <c r="S34738"/>
      <c r="T34738"/>
      <c r="U34738"/>
      <c r="X34738" s="60"/>
    </row>
    <row r="34739" spans="7:24" ht="15" customHeight="1">
      <c r="G34739"/>
      <c r="I34739"/>
      <c r="N34739"/>
      <c r="O34739" s="24"/>
      <c r="P34739"/>
      <c r="Q34739" s="24"/>
      <c r="R34739"/>
      <c r="S34739"/>
      <c r="T34739"/>
      <c r="U34739"/>
      <c r="X34739" s="60"/>
    </row>
    <row r="34740" spans="7:24" ht="15" customHeight="1">
      <c r="G34740"/>
      <c r="I34740"/>
      <c r="N34740"/>
      <c r="O34740" s="24"/>
      <c r="P34740"/>
      <c r="Q34740" s="24"/>
      <c r="R34740"/>
      <c r="S34740"/>
      <c r="T34740"/>
      <c r="U34740"/>
      <c r="X34740" s="60"/>
    </row>
    <row r="34741" spans="7:24" ht="15" customHeight="1">
      <c r="G34741"/>
      <c r="I34741"/>
      <c r="N34741"/>
      <c r="O34741" s="24"/>
      <c r="P34741"/>
      <c r="Q34741" s="24"/>
      <c r="R34741"/>
      <c r="S34741"/>
      <c r="T34741"/>
      <c r="U34741"/>
      <c r="X34741" s="60"/>
    </row>
    <row r="34742" spans="7:24" ht="15" customHeight="1">
      <c r="G34742"/>
      <c r="I34742"/>
      <c r="N34742"/>
      <c r="O34742" s="24"/>
      <c r="P34742"/>
      <c r="Q34742" s="24"/>
      <c r="R34742"/>
      <c r="S34742"/>
      <c r="T34742"/>
      <c r="U34742"/>
      <c r="X34742" s="60"/>
    </row>
    <row r="34743" spans="7:24" ht="15" customHeight="1">
      <c r="G34743"/>
      <c r="I34743"/>
      <c r="N34743"/>
      <c r="O34743" s="24"/>
      <c r="P34743"/>
      <c r="Q34743" s="24"/>
      <c r="R34743"/>
      <c r="S34743"/>
      <c r="T34743"/>
      <c r="U34743"/>
      <c r="X34743" s="60"/>
    </row>
    <row r="34744" spans="7:24" ht="15" customHeight="1">
      <c r="G34744"/>
      <c r="I34744"/>
      <c r="N34744"/>
      <c r="O34744" s="24"/>
      <c r="P34744"/>
      <c r="Q34744" s="24"/>
      <c r="R34744"/>
      <c r="S34744"/>
      <c r="T34744"/>
      <c r="U34744"/>
      <c r="X34744" s="60"/>
    </row>
    <row r="34745" spans="7:24" ht="15" customHeight="1">
      <c r="G34745"/>
      <c r="I34745"/>
      <c r="N34745"/>
      <c r="O34745" s="24"/>
      <c r="P34745"/>
      <c r="Q34745" s="24"/>
      <c r="R34745"/>
      <c r="S34745"/>
      <c r="T34745"/>
      <c r="U34745"/>
      <c r="X34745" s="60"/>
    </row>
    <row r="34746" spans="7:24" ht="15" customHeight="1">
      <c r="G34746"/>
      <c r="I34746"/>
      <c r="N34746"/>
      <c r="O34746" s="24"/>
      <c r="P34746"/>
      <c r="Q34746" s="24"/>
      <c r="R34746"/>
      <c r="S34746"/>
      <c r="T34746"/>
      <c r="U34746"/>
      <c r="X34746" s="60"/>
    </row>
    <row r="34747" spans="7:24" ht="15" customHeight="1">
      <c r="G34747"/>
      <c r="I34747"/>
      <c r="N34747"/>
      <c r="O34747" s="24"/>
      <c r="P34747"/>
      <c r="Q34747" s="24"/>
      <c r="R34747"/>
      <c r="S34747"/>
      <c r="T34747"/>
      <c r="U34747"/>
      <c r="X34747" s="60"/>
    </row>
    <row r="34748" spans="7:24" ht="15" customHeight="1">
      <c r="G34748"/>
      <c r="I34748"/>
      <c r="N34748"/>
      <c r="O34748" s="24"/>
      <c r="P34748"/>
      <c r="Q34748" s="24"/>
      <c r="R34748"/>
      <c r="S34748"/>
      <c r="T34748"/>
      <c r="U34748"/>
      <c r="X34748" s="60"/>
    </row>
    <row r="34749" spans="7:24" ht="15" customHeight="1">
      <c r="G34749"/>
      <c r="I34749"/>
      <c r="N34749"/>
      <c r="O34749" s="24"/>
      <c r="P34749"/>
      <c r="Q34749" s="24"/>
      <c r="R34749"/>
      <c r="S34749"/>
      <c r="T34749"/>
      <c r="U34749"/>
      <c r="X34749" s="60"/>
    </row>
    <row r="34750" spans="7:24" ht="15" customHeight="1">
      <c r="G34750"/>
      <c r="I34750"/>
      <c r="N34750"/>
      <c r="O34750" s="24"/>
      <c r="P34750"/>
      <c r="Q34750" s="24"/>
      <c r="R34750"/>
      <c r="S34750"/>
      <c r="T34750"/>
      <c r="U34750"/>
      <c r="X34750" s="60"/>
    </row>
    <row r="34751" spans="7:24" ht="15" customHeight="1">
      <c r="G34751"/>
      <c r="I34751"/>
      <c r="N34751"/>
      <c r="O34751" s="24"/>
      <c r="P34751"/>
      <c r="Q34751" s="24"/>
      <c r="R34751"/>
      <c r="S34751"/>
      <c r="T34751"/>
      <c r="U34751"/>
      <c r="X34751" s="60"/>
    </row>
    <row r="34752" spans="7:24" ht="15" customHeight="1">
      <c r="G34752"/>
      <c r="I34752"/>
      <c r="N34752"/>
      <c r="O34752" s="24"/>
      <c r="P34752"/>
      <c r="Q34752" s="24"/>
      <c r="R34752"/>
      <c r="S34752"/>
      <c r="T34752"/>
      <c r="U34752"/>
      <c r="X34752" s="60"/>
    </row>
    <row r="34753" spans="7:24" ht="15" customHeight="1">
      <c r="G34753"/>
      <c r="I34753"/>
      <c r="N34753"/>
      <c r="O34753" s="24"/>
      <c r="P34753"/>
      <c r="Q34753" s="24"/>
      <c r="R34753"/>
      <c r="S34753"/>
      <c r="T34753"/>
      <c r="U34753"/>
      <c r="X34753" s="60"/>
    </row>
    <row r="34754" spans="7:24" ht="15" customHeight="1">
      <c r="G34754"/>
      <c r="I34754"/>
      <c r="N34754"/>
      <c r="O34754" s="24"/>
      <c r="P34754"/>
      <c r="Q34754" s="24"/>
      <c r="R34754"/>
      <c r="S34754"/>
      <c r="T34754"/>
      <c r="U34754"/>
      <c r="X34754" s="60"/>
    </row>
    <row r="34755" spans="7:24" ht="15" customHeight="1">
      <c r="G34755"/>
      <c r="I34755"/>
      <c r="N34755"/>
      <c r="O34755" s="24"/>
      <c r="P34755"/>
      <c r="Q34755" s="24"/>
      <c r="R34755"/>
      <c r="S34755"/>
      <c r="T34755"/>
      <c r="U34755"/>
      <c r="X34755" s="60"/>
    </row>
    <row r="34756" spans="7:24" ht="15" customHeight="1">
      <c r="G34756"/>
      <c r="I34756"/>
      <c r="N34756"/>
      <c r="O34756" s="24"/>
      <c r="P34756"/>
      <c r="Q34756" s="24"/>
      <c r="R34756"/>
      <c r="S34756"/>
      <c r="T34756"/>
      <c r="U34756"/>
      <c r="X34756" s="60"/>
    </row>
    <row r="34757" spans="7:24" ht="15" customHeight="1">
      <c r="G34757"/>
      <c r="I34757"/>
      <c r="N34757"/>
      <c r="O34757" s="24"/>
      <c r="P34757"/>
      <c r="Q34757" s="24"/>
      <c r="R34757"/>
      <c r="S34757"/>
      <c r="T34757"/>
      <c r="U34757"/>
      <c r="X34757" s="60"/>
    </row>
    <row r="34758" spans="7:24" ht="15" customHeight="1">
      <c r="G34758"/>
      <c r="I34758"/>
      <c r="N34758"/>
      <c r="O34758" s="24"/>
      <c r="P34758"/>
      <c r="Q34758" s="24"/>
      <c r="R34758"/>
      <c r="S34758"/>
      <c r="T34758"/>
      <c r="U34758"/>
      <c r="X34758" s="60"/>
    </row>
    <row r="34759" spans="7:24" ht="15" customHeight="1">
      <c r="G34759"/>
      <c r="I34759"/>
      <c r="N34759"/>
      <c r="O34759" s="24"/>
      <c r="P34759"/>
      <c r="Q34759" s="24"/>
      <c r="R34759"/>
      <c r="S34759"/>
      <c r="T34759"/>
      <c r="U34759"/>
      <c r="X34759" s="60"/>
    </row>
    <row r="34760" spans="7:24" ht="15" customHeight="1">
      <c r="G34760"/>
      <c r="I34760"/>
      <c r="N34760"/>
      <c r="O34760" s="24"/>
      <c r="P34760"/>
      <c r="Q34760" s="24"/>
      <c r="R34760"/>
      <c r="S34760"/>
      <c r="T34760"/>
      <c r="U34760"/>
      <c r="X34760" s="60"/>
    </row>
    <row r="34761" spans="7:24" ht="15" customHeight="1">
      <c r="G34761"/>
      <c r="I34761"/>
      <c r="N34761"/>
      <c r="O34761" s="24"/>
      <c r="P34761"/>
      <c r="Q34761" s="24"/>
      <c r="R34761"/>
      <c r="S34761"/>
      <c r="T34761"/>
      <c r="U34761"/>
      <c r="X34761" s="60"/>
    </row>
    <row r="34762" spans="7:24" ht="15" customHeight="1">
      <c r="G34762"/>
      <c r="I34762"/>
      <c r="N34762"/>
      <c r="O34762" s="24"/>
      <c r="P34762"/>
      <c r="Q34762" s="24"/>
      <c r="R34762"/>
      <c r="S34762"/>
      <c r="T34762"/>
      <c r="U34762"/>
      <c r="X34762" s="60"/>
    </row>
    <row r="34763" spans="7:24" ht="15" customHeight="1">
      <c r="G34763"/>
      <c r="I34763"/>
      <c r="N34763"/>
      <c r="O34763" s="24"/>
      <c r="P34763"/>
      <c r="Q34763" s="24"/>
      <c r="R34763"/>
      <c r="S34763"/>
      <c r="T34763"/>
      <c r="U34763"/>
      <c r="X34763" s="60"/>
    </row>
    <row r="34764" spans="7:24" ht="15" customHeight="1">
      <c r="G34764"/>
      <c r="I34764"/>
      <c r="N34764"/>
      <c r="O34764" s="24"/>
      <c r="P34764"/>
      <c r="Q34764" s="24"/>
      <c r="R34764"/>
      <c r="S34764"/>
      <c r="T34764"/>
      <c r="U34764"/>
      <c r="X34764" s="60"/>
    </row>
    <row r="34765" spans="7:24" ht="15" customHeight="1">
      <c r="G34765"/>
      <c r="I34765"/>
      <c r="N34765"/>
      <c r="O34765" s="24"/>
      <c r="P34765"/>
      <c r="Q34765" s="24"/>
      <c r="R34765"/>
      <c r="S34765"/>
      <c r="T34765"/>
      <c r="U34765"/>
      <c r="X34765" s="60"/>
    </row>
    <row r="34766" spans="7:24" ht="15" customHeight="1">
      <c r="G34766"/>
      <c r="I34766"/>
      <c r="N34766"/>
      <c r="O34766" s="24"/>
      <c r="P34766"/>
      <c r="Q34766" s="24"/>
      <c r="R34766"/>
      <c r="S34766"/>
      <c r="T34766"/>
      <c r="U34766"/>
      <c r="X34766" s="60"/>
    </row>
    <row r="34767" spans="7:24" ht="15" customHeight="1">
      <c r="G34767"/>
      <c r="I34767"/>
      <c r="N34767"/>
      <c r="O34767" s="24"/>
      <c r="P34767"/>
      <c r="Q34767" s="24"/>
      <c r="R34767"/>
      <c r="S34767"/>
      <c r="T34767"/>
      <c r="U34767"/>
      <c r="X34767" s="60"/>
    </row>
    <row r="34768" spans="7:24" ht="15" customHeight="1">
      <c r="G34768"/>
      <c r="I34768"/>
      <c r="N34768"/>
      <c r="O34768" s="24"/>
      <c r="P34768"/>
      <c r="Q34768" s="24"/>
      <c r="R34768"/>
      <c r="S34768"/>
      <c r="T34768"/>
      <c r="U34768"/>
      <c r="X34768" s="60"/>
    </row>
    <row r="34769" spans="7:24" ht="15" customHeight="1">
      <c r="G34769"/>
      <c r="I34769"/>
      <c r="N34769"/>
      <c r="O34769" s="24"/>
      <c r="P34769"/>
      <c r="Q34769" s="24"/>
      <c r="R34769"/>
      <c r="S34769"/>
      <c r="T34769"/>
      <c r="U34769"/>
      <c r="X34769" s="60"/>
    </row>
    <row r="34770" spans="7:24" ht="15" customHeight="1">
      <c r="G34770"/>
      <c r="I34770"/>
      <c r="N34770"/>
      <c r="O34770" s="24"/>
      <c r="P34770"/>
      <c r="Q34770" s="24"/>
      <c r="R34770"/>
      <c r="S34770"/>
      <c r="T34770"/>
      <c r="U34770"/>
      <c r="X34770" s="60"/>
    </row>
    <row r="34771" spans="7:24" ht="15" customHeight="1">
      <c r="G34771"/>
      <c r="I34771"/>
      <c r="N34771"/>
      <c r="O34771" s="24"/>
      <c r="P34771"/>
      <c r="Q34771" s="24"/>
      <c r="R34771"/>
      <c r="S34771"/>
      <c r="T34771"/>
      <c r="U34771"/>
      <c r="X34771" s="60"/>
    </row>
    <row r="34772" spans="7:24" ht="15" customHeight="1">
      <c r="G34772"/>
      <c r="I34772"/>
      <c r="N34772"/>
      <c r="O34772" s="24"/>
      <c r="P34772"/>
      <c r="Q34772" s="24"/>
      <c r="R34772"/>
      <c r="S34772"/>
      <c r="T34772"/>
      <c r="U34772"/>
      <c r="X34772" s="60"/>
    </row>
    <row r="34773" spans="7:24" ht="15" customHeight="1">
      <c r="G34773"/>
      <c r="I34773"/>
      <c r="N34773"/>
      <c r="O34773" s="24"/>
      <c r="P34773"/>
      <c r="Q34773" s="24"/>
      <c r="R34773"/>
      <c r="S34773"/>
      <c r="T34773"/>
      <c r="U34773"/>
      <c r="X34773" s="60"/>
    </row>
    <row r="34774" spans="7:24" ht="15" customHeight="1">
      <c r="G34774"/>
      <c r="I34774"/>
      <c r="N34774"/>
      <c r="O34774" s="24"/>
      <c r="P34774"/>
      <c r="Q34774" s="24"/>
      <c r="R34774"/>
      <c r="S34774"/>
      <c r="T34774"/>
      <c r="U34774"/>
      <c r="X34774" s="60"/>
    </row>
    <row r="34775" spans="7:24" ht="15" customHeight="1">
      <c r="G34775"/>
      <c r="I34775"/>
      <c r="N34775"/>
      <c r="O34775" s="24"/>
      <c r="P34775"/>
      <c r="Q34775" s="24"/>
      <c r="R34775"/>
      <c r="S34775"/>
      <c r="T34775"/>
      <c r="U34775"/>
      <c r="X34775" s="60"/>
    </row>
    <row r="34776" spans="7:24" ht="15" customHeight="1">
      <c r="G34776"/>
      <c r="I34776"/>
      <c r="N34776"/>
      <c r="O34776" s="24"/>
      <c r="P34776"/>
      <c r="Q34776" s="24"/>
      <c r="R34776"/>
      <c r="S34776"/>
      <c r="T34776"/>
      <c r="U34776"/>
      <c r="X34776" s="60"/>
    </row>
    <row r="34777" spans="7:24" ht="15" customHeight="1">
      <c r="G34777"/>
      <c r="I34777"/>
      <c r="N34777"/>
      <c r="O34777" s="24"/>
      <c r="P34777"/>
      <c r="Q34777" s="24"/>
      <c r="R34777"/>
      <c r="S34777"/>
      <c r="T34777"/>
      <c r="U34777"/>
      <c r="X34777" s="60"/>
    </row>
    <row r="34778" spans="7:24" ht="15" customHeight="1">
      <c r="G34778"/>
      <c r="I34778"/>
      <c r="N34778"/>
      <c r="O34778" s="24"/>
      <c r="P34778"/>
      <c r="Q34778" s="24"/>
      <c r="R34778"/>
      <c r="S34778"/>
      <c r="T34778"/>
      <c r="U34778"/>
      <c r="X34778" s="60"/>
    </row>
    <row r="34779" spans="7:24" ht="15" customHeight="1">
      <c r="G34779"/>
      <c r="I34779"/>
      <c r="N34779"/>
      <c r="O34779" s="24"/>
      <c r="P34779"/>
      <c r="Q34779" s="24"/>
      <c r="R34779"/>
      <c r="S34779"/>
      <c r="T34779"/>
      <c r="U34779"/>
      <c r="X34779" s="60"/>
    </row>
    <row r="34780" spans="7:24" ht="15" customHeight="1">
      <c r="G34780"/>
      <c r="I34780"/>
      <c r="N34780"/>
      <c r="O34780" s="24"/>
      <c r="P34780"/>
      <c r="Q34780" s="24"/>
      <c r="R34780"/>
      <c r="S34780"/>
      <c r="T34780"/>
      <c r="U34780"/>
      <c r="X34780" s="60"/>
    </row>
    <row r="34781" spans="7:24" ht="15" customHeight="1">
      <c r="G34781"/>
      <c r="I34781"/>
      <c r="N34781"/>
      <c r="O34781" s="24"/>
      <c r="P34781"/>
      <c r="Q34781" s="24"/>
      <c r="R34781"/>
      <c r="S34781"/>
      <c r="T34781"/>
      <c r="U34781"/>
      <c r="X34781" s="60"/>
    </row>
    <row r="34782" spans="7:24" ht="15" customHeight="1">
      <c r="G34782"/>
      <c r="I34782"/>
      <c r="N34782"/>
      <c r="O34782" s="24"/>
      <c r="P34782"/>
      <c r="Q34782" s="24"/>
      <c r="R34782"/>
      <c r="S34782"/>
      <c r="T34782"/>
      <c r="U34782"/>
      <c r="X34782" s="60"/>
    </row>
    <row r="34783" spans="7:24" ht="15" customHeight="1">
      <c r="G34783"/>
      <c r="I34783"/>
      <c r="N34783"/>
      <c r="O34783" s="24"/>
      <c r="P34783"/>
      <c r="Q34783" s="24"/>
      <c r="R34783"/>
      <c r="S34783"/>
      <c r="T34783"/>
      <c r="U34783"/>
      <c r="X34783" s="60"/>
    </row>
    <row r="34784" spans="7:24" ht="15" customHeight="1">
      <c r="G34784"/>
      <c r="I34784"/>
      <c r="N34784"/>
      <c r="O34784" s="24"/>
      <c r="P34784"/>
      <c r="Q34784" s="24"/>
      <c r="R34784"/>
      <c r="S34784"/>
      <c r="T34784"/>
      <c r="U34784"/>
      <c r="X34784" s="60"/>
    </row>
    <row r="34785" spans="7:24" ht="15" customHeight="1">
      <c r="G34785"/>
      <c r="I34785"/>
      <c r="N34785"/>
      <c r="O34785" s="24"/>
      <c r="P34785"/>
      <c r="Q34785" s="24"/>
      <c r="R34785"/>
      <c r="S34785"/>
      <c r="T34785"/>
      <c r="U34785"/>
      <c r="X34785" s="60"/>
    </row>
    <row r="34786" spans="7:24" ht="15" customHeight="1">
      <c r="G34786"/>
      <c r="I34786"/>
      <c r="N34786"/>
      <c r="O34786" s="24"/>
      <c r="P34786"/>
      <c r="Q34786" s="24"/>
      <c r="R34786"/>
      <c r="S34786"/>
      <c r="T34786"/>
      <c r="U34786"/>
      <c r="X34786" s="60"/>
    </row>
    <row r="34787" spans="7:24" ht="15" customHeight="1">
      <c r="G34787"/>
      <c r="I34787"/>
      <c r="N34787"/>
      <c r="O34787" s="24"/>
      <c r="P34787"/>
      <c r="Q34787" s="24"/>
      <c r="R34787"/>
      <c r="S34787"/>
      <c r="T34787"/>
      <c r="U34787"/>
      <c r="X34787" s="60"/>
    </row>
    <row r="34788" spans="7:24" ht="15" customHeight="1">
      <c r="G34788"/>
      <c r="I34788"/>
      <c r="N34788"/>
      <c r="O34788" s="24"/>
      <c r="P34788"/>
      <c r="Q34788" s="24"/>
      <c r="R34788"/>
      <c r="S34788"/>
      <c r="T34788"/>
      <c r="U34788"/>
      <c r="X34788" s="60"/>
    </row>
    <row r="34789" spans="7:24" ht="15" customHeight="1">
      <c r="G34789"/>
      <c r="I34789"/>
      <c r="N34789"/>
      <c r="O34789" s="24"/>
      <c r="P34789"/>
      <c r="Q34789" s="24"/>
      <c r="R34789"/>
      <c r="S34789"/>
      <c r="T34789"/>
      <c r="U34789"/>
      <c r="X34789" s="60"/>
    </row>
    <row r="34790" spans="7:24" ht="15" customHeight="1">
      <c r="G34790"/>
      <c r="I34790"/>
      <c r="N34790"/>
      <c r="O34790" s="24"/>
      <c r="P34790"/>
      <c r="Q34790" s="24"/>
      <c r="R34790"/>
      <c r="S34790"/>
      <c r="T34790"/>
      <c r="U34790"/>
      <c r="X34790" s="60"/>
    </row>
    <row r="34791" spans="7:24" ht="15" customHeight="1">
      <c r="G34791"/>
      <c r="I34791"/>
      <c r="N34791"/>
      <c r="O34791" s="24"/>
      <c r="P34791"/>
      <c r="Q34791" s="24"/>
      <c r="R34791"/>
      <c r="S34791"/>
      <c r="T34791"/>
      <c r="U34791"/>
      <c r="X34791" s="60"/>
    </row>
    <row r="34792" spans="7:24" ht="15" customHeight="1">
      <c r="G34792"/>
      <c r="I34792"/>
      <c r="N34792"/>
      <c r="O34792" s="24"/>
      <c r="P34792"/>
      <c r="Q34792" s="24"/>
      <c r="R34792"/>
      <c r="S34792"/>
      <c r="T34792"/>
      <c r="U34792"/>
      <c r="X34792" s="60"/>
    </row>
    <row r="34793" spans="7:24" ht="15" customHeight="1">
      <c r="G34793"/>
      <c r="I34793"/>
      <c r="N34793"/>
      <c r="O34793" s="24"/>
      <c r="P34793"/>
      <c r="Q34793" s="24"/>
      <c r="R34793"/>
      <c r="S34793"/>
      <c r="T34793"/>
      <c r="U34793"/>
      <c r="X34793" s="60"/>
    </row>
    <row r="34794" spans="7:24" ht="15" customHeight="1">
      <c r="G34794"/>
      <c r="I34794"/>
      <c r="N34794"/>
      <c r="O34794" s="24"/>
      <c r="P34794"/>
      <c r="Q34794" s="24"/>
      <c r="R34794"/>
      <c r="S34794"/>
      <c r="T34794"/>
      <c r="U34794"/>
      <c r="X34794" s="60"/>
    </row>
    <row r="34795" spans="7:24" ht="15" customHeight="1">
      <c r="G34795"/>
      <c r="I34795"/>
      <c r="N34795"/>
      <c r="O34795" s="24"/>
      <c r="P34795"/>
      <c r="Q34795" s="24"/>
      <c r="R34795"/>
      <c r="S34795"/>
      <c r="T34795"/>
      <c r="U34795"/>
      <c r="X34795" s="60"/>
    </row>
    <row r="34796" spans="7:24" ht="15" customHeight="1">
      <c r="G34796"/>
      <c r="I34796"/>
      <c r="N34796"/>
      <c r="O34796" s="24"/>
      <c r="P34796"/>
      <c r="Q34796" s="24"/>
      <c r="R34796"/>
      <c r="S34796"/>
      <c r="T34796"/>
      <c r="U34796"/>
      <c r="X34796" s="60"/>
    </row>
    <row r="34797" spans="7:24" ht="15" customHeight="1">
      <c r="G34797"/>
      <c r="I34797"/>
      <c r="N34797"/>
      <c r="O34797" s="24"/>
      <c r="P34797"/>
      <c r="Q34797" s="24"/>
      <c r="R34797"/>
      <c r="S34797"/>
      <c r="T34797"/>
      <c r="U34797"/>
      <c r="X34797" s="60"/>
    </row>
    <row r="34798" spans="7:24" ht="15" customHeight="1">
      <c r="G34798"/>
      <c r="I34798"/>
      <c r="N34798"/>
      <c r="O34798" s="24"/>
      <c r="P34798"/>
      <c r="Q34798" s="24"/>
      <c r="R34798"/>
      <c r="S34798"/>
      <c r="T34798"/>
      <c r="U34798"/>
      <c r="X34798" s="60"/>
    </row>
    <row r="34799" spans="7:24" ht="15" customHeight="1">
      <c r="G34799"/>
      <c r="I34799"/>
      <c r="N34799"/>
      <c r="O34799" s="24"/>
      <c r="P34799"/>
      <c r="Q34799" s="24"/>
      <c r="R34799"/>
      <c r="S34799"/>
      <c r="T34799"/>
      <c r="U34799"/>
      <c r="X34799" s="60"/>
    </row>
    <row r="34800" spans="7:24" ht="15" customHeight="1">
      <c r="G34800"/>
      <c r="I34800"/>
      <c r="N34800"/>
      <c r="O34800" s="24"/>
      <c r="P34800"/>
      <c r="Q34800" s="24"/>
      <c r="R34800"/>
      <c r="S34800"/>
      <c r="T34800"/>
      <c r="U34800"/>
      <c r="X34800" s="60"/>
    </row>
    <row r="34801" spans="7:24" ht="15" customHeight="1">
      <c r="G34801"/>
      <c r="I34801"/>
      <c r="N34801"/>
      <c r="O34801" s="24"/>
      <c r="P34801"/>
      <c r="Q34801" s="24"/>
      <c r="R34801"/>
      <c r="S34801"/>
      <c r="T34801"/>
      <c r="U34801"/>
      <c r="X34801" s="60"/>
    </row>
    <row r="34802" spans="7:24" ht="15" customHeight="1">
      <c r="G34802"/>
      <c r="I34802"/>
      <c r="N34802"/>
      <c r="O34802" s="24"/>
      <c r="P34802"/>
      <c r="Q34802" s="24"/>
      <c r="R34802"/>
      <c r="S34802"/>
      <c r="T34802"/>
      <c r="U34802"/>
      <c r="X34802" s="60"/>
    </row>
    <row r="34803" spans="7:24" ht="15" customHeight="1">
      <c r="G34803"/>
      <c r="I34803"/>
      <c r="N34803"/>
      <c r="O34803" s="24"/>
      <c r="P34803"/>
      <c r="Q34803" s="24"/>
      <c r="R34803"/>
      <c r="S34803"/>
      <c r="T34803"/>
      <c r="U34803"/>
      <c r="X34803" s="60"/>
    </row>
    <row r="34804" spans="7:24" ht="15" customHeight="1">
      <c r="G34804"/>
      <c r="I34804"/>
      <c r="N34804"/>
      <c r="O34804" s="24"/>
      <c r="P34804"/>
      <c r="Q34804" s="24"/>
      <c r="R34804"/>
      <c r="S34804"/>
      <c r="T34804"/>
      <c r="U34804"/>
      <c r="X34804" s="60"/>
    </row>
    <row r="34805" spans="7:24" ht="15" customHeight="1">
      <c r="G34805"/>
      <c r="I34805"/>
      <c r="N34805"/>
      <c r="O34805" s="24"/>
      <c r="P34805"/>
      <c r="Q34805" s="24"/>
      <c r="R34805"/>
      <c r="S34805"/>
      <c r="T34805"/>
      <c r="U34805"/>
      <c r="X34805" s="60"/>
    </row>
    <row r="34806" spans="7:24" ht="15" customHeight="1">
      <c r="G34806"/>
      <c r="I34806"/>
      <c r="N34806"/>
      <c r="O34806" s="24"/>
      <c r="P34806"/>
      <c r="Q34806" s="24"/>
      <c r="R34806"/>
      <c r="S34806"/>
      <c r="T34806"/>
      <c r="U34806"/>
      <c r="X34806" s="60"/>
    </row>
    <row r="34807" spans="7:24" ht="15" customHeight="1">
      <c r="G34807"/>
      <c r="I34807"/>
      <c r="N34807"/>
      <c r="O34807" s="24"/>
      <c r="P34807"/>
      <c r="Q34807" s="24"/>
      <c r="R34807"/>
      <c r="S34807"/>
      <c r="T34807"/>
      <c r="U34807"/>
      <c r="X34807" s="60"/>
    </row>
    <row r="34808" spans="7:24" ht="15" customHeight="1">
      <c r="G34808"/>
      <c r="I34808"/>
      <c r="N34808"/>
      <c r="O34808" s="24"/>
      <c r="P34808"/>
      <c r="Q34808" s="24"/>
      <c r="R34808"/>
      <c r="S34808"/>
      <c r="T34808"/>
      <c r="U34808"/>
      <c r="X34808" s="60"/>
    </row>
    <row r="34809" spans="7:24" ht="15" customHeight="1">
      <c r="G34809"/>
      <c r="I34809"/>
      <c r="N34809"/>
      <c r="O34809" s="24"/>
      <c r="P34809"/>
      <c r="Q34809" s="24"/>
      <c r="R34809"/>
      <c r="S34809"/>
      <c r="T34809"/>
      <c r="U34809"/>
      <c r="X34809" s="60"/>
    </row>
    <row r="34810" spans="7:24" ht="15" customHeight="1">
      <c r="G34810"/>
      <c r="I34810"/>
      <c r="N34810"/>
      <c r="O34810" s="24"/>
      <c r="P34810"/>
      <c r="Q34810" s="24"/>
      <c r="R34810"/>
      <c r="S34810"/>
      <c r="T34810"/>
      <c r="U34810"/>
      <c r="X34810" s="60"/>
    </row>
    <row r="34811" spans="7:24" ht="15" customHeight="1">
      <c r="G34811"/>
      <c r="I34811"/>
      <c r="N34811"/>
      <c r="O34811" s="24"/>
      <c r="P34811"/>
      <c r="Q34811" s="24"/>
      <c r="R34811"/>
      <c r="S34811"/>
      <c r="T34811"/>
      <c r="U34811"/>
      <c r="X34811" s="60"/>
    </row>
    <row r="34812" spans="7:24" ht="15" customHeight="1">
      <c r="G34812"/>
      <c r="I34812"/>
      <c r="N34812"/>
      <c r="O34812" s="24"/>
      <c r="P34812"/>
      <c r="Q34812" s="24"/>
      <c r="R34812"/>
      <c r="S34812"/>
      <c r="T34812"/>
      <c r="U34812"/>
      <c r="X34812" s="60"/>
    </row>
    <row r="34813" spans="7:24" ht="15" customHeight="1">
      <c r="G34813"/>
      <c r="I34813"/>
      <c r="N34813"/>
      <c r="O34813" s="24"/>
      <c r="P34813"/>
      <c r="Q34813" s="24"/>
      <c r="R34813"/>
      <c r="S34813"/>
      <c r="T34813"/>
      <c r="U34813"/>
      <c r="X34813" s="60"/>
    </row>
    <row r="34814" spans="7:24" ht="15" customHeight="1">
      <c r="G34814"/>
      <c r="I34814"/>
      <c r="N34814"/>
      <c r="O34814" s="24"/>
      <c r="P34814"/>
      <c r="Q34814" s="24"/>
      <c r="R34814"/>
      <c r="S34814"/>
      <c r="T34814"/>
      <c r="U34814"/>
      <c r="X34814" s="60"/>
    </row>
    <row r="34815" spans="7:24" ht="15" customHeight="1">
      <c r="G34815"/>
      <c r="I34815"/>
      <c r="N34815"/>
      <c r="O34815" s="24"/>
      <c r="P34815"/>
      <c r="Q34815" s="24"/>
      <c r="R34815"/>
      <c r="S34815"/>
      <c r="T34815"/>
      <c r="U34815"/>
      <c r="X34815" s="60"/>
    </row>
    <row r="34816" spans="7:24" ht="15" customHeight="1">
      <c r="G34816"/>
      <c r="I34816"/>
      <c r="N34816"/>
      <c r="O34816" s="24"/>
      <c r="P34816"/>
      <c r="Q34816" s="24"/>
      <c r="R34816"/>
      <c r="S34816"/>
      <c r="T34816"/>
      <c r="U34816"/>
      <c r="X34816" s="60"/>
    </row>
    <row r="34817" spans="7:24" ht="15" customHeight="1">
      <c r="G34817"/>
      <c r="I34817"/>
      <c r="N34817"/>
      <c r="O34817" s="24"/>
      <c r="P34817"/>
      <c r="Q34817" s="24"/>
      <c r="R34817"/>
      <c r="S34817"/>
      <c r="T34817"/>
      <c r="U34817"/>
      <c r="X34817" s="60"/>
    </row>
    <row r="34818" spans="7:24" ht="15" customHeight="1">
      <c r="G34818"/>
      <c r="I34818"/>
      <c r="N34818"/>
      <c r="O34818" s="24"/>
      <c r="P34818"/>
      <c r="Q34818" s="24"/>
      <c r="R34818"/>
      <c r="S34818"/>
      <c r="T34818"/>
      <c r="U34818"/>
      <c r="X34818" s="60"/>
    </row>
    <row r="34819" spans="7:24" ht="15" customHeight="1">
      <c r="G34819"/>
      <c r="I34819"/>
      <c r="N34819"/>
      <c r="O34819" s="24"/>
      <c r="P34819"/>
      <c r="Q34819" s="24"/>
      <c r="R34819"/>
      <c r="S34819"/>
      <c r="T34819"/>
      <c r="U34819"/>
      <c r="X34819" s="60"/>
    </row>
    <row r="34820" spans="7:24" ht="15" customHeight="1">
      <c r="G34820"/>
      <c r="I34820"/>
      <c r="N34820"/>
      <c r="O34820" s="24"/>
      <c r="P34820"/>
      <c r="Q34820" s="24"/>
      <c r="R34820"/>
      <c r="S34820"/>
      <c r="T34820"/>
      <c r="U34820"/>
      <c r="X34820" s="60"/>
    </row>
    <row r="34821" spans="7:24" ht="15" customHeight="1">
      <c r="G34821"/>
      <c r="I34821"/>
      <c r="N34821"/>
      <c r="O34821" s="24"/>
      <c r="P34821"/>
      <c r="Q34821" s="24"/>
      <c r="R34821"/>
      <c r="S34821"/>
      <c r="T34821"/>
      <c r="U34821"/>
      <c r="X34821" s="60"/>
    </row>
    <row r="34822" spans="7:24" ht="15" customHeight="1">
      <c r="G34822"/>
      <c r="I34822"/>
      <c r="N34822"/>
      <c r="O34822" s="24"/>
      <c r="P34822"/>
      <c r="Q34822" s="24"/>
      <c r="R34822"/>
      <c r="S34822"/>
      <c r="T34822"/>
      <c r="U34822"/>
      <c r="X34822" s="60"/>
    </row>
    <row r="34823" spans="7:24" ht="15" customHeight="1">
      <c r="G34823"/>
      <c r="I34823"/>
      <c r="N34823"/>
      <c r="O34823" s="24"/>
      <c r="P34823"/>
      <c r="Q34823" s="24"/>
      <c r="R34823"/>
      <c r="S34823"/>
      <c r="T34823"/>
      <c r="U34823"/>
      <c r="X34823" s="60"/>
    </row>
    <row r="34824" spans="7:24" ht="15" customHeight="1">
      <c r="G34824"/>
      <c r="I34824"/>
      <c r="N34824"/>
      <c r="O34824" s="24"/>
      <c r="P34824"/>
      <c r="Q34824" s="24"/>
      <c r="R34824"/>
      <c r="S34824"/>
      <c r="T34824"/>
      <c r="U34824"/>
      <c r="X34824" s="60"/>
    </row>
    <row r="34825" spans="7:24" ht="15" customHeight="1">
      <c r="G34825"/>
      <c r="I34825"/>
      <c r="N34825"/>
      <c r="O34825" s="24"/>
      <c r="P34825"/>
      <c r="Q34825" s="24"/>
      <c r="R34825"/>
      <c r="S34825"/>
      <c r="T34825"/>
      <c r="U34825"/>
      <c r="X34825" s="60"/>
    </row>
    <row r="34826" spans="7:24" ht="15" customHeight="1">
      <c r="G34826"/>
      <c r="I34826"/>
      <c r="N34826"/>
      <c r="O34826" s="24"/>
      <c r="P34826"/>
      <c r="Q34826" s="24"/>
      <c r="R34826"/>
      <c r="S34826"/>
      <c r="T34826"/>
      <c r="U34826"/>
      <c r="X34826" s="60"/>
    </row>
    <row r="34827" spans="7:24" ht="15" customHeight="1">
      <c r="G34827"/>
      <c r="I34827"/>
      <c r="N34827"/>
      <c r="O34827" s="24"/>
      <c r="P34827"/>
      <c r="Q34827" s="24"/>
      <c r="R34827"/>
      <c r="S34827"/>
      <c r="T34827"/>
      <c r="U34827"/>
      <c r="X34827" s="60"/>
    </row>
    <row r="34828" spans="7:24" ht="15" customHeight="1">
      <c r="G34828"/>
      <c r="I34828"/>
      <c r="N34828"/>
      <c r="O34828" s="24"/>
      <c r="P34828"/>
      <c r="Q34828" s="24"/>
      <c r="R34828"/>
      <c r="S34828"/>
      <c r="T34828"/>
      <c r="U34828"/>
      <c r="X34828" s="60"/>
    </row>
    <row r="34829" spans="7:24" ht="15" customHeight="1">
      <c r="G34829"/>
      <c r="I34829"/>
      <c r="N34829"/>
      <c r="O34829" s="24"/>
      <c r="P34829"/>
      <c r="Q34829" s="24"/>
      <c r="R34829"/>
      <c r="S34829"/>
      <c r="T34829"/>
      <c r="U34829"/>
      <c r="X34829" s="60"/>
    </row>
    <row r="34830" spans="7:24" ht="15" customHeight="1">
      <c r="G34830"/>
      <c r="I34830"/>
      <c r="N34830"/>
      <c r="O34830" s="24"/>
      <c r="P34830"/>
      <c r="Q34830" s="24"/>
      <c r="R34830"/>
      <c r="S34830"/>
      <c r="T34830"/>
      <c r="U34830"/>
      <c r="X34830" s="60"/>
    </row>
    <row r="34831" spans="7:24" ht="15" customHeight="1">
      <c r="G34831"/>
      <c r="I34831"/>
      <c r="N34831"/>
      <c r="O34831" s="24"/>
      <c r="P34831"/>
      <c r="Q34831" s="24"/>
      <c r="R34831"/>
      <c r="S34831"/>
      <c r="T34831"/>
      <c r="U34831"/>
      <c r="X34831" s="60"/>
    </row>
    <row r="34832" spans="7:24" ht="15" customHeight="1">
      <c r="G34832"/>
      <c r="I34832"/>
      <c r="N34832"/>
      <c r="O34832" s="24"/>
      <c r="P34832"/>
      <c r="Q34832" s="24"/>
      <c r="R34832"/>
      <c r="S34832"/>
      <c r="T34832"/>
      <c r="U34832"/>
      <c r="X34832" s="60"/>
    </row>
    <row r="34833" spans="7:24" ht="15" customHeight="1">
      <c r="G34833"/>
      <c r="I34833"/>
      <c r="N34833"/>
      <c r="O34833" s="24"/>
      <c r="P34833"/>
      <c r="Q34833" s="24"/>
      <c r="R34833"/>
      <c r="S34833"/>
      <c r="T34833"/>
      <c r="U34833"/>
      <c r="X34833" s="60"/>
    </row>
    <row r="34834" spans="7:24" ht="15" customHeight="1">
      <c r="G34834"/>
      <c r="I34834"/>
      <c r="N34834"/>
      <c r="O34834" s="24"/>
      <c r="P34834"/>
      <c r="Q34834" s="24"/>
      <c r="R34834"/>
      <c r="S34834"/>
      <c r="T34834"/>
      <c r="U34834"/>
      <c r="X34834" s="60"/>
    </row>
    <row r="34835" spans="7:24" ht="15" customHeight="1">
      <c r="G34835"/>
      <c r="I34835"/>
      <c r="N34835"/>
      <c r="O34835" s="24"/>
      <c r="P34835"/>
      <c r="Q34835" s="24"/>
      <c r="R34835"/>
      <c r="S34835"/>
      <c r="T34835"/>
      <c r="U34835"/>
      <c r="X34835" s="60"/>
    </row>
    <row r="34836" spans="7:24" ht="15" customHeight="1">
      <c r="G34836"/>
      <c r="I34836"/>
      <c r="N34836"/>
      <c r="O34836" s="24"/>
      <c r="P34836"/>
      <c r="Q34836" s="24"/>
      <c r="R34836"/>
      <c r="S34836"/>
      <c r="T34836"/>
      <c r="U34836"/>
      <c r="X34836" s="60"/>
    </row>
    <row r="34837" spans="7:24" ht="15" customHeight="1">
      <c r="G34837"/>
      <c r="I34837"/>
      <c r="N34837"/>
      <c r="O34837" s="24"/>
      <c r="P34837"/>
      <c r="Q34837" s="24"/>
      <c r="R34837"/>
      <c r="S34837"/>
      <c r="T34837"/>
      <c r="U34837"/>
      <c r="X34837" s="60"/>
    </row>
    <row r="34838" spans="7:24" ht="15" customHeight="1">
      <c r="G34838"/>
      <c r="I34838"/>
      <c r="N34838"/>
      <c r="O34838" s="24"/>
      <c r="P34838"/>
      <c r="Q34838" s="24"/>
      <c r="R34838"/>
      <c r="S34838"/>
      <c r="T34838"/>
      <c r="U34838"/>
      <c r="X34838" s="60"/>
    </row>
    <row r="34839" spans="7:24" ht="15" customHeight="1">
      <c r="G34839"/>
      <c r="I34839"/>
      <c r="N34839"/>
      <c r="O34839" s="24"/>
      <c r="P34839"/>
      <c r="Q34839" s="24"/>
      <c r="R34839"/>
      <c r="S34839"/>
      <c r="T34839"/>
      <c r="U34839"/>
      <c r="X34839" s="60"/>
    </row>
    <row r="34840" spans="7:24" ht="15" customHeight="1">
      <c r="G34840"/>
      <c r="I34840"/>
      <c r="N34840"/>
      <c r="O34840" s="24"/>
      <c r="P34840"/>
      <c r="Q34840" s="24"/>
      <c r="R34840"/>
      <c r="S34840"/>
      <c r="T34840"/>
      <c r="U34840"/>
      <c r="X34840" s="60"/>
    </row>
    <row r="34841" spans="7:24" ht="15" customHeight="1">
      <c r="G34841"/>
      <c r="I34841"/>
      <c r="N34841"/>
      <c r="O34841" s="24"/>
      <c r="P34841"/>
      <c r="Q34841" s="24"/>
      <c r="R34841"/>
      <c r="S34841"/>
      <c r="T34841"/>
      <c r="U34841"/>
      <c r="X34841" s="60"/>
    </row>
    <row r="34842" spans="7:24" ht="15" customHeight="1">
      <c r="G34842"/>
      <c r="I34842"/>
      <c r="N34842"/>
      <c r="O34842" s="24"/>
      <c r="P34842"/>
      <c r="Q34842" s="24"/>
      <c r="R34842"/>
      <c r="S34842"/>
      <c r="T34842"/>
      <c r="U34842"/>
      <c r="X34842" s="60"/>
    </row>
    <row r="34843" spans="7:24" ht="15" customHeight="1">
      <c r="G34843"/>
      <c r="I34843"/>
      <c r="N34843"/>
      <c r="O34843" s="24"/>
      <c r="P34843"/>
      <c r="Q34843" s="24"/>
      <c r="R34843"/>
      <c r="S34843"/>
      <c r="T34843"/>
      <c r="U34843"/>
      <c r="X34843" s="60"/>
    </row>
    <row r="34844" spans="7:24" ht="15" customHeight="1">
      <c r="G34844"/>
      <c r="I34844"/>
      <c r="N34844"/>
      <c r="O34844" s="24"/>
      <c r="P34844"/>
      <c r="Q34844" s="24"/>
      <c r="R34844"/>
      <c r="S34844"/>
      <c r="T34844"/>
      <c r="U34844"/>
      <c r="X34844" s="60"/>
    </row>
    <row r="34845" spans="7:24" ht="15" customHeight="1">
      <c r="G34845"/>
      <c r="I34845"/>
      <c r="N34845"/>
      <c r="O34845" s="24"/>
      <c r="P34845"/>
      <c r="Q34845" s="24"/>
      <c r="R34845"/>
      <c r="S34845"/>
      <c r="T34845"/>
      <c r="U34845"/>
      <c r="X34845" s="60"/>
    </row>
    <row r="34846" spans="7:24" ht="15" customHeight="1">
      <c r="G34846"/>
      <c r="I34846"/>
      <c r="N34846"/>
      <c r="O34846" s="24"/>
      <c r="P34846"/>
      <c r="Q34846" s="24"/>
      <c r="R34846"/>
      <c r="S34846"/>
      <c r="T34846"/>
      <c r="U34846"/>
      <c r="X34846" s="60"/>
    </row>
    <row r="34847" spans="7:24" ht="15" customHeight="1">
      <c r="G34847"/>
      <c r="I34847"/>
      <c r="N34847"/>
      <c r="O34847" s="24"/>
      <c r="P34847"/>
      <c r="Q34847" s="24"/>
      <c r="R34847"/>
      <c r="S34847"/>
      <c r="T34847"/>
      <c r="U34847"/>
      <c r="X34847" s="60"/>
    </row>
    <row r="34848" spans="7:24" ht="15" customHeight="1">
      <c r="G34848"/>
      <c r="I34848"/>
      <c r="N34848"/>
      <c r="O34848" s="24"/>
      <c r="P34848"/>
      <c r="Q34848" s="24"/>
      <c r="R34848"/>
      <c r="S34848"/>
      <c r="T34848"/>
      <c r="U34848"/>
      <c r="X34848" s="60"/>
    </row>
    <row r="34849" spans="7:24" ht="15" customHeight="1">
      <c r="G34849"/>
      <c r="I34849"/>
      <c r="N34849"/>
      <c r="O34849" s="24"/>
      <c r="P34849"/>
      <c r="Q34849" s="24"/>
      <c r="R34849"/>
      <c r="S34849"/>
      <c r="T34849"/>
      <c r="U34849"/>
      <c r="X34849" s="60"/>
    </row>
    <row r="34850" spans="7:24" ht="15" customHeight="1">
      <c r="G34850"/>
      <c r="I34850"/>
      <c r="N34850"/>
      <c r="O34850" s="24"/>
      <c r="P34850"/>
      <c r="Q34850" s="24"/>
      <c r="R34850"/>
      <c r="S34850"/>
      <c r="T34850"/>
      <c r="U34850"/>
      <c r="X34850" s="60"/>
    </row>
    <row r="34851" spans="7:24" ht="15" customHeight="1">
      <c r="G34851"/>
      <c r="I34851"/>
      <c r="N34851"/>
      <c r="O34851" s="24"/>
      <c r="P34851"/>
      <c r="Q34851" s="24"/>
      <c r="R34851"/>
      <c r="S34851"/>
      <c r="T34851"/>
      <c r="U34851"/>
      <c r="X34851" s="60"/>
    </row>
    <row r="34852" spans="7:24" ht="15" customHeight="1">
      <c r="G34852"/>
      <c r="I34852"/>
      <c r="N34852"/>
      <c r="O34852" s="24"/>
      <c r="P34852"/>
      <c r="Q34852" s="24"/>
      <c r="R34852"/>
      <c r="S34852"/>
      <c r="T34852"/>
      <c r="U34852"/>
      <c r="X34852" s="60"/>
    </row>
    <row r="34853" spans="7:24" ht="15" customHeight="1">
      <c r="G34853"/>
      <c r="I34853"/>
      <c r="N34853"/>
      <c r="O34853" s="24"/>
      <c r="P34853"/>
      <c r="Q34853" s="24"/>
      <c r="R34853"/>
      <c r="S34853"/>
      <c r="T34853"/>
      <c r="U34853"/>
      <c r="X34853" s="60"/>
    </row>
    <row r="34854" spans="7:24" ht="15" customHeight="1">
      <c r="G34854"/>
      <c r="I34854"/>
      <c r="N34854"/>
      <c r="O34854" s="24"/>
      <c r="P34854"/>
      <c r="Q34854" s="24"/>
      <c r="R34854"/>
      <c r="S34854"/>
      <c r="T34854"/>
      <c r="U34854"/>
      <c r="X34854" s="60"/>
    </row>
    <row r="34855" spans="7:24" ht="15" customHeight="1">
      <c r="G34855"/>
      <c r="I34855"/>
      <c r="N34855"/>
      <c r="O34855" s="24"/>
      <c r="P34855"/>
      <c r="Q34855" s="24"/>
      <c r="R34855"/>
      <c r="S34855"/>
      <c r="T34855"/>
      <c r="U34855"/>
      <c r="X34855" s="60"/>
    </row>
    <row r="34856" spans="7:24" ht="15" customHeight="1">
      <c r="G34856"/>
      <c r="I34856"/>
      <c r="N34856"/>
      <c r="O34856" s="24"/>
      <c r="P34856"/>
      <c r="Q34856" s="24"/>
      <c r="R34856"/>
      <c r="S34856"/>
      <c r="T34856"/>
      <c r="U34856"/>
      <c r="X34856" s="60"/>
    </row>
    <row r="34857" spans="7:24" ht="15" customHeight="1">
      <c r="G34857"/>
      <c r="I34857"/>
      <c r="N34857"/>
      <c r="O34857" s="24"/>
      <c r="P34857"/>
      <c r="Q34857" s="24"/>
      <c r="R34857"/>
      <c r="S34857"/>
      <c r="T34857"/>
      <c r="U34857"/>
      <c r="X34857" s="60"/>
    </row>
    <row r="34858" spans="7:24" ht="15" customHeight="1">
      <c r="G34858"/>
      <c r="I34858"/>
      <c r="N34858"/>
      <c r="O34858" s="24"/>
      <c r="P34858"/>
      <c r="Q34858" s="24"/>
      <c r="R34858"/>
      <c r="S34858"/>
      <c r="T34858"/>
      <c r="U34858"/>
      <c r="X34858" s="60"/>
    </row>
    <row r="34859" spans="7:24" ht="15" customHeight="1">
      <c r="G34859"/>
      <c r="I34859"/>
      <c r="N34859"/>
      <c r="O34859" s="24"/>
      <c r="P34859"/>
      <c r="Q34859" s="24"/>
      <c r="R34859"/>
      <c r="S34859"/>
      <c r="T34859"/>
      <c r="U34859"/>
      <c r="X34859" s="60"/>
    </row>
    <row r="34860" spans="7:24" ht="15" customHeight="1">
      <c r="G34860"/>
      <c r="I34860"/>
      <c r="N34860"/>
      <c r="O34860" s="24"/>
      <c r="P34860"/>
      <c r="Q34860" s="24"/>
      <c r="R34860"/>
      <c r="S34860"/>
      <c r="T34860"/>
      <c r="U34860"/>
      <c r="X34860" s="60"/>
    </row>
    <row r="34861" spans="7:24" ht="15" customHeight="1">
      <c r="G34861"/>
      <c r="I34861"/>
      <c r="N34861"/>
      <c r="O34861" s="24"/>
      <c r="P34861"/>
      <c r="Q34861" s="24"/>
      <c r="R34861"/>
      <c r="S34861"/>
      <c r="T34861"/>
      <c r="U34861"/>
      <c r="X34861" s="60"/>
    </row>
    <row r="34862" spans="7:24" ht="15" customHeight="1">
      <c r="G34862"/>
      <c r="I34862"/>
      <c r="N34862"/>
      <c r="O34862" s="24"/>
      <c r="P34862"/>
      <c r="Q34862" s="24"/>
      <c r="R34862"/>
      <c r="S34862"/>
      <c r="T34862"/>
      <c r="U34862"/>
      <c r="X34862" s="60"/>
    </row>
    <row r="34863" spans="7:24" ht="15" customHeight="1">
      <c r="G34863"/>
      <c r="I34863"/>
      <c r="N34863"/>
      <c r="O34863" s="24"/>
      <c r="P34863"/>
      <c r="Q34863" s="24"/>
      <c r="R34863"/>
      <c r="S34863"/>
      <c r="T34863"/>
      <c r="U34863"/>
      <c r="X34863" s="60"/>
    </row>
    <row r="34864" spans="7:24" ht="15" customHeight="1">
      <c r="G34864"/>
      <c r="I34864"/>
      <c r="N34864"/>
      <c r="O34864" s="24"/>
      <c r="P34864"/>
      <c r="Q34864" s="24"/>
      <c r="R34864"/>
      <c r="S34864"/>
      <c r="T34864"/>
      <c r="U34864"/>
      <c r="X34864" s="60"/>
    </row>
    <row r="34865" spans="7:24" ht="15" customHeight="1">
      <c r="G34865"/>
      <c r="I34865"/>
      <c r="N34865"/>
      <c r="O34865" s="24"/>
      <c r="P34865"/>
      <c r="Q34865" s="24"/>
      <c r="R34865"/>
      <c r="S34865"/>
      <c r="T34865"/>
      <c r="U34865"/>
      <c r="X34865" s="60"/>
    </row>
    <row r="34866" spans="7:24" ht="15" customHeight="1">
      <c r="G34866"/>
      <c r="I34866"/>
      <c r="N34866"/>
      <c r="O34866" s="24"/>
      <c r="P34866"/>
      <c r="Q34866" s="24"/>
      <c r="R34866"/>
      <c r="S34866"/>
      <c r="T34866"/>
      <c r="U34866"/>
      <c r="X34866" s="60"/>
    </row>
    <row r="34867" spans="7:24" ht="15" customHeight="1">
      <c r="G34867"/>
      <c r="I34867"/>
      <c r="N34867"/>
      <c r="O34867" s="24"/>
      <c r="P34867"/>
      <c r="Q34867" s="24"/>
      <c r="R34867"/>
      <c r="S34867"/>
      <c r="T34867"/>
      <c r="U34867"/>
      <c r="X34867" s="60"/>
    </row>
    <row r="34868" spans="7:24" ht="15" customHeight="1">
      <c r="G34868"/>
      <c r="I34868"/>
      <c r="N34868"/>
      <c r="O34868" s="24"/>
      <c r="P34868"/>
      <c r="Q34868" s="24"/>
      <c r="R34868"/>
      <c r="S34868"/>
      <c r="T34868"/>
      <c r="U34868"/>
      <c r="X34868" s="60"/>
    </row>
    <row r="34869" spans="7:24" ht="15" customHeight="1">
      <c r="G34869"/>
      <c r="I34869"/>
      <c r="N34869"/>
      <c r="O34869" s="24"/>
      <c r="P34869"/>
      <c r="Q34869" s="24"/>
      <c r="R34869"/>
      <c r="S34869"/>
      <c r="T34869"/>
      <c r="U34869"/>
      <c r="X34869" s="60"/>
    </row>
    <row r="34870" spans="7:24" ht="15" customHeight="1">
      <c r="G34870"/>
      <c r="I34870"/>
      <c r="N34870"/>
      <c r="O34870" s="24"/>
      <c r="P34870"/>
      <c r="Q34870" s="24"/>
      <c r="R34870"/>
      <c r="S34870"/>
      <c r="T34870"/>
      <c r="U34870"/>
      <c r="X34870" s="60"/>
    </row>
    <row r="34871" spans="7:24" ht="15" customHeight="1">
      <c r="G34871"/>
      <c r="I34871"/>
      <c r="N34871"/>
      <c r="O34871" s="24"/>
      <c r="P34871"/>
      <c r="Q34871" s="24"/>
      <c r="R34871"/>
      <c r="S34871"/>
      <c r="T34871"/>
      <c r="U34871"/>
      <c r="X34871" s="60"/>
    </row>
    <row r="34872" spans="7:24" ht="15" customHeight="1">
      <c r="G34872"/>
      <c r="I34872"/>
      <c r="N34872"/>
      <c r="O34872" s="24"/>
      <c r="P34872"/>
      <c r="Q34872" s="24"/>
      <c r="R34872"/>
      <c r="S34872"/>
      <c r="T34872"/>
      <c r="U34872"/>
      <c r="X34872" s="60"/>
    </row>
    <row r="34873" spans="7:24" ht="15" customHeight="1">
      <c r="G34873"/>
      <c r="I34873"/>
      <c r="N34873"/>
      <c r="O34873" s="24"/>
      <c r="P34873"/>
      <c r="Q34873" s="24"/>
      <c r="R34873"/>
      <c r="S34873"/>
      <c r="T34873"/>
      <c r="U34873"/>
      <c r="X34873" s="60"/>
    </row>
    <row r="34874" spans="7:24" ht="15" customHeight="1">
      <c r="G34874"/>
      <c r="I34874"/>
      <c r="N34874"/>
      <c r="O34874" s="24"/>
      <c r="P34874"/>
      <c r="Q34874" s="24"/>
      <c r="R34874"/>
      <c r="S34874"/>
      <c r="T34874"/>
      <c r="U34874"/>
      <c r="X34874" s="60"/>
    </row>
    <row r="34875" spans="7:24" ht="15" customHeight="1">
      <c r="G34875"/>
      <c r="I34875"/>
      <c r="N34875"/>
      <c r="O34875" s="24"/>
      <c r="P34875"/>
      <c r="Q34875" s="24"/>
      <c r="R34875"/>
      <c r="S34875"/>
      <c r="T34875"/>
      <c r="U34875"/>
      <c r="X34875" s="60"/>
    </row>
    <row r="34876" spans="7:24" ht="15" customHeight="1">
      <c r="G34876"/>
      <c r="I34876"/>
      <c r="N34876"/>
      <c r="O34876" s="24"/>
      <c r="P34876"/>
      <c r="Q34876" s="24"/>
      <c r="R34876"/>
      <c r="S34876"/>
      <c r="T34876"/>
      <c r="U34876"/>
      <c r="X34876" s="60"/>
    </row>
    <row r="34877" spans="7:24" ht="15" customHeight="1">
      <c r="G34877"/>
      <c r="I34877"/>
      <c r="N34877"/>
      <c r="O34877" s="24"/>
      <c r="P34877"/>
      <c r="Q34877" s="24"/>
      <c r="R34877"/>
      <c r="S34877"/>
      <c r="T34877"/>
      <c r="U34877"/>
      <c r="X34877" s="60"/>
    </row>
    <row r="34878" spans="7:24" ht="15" customHeight="1">
      <c r="G34878"/>
      <c r="I34878"/>
      <c r="N34878"/>
      <c r="O34878" s="24"/>
      <c r="P34878"/>
      <c r="Q34878" s="24"/>
      <c r="R34878"/>
      <c r="S34878"/>
      <c r="T34878"/>
      <c r="U34878"/>
      <c r="X34878" s="60"/>
    </row>
    <row r="34879" spans="7:24" ht="15" customHeight="1">
      <c r="G34879"/>
      <c r="I34879"/>
      <c r="N34879"/>
      <c r="O34879" s="24"/>
      <c r="P34879"/>
      <c r="Q34879" s="24"/>
      <c r="R34879"/>
      <c r="S34879"/>
      <c r="T34879"/>
      <c r="U34879"/>
      <c r="X34879" s="60"/>
    </row>
    <row r="34880" spans="7:24" ht="15" customHeight="1">
      <c r="G34880"/>
      <c r="I34880"/>
      <c r="N34880"/>
      <c r="O34880" s="24"/>
      <c r="P34880"/>
      <c r="Q34880" s="24"/>
      <c r="R34880"/>
      <c r="S34880"/>
      <c r="T34880"/>
      <c r="U34880"/>
      <c r="X34880" s="60"/>
    </row>
    <row r="34881" spans="7:24" ht="15" customHeight="1">
      <c r="G34881"/>
      <c r="I34881"/>
      <c r="N34881"/>
      <c r="O34881" s="24"/>
      <c r="P34881"/>
      <c r="Q34881" s="24"/>
      <c r="R34881"/>
      <c r="S34881"/>
      <c r="T34881"/>
      <c r="U34881"/>
      <c r="X34881" s="60"/>
    </row>
    <row r="34882" spans="7:24" ht="15" customHeight="1">
      <c r="G34882"/>
      <c r="I34882"/>
      <c r="N34882"/>
      <c r="O34882" s="24"/>
      <c r="P34882"/>
      <c r="Q34882" s="24"/>
      <c r="R34882"/>
      <c r="S34882"/>
      <c r="T34882"/>
      <c r="U34882"/>
      <c r="X34882" s="60"/>
    </row>
    <row r="34883" spans="7:24" ht="15" customHeight="1">
      <c r="G34883"/>
      <c r="I34883"/>
      <c r="N34883"/>
      <c r="O34883" s="24"/>
      <c r="P34883"/>
      <c r="Q34883" s="24"/>
      <c r="R34883"/>
      <c r="S34883"/>
      <c r="T34883"/>
      <c r="U34883"/>
      <c r="X34883" s="60"/>
    </row>
    <row r="34884" spans="7:24" ht="15" customHeight="1">
      <c r="G34884"/>
      <c r="I34884"/>
      <c r="N34884"/>
      <c r="O34884" s="24"/>
      <c r="P34884"/>
      <c r="Q34884" s="24"/>
      <c r="R34884"/>
      <c r="S34884"/>
      <c r="T34884"/>
      <c r="U34884"/>
      <c r="X34884" s="60"/>
    </row>
    <row r="34885" spans="7:24" ht="15" customHeight="1">
      <c r="G34885"/>
      <c r="I34885"/>
      <c r="N34885"/>
      <c r="O34885" s="24"/>
      <c r="P34885"/>
      <c r="Q34885" s="24"/>
      <c r="R34885"/>
      <c r="S34885"/>
      <c r="T34885"/>
      <c r="U34885"/>
      <c r="X34885" s="60"/>
    </row>
    <row r="34886" spans="7:24" ht="15" customHeight="1">
      <c r="G34886"/>
      <c r="I34886"/>
      <c r="N34886"/>
      <c r="O34886" s="24"/>
      <c r="P34886"/>
      <c r="Q34886" s="24"/>
      <c r="R34886"/>
      <c r="S34886"/>
      <c r="T34886"/>
      <c r="U34886"/>
      <c r="X34886" s="60"/>
    </row>
    <row r="34887" spans="7:24" ht="15" customHeight="1">
      <c r="G34887"/>
      <c r="I34887"/>
      <c r="N34887"/>
      <c r="O34887" s="24"/>
      <c r="P34887"/>
      <c r="Q34887" s="24"/>
      <c r="R34887"/>
      <c r="S34887"/>
      <c r="T34887"/>
      <c r="U34887"/>
      <c r="X34887" s="60"/>
    </row>
    <row r="34888" spans="7:24" ht="15" customHeight="1">
      <c r="G34888"/>
      <c r="I34888"/>
      <c r="N34888"/>
      <c r="O34888" s="24"/>
      <c r="P34888"/>
      <c r="Q34888" s="24"/>
      <c r="R34888"/>
      <c r="S34888"/>
      <c r="T34888"/>
      <c r="U34888"/>
      <c r="X34888" s="60"/>
    </row>
    <row r="34889" spans="7:24" ht="15" customHeight="1">
      <c r="G34889"/>
      <c r="I34889"/>
      <c r="N34889"/>
      <c r="O34889" s="24"/>
      <c r="P34889"/>
      <c r="Q34889" s="24"/>
      <c r="R34889"/>
      <c r="S34889"/>
      <c r="T34889"/>
      <c r="U34889"/>
      <c r="X34889" s="60"/>
    </row>
    <row r="34890" spans="7:24" ht="15" customHeight="1">
      <c r="G34890"/>
      <c r="I34890"/>
      <c r="N34890"/>
      <c r="O34890" s="24"/>
      <c r="P34890"/>
      <c r="Q34890" s="24"/>
      <c r="R34890"/>
      <c r="S34890"/>
      <c r="T34890"/>
      <c r="U34890"/>
      <c r="X34890" s="60"/>
    </row>
    <row r="34891" spans="7:24" ht="15" customHeight="1">
      <c r="G34891"/>
      <c r="I34891"/>
      <c r="N34891"/>
      <c r="O34891" s="24"/>
      <c r="P34891"/>
      <c r="Q34891" s="24"/>
      <c r="R34891"/>
      <c r="S34891"/>
      <c r="T34891"/>
      <c r="U34891"/>
      <c r="X34891" s="60"/>
    </row>
    <row r="34892" spans="7:24" ht="15" customHeight="1">
      <c r="G34892"/>
      <c r="I34892"/>
      <c r="N34892"/>
      <c r="O34892" s="24"/>
      <c r="P34892"/>
      <c r="Q34892" s="24"/>
      <c r="R34892"/>
      <c r="S34892"/>
      <c r="T34892"/>
      <c r="U34892"/>
      <c r="X34892" s="60"/>
    </row>
    <row r="34893" spans="7:24" ht="15" customHeight="1">
      <c r="G34893"/>
      <c r="I34893"/>
      <c r="N34893"/>
      <c r="O34893" s="24"/>
      <c r="P34893"/>
      <c r="Q34893" s="24"/>
      <c r="R34893"/>
      <c r="S34893"/>
      <c r="T34893"/>
      <c r="U34893"/>
      <c r="X34893" s="60"/>
    </row>
    <row r="34894" spans="7:24" ht="15" customHeight="1">
      <c r="G34894"/>
      <c r="I34894"/>
      <c r="N34894"/>
      <c r="O34894" s="24"/>
      <c r="P34894"/>
      <c r="Q34894" s="24"/>
      <c r="R34894"/>
      <c r="S34894"/>
      <c r="T34894"/>
      <c r="U34894"/>
      <c r="X34894" s="60"/>
    </row>
    <row r="34895" spans="7:24" ht="15" customHeight="1">
      <c r="G34895"/>
      <c r="I34895"/>
      <c r="N34895"/>
      <c r="O34895" s="24"/>
      <c r="P34895"/>
      <c r="Q34895" s="24"/>
      <c r="R34895"/>
      <c r="S34895"/>
      <c r="T34895"/>
      <c r="U34895"/>
      <c r="X34895" s="60"/>
    </row>
    <row r="34896" spans="7:24" ht="15" customHeight="1">
      <c r="G34896"/>
      <c r="I34896"/>
      <c r="N34896"/>
      <c r="O34896" s="24"/>
      <c r="P34896"/>
      <c r="Q34896" s="24"/>
      <c r="R34896"/>
      <c r="S34896"/>
      <c r="T34896"/>
      <c r="U34896"/>
      <c r="X34896" s="60"/>
    </row>
    <row r="34897" spans="7:24" ht="15" customHeight="1">
      <c r="G34897"/>
      <c r="I34897"/>
      <c r="N34897"/>
      <c r="O34897" s="24"/>
      <c r="P34897"/>
      <c r="Q34897" s="24"/>
      <c r="R34897"/>
      <c r="S34897"/>
      <c r="T34897"/>
      <c r="U34897"/>
      <c r="X34897" s="60"/>
    </row>
    <row r="34898" spans="7:24" ht="15" customHeight="1">
      <c r="G34898"/>
      <c r="I34898"/>
      <c r="N34898"/>
      <c r="O34898" s="24"/>
      <c r="P34898"/>
      <c r="Q34898" s="24"/>
      <c r="R34898"/>
      <c r="S34898"/>
      <c r="T34898"/>
      <c r="U34898"/>
      <c r="X34898" s="60"/>
    </row>
    <row r="34899" spans="7:24" ht="15" customHeight="1">
      <c r="G34899"/>
      <c r="I34899"/>
      <c r="N34899"/>
      <c r="O34899" s="24"/>
      <c r="P34899"/>
      <c r="Q34899" s="24"/>
      <c r="R34899"/>
      <c r="S34899"/>
      <c r="T34899"/>
      <c r="U34899"/>
      <c r="X34899" s="60"/>
    </row>
    <row r="34900" spans="7:24" ht="15" customHeight="1">
      <c r="G34900"/>
      <c r="I34900"/>
      <c r="N34900"/>
      <c r="O34900" s="24"/>
      <c r="P34900"/>
      <c r="Q34900" s="24"/>
      <c r="R34900"/>
      <c r="S34900"/>
      <c r="T34900"/>
      <c r="U34900"/>
      <c r="X34900" s="60"/>
    </row>
    <row r="34901" spans="7:24" ht="15" customHeight="1">
      <c r="G34901"/>
      <c r="I34901"/>
      <c r="N34901"/>
      <c r="O34901" s="24"/>
      <c r="P34901"/>
      <c r="Q34901" s="24"/>
      <c r="R34901"/>
      <c r="S34901"/>
      <c r="T34901"/>
      <c r="U34901"/>
      <c r="X34901" s="60"/>
    </row>
    <row r="34902" spans="7:24" ht="15" customHeight="1">
      <c r="G34902"/>
      <c r="I34902"/>
      <c r="N34902"/>
      <c r="O34902" s="24"/>
      <c r="P34902"/>
      <c r="Q34902" s="24"/>
      <c r="R34902"/>
      <c r="S34902"/>
      <c r="T34902"/>
      <c r="U34902"/>
      <c r="X34902" s="60"/>
    </row>
    <row r="34903" spans="7:24" ht="15" customHeight="1">
      <c r="G34903"/>
      <c r="I34903"/>
      <c r="N34903"/>
      <c r="O34903" s="24"/>
      <c r="P34903"/>
      <c r="Q34903" s="24"/>
      <c r="R34903"/>
      <c r="S34903"/>
      <c r="T34903"/>
      <c r="U34903"/>
      <c r="X34903" s="60"/>
    </row>
    <row r="34904" spans="7:24" ht="15" customHeight="1">
      <c r="G34904"/>
      <c r="I34904"/>
      <c r="N34904"/>
      <c r="O34904" s="24"/>
      <c r="P34904"/>
      <c r="Q34904" s="24"/>
      <c r="R34904"/>
      <c r="S34904"/>
      <c r="T34904"/>
      <c r="U34904"/>
      <c r="X34904" s="60"/>
    </row>
    <row r="34905" spans="7:24" ht="15" customHeight="1">
      <c r="G34905"/>
      <c r="I34905"/>
      <c r="N34905"/>
      <c r="O34905" s="24"/>
      <c r="P34905"/>
      <c r="Q34905" s="24"/>
      <c r="R34905"/>
      <c r="S34905"/>
      <c r="T34905"/>
      <c r="U34905"/>
      <c r="X34905" s="60"/>
    </row>
    <row r="34906" spans="7:24" ht="15" customHeight="1">
      <c r="G34906"/>
      <c r="I34906"/>
      <c r="N34906"/>
      <c r="O34906" s="24"/>
      <c r="P34906"/>
      <c r="Q34906" s="24"/>
      <c r="R34906"/>
      <c r="S34906"/>
      <c r="T34906"/>
      <c r="U34906"/>
      <c r="X34906" s="60"/>
    </row>
    <row r="34907" spans="7:24" ht="15" customHeight="1">
      <c r="G34907"/>
      <c r="I34907"/>
      <c r="N34907"/>
      <c r="O34907" s="24"/>
      <c r="P34907"/>
      <c r="Q34907" s="24"/>
      <c r="R34907"/>
      <c r="S34907"/>
      <c r="T34907"/>
      <c r="U34907"/>
      <c r="X34907" s="60"/>
    </row>
    <row r="34908" spans="7:24" ht="15" customHeight="1">
      <c r="G34908"/>
      <c r="I34908"/>
      <c r="N34908"/>
      <c r="O34908" s="24"/>
      <c r="P34908"/>
      <c r="Q34908" s="24"/>
      <c r="R34908"/>
      <c r="S34908"/>
      <c r="T34908"/>
      <c r="U34908"/>
      <c r="X34908" s="60"/>
    </row>
    <row r="34909" spans="7:24" ht="15" customHeight="1">
      <c r="G34909"/>
      <c r="I34909"/>
      <c r="N34909"/>
      <c r="O34909" s="24"/>
      <c r="P34909"/>
      <c r="Q34909" s="24"/>
      <c r="R34909"/>
      <c r="S34909"/>
      <c r="T34909"/>
      <c r="U34909"/>
      <c r="X34909" s="60"/>
    </row>
    <row r="34910" spans="7:24" ht="15" customHeight="1">
      <c r="G34910"/>
      <c r="I34910"/>
      <c r="N34910"/>
      <c r="O34910" s="24"/>
      <c r="P34910"/>
      <c r="Q34910" s="24"/>
      <c r="R34910"/>
      <c r="S34910"/>
      <c r="T34910"/>
      <c r="U34910"/>
      <c r="X34910" s="60"/>
    </row>
    <row r="34911" spans="7:24" ht="15" customHeight="1">
      <c r="G34911"/>
      <c r="I34911"/>
      <c r="N34911"/>
      <c r="O34911" s="24"/>
      <c r="P34911"/>
      <c r="Q34911" s="24"/>
      <c r="R34911"/>
      <c r="S34911"/>
      <c r="T34911"/>
      <c r="U34911"/>
      <c r="X34911" s="60"/>
    </row>
    <row r="34912" spans="7:24" ht="15" customHeight="1">
      <c r="G34912"/>
      <c r="I34912"/>
      <c r="N34912"/>
      <c r="O34912" s="24"/>
      <c r="P34912"/>
      <c r="Q34912" s="24"/>
      <c r="R34912"/>
      <c r="S34912"/>
      <c r="T34912"/>
      <c r="U34912"/>
      <c r="X34912" s="60"/>
    </row>
    <row r="34913" spans="7:24" ht="15" customHeight="1">
      <c r="G34913"/>
      <c r="I34913"/>
      <c r="N34913"/>
      <c r="O34913" s="24"/>
      <c r="P34913"/>
      <c r="Q34913" s="24"/>
      <c r="R34913"/>
      <c r="S34913"/>
      <c r="T34913"/>
      <c r="U34913"/>
      <c r="X34913" s="60"/>
    </row>
    <row r="34914" spans="7:24" ht="15" customHeight="1">
      <c r="G34914"/>
      <c r="I34914"/>
      <c r="N34914"/>
      <c r="O34914" s="24"/>
      <c r="P34914"/>
      <c r="Q34914" s="24"/>
      <c r="R34914"/>
      <c r="S34914"/>
      <c r="T34914"/>
      <c r="U34914"/>
      <c r="X34914" s="60"/>
    </row>
    <row r="34915" spans="7:24" ht="15" customHeight="1">
      <c r="G34915"/>
      <c r="I34915"/>
      <c r="N34915"/>
      <c r="O34915" s="24"/>
      <c r="P34915"/>
      <c r="Q34915" s="24"/>
      <c r="R34915"/>
      <c r="S34915"/>
      <c r="T34915"/>
      <c r="U34915"/>
      <c r="X34915" s="60"/>
    </row>
    <row r="34916" spans="7:24" ht="15" customHeight="1">
      <c r="G34916"/>
      <c r="I34916"/>
      <c r="N34916"/>
      <c r="O34916" s="24"/>
      <c r="P34916"/>
      <c r="Q34916" s="24"/>
      <c r="R34916"/>
      <c r="S34916"/>
      <c r="T34916"/>
      <c r="U34916"/>
      <c r="X34916" s="60"/>
    </row>
    <row r="34917" spans="7:24" ht="15" customHeight="1">
      <c r="G34917"/>
      <c r="I34917"/>
      <c r="N34917"/>
      <c r="O34917" s="24"/>
      <c r="P34917"/>
      <c r="Q34917" s="24"/>
      <c r="R34917"/>
      <c r="S34917"/>
      <c r="T34917"/>
      <c r="U34917"/>
      <c r="X34917" s="60"/>
    </row>
    <row r="34918" spans="7:24" ht="15" customHeight="1">
      <c r="G34918"/>
      <c r="I34918"/>
      <c r="N34918"/>
      <c r="O34918" s="24"/>
      <c r="P34918"/>
      <c r="Q34918" s="24"/>
      <c r="R34918"/>
      <c r="S34918"/>
      <c r="T34918"/>
      <c r="U34918"/>
      <c r="X34918" s="60"/>
    </row>
    <row r="34919" spans="7:24" ht="15" customHeight="1">
      <c r="G34919"/>
      <c r="I34919"/>
      <c r="N34919"/>
      <c r="O34919" s="24"/>
      <c r="P34919"/>
      <c r="Q34919" s="24"/>
      <c r="R34919"/>
      <c r="S34919"/>
      <c r="T34919"/>
      <c r="U34919"/>
      <c r="X34919" s="60"/>
    </row>
    <row r="34920" spans="7:24" ht="15" customHeight="1">
      <c r="G34920"/>
      <c r="I34920"/>
      <c r="N34920"/>
      <c r="O34920" s="24"/>
      <c r="P34920"/>
      <c r="Q34920" s="24"/>
      <c r="R34920"/>
      <c r="S34920"/>
      <c r="T34920"/>
      <c r="U34920"/>
      <c r="X34920" s="60"/>
    </row>
    <row r="34921" spans="7:24" ht="15" customHeight="1">
      <c r="G34921"/>
      <c r="I34921"/>
      <c r="N34921"/>
      <c r="O34921" s="24"/>
      <c r="P34921"/>
      <c r="Q34921" s="24"/>
      <c r="R34921"/>
      <c r="S34921"/>
      <c r="T34921"/>
      <c r="U34921"/>
      <c r="X34921" s="60"/>
    </row>
    <row r="34922" spans="7:24" ht="15" customHeight="1">
      <c r="G34922"/>
      <c r="I34922"/>
      <c r="N34922"/>
      <c r="O34922" s="24"/>
      <c r="P34922"/>
      <c r="Q34922" s="24"/>
      <c r="R34922"/>
      <c r="S34922"/>
      <c r="T34922"/>
      <c r="U34922"/>
      <c r="X34922" s="60"/>
    </row>
    <row r="34923" spans="7:24" ht="15" customHeight="1">
      <c r="G34923"/>
      <c r="I34923"/>
      <c r="N34923"/>
      <c r="O34923" s="24"/>
      <c r="P34923"/>
      <c r="Q34923" s="24"/>
      <c r="R34923"/>
      <c r="S34923"/>
      <c r="T34923"/>
      <c r="U34923"/>
      <c r="X34923" s="60"/>
    </row>
    <row r="34924" spans="7:24" ht="15" customHeight="1">
      <c r="G34924"/>
      <c r="I34924"/>
      <c r="N34924"/>
      <c r="O34924" s="24"/>
      <c r="P34924"/>
      <c r="Q34924" s="24"/>
      <c r="R34924"/>
      <c r="S34924"/>
      <c r="T34924"/>
      <c r="U34924"/>
      <c r="X34924" s="60"/>
    </row>
    <row r="34925" spans="7:24" ht="15" customHeight="1">
      <c r="G34925"/>
      <c r="I34925"/>
      <c r="N34925"/>
      <c r="O34925" s="24"/>
      <c r="P34925"/>
      <c r="Q34925" s="24"/>
      <c r="R34925"/>
      <c r="S34925"/>
      <c r="T34925"/>
      <c r="U34925"/>
      <c r="X34925" s="60"/>
    </row>
    <row r="34926" spans="7:24" ht="15" customHeight="1">
      <c r="G34926"/>
      <c r="I34926"/>
      <c r="N34926"/>
      <c r="O34926" s="24"/>
      <c r="P34926"/>
      <c r="Q34926" s="24"/>
      <c r="R34926"/>
      <c r="S34926"/>
      <c r="T34926"/>
      <c r="U34926"/>
      <c r="X34926" s="60"/>
    </row>
    <row r="34927" spans="7:24" ht="15" customHeight="1">
      <c r="G34927"/>
      <c r="I34927"/>
      <c r="N34927"/>
      <c r="O34927" s="24"/>
      <c r="P34927"/>
      <c r="Q34927" s="24"/>
      <c r="R34927"/>
      <c r="S34927"/>
      <c r="T34927"/>
      <c r="U34927"/>
      <c r="X34927" s="60"/>
    </row>
    <row r="34928" spans="7:24" ht="15" customHeight="1">
      <c r="G34928"/>
      <c r="I34928"/>
      <c r="N34928"/>
      <c r="O34928" s="24"/>
      <c r="P34928"/>
      <c r="Q34928" s="24"/>
      <c r="R34928"/>
      <c r="S34928"/>
      <c r="T34928"/>
      <c r="U34928"/>
      <c r="X34928" s="60"/>
    </row>
    <row r="34929" spans="7:24" ht="15" customHeight="1">
      <c r="G34929"/>
      <c r="I34929"/>
      <c r="N34929"/>
      <c r="O34929" s="24"/>
      <c r="P34929"/>
      <c r="Q34929" s="24"/>
      <c r="R34929"/>
      <c r="S34929"/>
      <c r="T34929"/>
      <c r="U34929"/>
      <c r="X34929" s="60"/>
    </row>
    <row r="34930" spans="7:24" ht="15" customHeight="1">
      <c r="G34930"/>
      <c r="I34930"/>
      <c r="N34930"/>
      <c r="O34930" s="24"/>
      <c r="P34930"/>
      <c r="Q34930" s="24"/>
      <c r="R34930"/>
      <c r="S34930"/>
      <c r="T34930"/>
      <c r="U34930"/>
      <c r="X34930" s="60"/>
    </row>
    <row r="34931" spans="7:24" ht="15" customHeight="1">
      <c r="G34931"/>
      <c r="I34931"/>
      <c r="N34931"/>
      <c r="O34931" s="24"/>
      <c r="P34931"/>
      <c r="Q34931" s="24"/>
      <c r="R34931"/>
      <c r="S34931"/>
      <c r="T34931"/>
      <c r="U34931"/>
      <c r="X34931" s="60"/>
    </row>
    <row r="34932" spans="7:24" ht="15" customHeight="1">
      <c r="G34932"/>
      <c r="I34932"/>
      <c r="N34932"/>
      <c r="O34932" s="24"/>
      <c r="P34932"/>
      <c r="Q34932" s="24"/>
      <c r="R34932"/>
      <c r="S34932"/>
      <c r="T34932"/>
      <c r="U34932"/>
      <c r="X34932" s="60"/>
    </row>
    <row r="34933" spans="7:24" ht="15" customHeight="1">
      <c r="G34933"/>
      <c r="I34933"/>
      <c r="N34933"/>
      <c r="O34933" s="24"/>
      <c r="P34933"/>
      <c r="Q34933" s="24"/>
      <c r="R34933"/>
      <c r="S34933"/>
      <c r="T34933"/>
      <c r="U34933"/>
      <c r="X34933" s="60"/>
    </row>
    <row r="34934" spans="7:24" ht="15" customHeight="1">
      <c r="G34934"/>
      <c r="I34934"/>
      <c r="N34934"/>
      <c r="O34934" s="24"/>
      <c r="P34934"/>
      <c r="Q34934" s="24"/>
      <c r="R34934"/>
      <c r="S34934"/>
      <c r="T34934"/>
      <c r="U34934"/>
      <c r="X34934" s="60"/>
    </row>
    <row r="34935" spans="7:24" ht="15" customHeight="1">
      <c r="G34935"/>
      <c r="I34935"/>
      <c r="N34935"/>
      <c r="O34935" s="24"/>
      <c r="P34935"/>
      <c r="Q34935" s="24"/>
      <c r="R34935"/>
      <c r="S34935"/>
      <c r="T34935"/>
      <c r="U34935"/>
      <c r="X34935" s="60"/>
    </row>
    <row r="34936" spans="7:24" ht="15" customHeight="1">
      <c r="G34936"/>
      <c r="I34936"/>
      <c r="N34936"/>
      <c r="O34936" s="24"/>
      <c r="P34936"/>
      <c r="Q34936" s="24"/>
      <c r="R34936"/>
      <c r="S34936"/>
      <c r="T34936"/>
      <c r="U34936"/>
      <c r="X34936" s="60"/>
    </row>
    <row r="34937" spans="7:24" ht="15" customHeight="1">
      <c r="G34937"/>
      <c r="I34937"/>
      <c r="N34937"/>
      <c r="O34937" s="24"/>
      <c r="P34937"/>
      <c r="Q34937" s="24"/>
      <c r="R34937"/>
      <c r="S34937"/>
      <c r="T34937"/>
      <c r="U34937"/>
      <c r="X34937" s="60"/>
    </row>
    <row r="34938" spans="7:24" ht="15" customHeight="1">
      <c r="G34938"/>
      <c r="I34938"/>
      <c r="N34938"/>
      <c r="O34938" s="24"/>
      <c r="P34938"/>
      <c r="Q34938" s="24"/>
      <c r="R34938"/>
      <c r="S34938"/>
      <c r="T34938"/>
      <c r="U34938"/>
      <c r="X34938" s="60"/>
    </row>
    <row r="34939" spans="7:24" ht="15" customHeight="1">
      <c r="G34939"/>
      <c r="I34939"/>
      <c r="N34939"/>
      <c r="O34939" s="24"/>
      <c r="P34939"/>
      <c r="Q34939" s="24"/>
      <c r="R34939"/>
      <c r="S34939"/>
      <c r="T34939"/>
      <c r="U34939"/>
      <c r="X34939" s="60"/>
    </row>
    <row r="34940" spans="7:24" ht="15" customHeight="1">
      <c r="G34940"/>
      <c r="I34940"/>
      <c r="N34940"/>
      <c r="O34940" s="24"/>
      <c r="P34940"/>
      <c r="Q34940" s="24"/>
      <c r="R34940"/>
      <c r="S34940"/>
      <c r="T34940"/>
      <c r="U34940"/>
      <c r="X34940" s="60"/>
    </row>
    <row r="34941" spans="7:24" ht="15" customHeight="1">
      <c r="G34941"/>
      <c r="I34941"/>
      <c r="N34941"/>
      <c r="O34941" s="24"/>
      <c r="P34941"/>
      <c r="Q34941" s="24"/>
      <c r="R34941"/>
      <c r="S34941"/>
      <c r="T34941"/>
      <c r="U34941"/>
      <c r="X34941" s="60"/>
    </row>
    <row r="34942" spans="7:24" ht="15" customHeight="1">
      <c r="G34942"/>
      <c r="I34942"/>
      <c r="N34942"/>
      <c r="O34942" s="24"/>
      <c r="P34942"/>
      <c r="Q34942" s="24"/>
      <c r="R34942"/>
      <c r="S34942"/>
      <c r="T34942"/>
      <c r="U34942"/>
      <c r="X34942" s="60"/>
    </row>
    <row r="34943" spans="7:24" ht="15" customHeight="1">
      <c r="G34943"/>
      <c r="I34943"/>
      <c r="N34943"/>
      <c r="O34943" s="24"/>
      <c r="P34943"/>
      <c r="Q34943" s="24"/>
      <c r="R34943"/>
      <c r="S34943"/>
      <c r="T34943"/>
      <c r="U34943"/>
      <c r="X34943" s="60"/>
    </row>
    <row r="34944" spans="7:24" ht="15" customHeight="1">
      <c r="G34944"/>
      <c r="I34944"/>
      <c r="N34944"/>
      <c r="O34944" s="24"/>
      <c r="P34944"/>
      <c r="Q34944" s="24"/>
      <c r="R34944"/>
      <c r="S34944"/>
      <c r="T34944"/>
      <c r="U34944"/>
      <c r="X34944" s="60"/>
    </row>
    <row r="34945" spans="7:24" ht="15" customHeight="1">
      <c r="G34945"/>
      <c r="I34945"/>
      <c r="N34945"/>
      <c r="O34945" s="24"/>
      <c r="P34945"/>
      <c r="Q34945" s="24"/>
      <c r="R34945"/>
      <c r="S34945"/>
      <c r="T34945"/>
      <c r="U34945"/>
      <c r="X34945" s="60"/>
    </row>
    <row r="34946" spans="7:24" ht="15" customHeight="1">
      <c r="G34946"/>
      <c r="I34946"/>
      <c r="N34946"/>
      <c r="O34946" s="24"/>
      <c r="P34946"/>
      <c r="Q34946" s="24"/>
      <c r="R34946"/>
      <c r="S34946"/>
      <c r="T34946"/>
      <c r="U34946"/>
      <c r="X34946" s="60"/>
    </row>
    <row r="34947" spans="7:24" ht="15" customHeight="1">
      <c r="G34947"/>
      <c r="I34947"/>
      <c r="N34947"/>
      <c r="O34947" s="24"/>
      <c r="P34947"/>
      <c r="Q34947" s="24"/>
      <c r="R34947"/>
      <c r="S34947"/>
      <c r="T34947"/>
      <c r="U34947"/>
      <c r="X34947" s="60"/>
    </row>
    <row r="34948" spans="7:24" ht="15" customHeight="1">
      <c r="G34948"/>
      <c r="I34948"/>
      <c r="N34948"/>
      <c r="O34948" s="24"/>
      <c r="P34948"/>
      <c r="Q34948" s="24"/>
      <c r="R34948"/>
      <c r="S34948"/>
      <c r="T34948"/>
      <c r="U34948"/>
      <c r="X34948" s="60"/>
    </row>
    <row r="34949" spans="7:24" ht="15" customHeight="1">
      <c r="G34949"/>
      <c r="I34949"/>
      <c r="N34949"/>
      <c r="O34949" s="24"/>
      <c r="P34949"/>
      <c r="Q34949" s="24"/>
      <c r="R34949"/>
      <c r="S34949"/>
      <c r="T34949"/>
      <c r="U34949"/>
      <c r="X34949" s="60"/>
    </row>
    <row r="34950" spans="7:24" ht="15" customHeight="1">
      <c r="G34950"/>
      <c r="I34950"/>
      <c r="N34950"/>
      <c r="O34950" s="24"/>
      <c r="P34950"/>
      <c r="Q34950" s="24"/>
      <c r="R34950"/>
      <c r="S34950"/>
      <c r="T34950"/>
      <c r="U34950"/>
      <c r="X34950" s="60"/>
    </row>
    <row r="34951" spans="7:24" ht="15" customHeight="1">
      <c r="G34951"/>
      <c r="I34951"/>
      <c r="N34951"/>
      <c r="O34951" s="24"/>
      <c r="P34951"/>
      <c r="Q34951" s="24"/>
      <c r="R34951"/>
      <c r="S34951"/>
      <c r="T34951"/>
      <c r="U34951"/>
      <c r="X34951" s="60"/>
    </row>
    <row r="34952" spans="7:24" ht="15" customHeight="1">
      <c r="G34952"/>
      <c r="I34952"/>
      <c r="N34952"/>
      <c r="O34952" s="24"/>
      <c r="P34952"/>
      <c r="Q34952" s="24"/>
      <c r="R34952"/>
      <c r="S34952"/>
      <c r="T34952"/>
      <c r="U34952"/>
      <c r="X34952" s="60"/>
    </row>
    <row r="34953" spans="7:24" ht="15" customHeight="1">
      <c r="G34953"/>
      <c r="I34953"/>
      <c r="N34953"/>
      <c r="O34953" s="24"/>
      <c r="P34953"/>
      <c r="Q34953" s="24"/>
      <c r="R34953"/>
      <c r="S34953"/>
      <c r="T34953"/>
      <c r="U34953"/>
      <c r="X34953" s="60"/>
    </row>
    <row r="34954" spans="7:24" ht="15" customHeight="1">
      <c r="G34954"/>
      <c r="I34954"/>
      <c r="N34954"/>
      <c r="O34954" s="24"/>
      <c r="P34954"/>
      <c r="Q34954" s="24"/>
      <c r="R34954"/>
      <c r="S34954"/>
      <c r="T34954"/>
      <c r="U34954"/>
      <c r="X34954" s="60"/>
    </row>
    <row r="34955" spans="7:24" ht="15" customHeight="1">
      <c r="G34955"/>
      <c r="I34955"/>
      <c r="N34955"/>
      <c r="O34955" s="24"/>
      <c r="P34955"/>
      <c r="Q34955" s="24"/>
      <c r="R34955"/>
      <c r="S34955"/>
      <c r="T34955"/>
      <c r="U34955"/>
      <c r="X34955" s="60"/>
    </row>
    <row r="34956" spans="7:24" ht="15" customHeight="1">
      <c r="G34956"/>
      <c r="I34956"/>
      <c r="N34956"/>
      <c r="O34956" s="24"/>
      <c r="P34956"/>
      <c r="Q34956" s="24"/>
      <c r="R34956"/>
      <c r="S34956"/>
      <c r="T34956"/>
      <c r="U34956"/>
      <c r="X34956" s="60"/>
    </row>
    <row r="34957" spans="7:24" ht="15" customHeight="1">
      <c r="G34957"/>
      <c r="I34957"/>
      <c r="N34957"/>
      <c r="O34957" s="24"/>
      <c r="P34957"/>
      <c r="Q34957" s="24"/>
      <c r="R34957"/>
      <c r="S34957"/>
      <c r="T34957"/>
      <c r="U34957"/>
      <c r="X34957" s="60"/>
    </row>
    <row r="34958" spans="7:24" ht="15" customHeight="1">
      <c r="G34958"/>
      <c r="I34958"/>
      <c r="N34958"/>
      <c r="O34958" s="24"/>
      <c r="P34958"/>
      <c r="Q34958" s="24"/>
      <c r="R34958"/>
      <c r="S34958"/>
      <c r="T34958"/>
      <c r="U34958"/>
      <c r="X34958" s="60"/>
    </row>
    <row r="34959" spans="7:24" ht="15" customHeight="1">
      <c r="G34959"/>
      <c r="I34959"/>
      <c r="N34959"/>
      <c r="O34959" s="24"/>
      <c r="P34959"/>
      <c r="Q34959" s="24"/>
      <c r="R34959"/>
      <c r="S34959"/>
      <c r="T34959"/>
      <c r="U34959"/>
      <c r="X34959" s="60"/>
    </row>
    <row r="34960" spans="7:24" ht="15" customHeight="1">
      <c r="G34960"/>
      <c r="I34960"/>
      <c r="N34960"/>
      <c r="O34960" s="24"/>
      <c r="P34960"/>
      <c r="Q34960" s="24"/>
      <c r="R34960"/>
      <c r="S34960"/>
      <c r="T34960"/>
      <c r="U34960"/>
      <c r="X34960" s="60"/>
    </row>
    <row r="34961" spans="7:24" ht="15" customHeight="1">
      <c r="G34961"/>
      <c r="I34961"/>
      <c r="N34961"/>
      <c r="O34961" s="24"/>
      <c r="P34961"/>
      <c r="Q34961" s="24"/>
      <c r="R34961"/>
      <c r="S34961"/>
      <c r="T34961"/>
      <c r="U34961"/>
      <c r="X34961" s="60"/>
    </row>
    <row r="34962" spans="7:24" ht="15" customHeight="1">
      <c r="G34962"/>
      <c r="I34962"/>
      <c r="N34962"/>
      <c r="O34962" s="24"/>
      <c r="P34962"/>
      <c r="Q34962" s="24"/>
      <c r="R34962"/>
      <c r="S34962"/>
      <c r="T34962"/>
      <c r="U34962"/>
      <c r="X34962" s="60"/>
    </row>
    <row r="34963" spans="7:24" ht="15" customHeight="1">
      <c r="G34963"/>
      <c r="I34963"/>
      <c r="N34963"/>
      <c r="O34963" s="24"/>
      <c r="P34963"/>
      <c r="Q34963" s="24"/>
      <c r="R34963"/>
      <c r="S34963"/>
      <c r="T34963"/>
      <c r="U34963"/>
      <c r="X34963" s="60"/>
    </row>
    <row r="34964" spans="7:24" ht="15" customHeight="1">
      <c r="G34964"/>
      <c r="I34964"/>
      <c r="N34964"/>
      <c r="O34964" s="24"/>
      <c r="P34964"/>
      <c r="Q34964" s="24"/>
      <c r="R34964"/>
      <c r="S34964"/>
      <c r="T34964"/>
      <c r="U34964"/>
      <c r="X34964" s="60"/>
    </row>
    <row r="34965" spans="7:24" ht="15" customHeight="1">
      <c r="G34965"/>
      <c r="I34965"/>
      <c r="N34965"/>
      <c r="O34965" s="24"/>
      <c r="P34965"/>
      <c r="Q34965" s="24"/>
      <c r="R34965"/>
      <c r="S34965"/>
      <c r="T34965"/>
      <c r="U34965"/>
      <c r="X34965" s="60"/>
    </row>
    <row r="34966" spans="7:24" ht="15" customHeight="1">
      <c r="G34966"/>
      <c r="I34966"/>
      <c r="N34966"/>
      <c r="O34966" s="24"/>
      <c r="P34966"/>
      <c r="Q34966" s="24"/>
      <c r="R34966"/>
      <c r="S34966"/>
      <c r="T34966"/>
      <c r="U34966"/>
      <c r="X34966" s="60"/>
    </row>
    <row r="34967" spans="7:24" ht="15" customHeight="1">
      <c r="G34967"/>
      <c r="I34967"/>
      <c r="N34967"/>
      <c r="O34967" s="24"/>
      <c r="P34967"/>
      <c r="Q34967" s="24"/>
      <c r="R34967"/>
      <c r="S34967"/>
      <c r="T34967"/>
      <c r="U34967"/>
      <c r="X34967" s="60"/>
    </row>
    <row r="34968" spans="7:24" ht="15" customHeight="1">
      <c r="G34968"/>
      <c r="I34968"/>
      <c r="N34968"/>
      <c r="O34968" s="24"/>
      <c r="P34968"/>
      <c r="Q34968" s="24"/>
      <c r="R34968"/>
      <c r="S34968"/>
      <c r="T34968"/>
      <c r="U34968"/>
      <c r="X34968" s="60"/>
    </row>
    <row r="34969" spans="7:24" ht="15" customHeight="1">
      <c r="G34969"/>
      <c r="I34969"/>
      <c r="N34969"/>
      <c r="O34969" s="24"/>
      <c r="P34969"/>
      <c r="Q34969" s="24"/>
      <c r="R34969"/>
      <c r="S34969"/>
      <c r="T34969"/>
      <c r="U34969"/>
      <c r="X34969" s="60"/>
    </row>
    <row r="34970" spans="7:24" ht="15" customHeight="1">
      <c r="G34970"/>
      <c r="I34970"/>
      <c r="N34970"/>
      <c r="O34970" s="24"/>
      <c r="P34970"/>
      <c r="Q34970" s="24"/>
      <c r="R34970"/>
      <c r="S34970"/>
      <c r="T34970"/>
      <c r="U34970"/>
      <c r="X34970" s="60"/>
    </row>
    <row r="34971" spans="7:24" ht="15" customHeight="1">
      <c r="G34971"/>
      <c r="I34971"/>
      <c r="N34971"/>
      <c r="O34971" s="24"/>
      <c r="P34971"/>
      <c r="Q34971" s="24"/>
      <c r="R34971"/>
      <c r="S34971"/>
      <c r="T34971"/>
      <c r="U34971"/>
      <c r="X34971" s="60"/>
    </row>
    <row r="34972" spans="7:24" ht="15" customHeight="1">
      <c r="G34972"/>
      <c r="I34972"/>
      <c r="N34972"/>
      <c r="O34972" s="24"/>
      <c r="P34972"/>
      <c r="Q34972" s="24"/>
      <c r="R34972"/>
      <c r="S34972"/>
      <c r="T34972"/>
      <c r="U34972"/>
      <c r="X34972" s="60"/>
    </row>
    <row r="34973" spans="7:24" ht="15" customHeight="1">
      <c r="G34973"/>
      <c r="I34973"/>
      <c r="N34973"/>
      <c r="O34973" s="24"/>
      <c r="P34973"/>
      <c r="Q34973" s="24"/>
      <c r="R34973"/>
      <c r="S34973"/>
      <c r="T34973"/>
      <c r="U34973"/>
      <c r="X34973" s="60"/>
    </row>
    <row r="34974" spans="7:24" ht="15" customHeight="1">
      <c r="G34974"/>
      <c r="I34974"/>
      <c r="N34974"/>
      <c r="O34974" s="24"/>
      <c r="P34974"/>
      <c r="Q34974" s="24"/>
      <c r="R34974"/>
      <c r="S34974"/>
      <c r="T34974"/>
      <c r="U34974"/>
      <c r="X34974" s="60"/>
    </row>
    <row r="34975" spans="7:24" ht="15" customHeight="1">
      <c r="G34975"/>
      <c r="I34975"/>
      <c r="N34975"/>
      <c r="O34975" s="24"/>
      <c r="P34975"/>
      <c r="Q34975" s="24"/>
      <c r="R34975"/>
      <c r="S34975"/>
      <c r="T34975"/>
      <c r="U34975"/>
      <c r="X34975" s="60"/>
    </row>
    <row r="34976" spans="7:24" ht="15" customHeight="1">
      <c r="G34976"/>
      <c r="I34976"/>
      <c r="N34976"/>
      <c r="O34976" s="24"/>
      <c r="P34976"/>
      <c r="Q34976" s="24"/>
      <c r="R34976"/>
      <c r="S34976"/>
      <c r="T34976"/>
      <c r="U34976"/>
      <c r="X34976" s="60"/>
    </row>
    <row r="34977" spans="7:24" ht="15" customHeight="1">
      <c r="G34977"/>
      <c r="I34977"/>
      <c r="N34977"/>
      <c r="O34977" s="24"/>
      <c r="P34977"/>
      <c r="Q34977" s="24"/>
      <c r="R34977"/>
      <c r="S34977"/>
      <c r="T34977"/>
      <c r="U34977"/>
      <c r="X34977" s="60"/>
    </row>
    <row r="34978" spans="7:24" ht="15" customHeight="1">
      <c r="G34978"/>
      <c r="I34978"/>
      <c r="N34978"/>
      <c r="O34978" s="24"/>
      <c r="P34978"/>
      <c r="Q34978" s="24"/>
      <c r="R34978"/>
      <c r="S34978"/>
      <c r="T34978"/>
      <c r="U34978"/>
      <c r="X34978" s="60"/>
    </row>
    <row r="34979" spans="7:24" ht="15" customHeight="1">
      <c r="G34979"/>
      <c r="I34979"/>
      <c r="N34979"/>
      <c r="O34979" s="24"/>
      <c r="P34979"/>
      <c r="Q34979" s="24"/>
      <c r="R34979"/>
      <c r="S34979"/>
      <c r="T34979"/>
      <c r="U34979"/>
      <c r="X34979" s="60"/>
    </row>
    <row r="34980" spans="7:24" ht="15" customHeight="1">
      <c r="G34980"/>
      <c r="I34980"/>
      <c r="N34980"/>
      <c r="O34980" s="24"/>
      <c r="P34980"/>
      <c r="Q34980" s="24"/>
      <c r="R34980"/>
      <c r="S34980"/>
      <c r="T34980"/>
      <c r="U34980"/>
      <c r="X34980" s="60"/>
    </row>
    <row r="34981" spans="7:24" ht="15" customHeight="1">
      <c r="G34981"/>
      <c r="I34981"/>
      <c r="N34981"/>
      <c r="O34981" s="24"/>
      <c r="P34981"/>
      <c r="Q34981" s="24"/>
      <c r="R34981"/>
      <c r="S34981"/>
      <c r="T34981"/>
      <c r="U34981"/>
      <c r="X34981" s="60"/>
    </row>
    <row r="34982" spans="7:24" ht="15" customHeight="1">
      <c r="G34982"/>
      <c r="I34982"/>
      <c r="N34982"/>
      <c r="O34982" s="24"/>
      <c r="P34982"/>
      <c r="Q34982" s="24"/>
      <c r="R34982"/>
      <c r="S34982"/>
      <c r="T34982"/>
      <c r="U34982"/>
      <c r="X34982" s="60"/>
    </row>
    <row r="34983" spans="7:24" ht="15" customHeight="1">
      <c r="G34983"/>
      <c r="I34983"/>
      <c r="N34983"/>
      <c r="O34983" s="24"/>
      <c r="P34983"/>
      <c r="Q34983" s="24"/>
      <c r="R34983"/>
      <c r="S34983"/>
      <c r="T34983"/>
      <c r="U34983"/>
      <c r="X34983" s="60"/>
    </row>
    <row r="34984" spans="7:24" ht="15" customHeight="1">
      <c r="G34984"/>
      <c r="I34984"/>
      <c r="N34984"/>
      <c r="O34984" s="24"/>
      <c r="P34984"/>
      <c r="Q34984" s="24"/>
      <c r="R34984"/>
      <c r="S34984"/>
      <c r="T34984"/>
      <c r="U34984"/>
      <c r="X34984" s="60"/>
    </row>
    <row r="34985" spans="7:24" ht="15" customHeight="1">
      <c r="G34985"/>
      <c r="I34985"/>
      <c r="N34985"/>
      <c r="O34985" s="24"/>
      <c r="P34985"/>
      <c r="Q34985" s="24"/>
      <c r="R34985"/>
      <c r="S34985"/>
      <c r="T34985"/>
      <c r="U34985"/>
      <c r="X34985" s="60"/>
    </row>
    <row r="34986" spans="7:24" ht="15" customHeight="1">
      <c r="G34986"/>
      <c r="I34986"/>
      <c r="N34986"/>
      <c r="O34986" s="24"/>
      <c r="P34986"/>
      <c r="Q34986" s="24"/>
      <c r="R34986"/>
      <c r="S34986"/>
      <c r="T34986"/>
      <c r="U34986"/>
      <c r="X34986" s="60"/>
    </row>
    <row r="34987" spans="7:24" ht="15" customHeight="1">
      <c r="G34987"/>
      <c r="I34987"/>
      <c r="N34987"/>
      <c r="O34987" s="24"/>
      <c r="P34987"/>
      <c r="Q34987" s="24"/>
      <c r="R34987"/>
      <c r="S34987"/>
      <c r="T34987"/>
      <c r="U34987"/>
      <c r="X34987" s="60"/>
    </row>
    <row r="34988" spans="7:24" ht="15" customHeight="1">
      <c r="G34988"/>
      <c r="I34988"/>
      <c r="N34988"/>
      <c r="O34988" s="24"/>
      <c r="P34988"/>
      <c r="Q34988" s="24"/>
      <c r="R34988"/>
      <c r="S34988"/>
      <c r="T34988"/>
      <c r="U34988"/>
      <c r="X34988" s="60"/>
    </row>
    <row r="34989" spans="7:24" ht="15" customHeight="1">
      <c r="G34989"/>
      <c r="I34989"/>
      <c r="N34989"/>
      <c r="O34989" s="24"/>
      <c r="P34989"/>
      <c r="Q34989" s="24"/>
      <c r="R34989"/>
      <c r="S34989"/>
      <c r="T34989"/>
      <c r="U34989"/>
      <c r="X34989" s="60"/>
    </row>
    <row r="34990" spans="7:24" ht="15" customHeight="1">
      <c r="G34990"/>
      <c r="I34990"/>
      <c r="N34990"/>
      <c r="O34990" s="24"/>
      <c r="P34990"/>
      <c r="Q34990" s="24"/>
      <c r="R34990"/>
      <c r="S34990"/>
      <c r="T34990"/>
      <c r="U34990"/>
      <c r="X34990" s="60"/>
    </row>
    <row r="34991" spans="7:24" ht="15" customHeight="1">
      <c r="G34991"/>
      <c r="I34991"/>
      <c r="N34991"/>
      <c r="O34991" s="24"/>
      <c r="P34991"/>
      <c r="Q34991" s="24"/>
      <c r="R34991"/>
      <c r="S34991"/>
      <c r="T34991"/>
      <c r="U34991"/>
      <c r="X34991" s="60"/>
    </row>
    <row r="34992" spans="7:24" ht="15" customHeight="1">
      <c r="G34992"/>
      <c r="I34992"/>
      <c r="N34992"/>
      <c r="O34992" s="24"/>
      <c r="P34992"/>
      <c r="Q34992" s="24"/>
      <c r="R34992"/>
      <c r="S34992"/>
      <c r="T34992"/>
      <c r="U34992"/>
      <c r="X34992" s="60"/>
    </row>
    <row r="34993" spans="7:24" ht="15" customHeight="1">
      <c r="G34993"/>
      <c r="I34993"/>
      <c r="N34993"/>
      <c r="O34993" s="24"/>
      <c r="P34993"/>
      <c r="Q34993" s="24"/>
      <c r="R34993"/>
      <c r="S34993"/>
      <c r="T34993"/>
      <c r="U34993"/>
      <c r="X34993" s="60"/>
    </row>
    <row r="34994" spans="7:24" ht="15" customHeight="1">
      <c r="G34994"/>
      <c r="I34994"/>
      <c r="N34994"/>
      <c r="O34994" s="24"/>
      <c r="P34994"/>
      <c r="Q34994" s="24"/>
      <c r="R34994"/>
      <c r="S34994"/>
      <c r="T34994"/>
      <c r="U34994"/>
      <c r="X34994" s="60"/>
    </row>
    <row r="34995" spans="7:24" ht="15" customHeight="1">
      <c r="G34995"/>
      <c r="I34995"/>
      <c r="N34995"/>
      <c r="O34995" s="24"/>
      <c r="P34995"/>
      <c r="Q34995" s="24"/>
      <c r="R34995"/>
      <c r="S34995"/>
      <c r="T34995"/>
      <c r="U34995"/>
      <c r="X34995" s="60"/>
    </row>
    <row r="34996" spans="7:24" ht="15" customHeight="1">
      <c r="G34996"/>
      <c r="I34996"/>
      <c r="N34996"/>
      <c r="O34996" s="24"/>
      <c r="P34996"/>
      <c r="Q34996" s="24"/>
      <c r="R34996"/>
      <c r="S34996"/>
      <c r="T34996"/>
      <c r="U34996"/>
      <c r="X34996" s="60"/>
    </row>
    <row r="34997" spans="7:24" ht="15" customHeight="1">
      <c r="G34997"/>
      <c r="I34997"/>
      <c r="N34997"/>
      <c r="O34997" s="24"/>
      <c r="P34997"/>
      <c r="Q34997" s="24"/>
      <c r="R34997"/>
      <c r="S34997"/>
      <c r="T34997"/>
      <c r="U34997"/>
      <c r="X34997" s="60"/>
    </row>
    <row r="34998" spans="7:24" ht="15" customHeight="1">
      <c r="G34998"/>
      <c r="I34998"/>
      <c r="N34998"/>
      <c r="O34998" s="24"/>
      <c r="P34998"/>
      <c r="Q34998" s="24"/>
      <c r="R34998"/>
      <c r="S34998"/>
      <c r="T34998"/>
      <c r="U34998"/>
      <c r="X34998" s="60"/>
    </row>
    <row r="34999" spans="7:24" ht="15" customHeight="1">
      <c r="G34999"/>
      <c r="I34999"/>
      <c r="N34999"/>
      <c r="O34999" s="24"/>
      <c r="P34999"/>
      <c r="Q34999" s="24"/>
      <c r="R34999"/>
      <c r="S34999"/>
      <c r="T34999"/>
      <c r="U34999"/>
      <c r="X34999" s="60"/>
    </row>
    <row r="35000" spans="7:24" ht="15" customHeight="1">
      <c r="G35000"/>
      <c r="I35000"/>
      <c r="N35000"/>
      <c r="O35000" s="24"/>
      <c r="P35000"/>
      <c r="Q35000" s="24"/>
      <c r="R35000"/>
      <c r="S35000"/>
      <c r="T35000"/>
      <c r="U35000"/>
      <c r="X35000" s="60"/>
    </row>
    <row r="35001" spans="7:24" ht="15" customHeight="1">
      <c r="G35001"/>
      <c r="I35001"/>
      <c r="N35001"/>
      <c r="O35001" s="24"/>
      <c r="P35001"/>
      <c r="Q35001" s="24"/>
      <c r="R35001"/>
      <c r="S35001"/>
      <c r="T35001"/>
      <c r="U35001"/>
      <c r="X35001" s="60"/>
    </row>
    <row r="35002" spans="7:24" ht="15" customHeight="1">
      <c r="G35002"/>
      <c r="I35002"/>
      <c r="N35002"/>
      <c r="O35002" s="24"/>
      <c r="P35002"/>
      <c r="Q35002" s="24"/>
      <c r="R35002"/>
      <c r="S35002"/>
      <c r="T35002"/>
      <c r="U35002"/>
      <c r="X35002" s="60"/>
    </row>
    <row r="35003" spans="7:24" ht="15" customHeight="1">
      <c r="G35003"/>
      <c r="I35003"/>
      <c r="N35003"/>
      <c r="O35003" s="24"/>
      <c r="P35003"/>
      <c r="Q35003" s="24"/>
      <c r="R35003"/>
      <c r="S35003"/>
      <c r="T35003"/>
      <c r="U35003"/>
      <c r="X35003" s="60"/>
    </row>
    <row r="35004" spans="7:24" ht="15" customHeight="1">
      <c r="G35004"/>
      <c r="I35004"/>
      <c r="N35004"/>
      <c r="O35004" s="24"/>
      <c r="P35004"/>
      <c r="Q35004" s="24"/>
      <c r="R35004"/>
      <c r="S35004"/>
      <c r="T35004"/>
      <c r="U35004"/>
      <c r="X35004" s="60"/>
    </row>
    <row r="35005" spans="7:24" ht="15" customHeight="1">
      <c r="G35005"/>
      <c r="I35005"/>
      <c r="N35005"/>
      <c r="O35005" s="24"/>
      <c r="P35005"/>
      <c r="Q35005" s="24"/>
      <c r="R35005"/>
      <c r="S35005"/>
      <c r="T35005"/>
      <c r="U35005"/>
      <c r="X35005" s="60"/>
    </row>
    <row r="35006" spans="7:24" ht="15" customHeight="1">
      <c r="G35006"/>
      <c r="I35006"/>
      <c r="N35006"/>
      <c r="O35006" s="24"/>
      <c r="P35006"/>
      <c r="Q35006" s="24"/>
      <c r="R35006"/>
      <c r="S35006"/>
      <c r="T35006"/>
      <c r="U35006"/>
      <c r="X35006" s="60"/>
    </row>
    <row r="35007" spans="7:24" ht="15" customHeight="1">
      <c r="G35007"/>
      <c r="I35007"/>
      <c r="N35007"/>
      <c r="O35007" s="24"/>
      <c r="P35007"/>
      <c r="Q35007" s="24"/>
      <c r="R35007"/>
      <c r="S35007"/>
      <c r="T35007"/>
      <c r="U35007"/>
      <c r="X35007" s="60"/>
    </row>
    <row r="35008" spans="7:24" ht="15" customHeight="1">
      <c r="G35008"/>
      <c r="I35008"/>
      <c r="N35008"/>
      <c r="O35008" s="24"/>
      <c r="P35008"/>
      <c r="Q35008" s="24"/>
      <c r="R35008"/>
      <c r="S35008"/>
      <c r="T35008"/>
      <c r="U35008"/>
      <c r="X35008" s="60"/>
    </row>
    <row r="35009" spans="7:24" ht="15" customHeight="1">
      <c r="G35009"/>
      <c r="I35009"/>
      <c r="N35009"/>
      <c r="O35009" s="24"/>
      <c r="P35009"/>
      <c r="Q35009" s="24"/>
      <c r="R35009"/>
      <c r="S35009"/>
      <c r="T35009"/>
      <c r="U35009"/>
      <c r="X35009" s="60"/>
    </row>
    <row r="35010" spans="7:24" ht="15" customHeight="1">
      <c r="G35010"/>
      <c r="I35010"/>
      <c r="N35010"/>
      <c r="O35010" s="24"/>
      <c r="P35010"/>
      <c r="Q35010" s="24"/>
      <c r="R35010"/>
      <c r="S35010"/>
      <c r="T35010"/>
      <c r="U35010"/>
      <c r="X35010" s="60"/>
    </row>
    <row r="35011" spans="7:24" ht="15" customHeight="1">
      <c r="G35011"/>
      <c r="I35011"/>
      <c r="N35011"/>
      <c r="O35011" s="24"/>
      <c r="P35011"/>
      <c r="Q35011" s="24"/>
      <c r="R35011"/>
      <c r="S35011"/>
      <c r="T35011"/>
      <c r="U35011"/>
      <c r="X35011" s="60"/>
    </row>
    <row r="35012" spans="7:24" ht="15" customHeight="1">
      <c r="G35012"/>
      <c r="I35012"/>
      <c r="N35012"/>
      <c r="O35012" s="24"/>
      <c r="P35012"/>
      <c r="Q35012" s="24"/>
      <c r="R35012"/>
      <c r="S35012"/>
      <c r="T35012"/>
      <c r="U35012"/>
      <c r="X35012" s="60"/>
    </row>
    <row r="35013" spans="7:24" ht="15" customHeight="1">
      <c r="G35013"/>
      <c r="I35013"/>
      <c r="N35013"/>
      <c r="O35013" s="24"/>
      <c r="P35013"/>
      <c r="Q35013" s="24"/>
      <c r="R35013"/>
      <c r="S35013"/>
      <c r="T35013"/>
      <c r="U35013"/>
      <c r="X35013" s="60"/>
    </row>
    <row r="35014" spans="7:24" ht="15" customHeight="1">
      <c r="G35014"/>
      <c r="I35014"/>
      <c r="N35014"/>
      <c r="O35014" s="24"/>
      <c r="P35014"/>
      <c r="Q35014" s="24"/>
      <c r="R35014"/>
      <c r="S35014"/>
      <c r="T35014"/>
      <c r="U35014"/>
      <c r="X35014" s="60"/>
    </row>
    <row r="35015" spans="7:24" ht="15" customHeight="1">
      <c r="G35015"/>
      <c r="I35015"/>
      <c r="N35015"/>
      <c r="O35015" s="24"/>
      <c r="P35015"/>
      <c r="Q35015" s="24"/>
      <c r="R35015"/>
      <c r="S35015"/>
      <c r="T35015"/>
      <c r="U35015"/>
      <c r="X35015" s="60"/>
    </row>
    <row r="35016" spans="7:24" ht="15" customHeight="1">
      <c r="G35016"/>
      <c r="I35016"/>
      <c r="N35016"/>
      <c r="O35016" s="24"/>
      <c r="P35016"/>
      <c r="Q35016" s="24"/>
      <c r="R35016"/>
      <c r="S35016"/>
      <c r="T35016"/>
      <c r="U35016"/>
      <c r="X35016" s="60"/>
    </row>
    <row r="35017" spans="7:24" ht="15" customHeight="1">
      <c r="G35017"/>
      <c r="I35017"/>
      <c r="N35017"/>
      <c r="O35017" s="24"/>
      <c r="P35017"/>
      <c r="Q35017" s="24"/>
      <c r="R35017"/>
      <c r="S35017"/>
      <c r="T35017"/>
      <c r="U35017"/>
      <c r="X35017" s="60"/>
    </row>
    <row r="35018" spans="7:24" ht="15" customHeight="1">
      <c r="G35018"/>
      <c r="I35018"/>
      <c r="N35018"/>
      <c r="O35018" s="24"/>
      <c r="P35018"/>
      <c r="Q35018" s="24"/>
      <c r="R35018"/>
      <c r="S35018"/>
      <c r="T35018"/>
      <c r="U35018"/>
      <c r="X35018" s="60"/>
    </row>
    <row r="35019" spans="7:24" ht="15" customHeight="1">
      <c r="G35019"/>
      <c r="I35019"/>
      <c r="N35019"/>
      <c r="O35019" s="24"/>
      <c r="P35019"/>
      <c r="Q35019" s="24"/>
      <c r="R35019"/>
      <c r="S35019"/>
      <c r="T35019"/>
      <c r="U35019"/>
      <c r="X35019" s="60"/>
    </row>
    <row r="35020" spans="7:24" ht="15" customHeight="1">
      <c r="G35020"/>
      <c r="I35020"/>
      <c r="N35020"/>
      <c r="O35020" s="24"/>
      <c r="P35020"/>
      <c r="Q35020" s="24"/>
      <c r="R35020"/>
      <c r="S35020"/>
      <c r="T35020"/>
      <c r="U35020"/>
      <c r="X35020" s="60"/>
    </row>
    <row r="35021" spans="7:24" ht="15" customHeight="1">
      <c r="G35021"/>
      <c r="I35021"/>
      <c r="N35021"/>
      <c r="O35021" s="24"/>
      <c r="P35021"/>
      <c r="Q35021" s="24"/>
      <c r="R35021"/>
      <c r="S35021"/>
      <c r="T35021"/>
      <c r="U35021"/>
      <c r="X35021" s="60"/>
    </row>
    <row r="35022" spans="7:24" ht="15" customHeight="1">
      <c r="G35022"/>
      <c r="I35022"/>
      <c r="N35022"/>
      <c r="O35022" s="24"/>
      <c r="P35022"/>
      <c r="Q35022" s="24"/>
      <c r="R35022"/>
      <c r="S35022"/>
      <c r="T35022"/>
      <c r="U35022"/>
      <c r="X35022" s="60"/>
    </row>
    <row r="35023" spans="7:24" ht="15" customHeight="1">
      <c r="G35023"/>
      <c r="I35023"/>
      <c r="N35023"/>
      <c r="O35023" s="24"/>
      <c r="P35023"/>
      <c r="Q35023" s="24"/>
      <c r="R35023"/>
      <c r="S35023"/>
      <c r="T35023"/>
      <c r="U35023"/>
      <c r="X35023" s="60"/>
    </row>
    <row r="35024" spans="7:24" ht="15" customHeight="1">
      <c r="G35024"/>
      <c r="I35024"/>
      <c r="N35024"/>
      <c r="O35024" s="24"/>
      <c r="P35024"/>
      <c r="Q35024" s="24"/>
      <c r="R35024"/>
      <c r="S35024"/>
      <c r="T35024"/>
      <c r="U35024"/>
      <c r="X35024" s="60"/>
    </row>
    <row r="35025" spans="7:24" ht="15" customHeight="1">
      <c r="G35025"/>
      <c r="I35025"/>
      <c r="N35025"/>
      <c r="O35025" s="24"/>
      <c r="P35025"/>
      <c r="Q35025" s="24"/>
      <c r="R35025"/>
      <c r="S35025"/>
      <c r="T35025"/>
      <c r="U35025"/>
      <c r="X35025" s="60"/>
    </row>
    <row r="35026" spans="7:24" ht="15" customHeight="1">
      <c r="G35026"/>
      <c r="I35026"/>
      <c r="N35026"/>
      <c r="O35026" s="24"/>
      <c r="P35026"/>
      <c r="Q35026" s="24"/>
      <c r="R35026"/>
      <c r="S35026"/>
      <c r="T35026"/>
      <c r="U35026"/>
      <c r="X35026" s="60"/>
    </row>
    <row r="35027" spans="7:24" ht="15" customHeight="1">
      <c r="G35027"/>
      <c r="I35027"/>
      <c r="N35027"/>
      <c r="O35027" s="24"/>
      <c r="P35027"/>
      <c r="Q35027" s="24"/>
      <c r="R35027"/>
      <c r="S35027"/>
      <c r="T35027"/>
      <c r="U35027"/>
      <c r="X35027" s="60"/>
    </row>
    <row r="35028" spans="7:24" ht="15" customHeight="1">
      <c r="G35028"/>
      <c r="I35028"/>
      <c r="N35028"/>
      <c r="O35028" s="24"/>
      <c r="P35028"/>
      <c r="Q35028" s="24"/>
      <c r="R35028"/>
      <c r="S35028"/>
      <c r="T35028"/>
      <c r="U35028"/>
      <c r="X35028" s="60"/>
    </row>
    <row r="35029" spans="7:24" ht="15" customHeight="1">
      <c r="G35029"/>
      <c r="I35029"/>
      <c r="N35029"/>
      <c r="O35029" s="24"/>
      <c r="P35029"/>
      <c r="Q35029" s="24"/>
      <c r="R35029"/>
      <c r="S35029"/>
      <c r="T35029"/>
      <c r="U35029"/>
      <c r="X35029" s="60"/>
    </row>
    <row r="35030" spans="7:24" ht="15" customHeight="1">
      <c r="G35030"/>
      <c r="I35030"/>
      <c r="N35030"/>
      <c r="O35030" s="24"/>
      <c r="P35030"/>
      <c r="Q35030" s="24"/>
      <c r="R35030"/>
      <c r="S35030"/>
      <c r="T35030"/>
      <c r="U35030"/>
      <c r="X35030" s="60"/>
    </row>
    <row r="35031" spans="7:24" ht="15" customHeight="1">
      <c r="G35031"/>
      <c r="I35031"/>
      <c r="N35031"/>
      <c r="O35031" s="24"/>
      <c r="P35031"/>
      <c r="Q35031" s="24"/>
      <c r="R35031"/>
      <c r="S35031"/>
      <c r="T35031"/>
      <c r="U35031"/>
      <c r="X35031" s="60"/>
    </row>
    <row r="35032" spans="7:24" ht="15" customHeight="1">
      <c r="G35032"/>
      <c r="I35032"/>
      <c r="N35032"/>
      <c r="O35032" s="24"/>
      <c r="P35032"/>
      <c r="Q35032" s="24"/>
      <c r="R35032"/>
      <c r="S35032"/>
      <c r="T35032"/>
      <c r="U35032"/>
      <c r="X35032" s="60"/>
    </row>
    <row r="35033" spans="7:24" ht="15" customHeight="1">
      <c r="G35033"/>
      <c r="I35033"/>
      <c r="N35033"/>
      <c r="O35033" s="24"/>
      <c r="P35033"/>
      <c r="Q35033" s="24"/>
      <c r="R35033"/>
      <c r="S35033"/>
      <c r="T35033"/>
      <c r="U35033"/>
      <c r="X35033" s="60"/>
    </row>
    <row r="35034" spans="7:24" ht="15" customHeight="1">
      <c r="G35034"/>
      <c r="I35034"/>
      <c r="N35034"/>
      <c r="O35034" s="24"/>
      <c r="P35034"/>
      <c r="Q35034" s="24"/>
      <c r="R35034"/>
      <c r="S35034"/>
      <c r="T35034"/>
      <c r="U35034"/>
      <c r="X35034" s="60"/>
    </row>
    <row r="35035" spans="7:24" ht="15" customHeight="1">
      <c r="G35035"/>
      <c r="I35035"/>
      <c r="N35035"/>
      <c r="O35035" s="24"/>
      <c r="P35035"/>
      <c r="Q35035" s="24"/>
      <c r="R35035"/>
      <c r="S35035"/>
      <c r="T35035"/>
      <c r="U35035"/>
      <c r="X35035" s="60"/>
    </row>
    <row r="35036" spans="7:24" ht="15" customHeight="1">
      <c r="G35036"/>
      <c r="I35036"/>
      <c r="N35036"/>
      <c r="O35036" s="24"/>
      <c r="P35036"/>
      <c r="Q35036" s="24"/>
      <c r="R35036"/>
      <c r="S35036"/>
      <c r="T35036"/>
      <c r="U35036"/>
      <c r="X35036" s="60"/>
    </row>
    <row r="35037" spans="7:24" ht="15" customHeight="1">
      <c r="G35037"/>
      <c r="I35037"/>
      <c r="N35037"/>
      <c r="O35037" s="24"/>
      <c r="P35037"/>
      <c r="Q35037" s="24"/>
      <c r="R35037"/>
      <c r="S35037"/>
      <c r="T35037"/>
      <c r="U35037"/>
      <c r="X35037" s="60"/>
    </row>
    <row r="35038" spans="7:24" ht="15" customHeight="1">
      <c r="G35038"/>
      <c r="I35038"/>
      <c r="N35038"/>
      <c r="O35038" s="24"/>
      <c r="P35038"/>
      <c r="Q35038" s="24"/>
      <c r="R35038"/>
      <c r="S35038"/>
      <c r="T35038"/>
      <c r="U35038"/>
      <c r="X35038" s="60"/>
    </row>
    <row r="35039" spans="7:24" ht="15" customHeight="1">
      <c r="G35039"/>
      <c r="I35039"/>
      <c r="N35039"/>
      <c r="O35039" s="24"/>
      <c r="P35039"/>
      <c r="Q35039" s="24"/>
      <c r="R35039"/>
      <c r="S35039"/>
      <c r="T35039"/>
      <c r="U35039"/>
      <c r="X35039" s="60"/>
    </row>
    <row r="35040" spans="7:24" ht="15" customHeight="1">
      <c r="G35040"/>
      <c r="I35040"/>
      <c r="N35040"/>
      <c r="O35040" s="24"/>
      <c r="P35040"/>
      <c r="Q35040" s="24"/>
      <c r="R35040"/>
      <c r="S35040"/>
      <c r="T35040"/>
      <c r="U35040"/>
      <c r="X35040" s="60"/>
    </row>
    <row r="35041" spans="7:24" ht="15" customHeight="1">
      <c r="G35041"/>
      <c r="I35041"/>
      <c r="N35041"/>
      <c r="O35041" s="24"/>
      <c r="P35041"/>
      <c r="Q35041" s="24"/>
      <c r="R35041"/>
      <c r="S35041"/>
      <c r="T35041"/>
      <c r="U35041"/>
      <c r="X35041" s="60"/>
    </row>
    <row r="35042" spans="7:24" ht="15" customHeight="1">
      <c r="G35042"/>
      <c r="I35042"/>
      <c r="N35042"/>
      <c r="O35042" s="24"/>
      <c r="P35042"/>
      <c r="Q35042" s="24"/>
      <c r="R35042"/>
      <c r="S35042"/>
      <c r="T35042"/>
      <c r="U35042"/>
      <c r="X35042" s="60"/>
    </row>
    <row r="35043" spans="7:24" ht="15" customHeight="1">
      <c r="G35043"/>
      <c r="I35043"/>
      <c r="N35043"/>
      <c r="O35043" s="24"/>
      <c r="P35043"/>
      <c r="Q35043" s="24"/>
      <c r="R35043"/>
      <c r="S35043"/>
      <c r="T35043"/>
      <c r="U35043"/>
      <c r="X35043" s="60"/>
    </row>
    <row r="35044" spans="7:24" ht="15" customHeight="1">
      <c r="G35044"/>
      <c r="I35044"/>
      <c r="N35044"/>
      <c r="O35044" s="24"/>
      <c r="P35044"/>
      <c r="Q35044" s="24"/>
      <c r="R35044"/>
      <c r="S35044"/>
      <c r="T35044"/>
      <c r="U35044"/>
      <c r="X35044" s="60"/>
    </row>
    <row r="35045" spans="7:24" ht="15" customHeight="1">
      <c r="G35045"/>
      <c r="I35045"/>
      <c r="N35045"/>
      <c r="O35045" s="24"/>
      <c r="P35045"/>
      <c r="Q35045" s="24"/>
      <c r="R35045"/>
      <c r="S35045"/>
      <c r="T35045"/>
      <c r="U35045"/>
      <c r="X35045" s="60"/>
    </row>
    <row r="35046" spans="7:24" ht="15" customHeight="1">
      <c r="G35046"/>
      <c r="I35046"/>
      <c r="N35046"/>
      <c r="O35046" s="24"/>
      <c r="P35046"/>
      <c r="Q35046" s="24"/>
      <c r="R35046"/>
      <c r="S35046"/>
      <c r="T35046"/>
      <c r="U35046"/>
      <c r="X35046" s="60"/>
    </row>
    <row r="35047" spans="7:24" ht="15" customHeight="1">
      <c r="G35047"/>
      <c r="I35047"/>
      <c r="N35047"/>
      <c r="O35047" s="24"/>
      <c r="P35047"/>
      <c r="Q35047" s="24"/>
      <c r="R35047"/>
      <c r="S35047"/>
      <c r="T35047"/>
      <c r="U35047"/>
      <c r="X35047" s="60"/>
    </row>
    <row r="35048" spans="7:24" ht="15" customHeight="1">
      <c r="G35048"/>
      <c r="I35048"/>
      <c r="N35048"/>
      <c r="O35048" s="24"/>
      <c r="P35048"/>
      <c r="Q35048" s="24"/>
      <c r="R35048"/>
      <c r="S35048"/>
      <c r="T35048"/>
      <c r="U35048"/>
      <c r="X35048" s="60"/>
    </row>
    <row r="35049" spans="7:24" ht="15" customHeight="1">
      <c r="G35049"/>
      <c r="I35049"/>
      <c r="N35049"/>
      <c r="O35049" s="24"/>
      <c r="P35049"/>
      <c r="Q35049" s="24"/>
      <c r="R35049"/>
      <c r="S35049"/>
      <c r="T35049"/>
      <c r="U35049"/>
      <c r="X35049" s="60"/>
    </row>
    <row r="35050" spans="7:24" ht="15" customHeight="1">
      <c r="G35050"/>
      <c r="I35050"/>
      <c r="N35050"/>
      <c r="O35050" s="24"/>
      <c r="P35050"/>
      <c r="Q35050" s="24"/>
      <c r="R35050"/>
      <c r="S35050"/>
      <c r="T35050"/>
      <c r="U35050"/>
      <c r="X35050" s="60"/>
    </row>
    <row r="35051" spans="7:24" ht="15" customHeight="1">
      <c r="G35051"/>
      <c r="I35051"/>
      <c r="N35051"/>
      <c r="O35051" s="24"/>
      <c r="P35051"/>
      <c r="Q35051" s="24"/>
      <c r="R35051"/>
      <c r="S35051"/>
      <c r="T35051"/>
      <c r="U35051"/>
      <c r="X35051" s="60"/>
    </row>
    <row r="35052" spans="7:24" ht="15" customHeight="1">
      <c r="G35052"/>
      <c r="I35052"/>
      <c r="N35052"/>
      <c r="O35052" s="24"/>
      <c r="P35052"/>
      <c r="Q35052" s="24"/>
      <c r="R35052"/>
      <c r="S35052"/>
      <c r="T35052"/>
      <c r="U35052"/>
      <c r="X35052" s="60"/>
    </row>
    <row r="35053" spans="7:24" ht="15" customHeight="1">
      <c r="G35053"/>
      <c r="I35053"/>
      <c r="N35053"/>
      <c r="O35053" s="24"/>
      <c r="P35053"/>
      <c r="Q35053" s="24"/>
      <c r="R35053"/>
      <c r="S35053"/>
      <c r="T35053"/>
      <c r="U35053"/>
      <c r="X35053" s="60"/>
    </row>
    <row r="35054" spans="7:24" ht="15" customHeight="1">
      <c r="G35054"/>
      <c r="I35054"/>
      <c r="N35054"/>
      <c r="O35054" s="24"/>
      <c r="P35054"/>
      <c r="Q35054" s="24"/>
      <c r="R35054"/>
      <c r="S35054"/>
      <c r="T35054"/>
      <c r="U35054"/>
      <c r="X35054" s="60"/>
    </row>
    <row r="35055" spans="7:24" ht="15" customHeight="1">
      <c r="G35055"/>
      <c r="I35055"/>
      <c r="N35055"/>
      <c r="O35055" s="24"/>
      <c r="P35055"/>
      <c r="Q35055" s="24"/>
      <c r="R35055"/>
      <c r="S35055"/>
      <c r="T35055"/>
      <c r="U35055"/>
      <c r="X35055" s="60"/>
    </row>
    <row r="35056" spans="7:24" ht="15" customHeight="1">
      <c r="G35056"/>
      <c r="I35056"/>
      <c r="N35056"/>
      <c r="O35056" s="24"/>
      <c r="P35056"/>
      <c r="Q35056" s="24"/>
      <c r="R35056"/>
      <c r="S35056"/>
      <c r="T35056"/>
      <c r="U35056"/>
      <c r="X35056" s="60"/>
    </row>
    <row r="35057" spans="7:24" ht="15" customHeight="1">
      <c r="G35057"/>
      <c r="I35057"/>
      <c r="N35057"/>
      <c r="O35057" s="24"/>
      <c r="P35057"/>
      <c r="Q35057" s="24"/>
      <c r="R35057"/>
      <c r="S35057"/>
      <c r="T35057"/>
      <c r="U35057"/>
      <c r="X35057" s="60"/>
    </row>
    <row r="35058" spans="7:24" ht="15" customHeight="1">
      <c r="G35058"/>
      <c r="I35058"/>
      <c r="N35058"/>
      <c r="O35058" s="24"/>
      <c r="P35058"/>
      <c r="Q35058" s="24"/>
      <c r="R35058"/>
      <c r="S35058"/>
      <c r="T35058"/>
      <c r="U35058"/>
      <c r="X35058" s="60"/>
    </row>
    <row r="35059" spans="7:24" ht="15" customHeight="1">
      <c r="G35059"/>
      <c r="I35059"/>
      <c r="N35059"/>
      <c r="O35059" s="24"/>
      <c r="P35059"/>
      <c r="Q35059" s="24"/>
      <c r="R35059"/>
      <c r="S35059"/>
      <c r="T35059"/>
      <c r="U35059"/>
      <c r="X35059" s="60"/>
    </row>
    <row r="35060" spans="7:24" ht="15" customHeight="1">
      <c r="G35060"/>
      <c r="I35060"/>
      <c r="N35060"/>
      <c r="O35060" s="24"/>
      <c r="P35060"/>
      <c r="Q35060" s="24"/>
      <c r="R35060"/>
      <c r="S35060"/>
      <c r="T35060"/>
      <c r="U35060"/>
      <c r="X35060" s="60"/>
    </row>
    <row r="35061" spans="7:24" ht="15" customHeight="1">
      <c r="G35061"/>
      <c r="I35061"/>
      <c r="N35061"/>
      <c r="O35061" s="24"/>
      <c r="P35061"/>
      <c r="Q35061" s="24"/>
      <c r="R35061"/>
      <c r="S35061"/>
      <c r="T35061"/>
      <c r="U35061"/>
      <c r="X35061" s="60"/>
    </row>
    <row r="35062" spans="7:24" ht="15" customHeight="1">
      <c r="G35062"/>
      <c r="I35062"/>
      <c r="N35062"/>
      <c r="O35062" s="24"/>
      <c r="P35062"/>
      <c r="Q35062" s="24"/>
      <c r="R35062"/>
      <c r="S35062"/>
      <c r="T35062"/>
      <c r="U35062"/>
      <c r="X35062" s="60"/>
    </row>
    <row r="35063" spans="7:24" ht="15" customHeight="1">
      <c r="G35063"/>
      <c r="I35063"/>
      <c r="N35063"/>
      <c r="O35063" s="24"/>
      <c r="P35063"/>
      <c r="Q35063" s="24"/>
      <c r="R35063"/>
      <c r="S35063"/>
      <c r="T35063"/>
      <c r="U35063"/>
      <c r="X35063" s="60"/>
    </row>
    <row r="35064" spans="7:24" ht="15" customHeight="1">
      <c r="G35064"/>
      <c r="I35064"/>
      <c r="N35064"/>
      <c r="O35064" s="24"/>
      <c r="P35064"/>
      <c r="Q35064" s="24"/>
      <c r="R35064"/>
      <c r="S35064"/>
      <c r="T35064"/>
      <c r="U35064"/>
      <c r="X35064" s="60"/>
    </row>
    <row r="35065" spans="7:24" ht="15" customHeight="1">
      <c r="G35065"/>
      <c r="I35065"/>
      <c r="N35065"/>
      <c r="O35065" s="24"/>
      <c r="P35065"/>
      <c r="Q35065" s="24"/>
      <c r="R35065"/>
      <c r="S35065"/>
      <c r="T35065"/>
      <c r="U35065"/>
      <c r="X35065" s="60"/>
    </row>
    <row r="35066" spans="7:24" ht="15" customHeight="1">
      <c r="G35066"/>
      <c r="I35066"/>
      <c r="N35066"/>
      <c r="O35066" s="24"/>
      <c r="P35066"/>
      <c r="Q35066" s="24"/>
      <c r="R35066"/>
      <c r="S35066"/>
      <c r="T35066"/>
      <c r="U35066"/>
      <c r="X35066" s="60"/>
    </row>
    <row r="35067" spans="7:24" ht="15" customHeight="1">
      <c r="G35067"/>
      <c r="I35067"/>
      <c r="N35067"/>
      <c r="O35067" s="24"/>
      <c r="P35067"/>
      <c r="Q35067" s="24"/>
      <c r="R35067"/>
      <c r="S35067"/>
      <c r="T35067"/>
      <c r="U35067"/>
      <c r="X35067" s="60"/>
    </row>
    <row r="35068" spans="7:24" ht="15" customHeight="1">
      <c r="G35068"/>
      <c r="I35068"/>
      <c r="N35068"/>
      <c r="O35068" s="24"/>
      <c r="P35068"/>
      <c r="Q35068" s="24"/>
      <c r="R35068"/>
      <c r="S35068"/>
      <c r="T35068"/>
      <c r="U35068"/>
      <c r="X35068" s="60"/>
    </row>
    <row r="35069" spans="7:24" ht="15" customHeight="1">
      <c r="G35069"/>
      <c r="I35069"/>
      <c r="N35069"/>
      <c r="O35069" s="24"/>
      <c r="P35069"/>
      <c r="Q35069" s="24"/>
      <c r="R35069"/>
      <c r="S35069"/>
      <c r="T35069"/>
      <c r="U35069"/>
      <c r="X35069" s="60"/>
    </row>
    <row r="35070" spans="7:24" ht="15" customHeight="1">
      <c r="G35070"/>
      <c r="I35070"/>
      <c r="N35070"/>
      <c r="O35070" s="24"/>
      <c r="P35070"/>
      <c r="Q35070" s="24"/>
      <c r="R35070"/>
      <c r="S35070"/>
      <c r="T35070"/>
      <c r="U35070"/>
      <c r="X35070" s="60"/>
    </row>
    <row r="35071" spans="7:24" ht="15" customHeight="1">
      <c r="G35071"/>
      <c r="I35071"/>
      <c r="N35071"/>
      <c r="O35071" s="24"/>
      <c r="P35071"/>
      <c r="Q35071" s="24"/>
      <c r="R35071"/>
      <c r="S35071"/>
      <c r="T35071"/>
      <c r="U35071"/>
      <c r="X35071" s="60"/>
    </row>
    <row r="35072" spans="7:24" ht="15" customHeight="1">
      <c r="G35072"/>
      <c r="I35072"/>
      <c r="N35072"/>
      <c r="O35072" s="24"/>
      <c r="P35072"/>
      <c r="Q35072" s="24"/>
      <c r="R35072"/>
      <c r="S35072"/>
      <c r="T35072"/>
      <c r="U35072"/>
      <c r="X35072" s="60"/>
    </row>
    <row r="35073" spans="7:24" ht="15" customHeight="1">
      <c r="G35073"/>
      <c r="I35073"/>
      <c r="N35073"/>
      <c r="O35073" s="24"/>
      <c r="P35073"/>
      <c r="Q35073" s="24"/>
      <c r="R35073"/>
      <c r="S35073"/>
      <c r="T35073"/>
      <c r="U35073"/>
      <c r="X35073" s="60"/>
    </row>
    <row r="35074" spans="7:24" ht="15" customHeight="1">
      <c r="G35074"/>
      <c r="I35074"/>
      <c r="N35074"/>
      <c r="O35074" s="24"/>
      <c r="P35074"/>
      <c r="Q35074" s="24"/>
      <c r="R35074"/>
      <c r="S35074"/>
      <c r="T35074"/>
      <c r="U35074"/>
      <c r="X35074" s="60"/>
    </row>
    <row r="35075" spans="7:24" ht="15" customHeight="1">
      <c r="G35075"/>
      <c r="I35075"/>
      <c r="N35075"/>
      <c r="O35075" s="24"/>
      <c r="P35075"/>
      <c r="Q35075" s="24"/>
      <c r="R35075"/>
      <c r="S35075"/>
      <c r="T35075"/>
      <c r="U35075"/>
      <c r="X35075" s="60"/>
    </row>
    <row r="35076" spans="7:24" ht="15" customHeight="1">
      <c r="G35076"/>
      <c r="I35076"/>
      <c r="N35076"/>
      <c r="O35076" s="24"/>
      <c r="P35076"/>
      <c r="Q35076" s="24"/>
      <c r="R35076"/>
      <c r="S35076"/>
      <c r="T35076"/>
      <c r="U35076"/>
      <c r="X35076" s="60"/>
    </row>
    <row r="35077" spans="7:24" ht="15" customHeight="1">
      <c r="G35077"/>
      <c r="I35077"/>
      <c r="N35077"/>
      <c r="O35077" s="24"/>
      <c r="P35077"/>
      <c r="Q35077" s="24"/>
      <c r="R35077"/>
      <c r="S35077"/>
      <c r="T35077"/>
      <c r="U35077"/>
      <c r="X35077" s="60"/>
    </row>
    <row r="35078" spans="7:24" ht="15" customHeight="1">
      <c r="G35078"/>
      <c r="I35078"/>
      <c r="N35078"/>
      <c r="O35078" s="24"/>
      <c r="P35078"/>
      <c r="Q35078" s="24"/>
      <c r="R35078"/>
      <c r="S35078"/>
      <c r="T35078"/>
      <c r="U35078"/>
      <c r="X35078" s="60"/>
    </row>
    <row r="35079" spans="7:24" ht="15" customHeight="1">
      <c r="G35079"/>
      <c r="I35079"/>
      <c r="N35079"/>
      <c r="O35079" s="24"/>
      <c r="P35079"/>
      <c r="Q35079" s="24"/>
      <c r="R35079"/>
      <c r="S35079"/>
      <c r="T35079"/>
      <c r="U35079"/>
      <c r="X35079" s="60"/>
    </row>
    <row r="35080" spans="7:24" ht="15" customHeight="1">
      <c r="G35080"/>
      <c r="I35080"/>
      <c r="N35080"/>
      <c r="O35080" s="24"/>
      <c r="P35080"/>
      <c r="Q35080" s="24"/>
      <c r="R35080"/>
      <c r="S35080"/>
      <c r="T35080"/>
      <c r="U35080"/>
      <c r="X35080" s="60"/>
    </row>
    <row r="35081" spans="7:24" ht="15" customHeight="1">
      <c r="G35081"/>
      <c r="I35081"/>
      <c r="N35081"/>
      <c r="O35081" s="24"/>
      <c r="P35081"/>
      <c r="Q35081" s="24"/>
      <c r="R35081"/>
      <c r="S35081"/>
      <c r="T35081"/>
      <c r="U35081"/>
      <c r="X35081" s="60"/>
    </row>
    <row r="35082" spans="7:24" ht="15" customHeight="1">
      <c r="G35082"/>
      <c r="I35082"/>
      <c r="N35082"/>
      <c r="O35082" s="24"/>
      <c r="P35082"/>
      <c r="Q35082" s="24"/>
      <c r="R35082"/>
      <c r="S35082"/>
      <c r="T35082"/>
      <c r="U35082"/>
      <c r="X35082" s="60"/>
    </row>
    <row r="35083" spans="7:24" ht="15" customHeight="1">
      <c r="G35083"/>
      <c r="I35083"/>
      <c r="N35083"/>
      <c r="O35083" s="24"/>
      <c r="P35083"/>
      <c r="Q35083" s="24"/>
      <c r="R35083"/>
      <c r="S35083"/>
      <c r="T35083"/>
      <c r="U35083"/>
      <c r="X35083" s="60"/>
    </row>
    <row r="35084" spans="7:24" ht="15" customHeight="1">
      <c r="G35084"/>
      <c r="I35084"/>
      <c r="N35084"/>
      <c r="O35084" s="24"/>
      <c r="P35084"/>
      <c r="Q35084" s="24"/>
      <c r="R35084"/>
      <c r="S35084"/>
      <c r="T35084"/>
      <c r="U35084"/>
      <c r="X35084" s="60"/>
    </row>
    <row r="35085" spans="7:24" ht="15" customHeight="1">
      <c r="G35085"/>
      <c r="I35085"/>
      <c r="N35085"/>
      <c r="O35085" s="24"/>
      <c r="P35085"/>
      <c r="Q35085" s="24"/>
      <c r="R35085"/>
      <c r="S35085"/>
      <c r="T35085"/>
      <c r="U35085"/>
      <c r="X35085" s="60"/>
    </row>
    <row r="35086" spans="7:24" ht="15" customHeight="1">
      <c r="G35086"/>
      <c r="I35086"/>
      <c r="N35086"/>
      <c r="O35086" s="24"/>
      <c r="P35086"/>
      <c r="Q35086" s="24"/>
      <c r="R35086"/>
      <c r="S35086"/>
      <c r="T35086"/>
      <c r="U35086"/>
      <c r="X35086" s="60"/>
    </row>
    <row r="35087" spans="7:24" ht="15" customHeight="1">
      <c r="G35087"/>
      <c r="I35087"/>
      <c r="N35087"/>
      <c r="O35087" s="24"/>
      <c r="P35087"/>
      <c r="Q35087" s="24"/>
      <c r="R35087"/>
      <c r="S35087"/>
      <c r="T35087"/>
      <c r="U35087"/>
      <c r="X35087" s="60"/>
    </row>
    <row r="35088" spans="7:24" ht="15" customHeight="1">
      <c r="G35088"/>
      <c r="I35088"/>
      <c r="N35088"/>
      <c r="O35088" s="24"/>
      <c r="P35088"/>
      <c r="Q35088" s="24"/>
      <c r="R35088"/>
      <c r="S35088"/>
      <c r="T35088"/>
      <c r="U35088"/>
      <c r="X35088" s="60"/>
    </row>
    <row r="35089" spans="7:24" ht="15" customHeight="1">
      <c r="G35089"/>
      <c r="I35089"/>
      <c r="N35089"/>
      <c r="O35089" s="24"/>
      <c r="P35089"/>
      <c r="Q35089" s="24"/>
      <c r="R35089"/>
      <c r="S35089"/>
      <c r="T35089"/>
      <c r="U35089"/>
      <c r="X35089" s="60"/>
    </row>
    <row r="35090" spans="7:24" ht="15" customHeight="1">
      <c r="G35090"/>
      <c r="I35090"/>
      <c r="N35090"/>
      <c r="O35090" s="24"/>
      <c r="P35090"/>
      <c r="Q35090" s="24"/>
      <c r="R35090"/>
      <c r="S35090"/>
      <c r="T35090"/>
      <c r="U35090"/>
      <c r="X35090" s="60"/>
    </row>
    <row r="35091" spans="7:24" ht="15" customHeight="1">
      <c r="G35091"/>
      <c r="I35091"/>
      <c r="N35091"/>
      <c r="O35091" s="24"/>
      <c r="P35091"/>
      <c r="Q35091" s="24"/>
      <c r="R35091"/>
      <c r="S35091"/>
      <c r="T35091"/>
      <c r="U35091"/>
      <c r="X35091" s="60"/>
    </row>
    <row r="35092" spans="7:24" ht="15" customHeight="1">
      <c r="G35092"/>
      <c r="I35092"/>
      <c r="N35092"/>
      <c r="O35092" s="24"/>
      <c r="P35092"/>
      <c r="Q35092" s="24"/>
      <c r="R35092"/>
      <c r="S35092"/>
      <c r="T35092"/>
      <c r="U35092"/>
      <c r="X35092" s="60"/>
    </row>
    <row r="35093" spans="7:24" ht="15" customHeight="1">
      <c r="G35093"/>
      <c r="I35093"/>
      <c r="N35093"/>
      <c r="O35093" s="24"/>
      <c r="P35093"/>
      <c r="Q35093" s="24"/>
      <c r="R35093"/>
      <c r="S35093"/>
      <c r="T35093"/>
      <c r="U35093"/>
      <c r="X35093" s="60"/>
    </row>
    <row r="35094" spans="7:24" ht="15" customHeight="1">
      <c r="G35094"/>
      <c r="I35094"/>
      <c r="N35094"/>
      <c r="O35094" s="24"/>
      <c r="P35094"/>
      <c r="Q35094" s="24"/>
      <c r="R35094"/>
      <c r="S35094"/>
      <c r="T35094"/>
      <c r="U35094"/>
      <c r="X35094" s="60"/>
    </row>
    <row r="35095" spans="7:24" ht="15" customHeight="1">
      <c r="G35095"/>
      <c r="I35095"/>
      <c r="N35095"/>
      <c r="O35095" s="24"/>
      <c r="P35095"/>
      <c r="Q35095" s="24"/>
      <c r="R35095"/>
      <c r="S35095"/>
      <c r="T35095"/>
      <c r="U35095"/>
      <c r="X35095" s="60"/>
    </row>
    <row r="35096" spans="7:24" ht="15" customHeight="1">
      <c r="G35096"/>
      <c r="I35096"/>
      <c r="N35096"/>
      <c r="O35096" s="24"/>
      <c r="P35096"/>
      <c r="Q35096" s="24"/>
      <c r="R35096"/>
      <c r="S35096"/>
      <c r="T35096"/>
      <c r="U35096"/>
      <c r="X35096" s="60"/>
    </row>
    <row r="35097" spans="7:24" ht="15" customHeight="1">
      <c r="G35097"/>
      <c r="I35097"/>
      <c r="N35097"/>
      <c r="O35097" s="24"/>
      <c r="P35097"/>
      <c r="Q35097" s="24"/>
      <c r="R35097"/>
      <c r="S35097"/>
      <c r="T35097"/>
      <c r="U35097"/>
      <c r="X35097" s="60"/>
    </row>
    <row r="35098" spans="7:24" ht="15" customHeight="1">
      <c r="G35098"/>
      <c r="I35098"/>
      <c r="N35098"/>
      <c r="O35098" s="24"/>
      <c r="P35098"/>
      <c r="Q35098" s="24"/>
      <c r="R35098"/>
      <c r="S35098"/>
      <c r="T35098"/>
      <c r="U35098"/>
      <c r="X35098" s="60"/>
    </row>
    <row r="35099" spans="7:24" ht="15" customHeight="1">
      <c r="G35099"/>
      <c r="I35099"/>
      <c r="N35099"/>
      <c r="O35099" s="24"/>
      <c r="P35099"/>
      <c r="Q35099" s="24"/>
      <c r="R35099"/>
      <c r="S35099"/>
      <c r="T35099"/>
      <c r="U35099"/>
      <c r="X35099" s="60"/>
    </row>
    <row r="35100" spans="7:24" ht="15" customHeight="1">
      <c r="G35100"/>
      <c r="I35100"/>
      <c r="N35100"/>
      <c r="O35100" s="24"/>
      <c r="P35100"/>
      <c r="Q35100" s="24"/>
      <c r="R35100"/>
      <c r="S35100"/>
      <c r="T35100"/>
      <c r="U35100"/>
      <c r="X35100" s="60"/>
    </row>
    <row r="35101" spans="7:24" ht="15" customHeight="1">
      <c r="G35101"/>
      <c r="I35101"/>
      <c r="N35101"/>
      <c r="O35101" s="24"/>
      <c r="P35101"/>
      <c r="Q35101" s="24"/>
      <c r="R35101"/>
      <c r="S35101"/>
      <c r="T35101"/>
      <c r="U35101"/>
      <c r="X35101" s="60"/>
    </row>
    <row r="35102" spans="7:24" ht="15" customHeight="1">
      <c r="G35102"/>
      <c r="I35102"/>
      <c r="N35102"/>
      <c r="O35102" s="24"/>
      <c r="P35102"/>
      <c r="Q35102" s="24"/>
      <c r="R35102"/>
      <c r="S35102"/>
      <c r="T35102"/>
      <c r="U35102"/>
      <c r="X35102" s="60"/>
    </row>
    <row r="35103" spans="7:24" ht="15" customHeight="1">
      <c r="G35103"/>
      <c r="I35103"/>
      <c r="N35103"/>
      <c r="O35103" s="24"/>
      <c r="P35103"/>
      <c r="Q35103" s="24"/>
      <c r="R35103"/>
      <c r="S35103"/>
      <c r="T35103"/>
      <c r="U35103"/>
      <c r="X35103" s="60"/>
    </row>
    <row r="35104" spans="7:24" ht="15" customHeight="1">
      <c r="G35104"/>
      <c r="I35104"/>
      <c r="N35104"/>
      <c r="O35104" s="24"/>
      <c r="P35104"/>
      <c r="Q35104" s="24"/>
      <c r="R35104"/>
      <c r="S35104"/>
      <c r="T35104"/>
      <c r="U35104"/>
      <c r="X35104" s="60"/>
    </row>
    <row r="35105" spans="7:24" ht="15" customHeight="1">
      <c r="G35105"/>
      <c r="I35105"/>
      <c r="N35105"/>
      <c r="O35105" s="24"/>
      <c r="P35105"/>
      <c r="Q35105" s="24"/>
      <c r="R35105"/>
      <c r="S35105"/>
      <c r="T35105"/>
      <c r="U35105"/>
      <c r="X35105" s="60"/>
    </row>
    <row r="35106" spans="7:24" ht="15" customHeight="1">
      <c r="G35106"/>
      <c r="I35106"/>
      <c r="N35106"/>
      <c r="O35106" s="24"/>
      <c r="P35106"/>
      <c r="Q35106" s="24"/>
      <c r="R35106"/>
      <c r="S35106"/>
      <c r="T35106"/>
      <c r="U35106"/>
      <c r="X35106" s="60"/>
    </row>
    <row r="35107" spans="7:24" ht="15" customHeight="1">
      <c r="G35107"/>
      <c r="I35107"/>
      <c r="N35107"/>
      <c r="O35107" s="24"/>
      <c r="P35107"/>
      <c r="Q35107" s="24"/>
      <c r="R35107"/>
      <c r="S35107"/>
      <c r="T35107"/>
      <c r="U35107"/>
      <c r="X35107" s="60"/>
    </row>
    <row r="35108" spans="7:24" ht="15" customHeight="1">
      <c r="G35108"/>
      <c r="I35108"/>
      <c r="N35108"/>
      <c r="O35108" s="24"/>
      <c r="P35108"/>
      <c r="Q35108" s="24"/>
      <c r="R35108"/>
      <c r="S35108"/>
      <c r="T35108"/>
      <c r="U35108"/>
      <c r="X35108" s="60"/>
    </row>
    <row r="35109" spans="7:24" ht="15" customHeight="1">
      <c r="G35109"/>
      <c r="I35109"/>
      <c r="N35109"/>
      <c r="O35109" s="24"/>
      <c r="P35109"/>
      <c r="Q35109" s="24"/>
      <c r="R35109"/>
      <c r="S35109"/>
      <c r="T35109"/>
      <c r="U35109"/>
      <c r="X35109" s="60"/>
    </row>
    <row r="35110" spans="7:24" ht="15" customHeight="1">
      <c r="G35110"/>
      <c r="I35110"/>
      <c r="N35110"/>
      <c r="O35110" s="24"/>
      <c r="P35110"/>
      <c r="Q35110" s="24"/>
      <c r="R35110"/>
      <c r="S35110"/>
      <c r="T35110"/>
      <c r="U35110"/>
      <c r="X35110" s="60"/>
    </row>
    <row r="35111" spans="7:24" ht="15" customHeight="1">
      <c r="G35111"/>
      <c r="I35111"/>
      <c r="N35111"/>
      <c r="O35111" s="24"/>
      <c r="P35111"/>
      <c r="Q35111" s="24"/>
      <c r="R35111"/>
      <c r="S35111"/>
      <c r="T35111"/>
      <c r="U35111"/>
      <c r="X35111" s="60"/>
    </row>
    <row r="35112" spans="7:24" ht="15" customHeight="1">
      <c r="G35112"/>
      <c r="I35112"/>
      <c r="N35112"/>
      <c r="O35112" s="24"/>
      <c r="P35112"/>
      <c r="Q35112" s="24"/>
      <c r="R35112"/>
      <c r="S35112"/>
      <c r="T35112"/>
      <c r="U35112"/>
      <c r="X35112" s="60"/>
    </row>
    <row r="35113" spans="7:24" ht="15" customHeight="1">
      <c r="G35113"/>
      <c r="I35113"/>
      <c r="N35113"/>
      <c r="O35113" s="24"/>
      <c r="P35113"/>
      <c r="Q35113" s="24"/>
      <c r="R35113"/>
      <c r="S35113"/>
      <c r="T35113"/>
      <c r="U35113"/>
      <c r="X35113" s="60"/>
    </row>
    <row r="35114" spans="7:24" ht="15" customHeight="1">
      <c r="G35114"/>
      <c r="I35114"/>
      <c r="N35114"/>
      <c r="O35114" s="24"/>
      <c r="P35114"/>
      <c r="Q35114" s="24"/>
      <c r="R35114"/>
      <c r="S35114"/>
      <c r="T35114"/>
      <c r="U35114"/>
      <c r="X35114" s="60"/>
    </row>
    <row r="35115" spans="7:24" ht="15" customHeight="1">
      <c r="G35115"/>
      <c r="I35115"/>
      <c r="N35115"/>
      <c r="O35115" s="24"/>
      <c r="P35115"/>
      <c r="Q35115" s="24"/>
      <c r="R35115"/>
      <c r="S35115"/>
      <c r="T35115"/>
      <c r="U35115"/>
      <c r="X35115" s="60"/>
    </row>
    <row r="35116" spans="7:24" ht="15" customHeight="1">
      <c r="G35116"/>
      <c r="I35116"/>
      <c r="N35116"/>
      <c r="O35116" s="24"/>
      <c r="P35116"/>
      <c r="Q35116" s="24"/>
      <c r="R35116"/>
      <c r="S35116"/>
      <c r="T35116"/>
      <c r="U35116"/>
      <c r="X35116" s="60"/>
    </row>
    <row r="35117" spans="7:24" ht="15" customHeight="1">
      <c r="G35117"/>
      <c r="I35117"/>
      <c r="N35117"/>
      <c r="O35117" s="24"/>
      <c r="P35117"/>
      <c r="Q35117" s="24"/>
      <c r="R35117"/>
      <c r="S35117"/>
      <c r="T35117"/>
      <c r="U35117"/>
      <c r="X35117" s="60"/>
    </row>
    <row r="35118" spans="7:24" ht="15" customHeight="1">
      <c r="G35118"/>
      <c r="I35118"/>
      <c r="N35118"/>
      <c r="O35118" s="24"/>
      <c r="P35118"/>
      <c r="Q35118" s="24"/>
      <c r="R35118"/>
      <c r="S35118"/>
      <c r="T35118"/>
      <c r="U35118"/>
      <c r="X35118" s="60"/>
    </row>
    <row r="35119" spans="7:24" ht="15" customHeight="1">
      <c r="G35119"/>
      <c r="I35119"/>
      <c r="N35119"/>
      <c r="O35119" s="24"/>
      <c r="P35119"/>
      <c r="Q35119" s="24"/>
      <c r="R35119"/>
      <c r="S35119"/>
      <c r="T35119"/>
      <c r="U35119"/>
      <c r="X35119" s="60"/>
    </row>
    <row r="35120" spans="7:24" ht="15" customHeight="1">
      <c r="G35120"/>
      <c r="I35120"/>
      <c r="N35120"/>
      <c r="O35120" s="24"/>
      <c r="P35120"/>
      <c r="Q35120" s="24"/>
      <c r="R35120"/>
      <c r="S35120"/>
      <c r="T35120"/>
      <c r="U35120"/>
      <c r="X35120" s="60"/>
    </row>
    <row r="35121" spans="7:24" ht="15" customHeight="1">
      <c r="G35121"/>
      <c r="I35121"/>
      <c r="N35121"/>
      <c r="O35121" s="24"/>
      <c r="P35121"/>
      <c r="Q35121" s="24"/>
      <c r="R35121"/>
      <c r="S35121"/>
      <c r="T35121"/>
      <c r="U35121"/>
      <c r="X35121" s="60"/>
    </row>
    <row r="35122" spans="7:24" ht="15" customHeight="1">
      <c r="G35122"/>
      <c r="I35122"/>
      <c r="N35122"/>
      <c r="O35122" s="24"/>
      <c r="P35122"/>
      <c r="Q35122" s="24"/>
      <c r="R35122"/>
      <c r="S35122"/>
      <c r="T35122"/>
      <c r="U35122"/>
      <c r="X35122" s="60"/>
    </row>
    <row r="35123" spans="7:24" ht="15" customHeight="1">
      <c r="G35123"/>
      <c r="I35123"/>
      <c r="N35123"/>
      <c r="O35123" s="24"/>
      <c r="P35123"/>
      <c r="Q35123" s="24"/>
      <c r="R35123"/>
      <c r="S35123"/>
      <c r="T35123"/>
      <c r="U35123"/>
      <c r="X35123" s="60"/>
    </row>
    <row r="35124" spans="7:24" ht="15" customHeight="1">
      <c r="G35124"/>
      <c r="I35124"/>
      <c r="N35124"/>
      <c r="O35124" s="24"/>
      <c r="P35124"/>
      <c r="Q35124" s="24"/>
      <c r="R35124"/>
      <c r="S35124"/>
      <c r="T35124"/>
      <c r="U35124"/>
      <c r="X35124" s="60"/>
    </row>
    <row r="35125" spans="7:24" ht="15" customHeight="1">
      <c r="G35125"/>
      <c r="I35125"/>
      <c r="N35125"/>
      <c r="O35125" s="24"/>
      <c r="P35125"/>
      <c r="Q35125" s="24"/>
      <c r="R35125"/>
      <c r="S35125"/>
      <c r="T35125"/>
      <c r="U35125"/>
      <c r="X35125" s="60"/>
    </row>
    <row r="35126" spans="7:24" ht="15" customHeight="1">
      <c r="G35126"/>
      <c r="I35126"/>
      <c r="N35126"/>
      <c r="O35126" s="24"/>
      <c r="P35126"/>
      <c r="Q35126" s="24"/>
      <c r="R35126"/>
      <c r="S35126"/>
      <c r="T35126"/>
      <c r="U35126"/>
      <c r="X35126" s="60"/>
    </row>
    <row r="35127" spans="7:24" ht="15" customHeight="1">
      <c r="G35127"/>
      <c r="I35127"/>
      <c r="N35127"/>
      <c r="O35127" s="24"/>
      <c r="P35127"/>
      <c r="Q35127" s="24"/>
      <c r="R35127"/>
      <c r="S35127"/>
      <c r="T35127"/>
      <c r="U35127"/>
      <c r="X35127" s="60"/>
    </row>
    <row r="35128" spans="7:24" ht="15" customHeight="1">
      <c r="G35128"/>
      <c r="I35128"/>
      <c r="N35128"/>
      <c r="O35128" s="24"/>
      <c r="P35128"/>
      <c r="Q35128" s="24"/>
      <c r="R35128"/>
      <c r="S35128"/>
      <c r="T35128"/>
      <c r="U35128"/>
      <c r="X35128" s="60"/>
    </row>
    <row r="35129" spans="7:24" ht="15" customHeight="1">
      <c r="G35129"/>
      <c r="I35129"/>
      <c r="N35129"/>
      <c r="O35129" s="24"/>
      <c r="P35129"/>
      <c r="Q35129" s="24"/>
      <c r="R35129"/>
      <c r="S35129"/>
      <c r="T35129"/>
      <c r="U35129"/>
      <c r="X35129" s="60"/>
    </row>
    <row r="35130" spans="7:24" ht="15" customHeight="1">
      <c r="G35130"/>
      <c r="I35130"/>
      <c r="N35130"/>
      <c r="O35130" s="24"/>
      <c r="P35130"/>
      <c r="Q35130" s="24"/>
      <c r="R35130"/>
      <c r="S35130"/>
      <c r="T35130"/>
      <c r="U35130"/>
      <c r="X35130" s="60"/>
    </row>
    <row r="35131" spans="7:24" ht="15" customHeight="1">
      <c r="G35131"/>
      <c r="I35131"/>
      <c r="N35131"/>
      <c r="O35131" s="24"/>
      <c r="P35131"/>
      <c r="Q35131" s="24"/>
      <c r="R35131"/>
      <c r="S35131"/>
      <c r="T35131"/>
      <c r="U35131"/>
      <c r="X35131" s="60"/>
    </row>
    <row r="35132" spans="7:24" ht="15" customHeight="1">
      <c r="G35132"/>
      <c r="I35132"/>
      <c r="N35132"/>
      <c r="O35132" s="24"/>
      <c r="P35132"/>
      <c r="Q35132" s="24"/>
      <c r="R35132"/>
      <c r="S35132"/>
      <c r="T35132"/>
      <c r="U35132"/>
      <c r="X35132" s="60"/>
    </row>
    <row r="35133" spans="7:24" ht="15" customHeight="1">
      <c r="G35133"/>
      <c r="I35133"/>
      <c r="N35133"/>
      <c r="O35133" s="24"/>
      <c r="P35133"/>
      <c r="Q35133" s="24"/>
      <c r="R35133"/>
      <c r="S35133"/>
      <c r="T35133"/>
      <c r="U35133"/>
      <c r="X35133" s="60"/>
    </row>
    <row r="35134" spans="7:24" ht="15" customHeight="1">
      <c r="G35134"/>
      <c r="I35134"/>
      <c r="N35134"/>
      <c r="O35134" s="24"/>
      <c r="P35134"/>
      <c r="Q35134" s="24"/>
      <c r="R35134"/>
      <c r="S35134"/>
      <c r="T35134"/>
      <c r="U35134"/>
      <c r="X35134" s="60"/>
    </row>
    <row r="35135" spans="7:24" ht="15" customHeight="1">
      <c r="G35135"/>
      <c r="I35135"/>
      <c r="N35135"/>
      <c r="O35135" s="24"/>
      <c r="P35135"/>
      <c r="Q35135" s="24"/>
      <c r="R35135"/>
      <c r="S35135"/>
      <c r="T35135"/>
      <c r="U35135"/>
      <c r="X35135" s="60"/>
    </row>
    <row r="35136" spans="7:24" ht="15" customHeight="1">
      <c r="G35136"/>
      <c r="I35136"/>
      <c r="N35136"/>
      <c r="O35136" s="24"/>
      <c r="P35136"/>
      <c r="Q35136" s="24"/>
      <c r="R35136"/>
      <c r="S35136"/>
      <c r="T35136"/>
      <c r="U35136"/>
      <c r="X35136" s="60"/>
    </row>
    <row r="35137" spans="7:24" ht="15" customHeight="1">
      <c r="G35137"/>
      <c r="I35137"/>
      <c r="N35137"/>
      <c r="O35137" s="24"/>
      <c r="P35137"/>
      <c r="Q35137" s="24"/>
      <c r="R35137"/>
      <c r="S35137"/>
      <c r="T35137"/>
      <c r="U35137"/>
      <c r="X35137" s="60"/>
    </row>
    <row r="35138" spans="7:24" ht="15" customHeight="1">
      <c r="G35138"/>
      <c r="I35138"/>
      <c r="N35138"/>
      <c r="O35138" s="24"/>
      <c r="P35138"/>
      <c r="Q35138" s="24"/>
      <c r="R35138"/>
      <c r="S35138"/>
      <c r="T35138"/>
      <c r="U35138"/>
      <c r="X35138" s="60"/>
    </row>
    <row r="35139" spans="7:24" ht="15" customHeight="1">
      <c r="G35139"/>
      <c r="I35139"/>
      <c r="N35139"/>
      <c r="O35139" s="24"/>
      <c r="P35139"/>
      <c r="Q35139" s="24"/>
      <c r="R35139"/>
      <c r="S35139"/>
      <c r="T35139"/>
      <c r="U35139"/>
      <c r="X35139" s="60"/>
    </row>
    <row r="35140" spans="7:24" ht="15" customHeight="1">
      <c r="G35140"/>
      <c r="I35140"/>
      <c r="N35140"/>
      <c r="O35140" s="24"/>
      <c r="P35140"/>
      <c r="Q35140" s="24"/>
      <c r="R35140"/>
      <c r="S35140"/>
      <c r="T35140"/>
      <c r="U35140"/>
      <c r="X35140" s="60"/>
    </row>
    <row r="35141" spans="7:24" ht="15" customHeight="1">
      <c r="G35141"/>
      <c r="I35141"/>
      <c r="N35141"/>
      <c r="O35141" s="24"/>
      <c r="P35141"/>
      <c r="Q35141" s="24"/>
      <c r="R35141"/>
      <c r="S35141"/>
      <c r="T35141"/>
      <c r="U35141"/>
      <c r="X35141" s="60"/>
    </row>
    <row r="35142" spans="7:24" ht="15" customHeight="1">
      <c r="G35142"/>
      <c r="I35142"/>
      <c r="N35142"/>
      <c r="O35142" s="24"/>
      <c r="P35142"/>
      <c r="Q35142" s="24"/>
      <c r="R35142"/>
      <c r="S35142"/>
      <c r="T35142"/>
      <c r="U35142"/>
      <c r="X35142" s="60"/>
    </row>
    <row r="35143" spans="7:24" ht="15" customHeight="1">
      <c r="G35143"/>
      <c r="I35143"/>
      <c r="N35143"/>
      <c r="O35143" s="24"/>
      <c r="P35143"/>
      <c r="Q35143" s="24"/>
      <c r="R35143"/>
      <c r="S35143"/>
      <c r="T35143"/>
      <c r="U35143"/>
      <c r="X35143" s="60"/>
    </row>
    <row r="35144" spans="7:24" ht="15" customHeight="1">
      <c r="G35144"/>
      <c r="I35144"/>
      <c r="N35144"/>
      <c r="O35144" s="24"/>
      <c r="P35144"/>
      <c r="Q35144" s="24"/>
      <c r="R35144"/>
      <c r="S35144"/>
      <c r="T35144"/>
      <c r="U35144"/>
      <c r="X35144" s="60"/>
    </row>
    <row r="35145" spans="7:24" ht="15" customHeight="1">
      <c r="G35145"/>
      <c r="I35145"/>
      <c r="N35145"/>
      <c r="O35145" s="24"/>
      <c r="P35145"/>
      <c r="Q35145" s="24"/>
      <c r="R35145"/>
      <c r="S35145"/>
      <c r="T35145"/>
      <c r="U35145"/>
      <c r="X35145" s="60"/>
    </row>
    <row r="35146" spans="7:24" ht="15" customHeight="1">
      <c r="G35146"/>
      <c r="I35146"/>
      <c r="N35146"/>
      <c r="O35146" s="24"/>
      <c r="P35146"/>
      <c r="Q35146" s="24"/>
      <c r="R35146"/>
      <c r="S35146"/>
      <c r="T35146"/>
      <c r="U35146"/>
      <c r="X35146" s="60"/>
    </row>
    <row r="35147" spans="7:24" ht="15" customHeight="1">
      <c r="G35147"/>
      <c r="I35147"/>
      <c r="N35147"/>
      <c r="O35147" s="24"/>
      <c r="P35147"/>
      <c r="Q35147" s="24"/>
      <c r="R35147"/>
      <c r="S35147"/>
      <c r="T35147"/>
      <c r="U35147"/>
      <c r="X35147" s="60"/>
    </row>
    <row r="35148" spans="7:24" ht="15" customHeight="1">
      <c r="G35148"/>
      <c r="I35148"/>
      <c r="N35148"/>
      <c r="O35148" s="24"/>
      <c r="P35148"/>
      <c r="Q35148" s="24"/>
      <c r="R35148"/>
      <c r="S35148"/>
      <c r="T35148"/>
      <c r="U35148"/>
      <c r="X35148" s="60"/>
    </row>
    <row r="35149" spans="7:24" ht="15" customHeight="1">
      <c r="G35149"/>
      <c r="I35149"/>
      <c r="N35149"/>
      <c r="O35149" s="24"/>
      <c r="P35149"/>
      <c r="Q35149" s="24"/>
      <c r="R35149"/>
      <c r="S35149"/>
      <c r="T35149"/>
      <c r="U35149"/>
      <c r="X35149" s="60"/>
    </row>
    <row r="35150" spans="7:24" ht="15" customHeight="1">
      <c r="G35150"/>
      <c r="I35150"/>
      <c r="N35150"/>
      <c r="O35150" s="24"/>
      <c r="P35150"/>
      <c r="Q35150" s="24"/>
      <c r="R35150"/>
      <c r="S35150"/>
      <c r="T35150"/>
      <c r="U35150"/>
      <c r="X35150" s="60"/>
    </row>
    <row r="35151" spans="7:24" ht="15" customHeight="1">
      <c r="G35151"/>
      <c r="I35151"/>
      <c r="N35151"/>
      <c r="O35151" s="24"/>
      <c r="P35151"/>
      <c r="Q35151" s="24"/>
      <c r="R35151"/>
      <c r="S35151"/>
      <c r="T35151"/>
      <c r="U35151"/>
      <c r="X35151" s="60"/>
    </row>
    <row r="35152" spans="7:24" ht="15" customHeight="1">
      <c r="G35152"/>
      <c r="I35152"/>
      <c r="N35152"/>
      <c r="O35152" s="24"/>
      <c r="P35152"/>
      <c r="Q35152" s="24"/>
      <c r="R35152"/>
      <c r="S35152"/>
      <c r="T35152"/>
      <c r="U35152"/>
      <c r="X35152" s="60"/>
    </row>
    <row r="35153" spans="7:24" ht="15" customHeight="1">
      <c r="G35153"/>
      <c r="I35153"/>
      <c r="N35153"/>
      <c r="O35153" s="24"/>
      <c r="P35153"/>
      <c r="Q35153" s="24"/>
      <c r="R35153"/>
      <c r="S35153"/>
      <c r="T35153"/>
      <c r="U35153"/>
      <c r="X35153" s="60"/>
    </row>
    <row r="35154" spans="7:24" ht="15" customHeight="1">
      <c r="G35154"/>
      <c r="I35154"/>
      <c r="N35154"/>
      <c r="O35154" s="24"/>
      <c r="P35154"/>
      <c r="Q35154" s="24"/>
      <c r="R35154"/>
      <c r="S35154"/>
      <c r="T35154"/>
      <c r="U35154"/>
      <c r="X35154" s="60"/>
    </row>
    <row r="35155" spans="7:24" ht="15" customHeight="1">
      <c r="G35155"/>
      <c r="I35155"/>
      <c r="N35155"/>
      <c r="O35155" s="24"/>
      <c r="P35155"/>
      <c r="Q35155" s="24"/>
      <c r="R35155"/>
      <c r="S35155"/>
      <c r="T35155"/>
      <c r="U35155"/>
      <c r="X35155" s="60"/>
    </row>
    <row r="35156" spans="7:24" ht="15" customHeight="1">
      <c r="G35156"/>
      <c r="I35156"/>
      <c r="N35156"/>
      <c r="O35156" s="24"/>
      <c r="P35156"/>
      <c r="Q35156" s="24"/>
      <c r="R35156"/>
      <c r="S35156"/>
      <c r="T35156"/>
      <c r="U35156"/>
      <c r="X35156" s="60"/>
    </row>
    <row r="35157" spans="7:24" ht="15" customHeight="1">
      <c r="G35157"/>
      <c r="I35157"/>
      <c r="N35157"/>
      <c r="O35157" s="24"/>
      <c r="P35157"/>
      <c r="Q35157" s="24"/>
      <c r="R35157"/>
      <c r="S35157"/>
      <c r="T35157"/>
      <c r="U35157"/>
      <c r="X35157" s="60"/>
    </row>
    <row r="35158" spans="7:24" ht="15" customHeight="1">
      <c r="G35158"/>
      <c r="I35158"/>
      <c r="N35158"/>
      <c r="O35158" s="24"/>
      <c r="P35158"/>
      <c r="Q35158" s="24"/>
      <c r="R35158"/>
      <c r="S35158"/>
      <c r="T35158"/>
      <c r="U35158"/>
      <c r="X35158" s="60"/>
    </row>
    <row r="35159" spans="7:24" ht="15" customHeight="1">
      <c r="G35159"/>
      <c r="I35159"/>
      <c r="N35159"/>
      <c r="O35159" s="24"/>
      <c r="P35159"/>
      <c r="Q35159" s="24"/>
      <c r="R35159"/>
      <c r="S35159"/>
      <c r="T35159"/>
      <c r="U35159"/>
      <c r="X35159" s="60"/>
    </row>
    <row r="35160" spans="7:24" ht="15" customHeight="1">
      <c r="G35160"/>
      <c r="I35160"/>
      <c r="N35160"/>
      <c r="O35160" s="24"/>
      <c r="P35160"/>
      <c r="Q35160" s="24"/>
      <c r="R35160"/>
      <c r="S35160"/>
      <c r="T35160"/>
      <c r="U35160"/>
      <c r="X35160" s="60"/>
    </row>
    <row r="35161" spans="7:24" ht="15" customHeight="1">
      <c r="G35161"/>
      <c r="I35161"/>
      <c r="N35161"/>
      <c r="O35161" s="24"/>
      <c r="P35161"/>
      <c r="Q35161" s="24"/>
      <c r="R35161"/>
      <c r="S35161"/>
      <c r="T35161"/>
      <c r="U35161"/>
      <c r="X35161" s="60"/>
    </row>
    <row r="35162" spans="7:24" ht="15" customHeight="1">
      <c r="G35162"/>
      <c r="I35162"/>
      <c r="N35162"/>
      <c r="O35162" s="24"/>
      <c r="P35162"/>
      <c r="Q35162" s="24"/>
      <c r="R35162"/>
      <c r="S35162"/>
      <c r="T35162"/>
      <c r="U35162"/>
      <c r="X35162" s="60"/>
    </row>
    <row r="35163" spans="7:24" ht="15" customHeight="1">
      <c r="G35163"/>
      <c r="I35163"/>
      <c r="N35163"/>
      <c r="O35163" s="24"/>
      <c r="P35163"/>
      <c r="Q35163" s="24"/>
      <c r="R35163"/>
      <c r="S35163"/>
      <c r="T35163"/>
      <c r="U35163"/>
      <c r="X35163" s="60"/>
    </row>
    <row r="35164" spans="7:24" ht="15" customHeight="1">
      <c r="G35164"/>
      <c r="I35164"/>
      <c r="N35164"/>
      <c r="O35164" s="24"/>
      <c r="P35164"/>
      <c r="Q35164" s="24"/>
      <c r="R35164"/>
      <c r="S35164"/>
      <c r="T35164"/>
      <c r="U35164"/>
      <c r="X35164" s="60"/>
    </row>
    <row r="35165" spans="7:24" ht="15" customHeight="1">
      <c r="G35165"/>
      <c r="I35165"/>
      <c r="N35165"/>
      <c r="O35165" s="24"/>
      <c r="P35165"/>
      <c r="Q35165" s="24"/>
      <c r="R35165"/>
      <c r="S35165"/>
      <c r="T35165"/>
      <c r="U35165"/>
      <c r="X35165" s="60"/>
    </row>
    <row r="35166" spans="7:24" ht="15" customHeight="1">
      <c r="G35166"/>
      <c r="I35166"/>
      <c r="N35166"/>
      <c r="O35166" s="24"/>
      <c r="P35166"/>
      <c r="Q35166" s="24"/>
      <c r="R35166"/>
      <c r="S35166"/>
      <c r="T35166"/>
      <c r="U35166"/>
      <c r="X35166" s="60"/>
    </row>
    <row r="35167" spans="7:24" ht="15" customHeight="1">
      <c r="G35167"/>
      <c r="I35167"/>
      <c r="N35167"/>
      <c r="O35167" s="24"/>
      <c r="P35167"/>
      <c r="Q35167" s="24"/>
      <c r="R35167"/>
      <c r="S35167"/>
      <c r="T35167"/>
      <c r="U35167"/>
      <c r="X35167" s="60"/>
    </row>
    <row r="35168" spans="7:24" ht="15" customHeight="1">
      <c r="G35168"/>
      <c r="I35168"/>
      <c r="N35168"/>
      <c r="O35168" s="24"/>
      <c r="P35168"/>
      <c r="Q35168" s="24"/>
      <c r="R35168"/>
      <c r="S35168"/>
      <c r="T35168"/>
      <c r="U35168"/>
      <c r="X35168" s="60"/>
    </row>
    <row r="35169" spans="7:24" ht="15" customHeight="1">
      <c r="G35169"/>
      <c r="I35169"/>
      <c r="N35169"/>
      <c r="O35169" s="24"/>
      <c r="P35169"/>
      <c r="Q35169" s="24"/>
      <c r="R35169"/>
      <c r="S35169"/>
      <c r="T35169"/>
      <c r="U35169"/>
      <c r="X35169" s="60"/>
    </row>
    <row r="35170" spans="7:24" ht="15" customHeight="1">
      <c r="G35170"/>
      <c r="I35170"/>
      <c r="N35170"/>
      <c r="O35170" s="24"/>
      <c r="P35170"/>
      <c r="Q35170" s="24"/>
      <c r="R35170"/>
      <c r="S35170"/>
      <c r="T35170"/>
      <c r="U35170"/>
      <c r="X35170" s="60"/>
    </row>
    <row r="35171" spans="7:24" ht="15" customHeight="1">
      <c r="G35171"/>
      <c r="I35171"/>
      <c r="N35171"/>
      <c r="O35171" s="24"/>
      <c r="P35171"/>
      <c r="Q35171" s="24"/>
      <c r="R35171"/>
      <c r="S35171"/>
      <c r="T35171"/>
      <c r="U35171"/>
      <c r="X35171" s="60"/>
    </row>
    <row r="35172" spans="7:24" ht="15" customHeight="1">
      <c r="G35172"/>
      <c r="I35172"/>
      <c r="N35172"/>
      <c r="O35172" s="24"/>
      <c r="P35172"/>
      <c r="Q35172" s="24"/>
      <c r="R35172"/>
      <c r="S35172"/>
      <c r="T35172"/>
      <c r="U35172"/>
      <c r="X35172" s="60"/>
    </row>
    <row r="35173" spans="7:24" ht="15" customHeight="1">
      <c r="G35173"/>
      <c r="I35173"/>
      <c r="N35173"/>
      <c r="O35173" s="24"/>
      <c r="P35173"/>
      <c r="Q35173" s="24"/>
      <c r="R35173"/>
      <c r="S35173"/>
      <c r="T35173"/>
      <c r="U35173"/>
      <c r="X35173" s="60"/>
    </row>
    <row r="35174" spans="7:24" ht="15" customHeight="1">
      <c r="G35174"/>
      <c r="I35174"/>
      <c r="N35174"/>
      <c r="O35174" s="24"/>
      <c r="P35174"/>
      <c r="Q35174" s="24"/>
      <c r="R35174"/>
      <c r="S35174"/>
      <c r="T35174"/>
      <c r="U35174"/>
      <c r="X35174" s="60"/>
    </row>
    <row r="35175" spans="7:24" ht="15" customHeight="1">
      <c r="G35175"/>
      <c r="I35175"/>
      <c r="N35175"/>
      <c r="O35175" s="24"/>
      <c r="P35175"/>
      <c r="Q35175" s="24"/>
      <c r="R35175"/>
      <c r="S35175"/>
      <c r="T35175"/>
      <c r="U35175"/>
      <c r="X35175" s="60"/>
    </row>
    <row r="35176" spans="7:24" ht="15" customHeight="1">
      <c r="G35176"/>
      <c r="I35176"/>
      <c r="N35176"/>
      <c r="O35176" s="24"/>
      <c r="P35176"/>
      <c r="Q35176" s="24"/>
      <c r="R35176"/>
      <c r="S35176"/>
      <c r="T35176"/>
      <c r="U35176"/>
      <c r="X35176" s="60"/>
    </row>
    <row r="35177" spans="7:24" ht="15" customHeight="1">
      <c r="G35177"/>
      <c r="I35177"/>
      <c r="N35177"/>
      <c r="O35177" s="24"/>
      <c r="P35177"/>
      <c r="Q35177" s="24"/>
      <c r="R35177"/>
      <c r="S35177"/>
      <c r="T35177"/>
      <c r="U35177"/>
      <c r="X35177" s="60"/>
    </row>
    <row r="35178" spans="7:24" ht="15" customHeight="1">
      <c r="G35178"/>
      <c r="I35178"/>
      <c r="N35178"/>
      <c r="O35178" s="24"/>
      <c r="P35178"/>
      <c r="Q35178" s="24"/>
      <c r="R35178"/>
      <c r="S35178"/>
      <c r="T35178"/>
      <c r="U35178"/>
      <c r="X35178" s="60"/>
    </row>
    <row r="35179" spans="7:24" ht="15" customHeight="1">
      <c r="G35179"/>
      <c r="I35179"/>
      <c r="N35179"/>
      <c r="O35179" s="24"/>
      <c r="P35179"/>
      <c r="Q35179" s="24"/>
      <c r="R35179"/>
      <c r="S35179"/>
      <c r="T35179"/>
      <c r="U35179"/>
      <c r="X35179" s="60"/>
    </row>
    <row r="35180" spans="7:24" ht="15" customHeight="1">
      <c r="G35180"/>
      <c r="I35180"/>
      <c r="N35180"/>
      <c r="O35180" s="24"/>
      <c r="P35180"/>
      <c r="Q35180" s="24"/>
      <c r="R35180"/>
      <c r="S35180"/>
      <c r="T35180"/>
      <c r="U35180"/>
      <c r="X35180" s="60"/>
    </row>
    <row r="35181" spans="7:24" ht="15" customHeight="1">
      <c r="G35181"/>
      <c r="I35181"/>
      <c r="N35181"/>
      <c r="O35181" s="24"/>
      <c r="P35181"/>
      <c r="Q35181" s="24"/>
      <c r="R35181"/>
      <c r="S35181"/>
      <c r="T35181"/>
      <c r="U35181"/>
      <c r="X35181" s="60"/>
    </row>
    <row r="35182" spans="7:24" ht="15" customHeight="1">
      <c r="G35182"/>
      <c r="I35182"/>
      <c r="N35182"/>
      <c r="O35182" s="24"/>
      <c r="P35182"/>
      <c r="Q35182" s="24"/>
      <c r="R35182"/>
      <c r="S35182"/>
      <c r="T35182"/>
      <c r="U35182"/>
      <c r="X35182" s="60"/>
    </row>
    <row r="35183" spans="7:24" ht="15" customHeight="1">
      <c r="G35183"/>
      <c r="I35183"/>
      <c r="N35183"/>
      <c r="O35183" s="24"/>
      <c r="P35183"/>
      <c r="Q35183" s="24"/>
      <c r="R35183"/>
      <c r="S35183"/>
      <c r="T35183"/>
      <c r="U35183"/>
      <c r="X35183" s="60"/>
    </row>
    <row r="35184" spans="7:24" ht="15" customHeight="1">
      <c r="G35184"/>
      <c r="I35184"/>
      <c r="N35184"/>
      <c r="O35184" s="24"/>
      <c r="P35184"/>
      <c r="Q35184" s="24"/>
      <c r="R35184"/>
      <c r="S35184"/>
      <c r="T35184"/>
      <c r="U35184"/>
      <c r="X35184" s="60"/>
    </row>
    <row r="35185" spans="7:24" ht="15" customHeight="1">
      <c r="G35185"/>
      <c r="I35185"/>
      <c r="N35185"/>
      <c r="O35185" s="24"/>
      <c r="P35185"/>
      <c r="Q35185" s="24"/>
      <c r="R35185"/>
      <c r="S35185"/>
      <c r="T35185"/>
      <c r="U35185"/>
      <c r="X35185" s="60"/>
    </row>
    <row r="35186" spans="7:24" ht="15" customHeight="1">
      <c r="G35186"/>
      <c r="I35186"/>
      <c r="N35186"/>
      <c r="O35186" s="24"/>
      <c r="P35186"/>
      <c r="Q35186" s="24"/>
      <c r="R35186"/>
      <c r="S35186"/>
      <c r="T35186"/>
      <c r="U35186"/>
      <c r="X35186" s="60"/>
    </row>
    <row r="35187" spans="7:24" ht="15" customHeight="1">
      <c r="G35187"/>
      <c r="I35187"/>
      <c r="N35187"/>
      <c r="O35187" s="24"/>
      <c r="P35187"/>
      <c r="Q35187" s="24"/>
      <c r="R35187"/>
      <c r="S35187"/>
      <c r="T35187"/>
      <c r="U35187"/>
      <c r="X35187" s="60"/>
    </row>
    <row r="35188" spans="7:24" ht="15" customHeight="1">
      <c r="G35188"/>
      <c r="I35188"/>
      <c r="N35188"/>
      <c r="O35188" s="24"/>
      <c r="P35188"/>
      <c r="Q35188" s="24"/>
      <c r="R35188"/>
      <c r="S35188"/>
      <c r="T35188"/>
      <c r="U35188"/>
      <c r="X35188" s="60"/>
    </row>
    <row r="35189" spans="7:24" ht="15" customHeight="1">
      <c r="G35189"/>
      <c r="I35189"/>
      <c r="N35189"/>
      <c r="O35189" s="24"/>
      <c r="P35189"/>
      <c r="Q35189" s="24"/>
      <c r="R35189"/>
      <c r="S35189"/>
      <c r="T35189"/>
      <c r="U35189"/>
      <c r="X35189" s="60"/>
    </row>
    <row r="35190" spans="7:24" ht="15" customHeight="1">
      <c r="G35190"/>
      <c r="I35190"/>
      <c r="N35190"/>
      <c r="O35190" s="24"/>
      <c r="P35190"/>
      <c r="Q35190" s="24"/>
      <c r="R35190"/>
      <c r="S35190"/>
      <c r="T35190"/>
      <c r="U35190"/>
      <c r="X35190" s="60"/>
    </row>
    <row r="35191" spans="7:24" ht="15" customHeight="1">
      <c r="G35191"/>
      <c r="I35191"/>
      <c r="N35191"/>
      <c r="O35191" s="24"/>
      <c r="P35191"/>
      <c r="Q35191" s="24"/>
      <c r="R35191"/>
      <c r="S35191"/>
      <c r="T35191"/>
      <c r="U35191"/>
      <c r="X35191" s="60"/>
    </row>
    <row r="35192" spans="7:24" ht="15" customHeight="1">
      <c r="G35192"/>
      <c r="I35192"/>
      <c r="N35192"/>
      <c r="O35192" s="24"/>
      <c r="P35192"/>
      <c r="Q35192" s="24"/>
      <c r="R35192"/>
      <c r="S35192"/>
      <c r="T35192"/>
      <c r="U35192"/>
      <c r="X35192" s="60"/>
    </row>
    <row r="35193" spans="7:24" ht="15" customHeight="1">
      <c r="G35193"/>
      <c r="I35193"/>
      <c r="N35193"/>
      <c r="O35193" s="24"/>
      <c r="P35193"/>
      <c r="Q35193" s="24"/>
      <c r="R35193"/>
      <c r="S35193"/>
      <c r="T35193"/>
      <c r="U35193"/>
      <c r="X35193" s="60"/>
    </row>
    <row r="35194" spans="7:24" ht="15" customHeight="1">
      <c r="G35194"/>
      <c r="I35194"/>
      <c r="N35194"/>
      <c r="O35194" s="24"/>
      <c r="P35194"/>
      <c r="Q35194" s="24"/>
      <c r="R35194"/>
      <c r="S35194"/>
      <c r="T35194"/>
      <c r="U35194"/>
      <c r="X35194" s="60"/>
    </row>
    <row r="35195" spans="7:24" ht="15" customHeight="1">
      <c r="G35195"/>
      <c r="I35195"/>
      <c r="N35195"/>
      <c r="O35195" s="24"/>
      <c r="P35195"/>
      <c r="Q35195" s="24"/>
      <c r="R35195"/>
      <c r="S35195"/>
      <c r="T35195"/>
      <c r="U35195"/>
      <c r="X35195" s="60"/>
    </row>
    <row r="35196" spans="7:24" ht="15" customHeight="1">
      <c r="G35196"/>
      <c r="I35196"/>
      <c r="N35196"/>
      <c r="O35196" s="24"/>
      <c r="P35196"/>
      <c r="Q35196" s="24"/>
      <c r="R35196"/>
      <c r="S35196"/>
      <c r="T35196"/>
      <c r="U35196"/>
      <c r="X35196" s="60"/>
    </row>
    <row r="35197" spans="7:24" ht="15" customHeight="1">
      <c r="G35197"/>
      <c r="I35197"/>
      <c r="N35197"/>
      <c r="O35197" s="24"/>
      <c r="P35197"/>
      <c r="Q35197" s="24"/>
      <c r="R35197"/>
      <c r="S35197"/>
      <c r="T35197"/>
      <c r="U35197"/>
      <c r="X35197" s="60"/>
    </row>
    <row r="35198" spans="7:24" ht="15" customHeight="1">
      <c r="G35198"/>
      <c r="I35198"/>
      <c r="N35198"/>
      <c r="O35198" s="24"/>
      <c r="P35198"/>
      <c r="Q35198" s="24"/>
      <c r="R35198"/>
      <c r="S35198"/>
      <c r="T35198"/>
      <c r="U35198"/>
      <c r="X35198" s="60"/>
    </row>
    <row r="35199" spans="7:24" ht="15" customHeight="1">
      <c r="G35199"/>
      <c r="I35199"/>
      <c r="N35199"/>
      <c r="O35199" s="24"/>
      <c r="P35199"/>
      <c r="Q35199" s="24"/>
      <c r="R35199"/>
      <c r="S35199"/>
      <c r="T35199"/>
      <c r="U35199"/>
      <c r="X35199" s="60"/>
    </row>
    <row r="35200" spans="7:24" ht="15" customHeight="1">
      <c r="G35200"/>
      <c r="I35200"/>
      <c r="N35200"/>
      <c r="O35200" s="24"/>
      <c r="P35200"/>
      <c r="Q35200" s="24"/>
      <c r="R35200"/>
      <c r="S35200"/>
      <c r="T35200"/>
      <c r="U35200"/>
      <c r="X35200" s="60"/>
    </row>
    <row r="35201" spans="7:24" ht="15" customHeight="1">
      <c r="G35201"/>
      <c r="I35201"/>
      <c r="N35201"/>
      <c r="O35201" s="24"/>
      <c r="P35201"/>
      <c r="Q35201" s="24"/>
      <c r="R35201"/>
      <c r="S35201"/>
      <c r="T35201"/>
      <c r="U35201"/>
      <c r="X35201" s="60"/>
    </row>
    <row r="35202" spans="7:24" ht="15" customHeight="1">
      <c r="G35202"/>
      <c r="I35202"/>
      <c r="N35202"/>
      <c r="O35202" s="24"/>
      <c r="P35202"/>
      <c r="Q35202" s="24"/>
      <c r="R35202"/>
      <c r="S35202"/>
      <c r="T35202"/>
      <c r="U35202"/>
      <c r="X35202" s="60"/>
    </row>
    <row r="35203" spans="7:24" ht="15" customHeight="1">
      <c r="G35203"/>
      <c r="I35203"/>
      <c r="N35203"/>
      <c r="O35203" s="24"/>
      <c r="P35203"/>
      <c r="Q35203" s="24"/>
      <c r="R35203"/>
      <c r="S35203"/>
      <c r="T35203"/>
      <c r="U35203"/>
      <c r="X35203" s="60"/>
    </row>
    <row r="35204" spans="7:24" ht="15" customHeight="1">
      <c r="G35204"/>
      <c r="I35204"/>
      <c r="N35204"/>
      <c r="O35204" s="24"/>
      <c r="P35204"/>
      <c r="Q35204" s="24"/>
      <c r="R35204"/>
      <c r="S35204"/>
      <c r="T35204"/>
      <c r="U35204"/>
      <c r="X35204" s="60"/>
    </row>
    <row r="35205" spans="7:24" ht="15" customHeight="1">
      <c r="G35205"/>
      <c r="I35205"/>
      <c r="N35205"/>
      <c r="O35205" s="24"/>
      <c r="P35205"/>
      <c r="Q35205" s="24"/>
      <c r="R35205"/>
      <c r="S35205"/>
      <c r="T35205"/>
      <c r="U35205"/>
      <c r="X35205" s="60"/>
    </row>
    <row r="35206" spans="7:24" ht="15" customHeight="1">
      <c r="G35206"/>
      <c r="I35206"/>
      <c r="N35206"/>
      <c r="O35206" s="24"/>
      <c r="P35206"/>
      <c r="Q35206" s="24"/>
      <c r="R35206"/>
      <c r="S35206"/>
      <c r="T35206"/>
      <c r="U35206"/>
      <c r="X35206" s="60"/>
    </row>
    <row r="35207" spans="7:24" ht="15" customHeight="1">
      <c r="G35207"/>
      <c r="I35207"/>
      <c r="N35207"/>
      <c r="O35207" s="24"/>
      <c r="P35207"/>
      <c r="Q35207" s="24"/>
      <c r="R35207"/>
      <c r="S35207"/>
      <c r="T35207"/>
      <c r="U35207"/>
      <c r="X35207" s="60"/>
    </row>
    <row r="35208" spans="7:24" ht="15" customHeight="1">
      <c r="G35208"/>
      <c r="I35208"/>
      <c r="N35208"/>
      <c r="O35208" s="24"/>
      <c r="P35208"/>
      <c r="Q35208" s="24"/>
      <c r="R35208"/>
      <c r="S35208"/>
      <c r="T35208"/>
      <c r="U35208"/>
      <c r="X35208" s="60"/>
    </row>
    <row r="35209" spans="7:24" ht="15" customHeight="1">
      <c r="G35209"/>
      <c r="I35209"/>
      <c r="N35209"/>
      <c r="O35209" s="24"/>
      <c r="P35209"/>
      <c r="Q35209" s="24"/>
      <c r="R35209"/>
      <c r="S35209"/>
      <c r="T35209"/>
      <c r="U35209"/>
      <c r="X35209" s="60"/>
    </row>
    <row r="35210" spans="7:24" ht="15" customHeight="1">
      <c r="G35210"/>
      <c r="I35210"/>
      <c r="N35210"/>
      <c r="O35210" s="24"/>
      <c r="P35210"/>
      <c r="Q35210" s="24"/>
      <c r="R35210"/>
      <c r="S35210"/>
      <c r="T35210"/>
      <c r="U35210"/>
      <c r="X35210" s="60"/>
    </row>
    <row r="35211" spans="7:24" ht="15" customHeight="1">
      <c r="G35211"/>
      <c r="I35211"/>
      <c r="N35211"/>
      <c r="O35211" s="24"/>
      <c r="P35211"/>
      <c r="Q35211" s="24"/>
      <c r="R35211"/>
      <c r="S35211"/>
      <c r="T35211"/>
      <c r="U35211"/>
      <c r="X35211" s="60"/>
    </row>
    <row r="35212" spans="7:24" ht="15" customHeight="1">
      <c r="G35212"/>
      <c r="I35212"/>
      <c r="N35212"/>
      <c r="O35212" s="24"/>
      <c r="P35212"/>
      <c r="Q35212" s="24"/>
      <c r="R35212"/>
      <c r="S35212"/>
      <c r="T35212"/>
      <c r="U35212"/>
      <c r="X35212" s="60"/>
    </row>
    <row r="35213" spans="7:24" ht="15" customHeight="1">
      <c r="G35213"/>
      <c r="I35213"/>
      <c r="N35213"/>
      <c r="O35213" s="24"/>
      <c r="P35213"/>
      <c r="Q35213" s="24"/>
      <c r="R35213"/>
      <c r="S35213"/>
      <c r="T35213"/>
      <c r="U35213"/>
      <c r="X35213" s="60"/>
    </row>
    <row r="35214" spans="7:24" ht="15" customHeight="1">
      <c r="G35214"/>
      <c r="I35214"/>
      <c r="N35214"/>
      <c r="O35214" s="24"/>
      <c r="P35214"/>
      <c r="Q35214" s="24"/>
      <c r="R35214"/>
      <c r="S35214"/>
      <c r="T35214"/>
      <c r="U35214"/>
      <c r="X35214" s="60"/>
    </row>
    <row r="35215" spans="7:24" ht="15" customHeight="1">
      <c r="G35215"/>
      <c r="I35215"/>
      <c r="N35215"/>
      <c r="O35215" s="24"/>
      <c r="P35215"/>
      <c r="Q35215" s="24"/>
      <c r="R35215"/>
      <c r="S35215"/>
      <c r="T35215"/>
      <c r="U35215"/>
      <c r="X35215" s="60"/>
    </row>
    <row r="35216" spans="7:24" ht="15" customHeight="1">
      <c r="G35216"/>
      <c r="I35216"/>
      <c r="N35216"/>
      <c r="O35216" s="24"/>
      <c r="P35216"/>
      <c r="Q35216" s="24"/>
      <c r="R35216"/>
      <c r="S35216"/>
      <c r="T35216"/>
      <c r="U35216"/>
      <c r="X35216" s="60"/>
    </row>
    <row r="35217" spans="7:24" ht="15" customHeight="1">
      <c r="G35217"/>
      <c r="I35217"/>
      <c r="N35217"/>
      <c r="O35217" s="24"/>
      <c r="P35217"/>
      <c r="Q35217" s="24"/>
      <c r="R35217"/>
      <c r="S35217"/>
      <c r="T35217"/>
      <c r="U35217"/>
      <c r="X35217" s="60"/>
    </row>
    <row r="35218" spans="7:24" ht="15" customHeight="1">
      <c r="G35218"/>
      <c r="I35218"/>
      <c r="N35218"/>
      <c r="O35218" s="24"/>
      <c r="P35218"/>
      <c r="Q35218" s="24"/>
      <c r="R35218"/>
      <c r="S35218"/>
      <c r="T35218"/>
      <c r="U35218"/>
      <c r="X35218" s="60"/>
    </row>
    <row r="35219" spans="7:24" ht="15" customHeight="1">
      <c r="G35219"/>
      <c r="I35219"/>
      <c r="N35219"/>
      <c r="O35219" s="24"/>
      <c r="P35219"/>
      <c r="Q35219" s="24"/>
      <c r="R35219"/>
      <c r="S35219"/>
      <c r="T35219"/>
      <c r="U35219"/>
      <c r="X35219" s="60"/>
    </row>
    <row r="35220" spans="7:24" ht="15" customHeight="1">
      <c r="G35220"/>
      <c r="I35220"/>
      <c r="N35220"/>
      <c r="O35220" s="24"/>
      <c r="P35220"/>
      <c r="Q35220" s="24"/>
      <c r="R35220"/>
      <c r="S35220"/>
      <c r="T35220"/>
      <c r="U35220"/>
      <c r="X35220" s="60"/>
    </row>
    <row r="35221" spans="7:24" ht="15" customHeight="1">
      <c r="G35221"/>
      <c r="I35221"/>
      <c r="N35221"/>
      <c r="O35221" s="24"/>
      <c r="P35221"/>
      <c r="Q35221" s="24"/>
      <c r="R35221"/>
      <c r="S35221"/>
      <c r="T35221"/>
      <c r="U35221"/>
      <c r="X35221" s="60"/>
    </row>
    <row r="35222" spans="7:24" ht="15" customHeight="1">
      <c r="G35222"/>
      <c r="I35222"/>
      <c r="N35222"/>
      <c r="O35222" s="24"/>
      <c r="P35222"/>
      <c r="Q35222" s="24"/>
      <c r="R35222"/>
      <c r="S35222"/>
      <c r="T35222"/>
      <c r="U35222"/>
      <c r="X35222" s="60"/>
    </row>
    <row r="35223" spans="7:24" ht="15" customHeight="1">
      <c r="G35223"/>
      <c r="I35223"/>
      <c r="N35223"/>
      <c r="O35223" s="24"/>
      <c r="P35223"/>
      <c r="Q35223" s="24"/>
      <c r="R35223"/>
      <c r="S35223"/>
      <c r="T35223"/>
      <c r="U35223"/>
      <c r="X35223" s="60"/>
    </row>
    <row r="35224" spans="7:24" ht="15" customHeight="1">
      <c r="G35224"/>
      <c r="I35224"/>
      <c r="N35224"/>
      <c r="O35224" s="24"/>
      <c r="P35224"/>
      <c r="Q35224" s="24"/>
      <c r="R35224"/>
      <c r="S35224"/>
      <c r="T35224"/>
      <c r="U35224"/>
      <c r="X35224" s="60"/>
    </row>
    <row r="35225" spans="7:24" ht="15" customHeight="1">
      <c r="G35225"/>
      <c r="I35225"/>
      <c r="N35225"/>
      <c r="O35225" s="24"/>
      <c r="P35225"/>
      <c r="Q35225" s="24"/>
      <c r="R35225"/>
      <c r="S35225"/>
      <c r="T35225"/>
      <c r="U35225"/>
      <c r="X35225" s="60"/>
    </row>
    <row r="35226" spans="7:24" ht="15" customHeight="1">
      <c r="G35226"/>
      <c r="I35226"/>
      <c r="N35226"/>
      <c r="O35226" s="24"/>
      <c r="P35226"/>
      <c r="Q35226" s="24"/>
      <c r="R35226"/>
      <c r="S35226"/>
      <c r="T35226"/>
      <c r="U35226"/>
      <c r="X35226" s="60"/>
    </row>
    <row r="35227" spans="7:24" ht="15" customHeight="1">
      <c r="G35227"/>
      <c r="I35227"/>
      <c r="N35227"/>
      <c r="O35227" s="24"/>
      <c r="P35227"/>
      <c r="Q35227" s="24"/>
      <c r="R35227"/>
      <c r="S35227"/>
      <c r="T35227"/>
      <c r="U35227"/>
      <c r="X35227" s="60"/>
    </row>
    <row r="35228" spans="7:24" ht="15" customHeight="1">
      <c r="G35228"/>
      <c r="I35228"/>
      <c r="N35228"/>
      <c r="O35228" s="24"/>
      <c r="P35228"/>
      <c r="Q35228" s="24"/>
      <c r="R35228"/>
      <c r="S35228"/>
      <c r="T35228"/>
      <c r="U35228"/>
      <c r="X35228" s="60"/>
    </row>
    <row r="35229" spans="7:24" ht="15" customHeight="1">
      <c r="G35229"/>
      <c r="I35229"/>
      <c r="N35229"/>
      <c r="O35229" s="24"/>
      <c r="P35229"/>
      <c r="Q35229" s="24"/>
      <c r="R35229"/>
      <c r="S35229"/>
      <c r="T35229"/>
      <c r="U35229"/>
      <c r="X35229" s="60"/>
    </row>
    <row r="35230" spans="7:24" ht="15" customHeight="1">
      <c r="G35230"/>
      <c r="I35230"/>
      <c r="N35230"/>
      <c r="O35230" s="24"/>
      <c r="P35230"/>
      <c r="Q35230" s="24"/>
      <c r="R35230"/>
      <c r="S35230"/>
      <c r="T35230"/>
      <c r="U35230"/>
      <c r="X35230" s="60"/>
    </row>
    <row r="35231" spans="7:24" ht="15" customHeight="1">
      <c r="G35231"/>
      <c r="I35231"/>
      <c r="N35231"/>
      <c r="O35231" s="24"/>
      <c r="P35231"/>
      <c r="Q35231" s="24"/>
      <c r="R35231"/>
      <c r="S35231"/>
      <c r="T35231"/>
      <c r="U35231"/>
      <c r="X35231" s="60"/>
    </row>
    <row r="35232" spans="7:24" ht="15" customHeight="1">
      <c r="G35232"/>
      <c r="I35232"/>
      <c r="N35232"/>
      <c r="O35232" s="24"/>
      <c r="P35232"/>
      <c r="Q35232" s="24"/>
      <c r="R35232"/>
      <c r="S35232"/>
      <c r="T35232"/>
      <c r="U35232"/>
      <c r="X35232" s="60"/>
    </row>
    <row r="35233" spans="7:24" ht="15" customHeight="1">
      <c r="G35233"/>
      <c r="I35233"/>
      <c r="N35233"/>
      <c r="O35233" s="24"/>
      <c r="P35233"/>
      <c r="Q35233" s="24"/>
      <c r="R35233"/>
      <c r="S35233"/>
      <c r="T35233"/>
      <c r="U35233"/>
      <c r="X35233" s="60"/>
    </row>
    <row r="35234" spans="7:24" ht="15" customHeight="1">
      <c r="G35234"/>
      <c r="I35234"/>
      <c r="N35234"/>
      <c r="O35234" s="24"/>
      <c r="P35234"/>
      <c r="Q35234" s="24"/>
      <c r="R35234"/>
      <c r="S35234"/>
      <c r="T35234"/>
      <c r="U35234"/>
      <c r="X35234" s="60"/>
    </row>
    <row r="35235" spans="7:24" ht="15" customHeight="1">
      <c r="G35235"/>
      <c r="I35235"/>
      <c r="N35235"/>
      <c r="O35235" s="24"/>
      <c r="P35235"/>
      <c r="Q35235" s="24"/>
      <c r="R35235"/>
      <c r="S35235"/>
      <c r="T35235"/>
      <c r="U35235"/>
      <c r="X35235" s="60"/>
    </row>
    <row r="35236" spans="7:24" ht="15" customHeight="1">
      <c r="G35236"/>
      <c r="I35236"/>
      <c r="N35236"/>
      <c r="O35236" s="24"/>
      <c r="P35236"/>
      <c r="Q35236" s="24"/>
      <c r="R35236"/>
      <c r="S35236"/>
      <c r="T35236"/>
      <c r="U35236"/>
      <c r="X35236" s="60"/>
    </row>
    <row r="35237" spans="7:24" ht="15" customHeight="1">
      <c r="G35237"/>
      <c r="I35237"/>
      <c r="N35237"/>
      <c r="O35237" s="24"/>
      <c r="P35237"/>
      <c r="Q35237" s="24"/>
      <c r="R35237"/>
      <c r="S35237"/>
      <c r="T35237"/>
      <c r="U35237"/>
      <c r="X35237" s="60"/>
    </row>
    <row r="35238" spans="7:24" ht="15" customHeight="1">
      <c r="G35238"/>
      <c r="I35238"/>
      <c r="N35238"/>
      <c r="O35238" s="24"/>
      <c r="P35238"/>
      <c r="Q35238" s="24"/>
      <c r="R35238"/>
      <c r="S35238"/>
      <c r="T35238"/>
      <c r="U35238"/>
      <c r="X35238" s="60"/>
    </row>
    <row r="35239" spans="7:24" ht="15" customHeight="1">
      <c r="G35239"/>
      <c r="I35239"/>
      <c r="N35239"/>
      <c r="O35239" s="24"/>
      <c r="P35239"/>
      <c r="Q35239" s="24"/>
      <c r="R35239"/>
      <c r="S35239"/>
      <c r="T35239"/>
      <c r="U35239"/>
      <c r="X35239" s="60"/>
    </row>
    <row r="35240" spans="7:24" ht="15" customHeight="1">
      <c r="G35240"/>
      <c r="I35240"/>
      <c r="N35240"/>
      <c r="O35240" s="24"/>
      <c r="P35240"/>
      <c r="Q35240" s="24"/>
      <c r="R35240"/>
      <c r="S35240"/>
      <c r="T35240"/>
      <c r="U35240"/>
      <c r="X35240" s="60"/>
    </row>
    <row r="35241" spans="7:24" ht="15" customHeight="1">
      <c r="G35241"/>
      <c r="I35241"/>
      <c r="N35241"/>
      <c r="O35241" s="24"/>
      <c r="P35241"/>
      <c r="Q35241" s="24"/>
      <c r="R35241"/>
      <c r="S35241"/>
      <c r="T35241"/>
      <c r="U35241"/>
      <c r="X35241" s="60"/>
    </row>
    <row r="35242" spans="7:24" ht="15" customHeight="1">
      <c r="G35242"/>
      <c r="I35242"/>
      <c r="N35242"/>
      <c r="O35242" s="24"/>
      <c r="P35242"/>
      <c r="Q35242" s="24"/>
      <c r="R35242"/>
      <c r="S35242"/>
      <c r="T35242"/>
      <c r="U35242"/>
      <c r="X35242" s="60"/>
    </row>
    <row r="35243" spans="7:24" ht="15" customHeight="1">
      <c r="G35243"/>
      <c r="I35243"/>
      <c r="N35243"/>
      <c r="O35243" s="24"/>
      <c r="P35243"/>
      <c r="Q35243" s="24"/>
      <c r="R35243"/>
      <c r="S35243"/>
      <c r="T35243"/>
      <c r="U35243"/>
      <c r="X35243" s="60"/>
    </row>
    <row r="35244" spans="7:24" ht="15" customHeight="1">
      <c r="G35244"/>
      <c r="I35244"/>
      <c r="N35244"/>
      <c r="O35244" s="24"/>
      <c r="P35244"/>
      <c r="Q35244" s="24"/>
      <c r="R35244"/>
      <c r="S35244"/>
      <c r="T35244"/>
      <c r="U35244"/>
      <c r="X35244" s="60"/>
    </row>
    <row r="35245" spans="7:24" ht="15" customHeight="1">
      <c r="G35245"/>
      <c r="I35245"/>
      <c r="N35245"/>
      <c r="O35245" s="24"/>
      <c r="P35245"/>
      <c r="Q35245" s="24"/>
      <c r="R35245"/>
      <c r="S35245"/>
      <c r="T35245"/>
      <c r="U35245"/>
      <c r="X35245" s="60"/>
    </row>
    <row r="35246" spans="7:24" ht="15" customHeight="1">
      <c r="G35246"/>
      <c r="I35246"/>
      <c r="N35246"/>
      <c r="O35246" s="24"/>
      <c r="P35246"/>
      <c r="Q35246" s="24"/>
      <c r="R35246"/>
      <c r="S35246"/>
      <c r="T35246"/>
      <c r="U35246"/>
      <c r="X35246" s="60"/>
    </row>
    <row r="35247" spans="7:24" ht="15" customHeight="1">
      <c r="G35247"/>
      <c r="I35247"/>
      <c r="N35247"/>
      <c r="O35247" s="24"/>
      <c r="P35247"/>
      <c r="Q35247" s="24"/>
      <c r="R35247"/>
      <c r="S35247"/>
      <c r="T35247"/>
      <c r="U35247"/>
      <c r="X35247" s="60"/>
    </row>
    <row r="35248" spans="7:24" ht="15" customHeight="1">
      <c r="G35248"/>
      <c r="I35248"/>
      <c r="N35248"/>
      <c r="O35248" s="24"/>
      <c r="P35248"/>
      <c r="Q35248" s="24"/>
      <c r="R35248"/>
      <c r="S35248"/>
      <c r="T35248"/>
      <c r="U35248"/>
      <c r="X35248" s="60"/>
    </row>
    <row r="35249" spans="7:24" ht="15" customHeight="1">
      <c r="G35249"/>
      <c r="I35249"/>
      <c r="N35249"/>
      <c r="O35249" s="24"/>
      <c r="P35249"/>
      <c r="Q35249" s="24"/>
      <c r="R35249"/>
      <c r="S35249"/>
      <c r="T35249"/>
      <c r="U35249"/>
      <c r="X35249" s="60"/>
    </row>
    <row r="35250" spans="7:24" ht="15" customHeight="1">
      <c r="G35250"/>
      <c r="I35250"/>
      <c r="N35250"/>
      <c r="O35250" s="24"/>
      <c r="P35250"/>
      <c r="Q35250" s="24"/>
      <c r="R35250"/>
      <c r="S35250"/>
      <c r="T35250"/>
      <c r="U35250"/>
      <c r="X35250" s="60"/>
    </row>
    <row r="35251" spans="7:24" ht="15" customHeight="1">
      <c r="G35251"/>
      <c r="I35251"/>
      <c r="N35251"/>
      <c r="O35251" s="24"/>
      <c r="P35251"/>
      <c r="Q35251" s="24"/>
      <c r="R35251"/>
      <c r="S35251"/>
      <c r="T35251"/>
      <c r="U35251"/>
      <c r="X35251" s="60"/>
    </row>
    <row r="35252" spans="7:24" ht="15" customHeight="1">
      <c r="G35252"/>
      <c r="I35252"/>
      <c r="N35252"/>
      <c r="O35252" s="24"/>
      <c r="P35252"/>
      <c r="Q35252" s="24"/>
      <c r="R35252"/>
      <c r="S35252"/>
      <c r="T35252"/>
      <c r="U35252"/>
      <c r="X35252" s="60"/>
    </row>
    <row r="35253" spans="7:24" ht="15" customHeight="1">
      <c r="G35253"/>
      <c r="I35253"/>
      <c r="N35253"/>
      <c r="O35253" s="24"/>
      <c r="P35253"/>
      <c r="Q35253" s="24"/>
      <c r="R35253"/>
      <c r="S35253"/>
      <c r="T35253"/>
      <c r="U35253"/>
      <c r="X35253" s="60"/>
    </row>
    <row r="35254" spans="7:24" ht="15" customHeight="1">
      <c r="G35254"/>
      <c r="I35254"/>
      <c r="N35254"/>
      <c r="O35254" s="24"/>
      <c r="P35254"/>
      <c r="Q35254" s="24"/>
      <c r="R35254"/>
      <c r="S35254"/>
      <c r="T35254"/>
      <c r="U35254"/>
      <c r="X35254" s="60"/>
    </row>
    <row r="35255" spans="7:24" ht="15" customHeight="1">
      <c r="G35255"/>
      <c r="I35255"/>
      <c r="N35255"/>
      <c r="O35255" s="24"/>
      <c r="P35255"/>
      <c r="Q35255" s="24"/>
      <c r="R35255"/>
      <c r="S35255"/>
      <c r="T35255"/>
      <c r="U35255"/>
      <c r="X35255" s="60"/>
    </row>
    <row r="35256" spans="7:24" ht="15" customHeight="1">
      <c r="G35256"/>
      <c r="I35256"/>
      <c r="N35256"/>
      <c r="O35256" s="24"/>
      <c r="P35256"/>
      <c r="Q35256" s="24"/>
      <c r="R35256"/>
      <c r="S35256"/>
      <c r="T35256"/>
      <c r="U35256"/>
      <c r="X35256" s="60"/>
    </row>
    <row r="35257" spans="7:24" ht="15" customHeight="1">
      <c r="G35257"/>
      <c r="I35257"/>
      <c r="N35257"/>
      <c r="O35257" s="24"/>
      <c r="P35257"/>
      <c r="Q35257" s="24"/>
      <c r="R35257"/>
      <c r="S35257"/>
      <c r="T35257"/>
      <c r="U35257"/>
      <c r="X35257" s="60"/>
    </row>
    <row r="35258" spans="7:24" ht="15" customHeight="1">
      <c r="G35258"/>
      <c r="I35258"/>
      <c r="N35258"/>
      <c r="O35258" s="24"/>
      <c r="P35258"/>
      <c r="Q35258" s="24"/>
      <c r="R35258"/>
      <c r="S35258"/>
      <c r="T35258"/>
      <c r="U35258"/>
      <c r="X35258" s="60"/>
    </row>
    <row r="35259" spans="7:24" ht="15" customHeight="1">
      <c r="G35259"/>
      <c r="I35259"/>
      <c r="N35259"/>
      <c r="O35259" s="24"/>
      <c r="P35259"/>
      <c r="Q35259" s="24"/>
      <c r="R35259"/>
      <c r="S35259"/>
      <c r="T35259"/>
      <c r="U35259"/>
      <c r="X35259" s="60"/>
    </row>
    <row r="35260" spans="7:24" ht="15" customHeight="1">
      <c r="G35260"/>
      <c r="I35260"/>
      <c r="N35260"/>
      <c r="O35260" s="24"/>
      <c r="P35260"/>
      <c r="Q35260" s="24"/>
      <c r="R35260"/>
      <c r="S35260"/>
      <c r="T35260"/>
      <c r="U35260"/>
      <c r="X35260" s="60"/>
    </row>
    <row r="35261" spans="7:24" ht="15" customHeight="1">
      <c r="G35261"/>
      <c r="I35261"/>
      <c r="N35261"/>
      <c r="O35261" s="24"/>
      <c r="P35261"/>
      <c r="Q35261" s="24"/>
      <c r="R35261"/>
      <c r="S35261"/>
      <c r="T35261"/>
      <c r="U35261"/>
      <c r="X35261" s="60"/>
    </row>
    <row r="35262" spans="7:24" ht="15" customHeight="1">
      <c r="G35262"/>
      <c r="I35262"/>
      <c r="N35262"/>
      <c r="O35262" s="24"/>
      <c r="P35262"/>
      <c r="Q35262" s="24"/>
      <c r="R35262"/>
      <c r="S35262"/>
      <c r="T35262"/>
      <c r="U35262"/>
      <c r="X35262" s="60"/>
    </row>
    <row r="35263" spans="7:24" ht="15" customHeight="1">
      <c r="G35263"/>
      <c r="I35263"/>
      <c r="N35263"/>
      <c r="O35263" s="24"/>
      <c r="P35263"/>
      <c r="Q35263" s="24"/>
      <c r="R35263"/>
      <c r="S35263"/>
      <c r="T35263"/>
      <c r="U35263"/>
      <c r="X35263" s="60"/>
    </row>
    <row r="35264" spans="7:24" ht="15" customHeight="1">
      <c r="G35264"/>
      <c r="I35264"/>
      <c r="N35264"/>
      <c r="O35264" s="24"/>
      <c r="P35264"/>
      <c r="Q35264" s="24"/>
      <c r="R35264"/>
      <c r="S35264"/>
      <c r="T35264"/>
      <c r="U35264"/>
      <c r="X35264" s="60"/>
    </row>
    <row r="35265" spans="7:24" ht="15" customHeight="1">
      <c r="G35265"/>
      <c r="I35265"/>
      <c r="N35265"/>
      <c r="O35265" s="24"/>
      <c r="P35265"/>
      <c r="Q35265" s="24"/>
      <c r="R35265"/>
      <c r="S35265"/>
      <c r="T35265"/>
      <c r="U35265"/>
      <c r="X35265" s="60"/>
    </row>
    <row r="35266" spans="7:24" ht="15" customHeight="1">
      <c r="G35266"/>
      <c r="I35266"/>
      <c r="N35266"/>
      <c r="O35266" s="24"/>
      <c r="P35266"/>
      <c r="Q35266" s="24"/>
      <c r="R35266"/>
      <c r="S35266"/>
      <c r="T35266"/>
      <c r="U35266"/>
      <c r="X35266" s="60"/>
    </row>
    <row r="35267" spans="7:24" ht="15" customHeight="1">
      <c r="G35267"/>
      <c r="I35267"/>
      <c r="N35267"/>
      <c r="O35267" s="24"/>
      <c r="P35267"/>
      <c r="Q35267" s="24"/>
      <c r="R35267"/>
      <c r="S35267"/>
      <c r="T35267"/>
      <c r="U35267"/>
      <c r="X35267" s="60"/>
    </row>
    <row r="35268" spans="7:24" ht="15" customHeight="1">
      <c r="G35268"/>
      <c r="I35268"/>
      <c r="N35268"/>
      <c r="O35268" s="24"/>
      <c r="P35268"/>
      <c r="Q35268" s="24"/>
      <c r="R35268"/>
      <c r="S35268"/>
      <c r="T35268"/>
      <c r="U35268"/>
      <c r="X35268" s="60"/>
    </row>
    <row r="35269" spans="7:24" ht="15" customHeight="1">
      <c r="G35269"/>
      <c r="I35269"/>
      <c r="N35269"/>
      <c r="O35269" s="24"/>
      <c r="P35269"/>
      <c r="Q35269" s="24"/>
      <c r="R35269"/>
      <c r="S35269"/>
      <c r="T35269"/>
      <c r="U35269"/>
      <c r="X35269" s="60"/>
    </row>
    <row r="35270" spans="7:24" ht="15" customHeight="1">
      <c r="G35270"/>
      <c r="I35270"/>
      <c r="N35270"/>
      <c r="O35270" s="24"/>
      <c r="P35270"/>
      <c r="Q35270" s="24"/>
      <c r="R35270"/>
      <c r="S35270"/>
      <c r="T35270"/>
      <c r="U35270"/>
      <c r="X35270" s="60"/>
    </row>
    <row r="35271" spans="7:24" ht="15" customHeight="1">
      <c r="G35271"/>
      <c r="I35271"/>
      <c r="N35271"/>
      <c r="O35271" s="24"/>
      <c r="P35271"/>
      <c r="Q35271" s="24"/>
      <c r="R35271"/>
      <c r="S35271"/>
      <c r="T35271"/>
      <c r="U35271"/>
      <c r="X35271" s="60"/>
    </row>
    <row r="35272" spans="7:24" ht="15" customHeight="1">
      <c r="G35272"/>
      <c r="I35272"/>
      <c r="N35272"/>
      <c r="O35272" s="24"/>
      <c r="P35272"/>
      <c r="Q35272" s="24"/>
      <c r="R35272"/>
      <c r="S35272"/>
      <c r="T35272"/>
      <c r="U35272"/>
      <c r="X35272" s="60"/>
    </row>
    <row r="35273" spans="7:24" ht="15" customHeight="1">
      <c r="G35273"/>
      <c r="I35273"/>
      <c r="N35273"/>
      <c r="O35273" s="24"/>
      <c r="P35273"/>
      <c r="Q35273" s="24"/>
      <c r="R35273"/>
      <c r="S35273"/>
      <c r="T35273"/>
      <c r="U35273"/>
      <c r="X35273" s="60"/>
    </row>
    <row r="35274" spans="7:24" ht="15" customHeight="1">
      <c r="G35274"/>
      <c r="I35274"/>
      <c r="N35274"/>
      <c r="O35274" s="24"/>
      <c r="P35274"/>
      <c r="Q35274" s="24"/>
      <c r="R35274"/>
      <c r="S35274"/>
      <c r="T35274"/>
      <c r="U35274"/>
      <c r="X35274" s="60"/>
    </row>
    <row r="35275" spans="7:24" ht="15" customHeight="1">
      <c r="G35275"/>
      <c r="I35275"/>
      <c r="N35275"/>
      <c r="O35275" s="24"/>
      <c r="P35275"/>
      <c r="Q35275" s="24"/>
      <c r="R35275"/>
      <c r="S35275"/>
      <c r="T35275"/>
      <c r="U35275"/>
      <c r="X35275" s="60"/>
    </row>
    <row r="35276" spans="7:24" ht="15" customHeight="1">
      <c r="G35276"/>
      <c r="I35276"/>
      <c r="N35276"/>
      <c r="O35276" s="24"/>
      <c r="P35276"/>
      <c r="Q35276" s="24"/>
      <c r="R35276"/>
      <c r="S35276"/>
      <c r="T35276"/>
      <c r="U35276"/>
      <c r="X35276" s="60"/>
    </row>
    <row r="35277" spans="7:24" ht="15" customHeight="1">
      <c r="G35277"/>
      <c r="I35277"/>
      <c r="N35277"/>
      <c r="O35277" s="24"/>
      <c r="P35277"/>
      <c r="Q35277" s="24"/>
      <c r="R35277"/>
      <c r="S35277"/>
      <c r="T35277"/>
      <c r="U35277"/>
      <c r="X35277" s="60"/>
    </row>
    <row r="35278" spans="7:24" ht="15" customHeight="1">
      <c r="G35278"/>
      <c r="I35278"/>
      <c r="N35278"/>
      <c r="O35278" s="24"/>
      <c r="P35278"/>
      <c r="Q35278" s="24"/>
      <c r="R35278"/>
      <c r="S35278"/>
      <c r="T35278"/>
      <c r="U35278"/>
      <c r="X35278" s="60"/>
    </row>
    <row r="35279" spans="7:24" ht="15" customHeight="1">
      <c r="G35279"/>
      <c r="I35279"/>
      <c r="N35279"/>
      <c r="O35279" s="24"/>
      <c r="P35279"/>
      <c r="Q35279" s="24"/>
      <c r="R35279"/>
      <c r="S35279"/>
      <c r="T35279"/>
      <c r="U35279"/>
      <c r="X35279" s="60"/>
    </row>
    <row r="35280" spans="7:24" ht="15" customHeight="1">
      <c r="G35280"/>
      <c r="I35280"/>
      <c r="N35280"/>
      <c r="O35280" s="24"/>
      <c r="P35280"/>
      <c r="Q35280" s="24"/>
      <c r="R35280"/>
      <c r="S35280"/>
      <c r="T35280"/>
      <c r="U35280"/>
      <c r="X35280" s="60"/>
    </row>
    <row r="35281" spans="7:24" ht="15" customHeight="1">
      <c r="G35281"/>
      <c r="I35281"/>
      <c r="N35281"/>
      <c r="O35281" s="24"/>
      <c r="P35281"/>
      <c r="Q35281" s="24"/>
      <c r="R35281"/>
      <c r="S35281"/>
      <c r="T35281"/>
      <c r="U35281"/>
      <c r="X35281" s="60"/>
    </row>
    <row r="35282" spans="7:24" ht="15" customHeight="1">
      <c r="G35282"/>
      <c r="I35282"/>
      <c r="N35282"/>
      <c r="O35282" s="24"/>
      <c r="P35282"/>
      <c r="Q35282" s="24"/>
      <c r="R35282"/>
      <c r="S35282"/>
      <c r="T35282"/>
      <c r="U35282"/>
      <c r="X35282" s="60"/>
    </row>
    <row r="35283" spans="7:24" ht="15" customHeight="1">
      <c r="G35283"/>
      <c r="I35283"/>
      <c r="N35283"/>
      <c r="O35283" s="24"/>
      <c r="P35283"/>
      <c r="Q35283" s="24"/>
      <c r="R35283"/>
      <c r="S35283"/>
      <c r="T35283"/>
      <c r="U35283"/>
      <c r="X35283" s="60"/>
    </row>
    <row r="35284" spans="7:24" ht="15" customHeight="1">
      <c r="G35284"/>
      <c r="I35284"/>
      <c r="N35284"/>
      <c r="O35284" s="24"/>
      <c r="P35284"/>
      <c r="Q35284" s="24"/>
      <c r="R35284"/>
      <c r="S35284"/>
      <c r="T35284"/>
      <c r="U35284"/>
      <c r="X35284" s="60"/>
    </row>
    <row r="35285" spans="7:24" ht="15" customHeight="1">
      <c r="G35285"/>
      <c r="I35285"/>
      <c r="N35285"/>
      <c r="O35285" s="24"/>
      <c r="P35285"/>
      <c r="Q35285" s="24"/>
      <c r="R35285"/>
      <c r="S35285"/>
      <c r="T35285"/>
      <c r="U35285"/>
      <c r="X35285" s="60"/>
    </row>
    <row r="35286" spans="7:24" ht="15" customHeight="1">
      <c r="G35286"/>
      <c r="I35286"/>
      <c r="N35286"/>
      <c r="O35286" s="24"/>
      <c r="P35286"/>
      <c r="Q35286" s="24"/>
      <c r="R35286"/>
      <c r="S35286"/>
      <c r="T35286"/>
      <c r="U35286"/>
      <c r="X35286" s="60"/>
    </row>
    <row r="35287" spans="7:24" ht="15" customHeight="1">
      <c r="G35287"/>
      <c r="I35287"/>
      <c r="N35287"/>
      <c r="O35287" s="24"/>
      <c r="P35287"/>
      <c r="Q35287" s="24"/>
      <c r="R35287"/>
      <c r="S35287"/>
      <c r="T35287"/>
      <c r="U35287"/>
      <c r="X35287" s="60"/>
    </row>
    <row r="35288" spans="7:24" ht="15" customHeight="1">
      <c r="G35288"/>
      <c r="I35288"/>
      <c r="N35288"/>
      <c r="O35288" s="24"/>
      <c r="P35288"/>
      <c r="Q35288" s="24"/>
      <c r="R35288"/>
      <c r="S35288"/>
      <c r="T35288"/>
      <c r="U35288"/>
      <c r="X35288" s="60"/>
    </row>
    <row r="35289" spans="7:24" ht="15" customHeight="1">
      <c r="G35289"/>
      <c r="I35289"/>
      <c r="N35289"/>
      <c r="O35289" s="24"/>
      <c r="P35289"/>
      <c r="Q35289" s="24"/>
      <c r="R35289"/>
      <c r="S35289"/>
      <c r="T35289"/>
      <c r="U35289"/>
      <c r="X35289" s="60"/>
    </row>
    <row r="35290" spans="7:24" ht="15" customHeight="1">
      <c r="G35290"/>
      <c r="I35290"/>
      <c r="N35290"/>
      <c r="O35290" s="24"/>
      <c r="P35290"/>
      <c r="Q35290" s="24"/>
      <c r="R35290"/>
      <c r="S35290"/>
      <c r="T35290"/>
      <c r="U35290"/>
      <c r="X35290" s="60"/>
    </row>
    <row r="35291" spans="7:24" ht="15" customHeight="1">
      <c r="G35291"/>
      <c r="I35291"/>
      <c r="N35291"/>
      <c r="O35291" s="24"/>
      <c r="P35291"/>
      <c r="Q35291" s="24"/>
      <c r="R35291"/>
      <c r="S35291"/>
      <c r="T35291"/>
      <c r="U35291"/>
      <c r="X35291" s="60"/>
    </row>
    <row r="35292" spans="7:24" ht="15" customHeight="1">
      <c r="G35292"/>
      <c r="I35292"/>
      <c r="N35292"/>
      <c r="O35292" s="24"/>
      <c r="P35292"/>
      <c r="Q35292" s="24"/>
      <c r="R35292"/>
      <c r="S35292"/>
      <c r="T35292"/>
      <c r="U35292"/>
      <c r="X35292" s="60"/>
    </row>
    <row r="35293" spans="7:24" ht="15" customHeight="1">
      <c r="G35293"/>
      <c r="I35293"/>
      <c r="N35293"/>
      <c r="O35293" s="24"/>
      <c r="P35293"/>
      <c r="Q35293" s="24"/>
      <c r="R35293"/>
      <c r="S35293"/>
      <c r="T35293"/>
      <c r="U35293"/>
      <c r="X35293" s="60"/>
    </row>
    <row r="35294" spans="7:24" ht="15" customHeight="1">
      <c r="G35294"/>
      <c r="I35294"/>
      <c r="N35294"/>
      <c r="O35294" s="24"/>
      <c r="P35294"/>
      <c r="Q35294" s="24"/>
      <c r="R35294"/>
      <c r="S35294"/>
      <c r="T35294"/>
      <c r="U35294"/>
      <c r="X35294" s="60"/>
    </row>
    <row r="35295" spans="7:24" ht="15" customHeight="1">
      <c r="G35295"/>
      <c r="I35295"/>
      <c r="N35295"/>
      <c r="O35295" s="24"/>
      <c r="P35295"/>
      <c r="Q35295" s="24"/>
      <c r="R35295"/>
      <c r="S35295"/>
      <c r="T35295"/>
      <c r="U35295"/>
      <c r="X35295" s="60"/>
    </row>
    <row r="35296" spans="7:24" ht="15" customHeight="1">
      <c r="G35296"/>
      <c r="I35296"/>
      <c r="N35296"/>
      <c r="O35296" s="24"/>
      <c r="P35296"/>
      <c r="Q35296" s="24"/>
      <c r="R35296"/>
      <c r="S35296"/>
      <c r="T35296"/>
      <c r="U35296"/>
      <c r="X35296" s="60"/>
    </row>
    <row r="35297" spans="7:24" ht="15" customHeight="1">
      <c r="G35297"/>
      <c r="I35297"/>
      <c r="N35297"/>
      <c r="O35297" s="24"/>
      <c r="P35297"/>
      <c r="Q35297" s="24"/>
      <c r="R35297"/>
      <c r="S35297"/>
      <c r="T35297"/>
      <c r="U35297"/>
      <c r="X35297" s="60"/>
    </row>
    <row r="35298" spans="7:24" ht="15" customHeight="1">
      <c r="G35298"/>
      <c r="I35298"/>
      <c r="N35298"/>
      <c r="O35298" s="24"/>
      <c r="P35298"/>
      <c r="Q35298" s="24"/>
      <c r="R35298"/>
      <c r="S35298"/>
      <c r="T35298"/>
      <c r="U35298"/>
      <c r="X35298" s="60"/>
    </row>
    <row r="35299" spans="7:24" ht="15" customHeight="1">
      <c r="G35299"/>
      <c r="I35299"/>
      <c r="N35299"/>
      <c r="O35299" s="24"/>
      <c r="P35299"/>
      <c r="Q35299" s="24"/>
      <c r="R35299"/>
      <c r="S35299"/>
      <c r="T35299"/>
      <c r="U35299"/>
      <c r="X35299" s="60"/>
    </row>
    <row r="35300" spans="7:24" ht="15" customHeight="1">
      <c r="G35300"/>
      <c r="I35300"/>
      <c r="N35300"/>
      <c r="O35300" s="24"/>
      <c r="P35300"/>
      <c r="Q35300" s="24"/>
      <c r="R35300"/>
      <c r="S35300"/>
      <c r="T35300"/>
      <c r="U35300"/>
      <c r="X35300" s="60"/>
    </row>
    <row r="35301" spans="7:24" ht="15" customHeight="1">
      <c r="G35301"/>
      <c r="I35301"/>
      <c r="N35301"/>
      <c r="O35301" s="24"/>
      <c r="P35301"/>
      <c r="Q35301" s="24"/>
      <c r="R35301"/>
      <c r="S35301"/>
      <c r="T35301"/>
      <c r="U35301"/>
      <c r="X35301" s="60"/>
    </row>
    <row r="35302" spans="7:24" ht="15" customHeight="1">
      <c r="G35302"/>
      <c r="I35302"/>
      <c r="N35302"/>
      <c r="O35302" s="24"/>
      <c r="P35302"/>
      <c r="Q35302" s="24"/>
      <c r="R35302"/>
      <c r="S35302"/>
      <c r="T35302"/>
      <c r="U35302"/>
      <c r="X35302" s="60"/>
    </row>
    <row r="35303" spans="7:24" ht="15" customHeight="1">
      <c r="G35303"/>
      <c r="I35303"/>
      <c r="N35303"/>
      <c r="O35303" s="24"/>
      <c r="P35303"/>
      <c r="Q35303" s="24"/>
      <c r="R35303"/>
      <c r="S35303"/>
      <c r="T35303"/>
      <c r="U35303"/>
      <c r="X35303" s="60"/>
    </row>
    <row r="35304" spans="7:24" ht="15" customHeight="1">
      <c r="G35304"/>
      <c r="I35304"/>
      <c r="N35304"/>
      <c r="O35304" s="24"/>
      <c r="P35304"/>
      <c r="Q35304" s="24"/>
      <c r="R35304"/>
      <c r="S35304"/>
      <c r="T35304"/>
      <c r="U35304"/>
      <c r="X35304" s="60"/>
    </row>
    <row r="35305" spans="7:24" ht="15" customHeight="1">
      <c r="G35305"/>
      <c r="I35305"/>
      <c r="N35305"/>
      <c r="O35305" s="24"/>
      <c r="P35305"/>
      <c r="Q35305" s="24"/>
      <c r="R35305"/>
      <c r="S35305"/>
      <c r="T35305"/>
      <c r="U35305"/>
      <c r="X35305" s="60"/>
    </row>
    <row r="35306" spans="7:24" ht="15" customHeight="1">
      <c r="G35306"/>
      <c r="I35306"/>
      <c r="N35306"/>
      <c r="O35306" s="24"/>
      <c r="P35306"/>
      <c r="Q35306" s="24"/>
      <c r="R35306"/>
      <c r="S35306"/>
      <c r="T35306"/>
      <c r="U35306"/>
      <c r="X35306" s="60"/>
    </row>
    <row r="35307" spans="7:24" ht="15" customHeight="1">
      <c r="G35307"/>
      <c r="I35307"/>
      <c r="N35307"/>
      <c r="O35307" s="24"/>
      <c r="P35307"/>
      <c r="Q35307" s="24"/>
      <c r="R35307"/>
      <c r="S35307"/>
      <c r="T35307"/>
      <c r="U35307"/>
      <c r="X35307" s="60"/>
    </row>
    <row r="35308" spans="7:24" ht="15" customHeight="1">
      <c r="G35308"/>
      <c r="I35308"/>
      <c r="N35308"/>
      <c r="O35308" s="24"/>
      <c r="P35308"/>
      <c r="Q35308" s="24"/>
      <c r="R35308"/>
      <c r="S35308"/>
      <c r="T35308"/>
      <c r="U35308"/>
      <c r="X35308" s="60"/>
    </row>
    <row r="35309" spans="7:24" ht="15" customHeight="1">
      <c r="G35309"/>
      <c r="I35309"/>
      <c r="N35309"/>
      <c r="O35309" s="24"/>
      <c r="P35309"/>
      <c r="Q35309" s="24"/>
      <c r="R35309"/>
      <c r="S35309"/>
      <c r="T35309"/>
      <c r="U35309"/>
      <c r="X35309" s="60"/>
    </row>
    <row r="35310" spans="7:24" ht="15" customHeight="1">
      <c r="G35310"/>
      <c r="I35310"/>
      <c r="N35310"/>
      <c r="O35310" s="24"/>
      <c r="P35310"/>
      <c r="Q35310" s="24"/>
      <c r="R35310"/>
      <c r="S35310"/>
      <c r="T35310"/>
      <c r="U35310"/>
      <c r="X35310" s="60"/>
    </row>
    <row r="35311" spans="7:24" ht="15" customHeight="1">
      <c r="G35311"/>
      <c r="I35311"/>
      <c r="N35311"/>
      <c r="O35311" s="24"/>
      <c r="P35311"/>
      <c r="Q35311" s="24"/>
      <c r="R35311"/>
      <c r="S35311"/>
      <c r="T35311"/>
      <c r="U35311"/>
      <c r="X35311" s="60"/>
    </row>
    <row r="35312" spans="7:24" ht="15" customHeight="1">
      <c r="G35312"/>
      <c r="I35312"/>
      <c r="N35312"/>
      <c r="O35312" s="24"/>
      <c r="P35312"/>
      <c r="Q35312" s="24"/>
      <c r="R35312"/>
      <c r="S35312"/>
      <c r="T35312"/>
      <c r="U35312"/>
      <c r="X35312" s="60"/>
    </row>
    <row r="35313" spans="7:24" ht="15" customHeight="1">
      <c r="G35313"/>
      <c r="I35313"/>
      <c r="N35313"/>
      <c r="O35313" s="24"/>
      <c r="P35313"/>
      <c r="Q35313" s="24"/>
      <c r="R35313"/>
      <c r="S35313"/>
      <c r="T35313"/>
      <c r="U35313"/>
      <c r="X35313" s="60"/>
    </row>
    <row r="35314" spans="7:24" ht="15" customHeight="1">
      <c r="G35314"/>
      <c r="I35314"/>
      <c r="N35314"/>
      <c r="O35314" s="24"/>
      <c r="P35314"/>
      <c r="Q35314" s="24"/>
      <c r="R35314"/>
      <c r="S35314"/>
      <c r="T35314"/>
      <c r="U35314"/>
      <c r="X35314" s="60"/>
    </row>
    <row r="35315" spans="7:24" ht="15" customHeight="1">
      <c r="G35315"/>
      <c r="I35315"/>
      <c r="N35315"/>
      <c r="O35315" s="24"/>
      <c r="P35315"/>
      <c r="Q35315" s="24"/>
      <c r="R35315"/>
      <c r="S35315"/>
      <c r="T35315"/>
      <c r="U35315"/>
      <c r="X35315" s="60"/>
    </row>
    <row r="35316" spans="7:24" ht="15" customHeight="1">
      <c r="G35316"/>
      <c r="I35316"/>
      <c r="N35316"/>
      <c r="O35316" s="24"/>
      <c r="P35316"/>
      <c r="Q35316" s="24"/>
      <c r="R35316"/>
      <c r="S35316"/>
      <c r="T35316"/>
      <c r="U35316"/>
      <c r="X35316" s="60"/>
    </row>
    <row r="35317" spans="7:24" ht="15" customHeight="1">
      <c r="G35317"/>
      <c r="I35317"/>
      <c r="N35317"/>
      <c r="O35317" s="24"/>
      <c r="P35317"/>
      <c r="Q35317" s="24"/>
      <c r="R35317"/>
      <c r="S35317"/>
      <c r="T35317"/>
      <c r="U35317"/>
      <c r="X35317" s="60"/>
    </row>
    <row r="35318" spans="7:24" ht="15" customHeight="1">
      <c r="G35318"/>
      <c r="I35318"/>
      <c r="N35318"/>
      <c r="O35318" s="24"/>
      <c r="P35318"/>
      <c r="Q35318" s="24"/>
      <c r="R35318"/>
      <c r="S35318"/>
      <c r="T35318"/>
      <c r="U35318"/>
      <c r="X35318" s="60"/>
    </row>
    <row r="35319" spans="7:24" ht="15" customHeight="1">
      <c r="G35319"/>
      <c r="I35319"/>
      <c r="N35319"/>
      <c r="O35319" s="24"/>
      <c r="P35319"/>
      <c r="Q35319" s="24"/>
      <c r="R35319"/>
      <c r="S35319"/>
      <c r="T35319"/>
      <c r="U35319"/>
      <c r="X35319" s="60"/>
    </row>
    <row r="35320" spans="7:24" ht="15" customHeight="1">
      <c r="G35320"/>
      <c r="I35320"/>
      <c r="N35320"/>
      <c r="O35320" s="24"/>
      <c r="P35320"/>
      <c r="Q35320" s="24"/>
      <c r="R35320"/>
      <c r="S35320"/>
      <c r="T35320"/>
      <c r="U35320"/>
      <c r="X35320" s="60"/>
    </row>
    <row r="35321" spans="7:24" ht="15" customHeight="1">
      <c r="G35321"/>
      <c r="I35321"/>
      <c r="N35321"/>
      <c r="O35321" s="24"/>
      <c r="P35321"/>
      <c r="Q35321" s="24"/>
      <c r="R35321"/>
      <c r="S35321"/>
      <c r="T35321"/>
      <c r="U35321"/>
      <c r="X35321" s="60"/>
    </row>
    <row r="35322" spans="7:24" ht="15" customHeight="1">
      <c r="G35322"/>
      <c r="I35322"/>
      <c r="N35322"/>
      <c r="O35322" s="24"/>
      <c r="P35322"/>
      <c r="Q35322" s="24"/>
      <c r="R35322"/>
      <c r="S35322"/>
      <c r="T35322"/>
      <c r="U35322"/>
      <c r="X35322" s="60"/>
    </row>
    <row r="35323" spans="7:24" ht="15" customHeight="1">
      <c r="G35323"/>
      <c r="I35323"/>
      <c r="N35323"/>
      <c r="O35323" s="24"/>
      <c r="P35323"/>
      <c r="Q35323" s="24"/>
      <c r="R35323"/>
      <c r="S35323"/>
      <c r="T35323"/>
      <c r="U35323"/>
      <c r="X35323" s="60"/>
    </row>
    <row r="35324" spans="7:24" ht="15" customHeight="1">
      <c r="G35324"/>
      <c r="I35324"/>
      <c r="N35324"/>
      <c r="O35324" s="24"/>
      <c r="P35324"/>
      <c r="Q35324" s="24"/>
      <c r="R35324"/>
      <c r="S35324"/>
      <c r="T35324"/>
      <c r="U35324"/>
      <c r="X35324" s="60"/>
    </row>
    <row r="35325" spans="7:24" ht="15" customHeight="1">
      <c r="G35325"/>
      <c r="I35325"/>
      <c r="N35325"/>
      <c r="O35325" s="24"/>
      <c r="P35325"/>
      <c r="Q35325" s="24"/>
      <c r="R35325"/>
      <c r="S35325"/>
      <c r="T35325"/>
      <c r="U35325"/>
      <c r="X35325" s="60"/>
    </row>
    <row r="35326" spans="7:24" ht="15" customHeight="1">
      <c r="G35326"/>
      <c r="I35326"/>
      <c r="N35326"/>
      <c r="O35326" s="24"/>
      <c r="P35326"/>
      <c r="Q35326" s="24"/>
      <c r="R35326"/>
      <c r="S35326"/>
      <c r="T35326"/>
      <c r="U35326"/>
      <c r="X35326" s="60"/>
    </row>
    <row r="35327" spans="7:24" ht="15" customHeight="1">
      <c r="G35327"/>
      <c r="I35327"/>
      <c r="N35327"/>
      <c r="O35327" s="24"/>
      <c r="P35327"/>
      <c r="Q35327" s="24"/>
      <c r="R35327"/>
      <c r="S35327"/>
      <c r="T35327"/>
      <c r="U35327"/>
      <c r="X35327" s="60"/>
    </row>
    <row r="35328" spans="7:24" ht="15" customHeight="1">
      <c r="G35328"/>
      <c r="I35328"/>
      <c r="N35328"/>
      <c r="O35328" s="24"/>
      <c r="P35328"/>
      <c r="Q35328" s="24"/>
      <c r="R35328"/>
      <c r="S35328"/>
      <c r="T35328"/>
      <c r="U35328"/>
      <c r="X35328" s="60"/>
    </row>
    <row r="35329" spans="7:24" ht="15" customHeight="1">
      <c r="G35329"/>
      <c r="I35329"/>
      <c r="N35329"/>
      <c r="O35329" s="24"/>
      <c r="P35329"/>
      <c r="Q35329" s="24"/>
      <c r="R35329"/>
      <c r="S35329"/>
      <c r="T35329"/>
      <c r="U35329"/>
      <c r="X35329" s="60"/>
    </row>
    <row r="35330" spans="7:24" ht="15" customHeight="1">
      <c r="G35330"/>
      <c r="I35330"/>
      <c r="N35330"/>
      <c r="O35330" s="24"/>
      <c r="P35330"/>
      <c r="Q35330" s="24"/>
      <c r="R35330"/>
      <c r="S35330"/>
      <c r="T35330"/>
      <c r="U35330"/>
      <c r="X35330" s="60"/>
    </row>
    <row r="35331" spans="7:24" ht="15" customHeight="1">
      <c r="G35331"/>
      <c r="I35331"/>
      <c r="N35331"/>
      <c r="O35331" s="24"/>
      <c r="P35331"/>
      <c r="Q35331" s="24"/>
      <c r="R35331"/>
      <c r="S35331"/>
      <c r="T35331"/>
      <c r="U35331"/>
      <c r="X35331" s="60"/>
    </row>
    <row r="35332" spans="7:24" ht="15" customHeight="1">
      <c r="G35332"/>
      <c r="I35332"/>
      <c r="N35332"/>
      <c r="O35332" s="24"/>
      <c r="P35332"/>
      <c r="Q35332" s="24"/>
      <c r="R35332"/>
      <c r="S35332"/>
      <c r="T35332"/>
      <c r="U35332"/>
      <c r="X35332" s="60"/>
    </row>
    <row r="35333" spans="7:24" ht="15" customHeight="1">
      <c r="G35333"/>
      <c r="I35333"/>
      <c r="N35333"/>
      <c r="O35333" s="24"/>
      <c r="P35333"/>
      <c r="Q35333" s="24"/>
      <c r="R35333"/>
      <c r="S35333"/>
      <c r="T35333"/>
      <c r="U35333"/>
      <c r="X35333" s="60"/>
    </row>
    <row r="35334" spans="7:24" ht="15" customHeight="1">
      <c r="G35334"/>
      <c r="I35334"/>
      <c r="N35334"/>
      <c r="O35334" s="24"/>
      <c r="P35334"/>
      <c r="Q35334" s="24"/>
      <c r="R35334"/>
      <c r="S35334"/>
      <c r="T35334"/>
      <c r="U35334"/>
      <c r="X35334" s="60"/>
    </row>
    <row r="35335" spans="7:24" ht="15" customHeight="1">
      <c r="G35335"/>
      <c r="I35335"/>
      <c r="N35335"/>
      <c r="O35335" s="24"/>
      <c r="P35335"/>
      <c r="Q35335" s="24"/>
      <c r="R35335"/>
      <c r="S35335"/>
      <c r="T35335"/>
      <c r="U35335"/>
      <c r="X35335" s="60"/>
    </row>
    <row r="35336" spans="7:24" ht="15" customHeight="1">
      <c r="G35336"/>
      <c r="I35336"/>
      <c r="N35336"/>
      <c r="O35336" s="24"/>
      <c r="P35336"/>
      <c r="Q35336" s="24"/>
      <c r="R35336"/>
      <c r="S35336"/>
      <c r="T35336"/>
      <c r="U35336"/>
      <c r="X35336" s="60"/>
    </row>
    <row r="35337" spans="7:24" ht="15" customHeight="1">
      <c r="G35337"/>
      <c r="I35337"/>
      <c r="N35337"/>
      <c r="O35337" s="24"/>
      <c r="P35337"/>
      <c r="Q35337" s="24"/>
      <c r="R35337"/>
      <c r="S35337"/>
      <c r="T35337"/>
      <c r="U35337"/>
      <c r="X35337" s="60"/>
    </row>
    <row r="35338" spans="7:24" ht="15" customHeight="1">
      <c r="G35338"/>
      <c r="I35338"/>
      <c r="N35338"/>
      <c r="O35338" s="24"/>
      <c r="P35338"/>
      <c r="Q35338" s="24"/>
      <c r="R35338"/>
      <c r="S35338"/>
      <c r="T35338"/>
      <c r="U35338"/>
      <c r="X35338" s="60"/>
    </row>
    <row r="35339" spans="7:24" ht="15" customHeight="1">
      <c r="G35339"/>
      <c r="I35339"/>
      <c r="N35339"/>
      <c r="O35339" s="24"/>
      <c r="P35339"/>
      <c r="Q35339" s="24"/>
      <c r="R35339"/>
      <c r="S35339"/>
      <c r="T35339"/>
      <c r="U35339"/>
      <c r="X35339" s="60"/>
    </row>
    <row r="35340" spans="7:24" ht="15" customHeight="1">
      <c r="G35340"/>
      <c r="I35340"/>
      <c r="N35340"/>
      <c r="O35340" s="24"/>
      <c r="P35340"/>
      <c r="Q35340" s="24"/>
      <c r="R35340"/>
      <c r="S35340"/>
      <c r="T35340"/>
      <c r="U35340"/>
      <c r="X35340" s="60"/>
    </row>
    <row r="35341" spans="7:24" ht="15" customHeight="1">
      <c r="G35341"/>
      <c r="I35341"/>
      <c r="N35341"/>
      <c r="O35341" s="24"/>
      <c r="P35341"/>
      <c r="Q35341" s="24"/>
      <c r="R35341"/>
      <c r="S35341"/>
      <c r="T35341"/>
      <c r="U35341"/>
      <c r="X35341" s="60"/>
    </row>
    <row r="35342" spans="7:24" ht="15" customHeight="1">
      <c r="G35342"/>
      <c r="I35342"/>
      <c r="N35342"/>
      <c r="O35342" s="24"/>
      <c r="P35342"/>
      <c r="Q35342" s="24"/>
      <c r="R35342"/>
      <c r="S35342"/>
      <c r="T35342"/>
      <c r="U35342"/>
      <c r="X35342" s="60"/>
    </row>
    <row r="35343" spans="7:24" ht="15" customHeight="1">
      <c r="G35343"/>
      <c r="I35343"/>
      <c r="N35343"/>
      <c r="O35343" s="24"/>
      <c r="P35343"/>
      <c r="Q35343" s="24"/>
      <c r="R35343"/>
      <c r="S35343"/>
      <c r="T35343"/>
      <c r="U35343"/>
      <c r="X35343" s="60"/>
    </row>
    <row r="35344" spans="7:24" ht="15" customHeight="1">
      <c r="G35344"/>
      <c r="I35344"/>
      <c r="N35344"/>
      <c r="O35344" s="24"/>
      <c r="P35344"/>
      <c r="Q35344" s="24"/>
      <c r="R35344"/>
      <c r="S35344"/>
      <c r="T35344"/>
      <c r="U35344"/>
      <c r="X35344" s="60"/>
    </row>
    <row r="35345" spans="7:24" ht="15" customHeight="1">
      <c r="G35345"/>
      <c r="I35345"/>
      <c r="N35345"/>
      <c r="O35345" s="24"/>
      <c r="P35345"/>
      <c r="Q35345" s="24"/>
      <c r="R35345"/>
      <c r="S35345"/>
      <c r="T35345"/>
      <c r="U35345"/>
      <c r="X35345" s="60"/>
    </row>
    <row r="35346" spans="7:24" ht="15" customHeight="1">
      <c r="G35346"/>
      <c r="I35346"/>
      <c r="N35346"/>
      <c r="O35346" s="24"/>
      <c r="P35346"/>
      <c r="Q35346" s="24"/>
      <c r="R35346"/>
      <c r="S35346"/>
      <c r="T35346"/>
      <c r="U35346"/>
      <c r="X35346" s="60"/>
    </row>
    <row r="35347" spans="7:24" ht="15" customHeight="1">
      <c r="G35347"/>
      <c r="I35347"/>
      <c r="N35347"/>
      <c r="O35347" s="24"/>
      <c r="P35347"/>
      <c r="Q35347" s="24"/>
      <c r="R35347"/>
      <c r="S35347"/>
      <c r="T35347"/>
      <c r="U35347"/>
      <c r="X35347" s="60"/>
    </row>
    <row r="35348" spans="7:24" ht="15" customHeight="1">
      <c r="G35348"/>
      <c r="I35348"/>
      <c r="N35348"/>
      <c r="O35348" s="24"/>
      <c r="P35348"/>
      <c r="Q35348" s="24"/>
      <c r="R35348"/>
      <c r="S35348"/>
      <c r="T35348"/>
      <c r="U35348"/>
      <c r="X35348" s="60"/>
    </row>
    <row r="35349" spans="7:24" ht="15" customHeight="1">
      <c r="G35349"/>
      <c r="I35349"/>
      <c r="N35349"/>
      <c r="O35349" s="24"/>
      <c r="P35349"/>
      <c r="Q35349" s="24"/>
      <c r="R35349"/>
      <c r="S35349"/>
      <c r="T35349"/>
      <c r="U35349"/>
      <c r="X35349" s="60"/>
    </row>
    <row r="35350" spans="7:24" ht="15" customHeight="1">
      <c r="G35350"/>
      <c r="I35350"/>
      <c r="N35350"/>
      <c r="O35350" s="24"/>
      <c r="P35350"/>
      <c r="Q35350" s="24"/>
      <c r="R35350"/>
      <c r="S35350"/>
      <c r="T35350"/>
      <c r="U35350"/>
      <c r="X35350" s="60"/>
    </row>
    <row r="35351" spans="7:24" ht="15" customHeight="1">
      <c r="G35351"/>
      <c r="I35351"/>
      <c r="N35351"/>
      <c r="O35351" s="24"/>
      <c r="P35351"/>
      <c r="Q35351" s="24"/>
      <c r="R35351"/>
      <c r="S35351"/>
      <c r="T35351"/>
      <c r="U35351"/>
      <c r="X35351" s="60"/>
    </row>
    <row r="35352" spans="7:24" ht="15" customHeight="1">
      <c r="G35352"/>
      <c r="I35352"/>
      <c r="N35352"/>
      <c r="O35352" s="24"/>
      <c r="P35352"/>
      <c r="Q35352" s="24"/>
      <c r="R35352"/>
      <c r="S35352"/>
      <c r="T35352"/>
      <c r="U35352"/>
      <c r="X35352" s="60"/>
    </row>
    <row r="35353" spans="7:24" ht="15" customHeight="1">
      <c r="G35353"/>
      <c r="I35353"/>
      <c r="N35353"/>
      <c r="O35353" s="24"/>
      <c r="P35353"/>
      <c r="Q35353" s="24"/>
      <c r="R35353"/>
      <c r="S35353"/>
      <c r="T35353"/>
      <c r="U35353"/>
      <c r="X35353" s="60"/>
    </row>
    <row r="35354" spans="7:24" ht="15" customHeight="1">
      <c r="G35354"/>
      <c r="I35354"/>
      <c r="N35354"/>
      <c r="O35354" s="24"/>
      <c r="P35354"/>
      <c r="Q35354" s="24"/>
      <c r="R35354"/>
      <c r="S35354"/>
      <c r="T35354"/>
      <c r="U35354"/>
      <c r="X35354" s="60"/>
    </row>
    <row r="35355" spans="7:24" ht="15" customHeight="1">
      <c r="G35355"/>
      <c r="I35355"/>
      <c r="N35355"/>
      <c r="O35355" s="24"/>
      <c r="P35355"/>
      <c r="Q35355" s="24"/>
      <c r="R35355"/>
      <c r="S35355"/>
      <c r="T35355"/>
      <c r="U35355"/>
      <c r="X35355" s="60"/>
    </row>
    <row r="35356" spans="7:24" ht="15" customHeight="1">
      <c r="G35356"/>
      <c r="I35356"/>
      <c r="N35356"/>
      <c r="O35356" s="24"/>
      <c r="P35356"/>
      <c r="Q35356" s="24"/>
      <c r="R35356"/>
      <c r="S35356"/>
      <c r="T35356"/>
      <c r="U35356"/>
      <c r="X35356" s="60"/>
    </row>
    <row r="35357" spans="7:24" ht="15" customHeight="1">
      <c r="G35357"/>
      <c r="I35357"/>
      <c r="N35357"/>
      <c r="O35357" s="24"/>
      <c r="P35357"/>
      <c r="Q35357" s="24"/>
      <c r="R35357"/>
      <c r="S35357"/>
      <c r="T35357"/>
      <c r="U35357"/>
      <c r="X35357" s="60"/>
    </row>
    <row r="35358" spans="7:24" ht="15" customHeight="1">
      <c r="G35358"/>
      <c r="I35358"/>
      <c r="N35358"/>
      <c r="O35358" s="24"/>
      <c r="P35358"/>
      <c r="Q35358" s="24"/>
      <c r="R35358"/>
      <c r="S35358"/>
      <c r="T35358"/>
      <c r="U35358"/>
      <c r="X35358" s="60"/>
    </row>
    <row r="35359" spans="7:24" ht="15" customHeight="1">
      <c r="G35359"/>
      <c r="I35359"/>
      <c r="N35359"/>
      <c r="O35359" s="24"/>
      <c r="P35359"/>
      <c r="Q35359" s="24"/>
      <c r="R35359"/>
      <c r="S35359"/>
      <c r="T35359"/>
      <c r="U35359"/>
      <c r="X35359" s="60"/>
    </row>
    <row r="35360" spans="7:24" ht="15" customHeight="1">
      <c r="G35360"/>
      <c r="I35360"/>
      <c r="N35360"/>
      <c r="O35360" s="24"/>
      <c r="P35360"/>
      <c r="Q35360" s="24"/>
      <c r="R35360"/>
      <c r="S35360"/>
      <c r="T35360"/>
      <c r="U35360"/>
      <c r="X35360" s="60"/>
    </row>
    <row r="35361" spans="7:24" ht="15" customHeight="1">
      <c r="G35361"/>
      <c r="I35361"/>
      <c r="N35361"/>
      <c r="O35361" s="24"/>
      <c r="P35361"/>
      <c r="Q35361" s="24"/>
      <c r="R35361"/>
      <c r="S35361"/>
      <c r="T35361"/>
      <c r="U35361"/>
      <c r="X35361" s="60"/>
    </row>
    <row r="35362" spans="7:24" ht="15" customHeight="1">
      <c r="G35362"/>
      <c r="I35362"/>
      <c r="N35362"/>
      <c r="O35362" s="24"/>
      <c r="P35362"/>
      <c r="Q35362" s="24"/>
      <c r="R35362"/>
      <c r="S35362"/>
      <c r="T35362"/>
      <c r="U35362"/>
      <c r="X35362" s="60"/>
    </row>
    <row r="35363" spans="7:24" ht="15" customHeight="1">
      <c r="G35363"/>
      <c r="I35363"/>
      <c r="N35363"/>
      <c r="O35363" s="24"/>
      <c r="P35363"/>
      <c r="Q35363" s="24"/>
      <c r="R35363"/>
      <c r="S35363"/>
      <c r="T35363"/>
      <c r="U35363"/>
      <c r="X35363" s="60"/>
    </row>
    <row r="35364" spans="7:24" ht="15" customHeight="1">
      <c r="G35364"/>
      <c r="I35364"/>
      <c r="N35364"/>
      <c r="O35364" s="24"/>
      <c r="P35364"/>
      <c r="Q35364" s="24"/>
      <c r="R35364"/>
      <c r="S35364"/>
      <c r="T35364"/>
      <c r="U35364"/>
      <c r="X35364" s="60"/>
    </row>
    <row r="35365" spans="7:24" ht="15" customHeight="1">
      <c r="G35365"/>
      <c r="I35365"/>
      <c r="N35365"/>
      <c r="O35365" s="24"/>
      <c r="P35365"/>
      <c r="Q35365" s="24"/>
      <c r="R35365"/>
      <c r="S35365"/>
      <c r="T35365"/>
      <c r="U35365"/>
      <c r="X35365" s="60"/>
    </row>
    <row r="35366" spans="7:24" ht="15" customHeight="1">
      <c r="G35366"/>
      <c r="I35366"/>
      <c r="N35366"/>
      <c r="O35366" s="24"/>
      <c r="P35366"/>
      <c r="Q35366" s="24"/>
      <c r="R35366"/>
      <c r="S35366"/>
      <c r="T35366"/>
      <c r="U35366"/>
      <c r="X35366" s="60"/>
    </row>
    <row r="35367" spans="7:24" ht="15" customHeight="1">
      <c r="G35367"/>
      <c r="I35367"/>
      <c r="N35367"/>
      <c r="O35367" s="24"/>
      <c r="P35367"/>
      <c r="Q35367" s="24"/>
      <c r="R35367"/>
      <c r="S35367"/>
      <c r="T35367"/>
      <c r="U35367"/>
      <c r="X35367" s="60"/>
    </row>
    <row r="35368" spans="7:24" ht="15" customHeight="1">
      <c r="G35368"/>
      <c r="I35368"/>
      <c r="N35368"/>
      <c r="O35368" s="24"/>
      <c r="P35368"/>
      <c r="Q35368" s="24"/>
      <c r="R35368"/>
      <c r="S35368"/>
      <c r="T35368"/>
      <c r="U35368"/>
      <c r="X35368" s="60"/>
    </row>
    <row r="35369" spans="7:24" ht="15" customHeight="1">
      <c r="G35369"/>
      <c r="I35369"/>
      <c r="N35369"/>
      <c r="O35369" s="24"/>
      <c r="P35369"/>
      <c r="Q35369" s="24"/>
      <c r="R35369"/>
      <c r="S35369"/>
      <c r="T35369"/>
      <c r="U35369"/>
      <c r="X35369" s="60"/>
    </row>
    <row r="35370" spans="7:24" ht="15" customHeight="1">
      <c r="G35370"/>
      <c r="I35370"/>
      <c r="N35370"/>
      <c r="O35370" s="24"/>
      <c r="P35370"/>
      <c r="Q35370" s="24"/>
      <c r="R35370"/>
      <c r="S35370"/>
      <c r="T35370"/>
      <c r="U35370"/>
      <c r="X35370" s="60"/>
    </row>
    <row r="35371" spans="7:24" ht="15" customHeight="1">
      <c r="G35371"/>
      <c r="I35371"/>
      <c r="N35371"/>
      <c r="O35371" s="24"/>
      <c r="P35371"/>
      <c r="Q35371" s="24"/>
      <c r="R35371"/>
      <c r="S35371"/>
      <c r="T35371"/>
      <c r="U35371"/>
      <c r="X35371" s="60"/>
    </row>
    <row r="35372" spans="7:24" ht="15" customHeight="1">
      <c r="G35372"/>
      <c r="I35372"/>
      <c r="N35372"/>
      <c r="O35372" s="24"/>
      <c r="P35372"/>
      <c r="Q35372" s="24"/>
      <c r="R35372"/>
      <c r="S35372"/>
      <c r="T35372"/>
      <c r="U35372"/>
      <c r="X35372" s="60"/>
    </row>
    <row r="35373" spans="7:24" ht="15" customHeight="1">
      <c r="G35373"/>
      <c r="I35373"/>
      <c r="N35373"/>
      <c r="O35373" s="24"/>
      <c r="P35373"/>
      <c r="Q35373" s="24"/>
      <c r="R35373"/>
      <c r="S35373"/>
      <c r="T35373"/>
      <c r="U35373"/>
      <c r="X35373" s="60"/>
    </row>
    <row r="35374" spans="7:24" ht="15" customHeight="1">
      <c r="G35374"/>
      <c r="I35374"/>
      <c r="N35374"/>
      <c r="O35374" s="24"/>
      <c r="P35374"/>
      <c r="Q35374" s="24"/>
      <c r="R35374"/>
      <c r="S35374"/>
      <c r="T35374"/>
      <c r="U35374"/>
      <c r="X35374" s="60"/>
    </row>
    <row r="35375" spans="7:24" ht="15" customHeight="1">
      <c r="G35375"/>
      <c r="I35375"/>
      <c r="N35375"/>
      <c r="O35375" s="24"/>
      <c r="P35375"/>
      <c r="Q35375" s="24"/>
      <c r="R35375"/>
      <c r="S35375"/>
      <c r="T35375"/>
      <c r="U35375"/>
      <c r="X35375" s="60"/>
    </row>
    <row r="35376" spans="7:24" ht="15" customHeight="1">
      <c r="G35376"/>
      <c r="I35376"/>
      <c r="N35376"/>
      <c r="O35376" s="24"/>
      <c r="P35376"/>
      <c r="Q35376" s="24"/>
      <c r="R35376"/>
      <c r="S35376"/>
      <c r="T35376"/>
      <c r="U35376"/>
      <c r="X35376" s="60"/>
    </row>
    <row r="35377" spans="7:24" ht="15" customHeight="1">
      <c r="G35377"/>
      <c r="I35377"/>
      <c r="N35377"/>
      <c r="O35377" s="24"/>
      <c r="P35377"/>
      <c r="Q35377" s="24"/>
      <c r="R35377"/>
      <c r="S35377"/>
      <c r="T35377"/>
      <c r="U35377"/>
      <c r="X35377" s="60"/>
    </row>
    <row r="35378" spans="7:24" ht="15" customHeight="1">
      <c r="G35378"/>
      <c r="I35378"/>
      <c r="N35378"/>
      <c r="O35378" s="24"/>
      <c r="P35378"/>
      <c r="Q35378" s="24"/>
      <c r="R35378"/>
      <c r="S35378"/>
      <c r="T35378"/>
      <c r="U35378"/>
      <c r="X35378" s="60"/>
    </row>
    <row r="35379" spans="7:24" ht="15" customHeight="1">
      <c r="G35379"/>
      <c r="I35379"/>
      <c r="N35379"/>
      <c r="O35379" s="24"/>
      <c r="P35379"/>
      <c r="Q35379" s="24"/>
      <c r="R35379"/>
      <c r="S35379"/>
      <c r="T35379"/>
      <c r="U35379"/>
      <c r="X35379" s="60"/>
    </row>
    <row r="35380" spans="7:24" ht="15" customHeight="1">
      <c r="G35380"/>
      <c r="I35380"/>
      <c r="N35380"/>
      <c r="O35380" s="24"/>
      <c r="P35380"/>
      <c r="Q35380" s="24"/>
      <c r="R35380"/>
      <c r="S35380"/>
      <c r="T35380"/>
      <c r="U35380"/>
      <c r="X35380" s="60"/>
    </row>
    <row r="35381" spans="7:24" ht="15" customHeight="1">
      <c r="G35381"/>
      <c r="I35381"/>
      <c r="N35381"/>
      <c r="O35381" s="24"/>
      <c r="P35381"/>
      <c r="Q35381" s="24"/>
      <c r="R35381"/>
      <c r="S35381"/>
      <c r="T35381"/>
      <c r="U35381"/>
      <c r="X35381" s="60"/>
    </row>
    <row r="35382" spans="7:24" ht="15" customHeight="1">
      <c r="G35382"/>
      <c r="I35382"/>
      <c r="N35382"/>
      <c r="O35382" s="24"/>
      <c r="P35382"/>
      <c r="Q35382" s="24"/>
      <c r="R35382"/>
      <c r="S35382"/>
      <c r="T35382"/>
      <c r="U35382"/>
      <c r="X35382" s="60"/>
    </row>
    <row r="35383" spans="7:24" ht="15" customHeight="1">
      <c r="G35383"/>
      <c r="I35383"/>
      <c r="N35383"/>
      <c r="O35383" s="24"/>
      <c r="P35383"/>
      <c r="Q35383" s="24"/>
      <c r="R35383"/>
      <c r="S35383"/>
      <c r="T35383"/>
      <c r="U35383"/>
      <c r="X35383" s="60"/>
    </row>
    <row r="35384" spans="7:24" ht="15" customHeight="1">
      <c r="G35384"/>
      <c r="I35384"/>
      <c r="N35384"/>
      <c r="O35384" s="24"/>
      <c r="P35384"/>
      <c r="Q35384" s="24"/>
      <c r="R35384"/>
      <c r="S35384"/>
      <c r="T35384"/>
      <c r="U35384"/>
      <c r="X35384" s="60"/>
    </row>
    <row r="35385" spans="7:24" ht="15" customHeight="1">
      <c r="G35385"/>
      <c r="I35385"/>
      <c r="N35385"/>
      <c r="O35385" s="24"/>
      <c r="P35385"/>
      <c r="Q35385" s="24"/>
      <c r="R35385"/>
      <c r="S35385"/>
      <c r="T35385"/>
      <c r="U35385"/>
      <c r="X35385" s="60"/>
    </row>
    <row r="35386" spans="7:24" ht="15" customHeight="1">
      <c r="G35386"/>
      <c r="I35386"/>
      <c r="N35386"/>
      <c r="O35386" s="24"/>
      <c r="P35386"/>
      <c r="Q35386" s="24"/>
      <c r="R35386"/>
      <c r="S35386"/>
      <c r="T35386"/>
      <c r="U35386"/>
      <c r="X35386" s="60"/>
    </row>
    <row r="35387" spans="7:24" ht="15" customHeight="1">
      <c r="G35387"/>
      <c r="I35387"/>
      <c r="N35387"/>
      <c r="O35387" s="24"/>
      <c r="P35387"/>
      <c r="Q35387" s="24"/>
      <c r="R35387"/>
      <c r="S35387"/>
      <c r="T35387"/>
      <c r="U35387"/>
      <c r="X35387" s="60"/>
    </row>
    <row r="35388" spans="7:24" ht="15" customHeight="1">
      <c r="G35388"/>
      <c r="I35388"/>
      <c r="N35388"/>
      <c r="O35388" s="24"/>
      <c r="P35388"/>
      <c r="Q35388" s="24"/>
      <c r="R35388"/>
      <c r="S35388"/>
      <c r="T35388"/>
      <c r="U35388"/>
      <c r="X35388" s="60"/>
    </row>
    <row r="35389" spans="7:24" ht="15" customHeight="1">
      <c r="G35389"/>
      <c r="I35389"/>
      <c r="N35389"/>
      <c r="O35389" s="24"/>
      <c r="P35389"/>
      <c r="Q35389" s="24"/>
      <c r="R35389"/>
      <c r="S35389"/>
      <c r="T35389"/>
      <c r="U35389"/>
      <c r="X35389" s="60"/>
    </row>
    <row r="35390" spans="7:24" ht="15" customHeight="1">
      <c r="G35390"/>
      <c r="I35390"/>
      <c r="N35390"/>
      <c r="O35390" s="24"/>
      <c r="P35390"/>
      <c r="Q35390" s="24"/>
      <c r="R35390"/>
      <c r="S35390"/>
      <c r="T35390"/>
      <c r="U35390"/>
      <c r="X35390" s="60"/>
    </row>
    <row r="35391" spans="7:24" ht="15" customHeight="1">
      <c r="G35391"/>
      <c r="I35391"/>
      <c r="N35391"/>
      <c r="O35391" s="24"/>
      <c r="P35391"/>
      <c r="Q35391" s="24"/>
      <c r="R35391"/>
      <c r="S35391"/>
      <c r="T35391"/>
      <c r="U35391"/>
      <c r="X35391" s="60"/>
    </row>
    <row r="35392" spans="7:24" ht="15" customHeight="1">
      <c r="G35392"/>
      <c r="I35392"/>
      <c r="N35392"/>
      <c r="O35392" s="24"/>
      <c r="P35392"/>
      <c r="Q35392" s="24"/>
      <c r="R35392"/>
      <c r="S35392"/>
      <c r="T35392"/>
      <c r="U35392"/>
      <c r="X35392" s="60"/>
    </row>
    <row r="35393" spans="7:24" ht="15" customHeight="1">
      <c r="G35393"/>
      <c r="I35393"/>
      <c r="N35393"/>
      <c r="O35393" s="24"/>
      <c r="P35393"/>
      <c r="Q35393" s="24"/>
      <c r="R35393"/>
      <c r="S35393"/>
      <c r="T35393"/>
      <c r="U35393"/>
      <c r="X35393" s="60"/>
    </row>
    <row r="35394" spans="7:24" ht="15" customHeight="1">
      <c r="G35394"/>
      <c r="I35394"/>
      <c r="N35394"/>
      <c r="O35394" s="24"/>
      <c r="P35394"/>
      <c r="Q35394" s="24"/>
      <c r="R35394"/>
      <c r="S35394"/>
      <c r="T35394"/>
      <c r="U35394"/>
      <c r="X35394" s="60"/>
    </row>
    <row r="35395" spans="7:24" ht="15" customHeight="1">
      <c r="G35395"/>
      <c r="I35395"/>
      <c r="N35395"/>
      <c r="O35395" s="24"/>
      <c r="P35395"/>
      <c r="Q35395" s="24"/>
      <c r="R35395"/>
      <c r="S35395"/>
      <c r="T35395"/>
      <c r="U35395"/>
      <c r="X35395" s="60"/>
    </row>
    <row r="35396" spans="7:24" ht="15" customHeight="1">
      <c r="G35396"/>
      <c r="I35396"/>
      <c r="N35396"/>
      <c r="O35396" s="24"/>
      <c r="P35396"/>
      <c r="Q35396" s="24"/>
      <c r="R35396"/>
      <c r="S35396"/>
      <c r="T35396"/>
      <c r="U35396"/>
      <c r="X35396" s="60"/>
    </row>
    <row r="35397" spans="7:24" ht="15" customHeight="1">
      <c r="G35397"/>
      <c r="I35397"/>
      <c r="N35397"/>
      <c r="O35397" s="24"/>
      <c r="P35397"/>
      <c r="Q35397" s="24"/>
      <c r="R35397"/>
      <c r="S35397"/>
      <c r="T35397"/>
      <c r="U35397"/>
      <c r="X35397" s="60"/>
    </row>
    <row r="35398" spans="7:24" ht="15" customHeight="1">
      <c r="G35398"/>
      <c r="I35398"/>
      <c r="N35398"/>
      <c r="O35398" s="24"/>
      <c r="P35398"/>
      <c r="Q35398" s="24"/>
      <c r="R35398"/>
      <c r="S35398"/>
      <c r="T35398"/>
      <c r="U35398"/>
      <c r="X35398" s="60"/>
    </row>
    <row r="35399" spans="7:24" ht="15" customHeight="1">
      <c r="G35399"/>
      <c r="I35399"/>
      <c r="N35399"/>
      <c r="O35399" s="24"/>
      <c r="P35399"/>
      <c r="Q35399" s="24"/>
      <c r="R35399"/>
      <c r="S35399"/>
      <c r="T35399"/>
      <c r="U35399"/>
      <c r="X35399" s="60"/>
    </row>
    <row r="35400" spans="7:24" ht="15" customHeight="1">
      <c r="G35400"/>
      <c r="I35400"/>
      <c r="N35400"/>
      <c r="O35400" s="24"/>
      <c r="P35400"/>
      <c r="Q35400" s="24"/>
      <c r="R35400"/>
      <c r="S35400"/>
      <c r="T35400"/>
      <c r="U35400"/>
      <c r="X35400" s="60"/>
    </row>
    <row r="35401" spans="7:24" ht="15" customHeight="1">
      <c r="G35401"/>
      <c r="I35401"/>
      <c r="N35401"/>
      <c r="O35401" s="24"/>
      <c r="P35401"/>
      <c r="Q35401" s="24"/>
      <c r="R35401"/>
      <c r="S35401"/>
      <c r="T35401"/>
      <c r="U35401"/>
      <c r="X35401" s="60"/>
    </row>
    <row r="35402" spans="7:24" ht="15" customHeight="1">
      <c r="G35402"/>
      <c r="I35402"/>
      <c r="N35402"/>
      <c r="O35402" s="24"/>
      <c r="P35402"/>
      <c r="Q35402" s="24"/>
      <c r="R35402"/>
      <c r="S35402"/>
      <c r="T35402"/>
      <c r="U35402"/>
      <c r="X35402" s="60"/>
    </row>
    <row r="35403" spans="7:24" ht="15" customHeight="1">
      <c r="G35403"/>
      <c r="I35403"/>
      <c r="N35403"/>
      <c r="O35403" s="24"/>
      <c r="P35403"/>
      <c r="Q35403" s="24"/>
      <c r="R35403"/>
      <c r="S35403"/>
      <c r="T35403"/>
      <c r="U35403"/>
      <c r="X35403" s="60"/>
    </row>
    <row r="35404" spans="7:24" ht="15" customHeight="1">
      <c r="G35404"/>
      <c r="I35404"/>
      <c r="N35404"/>
      <c r="O35404" s="24"/>
      <c r="P35404"/>
      <c r="Q35404" s="24"/>
      <c r="R35404"/>
      <c r="S35404"/>
      <c r="T35404"/>
      <c r="U35404"/>
      <c r="X35404" s="60"/>
    </row>
    <row r="35405" spans="7:24" ht="15" customHeight="1">
      <c r="G35405"/>
      <c r="I35405"/>
      <c r="N35405"/>
      <c r="O35405" s="24"/>
      <c r="P35405"/>
      <c r="Q35405" s="24"/>
      <c r="R35405"/>
      <c r="S35405"/>
      <c r="T35405"/>
      <c r="U35405"/>
      <c r="X35405" s="60"/>
    </row>
    <row r="35406" spans="7:24" ht="15" customHeight="1">
      <c r="G35406"/>
      <c r="I35406"/>
      <c r="N35406"/>
      <c r="O35406" s="24"/>
      <c r="P35406"/>
      <c r="Q35406" s="24"/>
      <c r="R35406"/>
      <c r="S35406"/>
      <c r="T35406"/>
      <c r="U35406"/>
      <c r="X35406" s="60"/>
    </row>
    <row r="35407" spans="7:24" ht="15" customHeight="1">
      <c r="G35407"/>
      <c r="I35407"/>
      <c r="N35407"/>
      <c r="O35407" s="24"/>
      <c r="P35407"/>
      <c r="Q35407" s="24"/>
      <c r="R35407"/>
      <c r="S35407"/>
      <c r="T35407"/>
      <c r="U35407"/>
      <c r="X35407" s="60"/>
    </row>
    <row r="35408" spans="7:24" ht="15" customHeight="1">
      <c r="G35408"/>
      <c r="I35408"/>
      <c r="N35408"/>
      <c r="O35408" s="24"/>
      <c r="P35408"/>
      <c r="Q35408" s="24"/>
      <c r="R35408"/>
      <c r="S35408"/>
      <c r="T35408"/>
      <c r="U35408"/>
      <c r="X35408" s="60"/>
    </row>
    <row r="35409" spans="7:24" ht="15" customHeight="1">
      <c r="G35409"/>
      <c r="I35409"/>
      <c r="N35409"/>
      <c r="O35409" s="24"/>
      <c r="P35409"/>
      <c r="Q35409" s="24"/>
      <c r="R35409"/>
      <c r="S35409"/>
      <c r="T35409"/>
      <c r="U35409"/>
      <c r="X35409" s="60"/>
    </row>
    <row r="35410" spans="7:24" ht="15" customHeight="1">
      <c r="G35410"/>
      <c r="I35410"/>
      <c r="N35410"/>
      <c r="O35410" s="24"/>
      <c r="P35410"/>
      <c r="Q35410" s="24"/>
      <c r="R35410"/>
      <c r="S35410"/>
      <c r="T35410"/>
      <c r="U35410"/>
      <c r="X35410" s="60"/>
    </row>
    <row r="35411" spans="7:24" ht="15" customHeight="1">
      <c r="G35411"/>
      <c r="I35411"/>
      <c r="N35411"/>
      <c r="O35411" s="24"/>
      <c r="P35411"/>
      <c r="Q35411" s="24"/>
      <c r="R35411"/>
      <c r="S35411"/>
      <c r="T35411"/>
      <c r="U35411"/>
      <c r="X35411" s="60"/>
    </row>
    <row r="35412" spans="7:24" ht="15" customHeight="1">
      <c r="G35412"/>
      <c r="I35412"/>
      <c r="N35412"/>
      <c r="O35412" s="24"/>
      <c r="P35412"/>
      <c r="Q35412" s="24"/>
      <c r="R35412"/>
      <c r="S35412"/>
      <c r="T35412"/>
      <c r="U35412"/>
      <c r="X35412" s="60"/>
    </row>
    <row r="35413" spans="7:24" ht="15" customHeight="1">
      <c r="G35413"/>
      <c r="I35413"/>
      <c r="N35413"/>
      <c r="O35413" s="24"/>
      <c r="P35413"/>
      <c r="Q35413" s="24"/>
      <c r="R35413"/>
      <c r="S35413"/>
      <c r="T35413"/>
      <c r="U35413"/>
      <c r="X35413" s="60"/>
    </row>
    <row r="35414" spans="7:24" ht="15" customHeight="1">
      <c r="G35414"/>
      <c r="I35414"/>
      <c r="N35414"/>
      <c r="O35414" s="24"/>
      <c r="P35414"/>
      <c r="Q35414" s="24"/>
      <c r="R35414"/>
      <c r="S35414"/>
      <c r="T35414"/>
      <c r="U35414"/>
      <c r="X35414" s="60"/>
    </row>
    <row r="35415" spans="7:24" ht="15" customHeight="1">
      <c r="G35415"/>
      <c r="I35415"/>
      <c r="N35415"/>
      <c r="O35415" s="24"/>
      <c r="P35415"/>
      <c r="Q35415" s="24"/>
      <c r="R35415"/>
      <c r="S35415"/>
      <c r="T35415"/>
      <c r="U35415"/>
      <c r="X35415" s="60"/>
    </row>
    <row r="35416" spans="7:24" ht="15" customHeight="1">
      <c r="G35416"/>
      <c r="I35416"/>
      <c r="N35416"/>
      <c r="O35416" s="24"/>
      <c r="P35416"/>
      <c r="Q35416" s="24"/>
      <c r="R35416"/>
      <c r="S35416"/>
      <c r="T35416"/>
      <c r="U35416"/>
      <c r="X35416" s="60"/>
    </row>
    <row r="35417" spans="7:24" ht="15" customHeight="1">
      <c r="G35417"/>
      <c r="I35417"/>
      <c r="N35417"/>
      <c r="O35417" s="24"/>
      <c r="P35417"/>
      <c r="Q35417" s="24"/>
      <c r="R35417"/>
      <c r="S35417"/>
      <c r="T35417"/>
      <c r="U35417"/>
      <c r="X35417" s="60"/>
    </row>
    <row r="35418" spans="7:24" ht="15" customHeight="1">
      <c r="G35418"/>
      <c r="I35418"/>
      <c r="N35418"/>
      <c r="O35418" s="24"/>
      <c r="P35418"/>
      <c r="Q35418" s="24"/>
      <c r="R35418"/>
      <c r="S35418"/>
      <c r="T35418"/>
      <c r="U35418"/>
      <c r="X35418" s="60"/>
    </row>
    <row r="35419" spans="7:24" ht="15" customHeight="1">
      <c r="G35419"/>
      <c r="I35419"/>
      <c r="N35419"/>
      <c r="O35419" s="24"/>
      <c r="P35419"/>
      <c r="Q35419" s="24"/>
      <c r="R35419"/>
      <c r="S35419"/>
      <c r="T35419"/>
      <c r="U35419"/>
      <c r="X35419" s="60"/>
    </row>
    <row r="35420" spans="7:24" ht="15" customHeight="1">
      <c r="G35420"/>
      <c r="I35420"/>
      <c r="N35420"/>
      <c r="O35420" s="24"/>
      <c r="P35420"/>
      <c r="Q35420" s="24"/>
      <c r="R35420"/>
      <c r="S35420"/>
      <c r="T35420"/>
      <c r="U35420"/>
      <c r="X35420" s="60"/>
    </row>
    <row r="35421" spans="7:24" ht="15" customHeight="1">
      <c r="G35421"/>
      <c r="I35421"/>
      <c r="N35421"/>
      <c r="O35421" s="24"/>
      <c r="P35421"/>
      <c r="Q35421" s="24"/>
      <c r="R35421"/>
      <c r="S35421"/>
      <c r="T35421"/>
      <c r="U35421"/>
      <c r="X35421" s="60"/>
    </row>
    <row r="35422" spans="7:24" ht="15" customHeight="1">
      <c r="G35422"/>
      <c r="I35422"/>
      <c r="N35422"/>
      <c r="O35422" s="24"/>
      <c r="P35422"/>
      <c r="Q35422" s="24"/>
      <c r="R35422"/>
      <c r="S35422"/>
      <c r="T35422"/>
      <c r="U35422"/>
      <c r="X35422" s="60"/>
    </row>
    <row r="35423" spans="7:24" ht="15" customHeight="1">
      <c r="G35423"/>
      <c r="I35423"/>
      <c r="N35423"/>
      <c r="O35423" s="24"/>
      <c r="P35423"/>
      <c r="Q35423" s="24"/>
      <c r="R35423"/>
      <c r="S35423"/>
      <c r="T35423"/>
      <c r="U35423"/>
      <c r="X35423" s="60"/>
    </row>
    <row r="35424" spans="7:24" ht="15" customHeight="1">
      <c r="G35424"/>
      <c r="I35424"/>
      <c r="N35424"/>
      <c r="O35424" s="24"/>
      <c r="P35424"/>
      <c r="Q35424" s="24"/>
      <c r="R35424"/>
      <c r="S35424"/>
      <c r="T35424"/>
      <c r="U35424"/>
      <c r="X35424" s="60"/>
    </row>
    <row r="35425" spans="7:24" ht="15" customHeight="1">
      <c r="G35425"/>
      <c r="I35425"/>
      <c r="N35425"/>
      <c r="O35425" s="24"/>
      <c r="P35425"/>
      <c r="Q35425" s="24"/>
      <c r="R35425"/>
      <c r="S35425"/>
      <c r="T35425"/>
      <c r="U35425"/>
      <c r="X35425" s="60"/>
    </row>
    <row r="35426" spans="7:24" ht="15" customHeight="1">
      <c r="G35426"/>
      <c r="I35426"/>
      <c r="N35426"/>
      <c r="O35426" s="24"/>
      <c r="P35426"/>
      <c r="Q35426" s="24"/>
      <c r="R35426"/>
      <c r="S35426"/>
      <c r="T35426"/>
      <c r="U35426"/>
      <c r="X35426" s="60"/>
    </row>
    <row r="35427" spans="7:24" ht="15" customHeight="1">
      <c r="G35427"/>
      <c r="I35427"/>
      <c r="N35427"/>
      <c r="O35427" s="24"/>
      <c r="P35427"/>
      <c r="Q35427" s="24"/>
      <c r="R35427"/>
      <c r="S35427"/>
      <c r="T35427"/>
      <c r="U35427"/>
      <c r="X35427" s="60"/>
    </row>
    <row r="35428" spans="7:24" ht="15" customHeight="1">
      <c r="G35428"/>
      <c r="I35428"/>
      <c r="N35428"/>
      <c r="O35428" s="24"/>
      <c r="P35428"/>
      <c r="Q35428" s="24"/>
      <c r="R35428"/>
      <c r="S35428"/>
      <c r="T35428"/>
      <c r="U35428"/>
      <c r="X35428" s="60"/>
    </row>
    <row r="35429" spans="7:24" ht="15" customHeight="1">
      <c r="G35429"/>
      <c r="I35429"/>
      <c r="N35429"/>
      <c r="O35429" s="24"/>
      <c r="P35429"/>
      <c r="Q35429" s="24"/>
      <c r="R35429"/>
      <c r="S35429"/>
      <c r="T35429"/>
      <c r="U35429"/>
      <c r="X35429" s="60"/>
    </row>
    <row r="35430" spans="7:24" ht="15" customHeight="1">
      <c r="G35430"/>
      <c r="I35430"/>
      <c r="N35430"/>
      <c r="O35430" s="24"/>
      <c r="P35430"/>
      <c r="Q35430" s="24"/>
      <c r="R35430"/>
      <c r="S35430"/>
      <c r="T35430"/>
      <c r="U35430"/>
      <c r="X35430" s="60"/>
    </row>
    <row r="35431" spans="7:24" ht="15" customHeight="1">
      <c r="G35431"/>
      <c r="I35431"/>
      <c r="N35431"/>
      <c r="O35431" s="24"/>
      <c r="P35431"/>
      <c r="Q35431" s="24"/>
      <c r="R35431"/>
      <c r="S35431"/>
      <c r="T35431"/>
      <c r="U35431"/>
      <c r="X35431" s="60"/>
    </row>
    <row r="35432" spans="7:24" ht="15" customHeight="1">
      <c r="G35432"/>
      <c r="I35432"/>
      <c r="N35432"/>
      <c r="O35432" s="24"/>
      <c r="P35432"/>
      <c r="Q35432" s="24"/>
      <c r="R35432"/>
      <c r="S35432"/>
      <c r="T35432"/>
      <c r="U35432"/>
      <c r="X35432" s="60"/>
    </row>
    <row r="35433" spans="7:24" ht="15" customHeight="1">
      <c r="G35433"/>
      <c r="I35433"/>
      <c r="N35433"/>
      <c r="O35433" s="24"/>
      <c r="P35433"/>
      <c r="Q35433" s="24"/>
      <c r="R35433"/>
      <c r="S35433"/>
      <c r="T35433"/>
      <c r="U35433"/>
      <c r="X35433" s="60"/>
    </row>
    <row r="35434" spans="7:24" ht="15" customHeight="1">
      <c r="G35434"/>
      <c r="I35434"/>
      <c r="N35434"/>
      <c r="O35434" s="24"/>
      <c r="P35434"/>
      <c r="Q35434" s="24"/>
      <c r="R35434"/>
      <c r="S35434"/>
      <c r="T35434"/>
      <c r="U35434"/>
      <c r="X35434" s="60"/>
    </row>
    <row r="35435" spans="7:24" ht="15" customHeight="1">
      <c r="G35435"/>
      <c r="I35435"/>
      <c r="N35435"/>
      <c r="O35435" s="24"/>
      <c r="P35435"/>
      <c r="Q35435" s="24"/>
      <c r="R35435"/>
      <c r="S35435"/>
      <c r="T35435"/>
      <c r="U35435"/>
      <c r="X35435" s="60"/>
    </row>
    <row r="35436" spans="7:24" ht="15" customHeight="1">
      <c r="G35436"/>
      <c r="I35436"/>
      <c r="N35436"/>
      <c r="O35436" s="24"/>
      <c r="P35436"/>
      <c r="Q35436" s="24"/>
      <c r="R35436"/>
      <c r="S35436"/>
      <c r="T35436"/>
      <c r="U35436"/>
      <c r="X35436" s="60"/>
    </row>
    <row r="35437" spans="7:24" ht="15" customHeight="1">
      <c r="G35437"/>
      <c r="I35437"/>
      <c r="N35437"/>
      <c r="O35437" s="24"/>
      <c r="P35437"/>
      <c r="Q35437" s="24"/>
      <c r="R35437"/>
      <c r="S35437"/>
      <c r="T35437"/>
      <c r="U35437"/>
      <c r="X35437" s="60"/>
    </row>
    <row r="35438" spans="7:24" ht="15" customHeight="1">
      <c r="G35438"/>
      <c r="I35438"/>
      <c r="N35438"/>
      <c r="O35438" s="24"/>
      <c r="P35438"/>
      <c r="Q35438" s="24"/>
      <c r="R35438"/>
      <c r="S35438"/>
      <c r="T35438"/>
      <c r="U35438"/>
      <c r="X35438" s="60"/>
    </row>
    <row r="35439" spans="7:24" ht="15" customHeight="1">
      <c r="G35439"/>
      <c r="I35439"/>
      <c r="N35439"/>
      <c r="O35439" s="24"/>
      <c r="P35439"/>
      <c r="Q35439" s="24"/>
      <c r="R35439"/>
      <c r="S35439"/>
      <c r="T35439"/>
      <c r="U35439"/>
      <c r="X35439" s="60"/>
    </row>
    <row r="35440" spans="7:24" ht="15" customHeight="1">
      <c r="G35440"/>
      <c r="I35440"/>
      <c r="N35440"/>
      <c r="O35440" s="24"/>
      <c r="P35440"/>
      <c r="Q35440" s="24"/>
      <c r="R35440"/>
      <c r="S35440"/>
      <c r="T35440"/>
      <c r="U35440"/>
      <c r="X35440" s="60"/>
    </row>
    <row r="35441" spans="7:24" ht="15" customHeight="1">
      <c r="G35441"/>
      <c r="I35441"/>
      <c r="N35441"/>
      <c r="O35441" s="24"/>
      <c r="P35441"/>
      <c r="Q35441" s="24"/>
      <c r="R35441"/>
      <c r="S35441"/>
      <c r="T35441"/>
      <c r="U35441"/>
      <c r="X35441" s="60"/>
    </row>
    <row r="35442" spans="7:24" ht="15" customHeight="1">
      <c r="G35442"/>
      <c r="I35442"/>
      <c r="N35442"/>
      <c r="O35442" s="24"/>
      <c r="P35442"/>
      <c r="Q35442" s="24"/>
      <c r="R35442"/>
      <c r="S35442"/>
      <c r="T35442"/>
      <c r="U35442"/>
      <c r="X35442" s="60"/>
    </row>
    <row r="35443" spans="7:24" ht="15" customHeight="1">
      <c r="G35443"/>
      <c r="I35443"/>
      <c r="N35443"/>
      <c r="O35443" s="24"/>
      <c r="P35443"/>
      <c r="Q35443" s="24"/>
      <c r="R35443"/>
      <c r="S35443"/>
      <c r="T35443"/>
      <c r="U35443"/>
      <c r="X35443" s="60"/>
    </row>
    <row r="35444" spans="7:24" ht="15" customHeight="1">
      <c r="G35444"/>
      <c r="I35444"/>
      <c r="N35444"/>
      <c r="O35444" s="24"/>
      <c r="P35444"/>
      <c r="Q35444" s="24"/>
      <c r="R35444"/>
      <c r="S35444"/>
      <c r="T35444"/>
      <c r="U35444"/>
      <c r="X35444" s="60"/>
    </row>
    <row r="35445" spans="7:24" ht="15" customHeight="1">
      <c r="G35445"/>
      <c r="I35445"/>
      <c r="N35445"/>
      <c r="O35445" s="24"/>
      <c r="P35445"/>
      <c r="Q35445" s="24"/>
      <c r="R35445"/>
      <c r="S35445"/>
      <c r="T35445"/>
      <c r="U35445"/>
      <c r="X35445" s="60"/>
    </row>
    <row r="35446" spans="7:24" ht="15" customHeight="1">
      <c r="G35446"/>
      <c r="I35446"/>
      <c r="N35446"/>
      <c r="O35446" s="24"/>
      <c r="P35446"/>
      <c r="Q35446" s="24"/>
      <c r="R35446"/>
      <c r="S35446"/>
      <c r="T35446"/>
      <c r="U35446"/>
      <c r="X35446" s="60"/>
    </row>
    <row r="35447" spans="7:24" ht="15" customHeight="1">
      <c r="G35447"/>
      <c r="I35447"/>
      <c r="N35447"/>
      <c r="O35447" s="24"/>
      <c r="P35447"/>
      <c r="Q35447" s="24"/>
      <c r="R35447"/>
      <c r="S35447"/>
      <c r="T35447"/>
      <c r="U35447"/>
      <c r="X35447" s="60"/>
    </row>
    <row r="35448" spans="7:24" ht="15" customHeight="1">
      <c r="G35448"/>
      <c r="I35448"/>
      <c r="N35448"/>
      <c r="O35448" s="24"/>
      <c r="P35448"/>
      <c r="Q35448" s="24"/>
      <c r="R35448"/>
      <c r="S35448"/>
      <c r="T35448"/>
      <c r="U35448"/>
      <c r="X35448" s="60"/>
    </row>
    <row r="35449" spans="7:24" ht="15" customHeight="1">
      <c r="G35449"/>
      <c r="I35449"/>
      <c r="N35449"/>
      <c r="O35449" s="24"/>
      <c r="P35449"/>
      <c r="Q35449" s="24"/>
      <c r="R35449"/>
      <c r="S35449"/>
      <c r="T35449"/>
      <c r="U35449"/>
      <c r="X35449" s="60"/>
    </row>
    <row r="35450" spans="7:24" ht="15" customHeight="1">
      <c r="G35450"/>
      <c r="I35450"/>
      <c r="N35450"/>
      <c r="O35450" s="24"/>
      <c r="P35450"/>
      <c r="Q35450" s="24"/>
      <c r="R35450"/>
      <c r="S35450"/>
      <c r="T35450"/>
      <c r="U35450"/>
      <c r="X35450" s="60"/>
    </row>
    <row r="35451" spans="7:24" ht="15" customHeight="1">
      <c r="G35451"/>
      <c r="I35451"/>
      <c r="N35451"/>
      <c r="O35451" s="24"/>
      <c r="P35451"/>
      <c r="Q35451" s="24"/>
      <c r="R35451"/>
      <c r="S35451"/>
      <c r="T35451"/>
      <c r="U35451"/>
      <c r="X35451" s="60"/>
    </row>
    <row r="35452" spans="7:24" ht="15" customHeight="1">
      <c r="G35452"/>
      <c r="I35452"/>
      <c r="N35452"/>
      <c r="O35452" s="24"/>
      <c r="P35452"/>
      <c r="Q35452" s="24"/>
      <c r="R35452"/>
      <c r="S35452"/>
      <c r="T35452"/>
      <c r="U35452"/>
      <c r="X35452" s="60"/>
    </row>
    <row r="35453" spans="7:24" ht="15" customHeight="1">
      <c r="G35453"/>
      <c r="I35453"/>
      <c r="N35453"/>
      <c r="O35453" s="24"/>
      <c r="P35453"/>
      <c r="Q35453" s="24"/>
      <c r="R35453"/>
      <c r="S35453"/>
      <c r="T35453"/>
      <c r="U35453"/>
      <c r="X35453" s="60"/>
    </row>
    <row r="35454" spans="7:24" ht="15" customHeight="1">
      <c r="G35454"/>
      <c r="I35454"/>
      <c r="N35454"/>
      <c r="O35454" s="24"/>
      <c r="P35454"/>
      <c r="Q35454" s="24"/>
      <c r="R35454"/>
      <c r="S35454"/>
      <c r="T35454"/>
      <c r="U35454"/>
      <c r="X35454" s="60"/>
    </row>
    <row r="35455" spans="7:24" ht="15" customHeight="1">
      <c r="G35455"/>
      <c r="I35455"/>
      <c r="N35455"/>
      <c r="O35455" s="24"/>
      <c r="P35455"/>
      <c r="Q35455" s="24"/>
      <c r="R35455"/>
      <c r="S35455"/>
      <c r="T35455"/>
      <c r="U35455"/>
      <c r="X35455" s="60"/>
    </row>
    <row r="35456" spans="7:24" ht="15" customHeight="1">
      <c r="G35456"/>
      <c r="I35456"/>
      <c r="N35456"/>
      <c r="O35456" s="24"/>
      <c r="P35456"/>
      <c r="Q35456" s="24"/>
      <c r="R35456"/>
      <c r="S35456"/>
      <c r="T35456"/>
      <c r="U35456"/>
      <c r="X35456" s="60"/>
    </row>
    <row r="35457" spans="7:24" ht="15" customHeight="1">
      <c r="G35457"/>
      <c r="I35457"/>
      <c r="N35457"/>
      <c r="O35457" s="24"/>
      <c r="P35457"/>
      <c r="Q35457" s="24"/>
      <c r="R35457"/>
      <c r="S35457"/>
      <c r="T35457"/>
      <c r="U35457"/>
      <c r="X35457" s="60"/>
    </row>
    <row r="35458" spans="7:24" ht="15" customHeight="1">
      <c r="G35458"/>
      <c r="I35458"/>
      <c r="N35458"/>
      <c r="O35458" s="24"/>
      <c r="P35458"/>
      <c r="Q35458" s="24"/>
      <c r="R35458"/>
      <c r="S35458"/>
      <c r="T35458"/>
      <c r="U35458"/>
      <c r="X35458" s="60"/>
    </row>
    <row r="35459" spans="7:24" ht="15" customHeight="1">
      <c r="G35459"/>
      <c r="I35459"/>
      <c r="N35459"/>
      <c r="O35459" s="24"/>
      <c r="P35459"/>
      <c r="Q35459" s="24"/>
      <c r="R35459"/>
      <c r="S35459"/>
      <c r="T35459"/>
      <c r="U35459"/>
      <c r="X35459" s="60"/>
    </row>
    <row r="35460" spans="7:24" ht="15" customHeight="1">
      <c r="G35460"/>
      <c r="I35460"/>
      <c r="N35460"/>
      <c r="O35460" s="24"/>
      <c r="P35460"/>
      <c r="Q35460" s="24"/>
      <c r="R35460"/>
      <c r="S35460"/>
      <c r="T35460"/>
      <c r="U35460"/>
      <c r="X35460" s="60"/>
    </row>
    <row r="35461" spans="7:24" ht="15" customHeight="1">
      <c r="G35461"/>
      <c r="I35461"/>
      <c r="N35461"/>
      <c r="O35461" s="24"/>
      <c r="P35461"/>
      <c r="Q35461" s="24"/>
      <c r="R35461"/>
      <c r="S35461"/>
      <c r="T35461"/>
      <c r="U35461"/>
      <c r="X35461" s="60"/>
    </row>
    <row r="35462" spans="7:24" ht="15" customHeight="1">
      <c r="G35462"/>
      <c r="I35462"/>
      <c r="N35462"/>
      <c r="O35462" s="24"/>
      <c r="P35462"/>
      <c r="Q35462" s="24"/>
      <c r="R35462"/>
      <c r="S35462"/>
      <c r="T35462"/>
      <c r="U35462"/>
      <c r="X35462" s="60"/>
    </row>
    <row r="35463" spans="7:24" ht="15" customHeight="1">
      <c r="G35463"/>
      <c r="I35463"/>
      <c r="N35463"/>
      <c r="O35463" s="24"/>
      <c r="P35463"/>
      <c r="Q35463" s="24"/>
      <c r="R35463"/>
      <c r="S35463"/>
      <c r="T35463"/>
      <c r="U35463"/>
      <c r="X35463" s="60"/>
    </row>
    <row r="35464" spans="7:24" ht="15" customHeight="1">
      <c r="G35464"/>
      <c r="I35464"/>
      <c r="N35464"/>
      <c r="O35464" s="24"/>
      <c r="P35464"/>
      <c r="Q35464" s="24"/>
      <c r="R35464"/>
      <c r="S35464"/>
      <c r="T35464"/>
      <c r="U35464"/>
      <c r="X35464" s="60"/>
    </row>
    <row r="35465" spans="7:24" ht="15" customHeight="1">
      <c r="G35465"/>
      <c r="I35465"/>
      <c r="N35465"/>
      <c r="O35465" s="24"/>
      <c r="P35465"/>
      <c r="Q35465" s="24"/>
      <c r="R35465"/>
      <c r="S35465"/>
      <c r="T35465"/>
      <c r="U35465"/>
      <c r="X35465" s="60"/>
    </row>
    <row r="35466" spans="7:24" ht="15" customHeight="1">
      <c r="G35466"/>
      <c r="I35466"/>
      <c r="N35466"/>
      <c r="O35466" s="24"/>
      <c r="P35466"/>
      <c r="Q35466" s="24"/>
      <c r="R35466"/>
      <c r="S35466"/>
      <c r="T35466"/>
      <c r="U35466"/>
      <c r="X35466" s="60"/>
    </row>
    <row r="35467" spans="7:24" ht="15" customHeight="1">
      <c r="G35467"/>
      <c r="I35467"/>
      <c r="N35467"/>
      <c r="O35467" s="24"/>
      <c r="P35467"/>
      <c r="Q35467" s="24"/>
      <c r="R35467"/>
      <c r="S35467"/>
      <c r="T35467"/>
      <c r="U35467"/>
      <c r="X35467" s="60"/>
    </row>
    <row r="35468" spans="7:24" ht="15" customHeight="1">
      <c r="G35468"/>
      <c r="I35468"/>
      <c r="N35468"/>
      <c r="O35468" s="24"/>
      <c r="P35468"/>
      <c r="Q35468" s="24"/>
      <c r="R35468"/>
      <c r="S35468"/>
      <c r="T35468"/>
      <c r="U35468"/>
      <c r="X35468" s="60"/>
    </row>
    <row r="35469" spans="7:24" ht="15" customHeight="1">
      <c r="G35469"/>
      <c r="I35469"/>
      <c r="N35469"/>
      <c r="O35469" s="24"/>
      <c r="P35469"/>
      <c r="Q35469" s="24"/>
      <c r="R35469"/>
      <c r="S35469"/>
      <c r="T35469"/>
      <c r="U35469"/>
      <c r="X35469" s="60"/>
    </row>
    <row r="35470" spans="7:24" ht="15" customHeight="1">
      <c r="G35470"/>
      <c r="I35470"/>
      <c r="N35470"/>
      <c r="O35470" s="24"/>
      <c r="P35470"/>
      <c r="Q35470" s="24"/>
      <c r="R35470"/>
      <c r="S35470"/>
      <c r="T35470"/>
      <c r="U35470"/>
      <c r="X35470" s="60"/>
    </row>
    <row r="35471" spans="7:24" ht="15" customHeight="1">
      <c r="G35471"/>
      <c r="I35471"/>
      <c r="N35471"/>
      <c r="O35471" s="24"/>
      <c r="P35471"/>
      <c r="Q35471" s="24"/>
      <c r="R35471"/>
      <c r="S35471"/>
      <c r="T35471"/>
      <c r="U35471"/>
      <c r="X35471" s="60"/>
    </row>
    <row r="35472" spans="7:24" ht="15" customHeight="1">
      <c r="G35472"/>
      <c r="I35472"/>
      <c r="N35472"/>
      <c r="O35472" s="24"/>
      <c r="P35472"/>
      <c r="Q35472" s="24"/>
      <c r="R35472"/>
      <c r="S35472"/>
      <c r="T35472"/>
      <c r="U35472"/>
      <c r="X35472" s="60"/>
    </row>
    <row r="35473" spans="7:24" ht="15" customHeight="1">
      <c r="G35473"/>
      <c r="I35473"/>
      <c r="N35473"/>
      <c r="O35473" s="24"/>
      <c r="P35473"/>
      <c r="Q35473" s="24"/>
      <c r="R35473"/>
      <c r="S35473"/>
      <c r="T35473"/>
      <c r="U35473"/>
      <c r="X35473" s="60"/>
    </row>
    <row r="35474" spans="7:24" ht="15" customHeight="1">
      <c r="G35474"/>
      <c r="I35474"/>
      <c r="N35474"/>
      <c r="O35474" s="24"/>
      <c r="P35474"/>
      <c r="Q35474" s="24"/>
      <c r="R35474"/>
      <c r="S35474"/>
      <c r="T35474"/>
      <c r="U35474"/>
      <c r="X35474" s="60"/>
    </row>
    <row r="35475" spans="7:24" ht="15" customHeight="1">
      <c r="G35475"/>
      <c r="I35475"/>
      <c r="N35475"/>
      <c r="O35475" s="24"/>
      <c r="P35475"/>
      <c r="Q35475" s="24"/>
      <c r="R35475"/>
      <c r="S35475"/>
      <c r="T35475"/>
      <c r="U35475"/>
      <c r="X35475" s="60"/>
    </row>
    <row r="35476" spans="7:24" ht="15" customHeight="1">
      <c r="G35476"/>
      <c r="I35476"/>
      <c r="N35476"/>
      <c r="O35476" s="24"/>
      <c r="P35476"/>
      <c r="Q35476" s="24"/>
      <c r="R35476"/>
      <c r="S35476"/>
      <c r="T35476"/>
      <c r="U35476"/>
      <c r="X35476" s="60"/>
    </row>
    <row r="35477" spans="7:24" ht="15" customHeight="1">
      <c r="G35477"/>
      <c r="I35477"/>
      <c r="N35477"/>
      <c r="O35477" s="24"/>
      <c r="P35477"/>
      <c r="Q35477" s="24"/>
      <c r="R35477"/>
      <c r="S35477"/>
      <c r="T35477"/>
      <c r="U35477"/>
      <c r="X35477" s="60"/>
    </row>
    <row r="35478" spans="7:24" ht="15" customHeight="1">
      <c r="G35478"/>
      <c r="I35478"/>
      <c r="N35478"/>
      <c r="O35478" s="24"/>
      <c r="P35478"/>
      <c r="Q35478" s="24"/>
      <c r="R35478"/>
      <c r="S35478"/>
      <c r="T35478"/>
      <c r="U35478"/>
      <c r="X35478" s="60"/>
    </row>
    <row r="35479" spans="7:24" ht="15" customHeight="1">
      <c r="G35479"/>
      <c r="I35479"/>
      <c r="N35479"/>
      <c r="O35479" s="24"/>
      <c r="P35479"/>
      <c r="Q35479" s="24"/>
      <c r="R35479"/>
      <c r="S35479"/>
      <c r="T35479"/>
      <c r="U35479"/>
      <c r="X35479" s="60"/>
    </row>
    <row r="35480" spans="7:24" ht="15" customHeight="1">
      <c r="G35480"/>
      <c r="I35480"/>
      <c r="N35480"/>
      <c r="O35480" s="24"/>
      <c r="P35480"/>
      <c r="Q35480" s="24"/>
      <c r="R35480"/>
      <c r="S35480"/>
      <c r="T35480"/>
      <c r="U35480"/>
      <c r="X35480" s="60"/>
    </row>
    <row r="35481" spans="7:24" ht="15" customHeight="1">
      <c r="G35481"/>
      <c r="I35481"/>
      <c r="N35481"/>
      <c r="O35481" s="24"/>
      <c r="P35481"/>
      <c r="Q35481" s="24"/>
      <c r="R35481"/>
      <c r="S35481"/>
      <c r="T35481"/>
      <c r="U35481"/>
      <c r="X35481" s="60"/>
    </row>
    <row r="35482" spans="7:24" ht="15" customHeight="1">
      <c r="G35482"/>
      <c r="I35482"/>
      <c r="N35482"/>
      <c r="O35482" s="24"/>
      <c r="P35482"/>
      <c r="Q35482" s="24"/>
      <c r="R35482"/>
      <c r="S35482"/>
      <c r="T35482"/>
      <c r="U35482"/>
      <c r="X35482" s="60"/>
    </row>
    <row r="35483" spans="7:24" ht="15" customHeight="1">
      <c r="G35483"/>
      <c r="I35483"/>
      <c r="N35483"/>
      <c r="O35483" s="24"/>
      <c r="P35483"/>
      <c r="Q35483" s="24"/>
      <c r="R35483"/>
      <c r="S35483"/>
      <c r="T35483"/>
      <c r="U35483"/>
      <c r="X35483" s="60"/>
    </row>
    <row r="35484" spans="7:24" ht="15" customHeight="1">
      <c r="G35484"/>
      <c r="I35484"/>
      <c r="N35484"/>
      <c r="O35484" s="24"/>
      <c r="P35484"/>
      <c r="Q35484" s="24"/>
      <c r="R35484"/>
      <c r="S35484"/>
      <c r="T35484"/>
      <c r="U35484"/>
      <c r="X35484" s="60"/>
    </row>
    <row r="35485" spans="7:24" ht="15" customHeight="1">
      <c r="G35485"/>
      <c r="I35485"/>
      <c r="N35485"/>
      <c r="O35485" s="24"/>
      <c r="P35485"/>
      <c r="Q35485" s="24"/>
      <c r="R35485"/>
      <c r="S35485"/>
      <c r="T35485"/>
      <c r="U35485"/>
      <c r="X35485" s="60"/>
    </row>
    <row r="35486" spans="7:24" ht="15" customHeight="1">
      <c r="G35486"/>
      <c r="I35486"/>
      <c r="N35486"/>
      <c r="O35486" s="24"/>
      <c r="P35486"/>
      <c r="Q35486" s="24"/>
      <c r="R35486"/>
      <c r="S35486"/>
      <c r="T35486"/>
      <c r="U35486"/>
      <c r="X35486" s="60"/>
    </row>
    <row r="35487" spans="7:24" ht="15" customHeight="1">
      <c r="G35487"/>
      <c r="I35487"/>
      <c r="N35487"/>
      <c r="O35487" s="24"/>
      <c r="P35487"/>
      <c r="Q35487" s="24"/>
      <c r="R35487"/>
      <c r="S35487"/>
      <c r="T35487"/>
      <c r="U35487"/>
      <c r="X35487" s="60"/>
    </row>
    <row r="35488" spans="7:24" ht="15" customHeight="1">
      <c r="G35488"/>
      <c r="I35488"/>
      <c r="N35488"/>
      <c r="O35488" s="24"/>
      <c r="P35488"/>
      <c r="Q35488" s="24"/>
      <c r="R35488"/>
      <c r="S35488"/>
      <c r="T35488"/>
      <c r="U35488"/>
      <c r="X35488" s="60"/>
    </row>
    <row r="35489" spans="7:24" ht="15" customHeight="1">
      <c r="G35489"/>
      <c r="I35489"/>
      <c r="N35489"/>
      <c r="O35489" s="24"/>
      <c r="P35489"/>
      <c r="Q35489" s="24"/>
      <c r="R35489"/>
      <c r="S35489"/>
      <c r="T35489"/>
      <c r="U35489"/>
      <c r="X35489" s="60"/>
    </row>
    <row r="35490" spans="7:24" ht="15" customHeight="1">
      <c r="G35490"/>
      <c r="I35490"/>
      <c r="N35490"/>
      <c r="O35490" s="24"/>
      <c r="P35490"/>
      <c r="Q35490" s="24"/>
      <c r="R35490"/>
      <c r="S35490"/>
      <c r="T35490"/>
      <c r="U35490"/>
      <c r="X35490" s="60"/>
    </row>
    <row r="35491" spans="7:24" ht="15" customHeight="1">
      <c r="G35491"/>
      <c r="I35491"/>
      <c r="N35491"/>
      <c r="O35491" s="24"/>
      <c r="P35491"/>
      <c r="Q35491" s="24"/>
      <c r="R35491"/>
      <c r="S35491"/>
      <c r="T35491"/>
      <c r="U35491"/>
      <c r="X35491" s="60"/>
    </row>
    <row r="35492" spans="7:24" ht="15" customHeight="1">
      <c r="G35492"/>
      <c r="I35492"/>
      <c r="N35492"/>
      <c r="O35492" s="24"/>
      <c r="P35492"/>
      <c r="Q35492" s="24"/>
      <c r="R35492"/>
      <c r="S35492"/>
      <c r="T35492"/>
      <c r="U35492"/>
      <c r="X35492" s="60"/>
    </row>
    <row r="35493" spans="7:24" ht="15" customHeight="1">
      <c r="G35493"/>
      <c r="I35493"/>
      <c r="N35493"/>
      <c r="O35493" s="24"/>
      <c r="P35493"/>
      <c r="Q35493" s="24"/>
      <c r="R35493"/>
      <c r="S35493"/>
      <c r="T35493"/>
      <c r="U35493"/>
      <c r="X35493" s="60"/>
    </row>
    <row r="35494" spans="7:24" ht="15" customHeight="1">
      <c r="G35494"/>
      <c r="I35494"/>
      <c r="N35494"/>
      <c r="O35494" s="24"/>
      <c r="P35494"/>
      <c r="Q35494" s="24"/>
      <c r="R35494"/>
      <c r="S35494"/>
      <c r="T35494"/>
      <c r="U35494"/>
      <c r="X35494" s="60"/>
    </row>
    <row r="35495" spans="7:24" ht="15" customHeight="1">
      <c r="G35495"/>
      <c r="I35495"/>
      <c r="N35495"/>
      <c r="O35495" s="24"/>
      <c r="P35495"/>
      <c r="Q35495" s="24"/>
      <c r="R35495"/>
      <c r="S35495"/>
      <c r="T35495"/>
      <c r="U35495"/>
      <c r="X35495" s="60"/>
    </row>
    <row r="35496" spans="7:24" ht="15" customHeight="1">
      <c r="G35496"/>
      <c r="I35496"/>
      <c r="N35496"/>
      <c r="O35496" s="24"/>
      <c r="P35496"/>
      <c r="Q35496" s="24"/>
      <c r="R35496"/>
      <c r="S35496"/>
      <c r="T35496"/>
      <c r="U35496"/>
      <c r="X35496" s="60"/>
    </row>
    <row r="35497" spans="7:24" ht="15" customHeight="1">
      <c r="G35497"/>
      <c r="I35497"/>
      <c r="N35497"/>
      <c r="O35497" s="24"/>
      <c r="P35497"/>
      <c r="Q35497" s="24"/>
      <c r="R35497"/>
      <c r="S35497"/>
      <c r="T35497"/>
      <c r="U35497"/>
      <c r="X35497" s="60"/>
    </row>
    <row r="35498" spans="7:24" ht="15" customHeight="1">
      <c r="G35498"/>
      <c r="I35498"/>
      <c r="N35498"/>
      <c r="O35498" s="24"/>
      <c r="P35498"/>
      <c r="Q35498" s="24"/>
      <c r="R35498"/>
      <c r="S35498"/>
      <c r="T35498"/>
      <c r="U35498"/>
      <c r="X35498" s="60"/>
    </row>
    <row r="35499" spans="7:24" ht="15" customHeight="1">
      <c r="G35499"/>
      <c r="I35499"/>
      <c r="N35499"/>
      <c r="O35499" s="24"/>
      <c r="P35499"/>
      <c r="Q35499" s="24"/>
      <c r="R35499"/>
      <c r="S35499"/>
      <c r="T35499"/>
      <c r="U35499"/>
      <c r="X35499" s="60"/>
    </row>
    <row r="35500" spans="7:24" ht="15" customHeight="1">
      <c r="G35500"/>
      <c r="I35500"/>
      <c r="N35500"/>
      <c r="O35500" s="24"/>
      <c r="P35500"/>
      <c r="Q35500" s="24"/>
      <c r="R35500"/>
      <c r="S35500"/>
      <c r="T35500"/>
      <c r="U35500"/>
      <c r="X35500" s="60"/>
    </row>
    <row r="35501" spans="7:24" ht="15" customHeight="1">
      <c r="G35501"/>
      <c r="I35501"/>
      <c r="N35501"/>
      <c r="O35501" s="24"/>
      <c r="P35501"/>
      <c r="Q35501" s="24"/>
      <c r="R35501"/>
      <c r="S35501"/>
      <c r="T35501"/>
      <c r="U35501"/>
      <c r="X35501" s="60"/>
    </row>
    <row r="35502" spans="7:24" ht="15" customHeight="1">
      <c r="G35502"/>
      <c r="I35502"/>
      <c r="N35502"/>
      <c r="O35502" s="24"/>
      <c r="P35502"/>
      <c r="Q35502" s="24"/>
      <c r="R35502"/>
      <c r="S35502"/>
      <c r="T35502"/>
      <c r="U35502"/>
      <c r="X35502" s="60"/>
    </row>
    <row r="35503" spans="7:24" ht="15" customHeight="1">
      <c r="G35503"/>
      <c r="I35503"/>
      <c r="N35503"/>
      <c r="O35503" s="24"/>
      <c r="P35503"/>
      <c r="Q35503" s="24"/>
      <c r="R35503"/>
      <c r="S35503"/>
      <c r="T35503"/>
      <c r="U35503"/>
      <c r="X35503" s="60"/>
    </row>
    <row r="35504" spans="7:24" ht="15" customHeight="1">
      <c r="G35504"/>
      <c r="I35504"/>
      <c r="N35504"/>
      <c r="O35504" s="24"/>
      <c r="P35504"/>
      <c r="Q35504" s="24"/>
      <c r="R35504"/>
      <c r="S35504"/>
      <c r="T35504"/>
      <c r="U35504"/>
      <c r="X35504" s="60"/>
    </row>
    <row r="35505" spans="7:24" ht="15" customHeight="1">
      <c r="G35505"/>
      <c r="I35505"/>
      <c r="N35505"/>
      <c r="O35505" s="24"/>
      <c r="P35505"/>
      <c r="Q35505" s="24"/>
      <c r="R35505"/>
      <c r="S35505"/>
      <c r="T35505"/>
      <c r="U35505"/>
      <c r="X35505" s="60"/>
    </row>
    <row r="35506" spans="7:24" ht="15" customHeight="1">
      <c r="G35506"/>
      <c r="I35506"/>
      <c r="N35506"/>
      <c r="O35506" s="24"/>
      <c r="P35506"/>
      <c r="Q35506" s="24"/>
      <c r="R35506"/>
      <c r="S35506"/>
      <c r="T35506"/>
      <c r="U35506"/>
      <c r="X35506" s="60"/>
    </row>
    <row r="35507" spans="7:24" ht="15" customHeight="1">
      <c r="G35507"/>
      <c r="I35507"/>
      <c r="N35507"/>
      <c r="O35507" s="24"/>
      <c r="P35507"/>
      <c r="Q35507" s="24"/>
      <c r="R35507"/>
      <c r="S35507"/>
      <c r="T35507"/>
      <c r="U35507"/>
      <c r="X35507" s="60"/>
    </row>
    <row r="35508" spans="7:24" ht="15" customHeight="1">
      <c r="G35508"/>
      <c r="I35508"/>
      <c r="N35508"/>
      <c r="O35508" s="24"/>
      <c r="P35508"/>
      <c r="Q35508" s="24"/>
      <c r="R35508"/>
      <c r="S35508"/>
      <c r="T35508"/>
      <c r="U35508"/>
      <c r="X35508" s="60"/>
    </row>
    <row r="35509" spans="7:24" ht="15" customHeight="1">
      <c r="G35509"/>
      <c r="I35509"/>
      <c r="N35509"/>
      <c r="O35509" s="24"/>
      <c r="P35509"/>
      <c r="Q35509" s="24"/>
      <c r="R35509"/>
      <c r="S35509"/>
      <c r="T35509"/>
      <c r="U35509"/>
      <c r="X35509" s="60"/>
    </row>
    <row r="35510" spans="7:24" ht="15" customHeight="1">
      <c r="G35510"/>
      <c r="I35510"/>
      <c r="N35510"/>
      <c r="O35510" s="24"/>
      <c r="P35510"/>
      <c r="Q35510" s="24"/>
      <c r="R35510"/>
      <c r="S35510"/>
      <c r="T35510"/>
      <c r="U35510"/>
      <c r="X35510" s="60"/>
    </row>
    <row r="35511" spans="7:24" ht="15" customHeight="1">
      <c r="G35511"/>
      <c r="I35511"/>
      <c r="N35511"/>
      <c r="O35511" s="24"/>
      <c r="P35511"/>
      <c r="Q35511" s="24"/>
      <c r="R35511"/>
      <c r="S35511"/>
      <c r="T35511"/>
      <c r="U35511"/>
      <c r="X35511" s="60"/>
    </row>
    <row r="35512" spans="7:24" ht="15" customHeight="1">
      <c r="G35512"/>
      <c r="I35512"/>
      <c r="N35512"/>
      <c r="O35512" s="24"/>
      <c r="P35512"/>
      <c r="Q35512" s="24"/>
      <c r="R35512"/>
      <c r="S35512"/>
      <c r="T35512"/>
      <c r="U35512"/>
      <c r="X35512" s="60"/>
    </row>
    <row r="35513" spans="7:24" ht="15" customHeight="1">
      <c r="G35513"/>
      <c r="I35513"/>
      <c r="N35513"/>
      <c r="O35513" s="24"/>
      <c r="P35513"/>
      <c r="Q35513" s="24"/>
      <c r="R35513"/>
      <c r="S35513"/>
      <c r="T35513"/>
      <c r="U35513"/>
      <c r="X35513" s="60"/>
    </row>
    <row r="35514" spans="7:24" ht="15" customHeight="1">
      <c r="G35514"/>
      <c r="I35514"/>
      <c r="N35514"/>
      <c r="O35514" s="24"/>
      <c r="P35514"/>
      <c r="Q35514" s="24"/>
      <c r="R35514"/>
      <c r="S35514"/>
      <c r="T35514"/>
      <c r="U35514"/>
      <c r="X35514" s="60"/>
    </row>
    <row r="35515" spans="7:24" ht="15" customHeight="1">
      <c r="G35515"/>
      <c r="I35515"/>
      <c r="N35515"/>
      <c r="O35515" s="24"/>
      <c r="P35515"/>
      <c r="Q35515" s="24"/>
      <c r="R35515"/>
      <c r="S35515"/>
      <c r="T35515"/>
      <c r="U35515"/>
      <c r="X35515" s="60"/>
    </row>
    <row r="35516" spans="7:24" ht="15" customHeight="1">
      <c r="G35516"/>
      <c r="I35516"/>
      <c r="N35516"/>
      <c r="O35516" s="24"/>
      <c r="P35516"/>
      <c r="Q35516" s="24"/>
      <c r="R35516"/>
      <c r="S35516"/>
      <c r="T35516"/>
      <c r="U35516"/>
      <c r="X35516" s="60"/>
    </row>
    <row r="35517" spans="7:24" ht="15" customHeight="1">
      <c r="G35517"/>
      <c r="I35517"/>
      <c r="N35517"/>
      <c r="O35517" s="24"/>
      <c r="P35517"/>
      <c r="Q35517" s="24"/>
      <c r="R35517"/>
      <c r="S35517"/>
      <c r="T35517"/>
      <c r="U35517"/>
      <c r="X35517" s="60"/>
    </row>
    <row r="35518" spans="7:24" ht="15" customHeight="1">
      <c r="G35518"/>
      <c r="I35518"/>
      <c r="N35518"/>
      <c r="O35518" s="24"/>
      <c r="P35518"/>
      <c r="Q35518" s="24"/>
      <c r="R35518"/>
      <c r="S35518"/>
      <c r="T35518"/>
      <c r="U35518"/>
      <c r="X35518" s="60"/>
    </row>
    <row r="35519" spans="7:24" ht="15" customHeight="1">
      <c r="G35519"/>
      <c r="I35519"/>
      <c r="N35519"/>
      <c r="O35519" s="24"/>
      <c r="P35519"/>
      <c r="Q35519" s="24"/>
      <c r="R35519"/>
      <c r="S35519"/>
      <c r="T35519"/>
      <c r="U35519"/>
      <c r="X35519" s="60"/>
    </row>
    <row r="35520" spans="7:24" ht="15" customHeight="1">
      <c r="G35520"/>
      <c r="I35520"/>
      <c r="N35520"/>
      <c r="O35520" s="24"/>
      <c r="P35520"/>
      <c r="Q35520" s="24"/>
      <c r="R35520"/>
      <c r="S35520"/>
      <c r="T35520"/>
      <c r="U35520"/>
      <c r="X35520" s="60"/>
    </row>
    <row r="35521" spans="7:24" ht="15" customHeight="1">
      <c r="G35521"/>
      <c r="I35521"/>
      <c r="N35521"/>
      <c r="O35521" s="24"/>
      <c r="P35521"/>
      <c r="Q35521" s="24"/>
      <c r="R35521"/>
      <c r="S35521"/>
      <c r="T35521"/>
      <c r="U35521"/>
      <c r="X35521" s="60"/>
    </row>
    <row r="35522" spans="7:24" ht="15" customHeight="1">
      <c r="G35522"/>
      <c r="I35522"/>
      <c r="N35522"/>
      <c r="O35522" s="24"/>
      <c r="P35522"/>
      <c r="Q35522" s="24"/>
      <c r="R35522"/>
      <c r="S35522"/>
      <c r="T35522"/>
      <c r="U35522"/>
      <c r="X35522" s="60"/>
    </row>
    <row r="35523" spans="7:24" ht="15" customHeight="1">
      <c r="G35523"/>
      <c r="I35523"/>
      <c r="N35523"/>
      <c r="O35523" s="24"/>
      <c r="P35523"/>
      <c r="Q35523" s="24"/>
      <c r="R35523"/>
      <c r="S35523"/>
      <c r="T35523"/>
      <c r="U35523"/>
      <c r="X35523" s="60"/>
    </row>
    <row r="35524" spans="7:24" ht="15" customHeight="1">
      <c r="G35524"/>
      <c r="I35524"/>
      <c r="N35524"/>
      <c r="O35524" s="24"/>
      <c r="P35524"/>
      <c r="Q35524" s="24"/>
      <c r="R35524"/>
      <c r="S35524"/>
      <c r="T35524"/>
      <c r="U35524"/>
      <c r="X35524" s="60"/>
    </row>
    <row r="35525" spans="7:24" ht="15" customHeight="1">
      <c r="G35525"/>
      <c r="I35525"/>
      <c r="N35525"/>
      <c r="O35525" s="24"/>
      <c r="P35525"/>
      <c r="Q35525" s="24"/>
      <c r="R35525"/>
      <c r="S35525"/>
      <c r="T35525"/>
      <c r="U35525"/>
      <c r="X35525" s="60"/>
    </row>
    <row r="35526" spans="7:24" ht="15" customHeight="1">
      <c r="G35526"/>
      <c r="I35526"/>
      <c r="N35526"/>
      <c r="O35526" s="24"/>
      <c r="P35526"/>
      <c r="Q35526" s="24"/>
      <c r="R35526"/>
      <c r="S35526"/>
      <c r="T35526"/>
      <c r="U35526"/>
      <c r="X35526" s="60"/>
    </row>
    <row r="35527" spans="7:24" ht="15" customHeight="1">
      <c r="G35527"/>
      <c r="I35527"/>
      <c r="N35527"/>
      <c r="O35527" s="24"/>
      <c r="P35527"/>
      <c r="Q35527" s="24"/>
      <c r="R35527"/>
      <c r="S35527"/>
      <c r="T35527"/>
      <c r="U35527"/>
      <c r="X35527" s="60"/>
    </row>
    <row r="35528" spans="7:24" ht="15" customHeight="1">
      <c r="G35528"/>
      <c r="I35528"/>
      <c r="N35528"/>
      <c r="O35528" s="24"/>
      <c r="P35528"/>
      <c r="Q35528" s="24"/>
      <c r="R35528"/>
      <c r="S35528"/>
      <c r="T35528"/>
      <c r="U35528"/>
      <c r="X35528" s="60"/>
    </row>
    <row r="35529" spans="7:24" ht="15" customHeight="1">
      <c r="G35529"/>
      <c r="I35529"/>
      <c r="N35529"/>
      <c r="O35529" s="24"/>
      <c r="P35529"/>
      <c r="Q35529" s="24"/>
      <c r="R35529"/>
      <c r="S35529"/>
      <c r="T35529"/>
      <c r="U35529"/>
      <c r="X35529" s="60"/>
    </row>
    <row r="35530" spans="7:24" ht="15" customHeight="1">
      <c r="G35530"/>
      <c r="I35530"/>
      <c r="N35530"/>
      <c r="O35530" s="24"/>
      <c r="P35530"/>
      <c r="Q35530" s="24"/>
      <c r="R35530"/>
      <c r="S35530"/>
      <c r="T35530"/>
      <c r="U35530"/>
      <c r="X35530" s="60"/>
    </row>
    <row r="35531" spans="7:24" ht="15" customHeight="1">
      <c r="G35531"/>
      <c r="I35531"/>
      <c r="N35531"/>
      <c r="O35531" s="24"/>
      <c r="P35531"/>
      <c r="Q35531" s="24"/>
      <c r="R35531"/>
      <c r="S35531"/>
      <c r="T35531"/>
      <c r="U35531"/>
      <c r="X35531" s="60"/>
    </row>
    <row r="35532" spans="7:24" ht="15" customHeight="1">
      <c r="G35532"/>
      <c r="I35532"/>
      <c r="N35532"/>
      <c r="O35532" s="24"/>
      <c r="P35532"/>
      <c r="Q35532" s="24"/>
      <c r="R35532"/>
      <c r="S35532"/>
      <c r="T35532"/>
      <c r="U35532"/>
      <c r="X35532" s="60"/>
    </row>
    <row r="35533" spans="7:24" ht="15" customHeight="1">
      <c r="G35533"/>
      <c r="I35533"/>
      <c r="N35533"/>
      <c r="O35533" s="24"/>
      <c r="P35533"/>
      <c r="Q35533" s="24"/>
      <c r="R35533"/>
      <c r="S35533"/>
      <c r="T35533"/>
      <c r="U35533"/>
      <c r="X35533" s="60"/>
    </row>
    <row r="35534" spans="7:24" ht="15" customHeight="1">
      <c r="G35534"/>
      <c r="I35534"/>
      <c r="N35534"/>
      <c r="O35534" s="24"/>
      <c r="P35534"/>
      <c r="Q35534" s="24"/>
      <c r="R35534"/>
      <c r="S35534"/>
      <c r="T35534"/>
      <c r="U35534"/>
      <c r="X35534" s="60"/>
    </row>
    <row r="35535" spans="7:24" ht="15" customHeight="1">
      <c r="G35535"/>
      <c r="I35535"/>
      <c r="N35535"/>
      <c r="O35535" s="24"/>
      <c r="P35535"/>
      <c r="Q35535" s="24"/>
      <c r="R35535"/>
      <c r="S35535"/>
      <c r="T35535"/>
      <c r="U35535"/>
      <c r="X35535" s="60"/>
    </row>
    <row r="35536" spans="7:24" ht="15" customHeight="1">
      <c r="G35536"/>
      <c r="I35536"/>
      <c r="N35536"/>
      <c r="O35536" s="24"/>
      <c r="P35536"/>
      <c r="Q35536" s="24"/>
      <c r="R35536"/>
      <c r="S35536"/>
      <c r="T35536"/>
      <c r="U35536"/>
      <c r="X35536" s="60"/>
    </row>
    <row r="35537" spans="7:24" ht="15" customHeight="1">
      <c r="G35537"/>
      <c r="I35537"/>
      <c r="N35537"/>
      <c r="O35537" s="24"/>
      <c r="P35537"/>
      <c r="Q35537" s="24"/>
      <c r="R35537"/>
      <c r="S35537"/>
      <c r="T35537"/>
      <c r="U35537"/>
      <c r="X35537" s="60"/>
    </row>
    <row r="35538" spans="7:24" ht="15" customHeight="1">
      <c r="G35538"/>
      <c r="I35538"/>
      <c r="N35538"/>
      <c r="O35538" s="24"/>
      <c r="P35538"/>
      <c r="Q35538" s="24"/>
      <c r="R35538"/>
      <c r="S35538"/>
      <c r="T35538"/>
      <c r="U35538"/>
      <c r="X35538" s="60"/>
    </row>
    <row r="35539" spans="7:24" ht="15" customHeight="1">
      <c r="G35539"/>
      <c r="I35539"/>
      <c r="N35539"/>
      <c r="O35539" s="24"/>
      <c r="P35539"/>
      <c r="Q35539" s="24"/>
      <c r="R35539"/>
      <c r="S35539"/>
      <c r="T35539"/>
      <c r="U35539"/>
      <c r="X35539" s="60"/>
    </row>
    <row r="35540" spans="7:24" ht="15" customHeight="1">
      <c r="G35540"/>
      <c r="I35540"/>
      <c r="N35540"/>
      <c r="O35540" s="24"/>
      <c r="P35540"/>
      <c r="Q35540" s="24"/>
      <c r="R35540"/>
      <c r="S35540"/>
      <c r="T35540"/>
      <c r="U35540"/>
      <c r="X35540" s="60"/>
    </row>
    <row r="35541" spans="7:24" ht="15" customHeight="1">
      <c r="G35541"/>
      <c r="I35541"/>
      <c r="N35541"/>
      <c r="O35541" s="24"/>
      <c r="P35541"/>
      <c r="Q35541" s="24"/>
      <c r="R35541"/>
      <c r="S35541"/>
      <c r="T35541"/>
      <c r="U35541"/>
      <c r="X35541" s="60"/>
    </row>
    <row r="35542" spans="7:24" ht="15" customHeight="1">
      <c r="G35542"/>
      <c r="I35542"/>
      <c r="N35542"/>
      <c r="O35542" s="24"/>
      <c r="P35542"/>
      <c r="Q35542" s="24"/>
      <c r="R35542"/>
      <c r="S35542"/>
      <c r="T35542"/>
      <c r="U35542"/>
      <c r="X35542" s="60"/>
    </row>
    <row r="35543" spans="7:24" ht="15" customHeight="1">
      <c r="G35543"/>
      <c r="I35543"/>
      <c r="N35543"/>
      <c r="O35543" s="24"/>
      <c r="P35543"/>
      <c r="Q35543" s="24"/>
      <c r="R35543"/>
      <c r="S35543"/>
      <c r="T35543"/>
      <c r="U35543"/>
      <c r="X35543" s="60"/>
    </row>
    <row r="35544" spans="7:24" ht="15" customHeight="1">
      <c r="G35544"/>
      <c r="I35544"/>
      <c r="N35544"/>
      <c r="O35544" s="24"/>
      <c r="P35544"/>
      <c r="Q35544" s="24"/>
      <c r="R35544"/>
      <c r="S35544"/>
      <c r="T35544"/>
      <c r="U35544"/>
      <c r="X35544" s="60"/>
    </row>
    <row r="35545" spans="7:24" ht="15" customHeight="1">
      <c r="G35545"/>
      <c r="I35545"/>
      <c r="N35545"/>
      <c r="O35545" s="24"/>
      <c r="P35545"/>
      <c r="Q35545" s="24"/>
      <c r="R35545"/>
      <c r="S35545"/>
      <c r="T35545"/>
      <c r="U35545"/>
      <c r="X35545" s="60"/>
    </row>
    <row r="35546" spans="7:24" ht="15" customHeight="1">
      <c r="G35546"/>
      <c r="I35546"/>
      <c r="N35546"/>
      <c r="O35546" s="24"/>
      <c r="P35546"/>
      <c r="Q35546" s="24"/>
      <c r="R35546"/>
      <c r="S35546"/>
      <c r="T35546"/>
      <c r="U35546"/>
      <c r="X35546" s="60"/>
    </row>
    <row r="35547" spans="7:24" ht="15" customHeight="1">
      <c r="G35547"/>
      <c r="I35547"/>
      <c r="N35547"/>
      <c r="O35547" s="24"/>
      <c r="P35547"/>
      <c r="Q35547" s="24"/>
      <c r="R35547"/>
      <c r="S35547"/>
      <c r="T35547"/>
      <c r="U35547"/>
      <c r="X35547" s="60"/>
    </row>
    <row r="35548" spans="7:24" ht="15" customHeight="1">
      <c r="G35548"/>
      <c r="I35548"/>
      <c r="N35548"/>
      <c r="O35548" s="24"/>
      <c r="P35548"/>
      <c r="Q35548" s="24"/>
      <c r="R35548"/>
      <c r="S35548"/>
      <c r="T35548"/>
      <c r="U35548"/>
      <c r="X35548" s="60"/>
    </row>
    <row r="35549" spans="7:24" ht="15" customHeight="1">
      <c r="G35549"/>
      <c r="I35549"/>
      <c r="N35549"/>
      <c r="O35549" s="24"/>
      <c r="P35549"/>
      <c r="Q35549" s="24"/>
      <c r="R35549"/>
      <c r="S35549"/>
      <c r="T35549"/>
      <c r="U35549"/>
      <c r="X35549" s="60"/>
    </row>
    <row r="35550" spans="7:24" ht="15" customHeight="1">
      <c r="G35550"/>
      <c r="I35550"/>
      <c r="N35550"/>
      <c r="O35550" s="24"/>
      <c r="P35550"/>
      <c r="Q35550" s="24"/>
      <c r="R35550"/>
      <c r="S35550"/>
      <c r="T35550"/>
      <c r="U35550"/>
      <c r="X35550" s="60"/>
    </row>
    <row r="35551" spans="7:24" ht="15" customHeight="1">
      <c r="G35551"/>
      <c r="I35551"/>
      <c r="N35551"/>
      <c r="O35551" s="24"/>
      <c r="P35551"/>
      <c r="Q35551" s="24"/>
      <c r="R35551"/>
      <c r="S35551"/>
      <c r="T35551"/>
      <c r="U35551"/>
      <c r="X35551" s="60"/>
    </row>
    <row r="35552" spans="7:24" ht="15" customHeight="1">
      <c r="G35552"/>
      <c r="I35552"/>
      <c r="N35552"/>
      <c r="O35552" s="24"/>
      <c r="P35552"/>
      <c r="Q35552" s="24"/>
      <c r="R35552"/>
      <c r="S35552"/>
      <c r="T35552"/>
      <c r="U35552"/>
      <c r="X35552" s="60"/>
    </row>
    <row r="35553" spans="7:24" ht="15" customHeight="1">
      <c r="G35553"/>
      <c r="I35553"/>
      <c r="N35553"/>
      <c r="O35553" s="24"/>
      <c r="P35553"/>
      <c r="Q35553" s="24"/>
      <c r="R35553"/>
      <c r="S35553"/>
      <c r="T35553"/>
      <c r="U35553"/>
      <c r="X35553" s="60"/>
    </row>
    <row r="35554" spans="7:24" ht="15" customHeight="1">
      <c r="G35554"/>
      <c r="I35554"/>
      <c r="N35554"/>
      <c r="O35554" s="24"/>
      <c r="P35554"/>
      <c r="Q35554" s="24"/>
      <c r="R35554"/>
      <c r="S35554"/>
      <c r="T35554"/>
      <c r="U35554"/>
      <c r="X35554" s="60"/>
    </row>
    <row r="35555" spans="7:24" ht="15" customHeight="1">
      <c r="G35555"/>
      <c r="I35555"/>
      <c r="N35555"/>
      <c r="O35555" s="24"/>
      <c r="P35555"/>
      <c r="Q35555" s="24"/>
      <c r="R35555"/>
      <c r="S35555"/>
      <c r="T35555"/>
      <c r="U35555"/>
      <c r="X35555" s="60"/>
    </row>
    <row r="35556" spans="7:24" ht="15" customHeight="1">
      <c r="G35556"/>
      <c r="I35556"/>
      <c r="N35556"/>
      <c r="O35556" s="24"/>
      <c r="P35556"/>
      <c r="Q35556" s="24"/>
      <c r="R35556"/>
      <c r="S35556"/>
      <c r="T35556"/>
      <c r="U35556"/>
      <c r="X35556" s="60"/>
    </row>
    <row r="35557" spans="7:24" ht="15" customHeight="1">
      <c r="G35557"/>
      <c r="I35557"/>
      <c r="N35557"/>
      <c r="O35557" s="24"/>
      <c r="P35557"/>
      <c r="Q35557" s="24"/>
      <c r="R35557"/>
      <c r="S35557"/>
      <c r="T35557"/>
      <c r="U35557"/>
      <c r="X35557" s="60"/>
    </row>
    <row r="35558" spans="7:24" ht="15" customHeight="1">
      <c r="G35558"/>
      <c r="I35558"/>
      <c r="N35558"/>
      <c r="O35558" s="24"/>
      <c r="P35558"/>
      <c r="Q35558" s="24"/>
      <c r="R35558"/>
      <c r="S35558"/>
      <c r="T35558"/>
      <c r="U35558"/>
      <c r="X35558" s="60"/>
    </row>
    <row r="35559" spans="7:24" ht="15" customHeight="1">
      <c r="G35559"/>
      <c r="I35559"/>
      <c r="N35559"/>
      <c r="O35559" s="24"/>
      <c r="P35559"/>
      <c r="Q35559" s="24"/>
      <c r="R35559"/>
      <c r="S35559"/>
      <c r="T35559"/>
      <c r="U35559"/>
      <c r="X35559" s="60"/>
    </row>
    <row r="35560" spans="7:24" ht="15" customHeight="1">
      <c r="G35560"/>
      <c r="I35560"/>
      <c r="N35560"/>
      <c r="O35560" s="24"/>
      <c r="P35560"/>
      <c r="Q35560" s="24"/>
      <c r="R35560"/>
      <c r="S35560"/>
      <c r="T35560"/>
      <c r="U35560"/>
      <c r="X35560" s="60"/>
    </row>
    <row r="35561" spans="7:24" ht="15" customHeight="1">
      <c r="G35561"/>
      <c r="I35561"/>
      <c r="N35561"/>
      <c r="O35561" s="24"/>
      <c r="P35561"/>
      <c r="Q35561" s="24"/>
      <c r="R35561"/>
      <c r="S35561"/>
      <c r="T35561"/>
      <c r="U35561"/>
      <c r="X35561" s="60"/>
    </row>
    <row r="35562" spans="7:24" ht="15" customHeight="1">
      <c r="G35562"/>
      <c r="I35562"/>
      <c r="N35562"/>
      <c r="O35562" s="24"/>
      <c r="P35562"/>
      <c r="Q35562" s="24"/>
      <c r="R35562"/>
      <c r="S35562"/>
      <c r="T35562"/>
      <c r="U35562"/>
      <c r="X35562" s="60"/>
    </row>
    <row r="35563" spans="7:24" ht="15" customHeight="1">
      <c r="G35563"/>
      <c r="I35563"/>
      <c r="N35563"/>
      <c r="O35563" s="24"/>
      <c r="P35563"/>
      <c r="Q35563" s="24"/>
      <c r="R35563"/>
      <c r="S35563"/>
      <c r="T35563"/>
      <c r="U35563"/>
      <c r="X35563" s="60"/>
    </row>
    <row r="35564" spans="7:24" ht="15" customHeight="1">
      <c r="G35564"/>
      <c r="I35564"/>
      <c r="N35564"/>
      <c r="O35564" s="24"/>
      <c r="P35564"/>
      <c r="Q35564" s="24"/>
      <c r="R35564"/>
      <c r="S35564"/>
      <c r="T35564"/>
      <c r="U35564"/>
      <c r="X35564" s="60"/>
    </row>
    <row r="35565" spans="7:24" ht="15" customHeight="1">
      <c r="G35565"/>
      <c r="I35565"/>
      <c r="N35565"/>
      <c r="O35565" s="24"/>
      <c r="P35565"/>
      <c r="Q35565" s="24"/>
      <c r="R35565"/>
      <c r="S35565"/>
      <c r="T35565"/>
      <c r="U35565"/>
      <c r="X35565" s="60"/>
    </row>
    <row r="35566" spans="7:24" ht="15" customHeight="1">
      <c r="G35566"/>
      <c r="I35566"/>
      <c r="N35566"/>
      <c r="O35566" s="24"/>
      <c r="P35566"/>
      <c r="Q35566" s="24"/>
      <c r="R35566"/>
      <c r="S35566"/>
      <c r="T35566"/>
      <c r="U35566"/>
      <c r="X35566" s="60"/>
    </row>
    <row r="35567" spans="7:24" ht="15" customHeight="1">
      <c r="G35567"/>
      <c r="I35567"/>
      <c r="N35567"/>
      <c r="O35567" s="24"/>
      <c r="P35567"/>
      <c r="Q35567" s="24"/>
      <c r="R35567"/>
      <c r="S35567"/>
      <c r="T35567"/>
      <c r="U35567"/>
      <c r="X35567" s="60"/>
    </row>
    <row r="35568" spans="7:24" ht="15" customHeight="1">
      <c r="G35568"/>
      <c r="I35568"/>
      <c r="N35568"/>
      <c r="O35568" s="24"/>
      <c r="P35568"/>
      <c r="Q35568" s="24"/>
      <c r="R35568"/>
      <c r="S35568"/>
      <c r="T35568"/>
      <c r="U35568"/>
      <c r="X35568" s="60"/>
    </row>
    <row r="35569" spans="7:24" ht="15" customHeight="1">
      <c r="G35569"/>
      <c r="I35569"/>
      <c r="N35569"/>
      <c r="O35569" s="24"/>
      <c r="P35569"/>
      <c r="Q35569" s="24"/>
      <c r="R35569"/>
      <c r="S35569"/>
      <c r="T35569"/>
      <c r="U35569"/>
      <c r="X35569" s="60"/>
    </row>
    <row r="35570" spans="7:24" ht="15" customHeight="1">
      <c r="G35570"/>
      <c r="I35570"/>
      <c r="N35570"/>
      <c r="O35570" s="24"/>
      <c r="P35570"/>
      <c r="Q35570" s="24"/>
      <c r="R35570"/>
      <c r="S35570"/>
      <c r="T35570"/>
      <c r="U35570"/>
      <c r="X35570" s="60"/>
    </row>
    <row r="35571" spans="7:24" ht="15" customHeight="1">
      <c r="G35571"/>
      <c r="I35571"/>
      <c r="N35571"/>
      <c r="O35571" s="24"/>
      <c r="P35571"/>
      <c r="Q35571" s="24"/>
      <c r="R35571"/>
      <c r="S35571"/>
      <c r="T35571"/>
      <c r="U35571"/>
      <c r="X35571" s="60"/>
    </row>
    <row r="35572" spans="7:24" ht="15" customHeight="1">
      <c r="G35572"/>
      <c r="I35572"/>
      <c r="N35572"/>
      <c r="O35572" s="24"/>
      <c r="P35572"/>
      <c r="Q35572" s="24"/>
      <c r="R35572"/>
      <c r="S35572"/>
      <c r="T35572"/>
      <c r="U35572"/>
      <c r="X35572" s="60"/>
    </row>
    <row r="35573" spans="7:24" ht="15" customHeight="1">
      <c r="G35573"/>
      <c r="I35573"/>
      <c r="N35573"/>
      <c r="O35573" s="24"/>
      <c r="P35573"/>
      <c r="Q35573" s="24"/>
      <c r="R35573"/>
      <c r="S35573"/>
      <c r="T35573"/>
      <c r="U35573"/>
      <c r="X35573" s="60"/>
    </row>
    <row r="35574" spans="7:24" ht="15" customHeight="1">
      <c r="G35574"/>
      <c r="I35574"/>
      <c r="N35574"/>
      <c r="O35574" s="24"/>
      <c r="P35574"/>
      <c r="Q35574" s="24"/>
      <c r="R35574"/>
      <c r="S35574"/>
      <c r="T35574"/>
      <c r="U35574"/>
      <c r="X35574" s="60"/>
    </row>
    <row r="35575" spans="7:24" ht="15" customHeight="1">
      <c r="G35575"/>
      <c r="I35575"/>
      <c r="N35575"/>
      <c r="O35575" s="24"/>
      <c r="P35575"/>
      <c r="Q35575" s="24"/>
      <c r="R35575"/>
      <c r="S35575"/>
      <c r="T35575"/>
      <c r="U35575"/>
      <c r="X35575" s="60"/>
    </row>
    <row r="35576" spans="7:24" ht="15" customHeight="1">
      <c r="G35576"/>
      <c r="I35576"/>
      <c r="N35576"/>
      <c r="O35576" s="24"/>
      <c r="P35576"/>
      <c r="Q35576" s="24"/>
      <c r="R35576"/>
      <c r="S35576"/>
      <c r="T35576"/>
      <c r="U35576"/>
      <c r="X35576" s="60"/>
    </row>
    <row r="35577" spans="7:24" ht="15" customHeight="1">
      <c r="G35577"/>
      <c r="I35577"/>
      <c r="N35577"/>
      <c r="O35577" s="24"/>
      <c r="P35577"/>
      <c r="Q35577" s="24"/>
      <c r="R35577"/>
      <c r="S35577"/>
      <c r="T35577"/>
      <c r="U35577"/>
      <c r="X35577" s="60"/>
    </row>
    <row r="35578" spans="7:24" ht="15" customHeight="1">
      <c r="G35578"/>
      <c r="I35578"/>
      <c r="N35578"/>
      <c r="O35578" s="24"/>
      <c r="P35578"/>
      <c r="Q35578" s="24"/>
      <c r="R35578"/>
      <c r="S35578"/>
      <c r="T35578"/>
      <c r="U35578"/>
      <c r="X35578" s="60"/>
    </row>
    <row r="35579" spans="7:24" ht="15" customHeight="1">
      <c r="G35579"/>
      <c r="I35579"/>
      <c r="N35579"/>
      <c r="O35579" s="24"/>
      <c r="P35579"/>
      <c r="Q35579" s="24"/>
      <c r="R35579"/>
      <c r="S35579"/>
      <c r="T35579"/>
      <c r="U35579"/>
      <c r="X35579" s="60"/>
    </row>
    <row r="35580" spans="7:24" ht="15" customHeight="1">
      <c r="G35580"/>
      <c r="I35580"/>
      <c r="N35580"/>
      <c r="O35580" s="24"/>
      <c r="P35580"/>
      <c r="Q35580" s="24"/>
      <c r="R35580"/>
      <c r="S35580"/>
      <c r="T35580"/>
      <c r="U35580"/>
      <c r="X35580" s="60"/>
    </row>
    <row r="35581" spans="7:24" ht="15" customHeight="1">
      <c r="G35581"/>
      <c r="I35581"/>
      <c r="N35581"/>
      <c r="O35581" s="24"/>
      <c r="P35581"/>
      <c r="Q35581" s="24"/>
      <c r="R35581"/>
      <c r="S35581"/>
      <c r="T35581"/>
      <c r="U35581"/>
      <c r="X35581" s="60"/>
    </row>
    <row r="35582" spans="7:24" ht="15" customHeight="1">
      <c r="G35582"/>
      <c r="I35582"/>
      <c r="N35582"/>
      <c r="O35582" s="24"/>
      <c r="P35582"/>
      <c r="Q35582" s="24"/>
      <c r="R35582"/>
      <c r="S35582"/>
      <c r="T35582"/>
      <c r="U35582"/>
      <c r="X35582" s="60"/>
    </row>
    <row r="35583" spans="7:24" ht="15" customHeight="1">
      <c r="G35583"/>
      <c r="I35583"/>
      <c r="N35583"/>
      <c r="O35583" s="24"/>
      <c r="P35583"/>
      <c r="Q35583" s="24"/>
      <c r="R35583"/>
      <c r="S35583"/>
      <c r="T35583"/>
      <c r="U35583"/>
      <c r="X35583" s="60"/>
    </row>
    <row r="35584" spans="7:24" ht="15" customHeight="1">
      <c r="G35584"/>
      <c r="I35584"/>
      <c r="N35584"/>
      <c r="O35584" s="24"/>
      <c r="P35584"/>
      <c r="Q35584" s="24"/>
      <c r="R35584"/>
      <c r="S35584"/>
      <c r="T35584"/>
      <c r="U35584"/>
      <c r="X35584" s="60"/>
    </row>
    <row r="35585" spans="7:24" ht="15" customHeight="1">
      <c r="G35585"/>
      <c r="I35585"/>
      <c r="N35585"/>
      <c r="O35585" s="24"/>
      <c r="P35585"/>
      <c r="Q35585" s="24"/>
      <c r="R35585"/>
      <c r="S35585"/>
      <c r="T35585"/>
      <c r="U35585"/>
      <c r="X35585" s="60"/>
    </row>
    <row r="35586" spans="7:24" ht="15" customHeight="1">
      <c r="G35586"/>
      <c r="I35586"/>
      <c r="N35586"/>
      <c r="O35586" s="24"/>
      <c r="P35586"/>
      <c r="Q35586" s="24"/>
      <c r="R35586"/>
      <c r="S35586"/>
      <c r="T35586"/>
      <c r="U35586"/>
      <c r="X35586" s="60"/>
    </row>
    <row r="35587" spans="7:24" ht="15" customHeight="1">
      <c r="G35587"/>
      <c r="I35587"/>
      <c r="N35587"/>
      <c r="O35587" s="24"/>
      <c r="P35587"/>
      <c r="Q35587" s="24"/>
      <c r="R35587"/>
      <c r="S35587"/>
      <c r="T35587"/>
      <c r="U35587"/>
      <c r="X35587" s="60"/>
    </row>
    <row r="35588" spans="7:24" ht="15" customHeight="1">
      <c r="G35588"/>
      <c r="I35588"/>
      <c r="N35588"/>
      <c r="O35588" s="24"/>
      <c r="P35588"/>
      <c r="Q35588" s="24"/>
      <c r="R35588"/>
      <c r="S35588"/>
      <c r="T35588"/>
      <c r="U35588"/>
      <c r="X35588" s="60"/>
    </row>
    <row r="35589" spans="7:24" ht="15" customHeight="1">
      <c r="G35589"/>
      <c r="I35589"/>
      <c r="N35589"/>
      <c r="O35589" s="24"/>
      <c r="P35589"/>
      <c r="Q35589" s="24"/>
      <c r="R35589"/>
      <c r="S35589"/>
      <c r="T35589"/>
      <c r="U35589"/>
      <c r="X35589" s="60"/>
    </row>
    <row r="35590" spans="7:24" ht="15" customHeight="1">
      <c r="G35590"/>
      <c r="I35590"/>
      <c r="N35590"/>
      <c r="O35590" s="24"/>
      <c r="P35590"/>
      <c r="Q35590" s="24"/>
      <c r="R35590"/>
      <c r="S35590"/>
      <c r="T35590"/>
      <c r="U35590"/>
      <c r="X35590" s="60"/>
    </row>
    <row r="35591" spans="7:24" ht="15" customHeight="1">
      <c r="G35591"/>
      <c r="I35591"/>
      <c r="N35591"/>
      <c r="O35591" s="24"/>
      <c r="P35591"/>
      <c r="Q35591" s="24"/>
      <c r="R35591"/>
      <c r="S35591"/>
      <c r="T35591"/>
      <c r="U35591"/>
      <c r="X35591" s="60"/>
    </row>
    <row r="35592" spans="7:24" ht="15" customHeight="1">
      <c r="G35592"/>
      <c r="I35592"/>
      <c r="N35592"/>
      <c r="O35592" s="24"/>
      <c r="P35592"/>
      <c r="Q35592" s="24"/>
      <c r="R35592"/>
      <c r="S35592"/>
      <c r="T35592"/>
      <c r="U35592"/>
      <c r="X35592" s="60"/>
    </row>
    <row r="35593" spans="7:24" ht="15" customHeight="1">
      <c r="G35593"/>
      <c r="I35593"/>
      <c r="N35593"/>
      <c r="O35593" s="24"/>
      <c r="P35593"/>
      <c r="Q35593" s="24"/>
      <c r="R35593"/>
      <c r="S35593"/>
      <c r="T35593"/>
      <c r="U35593"/>
      <c r="X35593" s="60"/>
    </row>
    <row r="35594" spans="7:24" ht="15" customHeight="1">
      <c r="G35594"/>
      <c r="I35594"/>
      <c r="N35594"/>
      <c r="O35594" s="24"/>
      <c r="P35594"/>
      <c r="Q35594" s="24"/>
      <c r="R35594"/>
      <c r="S35594"/>
      <c r="T35594"/>
      <c r="U35594"/>
      <c r="X35594" s="60"/>
    </row>
    <row r="35595" spans="7:24" ht="15" customHeight="1">
      <c r="G35595"/>
      <c r="I35595"/>
      <c r="N35595"/>
      <c r="O35595" s="24"/>
      <c r="P35595"/>
      <c r="Q35595" s="24"/>
      <c r="R35595"/>
      <c r="S35595"/>
      <c r="T35595"/>
      <c r="U35595"/>
      <c r="X35595" s="60"/>
    </row>
    <row r="35596" spans="7:24" ht="15" customHeight="1">
      <c r="G35596"/>
      <c r="I35596"/>
      <c r="N35596"/>
      <c r="O35596" s="24"/>
      <c r="P35596"/>
      <c r="Q35596" s="24"/>
      <c r="R35596"/>
      <c r="S35596"/>
      <c r="T35596"/>
      <c r="U35596"/>
      <c r="X35596" s="60"/>
    </row>
    <row r="35597" spans="7:24" ht="15" customHeight="1">
      <c r="G35597"/>
      <c r="I35597"/>
      <c r="N35597"/>
      <c r="O35597" s="24"/>
      <c r="P35597"/>
      <c r="Q35597" s="24"/>
      <c r="R35597"/>
      <c r="S35597"/>
      <c r="T35597"/>
      <c r="U35597"/>
      <c r="X35597" s="60"/>
    </row>
    <row r="35598" spans="7:24" ht="15" customHeight="1">
      <c r="G35598"/>
      <c r="I35598"/>
      <c r="N35598"/>
      <c r="O35598" s="24"/>
      <c r="P35598"/>
      <c r="Q35598" s="24"/>
      <c r="R35598"/>
      <c r="S35598"/>
      <c r="T35598"/>
      <c r="U35598"/>
      <c r="X35598" s="60"/>
    </row>
    <row r="35599" spans="7:24" ht="15" customHeight="1">
      <c r="G35599"/>
      <c r="I35599"/>
      <c r="N35599"/>
      <c r="O35599" s="24"/>
      <c r="P35599"/>
      <c r="Q35599" s="24"/>
      <c r="R35599"/>
      <c r="S35599"/>
      <c r="T35599"/>
      <c r="U35599"/>
      <c r="X35599" s="60"/>
    </row>
    <row r="35600" spans="7:24" ht="15" customHeight="1">
      <c r="G35600"/>
      <c r="I35600"/>
      <c r="N35600"/>
      <c r="O35600" s="24"/>
      <c r="P35600"/>
      <c r="Q35600" s="24"/>
      <c r="R35600"/>
      <c r="S35600"/>
      <c r="T35600"/>
      <c r="U35600"/>
      <c r="X35600" s="60"/>
    </row>
    <row r="35601" spans="7:24" ht="15" customHeight="1">
      <c r="G35601"/>
      <c r="I35601"/>
      <c r="N35601"/>
      <c r="O35601" s="24"/>
      <c r="P35601"/>
      <c r="Q35601" s="24"/>
      <c r="R35601"/>
      <c r="S35601"/>
      <c r="T35601"/>
      <c r="U35601"/>
      <c r="X35601" s="60"/>
    </row>
    <row r="35602" spans="7:24" ht="15" customHeight="1">
      <c r="G35602"/>
      <c r="I35602"/>
      <c r="N35602"/>
      <c r="O35602" s="24"/>
      <c r="P35602"/>
      <c r="Q35602" s="24"/>
      <c r="R35602"/>
      <c r="S35602"/>
      <c r="T35602"/>
      <c r="U35602"/>
      <c r="X35602" s="60"/>
    </row>
    <row r="35603" spans="7:24" ht="15" customHeight="1">
      <c r="G35603"/>
      <c r="I35603"/>
      <c r="N35603"/>
      <c r="O35603" s="24"/>
      <c r="P35603"/>
      <c r="Q35603" s="24"/>
      <c r="R35603"/>
      <c r="S35603"/>
      <c r="T35603"/>
      <c r="U35603"/>
      <c r="X35603" s="60"/>
    </row>
    <row r="35604" spans="7:24" ht="15" customHeight="1">
      <c r="G35604"/>
      <c r="I35604"/>
      <c r="N35604"/>
      <c r="O35604" s="24"/>
      <c r="P35604"/>
      <c r="Q35604" s="24"/>
      <c r="R35604"/>
      <c r="S35604"/>
      <c r="T35604"/>
      <c r="U35604"/>
      <c r="X35604" s="60"/>
    </row>
    <row r="35605" spans="7:24" ht="15" customHeight="1">
      <c r="G35605"/>
      <c r="I35605"/>
      <c r="N35605"/>
      <c r="O35605" s="24"/>
      <c r="P35605"/>
      <c r="Q35605" s="24"/>
      <c r="R35605"/>
      <c r="S35605"/>
      <c r="T35605"/>
      <c r="U35605"/>
      <c r="X35605" s="60"/>
    </row>
    <row r="35606" spans="7:24" ht="15" customHeight="1">
      <c r="G35606"/>
      <c r="I35606"/>
      <c r="N35606"/>
      <c r="O35606" s="24"/>
      <c r="P35606"/>
      <c r="Q35606" s="24"/>
      <c r="R35606"/>
      <c r="S35606"/>
      <c r="T35606"/>
      <c r="U35606"/>
      <c r="X35606" s="60"/>
    </row>
    <row r="35607" spans="7:24" ht="15" customHeight="1">
      <c r="G35607"/>
      <c r="I35607"/>
      <c r="N35607"/>
      <c r="O35607" s="24"/>
      <c r="P35607"/>
      <c r="Q35607" s="24"/>
      <c r="R35607"/>
      <c r="S35607"/>
      <c r="T35607"/>
      <c r="U35607"/>
      <c r="X35607" s="60"/>
    </row>
    <row r="35608" spans="7:24" ht="15" customHeight="1">
      <c r="G35608"/>
      <c r="I35608"/>
      <c r="N35608"/>
      <c r="O35608" s="24"/>
      <c r="P35608"/>
      <c r="Q35608" s="24"/>
      <c r="R35608"/>
      <c r="S35608"/>
      <c r="T35608"/>
      <c r="U35608"/>
      <c r="X35608" s="60"/>
    </row>
    <row r="35609" spans="7:24" ht="15" customHeight="1">
      <c r="G35609"/>
      <c r="I35609"/>
      <c r="N35609"/>
      <c r="O35609" s="24"/>
      <c r="P35609"/>
      <c r="Q35609" s="24"/>
      <c r="R35609"/>
      <c r="S35609"/>
      <c r="T35609"/>
      <c r="U35609"/>
      <c r="X35609" s="60"/>
    </row>
    <row r="35610" spans="7:24" ht="15" customHeight="1">
      <c r="G35610"/>
      <c r="I35610"/>
      <c r="N35610"/>
      <c r="O35610" s="24"/>
      <c r="P35610"/>
      <c r="Q35610" s="24"/>
      <c r="R35610"/>
      <c r="S35610"/>
      <c r="T35610"/>
      <c r="U35610"/>
      <c r="X35610" s="60"/>
    </row>
    <row r="35611" spans="7:24" ht="15" customHeight="1">
      <c r="G35611"/>
      <c r="I35611"/>
      <c r="N35611"/>
      <c r="O35611" s="24"/>
      <c r="P35611"/>
      <c r="Q35611" s="24"/>
      <c r="R35611"/>
      <c r="S35611"/>
      <c r="T35611"/>
      <c r="U35611"/>
      <c r="X35611" s="60"/>
    </row>
    <row r="35612" spans="7:24" ht="15" customHeight="1">
      <c r="G35612"/>
      <c r="I35612"/>
      <c r="N35612"/>
      <c r="O35612" s="24"/>
      <c r="P35612"/>
      <c r="Q35612" s="24"/>
      <c r="R35612"/>
      <c r="S35612"/>
      <c r="T35612"/>
      <c r="U35612"/>
      <c r="X35612" s="60"/>
    </row>
    <row r="35613" spans="7:24" ht="15" customHeight="1">
      <c r="G35613"/>
      <c r="I35613"/>
      <c r="N35613"/>
      <c r="O35613" s="24"/>
      <c r="P35613"/>
      <c r="Q35613" s="24"/>
      <c r="R35613"/>
      <c r="S35613"/>
      <c r="T35613"/>
      <c r="U35613"/>
      <c r="X35613" s="60"/>
    </row>
    <row r="35614" spans="7:24" ht="15" customHeight="1">
      <c r="G35614"/>
      <c r="I35614"/>
      <c r="N35614"/>
      <c r="O35614" s="24"/>
      <c r="P35614"/>
      <c r="Q35614" s="24"/>
      <c r="R35614"/>
      <c r="S35614"/>
      <c r="T35614"/>
      <c r="U35614"/>
      <c r="X35614" s="60"/>
    </row>
    <row r="35615" spans="7:24" ht="15" customHeight="1">
      <c r="G35615"/>
      <c r="I35615"/>
      <c r="N35615"/>
      <c r="O35615" s="24"/>
      <c r="P35615"/>
      <c r="Q35615" s="24"/>
      <c r="R35615"/>
      <c r="S35615"/>
      <c r="T35615"/>
      <c r="U35615"/>
      <c r="X35615" s="60"/>
    </row>
    <row r="35616" spans="7:24" ht="15" customHeight="1">
      <c r="G35616"/>
      <c r="I35616"/>
      <c r="N35616"/>
      <c r="O35616" s="24"/>
      <c r="P35616"/>
      <c r="Q35616" s="24"/>
      <c r="R35616"/>
      <c r="S35616"/>
      <c r="T35616"/>
      <c r="U35616"/>
      <c r="X35616" s="60"/>
    </row>
    <row r="35617" spans="7:24" ht="15" customHeight="1">
      <c r="G35617"/>
      <c r="I35617"/>
      <c r="N35617"/>
      <c r="O35617" s="24"/>
      <c r="P35617"/>
      <c r="Q35617" s="24"/>
      <c r="R35617"/>
      <c r="S35617"/>
      <c r="T35617"/>
      <c r="U35617"/>
      <c r="X35617" s="60"/>
    </row>
    <row r="35618" spans="7:24" ht="15" customHeight="1">
      <c r="G35618"/>
      <c r="I35618"/>
      <c r="N35618"/>
      <c r="O35618" s="24"/>
      <c r="P35618"/>
      <c r="Q35618" s="24"/>
      <c r="R35618"/>
      <c r="S35618"/>
      <c r="T35618"/>
      <c r="U35618"/>
      <c r="X35618" s="60"/>
    </row>
    <row r="35619" spans="7:24" ht="15" customHeight="1">
      <c r="G35619"/>
      <c r="I35619"/>
      <c r="N35619"/>
      <c r="O35619" s="24"/>
      <c r="P35619"/>
      <c r="Q35619" s="24"/>
      <c r="R35619"/>
      <c r="S35619"/>
      <c r="T35619"/>
      <c r="U35619"/>
      <c r="X35619" s="60"/>
    </row>
    <row r="35620" spans="7:24" ht="15" customHeight="1">
      <c r="G35620"/>
      <c r="I35620"/>
      <c r="N35620"/>
      <c r="O35620" s="24"/>
      <c r="P35620"/>
      <c r="Q35620" s="24"/>
      <c r="R35620"/>
      <c r="S35620"/>
      <c r="T35620"/>
      <c r="U35620"/>
      <c r="X35620" s="60"/>
    </row>
    <row r="35621" spans="7:24" ht="15" customHeight="1">
      <c r="G35621"/>
      <c r="I35621"/>
      <c r="N35621"/>
      <c r="O35621" s="24"/>
      <c r="P35621"/>
      <c r="Q35621" s="24"/>
      <c r="R35621"/>
      <c r="S35621"/>
      <c r="T35621"/>
      <c r="U35621"/>
      <c r="X35621" s="60"/>
    </row>
    <row r="35622" spans="7:24" ht="15" customHeight="1">
      <c r="G35622"/>
      <c r="I35622"/>
      <c r="N35622"/>
      <c r="O35622" s="24"/>
      <c r="P35622"/>
      <c r="Q35622" s="24"/>
      <c r="R35622"/>
      <c r="S35622"/>
      <c r="T35622"/>
      <c r="U35622"/>
      <c r="X35622" s="60"/>
    </row>
    <row r="35623" spans="7:24" ht="15" customHeight="1">
      <c r="G35623"/>
      <c r="I35623"/>
      <c r="N35623"/>
      <c r="O35623" s="24"/>
      <c r="P35623"/>
      <c r="Q35623" s="24"/>
      <c r="R35623"/>
      <c r="S35623"/>
      <c r="T35623"/>
      <c r="U35623"/>
      <c r="X35623" s="60"/>
    </row>
    <row r="35624" spans="7:24" ht="15" customHeight="1">
      <c r="G35624"/>
      <c r="I35624"/>
      <c r="N35624"/>
      <c r="O35624" s="24"/>
      <c r="P35624"/>
      <c r="Q35624" s="24"/>
      <c r="R35624"/>
      <c r="S35624"/>
      <c r="T35624"/>
      <c r="U35624"/>
      <c r="X35624" s="60"/>
    </row>
    <row r="35625" spans="7:24" ht="15" customHeight="1">
      <c r="G35625"/>
      <c r="I35625"/>
      <c r="N35625"/>
      <c r="O35625" s="24"/>
      <c r="P35625"/>
      <c r="Q35625" s="24"/>
      <c r="R35625"/>
      <c r="S35625"/>
      <c r="T35625"/>
      <c r="U35625"/>
      <c r="X35625" s="60"/>
    </row>
    <row r="35626" spans="7:24" ht="15" customHeight="1">
      <c r="G35626"/>
      <c r="I35626"/>
      <c r="N35626"/>
      <c r="O35626" s="24"/>
      <c r="P35626"/>
      <c r="Q35626" s="24"/>
      <c r="R35626"/>
      <c r="S35626"/>
      <c r="T35626"/>
      <c r="U35626"/>
      <c r="X35626" s="60"/>
    </row>
    <row r="35627" spans="7:24" ht="15" customHeight="1">
      <c r="G35627"/>
      <c r="I35627"/>
      <c r="N35627"/>
      <c r="O35627" s="24"/>
      <c r="P35627"/>
      <c r="Q35627" s="24"/>
      <c r="R35627"/>
      <c r="S35627"/>
      <c r="T35627"/>
      <c r="U35627"/>
      <c r="X35627" s="60"/>
    </row>
    <row r="35628" spans="7:24" ht="15" customHeight="1">
      <c r="G35628"/>
      <c r="I35628"/>
      <c r="N35628"/>
      <c r="O35628" s="24"/>
      <c r="P35628"/>
      <c r="Q35628" s="24"/>
      <c r="R35628"/>
      <c r="S35628"/>
      <c r="T35628"/>
      <c r="U35628"/>
      <c r="X35628" s="60"/>
    </row>
    <row r="35629" spans="7:24" ht="15" customHeight="1">
      <c r="G35629"/>
      <c r="I35629"/>
      <c r="N35629"/>
      <c r="O35629" s="24"/>
      <c r="P35629"/>
      <c r="Q35629" s="24"/>
      <c r="R35629"/>
      <c r="S35629"/>
      <c r="T35629"/>
      <c r="U35629"/>
      <c r="X35629" s="60"/>
    </row>
    <row r="35630" spans="7:24" ht="15" customHeight="1">
      <c r="G35630"/>
      <c r="I35630"/>
      <c r="N35630"/>
      <c r="O35630" s="24"/>
      <c r="P35630"/>
      <c r="Q35630" s="24"/>
      <c r="R35630"/>
      <c r="S35630"/>
      <c r="T35630"/>
      <c r="U35630"/>
      <c r="X35630" s="60"/>
    </row>
    <row r="35631" spans="7:24" ht="15" customHeight="1">
      <c r="G35631"/>
      <c r="I35631"/>
      <c r="N35631"/>
      <c r="O35631" s="24"/>
      <c r="P35631"/>
      <c r="Q35631" s="24"/>
      <c r="R35631"/>
      <c r="S35631"/>
      <c r="T35631"/>
      <c r="U35631"/>
      <c r="X35631" s="60"/>
    </row>
    <row r="35632" spans="7:24" ht="15" customHeight="1">
      <c r="G35632"/>
      <c r="I35632"/>
      <c r="N35632"/>
      <c r="O35632" s="24"/>
      <c r="P35632"/>
      <c r="Q35632" s="24"/>
      <c r="R35632"/>
      <c r="S35632"/>
      <c r="T35632"/>
      <c r="U35632"/>
      <c r="X35632" s="60"/>
    </row>
    <row r="35633" spans="7:24" ht="15" customHeight="1">
      <c r="G35633"/>
      <c r="I35633"/>
      <c r="N35633"/>
      <c r="O35633" s="24"/>
      <c r="P35633"/>
      <c r="Q35633" s="24"/>
      <c r="R35633"/>
      <c r="S35633"/>
      <c r="T35633"/>
      <c r="U35633"/>
      <c r="X35633" s="60"/>
    </row>
    <row r="35634" spans="7:24" ht="15" customHeight="1">
      <c r="G35634"/>
      <c r="I35634"/>
      <c r="N35634"/>
      <c r="O35634" s="24"/>
      <c r="P35634"/>
      <c r="Q35634" s="24"/>
      <c r="R35634"/>
      <c r="S35634"/>
      <c r="T35634"/>
      <c r="U35634"/>
      <c r="X35634" s="60"/>
    </row>
    <row r="35635" spans="7:24" ht="15" customHeight="1">
      <c r="G35635"/>
      <c r="I35635"/>
      <c r="N35635"/>
      <c r="O35635" s="24"/>
      <c r="P35635"/>
      <c r="Q35635" s="24"/>
      <c r="R35635"/>
      <c r="S35635"/>
      <c r="T35635"/>
      <c r="U35635"/>
      <c r="X35635" s="60"/>
    </row>
    <row r="35636" spans="7:24" ht="15" customHeight="1">
      <c r="G35636"/>
      <c r="I35636"/>
      <c r="N35636"/>
      <c r="O35636" s="24"/>
      <c r="P35636"/>
      <c r="Q35636" s="24"/>
      <c r="R35636"/>
      <c r="S35636"/>
      <c r="T35636"/>
      <c r="U35636"/>
      <c r="X35636" s="60"/>
    </row>
    <row r="35637" spans="7:24" ht="15" customHeight="1">
      <c r="G35637"/>
      <c r="I35637"/>
      <c r="N35637"/>
      <c r="O35637" s="24"/>
      <c r="P35637"/>
      <c r="Q35637" s="24"/>
      <c r="R35637"/>
      <c r="S35637"/>
      <c r="T35637"/>
      <c r="U35637"/>
      <c r="X35637" s="60"/>
    </row>
    <row r="35638" spans="7:24" ht="15" customHeight="1">
      <c r="G35638"/>
      <c r="I35638"/>
      <c r="N35638"/>
      <c r="O35638" s="24"/>
      <c r="P35638"/>
      <c r="Q35638" s="24"/>
      <c r="R35638"/>
      <c r="S35638"/>
      <c r="T35638"/>
      <c r="U35638"/>
      <c r="X35638" s="60"/>
    </row>
    <row r="35639" spans="7:24" ht="15" customHeight="1">
      <c r="G35639"/>
      <c r="I35639"/>
      <c r="N35639"/>
      <c r="O35639" s="24"/>
      <c r="P35639"/>
      <c r="Q35639" s="24"/>
      <c r="R35639"/>
      <c r="S35639"/>
      <c r="T35639"/>
      <c r="U35639"/>
      <c r="X35639" s="60"/>
    </row>
    <row r="35640" spans="7:24" ht="15" customHeight="1">
      <c r="G35640"/>
      <c r="I35640"/>
      <c r="N35640"/>
      <c r="O35640" s="24"/>
      <c r="P35640"/>
      <c r="Q35640" s="24"/>
      <c r="R35640"/>
      <c r="S35640"/>
      <c r="T35640"/>
      <c r="U35640"/>
      <c r="X35640" s="60"/>
    </row>
    <row r="35641" spans="7:24" ht="15" customHeight="1">
      <c r="G35641"/>
      <c r="I35641"/>
      <c r="N35641"/>
      <c r="O35641" s="24"/>
      <c r="P35641"/>
      <c r="Q35641" s="24"/>
      <c r="R35641"/>
      <c r="S35641"/>
      <c r="T35641"/>
      <c r="U35641"/>
      <c r="X35641" s="60"/>
    </row>
    <row r="35642" spans="7:24" ht="15" customHeight="1">
      <c r="G35642"/>
      <c r="I35642"/>
      <c r="N35642"/>
      <c r="O35642" s="24"/>
      <c r="P35642"/>
      <c r="Q35642" s="24"/>
      <c r="R35642"/>
      <c r="S35642"/>
      <c r="T35642"/>
      <c r="U35642"/>
      <c r="X35642" s="60"/>
    </row>
    <row r="35643" spans="7:24" ht="15" customHeight="1">
      <c r="G35643"/>
      <c r="I35643"/>
      <c r="N35643"/>
      <c r="O35643" s="24"/>
      <c r="P35643"/>
      <c r="Q35643" s="24"/>
      <c r="R35643"/>
      <c r="S35643"/>
      <c r="T35643"/>
      <c r="U35643"/>
      <c r="X35643" s="60"/>
    </row>
    <row r="35644" spans="7:24" ht="15" customHeight="1">
      <c r="G35644"/>
      <c r="I35644"/>
      <c r="N35644"/>
      <c r="O35644" s="24"/>
      <c r="P35644"/>
      <c r="Q35644" s="24"/>
      <c r="R35644"/>
      <c r="S35644"/>
      <c r="T35644"/>
      <c r="U35644"/>
      <c r="X35644" s="60"/>
    </row>
    <row r="35645" spans="7:24" ht="15" customHeight="1">
      <c r="G35645"/>
      <c r="I35645"/>
      <c r="N35645"/>
      <c r="O35645" s="24"/>
      <c r="P35645"/>
      <c r="Q35645" s="24"/>
      <c r="R35645"/>
      <c r="S35645"/>
      <c r="T35645"/>
      <c r="U35645"/>
      <c r="X35645" s="60"/>
    </row>
    <row r="35646" spans="7:24" ht="15" customHeight="1">
      <c r="G35646"/>
      <c r="I35646"/>
      <c r="N35646"/>
      <c r="O35646" s="24"/>
      <c r="P35646"/>
      <c r="Q35646" s="24"/>
      <c r="R35646"/>
      <c r="S35646"/>
      <c r="T35646"/>
      <c r="U35646"/>
      <c r="X35646" s="60"/>
    </row>
    <row r="35647" spans="7:24" ht="15" customHeight="1">
      <c r="G35647"/>
      <c r="I35647"/>
      <c r="N35647"/>
      <c r="O35647" s="24"/>
      <c r="P35647"/>
      <c r="Q35647" s="24"/>
      <c r="R35647"/>
      <c r="S35647"/>
      <c r="T35647"/>
      <c r="U35647"/>
      <c r="X35647" s="60"/>
    </row>
    <row r="35648" spans="7:24" ht="15" customHeight="1">
      <c r="G35648"/>
      <c r="I35648"/>
      <c r="N35648"/>
      <c r="O35648" s="24"/>
      <c r="P35648"/>
      <c r="Q35648" s="24"/>
      <c r="R35648"/>
      <c r="S35648"/>
      <c r="T35648"/>
      <c r="U35648"/>
      <c r="X35648" s="60"/>
    </row>
    <row r="35649" spans="7:24" ht="15" customHeight="1">
      <c r="G35649"/>
      <c r="I35649"/>
      <c r="N35649"/>
      <c r="O35649" s="24"/>
      <c r="P35649"/>
      <c r="Q35649" s="24"/>
      <c r="R35649"/>
      <c r="S35649"/>
      <c r="T35649"/>
      <c r="U35649"/>
      <c r="X35649" s="60"/>
    </row>
    <row r="35650" spans="7:24" ht="15" customHeight="1">
      <c r="G35650"/>
      <c r="I35650"/>
      <c r="N35650"/>
      <c r="O35650" s="24"/>
      <c r="P35650"/>
      <c r="Q35650" s="24"/>
      <c r="R35650"/>
      <c r="S35650"/>
      <c r="T35650"/>
      <c r="U35650"/>
      <c r="X35650" s="60"/>
    </row>
    <row r="35651" spans="7:24" ht="15" customHeight="1">
      <c r="G35651"/>
      <c r="I35651"/>
      <c r="N35651"/>
      <c r="O35651" s="24"/>
      <c r="P35651"/>
      <c r="Q35651" s="24"/>
      <c r="R35651"/>
      <c r="S35651"/>
      <c r="T35651"/>
      <c r="U35651"/>
      <c r="X35651" s="60"/>
    </row>
    <row r="35652" spans="7:24" ht="15" customHeight="1">
      <c r="G35652"/>
      <c r="I35652"/>
      <c r="N35652"/>
      <c r="O35652" s="24"/>
      <c r="P35652"/>
      <c r="Q35652" s="24"/>
      <c r="R35652"/>
      <c r="S35652"/>
      <c r="T35652"/>
      <c r="U35652"/>
      <c r="X35652" s="60"/>
    </row>
    <row r="35653" spans="7:24" ht="15" customHeight="1">
      <c r="G35653"/>
      <c r="I35653"/>
      <c r="N35653"/>
      <c r="O35653" s="24"/>
      <c r="P35653"/>
      <c r="Q35653" s="24"/>
      <c r="R35653"/>
      <c r="S35653"/>
      <c r="T35653"/>
      <c r="U35653"/>
      <c r="X35653" s="60"/>
    </row>
    <row r="35654" spans="7:24" ht="15" customHeight="1">
      <c r="G35654"/>
      <c r="I35654"/>
      <c r="N35654"/>
      <c r="O35654" s="24"/>
      <c r="P35654"/>
      <c r="Q35654" s="24"/>
      <c r="R35654"/>
      <c r="S35654"/>
      <c r="T35654"/>
      <c r="U35654"/>
      <c r="X35654" s="60"/>
    </row>
    <row r="35655" spans="7:24" ht="15" customHeight="1">
      <c r="G35655"/>
      <c r="I35655"/>
      <c r="N35655"/>
      <c r="O35655" s="24"/>
      <c r="P35655"/>
      <c r="Q35655" s="24"/>
      <c r="R35655"/>
      <c r="S35655"/>
      <c r="T35655"/>
      <c r="U35655"/>
      <c r="X35655" s="60"/>
    </row>
    <row r="35656" spans="7:24" ht="15" customHeight="1">
      <c r="G35656"/>
      <c r="I35656"/>
      <c r="N35656"/>
      <c r="O35656" s="24"/>
      <c r="P35656"/>
      <c r="Q35656" s="24"/>
      <c r="R35656"/>
      <c r="S35656"/>
      <c r="T35656"/>
      <c r="U35656"/>
      <c r="X35656" s="60"/>
    </row>
    <row r="35657" spans="7:24" ht="15" customHeight="1">
      <c r="G35657"/>
      <c r="I35657"/>
      <c r="N35657"/>
      <c r="O35657" s="24"/>
      <c r="P35657"/>
      <c r="Q35657" s="24"/>
      <c r="R35657"/>
      <c r="S35657"/>
      <c r="T35657"/>
      <c r="U35657"/>
      <c r="X35657" s="60"/>
    </row>
    <row r="35658" spans="7:24" ht="15" customHeight="1">
      <c r="G35658"/>
      <c r="I35658"/>
      <c r="N35658"/>
      <c r="O35658" s="24"/>
      <c r="P35658"/>
      <c r="Q35658" s="24"/>
      <c r="R35658"/>
      <c r="S35658"/>
      <c r="T35658"/>
      <c r="U35658"/>
      <c r="X35658" s="60"/>
    </row>
    <row r="35659" spans="7:24" ht="15" customHeight="1">
      <c r="G35659"/>
      <c r="I35659"/>
      <c r="N35659"/>
      <c r="O35659" s="24"/>
      <c r="P35659"/>
      <c r="Q35659" s="24"/>
      <c r="R35659"/>
      <c r="S35659"/>
      <c r="T35659"/>
      <c r="U35659"/>
      <c r="X35659" s="60"/>
    </row>
    <row r="35660" spans="7:24" ht="15" customHeight="1">
      <c r="G35660"/>
      <c r="I35660"/>
      <c r="N35660"/>
      <c r="O35660" s="24"/>
      <c r="P35660"/>
      <c r="Q35660" s="24"/>
      <c r="R35660"/>
      <c r="S35660"/>
      <c r="T35660"/>
      <c r="U35660"/>
      <c r="X35660" s="60"/>
    </row>
    <row r="35661" spans="7:24" ht="15" customHeight="1">
      <c r="G35661"/>
      <c r="I35661"/>
      <c r="N35661"/>
      <c r="O35661" s="24"/>
      <c r="P35661"/>
      <c r="Q35661" s="24"/>
      <c r="R35661"/>
      <c r="S35661"/>
      <c r="T35661"/>
      <c r="U35661"/>
      <c r="X35661" s="60"/>
    </row>
    <row r="35662" spans="7:24" ht="15" customHeight="1">
      <c r="G35662"/>
      <c r="I35662"/>
      <c r="N35662"/>
      <c r="O35662" s="24"/>
      <c r="P35662"/>
      <c r="Q35662" s="24"/>
      <c r="R35662"/>
      <c r="S35662"/>
      <c r="T35662"/>
      <c r="U35662"/>
      <c r="X35662" s="60"/>
    </row>
    <row r="35663" spans="7:24" ht="15" customHeight="1">
      <c r="G35663"/>
      <c r="I35663"/>
      <c r="N35663"/>
      <c r="O35663" s="24"/>
      <c r="P35663"/>
      <c r="Q35663" s="24"/>
      <c r="R35663"/>
      <c r="S35663"/>
      <c r="T35663"/>
      <c r="U35663"/>
      <c r="X35663" s="60"/>
    </row>
    <row r="35664" spans="7:24" ht="15" customHeight="1">
      <c r="G35664"/>
      <c r="I35664"/>
      <c r="N35664"/>
      <c r="O35664" s="24"/>
      <c r="P35664"/>
      <c r="Q35664" s="24"/>
      <c r="R35664"/>
      <c r="S35664"/>
      <c r="T35664"/>
      <c r="U35664"/>
      <c r="X35664" s="60"/>
    </row>
    <row r="35665" spans="7:24" ht="15" customHeight="1">
      <c r="G35665"/>
      <c r="I35665"/>
      <c r="N35665"/>
      <c r="O35665" s="24"/>
      <c r="P35665"/>
      <c r="Q35665" s="24"/>
      <c r="R35665"/>
      <c r="S35665"/>
      <c r="T35665"/>
      <c r="U35665"/>
      <c r="X35665" s="60"/>
    </row>
    <row r="35666" spans="7:24" ht="15" customHeight="1">
      <c r="G35666"/>
      <c r="I35666"/>
      <c r="N35666"/>
      <c r="O35666" s="24"/>
      <c r="P35666"/>
      <c r="Q35666" s="24"/>
      <c r="R35666"/>
      <c r="S35666"/>
      <c r="T35666"/>
      <c r="U35666"/>
      <c r="X35666" s="60"/>
    </row>
    <row r="35667" spans="7:24" ht="15" customHeight="1">
      <c r="G35667"/>
      <c r="I35667"/>
      <c r="N35667"/>
      <c r="O35667" s="24"/>
      <c r="P35667"/>
      <c r="Q35667" s="24"/>
      <c r="R35667"/>
      <c r="S35667"/>
      <c r="T35667"/>
      <c r="U35667"/>
      <c r="X35667" s="60"/>
    </row>
    <row r="35668" spans="7:24" ht="15" customHeight="1">
      <c r="G35668"/>
      <c r="I35668"/>
      <c r="N35668"/>
      <c r="O35668" s="24"/>
      <c r="P35668"/>
      <c r="Q35668" s="24"/>
      <c r="R35668"/>
      <c r="S35668"/>
      <c r="T35668"/>
      <c r="U35668"/>
      <c r="X35668" s="60"/>
    </row>
    <row r="35669" spans="7:24" ht="15" customHeight="1">
      <c r="G35669"/>
      <c r="I35669"/>
      <c r="N35669"/>
      <c r="O35669" s="24"/>
      <c r="P35669"/>
      <c r="Q35669" s="24"/>
      <c r="R35669"/>
      <c r="S35669"/>
      <c r="T35669"/>
      <c r="U35669"/>
      <c r="X35669" s="60"/>
    </row>
    <row r="35670" spans="7:24" ht="15" customHeight="1">
      <c r="G35670"/>
      <c r="I35670"/>
      <c r="N35670"/>
      <c r="O35670" s="24"/>
      <c r="P35670"/>
      <c r="Q35670" s="24"/>
      <c r="R35670"/>
      <c r="S35670"/>
      <c r="T35670"/>
      <c r="U35670"/>
      <c r="X35670" s="60"/>
    </row>
    <row r="35671" spans="7:24" ht="15" customHeight="1">
      <c r="G35671"/>
      <c r="I35671"/>
      <c r="N35671"/>
      <c r="O35671" s="24"/>
      <c r="P35671"/>
      <c r="Q35671" s="24"/>
      <c r="R35671"/>
      <c r="S35671"/>
      <c r="T35671"/>
      <c r="U35671"/>
      <c r="X35671" s="60"/>
    </row>
    <row r="35672" spans="7:24" ht="15" customHeight="1">
      <c r="G35672"/>
      <c r="I35672"/>
      <c r="N35672"/>
      <c r="O35672" s="24"/>
      <c r="P35672"/>
      <c r="Q35672" s="24"/>
      <c r="R35672"/>
      <c r="S35672"/>
      <c r="T35672"/>
      <c r="U35672"/>
      <c r="X35672" s="60"/>
    </row>
    <row r="35673" spans="7:24" ht="15" customHeight="1">
      <c r="G35673"/>
      <c r="I35673"/>
      <c r="N35673"/>
      <c r="O35673" s="24"/>
      <c r="P35673"/>
      <c r="Q35673" s="24"/>
      <c r="R35673"/>
      <c r="S35673"/>
      <c r="T35673"/>
      <c r="U35673"/>
      <c r="X35673" s="60"/>
    </row>
    <row r="35674" spans="7:24" ht="15" customHeight="1">
      <c r="G35674"/>
      <c r="I35674"/>
      <c r="N35674"/>
      <c r="O35674" s="24"/>
      <c r="P35674"/>
      <c r="Q35674" s="24"/>
      <c r="R35674"/>
      <c r="S35674"/>
      <c r="T35674"/>
      <c r="U35674"/>
      <c r="X35674" s="60"/>
    </row>
    <row r="35675" spans="7:24" ht="15" customHeight="1">
      <c r="G35675"/>
      <c r="I35675"/>
      <c r="N35675"/>
      <c r="O35675" s="24"/>
      <c r="P35675"/>
      <c r="Q35675" s="24"/>
      <c r="R35675"/>
      <c r="S35675"/>
      <c r="T35675"/>
      <c r="U35675"/>
      <c r="X35675" s="60"/>
    </row>
    <row r="35676" spans="7:24" ht="15" customHeight="1">
      <c r="G35676"/>
      <c r="I35676"/>
      <c r="N35676"/>
      <c r="O35676" s="24"/>
      <c r="P35676"/>
      <c r="Q35676" s="24"/>
      <c r="R35676"/>
      <c r="S35676"/>
      <c r="T35676"/>
      <c r="U35676"/>
      <c r="X35676" s="60"/>
    </row>
    <row r="35677" spans="7:24" ht="15" customHeight="1">
      <c r="G35677"/>
      <c r="I35677"/>
      <c r="N35677"/>
      <c r="O35677" s="24"/>
      <c r="P35677"/>
      <c r="Q35677" s="24"/>
      <c r="R35677"/>
      <c r="S35677"/>
      <c r="T35677"/>
      <c r="U35677"/>
      <c r="X35677" s="60"/>
    </row>
    <row r="35678" spans="7:24" ht="15" customHeight="1">
      <c r="G35678"/>
      <c r="I35678"/>
      <c r="N35678"/>
      <c r="O35678" s="24"/>
      <c r="P35678"/>
      <c r="Q35678" s="24"/>
      <c r="R35678"/>
      <c r="S35678"/>
      <c r="T35678"/>
      <c r="U35678"/>
      <c r="X35678" s="60"/>
    </row>
    <row r="35679" spans="7:24" ht="15" customHeight="1">
      <c r="G35679"/>
      <c r="I35679"/>
      <c r="N35679"/>
      <c r="O35679" s="24"/>
      <c r="P35679"/>
      <c r="Q35679" s="24"/>
      <c r="R35679"/>
      <c r="S35679"/>
      <c r="T35679"/>
      <c r="U35679"/>
      <c r="X35679" s="60"/>
    </row>
    <row r="35680" spans="7:24" ht="15" customHeight="1">
      <c r="G35680"/>
      <c r="I35680"/>
      <c r="N35680"/>
      <c r="O35680" s="24"/>
      <c r="P35680"/>
      <c r="Q35680" s="24"/>
      <c r="R35680"/>
      <c r="S35680"/>
      <c r="T35680"/>
      <c r="U35680"/>
      <c r="X35680" s="60"/>
    </row>
    <row r="35681" spans="7:24" ht="15" customHeight="1">
      <c r="G35681"/>
      <c r="I35681"/>
      <c r="N35681"/>
      <c r="O35681" s="24"/>
      <c r="P35681"/>
      <c r="Q35681" s="24"/>
      <c r="R35681"/>
      <c r="S35681"/>
      <c r="T35681"/>
      <c r="U35681"/>
      <c r="X35681" s="60"/>
    </row>
    <row r="35682" spans="7:24" ht="15" customHeight="1">
      <c r="G35682"/>
      <c r="I35682"/>
      <c r="N35682"/>
      <c r="O35682" s="24"/>
      <c r="P35682"/>
      <c r="Q35682" s="24"/>
      <c r="R35682"/>
      <c r="S35682"/>
      <c r="T35682"/>
      <c r="U35682"/>
      <c r="X35682" s="60"/>
    </row>
    <row r="35683" spans="7:24" ht="15" customHeight="1">
      <c r="G35683"/>
      <c r="I35683"/>
      <c r="N35683"/>
      <c r="O35683" s="24"/>
      <c r="P35683"/>
      <c r="Q35683" s="24"/>
      <c r="R35683"/>
      <c r="S35683"/>
      <c r="T35683"/>
      <c r="U35683"/>
      <c r="X35683" s="60"/>
    </row>
    <row r="35684" spans="7:24" ht="15" customHeight="1">
      <c r="G35684"/>
      <c r="I35684"/>
      <c r="N35684"/>
      <c r="O35684" s="24"/>
      <c r="P35684"/>
      <c r="Q35684" s="24"/>
      <c r="R35684"/>
      <c r="S35684"/>
      <c r="T35684"/>
      <c r="U35684"/>
      <c r="X35684" s="60"/>
    </row>
    <row r="35685" spans="7:24" ht="15" customHeight="1">
      <c r="G35685"/>
      <c r="I35685"/>
      <c r="N35685"/>
      <c r="O35685" s="24"/>
      <c r="P35685"/>
      <c r="Q35685" s="24"/>
      <c r="R35685"/>
      <c r="S35685"/>
      <c r="T35685"/>
      <c r="U35685"/>
      <c r="X35685" s="60"/>
    </row>
    <row r="35686" spans="7:24" ht="15" customHeight="1">
      <c r="G35686"/>
      <c r="I35686"/>
      <c r="N35686"/>
      <c r="O35686" s="24"/>
      <c r="P35686"/>
      <c r="Q35686" s="24"/>
      <c r="R35686"/>
      <c r="S35686"/>
      <c r="T35686"/>
      <c r="U35686"/>
      <c r="X35686" s="60"/>
    </row>
    <row r="35687" spans="7:24" ht="15" customHeight="1">
      <c r="G35687"/>
      <c r="I35687"/>
      <c r="N35687"/>
      <c r="O35687" s="24"/>
      <c r="P35687"/>
      <c r="Q35687" s="24"/>
      <c r="R35687"/>
      <c r="S35687"/>
      <c r="T35687"/>
      <c r="U35687"/>
      <c r="X35687" s="60"/>
    </row>
    <row r="35688" spans="7:24" ht="15" customHeight="1">
      <c r="G35688"/>
      <c r="I35688"/>
      <c r="N35688"/>
      <c r="O35688" s="24"/>
      <c r="P35688"/>
      <c r="Q35688" s="24"/>
      <c r="R35688"/>
      <c r="S35688"/>
      <c r="T35688"/>
      <c r="U35688"/>
      <c r="X35688" s="60"/>
    </row>
    <row r="35689" spans="7:24" ht="15" customHeight="1">
      <c r="G35689"/>
      <c r="I35689"/>
      <c r="N35689"/>
      <c r="O35689" s="24"/>
      <c r="P35689"/>
      <c r="Q35689" s="24"/>
      <c r="R35689"/>
      <c r="S35689"/>
      <c r="T35689"/>
      <c r="U35689"/>
      <c r="X35689" s="60"/>
    </row>
    <row r="35690" spans="7:24" ht="15" customHeight="1">
      <c r="G35690"/>
      <c r="I35690"/>
      <c r="N35690"/>
      <c r="O35690" s="24"/>
      <c r="P35690"/>
      <c r="Q35690" s="24"/>
      <c r="R35690"/>
      <c r="S35690"/>
      <c r="T35690"/>
      <c r="U35690"/>
      <c r="X35690" s="60"/>
    </row>
    <row r="35691" spans="7:24" ht="15" customHeight="1">
      <c r="G35691"/>
      <c r="I35691"/>
      <c r="N35691"/>
      <c r="O35691" s="24"/>
      <c r="P35691"/>
      <c r="Q35691" s="24"/>
      <c r="R35691"/>
      <c r="S35691"/>
      <c r="T35691"/>
      <c r="U35691"/>
      <c r="X35691" s="60"/>
    </row>
    <row r="35692" spans="7:24" ht="15" customHeight="1">
      <c r="G35692"/>
      <c r="I35692"/>
      <c r="N35692"/>
      <c r="O35692" s="24"/>
      <c r="P35692"/>
      <c r="Q35692" s="24"/>
      <c r="R35692"/>
      <c r="S35692"/>
      <c r="T35692"/>
      <c r="U35692"/>
      <c r="X35692" s="60"/>
    </row>
    <row r="35693" spans="7:24" ht="15" customHeight="1">
      <c r="G35693"/>
      <c r="I35693"/>
      <c r="N35693"/>
      <c r="O35693" s="24"/>
      <c r="P35693"/>
      <c r="Q35693" s="24"/>
      <c r="R35693"/>
      <c r="S35693"/>
      <c r="T35693"/>
      <c r="U35693"/>
      <c r="X35693" s="60"/>
    </row>
    <row r="35694" spans="7:24" ht="15" customHeight="1">
      <c r="G35694"/>
      <c r="I35694"/>
      <c r="N35694"/>
      <c r="O35694" s="24"/>
      <c r="P35694"/>
      <c r="Q35694" s="24"/>
      <c r="R35694"/>
      <c r="S35694"/>
      <c r="T35694"/>
      <c r="U35694"/>
      <c r="X35694" s="60"/>
    </row>
    <row r="35695" spans="7:24" ht="15" customHeight="1">
      <c r="G35695"/>
      <c r="I35695"/>
      <c r="N35695"/>
      <c r="O35695" s="24"/>
      <c r="P35695"/>
      <c r="Q35695" s="24"/>
      <c r="R35695"/>
      <c r="S35695"/>
      <c r="T35695"/>
      <c r="U35695"/>
      <c r="X35695" s="60"/>
    </row>
    <row r="35696" spans="7:24" ht="15" customHeight="1">
      <c r="G35696"/>
      <c r="I35696"/>
      <c r="N35696"/>
      <c r="O35696" s="24"/>
      <c r="P35696"/>
      <c r="Q35696" s="24"/>
      <c r="R35696"/>
      <c r="S35696"/>
      <c r="T35696"/>
      <c r="U35696"/>
      <c r="X35696" s="60"/>
    </row>
    <row r="35697" spans="7:24" ht="15" customHeight="1">
      <c r="G35697"/>
      <c r="I35697"/>
      <c r="N35697"/>
      <c r="O35697" s="24"/>
      <c r="P35697"/>
      <c r="Q35697" s="24"/>
      <c r="R35697"/>
      <c r="S35697"/>
      <c r="T35697"/>
      <c r="U35697"/>
      <c r="X35697" s="60"/>
    </row>
    <row r="35698" spans="7:24" ht="15" customHeight="1">
      <c r="G35698"/>
      <c r="I35698"/>
      <c r="N35698"/>
      <c r="O35698" s="24"/>
      <c r="P35698"/>
      <c r="Q35698" s="24"/>
      <c r="R35698"/>
      <c r="S35698"/>
      <c r="T35698"/>
      <c r="U35698"/>
      <c r="X35698" s="60"/>
    </row>
    <row r="35699" spans="7:24" ht="15" customHeight="1">
      <c r="G35699"/>
      <c r="I35699"/>
      <c r="N35699"/>
      <c r="O35699" s="24"/>
      <c r="P35699"/>
      <c r="Q35699" s="24"/>
      <c r="R35699"/>
      <c r="S35699"/>
      <c r="T35699"/>
      <c r="U35699"/>
      <c r="X35699" s="60"/>
    </row>
    <row r="35700" spans="7:24" ht="15" customHeight="1">
      <c r="G35700"/>
      <c r="I35700"/>
      <c r="N35700"/>
      <c r="O35700" s="24"/>
      <c r="P35700"/>
      <c r="Q35700" s="24"/>
      <c r="R35700"/>
      <c r="S35700"/>
      <c r="T35700"/>
      <c r="U35700"/>
      <c r="X35700" s="60"/>
    </row>
    <row r="35701" spans="7:24" ht="15" customHeight="1">
      <c r="G35701"/>
      <c r="I35701"/>
      <c r="N35701"/>
      <c r="O35701" s="24"/>
      <c r="P35701"/>
      <c r="Q35701" s="24"/>
      <c r="R35701"/>
      <c r="S35701"/>
      <c r="T35701"/>
      <c r="U35701"/>
      <c r="X35701" s="60"/>
    </row>
    <row r="35702" spans="7:24" ht="15" customHeight="1">
      <c r="G35702"/>
      <c r="I35702"/>
      <c r="N35702"/>
      <c r="O35702" s="24"/>
      <c r="P35702"/>
      <c r="Q35702" s="24"/>
      <c r="R35702"/>
      <c r="S35702"/>
      <c r="T35702"/>
      <c r="U35702"/>
      <c r="X35702" s="60"/>
    </row>
    <row r="35703" spans="7:24" ht="15" customHeight="1">
      <c r="G35703"/>
      <c r="I35703"/>
      <c r="N35703"/>
      <c r="O35703" s="24"/>
      <c r="P35703"/>
      <c r="Q35703" s="24"/>
      <c r="R35703"/>
      <c r="S35703"/>
      <c r="T35703"/>
      <c r="U35703"/>
      <c r="X35703" s="60"/>
    </row>
    <row r="35704" spans="7:24" ht="15" customHeight="1">
      <c r="G35704"/>
      <c r="I35704"/>
      <c r="N35704"/>
      <c r="O35704" s="24"/>
      <c r="P35704"/>
      <c r="Q35704" s="24"/>
      <c r="R35704"/>
      <c r="S35704"/>
      <c r="T35704"/>
      <c r="U35704"/>
      <c r="X35704" s="60"/>
    </row>
    <row r="35705" spans="7:24" ht="15" customHeight="1">
      <c r="G35705"/>
      <c r="I35705"/>
      <c r="N35705"/>
      <c r="O35705" s="24"/>
      <c r="P35705"/>
      <c r="Q35705" s="24"/>
      <c r="R35705"/>
      <c r="S35705"/>
      <c r="T35705"/>
      <c r="U35705"/>
      <c r="X35705" s="60"/>
    </row>
    <row r="35706" spans="7:24" ht="15" customHeight="1">
      <c r="G35706"/>
      <c r="I35706"/>
      <c r="N35706"/>
      <c r="O35706" s="24"/>
      <c r="P35706"/>
      <c r="Q35706" s="24"/>
      <c r="R35706"/>
      <c r="S35706"/>
      <c r="T35706"/>
      <c r="U35706"/>
      <c r="X35706" s="60"/>
    </row>
    <row r="35707" spans="7:24" ht="15" customHeight="1">
      <c r="G35707"/>
      <c r="I35707"/>
      <c r="N35707"/>
      <c r="O35707" s="24"/>
      <c r="P35707"/>
      <c r="Q35707" s="24"/>
      <c r="R35707"/>
      <c r="S35707"/>
      <c r="T35707"/>
      <c r="U35707"/>
      <c r="X35707" s="60"/>
    </row>
    <row r="35708" spans="7:24" ht="15" customHeight="1">
      <c r="G35708"/>
      <c r="I35708"/>
      <c r="N35708"/>
      <c r="O35708" s="24"/>
      <c r="P35708"/>
      <c r="Q35708" s="24"/>
      <c r="R35708"/>
      <c r="S35708"/>
      <c r="T35708"/>
      <c r="U35708"/>
      <c r="X35708" s="60"/>
    </row>
    <row r="35709" spans="7:24" ht="15" customHeight="1">
      <c r="G35709"/>
      <c r="I35709"/>
      <c r="N35709"/>
      <c r="O35709" s="24"/>
      <c r="P35709"/>
      <c r="Q35709" s="24"/>
      <c r="R35709"/>
      <c r="S35709"/>
      <c r="T35709"/>
      <c r="U35709"/>
      <c r="X35709" s="60"/>
    </row>
    <row r="35710" spans="7:24" ht="15" customHeight="1">
      <c r="G35710"/>
      <c r="I35710"/>
      <c r="N35710"/>
      <c r="O35710" s="24"/>
      <c r="P35710"/>
      <c r="Q35710" s="24"/>
      <c r="R35710"/>
      <c r="S35710"/>
      <c r="T35710"/>
      <c r="U35710"/>
      <c r="X35710" s="60"/>
    </row>
    <row r="35711" spans="7:24" ht="15" customHeight="1">
      <c r="G35711"/>
      <c r="I35711"/>
      <c r="N35711"/>
      <c r="O35711" s="24"/>
      <c r="P35711"/>
      <c r="Q35711" s="24"/>
      <c r="R35711"/>
      <c r="S35711"/>
      <c r="T35711"/>
      <c r="U35711"/>
      <c r="X35711" s="60"/>
    </row>
    <row r="35712" spans="7:24" ht="15" customHeight="1">
      <c r="G35712"/>
      <c r="I35712"/>
      <c r="N35712"/>
      <c r="O35712" s="24"/>
      <c r="P35712"/>
      <c r="Q35712" s="24"/>
      <c r="R35712"/>
      <c r="S35712"/>
      <c r="T35712"/>
      <c r="U35712"/>
      <c r="X35712" s="60"/>
    </row>
    <row r="35713" spans="7:24" ht="15" customHeight="1">
      <c r="G35713"/>
      <c r="I35713"/>
      <c r="N35713"/>
      <c r="O35713" s="24"/>
      <c r="P35713"/>
      <c r="Q35713" s="24"/>
      <c r="R35713"/>
      <c r="S35713"/>
      <c r="T35713"/>
      <c r="U35713"/>
      <c r="X35713" s="60"/>
    </row>
    <row r="35714" spans="7:24" ht="15" customHeight="1">
      <c r="G35714"/>
      <c r="I35714"/>
      <c r="N35714"/>
      <c r="O35714" s="24"/>
      <c r="P35714"/>
      <c r="Q35714" s="24"/>
      <c r="R35714"/>
      <c r="S35714"/>
      <c r="T35714"/>
      <c r="U35714"/>
      <c r="X35714" s="60"/>
    </row>
    <row r="35715" spans="7:24" ht="15" customHeight="1">
      <c r="G35715"/>
      <c r="I35715"/>
      <c r="N35715"/>
      <c r="O35715" s="24"/>
      <c r="P35715"/>
      <c r="Q35715" s="24"/>
      <c r="R35715"/>
      <c r="S35715"/>
      <c r="T35715"/>
      <c r="U35715"/>
      <c r="X35715" s="60"/>
    </row>
    <row r="35716" spans="7:24" ht="15" customHeight="1">
      <c r="G35716"/>
      <c r="I35716"/>
      <c r="N35716"/>
      <c r="O35716" s="24"/>
      <c r="P35716"/>
      <c r="Q35716" s="24"/>
      <c r="R35716"/>
      <c r="S35716"/>
      <c r="T35716"/>
      <c r="U35716"/>
      <c r="X35716" s="60"/>
    </row>
    <row r="35717" spans="7:24" ht="15" customHeight="1">
      <c r="G35717"/>
      <c r="I35717"/>
      <c r="N35717"/>
      <c r="O35717" s="24"/>
      <c r="P35717"/>
      <c r="Q35717" s="24"/>
      <c r="R35717"/>
      <c r="S35717"/>
      <c r="T35717"/>
      <c r="U35717"/>
      <c r="X35717" s="60"/>
    </row>
    <row r="35718" spans="7:24" ht="15" customHeight="1">
      <c r="G35718"/>
      <c r="I35718"/>
      <c r="N35718"/>
      <c r="O35718" s="24"/>
      <c r="P35718"/>
      <c r="Q35718" s="24"/>
      <c r="R35718"/>
      <c r="S35718"/>
      <c r="T35718"/>
      <c r="U35718"/>
      <c r="X35718" s="60"/>
    </row>
    <row r="35719" spans="7:24" ht="15" customHeight="1">
      <c r="G35719"/>
      <c r="I35719"/>
      <c r="N35719"/>
      <c r="O35719" s="24"/>
      <c r="P35719"/>
      <c r="Q35719" s="24"/>
      <c r="R35719"/>
      <c r="S35719"/>
      <c r="T35719"/>
      <c r="U35719"/>
      <c r="X35719" s="60"/>
    </row>
    <row r="35720" spans="7:24" ht="15" customHeight="1">
      <c r="G35720"/>
      <c r="I35720"/>
      <c r="N35720"/>
      <c r="O35720" s="24"/>
      <c r="P35720"/>
      <c r="Q35720" s="24"/>
      <c r="R35720"/>
      <c r="S35720"/>
      <c r="T35720"/>
      <c r="U35720"/>
      <c r="X35720" s="60"/>
    </row>
    <row r="35721" spans="7:24" ht="15" customHeight="1">
      <c r="G35721"/>
      <c r="I35721"/>
      <c r="N35721"/>
      <c r="O35721" s="24"/>
      <c r="P35721"/>
      <c r="Q35721" s="24"/>
      <c r="R35721"/>
      <c r="S35721"/>
      <c r="T35721"/>
      <c r="U35721"/>
      <c r="X35721" s="60"/>
    </row>
    <row r="35722" spans="7:24" ht="15" customHeight="1">
      <c r="G35722"/>
      <c r="I35722"/>
      <c r="N35722"/>
      <c r="O35722" s="24"/>
      <c r="P35722"/>
      <c r="Q35722" s="24"/>
      <c r="R35722"/>
      <c r="S35722"/>
      <c r="T35722"/>
      <c r="U35722"/>
      <c r="X35722" s="60"/>
    </row>
    <row r="35723" spans="7:24" ht="15" customHeight="1">
      <c r="G35723"/>
      <c r="I35723"/>
      <c r="N35723"/>
      <c r="O35723" s="24"/>
      <c r="P35723"/>
      <c r="Q35723" s="24"/>
      <c r="R35723"/>
      <c r="S35723"/>
      <c r="T35723"/>
      <c r="U35723"/>
      <c r="X35723" s="60"/>
    </row>
    <row r="35724" spans="7:24" ht="15" customHeight="1">
      <c r="G35724"/>
      <c r="I35724"/>
      <c r="N35724"/>
      <c r="O35724" s="24"/>
      <c r="P35724"/>
      <c r="Q35724" s="24"/>
      <c r="R35724"/>
      <c r="S35724"/>
      <c r="T35724"/>
      <c r="U35724"/>
      <c r="X35724" s="60"/>
    </row>
    <row r="35725" spans="7:24" ht="15" customHeight="1">
      <c r="G35725"/>
      <c r="I35725"/>
      <c r="N35725"/>
      <c r="O35725" s="24"/>
      <c r="P35725"/>
      <c r="Q35725" s="24"/>
      <c r="R35725"/>
      <c r="S35725"/>
      <c r="T35725"/>
      <c r="U35725"/>
      <c r="X35725" s="60"/>
    </row>
    <row r="35726" spans="7:24" ht="15" customHeight="1">
      <c r="G35726"/>
      <c r="I35726"/>
      <c r="N35726"/>
      <c r="O35726" s="24"/>
      <c r="P35726"/>
      <c r="Q35726" s="24"/>
      <c r="R35726"/>
      <c r="S35726"/>
      <c r="T35726"/>
      <c r="U35726"/>
      <c r="X35726" s="60"/>
    </row>
    <row r="35727" spans="7:24" ht="15" customHeight="1">
      <c r="G35727"/>
      <c r="I35727"/>
      <c r="N35727"/>
      <c r="O35727" s="24"/>
      <c r="P35727"/>
      <c r="Q35727" s="24"/>
      <c r="R35727"/>
      <c r="S35727"/>
      <c r="T35727"/>
      <c r="U35727"/>
      <c r="X35727" s="60"/>
    </row>
    <row r="35728" spans="7:24" ht="15" customHeight="1">
      <c r="G35728"/>
      <c r="I35728"/>
      <c r="N35728"/>
      <c r="O35728" s="24"/>
      <c r="P35728"/>
      <c r="Q35728" s="24"/>
      <c r="R35728"/>
      <c r="S35728"/>
      <c r="T35728"/>
      <c r="U35728"/>
      <c r="X35728" s="60"/>
    </row>
    <row r="35729" spans="7:24" ht="15" customHeight="1">
      <c r="G35729"/>
      <c r="I35729"/>
      <c r="N35729"/>
      <c r="O35729" s="24"/>
      <c r="P35729"/>
      <c r="Q35729" s="24"/>
      <c r="R35729"/>
      <c r="S35729"/>
      <c r="T35729"/>
      <c r="U35729"/>
      <c r="X35729" s="60"/>
    </row>
    <row r="35730" spans="7:24" ht="15" customHeight="1">
      <c r="G35730"/>
      <c r="I35730"/>
      <c r="N35730"/>
      <c r="O35730" s="24"/>
      <c r="P35730"/>
      <c r="Q35730" s="24"/>
      <c r="R35730"/>
      <c r="S35730"/>
      <c r="T35730"/>
      <c r="U35730"/>
      <c r="X35730" s="60"/>
    </row>
    <row r="35731" spans="7:24" ht="15" customHeight="1">
      <c r="G35731"/>
      <c r="I35731"/>
      <c r="N35731"/>
      <c r="O35731" s="24"/>
      <c r="P35731"/>
      <c r="Q35731" s="24"/>
      <c r="R35731"/>
      <c r="S35731"/>
      <c r="T35731"/>
      <c r="U35731"/>
      <c r="X35731" s="60"/>
    </row>
    <row r="35732" spans="7:24" ht="15" customHeight="1">
      <c r="G35732"/>
      <c r="I35732"/>
      <c r="N35732"/>
      <c r="O35732" s="24"/>
      <c r="P35732"/>
      <c r="Q35732" s="24"/>
      <c r="R35732"/>
      <c r="S35732"/>
      <c r="T35732"/>
      <c r="U35732"/>
      <c r="X35732" s="60"/>
    </row>
    <row r="35733" spans="7:24" ht="15" customHeight="1">
      <c r="G35733"/>
      <c r="I35733"/>
      <c r="N35733"/>
      <c r="O35733" s="24"/>
      <c r="P35733"/>
      <c r="Q35733" s="24"/>
      <c r="R35733"/>
      <c r="S35733"/>
      <c r="T35733"/>
      <c r="U35733"/>
      <c r="X35733" s="60"/>
    </row>
    <row r="35734" spans="7:24" ht="15" customHeight="1">
      <c r="G35734"/>
      <c r="I35734"/>
      <c r="N35734"/>
      <c r="O35734" s="24"/>
      <c r="P35734"/>
      <c r="Q35734" s="24"/>
      <c r="R35734"/>
      <c r="S35734"/>
      <c r="T35734"/>
      <c r="U35734"/>
      <c r="X35734" s="60"/>
    </row>
    <row r="35735" spans="7:24" ht="15" customHeight="1">
      <c r="G35735"/>
      <c r="I35735"/>
      <c r="N35735"/>
      <c r="O35735" s="24"/>
      <c r="P35735"/>
      <c r="Q35735" s="24"/>
      <c r="R35735"/>
      <c r="S35735"/>
      <c r="T35735"/>
      <c r="U35735"/>
      <c r="X35735" s="60"/>
    </row>
    <row r="35736" spans="7:24" ht="15" customHeight="1">
      <c r="G35736"/>
      <c r="I35736"/>
      <c r="N35736"/>
      <c r="O35736" s="24"/>
      <c r="P35736"/>
      <c r="Q35736" s="24"/>
      <c r="R35736"/>
      <c r="S35736"/>
      <c r="T35736"/>
      <c r="U35736"/>
      <c r="X35736" s="60"/>
    </row>
    <row r="35737" spans="7:24" ht="15" customHeight="1">
      <c r="G35737"/>
      <c r="I35737"/>
      <c r="N35737"/>
      <c r="O35737" s="24"/>
      <c r="P35737"/>
      <c r="Q35737" s="24"/>
      <c r="R35737"/>
      <c r="S35737"/>
      <c r="T35737"/>
      <c r="U35737"/>
      <c r="X35737" s="60"/>
    </row>
    <row r="35738" spans="7:24" ht="15" customHeight="1">
      <c r="G35738"/>
      <c r="I35738"/>
      <c r="N35738"/>
      <c r="O35738" s="24"/>
      <c r="P35738"/>
      <c r="Q35738" s="24"/>
      <c r="R35738"/>
      <c r="S35738"/>
      <c r="T35738"/>
      <c r="U35738"/>
      <c r="X35738" s="60"/>
    </row>
    <row r="35739" spans="7:24" ht="15" customHeight="1">
      <c r="G35739"/>
      <c r="I35739"/>
      <c r="N35739"/>
      <c r="O35739" s="24"/>
      <c r="P35739"/>
      <c r="Q35739" s="24"/>
      <c r="R35739"/>
      <c r="S35739"/>
      <c r="T35739"/>
      <c r="U35739"/>
      <c r="X35739" s="60"/>
    </row>
    <row r="35740" spans="7:24" ht="15" customHeight="1">
      <c r="G35740"/>
      <c r="I35740"/>
      <c r="N35740"/>
      <c r="O35740" s="24"/>
      <c r="P35740"/>
      <c r="Q35740" s="24"/>
      <c r="R35740"/>
      <c r="S35740"/>
      <c r="T35740"/>
      <c r="U35740"/>
      <c r="X35740" s="60"/>
    </row>
    <row r="35741" spans="7:24" ht="15" customHeight="1">
      <c r="G35741"/>
      <c r="I35741"/>
      <c r="N35741"/>
      <c r="O35741" s="24"/>
      <c r="P35741"/>
      <c r="Q35741" s="24"/>
      <c r="R35741"/>
      <c r="S35741"/>
      <c r="T35741"/>
      <c r="U35741"/>
      <c r="X35741" s="60"/>
    </row>
    <row r="35742" spans="7:24" ht="15" customHeight="1">
      <c r="G35742"/>
      <c r="I35742"/>
      <c r="N35742"/>
      <c r="O35742" s="24"/>
      <c r="P35742"/>
      <c r="Q35742" s="24"/>
      <c r="R35742"/>
      <c r="S35742"/>
      <c r="T35742"/>
      <c r="U35742"/>
      <c r="X35742" s="60"/>
    </row>
    <row r="35743" spans="7:24" ht="15" customHeight="1">
      <c r="G35743"/>
      <c r="I35743"/>
      <c r="N35743"/>
      <c r="O35743" s="24"/>
      <c r="P35743"/>
      <c r="Q35743" s="24"/>
      <c r="R35743"/>
      <c r="S35743"/>
      <c r="T35743"/>
      <c r="U35743"/>
      <c r="X35743" s="60"/>
    </row>
    <row r="35744" spans="7:24" ht="15" customHeight="1">
      <c r="G35744"/>
      <c r="I35744"/>
      <c r="N35744"/>
      <c r="O35744" s="24"/>
      <c r="P35744"/>
      <c r="Q35744" s="24"/>
      <c r="R35744"/>
      <c r="S35744"/>
      <c r="T35744"/>
      <c r="U35744"/>
      <c r="X35744" s="60"/>
    </row>
    <row r="35745" spans="7:24" ht="15" customHeight="1">
      <c r="G35745"/>
      <c r="I35745"/>
      <c r="N35745"/>
      <c r="O35745" s="24"/>
      <c r="P35745"/>
      <c r="Q35745" s="24"/>
      <c r="R35745"/>
      <c r="S35745"/>
      <c r="T35745"/>
      <c r="U35745"/>
      <c r="X35745" s="60"/>
    </row>
    <row r="35746" spans="7:24" ht="15" customHeight="1">
      <c r="G35746"/>
      <c r="I35746"/>
      <c r="N35746"/>
      <c r="O35746" s="24"/>
      <c r="P35746"/>
      <c r="Q35746" s="24"/>
      <c r="R35746"/>
      <c r="S35746"/>
      <c r="T35746"/>
      <c r="U35746"/>
      <c r="X35746" s="60"/>
    </row>
    <row r="35747" spans="7:24" ht="15" customHeight="1">
      <c r="G35747"/>
      <c r="I35747"/>
      <c r="N35747"/>
      <c r="O35747" s="24"/>
      <c r="P35747"/>
      <c r="Q35747" s="24"/>
      <c r="R35747"/>
      <c r="S35747"/>
      <c r="T35747"/>
      <c r="U35747"/>
      <c r="X35747" s="60"/>
    </row>
    <row r="35748" spans="7:24" ht="15" customHeight="1">
      <c r="G35748"/>
      <c r="I35748"/>
      <c r="N35748"/>
      <c r="O35748" s="24"/>
      <c r="P35748"/>
      <c r="Q35748" s="24"/>
      <c r="R35748"/>
      <c r="S35748"/>
      <c r="T35748"/>
      <c r="U35748"/>
      <c r="X35748" s="60"/>
    </row>
    <row r="35749" spans="7:24" ht="15" customHeight="1">
      <c r="G35749"/>
      <c r="I35749"/>
      <c r="N35749"/>
      <c r="O35749" s="24"/>
      <c r="P35749"/>
      <c r="Q35749" s="24"/>
      <c r="R35749"/>
      <c r="S35749"/>
      <c r="T35749"/>
      <c r="U35749"/>
      <c r="X35749" s="60"/>
    </row>
    <row r="35750" spans="7:24" ht="15" customHeight="1">
      <c r="G35750"/>
      <c r="I35750"/>
      <c r="N35750"/>
      <c r="O35750" s="24"/>
      <c r="P35750"/>
      <c r="Q35750" s="24"/>
      <c r="R35750"/>
      <c r="S35750"/>
      <c r="T35750"/>
      <c r="U35750"/>
      <c r="X35750" s="60"/>
    </row>
    <row r="35751" spans="7:24" ht="15" customHeight="1">
      <c r="G35751"/>
      <c r="I35751"/>
      <c r="N35751"/>
      <c r="O35751" s="24"/>
      <c r="P35751"/>
      <c r="Q35751" s="24"/>
      <c r="R35751"/>
      <c r="S35751"/>
      <c r="T35751"/>
      <c r="U35751"/>
      <c r="X35751" s="60"/>
    </row>
    <row r="35752" spans="7:24" ht="15" customHeight="1">
      <c r="G35752"/>
      <c r="I35752"/>
      <c r="N35752"/>
      <c r="O35752" s="24"/>
      <c r="P35752"/>
      <c r="Q35752" s="24"/>
      <c r="R35752"/>
      <c r="S35752"/>
      <c r="T35752"/>
      <c r="U35752"/>
      <c r="X35752" s="60"/>
    </row>
    <row r="35753" spans="7:24" ht="15" customHeight="1">
      <c r="G35753"/>
      <c r="I35753"/>
      <c r="N35753"/>
      <c r="O35753" s="24"/>
      <c r="P35753"/>
      <c r="Q35753" s="24"/>
      <c r="R35753"/>
      <c r="S35753"/>
      <c r="T35753"/>
      <c r="U35753"/>
      <c r="X35753" s="60"/>
    </row>
    <row r="35754" spans="7:24" ht="15" customHeight="1">
      <c r="G35754"/>
      <c r="I35754"/>
      <c r="N35754"/>
      <c r="O35754" s="24"/>
      <c r="P35754"/>
      <c r="Q35754" s="24"/>
      <c r="R35754"/>
      <c r="S35754"/>
      <c r="T35754"/>
      <c r="U35754"/>
      <c r="X35754" s="60"/>
    </row>
    <row r="35755" spans="7:24" ht="15" customHeight="1">
      <c r="G35755"/>
      <c r="I35755"/>
      <c r="N35755"/>
      <c r="O35755" s="24"/>
      <c r="P35755"/>
      <c r="Q35755" s="24"/>
      <c r="R35755"/>
      <c r="S35755"/>
      <c r="T35755"/>
      <c r="U35755"/>
      <c r="X35755" s="60"/>
    </row>
    <row r="35756" spans="7:24" ht="15" customHeight="1">
      <c r="G35756"/>
      <c r="I35756"/>
      <c r="N35756"/>
      <c r="O35756" s="24"/>
      <c r="P35756"/>
      <c r="Q35756" s="24"/>
      <c r="R35756"/>
      <c r="S35756"/>
      <c r="T35756"/>
      <c r="U35756"/>
      <c r="X35756" s="60"/>
    </row>
    <row r="35757" spans="7:24" ht="15" customHeight="1">
      <c r="G35757"/>
      <c r="I35757"/>
      <c r="N35757"/>
      <c r="O35757" s="24"/>
      <c r="P35757"/>
      <c r="Q35757" s="24"/>
      <c r="R35757"/>
      <c r="S35757"/>
      <c r="T35757"/>
      <c r="U35757"/>
      <c r="X35757" s="60"/>
    </row>
    <row r="35758" spans="7:24" ht="15" customHeight="1">
      <c r="G35758"/>
      <c r="I35758"/>
      <c r="N35758"/>
      <c r="O35758" s="24"/>
      <c r="P35758"/>
      <c r="Q35758" s="24"/>
      <c r="R35758"/>
      <c r="S35758"/>
      <c r="T35758"/>
      <c r="U35758"/>
      <c r="X35758" s="60"/>
    </row>
    <row r="35759" spans="7:24" ht="15" customHeight="1">
      <c r="G35759"/>
      <c r="I35759"/>
      <c r="N35759"/>
      <c r="O35759" s="24"/>
      <c r="P35759"/>
      <c r="Q35759" s="24"/>
      <c r="R35759"/>
      <c r="S35759"/>
      <c r="T35759"/>
      <c r="U35759"/>
      <c r="X35759" s="60"/>
    </row>
    <row r="35760" spans="7:24" ht="15" customHeight="1">
      <c r="G35760"/>
      <c r="I35760"/>
      <c r="N35760"/>
      <c r="O35760" s="24"/>
      <c r="P35760"/>
      <c r="Q35760" s="24"/>
      <c r="R35760"/>
      <c r="S35760"/>
      <c r="T35760"/>
      <c r="U35760"/>
      <c r="X35760" s="60"/>
    </row>
    <row r="35761" spans="7:24" ht="15" customHeight="1">
      <c r="G35761"/>
      <c r="I35761"/>
      <c r="N35761"/>
      <c r="O35761" s="24"/>
      <c r="P35761"/>
      <c r="Q35761" s="24"/>
      <c r="R35761"/>
      <c r="S35761"/>
      <c r="T35761"/>
      <c r="U35761"/>
      <c r="X35761" s="60"/>
    </row>
    <row r="35762" spans="7:24" ht="15" customHeight="1">
      <c r="G35762"/>
      <c r="I35762"/>
      <c r="N35762"/>
      <c r="O35762" s="24"/>
      <c r="P35762"/>
      <c r="Q35762" s="24"/>
      <c r="R35762"/>
      <c r="S35762"/>
      <c r="T35762"/>
      <c r="U35762"/>
      <c r="X35762" s="60"/>
    </row>
    <row r="35763" spans="7:24" ht="15" customHeight="1">
      <c r="G35763"/>
      <c r="I35763"/>
      <c r="N35763"/>
      <c r="O35763" s="24"/>
      <c r="P35763"/>
      <c r="Q35763" s="24"/>
      <c r="R35763"/>
      <c r="S35763"/>
      <c r="T35763"/>
      <c r="U35763"/>
      <c r="X35763" s="60"/>
    </row>
    <row r="35764" spans="7:24" ht="15" customHeight="1">
      <c r="G35764"/>
      <c r="I35764"/>
      <c r="N35764"/>
      <c r="O35764" s="24"/>
      <c r="P35764"/>
      <c r="Q35764" s="24"/>
      <c r="R35764"/>
      <c r="S35764"/>
      <c r="T35764"/>
      <c r="U35764"/>
      <c r="X35764" s="60"/>
    </row>
    <row r="35765" spans="7:24" ht="15" customHeight="1">
      <c r="G35765"/>
      <c r="I35765"/>
      <c r="N35765"/>
      <c r="O35765" s="24"/>
      <c r="P35765"/>
      <c r="Q35765" s="24"/>
      <c r="R35765"/>
      <c r="S35765"/>
      <c r="T35765"/>
      <c r="U35765"/>
      <c r="X35765" s="60"/>
    </row>
    <row r="35766" spans="7:24" ht="15" customHeight="1">
      <c r="G35766"/>
      <c r="I35766"/>
      <c r="N35766"/>
      <c r="O35766" s="24"/>
      <c r="P35766"/>
      <c r="Q35766" s="24"/>
      <c r="R35766"/>
      <c r="S35766"/>
      <c r="T35766"/>
      <c r="U35766"/>
      <c r="X35766" s="60"/>
    </row>
    <row r="35767" spans="7:24" ht="15" customHeight="1">
      <c r="G35767"/>
      <c r="I35767"/>
      <c r="N35767"/>
      <c r="O35767" s="24"/>
      <c r="P35767"/>
      <c r="Q35767" s="24"/>
      <c r="R35767"/>
      <c r="S35767"/>
      <c r="T35767"/>
      <c r="U35767"/>
      <c r="X35767" s="60"/>
    </row>
    <row r="35768" spans="7:24" ht="15" customHeight="1">
      <c r="G35768"/>
      <c r="I35768"/>
      <c r="N35768"/>
      <c r="O35768" s="24"/>
      <c r="P35768"/>
      <c r="Q35768" s="24"/>
      <c r="R35768"/>
      <c r="S35768"/>
      <c r="T35768"/>
      <c r="U35768"/>
      <c r="X35768" s="60"/>
    </row>
    <row r="35769" spans="7:24" ht="15" customHeight="1">
      <c r="G35769"/>
      <c r="I35769"/>
      <c r="N35769"/>
      <c r="O35769" s="24"/>
      <c r="P35769"/>
      <c r="Q35769" s="24"/>
      <c r="R35769"/>
      <c r="S35769"/>
      <c r="T35769"/>
      <c r="U35769"/>
      <c r="X35769" s="60"/>
    </row>
    <row r="35770" spans="7:24" ht="15" customHeight="1">
      <c r="G35770"/>
      <c r="I35770"/>
      <c r="N35770"/>
      <c r="O35770" s="24"/>
      <c r="P35770"/>
      <c r="Q35770" s="24"/>
      <c r="R35770"/>
      <c r="S35770"/>
      <c r="T35770"/>
      <c r="U35770"/>
      <c r="X35770" s="60"/>
    </row>
    <row r="35771" spans="7:24" ht="15" customHeight="1">
      <c r="G35771"/>
      <c r="I35771"/>
      <c r="N35771"/>
      <c r="O35771" s="24"/>
      <c r="P35771"/>
      <c r="Q35771" s="24"/>
      <c r="R35771"/>
      <c r="S35771"/>
      <c r="T35771"/>
      <c r="U35771"/>
      <c r="X35771" s="60"/>
    </row>
    <row r="35772" spans="7:24" ht="15" customHeight="1">
      <c r="G35772"/>
      <c r="I35772"/>
      <c r="N35772"/>
      <c r="O35772" s="24"/>
      <c r="P35772"/>
      <c r="Q35772" s="24"/>
      <c r="R35772"/>
      <c r="S35772"/>
      <c r="T35772"/>
      <c r="U35772"/>
      <c r="X35772" s="60"/>
    </row>
    <row r="35773" spans="7:24" ht="15" customHeight="1">
      <c r="G35773"/>
      <c r="I35773"/>
      <c r="N35773"/>
      <c r="O35773" s="24"/>
      <c r="P35773"/>
      <c r="Q35773" s="24"/>
      <c r="R35773"/>
      <c r="S35773"/>
      <c r="T35773"/>
      <c r="U35773"/>
      <c r="X35773" s="60"/>
    </row>
    <row r="35774" spans="7:24" ht="15" customHeight="1">
      <c r="G35774"/>
      <c r="I35774"/>
      <c r="N35774"/>
      <c r="O35774" s="24"/>
      <c r="P35774"/>
      <c r="Q35774" s="24"/>
      <c r="R35774"/>
      <c r="S35774"/>
      <c r="T35774"/>
      <c r="U35774"/>
      <c r="X35774" s="60"/>
    </row>
    <row r="35775" spans="7:24" ht="15" customHeight="1">
      <c r="G35775"/>
      <c r="I35775"/>
      <c r="N35775"/>
      <c r="O35775" s="24"/>
      <c r="P35775"/>
      <c r="Q35775" s="24"/>
      <c r="R35775"/>
      <c r="S35775"/>
      <c r="T35775"/>
      <c r="U35775"/>
      <c r="X35775" s="60"/>
    </row>
    <row r="35776" spans="7:24" ht="15" customHeight="1">
      <c r="G35776"/>
      <c r="I35776"/>
      <c r="N35776"/>
      <c r="O35776" s="24"/>
      <c r="P35776"/>
      <c r="Q35776" s="24"/>
      <c r="R35776"/>
      <c r="S35776"/>
      <c r="T35776"/>
      <c r="U35776"/>
      <c r="X35776" s="60"/>
    </row>
    <row r="35777" spans="7:24" ht="15" customHeight="1">
      <c r="G35777"/>
      <c r="I35777"/>
      <c r="N35777"/>
      <c r="O35777" s="24"/>
      <c r="P35777"/>
      <c r="Q35777" s="24"/>
      <c r="R35777"/>
      <c r="S35777"/>
      <c r="T35777"/>
      <c r="U35777"/>
      <c r="X35777" s="60"/>
    </row>
    <row r="35778" spans="7:24" ht="15" customHeight="1">
      <c r="G35778"/>
      <c r="I35778"/>
      <c r="N35778"/>
      <c r="O35778" s="24"/>
      <c r="P35778"/>
      <c r="Q35778" s="24"/>
      <c r="R35778"/>
      <c r="S35778"/>
      <c r="T35778"/>
      <c r="U35778"/>
      <c r="X35778" s="60"/>
    </row>
    <row r="35779" spans="7:24" ht="15" customHeight="1">
      <c r="G35779"/>
      <c r="I35779"/>
      <c r="N35779"/>
      <c r="O35779" s="24"/>
      <c r="P35779"/>
      <c r="Q35779" s="24"/>
      <c r="R35779"/>
      <c r="S35779"/>
      <c r="T35779"/>
      <c r="U35779"/>
      <c r="X35779" s="60"/>
    </row>
    <row r="35780" spans="7:24" ht="15" customHeight="1">
      <c r="G35780"/>
      <c r="I35780"/>
      <c r="N35780"/>
      <c r="O35780" s="24"/>
      <c r="P35780"/>
      <c r="Q35780" s="24"/>
      <c r="R35780"/>
      <c r="S35780"/>
      <c r="T35780"/>
      <c r="U35780"/>
      <c r="X35780" s="60"/>
    </row>
    <row r="35781" spans="7:24" ht="15" customHeight="1">
      <c r="G35781"/>
      <c r="I35781"/>
      <c r="N35781"/>
      <c r="O35781" s="24"/>
      <c r="P35781"/>
      <c r="Q35781" s="24"/>
      <c r="R35781"/>
      <c r="S35781"/>
      <c r="T35781"/>
      <c r="U35781"/>
      <c r="X35781" s="60"/>
    </row>
    <row r="35782" spans="7:24" ht="15" customHeight="1">
      <c r="G35782"/>
      <c r="I35782"/>
      <c r="N35782"/>
      <c r="O35782" s="24"/>
      <c r="P35782"/>
      <c r="Q35782" s="24"/>
      <c r="R35782"/>
      <c r="S35782"/>
      <c r="T35782"/>
      <c r="U35782"/>
      <c r="X35782" s="60"/>
    </row>
    <row r="35783" spans="7:24" ht="15" customHeight="1">
      <c r="G35783"/>
      <c r="I35783"/>
      <c r="N35783"/>
      <c r="O35783" s="24"/>
      <c r="P35783"/>
      <c r="Q35783" s="24"/>
      <c r="R35783"/>
      <c r="S35783"/>
      <c r="T35783"/>
      <c r="U35783"/>
      <c r="X35783" s="60"/>
    </row>
    <row r="35784" spans="7:24" ht="15" customHeight="1">
      <c r="G35784"/>
      <c r="I35784"/>
      <c r="N35784"/>
      <c r="O35784" s="24"/>
      <c r="P35784"/>
      <c r="Q35784" s="24"/>
      <c r="R35784"/>
      <c r="S35784"/>
      <c r="T35784"/>
      <c r="U35784"/>
      <c r="X35784" s="60"/>
    </row>
    <row r="35785" spans="7:24" ht="15" customHeight="1">
      <c r="G35785"/>
      <c r="I35785"/>
      <c r="N35785"/>
      <c r="O35785" s="24"/>
      <c r="P35785"/>
      <c r="Q35785" s="24"/>
      <c r="R35785"/>
      <c r="S35785"/>
      <c r="T35785"/>
      <c r="U35785"/>
      <c r="X35785" s="60"/>
    </row>
    <row r="35786" spans="7:24" ht="15" customHeight="1">
      <c r="G35786"/>
      <c r="I35786"/>
      <c r="N35786"/>
      <c r="O35786" s="24"/>
      <c r="P35786"/>
      <c r="Q35786" s="24"/>
      <c r="R35786"/>
      <c r="S35786"/>
      <c r="T35786"/>
      <c r="U35786"/>
      <c r="X35786" s="60"/>
    </row>
    <row r="35787" spans="7:24" ht="15" customHeight="1">
      <c r="G35787"/>
      <c r="I35787"/>
      <c r="N35787"/>
      <c r="O35787" s="24"/>
      <c r="P35787"/>
      <c r="Q35787" s="24"/>
      <c r="R35787"/>
      <c r="S35787"/>
      <c r="T35787"/>
      <c r="U35787"/>
      <c r="X35787" s="60"/>
    </row>
    <row r="35788" spans="7:24" ht="15" customHeight="1">
      <c r="G35788"/>
      <c r="I35788"/>
      <c r="N35788"/>
      <c r="O35788" s="24"/>
      <c r="P35788"/>
      <c r="Q35788" s="24"/>
      <c r="R35788"/>
      <c r="S35788"/>
      <c r="T35788"/>
      <c r="U35788"/>
      <c r="X35788" s="60"/>
    </row>
    <row r="35789" spans="7:24" ht="15" customHeight="1">
      <c r="G35789"/>
      <c r="I35789"/>
      <c r="N35789"/>
      <c r="O35789" s="24"/>
      <c r="P35789"/>
      <c r="Q35789" s="24"/>
      <c r="R35789"/>
      <c r="S35789"/>
      <c r="T35789"/>
      <c r="U35789"/>
      <c r="X35789" s="60"/>
    </row>
    <row r="35790" spans="7:24" ht="15" customHeight="1">
      <c r="G35790"/>
      <c r="I35790"/>
      <c r="N35790"/>
      <c r="O35790" s="24"/>
      <c r="P35790"/>
      <c r="Q35790" s="24"/>
      <c r="R35790"/>
      <c r="S35790"/>
      <c r="T35790"/>
      <c r="U35790"/>
      <c r="X35790" s="60"/>
    </row>
    <row r="35791" spans="7:24" ht="15" customHeight="1">
      <c r="G35791"/>
      <c r="I35791"/>
      <c r="N35791"/>
      <c r="O35791" s="24"/>
      <c r="P35791"/>
      <c r="Q35791" s="24"/>
      <c r="R35791"/>
      <c r="S35791"/>
      <c r="T35791"/>
      <c r="U35791"/>
      <c r="X35791" s="60"/>
    </row>
    <row r="35792" spans="7:24" ht="15" customHeight="1">
      <c r="G35792"/>
      <c r="I35792"/>
      <c r="N35792"/>
      <c r="O35792" s="24"/>
      <c r="P35792"/>
      <c r="Q35792" s="24"/>
      <c r="R35792"/>
      <c r="S35792"/>
      <c r="T35792"/>
      <c r="U35792"/>
      <c r="X35792" s="60"/>
    </row>
    <row r="35793" spans="7:24" ht="15" customHeight="1">
      <c r="G35793"/>
      <c r="I35793"/>
      <c r="N35793"/>
      <c r="O35793" s="24"/>
      <c r="P35793"/>
      <c r="Q35793" s="24"/>
      <c r="R35793"/>
      <c r="S35793"/>
      <c r="T35793"/>
      <c r="U35793"/>
      <c r="X35793" s="60"/>
    </row>
    <row r="35794" spans="7:24" ht="15" customHeight="1">
      <c r="G35794"/>
      <c r="I35794"/>
      <c r="N35794"/>
      <c r="O35794" s="24"/>
      <c r="P35794"/>
      <c r="Q35794" s="24"/>
      <c r="R35794"/>
      <c r="S35794"/>
      <c r="T35794"/>
      <c r="U35794"/>
      <c r="X35794" s="60"/>
    </row>
    <row r="35795" spans="7:24" ht="15" customHeight="1">
      <c r="G35795"/>
      <c r="I35795"/>
      <c r="N35795"/>
      <c r="O35795" s="24"/>
      <c r="P35795"/>
      <c r="Q35795" s="24"/>
      <c r="R35795"/>
      <c r="S35795"/>
      <c r="T35795"/>
      <c r="U35795"/>
      <c r="X35795" s="60"/>
    </row>
    <row r="35796" spans="7:24" ht="15" customHeight="1">
      <c r="G35796"/>
      <c r="I35796"/>
      <c r="N35796"/>
      <c r="O35796" s="24"/>
      <c r="P35796"/>
      <c r="Q35796" s="24"/>
      <c r="R35796"/>
      <c r="S35796"/>
      <c r="T35796"/>
      <c r="U35796"/>
      <c r="X35796" s="60"/>
    </row>
    <row r="35797" spans="7:24" ht="15" customHeight="1">
      <c r="G35797"/>
      <c r="I35797"/>
      <c r="N35797"/>
      <c r="O35797" s="24"/>
      <c r="P35797"/>
      <c r="Q35797" s="24"/>
      <c r="R35797"/>
      <c r="S35797"/>
      <c r="T35797"/>
      <c r="U35797"/>
      <c r="X35797" s="60"/>
    </row>
    <row r="35798" spans="7:24" ht="15" customHeight="1">
      <c r="G35798"/>
      <c r="I35798"/>
      <c r="N35798"/>
      <c r="O35798" s="24"/>
      <c r="P35798"/>
      <c r="Q35798" s="24"/>
      <c r="R35798"/>
      <c r="S35798"/>
      <c r="T35798"/>
      <c r="U35798"/>
      <c r="X35798" s="60"/>
    </row>
    <row r="35799" spans="7:24" ht="15" customHeight="1">
      <c r="G35799"/>
      <c r="I35799"/>
      <c r="N35799"/>
      <c r="O35799" s="24"/>
      <c r="P35799"/>
      <c r="Q35799" s="24"/>
      <c r="R35799"/>
      <c r="S35799"/>
      <c r="T35799"/>
      <c r="U35799"/>
      <c r="X35799" s="60"/>
    </row>
    <row r="35800" spans="7:24" ht="15" customHeight="1">
      <c r="G35800"/>
      <c r="I35800"/>
      <c r="N35800"/>
      <c r="O35800" s="24"/>
      <c r="P35800"/>
      <c r="Q35800" s="24"/>
      <c r="R35800"/>
      <c r="S35800"/>
      <c r="T35800"/>
      <c r="U35800"/>
      <c r="X35800" s="60"/>
    </row>
    <row r="35801" spans="7:24" ht="15" customHeight="1">
      <c r="G35801"/>
      <c r="I35801"/>
      <c r="N35801"/>
      <c r="O35801" s="24"/>
      <c r="P35801"/>
      <c r="Q35801" s="24"/>
      <c r="R35801"/>
      <c r="S35801"/>
      <c r="T35801"/>
      <c r="U35801"/>
      <c r="X35801" s="60"/>
    </row>
    <row r="35802" spans="7:24" ht="15" customHeight="1">
      <c r="G35802"/>
      <c r="I35802"/>
      <c r="N35802"/>
      <c r="O35802" s="24"/>
      <c r="P35802"/>
      <c r="Q35802" s="24"/>
      <c r="R35802"/>
      <c r="S35802"/>
      <c r="T35802"/>
      <c r="U35802"/>
      <c r="X35802" s="60"/>
    </row>
    <row r="35803" spans="7:24" ht="15" customHeight="1">
      <c r="G35803"/>
      <c r="I35803"/>
      <c r="N35803"/>
      <c r="O35803" s="24"/>
      <c r="P35803"/>
      <c r="Q35803" s="24"/>
      <c r="R35803"/>
      <c r="S35803"/>
      <c r="T35803"/>
      <c r="U35803"/>
      <c r="X35803" s="60"/>
    </row>
    <row r="35804" spans="7:24" ht="15" customHeight="1">
      <c r="G35804"/>
      <c r="I35804"/>
      <c r="N35804"/>
      <c r="O35804" s="24"/>
      <c r="P35804"/>
      <c r="Q35804" s="24"/>
      <c r="R35804"/>
      <c r="S35804"/>
      <c r="T35804"/>
      <c r="U35804"/>
      <c r="X35804" s="60"/>
    </row>
    <row r="35805" spans="7:24" ht="15" customHeight="1">
      <c r="G35805"/>
      <c r="I35805"/>
      <c r="N35805"/>
      <c r="O35805" s="24"/>
      <c r="P35805"/>
      <c r="Q35805" s="24"/>
      <c r="R35805"/>
      <c r="S35805"/>
      <c r="T35805"/>
      <c r="U35805"/>
      <c r="X35805" s="60"/>
    </row>
    <row r="35806" spans="7:24" ht="15" customHeight="1">
      <c r="G35806"/>
      <c r="I35806"/>
      <c r="N35806"/>
      <c r="O35806" s="24"/>
      <c r="P35806"/>
      <c r="Q35806" s="24"/>
      <c r="R35806"/>
      <c r="S35806"/>
      <c r="T35806"/>
      <c r="U35806"/>
      <c r="X35806" s="60"/>
    </row>
    <row r="35807" spans="7:24" ht="15" customHeight="1">
      <c r="G35807"/>
      <c r="I35807"/>
      <c r="N35807"/>
      <c r="O35807" s="24"/>
      <c r="P35807"/>
      <c r="Q35807" s="24"/>
      <c r="R35807"/>
      <c r="S35807"/>
      <c r="T35807"/>
      <c r="U35807"/>
      <c r="X35807" s="60"/>
    </row>
    <row r="35808" spans="7:24" ht="15" customHeight="1">
      <c r="G35808"/>
      <c r="I35808"/>
      <c r="N35808"/>
      <c r="O35808" s="24"/>
      <c r="P35808"/>
      <c r="Q35808" s="24"/>
      <c r="R35808"/>
      <c r="S35808"/>
      <c r="T35808"/>
      <c r="U35808"/>
      <c r="X35808" s="60"/>
    </row>
    <row r="35809" spans="7:24" ht="15" customHeight="1">
      <c r="G35809"/>
      <c r="I35809"/>
      <c r="N35809"/>
      <c r="O35809" s="24"/>
      <c r="P35809"/>
      <c r="Q35809" s="24"/>
      <c r="R35809"/>
      <c r="S35809"/>
      <c r="T35809"/>
      <c r="U35809"/>
      <c r="X35809" s="60"/>
    </row>
    <row r="35810" spans="7:24" ht="15" customHeight="1">
      <c r="G35810"/>
      <c r="I35810"/>
      <c r="N35810"/>
      <c r="O35810" s="24"/>
      <c r="P35810"/>
      <c r="Q35810" s="24"/>
      <c r="R35810"/>
      <c r="S35810"/>
      <c r="T35810"/>
      <c r="U35810"/>
      <c r="X35810" s="60"/>
    </row>
    <row r="35811" spans="7:24" ht="15" customHeight="1">
      <c r="G35811"/>
      <c r="I35811"/>
      <c r="N35811"/>
      <c r="O35811" s="24"/>
      <c r="P35811"/>
      <c r="Q35811" s="24"/>
      <c r="R35811"/>
      <c r="S35811"/>
      <c r="T35811"/>
      <c r="U35811"/>
      <c r="X35811" s="60"/>
    </row>
    <row r="35812" spans="7:24" ht="15" customHeight="1">
      <c r="G35812"/>
      <c r="I35812"/>
      <c r="N35812"/>
      <c r="O35812" s="24"/>
      <c r="P35812"/>
      <c r="Q35812" s="24"/>
      <c r="R35812"/>
      <c r="S35812"/>
      <c r="T35812"/>
      <c r="U35812"/>
      <c r="X35812" s="60"/>
    </row>
    <row r="35813" spans="7:24" ht="15" customHeight="1">
      <c r="G35813"/>
      <c r="I35813"/>
      <c r="N35813"/>
      <c r="O35813" s="24"/>
      <c r="P35813"/>
      <c r="Q35813" s="24"/>
      <c r="R35813"/>
      <c r="S35813"/>
      <c r="T35813"/>
      <c r="U35813"/>
      <c r="X35813" s="60"/>
    </row>
    <row r="35814" spans="7:24" ht="15" customHeight="1">
      <c r="G35814"/>
      <c r="I35814"/>
      <c r="N35814"/>
      <c r="O35814" s="24"/>
      <c r="P35814"/>
      <c r="Q35814" s="24"/>
      <c r="R35814"/>
      <c r="S35814"/>
      <c r="T35814"/>
      <c r="U35814"/>
      <c r="X35814" s="60"/>
    </row>
    <row r="35815" spans="7:24" ht="15" customHeight="1">
      <c r="G35815"/>
      <c r="I35815"/>
      <c r="N35815"/>
      <c r="O35815" s="24"/>
      <c r="P35815"/>
      <c r="Q35815" s="24"/>
      <c r="R35815"/>
      <c r="S35815"/>
      <c r="T35815"/>
      <c r="U35815"/>
      <c r="X35815" s="60"/>
    </row>
    <row r="35816" spans="7:24" ht="15" customHeight="1">
      <c r="G35816"/>
      <c r="I35816"/>
      <c r="N35816"/>
      <c r="O35816" s="24"/>
      <c r="P35816"/>
      <c r="Q35816" s="24"/>
      <c r="R35816"/>
      <c r="S35816"/>
      <c r="T35816"/>
      <c r="U35816"/>
      <c r="X35816" s="60"/>
    </row>
    <row r="35817" spans="7:24" ht="15" customHeight="1">
      <c r="G35817"/>
      <c r="I35817"/>
      <c r="N35817"/>
      <c r="O35817" s="24"/>
      <c r="P35817"/>
      <c r="Q35817" s="24"/>
      <c r="R35817"/>
      <c r="S35817"/>
      <c r="T35817"/>
      <c r="U35817"/>
      <c r="X35817" s="60"/>
    </row>
    <row r="35818" spans="7:24" ht="15" customHeight="1">
      <c r="G35818"/>
      <c r="I35818"/>
      <c r="N35818"/>
      <c r="O35818" s="24"/>
      <c r="P35818"/>
      <c r="Q35818" s="24"/>
      <c r="R35818"/>
      <c r="S35818"/>
      <c r="T35818"/>
      <c r="U35818"/>
      <c r="X35818" s="60"/>
    </row>
    <row r="35819" spans="7:24" ht="15" customHeight="1">
      <c r="G35819"/>
      <c r="I35819"/>
      <c r="N35819"/>
      <c r="O35819" s="24"/>
      <c r="P35819"/>
      <c r="Q35819" s="24"/>
      <c r="R35819"/>
      <c r="S35819"/>
      <c r="T35819"/>
      <c r="U35819"/>
      <c r="X35819" s="60"/>
    </row>
    <row r="35820" spans="7:24" ht="15" customHeight="1">
      <c r="G35820"/>
      <c r="I35820"/>
      <c r="N35820"/>
      <c r="O35820" s="24"/>
      <c r="P35820"/>
      <c r="Q35820" s="24"/>
      <c r="R35820"/>
      <c r="S35820"/>
      <c r="T35820"/>
      <c r="U35820"/>
      <c r="X35820" s="60"/>
    </row>
    <row r="35821" spans="7:24" ht="15" customHeight="1">
      <c r="G35821"/>
      <c r="I35821"/>
      <c r="N35821"/>
      <c r="O35821" s="24"/>
      <c r="P35821"/>
      <c r="Q35821" s="24"/>
      <c r="R35821"/>
      <c r="S35821"/>
      <c r="T35821"/>
      <c r="U35821"/>
      <c r="X35821" s="60"/>
    </row>
    <row r="35822" spans="7:24" ht="15" customHeight="1">
      <c r="G35822"/>
      <c r="I35822"/>
      <c r="N35822"/>
      <c r="O35822" s="24"/>
      <c r="P35822"/>
      <c r="Q35822" s="24"/>
      <c r="R35822"/>
      <c r="S35822"/>
      <c r="T35822"/>
      <c r="U35822"/>
      <c r="X35822" s="60"/>
    </row>
    <row r="35823" spans="7:24" ht="15" customHeight="1">
      <c r="G35823"/>
      <c r="I35823"/>
      <c r="N35823"/>
      <c r="O35823" s="24"/>
      <c r="P35823"/>
      <c r="Q35823" s="24"/>
      <c r="R35823"/>
      <c r="S35823"/>
      <c r="T35823"/>
      <c r="U35823"/>
      <c r="X35823" s="60"/>
    </row>
    <row r="35824" spans="7:24" ht="15" customHeight="1">
      <c r="G35824"/>
      <c r="I35824"/>
      <c r="N35824"/>
      <c r="O35824" s="24"/>
      <c r="P35824"/>
      <c r="Q35824" s="24"/>
      <c r="R35824"/>
      <c r="S35824"/>
      <c r="T35824"/>
      <c r="U35824"/>
      <c r="X35824" s="60"/>
    </row>
    <row r="35825" spans="7:24" ht="15" customHeight="1">
      <c r="G35825"/>
      <c r="I35825"/>
      <c r="N35825"/>
      <c r="O35825" s="24"/>
      <c r="P35825"/>
      <c r="Q35825" s="24"/>
      <c r="R35825"/>
      <c r="S35825"/>
      <c r="T35825"/>
      <c r="U35825"/>
      <c r="X35825" s="60"/>
    </row>
    <row r="35826" spans="7:24" ht="15" customHeight="1">
      <c r="G35826"/>
      <c r="I35826"/>
      <c r="N35826"/>
      <c r="O35826" s="24"/>
      <c r="P35826"/>
      <c r="Q35826" s="24"/>
      <c r="R35826"/>
      <c r="S35826"/>
      <c r="T35826"/>
      <c r="U35826"/>
      <c r="X35826" s="60"/>
    </row>
    <row r="35827" spans="7:24" ht="15" customHeight="1">
      <c r="G35827"/>
      <c r="I35827"/>
      <c r="N35827"/>
      <c r="O35827" s="24"/>
      <c r="P35827"/>
      <c r="Q35827" s="24"/>
      <c r="R35827"/>
      <c r="S35827"/>
      <c r="T35827"/>
      <c r="U35827"/>
      <c r="X35827" s="60"/>
    </row>
    <row r="35828" spans="7:24" ht="15" customHeight="1">
      <c r="G35828"/>
      <c r="I35828"/>
      <c r="N35828"/>
      <c r="O35828" s="24"/>
      <c r="P35828"/>
      <c r="Q35828" s="24"/>
      <c r="R35828"/>
      <c r="S35828"/>
      <c r="T35828"/>
      <c r="U35828"/>
      <c r="X35828" s="60"/>
    </row>
    <row r="35829" spans="7:24" ht="15" customHeight="1">
      <c r="G35829"/>
      <c r="I35829"/>
      <c r="N35829"/>
      <c r="O35829" s="24"/>
      <c r="P35829"/>
      <c r="Q35829" s="24"/>
      <c r="R35829"/>
      <c r="S35829"/>
      <c r="T35829"/>
      <c r="U35829"/>
      <c r="X35829" s="60"/>
    </row>
    <row r="35830" spans="7:24" ht="15" customHeight="1">
      <c r="G35830"/>
      <c r="I35830"/>
      <c r="N35830"/>
      <c r="O35830" s="24"/>
      <c r="P35830"/>
      <c r="Q35830" s="24"/>
      <c r="R35830"/>
      <c r="S35830"/>
      <c r="T35830"/>
      <c r="U35830"/>
      <c r="X35830" s="60"/>
    </row>
    <row r="35831" spans="7:24" ht="15" customHeight="1">
      <c r="G35831"/>
      <c r="I35831"/>
      <c r="N35831"/>
      <c r="O35831" s="24"/>
      <c r="P35831"/>
      <c r="Q35831" s="24"/>
      <c r="R35831"/>
      <c r="S35831"/>
      <c r="T35831"/>
      <c r="U35831"/>
      <c r="X35831" s="60"/>
    </row>
    <row r="35832" spans="7:24" ht="15" customHeight="1">
      <c r="G35832"/>
      <c r="I35832"/>
      <c r="N35832"/>
      <c r="O35832" s="24"/>
      <c r="P35832"/>
      <c r="Q35832" s="24"/>
      <c r="R35832"/>
      <c r="S35832"/>
      <c r="T35832"/>
      <c r="U35832"/>
      <c r="X35832" s="60"/>
    </row>
    <row r="35833" spans="7:24" ht="15" customHeight="1">
      <c r="G35833"/>
      <c r="I35833"/>
      <c r="N35833"/>
      <c r="O35833" s="24"/>
      <c r="P35833"/>
      <c r="Q35833" s="24"/>
      <c r="R35833"/>
      <c r="S35833"/>
      <c r="T35833"/>
      <c r="U35833"/>
      <c r="X35833" s="60"/>
    </row>
    <row r="35834" spans="7:24" ht="15" customHeight="1">
      <c r="G35834"/>
      <c r="I35834"/>
      <c r="N35834"/>
      <c r="O35834" s="24"/>
      <c r="P35834"/>
      <c r="Q35834" s="24"/>
      <c r="R35834"/>
      <c r="S35834"/>
      <c r="T35834"/>
      <c r="U35834"/>
      <c r="X35834" s="60"/>
    </row>
    <row r="35835" spans="7:24" ht="15" customHeight="1">
      <c r="G35835"/>
      <c r="I35835"/>
      <c r="N35835"/>
      <c r="O35835" s="24"/>
      <c r="P35835"/>
      <c r="Q35835" s="24"/>
      <c r="R35835"/>
      <c r="S35835"/>
      <c r="T35835"/>
      <c r="U35835"/>
      <c r="X35835" s="60"/>
    </row>
    <row r="35836" spans="7:24" ht="15" customHeight="1">
      <c r="G35836"/>
      <c r="I35836"/>
      <c r="N35836"/>
      <c r="O35836" s="24"/>
      <c r="P35836"/>
      <c r="Q35836" s="24"/>
      <c r="R35836"/>
      <c r="S35836"/>
      <c r="T35836"/>
      <c r="U35836"/>
      <c r="X35836" s="60"/>
    </row>
    <row r="35837" spans="7:24" ht="15" customHeight="1">
      <c r="G35837"/>
      <c r="I35837"/>
      <c r="N35837"/>
      <c r="O35837" s="24"/>
      <c r="P35837"/>
      <c r="Q35837" s="24"/>
      <c r="R35837"/>
      <c r="S35837"/>
      <c r="T35837"/>
      <c r="U35837"/>
      <c r="X35837" s="60"/>
    </row>
    <row r="35838" spans="7:24" ht="15" customHeight="1">
      <c r="G35838"/>
      <c r="I35838"/>
      <c r="N35838"/>
      <c r="O35838" s="24"/>
      <c r="P35838"/>
      <c r="Q35838" s="24"/>
      <c r="R35838"/>
      <c r="S35838"/>
      <c r="T35838"/>
      <c r="U35838"/>
      <c r="X35838" s="60"/>
    </row>
    <row r="35839" spans="7:24" ht="15" customHeight="1">
      <c r="G35839"/>
      <c r="I35839"/>
      <c r="N35839"/>
      <c r="O35839" s="24"/>
      <c r="P35839"/>
      <c r="Q35839" s="24"/>
      <c r="R35839"/>
      <c r="S35839"/>
      <c r="T35839"/>
      <c r="U35839"/>
      <c r="X35839" s="60"/>
    </row>
    <row r="35840" spans="7:24" ht="15" customHeight="1">
      <c r="G35840"/>
      <c r="I35840"/>
      <c r="N35840"/>
      <c r="O35840" s="24"/>
      <c r="P35840"/>
      <c r="Q35840" s="24"/>
      <c r="R35840"/>
      <c r="S35840"/>
      <c r="T35840"/>
      <c r="U35840"/>
      <c r="X35840" s="60"/>
    </row>
    <row r="35841" spans="7:24" ht="15" customHeight="1">
      <c r="G35841"/>
      <c r="I35841"/>
      <c r="N35841"/>
      <c r="O35841" s="24"/>
      <c r="P35841"/>
      <c r="Q35841" s="24"/>
      <c r="R35841"/>
      <c r="S35841"/>
      <c r="T35841"/>
      <c r="U35841"/>
      <c r="X35841" s="60"/>
    </row>
    <row r="35842" spans="7:24" ht="15" customHeight="1">
      <c r="G35842"/>
      <c r="I35842"/>
      <c r="N35842"/>
      <c r="O35842" s="24"/>
      <c r="P35842"/>
      <c r="Q35842" s="24"/>
      <c r="R35842"/>
      <c r="S35842"/>
      <c r="T35842"/>
      <c r="U35842"/>
      <c r="X35842" s="60"/>
    </row>
    <row r="35843" spans="7:24" ht="15" customHeight="1">
      <c r="G35843"/>
      <c r="I35843"/>
      <c r="N35843"/>
      <c r="O35843" s="24"/>
      <c r="P35843"/>
      <c r="Q35843" s="24"/>
      <c r="R35843"/>
      <c r="S35843"/>
      <c r="T35843"/>
      <c r="U35843"/>
      <c r="X35843" s="60"/>
    </row>
    <row r="35844" spans="7:24" ht="15" customHeight="1">
      <c r="G35844"/>
      <c r="I35844"/>
      <c r="N35844"/>
      <c r="O35844" s="24"/>
      <c r="P35844"/>
      <c r="Q35844" s="24"/>
      <c r="R35844"/>
      <c r="S35844"/>
      <c r="T35844"/>
      <c r="U35844"/>
      <c r="X35844" s="60"/>
    </row>
    <row r="35845" spans="7:24" ht="15" customHeight="1">
      <c r="G35845"/>
      <c r="I35845"/>
      <c r="N35845"/>
      <c r="O35845" s="24"/>
      <c r="P35845"/>
      <c r="Q35845" s="24"/>
      <c r="R35845"/>
      <c r="S35845"/>
      <c r="T35845"/>
      <c r="U35845"/>
      <c r="X35845" s="60"/>
    </row>
    <row r="35846" spans="7:24" ht="15" customHeight="1">
      <c r="G35846"/>
      <c r="I35846"/>
      <c r="N35846"/>
      <c r="O35846" s="24"/>
      <c r="P35846"/>
      <c r="Q35846" s="24"/>
      <c r="R35846"/>
      <c r="S35846"/>
      <c r="T35846"/>
      <c r="U35846"/>
      <c r="X35846" s="60"/>
    </row>
    <row r="35847" spans="7:24" ht="15" customHeight="1">
      <c r="G35847"/>
      <c r="I35847"/>
      <c r="N35847"/>
      <c r="O35847" s="24"/>
      <c r="P35847"/>
      <c r="Q35847" s="24"/>
      <c r="R35847"/>
      <c r="S35847"/>
      <c r="T35847"/>
      <c r="U35847"/>
      <c r="X35847" s="60"/>
    </row>
    <row r="35848" spans="7:24" ht="15" customHeight="1">
      <c r="G35848"/>
      <c r="I35848"/>
      <c r="N35848"/>
      <c r="O35848" s="24"/>
      <c r="P35848"/>
      <c r="Q35848" s="24"/>
      <c r="R35848"/>
      <c r="S35848"/>
      <c r="T35848"/>
      <c r="U35848"/>
      <c r="X35848" s="60"/>
    </row>
    <row r="35849" spans="7:24" ht="15" customHeight="1">
      <c r="G35849"/>
      <c r="I35849"/>
      <c r="N35849"/>
      <c r="O35849" s="24"/>
      <c r="P35849"/>
      <c r="Q35849" s="24"/>
      <c r="R35849"/>
      <c r="S35849"/>
      <c r="T35849"/>
      <c r="U35849"/>
      <c r="X35849" s="60"/>
    </row>
    <row r="35850" spans="7:24" ht="15" customHeight="1">
      <c r="G35850"/>
      <c r="I35850"/>
      <c r="N35850"/>
      <c r="O35850" s="24"/>
      <c r="P35850"/>
      <c r="Q35850" s="24"/>
      <c r="R35850"/>
      <c r="S35850"/>
      <c r="T35850"/>
      <c r="U35850"/>
      <c r="X35850" s="60"/>
    </row>
    <row r="35851" spans="7:24" ht="15" customHeight="1">
      <c r="G35851"/>
      <c r="I35851"/>
      <c r="N35851"/>
      <c r="O35851" s="24"/>
      <c r="P35851"/>
      <c r="Q35851" s="24"/>
      <c r="R35851"/>
      <c r="S35851"/>
      <c r="T35851"/>
      <c r="U35851"/>
      <c r="X35851" s="60"/>
    </row>
    <row r="35852" spans="7:24" ht="15" customHeight="1">
      <c r="G35852"/>
      <c r="I35852"/>
      <c r="N35852"/>
      <c r="O35852" s="24"/>
      <c r="P35852"/>
      <c r="Q35852" s="24"/>
      <c r="R35852"/>
      <c r="S35852"/>
      <c r="T35852"/>
      <c r="U35852"/>
      <c r="X35852" s="60"/>
    </row>
    <row r="35853" spans="7:24" ht="15" customHeight="1">
      <c r="G35853"/>
      <c r="I35853"/>
      <c r="N35853"/>
      <c r="O35853" s="24"/>
      <c r="P35853"/>
      <c r="Q35853" s="24"/>
      <c r="R35853"/>
      <c r="S35853"/>
      <c r="T35853"/>
      <c r="U35853"/>
      <c r="X35853" s="60"/>
    </row>
    <row r="35854" spans="7:24" ht="15" customHeight="1">
      <c r="G35854"/>
      <c r="I35854"/>
      <c r="N35854"/>
      <c r="O35854" s="24"/>
      <c r="P35854"/>
      <c r="Q35854" s="24"/>
      <c r="R35854"/>
      <c r="S35854"/>
      <c r="T35854"/>
      <c r="U35854"/>
      <c r="X35854" s="60"/>
    </row>
    <row r="35855" spans="7:24" ht="15" customHeight="1">
      <c r="G35855"/>
      <c r="I35855"/>
      <c r="N35855"/>
      <c r="O35855" s="24"/>
      <c r="P35855"/>
      <c r="Q35855" s="24"/>
      <c r="R35855"/>
      <c r="S35855"/>
      <c r="T35855"/>
      <c r="U35855"/>
      <c r="X35855" s="60"/>
    </row>
    <row r="35856" spans="7:24" ht="15" customHeight="1">
      <c r="G35856"/>
      <c r="I35856"/>
      <c r="N35856"/>
      <c r="O35856" s="24"/>
      <c r="P35856"/>
      <c r="Q35856" s="24"/>
      <c r="R35856"/>
      <c r="S35856"/>
      <c r="T35856"/>
      <c r="U35856"/>
      <c r="X35856" s="60"/>
    </row>
    <row r="35857" spans="7:24" ht="15" customHeight="1">
      <c r="G35857"/>
      <c r="I35857"/>
      <c r="N35857"/>
      <c r="O35857" s="24"/>
      <c r="P35857"/>
      <c r="Q35857" s="24"/>
      <c r="R35857"/>
      <c r="S35857"/>
      <c r="T35857"/>
      <c r="U35857"/>
      <c r="X35857" s="60"/>
    </row>
    <row r="35858" spans="7:24" ht="15" customHeight="1">
      <c r="G35858"/>
      <c r="I35858"/>
      <c r="N35858"/>
      <c r="O35858" s="24"/>
      <c r="P35858"/>
      <c r="Q35858" s="24"/>
      <c r="R35858"/>
      <c r="S35858"/>
      <c r="T35858"/>
      <c r="U35858"/>
      <c r="X35858" s="60"/>
    </row>
    <row r="35859" spans="7:24" ht="15" customHeight="1">
      <c r="G35859"/>
      <c r="I35859"/>
      <c r="N35859"/>
      <c r="O35859" s="24"/>
      <c r="P35859"/>
      <c r="Q35859" s="24"/>
      <c r="R35859"/>
      <c r="S35859"/>
      <c r="T35859"/>
      <c r="U35859"/>
      <c r="X35859" s="60"/>
    </row>
    <row r="35860" spans="7:24" ht="15" customHeight="1">
      <c r="G35860"/>
      <c r="I35860"/>
      <c r="N35860"/>
      <c r="O35860" s="24"/>
      <c r="P35860"/>
      <c r="Q35860" s="24"/>
      <c r="R35860"/>
      <c r="S35860"/>
      <c r="T35860"/>
      <c r="U35860"/>
      <c r="X35860" s="60"/>
    </row>
    <row r="35861" spans="7:24" ht="15" customHeight="1">
      <c r="G35861"/>
      <c r="I35861"/>
      <c r="N35861"/>
      <c r="O35861" s="24"/>
      <c r="P35861"/>
      <c r="Q35861" s="24"/>
      <c r="R35861"/>
      <c r="S35861"/>
      <c r="T35861"/>
      <c r="U35861"/>
      <c r="X35861" s="60"/>
    </row>
    <row r="35862" spans="7:24" ht="15" customHeight="1">
      <c r="G35862"/>
      <c r="I35862"/>
      <c r="N35862"/>
      <c r="O35862" s="24"/>
      <c r="P35862"/>
      <c r="Q35862" s="24"/>
      <c r="R35862"/>
      <c r="S35862"/>
      <c r="T35862"/>
      <c r="U35862"/>
      <c r="X35862" s="60"/>
    </row>
    <row r="35863" spans="7:24" ht="15" customHeight="1">
      <c r="G35863"/>
      <c r="I35863"/>
      <c r="N35863"/>
      <c r="O35863" s="24"/>
      <c r="P35863"/>
      <c r="Q35863" s="24"/>
      <c r="R35863"/>
      <c r="S35863"/>
      <c r="T35863"/>
      <c r="U35863"/>
      <c r="X35863" s="60"/>
    </row>
    <row r="35864" spans="7:24" ht="15" customHeight="1">
      <c r="G35864"/>
      <c r="I35864"/>
      <c r="N35864"/>
      <c r="O35864" s="24"/>
      <c r="P35864"/>
      <c r="Q35864" s="24"/>
      <c r="R35864"/>
      <c r="S35864"/>
      <c r="T35864"/>
      <c r="U35864"/>
      <c r="X35864" s="60"/>
    </row>
    <row r="35865" spans="7:24" ht="15" customHeight="1">
      <c r="G35865"/>
      <c r="I35865"/>
      <c r="N35865"/>
      <c r="O35865" s="24"/>
      <c r="P35865"/>
      <c r="Q35865" s="24"/>
      <c r="R35865"/>
      <c r="S35865"/>
      <c r="T35865"/>
      <c r="U35865"/>
      <c r="X35865" s="60"/>
    </row>
    <row r="35866" spans="7:24" ht="15" customHeight="1">
      <c r="G35866"/>
      <c r="I35866"/>
      <c r="N35866"/>
      <c r="O35866" s="24"/>
      <c r="P35866"/>
      <c r="Q35866" s="24"/>
      <c r="R35866"/>
      <c r="S35866"/>
      <c r="T35866"/>
      <c r="U35866"/>
      <c r="X35866" s="60"/>
    </row>
    <row r="35867" spans="7:24" ht="15" customHeight="1">
      <c r="G35867"/>
      <c r="I35867"/>
      <c r="N35867"/>
      <c r="O35867" s="24"/>
      <c r="P35867"/>
      <c r="Q35867" s="24"/>
      <c r="R35867"/>
      <c r="S35867"/>
      <c r="T35867"/>
      <c r="U35867"/>
      <c r="X35867" s="60"/>
    </row>
    <row r="35868" spans="7:24" ht="15" customHeight="1">
      <c r="G35868"/>
      <c r="I35868"/>
      <c r="N35868"/>
      <c r="O35868" s="24"/>
      <c r="P35868"/>
      <c r="Q35868" s="24"/>
      <c r="R35868"/>
      <c r="S35868"/>
      <c r="T35868"/>
      <c r="U35868"/>
      <c r="X35868" s="60"/>
    </row>
    <row r="35869" spans="7:24" ht="15" customHeight="1">
      <c r="G35869"/>
      <c r="I35869"/>
      <c r="N35869"/>
      <c r="O35869" s="24"/>
      <c r="P35869"/>
      <c r="Q35869" s="24"/>
      <c r="R35869"/>
      <c r="S35869"/>
      <c r="T35869"/>
      <c r="U35869"/>
      <c r="X35869" s="60"/>
    </row>
    <row r="35870" spans="7:24" ht="15" customHeight="1">
      <c r="G35870"/>
      <c r="I35870"/>
      <c r="N35870"/>
      <c r="O35870" s="24"/>
      <c r="P35870"/>
      <c r="Q35870" s="24"/>
      <c r="R35870"/>
      <c r="S35870"/>
      <c r="T35870"/>
      <c r="U35870"/>
      <c r="X35870" s="60"/>
    </row>
    <row r="35871" spans="7:24" ht="15" customHeight="1">
      <c r="G35871"/>
      <c r="I35871"/>
      <c r="N35871"/>
      <c r="O35871" s="24"/>
      <c r="P35871"/>
      <c r="Q35871" s="24"/>
      <c r="R35871"/>
      <c r="S35871"/>
      <c r="T35871"/>
      <c r="U35871"/>
      <c r="X35871" s="60"/>
    </row>
    <row r="35872" spans="7:24" ht="15" customHeight="1">
      <c r="G35872"/>
      <c r="I35872"/>
      <c r="N35872"/>
      <c r="O35872" s="24"/>
      <c r="P35872"/>
      <c r="Q35872" s="24"/>
      <c r="R35872"/>
      <c r="S35872"/>
      <c r="T35872"/>
      <c r="U35872"/>
      <c r="X35872" s="60"/>
    </row>
    <row r="35873" spans="7:24" ht="15" customHeight="1">
      <c r="G35873"/>
      <c r="I35873"/>
      <c r="N35873"/>
      <c r="O35873" s="24"/>
      <c r="P35873"/>
      <c r="Q35873" s="24"/>
      <c r="R35873"/>
      <c r="S35873"/>
      <c r="T35873"/>
      <c r="U35873"/>
      <c r="X35873" s="60"/>
    </row>
    <row r="35874" spans="7:24" ht="15" customHeight="1">
      <c r="G35874"/>
      <c r="I35874"/>
      <c r="N35874"/>
      <c r="O35874" s="24"/>
      <c r="P35874"/>
      <c r="Q35874" s="24"/>
      <c r="R35874"/>
      <c r="S35874"/>
      <c r="T35874"/>
      <c r="U35874"/>
      <c r="X35874" s="60"/>
    </row>
    <row r="35875" spans="7:24" ht="15" customHeight="1">
      <c r="G35875"/>
      <c r="I35875"/>
      <c r="N35875"/>
      <c r="O35875" s="24"/>
      <c r="P35875"/>
      <c r="Q35875" s="24"/>
      <c r="R35875"/>
      <c r="S35875"/>
      <c r="T35875"/>
      <c r="U35875"/>
      <c r="X35875" s="60"/>
    </row>
    <row r="35876" spans="7:24" ht="15" customHeight="1">
      <c r="G35876"/>
      <c r="I35876"/>
      <c r="N35876"/>
      <c r="O35876" s="24"/>
      <c r="P35876"/>
      <c r="Q35876" s="24"/>
      <c r="R35876"/>
      <c r="S35876"/>
      <c r="T35876"/>
      <c r="U35876"/>
      <c r="X35876" s="60"/>
    </row>
    <row r="35877" spans="7:24" ht="15" customHeight="1">
      <c r="G35877"/>
      <c r="I35877"/>
      <c r="N35877"/>
      <c r="O35877" s="24"/>
      <c r="P35877"/>
      <c r="Q35877" s="24"/>
      <c r="R35877"/>
      <c r="S35877"/>
      <c r="T35877"/>
      <c r="U35877"/>
      <c r="X35877" s="60"/>
    </row>
    <row r="35878" spans="7:24" ht="15" customHeight="1">
      <c r="G35878"/>
      <c r="I35878"/>
      <c r="N35878"/>
      <c r="O35878" s="24"/>
      <c r="P35878"/>
      <c r="Q35878" s="24"/>
      <c r="R35878"/>
      <c r="S35878"/>
      <c r="T35878"/>
      <c r="U35878"/>
      <c r="X35878" s="60"/>
    </row>
    <row r="35879" spans="7:24" ht="15" customHeight="1">
      <c r="G35879"/>
      <c r="I35879"/>
      <c r="N35879"/>
      <c r="O35879" s="24"/>
      <c r="P35879"/>
      <c r="Q35879" s="24"/>
      <c r="R35879"/>
      <c r="S35879"/>
      <c r="T35879"/>
      <c r="U35879"/>
      <c r="X35879" s="60"/>
    </row>
    <row r="35880" spans="7:24" ht="15" customHeight="1">
      <c r="G35880"/>
      <c r="I35880"/>
      <c r="N35880"/>
      <c r="O35880" s="24"/>
      <c r="P35880"/>
      <c r="Q35880" s="24"/>
      <c r="R35880"/>
      <c r="S35880"/>
      <c r="T35880"/>
      <c r="U35880"/>
      <c r="X35880" s="60"/>
    </row>
    <row r="35881" spans="7:24" ht="15" customHeight="1">
      <c r="G35881"/>
      <c r="I35881"/>
      <c r="N35881"/>
      <c r="O35881" s="24"/>
      <c r="P35881"/>
      <c r="Q35881" s="24"/>
      <c r="R35881"/>
      <c r="S35881"/>
      <c r="T35881"/>
      <c r="U35881"/>
      <c r="X35881" s="60"/>
    </row>
    <row r="35882" spans="7:24" ht="15" customHeight="1">
      <c r="G35882"/>
      <c r="I35882"/>
      <c r="N35882"/>
      <c r="O35882" s="24"/>
      <c r="P35882"/>
      <c r="Q35882" s="24"/>
      <c r="R35882"/>
      <c r="S35882"/>
      <c r="T35882"/>
      <c r="U35882"/>
      <c r="X35882" s="60"/>
    </row>
    <row r="35883" spans="7:24" ht="15" customHeight="1">
      <c r="G35883"/>
      <c r="I35883"/>
      <c r="N35883"/>
      <c r="O35883" s="24"/>
      <c r="P35883"/>
      <c r="Q35883" s="24"/>
      <c r="R35883"/>
      <c r="S35883"/>
      <c r="T35883"/>
      <c r="U35883"/>
      <c r="X35883" s="60"/>
    </row>
    <row r="35884" spans="7:24" ht="15" customHeight="1">
      <c r="G35884"/>
      <c r="I35884"/>
      <c r="N35884"/>
      <c r="O35884" s="24"/>
      <c r="P35884"/>
      <c r="Q35884" s="24"/>
      <c r="R35884"/>
      <c r="S35884"/>
      <c r="T35884"/>
      <c r="U35884"/>
      <c r="X35884" s="60"/>
    </row>
    <row r="35885" spans="7:24" ht="15" customHeight="1">
      <c r="G35885"/>
      <c r="I35885"/>
      <c r="N35885"/>
      <c r="O35885" s="24"/>
      <c r="P35885"/>
      <c r="Q35885" s="24"/>
      <c r="R35885"/>
      <c r="S35885"/>
      <c r="T35885"/>
      <c r="U35885"/>
      <c r="X35885" s="60"/>
    </row>
    <row r="35886" spans="7:24" ht="15" customHeight="1">
      <c r="G35886"/>
      <c r="I35886"/>
      <c r="N35886"/>
      <c r="O35886" s="24"/>
      <c r="P35886"/>
      <c r="Q35886" s="24"/>
      <c r="R35886"/>
      <c r="S35886"/>
      <c r="T35886"/>
      <c r="U35886"/>
      <c r="X35886" s="60"/>
    </row>
    <row r="35887" spans="7:24" ht="15" customHeight="1">
      <c r="G35887"/>
      <c r="I35887"/>
      <c r="N35887"/>
      <c r="O35887" s="24"/>
      <c r="P35887"/>
      <c r="Q35887" s="24"/>
      <c r="R35887"/>
      <c r="S35887"/>
      <c r="T35887"/>
      <c r="U35887"/>
      <c r="X35887" s="60"/>
    </row>
    <row r="35888" spans="7:24" ht="15" customHeight="1">
      <c r="G35888"/>
      <c r="I35888"/>
      <c r="N35888"/>
      <c r="O35888" s="24"/>
      <c r="P35888"/>
      <c r="Q35888" s="24"/>
      <c r="R35888"/>
      <c r="S35888"/>
      <c r="T35888"/>
      <c r="U35888"/>
      <c r="X35888" s="60"/>
    </row>
    <row r="35889" spans="7:24" ht="15" customHeight="1">
      <c r="G35889"/>
      <c r="I35889"/>
      <c r="N35889"/>
      <c r="O35889" s="24"/>
      <c r="P35889"/>
      <c r="Q35889" s="24"/>
      <c r="R35889"/>
      <c r="S35889"/>
      <c r="T35889"/>
      <c r="U35889"/>
      <c r="X35889" s="60"/>
    </row>
    <row r="35890" spans="7:24" ht="15" customHeight="1">
      <c r="G35890"/>
      <c r="I35890"/>
      <c r="N35890"/>
      <c r="O35890" s="24"/>
      <c r="P35890"/>
      <c r="Q35890" s="24"/>
      <c r="R35890"/>
      <c r="S35890"/>
      <c r="T35890"/>
      <c r="U35890"/>
      <c r="X35890" s="60"/>
    </row>
    <row r="35891" spans="7:24" ht="15" customHeight="1">
      <c r="G35891"/>
      <c r="I35891"/>
      <c r="N35891"/>
      <c r="O35891" s="24"/>
      <c r="P35891"/>
      <c r="Q35891" s="24"/>
      <c r="R35891"/>
      <c r="S35891"/>
      <c r="T35891"/>
      <c r="U35891"/>
      <c r="X35891" s="60"/>
    </row>
    <row r="35892" spans="7:24" ht="15" customHeight="1">
      <c r="G35892"/>
      <c r="I35892"/>
      <c r="N35892"/>
      <c r="O35892" s="24"/>
      <c r="P35892"/>
      <c r="Q35892" s="24"/>
      <c r="R35892"/>
      <c r="S35892"/>
      <c r="T35892"/>
      <c r="U35892"/>
      <c r="X35892" s="60"/>
    </row>
    <row r="35893" spans="7:24" ht="15" customHeight="1">
      <c r="G35893"/>
      <c r="I35893"/>
      <c r="N35893"/>
      <c r="O35893" s="24"/>
      <c r="P35893"/>
      <c r="Q35893" s="24"/>
      <c r="R35893"/>
      <c r="S35893"/>
      <c r="T35893"/>
      <c r="U35893"/>
      <c r="X35893" s="60"/>
    </row>
    <row r="35894" spans="7:24" ht="15" customHeight="1">
      <c r="G35894"/>
      <c r="I35894"/>
      <c r="N35894"/>
      <c r="O35894" s="24"/>
      <c r="P35894"/>
      <c r="Q35894" s="24"/>
      <c r="R35894"/>
      <c r="S35894"/>
      <c r="T35894"/>
      <c r="U35894"/>
      <c r="X35894" s="60"/>
    </row>
    <row r="35895" spans="7:24" ht="15" customHeight="1">
      <c r="G35895"/>
      <c r="I35895"/>
      <c r="N35895"/>
      <c r="O35895" s="24"/>
      <c r="P35895"/>
      <c r="Q35895" s="24"/>
      <c r="R35895"/>
      <c r="S35895"/>
      <c r="T35895"/>
      <c r="U35895"/>
      <c r="X35895" s="60"/>
    </row>
    <row r="35896" spans="7:24" ht="15" customHeight="1">
      <c r="G35896"/>
      <c r="I35896"/>
      <c r="N35896"/>
      <c r="O35896" s="24"/>
      <c r="P35896"/>
      <c r="Q35896" s="24"/>
      <c r="R35896"/>
      <c r="S35896"/>
      <c r="T35896"/>
      <c r="U35896"/>
      <c r="X35896" s="60"/>
    </row>
    <row r="35897" spans="7:24" ht="15" customHeight="1">
      <c r="G35897"/>
      <c r="I35897"/>
      <c r="N35897"/>
      <c r="O35897" s="24"/>
      <c r="P35897"/>
      <c r="Q35897" s="24"/>
      <c r="R35897"/>
      <c r="S35897"/>
      <c r="T35897"/>
      <c r="U35897"/>
      <c r="X35897" s="60"/>
    </row>
    <row r="35898" spans="7:24" ht="15" customHeight="1">
      <c r="G35898"/>
      <c r="I35898"/>
      <c r="N35898"/>
      <c r="O35898" s="24"/>
      <c r="P35898"/>
      <c r="Q35898" s="24"/>
      <c r="R35898"/>
      <c r="S35898"/>
      <c r="T35898"/>
      <c r="U35898"/>
      <c r="X35898" s="60"/>
    </row>
    <row r="35899" spans="7:24" ht="15" customHeight="1">
      <c r="G35899"/>
      <c r="I35899"/>
      <c r="N35899"/>
      <c r="O35899" s="24"/>
      <c r="P35899"/>
      <c r="Q35899" s="24"/>
      <c r="R35899"/>
      <c r="S35899"/>
      <c r="T35899"/>
      <c r="U35899"/>
      <c r="X35899" s="60"/>
    </row>
    <row r="35900" spans="7:24" ht="15" customHeight="1">
      <c r="G35900"/>
      <c r="I35900"/>
      <c r="N35900"/>
      <c r="O35900" s="24"/>
      <c r="P35900"/>
      <c r="Q35900" s="24"/>
      <c r="R35900"/>
      <c r="S35900"/>
      <c r="T35900"/>
      <c r="U35900"/>
      <c r="X35900" s="60"/>
    </row>
    <row r="35901" spans="7:24" ht="15" customHeight="1">
      <c r="G35901"/>
      <c r="I35901"/>
      <c r="N35901"/>
      <c r="O35901" s="24"/>
      <c r="P35901"/>
      <c r="Q35901" s="24"/>
      <c r="R35901"/>
      <c r="S35901"/>
      <c r="T35901"/>
      <c r="U35901"/>
      <c r="X35901" s="60"/>
    </row>
    <row r="35902" spans="7:24" ht="15" customHeight="1">
      <c r="G35902"/>
      <c r="I35902"/>
      <c r="N35902"/>
      <c r="O35902" s="24"/>
      <c r="P35902"/>
      <c r="Q35902" s="24"/>
      <c r="R35902"/>
      <c r="S35902"/>
      <c r="T35902"/>
      <c r="U35902"/>
      <c r="X35902" s="60"/>
    </row>
    <row r="35903" spans="7:24" ht="15" customHeight="1">
      <c r="G35903"/>
      <c r="I35903"/>
      <c r="N35903"/>
      <c r="O35903" s="24"/>
      <c r="P35903"/>
      <c r="Q35903" s="24"/>
      <c r="R35903"/>
      <c r="S35903"/>
      <c r="T35903"/>
      <c r="U35903"/>
      <c r="X35903" s="60"/>
    </row>
    <row r="35904" spans="7:24" ht="15" customHeight="1">
      <c r="G35904"/>
      <c r="I35904"/>
      <c r="N35904"/>
      <c r="O35904" s="24"/>
      <c r="P35904"/>
      <c r="Q35904" s="24"/>
      <c r="R35904"/>
      <c r="S35904"/>
      <c r="T35904"/>
      <c r="U35904"/>
      <c r="X35904" s="60"/>
    </row>
    <row r="35905" spans="7:24" ht="15" customHeight="1">
      <c r="G35905"/>
      <c r="I35905"/>
      <c r="N35905"/>
      <c r="O35905" s="24"/>
      <c r="P35905"/>
      <c r="Q35905" s="24"/>
      <c r="R35905"/>
      <c r="S35905"/>
      <c r="T35905"/>
      <c r="U35905"/>
      <c r="X35905" s="60"/>
    </row>
    <row r="35906" spans="7:24" ht="15" customHeight="1">
      <c r="G35906"/>
      <c r="I35906"/>
      <c r="N35906"/>
      <c r="O35906" s="24"/>
      <c r="P35906"/>
      <c r="Q35906" s="24"/>
      <c r="R35906"/>
      <c r="S35906"/>
      <c r="T35906"/>
      <c r="U35906"/>
      <c r="X35906" s="60"/>
    </row>
    <row r="35907" spans="7:24" ht="15" customHeight="1">
      <c r="G35907"/>
      <c r="I35907"/>
      <c r="N35907"/>
      <c r="O35907" s="24"/>
      <c r="P35907"/>
      <c r="Q35907" s="24"/>
      <c r="R35907"/>
      <c r="S35907"/>
      <c r="T35907"/>
      <c r="U35907"/>
      <c r="X35907" s="60"/>
    </row>
    <row r="35908" spans="7:24" ht="15" customHeight="1">
      <c r="G35908"/>
      <c r="I35908"/>
      <c r="N35908"/>
      <c r="O35908" s="24"/>
      <c r="P35908"/>
      <c r="Q35908" s="24"/>
      <c r="R35908"/>
      <c r="S35908"/>
      <c r="T35908"/>
      <c r="U35908"/>
      <c r="X35908" s="60"/>
    </row>
    <row r="35909" spans="7:24" ht="15" customHeight="1">
      <c r="G35909"/>
      <c r="I35909"/>
      <c r="N35909"/>
      <c r="O35909" s="24"/>
      <c r="P35909"/>
      <c r="Q35909" s="24"/>
      <c r="R35909"/>
      <c r="S35909"/>
      <c r="T35909"/>
      <c r="U35909"/>
      <c r="X35909" s="60"/>
    </row>
    <row r="35910" spans="7:24" ht="15" customHeight="1">
      <c r="G35910"/>
      <c r="I35910"/>
      <c r="N35910"/>
      <c r="O35910" s="24"/>
      <c r="P35910"/>
      <c r="Q35910" s="24"/>
      <c r="R35910"/>
      <c r="S35910"/>
      <c r="T35910"/>
      <c r="U35910"/>
      <c r="X35910" s="60"/>
    </row>
    <row r="35911" spans="7:24" ht="15" customHeight="1">
      <c r="G35911"/>
      <c r="I35911"/>
      <c r="N35911"/>
      <c r="O35911" s="24"/>
      <c r="P35911"/>
      <c r="Q35911" s="24"/>
      <c r="R35911"/>
      <c r="S35911"/>
      <c r="T35911"/>
      <c r="U35911"/>
      <c r="X35911" s="60"/>
    </row>
    <row r="35912" spans="7:24" ht="15" customHeight="1">
      <c r="G35912"/>
      <c r="I35912"/>
      <c r="N35912"/>
      <c r="O35912" s="24"/>
      <c r="P35912"/>
      <c r="Q35912" s="24"/>
      <c r="R35912"/>
      <c r="S35912"/>
      <c r="T35912"/>
      <c r="U35912"/>
      <c r="X35912" s="60"/>
    </row>
    <row r="35913" spans="7:24" ht="15" customHeight="1">
      <c r="G35913"/>
      <c r="I35913"/>
      <c r="N35913"/>
      <c r="O35913" s="24"/>
      <c r="P35913"/>
      <c r="Q35913" s="24"/>
      <c r="R35913"/>
      <c r="S35913"/>
      <c r="T35913"/>
      <c r="U35913"/>
      <c r="X35913" s="60"/>
    </row>
    <row r="35914" spans="7:24" ht="15" customHeight="1">
      <c r="G35914"/>
      <c r="I35914"/>
      <c r="N35914"/>
      <c r="O35914" s="24"/>
      <c r="P35914"/>
      <c r="Q35914" s="24"/>
      <c r="R35914"/>
      <c r="S35914"/>
      <c r="T35914"/>
      <c r="U35914"/>
      <c r="X35914" s="60"/>
    </row>
    <row r="35915" spans="7:24" ht="15" customHeight="1">
      <c r="G35915"/>
      <c r="I35915"/>
      <c r="N35915"/>
      <c r="O35915" s="24"/>
      <c r="P35915"/>
      <c r="Q35915" s="24"/>
      <c r="R35915"/>
      <c r="S35915"/>
      <c r="T35915"/>
      <c r="U35915"/>
      <c r="X35915" s="60"/>
    </row>
    <row r="35916" spans="7:24" ht="15" customHeight="1">
      <c r="G35916"/>
      <c r="I35916"/>
      <c r="N35916"/>
      <c r="O35916" s="24"/>
      <c r="P35916"/>
      <c r="Q35916" s="24"/>
      <c r="R35916"/>
      <c r="S35916"/>
      <c r="T35916"/>
      <c r="U35916"/>
      <c r="X35916" s="60"/>
    </row>
    <row r="35917" spans="7:24" ht="15" customHeight="1">
      <c r="G35917"/>
      <c r="I35917"/>
      <c r="N35917"/>
      <c r="O35917" s="24"/>
      <c r="P35917"/>
      <c r="Q35917" s="24"/>
      <c r="R35917"/>
      <c r="S35917"/>
      <c r="T35917"/>
      <c r="U35917"/>
      <c r="X35917" s="60"/>
    </row>
    <row r="35918" spans="7:24" ht="15" customHeight="1">
      <c r="G35918"/>
      <c r="I35918"/>
      <c r="N35918"/>
      <c r="O35918" s="24"/>
      <c r="P35918"/>
      <c r="Q35918" s="24"/>
      <c r="R35918"/>
      <c r="S35918"/>
      <c r="T35918"/>
      <c r="U35918"/>
      <c r="X35918" s="60"/>
    </row>
    <row r="35919" spans="7:24" ht="15" customHeight="1">
      <c r="G35919"/>
      <c r="I35919"/>
      <c r="N35919"/>
      <c r="O35919" s="24"/>
      <c r="P35919"/>
      <c r="Q35919" s="24"/>
      <c r="R35919"/>
      <c r="S35919"/>
      <c r="T35919"/>
      <c r="U35919"/>
      <c r="X35919" s="60"/>
    </row>
    <row r="35920" spans="7:24" ht="15" customHeight="1">
      <c r="G35920"/>
      <c r="I35920"/>
      <c r="N35920"/>
      <c r="O35920" s="24"/>
      <c r="P35920"/>
      <c r="Q35920" s="24"/>
      <c r="R35920"/>
      <c r="S35920"/>
      <c r="T35920"/>
      <c r="U35920"/>
      <c r="X35920" s="60"/>
    </row>
    <row r="35921" spans="7:24" ht="15" customHeight="1">
      <c r="G35921"/>
      <c r="I35921"/>
      <c r="N35921"/>
      <c r="O35921" s="24"/>
      <c r="P35921"/>
      <c r="Q35921" s="24"/>
      <c r="R35921"/>
      <c r="S35921"/>
      <c r="T35921"/>
      <c r="U35921"/>
      <c r="X35921" s="60"/>
    </row>
    <row r="35922" spans="7:24" ht="15" customHeight="1">
      <c r="G35922"/>
      <c r="I35922"/>
      <c r="N35922"/>
      <c r="O35922" s="24"/>
      <c r="P35922"/>
      <c r="Q35922" s="24"/>
      <c r="R35922"/>
      <c r="S35922"/>
      <c r="T35922"/>
      <c r="U35922"/>
      <c r="X35922" s="60"/>
    </row>
    <row r="35923" spans="7:24" ht="15" customHeight="1">
      <c r="G35923"/>
      <c r="I35923"/>
      <c r="N35923"/>
      <c r="O35923" s="24"/>
      <c r="P35923"/>
      <c r="Q35923" s="24"/>
      <c r="R35923"/>
      <c r="S35923"/>
      <c r="T35923"/>
      <c r="U35923"/>
      <c r="X35923" s="60"/>
    </row>
    <row r="35924" spans="7:24" ht="15" customHeight="1">
      <c r="G35924"/>
      <c r="I35924"/>
      <c r="N35924"/>
      <c r="O35924" s="24"/>
      <c r="P35924"/>
      <c r="Q35924" s="24"/>
      <c r="R35924"/>
      <c r="S35924"/>
      <c r="T35924"/>
      <c r="U35924"/>
      <c r="X35924" s="60"/>
    </row>
    <row r="35925" spans="7:24" ht="15" customHeight="1">
      <c r="G35925"/>
      <c r="I35925"/>
      <c r="N35925"/>
      <c r="O35925" s="24"/>
      <c r="P35925"/>
      <c r="Q35925" s="24"/>
      <c r="R35925"/>
      <c r="S35925"/>
      <c r="T35925"/>
      <c r="U35925"/>
      <c r="X35925" s="60"/>
    </row>
    <row r="35926" spans="7:24" ht="15" customHeight="1">
      <c r="G35926"/>
      <c r="I35926"/>
      <c r="N35926"/>
      <c r="O35926" s="24"/>
      <c r="P35926"/>
      <c r="Q35926" s="24"/>
      <c r="R35926"/>
      <c r="S35926"/>
      <c r="T35926"/>
      <c r="U35926"/>
      <c r="X35926" s="60"/>
    </row>
    <row r="35927" spans="7:24" ht="15" customHeight="1">
      <c r="G35927"/>
      <c r="I35927"/>
      <c r="N35927"/>
      <c r="O35927" s="24"/>
      <c r="P35927"/>
      <c r="Q35927" s="24"/>
      <c r="R35927"/>
      <c r="S35927"/>
      <c r="T35927"/>
      <c r="U35927"/>
      <c r="X35927" s="60"/>
    </row>
    <row r="35928" spans="7:24" ht="15" customHeight="1">
      <c r="G35928"/>
      <c r="I35928"/>
      <c r="N35928"/>
      <c r="O35928" s="24"/>
      <c r="P35928"/>
      <c r="Q35928" s="24"/>
      <c r="R35928"/>
      <c r="S35928"/>
      <c r="T35928"/>
      <c r="U35928"/>
      <c r="X35928" s="60"/>
    </row>
    <row r="35929" spans="7:24" ht="15" customHeight="1">
      <c r="G35929"/>
      <c r="I35929"/>
      <c r="N35929"/>
      <c r="O35929" s="24"/>
      <c r="P35929"/>
      <c r="Q35929" s="24"/>
      <c r="R35929"/>
      <c r="S35929"/>
      <c r="T35929"/>
      <c r="U35929"/>
      <c r="X35929" s="60"/>
    </row>
    <row r="35930" spans="7:24" ht="15" customHeight="1">
      <c r="G35930"/>
      <c r="I35930"/>
      <c r="N35930"/>
      <c r="O35930" s="24"/>
      <c r="P35930"/>
      <c r="Q35930" s="24"/>
      <c r="R35930"/>
      <c r="S35930"/>
      <c r="T35930"/>
      <c r="U35930"/>
      <c r="X35930" s="60"/>
    </row>
    <row r="35931" spans="7:24" ht="15" customHeight="1">
      <c r="G35931"/>
      <c r="I35931"/>
      <c r="N35931"/>
      <c r="O35931" s="24"/>
      <c r="P35931"/>
      <c r="Q35931" s="24"/>
      <c r="R35931"/>
      <c r="S35931"/>
      <c r="T35931"/>
      <c r="U35931"/>
      <c r="X35931" s="60"/>
    </row>
    <row r="35932" spans="7:24" ht="15" customHeight="1">
      <c r="G35932"/>
      <c r="I35932"/>
      <c r="N35932"/>
      <c r="O35932" s="24"/>
      <c r="P35932"/>
      <c r="Q35932" s="24"/>
      <c r="R35932"/>
      <c r="S35932"/>
      <c r="T35932"/>
      <c r="U35932"/>
      <c r="X35932" s="60"/>
    </row>
    <row r="35933" spans="7:24" ht="15" customHeight="1">
      <c r="G35933"/>
      <c r="I35933"/>
      <c r="N35933"/>
      <c r="O35933" s="24"/>
      <c r="P35933"/>
      <c r="Q35933" s="24"/>
      <c r="R35933"/>
      <c r="S35933"/>
      <c r="T35933"/>
      <c r="U35933"/>
      <c r="X35933" s="60"/>
    </row>
    <row r="35934" spans="7:24" ht="15" customHeight="1">
      <c r="G35934"/>
      <c r="I35934"/>
      <c r="N35934"/>
      <c r="O35934" s="24"/>
      <c r="P35934"/>
      <c r="Q35934" s="24"/>
      <c r="R35934"/>
      <c r="S35934"/>
      <c r="T35934"/>
      <c r="U35934"/>
      <c r="X35934" s="60"/>
    </row>
    <row r="35935" spans="7:24" ht="15" customHeight="1">
      <c r="G35935"/>
      <c r="I35935"/>
      <c r="N35935"/>
      <c r="O35935" s="24"/>
      <c r="P35935"/>
      <c r="Q35935" s="24"/>
      <c r="R35935"/>
      <c r="S35935"/>
      <c r="T35935"/>
      <c r="U35935"/>
      <c r="X35935" s="60"/>
    </row>
    <row r="35936" spans="7:24" ht="15" customHeight="1">
      <c r="G35936"/>
      <c r="I35936"/>
      <c r="N35936"/>
      <c r="O35936" s="24"/>
      <c r="P35936"/>
      <c r="Q35936" s="24"/>
      <c r="R35936"/>
      <c r="S35936"/>
      <c r="T35936"/>
      <c r="U35936"/>
      <c r="X35936" s="60"/>
    </row>
    <row r="35937" spans="7:24" ht="15" customHeight="1">
      <c r="G35937"/>
      <c r="I35937"/>
      <c r="N35937"/>
      <c r="O35937" s="24"/>
      <c r="P35937"/>
      <c r="Q35937" s="24"/>
      <c r="R35937"/>
      <c r="S35937"/>
      <c r="T35937"/>
      <c r="U35937"/>
      <c r="X35937" s="60"/>
    </row>
    <row r="35938" spans="7:24" ht="15" customHeight="1">
      <c r="G35938"/>
      <c r="I35938"/>
      <c r="N35938"/>
      <c r="O35938" s="24"/>
      <c r="P35938"/>
      <c r="Q35938" s="24"/>
      <c r="R35938"/>
      <c r="S35938"/>
      <c r="T35938"/>
      <c r="U35938"/>
      <c r="X35938" s="60"/>
    </row>
    <row r="35939" spans="7:24" ht="15" customHeight="1">
      <c r="G35939"/>
      <c r="I35939"/>
      <c r="N35939"/>
      <c r="O35939" s="24"/>
      <c r="P35939"/>
      <c r="Q35939" s="24"/>
      <c r="R35939"/>
      <c r="S35939"/>
      <c r="T35939"/>
      <c r="U35939"/>
      <c r="X35939" s="60"/>
    </row>
    <row r="35940" spans="7:24" ht="15" customHeight="1">
      <c r="G35940"/>
      <c r="I35940"/>
      <c r="N35940"/>
      <c r="O35940" s="24"/>
      <c r="P35940"/>
      <c r="Q35940" s="24"/>
      <c r="R35940"/>
      <c r="S35940"/>
      <c r="T35940"/>
      <c r="U35940"/>
      <c r="X35940" s="60"/>
    </row>
    <row r="35941" spans="7:24" ht="15" customHeight="1">
      <c r="G35941"/>
      <c r="I35941"/>
      <c r="N35941"/>
      <c r="O35941" s="24"/>
      <c r="P35941"/>
      <c r="Q35941" s="24"/>
      <c r="R35941"/>
      <c r="S35941"/>
      <c r="T35941"/>
      <c r="U35941"/>
      <c r="X35941" s="60"/>
    </row>
    <row r="35942" spans="7:24" ht="15" customHeight="1">
      <c r="G35942"/>
      <c r="I35942"/>
      <c r="N35942"/>
      <c r="O35942" s="24"/>
      <c r="P35942"/>
      <c r="Q35942" s="24"/>
      <c r="R35942"/>
      <c r="S35942"/>
      <c r="T35942"/>
      <c r="U35942"/>
      <c r="X35942" s="60"/>
    </row>
    <row r="35943" spans="7:24" ht="15" customHeight="1">
      <c r="G35943"/>
      <c r="I35943"/>
      <c r="N35943"/>
      <c r="O35943" s="24"/>
      <c r="P35943"/>
      <c r="Q35943" s="24"/>
      <c r="R35943"/>
      <c r="S35943"/>
      <c r="T35943"/>
      <c r="U35943"/>
      <c r="X35943" s="60"/>
    </row>
    <row r="35944" spans="7:24" ht="15" customHeight="1">
      <c r="G35944"/>
      <c r="I35944"/>
      <c r="N35944"/>
      <c r="O35944" s="24"/>
      <c r="P35944"/>
      <c r="Q35944" s="24"/>
      <c r="R35944"/>
      <c r="S35944"/>
      <c r="T35944"/>
      <c r="U35944"/>
      <c r="X35944" s="60"/>
    </row>
    <row r="35945" spans="7:24" ht="15" customHeight="1">
      <c r="G35945"/>
      <c r="I35945"/>
      <c r="N35945"/>
      <c r="O35945" s="24"/>
      <c r="P35945"/>
      <c r="Q35945" s="24"/>
      <c r="R35945"/>
      <c r="S35945"/>
      <c r="T35945"/>
      <c r="U35945"/>
      <c r="X35945" s="60"/>
    </row>
    <row r="35946" spans="7:24" ht="15" customHeight="1">
      <c r="G35946"/>
      <c r="I35946"/>
      <c r="N35946"/>
      <c r="O35946" s="24"/>
      <c r="P35946"/>
      <c r="Q35946" s="24"/>
      <c r="R35946"/>
      <c r="S35946"/>
      <c r="T35946"/>
      <c r="U35946"/>
      <c r="X35946" s="60"/>
    </row>
    <row r="35947" spans="7:24" ht="15" customHeight="1">
      <c r="G35947"/>
      <c r="I35947"/>
      <c r="N35947"/>
      <c r="O35947" s="24"/>
      <c r="P35947"/>
      <c r="Q35947" s="24"/>
      <c r="R35947"/>
      <c r="S35947"/>
      <c r="T35947"/>
      <c r="U35947"/>
      <c r="X35947" s="60"/>
    </row>
    <row r="35948" spans="7:24" ht="15" customHeight="1">
      <c r="G35948"/>
      <c r="I35948"/>
      <c r="N35948"/>
      <c r="O35948" s="24"/>
      <c r="P35948"/>
      <c r="Q35948" s="24"/>
      <c r="R35948"/>
      <c r="S35948"/>
      <c r="T35948"/>
      <c r="U35948"/>
      <c r="X35948" s="60"/>
    </row>
    <row r="35949" spans="7:24" ht="15" customHeight="1">
      <c r="G35949"/>
      <c r="I35949"/>
      <c r="N35949"/>
      <c r="O35949" s="24"/>
      <c r="P35949"/>
      <c r="Q35949" s="24"/>
      <c r="R35949"/>
      <c r="S35949"/>
      <c r="T35949"/>
      <c r="U35949"/>
      <c r="X35949" s="60"/>
    </row>
    <row r="35950" spans="7:24" ht="15" customHeight="1">
      <c r="G35950"/>
      <c r="I35950"/>
      <c r="N35950"/>
      <c r="O35950" s="24"/>
      <c r="P35950"/>
      <c r="Q35950" s="24"/>
      <c r="R35950"/>
      <c r="S35950"/>
      <c r="T35950"/>
      <c r="U35950"/>
      <c r="X35950" s="60"/>
    </row>
    <row r="35951" spans="7:24" ht="15" customHeight="1">
      <c r="G35951"/>
      <c r="I35951"/>
      <c r="N35951"/>
      <c r="O35951" s="24"/>
      <c r="P35951"/>
      <c r="Q35951" s="24"/>
      <c r="R35951"/>
      <c r="S35951"/>
      <c r="T35951"/>
      <c r="U35951"/>
      <c r="X35951" s="60"/>
    </row>
    <row r="35952" spans="7:24" ht="15" customHeight="1">
      <c r="G35952"/>
      <c r="I35952"/>
      <c r="N35952"/>
      <c r="O35952" s="24"/>
      <c r="P35952"/>
      <c r="Q35952" s="24"/>
      <c r="R35952"/>
      <c r="S35952"/>
      <c r="T35952"/>
      <c r="U35952"/>
      <c r="X35952" s="60"/>
    </row>
    <row r="35953" spans="7:24" ht="15" customHeight="1">
      <c r="G35953"/>
      <c r="I35953"/>
      <c r="N35953"/>
      <c r="O35953" s="24"/>
      <c r="P35953"/>
      <c r="Q35953" s="24"/>
      <c r="R35953"/>
      <c r="S35953"/>
      <c r="T35953"/>
      <c r="U35953"/>
      <c r="X35953" s="60"/>
    </row>
    <row r="35954" spans="7:24" ht="15" customHeight="1">
      <c r="G35954"/>
      <c r="I35954"/>
      <c r="N35954"/>
      <c r="O35954" s="24"/>
      <c r="P35954"/>
      <c r="Q35954" s="24"/>
      <c r="R35954"/>
      <c r="S35954"/>
      <c r="T35954"/>
      <c r="U35954"/>
      <c r="X35954" s="60"/>
    </row>
    <row r="35955" spans="7:24" ht="15" customHeight="1">
      <c r="G35955"/>
      <c r="I35955"/>
      <c r="N35955"/>
      <c r="O35955" s="24"/>
      <c r="P35955"/>
      <c r="Q35955" s="24"/>
      <c r="R35955"/>
      <c r="S35955"/>
      <c r="T35955"/>
      <c r="U35955"/>
      <c r="X35955" s="60"/>
    </row>
    <row r="35956" spans="7:24" ht="15" customHeight="1">
      <c r="G35956"/>
      <c r="I35956"/>
      <c r="N35956"/>
      <c r="O35956" s="24"/>
      <c r="P35956"/>
      <c r="Q35956" s="24"/>
      <c r="R35956"/>
      <c r="S35956"/>
      <c r="T35956"/>
      <c r="U35956"/>
      <c r="X35956" s="60"/>
    </row>
    <row r="35957" spans="7:24" ht="15" customHeight="1">
      <c r="G35957"/>
      <c r="I35957"/>
      <c r="N35957"/>
      <c r="O35957" s="24"/>
      <c r="P35957"/>
      <c r="Q35957" s="24"/>
      <c r="R35957"/>
      <c r="S35957"/>
      <c r="T35957"/>
      <c r="U35957"/>
      <c r="X35957" s="60"/>
    </row>
    <row r="35958" spans="7:24" ht="15" customHeight="1">
      <c r="G35958"/>
      <c r="I35958"/>
      <c r="N35958"/>
      <c r="O35958" s="24"/>
      <c r="P35958"/>
      <c r="Q35958" s="24"/>
      <c r="R35958"/>
      <c r="S35958"/>
      <c r="T35958"/>
      <c r="U35958"/>
      <c r="X35958" s="60"/>
    </row>
    <row r="35959" spans="7:24" ht="15" customHeight="1">
      <c r="G35959"/>
      <c r="I35959"/>
      <c r="N35959"/>
      <c r="O35959" s="24"/>
      <c r="P35959"/>
      <c r="Q35959" s="24"/>
      <c r="R35959"/>
      <c r="S35959"/>
      <c r="T35959"/>
      <c r="U35959"/>
      <c r="X35959" s="60"/>
    </row>
    <row r="35960" spans="7:24" ht="15" customHeight="1">
      <c r="G35960"/>
      <c r="I35960"/>
      <c r="N35960"/>
      <c r="O35960" s="24"/>
      <c r="P35960"/>
      <c r="Q35960" s="24"/>
      <c r="R35960"/>
      <c r="S35960"/>
      <c r="T35960"/>
      <c r="U35960"/>
      <c r="X35960" s="60"/>
    </row>
    <row r="35961" spans="7:24" ht="15" customHeight="1">
      <c r="G35961"/>
      <c r="I35961"/>
      <c r="N35961"/>
      <c r="O35961" s="24"/>
      <c r="P35961"/>
      <c r="Q35961" s="24"/>
      <c r="R35961"/>
      <c r="S35961"/>
      <c r="T35961"/>
      <c r="U35961"/>
      <c r="X35961" s="60"/>
    </row>
    <row r="35962" spans="7:24" ht="15" customHeight="1">
      <c r="G35962"/>
      <c r="I35962"/>
      <c r="N35962"/>
      <c r="O35962" s="24"/>
      <c r="P35962"/>
      <c r="Q35962" s="24"/>
      <c r="R35962"/>
      <c r="S35962"/>
      <c r="T35962"/>
      <c r="U35962"/>
      <c r="X35962" s="60"/>
    </row>
    <row r="35963" spans="7:24" ht="15" customHeight="1">
      <c r="G35963"/>
      <c r="I35963"/>
      <c r="N35963"/>
      <c r="O35963" s="24"/>
      <c r="P35963"/>
      <c r="Q35963" s="24"/>
      <c r="R35963"/>
      <c r="S35963"/>
      <c r="T35963"/>
      <c r="U35963"/>
      <c r="X35963" s="60"/>
    </row>
    <row r="35964" spans="7:24" ht="15" customHeight="1">
      <c r="G35964"/>
      <c r="I35964"/>
      <c r="N35964"/>
      <c r="O35964" s="24"/>
      <c r="P35964"/>
      <c r="Q35964" s="24"/>
      <c r="R35964"/>
      <c r="S35964"/>
      <c r="T35964"/>
      <c r="U35964"/>
      <c r="X35964" s="60"/>
    </row>
    <row r="35965" spans="7:24" ht="15" customHeight="1">
      <c r="G35965"/>
      <c r="I35965"/>
      <c r="N35965"/>
      <c r="O35965" s="24"/>
      <c r="P35965"/>
      <c r="Q35965" s="24"/>
      <c r="R35965"/>
      <c r="S35965"/>
      <c r="T35965"/>
      <c r="U35965"/>
      <c r="X35965" s="60"/>
    </row>
    <row r="35966" spans="7:24" ht="15" customHeight="1">
      <c r="G35966"/>
      <c r="I35966"/>
      <c r="N35966"/>
      <c r="O35966" s="24"/>
      <c r="P35966"/>
      <c r="Q35966" s="24"/>
      <c r="R35966"/>
      <c r="S35966"/>
      <c r="T35966"/>
      <c r="U35966"/>
      <c r="X35966" s="60"/>
    </row>
    <row r="35967" spans="7:24" ht="15" customHeight="1">
      <c r="G35967"/>
      <c r="I35967"/>
      <c r="N35967"/>
      <c r="O35967" s="24"/>
      <c r="P35967"/>
      <c r="Q35967" s="24"/>
      <c r="R35967"/>
      <c r="S35967"/>
      <c r="T35967"/>
      <c r="U35967"/>
      <c r="X35967" s="60"/>
    </row>
    <row r="35968" spans="7:24" ht="15" customHeight="1">
      <c r="G35968"/>
      <c r="I35968"/>
      <c r="N35968"/>
      <c r="O35968" s="24"/>
      <c r="P35968"/>
      <c r="Q35968" s="24"/>
      <c r="R35968"/>
      <c r="S35968"/>
      <c r="T35968"/>
      <c r="U35968"/>
      <c r="X35968" s="60"/>
    </row>
    <row r="35969" spans="7:24" ht="15" customHeight="1">
      <c r="G35969"/>
      <c r="I35969"/>
      <c r="N35969"/>
      <c r="O35969" s="24"/>
      <c r="P35969"/>
      <c r="Q35969" s="24"/>
      <c r="R35969"/>
      <c r="S35969"/>
      <c r="T35969"/>
      <c r="U35969"/>
      <c r="X35969" s="60"/>
    </row>
    <row r="35970" spans="7:24" ht="15" customHeight="1">
      <c r="G35970"/>
      <c r="I35970"/>
      <c r="N35970"/>
      <c r="O35970" s="24"/>
      <c r="P35970"/>
      <c r="Q35970" s="24"/>
      <c r="R35970"/>
      <c r="S35970"/>
      <c r="T35970"/>
      <c r="U35970"/>
      <c r="X35970" s="60"/>
    </row>
    <row r="35971" spans="7:24" ht="15" customHeight="1">
      <c r="G35971"/>
      <c r="I35971"/>
      <c r="N35971"/>
      <c r="O35971" s="24"/>
      <c r="P35971"/>
      <c r="Q35971" s="24"/>
      <c r="R35971"/>
      <c r="S35971"/>
      <c r="T35971"/>
      <c r="U35971"/>
      <c r="X35971" s="60"/>
    </row>
    <row r="35972" spans="7:24" ht="15" customHeight="1">
      <c r="G35972"/>
      <c r="I35972"/>
      <c r="N35972"/>
      <c r="O35972" s="24"/>
      <c r="P35972"/>
      <c r="Q35972" s="24"/>
      <c r="R35972"/>
      <c r="S35972"/>
      <c r="T35972"/>
      <c r="U35972"/>
      <c r="X35972" s="60"/>
    </row>
    <row r="35973" spans="7:24" ht="15" customHeight="1">
      <c r="G35973"/>
      <c r="I35973"/>
      <c r="N35973"/>
      <c r="O35973" s="24"/>
      <c r="P35973"/>
      <c r="Q35973" s="24"/>
      <c r="R35973"/>
      <c r="S35973"/>
      <c r="T35973"/>
      <c r="U35973"/>
      <c r="X35973" s="60"/>
    </row>
    <row r="35974" spans="7:24" ht="15" customHeight="1">
      <c r="G35974"/>
      <c r="I35974"/>
      <c r="N35974"/>
      <c r="O35974" s="24"/>
      <c r="P35974"/>
      <c r="Q35974" s="24"/>
      <c r="R35974"/>
      <c r="S35974"/>
      <c r="T35974"/>
      <c r="U35974"/>
      <c r="X35974" s="60"/>
    </row>
    <row r="35975" spans="7:24" ht="15" customHeight="1">
      <c r="G35975"/>
      <c r="I35975"/>
      <c r="N35975"/>
      <c r="O35975" s="24"/>
      <c r="P35975"/>
      <c r="Q35975" s="24"/>
      <c r="R35975"/>
      <c r="S35975"/>
      <c r="T35975"/>
      <c r="U35975"/>
      <c r="X35975" s="60"/>
    </row>
    <row r="35976" spans="7:24" ht="15" customHeight="1">
      <c r="G35976"/>
      <c r="I35976"/>
      <c r="N35976"/>
      <c r="O35976" s="24"/>
      <c r="P35976"/>
      <c r="Q35976" s="24"/>
      <c r="R35976"/>
      <c r="S35976"/>
      <c r="T35976"/>
      <c r="U35976"/>
      <c r="X35976" s="60"/>
    </row>
    <row r="35977" spans="7:24" ht="15" customHeight="1">
      <c r="G35977"/>
      <c r="I35977"/>
      <c r="N35977"/>
      <c r="O35977" s="24"/>
      <c r="P35977"/>
      <c r="Q35977" s="24"/>
      <c r="R35977"/>
      <c r="S35977"/>
      <c r="T35977"/>
      <c r="U35977"/>
      <c r="X35977" s="60"/>
    </row>
    <row r="35978" spans="7:24" ht="15" customHeight="1">
      <c r="G35978"/>
      <c r="I35978"/>
      <c r="N35978"/>
      <c r="O35978" s="24"/>
      <c r="P35978"/>
      <c r="Q35978" s="24"/>
      <c r="R35978"/>
      <c r="S35978"/>
      <c r="T35978"/>
      <c r="U35978"/>
      <c r="X35978" s="60"/>
    </row>
    <row r="35979" spans="7:24" ht="15" customHeight="1">
      <c r="G35979"/>
      <c r="I35979"/>
      <c r="N35979"/>
      <c r="O35979" s="24"/>
      <c r="P35979"/>
      <c r="Q35979" s="24"/>
      <c r="R35979"/>
      <c r="S35979"/>
      <c r="T35979"/>
      <c r="U35979"/>
      <c r="X35979" s="60"/>
    </row>
    <row r="35980" spans="7:24" ht="15" customHeight="1">
      <c r="G35980"/>
      <c r="I35980"/>
      <c r="N35980"/>
      <c r="O35980" s="24"/>
      <c r="P35980"/>
      <c r="Q35980" s="24"/>
      <c r="R35980"/>
      <c r="S35980"/>
      <c r="T35980"/>
      <c r="U35980"/>
      <c r="X35980" s="60"/>
    </row>
    <row r="35981" spans="7:24" ht="15" customHeight="1">
      <c r="G35981"/>
      <c r="I35981"/>
      <c r="N35981"/>
      <c r="O35981" s="24"/>
      <c r="P35981"/>
      <c r="Q35981" s="24"/>
      <c r="R35981"/>
      <c r="S35981"/>
      <c r="T35981"/>
      <c r="U35981"/>
      <c r="X35981" s="60"/>
    </row>
    <row r="35982" spans="7:24" ht="15" customHeight="1">
      <c r="G35982"/>
      <c r="I35982"/>
      <c r="N35982"/>
      <c r="O35982" s="24"/>
      <c r="P35982"/>
      <c r="Q35982" s="24"/>
      <c r="R35982"/>
      <c r="S35982"/>
      <c r="T35982"/>
      <c r="U35982"/>
      <c r="X35982" s="60"/>
    </row>
    <row r="35983" spans="7:24" ht="15" customHeight="1">
      <c r="G35983"/>
      <c r="I35983"/>
      <c r="N35983"/>
      <c r="O35983" s="24"/>
      <c r="P35983"/>
      <c r="Q35983" s="24"/>
      <c r="R35983"/>
      <c r="S35983"/>
      <c r="T35983"/>
      <c r="U35983"/>
      <c r="X35983" s="60"/>
    </row>
    <row r="35984" spans="7:24" ht="15" customHeight="1">
      <c r="G35984"/>
      <c r="I35984"/>
      <c r="N35984"/>
      <c r="O35984" s="24"/>
      <c r="P35984"/>
      <c r="Q35984" s="24"/>
      <c r="R35984"/>
      <c r="S35984"/>
      <c r="T35984"/>
      <c r="U35984"/>
      <c r="X35984" s="60"/>
    </row>
    <row r="35985" spans="7:24" ht="15" customHeight="1">
      <c r="G35985"/>
      <c r="I35985"/>
      <c r="N35985"/>
      <c r="O35985" s="24"/>
      <c r="P35985"/>
      <c r="Q35985" s="24"/>
      <c r="R35985"/>
      <c r="S35985"/>
      <c r="T35985"/>
      <c r="U35985"/>
      <c r="X35985" s="60"/>
    </row>
    <row r="35986" spans="7:24" ht="15" customHeight="1">
      <c r="G35986"/>
      <c r="I35986"/>
      <c r="N35986"/>
      <c r="O35986" s="24"/>
      <c r="P35986"/>
      <c r="Q35986" s="24"/>
      <c r="R35986"/>
      <c r="S35986"/>
      <c r="T35986"/>
      <c r="U35986"/>
      <c r="X35986" s="60"/>
    </row>
    <row r="35987" spans="7:24" ht="15" customHeight="1">
      <c r="G35987"/>
      <c r="I35987"/>
      <c r="N35987"/>
      <c r="O35987" s="24"/>
      <c r="P35987"/>
      <c r="Q35987" s="24"/>
      <c r="R35987"/>
      <c r="S35987"/>
      <c r="T35987"/>
      <c r="U35987"/>
      <c r="X35987" s="60"/>
    </row>
    <row r="35988" spans="7:24" ht="15" customHeight="1">
      <c r="G35988"/>
      <c r="I35988"/>
      <c r="N35988"/>
      <c r="O35988" s="24"/>
      <c r="P35988"/>
      <c r="Q35988" s="24"/>
      <c r="R35988"/>
      <c r="S35988"/>
      <c r="T35988"/>
      <c r="U35988"/>
      <c r="X35988" s="60"/>
    </row>
    <row r="35989" spans="7:24" ht="15" customHeight="1">
      <c r="G35989"/>
      <c r="I35989"/>
      <c r="N35989"/>
      <c r="O35989" s="24"/>
      <c r="P35989"/>
      <c r="Q35989" s="24"/>
      <c r="R35989"/>
      <c r="S35989"/>
      <c r="T35989"/>
      <c r="U35989"/>
      <c r="X35989" s="60"/>
    </row>
    <row r="35990" spans="7:24" ht="15" customHeight="1">
      <c r="G35990"/>
      <c r="I35990"/>
      <c r="N35990"/>
      <c r="O35990" s="24"/>
      <c r="P35990"/>
      <c r="Q35990" s="24"/>
      <c r="R35990"/>
      <c r="S35990"/>
      <c r="T35990"/>
      <c r="U35990"/>
      <c r="X35990" s="60"/>
    </row>
    <row r="35991" spans="7:24" ht="15" customHeight="1">
      <c r="G35991"/>
      <c r="I35991"/>
      <c r="N35991"/>
      <c r="O35991" s="24"/>
      <c r="P35991"/>
      <c r="Q35991" s="24"/>
      <c r="R35991"/>
      <c r="S35991"/>
      <c r="T35991"/>
      <c r="U35991"/>
      <c r="X35991" s="60"/>
    </row>
    <row r="35992" spans="7:24" ht="15" customHeight="1">
      <c r="G35992"/>
      <c r="I35992"/>
      <c r="N35992"/>
      <c r="O35992" s="24"/>
      <c r="P35992"/>
      <c r="Q35992" s="24"/>
      <c r="R35992"/>
      <c r="S35992"/>
      <c r="T35992"/>
      <c r="U35992"/>
      <c r="X35992" s="60"/>
    </row>
    <row r="35993" spans="7:24" ht="15" customHeight="1">
      <c r="G35993"/>
      <c r="I35993"/>
      <c r="N35993"/>
      <c r="O35993" s="24"/>
      <c r="P35993"/>
      <c r="Q35993" s="24"/>
      <c r="R35993"/>
      <c r="S35993"/>
      <c r="T35993"/>
      <c r="U35993"/>
      <c r="X35993" s="60"/>
    </row>
    <row r="35994" spans="7:24" ht="15" customHeight="1">
      <c r="G35994"/>
      <c r="I35994"/>
      <c r="N35994"/>
      <c r="O35994" s="24"/>
      <c r="P35994"/>
      <c r="Q35994" s="24"/>
      <c r="R35994"/>
      <c r="S35994"/>
      <c r="T35994"/>
      <c r="U35994"/>
      <c r="X35994" s="60"/>
    </row>
    <row r="35995" spans="7:24" ht="15" customHeight="1">
      <c r="G35995"/>
      <c r="I35995"/>
      <c r="N35995"/>
      <c r="O35995" s="24"/>
      <c r="P35995"/>
      <c r="Q35995" s="24"/>
      <c r="R35995"/>
      <c r="S35995"/>
      <c r="T35995"/>
      <c r="U35995"/>
      <c r="X35995" s="60"/>
    </row>
    <row r="35996" spans="7:24" ht="15" customHeight="1">
      <c r="G35996"/>
      <c r="I35996"/>
      <c r="N35996"/>
      <c r="O35996" s="24"/>
      <c r="P35996"/>
      <c r="Q35996" s="24"/>
      <c r="R35996"/>
      <c r="S35996"/>
      <c r="T35996"/>
      <c r="U35996"/>
      <c r="X35996" s="60"/>
    </row>
    <row r="35997" spans="7:24" ht="15" customHeight="1">
      <c r="G35997"/>
      <c r="I35997"/>
      <c r="N35997"/>
      <c r="O35997" s="24"/>
      <c r="P35997"/>
      <c r="Q35997" s="24"/>
      <c r="R35997"/>
      <c r="S35997"/>
      <c r="T35997"/>
      <c r="U35997"/>
      <c r="X35997" s="60"/>
    </row>
    <row r="35998" spans="7:24" ht="15" customHeight="1">
      <c r="G35998"/>
      <c r="I35998"/>
      <c r="N35998"/>
      <c r="O35998" s="24"/>
      <c r="P35998"/>
      <c r="Q35998" s="24"/>
      <c r="R35998"/>
      <c r="S35998"/>
      <c r="T35998"/>
      <c r="U35998"/>
      <c r="X35998" s="60"/>
    </row>
    <row r="35999" spans="7:24" ht="15" customHeight="1">
      <c r="G35999"/>
      <c r="I35999"/>
      <c r="N35999"/>
      <c r="O35999" s="24"/>
      <c r="P35999"/>
      <c r="Q35999" s="24"/>
      <c r="R35999"/>
      <c r="S35999"/>
      <c r="T35999"/>
      <c r="U35999"/>
      <c r="X35999" s="60"/>
    </row>
    <row r="36000" spans="7:24" ht="15" customHeight="1">
      <c r="G36000"/>
      <c r="I36000"/>
      <c r="N36000"/>
      <c r="O36000" s="24"/>
      <c r="P36000"/>
      <c r="Q36000" s="24"/>
      <c r="R36000"/>
      <c r="S36000"/>
      <c r="T36000"/>
      <c r="U36000"/>
      <c r="X36000" s="60"/>
    </row>
    <row r="36001" spans="7:24" ht="15" customHeight="1">
      <c r="G36001"/>
      <c r="I36001"/>
      <c r="N36001"/>
      <c r="O36001" s="24"/>
      <c r="P36001"/>
      <c r="Q36001" s="24"/>
      <c r="R36001"/>
      <c r="S36001"/>
      <c r="T36001"/>
      <c r="U36001"/>
      <c r="X36001" s="60"/>
    </row>
    <row r="36002" spans="7:24" ht="15" customHeight="1">
      <c r="G36002"/>
      <c r="I36002"/>
      <c r="N36002"/>
      <c r="O36002" s="24"/>
      <c r="P36002"/>
      <c r="Q36002" s="24"/>
      <c r="R36002"/>
      <c r="S36002"/>
      <c r="T36002"/>
      <c r="U36002"/>
      <c r="X36002" s="60"/>
    </row>
    <row r="36003" spans="7:24" ht="15" customHeight="1">
      <c r="G36003"/>
      <c r="I36003"/>
      <c r="N36003"/>
      <c r="O36003" s="24"/>
      <c r="P36003"/>
      <c r="Q36003" s="24"/>
      <c r="R36003"/>
      <c r="S36003"/>
      <c r="T36003"/>
      <c r="U36003"/>
      <c r="X36003" s="60"/>
    </row>
    <row r="36004" spans="7:24" ht="15" customHeight="1">
      <c r="G36004"/>
      <c r="I36004"/>
      <c r="N36004"/>
      <c r="O36004" s="24"/>
      <c r="P36004"/>
      <c r="Q36004" s="24"/>
      <c r="R36004"/>
      <c r="S36004"/>
      <c r="T36004"/>
      <c r="U36004"/>
      <c r="X36004" s="60"/>
    </row>
    <row r="36005" spans="7:24" ht="15" customHeight="1">
      <c r="G36005"/>
      <c r="I36005"/>
      <c r="N36005"/>
      <c r="O36005" s="24"/>
      <c r="P36005"/>
      <c r="Q36005" s="24"/>
      <c r="R36005"/>
      <c r="S36005"/>
      <c r="T36005"/>
      <c r="U36005"/>
      <c r="X36005" s="60"/>
    </row>
    <row r="36006" spans="7:24" ht="15" customHeight="1">
      <c r="G36006"/>
      <c r="I36006"/>
      <c r="N36006"/>
      <c r="O36006" s="24"/>
      <c r="P36006"/>
      <c r="Q36006" s="24"/>
      <c r="R36006"/>
      <c r="S36006"/>
      <c r="T36006"/>
      <c r="U36006"/>
      <c r="X36006" s="60"/>
    </row>
    <row r="36007" spans="7:24" ht="15" customHeight="1">
      <c r="G36007"/>
      <c r="I36007"/>
      <c r="N36007"/>
      <c r="O36007" s="24"/>
      <c r="P36007"/>
      <c r="Q36007" s="24"/>
      <c r="R36007"/>
      <c r="S36007"/>
      <c r="T36007"/>
      <c r="U36007"/>
      <c r="X36007" s="60"/>
    </row>
    <row r="36008" spans="7:24" ht="15" customHeight="1">
      <c r="G36008"/>
      <c r="I36008"/>
      <c r="N36008"/>
      <c r="O36008" s="24"/>
      <c r="P36008"/>
      <c r="Q36008" s="24"/>
      <c r="R36008"/>
      <c r="S36008"/>
      <c r="T36008"/>
      <c r="U36008"/>
      <c r="X36008" s="60"/>
    </row>
    <row r="36009" spans="7:24" ht="15" customHeight="1">
      <c r="G36009"/>
      <c r="I36009"/>
      <c r="N36009"/>
      <c r="O36009" s="24"/>
      <c r="P36009"/>
      <c r="Q36009" s="24"/>
      <c r="R36009"/>
      <c r="S36009"/>
      <c r="T36009"/>
      <c r="U36009"/>
      <c r="X36009" s="60"/>
    </row>
    <row r="36010" spans="7:24" ht="15" customHeight="1">
      <c r="G36010"/>
      <c r="I36010"/>
      <c r="N36010"/>
      <c r="O36010" s="24"/>
      <c r="P36010"/>
      <c r="Q36010" s="24"/>
      <c r="R36010"/>
      <c r="S36010"/>
      <c r="T36010"/>
      <c r="U36010"/>
      <c r="X36010" s="60"/>
    </row>
    <row r="36011" spans="7:24" ht="15" customHeight="1">
      <c r="G36011"/>
      <c r="I36011"/>
      <c r="N36011"/>
      <c r="O36011" s="24"/>
      <c r="P36011"/>
      <c r="Q36011" s="24"/>
      <c r="R36011"/>
      <c r="S36011"/>
      <c r="T36011"/>
      <c r="U36011"/>
      <c r="X36011" s="60"/>
    </row>
    <row r="36012" spans="7:24" ht="15" customHeight="1">
      <c r="G36012"/>
      <c r="I36012"/>
      <c r="N36012"/>
      <c r="O36012" s="24"/>
      <c r="P36012"/>
      <c r="Q36012" s="24"/>
      <c r="R36012"/>
      <c r="S36012"/>
      <c r="T36012"/>
      <c r="U36012"/>
      <c r="X36012" s="60"/>
    </row>
    <row r="36013" spans="7:24" ht="15" customHeight="1">
      <c r="G36013"/>
      <c r="I36013"/>
      <c r="N36013"/>
      <c r="O36013" s="24"/>
      <c r="P36013"/>
      <c r="Q36013" s="24"/>
      <c r="R36013"/>
      <c r="S36013"/>
      <c r="T36013"/>
      <c r="U36013"/>
      <c r="X36013" s="60"/>
    </row>
    <row r="36014" spans="7:24" ht="15" customHeight="1">
      <c r="G36014"/>
      <c r="I36014"/>
      <c r="N36014"/>
      <c r="O36014" s="24"/>
      <c r="P36014"/>
      <c r="Q36014" s="24"/>
      <c r="R36014"/>
      <c r="S36014"/>
      <c r="T36014"/>
      <c r="U36014"/>
      <c r="X36014" s="60"/>
    </row>
    <row r="36015" spans="7:24" ht="15" customHeight="1">
      <c r="G36015"/>
      <c r="I36015"/>
      <c r="N36015"/>
      <c r="O36015" s="24"/>
      <c r="P36015"/>
      <c r="Q36015" s="24"/>
      <c r="R36015"/>
      <c r="S36015"/>
      <c r="T36015"/>
      <c r="U36015"/>
      <c r="X36015" s="60"/>
    </row>
    <row r="36016" spans="7:24" ht="15" customHeight="1">
      <c r="G36016"/>
      <c r="I36016"/>
      <c r="N36016"/>
      <c r="O36016" s="24"/>
      <c r="P36016"/>
      <c r="Q36016" s="24"/>
      <c r="R36016"/>
      <c r="S36016"/>
      <c r="T36016"/>
      <c r="U36016"/>
      <c r="X36016" s="60"/>
    </row>
    <row r="36017" spans="7:24" ht="15" customHeight="1">
      <c r="G36017"/>
      <c r="I36017"/>
      <c r="N36017"/>
      <c r="O36017" s="24"/>
      <c r="P36017"/>
      <c r="Q36017" s="24"/>
      <c r="R36017"/>
      <c r="S36017"/>
      <c r="T36017"/>
      <c r="U36017"/>
      <c r="X36017" s="60"/>
    </row>
    <row r="36018" spans="7:24" ht="15" customHeight="1">
      <c r="G36018"/>
      <c r="I36018"/>
      <c r="N36018"/>
      <c r="O36018" s="24"/>
      <c r="P36018"/>
      <c r="Q36018" s="24"/>
      <c r="R36018"/>
      <c r="S36018"/>
      <c r="T36018"/>
      <c r="U36018"/>
      <c r="X36018" s="60"/>
    </row>
    <row r="36019" spans="7:24" ht="15" customHeight="1">
      <c r="G36019"/>
      <c r="I36019"/>
      <c r="N36019"/>
      <c r="O36019" s="24"/>
      <c r="P36019"/>
      <c r="Q36019" s="24"/>
      <c r="R36019"/>
      <c r="S36019"/>
      <c r="T36019"/>
      <c r="U36019"/>
      <c r="X36019" s="60"/>
    </row>
    <row r="36020" spans="7:24" ht="15" customHeight="1">
      <c r="G36020"/>
      <c r="I36020"/>
      <c r="N36020"/>
      <c r="O36020" s="24"/>
      <c r="P36020"/>
      <c r="Q36020" s="24"/>
      <c r="R36020"/>
      <c r="S36020"/>
      <c r="T36020"/>
      <c r="U36020"/>
      <c r="X36020" s="60"/>
    </row>
    <row r="36021" spans="7:24" ht="15" customHeight="1">
      <c r="G36021"/>
      <c r="I36021"/>
      <c r="N36021"/>
      <c r="O36021" s="24"/>
      <c r="P36021"/>
      <c r="Q36021" s="24"/>
      <c r="R36021"/>
      <c r="S36021"/>
      <c r="T36021"/>
      <c r="U36021"/>
      <c r="X36021" s="60"/>
    </row>
    <row r="36022" spans="7:24" ht="15" customHeight="1">
      <c r="G36022"/>
      <c r="I36022"/>
      <c r="N36022"/>
      <c r="O36022" s="24"/>
      <c r="P36022"/>
      <c r="Q36022" s="24"/>
      <c r="R36022"/>
      <c r="S36022"/>
      <c r="T36022"/>
      <c r="U36022"/>
      <c r="X36022" s="60"/>
    </row>
    <row r="36023" spans="7:24" ht="15" customHeight="1">
      <c r="G36023"/>
      <c r="I36023"/>
      <c r="N36023"/>
      <c r="O36023" s="24"/>
      <c r="P36023"/>
      <c r="Q36023" s="24"/>
      <c r="R36023"/>
      <c r="S36023"/>
      <c r="T36023"/>
      <c r="U36023"/>
      <c r="X36023" s="60"/>
    </row>
    <row r="36024" spans="7:24" ht="15" customHeight="1">
      <c r="G36024"/>
      <c r="I36024"/>
      <c r="N36024"/>
      <c r="O36024" s="24"/>
      <c r="P36024"/>
      <c r="Q36024" s="24"/>
      <c r="R36024"/>
      <c r="S36024"/>
      <c r="T36024"/>
      <c r="U36024"/>
      <c r="X36024" s="60"/>
    </row>
    <row r="36025" spans="7:24" ht="15" customHeight="1">
      <c r="G36025"/>
      <c r="I36025"/>
      <c r="N36025"/>
      <c r="O36025" s="24"/>
      <c r="P36025"/>
      <c r="Q36025" s="24"/>
      <c r="R36025"/>
      <c r="S36025"/>
      <c r="T36025"/>
      <c r="U36025"/>
      <c r="X36025" s="60"/>
    </row>
    <row r="36026" spans="7:24" ht="15" customHeight="1">
      <c r="G36026"/>
      <c r="I36026"/>
      <c r="N36026"/>
      <c r="O36026" s="24"/>
      <c r="P36026"/>
      <c r="Q36026" s="24"/>
      <c r="R36026"/>
      <c r="S36026"/>
      <c r="T36026"/>
      <c r="U36026"/>
      <c r="X36026" s="60"/>
    </row>
    <row r="36027" spans="7:24" ht="15" customHeight="1">
      <c r="G36027"/>
      <c r="I36027"/>
      <c r="N36027"/>
      <c r="O36027" s="24"/>
      <c r="P36027"/>
      <c r="Q36027" s="24"/>
      <c r="R36027"/>
      <c r="S36027"/>
      <c r="T36027"/>
      <c r="U36027"/>
      <c r="X36027" s="60"/>
    </row>
    <row r="36028" spans="7:24" ht="15" customHeight="1">
      <c r="G36028"/>
      <c r="I36028"/>
      <c r="N36028"/>
      <c r="O36028" s="24"/>
      <c r="P36028"/>
      <c r="Q36028" s="24"/>
      <c r="R36028"/>
      <c r="S36028"/>
      <c r="T36028"/>
      <c r="U36028"/>
      <c r="X36028" s="60"/>
    </row>
    <row r="36029" spans="7:24" ht="15" customHeight="1">
      <c r="G36029"/>
      <c r="I36029"/>
      <c r="N36029"/>
      <c r="O36029" s="24"/>
      <c r="P36029"/>
      <c r="Q36029" s="24"/>
      <c r="R36029"/>
      <c r="S36029"/>
      <c r="T36029"/>
      <c r="U36029"/>
      <c r="X36029" s="60"/>
    </row>
    <row r="36030" spans="7:24" ht="15" customHeight="1">
      <c r="G36030"/>
      <c r="I36030"/>
      <c r="N36030"/>
      <c r="O36030" s="24"/>
      <c r="P36030"/>
      <c r="Q36030" s="24"/>
      <c r="R36030"/>
      <c r="S36030"/>
      <c r="T36030"/>
      <c r="U36030"/>
      <c r="X36030" s="60"/>
    </row>
    <row r="36031" spans="7:24" ht="15" customHeight="1">
      <c r="G36031"/>
      <c r="I36031"/>
      <c r="N36031"/>
      <c r="O36031" s="24"/>
      <c r="P36031"/>
      <c r="Q36031" s="24"/>
      <c r="R36031"/>
      <c r="S36031"/>
      <c r="T36031"/>
      <c r="U36031"/>
      <c r="X36031" s="60"/>
    </row>
    <row r="36032" spans="7:24" ht="15" customHeight="1">
      <c r="G36032"/>
      <c r="I36032"/>
      <c r="N36032"/>
      <c r="O36032" s="24"/>
      <c r="P36032"/>
      <c r="Q36032" s="24"/>
      <c r="R36032"/>
      <c r="S36032"/>
      <c r="T36032"/>
      <c r="U36032"/>
      <c r="X36032" s="60"/>
    </row>
    <row r="36033" spans="7:24" ht="15" customHeight="1">
      <c r="G36033"/>
      <c r="I36033"/>
      <c r="N36033"/>
      <c r="O36033" s="24"/>
      <c r="P36033"/>
      <c r="Q36033" s="24"/>
      <c r="R36033"/>
      <c r="S36033"/>
      <c r="T36033"/>
      <c r="U36033"/>
      <c r="X36033" s="60"/>
    </row>
    <row r="36034" spans="7:24" ht="15" customHeight="1">
      <c r="G36034"/>
      <c r="I36034"/>
      <c r="N36034"/>
      <c r="O36034" s="24"/>
      <c r="P36034"/>
      <c r="Q36034" s="24"/>
      <c r="R36034"/>
      <c r="S36034"/>
      <c r="T36034"/>
      <c r="U36034"/>
      <c r="X36034" s="60"/>
    </row>
    <row r="36035" spans="7:24" ht="15" customHeight="1">
      <c r="G36035"/>
      <c r="I36035"/>
      <c r="N36035"/>
      <c r="O36035" s="24"/>
      <c r="P36035"/>
      <c r="Q36035" s="24"/>
      <c r="R36035"/>
      <c r="S36035"/>
      <c r="T36035"/>
      <c r="U36035"/>
      <c r="X36035" s="60"/>
    </row>
    <row r="36036" spans="7:24" ht="15" customHeight="1">
      <c r="G36036"/>
      <c r="I36036"/>
      <c r="N36036"/>
      <c r="O36036" s="24"/>
      <c r="P36036"/>
      <c r="Q36036" s="24"/>
      <c r="R36036"/>
      <c r="S36036"/>
      <c r="T36036"/>
      <c r="U36036"/>
      <c r="X36036" s="60"/>
    </row>
    <row r="36037" spans="7:24" ht="15" customHeight="1">
      <c r="G36037"/>
      <c r="I36037"/>
      <c r="N36037"/>
      <c r="O36037" s="24"/>
      <c r="P36037"/>
      <c r="Q36037" s="24"/>
      <c r="R36037"/>
      <c r="S36037"/>
      <c r="T36037"/>
      <c r="U36037"/>
      <c r="X36037" s="60"/>
    </row>
    <row r="36038" spans="7:24" ht="15" customHeight="1">
      <c r="G36038"/>
      <c r="I36038"/>
      <c r="N36038"/>
      <c r="O36038" s="24"/>
      <c r="P36038"/>
      <c r="Q36038" s="24"/>
      <c r="R36038"/>
      <c r="S36038"/>
      <c r="T36038"/>
      <c r="U36038"/>
      <c r="X36038" s="60"/>
    </row>
    <row r="36039" spans="7:24" ht="15" customHeight="1">
      <c r="G36039"/>
      <c r="I36039"/>
      <c r="N36039"/>
      <c r="O36039" s="24"/>
      <c r="P36039"/>
      <c r="Q36039" s="24"/>
      <c r="R36039"/>
      <c r="S36039"/>
      <c r="T36039"/>
      <c r="U36039"/>
      <c r="X36039" s="60"/>
    </row>
    <row r="36040" spans="7:24" ht="15" customHeight="1">
      <c r="G36040"/>
      <c r="I36040"/>
      <c r="N36040"/>
      <c r="O36040" s="24"/>
      <c r="P36040"/>
      <c r="Q36040" s="24"/>
      <c r="R36040"/>
      <c r="S36040"/>
      <c r="T36040"/>
      <c r="U36040"/>
      <c r="X36040" s="60"/>
    </row>
    <row r="36041" spans="7:24" ht="15" customHeight="1">
      <c r="G36041"/>
      <c r="I36041"/>
      <c r="N36041"/>
      <c r="O36041" s="24"/>
      <c r="P36041"/>
      <c r="Q36041" s="24"/>
      <c r="R36041"/>
      <c r="S36041"/>
      <c r="T36041"/>
      <c r="U36041"/>
      <c r="X36041" s="60"/>
    </row>
    <row r="36042" spans="7:24" ht="15" customHeight="1">
      <c r="G36042"/>
      <c r="I36042"/>
      <c r="N36042"/>
      <c r="O36042" s="24"/>
      <c r="P36042"/>
      <c r="Q36042" s="24"/>
      <c r="R36042"/>
      <c r="S36042"/>
      <c r="T36042"/>
      <c r="U36042"/>
      <c r="X36042" s="60"/>
    </row>
    <row r="36043" spans="7:24" ht="15" customHeight="1">
      <c r="G36043"/>
      <c r="I36043"/>
      <c r="N36043"/>
      <c r="O36043" s="24"/>
      <c r="P36043"/>
      <c r="Q36043" s="24"/>
      <c r="R36043"/>
      <c r="S36043"/>
      <c r="T36043"/>
      <c r="U36043"/>
      <c r="X36043" s="60"/>
    </row>
    <row r="36044" spans="7:24" ht="15" customHeight="1">
      <c r="G36044"/>
      <c r="I36044"/>
      <c r="N36044"/>
      <c r="O36044" s="24"/>
      <c r="P36044"/>
      <c r="Q36044" s="24"/>
      <c r="R36044"/>
      <c r="S36044"/>
      <c r="T36044"/>
      <c r="U36044"/>
      <c r="X36044" s="60"/>
    </row>
    <row r="36045" spans="7:24" ht="15" customHeight="1">
      <c r="G36045"/>
      <c r="I36045"/>
      <c r="N36045"/>
      <c r="O36045" s="24"/>
      <c r="P36045"/>
      <c r="Q36045" s="24"/>
      <c r="R36045"/>
      <c r="S36045"/>
      <c r="T36045"/>
      <c r="U36045"/>
      <c r="X36045" s="60"/>
    </row>
    <row r="36046" spans="7:24" ht="15" customHeight="1">
      <c r="G36046"/>
      <c r="I36046"/>
      <c r="N36046"/>
      <c r="O36046" s="24"/>
      <c r="P36046"/>
      <c r="Q36046" s="24"/>
      <c r="R36046"/>
      <c r="S36046"/>
      <c r="T36046"/>
      <c r="U36046"/>
      <c r="X36046" s="60"/>
    </row>
    <row r="36047" spans="7:24" ht="15" customHeight="1">
      <c r="G36047"/>
      <c r="I36047"/>
      <c r="N36047"/>
      <c r="O36047" s="24"/>
      <c r="P36047"/>
      <c r="Q36047" s="24"/>
      <c r="R36047"/>
      <c r="S36047"/>
      <c r="T36047"/>
      <c r="U36047"/>
      <c r="X36047" s="60"/>
    </row>
    <row r="36048" spans="7:24" ht="15" customHeight="1">
      <c r="G36048"/>
      <c r="I36048"/>
      <c r="N36048"/>
      <c r="O36048" s="24"/>
      <c r="P36048"/>
      <c r="Q36048" s="24"/>
      <c r="R36048"/>
      <c r="S36048"/>
      <c r="T36048"/>
      <c r="U36048"/>
      <c r="X36048" s="60"/>
    </row>
    <row r="36049" spans="7:24" ht="15" customHeight="1">
      <c r="G36049"/>
      <c r="I36049"/>
      <c r="N36049"/>
      <c r="O36049" s="24"/>
      <c r="P36049"/>
      <c r="Q36049" s="24"/>
      <c r="R36049"/>
      <c r="S36049"/>
      <c r="T36049"/>
      <c r="U36049"/>
      <c r="X36049" s="60"/>
    </row>
    <row r="36050" spans="7:24" ht="15" customHeight="1">
      <c r="G36050"/>
      <c r="I36050"/>
      <c r="N36050"/>
      <c r="O36050" s="24"/>
      <c r="P36050"/>
      <c r="Q36050" s="24"/>
      <c r="R36050"/>
      <c r="S36050"/>
      <c r="T36050"/>
      <c r="U36050"/>
      <c r="X36050" s="60"/>
    </row>
    <row r="36051" spans="7:24" ht="15" customHeight="1">
      <c r="G36051"/>
      <c r="I36051"/>
      <c r="N36051"/>
      <c r="O36051" s="24"/>
      <c r="P36051"/>
      <c r="Q36051" s="24"/>
      <c r="R36051"/>
      <c r="S36051"/>
      <c r="T36051"/>
      <c r="U36051"/>
      <c r="X36051" s="60"/>
    </row>
    <row r="36052" spans="7:24" ht="15" customHeight="1">
      <c r="G36052"/>
      <c r="I36052"/>
      <c r="N36052"/>
      <c r="O36052" s="24"/>
      <c r="P36052"/>
      <c r="Q36052" s="24"/>
      <c r="R36052"/>
      <c r="S36052"/>
      <c r="T36052"/>
      <c r="U36052"/>
      <c r="X36052" s="60"/>
    </row>
    <row r="36053" spans="7:24" ht="15" customHeight="1">
      <c r="G36053"/>
      <c r="I36053"/>
      <c r="N36053"/>
      <c r="O36053" s="24"/>
      <c r="P36053"/>
      <c r="Q36053" s="24"/>
      <c r="R36053"/>
      <c r="S36053"/>
      <c r="T36053"/>
      <c r="U36053"/>
      <c r="X36053" s="60"/>
    </row>
    <row r="36054" spans="7:24" ht="15" customHeight="1">
      <c r="G36054"/>
      <c r="I36054"/>
      <c r="N36054"/>
      <c r="O36054" s="24"/>
      <c r="P36054"/>
      <c r="Q36054" s="24"/>
      <c r="R36054"/>
      <c r="S36054"/>
      <c r="T36054"/>
      <c r="U36054"/>
      <c r="X36054" s="60"/>
    </row>
    <row r="36055" spans="7:24" ht="15" customHeight="1">
      <c r="G36055"/>
      <c r="I36055"/>
      <c r="N36055"/>
      <c r="O36055" s="24"/>
      <c r="P36055"/>
      <c r="Q36055" s="24"/>
      <c r="R36055"/>
      <c r="S36055"/>
      <c r="T36055"/>
      <c r="U36055"/>
      <c r="X36055" s="60"/>
    </row>
    <row r="36056" spans="7:24" ht="15" customHeight="1">
      <c r="G36056"/>
      <c r="I36056"/>
      <c r="N36056"/>
      <c r="O36056" s="24"/>
      <c r="P36056"/>
      <c r="Q36056" s="24"/>
      <c r="R36056"/>
      <c r="S36056"/>
      <c r="T36056"/>
      <c r="U36056"/>
      <c r="X36056" s="60"/>
    </row>
    <row r="36057" spans="7:24" ht="15" customHeight="1">
      <c r="G36057"/>
      <c r="I36057"/>
      <c r="N36057"/>
      <c r="O36057" s="24"/>
      <c r="P36057"/>
      <c r="Q36057" s="24"/>
      <c r="R36057"/>
      <c r="S36057"/>
      <c r="T36057"/>
      <c r="U36057"/>
      <c r="X36057" s="60"/>
    </row>
    <row r="36058" spans="7:24" ht="15" customHeight="1">
      <c r="G36058"/>
      <c r="I36058"/>
      <c r="N36058"/>
      <c r="O36058" s="24"/>
      <c r="P36058"/>
      <c r="Q36058" s="24"/>
      <c r="R36058"/>
      <c r="S36058"/>
      <c r="T36058"/>
      <c r="U36058"/>
      <c r="X36058" s="60"/>
    </row>
    <row r="36059" spans="7:24" ht="15" customHeight="1">
      <c r="G36059"/>
      <c r="I36059"/>
      <c r="N36059"/>
      <c r="O36059" s="24"/>
      <c r="P36059"/>
      <c r="Q36059" s="24"/>
      <c r="R36059"/>
      <c r="S36059"/>
      <c r="T36059"/>
      <c r="U36059"/>
      <c r="X36059" s="60"/>
    </row>
    <row r="36060" spans="7:24" ht="15" customHeight="1">
      <c r="G36060"/>
      <c r="I36060"/>
      <c r="N36060"/>
      <c r="O36060" s="24"/>
      <c r="P36060"/>
      <c r="Q36060" s="24"/>
      <c r="R36060"/>
      <c r="S36060"/>
      <c r="T36060"/>
      <c r="U36060"/>
      <c r="X36060" s="60"/>
    </row>
    <row r="36061" spans="7:24" ht="15" customHeight="1">
      <c r="G36061"/>
      <c r="I36061"/>
      <c r="N36061"/>
      <c r="O36061" s="24"/>
      <c r="P36061"/>
      <c r="Q36061" s="24"/>
      <c r="R36061"/>
      <c r="S36061"/>
      <c r="T36061"/>
      <c r="U36061"/>
      <c r="X36061" s="60"/>
    </row>
    <row r="36062" spans="7:24" ht="15" customHeight="1">
      <c r="G36062"/>
      <c r="I36062"/>
      <c r="N36062"/>
      <c r="O36062" s="24"/>
      <c r="P36062"/>
      <c r="Q36062" s="24"/>
      <c r="R36062"/>
      <c r="S36062"/>
      <c r="T36062"/>
      <c r="U36062"/>
      <c r="X36062" s="60"/>
    </row>
    <row r="36063" spans="7:24" ht="15" customHeight="1">
      <c r="G36063"/>
      <c r="I36063"/>
      <c r="N36063"/>
      <c r="O36063" s="24"/>
      <c r="P36063"/>
      <c r="Q36063" s="24"/>
      <c r="R36063"/>
      <c r="S36063"/>
      <c r="T36063"/>
      <c r="U36063"/>
      <c r="X36063" s="60"/>
    </row>
    <row r="36064" spans="7:24" ht="15" customHeight="1">
      <c r="G36064"/>
      <c r="I36064"/>
      <c r="N36064"/>
      <c r="O36064" s="24"/>
      <c r="P36064"/>
      <c r="Q36064" s="24"/>
      <c r="R36064"/>
      <c r="S36064"/>
      <c r="T36064"/>
      <c r="U36064"/>
      <c r="X36064" s="60"/>
    </row>
    <row r="36065" spans="7:24" ht="15" customHeight="1">
      <c r="G36065"/>
      <c r="I36065"/>
      <c r="N36065"/>
      <c r="O36065" s="24"/>
      <c r="P36065"/>
      <c r="Q36065" s="24"/>
      <c r="R36065"/>
      <c r="S36065"/>
      <c r="T36065"/>
      <c r="U36065"/>
      <c r="X36065" s="60"/>
    </row>
    <row r="36066" spans="7:24" ht="15" customHeight="1">
      <c r="G36066"/>
      <c r="I36066"/>
      <c r="N36066"/>
      <c r="O36066" s="24"/>
      <c r="P36066"/>
      <c r="Q36066" s="24"/>
      <c r="R36066"/>
      <c r="S36066"/>
      <c r="T36066"/>
      <c r="U36066"/>
      <c r="X36066" s="60"/>
    </row>
    <row r="36067" spans="7:24" ht="15" customHeight="1">
      <c r="G36067"/>
      <c r="I36067"/>
      <c r="N36067"/>
      <c r="O36067" s="24"/>
      <c r="P36067"/>
      <c r="Q36067" s="24"/>
      <c r="R36067"/>
      <c r="S36067"/>
      <c r="T36067"/>
      <c r="U36067"/>
      <c r="X36067" s="60"/>
    </row>
    <row r="36068" spans="7:24" ht="15" customHeight="1">
      <c r="G36068"/>
      <c r="I36068"/>
      <c r="N36068"/>
      <c r="O36068" s="24"/>
      <c r="P36068"/>
      <c r="Q36068" s="24"/>
      <c r="R36068"/>
      <c r="S36068"/>
      <c r="T36068"/>
      <c r="U36068"/>
      <c r="X36068" s="60"/>
    </row>
    <row r="36069" spans="7:24" ht="15" customHeight="1">
      <c r="G36069"/>
      <c r="I36069"/>
      <c r="N36069"/>
      <c r="O36069" s="24"/>
      <c r="P36069"/>
      <c r="Q36069" s="24"/>
      <c r="R36069"/>
      <c r="S36069"/>
      <c r="T36069"/>
      <c r="U36069"/>
      <c r="X36069" s="60"/>
    </row>
    <row r="36070" spans="7:24" ht="15" customHeight="1">
      <c r="G36070"/>
      <c r="I36070"/>
      <c r="N36070"/>
      <c r="O36070" s="24"/>
      <c r="P36070"/>
      <c r="Q36070" s="24"/>
      <c r="R36070"/>
      <c r="S36070"/>
      <c r="T36070"/>
      <c r="U36070"/>
      <c r="X36070" s="60"/>
    </row>
    <row r="36071" spans="7:24" ht="15" customHeight="1">
      <c r="G36071"/>
      <c r="I36071"/>
      <c r="N36071"/>
      <c r="O36071" s="24"/>
      <c r="P36071"/>
      <c r="Q36071" s="24"/>
      <c r="R36071"/>
      <c r="S36071"/>
      <c r="T36071"/>
      <c r="U36071"/>
      <c r="X36071" s="60"/>
    </row>
    <row r="36072" spans="7:24" ht="15" customHeight="1">
      <c r="G36072"/>
      <c r="I36072"/>
      <c r="N36072"/>
      <c r="O36072" s="24"/>
      <c r="P36072"/>
      <c r="Q36072" s="24"/>
      <c r="R36072"/>
      <c r="S36072"/>
      <c r="T36072"/>
      <c r="U36072"/>
      <c r="X36072" s="60"/>
    </row>
    <row r="36073" spans="7:24" ht="15" customHeight="1">
      <c r="G36073"/>
      <c r="I36073"/>
      <c r="N36073"/>
      <c r="O36073" s="24"/>
      <c r="P36073"/>
      <c r="Q36073" s="24"/>
      <c r="R36073"/>
      <c r="S36073"/>
      <c r="T36073"/>
      <c r="U36073"/>
      <c r="X36073" s="60"/>
    </row>
    <row r="36074" spans="7:24" ht="15" customHeight="1">
      <c r="G36074"/>
      <c r="I36074"/>
      <c r="N36074"/>
      <c r="O36074" s="24"/>
      <c r="P36074"/>
      <c r="Q36074" s="24"/>
      <c r="R36074"/>
      <c r="S36074"/>
      <c r="T36074"/>
      <c r="U36074"/>
      <c r="X36074" s="60"/>
    </row>
    <row r="36075" spans="7:24" ht="15" customHeight="1">
      <c r="G36075"/>
      <c r="I36075"/>
      <c r="N36075"/>
      <c r="O36075" s="24"/>
      <c r="P36075"/>
      <c r="Q36075" s="24"/>
      <c r="R36075"/>
      <c r="S36075"/>
      <c r="T36075"/>
      <c r="U36075"/>
      <c r="X36075" s="60"/>
    </row>
    <row r="36076" spans="7:24" ht="15" customHeight="1">
      <c r="G36076"/>
      <c r="I36076"/>
      <c r="N36076"/>
      <c r="O36076" s="24"/>
      <c r="P36076"/>
      <c r="Q36076" s="24"/>
      <c r="R36076"/>
      <c r="S36076"/>
      <c r="T36076"/>
      <c r="U36076"/>
      <c r="X36076" s="60"/>
    </row>
    <row r="36077" spans="7:24" ht="15" customHeight="1">
      <c r="G36077"/>
      <c r="I36077"/>
      <c r="N36077"/>
      <c r="O36077" s="24"/>
      <c r="P36077"/>
      <c r="Q36077" s="24"/>
      <c r="R36077"/>
      <c r="S36077"/>
      <c r="T36077"/>
      <c r="U36077"/>
      <c r="X36077" s="60"/>
    </row>
    <row r="36078" spans="7:24" ht="15" customHeight="1">
      <c r="G36078"/>
      <c r="I36078"/>
      <c r="N36078"/>
      <c r="O36078" s="24"/>
      <c r="P36078"/>
      <c r="Q36078" s="24"/>
      <c r="R36078"/>
      <c r="S36078"/>
      <c r="T36078"/>
      <c r="U36078"/>
      <c r="X36078" s="60"/>
    </row>
    <row r="36079" spans="7:24" ht="15" customHeight="1">
      <c r="G36079"/>
      <c r="I36079"/>
      <c r="N36079"/>
      <c r="O36079" s="24"/>
      <c r="P36079"/>
      <c r="Q36079" s="24"/>
      <c r="R36079"/>
      <c r="S36079"/>
      <c r="T36079"/>
      <c r="U36079"/>
      <c r="X36079" s="60"/>
    </row>
    <row r="36080" spans="7:24" ht="15" customHeight="1">
      <c r="G36080"/>
      <c r="I36080"/>
      <c r="N36080"/>
      <c r="O36080" s="24"/>
      <c r="P36080"/>
      <c r="Q36080" s="24"/>
      <c r="R36080"/>
      <c r="S36080"/>
      <c r="T36080"/>
      <c r="U36080"/>
      <c r="X36080" s="60"/>
    </row>
    <row r="36081" spans="7:24" ht="15" customHeight="1">
      <c r="G36081"/>
      <c r="I36081"/>
      <c r="N36081"/>
      <c r="O36081" s="24"/>
      <c r="P36081"/>
      <c r="Q36081" s="24"/>
      <c r="R36081"/>
      <c r="S36081"/>
      <c r="T36081"/>
      <c r="U36081"/>
      <c r="X36081" s="60"/>
    </row>
    <row r="36082" spans="7:24" ht="15" customHeight="1">
      <c r="G36082"/>
      <c r="I36082"/>
      <c r="N36082"/>
      <c r="O36082" s="24"/>
      <c r="P36082"/>
      <c r="Q36082" s="24"/>
      <c r="R36082"/>
      <c r="S36082"/>
      <c r="T36082"/>
      <c r="U36082"/>
      <c r="X36082" s="60"/>
    </row>
    <row r="36083" spans="7:24" ht="15" customHeight="1">
      <c r="G36083"/>
      <c r="I36083"/>
      <c r="N36083"/>
      <c r="O36083" s="24"/>
      <c r="P36083"/>
      <c r="Q36083" s="24"/>
      <c r="R36083"/>
      <c r="S36083"/>
      <c r="T36083"/>
      <c r="U36083"/>
      <c r="X36083" s="60"/>
    </row>
    <row r="36084" spans="7:24" ht="15" customHeight="1">
      <c r="G36084"/>
      <c r="I36084"/>
      <c r="N36084"/>
      <c r="O36084" s="24"/>
      <c r="P36084"/>
      <c r="Q36084" s="24"/>
      <c r="R36084"/>
      <c r="S36084"/>
      <c r="T36084"/>
      <c r="U36084"/>
      <c r="X36084" s="60"/>
    </row>
    <row r="36085" spans="7:24" ht="15" customHeight="1">
      <c r="G36085"/>
      <c r="I36085"/>
      <c r="N36085"/>
      <c r="O36085" s="24"/>
      <c r="P36085"/>
      <c r="Q36085" s="24"/>
      <c r="R36085"/>
      <c r="S36085"/>
      <c r="T36085"/>
      <c r="U36085"/>
      <c r="X36085" s="60"/>
    </row>
    <row r="36086" spans="7:24" ht="15" customHeight="1">
      <c r="G36086"/>
      <c r="I36086"/>
      <c r="N36086"/>
      <c r="O36086" s="24"/>
      <c r="P36086"/>
      <c r="Q36086" s="24"/>
      <c r="R36086"/>
      <c r="S36086"/>
      <c r="T36086"/>
      <c r="U36086"/>
      <c r="X36086" s="60"/>
    </row>
    <row r="36087" spans="7:24" ht="15" customHeight="1">
      <c r="G36087"/>
      <c r="I36087"/>
      <c r="N36087"/>
      <c r="O36087" s="24"/>
      <c r="P36087"/>
      <c r="Q36087" s="24"/>
      <c r="R36087"/>
      <c r="S36087"/>
      <c r="T36087"/>
      <c r="U36087"/>
      <c r="X36087" s="60"/>
    </row>
    <row r="36088" spans="7:24" ht="15" customHeight="1">
      <c r="G36088"/>
      <c r="I36088"/>
      <c r="N36088"/>
      <c r="O36088" s="24"/>
      <c r="P36088"/>
      <c r="Q36088" s="24"/>
      <c r="R36088"/>
      <c r="S36088"/>
      <c r="T36088"/>
      <c r="U36088"/>
      <c r="X36088" s="60"/>
    </row>
    <row r="36089" spans="7:24" ht="15" customHeight="1">
      <c r="G36089"/>
      <c r="I36089"/>
      <c r="N36089"/>
      <c r="O36089" s="24"/>
      <c r="P36089"/>
      <c r="Q36089" s="24"/>
      <c r="R36089"/>
      <c r="S36089"/>
      <c r="T36089"/>
      <c r="U36089"/>
      <c r="X36089" s="60"/>
    </row>
    <row r="36090" spans="7:24" ht="15" customHeight="1">
      <c r="G36090"/>
      <c r="I36090"/>
      <c r="N36090"/>
      <c r="O36090" s="24"/>
      <c r="P36090"/>
      <c r="Q36090" s="24"/>
      <c r="R36090"/>
      <c r="S36090"/>
      <c r="T36090"/>
      <c r="U36090"/>
      <c r="X36090" s="60"/>
    </row>
    <row r="36091" spans="7:24" ht="15" customHeight="1">
      <c r="G36091"/>
      <c r="I36091"/>
      <c r="N36091"/>
      <c r="O36091" s="24"/>
      <c r="P36091"/>
      <c r="Q36091" s="24"/>
      <c r="R36091"/>
      <c r="S36091"/>
      <c r="T36091"/>
      <c r="U36091"/>
      <c r="X36091" s="60"/>
    </row>
    <row r="36092" spans="7:24" ht="15" customHeight="1">
      <c r="G36092"/>
      <c r="I36092"/>
      <c r="N36092"/>
      <c r="O36092" s="24"/>
      <c r="P36092"/>
      <c r="Q36092" s="24"/>
      <c r="R36092"/>
      <c r="S36092"/>
      <c r="T36092"/>
      <c r="U36092"/>
      <c r="X36092" s="60"/>
    </row>
    <row r="36093" spans="7:24" ht="15" customHeight="1">
      <c r="G36093"/>
      <c r="I36093"/>
      <c r="N36093"/>
      <c r="O36093" s="24"/>
      <c r="P36093"/>
      <c r="Q36093" s="24"/>
      <c r="R36093"/>
      <c r="S36093"/>
      <c r="T36093"/>
      <c r="U36093"/>
      <c r="X36093" s="60"/>
    </row>
    <row r="36094" spans="7:24" ht="15" customHeight="1">
      <c r="G36094"/>
      <c r="I36094"/>
      <c r="N36094"/>
      <c r="O36094" s="24"/>
      <c r="P36094"/>
      <c r="Q36094" s="24"/>
      <c r="R36094"/>
      <c r="S36094"/>
      <c r="T36094"/>
      <c r="U36094"/>
      <c r="X36094" s="60"/>
    </row>
    <row r="36095" spans="7:24" ht="15" customHeight="1">
      <c r="G36095"/>
      <c r="I36095"/>
      <c r="N36095"/>
      <c r="O36095" s="24"/>
      <c r="P36095"/>
      <c r="Q36095" s="24"/>
      <c r="R36095"/>
      <c r="S36095"/>
      <c r="T36095"/>
      <c r="U36095"/>
      <c r="X36095" s="60"/>
    </row>
    <row r="36096" spans="7:24" ht="15" customHeight="1">
      <c r="G36096"/>
      <c r="I36096"/>
      <c r="N36096"/>
      <c r="O36096" s="24"/>
      <c r="P36096"/>
      <c r="Q36096" s="24"/>
      <c r="R36096"/>
      <c r="S36096"/>
      <c r="T36096"/>
      <c r="U36096"/>
      <c r="X36096" s="60"/>
    </row>
    <row r="36097" spans="7:24" ht="15" customHeight="1">
      <c r="G36097"/>
      <c r="I36097"/>
      <c r="N36097"/>
      <c r="O36097" s="24"/>
      <c r="P36097"/>
      <c r="Q36097" s="24"/>
      <c r="R36097"/>
      <c r="S36097"/>
      <c r="T36097"/>
      <c r="U36097"/>
      <c r="X36097" s="60"/>
    </row>
    <row r="36098" spans="7:24" ht="15" customHeight="1">
      <c r="G36098"/>
      <c r="I36098"/>
      <c r="N36098"/>
      <c r="O36098" s="24"/>
      <c r="P36098"/>
      <c r="Q36098" s="24"/>
      <c r="R36098"/>
      <c r="S36098"/>
      <c r="T36098"/>
      <c r="U36098"/>
      <c r="X36098" s="60"/>
    </row>
    <row r="36099" spans="7:24" ht="15" customHeight="1">
      <c r="G36099"/>
      <c r="I36099"/>
      <c r="N36099"/>
      <c r="O36099" s="24"/>
      <c r="P36099"/>
      <c r="Q36099" s="24"/>
      <c r="R36099"/>
      <c r="S36099"/>
      <c r="T36099"/>
      <c r="U36099"/>
      <c r="X36099" s="60"/>
    </row>
    <row r="36100" spans="7:24" ht="15" customHeight="1">
      <c r="G36100"/>
      <c r="I36100"/>
      <c r="N36100"/>
      <c r="O36100" s="24"/>
      <c r="P36100"/>
      <c r="Q36100" s="24"/>
      <c r="R36100"/>
      <c r="S36100"/>
      <c r="T36100"/>
      <c r="U36100"/>
      <c r="X36100" s="60"/>
    </row>
    <row r="36101" spans="7:24" ht="15" customHeight="1">
      <c r="G36101"/>
      <c r="I36101"/>
      <c r="N36101"/>
      <c r="O36101" s="24"/>
      <c r="P36101"/>
      <c r="Q36101" s="24"/>
      <c r="R36101"/>
      <c r="S36101"/>
      <c r="T36101"/>
      <c r="U36101"/>
      <c r="X36101" s="60"/>
    </row>
    <row r="36102" spans="7:24" ht="15" customHeight="1">
      <c r="G36102"/>
      <c r="I36102"/>
      <c r="N36102"/>
      <c r="O36102" s="24"/>
      <c r="P36102"/>
      <c r="Q36102" s="24"/>
      <c r="R36102"/>
      <c r="S36102"/>
      <c r="T36102"/>
      <c r="U36102"/>
      <c r="X36102" s="60"/>
    </row>
    <row r="36103" spans="7:24" ht="15" customHeight="1">
      <c r="G36103"/>
      <c r="I36103"/>
      <c r="N36103"/>
      <c r="O36103" s="24"/>
      <c r="P36103"/>
      <c r="Q36103" s="24"/>
      <c r="R36103"/>
      <c r="S36103"/>
      <c r="T36103"/>
      <c r="U36103"/>
      <c r="X36103" s="60"/>
    </row>
    <row r="36104" spans="7:24" ht="15" customHeight="1">
      <c r="G36104"/>
      <c r="I36104"/>
      <c r="N36104"/>
      <c r="O36104" s="24"/>
      <c r="P36104"/>
      <c r="Q36104" s="24"/>
      <c r="R36104"/>
      <c r="S36104"/>
      <c r="T36104"/>
      <c r="U36104"/>
      <c r="X36104" s="60"/>
    </row>
    <row r="36105" spans="7:24" ht="15" customHeight="1">
      <c r="G36105"/>
      <c r="I36105"/>
      <c r="N36105"/>
      <c r="O36105" s="24"/>
      <c r="P36105"/>
      <c r="Q36105" s="24"/>
      <c r="R36105"/>
      <c r="S36105"/>
      <c r="T36105"/>
      <c r="U36105"/>
      <c r="X36105" s="60"/>
    </row>
    <row r="36106" spans="7:24" ht="15" customHeight="1">
      <c r="G36106"/>
      <c r="I36106"/>
      <c r="N36106"/>
      <c r="O36106" s="24"/>
      <c r="P36106"/>
      <c r="Q36106" s="24"/>
      <c r="R36106"/>
      <c r="S36106"/>
      <c r="T36106"/>
      <c r="U36106"/>
      <c r="X36106" s="60"/>
    </row>
    <row r="36107" spans="7:24" ht="15" customHeight="1">
      <c r="G36107"/>
      <c r="I36107"/>
      <c r="N36107"/>
      <c r="O36107" s="24"/>
      <c r="P36107"/>
      <c r="Q36107" s="24"/>
      <c r="R36107"/>
      <c r="S36107"/>
      <c r="T36107"/>
      <c r="U36107"/>
      <c r="X36107" s="60"/>
    </row>
    <row r="36108" spans="7:24" ht="15" customHeight="1">
      <c r="G36108"/>
      <c r="I36108"/>
      <c r="N36108"/>
      <c r="O36108" s="24"/>
      <c r="P36108"/>
      <c r="Q36108" s="24"/>
      <c r="R36108"/>
      <c r="S36108"/>
      <c r="T36108"/>
      <c r="U36108"/>
      <c r="X36108" s="60"/>
    </row>
    <row r="36109" spans="7:24" ht="15" customHeight="1">
      <c r="G36109"/>
      <c r="I36109"/>
      <c r="N36109"/>
      <c r="O36109" s="24"/>
      <c r="P36109"/>
      <c r="Q36109" s="24"/>
      <c r="R36109"/>
      <c r="S36109"/>
      <c r="T36109"/>
      <c r="U36109"/>
      <c r="X36109" s="60"/>
    </row>
    <row r="36110" spans="7:24" ht="15" customHeight="1">
      <c r="G36110"/>
      <c r="I36110"/>
      <c r="N36110"/>
      <c r="O36110" s="24"/>
      <c r="P36110"/>
      <c r="Q36110" s="24"/>
      <c r="R36110"/>
      <c r="S36110"/>
      <c r="T36110"/>
      <c r="U36110"/>
      <c r="X36110" s="60"/>
    </row>
    <row r="36111" spans="7:24" ht="15" customHeight="1">
      <c r="G36111"/>
      <c r="I36111"/>
      <c r="N36111"/>
      <c r="O36111" s="24"/>
      <c r="P36111"/>
      <c r="Q36111" s="24"/>
      <c r="R36111"/>
      <c r="S36111"/>
      <c r="T36111"/>
      <c r="U36111"/>
      <c r="X36111" s="60"/>
    </row>
    <row r="36112" spans="7:24" ht="15" customHeight="1">
      <c r="G36112"/>
      <c r="I36112"/>
      <c r="N36112"/>
      <c r="O36112" s="24"/>
      <c r="P36112"/>
      <c r="Q36112" s="24"/>
      <c r="R36112"/>
      <c r="S36112"/>
      <c r="T36112"/>
      <c r="U36112"/>
      <c r="X36112" s="60"/>
    </row>
    <row r="36113" spans="7:24" ht="15" customHeight="1">
      <c r="G36113"/>
      <c r="I36113"/>
      <c r="N36113"/>
      <c r="O36113" s="24"/>
      <c r="P36113"/>
      <c r="Q36113" s="24"/>
      <c r="R36113"/>
      <c r="S36113"/>
      <c r="T36113"/>
      <c r="U36113"/>
      <c r="X36113" s="60"/>
    </row>
    <row r="36114" spans="7:24" ht="15" customHeight="1">
      <c r="G36114"/>
      <c r="I36114"/>
      <c r="N36114"/>
      <c r="O36114" s="24"/>
      <c r="P36114"/>
      <c r="Q36114" s="24"/>
      <c r="R36114"/>
      <c r="S36114"/>
      <c r="T36114"/>
      <c r="U36114"/>
      <c r="X36114" s="60"/>
    </row>
    <row r="36115" spans="7:24" ht="15" customHeight="1">
      <c r="G36115"/>
      <c r="I36115"/>
      <c r="N36115"/>
      <c r="O36115" s="24"/>
      <c r="P36115"/>
      <c r="Q36115" s="24"/>
      <c r="R36115"/>
      <c r="S36115"/>
      <c r="T36115"/>
      <c r="U36115"/>
      <c r="X36115" s="60"/>
    </row>
    <row r="36116" spans="7:24" ht="15" customHeight="1">
      <c r="G36116"/>
      <c r="I36116"/>
      <c r="N36116"/>
      <c r="O36116" s="24"/>
      <c r="P36116"/>
      <c r="Q36116" s="24"/>
      <c r="R36116"/>
      <c r="S36116"/>
      <c r="T36116"/>
      <c r="U36116"/>
      <c r="X36116" s="60"/>
    </row>
    <row r="36117" spans="7:24" ht="15" customHeight="1">
      <c r="G36117"/>
      <c r="I36117"/>
      <c r="N36117"/>
      <c r="O36117" s="24"/>
      <c r="P36117"/>
      <c r="Q36117" s="24"/>
      <c r="R36117"/>
      <c r="S36117"/>
      <c r="T36117"/>
      <c r="U36117"/>
      <c r="X36117" s="60"/>
    </row>
    <row r="36118" spans="7:24" ht="15" customHeight="1">
      <c r="G36118"/>
      <c r="I36118"/>
      <c r="N36118"/>
      <c r="O36118" s="24"/>
      <c r="P36118"/>
      <c r="Q36118" s="24"/>
      <c r="R36118"/>
      <c r="S36118"/>
      <c r="T36118"/>
      <c r="U36118"/>
      <c r="X36118" s="60"/>
    </row>
    <row r="36119" spans="7:24" ht="15" customHeight="1">
      <c r="G36119"/>
      <c r="I36119"/>
      <c r="N36119"/>
      <c r="O36119" s="24"/>
      <c r="P36119"/>
      <c r="Q36119" s="24"/>
      <c r="R36119"/>
      <c r="S36119"/>
      <c r="T36119"/>
      <c r="U36119"/>
      <c r="X36119" s="60"/>
    </row>
    <row r="36120" spans="7:24" ht="15" customHeight="1">
      <c r="G36120"/>
      <c r="I36120"/>
      <c r="N36120"/>
      <c r="O36120" s="24"/>
      <c r="P36120"/>
      <c r="Q36120" s="24"/>
      <c r="R36120"/>
      <c r="S36120"/>
      <c r="T36120"/>
      <c r="U36120"/>
      <c r="X36120" s="60"/>
    </row>
    <row r="36121" spans="7:24" ht="15" customHeight="1">
      <c r="G36121"/>
      <c r="I36121"/>
      <c r="N36121"/>
      <c r="O36121" s="24"/>
      <c r="P36121"/>
      <c r="Q36121" s="24"/>
      <c r="R36121"/>
      <c r="S36121"/>
      <c r="T36121"/>
      <c r="U36121"/>
      <c r="X36121" s="60"/>
    </row>
    <row r="36122" spans="7:24" ht="15" customHeight="1">
      <c r="G36122"/>
      <c r="I36122"/>
      <c r="N36122"/>
      <c r="O36122" s="24"/>
      <c r="P36122"/>
      <c r="Q36122" s="24"/>
      <c r="R36122"/>
      <c r="S36122"/>
      <c r="T36122"/>
      <c r="U36122"/>
      <c r="X36122" s="60"/>
    </row>
    <row r="36123" spans="7:24" ht="15" customHeight="1">
      <c r="G36123"/>
      <c r="I36123"/>
      <c r="N36123"/>
      <c r="O36123" s="24"/>
      <c r="P36123"/>
      <c r="Q36123" s="24"/>
      <c r="R36123"/>
      <c r="S36123"/>
      <c r="T36123"/>
      <c r="U36123"/>
      <c r="X36123" s="60"/>
    </row>
    <row r="36124" spans="7:24" ht="15" customHeight="1">
      <c r="G36124"/>
      <c r="I36124"/>
      <c r="N36124"/>
      <c r="O36124" s="24"/>
      <c r="P36124"/>
      <c r="Q36124" s="24"/>
      <c r="R36124"/>
      <c r="S36124"/>
      <c r="T36124"/>
      <c r="U36124"/>
      <c r="X36124" s="60"/>
    </row>
    <row r="36125" spans="7:24" ht="15" customHeight="1">
      <c r="G36125"/>
      <c r="I36125"/>
      <c r="N36125"/>
      <c r="O36125" s="24"/>
      <c r="P36125"/>
      <c r="Q36125" s="24"/>
      <c r="R36125"/>
      <c r="S36125"/>
      <c r="T36125"/>
      <c r="U36125"/>
      <c r="X36125" s="60"/>
    </row>
    <row r="36126" spans="7:24" ht="15" customHeight="1">
      <c r="G36126"/>
      <c r="I36126"/>
      <c r="N36126"/>
      <c r="O36126" s="24"/>
      <c r="P36126"/>
      <c r="Q36126" s="24"/>
      <c r="R36126"/>
      <c r="S36126"/>
      <c r="T36126"/>
      <c r="U36126"/>
      <c r="X36126" s="60"/>
    </row>
    <row r="36127" spans="7:24" ht="15" customHeight="1">
      <c r="G36127"/>
      <c r="I36127"/>
      <c r="N36127"/>
      <c r="O36127" s="24"/>
      <c r="P36127"/>
      <c r="Q36127" s="24"/>
      <c r="R36127"/>
      <c r="S36127"/>
      <c r="T36127"/>
      <c r="U36127"/>
      <c r="X36127" s="60"/>
    </row>
    <row r="36128" spans="7:24" ht="15" customHeight="1">
      <c r="G36128"/>
      <c r="I36128"/>
      <c r="N36128"/>
      <c r="O36128" s="24"/>
      <c r="P36128"/>
      <c r="Q36128" s="24"/>
      <c r="R36128"/>
      <c r="S36128"/>
      <c r="T36128"/>
      <c r="U36128"/>
      <c r="X36128" s="60"/>
    </row>
    <row r="36129" spans="7:24" ht="15" customHeight="1">
      <c r="G36129"/>
      <c r="I36129"/>
      <c r="N36129"/>
      <c r="O36129" s="24"/>
      <c r="P36129"/>
      <c r="Q36129" s="24"/>
      <c r="R36129"/>
      <c r="S36129"/>
      <c r="T36129"/>
      <c r="U36129"/>
      <c r="X36129" s="60"/>
    </row>
    <row r="36130" spans="7:24" ht="15" customHeight="1">
      <c r="G36130"/>
      <c r="I36130"/>
      <c r="N36130"/>
      <c r="O36130" s="24"/>
      <c r="P36130"/>
      <c r="Q36130" s="24"/>
      <c r="R36130"/>
      <c r="S36130"/>
      <c r="T36130"/>
      <c r="U36130"/>
      <c r="X36130" s="60"/>
    </row>
    <row r="36131" spans="7:24" ht="15" customHeight="1">
      <c r="G36131"/>
      <c r="I36131"/>
      <c r="N36131"/>
      <c r="O36131" s="24"/>
      <c r="P36131"/>
      <c r="Q36131" s="24"/>
      <c r="R36131"/>
      <c r="S36131"/>
      <c r="T36131"/>
      <c r="U36131"/>
      <c r="X36131" s="60"/>
    </row>
    <row r="36132" spans="7:24" ht="15" customHeight="1">
      <c r="G36132"/>
      <c r="I36132"/>
      <c r="N36132"/>
      <c r="O36132" s="24"/>
      <c r="P36132"/>
      <c r="Q36132" s="24"/>
      <c r="R36132"/>
      <c r="S36132"/>
      <c r="T36132"/>
      <c r="U36132"/>
      <c r="X36132" s="60"/>
    </row>
    <row r="36133" spans="7:24" ht="15" customHeight="1">
      <c r="G36133"/>
      <c r="I36133"/>
      <c r="N36133"/>
      <c r="O36133" s="24"/>
      <c r="P36133"/>
      <c r="Q36133" s="24"/>
      <c r="R36133"/>
      <c r="S36133"/>
      <c r="T36133"/>
      <c r="U36133"/>
      <c r="X36133" s="60"/>
    </row>
    <row r="36134" spans="7:24" ht="15" customHeight="1">
      <c r="G36134"/>
      <c r="I36134"/>
      <c r="N36134"/>
      <c r="O36134" s="24"/>
      <c r="P36134"/>
      <c r="Q36134" s="24"/>
      <c r="R36134"/>
      <c r="S36134"/>
      <c r="T36134"/>
      <c r="U36134"/>
      <c r="X36134" s="60"/>
    </row>
    <row r="36135" spans="7:24" ht="15" customHeight="1">
      <c r="G36135"/>
      <c r="I36135"/>
      <c r="N36135"/>
      <c r="O36135" s="24"/>
      <c r="P36135"/>
      <c r="Q36135" s="24"/>
      <c r="R36135"/>
      <c r="S36135"/>
      <c r="T36135"/>
      <c r="U36135"/>
      <c r="X36135" s="60"/>
    </row>
    <row r="36136" spans="7:24" ht="15" customHeight="1">
      <c r="G36136"/>
      <c r="I36136"/>
      <c r="N36136"/>
      <c r="O36136" s="24"/>
      <c r="P36136"/>
      <c r="Q36136" s="24"/>
      <c r="R36136"/>
      <c r="S36136"/>
      <c r="T36136"/>
      <c r="U36136"/>
      <c r="X36136" s="60"/>
    </row>
    <row r="36137" spans="7:24" ht="15" customHeight="1">
      <c r="G36137"/>
      <c r="I36137"/>
      <c r="N36137"/>
      <c r="O36137" s="24"/>
      <c r="P36137"/>
      <c r="Q36137" s="24"/>
      <c r="R36137"/>
      <c r="S36137"/>
      <c r="T36137"/>
      <c r="U36137"/>
      <c r="X36137" s="60"/>
    </row>
    <row r="36138" spans="7:24" ht="15" customHeight="1">
      <c r="G36138"/>
      <c r="I36138"/>
      <c r="N36138"/>
      <c r="O36138" s="24"/>
      <c r="P36138"/>
      <c r="Q36138" s="24"/>
      <c r="R36138"/>
      <c r="S36138"/>
      <c r="T36138"/>
      <c r="U36138"/>
      <c r="X36138" s="60"/>
    </row>
    <row r="36139" spans="7:24" ht="15" customHeight="1">
      <c r="G36139"/>
      <c r="I36139"/>
      <c r="N36139"/>
      <c r="O36139" s="24"/>
      <c r="P36139"/>
      <c r="Q36139" s="24"/>
      <c r="R36139"/>
      <c r="S36139"/>
      <c r="T36139"/>
      <c r="U36139"/>
      <c r="X36139" s="60"/>
    </row>
    <row r="36140" spans="7:24" ht="15" customHeight="1">
      <c r="G36140"/>
      <c r="I36140"/>
      <c r="N36140"/>
      <c r="O36140" s="24"/>
      <c r="P36140"/>
      <c r="Q36140" s="24"/>
      <c r="R36140"/>
      <c r="S36140"/>
      <c r="T36140"/>
      <c r="U36140"/>
      <c r="X36140" s="60"/>
    </row>
    <row r="36141" spans="7:24" ht="15" customHeight="1">
      <c r="G36141"/>
      <c r="I36141"/>
      <c r="N36141"/>
      <c r="O36141" s="24"/>
      <c r="P36141"/>
      <c r="Q36141" s="24"/>
      <c r="R36141"/>
      <c r="S36141"/>
      <c r="T36141"/>
      <c r="U36141"/>
      <c r="X36141" s="60"/>
    </row>
    <row r="36142" spans="7:24" ht="15" customHeight="1">
      <c r="G36142"/>
      <c r="I36142"/>
      <c r="N36142"/>
      <c r="O36142" s="24"/>
      <c r="P36142"/>
      <c r="Q36142" s="24"/>
      <c r="R36142"/>
      <c r="S36142"/>
      <c r="T36142"/>
      <c r="U36142"/>
      <c r="X36142" s="60"/>
    </row>
    <row r="36143" spans="7:24" ht="15" customHeight="1">
      <c r="G36143"/>
      <c r="I36143"/>
      <c r="N36143"/>
      <c r="O36143" s="24"/>
      <c r="P36143"/>
      <c r="Q36143" s="24"/>
      <c r="R36143"/>
      <c r="S36143"/>
      <c r="T36143"/>
      <c r="U36143"/>
      <c r="X36143" s="60"/>
    </row>
    <row r="36144" spans="7:24" ht="15" customHeight="1">
      <c r="G36144"/>
      <c r="I36144"/>
      <c r="N36144"/>
      <c r="O36144" s="24"/>
      <c r="P36144"/>
      <c r="Q36144" s="24"/>
      <c r="R36144"/>
      <c r="S36144"/>
      <c r="T36144"/>
      <c r="U36144"/>
      <c r="X36144" s="60"/>
    </row>
    <row r="36145" spans="7:24" ht="15" customHeight="1">
      <c r="G36145"/>
      <c r="I36145"/>
      <c r="N36145"/>
      <c r="O36145" s="24"/>
      <c r="P36145"/>
      <c r="Q36145" s="24"/>
      <c r="R36145"/>
      <c r="S36145"/>
      <c r="T36145"/>
      <c r="U36145"/>
      <c r="X36145" s="60"/>
    </row>
    <row r="36146" spans="7:24" ht="15" customHeight="1">
      <c r="G36146"/>
      <c r="I36146"/>
      <c r="N36146"/>
      <c r="O36146" s="24"/>
      <c r="P36146"/>
      <c r="Q36146" s="24"/>
      <c r="R36146"/>
      <c r="S36146"/>
      <c r="T36146"/>
      <c r="U36146"/>
      <c r="X36146" s="60"/>
    </row>
    <row r="36147" spans="7:24" ht="15" customHeight="1">
      <c r="G36147"/>
      <c r="I36147"/>
      <c r="N36147"/>
      <c r="O36147" s="24"/>
      <c r="P36147"/>
      <c r="Q36147" s="24"/>
      <c r="R36147"/>
      <c r="S36147"/>
      <c r="T36147"/>
      <c r="U36147"/>
      <c r="X36147" s="60"/>
    </row>
    <row r="36148" spans="7:24" ht="15" customHeight="1">
      <c r="G36148"/>
      <c r="I36148"/>
      <c r="N36148"/>
      <c r="O36148" s="24"/>
      <c r="P36148"/>
      <c r="Q36148" s="24"/>
      <c r="R36148"/>
      <c r="S36148"/>
      <c r="T36148"/>
      <c r="U36148"/>
      <c r="X36148" s="60"/>
    </row>
    <row r="36149" spans="7:24" ht="15" customHeight="1">
      <c r="G36149"/>
      <c r="I36149"/>
      <c r="N36149"/>
      <c r="O36149" s="24"/>
      <c r="P36149"/>
      <c r="Q36149" s="24"/>
      <c r="R36149"/>
      <c r="S36149"/>
      <c r="T36149"/>
      <c r="U36149"/>
      <c r="X36149" s="60"/>
    </row>
    <row r="36150" spans="7:24" ht="15" customHeight="1">
      <c r="G36150"/>
      <c r="I36150"/>
      <c r="N36150"/>
      <c r="O36150" s="24"/>
      <c r="P36150"/>
      <c r="Q36150" s="24"/>
      <c r="R36150"/>
      <c r="S36150"/>
      <c r="T36150"/>
      <c r="U36150"/>
      <c r="X36150" s="60"/>
    </row>
    <row r="36151" spans="7:24" ht="15" customHeight="1">
      <c r="G36151"/>
      <c r="I36151"/>
      <c r="N36151"/>
      <c r="O36151" s="24"/>
      <c r="P36151"/>
      <c r="Q36151" s="24"/>
      <c r="R36151"/>
      <c r="S36151"/>
      <c r="T36151"/>
      <c r="U36151"/>
      <c r="X36151" s="60"/>
    </row>
    <row r="36152" spans="7:24" ht="15" customHeight="1">
      <c r="G36152"/>
      <c r="I36152"/>
      <c r="N36152"/>
      <c r="O36152" s="24"/>
      <c r="P36152"/>
      <c r="Q36152" s="24"/>
      <c r="R36152"/>
      <c r="S36152"/>
      <c r="T36152"/>
      <c r="U36152"/>
      <c r="X36152" s="60"/>
    </row>
    <row r="36153" spans="7:24" ht="15" customHeight="1">
      <c r="G36153"/>
      <c r="I36153"/>
      <c r="N36153"/>
      <c r="O36153" s="24"/>
      <c r="P36153"/>
      <c r="Q36153" s="24"/>
      <c r="R36153"/>
      <c r="S36153"/>
      <c r="T36153"/>
      <c r="U36153"/>
      <c r="X36153" s="60"/>
    </row>
    <row r="36154" spans="7:24" ht="15" customHeight="1">
      <c r="G36154"/>
      <c r="I36154"/>
      <c r="N36154"/>
      <c r="O36154" s="24"/>
      <c r="P36154"/>
      <c r="Q36154" s="24"/>
      <c r="R36154"/>
      <c r="S36154"/>
      <c r="T36154"/>
      <c r="U36154"/>
      <c r="X36154" s="60"/>
    </row>
    <row r="36155" spans="7:24" ht="15" customHeight="1">
      <c r="G36155"/>
      <c r="I36155"/>
      <c r="N36155"/>
      <c r="O36155" s="24"/>
      <c r="P36155"/>
      <c r="Q36155" s="24"/>
      <c r="R36155"/>
      <c r="S36155"/>
      <c r="T36155"/>
      <c r="U36155"/>
      <c r="X36155" s="60"/>
    </row>
    <row r="36156" spans="7:24" ht="15" customHeight="1">
      <c r="G36156"/>
      <c r="I36156"/>
      <c r="N36156"/>
      <c r="O36156" s="24"/>
      <c r="P36156"/>
      <c r="Q36156" s="24"/>
      <c r="R36156"/>
      <c r="S36156"/>
      <c r="T36156"/>
      <c r="U36156"/>
      <c r="X36156" s="60"/>
    </row>
    <row r="36157" spans="7:24" ht="15" customHeight="1">
      <c r="G36157"/>
      <c r="I36157"/>
      <c r="N36157"/>
      <c r="O36157" s="24"/>
      <c r="P36157"/>
      <c r="Q36157" s="24"/>
      <c r="R36157"/>
      <c r="S36157"/>
      <c r="T36157"/>
      <c r="U36157"/>
      <c r="X36157" s="60"/>
    </row>
    <row r="36158" spans="7:24" ht="15" customHeight="1">
      <c r="G36158"/>
      <c r="I36158"/>
      <c r="N36158"/>
      <c r="O36158" s="24"/>
      <c r="P36158"/>
      <c r="Q36158" s="24"/>
      <c r="R36158"/>
      <c r="S36158"/>
      <c r="T36158"/>
      <c r="U36158"/>
      <c r="X36158" s="60"/>
    </row>
    <row r="36159" spans="7:24" ht="15" customHeight="1">
      <c r="G36159"/>
      <c r="I36159"/>
      <c r="N36159"/>
      <c r="O36159" s="24"/>
      <c r="P36159"/>
      <c r="Q36159" s="24"/>
      <c r="R36159"/>
      <c r="S36159"/>
      <c r="T36159"/>
      <c r="U36159"/>
      <c r="X36159" s="60"/>
    </row>
    <row r="36160" spans="7:24" ht="15" customHeight="1">
      <c r="G36160"/>
      <c r="I36160"/>
      <c r="N36160"/>
      <c r="O36160" s="24"/>
      <c r="P36160"/>
      <c r="Q36160" s="24"/>
      <c r="R36160"/>
      <c r="S36160"/>
      <c r="T36160"/>
      <c r="U36160"/>
      <c r="X36160" s="60"/>
    </row>
    <row r="36161" spans="7:24" ht="15" customHeight="1">
      <c r="G36161"/>
      <c r="I36161"/>
      <c r="N36161"/>
      <c r="O36161" s="24"/>
      <c r="P36161"/>
      <c r="Q36161" s="24"/>
      <c r="R36161"/>
      <c r="S36161"/>
      <c r="T36161"/>
      <c r="U36161"/>
      <c r="X36161" s="60"/>
    </row>
    <row r="36162" spans="7:24" ht="15" customHeight="1">
      <c r="G36162"/>
      <c r="I36162"/>
      <c r="N36162"/>
      <c r="O36162" s="24"/>
      <c r="P36162"/>
      <c r="Q36162" s="24"/>
      <c r="R36162"/>
      <c r="S36162"/>
      <c r="T36162"/>
      <c r="U36162"/>
      <c r="X36162" s="60"/>
    </row>
    <row r="36163" spans="7:24" ht="15" customHeight="1">
      <c r="G36163"/>
      <c r="I36163"/>
      <c r="N36163"/>
      <c r="O36163" s="24"/>
      <c r="P36163"/>
      <c r="Q36163" s="24"/>
      <c r="R36163"/>
      <c r="S36163"/>
      <c r="T36163"/>
      <c r="U36163"/>
      <c r="X36163" s="60"/>
    </row>
    <row r="36164" spans="7:24" ht="15" customHeight="1">
      <c r="G36164"/>
      <c r="I36164"/>
      <c r="N36164"/>
      <c r="O36164" s="24"/>
      <c r="P36164"/>
      <c r="Q36164" s="24"/>
      <c r="R36164"/>
      <c r="S36164"/>
      <c r="T36164"/>
      <c r="U36164"/>
      <c r="X36164" s="60"/>
    </row>
    <row r="36165" spans="7:24" ht="15" customHeight="1">
      <c r="G36165"/>
      <c r="I36165"/>
      <c r="N36165"/>
      <c r="O36165" s="24"/>
      <c r="P36165"/>
      <c r="Q36165" s="24"/>
      <c r="R36165"/>
      <c r="S36165"/>
      <c r="T36165"/>
      <c r="U36165"/>
      <c r="X36165" s="60"/>
    </row>
    <row r="36166" spans="7:24" ht="15" customHeight="1">
      <c r="G36166"/>
      <c r="I36166"/>
      <c r="N36166"/>
      <c r="O36166" s="24"/>
      <c r="P36166"/>
      <c r="Q36166" s="24"/>
      <c r="R36166"/>
      <c r="S36166"/>
      <c r="T36166"/>
      <c r="U36166"/>
      <c r="X36166" s="60"/>
    </row>
    <row r="36167" spans="7:24" ht="15" customHeight="1">
      <c r="G36167"/>
      <c r="I36167"/>
      <c r="N36167"/>
      <c r="O36167" s="24"/>
      <c r="P36167"/>
      <c r="Q36167" s="24"/>
      <c r="R36167"/>
      <c r="S36167"/>
      <c r="T36167"/>
      <c r="U36167"/>
      <c r="X36167" s="60"/>
    </row>
    <row r="36168" spans="7:24" ht="15" customHeight="1">
      <c r="G36168"/>
      <c r="I36168"/>
      <c r="N36168"/>
      <c r="O36168" s="24"/>
      <c r="P36168"/>
      <c r="Q36168" s="24"/>
      <c r="R36168"/>
      <c r="S36168"/>
      <c r="T36168"/>
      <c r="U36168"/>
      <c r="X36168" s="60"/>
    </row>
    <row r="36169" spans="7:24" ht="15" customHeight="1">
      <c r="G36169"/>
      <c r="I36169"/>
      <c r="N36169"/>
      <c r="O36169" s="24"/>
      <c r="P36169"/>
      <c r="Q36169" s="24"/>
      <c r="R36169"/>
      <c r="S36169"/>
      <c r="T36169"/>
      <c r="U36169"/>
      <c r="X36169" s="60"/>
    </row>
    <row r="36170" spans="7:24" ht="15" customHeight="1">
      <c r="G36170"/>
      <c r="I36170"/>
      <c r="N36170"/>
      <c r="O36170" s="24"/>
      <c r="P36170"/>
      <c r="Q36170" s="24"/>
      <c r="R36170"/>
      <c r="S36170"/>
      <c r="T36170"/>
      <c r="U36170"/>
      <c r="X36170" s="60"/>
    </row>
    <row r="36171" spans="7:24" ht="15" customHeight="1">
      <c r="G36171"/>
      <c r="I36171"/>
      <c r="N36171"/>
      <c r="O36171" s="24"/>
      <c r="P36171"/>
      <c r="Q36171" s="24"/>
      <c r="R36171"/>
      <c r="S36171"/>
      <c r="T36171"/>
      <c r="U36171"/>
      <c r="X36171" s="60"/>
    </row>
    <row r="36172" spans="7:24" ht="15" customHeight="1">
      <c r="G36172"/>
      <c r="I36172"/>
      <c r="N36172"/>
      <c r="O36172" s="24"/>
      <c r="P36172"/>
      <c r="Q36172" s="24"/>
      <c r="R36172"/>
      <c r="S36172"/>
      <c r="T36172"/>
      <c r="U36172"/>
      <c r="X36172" s="60"/>
    </row>
    <row r="36173" spans="7:24" ht="15" customHeight="1">
      <c r="G36173"/>
      <c r="I36173"/>
      <c r="N36173"/>
      <c r="O36173" s="24"/>
      <c r="P36173"/>
      <c r="Q36173" s="24"/>
      <c r="R36173"/>
      <c r="S36173"/>
      <c r="T36173"/>
      <c r="U36173"/>
      <c r="X36173" s="60"/>
    </row>
    <row r="36174" spans="7:24" ht="15" customHeight="1">
      <c r="G36174"/>
      <c r="I36174"/>
      <c r="N36174"/>
      <c r="O36174" s="24"/>
      <c r="P36174"/>
      <c r="Q36174" s="24"/>
      <c r="R36174"/>
      <c r="S36174"/>
      <c r="T36174"/>
      <c r="U36174"/>
      <c r="X36174" s="60"/>
    </row>
    <row r="36175" spans="7:24" ht="15" customHeight="1">
      <c r="G36175"/>
      <c r="I36175"/>
      <c r="N36175"/>
      <c r="O36175" s="24"/>
      <c r="P36175"/>
      <c r="Q36175" s="24"/>
      <c r="R36175"/>
      <c r="S36175"/>
      <c r="T36175"/>
      <c r="U36175"/>
      <c r="X36175" s="60"/>
    </row>
    <row r="36176" spans="7:24" ht="15" customHeight="1">
      <c r="G36176"/>
      <c r="I36176"/>
      <c r="N36176"/>
      <c r="O36176" s="24"/>
      <c r="P36176"/>
      <c r="Q36176" s="24"/>
      <c r="R36176"/>
      <c r="S36176"/>
      <c r="T36176"/>
      <c r="U36176"/>
      <c r="X36176" s="60"/>
    </row>
    <row r="36177" spans="7:24" ht="15" customHeight="1">
      <c r="G36177"/>
      <c r="I36177"/>
      <c r="N36177"/>
      <c r="O36177" s="24"/>
      <c r="P36177"/>
      <c r="Q36177" s="24"/>
      <c r="R36177"/>
      <c r="S36177"/>
      <c r="T36177"/>
      <c r="U36177"/>
      <c r="X36177" s="60"/>
    </row>
    <row r="36178" spans="7:24" ht="15" customHeight="1">
      <c r="G36178"/>
      <c r="I36178"/>
      <c r="N36178"/>
      <c r="O36178" s="24"/>
      <c r="P36178"/>
      <c r="Q36178" s="24"/>
      <c r="R36178"/>
      <c r="S36178"/>
      <c r="T36178"/>
      <c r="U36178"/>
      <c r="X36178" s="60"/>
    </row>
    <row r="36179" spans="7:24" ht="15" customHeight="1">
      <c r="G36179"/>
      <c r="I36179"/>
      <c r="N36179"/>
      <c r="O36179" s="24"/>
      <c r="P36179"/>
      <c r="Q36179" s="24"/>
      <c r="R36179"/>
      <c r="S36179"/>
      <c r="T36179"/>
      <c r="U36179"/>
      <c r="X36179" s="60"/>
    </row>
    <row r="36180" spans="7:24" ht="15" customHeight="1">
      <c r="G36180"/>
      <c r="I36180"/>
      <c r="N36180"/>
      <c r="O36180" s="24"/>
      <c r="P36180"/>
      <c r="Q36180" s="24"/>
      <c r="R36180"/>
      <c r="S36180"/>
      <c r="T36180"/>
      <c r="U36180"/>
      <c r="X36180" s="60"/>
    </row>
    <row r="36181" spans="7:24" ht="15" customHeight="1">
      <c r="G36181"/>
      <c r="I36181"/>
      <c r="N36181"/>
      <c r="O36181" s="24"/>
      <c r="P36181"/>
      <c r="Q36181" s="24"/>
      <c r="R36181"/>
      <c r="S36181"/>
      <c r="T36181"/>
      <c r="U36181"/>
      <c r="X36181" s="60"/>
    </row>
    <row r="36182" spans="7:24" ht="15" customHeight="1">
      <c r="G36182"/>
      <c r="I36182"/>
      <c r="N36182"/>
      <c r="O36182" s="24"/>
      <c r="P36182"/>
      <c r="Q36182" s="24"/>
      <c r="R36182"/>
      <c r="S36182"/>
      <c r="T36182"/>
      <c r="U36182"/>
      <c r="X36182" s="60"/>
    </row>
    <row r="36183" spans="7:24" ht="15" customHeight="1">
      <c r="G36183"/>
      <c r="I36183"/>
      <c r="N36183"/>
      <c r="O36183" s="24"/>
      <c r="P36183"/>
      <c r="Q36183" s="24"/>
      <c r="R36183"/>
      <c r="S36183"/>
      <c r="T36183"/>
      <c r="U36183"/>
      <c r="X36183" s="60"/>
    </row>
    <row r="36184" spans="7:24" ht="15" customHeight="1">
      <c r="G36184"/>
      <c r="I36184"/>
      <c r="N36184"/>
      <c r="O36184" s="24"/>
      <c r="P36184"/>
      <c r="Q36184" s="24"/>
      <c r="R36184"/>
      <c r="S36184"/>
      <c r="T36184"/>
      <c r="U36184"/>
      <c r="X36184" s="60"/>
    </row>
    <row r="36185" spans="7:24" ht="15" customHeight="1">
      <c r="G36185"/>
      <c r="I36185"/>
      <c r="N36185"/>
      <c r="O36185" s="24"/>
      <c r="P36185"/>
      <c r="Q36185" s="24"/>
      <c r="R36185"/>
      <c r="S36185"/>
      <c r="T36185"/>
      <c r="U36185"/>
      <c r="X36185" s="60"/>
    </row>
    <row r="36186" spans="7:24" ht="15" customHeight="1">
      <c r="G36186"/>
      <c r="I36186"/>
      <c r="N36186"/>
      <c r="O36186" s="24"/>
      <c r="P36186"/>
      <c r="Q36186" s="24"/>
      <c r="R36186"/>
      <c r="S36186"/>
      <c r="T36186"/>
      <c r="U36186"/>
      <c r="X36186" s="60"/>
    </row>
    <row r="36187" spans="7:24" ht="15" customHeight="1">
      <c r="G36187"/>
      <c r="I36187"/>
      <c r="N36187"/>
      <c r="O36187" s="24"/>
      <c r="P36187"/>
      <c r="Q36187" s="24"/>
      <c r="R36187"/>
      <c r="S36187"/>
      <c r="T36187"/>
      <c r="U36187"/>
      <c r="X36187" s="60"/>
    </row>
    <row r="36188" spans="7:24" ht="15" customHeight="1">
      <c r="G36188"/>
      <c r="I36188"/>
      <c r="N36188"/>
      <c r="O36188" s="24"/>
      <c r="P36188"/>
      <c r="Q36188" s="24"/>
      <c r="R36188"/>
      <c r="S36188"/>
      <c r="T36188"/>
      <c r="U36188"/>
      <c r="X36188" s="60"/>
    </row>
    <row r="36189" spans="7:24" ht="15" customHeight="1">
      <c r="G36189"/>
      <c r="I36189"/>
      <c r="N36189"/>
      <c r="O36189" s="24"/>
      <c r="P36189"/>
      <c r="Q36189" s="24"/>
      <c r="R36189"/>
      <c r="S36189"/>
      <c r="T36189"/>
      <c r="U36189"/>
      <c r="X36189" s="60"/>
    </row>
    <row r="36190" spans="7:24" ht="15" customHeight="1">
      <c r="G36190"/>
      <c r="I36190"/>
      <c r="N36190"/>
      <c r="O36190" s="24"/>
      <c r="P36190"/>
      <c r="Q36190" s="24"/>
      <c r="R36190"/>
      <c r="S36190"/>
      <c r="T36190"/>
      <c r="U36190"/>
      <c r="X36190" s="60"/>
    </row>
    <row r="36191" spans="7:24" ht="15" customHeight="1">
      <c r="G36191"/>
      <c r="I36191"/>
      <c r="N36191"/>
      <c r="O36191" s="24"/>
      <c r="P36191"/>
      <c r="Q36191" s="24"/>
      <c r="R36191"/>
      <c r="S36191"/>
      <c r="T36191"/>
      <c r="U36191"/>
      <c r="X36191" s="60"/>
    </row>
    <row r="36192" spans="7:24" ht="15" customHeight="1">
      <c r="G36192"/>
      <c r="I36192"/>
      <c r="N36192"/>
      <c r="O36192" s="24"/>
      <c r="P36192"/>
      <c r="Q36192" s="24"/>
      <c r="R36192"/>
      <c r="S36192"/>
      <c r="T36192"/>
      <c r="U36192"/>
      <c r="X36192" s="60"/>
    </row>
    <row r="36193" spans="7:24" ht="15" customHeight="1">
      <c r="G36193"/>
      <c r="I36193"/>
      <c r="N36193"/>
      <c r="O36193" s="24"/>
      <c r="P36193"/>
      <c r="Q36193" s="24"/>
      <c r="R36193"/>
      <c r="S36193"/>
      <c r="T36193"/>
      <c r="U36193"/>
      <c r="X36193" s="60"/>
    </row>
    <row r="36194" spans="7:24" ht="15" customHeight="1">
      <c r="G36194"/>
      <c r="I36194"/>
      <c r="N36194"/>
      <c r="O36194" s="24"/>
      <c r="P36194"/>
      <c r="Q36194" s="24"/>
      <c r="R36194"/>
      <c r="S36194"/>
      <c r="T36194"/>
      <c r="U36194"/>
      <c r="X36194" s="60"/>
    </row>
    <row r="36195" spans="7:24" ht="15" customHeight="1">
      <c r="G36195"/>
      <c r="I36195"/>
      <c r="N36195"/>
      <c r="O36195" s="24"/>
      <c r="P36195"/>
      <c r="Q36195" s="24"/>
      <c r="R36195"/>
      <c r="S36195"/>
      <c r="T36195"/>
      <c r="U36195"/>
      <c r="X36195" s="60"/>
    </row>
    <row r="36196" spans="7:24" ht="15" customHeight="1">
      <c r="G36196"/>
      <c r="I36196"/>
      <c r="N36196"/>
      <c r="O36196" s="24"/>
      <c r="P36196"/>
      <c r="Q36196" s="24"/>
      <c r="R36196"/>
      <c r="S36196"/>
      <c r="T36196"/>
      <c r="U36196"/>
      <c r="X36196" s="60"/>
    </row>
    <row r="36197" spans="7:24" ht="15" customHeight="1">
      <c r="G36197"/>
      <c r="I36197"/>
      <c r="N36197"/>
      <c r="O36197" s="24"/>
      <c r="P36197"/>
      <c r="Q36197" s="24"/>
      <c r="R36197"/>
      <c r="S36197"/>
      <c r="T36197"/>
      <c r="U36197"/>
      <c r="X36197" s="60"/>
    </row>
    <row r="36198" spans="7:24" ht="15" customHeight="1">
      <c r="G36198"/>
      <c r="I36198"/>
      <c r="N36198"/>
      <c r="O36198" s="24"/>
      <c r="P36198"/>
      <c r="Q36198" s="24"/>
      <c r="R36198"/>
      <c r="S36198"/>
      <c r="T36198"/>
      <c r="U36198"/>
      <c r="X36198" s="60"/>
    </row>
    <row r="36199" spans="7:24" ht="15" customHeight="1">
      <c r="G36199"/>
      <c r="I36199"/>
      <c r="N36199"/>
      <c r="O36199" s="24"/>
      <c r="P36199"/>
      <c r="Q36199" s="24"/>
      <c r="R36199"/>
      <c r="S36199"/>
      <c r="T36199"/>
      <c r="U36199"/>
      <c r="X36199" s="60"/>
    </row>
    <row r="36200" spans="7:24" ht="15" customHeight="1">
      <c r="G36200"/>
      <c r="I36200"/>
      <c r="N36200"/>
      <c r="O36200" s="24"/>
      <c r="P36200"/>
      <c r="Q36200" s="24"/>
      <c r="R36200"/>
      <c r="S36200"/>
      <c r="T36200"/>
      <c r="U36200"/>
      <c r="X36200" s="60"/>
    </row>
    <row r="36201" spans="7:24" ht="15" customHeight="1">
      <c r="G36201"/>
      <c r="I36201"/>
      <c r="N36201"/>
      <c r="O36201" s="24"/>
      <c r="P36201"/>
      <c r="Q36201" s="24"/>
      <c r="R36201"/>
      <c r="S36201"/>
      <c r="T36201"/>
      <c r="U36201"/>
      <c r="X36201" s="60"/>
    </row>
    <row r="36202" spans="7:24" ht="15" customHeight="1">
      <c r="G36202"/>
      <c r="I36202"/>
      <c r="N36202"/>
      <c r="O36202" s="24"/>
      <c r="P36202"/>
      <c r="Q36202" s="24"/>
      <c r="R36202"/>
      <c r="S36202"/>
      <c r="T36202"/>
      <c r="U36202"/>
      <c r="X36202" s="60"/>
    </row>
    <row r="36203" spans="7:24" ht="15" customHeight="1">
      <c r="G36203"/>
      <c r="I36203"/>
      <c r="N36203"/>
      <c r="O36203" s="24"/>
      <c r="P36203"/>
      <c r="Q36203" s="24"/>
      <c r="R36203"/>
      <c r="S36203"/>
      <c r="T36203"/>
      <c r="U36203"/>
      <c r="X36203" s="60"/>
    </row>
    <row r="36204" spans="7:24" ht="15" customHeight="1">
      <c r="G36204"/>
      <c r="I36204"/>
      <c r="N36204"/>
      <c r="O36204" s="24"/>
      <c r="P36204"/>
      <c r="Q36204" s="24"/>
      <c r="R36204"/>
      <c r="S36204"/>
      <c r="T36204"/>
      <c r="U36204"/>
      <c r="X36204" s="60"/>
    </row>
    <row r="36205" spans="7:24" ht="15" customHeight="1">
      <c r="G36205"/>
      <c r="I36205"/>
      <c r="N36205"/>
      <c r="O36205" s="24"/>
      <c r="P36205"/>
      <c r="Q36205" s="24"/>
      <c r="R36205"/>
      <c r="S36205"/>
      <c r="T36205"/>
      <c r="U36205"/>
      <c r="X36205" s="60"/>
    </row>
    <row r="36206" spans="7:24" ht="15" customHeight="1">
      <c r="G36206"/>
      <c r="I36206"/>
      <c r="N36206"/>
      <c r="O36206" s="24"/>
      <c r="P36206"/>
      <c r="Q36206" s="24"/>
      <c r="R36206"/>
      <c r="S36206"/>
      <c r="T36206"/>
      <c r="U36206"/>
      <c r="X36206" s="60"/>
    </row>
    <row r="36207" spans="7:24" ht="15" customHeight="1">
      <c r="G36207"/>
      <c r="I36207"/>
      <c r="N36207"/>
      <c r="O36207" s="24"/>
      <c r="P36207"/>
      <c r="Q36207" s="24"/>
      <c r="R36207"/>
      <c r="S36207"/>
      <c r="T36207"/>
      <c r="U36207"/>
      <c r="X36207" s="60"/>
    </row>
    <row r="36208" spans="7:24" ht="15" customHeight="1">
      <c r="G36208"/>
      <c r="I36208"/>
      <c r="N36208"/>
      <c r="O36208" s="24"/>
      <c r="P36208"/>
      <c r="Q36208" s="24"/>
      <c r="R36208"/>
      <c r="S36208"/>
      <c r="T36208"/>
      <c r="U36208"/>
      <c r="X36208" s="60"/>
    </row>
    <row r="36209" spans="7:24" ht="15" customHeight="1">
      <c r="G36209"/>
      <c r="I36209"/>
      <c r="N36209"/>
      <c r="O36209" s="24"/>
      <c r="P36209"/>
      <c r="Q36209" s="24"/>
      <c r="R36209"/>
      <c r="S36209"/>
      <c r="T36209"/>
      <c r="U36209"/>
      <c r="X36209" s="60"/>
    </row>
    <row r="36210" spans="7:24" ht="15" customHeight="1">
      <c r="G36210"/>
      <c r="I36210"/>
      <c r="N36210"/>
      <c r="O36210" s="24"/>
      <c r="P36210"/>
      <c r="Q36210" s="24"/>
      <c r="R36210"/>
      <c r="S36210"/>
      <c r="T36210"/>
      <c r="U36210"/>
      <c r="X36210" s="60"/>
    </row>
    <row r="36211" spans="7:24" ht="15" customHeight="1">
      <c r="G36211"/>
      <c r="I36211"/>
      <c r="N36211"/>
      <c r="O36211" s="24"/>
      <c r="P36211"/>
      <c r="Q36211" s="24"/>
      <c r="R36211"/>
      <c r="S36211"/>
      <c r="T36211"/>
      <c r="U36211"/>
      <c r="X36211" s="60"/>
    </row>
    <row r="36212" spans="7:24" ht="15" customHeight="1">
      <c r="G36212"/>
      <c r="I36212"/>
      <c r="N36212"/>
      <c r="O36212" s="24"/>
      <c r="P36212"/>
      <c r="Q36212" s="24"/>
      <c r="R36212"/>
      <c r="S36212"/>
      <c r="T36212"/>
      <c r="U36212"/>
      <c r="X36212" s="60"/>
    </row>
    <row r="36213" spans="7:24" ht="15" customHeight="1">
      <c r="G36213"/>
      <c r="I36213"/>
      <c r="N36213"/>
      <c r="O36213" s="24"/>
      <c r="P36213"/>
      <c r="Q36213" s="24"/>
      <c r="R36213"/>
      <c r="S36213"/>
      <c r="T36213"/>
      <c r="U36213"/>
      <c r="X36213" s="60"/>
    </row>
    <row r="36214" spans="7:24" ht="15" customHeight="1">
      <c r="G36214"/>
      <c r="I36214"/>
      <c r="N36214"/>
      <c r="O36214" s="24"/>
      <c r="P36214"/>
      <c r="Q36214" s="24"/>
      <c r="R36214"/>
      <c r="S36214"/>
      <c r="T36214"/>
      <c r="U36214"/>
      <c r="X36214" s="60"/>
    </row>
    <row r="36215" spans="7:24" ht="15" customHeight="1">
      <c r="G36215"/>
      <c r="I36215"/>
      <c r="N36215"/>
      <c r="O36215" s="24"/>
      <c r="P36215"/>
      <c r="Q36215" s="24"/>
      <c r="R36215"/>
      <c r="S36215"/>
      <c r="T36215"/>
      <c r="U36215"/>
      <c r="X36215" s="60"/>
    </row>
    <row r="36216" spans="7:24" ht="15" customHeight="1">
      <c r="G36216"/>
      <c r="I36216"/>
      <c r="N36216"/>
      <c r="O36216" s="24"/>
      <c r="P36216"/>
      <c r="Q36216" s="24"/>
      <c r="R36216"/>
      <c r="S36216"/>
      <c r="T36216"/>
      <c r="U36216"/>
      <c r="X36216" s="60"/>
    </row>
    <row r="36217" spans="7:24" ht="15" customHeight="1">
      <c r="G36217"/>
      <c r="I36217"/>
      <c r="N36217"/>
      <c r="O36217" s="24"/>
      <c r="P36217"/>
      <c r="Q36217" s="24"/>
      <c r="R36217"/>
      <c r="S36217"/>
      <c r="T36217"/>
      <c r="U36217"/>
      <c r="X36217" s="60"/>
    </row>
    <row r="36218" spans="7:24" ht="15" customHeight="1">
      <c r="G36218"/>
      <c r="I36218"/>
      <c r="N36218"/>
      <c r="O36218" s="24"/>
      <c r="P36218"/>
      <c r="Q36218" s="24"/>
      <c r="R36218"/>
      <c r="S36218"/>
      <c r="T36218"/>
      <c r="U36218"/>
      <c r="X36218" s="60"/>
    </row>
    <row r="36219" spans="7:24" ht="15" customHeight="1">
      <c r="G36219"/>
      <c r="I36219"/>
      <c r="N36219"/>
      <c r="O36219" s="24"/>
      <c r="P36219"/>
      <c r="Q36219" s="24"/>
      <c r="R36219"/>
      <c r="S36219"/>
      <c r="T36219"/>
      <c r="U36219"/>
      <c r="X36219" s="60"/>
    </row>
    <row r="36220" spans="7:24" ht="15" customHeight="1">
      <c r="G36220"/>
      <c r="I36220"/>
      <c r="N36220"/>
      <c r="O36220" s="24"/>
      <c r="P36220"/>
      <c r="Q36220" s="24"/>
      <c r="R36220"/>
      <c r="S36220"/>
      <c r="T36220"/>
      <c r="U36220"/>
      <c r="X36220" s="60"/>
    </row>
    <row r="36221" spans="7:24" ht="15" customHeight="1">
      <c r="G36221"/>
      <c r="I36221"/>
      <c r="N36221"/>
      <c r="O36221" s="24"/>
      <c r="P36221"/>
      <c r="Q36221" s="24"/>
      <c r="R36221"/>
      <c r="S36221"/>
      <c r="T36221"/>
      <c r="U36221"/>
      <c r="X36221" s="60"/>
    </row>
    <row r="36222" spans="7:24" ht="15" customHeight="1">
      <c r="G36222"/>
      <c r="I36222"/>
      <c r="N36222"/>
      <c r="O36222" s="24"/>
      <c r="P36222"/>
      <c r="Q36222" s="24"/>
      <c r="R36222"/>
      <c r="S36222"/>
      <c r="T36222"/>
      <c r="U36222"/>
      <c r="X36222" s="60"/>
    </row>
    <row r="36223" spans="7:24" ht="15" customHeight="1">
      <c r="G36223"/>
      <c r="I36223"/>
      <c r="N36223"/>
      <c r="O36223" s="24"/>
      <c r="P36223"/>
      <c r="Q36223" s="24"/>
      <c r="R36223"/>
      <c r="S36223"/>
      <c r="T36223"/>
      <c r="U36223"/>
      <c r="X36223" s="60"/>
    </row>
    <row r="36224" spans="7:24" ht="15" customHeight="1">
      <c r="G36224"/>
      <c r="I36224"/>
      <c r="N36224"/>
      <c r="O36224" s="24"/>
      <c r="P36224"/>
      <c r="Q36224" s="24"/>
      <c r="R36224"/>
      <c r="S36224"/>
      <c r="T36224"/>
      <c r="U36224"/>
      <c r="X36224" s="60"/>
    </row>
    <row r="36225" spans="7:24" ht="15" customHeight="1">
      <c r="G36225"/>
      <c r="I36225"/>
      <c r="N36225"/>
      <c r="O36225" s="24"/>
      <c r="P36225"/>
      <c r="Q36225" s="24"/>
      <c r="R36225"/>
      <c r="S36225"/>
      <c r="T36225"/>
      <c r="U36225"/>
      <c r="X36225" s="60"/>
    </row>
    <row r="36226" spans="7:24" ht="15" customHeight="1">
      <c r="G36226"/>
      <c r="I36226"/>
      <c r="N36226"/>
      <c r="O36226" s="24"/>
      <c r="P36226"/>
      <c r="Q36226" s="24"/>
      <c r="R36226"/>
      <c r="S36226"/>
      <c r="T36226"/>
      <c r="U36226"/>
      <c r="X36226" s="60"/>
    </row>
    <row r="36227" spans="7:24" ht="15" customHeight="1">
      <c r="G36227"/>
      <c r="I36227"/>
      <c r="N36227"/>
      <c r="O36227" s="24"/>
      <c r="P36227"/>
      <c r="Q36227" s="24"/>
      <c r="R36227"/>
      <c r="S36227"/>
      <c r="T36227"/>
      <c r="U36227"/>
      <c r="X36227" s="60"/>
    </row>
    <row r="36228" spans="7:24" ht="15" customHeight="1">
      <c r="G36228"/>
      <c r="I36228"/>
      <c r="N36228"/>
      <c r="O36228" s="24"/>
      <c r="P36228"/>
      <c r="Q36228" s="24"/>
      <c r="R36228"/>
      <c r="S36228"/>
      <c r="T36228"/>
      <c r="U36228"/>
      <c r="X36228" s="60"/>
    </row>
    <row r="36229" spans="7:24" ht="15" customHeight="1">
      <c r="G36229"/>
      <c r="I36229"/>
      <c r="N36229"/>
      <c r="O36229" s="24"/>
      <c r="P36229"/>
      <c r="Q36229" s="24"/>
      <c r="R36229"/>
      <c r="S36229"/>
      <c r="T36229"/>
      <c r="U36229"/>
      <c r="X36229" s="60"/>
    </row>
    <row r="36230" spans="7:24" ht="15" customHeight="1">
      <c r="G36230"/>
      <c r="I36230"/>
      <c r="N36230"/>
      <c r="O36230" s="24"/>
      <c r="P36230"/>
      <c r="Q36230" s="24"/>
      <c r="R36230"/>
      <c r="S36230"/>
      <c r="T36230"/>
      <c r="U36230"/>
      <c r="X36230" s="60"/>
    </row>
    <row r="36231" spans="7:24" ht="15" customHeight="1">
      <c r="G36231"/>
      <c r="I36231"/>
      <c r="N36231"/>
      <c r="O36231" s="24"/>
      <c r="P36231"/>
      <c r="Q36231" s="24"/>
      <c r="R36231"/>
      <c r="S36231"/>
      <c r="T36231"/>
      <c r="U36231"/>
      <c r="X36231" s="60"/>
    </row>
    <row r="36232" spans="7:24" ht="15" customHeight="1">
      <c r="G36232"/>
      <c r="I36232"/>
      <c r="N36232"/>
      <c r="O36232" s="24"/>
      <c r="P36232"/>
      <c r="Q36232" s="24"/>
      <c r="R36232"/>
      <c r="S36232"/>
      <c r="T36232"/>
      <c r="U36232"/>
      <c r="X36232" s="60"/>
    </row>
    <row r="36233" spans="7:24" ht="15" customHeight="1">
      <c r="G36233"/>
      <c r="I36233"/>
      <c r="N36233"/>
      <c r="O36233" s="24"/>
      <c r="P36233"/>
      <c r="Q36233" s="24"/>
      <c r="R36233"/>
      <c r="S36233"/>
      <c r="T36233"/>
      <c r="U36233"/>
      <c r="X36233" s="60"/>
    </row>
    <row r="36234" spans="7:24" ht="15" customHeight="1">
      <c r="G36234"/>
      <c r="I36234"/>
      <c r="N36234"/>
      <c r="O36234" s="24"/>
      <c r="P36234"/>
      <c r="Q36234" s="24"/>
      <c r="R36234"/>
      <c r="S36234"/>
      <c r="T36234"/>
      <c r="U36234"/>
      <c r="X36234" s="60"/>
    </row>
    <row r="36235" spans="7:24" ht="15" customHeight="1">
      <c r="G36235"/>
      <c r="I36235"/>
      <c r="N36235"/>
      <c r="O36235" s="24"/>
      <c r="P36235"/>
      <c r="Q36235" s="24"/>
      <c r="R36235"/>
      <c r="S36235"/>
      <c r="T36235"/>
      <c r="U36235"/>
      <c r="X36235" s="60"/>
    </row>
    <row r="36236" spans="7:24" ht="15" customHeight="1">
      <c r="G36236"/>
      <c r="I36236"/>
      <c r="N36236"/>
      <c r="O36236" s="24"/>
      <c r="P36236"/>
      <c r="Q36236" s="24"/>
      <c r="R36236"/>
      <c r="S36236"/>
      <c r="T36236"/>
      <c r="U36236"/>
      <c r="X36236" s="60"/>
    </row>
    <row r="36237" spans="7:24" ht="15" customHeight="1">
      <c r="G36237"/>
      <c r="I36237"/>
      <c r="N36237"/>
      <c r="O36237" s="24"/>
      <c r="P36237"/>
      <c r="Q36237" s="24"/>
      <c r="R36237"/>
      <c r="S36237"/>
      <c r="T36237"/>
      <c r="U36237"/>
      <c r="X36237" s="60"/>
    </row>
    <row r="36238" spans="7:24" ht="15" customHeight="1">
      <c r="G36238"/>
      <c r="I36238"/>
      <c r="N36238"/>
      <c r="O36238" s="24"/>
      <c r="P36238"/>
      <c r="Q36238" s="24"/>
      <c r="R36238"/>
      <c r="S36238"/>
      <c r="T36238"/>
      <c r="U36238"/>
      <c r="X36238" s="60"/>
    </row>
    <row r="36239" spans="7:24" ht="15" customHeight="1">
      <c r="G36239"/>
      <c r="I36239"/>
      <c r="N36239"/>
      <c r="O36239" s="24"/>
      <c r="P36239"/>
      <c r="Q36239" s="24"/>
      <c r="R36239"/>
      <c r="S36239"/>
      <c r="T36239"/>
      <c r="U36239"/>
      <c r="X36239" s="60"/>
    </row>
    <row r="36240" spans="7:24" ht="15" customHeight="1">
      <c r="G36240"/>
      <c r="I36240"/>
      <c r="N36240"/>
      <c r="O36240" s="24"/>
      <c r="P36240"/>
      <c r="Q36240" s="24"/>
      <c r="R36240"/>
      <c r="S36240"/>
      <c r="T36240"/>
      <c r="U36240"/>
      <c r="X36240" s="60"/>
    </row>
    <row r="36241" spans="7:24" ht="15" customHeight="1">
      <c r="G36241"/>
      <c r="I36241"/>
      <c r="N36241"/>
      <c r="O36241" s="24"/>
      <c r="P36241"/>
      <c r="Q36241" s="24"/>
      <c r="R36241"/>
      <c r="S36241"/>
      <c r="T36241"/>
      <c r="U36241"/>
      <c r="X36241" s="60"/>
    </row>
    <row r="36242" spans="7:24" ht="15" customHeight="1">
      <c r="G36242"/>
      <c r="I36242"/>
      <c r="N36242"/>
      <c r="O36242" s="24"/>
      <c r="P36242"/>
      <c r="Q36242" s="24"/>
      <c r="R36242"/>
      <c r="S36242"/>
      <c r="T36242"/>
      <c r="U36242"/>
      <c r="X36242" s="60"/>
    </row>
    <row r="36243" spans="7:24" ht="15" customHeight="1">
      <c r="G36243"/>
      <c r="I36243"/>
      <c r="N36243"/>
      <c r="O36243" s="24"/>
      <c r="P36243"/>
      <c r="Q36243" s="24"/>
      <c r="R36243"/>
      <c r="S36243"/>
      <c r="T36243"/>
      <c r="U36243"/>
      <c r="X36243" s="60"/>
    </row>
    <row r="36244" spans="7:24" ht="15" customHeight="1">
      <c r="G36244"/>
      <c r="I36244"/>
      <c r="N36244"/>
      <c r="O36244" s="24"/>
      <c r="P36244"/>
      <c r="Q36244" s="24"/>
      <c r="R36244"/>
      <c r="S36244"/>
      <c r="T36244"/>
      <c r="U36244"/>
      <c r="X36244" s="60"/>
    </row>
    <row r="36245" spans="7:24" ht="15" customHeight="1">
      <c r="G36245"/>
      <c r="I36245"/>
      <c r="N36245"/>
      <c r="O36245" s="24"/>
      <c r="P36245"/>
      <c r="Q36245" s="24"/>
      <c r="R36245"/>
      <c r="S36245"/>
      <c r="T36245"/>
      <c r="U36245"/>
      <c r="X36245" s="60"/>
    </row>
    <row r="36246" spans="7:24" ht="15" customHeight="1">
      <c r="G36246"/>
      <c r="I36246"/>
      <c r="N36246"/>
      <c r="O36246" s="24"/>
      <c r="P36246"/>
      <c r="Q36246" s="24"/>
      <c r="R36246"/>
      <c r="S36246"/>
      <c r="T36246"/>
      <c r="U36246"/>
      <c r="X36246" s="60"/>
    </row>
    <row r="36247" spans="7:24" ht="15" customHeight="1">
      <c r="G36247"/>
      <c r="I36247"/>
      <c r="N36247"/>
      <c r="O36247" s="24"/>
      <c r="P36247"/>
      <c r="Q36247" s="24"/>
      <c r="R36247"/>
      <c r="S36247"/>
      <c r="T36247"/>
      <c r="U36247"/>
      <c r="X36247" s="60"/>
    </row>
    <row r="36248" spans="7:24" ht="15" customHeight="1">
      <c r="G36248"/>
      <c r="I36248"/>
      <c r="N36248"/>
      <c r="O36248" s="24"/>
      <c r="P36248"/>
      <c r="Q36248" s="24"/>
      <c r="R36248"/>
      <c r="S36248"/>
      <c r="T36248"/>
      <c r="U36248"/>
      <c r="X36248" s="60"/>
    </row>
    <row r="36249" spans="7:24" ht="15" customHeight="1">
      <c r="G36249"/>
      <c r="I36249"/>
      <c r="N36249"/>
      <c r="O36249" s="24"/>
      <c r="P36249"/>
      <c r="Q36249" s="24"/>
      <c r="R36249"/>
      <c r="S36249"/>
      <c r="T36249"/>
      <c r="U36249"/>
      <c r="X36249" s="60"/>
    </row>
    <row r="36250" spans="7:24" ht="15" customHeight="1">
      <c r="G36250"/>
      <c r="I36250"/>
      <c r="N36250"/>
      <c r="O36250" s="24"/>
      <c r="P36250"/>
      <c r="Q36250" s="24"/>
      <c r="R36250"/>
      <c r="S36250"/>
      <c r="T36250"/>
      <c r="U36250"/>
      <c r="X36250" s="60"/>
    </row>
    <row r="36251" spans="7:24" ht="15" customHeight="1">
      <c r="G36251"/>
      <c r="I36251"/>
      <c r="N36251"/>
      <c r="O36251" s="24"/>
      <c r="P36251"/>
      <c r="Q36251" s="24"/>
      <c r="R36251"/>
      <c r="S36251"/>
      <c r="T36251"/>
      <c r="U36251"/>
      <c r="X36251" s="60"/>
    </row>
    <row r="36252" spans="7:24" ht="15" customHeight="1">
      <c r="G36252"/>
      <c r="I36252"/>
      <c r="N36252"/>
      <c r="O36252" s="24"/>
      <c r="P36252"/>
      <c r="Q36252" s="24"/>
      <c r="R36252"/>
      <c r="S36252"/>
      <c r="T36252"/>
      <c r="U36252"/>
      <c r="X36252" s="60"/>
    </row>
    <row r="36253" spans="7:24" ht="15" customHeight="1">
      <c r="G36253"/>
      <c r="I36253"/>
      <c r="N36253"/>
      <c r="O36253" s="24"/>
      <c r="P36253"/>
      <c r="Q36253" s="24"/>
      <c r="R36253"/>
      <c r="S36253"/>
      <c r="T36253"/>
      <c r="U36253"/>
      <c r="X36253" s="60"/>
    </row>
    <row r="36254" spans="7:24" ht="15" customHeight="1">
      <c r="G36254"/>
      <c r="I36254"/>
      <c r="N36254"/>
      <c r="O36254" s="24"/>
      <c r="P36254"/>
      <c r="Q36254" s="24"/>
      <c r="R36254"/>
      <c r="S36254"/>
      <c r="T36254"/>
      <c r="U36254"/>
      <c r="X36254" s="60"/>
    </row>
    <row r="36255" spans="7:24" ht="15" customHeight="1">
      <c r="G36255"/>
      <c r="I36255"/>
      <c r="N36255"/>
      <c r="O36255" s="24"/>
      <c r="P36255"/>
      <c r="Q36255" s="24"/>
      <c r="R36255"/>
      <c r="S36255"/>
      <c r="T36255"/>
      <c r="U36255"/>
      <c r="X36255" s="60"/>
    </row>
    <row r="36256" spans="7:24" ht="15" customHeight="1">
      <c r="G36256"/>
      <c r="I36256"/>
      <c r="N36256"/>
      <c r="O36256" s="24"/>
      <c r="P36256"/>
      <c r="Q36256" s="24"/>
      <c r="R36256"/>
      <c r="S36256"/>
      <c r="T36256"/>
      <c r="U36256"/>
      <c r="X36256" s="60"/>
    </row>
    <row r="36257" spans="7:24" ht="15" customHeight="1">
      <c r="G36257"/>
      <c r="I36257"/>
      <c r="N36257"/>
      <c r="O36257" s="24"/>
      <c r="P36257"/>
      <c r="Q36257" s="24"/>
      <c r="R36257"/>
      <c r="S36257"/>
      <c r="T36257"/>
      <c r="U36257"/>
      <c r="X36257" s="60"/>
    </row>
    <row r="36258" spans="7:24" ht="15" customHeight="1">
      <c r="G36258"/>
      <c r="I36258"/>
      <c r="N36258"/>
      <c r="O36258" s="24"/>
      <c r="P36258"/>
      <c r="Q36258" s="24"/>
      <c r="R36258"/>
      <c r="S36258"/>
      <c r="T36258"/>
      <c r="U36258"/>
      <c r="X36258" s="60"/>
    </row>
    <row r="36259" spans="7:24" ht="15" customHeight="1">
      <c r="G36259"/>
      <c r="I36259"/>
      <c r="N36259"/>
      <c r="O36259" s="24"/>
      <c r="P36259"/>
      <c r="Q36259" s="24"/>
      <c r="R36259"/>
      <c r="S36259"/>
      <c r="T36259"/>
      <c r="U36259"/>
      <c r="X36259" s="60"/>
    </row>
    <row r="36260" spans="7:24" ht="15" customHeight="1">
      <c r="G36260"/>
      <c r="I36260"/>
      <c r="N36260"/>
      <c r="O36260" s="24"/>
      <c r="P36260"/>
      <c r="Q36260" s="24"/>
      <c r="R36260"/>
      <c r="S36260"/>
      <c r="T36260"/>
      <c r="U36260"/>
      <c r="X36260" s="60"/>
    </row>
    <row r="36261" spans="7:24" ht="15" customHeight="1">
      <c r="G36261"/>
      <c r="I36261"/>
      <c r="N36261"/>
      <c r="O36261" s="24"/>
      <c r="P36261"/>
      <c r="Q36261" s="24"/>
      <c r="R36261"/>
      <c r="S36261"/>
      <c r="T36261"/>
      <c r="U36261"/>
      <c r="X36261" s="60"/>
    </row>
    <row r="36262" spans="7:24" ht="15" customHeight="1">
      <c r="G36262"/>
      <c r="I36262"/>
      <c r="N36262"/>
      <c r="O36262" s="24"/>
      <c r="P36262"/>
      <c r="Q36262" s="24"/>
      <c r="R36262"/>
      <c r="S36262"/>
      <c r="T36262"/>
      <c r="U36262"/>
      <c r="X36262" s="60"/>
    </row>
    <row r="36263" spans="7:24" ht="15" customHeight="1">
      <c r="G36263"/>
      <c r="I36263"/>
      <c r="N36263"/>
      <c r="O36263" s="24"/>
      <c r="P36263"/>
      <c r="Q36263" s="24"/>
      <c r="R36263"/>
      <c r="S36263"/>
      <c r="T36263"/>
      <c r="U36263"/>
      <c r="X36263" s="60"/>
    </row>
    <row r="36264" spans="7:24" ht="15" customHeight="1">
      <c r="G36264"/>
      <c r="I36264"/>
      <c r="N36264"/>
      <c r="O36264" s="24"/>
      <c r="P36264"/>
      <c r="Q36264" s="24"/>
      <c r="R36264"/>
      <c r="S36264"/>
      <c r="T36264"/>
      <c r="U36264"/>
      <c r="X36264" s="60"/>
    </row>
    <row r="36265" spans="7:24" ht="15" customHeight="1">
      <c r="G36265"/>
      <c r="I36265"/>
      <c r="N36265"/>
      <c r="O36265" s="24"/>
      <c r="P36265"/>
      <c r="Q36265" s="24"/>
      <c r="R36265"/>
      <c r="S36265"/>
      <c r="T36265"/>
      <c r="U36265"/>
      <c r="X36265" s="60"/>
    </row>
    <row r="36266" spans="7:24" ht="15" customHeight="1">
      <c r="G36266"/>
      <c r="I36266"/>
      <c r="N36266"/>
      <c r="O36266" s="24"/>
      <c r="P36266"/>
      <c r="Q36266" s="24"/>
      <c r="R36266"/>
      <c r="S36266"/>
      <c r="T36266"/>
      <c r="U36266"/>
      <c r="X36266" s="60"/>
    </row>
    <row r="36267" spans="7:24" ht="15" customHeight="1">
      <c r="G36267"/>
      <c r="I36267"/>
      <c r="N36267"/>
      <c r="O36267" s="24"/>
      <c r="P36267"/>
      <c r="Q36267" s="24"/>
      <c r="R36267"/>
      <c r="S36267"/>
      <c r="T36267"/>
      <c r="U36267"/>
      <c r="X36267" s="60"/>
    </row>
    <row r="36268" spans="7:24" ht="15" customHeight="1">
      <c r="G36268"/>
      <c r="I36268"/>
      <c r="N36268"/>
      <c r="O36268" s="24"/>
      <c r="P36268"/>
      <c r="Q36268" s="24"/>
      <c r="R36268"/>
      <c r="S36268"/>
      <c r="T36268"/>
      <c r="U36268"/>
      <c r="X36268" s="60"/>
    </row>
    <row r="36269" spans="7:24" ht="15" customHeight="1">
      <c r="G36269"/>
      <c r="I36269"/>
      <c r="N36269"/>
      <c r="O36269" s="24"/>
      <c r="P36269"/>
      <c r="Q36269" s="24"/>
      <c r="R36269"/>
      <c r="S36269"/>
      <c r="T36269"/>
      <c r="U36269"/>
      <c r="X36269" s="60"/>
    </row>
    <row r="36270" spans="7:24" ht="15" customHeight="1">
      <c r="G36270"/>
      <c r="I36270"/>
      <c r="N36270"/>
      <c r="O36270" s="24"/>
      <c r="P36270"/>
      <c r="Q36270" s="24"/>
      <c r="R36270"/>
      <c r="S36270"/>
      <c r="T36270"/>
      <c r="U36270"/>
      <c r="X36270" s="60"/>
    </row>
    <row r="36271" spans="7:24" ht="15" customHeight="1">
      <c r="G36271"/>
      <c r="I36271"/>
      <c r="N36271"/>
      <c r="O36271" s="24"/>
      <c r="P36271"/>
      <c r="Q36271" s="24"/>
      <c r="R36271"/>
      <c r="S36271"/>
      <c r="T36271"/>
      <c r="U36271"/>
      <c r="X36271" s="60"/>
    </row>
    <row r="36272" spans="7:24" ht="15" customHeight="1">
      <c r="G36272"/>
      <c r="I36272"/>
      <c r="N36272"/>
      <c r="O36272" s="24"/>
      <c r="P36272"/>
      <c r="Q36272" s="24"/>
      <c r="R36272"/>
      <c r="S36272"/>
      <c r="T36272"/>
      <c r="U36272"/>
      <c r="X36272" s="60"/>
    </row>
    <row r="36273" spans="7:24" ht="15" customHeight="1">
      <c r="G36273"/>
      <c r="I36273"/>
      <c r="N36273"/>
      <c r="O36273" s="24"/>
      <c r="P36273"/>
      <c r="Q36273" s="24"/>
      <c r="R36273"/>
      <c r="S36273"/>
      <c r="T36273"/>
      <c r="U36273"/>
      <c r="X36273" s="60"/>
    </row>
    <row r="36274" spans="7:24" ht="15" customHeight="1">
      <c r="G36274"/>
      <c r="I36274"/>
      <c r="N36274"/>
      <c r="O36274" s="24"/>
      <c r="P36274"/>
      <c r="Q36274" s="24"/>
      <c r="R36274"/>
      <c r="S36274"/>
      <c r="T36274"/>
      <c r="U36274"/>
      <c r="X36274" s="60"/>
    </row>
    <row r="36275" spans="7:24" ht="15" customHeight="1">
      <c r="G36275"/>
      <c r="I36275"/>
      <c r="N36275"/>
      <c r="O36275" s="24"/>
      <c r="P36275"/>
      <c r="Q36275" s="24"/>
      <c r="R36275"/>
      <c r="S36275"/>
      <c r="T36275"/>
      <c r="U36275"/>
      <c r="X36275" s="60"/>
    </row>
    <row r="36276" spans="7:24" ht="15" customHeight="1">
      <c r="G36276"/>
      <c r="I36276"/>
      <c r="N36276"/>
      <c r="O36276" s="24"/>
      <c r="P36276"/>
      <c r="Q36276" s="24"/>
      <c r="R36276"/>
      <c r="S36276"/>
      <c r="T36276"/>
      <c r="U36276"/>
      <c r="X36276" s="60"/>
    </row>
    <row r="36277" spans="7:24" ht="15" customHeight="1">
      <c r="G36277"/>
      <c r="I36277"/>
      <c r="N36277"/>
      <c r="O36277" s="24"/>
      <c r="P36277"/>
      <c r="Q36277" s="24"/>
      <c r="R36277"/>
      <c r="S36277"/>
      <c r="T36277"/>
      <c r="U36277"/>
      <c r="X36277" s="60"/>
    </row>
    <row r="36278" spans="7:24" ht="15" customHeight="1">
      <c r="G36278"/>
      <c r="I36278"/>
      <c r="N36278"/>
      <c r="O36278" s="24"/>
      <c r="P36278"/>
      <c r="Q36278" s="24"/>
      <c r="R36278"/>
      <c r="S36278"/>
      <c r="T36278"/>
      <c r="U36278"/>
      <c r="X36278" s="60"/>
    </row>
    <row r="36279" spans="7:24" ht="15" customHeight="1">
      <c r="G36279"/>
      <c r="I36279"/>
      <c r="N36279"/>
      <c r="O36279" s="24"/>
      <c r="P36279"/>
      <c r="Q36279" s="24"/>
      <c r="R36279"/>
      <c r="S36279"/>
      <c r="T36279"/>
      <c r="U36279"/>
      <c r="X36279" s="60"/>
    </row>
    <row r="36280" spans="7:24" ht="15" customHeight="1">
      <c r="G36280"/>
      <c r="I36280"/>
      <c r="N36280"/>
      <c r="O36280" s="24"/>
      <c r="P36280"/>
      <c r="Q36280" s="24"/>
      <c r="R36280"/>
      <c r="S36280"/>
      <c r="T36280"/>
      <c r="U36280"/>
      <c r="X36280" s="60"/>
    </row>
    <row r="36281" spans="7:24" ht="15" customHeight="1">
      <c r="G36281"/>
      <c r="I36281"/>
      <c r="N36281"/>
      <c r="O36281" s="24"/>
      <c r="P36281"/>
      <c r="Q36281" s="24"/>
      <c r="R36281"/>
      <c r="S36281"/>
      <c r="T36281"/>
      <c r="U36281"/>
      <c r="X36281" s="60"/>
    </row>
    <row r="36282" spans="7:24" ht="15" customHeight="1">
      <c r="G36282"/>
      <c r="I36282"/>
      <c r="N36282"/>
      <c r="O36282" s="24"/>
      <c r="P36282"/>
      <c r="Q36282" s="24"/>
      <c r="R36282"/>
      <c r="S36282"/>
      <c r="T36282"/>
      <c r="U36282"/>
      <c r="X36282" s="60"/>
    </row>
    <row r="36283" spans="7:24" ht="15" customHeight="1">
      <c r="G36283"/>
      <c r="I36283"/>
      <c r="N36283"/>
      <c r="O36283" s="24"/>
      <c r="P36283"/>
      <c r="Q36283" s="24"/>
      <c r="R36283"/>
      <c r="S36283"/>
      <c r="T36283"/>
      <c r="U36283"/>
      <c r="X36283" s="60"/>
    </row>
    <row r="36284" spans="7:24" ht="15" customHeight="1">
      <c r="G36284"/>
      <c r="I36284"/>
      <c r="N36284"/>
      <c r="O36284" s="24"/>
      <c r="P36284"/>
      <c r="Q36284" s="24"/>
      <c r="R36284"/>
      <c r="S36284"/>
      <c r="T36284"/>
      <c r="U36284"/>
      <c r="X36284" s="60"/>
    </row>
    <row r="36285" spans="7:24" ht="15" customHeight="1">
      <c r="G36285"/>
      <c r="I36285"/>
      <c r="N36285"/>
      <c r="O36285" s="24"/>
      <c r="P36285"/>
      <c r="Q36285" s="24"/>
      <c r="R36285"/>
      <c r="S36285"/>
      <c r="T36285"/>
      <c r="U36285"/>
      <c r="X36285" s="60"/>
    </row>
    <row r="36286" spans="7:24" ht="15" customHeight="1">
      <c r="G36286"/>
      <c r="I36286"/>
      <c r="N36286"/>
      <c r="O36286" s="24"/>
      <c r="P36286"/>
      <c r="Q36286" s="24"/>
      <c r="R36286"/>
      <c r="S36286"/>
      <c r="T36286"/>
      <c r="U36286"/>
      <c r="X36286" s="60"/>
    </row>
    <row r="36287" spans="7:24" ht="15" customHeight="1">
      <c r="G36287"/>
      <c r="I36287"/>
      <c r="N36287"/>
      <c r="O36287" s="24"/>
      <c r="P36287"/>
      <c r="Q36287" s="24"/>
      <c r="R36287"/>
      <c r="S36287"/>
      <c r="T36287"/>
      <c r="U36287"/>
      <c r="X36287" s="60"/>
    </row>
    <row r="36288" spans="7:24" ht="15" customHeight="1">
      <c r="G36288"/>
      <c r="I36288"/>
      <c r="N36288"/>
      <c r="O36288" s="24"/>
      <c r="P36288"/>
      <c r="Q36288" s="24"/>
      <c r="R36288"/>
      <c r="S36288"/>
      <c r="T36288"/>
      <c r="U36288"/>
      <c r="X36288" s="60"/>
    </row>
    <row r="36289" spans="7:24" ht="15" customHeight="1">
      <c r="G36289"/>
      <c r="I36289"/>
      <c r="N36289"/>
      <c r="O36289" s="24"/>
      <c r="P36289"/>
      <c r="Q36289" s="24"/>
      <c r="R36289"/>
      <c r="S36289"/>
      <c r="T36289"/>
      <c r="U36289"/>
      <c r="X36289" s="60"/>
    </row>
    <row r="36290" spans="7:24" ht="15" customHeight="1">
      <c r="G36290"/>
      <c r="I36290"/>
      <c r="N36290"/>
      <c r="O36290" s="24"/>
      <c r="P36290"/>
      <c r="Q36290" s="24"/>
      <c r="R36290"/>
      <c r="S36290"/>
      <c r="T36290"/>
      <c r="U36290"/>
      <c r="X36290" s="60"/>
    </row>
    <row r="36291" spans="7:24" ht="15" customHeight="1">
      <c r="G36291"/>
      <c r="I36291"/>
      <c r="N36291"/>
      <c r="O36291" s="24"/>
      <c r="P36291"/>
      <c r="Q36291" s="24"/>
      <c r="R36291"/>
      <c r="S36291"/>
      <c r="T36291"/>
      <c r="U36291"/>
      <c r="X36291" s="60"/>
    </row>
    <row r="36292" spans="7:24" ht="15" customHeight="1">
      <c r="G36292"/>
      <c r="I36292"/>
      <c r="N36292"/>
      <c r="O36292" s="24"/>
      <c r="P36292"/>
      <c r="Q36292" s="24"/>
      <c r="R36292"/>
      <c r="S36292"/>
      <c r="T36292"/>
      <c r="U36292"/>
      <c r="X36292" s="60"/>
    </row>
    <row r="36293" spans="7:24" ht="15" customHeight="1">
      <c r="G36293"/>
      <c r="I36293"/>
      <c r="N36293"/>
      <c r="O36293" s="24"/>
      <c r="P36293"/>
      <c r="Q36293" s="24"/>
      <c r="R36293"/>
      <c r="S36293"/>
      <c r="T36293"/>
      <c r="U36293"/>
      <c r="X36293" s="60"/>
    </row>
    <row r="36294" spans="7:24" ht="15" customHeight="1">
      <c r="G36294"/>
      <c r="I36294"/>
      <c r="N36294"/>
      <c r="O36294" s="24"/>
      <c r="P36294"/>
      <c r="Q36294" s="24"/>
      <c r="R36294"/>
      <c r="S36294"/>
      <c r="T36294"/>
      <c r="U36294"/>
      <c r="X36294" s="60"/>
    </row>
    <row r="36295" spans="7:24" ht="15" customHeight="1">
      <c r="G36295"/>
      <c r="I36295"/>
      <c r="N36295"/>
      <c r="O36295" s="24"/>
      <c r="P36295"/>
      <c r="Q36295" s="24"/>
      <c r="R36295"/>
      <c r="S36295"/>
      <c r="T36295"/>
      <c r="U36295"/>
      <c r="X36295" s="60"/>
    </row>
    <row r="36296" spans="7:24" ht="15" customHeight="1">
      <c r="G36296"/>
      <c r="I36296"/>
      <c r="N36296"/>
      <c r="O36296" s="24"/>
      <c r="P36296"/>
      <c r="Q36296" s="24"/>
      <c r="R36296"/>
      <c r="S36296"/>
      <c r="T36296"/>
      <c r="U36296"/>
      <c r="X36296" s="60"/>
    </row>
    <row r="36297" spans="7:24" ht="15" customHeight="1">
      <c r="G36297"/>
      <c r="I36297"/>
      <c r="N36297"/>
      <c r="O36297" s="24"/>
      <c r="P36297"/>
      <c r="Q36297" s="24"/>
      <c r="R36297"/>
      <c r="S36297"/>
      <c r="T36297"/>
      <c r="U36297"/>
      <c r="X36297" s="60"/>
    </row>
    <row r="36298" spans="7:24" ht="15" customHeight="1">
      <c r="G36298"/>
      <c r="I36298"/>
      <c r="N36298"/>
      <c r="O36298" s="24"/>
      <c r="P36298"/>
      <c r="Q36298" s="24"/>
      <c r="R36298"/>
      <c r="S36298"/>
      <c r="T36298"/>
      <c r="U36298"/>
      <c r="X36298" s="60"/>
    </row>
    <row r="36299" spans="7:24" ht="15" customHeight="1">
      <c r="G36299"/>
      <c r="I36299"/>
      <c r="N36299"/>
      <c r="O36299" s="24"/>
      <c r="P36299"/>
      <c r="Q36299" s="24"/>
      <c r="R36299"/>
      <c r="S36299"/>
      <c r="T36299"/>
      <c r="U36299"/>
      <c r="X36299" s="60"/>
    </row>
    <row r="36300" spans="7:24" ht="15" customHeight="1">
      <c r="G36300"/>
      <c r="I36300"/>
      <c r="N36300"/>
      <c r="O36300" s="24"/>
      <c r="P36300"/>
      <c r="Q36300" s="24"/>
      <c r="R36300"/>
      <c r="S36300"/>
      <c r="T36300"/>
      <c r="U36300"/>
      <c r="X36300" s="60"/>
    </row>
    <row r="36301" spans="7:24" ht="15" customHeight="1">
      <c r="G36301"/>
      <c r="I36301"/>
      <c r="N36301"/>
      <c r="O36301" s="24"/>
      <c r="P36301"/>
      <c r="Q36301" s="24"/>
      <c r="R36301"/>
      <c r="S36301"/>
      <c r="T36301"/>
      <c r="U36301"/>
      <c r="X36301" s="60"/>
    </row>
    <row r="36302" spans="7:24" ht="15" customHeight="1">
      <c r="G36302"/>
      <c r="I36302"/>
      <c r="N36302"/>
      <c r="O36302" s="24"/>
      <c r="P36302"/>
      <c r="Q36302" s="24"/>
      <c r="R36302"/>
      <c r="S36302"/>
      <c r="T36302"/>
      <c r="U36302"/>
      <c r="X36302" s="60"/>
    </row>
    <row r="36303" spans="7:24" ht="15" customHeight="1">
      <c r="G36303"/>
      <c r="I36303"/>
      <c r="N36303"/>
      <c r="O36303" s="24"/>
      <c r="P36303"/>
      <c r="Q36303" s="24"/>
      <c r="R36303"/>
      <c r="S36303"/>
      <c r="T36303"/>
      <c r="U36303"/>
      <c r="X36303" s="60"/>
    </row>
    <row r="36304" spans="7:24" ht="15" customHeight="1">
      <c r="G36304"/>
      <c r="I36304"/>
      <c r="N36304"/>
      <c r="O36304" s="24"/>
      <c r="P36304"/>
      <c r="Q36304" s="24"/>
      <c r="R36304"/>
      <c r="S36304"/>
      <c r="T36304"/>
      <c r="U36304"/>
      <c r="X36304" s="60"/>
    </row>
    <row r="36305" spans="7:24" ht="15" customHeight="1">
      <c r="G36305"/>
      <c r="I36305"/>
      <c r="N36305"/>
      <c r="O36305" s="24"/>
      <c r="P36305"/>
      <c r="Q36305" s="24"/>
      <c r="R36305"/>
      <c r="S36305"/>
      <c r="T36305"/>
      <c r="U36305"/>
      <c r="X36305" s="60"/>
    </row>
    <row r="36306" spans="7:24" ht="15" customHeight="1">
      <c r="G36306"/>
      <c r="I36306"/>
      <c r="N36306"/>
      <c r="O36306" s="24"/>
      <c r="P36306"/>
      <c r="Q36306" s="24"/>
      <c r="R36306"/>
      <c r="S36306"/>
      <c r="T36306"/>
      <c r="U36306"/>
      <c r="X36306" s="60"/>
    </row>
    <row r="36307" spans="7:24" ht="15" customHeight="1">
      <c r="G36307"/>
      <c r="I36307"/>
      <c r="N36307"/>
      <c r="O36307" s="24"/>
      <c r="P36307"/>
      <c r="Q36307" s="24"/>
      <c r="R36307"/>
      <c r="S36307"/>
      <c r="T36307"/>
      <c r="U36307"/>
      <c r="X36307" s="60"/>
    </row>
    <row r="36308" spans="7:24" ht="15" customHeight="1">
      <c r="G36308"/>
      <c r="I36308"/>
      <c r="N36308"/>
      <c r="O36308" s="24"/>
      <c r="P36308"/>
      <c r="Q36308" s="24"/>
      <c r="R36308"/>
      <c r="S36308"/>
      <c r="T36308"/>
      <c r="U36308"/>
      <c r="X36308" s="60"/>
    </row>
    <row r="36309" spans="7:24" ht="15" customHeight="1">
      <c r="G36309"/>
      <c r="I36309"/>
      <c r="N36309"/>
      <c r="O36309" s="24"/>
      <c r="P36309"/>
      <c r="Q36309" s="24"/>
      <c r="R36309"/>
      <c r="S36309"/>
      <c r="T36309"/>
      <c r="U36309"/>
      <c r="X36309" s="60"/>
    </row>
    <row r="36310" spans="7:24" ht="15" customHeight="1">
      <c r="G36310"/>
      <c r="I36310"/>
      <c r="N36310"/>
      <c r="O36310" s="24"/>
      <c r="P36310"/>
      <c r="Q36310" s="24"/>
      <c r="R36310"/>
      <c r="S36310"/>
      <c r="T36310"/>
      <c r="U36310"/>
      <c r="X36310" s="60"/>
    </row>
    <row r="36311" spans="7:24" ht="15" customHeight="1">
      <c r="G36311"/>
      <c r="I36311"/>
      <c r="N36311"/>
      <c r="O36311" s="24"/>
      <c r="P36311"/>
      <c r="Q36311" s="24"/>
      <c r="R36311"/>
      <c r="S36311"/>
      <c r="T36311"/>
      <c r="U36311"/>
      <c r="X36311" s="60"/>
    </row>
    <row r="36312" spans="7:24" ht="15" customHeight="1">
      <c r="G36312"/>
      <c r="I36312"/>
      <c r="N36312"/>
      <c r="O36312" s="24"/>
      <c r="P36312"/>
      <c r="Q36312" s="24"/>
      <c r="R36312"/>
      <c r="S36312"/>
      <c r="T36312"/>
      <c r="U36312"/>
      <c r="X36312" s="60"/>
    </row>
    <row r="36313" spans="7:24" ht="15" customHeight="1">
      <c r="G36313"/>
      <c r="I36313"/>
      <c r="N36313"/>
      <c r="O36313" s="24"/>
      <c r="P36313"/>
      <c r="Q36313" s="24"/>
      <c r="R36313"/>
      <c r="S36313"/>
      <c r="T36313"/>
      <c r="U36313"/>
      <c r="X36313" s="60"/>
    </row>
    <row r="36314" spans="7:24" ht="15" customHeight="1">
      <c r="G36314"/>
      <c r="I36314"/>
      <c r="N36314"/>
      <c r="O36314" s="24"/>
      <c r="P36314"/>
      <c r="Q36314" s="24"/>
      <c r="R36314"/>
      <c r="S36314"/>
      <c r="T36314"/>
      <c r="U36314"/>
      <c r="X36314" s="60"/>
    </row>
    <row r="36315" spans="7:24" ht="15" customHeight="1">
      <c r="G36315"/>
      <c r="I36315"/>
      <c r="N36315"/>
      <c r="O36315" s="24"/>
      <c r="P36315"/>
      <c r="Q36315" s="24"/>
      <c r="R36315"/>
      <c r="S36315"/>
      <c r="T36315"/>
      <c r="U36315"/>
      <c r="X36315" s="60"/>
    </row>
    <row r="36316" spans="7:24" ht="15" customHeight="1">
      <c r="G36316"/>
      <c r="I36316"/>
      <c r="N36316"/>
      <c r="O36316" s="24"/>
      <c r="P36316"/>
      <c r="Q36316" s="24"/>
      <c r="R36316"/>
      <c r="S36316"/>
      <c r="T36316"/>
      <c r="U36316"/>
      <c r="X36316" s="60"/>
    </row>
    <row r="36317" spans="7:24" ht="15" customHeight="1">
      <c r="G36317"/>
      <c r="I36317"/>
      <c r="N36317"/>
      <c r="O36317" s="24"/>
      <c r="P36317"/>
      <c r="Q36317" s="24"/>
      <c r="R36317"/>
      <c r="S36317"/>
      <c r="T36317"/>
      <c r="U36317"/>
      <c r="X36317" s="60"/>
    </row>
    <row r="36318" spans="7:24" ht="15" customHeight="1">
      <c r="G36318"/>
      <c r="I36318"/>
      <c r="N36318"/>
      <c r="O36318" s="24"/>
      <c r="P36318"/>
      <c r="Q36318" s="24"/>
      <c r="R36318"/>
      <c r="S36318"/>
      <c r="T36318"/>
      <c r="U36318"/>
      <c r="X36318" s="60"/>
    </row>
    <row r="36319" spans="7:24" ht="15" customHeight="1">
      <c r="G36319"/>
      <c r="I36319"/>
      <c r="N36319"/>
      <c r="O36319" s="24"/>
      <c r="P36319"/>
      <c r="Q36319" s="24"/>
      <c r="R36319"/>
      <c r="S36319"/>
      <c r="T36319"/>
      <c r="U36319"/>
      <c r="X36319" s="60"/>
    </row>
    <row r="36320" spans="7:24" ht="15" customHeight="1">
      <c r="G36320"/>
      <c r="I36320"/>
      <c r="N36320"/>
      <c r="O36320" s="24"/>
      <c r="P36320"/>
      <c r="Q36320" s="24"/>
      <c r="R36320"/>
      <c r="S36320"/>
      <c r="T36320"/>
      <c r="U36320"/>
      <c r="X36320" s="60"/>
    </row>
    <row r="36321" spans="7:24" ht="15" customHeight="1">
      <c r="G36321"/>
      <c r="I36321"/>
      <c r="N36321"/>
      <c r="O36321" s="24"/>
      <c r="P36321"/>
      <c r="Q36321" s="24"/>
      <c r="R36321"/>
      <c r="S36321"/>
      <c r="T36321"/>
      <c r="U36321"/>
      <c r="X36321" s="60"/>
    </row>
    <row r="36322" spans="7:24" ht="15" customHeight="1">
      <c r="G36322"/>
      <c r="I36322"/>
      <c r="N36322"/>
      <c r="O36322" s="24"/>
      <c r="P36322"/>
      <c r="Q36322" s="24"/>
      <c r="R36322"/>
      <c r="S36322"/>
      <c r="T36322"/>
      <c r="U36322"/>
      <c r="X36322" s="60"/>
    </row>
    <row r="36323" spans="7:24" ht="15" customHeight="1">
      <c r="G36323"/>
      <c r="I36323"/>
      <c r="N36323"/>
      <c r="O36323" s="24"/>
      <c r="P36323"/>
      <c r="Q36323" s="24"/>
      <c r="R36323"/>
      <c r="S36323"/>
      <c r="T36323"/>
      <c r="U36323"/>
      <c r="X36323" s="60"/>
    </row>
    <row r="36324" spans="7:24" ht="15" customHeight="1">
      <c r="G36324"/>
      <c r="I36324"/>
      <c r="N36324"/>
      <c r="O36324" s="24"/>
      <c r="P36324"/>
      <c r="Q36324" s="24"/>
      <c r="R36324"/>
      <c r="S36324"/>
      <c r="T36324"/>
      <c r="U36324"/>
      <c r="X36324" s="60"/>
    </row>
    <row r="36325" spans="7:24" ht="15" customHeight="1">
      <c r="G36325"/>
      <c r="I36325"/>
      <c r="N36325"/>
      <c r="O36325" s="24"/>
      <c r="P36325"/>
      <c r="Q36325" s="24"/>
      <c r="R36325"/>
      <c r="S36325"/>
      <c r="T36325"/>
      <c r="U36325"/>
      <c r="X36325" s="60"/>
    </row>
    <row r="36326" spans="7:24" ht="15" customHeight="1">
      <c r="G36326"/>
      <c r="I36326"/>
      <c r="N36326"/>
      <c r="O36326" s="24"/>
      <c r="P36326"/>
      <c r="Q36326" s="24"/>
      <c r="R36326"/>
      <c r="S36326"/>
      <c r="T36326"/>
      <c r="U36326"/>
      <c r="X36326" s="60"/>
    </row>
    <row r="36327" spans="7:24" ht="15" customHeight="1">
      <c r="G36327"/>
      <c r="I36327"/>
      <c r="N36327"/>
      <c r="O36327" s="24"/>
      <c r="P36327"/>
      <c r="Q36327" s="24"/>
      <c r="R36327"/>
      <c r="S36327"/>
      <c r="T36327"/>
      <c r="U36327"/>
      <c r="X36327" s="60"/>
    </row>
    <row r="36328" spans="7:24" ht="15" customHeight="1">
      <c r="G36328"/>
      <c r="I36328"/>
      <c r="N36328"/>
      <c r="O36328" s="24"/>
      <c r="P36328"/>
      <c r="Q36328" s="24"/>
      <c r="R36328"/>
      <c r="S36328"/>
      <c r="T36328"/>
      <c r="U36328"/>
      <c r="X36328" s="60"/>
    </row>
    <row r="36329" spans="7:24" ht="15" customHeight="1">
      <c r="G36329"/>
      <c r="I36329"/>
      <c r="N36329"/>
      <c r="O36329" s="24"/>
      <c r="P36329"/>
      <c r="Q36329" s="24"/>
      <c r="R36329"/>
      <c r="S36329"/>
      <c r="T36329"/>
      <c r="U36329"/>
      <c r="X36329" s="60"/>
    </row>
    <row r="36330" spans="7:24" ht="15" customHeight="1">
      <c r="G36330"/>
      <c r="I36330"/>
      <c r="N36330"/>
      <c r="O36330" s="24"/>
      <c r="P36330"/>
      <c r="Q36330" s="24"/>
      <c r="R36330"/>
      <c r="S36330"/>
      <c r="T36330"/>
      <c r="U36330"/>
      <c r="X36330" s="60"/>
    </row>
    <row r="36331" spans="7:24" ht="15" customHeight="1">
      <c r="G36331"/>
      <c r="I36331"/>
      <c r="N36331"/>
      <c r="O36331" s="24"/>
      <c r="P36331"/>
      <c r="Q36331" s="24"/>
      <c r="R36331"/>
      <c r="S36331"/>
      <c r="T36331"/>
      <c r="U36331"/>
      <c r="X36331" s="60"/>
    </row>
    <row r="36332" spans="7:24" ht="15" customHeight="1">
      <c r="G36332"/>
      <c r="I36332"/>
      <c r="N36332"/>
      <c r="O36332" s="24"/>
      <c r="P36332"/>
      <c r="Q36332" s="24"/>
      <c r="R36332"/>
      <c r="S36332"/>
      <c r="T36332"/>
      <c r="U36332"/>
      <c r="X36332" s="60"/>
    </row>
    <row r="36333" spans="7:24" ht="15" customHeight="1">
      <c r="G36333"/>
      <c r="I36333"/>
      <c r="N36333"/>
      <c r="O36333" s="24"/>
      <c r="P36333"/>
      <c r="Q36333" s="24"/>
      <c r="R36333"/>
      <c r="S36333"/>
      <c r="T36333"/>
      <c r="U36333"/>
      <c r="X36333" s="60"/>
    </row>
    <row r="36334" spans="7:24" ht="15" customHeight="1">
      <c r="G36334"/>
      <c r="I36334"/>
      <c r="N36334"/>
      <c r="O36334" s="24"/>
      <c r="P36334"/>
      <c r="Q36334" s="24"/>
      <c r="R36334"/>
      <c r="S36334"/>
      <c r="T36334"/>
      <c r="U36334"/>
      <c r="X36334" s="60"/>
    </row>
    <row r="36335" spans="7:24" ht="15" customHeight="1">
      <c r="G36335"/>
      <c r="I36335"/>
      <c r="N36335"/>
      <c r="O36335" s="24"/>
      <c r="P36335"/>
      <c r="Q36335" s="24"/>
      <c r="R36335"/>
      <c r="S36335"/>
      <c r="T36335"/>
      <c r="U36335"/>
      <c r="X36335" s="60"/>
    </row>
    <row r="36336" spans="7:24" ht="15" customHeight="1">
      <c r="G36336"/>
      <c r="I36336"/>
      <c r="N36336"/>
      <c r="O36336" s="24"/>
      <c r="P36336"/>
      <c r="Q36336" s="24"/>
      <c r="R36336"/>
      <c r="S36336"/>
      <c r="T36336"/>
      <c r="U36336"/>
      <c r="X36336" s="60"/>
    </row>
    <row r="36337" spans="7:24" ht="15" customHeight="1">
      <c r="G36337"/>
      <c r="I36337"/>
      <c r="N36337"/>
      <c r="O36337" s="24"/>
      <c r="P36337"/>
      <c r="Q36337" s="24"/>
      <c r="R36337"/>
      <c r="S36337"/>
      <c r="T36337"/>
      <c r="U36337"/>
      <c r="X36337" s="60"/>
    </row>
    <row r="36338" spans="7:24" ht="15" customHeight="1">
      <c r="G36338"/>
      <c r="I36338"/>
      <c r="N36338"/>
      <c r="O36338" s="24"/>
      <c r="P36338"/>
      <c r="Q36338" s="24"/>
      <c r="R36338"/>
      <c r="S36338"/>
      <c r="T36338"/>
      <c r="U36338"/>
      <c r="X36338" s="60"/>
    </row>
    <row r="36339" spans="7:24" ht="15" customHeight="1">
      <c r="G36339"/>
      <c r="I36339"/>
      <c r="N36339"/>
      <c r="O36339" s="24"/>
      <c r="P36339"/>
      <c r="Q36339" s="24"/>
      <c r="R36339"/>
      <c r="S36339"/>
      <c r="T36339"/>
      <c r="U36339"/>
      <c r="X36339" s="60"/>
    </row>
    <row r="36340" spans="7:24" ht="15" customHeight="1">
      <c r="G36340"/>
      <c r="I36340"/>
      <c r="N36340"/>
      <c r="O36340" s="24"/>
      <c r="P36340"/>
      <c r="Q36340" s="24"/>
      <c r="R36340"/>
      <c r="S36340"/>
      <c r="T36340"/>
      <c r="U36340"/>
      <c r="X36340" s="60"/>
    </row>
    <row r="36341" spans="7:24" ht="15" customHeight="1">
      <c r="G36341"/>
      <c r="I36341"/>
      <c r="N36341"/>
      <c r="O36341" s="24"/>
      <c r="P36341"/>
      <c r="Q36341" s="24"/>
      <c r="R36341"/>
      <c r="S36341"/>
      <c r="T36341"/>
      <c r="U36341"/>
      <c r="X36341" s="60"/>
    </row>
    <row r="36342" spans="7:24" ht="15" customHeight="1">
      <c r="G36342"/>
      <c r="I36342"/>
      <c r="N36342"/>
      <c r="O36342" s="24"/>
      <c r="P36342"/>
      <c r="Q36342" s="24"/>
      <c r="R36342"/>
      <c r="S36342"/>
      <c r="T36342"/>
      <c r="U36342"/>
      <c r="X36342" s="60"/>
    </row>
    <row r="36343" spans="7:24" ht="15" customHeight="1">
      <c r="G36343"/>
      <c r="I36343"/>
      <c r="N36343"/>
      <c r="O36343" s="24"/>
      <c r="P36343"/>
      <c r="Q36343" s="24"/>
      <c r="R36343"/>
      <c r="S36343"/>
      <c r="T36343"/>
      <c r="U36343"/>
      <c r="X36343" s="60"/>
    </row>
    <row r="36344" spans="7:24" ht="15" customHeight="1">
      <c r="G36344"/>
      <c r="I36344"/>
      <c r="N36344"/>
      <c r="O36344" s="24"/>
      <c r="P36344"/>
      <c r="Q36344" s="24"/>
      <c r="R36344"/>
      <c r="S36344"/>
      <c r="T36344"/>
      <c r="U36344"/>
      <c r="X36344" s="60"/>
    </row>
    <row r="36345" spans="7:24" ht="15" customHeight="1">
      <c r="G36345"/>
      <c r="I36345"/>
      <c r="N36345"/>
      <c r="O36345" s="24"/>
      <c r="P36345"/>
      <c r="Q36345" s="24"/>
      <c r="R36345"/>
      <c r="S36345"/>
      <c r="T36345"/>
      <c r="U36345"/>
      <c r="X36345" s="60"/>
    </row>
    <row r="36346" spans="7:24" ht="15" customHeight="1">
      <c r="G36346"/>
      <c r="I36346"/>
      <c r="N36346"/>
      <c r="O36346" s="24"/>
      <c r="P36346"/>
      <c r="Q36346" s="24"/>
      <c r="R36346"/>
      <c r="S36346"/>
      <c r="T36346"/>
      <c r="U36346"/>
      <c r="X36346" s="60"/>
    </row>
    <row r="36347" spans="7:24" ht="15" customHeight="1">
      <c r="G36347"/>
      <c r="I36347"/>
      <c r="N36347"/>
      <c r="O36347" s="24"/>
      <c r="P36347"/>
      <c r="Q36347" s="24"/>
      <c r="R36347"/>
      <c r="S36347"/>
      <c r="T36347"/>
      <c r="U36347"/>
      <c r="X36347" s="60"/>
    </row>
    <row r="36348" spans="7:24" ht="15" customHeight="1">
      <c r="G36348"/>
      <c r="I36348"/>
      <c r="N36348"/>
      <c r="O36348" s="24"/>
      <c r="P36348"/>
      <c r="Q36348" s="24"/>
      <c r="R36348"/>
      <c r="S36348"/>
      <c r="T36348"/>
      <c r="U36348"/>
      <c r="X36348" s="60"/>
    </row>
    <row r="36349" spans="7:24" ht="15" customHeight="1">
      <c r="G36349"/>
      <c r="I36349"/>
      <c r="N36349"/>
      <c r="O36349" s="24"/>
      <c r="P36349"/>
      <c r="Q36349" s="24"/>
      <c r="R36349"/>
      <c r="S36349"/>
      <c r="T36349"/>
      <c r="U36349"/>
      <c r="X36349" s="60"/>
    </row>
    <row r="36350" spans="7:24" ht="15" customHeight="1">
      <c r="G36350"/>
      <c r="I36350"/>
      <c r="N36350"/>
      <c r="O36350" s="24"/>
      <c r="P36350"/>
      <c r="Q36350" s="24"/>
      <c r="R36350"/>
      <c r="S36350"/>
      <c r="T36350"/>
      <c r="U36350"/>
      <c r="X36350" s="60"/>
    </row>
    <row r="36351" spans="7:24" ht="15" customHeight="1">
      <c r="G36351"/>
      <c r="I36351"/>
      <c r="N36351"/>
      <c r="O36351" s="24"/>
      <c r="P36351"/>
      <c r="Q36351" s="24"/>
      <c r="R36351"/>
      <c r="S36351"/>
      <c r="T36351"/>
      <c r="U36351"/>
      <c r="X36351" s="60"/>
    </row>
    <row r="36352" spans="7:24" ht="15" customHeight="1">
      <c r="G36352"/>
      <c r="I36352"/>
      <c r="N36352"/>
      <c r="O36352" s="24"/>
      <c r="P36352"/>
      <c r="Q36352" s="24"/>
      <c r="R36352"/>
      <c r="S36352"/>
      <c r="T36352"/>
      <c r="U36352"/>
      <c r="X36352" s="60"/>
    </row>
    <row r="36353" spans="7:24" ht="15" customHeight="1">
      <c r="G36353"/>
      <c r="I36353"/>
      <c r="N36353"/>
      <c r="O36353" s="24"/>
      <c r="P36353"/>
      <c r="Q36353" s="24"/>
      <c r="R36353"/>
      <c r="S36353"/>
      <c r="T36353"/>
      <c r="U36353"/>
      <c r="X36353" s="60"/>
    </row>
    <row r="36354" spans="7:24" ht="15" customHeight="1">
      <c r="G36354"/>
      <c r="I36354"/>
      <c r="N36354"/>
      <c r="O36354" s="24"/>
      <c r="P36354"/>
      <c r="Q36354" s="24"/>
      <c r="R36354"/>
      <c r="S36354"/>
      <c r="T36354"/>
      <c r="U36354"/>
      <c r="X36354" s="60"/>
    </row>
    <row r="36355" spans="7:24" ht="15" customHeight="1">
      <c r="G36355"/>
      <c r="I36355"/>
      <c r="N36355"/>
      <c r="O36355" s="24"/>
      <c r="P36355"/>
      <c r="Q36355" s="24"/>
      <c r="R36355"/>
      <c r="S36355"/>
      <c r="T36355"/>
      <c r="U36355"/>
      <c r="X36355" s="60"/>
    </row>
    <row r="36356" spans="7:24" ht="15" customHeight="1">
      <c r="G36356"/>
      <c r="I36356"/>
      <c r="N36356"/>
      <c r="O36356" s="24"/>
      <c r="P36356"/>
      <c r="Q36356" s="24"/>
      <c r="R36356"/>
      <c r="S36356"/>
      <c r="T36356"/>
      <c r="U36356"/>
      <c r="X36356" s="60"/>
    </row>
    <row r="36357" spans="7:24" ht="15" customHeight="1">
      <c r="G36357"/>
      <c r="I36357"/>
      <c r="N36357"/>
      <c r="O36357" s="24"/>
      <c r="P36357"/>
      <c r="Q36357" s="24"/>
      <c r="R36357"/>
      <c r="S36357"/>
      <c r="T36357"/>
      <c r="U36357"/>
      <c r="X36357" s="60"/>
    </row>
    <row r="36358" spans="7:24" ht="15" customHeight="1">
      <c r="G36358"/>
      <c r="I36358"/>
      <c r="N36358"/>
      <c r="O36358" s="24"/>
      <c r="P36358"/>
      <c r="Q36358" s="24"/>
      <c r="R36358"/>
      <c r="S36358"/>
      <c r="T36358"/>
      <c r="U36358"/>
      <c r="X36358" s="60"/>
    </row>
    <row r="36359" spans="7:24" ht="15" customHeight="1">
      <c r="G36359"/>
      <c r="I36359"/>
      <c r="N36359"/>
      <c r="O36359" s="24"/>
      <c r="P36359"/>
      <c r="Q36359" s="24"/>
      <c r="R36359"/>
      <c r="S36359"/>
      <c r="T36359"/>
      <c r="U36359"/>
      <c r="X36359" s="60"/>
    </row>
    <row r="36360" spans="7:24" ht="15" customHeight="1">
      <c r="G36360"/>
      <c r="I36360"/>
      <c r="N36360"/>
      <c r="O36360" s="24"/>
      <c r="P36360"/>
      <c r="Q36360" s="24"/>
      <c r="R36360"/>
      <c r="S36360"/>
      <c r="T36360"/>
      <c r="U36360"/>
      <c r="X36360" s="60"/>
    </row>
    <row r="36361" spans="7:24" ht="15" customHeight="1">
      <c r="G36361"/>
      <c r="I36361"/>
      <c r="N36361"/>
      <c r="O36361" s="24"/>
      <c r="P36361"/>
      <c r="Q36361" s="24"/>
      <c r="R36361"/>
      <c r="S36361"/>
      <c r="T36361"/>
      <c r="U36361"/>
      <c r="X36361" s="60"/>
    </row>
    <row r="36362" spans="7:24" ht="15" customHeight="1">
      <c r="G36362"/>
      <c r="I36362"/>
      <c r="N36362"/>
      <c r="O36362" s="24"/>
      <c r="P36362"/>
      <c r="Q36362" s="24"/>
      <c r="R36362"/>
      <c r="S36362"/>
      <c r="T36362"/>
      <c r="U36362"/>
      <c r="X36362" s="60"/>
    </row>
    <row r="36363" spans="7:24" ht="15" customHeight="1">
      <c r="G36363"/>
      <c r="I36363"/>
      <c r="N36363"/>
      <c r="O36363" s="24"/>
      <c r="P36363"/>
      <c r="Q36363" s="24"/>
      <c r="R36363"/>
      <c r="S36363"/>
      <c r="T36363"/>
      <c r="U36363"/>
      <c r="X36363" s="60"/>
    </row>
    <row r="36364" spans="7:24" ht="15" customHeight="1">
      <c r="G36364"/>
      <c r="I36364"/>
      <c r="N36364"/>
      <c r="O36364" s="24"/>
      <c r="P36364"/>
      <c r="Q36364" s="24"/>
      <c r="R36364"/>
      <c r="S36364"/>
      <c r="T36364"/>
      <c r="U36364"/>
      <c r="X36364" s="60"/>
    </row>
    <row r="36365" spans="7:24" ht="15" customHeight="1">
      <c r="G36365"/>
      <c r="I36365"/>
      <c r="N36365"/>
      <c r="O36365" s="24"/>
      <c r="P36365"/>
      <c r="Q36365" s="24"/>
      <c r="R36365"/>
      <c r="S36365"/>
      <c r="T36365"/>
      <c r="U36365"/>
      <c r="X36365" s="60"/>
    </row>
    <row r="36366" spans="7:24" ht="15" customHeight="1">
      <c r="G36366"/>
      <c r="I36366"/>
      <c r="N36366"/>
      <c r="O36366" s="24"/>
      <c r="P36366"/>
      <c r="Q36366" s="24"/>
      <c r="R36366"/>
      <c r="S36366"/>
      <c r="T36366"/>
      <c r="U36366"/>
      <c r="X36366" s="60"/>
    </row>
    <row r="36367" spans="7:24" ht="15" customHeight="1">
      <c r="G36367"/>
      <c r="I36367"/>
      <c r="N36367"/>
      <c r="O36367" s="24"/>
      <c r="P36367"/>
      <c r="Q36367" s="24"/>
      <c r="R36367"/>
      <c r="S36367"/>
      <c r="T36367"/>
      <c r="U36367"/>
      <c r="X36367" s="60"/>
    </row>
    <row r="36368" spans="7:24" ht="15" customHeight="1">
      <c r="G36368"/>
      <c r="I36368"/>
      <c r="N36368"/>
      <c r="O36368" s="24"/>
      <c r="P36368"/>
      <c r="Q36368" s="24"/>
      <c r="R36368"/>
      <c r="S36368"/>
      <c r="T36368"/>
      <c r="U36368"/>
      <c r="X36368" s="60"/>
    </row>
    <row r="36369" spans="7:24" ht="15" customHeight="1">
      <c r="G36369"/>
      <c r="I36369"/>
      <c r="N36369"/>
      <c r="O36369" s="24"/>
      <c r="P36369"/>
      <c r="Q36369" s="24"/>
      <c r="R36369"/>
      <c r="S36369"/>
      <c r="T36369"/>
      <c r="U36369"/>
      <c r="X36369" s="60"/>
    </row>
    <row r="36370" spans="7:24" ht="15" customHeight="1">
      <c r="G36370"/>
      <c r="I36370"/>
      <c r="N36370"/>
      <c r="O36370" s="24"/>
      <c r="P36370"/>
      <c r="Q36370" s="24"/>
      <c r="R36370"/>
      <c r="S36370"/>
      <c r="T36370"/>
      <c r="U36370"/>
      <c r="X36370" s="60"/>
    </row>
    <row r="36371" spans="7:24" ht="15" customHeight="1">
      <c r="G36371"/>
      <c r="I36371"/>
      <c r="N36371"/>
      <c r="O36371" s="24"/>
      <c r="P36371"/>
      <c r="Q36371" s="24"/>
      <c r="R36371"/>
      <c r="S36371"/>
      <c r="T36371"/>
      <c r="U36371"/>
      <c r="X36371" s="60"/>
    </row>
    <row r="36372" spans="7:24" ht="15" customHeight="1">
      <c r="G36372"/>
      <c r="I36372"/>
      <c r="N36372"/>
      <c r="O36372" s="24"/>
      <c r="P36372"/>
      <c r="Q36372" s="24"/>
      <c r="R36372"/>
      <c r="S36372"/>
      <c r="T36372"/>
      <c r="U36372"/>
      <c r="X36372" s="60"/>
    </row>
    <row r="36373" spans="7:24" ht="15" customHeight="1">
      <c r="G36373"/>
      <c r="I36373"/>
      <c r="N36373"/>
      <c r="O36373" s="24"/>
      <c r="P36373"/>
      <c r="Q36373" s="24"/>
      <c r="R36373"/>
      <c r="S36373"/>
      <c r="T36373"/>
      <c r="U36373"/>
      <c r="X36373" s="60"/>
    </row>
    <row r="36374" spans="7:24" ht="15" customHeight="1">
      <c r="G36374"/>
      <c r="I36374"/>
      <c r="N36374"/>
      <c r="O36374" s="24"/>
      <c r="P36374"/>
      <c r="Q36374" s="24"/>
      <c r="R36374"/>
      <c r="S36374"/>
      <c r="T36374"/>
      <c r="U36374"/>
      <c r="X36374" s="60"/>
    </row>
    <row r="36375" spans="7:24" ht="15" customHeight="1">
      <c r="G36375"/>
      <c r="I36375"/>
      <c r="N36375"/>
      <c r="O36375" s="24"/>
      <c r="P36375"/>
      <c r="Q36375" s="24"/>
      <c r="R36375"/>
      <c r="S36375"/>
      <c r="T36375"/>
      <c r="U36375"/>
      <c r="X36375" s="60"/>
    </row>
    <row r="36376" spans="7:24" ht="15" customHeight="1">
      <c r="G36376"/>
      <c r="I36376"/>
      <c r="N36376"/>
      <c r="O36376" s="24"/>
      <c r="P36376"/>
      <c r="Q36376" s="24"/>
      <c r="R36376"/>
      <c r="S36376"/>
      <c r="T36376"/>
      <c r="U36376"/>
      <c r="X36376" s="60"/>
    </row>
    <row r="36377" spans="7:24" ht="15" customHeight="1">
      <c r="G36377"/>
      <c r="I36377"/>
      <c r="N36377"/>
      <c r="O36377" s="24"/>
      <c r="P36377"/>
      <c r="Q36377" s="24"/>
      <c r="R36377"/>
      <c r="S36377"/>
      <c r="T36377"/>
      <c r="U36377"/>
      <c r="X36377" s="60"/>
    </row>
    <row r="36378" spans="7:24" ht="15" customHeight="1">
      <c r="G36378"/>
      <c r="I36378"/>
      <c r="N36378"/>
      <c r="O36378" s="24"/>
      <c r="P36378"/>
      <c r="Q36378" s="24"/>
      <c r="R36378"/>
      <c r="S36378"/>
      <c r="T36378"/>
      <c r="U36378"/>
      <c r="X36378" s="60"/>
    </row>
    <row r="36379" spans="7:24" ht="15" customHeight="1">
      <c r="G36379"/>
      <c r="I36379"/>
      <c r="N36379"/>
      <c r="O36379" s="24"/>
      <c r="P36379"/>
      <c r="Q36379" s="24"/>
      <c r="R36379"/>
      <c r="S36379"/>
      <c r="T36379"/>
      <c r="U36379"/>
      <c r="X36379" s="60"/>
    </row>
    <row r="36380" spans="7:24" ht="15" customHeight="1">
      <c r="G36380"/>
      <c r="I36380"/>
      <c r="N36380"/>
      <c r="O36380" s="24"/>
      <c r="P36380"/>
      <c r="Q36380" s="24"/>
      <c r="R36380"/>
      <c r="S36380"/>
      <c r="T36380"/>
      <c r="U36380"/>
      <c r="X36380" s="60"/>
    </row>
    <row r="36381" spans="7:24" ht="15" customHeight="1">
      <c r="G36381"/>
      <c r="I36381"/>
      <c r="N36381"/>
      <c r="O36381" s="24"/>
      <c r="P36381"/>
      <c r="Q36381" s="24"/>
      <c r="R36381"/>
      <c r="S36381"/>
      <c r="T36381"/>
      <c r="U36381"/>
      <c r="X36381" s="60"/>
    </row>
    <row r="36382" spans="7:24" ht="15" customHeight="1">
      <c r="G36382"/>
      <c r="I36382"/>
      <c r="N36382"/>
      <c r="O36382" s="24"/>
      <c r="P36382"/>
      <c r="Q36382" s="24"/>
      <c r="R36382"/>
      <c r="S36382"/>
      <c r="T36382"/>
      <c r="U36382"/>
      <c r="X36382" s="60"/>
    </row>
    <row r="36383" spans="7:24" ht="15" customHeight="1">
      <c r="G36383"/>
      <c r="I36383"/>
      <c r="N36383"/>
      <c r="O36383" s="24"/>
      <c r="P36383"/>
      <c r="Q36383" s="24"/>
      <c r="R36383"/>
      <c r="S36383"/>
      <c r="T36383"/>
      <c r="U36383"/>
      <c r="X36383" s="60"/>
    </row>
    <row r="36384" spans="7:24" ht="15" customHeight="1">
      <c r="G36384"/>
      <c r="I36384"/>
      <c r="N36384"/>
      <c r="O36384" s="24"/>
      <c r="P36384"/>
      <c r="Q36384" s="24"/>
      <c r="R36384"/>
      <c r="S36384"/>
      <c r="T36384"/>
      <c r="U36384"/>
      <c r="X36384" s="60"/>
    </row>
    <row r="36385" spans="7:24" ht="15" customHeight="1">
      <c r="G36385"/>
      <c r="I36385"/>
      <c r="N36385"/>
      <c r="O36385" s="24"/>
      <c r="P36385"/>
      <c r="Q36385" s="24"/>
      <c r="R36385"/>
      <c r="S36385"/>
      <c r="T36385"/>
      <c r="U36385"/>
      <c r="X36385" s="60"/>
    </row>
    <row r="36386" spans="7:24" ht="15" customHeight="1">
      <c r="G36386"/>
      <c r="I36386"/>
      <c r="N36386"/>
      <c r="O36386" s="24"/>
      <c r="P36386"/>
      <c r="Q36386" s="24"/>
      <c r="R36386"/>
      <c r="S36386"/>
      <c r="T36386"/>
      <c r="U36386"/>
      <c r="X36386" s="60"/>
    </row>
    <row r="36387" spans="7:24" ht="15" customHeight="1">
      <c r="G36387"/>
      <c r="I36387"/>
      <c r="N36387"/>
      <c r="O36387" s="24"/>
      <c r="P36387"/>
      <c r="Q36387" s="24"/>
      <c r="R36387"/>
      <c r="S36387"/>
      <c r="T36387"/>
      <c r="U36387"/>
      <c r="X36387" s="60"/>
    </row>
    <row r="36388" spans="7:24" ht="15" customHeight="1">
      <c r="G36388"/>
      <c r="I36388"/>
      <c r="N36388"/>
      <c r="O36388" s="24"/>
      <c r="P36388"/>
      <c r="Q36388" s="24"/>
      <c r="R36388"/>
      <c r="S36388"/>
      <c r="T36388"/>
      <c r="U36388"/>
      <c r="X36388" s="60"/>
    </row>
    <row r="36389" spans="7:24" ht="15" customHeight="1">
      <c r="G36389"/>
      <c r="I36389"/>
      <c r="N36389"/>
      <c r="O36389" s="24"/>
      <c r="P36389"/>
      <c r="Q36389" s="24"/>
      <c r="R36389"/>
      <c r="S36389"/>
      <c r="T36389"/>
      <c r="U36389"/>
      <c r="X36389" s="60"/>
    </row>
    <row r="36390" spans="7:24" ht="15" customHeight="1">
      <c r="G36390"/>
      <c r="I36390"/>
      <c r="N36390"/>
      <c r="O36390" s="24"/>
      <c r="P36390"/>
      <c r="Q36390" s="24"/>
      <c r="R36390"/>
      <c r="S36390"/>
      <c r="T36390"/>
      <c r="U36390"/>
      <c r="X36390" s="60"/>
    </row>
    <row r="36391" spans="7:24" ht="15" customHeight="1">
      <c r="G36391"/>
      <c r="I36391"/>
      <c r="N36391"/>
      <c r="O36391" s="24"/>
      <c r="P36391"/>
      <c r="Q36391" s="24"/>
      <c r="R36391"/>
      <c r="S36391"/>
      <c r="T36391"/>
      <c r="U36391"/>
      <c r="X36391" s="60"/>
    </row>
    <row r="36392" spans="7:24" ht="15" customHeight="1">
      <c r="G36392"/>
      <c r="I36392"/>
      <c r="N36392"/>
      <c r="O36392" s="24"/>
      <c r="P36392"/>
      <c r="Q36392" s="24"/>
      <c r="R36392"/>
      <c r="S36392"/>
      <c r="T36392"/>
      <c r="U36392"/>
      <c r="X36392" s="60"/>
    </row>
    <row r="36393" spans="7:24" ht="15" customHeight="1">
      <c r="G36393"/>
      <c r="I36393"/>
      <c r="N36393"/>
      <c r="O36393" s="24"/>
      <c r="P36393"/>
      <c r="Q36393" s="24"/>
      <c r="R36393"/>
      <c r="S36393"/>
      <c r="T36393"/>
      <c r="U36393"/>
      <c r="X36393" s="60"/>
    </row>
    <row r="36394" spans="7:24" ht="15" customHeight="1">
      <c r="G36394"/>
      <c r="I36394"/>
      <c r="N36394"/>
      <c r="O36394" s="24"/>
      <c r="P36394"/>
      <c r="Q36394" s="24"/>
      <c r="R36394"/>
      <c r="S36394"/>
      <c r="T36394"/>
      <c r="U36394"/>
      <c r="X36394" s="60"/>
    </row>
    <row r="36395" spans="7:24" ht="15" customHeight="1">
      <c r="G36395"/>
      <c r="I36395"/>
      <c r="N36395"/>
      <c r="O36395" s="24"/>
      <c r="P36395"/>
      <c r="Q36395" s="24"/>
      <c r="R36395"/>
      <c r="S36395"/>
      <c r="T36395"/>
      <c r="U36395"/>
      <c r="X36395" s="60"/>
    </row>
    <row r="36396" spans="7:24" ht="15" customHeight="1">
      <c r="G36396"/>
      <c r="I36396"/>
      <c r="N36396"/>
      <c r="O36396" s="24"/>
      <c r="P36396"/>
      <c r="Q36396" s="24"/>
      <c r="R36396"/>
      <c r="S36396"/>
      <c r="T36396"/>
      <c r="U36396"/>
      <c r="X36396" s="60"/>
    </row>
    <row r="36397" spans="7:24" ht="15" customHeight="1">
      <c r="G36397"/>
      <c r="I36397"/>
      <c r="N36397"/>
      <c r="O36397" s="24"/>
      <c r="P36397"/>
      <c r="Q36397" s="24"/>
      <c r="R36397"/>
      <c r="S36397"/>
      <c r="T36397"/>
      <c r="U36397"/>
      <c r="X36397" s="60"/>
    </row>
    <row r="36398" spans="7:24" ht="15" customHeight="1">
      <c r="G36398"/>
      <c r="I36398"/>
      <c r="N36398"/>
      <c r="O36398" s="24"/>
      <c r="P36398"/>
      <c r="Q36398" s="24"/>
      <c r="R36398"/>
      <c r="S36398"/>
      <c r="T36398"/>
      <c r="U36398"/>
      <c r="X36398" s="60"/>
    </row>
    <row r="36399" spans="7:24" ht="15" customHeight="1">
      <c r="G36399"/>
      <c r="I36399"/>
      <c r="N36399"/>
      <c r="O36399" s="24"/>
      <c r="P36399"/>
      <c r="Q36399" s="24"/>
      <c r="R36399"/>
      <c r="S36399"/>
      <c r="T36399"/>
      <c r="U36399"/>
      <c r="X36399" s="60"/>
    </row>
    <row r="36400" spans="7:24" ht="15" customHeight="1">
      <c r="G36400"/>
      <c r="I36400"/>
      <c r="N36400"/>
      <c r="O36400" s="24"/>
      <c r="P36400"/>
      <c r="Q36400" s="24"/>
      <c r="R36400"/>
      <c r="S36400"/>
      <c r="T36400"/>
      <c r="U36400"/>
      <c r="X36400" s="60"/>
    </row>
    <row r="36401" spans="7:24" ht="15" customHeight="1">
      <c r="G36401"/>
      <c r="I36401"/>
      <c r="N36401"/>
      <c r="O36401" s="24"/>
      <c r="P36401"/>
      <c r="Q36401" s="24"/>
      <c r="R36401"/>
      <c r="S36401"/>
      <c r="T36401"/>
      <c r="U36401"/>
      <c r="X36401" s="60"/>
    </row>
    <row r="36402" spans="7:24" ht="15" customHeight="1">
      <c r="G36402"/>
      <c r="I36402"/>
      <c r="N36402"/>
      <c r="O36402" s="24"/>
      <c r="P36402"/>
      <c r="Q36402" s="24"/>
      <c r="R36402"/>
      <c r="S36402"/>
      <c r="T36402"/>
      <c r="U36402"/>
      <c r="X36402" s="60"/>
    </row>
    <row r="36403" spans="7:24" ht="15" customHeight="1">
      <c r="G36403"/>
      <c r="I36403"/>
      <c r="N36403"/>
      <c r="O36403" s="24"/>
      <c r="P36403"/>
      <c r="Q36403" s="24"/>
      <c r="R36403"/>
      <c r="S36403"/>
      <c r="T36403"/>
      <c r="U36403"/>
      <c r="X36403" s="60"/>
    </row>
    <row r="36404" spans="7:24" ht="15" customHeight="1">
      <c r="G36404"/>
      <c r="I36404"/>
      <c r="N36404"/>
      <c r="O36404" s="24"/>
      <c r="P36404"/>
      <c r="Q36404" s="24"/>
      <c r="R36404"/>
      <c r="S36404"/>
      <c r="T36404"/>
      <c r="U36404"/>
      <c r="X36404" s="60"/>
    </row>
    <row r="36405" spans="7:24" ht="15" customHeight="1">
      <c r="G36405"/>
      <c r="I36405"/>
      <c r="N36405"/>
      <c r="O36405" s="24"/>
      <c r="P36405"/>
      <c r="Q36405" s="24"/>
      <c r="R36405"/>
      <c r="S36405"/>
      <c r="T36405"/>
      <c r="U36405"/>
      <c r="X36405" s="60"/>
    </row>
    <row r="36406" spans="7:24" ht="15" customHeight="1">
      <c r="G36406"/>
      <c r="I36406"/>
      <c r="N36406"/>
      <c r="O36406" s="24"/>
      <c r="P36406"/>
      <c r="Q36406" s="24"/>
      <c r="R36406"/>
      <c r="S36406"/>
      <c r="T36406"/>
      <c r="U36406"/>
      <c r="X36406" s="60"/>
    </row>
    <row r="36407" spans="7:24" ht="15" customHeight="1">
      <c r="G36407"/>
      <c r="I36407"/>
      <c r="N36407"/>
      <c r="O36407" s="24"/>
      <c r="P36407"/>
      <c r="Q36407" s="24"/>
      <c r="R36407"/>
      <c r="S36407"/>
      <c r="T36407"/>
      <c r="U36407"/>
      <c r="X36407" s="60"/>
    </row>
    <row r="36408" spans="7:24" ht="15" customHeight="1">
      <c r="G36408"/>
      <c r="I36408"/>
      <c r="N36408"/>
      <c r="O36408" s="24"/>
      <c r="P36408"/>
      <c r="Q36408" s="24"/>
      <c r="R36408"/>
      <c r="S36408"/>
      <c r="T36408"/>
      <c r="U36408"/>
      <c r="X36408" s="60"/>
    </row>
    <row r="36409" spans="7:24" ht="15" customHeight="1">
      <c r="G36409"/>
      <c r="I36409"/>
      <c r="N36409"/>
      <c r="O36409" s="24"/>
      <c r="P36409"/>
      <c r="Q36409" s="24"/>
      <c r="R36409"/>
      <c r="S36409"/>
      <c r="T36409"/>
      <c r="U36409"/>
      <c r="X36409" s="60"/>
    </row>
    <row r="36410" spans="7:24" ht="15" customHeight="1">
      <c r="G36410"/>
      <c r="I36410"/>
      <c r="N36410"/>
      <c r="O36410" s="24"/>
      <c r="P36410"/>
      <c r="Q36410" s="24"/>
      <c r="R36410"/>
      <c r="S36410"/>
      <c r="T36410"/>
      <c r="U36410"/>
      <c r="X36410" s="60"/>
    </row>
    <row r="36411" spans="7:24" ht="15" customHeight="1">
      <c r="G36411"/>
      <c r="I36411"/>
      <c r="N36411"/>
      <c r="O36411" s="24"/>
      <c r="P36411"/>
      <c r="Q36411" s="24"/>
      <c r="R36411"/>
      <c r="S36411"/>
      <c r="T36411"/>
      <c r="U36411"/>
      <c r="X36411" s="60"/>
    </row>
    <row r="36412" spans="7:24" ht="15" customHeight="1">
      <c r="G36412"/>
      <c r="I36412"/>
      <c r="N36412"/>
      <c r="O36412" s="24"/>
      <c r="P36412"/>
      <c r="Q36412" s="24"/>
      <c r="R36412"/>
      <c r="S36412"/>
      <c r="T36412"/>
      <c r="U36412"/>
      <c r="X36412" s="60"/>
    </row>
    <row r="36413" spans="7:24" ht="15" customHeight="1">
      <c r="G36413"/>
      <c r="I36413"/>
      <c r="N36413"/>
      <c r="O36413" s="24"/>
      <c r="P36413"/>
      <c r="Q36413" s="24"/>
      <c r="R36413"/>
      <c r="S36413"/>
      <c r="T36413"/>
      <c r="U36413"/>
      <c r="X36413" s="60"/>
    </row>
    <row r="36414" spans="7:24" ht="15" customHeight="1">
      <c r="G36414"/>
      <c r="I36414"/>
      <c r="N36414"/>
      <c r="O36414" s="24"/>
      <c r="P36414"/>
      <c r="Q36414" s="24"/>
      <c r="R36414"/>
      <c r="S36414"/>
      <c r="T36414"/>
      <c r="U36414"/>
      <c r="X36414" s="60"/>
    </row>
    <row r="36415" spans="7:24" ht="15" customHeight="1">
      <c r="G36415"/>
      <c r="I36415"/>
      <c r="N36415"/>
      <c r="O36415" s="24"/>
      <c r="P36415"/>
      <c r="Q36415" s="24"/>
      <c r="R36415"/>
      <c r="S36415"/>
      <c r="T36415"/>
      <c r="U36415"/>
      <c r="X36415" s="60"/>
    </row>
    <row r="36416" spans="7:24" ht="15" customHeight="1">
      <c r="G36416"/>
      <c r="I36416"/>
      <c r="N36416"/>
      <c r="O36416" s="24"/>
      <c r="P36416"/>
      <c r="Q36416" s="24"/>
      <c r="R36416"/>
      <c r="S36416"/>
      <c r="T36416"/>
      <c r="U36416"/>
      <c r="X36416" s="60"/>
    </row>
    <row r="36417" spans="7:24" ht="15" customHeight="1">
      <c r="G36417"/>
      <c r="I36417"/>
      <c r="N36417"/>
      <c r="O36417" s="24"/>
      <c r="P36417"/>
      <c r="Q36417" s="24"/>
      <c r="R36417"/>
      <c r="S36417"/>
      <c r="T36417"/>
      <c r="U36417"/>
      <c r="X36417" s="60"/>
    </row>
    <row r="36418" spans="7:24" ht="15" customHeight="1">
      <c r="G36418"/>
      <c r="I36418"/>
      <c r="N36418"/>
      <c r="O36418" s="24"/>
      <c r="P36418"/>
      <c r="Q36418" s="24"/>
      <c r="R36418"/>
      <c r="S36418"/>
      <c r="T36418"/>
      <c r="U36418"/>
      <c r="X36418" s="60"/>
    </row>
    <row r="36419" spans="7:24" ht="15" customHeight="1">
      <c r="G36419"/>
      <c r="I36419"/>
      <c r="N36419"/>
      <c r="O36419" s="24"/>
      <c r="P36419"/>
      <c r="Q36419" s="24"/>
      <c r="R36419"/>
      <c r="S36419"/>
      <c r="T36419"/>
      <c r="U36419"/>
      <c r="X36419" s="60"/>
    </row>
    <row r="36420" spans="7:24" ht="15" customHeight="1">
      <c r="G36420"/>
      <c r="I36420"/>
      <c r="N36420"/>
      <c r="O36420" s="24"/>
      <c r="P36420"/>
      <c r="Q36420" s="24"/>
      <c r="R36420"/>
      <c r="S36420"/>
      <c r="T36420"/>
      <c r="U36420"/>
      <c r="X36420" s="60"/>
    </row>
    <row r="36421" spans="7:24" ht="15" customHeight="1">
      <c r="G36421"/>
      <c r="I36421"/>
      <c r="N36421"/>
      <c r="O36421" s="24"/>
      <c r="P36421"/>
      <c r="Q36421" s="24"/>
      <c r="R36421"/>
      <c r="S36421"/>
      <c r="T36421"/>
      <c r="U36421"/>
      <c r="X36421" s="60"/>
    </row>
    <row r="36422" spans="7:24" ht="15" customHeight="1">
      <c r="G36422"/>
      <c r="I36422"/>
      <c r="N36422"/>
      <c r="O36422" s="24"/>
      <c r="P36422"/>
      <c r="Q36422" s="24"/>
      <c r="R36422"/>
      <c r="S36422"/>
      <c r="T36422"/>
      <c r="U36422"/>
      <c r="X36422" s="60"/>
    </row>
    <row r="36423" spans="7:24" ht="15" customHeight="1">
      <c r="G36423"/>
      <c r="I36423"/>
      <c r="N36423"/>
      <c r="O36423" s="24"/>
      <c r="P36423"/>
      <c r="Q36423" s="24"/>
      <c r="R36423"/>
      <c r="S36423"/>
      <c r="T36423"/>
      <c r="U36423"/>
      <c r="X36423" s="60"/>
    </row>
    <row r="36424" spans="7:24" ht="15" customHeight="1">
      <c r="G36424"/>
      <c r="I36424"/>
      <c r="N36424"/>
      <c r="O36424" s="24"/>
      <c r="P36424"/>
      <c r="Q36424" s="24"/>
      <c r="R36424"/>
      <c r="S36424"/>
      <c r="T36424"/>
      <c r="U36424"/>
      <c r="X36424" s="60"/>
    </row>
    <row r="36425" spans="7:24" ht="15" customHeight="1">
      <c r="G36425"/>
      <c r="I36425"/>
      <c r="N36425"/>
      <c r="O36425" s="24"/>
      <c r="P36425"/>
      <c r="Q36425" s="24"/>
      <c r="R36425"/>
      <c r="S36425"/>
      <c r="T36425"/>
      <c r="U36425"/>
      <c r="X36425" s="60"/>
    </row>
    <row r="36426" spans="7:24" ht="15" customHeight="1">
      <c r="G36426"/>
      <c r="I36426"/>
      <c r="N36426"/>
      <c r="O36426" s="24"/>
      <c r="P36426"/>
      <c r="Q36426" s="24"/>
      <c r="R36426"/>
      <c r="S36426"/>
      <c r="T36426"/>
      <c r="U36426"/>
      <c r="X36426" s="60"/>
    </row>
    <row r="36427" spans="7:24" ht="15" customHeight="1">
      <c r="G36427"/>
      <c r="I36427"/>
      <c r="N36427"/>
      <c r="O36427" s="24"/>
      <c r="P36427"/>
      <c r="Q36427" s="24"/>
      <c r="R36427"/>
      <c r="S36427"/>
      <c r="T36427"/>
      <c r="U36427"/>
      <c r="X36427" s="60"/>
    </row>
    <row r="36428" spans="7:24" ht="15" customHeight="1">
      <c r="G36428"/>
      <c r="I36428"/>
      <c r="N36428"/>
      <c r="O36428" s="24"/>
      <c r="P36428"/>
      <c r="Q36428" s="24"/>
      <c r="R36428"/>
      <c r="S36428"/>
      <c r="T36428"/>
      <c r="U36428"/>
      <c r="X36428" s="60"/>
    </row>
    <row r="36429" spans="7:24" ht="15" customHeight="1">
      <c r="G36429"/>
      <c r="I36429"/>
      <c r="N36429"/>
      <c r="O36429" s="24"/>
      <c r="P36429"/>
      <c r="Q36429" s="24"/>
      <c r="R36429"/>
      <c r="S36429"/>
      <c r="T36429"/>
      <c r="U36429"/>
      <c r="X36429" s="60"/>
    </row>
    <row r="36430" spans="7:24" ht="15" customHeight="1">
      <c r="G36430"/>
      <c r="I36430"/>
      <c r="N36430"/>
      <c r="O36430" s="24"/>
      <c r="P36430"/>
      <c r="Q36430" s="24"/>
      <c r="R36430"/>
      <c r="S36430"/>
      <c r="T36430"/>
      <c r="U36430"/>
      <c r="X36430" s="60"/>
    </row>
    <row r="36431" spans="7:24" ht="15" customHeight="1">
      <c r="G36431"/>
      <c r="I36431"/>
      <c r="N36431"/>
      <c r="O36431" s="24"/>
      <c r="P36431"/>
      <c r="Q36431" s="24"/>
      <c r="R36431"/>
      <c r="S36431"/>
      <c r="T36431"/>
      <c r="U36431"/>
      <c r="X36431" s="60"/>
    </row>
    <row r="36432" spans="7:24" ht="15" customHeight="1">
      <c r="G36432"/>
      <c r="I36432"/>
      <c r="N36432"/>
      <c r="O36432" s="24"/>
      <c r="P36432"/>
      <c r="Q36432" s="24"/>
      <c r="R36432"/>
      <c r="S36432"/>
      <c r="T36432"/>
      <c r="U36432"/>
      <c r="X36432" s="60"/>
    </row>
    <row r="36433" spans="7:24" ht="15" customHeight="1">
      <c r="G36433"/>
      <c r="I36433"/>
      <c r="N36433"/>
      <c r="O36433" s="24"/>
      <c r="P36433"/>
      <c r="Q36433" s="24"/>
      <c r="R36433"/>
      <c r="S36433"/>
      <c r="T36433"/>
      <c r="U36433"/>
      <c r="X36433" s="60"/>
    </row>
    <row r="36434" spans="7:24" ht="15" customHeight="1">
      <c r="G36434"/>
      <c r="I36434"/>
      <c r="N36434"/>
      <c r="O36434" s="24"/>
      <c r="P36434"/>
      <c r="Q36434" s="24"/>
      <c r="R36434"/>
      <c r="S36434"/>
      <c r="T36434"/>
      <c r="U36434"/>
      <c r="X36434" s="60"/>
    </row>
    <row r="36435" spans="7:24" ht="15" customHeight="1">
      <c r="G36435"/>
      <c r="I36435"/>
      <c r="N36435"/>
      <c r="O36435" s="24"/>
      <c r="P36435"/>
      <c r="Q36435" s="24"/>
      <c r="R36435"/>
      <c r="S36435"/>
      <c r="T36435"/>
      <c r="U36435"/>
      <c r="X36435" s="60"/>
    </row>
    <row r="36436" spans="7:24" ht="15" customHeight="1">
      <c r="G36436"/>
      <c r="I36436"/>
      <c r="N36436"/>
      <c r="O36436" s="24"/>
      <c r="P36436"/>
      <c r="Q36436" s="24"/>
      <c r="R36436"/>
      <c r="S36436"/>
      <c r="T36436"/>
      <c r="U36436"/>
      <c r="X36436" s="60"/>
    </row>
    <row r="36437" spans="7:24" ht="15" customHeight="1">
      <c r="G36437"/>
      <c r="I36437"/>
      <c r="N36437"/>
      <c r="O36437" s="24"/>
      <c r="P36437"/>
      <c r="Q36437" s="24"/>
      <c r="R36437"/>
      <c r="S36437"/>
      <c r="T36437"/>
      <c r="U36437"/>
      <c r="X36437" s="60"/>
    </row>
    <row r="36438" spans="7:24" ht="15" customHeight="1">
      <c r="G36438"/>
      <c r="I36438"/>
      <c r="N36438"/>
      <c r="O36438" s="24"/>
      <c r="P36438"/>
      <c r="Q36438" s="24"/>
      <c r="R36438"/>
      <c r="S36438"/>
      <c r="T36438"/>
      <c r="U36438"/>
      <c r="X36438" s="60"/>
    </row>
    <row r="36439" spans="7:24" ht="15" customHeight="1">
      <c r="G36439"/>
      <c r="I36439"/>
      <c r="N36439"/>
      <c r="O36439" s="24"/>
      <c r="P36439"/>
      <c r="Q36439" s="24"/>
      <c r="R36439"/>
      <c r="S36439"/>
      <c r="T36439"/>
      <c r="U36439"/>
      <c r="X36439" s="60"/>
    </row>
    <row r="36440" spans="7:24" ht="15" customHeight="1">
      <c r="G36440"/>
      <c r="I36440"/>
      <c r="N36440"/>
      <c r="O36440" s="24"/>
      <c r="P36440"/>
      <c r="Q36440" s="24"/>
      <c r="R36440"/>
      <c r="S36440"/>
      <c r="T36440"/>
      <c r="U36440"/>
      <c r="X36440" s="60"/>
    </row>
    <row r="36441" spans="7:24" ht="15" customHeight="1">
      <c r="G36441"/>
      <c r="I36441"/>
      <c r="N36441"/>
      <c r="O36441" s="24"/>
      <c r="P36441"/>
      <c r="Q36441" s="24"/>
      <c r="R36441"/>
      <c r="S36441"/>
      <c r="T36441"/>
      <c r="U36441"/>
      <c r="X36441" s="60"/>
    </row>
    <row r="36442" spans="7:24" ht="15" customHeight="1">
      <c r="G36442"/>
      <c r="I36442"/>
      <c r="N36442"/>
      <c r="O36442" s="24"/>
      <c r="P36442"/>
      <c r="Q36442" s="24"/>
      <c r="R36442"/>
      <c r="S36442"/>
      <c r="T36442"/>
      <c r="U36442"/>
      <c r="X36442" s="60"/>
    </row>
    <row r="36443" spans="7:24" ht="15" customHeight="1">
      <c r="G36443"/>
      <c r="I36443"/>
      <c r="N36443"/>
      <c r="O36443" s="24"/>
      <c r="P36443"/>
      <c r="Q36443" s="24"/>
      <c r="R36443"/>
      <c r="S36443"/>
      <c r="T36443"/>
      <c r="U36443"/>
      <c r="X36443" s="60"/>
    </row>
    <row r="36444" spans="7:24" ht="15" customHeight="1">
      <c r="G36444"/>
      <c r="I36444"/>
      <c r="N36444"/>
      <c r="O36444" s="24"/>
      <c r="P36444"/>
      <c r="Q36444" s="24"/>
      <c r="R36444"/>
      <c r="S36444"/>
      <c r="T36444"/>
      <c r="U36444"/>
      <c r="X36444" s="60"/>
    </row>
    <row r="36445" spans="7:24" ht="15" customHeight="1">
      <c r="G36445"/>
      <c r="I36445"/>
      <c r="N36445"/>
      <c r="O36445" s="24"/>
      <c r="P36445"/>
      <c r="Q36445" s="24"/>
      <c r="R36445"/>
      <c r="S36445"/>
      <c r="T36445"/>
      <c r="U36445"/>
      <c r="X36445" s="60"/>
    </row>
    <row r="36446" spans="7:24" ht="15" customHeight="1">
      <c r="G36446"/>
      <c r="I36446"/>
      <c r="N36446"/>
      <c r="O36446" s="24"/>
      <c r="P36446"/>
      <c r="Q36446" s="24"/>
      <c r="R36446"/>
      <c r="S36446"/>
      <c r="T36446"/>
      <c r="U36446"/>
      <c r="X36446" s="60"/>
    </row>
    <row r="36447" spans="7:24" ht="15" customHeight="1">
      <c r="G36447"/>
      <c r="I36447"/>
      <c r="N36447"/>
      <c r="O36447" s="24"/>
      <c r="P36447"/>
      <c r="Q36447" s="24"/>
      <c r="R36447"/>
      <c r="S36447"/>
      <c r="T36447"/>
      <c r="U36447"/>
      <c r="X36447" s="60"/>
    </row>
    <row r="36448" spans="7:24" ht="15" customHeight="1">
      <c r="G36448"/>
      <c r="I36448"/>
      <c r="N36448"/>
      <c r="O36448" s="24"/>
      <c r="P36448"/>
      <c r="Q36448" s="24"/>
      <c r="R36448"/>
      <c r="S36448"/>
      <c r="T36448"/>
      <c r="U36448"/>
      <c r="X36448" s="60"/>
    </row>
    <row r="36449" spans="7:24" ht="15" customHeight="1">
      <c r="G36449"/>
      <c r="I36449"/>
      <c r="N36449"/>
      <c r="O36449" s="24"/>
      <c r="P36449"/>
      <c r="Q36449" s="24"/>
      <c r="R36449"/>
      <c r="S36449"/>
      <c r="T36449"/>
      <c r="U36449"/>
      <c r="X36449" s="60"/>
    </row>
    <row r="36450" spans="7:24" ht="15" customHeight="1">
      <c r="G36450"/>
      <c r="I36450"/>
      <c r="N36450"/>
      <c r="O36450" s="24"/>
      <c r="P36450"/>
      <c r="Q36450" s="24"/>
      <c r="R36450"/>
      <c r="S36450"/>
      <c r="T36450"/>
      <c r="U36450"/>
      <c r="X36450" s="60"/>
    </row>
    <row r="36451" spans="7:24" ht="15" customHeight="1">
      <c r="G36451"/>
      <c r="I36451"/>
      <c r="N36451"/>
      <c r="O36451" s="24"/>
      <c r="P36451"/>
      <c r="Q36451" s="24"/>
      <c r="R36451"/>
      <c r="S36451"/>
      <c r="T36451"/>
      <c r="U36451"/>
      <c r="X36451" s="60"/>
    </row>
    <row r="36452" spans="7:24" ht="15" customHeight="1">
      <c r="G36452"/>
      <c r="I36452"/>
      <c r="N36452"/>
      <c r="O36452" s="24"/>
      <c r="P36452"/>
      <c r="Q36452" s="24"/>
      <c r="R36452"/>
      <c r="S36452"/>
      <c r="T36452"/>
      <c r="U36452"/>
      <c r="X36452" s="60"/>
    </row>
    <row r="36453" spans="7:24" ht="15" customHeight="1">
      <c r="G36453"/>
      <c r="I36453"/>
      <c r="N36453"/>
      <c r="O36453" s="24"/>
      <c r="P36453"/>
      <c r="Q36453" s="24"/>
      <c r="R36453"/>
      <c r="S36453"/>
      <c r="T36453"/>
      <c r="U36453"/>
      <c r="X36453" s="60"/>
    </row>
    <row r="36454" spans="7:24" ht="15" customHeight="1">
      <c r="G36454"/>
      <c r="I36454"/>
      <c r="N36454"/>
      <c r="O36454" s="24"/>
      <c r="P36454"/>
      <c r="Q36454" s="24"/>
      <c r="R36454"/>
      <c r="S36454"/>
      <c r="T36454"/>
      <c r="U36454"/>
      <c r="X36454" s="60"/>
    </row>
    <row r="36455" spans="7:24" ht="15" customHeight="1">
      <c r="G36455"/>
      <c r="I36455"/>
      <c r="N36455"/>
      <c r="O36455" s="24"/>
      <c r="P36455"/>
      <c r="Q36455" s="24"/>
      <c r="R36455"/>
      <c r="S36455"/>
      <c r="T36455"/>
      <c r="U36455"/>
      <c r="X36455" s="60"/>
    </row>
    <row r="36456" spans="7:24" ht="15" customHeight="1">
      <c r="G36456"/>
      <c r="I36456"/>
      <c r="N36456"/>
      <c r="O36456" s="24"/>
      <c r="P36456"/>
      <c r="Q36456" s="24"/>
      <c r="R36456"/>
      <c r="S36456"/>
      <c r="T36456"/>
      <c r="U36456"/>
      <c r="X36456" s="60"/>
    </row>
    <row r="36457" spans="7:24" ht="15" customHeight="1">
      <c r="G36457"/>
      <c r="I36457"/>
      <c r="N36457"/>
      <c r="O36457" s="24"/>
      <c r="P36457"/>
      <c r="Q36457" s="24"/>
      <c r="R36457"/>
      <c r="S36457"/>
      <c r="T36457"/>
      <c r="U36457"/>
      <c r="X36457" s="60"/>
    </row>
    <row r="36458" spans="7:24" ht="15" customHeight="1">
      <c r="G36458"/>
      <c r="I36458"/>
      <c r="N36458"/>
      <c r="O36458" s="24"/>
      <c r="P36458"/>
      <c r="Q36458" s="24"/>
      <c r="R36458"/>
      <c r="S36458"/>
      <c r="T36458"/>
      <c r="U36458"/>
      <c r="X36458" s="60"/>
    </row>
    <row r="36459" spans="7:24" ht="15" customHeight="1">
      <c r="G36459"/>
      <c r="I36459"/>
      <c r="N36459"/>
      <c r="O36459" s="24"/>
      <c r="P36459"/>
      <c r="Q36459" s="24"/>
      <c r="R36459"/>
      <c r="S36459"/>
      <c r="T36459"/>
      <c r="U36459"/>
      <c r="X36459" s="60"/>
    </row>
    <row r="36460" spans="7:24" ht="15" customHeight="1">
      <c r="G36460"/>
      <c r="I36460"/>
      <c r="N36460"/>
      <c r="O36460" s="24"/>
      <c r="P36460"/>
      <c r="Q36460" s="24"/>
      <c r="R36460"/>
      <c r="S36460"/>
      <c r="T36460"/>
      <c r="U36460"/>
      <c r="X36460" s="60"/>
    </row>
    <row r="36461" spans="7:24" ht="15" customHeight="1">
      <c r="G36461"/>
      <c r="I36461"/>
      <c r="N36461"/>
      <c r="O36461" s="24"/>
      <c r="P36461"/>
      <c r="Q36461" s="24"/>
      <c r="R36461"/>
      <c r="S36461"/>
      <c r="T36461"/>
      <c r="U36461"/>
      <c r="X36461" s="60"/>
    </row>
    <row r="36462" spans="7:24" ht="15" customHeight="1">
      <c r="G36462"/>
      <c r="I36462"/>
      <c r="N36462"/>
      <c r="O36462" s="24"/>
      <c r="P36462"/>
      <c r="Q36462" s="24"/>
      <c r="R36462"/>
      <c r="S36462"/>
      <c r="T36462"/>
      <c r="U36462"/>
      <c r="X36462" s="60"/>
    </row>
    <row r="36463" spans="7:24" ht="15" customHeight="1">
      <c r="G36463"/>
      <c r="I36463"/>
      <c r="N36463"/>
      <c r="O36463" s="24"/>
      <c r="P36463"/>
      <c r="Q36463" s="24"/>
      <c r="R36463"/>
      <c r="S36463"/>
      <c r="T36463"/>
      <c r="U36463"/>
      <c r="X36463" s="60"/>
    </row>
    <row r="36464" spans="7:24" ht="15" customHeight="1">
      <c r="G36464"/>
      <c r="I36464"/>
      <c r="N36464"/>
      <c r="O36464" s="24"/>
      <c r="P36464"/>
      <c r="Q36464" s="24"/>
      <c r="R36464"/>
      <c r="S36464"/>
      <c r="T36464"/>
      <c r="U36464"/>
      <c r="X36464" s="60"/>
    </row>
    <row r="36465" spans="7:24" ht="15" customHeight="1">
      <c r="G36465"/>
      <c r="I36465"/>
      <c r="N36465"/>
      <c r="O36465" s="24"/>
      <c r="P36465"/>
      <c r="Q36465" s="24"/>
      <c r="R36465"/>
      <c r="S36465"/>
      <c r="T36465"/>
      <c r="U36465"/>
      <c r="X36465" s="60"/>
    </row>
    <row r="36466" spans="7:24" ht="15" customHeight="1">
      <c r="G36466"/>
      <c r="I36466"/>
      <c r="N36466"/>
      <c r="O36466" s="24"/>
      <c r="P36466"/>
      <c r="Q36466" s="24"/>
      <c r="R36466"/>
      <c r="S36466"/>
      <c r="T36466"/>
      <c r="U36466"/>
      <c r="X36466" s="60"/>
    </row>
    <row r="36467" spans="7:24" ht="15" customHeight="1">
      <c r="G36467"/>
      <c r="I36467"/>
      <c r="N36467"/>
      <c r="O36467" s="24"/>
      <c r="P36467"/>
      <c r="Q36467" s="24"/>
      <c r="R36467"/>
      <c r="S36467"/>
      <c r="T36467"/>
      <c r="U36467"/>
      <c r="X36467" s="60"/>
    </row>
    <row r="36468" spans="7:24" ht="15" customHeight="1">
      <c r="G36468"/>
      <c r="I36468"/>
      <c r="N36468"/>
      <c r="O36468" s="24"/>
      <c r="P36468"/>
      <c r="Q36468" s="24"/>
      <c r="R36468"/>
      <c r="S36468"/>
      <c r="T36468"/>
      <c r="U36468"/>
      <c r="X36468" s="60"/>
    </row>
    <row r="36469" spans="7:24" ht="15" customHeight="1">
      <c r="G36469"/>
      <c r="I36469"/>
      <c r="N36469"/>
      <c r="O36469" s="24"/>
      <c r="P36469"/>
      <c r="Q36469" s="24"/>
      <c r="R36469"/>
      <c r="S36469"/>
      <c r="T36469"/>
      <c r="U36469"/>
      <c r="X36469" s="60"/>
    </row>
    <row r="36470" spans="7:24" ht="15" customHeight="1">
      <c r="G36470"/>
      <c r="I36470"/>
      <c r="N36470"/>
      <c r="O36470" s="24"/>
      <c r="P36470"/>
      <c r="Q36470" s="24"/>
      <c r="R36470"/>
      <c r="S36470"/>
      <c r="T36470"/>
      <c r="U36470"/>
      <c r="X36470" s="60"/>
    </row>
    <row r="36471" spans="7:24" ht="15" customHeight="1">
      <c r="G36471"/>
      <c r="I36471"/>
      <c r="N36471"/>
      <c r="O36471" s="24"/>
      <c r="P36471"/>
      <c r="Q36471" s="24"/>
      <c r="R36471"/>
      <c r="S36471"/>
      <c r="T36471"/>
      <c r="U36471"/>
      <c r="X36471" s="60"/>
    </row>
    <row r="36472" spans="7:24" ht="15" customHeight="1">
      <c r="G36472"/>
      <c r="I36472"/>
      <c r="N36472"/>
      <c r="O36472" s="24"/>
      <c r="P36472"/>
      <c r="Q36472" s="24"/>
      <c r="R36472"/>
      <c r="S36472"/>
      <c r="T36472"/>
      <c r="U36472"/>
      <c r="X36472" s="60"/>
    </row>
    <row r="36473" spans="7:24" ht="15" customHeight="1">
      <c r="G36473"/>
      <c r="I36473"/>
      <c r="N36473"/>
      <c r="O36473" s="24"/>
      <c r="P36473"/>
      <c r="Q36473" s="24"/>
      <c r="R36473"/>
      <c r="S36473"/>
      <c r="T36473"/>
      <c r="U36473"/>
      <c r="X36473" s="60"/>
    </row>
    <row r="36474" spans="7:24" ht="15" customHeight="1">
      <c r="G36474"/>
      <c r="I36474"/>
      <c r="N36474"/>
      <c r="O36474" s="24"/>
      <c r="P36474"/>
      <c r="Q36474" s="24"/>
      <c r="R36474"/>
      <c r="S36474"/>
      <c r="T36474"/>
      <c r="U36474"/>
      <c r="X36474" s="60"/>
    </row>
    <row r="36475" spans="7:24" ht="15" customHeight="1">
      <c r="G36475"/>
      <c r="I36475"/>
      <c r="N36475"/>
      <c r="O36475" s="24"/>
      <c r="P36475"/>
      <c r="Q36475" s="24"/>
      <c r="R36475"/>
      <c r="S36475"/>
      <c r="T36475"/>
      <c r="U36475"/>
      <c r="X36475" s="60"/>
    </row>
    <row r="36476" spans="7:24" ht="15" customHeight="1">
      <c r="G36476"/>
      <c r="I36476"/>
      <c r="N36476"/>
      <c r="O36476" s="24"/>
      <c r="P36476"/>
      <c r="Q36476" s="24"/>
      <c r="R36476"/>
      <c r="S36476"/>
      <c r="T36476"/>
      <c r="U36476"/>
      <c r="X36476" s="60"/>
    </row>
    <row r="36477" spans="7:24" ht="15" customHeight="1">
      <c r="G36477"/>
      <c r="I36477"/>
      <c r="N36477"/>
      <c r="O36477" s="24"/>
      <c r="P36477"/>
      <c r="Q36477" s="24"/>
      <c r="R36477"/>
      <c r="S36477"/>
      <c r="T36477"/>
      <c r="U36477"/>
      <c r="X36477" s="60"/>
    </row>
    <row r="36478" spans="7:24" ht="15" customHeight="1">
      <c r="G36478"/>
      <c r="I36478"/>
      <c r="N36478"/>
      <c r="O36478" s="24"/>
      <c r="P36478"/>
      <c r="Q36478" s="24"/>
      <c r="R36478"/>
      <c r="S36478"/>
      <c r="T36478"/>
      <c r="U36478"/>
      <c r="X36478" s="60"/>
    </row>
    <row r="36479" spans="7:24" ht="15" customHeight="1">
      <c r="G36479"/>
      <c r="I36479"/>
      <c r="N36479"/>
      <c r="O36479" s="24"/>
      <c r="P36479"/>
      <c r="Q36479" s="24"/>
      <c r="R36479"/>
      <c r="S36479"/>
      <c r="T36479"/>
      <c r="U36479"/>
      <c r="X36479" s="60"/>
    </row>
    <row r="36480" spans="7:24" ht="15" customHeight="1">
      <c r="G36480"/>
      <c r="I36480"/>
      <c r="N36480"/>
      <c r="O36480" s="24"/>
      <c r="P36480"/>
      <c r="Q36480" s="24"/>
      <c r="R36480"/>
      <c r="S36480"/>
      <c r="T36480"/>
      <c r="U36480"/>
      <c r="X36480" s="60"/>
    </row>
    <row r="36481" spans="7:24" ht="15" customHeight="1">
      <c r="G36481"/>
      <c r="I36481"/>
      <c r="N36481"/>
      <c r="O36481" s="24"/>
      <c r="P36481"/>
      <c r="Q36481" s="24"/>
      <c r="R36481"/>
      <c r="S36481"/>
      <c r="T36481"/>
      <c r="U36481"/>
      <c r="X36481" s="60"/>
    </row>
    <row r="36482" spans="7:24" ht="15" customHeight="1">
      <c r="G36482"/>
      <c r="I36482"/>
      <c r="N36482"/>
      <c r="O36482" s="24"/>
      <c r="P36482"/>
      <c r="Q36482" s="24"/>
      <c r="R36482"/>
      <c r="S36482"/>
      <c r="T36482"/>
      <c r="U36482"/>
      <c r="X36482" s="60"/>
    </row>
    <row r="36483" spans="7:24" ht="15" customHeight="1">
      <c r="G36483"/>
      <c r="I36483"/>
      <c r="N36483"/>
      <c r="O36483" s="24"/>
      <c r="P36483"/>
      <c r="Q36483" s="24"/>
      <c r="R36483"/>
      <c r="S36483"/>
      <c r="T36483"/>
      <c r="U36483"/>
      <c r="X36483" s="60"/>
    </row>
    <row r="36484" spans="7:24" ht="15" customHeight="1">
      <c r="G36484"/>
      <c r="I36484"/>
      <c r="N36484"/>
      <c r="O36484" s="24"/>
      <c r="P36484"/>
      <c r="Q36484" s="24"/>
      <c r="R36484"/>
      <c r="S36484"/>
      <c r="T36484"/>
      <c r="U36484"/>
      <c r="X36484" s="60"/>
    </row>
    <row r="36485" spans="7:24" ht="15" customHeight="1">
      <c r="G36485"/>
      <c r="I36485"/>
      <c r="N36485"/>
      <c r="O36485" s="24"/>
      <c r="P36485"/>
      <c r="Q36485" s="24"/>
      <c r="R36485"/>
      <c r="S36485"/>
      <c r="T36485"/>
      <c r="U36485"/>
      <c r="X36485" s="60"/>
    </row>
    <row r="36486" spans="7:24" ht="15" customHeight="1">
      <c r="G36486"/>
      <c r="I36486"/>
      <c r="N36486"/>
      <c r="O36486" s="24"/>
      <c r="P36486"/>
      <c r="Q36486" s="24"/>
      <c r="R36486"/>
      <c r="S36486"/>
      <c r="T36486"/>
      <c r="U36486"/>
      <c r="X36486" s="60"/>
    </row>
    <row r="36487" spans="7:24" ht="15" customHeight="1">
      <c r="G36487"/>
      <c r="I36487"/>
      <c r="N36487"/>
      <c r="O36487" s="24"/>
      <c r="P36487"/>
      <c r="Q36487" s="24"/>
      <c r="R36487"/>
      <c r="S36487"/>
      <c r="T36487"/>
      <c r="U36487"/>
      <c r="X36487" s="60"/>
    </row>
    <row r="36488" spans="7:24" ht="15" customHeight="1">
      <c r="G36488"/>
      <c r="I36488"/>
      <c r="N36488"/>
      <c r="O36488" s="24"/>
      <c r="P36488"/>
      <c r="Q36488" s="24"/>
      <c r="R36488"/>
      <c r="S36488"/>
      <c r="T36488"/>
      <c r="U36488"/>
      <c r="X36488" s="60"/>
    </row>
    <row r="36489" spans="7:24" ht="15" customHeight="1">
      <c r="G36489"/>
      <c r="I36489"/>
      <c r="N36489"/>
      <c r="O36489" s="24"/>
      <c r="P36489"/>
      <c r="Q36489" s="24"/>
      <c r="R36489"/>
      <c r="S36489"/>
      <c r="T36489"/>
      <c r="U36489"/>
      <c r="X36489" s="60"/>
    </row>
    <row r="36490" spans="7:24" ht="15" customHeight="1">
      <c r="G36490"/>
      <c r="I36490"/>
      <c r="N36490"/>
      <c r="O36490" s="24"/>
      <c r="P36490"/>
      <c r="Q36490" s="24"/>
      <c r="R36490"/>
      <c r="S36490"/>
      <c r="T36490"/>
      <c r="U36490"/>
      <c r="X36490" s="60"/>
    </row>
    <row r="36491" spans="7:24" ht="15" customHeight="1">
      <c r="G36491"/>
      <c r="I36491"/>
      <c r="N36491"/>
      <c r="O36491" s="24"/>
      <c r="P36491"/>
      <c r="Q36491" s="24"/>
      <c r="R36491"/>
      <c r="S36491"/>
      <c r="T36491"/>
      <c r="U36491"/>
      <c r="X36491" s="60"/>
    </row>
    <row r="36492" spans="7:24" ht="15" customHeight="1">
      <c r="G36492"/>
      <c r="I36492"/>
      <c r="N36492"/>
      <c r="O36492" s="24"/>
      <c r="P36492"/>
      <c r="Q36492" s="24"/>
      <c r="R36492"/>
      <c r="S36492"/>
      <c r="T36492"/>
      <c r="U36492"/>
      <c r="X36492" s="60"/>
    </row>
    <row r="36493" spans="7:24" ht="15" customHeight="1">
      <c r="G36493"/>
      <c r="I36493"/>
      <c r="N36493"/>
      <c r="O36493" s="24"/>
      <c r="P36493"/>
      <c r="Q36493" s="24"/>
      <c r="R36493"/>
      <c r="S36493"/>
      <c r="T36493"/>
      <c r="U36493"/>
      <c r="X36493" s="60"/>
    </row>
    <row r="36494" spans="7:24" ht="15" customHeight="1">
      <c r="G36494"/>
      <c r="I36494"/>
      <c r="N36494"/>
      <c r="O36494" s="24"/>
      <c r="P36494"/>
      <c r="Q36494" s="24"/>
      <c r="R36494"/>
      <c r="S36494"/>
      <c r="T36494"/>
      <c r="U36494"/>
      <c r="X36494" s="60"/>
    </row>
    <row r="36495" spans="7:24" ht="15" customHeight="1">
      <c r="G36495"/>
      <c r="I36495"/>
      <c r="N36495"/>
      <c r="O36495" s="24"/>
      <c r="P36495"/>
      <c r="Q36495" s="24"/>
      <c r="R36495"/>
      <c r="S36495"/>
      <c r="T36495"/>
      <c r="U36495"/>
      <c r="X36495" s="60"/>
    </row>
    <row r="36496" spans="7:24" ht="15" customHeight="1">
      <c r="G36496"/>
      <c r="I36496"/>
      <c r="N36496"/>
      <c r="O36496" s="24"/>
      <c r="P36496"/>
      <c r="Q36496" s="24"/>
      <c r="R36496"/>
      <c r="S36496"/>
      <c r="T36496"/>
      <c r="U36496"/>
      <c r="X36496" s="60"/>
    </row>
    <row r="36497" spans="7:24" ht="15" customHeight="1">
      <c r="G36497"/>
      <c r="I36497"/>
      <c r="N36497"/>
      <c r="O36497" s="24"/>
      <c r="P36497"/>
      <c r="Q36497" s="24"/>
      <c r="R36497"/>
      <c r="S36497"/>
      <c r="T36497"/>
      <c r="U36497"/>
      <c r="X36497" s="60"/>
    </row>
    <row r="36498" spans="7:24" ht="15" customHeight="1">
      <c r="G36498"/>
      <c r="I36498"/>
      <c r="N36498"/>
      <c r="O36498" s="24"/>
      <c r="P36498"/>
      <c r="Q36498" s="24"/>
      <c r="R36498"/>
      <c r="S36498"/>
      <c r="T36498"/>
      <c r="U36498"/>
      <c r="X36498" s="60"/>
    </row>
    <row r="36499" spans="7:24" ht="15" customHeight="1">
      <c r="G36499"/>
      <c r="I36499"/>
      <c r="N36499"/>
      <c r="O36499" s="24"/>
      <c r="P36499"/>
      <c r="Q36499" s="24"/>
      <c r="R36499"/>
      <c r="S36499"/>
      <c r="T36499"/>
      <c r="U36499"/>
      <c r="X36499" s="60"/>
    </row>
    <row r="36500" spans="7:24" ht="15" customHeight="1">
      <c r="G36500"/>
      <c r="I36500"/>
      <c r="N36500"/>
      <c r="O36500" s="24"/>
      <c r="P36500"/>
      <c r="Q36500" s="24"/>
      <c r="R36500"/>
      <c r="S36500"/>
      <c r="T36500"/>
      <c r="U36500"/>
      <c r="X36500" s="60"/>
    </row>
    <row r="36501" spans="7:24" ht="15" customHeight="1">
      <c r="G36501"/>
      <c r="I36501"/>
      <c r="N36501"/>
      <c r="O36501" s="24"/>
      <c r="P36501"/>
      <c r="Q36501" s="24"/>
      <c r="R36501"/>
      <c r="S36501"/>
      <c r="T36501"/>
      <c r="U36501"/>
      <c r="X36501" s="60"/>
    </row>
    <row r="36502" spans="7:24" ht="15" customHeight="1">
      <c r="G36502"/>
      <c r="I36502"/>
      <c r="N36502"/>
      <c r="O36502" s="24"/>
      <c r="P36502"/>
      <c r="Q36502" s="24"/>
      <c r="R36502"/>
      <c r="S36502"/>
      <c r="T36502"/>
      <c r="U36502"/>
      <c r="X36502" s="60"/>
    </row>
    <row r="36503" spans="7:24" ht="15" customHeight="1">
      <c r="G36503"/>
      <c r="I36503"/>
      <c r="N36503"/>
      <c r="O36503" s="24"/>
      <c r="P36503"/>
      <c r="Q36503" s="24"/>
      <c r="R36503"/>
      <c r="S36503"/>
      <c r="T36503"/>
      <c r="U36503"/>
      <c r="X36503" s="60"/>
    </row>
    <row r="36504" spans="7:24" ht="15" customHeight="1">
      <c r="G36504"/>
      <c r="I36504"/>
      <c r="N36504"/>
      <c r="O36504" s="24"/>
      <c r="P36504"/>
      <c r="Q36504" s="24"/>
      <c r="R36504"/>
      <c r="S36504"/>
      <c r="T36504"/>
      <c r="U36504"/>
      <c r="X36504" s="60"/>
    </row>
    <row r="36505" spans="7:24" ht="15" customHeight="1">
      <c r="G36505"/>
      <c r="I36505"/>
      <c r="N36505"/>
      <c r="O36505" s="24"/>
      <c r="P36505"/>
      <c r="Q36505" s="24"/>
      <c r="R36505"/>
      <c r="S36505"/>
      <c r="T36505"/>
      <c r="U36505"/>
      <c r="X36505" s="60"/>
    </row>
    <row r="36506" spans="7:24" ht="15" customHeight="1">
      <c r="G36506"/>
      <c r="I36506"/>
      <c r="N36506"/>
      <c r="O36506" s="24"/>
      <c r="P36506"/>
      <c r="Q36506" s="24"/>
      <c r="R36506"/>
      <c r="S36506"/>
      <c r="T36506"/>
      <c r="U36506"/>
      <c r="X36506" s="60"/>
    </row>
    <row r="36507" spans="7:24" ht="15" customHeight="1">
      <c r="G36507"/>
      <c r="I36507"/>
      <c r="N36507"/>
      <c r="O36507" s="24"/>
      <c r="P36507"/>
      <c r="Q36507" s="24"/>
      <c r="R36507"/>
      <c r="S36507"/>
      <c r="T36507"/>
      <c r="U36507"/>
      <c r="X36507" s="60"/>
    </row>
    <row r="36508" spans="7:24" ht="15" customHeight="1">
      <c r="G36508"/>
      <c r="I36508"/>
      <c r="N36508"/>
      <c r="O36508" s="24"/>
      <c r="P36508"/>
      <c r="Q36508" s="24"/>
      <c r="R36508"/>
      <c r="S36508"/>
      <c r="T36508"/>
      <c r="U36508"/>
      <c r="X36508" s="60"/>
    </row>
    <row r="36509" spans="7:24" ht="15" customHeight="1">
      <c r="G36509"/>
      <c r="I36509"/>
      <c r="N36509"/>
      <c r="O36509" s="24"/>
      <c r="P36509"/>
      <c r="Q36509" s="24"/>
      <c r="R36509"/>
      <c r="S36509"/>
      <c r="T36509"/>
      <c r="U36509"/>
      <c r="X36509" s="60"/>
    </row>
    <row r="36510" spans="7:24" ht="15" customHeight="1">
      <c r="G36510"/>
      <c r="I36510"/>
      <c r="N36510"/>
      <c r="O36510" s="24"/>
      <c r="P36510"/>
      <c r="Q36510" s="24"/>
      <c r="R36510"/>
      <c r="S36510"/>
      <c r="T36510"/>
      <c r="U36510"/>
      <c r="X36510" s="60"/>
    </row>
    <row r="36511" spans="7:24" ht="15" customHeight="1">
      <c r="G36511"/>
      <c r="I36511"/>
      <c r="N36511"/>
      <c r="O36511" s="24"/>
      <c r="P36511"/>
      <c r="Q36511" s="24"/>
      <c r="R36511"/>
      <c r="S36511"/>
      <c r="T36511"/>
      <c r="U36511"/>
      <c r="X36511" s="60"/>
    </row>
    <row r="36512" spans="7:24" ht="15" customHeight="1">
      <c r="G36512"/>
      <c r="I36512"/>
      <c r="N36512"/>
      <c r="O36512" s="24"/>
      <c r="P36512"/>
      <c r="Q36512" s="24"/>
      <c r="R36512"/>
      <c r="S36512"/>
      <c r="T36512"/>
      <c r="U36512"/>
      <c r="X36512" s="60"/>
    </row>
    <row r="36513" spans="7:24" ht="15" customHeight="1">
      <c r="G36513"/>
      <c r="I36513"/>
      <c r="N36513"/>
      <c r="O36513" s="24"/>
      <c r="P36513"/>
      <c r="Q36513" s="24"/>
      <c r="R36513"/>
      <c r="S36513"/>
      <c r="T36513"/>
      <c r="U36513"/>
      <c r="X36513" s="60"/>
    </row>
    <row r="36514" spans="7:24" ht="15" customHeight="1">
      <c r="G36514"/>
      <c r="I36514"/>
      <c r="N36514"/>
      <c r="O36514" s="24"/>
      <c r="P36514"/>
      <c r="Q36514" s="24"/>
      <c r="R36514"/>
      <c r="S36514"/>
      <c r="T36514"/>
      <c r="U36514"/>
      <c r="X36514" s="60"/>
    </row>
    <row r="36515" spans="7:24" ht="15" customHeight="1">
      <c r="G36515"/>
      <c r="I36515"/>
      <c r="N36515"/>
      <c r="O36515" s="24"/>
      <c r="P36515"/>
      <c r="Q36515" s="24"/>
      <c r="R36515"/>
      <c r="S36515"/>
      <c r="T36515"/>
      <c r="U36515"/>
      <c r="X36515" s="60"/>
    </row>
    <row r="36516" spans="7:24" ht="15" customHeight="1">
      <c r="G36516"/>
      <c r="I36516"/>
      <c r="N36516"/>
      <c r="O36516" s="24"/>
      <c r="P36516"/>
      <c r="Q36516" s="24"/>
      <c r="R36516"/>
      <c r="S36516"/>
      <c r="T36516"/>
      <c r="U36516"/>
      <c r="X36516" s="60"/>
    </row>
    <row r="36517" spans="7:24" ht="15" customHeight="1">
      <c r="G36517"/>
      <c r="I36517"/>
      <c r="N36517"/>
      <c r="O36517" s="24"/>
      <c r="P36517"/>
      <c r="Q36517" s="24"/>
      <c r="R36517"/>
      <c r="S36517"/>
      <c r="T36517"/>
      <c r="U36517"/>
      <c r="X36517" s="60"/>
    </row>
    <row r="36518" spans="7:24" ht="15" customHeight="1">
      <c r="G36518"/>
      <c r="I36518"/>
      <c r="N36518"/>
      <c r="O36518" s="24"/>
      <c r="P36518"/>
      <c r="Q36518" s="24"/>
      <c r="R36518"/>
      <c r="S36518"/>
      <c r="T36518"/>
      <c r="U36518"/>
      <c r="X36518" s="60"/>
    </row>
    <row r="36519" spans="7:24" ht="15" customHeight="1">
      <c r="G36519"/>
      <c r="I36519"/>
      <c r="N36519"/>
      <c r="O36519" s="24"/>
      <c r="P36519"/>
      <c r="Q36519" s="24"/>
      <c r="R36519"/>
      <c r="S36519"/>
      <c r="T36519"/>
      <c r="U36519"/>
      <c r="X36519" s="60"/>
    </row>
    <row r="36520" spans="7:24" ht="15" customHeight="1">
      <c r="G36520"/>
      <c r="I36520"/>
      <c r="N36520"/>
      <c r="O36520" s="24"/>
      <c r="P36520"/>
      <c r="Q36520" s="24"/>
      <c r="R36520"/>
      <c r="S36520"/>
      <c r="T36520"/>
      <c r="U36520"/>
      <c r="X36520" s="60"/>
    </row>
    <row r="36521" spans="7:24" ht="15" customHeight="1">
      <c r="G36521"/>
      <c r="I36521"/>
      <c r="N36521"/>
      <c r="O36521" s="24"/>
      <c r="P36521"/>
      <c r="Q36521" s="24"/>
      <c r="R36521"/>
      <c r="S36521"/>
      <c r="T36521"/>
      <c r="U36521"/>
      <c r="X36521" s="60"/>
    </row>
    <row r="36522" spans="7:24" ht="15" customHeight="1">
      <c r="G36522"/>
      <c r="I36522"/>
      <c r="N36522"/>
      <c r="O36522" s="24"/>
      <c r="P36522"/>
      <c r="Q36522" s="24"/>
      <c r="R36522"/>
      <c r="S36522"/>
      <c r="T36522"/>
      <c r="U36522"/>
      <c r="X36522" s="60"/>
    </row>
    <row r="36523" spans="7:24" ht="15" customHeight="1">
      <c r="G36523"/>
      <c r="I36523"/>
      <c r="N36523"/>
      <c r="O36523" s="24"/>
      <c r="P36523"/>
      <c r="Q36523" s="24"/>
      <c r="R36523"/>
      <c r="S36523"/>
      <c r="T36523"/>
      <c r="U36523"/>
      <c r="X36523" s="60"/>
    </row>
    <row r="36524" spans="7:24" ht="15" customHeight="1">
      <c r="G36524"/>
      <c r="I36524"/>
      <c r="N36524"/>
      <c r="O36524" s="24"/>
      <c r="P36524"/>
      <c r="Q36524" s="24"/>
      <c r="R36524"/>
      <c r="S36524"/>
      <c r="T36524"/>
      <c r="U36524"/>
      <c r="X36524" s="60"/>
    </row>
    <row r="36525" spans="7:24" ht="15" customHeight="1">
      <c r="G36525"/>
      <c r="I36525"/>
      <c r="N36525"/>
      <c r="O36525" s="24"/>
      <c r="P36525"/>
      <c r="Q36525" s="24"/>
      <c r="R36525"/>
      <c r="S36525"/>
      <c r="T36525"/>
      <c r="U36525"/>
      <c r="X36525" s="60"/>
    </row>
    <row r="36526" spans="7:24" ht="15" customHeight="1">
      <c r="G36526"/>
      <c r="I36526"/>
      <c r="N36526"/>
      <c r="O36526" s="24"/>
      <c r="P36526"/>
      <c r="Q36526" s="24"/>
      <c r="R36526"/>
      <c r="S36526"/>
      <c r="T36526"/>
      <c r="U36526"/>
      <c r="X36526" s="60"/>
    </row>
    <row r="36527" spans="7:24" ht="15" customHeight="1">
      <c r="G36527"/>
      <c r="I36527"/>
      <c r="N36527"/>
      <c r="O36527" s="24"/>
      <c r="P36527"/>
      <c r="Q36527" s="24"/>
      <c r="R36527"/>
      <c r="S36527"/>
      <c r="T36527"/>
      <c r="U36527"/>
      <c r="X36527" s="60"/>
    </row>
    <row r="36528" spans="7:24" ht="15" customHeight="1">
      <c r="G36528"/>
      <c r="I36528"/>
      <c r="N36528"/>
      <c r="O36528" s="24"/>
      <c r="P36528"/>
      <c r="Q36528" s="24"/>
      <c r="R36528"/>
      <c r="S36528"/>
      <c r="T36528"/>
      <c r="U36528"/>
      <c r="X36528" s="60"/>
    </row>
    <row r="36529" spans="7:24" ht="15" customHeight="1">
      <c r="G36529"/>
      <c r="I36529"/>
      <c r="N36529"/>
      <c r="O36529" s="24"/>
      <c r="P36529"/>
      <c r="Q36529" s="24"/>
      <c r="R36529"/>
      <c r="S36529"/>
      <c r="T36529"/>
      <c r="U36529"/>
      <c r="X36529" s="60"/>
    </row>
    <row r="36530" spans="7:24" ht="15" customHeight="1">
      <c r="G36530"/>
      <c r="I36530"/>
      <c r="N36530"/>
      <c r="O36530" s="24"/>
      <c r="P36530"/>
      <c r="Q36530" s="24"/>
      <c r="R36530"/>
      <c r="S36530"/>
      <c r="T36530"/>
      <c r="U36530"/>
      <c r="X36530" s="60"/>
    </row>
    <row r="36531" spans="7:24" ht="15" customHeight="1">
      <c r="G36531"/>
      <c r="I36531"/>
      <c r="N36531"/>
      <c r="O36531" s="24"/>
      <c r="P36531"/>
      <c r="Q36531" s="24"/>
      <c r="R36531"/>
      <c r="S36531"/>
      <c r="T36531"/>
      <c r="U36531"/>
      <c r="X36531" s="60"/>
    </row>
    <row r="36532" spans="7:24" ht="15" customHeight="1">
      <c r="G36532"/>
      <c r="I36532"/>
      <c r="N36532"/>
      <c r="O36532" s="24"/>
      <c r="P36532"/>
      <c r="Q36532" s="24"/>
      <c r="R36532"/>
      <c r="S36532"/>
      <c r="T36532"/>
      <c r="U36532"/>
      <c r="X36532" s="60"/>
    </row>
    <row r="36533" spans="7:24" ht="15" customHeight="1">
      <c r="G36533"/>
      <c r="I36533"/>
      <c r="N36533"/>
      <c r="O36533" s="24"/>
      <c r="P36533"/>
      <c r="Q36533" s="24"/>
      <c r="R36533"/>
      <c r="S36533"/>
      <c r="T36533"/>
      <c r="U36533"/>
      <c r="X36533" s="60"/>
    </row>
    <row r="36534" spans="7:24" ht="15" customHeight="1">
      <c r="G36534"/>
      <c r="I36534"/>
      <c r="N36534"/>
      <c r="O36534" s="24"/>
      <c r="P36534"/>
      <c r="Q36534" s="24"/>
      <c r="R36534"/>
      <c r="S36534"/>
      <c r="T36534"/>
      <c r="U36534"/>
      <c r="X36534" s="60"/>
    </row>
    <row r="36535" spans="7:24" ht="15" customHeight="1">
      <c r="G36535"/>
      <c r="I36535"/>
      <c r="N36535"/>
      <c r="O36535" s="24"/>
      <c r="P36535"/>
      <c r="Q36535" s="24"/>
      <c r="R36535"/>
      <c r="S36535"/>
      <c r="T36535"/>
      <c r="U36535"/>
      <c r="X36535" s="60"/>
    </row>
    <row r="36536" spans="7:24" ht="15" customHeight="1">
      <c r="G36536"/>
      <c r="I36536"/>
      <c r="N36536"/>
      <c r="O36536" s="24"/>
      <c r="P36536"/>
      <c r="Q36536" s="24"/>
      <c r="R36536"/>
      <c r="S36536"/>
      <c r="T36536"/>
      <c r="U36536"/>
      <c r="X36536" s="60"/>
    </row>
    <row r="36537" spans="7:24" ht="15" customHeight="1">
      <c r="G36537"/>
      <c r="I36537"/>
      <c r="N36537"/>
      <c r="O36537" s="24"/>
      <c r="P36537"/>
      <c r="Q36537" s="24"/>
      <c r="R36537"/>
      <c r="S36537"/>
      <c r="T36537"/>
      <c r="U36537"/>
      <c r="X36537" s="60"/>
    </row>
    <row r="36538" spans="7:24" ht="15" customHeight="1">
      <c r="G36538"/>
      <c r="I36538"/>
      <c r="N36538"/>
      <c r="O36538" s="24"/>
      <c r="P36538"/>
      <c r="Q36538" s="24"/>
      <c r="R36538"/>
      <c r="S36538"/>
      <c r="T36538"/>
      <c r="U36538"/>
      <c r="X36538" s="60"/>
    </row>
    <row r="36539" spans="7:24" ht="15" customHeight="1">
      <c r="G36539"/>
      <c r="I36539"/>
      <c r="N36539"/>
      <c r="O36539" s="24"/>
      <c r="P36539"/>
      <c r="Q36539" s="24"/>
      <c r="R36539"/>
      <c r="S36539"/>
      <c r="T36539"/>
      <c r="U36539"/>
      <c r="X36539" s="60"/>
    </row>
    <row r="36540" spans="7:24" ht="15" customHeight="1">
      <c r="G36540"/>
      <c r="I36540"/>
      <c r="N36540"/>
      <c r="O36540" s="24"/>
      <c r="P36540"/>
      <c r="Q36540" s="24"/>
      <c r="R36540"/>
      <c r="S36540"/>
      <c r="T36540"/>
      <c r="U36540"/>
      <c r="X36540" s="60"/>
    </row>
    <row r="36541" spans="7:24" ht="15" customHeight="1">
      <c r="G36541"/>
      <c r="I36541"/>
      <c r="N36541"/>
      <c r="O36541" s="24"/>
      <c r="P36541"/>
      <c r="Q36541" s="24"/>
      <c r="R36541"/>
      <c r="S36541"/>
      <c r="T36541"/>
      <c r="U36541"/>
      <c r="X36541" s="60"/>
    </row>
    <row r="36542" spans="7:24" ht="15" customHeight="1">
      <c r="G36542"/>
      <c r="I36542"/>
      <c r="N36542"/>
      <c r="O36542" s="24"/>
      <c r="P36542"/>
      <c r="Q36542" s="24"/>
      <c r="R36542"/>
      <c r="S36542"/>
      <c r="T36542"/>
      <c r="U36542"/>
      <c r="X36542" s="60"/>
    </row>
    <row r="36543" spans="7:24" ht="15" customHeight="1">
      <c r="G36543"/>
      <c r="I36543"/>
      <c r="N36543"/>
      <c r="O36543" s="24"/>
      <c r="P36543"/>
      <c r="Q36543" s="24"/>
      <c r="R36543"/>
      <c r="S36543"/>
      <c r="T36543"/>
      <c r="U36543"/>
      <c r="X36543" s="60"/>
    </row>
    <row r="36544" spans="7:24" ht="15" customHeight="1">
      <c r="G36544"/>
      <c r="I36544"/>
      <c r="N36544"/>
      <c r="O36544" s="24"/>
      <c r="P36544"/>
      <c r="Q36544" s="24"/>
      <c r="R36544"/>
      <c r="S36544"/>
      <c r="T36544"/>
      <c r="U36544"/>
      <c r="X36544" s="60"/>
    </row>
    <row r="36545" spans="7:24" ht="15" customHeight="1">
      <c r="G36545"/>
      <c r="I36545"/>
      <c r="N36545"/>
      <c r="O36545" s="24"/>
      <c r="P36545"/>
      <c r="Q36545" s="24"/>
      <c r="R36545"/>
      <c r="S36545"/>
      <c r="T36545"/>
      <c r="U36545"/>
      <c r="X36545" s="60"/>
    </row>
    <row r="36546" spans="7:24" ht="15" customHeight="1">
      <c r="G36546"/>
      <c r="I36546"/>
      <c r="N36546"/>
      <c r="O36546" s="24"/>
      <c r="P36546"/>
      <c r="Q36546" s="24"/>
      <c r="R36546"/>
      <c r="S36546"/>
      <c r="T36546"/>
      <c r="U36546"/>
      <c r="X36546" s="60"/>
    </row>
    <row r="36547" spans="7:24" ht="15" customHeight="1">
      <c r="G36547"/>
      <c r="I36547"/>
      <c r="N36547"/>
      <c r="O36547" s="24"/>
      <c r="P36547"/>
      <c r="Q36547" s="24"/>
      <c r="R36547"/>
      <c r="S36547"/>
      <c r="T36547"/>
      <c r="U36547"/>
      <c r="X36547" s="60"/>
    </row>
    <row r="36548" spans="7:24" ht="15" customHeight="1">
      <c r="G36548"/>
      <c r="I36548"/>
      <c r="N36548"/>
      <c r="O36548" s="24"/>
      <c r="P36548"/>
      <c r="Q36548" s="24"/>
      <c r="R36548"/>
      <c r="S36548"/>
      <c r="T36548"/>
      <c r="U36548"/>
      <c r="X36548" s="60"/>
    </row>
    <row r="36549" spans="7:24" ht="15" customHeight="1">
      <c r="G36549"/>
      <c r="I36549"/>
      <c r="N36549"/>
      <c r="O36549" s="24"/>
      <c r="P36549"/>
      <c r="Q36549" s="24"/>
      <c r="R36549"/>
      <c r="S36549"/>
      <c r="T36549"/>
      <c r="U36549"/>
      <c r="X36549" s="60"/>
    </row>
    <row r="36550" spans="7:24" ht="15" customHeight="1">
      <c r="G36550"/>
      <c r="I36550"/>
      <c r="N36550"/>
      <c r="O36550" s="24"/>
      <c r="P36550"/>
      <c r="Q36550" s="24"/>
      <c r="R36550"/>
      <c r="S36550"/>
      <c r="T36550"/>
      <c r="U36550"/>
      <c r="X36550" s="60"/>
    </row>
    <row r="36551" spans="7:24" ht="15" customHeight="1">
      <c r="G36551"/>
      <c r="I36551"/>
      <c r="N36551"/>
      <c r="O36551" s="24"/>
      <c r="P36551"/>
      <c r="Q36551" s="24"/>
      <c r="R36551"/>
      <c r="S36551"/>
      <c r="T36551"/>
      <c r="U36551"/>
      <c r="X36551" s="60"/>
    </row>
    <row r="36552" spans="7:24" ht="15" customHeight="1">
      <c r="G36552"/>
      <c r="I36552"/>
      <c r="N36552"/>
      <c r="O36552" s="24"/>
      <c r="P36552"/>
      <c r="Q36552" s="24"/>
      <c r="R36552"/>
      <c r="S36552"/>
      <c r="T36552"/>
      <c r="U36552"/>
      <c r="X36552" s="60"/>
    </row>
    <row r="36553" spans="7:24" ht="15" customHeight="1">
      <c r="G36553"/>
      <c r="I36553"/>
      <c r="N36553"/>
      <c r="O36553" s="24"/>
      <c r="P36553"/>
      <c r="Q36553" s="24"/>
      <c r="R36553"/>
      <c r="S36553"/>
      <c r="T36553"/>
      <c r="U36553"/>
      <c r="X36553" s="60"/>
    </row>
    <row r="36554" spans="7:24" ht="15" customHeight="1">
      <c r="G36554"/>
      <c r="I36554"/>
      <c r="N36554"/>
      <c r="O36554" s="24"/>
      <c r="P36554"/>
      <c r="Q36554" s="24"/>
      <c r="R36554"/>
      <c r="S36554"/>
      <c r="T36554"/>
      <c r="U36554"/>
      <c r="X36554" s="60"/>
    </row>
    <row r="36555" spans="7:24" ht="15" customHeight="1">
      <c r="G36555"/>
      <c r="I36555"/>
      <c r="N36555"/>
      <c r="O36555" s="24"/>
      <c r="P36555"/>
      <c r="Q36555" s="24"/>
      <c r="R36555"/>
      <c r="S36555"/>
      <c r="T36555"/>
      <c r="U36555"/>
      <c r="X36555" s="60"/>
    </row>
    <row r="36556" spans="7:24" ht="15" customHeight="1">
      <c r="G36556"/>
      <c r="I36556"/>
      <c r="N36556"/>
      <c r="O36556" s="24"/>
      <c r="P36556"/>
      <c r="Q36556" s="24"/>
      <c r="R36556"/>
      <c r="S36556"/>
      <c r="T36556"/>
      <c r="U36556"/>
      <c r="X36556" s="60"/>
    </row>
    <row r="36557" spans="7:24" ht="15" customHeight="1">
      <c r="G36557"/>
      <c r="I36557"/>
      <c r="N36557"/>
      <c r="O36557" s="24"/>
      <c r="P36557"/>
      <c r="Q36557" s="24"/>
      <c r="R36557"/>
      <c r="S36557"/>
      <c r="T36557"/>
      <c r="U36557"/>
      <c r="X36557" s="60"/>
    </row>
    <row r="36558" spans="7:24" ht="15" customHeight="1">
      <c r="G36558"/>
      <c r="I36558"/>
      <c r="N36558"/>
      <c r="O36558" s="24"/>
      <c r="P36558"/>
      <c r="Q36558" s="24"/>
      <c r="R36558"/>
      <c r="S36558"/>
      <c r="T36558"/>
      <c r="U36558"/>
      <c r="X36558" s="60"/>
    </row>
    <row r="36559" spans="7:24" ht="15" customHeight="1">
      <c r="G36559"/>
      <c r="I36559"/>
      <c r="N36559"/>
      <c r="O36559" s="24"/>
      <c r="P36559"/>
      <c r="Q36559" s="24"/>
      <c r="R36559"/>
      <c r="S36559"/>
      <c r="T36559"/>
      <c r="U36559"/>
      <c r="X36559" s="60"/>
    </row>
    <row r="36560" spans="7:24" ht="15" customHeight="1">
      <c r="G36560"/>
      <c r="I36560"/>
      <c r="N36560"/>
      <c r="O36560" s="24"/>
      <c r="P36560"/>
      <c r="Q36560" s="24"/>
      <c r="R36560"/>
      <c r="S36560"/>
      <c r="T36560"/>
      <c r="U36560"/>
      <c r="X36560" s="60"/>
    </row>
    <row r="36561" spans="7:24" ht="15" customHeight="1">
      <c r="G36561"/>
      <c r="I36561"/>
      <c r="N36561"/>
      <c r="O36561" s="24"/>
      <c r="P36561"/>
      <c r="Q36561" s="24"/>
      <c r="R36561"/>
      <c r="S36561"/>
      <c r="T36561"/>
      <c r="U36561"/>
      <c r="X36561" s="60"/>
    </row>
    <row r="36562" spans="7:24" ht="15" customHeight="1">
      <c r="G36562"/>
      <c r="I36562"/>
      <c r="N36562"/>
      <c r="O36562" s="24"/>
      <c r="P36562"/>
      <c r="Q36562" s="24"/>
      <c r="R36562"/>
      <c r="S36562"/>
      <c r="T36562"/>
      <c r="U36562"/>
      <c r="X36562" s="60"/>
    </row>
    <row r="36563" spans="7:24" ht="15" customHeight="1">
      <c r="G36563"/>
      <c r="I36563"/>
      <c r="N36563"/>
      <c r="O36563" s="24"/>
      <c r="P36563"/>
      <c r="Q36563" s="24"/>
      <c r="R36563"/>
      <c r="S36563"/>
      <c r="T36563"/>
      <c r="U36563"/>
      <c r="X36563" s="60"/>
    </row>
    <row r="36564" spans="7:24" ht="15" customHeight="1">
      <c r="G36564"/>
      <c r="I36564"/>
      <c r="N36564"/>
      <c r="O36564" s="24"/>
      <c r="P36564"/>
      <c r="Q36564" s="24"/>
      <c r="R36564"/>
      <c r="S36564"/>
      <c r="T36564"/>
      <c r="U36564"/>
      <c r="X36564" s="60"/>
    </row>
    <row r="36565" spans="7:24" ht="15" customHeight="1">
      <c r="G36565"/>
      <c r="I36565"/>
      <c r="N36565"/>
      <c r="O36565" s="24"/>
      <c r="P36565"/>
      <c r="Q36565" s="24"/>
      <c r="R36565"/>
      <c r="S36565"/>
      <c r="T36565"/>
      <c r="U36565"/>
      <c r="X36565" s="60"/>
    </row>
    <row r="36566" spans="7:24" ht="15" customHeight="1">
      <c r="G36566"/>
      <c r="I36566"/>
      <c r="N36566"/>
      <c r="O36566" s="24"/>
      <c r="P36566"/>
      <c r="Q36566" s="24"/>
      <c r="R36566"/>
      <c r="S36566"/>
      <c r="T36566"/>
      <c r="U36566"/>
      <c r="X36566" s="60"/>
    </row>
    <row r="36567" spans="7:24" ht="15" customHeight="1">
      <c r="G36567"/>
      <c r="I36567"/>
      <c r="N36567"/>
      <c r="O36567" s="24"/>
      <c r="P36567"/>
      <c r="Q36567" s="24"/>
      <c r="R36567"/>
      <c r="S36567"/>
      <c r="T36567"/>
      <c r="U36567"/>
      <c r="X36567" s="60"/>
    </row>
    <row r="36568" spans="7:24" ht="15" customHeight="1">
      <c r="G36568"/>
      <c r="I36568"/>
      <c r="N36568"/>
      <c r="O36568" s="24"/>
      <c r="P36568"/>
      <c r="Q36568" s="24"/>
      <c r="R36568"/>
      <c r="S36568"/>
      <c r="T36568"/>
      <c r="U36568"/>
      <c r="X36568" s="60"/>
    </row>
    <row r="36569" spans="7:24" ht="15" customHeight="1">
      <c r="G36569"/>
      <c r="I36569"/>
      <c r="N36569"/>
      <c r="O36569" s="24"/>
      <c r="P36569"/>
      <c r="Q36569" s="24"/>
      <c r="R36569"/>
      <c r="S36569"/>
      <c r="T36569"/>
      <c r="U36569"/>
      <c r="X36569" s="60"/>
    </row>
    <row r="36570" spans="7:24" ht="15" customHeight="1">
      <c r="G36570"/>
      <c r="I36570"/>
      <c r="N36570"/>
      <c r="O36570" s="24"/>
      <c r="P36570"/>
      <c r="Q36570" s="24"/>
      <c r="R36570"/>
      <c r="S36570"/>
      <c r="T36570"/>
      <c r="U36570"/>
      <c r="X36570" s="60"/>
    </row>
    <row r="36571" spans="7:24" ht="15" customHeight="1">
      <c r="G36571"/>
      <c r="I36571"/>
      <c r="N36571"/>
      <c r="O36571" s="24"/>
      <c r="P36571"/>
      <c r="Q36571" s="24"/>
      <c r="R36571"/>
      <c r="S36571"/>
      <c r="T36571"/>
      <c r="U36571"/>
      <c r="X36571" s="60"/>
    </row>
    <row r="36572" spans="7:24" ht="15" customHeight="1">
      <c r="G36572"/>
      <c r="I36572"/>
      <c r="N36572"/>
      <c r="O36572" s="24"/>
      <c r="P36572"/>
      <c r="Q36572" s="24"/>
      <c r="R36572"/>
      <c r="S36572"/>
      <c r="T36572"/>
      <c r="U36572"/>
      <c r="X36572" s="60"/>
    </row>
    <row r="36573" spans="7:24" ht="15" customHeight="1">
      <c r="G36573"/>
      <c r="I36573"/>
      <c r="N36573"/>
      <c r="O36573" s="24"/>
      <c r="P36573"/>
      <c r="Q36573" s="24"/>
      <c r="R36573"/>
      <c r="S36573"/>
      <c r="T36573"/>
      <c r="U36573"/>
      <c r="X36573" s="60"/>
    </row>
    <row r="36574" spans="7:24" ht="15" customHeight="1">
      <c r="G36574"/>
      <c r="I36574"/>
      <c r="N36574"/>
      <c r="O36574" s="24"/>
      <c r="P36574"/>
      <c r="Q36574" s="24"/>
      <c r="R36574"/>
      <c r="S36574"/>
      <c r="T36574"/>
      <c r="U36574"/>
      <c r="X36574" s="60"/>
    </row>
    <row r="36575" spans="7:24" ht="15" customHeight="1">
      <c r="G36575"/>
      <c r="I36575"/>
      <c r="N36575"/>
      <c r="O36575" s="24"/>
      <c r="P36575"/>
      <c r="Q36575" s="24"/>
      <c r="R36575"/>
      <c r="S36575"/>
      <c r="T36575"/>
      <c r="U36575"/>
      <c r="X36575" s="60"/>
    </row>
    <row r="36576" spans="7:24" ht="15" customHeight="1">
      <c r="G36576"/>
      <c r="I36576"/>
      <c r="N36576"/>
      <c r="O36576" s="24"/>
      <c r="P36576"/>
      <c r="Q36576" s="24"/>
      <c r="R36576"/>
      <c r="S36576"/>
      <c r="T36576"/>
      <c r="U36576"/>
      <c r="X36576" s="60"/>
    </row>
    <row r="36577" spans="7:24" ht="15" customHeight="1">
      <c r="G36577"/>
      <c r="I36577"/>
      <c r="N36577"/>
      <c r="O36577" s="24"/>
      <c r="P36577"/>
      <c r="Q36577" s="24"/>
      <c r="R36577"/>
      <c r="S36577"/>
      <c r="T36577"/>
      <c r="U36577"/>
      <c r="X36577" s="60"/>
    </row>
    <row r="36578" spans="7:24" ht="15" customHeight="1">
      <c r="G36578"/>
      <c r="I36578"/>
      <c r="N36578"/>
      <c r="O36578" s="24"/>
      <c r="P36578"/>
      <c r="Q36578" s="24"/>
      <c r="R36578"/>
      <c r="S36578"/>
      <c r="T36578"/>
      <c r="U36578"/>
      <c r="X36578" s="60"/>
    </row>
    <row r="36579" spans="7:24" ht="15" customHeight="1">
      <c r="G36579"/>
      <c r="I36579"/>
      <c r="N36579"/>
      <c r="O36579" s="24"/>
      <c r="P36579"/>
      <c r="Q36579" s="24"/>
      <c r="R36579"/>
      <c r="S36579"/>
      <c r="T36579"/>
      <c r="U36579"/>
      <c r="X36579" s="60"/>
    </row>
    <row r="36580" spans="7:24" ht="15" customHeight="1">
      <c r="G36580"/>
      <c r="I36580"/>
      <c r="N36580"/>
      <c r="O36580" s="24"/>
      <c r="P36580"/>
      <c r="Q36580" s="24"/>
      <c r="R36580"/>
      <c r="S36580"/>
      <c r="T36580"/>
      <c r="U36580"/>
      <c r="X36580" s="60"/>
    </row>
    <row r="36581" spans="7:24" ht="15" customHeight="1">
      <c r="G36581"/>
      <c r="I36581"/>
      <c r="N36581"/>
      <c r="O36581" s="24"/>
      <c r="P36581"/>
      <c r="Q36581" s="24"/>
      <c r="R36581"/>
      <c r="S36581"/>
      <c r="T36581"/>
      <c r="U36581"/>
      <c r="X36581" s="60"/>
    </row>
    <row r="36582" spans="7:24" ht="15" customHeight="1">
      <c r="G36582"/>
      <c r="I36582"/>
      <c r="N36582"/>
      <c r="O36582" s="24"/>
      <c r="P36582"/>
      <c r="Q36582" s="24"/>
      <c r="R36582"/>
      <c r="S36582"/>
      <c r="T36582"/>
      <c r="U36582"/>
      <c r="X36582" s="60"/>
    </row>
    <row r="36583" spans="7:24" ht="15" customHeight="1">
      <c r="G36583"/>
      <c r="I36583"/>
      <c r="N36583"/>
      <c r="O36583" s="24"/>
      <c r="P36583"/>
      <c r="Q36583" s="24"/>
      <c r="R36583"/>
      <c r="S36583"/>
      <c r="T36583"/>
      <c r="U36583"/>
      <c r="X36583" s="60"/>
    </row>
    <row r="36584" spans="7:24" ht="15" customHeight="1">
      <c r="G36584"/>
      <c r="I36584"/>
      <c r="N36584"/>
      <c r="O36584" s="24"/>
      <c r="P36584"/>
      <c r="Q36584" s="24"/>
      <c r="R36584"/>
      <c r="S36584"/>
      <c r="T36584"/>
      <c r="U36584"/>
      <c r="X36584" s="60"/>
    </row>
    <row r="36585" spans="7:24" ht="15" customHeight="1">
      <c r="G36585"/>
      <c r="I36585"/>
      <c r="N36585"/>
      <c r="O36585" s="24"/>
      <c r="P36585"/>
      <c r="Q36585" s="24"/>
      <c r="R36585"/>
      <c r="S36585"/>
      <c r="T36585"/>
      <c r="U36585"/>
      <c r="X36585" s="60"/>
    </row>
    <row r="36586" spans="7:24" ht="15" customHeight="1">
      <c r="G36586"/>
      <c r="I36586"/>
      <c r="N36586"/>
      <c r="O36586" s="24"/>
      <c r="P36586"/>
      <c r="Q36586" s="24"/>
      <c r="R36586"/>
      <c r="S36586"/>
      <c r="T36586"/>
      <c r="U36586"/>
      <c r="X36586" s="60"/>
    </row>
    <row r="36587" spans="7:24" ht="15" customHeight="1">
      <c r="G36587"/>
      <c r="I36587"/>
      <c r="N36587"/>
      <c r="O36587" s="24"/>
      <c r="P36587"/>
      <c r="Q36587" s="24"/>
      <c r="R36587"/>
      <c r="S36587"/>
      <c r="T36587"/>
      <c r="U36587"/>
      <c r="X36587" s="60"/>
    </row>
    <row r="36588" spans="7:24" ht="15" customHeight="1">
      <c r="G36588"/>
      <c r="I36588"/>
      <c r="N36588"/>
      <c r="O36588" s="24"/>
      <c r="P36588"/>
      <c r="Q36588" s="24"/>
      <c r="R36588"/>
      <c r="S36588"/>
      <c r="T36588"/>
      <c r="U36588"/>
      <c r="X36588" s="60"/>
    </row>
    <row r="36589" spans="7:24" ht="15" customHeight="1">
      <c r="G36589"/>
      <c r="I36589"/>
      <c r="N36589"/>
      <c r="O36589" s="24"/>
      <c r="P36589"/>
      <c r="Q36589" s="24"/>
      <c r="R36589"/>
      <c r="S36589"/>
      <c r="T36589"/>
      <c r="U36589"/>
      <c r="X36589" s="60"/>
    </row>
    <row r="36590" spans="7:24" ht="15" customHeight="1">
      <c r="G36590"/>
      <c r="I36590"/>
      <c r="N36590"/>
      <c r="O36590" s="24"/>
      <c r="P36590"/>
      <c r="Q36590" s="24"/>
      <c r="R36590"/>
      <c r="S36590"/>
      <c r="T36590"/>
      <c r="U36590"/>
      <c r="X36590" s="60"/>
    </row>
    <row r="36591" spans="7:24" ht="15" customHeight="1">
      <c r="G36591"/>
      <c r="I36591"/>
      <c r="N36591"/>
      <c r="O36591" s="24"/>
      <c r="P36591"/>
      <c r="Q36591" s="24"/>
      <c r="R36591"/>
      <c r="S36591"/>
      <c r="T36591"/>
      <c r="U36591"/>
      <c r="X36591" s="60"/>
    </row>
    <row r="36592" spans="7:24" ht="15" customHeight="1">
      <c r="G36592"/>
      <c r="I36592"/>
      <c r="N36592"/>
      <c r="O36592" s="24"/>
      <c r="P36592"/>
      <c r="Q36592" s="24"/>
      <c r="R36592"/>
      <c r="S36592"/>
      <c r="T36592"/>
      <c r="U36592"/>
      <c r="X36592" s="60"/>
    </row>
    <row r="36593" spans="7:24" ht="15" customHeight="1">
      <c r="G36593"/>
      <c r="I36593"/>
      <c r="N36593"/>
      <c r="O36593" s="24"/>
      <c r="P36593"/>
      <c r="Q36593" s="24"/>
      <c r="R36593"/>
      <c r="S36593"/>
      <c r="T36593"/>
      <c r="U36593"/>
      <c r="X36593" s="60"/>
    </row>
    <row r="36594" spans="7:24" ht="15" customHeight="1">
      <c r="G36594"/>
      <c r="I36594"/>
      <c r="N36594"/>
      <c r="O36594" s="24"/>
      <c r="P36594"/>
      <c r="Q36594" s="24"/>
      <c r="R36594"/>
      <c r="S36594"/>
      <c r="T36594"/>
      <c r="U36594"/>
      <c r="X36594" s="60"/>
    </row>
    <row r="36595" spans="7:24" ht="15" customHeight="1">
      <c r="G36595"/>
      <c r="I36595"/>
      <c r="N36595"/>
      <c r="O36595" s="24"/>
      <c r="P36595"/>
      <c r="Q36595" s="24"/>
      <c r="R36595"/>
      <c r="S36595"/>
      <c r="T36595"/>
      <c r="U36595"/>
      <c r="X36595" s="60"/>
    </row>
    <row r="36596" spans="7:24" ht="15" customHeight="1">
      <c r="G36596"/>
      <c r="I36596"/>
      <c r="N36596"/>
      <c r="O36596" s="24"/>
      <c r="P36596"/>
      <c r="Q36596" s="24"/>
      <c r="R36596"/>
      <c r="S36596"/>
      <c r="T36596"/>
      <c r="U36596"/>
      <c r="X36596" s="60"/>
    </row>
    <row r="36597" spans="7:24" ht="15" customHeight="1">
      <c r="G36597"/>
      <c r="I36597"/>
      <c r="N36597"/>
      <c r="O36597" s="24"/>
      <c r="P36597"/>
      <c r="Q36597" s="24"/>
      <c r="R36597"/>
      <c r="S36597"/>
      <c r="T36597"/>
      <c r="U36597"/>
      <c r="X36597" s="60"/>
    </row>
    <row r="36598" spans="7:24" ht="15" customHeight="1">
      <c r="G36598"/>
      <c r="I36598"/>
      <c r="N36598"/>
      <c r="O36598" s="24"/>
      <c r="P36598"/>
      <c r="Q36598" s="24"/>
      <c r="R36598"/>
      <c r="S36598"/>
      <c r="T36598"/>
      <c r="U36598"/>
      <c r="X36598" s="60"/>
    </row>
    <row r="36599" spans="7:24" ht="15" customHeight="1">
      <c r="G36599"/>
      <c r="I36599"/>
      <c r="N36599"/>
      <c r="O36599" s="24"/>
      <c r="P36599"/>
      <c r="Q36599" s="24"/>
      <c r="R36599"/>
      <c r="S36599"/>
      <c r="T36599"/>
      <c r="U36599"/>
      <c r="X36599" s="60"/>
    </row>
    <row r="36600" spans="7:24" ht="15" customHeight="1">
      <c r="G36600"/>
      <c r="I36600"/>
      <c r="N36600"/>
      <c r="O36600" s="24"/>
      <c r="P36600"/>
      <c r="Q36600" s="24"/>
      <c r="R36600"/>
      <c r="S36600"/>
      <c r="T36600"/>
      <c r="U36600"/>
      <c r="X36600" s="60"/>
    </row>
    <row r="36601" spans="7:24" ht="15" customHeight="1">
      <c r="G36601"/>
      <c r="I36601"/>
      <c r="N36601"/>
      <c r="O36601" s="24"/>
      <c r="P36601"/>
      <c r="Q36601" s="24"/>
      <c r="R36601"/>
      <c r="S36601"/>
      <c r="T36601"/>
      <c r="U36601"/>
      <c r="X36601" s="60"/>
    </row>
    <row r="36602" spans="7:24" ht="15" customHeight="1">
      <c r="G36602"/>
      <c r="I36602"/>
      <c r="N36602"/>
      <c r="O36602" s="24"/>
      <c r="P36602"/>
      <c r="Q36602" s="24"/>
      <c r="R36602"/>
      <c r="S36602"/>
      <c r="T36602"/>
      <c r="U36602"/>
      <c r="X36602" s="60"/>
    </row>
    <row r="36603" spans="7:24" ht="15" customHeight="1">
      <c r="G36603"/>
      <c r="I36603"/>
      <c r="N36603"/>
      <c r="O36603" s="24"/>
      <c r="P36603"/>
      <c r="Q36603" s="24"/>
      <c r="R36603"/>
      <c r="S36603"/>
      <c r="T36603"/>
      <c r="U36603"/>
      <c r="X36603" s="60"/>
    </row>
    <row r="36604" spans="7:24" ht="15" customHeight="1">
      <c r="G36604"/>
      <c r="I36604"/>
      <c r="N36604"/>
      <c r="O36604" s="24"/>
      <c r="P36604"/>
      <c r="Q36604" s="24"/>
      <c r="R36604"/>
      <c r="S36604"/>
      <c r="T36604"/>
      <c r="U36604"/>
      <c r="X36604" s="60"/>
    </row>
    <row r="36605" spans="7:24" ht="15" customHeight="1">
      <c r="G36605"/>
      <c r="I36605"/>
      <c r="N36605"/>
      <c r="O36605" s="24"/>
      <c r="P36605"/>
      <c r="Q36605" s="24"/>
      <c r="R36605"/>
      <c r="S36605"/>
      <c r="T36605"/>
      <c r="U36605"/>
      <c r="X36605" s="60"/>
    </row>
    <row r="36606" spans="7:24" ht="15" customHeight="1">
      <c r="G36606"/>
      <c r="I36606"/>
      <c r="N36606"/>
      <c r="O36606" s="24"/>
      <c r="P36606"/>
      <c r="Q36606" s="24"/>
      <c r="R36606"/>
      <c r="S36606"/>
      <c r="T36606"/>
      <c r="U36606"/>
      <c r="X36606" s="60"/>
    </row>
    <row r="36607" spans="7:24" ht="15" customHeight="1">
      <c r="G36607"/>
      <c r="I36607"/>
      <c r="N36607"/>
      <c r="O36607" s="24"/>
      <c r="P36607"/>
      <c r="Q36607" s="24"/>
      <c r="R36607"/>
      <c r="S36607"/>
      <c r="T36607"/>
      <c r="U36607"/>
      <c r="X36607" s="60"/>
    </row>
    <row r="36608" spans="7:24" ht="15" customHeight="1">
      <c r="G36608"/>
      <c r="I36608"/>
      <c r="N36608"/>
      <c r="O36608" s="24"/>
      <c r="P36608"/>
      <c r="Q36608" s="24"/>
      <c r="R36608"/>
      <c r="S36608"/>
      <c r="T36608"/>
      <c r="U36608"/>
      <c r="X36608" s="60"/>
    </row>
    <row r="36609" spans="7:24" ht="15" customHeight="1">
      <c r="G36609"/>
      <c r="I36609"/>
      <c r="N36609"/>
      <c r="O36609" s="24"/>
      <c r="P36609"/>
      <c r="Q36609" s="24"/>
      <c r="R36609"/>
      <c r="S36609"/>
      <c r="T36609"/>
      <c r="U36609"/>
      <c r="X36609" s="60"/>
    </row>
    <row r="36610" spans="7:24" ht="15" customHeight="1">
      <c r="G36610"/>
      <c r="I36610"/>
      <c r="N36610"/>
      <c r="O36610" s="24"/>
      <c r="P36610"/>
      <c r="Q36610" s="24"/>
      <c r="R36610"/>
      <c r="S36610"/>
      <c r="T36610"/>
      <c r="U36610"/>
      <c r="X36610" s="60"/>
    </row>
    <row r="36611" spans="7:24" ht="15" customHeight="1">
      <c r="G36611"/>
      <c r="I36611"/>
      <c r="N36611"/>
      <c r="O36611" s="24"/>
      <c r="P36611"/>
      <c r="Q36611" s="24"/>
      <c r="R36611"/>
      <c r="S36611"/>
      <c r="T36611"/>
      <c r="U36611"/>
      <c r="X36611" s="60"/>
    </row>
    <row r="36612" spans="7:24" ht="15" customHeight="1">
      <c r="G36612"/>
      <c r="I36612"/>
      <c r="N36612"/>
      <c r="O36612" s="24"/>
      <c r="P36612"/>
      <c r="Q36612" s="24"/>
      <c r="R36612"/>
      <c r="S36612"/>
      <c r="T36612"/>
      <c r="U36612"/>
      <c r="X36612" s="60"/>
    </row>
    <row r="36613" spans="7:24" ht="15" customHeight="1">
      <c r="G36613"/>
      <c r="I36613"/>
      <c r="N36613"/>
      <c r="O36613" s="24"/>
      <c r="P36613"/>
      <c r="Q36613" s="24"/>
      <c r="R36613"/>
      <c r="S36613"/>
      <c r="T36613"/>
      <c r="U36613"/>
      <c r="X36613" s="60"/>
    </row>
    <row r="36614" spans="7:24" ht="15" customHeight="1">
      <c r="G36614"/>
      <c r="I36614"/>
      <c r="N36614"/>
      <c r="O36614" s="24"/>
      <c r="P36614"/>
      <c r="Q36614" s="24"/>
      <c r="R36614"/>
      <c r="S36614"/>
      <c r="T36614"/>
      <c r="U36614"/>
      <c r="X36614" s="60"/>
    </row>
    <row r="36615" spans="7:24" ht="15" customHeight="1">
      <c r="G36615"/>
      <c r="I36615"/>
      <c r="N36615"/>
      <c r="O36615" s="24"/>
      <c r="P36615"/>
      <c r="Q36615" s="24"/>
      <c r="R36615"/>
      <c r="S36615"/>
      <c r="T36615"/>
      <c r="U36615"/>
      <c r="X36615" s="60"/>
    </row>
    <row r="36616" spans="7:24" ht="15" customHeight="1">
      <c r="G36616"/>
      <c r="I36616"/>
      <c r="N36616"/>
      <c r="O36616" s="24"/>
      <c r="P36616"/>
      <c r="Q36616" s="24"/>
      <c r="R36616"/>
      <c r="S36616"/>
      <c r="T36616"/>
      <c r="U36616"/>
      <c r="X36616" s="60"/>
    </row>
    <row r="36617" spans="7:24" ht="15" customHeight="1">
      <c r="G36617"/>
      <c r="I36617"/>
      <c r="N36617"/>
      <c r="O36617" s="24"/>
      <c r="P36617"/>
      <c r="Q36617" s="24"/>
      <c r="R36617"/>
      <c r="S36617"/>
      <c r="T36617"/>
      <c r="U36617"/>
      <c r="X36617" s="60"/>
    </row>
    <row r="36618" spans="7:24" ht="15" customHeight="1">
      <c r="G36618"/>
      <c r="I36618"/>
      <c r="N36618"/>
      <c r="O36618" s="24"/>
      <c r="P36618"/>
      <c r="Q36618" s="24"/>
      <c r="R36618"/>
      <c r="S36618"/>
      <c r="T36618"/>
      <c r="U36618"/>
      <c r="X36618" s="60"/>
    </row>
    <row r="36619" spans="7:24" ht="15" customHeight="1">
      <c r="G36619"/>
      <c r="I36619"/>
      <c r="N36619"/>
      <c r="O36619" s="24"/>
      <c r="P36619"/>
      <c r="Q36619" s="24"/>
      <c r="R36619"/>
      <c r="S36619"/>
      <c r="T36619"/>
      <c r="U36619"/>
      <c r="X36619" s="60"/>
    </row>
    <row r="36620" spans="7:24" ht="15" customHeight="1">
      <c r="G36620"/>
      <c r="I36620"/>
      <c r="N36620"/>
      <c r="O36620" s="24"/>
      <c r="P36620"/>
      <c r="Q36620" s="24"/>
      <c r="R36620"/>
      <c r="S36620"/>
      <c r="T36620"/>
      <c r="U36620"/>
      <c r="X36620" s="60"/>
    </row>
    <row r="36621" spans="7:24" ht="15" customHeight="1">
      <c r="G36621"/>
      <c r="I36621"/>
      <c r="N36621"/>
      <c r="O36621" s="24"/>
      <c r="P36621"/>
      <c r="Q36621" s="24"/>
      <c r="R36621"/>
      <c r="S36621"/>
      <c r="T36621"/>
      <c r="U36621"/>
      <c r="X36621" s="60"/>
    </row>
    <row r="36622" spans="7:24" ht="15" customHeight="1">
      <c r="G36622"/>
      <c r="I36622"/>
      <c r="N36622"/>
      <c r="O36622" s="24"/>
      <c r="P36622"/>
      <c r="Q36622" s="24"/>
      <c r="R36622"/>
      <c r="S36622"/>
      <c r="T36622"/>
      <c r="U36622"/>
      <c r="X36622" s="60"/>
    </row>
    <row r="36623" spans="7:24" ht="15" customHeight="1">
      <c r="G36623"/>
      <c r="I36623"/>
      <c r="N36623"/>
      <c r="O36623" s="24"/>
      <c r="P36623"/>
      <c r="Q36623" s="24"/>
      <c r="R36623"/>
      <c r="S36623"/>
      <c r="T36623"/>
      <c r="U36623"/>
      <c r="X36623" s="60"/>
    </row>
    <row r="36624" spans="7:24" ht="15" customHeight="1">
      <c r="G36624"/>
      <c r="I36624"/>
      <c r="N36624"/>
      <c r="O36624" s="24"/>
      <c r="P36624"/>
      <c r="Q36624" s="24"/>
      <c r="R36624"/>
      <c r="S36624"/>
      <c r="T36624"/>
      <c r="U36624"/>
      <c r="X36624" s="60"/>
    </row>
    <row r="36625" spans="7:24" ht="15" customHeight="1">
      <c r="G36625"/>
      <c r="I36625"/>
      <c r="N36625"/>
      <c r="O36625" s="24"/>
      <c r="P36625"/>
      <c r="Q36625" s="24"/>
      <c r="R36625"/>
      <c r="S36625"/>
      <c r="T36625"/>
      <c r="U36625"/>
      <c r="X36625" s="60"/>
    </row>
    <row r="36626" spans="7:24" ht="15" customHeight="1">
      <c r="G36626"/>
      <c r="I36626"/>
      <c r="N36626"/>
      <c r="O36626" s="24"/>
      <c r="P36626"/>
      <c r="Q36626" s="24"/>
      <c r="R36626"/>
      <c r="S36626"/>
      <c r="T36626"/>
      <c r="U36626"/>
      <c r="X36626" s="60"/>
    </row>
    <row r="36627" spans="7:24" ht="15" customHeight="1">
      <c r="G36627"/>
      <c r="I36627"/>
      <c r="N36627"/>
      <c r="O36627" s="24"/>
      <c r="P36627"/>
      <c r="Q36627" s="24"/>
      <c r="R36627"/>
      <c r="S36627"/>
      <c r="T36627"/>
      <c r="U36627"/>
      <c r="X36627" s="60"/>
    </row>
    <row r="36628" spans="7:24" ht="15" customHeight="1">
      <c r="G36628"/>
      <c r="I36628"/>
      <c r="N36628"/>
      <c r="O36628" s="24"/>
      <c r="P36628"/>
      <c r="Q36628" s="24"/>
      <c r="R36628"/>
      <c r="S36628"/>
      <c r="T36628"/>
      <c r="U36628"/>
      <c r="X36628" s="60"/>
    </row>
    <row r="36629" spans="7:24" ht="15" customHeight="1">
      <c r="G36629"/>
      <c r="I36629"/>
      <c r="N36629"/>
      <c r="O36629" s="24"/>
      <c r="P36629"/>
      <c r="Q36629" s="24"/>
      <c r="R36629"/>
      <c r="S36629"/>
      <c r="T36629"/>
      <c r="U36629"/>
      <c r="X36629" s="60"/>
    </row>
    <row r="36630" spans="7:24" ht="15" customHeight="1">
      <c r="G36630"/>
      <c r="I36630"/>
      <c r="N36630"/>
      <c r="O36630" s="24"/>
      <c r="P36630"/>
      <c r="Q36630" s="24"/>
      <c r="R36630"/>
      <c r="S36630"/>
      <c r="T36630"/>
      <c r="U36630"/>
      <c r="X36630" s="60"/>
    </row>
    <row r="36631" spans="7:24" ht="15" customHeight="1">
      <c r="G36631"/>
      <c r="I36631"/>
      <c r="N36631"/>
      <c r="O36631" s="24"/>
      <c r="P36631"/>
      <c r="Q36631" s="24"/>
      <c r="R36631"/>
      <c r="S36631"/>
      <c r="T36631"/>
      <c r="U36631"/>
      <c r="X36631" s="60"/>
    </row>
    <row r="36632" spans="7:24" ht="15" customHeight="1">
      <c r="G36632"/>
      <c r="I36632"/>
      <c r="N36632"/>
      <c r="O36632" s="24"/>
      <c r="P36632"/>
      <c r="Q36632" s="24"/>
      <c r="R36632"/>
      <c r="S36632"/>
      <c r="T36632"/>
      <c r="U36632"/>
      <c r="X36632" s="60"/>
    </row>
    <row r="36633" spans="7:24" ht="15" customHeight="1">
      <c r="G36633"/>
      <c r="I36633"/>
      <c r="N36633"/>
      <c r="O36633" s="24"/>
      <c r="P36633"/>
      <c r="Q36633" s="24"/>
      <c r="R36633"/>
      <c r="S36633"/>
      <c r="T36633"/>
      <c r="U36633"/>
      <c r="X36633" s="60"/>
    </row>
    <row r="36634" spans="7:24" ht="15" customHeight="1">
      <c r="G36634"/>
      <c r="I36634"/>
      <c r="N36634"/>
      <c r="O36634" s="24"/>
      <c r="P36634"/>
      <c r="Q36634" s="24"/>
      <c r="R36634"/>
      <c r="S36634"/>
      <c r="T36634"/>
      <c r="U36634"/>
      <c r="X36634" s="60"/>
    </row>
    <row r="36635" spans="7:24" ht="15" customHeight="1">
      <c r="G36635"/>
      <c r="I36635"/>
      <c r="N36635"/>
      <c r="O36635" s="24"/>
      <c r="P36635"/>
      <c r="Q36635" s="24"/>
      <c r="R36635"/>
      <c r="S36635"/>
      <c r="T36635"/>
      <c r="U36635"/>
      <c r="X36635" s="60"/>
    </row>
    <row r="36636" spans="7:24" ht="15" customHeight="1">
      <c r="G36636"/>
      <c r="I36636"/>
      <c r="N36636"/>
      <c r="O36636" s="24"/>
      <c r="P36636"/>
      <c r="Q36636" s="24"/>
      <c r="R36636"/>
      <c r="S36636"/>
      <c r="T36636"/>
      <c r="U36636"/>
      <c r="X36636" s="60"/>
    </row>
    <row r="36637" spans="7:24" ht="15" customHeight="1">
      <c r="G36637"/>
      <c r="I36637"/>
      <c r="N36637"/>
      <c r="O36637" s="24"/>
      <c r="P36637"/>
      <c r="Q36637" s="24"/>
      <c r="R36637"/>
      <c r="S36637"/>
      <c r="T36637"/>
      <c r="U36637"/>
      <c r="X36637" s="60"/>
    </row>
    <row r="36638" spans="7:24" ht="15" customHeight="1">
      <c r="G36638"/>
      <c r="I36638"/>
      <c r="N36638"/>
      <c r="O36638" s="24"/>
      <c r="P36638"/>
      <c r="Q36638" s="24"/>
      <c r="R36638"/>
      <c r="S36638"/>
      <c r="T36638"/>
      <c r="U36638"/>
      <c r="X36638" s="60"/>
    </row>
    <row r="36639" spans="7:24" ht="15" customHeight="1">
      <c r="G36639"/>
      <c r="I36639"/>
      <c r="N36639"/>
      <c r="O36639" s="24"/>
      <c r="P36639"/>
      <c r="Q36639" s="24"/>
      <c r="R36639"/>
      <c r="S36639"/>
      <c r="T36639"/>
      <c r="U36639"/>
      <c r="X36639" s="60"/>
    </row>
    <row r="36640" spans="7:24" ht="15" customHeight="1">
      <c r="G36640"/>
      <c r="I36640"/>
      <c r="N36640"/>
      <c r="O36640" s="24"/>
      <c r="P36640"/>
      <c r="Q36640" s="24"/>
      <c r="R36640"/>
      <c r="S36640"/>
      <c r="T36640"/>
      <c r="U36640"/>
      <c r="X36640" s="60"/>
    </row>
    <row r="36641" spans="7:24" ht="15" customHeight="1">
      <c r="G36641"/>
      <c r="I36641"/>
      <c r="N36641"/>
      <c r="O36641" s="24"/>
      <c r="P36641"/>
      <c r="Q36641" s="24"/>
      <c r="R36641"/>
      <c r="S36641"/>
      <c r="T36641"/>
      <c r="U36641"/>
      <c r="X36641" s="60"/>
    </row>
    <row r="36642" spans="7:24" ht="15" customHeight="1">
      <c r="G36642"/>
      <c r="I36642"/>
      <c r="N36642"/>
      <c r="O36642" s="24"/>
      <c r="P36642"/>
      <c r="Q36642" s="24"/>
      <c r="R36642"/>
      <c r="S36642"/>
      <c r="T36642"/>
      <c r="U36642"/>
      <c r="X36642" s="60"/>
    </row>
    <row r="36643" spans="7:24" ht="15" customHeight="1">
      <c r="G36643"/>
      <c r="I36643"/>
      <c r="N36643"/>
      <c r="O36643" s="24"/>
      <c r="P36643"/>
      <c r="Q36643" s="24"/>
      <c r="R36643"/>
      <c r="S36643"/>
      <c r="T36643"/>
      <c r="U36643"/>
      <c r="X36643" s="60"/>
    </row>
    <row r="36644" spans="7:24" ht="15" customHeight="1">
      <c r="G36644"/>
      <c r="I36644"/>
      <c r="N36644"/>
      <c r="O36644" s="24"/>
      <c r="P36644"/>
      <c r="Q36644" s="24"/>
      <c r="R36644"/>
      <c r="S36644"/>
      <c r="T36644"/>
      <c r="U36644"/>
      <c r="X36644" s="60"/>
    </row>
    <row r="36645" spans="7:24" ht="15" customHeight="1">
      <c r="G36645"/>
      <c r="I36645"/>
      <c r="N36645"/>
      <c r="O36645" s="24"/>
      <c r="P36645"/>
      <c r="Q36645" s="24"/>
      <c r="R36645"/>
      <c r="S36645"/>
      <c r="T36645"/>
      <c r="U36645"/>
      <c r="X36645" s="60"/>
    </row>
    <row r="36646" spans="7:24" ht="15" customHeight="1">
      <c r="G36646"/>
      <c r="I36646"/>
      <c r="N36646"/>
      <c r="O36646" s="24"/>
      <c r="P36646"/>
      <c r="Q36646" s="24"/>
      <c r="R36646"/>
      <c r="S36646"/>
      <c r="T36646"/>
      <c r="U36646"/>
      <c r="X36646" s="60"/>
    </row>
    <row r="36647" spans="7:24" ht="15" customHeight="1">
      <c r="G36647"/>
      <c r="I36647"/>
      <c r="N36647"/>
      <c r="O36647" s="24"/>
      <c r="P36647"/>
      <c r="Q36647" s="24"/>
      <c r="R36647"/>
      <c r="S36647"/>
      <c r="T36647"/>
      <c r="U36647"/>
      <c r="X36647" s="60"/>
    </row>
    <row r="36648" spans="7:24" ht="15" customHeight="1">
      <c r="G36648"/>
      <c r="I36648"/>
      <c r="N36648"/>
      <c r="O36648" s="24"/>
      <c r="P36648"/>
      <c r="Q36648" s="24"/>
      <c r="R36648"/>
      <c r="S36648"/>
      <c r="T36648"/>
      <c r="U36648"/>
      <c r="X36648" s="60"/>
    </row>
    <row r="36649" spans="7:24" ht="15" customHeight="1">
      <c r="G36649"/>
      <c r="I36649"/>
      <c r="N36649"/>
      <c r="O36649" s="24"/>
      <c r="P36649"/>
      <c r="Q36649" s="24"/>
      <c r="R36649"/>
      <c r="S36649"/>
      <c r="T36649"/>
      <c r="U36649"/>
      <c r="X36649" s="60"/>
    </row>
    <row r="36650" spans="7:24" ht="15" customHeight="1">
      <c r="G36650"/>
      <c r="I36650"/>
      <c r="N36650"/>
      <c r="O36650" s="24"/>
      <c r="P36650"/>
      <c r="Q36650" s="24"/>
      <c r="R36650"/>
      <c r="S36650"/>
      <c r="T36650"/>
      <c r="U36650"/>
      <c r="X36650" s="60"/>
    </row>
    <row r="36651" spans="7:24" ht="15" customHeight="1">
      <c r="G36651"/>
      <c r="I36651"/>
      <c r="N36651"/>
      <c r="O36651" s="24"/>
      <c r="P36651"/>
      <c r="Q36651" s="24"/>
      <c r="R36651"/>
      <c r="S36651"/>
      <c r="T36651"/>
      <c r="U36651"/>
      <c r="X36651" s="60"/>
    </row>
    <row r="36652" spans="7:24" ht="15" customHeight="1">
      <c r="G36652"/>
      <c r="I36652"/>
      <c r="N36652"/>
      <c r="O36652" s="24"/>
      <c r="P36652"/>
      <c r="Q36652" s="24"/>
      <c r="R36652"/>
      <c r="S36652"/>
      <c r="T36652"/>
      <c r="U36652"/>
      <c r="X36652" s="60"/>
    </row>
    <row r="36653" spans="7:24" ht="15" customHeight="1">
      <c r="G36653"/>
      <c r="I36653"/>
      <c r="N36653"/>
      <c r="O36653" s="24"/>
      <c r="P36653"/>
      <c r="Q36653" s="24"/>
      <c r="R36653"/>
      <c r="S36653"/>
      <c r="T36653"/>
      <c r="U36653"/>
      <c r="X36653" s="60"/>
    </row>
    <row r="36654" spans="7:24" ht="15" customHeight="1">
      <c r="G36654"/>
      <c r="I36654"/>
      <c r="N36654"/>
      <c r="O36654" s="24"/>
      <c r="P36654"/>
      <c r="Q36654" s="24"/>
      <c r="R36654"/>
      <c r="S36654"/>
      <c r="T36654"/>
      <c r="U36654"/>
      <c r="X36654" s="60"/>
    </row>
    <row r="36655" spans="7:24" ht="15" customHeight="1">
      <c r="G36655"/>
      <c r="I36655"/>
      <c r="N36655"/>
      <c r="O36655" s="24"/>
      <c r="P36655"/>
      <c r="Q36655" s="24"/>
      <c r="R36655"/>
      <c r="S36655"/>
      <c r="T36655"/>
      <c r="U36655"/>
      <c r="X36655" s="60"/>
    </row>
    <row r="36656" spans="7:24" ht="15" customHeight="1">
      <c r="G36656"/>
      <c r="I36656"/>
      <c r="N36656"/>
      <c r="O36656" s="24"/>
      <c r="P36656"/>
      <c r="Q36656" s="24"/>
      <c r="R36656"/>
      <c r="S36656"/>
      <c r="T36656"/>
      <c r="U36656"/>
      <c r="X36656" s="60"/>
    </row>
    <row r="36657" spans="7:24" ht="15" customHeight="1">
      <c r="G36657"/>
      <c r="I36657"/>
      <c r="N36657"/>
      <c r="O36657" s="24"/>
      <c r="P36657"/>
      <c r="Q36657" s="24"/>
      <c r="R36657"/>
      <c r="S36657"/>
      <c r="T36657"/>
      <c r="U36657"/>
      <c r="X36657" s="60"/>
    </row>
    <row r="36658" spans="7:24" ht="15" customHeight="1">
      <c r="G36658"/>
      <c r="I36658"/>
      <c r="N36658"/>
      <c r="O36658" s="24"/>
      <c r="P36658"/>
      <c r="Q36658" s="24"/>
      <c r="R36658"/>
      <c r="S36658"/>
      <c r="T36658"/>
      <c r="U36658"/>
      <c r="X36658" s="60"/>
    </row>
    <row r="36659" spans="7:24" ht="15" customHeight="1">
      <c r="G36659"/>
      <c r="I36659"/>
      <c r="N36659"/>
      <c r="O36659" s="24"/>
      <c r="P36659"/>
      <c r="Q36659" s="24"/>
      <c r="R36659"/>
      <c r="S36659"/>
      <c r="T36659"/>
      <c r="U36659"/>
      <c r="X36659" s="60"/>
    </row>
    <row r="36660" spans="7:24" ht="15" customHeight="1">
      <c r="G36660"/>
      <c r="I36660"/>
      <c r="N36660"/>
      <c r="O36660" s="24"/>
      <c r="P36660"/>
      <c r="Q36660" s="24"/>
      <c r="R36660"/>
      <c r="S36660"/>
      <c r="T36660"/>
      <c r="U36660"/>
      <c r="X36660" s="60"/>
    </row>
    <row r="36661" spans="7:24" ht="15" customHeight="1">
      <c r="G36661"/>
      <c r="I36661"/>
      <c r="N36661"/>
      <c r="O36661" s="24"/>
      <c r="P36661"/>
      <c r="Q36661" s="24"/>
      <c r="R36661"/>
      <c r="S36661"/>
      <c r="T36661"/>
      <c r="U36661"/>
      <c r="X36661" s="60"/>
    </row>
    <row r="36662" spans="7:24" ht="15" customHeight="1">
      <c r="G36662"/>
      <c r="I36662"/>
      <c r="N36662"/>
      <c r="O36662" s="24"/>
      <c r="P36662"/>
      <c r="Q36662" s="24"/>
      <c r="R36662"/>
      <c r="S36662"/>
      <c r="T36662"/>
      <c r="U36662"/>
      <c r="X36662" s="60"/>
    </row>
    <row r="36663" spans="7:24" ht="15" customHeight="1">
      <c r="G36663"/>
      <c r="I36663"/>
      <c r="N36663"/>
      <c r="O36663" s="24"/>
      <c r="P36663"/>
      <c r="Q36663" s="24"/>
      <c r="R36663"/>
      <c r="S36663"/>
      <c r="T36663"/>
      <c r="U36663"/>
      <c r="X36663" s="60"/>
    </row>
    <row r="36664" spans="7:24" ht="15" customHeight="1">
      <c r="G36664"/>
      <c r="I36664"/>
      <c r="N36664"/>
      <c r="O36664" s="24"/>
      <c r="P36664"/>
      <c r="Q36664" s="24"/>
      <c r="R36664"/>
      <c r="S36664"/>
      <c r="T36664"/>
      <c r="U36664"/>
      <c r="X36664" s="60"/>
    </row>
    <row r="36665" spans="7:24" ht="15" customHeight="1">
      <c r="G36665"/>
      <c r="I36665"/>
      <c r="N36665"/>
      <c r="O36665" s="24"/>
      <c r="P36665"/>
      <c r="Q36665" s="24"/>
      <c r="R36665"/>
      <c r="S36665"/>
      <c r="T36665"/>
      <c r="U36665"/>
      <c r="X36665" s="60"/>
    </row>
    <row r="36666" spans="7:24" ht="15" customHeight="1">
      <c r="G36666"/>
      <c r="I36666"/>
      <c r="N36666"/>
      <c r="O36666" s="24"/>
      <c r="P36666"/>
      <c r="Q36666" s="24"/>
      <c r="R36666"/>
      <c r="S36666"/>
      <c r="T36666"/>
      <c r="U36666"/>
      <c r="X36666" s="60"/>
    </row>
    <row r="36667" spans="7:24" ht="15" customHeight="1">
      <c r="G36667"/>
      <c r="I36667"/>
      <c r="N36667"/>
      <c r="O36667" s="24"/>
      <c r="P36667"/>
      <c r="Q36667" s="24"/>
      <c r="R36667"/>
      <c r="S36667"/>
      <c r="T36667"/>
      <c r="U36667"/>
      <c r="X36667" s="60"/>
    </row>
    <row r="36668" spans="7:24" ht="15" customHeight="1">
      <c r="G36668"/>
      <c r="I36668"/>
      <c r="N36668"/>
      <c r="O36668" s="24"/>
      <c r="P36668"/>
      <c r="Q36668" s="24"/>
      <c r="R36668"/>
      <c r="S36668"/>
      <c r="T36668"/>
      <c r="U36668"/>
      <c r="X36668" s="60"/>
    </row>
    <row r="36669" spans="7:24" ht="15" customHeight="1">
      <c r="G36669"/>
      <c r="I36669"/>
      <c r="N36669"/>
      <c r="O36669" s="24"/>
      <c r="P36669"/>
      <c r="Q36669" s="24"/>
      <c r="R36669"/>
      <c r="S36669"/>
      <c r="T36669"/>
      <c r="U36669"/>
      <c r="X36669" s="60"/>
    </row>
    <row r="36670" spans="7:24" ht="15" customHeight="1">
      <c r="G36670"/>
      <c r="I36670"/>
      <c r="N36670"/>
      <c r="O36670" s="24"/>
      <c r="P36670"/>
      <c r="Q36670" s="24"/>
      <c r="R36670"/>
      <c r="S36670"/>
      <c r="T36670"/>
      <c r="U36670"/>
      <c r="X36670" s="60"/>
    </row>
    <row r="36671" spans="7:24" ht="15" customHeight="1">
      <c r="G36671"/>
      <c r="I36671"/>
      <c r="N36671"/>
      <c r="O36671" s="24"/>
      <c r="P36671"/>
      <c r="Q36671" s="24"/>
      <c r="R36671"/>
      <c r="S36671"/>
      <c r="T36671"/>
      <c r="U36671"/>
      <c r="X36671" s="60"/>
    </row>
    <row r="36672" spans="7:24" ht="15" customHeight="1">
      <c r="G36672"/>
      <c r="I36672"/>
      <c r="N36672"/>
      <c r="O36672" s="24"/>
      <c r="P36672"/>
      <c r="Q36672" s="24"/>
      <c r="R36672"/>
      <c r="S36672"/>
      <c r="T36672"/>
      <c r="U36672"/>
      <c r="X36672" s="60"/>
    </row>
    <row r="36673" spans="7:24" ht="15" customHeight="1">
      <c r="G36673"/>
      <c r="I36673"/>
      <c r="N36673"/>
      <c r="O36673" s="24"/>
      <c r="P36673"/>
      <c r="Q36673" s="24"/>
      <c r="R36673"/>
      <c r="S36673"/>
      <c r="T36673"/>
      <c r="U36673"/>
      <c r="X36673" s="60"/>
    </row>
    <row r="36674" spans="7:24" ht="15" customHeight="1">
      <c r="G36674"/>
      <c r="I36674"/>
      <c r="N36674"/>
      <c r="O36674" s="24"/>
      <c r="P36674"/>
      <c r="Q36674" s="24"/>
      <c r="R36674"/>
      <c r="S36674"/>
      <c r="T36674"/>
      <c r="U36674"/>
      <c r="X36674" s="60"/>
    </row>
    <row r="36675" spans="7:24" ht="15" customHeight="1">
      <c r="G36675"/>
      <c r="I36675"/>
      <c r="N36675"/>
      <c r="O36675" s="24"/>
      <c r="P36675"/>
      <c r="Q36675" s="24"/>
      <c r="R36675"/>
      <c r="S36675"/>
      <c r="T36675"/>
      <c r="U36675"/>
      <c r="X36675" s="60"/>
    </row>
    <row r="36676" spans="7:24" ht="15" customHeight="1">
      <c r="G36676"/>
      <c r="I36676"/>
      <c r="N36676"/>
      <c r="O36676" s="24"/>
      <c r="P36676"/>
      <c r="Q36676" s="24"/>
      <c r="R36676"/>
      <c r="S36676"/>
      <c r="T36676"/>
      <c r="U36676"/>
      <c r="X36676" s="60"/>
    </row>
    <row r="36677" spans="7:24" ht="15" customHeight="1">
      <c r="G36677"/>
      <c r="I36677"/>
      <c r="N36677"/>
      <c r="O36677" s="24"/>
      <c r="P36677"/>
      <c r="Q36677" s="24"/>
      <c r="R36677"/>
      <c r="S36677"/>
      <c r="T36677"/>
      <c r="U36677"/>
      <c r="X36677" s="60"/>
    </row>
    <row r="36678" spans="7:24" ht="15" customHeight="1">
      <c r="G36678"/>
      <c r="I36678"/>
      <c r="N36678"/>
      <c r="O36678" s="24"/>
      <c r="P36678"/>
      <c r="Q36678" s="24"/>
      <c r="R36678"/>
      <c r="S36678"/>
      <c r="T36678"/>
      <c r="U36678"/>
      <c r="X36678" s="60"/>
    </row>
    <row r="36679" spans="7:24" ht="15" customHeight="1">
      <c r="G36679"/>
      <c r="I36679"/>
      <c r="N36679"/>
      <c r="O36679" s="24"/>
      <c r="P36679"/>
      <c r="Q36679" s="24"/>
      <c r="R36679"/>
      <c r="S36679"/>
      <c r="T36679"/>
      <c r="U36679"/>
      <c r="X36679" s="60"/>
    </row>
    <row r="36680" spans="7:24" ht="15" customHeight="1">
      <c r="G36680"/>
      <c r="I36680"/>
      <c r="N36680"/>
      <c r="O36680" s="24"/>
      <c r="P36680"/>
      <c r="Q36680" s="24"/>
      <c r="R36680"/>
      <c r="S36680"/>
      <c r="T36680"/>
      <c r="U36680"/>
      <c r="X36680" s="60"/>
    </row>
    <row r="36681" spans="7:24" ht="15" customHeight="1">
      <c r="G36681"/>
      <c r="I36681"/>
      <c r="N36681"/>
      <c r="O36681" s="24"/>
      <c r="P36681"/>
      <c r="Q36681" s="24"/>
      <c r="R36681"/>
      <c r="S36681"/>
      <c r="T36681"/>
      <c r="U36681"/>
      <c r="X36681" s="60"/>
    </row>
    <row r="36682" spans="7:24" ht="15" customHeight="1">
      <c r="G36682"/>
      <c r="I36682"/>
      <c r="N36682"/>
      <c r="O36682" s="24"/>
      <c r="P36682"/>
      <c r="Q36682" s="24"/>
      <c r="R36682"/>
      <c r="S36682"/>
      <c r="T36682"/>
      <c r="U36682"/>
      <c r="X36682" s="60"/>
    </row>
    <row r="36683" spans="7:24" ht="15" customHeight="1">
      <c r="G36683"/>
      <c r="I36683"/>
      <c r="N36683"/>
      <c r="O36683" s="24"/>
      <c r="P36683"/>
      <c r="Q36683" s="24"/>
      <c r="R36683"/>
      <c r="S36683"/>
      <c r="T36683"/>
      <c r="U36683"/>
      <c r="X36683" s="60"/>
    </row>
    <row r="36684" spans="7:24" ht="15" customHeight="1">
      <c r="G36684"/>
      <c r="I36684"/>
      <c r="N36684"/>
      <c r="O36684" s="24"/>
      <c r="P36684"/>
      <c r="Q36684" s="24"/>
      <c r="R36684"/>
      <c r="S36684"/>
      <c r="T36684"/>
      <c r="U36684"/>
      <c r="X36684" s="60"/>
    </row>
    <row r="36685" spans="7:24" ht="15" customHeight="1">
      <c r="G36685"/>
      <c r="I36685"/>
      <c r="N36685"/>
      <c r="O36685" s="24"/>
      <c r="P36685"/>
      <c r="Q36685" s="24"/>
      <c r="R36685"/>
      <c r="S36685"/>
      <c r="T36685"/>
      <c r="U36685"/>
      <c r="X36685" s="60"/>
    </row>
    <row r="36686" spans="7:24" ht="15" customHeight="1">
      <c r="G36686"/>
      <c r="I36686"/>
      <c r="N36686"/>
      <c r="O36686" s="24"/>
      <c r="P36686"/>
      <c r="Q36686" s="24"/>
      <c r="R36686"/>
      <c r="S36686"/>
      <c r="T36686"/>
      <c r="U36686"/>
      <c r="X36686" s="60"/>
    </row>
    <row r="36687" spans="7:24" ht="15" customHeight="1">
      <c r="G36687"/>
      <c r="I36687"/>
      <c r="N36687"/>
      <c r="O36687" s="24"/>
      <c r="P36687"/>
      <c r="Q36687" s="24"/>
      <c r="R36687"/>
      <c r="S36687"/>
      <c r="T36687"/>
      <c r="U36687"/>
      <c r="X36687" s="60"/>
    </row>
    <row r="36688" spans="7:24" ht="15" customHeight="1">
      <c r="G36688"/>
      <c r="I36688"/>
      <c r="N36688"/>
      <c r="O36688" s="24"/>
      <c r="P36688"/>
      <c r="Q36688" s="24"/>
      <c r="R36688"/>
      <c r="S36688"/>
      <c r="T36688"/>
      <c r="U36688"/>
      <c r="X36688" s="60"/>
    </row>
    <row r="36689" spans="7:24" ht="15" customHeight="1">
      <c r="G36689"/>
      <c r="I36689"/>
      <c r="N36689"/>
      <c r="O36689" s="24"/>
      <c r="P36689"/>
      <c r="Q36689" s="24"/>
      <c r="R36689"/>
      <c r="S36689"/>
      <c r="T36689"/>
      <c r="U36689"/>
      <c r="X36689" s="60"/>
    </row>
    <row r="36690" spans="7:24" ht="15" customHeight="1">
      <c r="G36690"/>
      <c r="I36690"/>
      <c r="N36690"/>
      <c r="O36690" s="24"/>
      <c r="P36690"/>
      <c r="Q36690" s="24"/>
      <c r="R36690"/>
      <c r="S36690"/>
      <c r="T36690"/>
      <c r="U36690"/>
      <c r="X36690" s="60"/>
    </row>
    <row r="36691" spans="7:24" ht="15" customHeight="1">
      <c r="G36691"/>
      <c r="I36691"/>
      <c r="N36691"/>
      <c r="O36691" s="24"/>
      <c r="P36691"/>
      <c r="Q36691" s="24"/>
      <c r="R36691"/>
      <c r="S36691"/>
      <c r="T36691"/>
      <c r="U36691"/>
      <c r="X36691" s="60"/>
    </row>
    <row r="36692" spans="7:24" ht="15" customHeight="1">
      <c r="G36692"/>
      <c r="I36692"/>
      <c r="N36692"/>
      <c r="O36692" s="24"/>
      <c r="P36692"/>
      <c r="Q36692" s="24"/>
      <c r="R36692"/>
      <c r="S36692"/>
      <c r="T36692"/>
      <c r="U36692"/>
      <c r="X36692" s="60"/>
    </row>
    <row r="36693" spans="7:24" ht="15" customHeight="1">
      <c r="G36693"/>
      <c r="I36693"/>
      <c r="N36693"/>
      <c r="O36693" s="24"/>
      <c r="P36693"/>
      <c r="Q36693" s="24"/>
      <c r="R36693"/>
      <c r="S36693"/>
      <c r="T36693"/>
      <c r="U36693"/>
      <c r="X36693" s="60"/>
    </row>
    <row r="36694" spans="7:24" ht="15" customHeight="1">
      <c r="G36694"/>
      <c r="I36694"/>
      <c r="N36694"/>
      <c r="O36694" s="24"/>
      <c r="P36694"/>
      <c r="Q36694" s="24"/>
      <c r="R36694"/>
      <c r="S36694"/>
      <c r="T36694"/>
      <c r="U36694"/>
      <c r="X36694" s="60"/>
    </row>
    <row r="36695" spans="7:24" ht="15" customHeight="1">
      <c r="G36695"/>
      <c r="I36695"/>
      <c r="N36695"/>
      <c r="O36695" s="24"/>
      <c r="P36695"/>
      <c r="Q36695" s="24"/>
      <c r="R36695"/>
      <c r="S36695"/>
      <c r="T36695"/>
      <c r="U36695"/>
      <c r="X36695" s="60"/>
    </row>
    <row r="36696" spans="7:24" ht="15" customHeight="1">
      <c r="G36696"/>
      <c r="I36696"/>
      <c r="N36696"/>
      <c r="O36696" s="24"/>
      <c r="P36696"/>
      <c r="Q36696" s="24"/>
      <c r="R36696"/>
      <c r="S36696"/>
      <c r="T36696"/>
      <c r="U36696"/>
      <c r="X36696" s="60"/>
    </row>
    <row r="36697" spans="7:24" ht="15" customHeight="1">
      <c r="G36697"/>
      <c r="I36697"/>
      <c r="N36697"/>
      <c r="O36697" s="24"/>
      <c r="P36697"/>
      <c r="Q36697" s="24"/>
      <c r="R36697"/>
      <c r="S36697"/>
      <c r="T36697"/>
      <c r="U36697"/>
      <c r="X36697" s="60"/>
    </row>
    <row r="36698" spans="7:24" ht="15" customHeight="1">
      <c r="G36698"/>
      <c r="I36698"/>
      <c r="N36698"/>
      <c r="O36698" s="24"/>
      <c r="P36698"/>
      <c r="Q36698" s="24"/>
      <c r="R36698"/>
      <c r="S36698"/>
      <c r="T36698"/>
      <c r="U36698"/>
      <c r="X36698" s="60"/>
    </row>
    <row r="36699" spans="7:24" ht="15" customHeight="1">
      <c r="G36699"/>
      <c r="I36699"/>
      <c r="N36699"/>
      <c r="O36699" s="24"/>
      <c r="P36699"/>
      <c r="Q36699" s="24"/>
      <c r="R36699"/>
      <c r="S36699"/>
      <c r="T36699"/>
      <c r="U36699"/>
      <c r="X36699" s="60"/>
    </row>
    <row r="36700" spans="7:24" ht="15" customHeight="1">
      <c r="G36700"/>
      <c r="I36700"/>
      <c r="N36700"/>
      <c r="O36700" s="24"/>
      <c r="P36700"/>
      <c r="Q36700" s="24"/>
      <c r="R36700"/>
      <c r="S36700"/>
      <c r="T36700"/>
      <c r="U36700"/>
      <c r="X36700" s="60"/>
    </row>
    <row r="36701" spans="7:24" ht="15" customHeight="1">
      <c r="G36701"/>
      <c r="I36701"/>
      <c r="N36701"/>
      <c r="O36701" s="24"/>
      <c r="P36701"/>
      <c r="Q36701" s="24"/>
      <c r="R36701"/>
      <c r="S36701"/>
      <c r="T36701"/>
      <c r="U36701"/>
      <c r="X36701" s="60"/>
    </row>
    <row r="36702" spans="7:24" ht="15" customHeight="1">
      <c r="G36702"/>
      <c r="I36702"/>
      <c r="N36702"/>
      <c r="O36702" s="24"/>
      <c r="P36702"/>
      <c r="Q36702" s="24"/>
      <c r="R36702"/>
      <c r="S36702"/>
      <c r="T36702"/>
      <c r="U36702"/>
      <c r="X36702" s="60"/>
    </row>
    <row r="36703" spans="7:24" ht="15" customHeight="1">
      <c r="G36703"/>
      <c r="I36703"/>
      <c r="N36703"/>
      <c r="O36703" s="24"/>
      <c r="P36703"/>
      <c r="Q36703" s="24"/>
      <c r="R36703"/>
      <c r="S36703"/>
      <c r="T36703"/>
      <c r="U36703"/>
      <c r="X36703" s="60"/>
    </row>
    <row r="36704" spans="7:24" ht="15" customHeight="1">
      <c r="G36704"/>
      <c r="I36704"/>
      <c r="N36704"/>
      <c r="O36704" s="24"/>
      <c r="P36704"/>
      <c r="Q36704" s="24"/>
      <c r="R36704"/>
      <c r="S36704"/>
      <c r="T36704"/>
      <c r="U36704"/>
      <c r="X36704" s="60"/>
    </row>
    <row r="36705" spans="7:24" ht="15" customHeight="1">
      <c r="G36705"/>
      <c r="I36705"/>
      <c r="N36705"/>
      <c r="O36705" s="24"/>
      <c r="P36705"/>
      <c r="Q36705" s="24"/>
      <c r="R36705"/>
      <c r="S36705"/>
      <c r="T36705"/>
      <c r="U36705"/>
      <c r="X36705" s="60"/>
    </row>
    <row r="36706" spans="7:24" ht="15" customHeight="1">
      <c r="G36706"/>
      <c r="I36706"/>
      <c r="N36706"/>
      <c r="O36706" s="24"/>
      <c r="P36706"/>
      <c r="Q36706" s="24"/>
      <c r="R36706"/>
      <c r="S36706"/>
      <c r="T36706"/>
      <c r="U36706"/>
      <c r="X36706" s="60"/>
    </row>
    <row r="36707" spans="7:24" ht="15" customHeight="1">
      <c r="G36707"/>
      <c r="I36707"/>
      <c r="N36707"/>
      <c r="O36707" s="24"/>
      <c r="P36707"/>
      <c r="Q36707" s="24"/>
      <c r="R36707"/>
      <c r="S36707"/>
      <c r="T36707"/>
      <c r="U36707"/>
      <c r="X36707" s="60"/>
    </row>
    <row r="36708" spans="7:24" ht="15" customHeight="1">
      <c r="G36708"/>
      <c r="I36708"/>
      <c r="N36708"/>
      <c r="O36708" s="24"/>
      <c r="P36708"/>
      <c r="Q36708" s="24"/>
      <c r="R36708"/>
      <c r="S36708"/>
      <c r="T36708"/>
      <c r="U36708"/>
      <c r="X36708" s="60"/>
    </row>
    <row r="36709" spans="7:24" ht="15" customHeight="1">
      <c r="G36709"/>
      <c r="I36709"/>
      <c r="N36709"/>
      <c r="O36709" s="24"/>
      <c r="P36709"/>
      <c r="Q36709" s="24"/>
      <c r="R36709"/>
      <c r="S36709"/>
      <c r="T36709"/>
      <c r="U36709"/>
      <c r="X36709" s="60"/>
    </row>
    <row r="36710" spans="7:24" ht="15" customHeight="1">
      <c r="G36710"/>
      <c r="I36710"/>
      <c r="N36710"/>
      <c r="O36710" s="24"/>
      <c r="P36710"/>
      <c r="Q36710" s="24"/>
      <c r="R36710"/>
      <c r="S36710"/>
      <c r="T36710"/>
      <c r="U36710"/>
      <c r="X36710" s="60"/>
    </row>
    <row r="36711" spans="7:24" ht="15" customHeight="1">
      <c r="G36711"/>
      <c r="I36711"/>
      <c r="N36711"/>
      <c r="O36711" s="24"/>
      <c r="P36711"/>
      <c r="Q36711" s="24"/>
      <c r="R36711"/>
      <c r="S36711"/>
      <c r="T36711"/>
      <c r="U36711"/>
      <c r="X36711" s="60"/>
    </row>
    <row r="36712" spans="7:24" ht="15" customHeight="1">
      <c r="G36712"/>
      <c r="I36712"/>
      <c r="N36712"/>
      <c r="O36712" s="24"/>
      <c r="P36712"/>
      <c r="Q36712" s="24"/>
      <c r="R36712"/>
      <c r="S36712"/>
      <c r="T36712"/>
      <c r="U36712"/>
      <c r="X36712" s="60"/>
    </row>
    <row r="36713" spans="7:24" ht="15" customHeight="1">
      <c r="G36713"/>
      <c r="I36713"/>
      <c r="N36713"/>
      <c r="O36713" s="24"/>
      <c r="P36713"/>
      <c r="Q36713" s="24"/>
      <c r="R36713"/>
      <c r="S36713"/>
      <c r="T36713"/>
      <c r="U36713"/>
      <c r="X36713" s="60"/>
    </row>
    <row r="36714" spans="7:24" ht="15" customHeight="1">
      <c r="G36714"/>
      <c r="I36714"/>
      <c r="N36714"/>
      <c r="O36714" s="24"/>
      <c r="P36714"/>
      <c r="Q36714" s="24"/>
      <c r="R36714"/>
      <c r="S36714"/>
      <c r="T36714"/>
      <c r="U36714"/>
      <c r="X36714" s="60"/>
    </row>
    <row r="36715" spans="7:24" ht="15" customHeight="1">
      <c r="G36715"/>
      <c r="I36715"/>
      <c r="N36715"/>
      <c r="O36715" s="24"/>
      <c r="P36715"/>
      <c r="Q36715" s="24"/>
      <c r="R36715"/>
      <c r="S36715"/>
      <c r="T36715"/>
      <c r="U36715"/>
      <c r="X36715" s="60"/>
    </row>
    <row r="36716" spans="7:24" ht="15" customHeight="1">
      <c r="G36716"/>
      <c r="I36716"/>
      <c r="N36716"/>
      <c r="O36716" s="24"/>
      <c r="P36716"/>
      <c r="Q36716" s="24"/>
      <c r="R36716"/>
      <c r="S36716"/>
      <c r="T36716"/>
      <c r="U36716"/>
      <c r="X36716" s="60"/>
    </row>
    <row r="36717" spans="7:24" ht="15" customHeight="1">
      <c r="G36717"/>
      <c r="I36717"/>
      <c r="N36717"/>
      <c r="O36717" s="24"/>
      <c r="P36717"/>
      <c r="Q36717" s="24"/>
      <c r="R36717"/>
      <c r="S36717"/>
      <c r="T36717"/>
      <c r="U36717"/>
      <c r="X36717" s="60"/>
    </row>
    <row r="36718" spans="7:24" ht="15" customHeight="1">
      <c r="G36718"/>
      <c r="I36718"/>
      <c r="N36718"/>
      <c r="O36718" s="24"/>
      <c r="P36718"/>
      <c r="Q36718" s="24"/>
      <c r="R36718"/>
      <c r="S36718"/>
      <c r="T36718"/>
      <c r="U36718"/>
      <c r="X36718" s="60"/>
    </row>
    <row r="36719" spans="7:24" ht="15" customHeight="1">
      <c r="G36719"/>
      <c r="I36719"/>
      <c r="N36719"/>
      <c r="O36719" s="24"/>
      <c r="P36719"/>
      <c r="Q36719" s="24"/>
      <c r="R36719"/>
      <c r="S36719"/>
      <c r="T36719"/>
      <c r="U36719"/>
      <c r="X36719" s="60"/>
    </row>
    <row r="36720" spans="7:24" ht="15" customHeight="1">
      <c r="G36720"/>
      <c r="I36720"/>
      <c r="N36720"/>
      <c r="O36720" s="24"/>
      <c r="P36720"/>
      <c r="Q36720" s="24"/>
      <c r="R36720"/>
      <c r="S36720"/>
      <c r="T36720"/>
      <c r="U36720"/>
      <c r="X36720" s="60"/>
    </row>
    <row r="36721" spans="7:24" ht="15" customHeight="1">
      <c r="G36721"/>
      <c r="I36721"/>
      <c r="N36721"/>
      <c r="O36721" s="24"/>
      <c r="P36721"/>
      <c r="Q36721" s="24"/>
      <c r="R36721"/>
      <c r="S36721"/>
      <c r="T36721"/>
      <c r="U36721"/>
      <c r="X36721" s="60"/>
    </row>
    <row r="36722" spans="7:24" ht="15" customHeight="1">
      <c r="G36722"/>
      <c r="I36722"/>
      <c r="N36722"/>
      <c r="O36722" s="24"/>
      <c r="P36722"/>
      <c r="Q36722" s="24"/>
      <c r="R36722"/>
      <c r="S36722"/>
      <c r="T36722"/>
      <c r="U36722"/>
      <c r="X36722" s="60"/>
    </row>
    <row r="36723" spans="7:24" ht="15" customHeight="1">
      <c r="G36723"/>
      <c r="I36723"/>
      <c r="N36723"/>
      <c r="O36723" s="24"/>
      <c r="P36723"/>
      <c r="Q36723" s="24"/>
      <c r="R36723"/>
      <c r="S36723"/>
      <c r="T36723"/>
      <c r="U36723"/>
      <c r="X36723" s="60"/>
    </row>
    <row r="36724" spans="7:24" ht="15" customHeight="1">
      <c r="G36724"/>
      <c r="I36724"/>
      <c r="N36724"/>
      <c r="O36724" s="24"/>
      <c r="P36724"/>
      <c r="Q36724" s="24"/>
      <c r="R36724"/>
      <c r="S36724"/>
      <c r="T36724"/>
      <c r="U36724"/>
      <c r="X36724" s="60"/>
    </row>
    <row r="36725" spans="7:24" ht="15" customHeight="1">
      <c r="G36725"/>
      <c r="I36725"/>
      <c r="N36725"/>
      <c r="O36725" s="24"/>
      <c r="P36725"/>
      <c r="Q36725" s="24"/>
      <c r="R36725"/>
      <c r="S36725"/>
      <c r="T36725"/>
      <c r="U36725"/>
      <c r="X36725" s="60"/>
    </row>
    <row r="36726" spans="7:24" ht="15" customHeight="1">
      <c r="G36726"/>
      <c r="I36726"/>
      <c r="N36726"/>
      <c r="O36726" s="24"/>
      <c r="P36726"/>
      <c r="Q36726" s="24"/>
      <c r="R36726"/>
      <c r="S36726"/>
      <c r="T36726"/>
      <c r="U36726"/>
      <c r="X36726" s="60"/>
    </row>
    <row r="36727" spans="7:24" ht="15" customHeight="1">
      <c r="G36727"/>
      <c r="I36727"/>
      <c r="N36727"/>
      <c r="O36727" s="24"/>
      <c r="P36727"/>
      <c r="Q36727" s="24"/>
      <c r="R36727"/>
      <c r="S36727"/>
      <c r="T36727"/>
      <c r="U36727"/>
      <c r="X36727" s="60"/>
    </row>
    <row r="36728" spans="7:24" ht="15" customHeight="1">
      <c r="G36728"/>
      <c r="I36728"/>
      <c r="N36728"/>
      <c r="O36728" s="24"/>
      <c r="P36728"/>
      <c r="Q36728" s="24"/>
      <c r="R36728"/>
      <c r="S36728"/>
      <c r="T36728"/>
      <c r="U36728"/>
      <c r="X36728" s="60"/>
    </row>
    <row r="36729" spans="7:24" ht="15" customHeight="1">
      <c r="G36729"/>
      <c r="I36729"/>
      <c r="N36729"/>
      <c r="O36729" s="24"/>
      <c r="P36729"/>
      <c r="Q36729" s="24"/>
      <c r="R36729"/>
      <c r="S36729"/>
      <c r="T36729"/>
      <c r="U36729"/>
      <c r="X36729" s="60"/>
    </row>
    <row r="36730" spans="7:24" ht="15" customHeight="1">
      <c r="G36730"/>
      <c r="I36730"/>
      <c r="N36730"/>
      <c r="O36730" s="24"/>
      <c r="P36730"/>
      <c r="Q36730" s="24"/>
      <c r="R36730"/>
      <c r="S36730"/>
      <c r="T36730"/>
      <c r="U36730"/>
      <c r="X36730" s="60"/>
    </row>
    <row r="36731" spans="7:24" ht="15" customHeight="1">
      <c r="G36731"/>
      <c r="I36731"/>
      <c r="N36731"/>
      <c r="O36731" s="24"/>
      <c r="P36731"/>
      <c r="Q36731" s="24"/>
      <c r="R36731"/>
      <c r="S36731"/>
      <c r="T36731"/>
      <c r="U36731"/>
      <c r="X36731" s="60"/>
    </row>
    <row r="36732" spans="7:24" ht="15" customHeight="1">
      <c r="G36732"/>
      <c r="I36732"/>
      <c r="N36732"/>
      <c r="O36732" s="24"/>
      <c r="P36732"/>
      <c r="Q36732" s="24"/>
      <c r="R36732"/>
      <c r="S36732"/>
      <c r="T36732"/>
      <c r="U36732"/>
      <c r="X36732" s="60"/>
    </row>
    <row r="36733" spans="7:24" ht="15" customHeight="1">
      <c r="G36733"/>
      <c r="I36733"/>
      <c r="N36733"/>
      <c r="O36733" s="24"/>
      <c r="P36733"/>
      <c r="Q36733" s="24"/>
      <c r="R36733"/>
      <c r="S36733"/>
      <c r="T36733"/>
      <c r="U36733"/>
      <c r="X36733" s="60"/>
    </row>
    <row r="36734" spans="7:24" ht="15" customHeight="1">
      <c r="G36734"/>
      <c r="I36734"/>
      <c r="N36734"/>
      <c r="O36734" s="24"/>
      <c r="P36734"/>
      <c r="Q36734" s="24"/>
      <c r="R36734"/>
      <c r="S36734"/>
      <c r="T36734"/>
      <c r="U36734"/>
      <c r="X36734" s="60"/>
    </row>
    <row r="36735" spans="7:24" ht="15" customHeight="1">
      <c r="G36735"/>
      <c r="I36735"/>
      <c r="N36735"/>
      <c r="O36735" s="24"/>
      <c r="P36735"/>
      <c r="Q36735" s="24"/>
      <c r="R36735"/>
      <c r="S36735"/>
      <c r="T36735"/>
      <c r="U36735"/>
      <c r="X36735" s="60"/>
    </row>
    <row r="36736" spans="7:24" ht="15" customHeight="1">
      <c r="G36736"/>
      <c r="I36736"/>
      <c r="N36736"/>
      <c r="O36736" s="24"/>
      <c r="P36736"/>
      <c r="Q36736" s="24"/>
      <c r="R36736"/>
      <c r="S36736"/>
      <c r="T36736"/>
      <c r="U36736"/>
      <c r="X36736" s="60"/>
    </row>
    <row r="36737" spans="7:24" ht="15" customHeight="1">
      <c r="G36737"/>
      <c r="I36737"/>
      <c r="N36737"/>
      <c r="O36737" s="24"/>
      <c r="P36737"/>
      <c r="Q36737" s="24"/>
      <c r="R36737"/>
      <c r="S36737"/>
      <c r="T36737"/>
      <c r="U36737"/>
      <c r="X36737" s="60"/>
    </row>
    <row r="36738" spans="7:24" ht="15" customHeight="1">
      <c r="G36738"/>
      <c r="I36738"/>
      <c r="N36738"/>
      <c r="O36738" s="24"/>
      <c r="P36738"/>
      <c r="Q36738" s="24"/>
      <c r="R36738"/>
      <c r="S36738"/>
      <c r="T36738"/>
      <c r="U36738"/>
      <c r="X36738" s="60"/>
    </row>
    <row r="36739" spans="7:24" ht="15" customHeight="1">
      <c r="G36739"/>
      <c r="I36739"/>
      <c r="N36739"/>
      <c r="O36739" s="24"/>
      <c r="P36739"/>
      <c r="Q36739" s="24"/>
      <c r="R36739"/>
      <c r="S36739"/>
      <c r="T36739"/>
      <c r="U36739"/>
      <c r="X36739" s="60"/>
    </row>
    <row r="36740" spans="7:24" ht="15" customHeight="1">
      <c r="G36740"/>
      <c r="I36740"/>
      <c r="N36740"/>
      <c r="O36740" s="24"/>
      <c r="P36740"/>
      <c r="Q36740" s="24"/>
      <c r="R36740"/>
      <c r="S36740"/>
      <c r="T36740"/>
      <c r="U36740"/>
      <c r="X36740" s="60"/>
    </row>
    <row r="36741" spans="7:24" ht="15" customHeight="1">
      <c r="G36741"/>
      <c r="I36741"/>
      <c r="N36741"/>
      <c r="O36741" s="24"/>
      <c r="P36741"/>
      <c r="Q36741" s="24"/>
      <c r="R36741"/>
      <c r="S36741"/>
      <c r="T36741"/>
      <c r="U36741"/>
      <c r="X36741" s="60"/>
    </row>
    <row r="36742" spans="7:24" ht="15" customHeight="1">
      <c r="G36742"/>
      <c r="I36742"/>
      <c r="N36742"/>
      <c r="O36742" s="24"/>
      <c r="P36742"/>
      <c r="Q36742" s="24"/>
      <c r="R36742"/>
      <c r="S36742"/>
      <c r="T36742"/>
      <c r="U36742"/>
      <c r="X36742" s="60"/>
    </row>
    <row r="36743" spans="7:24" ht="15" customHeight="1">
      <c r="G36743"/>
      <c r="I36743"/>
      <c r="N36743"/>
      <c r="O36743" s="24"/>
      <c r="P36743"/>
      <c r="Q36743" s="24"/>
      <c r="R36743"/>
      <c r="S36743"/>
      <c r="T36743"/>
      <c r="U36743"/>
      <c r="X36743" s="60"/>
    </row>
    <row r="36744" spans="7:24" ht="15" customHeight="1">
      <c r="G36744"/>
      <c r="I36744"/>
      <c r="N36744"/>
      <c r="O36744" s="24"/>
      <c r="P36744"/>
      <c r="Q36744" s="24"/>
      <c r="R36744"/>
      <c r="S36744"/>
      <c r="T36744"/>
      <c r="U36744"/>
      <c r="X36744" s="60"/>
    </row>
    <row r="36745" spans="7:24" ht="15" customHeight="1">
      <c r="G36745"/>
      <c r="I36745"/>
      <c r="N36745"/>
      <c r="O36745" s="24"/>
      <c r="P36745"/>
      <c r="Q36745" s="24"/>
      <c r="R36745"/>
      <c r="S36745"/>
      <c r="T36745"/>
      <c r="U36745"/>
      <c r="X36745" s="60"/>
    </row>
    <row r="36746" spans="7:24" ht="15" customHeight="1">
      <c r="G36746"/>
      <c r="I36746"/>
      <c r="N36746"/>
      <c r="O36746" s="24"/>
      <c r="P36746"/>
      <c r="Q36746" s="24"/>
      <c r="R36746"/>
      <c r="S36746"/>
      <c r="T36746"/>
      <c r="U36746"/>
      <c r="X36746" s="60"/>
    </row>
    <row r="36747" spans="7:24" ht="15" customHeight="1">
      <c r="G36747"/>
      <c r="I36747"/>
      <c r="N36747"/>
      <c r="O36747" s="24"/>
      <c r="P36747"/>
      <c r="Q36747" s="24"/>
      <c r="R36747"/>
      <c r="S36747"/>
      <c r="T36747"/>
      <c r="U36747"/>
      <c r="X36747" s="60"/>
    </row>
    <row r="36748" spans="7:24" ht="15" customHeight="1">
      <c r="G36748"/>
      <c r="I36748"/>
      <c r="N36748"/>
      <c r="O36748" s="24"/>
      <c r="P36748"/>
      <c r="Q36748" s="24"/>
      <c r="R36748"/>
      <c r="S36748"/>
      <c r="T36748"/>
      <c r="U36748"/>
      <c r="X36748" s="60"/>
    </row>
    <row r="36749" spans="7:24" ht="15" customHeight="1">
      <c r="G36749"/>
      <c r="I36749"/>
      <c r="N36749"/>
      <c r="O36749" s="24"/>
      <c r="P36749"/>
      <c r="Q36749" s="24"/>
      <c r="R36749"/>
      <c r="S36749"/>
      <c r="T36749"/>
      <c r="U36749"/>
      <c r="X36749" s="60"/>
    </row>
    <row r="36750" spans="7:24" ht="15" customHeight="1">
      <c r="G36750"/>
      <c r="I36750"/>
      <c r="N36750"/>
      <c r="O36750" s="24"/>
      <c r="P36750"/>
      <c r="Q36750" s="24"/>
      <c r="R36750"/>
      <c r="S36750"/>
      <c r="T36750"/>
      <c r="U36750"/>
      <c r="X36750" s="60"/>
    </row>
    <row r="36751" spans="7:24" ht="15" customHeight="1">
      <c r="G36751"/>
      <c r="I36751"/>
      <c r="N36751"/>
      <c r="O36751" s="24"/>
      <c r="P36751"/>
      <c r="Q36751" s="24"/>
      <c r="R36751"/>
      <c r="S36751"/>
      <c r="T36751"/>
      <c r="U36751"/>
      <c r="X36751" s="60"/>
    </row>
    <row r="36752" spans="7:24" ht="15" customHeight="1">
      <c r="G36752"/>
      <c r="I36752"/>
      <c r="N36752"/>
      <c r="O36752" s="24"/>
      <c r="P36752"/>
      <c r="Q36752" s="24"/>
      <c r="R36752"/>
      <c r="S36752"/>
      <c r="T36752"/>
      <c r="U36752"/>
      <c r="X36752" s="60"/>
    </row>
    <row r="36753" spans="7:24" ht="15" customHeight="1">
      <c r="G36753"/>
      <c r="I36753"/>
      <c r="N36753"/>
      <c r="O36753" s="24"/>
      <c r="P36753"/>
      <c r="Q36753" s="24"/>
      <c r="R36753"/>
      <c r="S36753"/>
      <c r="T36753"/>
      <c r="U36753"/>
      <c r="X36753" s="60"/>
    </row>
    <row r="36754" spans="7:24" ht="15" customHeight="1">
      <c r="G36754"/>
      <c r="I36754"/>
      <c r="N36754"/>
      <c r="O36754" s="24"/>
      <c r="P36754"/>
      <c r="Q36754" s="24"/>
      <c r="R36754"/>
      <c r="S36754"/>
      <c r="T36754"/>
      <c r="U36754"/>
      <c r="X36754" s="60"/>
    </row>
    <row r="36755" spans="7:24" ht="15" customHeight="1">
      <c r="G36755"/>
      <c r="I36755"/>
      <c r="N36755"/>
      <c r="O36755" s="24"/>
      <c r="P36755"/>
      <c r="Q36755" s="24"/>
      <c r="R36755"/>
      <c r="S36755"/>
      <c r="T36755"/>
      <c r="U36755"/>
      <c r="X36755" s="60"/>
    </row>
    <row r="36756" spans="7:24" ht="15" customHeight="1">
      <c r="G36756"/>
      <c r="I36756"/>
      <c r="N36756"/>
      <c r="O36756" s="24"/>
      <c r="P36756"/>
      <c r="Q36756" s="24"/>
      <c r="R36756"/>
      <c r="S36756"/>
      <c r="T36756"/>
      <c r="U36756"/>
      <c r="X36756" s="60"/>
    </row>
    <row r="36757" spans="7:24" ht="15" customHeight="1">
      <c r="G36757"/>
      <c r="I36757"/>
      <c r="N36757"/>
      <c r="O36757" s="24"/>
      <c r="P36757"/>
      <c r="Q36757" s="24"/>
      <c r="R36757"/>
      <c r="S36757"/>
      <c r="T36757"/>
      <c r="U36757"/>
      <c r="X36757" s="60"/>
    </row>
    <row r="36758" spans="7:24" ht="15" customHeight="1">
      <c r="G36758"/>
      <c r="I36758"/>
      <c r="N36758"/>
      <c r="O36758" s="24"/>
      <c r="P36758"/>
      <c r="Q36758" s="24"/>
      <c r="R36758"/>
      <c r="S36758"/>
      <c r="T36758"/>
      <c r="U36758"/>
      <c r="X36758" s="60"/>
    </row>
    <row r="36759" spans="7:24" ht="15" customHeight="1">
      <c r="G36759"/>
      <c r="I36759"/>
      <c r="N36759"/>
      <c r="O36759" s="24"/>
      <c r="P36759"/>
      <c r="Q36759" s="24"/>
      <c r="R36759"/>
      <c r="S36759"/>
      <c r="T36759"/>
      <c r="U36759"/>
      <c r="X36759" s="60"/>
    </row>
    <row r="36760" spans="7:24" ht="15" customHeight="1">
      <c r="G36760"/>
      <c r="I36760"/>
      <c r="N36760"/>
      <c r="O36760" s="24"/>
      <c r="P36760"/>
      <c r="Q36760" s="24"/>
      <c r="R36760"/>
      <c r="S36760"/>
      <c r="T36760"/>
      <c r="U36760"/>
      <c r="X36760" s="60"/>
    </row>
    <row r="36761" spans="7:24" ht="15" customHeight="1">
      <c r="G36761"/>
      <c r="I36761"/>
      <c r="N36761"/>
      <c r="O36761" s="24"/>
      <c r="P36761"/>
      <c r="Q36761" s="24"/>
      <c r="R36761"/>
      <c r="S36761"/>
      <c r="T36761"/>
      <c r="U36761"/>
      <c r="X36761" s="60"/>
    </row>
    <row r="36762" spans="7:24" ht="15" customHeight="1">
      <c r="G36762"/>
      <c r="I36762"/>
      <c r="N36762"/>
      <c r="O36762" s="24"/>
      <c r="P36762"/>
      <c r="Q36762" s="24"/>
      <c r="R36762"/>
      <c r="S36762"/>
      <c r="T36762"/>
      <c r="U36762"/>
      <c r="X36762" s="60"/>
    </row>
    <row r="36763" spans="7:24" ht="15" customHeight="1">
      <c r="G36763"/>
      <c r="I36763"/>
      <c r="N36763"/>
      <c r="O36763" s="24"/>
      <c r="P36763"/>
      <c r="Q36763" s="24"/>
      <c r="R36763"/>
      <c r="S36763"/>
      <c r="T36763"/>
      <c r="U36763"/>
      <c r="X36763" s="60"/>
    </row>
    <row r="36764" spans="7:24" ht="15" customHeight="1">
      <c r="G36764"/>
      <c r="I36764"/>
      <c r="N36764"/>
      <c r="O36764" s="24"/>
      <c r="P36764"/>
      <c r="Q36764" s="24"/>
      <c r="R36764"/>
      <c r="S36764"/>
      <c r="T36764"/>
      <c r="U36764"/>
      <c r="X36764" s="60"/>
    </row>
    <row r="36765" spans="7:24" ht="15" customHeight="1">
      <c r="G36765"/>
      <c r="I36765"/>
      <c r="N36765"/>
      <c r="O36765" s="24"/>
      <c r="P36765"/>
      <c r="Q36765" s="24"/>
      <c r="R36765"/>
      <c r="S36765"/>
      <c r="T36765"/>
      <c r="U36765"/>
      <c r="X36765" s="60"/>
    </row>
    <row r="36766" spans="7:24" ht="15" customHeight="1">
      <c r="G36766"/>
      <c r="I36766"/>
      <c r="N36766"/>
      <c r="O36766" s="24"/>
      <c r="P36766"/>
      <c r="Q36766" s="24"/>
      <c r="R36766"/>
      <c r="S36766"/>
      <c r="T36766"/>
      <c r="U36766"/>
      <c r="X36766" s="60"/>
    </row>
    <row r="36767" spans="7:24" ht="15" customHeight="1">
      <c r="G36767"/>
      <c r="I36767"/>
      <c r="N36767"/>
      <c r="O36767" s="24"/>
      <c r="P36767"/>
      <c r="Q36767" s="24"/>
      <c r="R36767"/>
      <c r="S36767"/>
      <c r="T36767"/>
      <c r="U36767"/>
      <c r="X36767" s="60"/>
    </row>
    <row r="36768" spans="7:24" ht="15" customHeight="1">
      <c r="G36768"/>
      <c r="I36768"/>
      <c r="N36768"/>
      <c r="O36768" s="24"/>
      <c r="P36768"/>
      <c r="Q36768" s="24"/>
      <c r="R36768"/>
      <c r="S36768"/>
      <c r="T36768"/>
      <c r="U36768"/>
      <c r="X36768" s="60"/>
    </row>
    <row r="36769" spans="7:24" ht="15" customHeight="1">
      <c r="G36769"/>
      <c r="I36769"/>
      <c r="N36769"/>
      <c r="O36769" s="24"/>
      <c r="P36769"/>
      <c r="Q36769" s="24"/>
      <c r="R36769"/>
      <c r="S36769"/>
      <c r="T36769"/>
      <c r="U36769"/>
      <c r="X36769" s="60"/>
    </row>
    <row r="36770" spans="7:24" ht="15" customHeight="1">
      <c r="G36770"/>
      <c r="I36770"/>
      <c r="N36770"/>
      <c r="O36770" s="24"/>
      <c r="P36770"/>
      <c r="Q36770" s="24"/>
      <c r="R36770"/>
      <c r="S36770"/>
      <c r="T36770"/>
      <c r="U36770"/>
      <c r="X36770" s="60"/>
    </row>
    <row r="36771" spans="7:24" ht="15" customHeight="1">
      <c r="G36771"/>
      <c r="I36771"/>
      <c r="N36771"/>
      <c r="O36771" s="24"/>
      <c r="P36771"/>
      <c r="Q36771" s="24"/>
      <c r="R36771"/>
      <c r="S36771"/>
      <c r="T36771"/>
      <c r="U36771"/>
      <c r="X36771" s="60"/>
    </row>
    <row r="36772" spans="7:24" ht="15" customHeight="1">
      <c r="G36772"/>
      <c r="I36772"/>
      <c r="N36772"/>
      <c r="O36772" s="24"/>
      <c r="P36772"/>
      <c r="Q36772" s="24"/>
      <c r="R36772"/>
      <c r="S36772"/>
      <c r="T36772"/>
      <c r="U36772"/>
      <c r="X36772" s="60"/>
    </row>
    <row r="36773" spans="7:24" ht="15" customHeight="1">
      <c r="G36773"/>
      <c r="I36773"/>
      <c r="N36773"/>
      <c r="O36773" s="24"/>
      <c r="P36773"/>
      <c r="Q36773" s="24"/>
      <c r="R36773"/>
      <c r="S36773"/>
      <c r="T36773"/>
      <c r="U36773"/>
      <c r="X36773" s="60"/>
    </row>
    <row r="36774" spans="7:24" ht="15" customHeight="1">
      <c r="G36774"/>
      <c r="I36774"/>
      <c r="N36774"/>
      <c r="O36774" s="24"/>
      <c r="P36774"/>
      <c r="Q36774" s="24"/>
      <c r="R36774"/>
      <c r="S36774"/>
      <c r="T36774"/>
      <c r="U36774"/>
      <c r="X36774" s="60"/>
    </row>
    <row r="36775" spans="7:24" ht="15" customHeight="1">
      <c r="G36775"/>
      <c r="I36775"/>
      <c r="N36775"/>
      <c r="O36775" s="24"/>
      <c r="P36775"/>
      <c r="Q36775" s="24"/>
      <c r="R36775"/>
      <c r="S36775"/>
      <c r="T36775"/>
      <c r="U36775"/>
      <c r="X36775" s="60"/>
    </row>
    <row r="36776" spans="7:24" ht="15" customHeight="1">
      <c r="G36776"/>
      <c r="I36776"/>
      <c r="N36776"/>
      <c r="O36776" s="24"/>
      <c r="P36776"/>
      <c r="Q36776" s="24"/>
      <c r="R36776"/>
      <c r="S36776"/>
      <c r="T36776"/>
      <c r="U36776"/>
      <c r="X36776" s="60"/>
    </row>
    <row r="36777" spans="7:24" ht="15" customHeight="1">
      <c r="G36777"/>
      <c r="I36777"/>
      <c r="N36777"/>
      <c r="O36777" s="24"/>
      <c r="P36777"/>
      <c r="Q36777" s="24"/>
      <c r="R36777"/>
      <c r="S36777"/>
      <c r="T36777"/>
      <c r="U36777"/>
      <c r="X36777" s="60"/>
    </row>
    <row r="36778" spans="7:24" ht="15" customHeight="1">
      <c r="G36778"/>
      <c r="I36778"/>
      <c r="N36778"/>
      <c r="O36778" s="24"/>
      <c r="P36778"/>
      <c r="Q36778" s="24"/>
      <c r="R36778"/>
      <c r="S36778"/>
      <c r="T36778"/>
      <c r="U36778"/>
      <c r="X36778" s="60"/>
    </row>
    <row r="36779" spans="7:24" ht="15" customHeight="1">
      <c r="G36779"/>
      <c r="I36779"/>
      <c r="N36779"/>
      <c r="O36779" s="24"/>
      <c r="P36779"/>
      <c r="Q36779" s="24"/>
      <c r="R36779"/>
      <c r="S36779"/>
      <c r="T36779"/>
      <c r="U36779"/>
      <c r="X36779" s="60"/>
    </row>
    <row r="36780" spans="7:24" ht="15" customHeight="1">
      <c r="G36780"/>
      <c r="I36780"/>
      <c r="N36780"/>
      <c r="O36780" s="24"/>
      <c r="P36780"/>
      <c r="Q36780" s="24"/>
      <c r="R36780"/>
      <c r="S36780"/>
      <c r="T36780"/>
      <c r="U36780"/>
      <c r="X36780" s="60"/>
    </row>
    <row r="36781" spans="7:24" ht="15" customHeight="1">
      <c r="G36781"/>
      <c r="I36781"/>
      <c r="N36781"/>
      <c r="O36781" s="24"/>
      <c r="P36781"/>
      <c r="Q36781" s="24"/>
      <c r="R36781"/>
      <c r="S36781"/>
      <c r="T36781"/>
      <c r="U36781"/>
      <c r="X36781" s="60"/>
    </row>
    <row r="36782" spans="7:24" ht="15" customHeight="1">
      <c r="G36782"/>
      <c r="I36782"/>
      <c r="N36782"/>
      <c r="O36782" s="24"/>
      <c r="P36782"/>
      <c r="Q36782" s="24"/>
      <c r="R36782"/>
      <c r="S36782"/>
      <c r="T36782"/>
      <c r="U36782"/>
      <c r="X36782" s="60"/>
    </row>
    <row r="36783" spans="7:24" ht="15" customHeight="1">
      <c r="G36783"/>
      <c r="I36783"/>
      <c r="N36783"/>
      <c r="O36783" s="24"/>
      <c r="P36783"/>
      <c r="Q36783" s="24"/>
      <c r="R36783"/>
      <c r="S36783"/>
      <c r="T36783"/>
      <c r="U36783"/>
      <c r="X36783" s="60"/>
    </row>
    <row r="36784" spans="7:24" ht="15" customHeight="1">
      <c r="G36784"/>
      <c r="I36784"/>
      <c r="N36784"/>
      <c r="O36784" s="24"/>
      <c r="P36784"/>
      <c r="Q36784" s="24"/>
      <c r="R36784"/>
      <c r="S36784"/>
      <c r="T36784"/>
      <c r="U36784"/>
      <c r="X36784" s="60"/>
    </row>
    <row r="36785" spans="7:24" ht="15" customHeight="1">
      <c r="G36785"/>
      <c r="I36785"/>
      <c r="N36785"/>
      <c r="O36785" s="24"/>
      <c r="P36785"/>
      <c r="Q36785" s="24"/>
      <c r="R36785"/>
      <c r="S36785"/>
      <c r="T36785"/>
      <c r="U36785"/>
      <c r="X36785" s="60"/>
    </row>
    <row r="36786" spans="7:24" ht="15" customHeight="1">
      <c r="G36786"/>
      <c r="I36786"/>
      <c r="N36786"/>
      <c r="O36786" s="24"/>
      <c r="P36786"/>
      <c r="Q36786" s="24"/>
      <c r="R36786"/>
      <c r="S36786"/>
      <c r="T36786"/>
      <c r="U36786"/>
      <c r="X36786" s="60"/>
    </row>
    <row r="36787" spans="7:24" ht="15" customHeight="1">
      <c r="G36787"/>
      <c r="I36787"/>
      <c r="N36787"/>
      <c r="O36787" s="24"/>
      <c r="P36787"/>
      <c r="Q36787" s="24"/>
      <c r="R36787"/>
      <c r="S36787"/>
      <c r="T36787"/>
      <c r="U36787"/>
      <c r="X36787" s="60"/>
    </row>
    <row r="36788" spans="7:24" ht="15" customHeight="1">
      <c r="G36788"/>
      <c r="I36788"/>
      <c r="N36788"/>
      <c r="O36788" s="24"/>
      <c r="P36788"/>
      <c r="Q36788" s="24"/>
      <c r="R36788"/>
      <c r="S36788"/>
      <c r="T36788"/>
      <c r="U36788"/>
      <c r="X36788" s="60"/>
    </row>
    <row r="36789" spans="7:24" ht="15" customHeight="1">
      <c r="G36789"/>
      <c r="I36789"/>
      <c r="N36789"/>
      <c r="O36789" s="24"/>
      <c r="P36789"/>
      <c r="Q36789" s="24"/>
      <c r="R36789"/>
      <c r="S36789"/>
      <c r="T36789"/>
      <c r="U36789"/>
      <c r="X36789" s="60"/>
    </row>
    <row r="36790" spans="7:24" ht="15" customHeight="1">
      <c r="G36790"/>
      <c r="I36790"/>
      <c r="N36790"/>
      <c r="O36790" s="24"/>
      <c r="P36790"/>
      <c r="Q36790" s="24"/>
      <c r="R36790"/>
      <c r="S36790"/>
      <c r="T36790"/>
      <c r="U36790"/>
      <c r="X36790" s="60"/>
    </row>
    <row r="36791" spans="7:24" ht="15" customHeight="1">
      <c r="G36791"/>
      <c r="I36791"/>
      <c r="N36791"/>
      <c r="O36791" s="24"/>
      <c r="P36791"/>
      <c r="Q36791" s="24"/>
      <c r="R36791"/>
      <c r="S36791"/>
      <c r="T36791"/>
      <c r="U36791"/>
      <c r="X36791" s="60"/>
    </row>
    <row r="36792" spans="7:24" ht="15" customHeight="1">
      <c r="G36792"/>
      <c r="I36792"/>
      <c r="N36792"/>
      <c r="O36792" s="24"/>
      <c r="P36792"/>
      <c r="Q36792" s="24"/>
      <c r="R36792"/>
      <c r="S36792"/>
      <c r="T36792"/>
      <c r="U36792"/>
      <c r="X36792" s="60"/>
    </row>
    <row r="36793" spans="7:24" ht="15" customHeight="1">
      <c r="G36793"/>
      <c r="I36793"/>
      <c r="N36793"/>
      <c r="O36793" s="24"/>
      <c r="P36793"/>
      <c r="Q36793" s="24"/>
      <c r="R36793"/>
      <c r="S36793"/>
      <c r="T36793"/>
      <c r="U36793"/>
      <c r="X36793" s="60"/>
    </row>
    <row r="36794" spans="7:24" ht="15" customHeight="1">
      <c r="G36794"/>
      <c r="I36794"/>
      <c r="N36794"/>
      <c r="O36794" s="24"/>
      <c r="P36794"/>
      <c r="Q36794" s="24"/>
      <c r="R36794"/>
      <c r="S36794"/>
      <c r="T36794"/>
      <c r="U36794"/>
      <c r="X36794" s="60"/>
    </row>
    <row r="36795" spans="7:24" ht="15" customHeight="1">
      <c r="G36795"/>
      <c r="I36795"/>
      <c r="N36795"/>
      <c r="O36795" s="24"/>
      <c r="P36795"/>
      <c r="Q36795" s="24"/>
      <c r="R36795"/>
      <c r="S36795"/>
      <c r="T36795"/>
      <c r="U36795"/>
      <c r="X36795" s="60"/>
    </row>
    <row r="36796" spans="7:24" ht="15" customHeight="1">
      <c r="G36796"/>
      <c r="I36796"/>
      <c r="N36796"/>
      <c r="O36796" s="24"/>
      <c r="P36796"/>
      <c r="Q36796" s="24"/>
      <c r="R36796"/>
      <c r="S36796"/>
      <c r="T36796"/>
      <c r="U36796"/>
      <c r="X36796" s="60"/>
    </row>
    <row r="36797" spans="7:24" ht="15" customHeight="1">
      <c r="G36797"/>
      <c r="I36797"/>
      <c r="N36797"/>
      <c r="O36797" s="24"/>
      <c r="P36797"/>
      <c r="Q36797" s="24"/>
      <c r="R36797"/>
      <c r="S36797"/>
      <c r="T36797"/>
      <c r="U36797"/>
      <c r="X36797" s="60"/>
    </row>
    <row r="36798" spans="7:24" ht="15" customHeight="1">
      <c r="G36798"/>
      <c r="I36798"/>
      <c r="N36798"/>
      <c r="O36798" s="24"/>
      <c r="P36798"/>
      <c r="Q36798" s="24"/>
      <c r="R36798"/>
      <c r="S36798"/>
      <c r="T36798"/>
      <c r="U36798"/>
      <c r="X36798" s="60"/>
    </row>
    <row r="36799" spans="7:24" ht="15" customHeight="1">
      <c r="G36799"/>
      <c r="I36799"/>
      <c r="N36799"/>
      <c r="O36799" s="24"/>
      <c r="P36799"/>
      <c r="Q36799" s="24"/>
      <c r="R36799"/>
      <c r="S36799"/>
      <c r="T36799"/>
      <c r="U36799"/>
      <c r="X36799" s="60"/>
    </row>
    <row r="36800" spans="7:24" ht="15" customHeight="1">
      <c r="G36800"/>
      <c r="I36800"/>
      <c r="N36800"/>
      <c r="O36800" s="24"/>
      <c r="P36800"/>
      <c r="Q36800" s="24"/>
      <c r="R36800"/>
      <c r="S36800"/>
      <c r="T36800"/>
      <c r="U36800"/>
      <c r="X36800" s="60"/>
    </row>
    <row r="36801" spans="7:24" ht="15" customHeight="1">
      <c r="G36801"/>
      <c r="I36801"/>
      <c r="N36801"/>
      <c r="O36801" s="24"/>
      <c r="P36801"/>
      <c r="Q36801" s="24"/>
      <c r="R36801"/>
      <c r="S36801"/>
      <c r="T36801"/>
      <c r="U36801"/>
      <c r="X36801" s="60"/>
    </row>
    <row r="36802" spans="7:24" ht="15" customHeight="1">
      <c r="G36802"/>
      <c r="I36802"/>
      <c r="N36802"/>
      <c r="O36802" s="24"/>
      <c r="P36802"/>
      <c r="Q36802" s="24"/>
      <c r="R36802"/>
      <c r="S36802"/>
      <c r="T36802"/>
      <c r="U36802"/>
      <c r="X36802" s="60"/>
    </row>
    <row r="36803" spans="7:24" ht="15" customHeight="1">
      <c r="G36803"/>
      <c r="I36803"/>
      <c r="N36803"/>
      <c r="O36803" s="24"/>
      <c r="P36803"/>
      <c r="Q36803" s="24"/>
      <c r="R36803"/>
      <c r="S36803"/>
      <c r="T36803"/>
      <c r="U36803"/>
      <c r="X36803" s="60"/>
    </row>
    <row r="36804" spans="7:24" ht="15" customHeight="1">
      <c r="G36804"/>
      <c r="I36804"/>
      <c r="N36804"/>
      <c r="O36804" s="24"/>
      <c r="P36804"/>
      <c r="Q36804" s="24"/>
      <c r="R36804"/>
      <c r="S36804"/>
      <c r="T36804"/>
      <c r="U36804"/>
      <c r="X36804" s="60"/>
    </row>
    <row r="36805" spans="7:24" ht="15" customHeight="1">
      <c r="G36805"/>
      <c r="I36805"/>
      <c r="N36805"/>
      <c r="O36805" s="24"/>
      <c r="P36805"/>
      <c r="Q36805" s="24"/>
      <c r="R36805"/>
      <c r="S36805"/>
      <c r="T36805"/>
      <c r="U36805"/>
      <c r="X36805" s="60"/>
    </row>
    <row r="36806" spans="7:24" ht="15" customHeight="1">
      <c r="G36806"/>
      <c r="I36806"/>
      <c r="N36806"/>
      <c r="O36806" s="24"/>
      <c r="P36806"/>
      <c r="Q36806" s="24"/>
      <c r="R36806"/>
      <c r="S36806"/>
      <c r="T36806"/>
      <c r="U36806"/>
      <c r="X36806" s="60"/>
    </row>
    <row r="36807" spans="7:24" ht="15" customHeight="1">
      <c r="G36807"/>
      <c r="I36807"/>
      <c r="N36807"/>
      <c r="O36807" s="24"/>
      <c r="P36807"/>
      <c r="Q36807" s="24"/>
      <c r="R36807"/>
      <c r="S36807"/>
      <c r="T36807"/>
      <c r="U36807"/>
      <c r="X36807" s="60"/>
    </row>
    <row r="36808" spans="7:24" ht="15" customHeight="1">
      <c r="G36808"/>
      <c r="I36808"/>
      <c r="N36808"/>
      <c r="O36808" s="24"/>
      <c r="P36808"/>
      <c r="Q36808" s="24"/>
      <c r="R36808"/>
      <c r="S36808"/>
      <c r="T36808"/>
      <c r="U36808"/>
      <c r="X36808" s="60"/>
    </row>
    <row r="36809" spans="7:24" ht="15" customHeight="1">
      <c r="G36809"/>
      <c r="I36809"/>
      <c r="N36809"/>
      <c r="O36809" s="24"/>
      <c r="P36809"/>
      <c r="Q36809" s="24"/>
      <c r="R36809"/>
      <c r="S36809"/>
      <c r="T36809"/>
      <c r="U36809"/>
      <c r="X36809" s="60"/>
    </row>
    <row r="36810" spans="7:24" ht="15" customHeight="1">
      <c r="G36810"/>
      <c r="I36810"/>
      <c r="N36810"/>
      <c r="O36810" s="24"/>
      <c r="P36810"/>
      <c r="Q36810" s="24"/>
      <c r="R36810"/>
      <c r="S36810"/>
      <c r="T36810"/>
      <c r="U36810"/>
      <c r="X36810" s="60"/>
    </row>
    <row r="36811" spans="7:24" ht="15" customHeight="1">
      <c r="G36811"/>
      <c r="I36811"/>
      <c r="N36811"/>
      <c r="O36811" s="24"/>
      <c r="P36811"/>
      <c r="Q36811" s="24"/>
      <c r="R36811"/>
      <c r="S36811"/>
      <c r="T36811"/>
      <c r="U36811"/>
      <c r="X36811" s="60"/>
    </row>
    <row r="36812" spans="7:24" ht="15" customHeight="1">
      <c r="G36812"/>
      <c r="I36812"/>
      <c r="N36812"/>
      <c r="O36812" s="24"/>
      <c r="P36812"/>
      <c r="Q36812" s="24"/>
      <c r="R36812"/>
      <c r="S36812"/>
      <c r="T36812"/>
      <c r="U36812"/>
      <c r="X36812" s="60"/>
    </row>
    <row r="36813" spans="7:24" ht="15" customHeight="1">
      <c r="G36813"/>
      <c r="I36813"/>
      <c r="N36813"/>
      <c r="O36813" s="24"/>
      <c r="P36813"/>
      <c r="Q36813" s="24"/>
      <c r="R36813"/>
      <c r="S36813"/>
      <c r="T36813"/>
      <c r="U36813"/>
      <c r="X36813" s="60"/>
    </row>
    <row r="36814" spans="7:24" ht="15" customHeight="1">
      <c r="G36814"/>
      <c r="I36814"/>
      <c r="N36814"/>
      <c r="O36814" s="24"/>
      <c r="P36814"/>
      <c r="Q36814" s="24"/>
      <c r="R36814"/>
      <c r="S36814"/>
      <c r="T36814"/>
      <c r="U36814"/>
      <c r="X36814" s="60"/>
    </row>
    <row r="36815" spans="7:24" ht="15" customHeight="1">
      <c r="G36815"/>
      <c r="I36815"/>
      <c r="N36815"/>
      <c r="O36815" s="24"/>
      <c r="P36815"/>
      <c r="Q36815" s="24"/>
      <c r="R36815"/>
      <c r="S36815"/>
      <c r="T36815"/>
      <c r="U36815"/>
      <c r="X36815" s="60"/>
    </row>
    <row r="36816" spans="7:24" ht="15" customHeight="1">
      <c r="G36816"/>
      <c r="I36816"/>
      <c r="N36816"/>
      <c r="O36816" s="24"/>
      <c r="P36816"/>
      <c r="Q36816" s="24"/>
      <c r="R36816"/>
      <c r="S36816"/>
      <c r="T36816"/>
      <c r="U36816"/>
      <c r="X36816" s="60"/>
    </row>
    <row r="36817" spans="7:24" ht="15" customHeight="1">
      <c r="G36817"/>
      <c r="I36817"/>
      <c r="N36817"/>
      <c r="O36817" s="24"/>
      <c r="P36817"/>
      <c r="Q36817" s="24"/>
      <c r="R36817"/>
      <c r="S36817"/>
      <c r="T36817"/>
      <c r="U36817"/>
      <c r="X36817" s="60"/>
    </row>
    <row r="36818" spans="7:24" ht="15" customHeight="1">
      <c r="G36818"/>
      <c r="I36818"/>
      <c r="N36818"/>
      <c r="O36818" s="24"/>
      <c r="P36818"/>
      <c r="Q36818" s="24"/>
      <c r="R36818"/>
      <c r="S36818"/>
      <c r="T36818"/>
      <c r="U36818"/>
      <c r="X36818" s="60"/>
    </row>
    <row r="36819" spans="7:24" ht="15" customHeight="1">
      <c r="G36819"/>
      <c r="I36819"/>
      <c r="N36819"/>
      <c r="O36819" s="24"/>
      <c r="P36819"/>
      <c r="Q36819" s="24"/>
      <c r="R36819"/>
      <c r="S36819"/>
      <c r="T36819"/>
      <c r="U36819"/>
      <c r="X36819" s="60"/>
    </row>
    <row r="36820" spans="7:24" ht="15" customHeight="1">
      <c r="G36820"/>
      <c r="I36820"/>
      <c r="N36820"/>
      <c r="O36820" s="24"/>
      <c r="P36820"/>
      <c r="Q36820" s="24"/>
      <c r="R36820"/>
      <c r="S36820"/>
      <c r="T36820"/>
      <c r="U36820"/>
      <c r="X36820" s="60"/>
    </row>
    <row r="36821" spans="7:24" ht="15" customHeight="1">
      <c r="G36821"/>
      <c r="I36821"/>
      <c r="N36821"/>
      <c r="O36821" s="24"/>
      <c r="P36821"/>
      <c r="Q36821" s="24"/>
      <c r="R36821"/>
      <c r="S36821"/>
      <c r="T36821"/>
      <c r="U36821"/>
      <c r="X36821" s="60"/>
    </row>
    <row r="36822" spans="7:24" ht="15" customHeight="1">
      <c r="G36822"/>
      <c r="I36822"/>
      <c r="N36822"/>
      <c r="O36822" s="24"/>
      <c r="P36822"/>
      <c r="Q36822" s="24"/>
      <c r="R36822"/>
      <c r="S36822"/>
      <c r="T36822"/>
      <c r="U36822"/>
      <c r="X36822" s="60"/>
    </row>
    <row r="36823" spans="7:24" ht="15" customHeight="1">
      <c r="G36823"/>
      <c r="I36823"/>
      <c r="N36823"/>
      <c r="O36823" s="24"/>
      <c r="P36823"/>
      <c r="Q36823" s="24"/>
      <c r="R36823"/>
      <c r="S36823"/>
      <c r="T36823"/>
      <c r="U36823"/>
      <c r="X36823" s="60"/>
    </row>
    <row r="36824" spans="7:24" ht="15" customHeight="1">
      <c r="G36824"/>
      <c r="I36824"/>
      <c r="N36824"/>
      <c r="O36824" s="24"/>
      <c r="P36824"/>
      <c r="Q36824" s="24"/>
      <c r="R36824"/>
      <c r="S36824"/>
      <c r="T36824"/>
      <c r="U36824"/>
      <c r="X36824" s="60"/>
    </row>
    <row r="36825" spans="7:24" ht="15" customHeight="1">
      <c r="G36825"/>
      <c r="I36825"/>
      <c r="N36825"/>
      <c r="O36825" s="24"/>
      <c r="P36825"/>
      <c r="Q36825" s="24"/>
      <c r="R36825"/>
      <c r="S36825"/>
      <c r="T36825"/>
      <c r="U36825"/>
      <c r="X36825" s="60"/>
    </row>
    <row r="36826" spans="7:24" ht="15" customHeight="1">
      <c r="G36826"/>
      <c r="I36826"/>
      <c r="N36826"/>
      <c r="O36826" s="24"/>
      <c r="P36826"/>
      <c r="Q36826" s="24"/>
      <c r="R36826"/>
      <c r="S36826"/>
      <c r="T36826"/>
      <c r="U36826"/>
      <c r="X36826" s="60"/>
    </row>
    <row r="36827" spans="7:24" ht="15" customHeight="1">
      <c r="G36827"/>
      <c r="I36827"/>
      <c r="N36827"/>
      <c r="O36827" s="24"/>
      <c r="P36827"/>
      <c r="Q36827" s="24"/>
      <c r="R36827"/>
      <c r="S36827"/>
      <c r="T36827"/>
      <c r="U36827"/>
      <c r="X36827" s="60"/>
    </row>
    <row r="36828" spans="7:24" ht="15" customHeight="1">
      <c r="G36828"/>
      <c r="I36828"/>
      <c r="N36828"/>
      <c r="O36828" s="24"/>
      <c r="P36828"/>
      <c r="Q36828" s="24"/>
      <c r="R36828"/>
      <c r="S36828"/>
      <c r="T36828"/>
      <c r="U36828"/>
      <c r="X36828" s="60"/>
    </row>
    <row r="36829" spans="7:24" ht="15" customHeight="1">
      <c r="G36829"/>
      <c r="I36829"/>
      <c r="N36829"/>
      <c r="O36829" s="24"/>
      <c r="P36829"/>
      <c r="Q36829" s="24"/>
      <c r="R36829"/>
      <c r="S36829"/>
      <c r="T36829"/>
      <c r="U36829"/>
      <c r="X36829" s="60"/>
    </row>
    <row r="36830" spans="7:24" ht="15" customHeight="1">
      <c r="G36830"/>
      <c r="I36830"/>
      <c r="N36830"/>
      <c r="O36830" s="24"/>
      <c r="P36830"/>
      <c r="Q36830" s="24"/>
      <c r="R36830"/>
      <c r="S36830"/>
      <c r="T36830"/>
      <c r="U36830"/>
      <c r="X36830" s="60"/>
    </row>
    <row r="36831" spans="7:24" ht="15" customHeight="1">
      <c r="G36831"/>
      <c r="I36831"/>
      <c r="N36831"/>
      <c r="O36831" s="24"/>
      <c r="P36831"/>
      <c r="Q36831" s="24"/>
      <c r="R36831"/>
      <c r="S36831"/>
      <c r="T36831"/>
      <c r="U36831"/>
      <c r="X36831" s="60"/>
    </row>
    <row r="36832" spans="7:24" ht="15" customHeight="1">
      <c r="G36832"/>
      <c r="I36832"/>
      <c r="N36832"/>
      <c r="O36832" s="24"/>
      <c r="P36832"/>
      <c r="Q36832" s="24"/>
      <c r="R36832"/>
      <c r="S36832"/>
      <c r="T36832"/>
      <c r="U36832"/>
      <c r="X36832" s="60"/>
    </row>
    <row r="36833" spans="7:24" ht="15" customHeight="1">
      <c r="G36833"/>
      <c r="I36833"/>
      <c r="N36833"/>
      <c r="O36833" s="24"/>
      <c r="P36833"/>
      <c r="Q36833" s="24"/>
      <c r="R36833"/>
      <c r="S36833"/>
      <c r="T36833"/>
      <c r="U36833"/>
      <c r="X36833" s="60"/>
    </row>
    <row r="36834" spans="7:24" ht="15" customHeight="1">
      <c r="G36834"/>
      <c r="I36834"/>
      <c r="N36834"/>
      <c r="O36834" s="24"/>
      <c r="P36834"/>
      <c r="Q36834" s="24"/>
      <c r="R36834"/>
      <c r="S36834"/>
      <c r="T36834"/>
      <c r="U36834"/>
      <c r="X36834" s="60"/>
    </row>
    <row r="36835" spans="7:24" ht="15" customHeight="1">
      <c r="G36835"/>
      <c r="I36835"/>
      <c r="N36835"/>
      <c r="O36835" s="24"/>
      <c r="P36835"/>
      <c r="Q36835" s="24"/>
      <c r="R36835"/>
      <c r="S36835"/>
      <c r="T36835"/>
      <c r="U36835"/>
      <c r="X36835" s="60"/>
    </row>
    <row r="36836" spans="7:24" ht="15" customHeight="1">
      <c r="G36836"/>
      <c r="I36836"/>
      <c r="N36836"/>
      <c r="O36836" s="24"/>
      <c r="P36836"/>
      <c r="Q36836" s="24"/>
      <c r="R36836"/>
      <c r="S36836"/>
      <c r="T36836"/>
      <c r="U36836"/>
      <c r="X36836" s="60"/>
    </row>
    <row r="36837" spans="7:24" ht="15" customHeight="1">
      <c r="G36837"/>
      <c r="I36837"/>
      <c r="N36837"/>
      <c r="O36837" s="24"/>
      <c r="P36837"/>
      <c r="Q36837" s="24"/>
      <c r="R36837"/>
      <c r="S36837"/>
      <c r="T36837"/>
      <c r="U36837"/>
      <c r="X36837" s="60"/>
    </row>
    <row r="36838" spans="7:24" ht="15" customHeight="1">
      <c r="G36838"/>
      <c r="I36838"/>
      <c r="N36838"/>
      <c r="O36838" s="24"/>
      <c r="P36838"/>
      <c r="Q36838" s="24"/>
      <c r="R36838"/>
      <c r="S36838"/>
      <c r="T36838"/>
      <c r="U36838"/>
      <c r="X36838" s="60"/>
    </row>
    <row r="36839" spans="7:24" ht="15" customHeight="1">
      <c r="G36839"/>
      <c r="I36839"/>
      <c r="N36839"/>
      <c r="O36839" s="24"/>
      <c r="P36839"/>
      <c r="Q36839" s="24"/>
      <c r="R36839"/>
      <c r="S36839"/>
      <c r="T36839"/>
      <c r="U36839"/>
      <c r="X36839" s="60"/>
    </row>
    <row r="36840" spans="7:24" ht="15" customHeight="1">
      <c r="G36840"/>
      <c r="I36840"/>
      <c r="N36840"/>
      <c r="O36840" s="24"/>
      <c r="P36840"/>
      <c r="Q36840" s="24"/>
      <c r="R36840"/>
      <c r="S36840"/>
      <c r="T36840"/>
      <c r="U36840"/>
      <c r="X36840" s="60"/>
    </row>
    <row r="36841" spans="7:24" ht="15" customHeight="1">
      <c r="G36841"/>
      <c r="I36841"/>
      <c r="N36841"/>
      <c r="O36841" s="24"/>
      <c r="P36841"/>
      <c r="Q36841" s="24"/>
      <c r="R36841"/>
      <c r="S36841"/>
      <c r="T36841"/>
      <c r="U36841"/>
      <c r="X36841" s="60"/>
    </row>
    <row r="36842" spans="7:24" ht="15" customHeight="1">
      <c r="G36842"/>
      <c r="I36842"/>
      <c r="N36842"/>
      <c r="O36842" s="24"/>
      <c r="P36842"/>
      <c r="Q36842" s="24"/>
      <c r="R36842"/>
      <c r="S36842"/>
      <c r="T36842"/>
      <c r="U36842"/>
      <c r="X36842" s="60"/>
    </row>
    <row r="36843" spans="7:24" ht="15" customHeight="1">
      <c r="G36843"/>
      <c r="I36843"/>
      <c r="N36843"/>
      <c r="O36843" s="24"/>
      <c r="P36843"/>
      <c r="Q36843" s="24"/>
      <c r="R36843"/>
      <c r="S36843"/>
      <c r="T36843"/>
      <c r="U36843"/>
      <c r="X36843" s="60"/>
    </row>
    <row r="36844" spans="7:24" ht="15" customHeight="1">
      <c r="G36844"/>
      <c r="I36844"/>
      <c r="N36844"/>
      <c r="O36844" s="24"/>
      <c r="P36844"/>
      <c r="Q36844" s="24"/>
      <c r="R36844"/>
      <c r="S36844"/>
      <c r="T36844"/>
      <c r="U36844"/>
      <c r="X36844" s="60"/>
    </row>
    <row r="36845" spans="7:24" ht="15" customHeight="1">
      <c r="G36845"/>
      <c r="I36845"/>
      <c r="N36845"/>
      <c r="O36845" s="24"/>
      <c r="P36845"/>
      <c r="Q36845" s="24"/>
      <c r="R36845"/>
      <c r="S36845"/>
      <c r="T36845"/>
      <c r="U36845"/>
      <c r="X36845" s="60"/>
    </row>
    <row r="36846" spans="7:24" ht="15" customHeight="1">
      <c r="G36846"/>
      <c r="I36846"/>
      <c r="N36846"/>
      <c r="O36846" s="24"/>
      <c r="P36846"/>
      <c r="Q36846" s="24"/>
      <c r="R36846"/>
      <c r="S36846"/>
      <c r="T36846"/>
      <c r="U36846"/>
      <c r="X36846" s="60"/>
    </row>
    <row r="36847" spans="7:24" ht="15" customHeight="1">
      <c r="G36847"/>
      <c r="I36847"/>
      <c r="N36847"/>
      <c r="O36847" s="24"/>
      <c r="P36847"/>
      <c r="Q36847" s="24"/>
      <c r="R36847"/>
      <c r="S36847"/>
      <c r="T36847"/>
      <c r="U36847"/>
      <c r="X36847" s="60"/>
    </row>
    <row r="36848" spans="7:24" ht="15" customHeight="1">
      <c r="G36848"/>
      <c r="I36848"/>
      <c r="N36848"/>
      <c r="O36848" s="24"/>
      <c r="P36848"/>
      <c r="Q36848" s="24"/>
      <c r="R36848"/>
      <c r="S36848"/>
      <c r="T36848"/>
      <c r="U36848"/>
      <c r="X36848" s="60"/>
    </row>
    <row r="36849" spans="7:24" ht="15" customHeight="1">
      <c r="G36849"/>
      <c r="I36849"/>
      <c r="N36849"/>
      <c r="O36849" s="24"/>
      <c r="P36849"/>
      <c r="Q36849" s="24"/>
      <c r="R36849"/>
      <c r="S36849"/>
      <c r="T36849"/>
      <c r="U36849"/>
      <c r="X36849" s="60"/>
    </row>
    <row r="36850" spans="7:24" ht="15" customHeight="1">
      <c r="G36850"/>
      <c r="I36850"/>
      <c r="N36850"/>
      <c r="O36850" s="24"/>
      <c r="P36850"/>
      <c r="Q36850" s="24"/>
      <c r="R36850"/>
      <c r="S36850"/>
      <c r="T36850"/>
      <c r="U36850"/>
      <c r="X36850" s="60"/>
    </row>
    <row r="36851" spans="7:24" ht="15" customHeight="1">
      <c r="G36851"/>
      <c r="I36851"/>
      <c r="N36851"/>
      <c r="O36851" s="24"/>
      <c r="P36851"/>
      <c r="Q36851" s="24"/>
      <c r="R36851"/>
      <c r="S36851"/>
      <c r="T36851"/>
      <c r="U36851"/>
      <c r="X36851" s="60"/>
    </row>
    <row r="36852" spans="7:24" ht="15" customHeight="1">
      <c r="G36852"/>
      <c r="I36852"/>
      <c r="N36852"/>
      <c r="O36852" s="24"/>
      <c r="P36852"/>
      <c r="Q36852" s="24"/>
      <c r="R36852"/>
      <c r="S36852"/>
      <c r="T36852"/>
      <c r="U36852"/>
      <c r="X36852" s="60"/>
    </row>
    <row r="36853" spans="7:24" ht="15" customHeight="1">
      <c r="G36853"/>
      <c r="I36853"/>
      <c r="N36853"/>
      <c r="O36853" s="24"/>
      <c r="P36853"/>
      <c r="Q36853" s="24"/>
      <c r="R36853"/>
      <c r="S36853"/>
      <c r="T36853"/>
      <c r="U36853"/>
      <c r="X36853" s="60"/>
    </row>
    <row r="36854" spans="7:24" ht="15" customHeight="1">
      <c r="G36854"/>
      <c r="I36854"/>
      <c r="N36854"/>
      <c r="O36854" s="24"/>
      <c r="P36854"/>
      <c r="Q36854" s="24"/>
      <c r="R36854"/>
      <c r="S36854"/>
      <c r="T36854"/>
      <c r="U36854"/>
      <c r="X36854" s="60"/>
    </row>
    <row r="36855" spans="7:24" ht="15" customHeight="1">
      <c r="G36855"/>
      <c r="I36855"/>
      <c r="N36855"/>
      <c r="O36855" s="24"/>
      <c r="P36855"/>
      <c r="Q36855" s="24"/>
      <c r="R36855"/>
      <c r="S36855"/>
      <c r="T36855"/>
      <c r="U36855"/>
      <c r="X36855" s="60"/>
    </row>
    <row r="36856" spans="7:24" ht="15" customHeight="1">
      <c r="G36856"/>
      <c r="I36856"/>
      <c r="N36856"/>
      <c r="O36856" s="24"/>
      <c r="P36856"/>
      <c r="Q36856" s="24"/>
      <c r="R36856"/>
      <c r="S36856"/>
      <c r="T36856"/>
      <c r="U36856"/>
      <c r="X36856" s="60"/>
    </row>
    <row r="36857" spans="7:24" ht="15" customHeight="1">
      <c r="G36857"/>
      <c r="I36857"/>
      <c r="N36857"/>
      <c r="O36857" s="24"/>
      <c r="P36857"/>
      <c r="Q36857" s="24"/>
      <c r="R36857"/>
      <c r="S36857"/>
      <c r="T36857"/>
      <c r="U36857"/>
      <c r="X36857" s="60"/>
    </row>
    <row r="36858" spans="7:24" ht="15" customHeight="1">
      <c r="G36858"/>
      <c r="I36858"/>
      <c r="N36858"/>
      <c r="O36858" s="24"/>
      <c r="P36858"/>
      <c r="Q36858" s="24"/>
      <c r="R36858"/>
      <c r="S36858"/>
      <c r="T36858"/>
      <c r="U36858"/>
      <c r="X36858" s="60"/>
    </row>
    <row r="36859" spans="7:24" ht="15" customHeight="1">
      <c r="G36859"/>
      <c r="I36859"/>
      <c r="N36859"/>
      <c r="O36859" s="24"/>
      <c r="P36859"/>
      <c r="Q36859" s="24"/>
      <c r="R36859"/>
      <c r="S36859"/>
      <c r="T36859"/>
      <c r="U36859"/>
      <c r="X36859" s="60"/>
    </row>
    <row r="36860" spans="7:24" ht="15" customHeight="1">
      <c r="G36860"/>
      <c r="I36860"/>
      <c r="N36860"/>
      <c r="O36860" s="24"/>
      <c r="P36860"/>
      <c r="Q36860" s="24"/>
      <c r="R36860"/>
      <c r="S36860"/>
      <c r="T36860"/>
      <c r="U36860"/>
      <c r="X36860" s="60"/>
    </row>
    <row r="36861" spans="7:24" ht="15" customHeight="1">
      <c r="G36861"/>
      <c r="I36861"/>
      <c r="N36861"/>
      <c r="O36861" s="24"/>
      <c r="P36861"/>
      <c r="Q36861" s="24"/>
      <c r="R36861"/>
      <c r="S36861"/>
      <c r="T36861"/>
      <c r="U36861"/>
      <c r="X36861" s="60"/>
    </row>
    <row r="36862" spans="7:24" ht="15" customHeight="1">
      <c r="G36862"/>
      <c r="I36862"/>
      <c r="N36862"/>
      <c r="O36862" s="24"/>
      <c r="P36862"/>
      <c r="Q36862" s="24"/>
      <c r="R36862"/>
      <c r="S36862"/>
      <c r="T36862"/>
      <c r="U36862"/>
      <c r="X36862" s="60"/>
    </row>
    <row r="36863" spans="7:24" ht="15" customHeight="1">
      <c r="G36863"/>
      <c r="I36863"/>
      <c r="N36863"/>
      <c r="O36863" s="24"/>
      <c r="P36863"/>
      <c r="Q36863" s="24"/>
      <c r="R36863"/>
      <c r="S36863"/>
      <c r="T36863"/>
      <c r="U36863"/>
      <c r="X36863" s="60"/>
    </row>
    <row r="36864" spans="7:24" ht="15" customHeight="1">
      <c r="G36864"/>
      <c r="I36864"/>
      <c r="N36864"/>
      <c r="O36864" s="24"/>
      <c r="P36864"/>
      <c r="Q36864" s="24"/>
      <c r="R36864"/>
      <c r="S36864"/>
      <c r="T36864"/>
      <c r="U36864"/>
      <c r="X36864" s="60"/>
    </row>
    <row r="36865" spans="7:24" ht="15" customHeight="1">
      <c r="G36865"/>
      <c r="I36865"/>
      <c r="N36865"/>
      <c r="O36865" s="24"/>
      <c r="P36865"/>
      <c r="Q36865" s="24"/>
      <c r="R36865"/>
      <c r="S36865"/>
      <c r="T36865"/>
      <c r="U36865"/>
      <c r="X36865" s="60"/>
    </row>
    <row r="36866" spans="7:24" ht="15" customHeight="1">
      <c r="G36866"/>
      <c r="I36866"/>
      <c r="N36866"/>
      <c r="O36866" s="24"/>
      <c r="P36866"/>
      <c r="Q36866" s="24"/>
      <c r="R36866"/>
      <c r="S36866"/>
      <c r="T36866"/>
      <c r="U36866"/>
      <c r="X36866" s="60"/>
    </row>
    <row r="36867" spans="7:24" ht="15" customHeight="1">
      <c r="G36867"/>
      <c r="I36867"/>
      <c r="N36867"/>
      <c r="O36867" s="24"/>
      <c r="P36867"/>
      <c r="Q36867" s="24"/>
      <c r="R36867"/>
      <c r="S36867"/>
      <c r="T36867"/>
      <c r="U36867"/>
      <c r="X36867" s="60"/>
    </row>
    <row r="36868" spans="7:24" ht="15" customHeight="1">
      <c r="G36868"/>
      <c r="I36868"/>
      <c r="N36868"/>
      <c r="O36868" s="24"/>
      <c r="P36868"/>
      <c r="Q36868" s="24"/>
      <c r="R36868"/>
      <c r="S36868"/>
      <c r="T36868"/>
      <c r="U36868"/>
      <c r="X36868" s="60"/>
    </row>
    <row r="36869" spans="7:24" ht="15" customHeight="1">
      <c r="G36869"/>
      <c r="I36869"/>
      <c r="N36869"/>
      <c r="O36869" s="24"/>
      <c r="P36869"/>
      <c r="Q36869" s="24"/>
      <c r="R36869"/>
      <c r="S36869"/>
      <c r="T36869"/>
      <c r="U36869"/>
      <c r="X36869" s="60"/>
    </row>
    <row r="36870" spans="7:24" ht="15" customHeight="1">
      <c r="G36870"/>
      <c r="I36870"/>
      <c r="N36870"/>
      <c r="O36870" s="24"/>
      <c r="P36870"/>
      <c r="Q36870" s="24"/>
      <c r="R36870"/>
      <c r="S36870"/>
      <c r="T36870"/>
      <c r="U36870"/>
      <c r="X36870" s="60"/>
    </row>
    <row r="36871" spans="7:24" ht="15" customHeight="1">
      <c r="G36871"/>
      <c r="I36871"/>
      <c r="N36871"/>
      <c r="O36871" s="24"/>
      <c r="P36871"/>
      <c r="Q36871" s="24"/>
      <c r="R36871"/>
      <c r="S36871"/>
      <c r="T36871"/>
      <c r="U36871"/>
      <c r="X36871" s="60"/>
    </row>
    <row r="36872" spans="7:24" ht="15" customHeight="1">
      <c r="G36872"/>
      <c r="I36872"/>
      <c r="N36872"/>
      <c r="O36872" s="24"/>
      <c r="P36872"/>
      <c r="Q36872" s="24"/>
      <c r="R36872"/>
      <c r="S36872"/>
      <c r="T36872"/>
      <c r="U36872"/>
      <c r="X36872" s="60"/>
    </row>
    <row r="36873" spans="7:24" ht="15" customHeight="1">
      <c r="G36873"/>
      <c r="I36873"/>
      <c r="N36873"/>
      <c r="O36873" s="24"/>
      <c r="P36873"/>
      <c r="Q36873" s="24"/>
      <c r="R36873"/>
      <c r="S36873"/>
      <c r="T36873"/>
      <c r="U36873"/>
      <c r="X36873" s="60"/>
    </row>
    <row r="36874" spans="7:24" ht="15" customHeight="1">
      <c r="G36874"/>
      <c r="I36874"/>
      <c r="N36874"/>
      <c r="O36874" s="24"/>
      <c r="P36874"/>
      <c r="Q36874" s="24"/>
      <c r="R36874"/>
      <c r="S36874"/>
      <c r="T36874"/>
      <c r="U36874"/>
      <c r="X36874" s="60"/>
    </row>
    <row r="36875" spans="7:24" ht="15" customHeight="1">
      <c r="G36875"/>
      <c r="I36875"/>
      <c r="N36875"/>
      <c r="O36875" s="24"/>
      <c r="P36875"/>
      <c r="Q36875" s="24"/>
      <c r="R36875"/>
      <c r="S36875"/>
      <c r="T36875"/>
      <c r="U36875"/>
      <c r="X36875" s="60"/>
    </row>
    <row r="36876" spans="7:24" ht="15" customHeight="1">
      <c r="G36876"/>
      <c r="I36876"/>
      <c r="N36876"/>
      <c r="O36876" s="24"/>
      <c r="P36876"/>
      <c r="Q36876" s="24"/>
      <c r="R36876"/>
      <c r="S36876"/>
      <c r="T36876"/>
      <c r="U36876"/>
      <c r="X36876" s="60"/>
    </row>
    <row r="36877" spans="7:24" ht="15" customHeight="1">
      <c r="G36877"/>
      <c r="I36877"/>
      <c r="N36877"/>
      <c r="O36877" s="24"/>
      <c r="P36877"/>
      <c r="Q36877" s="24"/>
      <c r="R36877"/>
      <c r="S36877"/>
      <c r="T36877"/>
      <c r="U36877"/>
      <c r="X36877" s="60"/>
    </row>
    <row r="36878" spans="7:24" ht="15" customHeight="1">
      <c r="G36878"/>
      <c r="I36878"/>
      <c r="N36878"/>
      <c r="O36878" s="24"/>
      <c r="P36878"/>
      <c r="Q36878" s="24"/>
      <c r="R36878"/>
      <c r="S36878"/>
      <c r="T36878"/>
      <c r="U36878"/>
      <c r="X36878" s="60"/>
    </row>
    <row r="36879" spans="7:24" ht="15" customHeight="1">
      <c r="G36879"/>
      <c r="I36879"/>
      <c r="N36879"/>
      <c r="O36879" s="24"/>
      <c r="P36879"/>
      <c r="Q36879" s="24"/>
      <c r="R36879"/>
      <c r="S36879"/>
      <c r="T36879"/>
      <c r="U36879"/>
      <c r="X36879" s="60"/>
    </row>
    <row r="36880" spans="7:24" ht="15" customHeight="1">
      <c r="G36880"/>
      <c r="I36880"/>
      <c r="N36880"/>
      <c r="O36880" s="24"/>
      <c r="P36880"/>
      <c r="Q36880" s="24"/>
      <c r="R36880"/>
      <c r="S36880"/>
      <c r="T36880"/>
      <c r="U36880"/>
      <c r="X36880" s="60"/>
    </row>
    <row r="36881" spans="7:24" ht="15" customHeight="1">
      <c r="G36881"/>
      <c r="I36881"/>
      <c r="N36881"/>
      <c r="O36881" s="24"/>
      <c r="P36881"/>
      <c r="Q36881" s="24"/>
      <c r="R36881"/>
      <c r="S36881"/>
      <c r="T36881"/>
      <c r="U36881"/>
      <c r="X36881" s="60"/>
    </row>
    <row r="36882" spans="7:24" ht="15" customHeight="1">
      <c r="G36882"/>
      <c r="I36882"/>
      <c r="N36882"/>
      <c r="O36882" s="24"/>
      <c r="P36882"/>
      <c r="Q36882" s="24"/>
      <c r="R36882"/>
      <c r="S36882"/>
      <c r="T36882"/>
      <c r="U36882"/>
      <c r="X36882" s="60"/>
    </row>
    <row r="36883" spans="7:24" ht="15" customHeight="1">
      <c r="G36883"/>
      <c r="I36883"/>
      <c r="N36883"/>
      <c r="O36883" s="24"/>
      <c r="P36883"/>
      <c r="Q36883" s="24"/>
      <c r="R36883"/>
      <c r="S36883"/>
      <c r="T36883"/>
      <c r="U36883"/>
      <c r="X36883" s="60"/>
    </row>
    <row r="36884" spans="7:24" ht="15" customHeight="1">
      <c r="G36884"/>
      <c r="I36884"/>
      <c r="N36884"/>
      <c r="O36884" s="24"/>
      <c r="P36884"/>
      <c r="Q36884" s="24"/>
      <c r="R36884"/>
      <c r="S36884"/>
      <c r="T36884"/>
      <c r="U36884"/>
      <c r="X36884" s="60"/>
    </row>
    <row r="36885" spans="7:24" ht="15" customHeight="1">
      <c r="G36885"/>
      <c r="I36885"/>
      <c r="N36885"/>
      <c r="O36885" s="24"/>
      <c r="P36885"/>
      <c r="Q36885" s="24"/>
      <c r="R36885"/>
      <c r="S36885"/>
      <c r="T36885"/>
      <c r="U36885"/>
      <c r="X36885" s="60"/>
    </row>
    <row r="36886" spans="7:24" ht="15" customHeight="1">
      <c r="G36886"/>
      <c r="I36886"/>
      <c r="N36886"/>
      <c r="O36886" s="24"/>
      <c r="P36886"/>
      <c r="Q36886" s="24"/>
      <c r="R36886"/>
      <c r="S36886"/>
      <c r="T36886"/>
      <c r="U36886"/>
      <c r="X36886" s="60"/>
    </row>
    <row r="36887" spans="7:24" ht="15" customHeight="1">
      <c r="G36887"/>
      <c r="I36887"/>
      <c r="N36887"/>
      <c r="O36887" s="24"/>
      <c r="P36887"/>
      <c r="Q36887" s="24"/>
      <c r="R36887"/>
      <c r="S36887"/>
      <c r="T36887"/>
      <c r="U36887"/>
      <c r="X36887" s="60"/>
    </row>
    <row r="36888" spans="7:24" ht="15" customHeight="1">
      <c r="G36888"/>
      <c r="I36888"/>
      <c r="N36888"/>
      <c r="O36888" s="24"/>
      <c r="P36888"/>
      <c r="Q36888" s="24"/>
      <c r="R36888"/>
      <c r="S36888"/>
      <c r="T36888"/>
      <c r="U36888"/>
      <c r="X36888" s="60"/>
    </row>
    <row r="36889" spans="7:24" ht="15" customHeight="1">
      <c r="G36889"/>
      <c r="I36889"/>
      <c r="N36889"/>
      <c r="O36889" s="24"/>
      <c r="P36889"/>
      <c r="Q36889" s="24"/>
      <c r="R36889"/>
      <c r="S36889"/>
      <c r="T36889"/>
      <c r="U36889"/>
      <c r="X36889" s="60"/>
    </row>
    <row r="36890" spans="7:24" ht="15" customHeight="1">
      <c r="G36890"/>
      <c r="I36890"/>
      <c r="N36890"/>
      <c r="O36890" s="24"/>
      <c r="P36890"/>
      <c r="Q36890" s="24"/>
      <c r="R36890"/>
      <c r="S36890"/>
      <c r="T36890"/>
      <c r="U36890"/>
      <c r="X36890" s="60"/>
    </row>
    <row r="36891" spans="7:24" ht="15" customHeight="1">
      <c r="G36891"/>
      <c r="I36891"/>
      <c r="N36891"/>
      <c r="O36891" s="24"/>
      <c r="P36891"/>
      <c r="Q36891" s="24"/>
      <c r="R36891"/>
      <c r="S36891"/>
      <c r="T36891"/>
      <c r="U36891"/>
      <c r="X36891" s="60"/>
    </row>
    <row r="36892" spans="7:24" ht="15" customHeight="1">
      <c r="G36892"/>
      <c r="I36892"/>
      <c r="N36892"/>
      <c r="O36892" s="24"/>
      <c r="P36892"/>
      <c r="Q36892" s="24"/>
      <c r="R36892"/>
      <c r="S36892"/>
      <c r="T36892"/>
      <c r="U36892"/>
      <c r="X36892" s="60"/>
    </row>
    <row r="36893" spans="7:24" ht="15" customHeight="1">
      <c r="G36893"/>
      <c r="I36893"/>
      <c r="N36893"/>
      <c r="O36893" s="24"/>
      <c r="P36893"/>
      <c r="Q36893" s="24"/>
      <c r="R36893"/>
      <c r="S36893"/>
      <c r="T36893"/>
      <c r="U36893"/>
      <c r="X36893" s="60"/>
    </row>
    <row r="36894" spans="7:24" ht="15" customHeight="1">
      <c r="G36894"/>
      <c r="I36894"/>
      <c r="N36894"/>
      <c r="O36894" s="24"/>
      <c r="P36894"/>
      <c r="Q36894" s="24"/>
      <c r="R36894"/>
      <c r="S36894"/>
      <c r="T36894"/>
      <c r="U36894"/>
      <c r="X36894" s="60"/>
    </row>
    <row r="36895" spans="7:24" ht="15" customHeight="1">
      <c r="G36895"/>
      <c r="I36895"/>
      <c r="N36895"/>
      <c r="O36895" s="24"/>
      <c r="P36895"/>
      <c r="Q36895" s="24"/>
      <c r="R36895"/>
      <c r="S36895"/>
      <c r="T36895"/>
      <c r="U36895"/>
      <c r="X36895" s="60"/>
    </row>
    <row r="36896" spans="7:24" ht="15" customHeight="1">
      <c r="G36896"/>
      <c r="I36896"/>
      <c r="N36896"/>
      <c r="O36896" s="24"/>
      <c r="P36896"/>
      <c r="Q36896" s="24"/>
      <c r="R36896"/>
      <c r="S36896"/>
      <c r="T36896"/>
      <c r="U36896"/>
      <c r="X36896" s="60"/>
    </row>
    <row r="36897" spans="7:24" ht="15" customHeight="1">
      <c r="G36897"/>
      <c r="I36897"/>
      <c r="N36897"/>
      <c r="O36897" s="24"/>
      <c r="P36897"/>
      <c r="Q36897" s="24"/>
      <c r="R36897"/>
      <c r="S36897"/>
      <c r="T36897"/>
      <c r="U36897"/>
      <c r="X36897" s="60"/>
    </row>
    <row r="36898" spans="7:24" ht="15" customHeight="1">
      <c r="G36898"/>
      <c r="I36898"/>
      <c r="N36898"/>
      <c r="O36898" s="24"/>
      <c r="P36898"/>
      <c r="Q36898" s="24"/>
      <c r="R36898"/>
      <c r="S36898"/>
      <c r="T36898"/>
      <c r="U36898"/>
      <c r="X36898" s="60"/>
    </row>
    <row r="36899" spans="7:24" ht="15" customHeight="1">
      <c r="G36899"/>
      <c r="I36899"/>
      <c r="N36899"/>
      <c r="O36899" s="24"/>
      <c r="P36899"/>
      <c r="Q36899" s="24"/>
      <c r="R36899"/>
      <c r="S36899"/>
      <c r="T36899"/>
      <c r="U36899"/>
      <c r="X36899" s="60"/>
    </row>
    <row r="36900" spans="7:24" ht="15" customHeight="1">
      <c r="G36900"/>
      <c r="I36900"/>
      <c r="N36900"/>
      <c r="O36900" s="24"/>
      <c r="P36900"/>
      <c r="Q36900" s="24"/>
      <c r="R36900"/>
      <c r="S36900"/>
      <c r="T36900"/>
      <c r="U36900"/>
      <c r="X36900" s="60"/>
    </row>
    <row r="36901" spans="7:24" ht="15" customHeight="1">
      <c r="G36901"/>
      <c r="I36901"/>
      <c r="N36901"/>
      <c r="O36901" s="24"/>
      <c r="P36901"/>
      <c r="Q36901" s="24"/>
      <c r="R36901"/>
      <c r="S36901"/>
      <c r="T36901"/>
      <c r="U36901"/>
      <c r="X36901" s="60"/>
    </row>
    <row r="36902" spans="7:24" ht="15" customHeight="1">
      <c r="G36902"/>
      <c r="I36902"/>
      <c r="N36902"/>
      <c r="O36902" s="24"/>
      <c r="P36902"/>
      <c r="Q36902" s="24"/>
      <c r="R36902"/>
      <c r="S36902"/>
      <c r="T36902"/>
      <c r="U36902"/>
      <c r="X36902" s="60"/>
    </row>
    <row r="36903" spans="7:24" ht="15" customHeight="1">
      <c r="G36903"/>
      <c r="I36903"/>
      <c r="N36903"/>
      <c r="O36903" s="24"/>
      <c r="P36903"/>
      <c r="Q36903" s="24"/>
      <c r="R36903"/>
      <c r="S36903"/>
      <c r="T36903"/>
      <c r="U36903"/>
      <c r="X36903" s="60"/>
    </row>
    <row r="36904" spans="7:24" ht="15" customHeight="1">
      <c r="G36904"/>
      <c r="I36904"/>
      <c r="N36904"/>
      <c r="O36904" s="24"/>
      <c r="P36904"/>
      <c r="Q36904" s="24"/>
      <c r="R36904"/>
      <c r="S36904"/>
      <c r="T36904"/>
      <c r="U36904"/>
      <c r="X36904" s="60"/>
    </row>
    <row r="36905" spans="7:24" ht="15" customHeight="1">
      <c r="G36905"/>
      <c r="I36905"/>
      <c r="N36905"/>
      <c r="O36905" s="24"/>
      <c r="P36905"/>
      <c r="Q36905" s="24"/>
      <c r="R36905"/>
      <c r="S36905"/>
      <c r="T36905"/>
      <c r="U36905"/>
      <c r="X36905" s="60"/>
    </row>
    <row r="36906" spans="7:24" ht="15" customHeight="1">
      <c r="G36906"/>
      <c r="I36906"/>
      <c r="N36906"/>
      <c r="O36906" s="24"/>
      <c r="P36906"/>
      <c r="Q36906" s="24"/>
      <c r="R36906"/>
      <c r="S36906"/>
      <c r="T36906"/>
      <c r="U36906"/>
      <c r="X36906" s="60"/>
    </row>
    <row r="36907" spans="7:24" ht="15" customHeight="1">
      <c r="G36907"/>
      <c r="I36907"/>
      <c r="N36907"/>
      <c r="O36907" s="24"/>
      <c r="P36907"/>
      <c r="Q36907" s="24"/>
      <c r="R36907"/>
      <c r="S36907"/>
      <c r="T36907"/>
      <c r="U36907"/>
      <c r="X36907" s="60"/>
    </row>
    <row r="36908" spans="7:24" ht="15" customHeight="1">
      <c r="G36908"/>
      <c r="I36908"/>
      <c r="N36908"/>
      <c r="O36908" s="24"/>
      <c r="P36908"/>
      <c r="Q36908" s="24"/>
      <c r="R36908"/>
      <c r="S36908"/>
      <c r="T36908"/>
      <c r="U36908"/>
      <c r="X36908" s="60"/>
    </row>
    <row r="36909" spans="7:24" ht="15" customHeight="1">
      <c r="G36909"/>
      <c r="I36909"/>
      <c r="N36909"/>
      <c r="O36909" s="24"/>
      <c r="P36909"/>
      <c r="Q36909" s="24"/>
      <c r="R36909"/>
      <c r="S36909"/>
      <c r="T36909"/>
      <c r="U36909"/>
      <c r="X36909" s="60"/>
    </row>
    <row r="36910" spans="7:24" ht="15" customHeight="1">
      <c r="G36910"/>
      <c r="I36910"/>
      <c r="N36910"/>
      <c r="O36910" s="24"/>
      <c r="P36910"/>
      <c r="Q36910" s="24"/>
      <c r="R36910"/>
      <c r="S36910"/>
      <c r="T36910"/>
      <c r="U36910"/>
      <c r="X36910" s="60"/>
    </row>
    <row r="36911" spans="7:24" ht="15" customHeight="1">
      <c r="G36911"/>
      <c r="I36911"/>
      <c r="N36911"/>
      <c r="O36911" s="24"/>
      <c r="P36911"/>
      <c r="Q36911" s="24"/>
      <c r="R36911"/>
      <c r="S36911"/>
      <c r="T36911"/>
      <c r="U36911"/>
      <c r="X36911" s="60"/>
    </row>
    <row r="36912" spans="7:24" ht="15" customHeight="1">
      <c r="G36912"/>
      <c r="I36912"/>
      <c r="N36912"/>
      <c r="O36912" s="24"/>
      <c r="P36912"/>
      <c r="Q36912" s="24"/>
      <c r="R36912"/>
      <c r="S36912"/>
      <c r="T36912"/>
      <c r="U36912"/>
      <c r="X36912" s="60"/>
    </row>
    <row r="36913" spans="7:24" ht="15" customHeight="1">
      <c r="G36913"/>
      <c r="I36913"/>
      <c r="N36913"/>
      <c r="O36913" s="24"/>
      <c r="P36913"/>
      <c r="Q36913" s="24"/>
      <c r="R36913"/>
      <c r="S36913"/>
      <c r="T36913"/>
      <c r="U36913"/>
      <c r="X36913" s="60"/>
    </row>
    <row r="36914" spans="7:24" ht="15" customHeight="1">
      <c r="G36914"/>
      <c r="I36914"/>
      <c r="N36914"/>
      <c r="O36914" s="24"/>
      <c r="P36914"/>
      <c r="Q36914" s="24"/>
      <c r="R36914"/>
      <c r="S36914"/>
      <c r="T36914"/>
      <c r="U36914"/>
      <c r="X36914" s="60"/>
    </row>
    <row r="36915" spans="7:24" ht="15" customHeight="1">
      <c r="G36915"/>
      <c r="I36915"/>
      <c r="N36915"/>
      <c r="O36915" s="24"/>
      <c r="P36915"/>
      <c r="Q36915" s="24"/>
      <c r="R36915"/>
      <c r="S36915"/>
      <c r="T36915"/>
      <c r="U36915"/>
      <c r="X36915" s="60"/>
    </row>
    <row r="36916" spans="7:24" ht="15" customHeight="1">
      <c r="G36916"/>
      <c r="I36916"/>
      <c r="N36916"/>
      <c r="O36916" s="24"/>
      <c r="P36916"/>
      <c r="Q36916" s="24"/>
      <c r="R36916"/>
      <c r="S36916"/>
      <c r="T36916"/>
      <c r="U36916"/>
      <c r="X36916" s="60"/>
    </row>
    <row r="36917" spans="7:24" ht="15" customHeight="1">
      <c r="G36917"/>
      <c r="I36917"/>
      <c r="N36917"/>
      <c r="O36917" s="24"/>
      <c r="P36917"/>
      <c r="Q36917" s="24"/>
      <c r="R36917"/>
      <c r="S36917"/>
      <c r="T36917"/>
      <c r="U36917"/>
      <c r="X36917" s="60"/>
    </row>
    <row r="36918" spans="7:24" ht="15" customHeight="1">
      <c r="G36918"/>
      <c r="I36918"/>
      <c r="N36918"/>
      <c r="O36918" s="24"/>
      <c r="P36918"/>
      <c r="Q36918" s="24"/>
      <c r="R36918"/>
      <c r="S36918"/>
      <c r="T36918"/>
      <c r="U36918"/>
      <c r="X36918" s="60"/>
    </row>
    <row r="36919" spans="7:24" ht="15" customHeight="1">
      <c r="G36919"/>
      <c r="I36919"/>
      <c r="N36919"/>
      <c r="O36919" s="24"/>
      <c r="P36919"/>
      <c r="Q36919" s="24"/>
      <c r="R36919"/>
      <c r="S36919"/>
      <c r="T36919"/>
      <c r="U36919"/>
      <c r="X36919" s="60"/>
    </row>
    <row r="36920" spans="7:24" ht="15" customHeight="1">
      <c r="G36920"/>
      <c r="I36920"/>
      <c r="N36920"/>
      <c r="O36920" s="24"/>
      <c r="P36920"/>
      <c r="Q36920" s="24"/>
      <c r="R36920"/>
      <c r="S36920"/>
      <c r="T36920"/>
      <c r="U36920"/>
      <c r="X36920" s="60"/>
    </row>
    <row r="36921" spans="7:24" ht="15" customHeight="1">
      <c r="G36921"/>
      <c r="I36921"/>
      <c r="N36921"/>
      <c r="O36921" s="24"/>
      <c r="P36921"/>
      <c r="Q36921" s="24"/>
      <c r="R36921"/>
      <c r="S36921"/>
      <c r="T36921"/>
      <c r="U36921"/>
      <c r="X36921" s="60"/>
    </row>
    <row r="36922" spans="7:24" ht="15" customHeight="1">
      <c r="G36922"/>
      <c r="I36922"/>
      <c r="N36922"/>
      <c r="O36922" s="24"/>
      <c r="P36922"/>
      <c r="Q36922" s="24"/>
      <c r="R36922"/>
      <c r="S36922"/>
      <c r="T36922"/>
      <c r="U36922"/>
      <c r="X36922" s="60"/>
    </row>
    <row r="36923" spans="7:24" ht="15" customHeight="1">
      <c r="G36923"/>
      <c r="I36923"/>
      <c r="N36923"/>
      <c r="O36923" s="24"/>
      <c r="P36923"/>
      <c r="Q36923" s="24"/>
      <c r="R36923"/>
      <c r="S36923"/>
      <c r="T36923"/>
      <c r="U36923"/>
      <c r="X36923" s="60"/>
    </row>
    <row r="36924" spans="7:24" ht="15" customHeight="1">
      <c r="G36924"/>
      <c r="I36924"/>
      <c r="N36924"/>
      <c r="O36924" s="24"/>
      <c r="P36924"/>
      <c r="Q36924" s="24"/>
      <c r="R36924"/>
      <c r="S36924"/>
      <c r="T36924"/>
      <c r="U36924"/>
      <c r="X36924" s="60"/>
    </row>
    <row r="36925" spans="7:24" ht="15" customHeight="1">
      <c r="G36925"/>
      <c r="I36925"/>
      <c r="N36925"/>
      <c r="O36925" s="24"/>
      <c r="P36925"/>
      <c r="Q36925" s="24"/>
      <c r="R36925"/>
      <c r="S36925"/>
      <c r="T36925"/>
      <c r="U36925"/>
      <c r="X36925" s="60"/>
    </row>
    <row r="36926" spans="7:24" ht="15" customHeight="1">
      <c r="G36926"/>
      <c r="I36926"/>
      <c r="N36926"/>
      <c r="O36926" s="24"/>
      <c r="P36926"/>
      <c r="Q36926" s="24"/>
      <c r="R36926"/>
      <c r="S36926"/>
      <c r="T36926"/>
      <c r="U36926"/>
      <c r="X36926" s="60"/>
    </row>
    <row r="36927" spans="7:24" ht="15" customHeight="1">
      <c r="G36927"/>
      <c r="I36927"/>
      <c r="N36927"/>
      <c r="O36927" s="24"/>
      <c r="P36927"/>
      <c r="Q36927" s="24"/>
      <c r="R36927"/>
      <c r="S36927"/>
      <c r="T36927"/>
      <c r="U36927"/>
      <c r="X36927" s="60"/>
    </row>
    <row r="36928" spans="7:24" ht="15" customHeight="1">
      <c r="G36928"/>
      <c r="I36928"/>
      <c r="N36928"/>
      <c r="O36928" s="24"/>
      <c r="P36928"/>
      <c r="Q36928" s="24"/>
      <c r="R36928"/>
      <c r="S36928"/>
      <c r="T36928"/>
      <c r="U36928"/>
      <c r="X36928" s="60"/>
    </row>
    <row r="36929" spans="7:24" ht="15" customHeight="1">
      <c r="G36929"/>
      <c r="I36929"/>
      <c r="N36929"/>
      <c r="O36929" s="24"/>
      <c r="P36929"/>
      <c r="Q36929" s="24"/>
      <c r="R36929"/>
      <c r="S36929"/>
      <c r="T36929"/>
      <c r="U36929"/>
      <c r="X36929" s="60"/>
    </row>
    <row r="36930" spans="7:24" ht="15" customHeight="1">
      <c r="G36930"/>
      <c r="I36930"/>
      <c r="N36930"/>
      <c r="O36930" s="24"/>
      <c r="P36930"/>
      <c r="Q36930" s="24"/>
      <c r="R36930"/>
      <c r="S36930"/>
      <c r="T36930"/>
      <c r="U36930"/>
      <c r="X36930" s="60"/>
    </row>
    <row r="36931" spans="7:24" ht="15" customHeight="1">
      <c r="G36931"/>
      <c r="I36931"/>
      <c r="N36931"/>
      <c r="O36931" s="24"/>
      <c r="P36931"/>
      <c r="Q36931" s="24"/>
      <c r="R36931"/>
      <c r="S36931"/>
      <c r="T36931"/>
      <c r="U36931"/>
      <c r="X36931" s="60"/>
    </row>
    <row r="36932" spans="7:24" ht="15" customHeight="1">
      <c r="G36932"/>
      <c r="I36932"/>
      <c r="N36932"/>
      <c r="O36932" s="24"/>
      <c r="P36932"/>
      <c r="Q36932" s="24"/>
      <c r="R36932"/>
      <c r="S36932"/>
      <c r="T36932"/>
      <c r="U36932"/>
      <c r="X36932" s="60"/>
    </row>
    <row r="36933" spans="7:24" ht="15" customHeight="1">
      <c r="G36933"/>
      <c r="I36933"/>
      <c r="N36933"/>
      <c r="O36933" s="24"/>
      <c r="P36933"/>
      <c r="Q36933" s="24"/>
      <c r="R36933"/>
      <c r="S36933"/>
      <c r="T36933"/>
      <c r="U36933"/>
      <c r="X36933" s="60"/>
    </row>
    <row r="36934" spans="7:24" ht="15" customHeight="1">
      <c r="G36934"/>
      <c r="I36934"/>
      <c r="N36934"/>
      <c r="O36934" s="24"/>
      <c r="P36934"/>
      <c r="Q36934" s="24"/>
      <c r="R36934"/>
      <c r="S36934"/>
      <c r="T36934"/>
      <c r="U36934"/>
      <c r="X36934" s="60"/>
    </row>
    <row r="36935" spans="7:24" ht="15" customHeight="1">
      <c r="G36935"/>
      <c r="I36935"/>
      <c r="N36935"/>
      <c r="O36935" s="24"/>
      <c r="P36935"/>
      <c r="Q36935" s="24"/>
      <c r="R36935"/>
      <c r="S36935"/>
      <c r="T36935"/>
      <c r="U36935"/>
      <c r="X36935" s="60"/>
    </row>
    <row r="36936" spans="7:24" ht="15" customHeight="1">
      <c r="G36936"/>
      <c r="I36936"/>
      <c r="N36936"/>
      <c r="O36936" s="24"/>
      <c r="P36936"/>
      <c r="Q36936" s="24"/>
      <c r="R36936"/>
      <c r="S36936"/>
      <c r="T36936"/>
      <c r="U36936"/>
      <c r="X36936" s="60"/>
    </row>
    <row r="36937" spans="7:24" ht="15" customHeight="1">
      <c r="G36937"/>
      <c r="I36937"/>
      <c r="N36937"/>
      <c r="O36937" s="24"/>
      <c r="P36937"/>
      <c r="Q36937" s="24"/>
      <c r="R36937"/>
      <c r="S36937"/>
      <c r="T36937"/>
      <c r="U36937"/>
      <c r="X36937" s="60"/>
    </row>
    <row r="36938" spans="7:24" ht="15" customHeight="1">
      <c r="G36938"/>
      <c r="I36938"/>
      <c r="N36938"/>
      <c r="O36938" s="24"/>
      <c r="P36938"/>
      <c r="Q36938" s="24"/>
      <c r="R36938"/>
      <c r="S36938"/>
      <c r="T36938"/>
      <c r="U36938"/>
      <c r="X36938" s="60"/>
    </row>
    <row r="36939" spans="7:24" ht="15" customHeight="1">
      <c r="G36939"/>
      <c r="I36939"/>
      <c r="N36939"/>
      <c r="O36939" s="24"/>
      <c r="P36939"/>
      <c r="Q36939" s="24"/>
      <c r="R36939"/>
      <c r="S36939"/>
      <c r="T36939"/>
      <c r="U36939"/>
      <c r="X36939" s="60"/>
    </row>
    <row r="36940" spans="7:24" ht="15" customHeight="1">
      <c r="G36940"/>
      <c r="I36940"/>
      <c r="N36940"/>
      <c r="O36940" s="24"/>
      <c r="P36940"/>
      <c r="Q36940" s="24"/>
      <c r="R36940"/>
      <c r="S36940"/>
      <c r="T36940"/>
      <c r="U36940"/>
      <c r="X36940" s="60"/>
    </row>
    <row r="36941" spans="7:24" ht="15" customHeight="1">
      <c r="G36941"/>
      <c r="I36941"/>
      <c r="N36941"/>
      <c r="O36941" s="24"/>
      <c r="P36941"/>
      <c r="Q36941" s="24"/>
      <c r="R36941"/>
      <c r="S36941"/>
      <c r="T36941"/>
      <c r="U36941"/>
      <c r="X36941" s="60"/>
    </row>
    <row r="36942" spans="7:24" ht="15" customHeight="1">
      <c r="G36942"/>
      <c r="I36942"/>
      <c r="N36942"/>
      <c r="O36942" s="24"/>
      <c r="P36942"/>
      <c r="Q36942" s="24"/>
      <c r="R36942"/>
      <c r="S36942"/>
      <c r="T36942"/>
      <c r="U36942"/>
      <c r="X36942" s="60"/>
    </row>
    <row r="36943" spans="7:24" ht="15" customHeight="1">
      <c r="G36943"/>
      <c r="I36943"/>
      <c r="N36943"/>
      <c r="O36943" s="24"/>
      <c r="P36943"/>
      <c r="Q36943" s="24"/>
      <c r="R36943"/>
      <c r="S36943"/>
      <c r="T36943"/>
      <c r="U36943"/>
      <c r="X36943" s="60"/>
    </row>
    <row r="36944" spans="7:24" ht="15" customHeight="1">
      <c r="G36944"/>
      <c r="I36944"/>
      <c r="N36944"/>
      <c r="O36944" s="24"/>
      <c r="P36944"/>
      <c r="Q36944" s="24"/>
      <c r="R36944"/>
      <c r="S36944"/>
      <c r="T36944"/>
      <c r="U36944"/>
      <c r="X36944" s="60"/>
    </row>
    <row r="36945" spans="7:24" ht="15" customHeight="1">
      <c r="G36945"/>
      <c r="I36945"/>
      <c r="N36945"/>
      <c r="O36945" s="24"/>
      <c r="P36945"/>
      <c r="Q36945" s="24"/>
      <c r="R36945"/>
      <c r="S36945"/>
      <c r="T36945"/>
      <c r="U36945"/>
      <c r="X36945" s="60"/>
    </row>
    <row r="36946" spans="7:24" ht="15" customHeight="1">
      <c r="G36946"/>
      <c r="I36946"/>
      <c r="N36946"/>
      <c r="O36946" s="24"/>
      <c r="P36946"/>
      <c r="Q36946" s="24"/>
      <c r="R36946"/>
      <c r="S36946"/>
      <c r="T36946"/>
      <c r="U36946"/>
      <c r="X36946" s="60"/>
    </row>
    <row r="36947" spans="7:24" ht="15" customHeight="1">
      <c r="G36947"/>
      <c r="I36947"/>
      <c r="N36947"/>
      <c r="O36947" s="24"/>
      <c r="P36947"/>
      <c r="Q36947" s="24"/>
      <c r="R36947"/>
      <c r="S36947"/>
      <c r="T36947"/>
      <c r="U36947"/>
      <c r="X36947" s="60"/>
    </row>
    <row r="36948" spans="7:24" ht="15" customHeight="1">
      <c r="G36948"/>
      <c r="I36948"/>
      <c r="N36948"/>
      <c r="O36948" s="24"/>
      <c r="P36948"/>
      <c r="Q36948" s="24"/>
      <c r="R36948"/>
      <c r="S36948"/>
      <c r="T36948"/>
      <c r="U36948"/>
      <c r="X36948" s="60"/>
    </row>
    <row r="36949" spans="7:24" ht="15" customHeight="1">
      <c r="G36949"/>
      <c r="I36949"/>
      <c r="N36949"/>
      <c r="O36949" s="24"/>
      <c r="P36949"/>
      <c r="Q36949" s="24"/>
      <c r="R36949"/>
      <c r="S36949"/>
      <c r="T36949"/>
      <c r="U36949"/>
      <c r="X36949" s="60"/>
    </row>
    <row r="36950" spans="7:24" ht="15" customHeight="1">
      <c r="G36950"/>
      <c r="I36950"/>
      <c r="N36950"/>
      <c r="O36950" s="24"/>
      <c r="P36950"/>
      <c r="Q36950" s="24"/>
      <c r="R36950"/>
      <c r="S36950"/>
      <c r="T36950"/>
      <c r="U36950"/>
      <c r="X36950" s="60"/>
    </row>
    <row r="36951" spans="7:24" ht="15" customHeight="1">
      <c r="G36951"/>
      <c r="I36951"/>
      <c r="N36951"/>
      <c r="O36951" s="24"/>
      <c r="P36951"/>
      <c r="Q36951" s="24"/>
      <c r="R36951"/>
      <c r="S36951"/>
      <c r="T36951"/>
      <c r="U36951"/>
      <c r="X36951" s="60"/>
    </row>
    <row r="36952" spans="7:24" ht="15" customHeight="1">
      <c r="G36952"/>
      <c r="I36952"/>
      <c r="N36952"/>
      <c r="O36952" s="24"/>
      <c r="P36952"/>
      <c r="Q36952" s="24"/>
      <c r="R36952"/>
      <c r="S36952"/>
      <c r="T36952"/>
      <c r="U36952"/>
      <c r="X36952" s="60"/>
    </row>
    <row r="36953" spans="7:24" ht="15" customHeight="1">
      <c r="G36953"/>
      <c r="I36953"/>
      <c r="N36953"/>
      <c r="O36953" s="24"/>
      <c r="P36953"/>
      <c r="Q36953" s="24"/>
      <c r="R36953"/>
      <c r="S36953"/>
      <c r="T36953"/>
      <c r="U36953"/>
      <c r="X36953" s="60"/>
    </row>
    <row r="36954" spans="7:24" ht="15" customHeight="1">
      <c r="G36954"/>
      <c r="I36954"/>
      <c r="N36954"/>
      <c r="O36954" s="24"/>
      <c r="P36954"/>
      <c r="Q36954" s="24"/>
      <c r="R36954"/>
      <c r="S36954"/>
      <c r="T36954"/>
      <c r="U36954"/>
      <c r="X36954" s="60"/>
    </row>
    <row r="36955" spans="7:24" ht="15" customHeight="1">
      <c r="G36955"/>
      <c r="I36955"/>
      <c r="N36955"/>
      <c r="O36955" s="24"/>
      <c r="P36955"/>
      <c r="Q36955" s="24"/>
      <c r="R36955"/>
      <c r="S36955"/>
      <c r="T36955"/>
      <c r="U36955"/>
      <c r="X36955" s="60"/>
    </row>
    <row r="36956" spans="7:24" ht="15" customHeight="1">
      <c r="G36956"/>
      <c r="I36956"/>
      <c r="N36956"/>
      <c r="O36956" s="24"/>
      <c r="P36956"/>
      <c r="Q36956" s="24"/>
      <c r="R36956"/>
      <c r="S36956"/>
      <c r="T36956"/>
      <c r="U36956"/>
      <c r="X36956" s="60"/>
    </row>
    <row r="36957" spans="7:24" ht="15" customHeight="1">
      <c r="G36957"/>
      <c r="I36957"/>
      <c r="N36957"/>
      <c r="O36957" s="24"/>
      <c r="P36957"/>
      <c r="Q36957" s="24"/>
      <c r="R36957"/>
      <c r="S36957"/>
      <c r="T36957"/>
      <c r="U36957"/>
      <c r="X36957" s="60"/>
    </row>
    <row r="36958" spans="7:24" ht="15" customHeight="1">
      <c r="G36958"/>
      <c r="I36958"/>
      <c r="N36958"/>
      <c r="O36958" s="24"/>
      <c r="P36958"/>
      <c r="Q36958" s="24"/>
      <c r="R36958"/>
      <c r="S36958"/>
      <c r="T36958"/>
      <c r="U36958"/>
      <c r="X36958" s="60"/>
    </row>
    <row r="36959" spans="7:24" ht="15" customHeight="1">
      <c r="G36959"/>
      <c r="I36959"/>
      <c r="N36959"/>
      <c r="O36959" s="24"/>
      <c r="P36959"/>
      <c r="Q36959" s="24"/>
      <c r="R36959"/>
      <c r="S36959"/>
      <c r="T36959"/>
      <c r="U36959"/>
      <c r="X36959" s="60"/>
    </row>
    <row r="36960" spans="7:24" ht="15" customHeight="1">
      <c r="G36960"/>
      <c r="I36960"/>
      <c r="N36960"/>
      <c r="O36960" s="24"/>
      <c r="P36960"/>
      <c r="Q36960" s="24"/>
      <c r="R36960"/>
      <c r="S36960"/>
      <c r="T36960"/>
      <c r="U36960"/>
      <c r="X36960" s="60"/>
    </row>
    <row r="36961" spans="7:24" ht="15" customHeight="1">
      <c r="G36961"/>
      <c r="I36961"/>
      <c r="N36961"/>
      <c r="O36961" s="24"/>
      <c r="P36961"/>
      <c r="Q36961" s="24"/>
      <c r="R36961"/>
      <c r="S36961"/>
      <c r="T36961"/>
      <c r="U36961"/>
      <c r="X36961" s="60"/>
    </row>
    <row r="36962" spans="7:24" ht="15" customHeight="1">
      <c r="G36962"/>
      <c r="I36962"/>
      <c r="N36962"/>
      <c r="O36962" s="24"/>
      <c r="P36962"/>
      <c r="Q36962" s="24"/>
      <c r="R36962"/>
      <c r="S36962"/>
      <c r="T36962"/>
      <c r="U36962"/>
      <c r="X36962" s="60"/>
    </row>
    <row r="36963" spans="7:24" ht="15" customHeight="1">
      <c r="G36963"/>
      <c r="I36963"/>
      <c r="N36963"/>
      <c r="O36963" s="24"/>
      <c r="P36963"/>
      <c r="Q36963" s="24"/>
      <c r="R36963"/>
      <c r="S36963"/>
      <c r="T36963"/>
      <c r="U36963"/>
      <c r="X36963" s="60"/>
    </row>
    <row r="36964" spans="7:24" ht="15" customHeight="1">
      <c r="G36964"/>
      <c r="I36964"/>
      <c r="N36964"/>
      <c r="O36964" s="24"/>
      <c r="P36964"/>
      <c r="Q36964" s="24"/>
      <c r="R36964"/>
      <c r="S36964"/>
      <c r="T36964"/>
      <c r="U36964"/>
      <c r="X36964" s="60"/>
    </row>
    <row r="36965" spans="7:24" ht="15" customHeight="1">
      <c r="G36965"/>
      <c r="I36965"/>
      <c r="N36965"/>
      <c r="O36965" s="24"/>
      <c r="P36965"/>
      <c r="Q36965" s="24"/>
      <c r="R36965"/>
      <c r="S36965"/>
      <c r="T36965"/>
      <c r="U36965"/>
      <c r="X36965" s="60"/>
    </row>
    <row r="36966" spans="7:24" ht="15" customHeight="1">
      <c r="G36966"/>
      <c r="I36966"/>
      <c r="N36966"/>
      <c r="O36966" s="24"/>
      <c r="P36966"/>
      <c r="Q36966" s="24"/>
      <c r="R36966"/>
      <c r="S36966"/>
      <c r="T36966"/>
      <c r="U36966"/>
      <c r="X36966" s="60"/>
    </row>
    <row r="36967" spans="7:24" ht="15" customHeight="1">
      <c r="G36967"/>
      <c r="I36967"/>
      <c r="N36967"/>
      <c r="O36967" s="24"/>
      <c r="P36967"/>
      <c r="Q36967" s="24"/>
      <c r="R36967"/>
      <c r="S36967"/>
      <c r="T36967"/>
      <c r="U36967"/>
      <c r="X36967" s="60"/>
    </row>
    <row r="36968" spans="7:24" ht="15" customHeight="1">
      <c r="G36968"/>
      <c r="I36968"/>
      <c r="N36968"/>
      <c r="O36968" s="24"/>
      <c r="P36968"/>
      <c r="Q36968" s="24"/>
      <c r="R36968"/>
      <c r="S36968"/>
      <c r="T36968"/>
      <c r="U36968"/>
      <c r="X36968" s="60"/>
    </row>
    <row r="36969" spans="7:24" ht="15" customHeight="1">
      <c r="G36969"/>
      <c r="I36969"/>
      <c r="N36969"/>
      <c r="O36969" s="24"/>
      <c r="P36969"/>
      <c r="Q36969" s="24"/>
      <c r="R36969"/>
      <c r="S36969"/>
      <c r="T36969"/>
      <c r="U36969"/>
      <c r="X36969" s="60"/>
    </row>
    <row r="36970" spans="7:24" ht="15" customHeight="1">
      <c r="G36970"/>
      <c r="I36970"/>
      <c r="N36970"/>
      <c r="O36970" s="24"/>
      <c r="P36970"/>
      <c r="Q36970" s="24"/>
      <c r="R36970"/>
      <c r="S36970"/>
      <c r="T36970"/>
      <c r="U36970"/>
      <c r="X36970" s="60"/>
    </row>
    <row r="36971" spans="7:24" ht="15" customHeight="1">
      <c r="G36971"/>
      <c r="I36971"/>
      <c r="N36971"/>
      <c r="O36971" s="24"/>
      <c r="P36971"/>
      <c r="Q36971" s="24"/>
      <c r="R36971"/>
      <c r="S36971"/>
      <c r="T36971"/>
      <c r="U36971"/>
      <c r="X36971" s="60"/>
    </row>
    <row r="36972" spans="7:24" ht="15" customHeight="1">
      <c r="G36972"/>
      <c r="I36972"/>
      <c r="N36972"/>
      <c r="O36972" s="24"/>
      <c r="P36972"/>
      <c r="Q36972" s="24"/>
      <c r="R36972"/>
      <c r="S36972"/>
      <c r="T36972"/>
      <c r="U36972"/>
      <c r="X36972" s="60"/>
    </row>
    <row r="36973" spans="7:24" ht="15" customHeight="1">
      <c r="G36973"/>
      <c r="I36973"/>
      <c r="N36973"/>
      <c r="O36973" s="24"/>
      <c r="P36973"/>
      <c r="Q36973" s="24"/>
      <c r="R36973"/>
      <c r="S36973"/>
      <c r="T36973"/>
      <c r="U36973"/>
      <c r="X36973" s="60"/>
    </row>
    <row r="36974" spans="7:24" ht="15" customHeight="1">
      <c r="G36974"/>
      <c r="I36974"/>
      <c r="N36974"/>
      <c r="O36974" s="24"/>
      <c r="P36974"/>
      <c r="Q36974" s="24"/>
      <c r="R36974"/>
      <c r="S36974"/>
      <c r="T36974"/>
      <c r="U36974"/>
      <c r="X36974" s="60"/>
    </row>
    <row r="36975" spans="7:24" ht="15" customHeight="1">
      <c r="G36975"/>
      <c r="I36975"/>
      <c r="N36975"/>
      <c r="O36975" s="24"/>
      <c r="P36975"/>
      <c r="Q36975" s="24"/>
      <c r="R36975"/>
      <c r="S36975"/>
      <c r="T36975"/>
      <c r="U36975"/>
      <c r="X36975" s="60"/>
    </row>
    <row r="36976" spans="7:24" ht="15" customHeight="1">
      <c r="G36976"/>
      <c r="I36976"/>
      <c r="N36976"/>
      <c r="O36976" s="24"/>
      <c r="P36976"/>
      <c r="Q36976" s="24"/>
      <c r="R36976"/>
      <c r="S36976"/>
      <c r="T36976"/>
      <c r="U36976"/>
      <c r="X36976" s="60"/>
    </row>
    <row r="36977" spans="7:24" ht="15" customHeight="1">
      <c r="G36977"/>
      <c r="I36977"/>
      <c r="N36977"/>
      <c r="O36977" s="24"/>
      <c r="P36977"/>
      <c r="Q36977" s="24"/>
      <c r="R36977"/>
      <c r="S36977"/>
      <c r="T36977"/>
      <c r="U36977"/>
      <c r="X36977" s="60"/>
    </row>
    <row r="36978" spans="7:24" ht="15" customHeight="1">
      <c r="G36978"/>
      <c r="I36978"/>
      <c r="N36978"/>
      <c r="O36978" s="24"/>
      <c r="P36978"/>
      <c r="Q36978" s="24"/>
      <c r="R36978"/>
      <c r="S36978"/>
      <c r="T36978"/>
      <c r="U36978"/>
      <c r="X36978" s="60"/>
    </row>
    <row r="36979" spans="7:24" ht="15" customHeight="1">
      <c r="G36979"/>
      <c r="I36979"/>
      <c r="N36979"/>
      <c r="O36979" s="24"/>
      <c r="P36979"/>
      <c r="Q36979" s="24"/>
      <c r="R36979"/>
      <c r="S36979"/>
      <c r="T36979"/>
      <c r="U36979"/>
      <c r="X36979" s="60"/>
    </row>
    <row r="36980" spans="7:24" ht="15" customHeight="1">
      <c r="G36980"/>
      <c r="I36980"/>
      <c r="N36980"/>
      <c r="O36980" s="24"/>
      <c r="P36980"/>
      <c r="Q36980" s="24"/>
      <c r="R36980"/>
      <c r="S36980"/>
      <c r="T36980"/>
      <c r="U36980"/>
      <c r="X36980" s="60"/>
    </row>
    <row r="36981" spans="7:24" ht="15" customHeight="1">
      <c r="G36981"/>
      <c r="I36981"/>
      <c r="N36981"/>
      <c r="O36981" s="24"/>
      <c r="P36981"/>
      <c r="Q36981" s="24"/>
      <c r="R36981"/>
      <c r="S36981"/>
      <c r="T36981"/>
      <c r="U36981"/>
      <c r="X36981" s="60"/>
    </row>
    <row r="36982" spans="7:24" ht="15" customHeight="1">
      <c r="G36982"/>
      <c r="I36982"/>
      <c r="N36982"/>
      <c r="O36982" s="24"/>
      <c r="P36982"/>
      <c r="Q36982" s="24"/>
      <c r="R36982"/>
      <c r="S36982"/>
      <c r="T36982"/>
      <c r="U36982"/>
      <c r="X36982" s="60"/>
    </row>
    <row r="36983" spans="7:24" ht="15" customHeight="1">
      <c r="G36983"/>
      <c r="I36983"/>
      <c r="N36983"/>
      <c r="O36983" s="24"/>
      <c r="P36983"/>
      <c r="Q36983" s="24"/>
      <c r="R36983"/>
      <c r="S36983"/>
      <c r="T36983"/>
      <c r="U36983"/>
      <c r="X36983" s="60"/>
    </row>
    <row r="36984" spans="7:24" ht="15" customHeight="1">
      <c r="G36984"/>
      <c r="I36984"/>
      <c r="N36984"/>
      <c r="O36984" s="24"/>
      <c r="P36984"/>
      <c r="Q36984" s="24"/>
      <c r="R36984"/>
      <c r="S36984"/>
      <c r="T36984"/>
      <c r="U36984"/>
      <c r="X36984" s="60"/>
    </row>
    <row r="36985" spans="7:24" ht="15" customHeight="1">
      <c r="G36985"/>
      <c r="I36985"/>
      <c r="N36985"/>
      <c r="O36985" s="24"/>
      <c r="P36985"/>
      <c r="Q36985" s="24"/>
      <c r="R36985"/>
      <c r="S36985"/>
      <c r="T36985"/>
      <c r="U36985"/>
      <c r="X36985" s="60"/>
    </row>
    <row r="36986" spans="7:24" ht="15" customHeight="1">
      <c r="G36986"/>
      <c r="I36986"/>
      <c r="N36986"/>
      <c r="O36986" s="24"/>
      <c r="P36986"/>
      <c r="Q36986" s="24"/>
      <c r="R36986"/>
      <c r="S36986"/>
      <c r="T36986"/>
      <c r="U36986"/>
      <c r="X36986" s="60"/>
    </row>
    <row r="36987" spans="7:24" ht="15" customHeight="1">
      <c r="G36987"/>
      <c r="I36987"/>
      <c r="N36987"/>
      <c r="O36987" s="24"/>
      <c r="P36987"/>
      <c r="Q36987" s="24"/>
      <c r="R36987"/>
      <c r="S36987"/>
      <c r="T36987"/>
      <c r="U36987"/>
      <c r="X36987" s="60"/>
    </row>
    <row r="36988" spans="7:24" ht="15" customHeight="1">
      <c r="G36988"/>
      <c r="I36988"/>
      <c r="N36988"/>
      <c r="O36988" s="24"/>
      <c r="P36988"/>
      <c r="Q36988" s="24"/>
      <c r="R36988"/>
      <c r="S36988"/>
      <c r="T36988"/>
      <c r="U36988"/>
      <c r="X36988" s="60"/>
    </row>
    <row r="36989" spans="7:24" ht="15" customHeight="1">
      <c r="G36989"/>
      <c r="I36989"/>
      <c r="N36989"/>
      <c r="O36989" s="24"/>
      <c r="P36989"/>
      <c r="Q36989" s="24"/>
      <c r="R36989"/>
      <c r="S36989"/>
      <c r="T36989"/>
      <c r="U36989"/>
      <c r="X36989" s="60"/>
    </row>
    <row r="36990" spans="7:24" ht="15" customHeight="1">
      <c r="G36990"/>
      <c r="I36990"/>
      <c r="N36990"/>
      <c r="O36990" s="24"/>
      <c r="P36990"/>
      <c r="Q36990" s="24"/>
      <c r="R36990"/>
      <c r="S36990"/>
      <c r="T36990"/>
      <c r="U36990"/>
      <c r="X36990" s="60"/>
    </row>
    <row r="36991" spans="7:24" ht="15" customHeight="1">
      <c r="G36991"/>
      <c r="I36991"/>
      <c r="N36991"/>
      <c r="O36991" s="24"/>
      <c r="P36991"/>
      <c r="Q36991" s="24"/>
      <c r="R36991"/>
      <c r="S36991"/>
      <c r="T36991"/>
      <c r="U36991"/>
      <c r="X36991" s="60"/>
    </row>
    <row r="36992" spans="7:24" ht="15" customHeight="1">
      <c r="G36992"/>
      <c r="I36992"/>
      <c r="N36992"/>
      <c r="O36992" s="24"/>
      <c r="P36992"/>
      <c r="Q36992" s="24"/>
      <c r="R36992"/>
      <c r="S36992"/>
      <c r="T36992"/>
      <c r="U36992"/>
      <c r="X36992" s="60"/>
    </row>
    <row r="36993" spans="7:24" ht="15" customHeight="1">
      <c r="G36993"/>
      <c r="I36993"/>
      <c r="N36993"/>
      <c r="O36993" s="24"/>
      <c r="P36993"/>
      <c r="Q36993" s="24"/>
      <c r="R36993"/>
      <c r="S36993"/>
      <c r="T36993"/>
      <c r="U36993"/>
      <c r="X36993" s="60"/>
    </row>
    <row r="36994" spans="7:24" ht="15" customHeight="1">
      <c r="G36994"/>
      <c r="I36994"/>
      <c r="N36994"/>
      <c r="O36994" s="24"/>
      <c r="P36994"/>
      <c r="Q36994" s="24"/>
      <c r="R36994"/>
      <c r="S36994"/>
      <c r="T36994"/>
      <c r="U36994"/>
      <c r="X36994" s="60"/>
    </row>
    <row r="36995" spans="7:24" ht="15" customHeight="1">
      <c r="G36995"/>
      <c r="I36995"/>
      <c r="N36995"/>
      <c r="O36995" s="24"/>
      <c r="P36995"/>
      <c r="Q36995" s="24"/>
      <c r="R36995"/>
      <c r="S36995"/>
      <c r="T36995"/>
      <c r="U36995"/>
      <c r="X36995" s="60"/>
    </row>
    <row r="36996" spans="7:24" ht="15" customHeight="1">
      <c r="G36996"/>
      <c r="I36996"/>
      <c r="N36996"/>
      <c r="O36996" s="24"/>
      <c r="P36996"/>
      <c r="Q36996" s="24"/>
      <c r="R36996"/>
      <c r="S36996"/>
      <c r="T36996"/>
      <c r="U36996"/>
      <c r="X36996" s="60"/>
    </row>
    <row r="36997" spans="7:24" ht="15" customHeight="1">
      <c r="G36997"/>
      <c r="I36997"/>
      <c r="N36997"/>
      <c r="O36997" s="24"/>
      <c r="P36997"/>
      <c r="Q36997" s="24"/>
      <c r="R36997"/>
      <c r="S36997"/>
      <c r="T36997"/>
      <c r="U36997"/>
      <c r="X36997" s="60"/>
    </row>
    <row r="36998" spans="7:24" ht="15" customHeight="1">
      <c r="G36998"/>
      <c r="I36998"/>
      <c r="N36998"/>
      <c r="O36998" s="24"/>
      <c r="P36998"/>
      <c r="Q36998" s="24"/>
      <c r="R36998"/>
      <c r="S36998"/>
      <c r="T36998"/>
      <c r="U36998"/>
      <c r="X36998" s="60"/>
    </row>
    <row r="36999" spans="7:24" ht="15" customHeight="1">
      <c r="G36999"/>
      <c r="I36999"/>
      <c r="N36999"/>
      <c r="O36999" s="24"/>
      <c r="P36999"/>
      <c r="Q36999" s="24"/>
      <c r="R36999"/>
      <c r="S36999"/>
      <c r="T36999"/>
      <c r="U36999"/>
      <c r="X36999" s="60"/>
    </row>
    <row r="37000" spans="7:24" ht="15" customHeight="1">
      <c r="G37000"/>
      <c r="I37000"/>
      <c r="N37000"/>
      <c r="O37000" s="24"/>
      <c r="P37000"/>
      <c r="Q37000" s="24"/>
      <c r="R37000"/>
      <c r="S37000"/>
      <c r="T37000"/>
      <c r="U37000"/>
      <c r="X37000" s="60"/>
    </row>
    <row r="37001" spans="7:24" ht="15" customHeight="1">
      <c r="G37001"/>
      <c r="I37001"/>
      <c r="N37001"/>
      <c r="O37001" s="24"/>
      <c r="P37001"/>
      <c r="Q37001" s="24"/>
      <c r="R37001"/>
      <c r="S37001"/>
      <c r="T37001"/>
      <c r="U37001"/>
      <c r="X37001" s="60"/>
    </row>
    <row r="37002" spans="7:24" ht="15" customHeight="1">
      <c r="G37002"/>
      <c r="I37002"/>
      <c r="N37002"/>
      <c r="O37002" s="24"/>
      <c r="P37002"/>
      <c r="Q37002" s="24"/>
      <c r="R37002"/>
      <c r="S37002"/>
      <c r="T37002"/>
      <c r="U37002"/>
      <c r="X37002" s="60"/>
    </row>
    <row r="37003" spans="7:24" ht="15" customHeight="1">
      <c r="G37003"/>
      <c r="I37003"/>
      <c r="N37003"/>
      <c r="O37003" s="24"/>
      <c r="P37003"/>
      <c r="Q37003" s="24"/>
      <c r="R37003"/>
      <c r="S37003"/>
      <c r="T37003"/>
      <c r="U37003"/>
      <c r="X37003" s="60"/>
    </row>
    <row r="37004" spans="7:24" ht="15" customHeight="1">
      <c r="G37004"/>
      <c r="I37004"/>
      <c r="N37004"/>
      <c r="O37004" s="24"/>
      <c r="P37004"/>
      <c r="Q37004" s="24"/>
      <c r="R37004"/>
      <c r="S37004"/>
      <c r="T37004"/>
      <c r="U37004"/>
      <c r="X37004" s="60"/>
    </row>
    <row r="37005" spans="7:24" ht="15" customHeight="1">
      <c r="G37005"/>
      <c r="I37005"/>
      <c r="N37005"/>
      <c r="O37005" s="24"/>
      <c r="P37005"/>
      <c r="Q37005" s="24"/>
      <c r="R37005"/>
      <c r="S37005"/>
      <c r="T37005"/>
      <c r="U37005"/>
      <c r="X37005" s="60"/>
    </row>
    <row r="37006" spans="7:24" ht="15" customHeight="1">
      <c r="G37006"/>
      <c r="I37006"/>
      <c r="N37006"/>
      <c r="O37006" s="24"/>
      <c r="P37006"/>
      <c r="Q37006" s="24"/>
      <c r="R37006"/>
      <c r="S37006"/>
      <c r="T37006"/>
      <c r="U37006"/>
      <c r="X37006" s="60"/>
    </row>
    <row r="37007" spans="7:24" ht="15" customHeight="1">
      <c r="G37007"/>
      <c r="I37007"/>
      <c r="N37007"/>
      <c r="O37007" s="24"/>
      <c r="P37007"/>
      <c r="Q37007" s="24"/>
      <c r="R37007"/>
      <c r="S37007"/>
      <c r="T37007"/>
      <c r="U37007"/>
      <c r="X37007" s="60"/>
    </row>
    <row r="37008" spans="7:24" ht="15" customHeight="1">
      <c r="G37008"/>
      <c r="I37008"/>
      <c r="N37008"/>
      <c r="O37008" s="24"/>
      <c r="P37008"/>
      <c r="Q37008" s="24"/>
      <c r="R37008"/>
      <c r="S37008"/>
      <c r="T37008"/>
      <c r="U37008"/>
      <c r="X37008" s="60"/>
    </row>
    <row r="37009" spans="7:24" ht="15" customHeight="1">
      <c r="G37009"/>
      <c r="I37009"/>
      <c r="N37009"/>
      <c r="O37009" s="24"/>
      <c r="P37009"/>
      <c r="Q37009" s="24"/>
      <c r="R37009"/>
      <c r="S37009"/>
      <c r="T37009"/>
      <c r="U37009"/>
      <c r="X37009" s="60"/>
    </row>
    <row r="37010" spans="7:24" ht="15" customHeight="1">
      <c r="G37010"/>
      <c r="I37010"/>
      <c r="N37010"/>
      <c r="O37010" s="24"/>
      <c r="P37010"/>
      <c r="Q37010" s="24"/>
      <c r="R37010"/>
      <c r="S37010"/>
      <c r="T37010"/>
      <c r="U37010"/>
      <c r="X37010" s="60"/>
    </row>
    <row r="37011" spans="7:24" ht="15" customHeight="1">
      <c r="G37011"/>
      <c r="I37011"/>
      <c r="N37011"/>
      <c r="O37011" s="24"/>
      <c r="P37011"/>
      <c r="Q37011" s="24"/>
      <c r="R37011"/>
      <c r="S37011"/>
      <c r="T37011"/>
      <c r="U37011"/>
      <c r="X37011" s="60"/>
    </row>
    <row r="37012" spans="7:24" ht="15" customHeight="1">
      <c r="G37012"/>
      <c r="I37012"/>
      <c r="N37012"/>
      <c r="O37012" s="24"/>
      <c r="P37012"/>
      <c r="Q37012" s="24"/>
      <c r="R37012"/>
      <c r="S37012"/>
      <c r="T37012"/>
      <c r="U37012"/>
      <c r="X37012" s="60"/>
    </row>
    <row r="37013" spans="7:24" ht="15" customHeight="1">
      <c r="G37013"/>
      <c r="I37013"/>
      <c r="N37013"/>
      <c r="O37013" s="24"/>
      <c r="P37013"/>
      <c r="Q37013" s="24"/>
      <c r="R37013"/>
      <c r="S37013"/>
      <c r="T37013"/>
      <c r="U37013"/>
      <c r="X37013" s="60"/>
    </row>
    <row r="37014" spans="7:24" ht="15" customHeight="1">
      <c r="G37014"/>
      <c r="I37014"/>
      <c r="N37014"/>
      <c r="O37014" s="24"/>
      <c r="P37014"/>
      <c r="Q37014" s="24"/>
      <c r="R37014"/>
      <c r="S37014"/>
      <c r="T37014"/>
      <c r="U37014"/>
      <c r="X37014" s="60"/>
    </row>
    <row r="37015" spans="7:24" ht="15" customHeight="1">
      <c r="G37015"/>
      <c r="I37015"/>
      <c r="N37015"/>
      <c r="O37015" s="24"/>
      <c r="P37015"/>
      <c r="Q37015" s="24"/>
      <c r="R37015"/>
      <c r="S37015"/>
      <c r="T37015"/>
      <c r="U37015"/>
      <c r="X37015" s="60"/>
    </row>
    <row r="37016" spans="7:24" ht="15" customHeight="1">
      <c r="G37016"/>
      <c r="I37016"/>
      <c r="N37016"/>
      <c r="O37016" s="24"/>
      <c r="P37016"/>
      <c r="Q37016" s="24"/>
      <c r="R37016"/>
      <c r="S37016"/>
      <c r="T37016"/>
      <c r="U37016"/>
      <c r="X37016" s="60"/>
    </row>
    <row r="37017" spans="7:24" ht="15" customHeight="1">
      <c r="G37017"/>
      <c r="I37017"/>
      <c r="N37017"/>
      <c r="O37017" s="24"/>
      <c r="P37017"/>
      <c r="Q37017" s="24"/>
      <c r="R37017"/>
      <c r="S37017"/>
      <c r="T37017"/>
      <c r="U37017"/>
      <c r="X37017" s="60"/>
    </row>
    <row r="37018" spans="7:24" ht="15" customHeight="1">
      <c r="G37018"/>
      <c r="I37018"/>
      <c r="N37018"/>
      <c r="O37018" s="24"/>
      <c r="P37018"/>
      <c r="Q37018" s="24"/>
      <c r="R37018"/>
      <c r="S37018"/>
      <c r="T37018"/>
      <c r="U37018"/>
      <c r="X37018" s="60"/>
    </row>
    <row r="37019" spans="7:24" ht="15" customHeight="1">
      <c r="G37019"/>
      <c r="I37019"/>
      <c r="N37019"/>
      <c r="O37019" s="24"/>
      <c r="P37019"/>
      <c r="Q37019" s="24"/>
      <c r="R37019"/>
      <c r="S37019"/>
      <c r="T37019"/>
      <c r="U37019"/>
      <c r="X37019" s="60"/>
    </row>
    <row r="37020" spans="7:24" ht="15" customHeight="1">
      <c r="G37020"/>
      <c r="I37020"/>
      <c r="N37020"/>
      <c r="O37020" s="24"/>
      <c r="P37020"/>
      <c r="Q37020" s="24"/>
      <c r="R37020"/>
      <c r="S37020"/>
      <c r="T37020"/>
      <c r="U37020"/>
      <c r="X37020" s="60"/>
    </row>
    <row r="37021" spans="7:24" ht="15" customHeight="1">
      <c r="G37021"/>
      <c r="I37021"/>
      <c r="N37021"/>
      <c r="O37021" s="24"/>
      <c r="P37021"/>
      <c r="Q37021" s="24"/>
      <c r="R37021"/>
      <c r="S37021"/>
      <c r="T37021"/>
      <c r="U37021"/>
      <c r="X37021" s="60"/>
    </row>
    <row r="37022" spans="7:24" ht="15" customHeight="1">
      <c r="G37022"/>
      <c r="I37022"/>
      <c r="N37022"/>
      <c r="O37022" s="24"/>
      <c r="P37022"/>
      <c r="Q37022" s="24"/>
      <c r="R37022"/>
      <c r="S37022"/>
      <c r="T37022"/>
      <c r="U37022"/>
      <c r="X37022" s="60"/>
    </row>
    <row r="37023" spans="7:24" ht="15" customHeight="1">
      <c r="G37023"/>
      <c r="I37023"/>
      <c r="N37023"/>
      <c r="O37023" s="24"/>
      <c r="P37023"/>
      <c r="Q37023" s="24"/>
      <c r="R37023"/>
      <c r="S37023"/>
      <c r="T37023"/>
      <c r="U37023"/>
      <c r="X37023" s="60"/>
    </row>
    <row r="37024" spans="7:24" ht="15" customHeight="1">
      <c r="G37024"/>
      <c r="I37024"/>
      <c r="N37024"/>
      <c r="O37024" s="24"/>
      <c r="P37024"/>
      <c r="Q37024" s="24"/>
      <c r="R37024"/>
      <c r="S37024"/>
      <c r="T37024"/>
      <c r="U37024"/>
      <c r="X37024" s="60"/>
    </row>
    <row r="37025" spans="7:24" ht="15" customHeight="1">
      <c r="G37025"/>
      <c r="I37025"/>
      <c r="N37025"/>
      <c r="O37025" s="24"/>
      <c r="P37025"/>
      <c r="Q37025" s="24"/>
      <c r="R37025"/>
      <c r="S37025"/>
      <c r="T37025"/>
      <c r="U37025"/>
      <c r="X37025" s="60"/>
    </row>
    <row r="37026" spans="7:24" ht="15" customHeight="1">
      <c r="G37026"/>
      <c r="I37026"/>
      <c r="N37026"/>
      <c r="O37026" s="24"/>
      <c r="P37026"/>
      <c r="Q37026" s="24"/>
      <c r="R37026"/>
      <c r="S37026"/>
      <c r="T37026"/>
      <c r="U37026"/>
      <c r="X37026" s="60"/>
    </row>
    <row r="37027" spans="7:24" ht="15" customHeight="1">
      <c r="G37027"/>
      <c r="I37027"/>
      <c r="N37027"/>
      <c r="O37027" s="24"/>
      <c r="P37027"/>
      <c r="Q37027" s="24"/>
      <c r="R37027"/>
      <c r="S37027"/>
      <c r="T37027"/>
      <c r="U37027"/>
      <c r="X37027" s="60"/>
    </row>
    <row r="37028" spans="7:24" ht="15" customHeight="1">
      <c r="G37028"/>
      <c r="I37028"/>
      <c r="N37028"/>
      <c r="O37028" s="24"/>
      <c r="P37028"/>
      <c r="Q37028" s="24"/>
      <c r="R37028"/>
      <c r="S37028"/>
      <c r="T37028"/>
      <c r="U37028"/>
      <c r="X37028" s="60"/>
    </row>
    <row r="37029" spans="7:24" ht="15" customHeight="1">
      <c r="G37029"/>
      <c r="I37029"/>
      <c r="N37029"/>
      <c r="O37029" s="24"/>
      <c r="P37029"/>
      <c r="Q37029" s="24"/>
      <c r="R37029"/>
      <c r="S37029"/>
      <c r="T37029"/>
      <c r="U37029"/>
      <c r="X37029" s="60"/>
    </row>
    <row r="37030" spans="7:24" ht="15" customHeight="1">
      <c r="G37030"/>
      <c r="I37030"/>
      <c r="N37030"/>
      <c r="O37030" s="24"/>
      <c r="P37030"/>
      <c r="Q37030" s="24"/>
      <c r="R37030"/>
      <c r="S37030"/>
      <c r="T37030"/>
      <c r="U37030"/>
      <c r="X37030" s="60"/>
    </row>
    <row r="37031" spans="7:24" ht="15" customHeight="1">
      <c r="G37031"/>
      <c r="I37031"/>
      <c r="N37031"/>
      <c r="O37031" s="24"/>
      <c r="P37031"/>
      <c r="Q37031" s="24"/>
      <c r="R37031"/>
      <c r="S37031"/>
      <c r="T37031"/>
      <c r="U37031"/>
      <c r="X37031" s="60"/>
    </row>
    <row r="37032" spans="7:24" ht="15" customHeight="1">
      <c r="G37032"/>
      <c r="I37032"/>
      <c r="N37032"/>
      <c r="O37032" s="24"/>
      <c r="P37032"/>
      <c r="Q37032" s="24"/>
      <c r="R37032"/>
      <c r="S37032"/>
      <c r="T37032"/>
      <c r="U37032"/>
      <c r="X37032" s="60"/>
    </row>
    <row r="37033" spans="7:24" ht="15" customHeight="1">
      <c r="G37033"/>
      <c r="I37033"/>
      <c r="N37033"/>
      <c r="O37033" s="24"/>
      <c r="P37033"/>
      <c r="Q37033" s="24"/>
      <c r="R37033"/>
      <c r="S37033"/>
      <c r="T37033"/>
      <c r="U37033"/>
      <c r="X37033" s="60"/>
    </row>
    <row r="37034" spans="7:24" ht="15" customHeight="1">
      <c r="G37034"/>
      <c r="I37034"/>
      <c r="N37034"/>
      <c r="O37034" s="24"/>
      <c r="P37034"/>
      <c r="Q37034" s="24"/>
      <c r="R37034"/>
      <c r="S37034"/>
      <c r="T37034"/>
      <c r="U37034"/>
      <c r="X37034" s="60"/>
    </row>
    <row r="37035" spans="7:24" ht="15" customHeight="1">
      <c r="G37035"/>
      <c r="I37035"/>
      <c r="N37035"/>
      <c r="O37035" s="24"/>
      <c r="P37035"/>
      <c r="Q37035" s="24"/>
      <c r="R37035"/>
      <c r="S37035"/>
      <c r="T37035"/>
      <c r="U37035"/>
      <c r="X37035" s="60"/>
    </row>
    <row r="37036" spans="7:24" ht="15" customHeight="1">
      <c r="G37036"/>
      <c r="I37036"/>
      <c r="N37036"/>
      <c r="O37036" s="24"/>
      <c r="P37036"/>
      <c r="Q37036" s="24"/>
      <c r="R37036"/>
      <c r="S37036"/>
      <c r="T37036"/>
      <c r="U37036"/>
      <c r="X37036" s="60"/>
    </row>
    <row r="37037" spans="7:24" ht="15" customHeight="1">
      <c r="G37037"/>
      <c r="I37037"/>
      <c r="N37037"/>
      <c r="O37037" s="24"/>
      <c r="P37037"/>
      <c r="Q37037" s="24"/>
      <c r="R37037"/>
      <c r="S37037"/>
      <c r="T37037"/>
      <c r="U37037"/>
      <c r="X37037" s="60"/>
    </row>
    <row r="37038" spans="7:24" ht="15" customHeight="1">
      <c r="G37038"/>
      <c r="I37038"/>
      <c r="N37038"/>
      <c r="O37038" s="24"/>
      <c r="P37038"/>
      <c r="Q37038" s="24"/>
      <c r="R37038"/>
      <c r="S37038"/>
      <c r="T37038"/>
      <c r="U37038"/>
      <c r="X37038" s="60"/>
    </row>
    <row r="37039" spans="7:24" ht="15" customHeight="1">
      <c r="G37039"/>
      <c r="I37039"/>
      <c r="N37039"/>
      <c r="O37039" s="24"/>
      <c r="P37039"/>
      <c r="Q37039" s="24"/>
      <c r="R37039"/>
      <c r="S37039"/>
      <c r="T37039"/>
      <c r="U37039"/>
      <c r="X37039" s="60"/>
    </row>
    <row r="37040" spans="7:24" ht="15" customHeight="1">
      <c r="G37040"/>
      <c r="I37040"/>
      <c r="N37040"/>
      <c r="O37040" s="24"/>
      <c r="P37040"/>
      <c r="Q37040" s="24"/>
      <c r="R37040"/>
      <c r="S37040"/>
      <c r="T37040"/>
      <c r="U37040"/>
      <c r="X37040" s="60"/>
    </row>
    <row r="37041" spans="7:24" ht="15" customHeight="1">
      <c r="G37041"/>
      <c r="I37041"/>
      <c r="N37041"/>
      <c r="O37041" s="24"/>
      <c r="P37041"/>
      <c r="Q37041" s="24"/>
      <c r="R37041"/>
      <c r="S37041"/>
      <c r="T37041"/>
      <c r="U37041"/>
      <c r="X37041" s="60"/>
    </row>
    <row r="37042" spans="7:24" ht="15" customHeight="1">
      <c r="G37042"/>
      <c r="I37042"/>
      <c r="N37042"/>
      <c r="O37042" s="24"/>
      <c r="P37042"/>
      <c r="Q37042" s="24"/>
      <c r="R37042"/>
      <c r="S37042"/>
      <c r="T37042"/>
      <c r="U37042"/>
      <c r="X37042" s="60"/>
    </row>
    <row r="37043" spans="7:24" ht="15" customHeight="1">
      <c r="G37043"/>
      <c r="I37043"/>
      <c r="N37043"/>
      <c r="O37043" s="24"/>
      <c r="P37043"/>
      <c r="Q37043" s="24"/>
      <c r="R37043"/>
      <c r="S37043"/>
      <c r="T37043"/>
      <c r="U37043"/>
      <c r="X37043" s="60"/>
    </row>
    <row r="37044" spans="7:24" ht="15" customHeight="1">
      <c r="G37044"/>
      <c r="I37044"/>
      <c r="N37044"/>
      <c r="O37044" s="24"/>
      <c r="P37044"/>
      <c r="Q37044" s="24"/>
      <c r="R37044"/>
      <c r="S37044"/>
      <c r="T37044"/>
      <c r="U37044"/>
      <c r="X37044" s="60"/>
    </row>
    <row r="37045" spans="7:24" ht="15" customHeight="1">
      <c r="G37045"/>
      <c r="I37045"/>
      <c r="N37045"/>
      <c r="O37045" s="24"/>
      <c r="P37045"/>
      <c r="Q37045" s="24"/>
      <c r="R37045"/>
      <c r="S37045"/>
      <c r="T37045"/>
      <c r="U37045"/>
      <c r="X37045" s="60"/>
    </row>
    <row r="37046" spans="7:24" ht="15" customHeight="1">
      <c r="G37046"/>
      <c r="I37046"/>
      <c r="N37046"/>
      <c r="O37046" s="24"/>
      <c r="P37046"/>
      <c r="Q37046" s="24"/>
      <c r="R37046"/>
      <c r="S37046"/>
      <c r="T37046"/>
      <c r="U37046"/>
      <c r="X37046" s="60"/>
    </row>
    <row r="37047" spans="7:24" ht="15" customHeight="1">
      <c r="G37047"/>
      <c r="I37047"/>
      <c r="N37047"/>
      <c r="O37047" s="24"/>
      <c r="P37047"/>
      <c r="Q37047" s="24"/>
      <c r="R37047"/>
      <c r="S37047"/>
      <c r="T37047"/>
      <c r="U37047"/>
      <c r="X37047" s="60"/>
    </row>
    <row r="37048" spans="7:24" ht="15" customHeight="1">
      <c r="G37048"/>
      <c r="I37048"/>
      <c r="N37048"/>
      <c r="O37048" s="24"/>
      <c r="P37048"/>
      <c r="Q37048" s="24"/>
      <c r="R37048"/>
      <c r="S37048"/>
      <c r="T37048"/>
      <c r="U37048"/>
      <c r="X37048" s="60"/>
    </row>
    <row r="37049" spans="7:24" ht="15" customHeight="1">
      <c r="G37049"/>
      <c r="I37049"/>
      <c r="N37049"/>
      <c r="O37049" s="24"/>
      <c r="P37049"/>
      <c r="Q37049" s="24"/>
      <c r="R37049"/>
      <c r="S37049"/>
      <c r="T37049"/>
      <c r="U37049"/>
      <c r="X37049" s="60"/>
    </row>
    <row r="37050" spans="7:24" ht="15" customHeight="1">
      <c r="G37050"/>
      <c r="I37050"/>
      <c r="N37050"/>
      <c r="O37050" s="24"/>
      <c r="P37050"/>
      <c r="Q37050" s="24"/>
      <c r="R37050"/>
      <c r="S37050"/>
      <c r="T37050"/>
      <c r="U37050"/>
      <c r="X37050" s="60"/>
    </row>
    <row r="37051" spans="7:24" ht="15" customHeight="1">
      <c r="G37051"/>
      <c r="I37051"/>
      <c r="N37051"/>
      <c r="O37051" s="24"/>
      <c r="P37051"/>
      <c r="Q37051" s="24"/>
      <c r="R37051"/>
      <c r="S37051"/>
      <c r="T37051"/>
      <c r="U37051"/>
      <c r="X37051" s="60"/>
    </row>
    <row r="37052" spans="7:24" ht="15" customHeight="1">
      <c r="G37052"/>
      <c r="I37052"/>
      <c r="N37052"/>
      <c r="O37052" s="24"/>
      <c r="P37052"/>
      <c r="Q37052" s="24"/>
      <c r="R37052"/>
      <c r="S37052"/>
      <c r="T37052"/>
      <c r="U37052"/>
      <c r="X37052" s="60"/>
    </row>
    <row r="37053" spans="7:24" ht="15" customHeight="1">
      <c r="G37053"/>
      <c r="I37053"/>
      <c r="N37053"/>
      <c r="O37053" s="24"/>
      <c r="P37053"/>
      <c r="Q37053" s="24"/>
      <c r="R37053"/>
      <c r="S37053"/>
      <c r="T37053"/>
      <c r="U37053"/>
      <c r="X37053" s="60"/>
    </row>
    <row r="37054" spans="7:24" ht="15" customHeight="1">
      <c r="G37054"/>
      <c r="I37054"/>
      <c r="N37054"/>
      <c r="O37054" s="24"/>
      <c r="P37054"/>
      <c r="Q37054" s="24"/>
      <c r="R37054"/>
      <c r="S37054"/>
      <c r="T37054"/>
      <c r="U37054"/>
      <c r="X37054" s="60"/>
    </row>
    <row r="37055" spans="7:24" ht="15" customHeight="1">
      <c r="G37055"/>
      <c r="I37055"/>
      <c r="N37055"/>
      <c r="O37055" s="24"/>
      <c r="P37055"/>
      <c r="Q37055" s="24"/>
      <c r="R37055"/>
      <c r="S37055"/>
      <c r="T37055"/>
      <c r="U37055"/>
      <c r="X37055" s="60"/>
    </row>
    <row r="37056" spans="7:24" ht="15" customHeight="1">
      <c r="G37056"/>
      <c r="I37056"/>
      <c r="N37056"/>
      <c r="O37056" s="24"/>
      <c r="P37056"/>
      <c r="Q37056" s="24"/>
      <c r="R37056"/>
      <c r="S37056"/>
      <c r="T37056"/>
      <c r="U37056"/>
      <c r="X37056" s="60"/>
    </row>
    <row r="37057" spans="7:24" ht="15" customHeight="1">
      <c r="G37057"/>
      <c r="I37057"/>
      <c r="N37057"/>
      <c r="O37057" s="24"/>
      <c r="P37057"/>
      <c r="Q37057" s="24"/>
      <c r="R37057"/>
      <c r="S37057"/>
      <c r="T37057"/>
      <c r="U37057"/>
      <c r="X37057" s="60"/>
    </row>
    <row r="37058" spans="7:24" ht="15" customHeight="1">
      <c r="G37058"/>
      <c r="I37058"/>
      <c r="N37058"/>
      <c r="O37058" s="24"/>
      <c r="P37058"/>
      <c r="Q37058" s="24"/>
      <c r="R37058"/>
      <c r="S37058"/>
      <c r="T37058"/>
      <c r="U37058"/>
      <c r="X37058" s="60"/>
    </row>
    <row r="37059" spans="7:24" ht="15" customHeight="1">
      <c r="G37059"/>
      <c r="I37059"/>
      <c r="N37059"/>
      <c r="O37059" s="24"/>
      <c r="P37059"/>
      <c r="Q37059" s="24"/>
      <c r="R37059"/>
      <c r="S37059"/>
      <c r="T37059"/>
      <c r="U37059"/>
      <c r="X37059" s="60"/>
    </row>
    <row r="37060" spans="7:24" ht="15" customHeight="1">
      <c r="G37060"/>
      <c r="I37060"/>
      <c r="N37060"/>
      <c r="O37060" s="24"/>
      <c r="P37060"/>
      <c r="Q37060" s="24"/>
      <c r="R37060"/>
      <c r="S37060"/>
      <c r="T37060"/>
      <c r="U37060"/>
      <c r="X37060" s="60"/>
    </row>
    <row r="37061" spans="7:24" ht="15" customHeight="1">
      <c r="G37061"/>
      <c r="I37061"/>
      <c r="N37061"/>
      <c r="O37061" s="24"/>
      <c r="P37061"/>
      <c r="Q37061" s="24"/>
      <c r="R37061"/>
      <c r="S37061"/>
      <c r="T37061"/>
      <c r="U37061"/>
      <c r="X37061" s="60"/>
    </row>
    <row r="37062" spans="7:24" ht="15" customHeight="1">
      <c r="G37062"/>
      <c r="I37062"/>
      <c r="N37062"/>
      <c r="O37062" s="24"/>
      <c r="P37062"/>
      <c r="Q37062" s="24"/>
      <c r="R37062"/>
      <c r="S37062"/>
      <c r="T37062"/>
      <c r="U37062"/>
      <c r="X37062" s="60"/>
    </row>
    <row r="37063" spans="7:24" ht="15" customHeight="1">
      <c r="G37063"/>
      <c r="I37063"/>
      <c r="N37063"/>
      <c r="O37063" s="24"/>
      <c r="P37063"/>
      <c r="Q37063" s="24"/>
      <c r="R37063"/>
      <c r="S37063"/>
      <c r="T37063"/>
      <c r="U37063"/>
      <c r="X37063" s="60"/>
    </row>
    <row r="37064" spans="7:24" ht="15" customHeight="1">
      <c r="G37064"/>
      <c r="I37064"/>
      <c r="N37064"/>
      <c r="O37064" s="24"/>
      <c r="P37064"/>
      <c r="Q37064" s="24"/>
      <c r="R37064"/>
      <c r="S37064"/>
      <c r="T37064"/>
      <c r="U37064"/>
      <c r="X37064" s="60"/>
    </row>
    <row r="37065" spans="7:24" ht="15" customHeight="1">
      <c r="G37065"/>
      <c r="I37065"/>
      <c r="N37065"/>
      <c r="O37065" s="24"/>
      <c r="P37065"/>
      <c r="Q37065" s="24"/>
      <c r="R37065"/>
      <c r="S37065"/>
      <c r="T37065"/>
      <c r="U37065"/>
      <c r="X37065" s="60"/>
    </row>
    <row r="37066" spans="7:24" ht="15" customHeight="1">
      <c r="G37066"/>
      <c r="I37066"/>
      <c r="N37066"/>
      <c r="O37066" s="24"/>
      <c r="P37066"/>
      <c r="Q37066" s="24"/>
      <c r="R37066"/>
      <c r="S37066"/>
      <c r="T37066"/>
      <c r="U37066"/>
      <c r="X37066" s="60"/>
    </row>
    <row r="37067" spans="7:24" ht="15" customHeight="1">
      <c r="G37067"/>
      <c r="I37067"/>
      <c r="N37067"/>
      <c r="O37067" s="24"/>
      <c r="P37067"/>
      <c r="Q37067" s="24"/>
      <c r="R37067"/>
      <c r="S37067"/>
      <c r="T37067"/>
      <c r="U37067"/>
      <c r="X37067" s="60"/>
    </row>
    <row r="37068" spans="7:24" ht="15" customHeight="1">
      <c r="G37068"/>
      <c r="I37068"/>
      <c r="N37068"/>
      <c r="O37068" s="24"/>
      <c r="P37068"/>
      <c r="Q37068" s="24"/>
      <c r="R37068"/>
      <c r="S37068"/>
      <c r="T37068"/>
      <c r="U37068"/>
      <c r="X37068" s="60"/>
    </row>
    <row r="37069" spans="7:24" ht="15" customHeight="1">
      <c r="G37069"/>
      <c r="I37069"/>
      <c r="N37069"/>
      <c r="O37069" s="24"/>
      <c r="P37069"/>
      <c r="Q37069" s="24"/>
      <c r="R37069"/>
      <c r="S37069"/>
      <c r="T37069"/>
      <c r="U37069"/>
      <c r="X37069" s="60"/>
    </row>
    <row r="37070" spans="7:24" ht="15" customHeight="1">
      <c r="G37070"/>
      <c r="I37070"/>
      <c r="N37070"/>
      <c r="O37070" s="24"/>
      <c r="P37070"/>
      <c r="Q37070" s="24"/>
      <c r="R37070"/>
      <c r="S37070"/>
      <c r="T37070"/>
      <c r="U37070"/>
      <c r="X37070" s="60"/>
    </row>
    <row r="37071" spans="7:24" ht="15" customHeight="1">
      <c r="G37071"/>
      <c r="I37071"/>
      <c r="N37071"/>
      <c r="O37071" s="24"/>
      <c r="P37071"/>
      <c r="Q37071" s="24"/>
      <c r="R37071"/>
      <c r="S37071"/>
      <c r="T37071"/>
      <c r="U37071"/>
      <c r="X37071" s="60"/>
    </row>
    <row r="37072" spans="7:24" ht="15" customHeight="1">
      <c r="G37072"/>
      <c r="I37072"/>
      <c r="N37072"/>
      <c r="O37072" s="24"/>
      <c r="P37072"/>
      <c r="Q37072" s="24"/>
      <c r="R37072"/>
      <c r="S37072"/>
      <c r="T37072"/>
      <c r="U37072"/>
      <c r="X37072" s="60"/>
    </row>
    <row r="37073" spans="7:24" ht="15" customHeight="1">
      <c r="G37073"/>
      <c r="I37073"/>
      <c r="N37073"/>
      <c r="O37073" s="24"/>
      <c r="P37073"/>
      <c r="Q37073" s="24"/>
      <c r="R37073"/>
      <c r="S37073"/>
      <c r="T37073"/>
      <c r="U37073"/>
      <c r="X37073" s="60"/>
    </row>
    <row r="37074" spans="7:24" ht="15" customHeight="1">
      <c r="G37074"/>
      <c r="I37074"/>
      <c r="N37074"/>
      <c r="O37074" s="24"/>
      <c r="P37074"/>
      <c r="Q37074" s="24"/>
      <c r="R37074"/>
      <c r="S37074"/>
      <c r="T37074"/>
      <c r="U37074"/>
      <c r="X37074" s="60"/>
    </row>
    <row r="37075" spans="7:24" ht="15" customHeight="1">
      <c r="G37075"/>
      <c r="I37075"/>
      <c r="N37075"/>
      <c r="O37075" s="24"/>
      <c r="P37075"/>
      <c r="Q37075" s="24"/>
      <c r="R37075"/>
      <c r="S37075"/>
      <c r="T37075"/>
      <c r="U37075"/>
      <c r="X37075" s="60"/>
    </row>
    <row r="37076" spans="7:24" ht="15" customHeight="1">
      <c r="G37076"/>
      <c r="I37076"/>
      <c r="N37076"/>
      <c r="O37076" s="24"/>
      <c r="P37076"/>
      <c r="Q37076" s="24"/>
      <c r="R37076"/>
      <c r="S37076"/>
      <c r="T37076"/>
      <c r="U37076"/>
      <c r="X37076" s="60"/>
    </row>
    <row r="37077" spans="7:24" ht="15" customHeight="1">
      <c r="G37077"/>
      <c r="I37077"/>
      <c r="N37077"/>
      <c r="O37077" s="24"/>
      <c r="P37077"/>
      <c r="Q37077" s="24"/>
      <c r="R37077"/>
      <c r="S37077"/>
      <c r="T37077"/>
      <c r="U37077"/>
      <c r="X37077" s="60"/>
    </row>
    <row r="37078" spans="7:24" ht="15" customHeight="1">
      <c r="G37078"/>
      <c r="I37078"/>
      <c r="N37078"/>
      <c r="O37078" s="24"/>
      <c r="P37078"/>
      <c r="Q37078" s="24"/>
      <c r="R37078"/>
      <c r="S37078"/>
      <c r="T37078"/>
      <c r="U37078"/>
      <c r="X37078" s="60"/>
    </row>
    <row r="37079" spans="7:24" ht="15" customHeight="1">
      <c r="G37079"/>
      <c r="I37079"/>
      <c r="N37079"/>
      <c r="O37079" s="24"/>
      <c r="P37079"/>
      <c r="Q37079" s="24"/>
      <c r="R37079"/>
      <c r="S37079"/>
      <c r="T37079"/>
      <c r="U37079"/>
      <c r="X37079" s="60"/>
    </row>
    <row r="37080" spans="7:24" ht="15" customHeight="1">
      <c r="G37080"/>
      <c r="I37080"/>
      <c r="N37080"/>
      <c r="O37080" s="24"/>
      <c r="P37080"/>
      <c r="Q37080" s="24"/>
      <c r="R37080"/>
      <c r="S37080"/>
      <c r="T37080"/>
      <c r="U37080"/>
      <c r="X37080" s="60"/>
    </row>
    <row r="37081" spans="7:24" ht="15" customHeight="1">
      <c r="G37081"/>
      <c r="I37081"/>
      <c r="N37081"/>
      <c r="O37081" s="24"/>
      <c r="P37081"/>
      <c r="Q37081" s="24"/>
      <c r="R37081"/>
      <c r="S37081"/>
      <c r="T37081"/>
      <c r="U37081"/>
      <c r="X37081" s="60"/>
    </row>
    <row r="37082" spans="7:24" ht="15" customHeight="1">
      <c r="G37082"/>
      <c r="I37082"/>
      <c r="N37082"/>
      <c r="O37082" s="24"/>
      <c r="P37082"/>
      <c r="Q37082" s="24"/>
      <c r="R37082"/>
      <c r="S37082"/>
      <c r="T37082"/>
      <c r="U37082"/>
      <c r="X37082" s="60"/>
    </row>
    <row r="37083" spans="7:24" ht="15" customHeight="1">
      <c r="G37083"/>
      <c r="I37083"/>
      <c r="N37083"/>
      <c r="O37083" s="24"/>
      <c r="P37083"/>
      <c r="Q37083" s="24"/>
      <c r="R37083"/>
      <c r="S37083"/>
      <c r="T37083"/>
      <c r="U37083"/>
      <c r="X37083" s="60"/>
    </row>
    <row r="37084" spans="7:24" ht="15" customHeight="1">
      <c r="G37084"/>
      <c r="I37084"/>
      <c r="N37084"/>
      <c r="O37084" s="24"/>
      <c r="P37084"/>
      <c r="Q37084" s="24"/>
      <c r="R37084"/>
      <c r="S37084"/>
      <c r="T37084"/>
      <c r="U37084"/>
      <c r="X37084" s="60"/>
    </row>
    <row r="37085" spans="7:24" ht="15" customHeight="1">
      <c r="G37085"/>
      <c r="I37085"/>
      <c r="N37085"/>
      <c r="O37085" s="24"/>
      <c r="P37085"/>
      <c r="Q37085" s="24"/>
      <c r="R37085"/>
      <c r="S37085"/>
      <c r="T37085"/>
      <c r="U37085"/>
      <c r="X37085" s="60"/>
    </row>
    <row r="37086" spans="7:24" ht="15" customHeight="1">
      <c r="G37086"/>
      <c r="I37086"/>
      <c r="N37086"/>
      <c r="O37086" s="24"/>
      <c r="P37086"/>
      <c r="Q37086" s="24"/>
      <c r="R37086"/>
      <c r="S37086"/>
      <c r="T37086"/>
      <c r="U37086"/>
      <c r="X37086" s="60"/>
    </row>
    <row r="37087" spans="7:24" ht="15" customHeight="1">
      <c r="G37087"/>
      <c r="I37087"/>
      <c r="N37087"/>
      <c r="O37087" s="24"/>
      <c r="P37087"/>
      <c r="Q37087" s="24"/>
      <c r="R37087"/>
      <c r="S37087"/>
      <c r="T37087"/>
      <c r="U37087"/>
      <c r="X37087" s="60"/>
    </row>
    <row r="37088" spans="7:24" ht="15" customHeight="1">
      <c r="G37088"/>
      <c r="I37088"/>
      <c r="N37088"/>
      <c r="O37088" s="24"/>
      <c r="P37088"/>
      <c r="Q37088" s="24"/>
      <c r="R37088"/>
      <c r="S37088"/>
      <c r="T37088"/>
      <c r="U37088"/>
      <c r="X37088" s="60"/>
    </row>
    <row r="37089" spans="7:24" ht="15" customHeight="1">
      <c r="G37089"/>
      <c r="I37089"/>
      <c r="N37089"/>
      <c r="O37089" s="24"/>
      <c r="P37089"/>
      <c r="Q37089" s="24"/>
      <c r="R37089"/>
      <c r="S37089"/>
      <c r="T37089"/>
      <c r="U37089"/>
      <c r="X37089" s="60"/>
    </row>
    <row r="37090" spans="7:24" ht="15" customHeight="1">
      <c r="G37090"/>
      <c r="I37090"/>
      <c r="N37090"/>
      <c r="O37090" s="24"/>
      <c r="P37090"/>
      <c r="Q37090" s="24"/>
      <c r="R37090"/>
      <c r="S37090"/>
      <c r="T37090"/>
      <c r="U37090"/>
      <c r="X37090" s="60"/>
    </row>
    <row r="37091" spans="7:24" ht="15" customHeight="1">
      <c r="G37091"/>
      <c r="I37091"/>
      <c r="N37091"/>
      <c r="O37091" s="24"/>
      <c r="P37091"/>
      <c r="Q37091" s="24"/>
      <c r="R37091"/>
      <c r="S37091"/>
      <c r="T37091"/>
      <c r="U37091"/>
      <c r="X37091" s="60"/>
    </row>
    <row r="37092" spans="7:24" ht="15" customHeight="1">
      <c r="G37092"/>
      <c r="I37092"/>
      <c r="N37092"/>
      <c r="O37092" s="24"/>
      <c r="P37092"/>
      <c r="Q37092" s="24"/>
      <c r="R37092"/>
      <c r="S37092"/>
      <c r="T37092"/>
      <c r="U37092"/>
      <c r="X37092" s="60"/>
    </row>
    <row r="37093" spans="7:24" ht="15" customHeight="1">
      <c r="G37093"/>
      <c r="I37093"/>
      <c r="N37093"/>
      <c r="O37093" s="24"/>
      <c r="P37093"/>
      <c r="Q37093" s="24"/>
      <c r="R37093"/>
      <c r="S37093"/>
      <c r="T37093"/>
      <c r="U37093"/>
      <c r="X37093" s="60"/>
    </row>
    <row r="37094" spans="7:24" ht="15" customHeight="1">
      <c r="G37094"/>
      <c r="I37094"/>
      <c r="N37094"/>
      <c r="O37094" s="24"/>
      <c r="P37094"/>
      <c r="Q37094" s="24"/>
      <c r="R37094"/>
      <c r="S37094"/>
      <c r="T37094"/>
      <c r="U37094"/>
      <c r="X37094" s="60"/>
    </row>
    <row r="37095" spans="7:24" ht="15" customHeight="1">
      <c r="G37095"/>
      <c r="I37095"/>
      <c r="N37095"/>
      <c r="O37095" s="24"/>
      <c r="P37095"/>
      <c r="Q37095" s="24"/>
      <c r="R37095"/>
      <c r="S37095"/>
      <c r="T37095"/>
      <c r="U37095"/>
      <c r="X37095" s="60"/>
    </row>
    <row r="37096" spans="7:24" ht="15" customHeight="1">
      <c r="G37096"/>
      <c r="I37096"/>
      <c r="N37096"/>
      <c r="O37096" s="24"/>
      <c r="P37096"/>
      <c r="Q37096" s="24"/>
      <c r="R37096"/>
      <c r="S37096"/>
      <c r="T37096"/>
      <c r="U37096"/>
      <c r="X37096" s="60"/>
    </row>
    <row r="37097" spans="7:24" ht="15" customHeight="1">
      <c r="G37097"/>
      <c r="I37097"/>
      <c r="N37097"/>
      <c r="O37097" s="24"/>
      <c r="P37097"/>
      <c r="Q37097" s="24"/>
      <c r="R37097"/>
      <c r="S37097"/>
      <c r="T37097"/>
      <c r="U37097"/>
      <c r="X37097" s="60"/>
    </row>
    <row r="37098" spans="7:24" ht="15" customHeight="1">
      <c r="G37098"/>
      <c r="I37098"/>
      <c r="N37098"/>
      <c r="O37098" s="24"/>
      <c r="P37098"/>
      <c r="Q37098" s="24"/>
      <c r="R37098"/>
      <c r="S37098"/>
      <c r="T37098"/>
      <c r="U37098"/>
      <c r="X37098" s="60"/>
    </row>
    <row r="37099" spans="7:24" ht="15" customHeight="1">
      <c r="G37099"/>
      <c r="I37099"/>
      <c r="N37099"/>
      <c r="O37099" s="24"/>
      <c r="P37099"/>
      <c r="Q37099" s="24"/>
      <c r="R37099"/>
      <c r="S37099"/>
      <c r="T37099"/>
      <c r="U37099"/>
      <c r="X37099" s="60"/>
    </row>
    <row r="37100" spans="7:24" ht="15" customHeight="1">
      <c r="G37100"/>
      <c r="I37100"/>
      <c r="N37100"/>
      <c r="O37100" s="24"/>
      <c r="P37100"/>
      <c r="Q37100" s="24"/>
      <c r="R37100"/>
      <c r="S37100"/>
      <c r="T37100"/>
      <c r="U37100"/>
      <c r="X37100" s="60"/>
    </row>
    <row r="37101" spans="7:24" ht="15" customHeight="1">
      <c r="G37101"/>
      <c r="I37101"/>
      <c r="N37101"/>
      <c r="O37101" s="24"/>
      <c r="P37101"/>
      <c r="Q37101" s="24"/>
      <c r="R37101"/>
      <c r="S37101"/>
      <c r="T37101"/>
      <c r="U37101"/>
      <c r="X37101" s="60"/>
    </row>
    <row r="37102" spans="7:24" ht="15" customHeight="1">
      <c r="G37102"/>
      <c r="I37102"/>
      <c r="N37102"/>
      <c r="O37102" s="24"/>
      <c r="P37102"/>
      <c r="Q37102" s="24"/>
      <c r="R37102"/>
      <c r="S37102"/>
      <c r="T37102"/>
      <c r="U37102"/>
      <c r="X37102" s="60"/>
    </row>
    <row r="37103" spans="7:24" ht="15" customHeight="1">
      <c r="G37103"/>
      <c r="I37103"/>
      <c r="N37103"/>
      <c r="O37103" s="24"/>
      <c r="P37103"/>
      <c r="Q37103" s="24"/>
      <c r="R37103"/>
      <c r="S37103"/>
      <c r="T37103"/>
      <c r="U37103"/>
      <c r="X37103" s="60"/>
    </row>
    <row r="37104" spans="7:24" ht="15" customHeight="1">
      <c r="G37104"/>
      <c r="I37104"/>
      <c r="N37104"/>
      <c r="O37104" s="24"/>
      <c r="P37104"/>
      <c r="Q37104" s="24"/>
      <c r="R37104"/>
      <c r="S37104"/>
      <c r="T37104"/>
      <c r="U37104"/>
      <c r="X37104" s="60"/>
    </row>
    <row r="37105" spans="7:24" ht="15" customHeight="1">
      <c r="G37105"/>
      <c r="I37105"/>
      <c r="N37105"/>
      <c r="O37105" s="24"/>
      <c r="P37105"/>
      <c r="Q37105" s="24"/>
      <c r="R37105"/>
      <c r="S37105"/>
      <c r="T37105"/>
      <c r="U37105"/>
      <c r="X37105" s="60"/>
    </row>
    <row r="37106" spans="7:24" ht="15" customHeight="1">
      <c r="G37106"/>
      <c r="I37106"/>
      <c r="N37106"/>
      <c r="O37106" s="24"/>
      <c r="P37106"/>
      <c r="Q37106" s="24"/>
      <c r="R37106"/>
      <c r="S37106"/>
      <c r="T37106"/>
      <c r="U37106"/>
      <c r="X37106" s="60"/>
    </row>
    <row r="37107" spans="7:24" ht="15" customHeight="1">
      <c r="G37107"/>
      <c r="I37107"/>
      <c r="N37107"/>
      <c r="O37107" s="24"/>
      <c r="P37107"/>
      <c r="Q37107" s="24"/>
      <c r="R37107"/>
      <c r="S37107"/>
      <c r="T37107"/>
      <c r="U37107"/>
      <c r="X37107" s="60"/>
    </row>
    <row r="37108" spans="7:24" ht="15" customHeight="1">
      <c r="G37108"/>
      <c r="I37108"/>
      <c r="N37108"/>
      <c r="O37108" s="24"/>
      <c r="P37108"/>
      <c r="Q37108" s="24"/>
      <c r="R37108"/>
      <c r="S37108"/>
      <c r="T37108"/>
      <c r="U37108"/>
      <c r="X37108" s="60"/>
    </row>
    <row r="37109" spans="7:24" ht="15" customHeight="1">
      <c r="G37109"/>
      <c r="I37109"/>
      <c r="N37109"/>
      <c r="O37109" s="24"/>
      <c r="P37109"/>
      <c r="Q37109" s="24"/>
      <c r="R37109"/>
      <c r="S37109"/>
      <c r="T37109"/>
      <c r="U37109"/>
      <c r="X37109" s="60"/>
    </row>
    <row r="37110" spans="7:24" ht="15" customHeight="1">
      <c r="G37110"/>
      <c r="I37110"/>
      <c r="N37110"/>
      <c r="O37110" s="24"/>
      <c r="P37110"/>
      <c r="Q37110" s="24"/>
      <c r="R37110"/>
      <c r="S37110"/>
      <c r="T37110"/>
      <c r="U37110"/>
      <c r="X37110" s="60"/>
    </row>
    <row r="37111" spans="7:24" ht="15" customHeight="1">
      <c r="G37111"/>
      <c r="I37111"/>
      <c r="N37111"/>
      <c r="O37111" s="24"/>
      <c r="P37111"/>
      <c r="Q37111" s="24"/>
      <c r="R37111"/>
      <c r="S37111"/>
      <c r="T37111"/>
      <c r="U37111"/>
      <c r="X37111" s="60"/>
    </row>
    <row r="37112" spans="7:24" ht="15" customHeight="1">
      <c r="G37112"/>
      <c r="I37112"/>
      <c r="N37112"/>
      <c r="O37112" s="24"/>
      <c r="P37112"/>
      <c r="Q37112" s="24"/>
      <c r="R37112"/>
      <c r="S37112"/>
      <c r="T37112"/>
      <c r="U37112"/>
      <c r="X37112" s="60"/>
    </row>
    <row r="37113" spans="7:24" ht="15" customHeight="1">
      <c r="G37113"/>
      <c r="I37113"/>
      <c r="N37113"/>
      <c r="O37113" s="24"/>
      <c r="P37113"/>
      <c r="Q37113" s="24"/>
      <c r="R37113"/>
      <c r="S37113"/>
      <c r="T37113"/>
      <c r="U37113"/>
      <c r="X37113" s="60"/>
    </row>
    <row r="37114" spans="7:24" ht="15" customHeight="1">
      <c r="G37114"/>
      <c r="I37114"/>
      <c r="N37114"/>
      <c r="O37114" s="24"/>
      <c r="P37114"/>
      <c r="Q37114" s="24"/>
      <c r="R37114"/>
      <c r="S37114"/>
      <c r="T37114"/>
      <c r="U37114"/>
      <c r="X37114" s="60"/>
    </row>
    <row r="37115" spans="7:24" ht="15" customHeight="1">
      <c r="G37115"/>
      <c r="I37115"/>
      <c r="N37115"/>
      <c r="O37115" s="24"/>
      <c r="P37115"/>
      <c r="Q37115" s="24"/>
      <c r="R37115"/>
      <c r="S37115"/>
      <c r="T37115"/>
      <c r="U37115"/>
      <c r="X37115" s="60"/>
    </row>
    <row r="37116" spans="7:24" ht="15" customHeight="1">
      <c r="G37116"/>
      <c r="I37116"/>
      <c r="N37116"/>
      <c r="O37116" s="24"/>
      <c r="P37116"/>
      <c r="Q37116" s="24"/>
      <c r="R37116"/>
      <c r="S37116"/>
      <c r="T37116"/>
      <c r="U37116"/>
      <c r="X37116" s="60"/>
    </row>
    <row r="37117" spans="7:24" ht="15" customHeight="1">
      <c r="G37117"/>
      <c r="I37117"/>
      <c r="N37117"/>
      <c r="O37117" s="24"/>
      <c r="P37117"/>
      <c r="Q37117" s="24"/>
      <c r="R37117"/>
      <c r="S37117"/>
      <c r="T37117"/>
      <c r="U37117"/>
      <c r="X37117" s="60"/>
    </row>
    <row r="37118" spans="7:24" ht="15" customHeight="1">
      <c r="G37118"/>
      <c r="I37118"/>
      <c r="N37118"/>
      <c r="O37118" s="24"/>
      <c r="P37118"/>
      <c r="Q37118" s="24"/>
      <c r="R37118"/>
      <c r="S37118"/>
      <c r="T37118"/>
      <c r="U37118"/>
      <c r="X37118" s="60"/>
    </row>
    <row r="37119" spans="7:24" ht="15" customHeight="1">
      <c r="G37119"/>
      <c r="I37119"/>
      <c r="N37119"/>
      <c r="O37119" s="24"/>
      <c r="P37119"/>
      <c r="Q37119" s="24"/>
      <c r="R37119"/>
      <c r="S37119"/>
      <c r="T37119"/>
      <c r="U37119"/>
      <c r="X37119" s="60"/>
    </row>
    <row r="37120" spans="7:24" ht="15" customHeight="1">
      <c r="G37120"/>
      <c r="I37120"/>
      <c r="N37120"/>
      <c r="O37120" s="24"/>
      <c r="P37120"/>
      <c r="Q37120" s="24"/>
      <c r="R37120"/>
      <c r="S37120"/>
      <c r="T37120"/>
      <c r="U37120"/>
      <c r="X37120" s="60"/>
    </row>
    <row r="37121" spans="7:24" ht="15" customHeight="1">
      <c r="G37121"/>
      <c r="I37121"/>
      <c r="N37121"/>
      <c r="O37121" s="24"/>
      <c r="P37121"/>
      <c r="Q37121" s="24"/>
      <c r="R37121"/>
      <c r="S37121"/>
      <c r="T37121"/>
      <c r="U37121"/>
      <c r="X37121" s="60"/>
    </row>
    <row r="37122" spans="7:24" ht="15" customHeight="1">
      <c r="G37122"/>
      <c r="I37122"/>
      <c r="N37122"/>
      <c r="O37122" s="24"/>
      <c r="P37122"/>
      <c r="Q37122" s="24"/>
      <c r="R37122"/>
      <c r="S37122"/>
      <c r="T37122"/>
      <c r="U37122"/>
      <c r="X37122" s="60"/>
    </row>
    <row r="37123" spans="7:24" ht="15" customHeight="1">
      <c r="G37123"/>
      <c r="I37123"/>
      <c r="N37123"/>
      <c r="O37123" s="24"/>
      <c r="P37123"/>
      <c r="Q37123" s="24"/>
      <c r="R37123"/>
      <c r="S37123"/>
      <c r="T37123"/>
      <c r="U37123"/>
      <c r="X37123" s="60"/>
    </row>
    <row r="37124" spans="7:24" ht="15" customHeight="1">
      <c r="G37124"/>
      <c r="I37124"/>
      <c r="N37124"/>
      <c r="O37124" s="24"/>
      <c r="P37124"/>
      <c r="Q37124" s="24"/>
      <c r="R37124"/>
      <c r="S37124"/>
      <c r="T37124"/>
      <c r="U37124"/>
      <c r="X37124" s="60"/>
    </row>
    <row r="37125" spans="7:24" ht="15" customHeight="1">
      <c r="G37125"/>
      <c r="I37125"/>
      <c r="N37125"/>
      <c r="O37125" s="24"/>
      <c r="P37125"/>
      <c r="Q37125" s="24"/>
      <c r="R37125"/>
      <c r="S37125"/>
      <c r="T37125"/>
      <c r="U37125"/>
      <c r="X37125" s="60"/>
    </row>
    <row r="37126" spans="7:24" ht="15" customHeight="1">
      <c r="G37126"/>
      <c r="I37126"/>
      <c r="N37126"/>
      <c r="O37126" s="24"/>
      <c r="P37126"/>
      <c r="Q37126" s="24"/>
      <c r="R37126"/>
      <c r="S37126"/>
      <c r="T37126"/>
      <c r="U37126"/>
      <c r="X37126" s="60"/>
    </row>
    <row r="37127" spans="7:24" ht="15" customHeight="1">
      <c r="G37127"/>
      <c r="I37127"/>
      <c r="N37127"/>
      <c r="O37127" s="24"/>
      <c r="P37127"/>
      <c r="Q37127" s="24"/>
      <c r="R37127"/>
      <c r="S37127"/>
      <c r="T37127"/>
      <c r="U37127"/>
      <c r="X37127" s="60"/>
    </row>
    <row r="37128" spans="7:24" ht="15" customHeight="1">
      <c r="G37128"/>
      <c r="I37128"/>
      <c r="N37128"/>
      <c r="O37128" s="24"/>
      <c r="P37128"/>
      <c r="Q37128" s="24"/>
      <c r="R37128"/>
      <c r="S37128"/>
      <c r="T37128"/>
      <c r="U37128"/>
      <c r="X37128" s="60"/>
    </row>
    <row r="37129" spans="7:24" ht="15" customHeight="1">
      <c r="G37129"/>
      <c r="I37129"/>
      <c r="N37129"/>
      <c r="O37129" s="24"/>
      <c r="P37129"/>
      <c r="Q37129" s="24"/>
      <c r="R37129"/>
      <c r="S37129"/>
      <c r="T37129"/>
      <c r="U37129"/>
      <c r="X37129" s="60"/>
    </row>
    <row r="37130" spans="7:24" ht="15" customHeight="1">
      <c r="G37130"/>
      <c r="I37130"/>
      <c r="N37130"/>
      <c r="O37130" s="24"/>
      <c r="P37130"/>
      <c r="Q37130" s="24"/>
      <c r="R37130"/>
      <c r="S37130"/>
      <c r="T37130"/>
      <c r="U37130"/>
      <c r="X37130" s="60"/>
    </row>
    <row r="37131" spans="7:24" ht="15" customHeight="1">
      <c r="G37131"/>
      <c r="I37131"/>
      <c r="N37131"/>
      <c r="O37131" s="24"/>
      <c r="P37131"/>
      <c r="Q37131" s="24"/>
      <c r="R37131"/>
      <c r="S37131"/>
      <c r="T37131"/>
      <c r="U37131"/>
      <c r="X37131" s="60"/>
    </row>
    <row r="37132" spans="7:24" ht="15" customHeight="1">
      <c r="G37132"/>
      <c r="I37132"/>
      <c r="N37132"/>
      <c r="O37132" s="24"/>
      <c r="P37132"/>
      <c r="Q37132" s="24"/>
      <c r="R37132"/>
      <c r="S37132"/>
      <c r="T37132"/>
      <c r="U37132"/>
      <c r="X37132" s="60"/>
    </row>
    <row r="37133" spans="7:24" ht="15" customHeight="1">
      <c r="G37133"/>
      <c r="I37133"/>
      <c r="N37133"/>
      <c r="O37133" s="24"/>
      <c r="P37133"/>
      <c r="Q37133" s="24"/>
      <c r="R37133"/>
      <c r="S37133"/>
      <c r="T37133"/>
      <c r="U37133"/>
      <c r="X37133" s="60"/>
    </row>
    <row r="37134" spans="7:24" ht="15" customHeight="1">
      <c r="G37134"/>
      <c r="I37134"/>
      <c r="N37134"/>
      <c r="O37134" s="24"/>
      <c r="P37134"/>
      <c r="Q37134" s="24"/>
      <c r="R37134"/>
      <c r="S37134"/>
      <c r="T37134"/>
      <c r="U37134"/>
      <c r="X37134" s="60"/>
    </row>
    <row r="37135" spans="7:24" ht="15" customHeight="1">
      <c r="G37135"/>
      <c r="I37135"/>
      <c r="N37135"/>
      <c r="O37135" s="24"/>
      <c r="P37135"/>
      <c r="Q37135" s="24"/>
      <c r="R37135"/>
      <c r="S37135"/>
      <c r="T37135"/>
      <c r="U37135"/>
      <c r="X37135" s="60"/>
    </row>
    <row r="37136" spans="7:24" ht="15" customHeight="1">
      <c r="G37136"/>
      <c r="I37136"/>
      <c r="N37136"/>
      <c r="O37136" s="24"/>
      <c r="P37136"/>
      <c r="Q37136" s="24"/>
      <c r="R37136"/>
      <c r="S37136"/>
      <c r="T37136"/>
      <c r="U37136"/>
      <c r="X37136" s="60"/>
    </row>
    <row r="37137" spans="7:24" ht="15" customHeight="1">
      <c r="G37137"/>
      <c r="I37137"/>
      <c r="N37137"/>
      <c r="O37137" s="24"/>
      <c r="P37137"/>
      <c r="Q37137" s="24"/>
      <c r="R37137"/>
      <c r="S37137"/>
      <c r="T37137"/>
      <c r="U37137"/>
      <c r="X37137" s="60"/>
    </row>
    <row r="37138" spans="7:24" ht="15" customHeight="1">
      <c r="G37138"/>
      <c r="I37138"/>
      <c r="N37138"/>
      <c r="O37138" s="24"/>
      <c r="P37138"/>
      <c r="Q37138" s="24"/>
      <c r="R37138"/>
      <c r="S37138"/>
      <c r="T37138"/>
      <c r="U37138"/>
      <c r="X37138" s="60"/>
    </row>
    <row r="37139" spans="7:24" ht="15" customHeight="1">
      <c r="G37139"/>
      <c r="I37139"/>
      <c r="N37139"/>
      <c r="O37139" s="24"/>
      <c r="P37139"/>
      <c r="Q37139" s="24"/>
      <c r="R37139"/>
      <c r="S37139"/>
      <c r="T37139"/>
      <c r="U37139"/>
      <c r="X37139" s="60"/>
    </row>
    <row r="37140" spans="7:24" ht="15" customHeight="1">
      <c r="G37140"/>
      <c r="I37140"/>
      <c r="N37140"/>
      <c r="O37140" s="24"/>
      <c r="P37140"/>
      <c r="Q37140" s="24"/>
      <c r="R37140"/>
      <c r="S37140"/>
      <c r="T37140"/>
      <c r="U37140"/>
      <c r="X37140" s="60"/>
    </row>
    <row r="37141" spans="7:24" ht="15" customHeight="1">
      <c r="G37141"/>
      <c r="I37141"/>
      <c r="N37141"/>
      <c r="O37141" s="24"/>
      <c r="P37141"/>
      <c r="Q37141" s="24"/>
      <c r="R37141"/>
      <c r="S37141"/>
      <c r="T37141"/>
      <c r="U37141"/>
      <c r="X37141" s="60"/>
    </row>
    <row r="37142" spans="7:24" ht="15" customHeight="1">
      <c r="G37142"/>
      <c r="I37142"/>
      <c r="N37142"/>
      <c r="O37142" s="24"/>
      <c r="P37142"/>
      <c r="Q37142" s="24"/>
      <c r="R37142"/>
      <c r="S37142"/>
      <c r="T37142"/>
      <c r="U37142"/>
      <c r="X37142" s="60"/>
    </row>
    <row r="37143" spans="7:24" ht="15" customHeight="1">
      <c r="G37143"/>
      <c r="I37143"/>
      <c r="N37143"/>
      <c r="O37143" s="24"/>
      <c r="P37143"/>
      <c r="Q37143" s="24"/>
      <c r="R37143"/>
      <c r="S37143"/>
      <c r="T37143"/>
      <c r="U37143"/>
      <c r="X37143" s="60"/>
    </row>
    <row r="37144" spans="7:24" ht="15" customHeight="1">
      <c r="G37144"/>
      <c r="I37144"/>
      <c r="N37144"/>
      <c r="O37144" s="24"/>
      <c r="P37144"/>
      <c r="Q37144" s="24"/>
      <c r="R37144"/>
      <c r="S37144"/>
      <c r="T37144"/>
      <c r="U37144"/>
      <c r="X37144" s="60"/>
    </row>
    <row r="37145" spans="7:24" ht="15" customHeight="1">
      <c r="G37145"/>
      <c r="I37145"/>
      <c r="N37145"/>
      <c r="O37145" s="24"/>
      <c r="P37145"/>
      <c r="Q37145" s="24"/>
      <c r="R37145"/>
      <c r="S37145"/>
      <c r="T37145"/>
      <c r="U37145"/>
      <c r="X37145" s="60"/>
    </row>
    <row r="37146" spans="7:24" ht="15" customHeight="1">
      <c r="G37146"/>
      <c r="I37146"/>
      <c r="N37146"/>
      <c r="O37146" s="24"/>
      <c r="P37146"/>
      <c r="Q37146" s="24"/>
      <c r="R37146"/>
      <c r="S37146"/>
      <c r="T37146"/>
      <c r="U37146"/>
      <c r="X37146" s="60"/>
    </row>
    <row r="37147" spans="7:24" ht="15" customHeight="1">
      <c r="G37147"/>
      <c r="I37147"/>
      <c r="N37147"/>
      <c r="O37147" s="24"/>
      <c r="P37147"/>
      <c r="Q37147" s="24"/>
      <c r="R37147"/>
      <c r="S37147"/>
      <c r="T37147"/>
      <c r="U37147"/>
      <c r="X37147" s="60"/>
    </row>
    <row r="37148" spans="7:24" ht="15" customHeight="1">
      <c r="G37148"/>
      <c r="I37148"/>
      <c r="N37148"/>
      <c r="O37148" s="24"/>
      <c r="P37148"/>
      <c r="Q37148" s="24"/>
      <c r="R37148"/>
      <c r="S37148"/>
      <c r="T37148"/>
      <c r="U37148"/>
      <c r="X37148" s="60"/>
    </row>
    <row r="37149" spans="7:24" ht="15" customHeight="1">
      <c r="G37149"/>
      <c r="I37149"/>
      <c r="N37149"/>
      <c r="O37149" s="24"/>
      <c r="P37149"/>
      <c r="Q37149" s="24"/>
      <c r="R37149"/>
      <c r="S37149"/>
      <c r="T37149"/>
      <c r="U37149"/>
      <c r="X37149" s="60"/>
    </row>
    <row r="37150" spans="7:24" ht="15" customHeight="1">
      <c r="G37150"/>
      <c r="I37150"/>
      <c r="N37150"/>
      <c r="O37150" s="24"/>
      <c r="P37150"/>
      <c r="Q37150" s="24"/>
      <c r="R37150"/>
      <c r="S37150"/>
      <c r="T37150"/>
      <c r="U37150"/>
      <c r="X37150" s="60"/>
    </row>
    <row r="37151" spans="7:24" ht="15" customHeight="1">
      <c r="G37151"/>
      <c r="I37151"/>
      <c r="N37151"/>
      <c r="O37151" s="24"/>
      <c r="P37151"/>
      <c r="Q37151" s="24"/>
      <c r="R37151"/>
      <c r="S37151"/>
      <c r="T37151"/>
      <c r="U37151"/>
      <c r="X37151" s="60"/>
    </row>
    <row r="37152" spans="7:24" ht="15" customHeight="1">
      <c r="G37152"/>
      <c r="I37152"/>
      <c r="N37152"/>
      <c r="O37152" s="24"/>
      <c r="P37152"/>
      <c r="Q37152" s="24"/>
      <c r="R37152"/>
      <c r="S37152"/>
      <c r="T37152"/>
      <c r="U37152"/>
      <c r="X37152" s="60"/>
    </row>
    <row r="37153" spans="7:24" ht="15" customHeight="1">
      <c r="G37153"/>
      <c r="I37153"/>
      <c r="N37153"/>
      <c r="O37153" s="24"/>
      <c r="P37153"/>
      <c r="Q37153" s="24"/>
      <c r="R37153"/>
      <c r="S37153"/>
      <c r="T37153"/>
      <c r="U37153"/>
      <c r="X37153" s="60"/>
    </row>
    <row r="37154" spans="7:24" ht="15" customHeight="1">
      <c r="G37154"/>
      <c r="I37154"/>
      <c r="N37154"/>
      <c r="O37154" s="24"/>
      <c r="P37154"/>
      <c r="Q37154" s="24"/>
      <c r="R37154"/>
      <c r="S37154"/>
      <c r="T37154"/>
      <c r="U37154"/>
      <c r="X37154" s="60"/>
    </row>
    <row r="37155" spans="7:24" ht="15" customHeight="1">
      <c r="G37155"/>
      <c r="I37155"/>
      <c r="N37155"/>
      <c r="O37155" s="24"/>
      <c r="P37155"/>
      <c r="Q37155" s="24"/>
      <c r="R37155"/>
      <c r="S37155"/>
      <c r="T37155"/>
      <c r="U37155"/>
      <c r="X37155" s="60"/>
    </row>
    <row r="37156" spans="7:24" ht="15" customHeight="1">
      <c r="G37156"/>
      <c r="I37156"/>
      <c r="N37156"/>
      <c r="O37156" s="24"/>
      <c r="P37156"/>
      <c r="Q37156" s="24"/>
      <c r="R37156"/>
      <c r="S37156"/>
      <c r="T37156"/>
      <c r="U37156"/>
      <c r="X37156" s="60"/>
    </row>
    <row r="37157" spans="7:24" ht="15" customHeight="1">
      <c r="G37157"/>
      <c r="I37157"/>
      <c r="N37157"/>
      <c r="O37157" s="24"/>
      <c r="P37157"/>
      <c r="Q37157" s="24"/>
      <c r="R37157"/>
      <c r="S37157"/>
      <c r="T37157"/>
      <c r="U37157"/>
      <c r="X37157" s="60"/>
    </row>
    <row r="37158" spans="7:24" ht="15" customHeight="1">
      <c r="G37158"/>
      <c r="I37158"/>
      <c r="N37158"/>
      <c r="O37158" s="24"/>
      <c r="P37158"/>
      <c r="Q37158" s="24"/>
      <c r="R37158"/>
      <c r="S37158"/>
      <c r="T37158"/>
      <c r="U37158"/>
      <c r="X37158" s="60"/>
    </row>
    <row r="37159" spans="7:24" ht="15" customHeight="1">
      <c r="G37159"/>
      <c r="I37159"/>
      <c r="N37159"/>
      <c r="O37159" s="24"/>
      <c r="P37159"/>
      <c r="Q37159" s="24"/>
      <c r="R37159"/>
      <c r="S37159"/>
      <c r="T37159"/>
      <c r="U37159"/>
      <c r="X37159" s="60"/>
    </row>
    <row r="37160" spans="7:24" ht="15" customHeight="1">
      <c r="G37160"/>
      <c r="I37160"/>
      <c r="N37160"/>
      <c r="O37160" s="24"/>
      <c r="P37160"/>
      <c r="Q37160" s="24"/>
      <c r="R37160"/>
      <c r="S37160"/>
      <c r="T37160"/>
      <c r="U37160"/>
      <c r="X37160" s="60"/>
    </row>
    <row r="37161" spans="7:24" ht="15" customHeight="1">
      <c r="G37161"/>
      <c r="I37161"/>
      <c r="N37161"/>
      <c r="O37161" s="24"/>
      <c r="P37161"/>
      <c r="Q37161" s="24"/>
      <c r="R37161"/>
      <c r="S37161"/>
      <c r="T37161"/>
      <c r="U37161"/>
      <c r="X37161" s="60"/>
    </row>
    <row r="37162" spans="7:24" ht="15" customHeight="1">
      <c r="G37162"/>
      <c r="I37162"/>
      <c r="N37162"/>
      <c r="O37162" s="24"/>
      <c r="P37162"/>
      <c r="Q37162" s="24"/>
      <c r="R37162"/>
      <c r="S37162"/>
      <c r="T37162"/>
      <c r="U37162"/>
      <c r="X37162" s="60"/>
    </row>
    <row r="37163" spans="7:24" ht="15" customHeight="1">
      <c r="G37163"/>
      <c r="I37163"/>
      <c r="N37163"/>
      <c r="O37163" s="24"/>
      <c r="P37163"/>
      <c r="Q37163" s="24"/>
      <c r="R37163"/>
      <c r="S37163"/>
      <c r="T37163"/>
      <c r="U37163"/>
      <c r="X37163" s="60"/>
    </row>
    <row r="37164" spans="7:24" ht="15" customHeight="1">
      <c r="G37164"/>
      <c r="I37164"/>
      <c r="N37164"/>
      <c r="O37164" s="24"/>
      <c r="P37164"/>
      <c r="Q37164" s="24"/>
      <c r="R37164"/>
      <c r="S37164"/>
      <c r="T37164"/>
      <c r="U37164"/>
      <c r="X37164" s="60"/>
    </row>
    <row r="37165" spans="7:24" ht="15" customHeight="1">
      <c r="G37165"/>
      <c r="I37165"/>
      <c r="N37165"/>
      <c r="O37165" s="24"/>
      <c r="P37165"/>
      <c r="Q37165" s="24"/>
      <c r="R37165"/>
      <c r="S37165"/>
      <c r="T37165"/>
      <c r="U37165"/>
      <c r="X37165" s="60"/>
    </row>
    <row r="37166" spans="7:24" ht="15" customHeight="1">
      <c r="G37166"/>
      <c r="I37166"/>
      <c r="N37166"/>
      <c r="O37166" s="24"/>
      <c r="P37166"/>
      <c r="Q37166" s="24"/>
      <c r="R37166"/>
      <c r="S37166"/>
      <c r="T37166"/>
      <c r="U37166"/>
      <c r="X37166" s="60"/>
    </row>
    <row r="37167" spans="7:24" ht="15" customHeight="1">
      <c r="G37167"/>
      <c r="I37167"/>
      <c r="N37167"/>
      <c r="O37167" s="24"/>
      <c r="P37167"/>
      <c r="Q37167" s="24"/>
      <c r="R37167"/>
      <c r="S37167"/>
      <c r="T37167"/>
      <c r="U37167"/>
      <c r="X37167" s="60"/>
    </row>
    <row r="37168" spans="7:24" ht="15" customHeight="1">
      <c r="G37168"/>
      <c r="I37168"/>
      <c r="N37168"/>
      <c r="O37168" s="24"/>
      <c r="P37168"/>
      <c r="Q37168" s="24"/>
      <c r="R37168"/>
      <c r="S37168"/>
      <c r="T37168"/>
      <c r="U37168"/>
      <c r="X37168" s="60"/>
    </row>
    <row r="37169" spans="7:24" ht="15" customHeight="1">
      <c r="G37169"/>
      <c r="I37169"/>
      <c r="N37169"/>
      <c r="O37169" s="24"/>
      <c r="P37169"/>
      <c r="Q37169" s="24"/>
      <c r="R37169"/>
      <c r="S37169"/>
      <c r="T37169"/>
      <c r="U37169"/>
      <c r="X37169" s="60"/>
    </row>
    <row r="37170" spans="7:24" ht="15" customHeight="1">
      <c r="G37170"/>
      <c r="I37170"/>
      <c r="N37170"/>
      <c r="O37170" s="24"/>
      <c r="P37170"/>
      <c r="Q37170" s="24"/>
      <c r="R37170"/>
      <c r="S37170"/>
      <c r="T37170"/>
      <c r="U37170"/>
      <c r="X37170" s="60"/>
    </row>
    <row r="37171" spans="7:24" ht="15" customHeight="1">
      <c r="G37171"/>
      <c r="I37171"/>
      <c r="N37171"/>
      <c r="O37171" s="24"/>
      <c r="P37171"/>
      <c r="Q37171" s="24"/>
      <c r="R37171"/>
      <c r="S37171"/>
      <c r="T37171"/>
      <c r="U37171"/>
      <c r="X37171" s="60"/>
    </row>
    <row r="37172" spans="7:24" ht="15" customHeight="1">
      <c r="G37172"/>
      <c r="I37172"/>
      <c r="N37172"/>
      <c r="O37172" s="24"/>
      <c r="P37172"/>
      <c r="Q37172" s="24"/>
      <c r="R37172"/>
      <c r="S37172"/>
      <c r="T37172"/>
      <c r="U37172"/>
      <c r="X37172" s="60"/>
    </row>
    <row r="37173" spans="7:24" ht="15" customHeight="1">
      <c r="G37173"/>
      <c r="I37173"/>
      <c r="N37173"/>
      <c r="O37173" s="24"/>
      <c r="P37173"/>
      <c r="Q37173" s="24"/>
      <c r="R37173"/>
      <c r="S37173"/>
      <c r="T37173"/>
      <c r="U37173"/>
      <c r="X37173" s="60"/>
    </row>
    <row r="37174" spans="7:24" ht="15" customHeight="1">
      <c r="G37174"/>
      <c r="I37174"/>
      <c r="N37174"/>
      <c r="O37174" s="24"/>
      <c r="P37174"/>
      <c r="Q37174" s="24"/>
      <c r="R37174"/>
      <c r="S37174"/>
      <c r="T37174"/>
      <c r="U37174"/>
      <c r="X37174" s="60"/>
    </row>
    <row r="37175" spans="7:24" ht="15" customHeight="1">
      <c r="G37175"/>
      <c r="I37175"/>
      <c r="N37175"/>
      <c r="O37175" s="24"/>
      <c r="P37175"/>
      <c r="Q37175" s="24"/>
      <c r="R37175"/>
      <c r="S37175"/>
      <c r="T37175"/>
      <c r="U37175"/>
      <c r="X37175" s="60"/>
    </row>
    <row r="37176" spans="7:24" ht="15" customHeight="1">
      <c r="G37176"/>
      <c r="I37176"/>
      <c r="N37176"/>
      <c r="O37176" s="24"/>
      <c r="P37176"/>
      <c r="Q37176" s="24"/>
      <c r="R37176"/>
      <c r="S37176"/>
      <c r="T37176"/>
      <c r="U37176"/>
      <c r="X37176" s="60"/>
    </row>
    <row r="37177" spans="7:24" ht="15" customHeight="1">
      <c r="G37177"/>
      <c r="I37177"/>
      <c r="N37177"/>
      <c r="O37177" s="24"/>
      <c r="P37177"/>
      <c r="Q37177" s="24"/>
      <c r="R37177"/>
      <c r="S37177"/>
      <c r="T37177"/>
      <c r="U37177"/>
      <c r="X37177" s="60"/>
    </row>
    <row r="37178" spans="7:24" ht="15" customHeight="1">
      <c r="G37178"/>
      <c r="I37178"/>
      <c r="N37178"/>
      <c r="O37178" s="24"/>
      <c r="P37178"/>
      <c r="Q37178" s="24"/>
      <c r="R37178"/>
      <c r="S37178"/>
      <c r="T37178"/>
      <c r="U37178"/>
      <c r="X37178" s="60"/>
    </row>
    <row r="37179" spans="7:24" ht="15" customHeight="1">
      <c r="G37179"/>
      <c r="I37179"/>
      <c r="N37179"/>
      <c r="O37179" s="24"/>
      <c r="P37179"/>
      <c r="Q37179" s="24"/>
      <c r="R37179"/>
      <c r="S37179"/>
      <c r="T37179"/>
      <c r="U37179"/>
      <c r="X37179" s="60"/>
    </row>
    <row r="37180" spans="7:24" ht="15" customHeight="1">
      <c r="G37180"/>
      <c r="I37180"/>
      <c r="N37180"/>
      <c r="O37180" s="24"/>
      <c r="P37180"/>
      <c r="Q37180" s="24"/>
      <c r="R37180"/>
      <c r="S37180"/>
      <c r="T37180"/>
      <c r="U37180"/>
      <c r="X37180" s="60"/>
    </row>
    <row r="37181" spans="7:24" ht="15" customHeight="1">
      <c r="G37181"/>
      <c r="I37181"/>
      <c r="N37181"/>
      <c r="O37181" s="24"/>
      <c r="P37181"/>
      <c r="Q37181" s="24"/>
      <c r="R37181"/>
      <c r="S37181"/>
      <c r="T37181"/>
      <c r="U37181"/>
      <c r="X37181" s="60"/>
    </row>
    <row r="37182" spans="7:24" ht="15" customHeight="1">
      <c r="G37182"/>
      <c r="I37182"/>
      <c r="N37182"/>
      <c r="O37182" s="24"/>
      <c r="P37182"/>
      <c r="Q37182" s="24"/>
      <c r="R37182"/>
      <c r="S37182"/>
      <c r="T37182"/>
      <c r="U37182"/>
      <c r="X37182" s="60"/>
    </row>
    <row r="37183" spans="7:24" ht="15" customHeight="1">
      <c r="G37183"/>
      <c r="I37183"/>
      <c r="N37183"/>
      <c r="O37183" s="24"/>
      <c r="P37183"/>
      <c r="Q37183" s="24"/>
      <c r="R37183"/>
      <c r="S37183"/>
      <c r="T37183"/>
      <c r="U37183"/>
      <c r="X37183" s="60"/>
    </row>
    <row r="37184" spans="7:24" ht="15" customHeight="1">
      <c r="G37184"/>
      <c r="I37184"/>
      <c r="N37184"/>
      <c r="O37184" s="24"/>
      <c r="P37184"/>
      <c r="Q37184" s="24"/>
      <c r="R37184"/>
      <c r="S37184"/>
      <c r="T37184"/>
      <c r="U37184"/>
      <c r="X37184" s="60"/>
    </row>
    <row r="37185" spans="7:24" ht="15" customHeight="1">
      <c r="G37185"/>
      <c r="I37185"/>
      <c r="N37185"/>
      <c r="O37185" s="24"/>
      <c r="P37185"/>
      <c r="Q37185" s="24"/>
      <c r="R37185"/>
      <c r="S37185"/>
      <c r="T37185"/>
      <c r="U37185"/>
      <c r="X37185" s="60"/>
    </row>
    <row r="37186" spans="7:24" ht="15" customHeight="1">
      <c r="G37186"/>
      <c r="I37186"/>
      <c r="N37186"/>
      <c r="O37186" s="24"/>
      <c r="P37186"/>
      <c r="Q37186" s="24"/>
      <c r="R37186"/>
      <c r="S37186"/>
      <c r="T37186"/>
      <c r="U37186"/>
      <c r="X37186" s="60"/>
    </row>
    <row r="37187" spans="7:24" ht="15" customHeight="1">
      <c r="G37187"/>
      <c r="I37187"/>
      <c r="N37187"/>
      <c r="O37187" s="24"/>
      <c r="P37187"/>
      <c r="Q37187" s="24"/>
      <c r="R37187"/>
      <c r="S37187"/>
      <c r="T37187"/>
      <c r="U37187"/>
      <c r="X37187" s="60"/>
    </row>
    <row r="37188" spans="7:24" ht="15" customHeight="1">
      <c r="G37188"/>
      <c r="I37188"/>
      <c r="N37188"/>
      <c r="O37188" s="24"/>
      <c r="P37188"/>
      <c r="Q37188" s="24"/>
      <c r="R37188"/>
      <c r="S37188"/>
      <c r="T37188"/>
      <c r="U37188"/>
      <c r="X37188" s="60"/>
    </row>
    <row r="37189" spans="7:24" ht="15" customHeight="1">
      <c r="G37189"/>
      <c r="I37189"/>
      <c r="N37189"/>
      <c r="O37189" s="24"/>
      <c r="P37189"/>
      <c r="Q37189" s="24"/>
      <c r="R37189"/>
      <c r="S37189"/>
      <c r="T37189"/>
      <c r="U37189"/>
      <c r="X37189" s="60"/>
    </row>
    <row r="37190" spans="7:24" ht="15" customHeight="1">
      <c r="G37190"/>
      <c r="I37190"/>
      <c r="N37190"/>
      <c r="O37190" s="24"/>
      <c r="P37190"/>
      <c r="Q37190" s="24"/>
      <c r="R37190"/>
      <c r="S37190"/>
      <c r="T37190"/>
      <c r="U37190"/>
      <c r="X37190" s="60"/>
    </row>
    <row r="37191" spans="7:24" ht="15" customHeight="1">
      <c r="G37191"/>
      <c r="I37191"/>
      <c r="N37191"/>
      <c r="O37191" s="24"/>
      <c r="P37191"/>
      <c r="Q37191" s="24"/>
      <c r="R37191"/>
      <c r="S37191"/>
      <c r="T37191"/>
      <c r="U37191"/>
      <c r="X37191" s="60"/>
    </row>
    <row r="37192" spans="7:24" ht="15" customHeight="1">
      <c r="G37192"/>
      <c r="I37192"/>
      <c r="N37192"/>
      <c r="O37192" s="24"/>
      <c r="P37192"/>
      <c r="Q37192" s="24"/>
      <c r="R37192"/>
      <c r="S37192"/>
      <c r="T37192"/>
      <c r="U37192"/>
      <c r="X37192" s="60"/>
    </row>
    <row r="37193" spans="7:24" ht="15" customHeight="1">
      <c r="G37193"/>
      <c r="I37193"/>
      <c r="N37193"/>
      <c r="O37193" s="24"/>
      <c r="P37193"/>
      <c r="Q37193" s="24"/>
      <c r="R37193"/>
      <c r="S37193"/>
      <c r="T37193"/>
      <c r="U37193"/>
      <c r="X37193" s="60"/>
    </row>
    <row r="37194" spans="7:24" ht="15" customHeight="1">
      <c r="G37194"/>
      <c r="I37194"/>
      <c r="N37194"/>
      <c r="O37194" s="24"/>
      <c r="P37194"/>
      <c r="Q37194" s="24"/>
      <c r="R37194"/>
      <c r="S37194"/>
      <c r="T37194"/>
      <c r="U37194"/>
      <c r="X37194" s="60"/>
    </row>
    <row r="37195" spans="7:24" ht="15" customHeight="1">
      <c r="G37195"/>
      <c r="I37195"/>
      <c r="N37195"/>
      <c r="O37195" s="24"/>
      <c r="P37195"/>
      <c r="Q37195" s="24"/>
      <c r="R37195"/>
      <c r="S37195"/>
      <c r="T37195"/>
      <c r="U37195"/>
      <c r="X37195" s="60"/>
    </row>
    <row r="37196" spans="7:24" ht="15" customHeight="1">
      <c r="G37196"/>
      <c r="I37196"/>
      <c r="N37196"/>
      <c r="O37196" s="24"/>
      <c r="P37196"/>
      <c r="Q37196" s="24"/>
      <c r="R37196"/>
      <c r="S37196"/>
      <c r="T37196"/>
      <c r="U37196"/>
      <c r="X37196" s="60"/>
    </row>
    <row r="37197" spans="7:24" ht="15" customHeight="1">
      <c r="G37197"/>
      <c r="I37197"/>
      <c r="N37197"/>
      <c r="O37197" s="24"/>
      <c r="P37197"/>
      <c r="Q37197" s="24"/>
      <c r="R37197"/>
      <c r="S37197"/>
      <c r="T37197"/>
      <c r="U37197"/>
      <c r="X37197" s="60"/>
    </row>
    <row r="37198" spans="7:24" ht="15" customHeight="1">
      <c r="G37198"/>
      <c r="I37198"/>
      <c r="N37198"/>
      <c r="O37198" s="24"/>
      <c r="P37198"/>
      <c r="Q37198" s="24"/>
      <c r="R37198"/>
      <c r="S37198"/>
      <c r="T37198"/>
      <c r="U37198"/>
      <c r="X37198" s="60"/>
    </row>
    <row r="37199" spans="7:24" ht="15" customHeight="1">
      <c r="G37199"/>
      <c r="I37199"/>
      <c r="N37199"/>
      <c r="O37199" s="24"/>
      <c r="P37199"/>
      <c r="Q37199" s="24"/>
      <c r="R37199"/>
      <c r="S37199"/>
      <c r="T37199"/>
      <c r="U37199"/>
      <c r="X37199" s="60"/>
    </row>
    <row r="37200" spans="7:24" ht="15" customHeight="1">
      <c r="G37200"/>
      <c r="I37200"/>
      <c r="N37200"/>
      <c r="O37200" s="24"/>
      <c r="P37200"/>
      <c r="Q37200" s="24"/>
      <c r="R37200"/>
      <c r="S37200"/>
      <c r="T37200"/>
      <c r="U37200"/>
      <c r="X37200" s="60"/>
    </row>
    <row r="37201" spans="7:24" ht="15" customHeight="1">
      <c r="G37201"/>
      <c r="I37201"/>
      <c r="N37201"/>
      <c r="O37201" s="24"/>
      <c r="P37201"/>
      <c r="Q37201" s="24"/>
      <c r="R37201"/>
      <c r="S37201"/>
      <c r="T37201"/>
      <c r="U37201"/>
      <c r="X37201" s="60"/>
    </row>
    <row r="37202" spans="7:24" ht="15" customHeight="1">
      <c r="G37202"/>
      <c r="I37202"/>
      <c r="N37202"/>
      <c r="O37202" s="24"/>
      <c r="P37202"/>
      <c r="Q37202" s="24"/>
      <c r="R37202"/>
      <c r="S37202"/>
      <c r="T37202"/>
      <c r="U37202"/>
      <c r="X37202" s="60"/>
    </row>
    <row r="37203" spans="7:24" ht="15" customHeight="1">
      <c r="G37203"/>
      <c r="I37203"/>
      <c r="N37203"/>
      <c r="O37203" s="24"/>
      <c r="P37203"/>
      <c r="Q37203" s="24"/>
      <c r="R37203"/>
      <c r="S37203"/>
      <c r="T37203"/>
      <c r="U37203"/>
      <c r="X37203" s="60"/>
    </row>
    <row r="37204" spans="7:24" ht="15" customHeight="1">
      <c r="G37204"/>
      <c r="I37204"/>
      <c r="N37204"/>
      <c r="O37204" s="24"/>
      <c r="P37204"/>
      <c r="Q37204" s="24"/>
      <c r="R37204"/>
      <c r="S37204"/>
      <c r="T37204"/>
      <c r="U37204"/>
      <c r="X37204" s="60"/>
    </row>
    <row r="37205" spans="7:24" ht="15" customHeight="1">
      <c r="G37205"/>
      <c r="I37205"/>
      <c r="N37205"/>
      <c r="O37205" s="24"/>
      <c r="P37205"/>
      <c r="Q37205" s="24"/>
      <c r="R37205"/>
      <c r="S37205"/>
      <c r="T37205"/>
      <c r="U37205"/>
      <c r="X37205" s="60"/>
    </row>
    <row r="37206" spans="7:24" ht="15" customHeight="1">
      <c r="G37206"/>
      <c r="I37206"/>
      <c r="N37206"/>
      <c r="O37206" s="24"/>
      <c r="P37206"/>
      <c r="Q37206" s="24"/>
      <c r="R37206"/>
      <c r="S37206"/>
      <c r="T37206"/>
      <c r="U37206"/>
      <c r="X37206" s="60"/>
    </row>
    <row r="37207" spans="7:24" ht="15" customHeight="1">
      <c r="G37207"/>
      <c r="I37207"/>
      <c r="N37207"/>
      <c r="O37207" s="24"/>
      <c r="P37207"/>
      <c r="Q37207" s="24"/>
      <c r="R37207"/>
      <c r="S37207"/>
      <c r="T37207"/>
      <c r="U37207"/>
      <c r="X37207" s="60"/>
    </row>
    <row r="37208" spans="7:24" ht="15" customHeight="1">
      <c r="G37208"/>
      <c r="I37208"/>
      <c r="N37208"/>
      <c r="O37208" s="24"/>
      <c r="P37208"/>
      <c r="Q37208" s="24"/>
      <c r="R37208"/>
      <c r="S37208"/>
      <c r="T37208"/>
      <c r="U37208"/>
      <c r="X37208" s="60"/>
    </row>
    <row r="37209" spans="7:24" ht="15" customHeight="1">
      <c r="G37209"/>
      <c r="I37209"/>
      <c r="N37209"/>
      <c r="O37209" s="24"/>
      <c r="P37209"/>
      <c r="Q37209" s="24"/>
      <c r="R37209"/>
      <c r="S37209"/>
      <c r="T37209"/>
      <c r="U37209"/>
      <c r="X37209" s="60"/>
    </row>
    <row r="37210" spans="7:24" ht="15" customHeight="1">
      <c r="G37210"/>
      <c r="I37210"/>
      <c r="N37210"/>
      <c r="O37210" s="24"/>
      <c r="P37210"/>
      <c r="Q37210" s="24"/>
      <c r="R37210"/>
      <c r="S37210"/>
      <c r="T37210"/>
      <c r="U37210"/>
      <c r="X37210" s="60"/>
    </row>
    <row r="37211" spans="7:24" ht="15" customHeight="1">
      <c r="G37211"/>
      <c r="I37211"/>
      <c r="N37211"/>
      <c r="O37211" s="24"/>
      <c r="P37211"/>
      <c r="Q37211" s="24"/>
      <c r="R37211"/>
      <c r="S37211"/>
      <c r="T37211"/>
      <c r="U37211"/>
      <c r="X37211" s="60"/>
    </row>
    <row r="37212" spans="7:24" ht="15" customHeight="1">
      <c r="G37212"/>
      <c r="I37212"/>
      <c r="N37212"/>
      <c r="O37212" s="24"/>
      <c r="P37212"/>
      <c r="Q37212" s="24"/>
      <c r="R37212"/>
      <c r="S37212"/>
      <c r="T37212"/>
      <c r="U37212"/>
      <c r="X37212" s="60"/>
    </row>
    <row r="37213" spans="7:24" ht="15" customHeight="1">
      <c r="G37213"/>
      <c r="I37213"/>
      <c r="N37213"/>
      <c r="O37213" s="24"/>
      <c r="P37213"/>
      <c r="Q37213" s="24"/>
      <c r="R37213"/>
      <c r="S37213"/>
      <c r="T37213"/>
      <c r="U37213"/>
      <c r="X37213" s="60"/>
    </row>
    <row r="37214" spans="7:24" ht="15" customHeight="1">
      <c r="G37214"/>
      <c r="I37214"/>
      <c r="N37214"/>
      <c r="O37214" s="24"/>
      <c r="P37214"/>
      <c r="Q37214" s="24"/>
      <c r="R37214"/>
      <c r="S37214"/>
      <c r="T37214"/>
      <c r="U37214"/>
      <c r="X37214" s="60"/>
    </row>
    <row r="37215" spans="7:24" ht="15" customHeight="1">
      <c r="G37215"/>
      <c r="I37215"/>
      <c r="N37215"/>
      <c r="O37215" s="24"/>
      <c r="P37215"/>
      <c r="Q37215" s="24"/>
      <c r="R37215"/>
      <c r="S37215"/>
      <c r="T37215"/>
      <c r="U37215"/>
      <c r="X37215" s="60"/>
    </row>
    <row r="37216" spans="7:24" ht="15" customHeight="1">
      <c r="G37216"/>
      <c r="I37216"/>
      <c r="N37216"/>
      <c r="O37216" s="24"/>
      <c r="P37216"/>
      <c r="Q37216" s="24"/>
      <c r="R37216"/>
      <c r="S37216"/>
      <c r="T37216"/>
      <c r="U37216"/>
      <c r="X37216" s="60"/>
    </row>
    <row r="37217" spans="7:24" ht="15" customHeight="1">
      <c r="G37217"/>
      <c r="I37217"/>
      <c r="N37217"/>
      <c r="O37217" s="24"/>
      <c r="P37217"/>
      <c r="Q37217" s="24"/>
      <c r="R37217"/>
      <c r="S37217"/>
      <c r="T37217"/>
      <c r="U37217"/>
      <c r="X37217" s="60"/>
    </row>
    <row r="37218" spans="7:24" ht="15" customHeight="1">
      <c r="G37218"/>
      <c r="I37218"/>
      <c r="N37218"/>
      <c r="O37218" s="24"/>
      <c r="P37218"/>
      <c r="Q37218" s="24"/>
      <c r="R37218"/>
      <c r="S37218"/>
      <c r="T37218"/>
      <c r="U37218"/>
      <c r="X37218" s="60"/>
    </row>
    <row r="37219" spans="7:24" ht="15" customHeight="1">
      <c r="G37219"/>
      <c r="I37219"/>
      <c r="N37219"/>
      <c r="O37219" s="24"/>
      <c r="P37219"/>
      <c r="Q37219" s="24"/>
      <c r="R37219"/>
      <c r="S37219"/>
      <c r="T37219"/>
      <c r="U37219"/>
      <c r="X37219" s="60"/>
    </row>
    <row r="37220" spans="7:24" ht="15" customHeight="1">
      <c r="G37220"/>
      <c r="I37220"/>
      <c r="N37220"/>
      <c r="O37220" s="24"/>
      <c r="P37220"/>
      <c r="Q37220" s="24"/>
      <c r="R37220"/>
      <c r="S37220"/>
      <c r="T37220"/>
      <c r="U37220"/>
      <c r="X37220" s="60"/>
    </row>
    <row r="37221" spans="7:24" ht="15" customHeight="1">
      <c r="G37221"/>
      <c r="I37221"/>
      <c r="N37221"/>
      <c r="O37221" s="24"/>
      <c r="P37221"/>
      <c r="Q37221" s="24"/>
      <c r="R37221"/>
      <c r="S37221"/>
      <c r="T37221"/>
      <c r="U37221"/>
      <c r="X37221" s="60"/>
    </row>
    <row r="37222" spans="7:24" ht="15" customHeight="1">
      <c r="G37222"/>
      <c r="I37222"/>
      <c r="N37222"/>
      <c r="O37222" s="24"/>
      <c r="P37222"/>
      <c r="Q37222" s="24"/>
      <c r="R37222"/>
      <c r="S37222"/>
      <c r="T37222"/>
      <c r="U37222"/>
      <c r="X37222" s="60"/>
    </row>
    <row r="37223" spans="7:24" ht="15" customHeight="1">
      <c r="G37223"/>
      <c r="I37223"/>
      <c r="N37223"/>
      <c r="O37223" s="24"/>
      <c r="P37223"/>
      <c r="Q37223" s="24"/>
      <c r="R37223"/>
      <c r="S37223"/>
      <c r="T37223"/>
      <c r="U37223"/>
      <c r="X37223" s="60"/>
    </row>
    <row r="37224" spans="7:24" ht="15" customHeight="1">
      <c r="G37224"/>
      <c r="I37224"/>
      <c r="N37224"/>
      <c r="O37224" s="24"/>
      <c r="P37224"/>
      <c r="Q37224" s="24"/>
      <c r="R37224"/>
      <c r="S37224"/>
      <c r="T37224"/>
      <c r="U37224"/>
      <c r="X37224" s="60"/>
    </row>
    <row r="37225" spans="7:24" ht="15" customHeight="1">
      <c r="G37225"/>
      <c r="I37225"/>
      <c r="N37225"/>
      <c r="O37225" s="24"/>
      <c r="P37225"/>
      <c r="Q37225" s="24"/>
      <c r="R37225"/>
      <c r="S37225"/>
      <c r="T37225"/>
      <c r="U37225"/>
      <c r="X37225" s="60"/>
    </row>
    <row r="37226" spans="7:24" ht="15" customHeight="1">
      <c r="G37226"/>
      <c r="I37226"/>
      <c r="N37226"/>
      <c r="O37226" s="24"/>
      <c r="P37226"/>
      <c r="Q37226" s="24"/>
      <c r="R37226"/>
      <c r="S37226"/>
      <c r="T37226"/>
      <c r="U37226"/>
      <c r="X37226" s="60"/>
    </row>
    <row r="37227" spans="7:24" ht="15" customHeight="1">
      <c r="G37227"/>
      <c r="I37227"/>
      <c r="N37227"/>
      <c r="O37227" s="24"/>
      <c r="P37227"/>
      <c r="Q37227" s="24"/>
      <c r="R37227"/>
      <c r="S37227"/>
      <c r="T37227"/>
      <c r="U37227"/>
      <c r="X37227" s="60"/>
    </row>
    <row r="37228" spans="7:24" ht="15" customHeight="1">
      <c r="G37228"/>
      <c r="I37228"/>
      <c r="N37228"/>
      <c r="O37228" s="24"/>
      <c r="P37228"/>
      <c r="Q37228" s="24"/>
      <c r="R37228"/>
      <c r="S37228"/>
      <c r="T37228"/>
      <c r="U37228"/>
      <c r="X37228" s="60"/>
    </row>
    <row r="37229" spans="7:24" ht="15" customHeight="1">
      <c r="G37229"/>
      <c r="I37229"/>
      <c r="N37229"/>
      <c r="O37229" s="24"/>
      <c r="P37229"/>
      <c r="Q37229" s="24"/>
      <c r="R37229"/>
      <c r="S37229"/>
      <c r="T37229"/>
      <c r="U37229"/>
      <c r="X37229" s="60"/>
    </row>
    <row r="37230" spans="7:24" ht="15" customHeight="1">
      <c r="G37230"/>
      <c r="I37230"/>
      <c r="N37230"/>
      <c r="O37230" s="24"/>
      <c r="P37230"/>
      <c r="Q37230" s="24"/>
      <c r="R37230"/>
      <c r="S37230"/>
      <c r="T37230"/>
      <c r="U37230"/>
      <c r="X37230" s="60"/>
    </row>
    <row r="37231" spans="7:24" ht="15" customHeight="1">
      <c r="G37231"/>
      <c r="I37231"/>
      <c r="N37231"/>
      <c r="O37231" s="24"/>
      <c r="P37231"/>
      <c r="Q37231" s="24"/>
      <c r="R37231"/>
      <c r="S37231"/>
      <c r="T37231"/>
      <c r="U37231"/>
      <c r="X37231" s="60"/>
    </row>
    <row r="37232" spans="7:24" ht="15" customHeight="1">
      <c r="G37232"/>
      <c r="I37232"/>
      <c r="N37232"/>
      <c r="O37232" s="24"/>
      <c r="P37232"/>
      <c r="Q37232" s="24"/>
      <c r="R37232"/>
      <c r="S37232"/>
      <c r="T37232"/>
      <c r="U37232"/>
      <c r="X37232" s="60"/>
    </row>
    <row r="37233" spans="7:24" ht="15" customHeight="1">
      <c r="G37233"/>
      <c r="I37233"/>
      <c r="N37233"/>
      <c r="O37233" s="24"/>
      <c r="P37233"/>
      <c r="Q37233" s="24"/>
      <c r="R37233"/>
      <c r="S37233"/>
      <c r="T37233"/>
      <c r="U37233"/>
      <c r="X37233" s="60"/>
    </row>
    <row r="37234" spans="7:24" ht="15" customHeight="1">
      <c r="G37234"/>
      <c r="I37234"/>
      <c r="N37234"/>
      <c r="O37234" s="24"/>
      <c r="P37234"/>
      <c r="Q37234" s="24"/>
      <c r="R37234"/>
      <c r="S37234"/>
      <c r="T37234"/>
      <c r="U37234"/>
      <c r="X37234" s="60"/>
    </row>
    <row r="37235" spans="7:24" ht="15" customHeight="1">
      <c r="G37235"/>
      <c r="I37235"/>
      <c r="N37235"/>
      <c r="O37235" s="24"/>
      <c r="P37235"/>
      <c r="Q37235" s="24"/>
      <c r="R37235"/>
      <c r="S37235"/>
      <c r="T37235"/>
      <c r="U37235"/>
      <c r="X37235" s="60"/>
    </row>
    <row r="37236" spans="7:24" ht="15" customHeight="1">
      <c r="G37236"/>
      <c r="I37236"/>
      <c r="N37236"/>
      <c r="O37236" s="24"/>
      <c r="P37236"/>
      <c r="Q37236" s="24"/>
      <c r="R37236"/>
      <c r="S37236"/>
      <c r="T37236"/>
      <c r="U37236"/>
      <c r="X37236" s="60"/>
    </row>
    <row r="37237" spans="7:24" ht="15" customHeight="1">
      <c r="G37237"/>
      <c r="I37237"/>
      <c r="N37237"/>
      <c r="O37237" s="24"/>
      <c r="P37237"/>
      <c r="Q37237" s="24"/>
      <c r="R37237"/>
      <c r="S37237"/>
      <c r="T37237"/>
      <c r="U37237"/>
      <c r="X37237" s="60"/>
    </row>
    <row r="37238" spans="7:24" ht="15" customHeight="1">
      <c r="G37238"/>
      <c r="I37238"/>
      <c r="N37238"/>
      <c r="O37238" s="24"/>
      <c r="P37238"/>
      <c r="Q37238" s="24"/>
      <c r="R37238"/>
      <c r="S37238"/>
      <c r="T37238"/>
      <c r="U37238"/>
      <c r="X37238" s="60"/>
    </row>
    <row r="37239" spans="7:24" ht="15" customHeight="1">
      <c r="G37239"/>
      <c r="I37239"/>
      <c r="N37239"/>
      <c r="O37239" s="24"/>
      <c r="P37239"/>
      <c r="Q37239" s="24"/>
      <c r="R37239"/>
      <c r="S37239"/>
      <c r="T37239"/>
      <c r="U37239"/>
      <c r="X37239" s="60"/>
    </row>
    <row r="37240" spans="7:24" ht="15" customHeight="1">
      <c r="G37240"/>
      <c r="I37240"/>
      <c r="N37240"/>
      <c r="O37240" s="24"/>
      <c r="P37240"/>
      <c r="Q37240" s="24"/>
      <c r="R37240"/>
      <c r="S37240"/>
      <c r="T37240"/>
      <c r="U37240"/>
      <c r="X37240" s="60"/>
    </row>
    <row r="37241" spans="7:24" ht="15" customHeight="1">
      <c r="G37241"/>
      <c r="I37241"/>
      <c r="N37241"/>
      <c r="O37241" s="24"/>
      <c r="P37241"/>
      <c r="Q37241" s="24"/>
      <c r="R37241"/>
      <c r="S37241"/>
      <c r="T37241"/>
      <c r="U37241"/>
      <c r="X37241" s="60"/>
    </row>
    <row r="37242" spans="7:24" ht="15" customHeight="1">
      <c r="G37242"/>
      <c r="I37242"/>
      <c r="N37242"/>
      <c r="O37242" s="24"/>
      <c r="P37242"/>
      <c r="Q37242" s="24"/>
      <c r="R37242"/>
      <c r="S37242"/>
      <c r="T37242"/>
      <c r="U37242"/>
      <c r="X37242" s="60"/>
    </row>
    <row r="37243" spans="7:24" ht="15" customHeight="1">
      <c r="G37243"/>
      <c r="I37243"/>
      <c r="N37243"/>
      <c r="O37243" s="24"/>
      <c r="P37243"/>
      <c r="Q37243" s="24"/>
      <c r="R37243"/>
      <c r="S37243"/>
      <c r="T37243"/>
      <c r="U37243"/>
      <c r="X37243" s="60"/>
    </row>
    <row r="37244" spans="7:24" ht="15" customHeight="1">
      <c r="G37244"/>
      <c r="I37244"/>
      <c r="N37244"/>
      <c r="O37244" s="24"/>
      <c r="P37244"/>
      <c r="Q37244" s="24"/>
      <c r="R37244"/>
      <c r="S37244"/>
      <c r="T37244"/>
      <c r="U37244"/>
      <c r="X37244" s="60"/>
    </row>
    <row r="37245" spans="7:24" ht="15" customHeight="1">
      <c r="G37245"/>
      <c r="I37245"/>
      <c r="N37245"/>
      <c r="O37245" s="24"/>
      <c r="P37245"/>
      <c r="Q37245" s="24"/>
      <c r="R37245"/>
      <c r="S37245"/>
      <c r="T37245"/>
      <c r="U37245"/>
      <c r="X37245" s="60"/>
    </row>
    <row r="37246" spans="7:24" ht="15" customHeight="1">
      <c r="G37246"/>
      <c r="I37246"/>
      <c r="N37246"/>
      <c r="O37246" s="24"/>
      <c r="P37246"/>
      <c r="Q37246" s="24"/>
      <c r="R37246"/>
      <c r="S37246"/>
      <c r="T37246"/>
      <c r="U37246"/>
      <c r="X37246" s="60"/>
    </row>
    <row r="37247" spans="7:24" ht="15" customHeight="1">
      <c r="G37247"/>
      <c r="I37247"/>
      <c r="N37247"/>
      <c r="O37247" s="24"/>
      <c r="P37247"/>
      <c r="Q37247" s="24"/>
      <c r="R37247"/>
      <c r="S37247"/>
      <c r="T37247"/>
      <c r="U37247"/>
      <c r="X37247" s="60"/>
    </row>
    <row r="37248" spans="7:24" ht="15" customHeight="1">
      <c r="G37248"/>
      <c r="I37248"/>
      <c r="N37248"/>
      <c r="O37248" s="24"/>
      <c r="P37248"/>
      <c r="Q37248" s="24"/>
      <c r="R37248"/>
      <c r="S37248"/>
      <c r="T37248"/>
      <c r="U37248"/>
      <c r="X37248" s="60"/>
    </row>
    <row r="37249" spans="7:24" ht="15" customHeight="1">
      <c r="G37249"/>
      <c r="I37249"/>
      <c r="N37249"/>
      <c r="O37249" s="24"/>
      <c r="P37249"/>
      <c r="Q37249" s="24"/>
      <c r="R37249"/>
      <c r="S37249"/>
      <c r="T37249"/>
      <c r="U37249"/>
      <c r="X37249" s="60"/>
    </row>
    <row r="37250" spans="7:24" ht="15" customHeight="1">
      <c r="G37250"/>
      <c r="I37250"/>
      <c r="N37250"/>
      <c r="O37250" s="24"/>
      <c r="P37250"/>
      <c r="Q37250" s="24"/>
      <c r="R37250"/>
      <c r="S37250"/>
      <c r="T37250"/>
      <c r="U37250"/>
      <c r="X37250" s="60"/>
    </row>
    <row r="37251" spans="7:24" ht="15" customHeight="1">
      <c r="G37251"/>
      <c r="I37251"/>
      <c r="N37251"/>
      <c r="O37251" s="24"/>
      <c r="P37251"/>
      <c r="Q37251" s="24"/>
      <c r="R37251"/>
      <c r="S37251"/>
      <c r="T37251"/>
      <c r="U37251"/>
      <c r="X37251" s="60"/>
    </row>
    <row r="37252" spans="7:24" ht="15" customHeight="1">
      <c r="G37252"/>
      <c r="I37252"/>
      <c r="N37252"/>
      <c r="O37252" s="24"/>
      <c r="P37252"/>
      <c r="Q37252" s="24"/>
      <c r="R37252"/>
      <c r="S37252"/>
      <c r="T37252"/>
      <c r="U37252"/>
      <c r="X37252" s="60"/>
    </row>
    <row r="37253" spans="7:24" ht="15" customHeight="1">
      <c r="G37253"/>
      <c r="I37253"/>
      <c r="N37253"/>
      <c r="O37253" s="24"/>
      <c r="P37253"/>
      <c r="Q37253" s="24"/>
      <c r="R37253"/>
      <c r="S37253"/>
      <c r="T37253"/>
      <c r="U37253"/>
      <c r="X37253" s="60"/>
    </row>
    <row r="37254" spans="7:24" ht="15" customHeight="1">
      <c r="G37254"/>
      <c r="I37254"/>
      <c r="N37254"/>
      <c r="O37254" s="24"/>
      <c r="P37254"/>
      <c r="Q37254" s="24"/>
      <c r="R37254"/>
      <c r="S37254"/>
      <c r="T37254"/>
      <c r="U37254"/>
      <c r="X37254" s="60"/>
    </row>
    <row r="37255" spans="7:24" ht="15" customHeight="1">
      <c r="G37255"/>
      <c r="I37255"/>
      <c r="N37255"/>
      <c r="O37255" s="24"/>
      <c r="P37255"/>
      <c r="Q37255" s="24"/>
      <c r="R37255"/>
      <c r="S37255"/>
      <c r="T37255"/>
      <c r="U37255"/>
      <c r="X37255" s="60"/>
    </row>
    <row r="37256" spans="7:24" ht="15" customHeight="1">
      <c r="G37256"/>
      <c r="I37256"/>
      <c r="N37256"/>
      <c r="O37256" s="24"/>
      <c r="P37256"/>
      <c r="Q37256" s="24"/>
      <c r="R37256"/>
      <c r="S37256"/>
      <c r="T37256"/>
      <c r="U37256"/>
      <c r="X37256" s="60"/>
    </row>
    <row r="37257" spans="7:24" ht="15" customHeight="1">
      <c r="G37257"/>
      <c r="I37257"/>
      <c r="N37257"/>
      <c r="O37257" s="24"/>
      <c r="P37257"/>
      <c r="Q37257" s="24"/>
      <c r="R37257"/>
      <c r="S37257"/>
      <c r="T37257"/>
      <c r="U37257"/>
      <c r="X37257" s="60"/>
    </row>
    <row r="37258" spans="7:24" ht="15" customHeight="1">
      <c r="G37258"/>
      <c r="I37258"/>
      <c r="N37258"/>
      <c r="O37258" s="24"/>
      <c r="P37258"/>
      <c r="Q37258" s="24"/>
      <c r="R37258"/>
      <c r="S37258"/>
      <c r="T37258"/>
      <c r="U37258"/>
      <c r="X37258" s="60"/>
    </row>
    <row r="37259" spans="7:24" ht="15" customHeight="1">
      <c r="G37259"/>
      <c r="I37259"/>
      <c r="N37259"/>
      <c r="O37259" s="24"/>
      <c r="P37259"/>
      <c r="Q37259" s="24"/>
      <c r="R37259"/>
      <c r="S37259"/>
      <c r="T37259"/>
      <c r="U37259"/>
      <c r="X37259" s="60"/>
    </row>
    <row r="37260" spans="7:24" ht="15" customHeight="1">
      <c r="G37260"/>
      <c r="I37260"/>
      <c r="N37260"/>
      <c r="O37260" s="24"/>
      <c r="P37260"/>
      <c r="Q37260" s="24"/>
      <c r="R37260"/>
      <c r="S37260"/>
      <c r="T37260"/>
      <c r="U37260"/>
      <c r="X37260" s="60"/>
    </row>
    <row r="37261" spans="7:24" ht="15" customHeight="1">
      <c r="G37261"/>
      <c r="I37261"/>
      <c r="N37261"/>
      <c r="O37261" s="24"/>
      <c r="P37261"/>
      <c r="Q37261" s="24"/>
      <c r="R37261"/>
      <c r="S37261"/>
      <c r="T37261"/>
      <c r="U37261"/>
      <c r="X37261" s="60"/>
    </row>
    <row r="37262" spans="7:24" ht="15" customHeight="1">
      <c r="G37262"/>
      <c r="I37262"/>
      <c r="N37262"/>
      <c r="O37262" s="24"/>
      <c r="P37262"/>
      <c r="Q37262" s="24"/>
      <c r="R37262"/>
      <c r="S37262"/>
      <c r="T37262"/>
      <c r="U37262"/>
      <c r="X37262" s="60"/>
    </row>
    <row r="37263" spans="7:24" ht="15" customHeight="1">
      <c r="G37263"/>
      <c r="I37263"/>
      <c r="N37263"/>
      <c r="O37263" s="24"/>
      <c r="P37263"/>
      <c r="Q37263" s="24"/>
      <c r="R37263"/>
      <c r="S37263"/>
      <c r="T37263"/>
      <c r="U37263"/>
      <c r="X37263" s="60"/>
    </row>
    <row r="37264" spans="7:24" ht="15" customHeight="1">
      <c r="G37264"/>
      <c r="I37264"/>
      <c r="N37264"/>
      <c r="O37264" s="24"/>
      <c r="P37264"/>
      <c r="Q37264" s="24"/>
      <c r="R37264"/>
      <c r="S37264"/>
      <c r="T37264"/>
      <c r="U37264"/>
      <c r="X37264" s="60"/>
    </row>
    <row r="37265" spans="7:24" ht="15" customHeight="1">
      <c r="G37265"/>
      <c r="I37265"/>
      <c r="N37265"/>
      <c r="O37265" s="24"/>
      <c r="P37265"/>
      <c r="Q37265" s="24"/>
      <c r="R37265"/>
      <c r="S37265"/>
      <c r="T37265"/>
      <c r="U37265"/>
      <c r="X37265" s="60"/>
    </row>
    <row r="37266" spans="7:24" ht="15" customHeight="1">
      <c r="G37266"/>
      <c r="I37266"/>
      <c r="N37266"/>
      <c r="O37266" s="24"/>
      <c r="P37266"/>
      <c r="Q37266" s="24"/>
      <c r="R37266"/>
      <c r="S37266"/>
      <c r="T37266"/>
      <c r="U37266"/>
      <c r="X37266" s="60"/>
    </row>
    <row r="37267" spans="7:24" ht="15" customHeight="1">
      <c r="G37267"/>
      <c r="I37267"/>
      <c r="N37267"/>
      <c r="O37267" s="24"/>
      <c r="P37267"/>
      <c r="Q37267" s="24"/>
      <c r="R37267"/>
      <c r="S37267"/>
      <c r="T37267"/>
      <c r="U37267"/>
      <c r="X37267" s="60"/>
    </row>
    <row r="37268" spans="7:24" ht="15" customHeight="1">
      <c r="G37268"/>
      <c r="I37268"/>
      <c r="N37268"/>
      <c r="O37268" s="24"/>
      <c r="P37268"/>
      <c r="Q37268" s="24"/>
      <c r="R37268"/>
      <c r="S37268"/>
      <c r="T37268"/>
      <c r="U37268"/>
      <c r="X37268" s="60"/>
    </row>
    <row r="37269" spans="7:24" ht="15" customHeight="1">
      <c r="G37269"/>
      <c r="I37269"/>
      <c r="N37269"/>
      <c r="O37269" s="24"/>
      <c r="P37269"/>
      <c r="Q37269" s="24"/>
      <c r="R37269"/>
      <c r="S37269"/>
      <c r="T37269"/>
      <c r="U37269"/>
      <c r="X37269" s="60"/>
    </row>
    <row r="37270" spans="7:24" ht="15" customHeight="1">
      <c r="G37270"/>
      <c r="I37270"/>
      <c r="N37270"/>
      <c r="O37270" s="24"/>
      <c r="P37270"/>
      <c r="Q37270" s="24"/>
      <c r="R37270"/>
      <c r="S37270"/>
      <c r="T37270"/>
      <c r="U37270"/>
      <c r="X37270" s="60"/>
    </row>
    <row r="37271" spans="7:24" ht="15" customHeight="1">
      <c r="G37271"/>
      <c r="I37271"/>
      <c r="N37271"/>
      <c r="O37271" s="24"/>
      <c r="P37271"/>
      <c r="Q37271" s="24"/>
      <c r="R37271"/>
      <c r="S37271"/>
      <c r="T37271"/>
      <c r="U37271"/>
      <c r="X37271" s="60"/>
    </row>
    <row r="37272" spans="7:24" ht="15" customHeight="1">
      <c r="G37272"/>
      <c r="I37272"/>
      <c r="N37272"/>
      <c r="O37272" s="24"/>
      <c r="P37272"/>
      <c r="Q37272" s="24"/>
      <c r="R37272"/>
      <c r="S37272"/>
      <c r="T37272"/>
      <c r="U37272"/>
      <c r="X37272" s="60"/>
    </row>
    <row r="37273" spans="7:24" ht="15" customHeight="1">
      <c r="G37273"/>
      <c r="I37273"/>
      <c r="N37273"/>
      <c r="O37273" s="24"/>
      <c r="P37273"/>
      <c r="Q37273" s="24"/>
      <c r="R37273"/>
      <c r="S37273"/>
      <c r="T37273"/>
      <c r="U37273"/>
      <c r="X37273" s="60"/>
    </row>
    <row r="37274" spans="7:24" ht="15" customHeight="1">
      <c r="G37274"/>
      <c r="I37274"/>
      <c r="N37274"/>
      <c r="O37274" s="24"/>
      <c r="P37274"/>
      <c r="Q37274" s="24"/>
      <c r="R37274"/>
      <c r="S37274"/>
      <c r="T37274"/>
      <c r="U37274"/>
      <c r="X37274" s="60"/>
    </row>
    <row r="37275" spans="7:24" ht="15" customHeight="1">
      <c r="G37275"/>
      <c r="I37275"/>
      <c r="N37275"/>
      <c r="O37275" s="24"/>
      <c r="P37275"/>
      <c r="Q37275" s="24"/>
      <c r="R37275"/>
      <c r="S37275"/>
      <c r="T37275"/>
      <c r="U37275"/>
      <c r="X37275" s="60"/>
    </row>
    <row r="37276" spans="7:24" ht="15" customHeight="1">
      <c r="G37276"/>
      <c r="I37276"/>
      <c r="N37276"/>
      <c r="O37276" s="24"/>
      <c r="P37276"/>
      <c r="Q37276" s="24"/>
      <c r="R37276"/>
      <c r="S37276"/>
      <c r="T37276"/>
      <c r="U37276"/>
      <c r="X37276" s="60"/>
    </row>
    <row r="37277" spans="7:24" ht="15" customHeight="1">
      <c r="G37277"/>
      <c r="I37277"/>
      <c r="N37277"/>
      <c r="O37277" s="24"/>
      <c r="P37277"/>
      <c r="Q37277" s="24"/>
      <c r="R37277"/>
      <c r="S37277"/>
      <c r="T37277"/>
      <c r="U37277"/>
      <c r="X37277" s="60"/>
    </row>
    <row r="37278" spans="7:24" ht="15" customHeight="1">
      <c r="G37278"/>
      <c r="I37278"/>
      <c r="N37278"/>
      <c r="O37278" s="24"/>
      <c r="P37278"/>
      <c r="Q37278" s="24"/>
      <c r="R37278"/>
      <c r="S37278"/>
      <c r="T37278"/>
      <c r="U37278"/>
      <c r="X37278" s="60"/>
    </row>
    <row r="37279" spans="7:24" ht="15" customHeight="1">
      <c r="G37279"/>
      <c r="I37279"/>
      <c r="N37279"/>
      <c r="O37279" s="24"/>
      <c r="P37279"/>
      <c r="Q37279" s="24"/>
      <c r="R37279"/>
      <c r="S37279"/>
      <c r="T37279"/>
      <c r="U37279"/>
      <c r="X37279" s="60"/>
    </row>
    <row r="37280" spans="7:24" ht="15" customHeight="1">
      <c r="G37280"/>
      <c r="I37280"/>
      <c r="N37280"/>
      <c r="O37280" s="24"/>
      <c r="P37280"/>
      <c r="Q37280" s="24"/>
      <c r="R37280"/>
      <c r="S37280"/>
      <c r="T37280"/>
      <c r="U37280"/>
      <c r="X37280" s="60"/>
    </row>
    <row r="37281" spans="7:24" ht="15" customHeight="1">
      <c r="G37281"/>
      <c r="I37281"/>
      <c r="N37281"/>
      <c r="O37281" s="24"/>
      <c r="P37281"/>
      <c r="Q37281" s="24"/>
      <c r="R37281"/>
      <c r="S37281"/>
      <c r="T37281"/>
      <c r="U37281"/>
      <c r="X37281" s="60"/>
    </row>
    <row r="37282" spans="7:24" ht="15" customHeight="1">
      <c r="G37282"/>
      <c r="I37282"/>
      <c r="N37282"/>
      <c r="O37282" s="24"/>
      <c r="P37282"/>
      <c r="Q37282" s="24"/>
      <c r="R37282"/>
      <c r="S37282"/>
      <c r="T37282"/>
      <c r="U37282"/>
      <c r="X37282" s="60"/>
    </row>
    <row r="37283" spans="7:24" ht="15" customHeight="1">
      <c r="G37283"/>
      <c r="I37283"/>
      <c r="N37283"/>
      <c r="O37283" s="24"/>
      <c r="P37283"/>
      <c r="Q37283" s="24"/>
      <c r="R37283"/>
      <c r="S37283"/>
      <c r="T37283"/>
      <c r="U37283"/>
      <c r="X37283" s="60"/>
    </row>
    <row r="37284" spans="7:24" ht="15" customHeight="1">
      <c r="G37284"/>
      <c r="I37284"/>
      <c r="N37284"/>
      <c r="O37284" s="24"/>
      <c r="P37284"/>
      <c r="Q37284" s="24"/>
      <c r="R37284"/>
      <c r="S37284"/>
      <c r="T37284"/>
      <c r="U37284"/>
      <c r="X37284" s="60"/>
    </row>
    <row r="37285" spans="7:24" ht="15" customHeight="1">
      <c r="G37285"/>
      <c r="I37285"/>
      <c r="N37285"/>
      <c r="O37285" s="24"/>
      <c r="P37285"/>
      <c r="Q37285" s="24"/>
      <c r="R37285"/>
      <c r="S37285"/>
      <c r="T37285"/>
      <c r="U37285"/>
      <c r="X37285" s="60"/>
    </row>
    <row r="37286" spans="7:24" ht="15" customHeight="1">
      <c r="G37286"/>
      <c r="I37286"/>
      <c r="N37286"/>
      <c r="O37286" s="24"/>
      <c r="P37286"/>
      <c r="Q37286" s="24"/>
      <c r="R37286"/>
      <c r="S37286"/>
      <c r="T37286"/>
      <c r="U37286"/>
      <c r="X37286" s="60"/>
    </row>
    <row r="37287" spans="7:24" ht="15" customHeight="1">
      <c r="G37287"/>
      <c r="I37287"/>
      <c r="N37287"/>
      <c r="O37287" s="24"/>
      <c r="P37287"/>
      <c r="Q37287" s="24"/>
      <c r="R37287"/>
      <c r="S37287"/>
      <c r="T37287"/>
      <c r="U37287"/>
      <c r="X37287" s="60"/>
    </row>
    <row r="37288" spans="7:24" ht="15" customHeight="1">
      <c r="G37288"/>
      <c r="I37288"/>
      <c r="N37288"/>
      <c r="O37288" s="24"/>
      <c r="P37288"/>
      <c r="Q37288" s="24"/>
      <c r="R37288"/>
      <c r="S37288"/>
      <c r="T37288"/>
      <c r="U37288"/>
      <c r="X37288" s="60"/>
    </row>
    <row r="37289" spans="7:24" ht="15" customHeight="1">
      <c r="G37289"/>
      <c r="I37289"/>
      <c r="N37289"/>
      <c r="O37289" s="24"/>
      <c r="P37289"/>
      <c r="Q37289" s="24"/>
      <c r="R37289"/>
      <c r="S37289"/>
      <c r="T37289"/>
      <c r="U37289"/>
      <c r="X37289" s="60"/>
    </row>
    <row r="37290" spans="7:24" ht="15" customHeight="1">
      <c r="G37290"/>
      <c r="I37290"/>
      <c r="N37290"/>
      <c r="O37290" s="24"/>
      <c r="P37290"/>
      <c r="Q37290" s="24"/>
      <c r="R37290"/>
      <c r="S37290"/>
      <c r="T37290"/>
      <c r="U37290"/>
      <c r="X37290" s="60"/>
    </row>
    <row r="37291" spans="7:24" ht="15" customHeight="1">
      <c r="G37291"/>
      <c r="I37291"/>
      <c r="N37291"/>
      <c r="O37291" s="24"/>
      <c r="P37291"/>
      <c r="Q37291" s="24"/>
      <c r="R37291"/>
      <c r="S37291"/>
      <c r="T37291"/>
      <c r="U37291"/>
      <c r="X37291" s="60"/>
    </row>
    <row r="37292" spans="7:24" ht="15" customHeight="1">
      <c r="G37292"/>
      <c r="I37292"/>
      <c r="N37292"/>
      <c r="O37292" s="24"/>
      <c r="P37292"/>
      <c r="Q37292" s="24"/>
      <c r="R37292"/>
      <c r="S37292"/>
      <c r="T37292"/>
      <c r="U37292"/>
      <c r="X37292" s="60"/>
    </row>
    <row r="37293" spans="7:24" ht="15" customHeight="1">
      <c r="G37293"/>
      <c r="I37293"/>
      <c r="N37293"/>
      <c r="O37293" s="24"/>
      <c r="P37293"/>
      <c r="Q37293" s="24"/>
      <c r="R37293"/>
      <c r="S37293"/>
      <c r="T37293"/>
      <c r="U37293"/>
      <c r="X37293" s="60"/>
    </row>
    <row r="37294" spans="7:24" ht="15" customHeight="1">
      <c r="G37294"/>
      <c r="I37294"/>
      <c r="N37294"/>
      <c r="O37294" s="24"/>
      <c r="P37294"/>
      <c r="Q37294" s="24"/>
      <c r="R37294"/>
      <c r="S37294"/>
      <c r="T37294"/>
      <c r="U37294"/>
      <c r="X37294" s="60"/>
    </row>
    <row r="37295" spans="7:24" ht="15" customHeight="1">
      <c r="G37295"/>
      <c r="I37295"/>
      <c r="N37295"/>
      <c r="O37295" s="24"/>
      <c r="P37295"/>
      <c r="Q37295" s="24"/>
      <c r="R37295"/>
      <c r="S37295"/>
      <c r="T37295"/>
      <c r="U37295"/>
      <c r="X37295" s="60"/>
    </row>
    <row r="37296" spans="7:24" ht="15" customHeight="1">
      <c r="G37296"/>
      <c r="I37296"/>
      <c r="N37296"/>
      <c r="O37296" s="24"/>
      <c r="P37296"/>
      <c r="Q37296" s="24"/>
      <c r="R37296"/>
      <c r="S37296"/>
      <c r="T37296"/>
      <c r="U37296"/>
      <c r="X37296" s="60"/>
    </row>
    <row r="37297" spans="7:24" ht="15" customHeight="1">
      <c r="G37297"/>
      <c r="I37297"/>
      <c r="N37297"/>
      <c r="O37297" s="24"/>
      <c r="P37297"/>
      <c r="Q37297" s="24"/>
      <c r="R37297"/>
      <c r="S37297"/>
      <c r="T37297"/>
      <c r="U37297"/>
      <c r="X37297" s="60"/>
    </row>
    <row r="37298" spans="7:24" ht="15" customHeight="1">
      <c r="G37298"/>
      <c r="I37298"/>
      <c r="N37298"/>
      <c r="O37298" s="24"/>
      <c r="P37298"/>
      <c r="Q37298" s="24"/>
      <c r="R37298"/>
      <c r="S37298"/>
      <c r="T37298"/>
      <c r="U37298"/>
      <c r="X37298" s="60"/>
    </row>
    <row r="37299" spans="7:24" ht="15" customHeight="1">
      <c r="G37299"/>
      <c r="I37299"/>
      <c r="N37299"/>
      <c r="O37299" s="24"/>
      <c r="P37299"/>
      <c r="Q37299" s="24"/>
      <c r="R37299"/>
      <c r="S37299"/>
      <c r="T37299"/>
      <c r="U37299"/>
      <c r="X37299" s="60"/>
    </row>
    <row r="37300" spans="7:24" ht="15" customHeight="1">
      <c r="G37300"/>
      <c r="I37300"/>
      <c r="N37300"/>
      <c r="O37300" s="24"/>
      <c r="P37300"/>
      <c r="Q37300" s="24"/>
      <c r="R37300"/>
      <c r="S37300"/>
      <c r="T37300"/>
      <c r="U37300"/>
      <c r="X37300" s="60"/>
    </row>
    <row r="37301" spans="7:24" ht="15" customHeight="1">
      <c r="G37301"/>
      <c r="I37301"/>
      <c r="N37301"/>
      <c r="O37301" s="24"/>
      <c r="P37301"/>
      <c r="Q37301" s="24"/>
      <c r="R37301"/>
      <c r="S37301"/>
      <c r="T37301"/>
      <c r="U37301"/>
      <c r="X37301" s="60"/>
    </row>
    <row r="37302" spans="7:24" ht="15" customHeight="1">
      <c r="G37302"/>
      <c r="I37302"/>
      <c r="N37302"/>
      <c r="O37302" s="24"/>
      <c r="P37302"/>
      <c r="Q37302" s="24"/>
      <c r="R37302"/>
      <c r="S37302"/>
      <c r="T37302"/>
      <c r="U37302"/>
      <c r="X37302" s="60"/>
    </row>
    <row r="37303" spans="7:24" ht="15" customHeight="1">
      <c r="G37303"/>
      <c r="I37303"/>
      <c r="N37303"/>
      <c r="O37303" s="24"/>
      <c r="P37303"/>
      <c r="Q37303" s="24"/>
      <c r="R37303"/>
      <c r="S37303"/>
      <c r="T37303"/>
      <c r="U37303"/>
      <c r="X37303" s="60"/>
    </row>
    <row r="37304" spans="7:24" ht="15" customHeight="1">
      <c r="G37304"/>
      <c r="I37304"/>
      <c r="N37304"/>
      <c r="O37304" s="24"/>
      <c r="P37304"/>
      <c r="Q37304" s="24"/>
      <c r="R37304"/>
      <c r="S37304"/>
      <c r="T37304"/>
      <c r="U37304"/>
      <c r="X37304" s="60"/>
    </row>
    <row r="37305" spans="7:24" ht="15" customHeight="1">
      <c r="G37305"/>
      <c r="I37305"/>
      <c r="N37305"/>
      <c r="O37305" s="24"/>
      <c r="P37305"/>
      <c r="Q37305" s="24"/>
      <c r="R37305"/>
      <c r="S37305"/>
      <c r="T37305"/>
      <c r="U37305"/>
      <c r="X37305" s="60"/>
    </row>
    <row r="37306" spans="7:24" ht="15" customHeight="1">
      <c r="G37306"/>
      <c r="I37306"/>
      <c r="N37306"/>
      <c r="O37306" s="24"/>
      <c r="P37306"/>
      <c r="Q37306" s="24"/>
      <c r="R37306"/>
      <c r="S37306"/>
      <c r="T37306"/>
      <c r="U37306"/>
      <c r="X37306" s="60"/>
    </row>
    <row r="37307" spans="7:24" ht="15" customHeight="1">
      <c r="G37307"/>
      <c r="I37307"/>
      <c r="N37307"/>
      <c r="O37307" s="24"/>
      <c r="P37307"/>
      <c r="Q37307" s="24"/>
      <c r="R37307"/>
      <c r="S37307"/>
      <c r="T37307"/>
      <c r="U37307"/>
      <c r="X37307" s="60"/>
    </row>
    <row r="37308" spans="7:24" ht="15" customHeight="1">
      <c r="G37308"/>
      <c r="I37308"/>
      <c r="N37308"/>
      <c r="O37308" s="24"/>
      <c r="P37308"/>
      <c r="Q37308" s="24"/>
      <c r="R37308"/>
      <c r="S37308"/>
      <c r="T37308"/>
      <c r="U37308"/>
      <c r="X37308" s="60"/>
    </row>
    <row r="37309" spans="7:24" ht="15" customHeight="1">
      <c r="G37309"/>
      <c r="I37309"/>
      <c r="N37309"/>
      <c r="O37309" s="24"/>
      <c r="P37309"/>
      <c r="Q37309" s="24"/>
      <c r="R37309"/>
      <c r="S37309"/>
      <c r="T37309"/>
      <c r="U37309"/>
      <c r="X37309" s="60"/>
    </row>
    <row r="37310" spans="7:24" ht="15" customHeight="1">
      <c r="G37310"/>
      <c r="I37310"/>
      <c r="N37310"/>
      <c r="O37310" s="24"/>
      <c r="P37310"/>
      <c r="Q37310" s="24"/>
      <c r="R37310"/>
      <c r="S37310"/>
      <c r="T37310"/>
      <c r="U37310"/>
      <c r="X37310" s="60"/>
    </row>
    <row r="37311" spans="7:24" ht="15" customHeight="1">
      <c r="G37311"/>
      <c r="I37311"/>
      <c r="N37311"/>
      <c r="O37311" s="24"/>
      <c r="P37311"/>
      <c r="Q37311" s="24"/>
      <c r="R37311"/>
      <c r="S37311"/>
      <c r="T37311"/>
      <c r="U37311"/>
      <c r="X37311" s="60"/>
    </row>
    <row r="37312" spans="7:24" ht="15" customHeight="1">
      <c r="G37312"/>
      <c r="I37312"/>
      <c r="N37312"/>
      <c r="O37312" s="24"/>
      <c r="P37312"/>
      <c r="Q37312" s="24"/>
      <c r="R37312"/>
      <c r="S37312"/>
      <c r="T37312"/>
      <c r="U37312"/>
      <c r="X37312" s="60"/>
    </row>
    <row r="37313" spans="7:24" ht="15" customHeight="1">
      <c r="G37313"/>
      <c r="I37313"/>
      <c r="N37313"/>
      <c r="O37313" s="24"/>
      <c r="P37313"/>
      <c r="Q37313" s="24"/>
      <c r="R37313"/>
      <c r="S37313"/>
      <c r="T37313"/>
      <c r="U37313"/>
      <c r="X37313" s="60"/>
    </row>
    <row r="37314" spans="7:24" ht="15" customHeight="1">
      <c r="G37314"/>
      <c r="I37314"/>
      <c r="N37314"/>
      <c r="O37314" s="24"/>
      <c r="P37314"/>
      <c r="Q37314" s="24"/>
      <c r="R37314"/>
      <c r="S37314"/>
      <c r="T37314"/>
      <c r="U37314"/>
      <c r="X37314" s="60"/>
    </row>
    <row r="37315" spans="7:24" ht="15" customHeight="1">
      <c r="G37315"/>
      <c r="I37315"/>
      <c r="N37315"/>
      <c r="O37315" s="24"/>
      <c r="P37315"/>
      <c r="Q37315" s="24"/>
      <c r="R37315"/>
      <c r="S37315"/>
      <c r="T37315"/>
      <c r="U37315"/>
      <c r="X37315" s="60"/>
    </row>
    <row r="37316" spans="7:24" ht="15" customHeight="1">
      <c r="G37316"/>
      <c r="I37316"/>
      <c r="N37316"/>
      <c r="O37316" s="24"/>
      <c r="P37316"/>
      <c r="Q37316" s="24"/>
      <c r="R37316"/>
      <c r="S37316"/>
      <c r="T37316"/>
      <c r="U37316"/>
      <c r="X37316" s="60"/>
    </row>
    <row r="37317" spans="7:24" ht="15" customHeight="1">
      <c r="G37317"/>
      <c r="I37317"/>
      <c r="N37317"/>
      <c r="O37317" s="24"/>
      <c r="P37317"/>
      <c r="Q37317" s="24"/>
      <c r="R37317"/>
      <c r="S37317"/>
      <c r="T37317"/>
      <c r="U37317"/>
      <c r="X37317" s="60"/>
    </row>
    <row r="37318" spans="7:24" ht="15" customHeight="1">
      <c r="G37318"/>
      <c r="I37318"/>
      <c r="N37318"/>
      <c r="O37318" s="24"/>
      <c r="P37318"/>
      <c r="Q37318" s="24"/>
      <c r="R37318"/>
      <c r="S37318"/>
      <c r="T37318"/>
      <c r="U37318"/>
      <c r="X37318" s="60"/>
    </row>
    <row r="37319" spans="7:24" ht="15" customHeight="1">
      <c r="G37319"/>
      <c r="I37319"/>
      <c r="N37319"/>
      <c r="O37319" s="24"/>
      <c r="P37319"/>
      <c r="Q37319" s="24"/>
      <c r="R37319"/>
      <c r="S37319"/>
      <c r="T37319"/>
      <c r="U37319"/>
      <c r="X37319" s="60"/>
    </row>
    <row r="37320" spans="7:24" ht="15" customHeight="1">
      <c r="G37320"/>
      <c r="I37320"/>
      <c r="N37320"/>
      <c r="O37320" s="24"/>
      <c r="P37320"/>
      <c r="Q37320" s="24"/>
      <c r="R37320"/>
      <c r="S37320"/>
      <c r="T37320"/>
      <c r="U37320"/>
      <c r="X37320" s="60"/>
    </row>
    <row r="37321" spans="7:24" ht="15" customHeight="1">
      <c r="G37321"/>
      <c r="I37321"/>
      <c r="N37321"/>
      <c r="O37321" s="24"/>
      <c r="P37321"/>
      <c r="Q37321" s="24"/>
      <c r="R37321"/>
      <c r="S37321"/>
      <c r="T37321"/>
      <c r="U37321"/>
      <c r="X37321" s="60"/>
    </row>
    <row r="37322" spans="7:24" ht="15" customHeight="1">
      <c r="G37322"/>
      <c r="I37322"/>
      <c r="N37322"/>
      <c r="O37322" s="24"/>
      <c r="P37322"/>
      <c r="Q37322" s="24"/>
      <c r="R37322"/>
      <c r="S37322"/>
      <c r="T37322"/>
      <c r="U37322"/>
      <c r="X37322" s="60"/>
    </row>
    <row r="37323" spans="7:24" ht="15" customHeight="1">
      <c r="G37323"/>
      <c r="I37323"/>
      <c r="N37323"/>
      <c r="O37323" s="24"/>
      <c r="P37323"/>
      <c r="Q37323" s="24"/>
      <c r="R37323"/>
      <c r="S37323"/>
      <c r="T37323"/>
      <c r="U37323"/>
      <c r="X37323" s="60"/>
    </row>
    <row r="37324" spans="7:24" ht="15" customHeight="1">
      <c r="G37324"/>
      <c r="I37324"/>
      <c r="N37324"/>
      <c r="O37324" s="24"/>
      <c r="P37324"/>
      <c r="Q37324" s="24"/>
      <c r="R37324"/>
      <c r="S37324"/>
      <c r="T37324"/>
      <c r="U37324"/>
      <c r="X37324" s="60"/>
    </row>
    <row r="37325" spans="7:24" ht="15" customHeight="1">
      <c r="G37325"/>
      <c r="I37325"/>
      <c r="N37325"/>
      <c r="O37325" s="24"/>
      <c r="P37325"/>
      <c r="Q37325" s="24"/>
      <c r="R37325"/>
      <c r="S37325"/>
      <c r="T37325"/>
      <c r="U37325"/>
      <c r="X37325" s="60"/>
    </row>
    <row r="37326" spans="7:24" ht="15" customHeight="1">
      <c r="G37326"/>
      <c r="I37326"/>
      <c r="N37326"/>
      <c r="O37326" s="24"/>
      <c r="P37326"/>
      <c r="Q37326" s="24"/>
      <c r="R37326"/>
      <c r="S37326"/>
      <c r="T37326"/>
      <c r="U37326"/>
      <c r="X37326" s="60"/>
    </row>
    <row r="37327" spans="7:24" ht="15" customHeight="1">
      <c r="G37327"/>
      <c r="I37327"/>
      <c r="N37327"/>
      <c r="O37327" s="24"/>
      <c r="P37327"/>
      <c r="Q37327" s="24"/>
      <c r="R37327"/>
      <c r="S37327"/>
      <c r="T37327"/>
      <c r="U37327"/>
      <c r="X37327" s="60"/>
    </row>
    <row r="37328" spans="7:24" ht="15" customHeight="1">
      <c r="G37328"/>
      <c r="I37328"/>
      <c r="N37328"/>
      <c r="O37328" s="24"/>
      <c r="P37328"/>
      <c r="Q37328" s="24"/>
      <c r="R37328"/>
      <c r="S37328"/>
      <c r="T37328"/>
      <c r="U37328"/>
      <c r="X37328" s="60"/>
    </row>
    <row r="37329" spans="7:24" ht="15" customHeight="1">
      <c r="G37329"/>
      <c r="I37329"/>
      <c r="N37329"/>
      <c r="O37329" s="24"/>
      <c r="P37329"/>
      <c r="Q37329" s="24"/>
      <c r="R37329"/>
      <c r="S37329"/>
      <c r="T37329"/>
      <c r="U37329"/>
      <c r="X37329" s="60"/>
    </row>
    <row r="37330" spans="7:24" ht="15" customHeight="1">
      <c r="G37330"/>
      <c r="I37330"/>
      <c r="N37330"/>
      <c r="O37330" s="24"/>
      <c r="P37330"/>
      <c r="Q37330" s="24"/>
      <c r="R37330"/>
      <c r="S37330"/>
      <c r="T37330"/>
      <c r="U37330"/>
      <c r="X37330" s="60"/>
    </row>
    <row r="37331" spans="7:24" ht="15" customHeight="1">
      <c r="G37331"/>
      <c r="I37331"/>
      <c r="N37331"/>
      <c r="O37331" s="24"/>
      <c r="P37331"/>
      <c r="Q37331" s="24"/>
      <c r="R37331"/>
      <c r="S37331"/>
      <c r="T37331"/>
      <c r="U37331"/>
      <c r="X37331" s="60"/>
    </row>
    <row r="37332" spans="7:24" ht="15" customHeight="1">
      <c r="G37332"/>
      <c r="I37332"/>
      <c r="N37332"/>
      <c r="O37332" s="24"/>
      <c r="P37332"/>
      <c r="Q37332" s="24"/>
      <c r="R37332"/>
      <c r="S37332"/>
      <c r="T37332"/>
      <c r="U37332"/>
      <c r="X37332" s="60"/>
    </row>
    <row r="37333" spans="7:24" ht="15" customHeight="1">
      <c r="G37333"/>
      <c r="I37333"/>
      <c r="N37333"/>
      <c r="O37333" s="24"/>
      <c r="P37333"/>
      <c r="Q37333" s="24"/>
      <c r="R37333"/>
      <c r="S37333"/>
      <c r="T37333"/>
      <c r="U37333"/>
      <c r="X37333" s="60"/>
    </row>
    <row r="37334" spans="7:24" ht="15" customHeight="1">
      <c r="G37334"/>
      <c r="I37334"/>
      <c r="N37334"/>
      <c r="O37334" s="24"/>
      <c r="P37334"/>
      <c r="Q37334" s="24"/>
      <c r="R37334"/>
      <c r="S37334"/>
      <c r="T37334"/>
      <c r="U37334"/>
      <c r="X37334" s="60"/>
    </row>
    <row r="37335" spans="7:24" ht="15" customHeight="1">
      <c r="G37335"/>
      <c r="I37335"/>
      <c r="N37335"/>
      <c r="O37335" s="24"/>
      <c r="P37335"/>
      <c r="Q37335" s="24"/>
      <c r="R37335"/>
      <c r="S37335"/>
      <c r="T37335"/>
      <c r="U37335"/>
      <c r="X37335" s="60"/>
    </row>
    <row r="37336" spans="7:24" ht="15" customHeight="1">
      <c r="G37336"/>
      <c r="I37336"/>
      <c r="N37336"/>
      <c r="O37336" s="24"/>
      <c r="P37336"/>
      <c r="Q37336" s="24"/>
      <c r="R37336"/>
      <c r="S37336"/>
      <c r="T37336"/>
      <c r="U37336"/>
      <c r="X37336" s="60"/>
    </row>
    <row r="37337" spans="7:24" ht="15" customHeight="1">
      <c r="G37337"/>
      <c r="I37337"/>
      <c r="N37337"/>
      <c r="O37337" s="24"/>
      <c r="P37337"/>
      <c r="Q37337" s="24"/>
      <c r="R37337"/>
      <c r="S37337"/>
      <c r="T37337"/>
      <c r="U37337"/>
      <c r="X37337" s="60"/>
    </row>
    <row r="37338" spans="7:24" ht="15" customHeight="1">
      <c r="G37338"/>
      <c r="I37338"/>
      <c r="N37338"/>
      <c r="O37338" s="24"/>
      <c r="P37338"/>
      <c r="Q37338" s="24"/>
      <c r="R37338"/>
      <c r="S37338"/>
      <c r="T37338"/>
      <c r="U37338"/>
      <c r="X37338" s="60"/>
    </row>
    <row r="37339" spans="7:24" ht="15" customHeight="1">
      <c r="G37339"/>
      <c r="I37339"/>
      <c r="N37339"/>
      <c r="O37339" s="24"/>
      <c r="P37339"/>
      <c r="Q37339" s="24"/>
      <c r="R37339"/>
      <c r="S37339"/>
      <c r="T37339"/>
      <c r="U37339"/>
      <c r="X37339" s="60"/>
    </row>
    <row r="37340" spans="7:24" ht="15" customHeight="1">
      <c r="G37340"/>
      <c r="I37340"/>
      <c r="N37340"/>
      <c r="O37340" s="24"/>
      <c r="P37340"/>
      <c r="Q37340" s="24"/>
      <c r="R37340"/>
      <c r="S37340"/>
      <c r="T37340"/>
      <c r="U37340"/>
      <c r="X37340" s="60"/>
    </row>
    <row r="37341" spans="7:24" ht="15" customHeight="1">
      <c r="G37341"/>
      <c r="I37341"/>
      <c r="N37341"/>
      <c r="O37341" s="24"/>
      <c r="P37341"/>
      <c r="Q37341" s="24"/>
      <c r="R37341"/>
      <c r="S37341"/>
      <c r="T37341"/>
      <c r="U37341"/>
      <c r="X37341" s="60"/>
    </row>
    <row r="37342" spans="7:24" ht="15" customHeight="1">
      <c r="G37342"/>
      <c r="I37342"/>
      <c r="N37342"/>
      <c r="O37342" s="24"/>
      <c r="P37342"/>
      <c r="Q37342" s="24"/>
      <c r="R37342"/>
      <c r="S37342"/>
      <c r="T37342"/>
      <c r="U37342"/>
      <c r="X37342" s="60"/>
    </row>
    <row r="37343" spans="7:24" ht="15" customHeight="1">
      <c r="G37343"/>
      <c r="I37343"/>
      <c r="N37343"/>
      <c r="O37343" s="24"/>
      <c r="P37343"/>
      <c r="Q37343" s="24"/>
      <c r="R37343"/>
      <c r="S37343"/>
      <c r="T37343"/>
      <c r="U37343"/>
      <c r="X37343" s="60"/>
    </row>
    <row r="37344" spans="7:24" ht="15" customHeight="1">
      <c r="G37344"/>
      <c r="I37344"/>
      <c r="N37344"/>
      <c r="O37344" s="24"/>
      <c r="P37344"/>
      <c r="Q37344" s="24"/>
      <c r="R37344"/>
      <c r="S37344"/>
      <c r="T37344"/>
      <c r="U37344"/>
      <c r="X37344" s="60"/>
    </row>
    <row r="37345" spans="7:24" ht="15" customHeight="1">
      <c r="G37345"/>
      <c r="I37345"/>
      <c r="N37345"/>
      <c r="O37345" s="24"/>
      <c r="P37345"/>
      <c r="Q37345" s="24"/>
      <c r="R37345"/>
      <c r="S37345"/>
      <c r="T37345"/>
      <c r="U37345"/>
      <c r="X37345" s="60"/>
    </row>
    <row r="37346" spans="7:24" ht="15" customHeight="1">
      <c r="G37346"/>
      <c r="I37346"/>
      <c r="N37346"/>
      <c r="O37346" s="24"/>
      <c r="P37346"/>
      <c r="Q37346" s="24"/>
      <c r="R37346"/>
      <c r="S37346"/>
      <c r="T37346"/>
      <c r="U37346"/>
      <c r="X37346" s="60"/>
    </row>
    <row r="37347" spans="7:24" ht="15" customHeight="1">
      <c r="G37347"/>
      <c r="I37347"/>
      <c r="N37347"/>
      <c r="O37347" s="24"/>
      <c r="P37347"/>
      <c r="Q37347" s="24"/>
      <c r="R37347"/>
      <c r="S37347"/>
      <c r="T37347"/>
      <c r="U37347"/>
      <c r="X37347" s="60"/>
    </row>
    <row r="37348" spans="7:24" ht="15" customHeight="1">
      <c r="G37348"/>
      <c r="I37348"/>
      <c r="N37348"/>
      <c r="O37348" s="24"/>
      <c r="P37348"/>
      <c r="Q37348" s="24"/>
      <c r="R37348"/>
      <c r="S37348"/>
      <c r="T37348"/>
      <c r="U37348"/>
      <c r="X37348" s="60"/>
    </row>
    <row r="37349" spans="7:24" ht="15" customHeight="1">
      <c r="G37349"/>
      <c r="I37349"/>
      <c r="N37349"/>
      <c r="O37349" s="24"/>
      <c r="P37349"/>
      <c r="Q37349" s="24"/>
      <c r="R37349"/>
      <c r="S37349"/>
      <c r="T37349"/>
      <c r="U37349"/>
      <c r="X37349" s="60"/>
    </row>
    <row r="37350" spans="7:24" ht="15" customHeight="1">
      <c r="G37350"/>
      <c r="I37350"/>
      <c r="N37350"/>
      <c r="O37350" s="24"/>
      <c r="P37350"/>
      <c r="Q37350" s="24"/>
      <c r="R37350"/>
      <c r="S37350"/>
      <c r="T37350"/>
      <c r="U37350"/>
      <c r="X37350" s="60"/>
    </row>
    <row r="37351" spans="7:24" ht="15" customHeight="1">
      <c r="G37351"/>
      <c r="I37351"/>
      <c r="N37351"/>
      <c r="O37351" s="24"/>
      <c r="P37351"/>
      <c r="Q37351" s="24"/>
      <c r="R37351"/>
      <c r="S37351"/>
      <c r="T37351"/>
      <c r="U37351"/>
      <c r="X37351" s="60"/>
    </row>
    <row r="37352" spans="7:24" ht="15" customHeight="1">
      <c r="G37352"/>
      <c r="I37352"/>
      <c r="N37352"/>
      <c r="O37352" s="24"/>
      <c r="P37352"/>
      <c r="Q37352" s="24"/>
      <c r="R37352"/>
      <c r="S37352"/>
      <c r="T37352"/>
      <c r="U37352"/>
      <c r="X37352" s="60"/>
    </row>
    <row r="37353" spans="7:24" ht="15" customHeight="1">
      <c r="G37353"/>
      <c r="I37353"/>
      <c r="N37353"/>
      <c r="O37353" s="24"/>
      <c r="P37353"/>
      <c r="Q37353" s="24"/>
      <c r="R37353"/>
      <c r="S37353"/>
      <c r="T37353"/>
      <c r="U37353"/>
      <c r="X37353" s="60"/>
    </row>
    <row r="37354" spans="7:24" ht="15" customHeight="1">
      <c r="G37354"/>
      <c r="I37354"/>
      <c r="N37354"/>
      <c r="O37354" s="24"/>
      <c r="P37354"/>
      <c r="Q37354" s="24"/>
      <c r="R37354"/>
      <c r="S37354"/>
      <c r="T37354"/>
      <c r="U37354"/>
      <c r="X37354" s="60"/>
    </row>
    <row r="37355" spans="7:24" ht="15" customHeight="1">
      <c r="G37355"/>
      <c r="I37355"/>
      <c r="N37355"/>
      <c r="O37355" s="24"/>
      <c r="P37355"/>
      <c r="Q37355" s="24"/>
      <c r="R37355"/>
      <c r="S37355"/>
      <c r="T37355"/>
      <c r="U37355"/>
      <c r="X37355" s="60"/>
    </row>
    <row r="37356" spans="7:24" ht="15" customHeight="1">
      <c r="G37356"/>
      <c r="I37356"/>
      <c r="N37356"/>
      <c r="O37356" s="24"/>
      <c r="P37356"/>
      <c r="Q37356" s="24"/>
      <c r="R37356"/>
      <c r="S37356"/>
      <c r="T37356"/>
      <c r="U37356"/>
      <c r="X37356" s="60"/>
    </row>
    <row r="37357" spans="7:24" ht="15" customHeight="1">
      <c r="G37357"/>
      <c r="I37357"/>
      <c r="N37357"/>
      <c r="O37357" s="24"/>
      <c r="P37357"/>
      <c r="Q37357" s="24"/>
      <c r="R37357"/>
      <c r="S37357"/>
      <c r="T37357"/>
      <c r="U37357"/>
      <c r="X37357" s="60"/>
    </row>
    <row r="37358" spans="7:24" ht="15" customHeight="1">
      <c r="G37358"/>
      <c r="I37358"/>
      <c r="N37358"/>
      <c r="O37358" s="24"/>
      <c r="P37358"/>
      <c r="Q37358" s="24"/>
      <c r="R37358"/>
      <c r="S37358"/>
      <c r="T37358"/>
      <c r="U37358"/>
      <c r="X37358" s="60"/>
    </row>
    <row r="37359" spans="7:24" ht="15" customHeight="1">
      <c r="G37359"/>
      <c r="I37359"/>
      <c r="N37359"/>
      <c r="O37359" s="24"/>
      <c r="P37359"/>
      <c r="Q37359" s="24"/>
      <c r="R37359"/>
      <c r="S37359"/>
      <c r="T37359"/>
      <c r="U37359"/>
      <c r="X37359" s="60"/>
    </row>
    <row r="37360" spans="7:24" ht="15" customHeight="1">
      <c r="G37360"/>
      <c r="I37360"/>
      <c r="N37360"/>
      <c r="O37360" s="24"/>
      <c r="P37360"/>
      <c r="Q37360" s="24"/>
      <c r="R37360"/>
      <c r="S37360"/>
      <c r="T37360"/>
      <c r="U37360"/>
      <c r="X37360" s="60"/>
    </row>
    <row r="37361" spans="7:24" ht="15" customHeight="1">
      <c r="G37361"/>
      <c r="I37361"/>
      <c r="N37361"/>
      <c r="O37361" s="24"/>
      <c r="P37361"/>
      <c r="Q37361" s="24"/>
      <c r="R37361"/>
      <c r="S37361"/>
      <c r="T37361"/>
      <c r="U37361"/>
      <c r="X37361" s="60"/>
    </row>
    <row r="37362" spans="7:24" ht="15" customHeight="1">
      <c r="G37362"/>
      <c r="I37362"/>
      <c r="N37362"/>
      <c r="O37362" s="24"/>
      <c r="P37362"/>
      <c r="Q37362" s="24"/>
      <c r="R37362"/>
      <c r="S37362"/>
      <c r="T37362"/>
      <c r="U37362"/>
      <c r="X37362" s="60"/>
    </row>
    <row r="37363" spans="7:24" ht="15" customHeight="1">
      <c r="G37363"/>
      <c r="I37363"/>
      <c r="N37363"/>
      <c r="O37363" s="24"/>
      <c r="P37363"/>
      <c r="Q37363" s="24"/>
      <c r="R37363"/>
      <c r="S37363"/>
      <c r="T37363"/>
      <c r="U37363"/>
      <c r="X37363" s="60"/>
    </row>
    <row r="37364" spans="7:24" ht="15" customHeight="1">
      <c r="G37364"/>
      <c r="I37364"/>
      <c r="N37364"/>
      <c r="O37364" s="24"/>
      <c r="P37364"/>
      <c r="Q37364" s="24"/>
      <c r="R37364"/>
      <c r="S37364"/>
      <c r="T37364"/>
      <c r="U37364"/>
      <c r="X37364" s="60"/>
    </row>
    <row r="37365" spans="7:24" ht="15" customHeight="1">
      <c r="G37365"/>
      <c r="I37365"/>
      <c r="N37365"/>
      <c r="O37365" s="24"/>
      <c r="P37365"/>
      <c r="Q37365" s="24"/>
      <c r="R37365"/>
      <c r="S37365"/>
      <c r="T37365"/>
      <c r="U37365"/>
      <c r="X37365" s="60"/>
    </row>
    <row r="37366" spans="7:24" ht="15" customHeight="1">
      <c r="G37366"/>
      <c r="I37366"/>
      <c r="N37366"/>
      <c r="O37366" s="24"/>
      <c r="P37366"/>
      <c r="Q37366" s="24"/>
      <c r="R37366"/>
      <c r="S37366"/>
      <c r="T37366"/>
      <c r="U37366"/>
      <c r="X37366" s="60"/>
    </row>
    <row r="37367" spans="7:24" ht="15" customHeight="1">
      <c r="G37367"/>
      <c r="I37367"/>
      <c r="N37367"/>
      <c r="O37367" s="24"/>
      <c r="P37367"/>
      <c r="Q37367" s="24"/>
      <c r="R37367"/>
      <c r="S37367"/>
      <c r="T37367"/>
      <c r="U37367"/>
      <c r="X37367" s="60"/>
    </row>
    <row r="37368" spans="7:24" ht="15" customHeight="1">
      <c r="G37368"/>
      <c r="I37368"/>
      <c r="N37368"/>
      <c r="O37368" s="24"/>
      <c r="P37368"/>
      <c r="Q37368" s="24"/>
      <c r="R37368"/>
      <c r="S37368"/>
      <c r="T37368"/>
      <c r="U37368"/>
      <c r="X37368" s="60"/>
    </row>
    <row r="37369" spans="7:24" ht="15" customHeight="1">
      <c r="G37369"/>
      <c r="I37369"/>
      <c r="N37369"/>
      <c r="O37369" s="24"/>
      <c r="P37369"/>
      <c r="Q37369" s="24"/>
      <c r="R37369"/>
      <c r="S37369"/>
      <c r="T37369"/>
      <c r="U37369"/>
      <c r="X37369" s="60"/>
    </row>
    <row r="37370" spans="7:24" ht="15" customHeight="1">
      <c r="G37370"/>
      <c r="I37370"/>
      <c r="N37370"/>
      <c r="O37370" s="24"/>
      <c r="P37370"/>
      <c r="Q37370" s="24"/>
      <c r="R37370"/>
      <c r="S37370"/>
      <c r="T37370"/>
      <c r="U37370"/>
      <c r="X37370" s="60"/>
    </row>
    <row r="37371" spans="7:24" ht="15" customHeight="1">
      <c r="G37371"/>
      <c r="I37371"/>
      <c r="N37371"/>
      <c r="O37371" s="24"/>
      <c r="P37371"/>
      <c r="Q37371" s="24"/>
      <c r="R37371"/>
      <c r="S37371"/>
      <c r="T37371"/>
      <c r="U37371"/>
      <c r="X37371" s="60"/>
    </row>
    <row r="37372" spans="7:24" ht="15" customHeight="1">
      <c r="G37372"/>
      <c r="I37372"/>
      <c r="N37372"/>
      <c r="O37372" s="24"/>
      <c r="P37372"/>
      <c r="Q37372" s="24"/>
      <c r="R37372"/>
      <c r="S37372"/>
      <c r="T37372"/>
      <c r="U37372"/>
      <c r="X37372" s="60"/>
    </row>
    <row r="37373" spans="7:24" ht="15" customHeight="1">
      <c r="G37373"/>
      <c r="I37373"/>
      <c r="N37373"/>
      <c r="O37373" s="24"/>
      <c r="P37373"/>
      <c r="Q37373" s="24"/>
      <c r="R37373"/>
      <c r="S37373"/>
      <c r="T37373"/>
      <c r="U37373"/>
      <c r="X37373" s="60"/>
    </row>
    <row r="37374" spans="7:24" ht="15" customHeight="1">
      <c r="G37374"/>
      <c r="I37374"/>
      <c r="N37374"/>
      <c r="O37374" s="24"/>
      <c r="P37374"/>
      <c r="Q37374" s="24"/>
      <c r="R37374"/>
      <c r="S37374"/>
      <c r="T37374"/>
      <c r="U37374"/>
      <c r="X37374" s="60"/>
    </row>
    <row r="37375" spans="7:24" ht="15" customHeight="1">
      <c r="G37375"/>
      <c r="I37375"/>
      <c r="N37375"/>
      <c r="O37375" s="24"/>
      <c r="P37375"/>
      <c r="Q37375" s="24"/>
      <c r="R37375"/>
      <c r="S37375"/>
      <c r="T37375"/>
      <c r="U37375"/>
      <c r="X37375" s="60"/>
    </row>
    <row r="37376" spans="7:24" ht="15" customHeight="1">
      <c r="G37376"/>
      <c r="I37376"/>
      <c r="N37376"/>
      <c r="O37376" s="24"/>
      <c r="P37376"/>
      <c r="Q37376" s="24"/>
      <c r="R37376"/>
      <c r="S37376"/>
      <c r="T37376"/>
      <c r="U37376"/>
      <c r="X37376" s="60"/>
    </row>
    <row r="37377" spans="7:24" ht="15" customHeight="1">
      <c r="G37377"/>
      <c r="I37377"/>
      <c r="N37377"/>
      <c r="O37377" s="24"/>
      <c r="P37377"/>
      <c r="Q37377" s="24"/>
      <c r="R37377"/>
      <c r="S37377"/>
      <c r="T37377"/>
      <c r="U37377"/>
      <c r="X37377" s="60"/>
    </row>
    <row r="37378" spans="7:24" ht="15" customHeight="1">
      <c r="G37378"/>
      <c r="I37378"/>
      <c r="N37378"/>
      <c r="O37378" s="24"/>
      <c r="P37378"/>
      <c r="Q37378" s="24"/>
      <c r="R37378"/>
      <c r="S37378"/>
      <c r="T37378"/>
      <c r="U37378"/>
      <c r="X37378" s="60"/>
    </row>
    <row r="37379" spans="7:24" ht="15" customHeight="1">
      <c r="G37379"/>
      <c r="I37379"/>
      <c r="N37379"/>
      <c r="O37379" s="24"/>
      <c r="P37379"/>
      <c r="Q37379" s="24"/>
      <c r="R37379"/>
      <c r="S37379"/>
      <c r="T37379"/>
      <c r="U37379"/>
      <c r="X37379" s="60"/>
    </row>
    <row r="37380" spans="7:24" ht="15" customHeight="1">
      <c r="G37380"/>
      <c r="I37380"/>
      <c r="N37380"/>
      <c r="O37380" s="24"/>
      <c r="P37380"/>
      <c r="Q37380" s="24"/>
      <c r="R37380"/>
      <c r="S37380"/>
      <c r="T37380"/>
      <c r="U37380"/>
      <c r="X37380" s="60"/>
    </row>
    <row r="37381" spans="7:24" ht="15" customHeight="1">
      <c r="G37381"/>
      <c r="I37381"/>
      <c r="N37381"/>
      <c r="O37381" s="24"/>
      <c r="P37381"/>
      <c r="Q37381" s="24"/>
      <c r="R37381"/>
      <c r="S37381"/>
      <c r="T37381"/>
      <c r="U37381"/>
      <c r="X37381" s="60"/>
    </row>
    <row r="37382" spans="7:24" ht="15" customHeight="1">
      <c r="G37382"/>
      <c r="I37382"/>
      <c r="N37382"/>
      <c r="O37382" s="24"/>
      <c r="P37382"/>
      <c r="Q37382" s="24"/>
      <c r="R37382"/>
      <c r="S37382"/>
      <c r="T37382"/>
      <c r="U37382"/>
      <c r="X37382" s="60"/>
    </row>
    <row r="37383" spans="7:24" ht="15" customHeight="1">
      <c r="G37383"/>
      <c r="I37383"/>
      <c r="N37383"/>
      <c r="O37383" s="24"/>
      <c r="P37383"/>
      <c r="Q37383" s="24"/>
      <c r="R37383"/>
      <c r="S37383"/>
      <c r="T37383"/>
      <c r="U37383"/>
      <c r="X37383" s="60"/>
    </row>
    <row r="37384" spans="7:24" ht="15" customHeight="1">
      <c r="G37384"/>
      <c r="I37384"/>
      <c r="N37384"/>
      <c r="O37384" s="24"/>
      <c r="P37384"/>
      <c r="Q37384" s="24"/>
      <c r="R37384"/>
      <c r="S37384"/>
      <c r="T37384"/>
      <c r="U37384"/>
      <c r="X37384" s="60"/>
    </row>
    <row r="37385" spans="7:24" ht="15" customHeight="1">
      <c r="G37385"/>
      <c r="I37385"/>
      <c r="N37385"/>
      <c r="O37385" s="24"/>
      <c r="P37385"/>
      <c r="Q37385" s="24"/>
      <c r="R37385"/>
      <c r="S37385"/>
      <c r="T37385"/>
      <c r="U37385"/>
      <c r="X37385" s="60"/>
    </row>
    <row r="37386" spans="7:24" ht="15" customHeight="1">
      <c r="G37386"/>
      <c r="I37386"/>
      <c r="N37386"/>
      <c r="O37386" s="24"/>
      <c r="P37386"/>
      <c r="Q37386" s="24"/>
      <c r="R37386"/>
      <c r="S37386"/>
      <c r="T37386"/>
      <c r="U37386"/>
      <c r="X37386" s="60"/>
    </row>
    <row r="37387" spans="7:24" ht="15" customHeight="1">
      <c r="G37387"/>
      <c r="I37387"/>
      <c r="N37387"/>
      <c r="O37387" s="24"/>
      <c r="P37387"/>
      <c r="Q37387" s="24"/>
      <c r="R37387"/>
      <c r="S37387"/>
      <c r="T37387"/>
      <c r="U37387"/>
      <c r="X37387" s="60"/>
    </row>
    <row r="37388" spans="7:24" ht="15" customHeight="1">
      <c r="G37388"/>
      <c r="I37388"/>
      <c r="N37388"/>
      <c r="O37388" s="24"/>
      <c r="P37388"/>
      <c r="Q37388" s="24"/>
      <c r="R37388"/>
      <c r="S37388"/>
      <c r="T37388"/>
      <c r="U37388"/>
      <c r="X37388" s="60"/>
    </row>
    <row r="37389" spans="7:24" ht="15" customHeight="1">
      <c r="G37389"/>
      <c r="I37389"/>
      <c r="N37389"/>
      <c r="O37389" s="24"/>
      <c r="P37389"/>
      <c r="Q37389" s="24"/>
      <c r="R37389"/>
      <c r="S37389"/>
      <c r="T37389"/>
      <c r="U37389"/>
      <c r="X37389" s="60"/>
    </row>
    <row r="37390" spans="7:24" ht="15" customHeight="1">
      <c r="G37390"/>
      <c r="I37390"/>
      <c r="N37390"/>
      <c r="O37390" s="24"/>
      <c r="P37390"/>
      <c r="Q37390" s="24"/>
      <c r="R37390"/>
      <c r="S37390"/>
      <c r="T37390"/>
      <c r="U37390"/>
      <c r="X37390" s="60"/>
    </row>
    <row r="37391" spans="7:24" ht="15" customHeight="1">
      <c r="G37391"/>
      <c r="I37391"/>
      <c r="N37391"/>
      <c r="O37391" s="24"/>
      <c r="P37391"/>
      <c r="Q37391" s="24"/>
      <c r="R37391"/>
      <c r="S37391"/>
      <c r="T37391"/>
      <c r="U37391"/>
      <c r="X37391" s="60"/>
    </row>
    <row r="37392" spans="7:24" ht="15" customHeight="1">
      <c r="G37392"/>
      <c r="I37392"/>
      <c r="N37392"/>
      <c r="O37392" s="24"/>
      <c r="P37392"/>
      <c r="Q37392" s="24"/>
      <c r="R37392"/>
      <c r="S37392"/>
      <c r="T37392"/>
      <c r="U37392"/>
      <c r="X37392" s="60"/>
    </row>
    <row r="37393" spans="7:24" ht="15" customHeight="1">
      <c r="G37393"/>
      <c r="I37393"/>
      <c r="N37393"/>
      <c r="O37393" s="24"/>
      <c r="P37393"/>
      <c r="Q37393" s="24"/>
      <c r="R37393"/>
      <c r="S37393"/>
      <c r="T37393"/>
      <c r="U37393"/>
      <c r="X37393" s="60"/>
    </row>
    <row r="37394" spans="7:24" ht="15" customHeight="1">
      <c r="G37394"/>
      <c r="I37394"/>
      <c r="N37394"/>
      <c r="O37394" s="24"/>
      <c r="P37394"/>
      <c r="Q37394" s="24"/>
      <c r="R37394"/>
      <c r="S37394"/>
      <c r="T37394"/>
      <c r="U37394"/>
      <c r="X37394" s="60"/>
    </row>
    <row r="37395" spans="7:24" ht="15" customHeight="1">
      <c r="G37395"/>
      <c r="I37395"/>
      <c r="N37395"/>
      <c r="O37395" s="24"/>
      <c r="P37395"/>
      <c r="Q37395" s="24"/>
      <c r="R37395"/>
      <c r="S37395"/>
      <c r="T37395"/>
      <c r="U37395"/>
      <c r="X37395" s="60"/>
    </row>
    <row r="37396" spans="7:24" ht="15" customHeight="1">
      <c r="G37396"/>
      <c r="I37396"/>
      <c r="N37396"/>
      <c r="O37396" s="24"/>
      <c r="P37396"/>
      <c r="Q37396" s="24"/>
      <c r="R37396"/>
      <c r="S37396"/>
      <c r="T37396"/>
      <c r="U37396"/>
      <c r="X37396" s="60"/>
    </row>
    <row r="37397" spans="7:24" ht="15" customHeight="1">
      <c r="G37397"/>
      <c r="I37397"/>
      <c r="N37397"/>
      <c r="O37397" s="24"/>
      <c r="P37397"/>
      <c r="Q37397" s="24"/>
      <c r="R37397"/>
      <c r="S37397"/>
      <c r="T37397"/>
      <c r="U37397"/>
      <c r="X37397" s="60"/>
    </row>
    <row r="37398" spans="7:24" ht="15" customHeight="1">
      <c r="G37398"/>
      <c r="I37398"/>
      <c r="N37398"/>
      <c r="O37398" s="24"/>
      <c r="P37398"/>
      <c r="Q37398" s="24"/>
      <c r="R37398"/>
      <c r="S37398"/>
      <c r="T37398"/>
      <c r="U37398"/>
      <c r="X37398" s="60"/>
    </row>
    <row r="37399" spans="7:24" ht="15" customHeight="1">
      <c r="G37399"/>
      <c r="I37399"/>
      <c r="N37399"/>
      <c r="O37399" s="24"/>
      <c r="P37399"/>
      <c r="Q37399" s="24"/>
      <c r="R37399"/>
      <c r="S37399"/>
      <c r="T37399"/>
      <c r="U37399"/>
      <c r="X37399" s="60"/>
    </row>
    <row r="37400" spans="7:24" ht="15" customHeight="1">
      <c r="G37400"/>
      <c r="I37400"/>
      <c r="N37400"/>
      <c r="O37400" s="24"/>
      <c r="P37400"/>
      <c r="Q37400" s="24"/>
      <c r="R37400"/>
      <c r="S37400"/>
      <c r="T37400"/>
      <c r="U37400"/>
      <c r="X37400" s="60"/>
    </row>
    <row r="37401" spans="7:24" ht="15" customHeight="1">
      <c r="G37401"/>
      <c r="I37401"/>
      <c r="N37401"/>
      <c r="O37401" s="24"/>
      <c r="P37401"/>
      <c r="Q37401" s="24"/>
      <c r="R37401"/>
      <c r="S37401"/>
      <c r="T37401"/>
      <c r="U37401"/>
      <c r="X37401" s="60"/>
    </row>
    <row r="37402" spans="7:24" ht="15" customHeight="1">
      <c r="G37402"/>
      <c r="I37402"/>
      <c r="N37402"/>
      <c r="O37402" s="24"/>
      <c r="P37402"/>
      <c r="Q37402" s="24"/>
      <c r="R37402"/>
      <c r="S37402"/>
      <c r="T37402"/>
      <c r="U37402"/>
      <c r="X37402" s="60"/>
    </row>
    <row r="37403" spans="7:24" ht="15" customHeight="1">
      <c r="G37403"/>
      <c r="I37403"/>
      <c r="N37403"/>
      <c r="O37403" s="24"/>
      <c r="P37403"/>
      <c r="Q37403" s="24"/>
      <c r="R37403"/>
      <c r="S37403"/>
      <c r="T37403"/>
      <c r="U37403"/>
      <c r="X37403" s="60"/>
    </row>
    <row r="37404" spans="7:24" ht="15" customHeight="1">
      <c r="G37404"/>
      <c r="I37404"/>
      <c r="N37404"/>
      <c r="O37404" s="24"/>
      <c r="P37404"/>
      <c r="Q37404" s="24"/>
      <c r="R37404"/>
      <c r="S37404"/>
      <c r="T37404"/>
      <c r="U37404"/>
      <c r="X37404" s="60"/>
    </row>
    <row r="37405" spans="7:24" ht="15" customHeight="1">
      <c r="G37405"/>
      <c r="I37405"/>
      <c r="N37405"/>
      <c r="O37405" s="24"/>
      <c r="P37405"/>
      <c r="Q37405" s="24"/>
      <c r="R37405"/>
      <c r="S37405"/>
      <c r="T37405"/>
      <c r="U37405"/>
      <c r="X37405" s="60"/>
    </row>
    <row r="37406" spans="7:24" ht="15" customHeight="1">
      <c r="G37406"/>
      <c r="I37406"/>
      <c r="N37406"/>
      <c r="O37406" s="24"/>
      <c r="P37406"/>
      <c r="Q37406" s="24"/>
      <c r="R37406"/>
      <c r="S37406"/>
      <c r="T37406"/>
      <c r="U37406"/>
      <c r="X37406" s="60"/>
    </row>
    <row r="37407" spans="7:24" ht="15" customHeight="1">
      <c r="G37407"/>
      <c r="I37407"/>
      <c r="N37407"/>
      <c r="O37407" s="24"/>
      <c r="P37407"/>
      <c r="Q37407" s="24"/>
      <c r="R37407"/>
      <c r="S37407"/>
      <c r="T37407"/>
      <c r="U37407"/>
      <c r="X37407" s="60"/>
    </row>
    <row r="37408" spans="7:24" ht="15" customHeight="1">
      <c r="G37408"/>
      <c r="I37408"/>
      <c r="N37408"/>
      <c r="O37408" s="24"/>
      <c r="P37408"/>
      <c r="Q37408" s="24"/>
      <c r="R37408"/>
      <c r="S37408"/>
      <c r="T37408"/>
      <c r="U37408"/>
      <c r="X37408" s="60"/>
    </row>
    <row r="37409" spans="7:24" ht="15" customHeight="1">
      <c r="G37409"/>
      <c r="I37409"/>
      <c r="N37409"/>
      <c r="O37409" s="24"/>
      <c r="P37409"/>
      <c r="Q37409" s="24"/>
      <c r="R37409"/>
      <c r="S37409"/>
      <c r="T37409"/>
      <c r="U37409"/>
      <c r="X37409" s="60"/>
    </row>
    <row r="37410" spans="7:24" ht="15" customHeight="1">
      <c r="G37410"/>
      <c r="I37410"/>
      <c r="N37410"/>
      <c r="O37410" s="24"/>
      <c r="P37410"/>
      <c r="Q37410" s="24"/>
      <c r="R37410"/>
      <c r="S37410"/>
      <c r="T37410"/>
      <c r="U37410"/>
      <c r="X37410" s="60"/>
    </row>
    <row r="37411" spans="7:24" ht="15" customHeight="1">
      <c r="G37411"/>
      <c r="I37411"/>
      <c r="N37411"/>
      <c r="O37411" s="24"/>
      <c r="P37411"/>
      <c r="Q37411" s="24"/>
      <c r="R37411"/>
      <c r="S37411"/>
      <c r="T37411"/>
      <c r="U37411"/>
      <c r="X37411" s="60"/>
    </row>
    <row r="37412" spans="7:24" ht="15" customHeight="1">
      <c r="G37412"/>
      <c r="I37412"/>
      <c r="N37412"/>
      <c r="O37412" s="24"/>
      <c r="P37412"/>
      <c r="Q37412" s="24"/>
      <c r="R37412"/>
      <c r="S37412"/>
      <c r="T37412"/>
      <c r="U37412"/>
      <c r="X37412" s="60"/>
    </row>
    <row r="37413" spans="7:24" ht="15" customHeight="1">
      <c r="G37413"/>
      <c r="I37413"/>
      <c r="N37413"/>
      <c r="O37413" s="24"/>
      <c r="P37413"/>
      <c r="Q37413" s="24"/>
      <c r="R37413"/>
      <c r="S37413"/>
      <c r="T37413"/>
      <c r="U37413"/>
      <c r="X37413" s="60"/>
    </row>
    <row r="37414" spans="7:24" ht="15" customHeight="1">
      <c r="G37414"/>
      <c r="I37414"/>
      <c r="N37414"/>
      <c r="O37414" s="24"/>
      <c r="P37414"/>
      <c r="Q37414" s="24"/>
      <c r="R37414"/>
      <c r="S37414"/>
      <c r="T37414"/>
      <c r="U37414"/>
      <c r="X37414" s="60"/>
    </row>
    <row r="37415" spans="7:24" ht="15" customHeight="1">
      <c r="G37415"/>
      <c r="I37415"/>
      <c r="N37415"/>
      <c r="O37415" s="24"/>
      <c r="P37415"/>
      <c r="Q37415" s="24"/>
      <c r="R37415"/>
      <c r="S37415"/>
      <c r="T37415"/>
      <c r="U37415"/>
      <c r="X37415" s="60"/>
    </row>
    <row r="37416" spans="7:24" ht="15" customHeight="1">
      <c r="G37416"/>
      <c r="I37416"/>
      <c r="N37416"/>
      <c r="O37416" s="24"/>
      <c r="P37416"/>
      <c r="Q37416" s="24"/>
      <c r="R37416"/>
      <c r="S37416"/>
      <c r="T37416"/>
      <c r="U37416"/>
      <c r="X37416" s="60"/>
    </row>
    <row r="37417" spans="7:24" ht="15" customHeight="1">
      <c r="G37417"/>
      <c r="I37417"/>
      <c r="N37417"/>
      <c r="O37417" s="24"/>
      <c r="P37417"/>
      <c r="Q37417" s="24"/>
      <c r="R37417"/>
      <c r="S37417"/>
      <c r="T37417"/>
      <c r="U37417"/>
      <c r="X37417" s="60"/>
    </row>
    <row r="37418" spans="7:24" ht="15" customHeight="1">
      <c r="G37418"/>
      <c r="I37418"/>
      <c r="N37418"/>
      <c r="O37418" s="24"/>
      <c r="P37418"/>
      <c r="Q37418" s="24"/>
      <c r="R37418"/>
      <c r="S37418"/>
      <c r="T37418"/>
      <c r="U37418"/>
      <c r="X37418" s="60"/>
    </row>
    <row r="37419" spans="7:24" ht="15" customHeight="1">
      <c r="G37419"/>
      <c r="I37419"/>
      <c r="N37419"/>
      <c r="O37419" s="24"/>
      <c r="P37419"/>
      <c r="Q37419" s="24"/>
      <c r="R37419"/>
      <c r="S37419"/>
      <c r="T37419"/>
      <c r="U37419"/>
      <c r="X37419" s="60"/>
    </row>
    <row r="37420" spans="7:24" ht="15" customHeight="1">
      <c r="G37420"/>
      <c r="I37420"/>
      <c r="N37420"/>
      <c r="O37420" s="24"/>
      <c r="P37420"/>
      <c r="Q37420" s="24"/>
      <c r="R37420"/>
      <c r="S37420"/>
      <c r="T37420"/>
      <c r="U37420"/>
      <c r="X37420" s="60"/>
    </row>
    <row r="37421" spans="7:24" ht="15" customHeight="1">
      <c r="G37421"/>
      <c r="I37421"/>
      <c r="N37421"/>
      <c r="O37421" s="24"/>
      <c r="P37421"/>
      <c r="Q37421" s="24"/>
      <c r="R37421"/>
      <c r="S37421"/>
      <c r="T37421"/>
      <c r="U37421"/>
      <c r="X37421" s="60"/>
    </row>
    <row r="37422" spans="7:24" ht="15" customHeight="1">
      <c r="G37422"/>
      <c r="I37422"/>
      <c r="N37422"/>
      <c r="O37422" s="24"/>
      <c r="P37422"/>
      <c r="Q37422" s="24"/>
      <c r="R37422"/>
      <c r="S37422"/>
      <c r="T37422"/>
      <c r="U37422"/>
      <c r="X37422" s="60"/>
    </row>
    <row r="37423" spans="7:24" ht="15" customHeight="1">
      <c r="G37423"/>
      <c r="I37423"/>
      <c r="N37423"/>
      <c r="O37423" s="24"/>
      <c r="P37423"/>
      <c r="Q37423" s="24"/>
      <c r="R37423"/>
      <c r="S37423"/>
      <c r="T37423"/>
      <c r="U37423"/>
      <c r="X37423" s="60"/>
    </row>
    <row r="37424" spans="7:24" ht="15" customHeight="1">
      <c r="G37424"/>
      <c r="I37424"/>
      <c r="N37424"/>
      <c r="O37424" s="24"/>
      <c r="P37424"/>
      <c r="Q37424" s="24"/>
      <c r="R37424"/>
      <c r="S37424"/>
      <c r="T37424"/>
      <c r="U37424"/>
      <c r="X37424" s="60"/>
    </row>
    <row r="37425" spans="7:24" ht="15" customHeight="1">
      <c r="G37425"/>
      <c r="I37425"/>
      <c r="N37425"/>
      <c r="O37425" s="24"/>
      <c r="P37425"/>
      <c r="Q37425" s="24"/>
      <c r="R37425"/>
      <c r="S37425"/>
      <c r="T37425"/>
      <c r="U37425"/>
      <c r="X37425" s="60"/>
    </row>
    <row r="37426" spans="7:24" ht="15" customHeight="1">
      <c r="G37426"/>
      <c r="I37426"/>
      <c r="N37426"/>
      <c r="O37426" s="24"/>
      <c r="P37426"/>
      <c r="Q37426" s="24"/>
      <c r="R37426"/>
      <c r="S37426"/>
      <c r="T37426"/>
      <c r="U37426"/>
      <c r="X37426" s="60"/>
    </row>
    <row r="37427" spans="7:24" ht="15" customHeight="1">
      <c r="G37427"/>
      <c r="I37427"/>
      <c r="N37427"/>
      <c r="O37427" s="24"/>
      <c r="P37427"/>
      <c r="Q37427" s="24"/>
      <c r="R37427"/>
      <c r="S37427"/>
      <c r="T37427"/>
      <c r="U37427"/>
      <c r="X37427" s="60"/>
    </row>
    <row r="37428" spans="7:24" ht="15" customHeight="1">
      <c r="G37428"/>
      <c r="I37428"/>
      <c r="N37428"/>
      <c r="O37428" s="24"/>
      <c r="P37428"/>
      <c r="Q37428" s="24"/>
      <c r="R37428"/>
      <c r="S37428"/>
      <c r="T37428"/>
      <c r="U37428"/>
      <c r="X37428" s="60"/>
    </row>
    <row r="37429" spans="7:24" ht="15" customHeight="1">
      <c r="G37429"/>
      <c r="I37429"/>
      <c r="N37429"/>
      <c r="O37429" s="24"/>
      <c r="P37429"/>
      <c r="Q37429" s="24"/>
      <c r="R37429"/>
      <c r="S37429"/>
      <c r="T37429"/>
      <c r="U37429"/>
      <c r="X37429" s="60"/>
    </row>
    <row r="37430" spans="7:24" ht="15" customHeight="1">
      <c r="G37430"/>
      <c r="I37430"/>
      <c r="N37430"/>
      <c r="O37430" s="24"/>
      <c r="P37430"/>
      <c r="Q37430" s="24"/>
      <c r="R37430"/>
      <c r="S37430"/>
      <c r="T37430"/>
      <c r="U37430"/>
      <c r="X37430" s="60"/>
    </row>
    <row r="37431" spans="7:24" ht="15" customHeight="1">
      <c r="G37431"/>
      <c r="I37431"/>
      <c r="N37431"/>
      <c r="O37431" s="24"/>
      <c r="P37431"/>
      <c r="Q37431" s="24"/>
      <c r="R37431"/>
      <c r="S37431"/>
      <c r="T37431"/>
      <c r="U37431"/>
      <c r="X37431" s="60"/>
    </row>
    <row r="37432" spans="7:24" ht="15" customHeight="1">
      <c r="G37432"/>
      <c r="I37432"/>
      <c r="N37432"/>
      <c r="O37432" s="24"/>
      <c r="P37432"/>
      <c r="Q37432" s="24"/>
      <c r="R37432"/>
      <c r="S37432"/>
      <c r="T37432"/>
      <c r="U37432"/>
      <c r="X37432" s="60"/>
    </row>
    <row r="37433" spans="7:24" ht="15" customHeight="1">
      <c r="G37433"/>
      <c r="I37433"/>
      <c r="N37433"/>
      <c r="O37433" s="24"/>
      <c r="P37433"/>
      <c r="Q37433" s="24"/>
      <c r="R37433"/>
      <c r="S37433"/>
      <c r="T37433"/>
      <c r="U37433"/>
      <c r="X37433" s="60"/>
    </row>
    <row r="37434" spans="7:24" ht="15" customHeight="1">
      <c r="G37434"/>
      <c r="I37434"/>
      <c r="N37434"/>
      <c r="O37434" s="24"/>
      <c r="P37434"/>
      <c r="Q37434" s="24"/>
      <c r="R37434"/>
      <c r="S37434"/>
      <c r="T37434"/>
      <c r="U37434"/>
      <c r="X37434" s="60"/>
    </row>
    <row r="37435" spans="7:24" ht="15" customHeight="1">
      <c r="G37435"/>
      <c r="I37435"/>
      <c r="N37435"/>
      <c r="O37435" s="24"/>
      <c r="P37435"/>
      <c r="Q37435" s="24"/>
      <c r="R37435"/>
      <c r="S37435"/>
      <c r="T37435"/>
      <c r="U37435"/>
      <c r="X37435" s="60"/>
    </row>
    <row r="37436" spans="7:24" ht="15" customHeight="1">
      <c r="G37436"/>
      <c r="I37436"/>
      <c r="N37436"/>
      <c r="O37436" s="24"/>
      <c r="P37436"/>
      <c r="Q37436" s="24"/>
      <c r="R37436"/>
      <c r="S37436"/>
      <c r="T37436"/>
      <c r="U37436"/>
      <c r="X37436" s="60"/>
    </row>
    <row r="37437" spans="7:24" ht="15" customHeight="1">
      <c r="G37437"/>
      <c r="I37437"/>
      <c r="N37437"/>
      <c r="O37437" s="24"/>
      <c r="P37437"/>
      <c r="Q37437" s="24"/>
      <c r="R37437"/>
      <c r="S37437"/>
      <c r="T37437"/>
      <c r="U37437"/>
      <c r="X37437" s="60"/>
    </row>
    <row r="37438" spans="7:24" ht="15" customHeight="1">
      <c r="G37438"/>
      <c r="I37438"/>
      <c r="N37438"/>
      <c r="O37438" s="24"/>
      <c r="P37438"/>
      <c r="Q37438" s="24"/>
      <c r="R37438"/>
      <c r="S37438"/>
      <c r="T37438"/>
      <c r="U37438"/>
      <c r="X37438" s="60"/>
    </row>
    <row r="37439" spans="7:24" ht="15" customHeight="1">
      <c r="G37439"/>
      <c r="I37439"/>
      <c r="N37439"/>
      <c r="O37439" s="24"/>
      <c r="P37439"/>
      <c r="Q37439" s="24"/>
      <c r="R37439"/>
      <c r="S37439"/>
      <c r="T37439"/>
      <c r="U37439"/>
      <c r="X37439" s="60"/>
    </row>
    <row r="37440" spans="7:24" ht="15" customHeight="1">
      <c r="G37440"/>
      <c r="I37440"/>
      <c r="N37440"/>
      <c r="O37440" s="24"/>
      <c r="P37440"/>
      <c r="Q37440" s="24"/>
      <c r="R37440"/>
      <c r="S37440"/>
      <c r="T37440"/>
      <c r="U37440"/>
      <c r="X37440" s="60"/>
    </row>
    <row r="37441" spans="7:24" ht="15" customHeight="1">
      <c r="G37441"/>
      <c r="I37441"/>
      <c r="N37441"/>
      <c r="O37441" s="24"/>
      <c r="P37441"/>
      <c r="Q37441" s="24"/>
      <c r="R37441"/>
      <c r="S37441"/>
      <c r="T37441"/>
      <c r="U37441"/>
      <c r="X37441" s="60"/>
    </row>
    <row r="37442" spans="7:24" ht="15" customHeight="1">
      <c r="G37442"/>
      <c r="I37442"/>
      <c r="N37442"/>
      <c r="O37442" s="24"/>
      <c r="P37442"/>
      <c r="Q37442" s="24"/>
      <c r="R37442"/>
      <c r="S37442"/>
      <c r="T37442"/>
      <c r="U37442"/>
      <c r="X37442" s="60"/>
    </row>
    <row r="37443" spans="7:24" ht="15" customHeight="1">
      <c r="G37443"/>
      <c r="I37443"/>
      <c r="N37443"/>
      <c r="O37443" s="24"/>
      <c r="P37443"/>
      <c r="Q37443" s="24"/>
      <c r="R37443"/>
      <c r="S37443"/>
      <c r="T37443"/>
      <c r="U37443"/>
      <c r="X37443" s="60"/>
    </row>
    <row r="37444" spans="7:24" ht="15" customHeight="1">
      <c r="G37444"/>
      <c r="I37444"/>
      <c r="N37444"/>
      <c r="O37444" s="24"/>
      <c r="P37444"/>
      <c r="Q37444" s="24"/>
      <c r="R37444"/>
      <c r="S37444"/>
      <c r="T37444"/>
      <c r="U37444"/>
      <c r="X37444" s="60"/>
    </row>
    <row r="37445" spans="7:24" ht="15" customHeight="1">
      <c r="G37445"/>
      <c r="I37445"/>
      <c r="N37445"/>
      <c r="O37445" s="24"/>
      <c r="P37445"/>
      <c r="Q37445" s="24"/>
      <c r="R37445"/>
      <c r="S37445"/>
      <c r="T37445"/>
      <c r="U37445"/>
      <c r="X37445" s="60"/>
    </row>
    <row r="37446" spans="7:24" ht="15" customHeight="1">
      <c r="G37446"/>
      <c r="I37446"/>
      <c r="N37446"/>
      <c r="O37446" s="24"/>
      <c r="P37446"/>
      <c r="Q37446" s="24"/>
      <c r="R37446"/>
      <c r="S37446"/>
      <c r="T37446"/>
      <c r="U37446"/>
      <c r="X37446" s="60"/>
    </row>
    <row r="37447" spans="7:24" ht="15" customHeight="1">
      <c r="G37447"/>
      <c r="I37447"/>
      <c r="N37447"/>
      <c r="O37447" s="24"/>
      <c r="P37447"/>
      <c r="Q37447" s="24"/>
      <c r="R37447"/>
      <c r="S37447"/>
      <c r="T37447"/>
      <c r="U37447"/>
      <c r="X37447" s="60"/>
    </row>
    <row r="37448" spans="7:24" ht="15" customHeight="1">
      <c r="G37448"/>
      <c r="I37448"/>
      <c r="N37448"/>
      <c r="O37448" s="24"/>
      <c r="P37448"/>
      <c r="Q37448" s="24"/>
      <c r="R37448"/>
      <c r="S37448"/>
      <c r="T37448"/>
      <c r="U37448"/>
      <c r="X37448" s="60"/>
    </row>
    <row r="37449" spans="7:24" ht="15" customHeight="1">
      <c r="G37449"/>
      <c r="I37449"/>
      <c r="N37449"/>
      <c r="O37449" s="24"/>
      <c r="P37449"/>
      <c r="Q37449" s="24"/>
      <c r="R37449"/>
      <c r="S37449"/>
      <c r="T37449"/>
      <c r="U37449"/>
      <c r="X37449" s="60"/>
    </row>
    <row r="37450" spans="7:24" ht="15" customHeight="1">
      <c r="G37450"/>
      <c r="I37450"/>
      <c r="N37450"/>
      <c r="O37450" s="24"/>
      <c r="P37450"/>
      <c r="Q37450" s="24"/>
      <c r="R37450"/>
      <c r="S37450"/>
      <c r="T37450"/>
      <c r="U37450"/>
      <c r="X37450" s="60"/>
    </row>
    <row r="37451" spans="7:24" ht="15" customHeight="1">
      <c r="G37451"/>
      <c r="I37451"/>
      <c r="N37451"/>
      <c r="O37451" s="24"/>
      <c r="P37451"/>
      <c r="Q37451" s="24"/>
      <c r="R37451"/>
      <c r="S37451"/>
      <c r="T37451"/>
      <c r="U37451"/>
      <c r="X37451" s="60"/>
    </row>
    <row r="37452" spans="7:24" ht="15" customHeight="1">
      <c r="G37452"/>
      <c r="I37452"/>
      <c r="N37452"/>
      <c r="O37452" s="24"/>
      <c r="P37452"/>
      <c r="Q37452" s="24"/>
      <c r="R37452"/>
      <c r="S37452"/>
      <c r="T37452"/>
      <c r="U37452"/>
      <c r="X37452" s="60"/>
    </row>
    <row r="37453" spans="7:24" ht="15" customHeight="1">
      <c r="G37453"/>
      <c r="I37453"/>
      <c r="N37453"/>
      <c r="O37453" s="24"/>
      <c r="P37453"/>
      <c r="Q37453" s="24"/>
      <c r="R37453"/>
      <c r="S37453"/>
      <c r="T37453"/>
      <c r="U37453"/>
      <c r="X37453" s="60"/>
    </row>
    <row r="37454" spans="7:24" ht="15" customHeight="1">
      <c r="G37454"/>
      <c r="I37454"/>
      <c r="N37454"/>
      <c r="O37454" s="24"/>
      <c r="P37454"/>
      <c r="Q37454" s="24"/>
      <c r="R37454"/>
      <c r="S37454"/>
      <c r="T37454"/>
      <c r="U37454"/>
      <c r="X37454" s="60"/>
    </row>
    <row r="37455" spans="7:24" ht="15" customHeight="1">
      <c r="G37455"/>
      <c r="I37455"/>
      <c r="N37455"/>
      <c r="O37455" s="24"/>
      <c r="P37455"/>
      <c r="Q37455" s="24"/>
      <c r="R37455"/>
      <c r="S37455"/>
      <c r="T37455"/>
      <c r="U37455"/>
      <c r="X37455" s="60"/>
    </row>
    <row r="37456" spans="7:24" ht="15" customHeight="1">
      <c r="G37456"/>
      <c r="I37456"/>
      <c r="N37456"/>
      <c r="O37456" s="24"/>
      <c r="P37456"/>
      <c r="Q37456" s="24"/>
      <c r="R37456"/>
      <c r="S37456"/>
      <c r="T37456"/>
      <c r="U37456"/>
      <c r="X37456" s="60"/>
    </row>
    <row r="37457" spans="7:24" ht="15" customHeight="1">
      <c r="G37457"/>
      <c r="I37457"/>
      <c r="N37457"/>
      <c r="O37457" s="24"/>
      <c r="P37457"/>
      <c r="Q37457" s="24"/>
      <c r="R37457"/>
      <c r="S37457"/>
      <c r="T37457"/>
      <c r="U37457"/>
      <c r="X37457" s="60"/>
    </row>
    <row r="37458" spans="7:24" ht="15" customHeight="1">
      <c r="G37458"/>
      <c r="I37458"/>
      <c r="N37458"/>
      <c r="O37458" s="24"/>
      <c r="P37458"/>
      <c r="Q37458" s="24"/>
      <c r="R37458"/>
      <c r="S37458"/>
      <c r="T37458"/>
      <c r="U37458"/>
      <c r="X37458" s="60"/>
    </row>
    <row r="37459" spans="7:24" ht="15" customHeight="1">
      <c r="G37459"/>
      <c r="I37459"/>
      <c r="N37459"/>
      <c r="O37459" s="24"/>
      <c r="P37459"/>
      <c r="Q37459" s="24"/>
      <c r="R37459"/>
      <c r="S37459"/>
      <c r="T37459"/>
      <c r="U37459"/>
      <c r="X37459" s="60"/>
    </row>
    <row r="37460" spans="7:24" ht="15" customHeight="1">
      <c r="G37460"/>
      <c r="I37460"/>
      <c r="N37460"/>
      <c r="O37460" s="24"/>
      <c r="P37460"/>
      <c r="Q37460" s="24"/>
      <c r="R37460"/>
      <c r="S37460"/>
      <c r="T37460"/>
      <c r="U37460"/>
      <c r="X37460" s="60"/>
    </row>
    <row r="37461" spans="7:24" ht="15" customHeight="1">
      <c r="G37461"/>
      <c r="I37461"/>
      <c r="N37461"/>
      <c r="O37461" s="24"/>
      <c r="P37461"/>
      <c r="Q37461" s="24"/>
      <c r="R37461"/>
      <c r="S37461"/>
      <c r="T37461"/>
      <c r="U37461"/>
      <c r="X37461" s="60"/>
    </row>
    <row r="37462" spans="7:24" ht="15" customHeight="1">
      <c r="G37462"/>
      <c r="I37462"/>
      <c r="N37462"/>
      <c r="O37462" s="24"/>
      <c r="P37462"/>
      <c r="Q37462" s="24"/>
      <c r="R37462"/>
      <c r="S37462"/>
      <c r="T37462"/>
      <c r="U37462"/>
      <c r="X37462" s="60"/>
    </row>
    <row r="37463" spans="7:24" ht="15" customHeight="1">
      <c r="G37463"/>
      <c r="I37463"/>
      <c r="N37463"/>
      <c r="O37463" s="24"/>
      <c r="P37463"/>
      <c r="Q37463" s="24"/>
      <c r="R37463"/>
      <c r="S37463"/>
      <c r="T37463"/>
      <c r="U37463"/>
      <c r="X37463" s="60"/>
    </row>
    <row r="37464" spans="7:24" ht="15" customHeight="1">
      <c r="G37464"/>
      <c r="I37464"/>
      <c r="N37464"/>
      <c r="O37464" s="24"/>
      <c r="P37464"/>
      <c r="Q37464" s="24"/>
      <c r="R37464"/>
      <c r="S37464"/>
      <c r="T37464"/>
      <c r="U37464"/>
      <c r="X37464" s="60"/>
    </row>
    <row r="37465" spans="7:24" ht="15" customHeight="1">
      <c r="G37465"/>
      <c r="I37465"/>
      <c r="N37465"/>
      <c r="O37465" s="24"/>
      <c r="P37465"/>
      <c r="Q37465" s="24"/>
      <c r="R37465"/>
      <c r="S37465"/>
      <c r="T37465"/>
      <c r="U37465"/>
      <c r="X37465" s="60"/>
    </row>
    <row r="37466" spans="7:24" ht="15" customHeight="1">
      <c r="G37466"/>
      <c r="I37466"/>
      <c r="N37466"/>
      <c r="O37466" s="24"/>
      <c r="P37466"/>
      <c r="Q37466" s="24"/>
      <c r="R37466"/>
      <c r="S37466"/>
      <c r="T37466"/>
      <c r="U37466"/>
      <c r="X37466" s="60"/>
    </row>
    <row r="37467" spans="7:24" ht="15" customHeight="1">
      <c r="G37467"/>
      <c r="I37467"/>
      <c r="N37467"/>
      <c r="O37467" s="24"/>
      <c r="P37467"/>
      <c r="Q37467" s="24"/>
      <c r="R37467"/>
      <c r="S37467"/>
      <c r="T37467"/>
      <c r="U37467"/>
      <c r="X37467" s="60"/>
    </row>
    <row r="37468" spans="7:24" ht="15" customHeight="1">
      <c r="G37468"/>
      <c r="I37468"/>
      <c r="N37468"/>
      <c r="O37468" s="24"/>
      <c r="P37468"/>
      <c r="Q37468" s="24"/>
      <c r="R37468"/>
      <c r="S37468"/>
      <c r="T37468"/>
      <c r="U37468"/>
      <c r="X37468" s="60"/>
    </row>
    <row r="37469" spans="7:24" ht="15" customHeight="1">
      <c r="G37469"/>
      <c r="I37469"/>
      <c r="N37469"/>
      <c r="O37469" s="24"/>
      <c r="P37469"/>
      <c r="Q37469" s="24"/>
      <c r="R37469"/>
      <c r="S37469"/>
      <c r="T37469"/>
      <c r="U37469"/>
      <c r="X37469" s="60"/>
    </row>
    <row r="37470" spans="7:24" ht="15" customHeight="1">
      <c r="G37470"/>
      <c r="I37470"/>
      <c r="N37470"/>
      <c r="O37470" s="24"/>
      <c r="P37470"/>
      <c r="Q37470" s="24"/>
      <c r="R37470"/>
      <c r="S37470"/>
      <c r="T37470"/>
      <c r="U37470"/>
      <c r="X37470" s="60"/>
    </row>
    <row r="37471" spans="7:24" ht="15" customHeight="1">
      <c r="G37471"/>
      <c r="I37471"/>
      <c r="N37471"/>
      <c r="O37471" s="24"/>
      <c r="P37471"/>
      <c r="Q37471" s="24"/>
      <c r="R37471"/>
      <c r="S37471"/>
      <c r="T37471"/>
      <c r="U37471"/>
      <c r="X37471" s="60"/>
    </row>
    <row r="37472" spans="7:24" ht="15" customHeight="1">
      <c r="G37472"/>
      <c r="I37472"/>
      <c r="N37472"/>
      <c r="O37472" s="24"/>
      <c r="P37472"/>
      <c r="Q37472" s="24"/>
      <c r="R37472"/>
      <c r="S37472"/>
      <c r="T37472"/>
      <c r="U37472"/>
      <c r="X37472" s="60"/>
    </row>
    <row r="37473" spans="7:24" ht="15" customHeight="1">
      <c r="G37473"/>
      <c r="I37473"/>
      <c r="N37473"/>
      <c r="O37473" s="24"/>
      <c r="P37473"/>
      <c r="Q37473" s="24"/>
      <c r="R37473"/>
      <c r="S37473"/>
      <c r="T37473"/>
      <c r="U37473"/>
      <c r="X37473" s="60"/>
    </row>
    <row r="37474" spans="7:24" ht="15" customHeight="1">
      <c r="G37474"/>
      <c r="I37474"/>
      <c r="N37474"/>
      <c r="O37474" s="24"/>
      <c r="P37474"/>
      <c r="Q37474" s="24"/>
      <c r="R37474"/>
      <c r="S37474"/>
      <c r="T37474"/>
      <c r="U37474"/>
      <c r="X37474" s="60"/>
    </row>
    <row r="37475" spans="7:24" ht="15" customHeight="1">
      <c r="G37475"/>
      <c r="I37475"/>
      <c r="N37475"/>
      <c r="O37475" s="24"/>
      <c r="P37475"/>
      <c r="Q37475" s="24"/>
      <c r="R37475"/>
      <c r="S37475"/>
      <c r="T37475"/>
      <c r="U37475"/>
      <c r="X37475" s="60"/>
    </row>
    <row r="37476" spans="7:24" ht="15" customHeight="1">
      <c r="G37476"/>
      <c r="I37476"/>
      <c r="N37476"/>
      <c r="O37476" s="24"/>
      <c r="P37476"/>
      <c r="Q37476" s="24"/>
      <c r="R37476"/>
      <c r="S37476"/>
      <c r="T37476"/>
      <c r="U37476"/>
      <c r="X37476" s="60"/>
    </row>
    <row r="37477" spans="7:24" ht="15" customHeight="1">
      <c r="G37477"/>
      <c r="I37477"/>
      <c r="N37477"/>
      <c r="O37477" s="24"/>
      <c r="P37477"/>
      <c r="Q37477" s="24"/>
      <c r="R37477"/>
      <c r="S37477"/>
      <c r="T37477"/>
      <c r="U37477"/>
      <c r="X37477" s="60"/>
    </row>
    <row r="37478" spans="7:24" ht="15" customHeight="1">
      <c r="G37478"/>
      <c r="I37478"/>
      <c r="N37478"/>
      <c r="O37478" s="24"/>
      <c r="P37478"/>
      <c r="Q37478" s="24"/>
      <c r="R37478"/>
      <c r="S37478"/>
      <c r="T37478"/>
      <c r="U37478"/>
      <c r="X37478" s="60"/>
    </row>
    <row r="37479" spans="7:24" ht="15" customHeight="1">
      <c r="G37479"/>
      <c r="I37479"/>
      <c r="N37479"/>
      <c r="O37479" s="24"/>
      <c r="P37479"/>
      <c r="Q37479" s="24"/>
      <c r="R37479"/>
      <c r="S37479"/>
      <c r="T37479"/>
      <c r="U37479"/>
      <c r="X37479" s="60"/>
    </row>
    <row r="37480" spans="7:24" ht="15" customHeight="1">
      <c r="G37480"/>
      <c r="I37480"/>
      <c r="N37480"/>
      <c r="O37480" s="24"/>
      <c r="P37480"/>
      <c r="Q37480" s="24"/>
      <c r="R37480"/>
      <c r="S37480"/>
      <c r="T37480"/>
      <c r="U37480"/>
      <c r="X37480" s="60"/>
    </row>
    <row r="37481" spans="7:24" ht="15" customHeight="1">
      <c r="G37481"/>
      <c r="I37481"/>
      <c r="N37481"/>
      <c r="O37481" s="24"/>
      <c r="P37481"/>
      <c r="Q37481" s="24"/>
      <c r="R37481"/>
      <c r="S37481"/>
      <c r="T37481"/>
      <c r="U37481"/>
      <c r="X37481" s="60"/>
    </row>
    <row r="37482" spans="7:24" ht="15" customHeight="1">
      <c r="G37482"/>
      <c r="I37482"/>
      <c r="N37482"/>
      <c r="O37482" s="24"/>
      <c r="P37482"/>
      <c r="Q37482" s="24"/>
      <c r="R37482"/>
      <c r="S37482"/>
      <c r="T37482"/>
      <c r="U37482"/>
      <c r="X37482" s="60"/>
    </row>
    <row r="37483" spans="7:24" ht="15" customHeight="1">
      <c r="G37483"/>
      <c r="I37483"/>
      <c r="N37483"/>
      <c r="O37483" s="24"/>
      <c r="P37483"/>
      <c r="Q37483" s="24"/>
      <c r="R37483"/>
      <c r="S37483"/>
      <c r="T37483"/>
      <c r="U37483"/>
      <c r="X37483" s="60"/>
    </row>
    <row r="37484" spans="7:24" ht="15" customHeight="1">
      <c r="G37484"/>
      <c r="I37484"/>
      <c r="N37484"/>
      <c r="O37484" s="24"/>
      <c r="P37484"/>
      <c r="Q37484" s="24"/>
      <c r="R37484"/>
      <c r="S37484"/>
      <c r="T37484"/>
      <c r="U37484"/>
      <c r="X37484" s="60"/>
    </row>
    <row r="37485" spans="7:24" ht="15" customHeight="1">
      <c r="G37485"/>
      <c r="I37485"/>
      <c r="N37485"/>
      <c r="O37485" s="24"/>
      <c r="P37485"/>
      <c r="Q37485" s="24"/>
      <c r="R37485"/>
      <c r="S37485"/>
      <c r="T37485"/>
      <c r="U37485"/>
      <c r="X37485" s="60"/>
    </row>
    <row r="37486" spans="7:24" ht="15" customHeight="1">
      <c r="G37486"/>
      <c r="I37486"/>
      <c r="N37486"/>
      <c r="O37486" s="24"/>
      <c r="P37486"/>
      <c r="Q37486" s="24"/>
      <c r="R37486"/>
      <c r="S37486"/>
      <c r="T37486"/>
      <c r="U37486"/>
      <c r="X37486" s="60"/>
    </row>
    <row r="37487" spans="7:24" ht="15" customHeight="1">
      <c r="G37487"/>
      <c r="I37487"/>
      <c r="N37487"/>
      <c r="O37487" s="24"/>
      <c r="P37487"/>
      <c r="Q37487" s="24"/>
      <c r="R37487"/>
      <c r="S37487"/>
      <c r="T37487"/>
      <c r="U37487"/>
      <c r="X37487" s="60"/>
    </row>
    <row r="37488" spans="7:24" ht="15" customHeight="1">
      <c r="G37488"/>
      <c r="I37488"/>
      <c r="N37488"/>
      <c r="O37488" s="24"/>
      <c r="P37488"/>
      <c r="Q37488" s="24"/>
      <c r="R37488"/>
      <c r="S37488"/>
      <c r="T37488"/>
      <c r="U37488"/>
      <c r="X37488" s="60"/>
    </row>
    <row r="37489" spans="7:24" ht="15" customHeight="1">
      <c r="G37489"/>
      <c r="I37489"/>
      <c r="N37489"/>
      <c r="O37489" s="24"/>
      <c r="P37489"/>
      <c r="Q37489" s="24"/>
      <c r="R37489"/>
      <c r="S37489"/>
      <c r="T37489"/>
      <c r="U37489"/>
      <c r="X37489" s="60"/>
    </row>
    <row r="37490" spans="7:24" ht="15" customHeight="1">
      <c r="G37490"/>
      <c r="I37490"/>
      <c r="N37490"/>
      <c r="O37490" s="24"/>
      <c r="P37490"/>
      <c r="Q37490" s="24"/>
      <c r="R37490"/>
      <c r="S37490"/>
      <c r="T37490"/>
      <c r="U37490"/>
      <c r="X37490" s="60"/>
    </row>
    <row r="37491" spans="7:24" ht="15" customHeight="1">
      <c r="G37491"/>
      <c r="I37491"/>
      <c r="N37491"/>
      <c r="O37491" s="24"/>
      <c r="P37491"/>
      <c r="Q37491" s="24"/>
      <c r="R37491"/>
      <c r="S37491"/>
      <c r="T37491"/>
      <c r="U37491"/>
      <c r="X37491" s="60"/>
    </row>
    <row r="37492" spans="7:24" ht="15" customHeight="1">
      <c r="G37492"/>
      <c r="I37492"/>
      <c r="N37492"/>
      <c r="O37492" s="24"/>
      <c r="P37492"/>
      <c r="Q37492" s="24"/>
      <c r="R37492"/>
      <c r="S37492"/>
      <c r="T37492"/>
      <c r="U37492"/>
      <c r="X37492" s="60"/>
    </row>
    <row r="37493" spans="7:24" ht="15" customHeight="1">
      <c r="G37493"/>
      <c r="I37493"/>
      <c r="N37493"/>
      <c r="O37493" s="24"/>
      <c r="P37493"/>
      <c r="Q37493" s="24"/>
      <c r="R37493"/>
      <c r="S37493"/>
      <c r="T37493"/>
      <c r="U37493"/>
      <c r="X37493" s="60"/>
    </row>
    <row r="37494" spans="7:24" ht="15" customHeight="1">
      <c r="G37494"/>
      <c r="I37494"/>
      <c r="N37494"/>
      <c r="O37494" s="24"/>
      <c r="P37494"/>
      <c r="Q37494" s="24"/>
      <c r="R37494"/>
      <c r="S37494"/>
      <c r="T37494"/>
      <c r="U37494"/>
      <c r="X37494" s="60"/>
    </row>
    <row r="37495" spans="7:24" ht="15" customHeight="1">
      <c r="G37495"/>
      <c r="I37495"/>
      <c r="N37495"/>
      <c r="O37495" s="24"/>
      <c r="P37495"/>
      <c r="Q37495" s="24"/>
      <c r="R37495"/>
      <c r="S37495"/>
      <c r="T37495"/>
      <c r="U37495"/>
      <c r="X37495" s="60"/>
    </row>
    <row r="37496" spans="7:24" ht="15" customHeight="1">
      <c r="G37496"/>
      <c r="I37496"/>
      <c r="N37496"/>
      <c r="O37496" s="24"/>
      <c r="P37496"/>
      <c r="Q37496" s="24"/>
      <c r="R37496"/>
      <c r="S37496"/>
      <c r="T37496"/>
      <c r="U37496"/>
      <c r="X37496" s="60"/>
    </row>
    <row r="37497" spans="7:24" ht="15" customHeight="1">
      <c r="G37497"/>
      <c r="I37497"/>
      <c r="N37497"/>
      <c r="O37497" s="24"/>
      <c r="P37497"/>
      <c r="Q37497" s="24"/>
      <c r="R37497"/>
      <c r="S37497"/>
      <c r="T37497"/>
      <c r="U37497"/>
      <c r="X37497" s="60"/>
    </row>
    <row r="37498" spans="7:24" ht="15" customHeight="1">
      <c r="G37498"/>
      <c r="I37498"/>
      <c r="N37498"/>
      <c r="O37498" s="24"/>
      <c r="P37498"/>
      <c r="Q37498" s="24"/>
      <c r="R37498"/>
      <c r="S37498"/>
      <c r="T37498"/>
      <c r="U37498"/>
      <c r="X37498" s="60"/>
    </row>
    <row r="37499" spans="7:24" ht="15" customHeight="1">
      <c r="G37499"/>
      <c r="I37499"/>
      <c r="N37499"/>
      <c r="O37499" s="24"/>
      <c r="P37499"/>
      <c r="Q37499" s="24"/>
      <c r="R37499"/>
      <c r="S37499"/>
      <c r="T37499"/>
      <c r="U37499"/>
      <c r="X37499" s="60"/>
    </row>
    <row r="37500" spans="7:24" ht="15" customHeight="1">
      <c r="G37500"/>
      <c r="I37500"/>
      <c r="N37500"/>
      <c r="O37500" s="24"/>
      <c r="P37500"/>
      <c r="Q37500" s="24"/>
      <c r="R37500"/>
      <c r="S37500"/>
      <c r="T37500"/>
      <c r="U37500"/>
      <c r="X37500" s="60"/>
    </row>
    <row r="37501" spans="7:24" ht="15" customHeight="1">
      <c r="G37501"/>
      <c r="I37501"/>
      <c r="N37501"/>
      <c r="O37501" s="24"/>
      <c r="P37501"/>
      <c r="Q37501" s="24"/>
      <c r="R37501"/>
      <c r="S37501"/>
      <c r="T37501"/>
      <c r="U37501"/>
      <c r="X37501" s="60"/>
    </row>
    <row r="37502" spans="7:24" ht="15" customHeight="1">
      <c r="G37502"/>
      <c r="I37502"/>
      <c r="N37502"/>
      <c r="O37502" s="24"/>
      <c r="P37502"/>
      <c r="Q37502" s="24"/>
      <c r="R37502"/>
      <c r="S37502"/>
      <c r="T37502"/>
      <c r="U37502"/>
      <c r="X37502" s="60"/>
    </row>
    <row r="37503" spans="7:24" ht="15" customHeight="1">
      <c r="G37503"/>
      <c r="I37503"/>
      <c r="N37503"/>
      <c r="O37503" s="24"/>
      <c r="P37503"/>
      <c r="Q37503" s="24"/>
      <c r="R37503"/>
      <c r="S37503"/>
      <c r="T37503"/>
      <c r="U37503"/>
      <c r="X37503" s="60"/>
    </row>
    <row r="37504" spans="7:24" ht="15" customHeight="1">
      <c r="G37504"/>
      <c r="I37504"/>
      <c r="N37504"/>
      <c r="O37504" s="24"/>
      <c r="P37504"/>
      <c r="Q37504" s="24"/>
      <c r="R37504"/>
      <c r="S37504"/>
      <c r="T37504"/>
      <c r="U37504"/>
      <c r="X37504" s="60"/>
    </row>
    <row r="37505" spans="7:24" ht="15" customHeight="1">
      <c r="G37505"/>
      <c r="I37505"/>
      <c r="N37505"/>
      <c r="O37505" s="24"/>
      <c r="P37505"/>
      <c r="Q37505" s="24"/>
      <c r="R37505"/>
      <c r="S37505"/>
      <c r="T37505"/>
      <c r="U37505"/>
      <c r="X37505" s="60"/>
    </row>
    <row r="37506" spans="7:24" ht="15" customHeight="1">
      <c r="G37506"/>
      <c r="I37506"/>
      <c r="N37506"/>
      <c r="O37506" s="24"/>
      <c r="P37506"/>
      <c r="Q37506" s="24"/>
      <c r="R37506"/>
      <c r="S37506"/>
      <c r="T37506"/>
      <c r="U37506"/>
      <c r="X37506" s="60"/>
    </row>
    <row r="37507" spans="7:24" ht="15" customHeight="1">
      <c r="G37507"/>
      <c r="I37507"/>
      <c r="N37507"/>
      <c r="O37507" s="24"/>
      <c r="P37507"/>
      <c r="Q37507" s="24"/>
      <c r="R37507"/>
      <c r="S37507"/>
      <c r="T37507"/>
      <c r="U37507"/>
      <c r="X37507" s="60"/>
    </row>
    <row r="37508" spans="7:24" ht="15" customHeight="1">
      <c r="G37508"/>
      <c r="I37508"/>
      <c r="N37508"/>
      <c r="O37508" s="24"/>
      <c r="P37508"/>
      <c r="Q37508" s="24"/>
      <c r="R37508"/>
      <c r="S37508"/>
      <c r="T37508"/>
      <c r="U37508"/>
      <c r="X37508" s="60"/>
    </row>
    <row r="37509" spans="7:24" ht="15" customHeight="1">
      <c r="G37509"/>
      <c r="I37509"/>
      <c r="N37509"/>
      <c r="O37509" s="24"/>
      <c r="P37509"/>
      <c r="Q37509" s="24"/>
      <c r="R37509"/>
      <c r="S37509"/>
      <c r="T37509"/>
      <c r="U37509"/>
      <c r="X37509" s="60"/>
    </row>
    <row r="37510" spans="7:24" ht="15" customHeight="1">
      <c r="G37510"/>
      <c r="I37510"/>
      <c r="N37510"/>
      <c r="O37510" s="24"/>
      <c r="P37510"/>
      <c r="Q37510" s="24"/>
      <c r="R37510"/>
      <c r="S37510"/>
      <c r="T37510"/>
      <c r="U37510"/>
      <c r="X37510" s="60"/>
    </row>
    <row r="37511" spans="7:24" ht="15" customHeight="1">
      <c r="G37511"/>
      <c r="I37511"/>
      <c r="N37511"/>
      <c r="O37511" s="24"/>
      <c r="P37511"/>
      <c r="Q37511" s="24"/>
      <c r="R37511"/>
      <c r="S37511"/>
      <c r="T37511"/>
      <c r="U37511"/>
      <c r="X37511" s="60"/>
    </row>
    <row r="37512" spans="7:24" ht="15" customHeight="1">
      <c r="G37512"/>
      <c r="I37512"/>
      <c r="N37512"/>
      <c r="O37512" s="24"/>
      <c r="P37512"/>
      <c r="Q37512" s="24"/>
      <c r="R37512"/>
      <c r="S37512"/>
      <c r="T37512"/>
      <c r="U37512"/>
      <c r="X37512" s="60"/>
    </row>
    <row r="37513" spans="7:24" ht="15" customHeight="1">
      <c r="G37513"/>
      <c r="I37513"/>
      <c r="N37513"/>
      <c r="O37513" s="24"/>
      <c r="P37513"/>
      <c r="Q37513" s="24"/>
      <c r="R37513"/>
      <c r="S37513"/>
      <c r="T37513"/>
      <c r="U37513"/>
      <c r="X37513" s="60"/>
    </row>
    <row r="37514" spans="7:24" ht="15" customHeight="1">
      <c r="G37514"/>
      <c r="I37514"/>
      <c r="N37514"/>
      <c r="O37514" s="24"/>
      <c r="P37514"/>
      <c r="Q37514" s="24"/>
      <c r="R37514"/>
      <c r="S37514"/>
      <c r="T37514"/>
      <c r="U37514"/>
      <c r="X37514" s="60"/>
    </row>
    <row r="37515" spans="7:24" ht="15" customHeight="1">
      <c r="G37515"/>
      <c r="I37515"/>
      <c r="N37515"/>
      <c r="O37515" s="24"/>
      <c r="P37515"/>
      <c r="Q37515" s="24"/>
      <c r="R37515"/>
      <c r="S37515"/>
      <c r="T37515"/>
      <c r="U37515"/>
      <c r="X37515" s="60"/>
    </row>
    <row r="37516" spans="7:24" ht="15" customHeight="1">
      <c r="G37516"/>
      <c r="I37516"/>
      <c r="N37516"/>
      <c r="O37516" s="24"/>
      <c r="P37516"/>
      <c r="Q37516" s="24"/>
      <c r="R37516"/>
      <c r="S37516"/>
      <c r="T37516"/>
      <c r="U37516"/>
      <c r="X37516" s="60"/>
    </row>
    <row r="37517" spans="7:24" ht="15" customHeight="1">
      <c r="G37517"/>
      <c r="I37517"/>
      <c r="N37517"/>
      <c r="O37517" s="24"/>
      <c r="P37517"/>
      <c r="Q37517" s="24"/>
      <c r="R37517"/>
      <c r="S37517"/>
      <c r="T37517"/>
      <c r="U37517"/>
      <c r="X37517" s="60"/>
    </row>
    <row r="37518" spans="7:24" ht="15" customHeight="1">
      <c r="G37518"/>
      <c r="I37518"/>
      <c r="N37518"/>
      <c r="O37518" s="24"/>
      <c r="P37518"/>
      <c r="Q37518" s="24"/>
      <c r="R37518"/>
      <c r="S37518"/>
      <c r="T37518"/>
      <c r="U37518"/>
      <c r="X37518" s="60"/>
    </row>
    <row r="37519" spans="7:24" ht="15" customHeight="1">
      <c r="G37519"/>
      <c r="I37519"/>
      <c r="N37519"/>
      <c r="O37519" s="24"/>
      <c r="P37519"/>
      <c r="Q37519" s="24"/>
      <c r="R37519"/>
      <c r="S37519"/>
      <c r="T37519"/>
      <c r="U37519"/>
      <c r="X37519" s="60"/>
    </row>
    <row r="37520" spans="7:24" ht="15" customHeight="1">
      <c r="G37520"/>
      <c r="I37520"/>
      <c r="N37520"/>
      <c r="O37520" s="24"/>
      <c r="P37520"/>
      <c r="Q37520" s="24"/>
      <c r="R37520"/>
      <c r="S37520"/>
      <c r="T37520"/>
      <c r="U37520"/>
      <c r="X37520" s="60"/>
    </row>
    <row r="37521" spans="7:24" ht="15" customHeight="1">
      <c r="G37521"/>
      <c r="I37521"/>
      <c r="N37521"/>
      <c r="O37521" s="24"/>
      <c r="P37521"/>
      <c r="Q37521" s="24"/>
      <c r="R37521"/>
      <c r="S37521"/>
      <c r="T37521"/>
      <c r="U37521"/>
      <c r="X37521" s="60"/>
    </row>
    <row r="37522" spans="7:24" ht="15" customHeight="1">
      <c r="G37522"/>
      <c r="I37522"/>
      <c r="N37522"/>
      <c r="O37522" s="24"/>
      <c r="P37522"/>
      <c r="Q37522" s="24"/>
      <c r="R37522"/>
      <c r="S37522"/>
      <c r="T37522"/>
      <c r="U37522"/>
      <c r="X37522" s="60"/>
    </row>
    <row r="37523" spans="7:24" ht="15" customHeight="1">
      <c r="G37523"/>
      <c r="I37523"/>
      <c r="N37523"/>
      <c r="O37523" s="24"/>
      <c r="P37523"/>
      <c r="Q37523" s="24"/>
      <c r="R37523"/>
      <c r="S37523"/>
      <c r="T37523"/>
      <c r="U37523"/>
      <c r="X37523" s="60"/>
    </row>
    <row r="37524" spans="7:24" ht="15" customHeight="1">
      <c r="G37524"/>
      <c r="I37524"/>
      <c r="N37524"/>
      <c r="O37524" s="24"/>
      <c r="P37524"/>
      <c r="Q37524" s="24"/>
      <c r="R37524"/>
      <c r="S37524"/>
      <c r="T37524"/>
      <c r="U37524"/>
      <c r="X37524" s="60"/>
    </row>
    <row r="37525" spans="7:24" ht="15" customHeight="1">
      <c r="G37525"/>
      <c r="I37525"/>
      <c r="N37525"/>
      <c r="O37525" s="24"/>
      <c r="P37525"/>
      <c r="Q37525" s="24"/>
      <c r="R37525"/>
      <c r="S37525"/>
      <c r="T37525"/>
      <c r="U37525"/>
      <c r="X37525" s="60"/>
    </row>
    <row r="37526" spans="7:24" ht="15" customHeight="1">
      <c r="G37526"/>
      <c r="I37526"/>
      <c r="N37526"/>
      <c r="O37526" s="24"/>
      <c r="P37526"/>
      <c r="Q37526" s="24"/>
      <c r="R37526"/>
      <c r="S37526"/>
      <c r="T37526"/>
      <c r="U37526"/>
      <c r="X37526" s="60"/>
    </row>
    <row r="37527" spans="7:24" ht="15" customHeight="1">
      <c r="G37527"/>
      <c r="I37527"/>
      <c r="N37527"/>
      <c r="O37527" s="24"/>
      <c r="P37527"/>
      <c r="Q37527" s="24"/>
      <c r="R37527"/>
      <c r="S37527"/>
      <c r="T37527"/>
      <c r="U37527"/>
      <c r="X37527" s="60"/>
    </row>
    <row r="37528" spans="7:24" ht="15" customHeight="1">
      <c r="G37528"/>
      <c r="I37528"/>
      <c r="N37528"/>
      <c r="O37528" s="24"/>
      <c r="P37528"/>
      <c r="Q37528" s="24"/>
      <c r="R37528"/>
      <c r="S37528"/>
      <c r="T37528"/>
      <c r="U37528"/>
      <c r="X37528" s="60"/>
    </row>
    <row r="37529" spans="7:24" ht="15" customHeight="1">
      <c r="G37529"/>
      <c r="I37529"/>
      <c r="N37529"/>
      <c r="O37529" s="24"/>
      <c r="P37529"/>
      <c r="Q37529" s="24"/>
      <c r="R37529"/>
      <c r="S37529"/>
      <c r="T37529"/>
      <c r="U37529"/>
      <c r="X37529" s="60"/>
    </row>
    <row r="37530" spans="7:24" ht="15" customHeight="1">
      <c r="G37530"/>
      <c r="I37530"/>
      <c r="N37530"/>
      <c r="O37530" s="24"/>
      <c r="P37530"/>
      <c r="Q37530" s="24"/>
      <c r="R37530"/>
      <c r="S37530"/>
      <c r="T37530"/>
      <c r="U37530"/>
      <c r="X37530" s="60"/>
    </row>
    <row r="37531" spans="7:24" ht="15" customHeight="1">
      <c r="G37531"/>
      <c r="I37531"/>
      <c r="N37531"/>
      <c r="O37531" s="24"/>
      <c r="P37531"/>
      <c r="Q37531" s="24"/>
      <c r="R37531"/>
      <c r="S37531"/>
      <c r="T37531"/>
      <c r="U37531"/>
      <c r="X37531" s="60"/>
    </row>
    <row r="37532" spans="7:24" ht="15" customHeight="1">
      <c r="G37532"/>
      <c r="I37532"/>
      <c r="N37532"/>
      <c r="O37532" s="24"/>
      <c r="P37532"/>
      <c r="Q37532" s="24"/>
      <c r="R37532"/>
      <c r="S37532"/>
      <c r="T37532"/>
      <c r="U37532"/>
      <c r="X37532" s="60"/>
    </row>
    <row r="37533" spans="7:24" ht="15" customHeight="1">
      <c r="G37533"/>
      <c r="I37533"/>
      <c r="N37533"/>
      <c r="O37533" s="24"/>
      <c r="P37533"/>
      <c r="Q37533" s="24"/>
      <c r="R37533"/>
      <c r="S37533"/>
      <c r="T37533"/>
      <c r="U37533"/>
      <c r="X37533" s="60"/>
    </row>
    <row r="37534" spans="7:24" ht="15" customHeight="1">
      <c r="G37534"/>
      <c r="I37534"/>
      <c r="N37534"/>
      <c r="O37534" s="24"/>
      <c r="P37534"/>
      <c r="Q37534" s="24"/>
      <c r="R37534"/>
      <c r="S37534"/>
      <c r="T37534"/>
      <c r="U37534"/>
      <c r="X37534" s="60"/>
    </row>
    <row r="37535" spans="7:24" ht="15" customHeight="1">
      <c r="G37535"/>
      <c r="I37535"/>
      <c r="N37535"/>
      <c r="O37535" s="24"/>
      <c r="P37535"/>
      <c r="Q37535" s="24"/>
      <c r="R37535"/>
      <c r="S37535"/>
      <c r="T37535"/>
      <c r="U37535"/>
      <c r="X37535" s="60"/>
    </row>
    <row r="37536" spans="7:24" ht="15" customHeight="1">
      <c r="G37536"/>
      <c r="I37536"/>
      <c r="N37536"/>
      <c r="O37536" s="24"/>
      <c r="P37536"/>
      <c r="Q37536" s="24"/>
      <c r="R37536"/>
      <c r="S37536"/>
      <c r="T37536"/>
      <c r="U37536"/>
      <c r="X37536" s="60"/>
    </row>
    <row r="37537" spans="7:24" ht="15" customHeight="1">
      <c r="G37537"/>
      <c r="I37537"/>
      <c r="N37537"/>
      <c r="O37537" s="24"/>
      <c r="P37537"/>
      <c r="Q37537" s="24"/>
      <c r="R37537"/>
      <c r="S37537"/>
      <c r="T37537"/>
      <c r="U37537"/>
      <c r="X37537" s="60"/>
    </row>
    <row r="37538" spans="7:24" ht="15" customHeight="1">
      <c r="G37538"/>
      <c r="I37538"/>
      <c r="N37538"/>
      <c r="O37538" s="24"/>
      <c r="P37538"/>
      <c r="Q37538" s="24"/>
      <c r="R37538"/>
      <c r="S37538"/>
      <c r="T37538"/>
      <c r="U37538"/>
      <c r="X37538" s="60"/>
    </row>
    <row r="37539" spans="7:24" ht="15" customHeight="1">
      <c r="G37539"/>
      <c r="I37539"/>
      <c r="N37539"/>
      <c r="O37539" s="24"/>
      <c r="P37539"/>
      <c r="Q37539" s="24"/>
      <c r="R37539"/>
      <c r="S37539"/>
      <c r="T37539"/>
      <c r="U37539"/>
      <c r="X37539" s="60"/>
    </row>
    <row r="37540" spans="7:24" ht="15" customHeight="1">
      <c r="G37540"/>
      <c r="I37540"/>
      <c r="N37540"/>
      <c r="O37540" s="24"/>
      <c r="P37540"/>
      <c r="Q37540" s="24"/>
      <c r="R37540"/>
      <c r="S37540"/>
      <c r="T37540"/>
      <c r="U37540"/>
      <c r="X37540" s="60"/>
    </row>
    <row r="37541" spans="7:24" ht="15" customHeight="1">
      <c r="G37541"/>
      <c r="I37541"/>
      <c r="N37541"/>
      <c r="O37541" s="24"/>
      <c r="P37541"/>
      <c r="Q37541" s="24"/>
      <c r="R37541"/>
      <c r="S37541"/>
      <c r="T37541"/>
      <c r="U37541"/>
      <c r="X37541" s="60"/>
    </row>
    <row r="37542" spans="7:24" ht="15" customHeight="1">
      <c r="G37542"/>
      <c r="I37542"/>
      <c r="N37542"/>
      <c r="O37542" s="24"/>
      <c r="P37542"/>
      <c r="Q37542" s="24"/>
      <c r="R37542"/>
      <c r="S37542"/>
      <c r="T37542"/>
      <c r="U37542"/>
      <c r="X37542" s="60"/>
    </row>
    <row r="37543" spans="7:24" ht="15" customHeight="1">
      <c r="G37543"/>
      <c r="I37543"/>
      <c r="N37543"/>
      <c r="O37543" s="24"/>
      <c r="P37543"/>
      <c r="Q37543" s="24"/>
      <c r="R37543"/>
      <c r="S37543"/>
      <c r="T37543"/>
      <c r="U37543"/>
      <c r="X37543" s="60"/>
    </row>
    <row r="37544" spans="7:24" ht="15" customHeight="1">
      <c r="G37544"/>
      <c r="I37544"/>
      <c r="N37544"/>
      <c r="O37544" s="24"/>
      <c r="P37544"/>
      <c r="Q37544" s="24"/>
      <c r="R37544"/>
      <c r="S37544"/>
      <c r="T37544"/>
      <c r="U37544"/>
      <c r="X37544" s="60"/>
    </row>
    <row r="37545" spans="7:24" ht="15" customHeight="1">
      <c r="G37545"/>
      <c r="I37545"/>
      <c r="N37545"/>
      <c r="O37545" s="24"/>
      <c r="P37545"/>
      <c r="Q37545" s="24"/>
      <c r="R37545"/>
      <c r="S37545"/>
      <c r="T37545"/>
      <c r="U37545"/>
      <c r="X37545" s="60"/>
    </row>
    <row r="37546" spans="7:24" ht="15" customHeight="1">
      <c r="G37546"/>
      <c r="I37546"/>
      <c r="N37546"/>
      <c r="O37546" s="24"/>
      <c r="P37546"/>
      <c r="Q37546" s="24"/>
      <c r="R37546"/>
      <c r="S37546"/>
      <c r="T37546"/>
      <c r="U37546"/>
      <c r="X37546" s="60"/>
    </row>
    <row r="37547" spans="7:24" ht="15" customHeight="1">
      <c r="G37547"/>
      <c r="I37547"/>
      <c r="N37547"/>
      <c r="O37547" s="24"/>
      <c r="P37547"/>
      <c r="Q37547" s="24"/>
      <c r="R37547"/>
      <c r="S37547"/>
      <c r="T37547"/>
      <c r="U37547"/>
      <c r="X37547" s="60"/>
    </row>
    <row r="37548" spans="7:24" ht="15" customHeight="1">
      <c r="G37548"/>
      <c r="I37548"/>
      <c r="N37548"/>
      <c r="O37548" s="24"/>
      <c r="P37548"/>
      <c r="Q37548" s="24"/>
      <c r="R37548"/>
      <c r="S37548"/>
      <c r="T37548"/>
      <c r="U37548"/>
      <c r="X37548" s="60"/>
    </row>
    <row r="37549" spans="7:24" ht="15" customHeight="1">
      <c r="G37549"/>
      <c r="I37549"/>
      <c r="N37549"/>
      <c r="O37549" s="24"/>
      <c r="P37549"/>
      <c r="Q37549" s="24"/>
      <c r="R37549"/>
      <c r="S37549"/>
      <c r="T37549"/>
      <c r="U37549"/>
      <c r="X37549" s="60"/>
    </row>
    <row r="37550" spans="7:24" ht="15" customHeight="1">
      <c r="G37550"/>
      <c r="I37550"/>
      <c r="N37550"/>
      <c r="O37550" s="24"/>
      <c r="P37550"/>
      <c r="Q37550" s="24"/>
      <c r="R37550"/>
      <c r="S37550"/>
      <c r="T37550"/>
      <c r="U37550"/>
      <c r="X37550" s="60"/>
    </row>
    <row r="37551" spans="7:24" ht="15" customHeight="1">
      <c r="G37551"/>
      <c r="I37551"/>
      <c r="N37551"/>
      <c r="O37551" s="24"/>
      <c r="P37551"/>
      <c r="Q37551" s="24"/>
      <c r="R37551"/>
      <c r="S37551"/>
      <c r="T37551"/>
      <c r="U37551"/>
      <c r="X37551" s="60"/>
    </row>
    <row r="37552" spans="7:24" ht="15" customHeight="1">
      <c r="G37552"/>
      <c r="I37552"/>
      <c r="N37552"/>
      <c r="O37552" s="24"/>
      <c r="P37552"/>
      <c r="Q37552" s="24"/>
      <c r="R37552"/>
      <c r="S37552"/>
      <c r="T37552"/>
      <c r="U37552"/>
      <c r="X37552" s="60"/>
    </row>
    <row r="37553" spans="7:24" ht="15" customHeight="1">
      <c r="G37553"/>
      <c r="I37553"/>
      <c r="N37553"/>
      <c r="O37553" s="24"/>
      <c r="P37553"/>
      <c r="Q37553" s="24"/>
      <c r="R37553"/>
      <c r="S37553"/>
      <c r="T37553"/>
      <c r="U37553"/>
      <c r="X37553" s="60"/>
    </row>
    <row r="37554" spans="7:24" ht="15" customHeight="1">
      <c r="G37554"/>
      <c r="I37554"/>
      <c r="N37554"/>
      <c r="O37554" s="24"/>
      <c r="P37554"/>
      <c r="Q37554" s="24"/>
      <c r="R37554"/>
      <c r="S37554"/>
      <c r="T37554"/>
      <c r="U37554"/>
      <c r="X37554" s="60"/>
    </row>
    <row r="37555" spans="7:24" ht="15" customHeight="1">
      <c r="G37555"/>
      <c r="I37555"/>
      <c r="N37555"/>
      <c r="O37555" s="24"/>
      <c r="P37555"/>
      <c r="Q37555" s="24"/>
      <c r="R37555"/>
      <c r="S37555"/>
      <c r="T37555"/>
      <c r="U37555"/>
      <c r="X37555" s="60"/>
    </row>
    <row r="37556" spans="7:24" ht="15" customHeight="1">
      <c r="G37556"/>
      <c r="I37556"/>
      <c r="N37556"/>
      <c r="O37556" s="24"/>
      <c r="P37556"/>
      <c r="Q37556" s="24"/>
      <c r="R37556"/>
      <c r="S37556"/>
      <c r="T37556"/>
      <c r="U37556"/>
      <c r="X37556" s="60"/>
    </row>
    <row r="37557" spans="7:24" ht="15" customHeight="1">
      <c r="G37557"/>
      <c r="I37557"/>
      <c r="N37557"/>
      <c r="O37557" s="24"/>
      <c r="P37557"/>
      <c r="Q37557" s="24"/>
      <c r="R37557"/>
      <c r="S37557"/>
      <c r="T37557"/>
      <c r="U37557"/>
      <c r="X37557" s="60"/>
    </row>
    <row r="37558" spans="7:24" ht="15" customHeight="1">
      <c r="G37558"/>
      <c r="I37558"/>
      <c r="N37558"/>
      <c r="O37558" s="24"/>
      <c r="P37558"/>
      <c r="Q37558" s="24"/>
      <c r="R37558"/>
      <c r="S37558"/>
      <c r="T37558"/>
      <c r="U37558"/>
      <c r="X37558" s="60"/>
    </row>
    <row r="37559" spans="7:24" ht="15" customHeight="1">
      <c r="G37559"/>
      <c r="I37559"/>
      <c r="N37559"/>
      <c r="O37559" s="24"/>
      <c r="P37559"/>
      <c r="Q37559" s="24"/>
      <c r="R37559"/>
      <c r="S37559"/>
      <c r="T37559"/>
      <c r="U37559"/>
      <c r="X37559" s="60"/>
    </row>
    <row r="37560" spans="7:24" ht="15" customHeight="1">
      <c r="G37560"/>
      <c r="I37560"/>
      <c r="N37560"/>
      <c r="O37560" s="24"/>
      <c r="P37560"/>
      <c r="Q37560" s="24"/>
      <c r="R37560"/>
      <c r="S37560"/>
      <c r="T37560"/>
      <c r="U37560"/>
      <c r="X37560" s="60"/>
    </row>
    <row r="37561" spans="7:24" ht="15" customHeight="1">
      <c r="G37561"/>
      <c r="I37561"/>
      <c r="N37561"/>
      <c r="O37561" s="24"/>
      <c r="P37561"/>
      <c r="Q37561" s="24"/>
      <c r="R37561"/>
      <c r="S37561"/>
      <c r="T37561"/>
      <c r="U37561"/>
      <c r="X37561" s="60"/>
    </row>
    <row r="37562" spans="7:24" ht="15" customHeight="1">
      <c r="G37562"/>
      <c r="I37562"/>
      <c r="N37562"/>
      <c r="O37562" s="24"/>
      <c r="P37562"/>
      <c r="Q37562" s="24"/>
      <c r="R37562"/>
      <c r="S37562"/>
      <c r="T37562"/>
      <c r="U37562"/>
      <c r="X37562" s="60"/>
    </row>
    <row r="37563" spans="7:24" ht="15" customHeight="1">
      <c r="G37563"/>
      <c r="I37563"/>
      <c r="N37563"/>
      <c r="O37563" s="24"/>
      <c r="P37563"/>
      <c r="Q37563" s="24"/>
      <c r="R37563"/>
      <c r="S37563"/>
      <c r="T37563"/>
      <c r="U37563"/>
      <c r="X37563" s="60"/>
    </row>
    <row r="37564" spans="7:24" ht="15" customHeight="1">
      <c r="G37564"/>
      <c r="I37564"/>
      <c r="N37564"/>
      <c r="O37564" s="24"/>
      <c r="P37564"/>
      <c r="Q37564" s="24"/>
      <c r="R37564"/>
      <c r="S37564"/>
      <c r="T37564"/>
      <c r="U37564"/>
      <c r="X37564" s="60"/>
    </row>
    <row r="37565" spans="7:24" ht="15" customHeight="1">
      <c r="G37565"/>
      <c r="I37565"/>
      <c r="N37565"/>
      <c r="O37565" s="24"/>
      <c r="P37565"/>
      <c r="Q37565" s="24"/>
      <c r="R37565"/>
      <c r="S37565"/>
      <c r="T37565"/>
      <c r="U37565"/>
      <c r="X37565" s="60"/>
    </row>
    <row r="37566" spans="7:24" ht="15" customHeight="1">
      <c r="G37566"/>
      <c r="I37566"/>
      <c r="N37566"/>
      <c r="O37566" s="24"/>
      <c r="P37566"/>
      <c r="Q37566" s="24"/>
      <c r="R37566"/>
      <c r="S37566"/>
      <c r="T37566"/>
      <c r="U37566"/>
      <c r="X37566" s="60"/>
    </row>
    <row r="37567" spans="7:24" ht="15" customHeight="1">
      <c r="G37567"/>
      <c r="I37567"/>
      <c r="N37567"/>
      <c r="O37567" s="24"/>
      <c r="P37567"/>
      <c r="Q37567" s="24"/>
      <c r="R37567"/>
      <c r="S37567"/>
      <c r="T37567"/>
      <c r="U37567"/>
      <c r="X37567" s="60"/>
    </row>
    <row r="37568" spans="7:24" ht="15" customHeight="1">
      <c r="G37568"/>
      <c r="I37568"/>
      <c r="N37568"/>
      <c r="O37568" s="24"/>
      <c r="P37568"/>
      <c r="Q37568" s="24"/>
      <c r="R37568"/>
      <c r="S37568"/>
      <c r="T37568"/>
      <c r="U37568"/>
      <c r="X37568" s="60"/>
    </row>
    <row r="37569" spans="7:24" ht="15" customHeight="1">
      <c r="G37569"/>
      <c r="I37569"/>
      <c r="N37569"/>
      <c r="O37569" s="24"/>
      <c r="P37569"/>
      <c r="Q37569" s="24"/>
      <c r="R37569"/>
      <c r="S37569"/>
      <c r="T37569"/>
      <c r="U37569"/>
      <c r="X37569" s="60"/>
    </row>
    <row r="37570" spans="7:24" ht="15" customHeight="1">
      <c r="G37570"/>
      <c r="I37570"/>
      <c r="N37570"/>
      <c r="O37570" s="24"/>
      <c r="P37570"/>
      <c r="Q37570" s="24"/>
      <c r="R37570"/>
      <c r="S37570"/>
      <c r="T37570"/>
      <c r="U37570"/>
      <c r="X37570" s="60"/>
    </row>
    <row r="37571" spans="7:24" ht="15" customHeight="1">
      <c r="G37571"/>
      <c r="I37571"/>
      <c r="N37571"/>
      <c r="O37571" s="24"/>
      <c r="P37571"/>
      <c r="Q37571" s="24"/>
      <c r="R37571"/>
      <c r="S37571"/>
      <c r="T37571"/>
      <c r="U37571"/>
      <c r="X37571" s="60"/>
    </row>
    <row r="37572" spans="7:24" ht="15" customHeight="1">
      <c r="G37572"/>
      <c r="I37572"/>
      <c r="N37572"/>
      <c r="O37572" s="24"/>
      <c r="P37572"/>
      <c r="Q37572" s="24"/>
      <c r="R37572"/>
      <c r="S37572"/>
      <c r="T37572"/>
      <c r="U37572"/>
      <c r="X37572" s="60"/>
    </row>
    <row r="37573" spans="7:24" ht="15" customHeight="1">
      <c r="G37573"/>
      <c r="I37573"/>
      <c r="N37573"/>
      <c r="O37573" s="24"/>
      <c r="P37573"/>
      <c r="Q37573" s="24"/>
      <c r="R37573"/>
      <c r="S37573"/>
      <c r="T37573"/>
      <c r="U37573"/>
      <c r="X37573" s="60"/>
    </row>
    <row r="37574" spans="7:24" ht="15" customHeight="1">
      <c r="G37574"/>
      <c r="I37574"/>
      <c r="N37574"/>
      <c r="O37574" s="24"/>
      <c r="P37574"/>
      <c r="Q37574" s="24"/>
      <c r="R37574"/>
      <c r="S37574"/>
      <c r="T37574"/>
      <c r="U37574"/>
      <c r="X37574" s="60"/>
    </row>
    <row r="37575" spans="7:24" ht="15" customHeight="1">
      <c r="G37575"/>
      <c r="I37575"/>
      <c r="N37575"/>
      <c r="O37575" s="24"/>
      <c r="P37575"/>
      <c r="Q37575" s="24"/>
      <c r="R37575"/>
      <c r="S37575"/>
      <c r="T37575"/>
      <c r="U37575"/>
      <c r="X37575" s="60"/>
    </row>
    <row r="37576" spans="7:24" ht="15" customHeight="1">
      <c r="G37576"/>
      <c r="I37576"/>
      <c r="N37576"/>
      <c r="O37576" s="24"/>
      <c r="P37576"/>
      <c r="Q37576" s="24"/>
      <c r="R37576"/>
      <c r="S37576"/>
      <c r="T37576"/>
      <c r="U37576"/>
      <c r="X37576" s="60"/>
    </row>
    <row r="37577" spans="7:24" ht="15" customHeight="1">
      <c r="G37577"/>
      <c r="I37577"/>
      <c r="N37577"/>
      <c r="O37577" s="24"/>
      <c r="P37577"/>
      <c r="Q37577" s="24"/>
      <c r="R37577"/>
      <c r="S37577"/>
      <c r="T37577"/>
      <c r="U37577"/>
      <c r="X37577" s="60"/>
    </row>
    <row r="37578" spans="7:24" ht="15" customHeight="1">
      <c r="G37578"/>
      <c r="I37578"/>
      <c r="N37578"/>
      <c r="O37578" s="24"/>
      <c r="P37578"/>
      <c r="Q37578" s="24"/>
      <c r="R37578"/>
      <c r="S37578"/>
      <c r="T37578"/>
      <c r="U37578"/>
      <c r="X37578" s="60"/>
    </row>
    <row r="37579" spans="7:24" ht="15" customHeight="1">
      <c r="G37579"/>
      <c r="I37579"/>
      <c r="N37579"/>
      <c r="O37579" s="24"/>
      <c r="P37579"/>
      <c r="Q37579" s="24"/>
      <c r="R37579"/>
      <c r="S37579"/>
      <c r="T37579"/>
      <c r="U37579"/>
      <c r="X37579" s="60"/>
    </row>
    <row r="37580" spans="7:24" ht="15" customHeight="1">
      <c r="G37580"/>
      <c r="I37580"/>
      <c r="N37580"/>
      <c r="O37580" s="24"/>
      <c r="P37580"/>
      <c r="Q37580" s="24"/>
      <c r="R37580"/>
      <c r="S37580"/>
      <c r="T37580"/>
      <c r="U37580"/>
      <c r="X37580" s="60"/>
    </row>
    <row r="37581" spans="7:24" ht="15" customHeight="1">
      <c r="G37581"/>
      <c r="I37581"/>
      <c r="N37581"/>
      <c r="O37581" s="24"/>
      <c r="P37581"/>
      <c r="Q37581" s="24"/>
      <c r="R37581"/>
      <c r="S37581"/>
      <c r="T37581"/>
      <c r="U37581"/>
      <c r="X37581" s="60"/>
    </row>
    <row r="37582" spans="7:24" ht="15" customHeight="1">
      <c r="G37582"/>
      <c r="I37582"/>
      <c r="N37582"/>
      <c r="O37582" s="24"/>
      <c r="P37582"/>
      <c r="Q37582" s="24"/>
      <c r="R37582"/>
      <c r="S37582"/>
      <c r="T37582"/>
      <c r="U37582"/>
      <c r="X37582" s="60"/>
    </row>
    <row r="37583" spans="7:24" ht="15" customHeight="1">
      <c r="G37583"/>
      <c r="I37583"/>
      <c r="N37583"/>
      <c r="O37583" s="24"/>
      <c r="P37583"/>
      <c r="Q37583" s="24"/>
      <c r="R37583"/>
      <c r="S37583"/>
      <c r="T37583"/>
      <c r="U37583"/>
      <c r="X37583" s="60"/>
    </row>
    <row r="37584" spans="7:24" ht="15" customHeight="1">
      <c r="G37584"/>
      <c r="I37584"/>
      <c r="N37584"/>
      <c r="O37584" s="24"/>
      <c r="P37584"/>
      <c r="Q37584" s="24"/>
      <c r="R37584"/>
      <c r="S37584"/>
      <c r="T37584"/>
      <c r="U37584"/>
      <c r="X37584" s="60"/>
    </row>
    <row r="37585" spans="7:24" ht="15" customHeight="1">
      <c r="G37585"/>
      <c r="I37585"/>
      <c r="N37585"/>
      <c r="O37585" s="24"/>
      <c r="P37585"/>
      <c r="Q37585" s="24"/>
      <c r="R37585"/>
      <c r="S37585"/>
      <c r="T37585"/>
      <c r="U37585"/>
      <c r="X37585" s="60"/>
    </row>
    <row r="37586" spans="7:24" ht="15" customHeight="1">
      <c r="G37586"/>
      <c r="I37586"/>
      <c r="N37586"/>
      <c r="O37586" s="24"/>
      <c r="P37586"/>
      <c r="Q37586" s="24"/>
      <c r="R37586"/>
      <c r="S37586"/>
      <c r="T37586"/>
      <c r="U37586"/>
      <c r="X37586" s="60"/>
    </row>
    <row r="37587" spans="7:24" ht="15" customHeight="1">
      <c r="G37587"/>
      <c r="I37587"/>
      <c r="N37587"/>
      <c r="O37587" s="24"/>
      <c r="P37587"/>
      <c r="Q37587" s="24"/>
      <c r="R37587"/>
      <c r="S37587"/>
      <c r="T37587"/>
      <c r="U37587"/>
      <c r="X37587" s="60"/>
    </row>
    <row r="37588" spans="7:24" ht="15" customHeight="1">
      <c r="G37588"/>
      <c r="I37588"/>
      <c r="N37588"/>
      <c r="O37588" s="24"/>
      <c r="P37588"/>
      <c r="Q37588" s="24"/>
      <c r="R37588"/>
      <c r="S37588"/>
      <c r="T37588"/>
      <c r="U37588"/>
      <c r="X37588" s="60"/>
    </row>
    <row r="37589" spans="7:24" ht="15" customHeight="1">
      <c r="G37589"/>
      <c r="I37589"/>
      <c r="N37589"/>
      <c r="O37589" s="24"/>
      <c r="P37589"/>
      <c r="Q37589" s="24"/>
      <c r="R37589"/>
      <c r="S37589"/>
      <c r="T37589"/>
      <c r="U37589"/>
      <c r="X37589" s="60"/>
    </row>
    <row r="37590" spans="7:24" ht="15" customHeight="1">
      <c r="G37590"/>
      <c r="I37590"/>
      <c r="N37590"/>
      <c r="O37590" s="24"/>
      <c r="P37590"/>
      <c r="Q37590" s="24"/>
      <c r="R37590"/>
      <c r="S37590"/>
      <c r="T37590"/>
      <c r="U37590"/>
      <c r="X37590" s="60"/>
    </row>
    <row r="37591" spans="7:24" ht="15" customHeight="1">
      <c r="G37591"/>
      <c r="I37591"/>
      <c r="N37591"/>
      <c r="O37591" s="24"/>
      <c r="P37591"/>
      <c r="Q37591" s="24"/>
      <c r="R37591"/>
      <c r="S37591"/>
      <c r="T37591"/>
      <c r="U37591"/>
      <c r="X37591" s="60"/>
    </row>
    <row r="37592" spans="7:24" ht="15" customHeight="1">
      <c r="G37592"/>
      <c r="I37592"/>
      <c r="N37592"/>
      <c r="O37592" s="24"/>
      <c r="P37592"/>
      <c r="Q37592" s="24"/>
      <c r="R37592"/>
      <c r="S37592"/>
      <c r="T37592"/>
      <c r="U37592"/>
      <c r="X37592" s="60"/>
    </row>
    <row r="37593" spans="7:24" ht="15" customHeight="1">
      <c r="G37593"/>
      <c r="I37593"/>
      <c r="N37593"/>
      <c r="O37593" s="24"/>
      <c r="P37593"/>
      <c r="Q37593" s="24"/>
      <c r="R37593"/>
      <c r="S37593"/>
      <c r="T37593"/>
      <c r="U37593"/>
      <c r="X37593" s="60"/>
    </row>
    <row r="37594" spans="7:24" ht="15" customHeight="1">
      <c r="G37594"/>
      <c r="I37594"/>
      <c r="N37594"/>
      <c r="O37594" s="24"/>
      <c r="P37594"/>
      <c r="Q37594" s="24"/>
      <c r="R37594"/>
      <c r="S37594"/>
      <c r="T37594"/>
      <c r="U37594"/>
      <c r="X37594" s="60"/>
    </row>
    <row r="37595" spans="7:24" ht="15" customHeight="1">
      <c r="G37595"/>
      <c r="I37595"/>
      <c r="N37595"/>
      <c r="O37595" s="24"/>
      <c r="P37595"/>
      <c r="Q37595" s="24"/>
      <c r="R37595"/>
      <c r="S37595"/>
      <c r="T37595"/>
      <c r="U37595"/>
      <c r="X37595" s="60"/>
    </row>
    <row r="37596" spans="7:24" ht="15" customHeight="1">
      <c r="G37596"/>
      <c r="I37596"/>
      <c r="N37596"/>
      <c r="O37596" s="24"/>
      <c r="P37596"/>
      <c r="Q37596" s="24"/>
      <c r="R37596"/>
      <c r="S37596"/>
      <c r="T37596"/>
      <c r="U37596"/>
      <c r="X37596" s="60"/>
    </row>
    <row r="37597" spans="7:24" ht="15" customHeight="1">
      <c r="G37597"/>
      <c r="I37597"/>
      <c r="N37597"/>
      <c r="O37597" s="24"/>
      <c r="P37597"/>
      <c r="Q37597" s="24"/>
      <c r="R37597"/>
      <c r="S37597"/>
      <c r="T37597"/>
      <c r="U37597"/>
      <c r="X37597" s="60"/>
    </row>
    <row r="37598" spans="7:24" ht="15" customHeight="1">
      <c r="G37598"/>
      <c r="I37598"/>
      <c r="N37598"/>
      <c r="O37598" s="24"/>
      <c r="P37598"/>
      <c r="Q37598" s="24"/>
      <c r="R37598"/>
      <c r="S37598"/>
      <c r="T37598"/>
      <c r="U37598"/>
      <c r="X37598" s="60"/>
    </row>
    <row r="37599" spans="7:24" ht="15" customHeight="1">
      <c r="G37599"/>
      <c r="I37599"/>
      <c r="N37599"/>
      <c r="O37599" s="24"/>
      <c r="P37599"/>
      <c r="Q37599" s="24"/>
      <c r="R37599"/>
      <c r="S37599"/>
      <c r="T37599"/>
      <c r="U37599"/>
      <c r="X37599" s="60"/>
    </row>
    <row r="37600" spans="7:24" ht="15" customHeight="1">
      <c r="G37600"/>
      <c r="I37600"/>
      <c r="N37600"/>
      <c r="O37600" s="24"/>
      <c r="P37600"/>
      <c r="Q37600" s="24"/>
      <c r="R37600"/>
      <c r="S37600"/>
      <c r="T37600"/>
      <c r="U37600"/>
      <c r="X37600" s="60"/>
    </row>
    <row r="37601" spans="7:24" ht="15" customHeight="1">
      <c r="G37601"/>
      <c r="I37601"/>
      <c r="N37601"/>
      <c r="O37601" s="24"/>
      <c r="P37601"/>
      <c r="Q37601" s="24"/>
      <c r="R37601"/>
      <c r="S37601"/>
      <c r="T37601"/>
      <c r="U37601"/>
      <c r="X37601" s="60"/>
    </row>
    <row r="37602" spans="7:24" ht="15" customHeight="1">
      <c r="G37602"/>
      <c r="I37602"/>
      <c r="N37602"/>
      <c r="O37602" s="24"/>
      <c r="P37602"/>
      <c r="Q37602" s="24"/>
      <c r="R37602"/>
      <c r="S37602"/>
      <c r="T37602"/>
      <c r="U37602"/>
      <c r="X37602" s="60"/>
    </row>
    <row r="37603" spans="7:24" ht="15" customHeight="1">
      <c r="G37603"/>
      <c r="I37603"/>
      <c r="N37603"/>
      <c r="O37603" s="24"/>
      <c r="P37603"/>
      <c r="Q37603" s="24"/>
      <c r="R37603"/>
      <c r="S37603"/>
      <c r="T37603"/>
      <c r="U37603"/>
      <c r="X37603" s="60"/>
    </row>
    <row r="37604" spans="7:24" ht="15" customHeight="1">
      <c r="G37604"/>
      <c r="I37604"/>
      <c r="N37604"/>
      <c r="O37604" s="24"/>
      <c r="P37604"/>
      <c r="Q37604" s="24"/>
      <c r="R37604"/>
      <c r="S37604"/>
      <c r="T37604"/>
      <c r="U37604"/>
      <c r="X37604" s="60"/>
    </row>
    <row r="37605" spans="7:24" ht="15" customHeight="1">
      <c r="G37605"/>
      <c r="I37605"/>
      <c r="N37605"/>
      <c r="O37605" s="24"/>
      <c r="P37605"/>
      <c r="Q37605" s="24"/>
      <c r="R37605"/>
      <c r="S37605"/>
      <c r="T37605"/>
      <c r="U37605"/>
      <c r="X37605" s="60"/>
    </row>
    <row r="37606" spans="7:24" ht="15" customHeight="1">
      <c r="G37606"/>
      <c r="I37606"/>
      <c r="N37606"/>
      <c r="O37606" s="24"/>
      <c r="P37606"/>
      <c r="Q37606" s="24"/>
      <c r="R37606"/>
      <c r="S37606"/>
      <c r="T37606"/>
      <c r="U37606"/>
      <c r="X37606" s="60"/>
    </row>
    <row r="37607" spans="7:24" ht="15" customHeight="1">
      <c r="G37607"/>
      <c r="I37607"/>
      <c r="N37607"/>
      <c r="O37607" s="24"/>
      <c r="P37607"/>
      <c r="Q37607" s="24"/>
      <c r="R37607"/>
      <c r="S37607"/>
      <c r="T37607"/>
      <c r="U37607"/>
      <c r="X37607" s="60"/>
    </row>
    <row r="37608" spans="7:24" ht="15" customHeight="1">
      <c r="G37608"/>
      <c r="I37608"/>
      <c r="N37608"/>
      <c r="O37608" s="24"/>
      <c r="P37608"/>
      <c r="Q37608" s="24"/>
      <c r="R37608"/>
      <c r="S37608"/>
      <c r="T37608"/>
      <c r="U37608"/>
      <c r="X37608" s="60"/>
    </row>
    <row r="37609" spans="7:24" ht="15" customHeight="1">
      <c r="G37609"/>
      <c r="I37609"/>
      <c r="N37609"/>
      <c r="O37609" s="24"/>
      <c r="P37609"/>
      <c r="Q37609" s="24"/>
      <c r="R37609"/>
      <c r="S37609"/>
      <c r="T37609"/>
      <c r="U37609"/>
      <c r="X37609" s="60"/>
    </row>
    <row r="37610" spans="7:24" ht="15" customHeight="1">
      <c r="G37610"/>
      <c r="I37610"/>
      <c r="N37610"/>
      <c r="O37610" s="24"/>
      <c r="P37610"/>
      <c r="Q37610" s="24"/>
      <c r="R37610"/>
      <c r="S37610"/>
      <c r="T37610"/>
      <c r="U37610"/>
      <c r="X37610" s="60"/>
    </row>
    <row r="37611" spans="7:24" ht="15" customHeight="1">
      <c r="G37611"/>
      <c r="I37611"/>
      <c r="N37611"/>
      <c r="O37611" s="24"/>
      <c r="P37611"/>
      <c r="Q37611" s="24"/>
      <c r="R37611"/>
      <c r="S37611"/>
      <c r="T37611"/>
      <c r="U37611"/>
      <c r="X37611" s="60"/>
    </row>
    <row r="37612" spans="7:24" ht="15" customHeight="1">
      <c r="G37612"/>
      <c r="I37612"/>
      <c r="N37612"/>
      <c r="O37612" s="24"/>
      <c r="P37612"/>
      <c r="Q37612" s="24"/>
      <c r="R37612"/>
      <c r="S37612"/>
      <c r="T37612"/>
      <c r="U37612"/>
      <c r="X37612" s="60"/>
    </row>
    <row r="37613" spans="7:24" ht="15" customHeight="1">
      <c r="G37613"/>
      <c r="I37613"/>
      <c r="N37613"/>
      <c r="O37613" s="24"/>
      <c r="P37613"/>
      <c r="Q37613" s="24"/>
      <c r="R37613"/>
      <c r="S37613"/>
      <c r="T37613"/>
      <c r="U37613"/>
      <c r="X37613" s="60"/>
    </row>
    <row r="37614" spans="7:24" ht="15" customHeight="1">
      <c r="G37614"/>
      <c r="I37614"/>
      <c r="N37614"/>
      <c r="O37614" s="24"/>
      <c r="P37614"/>
      <c r="Q37614" s="24"/>
      <c r="R37614"/>
      <c r="S37614"/>
      <c r="T37614"/>
      <c r="U37614"/>
      <c r="X37614" s="60"/>
    </row>
    <row r="37615" spans="7:24" ht="15" customHeight="1">
      <c r="G37615"/>
      <c r="I37615"/>
      <c r="N37615"/>
      <c r="O37615" s="24"/>
      <c r="P37615"/>
      <c r="Q37615" s="24"/>
      <c r="R37615"/>
      <c r="S37615"/>
      <c r="T37615"/>
      <c r="U37615"/>
      <c r="X37615" s="60"/>
    </row>
    <row r="37616" spans="7:24" ht="15" customHeight="1">
      <c r="G37616"/>
      <c r="I37616"/>
      <c r="N37616"/>
      <c r="O37616" s="24"/>
      <c r="P37616"/>
      <c r="Q37616" s="24"/>
      <c r="R37616"/>
      <c r="S37616"/>
      <c r="T37616"/>
      <c r="U37616"/>
      <c r="X37616" s="60"/>
    </row>
    <row r="37617" spans="7:24" ht="15" customHeight="1">
      <c r="G37617"/>
      <c r="I37617"/>
      <c r="N37617"/>
      <c r="O37617" s="24"/>
      <c r="P37617"/>
      <c r="Q37617" s="24"/>
      <c r="R37617"/>
      <c r="S37617"/>
      <c r="T37617"/>
      <c r="U37617"/>
      <c r="X37617" s="60"/>
    </row>
    <row r="37618" spans="7:24" ht="15" customHeight="1">
      <c r="G37618"/>
      <c r="I37618"/>
      <c r="N37618"/>
      <c r="O37618" s="24"/>
      <c r="P37618"/>
      <c r="Q37618" s="24"/>
      <c r="R37618"/>
      <c r="S37618"/>
      <c r="T37618"/>
      <c r="U37618"/>
      <c r="X37618" s="60"/>
    </row>
    <row r="37619" spans="7:24" ht="15" customHeight="1">
      <c r="G37619"/>
      <c r="I37619"/>
      <c r="N37619"/>
      <c r="O37619" s="24"/>
      <c r="P37619"/>
      <c r="Q37619" s="24"/>
      <c r="R37619"/>
      <c r="S37619"/>
      <c r="T37619"/>
      <c r="U37619"/>
      <c r="X37619" s="60"/>
    </row>
    <row r="37620" spans="7:24" ht="15" customHeight="1">
      <c r="G37620"/>
      <c r="I37620"/>
      <c r="N37620"/>
      <c r="O37620" s="24"/>
      <c r="P37620"/>
      <c r="Q37620" s="24"/>
      <c r="R37620"/>
      <c r="S37620"/>
      <c r="T37620"/>
      <c r="U37620"/>
      <c r="X37620" s="60"/>
    </row>
    <row r="37621" spans="7:24" ht="15" customHeight="1">
      <c r="G37621"/>
      <c r="I37621"/>
      <c r="N37621"/>
      <c r="O37621" s="24"/>
      <c r="P37621"/>
      <c r="Q37621" s="24"/>
      <c r="R37621"/>
      <c r="S37621"/>
      <c r="T37621"/>
      <c r="U37621"/>
      <c r="X37621" s="60"/>
    </row>
    <row r="37622" spans="7:24" ht="15" customHeight="1">
      <c r="G37622"/>
      <c r="I37622"/>
      <c r="N37622"/>
      <c r="O37622" s="24"/>
      <c r="P37622"/>
      <c r="Q37622" s="24"/>
      <c r="R37622"/>
      <c r="S37622"/>
      <c r="T37622"/>
      <c r="U37622"/>
      <c r="X37622" s="60"/>
    </row>
    <row r="37623" spans="7:24" ht="15" customHeight="1">
      <c r="G37623"/>
      <c r="I37623"/>
      <c r="N37623"/>
      <c r="O37623" s="24"/>
      <c r="P37623"/>
      <c r="Q37623" s="24"/>
      <c r="R37623"/>
      <c r="S37623"/>
      <c r="T37623"/>
      <c r="U37623"/>
      <c r="X37623" s="60"/>
    </row>
    <row r="37624" spans="7:24" ht="15" customHeight="1">
      <c r="G37624"/>
      <c r="I37624"/>
      <c r="N37624"/>
      <c r="O37624" s="24"/>
      <c r="P37624"/>
      <c r="Q37624" s="24"/>
      <c r="R37624"/>
      <c r="S37624"/>
      <c r="T37624"/>
      <c r="U37624"/>
      <c r="X37624" s="60"/>
    </row>
    <row r="37625" spans="7:24" ht="15" customHeight="1">
      <c r="G37625"/>
      <c r="I37625"/>
      <c r="N37625"/>
      <c r="O37625" s="24"/>
      <c r="P37625"/>
      <c r="Q37625" s="24"/>
      <c r="R37625"/>
      <c r="S37625"/>
      <c r="T37625"/>
      <c r="U37625"/>
      <c r="X37625" s="60"/>
    </row>
    <row r="37626" spans="7:24" ht="15" customHeight="1">
      <c r="G37626"/>
      <c r="I37626"/>
      <c r="N37626"/>
      <c r="O37626" s="24"/>
      <c r="P37626"/>
      <c r="Q37626" s="24"/>
      <c r="R37626"/>
      <c r="S37626"/>
      <c r="T37626"/>
      <c r="U37626"/>
      <c r="X37626" s="60"/>
    </row>
    <row r="37627" spans="7:24" ht="15" customHeight="1">
      <c r="G37627"/>
      <c r="I37627"/>
      <c r="N37627"/>
      <c r="O37627" s="24"/>
      <c r="P37627"/>
      <c r="Q37627" s="24"/>
      <c r="R37627"/>
      <c r="S37627"/>
      <c r="T37627"/>
      <c r="U37627"/>
      <c r="X37627" s="60"/>
    </row>
    <row r="37628" spans="7:24" ht="15" customHeight="1">
      <c r="G37628"/>
      <c r="I37628"/>
      <c r="N37628"/>
      <c r="O37628" s="24"/>
      <c r="P37628"/>
      <c r="Q37628" s="24"/>
      <c r="R37628"/>
      <c r="S37628"/>
      <c r="T37628"/>
      <c r="U37628"/>
      <c r="X37628" s="60"/>
    </row>
    <row r="37629" spans="7:24" ht="15" customHeight="1">
      <c r="G37629"/>
      <c r="I37629"/>
      <c r="N37629"/>
      <c r="O37629" s="24"/>
      <c r="P37629"/>
      <c r="Q37629" s="24"/>
      <c r="R37629"/>
      <c r="S37629"/>
      <c r="T37629"/>
      <c r="U37629"/>
      <c r="X37629" s="60"/>
    </row>
    <row r="37630" spans="7:24" ht="15" customHeight="1">
      <c r="G37630"/>
      <c r="I37630"/>
      <c r="N37630"/>
      <c r="O37630" s="24"/>
      <c r="P37630"/>
      <c r="Q37630" s="24"/>
      <c r="R37630"/>
      <c r="S37630"/>
      <c r="T37630"/>
      <c r="U37630"/>
      <c r="X37630" s="60"/>
    </row>
    <row r="37631" spans="7:24" ht="15" customHeight="1">
      <c r="G37631"/>
      <c r="I37631"/>
      <c r="N37631"/>
      <c r="O37631" s="24"/>
      <c r="P37631"/>
      <c r="Q37631" s="24"/>
      <c r="R37631"/>
      <c r="S37631"/>
      <c r="T37631"/>
      <c r="U37631"/>
      <c r="X37631" s="60"/>
    </row>
    <row r="37632" spans="7:24" ht="15" customHeight="1">
      <c r="G37632"/>
      <c r="I37632"/>
      <c r="N37632"/>
      <c r="O37632" s="24"/>
      <c r="P37632"/>
      <c r="Q37632" s="24"/>
      <c r="R37632"/>
      <c r="S37632"/>
      <c r="T37632"/>
      <c r="U37632"/>
      <c r="X37632" s="60"/>
    </row>
    <row r="37633" spans="7:24" ht="15" customHeight="1">
      <c r="G37633"/>
      <c r="I37633"/>
      <c r="N37633"/>
      <c r="O37633" s="24"/>
      <c r="P37633"/>
      <c r="Q37633" s="24"/>
      <c r="R37633"/>
      <c r="S37633"/>
      <c r="T37633"/>
      <c r="U37633"/>
      <c r="X37633" s="60"/>
    </row>
    <row r="37634" spans="7:24" ht="15" customHeight="1">
      <c r="G37634"/>
      <c r="I37634"/>
      <c r="N37634"/>
      <c r="O37634" s="24"/>
      <c r="P37634"/>
      <c r="Q37634" s="24"/>
      <c r="R37634"/>
      <c r="S37634"/>
      <c r="T37634"/>
      <c r="U37634"/>
      <c r="X37634" s="60"/>
    </row>
    <row r="37635" spans="7:24" ht="15" customHeight="1">
      <c r="G37635"/>
      <c r="I37635"/>
      <c r="N37635"/>
      <c r="O37635" s="24"/>
      <c r="P37635"/>
      <c r="Q37635" s="24"/>
      <c r="R37635"/>
      <c r="S37635"/>
      <c r="T37635"/>
      <c r="U37635"/>
      <c r="X37635" s="60"/>
    </row>
    <row r="37636" spans="7:24" ht="15" customHeight="1">
      <c r="G37636"/>
      <c r="I37636"/>
      <c r="N37636"/>
      <c r="O37636" s="24"/>
      <c r="P37636"/>
      <c r="Q37636" s="24"/>
      <c r="R37636"/>
      <c r="S37636"/>
      <c r="T37636"/>
      <c r="U37636"/>
      <c r="X37636" s="60"/>
    </row>
    <row r="37637" spans="7:24" ht="15" customHeight="1">
      <c r="G37637"/>
      <c r="I37637"/>
      <c r="N37637"/>
      <c r="O37637" s="24"/>
      <c r="P37637"/>
      <c r="Q37637" s="24"/>
      <c r="R37637"/>
      <c r="S37637"/>
      <c r="T37637"/>
      <c r="U37637"/>
      <c r="X37637" s="60"/>
    </row>
    <row r="37638" spans="7:24" ht="15" customHeight="1">
      <c r="G37638"/>
      <c r="I37638"/>
      <c r="N37638"/>
      <c r="O37638" s="24"/>
      <c r="P37638"/>
      <c r="Q37638" s="24"/>
      <c r="R37638"/>
      <c r="S37638"/>
      <c r="T37638"/>
      <c r="U37638"/>
      <c r="X37638" s="60"/>
    </row>
    <row r="37639" spans="7:24" ht="15" customHeight="1">
      <c r="G37639"/>
      <c r="I37639"/>
      <c r="N37639"/>
      <c r="O37639" s="24"/>
      <c r="P37639"/>
      <c r="Q37639" s="24"/>
      <c r="R37639"/>
      <c r="S37639"/>
      <c r="T37639"/>
      <c r="U37639"/>
      <c r="X37639" s="60"/>
    </row>
    <row r="37640" spans="7:24" ht="15" customHeight="1">
      <c r="G37640"/>
      <c r="I37640"/>
      <c r="N37640"/>
      <c r="O37640" s="24"/>
      <c r="P37640"/>
      <c r="Q37640" s="24"/>
      <c r="R37640"/>
      <c r="S37640"/>
      <c r="T37640"/>
      <c r="U37640"/>
      <c r="X37640" s="60"/>
    </row>
    <row r="37641" spans="7:24" ht="15" customHeight="1">
      <c r="G37641"/>
      <c r="I37641"/>
      <c r="N37641"/>
      <c r="O37641" s="24"/>
      <c r="P37641"/>
      <c r="Q37641" s="24"/>
      <c r="R37641"/>
      <c r="S37641"/>
      <c r="T37641"/>
      <c r="U37641"/>
      <c r="X37641" s="60"/>
    </row>
    <row r="37642" spans="7:24" ht="15" customHeight="1">
      <c r="G37642"/>
      <c r="I37642"/>
      <c r="N37642"/>
      <c r="O37642" s="24"/>
      <c r="P37642"/>
      <c r="Q37642" s="24"/>
      <c r="R37642"/>
      <c r="S37642"/>
      <c r="T37642"/>
      <c r="U37642"/>
      <c r="X37642" s="60"/>
    </row>
    <row r="37643" spans="7:24" ht="15" customHeight="1">
      <c r="G37643"/>
      <c r="I37643"/>
      <c r="N37643"/>
      <c r="O37643" s="24"/>
      <c r="P37643"/>
      <c r="Q37643" s="24"/>
      <c r="R37643"/>
      <c r="S37643"/>
      <c r="T37643"/>
      <c r="U37643"/>
      <c r="X37643" s="60"/>
    </row>
    <row r="37644" spans="7:24" ht="15" customHeight="1">
      <c r="G37644"/>
      <c r="I37644"/>
      <c r="N37644"/>
      <c r="O37644" s="24"/>
      <c r="P37644"/>
      <c r="Q37644" s="24"/>
      <c r="R37644"/>
      <c r="S37644"/>
      <c r="T37644"/>
      <c r="U37644"/>
      <c r="X37644" s="60"/>
    </row>
    <row r="37645" spans="7:24" ht="15" customHeight="1">
      <c r="G37645"/>
      <c r="I37645"/>
      <c r="N37645"/>
      <c r="O37645" s="24"/>
      <c r="P37645"/>
      <c r="Q37645" s="24"/>
      <c r="R37645"/>
      <c r="S37645"/>
      <c r="T37645"/>
      <c r="U37645"/>
      <c r="X37645" s="60"/>
    </row>
    <row r="37646" spans="7:24" ht="15" customHeight="1">
      <c r="G37646"/>
      <c r="I37646"/>
      <c r="N37646"/>
      <c r="O37646" s="24"/>
      <c r="P37646"/>
      <c r="Q37646" s="24"/>
      <c r="R37646"/>
      <c r="S37646"/>
      <c r="T37646"/>
      <c r="U37646"/>
      <c r="X37646" s="60"/>
    </row>
    <row r="37647" spans="7:24" ht="15" customHeight="1">
      <c r="G37647"/>
      <c r="I37647"/>
      <c r="N37647"/>
      <c r="O37647" s="24"/>
      <c r="P37647"/>
      <c r="Q37647" s="24"/>
      <c r="R37647"/>
      <c r="S37647"/>
      <c r="T37647"/>
      <c r="U37647"/>
      <c r="X37647" s="60"/>
    </row>
    <row r="37648" spans="7:24" ht="15" customHeight="1">
      <c r="G37648"/>
      <c r="I37648"/>
      <c r="N37648"/>
      <c r="O37648" s="24"/>
      <c r="P37648"/>
      <c r="Q37648" s="24"/>
      <c r="R37648"/>
      <c r="S37648"/>
      <c r="T37648"/>
      <c r="U37648"/>
      <c r="X37648" s="60"/>
    </row>
    <row r="37649" spans="7:24" ht="15" customHeight="1">
      <c r="G37649"/>
      <c r="I37649"/>
      <c r="N37649"/>
      <c r="O37649" s="24"/>
      <c r="P37649"/>
      <c r="Q37649" s="24"/>
      <c r="R37649"/>
      <c r="S37649"/>
      <c r="T37649"/>
      <c r="U37649"/>
      <c r="X37649" s="60"/>
    </row>
    <row r="37650" spans="7:24" ht="15" customHeight="1">
      <c r="G37650"/>
      <c r="I37650"/>
      <c r="N37650"/>
      <c r="O37650" s="24"/>
      <c r="P37650"/>
      <c r="Q37650" s="24"/>
      <c r="R37650"/>
      <c r="S37650"/>
      <c r="T37650"/>
      <c r="U37650"/>
      <c r="X37650" s="60"/>
    </row>
    <row r="37651" spans="7:24" ht="15" customHeight="1">
      <c r="G37651"/>
      <c r="I37651"/>
      <c r="N37651"/>
      <c r="O37651" s="24"/>
      <c r="P37651"/>
      <c r="Q37651" s="24"/>
      <c r="R37651"/>
      <c r="S37651"/>
      <c r="T37651"/>
      <c r="U37651"/>
      <c r="X37651" s="60"/>
    </row>
    <row r="37652" spans="7:24" ht="15" customHeight="1">
      <c r="G37652"/>
      <c r="I37652"/>
      <c r="N37652"/>
      <c r="O37652" s="24"/>
      <c r="P37652"/>
      <c r="Q37652" s="24"/>
      <c r="R37652"/>
      <c r="S37652"/>
      <c r="T37652"/>
      <c r="U37652"/>
      <c r="X37652" s="60"/>
    </row>
    <row r="37653" spans="7:24" ht="15" customHeight="1">
      <c r="G37653"/>
      <c r="I37653"/>
      <c r="N37653"/>
      <c r="O37653" s="24"/>
      <c r="P37653"/>
      <c r="Q37653" s="24"/>
      <c r="R37653"/>
      <c r="S37653"/>
      <c r="T37653"/>
      <c r="U37653"/>
      <c r="X37653" s="60"/>
    </row>
    <row r="37654" spans="7:24" ht="15" customHeight="1">
      <c r="G37654"/>
      <c r="I37654"/>
      <c r="N37654"/>
      <c r="O37654" s="24"/>
      <c r="P37654"/>
      <c r="Q37654" s="24"/>
      <c r="R37654"/>
      <c r="S37654"/>
      <c r="T37654"/>
      <c r="U37654"/>
      <c r="X37654" s="60"/>
    </row>
    <row r="37655" spans="7:24" ht="15" customHeight="1">
      <c r="G37655"/>
      <c r="I37655"/>
      <c r="N37655"/>
      <c r="O37655" s="24"/>
      <c r="P37655"/>
      <c r="Q37655" s="24"/>
      <c r="R37655"/>
      <c r="S37655"/>
      <c r="T37655"/>
      <c r="U37655"/>
      <c r="X37655" s="60"/>
    </row>
    <row r="37656" spans="7:24" ht="15" customHeight="1">
      <c r="G37656"/>
      <c r="I37656"/>
      <c r="N37656"/>
      <c r="O37656" s="24"/>
      <c r="P37656"/>
      <c r="Q37656" s="24"/>
      <c r="R37656"/>
      <c r="S37656"/>
      <c r="T37656"/>
      <c r="U37656"/>
      <c r="X37656" s="60"/>
    </row>
    <row r="37657" spans="7:24" ht="15" customHeight="1">
      <c r="G37657"/>
      <c r="I37657"/>
      <c r="N37657"/>
      <c r="O37657" s="24"/>
      <c r="P37657"/>
      <c r="Q37657" s="24"/>
      <c r="R37657"/>
      <c r="S37657"/>
      <c r="T37657"/>
      <c r="U37657"/>
      <c r="X37657" s="60"/>
    </row>
    <row r="37658" spans="7:24" ht="15" customHeight="1">
      <c r="G37658"/>
      <c r="I37658"/>
      <c r="N37658"/>
      <c r="O37658" s="24"/>
      <c r="P37658"/>
      <c r="Q37658" s="24"/>
      <c r="R37658"/>
      <c r="S37658"/>
      <c r="T37658"/>
      <c r="U37658"/>
      <c r="X37658" s="60"/>
    </row>
    <row r="37659" spans="7:24" ht="15" customHeight="1">
      <c r="G37659"/>
      <c r="I37659"/>
      <c r="N37659"/>
      <c r="O37659" s="24"/>
      <c r="P37659"/>
      <c r="Q37659" s="24"/>
      <c r="R37659"/>
      <c r="S37659"/>
      <c r="T37659"/>
      <c r="U37659"/>
      <c r="X37659" s="60"/>
    </row>
    <row r="37660" spans="7:24" ht="15" customHeight="1">
      <c r="G37660"/>
      <c r="I37660"/>
      <c r="N37660"/>
      <c r="O37660" s="24"/>
      <c r="P37660"/>
      <c r="Q37660" s="24"/>
      <c r="R37660"/>
      <c r="S37660"/>
      <c r="T37660"/>
      <c r="U37660"/>
      <c r="X37660" s="60"/>
    </row>
    <row r="37661" spans="7:24" ht="15" customHeight="1">
      <c r="G37661"/>
      <c r="I37661"/>
      <c r="N37661"/>
      <c r="O37661" s="24"/>
      <c r="P37661"/>
      <c r="Q37661" s="24"/>
      <c r="R37661"/>
      <c r="S37661"/>
      <c r="T37661"/>
      <c r="U37661"/>
      <c r="X37661" s="60"/>
    </row>
    <row r="37662" spans="7:24" ht="15" customHeight="1">
      <c r="G37662"/>
      <c r="I37662"/>
      <c r="N37662"/>
      <c r="O37662" s="24"/>
      <c r="P37662"/>
      <c r="Q37662" s="24"/>
      <c r="R37662"/>
      <c r="S37662"/>
      <c r="T37662"/>
      <c r="U37662"/>
      <c r="X37662" s="60"/>
    </row>
    <row r="37663" spans="7:24" ht="15" customHeight="1">
      <c r="G37663"/>
      <c r="I37663"/>
      <c r="N37663"/>
      <c r="O37663" s="24"/>
      <c r="P37663"/>
      <c r="Q37663" s="24"/>
      <c r="R37663"/>
      <c r="S37663"/>
      <c r="T37663"/>
      <c r="U37663"/>
      <c r="X37663" s="60"/>
    </row>
    <row r="37664" spans="7:24" ht="15" customHeight="1">
      <c r="G37664"/>
      <c r="I37664"/>
      <c r="N37664"/>
      <c r="O37664" s="24"/>
      <c r="P37664"/>
      <c r="Q37664" s="24"/>
      <c r="R37664"/>
      <c r="S37664"/>
      <c r="T37664"/>
      <c r="U37664"/>
      <c r="X37664" s="60"/>
    </row>
    <row r="37665" spans="7:24" ht="15" customHeight="1">
      <c r="G37665"/>
      <c r="I37665"/>
      <c r="N37665"/>
      <c r="O37665" s="24"/>
      <c r="P37665"/>
      <c r="Q37665" s="24"/>
      <c r="R37665"/>
      <c r="S37665"/>
      <c r="T37665"/>
      <c r="U37665"/>
      <c r="X37665" s="60"/>
    </row>
    <row r="37666" spans="7:24" ht="15" customHeight="1">
      <c r="G37666"/>
      <c r="I37666"/>
      <c r="N37666"/>
      <c r="O37666" s="24"/>
      <c r="P37666"/>
      <c r="Q37666" s="24"/>
      <c r="R37666"/>
      <c r="S37666"/>
      <c r="T37666"/>
      <c r="U37666"/>
      <c r="X37666" s="60"/>
    </row>
    <row r="37667" spans="7:24" ht="15" customHeight="1">
      <c r="G37667"/>
      <c r="I37667"/>
      <c r="N37667"/>
      <c r="O37667" s="24"/>
      <c r="P37667"/>
      <c r="Q37667" s="24"/>
      <c r="R37667"/>
      <c r="S37667"/>
      <c r="T37667"/>
      <c r="U37667"/>
      <c r="X37667" s="60"/>
    </row>
    <row r="37668" spans="7:24" ht="15" customHeight="1">
      <c r="G37668"/>
      <c r="I37668"/>
      <c r="N37668"/>
      <c r="O37668" s="24"/>
      <c r="P37668"/>
      <c r="Q37668" s="24"/>
      <c r="R37668"/>
      <c r="S37668"/>
      <c r="T37668"/>
      <c r="U37668"/>
      <c r="X37668" s="60"/>
    </row>
    <row r="37669" spans="7:24" ht="15" customHeight="1">
      <c r="G37669"/>
      <c r="I37669"/>
      <c r="N37669"/>
      <c r="O37669" s="24"/>
      <c r="P37669"/>
      <c r="Q37669" s="24"/>
      <c r="R37669"/>
      <c r="S37669"/>
      <c r="T37669"/>
      <c r="U37669"/>
      <c r="X37669" s="60"/>
    </row>
    <row r="37670" spans="7:24" ht="15" customHeight="1">
      <c r="G37670"/>
      <c r="I37670"/>
      <c r="N37670"/>
      <c r="O37670" s="24"/>
      <c r="P37670"/>
      <c r="Q37670" s="24"/>
      <c r="R37670"/>
      <c r="S37670"/>
      <c r="T37670"/>
      <c r="U37670"/>
      <c r="X37670" s="60"/>
    </row>
    <row r="37671" spans="7:24" ht="15" customHeight="1">
      <c r="G37671"/>
      <c r="I37671"/>
      <c r="N37671"/>
      <c r="O37671" s="24"/>
      <c r="P37671"/>
      <c r="Q37671" s="24"/>
      <c r="R37671"/>
      <c r="S37671"/>
      <c r="T37671"/>
      <c r="U37671"/>
      <c r="X37671" s="60"/>
    </row>
    <row r="37672" spans="7:24" ht="15" customHeight="1">
      <c r="G37672"/>
      <c r="I37672"/>
      <c r="N37672"/>
      <c r="O37672" s="24"/>
      <c r="P37672"/>
      <c r="Q37672" s="24"/>
      <c r="R37672"/>
      <c r="S37672"/>
      <c r="T37672"/>
      <c r="U37672"/>
      <c r="X37672" s="60"/>
    </row>
    <row r="37673" spans="7:24" ht="15" customHeight="1">
      <c r="G37673"/>
      <c r="I37673"/>
      <c r="N37673"/>
      <c r="O37673" s="24"/>
      <c r="P37673"/>
      <c r="Q37673" s="24"/>
      <c r="R37673"/>
      <c r="S37673"/>
      <c r="T37673"/>
      <c r="U37673"/>
      <c r="X37673" s="60"/>
    </row>
    <row r="37674" spans="7:24" ht="15" customHeight="1">
      <c r="G37674"/>
      <c r="I37674"/>
      <c r="N37674"/>
      <c r="O37674" s="24"/>
      <c r="P37674"/>
      <c r="Q37674" s="24"/>
      <c r="R37674"/>
      <c r="S37674"/>
      <c r="T37674"/>
      <c r="U37674"/>
      <c r="X37674" s="60"/>
    </row>
    <row r="37675" spans="7:24" ht="15" customHeight="1">
      <c r="G37675"/>
      <c r="I37675"/>
      <c r="N37675"/>
      <c r="O37675" s="24"/>
      <c r="P37675"/>
      <c r="Q37675" s="24"/>
      <c r="R37675"/>
      <c r="S37675"/>
      <c r="T37675"/>
      <c r="U37675"/>
      <c r="X37675" s="60"/>
    </row>
    <row r="37676" spans="7:24" ht="15" customHeight="1">
      <c r="G37676"/>
      <c r="I37676"/>
      <c r="N37676"/>
      <c r="O37676" s="24"/>
      <c r="P37676"/>
      <c r="Q37676" s="24"/>
      <c r="R37676"/>
      <c r="S37676"/>
      <c r="T37676"/>
      <c r="U37676"/>
      <c r="X37676" s="60"/>
    </row>
    <row r="37677" spans="7:24" ht="15" customHeight="1">
      <c r="G37677"/>
      <c r="I37677"/>
      <c r="N37677"/>
      <c r="O37677" s="24"/>
      <c r="P37677"/>
      <c r="Q37677" s="24"/>
      <c r="R37677"/>
      <c r="S37677"/>
      <c r="T37677"/>
      <c r="U37677"/>
      <c r="X37677" s="60"/>
    </row>
    <row r="37678" spans="7:24" ht="15" customHeight="1">
      <c r="G37678"/>
      <c r="I37678"/>
      <c r="N37678"/>
      <c r="O37678" s="24"/>
      <c r="P37678"/>
      <c r="Q37678" s="24"/>
      <c r="R37678"/>
      <c r="S37678"/>
      <c r="T37678"/>
      <c r="U37678"/>
      <c r="X37678" s="60"/>
    </row>
    <row r="37679" spans="7:24" ht="15" customHeight="1">
      <c r="G37679"/>
      <c r="I37679"/>
      <c r="N37679"/>
      <c r="O37679" s="24"/>
      <c r="P37679"/>
      <c r="Q37679" s="24"/>
      <c r="R37679"/>
      <c r="S37679"/>
      <c r="T37679"/>
      <c r="U37679"/>
      <c r="X37679" s="60"/>
    </row>
    <row r="37680" spans="7:24" ht="15" customHeight="1">
      <c r="G37680"/>
      <c r="I37680"/>
      <c r="N37680"/>
      <c r="O37680" s="24"/>
      <c r="P37680"/>
      <c r="Q37680" s="24"/>
      <c r="R37680"/>
      <c r="S37680"/>
      <c r="T37680"/>
      <c r="U37680"/>
      <c r="X37680" s="60"/>
    </row>
    <row r="37681" spans="7:24" ht="15" customHeight="1">
      <c r="G37681"/>
      <c r="I37681"/>
      <c r="N37681"/>
      <c r="O37681" s="24"/>
      <c r="P37681"/>
      <c r="Q37681" s="24"/>
      <c r="R37681"/>
      <c r="S37681"/>
      <c r="T37681"/>
      <c r="U37681"/>
      <c r="X37681" s="60"/>
    </row>
    <row r="37682" spans="7:24" ht="15" customHeight="1">
      <c r="G37682"/>
      <c r="I37682"/>
      <c r="N37682"/>
      <c r="O37682" s="24"/>
      <c r="P37682"/>
      <c r="Q37682" s="24"/>
      <c r="R37682"/>
      <c r="S37682"/>
      <c r="T37682"/>
      <c r="U37682"/>
      <c r="X37682" s="60"/>
    </row>
    <row r="37683" spans="7:24" ht="15" customHeight="1">
      <c r="G37683"/>
      <c r="I37683"/>
      <c r="N37683"/>
      <c r="O37683" s="24"/>
      <c r="P37683"/>
      <c r="Q37683" s="24"/>
      <c r="R37683"/>
      <c r="S37683"/>
      <c r="T37683"/>
      <c r="U37683"/>
      <c r="X37683" s="60"/>
    </row>
    <row r="37684" spans="7:24" ht="15" customHeight="1">
      <c r="G37684"/>
      <c r="I37684"/>
      <c r="N37684"/>
      <c r="O37684" s="24"/>
      <c r="P37684"/>
      <c r="Q37684" s="24"/>
      <c r="R37684"/>
      <c r="S37684"/>
      <c r="T37684"/>
      <c r="U37684"/>
      <c r="X37684" s="60"/>
    </row>
    <row r="37685" spans="7:24" ht="15" customHeight="1">
      <c r="G37685"/>
      <c r="I37685"/>
      <c r="N37685"/>
      <c r="O37685" s="24"/>
      <c r="P37685"/>
      <c r="Q37685" s="24"/>
      <c r="R37685"/>
      <c r="S37685"/>
      <c r="T37685"/>
      <c r="U37685"/>
      <c r="X37685" s="60"/>
    </row>
    <row r="37686" spans="7:24" ht="15" customHeight="1">
      <c r="G37686"/>
      <c r="I37686"/>
      <c r="N37686"/>
      <c r="O37686" s="24"/>
      <c r="P37686"/>
      <c r="Q37686" s="24"/>
      <c r="R37686"/>
      <c r="S37686"/>
      <c r="T37686"/>
      <c r="U37686"/>
      <c r="X37686" s="60"/>
    </row>
    <row r="37687" spans="7:24" ht="15" customHeight="1">
      <c r="G37687"/>
      <c r="I37687"/>
      <c r="N37687"/>
      <c r="O37687" s="24"/>
      <c r="P37687"/>
      <c r="Q37687" s="24"/>
      <c r="R37687"/>
      <c r="S37687"/>
      <c r="T37687"/>
      <c r="U37687"/>
      <c r="X37687" s="60"/>
    </row>
    <row r="37688" spans="7:24" ht="15" customHeight="1">
      <c r="G37688"/>
      <c r="I37688"/>
      <c r="N37688"/>
      <c r="O37688" s="24"/>
      <c r="P37688"/>
      <c r="Q37688" s="24"/>
      <c r="R37688"/>
      <c r="S37688"/>
      <c r="T37688"/>
      <c r="U37688"/>
      <c r="X37688" s="60"/>
    </row>
    <row r="37689" spans="7:24" ht="15" customHeight="1">
      <c r="G37689"/>
      <c r="I37689"/>
      <c r="N37689"/>
      <c r="O37689" s="24"/>
      <c r="P37689"/>
      <c r="Q37689" s="24"/>
      <c r="R37689"/>
      <c r="S37689"/>
      <c r="T37689"/>
      <c r="U37689"/>
      <c r="X37689" s="60"/>
    </row>
    <row r="37690" spans="7:24" ht="15" customHeight="1">
      <c r="G37690"/>
      <c r="I37690"/>
      <c r="N37690"/>
      <c r="O37690" s="24"/>
      <c r="P37690"/>
      <c r="Q37690" s="24"/>
      <c r="R37690"/>
      <c r="S37690"/>
      <c r="T37690"/>
      <c r="U37690"/>
      <c r="X37690" s="60"/>
    </row>
    <row r="37691" spans="7:24" ht="15" customHeight="1">
      <c r="G37691"/>
      <c r="I37691"/>
      <c r="N37691"/>
      <c r="O37691" s="24"/>
      <c r="P37691"/>
      <c r="Q37691" s="24"/>
      <c r="R37691"/>
      <c r="S37691"/>
      <c r="T37691"/>
      <c r="U37691"/>
      <c r="X37691" s="60"/>
    </row>
    <row r="37692" spans="7:24" ht="15" customHeight="1">
      <c r="G37692"/>
      <c r="I37692"/>
      <c r="N37692"/>
      <c r="O37692" s="24"/>
      <c r="P37692"/>
      <c r="Q37692" s="24"/>
      <c r="R37692"/>
      <c r="S37692"/>
      <c r="T37692"/>
      <c r="U37692"/>
      <c r="X37692" s="60"/>
    </row>
    <row r="37693" spans="7:24" ht="15" customHeight="1">
      <c r="G37693"/>
      <c r="I37693"/>
      <c r="N37693"/>
      <c r="O37693" s="24"/>
      <c r="P37693"/>
      <c r="Q37693" s="24"/>
      <c r="R37693"/>
      <c r="S37693"/>
      <c r="T37693"/>
      <c r="U37693"/>
      <c r="X37693" s="60"/>
    </row>
    <row r="37694" spans="7:24" ht="15" customHeight="1">
      <c r="G37694"/>
      <c r="I37694"/>
      <c r="N37694"/>
      <c r="O37694" s="24"/>
      <c r="P37694"/>
      <c r="Q37694" s="24"/>
      <c r="R37694"/>
      <c r="S37694"/>
      <c r="T37694"/>
      <c r="U37694"/>
      <c r="X37694" s="60"/>
    </row>
    <row r="37695" spans="7:24" ht="15" customHeight="1">
      <c r="G37695"/>
      <c r="I37695"/>
      <c r="N37695"/>
      <c r="O37695" s="24"/>
      <c r="P37695"/>
      <c r="Q37695" s="24"/>
      <c r="R37695"/>
      <c r="S37695"/>
      <c r="T37695"/>
      <c r="U37695"/>
      <c r="X37695" s="60"/>
    </row>
    <row r="37696" spans="7:24" ht="15" customHeight="1">
      <c r="G37696"/>
      <c r="I37696"/>
      <c r="N37696"/>
      <c r="O37696" s="24"/>
      <c r="P37696"/>
      <c r="Q37696" s="24"/>
      <c r="R37696"/>
      <c r="S37696"/>
      <c r="T37696"/>
      <c r="U37696"/>
      <c r="X37696" s="60"/>
    </row>
    <row r="37697" spans="7:24" ht="15" customHeight="1">
      <c r="G37697"/>
      <c r="I37697"/>
      <c r="N37697"/>
      <c r="O37697" s="24"/>
      <c r="P37697"/>
      <c r="Q37697" s="24"/>
      <c r="R37697"/>
      <c r="S37697"/>
      <c r="T37697"/>
      <c r="U37697"/>
      <c r="X37697" s="60"/>
    </row>
    <row r="37698" spans="7:24" ht="15" customHeight="1">
      <c r="G37698"/>
      <c r="I37698"/>
      <c r="N37698"/>
      <c r="O37698" s="24"/>
      <c r="P37698"/>
      <c r="Q37698" s="24"/>
      <c r="R37698"/>
      <c r="S37698"/>
      <c r="T37698"/>
      <c r="U37698"/>
      <c r="X37698" s="60"/>
    </row>
    <row r="37699" spans="7:24" ht="15" customHeight="1">
      <c r="G37699"/>
      <c r="I37699"/>
      <c r="N37699"/>
      <c r="O37699" s="24"/>
      <c r="P37699"/>
      <c r="Q37699" s="24"/>
      <c r="R37699"/>
      <c r="S37699"/>
      <c r="T37699"/>
      <c r="U37699"/>
      <c r="X37699" s="60"/>
    </row>
    <row r="37700" spans="7:24" ht="15" customHeight="1">
      <c r="G37700"/>
      <c r="I37700"/>
      <c r="N37700"/>
      <c r="O37700" s="24"/>
      <c r="P37700"/>
      <c r="Q37700" s="24"/>
      <c r="R37700"/>
      <c r="S37700"/>
      <c r="T37700"/>
      <c r="U37700"/>
      <c r="X37700" s="60"/>
    </row>
    <row r="37701" spans="7:24" ht="15" customHeight="1">
      <c r="G37701"/>
      <c r="I37701"/>
      <c r="N37701"/>
      <c r="O37701" s="24"/>
      <c r="P37701"/>
      <c r="Q37701" s="24"/>
      <c r="R37701"/>
      <c r="S37701"/>
      <c r="T37701"/>
      <c r="U37701"/>
      <c r="X37701" s="60"/>
    </row>
    <row r="37702" spans="7:24" ht="15" customHeight="1">
      <c r="G37702"/>
      <c r="I37702"/>
      <c r="N37702"/>
      <c r="O37702" s="24"/>
      <c r="P37702"/>
      <c r="Q37702" s="24"/>
      <c r="R37702"/>
      <c r="S37702"/>
      <c r="T37702"/>
      <c r="U37702"/>
      <c r="X37702" s="60"/>
    </row>
    <row r="37703" spans="7:24" ht="15" customHeight="1">
      <c r="G37703"/>
      <c r="I37703"/>
      <c r="N37703"/>
      <c r="O37703" s="24"/>
      <c r="P37703"/>
      <c r="Q37703" s="24"/>
      <c r="R37703"/>
      <c r="S37703"/>
      <c r="T37703"/>
      <c r="U37703"/>
      <c r="X37703" s="60"/>
    </row>
    <row r="37704" spans="7:24" ht="15" customHeight="1">
      <c r="G37704"/>
      <c r="I37704"/>
      <c r="N37704"/>
      <c r="O37704" s="24"/>
      <c r="P37704"/>
      <c r="Q37704" s="24"/>
      <c r="R37704"/>
      <c r="S37704"/>
      <c r="T37704"/>
      <c r="U37704"/>
      <c r="X37704" s="60"/>
    </row>
    <row r="37705" spans="7:24" ht="15" customHeight="1">
      <c r="G37705"/>
      <c r="I37705"/>
      <c r="N37705"/>
      <c r="O37705" s="24"/>
      <c r="P37705"/>
      <c r="Q37705" s="24"/>
      <c r="R37705"/>
      <c r="S37705"/>
      <c r="T37705"/>
      <c r="U37705"/>
      <c r="X37705" s="60"/>
    </row>
    <row r="37706" spans="7:24" ht="15" customHeight="1">
      <c r="G37706"/>
      <c r="I37706"/>
      <c r="N37706"/>
      <c r="O37706" s="24"/>
      <c r="P37706"/>
      <c r="Q37706" s="24"/>
      <c r="R37706"/>
      <c r="S37706"/>
      <c r="T37706"/>
      <c r="U37706"/>
      <c r="X37706" s="60"/>
    </row>
    <row r="37707" spans="7:24" ht="15" customHeight="1">
      <c r="G37707"/>
      <c r="I37707"/>
      <c r="N37707"/>
      <c r="O37707" s="24"/>
      <c r="P37707"/>
      <c r="Q37707" s="24"/>
      <c r="R37707"/>
      <c r="S37707"/>
      <c r="T37707"/>
      <c r="U37707"/>
      <c r="X37707" s="60"/>
    </row>
    <row r="37708" spans="7:24" ht="15" customHeight="1">
      <c r="G37708"/>
      <c r="I37708"/>
      <c r="N37708"/>
      <c r="O37708" s="24"/>
      <c r="P37708"/>
      <c r="Q37708" s="24"/>
      <c r="R37708"/>
      <c r="S37708"/>
      <c r="T37708"/>
      <c r="U37708"/>
      <c r="X37708" s="60"/>
    </row>
    <row r="37709" spans="7:24" ht="15" customHeight="1">
      <c r="G37709"/>
      <c r="I37709"/>
      <c r="N37709"/>
      <c r="O37709" s="24"/>
      <c r="P37709"/>
      <c r="Q37709" s="24"/>
      <c r="R37709"/>
      <c r="S37709"/>
      <c r="T37709"/>
      <c r="U37709"/>
      <c r="X37709" s="60"/>
    </row>
    <row r="37710" spans="7:24" ht="15" customHeight="1">
      <c r="G37710"/>
      <c r="I37710"/>
      <c r="N37710"/>
      <c r="O37710" s="24"/>
      <c r="P37710"/>
      <c r="Q37710" s="24"/>
      <c r="R37710"/>
      <c r="S37710"/>
      <c r="T37710"/>
      <c r="U37710"/>
      <c r="X37710" s="60"/>
    </row>
    <row r="37711" spans="7:24" ht="15" customHeight="1">
      <c r="G37711"/>
      <c r="I37711"/>
      <c r="N37711"/>
      <c r="O37711" s="24"/>
      <c r="P37711"/>
      <c r="Q37711" s="24"/>
      <c r="R37711"/>
      <c r="S37711"/>
      <c r="T37711"/>
      <c r="U37711"/>
      <c r="X37711" s="60"/>
    </row>
    <row r="37712" spans="7:24" ht="15" customHeight="1">
      <c r="G37712"/>
      <c r="I37712"/>
      <c r="N37712"/>
      <c r="O37712" s="24"/>
      <c r="P37712"/>
      <c r="Q37712" s="24"/>
      <c r="R37712"/>
      <c r="S37712"/>
      <c r="T37712"/>
      <c r="U37712"/>
      <c r="X37712" s="60"/>
    </row>
    <row r="37713" spans="7:24" ht="15" customHeight="1">
      <c r="G37713"/>
      <c r="I37713"/>
      <c r="N37713"/>
      <c r="O37713" s="24"/>
      <c r="P37713"/>
      <c r="Q37713" s="24"/>
      <c r="R37713"/>
      <c r="S37713"/>
      <c r="T37713"/>
      <c r="U37713"/>
      <c r="X37713" s="60"/>
    </row>
    <row r="37714" spans="7:24" ht="15" customHeight="1">
      <c r="G37714"/>
      <c r="I37714"/>
      <c r="N37714"/>
      <c r="O37714" s="24"/>
      <c r="P37714"/>
      <c r="Q37714" s="24"/>
      <c r="R37714"/>
      <c r="S37714"/>
      <c r="T37714"/>
      <c r="U37714"/>
      <c r="X37714" s="60"/>
    </row>
    <row r="37715" spans="7:24" ht="15" customHeight="1">
      <c r="G37715"/>
      <c r="I37715"/>
      <c r="N37715"/>
      <c r="O37715" s="24"/>
      <c r="P37715"/>
      <c r="Q37715" s="24"/>
      <c r="R37715"/>
      <c r="S37715"/>
      <c r="T37715"/>
      <c r="U37715"/>
      <c r="X37715" s="60"/>
    </row>
    <row r="37716" spans="7:24" ht="15" customHeight="1">
      <c r="G37716"/>
      <c r="I37716"/>
      <c r="N37716"/>
      <c r="O37716" s="24"/>
      <c r="P37716"/>
      <c r="Q37716" s="24"/>
      <c r="R37716"/>
      <c r="S37716"/>
      <c r="T37716"/>
      <c r="U37716"/>
      <c r="X37716" s="60"/>
    </row>
    <row r="37717" spans="7:24" ht="15" customHeight="1">
      <c r="G37717"/>
      <c r="I37717"/>
      <c r="N37717"/>
      <c r="O37717" s="24"/>
      <c r="P37717"/>
      <c r="Q37717" s="24"/>
      <c r="R37717"/>
      <c r="S37717"/>
      <c r="T37717"/>
      <c r="U37717"/>
      <c r="X37717" s="60"/>
    </row>
    <row r="37718" spans="7:24" ht="15" customHeight="1">
      <c r="G37718"/>
      <c r="I37718"/>
      <c r="N37718"/>
      <c r="O37718" s="24"/>
      <c r="P37718"/>
      <c r="Q37718" s="24"/>
      <c r="R37718"/>
      <c r="S37718"/>
      <c r="T37718"/>
      <c r="U37718"/>
      <c r="X37718" s="60"/>
    </row>
    <row r="37719" spans="7:24" ht="15" customHeight="1">
      <c r="G37719"/>
      <c r="I37719"/>
      <c r="N37719"/>
      <c r="O37719" s="24"/>
      <c r="P37719"/>
      <c r="Q37719" s="24"/>
      <c r="R37719"/>
      <c r="S37719"/>
      <c r="T37719"/>
      <c r="U37719"/>
      <c r="X37719" s="60"/>
    </row>
    <row r="37720" spans="7:24" ht="15" customHeight="1">
      <c r="G37720"/>
      <c r="I37720"/>
      <c r="N37720"/>
      <c r="O37720" s="24"/>
      <c r="P37720"/>
      <c r="Q37720" s="24"/>
      <c r="R37720"/>
      <c r="S37720"/>
      <c r="T37720"/>
      <c r="U37720"/>
      <c r="X37720" s="60"/>
    </row>
    <row r="37721" spans="7:24" ht="15" customHeight="1">
      <c r="G37721"/>
      <c r="I37721"/>
      <c r="N37721"/>
      <c r="O37721" s="24"/>
      <c r="P37721"/>
      <c r="Q37721" s="24"/>
      <c r="R37721"/>
      <c r="S37721"/>
      <c r="T37721"/>
      <c r="U37721"/>
      <c r="X37721" s="60"/>
    </row>
    <row r="37722" spans="7:24" ht="15" customHeight="1">
      <c r="G37722"/>
      <c r="I37722"/>
      <c r="N37722"/>
      <c r="O37722" s="24"/>
      <c r="P37722"/>
      <c r="Q37722" s="24"/>
      <c r="R37722"/>
      <c r="S37722"/>
      <c r="T37722"/>
      <c r="U37722"/>
      <c r="X37722" s="60"/>
    </row>
    <row r="37723" spans="7:24" ht="15" customHeight="1">
      <c r="G37723"/>
      <c r="I37723"/>
      <c r="N37723"/>
      <c r="O37723" s="24"/>
      <c r="P37723"/>
      <c r="Q37723" s="24"/>
      <c r="R37723"/>
      <c r="S37723"/>
      <c r="T37723"/>
      <c r="U37723"/>
      <c r="X37723" s="60"/>
    </row>
    <row r="37724" spans="7:24" ht="15" customHeight="1">
      <c r="G37724"/>
      <c r="I37724"/>
      <c r="N37724"/>
      <c r="O37724" s="24"/>
      <c r="P37724"/>
      <c r="Q37724" s="24"/>
      <c r="R37724"/>
      <c r="S37724"/>
      <c r="T37724"/>
      <c r="U37724"/>
      <c r="X37724" s="60"/>
    </row>
    <row r="37725" spans="7:24" ht="15" customHeight="1">
      <c r="G37725"/>
      <c r="I37725"/>
      <c r="N37725"/>
      <c r="O37725" s="24"/>
      <c r="P37725"/>
      <c r="Q37725" s="24"/>
      <c r="R37725"/>
      <c r="S37725"/>
      <c r="T37725"/>
      <c r="U37725"/>
      <c r="X37725" s="60"/>
    </row>
    <row r="37726" spans="7:24" ht="15" customHeight="1">
      <c r="G37726"/>
      <c r="I37726"/>
      <c r="N37726"/>
      <c r="O37726" s="24"/>
      <c r="P37726"/>
      <c r="Q37726" s="24"/>
      <c r="R37726"/>
      <c r="S37726"/>
      <c r="T37726"/>
      <c r="U37726"/>
      <c r="X37726" s="60"/>
    </row>
    <row r="37727" spans="7:24" ht="15" customHeight="1">
      <c r="G37727"/>
      <c r="I37727"/>
      <c r="N37727"/>
      <c r="O37727" s="24"/>
      <c r="P37727"/>
      <c r="Q37727" s="24"/>
      <c r="R37727"/>
      <c r="S37727"/>
      <c r="T37727"/>
      <c r="U37727"/>
      <c r="X37727" s="60"/>
    </row>
    <row r="37728" spans="7:24" ht="15" customHeight="1">
      <c r="G37728"/>
      <c r="I37728"/>
      <c r="N37728"/>
      <c r="O37728" s="24"/>
      <c r="P37728"/>
      <c r="Q37728" s="24"/>
      <c r="R37728"/>
      <c r="S37728"/>
      <c r="T37728"/>
      <c r="U37728"/>
      <c r="X37728" s="60"/>
    </row>
    <row r="37729" spans="7:24" ht="15" customHeight="1">
      <c r="G37729"/>
      <c r="I37729"/>
      <c r="N37729"/>
      <c r="O37729" s="24"/>
      <c r="P37729"/>
      <c r="Q37729" s="24"/>
      <c r="R37729"/>
      <c r="S37729"/>
      <c r="T37729"/>
      <c r="U37729"/>
      <c r="X37729" s="60"/>
    </row>
    <row r="37730" spans="7:24" ht="15" customHeight="1">
      <c r="G37730"/>
      <c r="I37730"/>
      <c r="N37730"/>
      <c r="O37730" s="24"/>
      <c r="P37730"/>
      <c r="Q37730" s="24"/>
      <c r="R37730"/>
      <c r="S37730"/>
      <c r="T37730"/>
      <c r="U37730"/>
      <c r="X37730" s="60"/>
    </row>
    <row r="37731" spans="7:24" ht="15" customHeight="1">
      <c r="G37731"/>
      <c r="I37731"/>
      <c r="N37731"/>
      <c r="O37731" s="24"/>
      <c r="P37731"/>
      <c r="Q37731" s="24"/>
      <c r="R37731"/>
      <c r="S37731"/>
      <c r="T37731"/>
      <c r="U37731"/>
      <c r="X37731" s="60"/>
    </row>
    <row r="37732" spans="7:24" ht="15" customHeight="1">
      <c r="G37732"/>
      <c r="I37732"/>
      <c r="N37732"/>
      <c r="O37732" s="24"/>
      <c r="P37732"/>
      <c r="Q37732" s="24"/>
      <c r="R37732"/>
      <c r="S37732"/>
      <c r="T37732"/>
      <c r="U37732"/>
      <c r="X37732" s="60"/>
    </row>
    <row r="37733" spans="7:24" ht="15" customHeight="1">
      <c r="G37733"/>
      <c r="I37733"/>
      <c r="N37733"/>
      <c r="O37733" s="24"/>
      <c r="P37733"/>
      <c r="Q37733" s="24"/>
      <c r="R37733"/>
      <c r="S37733"/>
      <c r="T37733"/>
      <c r="U37733"/>
      <c r="X37733" s="60"/>
    </row>
    <row r="37734" spans="7:24" ht="15" customHeight="1">
      <c r="G37734"/>
      <c r="I37734"/>
      <c r="N37734"/>
      <c r="O37734" s="24"/>
      <c r="P37734"/>
      <c r="Q37734" s="24"/>
      <c r="R37734"/>
      <c r="S37734"/>
      <c r="T37734"/>
      <c r="U37734"/>
      <c r="X37734" s="60"/>
    </row>
    <row r="37735" spans="7:24" ht="15" customHeight="1">
      <c r="G37735"/>
      <c r="I37735"/>
      <c r="N37735"/>
      <c r="O37735" s="24"/>
      <c r="P37735"/>
      <c r="Q37735" s="24"/>
      <c r="R37735"/>
      <c r="S37735"/>
      <c r="T37735"/>
      <c r="U37735"/>
      <c r="X37735" s="60"/>
    </row>
    <row r="37736" spans="7:24" ht="15" customHeight="1">
      <c r="G37736"/>
      <c r="I37736"/>
      <c r="N37736"/>
      <c r="O37736" s="24"/>
      <c r="P37736"/>
      <c r="Q37736" s="24"/>
      <c r="R37736"/>
      <c r="S37736"/>
      <c r="T37736"/>
      <c r="U37736"/>
      <c r="X37736" s="60"/>
    </row>
    <row r="37737" spans="7:24" ht="15" customHeight="1">
      <c r="G37737"/>
      <c r="I37737"/>
      <c r="N37737"/>
      <c r="O37737" s="24"/>
      <c r="P37737"/>
      <c r="Q37737" s="24"/>
      <c r="R37737"/>
      <c r="S37737"/>
      <c r="T37737"/>
      <c r="U37737"/>
      <c r="X37737" s="60"/>
    </row>
    <row r="37738" spans="7:24" ht="15" customHeight="1">
      <c r="G37738"/>
      <c r="I37738"/>
      <c r="N37738"/>
      <c r="O37738" s="24"/>
      <c r="P37738"/>
      <c r="Q37738" s="24"/>
      <c r="R37738"/>
      <c r="S37738"/>
      <c r="T37738"/>
      <c r="U37738"/>
      <c r="X37738" s="60"/>
    </row>
    <row r="37739" spans="7:24" ht="15" customHeight="1">
      <c r="G37739"/>
      <c r="I37739"/>
      <c r="N37739"/>
      <c r="O37739" s="24"/>
      <c r="P37739"/>
      <c r="Q37739" s="24"/>
      <c r="R37739"/>
      <c r="S37739"/>
      <c r="T37739"/>
      <c r="U37739"/>
      <c r="X37739" s="60"/>
    </row>
    <row r="37740" spans="7:24" ht="15" customHeight="1">
      <c r="G37740"/>
      <c r="I37740"/>
      <c r="N37740"/>
      <c r="O37740" s="24"/>
      <c r="P37740"/>
      <c r="Q37740" s="24"/>
      <c r="R37740"/>
      <c r="S37740"/>
      <c r="T37740"/>
      <c r="U37740"/>
      <c r="X37740" s="60"/>
    </row>
    <row r="37741" spans="7:24" ht="15" customHeight="1">
      <c r="G37741"/>
      <c r="I37741"/>
      <c r="N37741"/>
      <c r="O37741" s="24"/>
      <c r="P37741"/>
      <c r="Q37741" s="24"/>
      <c r="R37741"/>
      <c r="S37741"/>
      <c r="T37741"/>
      <c r="U37741"/>
      <c r="X37741" s="60"/>
    </row>
    <row r="37742" spans="7:24" ht="15" customHeight="1">
      <c r="G37742"/>
      <c r="I37742"/>
      <c r="N37742"/>
      <c r="O37742" s="24"/>
      <c r="P37742"/>
      <c r="Q37742" s="24"/>
      <c r="R37742"/>
      <c r="S37742"/>
      <c r="T37742"/>
      <c r="U37742"/>
      <c r="X37742" s="60"/>
    </row>
    <row r="37743" spans="7:24" ht="15" customHeight="1">
      <c r="G37743"/>
      <c r="I37743"/>
      <c r="N37743"/>
      <c r="O37743" s="24"/>
      <c r="P37743"/>
      <c r="Q37743" s="24"/>
      <c r="R37743"/>
      <c r="S37743"/>
      <c r="T37743"/>
      <c r="U37743"/>
      <c r="X37743" s="60"/>
    </row>
    <row r="37744" spans="7:24" ht="15" customHeight="1">
      <c r="G37744"/>
      <c r="I37744"/>
      <c r="N37744"/>
      <c r="O37744" s="24"/>
      <c r="P37744"/>
      <c r="Q37744" s="24"/>
      <c r="R37744"/>
      <c r="S37744"/>
      <c r="T37744"/>
      <c r="U37744"/>
      <c r="X37744" s="60"/>
    </row>
    <row r="37745" spans="7:24" ht="15" customHeight="1">
      <c r="G37745"/>
      <c r="I37745"/>
      <c r="N37745"/>
      <c r="O37745" s="24"/>
      <c r="P37745"/>
      <c r="Q37745" s="24"/>
      <c r="R37745"/>
      <c r="S37745"/>
      <c r="T37745"/>
      <c r="U37745"/>
      <c r="X37745" s="60"/>
    </row>
    <row r="37746" spans="7:24" ht="15" customHeight="1">
      <c r="G37746"/>
      <c r="I37746"/>
      <c r="N37746"/>
      <c r="O37746" s="24"/>
      <c r="P37746"/>
      <c r="Q37746" s="24"/>
      <c r="R37746"/>
      <c r="S37746"/>
      <c r="T37746"/>
      <c r="U37746"/>
      <c r="X37746" s="60"/>
    </row>
    <row r="37747" spans="7:24" ht="15" customHeight="1">
      <c r="G37747"/>
      <c r="I37747"/>
      <c r="N37747"/>
      <c r="O37747" s="24"/>
      <c r="P37747"/>
      <c r="Q37747" s="24"/>
      <c r="R37747"/>
      <c r="S37747"/>
      <c r="T37747"/>
      <c r="U37747"/>
      <c r="X37747" s="60"/>
    </row>
    <row r="37748" spans="7:24" ht="15" customHeight="1">
      <c r="G37748"/>
      <c r="I37748"/>
      <c r="N37748"/>
      <c r="O37748" s="24"/>
      <c r="P37748"/>
      <c r="Q37748" s="24"/>
      <c r="R37748"/>
      <c r="S37748"/>
      <c r="T37748"/>
      <c r="U37748"/>
      <c r="X37748" s="60"/>
    </row>
    <row r="37749" spans="7:24" ht="15" customHeight="1">
      <c r="G37749"/>
      <c r="I37749"/>
      <c r="N37749"/>
      <c r="O37749" s="24"/>
      <c r="P37749"/>
      <c r="Q37749" s="24"/>
      <c r="R37749"/>
      <c r="S37749"/>
      <c r="T37749"/>
      <c r="U37749"/>
      <c r="X37749" s="60"/>
    </row>
    <row r="37750" spans="7:24" ht="15" customHeight="1">
      <c r="G37750"/>
      <c r="I37750"/>
      <c r="N37750"/>
      <c r="O37750" s="24"/>
      <c r="P37750"/>
      <c r="Q37750" s="24"/>
      <c r="R37750"/>
      <c r="S37750"/>
      <c r="T37750"/>
      <c r="U37750"/>
      <c r="X37750" s="60"/>
    </row>
    <row r="37751" spans="7:24" ht="15" customHeight="1">
      <c r="G37751"/>
      <c r="I37751"/>
      <c r="N37751"/>
      <c r="O37751" s="24"/>
      <c r="P37751"/>
      <c r="Q37751" s="24"/>
      <c r="R37751"/>
      <c r="S37751"/>
      <c r="T37751"/>
      <c r="U37751"/>
      <c r="X37751" s="60"/>
    </row>
    <row r="37752" spans="7:24" ht="15" customHeight="1">
      <c r="G37752"/>
      <c r="I37752"/>
      <c r="N37752"/>
      <c r="O37752" s="24"/>
      <c r="P37752"/>
      <c r="Q37752" s="24"/>
      <c r="R37752"/>
      <c r="S37752"/>
      <c r="T37752"/>
      <c r="U37752"/>
      <c r="X37752" s="60"/>
    </row>
    <row r="37753" spans="7:24" ht="15" customHeight="1">
      <c r="G37753"/>
      <c r="I37753"/>
      <c r="N37753"/>
      <c r="O37753" s="24"/>
      <c r="P37753"/>
      <c r="Q37753" s="24"/>
      <c r="R37753"/>
      <c r="S37753"/>
      <c r="T37753"/>
      <c r="U37753"/>
      <c r="X37753" s="60"/>
    </row>
    <row r="37754" spans="7:24" ht="15" customHeight="1">
      <c r="G37754"/>
      <c r="I37754"/>
      <c r="N37754"/>
      <c r="O37754" s="24"/>
      <c r="P37754"/>
      <c r="Q37754" s="24"/>
      <c r="R37754"/>
      <c r="S37754"/>
      <c r="T37754"/>
      <c r="U37754"/>
      <c r="X37754" s="60"/>
    </row>
    <row r="37755" spans="7:24" ht="15" customHeight="1">
      <c r="G37755"/>
      <c r="I37755"/>
      <c r="N37755"/>
      <c r="O37755" s="24"/>
      <c r="P37755"/>
      <c r="Q37755" s="24"/>
      <c r="R37755"/>
      <c r="S37755"/>
      <c r="T37755"/>
      <c r="U37755"/>
      <c r="X37755" s="60"/>
    </row>
    <row r="37756" spans="7:24" ht="15" customHeight="1">
      <c r="G37756"/>
      <c r="I37756"/>
      <c r="N37756"/>
      <c r="O37756" s="24"/>
      <c r="P37756"/>
      <c r="Q37756" s="24"/>
      <c r="R37756"/>
      <c r="S37756"/>
      <c r="T37756"/>
      <c r="U37756"/>
      <c r="X37756" s="60"/>
    </row>
    <row r="37757" spans="7:24" ht="15" customHeight="1">
      <c r="G37757"/>
      <c r="I37757"/>
      <c r="N37757"/>
      <c r="O37757" s="24"/>
      <c r="P37757"/>
      <c r="Q37757" s="24"/>
      <c r="R37757"/>
      <c r="S37757"/>
      <c r="T37757"/>
      <c r="U37757"/>
      <c r="X37757" s="60"/>
    </row>
    <row r="37758" spans="7:24" ht="15" customHeight="1">
      <c r="G37758"/>
      <c r="I37758"/>
      <c r="N37758"/>
      <c r="O37758" s="24"/>
      <c r="P37758"/>
      <c r="Q37758" s="24"/>
      <c r="R37758"/>
      <c r="S37758"/>
      <c r="T37758"/>
      <c r="U37758"/>
      <c r="X37758" s="60"/>
    </row>
    <row r="37759" spans="7:24" ht="15" customHeight="1">
      <c r="G37759"/>
      <c r="I37759"/>
      <c r="N37759"/>
      <c r="O37759" s="24"/>
      <c r="P37759"/>
      <c r="Q37759" s="24"/>
      <c r="R37759"/>
      <c r="S37759"/>
      <c r="T37759"/>
      <c r="U37759"/>
      <c r="X37759" s="60"/>
    </row>
    <row r="37760" spans="7:24" ht="15" customHeight="1">
      <c r="G37760"/>
      <c r="I37760"/>
      <c r="N37760"/>
      <c r="O37760" s="24"/>
      <c r="P37760"/>
      <c r="Q37760" s="24"/>
      <c r="R37760"/>
      <c r="S37760"/>
      <c r="T37760"/>
      <c r="U37760"/>
      <c r="X37760" s="60"/>
    </row>
    <row r="37761" spans="7:24" ht="15" customHeight="1">
      <c r="G37761"/>
      <c r="I37761"/>
      <c r="N37761"/>
      <c r="O37761" s="24"/>
      <c r="P37761"/>
      <c r="Q37761" s="24"/>
      <c r="R37761"/>
      <c r="S37761"/>
      <c r="T37761"/>
      <c r="U37761"/>
      <c r="X37761" s="60"/>
    </row>
    <row r="37762" spans="7:24" ht="15" customHeight="1">
      <c r="G37762"/>
      <c r="I37762"/>
      <c r="N37762"/>
      <c r="O37762" s="24"/>
      <c r="P37762"/>
      <c r="Q37762" s="24"/>
      <c r="R37762"/>
      <c r="S37762"/>
      <c r="T37762"/>
      <c r="U37762"/>
      <c r="X37762" s="60"/>
    </row>
    <row r="37763" spans="7:24" ht="15" customHeight="1">
      <c r="G37763"/>
      <c r="I37763"/>
      <c r="N37763"/>
      <c r="O37763" s="24"/>
      <c r="P37763"/>
      <c r="Q37763" s="24"/>
      <c r="R37763"/>
      <c r="S37763"/>
      <c r="T37763"/>
      <c r="U37763"/>
      <c r="X37763" s="60"/>
    </row>
    <row r="37764" spans="7:24" ht="15" customHeight="1">
      <c r="G37764"/>
      <c r="I37764"/>
      <c r="N37764"/>
      <c r="O37764" s="24"/>
      <c r="P37764"/>
      <c r="Q37764" s="24"/>
      <c r="R37764"/>
      <c r="S37764"/>
      <c r="T37764"/>
      <c r="U37764"/>
      <c r="X37764" s="60"/>
    </row>
    <row r="37765" spans="7:24" ht="15" customHeight="1">
      <c r="G37765"/>
      <c r="I37765"/>
      <c r="N37765"/>
      <c r="O37765" s="24"/>
      <c r="P37765"/>
      <c r="Q37765" s="24"/>
      <c r="R37765"/>
      <c r="S37765"/>
      <c r="T37765"/>
      <c r="U37765"/>
      <c r="X37765" s="60"/>
    </row>
    <row r="37766" spans="7:24" ht="15" customHeight="1">
      <c r="G37766"/>
      <c r="I37766"/>
      <c r="N37766"/>
      <c r="O37766" s="24"/>
      <c r="P37766"/>
      <c r="Q37766" s="24"/>
      <c r="R37766"/>
      <c r="S37766"/>
      <c r="T37766"/>
      <c r="U37766"/>
      <c r="X37766" s="60"/>
    </row>
    <row r="37767" spans="7:24" ht="15" customHeight="1">
      <c r="G37767"/>
      <c r="I37767"/>
      <c r="N37767"/>
      <c r="O37767" s="24"/>
      <c r="P37767"/>
      <c r="Q37767" s="24"/>
      <c r="R37767"/>
      <c r="S37767"/>
      <c r="T37767"/>
      <c r="U37767"/>
      <c r="X37767" s="60"/>
    </row>
    <row r="37768" spans="7:24" ht="15" customHeight="1">
      <c r="G37768"/>
      <c r="I37768"/>
      <c r="N37768"/>
      <c r="O37768" s="24"/>
      <c r="P37768"/>
      <c r="Q37768" s="24"/>
      <c r="R37768"/>
      <c r="S37768"/>
      <c r="T37768"/>
      <c r="U37768"/>
      <c r="X37768" s="60"/>
    </row>
    <row r="37769" spans="7:24" ht="15" customHeight="1">
      <c r="G37769"/>
      <c r="I37769"/>
      <c r="N37769"/>
      <c r="O37769" s="24"/>
      <c r="P37769"/>
      <c r="Q37769" s="24"/>
      <c r="R37769"/>
      <c r="S37769"/>
      <c r="T37769"/>
      <c r="U37769"/>
      <c r="X37769" s="60"/>
    </row>
    <row r="37770" spans="7:24" ht="15" customHeight="1">
      <c r="G37770"/>
      <c r="I37770"/>
      <c r="N37770"/>
      <c r="O37770" s="24"/>
      <c r="P37770"/>
      <c r="Q37770" s="24"/>
      <c r="R37770"/>
      <c r="S37770"/>
      <c r="T37770"/>
      <c r="U37770"/>
      <c r="X37770" s="60"/>
    </row>
    <row r="37771" spans="7:24" ht="15" customHeight="1">
      <c r="G37771"/>
      <c r="I37771"/>
      <c r="N37771"/>
      <c r="O37771" s="24"/>
      <c r="P37771"/>
      <c r="Q37771" s="24"/>
      <c r="R37771"/>
      <c r="S37771"/>
      <c r="T37771"/>
      <c r="U37771"/>
      <c r="X37771" s="60"/>
    </row>
    <row r="37772" spans="7:24" ht="15" customHeight="1">
      <c r="G37772"/>
      <c r="I37772"/>
      <c r="N37772"/>
      <c r="O37772" s="24"/>
      <c r="P37772"/>
      <c r="Q37772" s="24"/>
      <c r="R37772"/>
      <c r="S37772"/>
      <c r="T37772"/>
      <c r="U37772"/>
      <c r="X37772" s="60"/>
    </row>
    <row r="37773" spans="7:24" ht="15" customHeight="1">
      <c r="G37773"/>
      <c r="I37773"/>
      <c r="N37773"/>
      <c r="O37773" s="24"/>
      <c r="P37773"/>
      <c r="Q37773" s="24"/>
      <c r="R37773"/>
      <c r="S37773"/>
      <c r="T37773"/>
      <c r="U37773"/>
      <c r="X37773" s="60"/>
    </row>
    <row r="37774" spans="7:24" ht="15" customHeight="1">
      <c r="G37774"/>
      <c r="I37774"/>
      <c r="N37774"/>
      <c r="O37774" s="24"/>
      <c r="P37774"/>
      <c r="Q37774" s="24"/>
      <c r="R37774"/>
      <c r="S37774"/>
      <c r="T37774"/>
      <c r="U37774"/>
      <c r="X37774" s="60"/>
    </row>
    <row r="37775" spans="7:24" ht="15" customHeight="1">
      <c r="G37775"/>
      <c r="I37775"/>
      <c r="N37775"/>
      <c r="O37775" s="24"/>
      <c r="P37775"/>
      <c r="Q37775" s="24"/>
      <c r="R37775"/>
      <c r="S37775"/>
      <c r="T37775"/>
      <c r="U37775"/>
      <c r="X37775" s="60"/>
    </row>
    <row r="37776" spans="7:24" ht="15" customHeight="1">
      <c r="G37776"/>
      <c r="I37776"/>
      <c r="N37776"/>
      <c r="O37776" s="24"/>
      <c r="P37776"/>
      <c r="Q37776" s="24"/>
      <c r="R37776"/>
      <c r="S37776"/>
      <c r="T37776"/>
      <c r="U37776"/>
      <c r="X37776" s="60"/>
    </row>
    <row r="37777" spans="7:24" ht="15" customHeight="1">
      <c r="G37777"/>
      <c r="I37777"/>
      <c r="N37777"/>
      <c r="O37777" s="24"/>
      <c r="P37777"/>
      <c r="Q37777" s="24"/>
      <c r="R37777"/>
      <c r="S37777"/>
      <c r="T37777"/>
      <c r="U37777"/>
      <c r="X37777" s="60"/>
    </row>
    <row r="37778" spans="7:24" ht="15" customHeight="1">
      <c r="G37778"/>
      <c r="I37778"/>
      <c r="N37778"/>
      <c r="O37778" s="24"/>
      <c r="P37778"/>
      <c r="Q37778" s="24"/>
      <c r="R37778"/>
      <c r="S37778"/>
      <c r="T37778"/>
      <c r="U37778"/>
      <c r="X37778" s="60"/>
    </row>
    <row r="37779" spans="7:24" ht="15" customHeight="1">
      <c r="G37779"/>
      <c r="I37779"/>
      <c r="N37779"/>
      <c r="O37779" s="24"/>
      <c r="P37779"/>
      <c r="Q37779" s="24"/>
      <c r="R37779"/>
      <c r="S37779"/>
      <c r="T37779"/>
      <c r="U37779"/>
      <c r="X37779" s="60"/>
    </row>
    <row r="37780" spans="7:24" ht="15" customHeight="1">
      <c r="G37780"/>
      <c r="I37780"/>
      <c r="N37780"/>
      <c r="O37780" s="24"/>
      <c r="P37780"/>
      <c r="Q37780" s="24"/>
      <c r="R37780"/>
      <c r="S37780"/>
      <c r="T37780"/>
      <c r="U37780"/>
      <c r="X37780" s="60"/>
    </row>
    <row r="37781" spans="7:24" ht="15" customHeight="1">
      <c r="G37781"/>
      <c r="I37781"/>
      <c r="N37781"/>
      <c r="O37781" s="24"/>
      <c r="P37781"/>
      <c r="Q37781" s="24"/>
      <c r="R37781"/>
      <c r="S37781"/>
      <c r="T37781"/>
      <c r="U37781"/>
      <c r="X37781" s="60"/>
    </row>
    <row r="37782" spans="7:24" ht="15" customHeight="1">
      <c r="G37782"/>
      <c r="I37782"/>
      <c r="N37782"/>
      <c r="O37782" s="24"/>
      <c r="P37782"/>
      <c r="Q37782" s="24"/>
      <c r="R37782"/>
      <c r="S37782"/>
      <c r="T37782"/>
      <c r="U37782"/>
      <c r="X37782" s="60"/>
    </row>
    <row r="37783" spans="7:24" ht="15" customHeight="1">
      <c r="G37783"/>
      <c r="I37783"/>
      <c r="N37783"/>
      <c r="O37783" s="24"/>
      <c r="P37783"/>
      <c r="Q37783" s="24"/>
      <c r="R37783"/>
      <c r="S37783"/>
      <c r="T37783"/>
      <c r="U37783"/>
      <c r="X37783" s="60"/>
    </row>
    <row r="37784" spans="7:24" ht="15" customHeight="1">
      <c r="G37784"/>
      <c r="I37784"/>
      <c r="N37784"/>
      <c r="O37784" s="24"/>
      <c r="P37784"/>
      <c r="Q37784" s="24"/>
      <c r="R37784"/>
      <c r="S37784"/>
      <c r="T37784"/>
      <c r="U37784"/>
      <c r="X37784" s="60"/>
    </row>
    <row r="37785" spans="7:24" ht="15" customHeight="1">
      <c r="G37785"/>
      <c r="I37785"/>
      <c r="N37785"/>
      <c r="O37785" s="24"/>
      <c r="P37785"/>
      <c r="Q37785" s="24"/>
      <c r="R37785"/>
      <c r="S37785"/>
      <c r="T37785"/>
      <c r="U37785"/>
      <c r="X37785" s="60"/>
    </row>
    <row r="37786" spans="7:24" ht="15" customHeight="1">
      <c r="G37786"/>
      <c r="I37786"/>
      <c r="N37786"/>
      <c r="O37786" s="24"/>
      <c r="P37786"/>
      <c r="Q37786" s="24"/>
      <c r="R37786"/>
      <c r="S37786"/>
      <c r="T37786"/>
      <c r="U37786"/>
      <c r="X37786" s="60"/>
    </row>
    <row r="37787" spans="7:24" ht="15" customHeight="1">
      <c r="G37787"/>
      <c r="I37787"/>
      <c r="N37787"/>
      <c r="O37787" s="24"/>
      <c r="P37787"/>
      <c r="Q37787" s="24"/>
      <c r="R37787"/>
      <c r="S37787"/>
      <c r="T37787"/>
      <c r="U37787"/>
      <c r="X37787" s="60"/>
    </row>
    <row r="37788" spans="7:24" ht="15" customHeight="1">
      <c r="G37788"/>
      <c r="I37788"/>
      <c r="N37788"/>
      <c r="O37788" s="24"/>
      <c r="P37788"/>
      <c r="Q37788" s="24"/>
      <c r="R37788"/>
      <c r="S37788"/>
      <c r="T37788"/>
      <c r="U37788"/>
      <c r="X37788" s="60"/>
    </row>
    <row r="37789" spans="7:24" ht="15" customHeight="1">
      <c r="G37789"/>
      <c r="I37789"/>
      <c r="N37789"/>
      <c r="O37789" s="24"/>
      <c r="P37789"/>
      <c r="Q37789" s="24"/>
      <c r="R37789"/>
      <c r="S37789"/>
      <c r="T37789"/>
      <c r="U37789"/>
      <c r="X37789" s="60"/>
    </row>
    <row r="37790" spans="7:24" ht="15" customHeight="1">
      <c r="G37790"/>
      <c r="I37790"/>
      <c r="N37790"/>
      <c r="O37790" s="24"/>
      <c r="P37790"/>
      <c r="Q37790" s="24"/>
      <c r="R37790"/>
      <c r="S37790"/>
      <c r="T37790"/>
      <c r="U37790"/>
      <c r="X37790" s="60"/>
    </row>
    <row r="37791" spans="7:24" ht="15" customHeight="1">
      <c r="G37791"/>
      <c r="I37791"/>
      <c r="N37791"/>
      <c r="O37791" s="24"/>
      <c r="P37791"/>
      <c r="Q37791" s="24"/>
      <c r="R37791"/>
      <c r="S37791"/>
      <c r="T37791"/>
      <c r="U37791"/>
      <c r="X37791" s="60"/>
    </row>
    <row r="37792" spans="7:24" ht="15" customHeight="1">
      <c r="G37792"/>
      <c r="I37792"/>
      <c r="N37792"/>
      <c r="O37792" s="24"/>
      <c r="P37792"/>
      <c r="Q37792" s="24"/>
      <c r="R37792"/>
      <c r="S37792"/>
      <c r="T37792"/>
      <c r="U37792"/>
      <c r="X37792" s="60"/>
    </row>
    <row r="37793" spans="7:24" ht="15" customHeight="1">
      <c r="G37793"/>
      <c r="I37793"/>
      <c r="N37793"/>
      <c r="O37793" s="24"/>
      <c r="P37793"/>
      <c r="Q37793" s="24"/>
      <c r="R37793"/>
      <c r="S37793"/>
      <c r="T37793"/>
      <c r="U37793"/>
      <c r="X37793" s="60"/>
    </row>
    <row r="37794" spans="7:24" ht="15" customHeight="1">
      <c r="G37794"/>
      <c r="I37794"/>
      <c r="N37794"/>
      <c r="O37794" s="24"/>
      <c r="P37794"/>
      <c r="Q37794" s="24"/>
      <c r="R37794"/>
      <c r="S37794"/>
      <c r="T37794"/>
      <c r="U37794"/>
      <c r="X37794" s="60"/>
    </row>
    <row r="37795" spans="7:24" ht="15" customHeight="1">
      <c r="G37795"/>
      <c r="I37795"/>
      <c r="N37795"/>
      <c r="O37795" s="24"/>
      <c r="P37795"/>
      <c r="Q37795" s="24"/>
      <c r="R37795"/>
      <c r="S37795"/>
      <c r="T37795"/>
      <c r="U37795"/>
      <c r="X37795" s="60"/>
    </row>
    <row r="37796" spans="7:24" ht="15" customHeight="1">
      <c r="G37796"/>
      <c r="I37796"/>
      <c r="N37796"/>
      <c r="O37796" s="24"/>
      <c r="P37796"/>
      <c r="Q37796" s="24"/>
      <c r="R37796"/>
      <c r="S37796"/>
      <c r="T37796"/>
      <c r="U37796"/>
      <c r="X37796" s="60"/>
    </row>
    <row r="37797" spans="7:24" ht="15" customHeight="1">
      <c r="G37797"/>
      <c r="I37797"/>
      <c r="N37797"/>
      <c r="O37797" s="24"/>
      <c r="P37797"/>
      <c r="Q37797" s="24"/>
      <c r="R37797"/>
      <c r="S37797"/>
      <c r="T37797"/>
      <c r="U37797"/>
      <c r="X37797" s="60"/>
    </row>
    <row r="37798" spans="7:24" ht="15" customHeight="1">
      <c r="G37798"/>
      <c r="I37798"/>
      <c r="N37798"/>
      <c r="O37798" s="24"/>
      <c r="P37798"/>
      <c r="Q37798" s="24"/>
      <c r="R37798"/>
      <c r="S37798"/>
      <c r="T37798"/>
      <c r="U37798"/>
      <c r="X37798" s="60"/>
    </row>
    <row r="37799" spans="7:24" ht="15" customHeight="1">
      <c r="G37799"/>
      <c r="I37799"/>
      <c r="N37799"/>
      <c r="O37799" s="24"/>
      <c r="P37799"/>
      <c r="Q37799" s="24"/>
      <c r="R37799"/>
      <c r="S37799"/>
      <c r="T37799"/>
      <c r="U37799"/>
      <c r="X37799" s="60"/>
    </row>
    <row r="37800" spans="7:24" ht="15" customHeight="1">
      <c r="G37800"/>
      <c r="I37800"/>
      <c r="N37800"/>
      <c r="O37800" s="24"/>
      <c r="P37800"/>
      <c r="Q37800" s="24"/>
      <c r="R37800"/>
      <c r="S37800"/>
      <c r="T37800"/>
      <c r="U37800"/>
      <c r="X37800" s="60"/>
    </row>
    <row r="37801" spans="7:24" ht="15" customHeight="1">
      <c r="G37801"/>
      <c r="I37801"/>
      <c r="N37801"/>
      <c r="O37801" s="24"/>
      <c r="P37801"/>
      <c r="Q37801" s="24"/>
      <c r="R37801"/>
      <c r="S37801"/>
      <c r="T37801"/>
      <c r="U37801"/>
      <c r="X37801" s="60"/>
    </row>
    <row r="37802" spans="7:24" ht="15" customHeight="1">
      <c r="G37802"/>
      <c r="I37802"/>
      <c r="N37802"/>
      <c r="O37802" s="24"/>
      <c r="P37802"/>
      <c r="Q37802" s="24"/>
      <c r="R37802"/>
      <c r="S37802"/>
      <c r="T37802"/>
      <c r="U37802"/>
      <c r="X37802" s="60"/>
    </row>
    <row r="37803" spans="7:24" ht="15" customHeight="1">
      <c r="G37803"/>
      <c r="I37803"/>
      <c r="N37803"/>
      <c r="O37803" s="24"/>
      <c r="P37803"/>
      <c r="Q37803" s="24"/>
      <c r="R37803"/>
      <c r="S37803"/>
      <c r="T37803"/>
      <c r="U37803"/>
      <c r="X37803" s="60"/>
    </row>
    <row r="37804" spans="7:24" ht="15" customHeight="1">
      <c r="G37804"/>
      <c r="I37804"/>
      <c r="N37804"/>
      <c r="O37804" s="24"/>
      <c r="P37804"/>
      <c r="Q37804" s="24"/>
      <c r="R37804"/>
      <c r="S37804"/>
      <c r="T37804"/>
      <c r="U37804"/>
      <c r="X37804" s="60"/>
    </row>
    <row r="37805" spans="7:24" ht="15" customHeight="1">
      <c r="G37805"/>
      <c r="I37805"/>
      <c r="N37805"/>
      <c r="O37805" s="24"/>
      <c r="P37805"/>
      <c r="Q37805" s="24"/>
      <c r="R37805"/>
      <c r="S37805"/>
      <c r="T37805"/>
      <c r="U37805"/>
      <c r="X37805" s="60"/>
    </row>
    <row r="37806" spans="7:24" ht="15" customHeight="1">
      <c r="G37806"/>
      <c r="I37806"/>
      <c r="N37806"/>
      <c r="O37806" s="24"/>
      <c r="P37806"/>
      <c r="Q37806" s="24"/>
      <c r="R37806"/>
      <c r="S37806"/>
      <c r="T37806"/>
      <c r="U37806"/>
      <c r="X37806" s="60"/>
    </row>
    <row r="37807" spans="7:24" ht="15" customHeight="1">
      <c r="G37807"/>
      <c r="I37807"/>
      <c r="N37807"/>
      <c r="O37807" s="24"/>
      <c r="P37807"/>
      <c r="Q37807" s="24"/>
      <c r="R37807"/>
      <c r="S37807"/>
      <c r="T37807"/>
      <c r="U37807"/>
      <c r="X37807" s="60"/>
    </row>
    <row r="37808" spans="7:24" ht="15" customHeight="1">
      <c r="G37808"/>
      <c r="I37808"/>
      <c r="N37808"/>
      <c r="O37808" s="24"/>
      <c r="P37808"/>
      <c r="Q37808" s="24"/>
      <c r="R37808"/>
      <c r="S37808"/>
      <c r="T37808"/>
      <c r="U37808"/>
      <c r="X37808" s="60"/>
    </row>
    <row r="37809" spans="7:24" ht="15" customHeight="1">
      <c r="G37809"/>
      <c r="I37809"/>
      <c r="N37809"/>
      <c r="O37809" s="24"/>
      <c r="P37809"/>
      <c r="Q37809" s="24"/>
      <c r="R37809"/>
      <c r="S37809"/>
      <c r="T37809"/>
      <c r="U37809"/>
      <c r="X37809" s="60"/>
    </row>
    <row r="37810" spans="7:24" ht="15" customHeight="1">
      <c r="G37810"/>
      <c r="I37810"/>
      <c r="N37810"/>
      <c r="O37810" s="24"/>
      <c r="P37810"/>
      <c r="Q37810" s="24"/>
      <c r="R37810"/>
      <c r="S37810"/>
      <c r="T37810"/>
      <c r="U37810"/>
      <c r="X37810" s="60"/>
    </row>
    <row r="37811" spans="7:24" ht="15" customHeight="1">
      <c r="G37811"/>
      <c r="I37811"/>
      <c r="N37811"/>
      <c r="O37811" s="24"/>
      <c r="P37811"/>
      <c r="Q37811" s="24"/>
      <c r="R37811"/>
      <c r="S37811"/>
      <c r="T37811"/>
      <c r="U37811"/>
      <c r="X37811" s="60"/>
    </row>
    <row r="37812" spans="7:24" ht="15" customHeight="1">
      <c r="G37812"/>
      <c r="I37812"/>
      <c r="N37812"/>
      <c r="O37812" s="24"/>
      <c r="P37812"/>
      <c r="Q37812" s="24"/>
      <c r="R37812"/>
      <c r="S37812"/>
      <c r="T37812"/>
      <c r="U37812"/>
      <c r="X37812" s="60"/>
    </row>
    <row r="37813" spans="7:24" ht="15" customHeight="1">
      <c r="G37813"/>
      <c r="I37813"/>
      <c r="N37813"/>
      <c r="O37813" s="24"/>
      <c r="P37813"/>
      <c r="Q37813" s="24"/>
      <c r="R37813"/>
      <c r="S37813"/>
      <c r="T37813"/>
      <c r="U37813"/>
      <c r="X37813" s="60"/>
    </row>
    <row r="37814" spans="7:24" ht="15" customHeight="1">
      <c r="G37814"/>
      <c r="I37814"/>
      <c r="N37814"/>
      <c r="O37814" s="24"/>
      <c r="P37814"/>
      <c r="Q37814" s="24"/>
      <c r="R37814"/>
      <c r="S37814"/>
      <c r="T37814"/>
      <c r="U37814"/>
      <c r="X37814" s="60"/>
    </row>
    <row r="37815" spans="7:24" ht="15" customHeight="1">
      <c r="G37815"/>
      <c r="I37815"/>
      <c r="N37815"/>
      <c r="O37815" s="24"/>
      <c r="P37815"/>
      <c r="Q37815" s="24"/>
      <c r="R37815"/>
      <c r="S37815"/>
      <c r="T37815"/>
      <c r="U37815"/>
      <c r="X37815" s="60"/>
    </row>
    <row r="37816" spans="7:24" ht="15" customHeight="1">
      <c r="G37816"/>
      <c r="I37816"/>
      <c r="N37816"/>
      <c r="O37816" s="24"/>
      <c r="P37816"/>
      <c r="Q37816" s="24"/>
      <c r="R37816"/>
      <c r="S37816"/>
      <c r="T37816"/>
      <c r="U37816"/>
      <c r="X37816" s="60"/>
    </row>
    <row r="37817" spans="7:24" ht="15" customHeight="1">
      <c r="G37817"/>
      <c r="I37817"/>
      <c r="N37817"/>
      <c r="O37817" s="24"/>
      <c r="P37817"/>
      <c r="Q37817" s="24"/>
      <c r="R37817"/>
      <c r="S37817"/>
      <c r="T37817"/>
      <c r="U37817"/>
      <c r="X37817" s="60"/>
    </row>
    <row r="37818" spans="7:24" ht="15" customHeight="1">
      <c r="G37818"/>
      <c r="I37818"/>
      <c r="N37818"/>
      <c r="O37818" s="24"/>
      <c r="P37818"/>
      <c r="Q37818" s="24"/>
      <c r="R37818"/>
      <c r="S37818"/>
      <c r="T37818"/>
      <c r="U37818"/>
      <c r="X37818" s="60"/>
    </row>
    <row r="37819" spans="7:24" ht="15" customHeight="1">
      <c r="G37819"/>
      <c r="I37819"/>
      <c r="N37819"/>
      <c r="O37819" s="24"/>
      <c r="P37819"/>
      <c r="Q37819" s="24"/>
      <c r="R37819"/>
      <c r="S37819"/>
      <c r="T37819"/>
      <c r="U37819"/>
      <c r="X37819" s="60"/>
    </row>
    <row r="37820" spans="7:24" ht="15" customHeight="1">
      <c r="G37820"/>
      <c r="I37820"/>
      <c r="N37820"/>
      <c r="O37820" s="24"/>
      <c r="P37820"/>
      <c r="Q37820" s="24"/>
      <c r="R37820"/>
      <c r="S37820"/>
      <c r="T37820"/>
      <c r="U37820"/>
      <c r="X37820" s="60"/>
    </row>
    <row r="37821" spans="7:24" ht="15" customHeight="1">
      <c r="G37821"/>
      <c r="I37821"/>
      <c r="N37821"/>
      <c r="O37821" s="24"/>
      <c r="P37821"/>
      <c r="Q37821" s="24"/>
      <c r="R37821"/>
      <c r="S37821"/>
      <c r="T37821"/>
      <c r="U37821"/>
      <c r="X37821" s="60"/>
    </row>
    <row r="37822" spans="7:24" ht="15" customHeight="1">
      <c r="G37822"/>
      <c r="I37822"/>
      <c r="N37822"/>
      <c r="O37822" s="24"/>
      <c r="P37822"/>
      <c r="Q37822" s="24"/>
      <c r="R37822"/>
      <c r="S37822"/>
      <c r="T37822"/>
      <c r="U37822"/>
      <c r="X37822" s="60"/>
    </row>
    <row r="37823" spans="7:24" ht="15" customHeight="1">
      <c r="G37823"/>
      <c r="I37823"/>
      <c r="N37823"/>
      <c r="O37823" s="24"/>
      <c r="P37823"/>
      <c r="Q37823" s="24"/>
      <c r="R37823"/>
      <c r="S37823"/>
      <c r="T37823"/>
      <c r="U37823"/>
      <c r="X37823" s="60"/>
    </row>
    <row r="37824" spans="7:24" ht="15" customHeight="1">
      <c r="G37824"/>
      <c r="I37824"/>
      <c r="N37824"/>
      <c r="O37824" s="24"/>
      <c r="P37824"/>
      <c r="Q37824" s="24"/>
      <c r="R37824"/>
      <c r="S37824"/>
      <c r="T37824"/>
      <c r="U37824"/>
      <c r="X37824" s="60"/>
    </row>
    <row r="37825" spans="7:24" ht="15" customHeight="1">
      <c r="G37825"/>
      <c r="I37825"/>
      <c r="N37825"/>
      <c r="O37825" s="24"/>
      <c r="P37825"/>
      <c r="Q37825" s="24"/>
      <c r="R37825"/>
      <c r="S37825"/>
      <c r="T37825"/>
      <c r="U37825"/>
      <c r="X37825" s="60"/>
    </row>
    <row r="37826" spans="7:24" ht="15" customHeight="1">
      <c r="G37826"/>
      <c r="I37826"/>
      <c r="N37826"/>
      <c r="O37826" s="24"/>
      <c r="P37826"/>
      <c r="Q37826" s="24"/>
      <c r="R37826"/>
      <c r="S37826"/>
      <c r="T37826"/>
      <c r="U37826"/>
      <c r="X37826" s="60"/>
    </row>
    <row r="37827" spans="7:24" ht="15" customHeight="1">
      <c r="G37827"/>
      <c r="I37827"/>
      <c r="N37827"/>
      <c r="O37827" s="24"/>
      <c r="P37827"/>
      <c r="Q37827" s="24"/>
      <c r="R37827"/>
      <c r="S37827"/>
      <c r="T37827"/>
      <c r="U37827"/>
      <c r="X37827" s="60"/>
    </row>
    <row r="37828" spans="7:24" ht="15" customHeight="1">
      <c r="G37828"/>
      <c r="I37828"/>
      <c r="N37828"/>
      <c r="O37828" s="24"/>
      <c r="P37828"/>
      <c r="Q37828" s="24"/>
      <c r="R37828"/>
      <c r="S37828"/>
      <c r="T37828"/>
      <c r="U37828"/>
      <c r="X37828" s="60"/>
    </row>
    <row r="37829" spans="7:24" ht="15" customHeight="1">
      <c r="G37829"/>
      <c r="I37829"/>
      <c r="N37829"/>
      <c r="O37829" s="24"/>
      <c r="P37829"/>
      <c r="Q37829" s="24"/>
      <c r="R37829"/>
      <c r="S37829"/>
      <c r="T37829"/>
      <c r="U37829"/>
      <c r="X37829" s="60"/>
    </row>
    <row r="37830" spans="7:24" ht="15" customHeight="1">
      <c r="G37830"/>
      <c r="I37830"/>
      <c r="N37830"/>
      <c r="O37830" s="24"/>
      <c r="P37830"/>
      <c r="Q37830" s="24"/>
      <c r="R37830"/>
      <c r="S37830"/>
      <c r="T37830"/>
      <c r="U37830"/>
      <c r="X37830" s="60"/>
    </row>
    <row r="37831" spans="7:24" ht="15" customHeight="1">
      <c r="G37831"/>
      <c r="I37831"/>
      <c r="N37831"/>
      <c r="O37831" s="24"/>
      <c r="P37831"/>
      <c r="Q37831" s="24"/>
      <c r="R37831"/>
      <c r="S37831"/>
      <c r="T37831"/>
      <c r="U37831"/>
      <c r="X37831" s="60"/>
    </row>
    <row r="37832" spans="7:24" ht="15" customHeight="1">
      <c r="G37832"/>
      <c r="I37832"/>
      <c r="N37832"/>
      <c r="O37832" s="24"/>
      <c r="P37832"/>
      <c r="Q37832" s="24"/>
      <c r="R37832"/>
      <c r="S37832"/>
      <c r="T37832"/>
      <c r="U37832"/>
      <c r="X37832" s="60"/>
    </row>
    <row r="37833" spans="7:24" ht="15" customHeight="1">
      <c r="G37833"/>
      <c r="I37833"/>
      <c r="N37833"/>
      <c r="O37833" s="24"/>
      <c r="P37833"/>
      <c r="Q37833" s="24"/>
      <c r="R37833"/>
      <c r="S37833"/>
      <c r="T37833"/>
      <c r="U37833"/>
      <c r="X37833" s="60"/>
    </row>
    <row r="37834" spans="7:24" ht="15" customHeight="1">
      <c r="G37834"/>
      <c r="I37834"/>
      <c r="N37834"/>
      <c r="O37834" s="24"/>
      <c r="P37834"/>
      <c r="Q37834" s="24"/>
      <c r="R37834"/>
      <c r="S37834"/>
      <c r="T37834"/>
      <c r="U37834"/>
      <c r="X37834" s="60"/>
    </row>
    <row r="37835" spans="7:24" ht="15" customHeight="1">
      <c r="G37835"/>
      <c r="I37835"/>
      <c r="N37835"/>
      <c r="O37835" s="24"/>
      <c r="P37835"/>
      <c r="Q37835" s="24"/>
      <c r="R37835"/>
      <c r="S37835"/>
      <c r="T37835"/>
      <c r="U37835"/>
      <c r="X37835" s="60"/>
    </row>
    <row r="37836" spans="7:24" ht="15" customHeight="1">
      <c r="G37836"/>
      <c r="I37836"/>
      <c r="N37836"/>
      <c r="O37836" s="24"/>
      <c r="P37836"/>
      <c r="Q37836" s="24"/>
      <c r="R37836"/>
      <c r="S37836"/>
      <c r="T37836"/>
      <c r="U37836"/>
      <c r="X37836" s="60"/>
    </row>
    <row r="37837" spans="7:24" ht="15" customHeight="1">
      <c r="G37837"/>
      <c r="I37837"/>
      <c r="N37837"/>
      <c r="O37837" s="24"/>
      <c r="P37837"/>
      <c r="Q37837" s="24"/>
      <c r="R37837"/>
      <c r="S37837"/>
      <c r="T37837"/>
      <c r="U37837"/>
      <c r="X37837" s="60"/>
    </row>
    <row r="37838" spans="7:24" ht="15" customHeight="1">
      <c r="G37838"/>
      <c r="I37838"/>
      <c r="N37838"/>
      <c r="O37838" s="24"/>
      <c r="P37838"/>
      <c r="Q37838" s="24"/>
      <c r="R37838"/>
      <c r="S37838"/>
      <c r="T37838"/>
      <c r="U37838"/>
      <c r="X37838" s="60"/>
    </row>
    <row r="37839" spans="7:24" ht="15" customHeight="1">
      <c r="G37839"/>
      <c r="I37839"/>
      <c r="N37839"/>
      <c r="O37839" s="24"/>
      <c r="P37839"/>
      <c r="Q37839" s="24"/>
      <c r="R37839"/>
      <c r="S37839"/>
      <c r="T37839"/>
      <c r="U37839"/>
      <c r="X37839" s="60"/>
    </row>
    <row r="37840" spans="7:24" ht="15" customHeight="1">
      <c r="G37840"/>
      <c r="I37840"/>
      <c r="N37840"/>
      <c r="O37840" s="24"/>
      <c r="P37840"/>
      <c r="Q37840" s="24"/>
      <c r="R37840"/>
      <c r="S37840"/>
      <c r="T37840"/>
      <c r="U37840"/>
      <c r="X37840" s="60"/>
    </row>
    <row r="37841" spans="7:24" ht="15" customHeight="1">
      <c r="G37841"/>
      <c r="I37841"/>
      <c r="N37841"/>
      <c r="O37841" s="24"/>
      <c r="P37841"/>
      <c r="Q37841" s="24"/>
      <c r="R37841"/>
      <c r="S37841"/>
      <c r="T37841"/>
      <c r="U37841"/>
      <c r="X37841" s="60"/>
    </row>
    <row r="37842" spans="7:24" ht="15" customHeight="1">
      <c r="G37842"/>
      <c r="I37842"/>
      <c r="N37842"/>
      <c r="O37842" s="24"/>
      <c r="P37842"/>
      <c r="Q37842" s="24"/>
      <c r="R37842"/>
      <c r="S37842"/>
      <c r="T37842"/>
      <c r="U37842"/>
      <c r="X37842" s="60"/>
    </row>
    <row r="37843" spans="7:24" ht="15" customHeight="1">
      <c r="G37843"/>
      <c r="I37843"/>
      <c r="N37843"/>
      <c r="O37843" s="24"/>
      <c r="P37843"/>
      <c r="Q37843" s="24"/>
      <c r="R37843"/>
      <c r="S37843"/>
      <c r="T37843"/>
      <c r="U37843"/>
      <c r="X37843" s="60"/>
    </row>
    <row r="37844" spans="7:24" ht="15" customHeight="1">
      <c r="G37844"/>
      <c r="I37844"/>
      <c r="N37844"/>
      <c r="O37844" s="24"/>
      <c r="P37844"/>
      <c r="Q37844" s="24"/>
      <c r="R37844"/>
      <c r="S37844"/>
      <c r="T37844"/>
      <c r="U37844"/>
      <c r="X37844" s="60"/>
    </row>
    <row r="37845" spans="7:24" ht="15" customHeight="1">
      <c r="G37845"/>
      <c r="I37845"/>
      <c r="N37845"/>
      <c r="O37845" s="24"/>
      <c r="P37845"/>
      <c r="Q37845" s="24"/>
      <c r="R37845"/>
      <c r="S37845"/>
      <c r="T37845"/>
      <c r="U37845"/>
      <c r="X37845" s="60"/>
    </row>
    <row r="37846" spans="7:24" ht="15" customHeight="1">
      <c r="G37846"/>
      <c r="I37846"/>
      <c r="N37846"/>
      <c r="O37846" s="24"/>
      <c r="P37846"/>
      <c r="Q37846" s="24"/>
      <c r="R37846"/>
      <c r="S37846"/>
      <c r="T37846"/>
      <c r="U37846"/>
      <c r="X37846" s="60"/>
    </row>
    <row r="37847" spans="7:24" ht="15" customHeight="1">
      <c r="G37847"/>
      <c r="I37847"/>
      <c r="N37847"/>
      <c r="O37847" s="24"/>
      <c r="P37847"/>
      <c r="Q37847" s="24"/>
      <c r="R37847"/>
      <c r="S37847"/>
      <c r="T37847"/>
      <c r="U37847"/>
      <c r="X37847" s="60"/>
    </row>
    <row r="37848" spans="7:24" ht="15" customHeight="1">
      <c r="G37848"/>
      <c r="I37848"/>
      <c r="N37848"/>
      <c r="O37848" s="24"/>
      <c r="P37848"/>
      <c r="Q37848" s="24"/>
      <c r="R37848"/>
      <c r="S37848"/>
      <c r="T37848"/>
      <c r="U37848"/>
      <c r="X37848" s="60"/>
    </row>
    <row r="37849" spans="7:24" ht="15" customHeight="1">
      <c r="G37849"/>
      <c r="I37849"/>
      <c r="N37849"/>
      <c r="O37849" s="24"/>
      <c r="P37849"/>
      <c r="Q37849" s="24"/>
      <c r="R37849"/>
      <c r="S37849"/>
      <c r="T37849"/>
      <c r="U37849"/>
      <c r="X37849" s="60"/>
    </row>
    <row r="37850" spans="7:24" ht="15" customHeight="1">
      <c r="G37850"/>
      <c r="I37850"/>
      <c r="N37850"/>
      <c r="O37850" s="24"/>
      <c r="P37850"/>
      <c r="Q37850" s="24"/>
      <c r="R37850"/>
      <c r="S37850"/>
      <c r="T37850"/>
      <c r="U37850"/>
      <c r="X37850" s="60"/>
    </row>
    <row r="37851" spans="7:24" ht="15" customHeight="1">
      <c r="G37851"/>
      <c r="I37851"/>
      <c r="N37851"/>
      <c r="O37851" s="24"/>
      <c r="P37851"/>
      <c r="Q37851" s="24"/>
      <c r="R37851"/>
      <c r="S37851"/>
      <c r="T37851"/>
      <c r="U37851"/>
      <c r="X37851" s="60"/>
    </row>
    <row r="37852" spans="7:24" ht="15" customHeight="1">
      <c r="G37852"/>
      <c r="I37852"/>
      <c r="N37852"/>
      <c r="O37852" s="24"/>
      <c r="P37852"/>
      <c r="Q37852" s="24"/>
      <c r="R37852"/>
      <c r="S37852"/>
      <c r="T37852"/>
      <c r="U37852"/>
      <c r="X37852" s="60"/>
    </row>
    <row r="37853" spans="7:24" ht="15" customHeight="1">
      <c r="G37853"/>
      <c r="I37853"/>
      <c r="N37853"/>
      <c r="O37853" s="24"/>
      <c r="P37853"/>
      <c r="Q37853" s="24"/>
      <c r="R37853"/>
      <c r="S37853"/>
      <c r="T37853"/>
      <c r="U37853"/>
      <c r="X37853" s="60"/>
    </row>
    <row r="37854" spans="7:24" ht="15" customHeight="1">
      <c r="G37854"/>
      <c r="I37854"/>
      <c r="N37854"/>
      <c r="O37854" s="24"/>
      <c r="P37854"/>
      <c r="Q37854" s="24"/>
      <c r="R37854"/>
      <c r="S37854"/>
      <c r="T37854"/>
      <c r="U37854"/>
      <c r="X37854" s="60"/>
    </row>
    <row r="37855" spans="7:24" ht="15" customHeight="1">
      <c r="G37855"/>
      <c r="I37855"/>
      <c r="N37855"/>
      <c r="O37855" s="24"/>
      <c r="P37855"/>
      <c r="Q37855" s="24"/>
      <c r="R37855"/>
      <c r="S37855"/>
      <c r="T37855"/>
      <c r="U37855"/>
      <c r="X37855" s="60"/>
    </row>
    <row r="37856" spans="7:24" ht="15" customHeight="1">
      <c r="G37856"/>
      <c r="I37856"/>
      <c r="N37856"/>
      <c r="O37856" s="24"/>
      <c r="P37856"/>
      <c r="Q37856" s="24"/>
      <c r="R37856"/>
      <c r="S37856"/>
      <c r="T37856"/>
      <c r="U37856"/>
      <c r="X37856" s="60"/>
    </row>
    <row r="37857" spans="7:24" ht="15" customHeight="1">
      <c r="G37857"/>
      <c r="I37857"/>
      <c r="N37857"/>
      <c r="O37857" s="24"/>
      <c r="P37857"/>
      <c r="Q37857" s="24"/>
      <c r="R37857"/>
      <c r="S37857"/>
      <c r="T37857"/>
      <c r="U37857"/>
      <c r="X37857" s="60"/>
    </row>
    <row r="37858" spans="7:24" ht="15" customHeight="1">
      <c r="G37858"/>
      <c r="I37858"/>
      <c r="N37858"/>
      <c r="O37858" s="24"/>
      <c r="P37858"/>
      <c r="Q37858" s="24"/>
      <c r="R37858"/>
      <c r="S37858"/>
      <c r="T37858"/>
      <c r="U37858"/>
      <c r="X37858" s="60"/>
    </row>
    <row r="37859" spans="7:24" ht="15" customHeight="1">
      <c r="G37859"/>
      <c r="I37859"/>
      <c r="N37859"/>
      <c r="O37859" s="24"/>
      <c r="P37859"/>
      <c r="Q37859" s="24"/>
      <c r="R37859"/>
      <c r="S37859"/>
      <c r="T37859"/>
      <c r="U37859"/>
      <c r="X37859" s="60"/>
    </row>
    <row r="37860" spans="7:24" ht="15" customHeight="1">
      <c r="G37860"/>
      <c r="I37860"/>
      <c r="N37860"/>
      <c r="O37860" s="24"/>
      <c r="P37860"/>
      <c r="Q37860" s="24"/>
      <c r="R37860"/>
      <c r="S37860"/>
      <c r="T37860"/>
      <c r="U37860"/>
      <c r="X37860" s="60"/>
    </row>
    <row r="37861" spans="7:24" ht="15" customHeight="1">
      <c r="G37861"/>
      <c r="I37861"/>
      <c r="N37861"/>
      <c r="O37861" s="24"/>
      <c r="P37861"/>
      <c r="Q37861" s="24"/>
      <c r="R37861"/>
      <c r="S37861"/>
      <c r="T37861"/>
      <c r="U37861"/>
      <c r="X37861" s="60"/>
    </row>
    <row r="37862" spans="7:24" ht="15" customHeight="1">
      <c r="G37862"/>
      <c r="I37862"/>
      <c r="N37862"/>
      <c r="O37862" s="24"/>
      <c r="P37862"/>
      <c r="Q37862" s="24"/>
      <c r="R37862"/>
      <c r="S37862"/>
      <c r="T37862"/>
      <c r="U37862"/>
      <c r="X37862" s="60"/>
    </row>
    <row r="37863" spans="7:24" ht="15" customHeight="1">
      <c r="G37863"/>
      <c r="I37863"/>
      <c r="N37863"/>
      <c r="O37863" s="24"/>
      <c r="P37863"/>
      <c r="Q37863" s="24"/>
      <c r="R37863"/>
      <c r="S37863"/>
      <c r="T37863"/>
      <c r="U37863"/>
      <c r="X37863" s="60"/>
    </row>
    <row r="37864" spans="7:24" ht="15" customHeight="1">
      <c r="G37864"/>
      <c r="I37864"/>
      <c r="N37864"/>
      <c r="O37864" s="24"/>
      <c r="P37864"/>
      <c r="Q37864" s="24"/>
      <c r="R37864"/>
      <c r="S37864"/>
      <c r="T37864"/>
      <c r="U37864"/>
      <c r="X37864" s="60"/>
    </row>
    <row r="37865" spans="7:24" ht="15" customHeight="1">
      <c r="G37865"/>
      <c r="I37865"/>
      <c r="N37865"/>
      <c r="O37865" s="24"/>
      <c r="P37865"/>
      <c r="Q37865" s="24"/>
      <c r="R37865"/>
      <c r="S37865"/>
      <c r="T37865"/>
      <c r="U37865"/>
      <c r="X37865" s="60"/>
    </row>
    <row r="37866" spans="7:24" ht="15" customHeight="1">
      <c r="G37866"/>
      <c r="I37866"/>
      <c r="N37866"/>
      <c r="O37866" s="24"/>
      <c r="P37866"/>
      <c r="Q37866" s="24"/>
      <c r="R37866"/>
      <c r="S37866"/>
      <c r="T37866"/>
      <c r="U37866"/>
      <c r="X37866" s="60"/>
    </row>
    <row r="37867" spans="7:24" ht="15" customHeight="1">
      <c r="G37867"/>
      <c r="I37867"/>
      <c r="N37867"/>
      <c r="O37867" s="24"/>
      <c r="P37867"/>
      <c r="Q37867" s="24"/>
      <c r="R37867"/>
      <c r="S37867"/>
      <c r="T37867"/>
      <c r="U37867"/>
      <c r="X37867" s="60"/>
    </row>
    <row r="37868" spans="7:24" ht="15" customHeight="1">
      <c r="G37868"/>
      <c r="I37868"/>
      <c r="N37868"/>
      <c r="O37868" s="24"/>
      <c r="P37868"/>
      <c r="Q37868" s="24"/>
      <c r="R37868"/>
      <c r="S37868"/>
      <c r="T37868"/>
      <c r="U37868"/>
      <c r="X37868" s="60"/>
    </row>
    <row r="37869" spans="7:24" ht="15" customHeight="1">
      <c r="G37869"/>
      <c r="I37869"/>
      <c r="N37869"/>
      <c r="O37869" s="24"/>
      <c r="P37869"/>
      <c r="Q37869" s="24"/>
      <c r="R37869"/>
      <c r="S37869"/>
      <c r="T37869"/>
      <c r="U37869"/>
      <c r="X37869" s="60"/>
    </row>
    <row r="37870" spans="7:24" ht="15" customHeight="1">
      <c r="G37870"/>
      <c r="I37870"/>
      <c r="N37870"/>
      <c r="O37870" s="24"/>
      <c r="P37870"/>
      <c r="Q37870" s="24"/>
      <c r="R37870"/>
      <c r="S37870"/>
      <c r="T37870"/>
      <c r="U37870"/>
      <c r="X37870" s="60"/>
    </row>
    <row r="37871" spans="7:24" ht="15" customHeight="1">
      <c r="G37871"/>
      <c r="I37871"/>
      <c r="N37871"/>
      <c r="O37871" s="24"/>
      <c r="P37871"/>
      <c r="Q37871" s="24"/>
      <c r="R37871"/>
      <c r="S37871"/>
      <c r="T37871"/>
      <c r="U37871"/>
      <c r="X37871" s="60"/>
    </row>
    <row r="37872" spans="7:24" ht="15" customHeight="1">
      <c r="G37872"/>
      <c r="I37872"/>
      <c r="N37872"/>
      <c r="O37872" s="24"/>
      <c r="P37872"/>
      <c r="Q37872" s="24"/>
      <c r="R37872"/>
      <c r="S37872"/>
      <c r="T37872"/>
      <c r="U37872"/>
      <c r="X37872" s="60"/>
    </row>
    <row r="37873" spans="7:24" ht="15" customHeight="1">
      <c r="G37873"/>
      <c r="I37873"/>
      <c r="N37873"/>
      <c r="O37873" s="24"/>
      <c r="P37873"/>
      <c r="Q37873" s="24"/>
      <c r="R37873"/>
      <c r="S37873"/>
      <c r="T37873"/>
      <c r="U37873"/>
      <c r="X37873" s="60"/>
    </row>
    <row r="37874" spans="7:24" ht="15" customHeight="1">
      <c r="G37874"/>
      <c r="I37874"/>
      <c r="N37874"/>
      <c r="O37874" s="24"/>
      <c r="P37874"/>
      <c r="Q37874" s="24"/>
      <c r="R37874"/>
      <c r="S37874"/>
      <c r="T37874"/>
      <c r="U37874"/>
      <c r="X37874" s="60"/>
    </row>
    <row r="37875" spans="7:24" ht="15" customHeight="1">
      <c r="G37875"/>
      <c r="I37875"/>
      <c r="N37875"/>
      <c r="O37875" s="24"/>
      <c r="P37875"/>
      <c r="Q37875" s="24"/>
      <c r="R37875"/>
      <c r="S37875"/>
      <c r="T37875"/>
      <c r="U37875"/>
      <c r="X37875" s="60"/>
    </row>
    <row r="37876" spans="7:24" ht="15" customHeight="1">
      <c r="G37876"/>
      <c r="I37876"/>
      <c r="N37876"/>
      <c r="O37876" s="24"/>
      <c r="P37876"/>
      <c r="Q37876" s="24"/>
      <c r="R37876"/>
      <c r="S37876"/>
      <c r="T37876"/>
      <c r="U37876"/>
      <c r="X37876" s="60"/>
    </row>
    <row r="37877" spans="7:24" ht="15" customHeight="1">
      <c r="G37877"/>
      <c r="I37877"/>
      <c r="N37877"/>
      <c r="O37877" s="24"/>
      <c r="P37877"/>
      <c r="Q37877" s="24"/>
      <c r="R37877"/>
      <c r="S37877"/>
      <c r="T37877"/>
      <c r="U37877"/>
      <c r="X37877" s="60"/>
    </row>
    <row r="37878" spans="7:24" ht="15" customHeight="1">
      <c r="G37878"/>
      <c r="I37878"/>
      <c r="N37878"/>
      <c r="O37878" s="24"/>
      <c r="P37878"/>
      <c r="Q37878" s="24"/>
      <c r="R37878"/>
      <c r="S37878"/>
      <c r="T37878"/>
      <c r="U37878"/>
      <c r="X37878" s="60"/>
    </row>
    <row r="37879" spans="7:24" ht="15" customHeight="1">
      <c r="G37879"/>
      <c r="I37879"/>
      <c r="N37879"/>
      <c r="O37879" s="24"/>
      <c r="P37879"/>
      <c r="Q37879" s="24"/>
      <c r="R37879"/>
      <c r="S37879"/>
      <c r="T37879"/>
      <c r="U37879"/>
      <c r="X37879" s="60"/>
    </row>
    <row r="37880" spans="7:24" ht="15" customHeight="1">
      <c r="G37880"/>
      <c r="I37880"/>
      <c r="N37880"/>
      <c r="O37880" s="24"/>
      <c r="P37880"/>
      <c r="Q37880" s="24"/>
      <c r="R37880"/>
      <c r="S37880"/>
      <c r="T37880"/>
      <c r="U37880"/>
      <c r="X37880" s="60"/>
    </row>
    <row r="37881" spans="7:24" ht="15" customHeight="1">
      <c r="G37881"/>
      <c r="I37881"/>
      <c r="N37881"/>
      <c r="O37881" s="24"/>
      <c r="P37881"/>
      <c r="Q37881" s="24"/>
      <c r="R37881"/>
      <c r="S37881"/>
      <c r="T37881"/>
      <c r="U37881"/>
      <c r="X37881" s="60"/>
    </row>
    <row r="37882" spans="7:24" ht="15" customHeight="1">
      <c r="G37882"/>
      <c r="I37882"/>
      <c r="N37882"/>
      <c r="O37882" s="24"/>
      <c r="P37882"/>
      <c r="Q37882" s="24"/>
      <c r="R37882"/>
      <c r="S37882"/>
      <c r="T37882"/>
      <c r="U37882"/>
      <c r="X37882" s="60"/>
    </row>
    <row r="37883" spans="7:24" ht="15" customHeight="1">
      <c r="G37883"/>
      <c r="I37883"/>
      <c r="N37883"/>
      <c r="O37883" s="24"/>
      <c r="P37883"/>
      <c r="Q37883" s="24"/>
      <c r="R37883"/>
      <c r="S37883"/>
      <c r="T37883"/>
      <c r="U37883"/>
      <c r="X37883" s="60"/>
    </row>
    <row r="37884" spans="7:24" ht="15" customHeight="1">
      <c r="G37884"/>
      <c r="I37884"/>
      <c r="N37884"/>
      <c r="O37884" s="24"/>
      <c r="P37884"/>
      <c r="Q37884" s="24"/>
      <c r="R37884"/>
      <c r="S37884"/>
      <c r="T37884"/>
      <c r="U37884"/>
      <c r="X37884" s="60"/>
    </row>
    <row r="37885" spans="7:24" ht="15" customHeight="1">
      <c r="G37885"/>
      <c r="I37885"/>
      <c r="N37885"/>
      <c r="O37885" s="24"/>
      <c r="P37885"/>
      <c r="Q37885" s="24"/>
      <c r="R37885"/>
      <c r="S37885"/>
      <c r="T37885"/>
      <c r="U37885"/>
      <c r="X37885" s="60"/>
    </row>
    <row r="37886" spans="7:24" ht="15" customHeight="1">
      <c r="G37886"/>
      <c r="I37886"/>
      <c r="N37886"/>
      <c r="O37886" s="24"/>
      <c r="P37886"/>
      <c r="Q37886" s="24"/>
      <c r="R37886"/>
      <c r="S37886"/>
      <c r="T37886"/>
      <c r="U37886"/>
      <c r="X37886" s="60"/>
    </row>
    <row r="37887" spans="7:24" ht="15" customHeight="1">
      <c r="G37887"/>
      <c r="I37887"/>
      <c r="N37887"/>
      <c r="O37887" s="24"/>
      <c r="P37887"/>
      <c r="Q37887" s="24"/>
      <c r="R37887"/>
      <c r="S37887"/>
      <c r="T37887"/>
      <c r="U37887"/>
      <c r="X37887" s="60"/>
    </row>
    <row r="37888" spans="7:24" ht="15" customHeight="1">
      <c r="G37888"/>
      <c r="I37888"/>
      <c r="N37888"/>
      <c r="O37888" s="24"/>
      <c r="P37888"/>
      <c r="Q37888" s="24"/>
      <c r="R37888"/>
      <c r="S37888"/>
      <c r="T37888"/>
      <c r="U37888"/>
      <c r="X37888" s="60"/>
    </row>
    <row r="37889" spans="7:24" ht="15" customHeight="1">
      <c r="G37889"/>
      <c r="I37889"/>
      <c r="N37889"/>
      <c r="O37889" s="24"/>
      <c r="P37889"/>
      <c r="Q37889" s="24"/>
      <c r="R37889"/>
      <c r="S37889"/>
      <c r="T37889"/>
      <c r="U37889"/>
      <c r="X37889" s="60"/>
    </row>
    <row r="37890" spans="7:24" ht="15" customHeight="1">
      <c r="G37890"/>
      <c r="I37890"/>
      <c r="N37890"/>
      <c r="O37890" s="24"/>
      <c r="P37890"/>
      <c r="Q37890" s="24"/>
      <c r="R37890"/>
      <c r="S37890"/>
      <c r="T37890"/>
      <c r="U37890"/>
      <c r="X37890" s="60"/>
    </row>
    <row r="37891" spans="7:24" ht="15" customHeight="1">
      <c r="G37891"/>
      <c r="I37891"/>
      <c r="N37891"/>
      <c r="O37891" s="24"/>
      <c r="P37891"/>
      <c r="Q37891" s="24"/>
      <c r="R37891"/>
      <c r="S37891"/>
      <c r="T37891"/>
      <c r="U37891"/>
      <c r="X37891" s="60"/>
    </row>
    <row r="37892" spans="7:24" ht="15" customHeight="1">
      <c r="G37892"/>
      <c r="I37892"/>
      <c r="N37892"/>
      <c r="O37892" s="24"/>
      <c r="P37892"/>
      <c r="Q37892" s="24"/>
      <c r="R37892"/>
      <c r="S37892"/>
      <c r="T37892"/>
      <c r="U37892"/>
      <c r="X37892" s="60"/>
    </row>
    <row r="37893" spans="7:24" ht="15" customHeight="1">
      <c r="G37893"/>
      <c r="I37893"/>
      <c r="N37893"/>
      <c r="O37893" s="24"/>
      <c r="P37893"/>
      <c r="Q37893" s="24"/>
      <c r="R37893"/>
      <c r="S37893"/>
      <c r="T37893"/>
      <c r="U37893"/>
      <c r="X37893" s="60"/>
    </row>
    <row r="37894" spans="7:24" ht="15" customHeight="1">
      <c r="G37894"/>
      <c r="I37894"/>
      <c r="N37894"/>
      <c r="O37894" s="24"/>
      <c r="P37894"/>
      <c r="Q37894" s="24"/>
      <c r="R37894"/>
      <c r="S37894"/>
      <c r="T37894"/>
      <c r="U37894"/>
      <c r="X37894" s="60"/>
    </row>
    <row r="37895" spans="7:24" ht="15" customHeight="1">
      <c r="G37895"/>
      <c r="I37895"/>
      <c r="N37895"/>
      <c r="O37895" s="24"/>
      <c r="P37895"/>
      <c r="Q37895" s="24"/>
      <c r="R37895"/>
      <c r="S37895"/>
      <c r="T37895"/>
      <c r="U37895"/>
      <c r="X37895" s="60"/>
    </row>
    <row r="37896" spans="7:24" ht="15" customHeight="1">
      <c r="G37896"/>
      <c r="I37896"/>
      <c r="N37896"/>
      <c r="O37896" s="24"/>
      <c r="P37896"/>
      <c r="Q37896" s="24"/>
      <c r="R37896"/>
      <c r="S37896"/>
      <c r="T37896"/>
      <c r="U37896"/>
      <c r="X37896" s="60"/>
    </row>
    <row r="37897" spans="7:24" ht="15" customHeight="1">
      <c r="G37897"/>
      <c r="I37897"/>
      <c r="N37897"/>
      <c r="O37897" s="24"/>
      <c r="P37897"/>
      <c r="Q37897" s="24"/>
      <c r="R37897"/>
      <c r="S37897"/>
      <c r="T37897"/>
      <c r="U37897"/>
      <c r="X37897" s="60"/>
    </row>
    <row r="37898" spans="7:24" ht="15" customHeight="1">
      <c r="G37898"/>
      <c r="I37898"/>
      <c r="N37898"/>
      <c r="O37898" s="24"/>
      <c r="P37898"/>
      <c r="Q37898" s="24"/>
      <c r="R37898"/>
      <c r="S37898"/>
      <c r="T37898"/>
      <c r="U37898"/>
      <c r="X37898" s="60"/>
    </row>
    <row r="37899" spans="7:24" ht="15" customHeight="1">
      <c r="G37899"/>
      <c r="I37899"/>
      <c r="N37899"/>
      <c r="O37899" s="24"/>
      <c r="P37899"/>
      <c r="Q37899" s="24"/>
      <c r="R37899"/>
      <c r="S37899"/>
      <c r="T37899"/>
      <c r="U37899"/>
      <c r="X37899" s="60"/>
    </row>
    <row r="37900" spans="7:24" ht="15" customHeight="1">
      <c r="G37900"/>
      <c r="I37900"/>
      <c r="N37900"/>
      <c r="O37900" s="24"/>
      <c r="P37900"/>
      <c r="Q37900" s="24"/>
      <c r="R37900"/>
      <c r="S37900"/>
      <c r="T37900"/>
      <c r="U37900"/>
      <c r="X37900" s="60"/>
    </row>
    <row r="37901" spans="7:24" ht="15" customHeight="1">
      <c r="G37901"/>
      <c r="I37901"/>
      <c r="N37901"/>
      <c r="O37901" s="24"/>
      <c r="P37901"/>
      <c r="Q37901" s="24"/>
      <c r="R37901"/>
      <c r="S37901"/>
      <c r="T37901"/>
      <c r="U37901"/>
      <c r="X37901" s="60"/>
    </row>
    <row r="37902" spans="7:24" ht="15" customHeight="1">
      <c r="G37902"/>
      <c r="I37902"/>
      <c r="N37902"/>
      <c r="O37902" s="24"/>
      <c r="P37902"/>
      <c r="Q37902" s="24"/>
      <c r="R37902"/>
      <c r="S37902"/>
      <c r="T37902"/>
      <c r="U37902"/>
      <c r="X37902" s="60"/>
    </row>
    <row r="37903" spans="7:24" ht="15" customHeight="1">
      <c r="G37903"/>
      <c r="I37903"/>
      <c r="N37903"/>
      <c r="O37903" s="24"/>
      <c r="P37903"/>
      <c r="Q37903" s="24"/>
      <c r="R37903"/>
      <c r="S37903"/>
      <c r="T37903"/>
      <c r="U37903"/>
      <c r="X37903" s="60"/>
    </row>
    <row r="37904" spans="7:24" ht="15" customHeight="1">
      <c r="G37904"/>
      <c r="I37904"/>
      <c r="N37904"/>
      <c r="O37904" s="24"/>
      <c r="P37904"/>
      <c r="Q37904" s="24"/>
      <c r="R37904"/>
      <c r="S37904"/>
      <c r="T37904"/>
      <c r="U37904"/>
      <c r="X37904" s="60"/>
    </row>
    <row r="37905" spans="7:24" ht="15" customHeight="1">
      <c r="G37905"/>
      <c r="I37905"/>
      <c r="N37905"/>
      <c r="O37905" s="24"/>
      <c r="P37905"/>
      <c r="Q37905" s="24"/>
      <c r="R37905"/>
      <c r="S37905"/>
      <c r="T37905"/>
      <c r="U37905"/>
      <c r="X37905" s="60"/>
    </row>
    <row r="37906" spans="7:24" ht="15" customHeight="1">
      <c r="G37906"/>
      <c r="I37906"/>
      <c r="N37906"/>
      <c r="O37906" s="24"/>
      <c r="P37906"/>
      <c r="Q37906" s="24"/>
      <c r="R37906"/>
      <c r="S37906"/>
      <c r="T37906"/>
      <c r="U37906"/>
      <c r="X37906" s="60"/>
    </row>
    <row r="37907" spans="7:24" ht="15" customHeight="1">
      <c r="G37907"/>
      <c r="I37907"/>
      <c r="N37907"/>
      <c r="O37907" s="24"/>
      <c r="P37907"/>
      <c r="Q37907" s="24"/>
      <c r="R37907"/>
      <c r="S37907"/>
      <c r="T37907"/>
      <c r="U37907"/>
      <c r="X37907" s="60"/>
    </row>
    <row r="37908" spans="7:24" ht="15" customHeight="1">
      <c r="G37908"/>
      <c r="I37908"/>
      <c r="N37908"/>
      <c r="O37908" s="24"/>
      <c r="P37908"/>
      <c r="Q37908" s="24"/>
      <c r="R37908"/>
      <c r="S37908"/>
      <c r="T37908"/>
      <c r="U37908"/>
      <c r="X37908" s="60"/>
    </row>
    <row r="37909" spans="7:24" ht="15" customHeight="1">
      <c r="G37909"/>
      <c r="I37909"/>
      <c r="N37909"/>
      <c r="O37909" s="24"/>
      <c r="P37909"/>
      <c r="Q37909" s="24"/>
      <c r="R37909"/>
      <c r="S37909"/>
      <c r="T37909"/>
      <c r="U37909"/>
      <c r="X37909" s="60"/>
    </row>
    <row r="37910" spans="7:24" ht="15" customHeight="1">
      <c r="G37910"/>
      <c r="I37910"/>
      <c r="N37910"/>
      <c r="O37910" s="24"/>
      <c r="P37910"/>
      <c r="Q37910" s="24"/>
      <c r="R37910"/>
      <c r="S37910"/>
      <c r="T37910"/>
      <c r="U37910"/>
      <c r="X37910" s="60"/>
    </row>
    <row r="37911" spans="7:24" ht="15" customHeight="1">
      <c r="G37911"/>
      <c r="I37911"/>
      <c r="N37911"/>
      <c r="O37911" s="24"/>
      <c r="P37911"/>
      <c r="Q37911" s="24"/>
      <c r="R37911"/>
      <c r="S37911"/>
      <c r="T37911"/>
      <c r="U37911"/>
      <c r="X37911" s="60"/>
    </row>
    <row r="37912" spans="7:24" ht="15" customHeight="1">
      <c r="G37912"/>
      <c r="I37912"/>
      <c r="N37912"/>
      <c r="O37912" s="24"/>
      <c r="P37912"/>
      <c r="Q37912" s="24"/>
      <c r="R37912"/>
      <c r="S37912"/>
      <c r="T37912"/>
      <c r="U37912"/>
      <c r="X37912" s="60"/>
    </row>
    <row r="37913" spans="7:24" ht="15" customHeight="1">
      <c r="G37913"/>
      <c r="I37913"/>
      <c r="N37913"/>
      <c r="O37913" s="24"/>
      <c r="P37913"/>
      <c r="Q37913" s="24"/>
      <c r="R37913"/>
      <c r="S37913"/>
      <c r="T37913"/>
      <c r="U37913"/>
      <c r="X37913" s="60"/>
    </row>
    <row r="37914" spans="7:24" ht="15" customHeight="1">
      <c r="G37914"/>
      <c r="I37914"/>
      <c r="N37914"/>
      <c r="O37914" s="24"/>
      <c r="P37914"/>
      <c r="Q37914" s="24"/>
      <c r="R37914"/>
      <c r="S37914"/>
      <c r="T37914"/>
      <c r="U37914"/>
      <c r="X37914" s="60"/>
    </row>
    <row r="37915" spans="7:24" ht="15" customHeight="1">
      <c r="G37915"/>
      <c r="I37915"/>
      <c r="N37915"/>
      <c r="O37915" s="24"/>
      <c r="P37915"/>
      <c r="Q37915" s="24"/>
      <c r="R37915"/>
      <c r="S37915"/>
      <c r="T37915"/>
      <c r="U37915"/>
      <c r="X37915" s="60"/>
    </row>
    <row r="37916" spans="7:24" ht="15" customHeight="1">
      <c r="G37916"/>
      <c r="I37916"/>
      <c r="N37916"/>
      <c r="O37916" s="24"/>
      <c r="P37916"/>
      <c r="Q37916" s="24"/>
      <c r="R37916"/>
      <c r="S37916"/>
      <c r="T37916"/>
      <c r="U37916"/>
      <c r="X37916" s="60"/>
    </row>
    <row r="37917" spans="7:24" ht="15" customHeight="1">
      <c r="G37917"/>
      <c r="I37917"/>
      <c r="N37917"/>
      <c r="O37917" s="24"/>
      <c r="P37917"/>
      <c r="Q37917" s="24"/>
      <c r="R37917"/>
      <c r="S37917"/>
      <c r="T37917"/>
      <c r="U37917"/>
      <c r="X37917" s="60"/>
    </row>
    <row r="37918" spans="7:24" ht="15" customHeight="1">
      <c r="G37918"/>
      <c r="I37918"/>
      <c r="N37918"/>
      <c r="O37918" s="24"/>
      <c r="P37918"/>
      <c r="Q37918" s="24"/>
      <c r="R37918"/>
      <c r="S37918"/>
      <c r="T37918"/>
      <c r="U37918"/>
      <c r="X37918" s="60"/>
    </row>
    <row r="37919" spans="7:24" ht="15" customHeight="1">
      <c r="G37919"/>
      <c r="I37919"/>
      <c r="N37919"/>
      <c r="O37919" s="24"/>
      <c r="P37919"/>
      <c r="Q37919" s="24"/>
      <c r="R37919"/>
      <c r="S37919"/>
      <c r="T37919"/>
      <c r="U37919"/>
      <c r="X37919" s="60"/>
    </row>
    <row r="37920" spans="7:24" ht="15" customHeight="1">
      <c r="G37920"/>
      <c r="I37920"/>
      <c r="N37920"/>
      <c r="O37920" s="24"/>
      <c r="P37920"/>
      <c r="Q37920" s="24"/>
      <c r="R37920"/>
      <c r="S37920"/>
      <c r="T37920"/>
      <c r="U37920"/>
      <c r="X37920" s="60"/>
    </row>
    <row r="37921" spans="7:24" ht="15" customHeight="1">
      <c r="G37921"/>
      <c r="I37921"/>
      <c r="N37921"/>
      <c r="O37921" s="24"/>
      <c r="P37921"/>
      <c r="Q37921" s="24"/>
      <c r="R37921"/>
      <c r="S37921"/>
      <c r="T37921"/>
      <c r="U37921"/>
      <c r="X37921" s="60"/>
    </row>
    <row r="37922" spans="7:24" ht="15" customHeight="1">
      <c r="G37922"/>
      <c r="I37922"/>
      <c r="N37922"/>
      <c r="O37922" s="24"/>
      <c r="P37922"/>
      <c r="Q37922" s="24"/>
      <c r="R37922"/>
      <c r="S37922"/>
      <c r="T37922"/>
      <c r="U37922"/>
      <c r="X37922" s="60"/>
    </row>
    <row r="37923" spans="7:24" ht="15" customHeight="1">
      <c r="G37923"/>
      <c r="I37923"/>
      <c r="N37923"/>
      <c r="O37923" s="24"/>
      <c r="P37923"/>
      <c r="Q37923" s="24"/>
      <c r="R37923"/>
      <c r="S37923"/>
      <c r="T37923"/>
      <c r="U37923"/>
      <c r="X37923" s="60"/>
    </row>
    <row r="37924" spans="7:24" ht="15" customHeight="1">
      <c r="G37924"/>
      <c r="I37924"/>
      <c r="N37924"/>
      <c r="O37924" s="24"/>
      <c r="P37924"/>
      <c r="Q37924" s="24"/>
      <c r="R37924"/>
      <c r="S37924"/>
      <c r="T37924"/>
      <c r="U37924"/>
      <c r="X37924" s="60"/>
    </row>
    <row r="37925" spans="7:24" ht="15" customHeight="1">
      <c r="G37925"/>
      <c r="I37925"/>
      <c r="N37925"/>
      <c r="O37925" s="24"/>
      <c r="P37925"/>
      <c r="Q37925" s="24"/>
      <c r="R37925"/>
      <c r="S37925"/>
      <c r="T37925"/>
      <c r="U37925"/>
      <c r="X37925" s="60"/>
    </row>
    <row r="37926" spans="7:24" ht="15" customHeight="1">
      <c r="G37926"/>
      <c r="I37926"/>
      <c r="N37926"/>
      <c r="O37926" s="24"/>
      <c r="P37926"/>
      <c r="Q37926" s="24"/>
      <c r="R37926"/>
      <c r="S37926"/>
      <c r="T37926"/>
      <c r="U37926"/>
      <c r="X37926" s="60"/>
    </row>
    <row r="37927" spans="7:24" ht="15" customHeight="1">
      <c r="G37927"/>
      <c r="I37927"/>
      <c r="N37927"/>
      <c r="O37927" s="24"/>
      <c r="P37927"/>
      <c r="Q37927" s="24"/>
      <c r="R37927"/>
      <c r="S37927"/>
      <c r="T37927"/>
      <c r="U37927"/>
      <c r="X37927" s="60"/>
    </row>
    <row r="37928" spans="7:24" ht="15" customHeight="1">
      <c r="G37928"/>
      <c r="I37928"/>
      <c r="N37928"/>
      <c r="O37928" s="24"/>
      <c r="P37928"/>
      <c r="Q37928" s="24"/>
      <c r="R37928"/>
      <c r="S37928"/>
      <c r="T37928"/>
      <c r="U37928"/>
      <c r="X37928" s="60"/>
    </row>
    <row r="37929" spans="7:24" ht="15" customHeight="1">
      <c r="G37929"/>
      <c r="I37929"/>
      <c r="N37929"/>
      <c r="O37929" s="24"/>
      <c r="P37929"/>
      <c r="Q37929" s="24"/>
      <c r="R37929"/>
      <c r="S37929"/>
      <c r="T37929"/>
      <c r="U37929"/>
      <c r="X37929" s="60"/>
    </row>
    <row r="37930" spans="7:24" ht="15" customHeight="1">
      <c r="G37930"/>
      <c r="I37930"/>
      <c r="N37930"/>
      <c r="O37930" s="24"/>
      <c r="P37930"/>
      <c r="Q37930" s="24"/>
      <c r="R37930"/>
      <c r="S37930"/>
      <c r="T37930"/>
      <c r="U37930"/>
      <c r="X37930" s="60"/>
    </row>
    <row r="37931" spans="7:24" ht="15" customHeight="1">
      <c r="G37931"/>
      <c r="I37931"/>
      <c r="N37931"/>
      <c r="O37931" s="24"/>
      <c r="P37931"/>
      <c r="Q37931" s="24"/>
      <c r="R37931"/>
      <c r="S37931"/>
      <c r="T37931"/>
      <c r="U37931"/>
      <c r="X37931" s="60"/>
    </row>
    <row r="37932" spans="7:24" ht="15" customHeight="1">
      <c r="G37932"/>
      <c r="I37932"/>
      <c r="N37932"/>
      <c r="O37932" s="24"/>
      <c r="P37932"/>
      <c r="Q37932" s="24"/>
      <c r="R37932"/>
      <c r="S37932"/>
      <c r="T37932"/>
      <c r="U37932"/>
      <c r="X37932" s="60"/>
    </row>
    <row r="37933" spans="7:24" ht="15" customHeight="1">
      <c r="G37933"/>
      <c r="I37933"/>
      <c r="N37933"/>
      <c r="O37933" s="24"/>
      <c r="P37933"/>
      <c r="Q37933" s="24"/>
      <c r="R37933"/>
      <c r="S37933"/>
      <c r="T37933"/>
      <c r="U37933"/>
      <c r="X37933" s="60"/>
    </row>
    <row r="37934" spans="7:24" ht="15" customHeight="1">
      <c r="G37934"/>
      <c r="I37934"/>
      <c r="N37934"/>
      <c r="O37934" s="24"/>
      <c r="P37934"/>
      <c r="Q37934" s="24"/>
      <c r="R37934"/>
      <c r="S37934"/>
      <c r="T37934"/>
      <c r="U37934"/>
      <c r="X37934" s="60"/>
    </row>
    <row r="37935" spans="7:24" ht="15" customHeight="1">
      <c r="G37935"/>
      <c r="I37935"/>
      <c r="N37935"/>
      <c r="O37935" s="24"/>
      <c r="P37935"/>
      <c r="Q37935" s="24"/>
      <c r="R37935"/>
      <c r="S37935"/>
      <c r="T37935"/>
      <c r="U37935"/>
      <c r="X37935" s="60"/>
    </row>
    <row r="37936" spans="7:24" ht="15" customHeight="1">
      <c r="G37936"/>
      <c r="I37936"/>
      <c r="N37936"/>
      <c r="O37936" s="24"/>
      <c r="P37936"/>
      <c r="Q37936" s="24"/>
      <c r="R37936"/>
      <c r="S37936"/>
      <c r="T37936"/>
      <c r="U37936"/>
      <c r="X37936" s="60"/>
    </row>
    <row r="37937" spans="7:24" ht="15" customHeight="1">
      <c r="G37937"/>
      <c r="I37937"/>
      <c r="N37937"/>
      <c r="O37937" s="24"/>
      <c r="P37937"/>
      <c r="Q37937" s="24"/>
      <c r="R37937"/>
      <c r="S37937"/>
      <c r="T37937"/>
      <c r="U37937"/>
      <c r="X37937" s="60"/>
    </row>
    <row r="37938" spans="7:24" ht="15" customHeight="1">
      <c r="G37938"/>
      <c r="I37938"/>
      <c r="N37938"/>
      <c r="O37938" s="24"/>
      <c r="P37938"/>
      <c r="Q37938" s="24"/>
      <c r="R37938"/>
      <c r="S37938"/>
      <c r="T37938"/>
      <c r="U37938"/>
      <c r="X37938" s="60"/>
    </row>
    <row r="37939" spans="7:24" ht="15" customHeight="1">
      <c r="G37939"/>
      <c r="I37939"/>
      <c r="N37939"/>
      <c r="O37939" s="24"/>
      <c r="P37939"/>
      <c r="Q37939" s="24"/>
      <c r="R37939"/>
      <c r="S37939"/>
      <c r="T37939"/>
      <c r="U37939"/>
      <c r="X37939" s="60"/>
    </row>
    <row r="37940" spans="7:24" ht="15" customHeight="1">
      <c r="G37940"/>
      <c r="I37940"/>
      <c r="N37940"/>
      <c r="O37940" s="24"/>
      <c r="P37940"/>
      <c r="Q37940" s="24"/>
      <c r="R37940"/>
      <c r="S37940"/>
      <c r="T37940"/>
      <c r="U37940"/>
      <c r="X37940" s="60"/>
    </row>
    <row r="37941" spans="7:24" ht="15" customHeight="1">
      <c r="G37941"/>
      <c r="I37941"/>
      <c r="N37941"/>
      <c r="O37941" s="24"/>
      <c r="P37941"/>
      <c r="Q37941" s="24"/>
      <c r="R37941"/>
      <c r="S37941"/>
      <c r="T37941"/>
      <c r="U37941"/>
      <c r="X37941" s="60"/>
    </row>
    <row r="37942" spans="7:24" ht="15" customHeight="1">
      <c r="G37942"/>
      <c r="I37942"/>
      <c r="N37942"/>
      <c r="O37942" s="24"/>
      <c r="P37942"/>
      <c r="Q37942" s="24"/>
      <c r="R37942"/>
      <c r="S37942"/>
      <c r="T37942"/>
      <c r="U37942"/>
      <c r="X37942" s="60"/>
    </row>
    <row r="37943" spans="7:24" ht="15" customHeight="1">
      <c r="G37943"/>
      <c r="I37943"/>
      <c r="N37943"/>
      <c r="O37943" s="24"/>
      <c r="P37943"/>
      <c r="Q37943" s="24"/>
      <c r="R37943"/>
      <c r="S37943"/>
      <c r="T37943"/>
      <c r="U37943"/>
      <c r="X37943" s="60"/>
    </row>
    <row r="37944" spans="7:24" ht="15" customHeight="1">
      <c r="G37944"/>
      <c r="I37944"/>
      <c r="N37944"/>
      <c r="O37944" s="24"/>
      <c r="P37944"/>
      <c r="Q37944" s="24"/>
      <c r="R37944"/>
      <c r="S37944"/>
      <c r="T37944"/>
      <c r="U37944"/>
      <c r="X37944" s="60"/>
    </row>
    <row r="37945" spans="7:24" ht="15" customHeight="1">
      <c r="G37945"/>
      <c r="I37945"/>
      <c r="N37945"/>
      <c r="O37945" s="24"/>
      <c r="P37945"/>
      <c r="Q37945" s="24"/>
      <c r="R37945"/>
      <c r="S37945"/>
      <c r="T37945"/>
      <c r="U37945"/>
      <c r="X37945" s="60"/>
    </row>
    <row r="37946" spans="7:24" ht="15" customHeight="1">
      <c r="G37946"/>
      <c r="I37946"/>
      <c r="N37946"/>
      <c r="O37946" s="24"/>
      <c r="P37946"/>
      <c r="Q37946" s="24"/>
      <c r="R37946"/>
      <c r="S37946"/>
      <c r="T37946"/>
      <c r="U37946"/>
      <c r="X37946" s="60"/>
    </row>
    <row r="37947" spans="7:24" ht="15" customHeight="1">
      <c r="G37947"/>
      <c r="I37947"/>
      <c r="N37947"/>
      <c r="O37947" s="24"/>
      <c r="P37947"/>
      <c r="Q37947" s="24"/>
      <c r="R37947"/>
      <c r="S37947"/>
      <c r="T37947"/>
      <c r="U37947"/>
      <c r="X37947" s="60"/>
    </row>
    <row r="37948" spans="7:24" ht="15" customHeight="1">
      <c r="G37948"/>
      <c r="I37948"/>
      <c r="N37948"/>
      <c r="O37948" s="24"/>
      <c r="P37948"/>
      <c r="Q37948" s="24"/>
      <c r="R37948"/>
      <c r="S37948"/>
      <c r="T37948"/>
      <c r="U37948"/>
      <c r="X37948" s="60"/>
    </row>
    <row r="37949" spans="7:24" ht="15" customHeight="1">
      <c r="G37949"/>
      <c r="I37949"/>
      <c r="N37949"/>
      <c r="O37949" s="24"/>
      <c r="P37949"/>
      <c r="Q37949" s="24"/>
      <c r="R37949"/>
      <c r="S37949"/>
      <c r="T37949"/>
      <c r="U37949"/>
      <c r="X37949" s="60"/>
    </row>
    <row r="37950" spans="7:24" ht="15" customHeight="1">
      <c r="G37950"/>
      <c r="I37950"/>
      <c r="N37950"/>
      <c r="O37950" s="24"/>
      <c r="P37950"/>
      <c r="Q37950" s="24"/>
      <c r="R37950"/>
      <c r="S37950"/>
      <c r="T37950"/>
      <c r="U37950"/>
      <c r="X37950" s="60"/>
    </row>
    <row r="37951" spans="7:24" ht="15" customHeight="1">
      <c r="G37951"/>
      <c r="I37951"/>
      <c r="N37951"/>
      <c r="O37951" s="24"/>
      <c r="P37951"/>
      <c r="Q37951" s="24"/>
      <c r="R37951"/>
      <c r="S37951"/>
      <c r="T37951"/>
      <c r="U37951"/>
      <c r="X37951" s="60"/>
    </row>
    <row r="37952" spans="7:24" ht="15" customHeight="1">
      <c r="G37952"/>
      <c r="I37952"/>
      <c r="N37952"/>
      <c r="O37952" s="24"/>
      <c r="P37952"/>
      <c r="Q37952" s="24"/>
      <c r="R37952"/>
      <c r="S37952"/>
      <c r="T37952"/>
      <c r="U37952"/>
      <c r="X37952" s="60"/>
    </row>
    <row r="37953" spans="7:24" ht="15" customHeight="1">
      <c r="G37953"/>
      <c r="I37953"/>
      <c r="N37953"/>
      <c r="O37953" s="24"/>
      <c r="P37953"/>
      <c r="Q37953" s="24"/>
      <c r="R37953"/>
      <c r="S37953"/>
      <c r="T37953"/>
      <c r="U37953"/>
      <c r="X37953" s="60"/>
    </row>
    <row r="37954" spans="7:24" ht="15" customHeight="1">
      <c r="G37954"/>
      <c r="I37954"/>
      <c r="N37954"/>
      <c r="O37954" s="24"/>
      <c r="P37954"/>
      <c r="Q37954" s="24"/>
      <c r="R37954"/>
      <c r="S37954"/>
      <c r="T37954"/>
      <c r="U37954"/>
      <c r="X37954" s="60"/>
    </row>
    <row r="37955" spans="7:24" ht="15" customHeight="1">
      <c r="G37955"/>
      <c r="I37955"/>
      <c r="N37955"/>
      <c r="O37955" s="24"/>
      <c r="P37955"/>
      <c r="Q37955" s="24"/>
      <c r="R37955"/>
      <c r="S37955"/>
      <c r="T37955"/>
      <c r="U37955"/>
      <c r="X37955" s="60"/>
    </row>
    <row r="37956" spans="7:24" ht="15" customHeight="1">
      <c r="G37956"/>
      <c r="I37956"/>
      <c r="N37956"/>
      <c r="O37956" s="24"/>
      <c r="P37956"/>
      <c r="Q37956" s="24"/>
      <c r="R37956"/>
      <c r="S37956"/>
      <c r="T37956"/>
      <c r="U37956"/>
      <c r="X37956" s="60"/>
    </row>
    <row r="37957" spans="7:24" ht="15" customHeight="1">
      <c r="G37957"/>
      <c r="I37957"/>
      <c r="N37957"/>
      <c r="O37957" s="24"/>
      <c r="P37957"/>
      <c r="Q37957" s="24"/>
      <c r="R37957"/>
      <c r="S37957"/>
      <c r="T37957"/>
      <c r="U37957"/>
      <c r="X37957" s="60"/>
    </row>
    <row r="37958" spans="7:24" ht="15" customHeight="1">
      <c r="G37958"/>
      <c r="I37958"/>
      <c r="N37958"/>
      <c r="O37958" s="24"/>
      <c r="P37958"/>
      <c r="Q37958" s="24"/>
      <c r="R37958"/>
      <c r="S37958"/>
      <c r="T37958"/>
      <c r="U37958"/>
      <c r="X37958" s="60"/>
    </row>
    <row r="37959" spans="7:24" ht="15" customHeight="1">
      <c r="G37959"/>
      <c r="I37959"/>
      <c r="N37959"/>
      <c r="O37959" s="24"/>
      <c r="P37959"/>
      <c r="Q37959" s="24"/>
      <c r="R37959"/>
      <c r="S37959"/>
      <c r="T37959"/>
      <c r="U37959"/>
      <c r="X37959" s="60"/>
    </row>
    <row r="37960" spans="7:24" ht="15" customHeight="1">
      <c r="G37960"/>
      <c r="I37960"/>
      <c r="N37960"/>
      <c r="O37960" s="24"/>
      <c r="P37960"/>
      <c r="Q37960" s="24"/>
      <c r="R37960"/>
      <c r="S37960"/>
      <c r="T37960"/>
      <c r="U37960"/>
      <c r="X37960" s="60"/>
    </row>
    <row r="37961" spans="7:24" ht="15" customHeight="1">
      <c r="G37961"/>
      <c r="I37961"/>
      <c r="N37961"/>
      <c r="O37961" s="24"/>
      <c r="P37961"/>
      <c r="Q37961" s="24"/>
      <c r="R37961"/>
      <c r="S37961"/>
      <c r="T37961"/>
      <c r="U37961"/>
      <c r="X37961" s="60"/>
    </row>
    <row r="37962" spans="7:24" ht="15" customHeight="1">
      <c r="G37962"/>
      <c r="I37962"/>
      <c r="N37962"/>
      <c r="O37962" s="24"/>
      <c r="P37962"/>
      <c r="Q37962" s="24"/>
      <c r="R37962"/>
      <c r="S37962"/>
      <c r="T37962"/>
      <c r="U37962"/>
      <c r="X37962" s="60"/>
    </row>
    <row r="37963" spans="7:24" ht="15" customHeight="1">
      <c r="G37963"/>
      <c r="I37963"/>
      <c r="N37963"/>
      <c r="O37963" s="24"/>
      <c r="P37963"/>
      <c r="Q37963" s="24"/>
      <c r="R37963"/>
      <c r="S37963"/>
      <c r="T37963"/>
      <c r="U37963"/>
      <c r="X37963" s="60"/>
    </row>
    <row r="37964" spans="7:24" ht="15" customHeight="1">
      <c r="G37964"/>
      <c r="I37964"/>
      <c r="N37964"/>
      <c r="O37964" s="24"/>
      <c r="P37964"/>
      <c r="Q37964" s="24"/>
      <c r="R37964"/>
      <c r="S37964"/>
      <c r="T37964"/>
      <c r="U37964"/>
      <c r="X37964" s="60"/>
    </row>
    <row r="37965" spans="7:24" ht="15" customHeight="1">
      <c r="G37965"/>
      <c r="I37965"/>
      <c r="N37965"/>
      <c r="O37965" s="24"/>
      <c r="P37965"/>
      <c r="Q37965" s="24"/>
      <c r="R37965"/>
      <c r="S37965"/>
      <c r="T37965"/>
      <c r="U37965"/>
      <c r="X37965" s="60"/>
    </row>
    <row r="37966" spans="7:24" ht="15" customHeight="1">
      <c r="G37966"/>
      <c r="I37966"/>
      <c r="N37966"/>
      <c r="O37966" s="24"/>
      <c r="P37966"/>
      <c r="Q37966" s="24"/>
      <c r="R37966"/>
      <c r="S37966"/>
      <c r="T37966"/>
      <c r="U37966"/>
      <c r="X37966" s="60"/>
    </row>
    <row r="37967" spans="7:24" ht="15" customHeight="1">
      <c r="G37967"/>
      <c r="I37967"/>
      <c r="N37967"/>
      <c r="O37967" s="24"/>
      <c r="P37967"/>
      <c r="Q37967" s="24"/>
      <c r="R37967"/>
      <c r="S37967"/>
      <c r="T37967"/>
      <c r="U37967"/>
      <c r="X37967" s="60"/>
    </row>
    <row r="37968" spans="7:24" ht="15" customHeight="1">
      <c r="G37968"/>
      <c r="I37968"/>
      <c r="N37968"/>
      <c r="O37968" s="24"/>
      <c r="P37968"/>
      <c r="Q37968" s="24"/>
      <c r="R37968"/>
      <c r="S37968"/>
      <c r="T37968"/>
      <c r="U37968"/>
      <c r="X37968" s="60"/>
    </row>
    <row r="37969" spans="7:24" ht="15" customHeight="1">
      <c r="G37969"/>
      <c r="I37969"/>
      <c r="N37969"/>
      <c r="O37969" s="24"/>
      <c r="P37969"/>
      <c r="Q37969" s="24"/>
      <c r="R37969"/>
      <c r="S37969"/>
      <c r="T37969"/>
      <c r="U37969"/>
      <c r="X37969" s="60"/>
    </row>
    <row r="37970" spans="7:24" ht="15" customHeight="1">
      <c r="G37970"/>
      <c r="I37970"/>
      <c r="N37970"/>
      <c r="O37970" s="24"/>
      <c r="P37970"/>
      <c r="Q37970" s="24"/>
      <c r="R37970"/>
      <c r="S37970"/>
      <c r="T37970"/>
      <c r="U37970"/>
      <c r="X37970" s="60"/>
    </row>
    <row r="37971" spans="7:24" ht="15" customHeight="1">
      <c r="G37971"/>
      <c r="I37971"/>
      <c r="N37971"/>
      <c r="O37971" s="24"/>
      <c r="P37971"/>
      <c r="Q37971" s="24"/>
      <c r="R37971"/>
      <c r="S37971"/>
      <c r="T37971"/>
      <c r="U37971"/>
      <c r="X37971" s="60"/>
    </row>
    <row r="37972" spans="7:24" ht="15" customHeight="1">
      <c r="G37972"/>
      <c r="I37972"/>
      <c r="N37972"/>
      <c r="O37972" s="24"/>
      <c r="P37972"/>
      <c r="Q37972" s="24"/>
      <c r="R37972"/>
      <c r="S37972"/>
      <c r="T37972"/>
      <c r="U37972"/>
      <c r="X37972" s="60"/>
    </row>
    <row r="37973" spans="7:24" ht="15" customHeight="1">
      <c r="G37973"/>
      <c r="I37973"/>
      <c r="N37973"/>
      <c r="O37973" s="24"/>
      <c r="P37973"/>
      <c r="Q37973" s="24"/>
      <c r="R37973"/>
      <c r="S37973"/>
      <c r="T37973"/>
      <c r="U37973"/>
      <c r="X37973" s="60"/>
    </row>
    <row r="37974" spans="7:24" ht="15" customHeight="1">
      <c r="G37974"/>
      <c r="I37974"/>
      <c r="N37974"/>
      <c r="O37974" s="24"/>
      <c r="P37974"/>
      <c r="Q37974" s="24"/>
      <c r="R37974"/>
      <c r="S37974"/>
      <c r="T37974"/>
      <c r="U37974"/>
      <c r="X37974" s="60"/>
    </row>
    <row r="37975" spans="7:24" ht="15" customHeight="1">
      <c r="G37975"/>
      <c r="I37975"/>
      <c r="N37975"/>
      <c r="O37975" s="24"/>
      <c r="P37975"/>
      <c r="Q37975" s="24"/>
      <c r="R37975"/>
      <c r="S37975"/>
      <c r="T37975"/>
      <c r="U37975"/>
      <c r="X37975" s="60"/>
    </row>
    <row r="37976" spans="7:24" ht="15" customHeight="1">
      <c r="G37976"/>
      <c r="I37976"/>
      <c r="N37976"/>
      <c r="O37976" s="24"/>
      <c r="P37976"/>
      <c r="Q37976" s="24"/>
      <c r="R37976"/>
      <c r="S37976"/>
      <c r="T37976"/>
      <c r="U37976"/>
      <c r="X37976" s="60"/>
    </row>
    <row r="37977" spans="7:24" ht="15" customHeight="1">
      <c r="G37977"/>
      <c r="I37977"/>
      <c r="N37977"/>
      <c r="O37977" s="24"/>
      <c r="P37977"/>
      <c r="Q37977" s="24"/>
      <c r="R37977"/>
      <c r="S37977"/>
      <c r="T37977"/>
      <c r="U37977"/>
      <c r="X37977" s="60"/>
    </row>
    <row r="37978" spans="7:24" ht="15" customHeight="1">
      <c r="G37978"/>
      <c r="I37978"/>
      <c r="N37978"/>
      <c r="O37978" s="24"/>
      <c r="P37978"/>
      <c r="Q37978" s="24"/>
      <c r="R37978"/>
      <c r="S37978"/>
      <c r="T37978"/>
      <c r="U37978"/>
      <c r="X37978" s="60"/>
    </row>
    <row r="37979" spans="7:24" ht="15" customHeight="1">
      <c r="G37979"/>
      <c r="I37979"/>
      <c r="N37979"/>
      <c r="O37979" s="24"/>
      <c r="P37979"/>
      <c r="Q37979" s="24"/>
      <c r="R37979"/>
      <c r="S37979"/>
      <c r="T37979"/>
      <c r="U37979"/>
      <c r="X37979" s="60"/>
    </row>
    <row r="37980" spans="7:24" ht="15" customHeight="1">
      <c r="G37980"/>
      <c r="I37980"/>
      <c r="N37980"/>
      <c r="O37980" s="24"/>
      <c r="P37980"/>
      <c r="Q37980" s="24"/>
      <c r="R37980"/>
      <c r="S37980"/>
      <c r="T37980"/>
      <c r="U37980"/>
      <c r="X37980" s="60"/>
    </row>
    <row r="37981" spans="7:24" ht="15" customHeight="1">
      <c r="G37981"/>
      <c r="I37981"/>
      <c r="N37981"/>
      <c r="O37981" s="24"/>
      <c r="P37981"/>
      <c r="Q37981" s="24"/>
      <c r="R37981"/>
      <c r="S37981"/>
      <c r="T37981"/>
      <c r="U37981"/>
      <c r="X37981" s="60"/>
    </row>
    <row r="37982" spans="7:24" ht="15" customHeight="1">
      <c r="G37982"/>
      <c r="I37982"/>
      <c r="N37982"/>
      <c r="O37982" s="24"/>
      <c r="P37982"/>
      <c r="Q37982" s="24"/>
      <c r="R37982"/>
      <c r="S37982"/>
      <c r="T37982"/>
      <c r="U37982"/>
      <c r="X37982" s="60"/>
    </row>
    <row r="37983" spans="7:24" ht="15" customHeight="1">
      <c r="G37983"/>
      <c r="I37983"/>
      <c r="N37983"/>
      <c r="O37983" s="24"/>
      <c r="P37983"/>
      <c r="Q37983" s="24"/>
      <c r="R37983"/>
      <c r="S37983"/>
      <c r="T37983"/>
      <c r="U37983"/>
      <c r="X37983" s="60"/>
    </row>
    <row r="37984" spans="7:24" ht="15" customHeight="1">
      <c r="G37984"/>
      <c r="I37984"/>
      <c r="N37984"/>
      <c r="O37984" s="24"/>
      <c r="P37984"/>
      <c r="Q37984" s="24"/>
      <c r="R37984"/>
      <c r="S37984"/>
      <c r="T37984"/>
      <c r="U37984"/>
      <c r="X37984" s="60"/>
    </row>
    <row r="37985" spans="7:24" ht="15" customHeight="1">
      <c r="G37985"/>
      <c r="I37985"/>
      <c r="N37985"/>
      <c r="O37985" s="24"/>
      <c r="P37985"/>
      <c r="Q37985" s="24"/>
      <c r="R37985"/>
      <c r="S37985"/>
      <c r="T37985"/>
      <c r="U37985"/>
      <c r="X37985" s="60"/>
    </row>
    <row r="37986" spans="7:24" ht="15" customHeight="1">
      <c r="G37986"/>
      <c r="I37986"/>
      <c r="N37986"/>
      <c r="O37986" s="24"/>
      <c r="P37986"/>
      <c r="Q37986" s="24"/>
      <c r="R37986"/>
      <c r="S37986"/>
      <c r="T37986"/>
      <c r="U37986"/>
      <c r="X37986" s="60"/>
    </row>
    <row r="37987" spans="7:24" ht="15" customHeight="1">
      <c r="G37987"/>
      <c r="I37987"/>
      <c r="N37987"/>
      <c r="O37987" s="24"/>
      <c r="P37987"/>
      <c r="Q37987" s="24"/>
      <c r="R37987"/>
      <c r="S37987"/>
      <c r="T37987"/>
      <c r="U37987"/>
      <c r="X37987" s="60"/>
    </row>
    <row r="37988" spans="7:24" ht="15" customHeight="1">
      <c r="G37988"/>
      <c r="I37988"/>
      <c r="N37988"/>
      <c r="O37988" s="24"/>
      <c r="P37988"/>
      <c r="Q37988" s="24"/>
      <c r="R37988"/>
      <c r="S37988"/>
      <c r="T37988"/>
      <c r="U37988"/>
      <c r="X37988" s="60"/>
    </row>
    <row r="37989" spans="7:24" ht="15" customHeight="1">
      <c r="G37989"/>
      <c r="I37989"/>
      <c r="N37989"/>
      <c r="O37989" s="24"/>
      <c r="P37989"/>
      <c r="Q37989" s="24"/>
      <c r="R37989"/>
      <c r="S37989"/>
      <c r="T37989"/>
      <c r="U37989"/>
      <c r="X37989" s="60"/>
    </row>
    <row r="37990" spans="7:24" ht="15" customHeight="1">
      <c r="G37990"/>
      <c r="I37990"/>
      <c r="N37990"/>
      <c r="O37990" s="24"/>
      <c r="P37990"/>
      <c r="Q37990" s="24"/>
      <c r="R37990"/>
      <c r="S37990"/>
      <c r="T37990"/>
      <c r="U37990"/>
      <c r="X37990" s="60"/>
    </row>
    <row r="37991" spans="7:24" ht="15" customHeight="1">
      <c r="G37991"/>
      <c r="I37991"/>
      <c r="N37991"/>
      <c r="O37991" s="24"/>
      <c r="P37991"/>
      <c r="Q37991" s="24"/>
      <c r="R37991"/>
      <c r="S37991"/>
      <c r="T37991"/>
      <c r="U37991"/>
      <c r="X37991" s="60"/>
    </row>
    <row r="37992" spans="7:24" ht="15" customHeight="1">
      <c r="G37992"/>
      <c r="I37992"/>
      <c r="N37992"/>
      <c r="O37992" s="24"/>
      <c r="P37992"/>
      <c r="Q37992" s="24"/>
      <c r="R37992"/>
      <c r="S37992"/>
      <c r="T37992"/>
      <c r="U37992"/>
      <c r="X37992" s="60"/>
    </row>
    <row r="37993" spans="7:24" ht="15" customHeight="1">
      <c r="G37993"/>
      <c r="I37993"/>
      <c r="N37993"/>
      <c r="O37993" s="24"/>
      <c r="P37993"/>
      <c r="Q37993" s="24"/>
      <c r="R37993"/>
      <c r="S37993"/>
      <c r="T37993"/>
      <c r="U37993"/>
      <c r="X37993" s="60"/>
    </row>
    <row r="37994" spans="7:24" ht="15" customHeight="1">
      <c r="G37994"/>
      <c r="I37994"/>
      <c r="N37994"/>
      <c r="O37994" s="24"/>
      <c r="P37994"/>
      <c r="Q37994" s="24"/>
      <c r="R37994"/>
      <c r="S37994"/>
      <c r="T37994"/>
      <c r="U37994"/>
      <c r="X37994" s="60"/>
    </row>
    <row r="37995" spans="7:24" ht="15" customHeight="1">
      <c r="G37995"/>
      <c r="I37995"/>
      <c r="N37995"/>
      <c r="O37995" s="24"/>
      <c r="P37995"/>
      <c r="Q37995" s="24"/>
      <c r="R37995"/>
      <c r="S37995"/>
      <c r="T37995"/>
      <c r="U37995"/>
      <c r="X37995" s="60"/>
    </row>
    <row r="37996" spans="7:24" ht="15" customHeight="1">
      <c r="G37996"/>
      <c r="I37996"/>
      <c r="N37996"/>
      <c r="O37996" s="24"/>
      <c r="P37996"/>
      <c r="Q37996" s="24"/>
      <c r="R37996"/>
      <c r="S37996"/>
      <c r="T37996"/>
      <c r="U37996"/>
      <c r="X37996" s="60"/>
    </row>
    <row r="37997" spans="7:24" ht="15" customHeight="1">
      <c r="G37997"/>
      <c r="I37997"/>
      <c r="N37997"/>
      <c r="O37997" s="24"/>
      <c r="P37997"/>
      <c r="Q37997" s="24"/>
      <c r="R37997"/>
      <c r="S37997"/>
      <c r="T37997"/>
      <c r="U37997"/>
      <c r="X37997" s="60"/>
    </row>
    <row r="37998" spans="7:24" ht="15" customHeight="1">
      <c r="G37998"/>
      <c r="I37998"/>
      <c r="N37998"/>
      <c r="O37998" s="24"/>
      <c r="P37998"/>
      <c r="Q37998" s="24"/>
      <c r="R37998"/>
      <c r="S37998"/>
      <c r="T37998"/>
      <c r="U37998"/>
      <c r="X37998" s="60"/>
    </row>
    <row r="37999" spans="7:24" ht="15" customHeight="1">
      <c r="G37999"/>
      <c r="I37999"/>
      <c r="N37999"/>
      <c r="O37999" s="24"/>
      <c r="P37999"/>
      <c r="Q37999" s="24"/>
      <c r="R37999"/>
      <c r="S37999"/>
      <c r="T37999"/>
      <c r="U37999"/>
      <c r="X37999" s="60"/>
    </row>
    <row r="38000" spans="7:24" ht="15" customHeight="1">
      <c r="G38000"/>
      <c r="I38000"/>
      <c r="N38000"/>
      <c r="O38000" s="24"/>
      <c r="P38000"/>
      <c r="Q38000" s="24"/>
      <c r="R38000"/>
      <c r="S38000"/>
      <c r="T38000"/>
      <c r="U38000"/>
      <c r="X38000" s="60"/>
    </row>
    <row r="38001" spans="7:24" ht="15" customHeight="1">
      <c r="G38001"/>
      <c r="I38001"/>
      <c r="N38001"/>
      <c r="O38001" s="24"/>
      <c r="P38001"/>
      <c r="Q38001" s="24"/>
      <c r="R38001"/>
      <c r="S38001"/>
      <c r="T38001"/>
      <c r="U38001"/>
      <c r="X38001" s="60"/>
    </row>
    <row r="38002" spans="7:24" ht="15" customHeight="1">
      <c r="G38002"/>
      <c r="I38002"/>
      <c r="N38002"/>
      <c r="O38002" s="24"/>
      <c r="P38002"/>
      <c r="Q38002" s="24"/>
      <c r="R38002"/>
      <c r="S38002"/>
      <c r="T38002"/>
      <c r="U38002"/>
      <c r="X38002" s="60"/>
    </row>
    <row r="38003" spans="7:24" ht="15" customHeight="1">
      <c r="G38003"/>
      <c r="I38003"/>
      <c r="N38003"/>
      <c r="O38003" s="24"/>
      <c r="P38003"/>
      <c r="Q38003" s="24"/>
      <c r="R38003"/>
      <c r="S38003"/>
      <c r="T38003"/>
      <c r="U38003"/>
      <c r="X38003" s="60"/>
    </row>
    <row r="38004" spans="7:24" ht="15" customHeight="1">
      <c r="G38004"/>
      <c r="I38004"/>
      <c r="N38004"/>
      <c r="O38004" s="24"/>
      <c r="P38004"/>
      <c r="Q38004" s="24"/>
      <c r="R38004"/>
      <c r="S38004"/>
      <c r="T38004"/>
      <c r="U38004"/>
      <c r="X38004" s="60"/>
    </row>
    <row r="38005" spans="7:24" ht="15" customHeight="1">
      <c r="G38005"/>
      <c r="I38005"/>
      <c r="N38005"/>
      <c r="O38005" s="24"/>
      <c r="P38005"/>
      <c r="Q38005" s="24"/>
      <c r="R38005"/>
      <c r="S38005"/>
      <c r="T38005"/>
      <c r="U38005"/>
      <c r="X38005" s="60"/>
    </row>
    <row r="38006" spans="7:24" ht="15" customHeight="1">
      <c r="G38006"/>
      <c r="I38006"/>
      <c r="N38006"/>
      <c r="O38006" s="24"/>
      <c r="P38006"/>
      <c r="Q38006" s="24"/>
      <c r="R38006"/>
      <c r="S38006"/>
      <c r="T38006"/>
      <c r="U38006"/>
      <c r="X38006" s="60"/>
    </row>
    <row r="38007" spans="7:24" ht="15" customHeight="1">
      <c r="G38007"/>
      <c r="I38007"/>
      <c r="N38007"/>
      <c r="O38007" s="24"/>
      <c r="P38007"/>
      <c r="Q38007" s="24"/>
      <c r="R38007"/>
      <c r="S38007"/>
      <c r="T38007"/>
      <c r="U38007"/>
      <c r="X38007" s="60"/>
    </row>
    <row r="38008" spans="7:24" ht="15" customHeight="1">
      <c r="G38008"/>
      <c r="I38008"/>
      <c r="N38008"/>
      <c r="O38008" s="24"/>
      <c r="P38008"/>
      <c r="Q38008" s="24"/>
      <c r="R38008"/>
      <c r="S38008"/>
      <c r="T38008"/>
      <c r="U38008"/>
      <c r="X38008" s="60"/>
    </row>
    <row r="38009" spans="7:24" ht="15" customHeight="1">
      <c r="G38009"/>
      <c r="I38009"/>
      <c r="N38009"/>
      <c r="O38009" s="24"/>
      <c r="P38009"/>
      <c r="Q38009" s="24"/>
      <c r="R38009"/>
      <c r="S38009"/>
      <c r="T38009"/>
      <c r="U38009"/>
      <c r="X38009" s="60"/>
    </row>
    <row r="38010" spans="7:24" ht="15" customHeight="1">
      <c r="G38010"/>
      <c r="I38010"/>
      <c r="N38010"/>
      <c r="O38010" s="24"/>
      <c r="P38010"/>
      <c r="Q38010" s="24"/>
      <c r="R38010"/>
      <c r="S38010"/>
      <c r="T38010"/>
      <c r="U38010"/>
      <c r="X38010" s="60"/>
    </row>
    <row r="38011" spans="7:24" ht="15" customHeight="1">
      <c r="G38011"/>
      <c r="I38011"/>
      <c r="N38011"/>
      <c r="O38011" s="24"/>
      <c r="P38011"/>
      <c r="Q38011" s="24"/>
      <c r="R38011"/>
      <c r="S38011"/>
      <c r="T38011"/>
      <c r="U38011"/>
      <c r="X38011" s="60"/>
    </row>
    <row r="38012" spans="7:24" ht="15" customHeight="1">
      <c r="G38012"/>
      <c r="I38012"/>
      <c r="N38012"/>
      <c r="O38012" s="24"/>
      <c r="P38012"/>
      <c r="Q38012" s="24"/>
      <c r="R38012"/>
      <c r="S38012"/>
      <c r="T38012"/>
      <c r="U38012"/>
      <c r="X38012" s="60"/>
    </row>
    <row r="38013" spans="7:24" ht="15" customHeight="1">
      <c r="G38013"/>
      <c r="I38013"/>
      <c r="N38013"/>
      <c r="O38013" s="24"/>
      <c r="P38013"/>
      <c r="Q38013" s="24"/>
      <c r="R38013"/>
      <c r="S38013"/>
      <c r="T38013"/>
      <c r="U38013"/>
      <c r="X38013" s="60"/>
    </row>
    <row r="38014" spans="7:24" ht="15" customHeight="1">
      <c r="G38014"/>
      <c r="I38014"/>
      <c r="N38014"/>
      <c r="O38014" s="24"/>
      <c r="P38014"/>
      <c r="Q38014" s="24"/>
      <c r="R38014"/>
      <c r="S38014"/>
      <c r="T38014"/>
      <c r="U38014"/>
      <c r="X38014" s="60"/>
    </row>
    <row r="38015" spans="7:24" ht="15" customHeight="1">
      <c r="G38015"/>
      <c r="I38015"/>
      <c r="N38015"/>
      <c r="O38015" s="24"/>
      <c r="P38015"/>
      <c r="Q38015" s="24"/>
      <c r="R38015"/>
      <c r="S38015"/>
      <c r="T38015"/>
      <c r="U38015"/>
      <c r="X38015" s="60"/>
    </row>
    <row r="38016" spans="7:24" ht="15" customHeight="1">
      <c r="G38016"/>
      <c r="I38016"/>
      <c r="N38016"/>
      <c r="O38016" s="24"/>
      <c r="P38016"/>
      <c r="Q38016" s="24"/>
      <c r="R38016"/>
      <c r="S38016"/>
      <c r="T38016"/>
      <c r="U38016"/>
      <c r="X38016" s="60"/>
    </row>
    <row r="38017" spans="7:24" ht="15" customHeight="1">
      <c r="G38017"/>
      <c r="I38017"/>
      <c r="N38017"/>
      <c r="O38017" s="24"/>
      <c r="P38017"/>
      <c r="Q38017" s="24"/>
      <c r="R38017"/>
      <c r="S38017"/>
      <c r="T38017"/>
      <c r="U38017"/>
      <c r="X38017" s="60"/>
    </row>
    <row r="38018" spans="7:24" ht="15" customHeight="1">
      <c r="G38018"/>
      <c r="I38018"/>
      <c r="N38018"/>
      <c r="O38018" s="24"/>
      <c r="P38018"/>
      <c r="Q38018" s="24"/>
      <c r="R38018"/>
      <c r="S38018"/>
      <c r="T38018"/>
      <c r="U38018"/>
      <c r="X38018" s="60"/>
    </row>
    <row r="38019" spans="7:24" ht="15" customHeight="1">
      <c r="G38019"/>
      <c r="I38019"/>
      <c r="N38019"/>
      <c r="O38019" s="24"/>
      <c r="P38019"/>
      <c r="Q38019" s="24"/>
      <c r="R38019"/>
      <c r="S38019"/>
      <c r="T38019"/>
      <c r="U38019"/>
      <c r="X38019" s="60"/>
    </row>
    <row r="38020" spans="7:24" ht="15" customHeight="1">
      <c r="G38020"/>
      <c r="I38020"/>
      <c r="N38020"/>
      <c r="O38020" s="24"/>
      <c r="P38020"/>
      <c r="Q38020" s="24"/>
      <c r="R38020"/>
      <c r="S38020"/>
      <c r="T38020"/>
      <c r="U38020"/>
      <c r="X38020" s="60"/>
    </row>
    <row r="38021" spans="7:24" ht="15" customHeight="1">
      <c r="G38021"/>
      <c r="I38021"/>
      <c r="N38021"/>
      <c r="O38021" s="24"/>
      <c r="P38021"/>
      <c r="Q38021" s="24"/>
      <c r="R38021"/>
      <c r="S38021"/>
      <c r="T38021"/>
      <c r="U38021"/>
      <c r="X38021" s="60"/>
    </row>
    <row r="38022" spans="7:24" ht="15" customHeight="1">
      <c r="G38022"/>
      <c r="I38022"/>
      <c r="N38022"/>
      <c r="O38022" s="24"/>
      <c r="P38022"/>
      <c r="Q38022" s="24"/>
      <c r="R38022"/>
      <c r="S38022"/>
      <c r="T38022"/>
      <c r="U38022"/>
      <c r="X38022" s="60"/>
    </row>
    <row r="38023" spans="7:24" ht="15" customHeight="1">
      <c r="G38023"/>
      <c r="I38023"/>
      <c r="N38023"/>
      <c r="O38023" s="24"/>
      <c r="P38023"/>
      <c r="Q38023" s="24"/>
      <c r="R38023"/>
      <c r="S38023"/>
      <c r="T38023"/>
      <c r="U38023"/>
      <c r="X38023" s="60"/>
    </row>
    <row r="38024" spans="7:24" ht="15" customHeight="1">
      <c r="G38024"/>
      <c r="I38024"/>
      <c r="N38024"/>
      <c r="O38024" s="24"/>
      <c r="P38024"/>
      <c r="Q38024" s="24"/>
      <c r="R38024"/>
      <c r="S38024"/>
      <c r="T38024"/>
      <c r="U38024"/>
      <c r="X38024" s="60"/>
    </row>
    <row r="38025" spans="7:24" ht="15" customHeight="1">
      <c r="G38025"/>
      <c r="I38025"/>
      <c r="N38025"/>
      <c r="O38025" s="24"/>
      <c r="P38025"/>
      <c r="Q38025" s="24"/>
      <c r="R38025"/>
      <c r="S38025"/>
      <c r="T38025"/>
      <c r="U38025"/>
      <c r="X38025" s="60"/>
    </row>
    <row r="38026" spans="7:24" ht="15" customHeight="1">
      <c r="G38026"/>
      <c r="I38026"/>
      <c r="N38026"/>
      <c r="O38026" s="24"/>
      <c r="P38026"/>
      <c r="Q38026" s="24"/>
      <c r="R38026"/>
      <c r="S38026"/>
      <c r="T38026"/>
      <c r="U38026"/>
      <c r="X38026" s="60"/>
    </row>
    <row r="38027" spans="7:24" ht="15" customHeight="1">
      <c r="G38027"/>
      <c r="I38027"/>
      <c r="N38027"/>
      <c r="O38027" s="24"/>
      <c r="P38027"/>
      <c r="Q38027" s="24"/>
      <c r="R38027"/>
      <c r="S38027"/>
      <c r="T38027"/>
      <c r="U38027"/>
      <c r="X38027" s="60"/>
    </row>
    <row r="38028" spans="7:24" ht="15" customHeight="1">
      <c r="G38028"/>
      <c r="I38028"/>
      <c r="N38028"/>
      <c r="O38028" s="24"/>
      <c r="P38028"/>
      <c r="Q38028" s="24"/>
      <c r="R38028"/>
      <c r="S38028"/>
      <c r="T38028"/>
      <c r="U38028"/>
      <c r="X38028" s="60"/>
    </row>
    <row r="38029" spans="7:24" ht="15" customHeight="1">
      <c r="G38029"/>
      <c r="I38029"/>
      <c r="N38029"/>
      <c r="O38029" s="24"/>
      <c r="P38029"/>
      <c r="Q38029" s="24"/>
      <c r="R38029"/>
      <c r="S38029"/>
      <c r="T38029"/>
      <c r="U38029"/>
      <c r="X38029" s="60"/>
    </row>
    <row r="38030" spans="7:24" ht="15" customHeight="1">
      <c r="G38030"/>
      <c r="I38030"/>
      <c r="N38030"/>
      <c r="O38030" s="24"/>
      <c r="P38030"/>
      <c r="Q38030" s="24"/>
      <c r="R38030"/>
      <c r="S38030"/>
      <c r="T38030"/>
      <c r="U38030"/>
      <c r="X38030" s="60"/>
    </row>
    <row r="38031" spans="7:24" ht="15" customHeight="1">
      <c r="G38031"/>
      <c r="I38031"/>
      <c r="N38031"/>
      <c r="O38031" s="24"/>
      <c r="P38031"/>
      <c r="Q38031" s="24"/>
      <c r="R38031"/>
      <c r="S38031"/>
      <c r="T38031"/>
      <c r="U38031"/>
      <c r="X38031" s="60"/>
    </row>
    <row r="38032" spans="7:24" ht="15" customHeight="1">
      <c r="G38032"/>
      <c r="I38032"/>
      <c r="N38032"/>
      <c r="O38032" s="24"/>
      <c r="P38032"/>
      <c r="Q38032" s="24"/>
      <c r="R38032"/>
      <c r="S38032"/>
      <c r="T38032"/>
      <c r="U38032"/>
      <c r="X38032" s="60"/>
    </row>
    <row r="38033" spans="7:24" ht="15" customHeight="1">
      <c r="G38033"/>
      <c r="I38033"/>
      <c r="N38033"/>
      <c r="O38033" s="24"/>
      <c r="P38033"/>
      <c r="Q38033" s="24"/>
      <c r="R38033"/>
      <c r="S38033"/>
      <c r="T38033"/>
      <c r="U38033"/>
      <c r="X38033" s="60"/>
    </row>
    <row r="38034" spans="7:24" ht="15" customHeight="1">
      <c r="G38034"/>
      <c r="I38034"/>
      <c r="N38034"/>
      <c r="O38034" s="24"/>
      <c r="P38034"/>
      <c r="Q38034" s="24"/>
      <c r="R38034"/>
      <c r="S38034"/>
      <c r="T38034"/>
      <c r="U38034"/>
      <c r="X38034" s="60"/>
    </row>
    <row r="38035" spans="7:24" ht="15" customHeight="1">
      <c r="G38035"/>
      <c r="I38035"/>
      <c r="N38035"/>
      <c r="O38035" s="24"/>
      <c r="P38035"/>
      <c r="Q38035" s="24"/>
      <c r="R38035"/>
      <c r="S38035"/>
      <c r="T38035"/>
      <c r="U38035"/>
      <c r="X38035" s="60"/>
    </row>
    <row r="38036" spans="7:24" ht="15" customHeight="1">
      <c r="G38036"/>
      <c r="I38036"/>
      <c r="N38036"/>
      <c r="O38036" s="24"/>
      <c r="P38036"/>
      <c r="Q38036" s="24"/>
      <c r="R38036"/>
      <c r="S38036"/>
      <c r="T38036"/>
      <c r="U38036"/>
      <c r="X38036" s="60"/>
    </row>
    <row r="38037" spans="7:24" ht="15" customHeight="1">
      <c r="G38037"/>
      <c r="I38037"/>
      <c r="N38037"/>
      <c r="O38037" s="24"/>
      <c r="P38037"/>
      <c r="Q38037" s="24"/>
      <c r="R38037"/>
      <c r="S38037"/>
      <c r="T38037"/>
      <c r="U38037"/>
      <c r="X38037" s="60"/>
    </row>
    <row r="38038" spans="7:24" ht="15" customHeight="1">
      <c r="G38038"/>
      <c r="I38038"/>
      <c r="N38038"/>
      <c r="O38038" s="24"/>
      <c r="P38038"/>
      <c r="Q38038" s="24"/>
      <c r="R38038"/>
      <c r="S38038"/>
      <c r="T38038"/>
      <c r="U38038"/>
      <c r="X38038" s="60"/>
    </row>
    <row r="38039" spans="7:24" ht="15" customHeight="1">
      <c r="G38039"/>
      <c r="I38039"/>
      <c r="N38039"/>
      <c r="O38039" s="24"/>
      <c r="P38039"/>
      <c r="Q38039" s="24"/>
      <c r="R38039"/>
      <c r="S38039"/>
      <c r="T38039"/>
      <c r="U38039"/>
      <c r="X38039" s="60"/>
    </row>
    <row r="38040" spans="7:24" ht="15" customHeight="1">
      <c r="G38040"/>
      <c r="I38040"/>
      <c r="N38040"/>
      <c r="O38040" s="24"/>
      <c r="P38040"/>
      <c r="Q38040" s="24"/>
      <c r="R38040"/>
      <c r="S38040"/>
      <c r="T38040"/>
      <c r="U38040"/>
      <c r="X38040" s="60"/>
    </row>
    <row r="38041" spans="7:24" ht="15" customHeight="1">
      <c r="G38041"/>
      <c r="I38041"/>
      <c r="N38041"/>
      <c r="O38041" s="24"/>
      <c r="P38041"/>
      <c r="Q38041" s="24"/>
      <c r="R38041"/>
      <c r="S38041"/>
      <c r="T38041"/>
      <c r="U38041"/>
      <c r="X38041" s="60"/>
    </row>
    <row r="38042" spans="7:24" ht="15" customHeight="1">
      <c r="G38042"/>
      <c r="I38042"/>
      <c r="N38042"/>
      <c r="O38042" s="24"/>
      <c r="P38042"/>
      <c r="Q38042" s="24"/>
      <c r="R38042"/>
      <c r="S38042"/>
      <c r="T38042"/>
      <c r="U38042"/>
      <c r="X38042" s="60"/>
    </row>
    <row r="38043" spans="7:24" ht="15" customHeight="1">
      <c r="G38043"/>
      <c r="I38043"/>
      <c r="N38043"/>
      <c r="O38043" s="24"/>
      <c r="P38043"/>
      <c r="Q38043" s="24"/>
      <c r="R38043"/>
      <c r="S38043"/>
      <c r="T38043"/>
      <c r="U38043"/>
      <c r="X38043" s="60"/>
    </row>
    <row r="38044" spans="7:24" ht="15" customHeight="1">
      <c r="G38044"/>
      <c r="I38044"/>
      <c r="N38044"/>
      <c r="O38044" s="24"/>
      <c r="P38044"/>
      <c r="Q38044" s="24"/>
      <c r="R38044"/>
      <c r="S38044"/>
      <c r="T38044"/>
      <c r="U38044"/>
      <c r="X38044" s="60"/>
    </row>
    <row r="38045" spans="7:24" ht="15" customHeight="1">
      <c r="G38045"/>
      <c r="I38045"/>
      <c r="N38045"/>
      <c r="O38045" s="24"/>
      <c r="P38045"/>
      <c r="Q38045" s="24"/>
      <c r="R38045"/>
      <c r="S38045"/>
      <c r="T38045"/>
      <c r="U38045"/>
      <c r="X38045" s="60"/>
    </row>
    <row r="38046" spans="7:24" ht="15" customHeight="1">
      <c r="G38046"/>
      <c r="I38046"/>
      <c r="N38046"/>
      <c r="O38046" s="24"/>
      <c r="P38046"/>
      <c r="Q38046" s="24"/>
      <c r="R38046"/>
      <c r="S38046"/>
      <c r="T38046"/>
      <c r="U38046"/>
      <c r="X38046" s="60"/>
    </row>
    <row r="38047" spans="7:24" ht="15" customHeight="1">
      <c r="G38047"/>
      <c r="I38047"/>
      <c r="N38047"/>
      <c r="O38047" s="24"/>
      <c r="P38047"/>
      <c r="Q38047" s="24"/>
      <c r="R38047"/>
      <c r="S38047"/>
      <c r="T38047"/>
      <c r="U38047"/>
      <c r="X38047" s="60"/>
    </row>
    <row r="38048" spans="7:24" ht="15" customHeight="1">
      <c r="G38048"/>
      <c r="I38048"/>
      <c r="N38048"/>
      <c r="O38048" s="24"/>
      <c r="P38048"/>
      <c r="Q38048" s="24"/>
      <c r="R38048"/>
      <c r="S38048"/>
      <c r="T38048"/>
      <c r="U38048"/>
      <c r="X38048" s="60"/>
    </row>
    <row r="38049" spans="7:24" ht="15" customHeight="1">
      <c r="G38049"/>
      <c r="I38049"/>
      <c r="N38049"/>
      <c r="O38049" s="24"/>
      <c r="P38049"/>
      <c r="Q38049" s="24"/>
      <c r="R38049"/>
      <c r="S38049"/>
      <c r="T38049"/>
      <c r="U38049"/>
      <c r="X38049" s="60"/>
    </row>
    <row r="38050" spans="7:24" ht="15" customHeight="1">
      <c r="G38050"/>
      <c r="I38050"/>
      <c r="N38050"/>
      <c r="O38050" s="24"/>
      <c r="P38050"/>
      <c r="Q38050" s="24"/>
      <c r="R38050"/>
      <c r="S38050"/>
      <c r="T38050"/>
      <c r="U38050"/>
      <c r="X38050" s="60"/>
    </row>
    <row r="38051" spans="7:24" ht="15" customHeight="1">
      <c r="G38051"/>
      <c r="I38051"/>
      <c r="N38051"/>
      <c r="O38051" s="24"/>
      <c r="P38051"/>
      <c r="Q38051" s="24"/>
      <c r="R38051"/>
      <c r="S38051"/>
      <c r="T38051"/>
      <c r="U38051"/>
      <c r="X38051" s="60"/>
    </row>
    <row r="38052" spans="7:24" ht="15" customHeight="1">
      <c r="G38052"/>
      <c r="I38052"/>
      <c r="N38052"/>
      <c r="O38052" s="24"/>
      <c r="P38052"/>
      <c r="Q38052" s="24"/>
      <c r="R38052"/>
      <c r="S38052"/>
      <c r="T38052"/>
      <c r="U38052"/>
      <c r="X38052" s="60"/>
    </row>
    <row r="38053" spans="7:24" ht="15" customHeight="1">
      <c r="G38053"/>
      <c r="I38053"/>
      <c r="N38053"/>
      <c r="O38053" s="24"/>
      <c r="P38053"/>
      <c r="Q38053" s="24"/>
      <c r="R38053"/>
      <c r="S38053"/>
      <c r="T38053"/>
      <c r="U38053"/>
      <c r="X38053" s="60"/>
    </row>
    <row r="38054" spans="7:24" ht="15" customHeight="1">
      <c r="G38054"/>
      <c r="I38054"/>
      <c r="N38054"/>
      <c r="O38054" s="24"/>
      <c r="P38054"/>
      <c r="Q38054" s="24"/>
      <c r="R38054"/>
      <c r="S38054"/>
      <c r="T38054"/>
      <c r="U38054"/>
      <c r="X38054" s="60"/>
    </row>
    <row r="38055" spans="7:24" ht="15" customHeight="1">
      <c r="G38055"/>
      <c r="I38055"/>
      <c r="N38055"/>
      <c r="O38055" s="24"/>
      <c r="P38055"/>
      <c r="Q38055" s="24"/>
      <c r="R38055"/>
      <c r="S38055"/>
      <c r="T38055"/>
      <c r="U38055"/>
      <c r="X38055" s="60"/>
    </row>
    <row r="38056" spans="7:24" ht="15" customHeight="1">
      <c r="G38056"/>
      <c r="I38056"/>
      <c r="N38056"/>
      <c r="O38056" s="24"/>
      <c r="P38056"/>
      <c r="Q38056" s="24"/>
      <c r="R38056"/>
      <c r="S38056"/>
      <c r="T38056"/>
      <c r="U38056"/>
      <c r="X38056" s="60"/>
    </row>
    <row r="38057" spans="7:24" ht="15" customHeight="1">
      <c r="G38057"/>
      <c r="I38057"/>
      <c r="N38057"/>
      <c r="O38057" s="24"/>
      <c r="P38057"/>
      <c r="Q38057" s="24"/>
      <c r="R38057"/>
      <c r="S38057"/>
      <c r="T38057"/>
      <c r="U38057"/>
      <c r="X38057" s="60"/>
    </row>
    <row r="38058" spans="7:24" ht="15" customHeight="1">
      <c r="G38058"/>
      <c r="I38058"/>
      <c r="N38058"/>
      <c r="O38058" s="24"/>
      <c r="P38058"/>
      <c r="Q38058" s="24"/>
      <c r="R38058"/>
      <c r="S38058"/>
      <c r="T38058"/>
      <c r="U38058"/>
      <c r="X38058" s="60"/>
    </row>
    <row r="38059" spans="7:24" ht="15" customHeight="1">
      <c r="G38059"/>
      <c r="I38059"/>
      <c r="N38059"/>
      <c r="O38059" s="24"/>
      <c r="P38059"/>
      <c r="Q38059" s="24"/>
      <c r="R38059"/>
      <c r="S38059"/>
      <c r="T38059"/>
      <c r="U38059"/>
      <c r="X38059" s="60"/>
    </row>
    <row r="38060" spans="7:24" ht="15" customHeight="1">
      <c r="G38060"/>
      <c r="I38060"/>
      <c r="N38060"/>
      <c r="O38060" s="24"/>
      <c r="P38060"/>
      <c r="Q38060" s="24"/>
      <c r="R38060"/>
      <c r="S38060"/>
      <c r="T38060"/>
      <c r="U38060"/>
      <c r="X38060" s="60"/>
    </row>
    <row r="38061" spans="7:24" ht="15" customHeight="1">
      <c r="G38061"/>
      <c r="I38061"/>
      <c r="N38061"/>
      <c r="O38061" s="24"/>
      <c r="P38061"/>
      <c r="Q38061" s="24"/>
      <c r="R38061"/>
      <c r="S38061"/>
      <c r="T38061"/>
      <c r="U38061"/>
      <c r="X38061" s="60"/>
    </row>
    <row r="38062" spans="7:24" ht="15" customHeight="1">
      <c r="G38062"/>
      <c r="I38062"/>
      <c r="N38062"/>
      <c r="O38062" s="24"/>
      <c r="P38062"/>
      <c r="Q38062" s="24"/>
      <c r="R38062"/>
      <c r="S38062"/>
      <c r="T38062"/>
      <c r="U38062"/>
      <c r="X38062" s="60"/>
    </row>
    <row r="38063" spans="7:24" ht="15" customHeight="1">
      <c r="G38063"/>
      <c r="I38063"/>
      <c r="N38063"/>
      <c r="O38063" s="24"/>
      <c r="P38063"/>
      <c r="Q38063" s="24"/>
      <c r="R38063"/>
      <c r="S38063"/>
      <c r="T38063"/>
      <c r="U38063"/>
      <c r="X38063" s="60"/>
    </row>
    <row r="38064" spans="7:24" ht="15" customHeight="1">
      <c r="G38064"/>
      <c r="I38064"/>
      <c r="N38064"/>
      <c r="O38064" s="24"/>
      <c r="P38064"/>
      <c r="Q38064" s="24"/>
      <c r="R38064"/>
      <c r="S38064"/>
      <c r="T38064"/>
      <c r="U38064"/>
      <c r="X38064" s="60"/>
    </row>
    <row r="38065" spans="7:24" ht="15" customHeight="1">
      <c r="G38065"/>
      <c r="I38065"/>
      <c r="N38065"/>
      <c r="O38065" s="24"/>
      <c r="P38065"/>
      <c r="Q38065" s="24"/>
      <c r="R38065"/>
      <c r="S38065"/>
      <c r="T38065"/>
      <c r="U38065"/>
      <c r="X38065" s="60"/>
    </row>
    <row r="38066" spans="7:24" ht="15" customHeight="1">
      <c r="G38066"/>
      <c r="I38066"/>
      <c r="N38066"/>
      <c r="O38066" s="24"/>
      <c r="P38066"/>
      <c r="Q38066" s="24"/>
      <c r="R38066"/>
      <c r="S38066"/>
      <c r="T38066"/>
      <c r="U38066"/>
      <c r="X38066" s="60"/>
    </row>
    <row r="38067" spans="7:24" ht="15" customHeight="1">
      <c r="G38067"/>
      <c r="I38067"/>
      <c r="N38067"/>
      <c r="O38067" s="24"/>
      <c r="P38067"/>
      <c r="Q38067" s="24"/>
      <c r="R38067"/>
      <c r="S38067"/>
      <c r="T38067"/>
      <c r="U38067"/>
      <c r="X38067" s="60"/>
    </row>
    <row r="38068" spans="7:24" ht="15" customHeight="1">
      <c r="G38068"/>
      <c r="I38068"/>
      <c r="N38068"/>
      <c r="O38068" s="24"/>
      <c r="P38068"/>
      <c r="Q38068" s="24"/>
      <c r="R38068"/>
      <c r="S38068"/>
      <c r="T38068"/>
      <c r="U38068"/>
      <c r="X38068" s="60"/>
    </row>
    <row r="38069" spans="7:24" ht="15" customHeight="1">
      <c r="G38069"/>
      <c r="I38069"/>
      <c r="N38069"/>
      <c r="O38069" s="24"/>
      <c r="P38069"/>
      <c r="Q38069" s="24"/>
      <c r="R38069"/>
      <c r="S38069"/>
      <c r="T38069"/>
      <c r="U38069"/>
      <c r="X38069" s="60"/>
    </row>
    <row r="38070" spans="7:24" ht="15" customHeight="1">
      <c r="G38070"/>
      <c r="I38070"/>
      <c r="N38070"/>
      <c r="O38070" s="24"/>
      <c r="P38070"/>
      <c r="Q38070" s="24"/>
      <c r="R38070"/>
      <c r="S38070"/>
      <c r="T38070"/>
      <c r="U38070"/>
      <c r="X38070" s="60"/>
    </row>
    <row r="38071" spans="7:24" ht="15" customHeight="1">
      <c r="G38071"/>
      <c r="I38071"/>
      <c r="N38071"/>
      <c r="O38071" s="24"/>
      <c r="P38071"/>
      <c r="Q38071" s="24"/>
      <c r="R38071"/>
      <c r="S38071"/>
      <c r="T38071"/>
      <c r="U38071"/>
      <c r="X38071" s="60"/>
    </row>
    <row r="38072" spans="7:24" ht="15" customHeight="1">
      <c r="G38072"/>
      <c r="I38072"/>
      <c r="N38072"/>
      <c r="O38072" s="24"/>
      <c r="P38072"/>
      <c r="Q38072" s="24"/>
      <c r="R38072"/>
      <c r="S38072"/>
      <c r="T38072"/>
      <c r="U38072"/>
      <c r="X38072" s="60"/>
    </row>
    <row r="38073" spans="7:24" ht="15" customHeight="1">
      <c r="G38073"/>
      <c r="I38073"/>
      <c r="N38073"/>
      <c r="O38073" s="24"/>
      <c r="P38073"/>
      <c r="Q38073" s="24"/>
      <c r="R38073"/>
      <c r="S38073"/>
      <c r="T38073"/>
      <c r="U38073"/>
      <c r="X38073" s="60"/>
    </row>
    <row r="38074" spans="7:24" ht="15" customHeight="1">
      <c r="G38074"/>
      <c r="I38074"/>
      <c r="N38074"/>
      <c r="O38074" s="24"/>
      <c r="P38074"/>
      <c r="Q38074" s="24"/>
      <c r="R38074"/>
      <c r="S38074"/>
      <c r="T38074"/>
      <c r="U38074"/>
      <c r="X38074" s="60"/>
    </row>
    <row r="38075" spans="7:24" ht="15" customHeight="1">
      <c r="G38075"/>
      <c r="I38075"/>
      <c r="N38075"/>
      <c r="O38075" s="24"/>
      <c r="P38075"/>
      <c r="Q38075" s="24"/>
      <c r="R38075"/>
      <c r="S38075"/>
      <c r="T38075"/>
      <c r="U38075"/>
      <c r="X38075" s="60"/>
    </row>
    <row r="38076" spans="7:24" ht="15" customHeight="1">
      <c r="G38076"/>
      <c r="I38076"/>
      <c r="N38076"/>
      <c r="O38076" s="24"/>
      <c r="P38076"/>
      <c r="Q38076" s="24"/>
      <c r="R38076"/>
      <c r="S38076"/>
      <c r="T38076"/>
      <c r="U38076"/>
      <c r="X38076" s="60"/>
    </row>
    <row r="38077" spans="7:24" ht="15" customHeight="1">
      <c r="G38077"/>
      <c r="I38077"/>
      <c r="N38077"/>
      <c r="O38077" s="24"/>
      <c r="P38077"/>
      <c r="Q38077" s="24"/>
      <c r="R38077"/>
      <c r="S38077"/>
      <c r="T38077"/>
      <c r="U38077"/>
      <c r="X38077" s="60"/>
    </row>
    <row r="38078" spans="7:24" ht="15" customHeight="1">
      <c r="G38078"/>
      <c r="I38078"/>
      <c r="N38078"/>
      <c r="O38078" s="24"/>
      <c r="P38078"/>
      <c r="Q38078" s="24"/>
      <c r="R38078"/>
      <c r="S38078"/>
      <c r="T38078"/>
      <c r="U38078"/>
      <c r="X38078" s="60"/>
    </row>
    <row r="38079" spans="7:24" ht="15" customHeight="1">
      <c r="G38079"/>
      <c r="I38079"/>
      <c r="N38079"/>
      <c r="O38079" s="24"/>
      <c r="P38079"/>
      <c r="Q38079" s="24"/>
      <c r="R38079"/>
      <c r="S38079"/>
      <c r="T38079"/>
      <c r="U38079"/>
      <c r="X38079" s="60"/>
    </row>
    <row r="38080" spans="7:24" ht="15" customHeight="1">
      <c r="G38080"/>
      <c r="I38080"/>
      <c r="N38080"/>
      <c r="O38080" s="24"/>
      <c r="P38080"/>
      <c r="Q38080" s="24"/>
      <c r="R38080"/>
      <c r="S38080"/>
      <c r="T38080"/>
      <c r="U38080"/>
      <c r="X38080" s="60"/>
    </row>
    <row r="38081" spans="7:24" ht="15" customHeight="1">
      <c r="G38081"/>
      <c r="I38081"/>
      <c r="N38081"/>
      <c r="O38081" s="24"/>
      <c r="P38081"/>
      <c r="Q38081" s="24"/>
      <c r="R38081"/>
      <c r="S38081"/>
      <c r="T38081"/>
      <c r="U38081"/>
      <c r="X38081" s="60"/>
    </row>
    <row r="38082" spans="7:24" ht="15" customHeight="1">
      <c r="G38082"/>
      <c r="I38082"/>
      <c r="N38082"/>
      <c r="O38082" s="24"/>
      <c r="P38082"/>
      <c r="Q38082" s="24"/>
      <c r="R38082"/>
      <c r="S38082"/>
      <c r="T38082"/>
      <c r="U38082"/>
      <c r="X38082" s="60"/>
    </row>
    <row r="38083" spans="7:24" ht="15" customHeight="1">
      <c r="G38083"/>
      <c r="I38083"/>
      <c r="N38083"/>
      <c r="O38083" s="24"/>
      <c r="P38083"/>
      <c r="Q38083" s="24"/>
      <c r="R38083"/>
      <c r="S38083"/>
      <c r="T38083"/>
      <c r="U38083"/>
      <c r="X38083" s="60"/>
    </row>
    <row r="38084" spans="7:24" ht="15" customHeight="1">
      <c r="G38084"/>
      <c r="I38084"/>
      <c r="N38084"/>
      <c r="O38084" s="24"/>
      <c r="P38084"/>
      <c r="Q38084" s="24"/>
      <c r="R38084"/>
      <c r="S38084"/>
      <c r="T38084"/>
      <c r="U38084"/>
      <c r="X38084" s="60"/>
    </row>
    <row r="38085" spans="7:24" ht="15" customHeight="1">
      <c r="G38085"/>
      <c r="I38085"/>
      <c r="N38085"/>
      <c r="O38085" s="24"/>
      <c r="P38085"/>
      <c r="Q38085" s="24"/>
      <c r="R38085"/>
      <c r="S38085"/>
      <c r="T38085"/>
      <c r="U38085"/>
      <c r="X38085" s="60"/>
    </row>
    <row r="38086" spans="7:24" ht="15" customHeight="1">
      <c r="G38086"/>
      <c r="I38086"/>
      <c r="N38086"/>
      <c r="O38086" s="24"/>
      <c r="P38086"/>
      <c r="Q38086" s="24"/>
      <c r="R38086"/>
      <c r="S38086"/>
      <c r="T38086"/>
      <c r="U38086"/>
      <c r="X38086" s="60"/>
    </row>
    <row r="38087" spans="7:24" ht="15" customHeight="1">
      <c r="G38087"/>
      <c r="I38087"/>
      <c r="N38087"/>
      <c r="O38087" s="24"/>
      <c r="P38087"/>
      <c r="Q38087" s="24"/>
      <c r="R38087"/>
      <c r="S38087"/>
      <c r="T38087"/>
      <c r="U38087"/>
      <c r="X38087" s="60"/>
    </row>
    <row r="38088" spans="7:24" ht="15" customHeight="1">
      <c r="G38088"/>
      <c r="I38088"/>
      <c r="N38088"/>
      <c r="O38088" s="24"/>
      <c r="P38088"/>
      <c r="Q38088" s="24"/>
      <c r="R38088"/>
      <c r="S38088"/>
      <c r="T38088"/>
      <c r="U38088"/>
      <c r="X38088" s="60"/>
    </row>
    <row r="38089" spans="7:24" ht="15" customHeight="1">
      <c r="G38089"/>
      <c r="I38089"/>
      <c r="N38089"/>
      <c r="O38089" s="24"/>
      <c r="P38089"/>
      <c r="Q38089" s="24"/>
      <c r="R38089"/>
      <c r="S38089"/>
      <c r="T38089"/>
      <c r="U38089"/>
      <c r="X38089" s="60"/>
    </row>
    <row r="38090" spans="7:24" ht="15" customHeight="1">
      <c r="G38090"/>
      <c r="I38090"/>
      <c r="N38090"/>
      <c r="O38090" s="24"/>
      <c r="P38090"/>
      <c r="Q38090" s="24"/>
      <c r="R38090"/>
      <c r="S38090"/>
      <c r="T38090"/>
      <c r="U38090"/>
      <c r="X38090" s="60"/>
    </row>
    <row r="38091" spans="7:24" ht="15" customHeight="1">
      <c r="G38091"/>
      <c r="I38091"/>
      <c r="N38091"/>
      <c r="O38091" s="24"/>
      <c r="P38091"/>
      <c r="Q38091" s="24"/>
      <c r="R38091"/>
      <c r="S38091"/>
      <c r="T38091"/>
      <c r="U38091"/>
      <c r="X38091" s="60"/>
    </row>
    <row r="38092" spans="7:24" ht="15" customHeight="1">
      <c r="G38092"/>
      <c r="I38092"/>
      <c r="N38092"/>
      <c r="O38092" s="24"/>
      <c r="P38092"/>
      <c r="Q38092" s="24"/>
      <c r="R38092"/>
      <c r="S38092"/>
      <c r="T38092"/>
      <c r="U38092"/>
      <c r="X38092" s="60"/>
    </row>
    <row r="38093" spans="7:24" ht="15" customHeight="1">
      <c r="G38093"/>
      <c r="I38093"/>
      <c r="N38093"/>
      <c r="O38093" s="24"/>
      <c r="P38093"/>
      <c r="Q38093" s="24"/>
      <c r="R38093"/>
      <c r="S38093"/>
      <c r="T38093"/>
      <c r="U38093"/>
      <c r="X38093" s="60"/>
    </row>
    <row r="38094" spans="7:24" ht="15" customHeight="1">
      <c r="G38094"/>
      <c r="I38094"/>
      <c r="N38094"/>
      <c r="O38094" s="24"/>
      <c r="P38094"/>
      <c r="Q38094" s="24"/>
      <c r="R38094"/>
      <c r="S38094"/>
      <c r="T38094"/>
      <c r="U38094"/>
      <c r="X38094" s="60"/>
    </row>
    <row r="38095" spans="7:24" ht="15" customHeight="1">
      <c r="G38095"/>
      <c r="I38095"/>
      <c r="N38095"/>
      <c r="O38095" s="24"/>
      <c r="P38095"/>
      <c r="Q38095" s="24"/>
      <c r="R38095"/>
      <c r="S38095"/>
      <c r="T38095"/>
      <c r="U38095"/>
      <c r="X38095" s="60"/>
    </row>
    <row r="38096" spans="7:24" ht="15" customHeight="1">
      <c r="G38096"/>
      <c r="I38096"/>
      <c r="N38096"/>
      <c r="O38096" s="24"/>
      <c r="P38096"/>
      <c r="Q38096" s="24"/>
      <c r="R38096"/>
      <c r="S38096"/>
      <c r="T38096"/>
      <c r="U38096"/>
      <c r="X38096" s="60"/>
    </row>
    <row r="38097" spans="7:24" ht="15" customHeight="1">
      <c r="G38097"/>
      <c r="I38097"/>
      <c r="N38097"/>
      <c r="O38097" s="24"/>
      <c r="P38097"/>
      <c r="Q38097" s="24"/>
      <c r="R38097"/>
      <c r="S38097"/>
      <c r="T38097"/>
      <c r="U38097"/>
      <c r="X38097" s="60"/>
    </row>
    <row r="38098" spans="7:24" ht="15" customHeight="1">
      <c r="G38098"/>
      <c r="I38098"/>
      <c r="N38098"/>
      <c r="O38098" s="24"/>
      <c r="P38098"/>
      <c r="Q38098" s="24"/>
      <c r="R38098"/>
      <c r="S38098"/>
      <c r="T38098"/>
      <c r="U38098"/>
      <c r="X38098" s="60"/>
    </row>
    <row r="38099" spans="7:24" ht="15" customHeight="1">
      <c r="G38099"/>
      <c r="I38099"/>
      <c r="N38099"/>
      <c r="O38099" s="24"/>
      <c r="P38099"/>
      <c r="Q38099" s="24"/>
      <c r="R38099"/>
      <c r="S38099"/>
      <c r="T38099"/>
      <c r="U38099"/>
      <c r="X38099" s="60"/>
    </row>
    <row r="38100" spans="7:24" ht="15" customHeight="1">
      <c r="G38100"/>
      <c r="I38100"/>
      <c r="N38100"/>
      <c r="O38100" s="24"/>
      <c r="P38100"/>
      <c r="Q38100" s="24"/>
      <c r="R38100"/>
      <c r="S38100"/>
      <c r="T38100"/>
      <c r="U38100"/>
      <c r="X38100" s="60"/>
    </row>
    <row r="38101" spans="7:24" ht="15" customHeight="1">
      <c r="G38101"/>
      <c r="I38101"/>
      <c r="N38101"/>
      <c r="O38101" s="24"/>
      <c r="P38101"/>
      <c r="Q38101" s="24"/>
      <c r="R38101"/>
      <c r="S38101"/>
      <c r="T38101"/>
      <c r="U38101"/>
      <c r="X38101" s="60"/>
    </row>
    <row r="38102" spans="7:24" ht="15" customHeight="1">
      <c r="G38102"/>
      <c r="I38102"/>
      <c r="N38102"/>
      <c r="O38102" s="24"/>
      <c r="P38102"/>
      <c r="Q38102" s="24"/>
      <c r="R38102"/>
      <c r="S38102"/>
      <c r="T38102"/>
      <c r="U38102"/>
      <c r="X38102" s="60"/>
    </row>
    <row r="38103" spans="7:24" ht="15" customHeight="1">
      <c r="G38103"/>
      <c r="I38103"/>
      <c r="N38103"/>
      <c r="O38103" s="24"/>
      <c r="P38103"/>
      <c r="Q38103" s="24"/>
      <c r="R38103"/>
      <c r="S38103"/>
      <c r="T38103"/>
      <c r="U38103"/>
      <c r="X38103" s="60"/>
    </row>
    <row r="38104" spans="7:24" ht="15" customHeight="1">
      <c r="G38104"/>
      <c r="I38104"/>
      <c r="N38104"/>
      <c r="O38104" s="24"/>
      <c r="P38104"/>
      <c r="Q38104" s="24"/>
      <c r="R38104"/>
      <c r="S38104"/>
      <c r="T38104"/>
      <c r="U38104"/>
      <c r="X38104" s="60"/>
    </row>
    <row r="38105" spans="7:24" ht="15" customHeight="1">
      <c r="G38105"/>
      <c r="I38105"/>
      <c r="N38105"/>
      <c r="O38105" s="24"/>
      <c r="P38105"/>
      <c r="Q38105" s="24"/>
      <c r="R38105"/>
      <c r="S38105"/>
      <c r="T38105"/>
      <c r="U38105"/>
      <c r="X38105" s="60"/>
    </row>
    <row r="38106" spans="7:24" ht="15" customHeight="1">
      <c r="G38106"/>
      <c r="I38106"/>
      <c r="N38106"/>
      <c r="O38106" s="24"/>
      <c r="P38106"/>
      <c r="Q38106" s="24"/>
      <c r="R38106"/>
      <c r="S38106"/>
      <c r="T38106"/>
      <c r="U38106"/>
      <c r="X38106" s="60"/>
    </row>
    <row r="38107" spans="7:24" ht="15" customHeight="1">
      <c r="G38107"/>
      <c r="I38107"/>
      <c r="N38107"/>
      <c r="O38107" s="24"/>
      <c r="P38107"/>
      <c r="Q38107" s="24"/>
      <c r="R38107"/>
      <c r="S38107"/>
      <c r="T38107"/>
      <c r="U38107"/>
      <c r="X38107" s="60"/>
    </row>
    <row r="38108" spans="7:24" ht="15" customHeight="1">
      <c r="G38108"/>
      <c r="I38108"/>
      <c r="N38108"/>
      <c r="O38108" s="24"/>
      <c r="P38108"/>
      <c r="Q38108" s="24"/>
      <c r="R38108"/>
      <c r="S38108"/>
      <c r="T38108"/>
      <c r="U38108"/>
      <c r="X38108" s="60"/>
    </row>
    <row r="38109" spans="7:24" ht="15" customHeight="1">
      <c r="G38109"/>
      <c r="I38109"/>
      <c r="N38109"/>
      <c r="O38109" s="24"/>
      <c r="P38109"/>
      <c r="Q38109" s="24"/>
      <c r="R38109"/>
      <c r="S38109"/>
      <c r="T38109"/>
      <c r="U38109"/>
      <c r="X38109" s="60"/>
    </row>
    <row r="38110" spans="7:24" ht="15" customHeight="1">
      <c r="G38110"/>
      <c r="I38110"/>
      <c r="N38110"/>
      <c r="O38110" s="24"/>
      <c r="P38110"/>
      <c r="Q38110" s="24"/>
      <c r="R38110"/>
      <c r="S38110"/>
      <c r="T38110"/>
      <c r="U38110"/>
      <c r="X38110" s="60"/>
    </row>
    <row r="38111" spans="7:24" ht="15" customHeight="1">
      <c r="G38111"/>
      <c r="I38111"/>
      <c r="N38111"/>
      <c r="O38111" s="24"/>
      <c r="P38111"/>
      <c r="Q38111" s="24"/>
      <c r="R38111"/>
      <c r="S38111"/>
      <c r="T38111"/>
      <c r="U38111"/>
      <c r="X38111" s="60"/>
    </row>
    <row r="38112" spans="7:24" ht="15" customHeight="1">
      <c r="G38112"/>
      <c r="I38112"/>
      <c r="N38112"/>
      <c r="O38112" s="24"/>
      <c r="P38112"/>
      <c r="Q38112" s="24"/>
      <c r="R38112"/>
      <c r="S38112"/>
      <c r="T38112"/>
      <c r="U38112"/>
      <c r="X38112" s="60"/>
    </row>
    <row r="38113" spans="7:24" ht="15" customHeight="1">
      <c r="G38113"/>
      <c r="I38113"/>
      <c r="N38113"/>
      <c r="O38113" s="24"/>
      <c r="P38113"/>
      <c r="Q38113" s="24"/>
      <c r="R38113"/>
      <c r="S38113"/>
      <c r="T38113"/>
      <c r="U38113"/>
      <c r="X38113" s="60"/>
    </row>
    <row r="38114" spans="7:24" ht="15" customHeight="1">
      <c r="G38114"/>
      <c r="I38114"/>
      <c r="N38114"/>
      <c r="O38114" s="24"/>
      <c r="P38114"/>
      <c r="Q38114" s="24"/>
      <c r="R38114"/>
      <c r="S38114"/>
      <c r="T38114"/>
      <c r="U38114"/>
      <c r="X38114" s="60"/>
    </row>
    <row r="38115" spans="7:24" ht="15" customHeight="1">
      <c r="G38115"/>
      <c r="I38115"/>
      <c r="N38115"/>
      <c r="O38115" s="24"/>
      <c r="P38115"/>
      <c r="Q38115" s="24"/>
      <c r="R38115"/>
      <c r="S38115"/>
      <c r="T38115"/>
      <c r="U38115"/>
      <c r="X38115" s="60"/>
    </row>
    <row r="38116" spans="7:24" ht="15" customHeight="1">
      <c r="G38116"/>
      <c r="I38116"/>
      <c r="N38116"/>
      <c r="O38116" s="24"/>
      <c r="P38116"/>
      <c r="Q38116" s="24"/>
      <c r="R38116"/>
      <c r="S38116"/>
      <c r="T38116"/>
      <c r="U38116"/>
      <c r="X38116" s="60"/>
    </row>
    <row r="38117" spans="7:24" ht="15" customHeight="1">
      <c r="G38117"/>
      <c r="I38117"/>
      <c r="N38117"/>
      <c r="O38117" s="24"/>
      <c r="P38117"/>
      <c r="Q38117" s="24"/>
      <c r="R38117"/>
      <c r="S38117"/>
      <c r="T38117"/>
      <c r="U38117"/>
      <c r="X38117" s="60"/>
    </row>
    <row r="38118" spans="7:24" ht="15" customHeight="1">
      <c r="G38118"/>
      <c r="I38118"/>
      <c r="N38118"/>
      <c r="O38118" s="24"/>
      <c r="P38118"/>
      <c r="Q38118" s="24"/>
      <c r="R38118"/>
      <c r="S38118"/>
      <c r="T38118"/>
      <c r="U38118"/>
      <c r="X38118" s="60"/>
    </row>
    <row r="38119" spans="7:24" ht="15" customHeight="1">
      <c r="G38119"/>
      <c r="I38119"/>
      <c r="N38119"/>
      <c r="O38119" s="24"/>
      <c r="P38119"/>
      <c r="Q38119" s="24"/>
      <c r="R38119"/>
      <c r="S38119"/>
      <c r="T38119"/>
      <c r="U38119"/>
      <c r="X38119" s="60"/>
    </row>
    <row r="38120" spans="7:24" ht="15" customHeight="1">
      <c r="G38120"/>
      <c r="I38120"/>
      <c r="N38120"/>
      <c r="O38120" s="24"/>
      <c r="P38120"/>
      <c r="Q38120" s="24"/>
      <c r="R38120"/>
      <c r="S38120"/>
      <c r="T38120"/>
      <c r="U38120"/>
      <c r="X38120" s="60"/>
    </row>
    <row r="38121" spans="7:24" ht="15" customHeight="1">
      <c r="G38121"/>
      <c r="I38121"/>
      <c r="N38121"/>
      <c r="O38121" s="24"/>
      <c r="P38121"/>
      <c r="Q38121" s="24"/>
      <c r="R38121"/>
      <c r="S38121"/>
      <c r="T38121"/>
      <c r="U38121"/>
      <c r="X38121" s="60"/>
    </row>
    <row r="38122" spans="7:24" ht="15" customHeight="1">
      <c r="G38122"/>
      <c r="I38122"/>
      <c r="N38122"/>
      <c r="O38122" s="24"/>
      <c r="P38122"/>
      <c r="Q38122" s="24"/>
      <c r="R38122"/>
      <c r="S38122"/>
      <c r="T38122"/>
      <c r="U38122"/>
      <c r="X38122" s="60"/>
    </row>
    <row r="38123" spans="7:24" ht="15" customHeight="1">
      <c r="G38123"/>
      <c r="I38123"/>
      <c r="N38123"/>
      <c r="O38123" s="24"/>
      <c r="P38123"/>
      <c r="Q38123" s="24"/>
      <c r="R38123"/>
      <c r="S38123"/>
      <c r="T38123"/>
      <c r="U38123"/>
      <c r="X38123" s="60"/>
    </row>
    <row r="38124" spans="7:24" ht="15" customHeight="1">
      <c r="G38124"/>
      <c r="I38124"/>
      <c r="N38124"/>
      <c r="O38124" s="24"/>
      <c r="P38124"/>
      <c r="Q38124" s="24"/>
      <c r="R38124"/>
      <c r="S38124"/>
      <c r="T38124"/>
      <c r="U38124"/>
      <c r="X38124" s="60"/>
    </row>
    <row r="38125" spans="7:24" ht="15" customHeight="1">
      <c r="G38125"/>
      <c r="I38125"/>
      <c r="N38125"/>
      <c r="O38125" s="24"/>
      <c r="P38125"/>
      <c r="Q38125" s="24"/>
      <c r="R38125"/>
      <c r="S38125"/>
      <c r="T38125"/>
      <c r="U38125"/>
      <c r="X38125" s="60"/>
    </row>
    <row r="38126" spans="7:24" ht="15" customHeight="1">
      <c r="G38126"/>
      <c r="I38126"/>
      <c r="N38126"/>
      <c r="O38126" s="24"/>
      <c r="P38126"/>
      <c r="Q38126" s="24"/>
      <c r="R38126"/>
      <c r="S38126"/>
      <c r="T38126"/>
      <c r="U38126"/>
      <c r="X38126" s="60"/>
    </row>
    <row r="38127" spans="7:24" ht="15" customHeight="1">
      <c r="G38127"/>
      <c r="I38127"/>
      <c r="N38127"/>
      <c r="O38127" s="24"/>
      <c r="P38127"/>
      <c r="Q38127" s="24"/>
      <c r="R38127"/>
      <c r="S38127"/>
      <c r="T38127"/>
      <c r="U38127"/>
      <c r="X38127" s="60"/>
    </row>
    <row r="38128" spans="7:24" ht="15" customHeight="1">
      <c r="G38128"/>
      <c r="I38128"/>
      <c r="N38128"/>
      <c r="O38128" s="24"/>
      <c r="P38128"/>
      <c r="Q38128" s="24"/>
      <c r="R38128"/>
      <c r="S38128"/>
      <c r="T38128"/>
      <c r="U38128"/>
      <c r="X38128" s="60"/>
    </row>
    <row r="38129" spans="7:24" ht="15" customHeight="1">
      <c r="G38129"/>
      <c r="I38129"/>
      <c r="N38129"/>
      <c r="O38129" s="24"/>
      <c r="P38129"/>
      <c r="Q38129" s="24"/>
      <c r="R38129"/>
      <c r="S38129"/>
      <c r="T38129"/>
      <c r="U38129"/>
      <c r="X38129" s="60"/>
    </row>
    <row r="38130" spans="7:24" ht="15" customHeight="1">
      <c r="G38130"/>
      <c r="I38130"/>
      <c r="N38130"/>
      <c r="O38130" s="24"/>
      <c r="P38130"/>
      <c r="Q38130" s="24"/>
      <c r="R38130"/>
      <c r="S38130"/>
      <c r="T38130"/>
      <c r="U38130"/>
      <c r="X38130" s="60"/>
    </row>
    <row r="38131" spans="7:24" ht="15" customHeight="1">
      <c r="G38131"/>
      <c r="I38131"/>
      <c r="N38131"/>
      <c r="O38131" s="24"/>
      <c r="P38131"/>
      <c r="Q38131" s="24"/>
      <c r="R38131"/>
      <c r="S38131"/>
      <c r="T38131"/>
      <c r="U38131"/>
      <c r="X38131" s="60"/>
    </row>
    <row r="38132" spans="7:24" ht="15" customHeight="1">
      <c r="G38132"/>
      <c r="I38132"/>
      <c r="N38132"/>
      <c r="O38132" s="24"/>
      <c r="P38132"/>
      <c r="Q38132" s="24"/>
      <c r="R38132"/>
      <c r="S38132"/>
      <c r="T38132"/>
      <c r="U38132"/>
      <c r="X38132" s="60"/>
    </row>
    <row r="38133" spans="7:24" ht="15" customHeight="1">
      <c r="G38133"/>
      <c r="I38133"/>
      <c r="N38133"/>
      <c r="O38133" s="24"/>
      <c r="P38133"/>
      <c r="Q38133" s="24"/>
      <c r="R38133"/>
      <c r="S38133"/>
      <c r="T38133"/>
      <c r="U38133"/>
      <c r="X38133" s="60"/>
    </row>
    <row r="38134" spans="7:24" ht="15" customHeight="1">
      <c r="G38134"/>
      <c r="I38134"/>
      <c r="N38134"/>
      <c r="O38134" s="24"/>
      <c r="P38134"/>
      <c r="Q38134" s="24"/>
      <c r="R38134"/>
      <c r="S38134"/>
      <c r="T38134"/>
      <c r="U38134"/>
      <c r="X38134" s="60"/>
    </row>
    <row r="38135" spans="7:24" ht="15" customHeight="1">
      <c r="G38135"/>
      <c r="I38135"/>
      <c r="N38135"/>
      <c r="O38135" s="24"/>
      <c r="P38135"/>
      <c r="Q38135" s="24"/>
      <c r="R38135"/>
      <c r="S38135"/>
      <c r="T38135"/>
      <c r="U38135"/>
      <c r="X38135" s="60"/>
    </row>
    <row r="38136" spans="7:24" ht="15" customHeight="1">
      <c r="G38136"/>
      <c r="I38136"/>
      <c r="N38136"/>
      <c r="O38136" s="24"/>
      <c r="P38136"/>
      <c r="Q38136" s="24"/>
      <c r="R38136"/>
      <c r="S38136"/>
      <c r="T38136"/>
      <c r="U38136"/>
      <c r="X38136" s="60"/>
    </row>
    <row r="38137" spans="7:24" ht="15" customHeight="1">
      <c r="G38137"/>
      <c r="I38137"/>
      <c r="N38137"/>
      <c r="O38137" s="24"/>
      <c r="P38137"/>
      <c r="Q38137" s="24"/>
      <c r="R38137"/>
      <c r="S38137"/>
      <c r="T38137"/>
      <c r="U38137"/>
      <c r="X38137" s="60"/>
    </row>
    <row r="38138" spans="7:24" ht="15" customHeight="1">
      <c r="G38138"/>
      <c r="I38138"/>
      <c r="N38138"/>
      <c r="O38138" s="24"/>
      <c r="P38138"/>
      <c r="Q38138" s="24"/>
      <c r="R38138"/>
      <c r="S38138"/>
      <c r="T38138"/>
      <c r="U38138"/>
      <c r="X38138" s="60"/>
    </row>
    <row r="38139" spans="7:24" ht="15" customHeight="1">
      <c r="G38139"/>
      <c r="I38139"/>
      <c r="N38139"/>
      <c r="O38139" s="24"/>
      <c r="P38139"/>
      <c r="Q38139" s="24"/>
      <c r="R38139"/>
      <c r="S38139"/>
      <c r="T38139"/>
      <c r="U38139"/>
      <c r="X38139" s="60"/>
    </row>
    <row r="38140" spans="7:24" ht="15" customHeight="1">
      <c r="G38140"/>
      <c r="I38140"/>
      <c r="N38140"/>
      <c r="O38140" s="24"/>
      <c r="P38140"/>
      <c r="Q38140" s="24"/>
      <c r="R38140"/>
      <c r="S38140"/>
      <c r="T38140"/>
      <c r="U38140"/>
      <c r="X38140" s="60"/>
    </row>
    <row r="38141" spans="7:24" ht="15" customHeight="1">
      <c r="G38141"/>
      <c r="I38141"/>
      <c r="N38141"/>
      <c r="O38141" s="24"/>
      <c r="P38141"/>
      <c r="Q38141" s="24"/>
      <c r="R38141"/>
      <c r="S38141"/>
      <c r="T38141"/>
      <c r="U38141"/>
      <c r="X38141" s="60"/>
    </row>
    <row r="38142" spans="7:24" ht="15" customHeight="1">
      <c r="G38142"/>
      <c r="I38142"/>
      <c r="N38142"/>
      <c r="O38142" s="24"/>
      <c r="P38142"/>
      <c r="Q38142" s="24"/>
      <c r="R38142"/>
      <c r="S38142"/>
      <c r="T38142"/>
      <c r="U38142"/>
      <c r="X38142" s="60"/>
    </row>
    <row r="38143" spans="7:24" ht="15" customHeight="1">
      <c r="G38143"/>
      <c r="I38143"/>
      <c r="N38143"/>
      <c r="O38143" s="24"/>
      <c r="P38143"/>
      <c r="Q38143" s="24"/>
      <c r="R38143"/>
      <c r="S38143"/>
      <c r="T38143"/>
      <c r="U38143"/>
      <c r="X38143" s="60"/>
    </row>
    <row r="38144" spans="7:24" ht="15" customHeight="1">
      <c r="G38144"/>
      <c r="I38144"/>
      <c r="N38144"/>
      <c r="O38144" s="24"/>
      <c r="P38144"/>
      <c r="Q38144" s="24"/>
      <c r="R38144"/>
      <c r="S38144"/>
      <c r="T38144"/>
      <c r="U38144"/>
      <c r="X38144" s="60"/>
    </row>
    <row r="38145" spans="7:24" ht="15" customHeight="1">
      <c r="G38145"/>
      <c r="I38145"/>
      <c r="N38145"/>
      <c r="O38145" s="24"/>
      <c r="P38145"/>
      <c r="Q38145" s="24"/>
      <c r="R38145"/>
      <c r="S38145"/>
      <c r="T38145"/>
      <c r="U38145"/>
      <c r="X38145" s="60"/>
    </row>
    <row r="38146" spans="7:24" ht="15" customHeight="1">
      <c r="G38146"/>
      <c r="I38146"/>
      <c r="N38146"/>
      <c r="O38146" s="24"/>
      <c r="P38146"/>
      <c r="Q38146" s="24"/>
      <c r="R38146"/>
      <c r="S38146"/>
      <c r="T38146"/>
      <c r="U38146"/>
      <c r="X38146" s="60"/>
    </row>
    <row r="38147" spans="7:24" ht="15" customHeight="1">
      <c r="G38147"/>
      <c r="I38147"/>
      <c r="N38147"/>
      <c r="O38147" s="24"/>
      <c r="P38147"/>
      <c r="Q38147" s="24"/>
      <c r="R38147"/>
      <c r="S38147"/>
      <c r="T38147"/>
      <c r="U38147"/>
      <c r="X38147" s="60"/>
    </row>
    <row r="38148" spans="7:24" ht="15" customHeight="1">
      <c r="G38148"/>
      <c r="I38148"/>
      <c r="N38148"/>
      <c r="O38148" s="24"/>
      <c r="P38148"/>
      <c r="Q38148" s="24"/>
      <c r="R38148"/>
      <c r="S38148"/>
      <c r="T38148"/>
      <c r="U38148"/>
      <c r="X38148" s="60"/>
    </row>
    <row r="38149" spans="7:24" ht="15" customHeight="1">
      <c r="G38149"/>
      <c r="I38149"/>
      <c r="N38149"/>
      <c r="O38149" s="24"/>
      <c r="P38149"/>
      <c r="Q38149" s="24"/>
      <c r="R38149"/>
      <c r="S38149"/>
      <c r="T38149"/>
      <c r="U38149"/>
      <c r="X38149" s="60"/>
    </row>
    <row r="38150" spans="7:24" ht="15" customHeight="1">
      <c r="G38150"/>
      <c r="I38150"/>
      <c r="N38150"/>
      <c r="O38150" s="24"/>
      <c r="P38150"/>
      <c r="Q38150" s="24"/>
      <c r="R38150"/>
      <c r="S38150"/>
      <c r="T38150"/>
      <c r="U38150"/>
      <c r="X38150" s="60"/>
    </row>
    <row r="38151" spans="7:24" ht="15" customHeight="1">
      <c r="G38151"/>
      <c r="I38151"/>
      <c r="N38151"/>
      <c r="O38151" s="24"/>
      <c r="P38151"/>
      <c r="Q38151" s="24"/>
      <c r="R38151"/>
      <c r="S38151"/>
      <c r="T38151"/>
      <c r="U38151"/>
      <c r="X38151" s="60"/>
    </row>
    <row r="38152" spans="7:24" ht="15" customHeight="1">
      <c r="G38152"/>
      <c r="I38152"/>
      <c r="N38152"/>
      <c r="O38152" s="24"/>
      <c r="P38152"/>
      <c r="Q38152" s="24"/>
      <c r="R38152"/>
      <c r="S38152"/>
      <c r="T38152"/>
      <c r="U38152"/>
      <c r="X38152" s="60"/>
    </row>
    <row r="38153" spans="7:24" ht="15" customHeight="1">
      <c r="G38153"/>
      <c r="I38153"/>
      <c r="N38153"/>
      <c r="O38153" s="24"/>
      <c r="P38153"/>
      <c r="Q38153" s="24"/>
      <c r="R38153"/>
      <c r="S38153"/>
      <c r="T38153"/>
      <c r="U38153"/>
      <c r="X38153" s="60"/>
    </row>
    <row r="38154" spans="7:24" ht="15" customHeight="1">
      <c r="G38154"/>
      <c r="I38154"/>
      <c r="N38154"/>
      <c r="O38154" s="24"/>
      <c r="P38154"/>
      <c r="Q38154" s="24"/>
      <c r="R38154"/>
      <c r="S38154"/>
      <c r="T38154"/>
      <c r="U38154"/>
      <c r="X38154" s="60"/>
    </row>
    <row r="38155" spans="7:24" ht="15" customHeight="1">
      <c r="G38155"/>
      <c r="I38155"/>
      <c r="N38155"/>
      <c r="O38155" s="24"/>
      <c r="P38155"/>
      <c r="Q38155" s="24"/>
      <c r="R38155"/>
      <c r="S38155"/>
      <c r="T38155"/>
      <c r="U38155"/>
      <c r="X38155" s="60"/>
    </row>
    <row r="38156" spans="7:24" ht="15" customHeight="1">
      <c r="G38156"/>
      <c r="I38156"/>
      <c r="N38156"/>
      <c r="O38156" s="24"/>
      <c r="P38156"/>
      <c r="Q38156" s="24"/>
      <c r="R38156"/>
      <c r="S38156"/>
      <c r="T38156"/>
      <c r="U38156"/>
      <c r="X38156" s="60"/>
    </row>
    <row r="38157" spans="7:24" ht="15" customHeight="1">
      <c r="G38157"/>
      <c r="I38157"/>
      <c r="N38157"/>
      <c r="O38157" s="24"/>
      <c r="P38157"/>
      <c r="Q38157" s="24"/>
      <c r="R38157"/>
      <c r="S38157"/>
      <c r="T38157"/>
      <c r="U38157"/>
      <c r="X38157" s="60"/>
    </row>
    <row r="38158" spans="7:24" ht="15" customHeight="1">
      <c r="G38158"/>
      <c r="I38158"/>
      <c r="N38158"/>
      <c r="O38158" s="24"/>
      <c r="P38158"/>
      <c r="Q38158" s="24"/>
      <c r="R38158"/>
      <c r="S38158"/>
      <c r="T38158"/>
      <c r="U38158"/>
      <c r="X38158" s="60"/>
    </row>
    <row r="38159" spans="7:24" ht="15" customHeight="1">
      <c r="G38159"/>
      <c r="I38159"/>
      <c r="N38159"/>
      <c r="O38159" s="24"/>
      <c r="P38159"/>
      <c r="Q38159" s="24"/>
      <c r="R38159"/>
      <c r="S38159"/>
      <c r="T38159"/>
      <c r="U38159"/>
      <c r="X38159" s="60"/>
    </row>
    <row r="38160" spans="7:24" ht="15" customHeight="1">
      <c r="G38160"/>
      <c r="I38160"/>
      <c r="N38160"/>
      <c r="O38160" s="24"/>
      <c r="P38160"/>
      <c r="Q38160" s="24"/>
      <c r="R38160"/>
      <c r="S38160"/>
      <c r="T38160"/>
      <c r="U38160"/>
      <c r="X38160" s="60"/>
    </row>
    <row r="38161" spans="7:24" ht="15" customHeight="1">
      <c r="G38161"/>
      <c r="I38161"/>
      <c r="N38161"/>
      <c r="O38161" s="24"/>
      <c r="P38161"/>
      <c r="Q38161" s="24"/>
      <c r="R38161"/>
      <c r="S38161"/>
      <c r="T38161"/>
      <c r="U38161"/>
      <c r="X38161" s="60"/>
    </row>
    <row r="38162" spans="7:24" ht="15" customHeight="1">
      <c r="G38162"/>
      <c r="I38162"/>
      <c r="N38162"/>
      <c r="O38162" s="24"/>
      <c r="P38162"/>
      <c r="Q38162" s="24"/>
      <c r="R38162"/>
      <c r="S38162"/>
      <c r="T38162"/>
      <c r="U38162"/>
      <c r="X38162" s="60"/>
    </row>
    <row r="38163" spans="7:24" ht="15" customHeight="1">
      <c r="G38163"/>
      <c r="I38163"/>
      <c r="N38163"/>
      <c r="O38163" s="24"/>
      <c r="P38163"/>
      <c r="Q38163" s="24"/>
      <c r="R38163"/>
      <c r="S38163"/>
      <c r="T38163"/>
      <c r="U38163"/>
      <c r="X38163" s="60"/>
    </row>
    <row r="38164" spans="7:24" ht="15" customHeight="1">
      <c r="G38164"/>
      <c r="I38164"/>
      <c r="N38164"/>
      <c r="O38164" s="24"/>
      <c r="P38164"/>
      <c r="Q38164" s="24"/>
      <c r="R38164"/>
      <c r="S38164"/>
      <c r="T38164"/>
      <c r="U38164"/>
      <c r="X38164" s="60"/>
    </row>
    <row r="38165" spans="7:24" ht="15" customHeight="1">
      <c r="G38165"/>
      <c r="I38165"/>
      <c r="N38165"/>
      <c r="O38165" s="24"/>
      <c r="P38165"/>
      <c r="Q38165" s="24"/>
      <c r="R38165"/>
      <c r="S38165"/>
      <c r="T38165"/>
      <c r="U38165"/>
      <c r="X38165" s="60"/>
    </row>
    <row r="38166" spans="7:24" ht="15" customHeight="1">
      <c r="G38166"/>
      <c r="I38166"/>
      <c r="N38166"/>
      <c r="O38166" s="24"/>
      <c r="P38166"/>
      <c r="Q38166" s="24"/>
      <c r="R38166"/>
      <c r="S38166"/>
      <c r="T38166"/>
      <c r="U38166"/>
      <c r="X38166" s="60"/>
    </row>
    <row r="38167" spans="7:24" ht="15" customHeight="1">
      <c r="G38167"/>
      <c r="I38167"/>
      <c r="N38167"/>
      <c r="O38167" s="24"/>
      <c r="P38167"/>
      <c r="Q38167" s="24"/>
      <c r="R38167"/>
      <c r="S38167"/>
      <c r="T38167"/>
      <c r="U38167"/>
      <c r="X38167" s="60"/>
    </row>
    <row r="38168" spans="7:24" ht="15" customHeight="1">
      <c r="G38168"/>
      <c r="I38168"/>
      <c r="N38168"/>
      <c r="O38168" s="24"/>
      <c r="P38168"/>
      <c r="Q38168" s="24"/>
      <c r="R38168"/>
      <c r="S38168"/>
      <c r="T38168"/>
      <c r="U38168"/>
      <c r="X38168" s="60"/>
    </row>
    <row r="38169" spans="7:24" ht="15" customHeight="1">
      <c r="G38169"/>
      <c r="I38169"/>
      <c r="N38169"/>
      <c r="O38169" s="24"/>
      <c r="P38169"/>
      <c r="Q38169" s="24"/>
      <c r="R38169"/>
      <c r="S38169"/>
      <c r="T38169"/>
      <c r="U38169"/>
      <c r="X38169" s="60"/>
    </row>
    <row r="38170" spans="7:24" ht="15" customHeight="1">
      <c r="G38170"/>
      <c r="I38170"/>
      <c r="N38170"/>
      <c r="O38170" s="24"/>
      <c r="P38170"/>
      <c r="Q38170" s="24"/>
      <c r="R38170"/>
      <c r="S38170"/>
      <c r="T38170"/>
      <c r="U38170"/>
      <c r="X38170" s="60"/>
    </row>
    <row r="38171" spans="7:24" ht="15" customHeight="1">
      <c r="G38171"/>
      <c r="I38171"/>
      <c r="N38171"/>
      <c r="O38171" s="24"/>
      <c r="P38171"/>
      <c r="Q38171" s="24"/>
      <c r="R38171"/>
      <c r="S38171"/>
      <c r="T38171"/>
      <c r="U38171"/>
      <c r="X38171" s="60"/>
    </row>
    <row r="38172" spans="7:24" ht="15" customHeight="1">
      <c r="G38172"/>
      <c r="I38172"/>
      <c r="N38172"/>
      <c r="O38172" s="24"/>
      <c r="P38172"/>
      <c r="Q38172" s="24"/>
      <c r="R38172"/>
      <c r="S38172"/>
      <c r="T38172"/>
      <c r="U38172"/>
      <c r="X38172" s="60"/>
    </row>
    <row r="38173" spans="7:24" ht="15" customHeight="1">
      <c r="G38173"/>
      <c r="I38173"/>
      <c r="N38173"/>
      <c r="O38173" s="24"/>
      <c r="P38173"/>
      <c r="Q38173" s="24"/>
      <c r="R38173"/>
      <c r="S38173"/>
      <c r="T38173"/>
      <c r="U38173"/>
      <c r="X38173" s="60"/>
    </row>
    <row r="38174" spans="7:24" ht="15" customHeight="1">
      <c r="G38174"/>
      <c r="I38174"/>
      <c r="N38174"/>
      <c r="O38174" s="24"/>
      <c r="P38174"/>
      <c r="Q38174" s="24"/>
      <c r="R38174"/>
      <c r="S38174"/>
      <c r="T38174"/>
      <c r="U38174"/>
      <c r="X38174" s="60"/>
    </row>
    <row r="38175" spans="7:24" ht="15" customHeight="1">
      <c r="G38175"/>
      <c r="I38175"/>
      <c r="N38175"/>
      <c r="O38175" s="24"/>
      <c r="P38175"/>
      <c r="Q38175" s="24"/>
      <c r="R38175"/>
      <c r="S38175"/>
      <c r="T38175"/>
      <c r="U38175"/>
      <c r="X38175" s="60"/>
    </row>
    <row r="38176" spans="7:24" ht="15" customHeight="1">
      <c r="G38176"/>
      <c r="I38176"/>
      <c r="N38176"/>
      <c r="O38176" s="24"/>
      <c r="P38176"/>
      <c r="Q38176" s="24"/>
      <c r="R38176"/>
      <c r="S38176"/>
      <c r="T38176"/>
      <c r="U38176"/>
      <c r="X38176" s="60"/>
    </row>
    <row r="38177" spans="7:24" ht="15" customHeight="1">
      <c r="G38177"/>
      <c r="I38177"/>
      <c r="N38177"/>
      <c r="O38177" s="24"/>
      <c r="P38177"/>
      <c r="Q38177" s="24"/>
      <c r="R38177"/>
      <c r="S38177"/>
      <c r="T38177"/>
      <c r="U38177"/>
      <c r="X38177" s="60"/>
    </row>
    <row r="38178" spans="7:24" ht="15" customHeight="1">
      <c r="G38178"/>
      <c r="I38178"/>
      <c r="N38178"/>
      <c r="O38178" s="24"/>
      <c r="P38178"/>
      <c r="Q38178" s="24"/>
      <c r="R38178"/>
      <c r="S38178"/>
      <c r="T38178"/>
      <c r="U38178"/>
      <c r="X38178" s="60"/>
    </row>
    <row r="38179" spans="7:24" ht="15" customHeight="1">
      <c r="G38179"/>
      <c r="I38179"/>
      <c r="N38179"/>
      <c r="O38179" s="24"/>
      <c r="P38179"/>
      <c r="Q38179" s="24"/>
      <c r="R38179"/>
      <c r="S38179"/>
      <c r="T38179"/>
      <c r="U38179"/>
      <c r="X38179" s="60"/>
    </row>
    <row r="38180" spans="7:24" ht="15" customHeight="1">
      <c r="G38180"/>
      <c r="I38180"/>
      <c r="N38180"/>
      <c r="O38180" s="24"/>
      <c r="P38180"/>
      <c r="Q38180" s="24"/>
      <c r="R38180"/>
      <c r="S38180"/>
      <c r="T38180"/>
      <c r="U38180"/>
      <c r="X38180" s="60"/>
    </row>
    <row r="38181" spans="7:24" ht="15" customHeight="1">
      <c r="G38181"/>
      <c r="I38181"/>
      <c r="N38181"/>
      <c r="O38181" s="24"/>
      <c r="P38181"/>
      <c r="Q38181" s="24"/>
      <c r="R38181"/>
      <c r="S38181"/>
      <c r="T38181"/>
      <c r="U38181"/>
      <c r="X38181" s="60"/>
    </row>
    <row r="38182" spans="7:24" ht="15" customHeight="1">
      <c r="G38182"/>
      <c r="I38182"/>
      <c r="N38182"/>
      <c r="O38182" s="24"/>
      <c r="P38182"/>
      <c r="Q38182" s="24"/>
      <c r="R38182"/>
      <c r="S38182"/>
      <c r="T38182"/>
      <c r="U38182"/>
      <c r="X38182" s="60"/>
    </row>
    <row r="38183" spans="7:24" ht="15" customHeight="1">
      <c r="G38183"/>
      <c r="I38183"/>
      <c r="N38183"/>
      <c r="O38183" s="24"/>
      <c r="P38183"/>
      <c r="Q38183" s="24"/>
      <c r="R38183"/>
      <c r="S38183"/>
      <c r="T38183"/>
      <c r="U38183"/>
      <c r="X38183" s="60"/>
    </row>
    <row r="38184" spans="7:24" ht="15" customHeight="1">
      <c r="G38184"/>
      <c r="I38184"/>
      <c r="N38184"/>
      <c r="O38184" s="24"/>
      <c r="P38184"/>
      <c r="Q38184" s="24"/>
      <c r="R38184"/>
      <c r="S38184"/>
      <c r="T38184"/>
      <c r="U38184"/>
      <c r="X38184" s="60"/>
    </row>
    <row r="38185" spans="7:24" ht="15" customHeight="1">
      <c r="G38185"/>
      <c r="I38185"/>
      <c r="N38185"/>
      <c r="O38185" s="24"/>
      <c r="P38185"/>
      <c r="Q38185" s="24"/>
      <c r="R38185"/>
      <c r="S38185"/>
      <c r="T38185"/>
      <c r="U38185"/>
      <c r="X38185" s="60"/>
    </row>
    <row r="38186" spans="7:24" ht="15" customHeight="1">
      <c r="G38186"/>
      <c r="I38186"/>
      <c r="N38186"/>
      <c r="O38186" s="24"/>
      <c r="P38186"/>
      <c r="Q38186" s="24"/>
      <c r="R38186"/>
      <c r="S38186"/>
      <c r="T38186"/>
      <c r="U38186"/>
      <c r="X38186" s="60"/>
    </row>
    <row r="38187" spans="7:24" ht="15" customHeight="1">
      <c r="G38187"/>
      <c r="I38187"/>
      <c r="N38187"/>
      <c r="O38187" s="24"/>
      <c r="P38187"/>
      <c r="Q38187" s="24"/>
      <c r="R38187"/>
      <c r="S38187"/>
      <c r="T38187"/>
      <c r="U38187"/>
      <c r="X38187" s="60"/>
    </row>
    <row r="38188" spans="7:24" ht="15" customHeight="1">
      <c r="G38188"/>
      <c r="I38188"/>
      <c r="N38188"/>
      <c r="O38188" s="24"/>
      <c r="P38188"/>
      <c r="Q38188" s="24"/>
      <c r="R38188"/>
      <c r="S38188"/>
      <c r="T38188"/>
      <c r="U38188"/>
      <c r="X38188" s="60"/>
    </row>
    <row r="38189" spans="7:24" ht="15" customHeight="1">
      <c r="G38189"/>
      <c r="I38189"/>
      <c r="N38189"/>
      <c r="O38189" s="24"/>
      <c r="P38189"/>
      <c r="Q38189" s="24"/>
      <c r="R38189"/>
      <c r="S38189"/>
      <c r="T38189"/>
      <c r="U38189"/>
      <c r="X38189" s="60"/>
    </row>
    <row r="38190" spans="7:24" ht="15" customHeight="1">
      <c r="G38190"/>
      <c r="I38190"/>
      <c r="N38190"/>
      <c r="O38190" s="24"/>
      <c r="P38190"/>
      <c r="Q38190" s="24"/>
      <c r="R38190"/>
      <c r="S38190"/>
      <c r="T38190"/>
      <c r="U38190"/>
      <c r="X38190" s="60"/>
    </row>
    <row r="38191" spans="7:24" ht="15" customHeight="1">
      <c r="G38191"/>
      <c r="I38191"/>
      <c r="N38191"/>
      <c r="O38191" s="24"/>
      <c r="P38191"/>
      <c r="Q38191" s="24"/>
      <c r="R38191"/>
      <c r="S38191"/>
      <c r="T38191"/>
      <c r="U38191"/>
      <c r="X38191" s="60"/>
    </row>
    <row r="38192" spans="7:24" ht="15" customHeight="1">
      <c r="G38192"/>
      <c r="I38192"/>
      <c r="N38192"/>
      <c r="O38192" s="24"/>
      <c r="P38192"/>
      <c r="Q38192" s="24"/>
      <c r="R38192"/>
      <c r="S38192"/>
      <c r="T38192"/>
      <c r="U38192"/>
      <c r="X38192" s="60"/>
    </row>
    <row r="38193" spans="7:24" ht="15" customHeight="1">
      <c r="G38193"/>
      <c r="I38193"/>
      <c r="N38193"/>
      <c r="O38193" s="24"/>
      <c r="P38193"/>
      <c r="Q38193" s="24"/>
      <c r="R38193"/>
      <c r="S38193"/>
      <c r="T38193"/>
      <c r="U38193"/>
      <c r="X38193" s="60"/>
    </row>
    <row r="38194" spans="7:24" ht="15" customHeight="1">
      <c r="G38194"/>
      <c r="I38194"/>
      <c r="N38194"/>
      <c r="O38194" s="24"/>
      <c r="P38194"/>
      <c r="Q38194" s="24"/>
      <c r="R38194"/>
      <c r="S38194"/>
      <c r="T38194"/>
      <c r="U38194"/>
      <c r="X38194" s="60"/>
    </row>
    <row r="38195" spans="7:24" ht="15" customHeight="1">
      <c r="G38195"/>
      <c r="I38195"/>
      <c r="N38195"/>
      <c r="O38195" s="24"/>
      <c r="P38195"/>
      <c r="Q38195" s="24"/>
      <c r="R38195"/>
      <c r="S38195"/>
      <c r="T38195"/>
      <c r="U38195"/>
      <c r="X38195" s="60"/>
    </row>
    <row r="38196" spans="7:24" ht="15" customHeight="1">
      <c r="G38196"/>
      <c r="I38196"/>
      <c r="N38196"/>
      <c r="O38196" s="24"/>
      <c r="P38196"/>
      <c r="Q38196" s="24"/>
      <c r="R38196"/>
      <c r="S38196"/>
      <c r="T38196"/>
      <c r="U38196"/>
      <c r="X38196" s="60"/>
    </row>
    <row r="38197" spans="7:24" ht="15" customHeight="1">
      <c r="G38197"/>
      <c r="I38197"/>
      <c r="N38197"/>
      <c r="O38197" s="24"/>
      <c r="P38197"/>
      <c r="Q38197" s="24"/>
      <c r="R38197"/>
      <c r="S38197"/>
      <c r="T38197"/>
      <c r="U38197"/>
      <c r="X38197" s="60"/>
    </row>
    <row r="38198" spans="7:24" ht="15" customHeight="1">
      <c r="G38198"/>
      <c r="I38198"/>
      <c r="N38198"/>
      <c r="O38198" s="24"/>
      <c r="P38198"/>
      <c r="Q38198" s="24"/>
      <c r="R38198"/>
      <c r="S38198"/>
      <c r="T38198"/>
      <c r="U38198"/>
      <c r="X38198" s="60"/>
    </row>
    <row r="38199" spans="7:24" ht="15" customHeight="1">
      <c r="G38199"/>
      <c r="I38199"/>
      <c r="N38199"/>
      <c r="O38199" s="24"/>
      <c r="P38199"/>
      <c r="Q38199" s="24"/>
      <c r="R38199"/>
      <c r="S38199"/>
      <c r="T38199"/>
      <c r="U38199"/>
      <c r="X38199" s="60"/>
    </row>
    <row r="38200" spans="7:24" ht="15" customHeight="1">
      <c r="G38200"/>
      <c r="I38200"/>
      <c r="N38200"/>
      <c r="O38200" s="24"/>
      <c r="P38200"/>
      <c r="Q38200" s="24"/>
      <c r="R38200"/>
      <c r="S38200"/>
      <c r="T38200"/>
      <c r="U38200"/>
      <c r="X38200" s="60"/>
    </row>
    <row r="38201" spans="7:24" ht="15" customHeight="1">
      <c r="G38201"/>
      <c r="I38201"/>
      <c r="N38201"/>
      <c r="O38201" s="24"/>
      <c r="P38201"/>
      <c r="Q38201" s="24"/>
      <c r="R38201"/>
      <c r="S38201"/>
      <c r="T38201"/>
      <c r="U38201"/>
      <c r="X38201" s="60"/>
    </row>
    <row r="38202" spans="7:24" ht="15" customHeight="1">
      <c r="G38202"/>
      <c r="I38202"/>
      <c r="N38202"/>
      <c r="O38202" s="24"/>
      <c r="P38202"/>
      <c r="Q38202" s="24"/>
      <c r="R38202"/>
      <c r="S38202"/>
      <c r="T38202"/>
      <c r="U38202"/>
      <c r="X38202" s="60"/>
    </row>
    <row r="38203" spans="7:24" ht="15" customHeight="1">
      <c r="G38203"/>
      <c r="I38203"/>
      <c r="N38203"/>
      <c r="O38203" s="24"/>
      <c r="P38203"/>
      <c r="Q38203" s="24"/>
      <c r="R38203"/>
      <c r="S38203"/>
      <c r="T38203"/>
      <c r="U38203"/>
      <c r="X38203" s="60"/>
    </row>
    <row r="38204" spans="7:24" ht="15" customHeight="1">
      <c r="G38204"/>
      <c r="I38204"/>
      <c r="N38204"/>
      <c r="O38204" s="24"/>
      <c r="P38204"/>
      <c r="Q38204" s="24"/>
      <c r="R38204"/>
      <c r="S38204"/>
      <c r="T38204"/>
      <c r="U38204"/>
      <c r="X38204" s="60"/>
    </row>
    <row r="38205" spans="7:24" ht="15" customHeight="1">
      <c r="G38205"/>
      <c r="I38205"/>
      <c r="N38205"/>
      <c r="O38205" s="24"/>
      <c r="P38205"/>
      <c r="Q38205" s="24"/>
      <c r="R38205"/>
      <c r="S38205"/>
      <c r="T38205"/>
      <c r="U38205"/>
      <c r="X38205" s="60"/>
    </row>
    <row r="38206" spans="7:24" ht="15" customHeight="1">
      <c r="G38206"/>
      <c r="I38206"/>
      <c r="N38206"/>
      <c r="O38206" s="24"/>
      <c r="P38206"/>
      <c r="Q38206" s="24"/>
      <c r="R38206"/>
      <c r="S38206"/>
      <c r="T38206"/>
      <c r="U38206"/>
      <c r="X38206" s="60"/>
    </row>
    <row r="38207" spans="7:24" ht="15" customHeight="1">
      <c r="G38207"/>
      <c r="I38207"/>
      <c r="N38207"/>
      <c r="O38207" s="24"/>
      <c r="P38207"/>
      <c r="Q38207" s="24"/>
      <c r="R38207"/>
      <c r="S38207"/>
      <c r="T38207"/>
      <c r="U38207"/>
      <c r="X38207" s="60"/>
    </row>
    <row r="38208" spans="7:24" ht="15" customHeight="1">
      <c r="G38208"/>
      <c r="I38208"/>
      <c r="N38208"/>
      <c r="O38208" s="24"/>
      <c r="P38208"/>
      <c r="Q38208" s="24"/>
      <c r="R38208"/>
      <c r="S38208"/>
      <c r="T38208"/>
      <c r="U38208"/>
      <c r="X38208" s="60"/>
    </row>
    <row r="38209" spans="7:24" ht="15" customHeight="1">
      <c r="G38209"/>
      <c r="I38209"/>
      <c r="N38209"/>
      <c r="O38209" s="24"/>
      <c r="P38209"/>
      <c r="Q38209" s="24"/>
      <c r="R38209"/>
      <c r="S38209"/>
      <c r="T38209"/>
      <c r="U38209"/>
      <c r="X38209" s="60"/>
    </row>
    <row r="38210" spans="7:24" ht="15" customHeight="1">
      <c r="G38210"/>
      <c r="I38210"/>
      <c r="N38210"/>
      <c r="O38210" s="24"/>
      <c r="P38210"/>
      <c r="Q38210" s="24"/>
      <c r="R38210"/>
      <c r="S38210"/>
      <c r="T38210"/>
      <c r="U38210"/>
      <c r="X38210" s="60"/>
    </row>
    <row r="38211" spans="7:24" ht="15" customHeight="1">
      <c r="G38211"/>
      <c r="I38211"/>
      <c r="N38211"/>
      <c r="O38211" s="24"/>
      <c r="P38211"/>
      <c r="Q38211" s="24"/>
      <c r="R38211"/>
      <c r="S38211"/>
      <c r="T38211"/>
      <c r="U38211"/>
      <c r="X38211" s="60"/>
    </row>
    <row r="38212" spans="7:24" ht="15" customHeight="1">
      <c r="G38212"/>
      <c r="I38212"/>
      <c r="N38212"/>
      <c r="O38212" s="24"/>
      <c r="P38212"/>
      <c r="Q38212" s="24"/>
      <c r="R38212"/>
      <c r="S38212"/>
      <c r="T38212"/>
      <c r="U38212"/>
      <c r="X38212" s="60"/>
    </row>
    <row r="38213" spans="7:24" ht="15" customHeight="1">
      <c r="G38213"/>
      <c r="I38213"/>
      <c r="N38213"/>
      <c r="O38213" s="24"/>
      <c r="P38213"/>
      <c r="Q38213" s="24"/>
      <c r="R38213"/>
      <c r="S38213"/>
      <c r="T38213"/>
      <c r="U38213"/>
      <c r="X38213" s="60"/>
    </row>
    <row r="38214" spans="7:24" ht="15" customHeight="1">
      <c r="G38214"/>
      <c r="I38214"/>
      <c r="N38214"/>
      <c r="O38214" s="24"/>
      <c r="P38214"/>
      <c r="Q38214" s="24"/>
      <c r="R38214"/>
      <c r="S38214"/>
      <c r="T38214"/>
      <c r="U38214"/>
      <c r="X38214" s="60"/>
    </row>
    <row r="38215" spans="7:24" ht="15" customHeight="1">
      <c r="G38215"/>
      <c r="I38215"/>
      <c r="N38215"/>
      <c r="O38215" s="24"/>
      <c r="P38215"/>
      <c r="Q38215" s="24"/>
      <c r="R38215"/>
      <c r="S38215"/>
      <c r="T38215"/>
      <c r="U38215"/>
      <c r="X38215" s="60"/>
    </row>
    <row r="38216" spans="7:24" ht="15" customHeight="1">
      <c r="G38216"/>
      <c r="I38216"/>
      <c r="N38216"/>
      <c r="O38216" s="24"/>
      <c r="P38216"/>
      <c r="Q38216" s="24"/>
      <c r="R38216"/>
      <c r="S38216"/>
      <c r="T38216"/>
      <c r="U38216"/>
      <c r="X38216" s="60"/>
    </row>
    <row r="38217" spans="7:24" ht="15" customHeight="1">
      <c r="G38217"/>
      <c r="I38217"/>
      <c r="N38217"/>
      <c r="O38217" s="24"/>
      <c r="P38217"/>
      <c r="Q38217" s="24"/>
      <c r="R38217"/>
      <c r="S38217"/>
      <c r="T38217"/>
      <c r="U38217"/>
      <c r="X38217" s="60"/>
    </row>
    <row r="38218" spans="7:24" ht="15" customHeight="1">
      <c r="G38218"/>
      <c r="I38218"/>
      <c r="N38218"/>
      <c r="O38218" s="24"/>
      <c r="P38218"/>
      <c r="Q38218" s="24"/>
      <c r="R38218"/>
      <c r="S38218"/>
      <c r="T38218"/>
      <c r="U38218"/>
      <c r="X38218" s="60"/>
    </row>
    <row r="38219" spans="7:24" ht="15" customHeight="1">
      <c r="G38219"/>
      <c r="I38219"/>
      <c r="N38219"/>
      <c r="O38219" s="24"/>
      <c r="P38219"/>
      <c r="Q38219" s="24"/>
      <c r="R38219"/>
      <c r="S38219"/>
      <c r="T38219"/>
      <c r="U38219"/>
      <c r="X38219" s="60"/>
    </row>
    <row r="38220" spans="7:24" ht="15" customHeight="1">
      <c r="G38220"/>
      <c r="I38220"/>
      <c r="N38220"/>
      <c r="O38220" s="24"/>
      <c r="P38220"/>
      <c r="Q38220" s="24"/>
      <c r="R38220"/>
      <c r="S38220"/>
      <c r="T38220"/>
      <c r="U38220"/>
      <c r="X38220" s="60"/>
    </row>
    <row r="38221" spans="7:24" ht="15" customHeight="1">
      <c r="G38221"/>
      <c r="I38221"/>
      <c r="N38221"/>
      <c r="O38221" s="24"/>
      <c r="P38221"/>
      <c r="Q38221" s="24"/>
      <c r="R38221"/>
      <c r="S38221"/>
      <c r="T38221"/>
      <c r="U38221"/>
      <c r="X38221" s="60"/>
    </row>
    <row r="38222" spans="7:24" ht="15" customHeight="1">
      <c r="G38222"/>
      <c r="I38222"/>
      <c r="N38222"/>
      <c r="O38222" s="24"/>
      <c r="P38222"/>
      <c r="Q38222" s="24"/>
      <c r="R38222"/>
      <c r="S38222"/>
      <c r="T38222"/>
      <c r="U38222"/>
      <c r="X38222" s="60"/>
    </row>
    <row r="38223" spans="7:24" ht="15" customHeight="1">
      <c r="G38223"/>
      <c r="I38223"/>
      <c r="N38223"/>
      <c r="O38223" s="24"/>
      <c r="P38223"/>
      <c r="Q38223" s="24"/>
      <c r="R38223"/>
      <c r="S38223"/>
      <c r="T38223"/>
      <c r="U38223"/>
      <c r="X38223" s="60"/>
    </row>
    <row r="38224" spans="7:24" ht="15" customHeight="1">
      <c r="G38224"/>
      <c r="I38224"/>
      <c r="N38224"/>
      <c r="O38224" s="24"/>
      <c r="P38224"/>
      <c r="Q38224" s="24"/>
      <c r="R38224"/>
      <c r="S38224"/>
      <c r="T38224"/>
      <c r="U38224"/>
      <c r="X38224" s="60"/>
    </row>
    <row r="38225" spans="7:24" ht="15" customHeight="1">
      <c r="G38225"/>
      <c r="I38225"/>
      <c r="N38225"/>
      <c r="O38225" s="24"/>
      <c r="P38225"/>
      <c r="Q38225" s="24"/>
      <c r="R38225"/>
      <c r="S38225"/>
      <c r="T38225"/>
      <c r="U38225"/>
      <c r="X38225" s="60"/>
    </row>
    <row r="38226" spans="7:24" ht="15" customHeight="1">
      <c r="G38226"/>
      <c r="I38226"/>
      <c r="N38226"/>
      <c r="O38226" s="24"/>
      <c r="P38226"/>
      <c r="Q38226" s="24"/>
      <c r="R38226"/>
      <c r="S38226"/>
      <c r="T38226"/>
      <c r="U38226"/>
      <c r="X38226" s="60"/>
    </row>
    <row r="38227" spans="7:24" ht="15" customHeight="1">
      <c r="G38227"/>
      <c r="I38227"/>
      <c r="N38227"/>
      <c r="O38227" s="24"/>
      <c r="P38227"/>
      <c r="Q38227" s="24"/>
      <c r="R38227"/>
      <c r="S38227"/>
      <c r="T38227"/>
      <c r="U38227"/>
      <c r="X38227" s="60"/>
    </row>
    <row r="38228" spans="7:24" ht="15" customHeight="1">
      <c r="G38228"/>
      <c r="I38228"/>
      <c r="N38228"/>
      <c r="O38228" s="24"/>
      <c r="P38228"/>
      <c r="Q38228" s="24"/>
      <c r="R38228"/>
      <c r="S38228"/>
      <c r="T38228"/>
      <c r="U38228"/>
      <c r="X38228" s="60"/>
    </row>
    <row r="38229" spans="7:24" ht="15" customHeight="1">
      <c r="G38229"/>
      <c r="I38229"/>
      <c r="N38229"/>
      <c r="O38229" s="24"/>
      <c r="P38229"/>
      <c r="Q38229" s="24"/>
      <c r="R38229"/>
      <c r="S38229"/>
      <c r="T38229"/>
      <c r="U38229"/>
      <c r="X38229" s="60"/>
    </row>
    <row r="38230" spans="7:24" ht="15" customHeight="1">
      <c r="G38230"/>
      <c r="I38230"/>
      <c r="N38230"/>
      <c r="O38230" s="24"/>
      <c r="P38230"/>
      <c r="Q38230" s="24"/>
      <c r="R38230"/>
      <c r="S38230"/>
      <c r="T38230"/>
      <c r="U38230"/>
      <c r="X38230" s="60"/>
    </row>
    <row r="38231" spans="7:24" ht="15" customHeight="1">
      <c r="G38231"/>
      <c r="I38231"/>
      <c r="N38231"/>
      <c r="O38231" s="24"/>
      <c r="P38231"/>
      <c r="Q38231" s="24"/>
      <c r="R38231"/>
      <c r="S38231"/>
      <c r="T38231"/>
      <c r="U38231"/>
      <c r="X38231" s="60"/>
    </row>
    <row r="38232" spans="7:24" ht="15" customHeight="1">
      <c r="G38232"/>
      <c r="I38232"/>
      <c r="N38232"/>
      <c r="O38232" s="24"/>
      <c r="P38232"/>
      <c r="Q38232" s="24"/>
      <c r="R38232"/>
      <c r="S38232"/>
      <c r="T38232"/>
      <c r="U38232"/>
      <c r="X38232" s="60"/>
    </row>
    <row r="38233" spans="7:24" ht="15" customHeight="1">
      <c r="G38233"/>
      <c r="I38233"/>
      <c r="N38233"/>
      <c r="O38233" s="24"/>
      <c r="P38233"/>
      <c r="Q38233" s="24"/>
      <c r="R38233"/>
      <c r="S38233"/>
      <c r="T38233"/>
      <c r="U38233"/>
      <c r="X38233" s="60"/>
    </row>
    <row r="38234" spans="7:24" ht="15" customHeight="1">
      <c r="G38234"/>
      <c r="I38234"/>
      <c r="N38234"/>
      <c r="O38234" s="24"/>
      <c r="P38234"/>
      <c r="Q38234" s="24"/>
      <c r="R38234"/>
      <c r="S38234"/>
      <c r="T38234"/>
      <c r="U38234"/>
      <c r="X38234" s="60"/>
    </row>
    <row r="38235" spans="7:24" ht="15" customHeight="1">
      <c r="G38235"/>
      <c r="I38235"/>
      <c r="N38235"/>
      <c r="O38235" s="24"/>
      <c r="P38235"/>
      <c r="Q38235" s="24"/>
      <c r="R38235"/>
      <c r="S38235"/>
      <c r="T38235"/>
      <c r="U38235"/>
      <c r="X38235" s="60"/>
    </row>
    <row r="38236" spans="7:24" ht="15" customHeight="1">
      <c r="G38236"/>
      <c r="I38236"/>
      <c r="N38236"/>
      <c r="O38236" s="24"/>
      <c r="P38236"/>
      <c r="Q38236" s="24"/>
      <c r="R38236"/>
      <c r="S38236"/>
      <c r="T38236"/>
      <c r="U38236"/>
      <c r="X38236" s="60"/>
    </row>
    <row r="38237" spans="7:24" ht="15" customHeight="1">
      <c r="G38237"/>
      <c r="I38237"/>
      <c r="N38237"/>
      <c r="O38237" s="24"/>
      <c r="P38237"/>
      <c r="Q38237" s="24"/>
      <c r="R38237"/>
      <c r="S38237"/>
      <c r="T38237"/>
      <c r="U38237"/>
      <c r="X38237" s="60"/>
    </row>
    <row r="38238" spans="7:24" ht="15" customHeight="1">
      <c r="G38238"/>
      <c r="I38238"/>
      <c r="N38238"/>
      <c r="O38238" s="24"/>
      <c r="P38238"/>
      <c r="Q38238" s="24"/>
      <c r="R38238"/>
      <c r="S38238"/>
      <c r="T38238"/>
      <c r="U38238"/>
      <c r="X38238" s="60"/>
    </row>
    <row r="38239" spans="7:24" ht="15" customHeight="1">
      <c r="G38239"/>
      <c r="I38239"/>
      <c r="N38239"/>
      <c r="O38239" s="24"/>
      <c r="P38239"/>
      <c r="Q38239" s="24"/>
      <c r="R38239"/>
      <c r="S38239"/>
      <c r="T38239"/>
      <c r="U38239"/>
      <c r="X38239" s="60"/>
    </row>
    <row r="38240" spans="7:24" ht="15" customHeight="1">
      <c r="G38240"/>
      <c r="I38240"/>
      <c r="N38240"/>
      <c r="O38240" s="24"/>
      <c r="P38240"/>
      <c r="Q38240" s="24"/>
      <c r="R38240"/>
      <c r="S38240"/>
      <c r="T38240"/>
      <c r="U38240"/>
      <c r="X38240" s="60"/>
    </row>
    <row r="38241" spans="7:24" ht="15" customHeight="1">
      <c r="G38241"/>
      <c r="I38241"/>
      <c r="N38241"/>
      <c r="O38241" s="24"/>
      <c r="P38241"/>
      <c r="Q38241" s="24"/>
      <c r="R38241"/>
      <c r="S38241"/>
      <c r="T38241"/>
      <c r="U38241"/>
      <c r="X38241" s="60"/>
    </row>
    <row r="38242" spans="7:24" ht="15" customHeight="1">
      <c r="G38242"/>
      <c r="I38242"/>
      <c r="N38242"/>
      <c r="O38242" s="24"/>
      <c r="P38242"/>
      <c r="Q38242" s="24"/>
      <c r="R38242"/>
      <c r="S38242"/>
      <c r="T38242"/>
      <c r="U38242"/>
      <c r="X38242" s="60"/>
    </row>
    <row r="38243" spans="7:24" ht="15" customHeight="1">
      <c r="G38243"/>
      <c r="I38243"/>
      <c r="N38243"/>
      <c r="O38243" s="24"/>
      <c r="P38243"/>
      <c r="Q38243" s="24"/>
      <c r="R38243"/>
      <c r="S38243"/>
      <c r="T38243"/>
      <c r="U38243"/>
      <c r="X38243" s="60"/>
    </row>
    <row r="38244" spans="7:24" ht="15" customHeight="1">
      <c r="G38244"/>
      <c r="I38244"/>
      <c r="N38244"/>
      <c r="O38244" s="24"/>
      <c r="P38244"/>
      <c r="Q38244" s="24"/>
      <c r="R38244"/>
      <c r="S38244"/>
      <c r="T38244"/>
      <c r="U38244"/>
      <c r="X38244" s="60"/>
    </row>
    <row r="38245" spans="7:24" ht="15" customHeight="1">
      <c r="G38245"/>
      <c r="I38245"/>
      <c r="N38245"/>
      <c r="O38245" s="24"/>
      <c r="P38245"/>
      <c r="Q38245" s="24"/>
      <c r="R38245"/>
      <c r="S38245"/>
      <c r="T38245"/>
      <c r="U38245"/>
      <c r="X38245" s="60"/>
    </row>
    <row r="38246" spans="7:24" ht="15" customHeight="1">
      <c r="G38246"/>
      <c r="I38246"/>
      <c r="N38246"/>
      <c r="O38246" s="24"/>
      <c r="P38246"/>
      <c r="Q38246" s="24"/>
      <c r="R38246"/>
      <c r="S38246"/>
      <c r="T38246"/>
      <c r="U38246"/>
      <c r="X38246" s="60"/>
    </row>
    <row r="38247" spans="7:24" ht="15" customHeight="1">
      <c r="G38247"/>
      <c r="I38247"/>
      <c r="N38247"/>
      <c r="O38247" s="24"/>
      <c r="P38247"/>
      <c r="Q38247" s="24"/>
      <c r="R38247"/>
      <c r="S38247"/>
      <c r="T38247"/>
      <c r="U38247"/>
      <c r="X38247" s="60"/>
    </row>
    <row r="38248" spans="7:24" ht="15" customHeight="1">
      <c r="G38248"/>
      <c r="I38248"/>
      <c r="N38248"/>
      <c r="O38248" s="24"/>
      <c r="P38248"/>
      <c r="Q38248" s="24"/>
      <c r="R38248"/>
      <c r="S38248"/>
      <c r="T38248"/>
      <c r="U38248"/>
      <c r="X38248" s="60"/>
    </row>
    <row r="38249" spans="7:24" ht="15" customHeight="1">
      <c r="G38249"/>
      <c r="I38249"/>
      <c r="N38249"/>
      <c r="O38249" s="24"/>
      <c r="P38249"/>
      <c r="Q38249" s="24"/>
      <c r="R38249"/>
      <c r="S38249"/>
      <c r="T38249"/>
      <c r="U38249"/>
      <c r="X38249" s="60"/>
    </row>
    <row r="38250" spans="7:24" ht="15" customHeight="1">
      <c r="G38250"/>
      <c r="I38250"/>
      <c r="N38250"/>
      <c r="O38250" s="24"/>
      <c r="P38250"/>
      <c r="Q38250" s="24"/>
      <c r="R38250"/>
      <c r="S38250"/>
      <c r="T38250"/>
      <c r="U38250"/>
      <c r="X38250" s="60"/>
    </row>
    <row r="38251" spans="7:24" ht="15" customHeight="1">
      <c r="G38251"/>
      <c r="I38251"/>
      <c r="N38251"/>
      <c r="O38251" s="24"/>
      <c r="P38251"/>
      <c r="Q38251" s="24"/>
      <c r="R38251"/>
      <c r="S38251"/>
      <c r="T38251"/>
      <c r="U38251"/>
      <c r="X38251" s="60"/>
    </row>
    <row r="38252" spans="7:24" ht="15" customHeight="1">
      <c r="G38252"/>
      <c r="I38252"/>
      <c r="N38252"/>
      <c r="O38252" s="24"/>
      <c r="P38252"/>
      <c r="Q38252" s="24"/>
      <c r="R38252"/>
      <c r="S38252"/>
      <c r="T38252"/>
      <c r="U38252"/>
      <c r="X38252" s="60"/>
    </row>
    <row r="38253" spans="7:24" ht="15" customHeight="1">
      <c r="G38253"/>
      <c r="I38253"/>
      <c r="N38253"/>
      <c r="O38253" s="24"/>
      <c r="P38253"/>
      <c r="Q38253" s="24"/>
      <c r="R38253"/>
      <c r="S38253"/>
      <c r="T38253"/>
      <c r="U38253"/>
      <c r="X38253" s="60"/>
    </row>
    <row r="38254" spans="7:24" ht="15" customHeight="1">
      <c r="G38254"/>
      <c r="I38254"/>
      <c r="N38254"/>
      <c r="O38254" s="24"/>
      <c r="P38254"/>
      <c r="Q38254" s="24"/>
      <c r="R38254"/>
      <c r="S38254"/>
      <c r="T38254"/>
      <c r="U38254"/>
      <c r="X38254" s="60"/>
    </row>
    <row r="38255" spans="7:24" ht="15" customHeight="1">
      <c r="G38255"/>
      <c r="I38255"/>
      <c r="N38255"/>
      <c r="O38255" s="24"/>
      <c r="P38255"/>
      <c r="Q38255" s="24"/>
      <c r="R38255"/>
      <c r="S38255"/>
      <c r="T38255"/>
      <c r="U38255"/>
      <c r="X38255" s="60"/>
    </row>
    <row r="38256" spans="7:24" ht="15" customHeight="1">
      <c r="G38256"/>
      <c r="I38256"/>
      <c r="N38256"/>
      <c r="O38256" s="24"/>
      <c r="P38256"/>
      <c r="Q38256" s="24"/>
      <c r="R38256"/>
      <c r="S38256"/>
      <c r="T38256"/>
      <c r="U38256"/>
      <c r="X38256" s="60"/>
    </row>
    <row r="38257" spans="7:24" ht="15" customHeight="1">
      <c r="G38257"/>
      <c r="I38257"/>
      <c r="N38257"/>
      <c r="O38257" s="24"/>
      <c r="P38257"/>
      <c r="Q38257" s="24"/>
      <c r="R38257"/>
      <c r="S38257"/>
      <c r="T38257"/>
      <c r="U38257"/>
      <c r="X38257" s="60"/>
    </row>
    <row r="38258" spans="7:24" ht="15" customHeight="1">
      <c r="G38258"/>
      <c r="I38258"/>
      <c r="N38258"/>
      <c r="O38258" s="24"/>
      <c r="P38258"/>
      <c r="Q38258" s="24"/>
      <c r="R38258"/>
      <c r="S38258"/>
      <c r="T38258"/>
      <c r="U38258"/>
      <c r="X38258" s="60"/>
    </row>
    <row r="38259" spans="7:24" ht="15" customHeight="1">
      <c r="G38259"/>
      <c r="I38259"/>
      <c r="N38259"/>
      <c r="O38259" s="24"/>
      <c r="P38259"/>
      <c r="Q38259" s="24"/>
      <c r="R38259"/>
      <c r="S38259"/>
      <c r="T38259"/>
      <c r="U38259"/>
      <c r="X38259" s="60"/>
    </row>
    <row r="38260" spans="7:24" ht="15" customHeight="1">
      <c r="G38260"/>
      <c r="I38260"/>
      <c r="N38260"/>
      <c r="O38260" s="24"/>
      <c r="P38260"/>
      <c r="Q38260" s="24"/>
      <c r="R38260"/>
      <c r="S38260"/>
      <c r="T38260"/>
      <c r="U38260"/>
      <c r="X38260" s="60"/>
    </row>
    <row r="38261" spans="7:24" ht="15" customHeight="1">
      <c r="G38261"/>
      <c r="I38261"/>
      <c r="N38261"/>
      <c r="O38261" s="24"/>
      <c r="P38261"/>
      <c r="Q38261" s="24"/>
      <c r="R38261"/>
      <c r="S38261"/>
      <c r="T38261"/>
      <c r="U38261"/>
      <c r="X38261" s="60"/>
    </row>
    <row r="38262" spans="7:24" ht="15" customHeight="1">
      <c r="G38262"/>
      <c r="I38262"/>
      <c r="N38262"/>
      <c r="O38262" s="24"/>
      <c r="P38262"/>
      <c r="Q38262" s="24"/>
      <c r="R38262"/>
      <c r="S38262"/>
      <c r="T38262"/>
      <c r="U38262"/>
      <c r="X38262" s="60"/>
    </row>
    <row r="38263" spans="7:24" ht="15" customHeight="1">
      <c r="G38263"/>
      <c r="I38263"/>
      <c r="N38263"/>
      <c r="O38263" s="24"/>
      <c r="P38263"/>
      <c r="Q38263" s="24"/>
      <c r="R38263"/>
      <c r="S38263"/>
      <c r="T38263"/>
      <c r="U38263"/>
      <c r="X38263" s="60"/>
    </row>
    <row r="38264" spans="7:24" ht="15" customHeight="1">
      <c r="G38264"/>
      <c r="I38264"/>
      <c r="N38264"/>
      <c r="O38264" s="24"/>
      <c r="P38264"/>
      <c r="Q38264" s="24"/>
      <c r="R38264"/>
      <c r="S38264"/>
      <c r="T38264"/>
      <c r="U38264"/>
      <c r="X38264" s="60"/>
    </row>
    <row r="38265" spans="7:24" ht="15" customHeight="1">
      <c r="G38265"/>
      <c r="I38265"/>
      <c r="N38265"/>
      <c r="O38265" s="24"/>
      <c r="P38265"/>
      <c r="Q38265" s="24"/>
      <c r="R38265"/>
      <c r="S38265"/>
      <c r="T38265"/>
      <c r="U38265"/>
      <c r="X38265" s="60"/>
    </row>
    <row r="38266" spans="7:24" ht="15" customHeight="1">
      <c r="G38266"/>
      <c r="I38266"/>
      <c r="N38266"/>
      <c r="O38266" s="24"/>
      <c r="P38266"/>
      <c r="Q38266" s="24"/>
      <c r="R38266"/>
      <c r="S38266"/>
      <c r="T38266"/>
      <c r="U38266"/>
      <c r="X38266" s="60"/>
    </row>
    <row r="38267" spans="7:24" ht="15" customHeight="1">
      <c r="G38267"/>
      <c r="I38267"/>
      <c r="N38267"/>
      <c r="O38267" s="24"/>
      <c r="P38267"/>
      <c r="Q38267" s="24"/>
      <c r="R38267"/>
      <c r="S38267"/>
      <c r="T38267"/>
      <c r="U38267"/>
      <c r="X38267" s="60"/>
    </row>
    <row r="38268" spans="7:24" ht="15" customHeight="1">
      <c r="G38268"/>
      <c r="I38268"/>
      <c r="N38268"/>
      <c r="O38268" s="24"/>
      <c r="P38268"/>
      <c r="Q38268" s="24"/>
      <c r="R38268"/>
      <c r="S38268"/>
      <c r="T38268"/>
      <c r="U38268"/>
      <c r="X38268" s="60"/>
    </row>
    <row r="38269" spans="7:24" ht="15" customHeight="1">
      <c r="G38269"/>
      <c r="I38269"/>
      <c r="N38269"/>
      <c r="O38269" s="24"/>
      <c r="P38269"/>
      <c r="Q38269" s="24"/>
      <c r="R38269"/>
      <c r="S38269"/>
      <c r="T38269"/>
      <c r="U38269"/>
      <c r="X38269" s="60"/>
    </row>
    <row r="38270" spans="7:24" ht="15" customHeight="1">
      <c r="G38270"/>
      <c r="I38270"/>
      <c r="N38270"/>
      <c r="O38270" s="24"/>
      <c r="P38270"/>
      <c r="Q38270" s="24"/>
      <c r="R38270"/>
      <c r="S38270"/>
      <c r="T38270"/>
      <c r="U38270"/>
      <c r="X38270" s="60"/>
    </row>
    <row r="38271" spans="7:24" ht="15" customHeight="1">
      <c r="G38271"/>
      <c r="I38271"/>
      <c r="N38271"/>
      <c r="O38271" s="24"/>
      <c r="P38271"/>
      <c r="Q38271" s="24"/>
      <c r="R38271"/>
      <c r="S38271"/>
      <c r="T38271"/>
      <c r="U38271"/>
      <c r="X38271" s="60"/>
    </row>
    <row r="38272" spans="7:24" ht="15" customHeight="1">
      <c r="G38272"/>
      <c r="I38272"/>
      <c r="N38272"/>
      <c r="O38272" s="24"/>
      <c r="P38272"/>
      <c r="Q38272" s="24"/>
      <c r="R38272"/>
      <c r="S38272"/>
      <c r="T38272"/>
      <c r="U38272"/>
      <c r="X38272" s="60"/>
    </row>
    <row r="38273" spans="7:24" ht="15" customHeight="1">
      <c r="G38273"/>
      <c r="I38273"/>
      <c r="N38273"/>
      <c r="O38273" s="24"/>
      <c r="P38273"/>
      <c r="Q38273" s="24"/>
      <c r="R38273"/>
      <c r="S38273"/>
      <c r="T38273"/>
      <c r="U38273"/>
      <c r="X38273" s="60"/>
    </row>
    <row r="38274" spans="7:24" ht="15" customHeight="1">
      <c r="G38274"/>
      <c r="I38274"/>
      <c r="N38274"/>
      <c r="O38274" s="24"/>
      <c r="P38274"/>
      <c r="Q38274" s="24"/>
      <c r="R38274"/>
      <c r="S38274"/>
      <c r="T38274"/>
      <c r="U38274"/>
      <c r="X38274" s="60"/>
    </row>
    <row r="38275" spans="7:24" ht="15" customHeight="1">
      <c r="G38275"/>
      <c r="I38275"/>
      <c r="N38275"/>
      <c r="O38275" s="24"/>
      <c r="P38275"/>
      <c r="Q38275" s="24"/>
      <c r="R38275"/>
      <c r="S38275"/>
      <c r="T38275"/>
      <c r="U38275"/>
      <c r="X38275" s="60"/>
    </row>
    <row r="38276" spans="7:24" ht="15" customHeight="1">
      <c r="G38276"/>
      <c r="I38276"/>
      <c r="N38276"/>
      <c r="O38276" s="24"/>
      <c r="P38276"/>
      <c r="Q38276" s="24"/>
      <c r="R38276"/>
      <c r="S38276"/>
      <c r="T38276"/>
      <c r="U38276"/>
      <c r="X38276" s="60"/>
    </row>
    <row r="38277" spans="7:24" ht="15" customHeight="1">
      <c r="G38277"/>
      <c r="I38277"/>
      <c r="N38277"/>
      <c r="O38277" s="24"/>
      <c r="P38277"/>
      <c r="Q38277" s="24"/>
      <c r="R38277"/>
      <c r="S38277"/>
      <c r="T38277"/>
      <c r="U38277"/>
      <c r="X38277" s="60"/>
    </row>
    <row r="38278" spans="7:24" ht="15" customHeight="1">
      <c r="G38278"/>
      <c r="I38278"/>
      <c r="N38278"/>
      <c r="O38278" s="24"/>
      <c r="P38278"/>
      <c r="Q38278" s="24"/>
      <c r="R38278"/>
      <c r="S38278"/>
      <c r="T38278"/>
      <c r="U38278"/>
      <c r="X38278" s="60"/>
    </row>
    <row r="38279" spans="7:24" ht="15" customHeight="1">
      <c r="G38279"/>
      <c r="I38279"/>
      <c r="N38279"/>
      <c r="O38279" s="24"/>
      <c r="P38279"/>
      <c r="Q38279" s="24"/>
      <c r="R38279"/>
      <c r="S38279"/>
      <c r="T38279"/>
      <c r="U38279"/>
      <c r="X38279" s="60"/>
    </row>
    <row r="38280" spans="7:24" ht="15" customHeight="1">
      <c r="G38280"/>
      <c r="I38280"/>
      <c r="N38280"/>
      <c r="O38280" s="24"/>
      <c r="P38280"/>
      <c r="Q38280" s="24"/>
      <c r="R38280"/>
      <c r="S38280"/>
      <c r="T38280"/>
      <c r="U38280"/>
      <c r="X38280" s="60"/>
    </row>
    <row r="38281" spans="7:24" ht="15" customHeight="1">
      <c r="G38281"/>
      <c r="I38281"/>
      <c r="N38281"/>
      <c r="O38281" s="24"/>
      <c r="P38281"/>
      <c r="Q38281" s="24"/>
      <c r="R38281"/>
      <c r="S38281"/>
      <c r="T38281"/>
      <c r="U38281"/>
      <c r="X38281" s="60"/>
    </row>
    <row r="38282" spans="7:24" ht="15" customHeight="1">
      <c r="G38282"/>
      <c r="I38282"/>
      <c r="N38282"/>
      <c r="O38282" s="24"/>
      <c r="P38282"/>
      <c r="Q38282" s="24"/>
      <c r="R38282"/>
      <c r="S38282"/>
      <c r="T38282"/>
      <c r="U38282"/>
      <c r="X38282" s="60"/>
    </row>
    <row r="38283" spans="7:24" ht="15" customHeight="1">
      <c r="G38283"/>
      <c r="I38283"/>
      <c r="N38283"/>
      <c r="O38283" s="24"/>
      <c r="P38283"/>
      <c r="Q38283" s="24"/>
      <c r="R38283"/>
      <c r="S38283"/>
      <c r="T38283"/>
      <c r="U38283"/>
      <c r="X38283" s="60"/>
    </row>
    <row r="38284" spans="7:24" ht="15" customHeight="1">
      <c r="G38284"/>
      <c r="I38284"/>
      <c r="N38284"/>
      <c r="O38284" s="24"/>
      <c r="P38284"/>
      <c r="Q38284" s="24"/>
      <c r="R38284"/>
      <c r="S38284"/>
      <c r="T38284"/>
      <c r="U38284"/>
      <c r="X38284" s="60"/>
    </row>
    <row r="38285" spans="7:24" ht="15" customHeight="1">
      <c r="G38285"/>
      <c r="I38285"/>
      <c r="N38285"/>
      <c r="O38285" s="24"/>
      <c r="P38285"/>
      <c r="Q38285" s="24"/>
      <c r="R38285"/>
      <c r="S38285"/>
      <c r="T38285"/>
      <c r="U38285"/>
      <c r="X38285" s="60"/>
    </row>
    <row r="38286" spans="7:24" ht="15" customHeight="1">
      <c r="G38286"/>
      <c r="I38286"/>
      <c r="N38286"/>
      <c r="O38286" s="24"/>
      <c r="P38286"/>
      <c r="Q38286" s="24"/>
      <c r="R38286"/>
      <c r="S38286"/>
      <c r="T38286"/>
      <c r="U38286"/>
      <c r="X38286" s="60"/>
    </row>
    <row r="38287" spans="7:24" ht="15" customHeight="1">
      <c r="G38287"/>
      <c r="I38287"/>
      <c r="N38287"/>
      <c r="O38287" s="24"/>
      <c r="P38287"/>
      <c r="Q38287" s="24"/>
      <c r="R38287"/>
      <c r="S38287"/>
      <c r="T38287"/>
      <c r="U38287"/>
      <c r="X38287" s="60"/>
    </row>
    <row r="38288" spans="7:24" ht="15" customHeight="1">
      <c r="G38288"/>
      <c r="I38288"/>
      <c r="N38288"/>
      <c r="O38288" s="24"/>
      <c r="P38288"/>
      <c r="Q38288" s="24"/>
      <c r="R38288"/>
      <c r="S38288"/>
      <c r="T38288"/>
      <c r="U38288"/>
      <c r="X38288" s="60"/>
    </row>
    <row r="38289" spans="7:24" ht="15" customHeight="1">
      <c r="G38289"/>
      <c r="I38289"/>
      <c r="N38289"/>
      <c r="O38289" s="24"/>
      <c r="P38289"/>
      <c r="Q38289" s="24"/>
      <c r="R38289"/>
      <c r="S38289"/>
      <c r="T38289"/>
      <c r="U38289"/>
      <c r="X38289" s="60"/>
    </row>
    <row r="38290" spans="7:24" ht="15" customHeight="1">
      <c r="G38290"/>
      <c r="I38290"/>
      <c r="N38290"/>
      <c r="O38290" s="24"/>
      <c r="P38290"/>
      <c r="Q38290" s="24"/>
      <c r="R38290"/>
      <c r="S38290"/>
      <c r="T38290"/>
      <c r="U38290"/>
      <c r="X38290" s="60"/>
    </row>
    <row r="38291" spans="7:24" ht="15" customHeight="1">
      <c r="G38291"/>
      <c r="I38291"/>
      <c r="N38291"/>
      <c r="O38291" s="24"/>
      <c r="P38291"/>
      <c r="Q38291" s="24"/>
      <c r="R38291"/>
      <c r="S38291"/>
      <c r="T38291"/>
      <c r="U38291"/>
      <c r="X38291" s="60"/>
    </row>
    <row r="38292" spans="7:24" ht="15" customHeight="1">
      <c r="G38292"/>
      <c r="I38292"/>
      <c r="N38292"/>
      <c r="O38292" s="24"/>
      <c r="P38292"/>
      <c r="Q38292" s="24"/>
      <c r="R38292"/>
      <c r="S38292"/>
      <c r="T38292"/>
      <c r="U38292"/>
      <c r="X38292" s="60"/>
    </row>
    <row r="38293" spans="7:24" ht="15" customHeight="1">
      <c r="G38293"/>
      <c r="I38293"/>
      <c r="N38293"/>
      <c r="O38293" s="24"/>
      <c r="P38293"/>
      <c r="Q38293" s="24"/>
      <c r="R38293"/>
      <c r="S38293"/>
      <c r="T38293"/>
      <c r="U38293"/>
      <c r="X38293" s="60"/>
    </row>
    <row r="38294" spans="7:24" ht="15" customHeight="1">
      <c r="G38294"/>
      <c r="I38294"/>
      <c r="N38294"/>
      <c r="O38294" s="24"/>
      <c r="P38294"/>
      <c r="Q38294" s="24"/>
      <c r="R38294"/>
      <c r="S38294"/>
      <c r="T38294"/>
      <c r="U38294"/>
      <c r="X38294" s="60"/>
    </row>
    <row r="38295" spans="7:24" ht="15" customHeight="1">
      <c r="G38295"/>
      <c r="I38295"/>
      <c r="N38295"/>
      <c r="O38295" s="24"/>
      <c r="P38295"/>
      <c r="Q38295" s="24"/>
      <c r="R38295"/>
      <c r="S38295"/>
      <c r="T38295"/>
      <c r="U38295"/>
      <c r="X38295" s="60"/>
    </row>
    <row r="38296" spans="7:24" ht="15" customHeight="1">
      <c r="G38296"/>
      <c r="I38296"/>
      <c r="N38296"/>
      <c r="O38296" s="24"/>
      <c r="P38296"/>
      <c r="Q38296" s="24"/>
      <c r="R38296"/>
      <c r="S38296"/>
      <c r="T38296"/>
      <c r="U38296"/>
      <c r="X38296" s="60"/>
    </row>
    <row r="38297" spans="7:24" ht="15" customHeight="1">
      <c r="G38297"/>
      <c r="I38297"/>
      <c r="N38297"/>
      <c r="O38297" s="24"/>
      <c r="P38297"/>
      <c r="Q38297" s="24"/>
      <c r="R38297"/>
      <c r="S38297"/>
      <c r="T38297"/>
      <c r="U38297"/>
      <c r="X38297" s="60"/>
    </row>
    <row r="38298" spans="7:24" ht="15" customHeight="1">
      <c r="G38298"/>
      <c r="I38298"/>
      <c r="N38298"/>
      <c r="O38298" s="24"/>
      <c r="P38298"/>
      <c r="Q38298" s="24"/>
      <c r="R38298"/>
      <c r="S38298"/>
      <c r="T38298"/>
      <c r="U38298"/>
      <c r="X38298" s="60"/>
    </row>
    <row r="38299" spans="7:24" ht="15" customHeight="1">
      <c r="G38299"/>
      <c r="I38299"/>
      <c r="N38299"/>
      <c r="O38299" s="24"/>
      <c r="P38299"/>
      <c r="Q38299" s="24"/>
      <c r="R38299"/>
      <c r="S38299"/>
      <c r="T38299"/>
      <c r="U38299"/>
      <c r="X38299" s="60"/>
    </row>
    <row r="38300" spans="7:24" ht="15" customHeight="1">
      <c r="G38300"/>
      <c r="I38300"/>
      <c r="N38300"/>
      <c r="O38300" s="24"/>
      <c r="P38300"/>
      <c r="Q38300" s="24"/>
      <c r="R38300"/>
      <c r="S38300"/>
      <c r="T38300"/>
      <c r="U38300"/>
      <c r="X38300" s="60"/>
    </row>
    <row r="38301" spans="7:24" ht="15" customHeight="1">
      <c r="G38301"/>
      <c r="I38301"/>
      <c r="N38301"/>
      <c r="O38301" s="24"/>
      <c r="P38301"/>
      <c r="Q38301" s="24"/>
      <c r="R38301"/>
      <c r="S38301"/>
      <c r="T38301"/>
      <c r="U38301"/>
      <c r="X38301" s="60"/>
    </row>
    <row r="38302" spans="7:24" ht="15" customHeight="1">
      <c r="G38302"/>
      <c r="I38302"/>
      <c r="N38302"/>
      <c r="O38302" s="24"/>
      <c r="P38302"/>
      <c r="Q38302" s="24"/>
      <c r="R38302"/>
      <c r="S38302"/>
      <c r="T38302"/>
      <c r="U38302"/>
      <c r="X38302" s="60"/>
    </row>
    <row r="38303" spans="7:24" ht="15" customHeight="1">
      <c r="G38303"/>
      <c r="I38303"/>
      <c r="N38303"/>
      <c r="O38303" s="24"/>
      <c r="P38303"/>
      <c r="Q38303" s="24"/>
      <c r="R38303"/>
      <c r="S38303"/>
      <c r="T38303"/>
      <c r="U38303"/>
      <c r="X38303" s="60"/>
    </row>
    <row r="38304" spans="7:24" ht="15" customHeight="1">
      <c r="G38304"/>
      <c r="I38304"/>
      <c r="N38304"/>
      <c r="O38304" s="24"/>
      <c r="P38304"/>
      <c r="Q38304" s="24"/>
      <c r="R38304"/>
      <c r="S38304"/>
      <c r="T38304"/>
      <c r="U38304"/>
      <c r="X38304" s="60"/>
    </row>
    <row r="38305" spans="7:24" ht="15" customHeight="1">
      <c r="G38305"/>
      <c r="I38305"/>
      <c r="N38305"/>
      <c r="O38305" s="24"/>
      <c r="P38305"/>
      <c r="Q38305" s="24"/>
      <c r="R38305"/>
      <c r="S38305"/>
      <c r="T38305"/>
      <c r="U38305"/>
      <c r="X38305" s="60"/>
    </row>
    <row r="38306" spans="7:24" ht="15" customHeight="1">
      <c r="G38306"/>
      <c r="I38306"/>
      <c r="N38306"/>
      <c r="O38306" s="24"/>
      <c r="P38306"/>
      <c r="Q38306" s="24"/>
      <c r="R38306"/>
      <c r="S38306"/>
      <c r="T38306"/>
      <c r="U38306"/>
      <c r="X38306" s="60"/>
    </row>
    <row r="38307" spans="7:24" ht="15" customHeight="1">
      <c r="G38307"/>
      <c r="I38307"/>
      <c r="N38307"/>
      <c r="O38307" s="24"/>
      <c r="P38307"/>
      <c r="Q38307" s="24"/>
      <c r="R38307"/>
      <c r="S38307"/>
      <c r="T38307"/>
      <c r="U38307"/>
      <c r="X38307" s="60"/>
    </row>
    <row r="38308" spans="7:24" ht="15" customHeight="1">
      <c r="G38308"/>
      <c r="I38308"/>
      <c r="N38308"/>
      <c r="O38308" s="24"/>
      <c r="P38308"/>
      <c r="Q38308" s="24"/>
      <c r="R38308"/>
      <c r="S38308"/>
      <c r="T38308"/>
      <c r="U38308"/>
      <c r="X38308" s="60"/>
    </row>
    <row r="38309" spans="7:24" ht="15" customHeight="1">
      <c r="G38309"/>
      <c r="I38309"/>
      <c r="N38309"/>
      <c r="O38309" s="24"/>
      <c r="P38309"/>
      <c r="Q38309" s="24"/>
      <c r="R38309"/>
      <c r="S38309"/>
      <c r="T38309"/>
      <c r="U38309"/>
      <c r="X38309" s="60"/>
    </row>
    <row r="38310" spans="7:24" ht="15" customHeight="1">
      <c r="G38310"/>
      <c r="I38310"/>
      <c r="N38310"/>
      <c r="O38310" s="24"/>
      <c r="P38310"/>
      <c r="Q38310" s="24"/>
      <c r="R38310"/>
      <c r="S38310"/>
      <c r="T38310"/>
      <c r="U38310"/>
      <c r="X38310" s="60"/>
    </row>
    <row r="38311" spans="7:24" ht="15" customHeight="1">
      <c r="G38311"/>
      <c r="I38311"/>
      <c r="N38311"/>
      <c r="O38311" s="24"/>
      <c r="P38311"/>
      <c r="Q38311" s="24"/>
      <c r="R38311"/>
      <c r="S38311"/>
      <c r="T38311"/>
      <c r="U38311"/>
      <c r="X38311" s="60"/>
    </row>
    <row r="38312" spans="7:24" ht="15" customHeight="1">
      <c r="G38312"/>
      <c r="I38312"/>
      <c r="N38312"/>
      <c r="O38312" s="24"/>
      <c r="P38312"/>
      <c r="Q38312" s="24"/>
      <c r="R38312"/>
      <c r="S38312"/>
      <c r="T38312"/>
      <c r="U38312"/>
      <c r="X38312" s="60"/>
    </row>
    <row r="38313" spans="7:24" ht="15" customHeight="1">
      <c r="G38313"/>
      <c r="I38313"/>
      <c r="N38313"/>
      <c r="O38313" s="24"/>
      <c r="P38313"/>
      <c r="Q38313" s="24"/>
      <c r="R38313"/>
      <c r="S38313"/>
      <c r="T38313"/>
      <c r="U38313"/>
      <c r="X38313" s="60"/>
    </row>
    <row r="38314" spans="7:24" ht="15" customHeight="1">
      <c r="G38314"/>
      <c r="I38314"/>
      <c r="N38314"/>
      <c r="O38314" s="24"/>
      <c r="P38314"/>
      <c r="Q38314" s="24"/>
      <c r="R38314"/>
      <c r="S38314"/>
      <c r="T38314"/>
      <c r="U38314"/>
      <c r="X38314" s="60"/>
    </row>
    <row r="38315" spans="7:24" ht="15" customHeight="1">
      <c r="G38315"/>
      <c r="I38315"/>
      <c r="N38315"/>
      <c r="O38315" s="24"/>
      <c r="P38315"/>
      <c r="Q38315" s="24"/>
      <c r="R38315"/>
      <c r="S38315"/>
      <c r="T38315"/>
      <c r="U38315"/>
      <c r="X38315" s="60"/>
    </row>
    <row r="38316" spans="7:24" ht="15" customHeight="1">
      <c r="G38316"/>
      <c r="I38316"/>
      <c r="N38316"/>
      <c r="O38316" s="24"/>
      <c r="P38316"/>
      <c r="Q38316" s="24"/>
      <c r="R38316"/>
      <c r="S38316"/>
      <c r="T38316"/>
      <c r="U38316"/>
      <c r="X38316" s="60"/>
    </row>
    <row r="38317" spans="7:24" ht="15" customHeight="1">
      <c r="G38317"/>
      <c r="I38317"/>
      <c r="N38317"/>
      <c r="O38317" s="24"/>
      <c r="P38317"/>
      <c r="Q38317" s="24"/>
      <c r="R38317"/>
      <c r="S38317"/>
      <c r="T38317"/>
      <c r="U38317"/>
      <c r="X38317" s="60"/>
    </row>
    <row r="38318" spans="7:24" ht="15" customHeight="1">
      <c r="G38318"/>
      <c r="I38318"/>
      <c r="N38318"/>
      <c r="O38318" s="24"/>
      <c r="P38318"/>
      <c r="Q38318" s="24"/>
      <c r="R38318"/>
      <c r="S38318"/>
      <c r="T38318"/>
      <c r="U38318"/>
      <c r="X38318" s="60"/>
    </row>
    <row r="38319" spans="7:24" ht="15" customHeight="1">
      <c r="G38319"/>
      <c r="I38319"/>
      <c r="N38319"/>
      <c r="O38319" s="24"/>
      <c r="P38319"/>
      <c r="Q38319" s="24"/>
      <c r="R38319"/>
      <c r="S38319"/>
      <c r="T38319"/>
      <c r="U38319"/>
      <c r="X38319" s="60"/>
    </row>
    <row r="38320" spans="7:24" ht="15" customHeight="1">
      <c r="G38320"/>
      <c r="I38320"/>
      <c r="N38320"/>
      <c r="O38320" s="24"/>
      <c r="P38320"/>
      <c r="Q38320" s="24"/>
      <c r="R38320"/>
      <c r="S38320"/>
      <c r="T38320"/>
      <c r="U38320"/>
      <c r="X38320" s="60"/>
    </row>
    <row r="38321" spans="7:24" ht="15" customHeight="1">
      <c r="G38321"/>
      <c r="I38321"/>
      <c r="N38321"/>
      <c r="O38321" s="24"/>
      <c r="P38321"/>
      <c r="Q38321" s="24"/>
      <c r="R38321"/>
      <c r="S38321"/>
      <c r="T38321"/>
      <c r="U38321"/>
      <c r="X38321" s="60"/>
    </row>
    <row r="38322" spans="7:24" ht="15" customHeight="1">
      <c r="G38322"/>
      <c r="I38322"/>
      <c r="N38322"/>
      <c r="O38322" s="24"/>
      <c r="P38322"/>
      <c r="Q38322" s="24"/>
      <c r="R38322"/>
      <c r="S38322"/>
      <c r="T38322"/>
      <c r="U38322"/>
      <c r="X38322" s="60"/>
    </row>
    <row r="38323" spans="7:24" ht="15" customHeight="1">
      <c r="G38323"/>
      <c r="I38323"/>
      <c r="N38323"/>
      <c r="O38323" s="24"/>
      <c r="P38323"/>
      <c r="Q38323" s="24"/>
      <c r="R38323"/>
      <c r="S38323"/>
      <c r="T38323"/>
      <c r="U38323"/>
      <c r="X38323" s="60"/>
    </row>
    <row r="38324" spans="7:24" ht="15" customHeight="1">
      <c r="G38324"/>
      <c r="I38324"/>
      <c r="N38324"/>
      <c r="O38324" s="24"/>
      <c r="P38324"/>
      <c r="Q38324" s="24"/>
      <c r="R38324"/>
      <c r="S38324"/>
      <c r="T38324"/>
      <c r="U38324"/>
      <c r="X38324" s="60"/>
    </row>
    <row r="38325" spans="7:24" ht="15" customHeight="1">
      <c r="G38325"/>
      <c r="I38325"/>
      <c r="N38325"/>
      <c r="O38325" s="24"/>
      <c r="P38325"/>
      <c r="Q38325" s="24"/>
      <c r="R38325"/>
      <c r="S38325"/>
      <c r="T38325"/>
      <c r="U38325"/>
      <c r="X38325" s="60"/>
    </row>
    <row r="38326" spans="7:24" ht="15" customHeight="1">
      <c r="G38326"/>
      <c r="I38326"/>
      <c r="N38326"/>
      <c r="O38326" s="24"/>
      <c r="P38326"/>
      <c r="Q38326" s="24"/>
      <c r="R38326"/>
      <c r="S38326"/>
      <c r="T38326"/>
      <c r="U38326"/>
      <c r="X38326" s="60"/>
    </row>
    <row r="38327" spans="7:24" ht="15" customHeight="1">
      <c r="G38327"/>
      <c r="I38327"/>
      <c r="N38327"/>
      <c r="O38327" s="24"/>
      <c r="P38327"/>
      <c r="Q38327" s="24"/>
      <c r="R38327"/>
      <c r="S38327"/>
      <c r="T38327"/>
      <c r="U38327"/>
      <c r="X38327" s="60"/>
    </row>
    <row r="38328" spans="7:24" ht="15" customHeight="1">
      <c r="G38328"/>
      <c r="I38328"/>
      <c r="N38328"/>
      <c r="O38328" s="24"/>
      <c r="P38328"/>
      <c r="Q38328" s="24"/>
      <c r="R38328"/>
      <c r="S38328"/>
      <c r="T38328"/>
      <c r="U38328"/>
      <c r="X38328" s="60"/>
    </row>
    <row r="38329" spans="7:24" ht="15" customHeight="1">
      <c r="G38329"/>
      <c r="I38329"/>
      <c r="N38329"/>
      <c r="O38329" s="24"/>
      <c r="P38329"/>
      <c r="Q38329" s="24"/>
      <c r="R38329"/>
      <c r="S38329"/>
      <c r="T38329"/>
      <c r="U38329"/>
      <c r="X38329" s="60"/>
    </row>
    <row r="38330" spans="7:24" ht="15" customHeight="1">
      <c r="G38330"/>
      <c r="I38330"/>
      <c r="N38330"/>
      <c r="O38330" s="24"/>
      <c r="P38330"/>
      <c r="Q38330" s="24"/>
      <c r="R38330"/>
      <c r="S38330"/>
      <c r="T38330"/>
      <c r="U38330"/>
      <c r="X38330" s="60"/>
    </row>
    <row r="38331" spans="7:24" ht="15" customHeight="1">
      <c r="G38331"/>
      <c r="I38331"/>
      <c r="N38331"/>
      <c r="O38331" s="24"/>
      <c r="P38331"/>
      <c r="Q38331" s="24"/>
      <c r="R38331"/>
      <c r="S38331"/>
      <c r="T38331"/>
      <c r="U38331"/>
      <c r="X38331" s="60"/>
    </row>
    <row r="38332" spans="7:24" ht="15" customHeight="1">
      <c r="G38332"/>
      <c r="I38332"/>
      <c r="N38332"/>
      <c r="O38332" s="24"/>
      <c r="P38332"/>
      <c r="Q38332" s="24"/>
      <c r="R38332"/>
      <c r="S38332"/>
      <c r="T38332"/>
      <c r="U38332"/>
      <c r="X38332" s="60"/>
    </row>
    <row r="38333" spans="7:24" ht="15" customHeight="1">
      <c r="G38333"/>
      <c r="I38333"/>
      <c r="N38333"/>
      <c r="O38333" s="24"/>
      <c r="P38333"/>
      <c r="Q38333" s="24"/>
      <c r="R38333"/>
      <c r="S38333"/>
      <c r="T38333"/>
      <c r="U38333"/>
      <c r="X38333" s="60"/>
    </row>
    <row r="38334" spans="7:24" ht="15" customHeight="1">
      <c r="G38334"/>
      <c r="I38334"/>
      <c r="N38334"/>
      <c r="O38334" s="24"/>
      <c r="P38334"/>
      <c r="Q38334" s="24"/>
      <c r="R38334"/>
      <c r="S38334"/>
      <c r="T38334"/>
      <c r="U38334"/>
      <c r="X38334" s="60"/>
    </row>
    <row r="38335" spans="7:24" ht="15" customHeight="1">
      <c r="G38335"/>
      <c r="I38335"/>
      <c r="N38335"/>
      <c r="O38335" s="24"/>
      <c r="P38335"/>
      <c r="Q38335" s="24"/>
      <c r="R38335"/>
      <c r="S38335"/>
      <c r="T38335"/>
      <c r="U38335"/>
      <c r="X38335" s="60"/>
    </row>
    <row r="38336" spans="7:24" ht="15" customHeight="1">
      <c r="G38336"/>
      <c r="I38336"/>
      <c r="N38336"/>
      <c r="O38336" s="24"/>
      <c r="P38336"/>
      <c r="Q38336" s="24"/>
      <c r="R38336"/>
      <c r="S38336"/>
      <c r="T38336"/>
      <c r="U38336"/>
      <c r="X38336" s="60"/>
    </row>
    <row r="38337" spans="7:24" ht="15" customHeight="1">
      <c r="G38337"/>
      <c r="I38337"/>
      <c r="N38337"/>
      <c r="O38337" s="24"/>
      <c r="P38337"/>
      <c r="Q38337" s="24"/>
      <c r="R38337"/>
      <c r="S38337"/>
      <c r="T38337"/>
      <c r="U38337"/>
      <c r="X38337" s="60"/>
    </row>
    <row r="38338" spans="7:24" ht="15" customHeight="1">
      <c r="G38338"/>
      <c r="I38338"/>
      <c r="N38338"/>
      <c r="O38338" s="24"/>
      <c r="P38338"/>
      <c r="Q38338" s="24"/>
      <c r="R38338"/>
      <c r="S38338"/>
      <c r="T38338"/>
      <c r="U38338"/>
      <c r="X38338" s="60"/>
    </row>
    <row r="38339" spans="7:24" ht="15" customHeight="1">
      <c r="G38339"/>
      <c r="I38339"/>
      <c r="N38339"/>
      <c r="O38339" s="24"/>
      <c r="P38339"/>
      <c r="Q38339" s="24"/>
      <c r="R38339"/>
      <c r="S38339"/>
      <c r="T38339"/>
      <c r="U38339"/>
      <c r="X38339" s="60"/>
    </row>
    <row r="38340" spans="7:24" ht="15" customHeight="1">
      <c r="G38340"/>
      <c r="I38340"/>
      <c r="N38340"/>
      <c r="O38340" s="24"/>
      <c r="P38340"/>
      <c r="Q38340" s="24"/>
      <c r="R38340"/>
      <c r="S38340"/>
      <c r="T38340"/>
      <c r="U38340"/>
      <c r="X38340" s="60"/>
    </row>
    <row r="38341" spans="7:24" ht="15" customHeight="1">
      <c r="G38341"/>
      <c r="I38341"/>
      <c r="N38341"/>
      <c r="O38341" s="24"/>
      <c r="P38341"/>
      <c r="Q38341" s="24"/>
      <c r="R38341"/>
      <c r="S38341"/>
      <c r="T38341"/>
      <c r="U38341"/>
      <c r="X38341" s="60"/>
    </row>
    <row r="38342" spans="7:24" ht="15" customHeight="1">
      <c r="G38342"/>
      <c r="I38342"/>
      <c r="N38342"/>
      <c r="O38342" s="24"/>
      <c r="P38342"/>
      <c r="Q38342" s="24"/>
      <c r="R38342"/>
      <c r="S38342"/>
      <c r="T38342"/>
      <c r="U38342"/>
      <c r="X38342" s="60"/>
    </row>
    <row r="38343" spans="7:24" ht="15" customHeight="1">
      <c r="G38343"/>
      <c r="I38343"/>
      <c r="N38343"/>
      <c r="O38343" s="24"/>
      <c r="P38343"/>
      <c r="Q38343" s="24"/>
      <c r="R38343"/>
      <c r="S38343"/>
      <c r="T38343"/>
      <c r="U38343"/>
      <c r="X38343" s="60"/>
    </row>
    <row r="38344" spans="7:24" ht="15" customHeight="1">
      <c r="G38344"/>
      <c r="I38344"/>
      <c r="N38344"/>
      <c r="O38344" s="24"/>
      <c r="P38344"/>
      <c r="Q38344" s="24"/>
      <c r="R38344"/>
      <c r="S38344"/>
      <c r="T38344"/>
      <c r="U38344"/>
      <c r="X38344" s="60"/>
    </row>
    <row r="38345" spans="7:24" ht="15" customHeight="1">
      <c r="G38345"/>
      <c r="I38345"/>
      <c r="N38345"/>
      <c r="O38345" s="24"/>
      <c r="P38345"/>
      <c r="Q38345" s="24"/>
      <c r="R38345"/>
      <c r="S38345"/>
      <c r="T38345"/>
      <c r="U38345"/>
      <c r="X38345" s="60"/>
    </row>
    <row r="38346" spans="7:24" ht="15" customHeight="1">
      <c r="G38346"/>
      <c r="I38346"/>
      <c r="N38346"/>
      <c r="O38346" s="24"/>
      <c r="P38346"/>
      <c r="Q38346" s="24"/>
      <c r="R38346"/>
      <c r="S38346"/>
      <c r="T38346"/>
      <c r="U38346"/>
      <c r="X38346" s="60"/>
    </row>
    <row r="38347" spans="7:24" ht="15" customHeight="1">
      <c r="G38347"/>
      <c r="I38347"/>
      <c r="N38347"/>
      <c r="O38347" s="24"/>
      <c r="P38347"/>
      <c r="Q38347" s="24"/>
      <c r="R38347"/>
      <c r="S38347"/>
      <c r="T38347"/>
      <c r="U38347"/>
      <c r="X38347" s="60"/>
    </row>
    <row r="38348" spans="7:24" ht="15" customHeight="1">
      <c r="G38348"/>
      <c r="I38348"/>
      <c r="N38348"/>
      <c r="O38348" s="24"/>
      <c r="P38348"/>
      <c r="Q38348" s="24"/>
      <c r="R38348"/>
      <c r="S38348"/>
      <c r="T38348"/>
      <c r="U38348"/>
      <c r="X38348" s="60"/>
    </row>
    <row r="38349" spans="7:24" ht="15" customHeight="1">
      <c r="G38349"/>
      <c r="I38349"/>
      <c r="N38349"/>
      <c r="O38349" s="24"/>
      <c r="P38349"/>
      <c r="Q38349" s="24"/>
      <c r="R38349"/>
      <c r="S38349"/>
      <c r="T38349"/>
      <c r="U38349"/>
      <c r="X38349" s="60"/>
    </row>
    <row r="38350" spans="7:24" ht="15" customHeight="1">
      <c r="G38350"/>
      <c r="I38350"/>
      <c r="N38350"/>
      <c r="O38350" s="24"/>
      <c r="P38350"/>
      <c r="Q38350" s="24"/>
      <c r="R38350"/>
      <c r="S38350"/>
      <c r="T38350"/>
      <c r="U38350"/>
      <c r="X38350" s="60"/>
    </row>
    <row r="38351" spans="7:24" ht="15" customHeight="1">
      <c r="G38351"/>
      <c r="I38351"/>
      <c r="N38351"/>
      <c r="O38351" s="24"/>
      <c r="P38351"/>
      <c r="Q38351" s="24"/>
      <c r="R38351"/>
      <c r="S38351"/>
      <c r="T38351"/>
      <c r="U38351"/>
      <c r="X38351" s="60"/>
    </row>
    <row r="38352" spans="7:24" ht="15" customHeight="1">
      <c r="G38352"/>
      <c r="I38352"/>
      <c r="N38352"/>
      <c r="O38352" s="24"/>
      <c r="P38352"/>
      <c r="Q38352" s="24"/>
      <c r="R38352"/>
      <c r="S38352"/>
      <c r="T38352"/>
      <c r="U38352"/>
      <c r="X38352" s="60"/>
    </row>
    <row r="38353" spans="7:24" ht="15" customHeight="1">
      <c r="G38353"/>
      <c r="I38353"/>
      <c r="N38353"/>
      <c r="O38353" s="24"/>
      <c r="P38353"/>
      <c r="Q38353" s="24"/>
      <c r="R38353"/>
      <c r="S38353"/>
      <c r="T38353"/>
      <c r="U38353"/>
      <c r="X38353" s="60"/>
    </row>
    <row r="38354" spans="7:24" ht="15" customHeight="1">
      <c r="G38354"/>
      <c r="I38354"/>
      <c r="N38354"/>
      <c r="O38354" s="24"/>
      <c r="P38354"/>
      <c r="Q38354" s="24"/>
      <c r="R38354"/>
      <c r="S38354"/>
      <c r="T38354"/>
      <c r="U38354"/>
      <c r="X38354" s="60"/>
    </row>
    <row r="38355" spans="7:24" ht="15" customHeight="1">
      <c r="G38355"/>
      <c r="I38355"/>
      <c r="N38355"/>
      <c r="O38355" s="24"/>
      <c r="P38355"/>
      <c r="Q38355" s="24"/>
      <c r="R38355"/>
      <c r="S38355"/>
      <c r="T38355"/>
      <c r="U38355"/>
      <c r="X38355" s="60"/>
    </row>
    <row r="38356" spans="7:24" ht="15" customHeight="1">
      <c r="G38356"/>
      <c r="I38356"/>
      <c r="N38356"/>
      <c r="O38356" s="24"/>
      <c r="P38356"/>
      <c r="Q38356" s="24"/>
      <c r="R38356"/>
      <c r="S38356"/>
      <c r="T38356"/>
      <c r="U38356"/>
      <c r="X38356" s="60"/>
    </row>
    <row r="38357" spans="7:24" ht="15" customHeight="1">
      <c r="G38357"/>
      <c r="I38357"/>
      <c r="N38357"/>
      <c r="O38357" s="24"/>
      <c r="P38357"/>
      <c r="Q38357" s="24"/>
      <c r="R38357"/>
      <c r="S38357"/>
      <c r="T38357"/>
      <c r="U38357"/>
      <c r="X38357" s="60"/>
    </row>
    <row r="38358" spans="7:24" ht="15" customHeight="1">
      <c r="G38358"/>
      <c r="I38358"/>
      <c r="N38358"/>
      <c r="O38358" s="24"/>
      <c r="P38358"/>
      <c r="Q38358" s="24"/>
      <c r="R38358"/>
      <c r="S38358"/>
      <c r="T38358"/>
      <c r="U38358"/>
      <c r="X38358" s="60"/>
    </row>
    <row r="38359" spans="7:24" ht="15" customHeight="1">
      <c r="G38359"/>
      <c r="I38359"/>
      <c r="N38359"/>
      <c r="O38359" s="24"/>
      <c r="P38359"/>
      <c r="Q38359" s="24"/>
      <c r="R38359"/>
      <c r="S38359"/>
      <c r="T38359"/>
      <c r="U38359"/>
      <c r="X38359" s="60"/>
    </row>
    <row r="38360" spans="7:24" ht="15" customHeight="1">
      <c r="G38360"/>
      <c r="I38360"/>
      <c r="N38360"/>
      <c r="O38360" s="24"/>
      <c r="P38360"/>
      <c r="Q38360" s="24"/>
      <c r="R38360"/>
      <c r="S38360"/>
      <c r="T38360"/>
      <c r="U38360"/>
      <c r="X38360" s="60"/>
    </row>
    <row r="38361" spans="7:24" ht="15" customHeight="1">
      <c r="G38361"/>
      <c r="I38361"/>
      <c r="N38361"/>
      <c r="O38361" s="24"/>
      <c r="P38361"/>
      <c r="Q38361" s="24"/>
      <c r="R38361"/>
      <c r="S38361"/>
      <c r="T38361"/>
      <c r="U38361"/>
      <c r="X38361" s="60"/>
    </row>
    <row r="38362" spans="7:24" ht="15" customHeight="1">
      <c r="G38362"/>
      <c r="I38362"/>
      <c r="N38362"/>
      <c r="O38362" s="24"/>
      <c r="P38362"/>
      <c r="Q38362" s="24"/>
      <c r="R38362"/>
      <c r="S38362"/>
      <c r="T38362"/>
      <c r="U38362"/>
      <c r="X38362" s="60"/>
    </row>
    <row r="38363" spans="7:24" ht="15" customHeight="1">
      <c r="G38363"/>
      <c r="I38363"/>
      <c r="N38363"/>
      <c r="O38363" s="24"/>
      <c r="P38363"/>
      <c r="Q38363" s="24"/>
      <c r="R38363"/>
      <c r="S38363"/>
      <c r="T38363"/>
      <c r="U38363"/>
      <c r="X38363" s="60"/>
    </row>
    <row r="38364" spans="7:24" ht="15" customHeight="1">
      <c r="G38364"/>
      <c r="I38364"/>
      <c r="N38364"/>
      <c r="O38364" s="24"/>
      <c r="P38364"/>
      <c r="Q38364" s="24"/>
      <c r="R38364"/>
      <c r="S38364"/>
      <c r="T38364"/>
      <c r="U38364"/>
      <c r="X38364" s="60"/>
    </row>
    <row r="38365" spans="7:24" ht="15" customHeight="1">
      <c r="G38365"/>
      <c r="I38365"/>
      <c r="N38365"/>
      <c r="O38365" s="24"/>
      <c r="P38365"/>
      <c r="Q38365" s="24"/>
      <c r="R38365"/>
      <c r="S38365"/>
      <c r="T38365"/>
      <c r="U38365"/>
      <c r="X38365" s="60"/>
    </row>
    <row r="38366" spans="7:24" ht="15" customHeight="1">
      <c r="G38366"/>
      <c r="I38366"/>
      <c r="N38366"/>
      <c r="O38366" s="24"/>
      <c r="P38366"/>
      <c r="Q38366" s="24"/>
      <c r="R38366"/>
      <c r="S38366"/>
      <c r="T38366"/>
      <c r="U38366"/>
      <c r="X38366" s="60"/>
    </row>
    <row r="38367" spans="7:24" ht="15" customHeight="1">
      <c r="G38367"/>
      <c r="I38367"/>
      <c r="N38367"/>
      <c r="O38367" s="24"/>
      <c r="P38367"/>
      <c r="Q38367" s="24"/>
      <c r="R38367"/>
      <c r="S38367"/>
      <c r="T38367"/>
      <c r="U38367"/>
      <c r="X38367" s="60"/>
    </row>
    <row r="38368" spans="7:24" ht="15" customHeight="1">
      <c r="G38368"/>
      <c r="I38368"/>
      <c r="N38368"/>
      <c r="O38368" s="24"/>
      <c r="P38368"/>
      <c r="Q38368" s="24"/>
      <c r="R38368"/>
      <c r="S38368"/>
      <c r="T38368"/>
      <c r="U38368"/>
      <c r="X38368" s="60"/>
    </row>
    <row r="38369" spans="7:24" ht="15" customHeight="1">
      <c r="G38369"/>
      <c r="I38369"/>
      <c r="N38369"/>
      <c r="O38369" s="24"/>
      <c r="P38369"/>
      <c r="Q38369" s="24"/>
      <c r="R38369"/>
      <c r="S38369"/>
      <c r="T38369"/>
      <c r="U38369"/>
      <c r="X38369" s="60"/>
    </row>
    <row r="38370" spans="7:24" ht="15" customHeight="1">
      <c r="G38370"/>
      <c r="I38370"/>
      <c r="N38370"/>
      <c r="O38370" s="24"/>
      <c r="P38370"/>
      <c r="Q38370" s="24"/>
      <c r="R38370"/>
      <c r="S38370"/>
      <c r="T38370"/>
      <c r="U38370"/>
      <c r="X38370" s="60"/>
    </row>
    <row r="38371" spans="7:24" ht="15" customHeight="1">
      <c r="G38371"/>
      <c r="I38371"/>
      <c r="N38371"/>
      <c r="O38371" s="24"/>
      <c r="P38371"/>
      <c r="Q38371" s="24"/>
      <c r="R38371"/>
      <c r="S38371"/>
      <c r="T38371"/>
      <c r="U38371"/>
      <c r="X38371" s="60"/>
    </row>
    <row r="38372" spans="7:24" ht="15" customHeight="1">
      <c r="G38372"/>
      <c r="I38372"/>
      <c r="N38372"/>
      <c r="O38372" s="24"/>
      <c r="P38372"/>
      <c r="Q38372" s="24"/>
      <c r="R38372"/>
      <c r="S38372"/>
      <c r="T38372"/>
      <c r="U38372"/>
      <c r="X38372" s="60"/>
    </row>
    <row r="38373" spans="7:24" ht="15" customHeight="1">
      <c r="G38373"/>
      <c r="I38373"/>
      <c r="N38373"/>
      <c r="O38373" s="24"/>
      <c r="P38373"/>
      <c r="Q38373" s="24"/>
      <c r="R38373"/>
      <c r="S38373"/>
      <c r="T38373"/>
      <c r="U38373"/>
      <c r="X38373" s="60"/>
    </row>
    <row r="38374" spans="7:24" ht="15" customHeight="1">
      <c r="G38374"/>
      <c r="I38374"/>
      <c r="N38374"/>
      <c r="O38374" s="24"/>
      <c r="P38374"/>
      <c r="Q38374" s="24"/>
      <c r="R38374"/>
      <c r="S38374"/>
      <c r="T38374"/>
      <c r="U38374"/>
      <c r="X38374" s="60"/>
    </row>
    <row r="38375" spans="7:24" ht="15" customHeight="1">
      <c r="G38375"/>
      <c r="I38375"/>
      <c r="N38375"/>
      <c r="O38375" s="24"/>
      <c r="P38375"/>
      <c r="Q38375" s="24"/>
      <c r="R38375"/>
      <c r="S38375"/>
      <c r="T38375"/>
      <c r="U38375"/>
      <c r="X38375" s="60"/>
    </row>
    <row r="38376" spans="7:24" ht="15" customHeight="1">
      <c r="G38376"/>
      <c r="I38376"/>
      <c r="N38376"/>
      <c r="O38376" s="24"/>
      <c r="P38376"/>
      <c r="Q38376" s="24"/>
      <c r="R38376"/>
      <c r="S38376"/>
      <c r="T38376"/>
      <c r="U38376"/>
      <c r="X38376" s="60"/>
    </row>
    <row r="38377" spans="7:24" ht="15" customHeight="1">
      <c r="G38377"/>
      <c r="I38377"/>
      <c r="N38377"/>
      <c r="O38377" s="24"/>
      <c r="P38377"/>
      <c r="Q38377" s="24"/>
      <c r="R38377"/>
      <c r="S38377"/>
      <c r="T38377"/>
      <c r="U38377"/>
      <c r="X38377" s="60"/>
    </row>
    <row r="38378" spans="7:24" ht="15" customHeight="1">
      <c r="G38378"/>
      <c r="I38378"/>
      <c r="N38378"/>
      <c r="O38378" s="24"/>
      <c r="P38378"/>
      <c r="Q38378" s="24"/>
      <c r="R38378"/>
      <c r="S38378"/>
      <c r="T38378"/>
      <c r="U38378"/>
      <c r="X38378" s="60"/>
    </row>
    <row r="38379" spans="7:24" ht="15" customHeight="1">
      <c r="G38379"/>
      <c r="I38379"/>
      <c r="N38379"/>
      <c r="O38379" s="24"/>
      <c r="P38379"/>
      <c r="Q38379" s="24"/>
      <c r="R38379"/>
      <c r="S38379"/>
      <c r="T38379"/>
      <c r="U38379"/>
      <c r="X38379" s="60"/>
    </row>
    <row r="38380" spans="7:24" ht="15" customHeight="1">
      <c r="G38380"/>
      <c r="I38380"/>
      <c r="N38380"/>
      <c r="O38380" s="24"/>
      <c r="P38380"/>
      <c r="Q38380" s="24"/>
      <c r="R38380"/>
      <c r="S38380"/>
      <c r="T38380"/>
      <c r="U38380"/>
      <c r="X38380" s="60"/>
    </row>
    <row r="38381" spans="7:24" ht="15" customHeight="1">
      <c r="G38381"/>
      <c r="I38381"/>
      <c r="N38381"/>
      <c r="O38381" s="24"/>
      <c r="P38381"/>
      <c r="Q38381" s="24"/>
      <c r="R38381"/>
      <c r="S38381"/>
      <c r="T38381"/>
      <c r="U38381"/>
      <c r="X38381" s="60"/>
    </row>
    <row r="38382" spans="7:24" ht="15" customHeight="1">
      <c r="G38382"/>
      <c r="I38382"/>
      <c r="N38382"/>
      <c r="O38382" s="24"/>
      <c r="P38382"/>
      <c r="Q38382" s="24"/>
      <c r="R38382"/>
      <c r="S38382"/>
      <c r="T38382"/>
      <c r="U38382"/>
      <c r="X38382" s="60"/>
    </row>
    <row r="38383" spans="7:24" ht="15" customHeight="1">
      <c r="G38383"/>
      <c r="I38383"/>
      <c r="N38383"/>
      <c r="O38383" s="24"/>
      <c r="P38383"/>
      <c r="Q38383" s="24"/>
      <c r="R38383"/>
      <c r="S38383"/>
      <c r="T38383"/>
      <c r="U38383"/>
      <c r="X38383" s="60"/>
    </row>
    <row r="38384" spans="7:24" ht="15" customHeight="1">
      <c r="G38384"/>
      <c r="I38384"/>
      <c r="N38384"/>
      <c r="O38384" s="24"/>
      <c r="P38384"/>
      <c r="Q38384" s="24"/>
      <c r="R38384"/>
      <c r="S38384"/>
      <c r="T38384"/>
      <c r="U38384"/>
      <c r="X38384" s="60"/>
    </row>
    <row r="38385" spans="7:24" ht="15" customHeight="1">
      <c r="G38385"/>
      <c r="I38385"/>
      <c r="N38385"/>
      <c r="O38385" s="24"/>
      <c r="P38385"/>
      <c r="Q38385" s="24"/>
      <c r="R38385"/>
      <c r="S38385"/>
      <c r="T38385"/>
      <c r="U38385"/>
      <c r="X38385" s="60"/>
    </row>
    <row r="38386" spans="7:24" ht="15" customHeight="1">
      <c r="G38386"/>
      <c r="I38386"/>
      <c r="N38386"/>
      <c r="O38386" s="24"/>
      <c r="P38386"/>
      <c r="Q38386" s="24"/>
      <c r="R38386"/>
      <c r="S38386"/>
      <c r="T38386"/>
      <c r="U38386"/>
      <c r="X38386" s="60"/>
    </row>
    <row r="38387" spans="7:24" ht="15" customHeight="1">
      <c r="G38387"/>
      <c r="I38387"/>
      <c r="N38387"/>
      <c r="O38387" s="24"/>
      <c r="P38387"/>
      <c r="Q38387" s="24"/>
      <c r="R38387"/>
      <c r="S38387"/>
      <c r="T38387"/>
      <c r="U38387"/>
      <c r="X38387" s="60"/>
    </row>
    <row r="38388" spans="7:24" ht="15" customHeight="1">
      <c r="G38388"/>
      <c r="I38388"/>
      <c r="N38388"/>
      <c r="O38388" s="24"/>
      <c r="P38388"/>
      <c r="Q38388" s="24"/>
      <c r="R38388"/>
      <c r="S38388"/>
      <c r="T38388"/>
      <c r="U38388"/>
      <c r="X38388" s="60"/>
    </row>
    <row r="38389" spans="7:24" ht="15" customHeight="1">
      <c r="G38389"/>
      <c r="I38389"/>
      <c r="N38389"/>
      <c r="O38389" s="24"/>
      <c r="P38389"/>
      <c r="Q38389" s="24"/>
      <c r="R38389"/>
      <c r="S38389"/>
      <c r="T38389"/>
      <c r="U38389"/>
      <c r="X38389" s="60"/>
    </row>
    <row r="38390" spans="7:24" ht="15" customHeight="1">
      <c r="G38390"/>
      <c r="I38390"/>
      <c r="N38390"/>
      <c r="O38390" s="24"/>
      <c r="P38390"/>
      <c r="Q38390" s="24"/>
      <c r="R38390"/>
      <c r="S38390"/>
      <c r="T38390"/>
      <c r="U38390"/>
      <c r="X38390" s="60"/>
    </row>
    <row r="38391" spans="7:24" ht="15" customHeight="1">
      <c r="G38391"/>
      <c r="I38391"/>
      <c r="N38391"/>
      <c r="O38391" s="24"/>
      <c r="P38391"/>
      <c r="Q38391" s="24"/>
      <c r="R38391"/>
      <c r="S38391"/>
      <c r="T38391"/>
      <c r="U38391"/>
      <c r="X38391" s="60"/>
    </row>
    <row r="38392" spans="7:24" ht="15" customHeight="1">
      <c r="G38392"/>
      <c r="I38392"/>
      <c r="N38392"/>
      <c r="O38392" s="24"/>
      <c r="P38392"/>
      <c r="Q38392" s="24"/>
      <c r="R38392"/>
      <c r="S38392"/>
      <c r="T38392"/>
      <c r="U38392"/>
      <c r="X38392" s="60"/>
    </row>
    <row r="38393" spans="7:24" ht="15" customHeight="1">
      <c r="G38393"/>
      <c r="I38393"/>
      <c r="N38393"/>
      <c r="O38393" s="24"/>
      <c r="P38393"/>
      <c r="Q38393" s="24"/>
      <c r="R38393"/>
      <c r="S38393"/>
      <c r="T38393"/>
      <c r="U38393"/>
      <c r="X38393" s="60"/>
    </row>
    <row r="38394" spans="7:24" ht="15" customHeight="1">
      <c r="G38394"/>
      <c r="I38394"/>
      <c r="N38394"/>
      <c r="O38394" s="24"/>
      <c r="P38394"/>
      <c r="Q38394" s="24"/>
      <c r="R38394"/>
      <c r="S38394"/>
      <c r="T38394"/>
      <c r="U38394"/>
      <c r="X38394" s="60"/>
    </row>
    <row r="38395" spans="7:24" ht="15" customHeight="1">
      <c r="G38395"/>
      <c r="I38395"/>
      <c r="N38395"/>
      <c r="O38395" s="24"/>
      <c r="P38395"/>
      <c r="Q38395" s="24"/>
      <c r="R38395"/>
      <c r="S38395"/>
      <c r="T38395"/>
      <c r="U38395"/>
      <c r="X38395" s="60"/>
    </row>
    <row r="38396" spans="7:24" ht="15" customHeight="1">
      <c r="G38396"/>
      <c r="I38396"/>
      <c r="N38396"/>
      <c r="O38396" s="24"/>
      <c r="P38396"/>
      <c r="Q38396" s="24"/>
      <c r="R38396"/>
      <c r="S38396"/>
      <c r="T38396"/>
      <c r="U38396"/>
      <c r="X38396" s="60"/>
    </row>
    <row r="38397" spans="7:24" ht="15" customHeight="1">
      <c r="G38397"/>
      <c r="I38397"/>
      <c r="N38397"/>
      <c r="O38397" s="24"/>
      <c r="P38397"/>
      <c r="Q38397" s="24"/>
      <c r="R38397"/>
      <c r="S38397"/>
      <c r="T38397"/>
      <c r="U38397"/>
      <c r="X38397" s="60"/>
    </row>
    <row r="38398" spans="7:24" ht="15" customHeight="1">
      <c r="G38398"/>
      <c r="I38398"/>
      <c r="N38398"/>
      <c r="O38398" s="24"/>
      <c r="P38398"/>
      <c r="Q38398" s="24"/>
      <c r="R38398"/>
      <c r="S38398"/>
      <c r="T38398"/>
      <c r="U38398"/>
      <c r="X38398" s="60"/>
    </row>
    <row r="38399" spans="7:24" ht="15" customHeight="1">
      <c r="G38399"/>
      <c r="I38399"/>
      <c r="N38399"/>
      <c r="O38399" s="24"/>
      <c r="P38399"/>
      <c r="Q38399" s="24"/>
      <c r="R38399"/>
      <c r="S38399"/>
      <c r="T38399"/>
      <c r="U38399"/>
      <c r="X38399" s="60"/>
    </row>
    <row r="38400" spans="7:24" ht="15" customHeight="1">
      <c r="G38400"/>
      <c r="I38400"/>
      <c r="N38400"/>
      <c r="O38400" s="24"/>
      <c r="P38400"/>
      <c r="Q38400" s="24"/>
      <c r="R38400"/>
      <c r="S38400"/>
      <c r="T38400"/>
      <c r="U38400"/>
      <c r="X38400" s="60"/>
    </row>
    <row r="38401" spans="7:24" ht="15" customHeight="1">
      <c r="G38401"/>
      <c r="I38401"/>
      <c r="N38401"/>
      <c r="O38401" s="24"/>
      <c r="P38401"/>
      <c r="Q38401" s="24"/>
      <c r="R38401"/>
      <c r="S38401"/>
      <c r="T38401"/>
      <c r="U38401"/>
      <c r="X38401" s="60"/>
    </row>
    <row r="38402" spans="7:24" ht="15" customHeight="1">
      <c r="G38402"/>
      <c r="I38402"/>
      <c r="N38402"/>
      <c r="O38402" s="24"/>
      <c r="P38402"/>
      <c r="Q38402" s="24"/>
      <c r="R38402"/>
      <c r="S38402"/>
      <c r="T38402"/>
      <c r="U38402"/>
      <c r="X38402" s="60"/>
    </row>
    <row r="38403" spans="7:24" ht="15" customHeight="1">
      <c r="G38403"/>
      <c r="I38403"/>
      <c r="N38403"/>
      <c r="O38403" s="24"/>
      <c r="P38403"/>
      <c r="Q38403" s="24"/>
      <c r="R38403"/>
      <c r="S38403"/>
      <c r="T38403"/>
      <c r="U38403"/>
      <c r="X38403" s="60"/>
    </row>
    <row r="38404" spans="7:24" ht="15" customHeight="1">
      <c r="G38404"/>
      <c r="I38404"/>
      <c r="N38404"/>
      <c r="O38404" s="24"/>
      <c r="P38404"/>
      <c r="Q38404" s="24"/>
      <c r="R38404"/>
      <c r="S38404"/>
      <c r="T38404"/>
      <c r="U38404"/>
      <c r="X38404" s="60"/>
    </row>
    <row r="38405" spans="7:24" ht="15" customHeight="1">
      <c r="G38405"/>
      <c r="I38405"/>
      <c r="N38405"/>
      <c r="O38405" s="24"/>
      <c r="P38405"/>
      <c r="Q38405" s="24"/>
      <c r="R38405"/>
      <c r="S38405"/>
      <c r="T38405"/>
      <c r="U38405"/>
      <c r="X38405" s="60"/>
    </row>
    <row r="38406" spans="7:24" ht="15" customHeight="1">
      <c r="G38406"/>
      <c r="I38406"/>
      <c r="N38406"/>
      <c r="O38406" s="24"/>
      <c r="P38406"/>
      <c r="Q38406" s="24"/>
      <c r="R38406"/>
      <c r="S38406"/>
      <c r="T38406"/>
      <c r="U38406"/>
      <c r="X38406" s="60"/>
    </row>
    <row r="38407" spans="7:24" ht="15" customHeight="1">
      <c r="G38407"/>
      <c r="I38407"/>
      <c r="N38407"/>
      <c r="O38407" s="24"/>
      <c r="P38407"/>
      <c r="Q38407" s="24"/>
      <c r="R38407"/>
      <c r="S38407"/>
      <c r="T38407"/>
      <c r="U38407"/>
      <c r="X38407" s="60"/>
    </row>
    <row r="38408" spans="7:24" ht="15" customHeight="1">
      <c r="G38408"/>
      <c r="I38408"/>
      <c r="N38408"/>
      <c r="O38408" s="24"/>
      <c r="P38408"/>
      <c r="Q38408" s="24"/>
      <c r="R38408"/>
      <c r="S38408"/>
      <c r="T38408"/>
      <c r="U38408"/>
      <c r="X38408" s="60"/>
    </row>
    <row r="38409" spans="7:24" ht="15" customHeight="1">
      <c r="G38409"/>
      <c r="I38409"/>
      <c r="N38409"/>
      <c r="O38409" s="24"/>
      <c r="P38409"/>
      <c r="Q38409" s="24"/>
      <c r="R38409"/>
      <c r="S38409"/>
      <c r="T38409"/>
      <c r="U38409"/>
      <c r="X38409" s="60"/>
    </row>
    <row r="38410" spans="7:24" ht="15" customHeight="1">
      <c r="G38410"/>
      <c r="I38410"/>
      <c r="N38410"/>
      <c r="O38410" s="24"/>
      <c r="P38410"/>
      <c r="Q38410" s="24"/>
      <c r="R38410"/>
      <c r="S38410"/>
      <c r="T38410"/>
      <c r="U38410"/>
      <c r="X38410" s="60"/>
    </row>
    <row r="38411" spans="7:24" ht="15" customHeight="1">
      <c r="G38411"/>
      <c r="I38411"/>
      <c r="N38411"/>
      <c r="O38411" s="24"/>
      <c r="P38411"/>
      <c r="Q38411" s="24"/>
      <c r="R38411"/>
      <c r="S38411"/>
      <c r="T38411"/>
      <c r="U38411"/>
      <c r="X38411" s="60"/>
    </row>
    <row r="38412" spans="7:24" ht="15" customHeight="1">
      <c r="G38412"/>
      <c r="I38412"/>
      <c r="N38412"/>
      <c r="O38412" s="24"/>
      <c r="P38412"/>
      <c r="Q38412" s="24"/>
      <c r="R38412"/>
      <c r="S38412"/>
      <c r="T38412"/>
      <c r="U38412"/>
      <c r="X38412" s="60"/>
    </row>
    <row r="38413" spans="7:24" ht="15" customHeight="1">
      <c r="G38413"/>
      <c r="I38413"/>
      <c r="N38413"/>
      <c r="O38413" s="24"/>
      <c r="P38413"/>
      <c r="Q38413" s="24"/>
      <c r="R38413"/>
      <c r="S38413"/>
      <c r="T38413"/>
      <c r="U38413"/>
      <c r="X38413" s="60"/>
    </row>
    <row r="38414" spans="7:24" ht="15" customHeight="1">
      <c r="G38414"/>
      <c r="I38414"/>
      <c r="N38414"/>
      <c r="O38414" s="24"/>
      <c r="P38414"/>
      <c r="Q38414" s="24"/>
      <c r="R38414"/>
      <c r="S38414"/>
      <c r="T38414"/>
      <c r="U38414"/>
      <c r="X38414" s="60"/>
    </row>
    <row r="38415" spans="7:24" ht="15" customHeight="1">
      <c r="G38415"/>
      <c r="I38415"/>
      <c r="N38415"/>
      <c r="O38415" s="24"/>
      <c r="P38415"/>
      <c r="Q38415" s="24"/>
      <c r="R38415"/>
      <c r="S38415"/>
      <c r="T38415"/>
      <c r="U38415"/>
      <c r="X38415" s="60"/>
    </row>
    <row r="38416" spans="7:24" ht="15" customHeight="1">
      <c r="G38416"/>
      <c r="I38416"/>
      <c r="N38416"/>
      <c r="O38416" s="24"/>
      <c r="P38416"/>
      <c r="Q38416" s="24"/>
      <c r="R38416"/>
      <c r="S38416"/>
      <c r="T38416"/>
      <c r="U38416"/>
      <c r="X38416" s="60"/>
    </row>
    <row r="38417" spans="7:24" ht="15" customHeight="1">
      <c r="G38417"/>
      <c r="I38417"/>
      <c r="N38417"/>
      <c r="O38417" s="24"/>
      <c r="P38417"/>
      <c r="Q38417" s="24"/>
      <c r="R38417"/>
      <c r="S38417"/>
      <c r="T38417"/>
      <c r="U38417"/>
      <c r="X38417" s="60"/>
    </row>
    <row r="38418" spans="7:24" ht="15" customHeight="1">
      <c r="G38418"/>
      <c r="I38418"/>
      <c r="N38418"/>
      <c r="O38418" s="24"/>
      <c r="P38418"/>
      <c r="Q38418" s="24"/>
      <c r="R38418"/>
      <c r="S38418"/>
      <c r="T38418"/>
      <c r="U38418"/>
      <c r="X38418" s="60"/>
    </row>
    <row r="38419" spans="7:24" ht="15" customHeight="1">
      <c r="G38419"/>
      <c r="I38419"/>
      <c r="N38419"/>
      <c r="O38419" s="24"/>
      <c r="P38419"/>
      <c r="Q38419" s="24"/>
      <c r="R38419"/>
      <c r="S38419"/>
      <c r="T38419"/>
      <c r="U38419"/>
      <c r="X38419" s="60"/>
    </row>
    <row r="38420" spans="7:24" ht="15" customHeight="1">
      <c r="G38420"/>
      <c r="I38420"/>
      <c r="N38420"/>
      <c r="O38420" s="24"/>
      <c r="P38420"/>
      <c r="Q38420" s="24"/>
      <c r="R38420"/>
      <c r="S38420"/>
      <c r="T38420"/>
      <c r="U38420"/>
      <c r="X38420" s="60"/>
    </row>
    <row r="38421" spans="7:24" ht="15" customHeight="1">
      <c r="G38421"/>
      <c r="I38421"/>
      <c r="N38421"/>
      <c r="O38421" s="24"/>
      <c r="P38421"/>
      <c r="Q38421" s="24"/>
      <c r="R38421"/>
      <c r="S38421"/>
      <c r="T38421"/>
      <c r="U38421"/>
      <c r="X38421" s="60"/>
    </row>
    <row r="38422" spans="7:24" ht="15" customHeight="1">
      <c r="G38422"/>
      <c r="I38422"/>
      <c r="N38422"/>
      <c r="O38422" s="24"/>
      <c r="P38422"/>
      <c r="Q38422" s="24"/>
      <c r="R38422"/>
      <c r="S38422"/>
      <c r="T38422"/>
      <c r="U38422"/>
      <c r="X38422" s="60"/>
    </row>
    <row r="38423" spans="7:24" ht="15" customHeight="1">
      <c r="G38423"/>
      <c r="I38423"/>
      <c r="N38423"/>
      <c r="O38423" s="24"/>
      <c r="P38423"/>
      <c r="Q38423" s="24"/>
      <c r="R38423"/>
      <c r="S38423"/>
      <c r="T38423"/>
      <c r="U38423"/>
      <c r="X38423" s="60"/>
    </row>
    <row r="38424" spans="7:24" ht="15" customHeight="1">
      <c r="G38424"/>
      <c r="I38424"/>
      <c r="N38424"/>
      <c r="O38424" s="24"/>
      <c r="P38424"/>
      <c r="Q38424" s="24"/>
      <c r="R38424"/>
      <c r="S38424"/>
      <c r="T38424"/>
      <c r="U38424"/>
      <c r="X38424" s="60"/>
    </row>
    <row r="38425" spans="7:24" ht="15" customHeight="1">
      <c r="G38425"/>
      <c r="I38425"/>
      <c r="N38425"/>
      <c r="O38425" s="24"/>
      <c r="P38425"/>
      <c r="Q38425" s="24"/>
      <c r="R38425"/>
      <c r="S38425"/>
      <c r="T38425"/>
      <c r="U38425"/>
      <c r="X38425" s="60"/>
    </row>
    <row r="38426" spans="7:24" ht="15" customHeight="1">
      <c r="G38426"/>
      <c r="I38426"/>
      <c r="N38426"/>
      <c r="O38426" s="24"/>
      <c r="P38426"/>
      <c r="Q38426" s="24"/>
      <c r="R38426"/>
      <c r="S38426"/>
      <c r="T38426"/>
      <c r="U38426"/>
      <c r="X38426" s="60"/>
    </row>
    <row r="38427" spans="7:24" ht="15" customHeight="1">
      <c r="G38427"/>
      <c r="I38427"/>
      <c r="N38427"/>
      <c r="O38427" s="24"/>
      <c r="P38427"/>
      <c r="Q38427" s="24"/>
      <c r="R38427"/>
      <c r="S38427"/>
      <c r="T38427"/>
      <c r="U38427"/>
      <c r="X38427" s="60"/>
    </row>
    <row r="38428" spans="7:24" ht="15" customHeight="1">
      <c r="G38428"/>
      <c r="I38428"/>
      <c r="N38428"/>
      <c r="O38428" s="24"/>
      <c r="P38428"/>
      <c r="Q38428" s="24"/>
      <c r="R38428"/>
      <c r="S38428"/>
      <c r="T38428"/>
      <c r="U38428"/>
      <c r="X38428" s="60"/>
    </row>
    <row r="38429" spans="7:24" ht="15" customHeight="1">
      <c r="G38429"/>
      <c r="I38429"/>
      <c r="N38429"/>
      <c r="O38429" s="24"/>
      <c r="P38429"/>
      <c r="Q38429" s="24"/>
      <c r="R38429"/>
      <c r="S38429"/>
      <c r="T38429"/>
      <c r="U38429"/>
      <c r="X38429" s="60"/>
    </row>
    <row r="38430" spans="7:24" ht="15" customHeight="1">
      <c r="G38430"/>
      <c r="I38430"/>
      <c r="N38430"/>
      <c r="O38430" s="24"/>
      <c r="P38430"/>
      <c r="Q38430" s="24"/>
      <c r="R38430"/>
      <c r="S38430"/>
      <c r="T38430"/>
      <c r="U38430"/>
      <c r="X38430" s="60"/>
    </row>
    <row r="38431" spans="7:24" ht="15" customHeight="1">
      <c r="G38431"/>
      <c r="I38431"/>
      <c r="N38431"/>
      <c r="O38431" s="24"/>
      <c r="P38431"/>
      <c r="Q38431" s="24"/>
      <c r="R38431"/>
      <c r="S38431"/>
      <c r="T38431"/>
      <c r="U38431"/>
      <c r="X38431" s="60"/>
    </row>
    <row r="38432" spans="7:24" ht="15" customHeight="1">
      <c r="G38432"/>
      <c r="I38432"/>
      <c r="N38432"/>
      <c r="O38432" s="24"/>
      <c r="P38432"/>
      <c r="Q38432" s="24"/>
      <c r="R38432"/>
      <c r="S38432"/>
      <c r="T38432"/>
      <c r="U38432"/>
      <c r="X38432" s="60"/>
    </row>
    <row r="38433" spans="7:24" ht="15" customHeight="1">
      <c r="G38433"/>
      <c r="I38433"/>
      <c r="N38433"/>
      <c r="O38433" s="24"/>
      <c r="P38433"/>
      <c r="Q38433" s="24"/>
      <c r="R38433"/>
      <c r="S38433"/>
      <c r="T38433"/>
      <c r="U38433"/>
      <c r="X38433" s="60"/>
    </row>
    <row r="38434" spans="7:24" ht="15" customHeight="1">
      <c r="G38434"/>
      <c r="I38434"/>
      <c r="N38434"/>
      <c r="O38434" s="24"/>
      <c r="P38434"/>
      <c r="Q38434" s="24"/>
      <c r="R38434"/>
      <c r="S38434"/>
      <c r="T38434"/>
      <c r="U38434"/>
      <c r="X38434" s="60"/>
    </row>
    <row r="38435" spans="7:24" ht="15" customHeight="1">
      <c r="G38435"/>
      <c r="I38435"/>
      <c r="N38435"/>
      <c r="O38435" s="24"/>
      <c r="P38435"/>
      <c r="Q38435" s="24"/>
      <c r="R38435"/>
      <c r="S38435"/>
      <c r="T38435"/>
      <c r="U38435"/>
      <c r="X38435" s="60"/>
    </row>
    <row r="38436" spans="7:24" ht="15" customHeight="1">
      <c r="G38436"/>
      <c r="I38436"/>
      <c r="N38436"/>
      <c r="O38436" s="24"/>
      <c r="P38436"/>
      <c r="Q38436" s="24"/>
      <c r="R38436"/>
      <c r="S38436"/>
      <c r="T38436"/>
      <c r="U38436"/>
      <c r="X38436" s="60"/>
    </row>
    <row r="38437" spans="7:24" ht="15" customHeight="1">
      <c r="G38437"/>
      <c r="I38437"/>
      <c r="N38437"/>
      <c r="O38437" s="24"/>
      <c r="P38437"/>
      <c r="Q38437" s="24"/>
      <c r="R38437"/>
      <c r="S38437"/>
      <c r="T38437"/>
      <c r="U38437"/>
      <c r="X38437" s="60"/>
    </row>
    <row r="38438" spans="7:24" ht="15" customHeight="1">
      <c r="G38438"/>
      <c r="I38438"/>
      <c r="N38438"/>
      <c r="O38438" s="24"/>
      <c r="P38438"/>
      <c r="Q38438" s="24"/>
      <c r="R38438"/>
      <c r="S38438"/>
      <c r="T38438"/>
      <c r="U38438"/>
      <c r="X38438" s="60"/>
    </row>
    <row r="38439" spans="7:24" ht="15" customHeight="1">
      <c r="G38439"/>
      <c r="I38439"/>
      <c r="N38439"/>
      <c r="O38439" s="24"/>
      <c r="P38439"/>
      <c r="Q38439" s="24"/>
      <c r="R38439"/>
      <c r="S38439"/>
      <c r="T38439"/>
      <c r="U38439"/>
      <c r="X38439" s="60"/>
    </row>
    <row r="38440" spans="7:24" ht="15" customHeight="1">
      <c r="G38440"/>
      <c r="I38440"/>
      <c r="N38440"/>
      <c r="O38440" s="24"/>
      <c r="P38440"/>
      <c r="Q38440" s="24"/>
      <c r="R38440"/>
      <c r="S38440"/>
      <c r="T38440"/>
      <c r="U38440"/>
      <c r="X38440" s="60"/>
    </row>
    <row r="38441" spans="7:24" ht="15" customHeight="1">
      <c r="G38441"/>
      <c r="I38441"/>
      <c r="N38441"/>
      <c r="O38441" s="24"/>
      <c r="P38441"/>
      <c r="Q38441" s="24"/>
      <c r="R38441"/>
      <c r="S38441"/>
      <c r="T38441"/>
      <c r="U38441"/>
      <c r="X38441" s="60"/>
    </row>
    <row r="38442" spans="7:24" ht="15" customHeight="1">
      <c r="G38442"/>
      <c r="I38442"/>
      <c r="N38442"/>
      <c r="O38442" s="24"/>
      <c r="P38442"/>
      <c r="Q38442" s="24"/>
      <c r="R38442"/>
      <c r="S38442"/>
      <c r="T38442"/>
      <c r="U38442"/>
      <c r="X38442" s="60"/>
    </row>
    <row r="38443" spans="7:24" ht="15" customHeight="1">
      <c r="G38443"/>
      <c r="I38443"/>
      <c r="N38443"/>
      <c r="O38443" s="24"/>
      <c r="P38443"/>
      <c r="Q38443" s="24"/>
      <c r="R38443"/>
      <c r="S38443"/>
      <c r="T38443"/>
      <c r="U38443"/>
      <c r="X38443" s="60"/>
    </row>
    <row r="38444" spans="7:24" ht="15" customHeight="1">
      <c r="G38444"/>
      <c r="I38444"/>
      <c r="N38444"/>
      <c r="O38444" s="24"/>
      <c r="P38444"/>
      <c r="Q38444" s="24"/>
      <c r="R38444"/>
      <c r="S38444"/>
      <c r="T38444"/>
      <c r="U38444"/>
      <c r="X38444" s="60"/>
    </row>
    <row r="38445" spans="7:24" ht="15" customHeight="1">
      <c r="G38445"/>
      <c r="I38445"/>
      <c r="N38445"/>
      <c r="O38445" s="24"/>
      <c r="P38445"/>
      <c r="Q38445" s="24"/>
      <c r="R38445"/>
      <c r="S38445"/>
      <c r="T38445"/>
      <c r="U38445"/>
      <c r="X38445" s="60"/>
    </row>
    <row r="38446" spans="7:24" ht="15" customHeight="1">
      <c r="G38446"/>
      <c r="I38446"/>
      <c r="N38446"/>
      <c r="O38446" s="24"/>
      <c r="P38446"/>
      <c r="Q38446" s="24"/>
      <c r="R38446"/>
      <c r="S38446"/>
      <c r="T38446"/>
      <c r="U38446"/>
      <c r="X38446" s="60"/>
    </row>
    <row r="38447" spans="7:24" ht="15" customHeight="1">
      <c r="G38447"/>
      <c r="I38447"/>
      <c r="N38447"/>
      <c r="O38447" s="24"/>
      <c r="P38447"/>
      <c r="Q38447" s="24"/>
      <c r="R38447"/>
      <c r="S38447"/>
      <c r="T38447"/>
      <c r="U38447"/>
      <c r="X38447" s="60"/>
    </row>
    <row r="38448" spans="7:24" ht="15" customHeight="1">
      <c r="G38448"/>
      <c r="I38448"/>
      <c r="N38448"/>
      <c r="O38448" s="24"/>
      <c r="P38448"/>
      <c r="Q38448" s="24"/>
      <c r="R38448"/>
      <c r="S38448"/>
      <c r="T38448"/>
      <c r="U38448"/>
      <c r="X38448" s="60"/>
    </row>
    <row r="38449" spans="7:24" ht="15" customHeight="1">
      <c r="G38449"/>
      <c r="I38449"/>
      <c r="N38449"/>
      <c r="O38449" s="24"/>
      <c r="P38449"/>
      <c r="Q38449" s="24"/>
      <c r="R38449"/>
      <c r="S38449"/>
      <c r="T38449"/>
      <c r="U38449"/>
      <c r="X38449" s="60"/>
    </row>
    <row r="38450" spans="7:24" ht="15" customHeight="1">
      <c r="G38450"/>
      <c r="I38450"/>
      <c r="N38450"/>
      <c r="O38450" s="24"/>
      <c r="P38450"/>
      <c r="Q38450" s="24"/>
      <c r="R38450"/>
      <c r="S38450"/>
      <c r="T38450"/>
      <c r="U38450"/>
      <c r="X38450" s="60"/>
    </row>
    <row r="38451" spans="7:24" ht="15" customHeight="1">
      <c r="G38451"/>
      <c r="I38451"/>
      <c r="N38451"/>
      <c r="O38451" s="24"/>
      <c r="P38451"/>
      <c r="Q38451" s="24"/>
      <c r="R38451"/>
      <c r="S38451"/>
      <c r="T38451"/>
      <c r="U38451"/>
      <c r="X38451" s="60"/>
    </row>
    <row r="38452" spans="7:24" ht="15" customHeight="1">
      <c r="G38452"/>
      <c r="I38452"/>
      <c r="N38452"/>
      <c r="O38452" s="24"/>
      <c r="P38452"/>
      <c r="Q38452" s="24"/>
      <c r="R38452"/>
      <c r="S38452"/>
      <c r="T38452"/>
      <c r="U38452"/>
      <c r="X38452" s="60"/>
    </row>
    <row r="38453" spans="7:24" ht="15" customHeight="1">
      <c r="G38453"/>
      <c r="I38453"/>
      <c r="N38453"/>
      <c r="O38453" s="24"/>
      <c r="P38453"/>
      <c r="Q38453" s="24"/>
      <c r="R38453"/>
      <c r="S38453"/>
      <c r="T38453"/>
      <c r="U38453"/>
      <c r="X38453" s="60"/>
    </row>
    <row r="38454" spans="7:24" ht="15" customHeight="1">
      <c r="G38454"/>
      <c r="I38454"/>
      <c r="N38454"/>
      <c r="O38454" s="24"/>
      <c r="P38454"/>
      <c r="Q38454" s="24"/>
      <c r="R38454"/>
      <c r="S38454"/>
      <c r="T38454"/>
      <c r="U38454"/>
      <c r="X38454" s="60"/>
    </row>
    <row r="38455" spans="7:24" ht="15" customHeight="1">
      <c r="G38455"/>
      <c r="I38455"/>
      <c r="N38455"/>
      <c r="O38455" s="24"/>
      <c r="P38455"/>
      <c r="Q38455" s="24"/>
      <c r="R38455"/>
      <c r="S38455"/>
      <c r="T38455"/>
      <c r="U38455"/>
      <c r="X38455" s="60"/>
    </row>
    <row r="38456" spans="7:24" ht="15" customHeight="1">
      <c r="G38456"/>
      <c r="I38456"/>
      <c r="N38456"/>
      <c r="O38456" s="24"/>
      <c r="P38456"/>
      <c r="Q38456" s="24"/>
      <c r="R38456"/>
      <c r="S38456"/>
      <c r="T38456"/>
      <c r="U38456"/>
      <c r="X38456" s="60"/>
    </row>
    <row r="38457" spans="7:24" ht="15" customHeight="1">
      <c r="G38457"/>
      <c r="I38457"/>
      <c r="N38457"/>
      <c r="O38457" s="24"/>
      <c r="P38457"/>
      <c r="Q38457" s="24"/>
      <c r="R38457"/>
      <c r="S38457"/>
      <c r="T38457"/>
      <c r="U38457"/>
      <c r="X38457" s="60"/>
    </row>
    <row r="38458" spans="7:24" ht="15" customHeight="1">
      <c r="G38458"/>
      <c r="I38458"/>
      <c r="N38458"/>
      <c r="O38458" s="24"/>
      <c r="P38458"/>
      <c r="Q38458" s="24"/>
      <c r="R38458"/>
      <c r="S38458"/>
      <c r="T38458"/>
      <c r="U38458"/>
      <c r="X38458" s="60"/>
    </row>
    <row r="38459" spans="7:24" ht="15" customHeight="1">
      <c r="G38459"/>
      <c r="I38459"/>
      <c r="N38459"/>
      <c r="O38459" s="24"/>
      <c r="P38459"/>
      <c r="Q38459" s="24"/>
      <c r="R38459"/>
      <c r="S38459"/>
      <c r="T38459"/>
      <c r="U38459"/>
      <c r="X38459" s="60"/>
    </row>
    <row r="38460" spans="7:24" ht="15" customHeight="1">
      <c r="G38460"/>
      <c r="I38460"/>
      <c r="N38460"/>
      <c r="O38460" s="24"/>
      <c r="P38460"/>
      <c r="Q38460" s="24"/>
      <c r="R38460"/>
      <c r="S38460"/>
      <c r="T38460"/>
      <c r="U38460"/>
      <c r="X38460" s="60"/>
    </row>
    <row r="38461" spans="7:24" ht="15" customHeight="1">
      <c r="G38461"/>
      <c r="I38461"/>
      <c r="N38461"/>
      <c r="O38461" s="24"/>
      <c r="P38461"/>
      <c r="Q38461" s="24"/>
      <c r="R38461"/>
      <c r="S38461"/>
      <c r="T38461"/>
      <c r="U38461"/>
      <c r="X38461" s="60"/>
    </row>
    <row r="38462" spans="7:24" ht="15" customHeight="1">
      <c r="G38462"/>
      <c r="I38462"/>
      <c r="N38462"/>
      <c r="O38462" s="24"/>
      <c r="P38462"/>
      <c r="Q38462" s="24"/>
      <c r="R38462"/>
      <c r="S38462"/>
      <c r="T38462"/>
      <c r="U38462"/>
      <c r="X38462" s="60"/>
    </row>
    <row r="38463" spans="7:24" ht="15" customHeight="1">
      <c r="G38463"/>
      <c r="I38463"/>
      <c r="N38463"/>
      <c r="O38463" s="24"/>
      <c r="P38463"/>
      <c r="Q38463" s="24"/>
      <c r="R38463"/>
      <c r="S38463"/>
      <c r="T38463"/>
      <c r="U38463"/>
      <c r="X38463" s="60"/>
    </row>
    <row r="38464" spans="7:24" ht="15" customHeight="1">
      <c r="G38464"/>
      <c r="I38464"/>
      <c r="N38464"/>
      <c r="O38464" s="24"/>
      <c r="P38464"/>
      <c r="Q38464" s="24"/>
      <c r="R38464"/>
      <c r="S38464"/>
      <c r="T38464"/>
      <c r="U38464"/>
      <c r="X38464" s="60"/>
    </row>
    <row r="38465" spans="7:24" ht="15" customHeight="1">
      <c r="G38465"/>
      <c r="I38465"/>
      <c r="N38465"/>
      <c r="O38465" s="24"/>
      <c r="P38465"/>
      <c r="Q38465" s="24"/>
      <c r="R38465"/>
      <c r="S38465"/>
      <c r="T38465"/>
      <c r="U38465"/>
      <c r="X38465" s="60"/>
    </row>
    <row r="38466" spans="7:24" ht="15" customHeight="1">
      <c r="G38466"/>
      <c r="I38466"/>
      <c r="N38466"/>
      <c r="O38466" s="24"/>
      <c r="P38466"/>
      <c r="Q38466" s="24"/>
      <c r="R38466"/>
      <c r="S38466"/>
      <c r="T38466"/>
      <c r="U38466"/>
      <c r="X38466" s="60"/>
    </row>
    <row r="38467" spans="7:24" ht="15" customHeight="1">
      <c r="G38467"/>
      <c r="I38467"/>
      <c r="N38467"/>
      <c r="O38467" s="24"/>
      <c r="P38467"/>
      <c r="Q38467" s="24"/>
      <c r="R38467"/>
      <c r="S38467"/>
      <c r="T38467"/>
      <c r="U38467"/>
      <c r="X38467" s="60"/>
    </row>
    <row r="38468" spans="7:24" ht="15" customHeight="1">
      <c r="G38468"/>
      <c r="I38468"/>
      <c r="N38468"/>
      <c r="O38468" s="24"/>
      <c r="P38468"/>
      <c r="Q38468" s="24"/>
      <c r="R38468"/>
      <c r="S38468"/>
      <c r="T38468"/>
      <c r="U38468"/>
      <c r="X38468" s="60"/>
    </row>
    <row r="38469" spans="7:24" ht="15" customHeight="1">
      <c r="G38469"/>
      <c r="I38469"/>
      <c r="N38469"/>
      <c r="O38469" s="24"/>
      <c r="P38469"/>
      <c r="Q38469" s="24"/>
      <c r="R38469"/>
      <c r="S38469"/>
      <c r="T38469"/>
      <c r="U38469"/>
      <c r="X38469" s="60"/>
    </row>
    <row r="38470" spans="7:24" ht="15" customHeight="1">
      <c r="G38470"/>
      <c r="I38470"/>
      <c r="N38470"/>
      <c r="O38470" s="24"/>
      <c r="P38470"/>
      <c r="Q38470" s="24"/>
      <c r="R38470"/>
      <c r="S38470"/>
      <c r="T38470"/>
      <c r="U38470"/>
      <c r="X38470" s="60"/>
    </row>
    <row r="38471" spans="7:24" ht="15" customHeight="1">
      <c r="G38471"/>
      <c r="I38471"/>
      <c r="N38471"/>
      <c r="O38471" s="24"/>
      <c r="P38471"/>
      <c r="Q38471" s="24"/>
      <c r="R38471"/>
      <c r="S38471"/>
      <c r="T38471"/>
      <c r="U38471"/>
      <c r="X38471" s="60"/>
    </row>
    <row r="38472" spans="7:24" ht="15" customHeight="1">
      <c r="G38472"/>
      <c r="I38472"/>
      <c r="N38472"/>
      <c r="O38472" s="24"/>
      <c r="P38472"/>
      <c r="Q38472" s="24"/>
      <c r="R38472"/>
      <c r="S38472"/>
      <c r="T38472"/>
      <c r="U38472"/>
      <c r="X38472" s="60"/>
    </row>
    <row r="38473" spans="7:24" ht="15" customHeight="1">
      <c r="G38473"/>
      <c r="I38473"/>
      <c r="N38473"/>
      <c r="O38473" s="24"/>
      <c r="P38473"/>
      <c r="Q38473" s="24"/>
      <c r="R38473"/>
      <c r="S38473"/>
      <c r="T38473"/>
      <c r="U38473"/>
      <c r="X38473" s="60"/>
    </row>
    <row r="38474" spans="7:24" ht="15" customHeight="1">
      <c r="G38474"/>
      <c r="I38474"/>
      <c r="N38474"/>
      <c r="O38474" s="24"/>
      <c r="P38474"/>
      <c r="Q38474" s="24"/>
      <c r="R38474"/>
      <c r="S38474"/>
      <c r="T38474"/>
      <c r="U38474"/>
      <c r="X38474" s="60"/>
    </row>
    <row r="38475" spans="7:24" ht="15" customHeight="1">
      <c r="G38475"/>
      <c r="I38475"/>
      <c r="N38475"/>
      <c r="O38475" s="24"/>
      <c r="P38475"/>
      <c r="Q38475" s="24"/>
      <c r="R38475"/>
      <c r="S38475"/>
      <c r="T38475"/>
      <c r="U38475"/>
      <c r="X38475" s="60"/>
    </row>
    <row r="38476" spans="7:24" ht="15" customHeight="1">
      <c r="G38476"/>
      <c r="I38476"/>
      <c r="N38476"/>
      <c r="O38476" s="24"/>
      <c r="P38476"/>
      <c r="Q38476" s="24"/>
      <c r="R38476"/>
      <c r="S38476"/>
      <c r="T38476"/>
      <c r="U38476"/>
      <c r="X38476" s="60"/>
    </row>
    <row r="38477" spans="7:24" ht="15" customHeight="1">
      <c r="G38477"/>
      <c r="I38477"/>
      <c r="N38477"/>
      <c r="O38477" s="24"/>
      <c r="P38477"/>
      <c r="Q38477" s="24"/>
      <c r="R38477"/>
      <c r="S38477"/>
      <c r="T38477"/>
      <c r="U38477"/>
      <c r="X38477" s="60"/>
    </row>
    <row r="38478" spans="7:24" ht="15" customHeight="1">
      <c r="G38478"/>
      <c r="I38478"/>
      <c r="N38478"/>
      <c r="O38478" s="24"/>
      <c r="P38478"/>
      <c r="Q38478" s="24"/>
      <c r="R38478"/>
      <c r="S38478"/>
      <c r="T38478"/>
      <c r="U38478"/>
      <c r="X38478" s="60"/>
    </row>
    <row r="38479" spans="7:24" ht="15" customHeight="1">
      <c r="G38479"/>
      <c r="I38479"/>
      <c r="N38479"/>
      <c r="O38479" s="24"/>
      <c r="P38479"/>
      <c r="Q38479" s="24"/>
      <c r="R38479"/>
      <c r="S38479"/>
      <c r="T38479"/>
      <c r="U38479"/>
      <c r="X38479" s="60"/>
    </row>
    <row r="38480" spans="7:24" ht="15" customHeight="1">
      <c r="G38480"/>
      <c r="I38480"/>
      <c r="N38480"/>
      <c r="O38480" s="24"/>
      <c r="P38480"/>
      <c r="Q38480" s="24"/>
      <c r="R38480"/>
      <c r="S38480"/>
      <c r="T38480"/>
      <c r="U38480"/>
      <c r="X38480" s="60"/>
    </row>
    <row r="38481" spans="7:24" ht="15" customHeight="1">
      <c r="G38481"/>
      <c r="I38481"/>
      <c r="N38481"/>
      <c r="O38481" s="24"/>
      <c r="P38481"/>
      <c r="Q38481" s="24"/>
      <c r="R38481"/>
      <c r="S38481"/>
      <c r="T38481"/>
      <c r="U38481"/>
      <c r="X38481" s="60"/>
    </row>
    <row r="38482" spans="7:24" ht="15" customHeight="1">
      <c r="G38482"/>
      <c r="I38482"/>
      <c r="N38482"/>
      <c r="O38482" s="24"/>
      <c r="P38482"/>
      <c r="Q38482" s="24"/>
      <c r="R38482"/>
      <c r="S38482"/>
      <c r="T38482"/>
      <c r="U38482"/>
      <c r="X38482" s="60"/>
    </row>
    <row r="38483" spans="7:24" ht="15" customHeight="1">
      <c r="G38483"/>
      <c r="I38483"/>
      <c r="N38483"/>
      <c r="O38483" s="24"/>
      <c r="P38483"/>
      <c r="Q38483" s="24"/>
      <c r="R38483"/>
      <c r="S38483"/>
      <c r="T38483"/>
      <c r="U38483"/>
      <c r="X38483" s="60"/>
    </row>
    <row r="38484" spans="7:24" ht="15" customHeight="1">
      <c r="G38484"/>
      <c r="I38484"/>
      <c r="N38484"/>
      <c r="O38484" s="24"/>
      <c r="P38484"/>
      <c r="Q38484" s="24"/>
      <c r="R38484"/>
      <c r="S38484"/>
      <c r="T38484"/>
      <c r="U38484"/>
      <c r="X38484" s="60"/>
    </row>
    <row r="38485" spans="7:24" ht="15" customHeight="1">
      <c r="G38485"/>
      <c r="I38485"/>
      <c r="N38485"/>
      <c r="O38485" s="24"/>
      <c r="P38485"/>
      <c r="Q38485" s="24"/>
      <c r="R38485"/>
      <c r="S38485"/>
      <c r="T38485"/>
      <c r="U38485"/>
      <c r="X38485" s="60"/>
    </row>
    <row r="38486" spans="7:24" ht="15" customHeight="1">
      <c r="G38486"/>
      <c r="I38486"/>
      <c r="N38486"/>
      <c r="O38486" s="24"/>
      <c r="P38486"/>
      <c r="Q38486" s="24"/>
      <c r="R38486"/>
      <c r="S38486"/>
      <c r="T38486"/>
      <c r="U38486"/>
      <c r="X38486" s="60"/>
    </row>
    <row r="38487" spans="7:24" ht="15" customHeight="1">
      <c r="G38487"/>
      <c r="I38487"/>
      <c r="N38487"/>
      <c r="O38487" s="24"/>
      <c r="P38487"/>
      <c r="Q38487" s="24"/>
      <c r="R38487"/>
      <c r="S38487"/>
      <c r="T38487"/>
      <c r="U38487"/>
      <c r="X38487" s="60"/>
    </row>
    <row r="38488" spans="7:24" ht="15" customHeight="1">
      <c r="G38488"/>
      <c r="I38488"/>
      <c r="N38488"/>
      <c r="O38488" s="24"/>
      <c r="P38488"/>
      <c r="Q38488" s="24"/>
      <c r="R38488"/>
      <c r="S38488"/>
      <c r="T38488"/>
      <c r="U38488"/>
      <c r="X38488" s="60"/>
    </row>
    <row r="38489" spans="7:24" ht="15" customHeight="1">
      <c r="G38489"/>
      <c r="I38489"/>
      <c r="N38489"/>
      <c r="O38489" s="24"/>
      <c r="P38489"/>
      <c r="Q38489" s="24"/>
      <c r="R38489"/>
      <c r="S38489"/>
      <c r="T38489"/>
      <c r="U38489"/>
      <c r="X38489" s="60"/>
    </row>
    <row r="38490" spans="7:24" ht="15" customHeight="1">
      <c r="G38490"/>
      <c r="I38490"/>
      <c r="N38490"/>
      <c r="O38490" s="24"/>
      <c r="P38490"/>
      <c r="Q38490" s="24"/>
      <c r="R38490"/>
      <c r="S38490"/>
      <c r="T38490"/>
      <c r="U38490"/>
      <c r="X38490" s="60"/>
    </row>
    <row r="38491" spans="7:24" ht="15" customHeight="1">
      <c r="G38491"/>
      <c r="I38491"/>
      <c r="N38491"/>
      <c r="O38491" s="24"/>
      <c r="P38491"/>
      <c r="Q38491" s="24"/>
      <c r="R38491"/>
      <c r="S38491"/>
      <c r="T38491"/>
      <c r="U38491"/>
      <c r="X38491" s="60"/>
    </row>
    <row r="38492" spans="7:24" ht="15" customHeight="1">
      <c r="G38492"/>
      <c r="I38492"/>
      <c r="N38492"/>
      <c r="O38492" s="24"/>
      <c r="P38492"/>
      <c r="Q38492" s="24"/>
      <c r="R38492"/>
      <c r="S38492"/>
      <c r="T38492"/>
      <c r="U38492"/>
      <c r="X38492" s="60"/>
    </row>
    <row r="38493" spans="7:24" ht="15" customHeight="1">
      <c r="G38493"/>
      <c r="I38493"/>
      <c r="N38493"/>
      <c r="O38493" s="24"/>
      <c r="P38493"/>
      <c r="Q38493" s="24"/>
      <c r="R38493"/>
      <c r="S38493"/>
      <c r="T38493"/>
      <c r="U38493"/>
      <c r="X38493" s="60"/>
    </row>
    <row r="38494" spans="7:24" ht="15" customHeight="1">
      <c r="G38494"/>
      <c r="I38494"/>
      <c r="N38494"/>
      <c r="O38494" s="24"/>
      <c r="P38494"/>
      <c r="Q38494" s="24"/>
      <c r="R38494"/>
      <c r="S38494"/>
      <c r="T38494"/>
      <c r="U38494"/>
      <c r="X38494" s="60"/>
    </row>
    <row r="38495" spans="7:24" ht="15" customHeight="1">
      <c r="G38495"/>
      <c r="I38495"/>
      <c r="N38495"/>
      <c r="O38495" s="24"/>
      <c r="P38495"/>
      <c r="Q38495" s="24"/>
      <c r="R38495"/>
      <c r="S38495"/>
      <c r="T38495"/>
      <c r="U38495"/>
      <c r="X38495" s="60"/>
    </row>
    <row r="38496" spans="7:24" ht="15" customHeight="1">
      <c r="G38496"/>
      <c r="I38496"/>
      <c r="N38496"/>
      <c r="O38496" s="24"/>
      <c r="P38496"/>
      <c r="Q38496" s="24"/>
      <c r="R38496"/>
      <c r="S38496"/>
      <c r="T38496"/>
      <c r="U38496"/>
      <c r="X38496" s="60"/>
    </row>
    <row r="38497" spans="7:24" ht="15" customHeight="1">
      <c r="G38497"/>
      <c r="I38497"/>
      <c r="N38497"/>
      <c r="O38497" s="24"/>
      <c r="P38497"/>
      <c r="Q38497" s="24"/>
      <c r="R38497"/>
      <c r="S38497"/>
      <c r="T38497"/>
      <c r="U38497"/>
      <c r="X38497" s="60"/>
    </row>
    <row r="38498" spans="7:24" ht="15" customHeight="1">
      <c r="G38498"/>
      <c r="I38498"/>
      <c r="N38498"/>
      <c r="O38498" s="24"/>
      <c r="P38498"/>
      <c r="Q38498" s="24"/>
      <c r="R38498"/>
      <c r="S38498"/>
      <c r="T38498"/>
      <c r="U38498"/>
      <c r="X38498" s="60"/>
    </row>
    <row r="38499" spans="7:24" ht="15" customHeight="1">
      <c r="G38499"/>
      <c r="I38499"/>
      <c r="N38499"/>
      <c r="O38499" s="24"/>
      <c r="P38499"/>
      <c r="Q38499" s="24"/>
      <c r="R38499"/>
      <c r="S38499"/>
      <c r="T38499"/>
      <c r="U38499"/>
      <c r="X38499" s="60"/>
    </row>
    <row r="38500" spans="7:24" ht="15" customHeight="1">
      <c r="G38500"/>
      <c r="I38500"/>
      <c r="N38500"/>
      <c r="O38500" s="24"/>
      <c r="P38500"/>
      <c r="Q38500" s="24"/>
      <c r="R38500"/>
      <c r="S38500"/>
      <c r="T38500"/>
      <c r="U38500"/>
      <c r="X38500" s="60"/>
    </row>
    <row r="38501" spans="7:24" ht="15" customHeight="1">
      <c r="G38501"/>
      <c r="I38501"/>
      <c r="N38501"/>
      <c r="O38501" s="24"/>
      <c r="P38501"/>
      <c r="Q38501" s="24"/>
      <c r="R38501"/>
      <c r="S38501"/>
      <c r="T38501"/>
      <c r="U38501"/>
      <c r="X38501" s="60"/>
    </row>
    <row r="38502" spans="7:24" ht="15" customHeight="1">
      <c r="G38502"/>
      <c r="I38502"/>
      <c r="N38502"/>
      <c r="O38502" s="24"/>
      <c r="P38502"/>
      <c r="Q38502" s="24"/>
      <c r="R38502"/>
      <c r="S38502"/>
      <c r="T38502"/>
      <c r="U38502"/>
      <c r="X38502" s="60"/>
    </row>
    <row r="38503" spans="7:24" ht="15" customHeight="1">
      <c r="G38503"/>
      <c r="I38503"/>
      <c r="N38503"/>
      <c r="O38503" s="24"/>
      <c r="P38503"/>
      <c r="Q38503" s="24"/>
      <c r="R38503"/>
      <c r="S38503"/>
      <c r="T38503"/>
      <c r="U38503"/>
      <c r="X38503" s="60"/>
    </row>
    <row r="38504" spans="7:24" ht="15" customHeight="1">
      <c r="G38504"/>
      <c r="I38504"/>
      <c r="N38504"/>
      <c r="O38504" s="24"/>
      <c r="P38504"/>
      <c r="Q38504" s="24"/>
      <c r="R38504"/>
      <c r="S38504"/>
      <c r="T38504"/>
      <c r="U38504"/>
      <c r="X38504" s="60"/>
    </row>
    <row r="38505" spans="7:24" ht="15" customHeight="1">
      <c r="G38505"/>
      <c r="I38505"/>
      <c r="N38505"/>
      <c r="O38505" s="24"/>
      <c r="P38505"/>
      <c r="Q38505" s="24"/>
      <c r="R38505"/>
      <c r="S38505"/>
      <c r="T38505"/>
      <c r="U38505"/>
      <c r="X38505" s="60"/>
    </row>
    <row r="38506" spans="7:24" ht="15" customHeight="1">
      <c r="G38506"/>
      <c r="I38506"/>
      <c r="N38506"/>
      <c r="O38506" s="24"/>
      <c r="P38506"/>
      <c r="Q38506" s="24"/>
      <c r="R38506"/>
      <c r="S38506"/>
      <c r="T38506"/>
      <c r="U38506"/>
      <c r="X38506" s="60"/>
    </row>
    <row r="38507" spans="7:24" ht="15" customHeight="1">
      <c r="G38507"/>
      <c r="I38507"/>
      <c r="N38507"/>
      <c r="O38507" s="24"/>
      <c r="P38507"/>
      <c r="Q38507" s="24"/>
      <c r="R38507"/>
      <c r="S38507"/>
      <c r="T38507"/>
      <c r="U38507"/>
      <c r="X38507" s="60"/>
    </row>
    <row r="38508" spans="7:24" ht="15" customHeight="1">
      <c r="G38508"/>
      <c r="I38508"/>
      <c r="N38508"/>
      <c r="O38508" s="24"/>
      <c r="P38508"/>
      <c r="Q38508" s="24"/>
      <c r="R38508"/>
      <c r="S38508"/>
      <c r="T38508"/>
      <c r="U38508"/>
      <c r="X38508" s="60"/>
    </row>
    <row r="38509" spans="7:24" ht="15" customHeight="1">
      <c r="G38509"/>
      <c r="I38509"/>
      <c r="N38509"/>
      <c r="O38509" s="24"/>
      <c r="P38509"/>
      <c r="Q38509" s="24"/>
      <c r="R38509"/>
      <c r="S38509"/>
      <c r="T38509"/>
      <c r="U38509"/>
      <c r="X38509" s="60"/>
    </row>
    <row r="38510" spans="7:24" ht="15" customHeight="1">
      <c r="G38510"/>
      <c r="I38510"/>
      <c r="N38510"/>
      <c r="O38510" s="24"/>
      <c r="P38510"/>
      <c r="Q38510" s="24"/>
      <c r="R38510"/>
      <c r="S38510"/>
      <c r="T38510"/>
      <c r="U38510"/>
      <c r="X38510" s="60"/>
    </row>
    <row r="38511" spans="7:24" ht="15" customHeight="1">
      <c r="G38511"/>
      <c r="I38511"/>
      <c r="N38511"/>
      <c r="O38511" s="24"/>
      <c r="P38511"/>
      <c r="Q38511" s="24"/>
      <c r="R38511"/>
      <c r="S38511"/>
      <c r="T38511"/>
      <c r="U38511"/>
      <c r="X38511" s="60"/>
    </row>
    <row r="38512" spans="7:24" ht="15" customHeight="1">
      <c r="G38512"/>
      <c r="I38512"/>
      <c r="N38512"/>
      <c r="O38512" s="24"/>
      <c r="P38512"/>
      <c r="Q38512" s="24"/>
      <c r="R38512"/>
      <c r="S38512"/>
      <c r="T38512"/>
      <c r="U38512"/>
      <c r="X38512" s="60"/>
    </row>
    <row r="38513" spans="7:24" ht="15" customHeight="1">
      <c r="G38513"/>
      <c r="I38513"/>
      <c r="N38513"/>
      <c r="O38513" s="24"/>
      <c r="P38513"/>
      <c r="Q38513" s="24"/>
      <c r="R38513"/>
      <c r="S38513"/>
      <c r="T38513"/>
      <c r="U38513"/>
      <c r="X38513" s="60"/>
    </row>
    <row r="38514" spans="7:24" ht="15" customHeight="1">
      <c r="G38514"/>
      <c r="I38514"/>
      <c r="N38514"/>
      <c r="O38514" s="24"/>
      <c r="P38514"/>
      <c r="Q38514" s="24"/>
      <c r="R38514"/>
      <c r="S38514"/>
      <c r="T38514"/>
      <c r="U38514"/>
      <c r="X38514" s="60"/>
    </row>
    <row r="38515" spans="7:24" ht="15" customHeight="1">
      <c r="G38515"/>
      <c r="I38515"/>
      <c r="N38515"/>
      <c r="O38515" s="24"/>
      <c r="P38515"/>
      <c r="Q38515" s="24"/>
      <c r="R38515"/>
      <c r="S38515"/>
      <c r="T38515"/>
      <c r="U38515"/>
      <c r="X38515" s="60"/>
    </row>
    <row r="38516" spans="7:24" ht="15" customHeight="1">
      <c r="G38516"/>
      <c r="I38516"/>
      <c r="N38516"/>
      <c r="O38516" s="24"/>
      <c r="P38516"/>
      <c r="Q38516" s="24"/>
      <c r="R38516"/>
      <c r="S38516"/>
      <c r="T38516"/>
      <c r="U38516"/>
      <c r="X38516" s="60"/>
    </row>
    <row r="38517" spans="7:24" ht="15" customHeight="1">
      <c r="G38517"/>
      <c r="I38517"/>
      <c r="N38517"/>
      <c r="O38517" s="24"/>
      <c r="P38517"/>
      <c r="Q38517" s="24"/>
      <c r="R38517"/>
      <c r="S38517"/>
      <c r="T38517"/>
      <c r="U38517"/>
      <c r="X38517" s="60"/>
    </row>
    <row r="38518" spans="7:24" ht="15" customHeight="1">
      <c r="G38518"/>
      <c r="I38518"/>
      <c r="N38518"/>
      <c r="O38518" s="24"/>
      <c r="P38518"/>
      <c r="Q38518" s="24"/>
      <c r="R38518"/>
      <c r="S38518"/>
      <c r="T38518"/>
      <c r="U38518"/>
      <c r="X38518" s="60"/>
    </row>
    <row r="38519" spans="7:24" ht="15" customHeight="1">
      <c r="G38519"/>
      <c r="I38519"/>
      <c r="N38519"/>
      <c r="O38519" s="24"/>
      <c r="P38519"/>
      <c r="Q38519" s="24"/>
      <c r="R38519"/>
      <c r="S38519"/>
      <c r="T38519"/>
      <c r="U38519"/>
      <c r="X38519" s="60"/>
    </row>
    <row r="38520" spans="7:24" ht="15" customHeight="1">
      <c r="G38520"/>
      <c r="I38520"/>
      <c r="N38520"/>
      <c r="O38520" s="24"/>
      <c r="P38520"/>
      <c r="Q38520" s="24"/>
      <c r="R38520"/>
      <c r="S38520"/>
      <c r="T38520"/>
      <c r="U38520"/>
      <c r="X38520" s="60"/>
    </row>
    <row r="38521" spans="7:24" ht="15" customHeight="1">
      <c r="G38521"/>
      <c r="I38521"/>
      <c r="N38521"/>
      <c r="O38521" s="24"/>
      <c r="P38521"/>
      <c r="Q38521" s="24"/>
      <c r="R38521"/>
      <c r="S38521"/>
      <c r="T38521"/>
      <c r="U38521"/>
      <c r="X38521" s="60"/>
    </row>
    <row r="38522" spans="7:24" ht="15" customHeight="1">
      <c r="G38522"/>
      <c r="I38522"/>
      <c r="N38522"/>
      <c r="O38522" s="24"/>
      <c r="P38522"/>
      <c r="Q38522" s="24"/>
      <c r="R38522"/>
      <c r="S38522"/>
      <c r="T38522"/>
      <c r="U38522"/>
      <c r="X38522" s="60"/>
    </row>
    <row r="38523" spans="7:24" ht="15" customHeight="1">
      <c r="G38523"/>
      <c r="I38523"/>
      <c r="N38523"/>
      <c r="O38523" s="24"/>
      <c r="P38523"/>
      <c r="Q38523" s="24"/>
      <c r="R38523"/>
      <c r="S38523"/>
      <c r="T38523"/>
      <c r="U38523"/>
      <c r="X38523" s="60"/>
    </row>
    <row r="38524" spans="7:24" ht="15" customHeight="1">
      <c r="G38524"/>
      <c r="I38524"/>
      <c r="N38524"/>
      <c r="O38524" s="24"/>
      <c r="P38524"/>
      <c r="Q38524" s="24"/>
      <c r="R38524"/>
      <c r="S38524"/>
      <c r="T38524"/>
      <c r="U38524"/>
      <c r="X38524" s="60"/>
    </row>
    <row r="38525" spans="7:24" ht="15" customHeight="1">
      <c r="G38525"/>
      <c r="I38525"/>
      <c r="N38525"/>
      <c r="O38525" s="24"/>
      <c r="P38525"/>
      <c r="Q38525" s="24"/>
      <c r="R38525"/>
      <c r="S38525"/>
      <c r="T38525"/>
      <c r="U38525"/>
      <c r="X38525" s="60"/>
    </row>
    <row r="38526" spans="7:24" ht="15" customHeight="1">
      <c r="G38526"/>
      <c r="I38526"/>
      <c r="N38526"/>
      <c r="O38526" s="24"/>
      <c r="P38526"/>
      <c r="Q38526" s="24"/>
      <c r="R38526"/>
      <c r="S38526"/>
      <c r="T38526"/>
      <c r="U38526"/>
      <c r="X38526" s="60"/>
    </row>
    <row r="38527" spans="7:24" ht="15" customHeight="1">
      <c r="G38527"/>
      <c r="I38527"/>
      <c r="N38527"/>
      <c r="O38527" s="24"/>
      <c r="P38527"/>
      <c r="Q38527" s="24"/>
      <c r="R38527"/>
      <c r="S38527"/>
      <c r="T38527"/>
      <c r="U38527"/>
      <c r="X38527" s="60"/>
    </row>
    <row r="38528" spans="7:24" ht="15" customHeight="1">
      <c r="G38528"/>
      <c r="I38528"/>
      <c r="N38528"/>
      <c r="O38528" s="24"/>
      <c r="P38528"/>
      <c r="Q38528" s="24"/>
      <c r="R38528"/>
      <c r="S38528"/>
      <c r="T38528"/>
      <c r="U38528"/>
      <c r="X38528" s="60"/>
    </row>
    <row r="38529" spans="7:24" ht="15" customHeight="1">
      <c r="G38529"/>
      <c r="I38529"/>
      <c r="N38529"/>
      <c r="O38529" s="24"/>
      <c r="P38529"/>
      <c r="Q38529" s="24"/>
      <c r="R38529"/>
      <c r="S38529"/>
      <c r="T38529"/>
      <c r="U38529"/>
      <c r="X38529" s="60"/>
    </row>
    <row r="38530" spans="7:24" ht="15" customHeight="1">
      <c r="G38530"/>
      <c r="I38530"/>
      <c r="N38530"/>
      <c r="O38530" s="24"/>
      <c r="P38530"/>
      <c r="Q38530" s="24"/>
      <c r="R38530"/>
      <c r="S38530"/>
      <c r="T38530"/>
      <c r="U38530"/>
      <c r="X38530" s="60"/>
    </row>
    <row r="38531" spans="7:24" ht="15" customHeight="1">
      <c r="G38531"/>
      <c r="I38531"/>
      <c r="N38531"/>
      <c r="O38531" s="24"/>
      <c r="P38531"/>
      <c r="Q38531" s="24"/>
      <c r="R38531"/>
      <c r="S38531"/>
      <c r="T38531"/>
      <c r="U38531"/>
      <c r="X38531" s="60"/>
    </row>
    <row r="38532" spans="7:24" ht="15" customHeight="1">
      <c r="G38532"/>
      <c r="I38532"/>
      <c r="N38532"/>
      <c r="O38532" s="24"/>
      <c r="P38532"/>
      <c r="Q38532" s="24"/>
      <c r="R38532"/>
      <c r="S38532"/>
      <c r="T38532"/>
      <c r="U38532"/>
      <c r="X38532" s="60"/>
    </row>
    <row r="38533" spans="7:24" ht="15" customHeight="1">
      <c r="G38533"/>
      <c r="I38533"/>
      <c r="N38533"/>
      <c r="O38533" s="24"/>
      <c r="P38533"/>
      <c r="Q38533" s="24"/>
      <c r="R38533"/>
      <c r="S38533"/>
      <c r="T38533"/>
      <c r="U38533"/>
      <c r="X38533" s="60"/>
    </row>
    <row r="38534" spans="7:24" ht="15" customHeight="1">
      <c r="G38534"/>
      <c r="I38534"/>
      <c r="N38534"/>
      <c r="O38534" s="24"/>
      <c r="P38534"/>
      <c r="Q38534" s="24"/>
      <c r="R38534"/>
      <c r="S38534"/>
      <c r="T38534"/>
      <c r="U38534"/>
      <c r="X38534" s="60"/>
    </row>
    <row r="38535" spans="7:24" ht="15" customHeight="1">
      <c r="G38535"/>
      <c r="I38535"/>
      <c r="N38535"/>
      <c r="O38535" s="24"/>
      <c r="P38535"/>
      <c r="Q38535" s="24"/>
      <c r="R38535"/>
      <c r="S38535"/>
      <c r="T38535"/>
      <c r="U38535"/>
      <c r="X38535" s="60"/>
    </row>
    <row r="38536" spans="7:24" ht="15" customHeight="1">
      <c r="G38536"/>
      <c r="I38536"/>
      <c r="N38536"/>
      <c r="O38536" s="24"/>
      <c r="P38536"/>
      <c r="Q38536" s="24"/>
      <c r="R38536"/>
      <c r="S38536"/>
      <c r="T38536"/>
      <c r="U38536"/>
      <c r="X38536" s="60"/>
    </row>
    <row r="38537" spans="7:24" ht="15" customHeight="1">
      <c r="G38537"/>
      <c r="I38537"/>
      <c r="N38537"/>
      <c r="O38537" s="24"/>
      <c r="P38537"/>
      <c r="Q38537" s="24"/>
      <c r="R38537"/>
      <c r="S38537"/>
      <c r="T38537"/>
      <c r="U38537"/>
      <c r="X38537" s="60"/>
    </row>
    <row r="38538" spans="7:24" ht="15" customHeight="1">
      <c r="G38538"/>
      <c r="I38538"/>
      <c r="N38538"/>
      <c r="O38538" s="24"/>
      <c r="P38538"/>
      <c r="Q38538" s="24"/>
      <c r="R38538"/>
      <c r="S38538"/>
      <c r="T38538"/>
      <c r="U38538"/>
      <c r="X38538" s="60"/>
    </row>
    <row r="38539" spans="7:24" ht="15" customHeight="1">
      <c r="G38539"/>
      <c r="I38539"/>
      <c r="N38539"/>
      <c r="O38539" s="24"/>
      <c r="P38539"/>
      <c r="Q38539" s="24"/>
      <c r="R38539"/>
      <c r="S38539"/>
      <c r="T38539"/>
      <c r="U38539"/>
      <c r="X38539" s="60"/>
    </row>
    <row r="38540" spans="7:24" ht="15" customHeight="1">
      <c r="G38540"/>
      <c r="I38540"/>
      <c r="N38540"/>
      <c r="O38540" s="24"/>
      <c r="P38540"/>
      <c r="Q38540" s="24"/>
      <c r="R38540"/>
      <c r="S38540"/>
      <c r="T38540"/>
      <c r="U38540"/>
      <c r="X38540" s="60"/>
    </row>
    <row r="38541" spans="7:24" ht="15" customHeight="1">
      <c r="G38541"/>
      <c r="I38541"/>
      <c r="N38541"/>
      <c r="O38541" s="24"/>
      <c r="P38541"/>
      <c r="Q38541" s="24"/>
      <c r="R38541"/>
      <c r="S38541"/>
      <c r="T38541"/>
      <c r="U38541"/>
      <c r="X38541" s="60"/>
    </row>
    <row r="38542" spans="7:24" ht="15" customHeight="1">
      <c r="G38542"/>
      <c r="I38542"/>
      <c r="N38542"/>
      <c r="O38542" s="24"/>
      <c r="P38542"/>
      <c r="Q38542" s="24"/>
      <c r="R38542"/>
      <c r="S38542"/>
      <c r="T38542"/>
      <c r="U38542"/>
      <c r="X38542" s="60"/>
    </row>
    <row r="38543" spans="7:24" ht="15" customHeight="1">
      <c r="G38543"/>
      <c r="I38543"/>
      <c r="N38543"/>
      <c r="O38543" s="24"/>
      <c r="P38543"/>
      <c r="Q38543" s="24"/>
      <c r="R38543"/>
      <c r="S38543"/>
      <c r="T38543"/>
      <c r="U38543"/>
      <c r="X38543" s="60"/>
    </row>
    <row r="38544" spans="7:24" ht="15" customHeight="1">
      <c r="G38544"/>
      <c r="I38544"/>
      <c r="N38544"/>
      <c r="O38544" s="24"/>
      <c r="P38544"/>
      <c r="Q38544" s="24"/>
      <c r="R38544"/>
      <c r="S38544"/>
      <c r="T38544"/>
      <c r="U38544"/>
      <c r="X38544" s="60"/>
    </row>
    <row r="38545" spans="7:24" ht="15" customHeight="1">
      <c r="G38545"/>
      <c r="I38545"/>
      <c r="N38545"/>
      <c r="O38545" s="24"/>
      <c r="P38545"/>
      <c r="Q38545" s="24"/>
      <c r="R38545"/>
      <c r="S38545"/>
      <c r="T38545"/>
      <c r="U38545"/>
      <c r="X38545" s="60"/>
    </row>
    <row r="38546" spans="7:24" ht="15" customHeight="1">
      <c r="G38546"/>
      <c r="I38546"/>
      <c r="N38546"/>
      <c r="O38546" s="24"/>
      <c r="P38546"/>
      <c r="Q38546" s="24"/>
      <c r="R38546"/>
      <c r="S38546"/>
      <c r="T38546"/>
      <c r="U38546"/>
      <c r="X38546" s="60"/>
    </row>
    <row r="38547" spans="7:24" ht="15" customHeight="1">
      <c r="G38547"/>
      <c r="I38547"/>
      <c r="N38547"/>
      <c r="O38547" s="24"/>
      <c r="P38547"/>
      <c r="Q38547" s="24"/>
      <c r="R38547"/>
      <c r="S38547"/>
      <c r="T38547"/>
      <c r="U38547"/>
      <c r="X38547" s="60"/>
    </row>
    <row r="38548" spans="7:24" ht="15" customHeight="1">
      <c r="G38548"/>
      <c r="I38548"/>
      <c r="N38548"/>
      <c r="O38548" s="24"/>
      <c r="P38548"/>
      <c r="Q38548" s="24"/>
      <c r="R38548"/>
      <c r="S38548"/>
      <c r="T38548"/>
      <c r="U38548"/>
      <c r="X38548" s="60"/>
    </row>
    <row r="38549" spans="7:24" ht="15" customHeight="1">
      <c r="G38549"/>
      <c r="I38549"/>
      <c r="N38549"/>
      <c r="O38549" s="24"/>
      <c r="P38549"/>
      <c r="Q38549" s="24"/>
      <c r="R38549"/>
      <c r="S38549"/>
      <c r="T38549"/>
      <c r="U38549"/>
      <c r="X38549" s="60"/>
    </row>
    <row r="38550" spans="7:24" ht="15" customHeight="1">
      <c r="G38550"/>
      <c r="I38550"/>
      <c r="N38550"/>
      <c r="O38550" s="24"/>
      <c r="P38550"/>
      <c r="Q38550" s="24"/>
      <c r="R38550"/>
      <c r="S38550"/>
      <c r="T38550"/>
      <c r="U38550"/>
      <c r="X38550" s="60"/>
    </row>
    <row r="38551" spans="7:24" ht="15" customHeight="1">
      <c r="G38551"/>
      <c r="I38551"/>
      <c r="N38551"/>
      <c r="O38551" s="24"/>
      <c r="P38551"/>
      <c r="Q38551" s="24"/>
      <c r="R38551"/>
      <c r="S38551"/>
      <c r="T38551"/>
      <c r="U38551"/>
      <c r="X38551" s="60"/>
    </row>
    <row r="38552" spans="7:24" ht="15" customHeight="1">
      <c r="G38552"/>
      <c r="I38552"/>
      <c r="N38552"/>
      <c r="O38552" s="24"/>
      <c r="P38552"/>
      <c r="Q38552" s="24"/>
      <c r="R38552"/>
      <c r="S38552"/>
      <c r="T38552"/>
      <c r="U38552"/>
      <c r="X38552" s="60"/>
    </row>
    <row r="38553" spans="7:24" ht="15" customHeight="1">
      <c r="G38553"/>
      <c r="I38553"/>
      <c r="N38553"/>
      <c r="O38553" s="24"/>
      <c r="P38553"/>
      <c r="Q38553" s="24"/>
      <c r="R38553"/>
      <c r="S38553"/>
      <c r="T38553"/>
      <c r="U38553"/>
      <c r="X38553" s="60"/>
    </row>
    <row r="38554" spans="7:24" ht="15" customHeight="1">
      <c r="G38554"/>
      <c r="I38554"/>
      <c r="N38554"/>
      <c r="O38554" s="24"/>
      <c r="P38554"/>
      <c r="Q38554" s="24"/>
      <c r="R38554"/>
      <c r="S38554"/>
      <c r="T38554"/>
      <c r="U38554"/>
      <c r="X38554" s="60"/>
    </row>
    <row r="38555" spans="7:24" ht="15" customHeight="1">
      <c r="G38555"/>
      <c r="I38555"/>
      <c r="N38555"/>
      <c r="O38555" s="24"/>
      <c r="P38555"/>
      <c r="Q38555" s="24"/>
      <c r="R38555"/>
      <c r="S38555"/>
      <c r="T38555"/>
      <c r="U38555"/>
      <c r="X38555" s="60"/>
    </row>
    <row r="38556" spans="7:24" ht="15" customHeight="1">
      <c r="G38556"/>
      <c r="I38556"/>
      <c r="N38556"/>
      <c r="O38556" s="24"/>
      <c r="P38556"/>
      <c r="Q38556" s="24"/>
      <c r="R38556"/>
      <c r="S38556"/>
      <c r="T38556"/>
      <c r="U38556"/>
      <c r="X38556" s="60"/>
    </row>
    <row r="38557" spans="7:24" ht="15" customHeight="1">
      <c r="G38557"/>
      <c r="I38557"/>
      <c r="N38557"/>
      <c r="O38557" s="24"/>
      <c r="P38557"/>
      <c r="Q38557" s="24"/>
      <c r="R38557"/>
      <c r="S38557"/>
      <c r="T38557"/>
      <c r="U38557"/>
      <c r="X38557" s="60"/>
    </row>
    <row r="38558" spans="7:24" ht="15" customHeight="1">
      <c r="G38558"/>
      <c r="I38558"/>
      <c r="N38558"/>
      <c r="O38558" s="24"/>
      <c r="P38558"/>
      <c r="Q38558" s="24"/>
      <c r="R38558"/>
      <c r="S38558"/>
      <c r="T38558"/>
      <c r="U38558"/>
      <c r="X38558" s="60"/>
    </row>
    <row r="38559" spans="7:24" ht="15" customHeight="1">
      <c r="G38559"/>
      <c r="I38559"/>
      <c r="N38559"/>
      <c r="O38559" s="24"/>
      <c r="P38559"/>
      <c r="Q38559" s="24"/>
      <c r="R38559"/>
      <c r="S38559"/>
      <c r="T38559"/>
      <c r="U38559"/>
      <c r="X38559" s="60"/>
    </row>
    <row r="38560" spans="7:24" ht="15" customHeight="1">
      <c r="G38560"/>
      <c r="I38560"/>
      <c r="N38560"/>
      <c r="O38560" s="24"/>
      <c r="P38560"/>
      <c r="Q38560" s="24"/>
      <c r="R38560"/>
      <c r="S38560"/>
      <c r="T38560"/>
      <c r="U38560"/>
      <c r="X38560" s="60"/>
    </row>
    <row r="38561" spans="7:24" ht="15" customHeight="1">
      <c r="G38561"/>
      <c r="I38561"/>
      <c r="N38561"/>
      <c r="O38561" s="24"/>
      <c r="P38561"/>
      <c r="Q38561" s="24"/>
      <c r="R38561"/>
      <c r="S38561"/>
      <c r="T38561"/>
      <c r="U38561"/>
      <c r="X38561" s="60"/>
    </row>
    <row r="38562" spans="7:24" ht="15" customHeight="1">
      <c r="G38562"/>
      <c r="I38562"/>
      <c r="N38562"/>
      <c r="O38562" s="24"/>
      <c r="P38562"/>
      <c r="Q38562" s="24"/>
      <c r="R38562"/>
      <c r="S38562"/>
      <c r="T38562"/>
      <c r="U38562"/>
      <c r="X38562" s="60"/>
    </row>
    <row r="38563" spans="7:24" ht="15" customHeight="1">
      <c r="G38563"/>
      <c r="I38563"/>
      <c r="N38563"/>
      <c r="O38563" s="24"/>
      <c r="P38563"/>
      <c r="Q38563" s="24"/>
      <c r="R38563"/>
      <c r="S38563"/>
      <c r="T38563"/>
      <c r="U38563"/>
      <c r="X38563" s="60"/>
    </row>
    <row r="38564" spans="7:24" ht="15" customHeight="1">
      <c r="G38564"/>
      <c r="I38564"/>
      <c r="N38564"/>
      <c r="O38564" s="24"/>
      <c r="P38564"/>
      <c r="Q38564" s="24"/>
      <c r="R38564"/>
      <c r="S38564"/>
      <c r="T38564"/>
      <c r="U38564"/>
      <c r="X38564" s="60"/>
    </row>
    <row r="38565" spans="7:24" ht="15" customHeight="1">
      <c r="G38565"/>
      <c r="I38565"/>
      <c r="N38565"/>
      <c r="O38565" s="24"/>
      <c r="P38565"/>
      <c r="Q38565" s="24"/>
      <c r="R38565"/>
      <c r="S38565"/>
      <c r="T38565"/>
      <c r="U38565"/>
      <c r="X38565" s="60"/>
    </row>
    <row r="38566" spans="7:24" ht="15" customHeight="1">
      <c r="G38566"/>
      <c r="I38566"/>
      <c r="N38566"/>
      <c r="O38566" s="24"/>
      <c r="P38566"/>
      <c r="Q38566" s="24"/>
      <c r="R38566"/>
      <c r="S38566"/>
      <c r="T38566"/>
      <c r="U38566"/>
      <c r="X38566" s="60"/>
    </row>
    <row r="38567" spans="7:24" ht="15" customHeight="1">
      <c r="G38567"/>
      <c r="I38567"/>
      <c r="N38567"/>
      <c r="O38567" s="24"/>
      <c r="P38567"/>
      <c r="Q38567" s="24"/>
      <c r="R38567"/>
      <c r="S38567"/>
      <c r="T38567"/>
      <c r="U38567"/>
      <c r="X38567" s="60"/>
    </row>
    <row r="38568" spans="7:24" ht="15" customHeight="1">
      <c r="G38568"/>
      <c r="I38568"/>
      <c r="N38568"/>
      <c r="O38568" s="24"/>
      <c r="P38568"/>
      <c r="Q38568" s="24"/>
      <c r="R38568"/>
      <c r="S38568"/>
      <c r="T38568"/>
      <c r="U38568"/>
      <c r="X38568" s="60"/>
    </row>
    <row r="38569" spans="7:24" ht="15" customHeight="1">
      <c r="G38569"/>
      <c r="I38569"/>
      <c r="N38569"/>
      <c r="O38569" s="24"/>
      <c r="P38569"/>
      <c r="Q38569" s="24"/>
      <c r="R38569"/>
      <c r="S38569"/>
      <c r="T38569"/>
      <c r="U38569"/>
      <c r="X38569" s="60"/>
    </row>
    <row r="38570" spans="7:24" ht="15" customHeight="1">
      <c r="G38570"/>
      <c r="I38570"/>
      <c r="N38570"/>
      <c r="O38570" s="24"/>
      <c r="P38570"/>
      <c r="Q38570" s="24"/>
      <c r="R38570"/>
      <c r="S38570"/>
      <c r="T38570"/>
      <c r="U38570"/>
      <c r="X38570" s="60"/>
    </row>
    <row r="38571" spans="7:24" ht="15" customHeight="1">
      <c r="G38571"/>
      <c r="I38571"/>
      <c r="N38571"/>
      <c r="O38571" s="24"/>
      <c r="P38571"/>
      <c r="Q38571" s="24"/>
      <c r="R38571"/>
      <c r="S38571"/>
      <c r="T38571"/>
      <c r="U38571"/>
      <c r="X38571" s="60"/>
    </row>
    <row r="38572" spans="7:24" ht="15" customHeight="1">
      <c r="G38572"/>
      <c r="I38572"/>
      <c r="N38572"/>
      <c r="O38572" s="24"/>
      <c r="P38572"/>
      <c r="Q38572" s="24"/>
      <c r="R38572"/>
      <c r="S38572"/>
      <c r="T38572"/>
      <c r="U38572"/>
      <c r="X38572" s="60"/>
    </row>
    <row r="38573" spans="7:24" ht="15" customHeight="1">
      <c r="G38573"/>
      <c r="I38573"/>
      <c r="N38573"/>
      <c r="O38573" s="24"/>
      <c r="P38573"/>
      <c r="Q38573" s="24"/>
      <c r="R38573"/>
      <c r="S38573"/>
      <c r="T38573"/>
      <c r="U38573"/>
      <c r="X38573" s="60"/>
    </row>
    <row r="38574" spans="7:24" ht="15" customHeight="1">
      <c r="G38574"/>
      <c r="I38574"/>
      <c r="N38574"/>
      <c r="O38574" s="24"/>
      <c r="P38574"/>
      <c r="Q38574" s="24"/>
      <c r="R38574"/>
      <c r="S38574"/>
      <c r="T38574"/>
      <c r="U38574"/>
      <c r="X38574" s="60"/>
    </row>
    <row r="38575" spans="7:24" ht="15" customHeight="1">
      <c r="G38575"/>
      <c r="I38575"/>
      <c r="N38575"/>
      <c r="O38575" s="24"/>
      <c r="P38575"/>
      <c r="Q38575" s="24"/>
      <c r="R38575"/>
      <c r="S38575"/>
      <c r="T38575"/>
      <c r="U38575"/>
      <c r="X38575" s="60"/>
    </row>
    <row r="38576" spans="7:24" ht="15" customHeight="1">
      <c r="G38576"/>
      <c r="I38576"/>
      <c r="N38576"/>
      <c r="O38576" s="24"/>
      <c r="P38576"/>
      <c r="Q38576" s="24"/>
      <c r="R38576"/>
      <c r="S38576"/>
      <c r="T38576"/>
      <c r="U38576"/>
      <c r="X38576" s="60"/>
    </row>
    <row r="38577" spans="7:24" ht="15" customHeight="1">
      <c r="G38577"/>
      <c r="I38577"/>
      <c r="N38577"/>
      <c r="O38577" s="24"/>
      <c r="P38577"/>
      <c r="Q38577" s="24"/>
      <c r="R38577"/>
      <c r="S38577"/>
      <c r="T38577"/>
      <c r="U38577"/>
      <c r="X38577" s="60"/>
    </row>
    <row r="38578" spans="7:24" ht="15" customHeight="1">
      <c r="G38578"/>
      <c r="I38578"/>
      <c r="N38578"/>
      <c r="O38578" s="24"/>
      <c r="P38578"/>
      <c r="Q38578" s="24"/>
      <c r="R38578"/>
      <c r="S38578"/>
      <c r="T38578"/>
      <c r="U38578"/>
      <c r="X38578" s="60"/>
    </row>
    <row r="38579" spans="7:24" ht="15" customHeight="1">
      <c r="G38579"/>
      <c r="I38579"/>
      <c r="N38579"/>
      <c r="O38579" s="24"/>
      <c r="P38579"/>
      <c r="Q38579" s="24"/>
      <c r="R38579"/>
      <c r="S38579"/>
      <c r="T38579"/>
      <c r="U38579"/>
      <c r="X38579" s="60"/>
    </row>
    <row r="38580" spans="7:24" ht="15" customHeight="1">
      <c r="G38580"/>
      <c r="I38580"/>
      <c r="N38580"/>
      <c r="O38580" s="24"/>
      <c r="P38580"/>
      <c r="Q38580" s="24"/>
      <c r="R38580"/>
      <c r="S38580"/>
      <c r="T38580"/>
      <c r="U38580"/>
      <c r="X38580" s="60"/>
    </row>
    <row r="38581" spans="7:24" ht="15" customHeight="1">
      <c r="G38581"/>
      <c r="I38581"/>
      <c r="N38581"/>
      <c r="O38581" s="24"/>
      <c r="P38581"/>
      <c r="Q38581" s="24"/>
      <c r="R38581"/>
      <c r="S38581"/>
      <c r="T38581"/>
      <c r="U38581"/>
      <c r="X38581" s="60"/>
    </row>
    <row r="38582" spans="7:24" ht="15" customHeight="1">
      <c r="G38582"/>
      <c r="I38582"/>
      <c r="N38582"/>
      <c r="O38582" s="24"/>
      <c r="P38582"/>
      <c r="Q38582" s="24"/>
      <c r="R38582"/>
      <c r="S38582"/>
      <c r="T38582"/>
      <c r="U38582"/>
      <c r="X38582" s="60"/>
    </row>
    <row r="38583" spans="7:24" ht="15" customHeight="1">
      <c r="G38583"/>
      <c r="I38583"/>
      <c r="N38583"/>
      <c r="O38583" s="24"/>
      <c r="P38583"/>
      <c r="Q38583" s="24"/>
      <c r="R38583"/>
      <c r="S38583"/>
      <c r="T38583"/>
      <c r="U38583"/>
      <c r="X38583" s="60"/>
    </row>
    <row r="38584" spans="7:24" ht="15" customHeight="1">
      <c r="G38584"/>
      <c r="I38584"/>
      <c r="N38584"/>
      <c r="O38584" s="24"/>
      <c r="P38584"/>
      <c r="Q38584" s="24"/>
      <c r="R38584"/>
      <c r="S38584"/>
      <c r="T38584"/>
      <c r="U38584"/>
      <c r="X38584" s="60"/>
    </row>
    <row r="38585" spans="7:24" ht="15" customHeight="1">
      <c r="G38585"/>
      <c r="I38585"/>
      <c r="N38585"/>
      <c r="O38585" s="24"/>
      <c r="P38585"/>
      <c r="Q38585" s="24"/>
      <c r="R38585"/>
      <c r="S38585"/>
      <c r="T38585"/>
      <c r="U38585"/>
      <c r="X38585" s="60"/>
    </row>
    <row r="38586" spans="7:24" ht="15" customHeight="1">
      <c r="G38586"/>
      <c r="I38586"/>
      <c r="N38586"/>
      <c r="O38586" s="24"/>
      <c r="P38586"/>
      <c r="Q38586" s="24"/>
      <c r="R38586"/>
      <c r="S38586"/>
      <c r="T38586"/>
      <c r="U38586"/>
      <c r="X38586" s="60"/>
    </row>
    <row r="38587" spans="7:24" ht="15" customHeight="1">
      <c r="G38587"/>
      <c r="I38587"/>
      <c r="N38587"/>
      <c r="O38587" s="24"/>
      <c r="P38587"/>
      <c r="Q38587" s="24"/>
      <c r="R38587"/>
      <c r="S38587"/>
      <c r="T38587"/>
      <c r="U38587"/>
      <c r="X38587" s="60"/>
    </row>
    <row r="38588" spans="7:24" ht="15" customHeight="1">
      <c r="G38588"/>
      <c r="I38588"/>
      <c r="N38588"/>
      <c r="O38588" s="24"/>
      <c r="P38588"/>
      <c r="Q38588" s="24"/>
      <c r="R38588"/>
      <c r="S38588"/>
      <c r="T38588"/>
      <c r="U38588"/>
      <c r="X38588" s="60"/>
    </row>
    <row r="38589" spans="7:24" ht="15" customHeight="1">
      <c r="G38589"/>
      <c r="I38589"/>
      <c r="N38589"/>
      <c r="O38589" s="24"/>
      <c r="P38589"/>
      <c r="Q38589" s="24"/>
      <c r="R38589"/>
      <c r="S38589"/>
      <c r="T38589"/>
      <c r="U38589"/>
      <c r="X38589" s="60"/>
    </row>
    <row r="38590" spans="7:24" ht="15" customHeight="1">
      <c r="G38590"/>
      <c r="I38590"/>
      <c r="N38590"/>
      <c r="O38590" s="24"/>
      <c r="P38590"/>
      <c r="Q38590" s="24"/>
      <c r="R38590"/>
      <c r="S38590"/>
      <c r="T38590"/>
      <c r="U38590"/>
      <c r="X38590" s="60"/>
    </row>
    <row r="38591" spans="7:24" ht="15" customHeight="1">
      <c r="G38591"/>
      <c r="I38591"/>
      <c r="N38591"/>
      <c r="O38591" s="24"/>
      <c r="P38591"/>
      <c r="Q38591" s="24"/>
      <c r="R38591"/>
      <c r="S38591"/>
      <c r="T38591"/>
      <c r="U38591"/>
      <c r="X38591" s="60"/>
    </row>
    <row r="38592" spans="7:24" ht="15" customHeight="1">
      <c r="G38592"/>
      <c r="I38592"/>
      <c r="N38592"/>
      <c r="O38592" s="24"/>
      <c r="P38592"/>
      <c r="Q38592" s="24"/>
      <c r="R38592"/>
      <c r="S38592"/>
      <c r="T38592"/>
      <c r="U38592"/>
      <c r="X38592" s="60"/>
    </row>
    <row r="38593" spans="7:24" ht="15" customHeight="1">
      <c r="G38593"/>
      <c r="I38593"/>
      <c r="N38593"/>
      <c r="O38593" s="24"/>
      <c r="P38593"/>
      <c r="Q38593" s="24"/>
      <c r="R38593"/>
      <c r="S38593"/>
      <c r="T38593"/>
      <c r="U38593"/>
      <c r="X38593" s="60"/>
    </row>
    <row r="38594" spans="7:24" ht="15" customHeight="1">
      <c r="G38594"/>
      <c r="I38594"/>
      <c r="N38594"/>
      <c r="O38594" s="24"/>
      <c r="P38594"/>
      <c r="Q38594" s="24"/>
      <c r="R38594"/>
      <c r="S38594"/>
      <c r="T38594"/>
      <c r="U38594"/>
      <c r="X38594" s="60"/>
    </row>
    <row r="38595" spans="7:24" ht="15" customHeight="1">
      <c r="G38595"/>
      <c r="I38595"/>
      <c r="N38595"/>
      <c r="O38595" s="24"/>
      <c r="P38595"/>
      <c r="Q38595" s="24"/>
      <c r="R38595"/>
      <c r="S38595"/>
      <c r="T38595"/>
      <c r="U38595"/>
      <c r="X38595" s="60"/>
    </row>
    <row r="38596" spans="7:24" ht="15" customHeight="1">
      <c r="G38596"/>
      <c r="I38596"/>
      <c r="N38596"/>
      <c r="O38596" s="24"/>
      <c r="P38596"/>
      <c r="Q38596" s="24"/>
      <c r="R38596"/>
      <c r="S38596"/>
      <c r="T38596"/>
      <c r="U38596"/>
      <c r="X38596" s="60"/>
    </row>
    <row r="38597" spans="7:24" ht="15" customHeight="1">
      <c r="G38597"/>
      <c r="I38597"/>
      <c r="N38597"/>
      <c r="O38597" s="24"/>
      <c r="P38597"/>
      <c r="Q38597" s="24"/>
      <c r="R38597"/>
      <c r="S38597"/>
      <c r="T38597"/>
      <c r="U38597"/>
      <c r="X38597" s="60"/>
    </row>
    <row r="38598" spans="7:24" ht="15" customHeight="1">
      <c r="G38598"/>
      <c r="I38598"/>
      <c r="N38598"/>
      <c r="O38598" s="24"/>
      <c r="P38598"/>
      <c r="Q38598" s="24"/>
      <c r="R38598"/>
      <c r="S38598"/>
      <c r="T38598"/>
      <c r="U38598"/>
      <c r="X38598" s="60"/>
    </row>
    <row r="38599" spans="7:24" ht="15" customHeight="1">
      <c r="G38599"/>
      <c r="I38599"/>
      <c r="N38599"/>
      <c r="O38599" s="24"/>
      <c r="P38599"/>
      <c r="Q38599" s="24"/>
      <c r="R38599"/>
      <c r="S38599"/>
      <c r="T38599"/>
      <c r="U38599"/>
      <c r="X38599" s="60"/>
    </row>
    <row r="38600" spans="7:24" ht="15" customHeight="1">
      <c r="G38600"/>
      <c r="I38600"/>
      <c r="N38600"/>
      <c r="O38600" s="24"/>
      <c r="P38600"/>
      <c r="Q38600" s="24"/>
      <c r="R38600"/>
      <c r="S38600"/>
      <c r="T38600"/>
      <c r="U38600"/>
      <c r="X38600" s="60"/>
    </row>
    <row r="38601" spans="7:24" ht="15" customHeight="1">
      <c r="G38601"/>
      <c r="I38601"/>
      <c r="N38601"/>
      <c r="O38601" s="24"/>
      <c r="P38601"/>
      <c r="Q38601" s="24"/>
      <c r="R38601"/>
      <c r="S38601"/>
      <c r="T38601"/>
      <c r="U38601"/>
      <c r="X38601" s="60"/>
    </row>
    <row r="38602" spans="7:24" ht="15" customHeight="1">
      <c r="G38602"/>
      <c r="I38602"/>
      <c r="N38602"/>
      <c r="O38602" s="24"/>
      <c r="P38602"/>
      <c r="Q38602" s="24"/>
      <c r="R38602"/>
      <c r="S38602"/>
      <c r="T38602"/>
      <c r="U38602"/>
      <c r="X38602" s="60"/>
    </row>
    <row r="38603" spans="7:24" ht="15" customHeight="1">
      <c r="G38603"/>
      <c r="I38603"/>
      <c r="N38603"/>
      <c r="O38603" s="24"/>
      <c r="P38603"/>
      <c r="Q38603" s="24"/>
      <c r="R38603"/>
      <c r="S38603"/>
      <c r="T38603"/>
      <c r="U38603"/>
      <c r="X38603" s="60"/>
    </row>
    <row r="38604" spans="7:24" ht="15" customHeight="1">
      <c r="G38604"/>
      <c r="I38604"/>
      <c r="N38604"/>
      <c r="O38604" s="24"/>
      <c r="P38604"/>
      <c r="Q38604" s="24"/>
      <c r="R38604"/>
      <c r="S38604"/>
      <c r="T38604"/>
      <c r="U38604"/>
      <c r="X38604" s="60"/>
    </row>
    <row r="38605" spans="7:24" ht="15" customHeight="1">
      <c r="G38605"/>
      <c r="I38605"/>
      <c r="N38605"/>
      <c r="O38605" s="24"/>
      <c r="P38605"/>
      <c r="Q38605" s="24"/>
      <c r="R38605"/>
      <c r="S38605"/>
      <c r="T38605"/>
      <c r="U38605"/>
      <c r="X38605" s="60"/>
    </row>
    <row r="38606" spans="7:24" ht="15" customHeight="1">
      <c r="G38606"/>
      <c r="I38606"/>
      <c r="N38606"/>
      <c r="O38606" s="24"/>
      <c r="P38606"/>
      <c r="Q38606" s="24"/>
      <c r="R38606"/>
      <c r="S38606"/>
      <c r="T38606"/>
      <c r="U38606"/>
      <c r="X38606" s="60"/>
    </row>
    <row r="38607" spans="7:24" ht="15" customHeight="1">
      <c r="G38607"/>
      <c r="I38607"/>
      <c r="N38607"/>
      <c r="O38607" s="24"/>
      <c r="P38607"/>
      <c r="Q38607" s="24"/>
      <c r="R38607"/>
      <c r="S38607"/>
      <c r="T38607"/>
      <c r="U38607"/>
      <c r="X38607" s="60"/>
    </row>
    <row r="38608" spans="7:24" ht="15" customHeight="1">
      <c r="G38608"/>
      <c r="I38608"/>
      <c r="N38608"/>
      <c r="O38608" s="24"/>
      <c r="P38608"/>
      <c r="Q38608" s="24"/>
      <c r="R38608"/>
      <c r="S38608"/>
      <c r="T38608"/>
      <c r="U38608"/>
      <c r="X38608" s="60"/>
    </row>
    <row r="38609" spans="7:24" ht="15" customHeight="1">
      <c r="G38609"/>
      <c r="I38609"/>
      <c r="N38609"/>
      <c r="O38609" s="24"/>
      <c r="P38609"/>
      <c r="Q38609" s="24"/>
      <c r="R38609"/>
      <c r="S38609"/>
      <c r="T38609"/>
      <c r="U38609"/>
      <c r="X38609" s="60"/>
    </row>
    <row r="38610" spans="7:24" ht="15" customHeight="1">
      <c r="G38610"/>
      <c r="I38610"/>
      <c r="N38610"/>
      <c r="O38610" s="24"/>
      <c r="P38610"/>
      <c r="Q38610" s="24"/>
      <c r="R38610"/>
      <c r="S38610"/>
      <c r="T38610"/>
      <c r="U38610"/>
      <c r="X38610" s="60"/>
    </row>
    <row r="38611" spans="7:24" ht="15" customHeight="1">
      <c r="G38611"/>
      <c r="I38611"/>
      <c r="N38611"/>
      <c r="O38611" s="24"/>
      <c r="P38611"/>
      <c r="Q38611" s="24"/>
      <c r="R38611"/>
      <c r="S38611"/>
      <c r="T38611"/>
      <c r="U38611"/>
      <c r="X38611" s="60"/>
    </row>
    <row r="38612" spans="7:24" ht="15" customHeight="1">
      <c r="G38612"/>
      <c r="I38612"/>
      <c r="N38612"/>
      <c r="O38612" s="24"/>
      <c r="P38612"/>
      <c r="Q38612" s="24"/>
      <c r="R38612"/>
      <c r="S38612"/>
      <c r="T38612"/>
      <c r="U38612"/>
      <c r="X38612" s="60"/>
    </row>
    <row r="38613" spans="7:24" ht="15" customHeight="1">
      <c r="G38613"/>
      <c r="I38613"/>
      <c r="N38613"/>
      <c r="O38613" s="24"/>
      <c r="P38613"/>
      <c r="Q38613" s="24"/>
      <c r="R38613"/>
      <c r="S38613"/>
      <c r="T38613"/>
      <c r="U38613"/>
      <c r="X38613" s="60"/>
    </row>
    <row r="38614" spans="7:24" ht="15" customHeight="1">
      <c r="G38614"/>
      <c r="I38614"/>
      <c r="N38614"/>
      <c r="O38614" s="24"/>
      <c r="P38614"/>
      <c r="Q38614" s="24"/>
      <c r="R38614"/>
      <c r="S38614"/>
      <c r="T38614"/>
      <c r="U38614"/>
      <c r="X38614" s="60"/>
    </row>
    <row r="38615" spans="7:24" ht="15" customHeight="1">
      <c r="G38615"/>
      <c r="I38615"/>
      <c r="N38615"/>
      <c r="O38615" s="24"/>
      <c r="P38615"/>
      <c r="Q38615" s="24"/>
      <c r="R38615"/>
      <c r="S38615"/>
      <c r="T38615"/>
      <c r="U38615"/>
      <c r="X38615" s="60"/>
    </row>
    <row r="38616" spans="7:24" ht="15" customHeight="1">
      <c r="G38616"/>
      <c r="I38616"/>
      <c r="N38616"/>
      <c r="O38616" s="24"/>
      <c r="P38616"/>
      <c r="Q38616" s="24"/>
      <c r="R38616"/>
      <c r="S38616"/>
      <c r="T38616"/>
      <c r="U38616"/>
      <c r="X38616" s="60"/>
    </row>
    <row r="38617" spans="7:24" ht="15" customHeight="1">
      <c r="G38617"/>
      <c r="I38617"/>
      <c r="N38617"/>
      <c r="O38617" s="24"/>
      <c r="P38617"/>
      <c r="Q38617" s="24"/>
      <c r="R38617"/>
      <c r="S38617"/>
      <c r="T38617"/>
      <c r="U38617"/>
      <c r="X38617" s="60"/>
    </row>
    <row r="38618" spans="7:24" ht="15" customHeight="1">
      <c r="G38618"/>
      <c r="I38618"/>
      <c r="N38618"/>
      <c r="O38618" s="24"/>
      <c r="P38618"/>
      <c r="Q38618" s="24"/>
      <c r="R38618"/>
      <c r="S38618"/>
      <c r="T38618"/>
      <c r="U38618"/>
      <c r="X38618" s="60"/>
    </row>
    <row r="38619" spans="7:24" ht="15" customHeight="1">
      <c r="G38619"/>
      <c r="I38619"/>
      <c r="N38619"/>
      <c r="O38619" s="24"/>
      <c r="P38619"/>
      <c r="Q38619" s="24"/>
      <c r="R38619"/>
      <c r="S38619"/>
      <c r="T38619"/>
      <c r="U38619"/>
      <c r="X38619" s="60"/>
    </row>
    <row r="38620" spans="7:24" ht="15" customHeight="1">
      <c r="G38620"/>
      <c r="I38620"/>
      <c r="N38620"/>
      <c r="O38620" s="24"/>
      <c r="P38620"/>
      <c r="Q38620" s="24"/>
      <c r="R38620"/>
      <c r="S38620"/>
      <c r="T38620"/>
      <c r="U38620"/>
      <c r="X38620" s="60"/>
    </row>
    <row r="38621" spans="7:24" ht="15" customHeight="1">
      <c r="G38621"/>
      <c r="I38621"/>
      <c r="N38621"/>
      <c r="O38621" s="24"/>
      <c r="P38621"/>
      <c r="Q38621" s="24"/>
      <c r="R38621"/>
      <c r="S38621"/>
      <c r="T38621"/>
      <c r="U38621"/>
      <c r="X38621" s="60"/>
    </row>
    <row r="38622" spans="7:24" ht="15" customHeight="1">
      <c r="G38622"/>
      <c r="I38622"/>
      <c r="N38622"/>
      <c r="O38622" s="24"/>
      <c r="P38622"/>
      <c r="Q38622" s="24"/>
      <c r="R38622"/>
      <c r="S38622"/>
      <c r="T38622"/>
      <c r="U38622"/>
      <c r="X38622" s="60"/>
    </row>
    <row r="38623" spans="7:24" ht="15" customHeight="1">
      <c r="G38623"/>
      <c r="I38623"/>
      <c r="N38623"/>
      <c r="O38623" s="24"/>
      <c r="P38623"/>
      <c r="Q38623" s="24"/>
      <c r="R38623"/>
      <c r="S38623"/>
      <c r="T38623"/>
      <c r="U38623"/>
      <c r="X38623" s="60"/>
    </row>
    <row r="38624" spans="7:24" ht="15" customHeight="1">
      <c r="G38624"/>
      <c r="I38624"/>
      <c r="N38624"/>
      <c r="O38624" s="24"/>
      <c r="P38624"/>
      <c r="Q38624" s="24"/>
      <c r="R38624"/>
      <c r="S38624"/>
      <c r="T38624"/>
      <c r="U38624"/>
      <c r="X38624" s="60"/>
    </row>
    <row r="38625" spans="7:24" ht="15" customHeight="1">
      <c r="G38625"/>
      <c r="I38625"/>
      <c r="N38625"/>
      <c r="O38625" s="24"/>
      <c r="P38625"/>
      <c r="Q38625" s="24"/>
      <c r="R38625"/>
      <c r="S38625"/>
      <c r="T38625"/>
      <c r="U38625"/>
      <c r="X38625" s="60"/>
    </row>
    <row r="38626" spans="7:24" ht="15" customHeight="1">
      <c r="G38626"/>
      <c r="I38626"/>
      <c r="N38626"/>
      <c r="O38626" s="24"/>
      <c r="P38626"/>
      <c r="Q38626" s="24"/>
      <c r="R38626"/>
      <c r="S38626"/>
      <c r="T38626"/>
      <c r="U38626"/>
      <c r="X38626" s="60"/>
    </row>
    <row r="38627" spans="7:24" ht="15" customHeight="1">
      <c r="G38627"/>
      <c r="I38627"/>
      <c r="N38627"/>
      <c r="O38627" s="24"/>
      <c r="P38627"/>
      <c r="Q38627" s="24"/>
      <c r="R38627"/>
      <c r="S38627"/>
      <c r="T38627"/>
      <c r="U38627"/>
      <c r="X38627" s="60"/>
    </row>
    <row r="38628" spans="7:24" ht="15" customHeight="1">
      <c r="G38628"/>
      <c r="I38628"/>
      <c r="N38628"/>
      <c r="O38628" s="24"/>
      <c r="P38628"/>
      <c r="Q38628" s="24"/>
      <c r="R38628"/>
      <c r="S38628"/>
      <c r="T38628"/>
      <c r="U38628"/>
      <c r="X38628" s="60"/>
    </row>
    <row r="38629" spans="7:24" ht="15" customHeight="1">
      <c r="G38629"/>
      <c r="I38629"/>
      <c r="N38629"/>
      <c r="O38629" s="24"/>
      <c r="P38629"/>
      <c r="Q38629" s="24"/>
      <c r="R38629"/>
      <c r="S38629"/>
      <c r="T38629"/>
      <c r="U38629"/>
      <c r="X38629" s="60"/>
    </row>
    <row r="38630" spans="7:24" ht="15" customHeight="1">
      <c r="G38630"/>
      <c r="I38630"/>
      <c r="N38630"/>
      <c r="O38630" s="24"/>
      <c r="P38630"/>
      <c r="Q38630" s="24"/>
      <c r="R38630"/>
      <c r="S38630"/>
      <c r="T38630"/>
      <c r="U38630"/>
      <c r="X38630" s="60"/>
    </row>
    <row r="38631" spans="7:24" ht="15" customHeight="1">
      <c r="G38631"/>
      <c r="I38631"/>
      <c r="N38631"/>
      <c r="O38631" s="24"/>
      <c r="P38631"/>
      <c r="Q38631" s="24"/>
      <c r="R38631"/>
      <c r="S38631"/>
      <c r="T38631"/>
      <c r="U38631"/>
      <c r="X38631" s="60"/>
    </row>
    <row r="38632" spans="7:24" ht="15" customHeight="1">
      <c r="G38632"/>
      <c r="I38632"/>
      <c r="N38632"/>
      <c r="O38632" s="24"/>
      <c r="P38632"/>
      <c r="Q38632" s="24"/>
      <c r="R38632"/>
      <c r="S38632"/>
      <c r="T38632"/>
      <c r="U38632"/>
      <c r="X38632" s="60"/>
    </row>
    <row r="38633" spans="7:24" ht="15" customHeight="1">
      <c r="G38633"/>
      <c r="I38633"/>
      <c r="N38633"/>
      <c r="O38633" s="24"/>
      <c r="P38633"/>
      <c r="Q38633" s="24"/>
      <c r="R38633"/>
      <c r="S38633"/>
      <c r="T38633"/>
      <c r="U38633"/>
      <c r="X38633" s="60"/>
    </row>
    <row r="38634" spans="7:24" ht="15" customHeight="1">
      <c r="G38634"/>
      <c r="I38634"/>
      <c r="N38634"/>
      <c r="O38634" s="24"/>
      <c r="P38634"/>
      <c r="Q38634" s="24"/>
      <c r="R38634"/>
      <c r="S38634"/>
      <c r="T38634"/>
      <c r="U38634"/>
      <c r="X38634" s="60"/>
    </row>
    <row r="38635" spans="7:24" ht="15" customHeight="1">
      <c r="G38635"/>
      <c r="I38635"/>
      <c r="N38635"/>
      <c r="O38635" s="24"/>
      <c r="P38635"/>
      <c r="Q38635" s="24"/>
      <c r="R38635"/>
      <c r="S38635"/>
      <c r="T38635"/>
      <c r="U38635"/>
      <c r="X38635" s="60"/>
    </row>
    <row r="38636" spans="7:24" ht="15" customHeight="1">
      <c r="G38636"/>
      <c r="I38636"/>
      <c r="N38636"/>
      <c r="O38636" s="24"/>
      <c r="P38636"/>
      <c r="Q38636" s="24"/>
      <c r="R38636"/>
      <c r="S38636"/>
      <c r="T38636"/>
      <c r="U38636"/>
      <c r="X38636" s="60"/>
    </row>
    <row r="38637" spans="7:24" ht="15" customHeight="1">
      <c r="G38637"/>
      <c r="I38637"/>
      <c r="N38637"/>
      <c r="O38637" s="24"/>
      <c r="P38637"/>
      <c r="Q38637" s="24"/>
      <c r="R38637"/>
      <c r="S38637"/>
      <c r="T38637"/>
      <c r="U38637"/>
      <c r="X38637" s="60"/>
    </row>
    <row r="38638" spans="7:24" ht="15" customHeight="1">
      <c r="G38638"/>
      <c r="I38638"/>
      <c r="N38638"/>
      <c r="O38638" s="24"/>
      <c r="P38638"/>
      <c r="Q38638" s="24"/>
      <c r="R38638"/>
      <c r="S38638"/>
      <c r="T38638"/>
      <c r="U38638"/>
      <c r="X38638" s="60"/>
    </row>
    <row r="38639" spans="7:24" ht="15" customHeight="1">
      <c r="G38639"/>
      <c r="I38639"/>
      <c r="N38639"/>
      <c r="O38639" s="24"/>
      <c r="P38639"/>
      <c r="Q38639" s="24"/>
      <c r="R38639"/>
      <c r="S38639"/>
      <c r="T38639"/>
      <c r="U38639"/>
      <c r="X38639" s="60"/>
    </row>
    <row r="38640" spans="7:24" ht="15" customHeight="1">
      <c r="G38640"/>
      <c r="I38640"/>
      <c r="N38640"/>
      <c r="O38640" s="24"/>
      <c r="P38640"/>
      <c r="Q38640" s="24"/>
      <c r="R38640"/>
      <c r="S38640"/>
      <c r="T38640"/>
      <c r="U38640"/>
      <c r="X38640" s="60"/>
    </row>
    <row r="38641" spans="7:24" ht="15" customHeight="1">
      <c r="G38641"/>
      <c r="I38641"/>
      <c r="N38641"/>
      <c r="O38641" s="24"/>
      <c r="P38641"/>
      <c r="Q38641" s="24"/>
      <c r="R38641"/>
      <c r="S38641"/>
      <c r="T38641"/>
      <c r="U38641"/>
      <c r="X38641" s="60"/>
    </row>
    <row r="38642" spans="7:24" ht="15" customHeight="1">
      <c r="G38642"/>
      <c r="I38642"/>
      <c r="N38642"/>
      <c r="O38642" s="24"/>
      <c r="P38642"/>
      <c r="Q38642" s="24"/>
      <c r="R38642"/>
      <c r="S38642"/>
      <c r="T38642"/>
      <c r="U38642"/>
      <c r="X38642" s="60"/>
    </row>
    <row r="38643" spans="7:24" ht="15" customHeight="1">
      <c r="G38643"/>
      <c r="I38643"/>
      <c r="N38643"/>
      <c r="O38643" s="24"/>
      <c r="P38643"/>
      <c r="Q38643" s="24"/>
      <c r="R38643"/>
      <c r="S38643"/>
      <c r="T38643"/>
      <c r="U38643"/>
      <c r="X38643" s="60"/>
    </row>
    <row r="38644" spans="7:24" ht="15" customHeight="1">
      <c r="G38644"/>
      <c r="I38644"/>
      <c r="N38644"/>
      <c r="O38644" s="24"/>
      <c r="P38644"/>
      <c r="Q38644" s="24"/>
      <c r="R38644"/>
      <c r="S38644"/>
      <c r="T38644"/>
      <c r="U38644"/>
      <c r="X38644" s="60"/>
    </row>
    <row r="38645" spans="7:24" ht="15" customHeight="1">
      <c r="G38645"/>
      <c r="I38645"/>
      <c r="N38645"/>
      <c r="O38645" s="24"/>
      <c r="P38645"/>
      <c r="Q38645" s="24"/>
      <c r="R38645"/>
      <c r="S38645"/>
      <c r="T38645"/>
      <c r="U38645"/>
      <c r="X38645" s="60"/>
    </row>
    <row r="38646" spans="7:24" ht="15" customHeight="1">
      <c r="G38646"/>
      <c r="I38646"/>
      <c r="N38646"/>
      <c r="O38646" s="24"/>
      <c r="P38646"/>
      <c r="Q38646" s="24"/>
      <c r="R38646"/>
      <c r="S38646"/>
      <c r="T38646"/>
      <c r="U38646"/>
      <c r="X38646" s="60"/>
    </row>
    <row r="38647" spans="7:24" ht="15" customHeight="1">
      <c r="G38647"/>
      <c r="I38647"/>
      <c r="N38647"/>
      <c r="O38647" s="24"/>
      <c r="P38647"/>
      <c r="Q38647" s="24"/>
      <c r="R38647"/>
      <c r="S38647"/>
      <c r="T38647"/>
      <c r="U38647"/>
      <c r="X38647" s="60"/>
    </row>
    <row r="38648" spans="7:24" ht="15" customHeight="1">
      <c r="G38648"/>
      <c r="I38648"/>
      <c r="N38648"/>
      <c r="O38648" s="24"/>
      <c r="P38648"/>
      <c r="Q38648" s="24"/>
      <c r="R38648"/>
      <c r="S38648"/>
      <c r="T38648"/>
      <c r="U38648"/>
      <c r="X38648" s="60"/>
    </row>
    <row r="38649" spans="7:24" ht="15" customHeight="1">
      <c r="G38649"/>
      <c r="I38649"/>
      <c r="N38649"/>
      <c r="O38649" s="24"/>
      <c r="P38649"/>
      <c r="Q38649" s="24"/>
      <c r="R38649"/>
      <c r="S38649"/>
      <c r="T38649"/>
      <c r="U38649"/>
      <c r="X38649" s="60"/>
    </row>
    <row r="38650" spans="7:24" ht="15" customHeight="1">
      <c r="G38650"/>
      <c r="I38650"/>
      <c r="N38650"/>
      <c r="O38650" s="24"/>
      <c r="P38650"/>
      <c r="Q38650" s="24"/>
      <c r="R38650"/>
      <c r="S38650"/>
      <c r="T38650"/>
      <c r="U38650"/>
      <c r="X38650" s="60"/>
    </row>
    <row r="38651" spans="7:24" ht="15" customHeight="1">
      <c r="G38651"/>
      <c r="I38651"/>
      <c r="N38651"/>
      <c r="O38651" s="24"/>
      <c r="P38651"/>
      <c r="Q38651" s="24"/>
      <c r="R38651"/>
      <c r="S38651"/>
      <c r="T38651"/>
      <c r="U38651"/>
      <c r="X38651" s="60"/>
    </row>
    <row r="38652" spans="7:24" ht="15" customHeight="1">
      <c r="G38652"/>
      <c r="I38652"/>
      <c r="N38652"/>
      <c r="O38652" s="24"/>
      <c r="P38652"/>
      <c r="Q38652" s="24"/>
      <c r="R38652"/>
      <c r="S38652"/>
      <c r="T38652"/>
      <c r="U38652"/>
      <c r="X38652" s="60"/>
    </row>
    <row r="38653" spans="7:24" ht="15" customHeight="1">
      <c r="G38653"/>
      <c r="I38653"/>
      <c r="N38653"/>
      <c r="O38653" s="24"/>
      <c r="P38653"/>
      <c r="Q38653" s="24"/>
      <c r="R38653"/>
      <c r="S38653"/>
      <c r="T38653"/>
      <c r="U38653"/>
      <c r="X38653" s="60"/>
    </row>
    <row r="38654" spans="7:24" ht="15" customHeight="1">
      <c r="G38654"/>
      <c r="I38654"/>
      <c r="N38654"/>
      <c r="O38654" s="24"/>
      <c r="P38654"/>
      <c r="Q38654" s="24"/>
      <c r="R38654"/>
      <c r="S38654"/>
      <c r="T38654"/>
      <c r="U38654"/>
      <c r="X38654" s="60"/>
    </row>
    <row r="38655" spans="7:24" ht="15" customHeight="1">
      <c r="G38655"/>
      <c r="I38655"/>
      <c r="N38655"/>
      <c r="O38655" s="24"/>
      <c r="P38655"/>
      <c r="Q38655" s="24"/>
      <c r="R38655"/>
      <c r="S38655"/>
      <c r="T38655"/>
      <c r="U38655"/>
      <c r="X38655" s="60"/>
    </row>
    <row r="38656" spans="7:24" ht="15" customHeight="1">
      <c r="G38656"/>
      <c r="I38656"/>
      <c r="N38656"/>
      <c r="O38656" s="24"/>
      <c r="P38656"/>
      <c r="Q38656" s="24"/>
      <c r="R38656"/>
      <c r="S38656"/>
      <c r="T38656"/>
      <c r="U38656"/>
      <c r="X38656" s="60"/>
    </row>
    <row r="38657" spans="7:24" ht="15" customHeight="1">
      <c r="G38657"/>
      <c r="I38657"/>
      <c r="N38657"/>
      <c r="O38657" s="24"/>
      <c r="P38657"/>
      <c r="Q38657" s="24"/>
      <c r="R38657"/>
      <c r="S38657"/>
      <c r="T38657"/>
      <c r="U38657"/>
      <c r="X38657" s="60"/>
    </row>
    <row r="38658" spans="7:24" ht="15" customHeight="1">
      <c r="G38658"/>
      <c r="I38658"/>
      <c r="N38658"/>
      <c r="O38658" s="24"/>
      <c r="P38658"/>
      <c r="Q38658" s="24"/>
      <c r="R38658"/>
      <c r="S38658"/>
      <c r="T38658"/>
      <c r="U38658"/>
      <c r="X38658" s="60"/>
    </row>
    <row r="38659" spans="7:24" ht="15" customHeight="1">
      <c r="G38659"/>
      <c r="I38659"/>
      <c r="N38659"/>
      <c r="O38659" s="24"/>
      <c r="P38659"/>
      <c r="Q38659" s="24"/>
      <c r="R38659"/>
      <c r="S38659"/>
      <c r="T38659"/>
      <c r="U38659"/>
      <c r="X38659" s="60"/>
    </row>
    <row r="38660" spans="7:24" ht="15" customHeight="1">
      <c r="G38660"/>
      <c r="I38660"/>
      <c r="N38660"/>
      <c r="O38660" s="24"/>
      <c r="P38660"/>
      <c r="Q38660" s="24"/>
      <c r="R38660"/>
      <c r="S38660"/>
      <c r="T38660"/>
      <c r="U38660"/>
      <c r="X38660" s="60"/>
    </row>
    <row r="38661" spans="7:24" ht="15" customHeight="1">
      <c r="G38661"/>
      <c r="I38661"/>
      <c r="N38661"/>
      <c r="O38661" s="24"/>
      <c r="P38661"/>
      <c r="Q38661" s="24"/>
      <c r="R38661"/>
      <c r="S38661"/>
      <c r="T38661"/>
      <c r="U38661"/>
      <c r="X38661" s="60"/>
    </row>
    <row r="38662" spans="7:24" ht="15" customHeight="1">
      <c r="G38662"/>
      <c r="I38662"/>
      <c r="N38662"/>
      <c r="O38662" s="24"/>
      <c r="P38662"/>
      <c r="Q38662" s="24"/>
      <c r="R38662"/>
      <c r="S38662"/>
      <c r="T38662"/>
      <c r="U38662"/>
      <c r="X38662" s="60"/>
    </row>
    <row r="38663" spans="7:24" ht="15" customHeight="1">
      <c r="G38663"/>
      <c r="I38663"/>
      <c r="N38663"/>
      <c r="O38663" s="24"/>
      <c r="P38663"/>
      <c r="Q38663" s="24"/>
      <c r="R38663"/>
      <c r="S38663"/>
      <c r="T38663"/>
      <c r="U38663"/>
      <c r="X38663" s="60"/>
    </row>
    <row r="38664" spans="7:24" ht="15" customHeight="1">
      <c r="G38664"/>
      <c r="I38664"/>
      <c r="N38664"/>
      <c r="O38664" s="24"/>
      <c r="P38664"/>
      <c r="Q38664" s="24"/>
      <c r="R38664"/>
      <c r="S38664"/>
      <c r="T38664"/>
      <c r="U38664"/>
      <c r="X38664" s="60"/>
    </row>
    <row r="38665" spans="7:24" ht="15" customHeight="1">
      <c r="G38665"/>
      <c r="I38665"/>
      <c r="N38665"/>
      <c r="O38665" s="24"/>
      <c r="P38665"/>
      <c r="Q38665" s="24"/>
      <c r="R38665"/>
      <c r="S38665"/>
      <c r="T38665"/>
      <c r="U38665"/>
      <c r="X38665" s="60"/>
    </row>
    <row r="38666" spans="7:24" ht="15" customHeight="1">
      <c r="G38666"/>
      <c r="I38666"/>
      <c r="N38666"/>
      <c r="O38666" s="24"/>
      <c r="P38666"/>
      <c r="Q38666" s="24"/>
      <c r="R38666"/>
      <c r="S38666"/>
      <c r="T38666"/>
      <c r="U38666"/>
      <c r="X38666" s="60"/>
    </row>
    <row r="38667" spans="7:24" ht="15" customHeight="1">
      <c r="G38667"/>
      <c r="I38667"/>
      <c r="N38667"/>
      <c r="O38667" s="24"/>
      <c r="P38667"/>
      <c r="Q38667" s="24"/>
      <c r="R38667"/>
      <c r="S38667"/>
      <c r="T38667"/>
      <c r="U38667"/>
      <c r="X38667" s="60"/>
    </row>
    <row r="38668" spans="7:24" ht="15" customHeight="1">
      <c r="G38668"/>
      <c r="I38668"/>
      <c r="N38668"/>
      <c r="O38668" s="24"/>
      <c r="P38668"/>
      <c r="Q38668" s="24"/>
      <c r="R38668"/>
      <c r="S38668"/>
      <c r="T38668"/>
      <c r="U38668"/>
      <c r="X38668" s="60"/>
    </row>
    <row r="38669" spans="7:24" ht="15" customHeight="1">
      <c r="G38669"/>
      <c r="I38669"/>
      <c r="N38669"/>
      <c r="O38669" s="24"/>
      <c r="P38669"/>
      <c r="Q38669" s="24"/>
      <c r="R38669"/>
      <c r="S38669"/>
      <c r="T38669"/>
      <c r="U38669"/>
      <c r="X38669" s="60"/>
    </row>
    <row r="38670" spans="7:24" ht="15" customHeight="1">
      <c r="G38670"/>
      <c r="I38670"/>
      <c r="N38670"/>
      <c r="O38670" s="24"/>
      <c r="P38670"/>
      <c r="Q38670" s="24"/>
      <c r="R38670"/>
      <c r="S38670"/>
      <c r="T38670"/>
      <c r="U38670"/>
      <c r="X38670" s="60"/>
    </row>
    <row r="38671" spans="7:24" ht="15" customHeight="1">
      <c r="G38671"/>
      <c r="I38671"/>
      <c r="N38671"/>
      <c r="O38671" s="24"/>
      <c r="P38671"/>
      <c r="Q38671" s="24"/>
      <c r="R38671"/>
      <c r="S38671"/>
      <c r="T38671"/>
      <c r="U38671"/>
      <c r="X38671" s="60"/>
    </row>
    <row r="38672" spans="7:24" ht="15" customHeight="1">
      <c r="G38672"/>
      <c r="I38672"/>
      <c r="N38672"/>
      <c r="O38672" s="24"/>
      <c r="P38672"/>
      <c r="Q38672" s="24"/>
      <c r="R38672"/>
      <c r="S38672"/>
      <c r="T38672"/>
      <c r="U38672"/>
      <c r="X38672" s="60"/>
    </row>
    <row r="38673" spans="7:24" ht="15" customHeight="1">
      <c r="G38673"/>
      <c r="I38673"/>
      <c r="N38673"/>
      <c r="O38673" s="24"/>
      <c r="P38673"/>
      <c r="Q38673" s="24"/>
      <c r="R38673"/>
      <c r="S38673"/>
      <c r="T38673"/>
      <c r="U38673"/>
      <c r="X38673" s="60"/>
    </row>
    <row r="38674" spans="7:24" ht="15" customHeight="1">
      <c r="G38674"/>
      <c r="I38674"/>
      <c r="N38674"/>
      <c r="O38674" s="24"/>
      <c r="P38674"/>
      <c r="Q38674" s="24"/>
      <c r="R38674"/>
      <c r="S38674"/>
      <c r="T38674"/>
      <c r="U38674"/>
      <c r="X38674" s="60"/>
    </row>
    <row r="38675" spans="7:24" ht="15" customHeight="1">
      <c r="G38675"/>
      <c r="I38675"/>
      <c r="N38675"/>
      <c r="O38675" s="24"/>
      <c r="P38675"/>
      <c r="Q38675" s="24"/>
      <c r="R38675"/>
      <c r="S38675"/>
      <c r="T38675"/>
      <c r="U38675"/>
      <c r="X38675" s="60"/>
    </row>
    <row r="38676" spans="7:24" ht="15" customHeight="1">
      <c r="G38676"/>
      <c r="I38676"/>
      <c r="N38676"/>
      <c r="O38676" s="24"/>
      <c r="P38676"/>
      <c r="Q38676" s="24"/>
      <c r="R38676"/>
      <c r="S38676"/>
      <c r="T38676"/>
      <c r="U38676"/>
      <c r="X38676" s="60"/>
    </row>
    <row r="38677" spans="7:24" ht="15" customHeight="1">
      <c r="G38677"/>
      <c r="I38677"/>
      <c r="N38677"/>
      <c r="O38677" s="24"/>
      <c r="P38677"/>
      <c r="Q38677" s="24"/>
      <c r="R38677"/>
      <c r="S38677"/>
      <c r="T38677"/>
      <c r="U38677"/>
      <c r="X38677" s="60"/>
    </row>
    <row r="38678" spans="7:24" ht="15" customHeight="1">
      <c r="G38678"/>
      <c r="I38678"/>
      <c r="N38678"/>
      <c r="O38678" s="24"/>
      <c r="P38678"/>
      <c r="Q38678" s="24"/>
      <c r="R38678"/>
      <c r="S38678"/>
      <c r="T38678"/>
      <c r="U38678"/>
      <c r="X38678" s="60"/>
    </row>
    <row r="38679" spans="7:24" ht="15" customHeight="1">
      <c r="G38679"/>
      <c r="I38679"/>
      <c r="N38679"/>
      <c r="O38679" s="24"/>
      <c r="P38679"/>
      <c r="Q38679" s="24"/>
      <c r="R38679"/>
      <c r="S38679"/>
      <c r="T38679"/>
      <c r="U38679"/>
      <c r="X38679" s="60"/>
    </row>
    <row r="38680" spans="7:24" ht="15" customHeight="1">
      <c r="G38680"/>
      <c r="I38680"/>
      <c r="N38680"/>
      <c r="O38680" s="24"/>
      <c r="P38680"/>
      <c r="Q38680" s="24"/>
      <c r="R38680"/>
      <c r="S38680"/>
      <c r="T38680"/>
      <c r="U38680"/>
      <c r="X38680" s="60"/>
    </row>
    <row r="38681" spans="7:24" ht="15" customHeight="1">
      <c r="G38681"/>
      <c r="I38681"/>
      <c r="N38681"/>
      <c r="O38681" s="24"/>
      <c r="P38681"/>
      <c r="Q38681" s="24"/>
      <c r="R38681"/>
      <c r="S38681"/>
      <c r="T38681"/>
      <c r="U38681"/>
      <c r="X38681" s="60"/>
    </row>
    <row r="38682" spans="7:24" ht="15" customHeight="1">
      <c r="G38682"/>
      <c r="I38682"/>
      <c r="N38682"/>
      <c r="O38682" s="24"/>
      <c r="P38682"/>
      <c r="Q38682" s="24"/>
      <c r="R38682"/>
      <c r="S38682"/>
      <c r="T38682"/>
      <c r="U38682"/>
      <c r="X38682" s="60"/>
    </row>
    <row r="38683" spans="7:24" ht="15" customHeight="1">
      <c r="G38683"/>
      <c r="I38683"/>
      <c r="N38683"/>
      <c r="O38683" s="24"/>
      <c r="P38683"/>
      <c r="Q38683" s="24"/>
      <c r="R38683"/>
      <c r="S38683"/>
      <c r="T38683"/>
      <c r="U38683"/>
      <c r="X38683" s="60"/>
    </row>
    <row r="38684" spans="7:24" ht="15" customHeight="1">
      <c r="G38684"/>
      <c r="I38684"/>
      <c r="N38684"/>
      <c r="O38684" s="24"/>
      <c r="P38684"/>
      <c r="Q38684" s="24"/>
      <c r="R38684"/>
      <c r="S38684"/>
      <c r="T38684"/>
      <c r="U38684"/>
      <c r="X38684" s="60"/>
    </row>
    <row r="38685" spans="7:24" ht="15" customHeight="1">
      <c r="G38685"/>
      <c r="I38685"/>
      <c r="N38685"/>
      <c r="O38685" s="24"/>
      <c r="P38685"/>
      <c r="Q38685" s="24"/>
      <c r="R38685"/>
      <c r="S38685"/>
      <c r="T38685"/>
      <c r="U38685"/>
      <c r="X38685" s="60"/>
    </row>
    <row r="38686" spans="7:24" ht="15" customHeight="1">
      <c r="G38686"/>
      <c r="I38686"/>
      <c r="N38686"/>
      <c r="O38686" s="24"/>
      <c r="P38686"/>
      <c r="Q38686" s="24"/>
      <c r="R38686"/>
      <c r="S38686"/>
      <c r="T38686"/>
      <c r="U38686"/>
      <c r="X38686" s="60"/>
    </row>
    <row r="38687" spans="7:24" ht="15" customHeight="1">
      <c r="G38687"/>
      <c r="I38687"/>
      <c r="N38687"/>
      <c r="O38687" s="24"/>
      <c r="P38687"/>
      <c r="Q38687" s="24"/>
      <c r="R38687"/>
      <c r="S38687"/>
      <c r="T38687"/>
      <c r="U38687"/>
      <c r="X38687" s="60"/>
    </row>
    <row r="38688" spans="7:24" ht="15" customHeight="1">
      <c r="G38688"/>
      <c r="I38688"/>
      <c r="N38688"/>
      <c r="O38688" s="24"/>
      <c r="P38688"/>
      <c r="Q38688" s="24"/>
      <c r="R38688"/>
      <c r="S38688"/>
      <c r="T38688"/>
      <c r="U38688"/>
      <c r="X38688" s="60"/>
    </row>
    <row r="38689" spans="7:24" ht="15" customHeight="1">
      <c r="G38689"/>
      <c r="I38689"/>
      <c r="N38689"/>
      <c r="O38689" s="24"/>
      <c r="P38689"/>
      <c r="Q38689" s="24"/>
      <c r="R38689"/>
      <c r="S38689"/>
      <c r="T38689"/>
      <c r="U38689"/>
      <c r="X38689" s="60"/>
    </row>
    <row r="38690" spans="7:24" ht="15" customHeight="1">
      <c r="G38690"/>
      <c r="I38690"/>
      <c r="N38690"/>
      <c r="O38690" s="24"/>
      <c r="P38690"/>
      <c r="Q38690" s="24"/>
      <c r="R38690"/>
      <c r="S38690"/>
      <c r="T38690"/>
      <c r="U38690"/>
      <c r="X38690" s="60"/>
    </row>
    <row r="38691" spans="7:24" ht="15" customHeight="1">
      <c r="G38691"/>
      <c r="I38691"/>
      <c r="N38691"/>
      <c r="O38691" s="24"/>
      <c r="P38691"/>
      <c r="Q38691" s="24"/>
      <c r="R38691"/>
      <c r="S38691"/>
      <c r="T38691"/>
      <c r="U38691"/>
      <c r="X38691" s="60"/>
    </row>
    <row r="38692" spans="7:24" ht="15" customHeight="1">
      <c r="G38692"/>
      <c r="I38692"/>
      <c r="N38692"/>
      <c r="O38692" s="24"/>
      <c r="P38692"/>
      <c r="Q38692" s="24"/>
      <c r="R38692"/>
      <c r="S38692"/>
      <c r="T38692"/>
      <c r="U38692"/>
      <c r="X38692" s="60"/>
    </row>
    <row r="38693" spans="7:24" ht="15" customHeight="1">
      <c r="G38693"/>
      <c r="I38693"/>
      <c r="N38693"/>
      <c r="O38693" s="24"/>
      <c r="P38693"/>
      <c r="Q38693" s="24"/>
      <c r="R38693"/>
      <c r="S38693"/>
      <c r="T38693"/>
      <c r="U38693"/>
      <c r="X38693" s="60"/>
    </row>
    <row r="38694" spans="7:24" ht="15" customHeight="1">
      <c r="G38694"/>
      <c r="I38694"/>
      <c r="N38694"/>
      <c r="O38694" s="24"/>
      <c r="P38694"/>
      <c r="Q38694" s="24"/>
      <c r="R38694"/>
      <c r="S38694"/>
      <c r="T38694"/>
      <c r="U38694"/>
      <c r="X38694" s="60"/>
    </row>
    <row r="38695" spans="7:24" ht="15" customHeight="1">
      <c r="G38695"/>
      <c r="I38695"/>
      <c r="N38695"/>
      <c r="O38695" s="24"/>
      <c r="P38695"/>
      <c r="Q38695" s="24"/>
      <c r="R38695"/>
      <c r="S38695"/>
      <c r="T38695"/>
      <c r="U38695"/>
      <c r="X38695" s="60"/>
    </row>
    <row r="38696" spans="7:24" ht="15" customHeight="1">
      <c r="G38696"/>
      <c r="I38696"/>
      <c r="N38696"/>
      <c r="O38696" s="24"/>
      <c r="P38696"/>
      <c r="Q38696" s="24"/>
      <c r="R38696"/>
      <c r="S38696"/>
      <c r="T38696"/>
      <c r="U38696"/>
      <c r="X38696" s="60"/>
    </row>
    <row r="38697" spans="7:24" ht="15" customHeight="1">
      <c r="G38697"/>
      <c r="I38697"/>
      <c r="N38697"/>
      <c r="O38697" s="24"/>
      <c r="P38697"/>
      <c r="Q38697" s="24"/>
      <c r="R38697"/>
      <c r="S38697"/>
      <c r="T38697"/>
      <c r="U38697"/>
      <c r="X38697" s="60"/>
    </row>
    <row r="38698" spans="7:24" ht="15" customHeight="1">
      <c r="G38698"/>
      <c r="I38698"/>
      <c r="N38698"/>
      <c r="O38698" s="24"/>
      <c r="P38698"/>
      <c r="Q38698" s="24"/>
      <c r="R38698"/>
      <c r="S38698"/>
      <c r="T38698"/>
      <c r="U38698"/>
      <c r="X38698" s="60"/>
    </row>
    <row r="38699" spans="7:24" ht="15" customHeight="1">
      <c r="G38699"/>
      <c r="I38699"/>
      <c r="N38699"/>
      <c r="O38699" s="24"/>
      <c r="P38699"/>
      <c r="Q38699" s="24"/>
      <c r="R38699"/>
      <c r="S38699"/>
      <c r="T38699"/>
      <c r="U38699"/>
      <c r="X38699" s="60"/>
    </row>
    <row r="38700" spans="7:24" ht="15" customHeight="1">
      <c r="G38700"/>
      <c r="I38700"/>
      <c r="N38700"/>
      <c r="O38700" s="24"/>
      <c r="P38700"/>
      <c r="Q38700" s="24"/>
      <c r="R38700"/>
      <c r="S38700"/>
      <c r="T38700"/>
      <c r="U38700"/>
      <c r="X38700" s="60"/>
    </row>
    <row r="38701" spans="7:24" ht="15" customHeight="1">
      <c r="G38701"/>
      <c r="I38701"/>
      <c r="N38701"/>
      <c r="O38701" s="24"/>
      <c r="P38701"/>
      <c r="Q38701" s="24"/>
      <c r="R38701"/>
      <c r="S38701"/>
      <c r="T38701"/>
      <c r="U38701"/>
      <c r="X38701" s="60"/>
    </row>
    <row r="38702" spans="7:24" ht="15" customHeight="1">
      <c r="G38702"/>
      <c r="I38702"/>
      <c r="N38702"/>
      <c r="O38702" s="24"/>
      <c r="P38702"/>
      <c r="Q38702" s="24"/>
      <c r="R38702"/>
      <c r="S38702"/>
      <c r="T38702"/>
      <c r="U38702"/>
      <c r="X38702" s="60"/>
    </row>
    <row r="38703" spans="7:24" ht="15" customHeight="1">
      <c r="G38703"/>
      <c r="I38703"/>
      <c r="N38703"/>
      <c r="O38703" s="24"/>
      <c r="P38703"/>
      <c r="Q38703" s="24"/>
      <c r="R38703"/>
      <c r="S38703"/>
      <c r="T38703"/>
      <c r="U38703"/>
      <c r="X38703" s="60"/>
    </row>
    <row r="38704" spans="7:24" ht="15" customHeight="1">
      <c r="G38704"/>
      <c r="I38704"/>
      <c r="N38704"/>
      <c r="O38704" s="24"/>
      <c r="P38704"/>
      <c r="Q38704" s="24"/>
      <c r="R38704"/>
      <c r="S38704"/>
      <c r="T38704"/>
      <c r="U38704"/>
      <c r="X38704" s="60"/>
    </row>
    <row r="38705" spans="7:24" ht="15" customHeight="1">
      <c r="G38705"/>
      <c r="I38705"/>
      <c r="N38705"/>
      <c r="O38705" s="24"/>
      <c r="P38705"/>
      <c r="Q38705" s="24"/>
      <c r="R38705"/>
      <c r="S38705"/>
      <c r="T38705"/>
      <c r="U38705"/>
      <c r="X38705" s="60"/>
    </row>
    <row r="38706" spans="7:24" ht="15" customHeight="1">
      <c r="G38706"/>
      <c r="I38706"/>
      <c r="N38706"/>
      <c r="O38706" s="24"/>
      <c r="P38706"/>
      <c r="Q38706" s="24"/>
      <c r="R38706"/>
      <c r="S38706"/>
      <c r="T38706"/>
      <c r="U38706"/>
      <c r="X38706" s="60"/>
    </row>
    <row r="38707" spans="7:24" ht="15" customHeight="1">
      <c r="G38707"/>
      <c r="I38707"/>
      <c r="N38707"/>
      <c r="O38707" s="24"/>
      <c r="P38707"/>
      <c r="Q38707" s="24"/>
      <c r="R38707"/>
      <c r="S38707"/>
      <c r="T38707"/>
      <c r="U38707"/>
      <c r="X38707" s="60"/>
    </row>
    <row r="38708" spans="7:24" ht="15" customHeight="1">
      <c r="G38708"/>
      <c r="I38708"/>
      <c r="N38708"/>
      <c r="O38708" s="24"/>
      <c r="P38708"/>
      <c r="Q38708" s="24"/>
      <c r="R38708"/>
      <c r="S38708"/>
      <c r="T38708"/>
      <c r="U38708"/>
      <c r="X38708" s="60"/>
    </row>
    <row r="38709" spans="7:24" ht="15" customHeight="1">
      <c r="G38709"/>
      <c r="I38709"/>
      <c r="N38709"/>
      <c r="O38709" s="24"/>
      <c r="P38709"/>
      <c r="Q38709" s="24"/>
      <c r="R38709"/>
      <c r="S38709"/>
      <c r="T38709"/>
      <c r="U38709"/>
      <c r="X38709" s="60"/>
    </row>
    <row r="38710" spans="7:24" ht="15" customHeight="1">
      <c r="G38710"/>
      <c r="I38710"/>
      <c r="N38710"/>
      <c r="O38710" s="24"/>
      <c r="P38710"/>
      <c r="Q38710" s="24"/>
      <c r="R38710"/>
      <c r="S38710"/>
      <c r="T38710"/>
      <c r="U38710"/>
      <c r="X38710" s="60"/>
    </row>
    <row r="38711" spans="7:24" ht="15" customHeight="1">
      <c r="G38711"/>
      <c r="I38711"/>
      <c r="N38711"/>
      <c r="O38711" s="24"/>
      <c r="P38711"/>
      <c r="Q38711" s="24"/>
      <c r="R38711"/>
      <c r="S38711"/>
      <c r="T38711"/>
      <c r="U38711"/>
      <c r="X38711" s="60"/>
    </row>
    <row r="38712" spans="7:24" ht="15" customHeight="1">
      <c r="G38712"/>
      <c r="I38712"/>
      <c r="N38712"/>
      <c r="O38712" s="24"/>
      <c r="P38712"/>
      <c r="Q38712" s="24"/>
      <c r="R38712"/>
      <c r="S38712"/>
      <c r="T38712"/>
      <c r="U38712"/>
      <c r="X38712" s="60"/>
    </row>
    <row r="38713" spans="7:24" ht="15" customHeight="1">
      <c r="G38713"/>
      <c r="I38713"/>
      <c r="N38713"/>
      <c r="O38713" s="24"/>
      <c r="P38713"/>
      <c r="Q38713" s="24"/>
      <c r="R38713"/>
      <c r="S38713"/>
      <c r="T38713"/>
      <c r="U38713"/>
      <c r="X38713" s="60"/>
    </row>
    <row r="38714" spans="7:24" ht="15" customHeight="1">
      <c r="G38714"/>
      <c r="I38714"/>
      <c r="N38714"/>
      <c r="O38714" s="24"/>
      <c r="P38714"/>
      <c r="Q38714" s="24"/>
      <c r="R38714"/>
      <c r="S38714"/>
      <c r="T38714"/>
      <c r="U38714"/>
      <c r="X38714" s="60"/>
    </row>
    <row r="38715" spans="7:24" ht="15" customHeight="1">
      <c r="G38715"/>
      <c r="I38715"/>
      <c r="N38715"/>
      <c r="O38715" s="24"/>
      <c r="P38715"/>
      <c r="Q38715" s="24"/>
      <c r="R38715"/>
      <c r="S38715"/>
      <c r="T38715"/>
      <c r="U38715"/>
      <c r="X38715" s="60"/>
    </row>
    <row r="38716" spans="7:24" ht="15" customHeight="1">
      <c r="G38716"/>
      <c r="I38716"/>
      <c r="N38716"/>
      <c r="O38716" s="24"/>
      <c r="P38716"/>
      <c r="Q38716" s="24"/>
      <c r="R38716"/>
      <c r="S38716"/>
      <c r="T38716"/>
      <c r="U38716"/>
      <c r="X38716" s="60"/>
    </row>
    <row r="38717" spans="7:24" ht="15" customHeight="1">
      <c r="G38717"/>
      <c r="I38717"/>
      <c r="N38717"/>
      <c r="O38717" s="24"/>
      <c r="P38717"/>
      <c r="Q38717" s="24"/>
      <c r="R38717"/>
      <c r="S38717"/>
      <c r="T38717"/>
      <c r="U38717"/>
      <c r="X38717" s="60"/>
    </row>
    <row r="38718" spans="7:24" ht="15" customHeight="1">
      <c r="G38718"/>
      <c r="I38718"/>
      <c r="N38718"/>
      <c r="O38718" s="24"/>
      <c r="P38718"/>
      <c r="Q38718" s="24"/>
      <c r="R38718"/>
      <c r="S38718"/>
      <c r="T38718"/>
      <c r="U38718"/>
      <c r="X38718" s="60"/>
    </row>
    <row r="38719" spans="7:24" ht="15" customHeight="1">
      <c r="G38719"/>
      <c r="I38719"/>
      <c r="N38719"/>
      <c r="O38719" s="24"/>
      <c r="P38719"/>
      <c r="Q38719" s="24"/>
      <c r="R38719"/>
      <c r="S38719"/>
      <c r="T38719"/>
      <c r="U38719"/>
      <c r="X38719" s="60"/>
    </row>
    <row r="38720" spans="7:24" ht="15" customHeight="1">
      <c r="G38720"/>
      <c r="I38720"/>
      <c r="N38720"/>
      <c r="O38720" s="24"/>
      <c r="P38720"/>
      <c r="Q38720" s="24"/>
      <c r="R38720"/>
      <c r="S38720"/>
      <c r="T38720"/>
      <c r="U38720"/>
      <c r="X38720" s="60"/>
    </row>
    <row r="38721" spans="7:24" ht="15" customHeight="1">
      <c r="G38721"/>
      <c r="I38721"/>
      <c r="N38721"/>
      <c r="O38721" s="24"/>
      <c r="P38721"/>
      <c r="Q38721" s="24"/>
      <c r="R38721"/>
      <c r="S38721"/>
      <c r="T38721"/>
      <c r="U38721"/>
      <c r="X38721" s="60"/>
    </row>
    <row r="38722" spans="7:24" ht="15" customHeight="1">
      <c r="G38722"/>
      <c r="I38722"/>
      <c r="N38722"/>
      <c r="O38722" s="24"/>
      <c r="P38722"/>
      <c r="Q38722" s="24"/>
      <c r="R38722"/>
      <c r="S38722"/>
      <c r="T38722"/>
      <c r="U38722"/>
      <c r="X38722" s="60"/>
    </row>
    <row r="38723" spans="7:24" ht="15" customHeight="1">
      <c r="G38723"/>
      <c r="I38723"/>
      <c r="N38723"/>
      <c r="O38723" s="24"/>
      <c r="P38723"/>
      <c r="Q38723" s="24"/>
      <c r="R38723"/>
      <c r="S38723"/>
      <c r="T38723"/>
      <c r="U38723"/>
      <c r="X38723" s="60"/>
    </row>
    <row r="38724" spans="7:24" ht="15" customHeight="1">
      <c r="G38724"/>
      <c r="I38724"/>
      <c r="N38724"/>
      <c r="O38724" s="24"/>
      <c r="P38724"/>
      <c r="Q38724" s="24"/>
      <c r="R38724"/>
      <c r="S38724"/>
      <c r="T38724"/>
      <c r="U38724"/>
      <c r="X38724" s="60"/>
    </row>
    <row r="38725" spans="7:24" ht="15" customHeight="1">
      <c r="G38725"/>
      <c r="I38725"/>
      <c r="N38725"/>
      <c r="O38725" s="24"/>
      <c r="P38725"/>
      <c r="Q38725" s="24"/>
      <c r="R38725"/>
      <c r="S38725"/>
      <c r="T38725"/>
      <c r="U38725"/>
      <c r="X38725" s="60"/>
    </row>
    <row r="38726" spans="7:24" ht="15" customHeight="1">
      <c r="G38726"/>
      <c r="I38726"/>
      <c r="N38726"/>
      <c r="O38726" s="24"/>
      <c r="P38726"/>
      <c r="Q38726" s="24"/>
      <c r="R38726"/>
      <c r="S38726"/>
      <c r="T38726"/>
      <c r="U38726"/>
      <c r="X38726" s="60"/>
    </row>
    <row r="38727" spans="7:24" ht="15" customHeight="1">
      <c r="G38727"/>
      <c r="I38727"/>
      <c r="N38727"/>
      <c r="O38727" s="24"/>
      <c r="P38727"/>
      <c r="Q38727" s="24"/>
      <c r="R38727"/>
      <c r="S38727"/>
      <c r="T38727"/>
      <c r="U38727"/>
      <c r="X38727" s="60"/>
    </row>
    <row r="38728" spans="7:24" ht="15" customHeight="1">
      <c r="G38728"/>
      <c r="I38728"/>
      <c r="N38728"/>
      <c r="O38728" s="24"/>
      <c r="P38728"/>
      <c r="Q38728" s="24"/>
      <c r="R38728"/>
      <c r="S38728"/>
      <c r="T38728"/>
      <c r="U38728"/>
      <c r="X38728" s="60"/>
    </row>
    <row r="38729" spans="7:24" ht="15" customHeight="1">
      <c r="G38729"/>
      <c r="I38729"/>
      <c r="N38729"/>
      <c r="O38729" s="24"/>
      <c r="P38729"/>
      <c r="Q38729" s="24"/>
      <c r="R38729"/>
      <c r="S38729"/>
      <c r="T38729"/>
      <c r="U38729"/>
      <c r="X38729" s="60"/>
    </row>
    <row r="38730" spans="7:24" ht="15" customHeight="1">
      <c r="G38730"/>
      <c r="I38730"/>
      <c r="N38730"/>
      <c r="O38730" s="24"/>
      <c r="P38730"/>
      <c r="Q38730" s="24"/>
      <c r="R38730"/>
      <c r="S38730"/>
      <c r="T38730"/>
      <c r="U38730"/>
      <c r="X38730" s="60"/>
    </row>
    <row r="38731" spans="7:24" ht="15" customHeight="1">
      <c r="G38731"/>
      <c r="I38731"/>
      <c r="N38731"/>
      <c r="O38731" s="24"/>
      <c r="P38731"/>
      <c r="Q38731" s="24"/>
      <c r="R38731"/>
      <c r="S38731"/>
      <c r="T38731"/>
      <c r="U38731"/>
      <c r="X38731" s="60"/>
    </row>
    <row r="38732" spans="7:24" ht="15" customHeight="1">
      <c r="G38732"/>
      <c r="I38732"/>
      <c r="N38732"/>
      <c r="O38732" s="24"/>
      <c r="P38732"/>
      <c r="Q38732" s="24"/>
      <c r="R38732"/>
      <c r="S38732"/>
      <c r="T38732"/>
      <c r="U38732"/>
      <c r="X38732" s="60"/>
    </row>
    <row r="38733" spans="7:24" ht="15" customHeight="1">
      <c r="G38733"/>
      <c r="I38733"/>
      <c r="N38733"/>
      <c r="O38733" s="24"/>
      <c r="P38733"/>
      <c r="Q38733" s="24"/>
      <c r="R38733"/>
      <c r="S38733"/>
      <c r="T38733"/>
      <c r="U38733"/>
      <c r="X38733" s="60"/>
    </row>
    <row r="38734" spans="7:24" ht="15" customHeight="1">
      <c r="G38734"/>
      <c r="I38734"/>
      <c r="N38734"/>
      <c r="O38734" s="24"/>
      <c r="P38734"/>
      <c r="Q38734" s="24"/>
      <c r="R38734"/>
      <c r="S38734"/>
      <c r="T38734"/>
      <c r="U38734"/>
      <c r="X38734" s="60"/>
    </row>
    <row r="38735" spans="7:24" ht="15" customHeight="1">
      <c r="G38735"/>
      <c r="I38735"/>
      <c r="N38735"/>
      <c r="O38735" s="24"/>
      <c r="P38735"/>
      <c r="Q38735" s="24"/>
      <c r="R38735"/>
      <c r="S38735"/>
      <c r="T38735"/>
      <c r="U38735"/>
      <c r="X38735" s="60"/>
    </row>
    <row r="38736" spans="7:24" ht="15" customHeight="1">
      <c r="G38736"/>
      <c r="I38736"/>
      <c r="N38736"/>
      <c r="O38736" s="24"/>
      <c r="P38736"/>
      <c r="Q38736" s="24"/>
      <c r="R38736"/>
      <c r="S38736"/>
      <c r="T38736"/>
      <c r="U38736"/>
      <c r="X38736" s="60"/>
    </row>
    <row r="38737" spans="7:24" ht="15" customHeight="1">
      <c r="G38737"/>
      <c r="I38737"/>
      <c r="N38737"/>
      <c r="O38737" s="24"/>
      <c r="P38737"/>
      <c r="Q38737" s="24"/>
      <c r="R38737"/>
      <c r="S38737"/>
      <c r="T38737"/>
      <c r="U38737"/>
      <c r="X38737" s="60"/>
    </row>
    <row r="38738" spans="7:24" ht="15" customHeight="1">
      <c r="G38738"/>
      <c r="I38738"/>
      <c r="N38738"/>
      <c r="O38738" s="24"/>
      <c r="P38738"/>
      <c r="Q38738" s="24"/>
      <c r="R38738"/>
      <c r="S38738"/>
      <c r="T38738"/>
      <c r="U38738"/>
      <c r="X38738" s="60"/>
    </row>
    <row r="38739" spans="7:24" ht="15" customHeight="1">
      <c r="G38739"/>
      <c r="I38739"/>
      <c r="N38739"/>
      <c r="O38739" s="24"/>
      <c r="P38739"/>
      <c r="Q38739" s="24"/>
      <c r="R38739"/>
      <c r="S38739"/>
      <c r="T38739"/>
      <c r="U38739"/>
      <c r="X38739" s="60"/>
    </row>
    <row r="38740" spans="7:24" ht="15" customHeight="1">
      <c r="G38740"/>
      <c r="I38740"/>
      <c r="N38740"/>
      <c r="O38740" s="24"/>
      <c r="P38740"/>
      <c r="Q38740" s="24"/>
      <c r="R38740"/>
      <c r="S38740"/>
      <c r="T38740"/>
      <c r="U38740"/>
      <c r="X38740" s="60"/>
    </row>
    <row r="38741" spans="7:24" ht="15" customHeight="1">
      <c r="G38741"/>
      <c r="I38741"/>
      <c r="N38741"/>
      <c r="O38741" s="24"/>
      <c r="P38741"/>
      <c r="Q38741" s="24"/>
      <c r="R38741"/>
      <c r="S38741"/>
      <c r="T38741"/>
      <c r="U38741"/>
      <c r="X38741" s="60"/>
    </row>
    <row r="38742" spans="7:24" ht="15" customHeight="1">
      <c r="G38742"/>
      <c r="I38742"/>
      <c r="N38742"/>
      <c r="O38742" s="24"/>
      <c r="P38742"/>
      <c r="Q38742" s="24"/>
      <c r="R38742"/>
      <c r="S38742"/>
      <c r="T38742"/>
      <c r="U38742"/>
      <c r="X38742" s="60"/>
    </row>
    <row r="38743" spans="7:24" ht="15" customHeight="1">
      <c r="G38743"/>
      <c r="I38743"/>
      <c r="N38743"/>
      <c r="O38743" s="24"/>
      <c r="P38743"/>
      <c r="Q38743" s="24"/>
      <c r="R38743"/>
      <c r="S38743"/>
      <c r="T38743"/>
      <c r="U38743"/>
      <c r="X38743" s="60"/>
    </row>
    <row r="38744" spans="7:24" ht="15" customHeight="1">
      <c r="G38744"/>
      <c r="I38744"/>
      <c r="N38744"/>
      <c r="O38744" s="24"/>
      <c r="P38744"/>
      <c r="Q38744" s="24"/>
      <c r="R38744"/>
      <c r="S38744"/>
      <c r="T38744"/>
      <c r="U38744"/>
      <c r="X38744" s="60"/>
    </row>
    <row r="38745" spans="7:24" ht="15" customHeight="1">
      <c r="G38745"/>
      <c r="I38745"/>
      <c r="N38745"/>
      <c r="O38745" s="24"/>
      <c r="P38745"/>
      <c r="Q38745" s="24"/>
      <c r="R38745"/>
      <c r="S38745"/>
      <c r="T38745"/>
      <c r="U38745"/>
      <c r="X38745" s="60"/>
    </row>
    <row r="38746" spans="7:24" ht="15" customHeight="1">
      <c r="G38746"/>
      <c r="I38746"/>
      <c r="N38746"/>
      <c r="O38746" s="24"/>
      <c r="P38746"/>
      <c r="Q38746" s="24"/>
      <c r="R38746"/>
      <c r="S38746"/>
      <c r="T38746"/>
      <c r="U38746"/>
      <c r="X38746" s="60"/>
    </row>
    <row r="38747" spans="7:24" ht="15" customHeight="1">
      <c r="G38747"/>
      <c r="I38747"/>
      <c r="N38747"/>
      <c r="O38747" s="24"/>
      <c r="P38747"/>
      <c r="Q38747" s="24"/>
      <c r="R38747"/>
      <c r="S38747"/>
      <c r="T38747"/>
      <c r="U38747"/>
      <c r="X38747" s="60"/>
    </row>
    <row r="38748" spans="7:24" ht="15" customHeight="1">
      <c r="G38748"/>
      <c r="I38748"/>
      <c r="N38748"/>
      <c r="O38748" s="24"/>
      <c r="P38748"/>
      <c r="Q38748" s="24"/>
      <c r="R38748"/>
      <c r="S38748"/>
      <c r="T38748"/>
      <c r="U38748"/>
      <c r="X38748" s="60"/>
    </row>
    <row r="38749" spans="7:24" ht="15" customHeight="1">
      <c r="G38749"/>
      <c r="I38749"/>
      <c r="N38749"/>
      <c r="O38749" s="24"/>
      <c r="P38749"/>
      <c r="Q38749" s="24"/>
      <c r="R38749"/>
      <c r="S38749"/>
      <c r="T38749"/>
      <c r="U38749"/>
      <c r="X38749" s="60"/>
    </row>
    <row r="38750" spans="7:24" ht="15" customHeight="1">
      <c r="G38750"/>
      <c r="I38750"/>
      <c r="N38750"/>
      <c r="O38750" s="24"/>
      <c r="P38750"/>
      <c r="Q38750" s="24"/>
      <c r="R38750"/>
      <c r="S38750"/>
      <c r="T38750"/>
      <c r="U38750"/>
      <c r="X38750" s="60"/>
    </row>
    <row r="38751" spans="7:24" ht="15" customHeight="1">
      <c r="G38751"/>
      <c r="I38751"/>
      <c r="N38751"/>
      <c r="O38751" s="24"/>
      <c r="P38751"/>
      <c r="Q38751" s="24"/>
      <c r="R38751"/>
      <c r="S38751"/>
      <c r="T38751"/>
      <c r="U38751"/>
      <c r="X38751" s="60"/>
    </row>
    <row r="38752" spans="7:24" ht="15" customHeight="1">
      <c r="G38752"/>
      <c r="I38752"/>
      <c r="N38752"/>
      <c r="O38752" s="24"/>
      <c r="P38752"/>
      <c r="Q38752" s="24"/>
      <c r="R38752"/>
      <c r="S38752"/>
      <c r="T38752"/>
      <c r="U38752"/>
      <c r="X38752" s="60"/>
    </row>
    <row r="38753" spans="7:24" ht="15" customHeight="1">
      <c r="G38753"/>
      <c r="I38753"/>
      <c r="N38753"/>
      <c r="O38753" s="24"/>
      <c r="P38753"/>
      <c r="Q38753" s="24"/>
      <c r="R38753"/>
      <c r="S38753"/>
      <c r="T38753"/>
      <c r="U38753"/>
      <c r="X38753" s="60"/>
    </row>
    <row r="38754" spans="7:24" ht="15" customHeight="1">
      <c r="G38754"/>
      <c r="I38754"/>
      <c r="N38754"/>
      <c r="O38754" s="24"/>
      <c r="P38754"/>
      <c r="Q38754" s="24"/>
      <c r="R38754"/>
      <c r="S38754"/>
      <c r="T38754"/>
      <c r="U38754"/>
      <c r="X38754" s="60"/>
    </row>
    <row r="38755" spans="7:24" ht="15" customHeight="1">
      <c r="G38755"/>
      <c r="I38755"/>
      <c r="N38755"/>
      <c r="O38755" s="24"/>
      <c r="P38755"/>
      <c r="Q38755" s="24"/>
      <c r="R38755"/>
      <c r="S38755"/>
      <c r="T38755"/>
      <c r="U38755"/>
      <c r="X38755" s="60"/>
    </row>
    <row r="38756" spans="7:24" ht="15" customHeight="1">
      <c r="G38756"/>
      <c r="I38756"/>
      <c r="N38756"/>
      <c r="O38756" s="24"/>
      <c r="P38756"/>
      <c r="Q38756" s="24"/>
      <c r="R38756"/>
      <c r="S38756"/>
      <c r="T38756"/>
      <c r="U38756"/>
      <c r="X38756" s="60"/>
    </row>
    <row r="38757" spans="7:24" ht="15" customHeight="1">
      <c r="G38757"/>
      <c r="I38757"/>
      <c r="N38757"/>
      <c r="O38757" s="24"/>
      <c r="P38757"/>
      <c r="Q38757" s="24"/>
      <c r="R38757"/>
      <c r="S38757"/>
      <c r="T38757"/>
      <c r="U38757"/>
      <c r="X38757" s="60"/>
    </row>
    <row r="38758" spans="7:24" ht="15" customHeight="1">
      <c r="G38758"/>
      <c r="I38758"/>
      <c r="N38758"/>
      <c r="O38758" s="24"/>
      <c r="P38758"/>
      <c r="Q38758" s="24"/>
      <c r="R38758"/>
      <c r="S38758"/>
      <c r="T38758"/>
      <c r="U38758"/>
      <c r="X38758" s="60"/>
    </row>
    <row r="38759" spans="7:24" ht="15" customHeight="1">
      <c r="G38759"/>
      <c r="I38759"/>
      <c r="N38759"/>
      <c r="O38759" s="24"/>
      <c r="P38759"/>
      <c r="Q38759" s="24"/>
      <c r="R38759"/>
      <c r="S38759"/>
      <c r="T38759"/>
      <c r="U38759"/>
      <c r="X38759" s="60"/>
    </row>
    <row r="38760" spans="7:24" ht="15" customHeight="1">
      <c r="G38760"/>
      <c r="I38760"/>
      <c r="N38760"/>
      <c r="O38760" s="24"/>
      <c r="P38760"/>
      <c r="Q38760" s="24"/>
      <c r="R38760"/>
      <c r="S38760"/>
      <c r="T38760"/>
      <c r="U38760"/>
      <c r="X38760" s="60"/>
    </row>
    <row r="38761" spans="7:24" ht="15" customHeight="1">
      <c r="G38761"/>
      <c r="I38761"/>
      <c r="N38761"/>
      <c r="O38761" s="24"/>
      <c r="P38761"/>
      <c r="Q38761" s="24"/>
      <c r="R38761"/>
      <c r="S38761"/>
      <c r="T38761"/>
      <c r="U38761"/>
      <c r="X38761" s="60"/>
    </row>
    <row r="38762" spans="7:24" ht="15" customHeight="1">
      <c r="G38762"/>
      <c r="I38762"/>
      <c r="N38762"/>
      <c r="O38762" s="24"/>
      <c r="P38762"/>
      <c r="Q38762" s="24"/>
      <c r="R38762"/>
      <c r="S38762"/>
      <c r="T38762"/>
      <c r="U38762"/>
      <c r="X38762" s="60"/>
    </row>
    <row r="38763" spans="7:24" ht="15" customHeight="1">
      <c r="G38763"/>
      <c r="I38763"/>
      <c r="N38763"/>
      <c r="O38763" s="24"/>
      <c r="P38763"/>
      <c r="Q38763" s="24"/>
      <c r="R38763"/>
      <c r="S38763"/>
      <c r="T38763"/>
      <c r="U38763"/>
      <c r="X38763" s="60"/>
    </row>
    <row r="38764" spans="7:24" ht="15" customHeight="1">
      <c r="G38764"/>
      <c r="I38764"/>
      <c r="N38764"/>
      <c r="O38764" s="24"/>
      <c r="P38764"/>
      <c r="Q38764" s="24"/>
      <c r="R38764"/>
      <c r="S38764"/>
      <c r="T38764"/>
      <c r="U38764"/>
      <c r="X38764" s="60"/>
    </row>
    <row r="38765" spans="7:24" ht="15" customHeight="1">
      <c r="G38765"/>
      <c r="I38765"/>
      <c r="N38765"/>
      <c r="O38765" s="24"/>
      <c r="P38765"/>
      <c r="Q38765" s="24"/>
      <c r="R38765"/>
      <c r="S38765"/>
      <c r="T38765"/>
      <c r="U38765"/>
      <c r="X38765" s="60"/>
    </row>
    <row r="38766" spans="7:24" ht="15" customHeight="1">
      <c r="G38766"/>
      <c r="I38766"/>
      <c r="N38766"/>
      <c r="O38766" s="24"/>
      <c r="P38766"/>
      <c r="Q38766" s="24"/>
      <c r="R38766"/>
      <c r="S38766"/>
      <c r="T38766"/>
      <c r="U38766"/>
      <c r="X38766" s="60"/>
    </row>
    <row r="38767" spans="7:24" ht="15" customHeight="1">
      <c r="G38767"/>
      <c r="I38767"/>
      <c r="N38767"/>
      <c r="O38767" s="24"/>
      <c r="P38767"/>
      <c r="Q38767" s="24"/>
      <c r="R38767"/>
      <c r="S38767"/>
      <c r="T38767"/>
      <c r="U38767"/>
      <c r="X38767" s="60"/>
    </row>
    <row r="38768" spans="7:24" ht="15" customHeight="1">
      <c r="G38768"/>
      <c r="I38768"/>
      <c r="N38768"/>
      <c r="O38768" s="24"/>
      <c r="P38768"/>
      <c r="Q38768" s="24"/>
      <c r="R38768"/>
      <c r="S38768"/>
      <c r="T38768"/>
      <c r="U38768"/>
      <c r="X38768" s="60"/>
    </row>
    <row r="38769" spans="7:24" ht="15" customHeight="1">
      <c r="G38769"/>
      <c r="I38769"/>
      <c r="N38769"/>
      <c r="O38769" s="24"/>
      <c r="P38769"/>
      <c r="Q38769" s="24"/>
      <c r="R38769"/>
      <c r="S38769"/>
      <c r="T38769"/>
      <c r="U38769"/>
      <c r="X38769" s="60"/>
    </row>
    <row r="38770" spans="7:24" ht="15" customHeight="1">
      <c r="G38770"/>
      <c r="I38770"/>
      <c r="N38770"/>
      <c r="O38770" s="24"/>
      <c r="P38770"/>
      <c r="Q38770" s="24"/>
      <c r="R38770"/>
      <c r="S38770"/>
      <c r="T38770"/>
      <c r="U38770"/>
      <c r="X38770" s="60"/>
    </row>
    <row r="38771" spans="7:24" ht="15" customHeight="1">
      <c r="G38771"/>
      <c r="I38771"/>
      <c r="N38771"/>
      <c r="O38771" s="24"/>
      <c r="P38771"/>
      <c r="Q38771" s="24"/>
      <c r="R38771"/>
      <c r="S38771"/>
      <c r="T38771"/>
      <c r="U38771"/>
      <c r="X38771" s="60"/>
    </row>
    <row r="38772" spans="7:24" ht="15" customHeight="1">
      <c r="G38772"/>
      <c r="I38772"/>
      <c r="N38772"/>
      <c r="O38772" s="24"/>
      <c r="P38772"/>
      <c r="Q38772" s="24"/>
      <c r="R38772"/>
      <c r="S38772"/>
      <c r="T38772"/>
      <c r="U38772"/>
      <c r="X38772" s="60"/>
    </row>
    <row r="38773" spans="7:24" ht="15" customHeight="1">
      <c r="G38773"/>
      <c r="I38773"/>
      <c r="N38773"/>
      <c r="O38773" s="24"/>
      <c r="P38773"/>
      <c r="Q38773" s="24"/>
      <c r="R38773"/>
      <c r="S38773"/>
      <c r="T38773"/>
      <c r="U38773"/>
      <c r="X38773" s="60"/>
    </row>
    <row r="38774" spans="7:24" ht="15" customHeight="1">
      <c r="G38774"/>
      <c r="I38774"/>
      <c r="N38774"/>
      <c r="O38774" s="24"/>
      <c r="P38774"/>
      <c r="Q38774" s="24"/>
      <c r="R38774"/>
      <c r="S38774"/>
      <c r="T38774"/>
      <c r="U38774"/>
      <c r="X38774" s="60"/>
    </row>
    <row r="38775" spans="7:24" ht="15" customHeight="1">
      <c r="G38775"/>
      <c r="I38775"/>
      <c r="N38775"/>
      <c r="O38775" s="24"/>
      <c r="P38775"/>
      <c r="Q38775" s="24"/>
      <c r="R38775"/>
      <c r="S38775"/>
      <c r="T38775"/>
      <c r="U38775"/>
      <c r="X38775" s="60"/>
    </row>
    <row r="38776" spans="7:24" ht="15" customHeight="1">
      <c r="G38776"/>
      <c r="I38776"/>
      <c r="N38776"/>
      <c r="O38776" s="24"/>
      <c r="P38776"/>
      <c r="Q38776" s="24"/>
      <c r="R38776"/>
      <c r="S38776"/>
      <c r="T38776"/>
      <c r="U38776"/>
      <c r="X38776" s="60"/>
    </row>
    <row r="38777" spans="7:24" ht="15" customHeight="1">
      <c r="G38777"/>
      <c r="I38777"/>
      <c r="N38777"/>
      <c r="O38777" s="24"/>
      <c r="P38777"/>
      <c r="Q38777" s="24"/>
      <c r="R38777"/>
      <c r="S38777"/>
      <c r="T38777"/>
      <c r="U38777"/>
      <c r="X38777" s="60"/>
    </row>
    <row r="38778" spans="7:24" ht="15" customHeight="1">
      <c r="G38778"/>
      <c r="I38778"/>
      <c r="N38778"/>
      <c r="O38778" s="24"/>
      <c r="P38778"/>
      <c r="Q38778" s="24"/>
      <c r="R38778"/>
      <c r="S38778"/>
      <c r="T38778"/>
      <c r="U38778"/>
      <c r="X38778" s="60"/>
    </row>
    <row r="38779" spans="7:24" ht="15" customHeight="1">
      <c r="G38779"/>
      <c r="I38779"/>
      <c r="N38779"/>
      <c r="O38779" s="24"/>
      <c r="P38779"/>
      <c r="Q38779" s="24"/>
      <c r="R38779"/>
      <c r="S38779"/>
      <c r="T38779"/>
      <c r="U38779"/>
      <c r="X38779" s="60"/>
    </row>
    <row r="38780" spans="7:24" ht="15" customHeight="1">
      <c r="G38780"/>
      <c r="I38780"/>
      <c r="N38780"/>
      <c r="O38780" s="24"/>
      <c r="P38780"/>
      <c r="Q38780" s="24"/>
      <c r="R38780"/>
      <c r="S38780"/>
      <c r="T38780"/>
      <c r="U38780"/>
      <c r="X38780" s="60"/>
    </row>
    <row r="38781" spans="7:24" ht="15" customHeight="1">
      <c r="G38781"/>
      <c r="I38781"/>
      <c r="N38781"/>
      <c r="O38781" s="24"/>
      <c r="P38781"/>
      <c r="Q38781" s="24"/>
      <c r="R38781"/>
      <c r="S38781"/>
      <c r="T38781"/>
      <c r="U38781"/>
      <c r="X38781" s="60"/>
    </row>
    <row r="38782" spans="7:24" ht="15" customHeight="1">
      <c r="G38782"/>
      <c r="I38782"/>
      <c r="N38782"/>
      <c r="O38782" s="24"/>
      <c r="P38782"/>
      <c r="Q38782" s="24"/>
      <c r="R38782"/>
      <c r="S38782"/>
      <c r="T38782"/>
      <c r="U38782"/>
      <c r="X38782" s="60"/>
    </row>
    <row r="38783" spans="7:24" ht="15" customHeight="1">
      <c r="G38783"/>
      <c r="I38783"/>
      <c r="N38783"/>
      <c r="O38783" s="24"/>
      <c r="P38783"/>
      <c r="Q38783" s="24"/>
      <c r="R38783"/>
      <c r="S38783"/>
      <c r="T38783"/>
      <c r="U38783"/>
      <c r="X38783" s="60"/>
    </row>
    <row r="38784" spans="7:24" ht="15" customHeight="1">
      <c r="G38784"/>
      <c r="I38784"/>
      <c r="N38784"/>
      <c r="O38784" s="24"/>
      <c r="P38784"/>
      <c r="Q38784" s="24"/>
      <c r="R38784"/>
      <c r="S38784"/>
      <c r="T38784"/>
      <c r="U38784"/>
      <c r="X38784" s="60"/>
    </row>
    <row r="38785" spans="7:24" ht="15" customHeight="1">
      <c r="G38785"/>
      <c r="I38785"/>
      <c r="N38785"/>
      <c r="O38785" s="24"/>
      <c r="P38785"/>
      <c r="Q38785" s="24"/>
      <c r="R38785"/>
      <c r="S38785"/>
      <c r="T38785"/>
      <c r="U38785"/>
      <c r="X38785" s="60"/>
    </row>
    <row r="38786" spans="7:24" ht="15" customHeight="1">
      <c r="G38786"/>
      <c r="I38786"/>
      <c r="N38786"/>
      <c r="O38786" s="24"/>
      <c r="P38786"/>
      <c r="Q38786" s="24"/>
      <c r="R38786"/>
      <c r="S38786"/>
      <c r="T38786"/>
      <c r="U38786"/>
      <c r="X38786" s="60"/>
    </row>
    <row r="38787" spans="7:24" ht="15" customHeight="1">
      <c r="G38787"/>
      <c r="I38787"/>
      <c r="N38787"/>
      <c r="O38787" s="24"/>
      <c r="P38787"/>
      <c r="Q38787" s="24"/>
      <c r="R38787"/>
      <c r="S38787"/>
      <c r="T38787"/>
      <c r="U38787"/>
      <c r="X38787" s="60"/>
    </row>
    <row r="38788" spans="7:24" ht="15" customHeight="1">
      <c r="G38788"/>
      <c r="I38788"/>
      <c r="N38788"/>
      <c r="O38788" s="24"/>
      <c r="P38788"/>
      <c r="Q38788" s="24"/>
      <c r="R38788"/>
      <c r="S38788"/>
      <c r="T38788"/>
      <c r="U38788"/>
      <c r="X38788" s="60"/>
    </row>
    <row r="38789" spans="7:24" ht="15" customHeight="1">
      <c r="G38789"/>
      <c r="I38789"/>
      <c r="N38789"/>
      <c r="O38789" s="24"/>
      <c r="P38789"/>
      <c r="Q38789" s="24"/>
      <c r="R38789"/>
      <c r="S38789"/>
      <c r="T38789"/>
      <c r="U38789"/>
      <c r="X38789" s="60"/>
    </row>
    <row r="38790" spans="7:24" ht="15" customHeight="1">
      <c r="G38790"/>
      <c r="I38790"/>
      <c r="N38790"/>
      <c r="O38790" s="24"/>
      <c r="P38790"/>
      <c r="Q38790" s="24"/>
      <c r="R38790"/>
      <c r="S38790"/>
      <c r="T38790"/>
      <c r="U38790"/>
      <c r="X38790" s="60"/>
    </row>
    <row r="38791" spans="7:24" ht="15" customHeight="1">
      <c r="G38791"/>
      <c r="I38791"/>
      <c r="N38791"/>
      <c r="O38791" s="24"/>
      <c r="P38791"/>
      <c r="Q38791" s="24"/>
      <c r="R38791"/>
      <c r="S38791"/>
      <c r="T38791"/>
      <c r="U38791"/>
      <c r="X38791" s="60"/>
    </row>
    <row r="38792" spans="7:24" ht="15" customHeight="1">
      <c r="G38792"/>
      <c r="I38792"/>
      <c r="N38792"/>
      <c r="O38792" s="24"/>
      <c r="P38792"/>
      <c r="Q38792" s="24"/>
      <c r="R38792"/>
      <c r="S38792"/>
      <c r="T38792"/>
      <c r="U38792"/>
      <c r="X38792" s="60"/>
    </row>
    <row r="38793" spans="7:24" ht="15" customHeight="1">
      <c r="G38793"/>
      <c r="I38793"/>
      <c r="N38793"/>
      <c r="O38793" s="24"/>
      <c r="P38793"/>
      <c r="Q38793" s="24"/>
      <c r="R38793"/>
      <c r="S38793"/>
      <c r="T38793"/>
      <c r="U38793"/>
      <c r="X38793" s="60"/>
    </row>
    <row r="38794" spans="7:24" ht="15" customHeight="1">
      <c r="G38794"/>
      <c r="I38794"/>
      <c r="N38794"/>
      <c r="O38794" s="24"/>
      <c r="P38794"/>
      <c r="Q38794" s="24"/>
      <c r="R38794"/>
      <c r="S38794"/>
      <c r="T38794"/>
      <c r="U38794"/>
      <c r="X38794" s="60"/>
    </row>
    <row r="38795" spans="7:24" ht="15" customHeight="1">
      <c r="G38795"/>
      <c r="I38795"/>
      <c r="N38795"/>
      <c r="O38795" s="24"/>
      <c r="P38795"/>
      <c r="Q38795" s="24"/>
      <c r="R38795"/>
      <c r="S38795"/>
      <c r="T38795"/>
      <c r="U38795"/>
      <c r="X38795" s="60"/>
    </row>
    <row r="38796" spans="7:24" ht="15" customHeight="1">
      <c r="G38796"/>
      <c r="I38796"/>
      <c r="N38796"/>
      <c r="O38796" s="24"/>
      <c r="P38796"/>
      <c r="Q38796" s="24"/>
      <c r="R38796"/>
      <c r="S38796"/>
      <c r="T38796"/>
      <c r="U38796"/>
      <c r="X38796" s="60"/>
    </row>
    <row r="38797" spans="7:24" ht="15" customHeight="1">
      <c r="G38797"/>
      <c r="I38797"/>
      <c r="N38797"/>
      <c r="O38797" s="24"/>
      <c r="P38797"/>
      <c r="Q38797" s="24"/>
      <c r="R38797"/>
      <c r="S38797"/>
      <c r="T38797"/>
      <c r="U38797"/>
      <c r="X38797" s="60"/>
    </row>
    <row r="38798" spans="7:24" ht="15" customHeight="1">
      <c r="G38798"/>
      <c r="I38798"/>
      <c r="N38798"/>
      <c r="O38798" s="24"/>
      <c r="P38798"/>
      <c r="Q38798" s="24"/>
      <c r="R38798"/>
      <c r="S38798"/>
      <c r="T38798"/>
      <c r="U38798"/>
      <c r="X38798" s="60"/>
    </row>
    <row r="38799" spans="7:24" ht="15" customHeight="1">
      <c r="G38799"/>
      <c r="I38799"/>
      <c r="N38799"/>
      <c r="O38799" s="24"/>
      <c r="P38799"/>
      <c r="Q38799" s="24"/>
      <c r="R38799"/>
      <c r="S38799"/>
      <c r="T38799"/>
      <c r="U38799"/>
      <c r="X38799" s="60"/>
    </row>
    <row r="38800" spans="7:24" ht="15" customHeight="1">
      <c r="G38800"/>
      <c r="I38800"/>
      <c r="N38800"/>
      <c r="O38800" s="24"/>
      <c r="P38800"/>
      <c r="Q38800" s="24"/>
      <c r="R38800"/>
      <c r="S38800"/>
      <c r="T38800"/>
      <c r="U38800"/>
      <c r="X38800" s="60"/>
    </row>
    <row r="38801" spans="7:24" ht="15" customHeight="1">
      <c r="G38801"/>
      <c r="I38801"/>
      <c r="N38801"/>
      <c r="O38801" s="24"/>
      <c r="P38801"/>
      <c r="Q38801" s="24"/>
      <c r="R38801"/>
      <c r="S38801"/>
      <c r="T38801"/>
      <c r="U38801"/>
      <c r="X38801" s="60"/>
    </row>
    <row r="38802" spans="7:24" ht="15" customHeight="1">
      <c r="G38802"/>
      <c r="I38802"/>
      <c r="N38802"/>
      <c r="O38802" s="24"/>
      <c r="P38802"/>
      <c r="Q38802" s="24"/>
      <c r="R38802"/>
      <c r="S38802"/>
      <c r="T38802"/>
      <c r="U38802"/>
      <c r="X38802" s="60"/>
    </row>
    <row r="38803" spans="7:24" ht="15" customHeight="1">
      <c r="G38803"/>
      <c r="I38803"/>
      <c r="N38803"/>
      <c r="O38803" s="24"/>
      <c r="P38803"/>
      <c r="Q38803" s="24"/>
      <c r="R38803"/>
      <c r="S38803"/>
      <c r="T38803"/>
      <c r="U38803"/>
      <c r="X38803" s="60"/>
    </row>
    <row r="38804" spans="7:24" ht="15" customHeight="1">
      <c r="G38804"/>
      <c r="I38804"/>
      <c r="N38804"/>
      <c r="O38804" s="24"/>
      <c r="P38804"/>
      <c r="Q38804" s="24"/>
      <c r="R38804"/>
      <c r="S38804"/>
      <c r="T38804"/>
      <c r="U38804"/>
      <c r="X38804" s="60"/>
    </row>
    <row r="38805" spans="7:24" ht="15" customHeight="1">
      <c r="G38805"/>
      <c r="I38805"/>
      <c r="N38805"/>
      <c r="O38805" s="24"/>
      <c r="P38805"/>
      <c r="Q38805" s="24"/>
      <c r="R38805"/>
      <c r="S38805"/>
      <c r="T38805"/>
      <c r="U38805"/>
      <c r="X38805" s="60"/>
    </row>
    <row r="38806" spans="7:24" ht="15" customHeight="1">
      <c r="G38806"/>
      <c r="I38806"/>
      <c r="N38806"/>
      <c r="O38806" s="24"/>
      <c r="P38806"/>
      <c r="Q38806" s="24"/>
      <c r="R38806"/>
      <c r="S38806"/>
      <c r="T38806"/>
      <c r="U38806"/>
      <c r="X38806" s="60"/>
    </row>
    <row r="38807" spans="7:24" ht="15" customHeight="1">
      <c r="G38807"/>
      <c r="I38807"/>
      <c r="N38807"/>
      <c r="O38807" s="24"/>
      <c r="P38807"/>
      <c r="Q38807" s="24"/>
      <c r="R38807"/>
      <c r="S38807"/>
      <c r="T38807"/>
      <c r="U38807"/>
      <c r="X38807" s="60"/>
    </row>
    <row r="38808" spans="7:24" ht="15" customHeight="1">
      <c r="G38808"/>
      <c r="I38808"/>
      <c r="N38808"/>
      <c r="O38808" s="24"/>
      <c r="P38808"/>
      <c r="Q38808" s="24"/>
      <c r="R38808"/>
      <c r="S38808"/>
      <c r="T38808"/>
      <c r="U38808"/>
      <c r="X38808" s="60"/>
    </row>
    <row r="38809" spans="7:24" ht="15" customHeight="1">
      <c r="G38809"/>
      <c r="I38809"/>
      <c r="N38809"/>
      <c r="O38809" s="24"/>
      <c r="P38809"/>
      <c r="Q38809" s="24"/>
      <c r="R38809"/>
      <c r="S38809"/>
      <c r="T38809"/>
      <c r="U38809"/>
      <c r="X38809" s="60"/>
    </row>
    <row r="38810" spans="7:24" ht="15" customHeight="1">
      <c r="G38810"/>
      <c r="I38810"/>
      <c r="N38810"/>
      <c r="O38810" s="24"/>
      <c r="P38810"/>
      <c r="Q38810" s="24"/>
      <c r="R38810"/>
      <c r="S38810"/>
      <c r="T38810"/>
      <c r="U38810"/>
      <c r="X38810" s="60"/>
    </row>
    <row r="38811" spans="7:24" ht="15" customHeight="1">
      <c r="G38811"/>
      <c r="I38811"/>
      <c r="N38811"/>
      <c r="O38811" s="24"/>
      <c r="P38811"/>
      <c r="Q38811" s="24"/>
      <c r="R38811"/>
      <c r="S38811"/>
      <c r="T38811"/>
      <c r="U38811"/>
      <c r="X38811" s="60"/>
    </row>
    <row r="38812" spans="7:24" ht="15" customHeight="1">
      <c r="G38812"/>
      <c r="I38812"/>
      <c r="N38812"/>
      <c r="O38812" s="24"/>
      <c r="P38812"/>
      <c r="Q38812" s="24"/>
      <c r="R38812"/>
      <c r="S38812"/>
      <c r="T38812"/>
      <c r="U38812"/>
      <c r="X38812" s="60"/>
    </row>
    <row r="38813" spans="7:24" ht="15" customHeight="1">
      <c r="G38813"/>
      <c r="I38813"/>
      <c r="N38813"/>
      <c r="O38813" s="24"/>
      <c r="P38813"/>
      <c r="Q38813" s="24"/>
      <c r="R38813"/>
      <c r="S38813"/>
      <c r="T38813"/>
      <c r="U38813"/>
      <c r="X38813" s="60"/>
    </row>
    <row r="38814" spans="7:24" ht="15" customHeight="1">
      <c r="G38814"/>
      <c r="I38814"/>
      <c r="N38814"/>
      <c r="O38814" s="24"/>
      <c r="P38814"/>
      <c r="Q38814" s="24"/>
      <c r="R38814"/>
      <c r="S38814"/>
      <c r="T38814"/>
      <c r="U38814"/>
      <c r="X38814" s="60"/>
    </row>
    <row r="38815" spans="7:24" ht="15" customHeight="1">
      <c r="G38815"/>
      <c r="I38815"/>
      <c r="N38815"/>
      <c r="O38815" s="24"/>
      <c r="P38815"/>
      <c r="Q38815" s="24"/>
      <c r="R38815"/>
      <c r="S38815"/>
      <c r="T38815"/>
      <c r="U38815"/>
      <c r="X38815" s="60"/>
    </row>
    <row r="38816" spans="7:24" ht="15" customHeight="1">
      <c r="G38816"/>
      <c r="I38816"/>
      <c r="N38816"/>
      <c r="O38816" s="24"/>
      <c r="P38816"/>
      <c r="Q38816" s="24"/>
      <c r="R38816"/>
      <c r="S38816"/>
      <c r="T38816"/>
      <c r="U38816"/>
      <c r="X38816" s="60"/>
    </row>
    <row r="38817" spans="7:24" ht="15" customHeight="1">
      <c r="G38817"/>
      <c r="I38817"/>
      <c r="N38817"/>
      <c r="O38817" s="24"/>
      <c r="P38817"/>
      <c r="Q38817" s="24"/>
      <c r="R38817"/>
      <c r="S38817"/>
      <c r="T38817"/>
      <c r="U38817"/>
      <c r="X38817" s="60"/>
    </row>
    <row r="38818" spans="7:24" ht="15" customHeight="1">
      <c r="G38818"/>
      <c r="I38818"/>
      <c r="N38818"/>
      <c r="O38818" s="24"/>
      <c r="P38818"/>
      <c r="Q38818" s="24"/>
      <c r="R38818"/>
      <c r="S38818"/>
      <c r="T38818"/>
      <c r="U38818"/>
      <c r="X38818" s="60"/>
    </row>
    <row r="38819" spans="7:24" ht="15" customHeight="1">
      <c r="G38819"/>
      <c r="I38819"/>
      <c r="N38819"/>
      <c r="O38819" s="24"/>
      <c r="P38819"/>
      <c r="Q38819" s="24"/>
      <c r="R38819"/>
      <c r="S38819"/>
      <c r="T38819"/>
      <c r="U38819"/>
      <c r="X38819" s="60"/>
    </row>
    <row r="38820" spans="7:24" ht="15" customHeight="1">
      <c r="G38820"/>
      <c r="I38820"/>
      <c r="N38820"/>
      <c r="O38820" s="24"/>
      <c r="P38820"/>
      <c r="Q38820" s="24"/>
      <c r="R38820"/>
      <c r="S38820"/>
      <c r="T38820"/>
      <c r="U38820"/>
      <c r="X38820" s="60"/>
    </row>
    <row r="38821" spans="7:24" ht="15" customHeight="1">
      <c r="G38821"/>
      <c r="I38821"/>
      <c r="N38821"/>
      <c r="O38821" s="24"/>
      <c r="P38821"/>
      <c r="Q38821" s="24"/>
      <c r="R38821"/>
      <c r="S38821"/>
      <c r="T38821"/>
      <c r="U38821"/>
      <c r="X38821" s="60"/>
    </row>
    <row r="38822" spans="7:24" ht="15" customHeight="1">
      <c r="G38822"/>
      <c r="I38822"/>
      <c r="N38822"/>
      <c r="O38822" s="24"/>
      <c r="P38822"/>
      <c r="Q38822" s="24"/>
      <c r="R38822"/>
      <c r="S38822"/>
      <c r="T38822"/>
      <c r="U38822"/>
      <c r="X38822" s="60"/>
    </row>
    <row r="38823" spans="7:24" ht="15" customHeight="1">
      <c r="G38823"/>
      <c r="I38823"/>
      <c r="N38823"/>
      <c r="O38823" s="24"/>
      <c r="P38823"/>
      <c r="Q38823" s="24"/>
      <c r="R38823"/>
      <c r="S38823"/>
      <c r="T38823"/>
      <c r="U38823"/>
      <c r="X38823" s="60"/>
    </row>
    <row r="38824" spans="7:24" ht="15" customHeight="1">
      <c r="G38824"/>
      <c r="I38824"/>
      <c r="N38824"/>
      <c r="O38824" s="24"/>
      <c r="P38824"/>
      <c r="Q38824" s="24"/>
      <c r="R38824"/>
      <c r="S38824"/>
      <c r="T38824"/>
      <c r="U38824"/>
      <c r="X38824" s="60"/>
    </row>
    <row r="38825" spans="7:24" ht="15" customHeight="1">
      <c r="G38825"/>
      <c r="I38825"/>
      <c r="N38825"/>
      <c r="O38825" s="24"/>
      <c r="P38825"/>
      <c r="Q38825" s="24"/>
      <c r="R38825"/>
      <c r="S38825"/>
      <c r="T38825"/>
      <c r="U38825"/>
      <c r="X38825" s="60"/>
    </row>
    <row r="38826" spans="7:24" ht="15" customHeight="1">
      <c r="G38826"/>
      <c r="I38826"/>
      <c r="N38826"/>
      <c r="O38826" s="24"/>
      <c r="P38826"/>
      <c r="Q38826" s="24"/>
      <c r="R38826"/>
      <c r="S38826"/>
      <c r="T38826"/>
      <c r="U38826"/>
      <c r="X38826" s="60"/>
    </row>
    <row r="38827" spans="7:24" ht="15" customHeight="1">
      <c r="G38827"/>
      <c r="I38827"/>
      <c r="N38827"/>
      <c r="O38827" s="24"/>
      <c r="P38827"/>
      <c r="Q38827" s="24"/>
      <c r="R38827"/>
      <c r="S38827"/>
      <c r="T38827"/>
      <c r="U38827"/>
      <c r="X38827" s="60"/>
    </row>
    <row r="38828" spans="7:24" ht="15" customHeight="1">
      <c r="G38828"/>
      <c r="I38828"/>
      <c r="N38828"/>
      <c r="O38828" s="24"/>
      <c r="P38828"/>
      <c r="Q38828" s="24"/>
      <c r="R38828"/>
      <c r="S38828"/>
      <c r="T38828"/>
      <c r="U38828"/>
      <c r="X38828" s="60"/>
    </row>
    <row r="38829" spans="7:24" ht="15" customHeight="1">
      <c r="G38829"/>
      <c r="I38829"/>
      <c r="N38829"/>
      <c r="O38829" s="24"/>
      <c r="P38829"/>
      <c r="Q38829" s="24"/>
      <c r="R38829"/>
      <c r="S38829"/>
      <c r="T38829"/>
      <c r="U38829"/>
      <c r="X38829" s="60"/>
    </row>
    <row r="38830" spans="7:24" ht="15" customHeight="1">
      <c r="G38830"/>
      <c r="I38830"/>
      <c r="N38830"/>
      <c r="O38830" s="24"/>
      <c r="P38830"/>
      <c r="Q38830" s="24"/>
      <c r="R38830"/>
      <c r="S38830"/>
      <c r="T38830"/>
      <c r="U38830"/>
      <c r="X38830" s="60"/>
    </row>
    <row r="38831" spans="7:24" ht="15" customHeight="1">
      <c r="G38831"/>
      <c r="I38831"/>
      <c r="N38831"/>
      <c r="O38831" s="24"/>
      <c r="P38831"/>
      <c r="Q38831" s="24"/>
      <c r="R38831"/>
      <c r="S38831"/>
      <c r="T38831"/>
      <c r="U38831"/>
      <c r="X38831" s="60"/>
    </row>
    <row r="38832" spans="7:24" ht="15" customHeight="1">
      <c r="G38832"/>
      <c r="I38832"/>
      <c r="N38832"/>
      <c r="O38832" s="24"/>
      <c r="P38832"/>
      <c r="Q38832" s="24"/>
      <c r="R38832"/>
      <c r="S38832"/>
      <c r="T38832"/>
      <c r="U38832"/>
      <c r="X38832" s="60"/>
    </row>
    <row r="38833" spans="7:24" ht="15" customHeight="1">
      <c r="G38833"/>
      <c r="I38833"/>
      <c r="N38833"/>
      <c r="O38833" s="24"/>
      <c r="P38833"/>
      <c r="Q38833" s="24"/>
      <c r="R38833"/>
      <c r="S38833"/>
      <c r="T38833"/>
      <c r="U38833"/>
      <c r="X38833" s="60"/>
    </row>
    <row r="38834" spans="7:24" ht="15" customHeight="1">
      <c r="G38834"/>
      <c r="I38834"/>
      <c r="N38834"/>
      <c r="O38834" s="24"/>
      <c r="P38834"/>
      <c r="Q38834" s="24"/>
      <c r="R38834"/>
      <c r="S38834"/>
      <c r="T38834"/>
      <c r="U38834"/>
      <c r="X38834" s="60"/>
    </row>
    <row r="38835" spans="7:24" ht="15" customHeight="1">
      <c r="G38835"/>
      <c r="I38835"/>
      <c r="N38835"/>
      <c r="O38835" s="24"/>
      <c r="P38835"/>
      <c r="Q38835" s="24"/>
      <c r="R38835"/>
      <c r="S38835"/>
      <c r="T38835"/>
      <c r="U38835"/>
      <c r="X38835" s="60"/>
    </row>
    <row r="38836" spans="7:24" ht="15" customHeight="1">
      <c r="G38836"/>
      <c r="I38836"/>
      <c r="N38836"/>
      <c r="O38836" s="24"/>
      <c r="P38836"/>
      <c r="Q38836" s="24"/>
      <c r="R38836"/>
      <c r="S38836"/>
      <c r="T38836"/>
      <c r="U38836"/>
      <c r="X38836" s="60"/>
    </row>
    <row r="38837" spans="7:24" ht="15" customHeight="1">
      <c r="G38837"/>
      <c r="I38837"/>
      <c r="N38837"/>
      <c r="O38837" s="24"/>
      <c r="P38837"/>
      <c r="Q38837" s="24"/>
      <c r="R38837"/>
      <c r="S38837"/>
      <c r="T38837"/>
      <c r="U38837"/>
      <c r="X38837" s="60"/>
    </row>
    <row r="38838" spans="7:24" ht="15" customHeight="1">
      <c r="G38838"/>
      <c r="I38838"/>
      <c r="N38838"/>
      <c r="O38838" s="24"/>
      <c r="P38838"/>
      <c r="Q38838" s="24"/>
      <c r="R38838"/>
      <c r="S38838"/>
      <c r="T38838"/>
      <c r="U38838"/>
      <c r="X38838" s="60"/>
    </row>
    <row r="38839" spans="7:24" ht="15" customHeight="1">
      <c r="G38839"/>
      <c r="I38839"/>
      <c r="N38839"/>
      <c r="O38839" s="24"/>
      <c r="P38839"/>
      <c r="Q38839" s="24"/>
      <c r="R38839"/>
      <c r="S38839"/>
      <c r="T38839"/>
      <c r="U38839"/>
      <c r="X38839" s="60"/>
    </row>
    <row r="38840" spans="7:24" ht="15" customHeight="1">
      <c r="G38840"/>
      <c r="I38840"/>
      <c r="N38840"/>
      <c r="O38840" s="24"/>
      <c r="P38840"/>
      <c r="Q38840" s="24"/>
      <c r="R38840"/>
      <c r="S38840"/>
      <c r="T38840"/>
      <c r="U38840"/>
      <c r="X38840" s="60"/>
    </row>
    <row r="38841" spans="7:24" ht="15" customHeight="1">
      <c r="G38841"/>
      <c r="I38841"/>
      <c r="N38841"/>
      <c r="O38841" s="24"/>
      <c r="P38841"/>
      <c r="Q38841" s="24"/>
      <c r="R38841"/>
      <c r="S38841"/>
      <c r="T38841"/>
      <c r="U38841"/>
      <c r="X38841" s="60"/>
    </row>
    <row r="38842" spans="7:24" ht="15" customHeight="1">
      <c r="G38842"/>
      <c r="I38842"/>
      <c r="N38842"/>
      <c r="O38842" s="24"/>
      <c r="P38842"/>
      <c r="Q38842" s="24"/>
      <c r="R38842"/>
      <c r="S38842"/>
      <c r="T38842"/>
      <c r="U38842"/>
      <c r="X38842" s="60"/>
    </row>
    <row r="38843" spans="7:24" ht="15" customHeight="1">
      <c r="G38843"/>
      <c r="I38843"/>
      <c r="N38843"/>
      <c r="O38843" s="24"/>
      <c r="P38843"/>
      <c r="Q38843" s="24"/>
      <c r="R38843"/>
      <c r="S38843"/>
      <c r="T38843"/>
      <c r="U38843"/>
      <c r="X38843" s="60"/>
    </row>
    <row r="38844" spans="7:24" ht="15" customHeight="1">
      <c r="G38844"/>
      <c r="I38844"/>
      <c r="N38844"/>
      <c r="O38844" s="24"/>
      <c r="P38844"/>
      <c r="Q38844" s="24"/>
      <c r="R38844"/>
      <c r="S38844"/>
      <c r="T38844"/>
      <c r="U38844"/>
      <c r="X38844" s="60"/>
    </row>
    <row r="38845" spans="7:24" ht="15" customHeight="1">
      <c r="G38845"/>
      <c r="I38845"/>
      <c r="N38845"/>
      <c r="O38845" s="24"/>
      <c r="P38845"/>
      <c r="Q38845" s="24"/>
      <c r="R38845"/>
      <c r="S38845"/>
      <c r="T38845"/>
      <c r="U38845"/>
      <c r="X38845" s="60"/>
    </row>
    <row r="38846" spans="7:24" ht="15" customHeight="1">
      <c r="G38846"/>
      <c r="I38846"/>
      <c r="N38846"/>
      <c r="O38846" s="24"/>
      <c r="P38846"/>
      <c r="Q38846" s="24"/>
      <c r="R38846"/>
      <c r="S38846"/>
      <c r="T38846"/>
      <c r="U38846"/>
      <c r="X38846" s="60"/>
    </row>
    <row r="38847" spans="7:24" ht="15" customHeight="1">
      <c r="G38847"/>
      <c r="I38847"/>
      <c r="N38847"/>
      <c r="O38847" s="24"/>
      <c r="P38847"/>
      <c r="Q38847" s="24"/>
      <c r="R38847"/>
      <c r="S38847"/>
      <c r="T38847"/>
      <c r="U38847"/>
      <c r="X38847" s="60"/>
    </row>
    <row r="38848" spans="7:24" ht="15" customHeight="1">
      <c r="G38848"/>
      <c r="I38848"/>
      <c r="N38848"/>
      <c r="O38848" s="24"/>
      <c r="P38848"/>
      <c r="Q38848" s="24"/>
      <c r="R38848"/>
      <c r="S38848"/>
      <c r="T38848"/>
      <c r="U38848"/>
      <c r="X38848" s="60"/>
    </row>
    <row r="38849" spans="7:24" ht="15" customHeight="1">
      <c r="G38849"/>
      <c r="I38849"/>
      <c r="N38849"/>
      <c r="O38849" s="24"/>
      <c r="P38849"/>
      <c r="Q38849" s="24"/>
      <c r="R38849"/>
      <c r="S38849"/>
      <c r="T38849"/>
      <c r="U38849"/>
      <c r="X38849" s="60"/>
    </row>
    <row r="38850" spans="7:24" ht="15" customHeight="1">
      <c r="G38850"/>
      <c r="I38850"/>
      <c r="N38850"/>
      <c r="O38850" s="24"/>
      <c r="P38850"/>
      <c r="Q38850" s="24"/>
      <c r="R38850"/>
      <c r="S38850"/>
      <c r="T38850"/>
      <c r="U38850"/>
      <c r="X38850" s="60"/>
    </row>
    <row r="38851" spans="7:24" ht="15" customHeight="1">
      <c r="G38851"/>
      <c r="I38851"/>
      <c r="N38851"/>
      <c r="O38851" s="24"/>
      <c r="P38851"/>
      <c r="Q38851" s="24"/>
      <c r="R38851"/>
      <c r="S38851"/>
      <c r="T38851"/>
      <c r="U38851"/>
      <c r="X38851" s="60"/>
    </row>
    <row r="38852" spans="7:24" ht="15" customHeight="1">
      <c r="G38852"/>
      <c r="I38852"/>
      <c r="N38852"/>
      <c r="O38852" s="24"/>
      <c r="P38852"/>
      <c r="Q38852" s="24"/>
      <c r="R38852"/>
      <c r="S38852"/>
      <c r="T38852"/>
      <c r="U38852"/>
      <c r="X38852" s="60"/>
    </row>
    <row r="38853" spans="7:24" ht="15" customHeight="1">
      <c r="G38853"/>
      <c r="I38853"/>
      <c r="N38853"/>
      <c r="O38853" s="24"/>
      <c r="P38853"/>
      <c r="Q38853" s="24"/>
      <c r="R38853"/>
      <c r="S38853"/>
      <c r="T38853"/>
      <c r="U38853"/>
      <c r="X38853" s="60"/>
    </row>
    <row r="38854" spans="7:24" ht="15" customHeight="1">
      <c r="G38854"/>
      <c r="I38854"/>
      <c r="N38854"/>
      <c r="O38854" s="24"/>
      <c r="P38854"/>
      <c r="Q38854" s="24"/>
      <c r="R38854"/>
      <c r="S38854"/>
      <c r="T38854"/>
      <c r="U38854"/>
      <c r="X38854" s="60"/>
    </row>
    <row r="38855" spans="7:24" ht="15" customHeight="1">
      <c r="G38855"/>
      <c r="I38855"/>
      <c r="N38855"/>
      <c r="O38855" s="24"/>
      <c r="P38855"/>
      <c r="Q38855" s="24"/>
      <c r="R38855"/>
      <c r="S38855"/>
      <c r="T38855"/>
      <c r="U38855"/>
      <c r="X38855" s="60"/>
    </row>
    <row r="38856" spans="7:24" ht="15" customHeight="1">
      <c r="G38856"/>
      <c r="I38856"/>
      <c r="N38856"/>
      <c r="O38856" s="24"/>
      <c r="P38856"/>
      <c r="Q38856" s="24"/>
      <c r="R38856"/>
      <c r="S38856"/>
      <c r="T38856"/>
      <c r="U38856"/>
      <c r="X38856" s="60"/>
    </row>
    <row r="38857" spans="7:24" ht="15" customHeight="1">
      <c r="G38857"/>
      <c r="I38857"/>
      <c r="N38857"/>
      <c r="O38857" s="24"/>
      <c r="P38857"/>
      <c r="Q38857" s="24"/>
      <c r="R38857"/>
      <c r="S38857"/>
      <c r="T38857"/>
      <c r="U38857"/>
      <c r="X38857" s="60"/>
    </row>
    <row r="38858" spans="7:24" ht="15" customHeight="1">
      <c r="G38858"/>
      <c r="I38858"/>
      <c r="N38858"/>
      <c r="O38858" s="24"/>
      <c r="P38858"/>
      <c r="Q38858" s="24"/>
      <c r="R38858"/>
      <c r="S38858"/>
      <c r="T38858"/>
      <c r="U38858"/>
      <c r="X38858" s="60"/>
    </row>
    <row r="38859" spans="7:24" ht="15" customHeight="1">
      <c r="G38859"/>
      <c r="I38859"/>
      <c r="N38859"/>
      <c r="O38859" s="24"/>
      <c r="P38859"/>
      <c r="Q38859" s="24"/>
      <c r="R38859"/>
      <c r="S38859"/>
      <c r="T38859"/>
      <c r="U38859"/>
      <c r="X38859" s="60"/>
    </row>
    <row r="38860" spans="7:24" ht="15" customHeight="1">
      <c r="G38860"/>
      <c r="I38860"/>
      <c r="N38860"/>
      <c r="O38860" s="24"/>
      <c r="P38860"/>
      <c r="Q38860" s="24"/>
      <c r="R38860"/>
      <c r="S38860"/>
      <c r="T38860"/>
      <c r="U38860"/>
      <c r="X38860" s="60"/>
    </row>
    <row r="38861" spans="7:24" ht="15" customHeight="1">
      <c r="G38861"/>
      <c r="I38861"/>
      <c r="N38861"/>
      <c r="O38861" s="24"/>
      <c r="P38861"/>
      <c r="Q38861" s="24"/>
      <c r="R38861"/>
      <c r="S38861"/>
      <c r="T38861"/>
      <c r="U38861"/>
      <c r="X38861" s="60"/>
    </row>
    <row r="38862" spans="7:24" ht="15" customHeight="1">
      <c r="G38862"/>
      <c r="I38862"/>
      <c r="N38862"/>
      <c r="O38862" s="24"/>
      <c r="P38862"/>
      <c r="Q38862" s="24"/>
      <c r="R38862"/>
      <c r="S38862"/>
      <c r="T38862"/>
      <c r="U38862"/>
      <c r="X38862" s="60"/>
    </row>
    <row r="38863" spans="7:24" ht="15" customHeight="1">
      <c r="G38863"/>
      <c r="I38863"/>
      <c r="N38863"/>
      <c r="O38863" s="24"/>
      <c r="P38863"/>
      <c r="Q38863" s="24"/>
      <c r="R38863"/>
      <c r="S38863"/>
      <c r="T38863"/>
      <c r="U38863"/>
      <c r="X38863" s="60"/>
    </row>
    <row r="38864" spans="7:24" ht="15" customHeight="1">
      <c r="G38864"/>
      <c r="I38864"/>
      <c r="N38864"/>
      <c r="O38864" s="24"/>
      <c r="P38864"/>
      <c r="Q38864" s="24"/>
      <c r="R38864"/>
      <c r="S38864"/>
      <c r="T38864"/>
      <c r="U38864"/>
      <c r="X38864" s="60"/>
    </row>
    <row r="38865" spans="7:24" ht="15" customHeight="1">
      <c r="G38865"/>
      <c r="I38865"/>
      <c r="N38865"/>
      <c r="O38865" s="24"/>
      <c r="P38865"/>
      <c r="Q38865" s="24"/>
      <c r="R38865"/>
      <c r="S38865"/>
      <c r="T38865"/>
      <c r="U38865"/>
      <c r="X38865" s="60"/>
    </row>
    <row r="38866" spans="7:24" ht="15" customHeight="1">
      <c r="G38866"/>
      <c r="I38866"/>
      <c r="N38866"/>
      <c r="O38866" s="24"/>
      <c r="P38866"/>
      <c r="Q38866" s="24"/>
      <c r="R38866"/>
      <c r="S38866"/>
      <c r="T38866"/>
      <c r="U38866"/>
      <c r="X38866" s="60"/>
    </row>
    <row r="38867" spans="7:24" ht="15" customHeight="1">
      <c r="G38867"/>
      <c r="I38867"/>
      <c r="N38867"/>
      <c r="O38867" s="24"/>
      <c r="P38867"/>
      <c r="Q38867" s="24"/>
      <c r="R38867"/>
      <c r="S38867"/>
      <c r="T38867"/>
      <c r="U38867"/>
      <c r="X38867" s="60"/>
    </row>
    <row r="38868" spans="7:24" ht="15" customHeight="1">
      <c r="G38868"/>
      <c r="I38868"/>
      <c r="N38868"/>
      <c r="O38868" s="24"/>
      <c r="P38868"/>
      <c r="Q38868" s="24"/>
      <c r="R38868"/>
      <c r="S38868"/>
      <c r="T38868"/>
      <c r="U38868"/>
      <c r="X38868" s="60"/>
    </row>
    <row r="38869" spans="7:24" ht="15" customHeight="1">
      <c r="G38869"/>
      <c r="I38869"/>
      <c r="N38869"/>
      <c r="O38869" s="24"/>
      <c r="P38869"/>
      <c r="Q38869" s="24"/>
      <c r="R38869"/>
      <c r="S38869"/>
      <c r="T38869"/>
      <c r="U38869"/>
      <c r="X38869" s="60"/>
    </row>
    <row r="38870" spans="7:24" ht="15" customHeight="1">
      <c r="G38870"/>
      <c r="I38870"/>
      <c r="N38870"/>
      <c r="O38870" s="24"/>
      <c r="P38870"/>
      <c r="Q38870" s="24"/>
      <c r="R38870"/>
      <c r="S38870"/>
      <c r="T38870"/>
      <c r="U38870"/>
      <c r="X38870" s="60"/>
    </row>
    <row r="38871" spans="7:24" ht="15" customHeight="1">
      <c r="G38871"/>
      <c r="I38871"/>
      <c r="N38871"/>
      <c r="O38871" s="24"/>
      <c r="P38871"/>
      <c r="Q38871" s="24"/>
      <c r="R38871"/>
      <c r="S38871"/>
      <c r="T38871"/>
      <c r="U38871"/>
      <c r="X38871" s="60"/>
    </row>
    <row r="38872" spans="7:24" ht="15" customHeight="1">
      <c r="G38872"/>
      <c r="I38872"/>
      <c r="N38872"/>
      <c r="O38872" s="24"/>
      <c r="P38872"/>
      <c r="Q38872" s="24"/>
      <c r="R38872"/>
      <c r="S38872"/>
      <c r="T38872"/>
      <c r="U38872"/>
      <c r="X38872" s="60"/>
    </row>
    <row r="38873" spans="7:24" ht="15" customHeight="1">
      <c r="G38873"/>
      <c r="I38873"/>
      <c r="N38873"/>
      <c r="O38873" s="24"/>
      <c r="P38873"/>
      <c r="Q38873" s="24"/>
      <c r="R38873"/>
      <c r="S38873"/>
      <c r="T38873"/>
      <c r="U38873"/>
      <c r="X38873" s="60"/>
    </row>
    <row r="38874" spans="7:24" ht="15" customHeight="1">
      <c r="G38874"/>
      <c r="I38874"/>
      <c r="N38874"/>
      <c r="O38874" s="24"/>
      <c r="P38874"/>
      <c r="Q38874" s="24"/>
      <c r="R38874"/>
      <c r="S38874"/>
      <c r="T38874"/>
      <c r="U38874"/>
      <c r="X38874" s="60"/>
    </row>
    <row r="38875" spans="7:24" ht="15" customHeight="1">
      <c r="G38875"/>
      <c r="I38875"/>
      <c r="N38875"/>
      <c r="O38875" s="24"/>
      <c r="P38875"/>
      <c r="Q38875" s="24"/>
      <c r="R38875"/>
      <c r="S38875"/>
      <c r="T38875"/>
      <c r="U38875"/>
      <c r="X38875" s="60"/>
    </row>
    <row r="38876" spans="7:24" ht="15" customHeight="1">
      <c r="G38876"/>
      <c r="I38876"/>
      <c r="N38876"/>
      <c r="O38876" s="24"/>
      <c r="P38876"/>
      <c r="Q38876" s="24"/>
      <c r="R38876"/>
      <c r="S38876"/>
      <c r="T38876"/>
      <c r="U38876"/>
      <c r="X38876" s="60"/>
    </row>
    <row r="38877" spans="7:24" ht="15" customHeight="1">
      <c r="G38877"/>
      <c r="I38877"/>
      <c r="N38877"/>
      <c r="O38877" s="24"/>
      <c r="P38877"/>
      <c r="Q38877" s="24"/>
      <c r="R38877"/>
      <c r="S38877"/>
      <c r="T38877"/>
      <c r="U38877"/>
      <c r="X38877" s="60"/>
    </row>
    <row r="38878" spans="7:24" ht="15" customHeight="1">
      <c r="G38878"/>
      <c r="I38878"/>
      <c r="N38878"/>
      <c r="O38878" s="24"/>
      <c r="P38878"/>
      <c r="Q38878" s="24"/>
      <c r="R38878"/>
      <c r="S38878"/>
      <c r="T38878"/>
      <c r="U38878"/>
      <c r="X38878" s="60"/>
    </row>
    <row r="38879" spans="7:24" ht="15" customHeight="1">
      <c r="G38879"/>
      <c r="I38879"/>
      <c r="N38879"/>
      <c r="O38879" s="24"/>
      <c r="P38879"/>
      <c r="Q38879" s="24"/>
      <c r="R38879"/>
      <c r="S38879"/>
      <c r="T38879"/>
      <c r="U38879"/>
      <c r="X38879" s="60"/>
    </row>
    <row r="38880" spans="7:24" ht="15" customHeight="1">
      <c r="G38880"/>
      <c r="I38880"/>
      <c r="N38880"/>
      <c r="O38880" s="24"/>
      <c r="P38880"/>
      <c r="Q38880" s="24"/>
      <c r="R38880"/>
      <c r="S38880"/>
      <c r="T38880"/>
      <c r="U38880"/>
      <c r="X38880" s="60"/>
    </row>
    <row r="38881" spans="7:24" ht="15" customHeight="1">
      <c r="G38881"/>
      <c r="I38881"/>
      <c r="N38881"/>
      <c r="O38881" s="24"/>
      <c r="P38881"/>
      <c r="Q38881" s="24"/>
      <c r="R38881"/>
      <c r="S38881"/>
      <c r="T38881"/>
      <c r="U38881"/>
      <c r="X38881" s="60"/>
    </row>
    <row r="38882" spans="7:24" ht="15" customHeight="1">
      <c r="G38882"/>
      <c r="I38882"/>
      <c r="N38882"/>
      <c r="O38882" s="24"/>
      <c r="P38882"/>
      <c r="Q38882" s="24"/>
      <c r="R38882"/>
      <c r="S38882"/>
      <c r="T38882"/>
      <c r="U38882"/>
      <c r="X38882" s="60"/>
    </row>
    <row r="38883" spans="7:24" ht="15" customHeight="1">
      <c r="G38883"/>
      <c r="I38883"/>
      <c r="N38883"/>
      <c r="O38883" s="24"/>
      <c r="P38883"/>
      <c r="Q38883" s="24"/>
      <c r="R38883"/>
      <c r="S38883"/>
      <c r="T38883"/>
      <c r="U38883"/>
      <c r="X38883" s="60"/>
    </row>
    <row r="38884" spans="7:24" ht="15" customHeight="1">
      <c r="G38884"/>
      <c r="I38884"/>
      <c r="N38884"/>
      <c r="O38884" s="24"/>
      <c r="P38884"/>
      <c r="Q38884" s="24"/>
      <c r="R38884"/>
      <c r="S38884"/>
      <c r="T38884"/>
      <c r="U38884"/>
      <c r="X38884" s="60"/>
    </row>
    <row r="38885" spans="7:24" ht="15" customHeight="1">
      <c r="G38885"/>
      <c r="I38885"/>
      <c r="N38885"/>
      <c r="O38885" s="24"/>
      <c r="P38885"/>
      <c r="Q38885" s="24"/>
      <c r="R38885"/>
      <c r="S38885"/>
      <c r="T38885"/>
      <c r="U38885"/>
      <c r="X38885" s="60"/>
    </row>
    <row r="38886" spans="7:24" ht="15" customHeight="1">
      <c r="G38886"/>
      <c r="I38886"/>
      <c r="N38886"/>
      <c r="O38886" s="24"/>
      <c r="P38886"/>
      <c r="Q38886" s="24"/>
      <c r="R38886"/>
      <c r="S38886"/>
      <c r="T38886"/>
      <c r="U38886"/>
      <c r="X38886" s="60"/>
    </row>
    <row r="38887" spans="7:24" ht="15" customHeight="1">
      <c r="G38887"/>
      <c r="I38887"/>
      <c r="N38887"/>
      <c r="O38887" s="24"/>
      <c r="P38887"/>
      <c r="Q38887" s="24"/>
      <c r="R38887"/>
      <c r="S38887"/>
      <c r="T38887"/>
      <c r="U38887"/>
      <c r="X38887" s="60"/>
    </row>
    <row r="38888" spans="7:24" ht="15" customHeight="1">
      <c r="G38888"/>
      <c r="I38888"/>
      <c r="N38888"/>
      <c r="O38888" s="24"/>
      <c r="P38888"/>
      <c r="Q38888" s="24"/>
      <c r="R38888"/>
      <c r="S38888"/>
      <c r="T38888"/>
      <c r="U38888"/>
      <c r="X38888" s="60"/>
    </row>
    <row r="38889" spans="7:24" ht="15" customHeight="1">
      <c r="G38889"/>
      <c r="I38889"/>
      <c r="N38889"/>
      <c r="O38889" s="24"/>
      <c r="P38889"/>
      <c r="Q38889" s="24"/>
      <c r="R38889"/>
      <c r="S38889"/>
      <c r="T38889"/>
      <c r="U38889"/>
      <c r="X38889" s="60"/>
    </row>
    <row r="38890" spans="7:24" ht="15" customHeight="1">
      <c r="G38890"/>
      <c r="I38890"/>
      <c r="N38890"/>
      <c r="O38890" s="24"/>
      <c r="P38890"/>
      <c r="Q38890" s="24"/>
      <c r="R38890"/>
      <c r="S38890"/>
      <c r="T38890"/>
      <c r="U38890"/>
      <c r="X38890" s="60"/>
    </row>
    <row r="38891" spans="7:24" ht="15" customHeight="1">
      <c r="G38891"/>
      <c r="I38891"/>
      <c r="N38891"/>
      <c r="O38891" s="24"/>
      <c r="P38891"/>
      <c r="Q38891" s="24"/>
      <c r="R38891"/>
      <c r="S38891"/>
      <c r="T38891"/>
      <c r="U38891"/>
      <c r="X38891" s="60"/>
    </row>
    <row r="38892" spans="7:24" ht="15" customHeight="1">
      <c r="G38892"/>
      <c r="I38892"/>
      <c r="N38892"/>
      <c r="O38892" s="24"/>
      <c r="P38892"/>
      <c r="Q38892" s="24"/>
      <c r="R38892"/>
      <c r="S38892"/>
      <c r="T38892"/>
      <c r="U38892"/>
      <c r="X38892" s="60"/>
    </row>
    <row r="38893" spans="7:24" ht="15" customHeight="1">
      <c r="G38893"/>
      <c r="I38893"/>
      <c r="N38893"/>
      <c r="O38893" s="24"/>
      <c r="P38893"/>
      <c r="Q38893" s="24"/>
      <c r="R38893"/>
      <c r="S38893"/>
      <c r="T38893"/>
      <c r="U38893"/>
      <c r="X38893" s="60"/>
    </row>
    <row r="38894" spans="7:24" ht="15" customHeight="1">
      <c r="G38894"/>
      <c r="I38894"/>
      <c r="N38894"/>
      <c r="O38894" s="24"/>
      <c r="P38894"/>
      <c r="Q38894" s="24"/>
      <c r="R38894"/>
      <c r="S38894"/>
      <c r="T38894"/>
      <c r="U38894"/>
      <c r="X38894" s="60"/>
    </row>
    <row r="38895" spans="7:24" ht="15" customHeight="1">
      <c r="G38895"/>
      <c r="I38895"/>
      <c r="N38895"/>
      <c r="O38895" s="24"/>
      <c r="P38895"/>
      <c r="Q38895" s="24"/>
      <c r="R38895"/>
      <c r="S38895"/>
      <c r="T38895"/>
      <c r="U38895"/>
      <c r="X38895" s="60"/>
    </row>
    <row r="38896" spans="7:24" ht="15" customHeight="1">
      <c r="G38896"/>
      <c r="I38896"/>
      <c r="N38896"/>
      <c r="O38896" s="24"/>
      <c r="P38896"/>
      <c r="Q38896" s="24"/>
      <c r="R38896"/>
      <c r="S38896"/>
      <c r="T38896"/>
      <c r="U38896"/>
      <c r="X38896" s="60"/>
    </row>
    <row r="38897" spans="7:24" ht="15" customHeight="1">
      <c r="G38897"/>
      <c r="I38897"/>
      <c r="N38897"/>
      <c r="O38897" s="24"/>
      <c r="P38897"/>
      <c r="Q38897" s="24"/>
      <c r="R38897"/>
      <c r="S38897"/>
      <c r="T38897"/>
      <c r="U38897"/>
      <c r="X38897" s="60"/>
    </row>
    <row r="38898" spans="7:24" ht="15" customHeight="1">
      <c r="G38898"/>
      <c r="I38898"/>
      <c r="N38898"/>
      <c r="O38898" s="24"/>
      <c r="P38898"/>
      <c r="Q38898" s="24"/>
      <c r="R38898"/>
      <c r="S38898"/>
      <c r="T38898"/>
      <c r="U38898"/>
      <c r="X38898" s="60"/>
    </row>
    <row r="38899" spans="7:24" ht="15" customHeight="1">
      <c r="G38899"/>
      <c r="I38899"/>
      <c r="N38899"/>
      <c r="O38899" s="24"/>
      <c r="P38899"/>
      <c r="Q38899" s="24"/>
      <c r="R38899"/>
      <c r="S38899"/>
      <c r="T38899"/>
      <c r="U38899"/>
      <c r="X38899" s="60"/>
    </row>
    <row r="38900" spans="7:24" ht="15" customHeight="1">
      <c r="G38900"/>
      <c r="I38900"/>
      <c r="N38900"/>
      <c r="O38900" s="24"/>
      <c r="P38900"/>
      <c r="Q38900" s="24"/>
      <c r="R38900"/>
      <c r="S38900"/>
      <c r="T38900"/>
      <c r="U38900"/>
      <c r="X38900" s="60"/>
    </row>
    <row r="38901" spans="7:24" ht="15" customHeight="1">
      <c r="G38901"/>
      <c r="I38901"/>
      <c r="N38901"/>
      <c r="O38901" s="24"/>
      <c r="P38901"/>
      <c r="Q38901" s="24"/>
      <c r="R38901"/>
      <c r="S38901"/>
      <c r="T38901"/>
      <c r="U38901"/>
      <c r="X38901" s="60"/>
    </row>
    <row r="38902" spans="7:24" ht="15" customHeight="1">
      <c r="G38902"/>
      <c r="I38902"/>
      <c r="N38902"/>
      <c r="O38902" s="24"/>
      <c r="P38902"/>
      <c r="Q38902" s="24"/>
      <c r="R38902"/>
      <c r="S38902"/>
      <c r="T38902"/>
      <c r="U38902"/>
      <c r="X38902" s="60"/>
    </row>
    <row r="38903" spans="7:24" ht="15" customHeight="1">
      <c r="G38903"/>
      <c r="I38903"/>
      <c r="N38903"/>
      <c r="O38903" s="24"/>
      <c r="P38903"/>
      <c r="Q38903" s="24"/>
      <c r="R38903"/>
      <c r="S38903"/>
      <c r="T38903"/>
      <c r="U38903"/>
      <c r="X38903" s="60"/>
    </row>
    <row r="38904" spans="7:24" ht="15" customHeight="1">
      <c r="G38904"/>
      <c r="I38904"/>
      <c r="N38904"/>
      <c r="O38904" s="24"/>
      <c r="P38904"/>
      <c r="Q38904" s="24"/>
      <c r="R38904"/>
      <c r="S38904"/>
      <c r="T38904"/>
      <c r="U38904"/>
      <c r="X38904" s="60"/>
    </row>
    <row r="38905" spans="7:24" ht="15" customHeight="1">
      <c r="G38905"/>
      <c r="I38905"/>
      <c r="N38905"/>
      <c r="O38905" s="24"/>
      <c r="P38905"/>
      <c r="Q38905" s="24"/>
      <c r="R38905"/>
      <c r="S38905"/>
      <c r="T38905"/>
      <c r="U38905"/>
      <c r="X38905" s="60"/>
    </row>
    <row r="38906" spans="7:24" ht="15" customHeight="1">
      <c r="G38906"/>
      <c r="I38906"/>
      <c r="N38906"/>
      <c r="O38906" s="24"/>
      <c r="P38906"/>
      <c r="Q38906" s="24"/>
      <c r="R38906"/>
      <c r="S38906"/>
      <c r="T38906"/>
      <c r="U38906"/>
      <c r="X38906" s="60"/>
    </row>
    <row r="38907" spans="7:24" ht="15" customHeight="1">
      <c r="G38907"/>
      <c r="I38907"/>
      <c r="N38907"/>
      <c r="O38907" s="24"/>
      <c r="P38907"/>
      <c r="Q38907" s="24"/>
      <c r="R38907"/>
      <c r="S38907"/>
      <c r="T38907"/>
      <c r="U38907"/>
      <c r="X38907" s="60"/>
    </row>
    <row r="38908" spans="7:24" ht="15" customHeight="1">
      <c r="G38908"/>
      <c r="I38908"/>
      <c r="N38908"/>
      <c r="O38908" s="24"/>
      <c r="P38908"/>
      <c r="Q38908" s="24"/>
      <c r="R38908"/>
      <c r="S38908"/>
      <c r="T38908"/>
      <c r="U38908"/>
      <c r="X38908" s="60"/>
    </row>
    <row r="38909" spans="7:24" ht="15" customHeight="1">
      <c r="G38909"/>
      <c r="I38909"/>
      <c r="N38909"/>
      <c r="O38909" s="24"/>
      <c r="P38909"/>
      <c r="Q38909" s="24"/>
      <c r="R38909"/>
      <c r="S38909"/>
      <c r="T38909"/>
      <c r="U38909"/>
      <c r="X38909" s="60"/>
    </row>
    <row r="38910" spans="7:24" ht="15" customHeight="1">
      <c r="G38910"/>
      <c r="I38910"/>
      <c r="N38910"/>
      <c r="O38910" s="24"/>
      <c r="P38910"/>
      <c r="Q38910" s="24"/>
      <c r="R38910"/>
      <c r="S38910"/>
      <c r="T38910"/>
      <c r="U38910"/>
      <c r="X38910" s="60"/>
    </row>
    <row r="38911" spans="7:24" ht="15" customHeight="1">
      <c r="G38911"/>
      <c r="I38911"/>
      <c r="N38911"/>
      <c r="O38911" s="24"/>
      <c r="P38911"/>
      <c r="Q38911" s="24"/>
      <c r="R38911"/>
      <c r="S38911"/>
      <c r="T38911"/>
      <c r="U38911"/>
      <c r="X38911" s="60"/>
    </row>
    <row r="38912" spans="7:24" ht="15" customHeight="1">
      <c r="G38912"/>
      <c r="I38912"/>
      <c r="N38912"/>
      <c r="O38912" s="24"/>
      <c r="P38912"/>
      <c r="Q38912" s="24"/>
      <c r="R38912"/>
      <c r="S38912"/>
      <c r="T38912"/>
      <c r="U38912"/>
      <c r="X38912" s="60"/>
    </row>
    <row r="38913" spans="7:24" ht="15" customHeight="1">
      <c r="G38913"/>
      <c r="I38913"/>
      <c r="N38913"/>
      <c r="O38913" s="24"/>
      <c r="P38913"/>
      <c r="Q38913" s="24"/>
      <c r="R38913"/>
      <c r="S38913"/>
      <c r="T38913"/>
      <c r="U38913"/>
      <c r="X38913" s="60"/>
    </row>
    <row r="38914" spans="7:24" ht="15" customHeight="1">
      <c r="G38914"/>
      <c r="I38914"/>
      <c r="N38914"/>
      <c r="O38914" s="24"/>
      <c r="P38914"/>
      <c r="Q38914" s="24"/>
      <c r="R38914"/>
      <c r="S38914"/>
      <c r="T38914"/>
      <c r="U38914"/>
      <c r="X38914" s="60"/>
    </row>
    <row r="38915" spans="7:24" ht="15" customHeight="1">
      <c r="G38915"/>
      <c r="I38915"/>
      <c r="N38915"/>
      <c r="O38915" s="24"/>
      <c r="P38915"/>
      <c r="Q38915" s="24"/>
      <c r="R38915"/>
      <c r="S38915"/>
      <c r="T38915"/>
      <c r="U38915"/>
      <c r="X38915" s="60"/>
    </row>
    <row r="38916" spans="7:24" ht="15" customHeight="1">
      <c r="G38916"/>
      <c r="I38916"/>
      <c r="N38916"/>
      <c r="O38916" s="24"/>
      <c r="P38916"/>
      <c r="Q38916" s="24"/>
      <c r="R38916"/>
      <c r="S38916"/>
      <c r="T38916"/>
      <c r="U38916"/>
      <c r="X38916" s="60"/>
    </row>
    <row r="38917" spans="7:24" ht="15" customHeight="1">
      <c r="G38917"/>
      <c r="I38917"/>
      <c r="N38917"/>
      <c r="O38917" s="24"/>
      <c r="P38917"/>
      <c r="Q38917" s="24"/>
      <c r="R38917"/>
      <c r="S38917"/>
      <c r="T38917"/>
      <c r="U38917"/>
      <c r="X38917" s="60"/>
    </row>
    <row r="38918" spans="7:24" ht="15" customHeight="1">
      <c r="G38918"/>
      <c r="I38918"/>
      <c r="N38918"/>
      <c r="O38918" s="24"/>
      <c r="P38918"/>
      <c r="Q38918" s="24"/>
      <c r="R38918"/>
      <c r="S38918"/>
      <c r="T38918"/>
      <c r="U38918"/>
      <c r="X38918" s="60"/>
    </row>
    <row r="38919" spans="7:24" ht="15" customHeight="1">
      <c r="G38919"/>
      <c r="I38919"/>
      <c r="N38919"/>
      <c r="O38919" s="24"/>
      <c r="P38919"/>
      <c r="Q38919" s="24"/>
      <c r="R38919"/>
      <c r="S38919"/>
      <c r="T38919"/>
      <c r="U38919"/>
      <c r="X38919" s="60"/>
    </row>
    <row r="38920" spans="7:24" ht="15" customHeight="1">
      <c r="G38920"/>
      <c r="I38920"/>
      <c r="N38920"/>
      <c r="O38920" s="24"/>
      <c r="P38920"/>
      <c r="Q38920" s="24"/>
      <c r="R38920"/>
      <c r="S38920"/>
      <c r="T38920"/>
      <c r="U38920"/>
      <c r="X38920" s="60"/>
    </row>
    <row r="38921" spans="7:24" ht="15" customHeight="1">
      <c r="G38921"/>
      <c r="I38921"/>
      <c r="N38921"/>
      <c r="O38921" s="24"/>
      <c r="P38921"/>
      <c r="Q38921" s="24"/>
      <c r="R38921"/>
      <c r="S38921"/>
      <c r="T38921"/>
      <c r="U38921"/>
      <c r="X38921" s="60"/>
    </row>
    <row r="38922" spans="7:24" ht="15" customHeight="1">
      <c r="G38922"/>
      <c r="I38922"/>
      <c r="N38922"/>
      <c r="O38922" s="24"/>
      <c r="P38922"/>
      <c r="Q38922" s="24"/>
      <c r="R38922"/>
      <c r="S38922"/>
      <c r="T38922"/>
      <c r="U38922"/>
      <c r="X38922" s="60"/>
    </row>
    <row r="38923" spans="7:24" ht="15" customHeight="1">
      <c r="G38923"/>
      <c r="I38923"/>
      <c r="N38923"/>
      <c r="O38923" s="24"/>
      <c r="P38923"/>
      <c r="Q38923" s="24"/>
      <c r="R38923"/>
      <c r="S38923"/>
      <c r="T38923"/>
      <c r="U38923"/>
      <c r="X38923" s="60"/>
    </row>
    <row r="38924" spans="7:24" ht="15" customHeight="1">
      <c r="G38924"/>
      <c r="I38924"/>
      <c r="N38924"/>
      <c r="O38924" s="24"/>
      <c r="P38924"/>
      <c r="Q38924" s="24"/>
      <c r="R38924"/>
      <c r="S38924"/>
      <c r="T38924"/>
      <c r="U38924"/>
      <c r="X38924" s="60"/>
    </row>
    <row r="38925" spans="7:24" ht="15" customHeight="1">
      <c r="G38925"/>
      <c r="I38925"/>
      <c r="N38925"/>
      <c r="O38925" s="24"/>
      <c r="P38925"/>
      <c r="Q38925" s="24"/>
      <c r="R38925"/>
      <c r="S38925"/>
      <c r="T38925"/>
      <c r="U38925"/>
      <c r="X38925" s="60"/>
    </row>
    <row r="38926" spans="7:24" ht="15" customHeight="1">
      <c r="G38926"/>
      <c r="I38926"/>
      <c r="N38926"/>
      <c r="O38926" s="24"/>
      <c r="P38926"/>
      <c r="Q38926" s="24"/>
      <c r="R38926"/>
      <c r="S38926"/>
      <c r="T38926"/>
      <c r="U38926"/>
      <c r="X38926" s="60"/>
    </row>
    <row r="38927" spans="7:24" ht="15" customHeight="1">
      <c r="G38927"/>
      <c r="I38927"/>
      <c r="N38927"/>
      <c r="O38927" s="24"/>
      <c r="P38927"/>
      <c r="Q38927" s="24"/>
      <c r="R38927"/>
      <c r="S38927"/>
      <c r="T38927"/>
      <c r="U38927"/>
      <c r="X38927" s="60"/>
    </row>
    <row r="38928" spans="7:24" ht="15" customHeight="1">
      <c r="G38928"/>
      <c r="I38928"/>
      <c r="N38928"/>
      <c r="O38928" s="24"/>
      <c r="P38928"/>
      <c r="Q38928" s="24"/>
      <c r="R38928"/>
      <c r="S38928"/>
      <c r="T38928"/>
      <c r="U38928"/>
      <c r="X38928" s="60"/>
    </row>
    <row r="38929" spans="7:24" ht="15" customHeight="1">
      <c r="G38929"/>
      <c r="I38929"/>
      <c r="N38929"/>
      <c r="O38929" s="24"/>
      <c r="P38929"/>
      <c r="Q38929" s="24"/>
      <c r="R38929"/>
      <c r="S38929"/>
      <c r="T38929"/>
      <c r="U38929"/>
      <c r="X38929" s="60"/>
    </row>
    <row r="38930" spans="7:24" ht="15" customHeight="1">
      <c r="G38930"/>
      <c r="I38930"/>
      <c r="N38930"/>
      <c r="O38930" s="24"/>
      <c r="P38930"/>
      <c r="Q38930" s="24"/>
      <c r="R38930"/>
      <c r="S38930"/>
      <c r="T38930"/>
      <c r="U38930"/>
      <c r="X38930" s="60"/>
    </row>
    <row r="38931" spans="7:24" ht="15" customHeight="1">
      <c r="G38931"/>
      <c r="I38931"/>
      <c r="N38931"/>
      <c r="O38931" s="24"/>
      <c r="P38931"/>
      <c r="Q38931" s="24"/>
      <c r="R38931"/>
      <c r="S38931"/>
      <c r="T38931"/>
      <c r="U38931"/>
      <c r="X38931" s="60"/>
    </row>
    <row r="38932" spans="7:24" ht="15" customHeight="1">
      <c r="G38932"/>
      <c r="I38932"/>
      <c r="N38932"/>
      <c r="O38932" s="24"/>
      <c r="P38932"/>
      <c r="Q38932" s="24"/>
      <c r="R38932"/>
      <c r="S38932"/>
      <c r="T38932"/>
      <c r="U38932"/>
      <c r="X38932" s="60"/>
    </row>
    <row r="38933" spans="7:24" ht="15" customHeight="1">
      <c r="G38933"/>
      <c r="I38933"/>
      <c r="N38933"/>
      <c r="O38933" s="24"/>
      <c r="P38933"/>
      <c r="Q38933" s="24"/>
      <c r="R38933"/>
      <c r="S38933"/>
      <c r="T38933"/>
      <c r="U38933"/>
      <c r="X38933" s="60"/>
    </row>
    <row r="38934" spans="7:24" ht="15" customHeight="1">
      <c r="G38934"/>
      <c r="I38934"/>
      <c r="N38934"/>
      <c r="O38934" s="24"/>
      <c r="P38934"/>
      <c r="Q38934" s="24"/>
      <c r="R38934"/>
      <c r="S38934"/>
      <c r="T38934"/>
      <c r="U38934"/>
      <c r="X38934" s="60"/>
    </row>
    <row r="38935" spans="7:24" ht="15" customHeight="1">
      <c r="G38935"/>
      <c r="I38935"/>
      <c r="N38935"/>
      <c r="O38935" s="24"/>
      <c r="P38935"/>
      <c r="Q38935" s="24"/>
      <c r="R38935"/>
      <c r="S38935"/>
      <c r="T38935"/>
      <c r="U38935"/>
      <c r="X38935" s="60"/>
    </row>
    <row r="38936" spans="7:24" ht="15" customHeight="1">
      <c r="G38936"/>
      <c r="I38936"/>
      <c r="N38936"/>
      <c r="O38936" s="24"/>
      <c r="P38936"/>
      <c r="Q38936" s="24"/>
      <c r="R38936"/>
      <c r="S38936"/>
      <c r="T38936"/>
      <c r="U38936"/>
      <c r="X38936" s="60"/>
    </row>
    <row r="38937" spans="7:24" ht="15" customHeight="1">
      <c r="G38937"/>
      <c r="I38937"/>
      <c r="N38937"/>
      <c r="O38937" s="24"/>
      <c r="P38937"/>
      <c r="Q38937" s="24"/>
      <c r="R38937"/>
      <c r="S38937"/>
      <c r="T38937"/>
      <c r="U38937"/>
      <c r="X38937" s="60"/>
    </row>
    <row r="38938" spans="7:24" ht="15" customHeight="1">
      <c r="G38938"/>
      <c r="I38938"/>
      <c r="N38938"/>
      <c r="O38938" s="24"/>
      <c r="P38938"/>
      <c r="Q38938" s="24"/>
      <c r="R38938"/>
      <c r="S38938"/>
      <c r="T38938"/>
      <c r="U38938"/>
      <c r="X38938" s="60"/>
    </row>
    <row r="38939" spans="7:24" ht="15" customHeight="1">
      <c r="G38939"/>
      <c r="I38939"/>
      <c r="N38939"/>
      <c r="O38939" s="24"/>
      <c r="P38939"/>
      <c r="Q38939" s="24"/>
      <c r="R38939"/>
      <c r="S38939"/>
      <c r="T38939"/>
      <c r="U38939"/>
      <c r="X38939" s="60"/>
    </row>
    <row r="38940" spans="7:24" ht="15" customHeight="1">
      <c r="G38940"/>
      <c r="I38940"/>
      <c r="N38940"/>
      <c r="O38940" s="24"/>
      <c r="P38940"/>
      <c r="Q38940" s="24"/>
      <c r="R38940"/>
      <c r="S38940"/>
      <c r="T38940"/>
      <c r="U38940"/>
      <c r="X38940" s="60"/>
    </row>
    <row r="38941" spans="7:24" ht="15" customHeight="1">
      <c r="G38941"/>
      <c r="I38941"/>
      <c r="N38941"/>
      <c r="O38941" s="24"/>
      <c r="P38941"/>
      <c r="Q38941" s="24"/>
      <c r="R38941"/>
      <c r="S38941"/>
      <c r="T38941"/>
      <c r="U38941"/>
      <c r="X38941" s="60"/>
    </row>
    <row r="38942" spans="7:24" ht="15" customHeight="1">
      <c r="G38942"/>
      <c r="I38942"/>
      <c r="N38942"/>
      <c r="O38942" s="24"/>
      <c r="P38942"/>
      <c r="Q38942" s="24"/>
      <c r="R38942"/>
      <c r="S38942"/>
      <c r="T38942"/>
      <c r="U38942"/>
      <c r="X38942" s="60"/>
    </row>
    <row r="38943" spans="7:24" ht="15" customHeight="1">
      <c r="G38943"/>
      <c r="I38943"/>
      <c r="N38943"/>
      <c r="O38943" s="24"/>
      <c r="P38943"/>
      <c r="Q38943" s="24"/>
      <c r="R38943"/>
      <c r="S38943"/>
      <c r="T38943"/>
      <c r="U38943"/>
      <c r="X38943" s="60"/>
    </row>
    <row r="38944" spans="7:24" ht="15" customHeight="1">
      <c r="G38944"/>
      <c r="I38944"/>
      <c r="N38944"/>
      <c r="O38944" s="24"/>
      <c r="P38944"/>
      <c r="Q38944" s="24"/>
      <c r="R38944"/>
      <c r="S38944"/>
      <c r="T38944"/>
      <c r="U38944"/>
      <c r="X38944" s="60"/>
    </row>
    <row r="38945" spans="7:24" ht="15" customHeight="1">
      <c r="G38945"/>
      <c r="I38945"/>
      <c r="N38945"/>
      <c r="O38945" s="24"/>
      <c r="P38945"/>
      <c r="Q38945" s="24"/>
      <c r="R38945"/>
      <c r="S38945"/>
      <c r="T38945"/>
      <c r="U38945"/>
      <c r="X38945" s="60"/>
    </row>
    <row r="38946" spans="7:24" ht="15" customHeight="1">
      <c r="G38946"/>
      <c r="I38946"/>
      <c r="N38946"/>
      <c r="O38946" s="24"/>
      <c r="P38946"/>
      <c r="Q38946" s="24"/>
      <c r="R38946"/>
      <c r="S38946"/>
      <c r="T38946"/>
      <c r="U38946"/>
      <c r="X38946" s="60"/>
    </row>
    <row r="38947" spans="7:24" ht="15" customHeight="1">
      <c r="G38947"/>
      <c r="I38947"/>
      <c r="N38947"/>
      <c r="O38947" s="24"/>
      <c r="P38947"/>
      <c r="Q38947" s="24"/>
      <c r="R38947"/>
      <c r="S38947"/>
      <c r="T38947"/>
      <c r="U38947"/>
      <c r="X38947" s="60"/>
    </row>
    <row r="38948" spans="7:24" ht="15" customHeight="1">
      <c r="G38948"/>
      <c r="I38948"/>
      <c r="N38948"/>
      <c r="O38948" s="24"/>
      <c r="P38948"/>
      <c r="Q38948" s="24"/>
      <c r="R38948"/>
      <c r="S38948"/>
      <c r="T38948"/>
      <c r="U38948"/>
      <c r="X38948" s="60"/>
    </row>
    <row r="38949" spans="7:24" ht="15" customHeight="1">
      <c r="G38949"/>
      <c r="I38949"/>
      <c r="N38949"/>
      <c r="O38949" s="24"/>
      <c r="P38949"/>
      <c r="Q38949" s="24"/>
      <c r="R38949"/>
      <c r="S38949"/>
      <c r="T38949"/>
      <c r="U38949"/>
      <c r="X38949" s="60"/>
    </row>
    <row r="38950" spans="7:24" ht="15" customHeight="1">
      <c r="G38950"/>
      <c r="I38950"/>
      <c r="N38950"/>
      <c r="O38950" s="24"/>
      <c r="P38950"/>
      <c r="Q38950" s="24"/>
      <c r="R38950"/>
      <c r="S38950"/>
      <c r="T38950"/>
      <c r="U38950"/>
      <c r="X38950" s="60"/>
    </row>
    <row r="38951" spans="7:24" ht="15" customHeight="1">
      <c r="G38951"/>
      <c r="I38951"/>
      <c r="N38951"/>
      <c r="O38951" s="24"/>
      <c r="P38951"/>
      <c r="Q38951" s="24"/>
      <c r="R38951"/>
      <c r="S38951"/>
      <c r="T38951"/>
      <c r="U38951"/>
      <c r="X38951" s="60"/>
    </row>
    <row r="38952" spans="7:24" ht="15" customHeight="1">
      <c r="G38952"/>
      <c r="I38952"/>
      <c r="N38952"/>
      <c r="O38952" s="24"/>
      <c r="P38952"/>
      <c r="Q38952" s="24"/>
      <c r="R38952"/>
      <c r="S38952"/>
      <c r="T38952"/>
      <c r="U38952"/>
      <c r="X38952" s="60"/>
    </row>
    <row r="38953" spans="7:24" ht="15" customHeight="1">
      <c r="G38953"/>
      <c r="I38953"/>
      <c r="N38953"/>
      <c r="O38953" s="24"/>
      <c r="P38953"/>
      <c r="Q38953" s="24"/>
      <c r="R38953"/>
      <c r="S38953"/>
      <c r="T38953"/>
      <c r="U38953"/>
      <c r="X38953" s="60"/>
    </row>
    <row r="38954" spans="7:24" ht="15" customHeight="1">
      <c r="G38954"/>
      <c r="I38954"/>
      <c r="N38954"/>
      <c r="O38954" s="24"/>
      <c r="P38954"/>
      <c r="Q38954" s="24"/>
      <c r="R38954"/>
      <c r="S38954"/>
      <c r="T38954"/>
      <c r="U38954"/>
      <c r="X38954" s="60"/>
    </row>
    <row r="38955" spans="7:24" ht="15" customHeight="1">
      <c r="G38955"/>
      <c r="I38955"/>
      <c r="N38955"/>
      <c r="O38955" s="24"/>
      <c r="P38955"/>
      <c r="Q38955" s="24"/>
      <c r="R38955"/>
      <c r="S38955"/>
      <c r="T38955"/>
      <c r="U38955"/>
      <c r="X38955" s="60"/>
    </row>
    <row r="38956" spans="7:24" ht="15" customHeight="1">
      <c r="G38956"/>
      <c r="I38956"/>
      <c r="N38956"/>
      <c r="O38956" s="24"/>
      <c r="P38956"/>
      <c r="Q38956" s="24"/>
      <c r="R38956"/>
      <c r="S38956"/>
      <c r="T38956"/>
      <c r="U38956"/>
      <c r="X38956" s="60"/>
    </row>
    <row r="38957" spans="7:24" ht="15" customHeight="1">
      <c r="G38957"/>
      <c r="I38957"/>
      <c r="N38957"/>
      <c r="O38957" s="24"/>
      <c r="P38957"/>
      <c r="Q38957" s="24"/>
      <c r="R38957"/>
      <c r="S38957"/>
      <c r="T38957"/>
      <c r="U38957"/>
      <c r="X38957" s="60"/>
    </row>
    <row r="38958" spans="7:24" ht="15" customHeight="1">
      <c r="G38958"/>
      <c r="I38958"/>
      <c r="N38958"/>
      <c r="O38958" s="24"/>
      <c r="P38958"/>
      <c r="Q38958" s="24"/>
      <c r="R38958"/>
      <c r="S38958"/>
      <c r="T38958"/>
      <c r="U38958"/>
      <c r="X38958" s="60"/>
    </row>
    <row r="38959" spans="7:24" ht="15" customHeight="1">
      <c r="G38959"/>
      <c r="I38959"/>
      <c r="N38959"/>
      <c r="O38959" s="24"/>
      <c r="P38959"/>
      <c r="Q38959" s="24"/>
      <c r="R38959"/>
      <c r="S38959"/>
      <c r="T38959"/>
      <c r="U38959"/>
      <c r="X38959" s="60"/>
    </row>
    <row r="38960" spans="7:24" ht="15" customHeight="1">
      <c r="G38960"/>
      <c r="I38960"/>
      <c r="N38960"/>
      <c r="O38960" s="24"/>
      <c r="P38960"/>
      <c r="Q38960" s="24"/>
      <c r="R38960"/>
      <c r="S38960"/>
      <c r="T38960"/>
      <c r="U38960"/>
      <c r="X38960" s="60"/>
    </row>
    <row r="38961" spans="7:24" ht="15" customHeight="1">
      <c r="G38961"/>
      <c r="I38961"/>
      <c r="N38961"/>
      <c r="O38961" s="24"/>
      <c r="P38961"/>
      <c r="Q38961" s="24"/>
      <c r="R38961"/>
      <c r="S38961"/>
      <c r="T38961"/>
      <c r="U38961"/>
      <c r="X38961" s="60"/>
    </row>
    <row r="38962" spans="7:24" ht="15" customHeight="1">
      <c r="G38962"/>
      <c r="I38962"/>
      <c r="N38962"/>
      <c r="O38962" s="24"/>
      <c r="P38962"/>
      <c r="Q38962" s="24"/>
      <c r="R38962"/>
      <c r="S38962"/>
      <c r="T38962"/>
      <c r="U38962"/>
      <c r="X38962" s="60"/>
    </row>
    <row r="38963" spans="7:24" ht="15" customHeight="1">
      <c r="G38963"/>
      <c r="I38963"/>
      <c r="N38963"/>
      <c r="O38963" s="24"/>
      <c r="P38963"/>
      <c r="Q38963" s="24"/>
      <c r="R38963"/>
      <c r="S38963"/>
      <c r="T38963"/>
      <c r="U38963"/>
      <c r="X38963" s="60"/>
    </row>
    <row r="38964" spans="7:24" ht="15" customHeight="1">
      <c r="G38964"/>
      <c r="I38964"/>
      <c r="N38964"/>
      <c r="O38964" s="24"/>
      <c r="P38964"/>
      <c r="Q38964" s="24"/>
      <c r="R38964"/>
      <c r="S38964"/>
      <c r="T38964"/>
      <c r="U38964"/>
      <c r="X38964" s="60"/>
    </row>
    <row r="38965" spans="7:24" ht="15" customHeight="1">
      <c r="G38965"/>
      <c r="I38965"/>
      <c r="N38965"/>
      <c r="O38965" s="24"/>
      <c r="P38965"/>
      <c r="Q38965" s="24"/>
      <c r="R38965"/>
      <c r="S38965"/>
      <c r="T38965"/>
      <c r="U38965"/>
      <c r="X38965" s="60"/>
    </row>
    <row r="38966" spans="7:24" ht="15" customHeight="1">
      <c r="G38966"/>
      <c r="I38966"/>
      <c r="N38966"/>
      <c r="O38966" s="24"/>
      <c r="P38966"/>
      <c r="Q38966" s="24"/>
      <c r="R38966"/>
      <c r="S38966"/>
      <c r="T38966"/>
      <c r="U38966"/>
      <c r="X38966" s="60"/>
    </row>
    <row r="38967" spans="7:24" ht="15" customHeight="1">
      <c r="G38967"/>
      <c r="I38967"/>
      <c r="N38967"/>
      <c r="O38967" s="24"/>
      <c r="P38967"/>
      <c r="Q38967" s="24"/>
      <c r="R38967"/>
      <c r="S38967"/>
      <c r="T38967"/>
      <c r="U38967"/>
      <c r="X38967" s="60"/>
    </row>
    <row r="38968" spans="7:24" ht="15" customHeight="1">
      <c r="G38968"/>
      <c r="I38968"/>
      <c r="N38968"/>
      <c r="O38968" s="24"/>
      <c r="P38968"/>
      <c r="Q38968" s="24"/>
      <c r="R38968"/>
      <c r="S38968"/>
      <c r="T38968"/>
      <c r="U38968"/>
      <c r="X38968" s="60"/>
    </row>
    <row r="38969" spans="7:24" ht="15" customHeight="1">
      <c r="G38969"/>
      <c r="I38969"/>
      <c r="N38969"/>
      <c r="O38969" s="24"/>
      <c r="P38969"/>
      <c r="Q38969" s="24"/>
      <c r="R38969"/>
      <c r="S38969"/>
      <c r="T38969"/>
      <c r="U38969"/>
      <c r="X38969" s="60"/>
    </row>
    <row r="38970" spans="7:24" ht="15" customHeight="1">
      <c r="G38970"/>
      <c r="I38970"/>
      <c r="N38970"/>
      <c r="O38970" s="24"/>
      <c r="P38970"/>
      <c r="Q38970" s="24"/>
      <c r="R38970"/>
      <c r="S38970"/>
      <c r="T38970"/>
      <c r="U38970"/>
      <c r="X38970" s="60"/>
    </row>
    <row r="38971" spans="7:24" ht="15" customHeight="1">
      <c r="G38971"/>
      <c r="I38971"/>
      <c r="N38971"/>
      <c r="O38971" s="24"/>
      <c r="P38971"/>
      <c r="Q38971" s="24"/>
      <c r="R38971"/>
      <c r="S38971"/>
      <c r="T38971"/>
      <c r="U38971"/>
      <c r="X38971" s="60"/>
    </row>
    <row r="38972" spans="7:24" ht="15" customHeight="1">
      <c r="G38972"/>
      <c r="I38972"/>
      <c r="N38972"/>
      <c r="O38972" s="24"/>
      <c r="P38972"/>
      <c r="Q38972" s="24"/>
      <c r="R38972"/>
      <c r="S38972"/>
      <c r="T38972"/>
      <c r="U38972"/>
      <c r="X38972" s="60"/>
    </row>
    <row r="38973" spans="7:24" ht="15" customHeight="1">
      <c r="G38973"/>
      <c r="I38973"/>
      <c r="N38973"/>
      <c r="O38973" s="24"/>
      <c r="P38973"/>
      <c r="Q38973" s="24"/>
      <c r="R38973"/>
      <c r="S38973"/>
      <c r="T38973"/>
      <c r="U38973"/>
      <c r="X38973" s="60"/>
    </row>
    <row r="38974" spans="7:24" ht="15" customHeight="1">
      <c r="G38974"/>
      <c r="I38974"/>
      <c r="N38974"/>
      <c r="O38974" s="24"/>
      <c r="P38974"/>
      <c r="Q38974" s="24"/>
      <c r="R38974"/>
      <c r="S38974"/>
      <c r="T38974"/>
      <c r="U38974"/>
      <c r="X38974" s="60"/>
    </row>
    <row r="38975" spans="7:24" ht="15" customHeight="1">
      <c r="G38975"/>
      <c r="I38975"/>
      <c r="N38975"/>
      <c r="O38975" s="24"/>
      <c r="P38975"/>
      <c r="Q38975" s="24"/>
      <c r="R38975"/>
      <c r="S38975"/>
      <c r="T38975"/>
      <c r="U38975"/>
      <c r="X38975" s="60"/>
    </row>
    <row r="38976" spans="7:24" ht="15" customHeight="1">
      <c r="G38976"/>
      <c r="I38976"/>
      <c r="N38976"/>
      <c r="O38976" s="24"/>
      <c r="P38976"/>
      <c r="Q38976" s="24"/>
      <c r="R38976"/>
      <c r="S38976"/>
      <c r="T38976"/>
      <c r="U38976"/>
      <c r="X38976" s="60"/>
    </row>
    <row r="38977" spans="7:24" ht="15" customHeight="1">
      <c r="G38977"/>
      <c r="I38977"/>
      <c r="N38977"/>
      <c r="O38977" s="24"/>
      <c r="P38977"/>
      <c r="Q38977" s="24"/>
      <c r="R38977"/>
      <c r="S38977"/>
      <c r="T38977"/>
      <c r="U38977"/>
      <c r="X38977" s="60"/>
    </row>
    <row r="38978" spans="7:24" ht="15" customHeight="1">
      <c r="G38978"/>
      <c r="I38978"/>
      <c r="N38978"/>
      <c r="O38978" s="24"/>
      <c r="P38978"/>
      <c r="Q38978" s="24"/>
      <c r="R38978"/>
      <c r="S38978"/>
      <c r="T38978"/>
      <c r="U38978"/>
      <c r="X38978" s="60"/>
    </row>
    <row r="38979" spans="7:24" ht="15" customHeight="1">
      <c r="G38979"/>
      <c r="I38979"/>
      <c r="N38979"/>
      <c r="O38979" s="24"/>
      <c r="P38979"/>
      <c r="Q38979" s="24"/>
      <c r="R38979"/>
      <c r="S38979"/>
      <c r="T38979"/>
      <c r="U38979"/>
      <c r="X38979" s="60"/>
    </row>
    <row r="38980" spans="7:24" ht="15" customHeight="1">
      <c r="G38980"/>
      <c r="I38980"/>
      <c r="N38980"/>
      <c r="O38980" s="24"/>
      <c r="P38980"/>
      <c r="Q38980" s="24"/>
      <c r="R38980"/>
      <c r="S38980"/>
      <c r="T38980"/>
      <c r="U38980"/>
      <c r="X38980" s="60"/>
    </row>
    <row r="38981" spans="7:24" ht="15" customHeight="1">
      <c r="G38981"/>
      <c r="I38981"/>
      <c r="N38981"/>
      <c r="O38981" s="24"/>
      <c r="P38981"/>
      <c r="Q38981" s="24"/>
      <c r="R38981"/>
      <c r="S38981"/>
      <c r="T38981"/>
      <c r="U38981"/>
      <c r="X38981" s="60"/>
    </row>
    <row r="38982" spans="7:24" ht="15" customHeight="1">
      <c r="G38982"/>
      <c r="I38982"/>
      <c r="N38982"/>
      <c r="O38982" s="24"/>
      <c r="P38982"/>
      <c r="Q38982" s="24"/>
      <c r="R38982"/>
      <c r="S38982"/>
      <c r="T38982"/>
      <c r="U38982"/>
      <c r="X38982" s="60"/>
    </row>
    <row r="38983" spans="7:24" ht="15" customHeight="1">
      <c r="G38983"/>
      <c r="I38983"/>
      <c r="N38983"/>
      <c r="O38983" s="24"/>
      <c r="P38983"/>
      <c r="Q38983" s="24"/>
      <c r="R38983"/>
      <c r="S38983"/>
      <c r="T38983"/>
      <c r="U38983"/>
      <c r="X38983" s="60"/>
    </row>
    <row r="38984" spans="7:24" ht="15" customHeight="1">
      <c r="G38984"/>
      <c r="I38984"/>
      <c r="N38984"/>
      <c r="O38984" s="24"/>
      <c r="P38984"/>
      <c r="Q38984" s="24"/>
      <c r="R38984"/>
      <c r="S38984"/>
      <c r="T38984"/>
      <c r="U38984"/>
      <c r="X38984" s="60"/>
    </row>
    <row r="38985" spans="7:24" ht="15" customHeight="1">
      <c r="G38985"/>
      <c r="I38985"/>
      <c r="N38985"/>
      <c r="O38985" s="24"/>
      <c r="P38985"/>
      <c r="Q38985" s="24"/>
      <c r="R38985"/>
      <c r="S38985"/>
      <c r="T38985"/>
      <c r="U38985"/>
      <c r="X38985" s="60"/>
    </row>
    <row r="38986" spans="7:24" ht="15" customHeight="1">
      <c r="G38986"/>
      <c r="I38986"/>
      <c r="N38986"/>
      <c r="O38986" s="24"/>
      <c r="P38986"/>
      <c r="Q38986" s="24"/>
      <c r="R38986"/>
      <c r="S38986"/>
      <c r="T38986"/>
      <c r="U38986"/>
      <c r="X38986" s="60"/>
    </row>
    <row r="38987" spans="7:24" ht="15" customHeight="1">
      <c r="G38987"/>
      <c r="I38987"/>
      <c r="N38987"/>
      <c r="O38987" s="24"/>
      <c r="P38987"/>
      <c r="Q38987" s="24"/>
      <c r="R38987"/>
      <c r="S38987"/>
      <c r="T38987"/>
      <c r="U38987"/>
      <c r="X38987" s="60"/>
    </row>
    <row r="38988" spans="7:24" ht="15" customHeight="1">
      <c r="G38988"/>
      <c r="I38988"/>
      <c r="N38988"/>
      <c r="O38988" s="24"/>
      <c r="P38988"/>
      <c r="Q38988" s="24"/>
      <c r="R38988"/>
      <c r="S38988"/>
      <c r="T38988"/>
      <c r="U38988"/>
      <c r="X38988" s="60"/>
    </row>
    <row r="38989" spans="7:24" ht="15" customHeight="1">
      <c r="G38989"/>
      <c r="I38989"/>
      <c r="N38989"/>
      <c r="O38989" s="24"/>
      <c r="P38989"/>
      <c r="Q38989" s="24"/>
      <c r="R38989"/>
      <c r="S38989"/>
      <c r="T38989"/>
      <c r="U38989"/>
      <c r="X38989" s="60"/>
    </row>
    <row r="38990" spans="7:24" ht="15" customHeight="1">
      <c r="G38990"/>
      <c r="I38990"/>
      <c r="N38990"/>
      <c r="O38990" s="24"/>
      <c r="P38990"/>
      <c r="Q38990" s="24"/>
      <c r="R38990"/>
      <c r="S38990"/>
      <c r="T38990"/>
      <c r="U38990"/>
      <c r="X38990" s="60"/>
    </row>
    <row r="38991" spans="7:24" ht="15" customHeight="1">
      <c r="G38991"/>
      <c r="I38991"/>
      <c r="N38991"/>
      <c r="O38991" s="24"/>
      <c r="P38991"/>
      <c r="Q38991" s="24"/>
      <c r="R38991"/>
      <c r="S38991"/>
      <c r="T38991"/>
      <c r="U38991"/>
      <c r="X38991" s="60"/>
    </row>
    <row r="38992" spans="7:24" ht="15" customHeight="1">
      <c r="G38992"/>
      <c r="I38992"/>
      <c r="N38992"/>
      <c r="O38992" s="24"/>
      <c r="P38992"/>
      <c r="Q38992" s="24"/>
      <c r="R38992"/>
      <c r="S38992"/>
      <c r="T38992"/>
      <c r="U38992"/>
      <c r="X38992" s="60"/>
    </row>
    <row r="38993" spans="7:24" ht="15" customHeight="1">
      <c r="G38993"/>
      <c r="I38993"/>
      <c r="N38993"/>
      <c r="O38993" s="24"/>
      <c r="P38993"/>
      <c r="Q38993" s="24"/>
      <c r="R38993"/>
      <c r="S38993"/>
      <c r="T38993"/>
      <c r="U38993"/>
      <c r="X38993" s="60"/>
    </row>
    <row r="38994" spans="7:24" ht="15" customHeight="1">
      <c r="G38994"/>
      <c r="I38994"/>
      <c r="N38994"/>
      <c r="O38994" s="24"/>
      <c r="P38994"/>
      <c r="Q38994" s="24"/>
      <c r="R38994"/>
      <c r="S38994"/>
      <c r="T38994"/>
      <c r="U38994"/>
      <c r="X38994" s="60"/>
    </row>
    <row r="38995" spans="7:24" ht="15" customHeight="1">
      <c r="G38995"/>
      <c r="I38995"/>
      <c r="N38995"/>
      <c r="O38995" s="24"/>
      <c r="P38995"/>
      <c r="Q38995" s="24"/>
      <c r="R38995"/>
      <c r="S38995"/>
      <c r="T38995"/>
      <c r="U38995"/>
      <c r="X38995" s="60"/>
    </row>
    <row r="38996" spans="7:24" ht="15" customHeight="1">
      <c r="G38996"/>
      <c r="I38996"/>
      <c r="N38996"/>
      <c r="O38996" s="24"/>
      <c r="P38996"/>
      <c r="Q38996" s="24"/>
      <c r="R38996"/>
      <c r="S38996"/>
      <c r="T38996"/>
      <c r="U38996"/>
      <c r="X38996" s="60"/>
    </row>
    <row r="38997" spans="7:24" ht="15" customHeight="1">
      <c r="G38997"/>
      <c r="I38997"/>
      <c r="N38997"/>
      <c r="O38997" s="24"/>
      <c r="P38997"/>
      <c r="Q38997" s="24"/>
      <c r="R38997"/>
      <c r="S38997"/>
      <c r="T38997"/>
      <c r="U38997"/>
      <c r="X38997" s="60"/>
    </row>
    <row r="38998" spans="7:24" ht="15" customHeight="1">
      <c r="G38998"/>
      <c r="I38998"/>
      <c r="N38998"/>
      <c r="O38998" s="24"/>
      <c r="P38998"/>
      <c r="Q38998" s="24"/>
      <c r="R38998"/>
      <c r="S38998"/>
      <c r="T38998"/>
      <c r="U38998"/>
      <c r="X38998" s="60"/>
    </row>
    <row r="38999" spans="7:24" ht="15" customHeight="1">
      <c r="G38999"/>
      <c r="I38999"/>
      <c r="N38999"/>
      <c r="O38999" s="24"/>
      <c r="P38999"/>
      <c r="Q38999" s="24"/>
      <c r="R38999"/>
      <c r="S38999"/>
      <c r="T38999"/>
      <c r="U38999"/>
      <c r="X38999" s="60"/>
    </row>
    <row r="39000" spans="7:24" ht="15" customHeight="1">
      <c r="G39000"/>
      <c r="I39000"/>
      <c r="N39000"/>
      <c r="O39000" s="24"/>
      <c r="P39000"/>
      <c r="Q39000" s="24"/>
      <c r="R39000"/>
      <c r="S39000"/>
      <c r="T39000"/>
      <c r="U39000"/>
      <c r="X39000" s="60"/>
    </row>
    <row r="39001" spans="7:24" ht="15" customHeight="1">
      <c r="G39001"/>
      <c r="I39001"/>
      <c r="N39001"/>
      <c r="O39001" s="24"/>
      <c r="P39001"/>
      <c r="Q39001" s="24"/>
      <c r="R39001"/>
      <c r="S39001"/>
      <c r="T39001"/>
      <c r="U39001"/>
      <c r="X39001" s="60"/>
    </row>
    <row r="39002" spans="7:24" ht="15" customHeight="1">
      <c r="G39002"/>
      <c r="I39002"/>
      <c r="N39002"/>
      <c r="O39002" s="24"/>
      <c r="P39002"/>
      <c r="Q39002" s="24"/>
      <c r="R39002"/>
      <c r="S39002"/>
      <c r="T39002"/>
      <c r="U39002"/>
      <c r="X39002" s="60"/>
    </row>
    <row r="39003" spans="7:24" ht="15" customHeight="1">
      <c r="G39003"/>
      <c r="I39003"/>
      <c r="N39003"/>
      <c r="O39003" s="24"/>
      <c r="P39003"/>
      <c r="Q39003" s="24"/>
      <c r="R39003"/>
      <c r="S39003"/>
      <c r="T39003"/>
      <c r="U39003"/>
      <c r="X39003" s="60"/>
    </row>
    <row r="39004" spans="7:24" ht="15" customHeight="1">
      <c r="G39004"/>
      <c r="I39004"/>
      <c r="N39004"/>
      <c r="O39004" s="24"/>
      <c r="P39004"/>
      <c r="Q39004" s="24"/>
      <c r="R39004"/>
      <c r="S39004"/>
      <c r="T39004"/>
      <c r="U39004"/>
      <c r="X39004" s="60"/>
    </row>
    <row r="39005" spans="7:24" ht="15" customHeight="1">
      <c r="G39005"/>
      <c r="I39005"/>
      <c r="N39005"/>
      <c r="O39005" s="24"/>
      <c r="P39005"/>
      <c r="Q39005" s="24"/>
      <c r="R39005"/>
      <c r="S39005"/>
      <c r="T39005"/>
      <c r="U39005"/>
      <c r="X39005" s="60"/>
    </row>
    <row r="39006" spans="7:24" ht="15" customHeight="1">
      <c r="G39006"/>
      <c r="I39006"/>
      <c r="N39006"/>
      <c r="O39006" s="24"/>
      <c r="P39006"/>
      <c r="Q39006" s="24"/>
      <c r="R39006"/>
      <c r="S39006"/>
      <c r="T39006"/>
      <c r="U39006"/>
      <c r="X39006" s="60"/>
    </row>
    <row r="39007" spans="7:24" ht="15" customHeight="1">
      <c r="G39007"/>
      <c r="I39007"/>
      <c r="N39007"/>
      <c r="O39007" s="24"/>
      <c r="P39007"/>
      <c r="Q39007" s="24"/>
      <c r="R39007"/>
      <c r="S39007"/>
      <c r="T39007"/>
      <c r="U39007"/>
      <c r="X39007" s="60"/>
    </row>
    <row r="39008" spans="7:24" ht="15" customHeight="1">
      <c r="G39008"/>
      <c r="I39008"/>
      <c r="N39008"/>
      <c r="O39008" s="24"/>
      <c r="P39008"/>
      <c r="Q39008" s="24"/>
      <c r="R39008"/>
      <c r="S39008"/>
      <c r="T39008"/>
      <c r="U39008"/>
      <c r="X39008" s="60"/>
    </row>
    <row r="39009" spans="7:24" ht="15" customHeight="1">
      <c r="G39009"/>
      <c r="I39009"/>
      <c r="N39009"/>
      <c r="O39009" s="24"/>
      <c r="P39009"/>
      <c r="Q39009" s="24"/>
      <c r="R39009"/>
      <c r="S39009"/>
      <c r="T39009"/>
      <c r="U39009"/>
      <c r="X39009" s="60"/>
    </row>
    <row r="39010" spans="7:24" ht="15" customHeight="1">
      <c r="G39010"/>
      <c r="I39010"/>
      <c r="N39010"/>
      <c r="O39010" s="24"/>
      <c r="P39010"/>
      <c r="Q39010" s="24"/>
      <c r="R39010"/>
      <c r="S39010"/>
      <c r="T39010"/>
      <c r="U39010"/>
      <c r="X39010" s="60"/>
    </row>
    <row r="39011" spans="7:24" ht="15" customHeight="1">
      <c r="G39011"/>
      <c r="I39011"/>
      <c r="N39011"/>
      <c r="O39011" s="24"/>
      <c r="P39011"/>
      <c r="Q39011" s="24"/>
      <c r="R39011"/>
      <c r="S39011"/>
      <c r="T39011"/>
      <c r="U39011"/>
      <c r="X39011" s="60"/>
    </row>
    <row r="39012" spans="7:24" ht="15" customHeight="1">
      <c r="G39012"/>
      <c r="I39012"/>
      <c r="N39012"/>
      <c r="O39012" s="24"/>
      <c r="P39012"/>
      <c r="Q39012" s="24"/>
      <c r="R39012"/>
      <c r="S39012"/>
      <c r="T39012"/>
      <c r="U39012"/>
      <c r="X39012" s="60"/>
    </row>
    <row r="39013" spans="7:24" ht="15" customHeight="1">
      <c r="G39013"/>
      <c r="I39013"/>
      <c r="N39013"/>
      <c r="O39013" s="24"/>
      <c r="P39013"/>
      <c r="Q39013" s="24"/>
      <c r="R39013"/>
      <c r="S39013"/>
      <c r="T39013"/>
      <c r="U39013"/>
      <c r="X39013" s="60"/>
    </row>
    <row r="39014" spans="7:24" ht="15" customHeight="1">
      <c r="G39014"/>
      <c r="I39014"/>
      <c r="N39014"/>
      <c r="O39014" s="24"/>
      <c r="P39014"/>
      <c r="Q39014" s="24"/>
      <c r="R39014"/>
      <c r="S39014"/>
      <c r="T39014"/>
      <c r="U39014"/>
      <c r="X39014" s="60"/>
    </row>
    <row r="39015" spans="7:24" ht="15" customHeight="1">
      <c r="G39015"/>
      <c r="I39015"/>
      <c r="N39015"/>
      <c r="O39015" s="24"/>
      <c r="P39015"/>
      <c r="Q39015" s="24"/>
      <c r="R39015"/>
      <c r="S39015"/>
      <c r="T39015"/>
      <c r="U39015"/>
      <c r="X39015" s="60"/>
    </row>
    <row r="39016" spans="7:24" ht="15" customHeight="1">
      <c r="G39016"/>
      <c r="I39016"/>
      <c r="N39016"/>
      <c r="O39016" s="24"/>
      <c r="P39016"/>
      <c r="Q39016" s="24"/>
      <c r="R39016"/>
      <c r="S39016"/>
      <c r="T39016"/>
      <c r="U39016"/>
      <c r="X39016" s="60"/>
    </row>
    <row r="39017" spans="7:24" ht="15" customHeight="1">
      <c r="G39017"/>
      <c r="I39017"/>
      <c r="N39017"/>
      <c r="O39017" s="24"/>
      <c r="P39017"/>
      <c r="Q39017" s="24"/>
      <c r="R39017"/>
      <c r="S39017"/>
      <c r="T39017"/>
      <c r="U39017"/>
      <c r="X39017" s="60"/>
    </row>
    <row r="39018" spans="7:24" ht="15" customHeight="1">
      <c r="G39018"/>
      <c r="I39018"/>
      <c r="N39018"/>
      <c r="O39018" s="24"/>
      <c r="P39018"/>
      <c r="Q39018" s="24"/>
      <c r="R39018"/>
      <c r="S39018"/>
      <c r="T39018"/>
      <c r="U39018"/>
      <c r="X39018" s="60"/>
    </row>
    <row r="39019" spans="7:24" ht="15" customHeight="1">
      <c r="G39019"/>
      <c r="I39019"/>
      <c r="N39019"/>
      <c r="O39019" s="24"/>
      <c r="P39019"/>
      <c r="Q39019" s="24"/>
      <c r="R39019"/>
      <c r="S39019"/>
      <c r="T39019"/>
      <c r="U39019"/>
      <c r="X39019" s="60"/>
    </row>
    <row r="39020" spans="7:24" ht="15" customHeight="1">
      <c r="G39020"/>
      <c r="I39020"/>
      <c r="N39020"/>
      <c r="O39020" s="24"/>
      <c r="P39020"/>
      <c r="Q39020" s="24"/>
      <c r="R39020"/>
      <c r="S39020"/>
      <c r="T39020"/>
      <c r="U39020"/>
      <c r="X39020" s="60"/>
    </row>
    <row r="39021" spans="7:24" ht="15" customHeight="1">
      <c r="G39021"/>
      <c r="I39021"/>
      <c r="N39021"/>
      <c r="O39021" s="24"/>
      <c r="P39021"/>
      <c r="Q39021" s="24"/>
      <c r="R39021"/>
      <c r="S39021"/>
      <c r="T39021"/>
      <c r="U39021"/>
      <c r="X39021" s="60"/>
    </row>
    <row r="39022" spans="7:24" ht="15" customHeight="1">
      <c r="G39022"/>
      <c r="I39022"/>
      <c r="N39022"/>
      <c r="O39022" s="24"/>
      <c r="P39022"/>
      <c r="Q39022" s="24"/>
      <c r="R39022"/>
      <c r="S39022"/>
      <c r="T39022"/>
      <c r="U39022"/>
      <c r="X39022" s="60"/>
    </row>
    <row r="39023" spans="7:24" ht="15" customHeight="1">
      <c r="G39023"/>
      <c r="I39023"/>
      <c r="N39023"/>
      <c r="O39023" s="24"/>
      <c r="P39023"/>
      <c r="Q39023" s="24"/>
      <c r="R39023"/>
      <c r="S39023"/>
      <c r="T39023"/>
      <c r="U39023"/>
      <c r="X39023" s="60"/>
    </row>
    <row r="39024" spans="7:24" ht="15" customHeight="1">
      <c r="G39024"/>
      <c r="I39024"/>
      <c r="N39024"/>
      <c r="O39024" s="24"/>
      <c r="P39024"/>
      <c r="Q39024" s="24"/>
      <c r="R39024"/>
      <c r="S39024"/>
      <c r="T39024"/>
      <c r="U39024"/>
      <c r="X39024" s="60"/>
    </row>
    <row r="39025" spans="7:24" ht="15" customHeight="1">
      <c r="G39025"/>
      <c r="I39025"/>
      <c r="N39025"/>
      <c r="O39025" s="24"/>
      <c r="P39025"/>
      <c r="Q39025" s="24"/>
      <c r="R39025"/>
      <c r="S39025"/>
      <c r="T39025"/>
      <c r="U39025"/>
      <c r="X39025" s="60"/>
    </row>
    <row r="39026" spans="7:24" ht="15" customHeight="1">
      <c r="G39026"/>
      <c r="I39026"/>
      <c r="N39026"/>
      <c r="O39026" s="24"/>
      <c r="P39026"/>
      <c r="Q39026" s="24"/>
      <c r="R39026"/>
      <c r="S39026"/>
      <c r="T39026"/>
      <c r="U39026"/>
      <c r="X39026" s="60"/>
    </row>
    <row r="39027" spans="7:24" ht="15" customHeight="1">
      <c r="G39027"/>
      <c r="I39027"/>
      <c r="N39027"/>
      <c r="O39027" s="24"/>
      <c r="P39027"/>
      <c r="Q39027" s="24"/>
      <c r="R39027"/>
      <c r="S39027"/>
      <c r="T39027"/>
      <c r="U39027"/>
      <c r="X39027" s="60"/>
    </row>
    <row r="39028" spans="7:24" ht="15" customHeight="1">
      <c r="G39028"/>
      <c r="I39028"/>
      <c r="N39028"/>
      <c r="O39028" s="24"/>
      <c r="P39028"/>
      <c r="Q39028" s="24"/>
      <c r="R39028"/>
      <c r="S39028"/>
      <c r="T39028"/>
      <c r="U39028"/>
      <c r="X39028" s="60"/>
    </row>
    <row r="39029" spans="7:24" ht="15" customHeight="1">
      <c r="G39029"/>
      <c r="I39029"/>
      <c r="N39029"/>
      <c r="O39029" s="24"/>
      <c r="P39029"/>
      <c r="Q39029" s="24"/>
      <c r="R39029"/>
      <c r="S39029"/>
      <c r="T39029"/>
      <c r="U39029"/>
      <c r="X39029" s="60"/>
    </row>
    <row r="39030" spans="7:24" ht="15" customHeight="1">
      <c r="G39030"/>
      <c r="I39030"/>
      <c r="N39030"/>
      <c r="O39030" s="24"/>
      <c r="P39030"/>
      <c r="Q39030" s="24"/>
      <c r="R39030"/>
      <c r="S39030"/>
      <c r="T39030"/>
      <c r="U39030"/>
      <c r="X39030" s="60"/>
    </row>
    <row r="39031" spans="7:24" ht="15" customHeight="1">
      <c r="G39031"/>
      <c r="I39031"/>
      <c r="N39031"/>
      <c r="O39031" s="24"/>
      <c r="P39031"/>
      <c r="Q39031" s="24"/>
      <c r="R39031"/>
      <c r="S39031"/>
      <c r="T39031"/>
      <c r="U39031"/>
      <c r="X39031" s="60"/>
    </row>
    <row r="39032" spans="7:24" ht="15" customHeight="1">
      <c r="G39032"/>
      <c r="I39032"/>
      <c r="N39032"/>
      <c r="O39032" s="24"/>
      <c r="P39032"/>
      <c r="Q39032" s="24"/>
      <c r="R39032"/>
      <c r="S39032"/>
      <c r="T39032"/>
      <c r="U39032"/>
      <c r="X39032" s="60"/>
    </row>
    <row r="39033" spans="7:24" ht="15" customHeight="1">
      <c r="G39033"/>
      <c r="I39033"/>
      <c r="N39033"/>
      <c r="O39033" s="24"/>
      <c r="P39033"/>
      <c r="Q39033" s="24"/>
      <c r="R39033"/>
      <c r="S39033"/>
      <c r="T39033"/>
      <c r="U39033"/>
      <c r="X39033" s="60"/>
    </row>
    <row r="39034" spans="7:24" ht="15" customHeight="1">
      <c r="G39034"/>
      <c r="I39034"/>
      <c r="N39034"/>
      <c r="O39034" s="24"/>
      <c r="P39034"/>
      <c r="Q39034" s="24"/>
      <c r="R39034"/>
      <c r="S39034"/>
      <c r="T39034"/>
      <c r="U39034"/>
      <c r="X39034" s="60"/>
    </row>
    <row r="39035" spans="7:24" ht="15" customHeight="1">
      <c r="G39035"/>
      <c r="I39035"/>
      <c r="N39035"/>
      <c r="O39035" s="24"/>
      <c r="P39035"/>
      <c r="Q39035" s="24"/>
      <c r="R39035"/>
      <c r="S39035"/>
      <c r="T39035"/>
      <c r="U39035"/>
      <c r="X39035" s="60"/>
    </row>
    <row r="39036" spans="7:24" ht="15" customHeight="1">
      <c r="G39036"/>
      <c r="I39036"/>
      <c r="N39036"/>
      <c r="O39036" s="24"/>
      <c r="P39036"/>
      <c r="Q39036" s="24"/>
      <c r="R39036"/>
      <c r="S39036"/>
      <c r="T39036"/>
      <c r="U39036"/>
      <c r="X39036" s="60"/>
    </row>
    <row r="39037" spans="7:24" ht="15" customHeight="1">
      <c r="G39037"/>
      <c r="I39037"/>
      <c r="N39037"/>
      <c r="O39037" s="24"/>
      <c r="P39037"/>
      <c r="Q39037" s="24"/>
      <c r="R39037"/>
      <c r="S39037"/>
      <c r="T39037"/>
      <c r="U39037"/>
      <c r="X39037" s="60"/>
    </row>
    <row r="39038" spans="7:24" ht="15" customHeight="1">
      <c r="G39038"/>
      <c r="I39038"/>
      <c r="N39038"/>
      <c r="O39038" s="24"/>
      <c r="P39038"/>
      <c r="Q39038" s="24"/>
      <c r="R39038"/>
      <c r="S39038"/>
      <c r="T39038"/>
      <c r="U39038"/>
      <c r="X39038" s="60"/>
    </row>
    <row r="39039" spans="7:24" ht="15" customHeight="1">
      <c r="G39039"/>
      <c r="I39039"/>
      <c r="N39039"/>
      <c r="O39039" s="24"/>
      <c r="P39039"/>
      <c r="Q39039" s="24"/>
      <c r="R39039"/>
      <c r="S39039"/>
      <c r="T39039"/>
      <c r="U39039"/>
      <c r="X39039" s="60"/>
    </row>
    <row r="39040" spans="7:24" ht="15" customHeight="1">
      <c r="G39040"/>
      <c r="I39040"/>
      <c r="N39040"/>
      <c r="O39040" s="24"/>
      <c r="P39040"/>
      <c r="Q39040" s="24"/>
      <c r="R39040"/>
      <c r="S39040"/>
      <c r="T39040"/>
      <c r="U39040"/>
      <c r="X39040" s="60"/>
    </row>
    <row r="39041" spans="7:24" ht="15" customHeight="1">
      <c r="G39041"/>
      <c r="I39041"/>
      <c r="N39041"/>
      <c r="O39041" s="24"/>
      <c r="P39041"/>
      <c r="Q39041" s="24"/>
      <c r="R39041"/>
      <c r="S39041"/>
      <c r="T39041"/>
      <c r="U39041"/>
      <c r="X39041" s="60"/>
    </row>
    <row r="39042" spans="7:24" ht="15" customHeight="1">
      <c r="G39042"/>
      <c r="I39042"/>
      <c r="N39042"/>
      <c r="O39042" s="24"/>
      <c r="P39042"/>
      <c r="Q39042" s="24"/>
      <c r="R39042"/>
      <c r="S39042"/>
      <c r="T39042"/>
      <c r="U39042"/>
      <c r="X39042" s="60"/>
    </row>
    <row r="39043" spans="7:24" ht="15" customHeight="1">
      <c r="G39043"/>
      <c r="I39043"/>
      <c r="N39043"/>
      <c r="O39043" s="24"/>
      <c r="P39043"/>
      <c r="Q39043" s="24"/>
      <c r="R39043"/>
      <c r="S39043"/>
      <c r="T39043"/>
      <c r="U39043"/>
      <c r="X39043" s="60"/>
    </row>
    <row r="39044" spans="7:24" ht="15" customHeight="1">
      <c r="G39044"/>
      <c r="I39044"/>
      <c r="N39044"/>
      <c r="O39044" s="24"/>
      <c r="P39044"/>
      <c r="Q39044" s="24"/>
      <c r="R39044"/>
      <c r="S39044"/>
      <c r="T39044"/>
      <c r="U39044"/>
      <c r="X39044" s="60"/>
    </row>
    <row r="39045" spans="7:24" ht="15" customHeight="1">
      <c r="G39045"/>
      <c r="I39045"/>
      <c r="N39045"/>
      <c r="O39045" s="24"/>
      <c r="P39045"/>
      <c r="Q39045" s="24"/>
      <c r="R39045"/>
      <c r="S39045"/>
      <c r="T39045"/>
      <c r="U39045"/>
      <c r="X39045" s="60"/>
    </row>
    <row r="39046" spans="7:24" ht="15" customHeight="1">
      <c r="G39046"/>
      <c r="I39046"/>
      <c r="N39046"/>
      <c r="O39046" s="24"/>
      <c r="P39046"/>
      <c r="Q39046" s="24"/>
      <c r="R39046"/>
      <c r="S39046"/>
      <c r="T39046"/>
      <c r="U39046"/>
      <c r="X39046" s="60"/>
    </row>
    <row r="39047" spans="7:24" ht="15" customHeight="1">
      <c r="G39047"/>
      <c r="I39047"/>
      <c r="N39047"/>
      <c r="O39047" s="24"/>
      <c r="P39047"/>
      <c r="Q39047" s="24"/>
      <c r="R39047"/>
      <c r="S39047"/>
      <c r="T39047"/>
      <c r="U39047"/>
      <c r="X39047" s="60"/>
    </row>
    <row r="39048" spans="7:24" ht="15" customHeight="1">
      <c r="G39048"/>
      <c r="I39048"/>
      <c r="N39048"/>
      <c r="O39048" s="24"/>
      <c r="P39048"/>
      <c r="Q39048" s="24"/>
      <c r="R39048"/>
      <c r="S39048"/>
      <c r="T39048"/>
      <c r="U39048"/>
      <c r="X39048" s="60"/>
    </row>
    <row r="39049" spans="7:24" ht="15" customHeight="1">
      <c r="G39049"/>
      <c r="I39049"/>
      <c r="N39049"/>
      <c r="O39049" s="24"/>
      <c r="P39049"/>
      <c r="Q39049" s="24"/>
      <c r="R39049"/>
      <c r="S39049"/>
      <c r="T39049"/>
      <c r="U39049"/>
      <c r="X39049" s="60"/>
    </row>
    <row r="39050" spans="7:24" ht="15" customHeight="1">
      <c r="G39050"/>
      <c r="I39050"/>
      <c r="N39050"/>
      <c r="O39050" s="24"/>
      <c r="P39050"/>
      <c r="Q39050" s="24"/>
      <c r="R39050"/>
      <c r="S39050"/>
      <c r="T39050"/>
      <c r="U39050"/>
      <c r="X39050" s="60"/>
    </row>
    <row r="39051" spans="7:24" ht="15" customHeight="1">
      <c r="G39051"/>
      <c r="I39051"/>
      <c r="N39051"/>
      <c r="O39051" s="24"/>
      <c r="P39051"/>
      <c r="Q39051" s="24"/>
      <c r="R39051"/>
      <c r="S39051"/>
      <c r="T39051"/>
      <c r="U39051"/>
      <c r="X39051" s="60"/>
    </row>
    <row r="39052" spans="7:24" ht="15" customHeight="1">
      <c r="G39052"/>
      <c r="I39052"/>
      <c r="N39052"/>
      <c r="O39052" s="24"/>
      <c r="P39052"/>
      <c r="Q39052" s="24"/>
      <c r="R39052"/>
      <c r="S39052"/>
      <c r="T39052"/>
      <c r="U39052"/>
      <c r="X39052" s="60"/>
    </row>
    <row r="39053" spans="7:24" ht="15" customHeight="1">
      <c r="G39053"/>
      <c r="I39053"/>
      <c r="N39053"/>
      <c r="O39053" s="24"/>
      <c r="P39053"/>
      <c r="Q39053" s="24"/>
      <c r="R39053"/>
      <c r="S39053"/>
      <c r="T39053"/>
      <c r="U39053"/>
      <c r="X39053" s="60"/>
    </row>
    <row r="39054" spans="7:24" ht="15" customHeight="1">
      <c r="G39054"/>
      <c r="I39054"/>
      <c r="N39054"/>
      <c r="O39054" s="24"/>
      <c r="P39054"/>
      <c r="Q39054" s="24"/>
      <c r="R39054"/>
      <c r="S39054"/>
      <c r="T39054"/>
      <c r="U39054"/>
      <c r="X39054" s="60"/>
    </row>
    <row r="39055" spans="7:24" ht="15" customHeight="1">
      <c r="G39055"/>
      <c r="I39055"/>
      <c r="N39055"/>
      <c r="O39055" s="24"/>
      <c r="P39055"/>
      <c r="Q39055" s="24"/>
      <c r="R39055"/>
      <c r="S39055"/>
      <c r="T39055"/>
      <c r="U39055"/>
      <c r="X39055" s="60"/>
    </row>
    <row r="39056" spans="7:24" ht="15" customHeight="1">
      <c r="G39056"/>
      <c r="I39056"/>
      <c r="N39056"/>
      <c r="O39056" s="24"/>
      <c r="P39056"/>
      <c r="Q39056" s="24"/>
      <c r="R39056"/>
      <c r="S39056"/>
      <c r="T39056"/>
      <c r="U39056"/>
      <c r="X39056" s="60"/>
    </row>
    <row r="39057" spans="7:24" ht="15" customHeight="1">
      <c r="G39057"/>
      <c r="I39057"/>
      <c r="N39057"/>
      <c r="O39057" s="24"/>
      <c r="P39057"/>
      <c r="Q39057" s="24"/>
      <c r="R39057"/>
      <c r="S39057"/>
      <c r="T39057"/>
      <c r="U39057"/>
      <c r="X39057" s="60"/>
    </row>
    <row r="39058" spans="7:24" ht="15" customHeight="1">
      <c r="G39058"/>
      <c r="I39058"/>
      <c r="N39058"/>
      <c r="O39058" s="24"/>
      <c r="P39058"/>
      <c r="Q39058" s="24"/>
      <c r="R39058"/>
      <c r="S39058"/>
      <c r="T39058"/>
      <c r="U39058"/>
      <c r="X39058" s="60"/>
    </row>
    <row r="39059" spans="7:24" ht="15" customHeight="1">
      <c r="G39059"/>
      <c r="I39059"/>
      <c r="N39059"/>
      <c r="O39059" s="24"/>
      <c r="P39059"/>
      <c r="Q39059" s="24"/>
      <c r="R39059"/>
      <c r="S39059"/>
      <c r="T39059"/>
      <c r="U39059"/>
      <c r="X39059" s="60"/>
    </row>
    <row r="39060" spans="7:24" ht="15" customHeight="1">
      <c r="G39060"/>
      <c r="I39060"/>
      <c r="N39060"/>
      <c r="O39060" s="24"/>
      <c r="P39060"/>
      <c r="Q39060" s="24"/>
      <c r="R39060"/>
      <c r="S39060"/>
      <c r="T39060"/>
      <c r="U39060"/>
      <c r="X39060" s="60"/>
    </row>
    <row r="39061" spans="7:24" ht="15" customHeight="1">
      <c r="G39061"/>
      <c r="I39061"/>
      <c r="N39061"/>
      <c r="O39061" s="24"/>
      <c r="P39061"/>
      <c r="Q39061" s="24"/>
      <c r="R39061"/>
      <c r="S39061"/>
      <c r="T39061"/>
      <c r="U39061"/>
      <c r="X39061" s="60"/>
    </row>
    <row r="39062" spans="7:24" ht="15" customHeight="1">
      <c r="G39062"/>
      <c r="I39062"/>
      <c r="N39062"/>
      <c r="O39062" s="24"/>
      <c r="P39062"/>
      <c r="Q39062" s="24"/>
      <c r="R39062"/>
      <c r="S39062"/>
      <c r="T39062"/>
      <c r="U39062"/>
      <c r="X39062" s="60"/>
    </row>
    <row r="39063" spans="7:24" ht="15" customHeight="1">
      <c r="G39063"/>
      <c r="I39063"/>
      <c r="N39063"/>
      <c r="O39063" s="24"/>
      <c r="P39063"/>
      <c r="Q39063" s="24"/>
      <c r="R39063"/>
      <c r="S39063"/>
      <c r="T39063"/>
      <c r="U39063"/>
      <c r="X39063" s="60"/>
    </row>
    <row r="39064" spans="7:24" ht="15" customHeight="1">
      <c r="G39064"/>
      <c r="I39064"/>
      <c r="N39064"/>
      <c r="O39064" s="24"/>
      <c r="P39064"/>
      <c r="Q39064" s="24"/>
      <c r="R39064"/>
      <c r="S39064"/>
      <c r="T39064"/>
      <c r="U39064"/>
      <c r="X39064" s="60"/>
    </row>
    <row r="39065" spans="7:24" ht="15" customHeight="1">
      <c r="G39065"/>
      <c r="I39065"/>
      <c r="N39065"/>
      <c r="O39065" s="24"/>
      <c r="P39065"/>
      <c r="Q39065" s="24"/>
      <c r="R39065"/>
      <c r="S39065"/>
      <c r="T39065"/>
      <c r="U39065"/>
      <c r="X39065" s="60"/>
    </row>
    <row r="39066" spans="7:24" ht="15" customHeight="1">
      <c r="G39066"/>
      <c r="I39066"/>
      <c r="N39066"/>
      <c r="O39066" s="24"/>
      <c r="P39066"/>
      <c r="Q39066" s="24"/>
      <c r="R39066"/>
      <c r="S39066"/>
      <c r="T39066"/>
      <c r="U39066"/>
      <c r="X39066" s="60"/>
    </row>
    <row r="39067" spans="7:24" ht="15" customHeight="1">
      <c r="G39067"/>
      <c r="I39067"/>
      <c r="N39067"/>
      <c r="O39067" s="24"/>
      <c r="P39067"/>
      <c r="Q39067" s="24"/>
      <c r="R39067"/>
      <c r="S39067"/>
      <c r="T39067"/>
      <c r="U39067"/>
      <c r="X39067" s="60"/>
    </row>
    <row r="39068" spans="7:24" ht="15" customHeight="1">
      <c r="G39068"/>
      <c r="I39068"/>
      <c r="N39068"/>
      <c r="O39068" s="24"/>
      <c r="P39068"/>
      <c r="Q39068" s="24"/>
      <c r="R39068"/>
      <c r="S39068"/>
      <c r="T39068"/>
      <c r="U39068"/>
      <c r="X39068" s="60"/>
    </row>
    <row r="39069" spans="7:24" ht="15" customHeight="1">
      <c r="G39069"/>
      <c r="I39069"/>
      <c r="N39069"/>
      <c r="O39069" s="24"/>
      <c r="P39069"/>
      <c r="Q39069" s="24"/>
      <c r="R39069"/>
      <c r="S39069"/>
      <c r="T39069"/>
      <c r="U39069"/>
      <c r="X39069" s="60"/>
    </row>
    <row r="39070" spans="7:24" ht="15" customHeight="1">
      <c r="G39070"/>
      <c r="I39070"/>
      <c r="N39070"/>
      <c r="O39070" s="24"/>
      <c r="P39070"/>
      <c r="Q39070" s="24"/>
      <c r="R39070"/>
      <c r="S39070"/>
      <c r="T39070"/>
      <c r="U39070"/>
      <c r="X39070" s="60"/>
    </row>
    <row r="39071" spans="7:24" ht="15" customHeight="1">
      <c r="G39071"/>
      <c r="I39071"/>
      <c r="N39071"/>
      <c r="O39071" s="24"/>
      <c r="P39071"/>
      <c r="Q39071" s="24"/>
      <c r="R39071"/>
      <c r="S39071"/>
      <c r="T39071"/>
      <c r="U39071"/>
      <c r="X39071" s="60"/>
    </row>
    <row r="39072" spans="7:24" ht="15" customHeight="1">
      <c r="G39072"/>
      <c r="I39072"/>
      <c r="N39072"/>
      <c r="O39072" s="24"/>
      <c r="P39072"/>
      <c r="Q39072" s="24"/>
      <c r="R39072"/>
      <c r="S39072"/>
      <c r="T39072"/>
      <c r="U39072"/>
      <c r="X39072" s="60"/>
    </row>
    <row r="39073" spans="7:24" ht="15" customHeight="1">
      <c r="G39073"/>
      <c r="I39073"/>
      <c r="N39073"/>
      <c r="O39073" s="24"/>
      <c r="P39073"/>
      <c r="Q39073" s="24"/>
      <c r="R39073"/>
      <c r="S39073"/>
      <c r="T39073"/>
      <c r="U39073"/>
      <c r="X39073" s="60"/>
    </row>
    <row r="39074" spans="7:24" ht="15" customHeight="1">
      <c r="G39074"/>
      <c r="I39074"/>
      <c r="N39074"/>
      <c r="O39074" s="24"/>
      <c r="P39074"/>
      <c r="Q39074" s="24"/>
      <c r="R39074"/>
      <c r="S39074"/>
      <c r="T39074"/>
      <c r="U39074"/>
      <c r="X39074" s="60"/>
    </row>
    <row r="39075" spans="7:24" ht="15" customHeight="1">
      <c r="G39075"/>
      <c r="I39075"/>
      <c r="N39075"/>
      <c r="O39075" s="24"/>
      <c r="P39075"/>
      <c r="Q39075" s="24"/>
      <c r="R39075"/>
      <c r="S39075"/>
      <c r="T39075"/>
      <c r="U39075"/>
      <c r="X39075" s="60"/>
    </row>
    <row r="39076" spans="7:24" ht="15" customHeight="1">
      <c r="G39076"/>
      <c r="I39076"/>
      <c r="N39076"/>
      <c r="O39076" s="24"/>
      <c r="P39076"/>
      <c r="Q39076" s="24"/>
      <c r="R39076"/>
      <c r="S39076"/>
      <c r="T39076"/>
      <c r="U39076"/>
      <c r="X39076" s="60"/>
    </row>
    <row r="39077" spans="7:24" ht="15" customHeight="1">
      <c r="G39077"/>
      <c r="I39077"/>
      <c r="N39077"/>
      <c r="O39077" s="24"/>
      <c r="P39077"/>
      <c r="Q39077" s="24"/>
      <c r="R39077"/>
      <c r="S39077"/>
      <c r="T39077"/>
      <c r="U39077"/>
      <c r="X39077" s="60"/>
    </row>
    <row r="39078" spans="7:24" ht="15" customHeight="1">
      <c r="G39078"/>
      <c r="I39078"/>
      <c r="N39078"/>
      <c r="O39078" s="24"/>
      <c r="P39078"/>
      <c r="Q39078" s="24"/>
      <c r="R39078"/>
      <c r="S39078"/>
      <c r="T39078"/>
      <c r="U39078"/>
      <c r="X39078" s="60"/>
    </row>
    <row r="39079" spans="7:24" ht="15" customHeight="1">
      <c r="G39079"/>
      <c r="I39079"/>
      <c r="N39079"/>
      <c r="O39079" s="24"/>
      <c r="P39079"/>
      <c r="Q39079" s="24"/>
      <c r="R39079"/>
      <c r="S39079"/>
      <c r="T39079"/>
      <c r="U39079"/>
      <c r="X39079" s="60"/>
    </row>
    <row r="39080" spans="7:24" ht="15" customHeight="1">
      <c r="G39080"/>
      <c r="I39080"/>
      <c r="N39080"/>
      <c r="O39080" s="24"/>
      <c r="P39080"/>
      <c r="Q39080" s="24"/>
      <c r="R39080"/>
      <c r="S39080"/>
      <c r="T39080"/>
      <c r="U39080"/>
      <c r="X39080" s="60"/>
    </row>
    <row r="39081" spans="7:24" ht="15" customHeight="1">
      <c r="G39081"/>
      <c r="I39081"/>
      <c r="N39081"/>
      <c r="O39081" s="24"/>
      <c r="P39081"/>
      <c r="Q39081" s="24"/>
      <c r="R39081"/>
      <c r="S39081"/>
      <c r="T39081"/>
      <c r="U39081"/>
      <c r="X39081" s="60"/>
    </row>
    <row r="39082" spans="7:24" ht="15" customHeight="1">
      <c r="G39082"/>
      <c r="I39082"/>
      <c r="N39082"/>
      <c r="O39082" s="24"/>
      <c r="P39082"/>
      <c r="Q39082" s="24"/>
      <c r="R39082"/>
      <c r="S39082"/>
      <c r="T39082"/>
      <c r="U39082"/>
      <c r="X39082" s="60"/>
    </row>
    <row r="39083" spans="7:24" ht="15" customHeight="1">
      <c r="G39083"/>
      <c r="I39083"/>
      <c r="N39083"/>
      <c r="O39083" s="24"/>
      <c r="P39083"/>
      <c r="Q39083" s="24"/>
      <c r="R39083"/>
      <c r="S39083"/>
      <c r="T39083"/>
      <c r="U39083"/>
      <c r="X39083" s="60"/>
    </row>
    <row r="39084" spans="7:24" ht="15" customHeight="1">
      <c r="G39084"/>
      <c r="I39084"/>
      <c r="N39084"/>
      <c r="O39084" s="24"/>
      <c r="P39084"/>
      <c r="Q39084" s="24"/>
      <c r="R39084"/>
      <c r="S39084"/>
      <c r="T39084"/>
      <c r="U39084"/>
      <c r="X39084" s="60"/>
    </row>
    <row r="39085" spans="7:24" ht="15" customHeight="1">
      <c r="G39085"/>
      <c r="I39085"/>
      <c r="N39085"/>
      <c r="O39085" s="24"/>
      <c r="P39085"/>
      <c r="Q39085" s="24"/>
      <c r="R39085"/>
      <c r="S39085"/>
      <c r="T39085"/>
      <c r="U39085"/>
      <c r="X39085" s="60"/>
    </row>
    <row r="39086" spans="7:24" ht="15" customHeight="1">
      <c r="G39086"/>
      <c r="I39086"/>
      <c r="N39086"/>
      <c r="O39086" s="24"/>
      <c r="P39086"/>
      <c r="Q39086" s="24"/>
      <c r="R39086"/>
      <c r="S39086"/>
      <c r="T39086"/>
      <c r="U39086"/>
      <c r="X39086" s="60"/>
    </row>
    <row r="39087" spans="7:24" ht="15" customHeight="1">
      <c r="G39087"/>
      <c r="I39087"/>
      <c r="N39087"/>
      <c r="O39087" s="24"/>
      <c r="P39087"/>
      <c r="Q39087" s="24"/>
      <c r="R39087"/>
      <c r="S39087"/>
      <c r="T39087"/>
      <c r="U39087"/>
      <c r="X39087" s="60"/>
    </row>
    <row r="39088" spans="7:24" ht="15" customHeight="1">
      <c r="G39088"/>
      <c r="I39088"/>
      <c r="N39088"/>
      <c r="O39088" s="24"/>
      <c r="P39088"/>
      <c r="Q39088" s="24"/>
      <c r="R39088"/>
      <c r="S39088"/>
      <c r="T39088"/>
      <c r="U39088"/>
      <c r="X39088" s="60"/>
    </row>
    <row r="39089" spans="7:24" ht="15" customHeight="1">
      <c r="G39089"/>
      <c r="I39089"/>
      <c r="N39089"/>
      <c r="O39089" s="24"/>
      <c r="P39089"/>
      <c r="Q39089" s="24"/>
      <c r="R39089"/>
      <c r="S39089"/>
      <c r="T39089"/>
      <c r="U39089"/>
      <c r="X39089" s="60"/>
    </row>
    <row r="39090" spans="7:24" ht="15" customHeight="1">
      <c r="G39090"/>
      <c r="I39090"/>
      <c r="N39090"/>
      <c r="O39090" s="24"/>
      <c r="P39090"/>
      <c r="Q39090" s="24"/>
      <c r="R39090"/>
      <c r="S39090"/>
      <c r="T39090"/>
      <c r="U39090"/>
      <c r="X39090" s="60"/>
    </row>
    <row r="39091" spans="7:24" ht="15" customHeight="1">
      <c r="G39091"/>
      <c r="I39091"/>
      <c r="N39091"/>
      <c r="O39091" s="24"/>
      <c r="P39091"/>
      <c r="Q39091" s="24"/>
      <c r="R39091"/>
      <c r="S39091"/>
      <c r="T39091"/>
      <c r="U39091"/>
      <c r="X39091" s="60"/>
    </row>
    <row r="39092" spans="7:24" ht="15" customHeight="1">
      <c r="G39092"/>
      <c r="I39092"/>
      <c r="N39092"/>
      <c r="O39092" s="24"/>
      <c r="P39092"/>
      <c r="Q39092" s="24"/>
      <c r="R39092"/>
      <c r="S39092"/>
      <c r="T39092"/>
      <c r="U39092"/>
      <c r="X39092" s="60"/>
    </row>
    <row r="39093" spans="7:24" ht="15" customHeight="1">
      <c r="G39093"/>
      <c r="I39093"/>
      <c r="N39093"/>
      <c r="O39093" s="24"/>
      <c r="P39093"/>
      <c r="Q39093" s="24"/>
      <c r="R39093"/>
      <c r="S39093"/>
      <c r="T39093"/>
      <c r="U39093"/>
      <c r="X39093" s="60"/>
    </row>
    <row r="39094" spans="7:24" ht="15" customHeight="1">
      <c r="G39094"/>
      <c r="I39094"/>
      <c r="N39094"/>
      <c r="O39094" s="24"/>
      <c r="P39094"/>
      <c r="Q39094" s="24"/>
      <c r="R39094"/>
      <c r="S39094"/>
      <c r="T39094"/>
      <c r="U39094"/>
      <c r="X39094" s="60"/>
    </row>
    <row r="39095" spans="7:24" ht="15" customHeight="1">
      <c r="G39095"/>
      <c r="I39095"/>
      <c r="N39095"/>
      <c r="O39095" s="24"/>
      <c r="P39095"/>
      <c r="Q39095" s="24"/>
      <c r="R39095"/>
      <c r="S39095"/>
      <c r="T39095"/>
      <c r="U39095"/>
      <c r="X39095" s="60"/>
    </row>
    <row r="39096" spans="7:24" ht="15" customHeight="1">
      <c r="G39096"/>
      <c r="I39096"/>
      <c r="N39096"/>
      <c r="O39096" s="24"/>
      <c r="P39096"/>
      <c r="Q39096" s="24"/>
      <c r="R39096"/>
      <c r="S39096"/>
      <c r="T39096"/>
      <c r="U39096"/>
      <c r="X39096" s="60"/>
    </row>
    <row r="39097" spans="7:24" ht="15" customHeight="1">
      <c r="G39097"/>
      <c r="I39097"/>
      <c r="N39097"/>
      <c r="O39097" s="24"/>
      <c r="P39097"/>
      <c r="Q39097" s="24"/>
      <c r="R39097"/>
      <c r="S39097"/>
      <c r="T39097"/>
      <c r="U39097"/>
      <c r="X39097" s="60"/>
    </row>
    <row r="39098" spans="7:24" ht="15" customHeight="1">
      <c r="G39098"/>
      <c r="I39098"/>
      <c r="N39098"/>
      <c r="O39098" s="24"/>
      <c r="P39098"/>
      <c r="Q39098" s="24"/>
      <c r="R39098"/>
      <c r="S39098"/>
      <c r="T39098"/>
      <c r="U39098"/>
      <c r="X39098" s="60"/>
    </row>
    <row r="39099" spans="7:24" ht="15" customHeight="1">
      <c r="G39099"/>
      <c r="I39099"/>
      <c r="N39099"/>
      <c r="O39099" s="24"/>
      <c r="P39099"/>
      <c r="Q39099" s="24"/>
      <c r="R39099"/>
      <c r="S39099"/>
      <c r="T39099"/>
      <c r="U39099"/>
      <c r="X39099" s="60"/>
    </row>
    <row r="39100" spans="7:24" ht="15" customHeight="1">
      <c r="G39100"/>
      <c r="I39100"/>
      <c r="N39100"/>
      <c r="O39100" s="24"/>
      <c r="P39100"/>
      <c r="Q39100" s="24"/>
      <c r="R39100"/>
      <c r="S39100"/>
      <c r="T39100"/>
      <c r="U39100"/>
      <c r="X39100" s="60"/>
    </row>
    <row r="39101" spans="7:24" ht="15" customHeight="1">
      <c r="G39101"/>
      <c r="I39101"/>
      <c r="N39101"/>
      <c r="O39101" s="24"/>
      <c r="P39101"/>
      <c r="Q39101" s="24"/>
      <c r="R39101"/>
      <c r="S39101"/>
      <c r="T39101"/>
      <c r="U39101"/>
      <c r="X39101" s="60"/>
    </row>
    <row r="39102" spans="7:24" ht="15" customHeight="1">
      <c r="G39102"/>
      <c r="I39102"/>
      <c r="N39102"/>
      <c r="O39102" s="24"/>
      <c r="P39102"/>
      <c r="Q39102" s="24"/>
      <c r="R39102"/>
      <c r="S39102"/>
      <c r="T39102"/>
      <c r="U39102"/>
      <c r="X39102" s="60"/>
    </row>
    <row r="39103" spans="7:24" ht="15" customHeight="1">
      <c r="G39103"/>
      <c r="I39103"/>
      <c r="N39103"/>
      <c r="O39103" s="24"/>
      <c r="P39103"/>
      <c r="Q39103" s="24"/>
      <c r="R39103"/>
      <c r="S39103"/>
      <c r="T39103"/>
      <c r="U39103"/>
      <c r="X39103" s="60"/>
    </row>
    <row r="39104" spans="7:24" ht="15" customHeight="1">
      <c r="G39104"/>
      <c r="I39104"/>
      <c r="N39104"/>
      <c r="O39104" s="24"/>
      <c r="P39104"/>
      <c r="Q39104" s="24"/>
      <c r="R39104"/>
      <c r="S39104"/>
      <c r="T39104"/>
      <c r="U39104"/>
      <c r="X39104" s="60"/>
    </row>
    <row r="39105" spans="7:24" ht="15" customHeight="1">
      <c r="G39105"/>
      <c r="I39105"/>
      <c r="N39105"/>
      <c r="O39105" s="24"/>
      <c r="P39105"/>
      <c r="Q39105" s="24"/>
      <c r="R39105"/>
      <c r="S39105"/>
      <c r="T39105"/>
      <c r="U39105"/>
      <c r="X39105" s="60"/>
    </row>
    <row r="39106" spans="7:24" ht="15" customHeight="1">
      <c r="G39106"/>
      <c r="I39106"/>
      <c r="N39106"/>
      <c r="O39106" s="24"/>
      <c r="P39106"/>
      <c r="Q39106" s="24"/>
      <c r="R39106"/>
      <c r="S39106"/>
      <c r="T39106"/>
      <c r="U39106"/>
      <c r="X39106" s="60"/>
    </row>
    <row r="39107" spans="7:24" ht="15" customHeight="1">
      <c r="G39107"/>
      <c r="I39107"/>
      <c r="N39107"/>
      <c r="O39107" s="24"/>
      <c r="P39107"/>
      <c r="Q39107" s="24"/>
      <c r="R39107"/>
      <c r="S39107"/>
      <c r="T39107"/>
      <c r="U39107"/>
      <c r="X39107" s="60"/>
    </row>
    <row r="39108" spans="7:24" ht="15" customHeight="1">
      <c r="G39108"/>
      <c r="I39108"/>
      <c r="N39108"/>
      <c r="O39108" s="24"/>
      <c r="P39108"/>
      <c r="Q39108" s="24"/>
      <c r="R39108"/>
      <c r="S39108"/>
      <c r="T39108"/>
      <c r="U39108"/>
      <c r="X39108" s="60"/>
    </row>
    <row r="39109" spans="7:24" ht="15" customHeight="1">
      <c r="G39109"/>
      <c r="I39109"/>
      <c r="N39109"/>
      <c r="O39109" s="24"/>
      <c r="P39109"/>
      <c r="Q39109" s="24"/>
      <c r="R39109"/>
      <c r="S39109"/>
      <c r="T39109"/>
      <c r="U39109"/>
      <c r="X39109" s="60"/>
    </row>
    <row r="39110" spans="7:24" ht="15" customHeight="1">
      <c r="G39110"/>
      <c r="I39110"/>
      <c r="N39110"/>
      <c r="O39110" s="24"/>
      <c r="P39110"/>
      <c r="Q39110" s="24"/>
      <c r="R39110"/>
      <c r="S39110"/>
      <c r="T39110"/>
      <c r="U39110"/>
      <c r="X39110" s="60"/>
    </row>
    <row r="39111" spans="7:24" ht="15" customHeight="1">
      <c r="G39111"/>
      <c r="I39111"/>
      <c r="N39111"/>
      <c r="O39111" s="24"/>
      <c r="P39111"/>
      <c r="Q39111" s="24"/>
      <c r="R39111"/>
      <c r="S39111"/>
      <c r="T39111"/>
      <c r="U39111"/>
      <c r="X39111" s="60"/>
    </row>
    <row r="39112" spans="7:24" ht="15" customHeight="1">
      <c r="G39112"/>
      <c r="I39112"/>
      <c r="N39112"/>
      <c r="O39112" s="24"/>
      <c r="P39112"/>
      <c r="Q39112" s="24"/>
      <c r="R39112"/>
      <c r="S39112"/>
      <c r="T39112"/>
      <c r="U39112"/>
      <c r="X39112" s="60"/>
    </row>
    <row r="39113" spans="7:24" ht="15" customHeight="1">
      <c r="G39113"/>
      <c r="I39113"/>
      <c r="N39113"/>
      <c r="O39113" s="24"/>
      <c r="P39113"/>
      <c r="Q39113" s="24"/>
      <c r="R39113"/>
      <c r="S39113"/>
      <c r="T39113"/>
      <c r="U39113"/>
      <c r="X39113" s="60"/>
    </row>
    <row r="39114" spans="7:24" ht="15" customHeight="1">
      <c r="G39114"/>
      <c r="I39114"/>
      <c r="N39114"/>
      <c r="O39114" s="24"/>
      <c r="P39114"/>
      <c r="Q39114" s="24"/>
      <c r="R39114"/>
      <c r="S39114"/>
      <c r="T39114"/>
      <c r="U39114"/>
      <c r="X39114" s="60"/>
    </row>
    <row r="39115" spans="7:24" ht="15" customHeight="1">
      <c r="G39115"/>
      <c r="I39115"/>
      <c r="N39115"/>
      <c r="O39115" s="24"/>
      <c r="P39115"/>
      <c r="Q39115" s="24"/>
      <c r="R39115"/>
      <c r="S39115"/>
      <c r="T39115"/>
      <c r="U39115"/>
      <c r="X39115" s="60"/>
    </row>
    <row r="39116" spans="7:24" ht="15" customHeight="1">
      <c r="G39116"/>
      <c r="I39116"/>
      <c r="N39116"/>
      <c r="O39116" s="24"/>
      <c r="P39116"/>
      <c r="Q39116" s="24"/>
      <c r="R39116"/>
      <c r="S39116"/>
      <c r="T39116"/>
      <c r="U39116"/>
      <c r="X39116" s="60"/>
    </row>
    <row r="39117" spans="7:24" ht="15" customHeight="1">
      <c r="G39117"/>
      <c r="I39117"/>
      <c r="N39117"/>
      <c r="O39117" s="24"/>
      <c r="P39117"/>
      <c r="Q39117" s="24"/>
      <c r="R39117"/>
      <c r="S39117"/>
      <c r="T39117"/>
      <c r="U39117"/>
      <c r="X39117" s="60"/>
    </row>
    <row r="39118" spans="7:24" ht="15" customHeight="1">
      <c r="G39118"/>
      <c r="I39118"/>
      <c r="N39118"/>
      <c r="O39118" s="24"/>
      <c r="P39118"/>
      <c r="Q39118" s="24"/>
      <c r="R39118"/>
      <c r="S39118"/>
      <c r="T39118"/>
      <c r="U39118"/>
      <c r="X39118" s="60"/>
    </row>
    <row r="39119" spans="7:24" ht="15" customHeight="1">
      <c r="G39119"/>
      <c r="I39119"/>
      <c r="N39119"/>
      <c r="O39119" s="24"/>
      <c r="P39119"/>
      <c r="Q39119" s="24"/>
      <c r="R39119"/>
      <c r="S39119"/>
      <c r="T39119"/>
      <c r="U39119"/>
      <c r="X39119" s="60"/>
    </row>
    <row r="39120" spans="7:24" ht="15" customHeight="1">
      <c r="G39120"/>
      <c r="I39120"/>
      <c r="N39120"/>
      <c r="O39120" s="24"/>
      <c r="P39120"/>
      <c r="Q39120" s="24"/>
      <c r="R39120"/>
      <c r="S39120"/>
      <c r="T39120"/>
      <c r="U39120"/>
      <c r="X39120" s="60"/>
    </row>
    <row r="39121" spans="7:24" ht="15" customHeight="1">
      <c r="G39121"/>
      <c r="I39121"/>
      <c r="N39121"/>
      <c r="O39121" s="24"/>
      <c r="P39121"/>
      <c r="Q39121" s="24"/>
      <c r="R39121"/>
      <c r="S39121"/>
      <c r="T39121"/>
      <c r="U39121"/>
      <c r="X39121" s="60"/>
    </row>
    <row r="39122" spans="7:24" ht="15" customHeight="1">
      <c r="G39122"/>
      <c r="I39122"/>
      <c r="N39122"/>
      <c r="O39122" s="24"/>
      <c r="P39122"/>
      <c r="Q39122" s="24"/>
      <c r="R39122"/>
      <c r="S39122"/>
      <c r="T39122"/>
      <c r="U39122"/>
      <c r="X39122" s="60"/>
    </row>
    <row r="39123" spans="7:24" ht="15" customHeight="1">
      <c r="G39123"/>
      <c r="I39123"/>
      <c r="N39123"/>
      <c r="O39123" s="24"/>
      <c r="P39123"/>
      <c r="Q39123" s="24"/>
      <c r="R39123"/>
      <c r="S39123"/>
      <c r="T39123"/>
      <c r="U39123"/>
      <c r="X39123" s="60"/>
    </row>
    <row r="39124" spans="7:24" ht="15" customHeight="1">
      <c r="G39124"/>
      <c r="I39124"/>
      <c r="N39124"/>
      <c r="O39124" s="24"/>
      <c r="P39124"/>
      <c r="Q39124" s="24"/>
      <c r="R39124"/>
      <c r="S39124"/>
      <c r="T39124"/>
      <c r="U39124"/>
      <c r="X39124" s="60"/>
    </row>
    <row r="39125" spans="7:24" ht="15" customHeight="1">
      <c r="G39125"/>
      <c r="I39125"/>
      <c r="N39125"/>
      <c r="O39125" s="24"/>
      <c r="P39125"/>
      <c r="Q39125" s="24"/>
      <c r="R39125"/>
      <c r="S39125"/>
      <c r="T39125"/>
      <c r="U39125"/>
      <c r="X39125" s="60"/>
    </row>
    <row r="39126" spans="7:24" ht="15" customHeight="1">
      <c r="G39126"/>
      <c r="I39126"/>
      <c r="N39126"/>
      <c r="O39126" s="24"/>
      <c r="P39126"/>
      <c r="Q39126" s="24"/>
      <c r="R39126"/>
      <c r="S39126"/>
      <c r="T39126"/>
      <c r="U39126"/>
      <c r="X39126" s="60"/>
    </row>
    <row r="39127" spans="7:24" ht="15" customHeight="1">
      <c r="G39127"/>
      <c r="I39127"/>
      <c r="N39127"/>
      <c r="O39127" s="24"/>
      <c r="P39127"/>
      <c r="Q39127" s="24"/>
      <c r="R39127"/>
      <c r="S39127"/>
      <c r="T39127"/>
      <c r="U39127"/>
      <c r="X39127" s="60"/>
    </row>
    <row r="39128" spans="7:24" ht="15" customHeight="1">
      <c r="G39128"/>
      <c r="I39128"/>
      <c r="N39128"/>
      <c r="O39128" s="24"/>
      <c r="P39128"/>
      <c r="Q39128" s="24"/>
      <c r="R39128"/>
      <c r="S39128"/>
      <c r="T39128"/>
      <c r="U39128"/>
      <c r="X39128" s="60"/>
    </row>
    <row r="39129" spans="7:24" ht="15" customHeight="1">
      <c r="G39129"/>
      <c r="I39129"/>
      <c r="N39129"/>
      <c r="O39129" s="24"/>
      <c r="P39129"/>
      <c r="Q39129" s="24"/>
      <c r="R39129"/>
      <c r="S39129"/>
      <c r="T39129"/>
      <c r="U39129"/>
      <c r="X39129" s="60"/>
    </row>
    <row r="39130" spans="7:24" ht="15" customHeight="1">
      <c r="G39130"/>
      <c r="I39130"/>
      <c r="N39130"/>
      <c r="O39130" s="24"/>
      <c r="P39130"/>
      <c r="Q39130" s="24"/>
      <c r="R39130"/>
      <c r="S39130"/>
      <c r="T39130"/>
      <c r="U39130"/>
      <c r="X39130" s="60"/>
    </row>
    <row r="39131" spans="7:24" ht="15" customHeight="1">
      <c r="G39131"/>
      <c r="I39131"/>
      <c r="N39131"/>
      <c r="O39131" s="24"/>
      <c r="P39131"/>
      <c r="Q39131" s="24"/>
      <c r="R39131"/>
      <c r="S39131"/>
      <c r="T39131"/>
      <c r="U39131"/>
      <c r="X39131" s="60"/>
    </row>
    <row r="39132" spans="7:24" ht="15" customHeight="1">
      <c r="G39132"/>
      <c r="I39132"/>
      <c r="N39132"/>
      <c r="O39132" s="24"/>
      <c r="P39132"/>
      <c r="Q39132" s="24"/>
      <c r="R39132"/>
      <c r="S39132"/>
      <c r="T39132"/>
      <c r="U39132"/>
      <c r="X39132" s="60"/>
    </row>
    <row r="39133" spans="7:24" ht="15" customHeight="1">
      <c r="G39133"/>
      <c r="I39133"/>
      <c r="N39133"/>
      <c r="O39133" s="24"/>
      <c r="P39133"/>
      <c r="Q39133" s="24"/>
      <c r="R39133"/>
      <c r="S39133"/>
      <c r="T39133"/>
      <c r="U39133"/>
      <c r="X39133" s="60"/>
    </row>
    <row r="39134" spans="7:24" ht="15" customHeight="1">
      <c r="G39134"/>
      <c r="I39134"/>
      <c r="N39134"/>
      <c r="O39134" s="24"/>
      <c r="P39134"/>
      <c r="Q39134" s="24"/>
      <c r="R39134"/>
      <c r="S39134"/>
      <c r="T39134"/>
      <c r="U39134"/>
      <c r="X39134" s="60"/>
    </row>
    <row r="39135" spans="7:24" ht="15" customHeight="1">
      <c r="G39135"/>
      <c r="I39135"/>
      <c r="N39135"/>
      <c r="O39135" s="24"/>
      <c r="P39135"/>
      <c r="Q39135" s="24"/>
      <c r="R39135"/>
      <c r="S39135"/>
      <c r="T39135"/>
      <c r="U39135"/>
      <c r="X39135" s="60"/>
    </row>
    <row r="39136" spans="7:24" ht="15" customHeight="1">
      <c r="G39136"/>
      <c r="I39136"/>
      <c r="N39136"/>
      <c r="O39136" s="24"/>
      <c r="P39136"/>
      <c r="Q39136" s="24"/>
      <c r="R39136"/>
      <c r="S39136"/>
      <c r="T39136"/>
      <c r="U39136"/>
      <c r="X39136" s="60"/>
    </row>
    <row r="39137" spans="7:24" ht="15" customHeight="1">
      <c r="G39137"/>
      <c r="I39137"/>
      <c r="N39137"/>
      <c r="O39137" s="24"/>
      <c r="P39137"/>
      <c r="Q39137" s="24"/>
      <c r="R39137"/>
      <c r="S39137"/>
      <c r="T39137"/>
      <c r="U39137"/>
      <c r="X39137" s="60"/>
    </row>
    <row r="39138" spans="7:24" ht="15" customHeight="1">
      <c r="G39138"/>
      <c r="I39138"/>
      <c r="N39138"/>
      <c r="O39138" s="24"/>
      <c r="P39138"/>
      <c r="Q39138" s="24"/>
      <c r="R39138"/>
      <c r="S39138"/>
      <c r="T39138"/>
      <c r="U39138"/>
      <c r="X39138" s="60"/>
    </row>
    <row r="39139" spans="7:24" ht="15" customHeight="1">
      <c r="G39139"/>
      <c r="I39139"/>
      <c r="N39139"/>
      <c r="O39139" s="24"/>
      <c r="P39139"/>
      <c r="Q39139" s="24"/>
      <c r="R39139"/>
      <c r="S39139"/>
      <c r="T39139"/>
      <c r="U39139"/>
      <c r="X39139" s="60"/>
    </row>
    <row r="39140" spans="7:24" ht="15" customHeight="1">
      <c r="G39140"/>
      <c r="I39140"/>
      <c r="N39140"/>
      <c r="O39140" s="24"/>
      <c r="P39140"/>
      <c r="Q39140" s="24"/>
      <c r="R39140"/>
      <c r="S39140"/>
      <c r="T39140"/>
      <c r="U39140"/>
      <c r="X39140" s="60"/>
    </row>
    <row r="39141" spans="7:24" ht="15" customHeight="1">
      <c r="G39141"/>
      <c r="I39141"/>
      <c r="N39141"/>
      <c r="O39141" s="24"/>
      <c r="P39141"/>
      <c r="Q39141" s="24"/>
      <c r="R39141"/>
      <c r="S39141"/>
      <c r="T39141"/>
      <c r="U39141"/>
      <c r="X39141" s="60"/>
    </row>
    <row r="39142" spans="7:24" ht="15" customHeight="1">
      <c r="G39142"/>
      <c r="I39142"/>
      <c r="N39142"/>
      <c r="O39142" s="24"/>
      <c r="P39142"/>
      <c r="Q39142" s="24"/>
      <c r="R39142"/>
      <c r="S39142"/>
      <c r="T39142"/>
      <c r="U39142"/>
      <c r="X39142" s="60"/>
    </row>
    <row r="39143" spans="7:24" ht="15" customHeight="1">
      <c r="G39143"/>
      <c r="I39143"/>
      <c r="N39143"/>
      <c r="O39143" s="24"/>
      <c r="P39143"/>
      <c r="Q39143" s="24"/>
      <c r="R39143"/>
      <c r="S39143"/>
      <c r="T39143"/>
      <c r="U39143"/>
      <c r="X39143" s="60"/>
    </row>
    <row r="39144" spans="7:24" ht="15" customHeight="1">
      <c r="G39144"/>
      <c r="I39144"/>
      <c r="N39144"/>
      <c r="O39144" s="24"/>
      <c r="P39144"/>
      <c r="Q39144" s="24"/>
      <c r="R39144"/>
      <c r="S39144"/>
      <c r="T39144"/>
      <c r="U39144"/>
      <c r="X39144" s="60"/>
    </row>
    <row r="39145" spans="7:24" ht="15" customHeight="1">
      <c r="G39145"/>
      <c r="I39145"/>
      <c r="N39145"/>
      <c r="O39145" s="24"/>
      <c r="P39145"/>
      <c r="Q39145" s="24"/>
      <c r="R39145"/>
      <c r="S39145"/>
      <c r="T39145"/>
      <c r="U39145"/>
      <c r="X39145" s="60"/>
    </row>
    <row r="39146" spans="7:24" ht="15" customHeight="1">
      <c r="G39146"/>
      <c r="I39146"/>
      <c r="N39146"/>
      <c r="O39146" s="24"/>
      <c r="P39146"/>
      <c r="Q39146" s="24"/>
      <c r="R39146"/>
      <c r="S39146"/>
      <c r="T39146"/>
      <c r="U39146"/>
      <c r="X39146" s="60"/>
    </row>
    <row r="39147" spans="7:24" ht="15" customHeight="1">
      <c r="G39147"/>
      <c r="I39147"/>
      <c r="N39147"/>
      <c r="O39147" s="24"/>
      <c r="P39147"/>
      <c r="Q39147" s="24"/>
      <c r="R39147"/>
      <c r="S39147"/>
      <c r="T39147"/>
      <c r="U39147"/>
      <c r="X39147" s="60"/>
    </row>
    <row r="39148" spans="7:24" ht="15" customHeight="1">
      <c r="G39148"/>
      <c r="I39148"/>
      <c r="N39148"/>
      <c r="O39148" s="24"/>
      <c r="P39148"/>
      <c r="Q39148" s="24"/>
      <c r="R39148"/>
      <c r="S39148"/>
      <c r="T39148"/>
      <c r="U39148"/>
      <c r="X39148" s="60"/>
    </row>
    <row r="39149" spans="7:24" ht="15" customHeight="1">
      <c r="G39149"/>
      <c r="I39149"/>
      <c r="N39149"/>
      <c r="O39149" s="24"/>
      <c r="P39149"/>
      <c r="Q39149" s="24"/>
      <c r="R39149"/>
      <c r="S39149"/>
      <c r="T39149"/>
      <c r="U39149"/>
      <c r="X39149" s="60"/>
    </row>
    <row r="39150" spans="7:24" ht="15" customHeight="1">
      <c r="G39150"/>
      <c r="I39150"/>
      <c r="N39150"/>
      <c r="O39150" s="24"/>
      <c r="P39150"/>
      <c r="Q39150" s="24"/>
      <c r="R39150"/>
      <c r="S39150"/>
      <c r="T39150"/>
      <c r="U39150"/>
      <c r="X39150" s="60"/>
    </row>
    <row r="39151" spans="7:24" ht="15" customHeight="1">
      <c r="G39151"/>
      <c r="I39151"/>
      <c r="N39151"/>
      <c r="O39151" s="24"/>
      <c r="P39151"/>
      <c r="Q39151" s="24"/>
      <c r="R39151"/>
      <c r="S39151"/>
      <c r="T39151"/>
      <c r="U39151"/>
      <c r="X39151" s="60"/>
    </row>
    <row r="39152" spans="7:24" ht="15" customHeight="1">
      <c r="G39152"/>
      <c r="I39152"/>
      <c r="N39152"/>
      <c r="O39152" s="24"/>
      <c r="P39152"/>
      <c r="Q39152" s="24"/>
      <c r="R39152"/>
      <c r="S39152"/>
      <c r="T39152"/>
      <c r="U39152"/>
      <c r="X39152" s="60"/>
    </row>
    <row r="39153" spans="7:24" ht="15" customHeight="1">
      <c r="G39153"/>
      <c r="I39153"/>
      <c r="N39153"/>
      <c r="O39153" s="24"/>
      <c r="P39153"/>
      <c r="Q39153" s="24"/>
      <c r="R39153"/>
      <c r="S39153"/>
      <c r="T39153"/>
      <c r="U39153"/>
      <c r="X39153" s="60"/>
    </row>
    <row r="39154" spans="7:24" ht="15" customHeight="1">
      <c r="G39154"/>
      <c r="I39154"/>
      <c r="N39154"/>
      <c r="O39154" s="24"/>
      <c r="P39154"/>
      <c r="Q39154" s="24"/>
      <c r="R39154"/>
      <c r="S39154"/>
      <c r="T39154"/>
      <c r="U39154"/>
      <c r="X39154" s="60"/>
    </row>
    <row r="39155" spans="7:24" ht="15" customHeight="1">
      <c r="G39155"/>
      <c r="I39155"/>
      <c r="N39155"/>
      <c r="O39155" s="24"/>
      <c r="P39155"/>
      <c r="Q39155" s="24"/>
      <c r="R39155"/>
      <c r="S39155"/>
      <c r="T39155"/>
      <c r="U39155"/>
      <c r="X39155" s="60"/>
    </row>
    <row r="39156" spans="7:24" ht="15" customHeight="1">
      <c r="G39156"/>
      <c r="I39156"/>
      <c r="N39156"/>
      <c r="O39156" s="24"/>
      <c r="P39156"/>
      <c r="Q39156" s="24"/>
      <c r="R39156"/>
      <c r="S39156"/>
      <c r="T39156"/>
      <c r="U39156"/>
      <c r="X39156" s="60"/>
    </row>
    <row r="39157" spans="7:24" ht="15" customHeight="1">
      <c r="G39157"/>
      <c r="I39157"/>
      <c r="N39157"/>
      <c r="O39157" s="24"/>
      <c r="P39157"/>
      <c r="Q39157" s="24"/>
      <c r="R39157"/>
      <c r="S39157"/>
      <c r="T39157"/>
      <c r="U39157"/>
      <c r="X39157" s="60"/>
    </row>
    <row r="39158" spans="7:24" ht="15" customHeight="1">
      <c r="G39158"/>
      <c r="I39158"/>
      <c r="N39158"/>
      <c r="O39158" s="24"/>
      <c r="P39158"/>
      <c r="Q39158" s="24"/>
      <c r="R39158"/>
      <c r="S39158"/>
      <c r="T39158"/>
      <c r="U39158"/>
      <c r="X39158" s="60"/>
    </row>
    <row r="39159" spans="7:24" ht="15" customHeight="1">
      <c r="G39159"/>
      <c r="I39159"/>
      <c r="N39159"/>
      <c r="O39159" s="24"/>
      <c r="P39159"/>
      <c r="Q39159" s="24"/>
      <c r="R39159"/>
      <c r="S39159"/>
      <c r="T39159"/>
      <c r="U39159"/>
      <c r="X39159" s="60"/>
    </row>
    <row r="39160" spans="7:24" ht="15" customHeight="1">
      <c r="G39160"/>
      <c r="I39160"/>
      <c r="N39160"/>
      <c r="O39160" s="24"/>
      <c r="P39160"/>
      <c r="Q39160" s="24"/>
      <c r="R39160"/>
      <c r="S39160"/>
      <c r="T39160"/>
      <c r="U39160"/>
      <c r="X39160" s="60"/>
    </row>
    <row r="39161" spans="7:24" ht="15" customHeight="1">
      <c r="G39161"/>
      <c r="I39161"/>
      <c r="N39161"/>
      <c r="O39161" s="24"/>
      <c r="P39161"/>
      <c r="Q39161" s="24"/>
      <c r="R39161"/>
      <c r="S39161"/>
      <c r="T39161"/>
      <c r="U39161"/>
      <c r="X39161" s="60"/>
    </row>
    <row r="39162" spans="7:24" ht="15" customHeight="1">
      <c r="G39162"/>
      <c r="I39162"/>
      <c r="N39162"/>
      <c r="O39162" s="24"/>
      <c r="P39162"/>
      <c r="Q39162" s="24"/>
      <c r="R39162"/>
      <c r="S39162"/>
      <c r="T39162"/>
      <c r="U39162"/>
      <c r="X39162" s="60"/>
    </row>
    <row r="39163" spans="7:24" ht="15" customHeight="1">
      <c r="G39163"/>
      <c r="I39163"/>
      <c r="N39163"/>
      <c r="O39163" s="24"/>
      <c r="P39163"/>
      <c r="Q39163" s="24"/>
      <c r="R39163"/>
      <c r="S39163"/>
      <c r="T39163"/>
      <c r="U39163"/>
      <c r="X39163" s="60"/>
    </row>
    <row r="39164" spans="7:24" ht="15" customHeight="1">
      <c r="G39164"/>
      <c r="I39164"/>
      <c r="N39164"/>
      <c r="O39164" s="24"/>
      <c r="P39164"/>
      <c r="Q39164" s="24"/>
      <c r="R39164"/>
      <c r="S39164"/>
      <c r="T39164"/>
      <c r="U39164"/>
      <c r="X39164" s="60"/>
    </row>
    <row r="39165" spans="7:24" ht="15" customHeight="1">
      <c r="G39165"/>
      <c r="I39165"/>
      <c r="N39165"/>
      <c r="O39165" s="24"/>
      <c r="P39165"/>
      <c r="Q39165" s="24"/>
      <c r="R39165"/>
      <c r="S39165"/>
      <c r="T39165"/>
      <c r="U39165"/>
      <c r="X39165" s="60"/>
    </row>
    <row r="39166" spans="7:24" ht="15" customHeight="1">
      <c r="G39166"/>
      <c r="I39166"/>
      <c r="N39166"/>
      <c r="O39166" s="24"/>
      <c r="P39166"/>
      <c r="Q39166" s="24"/>
      <c r="R39166"/>
      <c r="S39166"/>
      <c r="T39166"/>
      <c r="U39166"/>
      <c r="X39166" s="60"/>
    </row>
    <row r="39167" spans="7:24" ht="15" customHeight="1">
      <c r="G39167"/>
      <c r="I39167"/>
      <c r="N39167"/>
      <c r="O39167" s="24"/>
      <c r="P39167"/>
      <c r="Q39167" s="24"/>
      <c r="R39167"/>
      <c r="S39167"/>
      <c r="T39167"/>
      <c r="U39167"/>
      <c r="X39167" s="60"/>
    </row>
    <row r="39168" spans="7:24" ht="15" customHeight="1">
      <c r="G39168"/>
      <c r="I39168"/>
      <c r="N39168"/>
      <c r="O39168" s="24"/>
      <c r="P39168"/>
      <c r="Q39168" s="24"/>
      <c r="R39168"/>
      <c r="S39168"/>
      <c r="T39168"/>
      <c r="U39168"/>
      <c r="X39168" s="60"/>
    </row>
    <row r="39169" spans="7:24" ht="15" customHeight="1">
      <c r="G39169"/>
      <c r="I39169"/>
      <c r="N39169"/>
      <c r="O39169" s="24"/>
      <c r="P39169"/>
      <c r="Q39169" s="24"/>
      <c r="R39169"/>
      <c r="S39169"/>
      <c r="T39169"/>
      <c r="U39169"/>
      <c r="X39169" s="60"/>
    </row>
    <row r="39170" spans="7:24" ht="15" customHeight="1">
      <c r="G39170"/>
      <c r="I39170"/>
      <c r="N39170"/>
      <c r="O39170" s="24"/>
      <c r="P39170"/>
      <c r="Q39170" s="24"/>
      <c r="R39170"/>
      <c r="S39170"/>
      <c r="T39170"/>
      <c r="U39170"/>
      <c r="X39170" s="60"/>
    </row>
    <row r="39171" spans="7:24" ht="15" customHeight="1">
      <c r="G39171"/>
      <c r="I39171"/>
      <c r="N39171"/>
      <c r="O39171" s="24"/>
      <c r="P39171"/>
      <c r="Q39171" s="24"/>
      <c r="R39171"/>
      <c r="S39171"/>
      <c r="T39171"/>
      <c r="U39171"/>
      <c r="X39171" s="60"/>
    </row>
    <row r="39172" spans="7:24" ht="15" customHeight="1">
      <c r="G39172"/>
      <c r="I39172"/>
      <c r="N39172"/>
      <c r="O39172" s="24"/>
      <c r="P39172"/>
      <c r="Q39172" s="24"/>
      <c r="R39172"/>
      <c r="S39172"/>
      <c r="T39172"/>
      <c r="U39172"/>
      <c r="X39172" s="60"/>
    </row>
    <row r="39173" spans="7:24" ht="15" customHeight="1">
      <c r="G39173"/>
      <c r="I39173"/>
      <c r="N39173"/>
      <c r="O39173" s="24"/>
      <c r="P39173"/>
      <c r="Q39173" s="24"/>
      <c r="R39173"/>
      <c r="S39173"/>
      <c r="T39173"/>
      <c r="U39173"/>
      <c r="X39173" s="60"/>
    </row>
    <row r="39174" spans="7:24" ht="15" customHeight="1">
      <c r="G39174"/>
      <c r="I39174"/>
      <c r="N39174"/>
      <c r="O39174" s="24"/>
      <c r="P39174"/>
      <c r="Q39174" s="24"/>
      <c r="R39174"/>
      <c r="S39174"/>
      <c r="T39174"/>
      <c r="U39174"/>
      <c r="X39174" s="60"/>
    </row>
    <row r="39175" spans="7:24" ht="15" customHeight="1">
      <c r="G39175"/>
      <c r="I39175"/>
      <c r="N39175"/>
      <c r="O39175" s="24"/>
      <c r="P39175"/>
      <c r="Q39175" s="24"/>
      <c r="R39175"/>
      <c r="S39175"/>
      <c r="T39175"/>
      <c r="U39175"/>
      <c r="X39175" s="60"/>
    </row>
    <row r="39176" spans="7:24" ht="15" customHeight="1">
      <c r="G39176"/>
      <c r="I39176"/>
      <c r="N39176"/>
      <c r="O39176" s="24"/>
      <c r="P39176"/>
      <c r="Q39176" s="24"/>
      <c r="R39176"/>
      <c r="S39176"/>
      <c r="T39176"/>
      <c r="U39176"/>
      <c r="X39176" s="60"/>
    </row>
    <row r="39177" spans="7:24" ht="15" customHeight="1">
      <c r="G39177"/>
      <c r="I39177"/>
      <c r="N39177"/>
      <c r="O39177" s="24"/>
      <c r="P39177"/>
      <c r="Q39177" s="24"/>
      <c r="R39177"/>
      <c r="S39177"/>
      <c r="T39177"/>
      <c r="U39177"/>
      <c r="X39177" s="60"/>
    </row>
    <row r="39178" spans="7:24" ht="15" customHeight="1">
      <c r="G39178"/>
      <c r="I39178"/>
      <c r="N39178"/>
      <c r="O39178" s="24"/>
      <c r="P39178"/>
      <c r="Q39178" s="24"/>
      <c r="R39178"/>
      <c r="S39178"/>
      <c r="T39178"/>
      <c r="U39178"/>
      <c r="X39178" s="60"/>
    </row>
    <row r="39179" spans="7:24" ht="15" customHeight="1">
      <c r="G39179"/>
      <c r="I39179"/>
      <c r="N39179"/>
      <c r="O39179" s="24"/>
      <c r="P39179"/>
      <c r="Q39179" s="24"/>
      <c r="R39179"/>
      <c r="S39179"/>
      <c r="T39179"/>
      <c r="U39179"/>
      <c r="X39179" s="60"/>
    </row>
    <row r="39180" spans="7:24" ht="15" customHeight="1">
      <c r="G39180"/>
      <c r="I39180"/>
      <c r="N39180"/>
      <c r="O39180" s="24"/>
      <c r="P39180"/>
      <c r="Q39180" s="24"/>
      <c r="R39180"/>
      <c r="S39180"/>
      <c r="T39180"/>
      <c r="U39180"/>
      <c r="X39180" s="60"/>
    </row>
    <row r="39181" spans="7:24" ht="15" customHeight="1">
      <c r="G39181"/>
      <c r="I39181"/>
      <c r="N39181"/>
      <c r="O39181" s="24"/>
      <c r="P39181"/>
      <c r="Q39181" s="24"/>
      <c r="R39181"/>
      <c r="S39181"/>
      <c r="T39181"/>
      <c r="U39181"/>
      <c r="X39181" s="60"/>
    </row>
    <row r="39182" spans="7:24" ht="15" customHeight="1">
      <c r="G39182"/>
      <c r="I39182"/>
      <c r="N39182"/>
      <c r="O39182" s="24"/>
      <c r="P39182"/>
      <c r="Q39182" s="24"/>
      <c r="R39182"/>
      <c r="S39182"/>
      <c r="T39182"/>
      <c r="U39182"/>
      <c r="X39182" s="60"/>
    </row>
    <row r="39183" spans="7:24" ht="15" customHeight="1">
      <c r="G39183"/>
      <c r="I39183"/>
      <c r="N39183"/>
      <c r="O39183" s="24"/>
      <c r="P39183"/>
      <c r="Q39183" s="24"/>
      <c r="R39183"/>
      <c r="S39183"/>
      <c r="T39183"/>
      <c r="U39183"/>
      <c r="X39183" s="60"/>
    </row>
    <row r="39184" spans="7:24" ht="15" customHeight="1">
      <c r="G39184"/>
      <c r="I39184"/>
      <c r="N39184"/>
      <c r="O39184" s="24"/>
      <c r="P39184"/>
      <c r="Q39184" s="24"/>
      <c r="R39184"/>
      <c r="S39184"/>
      <c r="T39184"/>
      <c r="U39184"/>
      <c r="X39184" s="60"/>
    </row>
    <row r="39185" spans="7:24" ht="15" customHeight="1">
      <c r="G39185"/>
      <c r="I39185"/>
      <c r="N39185"/>
      <c r="O39185" s="24"/>
      <c r="P39185"/>
      <c r="Q39185" s="24"/>
      <c r="R39185"/>
      <c r="S39185"/>
      <c r="T39185"/>
      <c r="U39185"/>
      <c r="X39185" s="60"/>
    </row>
    <row r="39186" spans="7:24" ht="15" customHeight="1">
      <c r="G39186"/>
      <c r="I39186"/>
      <c r="N39186"/>
      <c r="O39186" s="24"/>
      <c r="P39186"/>
      <c r="Q39186" s="24"/>
      <c r="R39186"/>
      <c r="S39186"/>
      <c r="T39186"/>
      <c r="U39186"/>
      <c r="X39186" s="60"/>
    </row>
    <row r="39187" spans="7:24" ht="15" customHeight="1">
      <c r="G39187"/>
      <c r="I39187"/>
      <c r="N39187"/>
      <c r="O39187" s="24"/>
      <c r="P39187"/>
      <c r="Q39187" s="24"/>
      <c r="R39187"/>
      <c r="S39187"/>
      <c r="T39187"/>
      <c r="U39187"/>
      <c r="X39187" s="60"/>
    </row>
    <row r="39188" spans="7:24" ht="15" customHeight="1">
      <c r="G39188"/>
      <c r="I39188"/>
      <c r="N39188"/>
      <c r="O39188" s="24"/>
      <c r="P39188"/>
      <c r="Q39188" s="24"/>
      <c r="R39188"/>
      <c r="S39188"/>
      <c r="T39188"/>
      <c r="U39188"/>
      <c r="X39188" s="60"/>
    </row>
    <row r="39189" spans="7:24" ht="15" customHeight="1">
      <c r="G39189"/>
      <c r="I39189"/>
      <c r="N39189"/>
      <c r="O39189" s="24"/>
      <c r="P39189"/>
      <c r="Q39189" s="24"/>
      <c r="R39189"/>
      <c r="S39189"/>
      <c r="T39189"/>
      <c r="U39189"/>
      <c r="X39189" s="60"/>
    </row>
    <row r="39190" spans="7:24" ht="15" customHeight="1">
      <c r="G39190"/>
      <c r="I39190"/>
      <c r="N39190"/>
      <c r="O39190" s="24"/>
      <c r="P39190"/>
      <c r="Q39190" s="24"/>
      <c r="R39190"/>
      <c r="S39190"/>
      <c r="T39190"/>
      <c r="U39190"/>
      <c r="X39190" s="60"/>
    </row>
    <row r="39191" spans="7:24" ht="15" customHeight="1">
      <c r="G39191"/>
      <c r="I39191"/>
      <c r="N39191"/>
      <c r="O39191" s="24"/>
      <c r="P39191"/>
      <c r="Q39191" s="24"/>
      <c r="R39191"/>
      <c r="S39191"/>
      <c r="T39191"/>
      <c r="U39191"/>
      <c r="X39191" s="60"/>
    </row>
    <row r="39192" spans="7:24" ht="15" customHeight="1">
      <c r="G39192"/>
      <c r="I39192"/>
      <c r="N39192"/>
      <c r="O39192" s="24"/>
      <c r="P39192"/>
      <c r="Q39192" s="24"/>
      <c r="R39192"/>
      <c r="S39192"/>
      <c r="T39192"/>
      <c r="U39192"/>
      <c r="X39192" s="60"/>
    </row>
    <row r="39193" spans="7:24" ht="15" customHeight="1">
      <c r="G39193"/>
      <c r="I39193"/>
      <c r="N39193"/>
      <c r="O39193" s="24"/>
      <c r="P39193"/>
      <c r="Q39193" s="24"/>
      <c r="R39193"/>
      <c r="S39193"/>
      <c r="T39193"/>
      <c r="U39193"/>
      <c r="X39193" s="60"/>
    </row>
    <row r="39194" spans="7:24" ht="15" customHeight="1">
      <c r="G39194"/>
      <c r="I39194"/>
      <c r="N39194"/>
      <c r="O39194" s="24"/>
      <c r="P39194"/>
      <c r="Q39194" s="24"/>
      <c r="R39194"/>
      <c r="S39194"/>
      <c r="T39194"/>
      <c r="U39194"/>
      <c r="X39194" s="60"/>
    </row>
    <row r="39195" spans="7:24" ht="15" customHeight="1">
      <c r="G39195"/>
      <c r="I39195"/>
      <c r="N39195"/>
      <c r="O39195" s="24"/>
      <c r="P39195"/>
      <c r="Q39195" s="24"/>
      <c r="R39195"/>
      <c r="S39195"/>
      <c r="T39195"/>
      <c r="U39195"/>
      <c r="X39195" s="60"/>
    </row>
    <row r="39196" spans="7:24" ht="15" customHeight="1">
      <c r="G39196"/>
      <c r="I39196"/>
      <c r="N39196"/>
      <c r="O39196" s="24"/>
      <c r="P39196"/>
      <c r="Q39196" s="24"/>
      <c r="R39196"/>
      <c r="S39196"/>
      <c r="T39196"/>
      <c r="U39196"/>
      <c r="X39196" s="60"/>
    </row>
    <row r="39197" spans="7:24" ht="15" customHeight="1">
      <c r="G39197"/>
      <c r="I39197"/>
      <c r="N39197"/>
      <c r="O39197" s="24"/>
      <c r="P39197"/>
      <c r="Q39197" s="24"/>
      <c r="R39197"/>
      <c r="S39197"/>
      <c r="T39197"/>
      <c r="U39197"/>
      <c r="X39197" s="60"/>
    </row>
    <row r="39198" spans="7:24" ht="15" customHeight="1">
      <c r="G39198"/>
      <c r="I39198"/>
      <c r="N39198"/>
      <c r="O39198" s="24"/>
      <c r="P39198"/>
      <c r="Q39198" s="24"/>
      <c r="R39198"/>
      <c r="S39198"/>
      <c r="T39198"/>
      <c r="U39198"/>
      <c r="X39198" s="60"/>
    </row>
    <row r="39199" spans="7:24" ht="15" customHeight="1">
      <c r="G39199"/>
      <c r="I39199"/>
      <c r="N39199"/>
      <c r="O39199" s="24"/>
      <c r="P39199"/>
      <c r="Q39199" s="24"/>
      <c r="R39199"/>
      <c r="S39199"/>
      <c r="T39199"/>
      <c r="U39199"/>
      <c r="X39199" s="60"/>
    </row>
    <row r="39200" spans="7:24" ht="15" customHeight="1">
      <c r="G39200"/>
      <c r="I39200"/>
      <c r="N39200"/>
      <c r="O39200" s="24"/>
      <c r="P39200"/>
      <c r="Q39200" s="24"/>
      <c r="R39200"/>
      <c r="S39200"/>
      <c r="T39200"/>
      <c r="U39200"/>
      <c r="X39200" s="60"/>
    </row>
    <row r="39201" spans="7:24" ht="15" customHeight="1">
      <c r="G39201"/>
      <c r="I39201"/>
      <c r="N39201"/>
      <c r="O39201" s="24"/>
      <c r="P39201"/>
      <c r="Q39201" s="24"/>
      <c r="R39201"/>
      <c r="S39201"/>
      <c r="T39201"/>
      <c r="U39201"/>
      <c r="X39201" s="60"/>
    </row>
    <row r="39202" spans="7:24" ht="15" customHeight="1">
      <c r="G39202"/>
      <c r="I39202"/>
      <c r="N39202"/>
      <c r="O39202" s="24"/>
      <c r="P39202"/>
      <c r="Q39202" s="24"/>
      <c r="R39202"/>
      <c r="S39202"/>
      <c r="T39202"/>
      <c r="U39202"/>
      <c r="X39202" s="60"/>
    </row>
    <row r="39203" spans="7:24" ht="15" customHeight="1">
      <c r="G39203"/>
      <c r="I39203"/>
      <c r="N39203"/>
      <c r="O39203" s="24"/>
      <c r="P39203"/>
      <c r="Q39203" s="24"/>
      <c r="R39203"/>
      <c r="S39203"/>
      <c r="T39203"/>
      <c r="U39203"/>
      <c r="X39203" s="60"/>
    </row>
    <row r="39204" spans="7:24" ht="15" customHeight="1">
      <c r="G39204"/>
      <c r="I39204"/>
      <c r="N39204"/>
      <c r="O39204" s="24"/>
      <c r="P39204"/>
      <c r="Q39204" s="24"/>
      <c r="R39204"/>
      <c r="S39204"/>
      <c r="T39204"/>
      <c r="U39204"/>
      <c r="X39204" s="60"/>
    </row>
    <row r="39205" spans="7:24" ht="15" customHeight="1">
      <c r="G39205"/>
      <c r="I39205"/>
      <c r="N39205"/>
      <c r="O39205" s="24"/>
      <c r="P39205"/>
      <c r="Q39205" s="24"/>
      <c r="R39205"/>
      <c r="S39205"/>
      <c r="T39205"/>
      <c r="U39205"/>
      <c r="X39205" s="60"/>
    </row>
    <row r="39206" spans="7:24" ht="15" customHeight="1">
      <c r="G39206"/>
      <c r="I39206"/>
      <c r="N39206"/>
      <c r="O39206" s="24"/>
      <c r="P39206"/>
      <c r="Q39206" s="24"/>
      <c r="R39206"/>
      <c r="S39206"/>
      <c r="T39206"/>
      <c r="U39206"/>
      <c r="X39206" s="60"/>
    </row>
    <row r="39207" spans="7:24" ht="15" customHeight="1">
      <c r="G39207"/>
      <c r="I39207"/>
      <c r="N39207"/>
      <c r="O39207" s="24"/>
      <c r="P39207"/>
      <c r="Q39207" s="24"/>
      <c r="R39207"/>
      <c r="S39207"/>
      <c r="T39207"/>
      <c r="U39207"/>
      <c r="X39207" s="60"/>
    </row>
    <row r="39208" spans="7:24" ht="15" customHeight="1">
      <c r="G39208"/>
      <c r="I39208"/>
      <c r="N39208"/>
      <c r="O39208" s="24"/>
      <c r="P39208"/>
      <c r="Q39208" s="24"/>
      <c r="R39208"/>
      <c r="S39208"/>
      <c r="T39208"/>
      <c r="U39208"/>
      <c r="X39208" s="60"/>
    </row>
    <row r="39209" spans="7:24" ht="15" customHeight="1">
      <c r="G39209"/>
      <c r="I39209"/>
      <c r="N39209"/>
      <c r="O39209" s="24"/>
      <c r="P39209"/>
      <c r="Q39209" s="24"/>
      <c r="R39209"/>
      <c r="S39209"/>
      <c r="T39209"/>
      <c r="U39209"/>
      <c r="X39209" s="60"/>
    </row>
    <row r="39210" spans="7:24" ht="15" customHeight="1">
      <c r="G39210"/>
      <c r="I39210"/>
      <c r="N39210"/>
      <c r="O39210" s="24"/>
      <c r="P39210"/>
      <c r="Q39210" s="24"/>
      <c r="R39210"/>
      <c r="S39210"/>
      <c r="T39210"/>
      <c r="U39210"/>
      <c r="X39210" s="60"/>
    </row>
    <row r="39211" spans="7:24" ht="15" customHeight="1">
      <c r="G39211"/>
      <c r="I39211"/>
      <c r="N39211"/>
      <c r="O39211" s="24"/>
      <c r="P39211"/>
      <c r="Q39211" s="24"/>
      <c r="R39211"/>
      <c r="S39211"/>
      <c r="T39211"/>
      <c r="U39211"/>
      <c r="X39211" s="60"/>
    </row>
    <row r="39212" spans="7:24" ht="15" customHeight="1">
      <c r="G39212"/>
      <c r="I39212"/>
      <c r="N39212"/>
      <c r="O39212" s="24"/>
      <c r="P39212"/>
      <c r="Q39212" s="24"/>
      <c r="R39212"/>
      <c r="S39212"/>
      <c r="T39212"/>
      <c r="U39212"/>
      <c r="X39212" s="60"/>
    </row>
    <row r="39213" spans="7:24" ht="15" customHeight="1">
      <c r="G39213"/>
      <c r="I39213"/>
      <c r="N39213"/>
      <c r="O39213" s="24"/>
      <c r="P39213"/>
      <c r="Q39213" s="24"/>
      <c r="R39213"/>
      <c r="S39213"/>
      <c r="T39213"/>
      <c r="U39213"/>
      <c r="X39213" s="60"/>
    </row>
    <row r="39214" spans="7:24" ht="15" customHeight="1">
      <c r="G39214"/>
      <c r="I39214"/>
      <c r="N39214"/>
      <c r="O39214" s="24"/>
      <c r="P39214"/>
      <c r="Q39214" s="24"/>
      <c r="R39214"/>
      <c r="S39214"/>
      <c r="T39214"/>
      <c r="U39214"/>
      <c r="X39214" s="60"/>
    </row>
    <row r="39215" spans="7:24" ht="15" customHeight="1">
      <c r="G39215"/>
      <c r="I39215"/>
      <c r="N39215"/>
      <c r="O39215" s="24"/>
      <c r="P39215"/>
      <c r="Q39215" s="24"/>
      <c r="R39215"/>
      <c r="S39215"/>
      <c r="T39215"/>
      <c r="U39215"/>
      <c r="X39215" s="60"/>
    </row>
    <row r="39216" spans="7:24" ht="15" customHeight="1">
      <c r="G39216"/>
      <c r="I39216"/>
      <c r="N39216"/>
      <c r="O39216" s="24"/>
      <c r="P39216"/>
      <c r="Q39216" s="24"/>
      <c r="R39216"/>
      <c r="S39216"/>
      <c r="T39216"/>
      <c r="U39216"/>
      <c r="X39216" s="60"/>
    </row>
    <row r="39217" spans="7:24" ht="15" customHeight="1">
      <c r="G39217"/>
      <c r="I39217"/>
      <c r="N39217"/>
      <c r="O39217" s="24"/>
      <c r="P39217"/>
      <c r="Q39217" s="24"/>
      <c r="R39217"/>
      <c r="S39217"/>
      <c r="T39217"/>
      <c r="U39217"/>
      <c r="X39217" s="60"/>
    </row>
    <row r="39218" spans="7:24" ht="15" customHeight="1">
      <c r="G39218"/>
      <c r="I39218"/>
      <c r="N39218"/>
      <c r="O39218" s="24"/>
      <c r="P39218"/>
      <c r="Q39218" s="24"/>
      <c r="R39218"/>
      <c r="S39218"/>
      <c r="T39218"/>
      <c r="U39218"/>
      <c r="X39218" s="60"/>
    </row>
    <row r="39219" spans="7:24" ht="15" customHeight="1">
      <c r="G39219"/>
      <c r="I39219"/>
      <c r="N39219"/>
      <c r="O39219" s="24"/>
      <c r="P39219"/>
      <c r="Q39219" s="24"/>
      <c r="R39219"/>
      <c r="S39219"/>
      <c r="T39219"/>
      <c r="U39219"/>
      <c r="X39219" s="60"/>
    </row>
    <row r="39220" spans="7:24" ht="15" customHeight="1">
      <c r="G39220"/>
      <c r="I39220"/>
      <c r="N39220"/>
      <c r="O39220" s="24"/>
      <c r="P39220"/>
      <c r="Q39220" s="24"/>
      <c r="R39220"/>
      <c r="S39220"/>
      <c r="T39220"/>
      <c r="U39220"/>
      <c r="X39220" s="60"/>
    </row>
    <row r="39221" spans="7:24" ht="15" customHeight="1">
      <c r="G39221"/>
      <c r="I39221"/>
      <c r="N39221"/>
      <c r="O39221" s="24"/>
      <c r="P39221"/>
      <c r="Q39221" s="24"/>
      <c r="R39221"/>
      <c r="S39221"/>
      <c r="T39221"/>
      <c r="U39221"/>
      <c r="X39221" s="60"/>
    </row>
    <row r="39222" spans="7:24" ht="15" customHeight="1">
      <c r="G39222"/>
      <c r="I39222"/>
      <c r="N39222"/>
      <c r="O39222" s="24"/>
      <c r="P39222"/>
      <c r="Q39222" s="24"/>
      <c r="R39222"/>
      <c r="S39222"/>
      <c r="T39222"/>
      <c r="U39222"/>
      <c r="X39222" s="60"/>
    </row>
    <row r="39223" spans="7:24" ht="15" customHeight="1">
      <c r="G39223"/>
      <c r="I39223"/>
      <c r="N39223"/>
      <c r="O39223" s="24"/>
      <c r="P39223"/>
      <c r="Q39223" s="24"/>
      <c r="R39223"/>
      <c r="S39223"/>
      <c r="T39223"/>
      <c r="U39223"/>
      <c r="X39223" s="60"/>
    </row>
    <row r="39224" spans="7:24" ht="15" customHeight="1">
      <c r="G39224"/>
      <c r="I39224"/>
      <c r="N39224"/>
      <c r="O39224" s="24"/>
      <c r="P39224"/>
      <c r="Q39224" s="24"/>
      <c r="R39224"/>
      <c r="S39224"/>
      <c r="T39224"/>
      <c r="U39224"/>
      <c r="X39224" s="60"/>
    </row>
    <row r="39225" spans="7:24" ht="15" customHeight="1">
      <c r="G39225"/>
      <c r="I39225"/>
      <c r="N39225"/>
      <c r="O39225" s="24"/>
      <c r="P39225"/>
      <c r="Q39225" s="24"/>
      <c r="R39225"/>
      <c r="S39225"/>
      <c r="T39225"/>
      <c r="U39225"/>
      <c r="X39225" s="60"/>
    </row>
    <row r="39226" spans="7:24" ht="15" customHeight="1">
      <c r="G39226"/>
      <c r="I39226"/>
      <c r="N39226"/>
      <c r="O39226" s="24"/>
      <c r="P39226"/>
      <c r="Q39226" s="24"/>
      <c r="R39226"/>
      <c r="S39226"/>
      <c r="T39226"/>
      <c r="U39226"/>
      <c r="X39226" s="60"/>
    </row>
    <row r="39227" spans="7:24" ht="15" customHeight="1">
      <c r="G39227"/>
      <c r="I39227"/>
      <c r="N39227"/>
      <c r="O39227" s="24"/>
      <c r="P39227"/>
      <c r="Q39227" s="24"/>
      <c r="R39227"/>
      <c r="S39227"/>
      <c r="T39227"/>
      <c r="U39227"/>
      <c r="X39227" s="60"/>
    </row>
    <row r="39228" spans="7:24" ht="15" customHeight="1">
      <c r="G39228"/>
      <c r="I39228"/>
      <c r="N39228"/>
      <c r="O39228" s="24"/>
      <c r="P39228"/>
      <c r="Q39228" s="24"/>
      <c r="R39228"/>
      <c r="S39228"/>
      <c r="T39228"/>
      <c r="U39228"/>
      <c r="X39228" s="60"/>
    </row>
    <row r="39229" spans="7:24" ht="15" customHeight="1">
      <c r="G39229"/>
      <c r="I39229"/>
      <c r="N39229"/>
      <c r="O39229" s="24"/>
      <c r="P39229"/>
      <c r="Q39229" s="24"/>
      <c r="R39229"/>
      <c r="S39229"/>
      <c r="T39229"/>
      <c r="U39229"/>
      <c r="X39229" s="60"/>
    </row>
    <row r="39230" spans="7:24" ht="15" customHeight="1">
      <c r="G39230"/>
      <c r="I39230"/>
      <c r="N39230"/>
      <c r="O39230" s="24"/>
      <c r="P39230"/>
      <c r="Q39230" s="24"/>
      <c r="R39230"/>
      <c r="S39230"/>
      <c r="T39230"/>
      <c r="U39230"/>
      <c r="X39230" s="60"/>
    </row>
    <row r="39231" spans="7:24" ht="15" customHeight="1">
      <c r="G39231"/>
      <c r="I39231"/>
      <c r="N39231"/>
      <c r="O39231" s="24"/>
      <c r="P39231"/>
      <c r="Q39231" s="24"/>
      <c r="R39231"/>
      <c r="S39231"/>
      <c r="T39231"/>
      <c r="U39231"/>
      <c r="X39231" s="60"/>
    </row>
    <row r="39232" spans="7:24" ht="15" customHeight="1">
      <c r="G39232"/>
      <c r="I39232"/>
      <c r="N39232"/>
      <c r="O39232" s="24"/>
      <c r="P39232"/>
      <c r="Q39232" s="24"/>
      <c r="R39232"/>
      <c r="S39232"/>
      <c r="T39232"/>
      <c r="U39232"/>
      <c r="X39232" s="60"/>
    </row>
    <row r="39233" spans="7:24" ht="15" customHeight="1">
      <c r="G39233"/>
      <c r="I39233"/>
      <c r="N39233"/>
      <c r="O39233" s="24"/>
      <c r="P39233"/>
      <c r="Q39233" s="24"/>
      <c r="R39233"/>
      <c r="S39233"/>
      <c r="T39233"/>
      <c r="U39233"/>
      <c r="X39233" s="60"/>
    </row>
    <row r="39234" spans="7:24" ht="15" customHeight="1">
      <c r="G39234"/>
      <c r="I39234"/>
      <c r="N39234"/>
      <c r="O39234" s="24"/>
      <c r="P39234"/>
      <c r="Q39234" s="24"/>
      <c r="R39234"/>
      <c r="S39234"/>
      <c r="T39234"/>
      <c r="U39234"/>
      <c r="X39234" s="60"/>
    </row>
    <row r="39235" spans="7:24" ht="15" customHeight="1">
      <c r="G39235"/>
      <c r="I39235"/>
      <c r="N39235"/>
      <c r="O39235" s="24"/>
      <c r="P39235"/>
      <c r="Q39235" s="24"/>
      <c r="R39235"/>
      <c r="S39235"/>
      <c r="T39235"/>
      <c r="U39235"/>
      <c r="X39235" s="60"/>
    </row>
    <row r="39236" spans="7:24" ht="15" customHeight="1">
      <c r="G39236"/>
      <c r="I39236"/>
      <c r="N39236"/>
      <c r="O39236" s="24"/>
      <c r="P39236"/>
      <c r="Q39236" s="24"/>
      <c r="R39236"/>
      <c r="S39236"/>
      <c r="T39236"/>
      <c r="U39236"/>
      <c r="X39236" s="60"/>
    </row>
    <row r="39237" spans="7:24" ht="15" customHeight="1">
      <c r="G39237"/>
      <c r="I39237"/>
      <c r="N39237"/>
      <c r="O39237" s="24"/>
      <c r="P39237"/>
      <c r="Q39237" s="24"/>
      <c r="R39237"/>
      <c r="S39237"/>
      <c r="T39237"/>
      <c r="U39237"/>
      <c r="X39237" s="60"/>
    </row>
    <row r="39238" spans="7:24" ht="15" customHeight="1">
      <c r="G39238"/>
      <c r="I39238"/>
      <c r="N39238"/>
      <c r="O39238" s="24"/>
      <c r="P39238"/>
      <c r="Q39238" s="24"/>
      <c r="R39238"/>
      <c r="S39238"/>
      <c r="T39238"/>
      <c r="U39238"/>
      <c r="X39238" s="60"/>
    </row>
    <row r="39239" spans="7:24" ht="15" customHeight="1">
      <c r="G39239"/>
      <c r="I39239"/>
      <c r="N39239"/>
      <c r="O39239" s="24"/>
      <c r="P39239"/>
      <c r="Q39239" s="24"/>
      <c r="R39239"/>
      <c r="S39239"/>
      <c r="T39239"/>
      <c r="U39239"/>
      <c r="X39239" s="60"/>
    </row>
    <row r="39240" spans="7:24" ht="15" customHeight="1">
      <c r="G39240"/>
      <c r="I39240"/>
      <c r="N39240"/>
      <c r="O39240" s="24"/>
      <c r="P39240"/>
      <c r="Q39240" s="24"/>
      <c r="R39240"/>
      <c r="S39240"/>
      <c r="T39240"/>
      <c r="U39240"/>
      <c r="X39240" s="60"/>
    </row>
    <row r="39241" spans="7:24" ht="15" customHeight="1">
      <c r="G39241"/>
      <c r="I39241"/>
      <c r="N39241"/>
      <c r="O39241" s="24"/>
      <c r="P39241"/>
      <c r="Q39241" s="24"/>
      <c r="R39241"/>
      <c r="S39241"/>
      <c r="T39241"/>
      <c r="U39241"/>
      <c r="X39241" s="60"/>
    </row>
    <row r="39242" spans="7:24" ht="15" customHeight="1">
      <c r="G39242"/>
      <c r="I39242"/>
      <c r="N39242"/>
      <c r="O39242" s="24"/>
      <c r="P39242"/>
      <c r="Q39242" s="24"/>
      <c r="R39242"/>
      <c r="S39242"/>
      <c r="T39242"/>
      <c r="U39242"/>
      <c r="X39242" s="60"/>
    </row>
    <row r="39243" spans="7:24" ht="15" customHeight="1">
      <c r="G39243"/>
      <c r="I39243"/>
      <c r="N39243"/>
      <c r="O39243" s="24"/>
      <c r="P39243"/>
      <c r="Q39243" s="24"/>
      <c r="R39243"/>
      <c r="S39243"/>
      <c r="T39243"/>
      <c r="U39243"/>
      <c r="X39243" s="60"/>
    </row>
    <row r="39244" spans="7:24" ht="15" customHeight="1">
      <c r="G39244"/>
      <c r="I39244"/>
      <c r="N39244"/>
      <c r="O39244" s="24"/>
      <c r="P39244"/>
      <c r="Q39244" s="24"/>
      <c r="R39244"/>
      <c r="S39244"/>
      <c r="T39244"/>
      <c r="U39244"/>
      <c r="X39244" s="60"/>
    </row>
    <row r="39245" spans="7:24" ht="15" customHeight="1">
      <c r="G39245"/>
      <c r="I39245"/>
      <c r="N39245"/>
      <c r="O39245" s="24"/>
      <c r="P39245"/>
      <c r="Q39245" s="24"/>
      <c r="R39245"/>
      <c r="S39245"/>
      <c r="T39245"/>
      <c r="U39245"/>
      <c r="X39245" s="60"/>
    </row>
    <row r="39246" spans="7:24" ht="15" customHeight="1">
      <c r="G39246"/>
      <c r="I39246"/>
      <c r="N39246"/>
      <c r="O39246" s="24"/>
      <c r="P39246"/>
      <c r="Q39246" s="24"/>
      <c r="R39246"/>
      <c r="S39246"/>
      <c r="T39246"/>
      <c r="U39246"/>
      <c r="X39246" s="60"/>
    </row>
    <row r="39247" spans="7:24" ht="15" customHeight="1">
      <c r="G39247"/>
      <c r="I39247"/>
      <c r="N39247"/>
      <c r="O39247" s="24"/>
      <c r="P39247"/>
      <c r="Q39247" s="24"/>
      <c r="R39247"/>
      <c r="S39247"/>
      <c r="T39247"/>
      <c r="U39247"/>
      <c r="X39247" s="60"/>
    </row>
    <row r="39248" spans="7:24" ht="15" customHeight="1">
      <c r="G39248"/>
      <c r="I39248"/>
      <c r="N39248"/>
      <c r="O39248" s="24"/>
      <c r="P39248"/>
      <c r="Q39248" s="24"/>
      <c r="R39248"/>
      <c r="S39248"/>
      <c r="T39248"/>
      <c r="U39248"/>
      <c r="X39248" s="60"/>
    </row>
    <row r="39249" spans="7:24" ht="15" customHeight="1">
      <c r="G39249"/>
      <c r="I39249"/>
      <c r="N39249"/>
      <c r="O39249" s="24"/>
      <c r="P39249"/>
      <c r="Q39249" s="24"/>
      <c r="R39249"/>
      <c r="S39249"/>
      <c r="T39249"/>
      <c r="U39249"/>
      <c r="X39249" s="60"/>
    </row>
    <row r="39250" spans="7:24" ht="15" customHeight="1">
      <c r="G39250"/>
      <c r="I39250"/>
      <c r="N39250"/>
      <c r="O39250" s="24"/>
      <c r="P39250"/>
      <c r="Q39250" s="24"/>
      <c r="R39250"/>
      <c r="S39250"/>
      <c r="T39250"/>
      <c r="U39250"/>
      <c r="X39250" s="60"/>
    </row>
    <row r="39251" spans="7:24" ht="15" customHeight="1">
      <c r="G39251"/>
      <c r="I39251"/>
      <c r="N39251"/>
      <c r="O39251" s="24"/>
      <c r="P39251"/>
      <c r="Q39251" s="24"/>
      <c r="R39251"/>
      <c r="S39251"/>
      <c r="T39251"/>
      <c r="U39251"/>
      <c r="X39251" s="60"/>
    </row>
    <row r="39252" spans="7:24" ht="15" customHeight="1">
      <c r="G39252"/>
      <c r="I39252"/>
      <c r="N39252"/>
      <c r="O39252" s="24"/>
      <c r="P39252"/>
      <c r="Q39252" s="24"/>
      <c r="R39252"/>
      <c r="S39252"/>
      <c r="T39252"/>
      <c r="U39252"/>
      <c r="X39252" s="60"/>
    </row>
    <row r="39253" spans="7:24" ht="15" customHeight="1">
      <c r="G39253"/>
      <c r="I39253"/>
      <c r="N39253"/>
      <c r="O39253" s="24"/>
      <c r="P39253"/>
      <c r="Q39253" s="24"/>
      <c r="R39253"/>
      <c r="S39253"/>
      <c r="T39253"/>
      <c r="U39253"/>
      <c r="X39253" s="60"/>
    </row>
    <row r="39254" spans="7:24" ht="15" customHeight="1">
      <c r="G39254"/>
      <c r="I39254"/>
      <c r="N39254"/>
      <c r="O39254" s="24"/>
      <c r="P39254"/>
      <c r="Q39254" s="24"/>
      <c r="R39254"/>
      <c r="S39254"/>
      <c r="T39254"/>
      <c r="U39254"/>
      <c r="X39254" s="60"/>
    </row>
    <row r="39255" spans="7:24" ht="15" customHeight="1">
      <c r="G39255"/>
      <c r="I39255"/>
      <c r="N39255"/>
      <c r="O39255" s="24"/>
      <c r="P39255"/>
      <c r="Q39255" s="24"/>
      <c r="R39255"/>
      <c r="S39255"/>
      <c r="T39255"/>
      <c r="U39255"/>
      <c r="X39255" s="60"/>
    </row>
    <row r="39256" spans="7:24" ht="15" customHeight="1">
      <c r="G39256"/>
      <c r="I39256"/>
      <c r="N39256"/>
      <c r="O39256" s="24"/>
      <c r="P39256"/>
      <c r="Q39256" s="24"/>
      <c r="R39256"/>
      <c r="S39256"/>
      <c r="T39256"/>
      <c r="U39256"/>
      <c r="X39256" s="60"/>
    </row>
    <row r="39257" spans="7:24" ht="15" customHeight="1">
      <c r="G39257"/>
      <c r="I39257"/>
      <c r="N39257"/>
      <c r="O39257" s="24"/>
      <c r="P39257"/>
      <c r="Q39257" s="24"/>
      <c r="R39257"/>
      <c r="S39257"/>
      <c r="T39257"/>
      <c r="U39257"/>
      <c r="X39257" s="60"/>
    </row>
    <row r="39258" spans="7:24" ht="15" customHeight="1">
      <c r="G39258"/>
      <c r="I39258"/>
      <c r="N39258"/>
      <c r="O39258" s="24"/>
      <c r="P39258"/>
      <c r="Q39258" s="24"/>
      <c r="R39258"/>
      <c r="S39258"/>
      <c r="T39258"/>
      <c r="U39258"/>
      <c r="X39258" s="60"/>
    </row>
    <row r="39259" spans="7:24" ht="15" customHeight="1">
      <c r="G39259"/>
      <c r="I39259"/>
      <c r="N39259"/>
      <c r="O39259" s="24"/>
      <c r="P39259"/>
      <c r="Q39259" s="24"/>
      <c r="R39259"/>
      <c r="S39259"/>
      <c r="T39259"/>
      <c r="U39259"/>
      <c r="X39259" s="60"/>
    </row>
    <row r="39260" spans="7:24" ht="15" customHeight="1">
      <c r="G39260"/>
      <c r="I39260"/>
      <c r="N39260"/>
      <c r="O39260" s="24"/>
      <c r="P39260"/>
      <c r="Q39260" s="24"/>
      <c r="R39260"/>
      <c r="S39260"/>
      <c r="T39260"/>
      <c r="U39260"/>
      <c r="X39260" s="60"/>
    </row>
    <row r="39261" spans="7:24" ht="15" customHeight="1">
      <c r="G39261"/>
      <c r="I39261"/>
      <c r="N39261"/>
      <c r="O39261" s="24"/>
      <c r="P39261"/>
      <c r="Q39261" s="24"/>
      <c r="R39261"/>
      <c r="S39261"/>
      <c r="T39261"/>
      <c r="U39261"/>
      <c r="X39261" s="60"/>
    </row>
    <row r="39262" spans="7:24" ht="15" customHeight="1">
      <c r="G39262"/>
      <c r="I39262"/>
      <c r="N39262"/>
      <c r="O39262" s="24"/>
      <c r="P39262"/>
      <c r="Q39262" s="24"/>
      <c r="R39262"/>
      <c r="S39262"/>
      <c r="T39262"/>
      <c r="U39262"/>
      <c r="X39262" s="60"/>
    </row>
    <row r="39263" spans="7:24" ht="15" customHeight="1">
      <c r="G39263"/>
      <c r="I39263"/>
      <c r="N39263"/>
      <c r="O39263" s="24"/>
      <c r="P39263"/>
      <c r="Q39263" s="24"/>
      <c r="R39263"/>
      <c r="S39263"/>
      <c r="T39263"/>
      <c r="U39263"/>
      <c r="X39263" s="60"/>
    </row>
    <row r="39264" spans="7:24" ht="15" customHeight="1">
      <c r="G39264"/>
      <c r="I39264"/>
      <c r="N39264"/>
      <c r="O39264" s="24"/>
      <c r="P39264"/>
      <c r="Q39264" s="24"/>
      <c r="R39264"/>
      <c r="S39264"/>
      <c r="T39264"/>
      <c r="U39264"/>
      <c r="X39264" s="60"/>
    </row>
    <row r="39265" spans="7:24" ht="15" customHeight="1">
      <c r="G39265"/>
      <c r="I39265"/>
      <c r="N39265"/>
      <c r="O39265" s="24"/>
      <c r="P39265"/>
      <c r="Q39265" s="24"/>
      <c r="R39265"/>
      <c r="S39265"/>
      <c r="T39265"/>
      <c r="U39265"/>
      <c r="X39265" s="60"/>
    </row>
    <row r="39266" spans="7:24" ht="15" customHeight="1">
      <c r="G39266"/>
      <c r="I39266"/>
      <c r="N39266"/>
      <c r="O39266" s="24"/>
      <c r="P39266"/>
      <c r="Q39266" s="24"/>
      <c r="R39266"/>
      <c r="S39266"/>
      <c r="T39266"/>
      <c r="U39266"/>
      <c r="X39266" s="60"/>
    </row>
    <row r="39267" spans="7:24" ht="15" customHeight="1">
      <c r="G39267"/>
      <c r="I39267"/>
      <c r="N39267"/>
      <c r="O39267" s="24"/>
      <c r="P39267"/>
      <c r="Q39267" s="24"/>
      <c r="R39267"/>
      <c r="S39267"/>
      <c r="T39267"/>
      <c r="U39267"/>
      <c r="X39267" s="60"/>
    </row>
    <row r="39268" spans="7:24" ht="15" customHeight="1">
      <c r="G39268"/>
      <c r="I39268"/>
      <c r="N39268"/>
      <c r="O39268" s="24"/>
      <c r="P39268"/>
      <c r="Q39268" s="24"/>
      <c r="R39268"/>
      <c r="S39268"/>
      <c r="T39268"/>
      <c r="U39268"/>
      <c r="X39268" s="60"/>
    </row>
    <row r="39269" spans="7:24" ht="15" customHeight="1">
      <c r="G39269"/>
      <c r="I39269"/>
      <c r="N39269"/>
      <c r="O39269" s="24"/>
      <c r="P39269"/>
      <c r="Q39269" s="24"/>
      <c r="R39269"/>
      <c r="S39269"/>
      <c r="T39269"/>
      <c r="U39269"/>
      <c r="X39269" s="60"/>
    </row>
    <row r="39270" spans="7:24" ht="15" customHeight="1">
      <c r="G39270"/>
      <c r="I39270"/>
      <c r="N39270"/>
      <c r="O39270" s="24"/>
      <c r="P39270"/>
      <c r="Q39270" s="24"/>
      <c r="R39270"/>
      <c r="S39270"/>
      <c r="T39270"/>
      <c r="U39270"/>
      <c r="X39270" s="60"/>
    </row>
    <row r="39271" spans="7:24" ht="15" customHeight="1">
      <c r="G39271"/>
      <c r="I39271"/>
      <c r="N39271"/>
      <c r="O39271" s="24"/>
      <c r="P39271"/>
      <c r="Q39271" s="24"/>
      <c r="R39271"/>
      <c r="S39271"/>
      <c r="T39271"/>
      <c r="U39271"/>
      <c r="X39271" s="60"/>
    </row>
    <row r="39272" spans="7:24" ht="15" customHeight="1">
      <c r="G39272"/>
      <c r="I39272"/>
      <c r="N39272"/>
      <c r="O39272" s="24"/>
      <c r="P39272"/>
      <c r="Q39272" s="24"/>
      <c r="R39272"/>
      <c r="S39272"/>
      <c r="T39272"/>
      <c r="U39272"/>
      <c r="X39272" s="60"/>
    </row>
    <row r="39273" spans="7:24" ht="15" customHeight="1">
      <c r="G39273"/>
      <c r="I39273"/>
      <c r="N39273"/>
      <c r="O39273" s="24"/>
      <c r="P39273"/>
      <c r="Q39273" s="24"/>
      <c r="R39273"/>
      <c r="S39273"/>
      <c r="T39273"/>
      <c r="U39273"/>
      <c r="X39273" s="60"/>
    </row>
    <row r="39274" spans="7:24" ht="15" customHeight="1">
      <c r="G39274"/>
      <c r="I39274"/>
      <c r="N39274"/>
      <c r="O39274" s="24"/>
      <c r="P39274"/>
      <c r="Q39274" s="24"/>
      <c r="R39274"/>
      <c r="S39274"/>
      <c r="T39274"/>
      <c r="U39274"/>
      <c r="X39274" s="60"/>
    </row>
    <row r="39275" spans="7:24" ht="15" customHeight="1">
      <c r="G39275"/>
      <c r="I39275"/>
      <c r="N39275"/>
      <c r="O39275" s="24"/>
      <c r="P39275"/>
      <c r="Q39275" s="24"/>
      <c r="R39275"/>
      <c r="S39275"/>
      <c r="T39275"/>
      <c r="U39275"/>
      <c r="X39275" s="60"/>
    </row>
    <row r="39276" spans="7:24" ht="15" customHeight="1">
      <c r="G39276"/>
      <c r="I39276"/>
      <c r="N39276"/>
      <c r="O39276" s="24"/>
      <c r="P39276"/>
      <c r="Q39276" s="24"/>
      <c r="R39276"/>
      <c r="S39276"/>
      <c r="T39276"/>
      <c r="U39276"/>
      <c r="X39276" s="60"/>
    </row>
    <row r="39277" spans="7:24" ht="15" customHeight="1">
      <c r="G39277"/>
      <c r="I39277"/>
      <c r="N39277"/>
      <c r="O39277" s="24"/>
      <c r="P39277"/>
      <c r="Q39277" s="24"/>
      <c r="R39277"/>
      <c r="S39277"/>
      <c r="T39277"/>
      <c r="U39277"/>
      <c r="X39277" s="60"/>
    </row>
    <row r="39278" spans="7:24" ht="15" customHeight="1">
      <c r="G39278"/>
      <c r="I39278"/>
      <c r="N39278"/>
      <c r="O39278" s="24"/>
      <c r="P39278"/>
      <c r="Q39278" s="24"/>
      <c r="R39278"/>
      <c r="S39278"/>
      <c r="T39278"/>
      <c r="U39278"/>
      <c r="X39278" s="60"/>
    </row>
    <row r="39279" spans="7:24" ht="15" customHeight="1">
      <c r="G39279"/>
      <c r="I39279"/>
      <c r="N39279"/>
      <c r="O39279" s="24"/>
      <c r="P39279"/>
      <c r="Q39279" s="24"/>
      <c r="R39279"/>
      <c r="S39279"/>
      <c r="T39279"/>
      <c r="U39279"/>
      <c r="X39279" s="60"/>
    </row>
    <row r="39280" spans="7:24" ht="15" customHeight="1">
      <c r="G39280"/>
      <c r="I39280"/>
      <c r="N39280"/>
      <c r="O39280" s="24"/>
      <c r="P39280"/>
      <c r="Q39280" s="24"/>
      <c r="R39280"/>
      <c r="S39280"/>
      <c r="T39280"/>
      <c r="U39280"/>
      <c r="X39280" s="60"/>
    </row>
    <row r="39281" spans="7:24" ht="15" customHeight="1">
      <c r="G39281"/>
      <c r="I39281"/>
      <c r="N39281"/>
      <c r="O39281" s="24"/>
      <c r="P39281"/>
      <c r="Q39281" s="24"/>
      <c r="R39281"/>
      <c r="S39281"/>
      <c r="T39281"/>
      <c r="U39281"/>
      <c r="X39281" s="60"/>
    </row>
    <row r="39282" spans="7:24" ht="15" customHeight="1">
      <c r="G39282"/>
      <c r="I39282"/>
      <c r="N39282"/>
      <c r="O39282" s="24"/>
      <c r="P39282"/>
      <c r="Q39282" s="24"/>
      <c r="R39282"/>
      <c r="S39282"/>
      <c r="T39282"/>
      <c r="U39282"/>
      <c r="X39282" s="60"/>
    </row>
    <row r="39283" spans="7:24" ht="15" customHeight="1">
      <c r="G39283"/>
      <c r="I39283"/>
      <c r="N39283"/>
      <c r="O39283" s="24"/>
      <c r="P39283"/>
      <c r="Q39283" s="24"/>
      <c r="R39283"/>
      <c r="S39283"/>
      <c r="T39283"/>
      <c r="U39283"/>
      <c r="X39283" s="60"/>
    </row>
    <row r="39284" spans="7:24" ht="15" customHeight="1">
      <c r="G39284"/>
      <c r="I39284"/>
      <c r="N39284"/>
      <c r="O39284" s="24"/>
      <c r="P39284"/>
      <c r="Q39284" s="24"/>
      <c r="R39284"/>
      <c r="S39284"/>
      <c r="T39284"/>
      <c r="U39284"/>
      <c r="X39284" s="60"/>
    </row>
    <row r="39285" spans="7:24" ht="15" customHeight="1">
      <c r="G39285"/>
      <c r="I39285"/>
      <c r="N39285"/>
      <c r="O39285" s="24"/>
      <c r="P39285"/>
      <c r="Q39285" s="24"/>
      <c r="R39285"/>
      <c r="S39285"/>
      <c r="T39285"/>
      <c r="U39285"/>
      <c r="X39285" s="60"/>
    </row>
    <row r="39286" spans="7:24" ht="15" customHeight="1">
      <c r="G39286"/>
      <c r="I39286"/>
      <c r="N39286"/>
      <c r="O39286" s="24"/>
      <c r="P39286"/>
      <c r="Q39286" s="24"/>
      <c r="R39286"/>
      <c r="S39286"/>
      <c r="T39286"/>
      <c r="U39286"/>
      <c r="X39286" s="60"/>
    </row>
    <row r="39287" spans="7:24" ht="15" customHeight="1">
      <c r="G39287"/>
      <c r="I39287"/>
      <c r="N39287"/>
      <c r="O39287" s="24"/>
      <c r="P39287"/>
      <c r="Q39287" s="24"/>
      <c r="R39287"/>
      <c r="S39287"/>
      <c r="T39287"/>
      <c r="U39287"/>
      <c r="X39287" s="60"/>
    </row>
    <row r="39288" spans="7:24" ht="15" customHeight="1">
      <c r="G39288"/>
      <c r="I39288"/>
      <c r="N39288"/>
      <c r="O39288" s="24"/>
      <c r="P39288"/>
      <c r="Q39288" s="24"/>
      <c r="R39288"/>
      <c r="S39288"/>
      <c r="T39288"/>
      <c r="U39288"/>
      <c r="X39288" s="60"/>
    </row>
    <row r="39289" spans="7:24" ht="15" customHeight="1">
      <c r="G39289"/>
      <c r="I39289"/>
      <c r="N39289"/>
      <c r="O39289" s="24"/>
      <c r="P39289"/>
      <c r="Q39289" s="24"/>
      <c r="R39289"/>
      <c r="S39289"/>
      <c r="T39289"/>
      <c r="U39289"/>
      <c r="X39289" s="60"/>
    </row>
    <row r="39290" spans="7:24" ht="15" customHeight="1">
      <c r="G39290"/>
      <c r="I39290"/>
      <c r="N39290"/>
      <c r="O39290" s="24"/>
      <c r="P39290"/>
      <c r="Q39290" s="24"/>
      <c r="R39290"/>
      <c r="S39290"/>
      <c r="T39290"/>
      <c r="U39290"/>
      <c r="X39290" s="60"/>
    </row>
    <row r="39291" spans="7:24" ht="15" customHeight="1">
      <c r="G39291"/>
      <c r="I39291"/>
      <c r="N39291"/>
      <c r="O39291" s="24"/>
      <c r="P39291"/>
      <c r="Q39291" s="24"/>
      <c r="R39291"/>
      <c r="S39291"/>
      <c r="T39291"/>
      <c r="U39291"/>
      <c r="X39291" s="60"/>
    </row>
    <row r="39292" spans="7:24" ht="15" customHeight="1">
      <c r="G39292"/>
      <c r="I39292"/>
      <c r="N39292"/>
      <c r="O39292" s="24"/>
      <c r="P39292"/>
      <c r="Q39292" s="24"/>
      <c r="R39292"/>
      <c r="S39292"/>
      <c r="T39292"/>
      <c r="U39292"/>
      <c r="X39292" s="60"/>
    </row>
    <row r="39293" spans="7:24" ht="15" customHeight="1">
      <c r="G39293"/>
      <c r="I39293"/>
      <c r="N39293"/>
      <c r="O39293" s="24"/>
      <c r="P39293"/>
      <c r="Q39293" s="24"/>
      <c r="R39293"/>
      <c r="S39293"/>
      <c r="T39293"/>
      <c r="U39293"/>
      <c r="X39293" s="60"/>
    </row>
    <row r="39294" spans="7:24" ht="15" customHeight="1">
      <c r="G39294"/>
      <c r="I39294"/>
      <c r="N39294"/>
      <c r="O39294" s="24"/>
      <c r="P39294"/>
      <c r="Q39294" s="24"/>
      <c r="R39294"/>
      <c r="S39294"/>
      <c r="T39294"/>
      <c r="U39294"/>
      <c r="X39294" s="60"/>
    </row>
    <row r="39295" spans="7:24" ht="15" customHeight="1">
      <c r="G39295"/>
      <c r="I39295"/>
      <c r="N39295"/>
      <c r="O39295" s="24"/>
      <c r="P39295"/>
      <c r="Q39295" s="24"/>
      <c r="R39295"/>
      <c r="S39295"/>
      <c r="T39295"/>
      <c r="U39295"/>
      <c r="X39295" s="60"/>
    </row>
    <row r="39296" spans="7:24" ht="15" customHeight="1">
      <c r="G39296"/>
      <c r="I39296"/>
      <c r="N39296"/>
      <c r="O39296" s="24"/>
      <c r="P39296"/>
      <c r="Q39296" s="24"/>
      <c r="R39296"/>
      <c r="S39296"/>
      <c r="T39296"/>
      <c r="U39296"/>
      <c r="X39296" s="60"/>
    </row>
    <row r="39297" spans="7:24" ht="15" customHeight="1">
      <c r="G39297"/>
      <c r="I39297"/>
      <c r="N39297"/>
      <c r="O39297" s="24"/>
      <c r="P39297"/>
      <c r="Q39297" s="24"/>
      <c r="R39297"/>
      <c r="S39297"/>
      <c r="T39297"/>
      <c r="U39297"/>
      <c r="X39297" s="60"/>
    </row>
    <row r="39298" spans="7:24" ht="15" customHeight="1">
      <c r="G39298"/>
      <c r="I39298"/>
      <c r="N39298"/>
      <c r="O39298" s="24"/>
      <c r="P39298"/>
      <c r="Q39298" s="24"/>
      <c r="R39298"/>
      <c r="S39298"/>
      <c r="T39298"/>
      <c r="U39298"/>
      <c r="X39298" s="60"/>
    </row>
    <row r="39299" spans="7:24" ht="15" customHeight="1">
      <c r="G39299"/>
      <c r="I39299"/>
      <c r="N39299"/>
      <c r="O39299" s="24"/>
      <c r="P39299"/>
      <c r="Q39299" s="24"/>
      <c r="R39299"/>
      <c r="S39299"/>
      <c r="T39299"/>
      <c r="U39299"/>
      <c r="X39299" s="60"/>
    </row>
    <row r="39300" spans="7:24" ht="15" customHeight="1">
      <c r="G39300"/>
      <c r="I39300"/>
      <c r="N39300"/>
      <c r="O39300" s="24"/>
      <c r="P39300"/>
      <c r="Q39300" s="24"/>
      <c r="R39300"/>
      <c r="S39300"/>
      <c r="T39300"/>
      <c r="U39300"/>
      <c r="X39300" s="60"/>
    </row>
    <row r="39301" spans="7:24" ht="15" customHeight="1">
      <c r="G39301"/>
      <c r="I39301"/>
      <c r="N39301"/>
      <c r="O39301" s="24"/>
      <c r="P39301"/>
      <c r="Q39301" s="24"/>
      <c r="R39301"/>
      <c r="S39301"/>
      <c r="T39301"/>
      <c r="U39301"/>
      <c r="X39301" s="60"/>
    </row>
    <row r="39302" spans="7:24" ht="15" customHeight="1">
      <c r="G39302"/>
      <c r="I39302"/>
      <c r="N39302"/>
      <c r="O39302" s="24"/>
      <c r="P39302"/>
      <c r="Q39302" s="24"/>
      <c r="R39302"/>
      <c r="S39302"/>
      <c r="T39302"/>
      <c r="U39302"/>
      <c r="X39302" s="60"/>
    </row>
    <row r="39303" spans="7:24" ht="15" customHeight="1">
      <c r="G39303"/>
      <c r="I39303"/>
      <c r="N39303"/>
      <c r="O39303" s="24"/>
      <c r="P39303"/>
      <c r="Q39303" s="24"/>
      <c r="R39303"/>
      <c r="S39303"/>
      <c r="T39303"/>
      <c r="U39303"/>
      <c r="X39303" s="60"/>
    </row>
    <row r="39304" spans="7:24" ht="15" customHeight="1">
      <c r="G39304"/>
      <c r="I39304"/>
      <c r="N39304"/>
      <c r="O39304" s="24"/>
      <c r="P39304"/>
      <c r="Q39304" s="24"/>
      <c r="R39304"/>
      <c r="S39304"/>
      <c r="T39304"/>
      <c r="U39304"/>
      <c r="X39304" s="60"/>
    </row>
    <row r="39305" spans="7:24" ht="15" customHeight="1">
      <c r="G39305"/>
      <c r="I39305"/>
      <c r="N39305"/>
      <c r="O39305" s="24"/>
      <c r="P39305"/>
      <c r="Q39305" s="24"/>
      <c r="R39305"/>
      <c r="S39305"/>
      <c r="T39305"/>
      <c r="U39305"/>
      <c r="X39305" s="60"/>
    </row>
    <row r="39306" spans="7:24" ht="15" customHeight="1">
      <c r="G39306"/>
      <c r="I39306"/>
      <c r="N39306"/>
      <c r="O39306" s="24"/>
      <c r="P39306"/>
      <c r="Q39306" s="24"/>
      <c r="R39306"/>
      <c r="S39306"/>
      <c r="T39306"/>
      <c r="U39306"/>
      <c r="X39306" s="60"/>
    </row>
    <row r="39307" spans="7:24" ht="15" customHeight="1">
      <c r="G39307"/>
      <c r="I39307"/>
      <c r="N39307"/>
      <c r="O39307" s="24"/>
      <c r="P39307"/>
      <c r="Q39307" s="24"/>
      <c r="R39307"/>
      <c r="S39307"/>
      <c r="T39307"/>
      <c r="U39307"/>
      <c r="X39307" s="60"/>
    </row>
    <row r="39308" spans="7:24" ht="15" customHeight="1">
      <c r="G39308"/>
      <c r="I39308"/>
      <c r="N39308"/>
      <c r="O39308" s="24"/>
      <c r="P39308"/>
      <c r="Q39308" s="24"/>
      <c r="R39308"/>
      <c r="S39308"/>
      <c r="T39308"/>
      <c r="U39308"/>
      <c r="X39308" s="60"/>
    </row>
    <row r="39309" spans="7:24" ht="15" customHeight="1">
      <c r="G39309"/>
      <c r="I39309"/>
      <c r="N39309"/>
      <c r="O39309" s="24"/>
      <c r="P39309"/>
      <c r="Q39309" s="24"/>
      <c r="R39309"/>
      <c r="S39309"/>
      <c r="T39309"/>
      <c r="U39309"/>
      <c r="X39309" s="60"/>
    </row>
    <row r="39310" spans="7:24" ht="15" customHeight="1">
      <c r="G39310"/>
      <c r="I39310"/>
      <c r="N39310"/>
      <c r="O39310" s="24"/>
      <c r="P39310"/>
      <c r="Q39310" s="24"/>
      <c r="R39310"/>
      <c r="S39310"/>
      <c r="T39310"/>
      <c r="U39310"/>
      <c r="X39310" s="60"/>
    </row>
    <row r="39311" spans="7:24" ht="15" customHeight="1">
      <c r="G39311"/>
      <c r="I39311"/>
      <c r="N39311"/>
      <c r="O39311" s="24"/>
      <c r="P39311"/>
      <c r="Q39311" s="24"/>
      <c r="R39311"/>
      <c r="S39311"/>
      <c r="T39311"/>
      <c r="U39311"/>
      <c r="X39311" s="60"/>
    </row>
    <row r="39312" spans="7:24" ht="15" customHeight="1">
      <c r="G39312"/>
      <c r="I39312"/>
      <c r="N39312"/>
      <c r="O39312" s="24"/>
      <c r="P39312"/>
      <c r="Q39312" s="24"/>
      <c r="R39312"/>
      <c r="S39312"/>
      <c r="T39312"/>
      <c r="U39312"/>
      <c r="X39312" s="60"/>
    </row>
    <row r="39313" spans="7:24" ht="15" customHeight="1">
      <c r="G39313"/>
      <c r="I39313"/>
      <c r="N39313"/>
      <c r="O39313" s="24"/>
      <c r="P39313"/>
      <c r="Q39313" s="24"/>
      <c r="R39313"/>
      <c r="S39313"/>
      <c r="T39313"/>
      <c r="U39313"/>
      <c r="X39313" s="60"/>
    </row>
    <row r="39314" spans="7:24" ht="15" customHeight="1">
      <c r="G39314"/>
      <c r="I39314"/>
      <c r="N39314"/>
      <c r="O39314" s="24"/>
      <c r="P39314"/>
      <c r="Q39314" s="24"/>
      <c r="R39314"/>
      <c r="S39314"/>
      <c r="T39314"/>
      <c r="U39314"/>
      <c r="X39314" s="60"/>
    </row>
    <row r="39315" spans="7:24" ht="15" customHeight="1">
      <c r="G39315"/>
      <c r="I39315"/>
      <c r="N39315"/>
      <c r="O39315" s="24"/>
      <c r="P39315"/>
      <c r="Q39315" s="24"/>
      <c r="R39315"/>
      <c r="S39315"/>
      <c r="T39315"/>
      <c r="U39315"/>
      <c r="X39315" s="60"/>
    </row>
    <row r="39316" spans="7:24" ht="15" customHeight="1">
      <c r="G39316"/>
      <c r="I39316"/>
      <c r="N39316"/>
      <c r="O39316" s="24"/>
      <c r="P39316"/>
      <c r="Q39316" s="24"/>
      <c r="R39316"/>
      <c r="S39316"/>
      <c r="T39316"/>
      <c r="U39316"/>
      <c r="X39316" s="60"/>
    </row>
    <row r="39317" spans="7:24" ht="15" customHeight="1">
      <c r="G39317"/>
      <c r="I39317"/>
      <c r="N39317"/>
      <c r="O39317" s="24"/>
      <c r="P39317"/>
      <c r="Q39317" s="24"/>
      <c r="R39317"/>
      <c r="S39317"/>
      <c r="T39317"/>
      <c r="U39317"/>
      <c r="X39317" s="60"/>
    </row>
    <row r="39318" spans="7:24" ht="15" customHeight="1">
      <c r="G39318"/>
      <c r="I39318"/>
      <c r="N39318"/>
      <c r="O39318" s="24"/>
      <c r="P39318"/>
      <c r="Q39318" s="24"/>
      <c r="R39318"/>
      <c r="S39318"/>
      <c r="T39318"/>
      <c r="U39318"/>
      <c r="X39318" s="60"/>
    </row>
    <row r="39319" spans="7:24" ht="15" customHeight="1">
      <c r="G39319"/>
      <c r="I39319"/>
      <c r="N39319"/>
      <c r="O39319" s="24"/>
      <c r="P39319"/>
      <c r="Q39319" s="24"/>
      <c r="R39319"/>
      <c r="S39319"/>
      <c r="T39319"/>
      <c r="U39319"/>
      <c r="X39319" s="60"/>
    </row>
    <row r="39320" spans="7:24" ht="15" customHeight="1">
      <c r="G39320"/>
      <c r="I39320"/>
      <c r="N39320"/>
      <c r="O39320" s="24"/>
      <c r="P39320"/>
      <c r="Q39320" s="24"/>
      <c r="R39320"/>
      <c r="S39320"/>
      <c r="T39320"/>
      <c r="U39320"/>
      <c r="X39320" s="60"/>
    </row>
    <row r="39321" spans="7:24" ht="15" customHeight="1">
      <c r="G39321"/>
      <c r="I39321"/>
      <c r="N39321"/>
      <c r="O39321" s="24"/>
      <c r="P39321"/>
      <c r="Q39321" s="24"/>
      <c r="R39321"/>
      <c r="S39321"/>
      <c r="T39321"/>
      <c r="U39321"/>
      <c r="X39321" s="60"/>
    </row>
    <row r="39322" spans="7:24" ht="15" customHeight="1">
      <c r="G39322"/>
      <c r="I39322"/>
      <c r="N39322"/>
      <c r="O39322" s="24"/>
      <c r="P39322"/>
      <c r="Q39322" s="24"/>
      <c r="R39322"/>
      <c r="S39322"/>
      <c r="T39322"/>
      <c r="U39322"/>
      <c r="X39322" s="60"/>
    </row>
    <row r="39323" spans="7:24" ht="15" customHeight="1">
      <c r="G39323"/>
      <c r="I39323"/>
      <c r="N39323"/>
      <c r="O39323" s="24"/>
      <c r="P39323"/>
      <c r="Q39323" s="24"/>
      <c r="R39323"/>
      <c r="S39323"/>
      <c r="T39323"/>
      <c r="U39323"/>
      <c r="X39323" s="60"/>
    </row>
    <row r="39324" spans="7:24" ht="15" customHeight="1">
      <c r="G39324"/>
      <c r="I39324"/>
      <c r="N39324"/>
      <c r="O39324" s="24"/>
      <c r="P39324"/>
      <c r="Q39324" s="24"/>
      <c r="R39324"/>
      <c r="S39324"/>
      <c r="T39324"/>
      <c r="U39324"/>
      <c r="X39324" s="60"/>
    </row>
    <row r="39325" spans="7:24" ht="15" customHeight="1">
      <c r="G39325"/>
      <c r="I39325"/>
      <c r="N39325"/>
      <c r="O39325" s="24"/>
      <c r="P39325"/>
      <c r="Q39325" s="24"/>
      <c r="R39325"/>
      <c r="S39325"/>
      <c r="T39325"/>
      <c r="U39325"/>
      <c r="X39325" s="60"/>
    </row>
    <row r="39326" spans="7:24" ht="15" customHeight="1">
      <c r="G39326"/>
      <c r="I39326"/>
      <c r="N39326"/>
      <c r="O39326" s="24"/>
      <c r="P39326"/>
      <c r="Q39326" s="24"/>
      <c r="R39326"/>
      <c r="S39326"/>
      <c r="T39326"/>
      <c r="U39326"/>
      <c r="X39326" s="60"/>
    </row>
    <row r="39327" spans="7:24" ht="15" customHeight="1">
      <c r="G39327"/>
      <c r="I39327"/>
      <c r="N39327"/>
      <c r="O39327" s="24"/>
      <c r="P39327"/>
      <c r="Q39327" s="24"/>
      <c r="R39327"/>
      <c r="S39327"/>
      <c r="T39327"/>
      <c r="U39327"/>
      <c r="X39327" s="60"/>
    </row>
    <row r="39328" spans="7:24" ht="15" customHeight="1">
      <c r="G39328"/>
      <c r="I39328"/>
      <c r="N39328"/>
      <c r="O39328" s="24"/>
      <c r="P39328"/>
      <c r="Q39328" s="24"/>
      <c r="R39328"/>
      <c r="S39328"/>
      <c r="T39328"/>
      <c r="U39328"/>
      <c r="X39328" s="60"/>
    </row>
    <row r="39329" spans="7:24" ht="15" customHeight="1">
      <c r="G39329"/>
      <c r="I39329"/>
      <c r="N39329"/>
      <c r="O39329" s="24"/>
      <c r="P39329"/>
      <c r="Q39329" s="24"/>
      <c r="R39329"/>
      <c r="S39329"/>
      <c r="T39329"/>
      <c r="U39329"/>
      <c r="X39329" s="60"/>
    </row>
    <row r="39330" spans="7:24" ht="15" customHeight="1">
      <c r="G39330"/>
      <c r="I39330"/>
      <c r="N39330"/>
      <c r="O39330" s="24"/>
      <c r="P39330"/>
      <c r="Q39330" s="24"/>
      <c r="R39330"/>
      <c r="S39330"/>
      <c r="T39330"/>
      <c r="U39330"/>
      <c r="X39330" s="60"/>
    </row>
    <row r="39331" spans="7:24" ht="15" customHeight="1">
      <c r="G39331"/>
      <c r="I39331"/>
      <c r="N39331"/>
      <c r="O39331" s="24"/>
      <c r="P39331"/>
      <c r="Q39331" s="24"/>
      <c r="R39331"/>
      <c r="S39331"/>
      <c r="T39331"/>
      <c r="U39331"/>
      <c r="X39331" s="60"/>
    </row>
    <row r="39332" spans="7:24" ht="15" customHeight="1">
      <c r="G39332"/>
      <c r="I39332"/>
      <c r="N39332"/>
      <c r="O39332" s="24"/>
      <c r="P39332"/>
      <c r="Q39332" s="24"/>
      <c r="R39332"/>
      <c r="S39332"/>
      <c r="T39332"/>
      <c r="U39332"/>
      <c r="X39332" s="60"/>
    </row>
    <row r="39333" spans="7:24" ht="15" customHeight="1">
      <c r="G39333"/>
      <c r="I39333"/>
      <c r="N39333"/>
      <c r="O39333" s="24"/>
      <c r="P39333"/>
      <c r="Q39333" s="24"/>
      <c r="R39333"/>
      <c r="S39333"/>
      <c r="T39333"/>
      <c r="U39333"/>
      <c r="X39333" s="60"/>
    </row>
    <row r="39334" spans="7:24" ht="15" customHeight="1">
      <c r="G39334"/>
      <c r="I39334"/>
      <c r="N39334"/>
      <c r="O39334" s="24"/>
      <c r="P39334"/>
      <c r="Q39334" s="24"/>
      <c r="R39334"/>
      <c r="S39334"/>
      <c r="T39334"/>
      <c r="U39334"/>
      <c r="X39334" s="60"/>
    </row>
    <row r="39335" spans="7:24" ht="15" customHeight="1">
      <c r="G39335"/>
      <c r="I39335"/>
      <c r="N39335"/>
      <c r="O39335" s="24"/>
      <c r="P39335"/>
      <c r="Q39335" s="24"/>
      <c r="R39335"/>
      <c r="S39335"/>
      <c r="T39335"/>
      <c r="U39335"/>
      <c r="X39335" s="60"/>
    </row>
    <row r="39336" spans="7:24" ht="15" customHeight="1">
      <c r="G39336"/>
      <c r="I39336"/>
      <c r="N39336"/>
      <c r="O39336" s="24"/>
      <c r="P39336"/>
      <c r="Q39336" s="24"/>
      <c r="R39336"/>
      <c r="S39336"/>
      <c r="T39336"/>
      <c r="U39336"/>
      <c r="X39336" s="60"/>
    </row>
    <row r="39337" spans="7:24" ht="15" customHeight="1">
      <c r="G39337"/>
      <c r="I39337"/>
      <c r="N39337"/>
      <c r="O39337" s="24"/>
      <c r="P39337"/>
      <c r="Q39337" s="24"/>
      <c r="R39337"/>
      <c r="S39337"/>
      <c r="T39337"/>
      <c r="U39337"/>
      <c r="X39337" s="60"/>
    </row>
    <row r="39338" spans="7:24" ht="15" customHeight="1">
      <c r="G39338"/>
      <c r="I39338"/>
      <c r="N39338"/>
      <c r="O39338" s="24"/>
      <c r="P39338"/>
      <c r="Q39338" s="24"/>
      <c r="R39338"/>
      <c r="S39338"/>
      <c r="T39338"/>
      <c r="U39338"/>
      <c r="X39338" s="60"/>
    </row>
    <row r="39339" spans="7:24" ht="15" customHeight="1">
      <c r="G39339"/>
      <c r="I39339"/>
      <c r="N39339"/>
      <c r="O39339" s="24"/>
      <c r="P39339"/>
      <c r="Q39339" s="24"/>
      <c r="R39339"/>
      <c r="S39339"/>
      <c r="T39339"/>
      <c r="U39339"/>
      <c r="X39339" s="60"/>
    </row>
    <row r="39340" spans="7:24" ht="15" customHeight="1">
      <c r="G39340"/>
      <c r="I39340"/>
      <c r="N39340"/>
      <c r="O39340" s="24"/>
      <c r="P39340"/>
      <c r="Q39340" s="24"/>
      <c r="R39340"/>
      <c r="S39340"/>
      <c r="T39340"/>
      <c r="U39340"/>
      <c r="X39340" s="60"/>
    </row>
    <row r="39341" spans="7:24" ht="15" customHeight="1">
      <c r="G39341"/>
      <c r="I39341"/>
      <c r="N39341"/>
      <c r="O39341" s="24"/>
      <c r="P39341"/>
      <c r="Q39341" s="24"/>
      <c r="R39341"/>
      <c r="S39341"/>
      <c r="T39341"/>
      <c r="U39341"/>
      <c r="X39341" s="60"/>
    </row>
    <row r="39342" spans="7:24" ht="15" customHeight="1">
      <c r="G39342"/>
      <c r="I39342"/>
      <c r="N39342"/>
      <c r="O39342" s="24"/>
      <c r="P39342"/>
      <c r="Q39342" s="24"/>
      <c r="R39342"/>
      <c r="S39342"/>
      <c r="T39342"/>
      <c r="U39342"/>
      <c r="X39342" s="60"/>
    </row>
    <row r="39343" spans="7:24" ht="15" customHeight="1">
      <c r="G39343"/>
      <c r="I39343"/>
      <c r="N39343"/>
      <c r="O39343" s="24"/>
      <c r="P39343"/>
      <c r="Q39343" s="24"/>
      <c r="R39343"/>
      <c r="S39343"/>
      <c r="T39343"/>
      <c r="U39343"/>
      <c r="X39343" s="60"/>
    </row>
    <row r="39344" spans="7:24" ht="15" customHeight="1">
      <c r="G39344"/>
      <c r="I39344"/>
      <c r="N39344"/>
      <c r="O39344" s="24"/>
      <c r="P39344"/>
      <c r="Q39344" s="24"/>
      <c r="R39344"/>
      <c r="S39344"/>
      <c r="T39344"/>
      <c r="U39344"/>
      <c r="X39344" s="60"/>
    </row>
    <row r="39345" spans="7:24" ht="15" customHeight="1">
      <c r="G39345"/>
      <c r="I39345"/>
      <c r="N39345"/>
      <c r="O39345" s="24"/>
      <c r="P39345"/>
      <c r="Q39345" s="24"/>
      <c r="R39345"/>
      <c r="S39345"/>
      <c r="T39345"/>
      <c r="U39345"/>
      <c r="X39345" s="60"/>
    </row>
    <row r="39346" spans="7:24" ht="15" customHeight="1">
      <c r="G39346"/>
      <c r="I39346"/>
      <c r="N39346"/>
      <c r="O39346" s="24"/>
      <c r="P39346"/>
      <c r="Q39346" s="24"/>
      <c r="R39346"/>
      <c r="S39346"/>
      <c r="T39346"/>
      <c r="U39346"/>
      <c r="X39346" s="60"/>
    </row>
    <row r="39347" spans="7:24" ht="15" customHeight="1">
      <c r="G39347"/>
      <c r="I39347"/>
      <c r="N39347"/>
      <c r="O39347" s="24"/>
      <c r="P39347"/>
      <c r="Q39347" s="24"/>
      <c r="R39347"/>
      <c r="S39347"/>
      <c r="T39347"/>
      <c r="U39347"/>
      <c r="X39347" s="60"/>
    </row>
    <row r="39348" spans="7:24" ht="15" customHeight="1">
      <c r="G39348"/>
      <c r="I39348"/>
      <c r="N39348"/>
      <c r="O39348" s="24"/>
      <c r="P39348"/>
      <c r="Q39348" s="24"/>
      <c r="R39348"/>
      <c r="S39348"/>
      <c r="T39348"/>
      <c r="U39348"/>
      <c r="X39348" s="60"/>
    </row>
    <row r="39349" spans="7:24" ht="15" customHeight="1">
      <c r="G39349"/>
      <c r="I39349"/>
      <c r="N39349"/>
      <c r="O39349" s="24"/>
      <c r="P39349"/>
      <c r="Q39349" s="24"/>
      <c r="R39349"/>
      <c r="S39349"/>
      <c r="T39349"/>
      <c r="U39349"/>
      <c r="X39349" s="60"/>
    </row>
    <row r="39350" spans="7:24" ht="15" customHeight="1">
      <c r="G39350"/>
      <c r="I39350"/>
      <c r="N39350"/>
      <c r="O39350" s="24"/>
      <c r="P39350"/>
      <c r="Q39350" s="24"/>
      <c r="R39350"/>
      <c r="S39350"/>
      <c r="T39350"/>
      <c r="U39350"/>
      <c r="X39350" s="60"/>
    </row>
    <row r="39351" spans="7:24" ht="15" customHeight="1">
      <c r="G39351"/>
      <c r="I39351"/>
      <c r="N39351"/>
      <c r="O39351" s="24"/>
      <c r="P39351"/>
      <c r="Q39351" s="24"/>
      <c r="R39351"/>
      <c r="S39351"/>
      <c r="T39351"/>
      <c r="U39351"/>
      <c r="X39351" s="60"/>
    </row>
    <row r="39352" spans="7:24" ht="15" customHeight="1">
      <c r="G39352"/>
      <c r="I39352"/>
      <c r="N39352"/>
      <c r="O39352" s="24"/>
      <c r="P39352"/>
      <c r="Q39352" s="24"/>
      <c r="R39352"/>
      <c r="S39352"/>
      <c r="T39352"/>
      <c r="U39352"/>
      <c r="X39352" s="60"/>
    </row>
    <row r="39353" spans="7:24" ht="15" customHeight="1">
      <c r="G39353"/>
      <c r="I39353"/>
      <c r="N39353"/>
      <c r="O39353" s="24"/>
      <c r="P39353"/>
      <c r="Q39353" s="24"/>
      <c r="R39353"/>
      <c r="S39353"/>
      <c r="T39353"/>
      <c r="U39353"/>
      <c r="X39353" s="60"/>
    </row>
    <row r="39354" spans="7:24" ht="15" customHeight="1">
      <c r="G39354"/>
      <c r="I39354"/>
      <c r="N39354"/>
      <c r="O39354" s="24"/>
      <c r="P39354"/>
      <c r="Q39354" s="24"/>
      <c r="R39354"/>
      <c r="S39354"/>
      <c r="T39354"/>
      <c r="U39354"/>
      <c r="X39354" s="60"/>
    </row>
    <row r="39355" spans="7:24" ht="15" customHeight="1">
      <c r="G39355"/>
      <c r="I39355"/>
      <c r="N39355"/>
      <c r="O39355" s="24"/>
      <c r="P39355"/>
      <c r="Q39355" s="24"/>
      <c r="R39355"/>
      <c r="S39355"/>
      <c r="T39355"/>
      <c r="U39355"/>
      <c r="X39355" s="60"/>
    </row>
    <row r="39356" spans="7:24" ht="15" customHeight="1">
      <c r="G39356"/>
      <c r="I39356"/>
      <c r="N39356"/>
      <c r="O39356" s="24"/>
      <c r="P39356"/>
      <c r="Q39356" s="24"/>
      <c r="R39356"/>
      <c r="S39356"/>
      <c r="T39356"/>
      <c r="U39356"/>
      <c r="X39356" s="60"/>
    </row>
    <row r="39357" spans="7:24" ht="15" customHeight="1">
      <c r="G39357"/>
      <c r="I39357"/>
      <c r="N39357"/>
      <c r="O39357" s="24"/>
      <c r="P39357"/>
      <c r="Q39357" s="24"/>
      <c r="R39357"/>
      <c r="S39357"/>
      <c r="T39357"/>
      <c r="U39357"/>
      <c r="X39357" s="60"/>
    </row>
    <row r="39358" spans="7:24" ht="15" customHeight="1">
      <c r="G39358"/>
      <c r="I39358"/>
      <c r="N39358"/>
      <c r="O39358" s="24"/>
      <c r="P39358"/>
      <c r="Q39358" s="24"/>
      <c r="R39358"/>
      <c r="S39358"/>
      <c r="T39358"/>
      <c r="U39358"/>
      <c r="X39358" s="60"/>
    </row>
    <row r="39359" spans="7:24" ht="15" customHeight="1">
      <c r="G39359"/>
      <c r="I39359"/>
      <c r="N39359"/>
      <c r="O39359" s="24"/>
      <c r="P39359"/>
      <c r="Q39359" s="24"/>
      <c r="R39359"/>
      <c r="S39359"/>
      <c r="T39359"/>
      <c r="U39359"/>
      <c r="X39359" s="60"/>
    </row>
    <row r="39360" spans="7:24" ht="15" customHeight="1">
      <c r="G39360"/>
      <c r="I39360"/>
      <c r="N39360"/>
      <c r="O39360" s="24"/>
      <c r="P39360"/>
      <c r="Q39360" s="24"/>
      <c r="R39360"/>
      <c r="S39360"/>
      <c r="T39360"/>
      <c r="U39360"/>
      <c r="X39360" s="60"/>
    </row>
    <row r="39361" spans="7:24" ht="15" customHeight="1">
      <c r="G39361"/>
      <c r="I39361"/>
      <c r="N39361"/>
      <c r="O39361" s="24"/>
      <c r="P39361"/>
      <c r="Q39361" s="24"/>
      <c r="R39361"/>
      <c r="S39361"/>
      <c r="T39361"/>
      <c r="U39361"/>
      <c r="X39361" s="60"/>
    </row>
    <row r="39362" spans="7:24" ht="15" customHeight="1">
      <c r="G39362"/>
      <c r="I39362"/>
      <c r="N39362"/>
      <c r="O39362" s="24"/>
      <c r="P39362"/>
      <c r="Q39362" s="24"/>
      <c r="R39362"/>
      <c r="S39362"/>
      <c r="T39362"/>
      <c r="U39362"/>
      <c r="X39362" s="60"/>
    </row>
    <row r="39363" spans="7:24" ht="15" customHeight="1">
      <c r="G39363"/>
      <c r="I39363"/>
      <c r="N39363"/>
      <c r="O39363" s="24"/>
      <c r="P39363"/>
      <c r="Q39363" s="24"/>
      <c r="R39363"/>
      <c r="S39363"/>
      <c r="T39363"/>
      <c r="U39363"/>
      <c r="X39363" s="60"/>
    </row>
    <row r="39364" spans="7:24" ht="15" customHeight="1">
      <c r="G39364"/>
      <c r="I39364"/>
      <c r="N39364"/>
      <c r="O39364" s="24"/>
      <c r="P39364"/>
      <c r="Q39364" s="24"/>
      <c r="R39364"/>
      <c r="S39364"/>
      <c r="T39364"/>
      <c r="U39364"/>
      <c r="X39364" s="60"/>
    </row>
    <row r="39365" spans="7:24" ht="15" customHeight="1">
      <c r="G39365"/>
      <c r="I39365"/>
      <c r="N39365"/>
      <c r="O39365" s="24"/>
      <c r="P39365"/>
      <c r="Q39365" s="24"/>
      <c r="R39365"/>
      <c r="S39365"/>
      <c r="T39365"/>
      <c r="U39365"/>
      <c r="X39365" s="60"/>
    </row>
    <row r="39366" spans="7:24" ht="15" customHeight="1">
      <c r="G39366"/>
      <c r="I39366"/>
      <c r="N39366"/>
      <c r="O39366" s="24"/>
      <c r="P39366"/>
      <c r="Q39366" s="24"/>
      <c r="R39366"/>
      <c r="S39366"/>
      <c r="T39366"/>
      <c r="U39366"/>
      <c r="X39366" s="60"/>
    </row>
    <row r="39367" spans="7:24" ht="15" customHeight="1">
      <c r="G39367"/>
      <c r="I39367"/>
      <c r="N39367"/>
      <c r="O39367" s="24"/>
      <c r="P39367"/>
      <c r="Q39367" s="24"/>
      <c r="R39367"/>
      <c r="S39367"/>
      <c r="T39367"/>
      <c r="U39367"/>
      <c r="X39367" s="60"/>
    </row>
    <row r="39368" spans="7:24" ht="15" customHeight="1">
      <c r="G39368"/>
      <c r="I39368"/>
      <c r="N39368"/>
      <c r="O39368" s="24"/>
      <c r="P39368"/>
      <c r="Q39368" s="24"/>
      <c r="R39368"/>
      <c r="S39368"/>
      <c r="T39368"/>
      <c r="U39368"/>
      <c r="X39368" s="60"/>
    </row>
    <row r="39369" spans="7:24" ht="15" customHeight="1">
      <c r="G39369"/>
      <c r="I39369"/>
      <c r="N39369"/>
      <c r="O39369" s="24"/>
      <c r="P39369"/>
      <c r="Q39369" s="24"/>
      <c r="R39369"/>
      <c r="S39369"/>
      <c r="T39369"/>
      <c r="U39369"/>
      <c r="X39369" s="60"/>
    </row>
    <row r="39370" spans="7:24" ht="15" customHeight="1">
      <c r="G39370"/>
      <c r="I39370"/>
      <c r="N39370"/>
      <c r="O39370" s="24"/>
      <c r="P39370"/>
      <c r="Q39370" s="24"/>
      <c r="R39370"/>
      <c r="S39370"/>
      <c r="T39370"/>
      <c r="U39370"/>
      <c r="X39370" s="60"/>
    </row>
    <row r="39371" spans="7:24" ht="15" customHeight="1">
      <c r="G39371"/>
      <c r="I39371"/>
      <c r="N39371"/>
      <c r="O39371" s="24"/>
      <c r="P39371"/>
      <c r="Q39371" s="24"/>
      <c r="R39371"/>
      <c r="S39371"/>
      <c r="T39371"/>
      <c r="U39371"/>
      <c r="X39371" s="60"/>
    </row>
    <row r="39372" spans="7:24" ht="15" customHeight="1">
      <c r="G39372"/>
      <c r="I39372"/>
      <c r="N39372"/>
      <c r="O39372" s="24"/>
      <c r="P39372"/>
      <c r="Q39372" s="24"/>
      <c r="R39372"/>
      <c r="S39372"/>
      <c r="T39372"/>
      <c r="U39372"/>
      <c r="X39372" s="60"/>
    </row>
    <row r="39373" spans="7:24" ht="15" customHeight="1">
      <c r="G39373"/>
      <c r="I39373"/>
      <c r="N39373"/>
      <c r="O39373" s="24"/>
      <c r="P39373"/>
      <c r="Q39373" s="24"/>
      <c r="R39373"/>
      <c r="S39373"/>
      <c r="T39373"/>
      <c r="U39373"/>
      <c r="X39373" s="60"/>
    </row>
    <row r="39374" spans="7:24" ht="15" customHeight="1">
      <c r="G39374"/>
      <c r="I39374"/>
      <c r="N39374"/>
      <c r="O39374" s="24"/>
      <c r="P39374"/>
      <c r="Q39374" s="24"/>
      <c r="R39374"/>
      <c r="S39374"/>
      <c r="T39374"/>
      <c r="U39374"/>
      <c r="X39374" s="60"/>
    </row>
    <row r="39375" spans="7:24" ht="15" customHeight="1">
      <c r="G39375"/>
      <c r="I39375"/>
      <c r="N39375"/>
      <c r="O39375" s="24"/>
      <c r="P39375"/>
      <c r="Q39375" s="24"/>
      <c r="R39375"/>
      <c r="S39375"/>
      <c r="T39375"/>
      <c r="U39375"/>
      <c r="X39375" s="60"/>
    </row>
    <row r="39376" spans="7:24" ht="15" customHeight="1">
      <c r="G39376"/>
      <c r="I39376"/>
      <c r="N39376"/>
      <c r="O39376" s="24"/>
      <c r="P39376"/>
      <c r="Q39376" s="24"/>
      <c r="R39376"/>
      <c r="S39376"/>
      <c r="T39376"/>
      <c r="U39376"/>
      <c r="X39376" s="60"/>
    </row>
    <row r="39377" spans="7:24" ht="15" customHeight="1">
      <c r="G39377"/>
      <c r="I39377"/>
      <c r="N39377"/>
      <c r="O39377" s="24"/>
      <c r="P39377"/>
      <c r="Q39377" s="24"/>
      <c r="R39377"/>
      <c r="S39377"/>
      <c r="T39377"/>
      <c r="U39377"/>
      <c r="X39377" s="60"/>
    </row>
    <row r="39378" spans="7:24" ht="15" customHeight="1">
      <c r="G39378"/>
      <c r="I39378"/>
      <c r="N39378"/>
      <c r="O39378" s="24"/>
      <c r="P39378"/>
      <c r="Q39378" s="24"/>
      <c r="R39378"/>
      <c r="S39378"/>
      <c r="T39378"/>
      <c r="U39378"/>
      <c r="X39378" s="60"/>
    </row>
    <row r="39379" spans="7:24" ht="15" customHeight="1">
      <c r="G39379"/>
      <c r="I39379"/>
      <c r="N39379"/>
      <c r="O39379" s="24"/>
      <c r="P39379"/>
      <c r="Q39379" s="24"/>
      <c r="R39379"/>
      <c r="S39379"/>
      <c r="T39379"/>
      <c r="U39379"/>
      <c r="X39379" s="60"/>
    </row>
    <row r="39380" spans="7:24" ht="15" customHeight="1">
      <c r="G39380"/>
      <c r="I39380"/>
      <c r="N39380"/>
      <c r="O39380" s="24"/>
      <c r="P39380"/>
      <c r="Q39380" s="24"/>
      <c r="R39380"/>
      <c r="S39380"/>
      <c r="T39380"/>
      <c r="U39380"/>
      <c r="X39380" s="60"/>
    </row>
    <row r="39381" spans="7:24" ht="15" customHeight="1">
      <c r="G39381"/>
      <c r="I39381"/>
      <c r="N39381"/>
      <c r="O39381" s="24"/>
      <c r="P39381"/>
      <c r="Q39381" s="24"/>
      <c r="R39381"/>
      <c r="S39381"/>
      <c r="T39381"/>
      <c r="U39381"/>
      <c r="X39381" s="60"/>
    </row>
    <row r="39382" spans="7:24" ht="15" customHeight="1">
      <c r="G39382"/>
      <c r="I39382"/>
      <c r="N39382"/>
      <c r="O39382" s="24"/>
      <c r="P39382"/>
      <c r="Q39382" s="24"/>
      <c r="R39382"/>
      <c r="S39382"/>
      <c r="T39382"/>
      <c r="U39382"/>
      <c r="X39382" s="60"/>
    </row>
    <row r="39383" spans="7:24" ht="15" customHeight="1">
      <c r="G39383"/>
      <c r="I39383"/>
      <c r="N39383"/>
      <c r="O39383" s="24"/>
      <c r="P39383"/>
      <c r="Q39383" s="24"/>
      <c r="R39383"/>
      <c r="S39383"/>
      <c r="T39383"/>
      <c r="U39383"/>
      <c r="X39383" s="60"/>
    </row>
    <row r="39384" spans="7:24" ht="15" customHeight="1">
      <c r="G39384"/>
      <c r="I39384"/>
      <c r="N39384"/>
      <c r="O39384" s="24"/>
      <c r="P39384"/>
      <c r="Q39384" s="24"/>
      <c r="R39384"/>
      <c r="S39384"/>
      <c r="T39384"/>
      <c r="U39384"/>
      <c r="X39384" s="60"/>
    </row>
    <row r="39385" spans="7:24" ht="15" customHeight="1">
      <c r="G39385"/>
      <c r="I39385"/>
      <c r="N39385"/>
      <c r="O39385" s="24"/>
      <c r="P39385"/>
      <c r="Q39385" s="24"/>
      <c r="R39385"/>
      <c r="S39385"/>
      <c r="T39385"/>
      <c r="U39385"/>
      <c r="X39385" s="60"/>
    </row>
    <row r="39386" spans="7:24" ht="15" customHeight="1">
      <c r="G39386"/>
      <c r="I39386"/>
      <c r="N39386"/>
      <c r="O39386" s="24"/>
      <c r="P39386"/>
      <c r="Q39386" s="24"/>
      <c r="R39386"/>
      <c r="S39386"/>
      <c r="T39386"/>
      <c r="U39386"/>
      <c r="X39386" s="60"/>
    </row>
    <row r="39387" spans="7:24" ht="15" customHeight="1">
      <c r="G39387"/>
      <c r="I39387"/>
      <c r="N39387"/>
      <c r="O39387" s="24"/>
      <c r="P39387"/>
      <c r="Q39387" s="24"/>
      <c r="R39387"/>
      <c r="S39387"/>
      <c r="T39387"/>
      <c r="U39387"/>
      <c r="X39387" s="60"/>
    </row>
    <row r="39388" spans="7:24" ht="15" customHeight="1">
      <c r="G39388"/>
      <c r="I39388"/>
      <c r="N39388"/>
      <c r="O39388" s="24"/>
      <c r="P39388"/>
      <c r="Q39388" s="24"/>
      <c r="R39388"/>
      <c r="S39388"/>
      <c r="T39388"/>
      <c r="U39388"/>
      <c r="X39388" s="60"/>
    </row>
    <row r="39389" spans="7:24" ht="15" customHeight="1">
      <c r="G39389"/>
      <c r="I39389"/>
      <c r="N39389"/>
      <c r="O39389" s="24"/>
      <c r="P39389"/>
      <c r="Q39389" s="24"/>
      <c r="R39389"/>
      <c r="S39389"/>
      <c r="T39389"/>
      <c r="U39389"/>
      <c r="X39389" s="60"/>
    </row>
    <row r="39390" spans="7:24" ht="15" customHeight="1">
      <c r="G39390"/>
      <c r="I39390"/>
      <c r="N39390"/>
      <c r="O39390" s="24"/>
      <c r="P39390"/>
      <c r="Q39390" s="24"/>
      <c r="R39390"/>
      <c r="S39390"/>
      <c r="T39390"/>
      <c r="U39390"/>
      <c r="X39390" s="60"/>
    </row>
    <row r="39391" spans="7:24" ht="15" customHeight="1">
      <c r="G39391"/>
      <c r="I39391"/>
      <c r="N39391"/>
      <c r="O39391" s="24"/>
      <c r="P39391"/>
      <c r="Q39391" s="24"/>
      <c r="R39391"/>
      <c r="S39391"/>
      <c r="T39391"/>
      <c r="U39391"/>
      <c r="X39391" s="60"/>
    </row>
    <row r="39392" spans="7:24" ht="15" customHeight="1">
      <c r="G39392"/>
      <c r="I39392"/>
      <c r="N39392"/>
      <c r="O39392" s="24"/>
      <c r="P39392"/>
      <c r="Q39392" s="24"/>
      <c r="R39392"/>
      <c r="S39392"/>
      <c r="T39392"/>
      <c r="U39392"/>
      <c r="X39392" s="60"/>
    </row>
    <row r="39393" spans="7:24" ht="15" customHeight="1">
      <c r="G39393"/>
      <c r="I39393"/>
      <c r="N39393"/>
      <c r="O39393" s="24"/>
      <c r="P39393"/>
      <c r="Q39393" s="24"/>
      <c r="R39393"/>
      <c r="S39393"/>
      <c r="T39393"/>
      <c r="U39393"/>
      <c r="X39393" s="60"/>
    </row>
    <row r="39394" spans="7:24" ht="15" customHeight="1">
      <c r="G39394"/>
      <c r="I39394"/>
      <c r="N39394"/>
      <c r="O39394" s="24"/>
      <c r="P39394"/>
      <c r="Q39394" s="24"/>
      <c r="R39394"/>
      <c r="S39394"/>
      <c r="T39394"/>
      <c r="U39394"/>
      <c r="X39394" s="60"/>
    </row>
    <row r="39395" spans="7:24" ht="15" customHeight="1">
      <c r="G39395"/>
      <c r="I39395"/>
      <c r="N39395"/>
      <c r="O39395" s="24"/>
      <c r="P39395"/>
      <c r="Q39395" s="24"/>
      <c r="R39395"/>
      <c r="S39395"/>
      <c r="T39395"/>
      <c r="U39395"/>
      <c r="X39395" s="60"/>
    </row>
    <row r="39396" spans="7:24" ht="15" customHeight="1">
      <c r="G39396"/>
      <c r="I39396"/>
      <c r="N39396"/>
      <c r="O39396" s="24"/>
      <c r="P39396"/>
      <c r="Q39396" s="24"/>
      <c r="R39396"/>
      <c r="S39396"/>
      <c r="T39396"/>
      <c r="U39396"/>
      <c r="X39396" s="60"/>
    </row>
    <row r="39397" spans="7:24" ht="15" customHeight="1">
      <c r="G39397"/>
      <c r="I39397"/>
      <c r="N39397"/>
      <c r="O39397" s="24"/>
      <c r="P39397"/>
      <c r="Q39397" s="24"/>
      <c r="R39397"/>
      <c r="S39397"/>
      <c r="T39397"/>
      <c r="U39397"/>
      <c r="X39397" s="60"/>
    </row>
    <row r="39398" spans="7:24" ht="15" customHeight="1">
      <c r="G39398"/>
      <c r="I39398"/>
      <c r="N39398"/>
      <c r="O39398" s="24"/>
      <c r="P39398"/>
      <c r="Q39398" s="24"/>
      <c r="R39398"/>
      <c r="S39398"/>
      <c r="T39398"/>
      <c r="U39398"/>
      <c r="X39398" s="60"/>
    </row>
    <row r="39399" spans="7:24" ht="15" customHeight="1">
      <c r="G39399"/>
      <c r="I39399"/>
      <c r="N39399"/>
      <c r="O39399" s="24"/>
      <c r="P39399"/>
      <c r="Q39399" s="24"/>
      <c r="R39399"/>
      <c r="S39399"/>
      <c r="T39399"/>
      <c r="U39399"/>
      <c r="X39399" s="60"/>
    </row>
    <row r="39400" spans="7:24" ht="15" customHeight="1">
      <c r="G39400"/>
      <c r="I39400"/>
      <c r="N39400"/>
      <c r="O39400" s="24"/>
      <c r="P39400"/>
      <c r="Q39400" s="24"/>
      <c r="R39400"/>
      <c r="S39400"/>
      <c r="T39400"/>
      <c r="U39400"/>
      <c r="X39400" s="60"/>
    </row>
    <row r="39401" spans="7:24" ht="15" customHeight="1">
      <c r="G39401"/>
      <c r="I39401"/>
      <c r="N39401"/>
      <c r="O39401" s="24"/>
      <c r="P39401"/>
      <c r="Q39401" s="24"/>
      <c r="R39401"/>
      <c r="S39401"/>
      <c r="T39401"/>
      <c r="U39401"/>
      <c r="X39401" s="60"/>
    </row>
    <row r="39402" spans="7:24" ht="15" customHeight="1">
      <c r="G39402"/>
      <c r="I39402"/>
      <c r="N39402"/>
      <c r="O39402" s="24"/>
      <c r="P39402"/>
      <c r="Q39402" s="24"/>
      <c r="R39402"/>
      <c r="S39402"/>
      <c r="T39402"/>
      <c r="U39402"/>
      <c r="X39402" s="60"/>
    </row>
    <row r="39403" spans="7:24" ht="15" customHeight="1">
      <c r="G39403"/>
      <c r="I39403"/>
      <c r="N39403"/>
      <c r="O39403" s="24"/>
      <c r="P39403"/>
      <c r="Q39403" s="24"/>
      <c r="R39403"/>
      <c r="S39403"/>
      <c r="T39403"/>
      <c r="U39403"/>
      <c r="X39403" s="60"/>
    </row>
    <row r="39404" spans="7:24" ht="15" customHeight="1">
      <c r="G39404"/>
      <c r="I39404"/>
      <c r="N39404"/>
      <c r="O39404" s="24"/>
      <c r="P39404"/>
      <c r="Q39404" s="24"/>
      <c r="R39404"/>
      <c r="S39404"/>
      <c r="T39404"/>
      <c r="U39404"/>
      <c r="X39404" s="60"/>
    </row>
    <row r="39405" spans="7:24" ht="15" customHeight="1">
      <c r="G39405"/>
      <c r="I39405"/>
      <c r="N39405"/>
      <c r="O39405" s="24"/>
      <c r="P39405"/>
      <c r="Q39405" s="24"/>
      <c r="R39405"/>
      <c r="S39405"/>
      <c r="T39405"/>
      <c r="U39405"/>
      <c r="X39405" s="60"/>
    </row>
    <row r="39406" spans="7:24" ht="15" customHeight="1">
      <c r="G39406"/>
      <c r="I39406"/>
      <c r="N39406"/>
      <c r="O39406" s="24"/>
      <c r="P39406"/>
      <c r="Q39406" s="24"/>
      <c r="R39406"/>
      <c r="S39406"/>
      <c r="T39406"/>
      <c r="U39406"/>
      <c r="X39406" s="60"/>
    </row>
    <row r="39407" spans="7:24" ht="15" customHeight="1">
      <c r="G39407"/>
      <c r="I39407"/>
      <c r="N39407"/>
      <c r="O39407" s="24"/>
      <c r="P39407"/>
      <c r="Q39407" s="24"/>
      <c r="R39407"/>
      <c r="S39407"/>
      <c r="T39407"/>
      <c r="U39407"/>
      <c r="X39407" s="60"/>
    </row>
    <row r="39408" spans="7:24" ht="15" customHeight="1">
      <c r="G39408"/>
      <c r="I39408"/>
      <c r="N39408"/>
      <c r="O39408" s="24"/>
      <c r="P39408"/>
      <c r="Q39408" s="24"/>
      <c r="R39408"/>
      <c r="S39408"/>
      <c r="T39408"/>
      <c r="U39408"/>
      <c r="X39408" s="60"/>
    </row>
    <row r="39409" spans="7:24" ht="15" customHeight="1">
      <c r="G39409"/>
      <c r="I39409"/>
      <c r="N39409"/>
      <c r="O39409" s="24"/>
      <c r="P39409"/>
      <c r="Q39409" s="24"/>
      <c r="R39409"/>
      <c r="S39409"/>
      <c r="T39409"/>
      <c r="U39409"/>
      <c r="X39409" s="60"/>
    </row>
    <row r="39410" spans="7:24" ht="15" customHeight="1">
      <c r="G39410"/>
      <c r="I39410"/>
      <c r="N39410"/>
      <c r="O39410" s="24"/>
      <c r="P39410"/>
      <c r="Q39410" s="24"/>
      <c r="R39410"/>
      <c r="S39410"/>
      <c r="T39410"/>
      <c r="U39410"/>
      <c r="X39410" s="60"/>
    </row>
    <row r="39411" spans="7:24" ht="15" customHeight="1">
      <c r="G39411"/>
      <c r="I39411"/>
      <c r="N39411"/>
      <c r="O39411" s="24"/>
      <c r="P39411"/>
      <c r="Q39411" s="24"/>
      <c r="R39411"/>
      <c r="S39411"/>
      <c r="T39411"/>
      <c r="U39411"/>
      <c r="X39411" s="60"/>
    </row>
    <row r="39412" spans="7:24" ht="15" customHeight="1">
      <c r="G39412"/>
      <c r="I39412"/>
      <c r="N39412"/>
      <c r="O39412" s="24"/>
      <c r="P39412"/>
      <c r="Q39412" s="24"/>
      <c r="R39412"/>
      <c r="S39412"/>
      <c r="T39412"/>
      <c r="U39412"/>
      <c r="X39412" s="60"/>
    </row>
    <row r="39413" spans="7:24" ht="15" customHeight="1">
      <c r="G39413"/>
      <c r="I39413"/>
      <c r="N39413"/>
      <c r="O39413" s="24"/>
      <c r="P39413"/>
      <c r="Q39413" s="24"/>
      <c r="R39413"/>
      <c r="S39413"/>
      <c r="T39413"/>
      <c r="U39413"/>
      <c r="X39413" s="60"/>
    </row>
    <row r="39414" spans="7:24" ht="15" customHeight="1">
      <c r="G39414"/>
      <c r="I39414"/>
      <c r="N39414"/>
      <c r="O39414" s="24"/>
      <c r="P39414"/>
      <c r="Q39414" s="24"/>
      <c r="R39414"/>
      <c r="S39414"/>
      <c r="T39414"/>
      <c r="U39414"/>
      <c r="X39414" s="60"/>
    </row>
    <row r="39415" spans="7:24" ht="15" customHeight="1">
      <c r="G39415"/>
      <c r="I39415"/>
      <c r="N39415"/>
      <c r="O39415" s="24"/>
      <c r="P39415"/>
      <c r="Q39415" s="24"/>
      <c r="R39415"/>
      <c r="S39415"/>
      <c r="T39415"/>
      <c r="U39415"/>
      <c r="X39415" s="60"/>
    </row>
    <row r="39416" spans="7:24" ht="15" customHeight="1">
      <c r="G39416"/>
      <c r="I39416"/>
      <c r="N39416"/>
      <c r="O39416" s="24"/>
      <c r="P39416"/>
      <c r="Q39416" s="24"/>
      <c r="R39416"/>
      <c r="S39416"/>
      <c r="T39416"/>
      <c r="U39416"/>
      <c r="X39416" s="60"/>
    </row>
    <row r="39417" spans="7:24" ht="15" customHeight="1">
      <c r="G39417"/>
      <c r="I39417"/>
      <c r="N39417"/>
      <c r="O39417" s="24"/>
      <c r="P39417"/>
      <c r="Q39417" s="24"/>
      <c r="R39417"/>
      <c r="S39417"/>
      <c r="T39417"/>
      <c r="U39417"/>
      <c r="X39417" s="60"/>
    </row>
    <row r="39418" spans="7:24" ht="15" customHeight="1">
      <c r="G39418"/>
      <c r="I39418"/>
      <c r="N39418"/>
      <c r="O39418" s="24"/>
      <c r="P39418"/>
      <c r="Q39418" s="24"/>
      <c r="R39418"/>
      <c r="S39418"/>
      <c r="T39418"/>
      <c r="U39418"/>
      <c r="X39418" s="60"/>
    </row>
    <row r="39419" spans="7:24" ht="15" customHeight="1">
      <c r="G39419"/>
      <c r="I39419"/>
      <c r="N39419"/>
      <c r="O39419" s="24"/>
      <c r="P39419"/>
      <c r="Q39419" s="24"/>
      <c r="R39419"/>
      <c r="S39419"/>
      <c r="T39419"/>
      <c r="U39419"/>
      <c r="X39419" s="60"/>
    </row>
    <row r="39420" spans="7:24" ht="15" customHeight="1">
      <c r="G39420"/>
      <c r="I39420"/>
      <c r="N39420"/>
      <c r="O39420" s="24"/>
      <c r="P39420"/>
      <c r="Q39420" s="24"/>
      <c r="R39420"/>
      <c r="S39420"/>
      <c r="T39420"/>
      <c r="U39420"/>
      <c r="X39420" s="60"/>
    </row>
    <row r="39421" spans="7:24" ht="15" customHeight="1">
      <c r="G39421"/>
      <c r="I39421"/>
      <c r="N39421"/>
      <c r="O39421" s="24"/>
      <c r="P39421"/>
      <c r="Q39421" s="24"/>
      <c r="R39421"/>
      <c r="S39421"/>
      <c r="T39421"/>
      <c r="U39421"/>
      <c r="X39421" s="60"/>
    </row>
    <row r="39422" spans="7:24" ht="15" customHeight="1">
      <c r="G39422"/>
      <c r="I39422"/>
      <c r="N39422"/>
      <c r="O39422" s="24"/>
      <c r="P39422"/>
      <c r="Q39422" s="24"/>
      <c r="R39422"/>
      <c r="S39422"/>
      <c r="T39422"/>
      <c r="U39422"/>
      <c r="X39422" s="60"/>
    </row>
    <row r="39423" spans="7:24" ht="15" customHeight="1">
      <c r="G39423"/>
      <c r="I39423"/>
      <c r="N39423"/>
      <c r="O39423" s="24"/>
      <c r="P39423"/>
      <c r="Q39423" s="24"/>
      <c r="R39423"/>
      <c r="S39423"/>
      <c r="T39423"/>
      <c r="U39423"/>
      <c r="X39423" s="60"/>
    </row>
    <row r="39424" spans="7:24" ht="15" customHeight="1">
      <c r="G39424"/>
      <c r="I39424"/>
      <c r="N39424"/>
      <c r="O39424" s="24"/>
      <c r="P39424"/>
      <c r="Q39424" s="24"/>
      <c r="R39424"/>
      <c r="S39424"/>
      <c r="T39424"/>
      <c r="U39424"/>
      <c r="X39424" s="60"/>
    </row>
    <row r="39425" spans="7:24" ht="15" customHeight="1">
      <c r="G39425"/>
      <c r="I39425"/>
      <c r="N39425"/>
      <c r="O39425" s="24"/>
      <c r="P39425"/>
      <c r="Q39425" s="24"/>
      <c r="R39425"/>
      <c r="S39425"/>
      <c r="T39425"/>
      <c r="U39425"/>
      <c r="X39425" s="60"/>
    </row>
    <row r="39426" spans="7:24" ht="15" customHeight="1">
      <c r="G39426"/>
      <c r="I39426"/>
      <c r="N39426"/>
      <c r="O39426" s="24"/>
      <c r="P39426"/>
      <c r="Q39426" s="24"/>
      <c r="R39426"/>
      <c r="S39426"/>
      <c r="T39426"/>
      <c r="U39426"/>
      <c r="X39426" s="60"/>
    </row>
    <row r="39427" spans="7:24" ht="15" customHeight="1">
      <c r="G39427"/>
      <c r="I39427"/>
      <c r="N39427"/>
      <c r="O39427" s="24"/>
      <c r="P39427"/>
      <c r="Q39427" s="24"/>
      <c r="R39427"/>
      <c r="S39427"/>
      <c r="T39427"/>
      <c r="U39427"/>
      <c r="X39427" s="60"/>
    </row>
    <row r="39428" spans="7:24" ht="15" customHeight="1">
      <c r="G39428"/>
      <c r="I39428"/>
      <c r="N39428"/>
      <c r="O39428" s="24"/>
      <c r="P39428"/>
      <c r="Q39428" s="24"/>
      <c r="R39428"/>
      <c r="S39428"/>
      <c r="T39428"/>
      <c r="U39428"/>
      <c r="X39428" s="60"/>
    </row>
    <row r="39429" spans="7:24" ht="15" customHeight="1">
      <c r="G39429"/>
      <c r="I39429"/>
      <c r="N39429"/>
      <c r="O39429" s="24"/>
      <c r="P39429"/>
      <c r="Q39429" s="24"/>
      <c r="R39429"/>
      <c r="S39429"/>
      <c r="T39429"/>
      <c r="U39429"/>
      <c r="X39429" s="60"/>
    </row>
    <row r="39430" spans="7:24" ht="15" customHeight="1">
      <c r="G39430"/>
      <c r="I39430"/>
      <c r="N39430"/>
      <c r="O39430" s="24"/>
      <c r="P39430"/>
      <c r="Q39430" s="24"/>
      <c r="R39430"/>
      <c r="S39430"/>
      <c r="T39430"/>
      <c r="U39430"/>
      <c r="X39430" s="60"/>
    </row>
    <row r="39431" spans="7:24" ht="15" customHeight="1">
      <c r="G39431"/>
      <c r="I39431"/>
      <c r="N39431"/>
      <c r="O39431" s="24"/>
      <c r="P39431"/>
      <c r="Q39431" s="24"/>
      <c r="R39431"/>
      <c r="S39431"/>
      <c r="T39431"/>
      <c r="U39431"/>
      <c r="X39431" s="60"/>
    </row>
    <row r="39432" spans="7:24" ht="15" customHeight="1">
      <c r="G39432"/>
      <c r="I39432"/>
      <c r="N39432"/>
      <c r="O39432" s="24"/>
      <c r="P39432"/>
      <c r="Q39432" s="24"/>
      <c r="R39432"/>
      <c r="S39432"/>
      <c r="T39432"/>
      <c r="U39432"/>
      <c r="X39432" s="60"/>
    </row>
    <row r="39433" spans="7:24" ht="15" customHeight="1">
      <c r="G39433"/>
      <c r="I39433"/>
      <c r="N39433"/>
      <c r="O39433" s="24"/>
      <c r="P39433"/>
      <c r="Q39433" s="24"/>
      <c r="R39433"/>
      <c r="S39433"/>
      <c r="T39433"/>
      <c r="U39433"/>
      <c r="X39433" s="60"/>
    </row>
    <row r="39434" spans="7:24" ht="15" customHeight="1">
      <c r="G39434"/>
      <c r="I39434"/>
      <c r="N39434"/>
      <c r="O39434" s="24"/>
      <c r="P39434"/>
      <c r="Q39434" s="24"/>
      <c r="R39434"/>
      <c r="S39434"/>
      <c r="T39434"/>
      <c r="U39434"/>
      <c r="X39434" s="60"/>
    </row>
    <row r="39435" spans="7:24" ht="15" customHeight="1">
      <c r="G39435"/>
      <c r="I39435"/>
      <c r="N39435"/>
      <c r="O39435" s="24"/>
      <c r="P39435"/>
      <c r="Q39435" s="24"/>
      <c r="R39435"/>
      <c r="S39435"/>
      <c r="T39435"/>
      <c r="U39435"/>
      <c r="X39435" s="60"/>
    </row>
    <row r="39436" spans="7:24" ht="15" customHeight="1">
      <c r="G39436"/>
      <c r="I39436"/>
      <c r="N39436"/>
      <c r="O39436" s="24"/>
      <c r="P39436"/>
      <c r="Q39436" s="24"/>
      <c r="R39436"/>
      <c r="S39436"/>
      <c r="T39436"/>
      <c r="U39436"/>
      <c r="X39436" s="60"/>
    </row>
    <row r="39437" spans="7:24" ht="15" customHeight="1">
      <c r="G39437"/>
      <c r="I39437"/>
      <c r="N39437"/>
      <c r="O39437" s="24"/>
      <c r="P39437"/>
      <c r="Q39437" s="24"/>
      <c r="R39437"/>
      <c r="S39437"/>
      <c r="T39437"/>
      <c r="U39437"/>
      <c r="X39437" s="60"/>
    </row>
    <row r="39438" spans="7:24" ht="15" customHeight="1">
      <c r="G39438"/>
      <c r="I39438"/>
      <c r="N39438"/>
      <c r="O39438" s="24"/>
      <c r="P39438"/>
      <c r="Q39438" s="24"/>
      <c r="R39438"/>
      <c r="S39438"/>
      <c r="T39438"/>
      <c r="U39438"/>
      <c r="X39438" s="60"/>
    </row>
    <row r="39439" spans="7:24" ht="15" customHeight="1">
      <c r="G39439"/>
      <c r="I39439"/>
      <c r="N39439"/>
      <c r="O39439" s="24"/>
      <c r="P39439"/>
      <c r="Q39439" s="24"/>
      <c r="R39439"/>
      <c r="S39439"/>
      <c r="T39439"/>
      <c r="U39439"/>
      <c r="X39439" s="60"/>
    </row>
    <row r="39440" spans="7:24" ht="15" customHeight="1">
      <c r="G39440"/>
      <c r="I39440"/>
      <c r="N39440"/>
      <c r="O39440" s="24"/>
      <c r="P39440"/>
      <c r="Q39440" s="24"/>
      <c r="R39440"/>
      <c r="S39440"/>
      <c r="T39440"/>
      <c r="U39440"/>
      <c r="X39440" s="60"/>
    </row>
    <row r="39441" spans="7:24" ht="15" customHeight="1">
      <c r="G39441"/>
      <c r="I39441"/>
      <c r="N39441"/>
      <c r="O39441" s="24"/>
      <c r="P39441"/>
      <c r="Q39441" s="24"/>
      <c r="R39441"/>
      <c r="S39441"/>
      <c r="T39441"/>
      <c r="U39441"/>
      <c r="X39441" s="60"/>
    </row>
    <row r="39442" spans="7:24" ht="15" customHeight="1">
      <c r="G39442"/>
      <c r="I39442"/>
      <c r="N39442"/>
      <c r="O39442" s="24"/>
      <c r="P39442"/>
      <c r="Q39442" s="24"/>
      <c r="R39442"/>
      <c r="S39442"/>
      <c r="T39442"/>
      <c r="U39442"/>
      <c r="X39442" s="60"/>
    </row>
    <row r="39443" spans="7:24" ht="15" customHeight="1">
      <c r="G39443"/>
      <c r="I39443"/>
      <c r="N39443"/>
      <c r="O39443" s="24"/>
      <c r="P39443"/>
      <c r="Q39443" s="24"/>
      <c r="R39443"/>
      <c r="S39443"/>
      <c r="T39443"/>
      <c r="U39443"/>
      <c r="X39443" s="60"/>
    </row>
    <row r="39444" spans="7:24" ht="15" customHeight="1">
      <c r="G39444"/>
      <c r="I39444"/>
      <c r="N39444"/>
      <c r="O39444" s="24"/>
      <c r="P39444"/>
      <c r="Q39444" s="24"/>
      <c r="R39444"/>
      <c r="S39444"/>
      <c r="T39444"/>
      <c r="U39444"/>
      <c r="X39444" s="60"/>
    </row>
    <row r="39445" spans="7:24" ht="15" customHeight="1">
      <c r="G39445"/>
      <c r="I39445"/>
      <c r="N39445"/>
      <c r="O39445" s="24"/>
      <c r="P39445"/>
      <c r="Q39445" s="24"/>
      <c r="R39445"/>
      <c r="S39445"/>
      <c r="T39445"/>
      <c r="U39445"/>
      <c r="X39445" s="60"/>
    </row>
    <row r="39446" spans="7:24" ht="15" customHeight="1">
      <c r="G39446"/>
      <c r="I39446"/>
      <c r="N39446"/>
      <c r="O39446" s="24"/>
      <c r="P39446"/>
      <c r="Q39446" s="24"/>
      <c r="R39446"/>
      <c r="S39446"/>
      <c r="T39446"/>
      <c r="U39446"/>
      <c r="X39446" s="60"/>
    </row>
    <row r="39447" spans="7:24" ht="15" customHeight="1">
      <c r="G39447"/>
      <c r="I39447"/>
      <c r="N39447"/>
      <c r="O39447" s="24"/>
      <c r="P39447"/>
      <c r="Q39447" s="24"/>
      <c r="R39447"/>
      <c r="S39447"/>
      <c r="T39447"/>
      <c r="U39447"/>
      <c r="X39447" s="60"/>
    </row>
    <row r="39448" spans="7:24" ht="15" customHeight="1">
      <c r="G39448"/>
      <c r="I39448"/>
      <c r="N39448"/>
      <c r="O39448" s="24"/>
      <c r="P39448"/>
      <c r="Q39448" s="24"/>
      <c r="R39448"/>
      <c r="S39448"/>
      <c r="T39448"/>
      <c r="U39448"/>
      <c r="X39448" s="60"/>
    </row>
    <row r="39449" spans="7:24" ht="15" customHeight="1">
      <c r="G39449"/>
      <c r="I39449"/>
      <c r="N39449"/>
      <c r="O39449" s="24"/>
      <c r="P39449"/>
      <c r="Q39449" s="24"/>
      <c r="R39449"/>
      <c r="S39449"/>
      <c r="T39449"/>
      <c r="U39449"/>
      <c r="X39449" s="60"/>
    </row>
    <row r="39450" spans="7:24" ht="15" customHeight="1">
      <c r="G39450"/>
      <c r="I39450"/>
      <c r="N39450"/>
      <c r="O39450" s="24"/>
      <c r="P39450"/>
      <c r="Q39450" s="24"/>
      <c r="R39450"/>
      <c r="S39450"/>
      <c r="T39450"/>
      <c r="U39450"/>
      <c r="X39450" s="60"/>
    </row>
    <row r="39451" spans="7:24" ht="15" customHeight="1">
      <c r="G39451"/>
      <c r="I39451"/>
      <c r="N39451"/>
      <c r="O39451" s="24"/>
      <c r="P39451"/>
      <c r="Q39451" s="24"/>
      <c r="R39451"/>
      <c r="S39451"/>
      <c r="T39451"/>
      <c r="U39451"/>
      <c r="X39451" s="60"/>
    </row>
    <row r="39452" spans="7:24" ht="15" customHeight="1">
      <c r="G39452"/>
      <c r="I39452"/>
      <c r="N39452"/>
      <c r="O39452" s="24"/>
      <c r="P39452"/>
      <c r="Q39452" s="24"/>
      <c r="R39452"/>
      <c r="S39452"/>
      <c r="T39452"/>
      <c r="U39452"/>
      <c r="X39452" s="60"/>
    </row>
    <row r="39453" spans="7:24" ht="15" customHeight="1">
      <c r="G39453"/>
      <c r="I39453"/>
      <c r="N39453"/>
      <c r="O39453" s="24"/>
      <c r="P39453"/>
      <c r="Q39453" s="24"/>
      <c r="R39453"/>
      <c r="S39453"/>
      <c r="T39453"/>
      <c r="U39453"/>
      <c r="X39453" s="60"/>
    </row>
    <row r="39454" spans="7:24" ht="15" customHeight="1">
      <c r="G39454"/>
      <c r="I39454"/>
      <c r="N39454"/>
      <c r="O39454" s="24"/>
      <c r="P39454"/>
      <c r="Q39454" s="24"/>
      <c r="R39454"/>
      <c r="S39454"/>
      <c r="T39454"/>
      <c r="U39454"/>
      <c r="X39454" s="60"/>
    </row>
    <row r="39455" spans="7:24" ht="15" customHeight="1">
      <c r="G39455"/>
      <c r="I39455"/>
      <c r="N39455"/>
      <c r="O39455" s="24"/>
      <c r="P39455"/>
      <c r="Q39455" s="24"/>
      <c r="R39455"/>
      <c r="S39455"/>
      <c r="T39455"/>
      <c r="U39455"/>
      <c r="X39455" s="60"/>
    </row>
    <row r="39456" spans="7:24" ht="15" customHeight="1">
      <c r="G39456"/>
      <c r="I39456"/>
      <c r="N39456"/>
      <c r="O39456" s="24"/>
      <c r="P39456"/>
      <c r="Q39456" s="24"/>
      <c r="R39456"/>
      <c r="S39456"/>
      <c r="T39456"/>
      <c r="U39456"/>
      <c r="X39456" s="60"/>
    </row>
    <row r="39457" spans="7:24" ht="15" customHeight="1">
      <c r="G39457"/>
      <c r="I39457"/>
      <c r="N39457"/>
      <c r="O39457" s="24"/>
      <c r="P39457"/>
      <c r="Q39457" s="24"/>
      <c r="R39457"/>
      <c r="S39457"/>
      <c r="T39457"/>
      <c r="U39457"/>
      <c r="X39457" s="60"/>
    </row>
    <row r="39458" spans="7:24" ht="15" customHeight="1">
      <c r="G39458"/>
      <c r="I39458"/>
      <c r="N39458"/>
      <c r="O39458" s="24"/>
      <c r="P39458"/>
      <c r="Q39458" s="24"/>
      <c r="R39458"/>
      <c r="S39458"/>
      <c r="T39458"/>
      <c r="U39458"/>
      <c r="X39458" s="60"/>
    </row>
    <row r="39459" spans="7:24" ht="15" customHeight="1">
      <c r="G39459"/>
      <c r="I39459"/>
      <c r="N39459"/>
      <c r="O39459" s="24"/>
      <c r="P39459"/>
      <c r="Q39459" s="24"/>
      <c r="R39459"/>
      <c r="S39459"/>
      <c r="T39459"/>
      <c r="U39459"/>
      <c r="X39459" s="60"/>
    </row>
    <row r="39460" spans="7:24" ht="15" customHeight="1">
      <c r="G39460"/>
      <c r="I39460"/>
      <c r="N39460"/>
      <c r="O39460" s="24"/>
      <c r="P39460"/>
      <c r="Q39460" s="24"/>
      <c r="R39460"/>
      <c r="S39460"/>
      <c r="T39460"/>
      <c r="U39460"/>
      <c r="X39460" s="60"/>
    </row>
    <row r="39461" spans="7:24" ht="15" customHeight="1">
      <c r="G39461"/>
      <c r="I39461"/>
      <c r="N39461"/>
      <c r="O39461" s="24"/>
      <c r="P39461"/>
      <c r="Q39461" s="24"/>
      <c r="R39461"/>
      <c r="S39461"/>
      <c r="T39461"/>
      <c r="U39461"/>
      <c r="X39461" s="60"/>
    </row>
    <row r="39462" spans="7:24" ht="15" customHeight="1">
      <c r="G39462"/>
      <c r="I39462"/>
      <c r="N39462"/>
      <c r="O39462" s="24"/>
      <c r="P39462"/>
      <c r="Q39462" s="24"/>
      <c r="R39462"/>
      <c r="S39462"/>
      <c r="T39462"/>
      <c r="U39462"/>
      <c r="X39462" s="60"/>
    </row>
    <row r="39463" spans="7:24" ht="15" customHeight="1">
      <c r="G39463"/>
      <c r="I39463"/>
      <c r="N39463"/>
      <c r="O39463" s="24"/>
      <c r="P39463"/>
      <c r="Q39463" s="24"/>
      <c r="R39463"/>
      <c r="S39463"/>
      <c r="T39463"/>
      <c r="U39463"/>
      <c r="X39463" s="60"/>
    </row>
    <row r="39464" spans="7:24" ht="15" customHeight="1">
      <c r="G39464"/>
      <c r="I39464"/>
      <c r="N39464"/>
      <c r="O39464" s="24"/>
      <c r="P39464"/>
      <c r="Q39464" s="24"/>
      <c r="R39464"/>
      <c r="S39464"/>
      <c r="T39464"/>
      <c r="U39464"/>
      <c r="X39464" s="60"/>
    </row>
    <row r="39465" spans="7:24" ht="15" customHeight="1">
      <c r="G39465"/>
      <c r="I39465"/>
      <c r="N39465"/>
      <c r="O39465" s="24"/>
      <c r="P39465"/>
      <c r="Q39465" s="24"/>
      <c r="R39465"/>
      <c r="S39465"/>
      <c r="T39465"/>
      <c r="U39465"/>
      <c r="X39465" s="60"/>
    </row>
    <row r="39466" spans="7:24" ht="15" customHeight="1">
      <c r="G39466"/>
      <c r="I39466"/>
      <c r="N39466"/>
      <c r="O39466" s="24"/>
      <c r="P39466"/>
      <c r="Q39466" s="24"/>
      <c r="R39466"/>
      <c r="S39466"/>
      <c r="T39466"/>
      <c r="U39466"/>
      <c r="X39466" s="60"/>
    </row>
    <row r="39467" spans="7:24" ht="15" customHeight="1">
      <c r="G39467"/>
      <c r="I39467"/>
      <c r="N39467"/>
      <c r="O39467" s="24"/>
      <c r="P39467"/>
      <c r="Q39467" s="24"/>
      <c r="R39467"/>
      <c r="S39467"/>
      <c r="T39467"/>
      <c r="U39467"/>
      <c r="X39467" s="60"/>
    </row>
    <row r="39468" spans="7:24" ht="15" customHeight="1">
      <c r="G39468"/>
      <c r="I39468"/>
      <c r="N39468"/>
      <c r="O39468" s="24"/>
      <c r="P39468"/>
      <c r="Q39468" s="24"/>
      <c r="R39468"/>
      <c r="S39468"/>
      <c r="T39468"/>
      <c r="U39468"/>
      <c r="X39468" s="60"/>
    </row>
    <row r="39469" spans="7:24" ht="15" customHeight="1">
      <c r="G39469"/>
      <c r="I39469"/>
      <c r="N39469"/>
      <c r="O39469" s="24"/>
      <c r="P39469"/>
      <c r="Q39469" s="24"/>
      <c r="R39469"/>
      <c r="S39469"/>
      <c r="T39469"/>
      <c r="U39469"/>
      <c r="X39469" s="60"/>
    </row>
    <row r="39470" spans="7:24" ht="15" customHeight="1">
      <c r="G39470"/>
      <c r="I39470"/>
      <c r="N39470"/>
      <c r="O39470" s="24"/>
      <c r="P39470"/>
      <c r="Q39470" s="24"/>
      <c r="R39470"/>
      <c r="S39470"/>
      <c r="T39470"/>
      <c r="U39470"/>
      <c r="X39470" s="60"/>
    </row>
    <row r="39471" spans="7:24" ht="15" customHeight="1">
      <c r="G39471"/>
      <c r="I39471"/>
      <c r="N39471"/>
      <c r="O39471" s="24"/>
      <c r="P39471"/>
      <c r="Q39471" s="24"/>
      <c r="R39471"/>
      <c r="S39471"/>
      <c r="T39471"/>
      <c r="U39471"/>
      <c r="X39471" s="60"/>
    </row>
    <row r="39472" spans="7:24" ht="15" customHeight="1">
      <c r="G39472"/>
      <c r="I39472"/>
      <c r="N39472"/>
      <c r="O39472" s="24"/>
      <c r="P39472"/>
      <c r="Q39472" s="24"/>
      <c r="R39472"/>
      <c r="S39472"/>
      <c r="T39472"/>
      <c r="U39472"/>
      <c r="X39472" s="60"/>
    </row>
    <row r="39473" spans="7:24" ht="15" customHeight="1">
      <c r="G39473"/>
      <c r="I39473"/>
      <c r="N39473"/>
      <c r="O39473" s="24"/>
      <c r="P39473"/>
      <c r="Q39473" s="24"/>
      <c r="R39473"/>
      <c r="S39473"/>
      <c r="T39473"/>
      <c r="U39473"/>
      <c r="X39473" s="60"/>
    </row>
    <row r="39474" spans="7:24" ht="15" customHeight="1">
      <c r="G39474"/>
      <c r="I39474"/>
      <c r="N39474"/>
      <c r="O39474" s="24"/>
      <c r="P39474"/>
      <c r="Q39474" s="24"/>
      <c r="R39474"/>
      <c r="S39474"/>
      <c r="T39474"/>
      <c r="U39474"/>
      <c r="X39474" s="60"/>
    </row>
    <row r="39475" spans="7:24" ht="15" customHeight="1">
      <c r="G39475"/>
      <c r="I39475"/>
      <c r="N39475"/>
      <c r="O39475" s="24"/>
      <c r="P39475"/>
      <c r="Q39475" s="24"/>
      <c r="R39475"/>
      <c r="S39475"/>
      <c r="T39475"/>
      <c r="U39475"/>
      <c r="X39475" s="60"/>
    </row>
    <row r="39476" spans="7:24" ht="15" customHeight="1">
      <c r="G39476"/>
      <c r="I39476"/>
      <c r="N39476"/>
      <c r="O39476" s="24"/>
      <c r="P39476"/>
      <c r="Q39476" s="24"/>
      <c r="R39476"/>
      <c r="S39476"/>
      <c r="T39476"/>
      <c r="U39476"/>
      <c r="X39476" s="60"/>
    </row>
    <row r="39477" spans="7:24" ht="15" customHeight="1">
      <c r="G39477"/>
      <c r="I39477"/>
      <c r="N39477"/>
      <c r="O39477" s="24"/>
      <c r="P39477"/>
      <c r="Q39477" s="24"/>
      <c r="R39477"/>
      <c r="S39477"/>
      <c r="T39477"/>
      <c r="U39477"/>
      <c r="X39477" s="60"/>
    </row>
    <row r="39478" spans="7:24" ht="15" customHeight="1">
      <c r="G39478"/>
      <c r="I39478"/>
      <c r="N39478"/>
      <c r="O39478" s="24"/>
      <c r="P39478"/>
      <c r="Q39478" s="24"/>
      <c r="R39478"/>
      <c r="S39478"/>
      <c r="T39478"/>
      <c r="U39478"/>
      <c r="X39478" s="60"/>
    </row>
    <row r="39479" spans="7:24" ht="15" customHeight="1">
      <c r="G39479"/>
      <c r="I39479"/>
      <c r="N39479"/>
      <c r="O39479" s="24"/>
      <c r="P39479"/>
      <c r="Q39479" s="24"/>
      <c r="R39479"/>
      <c r="S39479"/>
      <c r="T39479"/>
      <c r="U39479"/>
      <c r="X39479" s="60"/>
    </row>
    <row r="39480" spans="7:24" ht="15" customHeight="1">
      <c r="G39480"/>
      <c r="I39480"/>
      <c r="N39480"/>
      <c r="O39480" s="24"/>
      <c r="P39480"/>
      <c r="Q39480" s="24"/>
      <c r="R39480"/>
      <c r="S39480"/>
      <c r="T39480"/>
      <c r="U39480"/>
      <c r="X39480" s="60"/>
    </row>
    <row r="39481" spans="7:24" ht="15" customHeight="1">
      <c r="G39481"/>
      <c r="I39481"/>
      <c r="N39481"/>
      <c r="O39481" s="24"/>
      <c r="P39481"/>
      <c r="Q39481" s="24"/>
      <c r="R39481"/>
      <c r="S39481"/>
      <c r="T39481"/>
      <c r="U39481"/>
      <c r="X39481" s="60"/>
    </row>
    <row r="39482" spans="7:24" ht="15" customHeight="1">
      <c r="G39482"/>
      <c r="I39482"/>
      <c r="N39482"/>
      <c r="O39482" s="24"/>
      <c r="P39482"/>
      <c r="Q39482" s="24"/>
      <c r="R39482"/>
      <c r="S39482"/>
      <c r="T39482"/>
      <c r="U39482"/>
      <c r="X39482" s="60"/>
    </row>
    <row r="39483" spans="7:24" ht="15" customHeight="1">
      <c r="G39483"/>
      <c r="I39483"/>
      <c r="N39483"/>
      <c r="O39483" s="24"/>
      <c r="P39483"/>
      <c r="Q39483" s="24"/>
      <c r="R39483"/>
      <c r="S39483"/>
      <c r="T39483"/>
      <c r="U39483"/>
      <c r="X39483" s="60"/>
    </row>
    <row r="39484" spans="7:24" ht="15" customHeight="1">
      <c r="G39484"/>
      <c r="I39484"/>
      <c r="N39484"/>
      <c r="O39484" s="24"/>
      <c r="P39484"/>
      <c r="Q39484" s="24"/>
      <c r="R39484"/>
      <c r="S39484"/>
      <c r="T39484"/>
      <c r="U39484"/>
      <c r="X39484" s="60"/>
    </row>
    <row r="39485" spans="7:24" ht="15" customHeight="1">
      <c r="G39485"/>
      <c r="I39485"/>
      <c r="N39485"/>
      <c r="O39485" s="24"/>
      <c r="P39485"/>
      <c r="Q39485" s="24"/>
      <c r="R39485"/>
      <c r="S39485"/>
      <c r="T39485"/>
      <c r="U39485"/>
      <c r="X39485" s="60"/>
    </row>
    <row r="39486" spans="7:24" ht="15" customHeight="1">
      <c r="G39486"/>
      <c r="I39486"/>
      <c r="N39486"/>
      <c r="O39486" s="24"/>
      <c r="P39486"/>
      <c r="Q39486" s="24"/>
      <c r="R39486"/>
      <c r="S39486"/>
      <c r="T39486"/>
      <c r="U39486"/>
      <c r="X39486" s="60"/>
    </row>
    <row r="39487" spans="7:24" ht="15" customHeight="1">
      <c r="G39487"/>
      <c r="I39487"/>
      <c r="N39487"/>
      <c r="O39487" s="24"/>
      <c r="P39487"/>
      <c r="Q39487" s="24"/>
      <c r="R39487"/>
      <c r="S39487"/>
      <c r="T39487"/>
      <c r="U39487"/>
      <c r="X39487" s="60"/>
    </row>
    <row r="39488" spans="7:24" ht="15" customHeight="1">
      <c r="G39488"/>
      <c r="I39488"/>
      <c r="N39488"/>
      <c r="O39488" s="24"/>
      <c r="P39488"/>
      <c r="Q39488" s="24"/>
      <c r="R39488"/>
      <c r="S39488"/>
      <c r="T39488"/>
      <c r="U39488"/>
      <c r="X39488" s="60"/>
    </row>
    <row r="39489" spans="7:24" ht="15" customHeight="1">
      <c r="G39489"/>
      <c r="I39489"/>
      <c r="N39489"/>
      <c r="O39489" s="24"/>
      <c r="P39489"/>
      <c r="Q39489" s="24"/>
      <c r="R39489"/>
      <c r="S39489"/>
      <c r="T39489"/>
      <c r="U39489"/>
      <c r="X39489" s="60"/>
    </row>
    <row r="39490" spans="7:24" ht="15" customHeight="1">
      <c r="G39490"/>
      <c r="I39490"/>
      <c r="N39490"/>
      <c r="O39490" s="24"/>
      <c r="P39490"/>
      <c r="Q39490" s="24"/>
      <c r="R39490"/>
      <c r="S39490"/>
      <c r="T39490"/>
      <c r="U39490"/>
      <c r="X39490" s="60"/>
    </row>
    <row r="39491" spans="7:24" ht="15" customHeight="1">
      <c r="G39491"/>
      <c r="I39491"/>
      <c r="N39491"/>
      <c r="O39491" s="24"/>
      <c r="P39491"/>
      <c r="Q39491" s="24"/>
      <c r="R39491"/>
      <c r="S39491"/>
      <c r="T39491"/>
      <c r="U39491"/>
      <c r="X39491" s="60"/>
    </row>
    <row r="39492" spans="7:24" ht="15" customHeight="1">
      <c r="G39492"/>
      <c r="I39492"/>
      <c r="N39492"/>
      <c r="O39492" s="24"/>
      <c r="P39492"/>
      <c r="Q39492" s="24"/>
      <c r="R39492"/>
      <c r="S39492"/>
      <c r="T39492"/>
      <c r="U39492"/>
      <c r="X39492" s="60"/>
    </row>
    <row r="39493" spans="7:24" ht="15" customHeight="1">
      <c r="G39493"/>
      <c r="I39493"/>
      <c r="N39493"/>
      <c r="O39493" s="24"/>
      <c r="P39493"/>
      <c r="Q39493" s="24"/>
      <c r="R39493"/>
      <c r="S39493"/>
      <c r="T39493"/>
      <c r="U39493"/>
      <c r="X39493" s="60"/>
    </row>
    <row r="39494" spans="7:24" ht="15" customHeight="1">
      <c r="G39494"/>
      <c r="I39494"/>
      <c r="N39494"/>
      <c r="O39494" s="24"/>
      <c r="P39494"/>
      <c r="Q39494" s="24"/>
      <c r="R39494"/>
      <c r="S39494"/>
      <c r="T39494"/>
      <c r="U39494"/>
      <c r="X39494" s="60"/>
    </row>
    <row r="39495" spans="7:24" ht="15" customHeight="1">
      <c r="G39495"/>
      <c r="I39495"/>
      <c r="N39495"/>
      <c r="O39495" s="24"/>
      <c r="P39495"/>
      <c r="Q39495" s="24"/>
      <c r="R39495"/>
      <c r="S39495"/>
      <c r="T39495"/>
      <c r="U39495"/>
      <c r="X39495" s="60"/>
    </row>
    <row r="39496" spans="7:24" ht="15" customHeight="1">
      <c r="G39496"/>
      <c r="I39496"/>
      <c r="N39496"/>
      <c r="O39496" s="24"/>
      <c r="P39496"/>
      <c r="Q39496" s="24"/>
      <c r="R39496"/>
      <c r="S39496"/>
      <c r="T39496"/>
      <c r="U39496"/>
      <c r="X39496" s="60"/>
    </row>
    <row r="39497" spans="7:24" ht="15" customHeight="1">
      <c r="G39497"/>
      <c r="I39497"/>
      <c r="N39497"/>
      <c r="O39497" s="24"/>
      <c r="P39497"/>
      <c r="Q39497" s="24"/>
      <c r="R39497"/>
      <c r="S39497"/>
      <c r="T39497"/>
      <c r="U39497"/>
      <c r="X39497" s="60"/>
    </row>
    <row r="39498" spans="7:24" ht="15" customHeight="1">
      <c r="G39498"/>
      <c r="I39498"/>
      <c r="N39498"/>
      <c r="O39498" s="24"/>
      <c r="P39498"/>
      <c r="Q39498" s="24"/>
      <c r="R39498"/>
      <c r="S39498"/>
      <c r="T39498"/>
      <c r="U39498"/>
      <c r="X39498" s="60"/>
    </row>
    <row r="39499" spans="7:24" ht="15" customHeight="1">
      <c r="G39499"/>
      <c r="I39499"/>
      <c r="N39499"/>
      <c r="O39499" s="24"/>
      <c r="P39499"/>
      <c r="Q39499" s="24"/>
      <c r="R39499"/>
      <c r="S39499"/>
      <c r="T39499"/>
      <c r="U39499"/>
      <c r="X39499" s="60"/>
    </row>
    <row r="39500" spans="7:24" ht="15" customHeight="1">
      <c r="G39500"/>
      <c r="I39500"/>
      <c r="N39500"/>
      <c r="O39500" s="24"/>
      <c r="P39500"/>
      <c r="Q39500" s="24"/>
      <c r="R39500"/>
      <c r="S39500"/>
      <c r="T39500"/>
      <c r="U39500"/>
      <c r="X39500" s="60"/>
    </row>
    <row r="39501" spans="7:24" ht="15" customHeight="1">
      <c r="G39501"/>
      <c r="I39501"/>
      <c r="N39501"/>
      <c r="O39501" s="24"/>
      <c r="P39501"/>
      <c r="Q39501" s="24"/>
      <c r="R39501"/>
      <c r="S39501"/>
      <c r="T39501"/>
      <c r="U39501"/>
      <c r="X39501" s="60"/>
    </row>
    <row r="39502" spans="7:24" ht="15" customHeight="1">
      <c r="G39502"/>
      <c r="I39502"/>
      <c r="N39502"/>
      <c r="O39502" s="24"/>
      <c r="P39502"/>
      <c r="Q39502" s="24"/>
      <c r="R39502"/>
      <c r="S39502"/>
      <c r="T39502"/>
      <c r="U39502"/>
      <c r="X39502" s="60"/>
    </row>
    <row r="39503" spans="7:24" ht="15" customHeight="1">
      <c r="G39503"/>
      <c r="I39503"/>
      <c r="N39503"/>
      <c r="O39503" s="24"/>
      <c r="P39503"/>
      <c r="Q39503" s="24"/>
      <c r="R39503"/>
      <c r="S39503"/>
      <c r="T39503"/>
      <c r="U39503"/>
      <c r="X39503" s="60"/>
    </row>
    <row r="39504" spans="7:24" ht="15" customHeight="1">
      <c r="G39504"/>
      <c r="I39504"/>
      <c r="N39504"/>
      <c r="O39504" s="24"/>
      <c r="P39504"/>
      <c r="Q39504" s="24"/>
      <c r="R39504"/>
      <c r="S39504"/>
      <c r="T39504"/>
      <c r="U39504"/>
      <c r="X39504" s="60"/>
    </row>
    <row r="39505" spans="7:24" ht="15" customHeight="1">
      <c r="G39505"/>
      <c r="I39505"/>
      <c r="N39505"/>
      <c r="O39505" s="24"/>
      <c r="P39505"/>
      <c r="Q39505" s="24"/>
      <c r="R39505"/>
      <c r="S39505"/>
      <c r="T39505"/>
      <c r="U39505"/>
      <c r="X39505" s="60"/>
    </row>
    <row r="39506" spans="7:24" ht="15" customHeight="1">
      <c r="G39506"/>
      <c r="I39506"/>
      <c r="N39506"/>
      <c r="O39506" s="24"/>
      <c r="P39506"/>
      <c r="Q39506" s="24"/>
      <c r="R39506"/>
      <c r="S39506"/>
      <c r="T39506"/>
      <c r="U39506"/>
      <c r="X39506" s="60"/>
    </row>
    <row r="39507" spans="7:24" ht="15" customHeight="1">
      <c r="G39507"/>
      <c r="I39507"/>
      <c r="N39507"/>
      <c r="O39507" s="24"/>
      <c r="P39507"/>
      <c r="Q39507" s="24"/>
      <c r="R39507"/>
      <c r="S39507"/>
      <c r="T39507"/>
      <c r="U39507"/>
      <c r="X39507" s="60"/>
    </row>
    <row r="39508" spans="7:24" ht="15" customHeight="1">
      <c r="G39508"/>
      <c r="I39508"/>
      <c r="N39508"/>
      <c r="O39508" s="24"/>
      <c r="P39508"/>
      <c r="Q39508" s="24"/>
      <c r="R39508"/>
      <c r="S39508"/>
      <c r="T39508"/>
      <c r="U39508"/>
      <c r="X39508" s="60"/>
    </row>
    <row r="39509" spans="7:24" ht="15" customHeight="1">
      <c r="G39509"/>
      <c r="I39509"/>
      <c r="N39509"/>
      <c r="O39509" s="24"/>
      <c r="P39509"/>
      <c r="Q39509" s="24"/>
      <c r="R39509"/>
      <c r="S39509"/>
      <c r="T39509"/>
      <c r="U39509"/>
      <c r="X39509" s="60"/>
    </row>
    <row r="39510" spans="7:24" ht="15" customHeight="1">
      <c r="G39510"/>
      <c r="I39510"/>
      <c r="N39510"/>
      <c r="O39510" s="24"/>
      <c r="P39510"/>
      <c r="Q39510" s="24"/>
      <c r="R39510"/>
      <c r="S39510"/>
      <c r="T39510"/>
      <c r="U39510"/>
      <c r="X39510" s="60"/>
    </row>
    <row r="39511" spans="7:24" ht="15" customHeight="1">
      <c r="G39511"/>
      <c r="I39511"/>
      <c r="N39511"/>
      <c r="O39511" s="24"/>
      <c r="P39511"/>
      <c r="Q39511" s="24"/>
      <c r="R39511"/>
      <c r="S39511"/>
      <c r="T39511"/>
      <c r="U39511"/>
      <c r="X39511" s="60"/>
    </row>
    <row r="39512" spans="7:24" ht="15" customHeight="1">
      <c r="G39512"/>
      <c r="I39512"/>
      <c r="N39512"/>
      <c r="O39512" s="24"/>
      <c r="P39512"/>
      <c r="Q39512" s="24"/>
      <c r="R39512"/>
      <c r="S39512"/>
      <c r="T39512"/>
      <c r="U39512"/>
      <c r="X39512" s="60"/>
    </row>
    <row r="39513" spans="7:24" ht="15" customHeight="1">
      <c r="G39513"/>
      <c r="I39513"/>
      <c r="N39513"/>
      <c r="O39513" s="24"/>
      <c r="P39513"/>
      <c r="Q39513" s="24"/>
      <c r="R39513"/>
      <c r="S39513"/>
      <c r="T39513"/>
      <c r="U39513"/>
      <c r="X39513" s="60"/>
    </row>
    <row r="39514" spans="7:24" ht="15" customHeight="1">
      <c r="G39514"/>
      <c r="I39514"/>
      <c r="N39514"/>
      <c r="O39514" s="24"/>
      <c r="P39514"/>
      <c r="Q39514" s="24"/>
      <c r="R39514"/>
      <c r="S39514"/>
      <c r="T39514"/>
      <c r="U39514"/>
      <c r="X39514" s="60"/>
    </row>
    <row r="39515" spans="7:24" ht="15" customHeight="1">
      <c r="G39515"/>
      <c r="I39515"/>
      <c r="N39515"/>
      <c r="O39515" s="24"/>
      <c r="P39515"/>
      <c r="Q39515" s="24"/>
      <c r="R39515"/>
      <c r="S39515"/>
      <c r="T39515"/>
      <c r="U39515"/>
      <c r="X39515" s="60"/>
    </row>
    <row r="39516" spans="7:24" ht="15" customHeight="1">
      <c r="G39516"/>
      <c r="I39516"/>
      <c r="N39516"/>
      <c r="O39516" s="24"/>
      <c r="P39516"/>
      <c r="Q39516" s="24"/>
      <c r="R39516"/>
      <c r="S39516"/>
      <c r="T39516"/>
      <c r="U39516"/>
      <c r="X39516" s="60"/>
    </row>
    <row r="39517" spans="7:24" ht="15" customHeight="1">
      <c r="G39517"/>
      <c r="I39517"/>
      <c r="N39517"/>
      <c r="O39517" s="24"/>
      <c r="P39517"/>
      <c r="Q39517" s="24"/>
      <c r="R39517"/>
      <c r="S39517"/>
      <c r="T39517"/>
      <c r="U39517"/>
      <c r="X39517" s="60"/>
    </row>
    <row r="39518" spans="7:24" ht="15" customHeight="1">
      <c r="G39518"/>
      <c r="I39518"/>
      <c r="N39518"/>
      <c r="O39518" s="24"/>
      <c r="P39518"/>
      <c r="Q39518" s="24"/>
      <c r="R39518"/>
      <c r="S39518"/>
      <c r="T39518"/>
      <c r="U39518"/>
      <c r="X39518" s="60"/>
    </row>
    <row r="39519" spans="7:24" ht="15" customHeight="1">
      <c r="G39519"/>
      <c r="I39519"/>
      <c r="N39519"/>
      <c r="O39519" s="24"/>
      <c r="P39519"/>
      <c r="Q39519" s="24"/>
      <c r="R39519"/>
      <c r="S39519"/>
      <c r="T39519"/>
      <c r="U39519"/>
      <c r="X39519" s="60"/>
    </row>
    <row r="39520" spans="7:24" ht="15" customHeight="1">
      <c r="G39520"/>
      <c r="I39520"/>
      <c r="N39520"/>
      <c r="O39520" s="24"/>
      <c r="P39520"/>
      <c r="Q39520" s="24"/>
      <c r="R39520"/>
      <c r="S39520"/>
      <c r="T39520"/>
      <c r="U39520"/>
      <c r="X39520" s="60"/>
    </row>
    <row r="39521" spans="7:24" ht="15" customHeight="1">
      <c r="G39521"/>
      <c r="I39521"/>
      <c r="N39521"/>
      <c r="O39521" s="24"/>
      <c r="P39521"/>
      <c r="Q39521" s="24"/>
      <c r="R39521"/>
      <c r="S39521"/>
      <c r="T39521"/>
      <c r="U39521"/>
      <c r="X39521" s="60"/>
    </row>
    <row r="39522" spans="7:24" ht="15" customHeight="1">
      <c r="G39522"/>
      <c r="I39522"/>
      <c r="N39522"/>
      <c r="O39522" s="24"/>
      <c r="P39522"/>
      <c r="Q39522" s="24"/>
      <c r="R39522"/>
      <c r="S39522"/>
      <c r="T39522"/>
      <c r="U39522"/>
      <c r="X39522" s="60"/>
    </row>
    <row r="39523" spans="7:24" ht="15" customHeight="1">
      <c r="G39523"/>
      <c r="I39523"/>
      <c r="N39523"/>
      <c r="O39523" s="24"/>
      <c r="P39523"/>
      <c r="Q39523" s="24"/>
      <c r="R39523"/>
      <c r="S39523"/>
      <c r="T39523"/>
      <c r="U39523"/>
      <c r="X39523" s="60"/>
    </row>
    <row r="39524" spans="7:24" ht="15" customHeight="1">
      <c r="G39524"/>
      <c r="I39524"/>
      <c r="N39524"/>
      <c r="O39524" s="24"/>
      <c r="P39524"/>
      <c r="Q39524" s="24"/>
      <c r="R39524"/>
      <c r="S39524"/>
      <c r="T39524"/>
      <c r="U39524"/>
      <c r="X39524" s="60"/>
    </row>
    <row r="39525" spans="7:24" ht="15" customHeight="1">
      <c r="G39525"/>
      <c r="I39525"/>
      <c r="N39525"/>
      <c r="O39525" s="24"/>
      <c r="P39525"/>
      <c r="Q39525" s="24"/>
      <c r="R39525"/>
      <c r="S39525"/>
      <c r="T39525"/>
      <c r="U39525"/>
      <c r="X39525" s="60"/>
    </row>
    <row r="39526" spans="7:24" ht="15" customHeight="1">
      <c r="G39526"/>
      <c r="I39526"/>
      <c r="N39526"/>
      <c r="O39526" s="24"/>
      <c r="P39526"/>
      <c r="Q39526" s="24"/>
      <c r="R39526"/>
      <c r="S39526"/>
      <c r="T39526"/>
      <c r="U39526"/>
      <c r="X39526" s="60"/>
    </row>
    <row r="39527" spans="7:24" ht="15" customHeight="1">
      <c r="G39527"/>
      <c r="I39527"/>
      <c r="N39527"/>
      <c r="O39527" s="24"/>
      <c r="P39527"/>
      <c r="Q39527" s="24"/>
      <c r="R39527"/>
      <c r="S39527"/>
      <c r="T39527"/>
      <c r="U39527"/>
      <c r="X39527" s="60"/>
    </row>
    <row r="39528" spans="7:24" ht="15" customHeight="1">
      <c r="G39528"/>
      <c r="I39528"/>
      <c r="N39528"/>
      <c r="O39528" s="24"/>
      <c r="P39528"/>
      <c r="Q39528" s="24"/>
      <c r="R39528"/>
      <c r="S39528"/>
      <c r="T39528"/>
      <c r="U39528"/>
      <c r="X39528" s="60"/>
    </row>
    <row r="39529" spans="7:24" ht="15" customHeight="1">
      <c r="G39529"/>
      <c r="I39529"/>
      <c r="N39529"/>
      <c r="O39529" s="24"/>
      <c r="P39529"/>
      <c r="Q39529" s="24"/>
      <c r="R39529"/>
      <c r="S39529"/>
      <c r="T39529"/>
      <c r="U39529"/>
      <c r="X39529" s="60"/>
    </row>
    <row r="39530" spans="7:24" ht="15" customHeight="1">
      <c r="G39530"/>
      <c r="I39530"/>
      <c r="N39530"/>
      <c r="O39530" s="24"/>
      <c r="P39530"/>
      <c r="Q39530" s="24"/>
      <c r="R39530"/>
      <c r="S39530"/>
      <c r="T39530"/>
      <c r="U39530"/>
      <c r="X39530" s="60"/>
    </row>
    <row r="39531" spans="7:24" ht="15" customHeight="1">
      <c r="G39531"/>
      <c r="I39531"/>
      <c r="N39531"/>
      <c r="O39531" s="24"/>
      <c r="P39531"/>
      <c r="Q39531" s="24"/>
      <c r="R39531"/>
      <c r="S39531"/>
      <c r="T39531"/>
      <c r="U39531"/>
      <c r="X39531" s="60"/>
    </row>
    <row r="39532" spans="7:24" ht="15" customHeight="1">
      <c r="G39532"/>
      <c r="I39532"/>
      <c r="N39532"/>
      <c r="O39532" s="24"/>
      <c r="P39532"/>
      <c r="Q39532" s="24"/>
      <c r="R39532"/>
      <c r="S39532"/>
      <c r="T39532"/>
      <c r="U39532"/>
      <c r="X39532" s="60"/>
    </row>
    <row r="39533" spans="7:24" ht="15" customHeight="1">
      <c r="G39533"/>
      <c r="I39533"/>
      <c r="N39533"/>
      <c r="O39533" s="24"/>
      <c r="P39533"/>
      <c r="Q39533" s="24"/>
      <c r="R39533"/>
      <c r="S39533"/>
      <c r="T39533"/>
      <c r="U39533"/>
      <c r="X39533" s="60"/>
    </row>
    <row r="39534" spans="7:24" ht="15" customHeight="1">
      <c r="G39534"/>
      <c r="I39534"/>
      <c r="N39534"/>
      <c r="O39534" s="24"/>
      <c r="P39534"/>
      <c r="Q39534" s="24"/>
      <c r="R39534"/>
      <c r="S39534"/>
      <c r="T39534"/>
      <c r="U39534"/>
      <c r="X39534" s="60"/>
    </row>
    <row r="39535" spans="7:24" ht="15" customHeight="1">
      <c r="G39535"/>
      <c r="I39535"/>
      <c r="N39535"/>
      <c r="O39535" s="24"/>
      <c r="P39535"/>
      <c r="Q39535" s="24"/>
      <c r="R39535"/>
      <c r="S39535"/>
      <c r="T39535"/>
      <c r="U39535"/>
      <c r="X39535" s="60"/>
    </row>
    <row r="39536" spans="7:24" ht="15" customHeight="1">
      <c r="G39536"/>
      <c r="I39536"/>
      <c r="N39536"/>
      <c r="O39536" s="24"/>
      <c r="P39536"/>
      <c r="Q39536" s="24"/>
      <c r="R39536"/>
      <c r="S39536"/>
      <c r="T39536"/>
      <c r="U39536"/>
      <c r="X39536" s="60"/>
    </row>
    <row r="39537" spans="7:24" ht="15" customHeight="1">
      <c r="G39537"/>
      <c r="I39537"/>
      <c r="N39537"/>
      <c r="O39537" s="24"/>
      <c r="P39537"/>
      <c r="Q39537" s="24"/>
      <c r="R39537"/>
      <c r="S39537"/>
      <c r="T39537"/>
      <c r="U39537"/>
      <c r="X39537" s="60"/>
    </row>
    <row r="39538" spans="7:24" ht="15" customHeight="1">
      <c r="G39538"/>
      <c r="I39538"/>
      <c r="N39538"/>
      <c r="O39538" s="24"/>
      <c r="P39538"/>
      <c r="Q39538" s="24"/>
      <c r="R39538"/>
      <c r="S39538"/>
      <c r="T39538"/>
      <c r="U39538"/>
      <c r="X39538" s="60"/>
    </row>
    <row r="39539" spans="7:24" ht="15" customHeight="1">
      <c r="G39539"/>
      <c r="I39539"/>
      <c r="N39539"/>
      <c r="O39539" s="24"/>
      <c r="P39539"/>
      <c r="Q39539" s="24"/>
      <c r="R39539"/>
      <c r="S39539"/>
      <c r="T39539"/>
      <c r="U39539"/>
      <c r="X39539" s="60"/>
    </row>
    <row r="39540" spans="7:24" ht="15" customHeight="1">
      <c r="G39540"/>
      <c r="I39540"/>
      <c r="N39540"/>
      <c r="O39540" s="24"/>
      <c r="P39540"/>
      <c r="Q39540" s="24"/>
      <c r="R39540"/>
      <c r="S39540"/>
      <c r="T39540"/>
      <c r="U39540"/>
      <c r="X39540" s="60"/>
    </row>
    <row r="39541" spans="7:24" ht="15" customHeight="1">
      <c r="G39541"/>
      <c r="I39541"/>
      <c r="N39541"/>
      <c r="O39541" s="24"/>
      <c r="P39541"/>
      <c r="Q39541" s="24"/>
      <c r="R39541"/>
      <c r="S39541"/>
      <c r="T39541"/>
      <c r="U39541"/>
      <c r="X39541" s="60"/>
    </row>
    <row r="39542" spans="7:24" ht="15" customHeight="1">
      <c r="G39542"/>
      <c r="I39542"/>
      <c r="N39542"/>
      <c r="O39542" s="24"/>
      <c r="P39542"/>
      <c r="Q39542" s="24"/>
      <c r="R39542"/>
      <c r="S39542"/>
      <c r="T39542"/>
      <c r="U39542"/>
      <c r="X39542" s="60"/>
    </row>
    <row r="39543" spans="7:24" ht="15" customHeight="1">
      <c r="G39543"/>
      <c r="I39543"/>
      <c r="N39543"/>
      <c r="O39543" s="24"/>
      <c r="P39543"/>
      <c r="Q39543" s="24"/>
      <c r="R39543"/>
      <c r="S39543"/>
      <c r="T39543"/>
      <c r="U39543"/>
      <c r="X39543" s="60"/>
    </row>
    <row r="39544" spans="7:24" ht="15" customHeight="1">
      <c r="G39544"/>
      <c r="I39544"/>
      <c r="N39544"/>
      <c r="O39544" s="24"/>
      <c r="P39544"/>
      <c r="Q39544" s="24"/>
      <c r="R39544"/>
      <c r="S39544"/>
      <c r="T39544"/>
      <c r="U39544"/>
      <c r="X39544" s="60"/>
    </row>
    <row r="39545" spans="7:24" ht="15" customHeight="1">
      <c r="G39545"/>
      <c r="I39545"/>
      <c r="N39545"/>
      <c r="O39545" s="24"/>
      <c r="P39545"/>
      <c r="Q39545" s="24"/>
      <c r="R39545"/>
      <c r="S39545"/>
      <c r="T39545"/>
      <c r="U39545"/>
      <c r="X39545" s="60"/>
    </row>
    <row r="39546" spans="7:24" ht="15" customHeight="1">
      <c r="G39546"/>
      <c r="I39546"/>
      <c r="N39546"/>
      <c r="O39546" s="24"/>
      <c r="P39546"/>
      <c r="Q39546" s="24"/>
      <c r="R39546"/>
      <c r="S39546"/>
      <c r="T39546"/>
      <c r="U39546"/>
      <c r="X39546" s="60"/>
    </row>
    <row r="39547" spans="7:24" ht="15" customHeight="1">
      <c r="G39547"/>
      <c r="I39547"/>
      <c r="N39547"/>
      <c r="O39547" s="24"/>
      <c r="P39547"/>
      <c r="Q39547" s="24"/>
      <c r="R39547"/>
      <c r="S39547"/>
      <c r="T39547"/>
      <c r="U39547"/>
      <c r="X39547" s="60"/>
    </row>
    <row r="39548" spans="7:24" ht="15" customHeight="1">
      <c r="G39548"/>
      <c r="I39548"/>
      <c r="N39548"/>
      <c r="O39548" s="24"/>
      <c r="P39548"/>
      <c r="Q39548" s="24"/>
      <c r="R39548"/>
      <c r="S39548"/>
      <c r="T39548"/>
      <c r="U39548"/>
      <c r="X39548" s="60"/>
    </row>
    <row r="39549" spans="7:24" ht="15" customHeight="1">
      <c r="G39549"/>
      <c r="I39549"/>
      <c r="N39549"/>
      <c r="O39549" s="24"/>
      <c r="P39549"/>
      <c r="Q39549" s="24"/>
      <c r="R39549"/>
      <c r="S39549"/>
      <c r="T39549"/>
      <c r="U39549"/>
      <c r="X39549" s="60"/>
    </row>
    <row r="39550" spans="7:24" ht="15" customHeight="1">
      <c r="G39550"/>
      <c r="I39550"/>
      <c r="N39550"/>
      <c r="O39550" s="24"/>
      <c r="P39550"/>
      <c r="Q39550" s="24"/>
      <c r="R39550"/>
      <c r="S39550"/>
      <c r="T39550"/>
      <c r="U39550"/>
      <c r="X39550" s="60"/>
    </row>
    <row r="39551" spans="7:24" ht="15" customHeight="1">
      <c r="G39551"/>
      <c r="I39551"/>
      <c r="N39551"/>
      <c r="O39551" s="24"/>
      <c r="P39551"/>
      <c r="Q39551" s="24"/>
      <c r="R39551"/>
      <c r="S39551"/>
      <c r="T39551"/>
      <c r="U39551"/>
      <c r="X39551" s="60"/>
    </row>
    <row r="39552" spans="7:24" ht="15" customHeight="1">
      <c r="G39552"/>
      <c r="I39552"/>
      <c r="N39552"/>
      <c r="O39552" s="24"/>
      <c r="P39552"/>
      <c r="Q39552" s="24"/>
      <c r="R39552"/>
      <c r="S39552"/>
      <c r="T39552"/>
      <c r="U39552"/>
      <c r="X39552" s="60"/>
    </row>
    <row r="39553" spans="7:24" ht="15" customHeight="1">
      <c r="G39553"/>
      <c r="I39553"/>
      <c r="N39553"/>
      <c r="O39553" s="24"/>
      <c r="P39553"/>
      <c r="Q39553" s="24"/>
      <c r="R39553"/>
      <c r="S39553"/>
      <c r="T39553"/>
      <c r="U39553"/>
      <c r="X39553" s="60"/>
    </row>
    <row r="39554" spans="7:24" ht="15" customHeight="1">
      <c r="G39554"/>
      <c r="I39554"/>
      <c r="N39554"/>
      <c r="O39554" s="24"/>
      <c r="P39554"/>
      <c r="Q39554" s="24"/>
      <c r="R39554"/>
      <c r="S39554"/>
      <c r="T39554"/>
      <c r="U39554"/>
      <c r="X39554" s="60"/>
    </row>
    <row r="39555" spans="7:24" ht="15" customHeight="1">
      <c r="G39555"/>
      <c r="I39555"/>
      <c r="N39555"/>
      <c r="O39555" s="24"/>
      <c r="P39555"/>
      <c r="Q39555" s="24"/>
      <c r="R39555"/>
      <c r="S39555"/>
      <c r="T39555"/>
      <c r="U39555"/>
      <c r="X39555" s="60"/>
    </row>
    <row r="39556" spans="7:24" ht="15" customHeight="1">
      <c r="G39556"/>
      <c r="I39556"/>
      <c r="N39556"/>
      <c r="O39556" s="24"/>
      <c r="P39556"/>
      <c r="Q39556" s="24"/>
      <c r="R39556"/>
      <c r="S39556"/>
      <c r="T39556"/>
      <c r="U39556"/>
      <c r="X39556" s="60"/>
    </row>
    <row r="39557" spans="7:24" ht="15" customHeight="1">
      <c r="G39557"/>
      <c r="I39557"/>
      <c r="N39557"/>
      <c r="O39557" s="24"/>
      <c r="P39557"/>
      <c r="Q39557" s="24"/>
      <c r="R39557"/>
      <c r="S39557"/>
      <c r="T39557"/>
      <c r="U39557"/>
      <c r="X39557" s="60"/>
    </row>
    <row r="39558" spans="7:24" ht="15" customHeight="1">
      <c r="G39558"/>
      <c r="I39558"/>
      <c r="N39558"/>
      <c r="O39558" s="24"/>
      <c r="P39558"/>
      <c r="Q39558" s="24"/>
      <c r="R39558"/>
      <c r="S39558"/>
      <c r="T39558"/>
      <c r="U39558"/>
      <c r="X39558" s="60"/>
    </row>
    <row r="39559" spans="7:24" ht="15" customHeight="1">
      <c r="G39559"/>
      <c r="I39559"/>
      <c r="N39559"/>
      <c r="O39559" s="24"/>
      <c r="P39559"/>
      <c r="Q39559" s="24"/>
      <c r="R39559"/>
      <c r="S39559"/>
      <c r="T39559"/>
      <c r="U39559"/>
      <c r="X39559" s="60"/>
    </row>
    <row r="39560" spans="7:24" ht="15" customHeight="1">
      <c r="G39560"/>
      <c r="I39560"/>
      <c r="N39560"/>
      <c r="O39560" s="24"/>
      <c r="P39560"/>
      <c r="Q39560" s="24"/>
      <c r="R39560"/>
      <c r="S39560"/>
      <c r="T39560"/>
      <c r="U39560"/>
      <c r="X39560" s="60"/>
    </row>
    <row r="39561" spans="7:24" ht="15" customHeight="1">
      <c r="G39561"/>
      <c r="I39561"/>
      <c r="N39561"/>
      <c r="O39561" s="24"/>
      <c r="P39561"/>
      <c r="Q39561" s="24"/>
      <c r="R39561"/>
      <c r="S39561"/>
      <c r="T39561"/>
      <c r="U39561"/>
      <c r="X39561" s="60"/>
    </row>
    <row r="39562" spans="7:24" ht="15" customHeight="1">
      <c r="G39562"/>
      <c r="I39562"/>
      <c r="N39562"/>
      <c r="O39562" s="24"/>
      <c r="P39562"/>
      <c r="Q39562" s="24"/>
      <c r="R39562"/>
      <c r="S39562"/>
      <c r="T39562"/>
      <c r="U39562"/>
      <c r="X39562" s="60"/>
    </row>
    <row r="39563" spans="7:24" ht="15" customHeight="1">
      <c r="G39563"/>
      <c r="I39563"/>
      <c r="N39563"/>
      <c r="O39563" s="24"/>
      <c r="P39563"/>
      <c r="Q39563" s="24"/>
      <c r="R39563"/>
      <c r="S39563"/>
      <c r="T39563"/>
      <c r="U39563"/>
      <c r="X39563" s="60"/>
    </row>
    <row r="39564" spans="7:24" ht="15" customHeight="1">
      <c r="G39564"/>
      <c r="I39564"/>
      <c r="N39564"/>
      <c r="O39564" s="24"/>
      <c r="P39564"/>
      <c r="Q39564" s="24"/>
      <c r="R39564"/>
      <c r="S39564"/>
      <c r="T39564"/>
      <c r="U39564"/>
      <c r="X39564" s="60"/>
    </row>
    <row r="39565" spans="7:24" ht="15" customHeight="1">
      <c r="G39565"/>
      <c r="I39565"/>
      <c r="N39565"/>
      <c r="O39565" s="24"/>
      <c r="P39565"/>
      <c r="Q39565" s="24"/>
      <c r="R39565"/>
      <c r="S39565"/>
      <c r="T39565"/>
      <c r="U39565"/>
      <c r="X39565" s="60"/>
    </row>
    <row r="39566" spans="7:24" ht="15" customHeight="1">
      <c r="G39566"/>
      <c r="I39566"/>
      <c r="N39566"/>
      <c r="O39566" s="24"/>
      <c r="P39566"/>
      <c r="Q39566" s="24"/>
      <c r="R39566"/>
      <c r="S39566"/>
      <c r="T39566"/>
      <c r="U39566"/>
      <c r="X39566" s="60"/>
    </row>
    <row r="39567" spans="7:24" ht="15" customHeight="1">
      <c r="G39567"/>
      <c r="I39567"/>
      <c r="N39567"/>
      <c r="O39567" s="24"/>
      <c r="P39567"/>
      <c r="Q39567" s="24"/>
      <c r="R39567"/>
      <c r="S39567"/>
      <c r="T39567"/>
      <c r="U39567"/>
      <c r="X39567" s="60"/>
    </row>
    <row r="39568" spans="7:24" ht="15" customHeight="1">
      <c r="G39568"/>
      <c r="I39568"/>
      <c r="N39568"/>
      <c r="O39568" s="24"/>
      <c r="P39568"/>
      <c r="Q39568" s="24"/>
      <c r="R39568"/>
      <c r="S39568"/>
      <c r="T39568"/>
      <c r="U39568"/>
      <c r="X39568" s="60"/>
    </row>
    <row r="39569" spans="7:24" ht="15" customHeight="1">
      <c r="G39569"/>
      <c r="I39569"/>
      <c r="N39569"/>
      <c r="O39569" s="24"/>
      <c r="P39569"/>
      <c r="Q39569" s="24"/>
      <c r="R39569"/>
      <c r="S39569"/>
      <c r="T39569"/>
      <c r="U39569"/>
      <c r="X39569" s="60"/>
    </row>
    <row r="39570" spans="7:24" ht="15" customHeight="1">
      <c r="G39570"/>
      <c r="I39570"/>
      <c r="N39570"/>
      <c r="O39570" s="24"/>
      <c r="P39570"/>
      <c r="Q39570" s="24"/>
      <c r="R39570"/>
      <c r="S39570"/>
      <c r="T39570"/>
      <c r="U39570"/>
      <c r="X39570" s="60"/>
    </row>
    <row r="39571" spans="7:24" ht="15" customHeight="1">
      <c r="G39571"/>
      <c r="I39571"/>
      <c r="N39571"/>
      <c r="O39571" s="24"/>
      <c r="P39571"/>
      <c r="Q39571" s="24"/>
      <c r="R39571"/>
      <c r="S39571"/>
      <c r="T39571"/>
      <c r="U39571"/>
      <c r="X39571" s="60"/>
    </row>
    <row r="39572" spans="7:24" ht="15" customHeight="1">
      <c r="G39572"/>
      <c r="I39572"/>
      <c r="N39572"/>
      <c r="O39572" s="24"/>
      <c r="P39572"/>
      <c r="Q39572" s="24"/>
      <c r="R39572"/>
      <c r="S39572"/>
      <c r="T39572"/>
      <c r="U39572"/>
      <c r="X39572" s="60"/>
    </row>
    <row r="39573" spans="7:24" ht="15" customHeight="1">
      <c r="G39573"/>
      <c r="I39573"/>
      <c r="N39573"/>
      <c r="O39573" s="24"/>
      <c r="P39573"/>
      <c r="Q39573" s="24"/>
      <c r="R39573"/>
      <c r="S39573"/>
      <c r="T39573"/>
      <c r="U39573"/>
      <c r="X39573" s="60"/>
    </row>
    <row r="39574" spans="7:24" ht="15" customHeight="1">
      <c r="G39574"/>
      <c r="I39574"/>
      <c r="N39574"/>
      <c r="O39574" s="24"/>
      <c r="P39574"/>
      <c r="Q39574" s="24"/>
      <c r="R39574"/>
      <c r="S39574"/>
      <c r="T39574"/>
      <c r="U39574"/>
      <c r="X39574" s="60"/>
    </row>
    <row r="39575" spans="7:24" ht="15" customHeight="1">
      <c r="G39575"/>
      <c r="I39575"/>
      <c r="N39575"/>
      <c r="O39575" s="24"/>
      <c r="P39575"/>
      <c r="Q39575" s="24"/>
      <c r="R39575"/>
      <c r="S39575"/>
      <c r="T39575"/>
      <c r="U39575"/>
      <c r="X39575" s="60"/>
    </row>
    <row r="39576" spans="7:24" ht="15" customHeight="1">
      <c r="G39576"/>
      <c r="I39576"/>
      <c r="N39576"/>
      <c r="O39576" s="24"/>
      <c r="P39576"/>
      <c r="Q39576" s="24"/>
      <c r="R39576"/>
      <c r="S39576"/>
      <c r="T39576"/>
      <c r="U39576"/>
      <c r="X39576" s="60"/>
    </row>
    <row r="39577" spans="7:24" ht="15" customHeight="1">
      <c r="G39577"/>
      <c r="I39577"/>
      <c r="N39577"/>
      <c r="O39577" s="24"/>
      <c r="P39577"/>
      <c r="Q39577" s="24"/>
      <c r="R39577"/>
      <c r="S39577"/>
      <c r="T39577"/>
      <c r="U39577"/>
      <c r="X39577" s="60"/>
    </row>
    <row r="39578" spans="7:24" ht="15" customHeight="1">
      <c r="G39578"/>
      <c r="I39578"/>
      <c r="N39578"/>
      <c r="O39578" s="24"/>
      <c r="P39578"/>
      <c r="Q39578" s="24"/>
      <c r="R39578"/>
      <c r="S39578"/>
      <c r="T39578"/>
      <c r="U39578"/>
      <c r="X39578" s="60"/>
    </row>
    <row r="39579" spans="7:24" ht="15" customHeight="1">
      <c r="G39579"/>
      <c r="I39579"/>
      <c r="N39579"/>
      <c r="O39579" s="24"/>
      <c r="P39579"/>
      <c r="Q39579" s="24"/>
      <c r="R39579"/>
      <c r="S39579"/>
      <c r="T39579"/>
      <c r="U39579"/>
      <c r="X39579" s="60"/>
    </row>
    <row r="39580" spans="7:24" ht="15" customHeight="1">
      <c r="G39580"/>
      <c r="I39580"/>
      <c r="N39580"/>
      <c r="O39580" s="24"/>
      <c r="P39580"/>
      <c r="Q39580" s="24"/>
      <c r="R39580"/>
      <c r="S39580"/>
      <c r="T39580"/>
      <c r="U39580"/>
      <c r="X39580" s="60"/>
    </row>
    <row r="39581" spans="7:24" ht="15" customHeight="1">
      <c r="G39581"/>
      <c r="I39581"/>
      <c r="N39581"/>
      <c r="O39581" s="24"/>
      <c r="P39581"/>
      <c r="Q39581" s="24"/>
      <c r="R39581"/>
      <c r="S39581"/>
      <c r="T39581"/>
      <c r="U39581"/>
      <c r="X39581" s="60"/>
    </row>
    <row r="39582" spans="7:24" ht="15" customHeight="1">
      <c r="G39582"/>
      <c r="I39582"/>
      <c r="N39582"/>
      <c r="O39582" s="24"/>
      <c r="P39582"/>
      <c r="Q39582" s="24"/>
      <c r="R39582"/>
      <c r="S39582"/>
      <c r="T39582"/>
      <c r="U39582"/>
      <c r="X39582" s="60"/>
    </row>
    <row r="39583" spans="7:24" ht="15" customHeight="1">
      <c r="G39583"/>
      <c r="I39583"/>
      <c r="N39583"/>
      <c r="O39583" s="24"/>
      <c r="P39583"/>
      <c r="Q39583" s="24"/>
      <c r="R39583"/>
      <c r="S39583"/>
      <c r="T39583"/>
      <c r="U39583"/>
      <c r="X39583" s="60"/>
    </row>
    <row r="39584" spans="7:24" ht="15" customHeight="1">
      <c r="G39584"/>
      <c r="I39584"/>
      <c r="N39584"/>
      <c r="O39584" s="24"/>
      <c r="P39584"/>
      <c r="Q39584" s="24"/>
      <c r="R39584"/>
      <c r="S39584"/>
      <c r="T39584"/>
      <c r="U39584"/>
      <c r="X39584" s="60"/>
    </row>
    <row r="39585" spans="7:24" ht="15" customHeight="1">
      <c r="G39585"/>
      <c r="I39585"/>
      <c r="N39585"/>
      <c r="O39585" s="24"/>
      <c r="P39585"/>
      <c r="Q39585" s="24"/>
      <c r="R39585"/>
      <c r="S39585"/>
      <c r="T39585"/>
      <c r="U39585"/>
      <c r="X39585" s="60"/>
    </row>
    <row r="39586" spans="7:24" ht="15" customHeight="1">
      <c r="G39586"/>
      <c r="I39586"/>
      <c r="N39586"/>
      <c r="O39586" s="24"/>
      <c r="P39586"/>
      <c r="Q39586" s="24"/>
      <c r="R39586"/>
      <c r="S39586"/>
      <c r="T39586"/>
      <c r="U39586"/>
      <c r="X39586" s="60"/>
    </row>
    <row r="39587" spans="7:24" ht="15" customHeight="1">
      <c r="G39587"/>
      <c r="I39587"/>
      <c r="N39587"/>
      <c r="O39587" s="24"/>
      <c r="P39587"/>
      <c r="Q39587" s="24"/>
      <c r="R39587"/>
      <c r="S39587"/>
      <c r="T39587"/>
      <c r="U39587"/>
      <c r="X39587" s="60"/>
    </row>
    <row r="39588" spans="7:24" ht="15" customHeight="1">
      <c r="G39588"/>
      <c r="I39588"/>
      <c r="N39588"/>
      <c r="O39588" s="24"/>
      <c r="P39588"/>
      <c r="Q39588" s="24"/>
      <c r="R39588"/>
      <c r="S39588"/>
      <c r="T39588"/>
      <c r="U39588"/>
      <c r="X39588" s="60"/>
    </row>
    <row r="39589" spans="7:24" ht="15" customHeight="1">
      <c r="G39589"/>
      <c r="I39589"/>
      <c r="N39589"/>
      <c r="O39589" s="24"/>
      <c r="P39589"/>
      <c r="Q39589" s="24"/>
      <c r="R39589"/>
      <c r="S39589"/>
      <c r="T39589"/>
      <c r="U39589"/>
      <c r="X39589" s="60"/>
    </row>
    <row r="39590" spans="7:24" ht="15" customHeight="1">
      <c r="G39590"/>
      <c r="I39590"/>
      <c r="N39590"/>
      <c r="O39590" s="24"/>
      <c r="P39590"/>
      <c r="Q39590" s="24"/>
      <c r="R39590"/>
      <c r="S39590"/>
      <c r="T39590"/>
      <c r="U39590"/>
      <c r="X39590" s="60"/>
    </row>
    <row r="39591" spans="7:24" ht="15" customHeight="1">
      <c r="G39591"/>
      <c r="I39591"/>
      <c r="N39591"/>
      <c r="O39591" s="24"/>
      <c r="P39591"/>
      <c r="Q39591" s="24"/>
      <c r="R39591"/>
      <c r="S39591"/>
      <c r="T39591"/>
      <c r="U39591"/>
      <c r="X39591" s="60"/>
    </row>
    <row r="39592" spans="7:24" ht="15" customHeight="1">
      <c r="G39592"/>
      <c r="I39592"/>
      <c r="N39592"/>
      <c r="O39592" s="24"/>
      <c r="P39592"/>
      <c r="Q39592" s="24"/>
      <c r="R39592"/>
      <c r="S39592"/>
      <c r="T39592"/>
      <c r="U39592"/>
      <c r="X39592" s="60"/>
    </row>
    <row r="39593" spans="7:24" ht="15" customHeight="1">
      <c r="G39593"/>
      <c r="I39593"/>
      <c r="N39593"/>
      <c r="O39593" s="24"/>
      <c r="P39593"/>
      <c r="Q39593" s="24"/>
      <c r="R39593"/>
      <c r="S39593"/>
      <c r="T39593"/>
      <c r="U39593"/>
      <c r="X39593" s="60"/>
    </row>
    <row r="39594" spans="7:24" ht="15" customHeight="1">
      <c r="G39594"/>
      <c r="I39594"/>
      <c r="N39594"/>
      <c r="O39594" s="24"/>
      <c r="P39594"/>
      <c r="Q39594" s="24"/>
      <c r="R39594"/>
      <c r="S39594"/>
      <c r="T39594"/>
      <c r="U39594"/>
      <c r="X39594" s="60"/>
    </row>
    <row r="39595" spans="7:24" ht="15" customHeight="1">
      <c r="G39595"/>
      <c r="I39595"/>
      <c r="N39595"/>
      <c r="O39595" s="24"/>
      <c r="P39595"/>
      <c r="Q39595" s="24"/>
      <c r="R39595"/>
      <c r="S39595"/>
      <c r="T39595"/>
      <c r="U39595"/>
      <c r="X39595" s="60"/>
    </row>
    <row r="39596" spans="7:24" ht="15" customHeight="1">
      <c r="G39596"/>
      <c r="I39596"/>
      <c r="N39596"/>
      <c r="O39596" s="24"/>
      <c r="P39596"/>
      <c r="Q39596" s="24"/>
      <c r="R39596"/>
      <c r="S39596"/>
      <c r="T39596"/>
      <c r="U39596"/>
      <c r="X39596" s="60"/>
    </row>
    <row r="39597" spans="7:24" ht="15" customHeight="1">
      <c r="G39597"/>
      <c r="I39597"/>
      <c r="N39597"/>
      <c r="O39597" s="24"/>
      <c r="P39597"/>
      <c r="Q39597" s="24"/>
      <c r="R39597"/>
      <c r="S39597"/>
      <c r="T39597"/>
      <c r="U39597"/>
      <c r="X39597" s="60"/>
    </row>
    <row r="39598" spans="7:24" ht="15" customHeight="1">
      <c r="G39598"/>
      <c r="I39598"/>
      <c r="N39598"/>
      <c r="O39598" s="24"/>
      <c r="P39598"/>
      <c r="Q39598" s="24"/>
      <c r="R39598"/>
      <c r="S39598"/>
      <c r="T39598"/>
      <c r="U39598"/>
      <c r="X39598" s="60"/>
    </row>
    <row r="39599" spans="7:24" ht="15" customHeight="1">
      <c r="G39599"/>
      <c r="I39599"/>
      <c r="N39599"/>
      <c r="O39599" s="24"/>
      <c r="P39599"/>
      <c r="Q39599" s="24"/>
      <c r="R39599"/>
      <c r="S39599"/>
      <c r="T39599"/>
      <c r="U39599"/>
      <c r="X39599" s="60"/>
    </row>
    <row r="39600" spans="7:24" ht="15" customHeight="1">
      <c r="G39600"/>
      <c r="I39600"/>
      <c r="N39600"/>
      <c r="O39600" s="24"/>
      <c r="P39600"/>
      <c r="Q39600" s="24"/>
      <c r="R39600"/>
      <c r="S39600"/>
      <c r="T39600"/>
      <c r="U39600"/>
      <c r="X39600" s="60"/>
    </row>
    <row r="39601" spans="7:24" ht="15" customHeight="1">
      <c r="G39601"/>
      <c r="I39601"/>
      <c r="N39601"/>
      <c r="O39601" s="24"/>
      <c r="P39601"/>
      <c r="Q39601" s="24"/>
      <c r="R39601"/>
      <c r="S39601"/>
      <c r="T39601"/>
      <c r="U39601"/>
      <c r="X39601" s="60"/>
    </row>
    <row r="39602" spans="7:24" ht="15" customHeight="1">
      <c r="G39602"/>
      <c r="I39602"/>
      <c r="N39602"/>
      <c r="O39602" s="24"/>
      <c r="P39602"/>
      <c r="Q39602" s="24"/>
      <c r="R39602"/>
      <c r="S39602"/>
      <c r="T39602"/>
      <c r="U39602"/>
      <c r="X39602" s="60"/>
    </row>
    <row r="39603" spans="7:24" ht="15" customHeight="1">
      <c r="G39603"/>
      <c r="I39603"/>
      <c r="N39603"/>
      <c r="O39603" s="24"/>
      <c r="P39603"/>
      <c r="Q39603" s="24"/>
      <c r="R39603"/>
      <c r="S39603"/>
      <c r="T39603"/>
      <c r="U39603"/>
      <c r="X39603" s="60"/>
    </row>
    <row r="39604" spans="7:24" ht="15" customHeight="1">
      <c r="G39604"/>
      <c r="I39604"/>
      <c r="N39604"/>
      <c r="O39604" s="24"/>
      <c r="P39604"/>
      <c r="Q39604" s="24"/>
      <c r="R39604"/>
      <c r="S39604"/>
      <c r="T39604"/>
      <c r="U39604"/>
      <c r="X39604" s="60"/>
    </row>
    <row r="39605" spans="7:24" ht="15" customHeight="1">
      <c r="G39605"/>
      <c r="I39605"/>
      <c r="N39605"/>
      <c r="O39605" s="24"/>
      <c r="P39605"/>
      <c r="Q39605" s="24"/>
      <c r="R39605"/>
      <c r="S39605"/>
      <c r="T39605"/>
      <c r="U39605"/>
      <c r="X39605" s="60"/>
    </row>
    <row r="39606" spans="7:24" ht="15" customHeight="1">
      <c r="G39606"/>
      <c r="I39606"/>
      <c r="N39606"/>
      <c r="O39606" s="24"/>
      <c r="P39606"/>
      <c r="Q39606" s="24"/>
      <c r="R39606"/>
      <c r="S39606"/>
      <c r="T39606"/>
      <c r="U39606"/>
      <c r="X39606" s="60"/>
    </row>
    <row r="39607" spans="7:24" ht="15" customHeight="1">
      <c r="G39607"/>
      <c r="I39607"/>
      <c r="N39607"/>
      <c r="O39607" s="24"/>
      <c r="P39607"/>
      <c r="Q39607" s="24"/>
      <c r="R39607"/>
      <c r="S39607"/>
      <c r="T39607"/>
      <c r="U39607"/>
      <c r="X39607" s="60"/>
    </row>
    <row r="39608" spans="7:24" ht="15" customHeight="1">
      <c r="G39608"/>
      <c r="I39608"/>
      <c r="N39608"/>
      <c r="O39608" s="24"/>
      <c r="P39608"/>
      <c r="Q39608" s="24"/>
      <c r="R39608"/>
      <c r="S39608"/>
      <c r="T39608"/>
      <c r="U39608"/>
      <c r="X39608" s="60"/>
    </row>
    <row r="39609" spans="7:24" ht="15" customHeight="1">
      <c r="G39609"/>
      <c r="I39609"/>
      <c r="N39609"/>
      <c r="O39609" s="24"/>
      <c r="P39609"/>
      <c r="Q39609" s="24"/>
      <c r="R39609"/>
      <c r="S39609"/>
      <c r="T39609"/>
      <c r="U39609"/>
      <c r="X39609" s="60"/>
    </row>
    <row r="39610" spans="7:24" ht="15" customHeight="1">
      <c r="G39610"/>
      <c r="I39610"/>
      <c r="N39610"/>
      <c r="O39610" s="24"/>
      <c r="P39610"/>
      <c r="Q39610" s="24"/>
      <c r="R39610"/>
      <c r="S39610"/>
      <c r="T39610"/>
      <c r="U39610"/>
      <c r="X39610" s="60"/>
    </row>
    <row r="39611" spans="7:24" ht="15" customHeight="1">
      <c r="G39611"/>
      <c r="I39611"/>
      <c r="N39611"/>
      <c r="O39611" s="24"/>
      <c r="P39611"/>
      <c r="Q39611" s="24"/>
      <c r="R39611"/>
      <c r="S39611"/>
      <c r="T39611"/>
      <c r="U39611"/>
      <c r="X39611" s="60"/>
    </row>
    <row r="39612" spans="7:24" ht="15" customHeight="1">
      <c r="G39612"/>
      <c r="I39612"/>
      <c r="N39612"/>
      <c r="O39612" s="24"/>
      <c r="P39612"/>
      <c r="Q39612" s="24"/>
      <c r="R39612"/>
      <c r="S39612"/>
      <c r="T39612"/>
      <c r="U39612"/>
      <c r="X39612" s="60"/>
    </row>
    <row r="39613" spans="7:24" ht="15" customHeight="1">
      <c r="G39613"/>
      <c r="I39613"/>
      <c r="N39613"/>
      <c r="O39613" s="24"/>
      <c r="P39613"/>
      <c r="Q39613" s="24"/>
      <c r="R39613"/>
      <c r="S39613"/>
      <c r="T39613"/>
      <c r="U39613"/>
      <c r="X39613" s="60"/>
    </row>
    <row r="39614" spans="7:24" ht="15" customHeight="1">
      <c r="G39614"/>
      <c r="I39614"/>
      <c r="N39614"/>
      <c r="O39614" s="24"/>
      <c r="P39614"/>
      <c r="Q39614" s="24"/>
      <c r="R39614"/>
      <c r="S39614"/>
      <c r="T39614"/>
      <c r="U39614"/>
      <c r="X39614" s="60"/>
    </row>
    <row r="39615" spans="7:24" ht="15" customHeight="1">
      <c r="G39615"/>
      <c r="I39615"/>
      <c r="N39615"/>
      <c r="O39615" s="24"/>
      <c r="P39615"/>
      <c r="Q39615" s="24"/>
      <c r="R39615"/>
      <c r="S39615"/>
      <c r="T39615"/>
      <c r="U39615"/>
      <c r="X39615" s="60"/>
    </row>
    <row r="39616" spans="7:24" ht="15" customHeight="1">
      <c r="G39616"/>
      <c r="I39616"/>
      <c r="N39616"/>
      <c r="O39616" s="24"/>
      <c r="P39616"/>
      <c r="Q39616" s="24"/>
      <c r="R39616"/>
      <c r="S39616"/>
      <c r="T39616"/>
      <c r="U39616"/>
      <c r="X39616" s="60"/>
    </row>
    <row r="39617" spans="7:24" ht="15" customHeight="1">
      <c r="G39617"/>
      <c r="I39617"/>
      <c r="N39617"/>
      <c r="O39617" s="24"/>
      <c r="P39617"/>
      <c r="Q39617" s="24"/>
      <c r="R39617"/>
      <c r="S39617"/>
      <c r="T39617"/>
      <c r="U39617"/>
      <c r="X39617" s="60"/>
    </row>
    <row r="39618" spans="7:24" ht="15" customHeight="1">
      <c r="G39618"/>
      <c r="I39618"/>
      <c r="N39618"/>
      <c r="O39618" s="24"/>
      <c r="P39618"/>
      <c r="Q39618" s="24"/>
      <c r="R39618"/>
      <c r="S39618"/>
      <c r="T39618"/>
      <c r="U39618"/>
      <c r="X39618" s="60"/>
    </row>
    <row r="39619" spans="7:24" ht="15" customHeight="1">
      <c r="G39619"/>
      <c r="I39619"/>
      <c r="N39619"/>
      <c r="O39619" s="24"/>
      <c r="P39619"/>
      <c r="Q39619" s="24"/>
      <c r="R39619"/>
      <c r="S39619"/>
      <c r="T39619"/>
      <c r="U39619"/>
      <c r="X39619" s="60"/>
    </row>
    <row r="39620" spans="7:24" ht="15" customHeight="1">
      <c r="G39620"/>
      <c r="I39620"/>
      <c r="N39620"/>
      <c r="O39620" s="24"/>
      <c r="P39620"/>
      <c r="Q39620" s="24"/>
      <c r="R39620"/>
      <c r="S39620"/>
      <c r="T39620"/>
      <c r="U39620"/>
      <c r="X39620" s="60"/>
    </row>
    <row r="39621" spans="7:24" ht="15" customHeight="1">
      <c r="G39621"/>
      <c r="I39621"/>
      <c r="N39621"/>
      <c r="O39621" s="24"/>
      <c r="P39621"/>
      <c r="Q39621" s="24"/>
      <c r="R39621"/>
      <c r="S39621"/>
      <c r="T39621"/>
      <c r="U39621"/>
      <c r="X39621" s="60"/>
    </row>
    <row r="39622" spans="7:24" ht="15" customHeight="1">
      <c r="G39622"/>
      <c r="I39622"/>
      <c r="N39622"/>
      <c r="O39622" s="24"/>
      <c r="P39622"/>
      <c r="Q39622" s="24"/>
      <c r="R39622"/>
      <c r="S39622"/>
      <c r="T39622"/>
      <c r="U39622"/>
      <c r="X39622" s="60"/>
    </row>
    <row r="39623" spans="7:24" ht="15" customHeight="1">
      <c r="G39623"/>
      <c r="I39623"/>
      <c r="N39623"/>
      <c r="O39623" s="24"/>
      <c r="P39623"/>
      <c r="Q39623" s="24"/>
      <c r="R39623"/>
      <c r="S39623"/>
      <c r="T39623"/>
      <c r="U39623"/>
      <c r="X39623" s="60"/>
    </row>
    <row r="39624" spans="7:24" ht="15" customHeight="1">
      <c r="G39624"/>
      <c r="I39624"/>
      <c r="N39624"/>
      <c r="O39624" s="24"/>
      <c r="P39624"/>
      <c r="Q39624" s="24"/>
      <c r="R39624"/>
      <c r="S39624"/>
      <c r="T39624"/>
      <c r="U39624"/>
      <c r="X39624" s="60"/>
    </row>
    <row r="39625" spans="7:24" ht="15" customHeight="1">
      <c r="G39625"/>
      <c r="I39625"/>
      <c r="N39625"/>
      <c r="O39625" s="24"/>
      <c r="P39625"/>
      <c r="Q39625" s="24"/>
      <c r="R39625"/>
      <c r="S39625"/>
      <c r="T39625"/>
      <c r="U39625"/>
      <c r="X39625" s="60"/>
    </row>
    <row r="39626" spans="7:24" ht="15" customHeight="1">
      <c r="G39626"/>
      <c r="I39626"/>
      <c r="N39626"/>
      <c r="O39626" s="24"/>
      <c r="P39626"/>
      <c r="Q39626" s="24"/>
      <c r="R39626"/>
      <c r="S39626"/>
      <c r="T39626"/>
      <c r="U39626"/>
      <c r="X39626" s="60"/>
    </row>
    <row r="39627" spans="7:24" ht="15" customHeight="1">
      <c r="G39627"/>
      <c r="I39627"/>
      <c r="N39627"/>
      <c r="O39627" s="24"/>
      <c r="P39627"/>
      <c r="Q39627" s="24"/>
      <c r="R39627"/>
      <c r="S39627"/>
      <c r="T39627"/>
      <c r="U39627"/>
      <c r="X39627" s="60"/>
    </row>
    <row r="39628" spans="7:24" ht="15" customHeight="1">
      <c r="G39628"/>
      <c r="I39628"/>
      <c r="N39628"/>
      <c r="O39628" s="24"/>
      <c r="P39628"/>
      <c r="Q39628" s="24"/>
      <c r="R39628"/>
      <c r="S39628"/>
      <c r="T39628"/>
      <c r="U39628"/>
      <c r="X39628" s="60"/>
    </row>
    <row r="39629" spans="7:24" ht="15" customHeight="1">
      <c r="G39629"/>
      <c r="I39629"/>
      <c r="N39629"/>
      <c r="O39629" s="24"/>
      <c r="P39629"/>
      <c r="Q39629" s="24"/>
      <c r="R39629"/>
      <c r="S39629"/>
      <c r="T39629"/>
      <c r="U39629"/>
      <c r="X39629" s="60"/>
    </row>
    <row r="39630" spans="7:24" ht="15" customHeight="1">
      <c r="G39630"/>
      <c r="I39630"/>
      <c r="N39630"/>
      <c r="O39630" s="24"/>
      <c r="P39630"/>
      <c r="Q39630" s="24"/>
      <c r="R39630"/>
      <c r="S39630"/>
      <c r="T39630"/>
      <c r="U39630"/>
      <c r="X39630" s="60"/>
    </row>
    <row r="39631" spans="7:24" ht="15" customHeight="1">
      <c r="G39631"/>
      <c r="I39631"/>
      <c r="N39631"/>
      <c r="O39631" s="24"/>
      <c r="P39631"/>
      <c r="Q39631" s="24"/>
      <c r="R39631"/>
      <c r="S39631"/>
      <c r="T39631"/>
      <c r="U39631"/>
      <c r="X39631" s="60"/>
    </row>
    <row r="39632" spans="7:24" ht="15" customHeight="1">
      <c r="G39632"/>
      <c r="I39632"/>
      <c r="N39632"/>
      <c r="O39632" s="24"/>
      <c r="P39632"/>
      <c r="Q39632" s="24"/>
      <c r="R39632"/>
      <c r="S39632"/>
      <c r="T39632"/>
      <c r="U39632"/>
      <c r="X39632" s="60"/>
    </row>
    <row r="39633" spans="7:24" ht="15" customHeight="1">
      <c r="G39633"/>
      <c r="I39633"/>
      <c r="N39633"/>
      <c r="O39633" s="24"/>
      <c r="P39633"/>
      <c r="Q39633" s="24"/>
      <c r="R39633"/>
      <c r="S39633"/>
      <c r="T39633"/>
      <c r="U39633"/>
      <c r="X39633" s="60"/>
    </row>
    <row r="39634" spans="7:24" ht="15" customHeight="1">
      <c r="G39634"/>
      <c r="I39634"/>
      <c r="N39634"/>
      <c r="O39634" s="24"/>
      <c r="P39634"/>
      <c r="Q39634" s="24"/>
      <c r="R39634"/>
      <c r="S39634"/>
      <c r="T39634"/>
      <c r="U39634"/>
      <c r="X39634" s="60"/>
    </row>
    <row r="39635" spans="7:24" ht="15" customHeight="1">
      <c r="G39635"/>
      <c r="I39635"/>
      <c r="N39635"/>
      <c r="O39635" s="24"/>
      <c r="P39635"/>
      <c r="Q39635" s="24"/>
      <c r="R39635"/>
      <c r="S39635"/>
      <c r="T39635"/>
      <c r="U39635"/>
      <c r="X39635" s="60"/>
    </row>
    <row r="39636" spans="7:24" ht="15" customHeight="1">
      <c r="G39636"/>
      <c r="I39636"/>
      <c r="N39636"/>
      <c r="O39636" s="24"/>
      <c r="P39636"/>
      <c r="Q39636" s="24"/>
      <c r="R39636"/>
      <c r="S39636"/>
      <c r="T39636"/>
      <c r="U39636"/>
      <c r="X39636" s="60"/>
    </row>
    <row r="39637" spans="7:24" ht="15" customHeight="1">
      <c r="G39637"/>
      <c r="I39637"/>
      <c r="N39637"/>
      <c r="O39637" s="24"/>
      <c r="P39637"/>
      <c r="Q39637" s="24"/>
      <c r="R39637"/>
      <c r="S39637"/>
      <c r="T39637"/>
      <c r="U39637"/>
      <c r="X39637" s="60"/>
    </row>
    <row r="39638" spans="7:24" ht="15" customHeight="1">
      <c r="G39638"/>
      <c r="I39638"/>
      <c r="N39638"/>
      <c r="O39638" s="24"/>
      <c r="P39638"/>
      <c r="Q39638" s="24"/>
      <c r="R39638"/>
      <c r="S39638"/>
      <c r="T39638"/>
      <c r="U39638"/>
      <c r="X39638" s="60"/>
    </row>
    <row r="39639" spans="7:24" ht="15" customHeight="1">
      <c r="G39639"/>
      <c r="I39639"/>
      <c r="N39639"/>
      <c r="O39639" s="24"/>
      <c r="P39639"/>
      <c r="Q39639" s="24"/>
      <c r="R39639"/>
      <c r="S39639"/>
      <c r="T39639"/>
      <c r="U39639"/>
      <c r="X39639" s="60"/>
    </row>
    <row r="39640" spans="7:24" ht="15" customHeight="1">
      <c r="G39640"/>
      <c r="I39640"/>
      <c r="N39640"/>
      <c r="O39640" s="24"/>
      <c r="P39640"/>
      <c r="Q39640" s="24"/>
      <c r="R39640"/>
      <c r="S39640"/>
      <c r="T39640"/>
      <c r="U39640"/>
      <c r="X39640" s="60"/>
    </row>
    <row r="39641" spans="7:24" ht="15" customHeight="1">
      <c r="G39641"/>
      <c r="I39641"/>
      <c r="N39641"/>
      <c r="O39641" s="24"/>
      <c r="P39641"/>
      <c r="Q39641" s="24"/>
      <c r="R39641"/>
      <c r="S39641"/>
      <c r="T39641"/>
      <c r="U39641"/>
      <c r="X39641" s="60"/>
    </row>
    <row r="39642" spans="7:24" ht="15" customHeight="1">
      <c r="G39642"/>
      <c r="I39642"/>
      <c r="N39642"/>
      <c r="O39642" s="24"/>
      <c r="P39642"/>
      <c r="Q39642" s="24"/>
      <c r="R39642"/>
      <c r="S39642"/>
      <c r="T39642"/>
      <c r="U39642"/>
      <c r="X39642" s="60"/>
    </row>
    <row r="39643" spans="7:24" ht="15" customHeight="1">
      <c r="G39643"/>
      <c r="I39643"/>
      <c r="N39643"/>
      <c r="O39643" s="24"/>
      <c r="P39643"/>
      <c r="Q39643" s="24"/>
      <c r="R39643"/>
      <c r="S39643"/>
      <c r="T39643"/>
      <c r="U39643"/>
      <c r="X39643" s="60"/>
    </row>
    <row r="39644" spans="7:24" ht="15" customHeight="1">
      <c r="G39644"/>
      <c r="I39644"/>
      <c r="N39644"/>
      <c r="O39644" s="24"/>
      <c r="P39644"/>
      <c r="Q39644" s="24"/>
      <c r="R39644"/>
      <c r="S39644"/>
      <c r="T39644"/>
      <c r="U39644"/>
      <c r="X39644" s="60"/>
    </row>
    <row r="39645" spans="7:24" ht="15" customHeight="1">
      <c r="G39645"/>
      <c r="I39645"/>
      <c r="N39645"/>
      <c r="O39645" s="24"/>
      <c r="P39645"/>
      <c r="Q39645" s="24"/>
      <c r="R39645"/>
      <c r="S39645"/>
      <c r="T39645"/>
      <c r="U39645"/>
      <c r="X39645" s="60"/>
    </row>
    <row r="39646" spans="7:24" ht="15" customHeight="1">
      <c r="G39646"/>
      <c r="I39646"/>
      <c r="N39646"/>
      <c r="O39646" s="24"/>
      <c r="P39646"/>
      <c r="Q39646" s="24"/>
      <c r="R39646"/>
      <c r="S39646"/>
      <c r="T39646"/>
      <c r="U39646"/>
      <c r="X39646" s="60"/>
    </row>
    <row r="39647" spans="7:24" ht="15" customHeight="1">
      <c r="G39647"/>
      <c r="I39647"/>
      <c r="N39647"/>
      <c r="O39647" s="24"/>
      <c r="P39647"/>
      <c r="Q39647" s="24"/>
      <c r="R39647"/>
      <c r="S39647"/>
      <c r="T39647"/>
      <c r="U39647"/>
      <c r="X39647" s="60"/>
    </row>
    <row r="39648" spans="7:24" ht="15" customHeight="1">
      <c r="G39648"/>
      <c r="I39648"/>
      <c r="N39648"/>
      <c r="O39648" s="24"/>
      <c r="P39648"/>
      <c r="Q39648" s="24"/>
      <c r="R39648"/>
      <c r="S39648"/>
      <c r="T39648"/>
      <c r="U39648"/>
      <c r="X39648" s="60"/>
    </row>
    <row r="39649" spans="7:24" ht="15" customHeight="1">
      <c r="G39649"/>
      <c r="I39649"/>
      <c r="N39649"/>
      <c r="O39649" s="24"/>
      <c r="P39649"/>
      <c r="Q39649" s="24"/>
      <c r="R39649"/>
      <c r="S39649"/>
      <c r="T39649"/>
      <c r="U39649"/>
      <c r="X39649" s="60"/>
    </row>
    <row r="39650" spans="7:24" ht="15" customHeight="1">
      <c r="G39650"/>
      <c r="I39650"/>
      <c r="N39650"/>
      <c r="O39650" s="24"/>
      <c r="P39650"/>
      <c r="Q39650" s="24"/>
      <c r="R39650"/>
      <c r="S39650"/>
      <c r="T39650"/>
      <c r="U39650"/>
      <c r="X39650" s="60"/>
    </row>
    <row r="39651" spans="7:24" ht="15" customHeight="1">
      <c r="G39651"/>
      <c r="I39651"/>
      <c r="N39651"/>
      <c r="O39651" s="24"/>
      <c r="P39651"/>
      <c r="Q39651" s="24"/>
      <c r="R39651"/>
      <c r="S39651"/>
      <c r="T39651"/>
      <c r="U39651"/>
      <c r="X39651" s="60"/>
    </row>
    <row r="39652" spans="7:24" ht="15" customHeight="1">
      <c r="G39652"/>
      <c r="I39652"/>
      <c r="N39652"/>
      <c r="O39652" s="24"/>
      <c r="P39652"/>
      <c r="Q39652" s="24"/>
      <c r="R39652"/>
      <c r="S39652"/>
      <c r="T39652"/>
      <c r="U39652"/>
      <c r="X39652" s="60"/>
    </row>
    <row r="39653" spans="7:24" ht="15" customHeight="1">
      <c r="G39653"/>
      <c r="I39653"/>
      <c r="N39653"/>
      <c r="O39653" s="24"/>
      <c r="P39653"/>
      <c r="Q39653" s="24"/>
      <c r="R39653"/>
      <c r="S39653"/>
      <c r="T39653"/>
      <c r="U39653"/>
      <c r="X39653" s="60"/>
    </row>
    <row r="39654" spans="7:24" ht="15" customHeight="1">
      <c r="G39654"/>
      <c r="I39654"/>
      <c r="N39654"/>
      <c r="O39654" s="24"/>
      <c r="P39654"/>
      <c r="Q39654" s="24"/>
      <c r="R39654"/>
      <c r="S39654"/>
      <c r="T39654"/>
      <c r="U39654"/>
      <c r="X39654" s="60"/>
    </row>
    <row r="39655" spans="7:24" ht="15" customHeight="1">
      <c r="G39655"/>
      <c r="I39655"/>
      <c r="N39655"/>
      <c r="O39655" s="24"/>
      <c r="P39655"/>
      <c r="Q39655" s="24"/>
      <c r="R39655"/>
      <c r="S39655"/>
      <c r="T39655"/>
      <c r="U39655"/>
      <c r="X39655" s="60"/>
    </row>
    <row r="39656" spans="7:24" ht="15" customHeight="1">
      <c r="G39656"/>
      <c r="I39656"/>
      <c r="N39656"/>
      <c r="O39656" s="24"/>
      <c r="P39656"/>
      <c r="Q39656" s="24"/>
      <c r="R39656"/>
      <c r="S39656"/>
      <c r="T39656"/>
      <c r="U39656"/>
      <c r="X39656" s="60"/>
    </row>
    <row r="39657" spans="7:24" ht="15" customHeight="1">
      <c r="G39657"/>
      <c r="I39657"/>
      <c r="N39657"/>
      <c r="O39657" s="24"/>
      <c r="P39657"/>
      <c r="Q39657" s="24"/>
      <c r="R39657"/>
      <c r="S39657"/>
      <c r="T39657"/>
      <c r="U39657"/>
      <c r="X39657" s="60"/>
    </row>
    <row r="39658" spans="7:24" ht="15" customHeight="1">
      <c r="G39658"/>
      <c r="I39658"/>
      <c r="N39658"/>
      <c r="O39658" s="24"/>
      <c r="P39658"/>
      <c r="Q39658" s="24"/>
      <c r="R39658"/>
      <c r="S39658"/>
      <c r="T39658"/>
      <c r="U39658"/>
      <c r="X39658" s="60"/>
    </row>
    <row r="39659" spans="7:24" ht="15" customHeight="1">
      <c r="G39659"/>
      <c r="I39659"/>
      <c r="N39659"/>
      <c r="O39659" s="24"/>
      <c r="P39659"/>
      <c r="Q39659" s="24"/>
      <c r="R39659"/>
      <c r="S39659"/>
      <c r="T39659"/>
      <c r="U39659"/>
      <c r="X39659" s="60"/>
    </row>
    <row r="39660" spans="7:24" ht="15" customHeight="1">
      <c r="G39660"/>
      <c r="I39660"/>
      <c r="N39660"/>
      <c r="O39660" s="24"/>
      <c r="P39660"/>
      <c r="Q39660" s="24"/>
      <c r="R39660"/>
      <c r="S39660"/>
      <c r="T39660"/>
      <c r="U39660"/>
      <c r="X39660" s="60"/>
    </row>
    <row r="39661" spans="7:24" ht="15" customHeight="1">
      <c r="G39661"/>
      <c r="I39661"/>
      <c r="N39661"/>
      <c r="O39661" s="24"/>
      <c r="P39661"/>
      <c r="Q39661" s="24"/>
      <c r="R39661"/>
      <c r="S39661"/>
      <c r="T39661"/>
      <c r="U39661"/>
      <c r="X39661" s="60"/>
    </row>
    <row r="39662" spans="7:24" ht="15" customHeight="1">
      <c r="G39662"/>
      <c r="I39662"/>
      <c r="N39662"/>
      <c r="O39662" s="24"/>
      <c r="P39662"/>
      <c r="Q39662" s="24"/>
      <c r="R39662"/>
      <c r="S39662"/>
      <c r="T39662"/>
      <c r="U39662"/>
      <c r="X39662" s="60"/>
    </row>
    <row r="39663" spans="7:24" ht="15" customHeight="1">
      <c r="G39663"/>
      <c r="I39663"/>
      <c r="N39663"/>
      <c r="O39663" s="24"/>
      <c r="P39663"/>
      <c r="Q39663" s="24"/>
      <c r="R39663"/>
      <c r="S39663"/>
      <c r="T39663"/>
      <c r="U39663"/>
      <c r="X39663" s="60"/>
    </row>
    <row r="39664" spans="7:24" ht="15" customHeight="1">
      <c r="G39664"/>
      <c r="I39664"/>
      <c r="N39664"/>
      <c r="O39664" s="24"/>
      <c r="P39664"/>
      <c r="Q39664" s="24"/>
      <c r="R39664"/>
      <c r="S39664"/>
      <c r="T39664"/>
      <c r="U39664"/>
      <c r="X39664" s="60"/>
    </row>
    <row r="39665" spans="7:24" ht="15" customHeight="1">
      <c r="G39665"/>
      <c r="I39665"/>
      <c r="N39665"/>
      <c r="O39665" s="24"/>
      <c r="P39665"/>
      <c r="Q39665" s="24"/>
      <c r="R39665"/>
      <c r="S39665"/>
      <c r="T39665"/>
      <c r="U39665"/>
      <c r="X39665" s="60"/>
    </row>
    <row r="39666" spans="7:24" ht="15" customHeight="1">
      <c r="G39666"/>
      <c r="I39666"/>
      <c r="N39666"/>
      <c r="O39666" s="24"/>
      <c r="P39666"/>
      <c r="Q39666" s="24"/>
      <c r="R39666"/>
      <c r="S39666"/>
      <c r="T39666"/>
      <c r="U39666"/>
      <c r="X39666" s="60"/>
    </row>
    <row r="39667" spans="7:24" ht="15" customHeight="1">
      <c r="G39667"/>
      <c r="I39667"/>
      <c r="N39667"/>
      <c r="O39667" s="24"/>
      <c r="P39667"/>
      <c r="Q39667" s="24"/>
      <c r="R39667"/>
      <c r="S39667"/>
      <c r="T39667"/>
      <c r="U39667"/>
      <c r="X39667" s="60"/>
    </row>
    <row r="39668" spans="7:24" ht="15" customHeight="1">
      <c r="G39668"/>
      <c r="I39668"/>
      <c r="N39668"/>
      <c r="O39668" s="24"/>
      <c r="P39668"/>
      <c r="Q39668" s="24"/>
      <c r="R39668"/>
      <c r="S39668"/>
      <c r="T39668"/>
      <c r="U39668"/>
      <c r="X39668" s="60"/>
    </row>
    <row r="39669" spans="7:24" ht="15" customHeight="1">
      <c r="G39669"/>
      <c r="I39669"/>
      <c r="N39669"/>
      <c r="O39669" s="24"/>
      <c r="P39669"/>
      <c r="Q39669" s="24"/>
      <c r="R39669"/>
      <c r="S39669"/>
      <c r="T39669"/>
      <c r="U39669"/>
      <c r="X39669" s="60"/>
    </row>
    <row r="39670" spans="7:24" ht="15" customHeight="1">
      <c r="G39670"/>
      <c r="I39670"/>
      <c r="N39670"/>
      <c r="O39670" s="24"/>
      <c r="P39670"/>
      <c r="Q39670" s="24"/>
      <c r="R39670"/>
      <c r="S39670"/>
      <c r="T39670"/>
      <c r="U39670"/>
      <c r="X39670" s="60"/>
    </row>
    <row r="39671" spans="7:24" ht="15" customHeight="1">
      <c r="G39671"/>
      <c r="I39671"/>
      <c r="N39671"/>
      <c r="O39671" s="24"/>
      <c r="P39671"/>
      <c r="Q39671" s="24"/>
      <c r="R39671"/>
      <c r="S39671"/>
      <c r="T39671"/>
      <c r="U39671"/>
      <c r="X39671" s="60"/>
    </row>
    <row r="39672" spans="7:24" ht="15" customHeight="1">
      <c r="G39672"/>
      <c r="I39672"/>
      <c r="N39672"/>
      <c r="O39672" s="24"/>
      <c r="P39672"/>
      <c r="Q39672" s="24"/>
      <c r="R39672"/>
      <c r="S39672"/>
      <c r="T39672"/>
      <c r="U39672"/>
      <c r="X39672" s="60"/>
    </row>
    <row r="39673" spans="7:24" ht="15" customHeight="1">
      <c r="G39673"/>
      <c r="I39673"/>
      <c r="N39673"/>
      <c r="O39673" s="24"/>
      <c r="P39673"/>
      <c r="Q39673" s="24"/>
      <c r="R39673"/>
      <c r="S39673"/>
      <c r="T39673"/>
      <c r="U39673"/>
      <c r="X39673" s="60"/>
    </row>
    <row r="39674" spans="7:24" ht="15" customHeight="1">
      <c r="G39674"/>
      <c r="I39674"/>
      <c r="N39674"/>
      <c r="O39674" s="24"/>
      <c r="P39674"/>
      <c r="Q39674" s="24"/>
      <c r="R39674"/>
      <c r="S39674"/>
      <c r="T39674"/>
      <c r="U39674"/>
      <c r="X39674" s="60"/>
    </row>
    <row r="39675" spans="7:24" ht="15" customHeight="1">
      <c r="G39675"/>
      <c r="I39675"/>
      <c r="N39675"/>
      <c r="O39675" s="24"/>
      <c r="P39675"/>
      <c r="Q39675" s="24"/>
      <c r="R39675"/>
      <c r="S39675"/>
      <c r="T39675"/>
      <c r="U39675"/>
      <c r="X39675" s="60"/>
    </row>
    <row r="39676" spans="7:24" ht="15" customHeight="1">
      <c r="G39676"/>
      <c r="I39676"/>
      <c r="N39676"/>
      <c r="O39676" s="24"/>
      <c r="P39676"/>
      <c r="Q39676" s="24"/>
      <c r="R39676"/>
      <c r="S39676"/>
      <c r="T39676"/>
      <c r="U39676"/>
      <c r="X39676" s="60"/>
    </row>
    <row r="39677" spans="7:24" ht="15" customHeight="1">
      <c r="G39677"/>
      <c r="I39677"/>
      <c r="N39677"/>
      <c r="O39677" s="24"/>
      <c r="P39677"/>
      <c r="Q39677" s="24"/>
      <c r="R39677"/>
      <c r="S39677"/>
      <c r="T39677"/>
      <c r="U39677"/>
      <c r="X39677" s="60"/>
    </row>
    <row r="39678" spans="7:24" ht="15" customHeight="1">
      <c r="G39678"/>
      <c r="I39678"/>
      <c r="N39678"/>
      <c r="O39678" s="24"/>
      <c r="P39678"/>
      <c r="Q39678" s="24"/>
      <c r="R39678"/>
      <c r="S39678"/>
      <c r="T39678"/>
      <c r="U39678"/>
      <c r="X39678" s="60"/>
    </row>
    <row r="39679" spans="7:24" ht="15" customHeight="1">
      <c r="G39679"/>
      <c r="I39679"/>
      <c r="N39679"/>
      <c r="O39679" s="24"/>
      <c r="P39679"/>
      <c r="Q39679" s="24"/>
      <c r="R39679"/>
      <c r="S39679"/>
      <c r="T39679"/>
      <c r="U39679"/>
      <c r="X39679" s="60"/>
    </row>
    <row r="39680" spans="7:24" ht="15" customHeight="1">
      <c r="G39680"/>
      <c r="I39680"/>
      <c r="N39680"/>
      <c r="O39680" s="24"/>
      <c r="P39680"/>
      <c r="Q39680" s="24"/>
      <c r="R39680"/>
      <c r="S39680"/>
      <c r="T39680"/>
      <c r="U39680"/>
      <c r="X39680" s="60"/>
    </row>
    <row r="39681" spans="7:24" ht="15" customHeight="1">
      <c r="G39681"/>
      <c r="I39681"/>
      <c r="N39681"/>
      <c r="O39681" s="24"/>
      <c r="P39681"/>
      <c r="Q39681" s="24"/>
      <c r="R39681"/>
      <c r="S39681"/>
      <c r="T39681"/>
      <c r="U39681"/>
      <c r="X39681" s="60"/>
    </row>
    <row r="39682" spans="7:24" ht="15" customHeight="1">
      <c r="G39682"/>
      <c r="I39682"/>
      <c r="N39682"/>
      <c r="O39682" s="24"/>
      <c r="P39682"/>
      <c r="Q39682" s="24"/>
      <c r="R39682"/>
      <c r="S39682"/>
      <c r="T39682"/>
      <c r="U39682"/>
      <c r="X39682" s="60"/>
    </row>
    <row r="39683" spans="7:24" ht="15" customHeight="1">
      <c r="G39683"/>
      <c r="I39683"/>
      <c r="N39683"/>
      <c r="O39683" s="24"/>
      <c r="P39683"/>
      <c r="Q39683" s="24"/>
      <c r="R39683"/>
      <c r="S39683"/>
      <c r="T39683"/>
      <c r="U39683"/>
      <c r="X39683" s="60"/>
    </row>
    <row r="39684" spans="7:24" ht="15" customHeight="1">
      <c r="G39684"/>
      <c r="I39684"/>
      <c r="N39684"/>
      <c r="O39684" s="24"/>
      <c r="P39684"/>
      <c r="Q39684" s="24"/>
      <c r="R39684"/>
      <c r="S39684"/>
      <c r="T39684"/>
      <c r="U39684"/>
      <c r="X39684" s="60"/>
    </row>
    <row r="39685" spans="7:24" ht="15" customHeight="1">
      <c r="G39685"/>
      <c r="I39685"/>
      <c r="N39685"/>
      <c r="O39685" s="24"/>
      <c r="P39685"/>
      <c r="Q39685" s="24"/>
      <c r="R39685"/>
      <c r="S39685"/>
      <c r="T39685"/>
      <c r="U39685"/>
      <c r="X39685" s="60"/>
    </row>
    <row r="39686" spans="7:24" ht="15" customHeight="1">
      <c r="G39686"/>
      <c r="I39686"/>
      <c r="N39686"/>
      <c r="O39686" s="24"/>
      <c r="P39686"/>
      <c r="Q39686" s="24"/>
      <c r="R39686"/>
      <c r="S39686"/>
      <c r="T39686"/>
      <c r="U39686"/>
      <c r="X39686" s="60"/>
    </row>
    <row r="39687" spans="7:24" ht="15" customHeight="1">
      <c r="G39687"/>
      <c r="I39687"/>
      <c r="N39687"/>
      <c r="O39687" s="24"/>
      <c r="P39687"/>
      <c r="Q39687" s="24"/>
      <c r="R39687"/>
      <c r="S39687"/>
      <c r="T39687"/>
      <c r="U39687"/>
      <c r="X39687" s="60"/>
    </row>
    <row r="39688" spans="7:24" ht="15" customHeight="1">
      <c r="G39688"/>
      <c r="I39688"/>
      <c r="N39688"/>
      <c r="O39688" s="24"/>
      <c r="P39688"/>
      <c r="Q39688" s="24"/>
      <c r="R39688"/>
      <c r="S39688"/>
      <c r="T39688"/>
      <c r="U39688"/>
      <c r="X39688" s="60"/>
    </row>
    <row r="39689" spans="7:24" ht="15" customHeight="1">
      <c r="G39689"/>
      <c r="I39689"/>
      <c r="N39689"/>
      <c r="O39689" s="24"/>
      <c r="P39689"/>
      <c r="Q39689" s="24"/>
      <c r="R39689"/>
      <c r="S39689"/>
      <c r="T39689"/>
      <c r="U39689"/>
      <c r="X39689" s="60"/>
    </row>
    <row r="39690" spans="7:24" ht="15" customHeight="1">
      <c r="G39690"/>
      <c r="I39690"/>
      <c r="N39690"/>
      <c r="O39690" s="24"/>
      <c r="P39690"/>
      <c r="Q39690" s="24"/>
      <c r="R39690"/>
      <c r="S39690"/>
      <c r="T39690"/>
      <c r="U39690"/>
      <c r="X39690" s="60"/>
    </row>
    <row r="39691" spans="7:24" ht="15" customHeight="1">
      <c r="G39691"/>
      <c r="I39691"/>
      <c r="N39691"/>
      <c r="O39691" s="24"/>
      <c r="P39691"/>
      <c r="Q39691" s="24"/>
      <c r="R39691"/>
      <c r="S39691"/>
      <c r="T39691"/>
      <c r="U39691"/>
      <c r="X39691" s="60"/>
    </row>
    <row r="39692" spans="7:24" ht="15" customHeight="1">
      <c r="G39692"/>
      <c r="I39692"/>
      <c r="N39692"/>
      <c r="O39692" s="24"/>
      <c r="P39692"/>
      <c r="Q39692" s="24"/>
      <c r="R39692"/>
      <c r="S39692"/>
      <c r="T39692"/>
      <c r="U39692"/>
      <c r="X39692" s="60"/>
    </row>
    <row r="39693" spans="7:24" ht="15" customHeight="1">
      <c r="G39693"/>
      <c r="I39693"/>
      <c r="N39693"/>
      <c r="O39693" s="24"/>
      <c r="P39693"/>
      <c r="Q39693" s="24"/>
      <c r="R39693"/>
      <c r="S39693"/>
      <c r="T39693"/>
      <c r="U39693"/>
      <c r="X39693" s="60"/>
    </row>
    <row r="39694" spans="7:24" ht="15" customHeight="1">
      <c r="G39694"/>
      <c r="I39694"/>
      <c r="N39694"/>
      <c r="O39694" s="24"/>
      <c r="P39694"/>
      <c r="Q39694" s="24"/>
      <c r="R39694"/>
      <c r="S39694"/>
      <c r="T39694"/>
      <c r="U39694"/>
      <c r="X39694" s="60"/>
    </row>
    <row r="39695" spans="7:24" ht="15" customHeight="1">
      <c r="G39695"/>
      <c r="I39695"/>
      <c r="N39695"/>
      <c r="O39695" s="24"/>
      <c r="P39695"/>
      <c r="Q39695" s="24"/>
      <c r="R39695"/>
      <c r="S39695"/>
      <c r="T39695"/>
      <c r="U39695"/>
      <c r="X39695" s="60"/>
    </row>
    <row r="39696" spans="7:24" ht="15" customHeight="1">
      <c r="G39696"/>
      <c r="I39696"/>
      <c r="N39696"/>
      <c r="O39696" s="24"/>
      <c r="P39696"/>
      <c r="Q39696" s="24"/>
      <c r="R39696"/>
      <c r="S39696"/>
      <c r="T39696"/>
      <c r="U39696"/>
      <c r="X39696" s="60"/>
    </row>
    <row r="39697" spans="7:24" ht="15" customHeight="1">
      <c r="G39697"/>
      <c r="I39697"/>
      <c r="N39697"/>
      <c r="O39697" s="24"/>
      <c r="P39697"/>
      <c r="Q39697" s="24"/>
      <c r="R39697"/>
      <c r="S39697"/>
      <c r="T39697"/>
      <c r="U39697"/>
      <c r="X39697" s="60"/>
    </row>
    <row r="39698" spans="7:24" ht="15" customHeight="1">
      <c r="G39698"/>
      <c r="I39698"/>
      <c r="N39698"/>
      <c r="O39698" s="24"/>
      <c r="P39698"/>
      <c r="Q39698" s="24"/>
      <c r="R39698"/>
      <c r="S39698"/>
      <c r="T39698"/>
      <c r="U39698"/>
      <c r="X39698" s="60"/>
    </row>
    <row r="39699" spans="7:24" ht="15" customHeight="1">
      <c r="G39699"/>
      <c r="I39699"/>
      <c r="N39699"/>
      <c r="O39699" s="24"/>
      <c r="P39699"/>
      <c r="Q39699" s="24"/>
      <c r="R39699"/>
      <c r="S39699"/>
      <c r="T39699"/>
      <c r="U39699"/>
      <c r="X39699" s="60"/>
    </row>
    <row r="39700" spans="7:24" ht="15" customHeight="1">
      <c r="G39700"/>
      <c r="I39700"/>
      <c r="N39700"/>
      <c r="O39700" s="24"/>
      <c r="P39700"/>
      <c r="Q39700" s="24"/>
      <c r="R39700"/>
      <c r="S39700"/>
      <c r="T39700"/>
      <c r="U39700"/>
      <c r="X39700" s="60"/>
    </row>
    <row r="39701" spans="7:24" ht="15" customHeight="1">
      <c r="G39701"/>
      <c r="I39701"/>
      <c r="N39701"/>
      <c r="O39701" s="24"/>
      <c r="P39701"/>
      <c r="Q39701" s="24"/>
      <c r="R39701"/>
      <c r="S39701"/>
      <c r="T39701"/>
      <c r="U39701"/>
      <c r="X39701" s="60"/>
    </row>
    <row r="39702" spans="7:24" ht="15" customHeight="1">
      <c r="G39702"/>
      <c r="I39702"/>
      <c r="N39702"/>
      <c r="O39702" s="24"/>
      <c r="P39702"/>
      <c r="Q39702" s="24"/>
      <c r="R39702"/>
      <c r="S39702"/>
      <c r="T39702"/>
      <c r="U39702"/>
      <c r="X39702" s="60"/>
    </row>
    <row r="39703" spans="7:24" ht="15" customHeight="1">
      <c r="G39703"/>
      <c r="I39703"/>
      <c r="N39703"/>
      <c r="O39703" s="24"/>
      <c r="P39703"/>
      <c r="Q39703" s="24"/>
      <c r="R39703"/>
      <c r="S39703"/>
      <c r="T39703"/>
      <c r="U39703"/>
      <c r="X39703" s="60"/>
    </row>
    <row r="39704" spans="7:24" ht="15" customHeight="1">
      <c r="G39704"/>
      <c r="I39704"/>
      <c r="N39704"/>
      <c r="O39704" s="24"/>
      <c r="P39704"/>
      <c r="Q39704" s="24"/>
      <c r="R39704"/>
      <c r="S39704"/>
      <c r="T39704"/>
      <c r="U39704"/>
      <c r="X39704" s="60"/>
    </row>
    <row r="39705" spans="7:24" ht="15" customHeight="1">
      <c r="G39705"/>
      <c r="I39705"/>
      <c r="N39705"/>
      <c r="O39705" s="24"/>
      <c r="P39705"/>
      <c r="Q39705" s="24"/>
      <c r="R39705"/>
      <c r="S39705"/>
      <c r="T39705"/>
      <c r="U39705"/>
      <c r="X39705" s="60"/>
    </row>
    <row r="39706" spans="7:24" ht="15" customHeight="1">
      <c r="G39706"/>
      <c r="I39706"/>
      <c r="N39706"/>
      <c r="O39706" s="24"/>
      <c r="P39706"/>
      <c r="Q39706" s="24"/>
      <c r="R39706"/>
      <c r="S39706"/>
      <c r="T39706"/>
      <c r="U39706"/>
      <c r="X39706" s="60"/>
    </row>
    <row r="39707" spans="7:24" ht="15" customHeight="1">
      <c r="G39707"/>
      <c r="I39707"/>
      <c r="N39707"/>
      <c r="O39707" s="24"/>
      <c r="P39707"/>
      <c r="Q39707" s="24"/>
      <c r="R39707"/>
      <c r="S39707"/>
      <c r="T39707"/>
      <c r="U39707"/>
      <c r="X39707" s="60"/>
    </row>
    <row r="39708" spans="7:24" ht="15" customHeight="1">
      <c r="G39708"/>
      <c r="I39708"/>
      <c r="N39708"/>
      <c r="O39708" s="24"/>
      <c r="P39708"/>
      <c r="Q39708" s="24"/>
      <c r="R39708"/>
      <c r="S39708"/>
      <c r="T39708"/>
      <c r="U39708"/>
      <c r="X39708" s="60"/>
    </row>
    <row r="39709" spans="7:24" ht="15" customHeight="1">
      <c r="G39709"/>
      <c r="I39709"/>
      <c r="N39709"/>
      <c r="O39709" s="24"/>
      <c r="P39709"/>
      <c r="Q39709" s="24"/>
      <c r="R39709"/>
      <c r="S39709"/>
      <c r="T39709"/>
      <c r="U39709"/>
      <c r="X39709" s="60"/>
    </row>
    <row r="39710" spans="7:24" ht="15" customHeight="1">
      <c r="G39710"/>
      <c r="I39710"/>
      <c r="N39710"/>
      <c r="O39710" s="24"/>
      <c r="P39710"/>
      <c r="Q39710" s="24"/>
      <c r="R39710"/>
      <c r="S39710"/>
      <c r="T39710"/>
      <c r="U39710"/>
      <c r="X39710" s="60"/>
    </row>
    <row r="39711" spans="7:24" ht="15" customHeight="1">
      <c r="G39711"/>
      <c r="I39711"/>
      <c r="N39711"/>
      <c r="O39711" s="24"/>
      <c r="P39711"/>
      <c r="Q39711" s="24"/>
      <c r="R39711"/>
      <c r="S39711"/>
      <c r="T39711"/>
      <c r="U39711"/>
      <c r="X39711" s="60"/>
    </row>
    <row r="39712" spans="7:24" ht="15" customHeight="1">
      <c r="G39712"/>
      <c r="I39712"/>
      <c r="N39712"/>
      <c r="O39712" s="24"/>
      <c r="P39712"/>
      <c r="Q39712" s="24"/>
      <c r="R39712"/>
      <c r="S39712"/>
      <c r="T39712"/>
      <c r="U39712"/>
      <c r="X39712" s="60"/>
    </row>
    <row r="39713" spans="7:24" ht="15" customHeight="1">
      <c r="G39713"/>
      <c r="I39713"/>
      <c r="N39713"/>
      <c r="O39713" s="24"/>
      <c r="P39713"/>
      <c r="Q39713" s="24"/>
      <c r="R39713"/>
      <c r="S39713"/>
      <c r="T39713"/>
      <c r="U39713"/>
      <c r="X39713" s="60"/>
    </row>
    <row r="39714" spans="7:24" ht="15" customHeight="1">
      <c r="G39714"/>
      <c r="I39714"/>
      <c r="N39714"/>
      <c r="O39714" s="24"/>
      <c r="P39714"/>
      <c r="Q39714" s="24"/>
      <c r="R39714"/>
      <c r="S39714"/>
      <c r="T39714"/>
      <c r="U39714"/>
      <c r="X39714" s="60"/>
    </row>
    <row r="39715" spans="7:24" ht="15" customHeight="1">
      <c r="G39715"/>
      <c r="I39715"/>
      <c r="N39715"/>
      <c r="O39715" s="24"/>
      <c r="P39715"/>
      <c r="Q39715" s="24"/>
      <c r="R39715"/>
      <c r="S39715"/>
      <c r="T39715"/>
      <c r="U39715"/>
      <c r="X39715" s="60"/>
    </row>
    <row r="39716" spans="7:24" ht="15" customHeight="1">
      <c r="G39716"/>
      <c r="I39716"/>
      <c r="N39716"/>
      <c r="O39716" s="24"/>
      <c r="P39716"/>
      <c r="Q39716" s="24"/>
      <c r="R39716"/>
      <c r="S39716"/>
      <c r="T39716"/>
      <c r="U39716"/>
      <c r="X39716" s="60"/>
    </row>
    <row r="39717" spans="7:24" ht="15" customHeight="1">
      <c r="G39717"/>
      <c r="I39717"/>
      <c r="N39717"/>
      <c r="O39717" s="24"/>
      <c r="P39717"/>
      <c r="Q39717" s="24"/>
      <c r="R39717"/>
      <c r="S39717"/>
      <c r="T39717"/>
      <c r="U39717"/>
      <c r="X39717" s="60"/>
    </row>
    <row r="39718" spans="7:24" ht="15" customHeight="1">
      <c r="G39718"/>
      <c r="I39718"/>
      <c r="N39718"/>
      <c r="O39718" s="24"/>
      <c r="P39718"/>
      <c r="Q39718" s="24"/>
      <c r="R39718"/>
      <c r="S39718"/>
      <c r="T39718"/>
      <c r="U39718"/>
      <c r="X39718" s="60"/>
    </row>
    <row r="39719" spans="7:24" ht="15" customHeight="1">
      <c r="G39719"/>
      <c r="I39719"/>
      <c r="N39719"/>
      <c r="O39719" s="24"/>
      <c r="P39719"/>
      <c r="Q39719" s="24"/>
      <c r="R39719"/>
      <c r="S39719"/>
      <c r="T39719"/>
      <c r="U39719"/>
      <c r="X39719" s="60"/>
    </row>
    <row r="39720" spans="7:24" ht="15" customHeight="1">
      <c r="G39720"/>
      <c r="I39720"/>
      <c r="N39720"/>
      <c r="O39720" s="24"/>
      <c r="P39720"/>
      <c r="Q39720" s="24"/>
      <c r="R39720"/>
      <c r="S39720"/>
      <c r="T39720"/>
      <c r="U39720"/>
      <c r="X39720" s="60"/>
    </row>
    <row r="39721" spans="7:24" ht="15" customHeight="1">
      <c r="G39721"/>
      <c r="I39721"/>
      <c r="N39721"/>
      <c r="O39721" s="24"/>
      <c r="P39721"/>
      <c r="Q39721" s="24"/>
      <c r="R39721"/>
      <c r="S39721"/>
      <c r="T39721"/>
      <c r="U39721"/>
      <c r="X39721" s="60"/>
    </row>
    <row r="39722" spans="7:24" ht="15" customHeight="1">
      <c r="G39722"/>
      <c r="I39722"/>
      <c r="N39722"/>
      <c r="O39722" s="24"/>
      <c r="P39722"/>
      <c r="Q39722" s="24"/>
      <c r="R39722"/>
      <c r="S39722"/>
      <c r="T39722"/>
      <c r="U39722"/>
      <c r="X39722" s="60"/>
    </row>
    <row r="39723" spans="7:24" ht="15" customHeight="1">
      <c r="G39723"/>
      <c r="I39723"/>
      <c r="N39723"/>
      <c r="O39723" s="24"/>
      <c r="P39723"/>
      <c r="Q39723" s="24"/>
      <c r="R39723"/>
      <c r="S39723"/>
      <c r="T39723"/>
      <c r="U39723"/>
      <c r="X39723" s="60"/>
    </row>
    <row r="39724" spans="7:24" ht="15" customHeight="1">
      <c r="G39724"/>
      <c r="I39724"/>
      <c r="N39724"/>
      <c r="O39724" s="24"/>
      <c r="P39724"/>
      <c r="Q39724" s="24"/>
      <c r="R39724"/>
      <c r="S39724"/>
      <c r="T39724"/>
      <c r="U39724"/>
      <c r="X39724" s="60"/>
    </row>
    <row r="39725" spans="7:24" ht="15" customHeight="1">
      <c r="G39725"/>
      <c r="I39725"/>
      <c r="N39725"/>
      <c r="O39725" s="24"/>
      <c r="P39725"/>
      <c r="Q39725" s="24"/>
      <c r="R39725"/>
      <c r="S39725"/>
      <c r="T39725"/>
      <c r="U39725"/>
      <c r="X39725" s="60"/>
    </row>
    <row r="39726" spans="7:24" ht="15" customHeight="1">
      <c r="G39726"/>
      <c r="I39726"/>
      <c r="N39726"/>
      <c r="O39726" s="24"/>
      <c r="P39726"/>
      <c r="Q39726" s="24"/>
      <c r="R39726"/>
      <c r="S39726"/>
      <c r="T39726"/>
      <c r="U39726"/>
      <c r="X39726" s="60"/>
    </row>
    <row r="39727" spans="7:24" ht="15" customHeight="1">
      <c r="G39727"/>
      <c r="I39727"/>
      <c r="N39727"/>
      <c r="O39727" s="24"/>
      <c r="P39727"/>
      <c r="Q39727" s="24"/>
      <c r="R39727"/>
      <c r="S39727"/>
      <c r="T39727"/>
      <c r="U39727"/>
      <c r="X39727" s="60"/>
    </row>
    <row r="39728" spans="7:24" ht="15" customHeight="1">
      <c r="G39728"/>
      <c r="I39728"/>
      <c r="N39728"/>
      <c r="O39728" s="24"/>
      <c r="P39728"/>
      <c r="Q39728" s="24"/>
      <c r="R39728"/>
      <c r="S39728"/>
      <c r="T39728"/>
      <c r="U39728"/>
      <c r="X39728" s="60"/>
    </row>
    <row r="39729" spans="7:24" ht="15" customHeight="1">
      <c r="G39729"/>
      <c r="I39729"/>
      <c r="N39729"/>
      <c r="O39729" s="24"/>
      <c r="P39729"/>
      <c r="Q39729" s="24"/>
      <c r="R39729"/>
      <c r="S39729"/>
      <c r="T39729"/>
      <c r="U39729"/>
      <c r="X39729" s="60"/>
    </row>
    <row r="39730" spans="7:24" ht="15" customHeight="1">
      <c r="G39730"/>
      <c r="I39730"/>
      <c r="N39730"/>
      <c r="O39730" s="24"/>
      <c r="P39730"/>
      <c r="Q39730" s="24"/>
      <c r="R39730"/>
      <c r="S39730"/>
      <c r="T39730"/>
      <c r="U39730"/>
      <c r="X39730" s="60"/>
    </row>
    <row r="39731" spans="7:24" ht="15" customHeight="1">
      <c r="G39731"/>
      <c r="I39731"/>
      <c r="N39731"/>
      <c r="O39731" s="24"/>
      <c r="P39731"/>
      <c r="Q39731" s="24"/>
      <c r="R39731"/>
      <c r="S39731"/>
      <c r="T39731"/>
      <c r="U39731"/>
      <c r="X39731" s="60"/>
    </row>
    <row r="39732" spans="7:24" ht="15" customHeight="1">
      <c r="G39732"/>
      <c r="I39732"/>
      <c r="N39732"/>
      <c r="O39732" s="24"/>
      <c r="P39732"/>
      <c r="Q39732" s="24"/>
      <c r="R39732"/>
      <c r="S39732"/>
      <c r="T39732"/>
      <c r="U39732"/>
      <c r="X39732" s="60"/>
    </row>
    <row r="39733" spans="7:24" ht="15" customHeight="1">
      <c r="G39733"/>
      <c r="I39733"/>
      <c r="N39733"/>
      <c r="O39733" s="24"/>
      <c r="P39733"/>
      <c r="Q39733" s="24"/>
      <c r="R39733"/>
      <c r="S39733"/>
      <c r="T39733"/>
      <c r="U39733"/>
      <c r="X39733" s="60"/>
    </row>
    <row r="39734" spans="7:24" ht="15" customHeight="1">
      <c r="G39734"/>
      <c r="I39734"/>
      <c r="N39734"/>
      <c r="O39734" s="24"/>
      <c r="P39734"/>
      <c r="Q39734" s="24"/>
      <c r="R39734"/>
      <c r="S39734"/>
      <c r="T39734"/>
      <c r="U39734"/>
      <c r="X39734" s="60"/>
    </row>
    <row r="39735" spans="7:24" ht="15" customHeight="1">
      <c r="G39735"/>
      <c r="I39735"/>
      <c r="N39735"/>
      <c r="O39735" s="24"/>
      <c r="P39735"/>
      <c r="Q39735" s="24"/>
      <c r="R39735"/>
      <c r="S39735"/>
      <c r="T39735"/>
      <c r="U39735"/>
      <c r="X39735" s="60"/>
    </row>
    <row r="39736" spans="7:24" ht="15" customHeight="1">
      <c r="G39736"/>
      <c r="I39736"/>
      <c r="N39736"/>
      <c r="O39736" s="24"/>
      <c r="P39736"/>
      <c r="Q39736" s="24"/>
      <c r="R39736"/>
      <c r="S39736"/>
      <c r="T39736"/>
      <c r="U39736"/>
      <c r="X39736" s="60"/>
    </row>
    <row r="39737" spans="7:24" ht="15" customHeight="1">
      <c r="G39737"/>
      <c r="I39737"/>
      <c r="N39737"/>
      <c r="O39737" s="24"/>
      <c r="P39737"/>
      <c r="Q39737" s="24"/>
      <c r="R39737"/>
      <c r="S39737"/>
      <c r="T39737"/>
      <c r="U39737"/>
      <c r="X39737" s="60"/>
    </row>
    <row r="39738" spans="7:24" ht="15" customHeight="1">
      <c r="G39738"/>
      <c r="I39738"/>
      <c r="N39738"/>
      <c r="O39738" s="24"/>
      <c r="P39738"/>
      <c r="Q39738" s="24"/>
      <c r="R39738"/>
      <c r="S39738"/>
      <c r="T39738"/>
      <c r="U39738"/>
      <c r="X39738" s="60"/>
    </row>
    <row r="39739" spans="7:24" ht="15" customHeight="1">
      <c r="G39739"/>
      <c r="I39739"/>
      <c r="N39739"/>
      <c r="O39739" s="24"/>
      <c r="P39739"/>
      <c r="Q39739" s="24"/>
      <c r="R39739"/>
      <c r="S39739"/>
      <c r="T39739"/>
      <c r="U39739"/>
      <c r="X39739" s="60"/>
    </row>
    <row r="39740" spans="7:24" ht="15" customHeight="1">
      <c r="G39740"/>
      <c r="I39740"/>
      <c r="N39740"/>
      <c r="O39740" s="24"/>
      <c r="P39740"/>
      <c r="Q39740" s="24"/>
      <c r="R39740"/>
      <c r="S39740"/>
      <c r="T39740"/>
      <c r="U39740"/>
      <c r="X39740" s="60"/>
    </row>
    <row r="39741" spans="7:24" ht="15" customHeight="1">
      <c r="G39741"/>
      <c r="I39741"/>
      <c r="N39741"/>
      <c r="O39741" s="24"/>
      <c r="P39741"/>
      <c r="Q39741" s="24"/>
      <c r="R39741"/>
      <c r="S39741"/>
      <c r="T39741"/>
      <c r="U39741"/>
      <c r="X39741" s="60"/>
    </row>
    <row r="39742" spans="7:24" ht="15" customHeight="1">
      <c r="G39742"/>
      <c r="I39742"/>
      <c r="N39742"/>
      <c r="O39742" s="24"/>
      <c r="P39742"/>
      <c r="Q39742" s="24"/>
      <c r="R39742"/>
      <c r="S39742"/>
      <c r="T39742"/>
      <c r="U39742"/>
      <c r="X39742" s="60"/>
    </row>
    <row r="39743" spans="7:24" ht="15" customHeight="1">
      <c r="G39743"/>
      <c r="I39743"/>
      <c r="N39743"/>
      <c r="O39743" s="24"/>
      <c r="P39743"/>
      <c r="Q39743" s="24"/>
      <c r="R39743"/>
      <c r="S39743"/>
      <c r="T39743"/>
      <c r="U39743"/>
      <c r="X39743" s="60"/>
    </row>
    <row r="39744" spans="7:24" ht="15" customHeight="1">
      <c r="G39744"/>
      <c r="I39744"/>
      <c r="N39744"/>
      <c r="O39744" s="24"/>
      <c r="P39744"/>
      <c r="Q39744" s="24"/>
      <c r="R39744"/>
      <c r="S39744"/>
      <c r="T39744"/>
      <c r="U39744"/>
      <c r="X39744" s="60"/>
    </row>
    <row r="39745" spans="7:24" ht="15" customHeight="1">
      <c r="G39745"/>
      <c r="I39745"/>
      <c r="N39745"/>
      <c r="O39745" s="24"/>
      <c r="P39745"/>
      <c r="Q39745" s="24"/>
      <c r="R39745"/>
      <c r="S39745"/>
      <c r="T39745"/>
      <c r="U39745"/>
      <c r="X39745" s="60"/>
    </row>
    <row r="39746" spans="7:24" ht="15" customHeight="1">
      <c r="G39746"/>
      <c r="I39746"/>
      <c r="N39746"/>
      <c r="O39746" s="24"/>
      <c r="P39746"/>
      <c r="Q39746" s="24"/>
      <c r="R39746"/>
      <c r="S39746"/>
      <c r="T39746"/>
      <c r="U39746"/>
      <c r="X39746" s="60"/>
    </row>
    <row r="39747" spans="7:24" ht="15" customHeight="1">
      <c r="G39747"/>
      <c r="I39747"/>
      <c r="N39747"/>
      <c r="O39747" s="24"/>
      <c r="P39747"/>
      <c r="Q39747" s="24"/>
      <c r="R39747"/>
      <c r="S39747"/>
      <c r="T39747"/>
      <c r="U39747"/>
      <c r="X39747" s="60"/>
    </row>
    <row r="39748" spans="7:24" ht="15" customHeight="1">
      <c r="G39748"/>
      <c r="I39748"/>
      <c r="N39748"/>
      <c r="O39748" s="24"/>
      <c r="P39748"/>
      <c r="Q39748" s="24"/>
      <c r="R39748"/>
      <c r="S39748"/>
      <c r="T39748"/>
      <c r="U39748"/>
      <c r="X39748" s="60"/>
    </row>
    <row r="39749" spans="7:24" ht="15" customHeight="1">
      <c r="G39749"/>
      <c r="I39749"/>
      <c r="N39749"/>
      <c r="O39749" s="24"/>
      <c r="P39749"/>
      <c r="Q39749" s="24"/>
      <c r="R39749"/>
      <c r="S39749"/>
      <c r="T39749"/>
      <c r="U39749"/>
      <c r="X39749" s="60"/>
    </row>
    <row r="39750" spans="7:24" ht="15" customHeight="1">
      <c r="G39750"/>
      <c r="I39750"/>
      <c r="N39750"/>
      <c r="O39750" s="24"/>
      <c r="P39750"/>
      <c r="Q39750" s="24"/>
      <c r="R39750"/>
      <c r="S39750"/>
      <c r="T39750"/>
      <c r="U39750"/>
      <c r="X39750" s="60"/>
    </row>
    <row r="39751" spans="7:24" ht="15" customHeight="1">
      <c r="G39751"/>
      <c r="I39751"/>
      <c r="N39751"/>
      <c r="O39751" s="24"/>
      <c r="P39751"/>
      <c r="Q39751" s="24"/>
      <c r="R39751"/>
      <c r="S39751"/>
      <c r="T39751"/>
      <c r="U39751"/>
      <c r="X39751" s="60"/>
    </row>
    <row r="39752" spans="7:24" ht="15" customHeight="1">
      <c r="G39752"/>
      <c r="I39752"/>
      <c r="N39752"/>
      <c r="O39752" s="24"/>
      <c r="P39752"/>
      <c r="Q39752" s="24"/>
      <c r="R39752"/>
      <c r="S39752"/>
      <c r="T39752"/>
      <c r="U39752"/>
      <c r="X39752" s="60"/>
    </row>
    <row r="39753" spans="7:24" ht="15" customHeight="1">
      <c r="G39753"/>
      <c r="I39753"/>
      <c r="N39753"/>
      <c r="O39753" s="24"/>
      <c r="P39753"/>
      <c r="Q39753" s="24"/>
      <c r="R39753"/>
      <c r="S39753"/>
      <c r="T39753"/>
      <c r="U39753"/>
      <c r="X39753" s="60"/>
    </row>
    <row r="39754" spans="7:24" ht="15" customHeight="1">
      <c r="G39754"/>
      <c r="I39754"/>
      <c r="N39754"/>
      <c r="O39754" s="24"/>
      <c r="P39754"/>
      <c r="Q39754" s="24"/>
      <c r="R39754"/>
      <c r="S39754"/>
      <c r="T39754"/>
      <c r="U39754"/>
      <c r="X39754" s="60"/>
    </row>
    <row r="39755" spans="7:24" ht="15" customHeight="1">
      <c r="G39755"/>
      <c r="I39755"/>
      <c r="N39755"/>
      <c r="O39755" s="24"/>
      <c r="P39755"/>
      <c r="Q39755" s="24"/>
      <c r="R39755"/>
      <c r="S39755"/>
      <c r="T39755"/>
      <c r="U39755"/>
      <c r="X39755" s="60"/>
    </row>
    <row r="39756" spans="7:24" ht="15" customHeight="1">
      <c r="G39756"/>
      <c r="I39756"/>
      <c r="N39756"/>
      <c r="O39756" s="24"/>
      <c r="P39756"/>
      <c r="Q39756" s="24"/>
      <c r="R39756"/>
      <c r="S39756"/>
      <c r="T39756"/>
      <c r="U39756"/>
      <c r="X39756" s="60"/>
    </row>
    <row r="39757" spans="7:24" ht="15" customHeight="1">
      <c r="G39757"/>
      <c r="I39757"/>
      <c r="N39757"/>
      <c r="O39757" s="24"/>
      <c r="P39757"/>
      <c r="Q39757" s="24"/>
      <c r="R39757"/>
      <c r="S39757"/>
      <c r="T39757"/>
      <c r="U39757"/>
      <c r="X39757" s="60"/>
    </row>
    <row r="39758" spans="7:24" ht="15" customHeight="1">
      <c r="G39758"/>
      <c r="I39758"/>
      <c r="N39758"/>
      <c r="O39758" s="24"/>
      <c r="P39758"/>
      <c r="Q39758" s="24"/>
      <c r="R39758"/>
      <c r="S39758"/>
      <c r="T39758"/>
      <c r="U39758"/>
      <c r="X39758" s="60"/>
    </row>
    <row r="39759" spans="7:24" ht="15" customHeight="1">
      <c r="G39759"/>
      <c r="I39759"/>
      <c r="N39759"/>
      <c r="O39759" s="24"/>
      <c r="P39759"/>
      <c r="Q39759" s="24"/>
      <c r="R39759"/>
      <c r="S39759"/>
      <c r="T39759"/>
      <c r="U39759"/>
      <c r="X39759" s="60"/>
    </row>
    <row r="39760" spans="7:24" ht="15" customHeight="1">
      <c r="G39760"/>
      <c r="I39760"/>
      <c r="N39760"/>
      <c r="O39760" s="24"/>
      <c r="P39760"/>
      <c r="Q39760" s="24"/>
      <c r="R39760"/>
      <c r="S39760"/>
      <c r="T39760"/>
      <c r="U39760"/>
      <c r="X39760" s="60"/>
    </row>
    <row r="39761" spans="7:24" ht="15" customHeight="1">
      <c r="G39761"/>
      <c r="I39761"/>
      <c r="N39761"/>
      <c r="O39761" s="24"/>
      <c r="P39761"/>
      <c r="Q39761" s="24"/>
      <c r="R39761"/>
      <c r="S39761"/>
      <c r="T39761"/>
      <c r="U39761"/>
      <c r="X39761" s="60"/>
    </row>
    <row r="39762" spans="7:24" ht="15" customHeight="1">
      <c r="G39762"/>
      <c r="I39762"/>
      <c r="N39762"/>
      <c r="O39762" s="24"/>
      <c r="P39762"/>
      <c r="Q39762" s="24"/>
      <c r="R39762"/>
      <c r="S39762"/>
      <c r="T39762"/>
      <c r="U39762"/>
      <c r="X39762" s="60"/>
    </row>
    <row r="39763" spans="7:24" ht="15" customHeight="1">
      <c r="G39763"/>
      <c r="I39763"/>
      <c r="N39763"/>
      <c r="O39763" s="24"/>
      <c r="P39763"/>
      <c r="Q39763" s="24"/>
      <c r="R39763"/>
      <c r="S39763"/>
      <c r="T39763"/>
      <c r="U39763"/>
      <c r="X39763" s="60"/>
    </row>
    <row r="39764" spans="7:24" ht="15" customHeight="1">
      <c r="G39764"/>
      <c r="I39764"/>
      <c r="N39764"/>
      <c r="O39764" s="24"/>
      <c r="P39764"/>
      <c r="Q39764" s="24"/>
      <c r="R39764"/>
      <c r="S39764"/>
      <c r="T39764"/>
      <c r="U39764"/>
      <c r="X39764" s="60"/>
    </row>
    <row r="39765" spans="7:24" ht="15" customHeight="1">
      <c r="G39765"/>
      <c r="I39765"/>
      <c r="N39765"/>
      <c r="O39765" s="24"/>
      <c r="P39765"/>
      <c r="Q39765" s="24"/>
      <c r="R39765"/>
      <c r="S39765"/>
      <c r="T39765"/>
      <c r="U39765"/>
      <c r="X39765" s="60"/>
    </row>
    <row r="39766" spans="7:24" ht="15" customHeight="1">
      <c r="G39766"/>
      <c r="I39766"/>
      <c r="N39766"/>
      <c r="O39766" s="24"/>
      <c r="P39766"/>
      <c r="Q39766" s="24"/>
      <c r="R39766"/>
      <c r="S39766"/>
      <c r="T39766"/>
      <c r="U39766"/>
      <c r="X39766" s="60"/>
    </row>
    <row r="39767" spans="7:24" ht="15" customHeight="1">
      <c r="G39767"/>
      <c r="I39767"/>
      <c r="N39767"/>
      <c r="O39767" s="24"/>
      <c r="P39767"/>
      <c r="Q39767" s="24"/>
      <c r="R39767"/>
      <c r="S39767"/>
      <c r="T39767"/>
      <c r="U39767"/>
      <c r="X39767" s="60"/>
    </row>
    <row r="39768" spans="7:24" ht="15" customHeight="1">
      <c r="G39768"/>
      <c r="I39768"/>
      <c r="N39768"/>
      <c r="O39768" s="24"/>
      <c r="P39768"/>
      <c r="Q39768" s="24"/>
      <c r="R39768"/>
      <c r="S39768"/>
      <c r="T39768"/>
      <c r="U39768"/>
      <c r="X39768" s="60"/>
    </row>
    <row r="39769" spans="7:24" ht="15" customHeight="1">
      <c r="G39769"/>
      <c r="I39769"/>
      <c r="N39769"/>
      <c r="O39769" s="24"/>
      <c r="P39769"/>
      <c r="Q39769" s="24"/>
      <c r="R39769"/>
      <c r="S39769"/>
      <c r="T39769"/>
      <c r="U39769"/>
      <c r="X39769" s="60"/>
    </row>
    <row r="39770" spans="7:24" ht="15" customHeight="1">
      <c r="G39770"/>
      <c r="I39770"/>
      <c r="N39770"/>
      <c r="O39770" s="24"/>
      <c r="P39770"/>
      <c r="Q39770" s="24"/>
      <c r="R39770"/>
      <c r="S39770"/>
      <c r="T39770"/>
      <c r="U39770"/>
      <c r="X39770" s="60"/>
    </row>
    <row r="39771" spans="7:24" ht="15" customHeight="1">
      <c r="G39771"/>
      <c r="I39771"/>
      <c r="N39771"/>
      <c r="O39771" s="24"/>
      <c r="P39771"/>
      <c r="Q39771" s="24"/>
      <c r="R39771"/>
      <c r="S39771"/>
      <c r="T39771"/>
      <c r="U39771"/>
      <c r="X39771" s="60"/>
    </row>
    <row r="39772" spans="7:24" ht="15" customHeight="1">
      <c r="G39772"/>
      <c r="I39772"/>
      <c r="N39772"/>
      <c r="O39772" s="24"/>
      <c r="P39772"/>
      <c r="Q39772" s="24"/>
      <c r="R39772"/>
      <c r="S39772"/>
      <c r="T39772"/>
      <c r="U39772"/>
      <c r="X39772" s="60"/>
    </row>
    <row r="39773" spans="7:24" ht="15" customHeight="1">
      <c r="G39773"/>
      <c r="I39773"/>
      <c r="N39773"/>
      <c r="O39773" s="24"/>
      <c r="P39773"/>
      <c r="Q39773" s="24"/>
      <c r="R39773"/>
      <c r="S39773"/>
      <c r="T39773"/>
      <c r="U39773"/>
      <c r="X39773" s="60"/>
    </row>
    <row r="39774" spans="7:24" ht="15" customHeight="1">
      <c r="G39774"/>
      <c r="I39774"/>
      <c r="N39774"/>
      <c r="O39774" s="24"/>
      <c r="P39774"/>
      <c r="Q39774" s="24"/>
      <c r="R39774"/>
      <c r="S39774"/>
      <c r="T39774"/>
      <c r="U39774"/>
      <c r="X39774" s="60"/>
    </row>
    <row r="39775" spans="7:24" ht="15" customHeight="1">
      <c r="G39775"/>
      <c r="I39775"/>
      <c r="N39775"/>
      <c r="O39775" s="24"/>
      <c r="P39775"/>
      <c r="Q39775" s="24"/>
      <c r="R39775"/>
      <c r="S39775"/>
      <c r="T39775"/>
      <c r="U39775"/>
      <c r="X39775" s="60"/>
    </row>
    <row r="39776" spans="7:24" ht="15" customHeight="1">
      <c r="G39776"/>
      <c r="I39776"/>
      <c r="N39776"/>
      <c r="O39776" s="24"/>
      <c r="P39776"/>
      <c r="Q39776" s="24"/>
      <c r="R39776"/>
      <c r="S39776"/>
      <c r="T39776"/>
      <c r="U39776"/>
      <c r="X39776" s="60"/>
    </row>
    <row r="39777" spans="7:24" ht="15" customHeight="1">
      <c r="G39777"/>
      <c r="I39777"/>
      <c r="N39777"/>
      <c r="O39777" s="24"/>
      <c r="P39777"/>
      <c r="Q39777" s="24"/>
      <c r="R39777"/>
      <c r="S39777"/>
      <c r="T39777"/>
      <c r="U39777"/>
      <c r="X39777" s="60"/>
    </row>
    <row r="39778" spans="7:24" ht="15" customHeight="1">
      <c r="G39778"/>
      <c r="I39778"/>
      <c r="N39778"/>
      <c r="O39778" s="24"/>
      <c r="P39778"/>
      <c r="Q39778" s="24"/>
      <c r="R39778"/>
      <c r="S39778"/>
      <c r="T39778"/>
      <c r="U39778"/>
      <c r="X39778" s="60"/>
    </row>
    <row r="39779" spans="7:24" ht="15" customHeight="1">
      <c r="G39779"/>
      <c r="I39779"/>
      <c r="N39779"/>
      <c r="O39779" s="24"/>
      <c r="P39779"/>
      <c r="Q39779" s="24"/>
      <c r="R39779"/>
      <c r="S39779"/>
      <c r="T39779"/>
      <c r="U39779"/>
      <c r="X39779" s="60"/>
    </row>
    <row r="39780" spans="7:24" ht="15" customHeight="1">
      <c r="G39780"/>
      <c r="I39780"/>
      <c r="N39780"/>
      <c r="O39780" s="24"/>
      <c r="P39780"/>
      <c r="Q39780" s="24"/>
      <c r="R39780"/>
      <c r="S39780"/>
      <c r="T39780"/>
      <c r="U39780"/>
      <c r="X39780" s="60"/>
    </row>
    <row r="39781" spans="7:24" ht="15" customHeight="1">
      <c r="G39781"/>
      <c r="I39781"/>
      <c r="N39781"/>
      <c r="O39781" s="24"/>
      <c r="P39781"/>
      <c r="Q39781" s="24"/>
      <c r="R39781"/>
      <c r="S39781"/>
      <c r="T39781"/>
      <c r="U39781"/>
      <c r="X39781" s="60"/>
    </row>
    <row r="39782" spans="7:24" ht="15" customHeight="1">
      <c r="G39782"/>
      <c r="I39782"/>
      <c r="N39782"/>
      <c r="O39782" s="24"/>
      <c r="P39782"/>
      <c r="Q39782" s="24"/>
      <c r="R39782"/>
      <c r="S39782"/>
      <c r="T39782"/>
      <c r="U39782"/>
      <c r="X39782" s="60"/>
    </row>
    <row r="39783" spans="7:24" ht="15" customHeight="1">
      <c r="G39783"/>
      <c r="I39783"/>
      <c r="N39783"/>
      <c r="O39783" s="24"/>
      <c r="P39783"/>
      <c r="Q39783" s="24"/>
      <c r="R39783"/>
      <c r="S39783"/>
      <c r="T39783"/>
      <c r="U39783"/>
      <c r="X39783" s="60"/>
    </row>
    <row r="39784" spans="7:24" ht="15" customHeight="1">
      <c r="G39784"/>
      <c r="I39784"/>
      <c r="N39784"/>
      <c r="O39784" s="24"/>
      <c r="P39784"/>
      <c r="Q39784" s="24"/>
      <c r="R39784"/>
      <c r="S39784"/>
      <c r="T39784"/>
      <c r="U39784"/>
      <c r="X39784" s="60"/>
    </row>
    <row r="39785" spans="7:24" ht="15" customHeight="1">
      <c r="G39785"/>
      <c r="I39785"/>
      <c r="N39785"/>
      <c r="O39785" s="24"/>
      <c r="P39785"/>
      <c r="Q39785" s="24"/>
      <c r="R39785"/>
      <c r="S39785"/>
      <c r="T39785"/>
      <c r="U39785"/>
      <c r="X39785" s="60"/>
    </row>
    <row r="39786" spans="7:24" ht="15" customHeight="1">
      <c r="G39786"/>
      <c r="I39786"/>
      <c r="N39786"/>
      <c r="O39786" s="24"/>
      <c r="P39786"/>
      <c r="Q39786" s="24"/>
      <c r="R39786"/>
      <c r="S39786"/>
      <c r="T39786"/>
      <c r="U39786"/>
      <c r="X39786" s="60"/>
    </row>
    <row r="39787" spans="7:24" ht="15" customHeight="1">
      <c r="G39787"/>
      <c r="I39787"/>
      <c r="N39787"/>
      <c r="O39787" s="24"/>
      <c r="P39787"/>
      <c r="Q39787" s="24"/>
      <c r="R39787"/>
      <c r="S39787"/>
      <c r="T39787"/>
      <c r="U39787"/>
      <c r="X39787" s="60"/>
    </row>
    <row r="39788" spans="7:24" ht="15" customHeight="1">
      <c r="G39788"/>
      <c r="I39788"/>
      <c r="N39788"/>
      <c r="O39788" s="24"/>
      <c r="P39788"/>
      <c r="Q39788" s="24"/>
      <c r="R39788"/>
      <c r="S39788"/>
      <c r="T39788"/>
      <c r="U39788"/>
      <c r="X39788" s="60"/>
    </row>
    <row r="39789" spans="7:24" ht="15" customHeight="1">
      <c r="G39789"/>
      <c r="I39789"/>
      <c r="N39789"/>
      <c r="O39789" s="24"/>
      <c r="P39789"/>
      <c r="Q39789" s="24"/>
      <c r="R39789"/>
      <c r="S39789"/>
      <c r="T39789"/>
      <c r="U39789"/>
      <c r="X39789" s="60"/>
    </row>
    <row r="39790" spans="7:24" ht="15" customHeight="1">
      <c r="G39790"/>
      <c r="I39790"/>
      <c r="N39790"/>
      <c r="O39790" s="24"/>
      <c r="P39790"/>
      <c r="Q39790" s="24"/>
      <c r="R39790"/>
      <c r="S39790"/>
      <c r="T39790"/>
      <c r="U39790"/>
      <c r="X39790" s="60"/>
    </row>
    <row r="39791" spans="7:24" ht="15" customHeight="1">
      <c r="G39791"/>
      <c r="I39791"/>
      <c r="N39791"/>
      <c r="O39791" s="24"/>
      <c r="P39791"/>
      <c r="Q39791" s="24"/>
      <c r="R39791"/>
      <c r="S39791"/>
      <c r="T39791"/>
      <c r="U39791"/>
      <c r="X39791" s="60"/>
    </row>
    <row r="39792" spans="7:24" ht="15" customHeight="1">
      <c r="G39792"/>
      <c r="I39792"/>
      <c r="N39792"/>
      <c r="O39792" s="24"/>
      <c r="P39792"/>
      <c r="Q39792" s="24"/>
      <c r="R39792"/>
      <c r="S39792"/>
      <c r="T39792"/>
      <c r="U39792"/>
      <c r="X39792" s="60"/>
    </row>
    <row r="39793" spans="7:24" ht="15" customHeight="1">
      <c r="G39793"/>
      <c r="I39793"/>
      <c r="N39793"/>
      <c r="O39793" s="24"/>
      <c r="P39793"/>
      <c r="Q39793" s="24"/>
      <c r="R39793"/>
      <c r="S39793"/>
      <c r="T39793"/>
      <c r="U39793"/>
      <c r="X39793" s="60"/>
    </row>
    <row r="39794" spans="7:24" ht="15" customHeight="1">
      <c r="G39794"/>
      <c r="I39794"/>
      <c r="N39794"/>
      <c r="O39794" s="24"/>
      <c r="P39794"/>
      <c r="Q39794" s="24"/>
      <c r="R39794"/>
      <c r="S39794"/>
      <c r="T39794"/>
      <c r="U39794"/>
      <c r="X39794" s="60"/>
    </row>
    <row r="39795" spans="7:24" ht="15" customHeight="1">
      <c r="G39795"/>
      <c r="I39795"/>
      <c r="N39795"/>
      <c r="O39795" s="24"/>
      <c r="P39795"/>
      <c r="Q39795" s="24"/>
      <c r="R39795"/>
      <c r="S39795"/>
      <c r="T39795"/>
      <c r="U39795"/>
      <c r="X39795" s="60"/>
    </row>
    <row r="39796" spans="7:24" ht="15" customHeight="1">
      <c r="G39796"/>
      <c r="I39796"/>
      <c r="N39796"/>
      <c r="O39796" s="24"/>
      <c r="P39796"/>
      <c r="Q39796" s="24"/>
      <c r="R39796"/>
      <c r="S39796"/>
      <c r="T39796"/>
      <c r="U39796"/>
      <c r="X39796" s="60"/>
    </row>
    <row r="39797" spans="7:24" ht="15" customHeight="1">
      <c r="G39797"/>
      <c r="I39797"/>
      <c r="N39797"/>
      <c r="O39797" s="24"/>
      <c r="P39797"/>
      <c r="Q39797" s="24"/>
      <c r="R39797"/>
      <c r="S39797"/>
      <c r="T39797"/>
      <c r="U39797"/>
      <c r="X39797" s="60"/>
    </row>
    <row r="39798" spans="7:24" ht="15" customHeight="1">
      <c r="G39798"/>
      <c r="I39798"/>
      <c r="N39798"/>
      <c r="O39798" s="24"/>
      <c r="P39798"/>
      <c r="Q39798" s="24"/>
      <c r="R39798"/>
      <c r="S39798"/>
      <c r="T39798"/>
      <c r="U39798"/>
      <c r="X39798" s="60"/>
    </row>
    <row r="39799" spans="7:24" ht="15" customHeight="1">
      <c r="G39799"/>
      <c r="I39799"/>
      <c r="N39799"/>
      <c r="O39799" s="24"/>
      <c r="P39799"/>
      <c r="Q39799" s="24"/>
      <c r="R39799"/>
      <c r="S39799"/>
      <c r="T39799"/>
      <c r="U39799"/>
      <c r="X39799" s="60"/>
    </row>
    <row r="39800" spans="7:24" ht="15" customHeight="1">
      <c r="G39800"/>
      <c r="I39800"/>
      <c r="N39800"/>
      <c r="O39800" s="24"/>
      <c r="P39800"/>
      <c r="Q39800" s="24"/>
      <c r="R39800"/>
      <c r="S39800"/>
      <c r="T39800"/>
      <c r="U39800"/>
      <c r="X39800" s="60"/>
    </row>
    <row r="39801" spans="7:24" ht="15" customHeight="1">
      <c r="G39801"/>
      <c r="I39801"/>
      <c r="N39801"/>
      <c r="O39801" s="24"/>
      <c r="P39801"/>
      <c r="Q39801" s="24"/>
      <c r="R39801"/>
      <c r="S39801"/>
      <c r="T39801"/>
      <c r="U39801"/>
      <c r="X39801" s="60"/>
    </row>
    <row r="39802" spans="7:24" ht="15" customHeight="1">
      <c r="G39802"/>
      <c r="I39802"/>
      <c r="N39802"/>
      <c r="O39802" s="24"/>
      <c r="P39802"/>
      <c r="Q39802" s="24"/>
      <c r="R39802"/>
      <c r="S39802"/>
      <c r="T39802"/>
      <c r="U39802"/>
      <c r="X39802" s="60"/>
    </row>
    <row r="39803" spans="7:24" ht="15" customHeight="1">
      <c r="G39803"/>
      <c r="I39803"/>
      <c r="N39803"/>
      <c r="O39803" s="24"/>
      <c r="P39803"/>
      <c r="Q39803" s="24"/>
      <c r="R39803"/>
      <c r="S39803"/>
      <c r="T39803"/>
      <c r="U39803"/>
      <c r="X39803" s="60"/>
    </row>
    <row r="39804" spans="7:24" ht="15" customHeight="1">
      <c r="G39804"/>
      <c r="I39804"/>
      <c r="N39804"/>
      <c r="O39804" s="24"/>
      <c r="P39804"/>
      <c r="Q39804" s="24"/>
      <c r="R39804"/>
      <c r="S39804"/>
      <c r="T39804"/>
      <c r="U39804"/>
      <c r="X39804" s="60"/>
    </row>
    <row r="39805" spans="7:24" ht="15" customHeight="1">
      <c r="G39805"/>
      <c r="I39805"/>
      <c r="N39805"/>
      <c r="O39805" s="24"/>
      <c r="P39805"/>
      <c r="Q39805" s="24"/>
      <c r="R39805"/>
      <c r="S39805"/>
      <c r="T39805"/>
      <c r="U39805"/>
      <c r="X39805" s="60"/>
    </row>
    <row r="39806" spans="7:24" ht="15" customHeight="1">
      <c r="G39806"/>
      <c r="I39806"/>
      <c r="N39806"/>
      <c r="O39806" s="24"/>
      <c r="P39806"/>
      <c r="Q39806" s="24"/>
      <c r="R39806"/>
      <c r="S39806"/>
      <c r="T39806"/>
      <c r="U39806"/>
      <c r="X39806" s="60"/>
    </row>
    <row r="39807" spans="7:24" ht="15" customHeight="1">
      <c r="G39807"/>
      <c r="I39807"/>
      <c r="N39807"/>
      <c r="O39807" s="24"/>
      <c r="P39807"/>
      <c r="Q39807" s="24"/>
      <c r="R39807"/>
      <c r="S39807"/>
      <c r="T39807"/>
      <c r="U39807"/>
      <c r="X39807" s="60"/>
    </row>
    <row r="39808" spans="7:24" ht="15" customHeight="1">
      <c r="G39808"/>
      <c r="I39808"/>
      <c r="N39808"/>
      <c r="O39808" s="24"/>
      <c r="P39808"/>
      <c r="Q39808" s="24"/>
      <c r="R39808"/>
      <c r="S39808"/>
      <c r="T39808"/>
      <c r="U39808"/>
      <c r="X39808" s="60"/>
    </row>
    <row r="39809" spans="7:24" ht="15" customHeight="1">
      <c r="G39809"/>
      <c r="I39809"/>
      <c r="N39809"/>
      <c r="O39809" s="24"/>
      <c r="P39809"/>
      <c r="Q39809" s="24"/>
      <c r="R39809"/>
      <c r="S39809"/>
      <c r="T39809"/>
      <c r="U39809"/>
      <c r="X39809" s="60"/>
    </row>
    <row r="39810" spans="7:24" ht="15" customHeight="1">
      <c r="G39810"/>
      <c r="I39810"/>
      <c r="N39810"/>
      <c r="O39810" s="24"/>
      <c r="P39810"/>
      <c r="Q39810" s="24"/>
      <c r="R39810"/>
      <c r="S39810"/>
      <c r="T39810"/>
      <c r="U39810"/>
      <c r="X39810" s="60"/>
    </row>
    <row r="39811" spans="7:24" ht="15" customHeight="1">
      <c r="G39811"/>
      <c r="I39811"/>
      <c r="N39811"/>
      <c r="O39811" s="24"/>
      <c r="P39811"/>
      <c r="Q39811" s="24"/>
      <c r="R39811"/>
      <c r="S39811"/>
      <c r="T39811"/>
      <c r="U39811"/>
      <c r="X39811" s="60"/>
    </row>
    <row r="39812" spans="7:24" ht="15" customHeight="1">
      <c r="G39812"/>
      <c r="I39812"/>
      <c r="N39812"/>
      <c r="O39812" s="24"/>
      <c r="P39812"/>
      <c r="Q39812" s="24"/>
      <c r="R39812"/>
      <c r="S39812"/>
      <c r="T39812"/>
      <c r="U39812"/>
      <c r="X39812" s="60"/>
    </row>
    <row r="39813" spans="7:24" ht="15" customHeight="1">
      <c r="G39813"/>
      <c r="I39813"/>
      <c r="N39813"/>
      <c r="O39813" s="24"/>
      <c r="P39813"/>
      <c r="Q39813" s="24"/>
      <c r="R39813"/>
      <c r="S39813"/>
      <c r="T39813"/>
      <c r="U39813"/>
      <c r="X39813" s="60"/>
    </row>
    <row r="39814" spans="7:24" ht="15" customHeight="1">
      <c r="G39814"/>
      <c r="I39814"/>
      <c r="N39814"/>
      <c r="O39814" s="24"/>
      <c r="P39814"/>
      <c r="Q39814" s="24"/>
      <c r="R39814"/>
      <c r="S39814"/>
      <c r="T39814"/>
      <c r="U39814"/>
      <c r="X39814" s="60"/>
    </row>
    <row r="39815" spans="7:24" ht="15" customHeight="1">
      <c r="G39815"/>
      <c r="I39815"/>
      <c r="N39815"/>
      <c r="O39815" s="24"/>
      <c r="P39815"/>
      <c r="Q39815" s="24"/>
      <c r="R39815"/>
      <c r="S39815"/>
      <c r="T39815"/>
      <c r="U39815"/>
      <c r="X39815" s="60"/>
    </row>
    <row r="39816" spans="7:24" ht="15" customHeight="1">
      <c r="G39816"/>
      <c r="I39816"/>
      <c r="N39816"/>
      <c r="O39816" s="24"/>
      <c r="P39816"/>
      <c r="Q39816" s="24"/>
      <c r="R39816"/>
      <c r="S39816"/>
      <c r="T39816"/>
      <c r="U39816"/>
      <c r="X39816" s="60"/>
    </row>
    <row r="39817" spans="7:24" ht="15" customHeight="1">
      <c r="G39817"/>
      <c r="I39817"/>
      <c r="N39817"/>
      <c r="O39817" s="24"/>
      <c r="P39817"/>
      <c r="Q39817" s="24"/>
      <c r="R39817"/>
      <c r="S39817"/>
      <c r="T39817"/>
      <c r="U39817"/>
      <c r="X39817" s="60"/>
    </row>
    <row r="39818" spans="7:24" ht="15" customHeight="1">
      <c r="G39818"/>
      <c r="I39818"/>
      <c r="N39818"/>
      <c r="O39818" s="24"/>
      <c r="P39818"/>
      <c r="Q39818" s="24"/>
      <c r="R39818"/>
      <c r="S39818"/>
      <c r="T39818"/>
      <c r="U39818"/>
      <c r="X39818" s="60"/>
    </row>
    <row r="39819" spans="7:24" ht="15" customHeight="1">
      <c r="G39819"/>
      <c r="I39819"/>
      <c r="N39819"/>
      <c r="O39819" s="24"/>
      <c r="P39819"/>
      <c r="Q39819" s="24"/>
      <c r="R39819"/>
      <c r="S39819"/>
      <c r="T39819"/>
      <c r="U39819"/>
      <c r="X39819" s="60"/>
    </row>
    <row r="39820" spans="7:24" ht="15" customHeight="1">
      <c r="G39820"/>
      <c r="I39820"/>
      <c r="N39820"/>
      <c r="O39820" s="24"/>
      <c r="P39820"/>
      <c r="Q39820" s="24"/>
      <c r="R39820"/>
      <c r="S39820"/>
      <c r="T39820"/>
      <c r="U39820"/>
      <c r="X39820" s="60"/>
    </row>
    <row r="39821" spans="7:24" ht="15" customHeight="1">
      <c r="G39821"/>
      <c r="I39821"/>
      <c r="N39821"/>
      <c r="O39821" s="24"/>
      <c r="P39821"/>
      <c r="Q39821" s="24"/>
      <c r="R39821"/>
      <c r="S39821"/>
      <c r="T39821"/>
      <c r="U39821"/>
      <c r="X39821" s="60"/>
    </row>
    <row r="39822" spans="7:24" ht="15" customHeight="1">
      <c r="G39822"/>
      <c r="I39822"/>
      <c r="N39822"/>
      <c r="O39822" s="24"/>
      <c r="P39822"/>
      <c r="Q39822" s="24"/>
      <c r="R39822"/>
      <c r="S39822"/>
      <c r="T39822"/>
      <c r="U39822"/>
      <c r="X39822" s="60"/>
    </row>
    <row r="39823" spans="7:24" ht="15" customHeight="1">
      <c r="G39823"/>
      <c r="I39823"/>
      <c r="N39823"/>
      <c r="O39823" s="24"/>
      <c r="P39823"/>
      <c r="Q39823" s="24"/>
      <c r="R39823"/>
      <c r="S39823"/>
      <c r="T39823"/>
      <c r="U39823"/>
      <c r="X39823" s="60"/>
    </row>
    <row r="39824" spans="7:24" ht="15" customHeight="1">
      <c r="G39824"/>
      <c r="I39824"/>
      <c r="N39824"/>
      <c r="O39824" s="24"/>
      <c r="P39824"/>
      <c r="Q39824" s="24"/>
      <c r="R39824"/>
      <c r="S39824"/>
      <c r="T39824"/>
      <c r="U39824"/>
      <c r="X39824" s="60"/>
    </row>
    <row r="39825" spans="7:24" ht="15" customHeight="1">
      <c r="G39825"/>
      <c r="I39825"/>
      <c r="N39825"/>
      <c r="O39825" s="24"/>
      <c r="P39825"/>
      <c r="Q39825" s="24"/>
      <c r="R39825"/>
      <c r="S39825"/>
      <c r="T39825"/>
      <c r="U39825"/>
      <c r="X39825" s="60"/>
    </row>
    <row r="39826" spans="7:24" ht="15" customHeight="1">
      <c r="G39826"/>
      <c r="I39826"/>
      <c r="N39826"/>
      <c r="O39826" s="24"/>
      <c r="P39826"/>
      <c r="Q39826" s="24"/>
      <c r="R39826"/>
      <c r="S39826"/>
      <c r="T39826"/>
      <c r="U39826"/>
      <c r="X39826" s="60"/>
    </row>
    <row r="39827" spans="7:24" ht="15" customHeight="1">
      <c r="G39827"/>
      <c r="I39827"/>
      <c r="N39827"/>
      <c r="O39827" s="24"/>
      <c r="P39827"/>
      <c r="Q39827" s="24"/>
      <c r="R39827"/>
      <c r="S39827"/>
      <c r="T39827"/>
      <c r="U39827"/>
      <c r="X39827" s="60"/>
    </row>
    <row r="39828" spans="7:24" ht="15" customHeight="1">
      <c r="G39828"/>
      <c r="I39828"/>
      <c r="N39828"/>
      <c r="O39828" s="24"/>
      <c r="P39828"/>
      <c r="Q39828" s="24"/>
      <c r="R39828"/>
      <c r="S39828"/>
      <c r="T39828"/>
      <c r="U39828"/>
      <c r="X39828" s="60"/>
    </row>
    <row r="39829" spans="7:24" ht="15" customHeight="1">
      <c r="G39829"/>
      <c r="I39829"/>
      <c r="N39829"/>
      <c r="O39829" s="24"/>
      <c r="P39829"/>
      <c r="Q39829" s="24"/>
      <c r="R39829"/>
      <c r="S39829"/>
      <c r="T39829"/>
      <c r="U39829"/>
      <c r="X39829" s="60"/>
    </row>
    <row r="39830" spans="7:24" ht="15" customHeight="1">
      <c r="G39830"/>
      <c r="I39830"/>
      <c r="N39830"/>
      <c r="O39830" s="24"/>
      <c r="P39830"/>
      <c r="Q39830" s="24"/>
      <c r="R39830"/>
      <c r="S39830"/>
      <c r="T39830"/>
      <c r="U39830"/>
      <c r="X39830" s="60"/>
    </row>
    <row r="39831" spans="7:24" ht="15" customHeight="1">
      <c r="G39831"/>
      <c r="I39831"/>
      <c r="N39831"/>
      <c r="O39831" s="24"/>
      <c r="P39831"/>
      <c r="Q39831" s="24"/>
      <c r="R39831"/>
      <c r="S39831"/>
      <c r="T39831"/>
      <c r="U39831"/>
      <c r="X39831" s="60"/>
    </row>
    <row r="39832" spans="7:24" ht="15" customHeight="1">
      <c r="G39832"/>
      <c r="I39832"/>
      <c r="N39832"/>
      <c r="O39832" s="24"/>
      <c r="P39832"/>
      <c r="Q39832" s="24"/>
      <c r="R39832"/>
      <c r="S39832"/>
      <c r="T39832"/>
      <c r="U39832"/>
      <c r="X39832" s="60"/>
    </row>
    <row r="39833" spans="7:24" ht="15" customHeight="1">
      <c r="G39833"/>
      <c r="I39833"/>
      <c r="N39833"/>
      <c r="O39833" s="24"/>
      <c r="P39833"/>
      <c r="Q39833" s="24"/>
      <c r="R39833"/>
      <c r="S39833"/>
      <c r="T39833"/>
      <c r="U39833"/>
      <c r="X39833" s="60"/>
    </row>
    <row r="39834" spans="7:24" ht="15" customHeight="1">
      <c r="G39834"/>
      <c r="I39834"/>
      <c r="N39834"/>
      <c r="O39834" s="24"/>
      <c r="P39834"/>
      <c r="Q39834" s="24"/>
      <c r="R39834"/>
      <c r="S39834"/>
      <c r="T39834"/>
      <c r="U39834"/>
      <c r="X39834" s="60"/>
    </row>
    <row r="39835" spans="7:24" ht="15" customHeight="1">
      <c r="G39835"/>
      <c r="I39835"/>
      <c r="N39835"/>
      <c r="O39835" s="24"/>
      <c r="P39835"/>
      <c r="Q39835" s="24"/>
      <c r="R39835"/>
      <c r="S39835"/>
      <c r="T39835"/>
      <c r="U39835"/>
      <c r="X39835" s="60"/>
    </row>
    <row r="39836" spans="7:24" ht="15" customHeight="1">
      <c r="G39836"/>
      <c r="I39836"/>
      <c r="N39836"/>
      <c r="O39836" s="24"/>
      <c r="P39836"/>
      <c r="Q39836" s="24"/>
      <c r="R39836"/>
      <c r="S39836"/>
      <c r="T39836"/>
      <c r="U39836"/>
      <c r="X39836" s="60"/>
    </row>
    <row r="39837" spans="7:24" ht="15" customHeight="1">
      <c r="G39837"/>
      <c r="I39837"/>
      <c r="N39837"/>
      <c r="O39837" s="24"/>
      <c r="P39837"/>
      <c r="Q39837" s="24"/>
      <c r="R39837"/>
      <c r="S39837"/>
      <c r="T39837"/>
      <c r="U39837"/>
      <c r="X39837" s="60"/>
    </row>
    <row r="39838" spans="7:24" ht="15" customHeight="1">
      <c r="G39838"/>
      <c r="I39838"/>
      <c r="N39838"/>
      <c r="O39838" s="24"/>
      <c r="P39838"/>
      <c r="Q39838" s="24"/>
      <c r="R39838"/>
      <c r="S39838"/>
      <c r="T39838"/>
      <c r="U39838"/>
      <c r="X39838" s="60"/>
    </row>
    <row r="39839" spans="7:24" ht="15" customHeight="1">
      <c r="G39839"/>
      <c r="I39839"/>
      <c r="N39839"/>
      <c r="O39839" s="24"/>
      <c r="P39839"/>
      <c r="Q39839" s="24"/>
      <c r="R39839"/>
      <c r="S39839"/>
      <c r="T39839"/>
      <c r="U39839"/>
      <c r="X39839" s="60"/>
    </row>
    <row r="39840" spans="7:24" ht="15" customHeight="1">
      <c r="G39840"/>
      <c r="I39840"/>
      <c r="N39840"/>
      <c r="O39840" s="24"/>
      <c r="P39840"/>
      <c r="Q39840" s="24"/>
      <c r="R39840"/>
      <c r="S39840"/>
      <c r="T39840"/>
      <c r="U39840"/>
      <c r="X39840" s="60"/>
    </row>
    <row r="39841" spans="7:24" ht="15" customHeight="1">
      <c r="G39841"/>
      <c r="I39841"/>
      <c r="N39841"/>
      <c r="O39841" s="24"/>
      <c r="P39841"/>
      <c r="Q39841" s="24"/>
      <c r="R39841"/>
      <c r="S39841"/>
      <c r="T39841"/>
      <c r="U39841"/>
      <c r="X39841" s="60"/>
    </row>
    <row r="39842" spans="7:24" ht="15" customHeight="1">
      <c r="G39842"/>
      <c r="I39842"/>
      <c r="N39842"/>
      <c r="O39842" s="24"/>
      <c r="P39842"/>
      <c r="Q39842" s="24"/>
      <c r="R39842"/>
      <c r="S39842"/>
      <c r="T39842"/>
      <c r="U39842"/>
      <c r="X39842" s="60"/>
    </row>
    <row r="39843" spans="7:24" ht="15" customHeight="1">
      <c r="G39843"/>
      <c r="I39843"/>
      <c r="N39843"/>
      <c r="O39843" s="24"/>
      <c r="P39843"/>
      <c r="Q39843" s="24"/>
      <c r="R39843"/>
      <c r="S39843"/>
      <c r="T39843"/>
      <c r="U39843"/>
      <c r="X39843" s="60"/>
    </row>
    <row r="39844" spans="7:24" ht="15" customHeight="1">
      <c r="G39844"/>
      <c r="I39844"/>
      <c r="N39844"/>
      <c r="O39844" s="24"/>
      <c r="P39844"/>
      <c r="Q39844" s="24"/>
      <c r="R39844"/>
      <c r="S39844"/>
      <c r="T39844"/>
      <c r="U39844"/>
      <c r="X39844" s="60"/>
    </row>
    <row r="39845" spans="7:24" ht="15" customHeight="1">
      <c r="G39845"/>
      <c r="I39845"/>
      <c r="N39845"/>
      <c r="O39845" s="24"/>
      <c r="P39845"/>
      <c r="Q39845" s="24"/>
      <c r="R39845"/>
      <c r="S39845"/>
      <c r="T39845"/>
      <c r="U39845"/>
      <c r="X39845" s="60"/>
    </row>
    <row r="39846" spans="7:24" ht="15" customHeight="1">
      <c r="G39846"/>
      <c r="I39846"/>
      <c r="N39846"/>
      <c r="O39846" s="24"/>
      <c r="P39846"/>
      <c r="Q39846" s="24"/>
      <c r="R39846"/>
      <c r="S39846"/>
      <c r="T39846"/>
      <c r="U39846"/>
      <c r="X39846" s="60"/>
    </row>
    <row r="39847" spans="7:24" ht="15" customHeight="1">
      <c r="G39847"/>
      <c r="I39847"/>
      <c r="N39847"/>
      <c r="O39847" s="24"/>
      <c r="P39847"/>
      <c r="Q39847" s="24"/>
      <c r="R39847"/>
      <c r="S39847"/>
      <c r="T39847"/>
      <c r="U39847"/>
      <c r="X39847" s="60"/>
    </row>
    <row r="39848" spans="7:24" ht="15" customHeight="1">
      <c r="G39848"/>
      <c r="I39848"/>
      <c r="N39848"/>
      <c r="O39848" s="24"/>
      <c r="P39848"/>
      <c r="Q39848" s="24"/>
      <c r="R39848"/>
      <c r="S39848"/>
      <c r="T39848"/>
      <c r="U39848"/>
      <c r="X39848" s="60"/>
    </row>
    <row r="39849" spans="7:24" ht="15" customHeight="1">
      <c r="G39849"/>
      <c r="I39849"/>
      <c r="N39849"/>
      <c r="O39849" s="24"/>
      <c r="P39849"/>
      <c r="Q39849" s="24"/>
      <c r="R39849"/>
      <c r="S39849"/>
      <c r="T39849"/>
      <c r="U39849"/>
      <c r="X39849" s="60"/>
    </row>
    <row r="39850" spans="7:24" ht="15" customHeight="1">
      <c r="G39850"/>
      <c r="I39850"/>
      <c r="N39850"/>
      <c r="O39850" s="24"/>
      <c r="P39850"/>
      <c r="Q39850" s="24"/>
      <c r="R39850"/>
      <c r="S39850"/>
      <c r="T39850"/>
      <c r="U39850"/>
      <c r="X39850" s="60"/>
    </row>
    <row r="39851" spans="7:24" ht="15" customHeight="1">
      <c r="G39851"/>
      <c r="I39851"/>
      <c r="N39851"/>
      <c r="O39851" s="24"/>
      <c r="P39851"/>
      <c r="Q39851" s="24"/>
      <c r="R39851"/>
      <c r="S39851"/>
      <c r="T39851"/>
      <c r="U39851"/>
      <c r="X39851" s="60"/>
    </row>
    <row r="39852" spans="7:24" ht="15" customHeight="1">
      <c r="G39852"/>
      <c r="I39852"/>
      <c r="N39852"/>
      <c r="O39852" s="24"/>
      <c r="P39852"/>
      <c r="Q39852" s="24"/>
      <c r="R39852"/>
      <c r="S39852"/>
      <c r="T39852"/>
      <c r="U39852"/>
      <c r="X39852" s="60"/>
    </row>
    <row r="39853" spans="7:24" ht="15" customHeight="1">
      <c r="G39853"/>
      <c r="I39853"/>
      <c r="N39853"/>
      <c r="O39853" s="24"/>
      <c r="P39853"/>
      <c r="Q39853" s="24"/>
      <c r="R39853"/>
      <c r="S39853"/>
      <c r="T39853"/>
      <c r="U39853"/>
      <c r="X39853" s="60"/>
    </row>
    <row r="39854" spans="7:24" ht="15" customHeight="1">
      <c r="G39854"/>
      <c r="I39854"/>
      <c r="N39854"/>
      <c r="O39854" s="24"/>
      <c r="P39854"/>
      <c r="Q39854" s="24"/>
      <c r="R39854"/>
      <c r="S39854"/>
      <c r="T39854"/>
      <c r="U39854"/>
      <c r="X39854" s="60"/>
    </row>
    <row r="39855" spans="7:24" ht="15" customHeight="1">
      <c r="G39855"/>
      <c r="I39855"/>
      <c r="N39855"/>
      <c r="O39855" s="24"/>
      <c r="P39855"/>
      <c r="Q39855" s="24"/>
      <c r="R39855"/>
      <c r="S39855"/>
      <c r="T39855"/>
      <c r="U39855"/>
      <c r="X39855" s="60"/>
    </row>
    <row r="39856" spans="7:24" ht="15" customHeight="1">
      <c r="G39856"/>
      <c r="I39856"/>
      <c r="N39856"/>
      <c r="O39856" s="24"/>
      <c r="P39856"/>
      <c r="Q39856" s="24"/>
      <c r="R39856"/>
      <c r="S39856"/>
      <c r="T39856"/>
      <c r="U39856"/>
      <c r="X39856" s="60"/>
    </row>
    <row r="39857" spans="7:24" ht="15" customHeight="1">
      <c r="G39857"/>
      <c r="I39857"/>
      <c r="N39857"/>
      <c r="O39857" s="24"/>
      <c r="P39857"/>
      <c r="Q39857" s="24"/>
      <c r="R39857"/>
      <c r="S39857"/>
      <c r="T39857"/>
      <c r="U39857"/>
      <c r="X39857" s="60"/>
    </row>
    <row r="39858" spans="7:24" ht="15" customHeight="1">
      <c r="G39858"/>
      <c r="I39858"/>
      <c r="N39858"/>
      <c r="O39858" s="24"/>
      <c r="P39858"/>
      <c r="Q39858" s="24"/>
      <c r="R39858"/>
      <c r="S39858"/>
      <c r="T39858"/>
      <c r="U39858"/>
      <c r="X39858" s="60"/>
    </row>
    <row r="39859" spans="7:24" ht="15" customHeight="1">
      <c r="G39859"/>
      <c r="I39859"/>
      <c r="N39859"/>
      <c r="O39859" s="24"/>
      <c r="P39859"/>
      <c r="Q39859" s="24"/>
      <c r="R39859"/>
      <c r="S39859"/>
      <c r="T39859"/>
      <c r="U39859"/>
      <c r="X39859" s="60"/>
    </row>
    <row r="39860" spans="7:24" ht="15" customHeight="1">
      <c r="G39860"/>
      <c r="I39860"/>
      <c r="N39860"/>
      <c r="O39860" s="24"/>
      <c r="P39860"/>
      <c r="Q39860" s="24"/>
      <c r="R39860"/>
      <c r="S39860"/>
      <c r="T39860"/>
      <c r="U39860"/>
      <c r="X39860" s="60"/>
    </row>
    <row r="39861" spans="7:24" ht="15" customHeight="1">
      <c r="G39861"/>
      <c r="I39861"/>
      <c r="N39861"/>
      <c r="O39861" s="24"/>
      <c r="P39861"/>
      <c r="Q39861" s="24"/>
      <c r="R39861"/>
      <c r="S39861"/>
      <c r="T39861"/>
      <c r="U39861"/>
      <c r="X39861" s="60"/>
    </row>
    <row r="39862" spans="7:24" ht="15" customHeight="1">
      <c r="G39862"/>
      <c r="I39862"/>
      <c r="N39862"/>
      <c r="O39862" s="24"/>
      <c r="P39862"/>
      <c r="Q39862" s="24"/>
      <c r="R39862"/>
      <c r="S39862"/>
      <c r="T39862"/>
      <c r="U39862"/>
      <c r="X39862" s="60"/>
    </row>
    <row r="39863" spans="7:24" ht="15" customHeight="1">
      <c r="G39863"/>
      <c r="I39863"/>
      <c r="N39863"/>
      <c r="O39863" s="24"/>
      <c r="P39863"/>
      <c r="Q39863" s="24"/>
      <c r="R39863"/>
      <c r="S39863"/>
      <c r="T39863"/>
      <c r="U39863"/>
      <c r="X39863" s="60"/>
    </row>
    <row r="39864" spans="7:24" ht="15" customHeight="1">
      <c r="G39864"/>
      <c r="I39864"/>
      <c r="N39864"/>
      <c r="O39864" s="24"/>
      <c r="P39864"/>
      <c r="Q39864" s="24"/>
      <c r="R39864"/>
      <c r="S39864"/>
      <c r="T39864"/>
      <c r="U39864"/>
      <c r="X39864" s="60"/>
    </row>
    <row r="39865" spans="7:24" ht="15" customHeight="1">
      <c r="G39865"/>
      <c r="I39865"/>
      <c r="N39865"/>
      <c r="O39865" s="24"/>
      <c r="P39865"/>
      <c r="Q39865" s="24"/>
      <c r="R39865"/>
      <c r="S39865"/>
      <c r="T39865"/>
      <c r="U39865"/>
      <c r="X39865" s="60"/>
    </row>
    <row r="39866" spans="7:24" ht="15" customHeight="1">
      <c r="G39866"/>
      <c r="I39866"/>
      <c r="N39866"/>
      <c r="O39866" s="24"/>
      <c r="P39866"/>
      <c r="Q39866" s="24"/>
      <c r="R39866"/>
      <c r="S39866"/>
      <c r="T39866"/>
      <c r="U39866"/>
      <c r="X39866" s="60"/>
    </row>
    <row r="39867" spans="7:24" ht="15" customHeight="1">
      <c r="G39867"/>
      <c r="I39867"/>
      <c r="N39867"/>
      <c r="O39867" s="24"/>
      <c r="P39867"/>
      <c r="Q39867" s="24"/>
      <c r="R39867"/>
      <c r="S39867"/>
      <c r="T39867"/>
      <c r="U39867"/>
      <c r="X39867" s="60"/>
    </row>
    <row r="39868" spans="7:24" ht="15" customHeight="1">
      <c r="G39868"/>
      <c r="I39868"/>
      <c r="N39868"/>
      <c r="O39868" s="24"/>
      <c r="P39868"/>
      <c r="Q39868" s="24"/>
      <c r="R39868"/>
      <c r="S39868"/>
      <c r="T39868"/>
      <c r="U39868"/>
      <c r="X39868" s="60"/>
    </row>
    <row r="39869" spans="7:24" ht="15" customHeight="1">
      <c r="G39869"/>
      <c r="I39869"/>
      <c r="N39869"/>
      <c r="O39869" s="24"/>
      <c r="P39869"/>
      <c r="Q39869" s="24"/>
      <c r="R39869"/>
      <c r="S39869"/>
      <c r="T39869"/>
      <c r="U39869"/>
      <c r="X39869" s="60"/>
    </row>
    <row r="39870" spans="7:24" ht="15" customHeight="1">
      <c r="G39870"/>
      <c r="I39870"/>
      <c r="N39870"/>
      <c r="O39870" s="24"/>
      <c r="P39870"/>
      <c r="Q39870" s="24"/>
      <c r="R39870"/>
      <c r="S39870"/>
      <c r="T39870"/>
      <c r="U39870"/>
      <c r="X39870" s="60"/>
    </row>
    <row r="39871" spans="7:24" ht="15" customHeight="1">
      <c r="G39871"/>
      <c r="I39871"/>
      <c r="N39871"/>
      <c r="O39871" s="24"/>
      <c r="P39871"/>
      <c r="Q39871" s="24"/>
      <c r="R39871"/>
      <c r="S39871"/>
      <c r="T39871"/>
      <c r="U39871"/>
      <c r="X39871" s="60"/>
    </row>
    <row r="39872" spans="7:24" ht="15" customHeight="1">
      <c r="G39872"/>
      <c r="I39872"/>
      <c r="N39872"/>
      <c r="O39872" s="24"/>
      <c r="P39872"/>
      <c r="Q39872" s="24"/>
      <c r="R39872"/>
      <c r="S39872"/>
      <c r="T39872"/>
      <c r="U39872"/>
      <c r="X39872" s="60"/>
    </row>
    <row r="39873" spans="7:24" ht="15" customHeight="1">
      <c r="G39873"/>
      <c r="I39873"/>
      <c r="N39873"/>
      <c r="O39873" s="24"/>
      <c r="P39873"/>
      <c r="Q39873" s="24"/>
      <c r="R39873"/>
      <c r="S39873"/>
      <c r="T39873"/>
      <c r="U39873"/>
      <c r="X39873" s="60"/>
    </row>
    <row r="39874" spans="7:24" ht="15" customHeight="1">
      <c r="G39874"/>
      <c r="I39874"/>
      <c r="N39874"/>
      <c r="O39874" s="24"/>
      <c r="P39874"/>
      <c r="Q39874" s="24"/>
      <c r="R39874"/>
      <c r="S39874"/>
      <c r="T39874"/>
      <c r="U39874"/>
      <c r="X39874" s="60"/>
    </row>
    <row r="39875" spans="7:24" ht="15" customHeight="1">
      <c r="G39875"/>
      <c r="I39875"/>
      <c r="N39875"/>
      <c r="O39875" s="24"/>
      <c r="P39875"/>
      <c r="Q39875" s="24"/>
      <c r="R39875"/>
      <c r="S39875"/>
      <c r="T39875"/>
      <c r="U39875"/>
      <c r="X39875" s="60"/>
    </row>
    <row r="39876" spans="7:24" ht="15" customHeight="1">
      <c r="G39876"/>
      <c r="I39876"/>
      <c r="N39876"/>
      <c r="O39876" s="24"/>
      <c r="P39876"/>
      <c r="Q39876" s="24"/>
      <c r="R39876"/>
      <c r="S39876"/>
      <c r="T39876"/>
      <c r="U39876"/>
      <c r="X39876" s="60"/>
    </row>
    <row r="39877" spans="7:24" ht="15" customHeight="1">
      <c r="G39877"/>
      <c r="I39877"/>
      <c r="N39877"/>
      <c r="O39877" s="24"/>
      <c r="P39877"/>
      <c r="Q39877" s="24"/>
      <c r="R39877"/>
      <c r="S39877"/>
      <c r="T39877"/>
      <c r="U39877"/>
      <c r="X39877" s="60"/>
    </row>
    <row r="39878" spans="7:24" ht="15" customHeight="1">
      <c r="G39878"/>
      <c r="I39878"/>
      <c r="N39878"/>
      <c r="O39878" s="24"/>
      <c r="P39878"/>
      <c r="Q39878" s="24"/>
      <c r="R39878"/>
      <c r="S39878"/>
      <c r="T39878"/>
      <c r="U39878"/>
      <c r="X39878" s="60"/>
    </row>
    <row r="39879" spans="7:24" ht="15" customHeight="1">
      <c r="G39879"/>
      <c r="I39879"/>
      <c r="N39879"/>
      <c r="O39879" s="24"/>
      <c r="P39879"/>
      <c r="Q39879" s="24"/>
      <c r="R39879"/>
      <c r="S39879"/>
      <c r="T39879"/>
      <c r="U39879"/>
      <c r="X39879" s="60"/>
    </row>
    <row r="39880" spans="7:24" ht="15" customHeight="1">
      <c r="G39880"/>
      <c r="I39880"/>
      <c r="N39880"/>
      <c r="O39880" s="24"/>
      <c r="P39880"/>
      <c r="Q39880" s="24"/>
      <c r="R39880"/>
      <c r="S39880"/>
      <c r="T39880"/>
      <c r="U39880"/>
      <c r="X39880" s="60"/>
    </row>
    <row r="39881" spans="7:24" ht="15" customHeight="1">
      <c r="G39881"/>
      <c r="I39881"/>
      <c r="N39881"/>
      <c r="O39881" s="24"/>
      <c r="P39881"/>
      <c r="Q39881" s="24"/>
      <c r="R39881"/>
      <c r="S39881"/>
      <c r="T39881"/>
      <c r="U39881"/>
      <c r="X39881" s="60"/>
    </row>
    <row r="39882" spans="7:24" ht="15" customHeight="1">
      <c r="G39882"/>
      <c r="I39882"/>
      <c r="N39882"/>
      <c r="O39882" s="24"/>
      <c r="P39882"/>
      <c r="Q39882" s="24"/>
      <c r="R39882"/>
      <c r="S39882"/>
      <c r="T39882"/>
      <c r="U39882"/>
      <c r="X39882" s="60"/>
    </row>
    <row r="39883" spans="7:24" ht="15" customHeight="1">
      <c r="G39883"/>
      <c r="I39883"/>
      <c r="N39883"/>
      <c r="O39883" s="24"/>
      <c r="P39883"/>
      <c r="Q39883" s="24"/>
      <c r="R39883"/>
      <c r="S39883"/>
      <c r="T39883"/>
      <c r="U39883"/>
      <c r="X39883" s="60"/>
    </row>
    <row r="39884" spans="7:24" ht="15" customHeight="1">
      <c r="G39884"/>
      <c r="I39884"/>
      <c r="N39884"/>
      <c r="O39884" s="24"/>
      <c r="P39884"/>
      <c r="Q39884" s="24"/>
      <c r="R39884"/>
      <c r="S39884"/>
      <c r="T39884"/>
      <c r="U39884"/>
      <c r="X39884" s="60"/>
    </row>
    <row r="39885" spans="7:24" ht="15" customHeight="1">
      <c r="G39885"/>
      <c r="I39885"/>
      <c r="N39885"/>
      <c r="O39885" s="24"/>
      <c r="P39885"/>
      <c r="Q39885" s="24"/>
      <c r="R39885"/>
      <c r="S39885"/>
      <c r="T39885"/>
      <c r="U39885"/>
      <c r="X39885" s="60"/>
    </row>
    <row r="39886" spans="7:24" ht="15" customHeight="1">
      <c r="G39886"/>
      <c r="I39886"/>
      <c r="N39886"/>
      <c r="O39886" s="24"/>
      <c r="P39886"/>
      <c r="Q39886" s="24"/>
      <c r="R39886"/>
      <c r="S39886"/>
      <c r="T39886"/>
      <c r="U39886"/>
      <c r="X39886" s="60"/>
    </row>
    <row r="39887" spans="7:24" ht="15" customHeight="1">
      <c r="G39887"/>
      <c r="I39887"/>
      <c r="N39887"/>
      <c r="O39887" s="24"/>
      <c r="P39887"/>
      <c r="Q39887" s="24"/>
      <c r="R39887"/>
      <c r="S39887"/>
      <c r="T39887"/>
      <c r="U39887"/>
      <c r="X39887" s="60"/>
    </row>
    <row r="39888" spans="7:24" ht="15" customHeight="1">
      <c r="G39888"/>
      <c r="I39888"/>
      <c r="N39888"/>
      <c r="O39888" s="24"/>
      <c r="P39888"/>
      <c r="Q39888" s="24"/>
      <c r="R39888"/>
      <c r="S39888"/>
      <c r="T39888"/>
      <c r="U39888"/>
      <c r="X39888" s="60"/>
    </row>
    <row r="39889" spans="7:24" ht="15" customHeight="1">
      <c r="G39889"/>
      <c r="I39889"/>
      <c r="N39889"/>
      <c r="O39889" s="24"/>
      <c r="P39889"/>
      <c r="Q39889" s="24"/>
      <c r="R39889"/>
      <c r="S39889"/>
      <c r="T39889"/>
      <c r="U39889"/>
      <c r="X39889" s="60"/>
    </row>
    <row r="39890" spans="7:24" ht="15" customHeight="1">
      <c r="G39890"/>
      <c r="I39890"/>
      <c r="N39890"/>
      <c r="O39890" s="24"/>
      <c r="P39890"/>
      <c r="Q39890" s="24"/>
      <c r="R39890"/>
      <c r="S39890"/>
      <c r="T39890"/>
      <c r="U39890"/>
      <c r="X39890" s="60"/>
    </row>
    <row r="39891" spans="7:24" ht="15" customHeight="1">
      <c r="G39891"/>
      <c r="I39891"/>
      <c r="N39891"/>
      <c r="O39891" s="24"/>
      <c r="P39891"/>
      <c r="Q39891" s="24"/>
      <c r="R39891"/>
      <c r="S39891"/>
      <c r="T39891"/>
      <c r="U39891"/>
      <c r="X39891" s="60"/>
    </row>
    <row r="39892" spans="7:24" ht="15" customHeight="1">
      <c r="G39892"/>
      <c r="I39892"/>
      <c r="N39892"/>
      <c r="O39892" s="24"/>
      <c r="P39892"/>
      <c r="Q39892" s="24"/>
      <c r="R39892"/>
      <c r="S39892"/>
      <c r="T39892"/>
      <c r="U39892"/>
      <c r="X39892" s="60"/>
    </row>
    <row r="39893" spans="7:24" ht="15" customHeight="1">
      <c r="G39893"/>
      <c r="I39893"/>
      <c r="N39893"/>
      <c r="O39893" s="24"/>
      <c r="P39893"/>
      <c r="Q39893" s="24"/>
      <c r="R39893"/>
      <c r="S39893"/>
      <c r="T39893"/>
      <c r="U39893"/>
      <c r="X39893" s="60"/>
    </row>
    <row r="39894" spans="7:24" ht="15" customHeight="1">
      <c r="G39894"/>
      <c r="I39894"/>
      <c r="N39894"/>
      <c r="O39894" s="24"/>
      <c r="P39894"/>
      <c r="Q39894" s="24"/>
      <c r="R39894"/>
      <c r="S39894"/>
      <c r="T39894"/>
      <c r="U39894"/>
      <c r="X39894" s="60"/>
    </row>
    <row r="39895" spans="7:24" ht="15" customHeight="1">
      <c r="G39895"/>
      <c r="I39895"/>
      <c r="N39895"/>
      <c r="O39895" s="24"/>
      <c r="P39895"/>
      <c r="Q39895" s="24"/>
      <c r="R39895"/>
      <c r="S39895"/>
      <c r="T39895"/>
      <c r="U39895"/>
      <c r="X39895" s="60"/>
    </row>
    <row r="39896" spans="7:24" ht="15" customHeight="1">
      <c r="G39896"/>
      <c r="I39896"/>
      <c r="N39896"/>
      <c r="O39896" s="24"/>
      <c r="P39896"/>
      <c r="Q39896" s="24"/>
      <c r="R39896"/>
      <c r="S39896"/>
      <c r="T39896"/>
      <c r="U39896"/>
      <c r="X39896" s="60"/>
    </row>
    <row r="39897" spans="7:24" ht="15" customHeight="1">
      <c r="G39897"/>
      <c r="I39897"/>
      <c r="N39897"/>
      <c r="O39897" s="24"/>
      <c r="P39897"/>
      <c r="Q39897" s="24"/>
      <c r="R39897"/>
      <c r="S39897"/>
      <c r="T39897"/>
      <c r="U39897"/>
      <c r="X39897" s="60"/>
    </row>
    <row r="39898" spans="7:24" ht="15" customHeight="1">
      <c r="G39898"/>
      <c r="I39898"/>
      <c r="N39898"/>
      <c r="O39898" s="24"/>
      <c r="P39898"/>
      <c r="Q39898" s="24"/>
      <c r="R39898"/>
      <c r="S39898"/>
      <c r="T39898"/>
      <c r="U39898"/>
      <c r="X39898" s="60"/>
    </row>
    <row r="39899" spans="7:24" ht="15" customHeight="1">
      <c r="G39899"/>
      <c r="I39899"/>
      <c r="N39899"/>
      <c r="O39899" s="24"/>
      <c r="P39899"/>
      <c r="Q39899" s="24"/>
      <c r="R39899"/>
      <c r="S39899"/>
      <c r="T39899"/>
      <c r="U39899"/>
      <c r="X39899" s="60"/>
    </row>
    <row r="39900" spans="7:24" ht="15" customHeight="1">
      <c r="G39900"/>
      <c r="I39900"/>
      <c r="N39900"/>
      <c r="O39900" s="24"/>
      <c r="P39900"/>
      <c r="Q39900" s="24"/>
      <c r="R39900"/>
      <c r="S39900"/>
      <c r="T39900"/>
      <c r="U39900"/>
      <c r="X39900" s="60"/>
    </row>
    <row r="39901" spans="7:24" ht="15" customHeight="1">
      <c r="G39901"/>
      <c r="I39901"/>
      <c r="N39901"/>
      <c r="O39901" s="24"/>
      <c r="P39901"/>
      <c r="Q39901" s="24"/>
      <c r="R39901"/>
      <c r="S39901"/>
      <c r="T39901"/>
      <c r="U39901"/>
      <c r="X39901" s="60"/>
    </row>
    <row r="39902" spans="7:24" ht="15" customHeight="1">
      <c r="G39902"/>
      <c r="I39902"/>
      <c r="N39902"/>
      <c r="O39902" s="24"/>
      <c r="P39902"/>
      <c r="Q39902" s="24"/>
      <c r="R39902"/>
      <c r="S39902"/>
      <c r="T39902"/>
      <c r="U39902"/>
      <c r="X39902" s="60"/>
    </row>
    <row r="39903" spans="7:24" ht="15" customHeight="1">
      <c r="G39903"/>
      <c r="I39903"/>
      <c r="N39903"/>
      <c r="O39903" s="24"/>
      <c r="P39903"/>
      <c r="Q39903" s="24"/>
      <c r="R39903"/>
      <c r="S39903"/>
      <c r="T39903"/>
      <c r="U39903"/>
      <c r="X39903" s="60"/>
    </row>
    <row r="39904" spans="7:24" ht="15" customHeight="1">
      <c r="G39904"/>
      <c r="I39904"/>
      <c r="N39904"/>
      <c r="O39904" s="24"/>
      <c r="P39904"/>
      <c r="Q39904" s="24"/>
      <c r="R39904"/>
      <c r="S39904"/>
      <c r="T39904"/>
      <c r="U39904"/>
      <c r="X39904" s="60"/>
    </row>
    <row r="39905" spans="7:24" ht="15" customHeight="1">
      <c r="G39905"/>
      <c r="I39905"/>
      <c r="N39905"/>
      <c r="O39905" s="24"/>
      <c r="P39905"/>
      <c r="Q39905" s="24"/>
      <c r="R39905"/>
      <c r="S39905"/>
      <c r="T39905"/>
      <c r="U39905"/>
      <c r="X39905" s="60"/>
    </row>
    <row r="39906" spans="7:24" ht="15" customHeight="1">
      <c r="G39906"/>
      <c r="I39906"/>
      <c r="N39906"/>
      <c r="O39906" s="24"/>
      <c r="P39906"/>
      <c r="Q39906" s="24"/>
      <c r="R39906"/>
      <c r="S39906"/>
      <c r="T39906"/>
      <c r="U39906"/>
      <c r="X39906" s="60"/>
    </row>
    <row r="39907" spans="7:24" ht="15" customHeight="1">
      <c r="G39907"/>
      <c r="I39907"/>
      <c r="N39907"/>
      <c r="O39907" s="24"/>
      <c r="P39907"/>
      <c r="Q39907" s="24"/>
      <c r="R39907"/>
      <c r="S39907"/>
      <c r="T39907"/>
      <c r="U39907"/>
      <c r="X39907" s="60"/>
    </row>
    <row r="39908" spans="7:24" ht="15" customHeight="1">
      <c r="G39908"/>
      <c r="I39908"/>
      <c r="N39908"/>
      <c r="O39908" s="24"/>
      <c r="P39908"/>
      <c r="Q39908" s="24"/>
      <c r="R39908"/>
      <c r="S39908"/>
      <c r="T39908"/>
      <c r="U39908"/>
      <c r="X39908" s="60"/>
    </row>
    <row r="39909" spans="7:24" ht="15" customHeight="1">
      <c r="G39909"/>
      <c r="I39909"/>
      <c r="N39909"/>
      <c r="O39909" s="24"/>
      <c r="P39909"/>
      <c r="Q39909" s="24"/>
      <c r="R39909"/>
      <c r="S39909"/>
      <c r="T39909"/>
      <c r="U39909"/>
      <c r="X39909" s="60"/>
    </row>
    <row r="39910" spans="7:24" ht="15" customHeight="1">
      <c r="G39910"/>
      <c r="I39910"/>
      <c r="N39910"/>
      <c r="O39910" s="24"/>
      <c r="P39910"/>
      <c r="Q39910" s="24"/>
      <c r="R39910"/>
      <c r="S39910"/>
      <c r="T39910"/>
      <c r="U39910"/>
      <c r="X39910" s="60"/>
    </row>
    <row r="39911" spans="7:24" ht="15" customHeight="1">
      <c r="G39911"/>
      <c r="I39911"/>
      <c r="N39911"/>
      <c r="O39911" s="24"/>
      <c r="P39911"/>
      <c r="Q39911" s="24"/>
      <c r="R39911"/>
      <c r="S39911"/>
      <c r="T39911"/>
      <c r="U39911"/>
      <c r="X39911" s="60"/>
    </row>
    <row r="39912" spans="7:24" ht="15" customHeight="1">
      <c r="G39912"/>
      <c r="I39912"/>
      <c r="N39912"/>
      <c r="O39912" s="24"/>
      <c r="P39912"/>
      <c r="Q39912" s="24"/>
      <c r="R39912"/>
      <c r="S39912"/>
      <c r="T39912"/>
      <c r="U39912"/>
      <c r="X39912" s="60"/>
    </row>
    <row r="39913" spans="7:24" ht="15" customHeight="1">
      <c r="G39913"/>
      <c r="I39913"/>
      <c r="N39913"/>
      <c r="O39913" s="24"/>
      <c r="P39913"/>
      <c r="Q39913" s="24"/>
      <c r="R39913"/>
      <c r="S39913"/>
      <c r="T39913"/>
      <c r="U39913"/>
      <c r="X39913" s="60"/>
    </row>
    <row r="39914" spans="7:24" ht="15" customHeight="1">
      <c r="G39914"/>
      <c r="I39914"/>
      <c r="N39914"/>
      <c r="O39914" s="24"/>
      <c r="P39914"/>
      <c r="Q39914" s="24"/>
      <c r="R39914"/>
      <c r="S39914"/>
      <c r="T39914"/>
      <c r="U39914"/>
      <c r="X39914" s="60"/>
    </row>
    <row r="39915" spans="7:24" ht="15" customHeight="1">
      <c r="G39915"/>
      <c r="I39915"/>
      <c r="N39915"/>
      <c r="O39915" s="24"/>
      <c r="P39915"/>
      <c r="Q39915" s="24"/>
      <c r="R39915"/>
      <c r="S39915"/>
      <c r="T39915"/>
      <c r="U39915"/>
      <c r="X39915" s="60"/>
    </row>
    <row r="39916" spans="7:24" ht="15" customHeight="1">
      <c r="G39916"/>
      <c r="I39916"/>
      <c r="N39916"/>
      <c r="O39916" s="24"/>
      <c r="P39916"/>
      <c r="Q39916" s="24"/>
      <c r="R39916"/>
      <c r="S39916"/>
      <c r="T39916"/>
      <c r="U39916"/>
      <c r="X39916" s="60"/>
    </row>
    <row r="39917" spans="7:24" ht="15" customHeight="1">
      <c r="G39917"/>
      <c r="I39917"/>
      <c r="N39917"/>
      <c r="O39917" s="24"/>
      <c r="P39917"/>
      <c r="Q39917" s="24"/>
      <c r="R39917"/>
      <c r="S39917"/>
      <c r="T39917"/>
      <c r="U39917"/>
      <c r="X39917" s="60"/>
    </row>
    <row r="39918" spans="7:24" ht="15" customHeight="1">
      <c r="G39918"/>
      <c r="I39918"/>
      <c r="N39918"/>
      <c r="O39918" s="24"/>
      <c r="P39918"/>
      <c r="Q39918" s="24"/>
      <c r="R39918"/>
      <c r="S39918"/>
      <c r="T39918"/>
      <c r="U39918"/>
      <c r="X39918" s="60"/>
    </row>
    <row r="39919" spans="7:24" ht="15" customHeight="1">
      <c r="G39919"/>
      <c r="I39919"/>
      <c r="N39919"/>
      <c r="O39919" s="24"/>
      <c r="P39919"/>
      <c r="Q39919" s="24"/>
      <c r="R39919"/>
      <c r="S39919"/>
      <c r="T39919"/>
      <c r="U39919"/>
      <c r="X39919" s="60"/>
    </row>
    <row r="39920" spans="7:24" ht="15" customHeight="1">
      <c r="G39920"/>
      <c r="I39920"/>
      <c r="N39920"/>
      <c r="O39920" s="24"/>
      <c r="P39920"/>
      <c r="Q39920" s="24"/>
      <c r="R39920"/>
      <c r="S39920"/>
      <c r="T39920"/>
      <c r="U39920"/>
      <c r="X39920" s="60"/>
    </row>
    <row r="39921" spans="7:24" ht="15" customHeight="1">
      <c r="G39921"/>
      <c r="I39921"/>
      <c r="N39921"/>
      <c r="O39921" s="24"/>
      <c r="P39921"/>
      <c r="Q39921" s="24"/>
      <c r="R39921"/>
      <c r="S39921"/>
      <c r="T39921"/>
      <c r="U39921"/>
      <c r="X39921" s="60"/>
    </row>
    <row r="39922" spans="7:24" ht="15" customHeight="1">
      <c r="G39922"/>
      <c r="I39922"/>
      <c r="N39922"/>
      <c r="O39922" s="24"/>
      <c r="P39922"/>
      <c r="Q39922" s="24"/>
      <c r="R39922"/>
      <c r="S39922"/>
      <c r="T39922"/>
      <c r="U39922"/>
      <c r="X39922" s="60"/>
    </row>
    <row r="39923" spans="7:24" ht="15" customHeight="1">
      <c r="G39923"/>
      <c r="I39923"/>
      <c r="N39923"/>
      <c r="O39923" s="24"/>
      <c r="P39923"/>
      <c r="Q39923" s="24"/>
      <c r="R39923"/>
      <c r="S39923"/>
      <c r="T39923"/>
      <c r="U39923"/>
      <c r="X39923" s="60"/>
    </row>
    <row r="39924" spans="7:24" ht="15" customHeight="1">
      <c r="G39924"/>
      <c r="I39924"/>
      <c r="N39924"/>
      <c r="O39924" s="24"/>
      <c r="P39924"/>
      <c r="Q39924" s="24"/>
      <c r="R39924"/>
      <c r="S39924"/>
      <c r="T39924"/>
      <c r="U39924"/>
      <c r="X39924" s="60"/>
    </row>
    <row r="39925" spans="7:24" ht="15" customHeight="1">
      <c r="G39925"/>
      <c r="I39925"/>
      <c r="N39925"/>
      <c r="O39925" s="24"/>
      <c r="P39925"/>
      <c r="Q39925" s="24"/>
      <c r="R39925"/>
      <c r="S39925"/>
      <c r="T39925"/>
      <c r="U39925"/>
      <c r="X39925" s="60"/>
    </row>
    <row r="39926" spans="7:24" ht="15" customHeight="1">
      <c r="G39926"/>
      <c r="I39926"/>
      <c r="N39926"/>
      <c r="O39926" s="24"/>
      <c r="P39926"/>
      <c r="Q39926" s="24"/>
      <c r="R39926"/>
      <c r="S39926"/>
      <c r="T39926"/>
      <c r="U39926"/>
      <c r="X39926" s="60"/>
    </row>
    <row r="39927" spans="7:24" ht="15" customHeight="1">
      <c r="G39927"/>
      <c r="I39927"/>
      <c r="N39927"/>
      <c r="O39927" s="24"/>
      <c r="P39927"/>
      <c r="Q39927" s="24"/>
      <c r="R39927"/>
      <c r="S39927"/>
      <c r="T39927"/>
      <c r="U39927"/>
      <c r="X39927" s="60"/>
    </row>
    <row r="39928" spans="7:24" ht="15" customHeight="1">
      <c r="G39928"/>
      <c r="I39928"/>
      <c r="N39928"/>
      <c r="O39928" s="24"/>
      <c r="P39928"/>
      <c r="Q39928" s="24"/>
      <c r="R39928"/>
      <c r="S39928"/>
      <c r="T39928"/>
      <c r="U39928"/>
      <c r="X39928" s="60"/>
    </row>
    <row r="39929" spans="7:24" ht="15" customHeight="1">
      <c r="G39929"/>
      <c r="I39929"/>
      <c r="N39929"/>
      <c r="O39929" s="24"/>
      <c r="P39929"/>
      <c r="Q39929" s="24"/>
      <c r="R39929"/>
      <c r="S39929"/>
      <c r="T39929"/>
      <c r="U39929"/>
      <c r="X39929" s="60"/>
    </row>
    <row r="39930" spans="7:24" ht="15" customHeight="1">
      <c r="G39930"/>
      <c r="I39930"/>
      <c r="N39930"/>
      <c r="O39930" s="24"/>
      <c r="P39930"/>
      <c r="Q39930" s="24"/>
      <c r="R39930"/>
      <c r="S39930"/>
      <c r="T39930"/>
      <c r="U39930"/>
      <c r="X39930" s="60"/>
    </row>
    <row r="39931" spans="7:24" ht="15" customHeight="1">
      <c r="G39931"/>
      <c r="I39931"/>
      <c r="N39931"/>
      <c r="O39931" s="24"/>
      <c r="P39931"/>
      <c r="Q39931" s="24"/>
      <c r="R39931"/>
      <c r="S39931"/>
      <c r="T39931"/>
      <c r="U39931"/>
      <c r="X39931" s="60"/>
    </row>
    <row r="39932" spans="7:24" ht="15" customHeight="1">
      <c r="G39932"/>
      <c r="I39932"/>
      <c r="N39932"/>
      <c r="O39932" s="24"/>
      <c r="P39932"/>
      <c r="Q39932" s="24"/>
      <c r="R39932"/>
      <c r="S39932"/>
      <c r="T39932"/>
      <c r="U39932"/>
      <c r="X39932" s="60"/>
    </row>
    <row r="39933" spans="7:24" ht="15" customHeight="1">
      <c r="G39933"/>
      <c r="I39933"/>
      <c r="N39933"/>
      <c r="O39933" s="24"/>
      <c r="P39933"/>
      <c r="Q39933" s="24"/>
      <c r="R39933"/>
      <c r="S39933"/>
      <c r="T39933"/>
      <c r="U39933"/>
      <c r="X39933" s="60"/>
    </row>
    <row r="39934" spans="7:24" ht="15" customHeight="1">
      <c r="G39934"/>
      <c r="I39934"/>
      <c r="N39934"/>
      <c r="O39934" s="24"/>
      <c r="P39934"/>
      <c r="Q39934" s="24"/>
      <c r="R39934"/>
      <c r="S39934"/>
      <c r="T39934"/>
      <c r="U39934"/>
      <c r="X39934" s="60"/>
    </row>
    <row r="39935" spans="7:24" ht="15" customHeight="1">
      <c r="G39935"/>
      <c r="I39935"/>
      <c r="N39935"/>
      <c r="O39935" s="24"/>
      <c r="P39935"/>
      <c r="Q39935" s="24"/>
      <c r="R39935"/>
      <c r="S39935"/>
      <c r="T39935"/>
      <c r="U39935"/>
      <c r="X39935" s="60"/>
    </row>
    <row r="39936" spans="7:24" ht="15" customHeight="1">
      <c r="G39936"/>
      <c r="I39936"/>
      <c r="N39936"/>
      <c r="O39936" s="24"/>
      <c r="P39936"/>
      <c r="Q39936" s="24"/>
      <c r="R39936"/>
      <c r="S39936"/>
      <c r="T39936"/>
      <c r="U39936"/>
      <c r="X39936" s="60"/>
    </row>
    <row r="39937" spans="7:24" ht="15" customHeight="1">
      <c r="G39937"/>
      <c r="I39937"/>
      <c r="N39937"/>
      <c r="O39937" s="24"/>
      <c r="P39937"/>
      <c r="Q39937" s="24"/>
      <c r="R39937"/>
      <c r="S39937"/>
      <c r="T39937"/>
      <c r="U39937"/>
      <c r="X39937" s="60"/>
    </row>
    <row r="39938" spans="7:24" ht="15" customHeight="1">
      <c r="G39938"/>
      <c r="I39938"/>
      <c r="N39938"/>
      <c r="O39938" s="24"/>
      <c r="P39938"/>
      <c r="Q39938" s="24"/>
      <c r="R39938"/>
      <c r="S39938"/>
      <c r="T39938"/>
      <c r="U39938"/>
      <c r="X39938" s="60"/>
    </row>
    <row r="39939" spans="7:24" ht="15" customHeight="1">
      <c r="G39939"/>
      <c r="I39939"/>
      <c r="N39939"/>
      <c r="O39939" s="24"/>
      <c r="P39939"/>
      <c r="Q39939" s="24"/>
      <c r="R39939"/>
      <c r="S39939"/>
      <c r="T39939"/>
      <c r="U39939"/>
      <c r="X39939" s="60"/>
    </row>
    <row r="39940" spans="7:24" ht="15" customHeight="1">
      <c r="G39940"/>
      <c r="I39940"/>
      <c r="N39940"/>
      <c r="O39940" s="24"/>
      <c r="P39940"/>
      <c r="Q39940" s="24"/>
      <c r="R39940"/>
      <c r="S39940"/>
      <c r="T39940"/>
      <c r="U39940"/>
      <c r="X39940" s="60"/>
    </row>
    <row r="39941" spans="7:24" ht="15" customHeight="1">
      <c r="G39941"/>
      <c r="I39941"/>
      <c r="N39941"/>
      <c r="O39941" s="24"/>
      <c r="P39941"/>
      <c r="Q39941" s="24"/>
      <c r="R39941"/>
      <c r="S39941"/>
      <c r="T39941"/>
      <c r="U39941"/>
      <c r="X39941" s="60"/>
    </row>
    <row r="39942" spans="7:24" ht="15" customHeight="1">
      <c r="G39942"/>
      <c r="I39942"/>
      <c r="N39942"/>
      <c r="O39942" s="24"/>
      <c r="P39942"/>
      <c r="Q39942" s="24"/>
      <c r="R39942"/>
      <c r="S39942"/>
      <c r="T39942"/>
      <c r="U39942"/>
      <c r="X39942" s="60"/>
    </row>
    <row r="39943" spans="7:24" ht="15" customHeight="1">
      <c r="G39943"/>
      <c r="I39943"/>
      <c r="N39943"/>
      <c r="O39943" s="24"/>
      <c r="P39943"/>
      <c r="Q39943" s="24"/>
      <c r="R39943"/>
      <c r="S39943"/>
      <c r="T39943"/>
      <c r="U39943"/>
      <c r="X39943" s="60"/>
    </row>
    <row r="39944" spans="7:24" ht="15" customHeight="1">
      <c r="G39944"/>
      <c r="I39944"/>
      <c r="N39944"/>
      <c r="O39944" s="24"/>
      <c r="P39944"/>
      <c r="Q39944" s="24"/>
      <c r="R39944"/>
      <c r="S39944"/>
      <c r="T39944"/>
      <c r="U39944"/>
      <c r="X39944" s="60"/>
    </row>
    <row r="39945" spans="7:24" ht="15" customHeight="1">
      <c r="G39945"/>
      <c r="I39945"/>
      <c r="N39945"/>
      <c r="O39945" s="24"/>
      <c r="P39945"/>
      <c r="Q39945" s="24"/>
      <c r="R39945"/>
      <c r="S39945"/>
      <c r="T39945"/>
      <c r="U39945"/>
      <c r="X39945" s="60"/>
    </row>
    <row r="39946" spans="7:24" ht="15" customHeight="1">
      <c r="G39946"/>
      <c r="I39946"/>
      <c r="N39946"/>
      <c r="O39946" s="24"/>
      <c r="P39946"/>
      <c r="Q39946" s="24"/>
      <c r="R39946"/>
      <c r="S39946"/>
      <c r="T39946"/>
      <c r="U39946"/>
      <c r="X39946" s="60"/>
    </row>
    <row r="39947" spans="7:24" ht="15" customHeight="1">
      <c r="G39947"/>
      <c r="I39947"/>
      <c r="N39947"/>
      <c r="O39947" s="24"/>
      <c r="P39947"/>
      <c r="Q39947" s="24"/>
      <c r="R39947"/>
      <c r="S39947"/>
      <c r="T39947"/>
      <c r="U39947"/>
      <c r="X39947" s="60"/>
    </row>
    <row r="39948" spans="7:24" ht="15" customHeight="1">
      <c r="G39948"/>
      <c r="I39948"/>
      <c r="N39948"/>
      <c r="O39948" s="24"/>
      <c r="P39948"/>
      <c r="Q39948" s="24"/>
      <c r="R39948"/>
      <c r="S39948"/>
      <c r="T39948"/>
      <c r="U39948"/>
      <c r="X39948" s="60"/>
    </row>
    <row r="39949" spans="7:24" ht="15" customHeight="1">
      <c r="G39949"/>
      <c r="I39949"/>
      <c r="N39949"/>
      <c r="O39949" s="24"/>
      <c r="P39949"/>
      <c r="Q39949" s="24"/>
      <c r="R39949"/>
      <c r="S39949"/>
      <c r="T39949"/>
      <c r="U39949"/>
      <c r="X39949" s="60"/>
    </row>
    <row r="39950" spans="7:24" ht="15" customHeight="1">
      <c r="G39950"/>
      <c r="I39950"/>
      <c r="N39950"/>
      <c r="O39950" s="24"/>
      <c r="P39950"/>
      <c r="Q39950" s="24"/>
      <c r="R39950"/>
      <c r="S39950"/>
      <c r="T39950"/>
      <c r="U39950"/>
      <c r="X39950" s="60"/>
    </row>
    <row r="39951" spans="7:24" ht="15" customHeight="1">
      <c r="G39951"/>
      <c r="I39951"/>
      <c r="N39951"/>
      <c r="O39951" s="24"/>
      <c r="P39951"/>
      <c r="Q39951" s="24"/>
      <c r="R39951"/>
      <c r="S39951"/>
      <c r="T39951"/>
      <c r="U39951"/>
      <c r="X39951" s="60"/>
    </row>
    <row r="39952" spans="7:24" ht="15" customHeight="1">
      <c r="G39952"/>
      <c r="I39952"/>
      <c r="N39952"/>
      <c r="O39952" s="24"/>
      <c r="P39952"/>
      <c r="Q39952" s="24"/>
      <c r="R39952"/>
      <c r="S39952"/>
      <c r="T39952"/>
      <c r="U39952"/>
      <c r="X39952" s="60"/>
    </row>
    <row r="39953" spans="7:24" ht="15" customHeight="1">
      <c r="G39953"/>
      <c r="I39953"/>
      <c r="N39953"/>
      <c r="O39953" s="24"/>
      <c r="P39953"/>
      <c r="Q39953" s="24"/>
      <c r="R39953"/>
      <c r="S39953"/>
      <c r="T39953"/>
      <c r="U39953"/>
      <c r="X39953" s="60"/>
    </row>
    <row r="39954" spans="7:24" ht="15" customHeight="1">
      <c r="G39954"/>
      <c r="I39954"/>
      <c r="N39954"/>
      <c r="O39954" s="24"/>
      <c r="P39954"/>
      <c r="Q39954" s="24"/>
      <c r="R39954"/>
      <c r="S39954"/>
      <c r="T39954"/>
      <c r="U39954"/>
      <c r="X39954" s="60"/>
    </row>
    <row r="39955" spans="7:24" ht="15" customHeight="1">
      <c r="G39955"/>
      <c r="I39955"/>
      <c r="N39955"/>
      <c r="O39955" s="24"/>
      <c r="P39955"/>
      <c r="Q39955" s="24"/>
      <c r="R39955"/>
      <c r="S39955"/>
      <c r="T39955"/>
      <c r="U39955"/>
      <c r="X39955" s="60"/>
    </row>
    <row r="39956" spans="7:24" ht="15" customHeight="1">
      <c r="G39956"/>
      <c r="I39956"/>
      <c r="N39956"/>
      <c r="O39956" s="24"/>
      <c r="P39956"/>
      <c r="Q39956" s="24"/>
      <c r="R39956"/>
      <c r="S39956"/>
      <c r="T39956"/>
      <c r="U39956"/>
      <c r="X39956" s="60"/>
    </row>
    <row r="39957" spans="7:24" ht="15" customHeight="1">
      <c r="G39957"/>
      <c r="I39957"/>
      <c r="N39957"/>
      <c r="O39957" s="24"/>
      <c r="P39957"/>
      <c r="Q39957" s="24"/>
      <c r="R39957"/>
      <c r="S39957"/>
      <c r="T39957"/>
      <c r="U39957"/>
      <c r="X39957" s="60"/>
    </row>
    <row r="39958" spans="7:24" ht="15" customHeight="1">
      <c r="G39958"/>
      <c r="I39958"/>
      <c r="N39958"/>
      <c r="O39958" s="24"/>
      <c r="P39958"/>
      <c r="Q39958" s="24"/>
      <c r="R39958"/>
      <c r="S39958"/>
      <c r="T39958"/>
      <c r="U39958"/>
      <c r="X39958" s="60"/>
    </row>
    <row r="39959" spans="7:24" ht="15" customHeight="1">
      <c r="G39959"/>
      <c r="I39959"/>
      <c r="N39959"/>
      <c r="O39959" s="24"/>
      <c r="P39959"/>
      <c r="Q39959" s="24"/>
      <c r="R39959"/>
      <c r="S39959"/>
      <c r="T39959"/>
      <c r="U39959"/>
      <c r="X39959" s="60"/>
    </row>
    <row r="39960" spans="7:24" ht="15" customHeight="1">
      <c r="G39960"/>
      <c r="I39960"/>
      <c r="N39960"/>
      <c r="O39960" s="24"/>
      <c r="P39960"/>
      <c r="Q39960" s="24"/>
      <c r="R39960"/>
      <c r="S39960"/>
      <c r="T39960"/>
      <c r="U39960"/>
      <c r="X39960" s="60"/>
    </row>
    <row r="39961" spans="7:24" ht="15" customHeight="1">
      <c r="G39961"/>
      <c r="I39961"/>
      <c r="N39961"/>
      <c r="O39961" s="24"/>
      <c r="P39961"/>
      <c r="Q39961" s="24"/>
      <c r="R39961"/>
      <c r="S39961"/>
      <c r="T39961"/>
      <c r="U39961"/>
      <c r="X39961" s="60"/>
    </row>
    <row r="39962" spans="7:24" ht="15" customHeight="1">
      <c r="G39962"/>
      <c r="I39962"/>
      <c r="N39962"/>
      <c r="O39962" s="24"/>
      <c r="P39962"/>
      <c r="Q39962" s="24"/>
      <c r="R39962"/>
      <c r="S39962"/>
      <c r="T39962"/>
      <c r="U39962"/>
      <c r="X39962" s="60"/>
    </row>
    <row r="39963" spans="7:24" ht="15" customHeight="1">
      <c r="G39963"/>
      <c r="I39963"/>
      <c r="N39963"/>
      <c r="O39963" s="24"/>
      <c r="P39963"/>
      <c r="Q39963" s="24"/>
      <c r="R39963"/>
      <c r="S39963"/>
      <c r="T39963"/>
      <c r="U39963"/>
      <c r="X39963" s="60"/>
    </row>
    <row r="39964" spans="7:24" ht="15" customHeight="1">
      <c r="G39964"/>
      <c r="I39964"/>
      <c r="N39964"/>
      <c r="O39964" s="24"/>
      <c r="P39964"/>
      <c r="Q39964" s="24"/>
      <c r="R39964"/>
      <c r="S39964"/>
      <c r="T39964"/>
      <c r="U39964"/>
      <c r="X39964" s="60"/>
    </row>
    <row r="39965" spans="7:24" ht="15" customHeight="1">
      <c r="G39965"/>
      <c r="I39965"/>
      <c r="N39965"/>
      <c r="O39965" s="24"/>
      <c r="P39965"/>
      <c r="Q39965" s="24"/>
      <c r="R39965"/>
      <c r="S39965"/>
      <c r="T39965"/>
      <c r="U39965"/>
      <c r="X39965" s="60"/>
    </row>
    <row r="39966" spans="7:24" ht="15" customHeight="1">
      <c r="G39966"/>
      <c r="I39966"/>
      <c r="N39966"/>
      <c r="O39966" s="24"/>
      <c r="P39966"/>
      <c r="Q39966" s="24"/>
      <c r="R39966"/>
      <c r="S39966"/>
      <c r="T39966"/>
      <c r="U39966"/>
      <c r="X39966" s="60"/>
    </row>
    <row r="39967" spans="7:24" ht="15" customHeight="1">
      <c r="G39967"/>
      <c r="I39967"/>
      <c r="N39967"/>
      <c r="O39967" s="24"/>
      <c r="P39967"/>
      <c r="Q39967" s="24"/>
      <c r="R39967"/>
      <c r="S39967"/>
      <c r="T39967"/>
      <c r="U39967"/>
      <c r="X39967" s="60"/>
    </row>
    <row r="39968" spans="7:24" ht="15" customHeight="1">
      <c r="G39968"/>
      <c r="I39968"/>
      <c r="N39968"/>
      <c r="O39968" s="24"/>
      <c r="P39968"/>
      <c r="Q39968" s="24"/>
      <c r="R39968"/>
      <c r="S39968"/>
      <c r="T39968"/>
      <c r="U39968"/>
      <c r="X39968" s="60"/>
    </row>
    <row r="39969" spans="7:24" ht="15" customHeight="1">
      <c r="G39969"/>
      <c r="I39969"/>
      <c r="N39969"/>
      <c r="O39969" s="24"/>
      <c r="P39969"/>
      <c r="Q39969" s="24"/>
      <c r="R39969"/>
      <c r="S39969"/>
      <c r="T39969"/>
      <c r="U39969"/>
      <c r="X39969" s="60"/>
    </row>
    <row r="39970" spans="7:24" ht="15" customHeight="1">
      <c r="G39970"/>
      <c r="I39970"/>
      <c r="N39970"/>
      <c r="O39970" s="24"/>
      <c r="P39970"/>
      <c r="Q39970" s="24"/>
      <c r="R39970"/>
      <c r="S39970"/>
      <c r="T39970"/>
      <c r="U39970"/>
      <c r="X39970" s="60"/>
    </row>
    <row r="39971" spans="7:24" ht="15" customHeight="1">
      <c r="G39971"/>
      <c r="I39971"/>
      <c r="N39971"/>
      <c r="O39971" s="24"/>
      <c r="P39971"/>
      <c r="Q39971" s="24"/>
      <c r="R39971"/>
      <c r="S39971"/>
      <c r="T39971"/>
      <c r="U39971"/>
      <c r="X39971" s="60"/>
    </row>
    <row r="39972" spans="7:24" ht="15" customHeight="1">
      <c r="G39972"/>
      <c r="I39972"/>
      <c r="N39972"/>
      <c r="O39972" s="24"/>
      <c r="P39972"/>
      <c r="Q39972" s="24"/>
      <c r="R39972"/>
      <c r="S39972"/>
      <c r="T39972"/>
      <c r="U39972"/>
      <c r="X39972" s="60"/>
    </row>
    <row r="39973" spans="7:24" ht="15" customHeight="1">
      <c r="G39973"/>
      <c r="I39973"/>
      <c r="N39973"/>
      <c r="O39973" s="24"/>
      <c r="P39973"/>
      <c r="Q39973" s="24"/>
      <c r="R39973"/>
      <c r="S39973"/>
      <c r="T39973"/>
      <c r="U39973"/>
      <c r="X39973" s="60"/>
    </row>
    <row r="39974" spans="7:24" ht="15" customHeight="1">
      <c r="G39974"/>
      <c r="I39974"/>
      <c r="N39974"/>
      <c r="O39974" s="24"/>
      <c r="P39974"/>
      <c r="Q39974" s="24"/>
      <c r="R39974"/>
      <c r="S39974"/>
      <c r="T39974"/>
      <c r="U39974"/>
      <c r="X39974" s="60"/>
    </row>
    <row r="39975" spans="7:24" ht="15" customHeight="1">
      <c r="G39975"/>
      <c r="I39975"/>
      <c r="N39975"/>
      <c r="O39975" s="24"/>
      <c r="P39975"/>
      <c r="Q39975" s="24"/>
      <c r="R39975"/>
      <c r="S39975"/>
      <c r="T39975"/>
      <c r="U39975"/>
      <c r="X39975" s="60"/>
    </row>
    <row r="39976" spans="7:24" ht="15" customHeight="1">
      <c r="G39976"/>
      <c r="I39976"/>
      <c r="N39976"/>
      <c r="O39976" s="24"/>
      <c r="P39976"/>
      <c r="Q39976" s="24"/>
      <c r="R39976"/>
      <c r="S39976"/>
      <c r="T39976"/>
      <c r="U39976"/>
      <c r="X39976" s="60"/>
    </row>
    <row r="39977" spans="7:24" ht="15" customHeight="1">
      <c r="G39977"/>
      <c r="I39977"/>
      <c r="N39977"/>
      <c r="O39977" s="24"/>
      <c r="P39977"/>
      <c r="Q39977" s="24"/>
      <c r="R39977"/>
      <c r="S39977"/>
      <c r="T39977"/>
      <c r="U39977"/>
      <c r="X39977" s="60"/>
    </row>
    <row r="39978" spans="7:24" ht="15" customHeight="1">
      <c r="G39978"/>
      <c r="I39978"/>
      <c r="N39978"/>
      <c r="O39978" s="24"/>
      <c r="P39978"/>
      <c r="Q39978" s="24"/>
      <c r="R39978"/>
      <c r="S39978"/>
      <c r="T39978"/>
      <c r="U39978"/>
      <c r="X39978" s="60"/>
    </row>
    <row r="39979" spans="7:24" ht="15" customHeight="1">
      <c r="G39979"/>
      <c r="I39979"/>
      <c r="N39979"/>
      <c r="O39979" s="24"/>
      <c r="P39979"/>
      <c r="Q39979" s="24"/>
      <c r="R39979"/>
      <c r="S39979"/>
      <c r="T39979"/>
      <c r="U39979"/>
      <c r="X39979" s="60"/>
    </row>
    <row r="39980" spans="7:24" ht="15" customHeight="1">
      <c r="G39980"/>
      <c r="I39980"/>
      <c r="N39980"/>
      <c r="O39980" s="24"/>
      <c r="P39980"/>
      <c r="Q39980" s="24"/>
      <c r="R39980"/>
      <c r="S39980"/>
      <c r="T39980"/>
      <c r="U39980"/>
      <c r="X39980" s="60"/>
    </row>
    <row r="39981" spans="7:24" ht="15" customHeight="1">
      <c r="G39981"/>
      <c r="I39981"/>
      <c r="N39981"/>
      <c r="O39981" s="24"/>
      <c r="P39981"/>
      <c r="Q39981" s="24"/>
      <c r="R39981"/>
      <c r="S39981"/>
      <c r="T39981"/>
      <c r="U39981"/>
      <c r="X39981" s="60"/>
    </row>
    <row r="39982" spans="7:24" ht="15" customHeight="1">
      <c r="G39982"/>
      <c r="I39982"/>
      <c r="N39982"/>
      <c r="O39982" s="24"/>
      <c r="P39982"/>
      <c r="Q39982" s="24"/>
      <c r="R39982"/>
      <c r="S39982"/>
      <c r="T39982"/>
      <c r="U39982"/>
      <c r="X39982" s="60"/>
    </row>
    <row r="39983" spans="7:24" ht="15" customHeight="1">
      <c r="G39983"/>
      <c r="I39983"/>
      <c r="N39983"/>
      <c r="O39983" s="24"/>
      <c r="P39983"/>
      <c r="Q39983" s="24"/>
      <c r="R39983"/>
      <c r="S39983"/>
      <c r="T39983"/>
      <c r="U39983"/>
      <c r="X39983" s="60"/>
    </row>
    <row r="39984" spans="7:24" ht="15" customHeight="1">
      <c r="G39984"/>
      <c r="I39984"/>
      <c r="N39984"/>
      <c r="O39984" s="24"/>
      <c r="P39984"/>
      <c r="Q39984" s="24"/>
      <c r="R39984"/>
      <c r="S39984"/>
      <c r="T39984"/>
      <c r="U39984"/>
      <c r="X39984" s="60"/>
    </row>
    <row r="39985" spans="7:24" ht="15" customHeight="1">
      <c r="G39985"/>
      <c r="I39985"/>
      <c r="N39985"/>
      <c r="O39985" s="24"/>
      <c r="P39985"/>
      <c r="Q39985" s="24"/>
      <c r="R39985"/>
      <c r="S39985"/>
      <c r="T39985"/>
      <c r="U39985"/>
      <c r="X39985" s="60"/>
    </row>
    <row r="39986" spans="7:24" ht="15" customHeight="1">
      <c r="G39986"/>
      <c r="I39986"/>
      <c r="N39986"/>
      <c r="O39986" s="24"/>
      <c r="P39986"/>
      <c r="Q39986" s="24"/>
      <c r="R39986"/>
      <c r="S39986"/>
      <c r="T39986"/>
      <c r="U39986"/>
      <c r="X39986" s="60"/>
    </row>
    <row r="39987" spans="7:24" ht="15" customHeight="1">
      <c r="G39987"/>
      <c r="I39987"/>
      <c r="N39987"/>
      <c r="O39987" s="24"/>
      <c r="P39987"/>
      <c r="Q39987" s="24"/>
      <c r="R39987"/>
      <c r="S39987"/>
      <c r="T39987"/>
      <c r="U39987"/>
      <c r="X39987" s="60"/>
    </row>
    <row r="39988" spans="7:24" ht="15" customHeight="1">
      <c r="G39988"/>
      <c r="I39988"/>
      <c r="N39988"/>
      <c r="O39988" s="24"/>
      <c r="P39988"/>
      <c r="Q39988" s="24"/>
      <c r="R39988"/>
      <c r="S39988"/>
      <c r="T39988"/>
      <c r="U39988"/>
      <c r="X39988" s="60"/>
    </row>
    <row r="39989" spans="7:24" ht="15" customHeight="1">
      <c r="G39989"/>
      <c r="I39989"/>
      <c r="N39989"/>
      <c r="O39989" s="24"/>
      <c r="P39989"/>
      <c r="Q39989" s="24"/>
      <c r="R39989"/>
      <c r="S39989"/>
      <c r="T39989"/>
      <c r="U39989"/>
      <c r="X39989" s="60"/>
    </row>
    <row r="39990" spans="7:24" ht="15" customHeight="1">
      <c r="G39990"/>
      <c r="I39990"/>
      <c r="N39990"/>
      <c r="O39990" s="24"/>
      <c r="P39990"/>
      <c r="Q39990" s="24"/>
      <c r="R39990"/>
      <c r="S39990"/>
      <c r="T39990"/>
      <c r="U39990"/>
      <c r="X39990" s="60"/>
    </row>
    <row r="39991" spans="7:24" ht="15" customHeight="1">
      <c r="G39991"/>
      <c r="I39991"/>
      <c r="N39991"/>
      <c r="O39991" s="24"/>
      <c r="P39991"/>
      <c r="Q39991" s="24"/>
      <c r="R39991"/>
      <c r="S39991"/>
      <c r="T39991"/>
      <c r="U39991"/>
      <c r="X39991" s="60"/>
    </row>
    <row r="39992" spans="7:24" ht="15" customHeight="1">
      <c r="G39992"/>
      <c r="I39992"/>
      <c r="N39992"/>
      <c r="O39992" s="24"/>
      <c r="P39992"/>
      <c r="Q39992" s="24"/>
      <c r="R39992"/>
      <c r="S39992"/>
      <c r="T39992"/>
      <c r="U39992"/>
      <c r="X39992" s="60"/>
    </row>
    <row r="39993" spans="7:24" ht="15" customHeight="1">
      <c r="G39993"/>
      <c r="I39993"/>
      <c r="N39993"/>
      <c r="O39993" s="24"/>
      <c r="P39993"/>
      <c r="Q39993" s="24"/>
      <c r="R39993"/>
      <c r="S39993"/>
      <c r="T39993"/>
      <c r="U39993"/>
      <c r="X39993" s="60"/>
    </row>
    <row r="39994" spans="7:24" ht="15" customHeight="1">
      <c r="G39994"/>
      <c r="I39994"/>
      <c r="N39994"/>
      <c r="O39994" s="24"/>
      <c r="P39994"/>
      <c r="Q39994" s="24"/>
      <c r="R39994"/>
      <c r="S39994"/>
      <c r="T39994"/>
      <c r="U39994"/>
      <c r="X39994" s="60"/>
    </row>
    <row r="39995" spans="7:24" ht="15" customHeight="1">
      <c r="G39995"/>
      <c r="I39995"/>
      <c r="N39995"/>
      <c r="O39995" s="24"/>
      <c r="P39995"/>
      <c r="Q39995" s="24"/>
      <c r="R39995"/>
      <c r="S39995"/>
      <c r="T39995"/>
      <c r="U39995"/>
      <c r="X39995" s="60"/>
    </row>
    <row r="39996" spans="7:24" ht="15" customHeight="1">
      <c r="G39996"/>
      <c r="I39996"/>
      <c r="N39996"/>
      <c r="O39996" s="24"/>
      <c r="P39996"/>
      <c r="Q39996" s="24"/>
      <c r="R39996"/>
      <c r="S39996"/>
      <c r="T39996"/>
      <c r="U39996"/>
      <c r="X39996" s="60"/>
    </row>
    <row r="39997" spans="7:24" ht="15" customHeight="1">
      <c r="G39997"/>
      <c r="I39997"/>
      <c r="N39997"/>
      <c r="O39997" s="24"/>
      <c r="P39997"/>
      <c r="Q39997" s="24"/>
      <c r="R39997"/>
      <c r="S39997"/>
      <c r="T39997"/>
      <c r="U39997"/>
      <c r="X39997" s="60"/>
    </row>
    <row r="39998" spans="7:24" ht="15" customHeight="1">
      <c r="G39998"/>
      <c r="I39998"/>
      <c r="N39998"/>
      <c r="O39998" s="24"/>
      <c r="P39998"/>
      <c r="Q39998" s="24"/>
      <c r="R39998"/>
      <c r="S39998"/>
      <c r="T39998"/>
      <c r="U39998"/>
      <c r="X39998" s="60"/>
    </row>
    <row r="39999" spans="7:24" ht="15" customHeight="1">
      <c r="G39999"/>
      <c r="I39999"/>
      <c r="N39999"/>
      <c r="O39999" s="24"/>
      <c r="P39999"/>
      <c r="Q39999" s="24"/>
      <c r="R39999"/>
      <c r="S39999"/>
      <c r="T39999"/>
      <c r="U39999"/>
      <c r="X39999" s="60"/>
    </row>
    <row r="40000" spans="7:24" ht="15" customHeight="1">
      <c r="G40000"/>
      <c r="I40000"/>
      <c r="N40000"/>
      <c r="O40000" s="24"/>
      <c r="P40000"/>
      <c r="Q40000" s="24"/>
      <c r="R40000"/>
      <c r="S40000"/>
      <c r="T40000"/>
      <c r="U40000"/>
      <c r="X40000" s="60"/>
    </row>
    <row r="40001" spans="7:24" ht="15" customHeight="1">
      <c r="G40001"/>
      <c r="I40001"/>
      <c r="N40001"/>
      <c r="O40001" s="24"/>
      <c r="P40001"/>
      <c r="Q40001" s="24"/>
      <c r="R40001"/>
      <c r="S40001"/>
      <c r="T40001"/>
      <c r="U40001"/>
      <c r="X40001" s="60"/>
    </row>
    <row r="40002" spans="7:24" ht="15" customHeight="1">
      <c r="G40002"/>
      <c r="I40002"/>
      <c r="N40002"/>
      <c r="O40002" s="24"/>
      <c r="P40002"/>
      <c r="Q40002" s="24"/>
      <c r="R40002"/>
      <c r="S40002"/>
      <c r="T40002"/>
      <c r="U40002"/>
      <c r="X40002" s="60"/>
    </row>
    <row r="40003" spans="7:24" ht="15" customHeight="1">
      <c r="G40003"/>
      <c r="I40003"/>
      <c r="N40003"/>
      <c r="O40003" s="24"/>
      <c r="P40003"/>
      <c r="Q40003" s="24"/>
      <c r="R40003"/>
      <c r="S40003"/>
      <c r="T40003"/>
      <c r="U40003"/>
      <c r="X40003" s="60"/>
    </row>
    <row r="40004" spans="7:24" ht="15" customHeight="1">
      <c r="G40004"/>
      <c r="I40004"/>
      <c r="N40004"/>
      <c r="O40004" s="24"/>
      <c r="P40004"/>
      <c r="Q40004" s="24"/>
      <c r="R40004"/>
      <c r="S40004"/>
      <c r="T40004"/>
      <c r="U40004"/>
      <c r="X40004" s="60"/>
    </row>
    <row r="40005" spans="7:24" ht="15" customHeight="1">
      <c r="G40005"/>
      <c r="I40005"/>
      <c r="N40005"/>
      <c r="O40005" s="24"/>
      <c r="P40005"/>
      <c r="Q40005" s="24"/>
      <c r="R40005"/>
      <c r="S40005"/>
      <c r="T40005"/>
      <c r="U40005"/>
      <c r="X40005" s="60"/>
    </row>
    <row r="40006" spans="7:24" ht="15" customHeight="1">
      <c r="G40006"/>
      <c r="I40006"/>
      <c r="N40006"/>
      <c r="O40006" s="24"/>
      <c r="P40006"/>
      <c r="Q40006" s="24"/>
      <c r="R40006"/>
      <c r="S40006"/>
      <c r="T40006"/>
      <c r="U40006"/>
      <c r="X40006" s="60"/>
    </row>
    <row r="40007" spans="7:24" ht="15" customHeight="1">
      <c r="G40007"/>
      <c r="I40007"/>
      <c r="N40007"/>
      <c r="O40007" s="24"/>
      <c r="P40007"/>
      <c r="Q40007" s="24"/>
      <c r="R40007"/>
      <c r="S40007"/>
      <c r="T40007"/>
      <c r="U40007"/>
      <c r="X40007" s="60"/>
    </row>
    <row r="40008" spans="7:24" ht="15" customHeight="1">
      <c r="G40008"/>
      <c r="I40008"/>
      <c r="N40008"/>
      <c r="O40008" s="24"/>
      <c r="P40008"/>
      <c r="Q40008" s="24"/>
      <c r="R40008"/>
      <c r="S40008"/>
      <c r="T40008"/>
      <c r="U40008"/>
      <c r="X40008" s="60"/>
    </row>
    <row r="40009" spans="7:24" ht="15" customHeight="1">
      <c r="G40009"/>
      <c r="I40009"/>
      <c r="N40009"/>
      <c r="O40009" s="24"/>
      <c r="P40009"/>
      <c r="Q40009" s="24"/>
      <c r="R40009"/>
      <c r="S40009"/>
      <c r="T40009"/>
      <c r="U40009"/>
      <c r="X40009" s="60"/>
    </row>
    <row r="40010" spans="7:24" ht="15" customHeight="1">
      <c r="G40010"/>
      <c r="I40010"/>
      <c r="N40010"/>
      <c r="O40010" s="24"/>
      <c r="P40010"/>
      <c r="Q40010" s="24"/>
      <c r="R40010"/>
      <c r="S40010"/>
      <c r="T40010"/>
      <c r="U40010"/>
      <c r="X40010" s="60"/>
    </row>
    <row r="40011" spans="7:24" ht="15" customHeight="1">
      <c r="G40011"/>
      <c r="I40011"/>
      <c r="N40011"/>
      <c r="O40011" s="24"/>
      <c r="P40011"/>
      <c r="Q40011" s="24"/>
      <c r="R40011"/>
      <c r="S40011"/>
      <c r="T40011"/>
      <c r="U40011"/>
      <c r="X40011" s="60"/>
    </row>
    <row r="40012" spans="7:24" ht="15" customHeight="1">
      <c r="G40012"/>
      <c r="I40012"/>
      <c r="N40012"/>
      <c r="O40012" s="24"/>
      <c r="P40012"/>
      <c r="Q40012" s="24"/>
      <c r="R40012"/>
      <c r="S40012"/>
      <c r="T40012"/>
      <c r="U40012"/>
      <c r="X40012" s="60"/>
    </row>
    <row r="40013" spans="7:24" ht="15" customHeight="1">
      <c r="G40013"/>
      <c r="I40013"/>
      <c r="N40013"/>
      <c r="O40013" s="24"/>
      <c r="P40013"/>
      <c r="Q40013" s="24"/>
      <c r="R40013"/>
      <c r="S40013"/>
      <c r="T40013"/>
      <c r="U40013"/>
      <c r="X40013" s="60"/>
    </row>
    <row r="40014" spans="7:24" ht="15" customHeight="1">
      <c r="G40014"/>
      <c r="I40014"/>
      <c r="N40014"/>
      <c r="O40014" s="24"/>
      <c r="P40014"/>
      <c r="Q40014" s="24"/>
      <c r="R40014"/>
      <c r="S40014"/>
      <c r="T40014"/>
      <c r="U40014"/>
      <c r="X40014" s="60"/>
    </row>
    <row r="40015" spans="7:24" ht="15" customHeight="1">
      <c r="G40015"/>
      <c r="I40015"/>
      <c r="N40015"/>
      <c r="O40015" s="24"/>
      <c r="P40015"/>
      <c r="Q40015" s="24"/>
      <c r="R40015"/>
      <c r="S40015"/>
      <c r="T40015"/>
      <c r="U40015"/>
      <c r="X40015" s="60"/>
    </row>
    <row r="40016" spans="7:24" ht="15" customHeight="1">
      <c r="G40016"/>
      <c r="I40016"/>
      <c r="N40016"/>
      <c r="O40016" s="24"/>
      <c r="P40016"/>
      <c r="Q40016" s="24"/>
      <c r="R40016"/>
      <c r="S40016"/>
      <c r="T40016"/>
      <c r="U40016"/>
      <c r="X40016" s="60"/>
    </row>
    <row r="40017" spans="7:24" ht="15" customHeight="1">
      <c r="G40017"/>
      <c r="I40017"/>
      <c r="N40017"/>
      <c r="O40017" s="24"/>
      <c r="P40017"/>
      <c r="Q40017" s="24"/>
      <c r="R40017"/>
      <c r="S40017"/>
      <c r="T40017"/>
      <c r="U40017"/>
      <c r="X40017" s="60"/>
    </row>
    <row r="40018" spans="7:24" ht="15" customHeight="1">
      <c r="G40018"/>
      <c r="I40018"/>
      <c r="N40018"/>
      <c r="O40018" s="24"/>
      <c r="P40018"/>
      <c r="Q40018" s="24"/>
      <c r="R40018"/>
      <c r="S40018"/>
      <c r="T40018"/>
      <c r="U40018"/>
      <c r="X40018" s="60"/>
    </row>
    <row r="40019" spans="7:24" ht="15" customHeight="1">
      <c r="G40019"/>
      <c r="I40019"/>
      <c r="N40019"/>
      <c r="O40019" s="24"/>
      <c r="P40019"/>
      <c r="Q40019" s="24"/>
      <c r="R40019"/>
      <c r="S40019"/>
      <c r="T40019"/>
      <c r="U40019"/>
      <c r="X40019" s="60"/>
    </row>
    <row r="40020" spans="7:24" ht="15" customHeight="1">
      <c r="G40020"/>
      <c r="I40020"/>
      <c r="N40020"/>
      <c r="O40020" s="24"/>
      <c r="P40020"/>
      <c r="Q40020" s="24"/>
      <c r="R40020"/>
      <c r="S40020"/>
      <c r="T40020"/>
      <c r="U40020"/>
      <c r="X40020" s="60"/>
    </row>
    <row r="40021" spans="7:24" ht="15" customHeight="1">
      <c r="G40021"/>
      <c r="I40021"/>
      <c r="N40021"/>
      <c r="O40021" s="24"/>
      <c r="P40021"/>
      <c r="Q40021" s="24"/>
      <c r="R40021"/>
      <c r="S40021"/>
      <c r="T40021"/>
      <c r="U40021"/>
      <c r="X40021" s="60"/>
    </row>
    <row r="40022" spans="7:24" ht="15" customHeight="1">
      <c r="G40022"/>
      <c r="I40022"/>
      <c r="N40022"/>
      <c r="O40022" s="24"/>
      <c r="P40022"/>
      <c r="Q40022" s="24"/>
      <c r="R40022"/>
      <c r="S40022"/>
      <c r="T40022"/>
      <c r="U40022"/>
      <c r="X40022" s="60"/>
    </row>
    <row r="40023" spans="7:24" ht="15" customHeight="1">
      <c r="G40023"/>
      <c r="I40023"/>
      <c r="N40023"/>
      <c r="O40023" s="24"/>
      <c r="P40023"/>
      <c r="Q40023" s="24"/>
      <c r="R40023"/>
      <c r="S40023"/>
      <c r="T40023"/>
      <c r="U40023"/>
      <c r="X40023" s="60"/>
    </row>
    <row r="40024" spans="7:24" ht="15" customHeight="1">
      <c r="G40024"/>
      <c r="I40024"/>
      <c r="N40024"/>
      <c r="O40024" s="24"/>
      <c r="P40024"/>
      <c r="Q40024" s="24"/>
      <c r="R40024"/>
      <c r="S40024"/>
      <c r="T40024"/>
      <c r="U40024"/>
      <c r="X40024" s="60"/>
    </row>
    <row r="40025" spans="7:24" ht="15" customHeight="1">
      <c r="G40025"/>
      <c r="I40025"/>
      <c r="N40025"/>
      <c r="O40025" s="24"/>
      <c r="P40025"/>
      <c r="Q40025" s="24"/>
      <c r="R40025"/>
      <c r="S40025"/>
      <c r="T40025"/>
      <c r="U40025"/>
      <c r="X40025" s="60"/>
    </row>
    <row r="40026" spans="7:24" ht="15" customHeight="1">
      <c r="G40026"/>
      <c r="I40026"/>
      <c r="N40026"/>
      <c r="O40026" s="24"/>
      <c r="P40026"/>
      <c r="Q40026" s="24"/>
      <c r="R40026"/>
      <c r="S40026"/>
      <c r="T40026"/>
      <c r="U40026"/>
      <c r="X40026" s="60"/>
    </row>
    <row r="40027" spans="7:24" ht="15" customHeight="1">
      <c r="G40027"/>
      <c r="I40027"/>
      <c r="N40027"/>
      <c r="O40027" s="24"/>
      <c r="P40027"/>
      <c r="Q40027" s="24"/>
      <c r="R40027"/>
      <c r="S40027"/>
      <c r="T40027"/>
      <c r="U40027"/>
      <c r="X40027" s="60"/>
    </row>
    <row r="40028" spans="7:24" ht="15" customHeight="1">
      <c r="G40028"/>
      <c r="I40028"/>
      <c r="N40028"/>
      <c r="O40028" s="24"/>
      <c r="P40028"/>
      <c r="Q40028" s="24"/>
      <c r="R40028"/>
      <c r="S40028"/>
      <c r="T40028"/>
      <c r="U40028"/>
      <c r="X40028" s="60"/>
    </row>
    <row r="40029" spans="7:24" ht="15" customHeight="1">
      <c r="G40029"/>
      <c r="I40029"/>
      <c r="N40029"/>
      <c r="O40029" s="24"/>
      <c r="P40029"/>
      <c r="Q40029" s="24"/>
      <c r="R40029"/>
      <c r="S40029"/>
      <c r="T40029"/>
      <c r="U40029"/>
      <c r="X40029" s="60"/>
    </row>
    <row r="40030" spans="7:24" ht="15" customHeight="1">
      <c r="G40030"/>
      <c r="I40030"/>
      <c r="N40030"/>
      <c r="O40030" s="24"/>
      <c r="P40030"/>
      <c r="Q40030" s="24"/>
      <c r="R40030"/>
      <c r="S40030"/>
      <c r="T40030"/>
      <c r="U40030"/>
      <c r="X40030" s="60"/>
    </row>
    <row r="40031" spans="7:24" ht="15" customHeight="1">
      <c r="G40031"/>
      <c r="I40031"/>
      <c r="N40031"/>
      <c r="O40031" s="24"/>
      <c r="P40031"/>
      <c r="Q40031" s="24"/>
      <c r="R40031"/>
      <c r="S40031"/>
      <c r="T40031"/>
      <c r="U40031"/>
      <c r="X40031" s="60"/>
    </row>
    <row r="40032" spans="7:24" ht="15" customHeight="1">
      <c r="G40032"/>
      <c r="I40032"/>
      <c r="N40032"/>
      <c r="O40032" s="24"/>
      <c r="P40032"/>
      <c r="Q40032" s="24"/>
      <c r="R40032"/>
      <c r="S40032"/>
      <c r="T40032"/>
      <c r="U40032"/>
      <c r="X40032" s="60"/>
    </row>
    <row r="40033" spans="7:24" ht="15" customHeight="1">
      <c r="G40033"/>
      <c r="I40033"/>
      <c r="N40033"/>
      <c r="O40033" s="24"/>
      <c r="P40033"/>
      <c r="Q40033" s="24"/>
      <c r="R40033"/>
      <c r="S40033"/>
      <c r="T40033"/>
      <c r="U40033"/>
      <c r="X40033" s="60"/>
    </row>
    <row r="40034" spans="7:24" ht="15" customHeight="1">
      <c r="G40034"/>
      <c r="I40034"/>
      <c r="N40034"/>
      <c r="O40034" s="24"/>
      <c r="P40034"/>
      <c r="Q40034" s="24"/>
      <c r="R40034"/>
      <c r="S40034"/>
      <c r="T40034"/>
      <c r="U40034"/>
      <c r="X40034" s="60"/>
    </row>
    <row r="40035" spans="7:24" ht="15" customHeight="1">
      <c r="G40035"/>
      <c r="I40035"/>
      <c r="N40035"/>
      <c r="O40035" s="24"/>
      <c r="P40035"/>
      <c r="Q40035" s="24"/>
      <c r="R40035"/>
      <c r="S40035"/>
      <c r="T40035"/>
      <c r="U40035"/>
      <c r="X40035" s="60"/>
    </row>
    <row r="40036" spans="7:24" ht="15" customHeight="1">
      <c r="G40036"/>
      <c r="I40036"/>
      <c r="N40036"/>
      <c r="O40036" s="24"/>
      <c r="P40036"/>
      <c r="Q40036" s="24"/>
      <c r="R40036"/>
      <c r="S40036"/>
      <c r="T40036"/>
      <c r="U40036"/>
      <c r="X40036" s="60"/>
    </row>
    <row r="40037" spans="7:24" ht="15" customHeight="1">
      <c r="G40037"/>
      <c r="I40037"/>
      <c r="N40037"/>
      <c r="O40037" s="24"/>
      <c r="P40037"/>
      <c r="Q40037" s="24"/>
      <c r="R40037"/>
      <c r="S40037"/>
      <c r="T40037"/>
      <c r="U40037"/>
      <c r="X40037" s="60"/>
    </row>
    <row r="40038" spans="7:24" ht="15" customHeight="1">
      <c r="G40038"/>
      <c r="I40038"/>
      <c r="N40038"/>
      <c r="O40038" s="24"/>
      <c r="P40038"/>
      <c r="Q40038" s="24"/>
      <c r="R40038"/>
      <c r="S40038"/>
      <c r="T40038"/>
      <c r="U40038"/>
      <c r="X40038" s="60"/>
    </row>
    <row r="40039" spans="7:24" ht="15" customHeight="1">
      <c r="G40039"/>
      <c r="I40039"/>
      <c r="N40039"/>
      <c r="O40039" s="24"/>
      <c r="P40039"/>
      <c r="Q40039" s="24"/>
      <c r="R40039"/>
      <c r="S40039"/>
      <c r="T40039"/>
      <c r="U40039"/>
      <c r="X40039" s="60"/>
    </row>
    <row r="40040" spans="7:24" ht="15" customHeight="1">
      <c r="G40040"/>
      <c r="I40040"/>
      <c r="N40040"/>
      <c r="O40040" s="24"/>
      <c r="P40040"/>
      <c r="Q40040" s="24"/>
      <c r="R40040"/>
      <c r="S40040"/>
      <c r="T40040"/>
      <c r="U40040"/>
      <c r="X40040" s="60"/>
    </row>
    <row r="40041" spans="7:24" ht="15" customHeight="1">
      <c r="G40041"/>
      <c r="I40041"/>
      <c r="N40041"/>
      <c r="O40041" s="24"/>
      <c r="P40041"/>
      <c r="Q40041" s="24"/>
      <c r="R40041"/>
      <c r="S40041"/>
      <c r="T40041"/>
      <c r="U40041"/>
      <c r="X40041" s="60"/>
    </row>
    <row r="40042" spans="7:24" ht="15" customHeight="1">
      <c r="G40042"/>
      <c r="I40042"/>
      <c r="N40042"/>
      <c r="O40042" s="24"/>
      <c r="P40042"/>
      <c r="Q40042" s="24"/>
      <c r="R40042"/>
      <c r="S40042"/>
      <c r="T40042"/>
      <c r="U40042"/>
      <c r="X40042" s="60"/>
    </row>
    <row r="40043" spans="7:24" ht="15" customHeight="1">
      <c r="G40043"/>
      <c r="I40043"/>
      <c r="N40043"/>
      <c r="O40043" s="24"/>
      <c r="P40043"/>
      <c r="Q40043" s="24"/>
      <c r="R40043"/>
      <c r="S40043"/>
      <c r="T40043"/>
      <c r="U40043"/>
      <c r="X40043" s="60"/>
    </row>
    <row r="40044" spans="7:24" ht="15" customHeight="1">
      <c r="G40044"/>
      <c r="I40044"/>
      <c r="N40044"/>
      <c r="O40044" s="24"/>
      <c r="P40044"/>
      <c r="Q40044" s="24"/>
      <c r="R40044"/>
      <c r="S40044"/>
      <c r="T40044"/>
      <c r="U40044"/>
      <c r="X40044" s="60"/>
    </row>
    <row r="40045" spans="7:24" ht="15" customHeight="1">
      <c r="G40045"/>
      <c r="I40045"/>
      <c r="N40045"/>
      <c r="O40045" s="24"/>
      <c r="P40045"/>
      <c r="Q40045" s="24"/>
      <c r="R40045"/>
      <c r="S40045"/>
      <c r="T40045"/>
      <c r="U40045"/>
      <c r="X40045" s="60"/>
    </row>
    <row r="40046" spans="7:24" ht="15" customHeight="1">
      <c r="G40046"/>
      <c r="I40046"/>
      <c r="N40046"/>
      <c r="O40046" s="24"/>
      <c r="P40046"/>
      <c r="Q40046" s="24"/>
      <c r="R40046"/>
      <c r="S40046"/>
      <c r="T40046"/>
      <c r="U40046"/>
      <c r="X40046" s="60"/>
    </row>
    <row r="40047" spans="7:24" ht="15" customHeight="1">
      <c r="G40047"/>
      <c r="I40047"/>
      <c r="N40047"/>
      <c r="O40047" s="24"/>
      <c r="P40047"/>
      <c r="Q40047" s="24"/>
      <c r="R40047"/>
      <c r="S40047"/>
      <c r="T40047"/>
      <c r="U40047"/>
      <c r="X40047" s="60"/>
    </row>
    <row r="40048" spans="7:24" ht="15" customHeight="1">
      <c r="G40048"/>
      <c r="I40048"/>
      <c r="N40048"/>
      <c r="O40048" s="24"/>
      <c r="P40048"/>
      <c r="Q40048" s="24"/>
      <c r="R40048"/>
      <c r="S40048"/>
      <c r="T40048"/>
      <c r="U40048"/>
      <c r="X40048" s="60"/>
    </row>
    <row r="40049" spans="7:24" ht="15" customHeight="1">
      <c r="G40049"/>
      <c r="I40049"/>
      <c r="N40049"/>
      <c r="O40049" s="24"/>
      <c r="P40049"/>
      <c r="Q40049" s="24"/>
      <c r="R40049"/>
      <c r="S40049"/>
      <c r="T40049"/>
      <c r="U40049"/>
      <c r="X40049" s="60"/>
    </row>
    <row r="40050" spans="7:24" ht="15" customHeight="1">
      <c r="G40050"/>
      <c r="I40050"/>
      <c r="N40050"/>
      <c r="O40050" s="24"/>
      <c r="P40050"/>
      <c r="Q40050" s="24"/>
      <c r="R40050"/>
      <c r="S40050"/>
      <c r="T40050"/>
      <c r="U40050"/>
      <c r="X40050" s="60"/>
    </row>
    <row r="40051" spans="7:24" ht="15" customHeight="1">
      <c r="G40051"/>
      <c r="I40051"/>
      <c r="N40051"/>
      <c r="O40051" s="24"/>
      <c r="P40051"/>
      <c r="Q40051" s="24"/>
      <c r="R40051"/>
      <c r="S40051"/>
      <c r="T40051"/>
      <c r="U40051"/>
      <c r="X40051" s="60"/>
    </row>
    <row r="40052" spans="7:24" ht="15" customHeight="1">
      <c r="G40052"/>
      <c r="I40052"/>
      <c r="N40052"/>
      <c r="O40052" s="24"/>
      <c r="P40052"/>
      <c r="Q40052" s="24"/>
      <c r="R40052"/>
      <c r="S40052"/>
      <c r="T40052"/>
      <c r="U40052"/>
      <c r="X40052" s="60"/>
    </row>
    <row r="40053" spans="7:24" ht="15" customHeight="1">
      <c r="G40053"/>
      <c r="I40053"/>
      <c r="N40053"/>
      <c r="O40053" s="24"/>
      <c r="P40053"/>
      <c r="Q40053" s="24"/>
      <c r="R40053"/>
      <c r="S40053"/>
      <c r="T40053"/>
      <c r="U40053"/>
      <c r="X40053" s="60"/>
    </row>
    <row r="40054" spans="7:24" ht="15" customHeight="1">
      <c r="G40054"/>
      <c r="I40054"/>
      <c r="N40054"/>
      <c r="O40054" s="24"/>
      <c r="P40054"/>
      <c r="Q40054" s="24"/>
      <c r="R40054"/>
      <c r="S40054"/>
      <c r="T40054"/>
      <c r="U40054"/>
      <c r="X40054" s="60"/>
    </row>
    <row r="40055" spans="7:24" ht="15" customHeight="1">
      <c r="G40055"/>
      <c r="I40055"/>
      <c r="N40055"/>
      <c r="O40055" s="24"/>
      <c r="P40055"/>
      <c r="Q40055" s="24"/>
      <c r="R40055"/>
      <c r="S40055"/>
      <c r="T40055"/>
      <c r="U40055"/>
      <c r="X40055" s="60"/>
    </row>
    <row r="40056" spans="7:24" ht="15" customHeight="1">
      <c r="G40056"/>
      <c r="I40056"/>
      <c r="N40056"/>
      <c r="O40056" s="24"/>
      <c r="P40056"/>
      <c r="Q40056" s="24"/>
      <c r="R40056"/>
      <c r="S40056"/>
      <c r="T40056"/>
      <c r="U40056"/>
      <c r="X40056" s="60"/>
    </row>
    <row r="40057" spans="7:24" ht="15" customHeight="1">
      <c r="G40057"/>
      <c r="I40057"/>
      <c r="N40057"/>
      <c r="O40057" s="24"/>
      <c r="P40057"/>
      <c r="Q40057" s="24"/>
      <c r="R40057"/>
      <c r="S40057"/>
      <c r="T40057"/>
      <c r="U40057"/>
      <c r="X40057" s="60"/>
    </row>
    <row r="40058" spans="7:24" ht="15" customHeight="1">
      <c r="G40058"/>
      <c r="I40058"/>
      <c r="N40058"/>
      <c r="O40058" s="24"/>
      <c r="P40058"/>
      <c r="Q40058" s="24"/>
      <c r="R40058"/>
      <c r="S40058"/>
      <c r="T40058"/>
      <c r="U40058"/>
      <c r="X40058" s="60"/>
    </row>
    <row r="40059" spans="7:24" ht="15" customHeight="1">
      <c r="G40059"/>
      <c r="I40059"/>
      <c r="N40059"/>
      <c r="O40059" s="24"/>
      <c r="P40059"/>
      <c r="Q40059" s="24"/>
      <c r="R40059"/>
      <c r="S40059"/>
      <c r="T40059"/>
      <c r="U40059"/>
      <c r="X40059" s="60"/>
    </row>
    <row r="40060" spans="7:24" ht="15" customHeight="1">
      <c r="G40060"/>
      <c r="I40060"/>
      <c r="N40060"/>
      <c r="O40060" s="24"/>
      <c r="P40060"/>
      <c r="Q40060" s="24"/>
      <c r="R40060"/>
      <c r="S40060"/>
      <c r="T40060"/>
      <c r="U40060"/>
      <c r="X40060" s="60"/>
    </row>
    <row r="40061" spans="7:24" ht="15" customHeight="1">
      <c r="G40061"/>
      <c r="I40061"/>
      <c r="N40061"/>
      <c r="O40061" s="24"/>
      <c r="P40061"/>
      <c r="Q40061" s="24"/>
      <c r="R40061"/>
      <c r="S40061"/>
      <c r="T40061"/>
      <c r="U40061"/>
      <c r="X40061" s="60"/>
    </row>
    <row r="40062" spans="7:24" ht="15" customHeight="1">
      <c r="G40062"/>
      <c r="I40062"/>
      <c r="N40062"/>
      <c r="O40062" s="24"/>
      <c r="P40062"/>
      <c r="Q40062" s="24"/>
      <c r="R40062"/>
      <c r="S40062"/>
      <c r="T40062"/>
      <c r="U40062"/>
      <c r="X40062" s="60"/>
    </row>
    <row r="40063" spans="7:24" ht="15" customHeight="1">
      <c r="G40063"/>
      <c r="I40063"/>
      <c r="N40063"/>
      <c r="O40063" s="24"/>
      <c r="P40063"/>
      <c r="Q40063" s="24"/>
      <c r="R40063"/>
      <c r="S40063"/>
      <c r="T40063"/>
      <c r="U40063"/>
      <c r="X40063" s="60"/>
    </row>
    <row r="40064" spans="7:24" ht="15" customHeight="1">
      <c r="G40064"/>
      <c r="I40064"/>
      <c r="N40064"/>
      <c r="O40064" s="24"/>
      <c r="P40064"/>
      <c r="Q40064" s="24"/>
      <c r="R40064"/>
      <c r="S40064"/>
      <c r="T40064"/>
      <c r="U40064"/>
      <c r="X40064" s="60"/>
    </row>
    <row r="40065" spans="7:24" ht="15" customHeight="1">
      <c r="G40065"/>
      <c r="I40065"/>
      <c r="N40065"/>
      <c r="O40065" s="24"/>
      <c r="P40065"/>
      <c r="Q40065" s="24"/>
      <c r="R40065"/>
      <c r="S40065"/>
      <c r="T40065"/>
      <c r="U40065"/>
      <c r="X40065" s="60"/>
    </row>
    <row r="40066" spans="7:24" ht="15" customHeight="1">
      <c r="G40066"/>
      <c r="I40066"/>
      <c r="N40066"/>
      <c r="O40066" s="24"/>
      <c r="P40066"/>
      <c r="Q40066" s="24"/>
      <c r="R40066"/>
      <c r="S40066"/>
      <c r="T40066"/>
      <c r="U40066"/>
      <c r="X40066" s="60"/>
    </row>
    <row r="40067" spans="7:24" ht="15" customHeight="1">
      <c r="G40067"/>
      <c r="I40067"/>
      <c r="N40067"/>
      <c r="O40067" s="24"/>
      <c r="P40067"/>
      <c r="Q40067" s="24"/>
      <c r="R40067"/>
      <c r="S40067"/>
      <c r="T40067"/>
      <c r="U40067"/>
      <c r="X40067" s="60"/>
    </row>
    <row r="40068" spans="7:24" ht="15" customHeight="1">
      <c r="G40068"/>
      <c r="I40068"/>
      <c r="N40068"/>
      <c r="O40068" s="24"/>
      <c r="P40068"/>
      <c r="Q40068" s="24"/>
      <c r="R40068"/>
      <c r="S40068"/>
      <c r="T40068"/>
      <c r="U40068"/>
      <c r="X40068" s="60"/>
    </row>
    <row r="40069" spans="7:24" ht="15" customHeight="1">
      <c r="G40069"/>
      <c r="I40069"/>
      <c r="N40069"/>
      <c r="O40069" s="24"/>
      <c r="P40069"/>
      <c r="Q40069" s="24"/>
      <c r="R40069"/>
      <c r="S40069"/>
      <c r="T40069"/>
      <c r="U40069"/>
      <c r="X40069" s="60"/>
    </row>
    <row r="40070" spans="7:24" ht="15" customHeight="1">
      <c r="G40070"/>
      <c r="I40070"/>
      <c r="N40070"/>
      <c r="O40070" s="24"/>
      <c r="P40070"/>
      <c r="Q40070" s="24"/>
      <c r="R40070"/>
      <c r="S40070"/>
      <c r="T40070"/>
      <c r="U40070"/>
      <c r="X40070" s="60"/>
    </row>
    <row r="40071" spans="7:24" ht="15" customHeight="1">
      <c r="G40071"/>
      <c r="I40071"/>
      <c r="N40071"/>
      <c r="O40071" s="24"/>
      <c r="P40071"/>
      <c r="Q40071" s="24"/>
      <c r="R40071"/>
      <c r="S40071"/>
      <c r="T40071"/>
      <c r="U40071"/>
      <c r="X40071" s="60"/>
    </row>
    <row r="40072" spans="7:24" ht="15" customHeight="1">
      <c r="G40072"/>
      <c r="I40072"/>
      <c r="N40072"/>
      <c r="O40072" s="24"/>
      <c r="P40072"/>
      <c r="Q40072" s="24"/>
      <c r="R40072"/>
      <c r="S40072"/>
      <c r="T40072"/>
      <c r="U40072"/>
      <c r="X40072" s="60"/>
    </row>
    <row r="40073" spans="7:24" ht="15" customHeight="1">
      <c r="G40073"/>
      <c r="I40073"/>
      <c r="N40073"/>
      <c r="O40073" s="24"/>
      <c r="P40073"/>
      <c r="Q40073" s="24"/>
      <c r="R40073"/>
      <c r="S40073"/>
      <c r="T40073"/>
      <c r="U40073"/>
      <c r="X40073" s="60"/>
    </row>
    <row r="40074" spans="7:24" ht="15" customHeight="1">
      <c r="G40074"/>
      <c r="I40074"/>
      <c r="N40074"/>
      <c r="O40074" s="24"/>
      <c r="P40074"/>
      <c r="Q40074" s="24"/>
      <c r="R40074"/>
      <c r="S40074"/>
      <c r="T40074"/>
      <c r="U40074"/>
      <c r="X40074" s="60"/>
    </row>
    <row r="40075" spans="7:24" ht="15" customHeight="1">
      <c r="G40075"/>
      <c r="I40075"/>
      <c r="N40075"/>
      <c r="O40075" s="24"/>
      <c r="P40075"/>
      <c r="Q40075" s="24"/>
      <c r="R40075"/>
      <c r="S40075"/>
      <c r="T40075"/>
      <c r="U40075"/>
      <c r="X40075" s="60"/>
    </row>
    <row r="40076" spans="7:24" ht="15" customHeight="1">
      <c r="G40076"/>
      <c r="I40076"/>
      <c r="N40076"/>
      <c r="O40076" s="24"/>
      <c r="P40076"/>
      <c r="Q40076" s="24"/>
      <c r="R40076"/>
      <c r="S40076"/>
      <c r="T40076"/>
      <c r="U40076"/>
      <c r="X40076" s="60"/>
    </row>
    <row r="40077" spans="7:24" ht="15" customHeight="1">
      <c r="G40077"/>
      <c r="I40077"/>
      <c r="N40077"/>
      <c r="O40077" s="24"/>
      <c r="P40077"/>
      <c r="Q40077" s="24"/>
      <c r="R40077"/>
      <c r="S40077"/>
      <c r="T40077"/>
      <c r="U40077"/>
      <c r="X40077" s="60"/>
    </row>
    <row r="40078" spans="7:24" ht="15" customHeight="1">
      <c r="G40078"/>
      <c r="I40078"/>
      <c r="N40078"/>
      <c r="O40078" s="24"/>
      <c r="P40078"/>
      <c r="Q40078" s="24"/>
      <c r="R40078"/>
      <c r="S40078"/>
      <c r="T40078"/>
      <c r="U40078"/>
      <c r="X40078" s="60"/>
    </row>
    <row r="40079" spans="7:24" ht="15" customHeight="1">
      <c r="G40079"/>
      <c r="I40079"/>
      <c r="N40079"/>
      <c r="O40079" s="24"/>
      <c r="P40079"/>
      <c r="Q40079" s="24"/>
      <c r="R40079"/>
      <c r="S40079"/>
      <c r="T40079"/>
      <c r="U40079"/>
      <c r="X40079" s="60"/>
    </row>
    <row r="40080" spans="7:24" ht="15" customHeight="1">
      <c r="G40080"/>
      <c r="I40080"/>
      <c r="N40080"/>
      <c r="O40080" s="24"/>
      <c r="P40080"/>
      <c r="Q40080" s="24"/>
      <c r="R40080"/>
      <c r="S40080"/>
      <c r="T40080"/>
      <c r="U40080"/>
      <c r="X40080" s="60"/>
    </row>
    <row r="40081" spans="7:24" ht="15" customHeight="1">
      <c r="G40081"/>
      <c r="I40081"/>
      <c r="N40081"/>
      <c r="O40081" s="24"/>
      <c r="P40081"/>
      <c r="Q40081" s="24"/>
      <c r="R40081"/>
      <c r="S40081"/>
      <c r="T40081"/>
      <c r="U40081"/>
      <c r="X40081" s="60"/>
    </row>
    <row r="40082" spans="7:24" ht="15" customHeight="1">
      <c r="G40082"/>
      <c r="I40082"/>
      <c r="N40082"/>
      <c r="O40082" s="24"/>
      <c r="P40082"/>
      <c r="Q40082" s="24"/>
      <c r="R40082"/>
      <c r="S40082"/>
      <c r="T40082"/>
      <c r="U40082"/>
      <c r="X40082" s="60"/>
    </row>
    <row r="40083" spans="7:24" ht="15" customHeight="1">
      <c r="G40083"/>
      <c r="I40083"/>
      <c r="N40083"/>
      <c r="O40083" s="24"/>
      <c r="P40083"/>
      <c r="Q40083" s="24"/>
      <c r="R40083"/>
      <c r="S40083"/>
      <c r="T40083"/>
      <c r="U40083"/>
      <c r="X40083" s="60"/>
    </row>
    <row r="40084" spans="7:24" ht="15" customHeight="1">
      <c r="G40084"/>
      <c r="I40084"/>
      <c r="N40084"/>
      <c r="O40084" s="24"/>
      <c r="P40084"/>
      <c r="Q40084" s="24"/>
      <c r="R40084"/>
      <c r="S40084"/>
      <c r="T40084"/>
      <c r="U40084"/>
      <c r="X40084" s="60"/>
    </row>
    <row r="40085" spans="7:24" ht="15" customHeight="1">
      <c r="G40085"/>
      <c r="I40085"/>
      <c r="N40085"/>
      <c r="O40085" s="24"/>
      <c r="P40085"/>
      <c r="Q40085" s="24"/>
      <c r="R40085"/>
      <c r="S40085"/>
      <c r="T40085"/>
      <c r="U40085"/>
      <c r="X40085" s="60"/>
    </row>
    <row r="40086" spans="7:24" ht="15" customHeight="1">
      <c r="G40086"/>
      <c r="I40086"/>
      <c r="N40086"/>
      <c r="O40086" s="24"/>
      <c r="P40086"/>
      <c r="Q40086" s="24"/>
      <c r="R40086"/>
      <c r="S40086"/>
      <c r="T40086"/>
      <c r="U40086"/>
      <c r="X40086" s="60"/>
    </row>
    <row r="40087" spans="7:24" ht="15" customHeight="1">
      <c r="G40087"/>
      <c r="I40087"/>
      <c r="N40087"/>
      <c r="O40087" s="24"/>
      <c r="P40087"/>
      <c r="Q40087" s="24"/>
      <c r="R40087"/>
      <c r="S40087"/>
      <c r="T40087"/>
      <c r="U40087"/>
      <c r="X40087" s="60"/>
    </row>
    <row r="40088" spans="7:24" ht="15" customHeight="1">
      <c r="G40088"/>
      <c r="I40088"/>
      <c r="N40088"/>
      <c r="O40088" s="24"/>
      <c r="P40088"/>
      <c r="Q40088" s="24"/>
      <c r="R40088"/>
      <c r="S40088"/>
      <c r="T40088"/>
      <c r="U40088"/>
      <c r="X40088" s="60"/>
    </row>
    <row r="40089" spans="7:24" ht="15" customHeight="1">
      <c r="G40089"/>
      <c r="I40089"/>
      <c r="N40089"/>
      <c r="O40089" s="24"/>
      <c r="P40089"/>
      <c r="Q40089" s="24"/>
      <c r="R40089"/>
      <c r="S40089"/>
      <c r="T40089"/>
      <c r="U40089"/>
      <c r="X40089" s="60"/>
    </row>
    <row r="40090" spans="7:24" ht="15" customHeight="1">
      <c r="G40090"/>
      <c r="I40090"/>
      <c r="N40090"/>
      <c r="O40090" s="24"/>
      <c r="P40090"/>
      <c r="Q40090" s="24"/>
      <c r="R40090"/>
      <c r="S40090"/>
      <c r="T40090"/>
      <c r="U40090"/>
      <c r="X40090" s="60"/>
    </row>
    <row r="40091" spans="7:24" ht="15" customHeight="1">
      <c r="G40091"/>
      <c r="I40091"/>
      <c r="N40091"/>
      <c r="O40091" s="24"/>
      <c r="P40091"/>
      <c r="Q40091" s="24"/>
      <c r="R40091"/>
      <c r="S40091"/>
      <c r="T40091"/>
      <c r="U40091"/>
      <c r="X40091" s="60"/>
    </row>
    <row r="40092" spans="7:24" ht="15" customHeight="1">
      <c r="G40092"/>
      <c r="I40092"/>
      <c r="N40092"/>
      <c r="O40092" s="24"/>
      <c r="P40092"/>
      <c r="Q40092" s="24"/>
      <c r="R40092"/>
      <c r="S40092"/>
      <c r="T40092"/>
      <c r="U40092"/>
      <c r="X40092" s="60"/>
    </row>
    <row r="40093" spans="7:24" ht="15" customHeight="1">
      <c r="G40093"/>
      <c r="I40093"/>
      <c r="N40093"/>
      <c r="O40093" s="24"/>
      <c r="P40093"/>
      <c r="Q40093" s="24"/>
      <c r="R40093"/>
      <c r="S40093"/>
      <c r="T40093"/>
      <c r="U40093"/>
      <c r="X40093" s="60"/>
    </row>
    <row r="40094" spans="7:24" ht="15" customHeight="1">
      <c r="G40094"/>
      <c r="I40094"/>
      <c r="N40094"/>
      <c r="O40094" s="24"/>
      <c r="P40094"/>
      <c r="Q40094" s="24"/>
      <c r="R40094"/>
      <c r="S40094"/>
      <c r="T40094"/>
      <c r="U40094"/>
      <c r="X40094" s="60"/>
    </row>
    <row r="40095" spans="7:24" ht="15" customHeight="1">
      <c r="G40095"/>
      <c r="I40095"/>
      <c r="N40095"/>
      <c r="O40095" s="24"/>
      <c r="P40095"/>
      <c r="Q40095" s="24"/>
      <c r="R40095"/>
      <c r="S40095"/>
      <c r="T40095"/>
      <c r="U40095"/>
      <c r="X40095" s="60"/>
    </row>
    <row r="40096" spans="7:24" ht="15" customHeight="1">
      <c r="G40096"/>
      <c r="I40096"/>
      <c r="N40096"/>
      <c r="O40096" s="24"/>
      <c r="P40096"/>
      <c r="Q40096" s="24"/>
      <c r="R40096"/>
      <c r="S40096"/>
      <c r="T40096"/>
      <c r="U40096"/>
      <c r="X40096" s="60"/>
    </row>
    <row r="40097" spans="7:24" ht="15" customHeight="1">
      <c r="G40097"/>
      <c r="I40097"/>
      <c r="N40097"/>
      <c r="O40097" s="24"/>
      <c r="P40097"/>
      <c r="Q40097" s="24"/>
      <c r="R40097"/>
      <c r="S40097"/>
      <c r="T40097"/>
      <c r="U40097"/>
      <c r="X40097" s="60"/>
    </row>
    <row r="40098" spans="7:24" ht="15" customHeight="1">
      <c r="G40098"/>
      <c r="I40098"/>
      <c r="N40098"/>
      <c r="O40098" s="24"/>
      <c r="P40098"/>
      <c r="Q40098" s="24"/>
      <c r="R40098"/>
      <c r="S40098"/>
      <c r="T40098"/>
      <c r="U40098"/>
      <c r="X40098" s="60"/>
    </row>
    <row r="40099" spans="7:24" ht="15" customHeight="1">
      <c r="G40099"/>
      <c r="I40099"/>
      <c r="N40099"/>
      <c r="O40099" s="24"/>
      <c r="P40099"/>
      <c r="Q40099" s="24"/>
      <c r="R40099"/>
      <c r="S40099"/>
      <c r="T40099"/>
      <c r="U40099"/>
      <c r="X40099" s="60"/>
    </row>
    <row r="40100" spans="7:24" ht="15" customHeight="1">
      <c r="G40100"/>
      <c r="I40100"/>
      <c r="N40100"/>
      <c r="O40100" s="24"/>
      <c r="P40100"/>
      <c r="Q40100" s="24"/>
      <c r="R40100"/>
      <c r="S40100"/>
      <c r="T40100"/>
      <c r="U40100"/>
      <c r="X40100" s="60"/>
    </row>
    <row r="40101" spans="7:24" ht="15" customHeight="1">
      <c r="G40101"/>
      <c r="I40101"/>
      <c r="N40101"/>
      <c r="O40101" s="24"/>
      <c r="P40101"/>
      <c r="Q40101" s="24"/>
      <c r="R40101"/>
      <c r="S40101"/>
      <c r="T40101"/>
      <c r="U40101"/>
      <c r="X40101" s="60"/>
    </row>
    <row r="40102" spans="7:24" ht="15" customHeight="1">
      <c r="G40102"/>
      <c r="I40102"/>
      <c r="N40102"/>
      <c r="O40102" s="24"/>
      <c r="P40102"/>
      <c r="Q40102" s="24"/>
      <c r="R40102"/>
      <c r="S40102"/>
      <c r="T40102"/>
      <c r="U40102"/>
      <c r="X40102" s="60"/>
    </row>
    <row r="40103" spans="7:24" ht="15" customHeight="1">
      <c r="G40103"/>
      <c r="I40103"/>
      <c r="N40103"/>
      <c r="O40103" s="24"/>
      <c r="P40103"/>
      <c r="Q40103" s="24"/>
      <c r="R40103"/>
      <c r="S40103"/>
      <c r="T40103"/>
      <c r="U40103"/>
      <c r="X40103" s="60"/>
    </row>
    <row r="40104" spans="7:24" ht="15" customHeight="1">
      <c r="G40104"/>
      <c r="I40104"/>
      <c r="N40104"/>
      <c r="O40104" s="24"/>
      <c r="P40104"/>
      <c r="Q40104" s="24"/>
      <c r="R40104"/>
      <c r="S40104"/>
      <c r="T40104"/>
      <c r="U40104"/>
      <c r="X40104" s="60"/>
    </row>
    <row r="40105" spans="7:24" ht="15" customHeight="1">
      <c r="G40105"/>
      <c r="I40105"/>
      <c r="N40105"/>
      <c r="O40105" s="24"/>
      <c r="P40105"/>
      <c r="Q40105" s="24"/>
      <c r="R40105"/>
      <c r="S40105"/>
      <c r="T40105"/>
      <c r="U40105"/>
      <c r="X40105" s="60"/>
    </row>
    <row r="40106" spans="7:24" ht="15" customHeight="1">
      <c r="G40106"/>
      <c r="I40106"/>
      <c r="N40106"/>
      <c r="O40106" s="24"/>
      <c r="P40106"/>
      <c r="Q40106" s="24"/>
      <c r="R40106"/>
      <c r="S40106"/>
      <c r="T40106"/>
      <c r="U40106"/>
      <c r="X40106" s="60"/>
    </row>
    <row r="40107" spans="7:24" ht="15" customHeight="1">
      <c r="G40107"/>
      <c r="I40107"/>
      <c r="N40107"/>
      <c r="O40107" s="24"/>
      <c r="P40107"/>
      <c r="Q40107" s="24"/>
      <c r="R40107"/>
      <c r="S40107"/>
      <c r="T40107"/>
      <c r="U40107"/>
      <c r="X40107" s="60"/>
    </row>
    <row r="40108" spans="7:24" ht="15" customHeight="1">
      <c r="G40108"/>
      <c r="I40108"/>
      <c r="N40108"/>
      <c r="O40108" s="24"/>
      <c r="P40108"/>
      <c r="Q40108" s="24"/>
      <c r="R40108"/>
      <c r="S40108"/>
      <c r="T40108"/>
      <c r="U40108"/>
      <c r="X40108" s="60"/>
    </row>
    <row r="40109" spans="7:24" ht="15" customHeight="1">
      <c r="G40109"/>
      <c r="I40109"/>
      <c r="N40109"/>
      <c r="O40109" s="24"/>
      <c r="P40109"/>
      <c r="Q40109" s="24"/>
      <c r="R40109"/>
      <c r="S40109"/>
      <c r="T40109"/>
      <c r="U40109"/>
      <c r="X40109" s="60"/>
    </row>
    <row r="40110" spans="7:24" ht="15" customHeight="1">
      <c r="G40110"/>
      <c r="I40110"/>
      <c r="N40110"/>
      <c r="O40110" s="24"/>
      <c r="P40110"/>
      <c r="Q40110" s="24"/>
      <c r="R40110"/>
      <c r="S40110"/>
      <c r="T40110"/>
      <c r="U40110"/>
      <c r="X40110" s="60"/>
    </row>
    <row r="40111" spans="7:24" ht="15" customHeight="1">
      <c r="G40111"/>
      <c r="I40111"/>
      <c r="N40111"/>
      <c r="O40111" s="24"/>
      <c r="P40111"/>
      <c r="Q40111" s="24"/>
      <c r="R40111"/>
      <c r="S40111"/>
      <c r="T40111"/>
      <c r="U40111"/>
      <c r="X40111" s="60"/>
    </row>
    <row r="40112" spans="7:24" ht="15" customHeight="1">
      <c r="G40112"/>
      <c r="I40112"/>
      <c r="N40112"/>
      <c r="O40112" s="24"/>
      <c r="P40112"/>
      <c r="Q40112" s="24"/>
      <c r="R40112"/>
      <c r="S40112"/>
      <c r="T40112"/>
      <c r="U40112"/>
      <c r="X40112" s="60"/>
    </row>
    <row r="40113" spans="7:24" ht="15" customHeight="1">
      <c r="G40113"/>
      <c r="I40113"/>
      <c r="N40113"/>
      <c r="O40113" s="24"/>
      <c r="P40113"/>
      <c r="Q40113" s="24"/>
      <c r="R40113"/>
      <c r="S40113"/>
      <c r="T40113"/>
      <c r="U40113"/>
      <c r="X40113" s="60"/>
    </row>
    <row r="40114" spans="7:24" ht="15" customHeight="1">
      <c r="G40114"/>
      <c r="I40114"/>
      <c r="N40114"/>
      <c r="O40114" s="24"/>
      <c r="P40114"/>
      <c r="Q40114" s="24"/>
      <c r="R40114"/>
      <c r="S40114"/>
      <c r="T40114"/>
      <c r="U40114"/>
      <c r="X40114" s="60"/>
    </row>
    <row r="40115" spans="7:24" ht="15" customHeight="1">
      <c r="G40115"/>
      <c r="I40115"/>
      <c r="N40115"/>
      <c r="O40115" s="24"/>
      <c r="P40115"/>
      <c r="Q40115" s="24"/>
      <c r="R40115"/>
      <c r="S40115"/>
      <c r="T40115"/>
      <c r="U40115"/>
      <c r="X40115" s="60"/>
    </row>
    <row r="40116" spans="7:24" ht="15" customHeight="1">
      <c r="G40116"/>
      <c r="I40116"/>
      <c r="N40116"/>
      <c r="O40116" s="24"/>
      <c r="P40116"/>
      <c r="Q40116" s="24"/>
      <c r="R40116"/>
      <c r="S40116"/>
      <c r="T40116"/>
      <c r="U40116"/>
      <c r="X40116" s="60"/>
    </row>
    <row r="40117" spans="7:24" ht="15" customHeight="1">
      <c r="G40117"/>
      <c r="I40117"/>
      <c r="N40117"/>
      <c r="O40117" s="24"/>
      <c r="P40117"/>
      <c r="Q40117" s="24"/>
      <c r="R40117"/>
      <c r="S40117"/>
      <c r="T40117"/>
      <c r="U40117"/>
      <c r="X40117" s="60"/>
    </row>
    <row r="40118" spans="7:24" ht="15" customHeight="1">
      <c r="G40118"/>
      <c r="I40118"/>
      <c r="N40118"/>
      <c r="O40118" s="24"/>
      <c r="P40118"/>
      <c r="Q40118" s="24"/>
      <c r="R40118"/>
      <c r="S40118"/>
      <c r="T40118"/>
      <c r="U40118"/>
      <c r="X40118" s="60"/>
    </row>
    <row r="40119" spans="7:24" ht="15" customHeight="1">
      <c r="G40119"/>
      <c r="I40119"/>
      <c r="N40119"/>
      <c r="O40119" s="24"/>
      <c r="P40119"/>
      <c r="Q40119" s="24"/>
      <c r="R40119"/>
      <c r="S40119"/>
      <c r="T40119"/>
      <c r="U40119"/>
      <c r="X40119" s="60"/>
    </row>
    <row r="40120" spans="7:24" ht="15" customHeight="1">
      <c r="G40120"/>
      <c r="I40120"/>
      <c r="N40120"/>
      <c r="O40120" s="24"/>
      <c r="P40120"/>
      <c r="Q40120" s="24"/>
      <c r="R40120"/>
      <c r="S40120"/>
      <c r="T40120"/>
      <c r="U40120"/>
      <c r="X40120" s="60"/>
    </row>
    <row r="40121" spans="7:24" ht="15" customHeight="1">
      <c r="G40121"/>
      <c r="I40121"/>
      <c r="N40121"/>
      <c r="O40121" s="24"/>
      <c r="P40121"/>
      <c r="Q40121" s="24"/>
      <c r="R40121"/>
      <c r="S40121"/>
      <c r="T40121"/>
      <c r="U40121"/>
      <c r="X40121" s="60"/>
    </row>
    <row r="40122" spans="7:24" ht="15" customHeight="1">
      <c r="G40122"/>
      <c r="I40122"/>
      <c r="N40122"/>
      <c r="O40122" s="24"/>
      <c r="P40122"/>
      <c r="Q40122" s="24"/>
      <c r="R40122"/>
      <c r="S40122"/>
      <c r="T40122"/>
      <c r="U40122"/>
      <c r="X40122" s="60"/>
    </row>
    <row r="40123" spans="7:24" ht="15" customHeight="1">
      <c r="G40123"/>
      <c r="I40123"/>
      <c r="N40123"/>
      <c r="O40123" s="24"/>
      <c r="P40123"/>
      <c r="Q40123" s="24"/>
      <c r="R40123"/>
      <c r="S40123"/>
      <c r="T40123"/>
      <c r="U40123"/>
      <c r="X40123" s="60"/>
    </row>
    <row r="40124" spans="7:24" ht="15" customHeight="1">
      <c r="G40124"/>
      <c r="I40124"/>
      <c r="N40124"/>
      <c r="O40124" s="24"/>
      <c r="P40124"/>
      <c r="Q40124" s="24"/>
      <c r="R40124"/>
      <c r="S40124"/>
      <c r="T40124"/>
      <c r="U40124"/>
      <c r="X40124" s="60"/>
    </row>
    <row r="40125" spans="7:24" ht="15" customHeight="1">
      <c r="G40125"/>
      <c r="I40125"/>
      <c r="N40125"/>
      <c r="O40125" s="24"/>
      <c r="P40125"/>
      <c r="Q40125" s="24"/>
      <c r="R40125"/>
      <c r="S40125"/>
      <c r="T40125"/>
      <c r="U40125"/>
      <c r="X40125" s="60"/>
    </row>
    <row r="40126" spans="7:24" ht="15" customHeight="1">
      <c r="G40126"/>
      <c r="I40126"/>
      <c r="N40126"/>
      <c r="O40126" s="24"/>
      <c r="P40126"/>
      <c r="Q40126" s="24"/>
      <c r="R40126"/>
      <c r="S40126"/>
      <c r="T40126"/>
      <c r="U40126"/>
      <c r="X40126" s="60"/>
    </row>
    <row r="40127" spans="7:24" ht="15" customHeight="1">
      <c r="G40127"/>
      <c r="I40127"/>
      <c r="N40127"/>
      <c r="O40127" s="24"/>
      <c r="P40127"/>
      <c r="Q40127" s="24"/>
      <c r="R40127"/>
      <c r="S40127"/>
      <c r="T40127"/>
      <c r="U40127"/>
      <c r="X40127" s="60"/>
    </row>
    <row r="40128" spans="7:24" ht="15" customHeight="1">
      <c r="G40128"/>
      <c r="I40128"/>
      <c r="N40128"/>
      <c r="O40128" s="24"/>
      <c r="P40128"/>
      <c r="Q40128" s="24"/>
      <c r="R40128"/>
      <c r="S40128"/>
      <c r="T40128"/>
      <c r="U40128"/>
      <c r="X40128" s="60"/>
    </row>
    <row r="40129" spans="7:24" ht="15" customHeight="1">
      <c r="G40129"/>
      <c r="I40129"/>
      <c r="N40129"/>
      <c r="O40129" s="24"/>
      <c r="P40129"/>
      <c r="Q40129" s="24"/>
      <c r="R40129"/>
      <c r="S40129"/>
      <c r="T40129"/>
      <c r="U40129"/>
      <c r="X40129" s="60"/>
    </row>
    <row r="40130" spans="7:24" ht="15" customHeight="1">
      <c r="G40130"/>
      <c r="I40130"/>
      <c r="N40130"/>
      <c r="O40130" s="24"/>
      <c r="P40130"/>
      <c r="Q40130" s="24"/>
      <c r="R40130"/>
      <c r="S40130"/>
      <c r="T40130"/>
      <c r="U40130"/>
      <c r="X40130" s="60"/>
    </row>
    <row r="40131" spans="7:24" ht="15" customHeight="1">
      <c r="G40131"/>
      <c r="I40131"/>
      <c r="N40131"/>
      <c r="O40131" s="24"/>
      <c r="P40131"/>
      <c r="Q40131" s="24"/>
      <c r="R40131"/>
      <c r="S40131"/>
      <c r="T40131"/>
      <c r="U40131"/>
      <c r="X40131" s="60"/>
    </row>
    <row r="40132" spans="7:24" ht="15" customHeight="1">
      <c r="G40132"/>
      <c r="I40132"/>
      <c r="N40132"/>
      <c r="O40132" s="24"/>
      <c r="P40132"/>
      <c r="Q40132" s="24"/>
      <c r="R40132"/>
      <c r="S40132"/>
      <c r="T40132"/>
      <c r="U40132"/>
      <c r="X40132" s="60"/>
    </row>
    <row r="40133" spans="7:24" ht="15" customHeight="1">
      <c r="G40133"/>
      <c r="I40133"/>
      <c r="N40133"/>
      <c r="O40133" s="24"/>
      <c r="P40133"/>
      <c r="Q40133" s="24"/>
      <c r="R40133"/>
      <c r="S40133"/>
      <c r="T40133"/>
      <c r="U40133"/>
      <c r="X40133" s="60"/>
    </row>
    <row r="40134" spans="7:24" ht="15" customHeight="1">
      <c r="G40134"/>
      <c r="I40134"/>
      <c r="N40134"/>
      <c r="O40134" s="24"/>
      <c r="P40134"/>
      <c r="Q40134" s="24"/>
      <c r="R40134"/>
      <c r="S40134"/>
      <c r="T40134"/>
      <c r="U40134"/>
      <c r="X40134" s="60"/>
    </row>
    <row r="40135" spans="7:24" ht="15" customHeight="1">
      <c r="G40135"/>
      <c r="I40135"/>
      <c r="N40135"/>
      <c r="O40135" s="24"/>
      <c r="P40135"/>
      <c r="Q40135" s="24"/>
      <c r="R40135"/>
      <c r="S40135"/>
      <c r="T40135"/>
      <c r="U40135"/>
      <c r="X40135" s="60"/>
    </row>
    <row r="40136" spans="7:24" ht="15" customHeight="1">
      <c r="G40136"/>
      <c r="I40136"/>
      <c r="N40136"/>
      <c r="O40136" s="24"/>
      <c r="P40136"/>
      <c r="Q40136" s="24"/>
      <c r="R40136"/>
      <c r="S40136"/>
      <c r="T40136"/>
      <c r="U40136"/>
      <c r="X40136" s="60"/>
    </row>
    <row r="40137" spans="7:24" ht="15" customHeight="1">
      <c r="G40137"/>
      <c r="I40137"/>
      <c r="N40137"/>
      <c r="O40137" s="24"/>
      <c r="P40137"/>
      <c r="Q40137" s="24"/>
      <c r="R40137"/>
      <c r="S40137"/>
      <c r="T40137"/>
      <c r="U40137"/>
      <c r="X40137" s="60"/>
    </row>
    <row r="40138" spans="7:24" ht="15" customHeight="1">
      <c r="G40138"/>
      <c r="I40138"/>
      <c r="N40138"/>
      <c r="O40138" s="24"/>
      <c r="P40138"/>
      <c r="Q40138" s="24"/>
      <c r="R40138"/>
      <c r="S40138"/>
      <c r="T40138"/>
      <c r="U40138"/>
      <c r="X40138" s="60"/>
    </row>
    <row r="40139" spans="7:24" ht="15" customHeight="1">
      <c r="G40139"/>
      <c r="I40139"/>
      <c r="N40139"/>
      <c r="O40139" s="24"/>
      <c r="P40139"/>
      <c r="Q40139" s="24"/>
      <c r="R40139"/>
      <c r="S40139"/>
      <c r="T40139"/>
      <c r="U40139"/>
      <c r="X40139" s="60"/>
    </row>
    <row r="40140" spans="7:24" ht="15" customHeight="1">
      <c r="G40140"/>
      <c r="I40140"/>
      <c r="N40140"/>
      <c r="O40140" s="24"/>
      <c r="P40140"/>
      <c r="Q40140" s="24"/>
      <c r="R40140"/>
      <c r="S40140"/>
      <c r="T40140"/>
      <c r="U40140"/>
      <c r="X40140" s="60"/>
    </row>
    <row r="40141" spans="7:24" ht="15" customHeight="1">
      <c r="G40141"/>
      <c r="I40141"/>
      <c r="N40141"/>
      <c r="O40141" s="24"/>
      <c r="P40141"/>
      <c r="Q40141" s="24"/>
      <c r="R40141"/>
      <c r="S40141"/>
      <c r="T40141"/>
      <c r="U40141"/>
      <c r="X40141" s="60"/>
    </row>
    <row r="40142" spans="7:24" ht="15" customHeight="1">
      <c r="G40142"/>
      <c r="I40142"/>
      <c r="N40142"/>
      <c r="O40142" s="24"/>
      <c r="P40142"/>
      <c r="Q40142" s="24"/>
      <c r="R40142"/>
      <c r="S40142"/>
      <c r="T40142"/>
      <c r="U40142"/>
      <c r="X40142" s="60"/>
    </row>
    <row r="40143" spans="7:24" ht="15" customHeight="1">
      <c r="G40143"/>
      <c r="I40143"/>
      <c r="N40143"/>
      <c r="O40143" s="24"/>
      <c r="P40143"/>
      <c r="Q40143" s="24"/>
      <c r="R40143"/>
      <c r="S40143"/>
      <c r="T40143"/>
      <c r="U40143"/>
      <c r="X40143" s="60"/>
    </row>
    <row r="40144" spans="7:24" ht="15" customHeight="1">
      <c r="G40144"/>
      <c r="I40144"/>
      <c r="N40144"/>
      <c r="O40144" s="24"/>
      <c r="P40144"/>
      <c r="Q40144" s="24"/>
      <c r="R40144"/>
      <c r="S40144"/>
      <c r="T40144"/>
      <c r="U40144"/>
      <c r="X40144" s="60"/>
    </row>
    <row r="40145" spans="7:24" ht="15" customHeight="1">
      <c r="G40145"/>
      <c r="I40145"/>
      <c r="N40145"/>
      <c r="O40145" s="24"/>
      <c r="P40145"/>
      <c r="Q40145" s="24"/>
      <c r="R40145"/>
      <c r="S40145"/>
      <c r="T40145"/>
      <c r="U40145"/>
      <c r="X40145" s="60"/>
    </row>
    <row r="40146" spans="7:24" ht="15" customHeight="1">
      <c r="G40146"/>
      <c r="I40146"/>
      <c r="N40146"/>
      <c r="O40146" s="24"/>
      <c r="P40146"/>
      <c r="Q40146" s="24"/>
      <c r="R40146"/>
      <c r="S40146"/>
      <c r="T40146"/>
      <c r="U40146"/>
      <c r="X40146" s="60"/>
    </row>
    <row r="40147" spans="7:24" ht="15" customHeight="1">
      <c r="G40147"/>
      <c r="I40147"/>
      <c r="N40147"/>
      <c r="O40147" s="24"/>
      <c r="P40147"/>
      <c r="Q40147" s="24"/>
      <c r="R40147"/>
      <c r="S40147"/>
      <c r="T40147"/>
      <c r="U40147"/>
      <c r="X40147" s="60"/>
    </row>
    <row r="40148" spans="7:24" ht="15" customHeight="1">
      <c r="G40148"/>
      <c r="I40148"/>
      <c r="N40148"/>
      <c r="O40148" s="24"/>
      <c r="P40148"/>
      <c r="Q40148" s="24"/>
      <c r="R40148"/>
      <c r="S40148"/>
      <c r="T40148"/>
      <c r="U40148"/>
      <c r="X40148" s="60"/>
    </row>
    <row r="40149" spans="7:24" ht="15" customHeight="1">
      <c r="G40149"/>
      <c r="I40149"/>
      <c r="N40149"/>
      <c r="O40149" s="24"/>
      <c r="P40149"/>
      <c r="Q40149" s="24"/>
      <c r="R40149"/>
      <c r="S40149"/>
      <c r="T40149"/>
      <c r="U40149"/>
      <c r="X40149" s="60"/>
    </row>
    <row r="40150" spans="7:24" ht="15" customHeight="1">
      <c r="G40150"/>
      <c r="I40150"/>
      <c r="N40150"/>
      <c r="O40150" s="24"/>
      <c r="P40150"/>
      <c r="Q40150" s="24"/>
      <c r="R40150"/>
      <c r="S40150"/>
      <c r="T40150"/>
      <c r="U40150"/>
      <c r="X40150" s="60"/>
    </row>
    <row r="40151" spans="7:24" ht="15" customHeight="1">
      <c r="G40151"/>
      <c r="I40151"/>
      <c r="N40151"/>
      <c r="O40151" s="24"/>
      <c r="P40151"/>
      <c r="Q40151" s="24"/>
      <c r="R40151"/>
      <c r="S40151"/>
      <c r="T40151"/>
      <c r="U40151"/>
      <c r="X40151" s="60"/>
    </row>
    <row r="40152" spans="7:24" ht="15" customHeight="1">
      <c r="G40152"/>
      <c r="I40152"/>
      <c r="N40152"/>
      <c r="O40152" s="24"/>
      <c r="P40152"/>
      <c r="Q40152" s="24"/>
      <c r="R40152"/>
      <c r="S40152"/>
      <c r="T40152"/>
      <c r="U40152"/>
      <c r="X40152" s="60"/>
    </row>
    <row r="40153" spans="7:24" ht="15" customHeight="1">
      <c r="G40153"/>
      <c r="I40153"/>
      <c r="N40153"/>
      <c r="O40153" s="24"/>
      <c r="P40153"/>
      <c r="Q40153" s="24"/>
      <c r="R40153"/>
      <c r="S40153"/>
      <c r="T40153"/>
      <c r="U40153"/>
      <c r="X40153" s="60"/>
    </row>
    <row r="40154" spans="7:24" ht="15" customHeight="1">
      <c r="G40154"/>
      <c r="I40154"/>
      <c r="N40154"/>
      <c r="O40154" s="24"/>
      <c r="P40154"/>
      <c r="Q40154" s="24"/>
      <c r="R40154"/>
      <c r="S40154"/>
      <c r="T40154"/>
      <c r="U40154"/>
      <c r="X40154" s="60"/>
    </row>
    <row r="40155" spans="7:24" ht="15" customHeight="1">
      <c r="G40155"/>
      <c r="I40155"/>
      <c r="N40155"/>
      <c r="O40155" s="24"/>
      <c r="P40155"/>
      <c r="Q40155" s="24"/>
      <c r="R40155"/>
      <c r="S40155"/>
      <c r="T40155"/>
      <c r="U40155"/>
      <c r="X40155" s="60"/>
    </row>
    <row r="40156" spans="7:24" ht="15" customHeight="1">
      <c r="G40156"/>
      <c r="I40156"/>
      <c r="N40156"/>
      <c r="O40156" s="24"/>
      <c r="P40156"/>
      <c r="Q40156" s="24"/>
      <c r="R40156"/>
      <c r="S40156"/>
      <c r="T40156"/>
      <c r="U40156"/>
      <c r="X40156" s="60"/>
    </row>
    <row r="40157" spans="7:24" ht="15" customHeight="1">
      <c r="G40157"/>
      <c r="I40157"/>
      <c r="N40157"/>
      <c r="O40157" s="24"/>
      <c r="P40157"/>
      <c r="Q40157" s="24"/>
      <c r="R40157"/>
      <c r="S40157"/>
      <c r="T40157"/>
      <c r="U40157"/>
      <c r="X40157" s="60"/>
    </row>
    <row r="40158" spans="7:24" ht="15" customHeight="1">
      <c r="G40158"/>
      <c r="I40158"/>
      <c r="N40158"/>
      <c r="O40158" s="24"/>
      <c r="P40158"/>
      <c r="Q40158" s="24"/>
      <c r="R40158"/>
      <c r="S40158"/>
      <c r="T40158"/>
      <c r="U40158"/>
      <c r="X40158" s="60"/>
    </row>
    <row r="40159" spans="7:24" ht="15" customHeight="1">
      <c r="G40159"/>
      <c r="I40159"/>
      <c r="N40159"/>
      <c r="O40159" s="24"/>
      <c r="P40159"/>
      <c r="Q40159" s="24"/>
      <c r="R40159"/>
      <c r="S40159"/>
      <c r="T40159"/>
      <c r="U40159"/>
      <c r="X40159" s="60"/>
    </row>
    <row r="40160" spans="7:24" ht="15" customHeight="1">
      <c r="G40160"/>
      <c r="I40160"/>
      <c r="N40160"/>
      <c r="O40160" s="24"/>
      <c r="P40160"/>
      <c r="Q40160" s="24"/>
      <c r="R40160"/>
      <c r="S40160"/>
      <c r="T40160"/>
      <c r="U40160"/>
      <c r="X40160" s="60"/>
    </row>
    <row r="40161" spans="7:24" ht="15" customHeight="1">
      <c r="G40161"/>
      <c r="I40161"/>
      <c r="N40161"/>
      <c r="O40161" s="24"/>
      <c r="P40161"/>
      <c r="Q40161" s="24"/>
      <c r="R40161"/>
      <c r="S40161"/>
      <c r="T40161"/>
      <c r="U40161"/>
      <c r="X40161" s="60"/>
    </row>
    <row r="40162" spans="7:24" ht="15" customHeight="1">
      <c r="G40162"/>
      <c r="I40162"/>
      <c r="N40162"/>
      <c r="O40162" s="24"/>
      <c r="P40162"/>
      <c r="Q40162" s="24"/>
      <c r="R40162"/>
      <c r="S40162"/>
      <c r="T40162"/>
      <c r="U40162"/>
      <c r="X40162" s="60"/>
    </row>
    <row r="40163" spans="7:24" ht="15" customHeight="1">
      <c r="G40163"/>
      <c r="I40163"/>
      <c r="N40163"/>
      <c r="O40163" s="24"/>
      <c r="P40163"/>
      <c r="Q40163" s="24"/>
      <c r="R40163"/>
      <c r="S40163"/>
      <c r="T40163"/>
      <c r="U40163"/>
      <c r="X40163" s="60"/>
    </row>
    <row r="40164" spans="7:24" ht="15" customHeight="1">
      <c r="G40164"/>
      <c r="I40164"/>
      <c r="N40164"/>
      <c r="O40164" s="24"/>
      <c r="P40164"/>
      <c r="Q40164" s="24"/>
      <c r="R40164"/>
      <c r="S40164"/>
      <c r="T40164"/>
      <c r="U40164"/>
      <c r="X40164" s="60"/>
    </row>
    <row r="40165" spans="7:24" ht="15" customHeight="1">
      <c r="G40165"/>
      <c r="I40165"/>
      <c r="N40165"/>
      <c r="O40165" s="24"/>
      <c r="P40165"/>
      <c r="Q40165" s="24"/>
      <c r="R40165"/>
      <c r="S40165"/>
      <c r="T40165"/>
      <c r="U40165"/>
      <c r="X40165" s="60"/>
    </row>
    <row r="40166" spans="7:24" ht="15" customHeight="1">
      <c r="G40166"/>
      <c r="I40166"/>
      <c r="N40166"/>
      <c r="O40166" s="24"/>
      <c r="P40166"/>
      <c r="Q40166" s="24"/>
      <c r="R40166"/>
      <c r="S40166"/>
      <c r="T40166"/>
      <c r="U40166"/>
      <c r="X40166" s="60"/>
    </row>
    <row r="40167" spans="7:24" ht="15" customHeight="1">
      <c r="G40167"/>
      <c r="I40167"/>
      <c r="N40167"/>
      <c r="O40167" s="24"/>
      <c r="P40167"/>
      <c r="Q40167" s="24"/>
      <c r="R40167"/>
      <c r="S40167"/>
      <c r="T40167"/>
      <c r="U40167"/>
      <c r="X40167" s="60"/>
    </row>
    <row r="40168" spans="7:24" ht="15" customHeight="1">
      <c r="G40168"/>
      <c r="I40168"/>
      <c r="N40168"/>
      <c r="O40168" s="24"/>
      <c r="P40168"/>
      <c r="Q40168" s="24"/>
      <c r="R40168"/>
      <c r="S40168"/>
      <c r="T40168"/>
      <c r="U40168"/>
      <c r="X40168" s="60"/>
    </row>
    <row r="40169" spans="7:24" ht="15" customHeight="1">
      <c r="G40169"/>
      <c r="I40169"/>
      <c r="N40169"/>
      <c r="O40169" s="24"/>
      <c r="P40169"/>
      <c r="Q40169" s="24"/>
      <c r="R40169"/>
      <c r="S40169"/>
      <c r="T40169"/>
      <c r="U40169"/>
      <c r="X40169" s="60"/>
    </row>
    <row r="40170" spans="7:24" ht="15" customHeight="1">
      <c r="G40170"/>
      <c r="I40170"/>
      <c r="N40170"/>
      <c r="O40170" s="24"/>
      <c r="P40170"/>
      <c r="Q40170" s="24"/>
      <c r="R40170"/>
      <c r="S40170"/>
      <c r="T40170"/>
      <c r="U40170"/>
      <c r="X40170" s="60"/>
    </row>
    <row r="40171" spans="7:24" ht="15" customHeight="1">
      <c r="G40171"/>
      <c r="I40171"/>
      <c r="N40171"/>
      <c r="O40171" s="24"/>
      <c r="P40171"/>
      <c r="Q40171" s="24"/>
      <c r="R40171"/>
      <c r="S40171"/>
      <c r="T40171"/>
      <c r="U40171"/>
      <c r="X40171" s="60"/>
    </row>
    <row r="40172" spans="7:24" ht="15" customHeight="1">
      <c r="G40172"/>
      <c r="I40172"/>
      <c r="N40172"/>
      <c r="O40172" s="24"/>
      <c r="P40172"/>
      <c r="Q40172" s="24"/>
      <c r="R40172"/>
      <c r="S40172"/>
      <c r="T40172"/>
      <c r="U40172"/>
      <c r="X40172" s="60"/>
    </row>
    <row r="40173" spans="7:24" ht="15" customHeight="1">
      <c r="G40173"/>
      <c r="I40173"/>
      <c r="N40173"/>
      <c r="O40173" s="24"/>
      <c r="P40173"/>
      <c r="Q40173" s="24"/>
      <c r="R40173"/>
      <c r="S40173"/>
      <c r="T40173"/>
      <c r="U40173"/>
      <c r="X40173" s="60"/>
    </row>
    <row r="40174" spans="7:24" ht="15" customHeight="1">
      <c r="G40174"/>
      <c r="I40174"/>
      <c r="N40174"/>
      <c r="O40174" s="24"/>
      <c r="P40174"/>
      <c r="Q40174" s="24"/>
      <c r="R40174"/>
      <c r="S40174"/>
      <c r="T40174"/>
      <c r="U40174"/>
      <c r="X40174" s="60"/>
    </row>
    <row r="40175" spans="7:24" ht="15" customHeight="1">
      <c r="G40175"/>
      <c r="I40175"/>
      <c r="N40175"/>
      <c r="O40175" s="24"/>
      <c r="P40175"/>
      <c r="Q40175" s="24"/>
      <c r="R40175"/>
      <c r="S40175"/>
      <c r="T40175"/>
      <c r="U40175"/>
      <c r="X40175" s="60"/>
    </row>
    <row r="40176" spans="7:24" ht="15" customHeight="1">
      <c r="G40176"/>
      <c r="I40176"/>
      <c r="N40176"/>
      <c r="O40176" s="24"/>
      <c r="P40176"/>
      <c r="Q40176" s="24"/>
      <c r="R40176"/>
      <c r="S40176"/>
      <c r="T40176"/>
      <c r="U40176"/>
      <c r="X40176" s="60"/>
    </row>
    <row r="40177" spans="7:24" ht="15" customHeight="1">
      <c r="G40177"/>
      <c r="I40177"/>
      <c r="N40177"/>
      <c r="O40177" s="24"/>
      <c r="P40177"/>
      <c r="Q40177" s="24"/>
      <c r="R40177"/>
      <c r="S40177"/>
      <c r="T40177"/>
      <c r="U40177"/>
      <c r="X40177" s="60"/>
    </row>
    <row r="40178" spans="7:24" ht="15" customHeight="1">
      <c r="G40178"/>
      <c r="I40178"/>
      <c r="N40178"/>
      <c r="O40178" s="24"/>
      <c r="P40178"/>
      <c r="Q40178" s="24"/>
      <c r="R40178"/>
      <c r="S40178"/>
      <c r="T40178"/>
      <c r="U40178"/>
      <c r="X40178" s="60"/>
    </row>
    <row r="40179" spans="7:24" ht="15" customHeight="1">
      <c r="G40179"/>
      <c r="I40179"/>
      <c r="N40179"/>
      <c r="O40179" s="24"/>
      <c r="P40179"/>
      <c r="Q40179" s="24"/>
      <c r="R40179"/>
      <c r="S40179"/>
      <c r="T40179"/>
      <c r="U40179"/>
      <c r="X40179" s="60"/>
    </row>
    <row r="40180" spans="7:24" ht="15" customHeight="1">
      <c r="G40180"/>
      <c r="I40180"/>
      <c r="N40180"/>
      <c r="O40180" s="24"/>
      <c r="P40180"/>
      <c r="Q40180" s="24"/>
      <c r="R40180"/>
      <c r="S40180"/>
      <c r="T40180"/>
      <c r="U40180"/>
      <c r="X40180" s="60"/>
    </row>
    <row r="40181" spans="7:24" ht="15" customHeight="1">
      <c r="G40181"/>
      <c r="I40181"/>
      <c r="N40181"/>
      <c r="O40181" s="24"/>
      <c r="P40181"/>
      <c r="Q40181" s="24"/>
      <c r="R40181"/>
      <c r="S40181"/>
      <c r="T40181"/>
      <c r="U40181"/>
      <c r="X40181" s="60"/>
    </row>
    <row r="40182" spans="7:24" ht="15" customHeight="1">
      <c r="G40182"/>
      <c r="I40182"/>
      <c r="N40182"/>
      <c r="O40182" s="24"/>
      <c r="P40182"/>
      <c r="Q40182" s="24"/>
      <c r="R40182"/>
      <c r="S40182"/>
      <c r="T40182"/>
      <c r="U40182"/>
      <c r="X40182" s="60"/>
    </row>
    <row r="40183" spans="7:24" ht="15" customHeight="1">
      <c r="G40183"/>
      <c r="I40183"/>
      <c r="N40183"/>
      <c r="O40183" s="24"/>
      <c r="P40183"/>
      <c r="Q40183" s="24"/>
      <c r="R40183"/>
      <c r="S40183"/>
      <c r="T40183"/>
      <c r="U40183"/>
      <c r="X40183" s="60"/>
    </row>
    <row r="40184" spans="7:24" ht="15" customHeight="1">
      <c r="G40184"/>
      <c r="I40184"/>
      <c r="N40184"/>
      <c r="O40184" s="24"/>
      <c r="P40184"/>
      <c r="Q40184" s="24"/>
      <c r="R40184"/>
      <c r="S40184"/>
      <c r="T40184"/>
      <c r="U40184"/>
      <c r="X40184" s="60"/>
    </row>
    <row r="40185" spans="7:24" ht="15" customHeight="1">
      <c r="G40185"/>
      <c r="I40185"/>
      <c r="N40185"/>
      <c r="O40185" s="24"/>
      <c r="P40185"/>
      <c r="Q40185" s="24"/>
      <c r="R40185"/>
      <c r="S40185"/>
      <c r="T40185"/>
      <c r="U40185"/>
      <c r="X40185" s="60"/>
    </row>
    <row r="40186" spans="7:24" ht="15" customHeight="1">
      <c r="G40186"/>
      <c r="I40186"/>
      <c r="N40186"/>
      <c r="O40186" s="24"/>
      <c r="P40186"/>
      <c r="Q40186" s="24"/>
      <c r="R40186"/>
      <c r="S40186"/>
      <c r="T40186"/>
      <c r="U40186"/>
      <c r="X40186" s="60"/>
    </row>
    <row r="40187" spans="7:24" ht="15" customHeight="1">
      <c r="G40187"/>
      <c r="I40187"/>
      <c r="N40187"/>
      <c r="O40187" s="24"/>
      <c r="P40187"/>
      <c r="Q40187" s="24"/>
      <c r="R40187"/>
      <c r="S40187"/>
      <c r="T40187"/>
      <c r="U40187"/>
      <c r="X40187" s="60"/>
    </row>
    <row r="40188" spans="7:24" ht="15" customHeight="1">
      <c r="G40188"/>
      <c r="I40188"/>
      <c r="N40188"/>
      <c r="O40188" s="24"/>
      <c r="P40188"/>
      <c r="Q40188" s="24"/>
      <c r="R40188"/>
      <c r="S40188"/>
      <c r="T40188"/>
      <c r="U40188"/>
      <c r="X40188" s="60"/>
    </row>
    <row r="40189" spans="7:24" ht="15" customHeight="1">
      <c r="G40189"/>
      <c r="I40189"/>
      <c r="N40189"/>
      <c r="O40189" s="24"/>
      <c r="P40189"/>
      <c r="Q40189" s="24"/>
      <c r="R40189"/>
      <c r="S40189"/>
      <c r="T40189"/>
      <c r="U40189"/>
      <c r="X40189" s="60"/>
    </row>
    <row r="40190" spans="7:24" ht="15" customHeight="1">
      <c r="G40190"/>
      <c r="I40190"/>
      <c r="N40190"/>
      <c r="O40190" s="24"/>
      <c r="P40190"/>
      <c r="Q40190" s="24"/>
      <c r="R40190"/>
      <c r="S40190"/>
      <c r="T40190"/>
      <c r="U40190"/>
      <c r="X40190" s="60"/>
    </row>
    <row r="40191" spans="7:24" ht="15" customHeight="1">
      <c r="G40191"/>
      <c r="I40191"/>
      <c r="N40191"/>
      <c r="O40191" s="24"/>
      <c r="P40191"/>
      <c r="Q40191" s="24"/>
      <c r="R40191"/>
      <c r="S40191"/>
      <c r="T40191"/>
      <c r="U40191"/>
      <c r="X40191" s="60"/>
    </row>
    <row r="40192" spans="7:24" ht="15" customHeight="1">
      <c r="G40192"/>
      <c r="I40192"/>
      <c r="N40192"/>
      <c r="O40192" s="24"/>
      <c r="P40192"/>
      <c r="Q40192" s="24"/>
      <c r="R40192"/>
      <c r="S40192"/>
      <c r="T40192"/>
      <c r="U40192"/>
      <c r="X40192" s="60"/>
    </row>
    <row r="40193" spans="7:24" ht="15" customHeight="1">
      <c r="G40193"/>
      <c r="I40193"/>
      <c r="N40193"/>
      <c r="O40193" s="24"/>
      <c r="P40193"/>
      <c r="Q40193" s="24"/>
      <c r="R40193"/>
      <c r="S40193"/>
      <c r="T40193"/>
      <c r="U40193"/>
      <c r="X40193" s="60"/>
    </row>
    <row r="40194" spans="7:24" ht="15" customHeight="1">
      <c r="G40194"/>
      <c r="I40194"/>
      <c r="N40194"/>
      <c r="O40194" s="24"/>
      <c r="P40194"/>
      <c r="Q40194" s="24"/>
      <c r="R40194"/>
      <c r="S40194"/>
      <c r="T40194"/>
      <c r="U40194"/>
      <c r="X40194" s="60"/>
    </row>
    <row r="40195" spans="7:24" ht="15" customHeight="1">
      <c r="G40195"/>
      <c r="I40195"/>
      <c r="N40195"/>
      <c r="O40195" s="24"/>
      <c r="P40195"/>
      <c r="Q40195" s="24"/>
      <c r="R40195"/>
      <c r="S40195"/>
      <c r="T40195"/>
      <c r="U40195"/>
      <c r="X40195" s="60"/>
    </row>
    <row r="40196" spans="7:24" ht="15" customHeight="1">
      <c r="G40196"/>
      <c r="I40196"/>
      <c r="N40196"/>
      <c r="O40196" s="24"/>
      <c r="P40196"/>
      <c r="Q40196" s="24"/>
      <c r="R40196"/>
      <c r="S40196"/>
      <c r="T40196"/>
      <c r="U40196"/>
      <c r="X40196" s="60"/>
    </row>
    <row r="40197" spans="7:24" ht="15" customHeight="1">
      <c r="G40197"/>
      <c r="I40197"/>
      <c r="N40197"/>
      <c r="O40197" s="24"/>
      <c r="P40197"/>
      <c r="Q40197" s="24"/>
      <c r="R40197"/>
      <c r="S40197"/>
      <c r="T40197"/>
      <c r="U40197"/>
      <c r="X40197" s="60"/>
    </row>
    <row r="40198" spans="7:24" ht="15" customHeight="1">
      <c r="G40198"/>
      <c r="I40198"/>
      <c r="N40198"/>
      <c r="O40198" s="24"/>
      <c r="P40198"/>
      <c r="Q40198" s="24"/>
      <c r="R40198"/>
      <c r="S40198"/>
      <c r="T40198"/>
      <c r="U40198"/>
      <c r="X40198" s="60"/>
    </row>
    <row r="40199" spans="7:24" ht="15" customHeight="1">
      <c r="G40199"/>
      <c r="I40199"/>
      <c r="N40199"/>
      <c r="O40199" s="24"/>
      <c r="P40199"/>
      <c r="Q40199" s="24"/>
      <c r="R40199"/>
      <c r="S40199"/>
      <c r="T40199"/>
      <c r="U40199"/>
      <c r="X40199" s="60"/>
    </row>
    <row r="40200" spans="7:24" ht="15" customHeight="1">
      <c r="G40200"/>
      <c r="I40200"/>
      <c r="N40200"/>
      <c r="O40200" s="24"/>
      <c r="P40200"/>
      <c r="Q40200" s="24"/>
      <c r="R40200"/>
      <c r="S40200"/>
      <c r="T40200"/>
      <c r="U40200"/>
      <c r="X40200" s="60"/>
    </row>
    <row r="40201" spans="7:24" ht="15" customHeight="1">
      <c r="G40201"/>
      <c r="I40201"/>
      <c r="N40201"/>
      <c r="O40201" s="24"/>
      <c r="P40201"/>
      <c r="Q40201" s="24"/>
      <c r="R40201"/>
      <c r="S40201"/>
      <c r="T40201"/>
      <c r="U40201"/>
      <c r="X40201" s="60"/>
    </row>
    <row r="40202" spans="7:24" ht="15" customHeight="1">
      <c r="G40202"/>
      <c r="I40202"/>
      <c r="N40202"/>
      <c r="O40202" s="24"/>
      <c r="P40202"/>
      <c r="Q40202" s="24"/>
      <c r="R40202"/>
      <c r="S40202"/>
      <c r="T40202"/>
      <c r="U40202"/>
      <c r="X40202" s="60"/>
    </row>
    <row r="40203" spans="7:24" ht="15" customHeight="1">
      <c r="G40203"/>
      <c r="I40203"/>
      <c r="N40203"/>
      <c r="O40203" s="24"/>
      <c r="P40203"/>
      <c r="Q40203" s="24"/>
      <c r="R40203"/>
      <c r="S40203"/>
      <c r="T40203"/>
      <c r="U40203"/>
      <c r="X40203" s="60"/>
    </row>
    <row r="40204" spans="7:24" ht="15" customHeight="1">
      <c r="G40204"/>
      <c r="I40204"/>
      <c r="N40204"/>
      <c r="O40204" s="24"/>
      <c r="P40204"/>
      <c r="Q40204" s="24"/>
      <c r="R40204"/>
      <c r="S40204"/>
      <c r="T40204"/>
      <c r="U40204"/>
      <c r="X40204" s="60"/>
    </row>
    <row r="40205" spans="7:24" ht="15" customHeight="1">
      <c r="G40205"/>
      <c r="I40205"/>
      <c r="N40205"/>
      <c r="O40205" s="24"/>
      <c r="P40205"/>
      <c r="Q40205" s="24"/>
      <c r="R40205"/>
      <c r="S40205"/>
      <c r="T40205"/>
      <c r="U40205"/>
      <c r="X40205" s="60"/>
    </row>
    <row r="40206" spans="7:24" ht="15" customHeight="1">
      <c r="G40206"/>
      <c r="I40206"/>
      <c r="N40206"/>
      <c r="O40206" s="24"/>
      <c r="P40206"/>
      <c r="Q40206" s="24"/>
      <c r="R40206"/>
      <c r="S40206"/>
      <c r="T40206"/>
      <c r="U40206"/>
      <c r="X40206" s="60"/>
    </row>
    <row r="40207" spans="7:24" ht="15" customHeight="1">
      <c r="G40207"/>
      <c r="I40207"/>
      <c r="N40207"/>
      <c r="O40207" s="24"/>
      <c r="P40207"/>
      <c r="Q40207" s="24"/>
      <c r="R40207"/>
      <c r="S40207"/>
      <c r="T40207"/>
      <c r="U40207"/>
      <c r="X40207" s="60"/>
    </row>
    <row r="40208" spans="7:24" ht="15" customHeight="1">
      <c r="G40208"/>
      <c r="I40208"/>
      <c r="N40208"/>
      <c r="O40208" s="24"/>
      <c r="P40208"/>
      <c r="Q40208" s="24"/>
      <c r="R40208"/>
      <c r="S40208"/>
      <c r="T40208"/>
      <c r="U40208"/>
      <c r="X40208" s="60"/>
    </row>
    <row r="40209" spans="7:24" ht="15" customHeight="1">
      <c r="G40209"/>
      <c r="I40209"/>
      <c r="N40209"/>
      <c r="O40209" s="24"/>
      <c r="P40209"/>
      <c r="Q40209" s="24"/>
      <c r="R40209"/>
      <c r="S40209"/>
      <c r="T40209"/>
      <c r="U40209"/>
      <c r="X40209" s="60"/>
    </row>
    <row r="40210" spans="7:24" ht="15" customHeight="1">
      <c r="G40210"/>
      <c r="I40210"/>
      <c r="N40210"/>
      <c r="O40210" s="24"/>
      <c r="P40210"/>
      <c r="Q40210" s="24"/>
      <c r="R40210"/>
      <c r="S40210"/>
      <c r="T40210"/>
      <c r="U40210"/>
      <c r="X40210" s="60"/>
    </row>
    <row r="40211" spans="7:24" ht="15" customHeight="1">
      <c r="G40211"/>
      <c r="I40211"/>
      <c r="N40211"/>
      <c r="O40211" s="24"/>
      <c r="P40211"/>
      <c r="Q40211" s="24"/>
      <c r="R40211"/>
      <c r="S40211"/>
      <c r="T40211"/>
      <c r="U40211"/>
      <c r="X40211" s="60"/>
    </row>
    <row r="40212" spans="7:24" ht="15" customHeight="1">
      <c r="G40212"/>
      <c r="I40212"/>
      <c r="N40212"/>
      <c r="O40212" s="24"/>
      <c r="P40212"/>
      <c r="Q40212" s="24"/>
      <c r="R40212"/>
      <c r="S40212"/>
      <c r="T40212"/>
      <c r="U40212"/>
      <c r="X40212" s="60"/>
    </row>
    <row r="40213" spans="7:24" ht="15" customHeight="1">
      <c r="G40213"/>
      <c r="I40213"/>
      <c r="N40213"/>
      <c r="O40213" s="24"/>
      <c r="P40213"/>
      <c r="Q40213" s="24"/>
      <c r="R40213"/>
      <c r="S40213"/>
      <c r="T40213"/>
      <c r="U40213"/>
      <c r="X40213" s="60"/>
    </row>
    <row r="40214" spans="7:24" ht="15" customHeight="1">
      <c r="G40214"/>
      <c r="I40214"/>
      <c r="N40214"/>
      <c r="O40214" s="24"/>
      <c r="P40214"/>
      <c r="Q40214" s="24"/>
      <c r="R40214"/>
      <c r="S40214"/>
      <c r="T40214"/>
      <c r="U40214"/>
      <c r="X40214" s="60"/>
    </row>
    <row r="40215" spans="7:24" ht="15" customHeight="1">
      <c r="G40215"/>
      <c r="I40215"/>
      <c r="N40215"/>
      <c r="O40215" s="24"/>
      <c r="P40215"/>
      <c r="Q40215" s="24"/>
      <c r="R40215"/>
      <c r="S40215"/>
      <c r="T40215"/>
      <c r="U40215"/>
      <c r="X40215" s="60"/>
    </row>
    <row r="40216" spans="7:24" ht="15" customHeight="1">
      <c r="G40216"/>
      <c r="I40216"/>
      <c r="N40216"/>
      <c r="O40216" s="24"/>
      <c r="P40216"/>
      <c r="Q40216" s="24"/>
      <c r="R40216"/>
      <c r="S40216"/>
      <c r="T40216"/>
      <c r="U40216"/>
      <c r="X40216" s="60"/>
    </row>
    <row r="40217" spans="7:24" ht="15" customHeight="1">
      <c r="G40217"/>
      <c r="I40217"/>
      <c r="N40217"/>
      <c r="O40217" s="24"/>
      <c r="P40217"/>
      <c r="Q40217" s="24"/>
      <c r="R40217"/>
      <c r="S40217"/>
      <c r="T40217"/>
      <c r="U40217"/>
      <c r="X40217" s="60"/>
    </row>
    <row r="40218" spans="7:24" ht="15" customHeight="1">
      <c r="G40218"/>
      <c r="I40218"/>
      <c r="N40218"/>
      <c r="O40218" s="24"/>
      <c r="P40218"/>
      <c r="Q40218" s="24"/>
      <c r="R40218"/>
      <c r="S40218"/>
      <c r="T40218"/>
      <c r="U40218"/>
      <c r="X40218" s="60"/>
    </row>
    <row r="40219" spans="7:24" ht="15" customHeight="1">
      <c r="G40219"/>
      <c r="I40219"/>
      <c r="N40219"/>
      <c r="O40219" s="24"/>
      <c r="P40219"/>
      <c r="Q40219" s="24"/>
      <c r="R40219"/>
      <c r="S40219"/>
      <c r="T40219"/>
      <c r="U40219"/>
      <c r="X40219" s="60"/>
    </row>
    <row r="40220" spans="7:24" ht="15" customHeight="1">
      <c r="G40220"/>
      <c r="I40220"/>
      <c r="N40220"/>
      <c r="O40220" s="24"/>
      <c r="P40220"/>
      <c r="Q40220" s="24"/>
      <c r="R40220"/>
      <c r="S40220"/>
      <c r="T40220"/>
      <c r="U40220"/>
      <c r="X40220" s="60"/>
    </row>
    <row r="40221" spans="7:24" ht="15" customHeight="1">
      <c r="G40221"/>
      <c r="I40221"/>
      <c r="N40221"/>
      <c r="O40221" s="24"/>
      <c r="P40221"/>
      <c r="Q40221" s="24"/>
      <c r="R40221"/>
      <c r="S40221"/>
      <c r="T40221"/>
      <c r="U40221"/>
      <c r="X40221" s="60"/>
    </row>
    <row r="40222" spans="7:24" ht="15" customHeight="1">
      <c r="G40222"/>
      <c r="I40222"/>
      <c r="N40222"/>
      <c r="O40222" s="24"/>
      <c r="P40222"/>
      <c r="Q40222" s="24"/>
      <c r="R40222"/>
      <c r="S40222"/>
      <c r="T40222"/>
      <c r="U40222"/>
      <c r="X40222" s="60"/>
    </row>
    <row r="40223" spans="7:24" ht="15" customHeight="1">
      <c r="G40223"/>
      <c r="I40223"/>
      <c r="N40223"/>
      <c r="O40223" s="24"/>
      <c r="P40223"/>
      <c r="Q40223" s="24"/>
      <c r="R40223"/>
      <c r="S40223"/>
      <c r="T40223"/>
      <c r="U40223"/>
      <c r="X40223" s="60"/>
    </row>
    <row r="40224" spans="7:24" ht="15" customHeight="1">
      <c r="G40224"/>
      <c r="I40224"/>
      <c r="N40224"/>
      <c r="O40224" s="24"/>
      <c r="P40224"/>
      <c r="Q40224" s="24"/>
      <c r="R40224"/>
      <c r="S40224"/>
      <c r="T40224"/>
      <c r="U40224"/>
      <c r="X40224" s="60"/>
    </row>
    <row r="40225" spans="7:24" ht="15" customHeight="1">
      <c r="G40225"/>
      <c r="I40225"/>
      <c r="N40225"/>
      <c r="O40225" s="24"/>
      <c r="P40225"/>
      <c r="Q40225" s="24"/>
      <c r="R40225"/>
      <c r="S40225"/>
      <c r="T40225"/>
      <c r="U40225"/>
      <c r="X40225" s="60"/>
    </row>
    <row r="40226" spans="7:24" ht="15" customHeight="1">
      <c r="G40226"/>
      <c r="I40226"/>
      <c r="N40226"/>
      <c r="O40226" s="24"/>
      <c r="P40226"/>
      <c r="Q40226" s="24"/>
      <c r="R40226"/>
      <c r="S40226"/>
      <c r="T40226"/>
      <c r="U40226"/>
      <c r="X40226" s="60"/>
    </row>
    <row r="40227" spans="7:24" ht="15" customHeight="1">
      <c r="G40227"/>
      <c r="I40227"/>
      <c r="N40227"/>
      <c r="O40227" s="24"/>
      <c r="P40227"/>
      <c r="Q40227" s="24"/>
      <c r="R40227"/>
      <c r="S40227"/>
      <c r="T40227"/>
      <c r="U40227"/>
      <c r="X40227" s="60"/>
    </row>
    <row r="40228" spans="7:24" ht="15" customHeight="1">
      <c r="G40228"/>
      <c r="I40228"/>
      <c r="N40228"/>
      <c r="O40228" s="24"/>
      <c r="P40228"/>
      <c r="Q40228" s="24"/>
      <c r="R40228"/>
      <c r="S40228"/>
      <c r="T40228"/>
      <c r="U40228"/>
      <c r="X40228" s="60"/>
    </row>
    <row r="40229" spans="7:24" ht="15" customHeight="1">
      <c r="G40229"/>
      <c r="I40229"/>
      <c r="N40229"/>
      <c r="O40229" s="24"/>
      <c r="P40229"/>
      <c r="Q40229" s="24"/>
      <c r="R40229"/>
      <c r="S40229"/>
      <c r="T40229"/>
      <c r="U40229"/>
      <c r="X40229" s="60"/>
    </row>
    <row r="40230" spans="7:24" ht="15" customHeight="1">
      <c r="G40230"/>
      <c r="I40230"/>
      <c r="N40230"/>
      <c r="O40230" s="24"/>
      <c r="P40230"/>
      <c r="Q40230" s="24"/>
      <c r="R40230"/>
      <c r="S40230"/>
      <c r="T40230"/>
      <c r="U40230"/>
      <c r="X40230" s="60"/>
    </row>
    <row r="40231" spans="7:24" ht="15" customHeight="1">
      <c r="G40231"/>
      <c r="I40231"/>
      <c r="N40231"/>
      <c r="O40231" s="24"/>
      <c r="P40231"/>
      <c r="Q40231" s="24"/>
      <c r="R40231"/>
      <c r="S40231"/>
      <c r="T40231"/>
      <c r="U40231"/>
      <c r="X40231" s="60"/>
    </row>
    <row r="40232" spans="7:24" ht="15" customHeight="1">
      <c r="G40232"/>
      <c r="I40232"/>
      <c r="N40232"/>
      <c r="O40232" s="24"/>
      <c r="P40232"/>
      <c r="Q40232" s="24"/>
      <c r="R40232"/>
      <c r="S40232"/>
      <c r="T40232"/>
      <c r="U40232"/>
      <c r="X40232" s="60"/>
    </row>
    <row r="40233" spans="7:24" ht="15" customHeight="1">
      <c r="G40233"/>
      <c r="I40233"/>
      <c r="N40233"/>
      <c r="O40233" s="24"/>
      <c r="P40233"/>
      <c r="Q40233" s="24"/>
      <c r="R40233"/>
      <c r="S40233"/>
      <c r="T40233"/>
      <c r="U40233"/>
      <c r="X40233" s="60"/>
    </row>
    <row r="40234" spans="7:24" ht="15" customHeight="1">
      <c r="G40234"/>
      <c r="I40234"/>
      <c r="N40234"/>
      <c r="O40234" s="24"/>
      <c r="P40234"/>
      <c r="Q40234" s="24"/>
      <c r="R40234"/>
      <c r="S40234"/>
      <c r="T40234"/>
      <c r="U40234"/>
      <c r="X40234" s="60"/>
    </row>
    <row r="40235" spans="7:24" ht="15" customHeight="1">
      <c r="G40235"/>
      <c r="I40235"/>
      <c r="N40235"/>
      <c r="O40235" s="24"/>
      <c r="P40235"/>
      <c r="Q40235" s="24"/>
      <c r="R40235"/>
      <c r="S40235"/>
      <c r="T40235"/>
      <c r="U40235"/>
      <c r="X40235" s="60"/>
    </row>
    <row r="40236" spans="7:24" ht="15" customHeight="1">
      <c r="G40236"/>
      <c r="I40236"/>
      <c r="N40236"/>
      <c r="O40236" s="24"/>
      <c r="P40236"/>
      <c r="Q40236" s="24"/>
      <c r="R40236"/>
      <c r="S40236"/>
      <c r="T40236"/>
      <c r="U40236"/>
      <c r="X40236" s="60"/>
    </row>
    <row r="40237" spans="7:24" ht="15" customHeight="1">
      <c r="G40237"/>
      <c r="I40237"/>
      <c r="N40237"/>
      <c r="O40237" s="24"/>
      <c r="P40237"/>
      <c r="Q40237" s="24"/>
      <c r="R40237"/>
      <c r="S40237"/>
      <c r="T40237"/>
      <c r="U40237"/>
      <c r="X40237" s="60"/>
    </row>
    <row r="40238" spans="7:24" ht="15" customHeight="1">
      <c r="G40238"/>
      <c r="I40238"/>
      <c r="N40238"/>
      <c r="O40238" s="24"/>
      <c r="P40238"/>
      <c r="Q40238" s="24"/>
      <c r="R40238"/>
      <c r="S40238"/>
      <c r="T40238"/>
      <c r="U40238"/>
      <c r="X40238" s="60"/>
    </row>
    <row r="40239" spans="7:24" ht="15" customHeight="1">
      <c r="G40239"/>
      <c r="I40239"/>
      <c r="N40239"/>
      <c r="O40239" s="24"/>
      <c r="P40239"/>
      <c r="Q40239" s="24"/>
      <c r="R40239"/>
      <c r="S40239"/>
      <c r="T40239"/>
      <c r="U40239"/>
      <c r="X40239" s="60"/>
    </row>
    <row r="40240" spans="7:24" ht="15" customHeight="1">
      <c r="G40240"/>
      <c r="I40240"/>
      <c r="N40240"/>
      <c r="O40240" s="24"/>
      <c r="P40240"/>
      <c r="Q40240" s="24"/>
      <c r="R40240"/>
      <c r="S40240"/>
      <c r="T40240"/>
      <c r="U40240"/>
      <c r="X40240" s="60"/>
    </row>
    <row r="40241" spans="7:24" ht="15" customHeight="1">
      <c r="G40241"/>
      <c r="I40241"/>
      <c r="N40241"/>
      <c r="O40241" s="24"/>
      <c r="P40241"/>
      <c r="Q40241" s="24"/>
      <c r="R40241"/>
      <c r="S40241"/>
      <c r="T40241"/>
      <c r="U40241"/>
      <c r="X40241" s="60"/>
    </row>
    <row r="40242" spans="7:24" ht="15" customHeight="1">
      <c r="G40242"/>
      <c r="I40242"/>
      <c r="N40242"/>
      <c r="O40242" s="24"/>
      <c r="P40242"/>
      <c r="Q40242" s="24"/>
      <c r="R40242"/>
      <c r="S40242"/>
      <c r="T40242"/>
      <c r="U40242"/>
      <c r="X40242" s="60"/>
    </row>
    <row r="40243" spans="7:24" ht="15" customHeight="1">
      <c r="G40243"/>
      <c r="I40243"/>
      <c r="N40243"/>
      <c r="O40243" s="24"/>
      <c r="P40243"/>
      <c r="Q40243" s="24"/>
      <c r="R40243"/>
      <c r="S40243"/>
      <c r="T40243"/>
      <c r="U40243"/>
      <c r="X40243" s="60"/>
    </row>
    <row r="40244" spans="7:24" ht="15" customHeight="1">
      <c r="G40244"/>
      <c r="I40244"/>
      <c r="N40244"/>
      <c r="O40244" s="24"/>
      <c r="P40244"/>
      <c r="Q40244" s="24"/>
      <c r="R40244"/>
      <c r="S40244"/>
      <c r="T40244"/>
      <c r="U40244"/>
      <c r="X40244" s="60"/>
    </row>
    <row r="40245" spans="7:24" ht="15" customHeight="1">
      <c r="G40245"/>
      <c r="I40245"/>
      <c r="N40245"/>
      <c r="O40245" s="24"/>
      <c r="P40245"/>
      <c r="Q40245" s="24"/>
      <c r="R40245"/>
      <c r="S40245"/>
      <c r="T40245"/>
      <c r="U40245"/>
      <c r="X40245" s="60"/>
    </row>
    <row r="40246" spans="7:24" ht="15" customHeight="1">
      <c r="G40246"/>
      <c r="I40246"/>
      <c r="N40246"/>
      <c r="O40246" s="24"/>
      <c r="P40246"/>
      <c r="Q40246" s="24"/>
      <c r="R40246"/>
      <c r="S40246"/>
      <c r="T40246"/>
      <c r="U40246"/>
      <c r="X40246" s="60"/>
    </row>
    <row r="40247" spans="7:24" ht="15" customHeight="1">
      <c r="G40247"/>
      <c r="I40247"/>
      <c r="N40247"/>
      <c r="O40247" s="24"/>
      <c r="P40247"/>
      <c r="Q40247" s="24"/>
      <c r="R40247"/>
      <c r="S40247"/>
      <c r="T40247"/>
      <c r="U40247"/>
      <c r="X40247" s="60"/>
    </row>
    <row r="40248" spans="7:24" ht="15" customHeight="1">
      <c r="G40248"/>
      <c r="I40248"/>
      <c r="N40248"/>
      <c r="O40248" s="24"/>
      <c r="P40248"/>
      <c r="Q40248" s="24"/>
      <c r="R40248"/>
      <c r="S40248"/>
      <c r="T40248"/>
      <c r="U40248"/>
      <c r="X40248" s="60"/>
    </row>
    <row r="40249" spans="7:24" ht="15" customHeight="1">
      <c r="G40249"/>
      <c r="I40249"/>
      <c r="N40249"/>
      <c r="O40249" s="24"/>
      <c r="P40249"/>
      <c r="Q40249" s="24"/>
      <c r="R40249"/>
      <c r="S40249"/>
      <c r="T40249"/>
      <c r="U40249"/>
      <c r="X40249" s="60"/>
    </row>
    <row r="40250" spans="7:24" ht="15" customHeight="1">
      <c r="G40250"/>
      <c r="I40250"/>
      <c r="N40250"/>
      <c r="O40250" s="24"/>
      <c r="P40250"/>
      <c r="Q40250" s="24"/>
      <c r="R40250"/>
      <c r="S40250"/>
      <c r="T40250"/>
      <c r="U40250"/>
      <c r="X40250" s="60"/>
    </row>
    <row r="40251" spans="7:24" ht="15" customHeight="1">
      <c r="G40251"/>
      <c r="I40251"/>
      <c r="N40251"/>
      <c r="O40251" s="24"/>
      <c r="P40251"/>
      <c r="Q40251" s="24"/>
      <c r="R40251"/>
      <c r="S40251"/>
      <c r="T40251"/>
      <c r="U40251"/>
      <c r="X40251" s="60"/>
    </row>
    <row r="40252" spans="7:24" ht="15" customHeight="1">
      <c r="G40252"/>
      <c r="I40252"/>
      <c r="N40252"/>
      <c r="O40252" s="24"/>
      <c r="P40252"/>
      <c r="Q40252" s="24"/>
      <c r="R40252"/>
      <c r="S40252"/>
      <c r="T40252"/>
      <c r="U40252"/>
      <c r="X40252" s="60"/>
    </row>
    <row r="40253" spans="7:24" ht="15" customHeight="1">
      <c r="G40253"/>
      <c r="I40253"/>
      <c r="N40253"/>
      <c r="O40253" s="24"/>
      <c r="P40253"/>
      <c r="Q40253" s="24"/>
      <c r="R40253"/>
      <c r="S40253"/>
      <c r="T40253"/>
      <c r="U40253"/>
      <c r="X40253" s="60"/>
    </row>
    <row r="40254" spans="7:24" ht="15" customHeight="1">
      <c r="G40254"/>
      <c r="I40254"/>
      <c r="N40254"/>
      <c r="O40254" s="24"/>
      <c r="P40254"/>
      <c r="Q40254" s="24"/>
      <c r="R40254"/>
      <c r="S40254"/>
      <c r="T40254"/>
      <c r="U40254"/>
      <c r="X40254" s="60"/>
    </row>
    <row r="40255" spans="7:24" ht="15" customHeight="1">
      <c r="G40255"/>
      <c r="I40255"/>
      <c r="N40255"/>
      <c r="O40255" s="24"/>
      <c r="P40255"/>
      <c r="Q40255" s="24"/>
      <c r="R40255"/>
      <c r="S40255"/>
      <c r="T40255"/>
      <c r="U40255"/>
      <c r="X40255" s="60"/>
    </row>
    <row r="40256" spans="7:24" ht="15" customHeight="1">
      <c r="G40256"/>
      <c r="I40256"/>
      <c r="N40256"/>
      <c r="O40256" s="24"/>
      <c r="P40256"/>
      <c r="Q40256" s="24"/>
      <c r="R40256"/>
      <c r="S40256"/>
      <c r="T40256"/>
      <c r="U40256"/>
      <c r="X40256" s="60"/>
    </row>
    <row r="40257" spans="7:24" ht="15" customHeight="1">
      <c r="G40257"/>
      <c r="I40257"/>
      <c r="N40257"/>
      <c r="O40257" s="24"/>
      <c r="P40257"/>
      <c r="Q40257" s="24"/>
      <c r="R40257"/>
      <c r="S40257"/>
      <c r="T40257"/>
      <c r="U40257"/>
      <c r="X40257" s="60"/>
    </row>
    <row r="40258" spans="7:24" ht="15" customHeight="1">
      <c r="G40258"/>
      <c r="I40258"/>
      <c r="N40258"/>
      <c r="O40258" s="24"/>
      <c r="P40258"/>
      <c r="Q40258" s="24"/>
      <c r="R40258"/>
      <c r="S40258"/>
      <c r="T40258"/>
      <c r="U40258"/>
      <c r="X40258" s="60"/>
    </row>
    <row r="40259" spans="7:24" ht="15" customHeight="1">
      <c r="G40259"/>
      <c r="I40259"/>
      <c r="N40259"/>
      <c r="O40259" s="24"/>
      <c r="P40259"/>
      <c r="Q40259" s="24"/>
      <c r="R40259"/>
      <c r="S40259"/>
      <c r="T40259"/>
      <c r="U40259"/>
      <c r="X40259" s="60"/>
    </row>
    <row r="40260" spans="7:24" ht="15" customHeight="1">
      <c r="G40260"/>
      <c r="I40260"/>
      <c r="N40260"/>
      <c r="O40260" s="24"/>
      <c r="P40260"/>
      <c r="Q40260" s="24"/>
      <c r="R40260"/>
      <c r="S40260"/>
      <c r="T40260"/>
      <c r="U40260"/>
      <c r="X40260" s="60"/>
    </row>
    <row r="40261" spans="7:24" ht="15" customHeight="1">
      <c r="G40261"/>
      <c r="I40261"/>
      <c r="N40261"/>
      <c r="O40261" s="24"/>
      <c r="P40261"/>
      <c r="Q40261" s="24"/>
      <c r="R40261"/>
      <c r="S40261"/>
      <c r="T40261"/>
      <c r="U40261"/>
      <c r="X40261" s="60"/>
    </row>
    <row r="40262" spans="7:24" ht="15" customHeight="1">
      <c r="G40262"/>
      <c r="I40262"/>
      <c r="N40262"/>
      <c r="O40262" s="24"/>
      <c r="P40262"/>
      <c r="Q40262" s="24"/>
      <c r="R40262"/>
      <c r="S40262"/>
      <c r="T40262"/>
      <c r="U40262"/>
      <c r="X40262" s="60"/>
    </row>
    <row r="40263" spans="7:24" ht="15" customHeight="1">
      <c r="G40263"/>
      <c r="I40263"/>
      <c r="N40263"/>
      <c r="O40263" s="24"/>
      <c r="P40263"/>
      <c r="Q40263" s="24"/>
      <c r="R40263"/>
      <c r="S40263"/>
      <c r="T40263"/>
      <c r="U40263"/>
      <c r="X40263" s="60"/>
    </row>
    <row r="40264" spans="7:24" ht="15" customHeight="1">
      <c r="G40264"/>
      <c r="I40264"/>
      <c r="N40264"/>
      <c r="O40264" s="24"/>
      <c r="P40264"/>
      <c r="Q40264" s="24"/>
      <c r="R40264"/>
      <c r="S40264"/>
      <c r="T40264"/>
      <c r="U40264"/>
      <c r="X40264" s="60"/>
    </row>
    <row r="40265" spans="7:24" ht="15" customHeight="1">
      <c r="G40265"/>
      <c r="I40265"/>
      <c r="N40265"/>
      <c r="O40265" s="24"/>
      <c r="P40265"/>
      <c r="Q40265" s="24"/>
      <c r="R40265"/>
      <c r="S40265"/>
      <c r="T40265"/>
      <c r="U40265"/>
      <c r="X40265" s="60"/>
    </row>
    <row r="40266" spans="7:24" ht="15" customHeight="1">
      <c r="G40266"/>
      <c r="I40266"/>
      <c r="N40266"/>
      <c r="O40266" s="24"/>
      <c r="P40266"/>
      <c r="Q40266" s="24"/>
      <c r="R40266"/>
      <c r="S40266"/>
      <c r="T40266"/>
      <c r="U40266"/>
      <c r="X40266" s="60"/>
    </row>
    <row r="40267" spans="7:24" ht="15" customHeight="1">
      <c r="G40267"/>
      <c r="I40267"/>
      <c r="N40267"/>
      <c r="O40267" s="24"/>
      <c r="P40267"/>
      <c r="Q40267" s="24"/>
      <c r="R40267"/>
      <c r="S40267"/>
      <c r="T40267"/>
      <c r="U40267"/>
      <c r="X40267" s="60"/>
    </row>
    <row r="40268" spans="7:24" ht="15" customHeight="1">
      <c r="G40268"/>
      <c r="I40268"/>
      <c r="N40268"/>
      <c r="O40268" s="24"/>
      <c r="P40268"/>
      <c r="Q40268" s="24"/>
      <c r="R40268"/>
      <c r="S40268"/>
      <c r="T40268"/>
      <c r="U40268"/>
      <c r="X40268" s="60"/>
    </row>
    <row r="40269" spans="7:24" ht="15" customHeight="1">
      <c r="G40269"/>
      <c r="I40269"/>
      <c r="N40269"/>
      <c r="O40269" s="24"/>
      <c r="P40269"/>
      <c r="Q40269" s="24"/>
      <c r="R40269"/>
      <c r="S40269"/>
      <c r="T40269"/>
      <c r="U40269"/>
      <c r="X40269" s="60"/>
    </row>
    <row r="40270" spans="7:24" ht="15" customHeight="1">
      <c r="G40270"/>
      <c r="I40270"/>
      <c r="N40270"/>
      <c r="O40270" s="24"/>
      <c r="P40270"/>
      <c r="Q40270" s="24"/>
      <c r="R40270"/>
      <c r="S40270"/>
      <c r="T40270"/>
      <c r="U40270"/>
      <c r="X40270" s="60"/>
    </row>
    <row r="40271" spans="7:24" ht="15" customHeight="1">
      <c r="G40271"/>
      <c r="I40271"/>
      <c r="N40271"/>
      <c r="O40271" s="24"/>
      <c r="P40271"/>
      <c r="Q40271" s="24"/>
      <c r="R40271"/>
      <c r="S40271"/>
      <c r="T40271"/>
      <c r="U40271"/>
      <c r="X40271" s="60"/>
    </row>
    <row r="40272" spans="7:24" ht="15" customHeight="1">
      <c r="G40272"/>
      <c r="I40272"/>
      <c r="N40272"/>
      <c r="O40272" s="24"/>
      <c r="P40272"/>
      <c r="Q40272" s="24"/>
      <c r="R40272"/>
      <c r="S40272"/>
      <c r="T40272"/>
      <c r="U40272"/>
      <c r="X40272" s="60"/>
    </row>
    <row r="40273" spans="7:24" ht="15" customHeight="1">
      <c r="G40273"/>
      <c r="I40273"/>
      <c r="N40273"/>
      <c r="O40273" s="24"/>
      <c r="P40273"/>
      <c r="Q40273" s="24"/>
      <c r="R40273"/>
      <c r="S40273"/>
      <c r="T40273"/>
      <c r="U40273"/>
      <c r="X40273" s="60"/>
    </row>
    <row r="40274" spans="7:24" ht="15" customHeight="1">
      <c r="G40274"/>
      <c r="I40274"/>
      <c r="N40274"/>
      <c r="O40274" s="24"/>
      <c r="P40274"/>
      <c r="Q40274" s="24"/>
      <c r="R40274"/>
      <c r="S40274"/>
      <c r="T40274"/>
      <c r="U40274"/>
      <c r="X40274" s="60"/>
    </row>
    <row r="40275" spans="7:24" ht="15" customHeight="1">
      <c r="G40275"/>
      <c r="I40275"/>
      <c r="N40275"/>
      <c r="O40275" s="24"/>
      <c r="P40275"/>
      <c r="Q40275" s="24"/>
      <c r="R40275"/>
      <c r="S40275"/>
      <c r="T40275"/>
      <c r="U40275"/>
      <c r="X40275" s="60"/>
    </row>
    <row r="40276" spans="7:24" ht="15" customHeight="1">
      <c r="G40276"/>
      <c r="I40276"/>
      <c r="N40276"/>
      <c r="O40276" s="24"/>
      <c r="P40276"/>
      <c r="Q40276" s="24"/>
      <c r="R40276"/>
      <c r="S40276"/>
      <c r="T40276"/>
      <c r="U40276"/>
      <c r="X40276" s="60"/>
    </row>
    <row r="40277" spans="7:24" ht="15" customHeight="1">
      <c r="G40277"/>
      <c r="I40277"/>
      <c r="N40277"/>
      <c r="O40277" s="24"/>
      <c r="P40277"/>
      <c r="Q40277" s="24"/>
      <c r="R40277"/>
      <c r="S40277"/>
      <c r="T40277"/>
      <c r="U40277"/>
      <c r="X40277" s="60"/>
    </row>
    <row r="40278" spans="7:24" ht="15" customHeight="1">
      <c r="G40278"/>
      <c r="I40278"/>
      <c r="N40278"/>
      <c r="O40278" s="24"/>
      <c r="P40278"/>
      <c r="Q40278" s="24"/>
      <c r="R40278"/>
      <c r="S40278"/>
      <c r="T40278"/>
      <c r="U40278"/>
      <c r="X40278" s="60"/>
    </row>
    <row r="40279" spans="7:24" ht="15" customHeight="1">
      <c r="G40279"/>
      <c r="I40279"/>
      <c r="N40279"/>
      <c r="O40279" s="24"/>
      <c r="P40279"/>
      <c r="Q40279" s="24"/>
      <c r="R40279"/>
      <c r="S40279"/>
      <c r="T40279"/>
      <c r="U40279"/>
      <c r="X40279" s="60"/>
    </row>
    <row r="40280" spans="7:24" ht="15" customHeight="1">
      <c r="G40280"/>
      <c r="I40280"/>
      <c r="N40280"/>
      <c r="O40280" s="24"/>
      <c r="P40280"/>
      <c r="Q40280" s="24"/>
      <c r="R40280"/>
      <c r="S40280"/>
      <c r="T40280"/>
      <c r="U40280"/>
      <c r="X40280" s="60"/>
    </row>
    <row r="40281" spans="7:24" ht="15" customHeight="1">
      <c r="G40281"/>
      <c r="I40281"/>
      <c r="N40281"/>
      <c r="O40281" s="24"/>
      <c r="P40281"/>
      <c r="Q40281" s="24"/>
      <c r="R40281"/>
      <c r="S40281"/>
      <c r="T40281"/>
      <c r="U40281"/>
      <c r="X40281" s="60"/>
    </row>
    <row r="40282" spans="7:24" ht="15" customHeight="1">
      <c r="G40282"/>
      <c r="I40282"/>
      <c r="N40282"/>
      <c r="O40282" s="24"/>
      <c r="P40282"/>
      <c r="Q40282" s="24"/>
      <c r="R40282"/>
      <c r="S40282"/>
      <c r="T40282"/>
      <c r="U40282"/>
      <c r="X40282" s="60"/>
    </row>
    <row r="40283" spans="7:24" ht="15" customHeight="1">
      <c r="G40283"/>
      <c r="I40283"/>
      <c r="N40283"/>
      <c r="O40283" s="24"/>
      <c r="P40283"/>
      <c r="Q40283" s="24"/>
      <c r="R40283"/>
      <c r="S40283"/>
      <c r="T40283"/>
      <c r="U40283"/>
      <c r="X40283" s="60"/>
    </row>
    <row r="40284" spans="7:24" ht="15" customHeight="1">
      <c r="G40284"/>
      <c r="I40284"/>
      <c r="N40284"/>
      <c r="O40284" s="24"/>
      <c r="P40284"/>
      <c r="Q40284" s="24"/>
      <c r="R40284"/>
      <c r="S40284"/>
      <c r="T40284"/>
      <c r="U40284"/>
      <c r="X40284" s="60"/>
    </row>
    <row r="40285" spans="7:24" ht="15" customHeight="1">
      <c r="G40285"/>
      <c r="I40285"/>
      <c r="N40285"/>
      <c r="O40285" s="24"/>
      <c r="P40285"/>
      <c r="Q40285" s="24"/>
      <c r="R40285"/>
      <c r="S40285"/>
      <c r="T40285"/>
      <c r="U40285"/>
      <c r="X40285" s="60"/>
    </row>
    <row r="40286" spans="7:24" ht="15" customHeight="1">
      <c r="G40286"/>
      <c r="I40286"/>
      <c r="N40286"/>
      <c r="O40286" s="24"/>
      <c r="P40286"/>
      <c r="Q40286" s="24"/>
      <c r="R40286"/>
      <c r="S40286"/>
      <c r="T40286"/>
      <c r="U40286"/>
      <c r="X40286" s="60"/>
    </row>
    <row r="40287" spans="7:24" ht="15" customHeight="1">
      <c r="G40287"/>
      <c r="I40287"/>
      <c r="N40287"/>
      <c r="O40287" s="24"/>
      <c r="P40287"/>
      <c r="Q40287" s="24"/>
      <c r="R40287"/>
      <c r="S40287"/>
      <c r="T40287"/>
      <c r="U40287"/>
      <c r="X40287" s="60"/>
    </row>
    <row r="40288" spans="7:24" ht="15" customHeight="1">
      <c r="G40288"/>
      <c r="I40288"/>
      <c r="N40288"/>
      <c r="O40288" s="24"/>
      <c r="P40288"/>
      <c r="Q40288" s="24"/>
      <c r="R40288"/>
      <c r="S40288"/>
      <c r="T40288"/>
      <c r="U40288"/>
      <c r="X40288" s="60"/>
    </row>
    <row r="40289" spans="7:24" ht="15" customHeight="1">
      <c r="G40289"/>
      <c r="I40289"/>
      <c r="N40289"/>
      <c r="O40289" s="24"/>
      <c r="P40289"/>
      <c r="Q40289" s="24"/>
      <c r="R40289"/>
      <c r="S40289"/>
      <c r="T40289"/>
      <c r="U40289"/>
      <c r="X40289" s="60"/>
    </row>
    <row r="40290" spans="7:24" ht="15" customHeight="1">
      <c r="G40290"/>
      <c r="I40290"/>
      <c r="N40290"/>
      <c r="O40290" s="24"/>
      <c r="P40290"/>
      <c r="Q40290" s="24"/>
      <c r="R40290"/>
      <c r="S40290"/>
      <c r="T40290"/>
      <c r="U40290"/>
      <c r="X40290" s="60"/>
    </row>
    <row r="40291" spans="7:24" ht="15" customHeight="1">
      <c r="G40291"/>
      <c r="I40291"/>
      <c r="N40291"/>
      <c r="O40291" s="24"/>
      <c r="P40291"/>
      <c r="Q40291" s="24"/>
      <c r="R40291"/>
      <c r="S40291"/>
      <c r="T40291"/>
      <c r="U40291"/>
      <c r="X40291" s="60"/>
    </row>
    <row r="40292" spans="7:24" ht="15" customHeight="1">
      <c r="G40292"/>
      <c r="I40292"/>
      <c r="N40292"/>
      <c r="O40292" s="24"/>
      <c r="P40292"/>
      <c r="Q40292" s="24"/>
      <c r="R40292"/>
      <c r="S40292"/>
      <c r="T40292"/>
      <c r="U40292"/>
      <c r="X40292" s="60"/>
    </row>
    <row r="40293" spans="7:24" ht="15" customHeight="1">
      <c r="G40293"/>
      <c r="I40293"/>
      <c r="N40293"/>
      <c r="O40293" s="24"/>
      <c r="P40293"/>
      <c r="Q40293" s="24"/>
      <c r="R40293"/>
      <c r="S40293"/>
      <c r="T40293"/>
      <c r="U40293"/>
      <c r="X40293" s="60"/>
    </row>
    <row r="40294" spans="7:24" ht="15" customHeight="1">
      <c r="G40294"/>
      <c r="I40294"/>
      <c r="N40294"/>
      <c r="O40294" s="24"/>
      <c r="P40294"/>
      <c r="Q40294" s="24"/>
      <c r="R40294"/>
      <c r="S40294"/>
      <c r="T40294"/>
      <c r="U40294"/>
      <c r="X40294" s="60"/>
    </row>
    <row r="40295" spans="7:24" ht="15" customHeight="1">
      <c r="G40295"/>
      <c r="I40295"/>
      <c r="N40295"/>
      <c r="O40295" s="24"/>
      <c r="P40295"/>
      <c r="Q40295" s="24"/>
      <c r="R40295"/>
      <c r="S40295"/>
      <c r="T40295"/>
      <c r="U40295"/>
      <c r="X40295" s="60"/>
    </row>
    <row r="40296" spans="7:24" ht="15" customHeight="1">
      <c r="G40296"/>
      <c r="I40296"/>
      <c r="N40296"/>
      <c r="O40296" s="24"/>
      <c r="P40296"/>
      <c r="Q40296" s="24"/>
      <c r="R40296"/>
      <c r="S40296"/>
      <c r="T40296"/>
      <c r="U40296"/>
      <c r="X40296" s="60"/>
    </row>
    <row r="40297" spans="7:24" ht="15" customHeight="1">
      <c r="G40297"/>
      <c r="I40297"/>
      <c r="N40297"/>
      <c r="O40297" s="24"/>
      <c r="P40297"/>
      <c r="Q40297" s="24"/>
      <c r="R40297"/>
      <c r="S40297"/>
      <c r="T40297"/>
      <c r="U40297"/>
      <c r="X40297" s="60"/>
    </row>
    <row r="40298" spans="7:24" ht="15" customHeight="1">
      <c r="G40298"/>
      <c r="I40298"/>
      <c r="N40298"/>
      <c r="O40298" s="24"/>
      <c r="P40298"/>
      <c r="Q40298" s="24"/>
      <c r="R40298"/>
      <c r="S40298"/>
      <c r="T40298"/>
      <c r="U40298"/>
      <c r="X40298" s="60"/>
    </row>
    <row r="40299" spans="7:24" ht="15" customHeight="1">
      <c r="G40299"/>
      <c r="I40299"/>
      <c r="N40299"/>
      <c r="O40299" s="24"/>
      <c r="P40299"/>
      <c r="Q40299" s="24"/>
      <c r="R40299"/>
      <c r="S40299"/>
      <c r="T40299"/>
      <c r="U40299"/>
      <c r="X40299" s="60"/>
    </row>
    <row r="40300" spans="7:24" ht="15" customHeight="1">
      <c r="G40300"/>
      <c r="I40300"/>
      <c r="N40300"/>
      <c r="O40300" s="24"/>
      <c r="P40300"/>
      <c r="Q40300" s="24"/>
      <c r="R40300"/>
      <c r="S40300"/>
      <c r="T40300"/>
      <c r="U40300"/>
      <c r="X40300" s="60"/>
    </row>
    <row r="40301" spans="7:24" ht="15" customHeight="1">
      <c r="G40301"/>
      <c r="I40301"/>
      <c r="N40301"/>
      <c r="O40301" s="24"/>
      <c r="P40301"/>
      <c r="Q40301" s="24"/>
      <c r="R40301"/>
      <c r="S40301"/>
      <c r="T40301"/>
      <c r="U40301"/>
      <c r="X40301" s="60"/>
    </row>
    <row r="40302" spans="7:24" ht="15" customHeight="1">
      <c r="G40302"/>
      <c r="I40302"/>
      <c r="N40302"/>
      <c r="O40302" s="24"/>
      <c r="P40302"/>
      <c r="Q40302" s="24"/>
      <c r="R40302"/>
      <c r="S40302"/>
      <c r="T40302"/>
      <c r="U40302"/>
      <c r="X40302" s="60"/>
    </row>
    <row r="40303" spans="7:24" ht="15" customHeight="1">
      <c r="G40303"/>
      <c r="I40303"/>
      <c r="N40303"/>
      <c r="O40303" s="24"/>
      <c r="P40303"/>
      <c r="Q40303" s="24"/>
      <c r="R40303"/>
      <c r="S40303"/>
      <c r="T40303"/>
      <c r="U40303"/>
      <c r="X40303" s="60"/>
    </row>
    <row r="40304" spans="7:24" ht="15" customHeight="1">
      <c r="G40304"/>
      <c r="I40304"/>
      <c r="N40304"/>
      <c r="O40304" s="24"/>
      <c r="P40304"/>
      <c r="Q40304" s="24"/>
      <c r="R40304"/>
      <c r="S40304"/>
      <c r="T40304"/>
      <c r="U40304"/>
      <c r="X40304" s="60"/>
    </row>
    <row r="40305" spans="7:24" ht="15" customHeight="1">
      <c r="G40305"/>
      <c r="I40305"/>
      <c r="N40305"/>
      <c r="O40305" s="24"/>
      <c r="P40305"/>
      <c r="Q40305" s="24"/>
      <c r="R40305"/>
      <c r="S40305"/>
      <c r="T40305"/>
      <c r="U40305"/>
      <c r="X40305" s="60"/>
    </row>
    <row r="40306" spans="7:24" ht="15" customHeight="1">
      <c r="G40306"/>
      <c r="I40306"/>
      <c r="N40306"/>
      <c r="O40306" s="24"/>
      <c r="P40306"/>
      <c r="Q40306" s="24"/>
      <c r="R40306"/>
      <c r="S40306"/>
      <c r="T40306"/>
      <c r="U40306"/>
      <c r="X40306" s="60"/>
    </row>
    <row r="40307" spans="7:24" ht="15" customHeight="1">
      <c r="G40307"/>
      <c r="I40307"/>
      <c r="N40307"/>
      <c r="O40307" s="24"/>
      <c r="P40307"/>
      <c r="Q40307" s="24"/>
      <c r="R40307"/>
      <c r="S40307"/>
      <c r="T40307"/>
      <c r="U40307"/>
      <c r="X40307" s="60"/>
    </row>
    <row r="40308" spans="7:24" ht="15" customHeight="1">
      <c r="G40308"/>
      <c r="I40308"/>
      <c r="N40308"/>
      <c r="O40308" s="24"/>
      <c r="P40308"/>
      <c r="Q40308" s="24"/>
      <c r="R40308"/>
      <c r="S40308"/>
      <c r="T40308"/>
      <c r="U40308"/>
      <c r="X40308" s="60"/>
    </row>
    <row r="40309" spans="7:24" ht="15" customHeight="1">
      <c r="G40309"/>
      <c r="I40309"/>
      <c r="N40309"/>
      <c r="O40309" s="24"/>
      <c r="P40309"/>
      <c r="Q40309" s="24"/>
      <c r="R40309"/>
      <c r="S40309"/>
      <c r="T40309"/>
      <c r="U40309"/>
      <c r="X40309" s="60"/>
    </row>
    <row r="40310" spans="7:24" ht="15" customHeight="1">
      <c r="G40310"/>
      <c r="I40310"/>
      <c r="N40310"/>
      <c r="O40310" s="24"/>
      <c r="P40310"/>
      <c r="Q40310" s="24"/>
      <c r="R40310"/>
      <c r="S40310"/>
      <c r="T40310"/>
      <c r="U40310"/>
      <c r="X40310" s="60"/>
    </row>
    <row r="40311" spans="7:24" ht="15" customHeight="1">
      <c r="G40311"/>
      <c r="I40311"/>
      <c r="N40311"/>
      <c r="O40311" s="24"/>
      <c r="P40311"/>
      <c r="Q40311" s="24"/>
      <c r="R40311"/>
      <c r="S40311"/>
      <c r="T40311"/>
      <c r="U40311"/>
      <c r="X40311" s="60"/>
    </row>
    <row r="40312" spans="7:24" ht="15" customHeight="1">
      <c r="G40312"/>
      <c r="I40312"/>
      <c r="N40312"/>
      <c r="O40312" s="24"/>
      <c r="P40312"/>
      <c r="Q40312" s="24"/>
      <c r="R40312"/>
      <c r="S40312"/>
      <c r="T40312"/>
      <c r="U40312"/>
      <c r="X40312" s="60"/>
    </row>
    <row r="40313" spans="7:24" ht="15" customHeight="1">
      <c r="G40313"/>
      <c r="I40313"/>
      <c r="N40313"/>
      <c r="O40313" s="24"/>
      <c r="P40313"/>
      <c r="Q40313" s="24"/>
      <c r="R40313"/>
      <c r="S40313"/>
      <c r="T40313"/>
      <c r="U40313"/>
      <c r="X40313" s="60"/>
    </row>
    <row r="40314" spans="7:24" ht="15" customHeight="1">
      <c r="G40314"/>
      <c r="I40314"/>
      <c r="N40314"/>
      <c r="O40314" s="24"/>
      <c r="P40314"/>
      <c r="Q40314" s="24"/>
      <c r="R40314"/>
      <c r="S40314"/>
      <c r="T40314"/>
      <c r="U40314"/>
      <c r="X40314" s="60"/>
    </row>
    <row r="40315" spans="7:24" ht="15" customHeight="1">
      <c r="G40315"/>
      <c r="I40315"/>
      <c r="N40315"/>
      <c r="O40315" s="24"/>
      <c r="P40315"/>
      <c r="Q40315" s="24"/>
      <c r="R40315"/>
      <c r="S40315"/>
      <c r="T40315"/>
      <c r="U40315"/>
      <c r="X40315" s="60"/>
    </row>
    <row r="40316" spans="7:24" ht="15" customHeight="1">
      <c r="G40316"/>
      <c r="I40316"/>
      <c r="N40316"/>
      <c r="O40316" s="24"/>
      <c r="P40316"/>
      <c r="Q40316" s="24"/>
      <c r="R40316"/>
      <c r="S40316"/>
      <c r="T40316"/>
      <c r="U40316"/>
      <c r="X40316" s="60"/>
    </row>
    <row r="40317" spans="7:24" ht="15" customHeight="1">
      <c r="G40317"/>
      <c r="I40317"/>
      <c r="N40317"/>
      <c r="O40317" s="24"/>
      <c r="P40317"/>
      <c r="Q40317" s="24"/>
      <c r="R40317"/>
      <c r="S40317"/>
      <c r="T40317"/>
      <c r="U40317"/>
      <c r="X40317" s="60"/>
    </row>
    <row r="40318" spans="7:24" ht="15" customHeight="1">
      <c r="G40318"/>
      <c r="I40318"/>
      <c r="N40318"/>
      <c r="O40318" s="24"/>
      <c r="P40318"/>
      <c r="Q40318" s="24"/>
      <c r="R40318"/>
      <c r="S40318"/>
      <c r="T40318"/>
      <c r="U40318"/>
      <c r="X40318" s="60"/>
    </row>
    <row r="40319" spans="7:24" ht="15" customHeight="1">
      <c r="G40319"/>
      <c r="I40319"/>
      <c r="N40319"/>
      <c r="O40319" s="24"/>
      <c r="P40319"/>
      <c r="Q40319" s="24"/>
      <c r="R40319"/>
      <c r="S40319"/>
      <c r="T40319"/>
      <c r="U40319"/>
      <c r="X40319" s="60"/>
    </row>
    <row r="40320" spans="7:24" ht="15" customHeight="1">
      <c r="G40320"/>
      <c r="I40320"/>
      <c r="N40320"/>
      <c r="O40320" s="24"/>
      <c r="P40320"/>
      <c r="Q40320" s="24"/>
      <c r="R40320"/>
      <c r="S40320"/>
      <c r="T40320"/>
      <c r="U40320"/>
      <c r="X40320" s="60"/>
    </row>
    <row r="40321" spans="7:24" ht="15" customHeight="1">
      <c r="G40321"/>
      <c r="I40321"/>
      <c r="N40321"/>
      <c r="O40321" s="24"/>
      <c r="P40321"/>
      <c r="Q40321" s="24"/>
      <c r="R40321"/>
      <c r="S40321"/>
      <c r="T40321"/>
      <c r="U40321"/>
      <c r="X40321" s="60"/>
    </row>
    <row r="40322" spans="7:24" ht="15" customHeight="1">
      <c r="G40322"/>
      <c r="I40322"/>
      <c r="N40322"/>
      <c r="O40322" s="24"/>
      <c r="P40322"/>
      <c r="Q40322" s="24"/>
      <c r="R40322"/>
      <c r="S40322"/>
      <c r="T40322"/>
      <c r="U40322"/>
      <c r="X40322" s="60"/>
    </row>
    <row r="40323" spans="7:24" ht="15" customHeight="1">
      <c r="G40323"/>
      <c r="I40323"/>
      <c r="N40323"/>
      <c r="O40323" s="24"/>
      <c r="P40323"/>
      <c r="Q40323" s="24"/>
      <c r="R40323"/>
      <c r="S40323"/>
      <c r="T40323"/>
      <c r="U40323"/>
      <c r="X40323" s="60"/>
    </row>
    <row r="40324" spans="7:24" ht="15" customHeight="1">
      <c r="G40324"/>
      <c r="I40324"/>
      <c r="N40324"/>
      <c r="O40324" s="24"/>
      <c r="P40324"/>
      <c r="Q40324" s="24"/>
      <c r="R40324"/>
      <c r="S40324"/>
      <c r="T40324"/>
      <c r="U40324"/>
      <c r="X40324" s="60"/>
    </row>
    <row r="40325" spans="7:24" ht="15" customHeight="1">
      <c r="G40325"/>
      <c r="I40325"/>
      <c r="N40325"/>
      <c r="O40325" s="24"/>
      <c r="P40325"/>
      <c r="Q40325" s="24"/>
      <c r="R40325"/>
      <c r="S40325"/>
      <c r="T40325"/>
      <c r="U40325"/>
      <c r="X40325" s="60"/>
    </row>
    <row r="40326" spans="7:24" ht="15" customHeight="1">
      <c r="G40326"/>
      <c r="I40326"/>
      <c r="N40326"/>
      <c r="O40326" s="24"/>
      <c r="P40326"/>
      <c r="Q40326" s="24"/>
      <c r="R40326"/>
      <c r="S40326"/>
      <c r="T40326"/>
      <c r="U40326"/>
      <c r="X40326" s="60"/>
    </row>
    <row r="40327" spans="7:24" ht="15" customHeight="1">
      <c r="G40327"/>
      <c r="I40327"/>
      <c r="N40327"/>
      <c r="O40327" s="24"/>
      <c r="P40327"/>
      <c r="Q40327" s="24"/>
      <c r="R40327"/>
      <c r="S40327"/>
      <c r="T40327"/>
      <c r="U40327"/>
      <c r="X40327" s="60"/>
    </row>
    <row r="40328" spans="7:24" ht="15" customHeight="1">
      <c r="G40328"/>
      <c r="I40328"/>
      <c r="N40328"/>
      <c r="O40328" s="24"/>
      <c r="P40328"/>
      <c r="Q40328" s="24"/>
      <c r="R40328"/>
      <c r="S40328"/>
      <c r="T40328"/>
      <c r="U40328"/>
      <c r="X40328" s="60"/>
    </row>
    <row r="40329" spans="7:24" ht="15" customHeight="1">
      <c r="G40329"/>
      <c r="I40329"/>
      <c r="N40329"/>
      <c r="O40329" s="24"/>
      <c r="P40329"/>
      <c r="Q40329" s="24"/>
      <c r="R40329"/>
      <c r="S40329"/>
      <c r="T40329"/>
      <c r="U40329"/>
      <c r="X40329" s="60"/>
    </row>
    <row r="40330" spans="7:24" ht="15" customHeight="1">
      <c r="G40330"/>
      <c r="I40330"/>
      <c r="N40330"/>
      <c r="O40330" s="24"/>
      <c r="P40330"/>
      <c r="Q40330" s="24"/>
      <c r="R40330"/>
      <c r="S40330"/>
      <c r="T40330"/>
      <c r="U40330"/>
      <c r="X40330" s="60"/>
    </row>
    <row r="40331" spans="7:24" ht="15" customHeight="1">
      <c r="G40331"/>
      <c r="I40331"/>
      <c r="N40331"/>
      <c r="O40331" s="24"/>
      <c r="P40331"/>
      <c r="Q40331" s="24"/>
      <c r="R40331"/>
      <c r="S40331"/>
      <c r="T40331"/>
      <c r="U40331"/>
      <c r="X40331" s="60"/>
    </row>
    <row r="40332" spans="7:24" ht="15" customHeight="1">
      <c r="G40332"/>
      <c r="I40332"/>
      <c r="N40332"/>
      <c r="O40332" s="24"/>
      <c r="P40332"/>
      <c r="Q40332" s="24"/>
      <c r="R40332"/>
      <c r="S40332"/>
      <c r="T40332"/>
      <c r="U40332"/>
      <c r="X40332" s="60"/>
    </row>
    <row r="40333" spans="7:24" ht="15" customHeight="1">
      <c r="G40333"/>
      <c r="I40333"/>
      <c r="N40333"/>
      <c r="O40333" s="24"/>
      <c r="P40333"/>
      <c r="Q40333" s="24"/>
      <c r="R40333"/>
      <c r="S40333"/>
      <c r="T40333"/>
      <c r="U40333"/>
      <c r="X40333" s="60"/>
    </row>
    <row r="40334" spans="7:24" ht="15" customHeight="1">
      <c r="G40334"/>
      <c r="I40334"/>
      <c r="N40334"/>
      <c r="O40334" s="24"/>
      <c r="P40334"/>
      <c r="Q40334" s="24"/>
      <c r="R40334"/>
      <c r="S40334"/>
      <c r="T40334"/>
      <c r="U40334"/>
      <c r="X40334" s="60"/>
    </row>
    <row r="40335" spans="7:24" ht="15" customHeight="1">
      <c r="G40335"/>
      <c r="I40335"/>
      <c r="N40335"/>
      <c r="O40335" s="24"/>
      <c r="P40335"/>
      <c r="Q40335" s="24"/>
      <c r="R40335"/>
      <c r="S40335"/>
      <c r="T40335"/>
      <c r="U40335"/>
      <c r="X40335" s="60"/>
    </row>
    <row r="40336" spans="7:24" ht="15" customHeight="1">
      <c r="G40336"/>
      <c r="I40336"/>
      <c r="N40336"/>
      <c r="O40336" s="24"/>
      <c r="P40336"/>
      <c r="Q40336" s="24"/>
      <c r="R40336"/>
      <c r="S40336"/>
      <c r="T40336"/>
      <c r="U40336"/>
      <c r="X40336" s="60"/>
    </row>
    <row r="40337" spans="7:24" ht="15" customHeight="1">
      <c r="G40337"/>
      <c r="I40337"/>
      <c r="N40337"/>
      <c r="O40337" s="24"/>
      <c r="P40337"/>
      <c r="Q40337" s="24"/>
      <c r="R40337"/>
      <c r="S40337"/>
      <c r="T40337"/>
      <c r="U40337"/>
      <c r="X40337" s="60"/>
    </row>
    <row r="40338" spans="7:24" ht="15" customHeight="1">
      <c r="G40338"/>
      <c r="I40338"/>
      <c r="N40338"/>
      <c r="O40338" s="24"/>
      <c r="P40338"/>
      <c r="Q40338" s="24"/>
      <c r="R40338"/>
      <c r="S40338"/>
      <c r="T40338"/>
      <c r="U40338"/>
      <c r="X40338" s="60"/>
    </row>
    <row r="40339" spans="7:24" ht="15" customHeight="1">
      <c r="G40339"/>
      <c r="I40339"/>
      <c r="N40339"/>
      <c r="O40339" s="24"/>
      <c r="P40339"/>
      <c r="Q40339" s="24"/>
      <c r="R40339"/>
      <c r="S40339"/>
      <c r="T40339"/>
      <c r="U40339"/>
      <c r="X40339" s="60"/>
    </row>
    <row r="40340" spans="7:24" ht="15" customHeight="1">
      <c r="G40340"/>
      <c r="I40340"/>
      <c r="N40340"/>
      <c r="O40340" s="24"/>
      <c r="P40340"/>
      <c r="Q40340" s="24"/>
      <c r="R40340"/>
      <c r="S40340"/>
      <c r="T40340"/>
      <c r="U40340"/>
      <c r="X40340" s="60"/>
    </row>
    <row r="40341" spans="7:24" ht="15" customHeight="1">
      <c r="G40341"/>
      <c r="I40341"/>
      <c r="N40341"/>
      <c r="O40341" s="24"/>
      <c r="P40341"/>
      <c r="Q40341" s="24"/>
      <c r="R40341"/>
      <c r="S40341"/>
      <c r="T40341"/>
      <c r="U40341"/>
      <c r="X40341" s="60"/>
    </row>
    <row r="40342" spans="7:24" ht="15" customHeight="1">
      <c r="G40342"/>
      <c r="I40342"/>
      <c r="N40342"/>
      <c r="O40342" s="24"/>
      <c r="P40342"/>
      <c r="Q40342" s="24"/>
      <c r="R40342"/>
      <c r="S40342"/>
      <c r="T40342"/>
      <c r="U40342"/>
      <c r="X40342" s="60"/>
    </row>
    <row r="40343" spans="7:24" ht="15" customHeight="1">
      <c r="G40343"/>
      <c r="I40343"/>
      <c r="N40343"/>
      <c r="O40343" s="24"/>
      <c r="P40343"/>
      <c r="Q40343" s="24"/>
      <c r="R40343"/>
      <c r="S40343"/>
      <c r="T40343"/>
      <c r="U40343"/>
      <c r="X40343" s="60"/>
    </row>
    <row r="40344" spans="7:24" ht="15" customHeight="1">
      <c r="G40344"/>
      <c r="I40344"/>
      <c r="N40344"/>
      <c r="O40344" s="24"/>
      <c r="P40344"/>
      <c r="Q40344" s="24"/>
      <c r="R40344"/>
      <c r="S40344"/>
      <c r="T40344"/>
      <c r="U40344"/>
      <c r="X40344" s="60"/>
    </row>
    <row r="40345" spans="7:24" ht="15" customHeight="1">
      <c r="G40345"/>
      <c r="I40345"/>
      <c r="N40345"/>
      <c r="O40345" s="24"/>
      <c r="P40345"/>
      <c r="Q40345" s="24"/>
      <c r="R40345"/>
      <c r="S40345"/>
      <c r="T40345"/>
      <c r="U40345"/>
      <c r="X40345" s="60"/>
    </row>
    <row r="40346" spans="7:24" ht="15" customHeight="1">
      <c r="G40346"/>
      <c r="I40346"/>
      <c r="N40346"/>
      <c r="O40346" s="24"/>
      <c r="P40346"/>
      <c r="Q40346" s="24"/>
      <c r="R40346"/>
      <c r="S40346"/>
      <c r="T40346"/>
      <c r="U40346"/>
      <c r="X40346" s="60"/>
    </row>
    <row r="40347" spans="7:24" ht="15" customHeight="1">
      <c r="G40347"/>
      <c r="I40347"/>
      <c r="N40347"/>
      <c r="O40347" s="24"/>
      <c r="P40347"/>
      <c r="Q40347" s="24"/>
      <c r="R40347"/>
      <c r="S40347"/>
      <c r="T40347"/>
      <c r="U40347"/>
      <c r="X40347" s="60"/>
    </row>
    <row r="40348" spans="7:24" ht="15" customHeight="1">
      <c r="G40348"/>
      <c r="I40348"/>
      <c r="N40348"/>
      <c r="O40348" s="24"/>
      <c r="P40348"/>
      <c r="Q40348" s="24"/>
      <c r="R40348"/>
      <c r="S40348"/>
      <c r="T40348"/>
      <c r="U40348"/>
      <c r="X40348" s="60"/>
    </row>
    <row r="40349" spans="7:24" ht="15" customHeight="1">
      <c r="G40349"/>
      <c r="I40349"/>
      <c r="N40349"/>
      <c r="O40349" s="24"/>
      <c r="P40349"/>
      <c r="Q40349" s="24"/>
      <c r="R40349"/>
      <c r="S40349"/>
      <c r="T40349"/>
      <c r="U40349"/>
      <c r="X40349" s="60"/>
    </row>
    <row r="40350" spans="7:24" ht="15" customHeight="1">
      <c r="G40350"/>
      <c r="I40350"/>
      <c r="N40350"/>
      <c r="O40350" s="24"/>
      <c r="P40350"/>
      <c r="Q40350" s="24"/>
      <c r="R40350"/>
      <c r="S40350"/>
      <c r="T40350"/>
      <c r="U40350"/>
      <c r="X40350" s="60"/>
    </row>
    <row r="40351" spans="7:24" ht="15" customHeight="1">
      <c r="G40351"/>
      <c r="I40351"/>
      <c r="N40351"/>
      <c r="O40351" s="24"/>
      <c r="P40351"/>
      <c r="Q40351" s="24"/>
      <c r="R40351"/>
      <c r="S40351"/>
      <c r="T40351"/>
      <c r="U40351"/>
      <c r="X40351" s="60"/>
    </row>
    <row r="40352" spans="7:24" ht="15" customHeight="1">
      <c r="G40352"/>
      <c r="I40352"/>
      <c r="N40352"/>
      <c r="O40352" s="24"/>
      <c r="P40352"/>
      <c r="Q40352" s="24"/>
      <c r="R40352"/>
      <c r="S40352"/>
      <c r="T40352"/>
      <c r="U40352"/>
      <c r="X40352" s="60"/>
    </row>
    <row r="40353" spans="7:24" ht="15" customHeight="1">
      <c r="G40353"/>
      <c r="I40353"/>
      <c r="N40353"/>
      <c r="O40353" s="24"/>
      <c r="P40353"/>
      <c r="Q40353" s="24"/>
      <c r="R40353"/>
      <c r="S40353"/>
      <c r="T40353"/>
      <c r="U40353"/>
      <c r="X40353" s="60"/>
    </row>
    <row r="40354" spans="7:24" ht="15" customHeight="1">
      <c r="G40354"/>
      <c r="I40354"/>
      <c r="N40354"/>
      <c r="O40354" s="24"/>
      <c r="P40354"/>
      <c r="Q40354" s="24"/>
      <c r="R40354"/>
      <c r="S40354"/>
      <c r="T40354"/>
      <c r="U40354"/>
      <c r="X40354" s="60"/>
    </row>
    <row r="40355" spans="7:24" ht="15" customHeight="1">
      <c r="G40355"/>
      <c r="I40355"/>
      <c r="N40355"/>
      <c r="O40355" s="24"/>
      <c r="P40355"/>
      <c r="Q40355" s="24"/>
      <c r="R40355"/>
      <c r="S40355"/>
      <c r="T40355"/>
      <c r="U40355"/>
      <c r="X40355" s="60"/>
    </row>
    <row r="40356" spans="7:24" ht="15" customHeight="1">
      <c r="G40356"/>
      <c r="I40356"/>
      <c r="N40356"/>
      <c r="O40356" s="24"/>
      <c r="P40356"/>
      <c r="Q40356" s="24"/>
      <c r="R40356"/>
      <c r="S40356"/>
      <c r="T40356"/>
      <c r="U40356"/>
      <c r="X40356" s="60"/>
    </row>
    <row r="40357" spans="7:24" ht="15" customHeight="1">
      <c r="G40357"/>
      <c r="I40357"/>
      <c r="N40357"/>
      <c r="O40357" s="24"/>
      <c r="P40357"/>
      <c r="Q40357" s="24"/>
      <c r="R40357"/>
      <c r="S40357"/>
      <c r="T40357"/>
      <c r="U40357"/>
      <c r="X40357" s="60"/>
    </row>
    <row r="40358" spans="7:24" ht="15" customHeight="1">
      <c r="G40358"/>
      <c r="I40358"/>
      <c r="N40358"/>
      <c r="O40358" s="24"/>
      <c r="P40358"/>
      <c r="Q40358" s="24"/>
      <c r="R40358"/>
      <c r="S40358"/>
      <c r="T40358"/>
      <c r="U40358"/>
      <c r="X40358" s="60"/>
    </row>
    <row r="40359" spans="7:24" ht="15" customHeight="1">
      <c r="G40359"/>
      <c r="I40359"/>
      <c r="N40359"/>
      <c r="O40359" s="24"/>
      <c r="P40359"/>
      <c r="Q40359" s="24"/>
      <c r="R40359"/>
      <c r="S40359"/>
      <c r="T40359"/>
      <c r="U40359"/>
      <c r="X40359" s="60"/>
    </row>
    <row r="40360" spans="7:24" ht="15" customHeight="1">
      <c r="G40360"/>
      <c r="I40360"/>
      <c r="N40360"/>
      <c r="O40360" s="24"/>
      <c r="P40360"/>
      <c r="Q40360" s="24"/>
      <c r="R40360"/>
      <c r="S40360"/>
      <c r="T40360"/>
      <c r="U40360"/>
      <c r="X40360" s="60"/>
    </row>
    <row r="40361" spans="7:24" ht="15" customHeight="1">
      <c r="G40361"/>
      <c r="I40361"/>
      <c r="N40361"/>
      <c r="O40361" s="24"/>
      <c r="P40361"/>
      <c r="Q40361" s="24"/>
      <c r="R40361"/>
      <c r="S40361"/>
      <c r="T40361"/>
      <c r="U40361"/>
      <c r="X40361" s="60"/>
    </row>
    <row r="40362" spans="7:24" ht="15" customHeight="1">
      <c r="G40362"/>
      <c r="I40362"/>
      <c r="N40362"/>
      <c r="O40362" s="24"/>
      <c r="P40362"/>
      <c r="Q40362" s="24"/>
      <c r="R40362"/>
      <c r="S40362"/>
      <c r="T40362"/>
      <c r="U40362"/>
      <c r="X40362" s="60"/>
    </row>
    <row r="40363" spans="7:24" ht="15" customHeight="1">
      <c r="G40363"/>
      <c r="I40363"/>
      <c r="N40363"/>
      <c r="O40363" s="24"/>
      <c r="P40363"/>
      <c r="Q40363" s="24"/>
      <c r="R40363"/>
      <c r="S40363"/>
      <c r="T40363"/>
      <c r="U40363"/>
      <c r="X40363" s="60"/>
    </row>
    <row r="40364" spans="7:24" ht="15" customHeight="1">
      <c r="G40364"/>
      <c r="I40364"/>
      <c r="N40364"/>
      <c r="O40364" s="24"/>
      <c r="P40364"/>
      <c r="Q40364" s="24"/>
      <c r="R40364"/>
      <c r="S40364"/>
      <c r="T40364"/>
      <c r="U40364"/>
      <c r="X40364" s="60"/>
    </row>
    <row r="40365" spans="7:24" ht="15" customHeight="1">
      <c r="G40365"/>
      <c r="I40365"/>
      <c r="N40365"/>
      <c r="O40365" s="24"/>
      <c r="P40365"/>
      <c r="Q40365" s="24"/>
      <c r="R40365"/>
      <c r="S40365"/>
      <c r="T40365"/>
      <c r="U40365"/>
      <c r="X40365" s="60"/>
    </row>
    <row r="40366" spans="7:24" ht="15" customHeight="1">
      <c r="G40366"/>
      <c r="I40366"/>
      <c r="N40366"/>
      <c r="O40366" s="24"/>
      <c r="P40366"/>
      <c r="Q40366" s="24"/>
      <c r="R40366"/>
      <c r="S40366"/>
      <c r="T40366"/>
      <c r="U40366"/>
      <c r="X40366" s="60"/>
    </row>
    <row r="40367" spans="7:24" ht="15" customHeight="1">
      <c r="G40367"/>
      <c r="I40367"/>
      <c r="N40367"/>
      <c r="O40367" s="24"/>
      <c r="P40367"/>
      <c r="Q40367" s="24"/>
      <c r="R40367"/>
      <c r="S40367"/>
      <c r="T40367"/>
      <c r="U40367"/>
      <c r="X40367" s="60"/>
    </row>
    <row r="40368" spans="7:24" ht="15" customHeight="1">
      <c r="G40368"/>
      <c r="I40368"/>
      <c r="N40368"/>
      <c r="O40368" s="24"/>
      <c r="P40368"/>
      <c r="Q40368" s="24"/>
      <c r="R40368"/>
      <c r="S40368"/>
      <c r="T40368"/>
      <c r="U40368"/>
      <c r="X40368" s="60"/>
    </row>
    <row r="40369" spans="7:24" ht="15" customHeight="1">
      <c r="G40369"/>
      <c r="I40369"/>
      <c r="N40369"/>
      <c r="O40369" s="24"/>
      <c r="P40369"/>
      <c r="Q40369" s="24"/>
      <c r="R40369"/>
      <c r="S40369"/>
      <c r="T40369"/>
      <c r="U40369"/>
      <c r="X40369" s="60"/>
    </row>
    <row r="40370" spans="7:24" ht="15" customHeight="1">
      <c r="G40370"/>
      <c r="I40370"/>
      <c r="N40370"/>
      <c r="O40370" s="24"/>
      <c r="P40370"/>
      <c r="Q40370" s="24"/>
      <c r="R40370"/>
      <c r="S40370"/>
      <c r="T40370"/>
      <c r="U40370"/>
      <c r="X40370" s="60"/>
    </row>
    <row r="40371" spans="7:24" ht="15" customHeight="1">
      <c r="G40371"/>
      <c r="I40371"/>
      <c r="N40371"/>
      <c r="O40371" s="24"/>
      <c r="P40371"/>
      <c r="Q40371" s="24"/>
      <c r="R40371"/>
      <c r="S40371"/>
      <c r="T40371"/>
      <c r="U40371"/>
      <c r="X40371" s="60"/>
    </row>
    <row r="40372" spans="7:24" ht="15" customHeight="1">
      <c r="G40372"/>
      <c r="I40372"/>
      <c r="N40372"/>
      <c r="O40372" s="24"/>
      <c r="P40372"/>
      <c r="Q40372" s="24"/>
      <c r="R40372"/>
      <c r="S40372"/>
      <c r="T40372"/>
      <c r="U40372"/>
      <c r="X40372" s="60"/>
    </row>
    <row r="40373" spans="7:24" ht="15" customHeight="1">
      <c r="G40373"/>
      <c r="I40373"/>
      <c r="N40373"/>
      <c r="O40373" s="24"/>
      <c r="P40373"/>
      <c r="Q40373" s="24"/>
      <c r="R40373"/>
      <c r="S40373"/>
      <c r="T40373"/>
      <c r="U40373"/>
      <c r="X40373" s="60"/>
    </row>
    <row r="40374" spans="7:24" ht="15" customHeight="1">
      <c r="G40374"/>
      <c r="I40374"/>
      <c r="N40374"/>
      <c r="O40374" s="24"/>
      <c r="P40374"/>
      <c r="Q40374" s="24"/>
      <c r="R40374"/>
      <c r="S40374"/>
      <c r="T40374"/>
      <c r="U40374"/>
      <c r="X40374" s="60"/>
    </row>
    <row r="40375" spans="7:24" ht="15" customHeight="1">
      <c r="G40375"/>
      <c r="I40375"/>
      <c r="N40375"/>
      <c r="O40375" s="24"/>
      <c r="P40375"/>
      <c r="Q40375" s="24"/>
      <c r="R40375"/>
      <c r="S40375"/>
      <c r="T40375"/>
      <c r="U40375"/>
      <c r="X40375" s="60"/>
    </row>
    <row r="40376" spans="7:24" ht="15" customHeight="1">
      <c r="G40376"/>
      <c r="I40376"/>
      <c r="N40376"/>
      <c r="O40376" s="24"/>
      <c r="P40376"/>
      <c r="Q40376" s="24"/>
      <c r="R40376"/>
      <c r="S40376"/>
      <c r="T40376"/>
      <c r="U40376"/>
      <c r="X40376" s="60"/>
    </row>
    <row r="40377" spans="7:24" ht="15" customHeight="1">
      <c r="G40377"/>
      <c r="I40377"/>
      <c r="N40377"/>
      <c r="O40377" s="24"/>
      <c r="P40377"/>
      <c r="Q40377" s="24"/>
      <c r="R40377"/>
      <c r="S40377"/>
      <c r="T40377"/>
      <c r="U40377"/>
      <c r="X40377" s="60"/>
    </row>
    <row r="40378" spans="7:24" ht="15" customHeight="1">
      <c r="G40378"/>
      <c r="I40378"/>
      <c r="N40378"/>
      <c r="O40378" s="24"/>
      <c r="P40378"/>
      <c r="Q40378" s="24"/>
      <c r="R40378"/>
      <c r="S40378"/>
      <c r="T40378"/>
      <c r="U40378"/>
      <c r="X40378" s="60"/>
    </row>
    <row r="40379" spans="7:24" ht="15" customHeight="1">
      <c r="G40379"/>
      <c r="I40379"/>
      <c r="N40379"/>
      <c r="O40379" s="24"/>
      <c r="P40379"/>
      <c r="Q40379" s="24"/>
      <c r="R40379"/>
      <c r="S40379"/>
      <c r="T40379"/>
      <c r="U40379"/>
      <c r="X40379" s="60"/>
    </row>
    <row r="40380" spans="7:24" ht="15" customHeight="1">
      <c r="G40380"/>
      <c r="I40380"/>
      <c r="N40380"/>
      <c r="O40380" s="24"/>
      <c r="P40380"/>
      <c r="Q40380" s="24"/>
      <c r="R40380"/>
      <c r="S40380"/>
      <c r="T40380"/>
      <c r="U40380"/>
      <c r="X40380" s="60"/>
    </row>
    <row r="40381" spans="7:24" ht="15" customHeight="1">
      <c r="G40381"/>
      <c r="I40381"/>
      <c r="N40381"/>
      <c r="O40381" s="24"/>
      <c r="P40381"/>
      <c r="Q40381" s="24"/>
      <c r="R40381"/>
      <c r="S40381"/>
      <c r="T40381"/>
      <c r="U40381"/>
      <c r="X40381" s="60"/>
    </row>
    <row r="40382" spans="7:24" ht="15" customHeight="1">
      <c r="G40382"/>
      <c r="I40382"/>
      <c r="N40382"/>
      <c r="O40382" s="24"/>
      <c r="P40382"/>
      <c r="Q40382" s="24"/>
      <c r="R40382"/>
      <c r="S40382"/>
      <c r="T40382"/>
      <c r="U40382"/>
      <c r="X40382" s="60"/>
    </row>
    <row r="40383" spans="7:24" ht="15" customHeight="1">
      <c r="G40383"/>
      <c r="I40383"/>
      <c r="N40383"/>
      <c r="O40383" s="24"/>
      <c r="P40383"/>
      <c r="Q40383" s="24"/>
      <c r="R40383"/>
      <c r="S40383"/>
      <c r="T40383"/>
      <c r="U40383"/>
      <c r="X40383" s="60"/>
    </row>
    <row r="40384" spans="7:24" ht="15" customHeight="1">
      <c r="G40384"/>
      <c r="I40384"/>
      <c r="N40384"/>
      <c r="O40384" s="24"/>
      <c r="P40384"/>
      <c r="Q40384" s="24"/>
      <c r="R40384"/>
      <c r="S40384"/>
      <c r="T40384"/>
      <c r="U40384"/>
      <c r="X40384" s="60"/>
    </row>
    <row r="40385" spans="7:24" ht="15" customHeight="1">
      <c r="G40385"/>
      <c r="I40385"/>
      <c r="N40385"/>
      <c r="O40385" s="24"/>
      <c r="P40385"/>
      <c r="Q40385" s="24"/>
      <c r="R40385"/>
      <c r="S40385"/>
      <c r="T40385"/>
      <c r="U40385"/>
      <c r="X40385" s="60"/>
    </row>
    <row r="40386" spans="7:24" ht="15" customHeight="1">
      <c r="G40386"/>
      <c r="I40386"/>
      <c r="N40386"/>
      <c r="O40386" s="24"/>
      <c r="P40386"/>
      <c r="Q40386" s="24"/>
      <c r="R40386"/>
      <c r="S40386"/>
      <c r="T40386"/>
      <c r="U40386"/>
      <c r="X40386" s="60"/>
    </row>
    <row r="40387" spans="7:24" ht="15" customHeight="1">
      <c r="G40387"/>
      <c r="I40387"/>
      <c r="N40387"/>
      <c r="O40387" s="24"/>
      <c r="P40387"/>
      <c r="Q40387" s="24"/>
      <c r="R40387"/>
      <c r="S40387"/>
      <c r="T40387"/>
      <c r="U40387"/>
      <c r="X40387" s="60"/>
    </row>
    <row r="40388" spans="7:24" ht="15" customHeight="1">
      <c r="G40388"/>
      <c r="I40388"/>
      <c r="N40388"/>
      <c r="O40388" s="24"/>
      <c r="P40388"/>
      <c r="Q40388" s="24"/>
      <c r="R40388"/>
      <c r="S40388"/>
      <c r="T40388"/>
      <c r="U40388"/>
      <c r="X40388" s="60"/>
    </row>
    <row r="40389" spans="7:24" ht="15" customHeight="1">
      <c r="G40389"/>
      <c r="I40389"/>
      <c r="N40389"/>
      <c r="O40389" s="24"/>
      <c r="P40389"/>
      <c r="Q40389" s="24"/>
      <c r="R40389"/>
      <c r="S40389"/>
      <c r="T40389"/>
      <c r="U40389"/>
      <c r="X40389" s="60"/>
    </row>
    <row r="40390" spans="7:24" ht="15" customHeight="1">
      <c r="G40390"/>
      <c r="I40390"/>
      <c r="N40390"/>
      <c r="O40390" s="24"/>
      <c r="P40390"/>
      <c r="Q40390" s="24"/>
      <c r="R40390"/>
      <c r="S40390"/>
      <c r="T40390"/>
      <c r="U40390"/>
      <c r="X40390" s="60"/>
    </row>
    <row r="40391" spans="7:24" ht="15" customHeight="1">
      <c r="G40391"/>
      <c r="I40391"/>
      <c r="N40391"/>
      <c r="O40391" s="24"/>
      <c r="P40391"/>
      <c r="Q40391" s="24"/>
      <c r="R40391"/>
      <c r="S40391"/>
      <c r="T40391"/>
      <c r="U40391"/>
      <c r="X40391" s="60"/>
    </row>
    <row r="40392" spans="7:24" ht="15" customHeight="1">
      <c r="G40392"/>
      <c r="I40392"/>
      <c r="N40392"/>
      <c r="O40392" s="24"/>
      <c r="P40392"/>
      <c r="Q40392" s="24"/>
      <c r="R40392"/>
      <c r="S40392"/>
      <c r="T40392"/>
      <c r="U40392"/>
      <c r="X40392" s="60"/>
    </row>
    <row r="40393" spans="7:24" ht="15" customHeight="1">
      <c r="G40393"/>
      <c r="I40393"/>
      <c r="N40393"/>
      <c r="O40393" s="24"/>
      <c r="P40393"/>
      <c r="Q40393" s="24"/>
      <c r="R40393"/>
      <c r="S40393"/>
      <c r="T40393"/>
      <c r="U40393"/>
      <c r="X40393" s="60"/>
    </row>
    <row r="40394" spans="7:24" ht="15" customHeight="1">
      <c r="G40394"/>
      <c r="I40394"/>
      <c r="N40394"/>
      <c r="O40394" s="24"/>
      <c r="P40394"/>
      <c r="Q40394" s="24"/>
      <c r="R40394"/>
      <c r="S40394"/>
      <c r="T40394"/>
      <c r="U40394"/>
      <c r="X40394" s="60"/>
    </row>
    <row r="40395" spans="7:24" ht="15" customHeight="1">
      <c r="G40395"/>
      <c r="I40395"/>
      <c r="N40395"/>
      <c r="O40395" s="24"/>
      <c r="P40395"/>
      <c r="Q40395" s="24"/>
      <c r="R40395"/>
      <c r="S40395"/>
      <c r="T40395"/>
      <c r="U40395"/>
      <c r="X40395" s="60"/>
    </row>
    <row r="40396" spans="7:24" ht="15" customHeight="1">
      <c r="G40396"/>
      <c r="I40396"/>
      <c r="N40396"/>
      <c r="O40396" s="24"/>
      <c r="P40396"/>
      <c r="Q40396" s="24"/>
      <c r="R40396"/>
      <c r="S40396"/>
      <c r="T40396"/>
      <c r="U40396"/>
      <c r="X40396" s="60"/>
    </row>
    <row r="40397" spans="7:24" ht="15" customHeight="1">
      <c r="G40397"/>
      <c r="I40397"/>
      <c r="N40397"/>
      <c r="O40397" s="24"/>
      <c r="P40397"/>
      <c r="Q40397" s="24"/>
      <c r="R40397"/>
      <c r="S40397"/>
      <c r="T40397"/>
      <c r="U40397"/>
      <c r="X40397" s="60"/>
    </row>
    <row r="40398" spans="7:24" ht="15" customHeight="1">
      <c r="G40398"/>
      <c r="I40398"/>
      <c r="N40398"/>
      <c r="O40398" s="24"/>
      <c r="P40398"/>
      <c r="Q40398" s="24"/>
      <c r="R40398"/>
      <c r="S40398"/>
      <c r="T40398"/>
      <c r="U40398"/>
      <c r="X40398" s="60"/>
    </row>
    <row r="40399" spans="7:24" ht="15" customHeight="1">
      <c r="G40399"/>
      <c r="I40399"/>
      <c r="N40399"/>
      <c r="O40399" s="24"/>
      <c r="P40399"/>
      <c r="Q40399" s="24"/>
      <c r="R40399"/>
      <c r="S40399"/>
      <c r="T40399"/>
      <c r="U40399"/>
      <c r="X40399" s="60"/>
    </row>
    <row r="40400" spans="7:24" ht="15" customHeight="1">
      <c r="G40400"/>
      <c r="I40400"/>
      <c r="N40400"/>
      <c r="O40400" s="24"/>
      <c r="P40400"/>
      <c r="Q40400" s="24"/>
      <c r="R40400"/>
      <c r="S40400"/>
      <c r="T40400"/>
      <c r="U40400"/>
      <c r="X40400" s="60"/>
    </row>
    <row r="40401" spans="7:24" ht="15" customHeight="1">
      <c r="G40401"/>
      <c r="I40401"/>
      <c r="N40401"/>
      <c r="O40401" s="24"/>
      <c r="P40401"/>
      <c r="Q40401" s="24"/>
      <c r="R40401"/>
      <c r="S40401"/>
      <c r="T40401"/>
      <c r="U40401"/>
      <c r="X40401" s="60"/>
    </row>
    <row r="40402" spans="7:24" ht="15" customHeight="1">
      <c r="G40402"/>
      <c r="I40402"/>
      <c r="N40402"/>
      <c r="O40402" s="24"/>
      <c r="P40402"/>
      <c r="Q40402" s="24"/>
      <c r="R40402"/>
      <c r="S40402"/>
      <c r="T40402"/>
      <c r="U40402"/>
      <c r="X40402" s="60"/>
    </row>
    <row r="40403" spans="7:24" ht="15" customHeight="1">
      <c r="G40403"/>
      <c r="I40403"/>
      <c r="N40403"/>
      <c r="O40403" s="24"/>
      <c r="P40403"/>
      <c r="Q40403" s="24"/>
      <c r="R40403"/>
      <c r="S40403"/>
      <c r="T40403"/>
      <c r="U40403"/>
      <c r="X40403" s="60"/>
    </row>
    <row r="40404" spans="7:24" ht="15" customHeight="1">
      <c r="G40404"/>
      <c r="I40404"/>
      <c r="N40404"/>
      <c r="O40404" s="24"/>
      <c r="P40404"/>
      <c r="Q40404" s="24"/>
      <c r="R40404"/>
      <c r="S40404"/>
      <c r="T40404"/>
      <c r="U40404"/>
      <c r="X40404" s="60"/>
    </row>
    <row r="40405" spans="7:24" ht="15" customHeight="1">
      <c r="G40405"/>
      <c r="I40405"/>
      <c r="N40405"/>
      <c r="O40405" s="24"/>
      <c r="P40405"/>
      <c r="Q40405" s="24"/>
      <c r="R40405"/>
      <c r="S40405"/>
      <c r="T40405"/>
      <c r="U40405"/>
      <c r="X40405" s="60"/>
    </row>
    <row r="40406" spans="7:24" ht="15" customHeight="1">
      <c r="G40406"/>
      <c r="I40406"/>
      <c r="N40406"/>
      <c r="O40406" s="24"/>
      <c r="P40406"/>
      <c r="Q40406" s="24"/>
      <c r="R40406"/>
      <c r="S40406"/>
      <c r="T40406"/>
      <c r="U40406"/>
      <c r="X40406" s="60"/>
    </row>
    <row r="40407" spans="7:24" ht="15" customHeight="1">
      <c r="G40407"/>
      <c r="I40407"/>
      <c r="N40407"/>
      <c r="O40407" s="24"/>
      <c r="P40407"/>
      <c r="Q40407" s="24"/>
      <c r="R40407"/>
      <c r="S40407"/>
      <c r="T40407"/>
      <c r="U40407"/>
      <c r="X40407" s="60"/>
    </row>
    <row r="40408" spans="7:24" ht="15" customHeight="1">
      <c r="G40408"/>
      <c r="I40408"/>
      <c r="N40408"/>
      <c r="O40408" s="24"/>
      <c r="P40408"/>
      <c r="Q40408" s="24"/>
      <c r="R40408"/>
      <c r="S40408"/>
      <c r="T40408"/>
      <c r="U40408"/>
      <c r="X40408" s="60"/>
    </row>
    <row r="40409" spans="7:24" ht="15" customHeight="1">
      <c r="G40409"/>
      <c r="I40409"/>
      <c r="N40409"/>
      <c r="O40409" s="24"/>
      <c r="P40409"/>
      <c r="Q40409" s="24"/>
      <c r="R40409"/>
      <c r="S40409"/>
      <c r="T40409"/>
      <c r="U40409"/>
      <c r="X40409" s="60"/>
    </row>
    <row r="40410" spans="7:24" ht="15" customHeight="1">
      <c r="G40410"/>
      <c r="I40410"/>
      <c r="N40410"/>
      <c r="O40410" s="24"/>
      <c r="P40410"/>
      <c r="Q40410" s="24"/>
      <c r="R40410"/>
      <c r="S40410"/>
      <c r="T40410"/>
      <c r="U40410"/>
      <c r="X40410" s="60"/>
    </row>
    <row r="40411" spans="7:24" ht="15" customHeight="1">
      <c r="G40411"/>
      <c r="I40411"/>
      <c r="N40411"/>
      <c r="O40411" s="24"/>
      <c r="P40411"/>
      <c r="Q40411" s="24"/>
      <c r="R40411"/>
      <c r="S40411"/>
      <c r="T40411"/>
      <c r="U40411"/>
      <c r="X40411" s="60"/>
    </row>
    <row r="40412" spans="7:24" ht="15" customHeight="1">
      <c r="G40412"/>
      <c r="I40412"/>
      <c r="N40412"/>
      <c r="O40412" s="24"/>
      <c r="P40412"/>
      <c r="Q40412" s="24"/>
      <c r="R40412"/>
      <c r="S40412"/>
      <c r="T40412"/>
      <c r="U40412"/>
      <c r="X40412" s="60"/>
    </row>
    <row r="40413" spans="7:24" ht="15" customHeight="1">
      <c r="G40413"/>
      <c r="I40413"/>
      <c r="N40413"/>
      <c r="O40413" s="24"/>
      <c r="P40413"/>
      <c r="Q40413" s="24"/>
      <c r="R40413"/>
      <c r="S40413"/>
      <c r="T40413"/>
      <c r="U40413"/>
      <c r="X40413" s="60"/>
    </row>
    <row r="40414" spans="7:24" ht="15" customHeight="1">
      <c r="G40414"/>
      <c r="I40414"/>
      <c r="N40414"/>
      <c r="O40414" s="24"/>
      <c r="P40414"/>
      <c r="Q40414" s="24"/>
      <c r="R40414"/>
      <c r="S40414"/>
      <c r="T40414"/>
      <c r="U40414"/>
      <c r="X40414" s="60"/>
    </row>
    <row r="40415" spans="7:24" ht="15" customHeight="1">
      <c r="G40415"/>
      <c r="I40415"/>
      <c r="N40415"/>
      <c r="O40415" s="24"/>
      <c r="P40415"/>
      <c r="Q40415" s="24"/>
      <c r="R40415"/>
      <c r="S40415"/>
      <c r="T40415"/>
      <c r="U40415"/>
      <c r="X40415" s="60"/>
    </row>
    <row r="40416" spans="7:24" ht="15" customHeight="1">
      <c r="G40416"/>
      <c r="I40416"/>
      <c r="N40416"/>
      <c r="O40416" s="24"/>
      <c r="P40416"/>
      <c r="Q40416" s="24"/>
      <c r="R40416"/>
      <c r="S40416"/>
      <c r="T40416"/>
      <c r="U40416"/>
      <c r="X40416" s="60"/>
    </row>
    <row r="40417" spans="7:24" ht="15" customHeight="1">
      <c r="G40417"/>
      <c r="I40417"/>
      <c r="N40417"/>
      <c r="O40417" s="24"/>
      <c r="P40417"/>
      <c r="Q40417" s="24"/>
      <c r="R40417"/>
      <c r="S40417"/>
      <c r="T40417"/>
      <c r="U40417"/>
      <c r="X40417" s="60"/>
    </row>
    <row r="40418" spans="7:24" ht="15" customHeight="1">
      <c r="G40418"/>
      <c r="I40418"/>
      <c r="N40418"/>
      <c r="O40418" s="24"/>
      <c r="P40418"/>
      <c r="Q40418" s="24"/>
      <c r="R40418"/>
      <c r="S40418"/>
      <c r="T40418"/>
      <c r="U40418"/>
      <c r="X40418" s="60"/>
    </row>
    <row r="40419" spans="7:24" ht="15" customHeight="1">
      <c r="G40419"/>
      <c r="I40419"/>
      <c r="N40419"/>
      <c r="O40419" s="24"/>
      <c r="P40419"/>
      <c r="Q40419" s="24"/>
      <c r="R40419"/>
      <c r="S40419"/>
      <c r="T40419"/>
      <c r="U40419"/>
      <c r="X40419" s="60"/>
    </row>
    <row r="40420" spans="7:24" ht="15" customHeight="1">
      <c r="G40420"/>
      <c r="I40420"/>
      <c r="N40420"/>
      <c r="O40420" s="24"/>
      <c r="P40420"/>
      <c r="Q40420" s="24"/>
      <c r="R40420"/>
      <c r="S40420"/>
      <c r="T40420"/>
      <c r="U40420"/>
      <c r="X40420" s="60"/>
    </row>
    <row r="40421" spans="7:24" ht="15" customHeight="1">
      <c r="G40421"/>
      <c r="I40421"/>
      <c r="N40421"/>
      <c r="O40421" s="24"/>
      <c r="P40421"/>
      <c r="Q40421" s="24"/>
      <c r="R40421"/>
      <c r="S40421"/>
      <c r="T40421"/>
      <c r="U40421"/>
      <c r="X40421" s="60"/>
    </row>
    <row r="40422" spans="7:24" ht="15" customHeight="1">
      <c r="G40422"/>
      <c r="I40422"/>
      <c r="N40422"/>
      <c r="O40422" s="24"/>
      <c r="P40422"/>
      <c r="Q40422" s="24"/>
      <c r="R40422"/>
      <c r="S40422"/>
      <c r="T40422"/>
      <c r="U40422"/>
      <c r="X40422" s="60"/>
    </row>
    <row r="40423" spans="7:24" ht="15" customHeight="1">
      <c r="G40423"/>
      <c r="I40423"/>
      <c r="N40423"/>
      <c r="O40423" s="24"/>
      <c r="P40423"/>
      <c r="Q40423" s="24"/>
      <c r="R40423"/>
      <c r="S40423"/>
      <c r="T40423"/>
      <c r="U40423"/>
      <c r="X40423" s="60"/>
    </row>
    <row r="40424" spans="7:24" ht="15" customHeight="1">
      <c r="G40424"/>
      <c r="I40424"/>
      <c r="N40424"/>
      <c r="O40424" s="24"/>
      <c r="P40424"/>
      <c r="Q40424" s="24"/>
      <c r="R40424"/>
      <c r="S40424"/>
      <c r="T40424"/>
      <c r="U40424"/>
      <c r="X40424" s="60"/>
    </row>
    <row r="40425" spans="7:24" ht="15" customHeight="1">
      <c r="G40425"/>
      <c r="I40425"/>
      <c r="N40425"/>
      <c r="O40425" s="24"/>
      <c r="P40425"/>
      <c r="Q40425" s="24"/>
      <c r="R40425"/>
      <c r="S40425"/>
      <c r="T40425"/>
      <c r="U40425"/>
      <c r="X40425" s="60"/>
    </row>
    <row r="40426" spans="7:24" ht="15" customHeight="1">
      <c r="G40426"/>
      <c r="I40426"/>
      <c r="N40426"/>
      <c r="O40426" s="24"/>
      <c r="P40426"/>
      <c r="Q40426" s="24"/>
      <c r="R40426"/>
      <c r="S40426"/>
      <c r="T40426"/>
      <c r="U40426"/>
      <c r="X40426" s="60"/>
    </row>
    <row r="40427" spans="7:24" ht="15" customHeight="1">
      <c r="G40427"/>
      <c r="I40427"/>
      <c r="N40427"/>
      <c r="O40427" s="24"/>
      <c r="P40427"/>
      <c r="Q40427" s="24"/>
      <c r="R40427"/>
      <c r="S40427"/>
      <c r="T40427"/>
      <c r="U40427"/>
      <c r="X40427" s="60"/>
    </row>
    <row r="40428" spans="7:24" ht="15" customHeight="1">
      <c r="G40428"/>
      <c r="I40428"/>
      <c r="N40428"/>
      <c r="O40428" s="24"/>
      <c r="P40428"/>
      <c r="Q40428" s="24"/>
      <c r="R40428"/>
      <c r="S40428"/>
      <c r="T40428"/>
      <c r="U40428"/>
      <c r="X40428" s="60"/>
    </row>
    <row r="40429" spans="7:24" ht="15" customHeight="1">
      <c r="G40429"/>
      <c r="I40429"/>
      <c r="N40429"/>
      <c r="O40429" s="24"/>
      <c r="P40429"/>
      <c r="Q40429" s="24"/>
      <c r="R40429"/>
      <c r="S40429"/>
      <c r="T40429"/>
      <c r="U40429"/>
      <c r="X40429" s="60"/>
    </row>
    <row r="40430" spans="7:24" ht="15" customHeight="1">
      <c r="G40430"/>
      <c r="I40430"/>
      <c r="N40430"/>
      <c r="O40430" s="24"/>
      <c r="P40430"/>
      <c r="Q40430" s="24"/>
      <c r="R40430"/>
      <c r="S40430"/>
      <c r="T40430"/>
      <c r="U40430"/>
      <c r="X40430" s="60"/>
    </row>
    <row r="40431" spans="7:24" ht="15" customHeight="1">
      <c r="G40431"/>
      <c r="I40431"/>
      <c r="N40431"/>
      <c r="O40431" s="24"/>
      <c r="P40431"/>
      <c r="Q40431" s="24"/>
      <c r="R40431"/>
      <c r="S40431"/>
      <c r="T40431"/>
      <c r="U40431"/>
      <c r="X40431" s="60"/>
    </row>
    <row r="40432" spans="7:24" ht="15" customHeight="1">
      <c r="G40432"/>
      <c r="I40432"/>
      <c r="N40432"/>
      <c r="O40432" s="24"/>
      <c r="P40432"/>
      <c r="Q40432" s="24"/>
      <c r="R40432"/>
      <c r="S40432"/>
      <c r="T40432"/>
      <c r="U40432"/>
      <c r="X40432" s="60"/>
    </row>
    <row r="40433" spans="7:24" ht="15" customHeight="1">
      <c r="G40433"/>
      <c r="I40433"/>
      <c r="N40433"/>
      <c r="O40433" s="24"/>
      <c r="P40433"/>
      <c r="Q40433" s="24"/>
      <c r="R40433"/>
      <c r="S40433"/>
      <c r="T40433"/>
      <c r="U40433"/>
      <c r="X40433" s="60"/>
    </row>
    <row r="40434" spans="7:24" ht="15" customHeight="1">
      <c r="G40434"/>
      <c r="I40434"/>
      <c r="N40434"/>
      <c r="O40434" s="24"/>
      <c r="P40434"/>
      <c r="Q40434" s="24"/>
      <c r="R40434"/>
      <c r="S40434"/>
      <c r="T40434"/>
      <c r="U40434"/>
      <c r="X40434" s="60"/>
    </row>
    <row r="40435" spans="7:24" ht="15" customHeight="1">
      <c r="G40435"/>
      <c r="I40435"/>
      <c r="N40435"/>
      <c r="O40435" s="24"/>
      <c r="P40435"/>
      <c r="Q40435" s="24"/>
      <c r="R40435"/>
      <c r="S40435"/>
      <c r="T40435"/>
      <c r="U40435"/>
      <c r="X40435" s="60"/>
    </row>
    <row r="40436" spans="7:24" ht="15" customHeight="1">
      <c r="G40436"/>
      <c r="I40436"/>
      <c r="N40436"/>
      <c r="O40436" s="24"/>
      <c r="P40436"/>
      <c r="Q40436" s="24"/>
      <c r="R40436"/>
      <c r="S40436"/>
      <c r="T40436"/>
      <c r="U40436"/>
      <c r="X40436" s="60"/>
    </row>
    <row r="40437" spans="7:24" ht="15" customHeight="1">
      <c r="G40437"/>
      <c r="I40437"/>
      <c r="N40437"/>
      <c r="O40437" s="24"/>
      <c r="P40437"/>
      <c r="Q40437" s="24"/>
      <c r="R40437"/>
      <c r="S40437"/>
      <c r="T40437"/>
      <c r="U40437"/>
      <c r="X40437" s="60"/>
    </row>
    <row r="40438" spans="7:24" ht="15" customHeight="1">
      <c r="G40438"/>
      <c r="I40438"/>
      <c r="N40438"/>
      <c r="O40438" s="24"/>
      <c r="P40438"/>
      <c r="Q40438" s="24"/>
      <c r="R40438"/>
      <c r="S40438"/>
      <c r="T40438"/>
      <c r="U40438"/>
      <c r="X40438" s="60"/>
    </row>
    <row r="40439" spans="7:24" ht="15" customHeight="1">
      <c r="G40439"/>
      <c r="I40439"/>
      <c r="N40439"/>
      <c r="O40439" s="24"/>
      <c r="P40439"/>
      <c r="Q40439" s="24"/>
      <c r="R40439"/>
      <c r="S40439"/>
      <c r="T40439"/>
      <c r="U40439"/>
      <c r="X40439" s="60"/>
    </row>
    <row r="40440" spans="7:24" ht="15" customHeight="1">
      <c r="G40440"/>
      <c r="I40440"/>
      <c r="N40440"/>
      <c r="O40440" s="24"/>
      <c r="P40440"/>
      <c r="Q40440" s="24"/>
      <c r="R40440"/>
      <c r="S40440"/>
      <c r="T40440"/>
      <c r="U40440"/>
      <c r="X40440" s="60"/>
    </row>
    <row r="40441" spans="7:24" ht="15" customHeight="1">
      <c r="G40441"/>
      <c r="I40441"/>
      <c r="N40441"/>
      <c r="O40441" s="24"/>
      <c r="P40441"/>
      <c r="Q40441" s="24"/>
      <c r="R40441"/>
      <c r="S40441"/>
      <c r="T40441"/>
      <c r="U40441"/>
      <c r="X40441" s="60"/>
    </row>
    <row r="40442" spans="7:24" ht="15" customHeight="1">
      <c r="G40442"/>
      <c r="I40442"/>
      <c r="N40442"/>
      <c r="O40442" s="24"/>
      <c r="P40442"/>
      <c r="Q40442" s="24"/>
      <c r="R40442"/>
      <c r="S40442"/>
      <c r="T40442"/>
      <c r="U40442"/>
      <c r="X40442" s="60"/>
    </row>
    <row r="40443" spans="7:24" ht="15" customHeight="1">
      <c r="G40443"/>
      <c r="I40443"/>
      <c r="N40443"/>
      <c r="O40443" s="24"/>
      <c r="P40443"/>
      <c r="Q40443" s="24"/>
      <c r="R40443"/>
      <c r="S40443"/>
      <c r="T40443"/>
      <c r="U40443"/>
      <c r="X40443" s="60"/>
    </row>
    <row r="40444" spans="7:24" ht="15" customHeight="1">
      <c r="G40444"/>
      <c r="I40444"/>
      <c r="N40444"/>
      <c r="O40444" s="24"/>
      <c r="P40444"/>
      <c r="Q40444" s="24"/>
      <c r="R40444"/>
      <c r="S40444"/>
      <c r="T40444"/>
      <c r="U40444"/>
      <c r="X40444" s="60"/>
    </row>
    <row r="40445" spans="7:24" ht="15" customHeight="1">
      <c r="G40445"/>
      <c r="I40445"/>
      <c r="N40445"/>
      <c r="O40445" s="24"/>
      <c r="P40445"/>
      <c r="Q40445" s="24"/>
      <c r="R40445"/>
      <c r="S40445"/>
      <c r="T40445"/>
      <c r="U40445"/>
      <c r="X40445" s="60"/>
    </row>
    <row r="40446" spans="7:24" ht="15" customHeight="1">
      <c r="G40446"/>
      <c r="I40446"/>
      <c r="N40446"/>
      <c r="O40446" s="24"/>
      <c r="P40446"/>
      <c r="Q40446" s="24"/>
      <c r="R40446"/>
      <c r="S40446"/>
      <c r="T40446"/>
      <c r="U40446"/>
      <c r="X40446" s="60"/>
    </row>
    <row r="40447" spans="7:24" ht="15" customHeight="1">
      <c r="G40447"/>
      <c r="I40447"/>
      <c r="N40447"/>
      <c r="O40447" s="24"/>
      <c r="P40447"/>
      <c r="Q40447" s="24"/>
      <c r="R40447"/>
      <c r="S40447"/>
      <c r="T40447"/>
      <c r="U40447"/>
      <c r="X40447" s="60"/>
    </row>
    <row r="40448" spans="7:24" ht="15" customHeight="1">
      <c r="G40448"/>
      <c r="I40448"/>
      <c r="N40448"/>
      <c r="O40448" s="24"/>
      <c r="P40448"/>
      <c r="Q40448" s="24"/>
      <c r="R40448"/>
      <c r="S40448"/>
      <c r="T40448"/>
      <c r="U40448"/>
      <c r="X40448" s="60"/>
    </row>
    <row r="40449" spans="7:24" ht="15" customHeight="1">
      <c r="G40449"/>
      <c r="I40449"/>
      <c r="N40449"/>
      <c r="O40449" s="24"/>
      <c r="P40449"/>
      <c r="Q40449" s="24"/>
      <c r="R40449"/>
      <c r="S40449"/>
      <c r="T40449"/>
      <c r="U40449"/>
      <c r="X40449" s="60"/>
    </row>
    <row r="40450" spans="7:24" ht="15" customHeight="1">
      <c r="G40450"/>
      <c r="I40450"/>
      <c r="N40450"/>
      <c r="O40450" s="24"/>
      <c r="P40450"/>
      <c r="Q40450" s="24"/>
      <c r="R40450"/>
      <c r="S40450"/>
      <c r="T40450"/>
      <c r="U40450"/>
      <c r="X40450" s="60"/>
    </row>
    <row r="40451" spans="7:24" ht="15" customHeight="1">
      <c r="G40451"/>
      <c r="I40451"/>
      <c r="N40451"/>
      <c r="O40451" s="24"/>
      <c r="P40451"/>
      <c r="Q40451" s="24"/>
      <c r="R40451"/>
      <c r="S40451"/>
      <c r="T40451"/>
      <c r="U40451"/>
      <c r="X40451" s="60"/>
    </row>
    <row r="40452" spans="7:24" ht="15" customHeight="1">
      <c r="G40452"/>
      <c r="I40452"/>
      <c r="N40452"/>
      <c r="O40452" s="24"/>
      <c r="P40452"/>
      <c r="Q40452" s="24"/>
      <c r="R40452"/>
      <c r="S40452"/>
      <c r="T40452"/>
      <c r="U40452"/>
      <c r="X40452" s="60"/>
    </row>
    <row r="40453" spans="7:24" ht="15" customHeight="1">
      <c r="G40453"/>
      <c r="I40453"/>
      <c r="N40453"/>
      <c r="O40453" s="24"/>
      <c r="P40453"/>
      <c r="Q40453" s="24"/>
      <c r="R40453"/>
      <c r="S40453"/>
      <c r="T40453"/>
      <c r="U40453"/>
      <c r="X40453" s="60"/>
    </row>
    <row r="40454" spans="7:24" ht="15" customHeight="1">
      <c r="G40454"/>
      <c r="I40454"/>
      <c r="N40454"/>
      <c r="O40454" s="24"/>
      <c r="P40454"/>
      <c r="Q40454" s="24"/>
      <c r="R40454"/>
      <c r="S40454"/>
      <c r="T40454"/>
      <c r="U40454"/>
      <c r="X40454" s="60"/>
    </row>
    <row r="40455" spans="7:24" ht="15" customHeight="1">
      <c r="G40455"/>
      <c r="I40455"/>
      <c r="N40455"/>
      <c r="O40455" s="24"/>
      <c r="P40455"/>
      <c r="Q40455" s="24"/>
      <c r="R40455"/>
      <c r="S40455"/>
      <c r="T40455"/>
      <c r="U40455"/>
      <c r="X40455" s="60"/>
    </row>
    <row r="40456" spans="7:24" ht="15" customHeight="1">
      <c r="G40456"/>
      <c r="I40456"/>
      <c r="N40456"/>
      <c r="O40456" s="24"/>
      <c r="P40456"/>
      <c r="Q40456" s="24"/>
      <c r="R40456"/>
      <c r="S40456"/>
      <c r="T40456"/>
      <c r="U40456"/>
      <c r="X40456" s="60"/>
    </row>
    <row r="40457" spans="7:24" ht="15" customHeight="1">
      <c r="G40457"/>
      <c r="I40457"/>
      <c r="N40457"/>
      <c r="O40457" s="24"/>
      <c r="P40457"/>
      <c r="Q40457" s="24"/>
      <c r="R40457"/>
      <c r="S40457"/>
      <c r="T40457"/>
      <c r="U40457"/>
      <c r="X40457" s="60"/>
    </row>
    <row r="40458" spans="7:24" ht="15" customHeight="1">
      <c r="G40458"/>
      <c r="I40458"/>
      <c r="N40458"/>
      <c r="O40458" s="24"/>
      <c r="P40458"/>
      <c r="Q40458" s="24"/>
      <c r="R40458"/>
      <c r="S40458"/>
      <c r="T40458"/>
      <c r="U40458"/>
      <c r="X40458" s="60"/>
    </row>
    <row r="40459" spans="7:24" ht="15" customHeight="1">
      <c r="G40459"/>
      <c r="I40459"/>
      <c r="N40459"/>
      <c r="O40459" s="24"/>
      <c r="P40459"/>
      <c r="Q40459" s="24"/>
      <c r="R40459"/>
      <c r="S40459"/>
      <c r="T40459"/>
      <c r="U40459"/>
      <c r="X40459" s="60"/>
    </row>
    <row r="40460" spans="7:24" ht="15" customHeight="1">
      <c r="G40460"/>
      <c r="I40460"/>
      <c r="N40460"/>
      <c r="O40460" s="24"/>
      <c r="P40460"/>
      <c r="Q40460" s="24"/>
      <c r="R40460"/>
      <c r="S40460"/>
      <c r="T40460"/>
      <c r="U40460"/>
      <c r="X40460" s="60"/>
    </row>
    <row r="40461" spans="7:24" ht="15" customHeight="1">
      <c r="G40461"/>
      <c r="I40461"/>
      <c r="N40461"/>
      <c r="O40461" s="24"/>
      <c r="P40461"/>
      <c r="Q40461" s="24"/>
      <c r="R40461"/>
      <c r="S40461"/>
      <c r="T40461"/>
      <c r="U40461"/>
      <c r="X40461" s="60"/>
    </row>
    <row r="40462" spans="7:24" ht="15" customHeight="1">
      <c r="G40462"/>
      <c r="I40462"/>
      <c r="N40462"/>
      <c r="O40462" s="24"/>
      <c r="P40462"/>
      <c r="Q40462" s="24"/>
      <c r="R40462"/>
      <c r="S40462"/>
      <c r="T40462"/>
      <c r="U40462"/>
      <c r="X40462" s="60"/>
    </row>
    <row r="40463" spans="7:24" ht="15" customHeight="1">
      <c r="G40463"/>
      <c r="I40463"/>
      <c r="N40463"/>
      <c r="O40463" s="24"/>
      <c r="P40463"/>
      <c r="Q40463" s="24"/>
      <c r="R40463"/>
      <c r="S40463"/>
      <c r="T40463"/>
      <c r="U40463"/>
      <c r="X40463" s="60"/>
    </row>
    <row r="40464" spans="7:24" ht="15" customHeight="1">
      <c r="G40464"/>
      <c r="I40464"/>
      <c r="N40464"/>
      <c r="O40464" s="24"/>
      <c r="P40464"/>
      <c r="Q40464" s="24"/>
      <c r="R40464"/>
      <c r="S40464"/>
      <c r="T40464"/>
      <c r="U40464"/>
      <c r="X40464" s="60"/>
    </row>
    <row r="40465" spans="7:24" ht="15" customHeight="1">
      <c r="G40465"/>
      <c r="I40465"/>
      <c r="N40465"/>
      <c r="O40465" s="24"/>
      <c r="P40465"/>
      <c r="Q40465" s="24"/>
      <c r="R40465"/>
      <c r="S40465"/>
      <c r="T40465"/>
      <c r="U40465"/>
      <c r="X40465" s="60"/>
    </row>
    <row r="40466" spans="7:24" ht="15" customHeight="1">
      <c r="G40466"/>
      <c r="I40466"/>
      <c r="N40466"/>
      <c r="O40466" s="24"/>
      <c r="P40466"/>
      <c r="Q40466" s="24"/>
      <c r="R40466"/>
      <c r="S40466"/>
      <c r="T40466"/>
      <c r="U40466"/>
      <c r="X40466" s="60"/>
    </row>
    <row r="40467" spans="7:24" ht="15" customHeight="1">
      <c r="G40467"/>
      <c r="I40467"/>
      <c r="N40467"/>
      <c r="O40467" s="24"/>
      <c r="P40467"/>
      <c r="Q40467" s="24"/>
      <c r="R40467"/>
      <c r="S40467"/>
      <c r="T40467"/>
      <c r="U40467"/>
      <c r="X40467" s="60"/>
    </row>
    <row r="40468" spans="7:24" ht="15" customHeight="1">
      <c r="G40468"/>
      <c r="I40468"/>
      <c r="N40468"/>
      <c r="O40468" s="24"/>
      <c r="P40468"/>
      <c r="Q40468" s="24"/>
      <c r="R40468"/>
      <c r="S40468"/>
      <c r="T40468"/>
      <c r="U40468"/>
      <c r="X40468" s="60"/>
    </row>
    <row r="40469" spans="7:24" ht="15" customHeight="1">
      <c r="G40469"/>
      <c r="I40469"/>
      <c r="N40469"/>
      <c r="O40469" s="24"/>
      <c r="P40469"/>
      <c r="Q40469" s="24"/>
      <c r="R40469"/>
      <c r="S40469"/>
      <c r="T40469"/>
      <c r="U40469"/>
      <c r="X40469" s="60"/>
    </row>
    <row r="40470" spans="7:24" ht="15" customHeight="1">
      <c r="G40470"/>
      <c r="I40470"/>
      <c r="N40470"/>
      <c r="O40470" s="24"/>
      <c r="P40470"/>
      <c r="Q40470" s="24"/>
      <c r="R40470"/>
      <c r="S40470"/>
      <c r="T40470"/>
      <c r="U40470"/>
      <c r="X40470" s="60"/>
    </row>
    <row r="40471" spans="7:24" ht="15" customHeight="1">
      <c r="G40471"/>
      <c r="I40471"/>
      <c r="N40471"/>
      <c r="O40471" s="24"/>
      <c r="P40471"/>
      <c r="Q40471" s="24"/>
      <c r="R40471"/>
      <c r="S40471"/>
      <c r="T40471"/>
      <c r="U40471"/>
      <c r="X40471" s="60"/>
    </row>
    <row r="40472" spans="7:24" ht="15" customHeight="1">
      <c r="G40472"/>
      <c r="I40472"/>
      <c r="N40472"/>
      <c r="O40472" s="24"/>
      <c r="P40472"/>
      <c r="Q40472" s="24"/>
      <c r="R40472"/>
      <c r="S40472"/>
      <c r="T40472"/>
      <c r="U40472"/>
      <c r="X40472" s="60"/>
    </row>
    <row r="40473" spans="7:24" ht="15" customHeight="1">
      <c r="G40473"/>
      <c r="I40473"/>
      <c r="N40473"/>
      <c r="O40473" s="24"/>
      <c r="P40473"/>
      <c r="Q40473" s="24"/>
      <c r="R40473"/>
      <c r="S40473"/>
      <c r="T40473"/>
      <c r="U40473"/>
      <c r="X40473" s="60"/>
    </row>
    <row r="40474" spans="7:24" ht="15" customHeight="1">
      <c r="G40474"/>
      <c r="I40474"/>
      <c r="N40474"/>
      <c r="O40474" s="24"/>
      <c r="P40474"/>
      <c r="Q40474" s="24"/>
      <c r="R40474"/>
      <c r="S40474"/>
      <c r="T40474"/>
      <c r="U40474"/>
      <c r="X40474" s="60"/>
    </row>
    <row r="40475" spans="7:24" ht="15" customHeight="1">
      <c r="G40475"/>
      <c r="I40475"/>
      <c r="N40475"/>
      <c r="O40475" s="24"/>
      <c r="P40475"/>
      <c r="Q40475" s="24"/>
      <c r="R40475"/>
      <c r="S40475"/>
      <c r="T40475"/>
      <c r="U40475"/>
      <c r="X40475" s="60"/>
    </row>
    <row r="40476" spans="7:24" ht="15" customHeight="1">
      <c r="G40476"/>
      <c r="I40476"/>
      <c r="N40476"/>
      <c r="O40476" s="24"/>
      <c r="P40476"/>
      <c r="Q40476" s="24"/>
      <c r="R40476"/>
      <c r="S40476"/>
      <c r="T40476"/>
      <c r="U40476"/>
      <c r="X40476" s="60"/>
    </row>
    <row r="40477" spans="7:24" ht="15" customHeight="1">
      <c r="G40477"/>
      <c r="I40477"/>
      <c r="N40477"/>
      <c r="O40477" s="24"/>
      <c r="P40477"/>
      <c r="Q40477" s="24"/>
      <c r="R40477"/>
      <c r="S40477"/>
      <c r="T40477"/>
      <c r="U40477"/>
      <c r="X40477" s="60"/>
    </row>
    <row r="40478" spans="7:24" ht="15" customHeight="1">
      <c r="G40478"/>
      <c r="I40478"/>
      <c r="N40478"/>
      <c r="O40478" s="24"/>
      <c r="P40478"/>
      <c r="Q40478" s="24"/>
      <c r="R40478"/>
      <c r="S40478"/>
      <c r="T40478"/>
      <c r="U40478"/>
      <c r="X40478" s="60"/>
    </row>
    <row r="40479" spans="7:24" ht="15" customHeight="1">
      <c r="G40479"/>
      <c r="I40479"/>
      <c r="N40479"/>
      <c r="O40479" s="24"/>
      <c r="P40479"/>
      <c r="Q40479" s="24"/>
      <c r="R40479"/>
      <c r="S40479"/>
      <c r="T40479"/>
      <c r="U40479"/>
      <c r="X40479" s="60"/>
    </row>
    <row r="40480" spans="7:24" ht="15" customHeight="1">
      <c r="G40480"/>
      <c r="I40480"/>
      <c r="N40480"/>
      <c r="O40480" s="24"/>
      <c r="P40480"/>
      <c r="Q40480" s="24"/>
      <c r="R40480"/>
      <c r="S40480"/>
      <c r="T40480"/>
      <c r="U40480"/>
      <c r="X40480" s="60"/>
    </row>
    <row r="40481" spans="7:24" ht="15" customHeight="1">
      <c r="G40481"/>
      <c r="I40481"/>
      <c r="N40481"/>
      <c r="O40481" s="24"/>
      <c r="P40481"/>
      <c r="Q40481" s="24"/>
      <c r="R40481"/>
      <c r="S40481"/>
      <c r="T40481"/>
      <c r="U40481"/>
      <c r="X40481" s="60"/>
    </row>
    <row r="40482" spans="7:24" ht="15" customHeight="1">
      <c r="G40482"/>
      <c r="I40482"/>
      <c r="N40482"/>
      <c r="O40482" s="24"/>
      <c r="P40482"/>
      <c r="Q40482" s="24"/>
      <c r="R40482"/>
      <c r="S40482"/>
      <c r="T40482"/>
      <c r="U40482"/>
      <c r="X40482" s="60"/>
    </row>
    <row r="40483" spans="7:24" ht="15" customHeight="1">
      <c r="G40483"/>
      <c r="I40483"/>
      <c r="N40483"/>
      <c r="O40483" s="24"/>
      <c r="P40483"/>
      <c r="Q40483" s="24"/>
      <c r="R40483"/>
      <c r="S40483"/>
      <c r="T40483"/>
      <c r="U40483"/>
      <c r="X40483" s="60"/>
    </row>
    <row r="40484" spans="7:24" ht="15" customHeight="1">
      <c r="G40484"/>
      <c r="I40484"/>
      <c r="N40484"/>
      <c r="O40484" s="24"/>
      <c r="P40484"/>
      <c r="Q40484" s="24"/>
      <c r="R40484"/>
      <c r="S40484"/>
      <c r="T40484"/>
      <c r="U40484"/>
      <c r="X40484" s="60"/>
    </row>
    <row r="40485" spans="7:24" ht="15" customHeight="1">
      <c r="G40485"/>
      <c r="I40485"/>
      <c r="N40485"/>
      <c r="O40485" s="24"/>
      <c r="P40485"/>
      <c r="Q40485" s="24"/>
      <c r="R40485"/>
      <c r="S40485"/>
      <c r="T40485"/>
      <c r="U40485"/>
      <c r="X40485" s="60"/>
    </row>
    <row r="40486" spans="7:24" ht="15" customHeight="1">
      <c r="G40486"/>
      <c r="I40486"/>
      <c r="N40486"/>
      <c r="O40486" s="24"/>
      <c r="P40486"/>
      <c r="Q40486" s="24"/>
      <c r="R40486"/>
      <c r="S40486"/>
      <c r="T40486"/>
      <c r="U40486"/>
      <c r="X40486" s="60"/>
    </row>
    <row r="40487" spans="7:24" ht="15" customHeight="1">
      <c r="G40487"/>
      <c r="I40487"/>
      <c r="N40487"/>
      <c r="O40487" s="24"/>
      <c r="P40487"/>
      <c r="Q40487" s="24"/>
      <c r="R40487"/>
      <c r="S40487"/>
      <c r="T40487"/>
      <c r="U40487"/>
      <c r="X40487" s="60"/>
    </row>
    <row r="40488" spans="7:24" ht="15" customHeight="1">
      <c r="G40488"/>
      <c r="I40488"/>
      <c r="N40488"/>
      <c r="O40488" s="24"/>
      <c r="P40488"/>
      <c r="Q40488" s="24"/>
      <c r="R40488"/>
      <c r="S40488"/>
      <c r="T40488"/>
      <c r="U40488"/>
      <c r="X40488" s="60"/>
    </row>
    <row r="40489" spans="7:24" ht="15" customHeight="1">
      <c r="G40489"/>
      <c r="I40489"/>
      <c r="N40489"/>
      <c r="O40489" s="24"/>
      <c r="P40489"/>
      <c r="Q40489" s="24"/>
      <c r="R40489"/>
      <c r="S40489"/>
      <c r="T40489"/>
      <c r="U40489"/>
      <c r="X40489" s="60"/>
    </row>
    <row r="40490" spans="7:24" ht="15" customHeight="1">
      <c r="G40490"/>
      <c r="I40490"/>
      <c r="N40490"/>
      <c r="O40490" s="24"/>
      <c r="P40490"/>
      <c r="Q40490" s="24"/>
      <c r="R40490"/>
      <c r="S40490"/>
      <c r="T40490"/>
      <c r="U40490"/>
      <c r="X40490" s="60"/>
    </row>
    <row r="40491" spans="7:24" ht="15" customHeight="1">
      <c r="G40491"/>
      <c r="I40491"/>
      <c r="N40491"/>
      <c r="O40491" s="24"/>
      <c r="P40491"/>
      <c r="Q40491" s="24"/>
      <c r="R40491"/>
      <c r="S40491"/>
      <c r="T40491"/>
      <c r="U40491"/>
      <c r="X40491" s="60"/>
    </row>
    <row r="40492" spans="7:24" ht="15" customHeight="1">
      <c r="G40492"/>
      <c r="I40492"/>
      <c r="N40492"/>
      <c r="O40492" s="24"/>
      <c r="P40492"/>
      <c r="Q40492" s="24"/>
      <c r="R40492"/>
      <c r="S40492"/>
      <c r="T40492"/>
      <c r="U40492"/>
      <c r="X40492" s="60"/>
    </row>
    <row r="40493" spans="7:24" ht="15" customHeight="1">
      <c r="G40493"/>
      <c r="I40493"/>
      <c r="N40493"/>
      <c r="O40493" s="24"/>
      <c r="P40493"/>
      <c r="Q40493" s="24"/>
      <c r="R40493"/>
      <c r="S40493"/>
      <c r="T40493"/>
      <c r="U40493"/>
      <c r="X40493" s="60"/>
    </row>
    <row r="40494" spans="7:24" ht="15" customHeight="1">
      <c r="G40494"/>
      <c r="I40494"/>
      <c r="N40494"/>
      <c r="O40494" s="24"/>
      <c r="P40494"/>
      <c r="Q40494" s="24"/>
      <c r="R40494"/>
      <c r="S40494"/>
      <c r="T40494"/>
      <c r="U40494"/>
      <c r="X40494" s="60"/>
    </row>
    <row r="40495" spans="7:24" ht="15" customHeight="1">
      <c r="G40495"/>
      <c r="I40495"/>
      <c r="N40495"/>
      <c r="O40495" s="24"/>
      <c r="P40495"/>
      <c r="Q40495" s="24"/>
      <c r="R40495"/>
      <c r="S40495"/>
      <c r="T40495"/>
      <c r="U40495"/>
      <c r="X40495" s="60"/>
    </row>
    <row r="40496" spans="7:24" ht="15" customHeight="1">
      <c r="G40496"/>
      <c r="I40496"/>
      <c r="N40496"/>
      <c r="O40496" s="24"/>
      <c r="P40496"/>
      <c r="Q40496" s="24"/>
      <c r="R40496"/>
      <c r="S40496"/>
      <c r="T40496"/>
      <c r="U40496"/>
      <c r="X40496" s="60"/>
    </row>
    <row r="40497" spans="7:24" ht="15" customHeight="1">
      <c r="G40497"/>
      <c r="I40497"/>
      <c r="N40497"/>
      <c r="O40497" s="24"/>
      <c r="P40497"/>
      <c r="Q40497" s="24"/>
      <c r="R40497"/>
      <c r="S40497"/>
      <c r="T40497"/>
      <c r="U40497"/>
      <c r="X40497" s="60"/>
    </row>
    <row r="40498" spans="7:24" ht="15" customHeight="1">
      <c r="G40498"/>
      <c r="I40498"/>
      <c r="N40498"/>
      <c r="O40498" s="24"/>
      <c r="P40498"/>
      <c r="Q40498" s="24"/>
      <c r="R40498"/>
      <c r="S40498"/>
      <c r="T40498"/>
      <c r="U40498"/>
      <c r="X40498" s="60"/>
    </row>
    <row r="40499" spans="7:24" ht="15" customHeight="1">
      <c r="G40499"/>
      <c r="I40499"/>
      <c r="N40499"/>
      <c r="O40499" s="24"/>
      <c r="P40499"/>
      <c r="Q40499" s="24"/>
      <c r="R40499"/>
      <c r="S40499"/>
      <c r="T40499"/>
      <c r="U40499"/>
      <c r="X40499" s="60"/>
    </row>
    <row r="40500" spans="7:24" ht="15" customHeight="1">
      <c r="G40500"/>
      <c r="I40500"/>
      <c r="N40500"/>
      <c r="O40500" s="24"/>
      <c r="P40500"/>
      <c r="Q40500" s="24"/>
      <c r="R40500"/>
      <c r="S40500"/>
      <c r="T40500"/>
      <c r="U40500"/>
      <c r="X40500" s="60"/>
    </row>
    <row r="40501" spans="7:24" ht="15" customHeight="1">
      <c r="G40501"/>
      <c r="I40501"/>
      <c r="N40501"/>
      <c r="O40501" s="24"/>
      <c r="P40501"/>
      <c r="Q40501" s="24"/>
      <c r="R40501"/>
      <c r="S40501"/>
      <c r="T40501"/>
      <c r="U40501"/>
      <c r="X40501" s="60"/>
    </row>
    <row r="40502" spans="7:24" ht="15" customHeight="1">
      <c r="G40502"/>
      <c r="I40502"/>
      <c r="N40502"/>
      <c r="O40502" s="24"/>
      <c r="P40502"/>
      <c r="Q40502" s="24"/>
      <c r="R40502"/>
      <c r="S40502"/>
      <c r="T40502"/>
      <c r="U40502"/>
      <c r="X40502" s="60"/>
    </row>
    <row r="40503" spans="7:24" ht="15" customHeight="1">
      <c r="G40503"/>
      <c r="I40503"/>
      <c r="N40503"/>
      <c r="O40503" s="24"/>
      <c r="P40503"/>
      <c r="Q40503" s="24"/>
      <c r="R40503"/>
      <c r="S40503"/>
      <c r="T40503"/>
      <c r="U40503"/>
      <c r="X40503" s="60"/>
    </row>
    <row r="40504" spans="7:24" ht="15" customHeight="1">
      <c r="G40504"/>
      <c r="I40504"/>
      <c r="N40504"/>
      <c r="O40504" s="24"/>
      <c r="P40504"/>
      <c r="Q40504" s="24"/>
      <c r="R40504"/>
      <c r="S40504"/>
      <c r="T40504"/>
      <c r="U40504"/>
      <c r="X40504" s="60"/>
    </row>
    <row r="40505" spans="7:24" ht="15" customHeight="1">
      <c r="G40505"/>
      <c r="I40505"/>
      <c r="N40505"/>
      <c r="O40505" s="24"/>
      <c r="P40505"/>
      <c r="Q40505" s="24"/>
      <c r="R40505"/>
      <c r="S40505"/>
      <c r="T40505"/>
      <c r="U40505"/>
      <c r="X40505" s="60"/>
    </row>
    <row r="40506" spans="7:24" ht="15" customHeight="1">
      <c r="G40506"/>
      <c r="I40506"/>
      <c r="N40506"/>
      <c r="O40506" s="24"/>
      <c r="P40506"/>
      <c r="Q40506" s="24"/>
      <c r="R40506"/>
      <c r="S40506"/>
      <c r="T40506"/>
      <c r="U40506"/>
      <c r="X40506" s="60"/>
    </row>
    <row r="40507" spans="7:24" ht="15" customHeight="1">
      <c r="G40507"/>
      <c r="I40507"/>
      <c r="N40507"/>
      <c r="O40507" s="24"/>
      <c r="P40507"/>
      <c r="Q40507" s="24"/>
      <c r="R40507"/>
      <c r="S40507"/>
      <c r="T40507"/>
      <c r="U40507"/>
      <c r="X40507" s="60"/>
    </row>
    <row r="40508" spans="7:24" ht="15" customHeight="1">
      <c r="G40508"/>
      <c r="I40508"/>
      <c r="N40508"/>
      <c r="O40508" s="24"/>
      <c r="P40508"/>
      <c r="Q40508" s="24"/>
      <c r="R40508"/>
      <c r="S40508"/>
      <c r="T40508"/>
      <c r="U40508"/>
      <c r="X40508" s="60"/>
    </row>
    <row r="40509" spans="7:24" ht="15" customHeight="1">
      <c r="G40509"/>
      <c r="I40509"/>
      <c r="N40509"/>
      <c r="O40509" s="24"/>
      <c r="P40509"/>
      <c r="Q40509" s="24"/>
      <c r="R40509"/>
      <c r="S40509"/>
      <c r="T40509"/>
      <c r="U40509"/>
      <c r="X40509" s="60"/>
    </row>
    <row r="40510" spans="7:24" ht="15" customHeight="1">
      <c r="G40510"/>
      <c r="I40510"/>
      <c r="N40510"/>
      <c r="O40510" s="24"/>
      <c r="P40510"/>
      <c r="Q40510" s="24"/>
      <c r="R40510"/>
      <c r="S40510"/>
      <c r="T40510"/>
      <c r="U40510"/>
      <c r="X40510" s="60"/>
    </row>
    <row r="40511" spans="7:24" ht="15" customHeight="1">
      <c r="G40511"/>
      <c r="I40511"/>
      <c r="N40511"/>
      <c r="O40511" s="24"/>
      <c r="P40511"/>
      <c r="Q40511" s="24"/>
      <c r="R40511"/>
      <c r="S40511"/>
      <c r="T40511"/>
      <c r="U40511"/>
      <c r="X40511" s="60"/>
    </row>
    <row r="40512" spans="7:24" ht="15" customHeight="1">
      <c r="G40512"/>
      <c r="I40512"/>
      <c r="N40512"/>
      <c r="O40512" s="24"/>
      <c r="P40512"/>
      <c r="Q40512" s="24"/>
      <c r="R40512"/>
      <c r="S40512"/>
      <c r="T40512"/>
      <c r="U40512"/>
      <c r="X40512" s="60"/>
    </row>
    <row r="40513" spans="7:24" ht="15" customHeight="1">
      <c r="G40513"/>
      <c r="I40513"/>
      <c r="N40513"/>
      <c r="O40513" s="24"/>
      <c r="P40513"/>
      <c r="Q40513" s="24"/>
      <c r="R40513"/>
      <c r="S40513"/>
      <c r="T40513"/>
      <c r="U40513"/>
      <c r="X40513" s="60"/>
    </row>
    <row r="40514" spans="7:24" ht="15" customHeight="1">
      <c r="G40514"/>
      <c r="I40514"/>
      <c r="N40514"/>
      <c r="O40514" s="24"/>
      <c r="P40514"/>
      <c r="Q40514" s="24"/>
      <c r="R40514"/>
      <c r="S40514"/>
      <c r="T40514"/>
      <c r="U40514"/>
      <c r="X40514" s="60"/>
    </row>
    <row r="40515" spans="7:24" ht="15" customHeight="1">
      <c r="G40515"/>
      <c r="I40515"/>
      <c r="N40515"/>
      <c r="O40515" s="24"/>
      <c r="P40515"/>
      <c r="Q40515" s="24"/>
      <c r="R40515"/>
      <c r="S40515"/>
      <c r="T40515"/>
      <c r="U40515"/>
      <c r="X40515" s="60"/>
    </row>
    <row r="40516" spans="7:24" ht="15" customHeight="1">
      <c r="G40516"/>
      <c r="I40516"/>
      <c r="N40516"/>
      <c r="O40516" s="24"/>
      <c r="P40516"/>
      <c r="Q40516" s="24"/>
      <c r="R40516"/>
      <c r="S40516"/>
      <c r="T40516"/>
      <c r="U40516"/>
      <c r="X40516" s="60"/>
    </row>
    <row r="40517" spans="7:24" ht="15" customHeight="1">
      <c r="G40517"/>
      <c r="I40517"/>
      <c r="N40517"/>
      <c r="O40517" s="24"/>
      <c r="P40517"/>
      <c r="Q40517" s="24"/>
      <c r="R40517"/>
      <c r="S40517"/>
      <c r="T40517"/>
      <c r="U40517"/>
      <c r="X40517" s="60"/>
    </row>
    <row r="40518" spans="7:24" ht="15" customHeight="1">
      <c r="G40518"/>
      <c r="I40518"/>
      <c r="N40518"/>
      <c r="O40518" s="24"/>
      <c r="P40518"/>
      <c r="Q40518" s="24"/>
      <c r="R40518"/>
      <c r="S40518"/>
      <c r="T40518"/>
      <c r="U40518"/>
      <c r="X40518" s="60"/>
    </row>
    <row r="40519" spans="7:24" ht="15" customHeight="1">
      <c r="G40519"/>
      <c r="I40519"/>
      <c r="N40519"/>
      <c r="O40519" s="24"/>
      <c r="P40519"/>
      <c r="Q40519" s="24"/>
      <c r="R40519"/>
      <c r="S40519"/>
      <c r="T40519"/>
      <c r="U40519"/>
      <c r="X40519" s="60"/>
    </row>
    <row r="40520" spans="7:24" ht="15" customHeight="1">
      <c r="G40520"/>
      <c r="I40520"/>
      <c r="N40520"/>
      <c r="O40520" s="24"/>
      <c r="P40520"/>
      <c r="Q40520" s="24"/>
      <c r="R40520"/>
      <c r="S40520"/>
      <c r="T40520"/>
      <c r="U40520"/>
      <c r="X40520" s="60"/>
    </row>
    <row r="40521" spans="7:24" ht="15" customHeight="1">
      <c r="G40521"/>
      <c r="I40521"/>
      <c r="N40521"/>
      <c r="O40521" s="24"/>
      <c r="P40521"/>
      <c r="Q40521" s="24"/>
      <c r="R40521"/>
      <c r="S40521"/>
      <c r="T40521"/>
      <c r="U40521"/>
      <c r="X40521" s="60"/>
    </row>
    <row r="40522" spans="7:24" ht="15" customHeight="1">
      <c r="G40522"/>
      <c r="I40522"/>
      <c r="N40522"/>
      <c r="O40522" s="24"/>
      <c r="P40522"/>
      <c r="Q40522" s="24"/>
      <c r="R40522"/>
      <c r="S40522"/>
      <c r="T40522"/>
      <c r="U40522"/>
      <c r="X40522" s="60"/>
    </row>
    <row r="40523" spans="7:24" ht="15" customHeight="1">
      <c r="G40523"/>
      <c r="I40523"/>
      <c r="N40523"/>
      <c r="O40523" s="24"/>
      <c r="P40523"/>
      <c r="Q40523" s="24"/>
      <c r="R40523"/>
      <c r="S40523"/>
      <c r="T40523"/>
      <c r="U40523"/>
      <c r="X40523" s="60"/>
    </row>
    <row r="40524" spans="7:24" ht="15" customHeight="1">
      <c r="G40524"/>
      <c r="I40524"/>
      <c r="N40524"/>
      <c r="O40524" s="24"/>
      <c r="P40524"/>
      <c r="Q40524" s="24"/>
      <c r="R40524"/>
      <c r="S40524"/>
      <c r="T40524"/>
      <c r="U40524"/>
      <c r="X40524" s="60"/>
    </row>
    <row r="40525" spans="7:24" ht="15" customHeight="1">
      <c r="G40525"/>
      <c r="I40525"/>
      <c r="N40525"/>
      <c r="O40525" s="24"/>
      <c r="P40525"/>
      <c r="Q40525" s="24"/>
      <c r="R40525"/>
      <c r="S40525"/>
      <c r="T40525"/>
      <c r="U40525"/>
      <c r="X40525" s="60"/>
    </row>
    <row r="40526" spans="7:24" ht="15" customHeight="1">
      <c r="G40526"/>
      <c r="I40526"/>
      <c r="N40526"/>
      <c r="O40526" s="24"/>
      <c r="P40526"/>
      <c r="Q40526" s="24"/>
      <c r="R40526"/>
      <c r="S40526"/>
      <c r="T40526"/>
      <c r="U40526"/>
      <c r="X40526" s="60"/>
    </row>
    <row r="40527" spans="7:24" ht="15" customHeight="1">
      <c r="G40527"/>
      <c r="I40527"/>
      <c r="N40527"/>
      <c r="O40527" s="24"/>
      <c r="P40527"/>
      <c r="Q40527" s="24"/>
      <c r="R40527"/>
      <c r="S40527"/>
      <c r="T40527"/>
      <c r="U40527"/>
      <c r="X40527" s="60"/>
    </row>
    <row r="40528" spans="7:24" ht="15" customHeight="1">
      <c r="G40528"/>
      <c r="I40528"/>
      <c r="N40528"/>
      <c r="O40528" s="24"/>
      <c r="P40528"/>
      <c r="Q40528" s="24"/>
      <c r="R40528"/>
      <c r="S40528"/>
      <c r="T40528"/>
      <c r="U40528"/>
      <c r="X40528" s="60"/>
    </row>
    <row r="40529" spans="7:24" ht="15" customHeight="1">
      <c r="G40529"/>
      <c r="I40529"/>
      <c r="N40529"/>
      <c r="O40529" s="24"/>
      <c r="P40529"/>
      <c r="Q40529" s="24"/>
      <c r="R40529"/>
      <c r="S40529"/>
      <c r="T40529"/>
      <c r="U40529"/>
      <c r="X40529" s="60"/>
    </row>
    <row r="40530" spans="7:24" ht="15" customHeight="1">
      <c r="G40530"/>
      <c r="I40530"/>
      <c r="N40530"/>
      <c r="O40530" s="24"/>
      <c r="P40530"/>
      <c r="Q40530" s="24"/>
      <c r="R40530"/>
      <c r="S40530"/>
      <c r="T40530"/>
      <c r="U40530"/>
      <c r="X40530" s="60"/>
    </row>
    <row r="40531" spans="7:24" ht="15" customHeight="1">
      <c r="G40531"/>
      <c r="I40531"/>
      <c r="N40531"/>
      <c r="O40531" s="24"/>
      <c r="P40531"/>
      <c r="Q40531" s="24"/>
      <c r="R40531"/>
      <c r="S40531"/>
      <c r="T40531"/>
      <c r="U40531"/>
      <c r="X40531" s="60"/>
    </row>
    <row r="40532" spans="7:24" ht="15" customHeight="1">
      <c r="G40532"/>
      <c r="I40532"/>
      <c r="N40532"/>
      <c r="O40532" s="24"/>
      <c r="P40532"/>
      <c r="Q40532" s="24"/>
      <c r="R40532"/>
      <c r="S40532"/>
      <c r="T40532"/>
      <c r="U40532"/>
      <c r="X40532" s="60"/>
    </row>
    <row r="40533" spans="7:24" ht="15" customHeight="1">
      <c r="G40533"/>
      <c r="I40533"/>
      <c r="N40533"/>
      <c r="O40533" s="24"/>
      <c r="P40533"/>
      <c r="Q40533" s="24"/>
      <c r="R40533"/>
      <c r="S40533"/>
      <c r="T40533"/>
      <c r="U40533"/>
      <c r="X40533" s="60"/>
    </row>
    <row r="40534" spans="7:24" ht="15" customHeight="1">
      <c r="G40534"/>
      <c r="I40534"/>
      <c r="N40534"/>
      <c r="O40534" s="24"/>
      <c r="P40534"/>
      <c r="Q40534" s="24"/>
      <c r="R40534"/>
      <c r="S40534"/>
      <c r="T40534"/>
      <c r="U40534"/>
      <c r="X40534" s="60"/>
    </row>
    <row r="40535" spans="7:24" ht="15" customHeight="1">
      <c r="G40535"/>
      <c r="I40535"/>
      <c r="N40535"/>
      <c r="O40535" s="24"/>
      <c r="P40535"/>
      <c r="Q40535" s="24"/>
      <c r="R40535"/>
      <c r="S40535"/>
      <c r="T40535"/>
      <c r="U40535"/>
      <c r="X40535" s="60"/>
    </row>
    <row r="40536" spans="7:24" ht="15" customHeight="1">
      <c r="G40536"/>
      <c r="I40536"/>
      <c r="N40536"/>
      <c r="O40536" s="24"/>
      <c r="P40536"/>
      <c r="Q40536" s="24"/>
      <c r="R40536"/>
      <c r="S40536"/>
      <c r="T40536"/>
      <c r="U40536"/>
      <c r="X40536" s="60"/>
    </row>
    <row r="40537" spans="7:24" ht="15" customHeight="1">
      <c r="G40537"/>
      <c r="I40537"/>
      <c r="N40537"/>
      <c r="O40537" s="24"/>
      <c r="P40537"/>
      <c r="Q40537" s="24"/>
      <c r="R40537"/>
      <c r="S40537"/>
      <c r="T40537"/>
      <c r="U40537"/>
      <c r="X40537" s="60"/>
    </row>
    <row r="40538" spans="7:24" ht="15" customHeight="1">
      <c r="G40538"/>
      <c r="I40538"/>
      <c r="N40538"/>
      <c r="O40538" s="24"/>
      <c r="P40538"/>
      <c r="Q40538" s="24"/>
      <c r="R40538"/>
      <c r="S40538"/>
      <c r="T40538"/>
      <c r="U40538"/>
      <c r="X40538" s="60"/>
    </row>
    <row r="40539" spans="7:24" ht="15" customHeight="1">
      <c r="G40539"/>
      <c r="I40539"/>
      <c r="N40539"/>
      <c r="O40539" s="24"/>
      <c r="P40539"/>
      <c r="Q40539" s="24"/>
      <c r="R40539"/>
      <c r="S40539"/>
      <c r="T40539"/>
      <c r="U40539"/>
      <c r="X40539" s="60"/>
    </row>
    <row r="40540" spans="7:24" ht="15" customHeight="1">
      <c r="G40540"/>
      <c r="I40540"/>
      <c r="N40540"/>
      <c r="O40540" s="24"/>
      <c r="P40540"/>
      <c r="Q40540" s="24"/>
      <c r="R40540"/>
      <c r="S40540"/>
      <c r="T40540"/>
      <c r="U40540"/>
      <c r="X40540" s="60"/>
    </row>
    <row r="40541" spans="7:24" ht="15" customHeight="1">
      <c r="G40541"/>
      <c r="I40541"/>
      <c r="N40541"/>
      <c r="O40541" s="24"/>
      <c r="P40541"/>
      <c r="Q40541" s="24"/>
      <c r="R40541"/>
      <c r="S40541"/>
      <c r="T40541"/>
      <c r="U40541"/>
      <c r="X40541" s="60"/>
    </row>
    <row r="40542" spans="7:24" ht="15" customHeight="1">
      <c r="G40542"/>
      <c r="I40542"/>
      <c r="N40542"/>
      <c r="O40542" s="24"/>
      <c r="P40542"/>
      <c r="Q40542" s="24"/>
      <c r="R40542"/>
      <c r="S40542"/>
      <c r="T40542"/>
      <c r="U40542"/>
      <c r="X40542" s="60"/>
    </row>
    <row r="40543" spans="7:24" ht="15" customHeight="1">
      <c r="G40543"/>
      <c r="I40543"/>
      <c r="N40543"/>
      <c r="O40543" s="24"/>
      <c r="P40543"/>
      <c r="Q40543" s="24"/>
      <c r="R40543"/>
      <c r="S40543"/>
      <c r="T40543"/>
      <c r="U40543"/>
      <c r="X40543" s="60"/>
    </row>
    <row r="40544" spans="7:24" ht="15" customHeight="1">
      <c r="G40544"/>
      <c r="I40544"/>
      <c r="N40544"/>
      <c r="O40544" s="24"/>
      <c r="P40544"/>
      <c r="Q40544" s="24"/>
      <c r="R40544"/>
      <c r="S40544"/>
      <c r="T40544"/>
      <c r="U40544"/>
      <c r="X40544" s="60"/>
    </row>
    <row r="40545" spans="7:24" ht="15" customHeight="1">
      <c r="G40545"/>
      <c r="I40545"/>
      <c r="N40545"/>
      <c r="O40545" s="24"/>
      <c r="P40545"/>
      <c r="Q40545" s="24"/>
      <c r="R40545"/>
      <c r="S40545"/>
      <c r="T40545"/>
      <c r="U40545"/>
      <c r="X40545" s="60"/>
    </row>
    <row r="40546" spans="7:24" ht="15" customHeight="1">
      <c r="G40546"/>
      <c r="I40546"/>
      <c r="N40546"/>
      <c r="O40546" s="24"/>
      <c r="P40546"/>
      <c r="Q40546" s="24"/>
      <c r="R40546"/>
      <c r="S40546"/>
      <c r="T40546"/>
      <c r="U40546"/>
      <c r="X40546" s="60"/>
    </row>
    <row r="40547" spans="7:24" ht="15" customHeight="1">
      <c r="G40547"/>
      <c r="I40547"/>
      <c r="N40547"/>
      <c r="O40547" s="24"/>
      <c r="P40547"/>
      <c r="Q40547" s="24"/>
      <c r="R40547"/>
      <c r="S40547"/>
      <c r="T40547"/>
      <c r="U40547"/>
      <c r="X40547" s="60"/>
    </row>
    <row r="40548" spans="7:24" ht="15" customHeight="1">
      <c r="G40548"/>
      <c r="I40548"/>
      <c r="N40548"/>
      <c r="O40548" s="24"/>
      <c r="P40548"/>
      <c r="Q40548" s="24"/>
      <c r="R40548"/>
      <c r="S40548"/>
      <c r="T40548"/>
      <c r="U40548"/>
      <c r="X40548" s="60"/>
    </row>
    <row r="40549" spans="7:24" ht="15" customHeight="1">
      <c r="G40549"/>
      <c r="I40549"/>
      <c r="N40549"/>
      <c r="O40549" s="24"/>
      <c r="P40549"/>
      <c r="Q40549" s="24"/>
      <c r="R40549"/>
      <c r="S40549"/>
      <c r="T40549"/>
      <c r="U40549"/>
      <c r="X40549" s="60"/>
    </row>
    <row r="40550" spans="7:24" ht="15" customHeight="1">
      <c r="G40550"/>
      <c r="I40550"/>
      <c r="N40550"/>
      <c r="O40550" s="24"/>
      <c r="P40550"/>
      <c r="Q40550" s="24"/>
      <c r="R40550"/>
      <c r="S40550"/>
      <c r="T40550"/>
      <c r="U40550"/>
      <c r="X40550" s="60"/>
    </row>
    <row r="40551" spans="7:24" ht="15" customHeight="1">
      <c r="G40551"/>
      <c r="I40551"/>
      <c r="N40551"/>
      <c r="O40551" s="24"/>
      <c r="P40551"/>
      <c r="Q40551" s="24"/>
      <c r="R40551"/>
      <c r="S40551"/>
      <c r="T40551"/>
      <c r="U40551"/>
      <c r="X40551" s="60"/>
    </row>
    <row r="40552" spans="7:24" ht="15" customHeight="1">
      <c r="G40552"/>
      <c r="I40552"/>
      <c r="N40552"/>
      <c r="O40552" s="24"/>
      <c r="P40552"/>
      <c r="Q40552" s="24"/>
      <c r="R40552"/>
      <c r="S40552"/>
      <c r="T40552"/>
      <c r="U40552"/>
      <c r="X40552" s="60"/>
    </row>
    <row r="40553" spans="7:24" ht="15" customHeight="1">
      <c r="G40553"/>
      <c r="I40553"/>
      <c r="N40553"/>
      <c r="O40553" s="24"/>
      <c r="P40553"/>
      <c r="Q40553" s="24"/>
      <c r="R40553"/>
      <c r="S40553"/>
      <c r="T40553"/>
      <c r="U40553"/>
      <c r="X40553" s="60"/>
    </row>
    <row r="40554" spans="7:24" ht="15" customHeight="1">
      <c r="G40554"/>
      <c r="I40554"/>
      <c r="N40554"/>
      <c r="O40554" s="24"/>
      <c r="P40554"/>
      <c r="Q40554" s="24"/>
      <c r="R40554"/>
      <c r="S40554"/>
      <c r="T40554"/>
      <c r="U40554"/>
      <c r="X40554" s="60"/>
    </row>
    <row r="40555" spans="7:24" ht="15" customHeight="1">
      <c r="G40555"/>
      <c r="I40555"/>
      <c r="N40555"/>
      <c r="O40555" s="24"/>
      <c r="P40555"/>
      <c r="Q40555" s="24"/>
      <c r="R40555"/>
      <c r="S40555"/>
      <c r="T40555"/>
      <c r="U40555"/>
      <c r="X40555" s="60"/>
    </row>
    <row r="40556" spans="7:24" ht="15" customHeight="1">
      <c r="G40556"/>
      <c r="I40556"/>
      <c r="N40556"/>
      <c r="O40556" s="24"/>
      <c r="P40556"/>
      <c r="Q40556" s="24"/>
      <c r="R40556"/>
      <c r="S40556"/>
      <c r="T40556"/>
      <c r="U40556"/>
      <c r="X40556" s="60"/>
    </row>
    <row r="40557" spans="7:24" ht="15" customHeight="1">
      <c r="G40557"/>
      <c r="I40557"/>
      <c r="N40557"/>
      <c r="O40557" s="24"/>
      <c r="P40557"/>
      <c r="Q40557" s="24"/>
      <c r="R40557"/>
      <c r="S40557"/>
      <c r="T40557"/>
      <c r="U40557"/>
      <c r="X40557" s="60"/>
    </row>
    <row r="40558" spans="7:24" ht="15" customHeight="1">
      <c r="G40558"/>
      <c r="I40558"/>
      <c r="N40558"/>
      <c r="O40558" s="24"/>
      <c r="P40558"/>
      <c r="Q40558" s="24"/>
      <c r="R40558"/>
      <c r="S40558"/>
      <c r="T40558"/>
      <c r="U40558"/>
      <c r="X40558" s="60"/>
    </row>
    <row r="40559" spans="7:24" ht="15" customHeight="1">
      <c r="G40559"/>
      <c r="I40559"/>
      <c r="N40559"/>
      <c r="O40559" s="24"/>
      <c r="P40559"/>
      <c r="Q40559" s="24"/>
      <c r="R40559"/>
      <c r="S40559"/>
      <c r="T40559"/>
      <c r="U40559"/>
      <c r="X40559" s="60"/>
    </row>
    <row r="40560" spans="7:24" ht="15" customHeight="1">
      <c r="G40560"/>
      <c r="I40560"/>
      <c r="N40560"/>
      <c r="O40560" s="24"/>
      <c r="P40560"/>
      <c r="Q40560" s="24"/>
      <c r="R40560"/>
      <c r="S40560"/>
      <c r="T40560"/>
      <c r="U40560"/>
      <c r="X40560" s="60"/>
    </row>
    <row r="40561" spans="7:24" ht="15" customHeight="1">
      <c r="G40561"/>
      <c r="I40561"/>
      <c r="N40561"/>
      <c r="O40561" s="24"/>
      <c r="P40561"/>
      <c r="Q40561" s="24"/>
      <c r="R40561"/>
      <c r="S40561"/>
      <c r="T40561"/>
      <c r="U40561"/>
      <c r="X40561" s="60"/>
    </row>
    <row r="40562" spans="7:24" ht="15" customHeight="1">
      <c r="G40562"/>
      <c r="I40562"/>
      <c r="N40562"/>
      <c r="O40562" s="24"/>
      <c r="P40562"/>
      <c r="Q40562" s="24"/>
      <c r="R40562"/>
      <c r="S40562"/>
      <c r="T40562"/>
      <c r="U40562"/>
      <c r="X40562" s="60"/>
    </row>
    <row r="40563" spans="7:24" ht="15" customHeight="1">
      <c r="G40563"/>
      <c r="I40563"/>
      <c r="N40563"/>
      <c r="O40563" s="24"/>
      <c r="P40563"/>
      <c r="Q40563" s="24"/>
      <c r="R40563"/>
      <c r="S40563"/>
      <c r="T40563"/>
      <c r="U40563"/>
      <c r="X40563" s="60"/>
    </row>
    <row r="40564" spans="7:24" ht="15" customHeight="1">
      <c r="G40564"/>
      <c r="I40564"/>
      <c r="N40564"/>
      <c r="O40564" s="24"/>
      <c r="P40564"/>
      <c r="Q40564" s="24"/>
      <c r="R40564"/>
      <c r="S40564"/>
      <c r="T40564"/>
      <c r="U40564"/>
      <c r="X40564" s="60"/>
    </row>
    <row r="40565" spans="7:24" ht="15" customHeight="1">
      <c r="G40565"/>
      <c r="I40565"/>
      <c r="N40565"/>
      <c r="O40565" s="24"/>
      <c r="P40565"/>
      <c r="Q40565" s="24"/>
      <c r="R40565"/>
      <c r="S40565"/>
      <c r="T40565"/>
      <c r="U40565"/>
      <c r="X40565" s="60"/>
    </row>
    <row r="40566" spans="7:24" ht="15" customHeight="1">
      <c r="G40566"/>
      <c r="I40566"/>
      <c r="N40566"/>
      <c r="O40566" s="24"/>
      <c r="P40566"/>
      <c r="Q40566" s="24"/>
      <c r="R40566"/>
      <c r="S40566"/>
      <c r="T40566"/>
      <c r="U40566"/>
      <c r="X40566" s="60"/>
    </row>
    <row r="40567" spans="7:24" ht="15" customHeight="1">
      <c r="G40567"/>
      <c r="I40567"/>
      <c r="N40567"/>
      <c r="O40567" s="24"/>
      <c r="P40567"/>
      <c r="Q40567" s="24"/>
      <c r="R40567"/>
      <c r="S40567"/>
      <c r="T40567"/>
      <c r="U40567"/>
      <c r="X40567" s="60"/>
    </row>
    <row r="40568" spans="7:24" ht="15" customHeight="1">
      <c r="G40568"/>
      <c r="I40568"/>
      <c r="N40568"/>
      <c r="O40568" s="24"/>
      <c r="P40568"/>
      <c r="Q40568" s="24"/>
      <c r="R40568"/>
      <c r="S40568"/>
      <c r="T40568"/>
      <c r="U40568"/>
      <c r="X40568" s="60"/>
    </row>
    <row r="40569" spans="7:24" ht="15" customHeight="1">
      <c r="G40569"/>
      <c r="I40569"/>
      <c r="N40569"/>
      <c r="O40569" s="24"/>
      <c r="P40569"/>
      <c r="Q40569" s="24"/>
      <c r="R40569"/>
      <c r="S40569"/>
      <c r="T40569"/>
      <c r="U40569"/>
      <c r="X40569" s="60"/>
    </row>
    <row r="40570" spans="7:24" ht="15" customHeight="1">
      <c r="G40570"/>
      <c r="I40570"/>
      <c r="N40570"/>
      <c r="O40570" s="24"/>
      <c r="P40570"/>
      <c r="Q40570" s="24"/>
      <c r="R40570"/>
      <c r="S40570"/>
      <c r="T40570"/>
      <c r="U40570"/>
      <c r="X40570" s="60"/>
    </row>
    <row r="40571" spans="7:24" ht="15" customHeight="1">
      <c r="G40571"/>
      <c r="I40571"/>
      <c r="N40571"/>
      <c r="O40571" s="24"/>
      <c r="P40571"/>
      <c r="Q40571" s="24"/>
      <c r="R40571"/>
      <c r="S40571"/>
      <c r="T40571"/>
      <c r="U40571"/>
      <c r="X40571" s="60"/>
    </row>
    <row r="40572" spans="7:24" ht="15" customHeight="1">
      <c r="G40572"/>
      <c r="I40572"/>
      <c r="N40572"/>
      <c r="O40572" s="24"/>
      <c r="P40572"/>
      <c r="Q40572" s="24"/>
      <c r="R40572"/>
      <c r="S40572"/>
      <c r="T40572"/>
      <c r="U40572"/>
      <c r="X40572" s="60"/>
    </row>
    <row r="40573" spans="7:24" ht="15" customHeight="1">
      <c r="G40573"/>
      <c r="I40573"/>
      <c r="N40573"/>
      <c r="O40573" s="24"/>
      <c r="P40573"/>
      <c r="Q40573" s="24"/>
      <c r="R40573"/>
      <c r="S40573"/>
      <c r="T40573"/>
      <c r="U40573"/>
      <c r="X40573" s="60"/>
    </row>
    <row r="40574" spans="7:24" ht="15" customHeight="1">
      <c r="G40574"/>
      <c r="I40574"/>
      <c r="N40574"/>
      <c r="O40574" s="24"/>
      <c r="P40574"/>
      <c r="Q40574" s="24"/>
      <c r="R40574"/>
      <c r="S40574"/>
      <c r="T40574"/>
      <c r="U40574"/>
      <c r="X40574" s="60"/>
    </row>
    <row r="40575" spans="7:24" ht="15" customHeight="1">
      <c r="G40575"/>
      <c r="I40575"/>
      <c r="N40575"/>
      <c r="O40575" s="24"/>
      <c r="P40575"/>
      <c r="Q40575" s="24"/>
      <c r="R40575"/>
      <c r="S40575"/>
      <c r="T40575"/>
      <c r="U40575"/>
      <c r="X40575" s="60"/>
    </row>
    <row r="40576" spans="7:24" ht="15" customHeight="1">
      <c r="G40576"/>
      <c r="I40576"/>
      <c r="N40576"/>
      <c r="O40576" s="24"/>
      <c r="P40576"/>
      <c r="Q40576" s="24"/>
      <c r="R40576"/>
      <c r="S40576"/>
      <c r="T40576"/>
      <c r="U40576"/>
      <c r="X40576" s="60"/>
    </row>
    <row r="40577" spans="7:24" ht="15" customHeight="1">
      <c r="G40577"/>
      <c r="I40577"/>
      <c r="N40577"/>
      <c r="O40577" s="24"/>
      <c r="P40577"/>
      <c r="Q40577" s="24"/>
      <c r="R40577"/>
      <c r="S40577"/>
      <c r="T40577"/>
      <c r="U40577"/>
      <c r="X40577" s="60"/>
    </row>
    <row r="40578" spans="7:24" ht="15" customHeight="1">
      <c r="G40578"/>
      <c r="I40578"/>
      <c r="N40578"/>
      <c r="O40578" s="24"/>
      <c r="P40578"/>
      <c r="Q40578" s="24"/>
      <c r="R40578"/>
      <c r="S40578"/>
      <c r="T40578"/>
      <c r="U40578"/>
      <c r="X40578" s="60"/>
    </row>
    <row r="40579" spans="7:24" ht="15" customHeight="1">
      <c r="G40579"/>
      <c r="I40579"/>
      <c r="N40579"/>
      <c r="O40579" s="24"/>
      <c r="P40579"/>
      <c r="Q40579" s="24"/>
      <c r="R40579"/>
      <c r="S40579"/>
      <c r="T40579"/>
      <c r="U40579"/>
      <c r="X40579" s="60"/>
    </row>
    <row r="40580" spans="7:24" ht="15" customHeight="1">
      <c r="G40580"/>
      <c r="I40580"/>
      <c r="N40580"/>
      <c r="O40580" s="24"/>
      <c r="P40580"/>
      <c r="Q40580" s="24"/>
      <c r="R40580"/>
      <c r="S40580"/>
      <c r="T40580"/>
      <c r="U40580"/>
      <c r="X40580" s="60"/>
    </row>
    <row r="40581" spans="7:24" ht="15" customHeight="1">
      <c r="G40581"/>
      <c r="I40581"/>
      <c r="N40581"/>
      <c r="O40581" s="24"/>
      <c r="P40581"/>
      <c r="Q40581" s="24"/>
      <c r="R40581"/>
      <c r="S40581"/>
      <c r="T40581"/>
      <c r="U40581"/>
      <c r="X40581" s="60"/>
    </row>
    <row r="40582" spans="7:24" ht="15" customHeight="1">
      <c r="G40582"/>
      <c r="I40582"/>
      <c r="N40582"/>
      <c r="O40582" s="24"/>
      <c r="P40582"/>
      <c r="Q40582" s="24"/>
      <c r="R40582"/>
      <c r="S40582"/>
      <c r="T40582"/>
      <c r="U40582"/>
      <c r="X40582" s="60"/>
    </row>
    <row r="40583" spans="7:24" ht="15" customHeight="1">
      <c r="G40583"/>
      <c r="I40583"/>
      <c r="N40583"/>
      <c r="O40583" s="24"/>
      <c r="P40583"/>
      <c r="Q40583" s="24"/>
      <c r="R40583"/>
      <c r="S40583"/>
      <c r="T40583"/>
      <c r="U40583"/>
      <c r="X40583" s="60"/>
    </row>
    <row r="40584" spans="7:24" ht="15" customHeight="1">
      <c r="G40584"/>
      <c r="I40584"/>
      <c r="N40584"/>
      <c r="O40584" s="24"/>
      <c r="P40584"/>
      <c r="Q40584" s="24"/>
      <c r="R40584"/>
      <c r="S40584"/>
      <c r="T40584"/>
      <c r="U40584"/>
      <c r="X40584" s="60"/>
    </row>
    <row r="40585" spans="7:24" ht="15" customHeight="1">
      <c r="G40585"/>
      <c r="I40585"/>
      <c r="N40585"/>
      <c r="O40585" s="24"/>
      <c r="P40585"/>
      <c r="Q40585" s="24"/>
      <c r="R40585"/>
      <c r="S40585"/>
      <c r="T40585"/>
      <c r="U40585"/>
      <c r="X40585" s="60"/>
    </row>
    <row r="40586" spans="7:24" ht="15" customHeight="1">
      <c r="G40586"/>
      <c r="I40586"/>
      <c r="N40586"/>
      <c r="O40586" s="24"/>
      <c r="P40586"/>
      <c r="Q40586" s="24"/>
      <c r="R40586"/>
      <c r="S40586"/>
      <c r="T40586"/>
      <c r="U40586"/>
      <c r="X40586" s="60"/>
    </row>
    <row r="40587" spans="7:24" ht="15" customHeight="1">
      <c r="G40587"/>
      <c r="I40587"/>
      <c r="N40587"/>
      <c r="O40587" s="24"/>
      <c r="P40587"/>
      <c r="Q40587" s="24"/>
      <c r="R40587"/>
      <c r="S40587"/>
      <c r="T40587"/>
      <c r="U40587"/>
      <c r="X40587" s="60"/>
    </row>
    <row r="40588" spans="7:24" ht="15" customHeight="1">
      <c r="G40588"/>
      <c r="I40588"/>
      <c r="N40588"/>
      <c r="O40588" s="24"/>
      <c r="P40588"/>
      <c r="Q40588" s="24"/>
      <c r="R40588"/>
      <c r="S40588"/>
      <c r="T40588"/>
      <c r="U40588"/>
      <c r="X40588" s="60"/>
    </row>
    <row r="40589" spans="7:24" ht="15" customHeight="1">
      <c r="G40589"/>
      <c r="I40589"/>
      <c r="N40589"/>
      <c r="O40589" s="24"/>
      <c r="P40589"/>
      <c r="Q40589" s="24"/>
      <c r="R40589"/>
      <c r="S40589"/>
      <c r="T40589"/>
      <c r="U40589"/>
      <c r="X40589" s="60"/>
    </row>
    <row r="40590" spans="7:24" ht="15" customHeight="1">
      <c r="G40590"/>
      <c r="I40590"/>
      <c r="N40590"/>
      <c r="O40590" s="24"/>
      <c r="P40590"/>
      <c r="Q40590" s="24"/>
      <c r="R40590"/>
      <c r="S40590"/>
      <c r="T40590"/>
      <c r="U40590"/>
      <c r="X40590" s="60"/>
    </row>
    <row r="40591" spans="7:24" ht="15" customHeight="1">
      <c r="G40591"/>
      <c r="I40591"/>
      <c r="N40591"/>
      <c r="O40591" s="24"/>
      <c r="P40591"/>
      <c r="Q40591" s="24"/>
      <c r="R40591"/>
      <c r="S40591"/>
      <c r="T40591"/>
      <c r="U40591"/>
      <c r="X40591" s="60"/>
    </row>
    <row r="40592" spans="7:24" ht="15" customHeight="1">
      <c r="G40592"/>
      <c r="I40592"/>
      <c r="N40592"/>
      <c r="O40592" s="24"/>
      <c r="P40592"/>
      <c r="Q40592" s="24"/>
      <c r="R40592"/>
      <c r="S40592"/>
      <c r="T40592"/>
      <c r="U40592"/>
      <c r="X40592" s="60"/>
    </row>
    <row r="40593" spans="7:24" ht="15" customHeight="1">
      <c r="G40593"/>
      <c r="I40593"/>
      <c r="N40593"/>
      <c r="O40593" s="24"/>
      <c r="P40593"/>
      <c r="Q40593" s="24"/>
      <c r="R40593"/>
      <c r="S40593"/>
      <c r="T40593"/>
      <c r="U40593"/>
      <c r="X40593" s="60"/>
    </row>
    <row r="40594" spans="7:24" ht="15" customHeight="1">
      <c r="G40594"/>
      <c r="I40594"/>
      <c r="N40594"/>
      <c r="O40594" s="24"/>
      <c r="P40594"/>
      <c r="Q40594" s="24"/>
      <c r="R40594"/>
      <c r="S40594"/>
      <c r="T40594"/>
      <c r="U40594"/>
      <c r="X40594" s="60"/>
    </row>
    <row r="40595" spans="7:24" ht="15" customHeight="1">
      <c r="G40595"/>
      <c r="I40595"/>
      <c r="N40595"/>
      <c r="O40595" s="24"/>
      <c r="P40595"/>
      <c r="Q40595" s="24"/>
      <c r="R40595"/>
      <c r="S40595"/>
      <c r="T40595"/>
      <c r="U40595"/>
      <c r="X40595" s="60"/>
    </row>
    <row r="40596" spans="7:24" ht="15" customHeight="1">
      <c r="G40596"/>
      <c r="I40596"/>
      <c r="N40596"/>
      <c r="O40596" s="24"/>
      <c r="P40596"/>
      <c r="Q40596" s="24"/>
      <c r="R40596"/>
      <c r="S40596"/>
      <c r="T40596"/>
      <c r="U40596"/>
      <c r="X40596" s="60"/>
    </row>
    <row r="40597" spans="7:24" ht="15" customHeight="1">
      <c r="G40597"/>
      <c r="I40597"/>
      <c r="N40597"/>
      <c r="O40597" s="24"/>
      <c r="P40597"/>
      <c r="Q40597" s="24"/>
      <c r="R40597"/>
      <c r="S40597"/>
      <c r="T40597"/>
      <c r="U40597"/>
      <c r="X40597" s="60"/>
    </row>
    <row r="40598" spans="7:24" ht="15" customHeight="1">
      <c r="G40598"/>
      <c r="I40598"/>
      <c r="N40598"/>
      <c r="O40598" s="24"/>
      <c r="P40598"/>
      <c r="Q40598" s="24"/>
      <c r="R40598"/>
      <c r="S40598"/>
      <c r="T40598"/>
      <c r="U40598"/>
      <c r="X40598" s="60"/>
    </row>
    <row r="40599" spans="7:24" ht="15" customHeight="1">
      <c r="G40599"/>
      <c r="I40599"/>
      <c r="N40599"/>
      <c r="O40599" s="24"/>
      <c r="P40599"/>
      <c r="Q40599" s="24"/>
      <c r="R40599"/>
      <c r="S40599"/>
      <c r="T40599"/>
      <c r="U40599"/>
      <c r="X40599" s="60"/>
    </row>
    <row r="40600" spans="7:24" ht="15" customHeight="1">
      <c r="G40600"/>
      <c r="I40600"/>
      <c r="N40600"/>
      <c r="O40600" s="24"/>
      <c r="P40600"/>
      <c r="Q40600" s="24"/>
      <c r="R40600"/>
      <c r="S40600"/>
      <c r="T40600"/>
      <c r="U40600"/>
      <c r="X40600" s="60"/>
    </row>
    <row r="40601" spans="7:24" ht="15" customHeight="1">
      <c r="G40601"/>
      <c r="I40601"/>
      <c r="N40601"/>
      <c r="O40601" s="24"/>
      <c r="P40601"/>
      <c r="Q40601" s="24"/>
      <c r="R40601"/>
      <c r="S40601"/>
      <c r="T40601"/>
      <c r="U40601"/>
      <c r="X40601" s="60"/>
    </row>
    <row r="40602" spans="7:24" ht="15" customHeight="1">
      <c r="G40602"/>
      <c r="I40602"/>
      <c r="N40602"/>
      <c r="O40602" s="24"/>
      <c r="P40602"/>
      <c r="Q40602" s="24"/>
      <c r="R40602"/>
      <c r="S40602"/>
      <c r="T40602"/>
      <c r="U40602"/>
      <c r="X40602" s="60"/>
    </row>
    <row r="40603" spans="7:24" ht="15" customHeight="1">
      <c r="G40603"/>
      <c r="I40603"/>
      <c r="N40603"/>
      <c r="O40603" s="24"/>
      <c r="P40603"/>
      <c r="Q40603" s="24"/>
      <c r="R40603"/>
      <c r="S40603"/>
      <c r="T40603"/>
      <c r="U40603"/>
      <c r="X40603" s="60"/>
    </row>
    <row r="40604" spans="7:24" ht="15" customHeight="1">
      <c r="G40604"/>
      <c r="I40604"/>
      <c r="N40604"/>
      <c r="O40604" s="24"/>
      <c r="P40604"/>
      <c r="Q40604" s="24"/>
      <c r="R40604"/>
      <c r="S40604"/>
      <c r="T40604"/>
      <c r="U40604"/>
      <c r="X40604" s="60"/>
    </row>
    <row r="40605" spans="7:24" ht="15" customHeight="1">
      <c r="G40605"/>
      <c r="I40605"/>
      <c r="N40605"/>
      <c r="O40605" s="24"/>
      <c r="P40605"/>
      <c r="Q40605" s="24"/>
      <c r="R40605"/>
      <c r="S40605"/>
      <c r="T40605"/>
      <c r="U40605"/>
      <c r="X40605" s="60"/>
    </row>
    <row r="40606" spans="7:24" ht="15" customHeight="1">
      <c r="G40606"/>
      <c r="I40606"/>
      <c r="N40606"/>
      <c r="O40606" s="24"/>
      <c r="P40606"/>
      <c r="Q40606" s="24"/>
      <c r="R40606"/>
      <c r="S40606"/>
      <c r="T40606"/>
      <c r="U40606"/>
      <c r="X40606" s="60"/>
    </row>
    <row r="40607" spans="7:24" ht="15" customHeight="1">
      <c r="G40607"/>
      <c r="I40607"/>
      <c r="N40607"/>
      <c r="O40607" s="24"/>
      <c r="P40607"/>
      <c r="Q40607" s="24"/>
      <c r="R40607"/>
      <c r="S40607"/>
      <c r="T40607"/>
      <c r="U40607"/>
      <c r="X40607" s="60"/>
    </row>
    <row r="40608" spans="7:24" ht="15" customHeight="1">
      <c r="G40608"/>
      <c r="I40608"/>
      <c r="N40608"/>
      <c r="O40608" s="24"/>
      <c r="P40608"/>
      <c r="Q40608" s="24"/>
      <c r="R40608"/>
      <c r="S40608"/>
      <c r="T40608"/>
      <c r="U40608"/>
      <c r="X40608" s="60"/>
    </row>
    <row r="40609" spans="7:24" ht="15" customHeight="1">
      <c r="G40609"/>
      <c r="I40609"/>
      <c r="N40609"/>
      <c r="O40609" s="24"/>
      <c r="P40609"/>
      <c r="Q40609" s="24"/>
      <c r="R40609"/>
      <c r="S40609"/>
      <c r="T40609"/>
      <c r="U40609"/>
      <c r="X40609" s="60"/>
    </row>
    <row r="40610" spans="7:24" ht="15" customHeight="1">
      <c r="G40610"/>
      <c r="I40610"/>
      <c r="N40610"/>
      <c r="O40610" s="24"/>
      <c r="P40610"/>
      <c r="Q40610" s="24"/>
      <c r="R40610"/>
      <c r="S40610"/>
      <c r="T40610"/>
      <c r="U40610"/>
      <c r="X40610" s="60"/>
    </row>
    <row r="40611" spans="7:24" ht="15" customHeight="1">
      <c r="G40611"/>
      <c r="I40611"/>
      <c r="N40611"/>
      <c r="O40611" s="24"/>
      <c r="P40611"/>
      <c r="Q40611" s="24"/>
      <c r="R40611"/>
      <c r="S40611"/>
      <c r="T40611"/>
      <c r="U40611"/>
      <c r="X40611" s="60"/>
    </row>
    <row r="40612" spans="7:24" ht="15" customHeight="1">
      <c r="G40612"/>
      <c r="I40612"/>
      <c r="N40612"/>
      <c r="O40612" s="24"/>
      <c r="P40612"/>
      <c r="Q40612" s="24"/>
      <c r="R40612"/>
      <c r="S40612"/>
      <c r="T40612"/>
      <c r="U40612"/>
      <c r="X40612" s="60"/>
    </row>
    <row r="40613" spans="7:24" ht="15" customHeight="1">
      <c r="G40613"/>
      <c r="I40613"/>
      <c r="N40613"/>
      <c r="O40613" s="24"/>
      <c r="P40613"/>
      <c r="Q40613" s="24"/>
      <c r="R40613"/>
      <c r="S40613"/>
      <c r="T40613"/>
      <c r="U40613"/>
      <c r="X40613" s="60"/>
    </row>
    <row r="40614" spans="7:24" ht="15" customHeight="1">
      <c r="G40614"/>
      <c r="I40614"/>
      <c r="N40614"/>
      <c r="O40614" s="24"/>
      <c r="P40614"/>
      <c r="Q40614" s="24"/>
      <c r="R40614"/>
      <c r="S40614"/>
      <c r="T40614"/>
      <c r="U40614"/>
      <c r="X40614" s="60"/>
    </row>
    <row r="40615" spans="7:24" ht="15" customHeight="1">
      <c r="G40615"/>
      <c r="I40615"/>
      <c r="N40615"/>
      <c r="O40615" s="24"/>
      <c r="P40615"/>
      <c r="Q40615" s="24"/>
      <c r="R40615"/>
      <c r="S40615"/>
      <c r="T40615"/>
      <c r="U40615"/>
      <c r="X40615" s="60"/>
    </row>
    <row r="40616" spans="7:24" ht="15" customHeight="1">
      <c r="G40616"/>
      <c r="I40616"/>
      <c r="N40616"/>
      <c r="O40616" s="24"/>
      <c r="P40616"/>
      <c r="Q40616" s="24"/>
      <c r="R40616"/>
      <c r="S40616"/>
      <c r="T40616"/>
      <c r="U40616"/>
      <c r="X40616" s="60"/>
    </row>
    <row r="40617" spans="7:24" ht="15" customHeight="1">
      <c r="G40617"/>
      <c r="I40617"/>
      <c r="N40617"/>
      <c r="O40617" s="24"/>
      <c r="P40617"/>
      <c r="Q40617" s="24"/>
      <c r="R40617"/>
      <c r="S40617"/>
      <c r="T40617"/>
      <c r="U40617"/>
      <c r="X40617" s="60"/>
    </row>
    <row r="40618" spans="7:24" ht="15" customHeight="1">
      <c r="G40618"/>
      <c r="I40618"/>
      <c r="N40618"/>
      <c r="O40618" s="24"/>
      <c r="P40618"/>
      <c r="Q40618" s="24"/>
      <c r="R40618"/>
      <c r="S40618"/>
      <c r="T40618"/>
      <c r="U40618"/>
      <c r="X40618" s="60"/>
    </row>
    <row r="40619" spans="7:24" ht="15" customHeight="1">
      <c r="G40619"/>
      <c r="I40619"/>
      <c r="N40619"/>
      <c r="O40619" s="24"/>
      <c r="P40619"/>
      <c r="Q40619" s="24"/>
      <c r="R40619"/>
      <c r="S40619"/>
      <c r="T40619"/>
      <c r="U40619"/>
      <c r="X40619" s="60"/>
    </row>
    <row r="40620" spans="7:24" ht="15" customHeight="1">
      <c r="G40620"/>
      <c r="I40620"/>
      <c r="N40620"/>
      <c r="O40620" s="24"/>
      <c r="P40620"/>
      <c r="Q40620" s="24"/>
      <c r="R40620"/>
      <c r="S40620"/>
      <c r="T40620"/>
      <c r="U40620"/>
      <c r="X40620" s="60"/>
    </row>
    <row r="40621" spans="7:24" ht="15" customHeight="1">
      <c r="G40621"/>
      <c r="I40621"/>
      <c r="N40621"/>
      <c r="O40621" s="24"/>
      <c r="P40621"/>
      <c r="Q40621" s="24"/>
      <c r="R40621"/>
      <c r="S40621"/>
      <c r="T40621"/>
      <c r="U40621"/>
      <c r="X40621" s="60"/>
    </row>
    <row r="40622" spans="7:24" ht="15" customHeight="1">
      <c r="G40622"/>
      <c r="I40622"/>
      <c r="N40622"/>
      <c r="O40622" s="24"/>
      <c r="P40622"/>
      <c r="Q40622" s="24"/>
      <c r="R40622"/>
      <c r="S40622"/>
      <c r="T40622"/>
      <c r="U40622"/>
      <c r="X40622" s="60"/>
    </row>
    <row r="40623" spans="7:24" ht="15" customHeight="1">
      <c r="G40623"/>
      <c r="I40623"/>
      <c r="N40623"/>
      <c r="O40623" s="24"/>
      <c r="P40623"/>
      <c r="Q40623" s="24"/>
      <c r="R40623"/>
      <c r="S40623"/>
      <c r="T40623"/>
      <c r="U40623"/>
      <c r="X40623" s="60"/>
    </row>
    <row r="40624" spans="7:24" ht="15" customHeight="1">
      <c r="G40624"/>
      <c r="I40624"/>
      <c r="N40624"/>
      <c r="O40624" s="24"/>
      <c r="P40624"/>
      <c r="Q40624" s="24"/>
      <c r="R40624"/>
      <c r="S40624"/>
      <c r="T40624"/>
      <c r="U40624"/>
      <c r="X40624" s="60"/>
    </row>
    <row r="40625" spans="7:24" ht="15" customHeight="1">
      <c r="G40625"/>
      <c r="I40625"/>
      <c r="N40625"/>
      <c r="O40625" s="24"/>
      <c r="P40625"/>
      <c r="Q40625" s="24"/>
      <c r="R40625"/>
      <c r="S40625"/>
      <c r="T40625"/>
      <c r="U40625"/>
      <c r="X40625" s="60"/>
    </row>
    <row r="40626" spans="7:24" ht="15" customHeight="1">
      <c r="G40626"/>
      <c r="I40626"/>
      <c r="N40626"/>
      <c r="O40626" s="24"/>
      <c r="P40626"/>
      <c r="Q40626" s="24"/>
      <c r="R40626"/>
      <c r="S40626"/>
      <c r="T40626"/>
      <c r="U40626"/>
      <c r="X40626" s="60"/>
    </row>
    <row r="40627" spans="7:24" ht="15" customHeight="1">
      <c r="G40627"/>
      <c r="I40627"/>
      <c r="N40627"/>
      <c r="O40627" s="24"/>
      <c r="P40627"/>
      <c r="Q40627" s="24"/>
      <c r="R40627"/>
      <c r="S40627"/>
      <c r="T40627"/>
      <c r="U40627"/>
      <c r="X40627" s="60"/>
    </row>
    <row r="40628" spans="7:24" ht="15" customHeight="1">
      <c r="G40628"/>
      <c r="I40628"/>
      <c r="N40628"/>
      <c r="O40628" s="24"/>
      <c r="P40628"/>
      <c r="Q40628" s="24"/>
      <c r="R40628"/>
      <c r="S40628"/>
      <c r="T40628"/>
      <c r="U40628"/>
      <c r="X40628" s="60"/>
    </row>
    <row r="40629" spans="7:24" ht="15" customHeight="1">
      <c r="G40629"/>
      <c r="I40629"/>
      <c r="N40629"/>
      <c r="O40629" s="24"/>
      <c r="P40629"/>
      <c r="Q40629" s="24"/>
      <c r="R40629"/>
      <c r="S40629"/>
      <c r="T40629"/>
      <c r="U40629"/>
      <c r="X40629" s="60"/>
    </row>
    <row r="40630" spans="7:24" ht="15" customHeight="1">
      <c r="G40630"/>
      <c r="I40630"/>
      <c r="N40630"/>
      <c r="O40630" s="24"/>
      <c r="P40630"/>
      <c r="Q40630" s="24"/>
      <c r="R40630"/>
      <c r="S40630"/>
      <c r="T40630"/>
      <c r="U40630"/>
      <c r="X40630" s="60"/>
    </row>
    <row r="40631" spans="7:24" ht="15" customHeight="1">
      <c r="G40631"/>
      <c r="I40631"/>
      <c r="N40631"/>
      <c r="O40631" s="24"/>
      <c r="P40631"/>
      <c r="Q40631" s="24"/>
      <c r="R40631"/>
      <c r="S40631"/>
      <c r="T40631"/>
      <c r="U40631"/>
      <c r="X40631" s="60"/>
    </row>
    <row r="40632" spans="7:24" ht="15" customHeight="1">
      <c r="G40632"/>
      <c r="I40632"/>
      <c r="N40632"/>
      <c r="O40632" s="24"/>
      <c r="P40632"/>
      <c r="Q40632" s="24"/>
      <c r="R40632"/>
      <c r="S40632"/>
      <c r="T40632"/>
      <c r="U40632"/>
      <c r="X40632" s="60"/>
    </row>
    <row r="40633" spans="7:24" ht="15" customHeight="1">
      <c r="G40633"/>
      <c r="I40633"/>
      <c r="N40633"/>
      <c r="O40633" s="24"/>
      <c r="P40633"/>
      <c r="Q40633" s="24"/>
      <c r="R40633"/>
      <c r="S40633"/>
      <c r="T40633"/>
      <c r="U40633"/>
      <c r="X40633" s="60"/>
    </row>
    <row r="40634" spans="7:24" ht="15" customHeight="1">
      <c r="G40634"/>
      <c r="I40634"/>
      <c r="N40634"/>
      <c r="O40634" s="24"/>
      <c r="P40634"/>
      <c r="Q40634" s="24"/>
      <c r="R40634"/>
      <c r="S40634"/>
      <c r="T40634"/>
      <c r="U40634"/>
      <c r="X40634" s="60"/>
    </row>
    <row r="40635" spans="7:24" ht="15" customHeight="1">
      <c r="G40635"/>
      <c r="I40635"/>
      <c r="N40635"/>
      <c r="O40635" s="24"/>
      <c r="P40635"/>
      <c r="Q40635" s="24"/>
      <c r="R40635"/>
      <c r="S40635"/>
      <c r="T40635"/>
      <c r="U40635"/>
      <c r="X40635" s="60"/>
    </row>
    <row r="40636" spans="7:24" ht="15" customHeight="1">
      <c r="G40636"/>
      <c r="I40636"/>
      <c r="N40636"/>
      <c r="O40636" s="24"/>
      <c r="P40636"/>
      <c r="Q40636" s="24"/>
      <c r="R40636"/>
      <c r="S40636"/>
      <c r="T40636"/>
      <c r="U40636"/>
      <c r="X40636" s="60"/>
    </row>
    <row r="40637" spans="7:24" ht="15" customHeight="1">
      <c r="G40637"/>
      <c r="I40637"/>
      <c r="N40637"/>
      <c r="O40637" s="24"/>
      <c r="P40637"/>
      <c r="Q40637" s="24"/>
      <c r="R40637"/>
      <c r="S40637"/>
      <c r="T40637"/>
      <c r="U40637"/>
      <c r="X40637" s="60"/>
    </row>
    <row r="40638" spans="7:24" ht="15" customHeight="1">
      <c r="G40638"/>
      <c r="I40638"/>
      <c r="N40638"/>
      <c r="O40638" s="24"/>
      <c r="P40638"/>
      <c r="Q40638" s="24"/>
      <c r="R40638"/>
      <c r="S40638"/>
      <c r="T40638"/>
      <c r="U40638"/>
      <c r="X40638" s="60"/>
    </row>
    <row r="40639" spans="7:24" ht="15" customHeight="1">
      <c r="G40639"/>
      <c r="I40639"/>
      <c r="N40639"/>
      <c r="O40639" s="24"/>
      <c r="P40639"/>
      <c r="Q40639" s="24"/>
      <c r="R40639"/>
      <c r="S40639"/>
      <c r="T40639"/>
      <c r="U40639"/>
      <c r="X40639" s="60"/>
    </row>
    <row r="40640" spans="7:24" ht="15" customHeight="1">
      <c r="G40640"/>
      <c r="I40640"/>
      <c r="N40640"/>
      <c r="O40640" s="24"/>
      <c r="P40640"/>
      <c r="Q40640" s="24"/>
      <c r="R40640"/>
      <c r="S40640"/>
      <c r="T40640"/>
      <c r="U40640"/>
      <c r="X40640" s="60"/>
    </row>
    <row r="40641" spans="7:24" ht="15" customHeight="1">
      <c r="G40641"/>
      <c r="I40641"/>
      <c r="N40641"/>
      <c r="O40641" s="24"/>
      <c r="P40641"/>
      <c r="Q40641" s="24"/>
      <c r="R40641"/>
      <c r="S40641"/>
      <c r="T40641"/>
      <c r="U40641"/>
      <c r="X40641" s="60"/>
    </row>
    <row r="40642" spans="7:24" ht="15" customHeight="1">
      <c r="G40642"/>
      <c r="I40642"/>
      <c r="N40642"/>
      <c r="O40642" s="24"/>
      <c r="P40642"/>
      <c r="Q40642" s="24"/>
      <c r="R40642"/>
      <c r="S40642"/>
      <c r="T40642"/>
      <c r="U40642"/>
      <c r="X40642" s="60"/>
    </row>
    <row r="40643" spans="7:24" ht="15" customHeight="1">
      <c r="G40643"/>
      <c r="I40643"/>
      <c r="N40643"/>
      <c r="O40643" s="24"/>
      <c r="P40643"/>
      <c r="Q40643" s="24"/>
      <c r="R40643"/>
      <c r="S40643"/>
      <c r="T40643"/>
      <c r="U40643"/>
      <c r="X40643" s="60"/>
    </row>
    <row r="40644" spans="7:24" ht="15" customHeight="1">
      <c r="G40644"/>
      <c r="I40644"/>
      <c r="N40644"/>
      <c r="O40644" s="24"/>
      <c r="P40644"/>
      <c r="Q40644" s="24"/>
      <c r="R40644"/>
      <c r="S40644"/>
      <c r="T40644"/>
      <c r="U40644"/>
      <c r="X40644" s="60"/>
    </row>
    <row r="40645" spans="7:24" ht="15" customHeight="1">
      <c r="G40645"/>
      <c r="I40645"/>
      <c r="N40645"/>
      <c r="O40645" s="24"/>
      <c r="P40645"/>
      <c r="Q40645" s="24"/>
      <c r="R40645"/>
      <c r="S40645"/>
      <c r="T40645"/>
      <c r="U40645"/>
      <c r="X40645" s="60"/>
    </row>
    <row r="40646" spans="7:24" ht="15" customHeight="1">
      <c r="G40646"/>
      <c r="I40646"/>
      <c r="N40646"/>
      <c r="O40646" s="24"/>
      <c r="P40646"/>
      <c r="Q40646" s="24"/>
      <c r="R40646"/>
      <c r="S40646"/>
      <c r="T40646"/>
      <c r="U40646"/>
      <c r="X40646" s="60"/>
    </row>
    <row r="40647" spans="7:24" ht="15" customHeight="1">
      <c r="G40647"/>
      <c r="I40647"/>
      <c r="N40647"/>
      <c r="O40647" s="24"/>
      <c r="P40647"/>
      <c r="Q40647" s="24"/>
      <c r="R40647"/>
      <c r="S40647"/>
      <c r="T40647"/>
      <c r="U40647"/>
      <c r="X40647" s="60"/>
    </row>
    <row r="40648" spans="7:24" ht="15" customHeight="1">
      <c r="G40648"/>
      <c r="I40648"/>
      <c r="N40648"/>
      <c r="O40648" s="24"/>
      <c r="P40648"/>
      <c r="Q40648" s="24"/>
      <c r="R40648"/>
      <c r="S40648"/>
      <c r="T40648"/>
      <c r="U40648"/>
      <c r="X40648" s="60"/>
    </row>
    <row r="40649" spans="7:24" ht="15" customHeight="1">
      <c r="G40649"/>
      <c r="I40649"/>
      <c r="N40649"/>
      <c r="O40649" s="24"/>
      <c r="P40649"/>
      <c r="Q40649" s="24"/>
      <c r="R40649"/>
      <c r="S40649"/>
      <c r="T40649"/>
      <c r="U40649"/>
      <c r="X40649" s="60"/>
    </row>
    <row r="40650" spans="7:24" ht="15" customHeight="1">
      <c r="G40650"/>
      <c r="I40650"/>
      <c r="N40650"/>
      <c r="O40650" s="24"/>
      <c r="P40650"/>
      <c r="Q40650" s="24"/>
      <c r="R40650"/>
      <c r="S40650"/>
      <c r="T40650"/>
      <c r="U40650"/>
      <c r="X40650" s="60"/>
    </row>
    <row r="40651" spans="7:24" ht="15" customHeight="1">
      <c r="G40651"/>
      <c r="I40651"/>
      <c r="N40651"/>
      <c r="O40651" s="24"/>
      <c r="P40651"/>
      <c r="Q40651" s="24"/>
      <c r="R40651"/>
      <c r="S40651"/>
      <c r="T40651"/>
      <c r="U40651"/>
      <c r="X40651" s="60"/>
    </row>
    <row r="40652" spans="7:24" ht="15" customHeight="1">
      <c r="G40652"/>
      <c r="I40652"/>
      <c r="N40652"/>
      <c r="O40652" s="24"/>
      <c r="P40652"/>
      <c r="Q40652" s="24"/>
      <c r="R40652"/>
      <c r="S40652"/>
      <c r="T40652"/>
      <c r="U40652"/>
      <c r="X40652" s="60"/>
    </row>
    <row r="40653" spans="7:24" ht="15" customHeight="1">
      <c r="G40653"/>
      <c r="I40653"/>
      <c r="N40653"/>
      <c r="O40653" s="24"/>
      <c r="P40653"/>
      <c r="Q40653" s="24"/>
      <c r="R40653"/>
      <c r="S40653"/>
      <c r="T40653"/>
      <c r="U40653"/>
      <c r="X40653" s="60"/>
    </row>
    <row r="40654" spans="7:24" ht="15" customHeight="1">
      <c r="G40654"/>
      <c r="I40654"/>
      <c r="N40654"/>
      <c r="O40654" s="24"/>
      <c r="P40654"/>
      <c r="Q40654" s="24"/>
      <c r="R40654"/>
      <c r="S40654"/>
      <c r="T40654"/>
      <c r="U40654"/>
      <c r="X40654" s="60"/>
    </row>
    <row r="40655" spans="7:24" ht="15" customHeight="1">
      <c r="G40655"/>
      <c r="I40655"/>
      <c r="N40655"/>
      <c r="O40655" s="24"/>
      <c r="P40655"/>
      <c r="Q40655" s="24"/>
      <c r="R40655"/>
      <c r="S40655"/>
      <c r="T40655"/>
      <c r="U40655"/>
      <c r="X40655" s="60"/>
    </row>
    <row r="40656" spans="7:24" ht="15" customHeight="1">
      <c r="G40656"/>
      <c r="I40656"/>
      <c r="N40656"/>
      <c r="O40656" s="24"/>
      <c r="P40656"/>
      <c r="Q40656" s="24"/>
      <c r="R40656"/>
      <c r="S40656"/>
      <c r="T40656"/>
      <c r="U40656"/>
      <c r="X40656" s="60"/>
    </row>
    <row r="40657" spans="7:24" ht="15" customHeight="1">
      <c r="G40657"/>
      <c r="I40657"/>
      <c r="N40657"/>
      <c r="O40657" s="24"/>
      <c r="P40657"/>
      <c r="Q40657" s="24"/>
      <c r="R40657"/>
      <c r="S40657"/>
      <c r="T40657"/>
      <c r="U40657"/>
      <c r="X40657" s="60"/>
    </row>
    <row r="40658" spans="7:24" ht="15" customHeight="1">
      <c r="G40658"/>
      <c r="I40658"/>
      <c r="N40658"/>
      <c r="O40658" s="24"/>
      <c r="P40658"/>
      <c r="Q40658" s="24"/>
      <c r="R40658"/>
      <c r="S40658"/>
      <c r="T40658"/>
      <c r="U40658"/>
      <c r="X40658" s="60"/>
    </row>
    <row r="40659" spans="7:24" ht="15" customHeight="1">
      <c r="G40659"/>
      <c r="I40659"/>
      <c r="N40659"/>
      <c r="O40659" s="24"/>
      <c r="P40659"/>
      <c r="Q40659" s="24"/>
      <c r="R40659"/>
      <c r="S40659"/>
      <c r="T40659"/>
      <c r="U40659"/>
      <c r="X40659" s="60"/>
    </row>
    <row r="40660" spans="7:24" ht="15" customHeight="1">
      <c r="G40660"/>
      <c r="I40660"/>
      <c r="N40660"/>
      <c r="O40660" s="24"/>
      <c r="P40660"/>
      <c r="Q40660" s="24"/>
      <c r="R40660"/>
      <c r="S40660"/>
      <c r="T40660"/>
      <c r="U40660"/>
      <c r="X40660" s="60"/>
    </row>
    <row r="40661" spans="7:24" ht="15" customHeight="1">
      <c r="G40661"/>
      <c r="I40661"/>
      <c r="N40661"/>
      <c r="O40661" s="24"/>
      <c r="P40661"/>
      <c r="Q40661" s="24"/>
      <c r="R40661"/>
      <c r="S40661"/>
      <c r="T40661"/>
      <c r="U40661"/>
      <c r="X40661" s="60"/>
    </row>
    <row r="40662" spans="7:24" ht="15" customHeight="1">
      <c r="G40662"/>
      <c r="I40662"/>
      <c r="N40662"/>
      <c r="O40662" s="24"/>
      <c r="P40662"/>
      <c r="Q40662" s="24"/>
      <c r="R40662"/>
      <c r="S40662"/>
      <c r="T40662"/>
      <c r="U40662"/>
      <c r="X40662" s="60"/>
    </row>
    <row r="40663" spans="7:24" ht="15" customHeight="1">
      <c r="G40663"/>
      <c r="I40663"/>
      <c r="N40663"/>
      <c r="O40663" s="24"/>
      <c r="P40663"/>
      <c r="Q40663" s="24"/>
      <c r="R40663"/>
      <c r="S40663"/>
      <c r="T40663"/>
      <c r="U40663"/>
      <c r="X40663" s="60"/>
    </row>
    <row r="40664" spans="7:24" ht="15" customHeight="1">
      <c r="G40664"/>
      <c r="I40664"/>
      <c r="N40664"/>
      <c r="O40664" s="24"/>
      <c r="P40664"/>
      <c r="Q40664" s="24"/>
      <c r="R40664"/>
      <c r="S40664"/>
      <c r="T40664"/>
      <c r="U40664"/>
      <c r="X40664" s="60"/>
    </row>
    <row r="40665" spans="7:24" ht="15" customHeight="1">
      <c r="G40665"/>
      <c r="I40665"/>
      <c r="N40665"/>
      <c r="O40665" s="24"/>
      <c r="P40665"/>
      <c r="Q40665" s="24"/>
      <c r="R40665"/>
      <c r="S40665"/>
      <c r="T40665"/>
      <c r="U40665"/>
      <c r="X40665" s="60"/>
    </row>
    <row r="40666" spans="7:24" ht="15" customHeight="1">
      <c r="G40666"/>
      <c r="I40666"/>
      <c r="N40666"/>
      <c r="O40666" s="24"/>
      <c r="P40666"/>
      <c r="Q40666" s="24"/>
      <c r="R40666"/>
      <c r="S40666"/>
      <c r="T40666"/>
      <c r="U40666"/>
      <c r="X40666" s="60"/>
    </row>
    <row r="40667" spans="7:24" ht="15" customHeight="1">
      <c r="G40667"/>
      <c r="I40667"/>
      <c r="N40667"/>
      <c r="O40667" s="24"/>
      <c r="P40667"/>
      <c r="Q40667" s="24"/>
      <c r="R40667"/>
      <c r="S40667"/>
      <c r="T40667"/>
      <c r="U40667"/>
      <c r="X40667" s="60"/>
    </row>
    <row r="40668" spans="7:24" ht="15" customHeight="1">
      <c r="G40668"/>
      <c r="I40668"/>
      <c r="N40668"/>
      <c r="O40668" s="24"/>
      <c r="P40668"/>
      <c r="Q40668" s="24"/>
      <c r="R40668"/>
      <c r="S40668"/>
      <c r="T40668"/>
      <c r="U40668"/>
      <c r="X40668" s="60"/>
    </row>
    <row r="40669" spans="7:24" ht="15" customHeight="1">
      <c r="G40669"/>
      <c r="I40669"/>
      <c r="N40669"/>
      <c r="O40669" s="24"/>
      <c r="P40669"/>
      <c r="Q40669" s="24"/>
      <c r="R40669"/>
      <c r="S40669"/>
      <c r="T40669"/>
      <c r="U40669"/>
      <c r="X40669" s="60"/>
    </row>
    <row r="40670" spans="7:24" ht="15" customHeight="1">
      <c r="G40670"/>
      <c r="I40670"/>
      <c r="N40670"/>
      <c r="O40670" s="24"/>
      <c r="P40670"/>
      <c r="Q40670" s="24"/>
      <c r="R40670"/>
      <c r="S40670"/>
      <c r="T40670"/>
      <c r="U40670"/>
      <c r="X40670" s="60"/>
    </row>
    <row r="40671" spans="7:24" ht="15" customHeight="1">
      <c r="G40671"/>
      <c r="I40671"/>
      <c r="N40671"/>
      <c r="O40671" s="24"/>
      <c r="P40671"/>
      <c r="Q40671" s="24"/>
      <c r="R40671"/>
      <c r="S40671"/>
      <c r="T40671"/>
      <c r="U40671"/>
      <c r="X40671" s="60"/>
    </row>
    <row r="40672" spans="7:24" ht="15" customHeight="1">
      <c r="G40672"/>
      <c r="I40672"/>
      <c r="N40672"/>
      <c r="O40672" s="24"/>
      <c r="P40672"/>
      <c r="Q40672" s="24"/>
      <c r="R40672"/>
      <c r="S40672"/>
      <c r="T40672"/>
      <c r="U40672"/>
      <c r="X40672" s="60"/>
    </row>
    <row r="40673" spans="7:24" ht="15" customHeight="1">
      <c r="G40673"/>
      <c r="I40673"/>
      <c r="N40673"/>
      <c r="O40673" s="24"/>
      <c r="P40673"/>
      <c r="Q40673" s="24"/>
      <c r="R40673"/>
      <c r="S40673"/>
      <c r="T40673"/>
      <c r="U40673"/>
      <c r="X40673" s="60"/>
    </row>
    <row r="40674" spans="7:24" ht="15" customHeight="1">
      <c r="G40674"/>
      <c r="I40674"/>
      <c r="N40674"/>
      <c r="O40674" s="24"/>
      <c r="P40674"/>
      <c r="Q40674" s="24"/>
      <c r="R40674"/>
      <c r="S40674"/>
      <c r="T40674"/>
      <c r="U40674"/>
      <c r="X40674" s="60"/>
    </row>
    <row r="40675" spans="7:24" ht="15" customHeight="1">
      <c r="G40675"/>
      <c r="I40675"/>
      <c r="N40675"/>
      <c r="O40675" s="24"/>
      <c r="P40675"/>
      <c r="Q40675" s="24"/>
      <c r="R40675"/>
      <c r="S40675"/>
      <c r="T40675"/>
      <c r="U40675"/>
      <c r="X40675" s="60"/>
    </row>
    <row r="40676" spans="7:24" ht="15" customHeight="1">
      <c r="G40676"/>
      <c r="I40676"/>
      <c r="N40676"/>
      <c r="O40676" s="24"/>
      <c r="P40676"/>
      <c r="Q40676" s="24"/>
      <c r="R40676"/>
      <c r="S40676"/>
      <c r="T40676"/>
      <c r="U40676"/>
      <c r="X40676" s="60"/>
    </row>
    <row r="40677" spans="7:24" ht="15" customHeight="1">
      <c r="G40677"/>
      <c r="I40677"/>
      <c r="N40677"/>
      <c r="O40677" s="24"/>
      <c r="P40677"/>
      <c r="Q40677" s="24"/>
      <c r="R40677"/>
      <c r="S40677"/>
      <c r="T40677"/>
      <c r="U40677"/>
      <c r="X40677" s="60"/>
    </row>
    <row r="40678" spans="7:24" ht="15" customHeight="1">
      <c r="G40678"/>
      <c r="I40678"/>
      <c r="N40678"/>
      <c r="O40678" s="24"/>
      <c r="P40678"/>
      <c r="Q40678" s="24"/>
      <c r="R40678"/>
      <c r="S40678"/>
      <c r="T40678"/>
      <c r="U40678"/>
      <c r="X40678" s="60"/>
    </row>
    <row r="40679" spans="7:24" ht="15" customHeight="1">
      <c r="G40679"/>
      <c r="I40679"/>
      <c r="N40679"/>
      <c r="O40679" s="24"/>
      <c r="P40679"/>
      <c r="Q40679" s="24"/>
      <c r="R40679"/>
      <c r="S40679"/>
      <c r="T40679"/>
      <c r="U40679"/>
      <c r="X40679" s="60"/>
    </row>
    <row r="40680" spans="7:24" ht="15" customHeight="1">
      <c r="G40680"/>
      <c r="I40680"/>
      <c r="N40680"/>
      <c r="O40680" s="24"/>
      <c r="P40680"/>
      <c r="Q40680" s="24"/>
      <c r="R40680"/>
      <c r="S40680"/>
      <c r="T40680"/>
      <c r="U40680"/>
      <c r="X40680" s="60"/>
    </row>
    <row r="40681" spans="7:24" ht="15" customHeight="1">
      <c r="G40681"/>
      <c r="I40681"/>
      <c r="N40681"/>
      <c r="O40681" s="24"/>
      <c r="P40681"/>
      <c r="Q40681" s="24"/>
      <c r="R40681"/>
      <c r="S40681"/>
      <c r="T40681"/>
      <c r="U40681"/>
      <c r="X40681" s="60"/>
    </row>
    <row r="40682" spans="7:24" ht="15" customHeight="1">
      <c r="G40682"/>
      <c r="I40682"/>
      <c r="N40682"/>
      <c r="O40682" s="24"/>
      <c r="P40682"/>
      <c r="Q40682" s="24"/>
      <c r="R40682"/>
      <c r="S40682"/>
      <c r="T40682"/>
      <c r="U40682"/>
      <c r="X40682" s="60"/>
    </row>
    <row r="40683" spans="7:24" ht="15" customHeight="1">
      <c r="G40683"/>
      <c r="I40683"/>
      <c r="N40683"/>
      <c r="O40683" s="24"/>
      <c r="P40683"/>
      <c r="Q40683" s="24"/>
      <c r="R40683"/>
      <c r="S40683"/>
      <c r="T40683"/>
      <c r="U40683"/>
      <c r="X40683" s="60"/>
    </row>
    <row r="40684" spans="7:24" ht="15" customHeight="1">
      <c r="G40684"/>
      <c r="I40684"/>
      <c r="N40684"/>
      <c r="O40684" s="24"/>
      <c r="P40684"/>
      <c r="Q40684" s="24"/>
      <c r="R40684"/>
      <c r="S40684"/>
      <c r="T40684"/>
      <c r="U40684"/>
      <c r="X40684" s="60"/>
    </row>
    <row r="40685" spans="7:24" ht="15" customHeight="1">
      <c r="G40685"/>
      <c r="I40685"/>
      <c r="N40685"/>
      <c r="O40685" s="24"/>
      <c r="P40685"/>
      <c r="Q40685" s="24"/>
      <c r="R40685"/>
      <c r="S40685"/>
      <c r="T40685"/>
      <c r="U40685"/>
      <c r="X40685" s="60"/>
    </row>
    <row r="40686" spans="7:24" ht="15" customHeight="1">
      <c r="G40686"/>
      <c r="I40686"/>
      <c r="N40686"/>
      <c r="O40686" s="24"/>
      <c r="P40686"/>
      <c r="Q40686" s="24"/>
      <c r="R40686"/>
      <c r="S40686"/>
      <c r="T40686"/>
      <c r="U40686"/>
      <c r="X40686" s="60"/>
    </row>
    <row r="40687" spans="7:24" ht="15" customHeight="1">
      <c r="G40687"/>
      <c r="I40687"/>
      <c r="N40687"/>
      <c r="O40687" s="24"/>
      <c r="P40687"/>
      <c r="Q40687" s="24"/>
      <c r="R40687"/>
      <c r="S40687"/>
      <c r="T40687"/>
      <c r="U40687"/>
      <c r="X40687" s="60"/>
    </row>
    <row r="40688" spans="7:24" ht="15" customHeight="1">
      <c r="G40688"/>
      <c r="I40688"/>
      <c r="N40688"/>
      <c r="O40688" s="24"/>
      <c r="P40688"/>
      <c r="Q40688" s="24"/>
      <c r="R40688"/>
      <c r="S40688"/>
      <c r="T40688"/>
      <c r="U40688"/>
      <c r="X40688" s="60"/>
    </row>
    <row r="40689" spans="7:24" ht="15" customHeight="1">
      <c r="G40689"/>
      <c r="I40689"/>
      <c r="N40689"/>
      <c r="O40689" s="24"/>
      <c r="P40689"/>
      <c r="Q40689" s="24"/>
      <c r="R40689"/>
      <c r="S40689"/>
      <c r="T40689"/>
      <c r="U40689"/>
      <c r="X40689" s="60"/>
    </row>
    <row r="40690" spans="7:24" ht="15" customHeight="1">
      <c r="G40690"/>
      <c r="I40690"/>
      <c r="N40690"/>
      <c r="O40690" s="24"/>
      <c r="P40690"/>
      <c r="Q40690" s="24"/>
      <c r="R40690"/>
      <c r="S40690"/>
      <c r="T40690"/>
      <c r="U40690"/>
      <c r="X40690" s="60"/>
    </row>
    <row r="40691" spans="7:24" ht="15" customHeight="1">
      <c r="G40691"/>
      <c r="I40691"/>
      <c r="N40691"/>
      <c r="O40691" s="24"/>
      <c r="P40691"/>
      <c r="Q40691" s="24"/>
      <c r="R40691"/>
      <c r="S40691"/>
      <c r="T40691"/>
      <c r="U40691"/>
      <c r="X40691" s="60"/>
    </row>
    <row r="40692" spans="7:24" ht="15" customHeight="1">
      <c r="G40692"/>
      <c r="I40692"/>
      <c r="N40692"/>
      <c r="O40692" s="24"/>
      <c r="P40692"/>
      <c r="Q40692" s="24"/>
      <c r="R40692"/>
      <c r="S40692"/>
      <c r="T40692"/>
      <c r="U40692"/>
      <c r="X40692" s="60"/>
    </row>
    <row r="40693" spans="7:24" ht="15" customHeight="1">
      <c r="G40693"/>
      <c r="I40693"/>
      <c r="N40693"/>
      <c r="O40693" s="24"/>
      <c r="P40693"/>
      <c r="Q40693" s="24"/>
      <c r="R40693"/>
      <c r="S40693"/>
      <c r="T40693"/>
      <c r="U40693"/>
      <c r="X40693" s="60"/>
    </row>
    <row r="40694" spans="7:24" ht="15" customHeight="1">
      <c r="G40694"/>
      <c r="I40694"/>
      <c r="N40694"/>
      <c r="O40694" s="24"/>
      <c r="P40694"/>
      <c r="Q40694" s="24"/>
      <c r="R40694"/>
      <c r="S40694"/>
      <c r="T40694"/>
      <c r="U40694"/>
      <c r="X40694" s="60"/>
    </row>
    <row r="40695" spans="7:24" ht="15" customHeight="1">
      <c r="G40695"/>
      <c r="I40695"/>
      <c r="N40695"/>
      <c r="O40695" s="24"/>
      <c r="P40695"/>
      <c r="Q40695" s="24"/>
      <c r="R40695"/>
      <c r="S40695"/>
      <c r="T40695"/>
      <c r="U40695"/>
      <c r="X40695" s="60"/>
    </row>
    <row r="40696" spans="7:24" ht="15" customHeight="1">
      <c r="G40696"/>
      <c r="I40696"/>
      <c r="N40696"/>
      <c r="O40696" s="24"/>
      <c r="P40696"/>
      <c r="Q40696" s="24"/>
      <c r="R40696"/>
      <c r="S40696"/>
      <c r="T40696"/>
      <c r="U40696"/>
      <c r="X40696" s="60"/>
    </row>
    <row r="40697" spans="7:24" ht="15" customHeight="1">
      <c r="G40697"/>
      <c r="I40697"/>
      <c r="N40697"/>
      <c r="O40697" s="24"/>
      <c r="P40697"/>
      <c r="Q40697" s="24"/>
      <c r="R40697"/>
      <c r="S40697"/>
      <c r="T40697"/>
      <c r="U40697"/>
      <c r="X40697" s="60"/>
    </row>
    <row r="40698" spans="7:24" ht="15" customHeight="1">
      <c r="G40698"/>
      <c r="I40698"/>
      <c r="N40698"/>
      <c r="O40698" s="24"/>
      <c r="P40698"/>
      <c r="Q40698" s="24"/>
      <c r="R40698"/>
      <c r="S40698"/>
      <c r="T40698"/>
      <c r="U40698"/>
      <c r="X40698" s="60"/>
    </row>
    <row r="40699" spans="7:24" ht="15" customHeight="1">
      <c r="G40699"/>
      <c r="I40699"/>
      <c r="N40699"/>
      <c r="O40699" s="24"/>
      <c r="P40699"/>
      <c r="Q40699" s="24"/>
      <c r="R40699"/>
      <c r="S40699"/>
      <c r="T40699"/>
      <c r="U40699"/>
      <c r="X40699" s="60"/>
    </row>
    <row r="40700" spans="7:24" ht="15" customHeight="1">
      <c r="G40700"/>
      <c r="I40700"/>
      <c r="N40700"/>
      <c r="O40700" s="24"/>
      <c r="P40700"/>
      <c r="Q40700" s="24"/>
      <c r="R40700"/>
      <c r="S40700"/>
      <c r="T40700"/>
      <c r="U40700"/>
      <c r="X40700" s="60"/>
    </row>
    <row r="40701" spans="7:24" ht="15" customHeight="1">
      <c r="G40701"/>
      <c r="I40701"/>
      <c r="N40701"/>
      <c r="O40701" s="24"/>
      <c r="P40701"/>
      <c r="Q40701" s="24"/>
      <c r="R40701"/>
      <c r="S40701"/>
      <c r="T40701"/>
      <c r="U40701"/>
      <c r="X40701" s="60"/>
    </row>
    <row r="40702" spans="7:24" ht="15" customHeight="1">
      <c r="G40702"/>
      <c r="I40702"/>
      <c r="N40702"/>
      <c r="O40702" s="24"/>
      <c r="P40702"/>
      <c r="Q40702" s="24"/>
      <c r="R40702"/>
      <c r="S40702"/>
      <c r="T40702"/>
      <c r="U40702"/>
      <c r="X40702" s="60"/>
    </row>
    <row r="40703" spans="7:24" ht="15" customHeight="1">
      <c r="G40703"/>
      <c r="I40703"/>
      <c r="N40703"/>
      <c r="O40703" s="24"/>
      <c r="P40703"/>
      <c r="Q40703" s="24"/>
      <c r="R40703"/>
      <c r="S40703"/>
      <c r="T40703"/>
      <c r="U40703"/>
      <c r="X40703" s="60"/>
    </row>
    <row r="40704" spans="7:24" ht="15" customHeight="1">
      <c r="G40704"/>
      <c r="I40704"/>
      <c r="N40704"/>
      <c r="O40704" s="24"/>
      <c r="P40704"/>
      <c r="Q40704" s="24"/>
      <c r="R40704"/>
      <c r="S40704"/>
      <c r="T40704"/>
      <c r="U40704"/>
      <c r="X40704" s="60"/>
    </row>
    <row r="40705" spans="7:24" ht="15" customHeight="1">
      <c r="G40705"/>
      <c r="I40705"/>
      <c r="N40705"/>
      <c r="O40705" s="24"/>
      <c r="P40705"/>
      <c r="Q40705" s="24"/>
      <c r="R40705"/>
      <c r="S40705"/>
      <c r="T40705"/>
      <c r="U40705"/>
      <c r="X40705" s="60"/>
    </row>
    <row r="40706" spans="7:24" ht="15" customHeight="1">
      <c r="G40706"/>
      <c r="I40706"/>
      <c r="N40706"/>
      <c r="O40706" s="24"/>
      <c r="P40706"/>
      <c r="Q40706" s="24"/>
      <c r="R40706"/>
      <c r="S40706"/>
      <c r="T40706"/>
      <c r="U40706"/>
      <c r="X40706" s="60"/>
    </row>
    <row r="40707" spans="7:24" ht="15" customHeight="1">
      <c r="G40707"/>
      <c r="I40707"/>
      <c r="N40707"/>
      <c r="O40707" s="24"/>
      <c r="P40707"/>
      <c r="Q40707" s="24"/>
      <c r="R40707"/>
      <c r="S40707"/>
      <c r="T40707"/>
      <c r="U40707"/>
      <c r="X40707" s="60"/>
    </row>
    <row r="40708" spans="7:24" ht="15" customHeight="1">
      <c r="G40708"/>
      <c r="I40708"/>
      <c r="N40708"/>
      <c r="O40708" s="24"/>
      <c r="P40708"/>
      <c r="Q40708" s="24"/>
      <c r="R40708"/>
      <c r="S40708"/>
      <c r="T40708"/>
      <c r="U40708"/>
      <c r="X40708" s="60"/>
    </row>
    <row r="40709" spans="7:24" ht="15" customHeight="1">
      <c r="G40709"/>
      <c r="I40709"/>
      <c r="N40709"/>
      <c r="O40709" s="24"/>
      <c r="P40709"/>
      <c r="Q40709" s="24"/>
      <c r="R40709"/>
      <c r="S40709"/>
      <c r="T40709"/>
      <c r="U40709"/>
      <c r="X40709" s="60"/>
    </row>
    <row r="40710" spans="7:24" ht="15" customHeight="1">
      <c r="G40710"/>
      <c r="I40710"/>
      <c r="N40710"/>
      <c r="O40710" s="24"/>
      <c r="P40710"/>
      <c r="Q40710" s="24"/>
      <c r="R40710"/>
      <c r="S40710"/>
      <c r="T40710"/>
      <c r="U40710"/>
      <c r="X40710" s="60"/>
    </row>
    <row r="40711" spans="7:24" ht="15" customHeight="1">
      <c r="G40711"/>
      <c r="I40711"/>
      <c r="N40711"/>
      <c r="O40711" s="24"/>
      <c r="P40711"/>
      <c r="Q40711" s="24"/>
      <c r="R40711"/>
      <c r="S40711"/>
      <c r="T40711"/>
      <c r="U40711"/>
      <c r="X40711" s="60"/>
    </row>
    <row r="40712" spans="7:24" ht="15" customHeight="1">
      <c r="G40712"/>
      <c r="I40712"/>
      <c r="N40712"/>
      <c r="O40712" s="24"/>
      <c r="P40712"/>
      <c r="Q40712" s="24"/>
      <c r="R40712"/>
      <c r="S40712"/>
      <c r="T40712"/>
      <c r="U40712"/>
      <c r="X40712" s="60"/>
    </row>
    <row r="40713" spans="7:24" ht="15" customHeight="1">
      <c r="G40713"/>
      <c r="I40713"/>
      <c r="N40713"/>
      <c r="O40713" s="24"/>
      <c r="P40713"/>
      <c r="Q40713" s="24"/>
      <c r="R40713"/>
      <c r="S40713"/>
      <c r="T40713"/>
      <c r="U40713"/>
      <c r="X40713" s="60"/>
    </row>
    <row r="40714" spans="7:24" ht="15" customHeight="1">
      <c r="G40714"/>
      <c r="I40714"/>
      <c r="N40714"/>
      <c r="O40714" s="24"/>
      <c r="P40714"/>
      <c r="Q40714" s="24"/>
      <c r="R40714"/>
      <c r="S40714"/>
      <c r="T40714"/>
      <c r="U40714"/>
      <c r="X40714" s="60"/>
    </row>
    <row r="40715" spans="7:24" ht="15" customHeight="1">
      <c r="G40715"/>
      <c r="I40715"/>
      <c r="N40715"/>
      <c r="O40715" s="24"/>
      <c r="P40715"/>
      <c r="Q40715" s="24"/>
      <c r="R40715"/>
      <c r="S40715"/>
      <c r="T40715"/>
      <c r="U40715"/>
      <c r="X40715" s="60"/>
    </row>
    <row r="40716" spans="7:24" ht="15" customHeight="1">
      <c r="G40716"/>
      <c r="I40716"/>
      <c r="N40716"/>
      <c r="O40716" s="24"/>
      <c r="P40716"/>
      <c r="Q40716" s="24"/>
      <c r="R40716"/>
      <c r="S40716"/>
      <c r="T40716"/>
      <c r="U40716"/>
      <c r="X40716" s="60"/>
    </row>
    <row r="40717" spans="7:24" ht="15" customHeight="1">
      <c r="G40717"/>
      <c r="I40717"/>
      <c r="N40717"/>
      <c r="O40717" s="24"/>
      <c r="P40717"/>
      <c r="Q40717" s="24"/>
      <c r="R40717"/>
      <c r="S40717"/>
      <c r="T40717"/>
      <c r="U40717"/>
      <c r="X40717" s="60"/>
    </row>
    <row r="40718" spans="7:24" ht="15" customHeight="1">
      <c r="G40718"/>
      <c r="I40718"/>
      <c r="N40718"/>
      <c r="O40718" s="24"/>
      <c r="P40718"/>
      <c r="Q40718" s="24"/>
      <c r="R40718"/>
      <c r="S40718"/>
      <c r="T40718"/>
      <c r="U40718"/>
      <c r="X40718" s="60"/>
    </row>
    <row r="40719" spans="7:24" ht="15" customHeight="1">
      <c r="G40719"/>
      <c r="I40719"/>
      <c r="N40719"/>
      <c r="O40719" s="24"/>
      <c r="P40719"/>
      <c r="Q40719" s="24"/>
      <c r="R40719"/>
      <c r="S40719"/>
      <c r="T40719"/>
      <c r="U40719"/>
      <c r="X40719" s="60"/>
    </row>
    <row r="40720" spans="7:24" ht="15" customHeight="1">
      <c r="G40720"/>
      <c r="I40720"/>
      <c r="N40720"/>
      <c r="O40720" s="24"/>
      <c r="P40720"/>
      <c r="Q40720" s="24"/>
      <c r="R40720"/>
      <c r="S40720"/>
      <c r="T40720"/>
      <c r="U40720"/>
      <c r="X40720" s="60"/>
    </row>
    <row r="40721" spans="7:24" ht="15" customHeight="1">
      <c r="G40721"/>
      <c r="I40721"/>
      <c r="N40721"/>
      <c r="O40721" s="24"/>
      <c r="P40721"/>
      <c r="Q40721" s="24"/>
      <c r="R40721"/>
      <c r="S40721"/>
      <c r="T40721"/>
      <c r="U40721"/>
      <c r="X40721" s="60"/>
    </row>
    <row r="40722" spans="7:24" ht="15" customHeight="1">
      <c r="G40722"/>
      <c r="I40722"/>
      <c r="N40722"/>
      <c r="O40722" s="24"/>
      <c r="P40722"/>
      <c r="Q40722" s="24"/>
      <c r="R40722"/>
      <c r="S40722"/>
      <c r="T40722"/>
      <c r="U40722"/>
      <c r="X40722" s="60"/>
    </row>
    <row r="40723" spans="7:24" ht="15" customHeight="1">
      <c r="G40723"/>
      <c r="I40723"/>
      <c r="N40723"/>
      <c r="O40723" s="24"/>
      <c r="P40723"/>
      <c r="Q40723" s="24"/>
      <c r="R40723"/>
      <c r="S40723"/>
      <c r="T40723"/>
      <c r="U40723"/>
      <c r="X40723" s="60"/>
    </row>
    <row r="40724" spans="7:24" ht="15" customHeight="1">
      <c r="G40724"/>
      <c r="I40724"/>
      <c r="N40724"/>
      <c r="O40724" s="24"/>
      <c r="P40724"/>
      <c r="Q40724" s="24"/>
      <c r="R40724"/>
      <c r="S40724"/>
      <c r="T40724"/>
      <c r="U40724"/>
      <c r="X40724" s="60"/>
    </row>
    <row r="40725" spans="7:24" ht="15" customHeight="1">
      <c r="G40725"/>
      <c r="I40725"/>
      <c r="N40725"/>
      <c r="O40725" s="24"/>
      <c r="P40725"/>
      <c r="Q40725" s="24"/>
      <c r="R40725"/>
      <c r="S40725"/>
      <c r="T40725"/>
      <c r="U40725"/>
      <c r="X40725" s="60"/>
    </row>
    <row r="40726" spans="7:24" ht="15" customHeight="1">
      <c r="G40726"/>
      <c r="I40726"/>
      <c r="N40726"/>
      <c r="O40726" s="24"/>
      <c r="P40726"/>
      <c r="Q40726" s="24"/>
      <c r="R40726"/>
      <c r="S40726"/>
      <c r="T40726"/>
      <c r="U40726"/>
      <c r="X40726" s="60"/>
    </row>
    <row r="40727" spans="7:24" ht="15" customHeight="1">
      <c r="G40727"/>
      <c r="I40727"/>
      <c r="N40727"/>
      <c r="O40727" s="24"/>
      <c r="P40727"/>
      <c r="Q40727" s="24"/>
      <c r="R40727"/>
      <c r="S40727"/>
      <c r="T40727"/>
      <c r="U40727"/>
      <c r="X40727" s="60"/>
    </row>
    <row r="40728" spans="7:24" ht="15" customHeight="1">
      <c r="G40728"/>
      <c r="I40728"/>
      <c r="N40728"/>
      <c r="O40728" s="24"/>
      <c r="P40728"/>
      <c r="Q40728" s="24"/>
      <c r="R40728"/>
      <c r="S40728"/>
      <c r="T40728"/>
      <c r="U40728"/>
      <c r="X40728" s="60"/>
    </row>
    <row r="40729" spans="7:24" ht="15" customHeight="1">
      <c r="G40729"/>
      <c r="I40729"/>
      <c r="N40729"/>
      <c r="O40729" s="24"/>
      <c r="P40729"/>
      <c r="Q40729" s="24"/>
      <c r="R40729"/>
      <c r="S40729"/>
      <c r="T40729"/>
      <c r="U40729"/>
      <c r="X40729" s="60"/>
    </row>
    <row r="40730" spans="7:24" ht="15" customHeight="1">
      <c r="G40730"/>
      <c r="I40730"/>
      <c r="N40730"/>
      <c r="O40730" s="24"/>
      <c r="P40730"/>
      <c r="Q40730" s="24"/>
      <c r="R40730"/>
      <c r="S40730"/>
      <c r="T40730"/>
      <c r="U40730"/>
      <c r="X40730" s="60"/>
    </row>
    <row r="40731" spans="7:24" ht="15" customHeight="1">
      <c r="G40731"/>
      <c r="I40731"/>
      <c r="N40731"/>
      <c r="O40731" s="24"/>
      <c r="P40731"/>
      <c r="Q40731" s="24"/>
      <c r="R40731"/>
      <c r="S40731"/>
      <c r="T40731"/>
      <c r="U40731"/>
      <c r="X40731" s="60"/>
    </row>
    <row r="40732" spans="7:24" ht="15" customHeight="1">
      <c r="G40732"/>
      <c r="I40732"/>
      <c r="N40732"/>
      <c r="O40732" s="24"/>
      <c r="P40732"/>
      <c r="Q40732" s="24"/>
      <c r="R40732"/>
      <c r="S40732"/>
      <c r="T40732"/>
      <c r="U40732"/>
      <c r="X40732" s="60"/>
    </row>
    <row r="40733" spans="7:24" ht="15" customHeight="1">
      <c r="G40733"/>
      <c r="I40733"/>
      <c r="N40733"/>
      <c r="O40733" s="24"/>
      <c r="P40733"/>
      <c r="Q40733" s="24"/>
      <c r="R40733"/>
      <c r="S40733"/>
      <c r="T40733"/>
      <c r="U40733"/>
      <c r="X40733" s="60"/>
    </row>
    <row r="40734" spans="7:24" ht="15" customHeight="1">
      <c r="G40734"/>
      <c r="I40734"/>
      <c r="N40734"/>
      <c r="O40734" s="24"/>
      <c r="P40734"/>
      <c r="Q40734" s="24"/>
      <c r="R40734"/>
      <c r="S40734"/>
      <c r="T40734"/>
      <c r="U40734"/>
      <c r="X40734" s="60"/>
    </row>
    <row r="40735" spans="7:24" ht="15" customHeight="1">
      <c r="G40735"/>
      <c r="I40735"/>
      <c r="N40735"/>
      <c r="O40735" s="24"/>
      <c r="P40735"/>
      <c r="Q40735" s="24"/>
      <c r="R40735"/>
      <c r="S40735"/>
      <c r="T40735"/>
      <c r="U40735"/>
      <c r="X40735" s="60"/>
    </row>
    <row r="40736" spans="7:24" ht="15" customHeight="1">
      <c r="G40736"/>
      <c r="I40736"/>
      <c r="N40736"/>
      <c r="O40736" s="24"/>
      <c r="P40736"/>
      <c r="Q40736" s="24"/>
      <c r="R40736"/>
      <c r="S40736"/>
      <c r="T40736"/>
      <c r="U40736"/>
      <c r="X40736" s="60"/>
    </row>
    <row r="40737" spans="7:24" ht="15" customHeight="1">
      <c r="G40737"/>
      <c r="I40737"/>
      <c r="N40737"/>
      <c r="O40737" s="24"/>
      <c r="P40737"/>
      <c r="Q40737" s="24"/>
      <c r="R40737"/>
      <c r="S40737"/>
      <c r="T40737"/>
      <c r="U40737"/>
      <c r="X40737" s="60"/>
    </row>
    <row r="40738" spans="7:24" ht="15" customHeight="1">
      <c r="G40738"/>
      <c r="I40738"/>
      <c r="N40738"/>
      <c r="O40738" s="24"/>
      <c r="P40738"/>
      <c r="Q40738" s="24"/>
      <c r="R40738"/>
      <c r="S40738"/>
      <c r="T40738"/>
      <c r="U40738"/>
      <c r="X40738" s="60"/>
    </row>
    <row r="40739" spans="7:24" ht="15" customHeight="1">
      <c r="G40739"/>
      <c r="I40739"/>
      <c r="N40739"/>
      <c r="O40739" s="24"/>
      <c r="P40739"/>
      <c r="Q40739" s="24"/>
      <c r="R40739"/>
      <c r="S40739"/>
      <c r="T40739"/>
      <c r="U40739"/>
      <c r="X40739" s="60"/>
    </row>
    <row r="40740" spans="7:24" ht="15" customHeight="1">
      <c r="G40740"/>
      <c r="I40740"/>
      <c r="N40740"/>
      <c r="O40740" s="24"/>
      <c r="P40740"/>
      <c r="Q40740" s="24"/>
      <c r="R40740"/>
      <c r="S40740"/>
      <c r="T40740"/>
      <c r="U40740"/>
      <c r="X40740" s="60"/>
    </row>
    <row r="40741" spans="7:24" ht="15" customHeight="1">
      <c r="G40741"/>
      <c r="I40741"/>
      <c r="N40741"/>
      <c r="O40741" s="24"/>
      <c r="P40741"/>
      <c r="Q40741" s="24"/>
      <c r="R40741"/>
      <c r="S40741"/>
      <c r="T40741"/>
      <c r="U40741"/>
      <c r="X40741" s="60"/>
    </row>
    <row r="40742" spans="7:24" ht="15" customHeight="1">
      <c r="G40742"/>
      <c r="I40742"/>
      <c r="N40742"/>
      <c r="O40742" s="24"/>
      <c r="P40742"/>
      <c r="Q40742" s="24"/>
      <c r="R40742"/>
      <c r="S40742"/>
      <c r="T40742"/>
      <c r="U40742"/>
      <c r="X40742" s="60"/>
    </row>
    <row r="40743" spans="7:24" ht="15" customHeight="1">
      <c r="G40743"/>
      <c r="I40743"/>
      <c r="N40743"/>
      <c r="O40743" s="24"/>
      <c r="P40743"/>
      <c r="Q40743" s="24"/>
      <c r="R40743"/>
      <c r="S40743"/>
      <c r="T40743"/>
      <c r="U40743"/>
      <c r="X40743" s="60"/>
    </row>
    <row r="40744" spans="7:24" ht="15" customHeight="1">
      <c r="G40744"/>
      <c r="I40744"/>
      <c r="N40744"/>
      <c r="O40744" s="24"/>
      <c r="P40744"/>
      <c r="Q40744" s="24"/>
      <c r="R40744"/>
      <c r="S40744"/>
      <c r="T40744"/>
      <c r="U40744"/>
      <c r="X40744" s="60"/>
    </row>
    <row r="40745" spans="7:24" ht="15" customHeight="1">
      <c r="G40745"/>
      <c r="I40745"/>
      <c r="N40745"/>
      <c r="O40745" s="24"/>
      <c r="P40745"/>
      <c r="Q40745" s="24"/>
      <c r="R40745"/>
      <c r="S40745"/>
      <c r="T40745"/>
      <c r="U40745"/>
      <c r="X40745" s="60"/>
    </row>
    <row r="40746" spans="7:24" ht="15" customHeight="1">
      <c r="G40746"/>
      <c r="I40746"/>
      <c r="N40746"/>
      <c r="O40746" s="24"/>
      <c r="P40746"/>
      <c r="Q40746" s="24"/>
      <c r="R40746"/>
      <c r="S40746"/>
      <c r="T40746"/>
      <c r="U40746"/>
      <c r="X40746" s="60"/>
    </row>
    <row r="40747" spans="7:24" ht="15" customHeight="1">
      <c r="G40747"/>
      <c r="I40747"/>
      <c r="N40747"/>
      <c r="O40747" s="24"/>
      <c r="P40747"/>
      <c r="Q40747" s="24"/>
      <c r="R40747"/>
      <c r="S40747"/>
      <c r="T40747"/>
      <c r="U40747"/>
      <c r="X40747" s="60"/>
    </row>
    <row r="40748" spans="7:24" ht="15" customHeight="1">
      <c r="G40748"/>
      <c r="I40748"/>
      <c r="N40748"/>
      <c r="O40748" s="24"/>
      <c r="P40748"/>
      <c r="Q40748" s="24"/>
      <c r="R40748"/>
      <c r="S40748"/>
      <c r="T40748"/>
      <c r="U40748"/>
      <c r="X40748" s="60"/>
    </row>
    <row r="40749" spans="7:24" ht="15" customHeight="1">
      <c r="G40749"/>
      <c r="I40749"/>
      <c r="N40749"/>
      <c r="O40749" s="24"/>
      <c r="P40749"/>
      <c r="Q40749" s="24"/>
      <c r="R40749"/>
      <c r="S40749"/>
      <c r="T40749"/>
      <c r="U40749"/>
      <c r="X40749" s="60"/>
    </row>
    <row r="40750" spans="7:24" ht="15" customHeight="1">
      <c r="G40750"/>
      <c r="I40750"/>
      <c r="N40750"/>
      <c r="O40750" s="24"/>
      <c r="P40750"/>
      <c r="Q40750" s="24"/>
      <c r="R40750"/>
      <c r="S40750"/>
      <c r="T40750"/>
      <c r="U40750"/>
      <c r="X40750" s="60"/>
    </row>
    <row r="40751" spans="7:24" ht="15" customHeight="1">
      <c r="G40751"/>
      <c r="I40751"/>
      <c r="N40751"/>
      <c r="O40751" s="24"/>
      <c r="P40751"/>
      <c r="Q40751" s="24"/>
      <c r="R40751"/>
      <c r="S40751"/>
      <c r="T40751"/>
      <c r="U40751"/>
      <c r="X40751" s="60"/>
    </row>
    <row r="40752" spans="7:24" ht="15" customHeight="1">
      <c r="G40752"/>
      <c r="I40752"/>
      <c r="N40752"/>
      <c r="O40752" s="24"/>
      <c r="P40752"/>
      <c r="Q40752" s="24"/>
      <c r="R40752"/>
      <c r="S40752"/>
      <c r="T40752"/>
      <c r="U40752"/>
      <c r="X40752" s="60"/>
    </row>
    <row r="40753" spans="7:24" ht="15" customHeight="1">
      <c r="G40753"/>
      <c r="I40753"/>
      <c r="N40753"/>
      <c r="O40753" s="24"/>
      <c r="P40753"/>
      <c r="Q40753" s="24"/>
      <c r="R40753"/>
      <c r="S40753"/>
      <c r="T40753"/>
      <c r="U40753"/>
      <c r="X40753" s="60"/>
    </row>
    <row r="40754" spans="7:24" ht="15" customHeight="1">
      <c r="G40754"/>
      <c r="I40754"/>
      <c r="N40754"/>
      <c r="O40754" s="24"/>
      <c r="P40754"/>
      <c r="Q40754" s="24"/>
      <c r="R40754"/>
      <c r="S40754"/>
      <c r="T40754"/>
      <c r="U40754"/>
      <c r="X40754" s="60"/>
    </row>
    <row r="40755" spans="7:24" ht="15" customHeight="1">
      <c r="G40755"/>
      <c r="I40755"/>
      <c r="N40755"/>
      <c r="O40755" s="24"/>
      <c r="P40755"/>
      <c r="Q40755" s="24"/>
      <c r="R40755"/>
      <c r="S40755"/>
      <c r="T40755"/>
      <c r="U40755"/>
      <c r="X40755" s="60"/>
    </row>
    <row r="40756" spans="7:24" ht="15" customHeight="1">
      <c r="G40756"/>
      <c r="I40756"/>
      <c r="N40756"/>
      <c r="O40756" s="24"/>
      <c r="P40756"/>
      <c r="Q40756" s="24"/>
      <c r="R40756"/>
      <c r="S40756"/>
      <c r="T40756"/>
      <c r="U40756"/>
      <c r="X40756" s="60"/>
    </row>
    <row r="40757" spans="7:24" ht="15" customHeight="1">
      <c r="G40757"/>
      <c r="I40757"/>
      <c r="N40757"/>
      <c r="O40757" s="24"/>
      <c r="P40757"/>
      <c r="Q40757" s="24"/>
      <c r="R40757"/>
      <c r="S40757"/>
      <c r="T40757"/>
      <c r="U40757"/>
      <c r="X40757" s="60"/>
    </row>
    <row r="40758" spans="7:24" ht="15" customHeight="1">
      <c r="G40758"/>
      <c r="I40758"/>
      <c r="N40758"/>
      <c r="O40758" s="24"/>
      <c r="P40758"/>
      <c r="Q40758" s="24"/>
      <c r="R40758"/>
      <c r="S40758"/>
      <c r="T40758"/>
      <c r="U40758"/>
      <c r="X40758" s="60"/>
    </row>
    <row r="40759" spans="7:24" ht="15" customHeight="1">
      <c r="G40759"/>
      <c r="I40759"/>
      <c r="N40759"/>
      <c r="O40759" s="24"/>
      <c r="P40759"/>
      <c r="Q40759" s="24"/>
      <c r="R40759"/>
      <c r="S40759"/>
      <c r="T40759"/>
      <c r="U40759"/>
      <c r="X40759" s="60"/>
    </row>
    <row r="40760" spans="7:24" ht="15" customHeight="1">
      <c r="G40760"/>
      <c r="I40760"/>
      <c r="N40760"/>
      <c r="O40760" s="24"/>
      <c r="P40760"/>
      <c r="Q40760" s="24"/>
      <c r="R40760"/>
      <c r="S40760"/>
      <c r="T40760"/>
      <c r="U40760"/>
      <c r="X40760" s="60"/>
    </row>
    <row r="40761" spans="7:24" ht="15" customHeight="1">
      <c r="G40761"/>
      <c r="I40761"/>
      <c r="N40761"/>
      <c r="O40761" s="24"/>
      <c r="P40761"/>
      <c r="Q40761" s="24"/>
      <c r="R40761"/>
      <c r="S40761"/>
      <c r="T40761"/>
      <c r="U40761"/>
      <c r="X40761" s="60"/>
    </row>
    <row r="40762" spans="7:24" ht="15" customHeight="1">
      <c r="G40762"/>
      <c r="I40762"/>
      <c r="N40762"/>
      <c r="O40762" s="24"/>
      <c r="P40762"/>
      <c r="Q40762" s="24"/>
      <c r="R40762"/>
      <c r="S40762"/>
      <c r="T40762"/>
      <c r="U40762"/>
      <c r="X40762" s="60"/>
    </row>
    <row r="40763" spans="7:24" ht="15" customHeight="1">
      <c r="G40763"/>
      <c r="I40763"/>
      <c r="N40763"/>
      <c r="O40763" s="24"/>
      <c r="P40763"/>
      <c r="Q40763" s="24"/>
      <c r="R40763"/>
      <c r="S40763"/>
      <c r="T40763"/>
      <c r="U40763"/>
      <c r="X40763" s="60"/>
    </row>
    <row r="40764" spans="7:24" ht="15" customHeight="1">
      <c r="G40764"/>
      <c r="I40764"/>
      <c r="N40764"/>
      <c r="O40764" s="24"/>
      <c r="P40764"/>
      <c r="Q40764" s="24"/>
      <c r="R40764"/>
      <c r="S40764"/>
      <c r="T40764"/>
      <c r="U40764"/>
      <c r="X40764" s="60"/>
    </row>
    <row r="40765" spans="7:24" ht="15" customHeight="1">
      <c r="G40765"/>
      <c r="I40765"/>
      <c r="N40765"/>
      <c r="O40765" s="24"/>
      <c r="P40765"/>
      <c r="Q40765" s="24"/>
      <c r="R40765"/>
      <c r="S40765"/>
      <c r="T40765"/>
      <c r="U40765"/>
      <c r="X40765" s="60"/>
    </row>
    <row r="40766" spans="7:24" ht="15" customHeight="1">
      <c r="G40766"/>
      <c r="I40766"/>
      <c r="N40766"/>
      <c r="O40766" s="24"/>
      <c r="P40766"/>
      <c r="Q40766" s="24"/>
      <c r="R40766"/>
      <c r="S40766"/>
      <c r="T40766"/>
      <c r="U40766"/>
      <c r="X40766" s="60"/>
    </row>
    <row r="40767" spans="7:24" ht="15" customHeight="1">
      <c r="G40767"/>
      <c r="I40767"/>
      <c r="N40767"/>
      <c r="O40767" s="24"/>
      <c r="P40767"/>
      <c r="Q40767" s="24"/>
      <c r="R40767"/>
      <c r="S40767"/>
      <c r="T40767"/>
      <c r="U40767"/>
      <c r="X40767" s="60"/>
    </row>
    <row r="40768" spans="7:24" ht="15" customHeight="1">
      <c r="G40768"/>
      <c r="I40768"/>
      <c r="N40768"/>
      <c r="O40768" s="24"/>
      <c r="P40768"/>
      <c r="Q40768" s="24"/>
      <c r="R40768"/>
      <c r="S40768"/>
      <c r="T40768"/>
      <c r="U40768"/>
      <c r="X40768" s="60"/>
    </row>
    <row r="40769" spans="7:24" ht="15" customHeight="1">
      <c r="G40769"/>
      <c r="I40769"/>
      <c r="N40769"/>
      <c r="O40769" s="24"/>
      <c r="P40769"/>
      <c r="Q40769" s="24"/>
      <c r="R40769"/>
      <c r="S40769"/>
      <c r="T40769"/>
      <c r="U40769"/>
      <c r="X40769" s="60"/>
    </row>
    <row r="40770" spans="7:24" ht="15" customHeight="1">
      <c r="G40770"/>
      <c r="I40770"/>
      <c r="N40770"/>
      <c r="O40770" s="24"/>
      <c r="P40770"/>
      <c r="Q40770" s="24"/>
      <c r="R40770"/>
      <c r="S40770"/>
      <c r="T40770"/>
      <c r="U40770"/>
      <c r="X40770" s="60"/>
    </row>
    <row r="40771" spans="7:24" ht="15" customHeight="1">
      <c r="G40771"/>
      <c r="I40771"/>
      <c r="N40771"/>
      <c r="O40771" s="24"/>
      <c r="P40771"/>
      <c r="Q40771" s="24"/>
      <c r="R40771"/>
      <c r="S40771"/>
      <c r="T40771"/>
      <c r="U40771"/>
      <c r="X40771" s="60"/>
    </row>
    <row r="40772" spans="7:24" ht="15" customHeight="1">
      <c r="G40772"/>
      <c r="I40772"/>
      <c r="N40772"/>
      <c r="O40772" s="24"/>
      <c r="P40772"/>
      <c r="Q40772" s="24"/>
      <c r="R40772"/>
      <c r="S40772"/>
      <c r="T40772"/>
      <c r="U40772"/>
      <c r="X40772" s="60"/>
    </row>
    <row r="40773" spans="7:24" ht="15" customHeight="1">
      <c r="G40773"/>
      <c r="I40773"/>
      <c r="N40773"/>
      <c r="O40773" s="24"/>
      <c r="P40773"/>
      <c r="Q40773" s="24"/>
      <c r="R40773"/>
      <c r="S40773"/>
      <c r="T40773"/>
      <c r="U40773"/>
      <c r="X40773" s="60"/>
    </row>
    <row r="40774" spans="7:24" ht="15" customHeight="1">
      <c r="G40774"/>
      <c r="I40774"/>
      <c r="N40774"/>
      <c r="O40774" s="24"/>
      <c r="P40774"/>
      <c r="Q40774" s="24"/>
      <c r="R40774"/>
      <c r="S40774"/>
      <c r="T40774"/>
      <c r="U40774"/>
      <c r="X40774" s="60"/>
    </row>
    <row r="40775" spans="7:24" ht="15" customHeight="1">
      <c r="G40775"/>
      <c r="I40775"/>
      <c r="N40775"/>
      <c r="O40775" s="24"/>
      <c r="P40775"/>
      <c r="Q40775" s="24"/>
      <c r="R40775"/>
      <c r="S40775"/>
      <c r="T40775"/>
      <c r="U40775"/>
      <c r="X40775" s="60"/>
    </row>
    <row r="40776" spans="7:24" ht="15" customHeight="1">
      <c r="G40776"/>
      <c r="I40776"/>
      <c r="N40776"/>
      <c r="O40776" s="24"/>
      <c r="P40776"/>
      <c r="Q40776" s="24"/>
      <c r="R40776"/>
      <c r="S40776"/>
      <c r="T40776"/>
      <c r="U40776"/>
      <c r="X40776" s="60"/>
    </row>
    <row r="40777" spans="7:24" ht="15" customHeight="1">
      <c r="G40777"/>
      <c r="I40777"/>
      <c r="N40777"/>
      <c r="O40777" s="24"/>
      <c r="P40777"/>
      <c r="Q40777" s="24"/>
      <c r="R40777"/>
      <c r="S40777"/>
      <c r="T40777"/>
      <c r="U40777"/>
      <c r="X40777" s="60"/>
    </row>
    <row r="40778" spans="7:24" ht="15" customHeight="1">
      <c r="G40778"/>
      <c r="I40778"/>
      <c r="N40778"/>
      <c r="O40778" s="24"/>
      <c r="P40778"/>
      <c r="Q40778" s="24"/>
      <c r="R40778"/>
      <c r="S40778"/>
      <c r="T40778"/>
      <c r="U40778"/>
      <c r="X40778" s="60"/>
    </row>
    <row r="40779" spans="7:24" ht="15" customHeight="1">
      <c r="G40779"/>
      <c r="I40779"/>
      <c r="N40779"/>
      <c r="O40779" s="24"/>
      <c r="P40779"/>
      <c r="Q40779" s="24"/>
      <c r="R40779"/>
      <c r="S40779"/>
      <c r="T40779"/>
      <c r="U40779"/>
      <c r="X40779" s="60"/>
    </row>
    <row r="40780" spans="7:24" ht="15" customHeight="1">
      <c r="G40780"/>
      <c r="I40780"/>
      <c r="N40780"/>
      <c r="O40780" s="24"/>
      <c r="P40780"/>
      <c r="Q40780" s="24"/>
      <c r="R40780"/>
      <c r="S40780"/>
      <c r="T40780"/>
      <c r="U40780"/>
      <c r="X40780" s="60"/>
    </row>
    <row r="40781" spans="7:24" ht="15" customHeight="1">
      <c r="G40781"/>
      <c r="I40781"/>
      <c r="N40781"/>
      <c r="O40781" s="24"/>
      <c r="P40781"/>
      <c r="Q40781" s="24"/>
      <c r="R40781"/>
      <c r="S40781"/>
      <c r="T40781"/>
      <c r="U40781"/>
      <c r="X40781" s="60"/>
    </row>
    <row r="40782" spans="7:24" ht="15" customHeight="1">
      <c r="G40782"/>
      <c r="I40782"/>
      <c r="N40782"/>
      <c r="O40782" s="24"/>
      <c r="P40782"/>
      <c r="Q40782" s="24"/>
      <c r="R40782"/>
      <c r="S40782"/>
      <c r="T40782"/>
      <c r="U40782"/>
      <c r="X40782" s="60"/>
    </row>
    <row r="40783" spans="7:24" ht="15" customHeight="1">
      <c r="G40783"/>
      <c r="I40783"/>
      <c r="N40783"/>
      <c r="O40783" s="24"/>
      <c r="P40783"/>
      <c r="Q40783" s="24"/>
      <c r="R40783"/>
      <c r="S40783"/>
      <c r="T40783"/>
      <c r="U40783"/>
      <c r="X40783" s="60"/>
    </row>
    <row r="40784" spans="7:24" ht="15" customHeight="1">
      <c r="G40784"/>
      <c r="I40784"/>
      <c r="N40784"/>
      <c r="O40784" s="24"/>
      <c r="P40784"/>
      <c r="Q40784" s="24"/>
      <c r="R40784"/>
      <c r="S40784"/>
      <c r="T40784"/>
      <c r="U40784"/>
      <c r="X40784" s="60"/>
    </row>
    <row r="40785" spans="7:24" ht="15" customHeight="1">
      <c r="G40785"/>
      <c r="I40785"/>
      <c r="N40785"/>
      <c r="O40785" s="24"/>
      <c r="P40785"/>
      <c r="Q40785" s="24"/>
      <c r="R40785"/>
      <c r="S40785"/>
      <c r="T40785"/>
      <c r="U40785"/>
      <c r="X40785" s="60"/>
    </row>
    <row r="40786" spans="7:24" ht="15" customHeight="1">
      <c r="G40786"/>
      <c r="I40786"/>
      <c r="N40786"/>
      <c r="O40786" s="24"/>
      <c r="P40786"/>
      <c r="Q40786" s="24"/>
      <c r="R40786"/>
      <c r="S40786"/>
      <c r="T40786"/>
      <c r="U40786"/>
      <c r="X40786" s="60"/>
    </row>
    <row r="40787" spans="7:24" ht="15" customHeight="1">
      <c r="G40787"/>
      <c r="I40787"/>
      <c r="N40787"/>
      <c r="O40787" s="24"/>
      <c r="P40787"/>
      <c r="Q40787" s="24"/>
      <c r="R40787"/>
      <c r="S40787"/>
      <c r="T40787"/>
      <c r="U40787"/>
      <c r="X40787" s="60"/>
    </row>
    <row r="40788" spans="7:24" ht="15" customHeight="1">
      <c r="G40788"/>
      <c r="I40788"/>
      <c r="N40788"/>
      <c r="O40788" s="24"/>
      <c r="P40788"/>
      <c r="Q40788" s="24"/>
      <c r="R40788"/>
      <c r="S40788"/>
      <c r="T40788"/>
      <c r="U40788"/>
      <c r="X40788" s="60"/>
    </row>
    <row r="40789" spans="7:24" ht="15" customHeight="1">
      <c r="G40789"/>
      <c r="I40789"/>
      <c r="N40789"/>
      <c r="O40789" s="24"/>
      <c r="P40789"/>
      <c r="Q40789" s="24"/>
      <c r="R40789"/>
      <c r="S40789"/>
      <c r="T40789"/>
      <c r="U40789"/>
      <c r="X40789" s="60"/>
    </row>
    <row r="40790" spans="7:24" ht="15" customHeight="1">
      <c r="G40790"/>
      <c r="I40790"/>
      <c r="N40790"/>
      <c r="O40790" s="24"/>
      <c r="P40790"/>
      <c r="Q40790" s="24"/>
      <c r="R40790"/>
      <c r="S40790"/>
      <c r="T40790"/>
      <c r="U40790"/>
      <c r="X40790" s="60"/>
    </row>
    <row r="40791" spans="7:24" ht="15" customHeight="1">
      <c r="G40791"/>
      <c r="I40791"/>
      <c r="N40791"/>
      <c r="O40791" s="24"/>
      <c r="P40791"/>
      <c r="Q40791" s="24"/>
      <c r="R40791"/>
      <c r="S40791"/>
      <c r="T40791"/>
      <c r="U40791"/>
      <c r="X40791" s="60"/>
    </row>
    <row r="40792" spans="7:24" ht="15" customHeight="1">
      <c r="G40792"/>
      <c r="I40792"/>
      <c r="N40792"/>
      <c r="O40792" s="24"/>
      <c r="P40792"/>
      <c r="Q40792" s="24"/>
      <c r="R40792"/>
      <c r="S40792"/>
      <c r="T40792"/>
      <c r="U40792"/>
      <c r="X40792" s="60"/>
    </row>
    <row r="40793" spans="7:24" ht="15" customHeight="1">
      <c r="G40793"/>
      <c r="I40793"/>
      <c r="N40793"/>
      <c r="O40793" s="24"/>
      <c r="P40793"/>
      <c r="Q40793" s="24"/>
      <c r="R40793"/>
      <c r="S40793"/>
      <c r="T40793"/>
      <c r="U40793"/>
      <c r="X40793" s="60"/>
    </row>
    <row r="40794" spans="7:24" ht="15" customHeight="1">
      <c r="G40794"/>
      <c r="I40794"/>
      <c r="N40794"/>
      <c r="O40794" s="24"/>
      <c r="P40794"/>
      <c r="Q40794" s="24"/>
      <c r="R40794"/>
      <c r="S40794"/>
      <c r="T40794"/>
      <c r="U40794"/>
      <c r="X40794" s="60"/>
    </row>
    <row r="40795" spans="7:24" ht="15" customHeight="1">
      <c r="G40795"/>
      <c r="I40795"/>
      <c r="N40795"/>
      <c r="O40795" s="24"/>
      <c r="P40795"/>
      <c r="Q40795" s="24"/>
      <c r="R40795"/>
      <c r="S40795"/>
      <c r="T40795"/>
      <c r="U40795"/>
      <c r="X40795" s="60"/>
    </row>
    <row r="40796" spans="7:24" ht="15" customHeight="1">
      <c r="G40796"/>
      <c r="I40796"/>
      <c r="N40796"/>
      <c r="O40796" s="24"/>
      <c r="P40796"/>
      <c r="Q40796" s="24"/>
      <c r="R40796"/>
      <c r="S40796"/>
      <c r="T40796"/>
      <c r="U40796"/>
      <c r="X40796" s="60"/>
    </row>
    <row r="40797" spans="7:24" ht="15" customHeight="1">
      <c r="G40797"/>
      <c r="I40797"/>
      <c r="N40797"/>
      <c r="O40797" s="24"/>
      <c r="P40797"/>
      <c r="Q40797" s="24"/>
      <c r="R40797"/>
      <c r="S40797"/>
      <c r="T40797"/>
      <c r="U40797"/>
      <c r="X40797" s="60"/>
    </row>
    <row r="40798" spans="7:24" ht="15" customHeight="1">
      <c r="G40798"/>
      <c r="I40798"/>
      <c r="N40798"/>
      <c r="O40798" s="24"/>
      <c r="P40798"/>
      <c r="Q40798" s="24"/>
      <c r="R40798"/>
      <c r="S40798"/>
      <c r="T40798"/>
      <c r="U40798"/>
      <c r="X40798" s="60"/>
    </row>
    <row r="40799" spans="7:24" ht="15" customHeight="1">
      <c r="G40799"/>
      <c r="I40799"/>
      <c r="N40799"/>
      <c r="O40799" s="24"/>
      <c r="P40799"/>
      <c r="Q40799" s="24"/>
      <c r="R40799"/>
      <c r="S40799"/>
      <c r="T40799"/>
      <c r="U40799"/>
      <c r="X40799" s="60"/>
    </row>
    <row r="40800" spans="7:24" ht="15" customHeight="1">
      <c r="G40800"/>
      <c r="I40800"/>
      <c r="N40800"/>
      <c r="O40800" s="24"/>
      <c r="P40800"/>
      <c r="Q40800" s="24"/>
      <c r="R40800"/>
      <c r="S40800"/>
      <c r="T40800"/>
      <c r="U40800"/>
      <c r="X40800" s="60"/>
    </row>
    <row r="40801" spans="7:24" ht="15" customHeight="1">
      <c r="G40801"/>
      <c r="I40801"/>
      <c r="N40801"/>
      <c r="O40801" s="24"/>
      <c r="P40801"/>
      <c r="Q40801" s="24"/>
      <c r="R40801"/>
      <c r="S40801"/>
      <c r="T40801"/>
      <c r="U40801"/>
      <c r="X40801" s="60"/>
    </row>
    <row r="40802" spans="7:24" ht="15" customHeight="1">
      <c r="G40802"/>
      <c r="I40802"/>
      <c r="N40802"/>
      <c r="O40802" s="24"/>
      <c r="P40802"/>
      <c r="Q40802" s="24"/>
      <c r="R40802"/>
      <c r="S40802"/>
      <c r="T40802"/>
      <c r="U40802"/>
      <c r="X40802" s="60"/>
    </row>
    <row r="40803" spans="7:24" ht="15" customHeight="1">
      <c r="G40803"/>
      <c r="I40803"/>
      <c r="N40803"/>
      <c r="O40803" s="24"/>
      <c r="P40803"/>
      <c r="Q40803" s="24"/>
      <c r="R40803"/>
      <c r="S40803"/>
      <c r="T40803"/>
      <c r="U40803"/>
      <c r="X40803" s="60"/>
    </row>
    <row r="40804" spans="7:24" ht="15" customHeight="1">
      <c r="G40804"/>
      <c r="I40804"/>
      <c r="N40804"/>
      <c r="O40804" s="24"/>
      <c r="P40804"/>
      <c r="Q40804" s="24"/>
      <c r="R40804"/>
      <c r="S40804"/>
      <c r="T40804"/>
      <c r="U40804"/>
      <c r="X40804" s="60"/>
    </row>
    <row r="40805" spans="7:24" ht="15" customHeight="1">
      <c r="G40805"/>
      <c r="I40805"/>
      <c r="N40805"/>
      <c r="O40805" s="24"/>
      <c r="P40805"/>
      <c r="Q40805" s="24"/>
      <c r="R40805"/>
      <c r="S40805"/>
      <c r="T40805"/>
      <c r="U40805"/>
      <c r="X40805" s="60"/>
    </row>
    <row r="40806" spans="7:24" ht="15" customHeight="1">
      <c r="G40806"/>
      <c r="I40806"/>
      <c r="N40806"/>
      <c r="O40806" s="24"/>
      <c r="P40806"/>
      <c r="Q40806" s="24"/>
      <c r="R40806"/>
      <c r="S40806"/>
      <c r="T40806"/>
      <c r="U40806"/>
      <c r="X40806" s="60"/>
    </row>
    <row r="40807" spans="7:24" ht="15" customHeight="1">
      <c r="G40807"/>
      <c r="I40807"/>
      <c r="N40807"/>
      <c r="O40807" s="24"/>
      <c r="P40807"/>
      <c r="Q40807" s="24"/>
      <c r="R40807"/>
      <c r="S40807"/>
      <c r="T40807"/>
      <c r="U40807"/>
      <c r="X40807" s="60"/>
    </row>
    <row r="40808" spans="7:24" ht="15" customHeight="1">
      <c r="G40808"/>
      <c r="I40808"/>
      <c r="N40808"/>
      <c r="O40808" s="24"/>
      <c r="P40808"/>
      <c r="Q40808" s="24"/>
      <c r="R40808"/>
      <c r="S40808"/>
      <c r="T40808"/>
      <c r="U40808"/>
      <c r="X40808" s="60"/>
    </row>
    <row r="40809" spans="7:24" ht="15" customHeight="1">
      <c r="G40809"/>
      <c r="I40809"/>
      <c r="N40809"/>
      <c r="O40809" s="24"/>
      <c r="P40809"/>
      <c r="Q40809" s="24"/>
      <c r="R40809"/>
      <c r="S40809"/>
      <c r="T40809"/>
      <c r="U40809"/>
      <c r="X40809" s="60"/>
    </row>
    <row r="40810" spans="7:24" ht="15" customHeight="1">
      <c r="G40810"/>
      <c r="I40810"/>
      <c r="N40810"/>
      <c r="O40810" s="24"/>
      <c r="P40810"/>
      <c r="Q40810" s="24"/>
      <c r="R40810"/>
      <c r="S40810"/>
      <c r="T40810"/>
      <c r="U40810"/>
      <c r="X40810" s="60"/>
    </row>
    <row r="40811" spans="7:24" ht="15" customHeight="1">
      <c r="G40811"/>
      <c r="I40811"/>
      <c r="N40811"/>
      <c r="O40811" s="24"/>
      <c r="P40811"/>
      <c r="Q40811" s="24"/>
      <c r="R40811"/>
      <c r="S40811"/>
      <c r="T40811"/>
      <c r="U40811"/>
      <c r="X40811" s="60"/>
    </row>
    <row r="40812" spans="7:24" ht="15" customHeight="1">
      <c r="G40812"/>
      <c r="I40812"/>
      <c r="N40812"/>
      <c r="O40812" s="24"/>
      <c r="P40812"/>
      <c r="Q40812" s="24"/>
      <c r="R40812"/>
      <c r="S40812"/>
      <c r="T40812"/>
      <c r="U40812"/>
      <c r="X40812" s="60"/>
    </row>
    <row r="40813" spans="7:24" ht="15" customHeight="1">
      <c r="G40813"/>
      <c r="I40813"/>
      <c r="N40813"/>
      <c r="O40813" s="24"/>
      <c r="P40813"/>
      <c r="Q40813" s="24"/>
      <c r="R40813"/>
      <c r="S40813"/>
      <c r="T40813"/>
      <c r="U40813"/>
      <c r="X40813" s="60"/>
    </row>
    <row r="40814" spans="7:24" ht="15" customHeight="1">
      <c r="G40814"/>
      <c r="I40814"/>
      <c r="N40814"/>
      <c r="O40814" s="24"/>
      <c r="P40814"/>
      <c r="Q40814" s="24"/>
      <c r="R40814"/>
      <c r="S40814"/>
      <c r="T40814"/>
      <c r="U40814"/>
      <c r="X40814" s="60"/>
    </row>
    <row r="40815" spans="7:24" ht="15" customHeight="1">
      <c r="G40815"/>
      <c r="I40815"/>
      <c r="N40815"/>
      <c r="O40815" s="24"/>
      <c r="P40815"/>
      <c r="Q40815" s="24"/>
      <c r="R40815"/>
      <c r="S40815"/>
      <c r="T40815"/>
      <c r="U40815"/>
      <c r="X40815" s="60"/>
    </row>
    <row r="40816" spans="7:24" ht="15" customHeight="1">
      <c r="G40816"/>
      <c r="I40816"/>
      <c r="N40816"/>
      <c r="O40816" s="24"/>
      <c r="P40816"/>
      <c r="Q40816" s="24"/>
      <c r="R40816"/>
      <c r="S40816"/>
      <c r="T40816"/>
      <c r="U40816"/>
      <c r="X40816" s="60"/>
    </row>
    <row r="40817" spans="7:24" ht="15" customHeight="1">
      <c r="G40817"/>
      <c r="I40817"/>
      <c r="N40817"/>
      <c r="O40817" s="24"/>
      <c r="P40817"/>
      <c r="Q40817" s="24"/>
      <c r="R40817"/>
      <c r="S40817"/>
      <c r="T40817"/>
      <c r="U40817"/>
      <c r="X40817" s="60"/>
    </row>
    <row r="40818" spans="7:24" ht="15" customHeight="1">
      <c r="G40818"/>
      <c r="I40818"/>
      <c r="N40818"/>
      <c r="O40818" s="24"/>
      <c r="P40818"/>
      <c r="Q40818" s="24"/>
      <c r="R40818"/>
      <c r="S40818"/>
      <c r="T40818"/>
      <c r="U40818"/>
      <c r="X40818" s="60"/>
    </row>
    <row r="40819" spans="7:24" ht="15" customHeight="1">
      <c r="G40819"/>
      <c r="I40819"/>
      <c r="N40819"/>
      <c r="O40819" s="24"/>
      <c r="P40819"/>
      <c r="Q40819" s="24"/>
      <c r="R40819"/>
      <c r="S40819"/>
      <c r="T40819"/>
      <c r="U40819"/>
      <c r="X40819" s="60"/>
    </row>
    <row r="40820" spans="7:24" ht="15" customHeight="1">
      <c r="G40820"/>
      <c r="I40820"/>
      <c r="N40820"/>
      <c r="O40820" s="24"/>
      <c r="P40820"/>
      <c r="Q40820" s="24"/>
      <c r="R40820"/>
      <c r="S40820"/>
      <c r="T40820"/>
      <c r="U40820"/>
      <c r="X40820" s="60"/>
    </row>
    <row r="40821" spans="7:24" ht="15" customHeight="1">
      <c r="G40821"/>
      <c r="I40821"/>
      <c r="N40821"/>
      <c r="O40821" s="24"/>
      <c r="P40821"/>
      <c r="Q40821" s="24"/>
      <c r="R40821"/>
      <c r="S40821"/>
      <c r="T40821"/>
      <c r="U40821"/>
      <c r="X40821" s="60"/>
    </row>
    <row r="40822" spans="7:24" ht="15" customHeight="1">
      <c r="G40822"/>
      <c r="I40822"/>
      <c r="N40822"/>
      <c r="O40822" s="24"/>
      <c r="P40822"/>
      <c r="Q40822" s="24"/>
      <c r="R40822"/>
      <c r="S40822"/>
      <c r="T40822"/>
      <c r="U40822"/>
      <c r="X40822" s="60"/>
    </row>
    <row r="40823" spans="7:24" ht="15" customHeight="1">
      <c r="G40823"/>
      <c r="I40823"/>
      <c r="N40823"/>
      <c r="O40823" s="24"/>
      <c r="P40823"/>
      <c r="Q40823" s="24"/>
      <c r="R40823"/>
      <c r="S40823"/>
      <c r="T40823"/>
      <c r="U40823"/>
      <c r="X40823" s="60"/>
    </row>
    <row r="40824" spans="7:24" ht="15" customHeight="1">
      <c r="G40824"/>
      <c r="I40824"/>
      <c r="N40824"/>
      <c r="O40824" s="24"/>
      <c r="P40824"/>
      <c r="Q40824" s="24"/>
      <c r="R40824"/>
      <c r="S40824"/>
      <c r="T40824"/>
      <c r="U40824"/>
      <c r="X40824" s="60"/>
    </row>
    <row r="40825" spans="7:24" ht="15" customHeight="1">
      <c r="G40825"/>
      <c r="I40825"/>
      <c r="N40825"/>
      <c r="O40825" s="24"/>
      <c r="P40825"/>
      <c r="Q40825" s="24"/>
      <c r="R40825"/>
      <c r="S40825"/>
      <c r="T40825"/>
      <c r="U40825"/>
      <c r="X40825" s="60"/>
    </row>
    <row r="40826" spans="7:24" ht="15" customHeight="1">
      <c r="G40826"/>
      <c r="I40826"/>
      <c r="N40826"/>
      <c r="O40826" s="24"/>
      <c r="P40826"/>
      <c r="Q40826" s="24"/>
      <c r="R40826"/>
      <c r="S40826"/>
      <c r="T40826"/>
      <c r="U40826"/>
      <c r="X40826" s="60"/>
    </row>
    <row r="40827" spans="7:24" ht="15" customHeight="1">
      <c r="G40827"/>
      <c r="I40827"/>
      <c r="N40827"/>
      <c r="O40827" s="24"/>
      <c r="P40827"/>
      <c r="Q40827" s="24"/>
      <c r="R40827"/>
      <c r="S40827"/>
      <c r="T40827"/>
      <c r="U40827"/>
      <c r="X40827" s="60"/>
    </row>
    <row r="40828" spans="7:24" ht="15" customHeight="1">
      <c r="G40828"/>
      <c r="I40828"/>
      <c r="N40828"/>
      <c r="O40828" s="24"/>
      <c r="P40828"/>
      <c r="Q40828" s="24"/>
      <c r="R40828"/>
      <c r="S40828"/>
      <c r="T40828"/>
      <c r="U40828"/>
      <c r="X40828" s="60"/>
    </row>
    <row r="40829" spans="7:24" ht="15" customHeight="1">
      <c r="G40829"/>
      <c r="I40829"/>
      <c r="N40829"/>
      <c r="O40829" s="24"/>
      <c r="P40829"/>
      <c r="Q40829" s="24"/>
      <c r="R40829"/>
      <c r="S40829"/>
      <c r="T40829"/>
      <c r="U40829"/>
      <c r="X40829" s="60"/>
    </row>
    <row r="40830" spans="7:24" ht="15" customHeight="1">
      <c r="G40830"/>
      <c r="I40830"/>
      <c r="N40830"/>
      <c r="O40830" s="24"/>
      <c r="P40830"/>
      <c r="Q40830" s="24"/>
      <c r="R40830"/>
      <c r="S40830"/>
      <c r="T40830"/>
      <c r="U40830"/>
      <c r="X40830" s="60"/>
    </row>
    <row r="40831" spans="7:24" ht="15" customHeight="1">
      <c r="G40831"/>
      <c r="I40831"/>
      <c r="N40831"/>
      <c r="O40831" s="24"/>
      <c r="P40831"/>
      <c r="Q40831" s="24"/>
      <c r="R40831"/>
      <c r="S40831"/>
      <c r="T40831"/>
      <c r="U40831"/>
      <c r="X40831" s="60"/>
    </row>
    <row r="40832" spans="7:24" ht="15" customHeight="1">
      <c r="G40832"/>
      <c r="I40832"/>
      <c r="N40832"/>
      <c r="O40832" s="24"/>
      <c r="P40832"/>
      <c r="Q40832" s="24"/>
      <c r="R40832"/>
      <c r="S40832"/>
      <c r="T40832"/>
      <c r="U40832"/>
      <c r="X40832" s="60"/>
    </row>
    <row r="40833" spans="7:24" ht="15" customHeight="1">
      <c r="G40833"/>
      <c r="I40833"/>
      <c r="N40833"/>
      <c r="O40833" s="24"/>
      <c r="P40833"/>
      <c r="Q40833" s="24"/>
      <c r="R40833"/>
      <c r="S40833"/>
      <c r="T40833"/>
      <c r="U40833"/>
      <c r="X40833" s="60"/>
    </row>
    <row r="40834" spans="7:24" ht="15" customHeight="1">
      <c r="G40834"/>
      <c r="I40834"/>
      <c r="N40834"/>
      <c r="O40834" s="24"/>
      <c r="P40834"/>
      <c r="Q40834" s="24"/>
      <c r="R40834"/>
      <c r="S40834"/>
      <c r="T40834"/>
      <c r="U40834"/>
      <c r="X40834" s="60"/>
    </row>
    <row r="40835" spans="7:24" ht="15" customHeight="1">
      <c r="G40835"/>
      <c r="I40835"/>
      <c r="N40835"/>
      <c r="O40835" s="24"/>
      <c r="P40835"/>
      <c r="Q40835" s="24"/>
      <c r="R40835"/>
      <c r="S40835"/>
      <c r="T40835"/>
      <c r="U40835"/>
      <c r="X40835" s="60"/>
    </row>
    <row r="40836" spans="7:24" ht="15" customHeight="1">
      <c r="G40836"/>
      <c r="I40836"/>
      <c r="N40836"/>
      <c r="O40836" s="24"/>
      <c r="P40836"/>
      <c r="Q40836" s="24"/>
      <c r="R40836"/>
      <c r="S40836"/>
      <c r="T40836"/>
      <c r="U40836"/>
      <c r="X40836" s="60"/>
    </row>
    <row r="40837" spans="7:24" ht="15" customHeight="1">
      <c r="G40837"/>
      <c r="I40837"/>
      <c r="N40837"/>
      <c r="O40837" s="24"/>
      <c r="P40837"/>
      <c r="Q40837" s="24"/>
      <c r="R40837"/>
      <c r="S40837"/>
      <c r="T40837"/>
      <c r="U40837"/>
      <c r="X40837" s="60"/>
    </row>
    <row r="40838" spans="7:24" ht="15" customHeight="1">
      <c r="G40838"/>
      <c r="I40838"/>
      <c r="N40838"/>
      <c r="O40838" s="24"/>
      <c r="P40838"/>
      <c r="Q40838" s="24"/>
      <c r="R40838"/>
      <c r="S40838"/>
      <c r="T40838"/>
      <c r="U40838"/>
      <c r="X40838" s="60"/>
    </row>
    <row r="40839" spans="7:24" ht="15" customHeight="1">
      <c r="G40839"/>
      <c r="I40839"/>
      <c r="N40839"/>
      <c r="O40839" s="24"/>
      <c r="P40839"/>
      <c r="Q40839" s="24"/>
      <c r="R40839"/>
      <c r="S40839"/>
      <c r="T40839"/>
      <c r="U40839"/>
      <c r="X40839" s="60"/>
    </row>
    <row r="40840" spans="7:24" ht="15" customHeight="1">
      <c r="G40840"/>
      <c r="I40840"/>
      <c r="N40840"/>
      <c r="O40840" s="24"/>
      <c r="P40840"/>
      <c r="Q40840" s="24"/>
      <c r="R40840"/>
      <c r="S40840"/>
      <c r="T40840"/>
      <c r="U40840"/>
      <c r="X40840" s="60"/>
    </row>
    <row r="40841" spans="7:24" ht="15" customHeight="1">
      <c r="G40841"/>
      <c r="I40841"/>
      <c r="N40841"/>
      <c r="O40841" s="24"/>
      <c r="P40841"/>
      <c r="Q40841" s="24"/>
      <c r="R40841"/>
      <c r="S40841"/>
      <c r="T40841"/>
      <c r="U40841"/>
      <c r="X40841" s="60"/>
    </row>
    <row r="40842" spans="7:24" ht="15" customHeight="1">
      <c r="G40842"/>
      <c r="I40842"/>
      <c r="N40842"/>
      <c r="O40842" s="24"/>
      <c r="P40842"/>
      <c r="Q40842" s="24"/>
      <c r="R40842"/>
      <c r="S40842"/>
      <c r="T40842"/>
      <c r="U40842"/>
      <c r="X40842" s="60"/>
    </row>
    <row r="40843" spans="7:24" ht="15" customHeight="1">
      <c r="G40843"/>
      <c r="I40843"/>
      <c r="N40843"/>
      <c r="O40843" s="24"/>
      <c r="P40843"/>
      <c r="Q40843" s="24"/>
      <c r="R40843"/>
      <c r="S40843"/>
      <c r="T40843"/>
      <c r="U40843"/>
      <c r="X40843" s="60"/>
    </row>
    <row r="40844" spans="7:24" ht="15" customHeight="1">
      <c r="G40844"/>
      <c r="I40844"/>
      <c r="N40844"/>
      <c r="O40844" s="24"/>
      <c r="P40844"/>
      <c r="Q40844" s="24"/>
      <c r="R40844"/>
      <c r="S40844"/>
      <c r="T40844"/>
      <c r="U40844"/>
      <c r="X40844" s="60"/>
    </row>
    <row r="40845" spans="7:24" ht="15" customHeight="1">
      <c r="G40845"/>
      <c r="I40845"/>
      <c r="N40845"/>
      <c r="O40845" s="24"/>
      <c r="P40845"/>
      <c r="Q40845" s="24"/>
      <c r="R40845"/>
      <c r="S40845"/>
      <c r="T40845"/>
      <c r="U40845"/>
      <c r="X40845" s="60"/>
    </row>
    <row r="40846" spans="7:24" ht="15" customHeight="1">
      <c r="G40846"/>
      <c r="I40846"/>
      <c r="N40846"/>
      <c r="O40846" s="24"/>
      <c r="P40846"/>
      <c r="Q40846" s="24"/>
      <c r="R40846"/>
      <c r="S40846"/>
      <c r="T40846"/>
      <c r="U40846"/>
      <c r="X40846" s="60"/>
    </row>
    <row r="40847" spans="7:24" ht="15" customHeight="1">
      <c r="G40847"/>
      <c r="I40847"/>
      <c r="N40847"/>
      <c r="O40847" s="24"/>
      <c r="P40847"/>
      <c r="Q40847" s="24"/>
      <c r="R40847"/>
      <c r="S40847"/>
      <c r="T40847"/>
      <c r="U40847"/>
      <c r="X40847" s="60"/>
    </row>
    <row r="40848" spans="7:24" ht="15" customHeight="1">
      <c r="G40848"/>
      <c r="I40848"/>
      <c r="N40848"/>
      <c r="O40848" s="24"/>
      <c r="P40848"/>
      <c r="Q40848" s="24"/>
      <c r="R40848"/>
      <c r="S40848"/>
      <c r="T40848"/>
      <c r="U40848"/>
      <c r="X40848" s="60"/>
    </row>
    <row r="40849" spans="7:24" ht="15" customHeight="1">
      <c r="G40849"/>
      <c r="I40849"/>
      <c r="N40849"/>
      <c r="O40849" s="24"/>
      <c r="P40849"/>
      <c r="Q40849" s="24"/>
      <c r="R40849"/>
      <c r="S40849"/>
      <c r="T40849"/>
      <c r="U40849"/>
      <c r="X40849" s="60"/>
    </row>
    <row r="40850" spans="7:24" ht="15" customHeight="1">
      <c r="G40850"/>
      <c r="I40850"/>
      <c r="N40850"/>
      <c r="O40850" s="24"/>
      <c r="P40850"/>
      <c r="Q40850" s="24"/>
      <c r="R40850"/>
      <c r="S40850"/>
      <c r="T40850"/>
      <c r="U40850"/>
      <c r="X40850" s="60"/>
    </row>
    <row r="40851" spans="7:24" ht="15" customHeight="1">
      <c r="G40851"/>
      <c r="I40851"/>
      <c r="N40851"/>
      <c r="O40851" s="24"/>
      <c r="P40851"/>
      <c r="Q40851" s="24"/>
      <c r="R40851"/>
      <c r="S40851"/>
      <c r="T40851"/>
      <c r="U40851"/>
      <c r="X40851" s="60"/>
    </row>
    <row r="40852" spans="7:24" ht="15" customHeight="1">
      <c r="G40852"/>
      <c r="I40852"/>
      <c r="N40852"/>
      <c r="O40852" s="24"/>
      <c r="P40852"/>
      <c r="Q40852" s="24"/>
      <c r="R40852"/>
      <c r="S40852"/>
      <c r="T40852"/>
      <c r="U40852"/>
      <c r="X40852" s="60"/>
    </row>
    <row r="40853" spans="7:24" ht="15" customHeight="1">
      <c r="G40853"/>
      <c r="I40853"/>
      <c r="N40853"/>
      <c r="O40853" s="24"/>
      <c r="P40853"/>
      <c r="Q40853" s="24"/>
      <c r="R40853"/>
      <c r="S40853"/>
      <c r="T40853"/>
      <c r="U40853"/>
      <c r="X40853" s="60"/>
    </row>
    <row r="40854" spans="7:24" ht="15" customHeight="1">
      <c r="G40854"/>
      <c r="I40854"/>
      <c r="N40854"/>
      <c r="O40854" s="24"/>
      <c r="P40854"/>
      <c r="Q40854" s="24"/>
      <c r="R40854"/>
      <c r="S40854"/>
      <c r="T40854"/>
      <c r="U40854"/>
      <c r="X40854" s="60"/>
    </row>
    <row r="40855" spans="7:24" ht="15" customHeight="1">
      <c r="G40855"/>
      <c r="I40855"/>
      <c r="N40855"/>
      <c r="O40855" s="24"/>
      <c r="P40855"/>
      <c r="Q40855" s="24"/>
      <c r="R40855"/>
      <c r="S40855"/>
      <c r="T40855"/>
      <c r="U40855"/>
      <c r="X40855" s="60"/>
    </row>
    <row r="40856" spans="7:24" ht="15" customHeight="1">
      <c r="G40856"/>
      <c r="I40856"/>
      <c r="N40856"/>
      <c r="O40856" s="24"/>
      <c r="P40856"/>
      <c r="Q40856" s="24"/>
      <c r="R40856"/>
      <c r="S40856"/>
      <c r="T40856"/>
      <c r="U40856"/>
      <c r="X40856" s="60"/>
    </row>
    <row r="40857" spans="7:24" ht="15" customHeight="1">
      <c r="G40857"/>
      <c r="I40857"/>
      <c r="N40857"/>
      <c r="O40857" s="24"/>
      <c r="P40857"/>
      <c r="Q40857" s="24"/>
      <c r="R40857"/>
      <c r="S40857"/>
      <c r="T40857"/>
      <c r="U40857"/>
      <c r="X40857" s="60"/>
    </row>
    <row r="40858" spans="7:24" ht="15" customHeight="1">
      <c r="G40858"/>
      <c r="I40858"/>
      <c r="N40858"/>
      <c r="O40858" s="24"/>
      <c r="P40858"/>
      <c r="Q40858" s="24"/>
      <c r="R40858"/>
      <c r="S40858"/>
      <c r="T40858"/>
      <c r="U40858"/>
      <c r="X40858" s="60"/>
    </row>
    <row r="40859" spans="7:24" ht="15" customHeight="1">
      <c r="G40859"/>
      <c r="I40859"/>
      <c r="N40859"/>
      <c r="O40859" s="24"/>
      <c r="P40859"/>
      <c r="Q40859" s="24"/>
      <c r="R40859"/>
      <c r="S40859"/>
      <c r="T40859"/>
      <c r="U40859"/>
      <c r="X40859" s="60"/>
    </row>
    <row r="40860" spans="7:24" ht="15" customHeight="1">
      <c r="G40860"/>
      <c r="I40860"/>
      <c r="N40860"/>
      <c r="O40860" s="24"/>
      <c r="P40860"/>
      <c r="Q40860" s="24"/>
      <c r="R40860"/>
      <c r="S40860"/>
      <c r="T40860"/>
      <c r="U40860"/>
      <c r="X40860" s="60"/>
    </row>
    <row r="40861" spans="7:24" ht="15" customHeight="1">
      <c r="G40861"/>
      <c r="I40861"/>
      <c r="N40861"/>
      <c r="O40861" s="24"/>
      <c r="P40861"/>
      <c r="Q40861" s="24"/>
      <c r="R40861"/>
      <c r="S40861"/>
      <c r="T40861"/>
      <c r="U40861"/>
      <c r="X40861" s="60"/>
    </row>
    <row r="40862" spans="7:24" ht="15" customHeight="1">
      <c r="G40862"/>
      <c r="I40862"/>
      <c r="N40862"/>
      <c r="O40862" s="24"/>
      <c r="P40862"/>
      <c r="Q40862" s="24"/>
      <c r="R40862"/>
      <c r="S40862"/>
      <c r="T40862"/>
      <c r="U40862"/>
      <c r="X40862" s="60"/>
    </row>
    <row r="40863" spans="7:24" ht="15" customHeight="1">
      <c r="G40863"/>
      <c r="I40863"/>
      <c r="N40863"/>
      <c r="O40863" s="24"/>
      <c r="P40863"/>
      <c r="Q40863" s="24"/>
      <c r="R40863"/>
      <c r="S40863"/>
      <c r="T40863"/>
      <c r="U40863"/>
      <c r="X40863" s="60"/>
    </row>
    <row r="40864" spans="7:24" ht="15" customHeight="1">
      <c r="G40864"/>
      <c r="I40864"/>
      <c r="N40864"/>
      <c r="O40864" s="24"/>
      <c r="P40864"/>
      <c r="Q40864" s="24"/>
      <c r="R40864"/>
      <c r="S40864"/>
      <c r="T40864"/>
      <c r="U40864"/>
      <c r="X40864" s="60"/>
    </row>
    <row r="40865" spans="7:24" ht="15" customHeight="1">
      <c r="G40865"/>
      <c r="I40865"/>
      <c r="N40865"/>
      <c r="O40865" s="24"/>
      <c r="P40865"/>
      <c r="Q40865" s="24"/>
      <c r="R40865"/>
      <c r="S40865"/>
      <c r="T40865"/>
      <c r="U40865"/>
      <c r="X40865" s="60"/>
    </row>
    <row r="40866" spans="7:24" ht="15" customHeight="1">
      <c r="G40866"/>
      <c r="I40866"/>
      <c r="N40866"/>
      <c r="O40866" s="24"/>
      <c r="P40866"/>
      <c r="Q40866" s="24"/>
      <c r="R40866"/>
      <c r="S40866"/>
      <c r="T40866"/>
      <c r="U40866"/>
      <c r="X40866" s="60"/>
    </row>
    <row r="40867" spans="7:24" ht="15" customHeight="1">
      <c r="G40867"/>
      <c r="I40867"/>
      <c r="N40867"/>
      <c r="O40867" s="24"/>
      <c r="P40867"/>
      <c r="Q40867" s="24"/>
      <c r="R40867"/>
      <c r="S40867"/>
      <c r="T40867"/>
      <c r="U40867"/>
      <c r="X40867" s="60"/>
    </row>
    <row r="40868" spans="7:24" ht="15" customHeight="1">
      <c r="G40868"/>
      <c r="I40868"/>
      <c r="N40868"/>
      <c r="O40868" s="24"/>
      <c r="P40868"/>
      <c r="Q40868" s="24"/>
      <c r="R40868"/>
      <c r="S40868"/>
      <c r="T40868"/>
      <c r="U40868"/>
      <c r="X40868" s="60"/>
    </row>
    <row r="40869" spans="7:24" ht="15" customHeight="1">
      <c r="G40869"/>
      <c r="I40869"/>
      <c r="N40869"/>
      <c r="O40869" s="24"/>
      <c r="P40869"/>
      <c r="Q40869" s="24"/>
      <c r="R40869"/>
      <c r="S40869"/>
      <c r="T40869"/>
      <c r="U40869"/>
      <c r="X40869" s="60"/>
    </row>
    <row r="40870" spans="7:24" ht="15" customHeight="1">
      <c r="G40870"/>
      <c r="I40870"/>
      <c r="N40870"/>
      <c r="O40870" s="24"/>
      <c r="P40870"/>
      <c r="Q40870" s="24"/>
      <c r="R40870"/>
      <c r="S40870"/>
      <c r="T40870"/>
      <c r="U40870"/>
      <c r="X40870" s="60"/>
    </row>
    <row r="40871" spans="7:24" ht="15" customHeight="1">
      <c r="G40871"/>
      <c r="I40871"/>
      <c r="N40871"/>
      <c r="O40871" s="24"/>
      <c r="P40871"/>
      <c r="Q40871" s="24"/>
      <c r="R40871"/>
      <c r="S40871"/>
      <c r="T40871"/>
      <c r="U40871"/>
      <c r="X40871" s="60"/>
    </row>
    <row r="40872" spans="7:24" ht="15" customHeight="1">
      <c r="G40872"/>
      <c r="I40872"/>
      <c r="N40872"/>
      <c r="O40872" s="24"/>
      <c r="P40872"/>
      <c r="Q40872" s="24"/>
      <c r="R40872"/>
      <c r="S40872"/>
      <c r="T40872"/>
      <c r="U40872"/>
      <c r="X40872" s="60"/>
    </row>
    <row r="40873" spans="7:24" ht="15" customHeight="1">
      <c r="G40873"/>
      <c r="I40873"/>
      <c r="N40873"/>
      <c r="O40873" s="24"/>
      <c r="P40873"/>
      <c r="Q40873" s="24"/>
      <c r="R40873"/>
      <c r="S40873"/>
      <c r="T40873"/>
      <c r="U40873"/>
      <c r="X40873" s="60"/>
    </row>
    <row r="40874" spans="7:24" ht="15" customHeight="1">
      <c r="G40874"/>
      <c r="I40874"/>
      <c r="N40874"/>
      <c r="O40874" s="24"/>
      <c r="P40874"/>
      <c r="Q40874" s="24"/>
      <c r="R40874"/>
      <c r="S40874"/>
      <c r="T40874"/>
      <c r="U40874"/>
      <c r="X40874" s="60"/>
    </row>
    <row r="40875" spans="7:24" ht="15" customHeight="1">
      <c r="G40875"/>
      <c r="I40875"/>
      <c r="N40875"/>
      <c r="O40875" s="24"/>
      <c r="P40875"/>
      <c r="Q40875" s="24"/>
      <c r="R40875"/>
      <c r="S40875"/>
      <c r="T40875"/>
      <c r="U40875"/>
      <c r="X40875" s="60"/>
    </row>
    <row r="40876" spans="7:24" ht="15" customHeight="1">
      <c r="G40876"/>
      <c r="I40876"/>
      <c r="N40876"/>
      <c r="O40876" s="24"/>
      <c r="P40876"/>
      <c r="Q40876" s="24"/>
      <c r="R40876"/>
      <c r="S40876"/>
      <c r="T40876"/>
      <c r="U40876"/>
      <c r="X40876" s="60"/>
    </row>
    <row r="40877" spans="7:24" ht="15" customHeight="1">
      <c r="G40877"/>
      <c r="I40877"/>
      <c r="N40877"/>
      <c r="O40877" s="24"/>
      <c r="P40877"/>
      <c r="Q40877" s="24"/>
      <c r="R40877"/>
      <c r="S40877"/>
      <c r="T40877"/>
      <c r="U40877"/>
      <c r="X40877" s="60"/>
    </row>
    <row r="40878" spans="7:24" ht="15" customHeight="1">
      <c r="G40878"/>
      <c r="I40878"/>
      <c r="N40878"/>
      <c r="O40878" s="24"/>
      <c r="P40878"/>
      <c r="Q40878" s="24"/>
      <c r="R40878"/>
      <c r="S40878"/>
      <c r="T40878"/>
      <c r="U40878"/>
      <c r="X40878" s="60"/>
    </row>
    <row r="40879" spans="7:24" ht="15" customHeight="1">
      <c r="G40879"/>
      <c r="I40879"/>
      <c r="N40879"/>
      <c r="O40879" s="24"/>
      <c r="P40879"/>
      <c r="Q40879" s="24"/>
      <c r="R40879"/>
      <c r="S40879"/>
      <c r="T40879"/>
      <c r="U40879"/>
      <c r="X40879" s="60"/>
    </row>
    <row r="40880" spans="7:24" ht="15" customHeight="1">
      <c r="G40880"/>
      <c r="I40880"/>
      <c r="N40880"/>
      <c r="O40880" s="24"/>
      <c r="P40880"/>
      <c r="Q40880" s="24"/>
      <c r="R40880"/>
      <c r="S40880"/>
      <c r="T40880"/>
      <c r="U40880"/>
      <c r="X40880" s="60"/>
    </row>
    <row r="40881" spans="7:24" ht="15" customHeight="1">
      <c r="G40881"/>
      <c r="I40881"/>
      <c r="N40881"/>
      <c r="O40881" s="24"/>
      <c r="P40881"/>
      <c r="Q40881" s="24"/>
      <c r="R40881"/>
      <c r="S40881"/>
      <c r="T40881"/>
      <c r="U40881"/>
      <c r="X40881" s="60"/>
    </row>
    <row r="40882" spans="7:24" ht="15" customHeight="1">
      <c r="G40882"/>
      <c r="I40882"/>
      <c r="N40882"/>
      <c r="O40882" s="24"/>
      <c r="P40882"/>
      <c r="Q40882" s="24"/>
      <c r="R40882"/>
      <c r="S40882"/>
      <c r="T40882"/>
      <c r="U40882"/>
      <c r="X40882" s="60"/>
    </row>
    <row r="40883" spans="7:24" ht="15" customHeight="1">
      <c r="G40883"/>
      <c r="I40883"/>
      <c r="N40883"/>
      <c r="O40883" s="24"/>
      <c r="P40883"/>
      <c r="Q40883" s="24"/>
      <c r="R40883"/>
      <c r="S40883"/>
      <c r="T40883"/>
      <c r="U40883"/>
      <c r="X40883" s="60"/>
    </row>
    <row r="40884" spans="7:24" ht="15" customHeight="1">
      <c r="G40884"/>
      <c r="I40884"/>
      <c r="N40884"/>
      <c r="O40884" s="24"/>
      <c r="P40884"/>
      <c r="Q40884" s="24"/>
      <c r="R40884"/>
      <c r="S40884"/>
      <c r="T40884"/>
      <c r="U40884"/>
      <c r="X40884" s="60"/>
    </row>
    <row r="40885" spans="7:24" ht="15" customHeight="1">
      <c r="G40885"/>
      <c r="I40885"/>
      <c r="N40885"/>
      <c r="O40885" s="24"/>
      <c r="P40885"/>
      <c r="Q40885" s="24"/>
      <c r="R40885"/>
      <c r="S40885"/>
      <c r="T40885"/>
      <c r="U40885"/>
      <c r="X40885" s="60"/>
    </row>
    <row r="40886" spans="7:24" ht="15" customHeight="1">
      <c r="G40886"/>
      <c r="I40886"/>
      <c r="N40886"/>
      <c r="O40886" s="24"/>
      <c r="P40886"/>
      <c r="Q40886" s="24"/>
      <c r="R40886"/>
      <c r="S40886"/>
      <c r="T40886"/>
      <c r="U40886"/>
      <c r="X40886" s="60"/>
    </row>
    <row r="40887" spans="7:24" ht="15" customHeight="1">
      <c r="G40887"/>
      <c r="I40887"/>
      <c r="N40887"/>
      <c r="O40887" s="24"/>
      <c r="P40887"/>
      <c r="Q40887" s="24"/>
      <c r="R40887"/>
      <c r="S40887"/>
      <c r="T40887"/>
      <c r="U40887"/>
      <c r="X40887" s="60"/>
    </row>
    <row r="40888" spans="7:24" ht="15" customHeight="1">
      <c r="G40888"/>
      <c r="I40888"/>
      <c r="N40888"/>
      <c r="O40888" s="24"/>
      <c r="P40888"/>
      <c r="Q40888" s="24"/>
      <c r="R40888"/>
      <c r="S40888"/>
      <c r="T40888"/>
      <c r="U40888"/>
      <c r="X40888" s="60"/>
    </row>
    <row r="40889" spans="7:24" ht="15" customHeight="1">
      <c r="G40889"/>
      <c r="I40889"/>
      <c r="N40889"/>
      <c r="O40889" s="24"/>
      <c r="P40889"/>
      <c r="Q40889" s="24"/>
      <c r="R40889"/>
      <c r="S40889"/>
      <c r="T40889"/>
      <c r="U40889"/>
      <c r="X40889" s="60"/>
    </row>
    <row r="40890" spans="7:24" ht="15" customHeight="1">
      <c r="G40890"/>
      <c r="I40890"/>
      <c r="N40890"/>
      <c r="O40890" s="24"/>
      <c r="P40890"/>
      <c r="Q40890" s="24"/>
      <c r="R40890"/>
      <c r="S40890"/>
      <c r="T40890"/>
      <c r="U40890"/>
      <c r="X40890" s="60"/>
    </row>
    <row r="40891" spans="7:24" ht="15" customHeight="1">
      <c r="G40891"/>
      <c r="I40891"/>
      <c r="N40891"/>
      <c r="O40891" s="24"/>
      <c r="P40891"/>
      <c r="Q40891" s="24"/>
      <c r="R40891"/>
      <c r="S40891"/>
      <c r="T40891"/>
      <c r="U40891"/>
      <c r="X40891" s="60"/>
    </row>
    <row r="40892" spans="7:24" ht="15" customHeight="1">
      <c r="G40892"/>
      <c r="I40892"/>
      <c r="N40892"/>
      <c r="O40892" s="24"/>
      <c r="P40892"/>
      <c r="Q40892" s="24"/>
      <c r="R40892"/>
      <c r="S40892"/>
      <c r="T40892"/>
      <c r="U40892"/>
      <c r="X40892" s="60"/>
    </row>
    <row r="40893" spans="7:24" ht="15" customHeight="1">
      <c r="G40893"/>
      <c r="I40893"/>
      <c r="N40893"/>
      <c r="O40893" s="24"/>
      <c r="P40893"/>
      <c r="Q40893" s="24"/>
      <c r="R40893"/>
      <c r="S40893"/>
      <c r="T40893"/>
      <c r="U40893"/>
      <c r="X40893" s="60"/>
    </row>
    <row r="40894" spans="7:24" ht="15" customHeight="1">
      <c r="G40894"/>
      <c r="I40894"/>
      <c r="N40894"/>
      <c r="O40894" s="24"/>
      <c r="P40894"/>
      <c r="Q40894" s="24"/>
      <c r="R40894"/>
      <c r="S40894"/>
      <c r="T40894"/>
      <c r="U40894"/>
      <c r="X40894" s="60"/>
    </row>
    <row r="40895" spans="7:24" ht="15" customHeight="1">
      <c r="G40895"/>
      <c r="I40895"/>
      <c r="N40895"/>
      <c r="O40895" s="24"/>
      <c r="P40895"/>
      <c r="Q40895" s="24"/>
      <c r="R40895"/>
      <c r="S40895"/>
      <c r="T40895"/>
      <c r="U40895"/>
      <c r="X40895" s="60"/>
    </row>
    <row r="40896" spans="7:24" ht="15" customHeight="1">
      <c r="G40896"/>
      <c r="I40896"/>
      <c r="N40896"/>
      <c r="O40896" s="24"/>
      <c r="P40896"/>
      <c r="Q40896" s="24"/>
      <c r="R40896"/>
      <c r="S40896"/>
      <c r="T40896"/>
      <c r="U40896"/>
      <c r="X40896" s="60"/>
    </row>
    <row r="40897" spans="7:24" ht="15" customHeight="1">
      <c r="G40897"/>
      <c r="I40897"/>
      <c r="N40897"/>
      <c r="O40897" s="24"/>
      <c r="P40897"/>
      <c r="Q40897" s="24"/>
      <c r="R40897"/>
      <c r="S40897"/>
      <c r="T40897"/>
      <c r="U40897"/>
      <c r="X40897" s="60"/>
    </row>
    <row r="40898" spans="7:24" ht="15" customHeight="1">
      <c r="G40898"/>
      <c r="I40898"/>
      <c r="N40898"/>
      <c r="O40898" s="24"/>
      <c r="P40898"/>
      <c r="Q40898" s="24"/>
      <c r="R40898"/>
      <c r="S40898"/>
      <c r="T40898"/>
      <c r="U40898"/>
      <c r="X40898" s="60"/>
    </row>
    <row r="40899" spans="7:24" ht="15" customHeight="1">
      <c r="G40899"/>
      <c r="I40899"/>
      <c r="N40899"/>
      <c r="O40899" s="24"/>
      <c r="P40899"/>
      <c r="Q40899" s="24"/>
      <c r="R40899"/>
      <c r="S40899"/>
      <c r="T40899"/>
      <c r="U40899"/>
      <c r="X40899" s="60"/>
    </row>
    <row r="40900" spans="7:24" ht="15" customHeight="1">
      <c r="G40900"/>
      <c r="I40900"/>
      <c r="N40900"/>
      <c r="O40900" s="24"/>
      <c r="P40900"/>
      <c r="Q40900" s="24"/>
      <c r="R40900"/>
      <c r="S40900"/>
      <c r="T40900"/>
      <c r="U40900"/>
      <c r="X40900" s="60"/>
    </row>
    <row r="40901" spans="7:24" ht="15" customHeight="1">
      <c r="G40901"/>
      <c r="I40901"/>
      <c r="N40901"/>
      <c r="O40901" s="24"/>
      <c r="P40901"/>
      <c r="Q40901" s="24"/>
      <c r="R40901"/>
      <c r="S40901"/>
      <c r="T40901"/>
      <c r="U40901"/>
      <c r="X40901" s="60"/>
    </row>
    <row r="40902" spans="7:24" ht="15" customHeight="1">
      <c r="G40902"/>
      <c r="I40902"/>
      <c r="N40902"/>
      <c r="O40902" s="24"/>
      <c r="P40902"/>
      <c r="Q40902" s="24"/>
      <c r="R40902"/>
      <c r="S40902"/>
      <c r="T40902"/>
      <c r="U40902"/>
      <c r="X40902" s="60"/>
    </row>
    <row r="40903" spans="7:24" ht="15" customHeight="1">
      <c r="G40903"/>
      <c r="I40903"/>
      <c r="N40903"/>
      <c r="O40903" s="24"/>
      <c r="P40903"/>
      <c r="Q40903" s="24"/>
      <c r="R40903"/>
      <c r="S40903"/>
      <c r="T40903"/>
      <c r="U40903"/>
      <c r="X40903" s="60"/>
    </row>
    <row r="40904" spans="7:24" ht="15" customHeight="1">
      <c r="G40904"/>
      <c r="I40904"/>
      <c r="N40904"/>
      <c r="O40904" s="24"/>
      <c r="P40904"/>
      <c r="Q40904" s="24"/>
      <c r="R40904"/>
      <c r="S40904"/>
      <c r="T40904"/>
      <c r="U40904"/>
      <c r="X40904" s="60"/>
    </row>
    <row r="40905" spans="7:24" ht="15" customHeight="1">
      <c r="G40905"/>
      <c r="I40905"/>
      <c r="N40905"/>
      <c r="O40905" s="24"/>
      <c r="P40905"/>
      <c r="Q40905" s="24"/>
      <c r="R40905"/>
      <c r="S40905"/>
      <c r="T40905"/>
      <c r="U40905"/>
      <c r="X40905" s="60"/>
    </row>
    <row r="40906" spans="7:24" ht="15" customHeight="1">
      <c r="G40906"/>
      <c r="I40906"/>
      <c r="N40906"/>
      <c r="O40906" s="24"/>
      <c r="P40906"/>
      <c r="Q40906" s="24"/>
      <c r="R40906"/>
      <c r="S40906"/>
      <c r="T40906"/>
      <c r="U40906"/>
      <c r="X40906" s="60"/>
    </row>
    <row r="40907" spans="7:24" ht="15" customHeight="1">
      <c r="G40907"/>
      <c r="I40907"/>
      <c r="N40907"/>
      <c r="O40907" s="24"/>
      <c r="P40907"/>
      <c r="Q40907" s="24"/>
      <c r="R40907"/>
      <c r="S40907"/>
      <c r="T40907"/>
      <c r="U40907"/>
      <c r="X40907" s="60"/>
    </row>
    <row r="40908" spans="7:24" ht="15" customHeight="1">
      <c r="G40908"/>
      <c r="I40908"/>
      <c r="N40908"/>
      <c r="O40908" s="24"/>
      <c r="P40908"/>
      <c r="Q40908" s="24"/>
      <c r="R40908"/>
      <c r="S40908"/>
      <c r="T40908"/>
      <c r="U40908"/>
      <c r="X40908" s="60"/>
    </row>
    <row r="40909" spans="7:24" ht="15" customHeight="1">
      <c r="G40909"/>
      <c r="I40909"/>
      <c r="N40909"/>
      <c r="O40909" s="24"/>
      <c r="P40909"/>
      <c r="Q40909" s="24"/>
      <c r="R40909"/>
      <c r="S40909"/>
      <c r="T40909"/>
      <c r="U40909"/>
      <c r="X40909" s="60"/>
    </row>
    <row r="40910" spans="7:24" ht="15" customHeight="1">
      <c r="G40910"/>
      <c r="I40910"/>
      <c r="N40910"/>
      <c r="O40910" s="24"/>
      <c r="P40910"/>
      <c r="Q40910" s="24"/>
      <c r="R40910"/>
      <c r="S40910"/>
      <c r="T40910"/>
      <c r="U40910"/>
      <c r="X40910" s="60"/>
    </row>
    <row r="40911" spans="7:24" ht="15" customHeight="1">
      <c r="G40911"/>
      <c r="I40911"/>
      <c r="N40911"/>
      <c r="O40911" s="24"/>
      <c r="P40911"/>
      <c r="Q40911" s="24"/>
      <c r="R40911"/>
      <c r="S40911"/>
      <c r="T40911"/>
      <c r="U40911"/>
      <c r="X40911" s="60"/>
    </row>
    <row r="40912" spans="7:24" ht="15" customHeight="1">
      <c r="G40912"/>
      <c r="I40912"/>
      <c r="N40912"/>
      <c r="O40912" s="24"/>
      <c r="P40912"/>
      <c r="Q40912" s="24"/>
      <c r="R40912"/>
      <c r="S40912"/>
      <c r="T40912"/>
      <c r="U40912"/>
      <c r="X40912" s="60"/>
    </row>
    <row r="40913" spans="7:24" ht="15" customHeight="1">
      <c r="G40913"/>
      <c r="I40913"/>
      <c r="N40913"/>
      <c r="O40913" s="24"/>
      <c r="P40913"/>
      <c r="Q40913" s="24"/>
      <c r="R40913"/>
      <c r="S40913"/>
      <c r="T40913"/>
      <c r="U40913"/>
      <c r="X40913" s="60"/>
    </row>
    <row r="40914" spans="7:24" ht="15" customHeight="1">
      <c r="G40914"/>
      <c r="I40914"/>
      <c r="N40914"/>
      <c r="O40914" s="24"/>
      <c r="P40914"/>
      <c r="Q40914" s="24"/>
      <c r="R40914"/>
      <c r="S40914"/>
      <c r="T40914"/>
      <c r="U40914"/>
      <c r="X40914" s="60"/>
    </row>
    <row r="40915" spans="7:24" ht="15" customHeight="1">
      <c r="G40915"/>
      <c r="I40915"/>
      <c r="N40915"/>
      <c r="O40915" s="24"/>
      <c r="P40915"/>
      <c r="Q40915" s="24"/>
      <c r="R40915"/>
      <c r="S40915"/>
      <c r="T40915"/>
      <c r="U40915"/>
      <c r="X40915" s="60"/>
    </row>
    <row r="40916" spans="7:24" ht="15" customHeight="1">
      <c r="G40916"/>
      <c r="I40916"/>
      <c r="N40916"/>
      <c r="O40916" s="24"/>
      <c r="P40916"/>
      <c r="Q40916" s="24"/>
      <c r="R40916"/>
      <c r="S40916"/>
      <c r="T40916"/>
      <c r="U40916"/>
      <c r="X40916" s="60"/>
    </row>
    <row r="40917" spans="7:24" ht="15" customHeight="1">
      <c r="G40917"/>
      <c r="I40917"/>
      <c r="N40917"/>
      <c r="O40917" s="24"/>
      <c r="P40917"/>
      <c r="Q40917" s="24"/>
      <c r="R40917"/>
      <c r="S40917"/>
      <c r="T40917"/>
      <c r="U40917"/>
      <c r="X40917" s="60"/>
    </row>
    <row r="40918" spans="7:24" ht="15" customHeight="1">
      <c r="G40918"/>
      <c r="I40918"/>
      <c r="N40918"/>
      <c r="O40918" s="24"/>
      <c r="P40918"/>
      <c r="Q40918" s="24"/>
      <c r="R40918"/>
      <c r="S40918"/>
      <c r="T40918"/>
      <c r="U40918"/>
      <c r="X40918" s="60"/>
    </row>
    <row r="40919" spans="7:24" ht="15" customHeight="1">
      <c r="G40919"/>
      <c r="I40919"/>
      <c r="N40919"/>
      <c r="O40919" s="24"/>
      <c r="P40919"/>
      <c r="Q40919" s="24"/>
      <c r="R40919"/>
      <c r="S40919"/>
      <c r="T40919"/>
      <c r="U40919"/>
      <c r="X40919" s="60"/>
    </row>
    <row r="40920" spans="7:24" ht="15" customHeight="1">
      <c r="G40920"/>
      <c r="I40920"/>
      <c r="N40920"/>
      <c r="O40920" s="24"/>
      <c r="P40920"/>
      <c r="Q40920" s="24"/>
      <c r="R40920"/>
      <c r="S40920"/>
      <c r="T40920"/>
      <c r="U40920"/>
      <c r="X40920" s="60"/>
    </row>
    <row r="40921" spans="7:24" ht="15" customHeight="1">
      <c r="G40921"/>
      <c r="I40921"/>
      <c r="N40921"/>
      <c r="O40921" s="24"/>
      <c r="P40921"/>
      <c r="Q40921" s="24"/>
      <c r="R40921"/>
      <c r="S40921"/>
      <c r="T40921"/>
      <c r="U40921"/>
      <c r="X40921" s="60"/>
    </row>
    <row r="40922" spans="7:24" ht="15" customHeight="1">
      <c r="G40922"/>
      <c r="I40922"/>
      <c r="N40922"/>
      <c r="O40922" s="24"/>
      <c r="P40922"/>
      <c r="Q40922" s="24"/>
      <c r="R40922"/>
      <c r="S40922"/>
      <c r="T40922"/>
      <c r="U40922"/>
      <c r="X40922" s="60"/>
    </row>
    <row r="40923" spans="7:24" ht="15" customHeight="1">
      <c r="G40923"/>
      <c r="I40923"/>
      <c r="N40923"/>
      <c r="O40923" s="24"/>
      <c r="P40923"/>
      <c r="Q40923" s="24"/>
      <c r="R40923"/>
      <c r="S40923"/>
      <c r="T40923"/>
      <c r="U40923"/>
      <c r="X40923" s="60"/>
    </row>
    <row r="40924" spans="7:24" ht="15" customHeight="1">
      <c r="G40924"/>
      <c r="I40924"/>
      <c r="N40924"/>
      <c r="O40924" s="24"/>
      <c r="P40924"/>
      <c r="Q40924" s="24"/>
      <c r="R40924"/>
      <c r="S40924"/>
      <c r="T40924"/>
      <c r="U40924"/>
      <c r="X40924" s="60"/>
    </row>
    <row r="40925" spans="7:24" ht="15" customHeight="1">
      <c r="G40925"/>
      <c r="I40925"/>
      <c r="N40925"/>
      <c r="O40925" s="24"/>
      <c r="P40925"/>
      <c r="Q40925" s="24"/>
      <c r="R40925"/>
      <c r="S40925"/>
      <c r="T40925"/>
      <c r="U40925"/>
      <c r="X40925" s="60"/>
    </row>
    <row r="40926" spans="7:24" ht="15" customHeight="1">
      <c r="G40926"/>
      <c r="I40926"/>
      <c r="N40926"/>
      <c r="O40926" s="24"/>
      <c r="P40926"/>
      <c r="Q40926" s="24"/>
      <c r="R40926"/>
      <c r="S40926"/>
      <c r="T40926"/>
      <c r="U40926"/>
      <c r="X40926" s="60"/>
    </row>
    <row r="40927" spans="7:24" ht="15" customHeight="1">
      <c r="G40927"/>
      <c r="I40927"/>
      <c r="N40927"/>
      <c r="O40927" s="24"/>
      <c r="P40927"/>
      <c r="Q40927" s="24"/>
      <c r="R40927"/>
      <c r="S40927"/>
      <c r="T40927"/>
      <c r="U40927"/>
      <c r="X40927" s="60"/>
    </row>
    <row r="40928" spans="7:24" ht="15" customHeight="1">
      <c r="G40928"/>
      <c r="I40928"/>
      <c r="N40928"/>
      <c r="O40928" s="24"/>
      <c r="P40928"/>
      <c r="Q40928" s="24"/>
      <c r="R40928"/>
      <c r="S40928"/>
      <c r="T40928"/>
      <c r="U40928"/>
      <c r="X40928" s="60"/>
    </row>
    <row r="40929" spans="7:24" ht="15" customHeight="1">
      <c r="G40929"/>
      <c r="I40929"/>
      <c r="N40929"/>
      <c r="O40929" s="24"/>
      <c r="P40929"/>
      <c r="Q40929" s="24"/>
      <c r="R40929"/>
      <c r="S40929"/>
      <c r="T40929"/>
      <c r="U40929"/>
      <c r="X40929" s="60"/>
    </row>
    <row r="40930" spans="7:24" ht="15" customHeight="1">
      <c r="G40930"/>
      <c r="I40930"/>
      <c r="N40930"/>
      <c r="O40930" s="24"/>
      <c r="P40930"/>
      <c r="Q40930" s="24"/>
      <c r="R40930"/>
      <c r="S40930"/>
      <c r="T40930"/>
      <c r="U40930"/>
      <c r="X40930" s="60"/>
    </row>
    <row r="40931" spans="7:24" ht="15" customHeight="1">
      <c r="G40931"/>
      <c r="I40931"/>
      <c r="N40931"/>
      <c r="O40931" s="24"/>
      <c r="P40931"/>
      <c r="Q40931" s="24"/>
      <c r="R40931"/>
      <c r="S40931"/>
      <c r="T40931"/>
      <c r="U40931"/>
      <c r="X40931" s="60"/>
    </row>
    <row r="40932" spans="7:24" ht="15" customHeight="1">
      <c r="G40932"/>
      <c r="I40932"/>
      <c r="N40932"/>
      <c r="O40932" s="24"/>
      <c r="P40932"/>
      <c r="Q40932" s="24"/>
      <c r="R40932"/>
      <c r="S40932"/>
      <c r="T40932"/>
      <c r="U40932"/>
      <c r="X40932" s="60"/>
    </row>
    <row r="40933" spans="7:24" ht="15" customHeight="1">
      <c r="G40933"/>
      <c r="I40933"/>
      <c r="N40933"/>
      <c r="O40933" s="24"/>
      <c r="P40933"/>
      <c r="Q40933" s="24"/>
      <c r="R40933"/>
      <c r="S40933"/>
      <c r="T40933"/>
      <c r="U40933"/>
      <c r="X40933" s="60"/>
    </row>
    <row r="40934" spans="7:24" ht="15" customHeight="1">
      <c r="G40934"/>
      <c r="I40934"/>
      <c r="N40934"/>
      <c r="O40934" s="24"/>
      <c r="P40934"/>
      <c r="Q40934" s="24"/>
      <c r="R40934"/>
      <c r="S40934"/>
      <c r="T40934"/>
      <c r="U40934"/>
      <c r="X40934" s="60"/>
    </row>
    <row r="40935" spans="7:24" ht="15" customHeight="1">
      <c r="G40935"/>
      <c r="I40935"/>
      <c r="N40935"/>
      <c r="O40935" s="24"/>
      <c r="P40935"/>
      <c r="Q40935" s="24"/>
      <c r="R40935"/>
      <c r="S40935"/>
      <c r="T40935"/>
      <c r="U40935"/>
      <c r="X40935" s="60"/>
    </row>
    <row r="40936" spans="7:24" ht="15" customHeight="1">
      <c r="G40936"/>
      <c r="I40936"/>
      <c r="N40936"/>
      <c r="O40936" s="24"/>
      <c r="P40936"/>
      <c r="Q40936" s="24"/>
      <c r="R40936"/>
      <c r="S40936"/>
      <c r="T40936"/>
      <c r="U40936"/>
      <c r="X40936" s="60"/>
    </row>
    <row r="40937" spans="7:24" ht="15" customHeight="1">
      <c r="G40937"/>
      <c r="I40937"/>
      <c r="N40937"/>
      <c r="O40937" s="24"/>
      <c r="P40937"/>
      <c r="Q40937" s="24"/>
      <c r="R40937"/>
      <c r="S40937"/>
      <c r="T40937"/>
      <c r="U40937"/>
      <c r="X40937" s="60"/>
    </row>
    <row r="40938" spans="7:24" ht="15" customHeight="1">
      <c r="G40938"/>
      <c r="I40938"/>
      <c r="N40938"/>
      <c r="O40938" s="24"/>
      <c r="P40938"/>
      <c r="Q40938" s="24"/>
      <c r="R40938"/>
      <c r="S40938"/>
      <c r="T40938"/>
      <c r="U40938"/>
      <c r="X40938" s="60"/>
    </row>
    <row r="40939" spans="7:24" ht="15" customHeight="1">
      <c r="G40939"/>
      <c r="I40939"/>
      <c r="N40939"/>
      <c r="O40939" s="24"/>
      <c r="P40939"/>
      <c r="Q40939" s="24"/>
      <c r="R40939"/>
      <c r="S40939"/>
      <c r="T40939"/>
      <c r="U40939"/>
      <c r="X40939" s="60"/>
    </row>
    <row r="40940" spans="7:24" ht="15" customHeight="1">
      <c r="G40940"/>
      <c r="I40940"/>
      <c r="N40940"/>
      <c r="O40940" s="24"/>
      <c r="P40940"/>
      <c r="Q40940" s="24"/>
      <c r="R40940"/>
      <c r="S40940"/>
      <c r="T40940"/>
      <c r="U40940"/>
      <c r="X40940" s="60"/>
    </row>
    <row r="40941" spans="7:24" ht="15" customHeight="1">
      <c r="G40941"/>
      <c r="I40941"/>
      <c r="N40941"/>
      <c r="O40941" s="24"/>
      <c r="P40941"/>
      <c r="Q40941" s="24"/>
      <c r="R40941"/>
      <c r="S40941"/>
      <c r="T40941"/>
      <c r="U40941"/>
      <c r="X40941" s="60"/>
    </row>
    <row r="40942" spans="7:24" ht="15" customHeight="1">
      <c r="G40942"/>
      <c r="I40942"/>
      <c r="N40942"/>
      <c r="O40942" s="24"/>
      <c r="P40942"/>
      <c r="Q40942" s="24"/>
      <c r="R40942"/>
      <c r="S40942"/>
      <c r="T40942"/>
      <c r="U40942"/>
      <c r="X40942" s="60"/>
    </row>
    <row r="40943" spans="7:24" ht="15" customHeight="1">
      <c r="G40943"/>
      <c r="I40943"/>
      <c r="N40943"/>
      <c r="O40943" s="24"/>
      <c r="P40943"/>
      <c r="Q40943" s="24"/>
      <c r="R40943"/>
      <c r="S40943"/>
      <c r="T40943"/>
      <c r="U40943"/>
      <c r="X40943" s="60"/>
    </row>
    <row r="40944" spans="7:24" ht="15" customHeight="1">
      <c r="G40944"/>
      <c r="I40944"/>
      <c r="N40944"/>
      <c r="O40944" s="24"/>
      <c r="P40944"/>
      <c r="Q40944" s="24"/>
      <c r="R40944"/>
      <c r="S40944"/>
      <c r="T40944"/>
      <c r="U40944"/>
      <c r="X40944" s="60"/>
    </row>
    <row r="40945" spans="7:24" ht="15" customHeight="1">
      <c r="G40945"/>
      <c r="I40945"/>
      <c r="N40945"/>
      <c r="O40945" s="24"/>
      <c r="P40945"/>
      <c r="Q40945" s="24"/>
      <c r="R40945"/>
      <c r="S40945"/>
      <c r="T40945"/>
      <c r="U40945"/>
      <c r="X40945" s="60"/>
    </row>
    <row r="40946" spans="7:24" ht="15" customHeight="1">
      <c r="G40946"/>
      <c r="I40946"/>
      <c r="N40946"/>
      <c r="O40946" s="24"/>
      <c r="P40946"/>
      <c r="Q40946" s="24"/>
      <c r="R40946"/>
      <c r="S40946"/>
      <c r="T40946"/>
      <c r="U40946"/>
      <c r="X40946" s="60"/>
    </row>
    <row r="40947" spans="7:24" ht="15" customHeight="1">
      <c r="G40947"/>
      <c r="I40947"/>
      <c r="N40947"/>
      <c r="O40947" s="24"/>
      <c r="P40947"/>
      <c r="Q40947" s="24"/>
      <c r="R40947"/>
      <c r="S40947"/>
      <c r="T40947"/>
      <c r="U40947"/>
      <c r="X40947" s="60"/>
    </row>
    <row r="40948" spans="7:24" ht="15" customHeight="1">
      <c r="G40948"/>
      <c r="I40948"/>
      <c r="N40948"/>
      <c r="O40948" s="24"/>
      <c r="P40948"/>
      <c r="Q40948" s="24"/>
      <c r="R40948"/>
      <c r="S40948"/>
      <c r="T40948"/>
      <c r="U40948"/>
      <c r="X40948" s="60"/>
    </row>
    <row r="40949" spans="7:24" ht="15" customHeight="1">
      <c r="G40949"/>
      <c r="I40949"/>
      <c r="N40949"/>
      <c r="O40949" s="24"/>
      <c r="P40949"/>
      <c r="Q40949" s="24"/>
      <c r="R40949"/>
      <c r="S40949"/>
      <c r="T40949"/>
      <c r="U40949"/>
      <c r="X40949" s="60"/>
    </row>
    <row r="40950" spans="7:24" ht="15" customHeight="1">
      <c r="G40950"/>
      <c r="I40950"/>
      <c r="N40950"/>
      <c r="O40950" s="24"/>
      <c r="P40950"/>
      <c r="Q40950" s="24"/>
      <c r="R40950"/>
      <c r="S40950"/>
      <c r="T40950"/>
      <c r="U40950"/>
      <c r="X40950" s="60"/>
    </row>
    <row r="40951" spans="7:24" ht="15" customHeight="1">
      <c r="G40951"/>
      <c r="I40951"/>
      <c r="N40951"/>
      <c r="O40951" s="24"/>
      <c r="P40951"/>
      <c r="Q40951" s="24"/>
      <c r="R40951"/>
      <c r="S40951"/>
      <c r="T40951"/>
      <c r="U40951"/>
      <c r="X40951" s="60"/>
    </row>
    <row r="40952" spans="7:24" ht="15" customHeight="1">
      <c r="G40952"/>
      <c r="I40952"/>
      <c r="N40952"/>
      <c r="O40952" s="24"/>
      <c r="P40952"/>
      <c r="Q40952" s="24"/>
      <c r="R40952"/>
      <c r="S40952"/>
      <c r="T40952"/>
      <c r="U40952"/>
      <c r="X40952" s="60"/>
    </row>
    <row r="40953" spans="7:24" ht="15" customHeight="1">
      <c r="G40953"/>
      <c r="I40953"/>
      <c r="N40953"/>
      <c r="O40953" s="24"/>
      <c r="P40953"/>
      <c r="Q40953" s="24"/>
      <c r="R40953"/>
      <c r="S40953"/>
      <c r="T40953"/>
      <c r="U40953"/>
      <c r="X40953" s="60"/>
    </row>
    <row r="40954" spans="7:24" ht="15" customHeight="1">
      <c r="G40954"/>
      <c r="I40954"/>
      <c r="N40954"/>
      <c r="O40954" s="24"/>
      <c r="P40954"/>
      <c r="Q40954" s="24"/>
      <c r="R40954"/>
      <c r="S40954"/>
      <c r="T40954"/>
      <c r="U40954"/>
      <c r="X40954" s="60"/>
    </row>
    <row r="40955" spans="7:24" ht="15" customHeight="1">
      <c r="G40955"/>
      <c r="I40955"/>
      <c r="N40955"/>
      <c r="O40955" s="24"/>
      <c r="P40955"/>
      <c r="Q40955" s="24"/>
      <c r="R40955"/>
      <c r="S40955"/>
      <c r="T40955"/>
      <c r="U40955"/>
      <c r="X40955" s="60"/>
    </row>
    <row r="40956" spans="7:24" ht="15" customHeight="1">
      <c r="G40956"/>
      <c r="I40956"/>
      <c r="N40956"/>
      <c r="O40956" s="24"/>
      <c r="P40956"/>
      <c r="Q40956" s="24"/>
      <c r="R40956"/>
      <c r="S40956"/>
      <c r="T40956"/>
      <c r="U40956"/>
      <c r="X40956" s="60"/>
    </row>
    <row r="40957" spans="7:24" ht="15" customHeight="1">
      <c r="G40957"/>
      <c r="I40957"/>
      <c r="N40957"/>
      <c r="O40957" s="24"/>
      <c r="P40957"/>
      <c r="Q40957" s="24"/>
      <c r="R40957"/>
      <c r="S40957"/>
      <c r="T40957"/>
      <c r="U40957"/>
      <c r="X40957" s="60"/>
    </row>
    <row r="40958" spans="7:24" ht="15" customHeight="1">
      <c r="G40958"/>
      <c r="I40958"/>
      <c r="N40958"/>
      <c r="O40958" s="24"/>
      <c r="P40958"/>
      <c r="Q40958" s="24"/>
      <c r="R40958"/>
      <c r="S40958"/>
      <c r="T40958"/>
      <c r="U40958"/>
      <c r="X40958" s="60"/>
    </row>
    <row r="40959" spans="7:24" ht="15" customHeight="1">
      <c r="G40959"/>
      <c r="I40959"/>
      <c r="N40959"/>
      <c r="O40959" s="24"/>
      <c r="P40959"/>
      <c r="Q40959" s="24"/>
      <c r="R40959"/>
      <c r="S40959"/>
      <c r="T40959"/>
      <c r="U40959"/>
      <c r="X40959" s="60"/>
    </row>
    <row r="40960" spans="7:24" ht="15" customHeight="1">
      <c r="G40960"/>
      <c r="I40960"/>
      <c r="N40960"/>
      <c r="O40960" s="24"/>
      <c r="P40960"/>
      <c r="Q40960" s="24"/>
      <c r="R40960"/>
      <c r="S40960"/>
      <c r="T40960"/>
      <c r="U40960"/>
      <c r="X40960" s="60"/>
    </row>
    <row r="40961" spans="7:24" ht="15" customHeight="1">
      <c r="G40961"/>
      <c r="I40961"/>
      <c r="N40961"/>
      <c r="O40961" s="24"/>
      <c r="P40961"/>
      <c r="Q40961" s="24"/>
      <c r="R40961"/>
      <c r="S40961"/>
      <c r="T40961"/>
      <c r="U40961"/>
      <c r="X40961" s="60"/>
    </row>
    <row r="40962" spans="7:24" ht="15" customHeight="1">
      <c r="G40962"/>
      <c r="I40962"/>
      <c r="N40962"/>
      <c r="O40962" s="24"/>
      <c r="P40962"/>
      <c r="Q40962" s="24"/>
      <c r="R40962"/>
      <c r="S40962"/>
      <c r="T40962"/>
      <c r="U40962"/>
      <c r="X40962" s="60"/>
    </row>
    <row r="40963" spans="7:24" ht="15" customHeight="1">
      <c r="G40963"/>
      <c r="I40963"/>
      <c r="N40963"/>
      <c r="O40963" s="24"/>
      <c r="P40963"/>
      <c r="Q40963" s="24"/>
      <c r="R40963"/>
      <c r="S40963"/>
      <c r="T40963"/>
      <c r="U40963"/>
      <c r="X40963" s="60"/>
    </row>
    <row r="40964" spans="7:24" ht="15" customHeight="1">
      <c r="G40964"/>
      <c r="I40964"/>
      <c r="N40964"/>
      <c r="O40964" s="24"/>
      <c r="P40964"/>
      <c r="Q40964" s="24"/>
      <c r="R40964"/>
      <c r="S40964"/>
      <c r="T40964"/>
      <c r="U40964"/>
      <c r="X40964" s="60"/>
    </row>
    <row r="40965" spans="7:24" ht="15" customHeight="1">
      <c r="G40965"/>
      <c r="I40965"/>
      <c r="N40965"/>
      <c r="O40965" s="24"/>
      <c r="P40965"/>
      <c r="Q40965" s="24"/>
      <c r="R40965"/>
      <c r="S40965"/>
      <c r="T40965"/>
      <c r="U40965"/>
      <c r="X40965" s="60"/>
    </row>
    <row r="40966" spans="7:24" ht="15" customHeight="1">
      <c r="G40966"/>
      <c r="I40966"/>
      <c r="N40966"/>
      <c r="O40966" s="24"/>
      <c r="P40966"/>
      <c r="Q40966" s="24"/>
      <c r="R40966"/>
      <c r="S40966"/>
      <c r="T40966"/>
      <c r="U40966"/>
      <c r="X40966" s="60"/>
    </row>
    <row r="40967" spans="7:24" ht="15" customHeight="1">
      <c r="G40967"/>
      <c r="I40967"/>
      <c r="N40967"/>
      <c r="O40967" s="24"/>
      <c r="P40967"/>
      <c r="Q40967" s="24"/>
      <c r="R40967"/>
      <c r="S40967"/>
      <c r="T40967"/>
      <c r="U40967"/>
      <c r="X40967" s="60"/>
    </row>
    <row r="40968" spans="7:24" ht="15" customHeight="1">
      <c r="G40968"/>
      <c r="I40968"/>
      <c r="N40968"/>
      <c r="O40968" s="24"/>
      <c r="P40968"/>
      <c r="Q40968" s="24"/>
      <c r="R40968"/>
      <c r="S40968"/>
      <c r="T40968"/>
      <c r="U40968"/>
      <c r="X40968" s="60"/>
    </row>
    <row r="40969" spans="7:24" ht="15" customHeight="1">
      <c r="G40969"/>
      <c r="I40969"/>
      <c r="N40969"/>
      <c r="O40969" s="24"/>
      <c r="P40969"/>
      <c r="Q40969" s="24"/>
      <c r="R40969"/>
      <c r="S40969"/>
      <c r="T40969"/>
      <c r="U40969"/>
      <c r="X40969" s="60"/>
    </row>
    <row r="40970" spans="7:24" ht="15" customHeight="1">
      <c r="G40970"/>
      <c r="I40970"/>
      <c r="N40970"/>
      <c r="O40970" s="24"/>
      <c r="P40970"/>
      <c r="Q40970" s="24"/>
      <c r="R40970"/>
      <c r="S40970"/>
      <c r="T40970"/>
      <c r="U40970"/>
      <c r="X40970" s="60"/>
    </row>
    <row r="40971" spans="7:24" ht="15" customHeight="1">
      <c r="G40971"/>
      <c r="I40971"/>
      <c r="N40971"/>
      <c r="O40971" s="24"/>
      <c r="P40971"/>
      <c r="Q40971" s="24"/>
      <c r="R40971"/>
      <c r="S40971"/>
      <c r="T40971"/>
      <c r="U40971"/>
      <c r="X40971" s="60"/>
    </row>
    <row r="40972" spans="7:24" ht="15" customHeight="1">
      <c r="G40972"/>
      <c r="I40972"/>
      <c r="N40972"/>
      <c r="O40972" s="24"/>
      <c r="P40972"/>
      <c r="Q40972" s="24"/>
      <c r="R40972"/>
      <c r="S40972"/>
      <c r="T40972"/>
      <c r="U40972"/>
      <c r="X40972" s="60"/>
    </row>
    <row r="40973" spans="7:24" ht="15" customHeight="1">
      <c r="G40973"/>
      <c r="I40973"/>
      <c r="N40973"/>
      <c r="O40973" s="24"/>
      <c r="P40973"/>
      <c r="Q40973" s="24"/>
      <c r="R40973"/>
      <c r="S40973"/>
      <c r="T40973"/>
      <c r="U40973"/>
      <c r="X40973" s="60"/>
    </row>
    <row r="40974" spans="7:24" ht="15" customHeight="1">
      <c r="G40974"/>
      <c r="I40974"/>
      <c r="N40974"/>
      <c r="O40974" s="24"/>
      <c r="P40974"/>
      <c r="Q40974" s="24"/>
      <c r="R40974"/>
      <c r="S40974"/>
      <c r="T40974"/>
      <c r="U40974"/>
      <c r="X40974" s="60"/>
    </row>
    <row r="40975" spans="7:24" ht="15" customHeight="1">
      <c r="G40975"/>
      <c r="I40975"/>
      <c r="N40975"/>
      <c r="O40975" s="24"/>
      <c r="P40975"/>
      <c r="Q40975" s="24"/>
      <c r="R40975"/>
      <c r="S40975"/>
      <c r="T40975"/>
      <c r="U40975"/>
      <c r="X40975" s="60"/>
    </row>
    <row r="40976" spans="7:24" ht="15" customHeight="1">
      <c r="G40976"/>
      <c r="I40976"/>
      <c r="N40976"/>
      <c r="O40976" s="24"/>
      <c r="P40976"/>
      <c r="Q40976" s="24"/>
      <c r="R40976"/>
      <c r="S40976"/>
      <c r="T40976"/>
      <c r="U40976"/>
      <c r="X40976" s="60"/>
    </row>
    <row r="40977" spans="7:24" ht="15" customHeight="1">
      <c r="G40977"/>
      <c r="I40977"/>
      <c r="N40977"/>
      <c r="O40977" s="24"/>
      <c r="P40977"/>
      <c r="Q40977" s="24"/>
      <c r="R40977"/>
      <c r="S40977"/>
      <c r="T40977"/>
      <c r="U40977"/>
      <c r="X40977" s="60"/>
    </row>
    <row r="40978" spans="7:24" ht="15" customHeight="1">
      <c r="G40978"/>
      <c r="I40978"/>
      <c r="N40978"/>
      <c r="O40978" s="24"/>
      <c r="P40978"/>
      <c r="Q40978" s="24"/>
      <c r="R40978"/>
      <c r="S40978"/>
      <c r="T40978"/>
      <c r="U40978"/>
      <c r="X40978" s="60"/>
    </row>
    <row r="40979" spans="7:24" ht="15" customHeight="1">
      <c r="G40979"/>
      <c r="I40979"/>
      <c r="N40979"/>
      <c r="O40979" s="24"/>
      <c r="P40979"/>
      <c r="Q40979" s="24"/>
      <c r="R40979"/>
      <c r="S40979"/>
      <c r="T40979"/>
      <c r="U40979"/>
      <c r="X40979" s="60"/>
    </row>
    <row r="40980" spans="7:24" ht="15" customHeight="1">
      <c r="G40980"/>
      <c r="I40980"/>
      <c r="N40980"/>
      <c r="O40980" s="24"/>
      <c r="P40980"/>
      <c r="Q40980" s="24"/>
      <c r="R40980"/>
      <c r="S40980"/>
      <c r="T40980"/>
      <c r="U40980"/>
      <c r="X40980" s="60"/>
    </row>
    <row r="40981" spans="7:24" ht="15" customHeight="1">
      <c r="G40981"/>
      <c r="I40981"/>
      <c r="N40981"/>
      <c r="O40981" s="24"/>
      <c r="P40981"/>
      <c r="Q40981" s="24"/>
      <c r="R40981"/>
      <c r="S40981"/>
      <c r="T40981"/>
      <c r="U40981"/>
      <c r="X40981" s="60"/>
    </row>
    <row r="40982" spans="7:24" ht="15" customHeight="1">
      <c r="G40982"/>
      <c r="I40982"/>
      <c r="N40982"/>
      <c r="O40982" s="24"/>
      <c r="P40982"/>
      <c r="Q40982" s="24"/>
      <c r="R40982"/>
      <c r="S40982"/>
      <c r="T40982"/>
      <c r="U40982"/>
      <c r="X40982" s="60"/>
    </row>
    <row r="40983" spans="7:24" ht="15" customHeight="1">
      <c r="G40983"/>
      <c r="I40983"/>
      <c r="N40983"/>
      <c r="O40983" s="24"/>
      <c r="P40983"/>
      <c r="Q40983" s="24"/>
      <c r="R40983"/>
      <c r="S40983"/>
      <c r="T40983"/>
      <c r="U40983"/>
      <c r="X40983" s="60"/>
    </row>
    <row r="40984" spans="7:24" ht="15" customHeight="1">
      <c r="G40984"/>
      <c r="I40984"/>
      <c r="N40984"/>
      <c r="O40984" s="24"/>
      <c r="P40984"/>
      <c r="Q40984" s="24"/>
      <c r="R40984"/>
      <c r="S40984"/>
      <c r="T40984"/>
      <c r="U40984"/>
      <c r="X40984" s="60"/>
    </row>
    <row r="40985" spans="7:24" ht="15" customHeight="1">
      <c r="G40985"/>
      <c r="I40985"/>
      <c r="N40985"/>
      <c r="O40985" s="24"/>
      <c r="P40985"/>
      <c r="Q40985" s="24"/>
      <c r="R40985"/>
      <c r="S40985"/>
      <c r="T40985"/>
      <c r="U40985"/>
      <c r="X40985" s="60"/>
    </row>
    <row r="40986" spans="7:24" ht="15" customHeight="1">
      <c r="G40986"/>
      <c r="I40986"/>
      <c r="N40986"/>
      <c r="O40986" s="24"/>
      <c r="P40986"/>
      <c r="Q40986" s="24"/>
      <c r="R40986"/>
      <c r="S40986"/>
      <c r="T40986"/>
      <c r="U40986"/>
      <c r="X40986" s="60"/>
    </row>
    <row r="40987" spans="7:24" ht="15" customHeight="1">
      <c r="G40987"/>
      <c r="I40987"/>
      <c r="N40987"/>
      <c r="O40987" s="24"/>
      <c r="P40987"/>
      <c r="Q40987" s="24"/>
      <c r="R40987"/>
      <c r="S40987"/>
      <c r="T40987"/>
      <c r="U40987"/>
      <c r="X40987" s="60"/>
    </row>
    <row r="40988" spans="7:24" ht="15" customHeight="1">
      <c r="G40988"/>
      <c r="I40988"/>
      <c r="N40988"/>
      <c r="O40988" s="24"/>
      <c r="P40988"/>
      <c r="Q40988" s="24"/>
      <c r="R40988"/>
      <c r="S40988"/>
      <c r="T40988"/>
      <c r="U40988"/>
      <c r="X40988" s="60"/>
    </row>
    <row r="40989" spans="7:24" ht="15" customHeight="1">
      <c r="G40989"/>
      <c r="I40989"/>
      <c r="N40989"/>
      <c r="O40989" s="24"/>
      <c r="P40989"/>
      <c r="Q40989" s="24"/>
      <c r="R40989"/>
      <c r="S40989"/>
      <c r="T40989"/>
      <c r="U40989"/>
      <c r="X40989" s="60"/>
    </row>
    <row r="40990" spans="7:24" ht="15" customHeight="1">
      <c r="G40990"/>
      <c r="I40990"/>
      <c r="N40990"/>
      <c r="O40990" s="24"/>
      <c r="P40990"/>
      <c r="Q40990" s="24"/>
      <c r="R40990"/>
      <c r="S40990"/>
      <c r="T40990"/>
      <c r="U40990"/>
      <c r="X40990" s="60"/>
    </row>
    <row r="40991" spans="7:24" ht="15" customHeight="1">
      <c r="G40991"/>
      <c r="I40991"/>
      <c r="N40991"/>
      <c r="O40991" s="24"/>
      <c r="P40991"/>
      <c r="Q40991" s="24"/>
      <c r="R40991"/>
      <c r="S40991"/>
      <c r="T40991"/>
      <c r="U40991"/>
      <c r="X40991" s="60"/>
    </row>
    <row r="40992" spans="7:24" ht="15" customHeight="1">
      <c r="G40992"/>
      <c r="I40992"/>
      <c r="N40992"/>
      <c r="O40992" s="24"/>
      <c r="P40992"/>
      <c r="Q40992" s="24"/>
      <c r="R40992"/>
      <c r="S40992"/>
      <c r="T40992"/>
      <c r="U40992"/>
      <c r="X40992" s="60"/>
    </row>
    <row r="40993" spans="7:24" ht="15" customHeight="1">
      <c r="G40993"/>
      <c r="I40993"/>
      <c r="N40993"/>
      <c r="O40993" s="24"/>
      <c r="P40993"/>
      <c r="Q40993" s="24"/>
      <c r="R40993"/>
      <c r="S40993"/>
      <c r="T40993"/>
      <c r="U40993"/>
      <c r="X40993" s="60"/>
    </row>
    <row r="40994" spans="7:24" ht="15" customHeight="1">
      <c r="G40994"/>
      <c r="I40994"/>
      <c r="N40994"/>
      <c r="O40994" s="24"/>
      <c r="P40994"/>
      <c r="Q40994" s="24"/>
      <c r="R40994"/>
      <c r="S40994"/>
      <c r="T40994"/>
      <c r="U40994"/>
      <c r="X40994" s="60"/>
    </row>
    <row r="40995" spans="7:24" ht="15" customHeight="1">
      <c r="G40995"/>
      <c r="I40995"/>
      <c r="N40995"/>
      <c r="O40995" s="24"/>
      <c r="P40995"/>
      <c r="Q40995" s="24"/>
      <c r="R40995"/>
      <c r="S40995"/>
      <c r="T40995"/>
      <c r="U40995"/>
      <c r="X40995" s="60"/>
    </row>
    <row r="40996" spans="7:24" ht="15" customHeight="1">
      <c r="G40996"/>
      <c r="I40996"/>
      <c r="N40996"/>
      <c r="O40996" s="24"/>
      <c r="P40996"/>
      <c r="Q40996" s="24"/>
      <c r="R40996"/>
      <c r="S40996"/>
      <c r="T40996"/>
      <c r="U40996"/>
      <c r="X40996" s="60"/>
    </row>
    <row r="40997" spans="7:24" ht="15" customHeight="1">
      <c r="G40997"/>
      <c r="I40997"/>
      <c r="N40997"/>
      <c r="O40997" s="24"/>
      <c r="P40997"/>
      <c r="Q40997" s="24"/>
      <c r="R40997"/>
      <c r="S40997"/>
      <c r="T40997"/>
      <c r="U40997"/>
      <c r="X40997" s="60"/>
    </row>
    <row r="40998" spans="7:24" ht="15" customHeight="1">
      <c r="G40998"/>
      <c r="I40998"/>
      <c r="N40998"/>
      <c r="O40998" s="24"/>
      <c r="P40998"/>
      <c r="Q40998" s="24"/>
      <c r="R40998"/>
      <c r="S40998"/>
      <c r="T40998"/>
      <c r="U40998"/>
      <c r="X40998" s="60"/>
    </row>
    <row r="40999" spans="7:24" ht="15" customHeight="1">
      <c r="G40999"/>
      <c r="I40999"/>
      <c r="N40999"/>
      <c r="O40999" s="24"/>
      <c r="P40999"/>
      <c r="Q40999" s="24"/>
      <c r="R40999"/>
      <c r="S40999"/>
      <c r="T40999"/>
      <c r="U40999"/>
      <c r="X40999" s="60"/>
    </row>
    <row r="41000" spans="7:24" ht="15" customHeight="1">
      <c r="G41000"/>
      <c r="I41000"/>
      <c r="N41000"/>
      <c r="O41000" s="24"/>
      <c r="P41000"/>
      <c r="Q41000" s="24"/>
      <c r="R41000"/>
      <c r="S41000"/>
      <c r="T41000"/>
      <c r="U41000"/>
      <c r="X41000" s="60"/>
    </row>
    <row r="41001" spans="7:24" ht="15" customHeight="1">
      <c r="G41001"/>
      <c r="I41001"/>
      <c r="N41001"/>
      <c r="O41001" s="24"/>
      <c r="P41001"/>
      <c r="Q41001" s="24"/>
      <c r="R41001"/>
      <c r="S41001"/>
      <c r="T41001"/>
      <c r="U41001"/>
      <c r="X41001" s="60"/>
    </row>
    <row r="41002" spans="7:24" ht="15" customHeight="1">
      <c r="G41002"/>
      <c r="I41002"/>
      <c r="N41002"/>
      <c r="O41002" s="24"/>
      <c r="P41002"/>
      <c r="Q41002" s="24"/>
      <c r="R41002"/>
      <c r="S41002"/>
      <c r="T41002"/>
      <c r="U41002"/>
      <c r="X41002" s="60"/>
    </row>
    <row r="41003" spans="7:24" ht="15" customHeight="1">
      <c r="G41003"/>
      <c r="I41003"/>
      <c r="N41003"/>
      <c r="O41003" s="24"/>
      <c r="P41003"/>
      <c r="Q41003" s="24"/>
      <c r="R41003"/>
      <c r="S41003"/>
      <c r="T41003"/>
      <c r="U41003"/>
      <c r="X41003" s="60"/>
    </row>
    <row r="41004" spans="7:24" ht="15" customHeight="1">
      <c r="G41004"/>
      <c r="I41004"/>
      <c r="N41004"/>
      <c r="O41004" s="24"/>
      <c r="P41004"/>
      <c r="Q41004" s="24"/>
      <c r="R41004"/>
      <c r="S41004"/>
      <c r="T41004"/>
      <c r="U41004"/>
      <c r="X41004" s="60"/>
    </row>
    <row r="41005" spans="7:24" ht="15" customHeight="1">
      <c r="G41005"/>
      <c r="I41005"/>
      <c r="N41005"/>
      <c r="O41005" s="24"/>
      <c r="P41005"/>
      <c r="Q41005" s="24"/>
      <c r="R41005"/>
      <c r="S41005"/>
      <c r="T41005"/>
      <c r="U41005"/>
      <c r="X41005" s="60"/>
    </row>
    <row r="41006" spans="7:24" ht="15" customHeight="1">
      <c r="G41006"/>
      <c r="I41006"/>
      <c r="N41006"/>
      <c r="O41006" s="24"/>
      <c r="P41006"/>
      <c r="Q41006" s="24"/>
      <c r="R41006"/>
      <c r="S41006"/>
      <c r="T41006"/>
      <c r="U41006"/>
      <c r="X41006" s="60"/>
    </row>
    <row r="41007" spans="7:24" ht="15" customHeight="1">
      <c r="G41007"/>
      <c r="I41007"/>
      <c r="N41007"/>
      <c r="O41007" s="24"/>
      <c r="P41007"/>
      <c r="Q41007" s="24"/>
      <c r="R41007"/>
      <c r="S41007"/>
      <c r="T41007"/>
      <c r="U41007"/>
      <c r="X41007" s="60"/>
    </row>
    <row r="41008" spans="7:24" ht="15" customHeight="1">
      <c r="G41008"/>
      <c r="I41008"/>
      <c r="N41008"/>
      <c r="O41008" s="24"/>
      <c r="P41008"/>
      <c r="Q41008" s="24"/>
      <c r="R41008"/>
      <c r="S41008"/>
      <c r="T41008"/>
      <c r="U41008"/>
      <c r="X41008" s="60"/>
    </row>
    <row r="41009" spans="7:24" ht="15" customHeight="1">
      <c r="G41009"/>
      <c r="I41009"/>
      <c r="N41009"/>
      <c r="O41009" s="24"/>
      <c r="P41009"/>
      <c r="Q41009" s="24"/>
      <c r="R41009"/>
      <c r="S41009"/>
      <c r="T41009"/>
      <c r="U41009"/>
      <c r="X41009" s="60"/>
    </row>
    <row r="41010" spans="7:24" ht="15" customHeight="1">
      <c r="G41010"/>
      <c r="I41010"/>
      <c r="N41010"/>
      <c r="O41010" s="24"/>
      <c r="P41010"/>
      <c r="Q41010" s="24"/>
      <c r="R41010"/>
      <c r="S41010"/>
      <c r="T41010"/>
      <c r="U41010"/>
      <c r="X41010" s="60"/>
    </row>
    <row r="41011" spans="7:24" ht="15" customHeight="1">
      <c r="G41011"/>
      <c r="I41011"/>
      <c r="N41011"/>
      <c r="O41011" s="24"/>
      <c r="P41011"/>
      <c r="Q41011" s="24"/>
      <c r="R41011"/>
      <c r="S41011"/>
      <c r="T41011"/>
      <c r="U41011"/>
      <c r="X41011" s="60"/>
    </row>
    <row r="41012" spans="7:24" ht="15" customHeight="1">
      <c r="G41012"/>
      <c r="I41012"/>
      <c r="N41012"/>
      <c r="O41012" s="24"/>
      <c r="P41012"/>
      <c r="Q41012" s="24"/>
      <c r="R41012"/>
      <c r="S41012"/>
      <c r="T41012"/>
      <c r="U41012"/>
      <c r="X41012" s="60"/>
    </row>
    <row r="41013" spans="7:24" ht="15" customHeight="1">
      <c r="G41013"/>
      <c r="I41013"/>
      <c r="N41013"/>
      <c r="O41013" s="24"/>
      <c r="P41013"/>
      <c r="Q41013" s="24"/>
      <c r="R41013"/>
      <c r="S41013"/>
      <c r="T41013"/>
      <c r="U41013"/>
      <c r="X41013" s="60"/>
    </row>
    <row r="41014" spans="7:24" ht="15" customHeight="1">
      <c r="G41014"/>
      <c r="I41014"/>
      <c r="N41014"/>
      <c r="O41014" s="24"/>
      <c r="P41014"/>
      <c r="Q41014" s="24"/>
      <c r="R41014"/>
      <c r="S41014"/>
      <c r="T41014"/>
      <c r="U41014"/>
      <c r="X41014" s="60"/>
    </row>
    <row r="41015" spans="7:24" ht="15" customHeight="1">
      <c r="G41015"/>
      <c r="I41015"/>
      <c r="N41015"/>
      <c r="O41015" s="24"/>
      <c r="P41015"/>
      <c r="Q41015" s="24"/>
      <c r="R41015"/>
      <c r="S41015"/>
      <c r="T41015"/>
      <c r="U41015"/>
      <c r="X41015" s="60"/>
    </row>
    <row r="41016" spans="7:24" ht="15" customHeight="1">
      <c r="G41016"/>
      <c r="I41016"/>
      <c r="N41016"/>
      <c r="O41016" s="24"/>
      <c r="P41016"/>
      <c r="Q41016" s="24"/>
      <c r="R41016"/>
      <c r="S41016"/>
      <c r="T41016"/>
      <c r="U41016"/>
      <c r="X41016" s="60"/>
    </row>
    <row r="41017" spans="7:24" ht="15" customHeight="1">
      <c r="G41017"/>
      <c r="I41017"/>
      <c r="N41017"/>
      <c r="O41017" s="24"/>
      <c r="P41017"/>
      <c r="Q41017" s="24"/>
      <c r="R41017"/>
      <c r="S41017"/>
      <c r="T41017"/>
      <c r="U41017"/>
      <c r="X41017" s="60"/>
    </row>
    <row r="41018" spans="7:24" ht="15" customHeight="1">
      <c r="G41018"/>
      <c r="I41018"/>
      <c r="N41018"/>
      <c r="O41018" s="24"/>
      <c r="P41018"/>
      <c r="Q41018" s="24"/>
      <c r="R41018"/>
      <c r="S41018"/>
      <c r="T41018"/>
      <c r="U41018"/>
      <c r="X41018" s="60"/>
    </row>
    <row r="41019" spans="7:24" ht="15" customHeight="1">
      <c r="G41019"/>
      <c r="I41019"/>
      <c r="N41019"/>
      <c r="O41019" s="24"/>
      <c r="P41019"/>
      <c r="Q41019" s="24"/>
      <c r="R41019"/>
      <c r="S41019"/>
      <c r="T41019"/>
      <c r="U41019"/>
      <c r="X41019" s="60"/>
    </row>
    <row r="41020" spans="7:24" ht="15" customHeight="1">
      <c r="G41020"/>
      <c r="I41020"/>
      <c r="N41020"/>
      <c r="O41020" s="24"/>
      <c r="P41020"/>
      <c r="Q41020" s="24"/>
      <c r="R41020"/>
      <c r="S41020"/>
      <c r="T41020"/>
      <c r="U41020"/>
      <c r="X41020" s="60"/>
    </row>
    <row r="41021" spans="7:24" ht="15" customHeight="1">
      <c r="G41021"/>
      <c r="I41021"/>
      <c r="N41021"/>
      <c r="O41021" s="24"/>
      <c r="P41021"/>
      <c r="Q41021" s="24"/>
      <c r="R41021"/>
      <c r="S41021"/>
      <c r="T41021"/>
      <c r="U41021"/>
      <c r="X41021" s="60"/>
    </row>
    <row r="41022" spans="7:24" ht="15" customHeight="1">
      <c r="G41022"/>
      <c r="I41022"/>
      <c r="N41022"/>
      <c r="O41022" s="24"/>
      <c r="P41022"/>
      <c r="Q41022" s="24"/>
      <c r="R41022"/>
      <c r="S41022"/>
      <c r="T41022"/>
      <c r="U41022"/>
      <c r="X41022" s="60"/>
    </row>
    <row r="41023" spans="7:24" ht="15" customHeight="1">
      <c r="G41023"/>
      <c r="I41023"/>
      <c r="N41023"/>
      <c r="O41023" s="24"/>
      <c r="P41023"/>
      <c r="Q41023" s="24"/>
      <c r="R41023"/>
      <c r="S41023"/>
      <c r="T41023"/>
      <c r="U41023"/>
      <c r="X41023" s="60"/>
    </row>
    <row r="41024" spans="7:24" ht="15" customHeight="1">
      <c r="G41024"/>
      <c r="I41024"/>
      <c r="N41024"/>
      <c r="O41024" s="24"/>
      <c r="P41024"/>
      <c r="Q41024" s="24"/>
      <c r="R41024"/>
      <c r="S41024"/>
      <c r="T41024"/>
      <c r="U41024"/>
      <c r="X41024" s="60"/>
    </row>
    <row r="41025" spans="7:24" ht="15" customHeight="1">
      <c r="G41025"/>
      <c r="I41025"/>
      <c r="N41025"/>
      <c r="O41025" s="24"/>
      <c r="P41025"/>
      <c r="Q41025" s="24"/>
      <c r="R41025"/>
      <c r="S41025"/>
      <c r="T41025"/>
      <c r="U41025"/>
      <c r="X41025" s="60"/>
    </row>
    <row r="41026" spans="7:24" ht="15" customHeight="1">
      <c r="G41026"/>
      <c r="I41026"/>
      <c r="N41026"/>
      <c r="O41026" s="24"/>
      <c r="P41026"/>
      <c r="Q41026" s="24"/>
      <c r="R41026"/>
      <c r="S41026"/>
      <c r="T41026"/>
      <c r="U41026"/>
      <c r="X41026" s="60"/>
    </row>
    <row r="41027" spans="7:24" ht="15" customHeight="1">
      <c r="G41027"/>
      <c r="I41027"/>
      <c r="N41027"/>
      <c r="O41027" s="24"/>
      <c r="P41027"/>
      <c r="Q41027" s="24"/>
      <c r="R41027"/>
      <c r="S41027"/>
      <c r="T41027"/>
      <c r="U41027"/>
      <c r="X41027" s="60"/>
    </row>
    <row r="41028" spans="7:24" ht="15" customHeight="1">
      <c r="G41028"/>
      <c r="I41028"/>
      <c r="N41028"/>
      <c r="O41028" s="24"/>
      <c r="P41028"/>
      <c r="Q41028" s="24"/>
      <c r="R41028"/>
      <c r="S41028"/>
      <c r="T41028"/>
      <c r="U41028"/>
      <c r="X41028" s="60"/>
    </row>
    <row r="41029" spans="7:24" ht="15" customHeight="1">
      <c r="G41029"/>
      <c r="I41029"/>
      <c r="N41029"/>
      <c r="O41029" s="24"/>
      <c r="P41029"/>
      <c r="Q41029" s="24"/>
      <c r="R41029"/>
      <c r="S41029"/>
      <c r="T41029"/>
      <c r="U41029"/>
      <c r="X41029" s="60"/>
    </row>
    <row r="41030" spans="7:24" ht="15" customHeight="1">
      <c r="G41030"/>
      <c r="I41030"/>
      <c r="N41030"/>
      <c r="O41030" s="24"/>
      <c r="P41030"/>
      <c r="Q41030" s="24"/>
      <c r="R41030"/>
      <c r="S41030"/>
      <c r="T41030"/>
      <c r="U41030"/>
      <c r="X41030" s="60"/>
    </row>
    <row r="41031" spans="7:24" ht="15" customHeight="1">
      <c r="G41031"/>
      <c r="I41031"/>
      <c r="N41031"/>
      <c r="O41031" s="24"/>
      <c r="P41031"/>
      <c r="Q41031" s="24"/>
      <c r="R41031"/>
      <c r="S41031"/>
      <c r="T41031"/>
      <c r="U41031"/>
      <c r="X41031" s="60"/>
    </row>
    <row r="41032" spans="7:24" ht="15" customHeight="1">
      <c r="G41032"/>
      <c r="I41032"/>
      <c r="N41032"/>
      <c r="O41032" s="24"/>
      <c r="P41032"/>
      <c r="Q41032" s="24"/>
      <c r="R41032"/>
      <c r="S41032"/>
      <c r="T41032"/>
      <c r="U41032"/>
      <c r="X41032" s="60"/>
    </row>
    <row r="41033" spans="7:24" ht="15" customHeight="1">
      <c r="G41033"/>
      <c r="I41033"/>
      <c r="N41033"/>
      <c r="O41033" s="24"/>
      <c r="P41033"/>
      <c r="Q41033" s="24"/>
      <c r="R41033"/>
      <c r="S41033"/>
      <c r="T41033"/>
      <c r="U41033"/>
      <c r="X41033" s="60"/>
    </row>
    <row r="41034" spans="7:24" ht="15" customHeight="1">
      <c r="G41034"/>
      <c r="I41034"/>
      <c r="N41034"/>
      <c r="O41034" s="24"/>
      <c r="P41034"/>
      <c r="Q41034" s="24"/>
      <c r="R41034"/>
      <c r="S41034"/>
      <c r="T41034"/>
      <c r="U41034"/>
      <c r="X41034" s="60"/>
    </row>
    <row r="41035" spans="7:24" ht="15" customHeight="1">
      <c r="G41035"/>
      <c r="I41035"/>
      <c r="N41035"/>
      <c r="O41035" s="24"/>
      <c r="P41035"/>
      <c r="Q41035" s="24"/>
      <c r="R41035"/>
      <c r="S41035"/>
      <c r="T41035"/>
      <c r="U41035"/>
      <c r="X41035" s="60"/>
    </row>
    <row r="41036" spans="7:24" ht="15" customHeight="1">
      <c r="G41036"/>
      <c r="I41036"/>
      <c r="N41036"/>
      <c r="O41036" s="24"/>
      <c r="P41036"/>
      <c r="Q41036" s="24"/>
      <c r="R41036"/>
      <c r="S41036"/>
      <c r="T41036"/>
      <c r="U41036"/>
      <c r="X41036" s="60"/>
    </row>
    <row r="41037" spans="7:24" ht="15" customHeight="1">
      <c r="G41037"/>
      <c r="I41037"/>
      <c r="N41037"/>
      <c r="O41037" s="24"/>
      <c r="P41037"/>
      <c r="Q41037" s="24"/>
      <c r="R41037"/>
      <c r="S41037"/>
      <c r="T41037"/>
      <c r="U41037"/>
      <c r="X41037" s="60"/>
    </row>
    <row r="41038" spans="7:24" ht="15" customHeight="1">
      <c r="G41038"/>
      <c r="I41038"/>
      <c r="N41038"/>
      <c r="O41038" s="24"/>
      <c r="P41038"/>
      <c r="Q41038" s="24"/>
      <c r="R41038"/>
      <c r="S41038"/>
      <c r="T41038"/>
      <c r="U41038"/>
      <c r="X41038" s="60"/>
    </row>
    <row r="41039" spans="7:24" ht="15" customHeight="1">
      <c r="G41039"/>
      <c r="I41039"/>
      <c r="N41039"/>
      <c r="O41039" s="24"/>
      <c r="P41039"/>
      <c r="Q41039" s="24"/>
      <c r="R41039"/>
      <c r="S41039"/>
      <c r="T41039"/>
      <c r="U41039"/>
      <c r="X41039" s="60"/>
    </row>
    <row r="41040" spans="7:24" ht="15" customHeight="1">
      <c r="G41040"/>
      <c r="I41040"/>
      <c r="N41040"/>
      <c r="O41040" s="24"/>
      <c r="P41040"/>
      <c r="Q41040" s="24"/>
      <c r="R41040"/>
      <c r="S41040"/>
      <c r="T41040"/>
      <c r="U41040"/>
      <c r="X41040" s="60"/>
    </row>
    <row r="41041" spans="7:24" ht="15" customHeight="1">
      <c r="G41041"/>
      <c r="I41041"/>
      <c r="N41041"/>
      <c r="O41041" s="24"/>
      <c r="P41041"/>
      <c r="Q41041" s="24"/>
      <c r="R41041"/>
      <c r="S41041"/>
      <c r="T41041"/>
      <c r="U41041"/>
      <c r="X41041" s="60"/>
    </row>
    <row r="41042" spans="7:24" ht="15" customHeight="1">
      <c r="G41042"/>
      <c r="I41042"/>
      <c r="N41042"/>
      <c r="O41042" s="24"/>
      <c r="P41042"/>
      <c r="Q41042" s="24"/>
      <c r="R41042"/>
      <c r="S41042"/>
      <c r="T41042"/>
      <c r="U41042"/>
      <c r="X41042" s="60"/>
    </row>
    <row r="41043" spans="7:24" ht="15" customHeight="1">
      <c r="G41043"/>
      <c r="I41043"/>
      <c r="N41043"/>
      <c r="O41043" s="24"/>
      <c r="P41043"/>
      <c r="Q41043" s="24"/>
      <c r="R41043"/>
      <c r="S41043"/>
      <c r="T41043"/>
      <c r="U41043"/>
      <c r="X41043" s="60"/>
    </row>
    <row r="41044" spans="7:24" ht="15" customHeight="1">
      <c r="G41044"/>
      <c r="I41044"/>
      <c r="N41044"/>
      <c r="O41044" s="24"/>
      <c r="P41044"/>
      <c r="Q41044" s="24"/>
      <c r="R41044"/>
      <c r="S41044"/>
      <c r="T41044"/>
      <c r="U41044"/>
      <c r="X41044" s="60"/>
    </row>
    <row r="41045" spans="7:24" ht="15" customHeight="1">
      <c r="G41045"/>
      <c r="I41045"/>
      <c r="N41045"/>
      <c r="O41045" s="24"/>
      <c r="P41045"/>
      <c r="Q41045" s="24"/>
      <c r="R41045"/>
      <c r="S41045"/>
      <c r="T41045"/>
      <c r="U41045"/>
      <c r="X41045" s="60"/>
    </row>
    <row r="41046" spans="7:24" ht="15" customHeight="1">
      <c r="G41046"/>
      <c r="I41046"/>
      <c r="N41046"/>
      <c r="O41046" s="24"/>
      <c r="P41046"/>
      <c r="Q41046" s="24"/>
      <c r="R41046"/>
      <c r="S41046"/>
      <c r="T41046"/>
      <c r="U41046"/>
      <c r="X41046" s="60"/>
    </row>
    <row r="41047" spans="7:24" ht="15" customHeight="1">
      <c r="G41047"/>
      <c r="I41047"/>
      <c r="N41047"/>
      <c r="O41047" s="24"/>
      <c r="P41047"/>
      <c r="Q41047" s="24"/>
      <c r="R41047"/>
      <c r="S41047"/>
      <c r="T41047"/>
      <c r="U41047"/>
      <c r="X41047" s="60"/>
    </row>
    <row r="41048" spans="7:24" ht="15" customHeight="1">
      <c r="G41048"/>
      <c r="I41048"/>
      <c r="N41048"/>
      <c r="O41048" s="24"/>
      <c r="P41048"/>
      <c r="Q41048" s="24"/>
      <c r="R41048"/>
      <c r="S41048"/>
      <c r="T41048"/>
      <c r="U41048"/>
      <c r="X41048" s="60"/>
    </row>
    <row r="41049" spans="7:24" ht="15" customHeight="1">
      <c r="G41049"/>
      <c r="I41049"/>
      <c r="N41049"/>
      <c r="O41049" s="24"/>
      <c r="P41049"/>
      <c r="Q41049" s="24"/>
      <c r="R41049"/>
      <c r="S41049"/>
      <c r="T41049"/>
      <c r="U41049"/>
      <c r="X41049" s="60"/>
    </row>
    <row r="41050" spans="7:24" ht="15" customHeight="1">
      <c r="G41050"/>
      <c r="I41050"/>
      <c r="N41050"/>
      <c r="O41050" s="24"/>
      <c r="P41050"/>
      <c r="Q41050" s="24"/>
      <c r="R41050"/>
      <c r="S41050"/>
      <c r="T41050"/>
      <c r="U41050"/>
      <c r="X41050" s="60"/>
    </row>
    <row r="41051" spans="7:24" ht="15" customHeight="1">
      <c r="G41051"/>
      <c r="I41051"/>
      <c r="N41051"/>
      <c r="O41051" s="24"/>
      <c r="P41051"/>
      <c r="Q41051" s="24"/>
      <c r="R41051"/>
      <c r="S41051"/>
      <c r="T41051"/>
      <c r="U41051"/>
      <c r="X41051" s="60"/>
    </row>
    <row r="41052" spans="7:24" ht="15" customHeight="1">
      <c r="G41052"/>
      <c r="I41052"/>
      <c r="N41052"/>
      <c r="O41052" s="24"/>
      <c r="P41052"/>
      <c r="Q41052" s="24"/>
      <c r="R41052"/>
      <c r="S41052"/>
      <c r="T41052"/>
      <c r="U41052"/>
      <c r="X41052" s="60"/>
    </row>
    <row r="41053" spans="7:24" ht="15" customHeight="1">
      <c r="G41053"/>
      <c r="I41053"/>
      <c r="N41053"/>
      <c r="O41053" s="24"/>
      <c r="P41053"/>
      <c r="Q41053" s="24"/>
      <c r="R41053"/>
      <c r="S41053"/>
      <c r="T41053"/>
      <c r="U41053"/>
      <c r="X41053" s="60"/>
    </row>
    <row r="41054" spans="7:24" ht="15" customHeight="1">
      <c r="G41054"/>
      <c r="I41054"/>
      <c r="N41054"/>
      <c r="O41054" s="24"/>
      <c r="P41054"/>
      <c r="Q41054" s="24"/>
      <c r="R41054"/>
      <c r="S41054"/>
      <c r="T41054"/>
      <c r="U41054"/>
      <c r="X41054" s="60"/>
    </row>
    <row r="41055" spans="7:24" ht="15" customHeight="1">
      <c r="G41055"/>
      <c r="I41055"/>
      <c r="N41055"/>
      <c r="O41055" s="24"/>
      <c r="P41055"/>
      <c r="Q41055" s="24"/>
      <c r="R41055"/>
      <c r="S41055"/>
      <c r="T41055"/>
      <c r="U41055"/>
      <c r="X41055" s="60"/>
    </row>
    <row r="41056" spans="7:24" ht="15" customHeight="1">
      <c r="G41056"/>
      <c r="I41056"/>
      <c r="N41056"/>
      <c r="O41056" s="24"/>
      <c r="P41056"/>
      <c r="Q41056" s="24"/>
      <c r="R41056"/>
      <c r="S41056"/>
      <c r="T41056"/>
      <c r="U41056"/>
      <c r="X41056" s="60"/>
    </row>
    <row r="41057" spans="7:24" ht="15" customHeight="1">
      <c r="G41057"/>
      <c r="I41057"/>
      <c r="N41057"/>
      <c r="O41057" s="24"/>
      <c r="P41057"/>
      <c r="Q41057" s="24"/>
      <c r="R41057"/>
      <c r="S41057"/>
      <c r="T41057"/>
      <c r="U41057"/>
      <c r="X41057" s="60"/>
    </row>
    <row r="41058" spans="7:24" ht="15" customHeight="1">
      <c r="G41058"/>
      <c r="I41058"/>
      <c r="N41058"/>
      <c r="O41058" s="24"/>
      <c r="P41058"/>
      <c r="Q41058" s="24"/>
      <c r="R41058"/>
      <c r="S41058"/>
      <c r="T41058"/>
      <c r="U41058"/>
      <c r="X41058" s="60"/>
    </row>
    <row r="41059" spans="7:24" ht="15" customHeight="1">
      <c r="G41059"/>
      <c r="I41059"/>
      <c r="N41059"/>
      <c r="O41059" s="24"/>
      <c r="P41059"/>
      <c r="Q41059" s="24"/>
      <c r="R41059"/>
      <c r="S41059"/>
      <c r="T41059"/>
      <c r="U41059"/>
      <c r="X41059" s="60"/>
    </row>
    <row r="41060" spans="7:24" ht="15" customHeight="1">
      <c r="G41060"/>
      <c r="I41060"/>
      <c r="N41060"/>
      <c r="O41060" s="24"/>
      <c r="P41060"/>
      <c r="Q41060" s="24"/>
      <c r="R41060"/>
      <c r="S41060"/>
      <c r="T41060"/>
      <c r="U41060"/>
      <c r="X41060" s="60"/>
    </row>
    <row r="41061" spans="7:24" ht="15" customHeight="1">
      <c r="G41061"/>
      <c r="I41061"/>
      <c r="N41061"/>
      <c r="O41061" s="24"/>
      <c r="P41061"/>
      <c r="Q41061" s="24"/>
      <c r="R41061"/>
      <c r="S41061"/>
      <c r="T41061"/>
      <c r="U41061"/>
      <c r="X41061" s="60"/>
    </row>
    <row r="41062" spans="7:24" ht="15" customHeight="1">
      <c r="G41062"/>
      <c r="I41062"/>
      <c r="N41062"/>
      <c r="O41062" s="24"/>
      <c r="P41062"/>
      <c r="Q41062" s="24"/>
      <c r="R41062"/>
      <c r="S41062"/>
      <c r="T41062"/>
      <c r="U41062"/>
      <c r="X41062" s="60"/>
    </row>
    <row r="41063" spans="7:24" ht="15" customHeight="1">
      <c r="G41063"/>
      <c r="I41063"/>
      <c r="N41063"/>
      <c r="O41063" s="24"/>
      <c r="P41063"/>
      <c r="Q41063" s="24"/>
      <c r="R41063"/>
      <c r="S41063"/>
      <c r="T41063"/>
      <c r="U41063"/>
      <c r="X41063" s="60"/>
    </row>
    <row r="41064" spans="7:24" ht="15" customHeight="1">
      <c r="G41064"/>
      <c r="I41064"/>
      <c r="N41064"/>
      <c r="O41064" s="24"/>
      <c r="P41064"/>
      <c r="Q41064" s="24"/>
      <c r="R41064"/>
      <c r="S41064"/>
      <c r="T41064"/>
      <c r="U41064"/>
      <c r="X41064" s="60"/>
    </row>
    <row r="41065" spans="7:24" ht="15" customHeight="1">
      <c r="G41065"/>
      <c r="I41065"/>
      <c r="N41065"/>
      <c r="O41065" s="24"/>
      <c r="P41065"/>
      <c r="Q41065" s="24"/>
      <c r="R41065"/>
      <c r="S41065"/>
      <c r="T41065"/>
      <c r="U41065"/>
      <c r="X41065" s="60"/>
    </row>
    <row r="41066" spans="7:24" ht="15" customHeight="1">
      <c r="G41066"/>
      <c r="I41066"/>
      <c r="N41066"/>
      <c r="O41066" s="24"/>
      <c r="P41066"/>
      <c r="Q41066" s="24"/>
      <c r="R41066"/>
      <c r="S41066"/>
      <c r="T41066"/>
      <c r="U41066"/>
      <c r="X41066" s="60"/>
    </row>
    <row r="41067" spans="7:24" ht="15" customHeight="1">
      <c r="G41067"/>
      <c r="I41067"/>
      <c r="N41067"/>
      <c r="O41067" s="24"/>
      <c r="P41067"/>
      <c r="Q41067" s="24"/>
      <c r="R41067"/>
      <c r="S41067"/>
      <c r="T41067"/>
      <c r="U41067"/>
      <c r="X41067" s="60"/>
    </row>
    <row r="41068" spans="7:24" ht="15" customHeight="1">
      <c r="G41068"/>
      <c r="I41068"/>
      <c r="N41068"/>
      <c r="O41068" s="24"/>
      <c r="P41068"/>
      <c r="Q41068" s="24"/>
      <c r="R41068"/>
      <c r="S41068"/>
      <c r="T41068"/>
      <c r="U41068"/>
      <c r="X41068" s="60"/>
    </row>
    <row r="41069" spans="7:24" ht="15" customHeight="1">
      <c r="G41069"/>
      <c r="I41069"/>
      <c r="N41069"/>
      <c r="O41069" s="24"/>
      <c r="P41069"/>
      <c r="Q41069" s="24"/>
      <c r="R41069"/>
      <c r="S41069"/>
      <c r="T41069"/>
      <c r="U41069"/>
      <c r="X41069" s="60"/>
    </row>
    <row r="41070" spans="7:24" ht="15" customHeight="1">
      <c r="G41070"/>
      <c r="I41070"/>
      <c r="N41070"/>
      <c r="O41070" s="24"/>
      <c r="P41070"/>
      <c r="Q41070" s="24"/>
      <c r="R41070"/>
      <c r="S41070"/>
      <c r="T41070"/>
      <c r="U41070"/>
      <c r="X41070" s="60"/>
    </row>
    <row r="41071" spans="7:24" ht="15" customHeight="1">
      <c r="G41071"/>
      <c r="I41071"/>
      <c r="N41071"/>
      <c r="O41071" s="24"/>
      <c r="P41071"/>
      <c r="Q41071" s="24"/>
      <c r="R41071"/>
      <c r="S41071"/>
      <c r="T41071"/>
      <c r="U41071"/>
      <c r="X41071" s="60"/>
    </row>
    <row r="41072" spans="7:24" ht="15" customHeight="1">
      <c r="G41072"/>
      <c r="I41072"/>
      <c r="N41072"/>
      <c r="O41072" s="24"/>
      <c r="P41072"/>
      <c r="Q41072" s="24"/>
      <c r="R41072"/>
      <c r="S41072"/>
      <c r="T41072"/>
      <c r="U41072"/>
      <c r="X41072" s="60"/>
    </row>
    <row r="41073" spans="7:24" ht="15" customHeight="1">
      <c r="G41073"/>
      <c r="I41073"/>
      <c r="N41073"/>
      <c r="O41073" s="24"/>
      <c r="P41073"/>
      <c r="Q41073" s="24"/>
      <c r="R41073"/>
      <c r="S41073"/>
      <c r="T41073"/>
      <c r="U41073"/>
      <c r="X41073" s="60"/>
    </row>
    <row r="41074" spans="7:24" ht="15" customHeight="1">
      <c r="G41074"/>
      <c r="I41074"/>
      <c r="N41074"/>
      <c r="O41074" s="24"/>
      <c r="P41074"/>
      <c r="Q41074" s="24"/>
      <c r="R41074"/>
      <c r="S41074"/>
      <c r="T41074"/>
      <c r="U41074"/>
      <c r="X41074" s="60"/>
    </row>
    <row r="41075" spans="7:24" ht="15" customHeight="1">
      <c r="G41075"/>
      <c r="I41075"/>
      <c r="N41075"/>
      <c r="O41075" s="24"/>
      <c r="P41075"/>
      <c r="Q41075" s="24"/>
      <c r="R41075"/>
      <c r="S41075"/>
      <c r="T41075"/>
      <c r="U41075"/>
      <c r="X41075" s="60"/>
    </row>
    <row r="41076" spans="7:24" ht="15" customHeight="1">
      <c r="G41076"/>
      <c r="I41076"/>
      <c r="N41076"/>
      <c r="O41076" s="24"/>
      <c r="P41076"/>
      <c r="Q41076" s="24"/>
      <c r="R41076"/>
      <c r="S41076"/>
      <c r="T41076"/>
      <c r="U41076"/>
      <c r="X41076" s="60"/>
    </row>
    <row r="41077" spans="7:24" ht="15" customHeight="1">
      <c r="G41077"/>
      <c r="I41077"/>
      <c r="N41077"/>
      <c r="O41077" s="24"/>
      <c r="P41077"/>
      <c r="Q41077" s="24"/>
      <c r="R41077"/>
      <c r="S41077"/>
      <c r="T41077"/>
      <c r="U41077"/>
      <c r="X41077" s="60"/>
    </row>
    <row r="41078" spans="7:24" ht="15" customHeight="1">
      <c r="G41078"/>
      <c r="I41078"/>
      <c r="N41078"/>
      <c r="O41078" s="24"/>
      <c r="P41078"/>
      <c r="Q41078" s="24"/>
      <c r="R41078"/>
      <c r="S41078"/>
      <c r="T41078"/>
      <c r="U41078"/>
      <c r="X41078" s="60"/>
    </row>
    <row r="41079" spans="7:24" ht="15" customHeight="1">
      <c r="G41079"/>
      <c r="I41079"/>
      <c r="N41079"/>
      <c r="O41079" s="24"/>
      <c r="P41079"/>
      <c r="Q41079" s="24"/>
      <c r="R41079"/>
      <c r="S41079"/>
      <c r="T41079"/>
      <c r="U41079"/>
      <c r="X41079" s="60"/>
    </row>
    <row r="41080" spans="7:24" ht="15" customHeight="1">
      <c r="G41080"/>
      <c r="I41080"/>
      <c r="N41080"/>
      <c r="O41080" s="24"/>
      <c r="P41080"/>
      <c r="Q41080" s="24"/>
      <c r="R41080"/>
      <c r="S41080"/>
      <c r="T41080"/>
      <c r="U41080"/>
      <c r="X41080" s="60"/>
    </row>
    <row r="41081" spans="7:24" ht="15" customHeight="1">
      <c r="G41081"/>
      <c r="I41081"/>
      <c r="N41081"/>
      <c r="O41081" s="24"/>
      <c r="P41081"/>
      <c r="Q41081" s="24"/>
      <c r="R41081"/>
      <c r="S41081"/>
      <c r="T41081"/>
      <c r="U41081"/>
      <c r="X41081" s="60"/>
    </row>
    <row r="41082" spans="7:24" ht="15" customHeight="1">
      <c r="G41082"/>
      <c r="I41082"/>
      <c r="N41082"/>
      <c r="O41082" s="24"/>
      <c r="P41082"/>
      <c r="Q41082" s="24"/>
      <c r="R41082"/>
      <c r="S41082"/>
      <c r="T41082"/>
      <c r="U41082"/>
      <c r="X41082" s="60"/>
    </row>
    <row r="41083" spans="7:24" ht="15" customHeight="1">
      <c r="G41083"/>
      <c r="I41083"/>
      <c r="N41083"/>
      <c r="O41083" s="24"/>
      <c r="P41083"/>
      <c r="Q41083" s="24"/>
      <c r="R41083"/>
      <c r="S41083"/>
      <c r="T41083"/>
      <c r="U41083"/>
      <c r="X41083" s="60"/>
    </row>
    <row r="41084" spans="7:24" ht="15" customHeight="1">
      <c r="G41084"/>
      <c r="I41084"/>
      <c r="N41084"/>
      <c r="O41084" s="24"/>
      <c r="P41084"/>
      <c r="Q41084" s="24"/>
      <c r="R41084"/>
      <c r="S41084"/>
      <c r="T41084"/>
      <c r="U41084"/>
      <c r="X41084" s="60"/>
    </row>
    <row r="41085" spans="7:24" ht="15" customHeight="1">
      <c r="G41085"/>
      <c r="I41085"/>
      <c r="N41085"/>
      <c r="O41085" s="24"/>
      <c r="P41085"/>
      <c r="Q41085" s="24"/>
      <c r="R41085"/>
      <c r="S41085"/>
      <c r="T41085"/>
      <c r="U41085"/>
      <c r="X41085" s="60"/>
    </row>
    <row r="41086" spans="7:24" ht="15" customHeight="1">
      <c r="G41086"/>
      <c r="I41086"/>
      <c r="N41086"/>
      <c r="O41086" s="24"/>
      <c r="P41086"/>
      <c r="Q41086" s="24"/>
      <c r="R41086"/>
      <c r="S41086"/>
      <c r="T41086"/>
      <c r="U41086"/>
      <c r="X41086" s="60"/>
    </row>
    <row r="41087" spans="7:24" ht="15" customHeight="1">
      <c r="G41087"/>
      <c r="I41087"/>
      <c r="N41087"/>
      <c r="O41087" s="24"/>
      <c r="P41087"/>
      <c r="Q41087" s="24"/>
      <c r="R41087"/>
      <c r="S41087"/>
      <c r="T41087"/>
      <c r="U41087"/>
      <c r="X41087" s="60"/>
    </row>
    <row r="41088" spans="7:24" ht="15" customHeight="1">
      <c r="G41088"/>
      <c r="I41088"/>
      <c r="N41088"/>
      <c r="O41088" s="24"/>
      <c r="P41088"/>
      <c r="Q41088" s="24"/>
      <c r="R41088"/>
      <c r="S41088"/>
      <c r="T41088"/>
      <c r="U41088"/>
      <c r="X41088" s="60"/>
    </row>
    <row r="41089" spans="7:24" ht="15" customHeight="1">
      <c r="G41089"/>
      <c r="I41089"/>
      <c r="N41089"/>
      <c r="O41089" s="24"/>
      <c r="P41089"/>
      <c r="Q41089" s="24"/>
      <c r="R41089"/>
      <c r="S41089"/>
      <c r="T41089"/>
      <c r="U41089"/>
      <c r="X41089" s="60"/>
    </row>
    <row r="41090" spans="7:24" ht="15" customHeight="1">
      <c r="G41090"/>
      <c r="I41090"/>
      <c r="N41090"/>
      <c r="O41090" s="24"/>
      <c r="P41090"/>
      <c r="Q41090" s="24"/>
      <c r="R41090"/>
      <c r="S41090"/>
      <c r="T41090"/>
      <c r="U41090"/>
      <c r="X41090" s="60"/>
    </row>
    <row r="41091" spans="7:24" ht="15" customHeight="1">
      <c r="G41091"/>
      <c r="I41091"/>
      <c r="N41091"/>
      <c r="O41091" s="24"/>
      <c r="P41091"/>
      <c r="Q41091" s="24"/>
      <c r="R41091"/>
      <c r="S41091"/>
      <c r="T41091"/>
      <c r="U41091"/>
      <c r="X41091" s="60"/>
    </row>
    <row r="41092" spans="7:24" ht="15" customHeight="1">
      <c r="G41092"/>
      <c r="I41092"/>
      <c r="N41092"/>
      <c r="O41092" s="24"/>
      <c r="P41092"/>
      <c r="Q41092" s="24"/>
      <c r="R41092"/>
      <c r="S41092"/>
      <c r="T41092"/>
      <c r="U41092"/>
      <c r="X41092" s="60"/>
    </row>
    <row r="41093" spans="7:24" ht="15" customHeight="1">
      <c r="G41093"/>
      <c r="I41093"/>
      <c r="N41093"/>
      <c r="O41093" s="24"/>
      <c r="P41093"/>
      <c r="Q41093" s="24"/>
      <c r="R41093"/>
      <c r="S41093"/>
      <c r="T41093"/>
      <c r="U41093"/>
      <c r="X41093" s="60"/>
    </row>
    <row r="41094" spans="7:24" ht="15" customHeight="1">
      <c r="G41094"/>
      <c r="I41094"/>
      <c r="N41094"/>
      <c r="O41094" s="24"/>
      <c r="P41094"/>
      <c r="Q41094" s="24"/>
      <c r="R41094"/>
      <c r="S41094"/>
      <c r="T41094"/>
      <c r="U41094"/>
      <c r="X41094" s="60"/>
    </row>
    <row r="41095" spans="7:24" ht="15" customHeight="1">
      <c r="G41095"/>
      <c r="I41095"/>
      <c r="N41095"/>
      <c r="O41095" s="24"/>
      <c r="P41095"/>
      <c r="Q41095" s="24"/>
      <c r="R41095"/>
      <c r="S41095"/>
      <c r="T41095"/>
      <c r="U41095"/>
      <c r="X41095" s="60"/>
    </row>
    <row r="41096" spans="7:24" ht="15" customHeight="1">
      <c r="G41096"/>
      <c r="I41096"/>
      <c r="N41096"/>
      <c r="O41096" s="24"/>
      <c r="P41096"/>
      <c r="Q41096" s="24"/>
      <c r="R41096"/>
      <c r="S41096"/>
      <c r="T41096"/>
      <c r="U41096"/>
      <c r="X41096" s="60"/>
    </row>
    <row r="41097" spans="7:24" ht="15" customHeight="1">
      <c r="G41097"/>
      <c r="I41097"/>
      <c r="N41097"/>
      <c r="O41097" s="24"/>
      <c r="P41097"/>
      <c r="Q41097" s="24"/>
      <c r="R41097"/>
      <c r="S41097"/>
      <c r="T41097"/>
      <c r="U41097"/>
      <c r="X41097" s="60"/>
    </row>
    <row r="41098" spans="7:24" ht="15" customHeight="1">
      <c r="G41098"/>
      <c r="I41098"/>
      <c r="N41098"/>
      <c r="O41098" s="24"/>
      <c r="P41098"/>
      <c r="Q41098" s="24"/>
      <c r="R41098"/>
      <c r="S41098"/>
      <c r="T41098"/>
      <c r="U41098"/>
      <c r="X41098" s="60"/>
    </row>
    <row r="41099" spans="7:24" ht="15" customHeight="1">
      <c r="G41099"/>
      <c r="I41099"/>
      <c r="N41099"/>
      <c r="O41099" s="24"/>
      <c r="P41099"/>
      <c r="Q41099" s="24"/>
      <c r="R41099"/>
      <c r="S41099"/>
      <c r="T41099"/>
      <c r="U41099"/>
      <c r="X41099" s="60"/>
    </row>
    <row r="41100" spans="7:24" ht="15" customHeight="1">
      <c r="G41100"/>
      <c r="I41100"/>
      <c r="N41100"/>
      <c r="O41100" s="24"/>
      <c r="P41100"/>
      <c r="Q41100" s="24"/>
      <c r="R41100"/>
      <c r="S41100"/>
      <c r="T41100"/>
      <c r="U41100"/>
      <c r="X41100" s="60"/>
    </row>
    <row r="41101" spans="7:24" ht="15" customHeight="1">
      <c r="G41101"/>
      <c r="I41101"/>
      <c r="N41101"/>
      <c r="O41101" s="24"/>
      <c r="P41101"/>
      <c r="Q41101" s="24"/>
      <c r="R41101"/>
      <c r="S41101"/>
      <c r="T41101"/>
      <c r="U41101"/>
      <c r="X41101" s="60"/>
    </row>
    <row r="41102" spans="7:24" ht="15" customHeight="1">
      <c r="G41102"/>
      <c r="I41102"/>
      <c r="N41102"/>
      <c r="O41102" s="24"/>
      <c r="P41102"/>
      <c r="Q41102" s="24"/>
      <c r="R41102"/>
      <c r="S41102"/>
      <c r="T41102"/>
      <c r="U41102"/>
      <c r="X41102" s="60"/>
    </row>
    <row r="41103" spans="7:24" ht="15" customHeight="1">
      <c r="G41103"/>
      <c r="I41103"/>
      <c r="N41103"/>
      <c r="O41103" s="24"/>
      <c r="P41103"/>
      <c r="Q41103" s="24"/>
      <c r="R41103"/>
      <c r="S41103"/>
      <c r="T41103"/>
      <c r="U41103"/>
      <c r="X41103" s="60"/>
    </row>
    <row r="41104" spans="7:24" ht="15" customHeight="1">
      <c r="G41104"/>
      <c r="I41104"/>
      <c r="N41104"/>
      <c r="O41104" s="24"/>
      <c r="P41104"/>
      <c r="Q41104" s="24"/>
      <c r="R41104"/>
      <c r="S41104"/>
      <c r="T41104"/>
      <c r="U41104"/>
      <c r="X41104" s="60"/>
    </row>
    <row r="41105" spans="7:24" ht="15" customHeight="1">
      <c r="G41105"/>
      <c r="I41105"/>
      <c r="N41105"/>
      <c r="O41105" s="24"/>
      <c r="P41105"/>
      <c r="Q41105" s="24"/>
      <c r="R41105"/>
      <c r="S41105"/>
      <c r="T41105"/>
      <c r="U41105"/>
      <c r="X41105" s="60"/>
    </row>
    <row r="41106" spans="7:24" ht="15" customHeight="1">
      <c r="G41106"/>
      <c r="I41106"/>
      <c r="N41106"/>
      <c r="O41106" s="24"/>
      <c r="P41106"/>
      <c r="Q41106" s="24"/>
      <c r="R41106"/>
      <c r="S41106"/>
      <c r="T41106"/>
      <c r="U41106"/>
      <c r="X41106" s="60"/>
    </row>
    <row r="41107" spans="7:24" ht="15" customHeight="1">
      <c r="G41107"/>
      <c r="I41107"/>
      <c r="N41107"/>
      <c r="O41107" s="24"/>
      <c r="P41107"/>
      <c r="Q41107" s="24"/>
      <c r="R41107"/>
      <c r="S41107"/>
      <c r="T41107"/>
      <c r="U41107"/>
      <c r="X41107" s="60"/>
    </row>
    <row r="41108" spans="7:24" ht="15" customHeight="1">
      <c r="G41108"/>
      <c r="I41108"/>
      <c r="N41108"/>
      <c r="O41108" s="24"/>
      <c r="P41108"/>
      <c r="Q41108" s="24"/>
      <c r="R41108"/>
      <c r="S41108"/>
      <c r="T41108"/>
      <c r="U41108"/>
      <c r="X41108" s="60"/>
    </row>
    <row r="41109" spans="7:24" ht="15" customHeight="1">
      <c r="G41109"/>
      <c r="I41109"/>
      <c r="N41109"/>
      <c r="O41109" s="24"/>
      <c r="P41109"/>
      <c r="Q41109" s="24"/>
      <c r="R41109"/>
      <c r="S41109"/>
      <c r="T41109"/>
      <c r="U41109"/>
      <c r="X41109" s="60"/>
    </row>
    <row r="41110" spans="7:24" ht="15" customHeight="1">
      <c r="G41110"/>
      <c r="I41110"/>
      <c r="N41110"/>
      <c r="O41110" s="24"/>
      <c r="P41110"/>
      <c r="Q41110" s="24"/>
      <c r="R41110"/>
      <c r="S41110"/>
      <c r="T41110"/>
      <c r="U41110"/>
      <c r="X41110" s="60"/>
    </row>
    <row r="41111" spans="7:24" ht="15" customHeight="1">
      <c r="G41111"/>
      <c r="I41111"/>
      <c r="N41111"/>
      <c r="O41111" s="24"/>
      <c r="P41111"/>
      <c r="Q41111" s="24"/>
      <c r="R41111"/>
      <c r="S41111"/>
      <c r="T41111"/>
      <c r="U41111"/>
      <c r="X41111" s="60"/>
    </row>
    <row r="41112" spans="7:24" ht="15" customHeight="1">
      <c r="G41112"/>
      <c r="I41112"/>
      <c r="N41112"/>
      <c r="O41112" s="24"/>
      <c r="P41112"/>
      <c r="Q41112" s="24"/>
      <c r="R41112"/>
      <c r="S41112"/>
      <c r="T41112"/>
      <c r="U41112"/>
      <c r="X41112" s="60"/>
    </row>
    <row r="41113" spans="7:24" ht="15" customHeight="1">
      <c r="G41113"/>
      <c r="I41113"/>
      <c r="N41113"/>
      <c r="O41113" s="24"/>
      <c r="P41113"/>
      <c r="Q41113" s="24"/>
      <c r="R41113"/>
      <c r="S41113"/>
      <c r="T41113"/>
      <c r="U41113"/>
      <c r="X41113" s="60"/>
    </row>
    <row r="41114" spans="7:24" ht="15" customHeight="1">
      <c r="G41114"/>
      <c r="I41114"/>
      <c r="N41114"/>
      <c r="O41114" s="24"/>
      <c r="P41114"/>
      <c r="Q41114" s="24"/>
      <c r="R41114"/>
      <c r="S41114"/>
      <c r="T41114"/>
      <c r="U41114"/>
      <c r="X41114" s="60"/>
    </row>
    <row r="41115" spans="7:24" ht="15" customHeight="1">
      <c r="G41115"/>
      <c r="I41115"/>
      <c r="N41115"/>
      <c r="O41115" s="24"/>
      <c r="P41115"/>
      <c r="Q41115" s="24"/>
      <c r="R41115"/>
      <c r="S41115"/>
      <c r="T41115"/>
      <c r="U41115"/>
      <c r="X41115" s="60"/>
    </row>
    <row r="41116" spans="7:24" ht="15" customHeight="1">
      <c r="G41116"/>
      <c r="I41116"/>
      <c r="N41116"/>
      <c r="O41116" s="24"/>
      <c r="P41116"/>
      <c r="Q41116" s="24"/>
      <c r="R41116"/>
      <c r="S41116"/>
      <c r="T41116"/>
      <c r="U41116"/>
      <c r="X41116" s="60"/>
    </row>
    <row r="41117" spans="7:24" ht="15" customHeight="1">
      <c r="G41117"/>
      <c r="I41117"/>
      <c r="N41117"/>
      <c r="O41117" s="24"/>
      <c r="P41117"/>
      <c r="Q41117" s="24"/>
      <c r="R41117"/>
      <c r="S41117"/>
      <c r="T41117"/>
      <c r="U41117"/>
      <c r="X41117" s="60"/>
    </row>
    <row r="41118" spans="7:24" ht="15" customHeight="1">
      <c r="G41118"/>
      <c r="I41118"/>
      <c r="N41118"/>
      <c r="O41118" s="24"/>
      <c r="P41118"/>
      <c r="Q41118" s="24"/>
      <c r="R41118"/>
      <c r="S41118"/>
      <c r="T41118"/>
      <c r="U41118"/>
      <c r="X41118" s="60"/>
    </row>
    <row r="41119" spans="7:24" ht="15" customHeight="1">
      <c r="G41119"/>
      <c r="I41119"/>
      <c r="N41119"/>
      <c r="O41119" s="24"/>
      <c r="P41119"/>
      <c r="Q41119" s="24"/>
      <c r="R41119"/>
      <c r="S41119"/>
      <c r="T41119"/>
      <c r="U41119"/>
      <c r="X41119" s="60"/>
    </row>
    <row r="41120" spans="7:24" ht="15" customHeight="1">
      <c r="G41120"/>
      <c r="I41120"/>
      <c r="N41120"/>
      <c r="O41120" s="24"/>
      <c r="P41120"/>
      <c r="Q41120" s="24"/>
      <c r="R41120"/>
      <c r="S41120"/>
      <c r="T41120"/>
      <c r="U41120"/>
      <c r="X41120" s="60"/>
    </row>
    <row r="41121" spans="7:24" ht="15" customHeight="1">
      <c r="G41121"/>
      <c r="I41121"/>
      <c r="N41121"/>
      <c r="O41121" s="24"/>
      <c r="P41121"/>
      <c r="Q41121" s="24"/>
      <c r="R41121"/>
      <c r="S41121"/>
      <c r="T41121"/>
      <c r="U41121"/>
      <c r="X41121" s="60"/>
    </row>
    <row r="41122" spans="7:24" ht="15" customHeight="1">
      <c r="G41122"/>
      <c r="I41122"/>
      <c r="N41122"/>
      <c r="O41122" s="24"/>
      <c r="P41122"/>
      <c r="Q41122" s="24"/>
      <c r="R41122"/>
      <c r="S41122"/>
      <c r="T41122"/>
      <c r="U41122"/>
      <c r="X41122" s="60"/>
    </row>
    <row r="41123" spans="7:24" ht="15" customHeight="1">
      <c r="G41123"/>
      <c r="I41123"/>
      <c r="N41123"/>
      <c r="O41123" s="24"/>
      <c r="P41123"/>
      <c r="Q41123" s="24"/>
      <c r="R41123"/>
      <c r="S41123"/>
      <c r="T41123"/>
      <c r="U41123"/>
      <c r="X41123" s="60"/>
    </row>
    <row r="41124" spans="7:24" ht="15" customHeight="1">
      <c r="G41124"/>
      <c r="I41124"/>
      <c r="N41124"/>
      <c r="O41124" s="24"/>
      <c r="P41124"/>
      <c r="Q41124" s="24"/>
      <c r="R41124"/>
      <c r="S41124"/>
      <c r="T41124"/>
      <c r="U41124"/>
      <c r="X41124" s="60"/>
    </row>
    <row r="41125" spans="7:24" ht="15" customHeight="1">
      <c r="G41125"/>
      <c r="I41125"/>
      <c r="N41125"/>
      <c r="O41125" s="24"/>
      <c r="P41125"/>
      <c r="Q41125" s="24"/>
      <c r="R41125"/>
      <c r="S41125"/>
      <c r="T41125"/>
      <c r="U41125"/>
      <c r="X41125" s="60"/>
    </row>
    <row r="41126" spans="7:24" ht="15" customHeight="1">
      <c r="G41126"/>
      <c r="I41126"/>
      <c r="N41126"/>
      <c r="O41126" s="24"/>
      <c r="P41126"/>
      <c r="Q41126" s="24"/>
      <c r="R41126"/>
      <c r="S41126"/>
      <c r="T41126"/>
      <c r="U41126"/>
      <c r="X41126" s="60"/>
    </row>
    <row r="41127" spans="7:24" ht="15" customHeight="1">
      <c r="G41127"/>
      <c r="I41127"/>
      <c r="N41127"/>
      <c r="O41127" s="24"/>
      <c r="P41127"/>
      <c r="Q41127" s="24"/>
      <c r="R41127"/>
      <c r="S41127"/>
      <c r="T41127"/>
      <c r="U41127"/>
      <c r="X41127" s="60"/>
    </row>
    <row r="41128" spans="7:24" ht="15" customHeight="1">
      <c r="G41128"/>
      <c r="I41128"/>
      <c r="N41128"/>
      <c r="O41128" s="24"/>
      <c r="P41128"/>
      <c r="Q41128" s="24"/>
      <c r="R41128"/>
      <c r="S41128"/>
      <c r="T41128"/>
      <c r="U41128"/>
      <c r="X41128" s="60"/>
    </row>
    <row r="41129" spans="7:24" ht="15" customHeight="1">
      <c r="G41129"/>
      <c r="I41129"/>
      <c r="N41129"/>
      <c r="O41129" s="24"/>
      <c r="P41129"/>
      <c r="Q41129" s="24"/>
      <c r="R41129"/>
      <c r="S41129"/>
      <c r="T41129"/>
      <c r="U41129"/>
      <c r="X41129" s="60"/>
    </row>
    <row r="41130" spans="7:24" ht="15" customHeight="1">
      <c r="G41130"/>
      <c r="I41130"/>
      <c r="N41130"/>
      <c r="O41130" s="24"/>
      <c r="P41130"/>
      <c r="Q41130" s="24"/>
      <c r="R41130"/>
      <c r="S41130"/>
      <c r="T41130"/>
      <c r="U41130"/>
      <c r="X41130" s="60"/>
    </row>
    <row r="41131" spans="7:24" ht="15" customHeight="1">
      <c r="G41131"/>
      <c r="I41131"/>
      <c r="N41131"/>
      <c r="O41131" s="24"/>
      <c r="P41131"/>
      <c r="Q41131" s="24"/>
      <c r="R41131"/>
      <c r="S41131"/>
      <c r="T41131"/>
      <c r="U41131"/>
      <c r="X41131" s="60"/>
    </row>
    <row r="41132" spans="7:24" ht="15" customHeight="1">
      <c r="G41132"/>
      <c r="I41132"/>
      <c r="N41132"/>
      <c r="O41132" s="24"/>
      <c r="P41132"/>
      <c r="Q41132" s="24"/>
      <c r="R41132"/>
      <c r="S41132"/>
      <c r="T41132"/>
      <c r="U41132"/>
      <c r="X41132" s="60"/>
    </row>
    <row r="41133" spans="7:24" ht="15" customHeight="1">
      <c r="G41133"/>
      <c r="I41133"/>
      <c r="N41133"/>
      <c r="O41133" s="24"/>
      <c r="P41133"/>
      <c r="Q41133" s="24"/>
      <c r="R41133"/>
      <c r="S41133"/>
      <c r="T41133"/>
      <c r="U41133"/>
      <c r="X41133" s="60"/>
    </row>
    <row r="41134" spans="7:24" ht="15" customHeight="1">
      <c r="G41134"/>
      <c r="I41134"/>
      <c r="N41134"/>
      <c r="O41134" s="24"/>
      <c r="P41134"/>
      <c r="Q41134" s="24"/>
      <c r="R41134"/>
      <c r="S41134"/>
      <c r="T41134"/>
      <c r="U41134"/>
      <c r="X41134" s="60"/>
    </row>
    <row r="41135" spans="7:24" ht="15" customHeight="1">
      <c r="G41135"/>
      <c r="I41135"/>
      <c r="N41135"/>
      <c r="O41135" s="24"/>
      <c r="P41135"/>
      <c r="Q41135" s="24"/>
      <c r="R41135"/>
      <c r="S41135"/>
      <c r="T41135"/>
      <c r="U41135"/>
      <c r="X41135" s="60"/>
    </row>
    <row r="41136" spans="7:24" ht="15" customHeight="1">
      <c r="G41136"/>
      <c r="I41136"/>
      <c r="N41136"/>
      <c r="O41136" s="24"/>
      <c r="P41136"/>
      <c r="Q41136" s="24"/>
      <c r="R41136"/>
      <c r="S41136"/>
      <c r="T41136"/>
      <c r="U41136"/>
      <c r="X41136" s="60"/>
    </row>
    <row r="41137" spans="7:24" ht="15" customHeight="1">
      <c r="G41137"/>
      <c r="I41137"/>
      <c r="N41137"/>
      <c r="O41137" s="24"/>
      <c r="P41137"/>
      <c r="Q41137" s="24"/>
      <c r="R41137"/>
      <c r="S41137"/>
      <c r="T41137"/>
      <c r="U41137"/>
      <c r="X41137" s="60"/>
    </row>
    <row r="41138" spans="7:24" ht="15" customHeight="1">
      <c r="G41138"/>
      <c r="I41138"/>
      <c r="N41138"/>
      <c r="O41138" s="24"/>
      <c r="P41138"/>
      <c r="Q41138" s="24"/>
      <c r="R41138"/>
      <c r="S41138"/>
      <c r="T41138"/>
      <c r="U41138"/>
      <c r="X41138" s="60"/>
    </row>
    <row r="41139" spans="7:24" ht="15" customHeight="1">
      <c r="G41139"/>
      <c r="I41139"/>
      <c r="N41139"/>
      <c r="O41139" s="24"/>
      <c r="P41139"/>
      <c r="Q41139" s="24"/>
      <c r="R41139"/>
      <c r="S41139"/>
      <c r="T41139"/>
      <c r="U41139"/>
      <c r="X41139" s="60"/>
    </row>
    <row r="41140" spans="7:24" ht="15" customHeight="1">
      <c r="G41140"/>
      <c r="I41140"/>
      <c r="N41140"/>
      <c r="O41140" s="24"/>
      <c r="P41140"/>
      <c r="Q41140" s="24"/>
      <c r="R41140"/>
      <c r="S41140"/>
      <c r="T41140"/>
      <c r="U41140"/>
      <c r="X41140" s="60"/>
    </row>
    <row r="41141" spans="7:24" ht="15" customHeight="1">
      <c r="G41141"/>
      <c r="I41141"/>
      <c r="N41141"/>
      <c r="O41141" s="24"/>
      <c r="P41141"/>
      <c r="Q41141" s="24"/>
      <c r="R41141"/>
      <c r="S41141"/>
      <c r="T41141"/>
      <c r="U41141"/>
      <c r="X41141" s="60"/>
    </row>
    <row r="41142" spans="7:24" ht="15" customHeight="1">
      <c r="G41142"/>
      <c r="I41142"/>
      <c r="N41142"/>
      <c r="O41142" s="24"/>
      <c r="P41142"/>
      <c r="Q41142" s="24"/>
      <c r="R41142"/>
      <c r="S41142"/>
      <c r="T41142"/>
      <c r="U41142"/>
      <c r="X41142" s="60"/>
    </row>
    <row r="41143" spans="7:24" ht="15" customHeight="1">
      <c r="G41143"/>
      <c r="I41143"/>
      <c r="N41143"/>
      <c r="O41143" s="24"/>
      <c r="P41143"/>
      <c r="Q41143" s="24"/>
      <c r="R41143"/>
      <c r="S41143"/>
      <c r="T41143"/>
      <c r="U41143"/>
      <c r="X41143" s="60"/>
    </row>
    <row r="41144" spans="7:24" ht="15" customHeight="1">
      <c r="G41144"/>
      <c r="I41144"/>
      <c r="N41144"/>
      <c r="O41144" s="24"/>
      <c r="P41144"/>
      <c r="Q41144" s="24"/>
      <c r="R41144"/>
      <c r="S41144"/>
      <c r="T41144"/>
      <c r="U41144"/>
      <c r="X41144" s="60"/>
    </row>
    <row r="41145" spans="7:24" ht="15" customHeight="1">
      <c r="G41145"/>
      <c r="I41145"/>
      <c r="N41145"/>
      <c r="O41145" s="24"/>
      <c r="P41145"/>
      <c r="Q41145" s="24"/>
      <c r="R41145"/>
      <c r="S41145"/>
      <c r="T41145"/>
      <c r="U41145"/>
      <c r="X41145" s="60"/>
    </row>
    <row r="41146" spans="7:24" ht="15" customHeight="1">
      <c r="G41146"/>
      <c r="I41146"/>
      <c r="N41146"/>
      <c r="O41146" s="24"/>
      <c r="P41146"/>
      <c r="Q41146" s="24"/>
      <c r="R41146"/>
      <c r="S41146"/>
      <c r="T41146"/>
      <c r="U41146"/>
      <c r="X41146" s="60"/>
    </row>
    <row r="41147" spans="7:24" ht="15" customHeight="1">
      <c r="G41147"/>
      <c r="I41147"/>
      <c r="N41147"/>
      <c r="O41147" s="24"/>
      <c r="P41147"/>
      <c r="Q41147" s="24"/>
      <c r="R41147"/>
      <c r="S41147"/>
      <c r="T41147"/>
      <c r="U41147"/>
      <c r="X41147" s="60"/>
    </row>
    <row r="41148" spans="7:24" ht="15" customHeight="1">
      <c r="G41148"/>
      <c r="I41148"/>
      <c r="N41148"/>
      <c r="O41148" s="24"/>
      <c r="P41148"/>
      <c r="Q41148" s="24"/>
      <c r="R41148"/>
      <c r="S41148"/>
      <c r="T41148"/>
      <c r="U41148"/>
      <c r="X41148" s="60"/>
    </row>
    <row r="41149" spans="7:24" ht="15" customHeight="1">
      <c r="G41149"/>
      <c r="I41149"/>
      <c r="N41149"/>
      <c r="O41149" s="24"/>
      <c r="P41149"/>
      <c r="Q41149" s="24"/>
      <c r="R41149"/>
      <c r="S41149"/>
      <c r="T41149"/>
      <c r="U41149"/>
      <c r="X41149" s="60"/>
    </row>
    <row r="41150" spans="7:24" ht="15" customHeight="1">
      <c r="G41150"/>
      <c r="I41150"/>
      <c r="N41150"/>
      <c r="O41150" s="24"/>
      <c r="P41150"/>
      <c r="Q41150" s="24"/>
      <c r="R41150"/>
      <c r="S41150"/>
      <c r="T41150"/>
      <c r="U41150"/>
      <c r="X41150" s="60"/>
    </row>
    <row r="41151" spans="7:24" ht="15" customHeight="1">
      <c r="G41151"/>
      <c r="I41151"/>
      <c r="N41151"/>
      <c r="O41151" s="24"/>
      <c r="P41151"/>
      <c r="Q41151" s="24"/>
      <c r="R41151"/>
      <c r="S41151"/>
      <c r="T41151"/>
      <c r="U41151"/>
      <c r="X41151" s="60"/>
    </row>
    <row r="41152" spans="7:24" ht="15" customHeight="1">
      <c r="G41152"/>
      <c r="I41152"/>
      <c r="N41152"/>
      <c r="O41152" s="24"/>
      <c r="P41152"/>
      <c r="Q41152" s="24"/>
      <c r="R41152"/>
      <c r="S41152"/>
      <c r="T41152"/>
      <c r="U41152"/>
      <c r="X41152" s="60"/>
    </row>
    <row r="41153" spans="7:24" ht="15" customHeight="1">
      <c r="G41153"/>
      <c r="I41153"/>
      <c r="N41153"/>
      <c r="O41153" s="24"/>
      <c r="P41153"/>
      <c r="Q41153" s="24"/>
      <c r="R41153"/>
      <c r="S41153"/>
      <c r="T41153"/>
      <c r="U41153"/>
      <c r="X41153" s="60"/>
    </row>
    <row r="41154" spans="7:24" ht="15" customHeight="1">
      <c r="G41154"/>
      <c r="I41154"/>
      <c r="N41154"/>
      <c r="O41154" s="24"/>
      <c r="P41154"/>
      <c r="Q41154" s="24"/>
      <c r="R41154"/>
      <c r="S41154"/>
      <c r="T41154"/>
      <c r="U41154"/>
      <c r="X41154" s="60"/>
    </row>
    <row r="41155" spans="7:24" ht="15" customHeight="1">
      <c r="G41155"/>
      <c r="I41155"/>
      <c r="N41155"/>
      <c r="O41155" s="24"/>
      <c r="P41155"/>
      <c r="Q41155" s="24"/>
      <c r="R41155"/>
      <c r="S41155"/>
      <c r="T41155"/>
      <c r="U41155"/>
      <c r="X41155" s="60"/>
    </row>
    <row r="41156" spans="7:24" ht="15" customHeight="1">
      <c r="G41156"/>
      <c r="I41156"/>
      <c r="N41156"/>
      <c r="O41156" s="24"/>
      <c r="P41156"/>
      <c r="Q41156" s="24"/>
      <c r="R41156"/>
      <c r="S41156"/>
      <c r="T41156"/>
      <c r="U41156"/>
      <c r="X41156" s="60"/>
    </row>
    <row r="41157" spans="7:24" ht="15" customHeight="1">
      <c r="G41157"/>
      <c r="I41157"/>
      <c r="N41157"/>
      <c r="O41157" s="24"/>
      <c r="P41157"/>
      <c r="Q41157" s="24"/>
      <c r="R41157"/>
      <c r="S41157"/>
      <c r="T41157"/>
      <c r="U41157"/>
      <c r="X41157" s="60"/>
    </row>
    <row r="41158" spans="7:24" ht="15" customHeight="1">
      <c r="G41158"/>
      <c r="I41158"/>
      <c r="N41158"/>
      <c r="O41158" s="24"/>
      <c r="P41158"/>
      <c r="Q41158" s="24"/>
      <c r="R41158"/>
      <c r="S41158"/>
      <c r="T41158"/>
      <c r="U41158"/>
      <c r="X41158" s="60"/>
    </row>
    <row r="41159" spans="7:24" ht="15" customHeight="1">
      <c r="G41159"/>
      <c r="I41159"/>
      <c r="N41159"/>
      <c r="O41159" s="24"/>
      <c r="P41159"/>
      <c r="Q41159" s="24"/>
      <c r="R41159"/>
      <c r="S41159"/>
      <c r="T41159"/>
      <c r="U41159"/>
      <c r="X41159" s="60"/>
    </row>
    <row r="41160" spans="7:24" ht="15" customHeight="1">
      <c r="G41160"/>
      <c r="I41160"/>
      <c r="N41160"/>
      <c r="O41160" s="24"/>
      <c r="P41160"/>
      <c r="Q41160" s="24"/>
      <c r="R41160"/>
      <c r="S41160"/>
      <c r="T41160"/>
      <c r="U41160"/>
      <c r="X41160" s="60"/>
    </row>
    <row r="41161" spans="7:24" ht="15" customHeight="1">
      <c r="G41161"/>
      <c r="I41161"/>
      <c r="N41161"/>
      <c r="O41161" s="24"/>
      <c r="P41161"/>
      <c r="Q41161" s="24"/>
      <c r="R41161"/>
      <c r="S41161"/>
      <c r="T41161"/>
      <c r="U41161"/>
      <c r="X41161" s="60"/>
    </row>
    <row r="41162" spans="7:24" ht="15" customHeight="1">
      <c r="G41162"/>
      <c r="I41162"/>
      <c r="N41162"/>
      <c r="O41162" s="24"/>
      <c r="P41162"/>
      <c r="Q41162" s="24"/>
      <c r="R41162"/>
      <c r="S41162"/>
      <c r="T41162"/>
      <c r="U41162"/>
      <c r="X41162" s="60"/>
    </row>
    <row r="41163" spans="7:24" ht="15" customHeight="1">
      <c r="G41163"/>
      <c r="I41163"/>
      <c r="N41163"/>
      <c r="O41163" s="24"/>
      <c r="P41163"/>
      <c r="Q41163" s="24"/>
      <c r="R41163"/>
      <c r="S41163"/>
      <c r="T41163"/>
      <c r="U41163"/>
      <c r="X41163" s="60"/>
    </row>
    <row r="41164" spans="7:24" ht="15" customHeight="1">
      <c r="G41164"/>
      <c r="I41164"/>
      <c r="N41164"/>
      <c r="O41164" s="24"/>
      <c r="P41164"/>
      <c r="Q41164" s="24"/>
      <c r="R41164"/>
      <c r="S41164"/>
      <c r="T41164"/>
      <c r="U41164"/>
      <c r="X41164" s="60"/>
    </row>
    <row r="41165" spans="7:24" ht="15" customHeight="1">
      <c r="G41165"/>
      <c r="I41165"/>
      <c r="N41165"/>
      <c r="O41165" s="24"/>
      <c r="P41165"/>
      <c r="Q41165" s="24"/>
      <c r="R41165"/>
      <c r="S41165"/>
      <c r="T41165"/>
      <c r="U41165"/>
      <c r="X41165" s="60"/>
    </row>
    <row r="41166" spans="7:24" ht="15" customHeight="1">
      <c r="G41166"/>
      <c r="I41166"/>
      <c r="N41166"/>
      <c r="O41166" s="24"/>
      <c r="P41166"/>
      <c r="Q41166" s="24"/>
      <c r="R41166"/>
      <c r="S41166"/>
      <c r="T41166"/>
      <c r="U41166"/>
      <c r="X41166" s="60"/>
    </row>
    <row r="41167" spans="7:24" ht="15" customHeight="1">
      <c r="G41167"/>
      <c r="I41167"/>
      <c r="N41167"/>
      <c r="O41167" s="24"/>
      <c r="P41167"/>
      <c r="Q41167" s="24"/>
      <c r="R41167"/>
      <c r="S41167"/>
      <c r="T41167"/>
      <c r="U41167"/>
      <c r="X41167" s="60"/>
    </row>
    <row r="41168" spans="7:24" ht="15" customHeight="1">
      <c r="G41168"/>
      <c r="I41168"/>
      <c r="N41168"/>
      <c r="O41168" s="24"/>
      <c r="P41168"/>
      <c r="Q41168" s="24"/>
      <c r="R41168"/>
      <c r="S41168"/>
      <c r="T41168"/>
      <c r="U41168"/>
      <c r="X41168" s="60"/>
    </row>
    <row r="41169" spans="7:24" ht="15" customHeight="1">
      <c r="G41169"/>
      <c r="I41169"/>
      <c r="N41169"/>
      <c r="O41169" s="24"/>
      <c r="P41169"/>
      <c r="Q41169" s="24"/>
      <c r="R41169"/>
      <c r="S41169"/>
      <c r="T41169"/>
      <c r="U41169"/>
      <c r="X41169" s="60"/>
    </row>
    <row r="41170" spans="7:24" ht="15" customHeight="1">
      <c r="G41170"/>
      <c r="I41170"/>
      <c r="N41170"/>
      <c r="O41170" s="24"/>
      <c r="P41170"/>
      <c r="Q41170" s="24"/>
      <c r="R41170"/>
      <c r="S41170"/>
      <c r="T41170"/>
      <c r="U41170"/>
      <c r="X41170" s="60"/>
    </row>
    <row r="41171" spans="7:24" ht="15" customHeight="1">
      <c r="G41171"/>
      <c r="I41171"/>
      <c r="N41171"/>
      <c r="O41171" s="24"/>
      <c r="P41171"/>
      <c r="Q41171" s="24"/>
      <c r="R41171"/>
      <c r="S41171"/>
      <c r="T41171"/>
      <c r="U41171"/>
      <c r="X41171" s="60"/>
    </row>
    <row r="41172" spans="7:24" ht="15" customHeight="1">
      <c r="G41172"/>
      <c r="I41172"/>
      <c r="N41172"/>
      <c r="O41172" s="24"/>
      <c r="P41172"/>
      <c r="Q41172" s="24"/>
      <c r="R41172"/>
      <c r="S41172"/>
      <c r="T41172"/>
      <c r="U41172"/>
      <c r="X41172" s="60"/>
    </row>
    <row r="41173" spans="7:24" ht="15" customHeight="1">
      <c r="G41173"/>
      <c r="I41173"/>
      <c r="N41173"/>
      <c r="O41173" s="24"/>
      <c r="P41173"/>
      <c r="Q41173" s="24"/>
      <c r="R41173"/>
      <c r="S41173"/>
      <c r="T41173"/>
      <c r="U41173"/>
      <c r="X41173" s="60"/>
    </row>
    <row r="41174" spans="7:24" ht="15" customHeight="1">
      <c r="G41174"/>
      <c r="I41174"/>
      <c r="N41174"/>
      <c r="O41174" s="24"/>
      <c r="P41174"/>
      <c r="Q41174" s="24"/>
      <c r="R41174"/>
      <c r="S41174"/>
      <c r="T41174"/>
      <c r="U41174"/>
      <c r="X41174" s="60"/>
    </row>
    <row r="41175" spans="7:24" ht="15" customHeight="1">
      <c r="G41175"/>
      <c r="I41175"/>
      <c r="N41175"/>
      <c r="O41175" s="24"/>
      <c r="P41175"/>
      <c r="Q41175" s="24"/>
      <c r="R41175"/>
      <c r="S41175"/>
      <c r="T41175"/>
      <c r="U41175"/>
      <c r="X41175" s="60"/>
    </row>
    <row r="41176" spans="7:24" ht="15" customHeight="1">
      <c r="G41176"/>
      <c r="I41176"/>
      <c r="N41176"/>
      <c r="O41176" s="24"/>
      <c r="P41176"/>
      <c r="Q41176" s="24"/>
      <c r="R41176"/>
      <c r="S41176"/>
      <c r="T41176"/>
      <c r="U41176"/>
      <c r="X41176" s="60"/>
    </row>
    <row r="41177" spans="7:24" ht="15" customHeight="1">
      <c r="G41177"/>
      <c r="I41177"/>
      <c r="N41177"/>
      <c r="O41177" s="24"/>
      <c r="P41177"/>
      <c r="Q41177" s="24"/>
      <c r="R41177"/>
      <c r="S41177"/>
      <c r="T41177"/>
      <c r="U41177"/>
      <c r="X41177" s="60"/>
    </row>
    <row r="41178" spans="7:24" ht="15" customHeight="1">
      <c r="G41178"/>
      <c r="I41178"/>
      <c r="N41178"/>
      <c r="O41178" s="24"/>
      <c r="P41178"/>
      <c r="Q41178" s="24"/>
      <c r="R41178"/>
      <c r="S41178"/>
      <c r="T41178"/>
      <c r="U41178"/>
      <c r="X41178" s="60"/>
    </row>
    <row r="41179" spans="7:24" ht="15" customHeight="1">
      <c r="G41179"/>
      <c r="I41179"/>
      <c r="N41179"/>
      <c r="O41179" s="24"/>
      <c r="P41179"/>
      <c r="Q41179" s="24"/>
      <c r="R41179"/>
      <c r="S41179"/>
      <c r="T41179"/>
      <c r="U41179"/>
      <c r="X41179" s="60"/>
    </row>
    <row r="41180" spans="7:24" ht="15" customHeight="1">
      <c r="G41180"/>
      <c r="I41180"/>
      <c r="N41180"/>
      <c r="O41180" s="24"/>
      <c r="P41180"/>
      <c r="Q41180" s="24"/>
      <c r="R41180"/>
      <c r="S41180"/>
      <c r="T41180"/>
      <c r="U41180"/>
      <c r="X41180" s="60"/>
    </row>
    <row r="41181" spans="7:24" ht="15" customHeight="1">
      <c r="G41181"/>
      <c r="I41181"/>
      <c r="N41181"/>
      <c r="O41181" s="24"/>
      <c r="P41181"/>
      <c r="Q41181" s="24"/>
      <c r="R41181"/>
      <c r="S41181"/>
      <c r="T41181"/>
      <c r="U41181"/>
      <c r="X41181" s="60"/>
    </row>
    <row r="41182" spans="7:24" ht="15" customHeight="1">
      <c r="G41182"/>
      <c r="I41182"/>
      <c r="N41182"/>
      <c r="O41182" s="24"/>
      <c r="P41182"/>
      <c r="Q41182" s="24"/>
      <c r="R41182"/>
      <c r="S41182"/>
      <c r="T41182"/>
      <c r="U41182"/>
      <c r="X41182" s="60"/>
    </row>
    <row r="41183" spans="7:24" ht="15" customHeight="1">
      <c r="G41183"/>
      <c r="I41183"/>
      <c r="N41183"/>
      <c r="O41183" s="24"/>
      <c r="P41183"/>
      <c r="Q41183" s="24"/>
      <c r="R41183"/>
      <c r="S41183"/>
      <c r="T41183"/>
      <c r="U41183"/>
      <c r="X41183" s="60"/>
    </row>
    <row r="41184" spans="7:24" ht="15" customHeight="1">
      <c r="G41184"/>
      <c r="I41184"/>
      <c r="N41184"/>
      <c r="O41184" s="24"/>
      <c r="P41184"/>
      <c r="Q41184" s="24"/>
      <c r="R41184"/>
      <c r="S41184"/>
      <c r="T41184"/>
      <c r="U41184"/>
      <c r="X41184" s="60"/>
    </row>
    <row r="41185" spans="7:24" ht="15" customHeight="1">
      <c r="G41185"/>
      <c r="I41185"/>
      <c r="N41185"/>
      <c r="O41185" s="24"/>
      <c r="P41185"/>
      <c r="Q41185" s="24"/>
      <c r="R41185"/>
      <c r="S41185"/>
      <c r="T41185"/>
      <c r="U41185"/>
      <c r="X41185" s="60"/>
    </row>
    <row r="41186" spans="7:24" ht="15" customHeight="1">
      <c r="G41186"/>
      <c r="I41186"/>
      <c r="N41186"/>
      <c r="O41186" s="24"/>
      <c r="P41186"/>
      <c r="Q41186" s="24"/>
      <c r="R41186"/>
      <c r="S41186"/>
      <c r="T41186"/>
      <c r="U41186"/>
      <c r="X41186" s="60"/>
    </row>
    <row r="41187" spans="7:24" ht="15" customHeight="1">
      <c r="G41187"/>
      <c r="I41187"/>
      <c r="N41187"/>
      <c r="O41187" s="24"/>
      <c r="P41187"/>
      <c r="Q41187" s="24"/>
      <c r="R41187"/>
      <c r="S41187"/>
      <c r="T41187"/>
      <c r="U41187"/>
      <c r="X41187" s="60"/>
    </row>
    <row r="41188" spans="7:24" ht="15" customHeight="1">
      <c r="G41188"/>
      <c r="I41188"/>
      <c r="N41188"/>
      <c r="O41188" s="24"/>
      <c r="P41188"/>
      <c r="Q41188" s="24"/>
      <c r="R41188"/>
      <c r="S41188"/>
      <c r="T41188"/>
      <c r="U41188"/>
      <c r="X41188" s="60"/>
    </row>
    <row r="41189" spans="7:24" ht="15" customHeight="1">
      <c r="G41189"/>
      <c r="I41189"/>
      <c r="N41189"/>
      <c r="O41189" s="24"/>
      <c r="P41189"/>
      <c r="Q41189" s="24"/>
      <c r="R41189"/>
      <c r="S41189"/>
      <c r="T41189"/>
      <c r="U41189"/>
      <c r="X41189" s="60"/>
    </row>
    <row r="41190" spans="7:24" ht="15" customHeight="1">
      <c r="G41190"/>
      <c r="I41190"/>
      <c r="N41190"/>
      <c r="O41190" s="24"/>
      <c r="P41190"/>
      <c r="Q41190" s="24"/>
      <c r="R41190"/>
      <c r="S41190"/>
      <c r="T41190"/>
      <c r="U41190"/>
      <c r="X41190" s="60"/>
    </row>
    <row r="41191" spans="7:24" ht="15" customHeight="1">
      <c r="G41191"/>
      <c r="I41191"/>
      <c r="N41191"/>
      <c r="O41191" s="24"/>
      <c r="P41191"/>
      <c r="Q41191" s="24"/>
      <c r="R41191"/>
      <c r="S41191"/>
      <c r="T41191"/>
      <c r="U41191"/>
      <c r="X41191" s="60"/>
    </row>
    <row r="41192" spans="7:24" ht="15" customHeight="1">
      <c r="G41192"/>
      <c r="I41192"/>
      <c r="N41192"/>
      <c r="O41192" s="24"/>
      <c r="P41192"/>
      <c r="Q41192" s="24"/>
      <c r="R41192"/>
      <c r="S41192"/>
      <c r="T41192"/>
      <c r="U41192"/>
      <c r="X41192" s="60"/>
    </row>
    <row r="41193" spans="7:24" ht="15" customHeight="1">
      <c r="G41193"/>
      <c r="I41193"/>
      <c r="N41193"/>
      <c r="O41193" s="24"/>
      <c r="P41193"/>
      <c r="Q41193" s="24"/>
      <c r="R41193"/>
      <c r="S41193"/>
      <c r="T41193"/>
      <c r="U41193"/>
      <c r="X41193" s="60"/>
    </row>
    <row r="41194" spans="7:24" ht="15" customHeight="1">
      <c r="G41194"/>
      <c r="I41194"/>
      <c r="N41194"/>
      <c r="O41194" s="24"/>
      <c r="P41194"/>
      <c r="Q41194" s="24"/>
      <c r="R41194"/>
      <c r="S41194"/>
      <c r="T41194"/>
      <c r="U41194"/>
      <c r="X41194" s="60"/>
    </row>
    <row r="41195" spans="7:24" ht="15" customHeight="1">
      <c r="G41195"/>
      <c r="I41195"/>
      <c r="N41195"/>
      <c r="O41195" s="24"/>
      <c r="P41195"/>
      <c r="Q41195" s="24"/>
      <c r="R41195"/>
      <c r="S41195"/>
      <c r="T41195"/>
      <c r="U41195"/>
      <c r="X41195" s="60"/>
    </row>
    <row r="41196" spans="7:24" ht="15" customHeight="1">
      <c r="G41196"/>
      <c r="I41196"/>
      <c r="N41196"/>
      <c r="O41196" s="24"/>
      <c r="P41196"/>
      <c r="Q41196" s="24"/>
      <c r="R41196"/>
      <c r="S41196"/>
      <c r="T41196"/>
      <c r="U41196"/>
      <c r="X41196" s="60"/>
    </row>
    <row r="41197" spans="7:24" ht="15" customHeight="1">
      <c r="G41197"/>
      <c r="I41197"/>
      <c r="N41197"/>
      <c r="O41197" s="24"/>
      <c r="P41197"/>
      <c r="Q41197" s="24"/>
      <c r="R41197"/>
      <c r="S41197"/>
      <c r="T41197"/>
      <c r="U41197"/>
      <c r="X41197" s="60"/>
    </row>
    <row r="41198" spans="7:24" ht="15" customHeight="1">
      <c r="G41198"/>
      <c r="I41198"/>
      <c r="N41198"/>
      <c r="O41198" s="24"/>
      <c r="P41198"/>
      <c r="Q41198" s="24"/>
      <c r="R41198"/>
      <c r="S41198"/>
      <c r="T41198"/>
      <c r="U41198"/>
      <c r="X41198" s="60"/>
    </row>
    <row r="41199" spans="7:24" ht="15" customHeight="1">
      <c r="G41199"/>
      <c r="I41199"/>
      <c r="N41199"/>
      <c r="O41199" s="24"/>
      <c r="P41199"/>
      <c r="Q41199" s="24"/>
      <c r="R41199"/>
      <c r="S41199"/>
      <c r="T41199"/>
      <c r="U41199"/>
      <c r="X41199" s="60"/>
    </row>
    <row r="41200" spans="7:24" ht="15" customHeight="1">
      <c r="G41200"/>
      <c r="I41200"/>
      <c r="N41200"/>
      <c r="O41200" s="24"/>
      <c r="P41200"/>
      <c r="Q41200" s="24"/>
      <c r="R41200"/>
      <c r="S41200"/>
      <c r="T41200"/>
      <c r="U41200"/>
      <c r="X41200" s="60"/>
    </row>
    <row r="41201" spans="7:24" ht="15" customHeight="1">
      <c r="G41201"/>
      <c r="I41201"/>
      <c r="N41201"/>
      <c r="O41201" s="24"/>
      <c r="P41201"/>
      <c r="Q41201" s="24"/>
      <c r="R41201"/>
      <c r="S41201"/>
      <c r="T41201"/>
      <c r="U41201"/>
      <c r="X41201" s="60"/>
    </row>
    <row r="41202" spans="7:24" ht="15" customHeight="1">
      <c r="G41202"/>
      <c r="I41202"/>
      <c r="N41202"/>
      <c r="O41202" s="24"/>
      <c r="P41202"/>
      <c r="Q41202" s="24"/>
      <c r="R41202"/>
      <c r="S41202"/>
      <c r="T41202"/>
      <c r="U41202"/>
      <c r="X41202" s="60"/>
    </row>
    <row r="41203" spans="7:24" ht="15" customHeight="1">
      <c r="G41203"/>
      <c r="I41203"/>
      <c r="N41203"/>
      <c r="O41203" s="24"/>
      <c r="P41203"/>
      <c r="Q41203" s="24"/>
      <c r="R41203"/>
      <c r="S41203"/>
      <c r="T41203"/>
      <c r="U41203"/>
      <c r="X41203" s="60"/>
    </row>
    <row r="41204" spans="7:24" ht="15" customHeight="1">
      <c r="G41204"/>
      <c r="I41204"/>
      <c r="N41204"/>
      <c r="O41204" s="24"/>
      <c r="P41204"/>
      <c r="Q41204" s="24"/>
      <c r="R41204"/>
      <c r="S41204"/>
      <c r="T41204"/>
      <c r="U41204"/>
      <c r="X41204" s="60"/>
    </row>
    <row r="41205" spans="7:24" ht="15" customHeight="1">
      <c r="G41205"/>
      <c r="I41205"/>
      <c r="N41205"/>
      <c r="O41205" s="24"/>
      <c r="P41205"/>
      <c r="Q41205" s="24"/>
      <c r="R41205"/>
      <c r="S41205"/>
      <c r="T41205"/>
      <c r="U41205"/>
      <c r="X41205" s="60"/>
    </row>
    <row r="41206" spans="7:24" ht="15" customHeight="1">
      <c r="G41206"/>
      <c r="I41206"/>
      <c r="N41206"/>
      <c r="O41206" s="24"/>
      <c r="P41206"/>
      <c r="Q41206" s="24"/>
      <c r="R41206"/>
      <c r="S41206"/>
      <c r="T41206"/>
      <c r="U41206"/>
      <c r="X41206" s="60"/>
    </row>
    <row r="41207" spans="7:24" ht="15" customHeight="1">
      <c r="G41207"/>
      <c r="I41207"/>
      <c r="N41207"/>
      <c r="O41207" s="24"/>
      <c r="P41207"/>
      <c r="Q41207" s="24"/>
      <c r="R41207"/>
      <c r="S41207"/>
      <c r="T41207"/>
      <c r="U41207"/>
      <c r="X41207" s="60"/>
    </row>
    <row r="41208" spans="7:24" ht="15" customHeight="1">
      <c r="G41208"/>
      <c r="I41208"/>
      <c r="N41208"/>
      <c r="O41208" s="24"/>
      <c r="P41208"/>
      <c r="Q41208" s="24"/>
      <c r="R41208"/>
      <c r="S41208"/>
      <c r="T41208"/>
      <c r="U41208"/>
      <c r="X41208" s="60"/>
    </row>
    <row r="41209" spans="7:24" ht="15" customHeight="1">
      <c r="G41209"/>
      <c r="I41209"/>
      <c r="N41209"/>
      <c r="O41209" s="24"/>
      <c r="P41209"/>
      <c r="Q41209" s="24"/>
      <c r="R41209"/>
      <c r="S41209"/>
      <c r="T41209"/>
      <c r="U41209"/>
      <c r="X41209" s="60"/>
    </row>
    <row r="41210" spans="7:24" ht="15" customHeight="1">
      <c r="G41210"/>
      <c r="I41210"/>
      <c r="N41210"/>
      <c r="O41210" s="24"/>
      <c r="P41210"/>
      <c r="Q41210" s="24"/>
      <c r="R41210"/>
      <c r="S41210"/>
      <c r="T41210"/>
      <c r="U41210"/>
      <c r="X41210" s="60"/>
    </row>
    <row r="41211" spans="7:24" ht="15" customHeight="1">
      <c r="G41211"/>
      <c r="I41211"/>
      <c r="N41211"/>
      <c r="O41211" s="24"/>
      <c r="P41211"/>
      <c r="Q41211" s="24"/>
      <c r="R41211"/>
      <c r="S41211"/>
      <c r="T41211"/>
      <c r="U41211"/>
      <c r="X41211" s="60"/>
    </row>
    <row r="41212" spans="7:24" ht="15" customHeight="1">
      <c r="G41212"/>
      <c r="I41212"/>
      <c r="N41212"/>
      <c r="O41212" s="24"/>
      <c r="P41212"/>
      <c r="Q41212" s="24"/>
      <c r="R41212"/>
      <c r="S41212"/>
      <c r="T41212"/>
      <c r="U41212"/>
      <c r="X41212" s="60"/>
    </row>
    <row r="41213" spans="7:24" ht="15" customHeight="1">
      <c r="G41213"/>
      <c r="I41213"/>
      <c r="N41213"/>
      <c r="O41213" s="24"/>
      <c r="P41213"/>
      <c r="Q41213" s="24"/>
      <c r="R41213"/>
      <c r="S41213"/>
      <c r="T41213"/>
      <c r="U41213"/>
      <c r="X41213" s="60"/>
    </row>
    <row r="41214" spans="7:24" ht="15" customHeight="1">
      <c r="G41214"/>
      <c r="I41214"/>
      <c r="N41214"/>
      <c r="O41214" s="24"/>
      <c r="P41214"/>
      <c r="Q41214" s="24"/>
      <c r="R41214"/>
      <c r="S41214"/>
      <c r="T41214"/>
      <c r="U41214"/>
      <c r="X41214" s="60"/>
    </row>
    <row r="41215" spans="7:24" ht="15" customHeight="1">
      <c r="G41215"/>
      <c r="I41215"/>
      <c r="N41215"/>
      <c r="O41215" s="24"/>
      <c r="P41215"/>
      <c r="Q41215" s="24"/>
      <c r="R41215"/>
      <c r="S41215"/>
      <c r="T41215"/>
      <c r="U41215"/>
      <c r="X41215" s="60"/>
    </row>
    <row r="41216" spans="7:24" ht="15" customHeight="1">
      <c r="G41216"/>
      <c r="I41216"/>
      <c r="N41216"/>
      <c r="O41216" s="24"/>
      <c r="P41216"/>
      <c r="Q41216" s="24"/>
      <c r="R41216"/>
      <c r="S41216"/>
      <c r="T41216"/>
      <c r="U41216"/>
      <c r="X41216" s="60"/>
    </row>
    <row r="41217" spans="7:24" ht="15" customHeight="1">
      <c r="G41217"/>
      <c r="I41217"/>
      <c r="N41217"/>
      <c r="O41217" s="24"/>
      <c r="P41217"/>
      <c r="Q41217" s="24"/>
      <c r="R41217"/>
      <c r="S41217"/>
      <c r="T41217"/>
      <c r="U41217"/>
      <c r="X41217" s="60"/>
    </row>
    <row r="41218" spans="7:24" ht="15" customHeight="1">
      <c r="G41218"/>
      <c r="I41218"/>
      <c r="N41218"/>
      <c r="O41218" s="24"/>
      <c r="P41218"/>
      <c r="Q41218" s="24"/>
      <c r="R41218"/>
      <c r="S41218"/>
      <c r="T41218"/>
      <c r="U41218"/>
      <c r="X41218" s="60"/>
    </row>
    <row r="41219" spans="7:24" ht="15" customHeight="1">
      <c r="G41219"/>
      <c r="I41219"/>
      <c r="N41219"/>
      <c r="O41219" s="24"/>
      <c r="P41219"/>
      <c r="Q41219" s="24"/>
      <c r="R41219"/>
      <c r="S41219"/>
      <c r="T41219"/>
      <c r="U41219"/>
      <c r="X41219" s="60"/>
    </row>
    <row r="41220" spans="7:24" ht="15" customHeight="1">
      <c r="G41220"/>
      <c r="I41220"/>
      <c r="N41220"/>
      <c r="O41220" s="24"/>
      <c r="P41220"/>
      <c r="Q41220" s="24"/>
      <c r="R41220"/>
      <c r="S41220"/>
      <c r="T41220"/>
      <c r="U41220"/>
      <c r="X41220" s="60"/>
    </row>
    <row r="41221" spans="7:24" ht="15" customHeight="1">
      <c r="G41221"/>
      <c r="I41221"/>
      <c r="N41221"/>
      <c r="O41221" s="24"/>
      <c r="P41221"/>
      <c r="Q41221" s="24"/>
      <c r="R41221"/>
      <c r="S41221"/>
      <c r="T41221"/>
      <c r="U41221"/>
      <c r="X41221" s="60"/>
    </row>
    <row r="41222" spans="7:24" ht="15" customHeight="1">
      <c r="G41222"/>
      <c r="I41222"/>
      <c r="N41222"/>
      <c r="O41222" s="24"/>
      <c r="P41222"/>
      <c r="Q41222" s="24"/>
      <c r="R41222"/>
      <c r="S41222"/>
      <c r="T41222"/>
      <c r="U41222"/>
      <c r="X41222" s="60"/>
    </row>
    <row r="41223" spans="7:24" ht="15" customHeight="1">
      <c r="G41223"/>
      <c r="I41223"/>
      <c r="N41223"/>
      <c r="O41223" s="24"/>
      <c r="P41223"/>
      <c r="Q41223" s="24"/>
      <c r="R41223"/>
      <c r="S41223"/>
      <c r="T41223"/>
      <c r="U41223"/>
      <c r="X41223" s="60"/>
    </row>
    <row r="41224" spans="7:24" ht="15" customHeight="1">
      <c r="G41224"/>
      <c r="I41224"/>
      <c r="N41224"/>
      <c r="O41224" s="24"/>
      <c r="P41224"/>
      <c r="Q41224" s="24"/>
      <c r="R41224"/>
      <c r="S41224"/>
      <c r="T41224"/>
      <c r="U41224"/>
      <c r="X41224" s="60"/>
    </row>
    <row r="41225" spans="7:24" ht="15" customHeight="1">
      <c r="G41225"/>
      <c r="I41225"/>
      <c r="N41225"/>
      <c r="O41225" s="24"/>
      <c r="P41225"/>
      <c r="Q41225" s="24"/>
      <c r="R41225"/>
      <c r="S41225"/>
      <c r="T41225"/>
      <c r="U41225"/>
      <c r="X41225" s="60"/>
    </row>
    <row r="41226" spans="7:24" ht="15" customHeight="1">
      <c r="G41226"/>
      <c r="I41226"/>
      <c r="N41226"/>
      <c r="O41226" s="24"/>
      <c r="P41226"/>
      <c r="Q41226" s="24"/>
      <c r="R41226"/>
      <c r="S41226"/>
      <c r="T41226"/>
      <c r="U41226"/>
      <c r="X41226" s="60"/>
    </row>
    <row r="41227" spans="7:24" ht="15" customHeight="1">
      <c r="G41227"/>
      <c r="I41227"/>
      <c r="N41227"/>
      <c r="O41227" s="24"/>
      <c r="P41227"/>
      <c r="Q41227" s="24"/>
      <c r="R41227"/>
      <c r="S41227"/>
      <c r="T41227"/>
      <c r="U41227"/>
      <c r="X41227" s="60"/>
    </row>
    <row r="41228" spans="7:24" ht="15" customHeight="1">
      <c r="G41228"/>
      <c r="I41228"/>
      <c r="N41228"/>
      <c r="O41228" s="24"/>
      <c r="P41228"/>
      <c r="Q41228" s="24"/>
      <c r="R41228"/>
      <c r="S41228"/>
      <c r="T41228"/>
      <c r="U41228"/>
      <c r="X41228" s="60"/>
    </row>
    <row r="41229" spans="7:24" ht="15" customHeight="1">
      <c r="G41229"/>
      <c r="I41229"/>
      <c r="N41229"/>
      <c r="O41229" s="24"/>
      <c r="P41229"/>
      <c r="Q41229" s="24"/>
      <c r="R41229"/>
      <c r="S41229"/>
      <c r="T41229"/>
      <c r="U41229"/>
      <c r="X41229" s="60"/>
    </row>
    <row r="41230" spans="7:24" ht="15" customHeight="1">
      <c r="G41230"/>
      <c r="I41230"/>
      <c r="N41230"/>
      <c r="O41230" s="24"/>
      <c r="P41230"/>
      <c r="Q41230" s="24"/>
      <c r="R41230"/>
      <c r="S41230"/>
      <c r="T41230"/>
      <c r="U41230"/>
      <c r="X41230" s="60"/>
    </row>
    <row r="41231" spans="7:24" ht="15" customHeight="1">
      <c r="G41231"/>
      <c r="I41231"/>
      <c r="N41231"/>
      <c r="O41231" s="24"/>
      <c r="P41231"/>
      <c r="Q41231" s="24"/>
      <c r="R41231"/>
      <c r="S41231"/>
      <c r="T41231"/>
      <c r="U41231"/>
      <c r="X41231" s="60"/>
    </row>
    <row r="41232" spans="7:24" ht="15" customHeight="1">
      <c r="G41232"/>
      <c r="I41232"/>
      <c r="N41232"/>
      <c r="O41232" s="24"/>
      <c r="P41232"/>
      <c r="Q41232" s="24"/>
      <c r="R41232"/>
      <c r="S41232"/>
      <c r="T41232"/>
      <c r="U41232"/>
      <c r="X41232" s="60"/>
    </row>
    <row r="41233" spans="7:24" ht="15" customHeight="1">
      <c r="G41233"/>
      <c r="I41233"/>
      <c r="N41233"/>
      <c r="O41233" s="24"/>
      <c r="P41233"/>
      <c r="Q41233" s="24"/>
      <c r="R41233"/>
      <c r="S41233"/>
      <c r="T41233"/>
      <c r="U41233"/>
      <c r="X41233" s="60"/>
    </row>
    <row r="41234" spans="7:24" ht="15" customHeight="1">
      <c r="G41234"/>
      <c r="I41234"/>
      <c r="N41234"/>
      <c r="O41234" s="24"/>
      <c r="P41234"/>
      <c r="Q41234" s="24"/>
      <c r="R41234"/>
      <c r="S41234"/>
      <c r="T41234"/>
      <c r="U41234"/>
      <c r="X41234" s="60"/>
    </row>
    <row r="41235" spans="7:24" ht="15" customHeight="1">
      <c r="G41235"/>
      <c r="I41235"/>
      <c r="N41235"/>
      <c r="O41235" s="24"/>
      <c r="P41235"/>
      <c r="Q41235" s="24"/>
      <c r="R41235"/>
      <c r="S41235"/>
      <c r="T41235"/>
      <c r="U41235"/>
      <c r="X41235" s="60"/>
    </row>
    <row r="41236" spans="7:24" ht="15" customHeight="1">
      <c r="G41236"/>
      <c r="I41236"/>
      <c r="N41236"/>
      <c r="O41236" s="24"/>
      <c r="P41236"/>
      <c r="Q41236" s="24"/>
      <c r="R41236"/>
      <c r="S41236"/>
      <c r="T41236"/>
      <c r="U41236"/>
      <c r="X41236" s="60"/>
    </row>
    <row r="41237" spans="7:24" ht="15" customHeight="1">
      <c r="G41237"/>
      <c r="I41237"/>
      <c r="N41237"/>
      <c r="O41237" s="24"/>
      <c r="P41237"/>
      <c r="Q41237" s="24"/>
      <c r="R41237"/>
      <c r="S41237"/>
      <c r="T41237"/>
      <c r="U41237"/>
      <c r="X41237" s="60"/>
    </row>
    <row r="41238" spans="7:24" ht="15" customHeight="1">
      <c r="G41238"/>
      <c r="I41238"/>
      <c r="N41238"/>
      <c r="O41238" s="24"/>
      <c r="P41238"/>
      <c r="Q41238" s="24"/>
      <c r="R41238"/>
      <c r="S41238"/>
      <c r="T41238"/>
      <c r="U41238"/>
      <c r="X41238" s="60"/>
    </row>
    <row r="41239" spans="7:24" ht="15" customHeight="1">
      <c r="G41239"/>
      <c r="I41239"/>
      <c r="N41239"/>
      <c r="O41239" s="24"/>
      <c r="P41239"/>
      <c r="Q41239" s="24"/>
      <c r="R41239"/>
      <c r="S41239"/>
      <c r="T41239"/>
      <c r="U41239"/>
      <c r="X41239" s="60"/>
    </row>
    <row r="41240" spans="7:24" ht="15" customHeight="1">
      <c r="G41240"/>
      <c r="I41240"/>
      <c r="N41240"/>
      <c r="O41240" s="24"/>
      <c r="P41240"/>
      <c r="Q41240" s="24"/>
      <c r="R41240"/>
      <c r="S41240"/>
      <c r="T41240"/>
      <c r="U41240"/>
      <c r="X41240" s="60"/>
    </row>
    <row r="41241" spans="7:24" ht="15" customHeight="1">
      <c r="G41241"/>
      <c r="I41241"/>
      <c r="N41241"/>
      <c r="O41241" s="24"/>
      <c r="P41241"/>
      <c r="Q41241" s="24"/>
      <c r="R41241"/>
      <c r="S41241"/>
      <c r="T41241"/>
      <c r="U41241"/>
      <c r="X41241" s="60"/>
    </row>
    <row r="41242" spans="7:24" ht="15" customHeight="1">
      <c r="G41242"/>
      <c r="I41242"/>
      <c r="N41242"/>
      <c r="O41242" s="24"/>
      <c r="P41242"/>
      <c r="Q41242" s="24"/>
      <c r="R41242"/>
      <c r="S41242"/>
      <c r="T41242"/>
      <c r="U41242"/>
      <c r="X41242" s="60"/>
    </row>
    <row r="41243" spans="7:24" ht="15" customHeight="1">
      <c r="G41243"/>
      <c r="I41243"/>
      <c r="N41243"/>
      <c r="O41243" s="24"/>
      <c r="P41243"/>
      <c r="Q41243" s="24"/>
      <c r="R41243"/>
      <c r="S41243"/>
      <c r="T41243"/>
      <c r="U41243"/>
      <c r="X41243" s="60"/>
    </row>
    <row r="41244" spans="7:24" ht="15" customHeight="1">
      <c r="G41244"/>
      <c r="I41244"/>
      <c r="N41244"/>
      <c r="O41244" s="24"/>
      <c r="P41244"/>
      <c r="Q41244" s="24"/>
      <c r="R41244"/>
      <c r="S41244"/>
      <c r="T41244"/>
      <c r="U41244"/>
      <c r="X41244" s="60"/>
    </row>
    <row r="41245" spans="7:24" ht="15" customHeight="1">
      <c r="G41245"/>
      <c r="I41245"/>
      <c r="N41245"/>
      <c r="O41245" s="24"/>
      <c r="P41245"/>
      <c r="Q41245" s="24"/>
      <c r="R41245"/>
      <c r="S41245"/>
      <c r="T41245"/>
      <c r="U41245"/>
      <c r="X41245" s="60"/>
    </row>
    <row r="41246" spans="7:24" ht="15" customHeight="1">
      <c r="G41246"/>
      <c r="I41246"/>
      <c r="N41246"/>
      <c r="O41246" s="24"/>
      <c r="P41246"/>
      <c r="Q41246" s="24"/>
      <c r="R41246"/>
      <c r="S41246"/>
      <c r="T41246"/>
      <c r="U41246"/>
      <c r="X41246" s="60"/>
    </row>
    <row r="41247" spans="7:24" ht="15" customHeight="1">
      <c r="G41247"/>
      <c r="I41247"/>
      <c r="N41247"/>
      <c r="O41247" s="24"/>
      <c r="P41247"/>
      <c r="Q41247" s="24"/>
      <c r="R41247"/>
      <c r="S41247"/>
      <c r="T41247"/>
      <c r="U41247"/>
      <c r="X41247" s="60"/>
    </row>
    <row r="41248" spans="7:24" ht="15" customHeight="1">
      <c r="G41248"/>
      <c r="I41248"/>
      <c r="N41248"/>
      <c r="O41248" s="24"/>
      <c r="P41248"/>
      <c r="Q41248" s="24"/>
      <c r="R41248"/>
      <c r="S41248"/>
      <c r="T41248"/>
      <c r="U41248"/>
      <c r="X41248" s="60"/>
    </row>
    <row r="41249" spans="7:24" ht="15" customHeight="1">
      <c r="G41249"/>
      <c r="I41249"/>
      <c r="N41249"/>
      <c r="O41249" s="24"/>
      <c r="P41249"/>
      <c r="Q41249" s="24"/>
      <c r="R41249"/>
      <c r="S41249"/>
      <c r="T41249"/>
      <c r="U41249"/>
      <c r="X41249" s="60"/>
    </row>
    <row r="41250" spans="7:24" ht="15" customHeight="1">
      <c r="G41250"/>
      <c r="I41250"/>
      <c r="N41250"/>
      <c r="O41250" s="24"/>
      <c r="P41250"/>
      <c r="Q41250" s="24"/>
      <c r="R41250"/>
      <c r="S41250"/>
      <c r="T41250"/>
      <c r="U41250"/>
      <c r="X41250" s="60"/>
    </row>
    <row r="41251" spans="7:24" ht="15" customHeight="1">
      <c r="G41251"/>
      <c r="I41251"/>
      <c r="N41251"/>
      <c r="O41251" s="24"/>
      <c r="P41251"/>
      <c r="Q41251" s="24"/>
      <c r="R41251"/>
      <c r="S41251"/>
      <c r="T41251"/>
      <c r="U41251"/>
      <c r="X41251" s="60"/>
    </row>
    <row r="41252" spans="7:24" ht="15" customHeight="1">
      <c r="G41252"/>
      <c r="I41252"/>
      <c r="N41252"/>
      <c r="O41252" s="24"/>
      <c r="P41252"/>
      <c r="Q41252" s="24"/>
      <c r="R41252"/>
      <c r="S41252"/>
      <c r="T41252"/>
      <c r="U41252"/>
      <c r="X41252" s="60"/>
    </row>
    <row r="41253" spans="7:24" ht="15" customHeight="1">
      <c r="G41253"/>
      <c r="I41253"/>
      <c r="N41253"/>
      <c r="O41253" s="24"/>
      <c r="P41253"/>
      <c r="Q41253" s="24"/>
      <c r="R41253"/>
      <c r="S41253"/>
      <c r="T41253"/>
      <c r="U41253"/>
      <c r="X41253" s="60"/>
    </row>
    <row r="41254" spans="7:24" ht="15" customHeight="1">
      <c r="G41254"/>
      <c r="I41254"/>
      <c r="N41254"/>
      <c r="O41254" s="24"/>
      <c r="P41254"/>
      <c r="Q41254" s="24"/>
      <c r="R41254"/>
      <c r="S41254"/>
      <c r="T41254"/>
      <c r="U41254"/>
      <c r="X41254" s="60"/>
    </row>
    <row r="41255" spans="7:24" ht="15" customHeight="1">
      <c r="G41255"/>
      <c r="I41255"/>
      <c r="N41255"/>
      <c r="O41255" s="24"/>
      <c r="P41255"/>
      <c r="Q41255" s="24"/>
      <c r="R41255"/>
      <c r="S41255"/>
      <c r="T41255"/>
      <c r="U41255"/>
      <c r="X41255" s="60"/>
    </row>
    <row r="41256" spans="7:24" ht="15" customHeight="1">
      <c r="G41256"/>
      <c r="I41256"/>
      <c r="N41256"/>
      <c r="O41256" s="24"/>
      <c r="P41256"/>
      <c r="Q41256" s="24"/>
      <c r="R41256"/>
      <c r="S41256"/>
      <c r="T41256"/>
      <c r="U41256"/>
      <c r="X41256" s="60"/>
    </row>
    <row r="41257" spans="7:24" ht="15" customHeight="1">
      <c r="G41257"/>
      <c r="I41257"/>
      <c r="N41257"/>
      <c r="O41257" s="24"/>
      <c r="P41257"/>
      <c r="Q41257" s="24"/>
      <c r="R41257"/>
      <c r="S41257"/>
      <c r="T41257"/>
      <c r="U41257"/>
      <c r="X41257" s="60"/>
    </row>
    <row r="41258" spans="7:24" ht="15" customHeight="1">
      <c r="G41258"/>
      <c r="I41258"/>
      <c r="N41258"/>
      <c r="O41258" s="24"/>
      <c r="P41258"/>
      <c r="Q41258" s="24"/>
      <c r="R41258"/>
      <c r="S41258"/>
      <c r="T41258"/>
      <c r="U41258"/>
      <c r="X41258" s="60"/>
    </row>
    <row r="41259" spans="7:24" ht="15" customHeight="1">
      <c r="G41259"/>
      <c r="I41259"/>
      <c r="N41259"/>
      <c r="O41259" s="24"/>
      <c r="P41259"/>
      <c r="Q41259" s="24"/>
      <c r="R41259"/>
      <c r="S41259"/>
      <c r="T41259"/>
      <c r="U41259"/>
      <c r="X41259" s="60"/>
    </row>
    <row r="41260" spans="7:24" ht="15" customHeight="1">
      <c r="G41260"/>
      <c r="I41260"/>
      <c r="N41260"/>
      <c r="O41260" s="24"/>
      <c r="P41260"/>
      <c r="Q41260" s="24"/>
      <c r="R41260"/>
      <c r="S41260"/>
      <c r="T41260"/>
      <c r="U41260"/>
      <c r="X41260" s="60"/>
    </row>
    <row r="41261" spans="7:24" ht="15" customHeight="1">
      <c r="G41261"/>
      <c r="I41261"/>
      <c r="N41261"/>
      <c r="O41261" s="24"/>
      <c r="P41261"/>
      <c r="Q41261" s="24"/>
      <c r="R41261"/>
      <c r="S41261"/>
      <c r="T41261"/>
      <c r="U41261"/>
      <c r="X41261" s="60"/>
    </row>
    <row r="41262" spans="7:24" ht="15" customHeight="1">
      <c r="G41262"/>
      <c r="I41262"/>
      <c r="N41262"/>
      <c r="O41262" s="24"/>
      <c r="P41262"/>
      <c r="Q41262" s="24"/>
      <c r="R41262"/>
      <c r="S41262"/>
      <c r="T41262"/>
      <c r="U41262"/>
      <c r="X41262" s="60"/>
    </row>
    <row r="41263" spans="7:24" ht="15" customHeight="1">
      <c r="G41263"/>
      <c r="I41263"/>
      <c r="N41263"/>
      <c r="O41263" s="24"/>
      <c r="P41263"/>
      <c r="Q41263" s="24"/>
      <c r="R41263"/>
      <c r="S41263"/>
      <c r="T41263"/>
      <c r="U41263"/>
      <c r="X41263" s="60"/>
    </row>
    <row r="41264" spans="7:24" ht="15" customHeight="1">
      <c r="G41264"/>
      <c r="I41264"/>
      <c r="N41264"/>
      <c r="O41264" s="24"/>
      <c r="P41264"/>
      <c r="Q41264" s="24"/>
      <c r="R41264"/>
      <c r="S41264"/>
      <c r="T41264"/>
      <c r="U41264"/>
      <c r="X41264" s="60"/>
    </row>
    <row r="41265" spans="7:24" ht="15" customHeight="1">
      <c r="G41265"/>
      <c r="I41265"/>
      <c r="N41265"/>
      <c r="O41265" s="24"/>
      <c r="P41265"/>
      <c r="Q41265" s="24"/>
      <c r="R41265"/>
      <c r="S41265"/>
      <c r="T41265"/>
      <c r="U41265"/>
      <c r="X41265" s="60"/>
    </row>
    <row r="41266" spans="7:24" ht="15" customHeight="1">
      <c r="G41266"/>
      <c r="I41266"/>
      <c r="N41266"/>
      <c r="O41266" s="24"/>
      <c r="P41266"/>
      <c r="Q41266" s="24"/>
      <c r="R41266"/>
      <c r="S41266"/>
      <c r="T41266"/>
      <c r="U41266"/>
      <c r="X41266" s="60"/>
    </row>
    <row r="41267" spans="7:24" ht="15" customHeight="1">
      <c r="G41267"/>
      <c r="I41267"/>
      <c r="N41267"/>
      <c r="O41267" s="24"/>
      <c r="P41267"/>
      <c r="Q41267" s="24"/>
      <c r="R41267"/>
      <c r="S41267"/>
      <c r="T41267"/>
      <c r="U41267"/>
      <c r="X41267" s="60"/>
    </row>
    <row r="41268" spans="7:24" ht="15" customHeight="1">
      <c r="G41268"/>
      <c r="I41268"/>
      <c r="N41268"/>
      <c r="O41268" s="24"/>
      <c r="P41268"/>
      <c r="Q41268" s="24"/>
      <c r="R41268"/>
      <c r="S41268"/>
      <c r="T41268"/>
      <c r="U41268"/>
      <c r="X41268" s="60"/>
    </row>
    <row r="41269" spans="7:24" ht="15" customHeight="1">
      <c r="G41269"/>
      <c r="I41269"/>
      <c r="N41269"/>
      <c r="O41269" s="24"/>
      <c r="P41269"/>
      <c r="Q41269" s="24"/>
      <c r="R41269"/>
      <c r="S41269"/>
      <c r="T41269"/>
      <c r="U41269"/>
      <c r="X41269" s="60"/>
    </row>
    <row r="41270" spans="7:24" ht="15" customHeight="1">
      <c r="G41270"/>
      <c r="I41270"/>
      <c r="N41270"/>
      <c r="O41270" s="24"/>
      <c r="P41270"/>
      <c r="Q41270" s="24"/>
      <c r="R41270"/>
      <c r="S41270"/>
      <c r="T41270"/>
      <c r="U41270"/>
      <c r="X41270" s="60"/>
    </row>
    <row r="41271" spans="7:24" ht="15" customHeight="1">
      <c r="G41271"/>
      <c r="I41271"/>
      <c r="N41271"/>
      <c r="O41271" s="24"/>
      <c r="P41271"/>
      <c r="Q41271" s="24"/>
      <c r="R41271"/>
      <c r="S41271"/>
      <c r="T41271"/>
      <c r="U41271"/>
      <c r="X41271" s="60"/>
    </row>
    <row r="41272" spans="7:24" ht="15" customHeight="1">
      <c r="G41272"/>
      <c r="I41272"/>
      <c r="N41272"/>
      <c r="O41272" s="24"/>
      <c r="P41272"/>
      <c r="Q41272" s="24"/>
      <c r="R41272"/>
      <c r="S41272"/>
      <c r="T41272"/>
      <c r="U41272"/>
      <c r="X41272" s="60"/>
    </row>
    <row r="41273" spans="7:24" ht="15" customHeight="1">
      <c r="G41273"/>
      <c r="I41273"/>
      <c r="N41273"/>
      <c r="O41273" s="24"/>
      <c r="P41273"/>
      <c r="Q41273" s="24"/>
      <c r="R41273"/>
      <c r="S41273"/>
      <c r="T41273"/>
      <c r="U41273"/>
      <c r="X41273" s="60"/>
    </row>
    <row r="41274" spans="7:24" ht="15" customHeight="1">
      <c r="G41274"/>
      <c r="I41274"/>
      <c r="N41274"/>
      <c r="O41274" s="24"/>
      <c r="P41274"/>
      <c r="Q41274" s="24"/>
      <c r="R41274"/>
      <c r="S41274"/>
      <c r="T41274"/>
      <c r="U41274"/>
      <c r="X41274" s="60"/>
    </row>
    <row r="41275" spans="7:24" ht="15" customHeight="1">
      <c r="G41275"/>
      <c r="I41275"/>
      <c r="N41275"/>
      <c r="O41275" s="24"/>
      <c r="P41275"/>
      <c r="Q41275" s="24"/>
      <c r="R41275"/>
      <c r="S41275"/>
      <c r="T41275"/>
      <c r="U41275"/>
      <c r="X41275" s="60"/>
    </row>
    <row r="41276" spans="7:24" ht="15" customHeight="1">
      <c r="G41276"/>
      <c r="I41276"/>
      <c r="N41276"/>
      <c r="O41276" s="24"/>
      <c r="P41276"/>
      <c r="Q41276" s="24"/>
      <c r="R41276"/>
      <c r="S41276"/>
      <c r="T41276"/>
      <c r="U41276"/>
      <c r="X41276" s="60"/>
    </row>
    <row r="41277" spans="7:24" ht="15" customHeight="1">
      <c r="G41277"/>
      <c r="I41277"/>
      <c r="N41277"/>
      <c r="O41277" s="24"/>
      <c r="P41277"/>
      <c r="Q41277" s="24"/>
      <c r="R41277"/>
      <c r="S41277"/>
      <c r="T41277"/>
      <c r="U41277"/>
      <c r="X41277" s="60"/>
    </row>
    <row r="41278" spans="7:24" ht="15" customHeight="1">
      <c r="G41278"/>
      <c r="I41278"/>
      <c r="N41278"/>
      <c r="O41278" s="24"/>
      <c r="P41278"/>
      <c r="Q41278" s="24"/>
      <c r="R41278"/>
      <c r="S41278"/>
      <c r="T41278"/>
      <c r="U41278"/>
      <c r="X41278" s="60"/>
    </row>
    <row r="41279" spans="7:24" ht="15" customHeight="1">
      <c r="G41279"/>
      <c r="I41279"/>
      <c r="N41279"/>
      <c r="O41279" s="24"/>
      <c r="P41279"/>
      <c r="Q41279" s="24"/>
      <c r="R41279"/>
      <c r="S41279"/>
      <c r="T41279"/>
      <c r="U41279"/>
      <c r="X41279" s="60"/>
    </row>
    <row r="41280" spans="7:24" ht="15" customHeight="1">
      <c r="G41280"/>
      <c r="I41280"/>
      <c r="N41280"/>
      <c r="O41280" s="24"/>
      <c r="P41280"/>
      <c r="Q41280" s="24"/>
      <c r="R41280"/>
      <c r="S41280"/>
      <c r="T41280"/>
      <c r="U41280"/>
      <c r="X41280" s="60"/>
    </row>
    <row r="41281" spans="7:24" ht="15" customHeight="1">
      <c r="G41281"/>
      <c r="I41281"/>
      <c r="N41281"/>
      <c r="O41281" s="24"/>
      <c r="P41281"/>
      <c r="Q41281" s="24"/>
      <c r="R41281"/>
      <c r="S41281"/>
      <c r="T41281"/>
      <c r="U41281"/>
      <c r="X41281" s="60"/>
    </row>
    <row r="41282" spans="7:24" ht="15" customHeight="1">
      <c r="G41282"/>
      <c r="I41282"/>
      <c r="N41282"/>
      <c r="O41282" s="24"/>
      <c r="P41282"/>
      <c r="Q41282" s="24"/>
      <c r="R41282"/>
      <c r="S41282"/>
      <c r="T41282"/>
      <c r="U41282"/>
      <c r="X41282" s="60"/>
    </row>
    <row r="41283" spans="7:24" ht="15" customHeight="1">
      <c r="G41283"/>
      <c r="I41283"/>
      <c r="N41283"/>
      <c r="O41283" s="24"/>
      <c r="P41283"/>
      <c r="Q41283" s="24"/>
      <c r="R41283"/>
      <c r="S41283"/>
      <c r="T41283"/>
      <c r="U41283"/>
      <c r="X41283" s="60"/>
    </row>
    <row r="41284" spans="7:24" ht="15" customHeight="1">
      <c r="G41284"/>
      <c r="I41284"/>
      <c r="N41284"/>
      <c r="O41284" s="24"/>
      <c r="P41284"/>
      <c r="Q41284" s="24"/>
      <c r="R41284"/>
      <c r="S41284"/>
      <c r="T41284"/>
      <c r="U41284"/>
      <c r="X41284" s="60"/>
    </row>
    <row r="41285" spans="7:24" ht="15" customHeight="1">
      <c r="G41285"/>
      <c r="I41285"/>
      <c r="N41285"/>
      <c r="O41285" s="24"/>
      <c r="P41285"/>
      <c r="Q41285" s="24"/>
      <c r="R41285"/>
      <c r="S41285"/>
      <c r="T41285"/>
      <c r="U41285"/>
      <c r="X41285" s="60"/>
    </row>
    <row r="41286" spans="7:24" ht="15" customHeight="1">
      <c r="G41286"/>
      <c r="I41286"/>
      <c r="N41286"/>
      <c r="O41286" s="24"/>
      <c r="P41286"/>
      <c r="Q41286" s="24"/>
      <c r="R41286"/>
      <c r="S41286"/>
      <c r="T41286"/>
      <c r="U41286"/>
      <c r="X41286" s="60"/>
    </row>
    <row r="41287" spans="7:24" ht="15" customHeight="1">
      <c r="G41287"/>
      <c r="I41287"/>
      <c r="N41287"/>
      <c r="O41287" s="24"/>
      <c r="P41287"/>
      <c r="Q41287" s="24"/>
      <c r="R41287"/>
      <c r="S41287"/>
      <c r="T41287"/>
      <c r="U41287"/>
      <c r="X41287" s="60"/>
    </row>
    <row r="41288" spans="7:24" ht="15" customHeight="1">
      <c r="G41288"/>
      <c r="I41288"/>
      <c r="N41288"/>
      <c r="O41288" s="24"/>
      <c r="P41288"/>
      <c r="Q41288" s="24"/>
      <c r="R41288"/>
      <c r="S41288"/>
      <c r="T41288"/>
      <c r="U41288"/>
      <c r="X41288" s="60"/>
    </row>
    <row r="41289" spans="7:24" ht="15" customHeight="1">
      <c r="G41289"/>
      <c r="I41289"/>
      <c r="N41289"/>
      <c r="O41289" s="24"/>
      <c r="P41289"/>
      <c r="Q41289" s="24"/>
      <c r="R41289"/>
      <c r="S41289"/>
      <c r="T41289"/>
      <c r="U41289"/>
      <c r="X41289" s="60"/>
    </row>
    <row r="41290" spans="7:24" ht="15" customHeight="1">
      <c r="G41290"/>
      <c r="I41290"/>
      <c r="N41290"/>
      <c r="O41290" s="24"/>
      <c r="P41290"/>
      <c r="Q41290" s="24"/>
      <c r="R41290"/>
      <c r="S41290"/>
      <c r="T41290"/>
      <c r="U41290"/>
      <c r="X41290" s="60"/>
    </row>
    <row r="41291" spans="7:24" ht="15" customHeight="1">
      <c r="G41291"/>
      <c r="I41291"/>
      <c r="N41291"/>
      <c r="O41291" s="24"/>
      <c r="P41291"/>
      <c r="Q41291" s="24"/>
      <c r="R41291"/>
      <c r="S41291"/>
      <c r="T41291"/>
      <c r="U41291"/>
      <c r="X41291" s="60"/>
    </row>
    <row r="41292" spans="7:24" ht="15" customHeight="1">
      <c r="G41292"/>
      <c r="I41292"/>
      <c r="N41292"/>
      <c r="O41292" s="24"/>
      <c r="P41292"/>
      <c r="Q41292" s="24"/>
      <c r="R41292"/>
      <c r="S41292"/>
      <c r="T41292"/>
      <c r="U41292"/>
      <c r="X41292" s="60"/>
    </row>
    <row r="41293" spans="7:24" ht="15" customHeight="1">
      <c r="G41293"/>
      <c r="I41293"/>
      <c r="N41293"/>
      <c r="O41293" s="24"/>
      <c r="P41293"/>
      <c r="Q41293" s="24"/>
      <c r="R41293"/>
      <c r="S41293"/>
      <c r="T41293"/>
      <c r="U41293"/>
      <c r="X41293" s="60"/>
    </row>
    <row r="41294" spans="7:24" ht="15" customHeight="1">
      <c r="G41294"/>
      <c r="I41294"/>
      <c r="N41294"/>
      <c r="O41294" s="24"/>
      <c r="P41294"/>
      <c r="Q41294" s="24"/>
      <c r="R41294"/>
      <c r="S41294"/>
      <c r="T41294"/>
      <c r="U41294"/>
      <c r="X41294" s="60"/>
    </row>
    <row r="41295" spans="7:24" ht="15" customHeight="1">
      <c r="G41295"/>
      <c r="I41295"/>
      <c r="N41295"/>
      <c r="O41295" s="24"/>
      <c r="P41295"/>
      <c r="Q41295" s="24"/>
      <c r="R41295"/>
      <c r="S41295"/>
      <c r="T41295"/>
      <c r="U41295"/>
      <c r="X41295" s="60"/>
    </row>
    <row r="41296" spans="7:24" ht="15" customHeight="1">
      <c r="G41296"/>
      <c r="I41296"/>
      <c r="N41296"/>
      <c r="O41296" s="24"/>
      <c r="P41296"/>
      <c r="Q41296" s="24"/>
      <c r="R41296"/>
      <c r="S41296"/>
      <c r="T41296"/>
      <c r="U41296"/>
      <c r="X41296" s="60"/>
    </row>
    <row r="41297" spans="7:24" ht="15" customHeight="1">
      <c r="G41297"/>
      <c r="I41297"/>
      <c r="N41297"/>
      <c r="O41297" s="24"/>
      <c r="P41297"/>
      <c r="Q41297" s="24"/>
      <c r="R41297"/>
      <c r="S41297"/>
      <c r="T41297"/>
      <c r="U41297"/>
      <c r="X41297" s="60"/>
    </row>
    <row r="41298" spans="7:24" ht="15" customHeight="1">
      <c r="G41298"/>
      <c r="I41298"/>
      <c r="N41298"/>
      <c r="O41298" s="24"/>
      <c r="P41298"/>
      <c r="Q41298" s="24"/>
      <c r="R41298"/>
      <c r="S41298"/>
      <c r="T41298"/>
      <c r="U41298"/>
      <c r="X41298" s="60"/>
    </row>
    <row r="41299" spans="7:24" ht="15" customHeight="1">
      <c r="G41299"/>
      <c r="I41299"/>
      <c r="N41299"/>
      <c r="O41299" s="24"/>
      <c r="P41299"/>
      <c r="Q41299" s="24"/>
      <c r="R41299"/>
      <c r="S41299"/>
      <c r="T41299"/>
      <c r="U41299"/>
      <c r="X41299" s="60"/>
    </row>
    <row r="41300" spans="7:24" ht="15" customHeight="1">
      <c r="G41300"/>
      <c r="I41300"/>
      <c r="N41300"/>
      <c r="O41300" s="24"/>
      <c r="P41300"/>
      <c r="Q41300" s="24"/>
      <c r="R41300"/>
      <c r="S41300"/>
      <c r="T41300"/>
      <c r="U41300"/>
      <c r="X41300" s="60"/>
    </row>
    <row r="41301" spans="7:24" ht="15" customHeight="1">
      <c r="G41301"/>
      <c r="I41301"/>
      <c r="N41301"/>
      <c r="O41301" s="24"/>
      <c r="P41301"/>
      <c r="Q41301" s="24"/>
      <c r="R41301"/>
      <c r="S41301"/>
      <c r="T41301"/>
      <c r="U41301"/>
      <c r="X41301" s="60"/>
    </row>
    <row r="41302" spans="7:24" ht="15" customHeight="1">
      <c r="G41302"/>
      <c r="I41302"/>
      <c r="N41302"/>
      <c r="O41302" s="24"/>
      <c r="P41302"/>
      <c r="Q41302" s="24"/>
      <c r="R41302"/>
      <c r="S41302"/>
      <c r="T41302"/>
      <c r="U41302"/>
      <c r="X41302" s="60"/>
    </row>
    <row r="41303" spans="7:24" ht="15" customHeight="1">
      <c r="G41303"/>
      <c r="I41303"/>
      <c r="N41303"/>
      <c r="O41303" s="24"/>
      <c r="P41303"/>
      <c r="Q41303" s="24"/>
      <c r="R41303"/>
      <c r="S41303"/>
      <c r="T41303"/>
      <c r="U41303"/>
      <c r="X41303" s="60"/>
    </row>
    <row r="41304" spans="7:24" ht="15" customHeight="1">
      <c r="G41304"/>
      <c r="I41304"/>
      <c r="N41304"/>
      <c r="O41304" s="24"/>
      <c r="P41304"/>
      <c r="Q41304" s="24"/>
      <c r="R41304"/>
      <c r="S41304"/>
      <c r="T41304"/>
      <c r="U41304"/>
      <c r="X41304" s="60"/>
    </row>
    <row r="41305" spans="7:24" ht="15" customHeight="1">
      <c r="G41305"/>
      <c r="I41305"/>
      <c r="N41305"/>
      <c r="O41305" s="24"/>
      <c r="P41305"/>
      <c r="Q41305" s="24"/>
      <c r="R41305"/>
      <c r="S41305"/>
      <c r="T41305"/>
      <c r="U41305"/>
      <c r="X41305" s="60"/>
    </row>
    <row r="41306" spans="7:24" ht="15" customHeight="1">
      <c r="G41306"/>
      <c r="I41306"/>
      <c r="N41306"/>
      <c r="O41306" s="24"/>
      <c r="P41306"/>
      <c r="Q41306" s="24"/>
      <c r="R41306"/>
      <c r="S41306"/>
      <c r="T41306"/>
      <c r="U41306"/>
      <c r="X41306" s="60"/>
    </row>
    <row r="41307" spans="7:24" ht="15" customHeight="1">
      <c r="G41307"/>
      <c r="I41307"/>
      <c r="N41307"/>
      <c r="O41307" s="24"/>
      <c r="P41307"/>
      <c r="Q41307" s="24"/>
      <c r="R41307"/>
      <c r="S41307"/>
      <c r="T41307"/>
      <c r="U41307"/>
      <c r="X41307" s="60"/>
    </row>
    <row r="41308" spans="7:24" ht="15" customHeight="1">
      <c r="G41308"/>
      <c r="I41308"/>
      <c r="N41308"/>
      <c r="O41308" s="24"/>
      <c r="P41308"/>
      <c r="Q41308" s="24"/>
      <c r="R41308"/>
      <c r="S41308"/>
      <c r="T41308"/>
      <c r="U41308"/>
      <c r="X41308" s="60"/>
    </row>
    <row r="41309" spans="7:24" ht="15" customHeight="1">
      <c r="G41309"/>
      <c r="I41309"/>
      <c r="N41309"/>
      <c r="O41309" s="24"/>
      <c r="P41309"/>
      <c r="Q41309" s="24"/>
      <c r="R41309"/>
      <c r="S41309"/>
      <c r="T41309"/>
      <c r="U41309"/>
      <c r="X41309" s="60"/>
    </row>
    <row r="41310" spans="7:24" ht="15" customHeight="1">
      <c r="G41310"/>
      <c r="I41310"/>
      <c r="N41310"/>
      <c r="O41310" s="24"/>
      <c r="P41310"/>
      <c r="Q41310" s="24"/>
      <c r="R41310"/>
      <c r="S41310"/>
      <c r="T41310"/>
      <c r="U41310"/>
      <c r="X41310" s="60"/>
    </row>
    <row r="41311" spans="7:24" ht="15" customHeight="1">
      <c r="G41311"/>
      <c r="I41311"/>
      <c r="N41311"/>
      <c r="O41311" s="24"/>
      <c r="P41311"/>
      <c r="Q41311" s="24"/>
      <c r="R41311"/>
      <c r="S41311"/>
      <c r="T41311"/>
      <c r="U41311"/>
      <c r="X41311" s="60"/>
    </row>
    <row r="41312" spans="7:24" ht="15" customHeight="1">
      <c r="G41312"/>
      <c r="I41312"/>
      <c r="N41312"/>
      <c r="O41312" s="24"/>
      <c r="P41312"/>
      <c r="Q41312" s="24"/>
      <c r="R41312"/>
      <c r="S41312"/>
      <c r="T41312"/>
      <c r="U41312"/>
      <c r="X41312" s="60"/>
    </row>
    <row r="41313" spans="7:24" ht="15" customHeight="1">
      <c r="G41313"/>
      <c r="I41313"/>
      <c r="N41313"/>
      <c r="O41313" s="24"/>
      <c r="P41313"/>
      <c r="Q41313" s="24"/>
      <c r="R41313"/>
      <c r="S41313"/>
      <c r="T41313"/>
      <c r="U41313"/>
      <c r="X41313" s="60"/>
    </row>
    <row r="41314" spans="7:24" ht="15" customHeight="1">
      <c r="G41314"/>
      <c r="I41314"/>
      <c r="N41314"/>
      <c r="O41314" s="24"/>
      <c r="P41314"/>
      <c r="Q41314" s="24"/>
      <c r="R41314"/>
      <c r="S41314"/>
      <c r="T41314"/>
      <c r="U41314"/>
      <c r="X41314" s="60"/>
    </row>
    <row r="41315" spans="7:24" ht="15" customHeight="1">
      <c r="G41315"/>
      <c r="I41315"/>
      <c r="N41315"/>
      <c r="O41315" s="24"/>
      <c r="P41315"/>
      <c r="Q41315" s="24"/>
      <c r="R41315"/>
      <c r="S41315"/>
      <c r="T41315"/>
      <c r="U41315"/>
      <c r="X41315" s="60"/>
    </row>
    <row r="41316" spans="7:24" ht="15" customHeight="1">
      <c r="G41316"/>
      <c r="I41316"/>
      <c r="N41316"/>
      <c r="O41316" s="24"/>
      <c r="P41316"/>
      <c r="Q41316" s="24"/>
      <c r="R41316"/>
      <c r="S41316"/>
      <c r="T41316"/>
      <c r="U41316"/>
      <c r="X41316" s="60"/>
    </row>
    <row r="41317" spans="7:24" ht="15" customHeight="1">
      <c r="G41317"/>
      <c r="I41317"/>
      <c r="N41317"/>
      <c r="O41317" s="24"/>
      <c r="P41317"/>
      <c r="Q41317" s="24"/>
      <c r="R41317"/>
      <c r="S41317"/>
      <c r="T41317"/>
      <c r="U41317"/>
      <c r="X41317" s="60"/>
    </row>
    <row r="41318" spans="7:24" ht="15" customHeight="1">
      <c r="G41318"/>
      <c r="I41318"/>
      <c r="N41318"/>
      <c r="O41318" s="24"/>
      <c r="P41318"/>
      <c r="Q41318" s="24"/>
      <c r="R41318"/>
      <c r="S41318"/>
      <c r="T41318"/>
      <c r="U41318"/>
      <c r="X41318" s="60"/>
    </row>
    <row r="41319" spans="7:24" ht="15" customHeight="1">
      <c r="G41319"/>
      <c r="I41319"/>
      <c r="N41319"/>
      <c r="O41319" s="24"/>
      <c r="P41319"/>
      <c r="Q41319" s="24"/>
      <c r="R41319"/>
      <c r="S41319"/>
      <c r="T41319"/>
      <c r="U41319"/>
      <c r="X41319" s="60"/>
    </row>
    <row r="41320" spans="7:24" ht="15" customHeight="1">
      <c r="G41320"/>
      <c r="I41320"/>
      <c r="N41320"/>
      <c r="O41320" s="24"/>
      <c r="P41320"/>
      <c r="Q41320" s="24"/>
      <c r="R41320"/>
      <c r="S41320"/>
      <c r="T41320"/>
      <c r="U41320"/>
      <c r="X41320" s="60"/>
    </row>
    <row r="41321" spans="7:24" ht="15" customHeight="1">
      <c r="G41321"/>
      <c r="I41321"/>
      <c r="N41321"/>
      <c r="O41321" s="24"/>
      <c r="P41321"/>
      <c r="Q41321" s="24"/>
      <c r="R41321"/>
      <c r="S41321"/>
      <c r="T41321"/>
      <c r="U41321"/>
      <c r="X41321" s="60"/>
    </row>
    <row r="41322" spans="7:24" ht="15" customHeight="1">
      <c r="G41322"/>
      <c r="I41322"/>
      <c r="N41322"/>
      <c r="O41322" s="24"/>
      <c r="P41322"/>
      <c r="Q41322" s="24"/>
      <c r="R41322"/>
      <c r="S41322"/>
      <c r="T41322"/>
      <c r="U41322"/>
      <c r="X41322" s="60"/>
    </row>
    <row r="41323" spans="7:24" ht="15" customHeight="1">
      <c r="G41323"/>
      <c r="I41323"/>
      <c r="N41323"/>
      <c r="O41323" s="24"/>
      <c r="P41323"/>
      <c r="Q41323" s="24"/>
      <c r="R41323"/>
      <c r="S41323"/>
      <c r="T41323"/>
      <c r="U41323"/>
      <c r="X41323" s="60"/>
    </row>
    <row r="41324" spans="7:24" ht="15" customHeight="1">
      <c r="G41324"/>
      <c r="I41324"/>
      <c r="N41324"/>
      <c r="O41324" s="24"/>
      <c r="P41324"/>
      <c r="Q41324" s="24"/>
      <c r="R41324"/>
      <c r="S41324"/>
      <c r="T41324"/>
      <c r="U41324"/>
      <c r="X41324" s="60"/>
    </row>
    <row r="41325" spans="7:24" ht="15" customHeight="1">
      <c r="G41325"/>
      <c r="I41325"/>
      <c r="N41325"/>
      <c r="O41325" s="24"/>
      <c r="P41325"/>
      <c r="Q41325" s="24"/>
      <c r="R41325"/>
      <c r="S41325"/>
      <c r="T41325"/>
      <c r="U41325"/>
      <c r="X41325" s="60"/>
    </row>
    <row r="41326" spans="7:24" ht="15" customHeight="1">
      <c r="G41326"/>
      <c r="I41326"/>
      <c r="N41326"/>
      <c r="O41326" s="24"/>
      <c r="P41326"/>
      <c r="Q41326" s="24"/>
      <c r="R41326"/>
      <c r="S41326"/>
      <c r="T41326"/>
      <c r="U41326"/>
      <c r="X41326" s="60"/>
    </row>
    <row r="41327" spans="7:24" ht="15" customHeight="1">
      <c r="G41327"/>
      <c r="I41327"/>
      <c r="N41327"/>
      <c r="O41327" s="24"/>
      <c r="P41327"/>
      <c r="Q41327" s="24"/>
      <c r="R41327"/>
      <c r="S41327"/>
      <c r="T41327"/>
      <c r="U41327"/>
      <c r="X41327" s="60"/>
    </row>
    <row r="41328" spans="7:24" ht="15" customHeight="1">
      <c r="G41328"/>
      <c r="I41328"/>
      <c r="N41328"/>
      <c r="O41328" s="24"/>
      <c r="P41328"/>
      <c r="Q41328" s="24"/>
      <c r="R41328"/>
      <c r="S41328"/>
      <c r="T41328"/>
      <c r="U41328"/>
      <c r="X41328" s="60"/>
    </row>
    <row r="41329" spans="7:24" ht="15" customHeight="1">
      <c r="G41329"/>
      <c r="I41329"/>
      <c r="N41329"/>
      <c r="O41329" s="24"/>
      <c r="P41329"/>
      <c r="Q41329" s="24"/>
      <c r="R41329"/>
      <c r="S41329"/>
      <c r="T41329"/>
      <c r="U41329"/>
      <c r="X41329" s="60"/>
    </row>
    <row r="41330" spans="7:24" ht="15" customHeight="1">
      <c r="G41330"/>
      <c r="I41330"/>
      <c r="N41330"/>
      <c r="O41330" s="24"/>
      <c r="P41330"/>
      <c r="Q41330" s="24"/>
      <c r="R41330"/>
      <c r="S41330"/>
      <c r="T41330"/>
      <c r="U41330"/>
      <c r="X41330" s="60"/>
    </row>
    <row r="41331" spans="7:24" ht="15" customHeight="1">
      <c r="G41331"/>
      <c r="I41331"/>
      <c r="N41331"/>
      <c r="O41331" s="24"/>
      <c r="P41331"/>
      <c r="Q41331" s="24"/>
      <c r="R41331"/>
      <c r="S41331"/>
      <c r="T41331"/>
      <c r="U41331"/>
      <c r="X41331" s="60"/>
    </row>
    <row r="41332" spans="7:24" ht="15" customHeight="1">
      <c r="G41332"/>
      <c r="I41332"/>
      <c r="N41332"/>
      <c r="O41332" s="24"/>
      <c r="P41332"/>
      <c r="Q41332" s="24"/>
      <c r="R41332"/>
      <c r="S41332"/>
      <c r="T41332"/>
      <c r="U41332"/>
      <c r="X41332" s="60"/>
    </row>
    <row r="41333" spans="7:24" ht="15" customHeight="1">
      <c r="G41333"/>
      <c r="I41333"/>
      <c r="N41333"/>
      <c r="O41333" s="24"/>
      <c r="P41333"/>
      <c r="Q41333" s="24"/>
      <c r="R41333"/>
      <c r="S41333"/>
      <c r="T41333"/>
      <c r="U41333"/>
      <c r="X41333" s="60"/>
    </row>
    <row r="41334" spans="7:24" ht="15" customHeight="1">
      <c r="G41334"/>
      <c r="I41334"/>
      <c r="N41334"/>
      <c r="O41334" s="24"/>
      <c r="P41334"/>
      <c r="Q41334" s="24"/>
      <c r="R41334"/>
      <c r="S41334"/>
      <c r="T41334"/>
      <c r="U41334"/>
      <c r="X41334" s="60"/>
    </row>
    <row r="41335" spans="7:24" ht="15" customHeight="1">
      <c r="G41335"/>
      <c r="I41335"/>
      <c r="N41335"/>
      <c r="O41335" s="24"/>
      <c r="P41335"/>
      <c r="Q41335" s="24"/>
      <c r="R41335"/>
      <c r="S41335"/>
      <c r="T41335"/>
      <c r="U41335"/>
      <c r="X41335" s="60"/>
    </row>
    <row r="41336" spans="7:24" ht="15" customHeight="1">
      <c r="G41336"/>
      <c r="I41336"/>
      <c r="N41336"/>
      <c r="O41336" s="24"/>
      <c r="P41336"/>
      <c r="Q41336" s="24"/>
      <c r="R41336"/>
      <c r="S41336"/>
      <c r="T41336"/>
      <c r="U41336"/>
      <c r="X41336" s="60"/>
    </row>
    <row r="41337" spans="7:24" ht="15" customHeight="1">
      <c r="G41337"/>
      <c r="I41337"/>
      <c r="N41337"/>
      <c r="O41337" s="24"/>
      <c r="P41337"/>
      <c r="Q41337" s="24"/>
      <c r="R41337"/>
      <c r="S41337"/>
      <c r="T41337"/>
      <c r="U41337"/>
      <c r="X41337" s="60"/>
    </row>
    <row r="41338" spans="7:24" ht="15" customHeight="1">
      <c r="G41338"/>
      <c r="I41338"/>
      <c r="N41338"/>
      <c r="O41338" s="24"/>
      <c r="P41338"/>
      <c r="Q41338" s="24"/>
      <c r="R41338"/>
      <c r="S41338"/>
      <c r="T41338"/>
      <c r="U41338"/>
      <c r="X41338" s="60"/>
    </row>
    <row r="41339" spans="7:24" ht="15" customHeight="1">
      <c r="G41339"/>
      <c r="I41339"/>
      <c r="N41339"/>
      <c r="O41339" s="24"/>
      <c r="P41339"/>
      <c r="Q41339" s="24"/>
      <c r="R41339"/>
      <c r="S41339"/>
      <c r="T41339"/>
      <c r="U41339"/>
      <c r="X41339" s="60"/>
    </row>
    <row r="41340" spans="7:24" ht="15" customHeight="1">
      <c r="G41340"/>
      <c r="I41340"/>
      <c r="N41340"/>
      <c r="O41340" s="24"/>
      <c r="P41340"/>
      <c r="Q41340" s="24"/>
      <c r="R41340"/>
      <c r="S41340"/>
      <c r="T41340"/>
      <c r="U41340"/>
      <c r="X41340" s="60"/>
    </row>
    <row r="41341" spans="7:24" ht="15" customHeight="1">
      <c r="G41341"/>
      <c r="I41341"/>
      <c r="N41341"/>
      <c r="O41341" s="24"/>
      <c r="P41341"/>
      <c r="Q41341" s="24"/>
      <c r="R41341"/>
      <c r="S41341"/>
      <c r="T41341"/>
      <c r="U41341"/>
      <c r="X41341" s="60"/>
    </row>
    <row r="41342" spans="7:24" ht="15" customHeight="1">
      <c r="G41342"/>
      <c r="I41342"/>
      <c r="N41342"/>
      <c r="O41342" s="24"/>
      <c r="P41342"/>
      <c r="Q41342" s="24"/>
      <c r="R41342"/>
      <c r="S41342"/>
      <c r="T41342"/>
      <c r="U41342"/>
      <c r="X41342" s="60"/>
    </row>
    <row r="41343" spans="7:24" ht="15" customHeight="1">
      <c r="G41343"/>
      <c r="I41343"/>
      <c r="N41343"/>
      <c r="O41343" s="24"/>
      <c r="P41343"/>
      <c r="Q41343" s="24"/>
      <c r="R41343"/>
      <c r="S41343"/>
      <c r="T41343"/>
      <c r="U41343"/>
      <c r="X41343" s="60"/>
    </row>
    <row r="41344" spans="7:24" ht="15" customHeight="1">
      <c r="G41344"/>
      <c r="I41344"/>
      <c r="N41344"/>
      <c r="O41344" s="24"/>
      <c r="P41344"/>
      <c r="Q41344" s="24"/>
      <c r="R41344"/>
      <c r="S41344"/>
      <c r="T41344"/>
      <c r="U41344"/>
      <c r="X41344" s="60"/>
    </row>
    <row r="41345" spans="7:24" ht="15" customHeight="1">
      <c r="G41345"/>
      <c r="I41345"/>
      <c r="N41345"/>
      <c r="O41345" s="24"/>
      <c r="P41345"/>
      <c r="Q41345" s="24"/>
      <c r="R41345"/>
      <c r="S41345"/>
      <c r="T41345"/>
      <c r="U41345"/>
      <c r="X41345" s="60"/>
    </row>
    <row r="41346" spans="7:24" ht="15" customHeight="1">
      <c r="G41346"/>
      <c r="I41346"/>
      <c r="N41346"/>
      <c r="O41346" s="24"/>
      <c r="P41346"/>
      <c r="Q41346" s="24"/>
      <c r="R41346"/>
      <c r="S41346"/>
      <c r="T41346"/>
      <c r="U41346"/>
      <c r="X41346" s="60"/>
    </row>
    <row r="41347" spans="7:24" ht="15" customHeight="1">
      <c r="G41347"/>
      <c r="I41347"/>
      <c r="N41347"/>
      <c r="O41347" s="24"/>
      <c r="P41347"/>
      <c r="Q41347" s="24"/>
      <c r="R41347"/>
      <c r="S41347"/>
      <c r="T41347"/>
      <c r="U41347"/>
      <c r="X41347" s="60"/>
    </row>
    <row r="41348" spans="7:24" ht="15" customHeight="1">
      <c r="G41348"/>
      <c r="I41348"/>
      <c r="N41348"/>
      <c r="O41348" s="24"/>
      <c r="P41348"/>
      <c r="Q41348" s="24"/>
      <c r="R41348"/>
      <c r="S41348"/>
      <c r="T41348"/>
      <c r="U41348"/>
      <c r="X41348" s="60"/>
    </row>
    <row r="41349" spans="7:24" ht="15" customHeight="1">
      <c r="G41349"/>
      <c r="I41349"/>
      <c r="N41349"/>
      <c r="O41349" s="24"/>
      <c r="P41349"/>
      <c r="Q41349" s="24"/>
      <c r="R41349"/>
      <c r="S41349"/>
      <c r="T41349"/>
      <c r="U41349"/>
      <c r="X41349" s="60"/>
    </row>
    <row r="41350" spans="7:24" ht="15" customHeight="1">
      <c r="G41350"/>
      <c r="I41350"/>
      <c r="N41350"/>
      <c r="O41350" s="24"/>
      <c r="P41350"/>
      <c r="Q41350" s="24"/>
      <c r="R41350"/>
      <c r="S41350"/>
      <c r="T41350"/>
      <c r="U41350"/>
      <c r="X41350" s="60"/>
    </row>
    <row r="41351" spans="7:24" ht="15" customHeight="1">
      <c r="G41351"/>
      <c r="I41351"/>
      <c r="N41351"/>
      <c r="O41351" s="24"/>
      <c r="P41351"/>
      <c r="Q41351" s="24"/>
      <c r="R41351"/>
      <c r="S41351"/>
      <c r="T41351"/>
      <c r="U41351"/>
      <c r="X41351" s="60"/>
    </row>
    <row r="41352" spans="7:24" ht="15" customHeight="1">
      <c r="G41352"/>
      <c r="I41352"/>
      <c r="N41352"/>
      <c r="O41352" s="24"/>
      <c r="P41352"/>
      <c r="Q41352" s="24"/>
      <c r="R41352"/>
      <c r="S41352"/>
      <c r="T41352"/>
      <c r="U41352"/>
      <c r="X41352" s="60"/>
    </row>
    <row r="41353" spans="7:24" ht="15" customHeight="1">
      <c r="G41353"/>
      <c r="I41353"/>
      <c r="N41353"/>
      <c r="O41353" s="24"/>
      <c r="P41353"/>
      <c r="Q41353" s="24"/>
      <c r="R41353"/>
      <c r="S41353"/>
      <c r="T41353"/>
      <c r="U41353"/>
      <c r="X41353" s="60"/>
    </row>
    <row r="41354" spans="7:24" ht="15" customHeight="1">
      <c r="G41354"/>
      <c r="I41354"/>
      <c r="N41354"/>
      <c r="O41354" s="24"/>
      <c r="P41354"/>
      <c r="Q41354" s="24"/>
      <c r="R41354"/>
      <c r="S41354"/>
      <c r="T41354"/>
      <c r="U41354"/>
      <c r="X41354" s="60"/>
    </row>
    <row r="41355" spans="7:24" ht="15" customHeight="1">
      <c r="G41355"/>
      <c r="I41355"/>
      <c r="N41355"/>
      <c r="O41355" s="24"/>
      <c r="P41355"/>
      <c r="Q41355" s="24"/>
      <c r="R41355"/>
      <c r="S41355"/>
      <c r="T41355"/>
      <c r="U41355"/>
      <c r="X41355" s="60"/>
    </row>
    <row r="41356" spans="7:24" ht="15" customHeight="1">
      <c r="G41356"/>
      <c r="I41356"/>
      <c r="N41356"/>
      <c r="O41356" s="24"/>
      <c r="P41356"/>
      <c r="Q41356" s="24"/>
      <c r="R41356"/>
      <c r="S41356"/>
      <c r="T41356"/>
      <c r="U41356"/>
      <c r="X41356" s="60"/>
    </row>
    <row r="41357" spans="7:24" ht="15" customHeight="1">
      <c r="G41357"/>
      <c r="I41357"/>
      <c r="N41357"/>
      <c r="O41357" s="24"/>
      <c r="P41357"/>
      <c r="Q41357" s="24"/>
      <c r="R41357"/>
      <c r="S41357"/>
      <c r="T41357"/>
      <c r="U41357"/>
      <c r="X41357" s="60"/>
    </row>
    <row r="41358" spans="7:24" ht="15" customHeight="1">
      <c r="G41358"/>
      <c r="I41358"/>
      <c r="N41358"/>
      <c r="O41358" s="24"/>
      <c r="P41358"/>
      <c r="Q41358" s="24"/>
      <c r="R41358"/>
      <c r="S41358"/>
      <c r="T41358"/>
      <c r="U41358"/>
      <c r="X41358" s="60"/>
    </row>
    <row r="41359" spans="7:24" ht="15" customHeight="1">
      <c r="G41359"/>
      <c r="I41359"/>
      <c r="N41359"/>
      <c r="O41359" s="24"/>
      <c r="P41359"/>
      <c r="Q41359" s="24"/>
      <c r="R41359"/>
      <c r="S41359"/>
      <c r="T41359"/>
      <c r="U41359"/>
      <c r="X41359" s="60"/>
    </row>
    <row r="41360" spans="7:24" ht="15" customHeight="1">
      <c r="G41360"/>
      <c r="I41360"/>
      <c r="N41360"/>
      <c r="O41360" s="24"/>
      <c r="P41360"/>
      <c r="Q41360" s="24"/>
      <c r="R41360"/>
      <c r="S41360"/>
      <c r="T41360"/>
      <c r="U41360"/>
      <c r="X41360" s="60"/>
    </row>
    <row r="41361" spans="7:24" ht="15" customHeight="1">
      <c r="G41361"/>
      <c r="I41361"/>
      <c r="N41361"/>
      <c r="O41361" s="24"/>
      <c r="P41361"/>
      <c r="Q41361" s="24"/>
      <c r="R41361"/>
      <c r="S41361"/>
      <c r="T41361"/>
      <c r="U41361"/>
      <c r="X41361" s="60"/>
    </row>
    <row r="41362" spans="7:24" ht="15" customHeight="1">
      <c r="G41362"/>
      <c r="I41362"/>
      <c r="N41362"/>
      <c r="O41362" s="24"/>
      <c r="P41362"/>
      <c r="Q41362" s="24"/>
      <c r="R41362"/>
      <c r="S41362"/>
      <c r="T41362"/>
      <c r="U41362"/>
      <c r="X41362" s="60"/>
    </row>
    <row r="41363" spans="7:24" ht="15" customHeight="1">
      <c r="G41363"/>
      <c r="I41363"/>
      <c r="N41363"/>
      <c r="O41363" s="24"/>
      <c r="P41363"/>
      <c r="Q41363" s="24"/>
      <c r="R41363"/>
      <c r="S41363"/>
      <c r="T41363"/>
      <c r="U41363"/>
      <c r="X41363" s="60"/>
    </row>
    <row r="41364" spans="7:24" ht="15" customHeight="1">
      <c r="G41364"/>
      <c r="I41364"/>
      <c r="N41364"/>
      <c r="O41364" s="24"/>
      <c r="P41364"/>
      <c r="Q41364" s="24"/>
      <c r="R41364"/>
      <c r="S41364"/>
      <c r="T41364"/>
      <c r="U41364"/>
      <c r="X41364" s="60"/>
    </row>
    <row r="41365" spans="7:24" ht="15" customHeight="1">
      <c r="G41365"/>
      <c r="I41365"/>
      <c r="N41365"/>
      <c r="O41365" s="24"/>
      <c r="P41365"/>
      <c r="Q41365" s="24"/>
      <c r="R41365"/>
      <c r="S41365"/>
      <c r="T41365"/>
      <c r="U41365"/>
      <c r="X41365" s="60"/>
    </row>
    <row r="41366" spans="7:24" ht="15" customHeight="1">
      <c r="G41366"/>
      <c r="I41366"/>
      <c r="N41366"/>
      <c r="O41366" s="24"/>
      <c r="P41366"/>
      <c r="Q41366" s="24"/>
      <c r="R41366"/>
      <c r="S41366"/>
      <c r="T41366"/>
      <c r="U41366"/>
      <c r="X41366" s="60"/>
    </row>
    <row r="41367" spans="7:24" ht="15" customHeight="1">
      <c r="G41367"/>
      <c r="I41367"/>
      <c r="N41367"/>
      <c r="O41367" s="24"/>
      <c r="P41367"/>
      <c r="Q41367" s="24"/>
      <c r="R41367"/>
      <c r="S41367"/>
      <c r="T41367"/>
      <c r="U41367"/>
      <c r="X41367" s="60"/>
    </row>
    <row r="41368" spans="7:24" ht="15" customHeight="1">
      <c r="G41368"/>
      <c r="I41368"/>
      <c r="N41368"/>
      <c r="O41368" s="24"/>
      <c r="P41368"/>
      <c r="Q41368" s="24"/>
      <c r="R41368"/>
      <c r="S41368"/>
      <c r="T41368"/>
      <c r="U41368"/>
      <c r="X41368" s="60"/>
    </row>
    <row r="41369" spans="7:24" ht="15" customHeight="1">
      <c r="G41369"/>
      <c r="I41369"/>
      <c r="N41369"/>
      <c r="O41369" s="24"/>
      <c r="P41369"/>
      <c r="Q41369" s="24"/>
      <c r="R41369"/>
      <c r="S41369"/>
      <c r="T41369"/>
      <c r="U41369"/>
      <c r="X41369" s="60"/>
    </row>
    <row r="41370" spans="7:24" ht="15" customHeight="1">
      <c r="G41370"/>
      <c r="I41370"/>
      <c r="N41370"/>
      <c r="O41370" s="24"/>
      <c r="P41370"/>
      <c r="Q41370" s="24"/>
      <c r="R41370"/>
      <c r="S41370"/>
      <c r="T41370"/>
      <c r="U41370"/>
      <c r="X41370" s="60"/>
    </row>
    <row r="41371" spans="7:24" ht="15" customHeight="1">
      <c r="G41371"/>
      <c r="I41371"/>
      <c r="N41371"/>
      <c r="O41371" s="24"/>
      <c r="P41371"/>
      <c r="Q41371" s="24"/>
      <c r="R41371"/>
      <c r="S41371"/>
      <c r="T41371"/>
      <c r="U41371"/>
      <c r="X41371" s="60"/>
    </row>
    <row r="41372" spans="7:24" ht="15" customHeight="1">
      <c r="G41372"/>
      <c r="I41372"/>
      <c r="N41372"/>
      <c r="O41372" s="24"/>
      <c r="P41372"/>
      <c r="Q41372" s="24"/>
      <c r="R41372"/>
      <c r="S41372"/>
      <c r="T41372"/>
      <c r="U41372"/>
      <c r="X41372" s="60"/>
    </row>
    <row r="41373" spans="7:24" ht="15" customHeight="1">
      <c r="G41373"/>
      <c r="I41373"/>
      <c r="N41373"/>
      <c r="O41373" s="24"/>
      <c r="P41373"/>
      <c r="Q41373" s="24"/>
      <c r="R41373"/>
      <c r="S41373"/>
      <c r="T41373"/>
      <c r="U41373"/>
      <c r="X41373" s="60"/>
    </row>
    <row r="41374" spans="7:24" ht="15" customHeight="1">
      <c r="G41374"/>
      <c r="I41374"/>
      <c r="N41374"/>
      <c r="O41374" s="24"/>
      <c r="P41374"/>
      <c r="Q41374" s="24"/>
      <c r="R41374"/>
      <c r="S41374"/>
      <c r="T41374"/>
      <c r="U41374"/>
      <c r="X41374" s="60"/>
    </row>
    <row r="41375" spans="7:24" ht="15" customHeight="1">
      <c r="G41375"/>
      <c r="I41375"/>
      <c r="N41375"/>
      <c r="O41375" s="24"/>
      <c r="P41375"/>
      <c r="Q41375" s="24"/>
      <c r="R41375"/>
      <c r="S41375"/>
      <c r="T41375"/>
      <c r="U41375"/>
      <c r="X41375" s="60"/>
    </row>
    <row r="41376" spans="7:24" ht="15" customHeight="1">
      <c r="G41376"/>
      <c r="I41376"/>
      <c r="N41376"/>
      <c r="O41376" s="24"/>
      <c r="P41376"/>
      <c r="Q41376" s="24"/>
      <c r="R41376"/>
      <c r="S41376"/>
      <c r="T41376"/>
      <c r="U41376"/>
      <c r="X41376" s="60"/>
    </row>
    <row r="41377" spans="7:24" ht="15" customHeight="1">
      <c r="G41377"/>
      <c r="I41377"/>
      <c r="N41377"/>
      <c r="O41377" s="24"/>
      <c r="P41377"/>
      <c r="Q41377" s="24"/>
      <c r="R41377"/>
      <c r="S41377"/>
      <c r="T41377"/>
      <c r="U41377"/>
      <c r="X41377" s="60"/>
    </row>
    <row r="41378" spans="7:24" ht="15" customHeight="1">
      <c r="G41378"/>
      <c r="I41378"/>
      <c r="N41378"/>
      <c r="O41378" s="24"/>
      <c r="P41378"/>
      <c r="Q41378" s="24"/>
      <c r="R41378"/>
      <c r="S41378"/>
      <c r="T41378"/>
      <c r="U41378"/>
      <c r="X41378" s="60"/>
    </row>
    <row r="41379" spans="7:24" ht="15" customHeight="1">
      <c r="G41379"/>
      <c r="I41379"/>
      <c r="N41379"/>
      <c r="O41379" s="24"/>
      <c r="P41379"/>
      <c r="Q41379" s="24"/>
      <c r="R41379"/>
      <c r="S41379"/>
      <c r="T41379"/>
      <c r="U41379"/>
      <c r="X41379" s="60"/>
    </row>
    <row r="41380" spans="7:24" ht="15" customHeight="1">
      <c r="G41380"/>
      <c r="I41380"/>
      <c r="N41380"/>
      <c r="O41380" s="24"/>
      <c r="P41380"/>
      <c r="Q41380" s="24"/>
      <c r="R41380"/>
      <c r="S41380"/>
      <c r="T41380"/>
      <c r="U41380"/>
      <c r="X41380" s="60"/>
    </row>
    <row r="41381" spans="7:24" ht="15" customHeight="1">
      <c r="G41381"/>
      <c r="I41381"/>
      <c r="N41381"/>
      <c r="O41381" s="24"/>
      <c r="P41381"/>
      <c r="Q41381" s="24"/>
      <c r="R41381"/>
      <c r="S41381"/>
      <c r="T41381"/>
      <c r="U41381"/>
      <c r="X41381" s="60"/>
    </row>
    <row r="41382" spans="7:24" ht="15" customHeight="1">
      <c r="G41382"/>
      <c r="I41382"/>
      <c r="N41382"/>
      <c r="O41382" s="24"/>
      <c r="P41382"/>
      <c r="Q41382" s="24"/>
      <c r="R41382"/>
      <c r="S41382"/>
      <c r="T41382"/>
      <c r="U41382"/>
      <c r="X41382" s="60"/>
    </row>
    <row r="41383" spans="7:24" ht="15" customHeight="1">
      <c r="G41383"/>
      <c r="I41383"/>
      <c r="N41383"/>
      <c r="O41383" s="24"/>
      <c r="P41383"/>
      <c r="Q41383" s="24"/>
      <c r="R41383"/>
      <c r="S41383"/>
      <c r="T41383"/>
      <c r="U41383"/>
      <c r="X41383" s="60"/>
    </row>
    <row r="41384" spans="7:24" ht="15" customHeight="1">
      <c r="G41384"/>
      <c r="I41384"/>
      <c r="N41384"/>
      <c r="O41384" s="24"/>
      <c r="P41384"/>
      <c r="Q41384" s="24"/>
      <c r="R41384"/>
      <c r="S41384"/>
      <c r="T41384"/>
      <c r="U41384"/>
      <c r="X41384" s="60"/>
    </row>
    <row r="41385" spans="7:24" ht="15" customHeight="1">
      <c r="G41385"/>
      <c r="I41385"/>
      <c r="N41385"/>
      <c r="O41385" s="24"/>
      <c r="P41385"/>
      <c r="Q41385" s="24"/>
      <c r="R41385"/>
      <c r="S41385"/>
      <c r="T41385"/>
      <c r="U41385"/>
      <c r="X41385" s="60"/>
    </row>
    <row r="41386" spans="7:24" ht="15" customHeight="1">
      <c r="G41386"/>
      <c r="I41386"/>
      <c r="N41386"/>
      <c r="O41386" s="24"/>
      <c r="P41386"/>
      <c r="Q41386" s="24"/>
      <c r="R41386"/>
      <c r="S41386"/>
      <c r="T41386"/>
      <c r="U41386"/>
      <c r="X41386" s="60"/>
    </row>
    <row r="41387" spans="7:24" ht="15" customHeight="1">
      <c r="G41387"/>
      <c r="I41387"/>
      <c r="N41387"/>
      <c r="O41387" s="24"/>
      <c r="P41387"/>
      <c r="Q41387" s="24"/>
      <c r="R41387"/>
      <c r="S41387"/>
      <c r="T41387"/>
      <c r="U41387"/>
      <c r="X41387" s="60"/>
    </row>
    <row r="41388" spans="7:24" ht="15" customHeight="1">
      <c r="G41388"/>
      <c r="I41388"/>
      <c r="N41388"/>
      <c r="O41388" s="24"/>
      <c r="P41388"/>
      <c r="Q41388" s="24"/>
      <c r="R41388"/>
      <c r="S41388"/>
      <c r="T41388"/>
      <c r="U41388"/>
      <c r="X41388" s="60"/>
    </row>
    <row r="41389" spans="7:24" ht="15" customHeight="1">
      <c r="G41389"/>
      <c r="I41389"/>
      <c r="N41389"/>
      <c r="O41389" s="24"/>
      <c r="P41389"/>
      <c r="Q41389" s="24"/>
      <c r="R41389"/>
      <c r="S41389"/>
      <c r="T41389"/>
      <c r="U41389"/>
      <c r="X41389" s="60"/>
    </row>
    <row r="41390" spans="7:24" ht="15" customHeight="1">
      <c r="G41390"/>
      <c r="I41390"/>
      <c r="N41390"/>
      <c r="O41390" s="24"/>
      <c r="P41390"/>
      <c r="Q41390" s="24"/>
      <c r="R41390"/>
      <c r="S41390"/>
      <c r="T41390"/>
      <c r="U41390"/>
      <c r="X41390" s="60"/>
    </row>
    <row r="41391" spans="7:24" ht="15" customHeight="1">
      <c r="G41391"/>
      <c r="I41391"/>
      <c r="N41391"/>
      <c r="O41391" s="24"/>
      <c r="P41391"/>
      <c r="Q41391" s="24"/>
      <c r="R41391"/>
      <c r="S41391"/>
      <c r="T41391"/>
      <c r="U41391"/>
      <c r="X41391" s="60"/>
    </row>
    <row r="41392" spans="7:24" ht="15" customHeight="1">
      <c r="G41392"/>
      <c r="I41392"/>
      <c r="N41392"/>
      <c r="O41392" s="24"/>
      <c r="P41392"/>
      <c r="Q41392" s="24"/>
      <c r="R41392"/>
      <c r="S41392"/>
      <c r="T41392"/>
      <c r="U41392"/>
      <c r="X41392" s="60"/>
    </row>
    <row r="41393" spans="7:24" ht="15" customHeight="1">
      <c r="G41393"/>
      <c r="I41393"/>
      <c r="N41393"/>
      <c r="O41393" s="24"/>
      <c r="P41393"/>
      <c r="Q41393" s="24"/>
      <c r="R41393"/>
      <c r="S41393"/>
      <c r="T41393"/>
      <c r="U41393"/>
      <c r="X41393" s="60"/>
    </row>
    <row r="41394" spans="7:24" ht="15" customHeight="1">
      <c r="G41394"/>
      <c r="I41394"/>
      <c r="N41394"/>
      <c r="O41394" s="24"/>
      <c r="P41394"/>
      <c r="Q41394" s="24"/>
      <c r="R41394"/>
      <c r="S41394"/>
      <c r="T41394"/>
      <c r="U41394"/>
      <c r="X41394" s="60"/>
    </row>
    <row r="41395" spans="7:24" ht="15" customHeight="1">
      <c r="G41395"/>
      <c r="I41395"/>
      <c r="N41395"/>
      <c r="O41395" s="24"/>
      <c r="P41395"/>
      <c r="Q41395" s="24"/>
      <c r="R41395"/>
      <c r="S41395"/>
      <c r="T41395"/>
      <c r="U41395"/>
      <c r="X41395" s="60"/>
    </row>
    <row r="41396" spans="7:24" ht="15" customHeight="1">
      <c r="G41396"/>
      <c r="I41396"/>
      <c r="N41396"/>
      <c r="O41396" s="24"/>
      <c r="P41396"/>
      <c r="Q41396" s="24"/>
      <c r="R41396"/>
      <c r="S41396"/>
      <c r="T41396"/>
      <c r="U41396"/>
      <c r="X41396" s="60"/>
    </row>
    <row r="41397" spans="7:24" ht="15" customHeight="1">
      <c r="G41397"/>
      <c r="I41397"/>
      <c r="N41397"/>
      <c r="O41397" s="24"/>
      <c r="P41397"/>
      <c r="Q41397" s="24"/>
      <c r="R41397"/>
      <c r="S41397"/>
      <c r="T41397"/>
      <c r="U41397"/>
      <c r="X41397" s="60"/>
    </row>
    <row r="41398" spans="7:24" ht="15" customHeight="1">
      <c r="G41398"/>
      <c r="I41398"/>
      <c r="N41398"/>
      <c r="O41398" s="24"/>
      <c r="P41398"/>
      <c r="Q41398" s="24"/>
      <c r="R41398"/>
      <c r="S41398"/>
      <c r="T41398"/>
      <c r="U41398"/>
      <c r="X41398" s="60"/>
    </row>
    <row r="41399" spans="7:24" ht="15" customHeight="1">
      <c r="G41399"/>
      <c r="I41399"/>
      <c r="N41399"/>
      <c r="O41399" s="24"/>
      <c r="P41399"/>
      <c r="Q41399" s="24"/>
      <c r="R41399"/>
      <c r="S41399"/>
      <c r="T41399"/>
      <c r="U41399"/>
      <c r="X41399" s="60"/>
    </row>
    <row r="41400" spans="7:24" ht="15" customHeight="1">
      <c r="G41400"/>
      <c r="I41400"/>
      <c r="N41400"/>
      <c r="O41400" s="24"/>
      <c r="P41400"/>
      <c r="Q41400" s="24"/>
      <c r="R41400"/>
      <c r="S41400"/>
      <c r="T41400"/>
      <c r="U41400"/>
      <c r="X41400" s="60"/>
    </row>
    <row r="41401" spans="7:24" ht="15" customHeight="1">
      <c r="G41401"/>
      <c r="I41401"/>
      <c r="N41401"/>
      <c r="O41401" s="24"/>
      <c r="P41401"/>
      <c r="Q41401" s="24"/>
      <c r="R41401"/>
      <c r="S41401"/>
      <c r="T41401"/>
      <c r="U41401"/>
      <c r="X41401" s="60"/>
    </row>
    <row r="41402" spans="7:24" ht="15" customHeight="1">
      <c r="G41402"/>
      <c r="I41402"/>
      <c r="N41402"/>
      <c r="O41402" s="24"/>
      <c r="P41402"/>
      <c r="Q41402" s="24"/>
      <c r="R41402"/>
      <c r="S41402"/>
      <c r="T41402"/>
      <c r="U41402"/>
      <c r="X41402" s="60"/>
    </row>
    <row r="41403" spans="7:24" ht="15" customHeight="1">
      <c r="G41403"/>
      <c r="I41403"/>
      <c r="N41403"/>
      <c r="O41403" s="24"/>
      <c r="P41403"/>
      <c r="Q41403" s="24"/>
      <c r="R41403"/>
      <c r="S41403"/>
      <c r="T41403"/>
      <c r="U41403"/>
      <c r="X41403" s="60"/>
    </row>
    <row r="41404" spans="7:24" ht="15" customHeight="1">
      <c r="G41404"/>
      <c r="I41404"/>
      <c r="N41404"/>
      <c r="O41404" s="24"/>
      <c r="P41404"/>
      <c r="Q41404" s="24"/>
      <c r="R41404"/>
      <c r="S41404"/>
      <c r="T41404"/>
      <c r="U41404"/>
      <c r="X41404" s="60"/>
    </row>
    <row r="41405" spans="7:24" ht="15" customHeight="1">
      <c r="G41405"/>
      <c r="I41405"/>
      <c r="N41405"/>
      <c r="O41405" s="24"/>
      <c r="P41405"/>
      <c r="Q41405" s="24"/>
      <c r="R41405"/>
      <c r="S41405"/>
      <c r="T41405"/>
      <c r="U41405"/>
      <c r="X41405" s="60"/>
    </row>
    <row r="41406" spans="7:24" ht="15" customHeight="1">
      <c r="G41406"/>
      <c r="I41406"/>
      <c r="N41406"/>
      <c r="O41406" s="24"/>
      <c r="P41406"/>
      <c r="Q41406" s="24"/>
      <c r="R41406"/>
      <c r="S41406"/>
      <c r="T41406"/>
      <c r="U41406"/>
      <c r="X41406" s="60"/>
    </row>
    <row r="41407" spans="7:24" ht="15" customHeight="1">
      <c r="G41407"/>
      <c r="I41407"/>
      <c r="N41407"/>
      <c r="O41407" s="24"/>
      <c r="P41407"/>
      <c r="Q41407" s="24"/>
      <c r="R41407"/>
      <c r="S41407"/>
      <c r="T41407"/>
      <c r="U41407"/>
      <c r="X41407" s="60"/>
    </row>
    <row r="41408" spans="7:24" ht="15" customHeight="1">
      <c r="G41408"/>
      <c r="I41408"/>
      <c r="N41408"/>
      <c r="O41408" s="24"/>
      <c r="P41408"/>
      <c r="Q41408" s="24"/>
      <c r="R41408"/>
      <c r="S41408"/>
      <c r="T41408"/>
      <c r="U41408"/>
      <c r="X41408" s="60"/>
    </row>
    <row r="41409" spans="7:24" ht="15" customHeight="1">
      <c r="G41409"/>
      <c r="I41409"/>
      <c r="N41409"/>
      <c r="O41409" s="24"/>
      <c r="P41409"/>
      <c r="Q41409" s="24"/>
      <c r="R41409"/>
      <c r="S41409"/>
      <c r="T41409"/>
      <c r="U41409"/>
      <c r="X41409" s="60"/>
    </row>
    <row r="41410" spans="7:24" ht="15" customHeight="1">
      <c r="G41410"/>
      <c r="I41410"/>
      <c r="N41410"/>
      <c r="O41410" s="24"/>
      <c r="P41410"/>
      <c r="Q41410" s="24"/>
      <c r="R41410"/>
      <c r="S41410"/>
      <c r="T41410"/>
      <c r="U41410"/>
      <c r="X41410" s="60"/>
    </row>
    <row r="41411" spans="7:24" ht="15" customHeight="1">
      <c r="G41411"/>
      <c r="I41411"/>
      <c r="N41411"/>
      <c r="O41411" s="24"/>
      <c r="P41411"/>
      <c r="Q41411" s="24"/>
      <c r="R41411"/>
      <c r="S41411"/>
      <c r="T41411"/>
      <c r="U41411"/>
      <c r="X41411" s="60"/>
    </row>
    <row r="41412" spans="7:24" ht="15" customHeight="1">
      <c r="G41412"/>
      <c r="I41412"/>
      <c r="N41412"/>
      <c r="O41412" s="24"/>
      <c r="P41412"/>
      <c r="Q41412" s="24"/>
      <c r="R41412"/>
      <c r="S41412"/>
      <c r="T41412"/>
      <c r="U41412"/>
      <c r="X41412" s="60"/>
    </row>
    <row r="41413" spans="7:24" ht="15" customHeight="1">
      <c r="G41413"/>
      <c r="I41413"/>
      <c r="N41413"/>
      <c r="O41413" s="24"/>
      <c r="P41413"/>
      <c r="Q41413" s="24"/>
      <c r="R41413"/>
      <c r="S41413"/>
      <c r="T41413"/>
      <c r="U41413"/>
      <c r="X41413" s="60"/>
    </row>
    <row r="41414" spans="7:24" ht="15" customHeight="1">
      <c r="G41414"/>
      <c r="I41414"/>
      <c r="N41414"/>
      <c r="O41414" s="24"/>
      <c r="P41414"/>
      <c r="Q41414" s="24"/>
      <c r="R41414"/>
      <c r="S41414"/>
      <c r="T41414"/>
      <c r="U41414"/>
      <c r="X41414" s="60"/>
    </row>
    <row r="41415" spans="7:24" ht="15" customHeight="1">
      <c r="G41415"/>
      <c r="I41415"/>
      <c r="N41415"/>
      <c r="O41415" s="24"/>
      <c r="P41415"/>
      <c r="Q41415" s="24"/>
      <c r="R41415"/>
      <c r="S41415"/>
      <c r="T41415"/>
      <c r="U41415"/>
      <c r="X41415" s="60"/>
    </row>
    <row r="41416" spans="7:24" ht="15" customHeight="1">
      <c r="G41416"/>
      <c r="I41416"/>
      <c r="N41416"/>
      <c r="O41416" s="24"/>
      <c r="P41416"/>
      <c r="Q41416" s="24"/>
      <c r="R41416"/>
      <c r="S41416"/>
      <c r="T41416"/>
      <c r="U41416"/>
      <c r="X41416" s="60"/>
    </row>
    <row r="41417" spans="7:24" ht="15" customHeight="1">
      <c r="G41417"/>
      <c r="I41417"/>
      <c r="N41417"/>
      <c r="O41417" s="24"/>
      <c r="P41417"/>
      <c r="Q41417" s="24"/>
      <c r="R41417"/>
      <c r="S41417"/>
      <c r="T41417"/>
      <c r="U41417"/>
      <c r="X41417" s="60"/>
    </row>
    <row r="41418" spans="7:24" ht="15" customHeight="1">
      <c r="G41418"/>
      <c r="I41418"/>
      <c r="N41418"/>
      <c r="O41418" s="24"/>
      <c r="P41418"/>
      <c r="Q41418" s="24"/>
      <c r="R41418"/>
      <c r="S41418"/>
      <c r="T41418"/>
      <c r="U41418"/>
      <c r="X41418" s="60"/>
    </row>
    <row r="41419" spans="7:24" ht="15" customHeight="1">
      <c r="G41419"/>
      <c r="I41419"/>
      <c r="N41419"/>
      <c r="O41419" s="24"/>
      <c r="P41419"/>
      <c r="Q41419" s="24"/>
      <c r="R41419"/>
      <c r="S41419"/>
      <c r="T41419"/>
      <c r="U41419"/>
      <c r="X41419" s="60"/>
    </row>
    <row r="41420" spans="7:24" ht="15" customHeight="1">
      <c r="G41420"/>
      <c r="I41420"/>
      <c r="N41420"/>
      <c r="O41420" s="24"/>
      <c r="P41420"/>
      <c r="Q41420" s="24"/>
      <c r="R41420"/>
      <c r="S41420"/>
      <c r="T41420"/>
      <c r="U41420"/>
      <c r="X41420" s="60"/>
    </row>
    <row r="41421" spans="7:24" ht="15" customHeight="1">
      <c r="G41421"/>
      <c r="I41421"/>
      <c r="N41421"/>
      <c r="O41421" s="24"/>
      <c r="P41421"/>
      <c r="Q41421" s="24"/>
      <c r="R41421"/>
      <c r="S41421"/>
      <c r="T41421"/>
      <c r="U41421"/>
      <c r="X41421" s="60"/>
    </row>
    <row r="41422" spans="7:24" ht="15" customHeight="1">
      <c r="G41422"/>
      <c r="I41422"/>
      <c r="N41422"/>
      <c r="O41422" s="24"/>
      <c r="P41422"/>
      <c r="Q41422" s="24"/>
      <c r="R41422"/>
      <c r="S41422"/>
      <c r="T41422"/>
      <c r="U41422"/>
      <c r="X41422" s="60"/>
    </row>
    <row r="41423" spans="7:24" ht="15" customHeight="1">
      <c r="G41423"/>
      <c r="I41423"/>
      <c r="N41423"/>
      <c r="O41423" s="24"/>
      <c r="P41423"/>
      <c r="Q41423" s="24"/>
      <c r="R41423"/>
      <c r="S41423"/>
      <c r="T41423"/>
      <c r="U41423"/>
      <c r="X41423" s="60"/>
    </row>
    <row r="41424" spans="7:24" ht="15" customHeight="1">
      <c r="G41424"/>
      <c r="I41424"/>
      <c r="N41424"/>
      <c r="O41424" s="24"/>
      <c r="P41424"/>
      <c r="Q41424" s="24"/>
      <c r="R41424"/>
      <c r="S41424"/>
      <c r="T41424"/>
      <c r="U41424"/>
      <c r="X41424" s="60"/>
    </row>
    <row r="41425" spans="7:24" ht="15" customHeight="1">
      <c r="G41425"/>
      <c r="I41425"/>
      <c r="N41425"/>
      <c r="O41425" s="24"/>
      <c r="P41425"/>
      <c r="Q41425" s="24"/>
      <c r="R41425"/>
      <c r="S41425"/>
      <c r="T41425"/>
      <c r="U41425"/>
      <c r="X41425" s="60"/>
    </row>
    <row r="41426" spans="7:24" ht="15" customHeight="1">
      <c r="G41426"/>
      <c r="I41426"/>
      <c r="N41426"/>
      <c r="O41426" s="24"/>
      <c r="P41426"/>
      <c r="Q41426" s="24"/>
      <c r="R41426"/>
      <c r="S41426"/>
      <c r="T41426"/>
      <c r="U41426"/>
      <c r="X41426" s="60"/>
    </row>
    <row r="41427" spans="7:24" ht="15" customHeight="1">
      <c r="G41427"/>
      <c r="I41427"/>
      <c r="N41427"/>
      <c r="O41427" s="24"/>
      <c r="P41427"/>
      <c r="Q41427" s="24"/>
      <c r="R41427"/>
      <c r="S41427"/>
      <c r="T41427"/>
      <c r="U41427"/>
      <c r="X41427" s="60"/>
    </row>
    <row r="41428" spans="7:24" ht="15" customHeight="1">
      <c r="G41428"/>
      <c r="I41428"/>
      <c r="N41428"/>
      <c r="O41428" s="24"/>
      <c r="P41428"/>
      <c r="Q41428" s="24"/>
      <c r="R41428"/>
      <c r="S41428"/>
      <c r="T41428"/>
      <c r="U41428"/>
      <c r="X41428" s="60"/>
    </row>
    <row r="41429" spans="7:24" ht="15" customHeight="1">
      <c r="G41429"/>
      <c r="I41429"/>
      <c r="N41429"/>
      <c r="O41429" s="24"/>
      <c r="P41429"/>
      <c r="Q41429" s="24"/>
      <c r="R41429"/>
      <c r="S41429"/>
      <c r="T41429"/>
      <c r="U41429"/>
      <c r="X41429" s="60"/>
    </row>
    <row r="41430" spans="7:24" ht="15" customHeight="1">
      <c r="G41430"/>
      <c r="I41430"/>
      <c r="N41430"/>
      <c r="O41430" s="24"/>
      <c r="P41430"/>
      <c r="Q41430" s="24"/>
      <c r="R41430"/>
      <c r="S41430"/>
      <c r="T41430"/>
      <c r="U41430"/>
      <c r="X41430" s="60"/>
    </row>
    <row r="41431" spans="7:24" ht="15" customHeight="1">
      <c r="G41431"/>
      <c r="I41431"/>
      <c r="N41431"/>
      <c r="O41431" s="24"/>
      <c r="P41431"/>
      <c r="Q41431" s="24"/>
      <c r="R41431"/>
      <c r="S41431"/>
      <c r="T41431"/>
      <c r="U41431"/>
      <c r="X41431" s="60"/>
    </row>
    <row r="41432" spans="7:24" ht="15" customHeight="1">
      <c r="G41432"/>
      <c r="I41432"/>
      <c r="N41432"/>
      <c r="O41432" s="24"/>
      <c r="P41432"/>
      <c r="Q41432" s="24"/>
      <c r="R41432"/>
      <c r="S41432"/>
      <c r="T41432"/>
      <c r="U41432"/>
      <c r="X41432" s="60"/>
    </row>
    <row r="41433" spans="7:24" ht="15" customHeight="1">
      <c r="G41433"/>
      <c r="I41433"/>
      <c r="N41433"/>
      <c r="O41433" s="24"/>
      <c r="P41433"/>
      <c r="Q41433" s="24"/>
      <c r="R41433"/>
      <c r="S41433"/>
      <c r="T41433"/>
      <c r="U41433"/>
      <c r="X41433" s="60"/>
    </row>
    <row r="41434" spans="7:24" ht="15" customHeight="1">
      <c r="G41434"/>
      <c r="I41434"/>
      <c r="N41434"/>
      <c r="O41434" s="24"/>
      <c r="P41434"/>
      <c r="Q41434" s="24"/>
      <c r="R41434"/>
      <c r="S41434"/>
      <c r="T41434"/>
      <c r="U41434"/>
      <c r="X41434" s="60"/>
    </row>
    <row r="41435" spans="7:24" ht="15" customHeight="1">
      <c r="G41435"/>
      <c r="I41435"/>
      <c r="N41435"/>
      <c r="O41435" s="24"/>
      <c r="P41435"/>
      <c r="Q41435" s="24"/>
      <c r="R41435"/>
      <c r="S41435"/>
      <c r="T41435"/>
      <c r="U41435"/>
      <c r="X41435" s="60"/>
    </row>
    <row r="41436" spans="7:24" ht="15" customHeight="1">
      <c r="G41436"/>
      <c r="I41436"/>
      <c r="N41436"/>
      <c r="O41436" s="24"/>
      <c r="P41436"/>
      <c r="Q41436" s="24"/>
      <c r="R41436"/>
      <c r="S41436"/>
      <c r="T41436"/>
      <c r="U41436"/>
      <c r="X41436" s="60"/>
    </row>
    <row r="41437" spans="7:24" ht="15" customHeight="1">
      <c r="G41437"/>
      <c r="I41437"/>
      <c r="N41437"/>
      <c r="O41437" s="24"/>
      <c r="P41437"/>
      <c r="Q41437" s="24"/>
      <c r="R41437"/>
      <c r="S41437"/>
      <c r="T41437"/>
      <c r="U41437"/>
      <c r="X41437" s="60"/>
    </row>
    <row r="41438" spans="7:24" ht="15" customHeight="1">
      <c r="G41438"/>
      <c r="I41438"/>
      <c r="N41438"/>
      <c r="O41438" s="24"/>
      <c r="P41438"/>
      <c r="Q41438" s="24"/>
      <c r="R41438"/>
      <c r="S41438"/>
      <c r="T41438"/>
      <c r="U41438"/>
      <c r="X41438" s="60"/>
    </row>
    <row r="41439" spans="7:24" ht="15" customHeight="1">
      <c r="G41439"/>
      <c r="I41439"/>
      <c r="N41439"/>
      <c r="O41439" s="24"/>
      <c r="P41439"/>
      <c r="Q41439" s="24"/>
      <c r="R41439"/>
      <c r="S41439"/>
      <c r="T41439"/>
      <c r="U41439"/>
      <c r="X41439" s="60"/>
    </row>
    <row r="41440" spans="7:24" ht="15" customHeight="1">
      <c r="G41440"/>
      <c r="I41440"/>
      <c r="N41440"/>
      <c r="O41440" s="24"/>
      <c r="P41440"/>
      <c r="Q41440" s="24"/>
      <c r="R41440"/>
      <c r="S41440"/>
      <c r="T41440"/>
      <c r="U41440"/>
      <c r="X41440" s="60"/>
    </row>
    <row r="41441" spans="7:24" ht="15" customHeight="1">
      <c r="G41441"/>
      <c r="I41441"/>
      <c r="N41441"/>
      <c r="O41441" s="24"/>
      <c r="P41441"/>
      <c r="Q41441" s="24"/>
      <c r="R41441"/>
      <c r="S41441"/>
      <c r="T41441"/>
      <c r="U41441"/>
      <c r="X41441" s="60"/>
    </row>
    <row r="41442" spans="7:24" ht="15" customHeight="1">
      <c r="G41442"/>
      <c r="I41442"/>
      <c r="N41442"/>
      <c r="O41442" s="24"/>
      <c r="P41442"/>
      <c r="Q41442" s="24"/>
      <c r="R41442"/>
      <c r="S41442"/>
      <c r="T41442"/>
      <c r="U41442"/>
      <c r="X41442" s="60"/>
    </row>
    <row r="41443" spans="7:24" ht="15" customHeight="1">
      <c r="G41443"/>
      <c r="I41443"/>
      <c r="N41443"/>
      <c r="O41443" s="24"/>
      <c r="P41443"/>
      <c r="Q41443" s="24"/>
      <c r="R41443"/>
      <c r="S41443"/>
      <c r="T41443"/>
      <c r="U41443"/>
      <c r="X41443" s="60"/>
    </row>
    <row r="41444" spans="7:24" ht="15" customHeight="1">
      <c r="G41444"/>
      <c r="I41444"/>
      <c r="N41444"/>
      <c r="O41444" s="24"/>
      <c r="P41444"/>
      <c r="Q41444" s="24"/>
      <c r="R41444"/>
      <c r="S41444"/>
      <c r="T41444"/>
      <c r="U41444"/>
      <c r="X41444" s="60"/>
    </row>
    <row r="41445" spans="7:24" ht="15" customHeight="1">
      <c r="G41445"/>
      <c r="I41445"/>
      <c r="N41445"/>
      <c r="O41445" s="24"/>
      <c r="P41445"/>
      <c r="Q41445" s="24"/>
      <c r="R41445"/>
      <c r="S41445"/>
      <c r="T41445"/>
      <c r="U41445"/>
      <c r="X41445" s="60"/>
    </row>
    <row r="41446" spans="7:24" ht="15" customHeight="1">
      <c r="G41446"/>
      <c r="I41446"/>
      <c r="N41446"/>
      <c r="O41446" s="24"/>
      <c r="P41446"/>
      <c r="Q41446" s="24"/>
      <c r="R41446"/>
      <c r="S41446"/>
      <c r="T41446"/>
      <c r="U41446"/>
      <c r="X41446" s="60"/>
    </row>
    <row r="41447" spans="7:24" ht="15" customHeight="1">
      <c r="G41447"/>
      <c r="I41447"/>
      <c r="N41447"/>
      <c r="O41447" s="24"/>
      <c r="P41447"/>
      <c r="Q41447" s="24"/>
      <c r="R41447"/>
      <c r="S41447"/>
      <c r="T41447"/>
      <c r="U41447"/>
      <c r="X41447" s="60"/>
    </row>
    <row r="41448" spans="7:24" ht="15" customHeight="1">
      <c r="G41448"/>
      <c r="I41448"/>
      <c r="N41448"/>
      <c r="O41448" s="24"/>
      <c r="P41448"/>
      <c r="Q41448" s="24"/>
      <c r="R41448"/>
      <c r="S41448"/>
      <c r="T41448"/>
      <c r="U41448"/>
      <c r="X41448" s="60"/>
    </row>
    <row r="41449" spans="7:24" ht="15" customHeight="1">
      <c r="G41449"/>
      <c r="I41449"/>
      <c r="N41449"/>
      <c r="O41449" s="24"/>
      <c r="P41449"/>
      <c r="Q41449" s="24"/>
      <c r="R41449"/>
      <c r="S41449"/>
      <c r="T41449"/>
      <c r="U41449"/>
      <c r="X41449" s="60"/>
    </row>
    <row r="41450" spans="7:24" ht="15" customHeight="1">
      <c r="G41450"/>
      <c r="I41450"/>
      <c r="N41450"/>
      <c r="O41450" s="24"/>
      <c r="P41450"/>
      <c r="Q41450" s="24"/>
      <c r="R41450"/>
      <c r="S41450"/>
      <c r="T41450"/>
      <c r="U41450"/>
      <c r="X41450" s="60"/>
    </row>
    <row r="41451" spans="7:24" ht="15" customHeight="1">
      <c r="G41451"/>
      <c r="I41451"/>
      <c r="N41451"/>
      <c r="O41451" s="24"/>
      <c r="P41451"/>
      <c r="Q41451" s="24"/>
      <c r="R41451"/>
      <c r="S41451"/>
      <c r="T41451"/>
      <c r="U41451"/>
      <c r="X41451" s="60"/>
    </row>
    <row r="41452" spans="7:24" ht="15" customHeight="1">
      <c r="G41452"/>
      <c r="I41452"/>
      <c r="N41452"/>
      <c r="O41452" s="24"/>
      <c r="P41452"/>
      <c r="Q41452" s="24"/>
      <c r="R41452"/>
      <c r="S41452"/>
      <c r="T41452"/>
      <c r="U41452"/>
      <c r="X41452" s="60"/>
    </row>
    <row r="41453" spans="7:24" ht="15" customHeight="1">
      <c r="G41453"/>
      <c r="I41453"/>
      <c r="N41453"/>
      <c r="O41453" s="24"/>
      <c r="P41453"/>
      <c r="Q41453" s="24"/>
      <c r="R41453"/>
      <c r="S41453"/>
      <c r="T41453"/>
      <c r="U41453"/>
      <c r="X41453" s="60"/>
    </row>
    <row r="41454" spans="7:24" ht="15" customHeight="1">
      <c r="G41454"/>
      <c r="I41454"/>
      <c r="N41454"/>
      <c r="O41454" s="24"/>
      <c r="P41454"/>
      <c r="Q41454" s="24"/>
      <c r="R41454"/>
      <c r="S41454"/>
      <c r="T41454"/>
      <c r="U41454"/>
      <c r="X41454" s="60"/>
    </row>
    <row r="41455" spans="7:24" ht="15" customHeight="1">
      <c r="G41455"/>
      <c r="I41455"/>
      <c r="N41455"/>
      <c r="O41455" s="24"/>
      <c r="P41455"/>
      <c r="Q41455" s="24"/>
      <c r="R41455"/>
      <c r="S41455"/>
      <c r="T41455"/>
      <c r="U41455"/>
      <c r="X41455" s="60"/>
    </row>
    <row r="41456" spans="7:24" ht="15" customHeight="1">
      <c r="G41456"/>
      <c r="I41456"/>
      <c r="N41456"/>
      <c r="O41456" s="24"/>
      <c r="P41456"/>
      <c r="Q41456" s="24"/>
      <c r="R41456"/>
      <c r="S41456"/>
      <c r="T41456"/>
      <c r="U41456"/>
      <c r="X41456" s="60"/>
    </row>
    <row r="41457" spans="7:24" ht="15" customHeight="1">
      <c r="G41457"/>
      <c r="I41457"/>
      <c r="N41457"/>
      <c r="O41457" s="24"/>
      <c r="P41457"/>
      <c r="Q41457" s="24"/>
      <c r="R41457"/>
      <c r="S41457"/>
      <c r="T41457"/>
      <c r="U41457"/>
      <c r="X41457" s="60"/>
    </row>
    <row r="41458" spans="7:24" ht="15" customHeight="1">
      <c r="G41458"/>
      <c r="I41458"/>
      <c r="N41458"/>
      <c r="O41458" s="24"/>
      <c r="P41458"/>
      <c r="Q41458" s="24"/>
      <c r="R41458"/>
      <c r="S41458"/>
      <c r="T41458"/>
      <c r="U41458"/>
      <c r="X41458" s="60"/>
    </row>
    <row r="41459" spans="7:24" ht="15" customHeight="1">
      <c r="G41459"/>
      <c r="I41459"/>
      <c r="N41459"/>
      <c r="O41459" s="24"/>
      <c r="P41459"/>
      <c r="Q41459" s="24"/>
      <c r="R41459"/>
      <c r="S41459"/>
      <c r="T41459"/>
      <c r="U41459"/>
      <c r="X41459" s="60"/>
    </row>
    <row r="41460" spans="7:24" ht="15" customHeight="1">
      <c r="G41460"/>
      <c r="I41460"/>
      <c r="N41460"/>
      <c r="O41460" s="24"/>
      <c r="P41460"/>
      <c r="Q41460" s="24"/>
      <c r="R41460"/>
      <c r="S41460"/>
      <c r="T41460"/>
      <c r="U41460"/>
      <c r="X41460" s="60"/>
    </row>
    <row r="41461" spans="7:24" ht="15" customHeight="1">
      <c r="G41461"/>
      <c r="I41461"/>
      <c r="N41461"/>
      <c r="O41461" s="24"/>
      <c r="P41461"/>
      <c r="Q41461" s="24"/>
      <c r="R41461"/>
      <c r="S41461"/>
      <c r="T41461"/>
      <c r="U41461"/>
      <c r="X41461" s="60"/>
    </row>
    <row r="41462" spans="7:24" ht="15" customHeight="1">
      <c r="G41462"/>
      <c r="I41462"/>
      <c r="N41462"/>
      <c r="O41462" s="24"/>
      <c r="P41462"/>
      <c r="Q41462" s="24"/>
      <c r="R41462"/>
      <c r="S41462"/>
      <c r="T41462"/>
      <c r="U41462"/>
      <c r="X41462" s="60"/>
    </row>
    <row r="41463" spans="7:24" ht="15" customHeight="1">
      <c r="G41463"/>
      <c r="I41463"/>
      <c r="N41463"/>
      <c r="O41463" s="24"/>
      <c r="P41463"/>
      <c r="Q41463" s="24"/>
      <c r="R41463"/>
      <c r="S41463"/>
      <c r="T41463"/>
      <c r="U41463"/>
      <c r="X41463" s="60"/>
    </row>
    <row r="41464" spans="7:24" ht="15" customHeight="1">
      <c r="G41464"/>
      <c r="I41464"/>
      <c r="N41464"/>
      <c r="O41464" s="24"/>
      <c r="P41464"/>
      <c r="Q41464" s="24"/>
      <c r="R41464"/>
      <c r="S41464"/>
      <c r="T41464"/>
      <c r="U41464"/>
      <c r="X41464" s="60"/>
    </row>
    <row r="41465" spans="7:24" ht="15" customHeight="1">
      <c r="G41465"/>
      <c r="I41465"/>
      <c r="N41465"/>
      <c r="O41465" s="24"/>
      <c r="P41465"/>
      <c r="Q41465" s="24"/>
      <c r="R41465"/>
      <c r="S41465"/>
      <c r="T41465"/>
      <c r="U41465"/>
      <c r="X41465" s="60"/>
    </row>
    <row r="41466" spans="7:24" ht="15" customHeight="1">
      <c r="G41466"/>
      <c r="I41466"/>
      <c r="N41466"/>
      <c r="O41466" s="24"/>
      <c r="P41466"/>
      <c r="Q41466" s="24"/>
      <c r="R41466"/>
      <c r="S41466"/>
      <c r="T41466"/>
      <c r="U41466"/>
      <c r="X41466" s="60"/>
    </row>
    <row r="41467" spans="7:24" ht="15" customHeight="1">
      <c r="G41467"/>
      <c r="I41467"/>
      <c r="N41467"/>
      <c r="O41467" s="24"/>
      <c r="P41467"/>
      <c r="Q41467" s="24"/>
      <c r="R41467"/>
      <c r="S41467"/>
      <c r="T41467"/>
      <c r="U41467"/>
      <c r="X41467" s="60"/>
    </row>
    <row r="41468" spans="7:24" ht="15" customHeight="1">
      <c r="G41468"/>
      <c r="I41468"/>
      <c r="N41468"/>
      <c r="O41468" s="24"/>
      <c r="P41468"/>
      <c r="Q41468" s="24"/>
      <c r="R41468"/>
      <c r="S41468"/>
      <c r="T41468"/>
      <c r="U41468"/>
      <c r="X41468" s="60"/>
    </row>
    <row r="41469" spans="7:24" ht="15" customHeight="1">
      <c r="G41469"/>
      <c r="I41469"/>
      <c r="N41469"/>
      <c r="O41469" s="24"/>
      <c r="P41469"/>
      <c r="Q41469" s="24"/>
      <c r="R41469"/>
      <c r="S41469"/>
      <c r="T41469"/>
      <c r="U41469"/>
      <c r="X41469" s="60"/>
    </row>
    <row r="41470" spans="7:24" ht="15" customHeight="1">
      <c r="G41470"/>
      <c r="I41470"/>
      <c r="N41470"/>
      <c r="O41470" s="24"/>
      <c r="P41470"/>
      <c r="Q41470" s="24"/>
      <c r="R41470"/>
      <c r="S41470"/>
      <c r="T41470"/>
      <c r="U41470"/>
      <c r="X41470" s="60"/>
    </row>
    <row r="41471" spans="7:24" ht="15" customHeight="1">
      <c r="G41471"/>
      <c r="I41471"/>
      <c r="N41471"/>
      <c r="O41471" s="24"/>
      <c r="P41471"/>
      <c r="Q41471" s="24"/>
      <c r="R41471"/>
      <c r="S41471"/>
      <c r="T41471"/>
      <c r="U41471"/>
      <c r="X41471" s="60"/>
    </row>
    <row r="41472" spans="7:24" ht="15" customHeight="1">
      <c r="G41472"/>
      <c r="I41472"/>
      <c r="N41472"/>
      <c r="O41472" s="24"/>
      <c r="P41472"/>
      <c r="Q41472" s="24"/>
      <c r="R41472"/>
      <c r="S41472"/>
      <c r="T41472"/>
      <c r="U41472"/>
      <c r="X41472" s="60"/>
    </row>
    <row r="41473" spans="7:24" ht="15" customHeight="1">
      <c r="G41473"/>
      <c r="I41473"/>
      <c r="N41473"/>
      <c r="O41473" s="24"/>
      <c r="P41473"/>
      <c r="Q41473" s="24"/>
      <c r="R41473"/>
      <c r="S41473"/>
      <c r="T41473"/>
      <c r="U41473"/>
      <c r="X41473" s="60"/>
    </row>
    <row r="41474" spans="7:24" ht="15" customHeight="1">
      <c r="G41474"/>
      <c r="I41474"/>
      <c r="N41474"/>
      <c r="O41474" s="24"/>
      <c r="P41474"/>
      <c r="Q41474" s="24"/>
      <c r="R41474"/>
      <c r="S41474"/>
      <c r="T41474"/>
      <c r="U41474"/>
      <c r="X41474" s="60"/>
    </row>
    <row r="41475" spans="7:24" ht="15" customHeight="1">
      <c r="G41475"/>
      <c r="I41475"/>
      <c r="N41475"/>
      <c r="O41475" s="24"/>
      <c r="P41475"/>
      <c r="Q41475" s="24"/>
      <c r="R41475"/>
      <c r="S41475"/>
      <c r="T41475"/>
      <c r="U41475"/>
      <c r="X41475" s="60"/>
    </row>
    <row r="41476" spans="7:24" ht="15" customHeight="1">
      <c r="G41476"/>
      <c r="I41476"/>
      <c r="N41476"/>
      <c r="O41476" s="24"/>
      <c r="P41476"/>
      <c r="Q41476" s="24"/>
      <c r="R41476"/>
      <c r="S41476"/>
      <c r="T41476"/>
      <c r="U41476"/>
      <c r="X41476" s="60"/>
    </row>
    <row r="41477" spans="7:24" ht="15" customHeight="1">
      <c r="G41477"/>
      <c r="I41477"/>
      <c r="N41477"/>
      <c r="O41477" s="24"/>
      <c r="P41477"/>
      <c r="Q41477" s="24"/>
      <c r="R41477"/>
      <c r="S41477"/>
      <c r="T41477"/>
      <c r="U41477"/>
      <c r="X41477" s="60"/>
    </row>
    <row r="41478" spans="7:24" ht="15" customHeight="1">
      <c r="G41478"/>
      <c r="I41478"/>
      <c r="N41478"/>
      <c r="O41478" s="24"/>
      <c r="P41478"/>
      <c r="Q41478" s="24"/>
      <c r="R41478"/>
      <c r="S41478"/>
      <c r="T41478"/>
      <c r="U41478"/>
      <c r="X41478" s="60"/>
    </row>
    <row r="41479" spans="7:24" ht="15" customHeight="1">
      <c r="G41479"/>
      <c r="I41479"/>
      <c r="N41479"/>
      <c r="O41479" s="24"/>
      <c r="P41479"/>
      <c r="Q41479" s="24"/>
      <c r="R41479"/>
      <c r="S41479"/>
      <c r="T41479"/>
      <c r="U41479"/>
      <c r="X41479" s="60"/>
    </row>
    <row r="41480" spans="7:24" ht="15" customHeight="1">
      <c r="G41480"/>
      <c r="I41480"/>
      <c r="N41480"/>
      <c r="O41480" s="24"/>
      <c r="P41480"/>
      <c r="Q41480" s="24"/>
      <c r="R41480"/>
      <c r="S41480"/>
      <c r="T41480"/>
      <c r="U41480"/>
      <c r="X41480" s="60"/>
    </row>
    <row r="41481" spans="7:24" ht="15" customHeight="1">
      <c r="G41481"/>
      <c r="I41481"/>
      <c r="N41481"/>
      <c r="O41481" s="24"/>
      <c r="P41481"/>
      <c r="Q41481" s="24"/>
      <c r="R41481"/>
      <c r="S41481"/>
      <c r="T41481"/>
      <c r="U41481"/>
      <c r="X41481" s="60"/>
    </row>
    <row r="41482" spans="7:24" ht="15" customHeight="1">
      <c r="G41482"/>
      <c r="I41482"/>
      <c r="N41482"/>
      <c r="O41482" s="24"/>
      <c r="P41482"/>
      <c r="Q41482" s="24"/>
      <c r="R41482"/>
      <c r="S41482"/>
      <c r="T41482"/>
      <c r="U41482"/>
      <c r="X41482" s="60"/>
    </row>
    <row r="41483" spans="7:24" ht="15" customHeight="1">
      <c r="G41483"/>
      <c r="I41483"/>
      <c r="N41483"/>
      <c r="O41483" s="24"/>
      <c r="P41483"/>
      <c r="Q41483" s="24"/>
      <c r="R41483"/>
      <c r="S41483"/>
      <c r="T41483"/>
      <c r="U41483"/>
      <c r="X41483" s="60"/>
    </row>
    <row r="41484" spans="7:24" ht="15" customHeight="1">
      <c r="G41484"/>
      <c r="I41484"/>
      <c r="N41484"/>
      <c r="O41484" s="24"/>
      <c r="P41484"/>
      <c r="Q41484" s="24"/>
      <c r="R41484"/>
      <c r="S41484"/>
      <c r="T41484"/>
      <c r="U41484"/>
      <c r="X41484" s="60"/>
    </row>
    <row r="41485" spans="7:24" ht="15" customHeight="1">
      <c r="G41485"/>
      <c r="I41485"/>
      <c r="N41485"/>
      <c r="O41485" s="24"/>
      <c r="P41485"/>
      <c r="Q41485" s="24"/>
      <c r="R41485"/>
      <c r="S41485"/>
      <c r="T41485"/>
      <c r="U41485"/>
      <c r="X41485" s="60"/>
    </row>
    <row r="41486" spans="7:24" ht="15" customHeight="1">
      <c r="G41486"/>
      <c r="I41486"/>
      <c r="N41486"/>
      <c r="O41486" s="24"/>
      <c r="P41486"/>
      <c r="Q41486" s="24"/>
      <c r="R41486"/>
      <c r="S41486"/>
      <c r="T41486"/>
      <c r="U41486"/>
      <c r="X41486" s="60"/>
    </row>
    <row r="41487" spans="7:24" ht="15" customHeight="1">
      <c r="G41487"/>
      <c r="I41487"/>
      <c r="N41487"/>
      <c r="O41487" s="24"/>
      <c r="P41487"/>
      <c r="Q41487" s="24"/>
      <c r="R41487"/>
      <c r="S41487"/>
      <c r="T41487"/>
      <c r="U41487"/>
      <c r="X41487" s="60"/>
    </row>
    <row r="41488" spans="7:24" ht="15" customHeight="1">
      <c r="G41488"/>
      <c r="I41488"/>
      <c r="N41488"/>
      <c r="O41488" s="24"/>
      <c r="P41488"/>
      <c r="Q41488" s="24"/>
      <c r="R41488"/>
      <c r="S41488"/>
      <c r="T41488"/>
      <c r="U41488"/>
      <c r="X41488" s="60"/>
    </row>
    <row r="41489" spans="7:24" ht="15" customHeight="1">
      <c r="G41489"/>
      <c r="I41489"/>
      <c r="N41489"/>
      <c r="O41489" s="24"/>
      <c r="P41489"/>
      <c r="Q41489" s="24"/>
      <c r="R41489"/>
      <c r="S41489"/>
      <c r="T41489"/>
      <c r="U41489"/>
      <c r="X41489" s="60"/>
    </row>
    <row r="41490" spans="7:24" ht="15" customHeight="1">
      <c r="G41490"/>
      <c r="I41490"/>
      <c r="N41490"/>
      <c r="O41490" s="24"/>
      <c r="P41490"/>
      <c r="Q41490" s="24"/>
      <c r="R41490"/>
      <c r="S41490"/>
      <c r="T41490"/>
      <c r="U41490"/>
      <c r="X41490" s="60"/>
    </row>
    <row r="41491" spans="7:24" ht="15" customHeight="1">
      <c r="G41491"/>
      <c r="I41491"/>
      <c r="N41491"/>
      <c r="O41491" s="24"/>
      <c r="P41491"/>
      <c r="Q41491" s="24"/>
      <c r="R41491"/>
      <c r="S41491"/>
      <c r="T41491"/>
      <c r="U41491"/>
      <c r="X41491" s="60"/>
    </row>
    <row r="41492" spans="7:24" ht="15" customHeight="1">
      <c r="G41492"/>
      <c r="I41492"/>
      <c r="N41492"/>
      <c r="O41492" s="24"/>
      <c r="P41492"/>
      <c r="Q41492" s="24"/>
      <c r="R41492"/>
      <c r="S41492"/>
      <c r="T41492"/>
      <c r="U41492"/>
      <c r="X41492" s="60"/>
    </row>
    <row r="41493" spans="7:24" ht="15" customHeight="1">
      <c r="G41493"/>
      <c r="I41493"/>
      <c r="N41493"/>
      <c r="O41493" s="24"/>
      <c r="P41493"/>
      <c r="Q41493" s="24"/>
      <c r="R41493"/>
      <c r="S41493"/>
      <c r="T41493"/>
      <c r="U41493"/>
      <c r="X41493" s="60"/>
    </row>
    <row r="41494" spans="7:24" ht="15" customHeight="1">
      <c r="G41494"/>
      <c r="I41494"/>
      <c r="N41494"/>
      <c r="O41494" s="24"/>
      <c r="P41494"/>
      <c r="Q41494" s="24"/>
      <c r="R41494"/>
      <c r="S41494"/>
      <c r="T41494"/>
      <c r="U41494"/>
      <c r="X41494" s="60"/>
    </row>
    <row r="41495" spans="7:24" ht="15" customHeight="1">
      <c r="G41495"/>
      <c r="I41495"/>
      <c r="N41495"/>
      <c r="O41495" s="24"/>
      <c r="P41495"/>
      <c r="Q41495" s="24"/>
      <c r="R41495"/>
      <c r="S41495"/>
      <c r="T41495"/>
      <c r="U41495"/>
      <c r="X41495" s="60"/>
    </row>
    <row r="41496" spans="7:24" ht="15" customHeight="1">
      <c r="G41496"/>
      <c r="I41496"/>
      <c r="N41496"/>
      <c r="O41496" s="24"/>
      <c r="P41496"/>
      <c r="Q41496" s="24"/>
      <c r="R41496"/>
      <c r="S41496"/>
      <c r="T41496"/>
      <c r="U41496"/>
      <c r="X41496" s="60"/>
    </row>
    <row r="41497" spans="7:24" ht="15" customHeight="1">
      <c r="G41497"/>
      <c r="I41497"/>
      <c r="N41497"/>
      <c r="O41497" s="24"/>
      <c r="P41497"/>
      <c r="Q41497" s="24"/>
      <c r="R41497"/>
      <c r="S41497"/>
      <c r="T41497"/>
      <c r="U41497"/>
      <c r="X41497" s="60"/>
    </row>
    <row r="41498" spans="7:24" ht="15" customHeight="1">
      <c r="G41498"/>
      <c r="I41498"/>
      <c r="N41498"/>
      <c r="O41498" s="24"/>
      <c r="P41498"/>
      <c r="Q41498" s="24"/>
      <c r="R41498"/>
      <c r="S41498"/>
      <c r="T41498"/>
      <c r="U41498"/>
      <c r="X41498" s="60"/>
    </row>
    <row r="41499" spans="7:24" ht="15" customHeight="1">
      <c r="G41499"/>
      <c r="I41499"/>
      <c r="N41499"/>
      <c r="O41499" s="24"/>
      <c r="P41499"/>
      <c r="Q41499" s="24"/>
      <c r="R41499"/>
      <c r="S41499"/>
      <c r="T41499"/>
      <c r="U41499"/>
      <c r="X41499" s="60"/>
    </row>
    <row r="41500" spans="7:24" ht="15" customHeight="1">
      <c r="G41500"/>
      <c r="I41500"/>
      <c r="N41500"/>
      <c r="O41500" s="24"/>
      <c r="P41500"/>
      <c r="Q41500" s="24"/>
      <c r="R41500"/>
      <c r="S41500"/>
      <c r="T41500"/>
      <c r="U41500"/>
      <c r="X41500" s="60"/>
    </row>
    <row r="41501" spans="7:24" ht="15" customHeight="1">
      <c r="G41501"/>
      <c r="I41501"/>
      <c r="N41501"/>
      <c r="O41501" s="24"/>
      <c r="P41501"/>
      <c r="Q41501" s="24"/>
      <c r="R41501"/>
      <c r="S41501"/>
      <c r="T41501"/>
      <c r="U41501"/>
      <c r="X41501" s="60"/>
    </row>
    <row r="41502" spans="7:24" ht="15" customHeight="1">
      <c r="G41502"/>
      <c r="I41502"/>
      <c r="N41502"/>
      <c r="O41502" s="24"/>
      <c r="P41502"/>
      <c r="Q41502" s="24"/>
      <c r="R41502"/>
      <c r="S41502"/>
      <c r="T41502"/>
      <c r="U41502"/>
      <c r="X41502" s="60"/>
    </row>
    <row r="41503" spans="7:24" ht="15" customHeight="1">
      <c r="G41503"/>
      <c r="I41503"/>
      <c r="N41503"/>
      <c r="O41503" s="24"/>
      <c r="P41503"/>
      <c r="Q41503" s="24"/>
      <c r="R41503"/>
      <c r="S41503"/>
      <c r="T41503"/>
      <c r="U41503"/>
      <c r="X41503" s="60"/>
    </row>
    <row r="41504" spans="7:24" ht="15" customHeight="1">
      <c r="G41504"/>
      <c r="I41504"/>
      <c r="N41504"/>
      <c r="O41504" s="24"/>
      <c r="P41504"/>
      <c r="Q41504" s="24"/>
      <c r="R41504"/>
      <c r="S41504"/>
      <c r="T41504"/>
      <c r="U41504"/>
      <c r="X41504" s="60"/>
    </row>
    <row r="41505" spans="7:24" ht="15" customHeight="1">
      <c r="G41505"/>
      <c r="I41505"/>
      <c r="N41505"/>
      <c r="O41505" s="24"/>
      <c r="P41505"/>
      <c r="Q41505" s="24"/>
      <c r="R41505"/>
      <c r="S41505"/>
      <c r="T41505"/>
      <c r="U41505"/>
      <c r="X41505" s="60"/>
    </row>
    <row r="41506" spans="7:24" ht="15" customHeight="1">
      <c r="G41506"/>
      <c r="I41506"/>
      <c r="N41506"/>
      <c r="O41506" s="24"/>
      <c r="P41506"/>
      <c r="Q41506" s="24"/>
      <c r="R41506"/>
      <c r="S41506"/>
      <c r="T41506"/>
      <c r="U41506"/>
      <c r="X41506" s="60"/>
    </row>
    <row r="41507" spans="7:24" ht="15" customHeight="1">
      <c r="G41507"/>
      <c r="I41507"/>
      <c r="N41507"/>
      <c r="O41507" s="24"/>
      <c r="P41507"/>
      <c r="Q41507" s="24"/>
      <c r="R41507"/>
      <c r="S41507"/>
      <c r="T41507"/>
      <c r="U41507"/>
      <c r="X41507" s="60"/>
    </row>
    <row r="41508" spans="7:24" ht="15" customHeight="1">
      <c r="G41508"/>
      <c r="I41508"/>
      <c r="N41508"/>
      <c r="O41508" s="24"/>
      <c r="P41508"/>
      <c r="Q41508" s="24"/>
      <c r="R41508"/>
      <c r="S41508"/>
      <c r="T41508"/>
      <c r="U41508"/>
      <c r="X41508" s="60"/>
    </row>
    <row r="41509" spans="7:24" ht="15" customHeight="1">
      <c r="G41509"/>
      <c r="I41509"/>
      <c r="N41509"/>
      <c r="O41509" s="24"/>
      <c r="P41509"/>
      <c r="Q41509" s="24"/>
      <c r="R41509"/>
      <c r="S41509"/>
      <c r="T41509"/>
      <c r="U41509"/>
      <c r="X41509" s="60"/>
    </row>
    <row r="41510" spans="7:24" ht="15" customHeight="1">
      <c r="G41510"/>
      <c r="I41510"/>
      <c r="N41510"/>
      <c r="O41510" s="24"/>
      <c r="P41510"/>
      <c r="Q41510" s="24"/>
      <c r="R41510"/>
      <c r="S41510"/>
      <c r="T41510"/>
      <c r="U41510"/>
      <c r="X41510" s="60"/>
    </row>
    <row r="41511" spans="7:24" ht="15" customHeight="1">
      <c r="G41511"/>
      <c r="I41511"/>
      <c r="N41511"/>
      <c r="O41511" s="24"/>
      <c r="P41511"/>
      <c r="Q41511" s="24"/>
      <c r="R41511"/>
      <c r="S41511"/>
      <c r="T41511"/>
      <c r="U41511"/>
      <c r="X41511" s="60"/>
    </row>
    <row r="41512" spans="7:24" ht="15" customHeight="1">
      <c r="G41512"/>
      <c r="I41512"/>
      <c r="N41512"/>
      <c r="O41512" s="24"/>
      <c r="P41512"/>
      <c r="Q41512" s="24"/>
      <c r="R41512"/>
      <c r="S41512"/>
      <c r="T41512"/>
      <c r="U41512"/>
      <c r="X41512" s="60"/>
    </row>
    <row r="41513" spans="7:24" ht="15" customHeight="1">
      <c r="G41513"/>
      <c r="I41513"/>
      <c r="N41513"/>
      <c r="O41513" s="24"/>
      <c r="P41513"/>
      <c r="Q41513" s="24"/>
      <c r="R41513"/>
      <c r="S41513"/>
      <c r="T41513"/>
      <c r="U41513"/>
      <c r="X41513" s="60"/>
    </row>
    <row r="41514" spans="7:24" ht="15" customHeight="1">
      <c r="G41514"/>
      <c r="I41514"/>
      <c r="N41514"/>
      <c r="O41514" s="24"/>
      <c r="P41514"/>
      <c r="Q41514" s="24"/>
      <c r="R41514"/>
      <c r="S41514"/>
      <c r="T41514"/>
      <c r="U41514"/>
      <c r="X41514" s="60"/>
    </row>
    <row r="41515" spans="7:24" ht="15" customHeight="1">
      <c r="G41515"/>
      <c r="I41515"/>
      <c r="N41515"/>
      <c r="O41515" s="24"/>
      <c r="P41515"/>
      <c r="Q41515" s="24"/>
      <c r="R41515"/>
      <c r="S41515"/>
      <c r="T41515"/>
      <c r="U41515"/>
      <c r="X41515" s="60"/>
    </row>
    <row r="41516" spans="7:24" ht="15" customHeight="1">
      <c r="G41516"/>
      <c r="I41516"/>
      <c r="N41516"/>
      <c r="O41516" s="24"/>
      <c r="P41516"/>
      <c r="Q41516" s="24"/>
      <c r="R41516"/>
      <c r="S41516"/>
      <c r="T41516"/>
      <c r="U41516"/>
      <c r="X41516" s="60"/>
    </row>
    <row r="41517" spans="7:24" ht="15" customHeight="1">
      <c r="G41517"/>
      <c r="I41517"/>
      <c r="N41517"/>
      <c r="O41517" s="24"/>
      <c r="P41517"/>
      <c r="Q41517" s="24"/>
      <c r="R41517"/>
      <c r="S41517"/>
      <c r="T41517"/>
      <c r="U41517"/>
      <c r="X41517" s="60"/>
    </row>
    <row r="41518" spans="7:24" ht="15" customHeight="1">
      <c r="G41518"/>
      <c r="I41518"/>
      <c r="N41518"/>
      <c r="O41518" s="24"/>
      <c r="P41518"/>
      <c r="Q41518" s="24"/>
      <c r="R41518"/>
      <c r="S41518"/>
      <c r="T41518"/>
      <c r="U41518"/>
      <c r="X41518" s="60"/>
    </row>
    <row r="41519" spans="7:24" ht="15" customHeight="1">
      <c r="G41519"/>
      <c r="I41519"/>
      <c r="N41519"/>
      <c r="O41519" s="24"/>
      <c r="P41519"/>
      <c r="Q41519" s="24"/>
      <c r="R41519"/>
      <c r="S41519"/>
      <c r="T41519"/>
      <c r="U41519"/>
      <c r="X41519" s="60"/>
    </row>
    <row r="41520" spans="7:24" ht="15" customHeight="1">
      <c r="G41520"/>
      <c r="I41520"/>
      <c r="N41520"/>
      <c r="O41520" s="24"/>
      <c r="P41520"/>
      <c r="Q41520" s="24"/>
      <c r="R41520"/>
      <c r="S41520"/>
      <c r="T41520"/>
      <c r="U41520"/>
      <c r="X41520" s="60"/>
    </row>
    <row r="41521" spans="7:24" ht="15" customHeight="1">
      <c r="G41521"/>
      <c r="I41521"/>
      <c r="N41521"/>
      <c r="O41521" s="24"/>
      <c r="P41521"/>
      <c r="Q41521" s="24"/>
      <c r="R41521"/>
      <c r="S41521"/>
      <c r="T41521"/>
      <c r="U41521"/>
      <c r="X41521" s="60"/>
    </row>
    <row r="41522" spans="7:24" ht="15" customHeight="1">
      <c r="G41522"/>
      <c r="I41522"/>
      <c r="N41522"/>
      <c r="O41522" s="24"/>
      <c r="P41522"/>
      <c r="Q41522" s="24"/>
      <c r="R41522"/>
      <c r="S41522"/>
      <c r="T41522"/>
      <c r="U41522"/>
      <c r="X41522" s="60"/>
    </row>
    <row r="41523" spans="7:24" ht="15" customHeight="1">
      <c r="G41523"/>
      <c r="I41523"/>
      <c r="N41523"/>
      <c r="O41523" s="24"/>
      <c r="P41523"/>
      <c r="Q41523" s="24"/>
      <c r="R41523"/>
      <c r="S41523"/>
      <c r="T41523"/>
      <c r="U41523"/>
      <c r="X41523" s="60"/>
    </row>
    <row r="41524" spans="7:24" ht="15" customHeight="1">
      <c r="G41524"/>
      <c r="I41524"/>
      <c r="N41524"/>
      <c r="O41524" s="24"/>
      <c r="P41524"/>
      <c r="Q41524" s="24"/>
      <c r="R41524"/>
      <c r="S41524"/>
      <c r="T41524"/>
      <c r="U41524"/>
      <c r="X41524" s="60"/>
    </row>
    <row r="41525" spans="7:24" ht="15" customHeight="1">
      <c r="G41525"/>
      <c r="I41525"/>
      <c r="N41525"/>
      <c r="O41525" s="24"/>
      <c r="P41525"/>
      <c r="Q41525" s="24"/>
      <c r="R41525"/>
      <c r="S41525"/>
      <c r="T41525"/>
      <c r="U41525"/>
      <c r="X41525" s="60"/>
    </row>
    <row r="41526" spans="7:24" ht="15" customHeight="1">
      <c r="G41526"/>
      <c r="I41526"/>
      <c r="N41526"/>
      <c r="O41526" s="24"/>
      <c r="P41526"/>
      <c r="Q41526" s="24"/>
      <c r="R41526"/>
      <c r="S41526"/>
      <c r="T41526"/>
      <c r="U41526"/>
      <c r="X41526" s="60"/>
    </row>
    <row r="41527" spans="7:24" ht="15" customHeight="1">
      <c r="G41527"/>
      <c r="I41527"/>
      <c r="N41527"/>
      <c r="O41527" s="24"/>
      <c r="P41527"/>
      <c r="Q41527" s="24"/>
      <c r="R41527"/>
      <c r="S41527"/>
      <c r="T41527"/>
      <c r="U41527"/>
      <c r="X41527" s="60"/>
    </row>
    <row r="41528" spans="7:24" ht="15" customHeight="1">
      <c r="G41528"/>
      <c r="I41528"/>
      <c r="N41528"/>
      <c r="O41528" s="24"/>
      <c r="P41528"/>
      <c r="Q41528" s="24"/>
      <c r="R41528"/>
      <c r="S41528"/>
      <c r="T41528"/>
      <c r="U41528"/>
      <c r="X41528" s="60"/>
    </row>
    <row r="41529" spans="7:24" ht="15" customHeight="1">
      <c r="G41529"/>
      <c r="I41529"/>
      <c r="N41529"/>
      <c r="O41529" s="24"/>
      <c r="P41529"/>
      <c r="Q41529" s="24"/>
      <c r="R41529"/>
      <c r="S41529"/>
      <c r="T41529"/>
      <c r="U41529"/>
      <c r="X41529" s="60"/>
    </row>
    <row r="41530" spans="7:24" ht="15" customHeight="1">
      <c r="G41530"/>
      <c r="I41530"/>
      <c r="N41530"/>
      <c r="O41530" s="24"/>
      <c r="P41530"/>
      <c r="Q41530" s="24"/>
      <c r="R41530"/>
      <c r="S41530"/>
      <c r="T41530"/>
      <c r="U41530"/>
      <c r="X41530" s="60"/>
    </row>
    <row r="41531" spans="7:24" ht="15" customHeight="1">
      <c r="G41531"/>
      <c r="I41531"/>
      <c r="N41531"/>
      <c r="O41531" s="24"/>
      <c r="P41531"/>
      <c r="Q41531" s="24"/>
      <c r="R41531"/>
      <c r="S41531"/>
      <c r="T41531"/>
      <c r="U41531"/>
      <c r="X41531" s="60"/>
    </row>
    <row r="41532" spans="7:24" ht="15" customHeight="1">
      <c r="G41532"/>
      <c r="I41532"/>
      <c r="N41532"/>
      <c r="O41532" s="24"/>
      <c r="P41532"/>
      <c r="Q41532" s="24"/>
      <c r="R41532"/>
      <c r="S41532"/>
      <c r="T41532"/>
      <c r="U41532"/>
      <c r="X41532" s="60"/>
    </row>
    <row r="41533" spans="7:24" ht="15" customHeight="1">
      <c r="G41533"/>
      <c r="I41533"/>
      <c r="N41533"/>
      <c r="O41533" s="24"/>
      <c r="P41533"/>
      <c r="Q41533" s="24"/>
      <c r="R41533"/>
      <c r="S41533"/>
      <c r="T41533"/>
      <c r="U41533"/>
      <c r="X41533" s="60"/>
    </row>
    <row r="41534" spans="7:24" ht="15" customHeight="1">
      <c r="G41534"/>
      <c r="I41534"/>
      <c r="N41534"/>
      <c r="O41534" s="24"/>
      <c r="P41534"/>
      <c r="Q41534" s="24"/>
      <c r="R41534"/>
      <c r="S41534"/>
      <c r="T41534"/>
      <c r="U41534"/>
      <c r="X41534" s="60"/>
    </row>
    <row r="41535" spans="7:24" ht="15" customHeight="1">
      <c r="G41535"/>
      <c r="I41535"/>
      <c r="N41535"/>
      <c r="O41535" s="24"/>
      <c r="P41535"/>
      <c r="Q41535" s="24"/>
      <c r="R41535"/>
      <c r="S41535"/>
      <c r="T41535"/>
      <c r="U41535"/>
      <c r="X41535" s="60"/>
    </row>
    <row r="41536" spans="7:24" ht="15" customHeight="1">
      <c r="G41536"/>
      <c r="I41536"/>
      <c r="N41536"/>
      <c r="O41536" s="24"/>
      <c r="P41536"/>
      <c r="Q41536" s="24"/>
      <c r="R41536"/>
      <c r="S41536"/>
      <c r="T41536"/>
      <c r="U41536"/>
      <c r="X41536" s="60"/>
    </row>
    <row r="41537" spans="7:24" ht="15" customHeight="1">
      <c r="G41537"/>
      <c r="I41537"/>
      <c r="N41537"/>
      <c r="O41537" s="24"/>
      <c r="P41537"/>
      <c r="Q41537" s="24"/>
      <c r="R41537"/>
      <c r="S41537"/>
      <c r="T41537"/>
      <c r="U41537"/>
      <c r="X41537" s="60"/>
    </row>
    <row r="41538" spans="7:24" ht="15" customHeight="1">
      <c r="G41538"/>
      <c r="I41538"/>
      <c r="N41538"/>
      <c r="O41538" s="24"/>
      <c r="P41538"/>
      <c r="Q41538" s="24"/>
      <c r="R41538"/>
      <c r="S41538"/>
      <c r="T41538"/>
      <c r="U41538"/>
      <c r="X41538" s="60"/>
    </row>
    <row r="41539" spans="7:24" ht="15" customHeight="1">
      <c r="G41539"/>
      <c r="I41539"/>
      <c r="N41539"/>
      <c r="O41539" s="24"/>
      <c r="P41539"/>
      <c r="Q41539" s="24"/>
      <c r="R41539"/>
      <c r="S41539"/>
      <c r="T41539"/>
      <c r="U41539"/>
      <c r="X41539" s="60"/>
    </row>
    <row r="41540" spans="7:24" ht="15" customHeight="1">
      <c r="G41540"/>
      <c r="I41540"/>
      <c r="N41540"/>
      <c r="O41540" s="24"/>
      <c r="P41540"/>
      <c r="Q41540" s="24"/>
      <c r="R41540"/>
      <c r="S41540"/>
      <c r="T41540"/>
      <c r="U41540"/>
      <c r="X41540" s="60"/>
    </row>
    <row r="41541" spans="7:24" ht="15" customHeight="1">
      <c r="G41541"/>
      <c r="I41541"/>
      <c r="N41541"/>
      <c r="O41541" s="24"/>
      <c r="P41541"/>
      <c r="Q41541" s="24"/>
      <c r="R41541"/>
      <c r="S41541"/>
      <c r="T41541"/>
      <c r="U41541"/>
      <c r="X41541" s="60"/>
    </row>
    <row r="41542" spans="7:24" ht="15" customHeight="1">
      <c r="G41542"/>
      <c r="I41542"/>
      <c r="N41542"/>
      <c r="O41542" s="24"/>
      <c r="P41542"/>
      <c r="Q41542" s="24"/>
      <c r="R41542"/>
      <c r="S41542"/>
      <c r="T41542"/>
      <c r="U41542"/>
      <c r="X41542" s="60"/>
    </row>
    <row r="41543" spans="7:24" ht="15" customHeight="1">
      <c r="G41543"/>
      <c r="I41543"/>
      <c r="N41543"/>
      <c r="O41543" s="24"/>
      <c r="P41543"/>
      <c r="Q41543" s="24"/>
      <c r="R41543"/>
      <c r="S41543"/>
      <c r="T41543"/>
      <c r="U41543"/>
      <c r="X41543" s="60"/>
    </row>
    <row r="41544" spans="7:24" ht="15" customHeight="1">
      <c r="G41544"/>
      <c r="I41544"/>
      <c r="N41544"/>
      <c r="O41544" s="24"/>
      <c r="P41544"/>
      <c r="Q41544" s="24"/>
      <c r="R41544"/>
      <c r="S41544"/>
      <c r="T41544"/>
      <c r="U41544"/>
      <c r="X41544" s="60"/>
    </row>
    <row r="41545" spans="7:24" ht="15" customHeight="1">
      <c r="G41545"/>
      <c r="I41545"/>
      <c r="N41545"/>
      <c r="O41545" s="24"/>
      <c r="P41545"/>
      <c r="Q41545" s="24"/>
      <c r="R41545"/>
      <c r="S41545"/>
      <c r="T41545"/>
      <c r="U41545"/>
      <c r="X41545" s="60"/>
    </row>
    <row r="41546" spans="7:24" ht="15" customHeight="1">
      <c r="G41546"/>
      <c r="I41546"/>
      <c r="N41546"/>
      <c r="O41546" s="24"/>
      <c r="P41546"/>
      <c r="Q41546" s="24"/>
      <c r="R41546"/>
      <c r="S41546"/>
      <c r="T41546"/>
      <c r="U41546"/>
      <c r="X41546" s="60"/>
    </row>
    <row r="41547" spans="7:24" ht="15" customHeight="1">
      <c r="G41547"/>
      <c r="I41547"/>
      <c r="N41547"/>
      <c r="O41547" s="24"/>
      <c r="P41547"/>
      <c r="Q41547" s="24"/>
      <c r="R41547"/>
      <c r="S41547"/>
      <c r="T41547"/>
      <c r="U41547"/>
      <c r="X41547" s="60"/>
    </row>
    <row r="41548" spans="7:24" ht="15" customHeight="1">
      <c r="G41548"/>
      <c r="I41548"/>
      <c r="N41548"/>
      <c r="O41548" s="24"/>
      <c r="P41548"/>
      <c r="Q41548" s="24"/>
      <c r="R41548"/>
      <c r="S41548"/>
      <c r="T41548"/>
      <c r="U41548"/>
      <c r="X41548" s="60"/>
    </row>
    <row r="41549" spans="7:24" ht="15" customHeight="1">
      <c r="G41549"/>
      <c r="I41549"/>
      <c r="N41549"/>
      <c r="O41549" s="24"/>
      <c r="P41549"/>
      <c r="Q41549" s="24"/>
      <c r="R41549"/>
      <c r="S41549"/>
      <c r="T41549"/>
      <c r="U41549"/>
      <c r="X41549" s="60"/>
    </row>
    <row r="41550" spans="7:24" ht="15" customHeight="1">
      <c r="G41550"/>
      <c r="I41550"/>
      <c r="N41550"/>
      <c r="O41550" s="24"/>
      <c r="P41550"/>
      <c r="Q41550" s="24"/>
      <c r="R41550"/>
      <c r="S41550"/>
      <c r="T41550"/>
      <c r="U41550"/>
      <c r="X41550" s="60"/>
    </row>
    <row r="41551" spans="7:24" ht="15" customHeight="1">
      <c r="G41551"/>
      <c r="I41551"/>
      <c r="N41551"/>
      <c r="O41551" s="24"/>
      <c r="P41551"/>
      <c r="Q41551" s="24"/>
      <c r="R41551"/>
      <c r="S41551"/>
      <c r="T41551"/>
      <c r="U41551"/>
      <c r="X41551" s="60"/>
    </row>
    <row r="41552" spans="7:24" ht="15" customHeight="1">
      <c r="G41552"/>
      <c r="I41552"/>
      <c r="N41552"/>
      <c r="O41552" s="24"/>
      <c r="P41552"/>
      <c r="Q41552" s="24"/>
      <c r="R41552"/>
      <c r="S41552"/>
      <c r="T41552"/>
      <c r="U41552"/>
      <c r="X41552" s="60"/>
    </row>
    <row r="41553" spans="7:24" ht="15" customHeight="1">
      <c r="G41553"/>
      <c r="I41553"/>
      <c r="N41553"/>
      <c r="O41553" s="24"/>
      <c r="P41553"/>
      <c r="Q41553" s="24"/>
      <c r="R41553"/>
      <c r="S41553"/>
      <c r="T41553"/>
      <c r="U41553"/>
      <c r="X41553" s="60"/>
    </row>
    <row r="41554" spans="7:24" ht="15" customHeight="1">
      <c r="G41554"/>
      <c r="I41554"/>
      <c r="N41554"/>
      <c r="O41554" s="24"/>
      <c r="P41554"/>
      <c r="Q41554" s="24"/>
      <c r="R41554"/>
      <c r="S41554"/>
      <c r="T41554"/>
      <c r="U41554"/>
      <c r="X41554" s="60"/>
    </row>
    <row r="41555" spans="7:24" ht="15" customHeight="1">
      <c r="G41555"/>
      <c r="I41555"/>
      <c r="N41555"/>
      <c r="O41555" s="24"/>
      <c r="P41555"/>
      <c r="Q41555" s="24"/>
      <c r="R41555"/>
      <c r="S41555"/>
      <c r="T41555"/>
      <c r="U41555"/>
      <c r="X41555" s="60"/>
    </row>
    <row r="41556" spans="7:24" ht="15" customHeight="1">
      <c r="G41556"/>
      <c r="I41556"/>
      <c r="N41556"/>
      <c r="O41556" s="24"/>
      <c r="P41556"/>
      <c r="Q41556" s="24"/>
      <c r="R41556"/>
      <c r="S41556"/>
      <c r="T41556"/>
      <c r="U41556"/>
      <c r="X41556" s="60"/>
    </row>
    <row r="41557" spans="7:24" ht="15" customHeight="1">
      <c r="G41557"/>
      <c r="I41557"/>
      <c r="N41557"/>
      <c r="O41557" s="24"/>
      <c r="P41557"/>
      <c r="Q41557" s="24"/>
      <c r="R41557"/>
      <c r="S41557"/>
      <c r="T41557"/>
      <c r="U41557"/>
      <c r="X41557" s="60"/>
    </row>
    <row r="41558" spans="7:24" ht="15" customHeight="1">
      <c r="G41558"/>
      <c r="I41558"/>
      <c r="N41558"/>
      <c r="O41558" s="24"/>
      <c r="P41558"/>
      <c r="Q41558" s="24"/>
      <c r="R41558"/>
      <c r="S41558"/>
      <c r="T41558"/>
      <c r="U41558"/>
      <c r="X41558" s="60"/>
    </row>
    <row r="41559" spans="7:24" ht="15" customHeight="1">
      <c r="G41559"/>
      <c r="I41559"/>
      <c r="N41559"/>
      <c r="O41559" s="24"/>
      <c r="P41559"/>
      <c r="Q41559" s="24"/>
      <c r="R41559"/>
      <c r="S41559"/>
      <c r="T41559"/>
      <c r="U41559"/>
      <c r="X41559" s="60"/>
    </row>
    <row r="41560" spans="7:24" ht="15" customHeight="1">
      <c r="G41560"/>
      <c r="I41560"/>
      <c r="N41560"/>
      <c r="O41560" s="24"/>
      <c r="P41560"/>
      <c r="Q41560" s="24"/>
      <c r="R41560"/>
      <c r="S41560"/>
      <c r="T41560"/>
      <c r="U41560"/>
      <c r="X41560" s="60"/>
    </row>
    <row r="41561" spans="7:24" ht="15" customHeight="1">
      <c r="G41561"/>
      <c r="I41561"/>
      <c r="N41561"/>
      <c r="O41561" s="24"/>
      <c r="P41561"/>
      <c r="Q41561" s="24"/>
      <c r="R41561"/>
      <c r="S41561"/>
      <c r="T41561"/>
      <c r="U41561"/>
      <c r="X41561" s="60"/>
    </row>
    <row r="41562" spans="7:24" ht="15" customHeight="1">
      <c r="G41562"/>
      <c r="I41562"/>
      <c r="N41562"/>
      <c r="O41562" s="24"/>
      <c r="P41562"/>
      <c r="Q41562" s="24"/>
      <c r="R41562"/>
      <c r="S41562"/>
      <c r="T41562"/>
      <c r="U41562"/>
      <c r="X41562" s="60"/>
    </row>
    <row r="41563" spans="7:24" ht="15" customHeight="1">
      <c r="G41563"/>
      <c r="I41563"/>
      <c r="N41563"/>
      <c r="O41563" s="24"/>
      <c r="P41563"/>
      <c r="Q41563" s="24"/>
      <c r="R41563"/>
      <c r="S41563"/>
      <c r="T41563"/>
      <c r="U41563"/>
      <c r="X41563" s="60"/>
    </row>
    <row r="41564" spans="7:24" ht="15" customHeight="1">
      <c r="G41564"/>
      <c r="I41564"/>
      <c r="N41564"/>
      <c r="O41564" s="24"/>
      <c r="P41564"/>
      <c r="Q41564" s="24"/>
      <c r="R41564"/>
      <c r="S41564"/>
      <c r="T41564"/>
      <c r="U41564"/>
      <c r="X41564" s="60"/>
    </row>
    <row r="41565" spans="7:24" ht="15" customHeight="1">
      <c r="G41565"/>
      <c r="I41565"/>
      <c r="N41565"/>
      <c r="O41565" s="24"/>
      <c r="P41565"/>
      <c r="Q41565" s="24"/>
      <c r="R41565"/>
      <c r="S41565"/>
      <c r="T41565"/>
      <c r="U41565"/>
      <c r="X41565" s="60"/>
    </row>
    <row r="41566" spans="7:24" ht="15" customHeight="1">
      <c r="G41566"/>
      <c r="I41566"/>
      <c r="N41566"/>
      <c r="O41566" s="24"/>
      <c r="P41566"/>
      <c r="Q41566" s="24"/>
      <c r="R41566"/>
      <c r="S41566"/>
      <c r="T41566"/>
      <c r="U41566"/>
      <c r="X41566" s="60"/>
    </row>
    <row r="41567" spans="7:24" ht="15" customHeight="1">
      <c r="G41567"/>
      <c r="I41567"/>
      <c r="N41567"/>
      <c r="O41567" s="24"/>
      <c r="P41567"/>
      <c r="Q41567" s="24"/>
      <c r="R41567"/>
      <c r="S41567"/>
      <c r="T41567"/>
      <c r="U41567"/>
      <c r="X41567" s="60"/>
    </row>
    <row r="41568" spans="7:24" ht="15" customHeight="1">
      <c r="G41568"/>
      <c r="I41568"/>
      <c r="N41568"/>
      <c r="O41568" s="24"/>
      <c r="P41568"/>
      <c r="Q41568" s="24"/>
      <c r="R41568"/>
      <c r="S41568"/>
      <c r="T41568"/>
      <c r="U41568"/>
      <c r="X41568" s="60"/>
    </row>
    <row r="41569" spans="7:24" ht="15" customHeight="1">
      <c r="G41569"/>
      <c r="I41569"/>
      <c r="N41569"/>
      <c r="O41569" s="24"/>
      <c r="P41569"/>
      <c r="Q41569" s="24"/>
      <c r="R41569"/>
      <c r="S41569"/>
      <c r="T41569"/>
      <c r="U41569"/>
      <c r="X41569" s="60"/>
    </row>
    <row r="41570" spans="7:24" ht="15" customHeight="1">
      <c r="G41570"/>
      <c r="I41570"/>
      <c r="N41570"/>
      <c r="O41570" s="24"/>
      <c r="P41570"/>
      <c r="Q41570" s="24"/>
      <c r="R41570"/>
      <c r="S41570"/>
      <c r="T41570"/>
      <c r="U41570"/>
      <c r="X41570" s="60"/>
    </row>
    <row r="41571" spans="7:24" ht="15" customHeight="1">
      <c r="G41571"/>
      <c r="I41571"/>
      <c r="N41571"/>
      <c r="O41571" s="24"/>
      <c r="P41571"/>
      <c r="Q41571" s="24"/>
      <c r="R41571"/>
      <c r="S41571"/>
      <c r="T41571"/>
      <c r="U41571"/>
      <c r="X41571" s="60"/>
    </row>
    <row r="41572" spans="7:24" ht="15" customHeight="1">
      <c r="G41572"/>
      <c r="I41572"/>
      <c r="N41572"/>
      <c r="O41572" s="24"/>
      <c r="P41572"/>
      <c r="Q41572" s="24"/>
      <c r="R41572"/>
      <c r="S41572"/>
      <c r="T41572"/>
      <c r="U41572"/>
      <c r="X41572" s="60"/>
    </row>
    <row r="41573" spans="7:24" ht="15" customHeight="1">
      <c r="G41573"/>
      <c r="I41573"/>
      <c r="N41573"/>
      <c r="O41573" s="24"/>
      <c r="P41573"/>
      <c r="Q41573" s="24"/>
      <c r="R41573"/>
      <c r="S41573"/>
      <c r="T41573"/>
      <c r="U41573"/>
      <c r="X41573" s="60"/>
    </row>
    <row r="41574" spans="7:24" ht="15" customHeight="1">
      <c r="G41574"/>
      <c r="I41574"/>
      <c r="N41574"/>
      <c r="O41574" s="24"/>
      <c r="P41574"/>
      <c r="Q41574" s="24"/>
      <c r="R41574"/>
      <c r="S41574"/>
      <c r="T41574"/>
      <c r="U41574"/>
      <c r="X41574" s="60"/>
    </row>
    <row r="41575" spans="7:24" ht="15" customHeight="1">
      <c r="G41575"/>
      <c r="I41575"/>
      <c r="N41575"/>
      <c r="O41575" s="24"/>
      <c r="P41575"/>
      <c r="Q41575" s="24"/>
      <c r="R41575"/>
      <c r="S41575"/>
      <c r="T41575"/>
      <c r="U41575"/>
      <c r="X41575" s="60"/>
    </row>
    <row r="41576" spans="7:24" ht="15" customHeight="1">
      <c r="G41576"/>
      <c r="I41576"/>
      <c r="N41576"/>
      <c r="O41576" s="24"/>
      <c r="P41576"/>
      <c r="Q41576" s="24"/>
      <c r="R41576"/>
      <c r="S41576"/>
      <c r="T41576"/>
      <c r="U41576"/>
      <c r="X41576" s="60"/>
    </row>
    <row r="41577" spans="7:24" ht="15" customHeight="1">
      <c r="G41577"/>
      <c r="I41577"/>
      <c r="N41577"/>
      <c r="O41577" s="24"/>
      <c r="P41577"/>
      <c r="Q41577" s="24"/>
      <c r="R41577"/>
      <c r="S41577"/>
      <c r="T41577"/>
      <c r="U41577"/>
      <c r="X41577" s="60"/>
    </row>
    <row r="41578" spans="7:24" ht="15" customHeight="1">
      <c r="G41578"/>
      <c r="I41578"/>
      <c r="N41578"/>
      <c r="O41578" s="24"/>
      <c r="P41578"/>
      <c r="Q41578" s="24"/>
      <c r="R41578"/>
      <c r="S41578"/>
      <c r="T41578"/>
      <c r="U41578"/>
      <c r="X41578" s="60"/>
    </row>
    <row r="41579" spans="7:24" ht="15" customHeight="1">
      <c r="G41579"/>
      <c r="I41579"/>
      <c r="N41579"/>
      <c r="O41579" s="24"/>
      <c r="P41579"/>
      <c r="Q41579" s="24"/>
      <c r="R41579"/>
      <c r="S41579"/>
      <c r="T41579"/>
      <c r="U41579"/>
      <c r="X41579" s="60"/>
    </row>
    <row r="41580" spans="7:24" ht="15" customHeight="1">
      <c r="G41580"/>
      <c r="I41580"/>
      <c r="N41580"/>
      <c r="O41580" s="24"/>
      <c r="P41580"/>
      <c r="Q41580" s="24"/>
      <c r="R41580"/>
      <c r="S41580"/>
      <c r="T41580"/>
      <c r="U41580"/>
      <c r="X41580" s="60"/>
    </row>
    <row r="41581" spans="7:24" ht="15" customHeight="1">
      <c r="G41581"/>
      <c r="I41581"/>
      <c r="N41581"/>
      <c r="O41581" s="24"/>
      <c r="P41581"/>
      <c r="Q41581" s="24"/>
      <c r="R41581"/>
      <c r="S41581"/>
      <c r="T41581"/>
      <c r="U41581"/>
      <c r="X41581" s="60"/>
    </row>
    <row r="41582" spans="7:24" ht="15" customHeight="1">
      <c r="G41582"/>
      <c r="I41582"/>
      <c r="N41582"/>
      <c r="O41582" s="24"/>
      <c r="P41582"/>
      <c r="Q41582" s="24"/>
      <c r="R41582"/>
      <c r="S41582"/>
      <c r="T41582"/>
      <c r="U41582"/>
      <c r="X41582" s="60"/>
    </row>
    <row r="41583" spans="7:24" ht="15" customHeight="1">
      <c r="G41583"/>
      <c r="I41583"/>
      <c r="N41583"/>
      <c r="O41583" s="24"/>
      <c r="P41583"/>
      <c r="Q41583" s="24"/>
      <c r="R41583"/>
      <c r="S41583"/>
      <c r="T41583"/>
      <c r="U41583"/>
      <c r="X41583" s="60"/>
    </row>
    <row r="41584" spans="7:24" ht="15" customHeight="1">
      <c r="G41584"/>
      <c r="I41584"/>
      <c r="N41584"/>
      <c r="O41584" s="24"/>
      <c r="P41584"/>
      <c r="Q41584" s="24"/>
      <c r="R41584"/>
      <c r="S41584"/>
      <c r="T41584"/>
      <c r="U41584"/>
      <c r="X41584" s="60"/>
    </row>
    <row r="41585" spans="7:24" ht="15" customHeight="1">
      <c r="G41585"/>
      <c r="I41585"/>
      <c r="N41585"/>
      <c r="O41585" s="24"/>
      <c r="P41585"/>
      <c r="Q41585" s="24"/>
      <c r="R41585"/>
      <c r="S41585"/>
      <c r="T41585"/>
      <c r="U41585"/>
      <c r="X41585" s="60"/>
    </row>
    <row r="41586" spans="7:24" ht="15" customHeight="1">
      <c r="G41586"/>
      <c r="I41586"/>
      <c r="N41586"/>
      <c r="O41586" s="24"/>
      <c r="P41586"/>
      <c r="Q41586" s="24"/>
      <c r="R41586"/>
      <c r="S41586"/>
      <c r="T41586"/>
      <c r="U41586"/>
      <c r="X41586" s="60"/>
    </row>
    <row r="41587" spans="7:24" ht="15" customHeight="1">
      <c r="G41587"/>
      <c r="I41587"/>
      <c r="N41587"/>
      <c r="O41587" s="24"/>
      <c r="P41587"/>
      <c r="Q41587" s="24"/>
      <c r="R41587"/>
      <c r="S41587"/>
      <c r="T41587"/>
      <c r="U41587"/>
      <c r="X41587" s="60"/>
    </row>
    <row r="41588" spans="7:24" ht="15" customHeight="1">
      <c r="G41588"/>
      <c r="I41588"/>
      <c r="N41588"/>
      <c r="O41588" s="24"/>
      <c r="P41588"/>
      <c r="Q41588" s="24"/>
      <c r="R41588"/>
      <c r="S41588"/>
      <c r="T41588"/>
      <c r="U41588"/>
      <c r="X41588" s="60"/>
    </row>
    <row r="41589" spans="7:24" ht="15" customHeight="1">
      <c r="G41589"/>
      <c r="I41589"/>
      <c r="N41589"/>
      <c r="O41589" s="24"/>
      <c r="P41589"/>
      <c r="Q41589" s="24"/>
      <c r="R41589"/>
      <c r="S41589"/>
      <c r="T41589"/>
      <c r="U41589"/>
      <c r="X41589" s="60"/>
    </row>
    <row r="41590" spans="7:24" ht="15" customHeight="1">
      <c r="G41590"/>
      <c r="I41590"/>
      <c r="N41590"/>
      <c r="O41590" s="24"/>
      <c r="P41590"/>
      <c r="Q41590" s="24"/>
      <c r="R41590"/>
      <c r="S41590"/>
      <c r="T41590"/>
      <c r="U41590"/>
      <c r="X41590" s="60"/>
    </row>
    <row r="41591" spans="7:24" ht="15" customHeight="1">
      <c r="G41591"/>
      <c r="I41591"/>
      <c r="N41591"/>
      <c r="O41591" s="24"/>
      <c r="P41591"/>
      <c r="Q41591" s="24"/>
      <c r="R41591"/>
      <c r="S41591"/>
      <c r="T41591"/>
      <c r="U41591"/>
      <c r="X41591" s="60"/>
    </row>
    <row r="41592" spans="7:24" ht="15" customHeight="1">
      <c r="G41592"/>
      <c r="I41592"/>
      <c r="N41592"/>
      <c r="O41592" s="24"/>
      <c r="P41592"/>
      <c r="Q41592" s="24"/>
      <c r="R41592"/>
      <c r="S41592"/>
      <c r="T41592"/>
      <c r="U41592"/>
      <c r="X41592" s="60"/>
    </row>
    <row r="41593" spans="7:24" ht="15" customHeight="1">
      <c r="G41593"/>
      <c r="I41593"/>
      <c r="N41593"/>
      <c r="O41593" s="24"/>
      <c r="P41593"/>
      <c r="Q41593" s="24"/>
      <c r="R41593"/>
      <c r="S41593"/>
      <c r="T41593"/>
      <c r="U41593"/>
      <c r="X41593" s="60"/>
    </row>
    <row r="41594" spans="7:24" ht="15" customHeight="1">
      <c r="G41594"/>
      <c r="I41594"/>
      <c r="N41594"/>
      <c r="O41594" s="24"/>
      <c r="P41594"/>
      <c r="Q41594" s="24"/>
      <c r="R41594"/>
      <c r="S41594"/>
      <c r="T41594"/>
      <c r="U41594"/>
      <c r="X41594" s="60"/>
    </row>
    <row r="41595" spans="7:24" ht="15" customHeight="1">
      <c r="G41595"/>
      <c r="I41595"/>
      <c r="N41595"/>
      <c r="O41595" s="24"/>
      <c r="P41595"/>
      <c r="Q41595" s="24"/>
      <c r="R41595"/>
      <c r="S41595"/>
      <c r="T41595"/>
      <c r="U41595"/>
      <c r="X41595" s="60"/>
    </row>
    <row r="41596" spans="7:24" ht="15" customHeight="1">
      <c r="G41596"/>
      <c r="I41596"/>
      <c r="N41596"/>
      <c r="O41596" s="24"/>
      <c r="P41596"/>
      <c r="Q41596" s="24"/>
      <c r="R41596"/>
      <c r="S41596"/>
      <c r="T41596"/>
      <c r="U41596"/>
      <c r="X41596" s="60"/>
    </row>
    <row r="41597" spans="7:24" ht="15" customHeight="1">
      <c r="G41597"/>
      <c r="I41597"/>
      <c r="N41597"/>
      <c r="O41597" s="24"/>
      <c r="P41597"/>
      <c r="Q41597" s="24"/>
      <c r="R41597"/>
      <c r="S41597"/>
      <c r="T41597"/>
      <c r="U41597"/>
      <c r="X41597" s="60"/>
    </row>
    <row r="41598" spans="7:24" ht="15" customHeight="1">
      <c r="G41598"/>
      <c r="I41598"/>
      <c r="N41598"/>
      <c r="O41598" s="24"/>
      <c r="P41598"/>
      <c r="Q41598" s="24"/>
      <c r="R41598"/>
      <c r="S41598"/>
      <c r="T41598"/>
      <c r="U41598"/>
      <c r="X41598" s="60"/>
    </row>
    <row r="41599" spans="7:24" ht="15" customHeight="1">
      <c r="G41599"/>
      <c r="I41599"/>
      <c r="N41599"/>
      <c r="O41599" s="24"/>
      <c r="P41599"/>
      <c r="Q41599" s="24"/>
      <c r="R41599"/>
      <c r="S41599"/>
      <c r="T41599"/>
      <c r="U41599"/>
      <c r="X41599" s="60"/>
    </row>
    <row r="41600" spans="7:24" ht="15" customHeight="1">
      <c r="G41600"/>
      <c r="I41600"/>
      <c r="N41600"/>
      <c r="O41600" s="24"/>
      <c r="P41600"/>
      <c r="Q41600" s="24"/>
      <c r="R41600"/>
      <c r="S41600"/>
      <c r="T41600"/>
      <c r="U41600"/>
      <c r="X41600" s="60"/>
    </row>
    <row r="41601" spans="7:24" ht="15" customHeight="1">
      <c r="G41601"/>
      <c r="I41601"/>
      <c r="N41601"/>
      <c r="O41601" s="24"/>
      <c r="P41601"/>
      <c r="Q41601" s="24"/>
      <c r="R41601"/>
      <c r="S41601"/>
      <c r="T41601"/>
      <c r="U41601"/>
      <c r="X41601" s="60"/>
    </row>
    <row r="41602" spans="7:24" ht="15" customHeight="1">
      <c r="G41602"/>
      <c r="I41602"/>
      <c r="N41602"/>
      <c r="O41602" s="24"/>
      <c r="P41602"/>
      <c r="Q41602" s="24"/>
      <c r="R41602"/>
      <c r="S41602"/>
      <c r="T41602"/>
      <c r="U41602"/>
      <c r="X41602" s="60"/>
    </row>
    <row r="41603" spans="7:24" ht="15" customHeight="1">
      <c r="G41603"/>
      <c r="I41603"/>
      <c r="N41603"/>
      <c r="O41603" s="24"/>
      <c r="P41603"/>
      <c r="Q41603" s="24"/>
      <c r="R41603"/>
      <c r="S41603"/>
      <c r="T41603"/>
      <c r="U41603"/>
      <c r="X41603" s="60"/>
    </row>
    <row r="41604" spans="7:24" ht="15" customHeight="1">
      <c r="G41604"/>
      <c r="I41604"/>
      <c r="N41604"/>
      <c r="O41604" s="24"/>
      <c r="P41604"/>
      <c r="Q41604" s="24"/>
      <c r="R41604"/>
      <c r="S41604"/>
      <c r="T41604"/>
      <c r="U41604"/>
      <c r="X41604" s="60"/>
    </row>
    <row r="41605" spans="7:24" ht="15" customHeight="1">
      <c r="G41605"/>
      <c r="I41605"/>
      <c r="N41605"/>
      <c r="O41605" s="24"/>
      <c r="P41605"/>
      <c r="Q41605" s="24"/>
      <c r="R41605"/>
      <c r="S41605"/>
      <c r="T41605"/>
      <c r="U41605"/>
      <c r="X41605" s="60"/>
    </row>
    <row r="41606" spans="7:24" ht="15" customHeight="1">
      <c r="G41606"/>
      <c r="I41606"/>
      <c r="N41606"/>
      <c r="O41606" s="24"/>
      <c r="P41606"/>
      <c r="Q41606" s="24"/>
      <c r="R41606"/>
      <c r="S41606"/>
      <c r="T41606"/>
      <c r="U41606"/>
      <c r="X41606" s="60"/>
    </row>
    <row r="41607" spans="7:24" ht="15" customHeight="1">
      <c r="G41607"/>
      <c r="I41607"/>
      <c r="N41607"/>
      <c r="O41607" s="24"/>
      <c r="P41607"/>
      <c r="Q41607" s="24"/>
      <c r="R41607"/>
      <c r="S41607"/>
      <c r="T41607"/>
      <c r="U41607"/>
      <c r="X41607" s="60"/>
    </row>
    <row r="41608" spans="7:24" ht="15" customHeight="1">
      <c r="G41608"/>
      <c r="I41608"/>
      <c r="N41608"/>
      <c r="O41608" s="24"/>
      <c r="P41608"/>
      <c r="Q41608" s="24"/>
      <c r="R41608"/>
      <c r="S41608"/>
      <c r="T41608"/>
      <c r="U41608"/>
      <c r="X41608" s="60"/>
    </row>
    <row r="41609" spans="7:24" ht="15" customHeight="1">
      <c r="G41609"/>
      <c r="I41609"/>
      <c r="N41609"/>
      <c r="O41609" s="24"/>
      <c r="P41609"/>
      <c r="Q41609" s="24"/>
      <c r="R41609"/>
      <c r="S41609"/>
      <c r="T41609"/>
      <c r="U41609"/>
      <c r="X41609" s="60"/>
    </row>
    <row r="41610" spans="7:24" ht="15" customHeight="1">
      <c r="G41610"/>
      <c r="I41610"/>
      <c r="N41610"/>
      <c r="O41610" s="24"/>
      <c r="P41610"/>
      <c r="Q41610" s="24"/>
      <c r="R41610"/>
      <c r="S41610"/>
      <c r="T41610"/>
      <c r="U41610"/>
      <c r="X41610" s="60"/>
    </row>
    <row r="41611" spans="7:24" ht="15" customHeight="1">
      <c r="G41611"/>
      <c r="I41611"/>
      <c r="N41611"/>
      <c r="O41611" s="24"/>
      <c r="P41611"/>
      <c r="Q41611" s="24"/>
      <c r="R41611"/>
      <c r="S41611"/>
      <c r="T41611"/>
      <c r="U41611"/>
      <c r="X41611" s="60"/>
    </row>
    <row r="41612" spans="7:24" ht="15" customHeight="1">
      <c r="G41612"/>
      <c r="I41612"/>
      <c r="N41612"/>
      <c r="O41612" s="24"/>
      <c r="P41612"/>
      <c r="Q41612" s="24"/>
      <c r="R41612"/>
      <c r="S41612"/>
      <c r="T41612"/>
      <c r="U41612"/>
      <c r="X41612" s="60"/>
    </row>
    <row r="41613" spans="7:24" ht="15" customHeight="1">
      <c r="G41613"/>
      <c r="I41613"/>
      <c r="N41613"/>
      <c r="O41613" s="24"/>
      <c r="P41613"/>
      <c r="Q41613" s="24"/>
      <c r="R41613"/>
      <c r="S41613"/>
      <c r="T41613"/>
      <c r="U41613"/>
      <c r="X41613" s="60"/>
    </row>
    <row r="41614" spans="7:24" ht="15" customHeight="1">
      <c r="G41614"/>
      <c r="I41614"/>
      <c r="N41614"/>
      <c r="O41614" s="24"/>
      <c r="P41614"/>
      <c r="Q41614" s="24"/>
      <c r="R41614"/>
      <c r="S41614"/>
      <c r="T41614"/>
      <c r="U41614"/>
      <c r="X41614" s="60"/>
    </row>
    <row r="41615" spans="7:24" ht="15" customHeight="1">
      <c r="G41615"/>
      <c r="I41615"/>
      <c r="N41615"/>
      <c r="O41615" s="24"/>
      <c r="P41615"/>
      <c r="Q41615" s="24"/>
      <c r="R41615"/>
      <c r="S41615"/>
      <c r="T41615"/>
      <c r="U41615"/>
      <c r="X41615" s="60"/>
    </row>
    <row r="41616" spans="7:24" ht="15" customHeight="1">
      <c r="G41616"/>
      <c r="I41616"/>
      <c r="N41616"/>
      <c r="O41616" s="24"/>
      <c r="P41616"/>
      <c r="Q41616" s="24"/>
      <c r="R41616"/>
      <c r="S41616"/>
      <c r="T41616"/>
      <c r="U41616"/>
      <c r="X41616" s="60"/>
    </row>
    <row r="41617" spans="7:24" ht="15" customHeight="1">
      <c r="G41617"/>
      <c r="I41617"/>
      <c r="N41617"/>
      <c r="O41617" s="24"/>
      <c r="P41617"/>
      <c r="Q41617" s="24"/>
      <c r="R41617"/>
      <c r="S41617"/>
      <c r="T41617"/>
      <c r="U41617"/>
      <c r="X41617" s="60"/>
    </row>
    <row r="41618" spans="7:24" ht="15" customHeight="1">
      <c r="G41618"/>
      <c r="I41618"/>
      <c r="N41618"/>
      <c r="O41618" s="24"/>
      <c r="P41618"/>
      <c r="Q41618" s="24"/>
      <c r="R41618"/>
      <c r="S41618"/>
      <c r="T41618"/>
      <c r="U41618"/>
      <c r="X41618" s="60"/>
    </row>
    <row r="41619" spans="7:24" ht="15" customHeight="1">
      <c r="G41619"/>
      <c r="I41619"/>
      <c r="N41619"/>
      <c r="O41619" s="24"/>
      <c r="P41619"/>
      <c r="Q41619" s="24"/>
      <c r="R41619"/>
      <c r="S41619"/>
      <c r="T41619"/>
      <c r="U41619"/>
      <c r="X41619" s="60"/>
    </row>
    <row r="41620" spans="7:24" ht="15" customHeight="1">
      <c r="G41620"/>
      <c r="I41620"/>
      <c r="N41620"/>
      <c r="O41620" s="24"/>
      <c r="P41620"/>
      <c r="Q41620" s="24"/>
      <c r="R41620"/>
      <c r="S41620"/>
      <c r="T41620"/>
      <c r="U41620"/>
      <c r="X41620" s="60"/>
    </row>
    <row r="41621" spans="7:24" ht="15" customHeight="1">
      <c r="G41621"/>
      <c r="I41621"/>
      <c r="N41621"/>
      <c r="O41621" s="24"/>
      <c r="P41621"/>
      <c r="Q41621" s="24"/>
      <c r="R41621"/>
      <c r="S41621"/>
      <c r="T41621"/>
      <c r="U41621"/>
      <c r="X41621" s="60"/>
    </row>
    <row r="41622" spans="7:24" ht="15" customHeight="1">
      <c r="G41622"/>
      <c r="I41622"/>
      <c r="N41622"/>
      <c r="O41622" s="24"/>
      <c r="P41622"/>
      <c r="Q41622" s="24"/>
      <c r="R41622"/>
      <c r="S41622"/>
      <c r="T41622"/>
      <c r="U41622"/>
      <c r="X41622" s="60"/>
    </row>
    <row r="41623" spans="7:24" ht="15" customHeight="1">
      <c r="G41623"/>
      <c r="I41623"/>
      <c r="N41623"/>
      <c r="O41623" s="24"/>
      <c r="P41623"/>
      <c r="Q41623" s="24"/>
      <c r="R41623"/>
      <c r="S41623"/>
      <c r="T41623"/>
      <c r="U41623"/>
      <c r="X41623" s="60"/>
    </row>
    <row r="41624" spans="7:24" ht="15" customHeight="1">
      <c r="G41624"/>
      <c r="I41624"/>
      <c r="N41624"/>
      <c r="O41624" s="24"/>
      <c r="P41624"/>
      <c r="Q41624" s="24"/>
      <c r="R41624"/>
      <c r="S41624"/>
      <c r="T41624"/>
      <c r="U41624"/>
      <c r="X41624" s="60"/>
    </row>
    <row r="41625" spans="7:24" ht="15" customHeight="1">
      <c r="G41625"/>
      <c r="I41625"/>
      <c r="N41625"/>
      <c r="O41625" s="24"/>
      <c r="P41625"/>
      <c r="Q41625" s="24"/>
      <c r="R41625"/>
      <c r="S41625"/>
      <c r="T41625"/>
      <c r="U41625"/>
      <c r="X41625" s="60"/>
    </row>
    <row r="41626" spans="7:24" ht="15" customHeight="1">
      <c r="G41626"/>
      <c r="I41626"/>
      <c r="N41626"/>
      <c r="O41626" s="24"/>
      <c r="P41626"/>
      <c r="Q41626" s="24"/>
      <c r="R41626"/>
      <c r="S41626"/>
      <c r="T41626"/>
      <c r="U41626"/>
      <c r="X41626" s="60"/>
    </row>
    <row r="41627" spans="7:24" ht="15" customHeight="1">
      <c r="G41627"/>
      <c r="I41627"/>
      <c r="N41627"/>
      <c r="O41627" s="24"/>
      <c r="P41627"/>
      <c r="Q41627" s="24"/>
      <c r="R41627"/>
      <c r="S41627"/>
      <c r="T41627"/>
      <c r="U41627"/>
      <c r="X41627" s="60"/>
    </row>
    <row r="41628" spans="7:24" ht="15" customHeight="1">
      <c r="G41628"/>
      <c r="I41628"/>
      <c r="N41628"/>
      <c r="O41628" s="24"/>
      <c r="P41628"/>
      <c r="Q41628" s="24"/>
      <c r="R41628"/>
      <c r="S41628"/>
      <c r="T41628"/>
      <c r="U41628"/>
      <c r="X41628" s="60"/>
    </row>
    <row r="41629" spans="7:24" ht="15" customHeight="1">
      <c r="G41629"/>
      <c r="I41629"/>
      <c r="N41629"/>
      <c r="O41629" s="24"/>
      <c r="P41629"/>
      <c r="Q41629" s="24"/>
      <c r="R41629"/>
      <c r="S41629"/>
      <c r="T41629"/>
      <c r="U41629"/>
      <c r="X41629" s="60"/>
    </row>
    <row r="41630" spans="7:24" ht="15" customHeight="1">
      <c r="G41630"/>
      <c r="I41630"/>
      <c r="N41630"/>
      <c r="O41630" s="24"/>
      <c r="P41630"/>
      <c r="Q41630" s="24"/>
      <c r="R41630"/>
      <c r="S41630"/>
      <c r="T41630"/>
      <c r="U41630"/>
      <c r="X41630" s="60"/>
    </row>
    <row r="41631" spans="7:24" ht="15" customHeight="1">
      <c r="G41631"/>
      <c r="I41631"/>
      <c r="N41631"/>
      <c r="O41631" s="24"/>
      <c r="P41631"/>
      <c r="Q41631" s="24"/>
      <c r="R41631"/>
      <c r="S41631"/>
      <c r="T41631"/>
      <c r="U41631"/>
      <c r="X41631" s="60"/>
    </row>
    <row r="41632" spans="7:24" ht="15" customHeight="1">
      <c r="G41632"/>
      <c r="I41632"/>
      <c r="N41632"/>
      <c r="O41632" s="24"/>
      <c r="P41632"/>
      <c r="Q41632" s="24"/>
      <c r="R41632"/>
      <c r="S41632"/>
      <c r="T41632"/>
      <c r="U41632"/>
      <c r="X41632" s="60"/>
    </row>
    <row r="41633" spans="7:24" ht="15" customHeight="1">
      <c r="G41633"/>
      <c r="I41633"/>
      <c r="N41633"/>
      <c r="O41633" s="24"/>
      <c r="P41633"/>
      <c r="Q41633" s="24"/>
      <c r="R41633"/>
      <c r="S41633"/>
      <c r="T41633"/>
      <c r="U41633"/>
      <c r="X41633" s="60"/>
    </row>
    <row r="41634" spans="7:24" ht="15" customHeight="1">
      <c r="G41634"/>
      <c r="I41634"/>
      <c r="N41634"/>
      <c r="O41634" s="24"/>
      <c r="P41634"/>
      <c r="Q41634" s="24"/>
      <c r="R41634"/>
      <c r="S41634"/>
      <c r="T41634"/>
      <c r="U41634"/>
      <c r="X41634" s="60"/>
    </row>
    <row r="41635" spans="7:24" ht="15" customHeight="1">
      <c r="G41635"/>
      <c r="I41635"/>
      <c r="N41635"/>
      <c r="O41635" s="24"/>
      <c r="P41635"/>
      <c r="Q41635" s="24"/>
      <c r="R41635"/>
      <c r="S41635"/>
      <c r="T41635"/>
      <c r="U41635"/>
      <c r="X41635" s="60"/>
    </row>
    <row r="41636" spans="7:24" ht="15" customHeight="1">
      <c r="G41636"/>
      <c r="I41636"/>
      <c r="N41636"/>
      <c r="O41636" s="24"/>
      <c r="P41636"/>
      <c r="Q41636" s="24"/>
      <c r="R41636"/>
      <c r="S41636"/>
      <c r="T41636"/>
      <c r="U41636"/>
      <c r="X41636" s="60"/>
    </row>
    <row r="41637" spans="7:24" ht="15" customHeight="1">
      <c r="G41637"/>
      <c r="I41637"/>
      <c r="N41637"/>
      <c r="O41637" s="24"/>
      <c r="P41637"/>
      <c r="Q41637" s="24"/>
      <c r="R41637"/>
      <c r="S41637"/>
      <c r="T41637"/>
      <c r="U41637"/>
      <c r="X41637" s="60"/>
    </row>
    <row r="41638" spans="7:24" ht="15" customHeight="1">
      <c r="G41638"/>
      <c r="I41638"/>
      <c r="N41638"/>
      <c r="O41638" s="24"/>
      <c r="P41638"/>
      <c r="Q41638" s="24"/>
      <c r="R41638"/>
      <c r="S41638"/>
      <c r="T41638"/>
      <c r="U41638"/>
      <c r="X41638" s="60"/>
    </row>
    <row r="41639" spans="7:24" ht="15" customHeight="1">
      <c r="G41639"/>
      <c r="I41639"/>
      <c r="N41639"/>
      <c r="O41639" s="24"/>
      <c r="P41639"/>
      <c r="Q41639" s="24"/>
      <c r="R41639"/>
      <c r="S41639"/>
      <c r="T41639"/>
      <c r="U41639"/>
      <c r="X41639" s="60"/>
    </row>
    <row r="41640" spans="7:24" ht="15" customHeight="1">
      <c r="G41640"/>
      <c r="I41640"/>
      <c r="N41640"/>
      <c r="O41640" s="24"/>
      <c r="P41640"/>
      <c r="Q41640" s="24"/>
      <c r="R41640"/>
      <c r="S41640"/>
      <c r="T41640"/>
      <c r="U41640"/>
      <c r="X41640" s="60"/>
    </row>
    <row r="41641" spans="7:24" ht="15" customHeight="1">
      <c r="G41641"/>
      <c r="I41641"/>
      <c r="N41641"/>
      <c r="O41641" s="24"/>
      <c r="P41641"/>
      <c r="Q41641" s="24"/>
      <c r="R41641"/>
      <c r="S41641"/>
      <c r="T41641"/>
      <c r="U41641"/>
      <c r="X41641" s="60"/>
    </row>
    <row r="41642" spans="7:24" ht="15" customHeight="1">
      <c r="G41642"/>
      <c r="I41642"/>
      <c r="N41642"/>
      <c r="O41642" s="24"/>
      <c r="P41642"/>
      <c r="Q41642" s="24"/>
      <c r="R41642"/>
      <c r="S41642"/>
      <c r="T41642"/>
      <c r="U41642"/>
      <c r="X41642" s="60"/>
    </row>
    <row r="41643" spans="7:24" ht="15" customHeight="1">
      <c r="G41643"/>
      <c r="I41643"/>
      <c r="N41643"/>
      <c r="O41643" s="24"/>
      <c r="P41643"/>
      <c r="Q41643" s="24"/>
      <c r="R41643"/>
      <c r="S41643"/>
      <c r="T41643"/>
      <c r="U41643"/>
      <c r="X41643" s="60"/>
    </row>
    <row r="41644" spans="7:24" ht="15" customHeight="1">
      <c r="G41644"/>
      <c r="I41644"/>
      <c r="N41644"/>
      <c r="O41644" s="24"/>
      <c r="P41644"/>
      <c r="Q41644" s="24"/>
      <c r="R41644"/>
      <c r="S41644"/>
      <c r="T41644"/>
      <c r="U41644"/>
      <c r="X41644" s="60"/>
    </row>
    <row r="41645" spans="7:24" ht="15" customHeight="1">
      <c r="G41645"/>
      <c r="I41645"/>
      <c r="N41645"/>
      <c r="O41645" s="24"/>
      <c r="P41645"/>
      <c r="Q41645" s="24"/>
      <c r="R41645"/>
      <c r="S41645"/>
      <c r="T41645"/>
      <c r="U41645"/>
      <c r="X41645" s="60"/>
    </row>
    <row r="41646" spans="7:24" ht="15" customHeight="1">
      <c r="G41646"/>
      <c r="I41646"/>
      <c r="N41646"/>
      <c r="O41646" s="24"/>
      <c r="P41646"/>
      <c r="Q41646" s="24"/>
      <c r="R41646"/>
      <c r="S41646"/>
      <c r="T41646"/>
      <c r="U41646"/>
      <c r="X41646" s="60"/>
    </row>
    <row r="41647" spans="7:24" ht="15" customHeight="1">
      <c r="G41647"/>
      <c r="I41647"/>
      <c r="N41647"/>
      <c r="O41647" s="24"/>
      <c r="P41647"/>
      <c r="Q41647" s="24"/>
      <c r="R41647"/>
      <c r="S41647"/>
      <c r="T41647"/>
      <c r="U41647"/>
      <c r="X41647" s="60"/>
    </row>
    <row r="41648" spans="7:24" ht="15" customHeight="1">
      <c r="G41648"/>
      <c r="I41648"/>
      <c r="N41648"/>
      <c r="O41648" s="24"/>
      <c r="P41648"/>
      <c r="Q41648" s="24"/>
      <c r="R41648"/>
      <c r="S41648"/>
      <c r="T41648"/>
      <c r="U41648"/>
      <c r="X41648" s="60"/>
    </row>
    <row r="41649" spans="7:24" ht="15" customHeight="1">
      <c r="G41649"/>
      <c r="I41649"/>
      <c r="N41649"/>
      <c r="O41649" s="24"/>
      <c r="P41649"/>
      <c r="Q41649" s="24"/>
      <c r="R41649"/>
      <c r="S41649"/>
      <c r="T41649"/>
      <c r="U41649"/>
      <c r="X41649" s="60"/>
    </row>
    <row r="41650" spans="7:24" ht="15" customHeight="1">
      <c r="G41650"/>
      <c r="I41650"/>
      <c r="N41650"/>
      <c r="O41650" s="24"/>
      <c r="P41650"/>
      <c r="Q41650" s="24"/>
      <c r="R41650"/>
      <c r="S41650"/>
      <c r="T41650"/>
      <c r="U41650"/>
      <c r="X41650" s="60"/>
    </row>
    <row r="41651" spans="7:24" ht="15" customHeight="1">
      <c r="G41651"/>
      <c r="I41651"/>
      <c r="N41651"/>
      <c r="O41651" s="24"/>
      <c r="P41651"/>
      <c r="Q41651" s="24"/>
      <c r="R41651"/>
      <c r="S41651"/>
      <c r="T41651"/>
      <c r="U41651"/>
      <c r="X41651" s="60"/>
    </row>
    <row r="41652" spans="7:24" ht="15" customHeight="1">
      <c r="G41652"/>
      <c r="I41652"/>
      <c r="N41652"/>
      <c r="O41652" s="24"/>
      <c r="P41652"/>
      <c r="Q41652" s="24"/>
      <c r="R41652"/>
      <c r="S41652"/>
      <c r="T41652"/>
      <c r="U41652"/>
      <c r="X41652" s="60"/>
    </row>
    <row r="41653" spans="7:24" ht="15" customHeight="1">
      <c r="G41653"/>
      <c r="I41653"/>
      <c r="N41653"/>
      <c r="O41653" s="24"/>
      <c r="P41653"/>
      <c r="Q41653" s="24"/>
      <c r="R41653"/>
      <c r="S41653"/>
      <c r="T41653"/>
      <c r="U41653"/>
      <c r="X41653" s="60"/>
    </row>
    <row r="41654" spans="7:24" ht="15" customHeight="1">
      <c r="G41654"/>
      <c r="I41654"/>
      <c r="N41654"/>
      <c r="O41654" s="24"/>
      <c r="P41654"/>
      <c r="Q41654" s="24"/>
      <c r="R41654"/>
      <c r="S41654"/>
      <c r="T41654"/>
      <c r="U41654"/>
      <c r="X41654" s="60"/>
    </row>
    <row r="41655" spans="7:24" ht="15" customHeight="1">
      <c r="G41655"/>
      <c r="I41655"/>
      <c r="N41655"/>
      <c r="O41655" s="24"/>
      <c r="P41655"/>
      <c r="Q41655" s="24"/>
      <c r="R41655"/>
      <c r="S41655"/>
      <c r="T41655"/>
      <c r="U41655"/>
      <c r="X41655" s="60"/>
    </row>
    <row r="41656" spans="7:24" ht="15" customHeight="1">
      <c r="G41656"/>
      <c r="I41656"/>
      <c r="N41656"/>
      <c r="O41656" s="24"/>
      <c r="P41656"/>
      <c r="Q41656" s="24"/>
      <c r="R41656"/>
      <c r="S41656"/>
      <c r="T41656"/>
      <c r="U41656"/>
      <c r="X41656" s="60"/>
    </row>
    <row r="41657" spans="7:24" ht="15" customHeight="1">
      <c r="G41657"/>
      <c r="I41657"/>
      <c r="N41657"/>
      <c r="O41657" s="24"/>
      <c r="P41657"/>
      <c r="Q41657" s="24"/>
      <c r="R41657"/>
      <c r="S41657"/>
      <c r="T41657"/>
      <c r="U41657"/>
      <c r="X41657" s="60"/>
    </row>
    <row r="41658" spans="7:24" ht="15" customHeight="1">
      <c r="G41658"/>
      <c r="I41658"/>
      <c r="N41658"/>
      <c r="O41658" s="24"/>
      <c r="P41658"/>
      <c r="Q41658" s="24"/>
      <c r="R41658"/>
      <c r="S41658"/>
      <c r="T41658"/>
      <c r="U41658"/>
      <c r="X41658" s="60"/>
    </row>
    <row r="41659" spans="7:24" ht="15" customHeight="1">
      <c r="G41659"/>
      <c r="I41659"/>
      <c r="N41659"/>
      <c r="O41659" s="24"/>
      <c r="P41659"/>
      <c r="Q41659" s="24"/>
      <c r="R41659"/>
      <c r="S41659"/>
      <c r="T41659"/>
      <c r="U41659"/>
      <c r="X41659" s="60"/>
    </row>
    <row r="41660" spans="7:24" ht="15" customHeight="1">
      <c r="G41660"/>
      <c r="I41660"/>
      <c r="N41660"/>
      <c r="O41660" s="24"/>
      <c r="P41660"/>
      <c r="Q41660" s="24"/>
      <c r="R41660"/>
      <c r="S41660"/>
      <c r="T41660"/>
      <c r="U41660"/>
      <c r="X41660" s="60"/>
    </row>
    <row r="41661" spans="7:24" ht="15" customHeight="1">
      <c r="G41661"/>
      <c r="I41661"/>
      <c r="N41661"/>
      <c r="O41661" s="24"/>
      <c r="P41661"/>
      <c r="Q41661" s="24"/>
      <c r="R41661"/>
      <c r="S41661"/>
      <c r="T41661"/>
      <c r="U41661"/>
      <c r="X41661" s="60"/>
    </row>
    <row r="41662" spans="7:24" ht="15" customHeight="1">
      <c r="G41662"/>
      <c r="I41662"/>
      <c r="N41662"/>
      <c r="O41662" s="24"/>
      <c r="P41662"/>
      <c r="Q41662" s="24"/>
      <c r="R41662"/>
      <c r="S41662"/>
      <c r="T41662"/>
      <c r="U41662"/>
      <c r="X41662" s="60"/>
    </row>
    <row r="41663" spans="7:24" ht="15" customHeight="1">
      <c r="G41663"/>
      <c r="I41663"/>
      <c r="N41663"/>
      <c r="O41663" s="24"/>
      <c r="P41663"/>
      <c r="Q41663" s="24"/>
      <c r="R41663"/>
      <c r="S41663"/>
      <c r="T41663"/>
      <c r="U41663"/>
      <c r="X41663" s="60"/>
    </row>
    <row r="41664" spans="7:24" ht="15" customHeight="1">
      <c r="G41664"/>
      <c r="I41664"/>
      <c r="N41664"/>
      <c r="O41664" s="24"/>
      <c r="P41664"/>
      <c r="Q41664" s="24"/>
      <c r="R41664"/>
      <c r="S41664"/>
      <c r="T41664"/>
      <c r="U41664"/>
      <c r="X41664" s="60"/>
    </row>
    <row r="41665" spans="7:24" ht="15" customHeight="1">
      <c r="G41665"/>
      <c r="I41665"/>
      <c r="N41665"/>
      <c r="O41665" s="24"/>
      <c r="P41665"/>
      <c r="Q41665" s="24"/>
      <c r="R41665"/>
      <c r="S41665"/>
      <c r="T41665"/>
      <c r="U41665"/>
      <c r="X41665" s="60"/>
    </row>
    <row r="41666" spans="7:24" ht="15" customHeight="1">
      <c r="G41666"/>
      <c r="I41666"/>
      <c r="N41666"/>
      <c r="O41666" s="24"/>
      <c r="P41666"/>
      <c r="Q41666" s="24"/>
      <c r="R41666"/>
      <c r="S41666"/>
      <c r="T41666"/>
      <c r="U41666"/>
      <c r="X41666" s="60"/>
    </row>
    <row r="41667" spans="7:24" ht="15" customHeight="1">
      <c r="G41667"/>
      <c r="I41667"/>
      <c r="N41667"/>
      <c r="O41667" s="24"/>
      <c r="P41667"/>
      <c r="Q41667" s="24"/>
      <c r="R41667"/>
      <c r="S41667"/>
      <c r="T41667"/>
      <c r="U41667"/>
      <c r="X41667" s="60"/>
    </row>
    <row r="41668" spans="7:24" ht="15" customHeight="1">
      <c r="G41668"/>
      <c r="I41668"/>
      <c r="N41668"/>
      <c r="O41668" s="24"/>
      <c r="P41668"/>
      <c r="Q41668" s="24"/>
      <c r="R41668"/>
      <c r="S41668"/>
      <c r="T41668"/>
      <c r="U41668"/>
      <c r="X41668" s="60"/>
    </row>
    <row r="41669" spans="7:24" ht="15" customHeight="1">
      <c r="G41669"/>
      <c r="I41669"/>
      <c r="N41669"/>
      <c r="O41669" s="24"/>
      <c r="P41669"/>
      <c r="Q41669" s="24"/>
      <c r="R41669"/>
      <c r="S41669"/>
      <c r="T41669"/>
      <c r="U41669"/>
      <c r="X41669" s="60"/>
    </row>
    <row r="41670" spans="7:24" ht="15" customHeight="1">
      <c r="G41670"/>
      <c r="I41670"/>
      <c r="N41670"/>
      <c r="O41670" s="24"/>
      <c r="P41670"/>
      <c r="Q41670" s="24"/>
      <c r="R41670"/>
      <c r="S41670"/>
      <c r="T41670"/>
      <c r="U41670"/>
      <c r="X41670" s="60"/>
    </row>
    <row r="41671" spans="7:24" ht="15" customHeight="1">
      <c r="G41671"/>
      <c r="I41671"/>
      <c r="N41671"/>
      <c r="O41671" s="24"/>
      <c r="P41671"/>
      <c r="Q41671" s="24"/>
      <c r="R41671"/>
      <c r="S41671"/>
      <c r="T41671"/>
      <c r="U41671"/>
      <c r="X41671" s="60"/>
    </row>
    <row r="41672" spans="7:24" ht="15" customHeight="1">
      <c r="G41672"/>
      <c r="I41672"/>
      <c r="N41672"/>
      <c r="O41672" s="24"/>
      <c r="P41672"/>
      <c r="Q41672" s="24"/>
      <c r="R41672"/>
      <c r="S41672"/>
      <c r="T41672"/>
      <c r="U41672"/>
      <c r="X41672" s="60"/>
    </row>
    <row r="41673" spans="7:24" ht="15" customHeight="1">
      <c r="G41673"/>
      <c r="I41673"/>
      <c r="N41673"/>
      <c r="O41673" s="24"/>
      <c r="P41673"/>
      <c r="Q41673" s="24"/>
      <c r="R41673"/>
      <c r="S41673"/>
      <c r="T41673"/>
      <c r="U41673"/>
      <c r="X41673" s="60"/>
    </row>
    <row r="41674" spans="7:24" ht="15" customHeight="1">
      <c r="G41674"/>
      <c r="I41674"/>
      <c r="N41674"/>
      <c r="O41674" s="24"/>
      <c r="P41674"/>
      <c r="Q41674" s="24"/>
      <c r="R41674"/>
      <c r="S41674"/>
      <c r="T41674"/>
      <c r="U41674"/>
      <c r="X41674" s="60"/>
    </row>
    <row r="41675" spans="7:24" ht="15" customHeight="1">
      <c r="G41675"/>
      <c r="I41675"/>
      <c r="N41675"/>
      <c r="O41675" s="24"/>
      <c r="P41675"/>
      <c r="Q41675" s="24"/>
      <c r="R41675"/>
      <c r="S41675"/>
      <c r="T41675"/>
      <c r="U41675"/>
      <c r="X41675" s="60"/>
    </row>
    <row r="41676" spans="7:24" ht="15" customHeight="1">
      <c r="G41676"/>
      <c r="I41676"/>
      <c r="N41676"/>
      <c r="O41676" s="24"/>
      <c r="P41676"/>
      <c r="Q41676" s="24"/>
      <c r="R41676"/>
      <c r="S41676"/>
      <c r="T41676"/>
      <c r="U41676"/>
      <c r="X41676" s="60"/>
    </row>
    <row r="41677" spans="7:24" ht="15" customHeight="1">
      <c r="G41677"/>
      <c r="I41677"/>
      <c r="N41677"/>
      <c r="O41677" s="24"/>
      <c r="P41677"/>
      <c r="Q41677" s="24"/>
      <c r="R41677"/>
      <c r="S41677"/>
      <c r="T41677"/>
      <c r="U41677"/>
      <c r="X41677" s="60"/>
    </row>
    <row r="41678" spans="7:24" ht="15" customHeight="1">
      <c r="G41678"/>
      <c r="I41678"/>
      <c r="N41678"/>
      <c r="O41678" s="24"/>
      <c r="P41678"/>
      <c r="Q41678" s="24"/>
      <c r="R41678"/>
      <c r="S41678"/>
      <c r="T41678"/>
      <c r="U41678"/>
      <c r="X41678" s="60"/>
    </row>
    <row r="41679" spans="7:24" ht="15" customHeight="1">
      <c r="G41679"/>
      <c r="I41679"/>
      <c r="N41679"/>
      <c r="O41679" s="24"/>
      <c r="P41679"/>
      <c r="Q41679" s="24"/>
      <c r="R41679"/>
      <c r="S41679"/>
      <c r="T41679"/>
      <c r="U41679"/>
      <c r="X41679" s="60"/>
    </row>
    <row r="41680" spans="7:24" ht="15" customHeight="1">
      <c r="G41680"/>
      <c r="I41680"/>
      <c r="N41680"/>
      <c r="O41680" s="24"/>
      <c r="P41680"/>
      <c r="Q41680" s="24"/>
      <c r="R41680"/>
      <c r="S41680"/>
      <c r="T41680"/>
      <c r="U41680"/>
      <c r="X41680" s="60"/>
    </row>
    <row r="41681" spans="7:24" ht="15" customHeight="1">
      <c r="G41681"/>
      <c r="I41681"/>
      <c r="N41681"/>
      <c r="O41681" s="24"/>
      <c r="P41681"/>
      <c r="Q41681" s="24"/>
      <c r="R41681"/>
      <c r="S41681"/>
      <c r="T41681"/>
      <c r="U41681"/>
      <c r="X41681" s="60"/>
    </row>
    <row r="41682" spans="7:24" ht="15" customHeight="1">
      <c r="G41682"/>
      <c r="I41682"/>
      <c r="N41682"/>
      <c r="O41682" s="24"/>
      <c r="P41682"/>
      <c r="Q41682" s="24"/>
      <c r="R41682"/>
      <c r="S41682"/>
      <c r="T41682"/>
      <c r="U41682"/>
      <c r="X41682" s="60"/>
    </row>
    <row r="41683" spans="7:24" ht="15" customHeight="1">
      <c r="G41683"/>
      <c r="I41683"/>
      <c r="N41683"/>
      <c r="O41683" s="24"/>
      <c r="P41683"/>
      <c r="Q41683" s="24"/>
      <c r="R41683"/>
      <c r="S41683"/>
      <c r="T41683"/>
      <c r="U41683"/>
      <c r="X41683" s="60"/>
    </row>
    <row r="41684" spans="7:24" ht="15" customHeight="1">
      <c r="G41684"/>
      <c r="I41684"/>
      <c r="N41684"/>
      <c r="O41684" s="24"/>
      <c r="P41684"/>
      <c r="Q41684" s="24"/>
      <c r="R41684"/>
      <c r="S41684"/>
      <c r="T41684"/>
      <c r="U41684"/>
      <c r="X41684" s="60"/>
    </row>
    <row r="41685" spans="7:24" ht="15" customHeight="1">
      <c r="G41685"/>
      <c r="I41685"/>
      <c r="N41685"/>
      <c r="O41685" s="24"/>
      <c r="P41685"/>
      <c r="Q41685" s="24"/>
      <c r="R41685"/>
      <c r="S41685"/>
      <c r="T41685"/>
      <c r="U41685"/>
      <c r="X41685" s="60"/>
    </row>
    <row r="41686" spans="7:24" ht="15" customHeight="1">
      <c r="G41686"/>
      <c r="I41686"/>
      <c r="N41686"/>
      <c r="O41686" s="24"/>
      <c r="P41686"/>
      <c r="Q41686" s="24"/>
      <c r="R41686"/>
      <c r="S41686"/>
      <c r="T41686"/>
      <c r="U41686"/>
      <c r="X41686" s="60"/>
    </row>
    <row r="41687" spans="7:24" ht="15" customHeight="1">
      <c r="G41687"/>
      <c r="I41687"/>
      <c r="N41687"/>
      <c r="O41687" s="24"/>
      <c r="P41687"/>
      <c r="Q41687" s="24"/>
      <c r="R41687"/>
      <c r="S41687"/>
      <c r="T41687"/>
      <c r="U41687"/>
      <c r="X41687" s="60"/>
    </row>
    <row r="41688" spans="7:24" ht="15" customHeight="1">
      <c r="G41688"/>
      <c r="I41688"/>
      <c r="N41688"/>
      <c r="O41688" s="24"/>
      <c r="P41688"/>
      <c r="Q41688" s="24"/>
      <c r="R41688"/>
      <c r="S41688"/>
      <c r="T41688"/>
      <c r="U41688"/>
      <c r="X41688" s="60"/>
    </row>
    <row r="41689" spans="7:24" ht="15" customHeight="1">
      <c r="G41689"/>
      <c r="I41689"/>
      <c r="N41689"/>
      <c r="O41689" s="24"/>
      <c r="P41689"/>
      <c r="Q41689" s="24"/>
      <c r="R41689"/>
      <c r="S41689"/>
      <c r="T41689"/>
      <c r="U41689"/>
      <c r="X41689" s="60"/>
    </row>
    <row r="41690" spans="7:24" ht="15" customHeight="1">
      <c r="G41690"/>
      <c r="I41690"/>
      <c r="N41690"/>
      <c r="O41690" s="24"/>
      <c r="P41690"/>
      <c r="Q41690" s="24"/>
      <c r="R41690"/>
      <c r="S41690"/>
      <c r="T41690"/>
      <c r="U41690"/>
      <c r="X41690" s="60"/>
    </row>
    <row r="41691" spans="7:24" ht="15" customHeight="1">
      <c r="G41691"/>
      <c r="I41691"/>
      <c r="N41691"/>
      <c r="O41691" s="24"/>
      <c r="P41691"/>
      <c r="Q41691" s="24"/>
      <c r="R41691"/>
      <c r="S41691"/>
      <c r="T41691"/>
      <c r="U41691"/>
      <c r="X41691" s="60"/>
    </row>
    <row r="41692" spans="7:24" ht="15" customHeight="1">
      <c r="G41692"/>
      <c r="I41692"/>
      <c r="N41692"/>
      <c r="O41692" s="24"/>
      <c r="P41692"/>
      <c r="Q41692" s="24"/>
      <c r="R41692"/>
      <c r="S41692"/>
      <c r="T41692"/>
      <c r="U41692"/>
      <c r="X41692" s="60"/>
    </row>
    <row r="41693" spans="7:24" ht="15" customHeight="1">
      <c r="G41693"/>
      <c r="I41693"/>
      <c r="N41693"/>
      <c r="O41693" s="24"/>
      <c r="P41693"/>
      <c r="Q41693" s="24"/>
      <c r="R41693"/>
      <c r="S41693"/>
      <c r="T41693"/>
      <c r="U41693"/>
      <c r="X41693" s="60"/>
    </row>
    <row r="41694" spans="7:24" ht="15" customHeight="1">
      <c r="G41694"/>
      <c r="I41694"/>
      <c r="N41694"/>
      <c r="O41694" s="24"/>
      <c r="P41694"/>
      <c r="Q41694" s="24"/>
      <c r="R41694"/>
      <c r="S41694"/>
      <c r="T41694"/>
      <c r="U41694"/>
      <c r="X41694" s="60"/>
    </row>
    <row r="41695" spans="7:24" ht="15" customHeight="1">
      <c r="G41695"/>
      <c r="I41695"/>
      <c r="N41695"/>
      <c r="O41695" s="24"/>
      <c r="P41695"/>
      <c r="Q41695" s="24"/>
      <c r="R41695"/>
      <c r="S41695"/>
      <c r="T41695"/>
      <c r="U41695"/>
      <c r="X41695" s="60"/>
    </row>
    <row r="41696" spans="7:24" ht="15" customHeight="1">
      <c r="G41696"/>
      <c r="I41696"/>
      <c r="N41696"/>
      <c r="O41696" s="24"/>
      <c r="P41696"/>
      <c r="Q41696" s="24"/>
      <c r="R41696"/>
      <c r="S41696"/>
      <c r="T41696"/>
      <c r="U41696"/>
      <c r="X41696" s="60"/>
    </row>
    <row r="41697" spans="7:24" ht="15" customHeight="1">
      <c r="G41697"/>
      <c r="I41697"/>
      <c r="N41697"/>
      <c r="O41697" s="24"/>
      <c r="P41697"/>
      <c r="Q41697" s="24"/>
      <c r="R41697"/>
      <c r="S41697"/>
      <c r="T41697"/>
      <c r="U41697"/>
      <c r="X41697" s="60"/>
    </row>
    <row r="41698" spans="7:24" ht="15" customHeight="1">
      <c r="G41698"/>
      <c r="I41698"/>
      <c r="N41698"/>
      <c r="O41698" s="24"/>
      <c r="P41698"/>
      <c r="Q41698" s="24"/>
      <c r="R41698"/>
      <c r="S41698"/>
      <c r="T41698"/>
      <c r="U41698"/>
      <c r="X41698" s="60"/>
    </row>
    <row r="41699" spans="7:24" ht="15" customHeight="1">
      <c r="G41699"/>
      <c r="I41699"/>
      <c r="N41699"/>
      <c r="O41699" s="24"/>
      <c r="P41699"/>
      <c r="Q41699" s="24"/>
      <c r="R41699"/>
      <c r="S41699"/>
      <c r="T41699"/>
      <c r="U41699"/>
      <c r="X41699" s="60"/>
    </row>
    <row r="41700" spans="7:24" ht="15" customHeight="1">
      <c r="G41700"/>
      <c r="I41700"/>
      <c r="N41700"/>
      <c r="O41700" s="24"/>
      <c r="P41700"/>
      <c r="Q41700" s="24"/>
      <c r="R41700"/>
      <c r="S41700"/>
      <c r="T41700"/>
      <c r="U41700"/>
      <c r="X41700" s="60"/>
    </row>
    <row r="41701" spans="7:24" ht="15" customHeight="1">
      <c r="G41701"/>
      <c r="I41701"/>
      <c r="N41701"/>
      <c r="O41701" s="24"/>
      <c r="P41701"/>
      <c r="Q41701" s="24"/>
      <c r="R41701"/>
      <c r="S41701"/>
      <c r="T41701"/>
      <c r="U41701"/>
      <c r="X41701" s="60"/>
    </row>
    <row r="41702" spans="7:24" ht="15" customHeight="1">
      <c r="G41702"/>
      <c r="I41702"/>
      <c r="N41702"/>
      <c r="O41702" s="24"/>
      <c r="P41702"/>
      <c r="Q41702" s="24"/>
      <c r="R41702"/>
      <c r="S41702"/>
      <c r="T41702"/>
      <c r="U41702"/>
      <c r="X41702" s="60"/>
    </row>
    <row r="41703" spans="7:24" ht="15" customHeight="1">
      <c r="G41703"/>
      <c r="I41703"/>
      <c r="N41703"/>
      <c r="O41703" s="24"/>
      <c r="P41703"/>
      <c r="Q41703" s="24"/>
      <c r="R41703"/>
      <c r="S41703"/>
      <c r="T41703"/>
      <c r="U41703"/>
      <c r="X41703" s="60"/>
    </row>
    <row r="41704" spans="7:24" ht="15" customHeight="1">
      <c r="G41704"/>
      <c r="I41704"/>
      <c r="N41704"/>
      <c r="O41704" s="24"/>
      <c r="P41704"/>
      <c r="Q41704" s="24"/>
      <c r="R41704"/>
      <c r="S41704"/>
      <c r="T41704"/>
      <c r="U41704"/>
      <c r="X41704" s="60"/>
    </row>
    <row r="41705" spans="7:24" ht="15" customHeight="1">
      <c r="G41705"/>
      <c r="I41705"/>
      <c r="N41705"/>
      <c r="O41705" s="24"/>
      <c r="P41705"/>
      <c r="Q41705" s="24"/>
      <c r="R41705"/>
      <c r="S41705"/>
      <c r="T41705"/>
      <c r="U41705"/>
      <c r="X41705" s="60"/>
    </row>
    <row r="41706" spans="7:24" ht="15" customHeight="1">
      <c r="G41706"/>
      <c r="I41706"/>
      <c r="N41706"/>
      <c r="O41706" s="24"/>
      <c r="P41706"/>
      <c r="Q41706" s="24"/>
      <c r="R41706"/>
      <c r="S41706"/>
      <c r="T41706"/>
      <c r="U41706"/>
      <c r="X41706" s="60"/>
    </row>
    <row r="41707" spans="7:24" ht="15" customHeight="1">
      <c r="G41707"/>
      <c r="I41707"/>
      <c r="N41707"/>
      <c r="O41707" s="24"/>
      <c r="P41707"/>
      <c r="Q41707" s="24"/>
      <c r="R41707"/>
      <c r="S41707"/>
      <c r="T41707"/>
      <c r="U41707"/>
      <c r="X41707" s="60"/>
    </row>
    <row r="41708" spans="7:24" ht="15" customHeight="1">
      <c r="G41708"/>
      <c r="I41708"/>
      <c r="N41708"/>
      <c r="O41708" s="24"/>
      <c r="P41708"/>
      <c r="Q41708" s="24"/>
      <c r="R41708"/>
      <c r="S41708"/>
      <c r="T41708"/>
      <c r="U41708"/>
      <c r="X41708" s="60"/>
    </row>
    <row r="41709" spans="7:24" ht="15" customHeight="1">
      <c r="G41709"/>
      <c r="I41709"/>
      <c r="N41709"/>
      <c r="O41709" s="24"/>
      <c r="P41709"/>
      <c r="Q41709" s="24"/>
      <c r="R41709"/>
      <c r="S41709"/>
      <c r="T41709"/>
      <c r="U41709"/>
      <c r="X41709" s="60"/>
    </row>
    <row r="41710" spans="7:24" ht="15" customHeight="1">
      <c r="G41710"/>
      <c r="I41710"/>
      <c r="N41710"/>
      <c r="O41710" s="24"/>
      <c r="P41710"/>
      <c r="Q41710" s="24"/>
      <c r="R41710"/>
      <c r="S41710"/>
      <c r="T41710"/>
      <c r="U41710"/>
      <c r="X41710" s="60"/>
    </row>
    <row r="41711" spans="7:24" ht="15" customHeight="1">
      <c r="G41711"/>
      <c r="I41711"/>
      <c r="N41711"/>
      <c r="O41711" s="24"/>
      <c r="P41711"/>
      <c r="Q41711" s="24"/>
      <c r="R41711"/>
      <c r="S41711"/>
      <c r="T41711"/>
      <c r="U41711"/>
      <c r="X41711" s="60"/>
    </row>
    <row r="41712" spans="7:24" ht="15" customHeight="1">
      <c r="G41712"/>
      <c r="I41712"/>
      <c r="N41712"/>
      <c r="O41712" s="24"/>
      <c r="P41712"/>
      <c r="Q41712" s="24"/>
      <c r="R41712"/>
      <c r="S41712"/>
      <c r="T41712"/>
      <c r="U41712"/>
      <c r="X41712" s="60"/>
    </row>
    <row r="41713" spans="7:24" ht="15" customHeight="1">
      <c r="G41713"/>
      <c r="I41713"/>
      <c r="N41713"/>
      <c r="O41713" s="24"/>
      <c r="P41713"/>
      <c r="Q41713" s="24"/>
      <c r="R41713"/>
      <c r="S41713"/>
      <c r="T41713"/>
      <c r="U41713"/>
      <c r="X41713" s="60"/>
    </row>
    <row r="41714" spans="7:24" ht="15" customHeight="1">
      <c r="G41714"/>
      <c r="I41714"/>
      <c r="N41714"/>
      <c r="O41714" s="24"/>
      <c r="P41714"/>
      <c r="Q41714" s="24"/>
      <c r="R41714"/>
      <c r="S41714"/>
      <c r="T41714"/>
      <c r="U41714"/>
      <c r="X41714" s="60"/>
    </row>
    <row r="41715" spans="7:24" ht="15" customHeight="1">
      <c r="G41715"/>
      <c r="I41715"/>
      <c r="N41715"/>
      <c r="O41715" s="24"/>
      <c r="P41715"/>
      <c r="Q41715" s="24"/>
      <c r="R41715"/>
      <c r="S41715"/>
      <c r="T41715"/>
      <c r="U41715"/>
      <c r="X41715" s="60"/>
    </row>
    <row r="41716" spans="7:24" ht="15" customHeight="1">
      <c r="G41716"/>
      <c r="I41716"/>
      <c r="N41716"/>
      <c r="O41716" s="24"/>
      <c r="P41716"/>
      <c r="Q41716" s="24"/>
      <c r="R41716"/>
      <c r="S41716"/>
      <c r="T41716"/>
      <c r="U41716"/>
      <c r="X41716" s="60"/>
    </row>
    <row r="41717" spans="7:24" ht="15" customHeight="1">
      <c r="G41717"/>
      <c r="I41717"/>
      <c r="N41717"/>
      <c r="O41717" s="24"/>
      <c r="P41717"/>
      <c r="Q41717" s="24"/>
      <c r="R41717"/>
      <c r="S41717"/>
      <c r="T41717"/>
      <c r="U41717"/>
      <c r="X41717" s="60"/>
    </row>
    <row r="41718" spans="7:24" ht="15" customHeight="1">
      <c r="G41718"/>
      <c r="I41718"/>
      <c r="N41718"/>
      <c r="O41718" s="24"/>
      <c r="P41718"/>
      <c r="Q41718" s="24"/>
      <c r="R41718"/>
      <c r="S41718"/>
      <c r="T41718"/>
      <c r="U41718"/>
      <c r="X41718" s="60"/>
    </row>
    <row r="41719" spans="7:24" ht="15" customHeight="1">
      <c r="G41719"/>
      <c r="I41719"/>
      <c r="N41719"/>
      <c r="O41719" s="24"/>
      <c r="P41719"/>
      <c r="Q41719" s="24"/>
      <c r="R41719"/>
      <c r="S41719"/>
      <c r="T41719"/>
      <c r="U41719"/>
      <c r="X41719" s="60"/>
    </row>
    <row r="41720" spans="7:24" ht="15" customHeight="1">
      <c r="G41720"/>
      <c r="I41720"/>
      <c r="N41720"/>
      <c r="O41720" s="24"/>
      <c r="P41720"/>
      <c r="Q41720" s="24"/>
      <c r="R41720"/>
      <c r="S41720"/>
      <c r="T41720"/>
      <c r="U41720"/>
      <c r="X41720" s="60"/>
    </row>
    <row r="41721" spans="7:24" ht="15" customHeight="1">
      <c r="G41721"/>
      <c r="I41721"/>
      <c r="N41721"/>
      <c r="O41721" s="24"/>
      <c r="P41721"/>
      <c r="Q41721" s="24"/>
      <c r="R41721"/>
      <c r="S41721"/>
      <c r="T41721"/>
      <c r="U41721"/>
      <c r="X41721" s="60"/>
    </row>
    <row r="41722" spans="7:24" ht="15" customHeight="1">
      <c r="G41722"/>
      <c r="I41722"/>
      <c r="N41722"/>
      <c r="O41722" s="24"/>
      <c r="P41722"/>
      <c r="Q41722" s="24"/>
      <c r="R41722"/>
      <c r="S41722"/>
      <c r="T41722"/>
      <c r="U41722"/>
      <c r="X41722" s="60"/>
    </row>
    <row r="41723" spans="7:24" ht="15" customHeight="1">
      <c r="G41723"/>
      <c r="I41723"/>
      <c r="N41723"/>
      <c r="O41723" s="24"/>
      <c r="P41723"/>
      <c r="Q41723" s="24"/>
      <c r="R41723"/>
      <c r="S41723"/>
      <c r="T41723"/>
      <c r="U41723"/>
      <c r="X41723" s="60"/>
    </row>
    <row r="41724" spans="7:24" ht="15" customHeight="1">
      <c r="G41724"/>
      <c r="I41724"/>
      <c r="N41724"/>
      <c r="O41724" s="24"/>
      <c r="P41724"/>
      <c r="Q41724" s="24"/>
      <c r="R41724"/>
      <c r="S41724"/>
      <c r="T41724"/>
      <c r="U41724"/>
      <c r="X41724" s="60"/>
    </row>
    <row r="41725" spans="7:24" ht="15" customHeight="1">
      <c r="G41725"/>
      <c r="I41725"/>
      <c r="N41725"/>
      <c r="O41725" s="24"/>
      <c r="P41725"/>
      <c r="Q41725" s="24"/>
      <c r="R41725"/>
      <c r="S41725"/>
      <c r="T41725"/>
      <c r="U41725"/>
      <c r="X41725" s="60"/>
    </row>
    <row r="41726" spans="7:24" ht="15" customHeight="1">
      <c r="G41726"/>
      <c r="I41726"/>
      <c r="N41726"/>
      <c r="O41726" s="24"/>
      <c r="P41726"/>
      <c r="Q41726" s="24"/>
      <c r="R41726"/>
      <c r="S41726"/>
      <c r="T41726"/>
      <c r="U41726"/>
      <c r="X41726" s="60"/>
    </row>
    <row r="41727" spans="7:24" ht="15" customHeight="1">
      <c r="G41727"/>
      <c r="I41727"/>
      <c r="N41727"/>
      <c r="O41727" s="24"/>
      <c r="P41727"/>
      <c r="Q41727" s="24"/>
      <c r="R41727"/>
      <c r="S41727"/>
      <c r="T41727"/>
      <c r="U41727"/>
      <c r="X41727" s="60"/>
    </row>
    <row r="41728" spans="7:24" ht="15" customHeight="1">
      <c r="G41728"/>
      <c r="I41728"/>
      <c r="N41728"/>
      <c r="O41728" s="24"/>
      <c r="P41728"/>
      <c r="Q41728" s="24"/>
      <c r="R41728"/>
      <c r="S41728"/>
      <c r="T41728"/>
      <c r="U41728"/>
      <c r="X41728" s="60"/>
    </row>
    <row r="41729" spans="7:24" ht="15" customHeight="1">
      <c r="G41729"/>
      <c r="I41729"/>
      <c r="N41729"/>
      <c r="O41729" s="24"/>
      <c r="P41729"/>
      <c r="Q41729" s="24"/>
      <c r="R41729"/>
      <c r="S41729"/>
      <c r="T41729"/>
      <c r="U41729"/>
      <c r="X41729" s="60"/>
    </row>
    <row r="41730" spans="7:24" ht="15" customHeight="1">
      <c r="G41730"/>
      <c r="I41730"/>
      <c r="N41730"/>
      <c r="O41730" s="24"/>
      <c r="P41730"/>
      <c r="Q41730" s="24"/>
      <c r="R41730"/>
      <c r="S41730"/>
      <c r="T41730"/>
      <c r="U41730"/>
      <c r="X41730" s="60"/>
    </row>
    <row r="41731" spans="7:24" ht="15" customHeight="1">
      <c r="G41731"/>
      <c r="I41731"/>
      <c r="N41731"/>
      <c r="O41731" s="24"/>
      <c r="P41731"/>
      <c r="Q41731" s="24"/>
      <c r="R41731"/>
      <c r="S41731"/>
      <c r="T41731"/>
      <c r="U41731"/>
      <c r="X41731" s="60"/>
    </row>
    <row r="41732" spans="7:24" ht="15" customHeight="1">
      <c r="G41732"/>
      <c r="I41732"/>
      <c r="N41732"/>
      <c r="O41732" s="24"/>
      <c r="P41732"/>
      <c r="Q41732" s="24"/>
      <c r="R41732"/>
      <c r="S41732"/>
      <c r="T41732"/>
      <c r="U41732"/>
      <c r="X41732" s="60"/>
    </row>
    <row r="41733" spans="7:24" ht="15" customHeight="1">
      <c r="G41733"/>
      <c r="I41733"/>
      <c r="N41733"/>
      <c r="O41733" s="24"/>
      <c r="P41733"/>
      <c r="Q41733" s="24"/>
      <c r="R41733"/>
      <c r="S41733"/>
      <c r="T41733"/>
      <c r="U41733"/>
      <c r="X41733" s="60"/>
    </row>
    <row r="41734" spans="7:24" ht="15" customHeight="1">
      <c r="G41734"/>
      <c r="I41734"/>
      <c r="N41734"/>
      <c r="O41734" s="24"/>
      <c r="P41734"/>
      <c r="Q41734" s="24"/>
      <c r="R41734"/>
      <c r="S41734"/>
      <c r="T41734"/>
      <c r="U41734"/>
      <c r="X41734" s="60"/>
    </row>
    <row r="41735" spans="7:24" ht="15" customHeight="1">
      <c r="G41735"/>
      <c r="I41735"/>
      <c r="N41735"/>
      <c r="O41735" s="24"/>
      <c r="P41735"/>
      <c r="Q41735" s="24"/>
      <c r="R41735"/>
      <c r="S41735"/>
      <c r="T41735"/>
      <c r="U41735"/>
      <c r="X41735" s="60"/>
    </row>
    <row r="41736" spans="7:24" ht="15" customHeight="1">
      <c r="G41736"/>
      <c r="I41736"/>
      <c r="N41736"/>
      <c r="O41736" s="24"/>
      <c r="P41736"/>
      <c r="Q41736" s="24"/>
      <c r="R41736"/>
      <c r="S41736"/>
      <c r="T41736"/>
      <c r="U41736"/>
      <c r="X41736" s="60"/>
    </row>
    <row r="41737" spans="7:24" ht="15" customHeight="1">
      <c r="G41737"/>
      <c r="I41737"/>
      <c r="N41737"/>
      <c r="O41737" s="24"/>
      <c r="P41737"/>
      <c r="Q41737" s="24"/>
      <c r="R41737"/>
      <c r="S41737"/>
      <c r="T41737"/>
      <c r="U41737"/>
      <c r="X41737" s="60"/>
    </row>
    <row r="41738" spans="7:24" ht="15" customHeight="1">
      <c r="G41738"/>
      <c r="I41738"/>
      <c r="N41738"/>
      <c r="O41738" s="24"/>
      <c r="P41738"/>
      <c r="Q41738" s="24"/>
      <c r="R41738"/>
      <c r="S41738"/>
      <c r="T41738"/>
      <c r="U41738"/>
      <c r="X41738" s="60"/>
    </row>
    <row r="41739" spans="7:24" ht="15" customHeight="1">
      <c r="G41739"/>
      <c r="I41739"/>
      <c r="N41739"/>
      <c r="O41739" s="24"/>
      <c r="P41739"/>
      <c r="Q41739" s="24"/>
      <c r="R41739"/>
      <c r="S41739"/>
      <c r="T41739"/>
      <c r="U41739"/>
      <c r="X41739" s="60"/>
    </row>
    <row r="41740" spans="7:24" ht="15" customHeight="1">
      <c r="G41740"/>
      <c r="I41740"/>
      <c r="N41740"/>
      <c r="O41740" s="24"/>
      <c r="P41740"/>
      <c r="Q41740" s="24"/>
      <c r="R41740"/>
      <c r="S41740"/>
      <c r="T41740"/>
      <c r="U41740"/>
      <c r="X41740" s="60"/>
    </row>
    <row r="41741" spans="7:24" ht="15" customHeight="1">
      <c r="G41741"/>
      <c r="I41741"/>
      <c r="N41741"/>
      <c r="O41741" s="24"/>
      <c r="P41741"/>
      <c r="Q41741" s="24"/>
      <c r="R41741"/>
      <c r="S41741"/>
      <c r="T41741"/>
      <c r="U41741"/>
      <c r="X41741" s="60"/>
    </row>
    <row r="41742" spans="7:24" ht="15" customHeight="1">
      <c r="G41742"/>
      <c r="I41742"/>
      <c r="N41742"/>
      <c r="O41742" s="24"/>
      <c r="P41742"/>
      <c r="Q41742" s="24"/>
      <c r="R41742"/>
      <c r="S41742"/>
      <c r="T41742"/>
      <c r="U41742"/>
      <c r="X41742" s="60"/>
    </row>
    <row r="41743" spans="7:24" ht="15" customHeight="1">
      <c r="G41743"/>
      <c r="I41743"/>
      <c r="N41743"/>
      <c r="O41743" s="24"/>
      <c r="P41743"/>
      <c r="Q41743" s="24"/>
      <c r="R41743"/>
      <c r="S41743"/>
      <c r="T41743"/>
      <c r="U41743"/>
      <c r="X41743" s="60"/>
    </row>
    <row r="41744" spans="7:24" ht="15" customHeight="1">
      <c r="G41744"/>
      <c r="I41744"/>
      <c r="N41744"/>
      <c r="O41744" s="24"/>
      <c r="P41744"/>
      <c r="Q41744" s="24"/>
      <c r="R41744"/>
      <c r="S41744"/>
      <c r="T41744"/>
      <c r="U41744"/>
      <c r="X41744" s="60"/>
    </row>
    <row r="41745" spans="7:24" ht="15" customHeight="1">
      <c r="G41745"/>
      <c r="I41745"/>
      <c r="N41745"/>
      <c r="O41745" s="24"/>
      <c r="P41745"/>
      <c r="Q41745" s="24"/>
      <c r="R41745"/>
      <c r="S41745"/>
      <c r="T41745"/>
      <c r="U41745"/>
      <c r="X41745" s="60"/>
    </row>
    <row r="41746" spans="7:24" ht="15" customHeight="1">
      <c r="G41746"/>
      <c r="I41746"/>
      <c r="N41746"/>
      <c r="O41746" s="24"/>
      <c r="P41746"/>
      <c r="Q41746" s="24"/>
      <c r="R41746"/>
      <c r="S41746"/>
      <c r="T41746"/>
      <c r="U41746"/>
      <c r="X41746" s="60"/>
    </row>
    <row r="41747" spans="7:24" ht="15" customHeight="1">
      <c r="G41747"/>
      <c r="I41747"/>
      <c r="N41747"/>
      <c r="O41747" s="24"/>
      <c r="P41747"/>
      <c r="Q41747" s="24"/>
      <c r="R41747"/>
      <c r="S41747"/>
      <c r="T41747"/>
      <c r="U41747"/>
      <c r="X41747" s="60"/>
    </row>
    <row r="41748" spans="7:24" ht="15" customHeight="1">
      <c r="G41748"/>
      <c r="I41748"/>
      <c r="N41748"/>
      <c r="O41748" s="24"/>
      <c r="P41748"/>
      <c r="Q41748" s="24"/>
      <c r="R41748"/>
      <c r="S41748"/>
      <c r="T41748"/>
      <c r="U41748"/>
      <c r="X41748" s="60"/>
    </row>
    <row r="41749" spans="7:24" ht="15" customHeight="1">
      <c r="G41749"/>
      <c r="I41749"/>
      <c r="N41749"/>
      <c r="O41749" s="24"/>
      <c r="P41749"/>
      <c r="Q41749" s="24"/>
      <c r="R41749"/>
      <c r="S41749"/>
      <c r="T41749"/>
      <c r="U41749"/>
      <c r="X41749" s="60"/>
    </row>
    <row r="41750" spans="7:24" ht="15" customHeight="1">
      <c r="G41750"/>
      <c r="I41750"/>
      <c r="N41750"/>
      <c r="O41750" s="24"/>
      <c r="P41750"/>
      <c r="Q41750" s="24"/>
      <c r="R41750"/>
      <c r="S41750"/>
      <c r="T41750"/>
      <c r="U41750"/>
      <c r="X41750" s="60"/>
    </row>
    <row r="41751" spans="7:24" ht="15" customHeight="1">
      <c r="G41751"/>
      <c r="I41751"/>
      <c r="N41751"/>
      <c r="O41751" s="24"/>
      <c r="P41751"/>
      <c r="Q41751" s="24"/>
      <c r="R41751"/>
      <c r="S41751"/>
      <c r="T41751"/>
      <c r="U41751"/>
      <c r="X41751" s="60"/>
    </row>
    <row r="41752" spans="7:24" ht="15" customHeight="1">
      <c r="G41752"/>
      <c r="I41752"/>
      <c r="N41752"/>
      <c r="O41752" s="24"/>
      <c r="P41752"/>
      <c r="Q41752" s="24"/>
      <c r="R41752"/>
      <c r="S41752"/>
      <c r="T41752"/>
      <c r="U41752"/>
      <c r="X41752" s="60"/>
    </row>
    <row r="41753" spans="7:24" ht="15" customHeight="1">
      <c r="G41753"/>
      <c r="I41753"/>
      <c r="N41753"/>
      <c r="O41753" s="24"/>
      <c r="P41753"/>
      <c r="Q41753" s="24"/>
      <c r="R41753"/>
      <c r="S41753"/>
      <c r="T41753"/>
      <c r="U41753"/>
      <c r="X41753" s="60"/>
    </row>
    <row r="41754" spans="7:24" ht="15" customHeight="1">
      <c r="G41754"/>
      <c r="I41754"/>
      <c r="N41754"/>
      <c r="O41754" s="24"/>
      <c r="P41754"/>
      <c r="Q41754" s="24"/>
      <c r="R41754"/>
      <c r="S41754"/>
      <c r="T41754"/>
      <c r="U41754"/>
      <c r="X41754" s="60"/>
    </row>
    <row r="41755" spans="7:24" ht="15" customHeight="1">
      <c r="G41755"/>
      <c r="I41755"/>
      <c r="N41755"/>
      <c r="O41755" s="24"/>
      <c r="P41755"/>
      <c r="Q41755" s="24"/>
      <c r="R41755"/>
      <c r="S41755"/>
      <c r="T41755"/>
      <c r="U41755"/>
      <c r="X41755" s="60"/>
    </row>
    <row r="41756" spans="7:24" ht="15" customHeight="1">
      <c r="G41756"/>
      <c r="I41756"/>
      <c r="N41756"/>
      <c r="O41756" s="24"/>
      <c r="P41756"/>
      <c r="Q41756" s="24"/>
      <c r="R41756"/>
      <c r="S41756"/>
      <c r="T41756"/>
      <c r="U41756"/>
      <c r="X41756" s="60"/>
    </row>
    <row r="41757" spans="7:24" ht="15" customHeight="1">
      <c r="G41757"/>
      <c r="I41757"/>
      <c r="N41757"/>
      <c r="O41757" s="24"/>
      <c r="P41757"/>
      <c r="Q41757" s="24"/>
      <c r="R41757"/>
      <c r="S41757"/>
      <c r="T41757"/>
      <c r="U41757"/>
      <c r="X41757" s="60"/>
    </row>
    <row r="41758" spans="7:24" ht="15" customHeight="1">
      <c r="G41758"/>
      <c r="I41758"/>
      <c r="N41758"/>
      <c r="O41758" s="24"/>
      <c r="P41758"/>
      <c r="Q41758" s="24"/>
      <c r="R41758"/>
      <c r="S41758"/>
      <c r="T41758"/>
      <c r="U41758"/>
      <c r="X41758" s="60"/>
    </row>
    <row r="41759" spans="7:24" ht="15" customHeight="1">
      <c r="G41759"/>
      <c r="I41759"/>
      <c r="N41759"/>
      <c r="O41759" s="24"/>
      <c r="P41759"/>
      <c r="Q41759" s="24"/>
      <c r="R41759"/>
      <c r="S41759"/>
      <c r="T41759"/>
      <c r="U41759"/>
      <c r="X41759" s="60"/>
    </row>
    <row r="41760" spans="7:24" ht="15" customHeight="1">
      <c r="G41760"/>
      <c r="I41760"/>
      <c r="N41760"/>
      <c r="O41760" s="24"/>
      <c r="P41760"/>
      <c r="Q41760" s="24"/>
      <c r="R41760"/>
      <c r="S41760"/>
      <c r="T41760"/>
      <c r="U41760"/>
      <c r="X41760" s="60"/>
    </row>
    <row r="41761" spans="7:24" ht="15" customHeight="1">
      <c r="G41761"/>
      <c r="I41761"/>
      <c r="N41761"/>
      <c r="O41761" s="24"/>
      <c r="P41761"/>
      <c r="Q41761" s="24"/>
      <c r="R41761"/>
      <c r="S41761"/>
      <c r="T41761"/>
      <c r="U41761"/>
      <c r="X41761" s="60"/>
    </row>
    <row r="41762" spans="7:24" ht="15" customHeight="1">
      <c r="G41762"/>
      <c r="I41762"/>
      <c r="N41762"/>
      <c r="O41762" s="24"/>
      <c r="P41762"/>
      <c r="Q41762" s="24"/>
      <c r="R41762"/>
      <c r="S41762"/>
      <c r="T41762"/>
      <c r="U41762"/>
      <c r="X41762" s="60"/>
    </row>
    <row r="41763" spans="7:24" ht="15" customHeight="1">
      <c r="G41763"/>
      <c r="I41763"/>
      <c r="N41763"/>
      <c r="O41763" s="24"/>
      <c r="P41763"/>
      <c r="Q41763" s="24"/>
      <c r="R41763"/>
      <c r="S41763"/>
      <c r="T41763"/>
      <c r="U41763"/>
      <c r="X41763" s="60"/>
    </row>
    <row r="41764" spans="7:24" ht="15" customHeight="1">
      <c r="G41764"/>
      <c r="I41764"/>
      <c r="N41764"/>
      <c r="O41764" s="24"/>
      <c r="P41764"/>
      <c r="Q41764" s="24"/>
      <c r="R41764"/>
      <c r="S41764"/>
      <c r="T41764"/>
      <c r="U41764"/>
      <c r="X41764" s="60"/>
    </row>
    <row r="41765" spans="7:24" ht="15" customHeight="1">
      <c r="G41765"/>
      <c r="I41765"/>
      <c r="N41765"/>
      <c r="O41765" s="24"/>
      <c r="P41765"/>
      <c r="Q41765" s="24"/>
      <c r="R41765"/>
      <c r="S41765"/>
      <c r="T41765"/>
      <c r="U41765"/>
      <c r="X41765" s="60"/>
    </row>
    <row r="41766" spans="7:24" ht="15" customHeight="1">
      <c r="G41766"/>
      <c r="I41766"/>
      <c r="N41766"/>
      <c r="O41766" s="24"/>
      <c r="P41766"/>
      <c r="Q41766" s="24"/>
      <c r="R41766"/>
      <c r="S41766"/>
      <c r="T41766"/>
      <c r="U41766"/>
      <c r="X41766" s="60"/>
    </row>
    <row r="41767" spans="7:24" ht="15" customHeight="1">
      <c r="G41767"/>
      <c r="I41767"/>
      <c r="N41767"/>
      <c r="O41767" s="24"/>
      <c r="P41767"/>
      <c r="Q41767" s="24"/>
      <c r="R41767"/>
      <c r="S41767"/>
      <c r="T41767"/>
      <c r="U41767"/>
      <c r="X41767" s="60"/>
    </row>
    <row r="41768" spans="7:24" ht="15" customHeight="1">
      <c r="G41768"/>
      <c r="I41768"/>
      <c r="N41768"/>
      <c r="O41768" s="24"/>
      <c r="P41768"/>
      <c r="Q41768" s="24"/>
      <c r="R41768"/>
      <c r="S41768"/>
      <c r="T41768"/>
      <c r="U41768"/>
      <c r="X41768" s="60"/>
    </row>
    <row r="41769" spans="7:24" ht="15" customHeight="1">
      <c r="G41769"/>
      <c r="I41769"/>
      <c r="N41769"/>
      <c r="O41769" s="24"/>
      <c r="P41769"/>
      <c r="Q41769" s="24"/>
      <c r="R41769"/>
      <c r="S41769"/>
      <c r="T41769"/>
      <c r="U41769"/>
      <c r="X41769" s="60"/>
    </row>
    <row r="41770" spans="7:24" ht="15" customHeight="1">
      <c r="G41770"/>
      <c r="I41770"/>
      <c r="N41770"/>
      <c r="O41770" s="24"/>
      <c r="P41770"/>
      <c r="Q41770" s="24"/>
      <c r="R41770"/>
      <c r="S41770"/>
      <c r="T41770"/>
      <c r="U41770"/>
      <c r="X41770" s="60"/>
    </row>
    <row r="41771" spans="7:24" ht="15" customHeight="1">
      <c r="G41771"/>
      <c r="I41771"/>
      <c r="N41771"/>
      <c r="O41771" s="24"/>
      <c r="P41771"/>
      <c r="Q41771" s="24"/>
      <c r="R41771"/>
      <c r="S41771"/>
      <c r="T41771"/>
      <c r="U41771"/>
      <c r="X41771" s="60"/>
    </row>
    <row r="41772" spans="7:24" ht="15" customHeight="1">
      <c r="G41772"/>
      <c r="I41772"/>
      <c r="N41772"/>
      <c r="O41772" s="24"/>
      <c r="P41772"/>
      <c r="Q41772" s="24"/>
      <c r="R41772"/>
      <c r="S41772"/>
      <c r="T41772"/>
      <c r="U41772"/>
      <c r="X41772" s="60"/>
    </row>
    <row r="41773" spans="7:24" ht="15" customHeight="1">
      <c r="G41773"/>
      <c r="I41773"/>
      <c r="N41773"/>
      <c r="O41773" s="24"/>
      <c r="P41773"/>
      <c r="Q41773" s="24"/>
      <c r="R41773"/>
      <c r="S41773"/>
      <c r="T41773"/>
      <c r="U41773"/>
      <c r="X41773" s="60"/>
    </row>
    <row r="41774" spans="7:24" ht="15" customHeight="1">
      <c r="G41774"/>
      <c r="I41774"/>
      <c r="N41774"/>
      <c r="O41774" s="24"/>
      <c r="P41774"/>
      <c r="Q41774" s="24"/>
      <c r="R41774"/>
      <c r="S41774"/>
      <c r="T41774"/>
      <c r="U41774"/>
      <c r="X41774" s="60"/>
    </row>
    <row r="41775" spans="7:24" ht="15" customHeight="1">
      <c r="G41775"/>
      <c r="I41775"/>
      <c r="N41775"/>
      <c r="O41775" s="24"/>
      <c r="P41775"/>
      <c r="Q41775" s="24"/>
      <c r="R41775"/>
      <c r="S41775"/>
      <c r="T41775"/>
      <c r="U41775"/>
      <c r="X41775" s="60"/>
    </row>
    <row r="41776" spans="7:24" ht="15" customHeight="1">
      <c r="G41776"/>
      <c r="I41776"/>
      <c r="N41776"/>
      <c r="O41776" s="24"/>
      <c r="P41776"/>
      <c r="Q41776" s="24"/>
      <c r="R41776"/>
      <c r="S41776"/>
      <c r="T41776"/>
      <c r="U41776"/>
      <c r="X41776" s="60"/>
    </row>
    <row r="41777" spans="7:24" ht="15" customHeight="1">
      <c r="G41777"/>
      <c r="I41777"/>
      <c r="N41777"/>
      <c r="O41777" s="24"/>
      <c r="P41777"/>
      <c r="Q41777" s="24"/>
      <c r="R41777"/>
      <c r="S41777"/>
      <c r="T41777"/>
      <c r="U41777"/>
      <c r="X41777" s="60"/>
    </row>
    <row r="41778" spans="7:24" ht="15" customHeight="1">
      <c r="G41778"/>
      <c r="I41778"/>
      <c r="N41778"/>
      <c r="O41778" s="24"/>
      <c r="P41778"/>
      <c r="Q41778" s="24"/>
      <c r="R41778"/>
      <c r="S41778"/>
      <c r="T41778"/>
      <c r="U41778"/>
      <c r="X41778" s="60"/>
    </row>
    <row r="41779" spans="7:24" ht="15" customHeight="1">
      <c r="G41779"/>
      <c r="I41779"/>
      <c r="N41779"/>
      <c r="O41779" s="24"/>
      <c r="P41779"/>
      <c r="Q41779" s="24"/>
      <c r="R41779"/>
      <c r="S41779"/>
      <c r="T41779"/>
      <c r="U41779"/>
      <c r="X41779" s="60"/>
    </row>
    <row r="41780" spans="7:24" ht="15" customHeight="1">
      <c r="G41780"/>
      <c r="I41780"/>
      <c r="N41780"/>
      <c r="O41780" s="24"/>
      <c r="P41780"/>
      <c r="Q41780" s="24"/>
      <c r="R41780"/>
      <c r="S41780"/>
      <c r="T41780"/>
      <c r="U41780"/>
      <c r="X41780" s="60"/>
    </row>
    <row r="41781" spans="7:24" ht="15" customHeight="1">
      <c r="G41781"/>
      <c r="I41781"/>
      <c r="N41781"/>
      <c r="O41781" s="24"/>
      <c r="P41781"/>
      <c r="Q41781" s="24"/>
      <c r="R41781"/>
      <c r="S41781"/>
      <c r="T41781"/>
      <c r="U41781"/>
      <c r="X41781" s="60"/>
    </row>
    <row r="41782" spans="7:24" ht="15" customHeight="1">
      <c r="G41782"/>
      <c r="I41782"/>
      <c r="N41782"/>
      <c r="O41782" s="24"/>
      <c r="P41782"/>
      <c r="Q41782" s="24"/>
      <c r="R41782"/>
      <c r="S41782"/>
      <c r="T41782"/>
      <c r="U41782"/>
      <c r="X41782" s="60"/>
    </row>
    <row r="41783" spans="7:24" ht="15" customHeight="1">
      <c r="G41783"/>
      <c r="I41783"/>
      <c r="N41783"/>
      <c r="O41783" s="24"/>
      <c r="P41783"/>
      <c r="Q41783" s="24"/>
      <c r="R41783"/>
      <c r="S41783"/>
      <c r="T41783"/>
      <c r="U41783"/>
      <c r="X41783" s="60"/>
    </row>
    <row r="41784" spans="7:24" ht="15" customHeight="1">
      <c r="G41784"/>
      <c r="I41784"/>
      <c r="N41784"/>
      <c r="O41784" s="24"/>
      <c r="P41784"/>
      <c r="Q41784" s="24"/>
      <c r="R41784"/>
      <c r="S41784"/>
      <c r="T41784"/>
      <c r="U41784"/>
      <c r="X41784" s="60"/>
    </row>
    <row r="41785" spans="7:24" ht="15" customHeight="1">
      <c r="G41785"/>
      <c r="I41785"/>
      <c r="N41785"/>
      <c r="O41785" s="24"/>
      <c r="P41785"/>
      <c r="Q41785" s="24"/>
      <c r="R41785"/>
      <c r="S41785"/>
      <c r="T41785"/>
      <c r="U41785"/>
      <c r="X41785" s="60"/>
    </row>
    <row r="41786" spans="7:24" ht="15" customHeight="1">
      <c r="G41786"/>
      <c r="I41786"/>
      <c r="N41786"/>
      <c r="O41786" s="24"/>
      <c r="P41786"/>
      <c r="Q41786" s="24"/>
      <c r="R41786"/>
      <c r="S41786"/>
      <c r="T41786"/>
      <c r="U41786"/>
      <c r="X41786" s="60"/>
    </row>
    <row r="41787" spans="7:24" ht="15" customHeight="1">
      <c r="G41787"/>
      <c r="I41787"/>
      <c r="N41787"/>
      <c r="O41787" s="24"/>
      <c r="P41787"/>
      <c r="Q41787" s="24"/>
      <c r="R41787"/>
      <c r="S41787"/>
      <c r="T41787"/>
      <c r="U41787"/>
      <c r="X41787" s="60"/>
    </row>
    <row r="41788" spans="7:24" ht="15" customHeight="1">
      <c r="G41788"/>
      <c r="I41788"/>
      <c r="N41788"/>
      <c r="O41788" s="24"/>
      <c r="P41788"/>
      <c r="Q41788" s="24"/>
      <c r="R41788"/>
      <c r="S41788"/>
      <c r="T41788"/>
      <c r="U41788"/>
      <c r="X41788" s="60"/>
    </row>
    <row r="41789" spans="7:24" ht="15" customHeight="1">
      <c r="G41789"/>
      <c r="I41789"/>
      <c r="N41789"/>
      <c r="O41789" s="24"/>
      <c r="P41789"/>
      <c r="Q41789" s="24"/>
      <c r="R41789"/>
      <c r="S41789"/>
      <c r="T41789"/>
      <c r="U41789"/>
      <c r="X41789" s="60"/>
    </row>
    <row r="41790" spans="7:24" ht="15" customHeight="1">
      <c r="G41790"/>
      <c r="I41790"/>
      <c r="N41790"/>
      <c r="O41790" s="24"/>
      <c r="P41790"/>
      <c r="Q41790" s="24"/>
      <c r="R41790"/>
      <c r="S41790"/>
      <c r="T41790"/>
      <c r="U41790"/>
      <c r="X41790" s="60"/>
    </row>
    <row r="41791" spans="7:24" ht="15" customHeight="1">
      <c r="G41791"/>
      <c r="I41791"/>
      <c r="N41791"/>
      <c r="O41791" s="24"/>
      <c r="P41791"/>
      <c r="Q41791" s="24"/>
      <c r="R41791"/>
      <c r="S41791"/>
      <c r="T41791"/>
      <c r="U41791"/>
      <c r="X41791" s="60"/>
    </row>
    <row r="41792" spans="7:24" ht="15" customHeight="1">
      <c r="G41792"/>
      <c r="I41792"/>
      <c r="N41792"/>
      <c r="O41792" s="24"/>
      <c r="P41792"/>
      <c r="Q41792" s="24"/>
      <c r="R41792"/>
      <c r="S41792"/>
      <c r="T41792"/>
      <c r="U41792"/>
      <c r="X41792" s="60"/>
    </row>
    <row r="41793" spans="7:24" ht="15" customHeight="1">
      <c r="G41793"/>
      <c r="I41793"/>
      <c r="N41793"/>
      <c r="O41793" s="24"/>
      <c r="P41793"/>
      <c r="Q41793" s="24"/>
      <c r="R41793"/>
      <c r="S41793"/>
      <c r="T41793"/>
      <c r="U41793"/>
      <c r="X41793" s="60"/>
    </row>
    <row r="41794" spans="7:24" ht="15" customHeight="1">
      <c r="G41794"/>
      <c r="I41794"/>
      <c r="N41794"/>
      <c r="O41794" s="24"/>
      <c r="P41794"/>
      <c r="Q41794" s="24"/>
      <c r="R41794"/>
      <c r="S41794"/>
      <c r="T41794"/>
      <c r="U41794"/>
      <c r="X41794" s="60"/>
    </row>
    <row r="41795" spans="7:24" ht="15" customHeight="1">
      <c r="G41795"/>
      <c r="I41795"/>
      <c r="N41795"/>
      <c r="O41795" s="24"/>
      <c r="P41795"/>
      <c r="Q41795" s="24"/>
      <c r="R41795"/>
      <c r="S41795"/>
      <c r="T41795"/>
      <c r="U41795"/>
      <c r="X41795" s="60"/>
    </row>
    <row r="41796" spans="7:24" ht="15" customHeight="1">
      <c r="G41796"/>
      <c r="I41796"/>
      <c r="N41796"/>
      <c r="O41796" s="24"/>
      <c r="P41796"/>
      <c r="Q41796" s="24"/>
      <c r="R41796"/>
      <c r="S41796"/>
      <c r="T41796"/>
      <c r="U41796"/>
      <c r="X41796" s="60"/>
    </row>
    <row r="41797" spans="7:24" ht="15" customHeight="1">
      <c r="G41797"/>
      <c r="I41797"/>
      <c r="N41797"/>
      <c r="O41797" s="24"/>
      <c r="P41797"/>
      <c r="Q41797" s="24"/>
      <c r="R41797"/>
      <c r="S41797"/>
      <c r="T41797"/>
      <c r="U41797"/>
      <c r="X41797" s="60"/>
    </row>
    <row r="41798" spans="7:24" ht="15" customHeight="1">
      <c r="G41798"/>
      <c r="I41798"/>
      <c r="N41798"/>
      <c r="O41798" s="24"/>
      <c r="P41798"/>
      <c r="Q41798" s="24"/>
      <c r="R41798"/>
      <c r="S41798"/>
      <c r="T41798"/>
      <c r="U41798"/>
      <c r="X41798" s="60"/>
    </row>
    <row r="41799" spans="7:24" ht="15" customHeight="1">
      <c r="G41799"/>
      <c r="I41799"/>
      <c r="N41799"/>
      <c r="O41799" s="24"/>
      <c r="P41799"/>
      <c r="Q41799" s="24"/>
      <c r="R41799"/>
      <c r="S41799"/>
      <c r="T41799"/>
      <c r="U41799"/>
      <c r="X41799" s="60"/>
    </row>
    <row r="41800" spans="7:24" ht="15" customHeight="1">
      <c r="G41800"/>
      <c r="I41800"/>
      <c r="N41800"/>
      <c r="O41800" s="24"/>
      <c r="P41800"/>
      <c r="Q41800" s="24"/>
      <c r="R41800"/>
      <c r="S41800"/>
      <c r="T41800"/>
      <c r="U41800"/>
      <c r="X41800" s="60"/>
    </row>
    <row r="41801" spans="7:24" ht="15" customHeight="1">
      <c r="G41801"/>
      <c r="I41801"/>
      <c r="N41801"/>
      <c r="O41801" s="24"/>
      <c r="P41801"/>
      <c r="Q41801" s="24"/>
      <c r="R41801"/>
      <c r="S41801"/>
      <c r="T41801"/>
      <c r="U41801"/>
      <c r="X41801" s="60"/>
    </row>
    <row r="41802" spans="7:24" ht="15" customHeight="1">
      <c r="G41802"/>
      <c r="I41802"/>
      <c r="N41802"/>
      <c r="O41802" s="24"/>
      <c r="P41802"/>
      <c r="Q41802" s="24"/>
      <c r="R41802"/>
      <c r="S41802"/>
      <c r="T41802"/>
      <c r="U41802"/>
      <c r="X41802" s="60"/>
    </row>
    <row r="41803" spans="7:24" ht="15" customHeight="1">
      <c r="G41803"/>
      <c r="I41803"/>
      <c r="N41803"/>
      <c r="O41803" s="24"/>
      <c r="P41803"/>
      <c r="Q41803" s="24"/>
      <c r="R41803"/>
      <c r="S41803"/>
      <c r="T41803"/>
      <c r="U41803"/>
      <c r="X41803" s="60"/>
    </row>
    <row r="41804" spans="7:24" ht="15" customHeight="1">
      <c r="G41804"/>
      <c r="I41804"/>
      <c r="N41804"/>
      <c r="O41804" s="24"/>
      <c r="P41804"/>
      <c r="Q41804" s="24"/>
      <c r="R41804"/>
      <c r="S41804"/>
      <c r="T41804"/>
      <c r="U41804"/>
      <c r="X41804" s="60"/>
    </row>
    <row r="41805" spans="7:24" ht="15" customHeight="1">
      <c r="G41805"/>
      <c r="I41805"/>
      <c r="N41805"/>
      <c r="O41805" s="24"/>
      <c r="P41805"/>
      <c r="Q41805" s="24"/>
      <c r="R41805"/>
      <c r="S41805"/>
      <c r="T41805"/>
      <c r="U41805"/>
      <c r="X41805" s="60"/>
    </row>
    <row r="41806" spans="7:24" ht="15" customHeight="1">
      <c r="G41806"/>
      <c r="I41806"/>
      <c r="N41806"/>
      <c r="O41806" s="24"/>
      <c r="P41806"/>
      <c r="Q41806" s="24"/>
      <c r="R41806"/>
      <c r="S41806"/>
      <c r="T41806"/>
      <c r="U41806"/>
      <c r="X41806" s="60"/>
    </row>
    <row r="41807" spans="7:24" ht="15" customHeight="1">
      <c r="G41807"/>
      <c r="I41807"/>
      <c r="N41807"/>
      <c r="O41807" s="24"/>
      <c r="P41807"/>
      <c r="Q41807" s="24"/>
      <c r="R41807"/>
      <c r="S41807"/>
      <c r="T41807"/>
      <c r="U41807"/>
      <c r="X41807" s="60"/>
    </row>
    <row r="41808" spans="7:24" ht="15" customHeight="1">
      <c r="G41808"/>
      <c r="I41808"/>
      <c r="N41808"/>
      <c r="O41808" s="24"/>
      <c r="P41808"/>
      <c r="Q41808" s="24"/>
      <c r="R41808"/>
      <c r="S41808"/>
      <c r="T41808"/>
      <c r="U41808"/>
      <c r="X41808" s="60"/>
    </row>
    <row r="41809" spans="7:24" ht="15" customHeight="1">
      <c r="G41809"/>
      <c r="I41809"/>
      <c r="N41809"/>
      <c r="O41809" s="24"/>
      <c r="P41809"/>
      <c r="Q41809" s="24"/>
      <c r="R41809"/>
      <c r="S41809"/>
      <c r="T41809"/>
      <c r="U41809"/>
      <c r="X41809" s="60"/>
    </row>
    <row r="41810" spans="7:24" ht="15" customHeight="1">
      <c r="G41810"/>
      <c r="I41810"/>
      <c r="N41810"/>
      <c r="O41810" s="24"/>
      <c r="P41810"/>
      <c r="Q41810" s="24"/>
      <c r="R41810"/>
      <c r="S41810"/>
      <c r="T41810"/>
      <c r="U41810"/>
      <c r="X41810" s="60"/>
    </row>
    <row r="41811" spans="7:24" ht="15" customHeight="1">
      <c r="G41811"/>
      <c r="I41811"/>
      <c r="N41811"/>
      <c r="O41811" s="24"/>
      <c r="P41811"/>
      <c r="Q41811" s="24"/>
      <c r="R41811"/>
      <c r="S41811"/>
      <c r="T41811"/>
      <c r="U41811"/>
      <c r="X41811" s="60"/>
    </row>
    <row r="41812" spans="7:24" ht="15" customHeight="1">
      <c r="G41812"/>
      <c r="I41812"/>
      <c r="N41812"/>
      <c r="O41812" s="24"/>
      <c r="P41812"/>
      <c r="Q41812" s="24"/>
      <c r="R41812"/>
      <c r="S41812"/>
      <c r="T41812"/>
      <c r="U41812"/>
      <c r="X41812" s="60"/>
    </row>
    <row r="41813" spans="7:24" ht="15" customHeight="1">
      <c r="G41813"/>
      <c r="I41813"/>
      <c r="N41813"/>
      <c r="O41813" s="24"/>
      <c r="P41813"/>
      <c r="Q41813" s="24"/>
      <c r="R41813"/>
      <c r="S41813"/>
      <c r="T41813"/>
      <c r="U41813"/>
      <c r="X41813" s="60"/>
    </row>
    <row r="41814" spans="7:24" ht="15" customHeight="1">
      <c r="G41814"/>
      <c r="I41814"/>
      <c r="N41814"/>
      <c r="O41814" s="24"/>
      <c r="P41814"/>
      <c r="Q41814" s="24"/>
      <c r="R41814"/>
      <c r="S41814"/>
      <c r="T41814"/>
      <c r="U41814"/>
      <c r="X41814" s="60"/>
    </row>
    <row r="41815" spans="7:24" ht="15" customHeight="1">
      <c r="G41815"/>
      <c r="I41815"/>
      <c r="N41815"/>
      <c r="O41815" s="24"/>
      <c r="P41815"/>
      <c r="Q41815" s="24"/>
      <c r="R41815"/>
      <c r="S41815"/>
      <c r="T41815"/>
      <c r="U41815"/>
      <c r="X41815" s="60"/>
    </row>
    <row r="41816" spans="7:24" ht="15" customHeight="1">
      <c r="G41816"/>
      <c r="I41816"/>
      <c r="N41816"/>
      <c r="O41816" s="24"/>
      <c r="P41816"/>
      <c r="Q41816" s="24"/>
      <c r="R41816"/>
      <c r="S41816"/>
      <c r="T41816"/>
      <c r="U41816"/>
      <c r="X41816" s="60"/>
    </row>
    <row r="41817" spans="7:24" ht="15" customHeight="1">
      <c r="G41817"/>
      <c r="I41817"/>
      <c r="N41817"/>
      <c r="O41817" s="24"/>
      <c r="P41817"/>
      <c r="Q41817" s="24"/>
      <c r="R41817"/>
      <c r="S41817"/>
      <c r="T41817"/>
      <c r="U41817"/>
      <c r="X41817" s="60"/>
    </row>
    <row r="41818" spans="7:24" ht="15" customHeight="1">
      <c r="G41818"/>
      <c r="I41818"/>
      <c r="N41818"/>
      <c r="O41818" s="24"/>
      <c r="P41818"/>
      <c r="Q41818" s="24"/>
      <c r="R41818"/>
      <c r="S41818"/>
      <c r="T41818"/>
      <c r="U41818"/>
      <c r="X41818" s="60"/>
    </row>
    <row r="41819" spans="7:24" ht="15" customHeight="1">
      <c r="G41819"/>
      <c r="I41819"/>
      <c r="N41819"/>
      <c r="O41819" s="24"/>
      <c r="P41819"/>
      <c r="Q41819" s="24"/>
      <c r="R41819"/>
      <c r="S41819"/>
      <c r="T41819"/>
      <c r="U41819"/>
      <c r="X41819" s="60"/>
    </row>
    <row r="41820" spans="7:24" ht="15" customHeight="1">
      <c r="G41820"/>
      <c r="I41820"/>
      <c r="N41820"/>
      <c r="O41820" s="24"/>
      <c r="P41820"/>
      <c r="Q41820" s="24"/>
      <c r="R41820"/>
      <c r="S41820"/>
      <c r="T41820"/>
      <c r="U41820"/>
      <c r="X41820" s="60"/>
    </row>
    <row r="41821" spans="7:24" ht="15" customHeight="1">
      <c r="G41821"/>
      <c r="I41821"/>
      <c r="N41821"/>
      <c r="O41821" s="24"/>
      <c r="P41821"/>
      <c r="Q41821" s="24"/>
      <c r="R41821"/>
      <c r="S41821"/>
      <c r="T41821"/>
      <c r="U41821"/>
      <c r="X41821" s="60"/>
    </row>
    <row r="41822" spans="7:24" ht="15" customHeight="1">
      <c r="G41822"/>
      <c r="I41822"/>
      <c r="N41822"/>
      <c r="O41822" s="24"/>
      <c r="P41822"/>
      <c r="Q41822" s="24"/>
      <c r="R41822"/>
      <c r="S41822"/>
      <c r="T41822"/>
      <c r="U41822"/>
      <c r="X41822" s="60"/>
    </row>
    <row r="41823" spans="7:24" ht="15" customHeight="1">
      <c r="G41823"/>
      <c r="I41823"/>
      <c r="N41823"/>
      <c r="O41823" s="24"/>
      <c r="P41823"/>
      <c r="Q41823" s="24"/>
      <c r="R41823"/>
      <c r="S41823"/>
      <c r="T41823"/>
      <c r="U41823"/>
      <c r="X41823" s="60"/>
    </row>
    <row r="41824" spans="7:24" ht="15" customHeight="1">
      <c r="G41824"/>
      <c r="I41824"/>
      <c r="N41824"/>
      <c r="O41824" s="24"/>
      <c r="P41824"/>
      <c r="Q41824" s="24"/>
      <c r="R41824"/>
      <c r="S41824"/>
      <c r="T41824"/>
      <c r="U41824"/>
      <c r="X41824" s="60"/>
    </row>
    <row r="41825" spans="7:24" ht="15" customHeight="1">
      <c r="G41825"/>
      <c r="I41825"/>
      <c r="N41825"/>
      <c r="O41825" s="24"/>
      <c r="P41825"/>
      <c r="Q41825" s="24"/>
      <c r="R41825"/>
      <c r="S41825"/>
      <c r="T41825"/>
      <c r="U41825"/>
      <c r="X41825" s="60"/>
    </row>
    <row r="41826" spans="7:24" ht="15" customHeight="1">
      <c r="G41826"/>
      <c r="I41826"/>
      <c r="N41826"/>
      <c r="O41826" s="24"/>
      <c r="P41826"/>
      <c r="Q41826" s="24"/>
      <c r="R41826"/>
      <c r="S41826"/>
      <c r="T41826"/>
      <c r="U41826"/>
      <c r="X41826" s="60"/>
    </row>
    <row r="41827" spans="7:24" ht="15" customHeight="1">
      <c r="G41827"/>
      <c r="I41827"/>
      <c r="N41827"/>
      <c r="O41827" s="24"/>
      <c r="P41827"/>
      <c r="Q41827" s="24"/>
      <c r="R41827"/>
      <c r="S41827"/>
      <c r="T41827"/>
      <c r="U41827"/>
      <c r="X41827" s="60"/>
    </row>
    <row r="41828" spans="7:24" ht="15" customHeight="1">
      <c r="G41828"/>
      <c r="I41828"/>
      <c r="N41828"/>
      <c r="O41828" s="24"/>
      <c r="P41828"/>
      <c r="Q41828" s="24"/>
      <c r="R41828"/>
      <c r="S41828"/>
      <c r="T41828"/>
      <c r="U41828"/>
      <c r="X41828" s="60"/>
    </row>
    <row r="41829" spans="7:24" ht="15" customHeight="1">
      <c r="G41829"/>
      <c r="I41829"/>
      <c r="N41829"/>
      <c r="O41829" s="24"/>
      <c r="P41829"/>
      <c r="Q41829" s="24"/>
      <c r="R41829"/>
      <c r="S41829"/>
      <c r="T41829"/>
      <c r="U41829"/>
      <c r="X41829" s="60"/>
    </row>
    <row r="41830" spans="7:24" ht="15" customHeight="1">
      <c r="G41830"/>
      <c r="I41830"/>
      <c r="N41830"/>
      <c r="O41830" s="24"/>
      <c r="P41830"/>
      <c r="Q41830" s="24"/>
      <c r="R41830"/>
      <c r="S41830"/>
      <c r="T41830"/>
      <c r="U41830"/>
      <c r="X41830" s="60"/>
    </row>
    <row r="41831" spans="7:24" ht="15" customHeight="1">
      <c r="G41831"/>
      <c r="I41831"/>
      <c r="N41831"/>
      <c r="O41831" s="24"/>
      <c r="P41831"/>
      <c r="Q41831" s="24"/>
      <c r="R41831"/>
      <c r="S41831"/>
      <c r="T41831"/>
      <c r="U41831"/>
      <c r="X41831" s="60"/>
    </row>
    <row r="41832" spans="7:24" ht="15" customHeight="1">
      <c r="G41832"/>
      <c r="I41832"/>
      <c r="N41832"/>
      <c r="O41832" s="24"/>
      <c r="P41832"/>
      <c r="Q41832" s="24"/>
      <c r="R41832"/>
      <c r="S41832"/>
      <c r="T41832"/>
      <c r="U41832"/>
      <c r="X41832" s="60"/>
    </row>
    <row r="41833" spans="7:24" ht="15" customHeight="1">
      <c r="G41833"/>
      <c r="I41833"/>
      <c r="N41833"/>
      <c r="O41833" s="24"/>
      <c r="P41833"/>
      <c r="Q41833" s="24"/>
      <c r="R41833"/>
      <c r="S41833"/>
      <c r="T41833"/>
      <c r="U41833"/>
      <c r="X41833" s="60"/>
    </row>
    <row r="41834" spans="7:24" ht="15" customHeight="1">
      <c r="G41834"/>
      <c r="I41834"/>
      <c r="N41834"/>
      <c r="O41834" s="24"/>
      <c r="P41834"/>
      <c r="Q41834" s="24"/>
      <c r="R41834"/>
      <c r="S41834"/>
      <c r="T41834"/>
      <c r="U41834"/>
      <c r="X41834" s="60"/>
    </row>
    <row r="41835" spans="7:24" ht="15" customHeight="1">
      <c r="G41835"/>
      <c r="I41835"/>
      <c r="N41835"/>
      <c r="O41835" s="24"/>
      <c r="P41835"/>
      <c r="Q41835" s="24"/>
      <c r="R41835"/>
      <c r="S41835"/>
      <c r="T41835"/>
      <c r="U41835"/>
      <c r="X41835" s="60"/>
    </row>
    <row r="41836" spans="7:24" ht="15" customHeight="1">
      <c r="G41836"/>
      <c r="I41836"/>
      <c r="N41836"/>
      <c r="O41836" s="24"/>
      <c r="P41836"/>
      <c r="Q41836" s="24"/>
      <c r="R41836"/>
      <c r="S41836"/>
      <c r="T41836"/>
      <c r="U41836"/>
      <c r="X41836" s="60"/>
    </row>
    <row r="41837" spans="7:24" ht="15" customHeight="1">
      <c r="G41837"/>
      <c r="I41837"/>
      <c r="N41837"/>
      <c r="O41837" s="24"/>
      <c r="P41837"/>
      <c r="Q41837" s="24"/>
      <c r="R41837"/>
      <c r="S41837"/>
      <c r="T41837"/>
      <c r="U41837"/>
      <c r="X41837" s="60"/>
    </row>
    <row r="41838" spans="7:24" ht="15" customHeight="1">
      <c r="G41838"/>
      <c r="I41838"/>
      <c r="N41838"/>
      <c r="O41838" s="24"/>
      <c r="P41838"/>
      <c r="Q41838" s="24"/>
      <c r="R41838"/>
      <c r="S41838"/>
      <c r="T41838"/>
      <c r="U41838"/>
      <c r="X41838" s="60"/>
    </row>
    <row r="41839" spans="7:24" ht="15" customHeight="1">
      <c r="G41839"/>
      <c r="I41839"/>
      <c r="N41839"/>
      <c r="O41839" s="24"/>
      <c r="P41839"/>
      <c r="Q41839" s="24"/>
      <c r="R41839"/>
      <c r="S41839"/>
      <c r="T41839"/>
      <c r="U41839"/>
      <c r="X41839" s="60"/>
    </row>
    <row r="41840" spans="7:24" ht="15" customHeight="1">
      <c r="G41840"/>
      <c r="I41840"/>
      <c r="N41840"/>
      <c r="O41840" s="24"/>
      <c r="P41840"/>
      <c r="Q41840" s="24"/>
      <c r="R41840"/>
      <c r="S41840"/>
      <c r="T41840"/>
      <c r="U41840"/>
      <c r="X41840" s="60"/>
    </row>
    <row r="41841" spans="7:24" ht="15" customHeight="1">
      <c r="G41841"/>
      <c r="I41841"/>
      <c r="N41841"/>
      <c r="O41841" s="24"/>
      <c r="P41841"/>
      <c r="Q41841" s="24"/>
      <c r="R41841"/>
      <c r="S41841"/>
      <c r="T41841"/>
      <c r="U41841"/>
      <c r="X41841" s="60"/>
    </row>
    <row r="41842" spans="7:24" ht="15" customHeight="1">
      <c r="G41842"/>
      <c r="I41842"/>
      <c r="N41842"/>
      <c r="O41842" s="24"/>
      <c r="P41842"/>
      <c r="Q41842" s="24"/>
      <c r="R41842"/>
      <c r="S41842"/>
      <c r="T41842"/>
      <c r="U41842"/>
      <c r="X41842" s="60"/>
    </row>
    <row r="41843" spans="7:24" ht="15" customHeight="1">
      <c r="G41843"/>
      <c r="I41843"/>
      <c r="N41843"/>
      <c r="O41843" s="24"/>
      <c r="P41843"/>
      <c r="Q41843" s="24"/>
      <c r="R41843"/>
      <c r="S41843"/>
      <c r="T41843"/>
      <c r="U41843"/>
      <c r="X41843" s="60"/>
    </row>
    <row r="41844" spans="7:24" ht="15" customHeight="1">
      <c r="G41844"/>
      <c r="I41844"/>
      <c r="N41844"/>
      <c r="O41844" s="24"/>
      <c r="P41844"/>
      <c r="Q41844" s="24"/>
      <c r="R41844"/>
      <c r="S41844"/>
      <c r="T41844"/>
      <c r="U41844"/>
      <c r="X41844" s="60"/>
    </row>
    <row r="41845" spans="7:24" ht="15" customHeight="1">
      <c r="G41845"/>
      <c r="I41845"/>
      <c r="N41845"/>
      <c r="O41845" s="24"/>
      <c r="P41845"/>
      <c r="Q41845" s="24"/>
      <c r="R41845"/>
      <c r="S41845"/>
      <c r="T41845"/>
      <c r="U41845"/>
      <c r="X41845" s="60"/>
    </row>
    <row r="41846" spans="7:24" ht="15" customHeight="1">
      <c r="G41846"/>
      <c r="I41846"/>
      <c r="N41846"/>
      <c r="O41846" s="24"/>
      <c r="P41846"/>
      <c r="Q41846" s="24"/>
      <c r="R41846"/>
      <c r="S41846"/>
      <c r="T41846"/>
      <c r="U41846"/>
      <c r="X41846" s="60"/>
    </row>
    <row r="41847" spans="7:24" ht="15" customHeight="1">
      <c r="G41847"/>
      <c r="I41847"/>
      <c r="N41847"/>
      <c r="O41847" s="24"/>
      <c r="P41847"/>
      <c r="Q41847" s="24"/>
      <c r="R41847"/>
      <c r="S41847"/>
      <c r="T41847"/>
      <c r="U41847"/>
      <c r="X41847" s="60"/>
    </row>
    <row r="41848" spans="7:24" ht="15" customHeight="1">
      <c r="G41848"/>
      <c r="I41848"/>
      <c r="N41848"/>
      <c r="O41848" s="24"/>
      <c r="P41848"/>
      <c r="Q41848" s="24"/>
      <c r="R41848"/>
      <c r="S41848"/>
      <c r="T41848"/>
      <c r="U41848"/>
      <c r="X41848" s="60"/>
    </row>
    <row r="41849" spans="7:24" ht="15" customHeight="1">
      <c r="G41849"/>
      <c r="I41849"/>
      <c r="N41849"/>
      <c r="O41849" s="24"/>
      <c r="P41849"/>
      <c r="Q41849" s="24"/>
      <c r="R41849"/>
      <c r="S41849"/>
      <c r="T41849"/>
      <c r="U41849"/>
      <c r="X41849" s="60"/>
    </row>
    <row r="41850" spans="7:24" ht="15" customHeight="1">
      <c r="G41850"/>
      <c r="I41850"/>
      <c r="N41850"/>
      <c r="O41850" s="24"/>
      <c r="P41850"/>
      <c r="Q41850" s="24"/>
      <c r="R41850"/>
      <c r="S41850"/>
      <c r="T41850"/>
      <c r="U41850"/>
      <c r="X41850" s="60"/>
    </row>
    <row r="41851" spans="7:24" ht="15" customHeight="1">
      <c r="G41851"/>
      <c r="I41851"/>
      <c r="N41851"/>
      <c r="O41851" s="24"/>
      <c r="P41851"/>
      <c r="Q41851" s="24"/>
      <c r="R41851"/>
      <c r="S41851"/>
      <c r="T41851"/>
      <c r="U41851"/>
      <c r="X41851" s="60"/>
    </row>
    <row r="41852" spans="7:24" ht="15" customHeight="1">
      <c r="G41852"/>
      <c r="I41852"/>
      <c r="N41852"/>
      <c r="O41852" s="24"/>
      <c r="P41852"/>
      <c r="Q41852" s="24"/>
      <c r="R41852"/>
      <c r="S41852"/>
      <c r="T41852"/>
      <c r="U41852"/>
      <c r="X41852" s="60"/>
    </row>
    <row r="41853" spans="7:24" ht="15" customHeight="1">
      <c r="G41853"/>
      <c r="I41853"/>
      <c r="N41853"/>
      <c r="O41853" s="24"/>
      <c r="P41853"/>
      <c r="Q41853" s="24"/>
      <c r="R41853"/>
      <c r="S41853"/>
      <c r="T41853"/>
      <c r="U41853"/>
      <c r="X41853" s="60"/>
    </row>
    <row r="41854" spans="7:24" ht="15" customHeight="1">
      <c r="G41854"/>
      <c r="I41854"/>
      <c r="N41854"/>
      <c r="O41854" s="24"/>
      <c r="P41854"/>
      <c r="Q41854" s="24"/>
      <c r="R41854"/>
      <c r="S41854"/>
      <c r="T41854"/>
      <c r="U41854"/>
      <c r="X41854" s="60"/>
    </row>
    <row r="41855" spans="7:24" ht="15" customHeight="1">
      <c r="G41855"/>
      <c r="I41855"/>
      <c r="N41855"/>
      <c r="O41855" s="24"/>
      <c r="P41855"/>
      <c r="Q41855" s="24"/>
      <c r="R41855"/>
      <c r="S41855"/>
      <c r="T41855"/>
      <c r="U41855"/>
      <c r="X41855" s="60"/>
    </row>
    <row r="41856" spans="7:24" ht="15" customHeight="1">
      <c r="G41856"/>
      <c r="I41856"/>
      <c r="N41856"/>
      <c r="O41856" s="24"/>
      <c r="P41856"/>
      <c r="Q41856" s="24"/>
      <c r="R41856"/>
      <c r="S41856"/>
      <c r="T41856"/>
      <c r="U41856"/>
      <c r="X41856" s="60"/>
    </row>
    <row r="41857" spans="7:24" ht="15" customHeight="1">
      <c r="G41857"/>
      <c r="I41857"/>
      <c r="N41857"/>
      <c r="O41857" s="24"/>
      <c r="P41857"/>
      <c r="Q41857" s="24"/>
      <c r="R41857"/>
      <c r="S41857"/>
      <c r="T41857"/>
      <c r="U41857"/>
      <c r="X41857" s="60"/>
    </row>
    <row r="41858" spans="7:24" ht="15" customHeight="1">
      <c r="G41858"/>
      <c r="I41858"/>
      <c r="N41858"/>
      <c r="O41858" s="24"/>
      <c r="P41858"/>
      <c r="Q41858" s="24"/>
      <c r="R41858"/>
      <c r="S41858"/>
      <c r="T41858"/>
      <c r="U41858"/>
      <c r="X41858" s="60"/>
    </row>
    <row r="41859" spans="7:24" ht="15" customHeight="1">
      <c r="G41859"/>
      <c r="I41859"/>
      <c r="N41859"/>
      <c r="O41859" s="24"/>
      <c r="P41859"/>
      <c r="Q41859" s="24"/>
      <c r="R41859"/>
      <c r="S41859"/>
      <c r="T41859"/>
      <c r="U41859"/>
      <c r="X41859" s="60"/>
    </row>
    <row r="41860" spans="7:24" ht="15" customHeight="1">
      <c r="G41860"/>
      <c r="I41860"/>
      <c r="N41860"/>
      <c r="O41860" s="24"/>
      <c r="P41860"/>
      <c r="Q41860" s="24"/>
      <c r="R41860"/>
      <c r="S41860"/>
      <c r="T41860"/>
      <c r="U41860"/>
      <c r="X41860" s="60"/>
    </row>
    <row r="41861" spans="7:24" ht="15" customHeight="1">
      <c r="G41861"/>
      <c r="I41861"/>
      <c r="N41861"/>
      <c r="O41861" s="24"/>
      <c r="P41861"/>
      <c r="Q41861" s="24"/>
      <c r="R41861"/>
      <c r="S41861"/>
      <c r="T41861"/>
      <c r="U41861"/>
      <c r="X41861" s="60"/>
    </row>
    <row r="41862" spans="7:24" ht="15" customHeight="1">
      <c r="G41862"/>
      <c r="I41862"/>
      <c r="N41862"/>
      <c r="O41862" s="24"/>
      <c r="P41862"/>
      <c r="Q41862" s="24"/>
      <c r="R41862"/>
      <c r="S41862"/>
      <c r="T41862"/>
      <c r="U41862"/>
      <c r="X41862" s="60"/>
    </row>
    <row r="41863" spans="7:24" ht="15" customHeight="1">
      <c r="G41863"/>
      <c r="I41863"/>
      <c r="N41863"/>
      <c r="O41863" s="24"/>
      <c r="P41863"/>
      <c r="Q41863" s="24"/>
      <c r="R41863"/>
      <c r="S41863"/>
      <c r="T41863"/>
      <c r="U41863"/>
      <c r="X41863" s="60"/>
    </row>
    <row r="41864" spans="7:24" ht="15" customHeight="1">
      <c r="G41864"/>
      <c r="I41864"/>
      <c r="N41864"/>
      <c r="O41864" s="24"/>
      <c r="P41864"/>
      <c r="Q41864" s="24"/>
      <c r="R41864"/>
      <c r="S41864"/>
      <c r="T41864"/>
      <c r="U41864"/>
      <c r="X41864" s="60"/>
    </row>
    <row r="41865" spans="7:24" ht="15" customHeight="1">
      <c r="G41865"/>
      <c r="I41865"/>
      <c r="N41865"/>
      <c r="O41865" s="24"/>
      <c r="P41865"/>
      <c r="Q41865" s="24"/>
      <c r="R41865"/>
      <c r="S41865"/>
      <c r="T41865"/>
      <c r="U41865"/>
      <c r="X41865" s="60"/>
    </row>
    <row r="41866" spans="7:24" ht="15" customHeight="1">
      <c r="G41866"/>
      <c r="I41866"/>
      <c r="N41866"/>
      <c r="O41866" s="24"/>
      <c r="P41866"/>
      <c r="Q41866" s="24"/>
      <c r="R41866"/>
      <c r="S41866"/>
      <c r="T41866"/>
      <c r="U41866"/>
      <c r="X41866" s="60"/>
    </row>
    <row r="41867" spans="7:24" ht="15" customHeight="1">
      <c r="G41867"/>
      <c r="I41867"/>
      <c r="N41867"/>
      <c r="O41867" s="24"/>
      <c r="P41867"/>
      <c r="Q41867" s="24"/>
      <c r="R41867"/>
      <c r="S41867"/>
      <c r="T41867"/>
      <c r="U41867"/>
      <c r="X41867" s="60"/>
    </row>
    <row r="41868" spans="7:24" ht="15" customHeight="1">
      <c r="G41868"/>
      <c r="I41868"/>
      <c r="N41868"/>
      <c r="O41868" s="24"/>
      <c r="P41868"/>
      <c r="Q41868" s="24"/>
      <c r="R41868"/>
      <c r="S41868"/>
      <c r="T41868"/>
      <c r="U41868"/>
      <c r="X41868" s="60"/>
    </row>
    <row r="41869" spans="7:24" ht="15" customHeight="1">
      <c r="G41869"/>
      <c r="I41869"/>
      <c r="N41869"/>
      <c r="O41869" s="24"/>
      <c r="P41869"/>
      <c r="Q41869" s="24"/>
      <c r="R41869"/>
      <c r="S41869"/>
      <c r="T41869"/>
      <c r="U41869"/>
      <c r="X41869" s="60"/>
    </row>
    <row r="41870" spans="7:24" ht="15" customHeight="1">
      <c r="G41870"/>
      <c r="I41870"/>
      <c r="N41870"/>
      <c r="O41870" s="24"/>
      <c r="P41870"/>
      <c r="Q41870" s="24"/>
      <c r="R41870"/>
      <c r="S41870"/>
      <c r="T41870"/>
      <c r="U41870"/>
      <c r="X41870" s="60"/>
    </row>
    <row r="41871" spans="7:24" ht="15" customHeight="1">
      <c r="G41871"/>
      <c r="I41871"/>
      <c r="N41871"/>
      <c r="O41871" s="24"/>
      <c r="P41871"/>
      <c r="Q41871" s="24"/>
      <c r="R41871"/>
      <c r="S41871"/>
      <c r="T41871"/>
      <c r="U41871"/>
      <c r="X41871" s="60"/>
    </row>
    <row r="41872" spans="7:24" ht="15" customHeight="1">
      <c r="G41872"/>
      <c r="I41872"/>
      <c r="N41872"/>
      <c r="O41872" s="24"/>
      <c r="P41872"/>
      <c r="Q41872" s="24"/>
      <c r="R41872"/>
      <c r="S41872"/>
      <c r="T41872"/>
      <c r="U41872"/>
      <c r="X41872" s="60"/>
    </row>
    <row r="41873" spans="7:24" ht="15" customHeight="1">
      <c r="G41873"/>
      <c r="I41873"/>
      <c r="N41873"/>
      <c r="O41873" s="24"/>
      <c r="P41873"/>
      <c r="Q41873" s="24"/>
      <c r="R41873"/>
      <c r="S41873"/>
      <c r="T41873"/>
      <c r="U41873"/>
      <c r="X41873" s="60"/>
    </row>
    <row r="41874" spans="7:24" ht="15" customHeight="1">
      <c r="G41874"/>
      <c r="I41874"/>
      <c r="N41874"/>
      <c r="O41874" s="24"/>
      <c r="P41874"/>
      <c r="Q41874" s="24"/>
      <c r="R41874"/>
      <c r="S41874"/>
      <c r="T41874"/>
      <c r="U41874"/>
      <c r="X41874" s="60"/>
    </row>
    <row r="41875" spans="7:24" ht="15" customHeight="1">
      <c r="G41875"/>
      <c r="I41875"/>
      <c r="N41875"/>
      <c r="O41875" s="24"/>
      <c r="P41875"/>
      <c r="Q41875" s="24"/>
      <c r="R41875"/>
      <c r="S41875"/>
      <c r="T41875"/>
      <c r="U41875"/>
      <c r="X41875" s="60"/>
    </row>
    <row r="41876" spans="7:24" ht="15" customHeight="1">
      <c r="G41876"/>
      <c r="I41876"/>
      <c r="N41876"/>
      <c r="O41876" s="24"/>
      <c r="P41876"/>
      <c r="Q41876" s="24"/>
      <c r="R41876"/>
      <c r="S41876"/>
      <c r="T41876"/>
      <c r="U41876"/>
      <c r="X41876" s="60"/>
    </row>
    <row r="41877" spans="7:24" ht="15" customHeight="1">
      <c r="G41877"/>
      <c r="I41877"/>
      <c r="N41877"/>
      <c r="O41877" s="24"/>
      <c r="P41877"/>
      <c r="Q41877" s="24"/>
      <c r="R41877"/>
      <c r="S41877"/>
      <c r="T41877"/>
      <c r="U41877"/>
      <c r="X41877" s="60"/>
    </row>
    <row r="41878" spans="7:24" ht="15" customHeight="1">
      <c r="G41878"/>
      <c r="I41878"/>
      <c r="N41878"/>
      <c r="O41878" s="24"/>
      <c r="P41878"/>
      <c r="Q41878" s="24"/>
      <c r="R41878"/>
      <c r="S41878"/>
      <c r="T41878"/>
      <c r="U41878"/>
      <c r="X41878" s="60"/>
    </row>
    <row r="41879" spans="7:24" ht="15" customHeight="1">
      <c r="G41879"/>
      <c r="I41879"/>
      <c r="N41879"/>
      <c r="O41879" s="24"/>
      <c r="P41879"/>
      <c r="Q41879" s="24"/>
      <c r="R41879"/>
      <c r="S41879"/>
      <c r="T41879"/>
      <c r="U41879"/>
      <c r="X41879" s="60"/>
    </row>
    <row r="41880" spans="7:24" ht="15" customHeight="1">
      <c r="G41880"/>
      <c r="I41880"/>
      <c r="N41880"/>
      <c r="O41880" s="24"/>
      <c r="P41880"/>
      <c r="Q41880" s="24"/>
      <c r="R41880"/>
      <c r="S41880"/>
      <c r="T41880"/>
      <c r="U41880"/>
      <c r="X41880" s="60"/>
    </row>
    <row r="41881" spans="7:24" ht="15" customHeight="1">
      <c r="G41881"/>
      <c r="I41881"/>
      <c r="N41881"/>
      <c r="O41881" s="24"/>
      <c r="P41881"/>
      <c r="Q41881" s="24"/>
      <c r="R41881"/>
      <c r="S41881"/>
      <c r="T41881"/>
      <c r="U41881"/>
      <c r="X41881" s="60"/>
    </row>
    <row r="41882" spans="7:24" ht="15" customHeight="1">
      <c r="G41882"/>
      <c r="I41882"/>
      <c r="N41882"/>
      <c r="O41882" s="24"/>
      <c r="P41882"/>
      <c r="Q41882" s="24"/>
      <c r="R41882"/>
      <c r="S41882"/>
      <c r="T41882"/>
      <c r="U41882"/>
      <c r="X41882" s="60"/>
    </row>
    <row r="41883" spans="7:24" ht="15" customHeight="1">
      <c r="G41883"/>
      <c r="I41883"/>
      <c r="N41883"/>
      <c r="O41883" s="24"/>
      <c r="P41883"/>
      <c r="Q41883" s="24"/>
      <c r="R41883"/>
      <c r="S41883"/>
      <c r="T41883"/>
      <c r="U41883"/>
      <c r="X41883" s="60"/>
    </row>
    <row r="41884" spans="7:24" ht="15" customHeight="1">
      <c r="G41884"/>
      <c r="I41884"/>
      <c r="N41884"/>
      <c r="O41884" s="24"/>
      <c r="P41884"/>
      <c r="Q41884" s="24"/>
      <c r="R41884"/>
      <c r="S41884"/>
      <c r="T41884"/>
      <c r="U41884"/>
      <c r="X41884" s="60"/>
    </row>
    <row r="41885" spans="7:24" ht="15" customHeight="1">
      <c r="G41885"/>
      <c r="I41885"/>
      <c r="N41885"/>
      <c r="O41885" s="24"/>
      <c r="P41885"/>
      <c r="Q41885" s="24"/>
      <c r="R41885"/>
      <c r="S41885"/>
      <c r="T41885"/>
      <c r="U41885"/>
      <c r="X41885" s="60"/>
    </row>
    <row r="41886" spans="7:24" ht="15" customHeight="1">
      <c r="G41886"/>
      <c r="I41886"/>
      <c r="N41886"/>
      <c r="O41886" s="24"/>
      <c r="P41886"/>
      <c r="Q41886" s="24"/>
      <c r="R41886"/>
      <c r="S41886"/>
      <c r="T41886"/>
      <c r="U41886"/>
      <c r="X41886" s="60"/>
    </row>
    <row r="41887" spans="7:24" ht="15" customHeight="1">
      <c r="G41887"/>
      <c r="I41887"/>
      <c r="N41887"/>
      <c r="O41887" s="24"/>
      <c r="P41887"/>
      <c r="Q41887" s="24"/>
      <c r="R41887"/>
      <c r="S41887"/>
      <c r="T41887"/>
      <c r="U41887"/>
      <c r="X41887" s="60"/>
    </row>
    <row r="41888" spans="7:24" ht="15" customHeight="1">
      <c r="G41888"/>
      <c r="I41888"/>
      <c r="N41888"/>
      <c r="O41888" s="24"/>
      <c r="P41888"/>
      <c r="Q41888" s="24"/>
      <c r="R41888"/>
      <c r="S41888"/>
      <c r="T41888"/>
      <c r="U41888"/>
      <c r="X41888" s="60"/>
    </row>
    <row r="41889" spans="7:24" ht="15" customHeight="1">
      <c r="G41889"/>
      <c r="I41889"/>
      <c r="N41889"/>
      <c r="O41889" s="24"/>
      <c r="P41889"/>
      <c r="Q41889" s="24"/>
      <c r="R41889"/>
      <c r="S41889"/>
      <c r="T41889"/>
      <c r="U41889"/>
      <c r="X41889" s="60"/>
    </row>
    <row r="41890" spans="7:24" ht="15" customHeight="1">
      <c r="G41890"/>
      <c r="I41890"/>
      <c r="N41890"/>
      <c r="O41890" s="24"/>
      <c r="P41890"/>
      <c r="Q41890" s="24"/>
      <c r="R41890"/>
      <c r="S41890"/>
      <c r="T41890"/>
      <c r="U41890"/>
      <c r="X41890" s="60"/>
    </row>
    <row r="41891" spans="7:24" ht="15" customHeight="1">
      <c r="G41891"/>
      <c r="I41891"/>
      <c r="N41891"/>
      <c r="O41891" s="24"/>
      <c r="P41891"/>
      <c r="Q41891" s="24"/>
      <c r="R41891"/>
      <c r="S41891"/>
      <c r="T41891"/>
      <c r="U41891"/>
      <c r="X41891" s="60"/>
    </row>
    <row r="41892" spans="7:24" ht="15" customHeight="1">
      <c r="G41892"/>
      <c r="I41892"/>
      <c r="N41892"/>
      <c r="O41892" s="24"/>
      <c r="P41892"/>
      <c r="Q41892" s="24"/>
      <c r="R41892"/>
      <c r="S41892"/>
      <c r="T41892"/>
      <c r="U41892"/>
      <c r="X41892" s="60"/>
    </row>
    <row r="41893" spans="7:24" ht="15" customHeight="1">
      <c r="G41893"/>
      <c r="I41893"/>
      <c r="N41893"/>
      <c r="O41893" s="24"/>
      <c r="P41893"/>
      <c r="Q41893" s="24"/>
      <c r="R41893"/>
      <c r="S41893"/>
      <c r="T41893"/>
      <c r="U41893"/>
      <c r="X41893" s="60"/>
    </row>
    <row r="41894" spans="7:24" ht="15" customHeight="1">
      <c r="G41894"/>
      <c r="I41894"/>
      <c r="N41894"/>
      <c r="O41894" s="24"/>
      <c r="P41894"/>
      <c r="Q41894" s="24"/>
      <c r="R41894"/>
      <c r="S41894"/>
      <c r="T41894"/>
      <c r="U41894"/>
      <c r="X41894" s="60"/>
    </row>
    <row r="41895" spans="7:24" ht="15" customHeight="1">
      <c r="G41895"/>
      <c r="I41895"/>
      <c r="N41895"/>
      <c r="O41895" s="24"/>
      <c r="P41895"/>
      <c r="Q41895" s="24"/>
      <c r="R41895"/>
      <c r="S41895"/>
      <c r="T41895"/>
      <c r="U41895"/>
      <c r="X41895" s="60"/>
    </row>
    <row r="41896" spans="7:24" ht="15" customHeight="1">
      <c r="G41896"/>
      <c r="I41896"/>
      <c r="N41896"/>
      <c r="O41896" s="24"/>
      <c r="P41896"/>
      <c r="Q41896" s="24"/>
      <c r="R41896"/>
      <c r="S41896"/>
      <c r="T41896"/>
      <c r="U41896"/>
      <c r="X41896" s="60"/>
    </row>
    <row r="41897" spans="7:24" ht="15" customHeight="1">
      <c r="G41897"/>
      <c r="I41897"/>
      <c r="N41897"/>
      <c r="O41897" s="24"/>
      <c r="P41897"/>
      <c r="Q41897" s="24"/>
      <c r="R41897"/>
      <c r="S41897"/>
      <c r="T41897"/>
      <c r="U41897"/>
      <c r="X41897" s="60"/>
    </row>
    <row r="41898" spans="7:24" ht="15" customHeight="1">
      <c r="G41898"/>
      <c r="I41898"/>
      <c r="N41898"/>
      <c r="O41898" s="24"/>
      <c r="P41898"/>
      <c r="Q41898" s="24"/>
      <c r="R41898"/>
      <c r="S41898"/>
      <c r="T41898"/>
      <c r="U41898"/>
      <c r="X41898" s="60"/>
    </row>
    <row r="41899" spans="7:24" ht="15" customHeight="1">
      <c r="G41899"/>
      <c r="I41899"/>
      <c r="N41899"/>
      <c r="O41899" s="24"/>
      <c r="P41899"/>
      <c r="Q41899" s="24"/>
      <c r="R41899"/>
      <c r="S41899"/>
      <c r="T41899"/>
      <c r="U41899"/>
      <c r="X41899" s="60"/>
    </row>
    <row r="41900" spans="7:24" ht="15" customHeight="1">
      <c r="G41900"/>
      <c r="I41900"/>
      <c r="N41900"/>
      <c r="O41900" s="24"/>
      <c r="P41900"/>
      <c r="Q41900" s="24"/>
      <c r="R41900"/>
      <c r="S41900"/>
      <c r="T41900"/>
      <c r="U41900"/>
      <c r="X41900" s="60"/>
    </row>
    <row r="41901" spans="7:24" ht="15" customHeight="1">
      <c r="G41901"/>
      <c r="I41901"/>
      <c r="N41901"/>
      <c r="O41901" s="24"/>
      <c r="P41901"/>
      <c r="Q41901" s="24"/>
      <c r="R41901"/>
      <c r="S41901"/>
      <c r="T41901"/>
      <c r="U41901"/>
      <c r="X41901" s="60"/>
    </row>
    <row r="41902" spans="7:24" ht="15" customHeight="1">
      <c r="G41902"/>
      <c r="I41902"/>
      <c r="N41902"/>
      <c r="O41902" s="24"/>
      <c r="P41902"/>
      <c r="Q41902" s="24"/>
      <c r="R41902"/>
      <c r="S41902"/>
      <c r="T41902"/>
      <c r="U41902"/>
      <c r="X41902" s="60"/>
    </row>
    <row r="41903" spans="7:24" ht="15" customHeight="1">
      <c r="G41903"/>
      <c r="I41903"/>
      <c r="N41903"/>
      <c r="O41903" s="24"/>
      <c r="P41903"/>
      <c r="Q41903" s="24"/>
      <c r="R41903"/>
      <c r="S41903"/>
      <c r="T41903"/>
      <c r="U41903"/>
      <c r="X41903" s="60"/>
    </row>
    <row r="41904" spans="7:24" ht="15" customHeight="1">
      <c r="G41904"/>
      <c r="I41904"/>
      <c r="N41904"/>
      <c r="O41904" s="24"/>
      <c r="P41904"/>
      <c r="Q41904" s="24"/>
      <c r="R41904"/>
      <c r="S41904"/>
      <c r="T41904"/>
      <c r="U41904"/>
      <c r="X41904" s="60"/>
    </row>
    <row r="41905" spans="7:24" ht="15" customHeight="1">
      <c r="G41905"/>
      <c r="I41905"/>
      <c r="N41905"/>
      <c r="O41905" s="24"/>
      <c r="P41905"/>
      <c r="Q41905" s="24"/>
      <c r="R41905"/>
      <c r="S41905"/>
      <c r="T41905"/>
      <c r="U41905"/>
      <c r="X41905" s="60"/>
    </row>
    <row r="41906" spans="7:24" ht="15" customHeight="1">
      <c r="G41906"/>
      <c r="I41906"/>
      <c r="N41906"/>
      <c r="O41906" s="24"/>
      <c r="P41906"/>
      <c r="Q41906" s="24"/>
      <c r="R41906"/>
      <c r="S41906"/>
      <c r="T41906"/>
      <c r="U41906"/>
      <c r="X41906" s="60"/>
    </row>
    <row r="41907" spans="7:24" ht="15" customHeight="1">
      <c r="G41907"/>
      <c r="I41907"/>
      <c r="N41907"/>
      <c r="O41907" s="24"/>
      <c r="P41907"/>
      <c r="Q41907" s="24"/>
      <c r="R41907"/>
      <c r="S41907"/>
      <c r="T41907"/>
      <c r="U41907"/>
      <c r="X41907" s="60"/>
    </row>
    <row r="41908" spans="7:24" ht="15" customHeight="1">
      <c r="G41908"/>
      <c r="I41908"/>
      <c r="N41908"/>
      <c r="O41908" s="24"/>
      <c r="P41908"/>
      <c r="Q41908" s="24"/>
      <c r="R41908"/>
      <c r="S41908"/>
      <c r="T41908"/>
      <c r="U41908"/>
      <c r="X41908" s="60"/>
    </row>
    <row r="41909" spans="7:24" ht="15" customHeight="1">
      <c r="G41909"/>
      <c r="I41909"/>
      <c r="N41909"/>
      <c r="O41909" s="24"/>
      <c r="P41909"/>
      <c r="Q41909" s="24"/>
      <c r="R41909"/>
      <c r="S41909"/>
      <c r="T41909"/>
      <c r="U41909"/>
      <c r="X41909" s="60"/>
    </row>
    <row r="41910" spans="7:24" ht="15" customHeight="1">
      <c r="G41910"/>
      <c r="I41910"/>
      <c r="N41910"/>
      <c r="O41910" s="24"/>
      <c r="P41910"/>
      <c r="Q41910" s="24"/>
      <c r="R41910"/>
      <c r="S41910"/>
      <c r="T41910"/>
      <c r="U41910"/>
      <c r="X41910" s="60"/>
    </row>
    <row r="41911" spans="7:24" ht="15" customHeight="1">
      <c r="G41911"/>
      <c r="I41911"/>
      <c r="N41911"/>
      <c r="O41911" s="24"/>
      <c r="P41911"/>
      <c r="Q41911" s="24"/>
      <c r="R41911"/>
      <c r="S41911"/>
      <c r="T41911"/>
      <c r="U41911"/>
      <c r="X41911" s="60"/>
    </row>
    <row r="41912" spans="7:24" ht="15" customHeight="1">
      <c r="G41912"/>
      <c r="I41912"/>
      <c r="N41912"/>
      <c r="O41912" s="24"/>
      <c r="P41912"/>
      <c r="Q41912" s="24"/>
      <c r="R41912"/>
      <c r="S41912"/>
      <c r="T41912"/>
      <c r="U41912"/>
      <c r="X41912" s="60"/>
    </row>
    <row r="41913" spans="7:24" ht="15" customHeight="1">
      <c r="G41913"/>
      <c r="I41913"/>
      <c r="N41913"/>
      <c r="O41913" s="24"/>
      <c r="P41913"/>
      <c r="Q41913" s="24"/>
      <c r="R41913"/>
      <c r="S41913"/>
      <c r="T41913"/>
      <c r="U41913"/>
      <c r="X41913" s="60"/>
    </row>
    <row r="41914" spans="7:24" ht="15" customHeight="1">
      <c r="G41914"/>
      <c r="I41914"/>
      <c r="N41914"/>
      <c r="O41914" s="24"/>
      <c r="P41914"/>
      <c r="Q41914" s="24"/>
      <c r="R41914"/>
      <c r="S41914"/>
      <c r="T41914"/>
      <c r="U41914"/>
      <c r="X41914" s="60"/>
    </row>
    <row r="41915" spans="7:24" ht="15" customHeight="1">
      <c r="G41915"/>
      <c r="I41915"/>
      <c r="N41915"/>
      <c r="O41915" s="24"/>
      <c r="P41915"/>
      <c r="Q41915" s="24"/>
      <c r="R41915"/>
      <c r="S41915"/>
      <c r="T41915"/>
      <c r="U41915"/>
      <c r="X41915" s="60"/>
    </row>
    <row r="41916" spans="7:24" ht="15" customHeight="1">
      <c r="G41916"/>
      <c r="I41916"/>
      <c r="N41916"/>
      <c r="O41916" s="24"/>
      <c r="P41916"/>
      <c r="Q41916" s="24"/>
      <c r="R41916"/>
      <c r="S41916"/>
      <c r="T41916"/>
      <c r="U41916"/>
      <c r="X41916" s="60"/>
    </row>
    <row r="41917" spans="7:24" ht="15" customHeight="1">
      <c r="G41917"/>
      <c r="I41917"/>
      <c r="N41917"/>
      <c r="O41917" s="24"/>
      <c r="P41917"/>
      <c r="Q41917" s="24"/>
      <c r="R41917"/>
      <c r="S41917"/>
      <c r="T41917"/>
      <c r="U41917"/>
      <c r="X41917" s="60"/>
    </row>
    <row r="41918" spans="7:24" ht="15" customHeight="1">
      <c r="G41918"/>
      <c r="I41918"/>
      <c r="N41918"/>
      <c r="O41918" s="24"/>
      <c r="P41918"/>
      <c r="Q41918" s="24"/>
      <c r="R41918"/>
      <c r="S41918"/>
      <c r="T41918"/>
      <c r="U41918"/>
      <c r="X41918" s="60"/>
    </row>
    <row r="41919" spans="7:24" ht="15" customHeight="1">
      <c r="G41919"/>
      <c r="I41919"/>
      <c r="N41919"/>
      <c r="O41919" s="24"/>
      <c r="P41919"/>
      <c r="Q41919" s="24"/>
      <c r="R41919"/>
      <c r="S41919"/>
      <c r="T41919"/>
      <c r="U41919"/>
      <c r="X41919" s="60"/>
    </row>
    <row r="41920" spans="7:24" ht="15" customHeight="1">
      <c r="G41920"/>
      <c r="I41920"/>
      <c r="N41920"/>
      <c r="O41920" s="24"/>
      <c r="P41920"/>
      <c r="Q41920" s="24"/>
      <c r="R41920"/>
      <c r="S41920"/>
      <c r="T41920"/>
      <c r="U41920"/>
      <c r="X41920" s="60"/>
    </row>
    <row r="41921" spans="7:24" ht="15" customHeight="1">
      <c r="G41921"/>
      <c r="I41921"/>
      <c r="N41921"/>
      <c r="O41921" s="24"/>
      <c r="P41921"/>
      <c r="Q41921" s="24"/>
      <c r="R41921"/>
      <c r="S41921"/>
      <c r="T41921"/>
      <c r="U41921"/>
      <c r="X41921" s="60"/>
    </row>
    <row r="41922" spans="7:24" ht="15" customHeight="1">
      <c r="G41922"/>
      <c r="I41922"/>
      <c r="N41922"/>
      <c r="O41922" s="24"/>
      <c r="P41922"/>
      <c r="Q41922" s="24"/>
      <c r="R41922"/>
      <c r="S41922"/>
      <c r="T41922"/>
      <c r="U41922"/>
      <c r="X41922" s="60"/>
    </row>
    <row r="41923" spans="7:24" ht="15" customHeight="1">
      <c r="G41923"/>
      <c r="I41923"/>
      <c r="N41923"/>
      <c r="O41923" s="24"/>
      <c r="P41923"/>
      <c r="Q41923" s="24"/>
      <c r="R41923"/>
      <c r="S41923"/>
      <c r="T41923"/>
      <c r="U41923"/>
      <c r="X41923" s="60"/>
    </row>
    <row r="41924" spans="7:24" ht="15" customHeight="1">
      <c r="G41924"/>
      <c r="I41924"/>
      <c r="N41924"/>
      <c r="O41924" s="24"/>
      <c r="P41924"/>
      <c r="Q41924" s="24"/>
      <c r="R41924"/>
      <c r="S41924"/>
      <c r="T41924"/>
      <c r="U41924"/>
      <c r="X41924" s="60"/>
    </row>
    <row r="41925" spans="7:24" ht="15" customHeight="1">
      <c r="G41925"/>
      <c r="I41925"/>
      <c r="N41925"/>
      <c r="O41925" s="24"/>
      <c r="P41925"/>
      <c r="Q41925" s="24"/>
      <c r="R41925"/>
      <c r="S41925"/>
      <c r="T41925"/>
      <c r="U41925"/>
      <c r="X41925" s="60"/>
    </row>
    <row r="41926" spans="7:24" ht="15" customHeight="1">
      <c r="G41926"/>
      <c r="I41926"/>
      <c r="N41926"/>
      <c r="O41926" s="24"/>
      <c r="P41926"/>
      <c r="Q41926" s="24"/>
      <c r="R41926"/>
      <c r="S41926"/>
      <c r="T41926"/>
      <c r="U41926"/>
      <c r="X41926" s="60"/>
    </row>
    <row r="41927" spans="7:24" ht="15" customHeight="1">
      <c r="G41927"/>
      <c r="I41927"/>
      <c r="N41927"/>
      <c r="O41927" s="24"/>
      <c r="P41927"/>
      <c r="Q41927" s="24"/>
      <c r="R41927"/>
      <c r="S41927"/>
      <c r="T41927"/>
      <c r="U41927"/>
      <c r="X41927" s="60"/>
    </row>
    <row r="41928" spans="7:24" ht="15" customHeight="1">
      <c r="G41928"/>
      <c r="I41928"/>
      <c r="N41928"/>
      <c r="O41928" s="24"/>
      <c r="P41928"/>
      <c r="Q41928" s="24"/>
      <c r="R41928"/>
      <c r="S41928"/>
      <c r="T41928"/>
      <c r="U41928"/>
      <c r="X41928" s="60"/>
    </row>
    <row r="41929" spans="7:24" ht="15" customHeight="1">
      <c r="G41929"/>
      <c r="I41929"/>
      <c r="N41929"/>
      <c r="O41929" s="24"/>
      <c r="P41929"/>
      <c r="Q41929" s="24"/>
      <c r="R41929"/>
      <c r="S41929"/>
      <c r="T41929"/>
      <c r="U41929"/>
      <c r="X41929" s="60"/>
    </row>
    <row r="41930" spans="7:24" ht="15" customHeight="1">
      <c r="G41930"/>
      <c r="I41930"/>
      <c r="N41930"/>
      <c r="O41930" s="24"/>
      <c r="P41930"/>
      <c r="Q41930" s="24"/>
      <c r="R41930"/>
      <c r="S41930"/>
      <c r="T41930"/>
      <c r="U41930"/>
      <c r="X41930" s="60"/>
    </row>
    <row r="41931" spans="7:24" ht="15" customHeight="1">
      <c r="G41931"/>
      <c r="I41931"/>
      <c r="N41931"/>
      <c r="O41931" s="24"/>
      <c r="P41931"/>
      <c r="Q41931" s="24"/>
      <c r="R41931"/>
      <c r="S41931"/>
      <c r="T41931"/>
      <c r="U41931"/>
      <c r="X41931" s="60"/>
    </row>
    <row r="41932" spans="7:24" ht="15" customHeight="1">
      <c r="G41932"/>
      <c r="I41932"/>
      <c r="N41932"/>
      <c r="O41932" s="24"/>
      <c r="P41932"/>
      <c r="Q41932" s="24"/>
      <c r="R41932"/>
      <c r="S41932"/>
      <c r="T41932"/>
      <c r="U41932"/>
      <c r="X41932" s="60"/>
    </row>
    <row r="41933" spans="7:24" ht="15" customHeight="1">
      <c r="G41933"/>
      <c r="I41933"/>
      <c r="N41933"/>
      <c r="O41933" s="24"/>
      <c r="P41933"/>
      <c r="Q41933" s="24"/>
      <c r="R41933"/>
      <c r="S41933"/>
      <c r="T41933"/>
      <c r="U41933"/>
      <c r="X41933" s="60"/>
    </row>
    <row r="41934" spans="7:24" ht="15" customHeight="1">
      <c r="G41934"/>
      <c r="I41934"/>
      <c r="N41934"/>
      <c r="O41934" s="24"/>
      <c r="P41934"/>
      <c r="Q41934" s="24"/>
      <c r="R41934"/>
      <c r="S41934"/>
      <c r="T41934"/>
      <c r="U41934"/>
      <c r="X41934" s="60"/>
    </row>
    <row r="41935" spans="7:24" ht="15" customHeight="1">
      <c r="G41935"/>
      <c r="I41935"/>
      <c r="N41935"/>
      <c r="O41935" s="24"/>
      <c r="P41935"/>
      <c r="Q41935" s="24"/>
      <c r="R41935"/>
      <c r="S41935"/>
      <c r="T41935"/>
      <c r="U41935"/>
      <c r="X41935" s="60"/>
    </row>
    <row r="41936" spans="7:24" ht="15" customHeight="1">
      <c r="G41936"/>
      <c r="I41936"/>
      <c r="N41936"/>
      <c r="O41936" s="24"/>
      <c r="P41936"/>
      <c r="Q41936" s="24"/>
      <c r="R41936"/>
      <c r="S41936"/>
      <c r="T41936"/>
      <c r="U41936"/>
      <c r="X41936" s="60"/>
    </row>
    <row r="41937" spans="7:24" ht="15" customHeight="1">
      <c r="G41937"/>
      <c r="I41937"/>
      <c r="N41937"/>
      <c r="O41937" s="24"/>
      <c r="P41937"/>
      <c r="Q41937" s="24"/>
      <c r="R41937"/>
      <c r="S41937"/>
      <c r="T41937"/>
      <c r="U41937"/>
      <c r="X41937" s="60"/>
    </row>
    <row r="41938" spans="7:24" ht="15" customHeight="1">
      <c r="G41938"/>
      <c r="I41938"/>
      <c r="N41938"/>
      <c r="O41938" s="24"/>
      <c r="P41938"/>
      <c r="Q41938" s="24"/>
      <c r="R41938"/>
      <c r="S41938"/>
      <c r="T41938"/>
      <c r="U41938"/>
      <c r="X41938" s="60"/>
    </row>
    <row r="41939" spans="7:24" ht="15" customHeight="1">
      <c r="G41939"/>
      <c r="I41939"/>
      <c r="N41939"/>
      <c r="O41939" s="24"/>
      <c r="P41939"/>
      <c r="Q41939" s="24"/>
      <c r="R41939"/>
      <c r="S41939"/>
      <c r="T41939"/>
      <c r="U41939"/>
      <c r="X41939" s="60"/>
    </row>
    <row r="41940" spans="7:24" ht="15" customHeight="1">
      <c r="G41940"/>
      <c r="I41940"/>
      <c r="N41940"/>
      <c r="O41940" s="24"/>
      <c r="P41940"/>
      <c r="Q41940" s="24"/>
      <c r="R41940"/>
      <c r="S41940"/>
      <c r="T41940"/>
      <c r="U41940"/>
      <c r="X41940" s="60"/>
    </row>
    <row r="41941" spans="7:24" ht="15" customHeight="1">
      <c r="G41941"/>
      <c r="I41941"/>
      <c r="N41941"/>
      <c r="O41941" s="24"/>
      <c r="P41941"/>
      <c r="Q41941" s="24"/>
      <c r="R41941"/>
      <c r="S41941"/>
      <c r="T41941"/>
      <c r="U41941"/>
      <c r="X41941" s="60"/>
    </row>
    <row r="41942" spans="7:24" ht="15" customHeight="1">
      <c r="G41942"/>
      <c r="I41942"/>
      <c r="N41942"/>
      <c r="O41942" s="24"/>
      <c r="P41942"/>
      <c r="Q41942" s="24"/>
      <c r="R41942"/>
      <c r="S41942"/>
      <c r="T41942"/>
      <c r="U41942"/>
      <c r="X41942" s="60"/>
    </row>
    <row r="41943" spans="7:24" ht="15" customHeight="1">
      <c r="G41943"/>
      <c r="I41943"/>
      <c r="N41943"/>
      <c r="O41943" s="24"/>
      <c r="P41943"/>
      <c r="Q41943" s="24"/>
      <c r="R41943"/>
      <c r="S41943"/>
      <c r="T41943"/>
      <c r="U41943"/>
      <c r="X41943" s="60"/>
    </row>
    <row r="41944" spans="7:24" ht="15" customHeight="1">
      <c r="G41944"/>
      <c r="I41944"/>
      <c r="N41944"/>
      <c r="O41944" s="24"/>
      <c r="P41944"/>
      <c r="Q41944" s="24"/>
      <c r="R41944"/>
      <c r="S41944"/>
      <c r="T41944"/>
      <c r="U41944"/>
      <c r="X41944" s="60"/>
    </row>
    <row r="41945" spans="7:24" ht="15" customHeight="1">
      <c r="G41945"/>
      <c r="I41945"/>
      <c r="N41945"/>
      <c r="O41945" s="24"/>
      <c r="P41945"/>
      <c r="Q41945" s="24"/>
      <c r="R41945"/>
      <c r="S41945"/>
      <c r="T41945"/>
      <c r="U41945"/>
      <c r="X41945" s="60"/>
    </row>
    <row r="41946" spans="7:24" ht="15" customHeight="1">
      <c r="G41946"/>
      <c r="I41946"/>
      <c r="N41946"/>
      <c r="O41946" s="24"/>
      <c r="P41946"/>
      <c r="Q41946" s="24"/>
      <c r="R41946"/>
      <c r="S41946"/>
      <c r="T41946"/>
      <c r="U41946"/>
      <c r="X41946" s="60"/>
    </row>
    <row r="41947" spans="7:24" ht="15" customHeight="1">
      <c r="G41947"/>
      <c r="I41947"/>
      <c r="N41947"/>
      <c r="O41947" s="24"/>
      <c r="P41947"/>
      <c r="Q41947" s="24"/>
      <c r="R41947"/>
      <c r="S41947"/>
      <c r="T41947"/>
      <c r="U41947"/>
      <c r="X41947" s="60"/>
    </row>
    <row r="41948" spans="7:24" ht="15" customHeight="1">
      <c r="G41948"/>
      <c r="I41948"/>
      <c r="N41948"/>
      <c r="O41948" s="24"/>
      <c r="P41948"/>
      <c r="Q41948" s="24"/>
      <c r="R41948"/>
      <c r="S41948"/>
      <c r="T41948"/>
      <c r="U41948"/>
      <c r="X41948" s="60"/>
    </row>
    <row r="41949" spans="7:24" ht="15" customHeight="1">
      <c r="G41949"/>
      <c r="I41949"/>
      <c r="N41949"/>
      <c r="O41949" s="24"/>
      <c r="P41949"/>
      <c r="Q41949" s="24"/>
      <c r="R41949"/>
      <c r="S41949"/>
      <c r="T41949"/>
      <c r="U41949"/>
      <c r="X41949" s="60"/>
    </row>
    <row r="41950" spans="7:24" ht="15" customHeight="1">
      <c r="G41950"/>
      <c r="I41950"/>
      <c r="N41950"/>
      <c r="O41950" s="24"/>
      <c r="P41950"/>
      <c r="Q41950" s="24"/>
      <c r="R41950"/>
      <c r="S41950"/>
      <c r="T41950"/>
      <c r="U41950"/>
      <c r="X41950" s="60"/>
    </row>
    <row r="41951" spans="7:24" ht="15" customHeight="1">
      <c r="G41951"/>
      <c r="I41951"/>
      <c r="N41951"/>
      <c r="O41951" s="24"/>
      <c r="P41951"/>
      <c r="Q41951" s="24"/>
      <c r="R41951"/>
      <c r="S41951"/>
      <c r="T41951"/>
      <c r="U41951"/>
      <c r="X41951" s="60"/>
    </row>
    <row r="41952" spans="7:24" ht="15" customHeight="1">
      <c r="G41952"/>
      <c r="I41952"/>
      <c r="N41952"/>
      <c r="O41952" s="24"/>
      <c r="P41952"/>
      <c r="Q41952" s="24"/>
      <c r="R41952"/>
      <c r="S41952"/>
      <c r="T41952"/>
      <c r="U41952"/>
      <c r="X41952" s="60"/>
    </row>
    <row r="41953" spans="7:24" ht="15" customHeight="1">
      <c r="G41953"/>
      <c r="I41953"/>
      <c r="N41953"/>
      <c r="O41953" s="24"/>
      <c r="P41953"/>
      <c r="Q41953" s="24"/>
      <c r="R41953"/>
      <c r="S41953"/>
      <c r="T41953"/>
      <c r="U41953"/>
      <c r="X41953" s="60"/>
    </row>
    <row r="41954" spans="7:24" ht="15" customHeight="1">
      <c r="G41954"/>
      <c r="I41954"/>
      <c r="N41954"/>
      <c r="O41954" s="24"/>
      <c r="P41954"/>
      <c r="Q41954" s="24"/>
      <c r="R41954"/>
      <c r="S41954"/>
      <c r="T41954"/>
      <c r="U41954"/>
      <c r="X41954" s="60"/>
    </row>
    <row r="41955" spans="7:24" ht="15" customHeight="1">
      <c r="G41955"/>
      <c r="I41955"/>
      <c r="N41955"/>
      <c r="O41955" s="24"/>
      <c r="P41955"/>
      <c r="Q41955" s="24"/>
      <c r="R41955"/>
      <c r="S41955"/>
      <c r="T41955"/>
      <c r="U41955"/>
      <c r="X41955" s="60"/>
    </row>
    <row r="41956" spans="7:24" ht="15" customHeight="1">
      <c r="G41956"/>
      <c r="I41956"/>
      <c r="N41956"/>
      <c r="O41956" s="24"/>
      <c r="P41956"/>
      <c r="Q41956" s="24"/>
      <c r="R41956"/>
      <c r="S41956"/>
      <c r="T41956"/>
      <c r="U41956"/>
      <c r="X41956" s="60"/>
    </row>
    <row r="41957" spans="7:24" ht="15" customHeight="1">
      <c r="G41957"/>
      <c r="I41957"/>
      <c r="N41957"/>
      <c r="O41957" s="24"/>
      <c r="P41957"/>
      <c r="Q41957" s="24"/>
      <c r="R41957"/>
      <c r="S41957"/>
      <c r="T41957"/>
      <c r="U41957"/>
      <c r="X41957" s="60"/>
    </row>
    <row r="41958" spans="7:24" ht="15" customHeight="1">
      <c r="G41958"/>
      <c r="I41958"/>
      <c r="N41958"/>
      <c r="O41958" s="24"/>
      <c r="P41958"/>
      <c r="Q41958" s="24"/>
      <c r="R41958"/>
      <c r="S41958"/>
      <c r="T41958"/>
      <c r="U41958"/>
      <c r="X41958" s="60"/>
    </row>
    <row r="41959" spans="7:24" ht="15" customHeight="1">
      <c r="G41959"/>
      <c r="I41959"/>
      <c r="N41959"/>
      <c r="O41959" s="24"/>
      <c r="P41959"/>
      <c r="Q41959" s="24"/>
      <c r="R41959"/>
      <c r="S41959"/>
      <c r="T41959"/>
      <c r="U41959"/>
      <c r="X41959" s="60"/>
    </row>
    <row r="41960" spans="7:24" ht="15" customHeight="1">
      <c r="G41960"/>
      <c r="I41960"/>
      <c r="N41960"/>
      <c r="O41960" s="24"/>
      <c r="P41960"/>
      <c r="Q41960" s="24"/>
      <c r="R41960"/>
      <c r="S41960"/>
      <c r="T41960"/>
      <c r="U41960"/>
      <c r="X41960" s="60"/>
    </row>
    <row r="41961" spans="7:24" ht="15" customHeight="1">
      <c r="G41961"/>
      <c r="I41961"/>
      <c r="N41961"/>
      <c r="O41961" s="24"/>
      <c r="P41961"/>
      <c r="Q41961" s="24"/>
      <c r="R41961"/>
      <c r="S41961"/>
      <c r="T41961"/>
      <c r="U41961"/>
      <c r="X41961" s="60"/>
    </row>
    <row r="41962" spans="7:24" ht="15" customHeight="1">
      <c r="G41962"/>
      <c r="I41962"/>
      <c r="N41962"/>
      <c r="O41962" s="24"/>
      <c r="P41962"/>
      <c r="Q41962" s="24"/>
      <c r="R41962"/>
      <c r="S41962"/>
      <c r="T41962"/>
      <c r="U41962"/>
      <c r="X41962" s="60"/>
    </row>
    <row r="41963" spans="7:24" ht="15" customHeight="1">
      <c r="G41963"/>
      <c r="I41963"/>
      <c r="N41963"/>
      <c r="O41963" s="24"/>
      <c r="P41963"/>
      <c r="Q41963" s="24"/>
      <c r="R41963"/>
      <c r="S41963"/>
      <c r="T41963"/>
      <c r="U41963"/>
      <c r="X41963" s="60"/>
    </row>
    <row r="41964" spans="7:24" ht="15" customHeight="1">
      <c r="G41964"/>
      <c r="I41964"/>
      <c r="N41964"/>
      <c r="O41964" s="24"/>
      <c r="P41964"/>
      <c r="Q41964" s="24"/>
      <c r="R41964"/>
      <c r="S41964"/>
      <c r="T41964"/>
      <c r="U41964"/>
      <c r="X41964" s="60"/>
    </row>
    <row r="41965" spans="7:24" ht="15" customHeight="1">
      <c r="G41965"/>
      <c r="I41965"/>
      <c r="N41965"/>
      <c r="O41965" s="24"/>
      <c r="P41965"/>
      <c r="Q41965" s="24"/>
      <c r="R41965"/>
      <c r="S41965"/>
      <c r="T41965"/>
      <c r="U41965"/>
      <c r="X41965" s="60"/>
    </row>
    <row r="41966" spans="7:24" ht="15" customHeight="1">
      <c r="G41966"/>
      <c r="I41966"/>
      <c r="N41966"/>
      <c r="O41966" s="24"/>
      <c r="P41966"/>
      <c r="Q41966" s="24"/>
      <c r="R41966"/>
      <c r="S41966"/>
      <c r="T41966"/>
      <c r="U41966"/>
      <c r="X41966" s="60"/>
    </row>
    <row r="41967" spans="7:24" ht="15" customHeight="1">
      <c r="G41967"/>
      <c r="I41967"/>
      <c r="N41967"/>
      <c r="O41967" s="24"/>
      <c r="P41967"/>
      <c r="Q41967" s="24"/>
      <c r="R41967"/>
      <c r="S41967"/>
      <c r="T41967"/>
      <c r="U41967"/>
      <c r="X41967" s="60"/>
    </row>
    <row r="41968" spans="7:24" ht="15" customHeight="1">
      <c r="G41968"/>
      <c r="I41968"/>
      <c r="N41968"/>
      <c r="O41968" s="24"/>
      <c r="P41968"/>
      <c r="Q41968" s="24"/>
      <c r="R41968"/>
      <c r="S41968"/>
      <c r="T41968"/>
      <c r="U41968"/>
      <c r="X41968" s="60"/>
    </row>
    <row r="41969" spans="7:24" ht="15" customHeight="1">
      <c r="G41969"/>
      <c r="I41969"/>
      <c r="N41969"/>
      <c r="O41969" s="24"/>
      <c r="P41969"/>
      <c r="Q41969" s="24"/>
      <c r="R41969"/>
      <c r="S41969"/>
      <c r="T41969"/>
      <c r="U41969"/>
      <c r="X41969" s="60"/>
    </row>
    <row r="41970" spans="7:24" ht="15" customHeight="1">
      <c r="G41970"/>
      <c r="I41970"/>
      <c r="N41970"/>
      <c r="O41970" s="24"/>
      <c r="P41970"/>
      <c r="Q41970" s="24"/>
      <c r="R41970"/>
      <c r="S41970"/>
      <c r="T41970"/>
      <c r="U41970"/>
      <c r="X41970" s="60"/>
    </row>
    <row r="41971" spans="7:24" ht="15" customHeight="1">
      <c r="G41971"/>
      <c r="I41971"/>
      <c r="N41971"/>
      <c r="O41971" s="24"/>
      <c r="P41971"/>
      <c r="Q41971" s="24"/>
      <c r="R41971"/>
      <c r="S41971"/>
      <c r="T41971"/>
      <c r="U41971"/>
      <c r="X41971" s="60"/>
    </row>
    <row r="41972" spans="7:24" ht="15" customHeight="1">
      <c r="G41972"/>
      <c r="I41972"/>
      <c r="N41972"/>
      <c r="O41972" s="24"/>
      <c r="P41972"/>
      <c r="Q41972" s="24"/>
      <c r="R41972"/>
      <c r="S41972"/>
      <c r="T41972"/>
      <c r="U41972"/>
      <c r="X41972" s="60"/>
    </row>
    <row r="41973" spans="7:24" ht="15" customHeight="1">
      <c r="G41973"/>
      <c r="I41973"/>
      <c r="N41973"/>
      <c r="O41973" s="24"/>
      <c r="P41973"/>
      <c r="Q41973" s="24"/>
      <c r="R41973"/>
      <c r="S41973"/>
      <c r="T41973"/>
      <c r="U41973"/>
      <c r="X41973" s="60"/>
    </row>
    <row r="41974" spans="7:24" ht="15" customHeight="1">
      <c r="G41974"/>
      <c r="I41974"/>
      <c r="N41974"/>
      <c r="O41974" s="24"/>
      <c r="P41974"/>
      <c r="Q41974" s="24"/>
      <c r="R41974"/>
      <c r="S41974"/>
      <c r="T41974"/>
      <c r="U41974"/>
      <c r="X41974" s="60"/>
    </row>
    <row r="41975" spans="7:24" ht="15" customHeight="1">
      <c r="G41975"/>
      <c r="I41975"/>
      <c r="N41975"/>
      <c r="O41975" s="24"/>
      <c r="P41975"/>
      <c r="Q41975" s="24"/>
      <c r="R41975"/>
      <c r="S41975"/>
      <c r="T41975"/>
      <c r="U41975"/>
      <c r="X41975" s="60"/>
    </row>
    <row r="41976" spans="7:24" ht="15" customHeight="1">
      <c r="G41976"/>
      <c r="I41976"/>
      <c r="N41976"/>
      <c r="O41976" s="24"/>
      <c r="P41976"/>
      <c r="Q41976" s="24"/>
      <c r="R41976"/>
      <c r="S41976"/>
      <c r="T41976"/>
      <c r="U41976"/>
      <c r="X41976" s="60"/>
    </row>
    <row r="41977" spans="7:24" ht="15" customHeight="1">
      <c r="G41977"/>
      <c r="I41977"/>
      <c r="N41977"/>
      <c r="O41977" s="24"/>
      <c r="P41977"/>
      <c r="Q41977" s="24"/>
      <c r="R41977"/>
      <c r="S41977"/>
      <c r="T41977"/>
      <c r="U41977"/>
      <c r="X41977" s="60"/>
    </row>
    <row r="41978" spans="7:24" ht="15" customHeight="1">
      <c r="G41978"/>
      <c r="I41978"/>
      <c r="N41978"/>
      <c r="O41978" s="24"/>
      <c r="P41978"/>
      <c r="Q41978" s="24"/>
      <c r="R41978"/>
      <c r="S41978"/>
      <c r="T41978"/>
      <c r="U41978"/>
      <c r="X41978" s="60"/>
    </row>
    <row r="41979" spans="7:24" ht="15" customHeight="1">
      <c r="G41979"/>
      <c r="I41979"/>
      <c r="N41979"/>
      <c r="O41979" s="24"/>
      <c r="P41979"/>
      <c r="Q41979" s="24"/>
      <c r="R41979"/>
      <c r="S41979"/>
      <c r="T41979"/>
      <c r="U41979"/>
      <c r="X41979" s="60"/>
    </row>
    <row r="41980" spans="7:24" ht="15" customHeight="1">
      <c r="G41980"/>
      <c r="I41980"/>
      <c r="N41980"/>
      <c r="O41980" s="24"/>
      <c r="P41980"/>
      <c r="Q41980" s="24"/>
      <c r="R41980"/>
      <c r="S41980"/>
      <c r="T41980"/>
      <c r="U41980"/>
      <c r="X41980" s="60"/>
    </row>
    <row r="41981" spans="7:24" ht="15" customHeight="1">
      <c r="G41981"/>
      <c r="I41981"/>
      <c r="N41981"/>
      <c r="O41981" s="24"/>
      <c r="P41981"/>
      <c r="Q41981" s="24"/>
      <c r="R41981"/>
      <c r="S41981"/>
      <c r="T41981"/>
      <c r="U41981"/>
      <c r="X41981" s="60"/>
    </row>
    <row r="41982" spans="7:24" ht="15" customHeight="1">
      <c r="G41982"/>
      <c r="I41982"/>
      <c r="N41982"/>
      <c r="O41982" s="24"/>
      <c r="P41982"/>
      <c r="Q41982" s="24"/>
      <c r="R41982"/>
      <c r="S41982"/>
      <c r="T41982"/>
      <c r="U41982"/>
      <c r="X41982" s="60"/>
    </row>
    <row r="41983" spans="7:24" ht="15" customHeight="1">
      <c r="G41983"/>
      <c r="I41983"/>
      <c r="N41983"/>
      <c r="O41983" s="24"/>
      <c r="P41983"/>
      <c r="Q41983" s="24"/>
      <c r="R41983"/>
      <c r="S41983"/>
      <c r="T41983"/>
      <c r="U41983"/>
      <c r="X41983" s="60"/>
    </row>
    <row r="41984" spans="7:24" ht="15" customHeight="1">
      <c r="G41984"/>
      <c r="I41984"/>
      <c r="N41984"/>
      <c r="O41984" s="24"/>
      <c r="P41984"/>
      <c r="Q41984" s="24"/>
      <c r="R41984"/>
      <c r="S41984"/>
      <c r="T41984"/>
      <c r="U41984"/>
      <c r="X41984" s="60"/>
    </row>
    <row r="41985" spans="7:24" ht="15" customHeight="1">
      <c r="G41985"/>
      <c r="I41985"/>
      <c r="N41985"/>
      <c r="O41985" s="24"/>
      <c r="P41985"/>
      <c r="Q41985" s="24"/>
      <c r="R41985"/>
      <c r="S41985"/>
      <c r="T41985"/>
      <c r="U41985"/>
      <c r="X41985" s="60"/>
    </row>
    <row r="41986" spans="7:24" ht="15" customHeight="1">
      <c r="G41986"/>
      <c r="I41986"/>
      <c r="N41986"/>
      <c r="O41986" s="24"/>
      <c r="P41986"/>
      <c r="Q41986" s="24"/>
      <c r="R41986"/>
      <c r="S41986"/>
      <c r="T41986"/>
      <c r="U41986"/>
      <c r="X41986" s="60"/>
    </row>
    <row r="41987" spans="7:24" ht="15" customHeight="1">
      <c r="G41987"/>
      <c r="I41987"/>
      <c r="N41987"/>
      <c r="O41987" s="24"/>
      <c r="P41987"/>
      <c r="Q41987" s="24"/>
      <c r="R41987"/>
      <c r="S41987"/>
      <c r="T41987"/>
      <c r="U41987"/>
      <c r="X41987" s="60"/>
    </row>
    <row r="41988" spans="7:24" ht="15" customHeight="1">
      <c r="G41988"/>
      <c r="I41988"/>
      <c r="N41988"/>
      <c r="O41988" s="24"/>
      <c r="P41988"/>
      <c r="Q41988" s="24"/>
      <c r="R41988"/>
      <c r="S41988"/>
      <c r="T41988"/>
      <c r="U41988"/>
      <c r="X41988" s="60"/>
    </row>
    <row r="41989" spans="7:24" ht="15" customHeight="1">
      <c r="G41989"/>
      <c r="I41989"/>
      <c r="N41989"/>
      <c r="O41989" s="24"/>
      <c r="P41989"/>
      <c r="Q41989" s="24"/>
      <c r="R41989"/>
      <c r="S41989"/>
      <c r="T41989"/>
      <c r="U41989"/>
      <c r="X41989" s="60"/>
    </row>
    <row r="41990" spans="7:24" ht="15" customHeight="1">
      <c r="G41990"/>
      <c r="I41990"/>
      <c r="N41990"/>
      <c r="O41990" s="24"/>
      <c r="P41990"/>
      <c r="Q41990" s="24"/>
      <c r="R41990"/>
      <c r="S41990"/>
      <c r="T41990"/>
      <c r="U41990"/>
      <c r="X41990" s="60"/>
    </row>
    <row r="41991" spans="7:24" ht="15" customHeight="1">
      <c r="G41991"/>
      <c r="I41991"/>
      <c r="N41991"/>
      <c r="O41991" s="24"/>
      <c r="P41991"/>
      <c r="Q41991" s="24"/>
      <c r="R41991"/>
      <c r="S41991"/>
      <c r="T41991"/>
      <c r="U41991"/>
      <c r="X41991" s="60"/>
    </row>
    <row r="41992" spans="7:24" ht="15" customHeight="1">
      <c r="G41992"/>
      <c r="I41992"/>
      <c r="N41992"/>
      <c r="O41992" s="24"/>
      <c r="P41992"/>
      <c r="Q41992" s="24"/>
      <c r="R41992"/>
      <c r="S41992"/>
      <c r="T41992"/>
      <c r="U41992"/>
      <c r="X41992" s="60"/>
    </row>
    <row r="41993" spans="7:24" ht="15" customHeight="1">
      <c r="G41993"/>
      <c r="I41993"/>
      <c r="N41993"/>
      <c r="O41993" s="24"/>
      <c r="P41993"/>
      <c r="Q41993" s="24"/>
      <c r="R41993"/>
      <c r="S41993"/>
      <c r="T41993"/>
      <c r="U41993"/>
      <c r="X41993" s="60"/>
    </row>
    <row r="41994" spans="7:24" ht="15" customHeight="1">
      <c r="G41994"/>
      <c r="I41994"/>
      <c r="N41994"/>
      <c r="O41994" s="24"/>
      <c r="P41994"/>
      <c r="Q41994" s="24"/>
      <c r="R41994"/>
      <c r="S41994"/>
      <c r="T41994"/>
      <c r="U41994"/>
      <c r="X41994" s="60"/>
    </row>
    <row r="41995" spans="7:24" ht="15" customHeight="1">
      <c r="G41995"/>
      <c r="I41995"/>
      <c r="N41995"/>
      <c r="O41995" s="24"/>
      <c r="P41995"/>
      <c r="Q41995" s="24"/>
      <c r="R41995"/>
      <c r="S41995"/>
      <c r="T41995"/>
      <c r="U41995"/>
      <c r="X41995" s="60"/>
    </row>
    <row r="41996" spans="7:24" ht="15" customHeight="1">
      <c r="G41996"/>
      <c r="I41996"/>
      <c r="N41996"/>
      <c r="O41996" s="24"/>
      <c r="P41996"/>
      <c r="Q41996" s="24"/>
      <c r="R41996"/>
      <c r="S41996"/>
      <c r="T41996"/>
      <c r="U41996"/>
      <c r="X41996" s="60"/>
    </row>
    <row r="41997" spans="7:24" ht="15" customHeight="1">
      <c r="G41997"/>
      <c r="I41997"/>
      <c r="N41997"/>
      <c r="O41997" s="24"/>
      <c r="P41997"/>
      <c r="Q41997" s="24"/>
      <c r="R41997"/>
      <c r="S41997"/>
      <c r="T41997"/>
      <c r="U41997"/>
      <c r="X41997" s="60"/>
    </row>
    <row r="41998" spans="7:24" ht="15" customHeight="1">
      <c r="G41998"/>
      <c r="I41998"/>
      <c r="N41998"/>
      <c r="O41998" s="24"/>
      <c r="P41998"/>
      <c r="Q41998" s="24"/>
      <c r="R41998"/>
      <c r="S41998"/>
      <c r="T41998"/>
      <c r="U41998"/>
      <c r="X41998" s="60"/>
    </row>
    <row r="41999" spans="7:24" ht="15" customHeight="1">
      <c r="G41999"/>
      <c r="I41999"/>
      <c r="N41999"/>
      <c r="O41999" s="24"/>
      <c r="P41999"/>
      <c r="Q41999" s="24"/>
      <c r="R41999"/>
      <c r="S41999"/>
      <c r="T41999"/>
      <c r="U41999"/>
      <c r="X41999" s="60"/>
    </row>
    <row r="42000" spans="7:24" ht="15" customHeight="1">
      <c r="G42000"/>
      <c r="I42000"/>
      <c r="N42000"/>
      <c r="O42000" s="24"/>
      <c r="P42000"/>
      <c r="Q42000" s="24"/>
      <c r="R42000"/>
      <c r="S42000"/>
      <c r="T42000"/>
      <c r="U42000"/>
      <c r="X42000" s="60"/>
    </row>
    <row r="42001" spans="7:24" ht="15" customHeight="1">
      <c r="G42001"/>
      <c r="I42001"/>
      <c r="N42001"/>
      <c r="O42001" s="24"/>
      <c r="P42001"/>
      <c r="Q42001" s="24"/>
      <c r="R42001"/>
      <c r="S42001"/>
      <c r="T42001"/>
      <c r="U42001"/>
      <c r="X42001" s="60"/>
    </row>
    <row r="42002" spans="7:24" ht="15" customHeight="1">
      <c r="G42002"/>
      <c r="I42002"/>
      <c r="N42002"/>
      <c r="O42002" s="24"/>
      <c r="P42002"/>
      <c r="Q42002" s="24"/>
      <c r="R42002"/>
      <c r="S42002"/>
      <c r="T42002"/>
      <c r="U42002"/>
      <c r="X42002" s="60"/>
    </row>
    <row r="42003" spans="7:24" ht="15" customHeight="1">
      <c r="G42003"/>
      <c r="I42003"/>
      <c r="N42003"/>
      <c r="O42003" s="24"/>
      <c r="P42003"/>
      <c r="Q42003" s="24"/>
      <c r="R42003"/>
      <c r="S42003"/>
      <c r="T42003"/>
      <c r="U42003"/>
      <c r="X42003" s="60"/>
    </row>
    <row r="42004" spans="7:24" ht="15" customHeight="1">
      <c r="G42004"/>
      <c r="I42004"/>
      <c r="N42004"/>
      <c r="O42004" s="24"/>
      <c r="P42004"/>
      <c r="Q42004" s="24"/>
      <c r="R42004"/>
      <c r="S42004"/>
      <c r="T42004"/>
      <c r="U42004"/>
      <c r="X42004" s="60"/>
    </row>
    <row r="42005" spans="7:24" ht="15" customHeight="1">
      <c r="G42005"/>
      <c r="I42005"/>
      <c r="N42005"/>
      <c r="O42005" s="24"/>
      <c r="P42005"/>
      <c r="Q42005" s="24"/>
      <c r="R42005"/>
      <c r="S42005"/>
      <c r="T42005"/>
      <c r="U42005"/>
      <c r="X42005" s="60"/>
    </row>
    <row r="42006" spans="7:24" ht="15" customHeight="1">
      <c r="G42006"/>
      <c r="I42006"/>
      <c r="N42006"/>
      <c r="O42006" s="24"/>
      <c r="P42006"/>
      <c r="Q42006" s="24"/>
      <c r="R42006"/>
      <c r="S42006"/>
      <c r="T42006"/>
      <c r="U42006"/>
      <c r="X42006" s="60"/>
    </row>
    <row r="42007" spans="7:24" ht="15" customHeight="1">
      <c r="G42007"/>
      <c r="I42007"/>
      <c r="N42007"/>
      <c r="O42007" s="24"/>
      <c r="P42007"/>
      <c r="Q42007" s="24"/>
      <c r="R42007"/>
      <c r="S42007"/>
      <c r="T42007"/>
      <c r="U42007"/>
      <c r="X42007" s="60"/>
    </row>
    <row r="42008" spans="7:24" ht="15" customHeight="1">
      <c r="G42008"/>
      <c r="I42008"/>
      <c r="N42008"/>
      <c r="O42008" s="24"/>
      <c r="P42008"/>
      <c r="Q42008" s="24"/>
      <c r="R42008"/>
      <c r="S42008"/>
      <c r="T42008"/>
      <c r="U42008"/>
      <c r="X42008" s="60"/>
    </row>
    <row r="42009" spans="7:24" ht="15" customHeight="1">
      <c r="G42009"/>
      <c r="I42009"/>
      <c r="N42009"/>
      <c r="O42009" s="24"/>
      <c r="P42009"/>
      <c r="Q42009" s="24"/>
      <c r="R42009"/>
      <c r="S42009"/>
      <c r="T42009"/>
      <c r="U42009"/>
      <c r="X42009" s="60"/>
    </row>
    <row r="42010" spans="7:24" ht="15" customHeight="1">
      <c r="G42010"/>
      <c r="I42010"/>
      <c r="N42010"/>
      <c r="O42010" s="24"/>
      <c r="P42010"/>
      <c r="Q42010" s="24"/>
      <c r="R42010"/>
      <c r="S42010"/>
      <c r="T42010"/>
      <c r="U42010"/>
      <c r="X42010" s="60"/>
    </row>
    <row r="42011" spans="7:24" ht="15" customHeight="1">
      <c r="G42011"/>
      <c r="I42011"/>
      <c r="N42011"/>
      <c r="O42011" s="24"/>
      <c r="P42011"/>
      <c r="Q42011" s="24"/>
      <c r="R42011"/>
      <c r="S42011"/>
      <c r="T42011"/>
      <c r="U42011"/>
      <c r="X42011" s="60"/>
    </row>
    <row r="42012" spans="7:24" ht="15" customHeight="1">
      <c r="G42012"/>
      <c r="I42012"/>
      <c r="N42012"/>
      <c r="O42012" s="24"/>
      <c r="P42012"/>
      <c r="Q42012" s="24"/>
      <c r="R42012"/>
      <c r="S42012"/>
      <c r="T42012"/>
      <c r="U42012"/>
      <c r="X42012" s="60"/>
    </row>
    <row r="42013" spans="7:24" ht="15" customHeight="1">
      <c r="G42013"/>
      <c r="I42013"/>
      <c r="N42013"/>
      <c r="O42013" s="24"/>
      <c r="P42013"/>
      <c r="Q42013" s="24"/>
      <c r="R42013"/>
      <c r="S42013"/>
      <c r="T42013"/>
      <c r="U42013"/>
      <c r="X42013" s="60"/>
    </row>
    <row r="42014" spans="7:24" ht="15" customHeight="1">
      <c r="G42014"/>
      <c r="I42014"/>
      <c r="N42014"/>
      <c r="O42014" s="24"/>
      <c r="P42014"/>
      <c r="Q42014" s="24"/>
      <c r="R42014"/>
      <c r="S42014"/>
      <c r="T42014"/>
      <c r="U42014"/>
      <c r="X42014" s="60"/>
    </row>
    <row r="42015" spans="7:24" ht="15" customHeight="1">
      <c r="G42015"/>
      <c r="I42015"/>
      <c r="N42015"/>
      <c r="O42015" s="24"/>
      <c r="P42015"/>
      <c r="Q42015" s="24"/>
      <c r="R42015"/>
      <c r="S42015"/>
      <c r="T42015"/>
      <c r="U42015"/>
      <c r="X42015" s="60"/>
    </row>
    <row r="42016" spans="7:24" ht="15" customHeight="1">
      <c r="G42016"/>
      <c r="I42016"/>
      <c r="N42016"/>
      <c r="O42016" s="24"/>
      <c r="P42016"/>
      <c r="Q42016" s="24"/>
      <c r="R42016"/>
      <c r="S42016"/>
      <c r="T42016"/>
      <c r="U42016"/>
      <c r="X42016" s="60"/>
    </row>
    <row r="42017" spans="7:24" ht="15" customHeight="1">
      <c r="G42017"/>
      <c r="I42017"/>
      <c r="N42017"/>
      <c r="O42017" s="24"/>
      <c r="P42017"/>
      <c r="Q42017" s="24"/>
      <c r="R42017"/>
      <c r="S42017"/>
      <c r="T42017"/>
      <c r="U42017"/>
      <c r="X42017" s="60"/>
    </row>
    <row r="42018" spans="7:24" ht="15" customHeight="1">
      <c r="G42018"/>
      <c r="I42018"/>
      <c r="N42018"/>
      <c r="O42018" s="24"/>
      <c r="P42018"/>
      <c r="Q42018" s="24"/>
      <c r="R42018"/>
      <c r="S42018"/>
      <c r="T42018"/>
      <c r="U42018"/>
      <c r="X42018" s="60"/>
    </row>
    <row r="42019" spans="7:24" ht="15" customHeight="1">
      <c r="G42019"/>
      <c r="I42019"/>
      <c r="N42019"/>
      <c r="O42019" s="24"/>
      <c r="P42019"/>
      <c r="Q42019" s="24"/>
      <c r="R42019"/>
      <c r="S42019"/>
      <c r="T42019"/>
      <c r="U42019"/>
      <c r="X42019" s="60"/>
    </row>
    <row r="42020" spans="7:24" ht="15" customHeight="1">
      <c r="G42020"/>
      <c r="I42020"/>
      <c r="N42020"/>
      <c r="O42020" s="24"/>
      <c r="P42020"/>
      <c r="Q42020" s="24"/>
      <c r="R42020"/>
      <c r="S42020"/>
      <c r="T42020"/>
      <c r="U42020"/>
      <c r="X42020" s="60"/>
    </row>
    <row r="42021" spans="7:24" ht="15" customHeight="1">
      <c r="G42021"/>
      <c r="I42021"/>
      <c r="N42021"/>
      <c r="O42021" s="24"/>
      <c r="P42021"/>
      <c r="Q42021" s="24"/>
      <c r="R42021"/>
      <c r="S42021"/>
      <c r="T42021"/>
      <c r="U42021"/>
      <c r="X42021" s="60"/>
    </row>
    <row r="42022" spans="7:24" ht="15" customHeight="1">
      <c r="G42022"/>
      <c r="I42022"/>
      <c r="N42022"/>
      <c r="O42022" s="24"/>
      <c r="P42022"/>
      <c r="Q42022" s="24"/>
      <c r="R42022"/>
      <c r="S42022"/>
      <c r="T42022"/>
      <c r="U42022"/>
      <c r="X42022" s="60"/>
    </row>
    <row r="42023" spans="7:24" ht="15" customHeight="1">
      <c r="G42023"/>
      <c r="I42023"/>
      <c r="N42023"/>
      <c r="O42023" s="24"/>
      <c r="P42023"/>
      <c r="Q42023" s="24"/>
      <c r="R42023"/>
      <c r="S42023"/>
      <c r="T42023"/>
      <c r="U42023"/>
      <c r="X42023" s="60"/>
    </row>
    <row r="42024" spans="7:24" ht="15" customHeight="1">
      <c r="G42024"/>
      <c r="I42024"/>
      <c r="N42024"/>
      <c r="O42024" s="24"/>
      <c r="P42024"/>
      <c r="Q42024" s="24"/>
      <c r="R42024"/>
      <c r="S42024"/>
      <c r="T42024"/>
      <c r="U42024"/>
      <c r="X42024" s="60"/>
    </row>
    <row r="42025" spans="7:24" ht="15" customHeight="1">
      <c r="G42025"/>
      <c r="I42025"/>
      <c r="N42025"/>
      <c r="O42025" s="24"/>
      <c r="P42025"/>
      <c r="Q42025" s="24"/>
      <c r="R42025"/>
      <c r="S42025"/>
      <c r="T42025"/>
      <c r="U42025"/>
      <c r="X42025" s="60"/>
    </row>
    <row r="42026" spans="7:24" ht="15" customHeight="1">
      <c r="G42026"/>
      <c r="I42026"/>
      <c r="N42026"/>
      <c r="O42026" s="24"/>
      <c r="P42026"/>
      <c r="Q42026" s="24"/>
      <c r="R42026"/>
      <c r="S42026"/>
      <c r="T42026"/>
      <c r="U42026"/>
      <c r="X42026" s="60"/>
    </row>
    <row r="42027" spans="7:24" ht="15" customHeight="1">
      <c r="G42027"/>
      <c r="I42027"/>
      <c r="N42027"/>
      <c r="O42027" s="24"/>
      <c r="P42027"/>
      <c r="Q42027" s="24"/>
      <c r="R42027"/>
      <c r="S42027"/>
      <c r="T42027"/>
      <c r="U42027"/>
      <c r="X42027" s="60"/>
    </row>
    <row r="42028" spans="7:24" ht="15" customHeight="1">
      <c r="G42028"/>
      <c r="I42028"/>
      <c r="N42028"/>
      <c r="O42028" s="24"/>
      <c r="P42028"/>
      <c r="Q42028" s="24"/>
      <c r="R42028"/>
      <c r="S42028"/>
      <c r="T42028"/>
      <c r="U42028"/>
      <c r="X42028" s="60"/>
    </row>
    <row r="42029" spans="7:24" ht="15" customHeight="1">
      <c r="G42029"/>
      <c r="I42029"/>
      <c r="N42029"/>
      <c r="O42029" s="24"/>
      <c r="P42029"/>
      <c r="Q42029" s="24"/>
      <c r="R42029"/>
      <c r="S42029"/>
      <c r="T42029"/>
      <c r="U42029"/>
      <c r="X42029" s="60"/>
    </row>
    <row r="42030" spans="7:24" ht="15" customHeight="1">
      <c r="G42030"/>
      <c r="I42030"/>
      <c r="N42030"/>
      <c r="O42030" s="24"/>
      <c r="P42030"/>
      <c r="Q42030" s="24"/>
      <c r="R42030"/>
      <c r="S42030"/>
      <c r="T42030"/>
      <c r="U42030"/>
      <c r="X42030" s="60"/>
    </row>
    <row r="42031" spans="7:24" ht="15" customHeight="1">
      <c r="G42031"/>
      <c r="I42031"/>
      <c r="N42031"/>
      <c r="O42031" s="24"/>
      <c r="P42031"/>
      <c r="Q42031" s="24"/>
      <c r="R42031"/>
      <c r="S42031"/>
      <c r="T42031"/>
      <c r="U42031"/>
      <c r="X42031" s="60"/>
    </row>
    <row r="42032" spans="7:24" ht="15" customHeight="1">
      <c r="G42032"/>
      <c r="I42032"/>
      <c r="N42032"/>
      <c r="O42032" s="24"/>
      <c r="P42032"/>
      <c r="Q42032" s="24"/>
      <c r="R42032"/>
      <c r="S42032"/>
      <c r="T42032"/>
      <c r="U42032"/>
      <c r="X42032" s="60"/>
    </row>
    <row r="42033" spans="7:24" ht="15" customHeight="1">
      <c r="G42033"/>
      <c r="I42033"/>
      <c r="N42033"/>
      <c r="O42033" s="24"/>
      <c r="P42033"/>
      <c r="Q42033" s="24"/>
      <c r="R42033"/>
      <c r="S42033"/>
      <c r="T42033"/>
      <c r="U42033"/>
      <c r="X42033" s="60"/>
    </row>
    <row r="42034" spans="7:24" ht="15" customHeight="1">
      <c r="G42034"/>
      <c r="I42034"/>
      <c r="N42034"/>
      <c r="O42034" s="24"/>
      <c r="P42034"/>
      <c r="Q42034" s="24"/>
      <c r="R42034"/>
      <c r="S42034"/>
      <c r="T42034"/>
      <c r="U42034"/>
      <c r="X42034" s="60"/>
    </row>
    <row r="42035" spans="7:24" ht="15" customHeight="1">
      <c r="G42035"/>
      <c r="I42035"/>
      <c r="N42035"/>
      <c r="O42035" s="24"/>
      <c r="P42035"/>
      <c r="Q42035" s="24"/>
      <c r="R42035"/>
      <c r="S42035"/>
      <c r="T42035"/>
      <c r="U42035"/>
      <c r="X42035" s="60"/>
    </row>
    <row r="42036" spans="7:24" ht="15" customHeight="1">
      <c r="G42036"/>
      <c r="I42036"/>
      <c r="N42036"/>
      <c r="O42036" s="24"/>
      <c r="P42036"/>
      <c r="Q42036" s="24"/>
      <c r="R42036"/>
      <c r="S42036"/>
      <c r="T42036"/>
      <c r="U42036"/>
      <c r="X42036" s="60"/>
    </row>
    <row r="42037" spans="7:24" ht="15" customHeight="1">
      <c r="G42037"/>
      <c r="I42037"/>
      <c r="N42037"/>
      <c r="O42037" s="24"/>
      <c r="P42037"/>
      <c r="Q42037" s="24"/>
      <c r="R42037"/>
      <c r="S42037"/>
      <c r="T42037"/>
      <c r="U42037"/>
      <c r="X42037" s="60"/>
    </row>
    <row r="42038" spans="7:24" ht="15" customHeight="1">
      <c r="G42038"/>
      <c r="I42038"/>
      <c r="N42038"/>
      <c r="O42038" s="24"/>
      <c r="P42038"/>
      <c r="Q42038" s="24"/>
      <c r="R42038"/>
      <c r="S42038"/>
      <c r="T42038"/>
      <c r="U42038"/>
      <c r="X42038" s="60"/>
    </row>
    <row r="42039" spans="7:24" ht="15" customHeight="1">
      <c r="G42039"/>
      <c r="I42039"/>
      <c r="N42039"/>
      <c r="O42039" s="24"/>
      <c r="P42039"/>
      <c r="Q42039" s="24"/>
      <c r="R42039"/>
      <c r="S42039"/>
      <c r="T42039"/>
      <c r="U42039"/>
      <c r="X42039" s="60"/>
    </row>
    <row r="42040" spans="7:24" ht="15" customHeight="1">
      <c r="G42040"/>
      <c r="I42040"/>
      <c r="N42040"/>
      <c r="O42040" s="24"/>
      <c r="P42040"/>
      <c r="Q42040" s="24"/>
      <c r="R42040"/>
      <c r="S42040"/>
      <c r="T42040"/>
      <c r="U42040"/>
      <c r="X42040" s="60"/>
    </row>
    <row r="42041" spans="7:24" ht="15" customHeight="1">
      <c r="G42041"/>
      <c r="I42041"/>
      <c r="N42041"/>
      <c r="O42041" s="24"/>
      <c r="P42041"/>
      <c r="Q42041" s="24"/>
      <c r="R42041"/>
      <c r="S42041"/>
      <c r="T42041"/>
      <c r="U42041"/>
      <c r="X42041" s="60"/>
    </row>
    <row r="42042" spans="7:24" ht="15" customHeight="1">
      <c r="G42042"/>
      <c r="I42042"/>
      <c r="N42042"/>
      <c r="O42042" s="24"/>
      <c r="P42042"/>
      <c r="Q42042" s="24"/>
      <c r="R42042"/>
      <c r="S42042"/>
      <c r="T42042"/>
      <c r="U42042"/>
      <c r="X42042" s="60"/>
    </row>
    <row r="42043" spans="7:24" ht="15" customHeight="1">
      <c r="G42043"/>
      <c r="I42043"/>
      <c r="N42043"/>
      <c r="O42043" s="24"/>
      <c r="P42043"/>
      <c r="Q42043" s="24"/>
      <c r="R42043"/>
      <c r="S42043"/>
      <c r="T42043"/>
      <c r="U42043"/>
      <c r="X42043" s="60"/>
    </row>
    <row r="42044" spans="7:24" ht="15" customHeight="1">
      <c r="G42044"/>
      <c r="I42044"/>
      <c r="N42044"/>
      <c r="O42044" s="24"/>
      <c r="P42044"/>
      <c r="Q42044" s="24"/>
      <c r="R42044"/>
      <c r="S42044"/>
      <c r="T42044"/>
      <c r="U42044"/>
      <c r="X42044" s="60"/>
    </row>
    <row r="42045" spans="7:24" ht="15" customHeight="1">
      <c r="G42045"/>
      <c r="I42045"/>
      <c r="N42045"/>
      <c r="O42045" s="24"/>
      <c r="P42045"/>
      <c r="Q42045" s="24"/>
      <c r="R42045"/>
      <c r="S42045"/>
      <c r="T42045"/>
      <c r="U42045"/>
      <c r="X42045" s="60"/>
    </row>
    <row r="42046" spans="7:24" ht="15" customHeight="1">
      <c r="G42046"/>
      <c r="I42046"/>
      <c r="N42046"/>
      <c r="O42046" s="24"/>
      <c r="P42046"/>
      <c r="Q42046" s="24"/>
      <c r="R42046"/>
      <c r="S42046"/>
      <c r="T42046"/>
      <c r="U42046"/>
      <c r="X42046" s="60"/>
    </row>
    <row r="42047" spans="7:24" ht="15" customHeight="1">
      <c r="G42047"/>
      <c r="I42047"/>
      <c r="N42047"/>
      <c r="O42047" s="24"/>
      <c r="P42047"/>
      <c r="Q42047" s="24"/>
      <c r="R42047"/>
      <c r="S42047"/>
      <c r="T42047"/>
      <c r="U42047"/>
      <c r="X42047" s="60"/>
    </row>
    <row r="42048" spans="7:24" ht="15" customHeight="1">
      <c r="G42048"/>
      <c r="I42048"/>
      <c r="N42048"/>
      <c r="O42048" s="24"/>
      <c r="P42048"/>
      <c r="Q42048" s="24"/>
      <c r="R42048"/>
      <c r="S42048"/>
      <c r="T42048"/>
      <c r="U42048"/>
      <c r="X42048" s="60"/>
    </row>
    <row r="42049" spans="7:24" ht="15" customHeight="1">
      <c r="G42049"/>
      <c r="I42049"/>
      <c r="N42049"/>
      <c r="O42049" s="24"/>
      <c r="P42049"/>
      <c r="Q42049" s="24"/>
      <c r="R42049"/>
      <c r="S42049"/>
      <c r="T42049"/>
      <c r="U42049"/>
      <c r="X42049" s="60"/>
    </row>
    <row r="42050" spans="7:24" ht="15" customHeight="1">
      <c r="G42050"/>
      <c r="I42050"/>
      <c r="N42050"/>
      <c r="O42050" s="24"/>
      <c r="P42050"/>
      <c r="Q42050" s="24"/>
      <c r="R42050"/>
      <c r="S42050"/>
      <c r="T42050"/>
      <c r="U42050"/>
      <c r="X42050" s="60"/>
    </row>
    <row r="42051" spans="7:24" ht="15" customHeight="1">
      <c r="G42051"/>
      <c r="I42051"/>
      <c r="N42051"/>
      <c r="O42051" s="24"/>
      <c r="P42051"/>
      <c r="Q42051" s="24"/>
      <c r="R42051"/>
      <c r="S42051"/>
      <c r="T42051"/>
      <c r="U42051"/>
      <c r="X42051" s="60"/>
    </row>
    <row r="42052" spans="7:24" ht="15" customHeight="1">
      <c r="G42052"/>
      <c r="I42052"/>
      <c r="N42052"/>
      <c r="O42052" s="24"/>
      <c r="P42052"/>
      <c r="Q42052" s="24"/>
      <c r="R42052"/>
      <c r="S42052"/>
      <c r="T42052"/>
      <c r="U42052"/>
      <c r="X42052" s="60"/>
    </row>
    <row r="42053" spans="7:24" ht="15" customHeight="1">
      <c r="G42053"/>
      <c r="I42053"/>
      <c r="N42053"/>
      <c r="O42053" s="24"/>
      <c r="P42053"/>
      <c r="Q42053" s="24"/>
      <c r="R42053"/>
      <c r="S42053"/>
      <c r="T42053"/>
      <c r="U42053"/>
      <c r="X42053" s="60"/>
    </row>
    <row r="42054" spans="7:24" ht="15" customHeight="1">
      <c r="G42054"/>
      <c r="I42054"/>
      <c r="N42054"/>
      <c r="O42054" s="24"/>
      <c r="P42054"/>
      <c r="Q42054" s="24"/>
      <c r="R42054"/>
      <c r="S42054"/>
      <c r="T42054"/>
      <c r="U42054"/>
      <c r="X42054" s="60"/>
    </row>
    <row r="42055" spans="7:24" ht="15" customHeight="1">
      <c r="G42055"/>
      <c r="I42055"/>
      <c r="N42055"/>
      <c r="O42055" s="24"/>
      <c r="P42055"/>
      <c r="Q42055" s="24"/>
      <c r="R42055"/>
      <c r="S42055"/>
      <c r="T42055"/>
      <c r="U42055"/>
      <c r="X42055" s="60"/>
    </row>
    <row r="42056" spans="7:24" ht="15" customHeight="1">
      <c r="G42056"/>
      <c r="I42056"/>
      <c r="N42056"/>
      <c r="O42056" s="24"/>
      <c r="P42056"/>
      <c r="Q42056" s="24"/>
      <c r="R42056"/>
      <c r="S42056"/>
      <c r="T42056"/>
      <c r="U42056"/>
      <c r="X42056" s="60"/>
    </row>
    <row r="42057" spans="7:24" ht="15" customHeight="1">
      <c r="G42057"/>
      <c r="I42057"/>
      <c r="N42057"/>
      <c r="O42057" s="24"/>
      <c r="P42057"/>
      <c r="Q42057" s="24"/>
      <c r="R42057"/>
      <c r="S42057"/>
      <c r="T42057"/>
      <c r="U42057"/>
      <c r="X42057" s="60"/>
    </row>
    <row r="42058" spans="7:24" ht="15" customHeight="1">
      <c r="G42058"/>
      <c r="I42058"/>
      <c r="N42058"/>
      <c r="O42058" s="24"/>
      <c r="P42058"/>
      <c r="Q42058" s="24"/>
      <c r="R42058"/>
      <c r="S42058"/>
      <c r="T42058"/>
      <c r="U42058"/>
      <c r="X42058" s="60"/>
    </row>
    <row r="42059" spans="7:24" ht="15" customHeight="1">
      <c r="G42059"/>
      <c r="I42059"/>
      <c r="N42059"/>
      <c r="O42059" s="24"/>
      <c r="P42059"/>
      <c r="Q42059" s="24"/>
      <c r="R42059"/>
      <c r="S42059"/>
      <c r="T42059"/>
      <c r="U42059"/>
      <c r="X42059" s="60"/>
    </row>
    <row r="42060" spans="7:24" ht="15" customHeight="1">
      <c r="G42060"/>
      <c r="I42060"/>
      <c r="N42060"/>
      <c r="O42060" s="24"/>
      <c r="P42060"/>
      <c r="Q42060" s="24"/>
      <c r="R42060"/>
      <c r="S42060"/>
      <c r="T42060"/>
      <c r="U42060"/>
      <c r="X42060" s="60"/>
    </row>
    <row r="42061" spans="7:24" ht="15" customHeight="1">
      <c r="G42061"/>
      <c r="I42061"/>
      <c r="N42061"/>
      <c r="O42061" s="24"/>
      <c r="P42061"/>
      <c r="Q42061" s="24"/>
      <c r="R42061"/>
      <c r="S42061"/>
      <c r="T42061"/>
      <c r="U42061"/>
      <c r="X42061" s="60"/>
    </row>
    <row r="42062" spans="7:24" ht="15" customHeight="1">
      <c r="G42062"/>
      <c r="I42062"/>
      <c r="N42062"/>
      <c r="O42062" s="24"/>
      <c r="P42062"/>
      <c r="Q42062" s="24"/>
      <c r="R42062"/>
      <c r="S42062"/>
      <c r="T42062"/>
      <c r="U42062"/>
      <c r="X42062" s="60"/>
    </row>
    <row r="42063" spans="7:24" ht="15" customHeight="1">
      <c r="G42063"/>
      <c r="I42063"/>
      <c r="N42063"/>
      <c r="O42063" s="24"/>
      <c r="P42063"/>
      <c r="Q42063" s="24"/>
      <c r="R42063"/>
      <c r="S42063"/>
      <c r="T42063"/>
      <c r="U42063"/>
      <c r="X42063" s="60"/>
    </row>
    <row r="42064" spans="7:24" ht="15" customHeight="1">
      <c r="G42064"/>
      <c r="I42064"/>
      <c r="N42064"/>
      <c r="O42064" s="24"/>
      <c r="P42064"/>
      <c r="Q42064" s="24"/>
      <c r="R42064"/>
      <c r="S42064"/>
      <c r="T42064"/>
      <c r="U42064"/>
      <c r="X42064" s="60"/>
    </row>
    <row r="42065" spans="7:24" ht="15" customHeight="1">
      <c r="G42065"/>
      <c r="I42065"/>
      <c r="N42065"/>
      <c r="O42065" s="24"/>
      <c r="P42065"/>
      <c r="Q42065" s="24"/>
      <c r="R42065"/>
      <c r="S42065"/>
      <c r="T42065"/>
      <c r="U42065"/>
      <c r="X42065" s="60"/>
    </row>
    <row r="42066" spans="7:24" ht="15" customHeight="1">
      <c r="G42066"/>
      <c r="I42066"/>
      <c r="N42066"/>
      <c r="O42066" s="24"/>
      <c r="P42066"/>
      <c r="Q42066" s="24"/>
      <c r="R42066"/>
      <c r="S42066"/>
      <c r="T42066"/>
      <c r="U42066"/>
      <c r="X42066" s="60"/>
    </row>
    <row r="42067" spans="7:24" ht="15" customHeight="1">
      <c r="G42067"/>
      <c r="I42067"/>
      <c r="N42067"/>
      <c r="O42067" s="24"/>
      <c r="P42067"/>
      <c r="Q42067" s="24"/>
      <c r="R42067"/>
      <c r="S42067"/>
      <c r="T42067"/>
      <c r="U42067"/>
      <c r="X42067" s="60"/>
    </row>
    <row r="42068" spans="7:24" ht="15" customHeight="1">
      <c r="G42068"/>
      <c r="I42068"/>
      <c r="N42068"/>
      <c r="O42068" s="24"/>
      <c r="P42068"/>
      <c r="Q42068" s="24"/>
      <c r="R42068"/>
      <c r="S42068"/>
      <c r="T42068"/>
      <c r="U42068"/>
      <c r="X42068" s="60"/>
    </row>
    <row r="42069" spans="7:24" ht="15" customHeight="1">
      <c r="G42069"/>
      <c r="I42069"/>
      <c r="N42069"/>
      <c r="O42069" s="24"/>
      <c r="P42069"/>
      <c r="Q42069" s="24"/>
      <c r="R42069"/>
      <c r="S42069"/>
      <c r="T42069"/>
      <c r="U42069"/>
      <c r="X42069" s="60"/>
    </row>
    <row r="42070" spans="7:24" ht="15" customHeight="1">
      <c r="G42070"/>
      <c r="I42070"/>
      <c r="N42070"/>
      <c r="O42070" s="24"/>
      <c r="P42070"/>
      <c r="Q42070" s="24"/>
      <c r="R42070"/>
      <c r="S42070"/>
      <c r="T42070"/>
      <c r="U42070"/>
      <c r="X42070" s="60"/>
    </row>
    <row r="42071" spans="7:24" ht="15" customHeight="1">
      <c r="G42071"/>
      <c r="I42071"/>
      <c r="N42071"/>
      <c r="O42071" s="24"/>
      <c r="P42071"/>
      <c r="Q42071" s="24"/>
      <c r="R42071"/>
      <c r="S42071"/>
      <c r="T42071"/>
      <c r="U42071"/>
      <c r="X42071" s="60"/>
    </row>
    <row r="42072" spans="7:24" ht="15" customHeight="1">
      <c r="G42072"/>
      <c r="I42072"/>
      <c r="N42072"/>
      <c r="O42072" s="24"/>
      <c r="P42072"/>
      <c r="Q42072" s="24"/>
      <c r="R42072"/>
      <c r="S42072"/>
      <c r="T42072"/>
      <c r="U42072"/>
      <c r="X42072" s="60"/>
    </row>
    <row r="42073" spans="7:24" ht="15" customHeight="1">
      <c r="G42073"/>
      <c r="I42073"/>
      <c r="N42073"/>
      <c r="O42073" s="24"/>
      <c r="P42073"/>
      <c r="Q42073" s="24"/>
      <c r="R42073"/>
      <c r="S42073"/>
      <c r="T42073"/>
      <c r="U42073"/>
      <c r="X42073" s="60"/>
    </row>
    <row r="42074" spans="7:24" ht="15" customHeight="1">
      <c r="G42074"/>
      <c r="I42074"/>
      <c r="N42074"/>
      <c r="O42074" s="24"/>
      <c r="P42074"/>
      <c r="Q42074" s="24"/>
      <c r="R42074"/>
      <c r="S42074"/>
      <c r="T42074"/>
      <c r="U42074"/>
      <c r="X42074" s="60"/>
    </row>
    <row r="42075" spans="7:24" ht="15" customHeight="1">
      <c r="G42075"/>
      <c r="I42075"/>
      <c r="N42075"/>
      <c r="O42075" s="24"/>
      <c r="P42075"/>
      <c r="Q42075" s="24"/>
      <c r="R42075"/>
      <c r="S42075"/>
      <c r="T42075"/>
      <c r="U42075"/>
      <c r="X42075" s="60"/>
    </row>
    <row r="42076" spans="7:24" ht="15" customHeight="1">
      <c r="G42076"/>
      <c r="I42076"/>
      <c r="N42076"/>
      <c r="O42076" s="24"/>
      <c r="P42076"/>
      <c r="Q42076" s="24"/>
      <c r="R42076"/>
      <c r="S42076"/>
      <c r="T42076"/>
      <c r="U42076"/>
      <c r="X42076" s="60"/>
    </row>
    <row r="42077" spans="7:24" ht="15" customHeight="1">
      <c r="G42077"/>
      <c r="I42077"/>
      <c r="N42077"/>
      <c r="O42077" s="24"/>
      <c r="P42077"/>
      <c r="Q42077" s="24"/>
      <c r="R42077"/>
      <c r="S42077"/>
      <c r="T42077"/>
      <c r="U42077"/>
      <c r="X42077" s="60"/>
    </row>
    <row r="42078" spans="7:24" ht="15" customHeight="1">
      <c r="G42078"/>
      <c r="I42078"/>
      <c r="N42078"/>
      <c r="O42078" s="24"/>
      <c r="P42078"/>
      <c r="Q42078" s="24"/>
      <c r="R42078"/>
      <c r="S42078"/>
      <c r="T42078"/>
      <c r="U42078"/>
      <c r="X42078" s="60"/>
    </row>
    <row r="42079" spans="7:24" ht="15" customHeight="1">
      <c r="G42079"/>
      <c r="I42079"/>
      <c r="N42079"/>
      <c r="O42079" s="24"/>
      <c r="P42079"/>
      <c r="Q42079" s="24"/>
      <c r="R42079"/>
      <c r="S42079"/>
      <c r="T42079"/>
      <c r="U42079"/>
      <c r="X42079" s="60"/>
    </row>
    <row r="42080" spans="7:24" ht="15" customHeight="1">
      <c r="G42080"/>
      <c r="I42080"/>
      <c r="N42080"/>
      <c r="O42080" s="24"/>
      <c r="P42080"/>
      <c r="Q42080" s="24"/>
      <c r="R42080"/>
      <c r="S42080"/>
      <c r="T42080"/>
      <c r="U42080"/>
      <c r="X42080" s="60"/>
    </row>
    <row r="42081" spans="7:24" ht="15" customHeight="1">
      <c r="G42081"/>
      <c r="I42081"/>
      <c r="N42081"/>
      <c r="O42081" s="24"/>
      <c r="P42081"/>
      <c r="Q42081" s="24"/>
      <c r="R42081"/>
      <c r="S42081"/>
      <c r="T42081"/>
      <c r="U42081"/>
      <c r="X42081" s="60"/>
    </row>
    <row r="42082" spans="7:24" ht="15" customHeight="1">
      <c r="G42082"/>
      <c r="I42082"/>
      <c r="N42082"/>
      <c r="O42082" s="24"/>
      <c r="P42082"/>
      <c r="Q42082" s="24"/>
      <c r="R42082"/>
      <c r="S42082"/>
      <c r="T42082"/>
      <c r="U42082"/>
      <c r="X42082" s="60"/>
    </row>
    <row r="42083" spans="7:24" ht="15" customHeight="1">
      <c r="G42083"/>
      <c r="I42083"/>
      <c r="N42083"/>
      <c r="O42083" s="24"/>
      <c r="P42083"/>
      <c r="Q42083" s="24"/>
      <c r="R42083"/>
      <c r="S42083"/>
      <c r="T42083"/>
      <c r="U42083"/>
      <c r="X42083" s="60"/>
    </row>
    <row r="42084" spans="7:24" ht="15" customHeight="1">
      <c r="G42084"/>
      <c r="I42084"/>
      <c r="N42084"/>
      <c r="O42084" s="24"/>
      <c r="P42084"/>
      <c r="Q42084" s="24"/>
      <c r="R42084"/>
      <c r="S42084"/>
      <c r="T42084"/>
      <c r="U42084"/>
      <c r="X42084" s="60"/>
    </row>
    <row r="42085" spans="7:24" ht="15" customHeight="1">
      <c r="G42085"/>
      <c r="I42085"/>
      <c r="N42085"/>
      <c r="O42085" s="24"/>
      <c r="P42085"/>
      <c r="Q42085" s="24"/>
      <c r="R42085"/>
      <c r="S42085"/>
      <c r="T42085"/>
      <c r="U42085"/>
      <c r="X42085" s="60"/>
    </row>
    <row r="42086" spans="7:24" ht="15" customHeight="1">
      <c r="G42086"/>
      <c r="I42086"/>
      <c r="N42086"/>
      <c r="O42086" s="24"/>
      <c r="P42086"/>
      <c r="Q42086" s="24"/>
      <c r="R42086"/>
      <c r="S42086"/>
      <c r="T42086"/>
      <c r="U42086"/>
      <c r="X42086" s="60"/>
    </row>
    <row r="42087" spans="7:24" ht="15" customHeight="1">
      <c r="G42087"/>
      <c r="I42087"/>
      <c r="N42087"/>
      <c r="O42087" s="24"/>
      <c r="P42087"/>
      <c r="Q42087" s="24"/>
      <c r="R42087"/>
      <c r="S42087"/>
      <c r="T42087"/>
      <c r="U42087"/>
      <c r="X42087" s="60"/>
    </row>
    <row r="42088" spans="7:24" ht="15" customHeight="1">
      <c r="G42088"/>
      <c r="I42088"/>
      <c r="N42088"/>
      <c r="O42088" s="24"/>
      <c r="P42088"/>
      <c r="Q42088" s="24"/>
      <c r="R42088"/>
      <c r="S42088"/>
      <c r="T42088"/>
      <c r="U42088"/>
      <c r="X42088" s="60"/>
    </row>
    <row r="42089" spans="7:24" ht="15" customHeight="1">
      <c r="G42089"/>
      <c r="I42089"/>
      <c r="N42089"/>
      <c r="O42089" s="24"/>
      <c r="P42089"/>
      <c r="Q42089" s="24"/>
      <c r="R42089"/>
      <c r="S42089"/>
      <c r="T42089"/>
      <c r="U42089"/>
      <c r="X42089" s="60"/>
    </row>
    <row r="42090" spans="7:24" ht="15" customHeight="1">
      <c r="G42090"/>
      <c r="I42090"/>
      <c r="N42090"/>
      <c r="O42090" s="24"/>
      <c r="P42090"/>
      <c r="Q42090" s="24"/>
      <c r="R42090"/>
      <c r="S42090"/>
      <c r="T42090"/>
      <c r="U42090"/>
      <c r="X42090" s="60"/>
    </row>
    <row r="42091" spans="7:24" ht="15" customHeight="1">
      <c r="G42091"/>
      <c r="I42091"/>
      <c r="N42091"/>
      <c r="O42091" s="24"/>
      <c r="P42091"/>
      <c r="Q42091" s="24"/>
      <c r="R42091"/>
      <c r="S42091"/>
      <c r="T42091"/>
      <c r="U42091"/>
      <c r="X42091" s="60"/>
    </row>
    <row r="42092" spans="7:24" ht="15" customHeight="1">
      <c r="G42092"/>
      <c r="I42092"/>
      <c r="N42092"/>
      <c r="O42092" s="24"/>
      <c r="P42092"/>
      <c r="Q42092" s="24"/>
      <c r="R42092"/>
      <c r="S42092"/>
      <c r="T42092"/>
      <c r="U42092"/>
      <c r="X42092" s="60"/>
    </row>
    <row r="42093" spans="7:24" ht="15" customHeight="1">
      <c r="G42093"/>
      <c r="I42093"/>
      <c r="N42093"/>
      <c r="O42093" s="24"/>
      <c r="P42093"/>
      <c r="Q42093" s="24"/>
      <c r="R42093"/>
      <c r="S42093"/>
      <c r="T42093"/>
      <c r="U42093"/>
      <c r="X42093" s="60"/>
    </row>
    <row r="42094" spans="7:24" ht="15" customHeight="1">
      <c r="G42094"/>
      <c r="I42094"/>
      <c r="N42094"/>
      <c r="O42094" s="24"/>
      <c r="P42094"/>
      <c r="Q42094" s="24"/>
      <c r="R42094"/>
      <c r="S42094"/>
      <c r="T42094"/>
      <c r="U42094"/>
      <c r="X42094" s="60"/>
    </row>
    <row r="42095" spans="7:24" ht="15" customHeight="1">
      <c r="G42095"/>
      <c r="I42095"/>
      <c r="N42095"/>
      <c r="O42095" s="24"/>
      <c r="P42095"/>
      <c r="Q42095" s="24"/>
      <c r="R42095"/>
      <c r="S42095"/>
      <c r="T42095"/>
      <c r="U42095"/>
      <c r="X42095" s="60"/>
    </row>
    <row r="42096" spans="7:24" ht="15" customHeight="1">
      <c r="G42096"/>
      <c r="I42096"/>
      <c r="N42096"/>
      <c r="O42096" s="24"/>
      <c r="P42096"/>
      <c r="Q42096" s="24"/>
      <c r="R42096"/>
      <c r="S42096"/>
      <c r="T42096"/>
      <c r="U42096"/>
      <c r="X42096" s="60"/>
    </row>
    <row r="42097" spans="7:24" ht="15" customHeight="1">
      <c r="G42097"/>
      <c r="I42097"/>
      <c r="N42097"/>
      <c r="O42097" s="24"/>
      <c r="P42097"/>
      <c r="Q42097" s="24"/>
      <c r="R42097"/>
      <c r="S42097"/>
      <c r="T42097"/>
      <c r="U42097"/>
      <c r="X42097" s="60"/>
    </row>
    <row r="42098" spans="7:24" ht="15" customHeight="1">
      <c r="G42098"/>
      <c r="I42098"/>
      <c r="N42098"/>
      <c r="O42098" s="24"/>
      <c r="P42098"/>
      <c r="Q42098" s="24"/>
      <c r="R42098"/>
      <c r="S42098"/>
      <c r="T42098"/>
      <c r="U42098"/>
      <c r="X42098" s="60"/>
    </row>
    <row r="42099" spans="7:24" ht="15" customHeight="1">
      <c r="G42099"/>
      <c r="I42099"/>
      <c r="N42099"/>
      <c r="O42099" s="24"/>
      <c r="P42099"/>
      <c r="Q42099" s="24"/>
      <c r="R42099"/>
      <c r="S42099"/>
      <c r="T42099"/>
      <c r="U42099"/>
      <c r="X42099" s="60"/>
    </row>
    <row r="42100" spans="7:24" ht="15" customHeight="1">
      <c r="G42100"/>
      <c r="I42100"/>
      <c r="N42100"/>
      <c r="O42100" s="24"/>
      <c r="P42100"/>
      <c r="Q42100" s="24"/>
      <c r="R42100"/>
      <c r="S42100"/>
      <c r="T42100"/>
      <c r="U42100"/>
      <c r="X42100" s="60"/>
    </row>
    <row r="42101" spans="7:24" ht="15" customHeight="1">
      <c r="G42101"/>
      <c r="I42101"/>
      <c r="N42101"/>
      <c r="O42101" s="24"/>
      <c r="P42101"/>
      <c r="Q42101" s="24"/>
      <c r="R42101"/>
      <c r="S42101"/>
      <c r="T42101"/>
      <c r="U42101"/>
      <c r="X42101" s="60"/>
    </row>
    <row r="42102" spans="7:24" ht="15" customHeight="1">
      <c r="G42102"/>
      <c r="I42102"/>
      <c r="N42102"/>
      <c r="O42102" s="24"/>
      <c r="P42102"/>
      <c r="Q42102" s="24"/>
      <c r="R42102"/>
      <c r="S42102"/>
      <c r="T42102"/>
      <c r="U42102"/>
      <c r="X42102" s="60"/>
    </row>
    <row r="42103" spans="7:24" ht="15" customHeight="1">
      <c r="G42103"/>
      <c r="I42103"/>
      <c r="N42103"/>
      <c r="O42103" s="24"/>
      <c r="P42103"/>
      <c r="Q42103" s="24"/>
      <c r="R42103"/>
      <c r="S42103"/>
      <c r="T42103"/>
      <c r="U42103"/>
      <c r="X42103" s="60"/>
    </row>
    <row r="42104" spans="7:24" ht="15" customHeight="1">
      <c r="G42104"/>
      <c r="I42104"/>
      <c r="N42104"/>
      <c r="O42104" s="24"/>
      <c r="P42104"/>
      <c r="Q42104" s="24"/>
      <c r="R42104"/>
      <c r="S42104"/>
      <c r="T42104"/>
      <c r="U42104"/>
      <c r="X42104" s="60"/>
    </row>
    <row r="42105" spans="7:24" ht="15" customHeight="1">
      <c r="G42105"/>
      <c r="I42105"/>
      <c r="N42105"/>
      <c r="O42105" s="24"/>
      <c r="P42105"/>
      <c r="Q42105" s="24"/>
      <c r="R42105"/>
      <c r="S42105"/>
      <c r="T42105"/>
      <c r="U42105"/>
      <c r="X42105" s="60"/>
    </row>
    <row r="42106" spans="7:24" ht="15" customHeight="1">
      <c r="G42106"/>
      <c r="I42106"/>
      <c r="N42106"/>
      <c r="O42106" s="24"/>
      <c r="P42106"/>
      <c r="Q42106" s="24"/>
      <c r="R42106"/>
      <c r="S42106"/>
      <c r="T42106"/>
      <c r="U42106"/>
      <c r="X42106" s="60"/>
    </row>
    <row r="42107" spans="7:24" ht="15" customHeight="1">
      <c r="G42107"/>
      <c r="I42107"/>
      <c r="N42107"/>
      <c r="O42107" s="24"/>
      <c r="P42107"/>
      <c r="Q42107" s="24"/>
      <c r="R42107"/>
      <c r="S42107"/>
      <c r="T42107"/>
      <c r="U42107"/>
      <c r="X42107" s="60"/>
    </row>
    <row r="42108" spans="7:24" ht="15" customHeight="1">
      <c r="G42108"/>
      <c r="I42108"/>
      <c r="N42108"/>
      <c r="O42108" s="24"/>
      <c r="P42108"/>
      <c r="Q42108" s="24"/>
      <c r="R42108"/>
      <c r="S42108"/>
      <c r="T42108"/>
      <c r="U42108"/>
      <c r="X42108" s="60"/>
    </row>
    <row r="42109" spans="7:24" ht="15" customHeight="1">
      <c r="G42109"/>
      <c r="I42109"/>
      <c r="N42109"/>
      <c r="O42109" s="24"/>
      <c r="P42109"/>
      <c r="Q42109" s="24"/>
      <c r="R42109"/>
      <c r="S42109"/>
      <c r="T42109"/>
      <c r="U42109"/>
      <c r="X42109" s="60"/>
    </row>
    <row r="42110" spans="7:24" ht="15" customHeight="1">
      <c r="G42110"/>
      <c r="I42110"/>
      <c r="N42110"/>
      <c r="O42110" s="24"/>
      <c r="P42110"/>
      <c r="Q42110" s="24"/>
      <c r="R42110"/>
      <c r="S42110"/>
      <c r="T42110"/>
      <c r="U42110"/>
      <c r="X42110" s="60"/>
    </row>
    <row r="42111" spans="7:24" ht="15" customHeight="1">
      <c r="G42111"/>
      <c r="I42111"/>
      <c r="N42111"/>
      <c r="O42111" s="24"/>
      <c r="P42111"/>
      <c r="Q42111" s="24"/>
      <c r="R42111"/>
      <c r="S42111"/>
      <c r="T42111"/>
      <c r="U42111"/>
      <c r="X42111" s="60"/>
    </row>
    <row r="42112" spans="7:24" ht="15" customHeight="1">
      <c r="G42112"/>
      <c r="I42112"/>
      <c r="N42112"/>
      <c r="O42112" s="24"/>
      <c r="P42112"/>
      <c r="Q42112" s="24"/>
      <c r="R42112"/>
      <c r="S42112"/>
      <c r="T42112"/>
      <c r="U42112"/>
      <c r="X42112" s="60"/>
    </row>
    <row r="42113" spans="7:24" ht="15" customHeight="1">
      <c r="G42113"/>
      <c r="I42113"/>
      <c r="N42113"/>
      <c r="O42113" s="24"/>
      <c r="P42113"/>
      <c r="Q42113" s="24"/>
      <c r="R42113"/>
      <c r="S42113"/>
      <c r="T42113"/>
      <c r="U42113"/>
      <c r="X42113" s="60"/>
    </row>
    <row r="42114" spans="7:24" ht="15" customHeight="1">
      <c r="G42114"/>
      <c r="I42114"/>
      <c r="N42114"/>
      <c r="O42114" s="24"/>
      <c r="P42114"/>
      <c r="Q42114" s="24"/>
      <c r="R42114"/>
      <c r="S42114"/>
      <c r="T42114"/>
      <c r="U42114"/>
      <c r="X42114" s="60"/>
    </row>
    <row r="42115" spans="7:24" ht="15" customHeight="1">
      <c r="G42115"/>
      <c r="I42115"/>
      <c r="N42115"/>
      <c r="O42115" s="24"/>
      <c r="P42115"/>
      <c r="Q42115" s="24"/>
      <c r="R42115"/>
      <c r="S42115"/>
      <c r="T42115"/>
      <c r="U42115"/>
      <c r="X42115" s="60"/>
    </row>
    <row r="42116" spans="7:24" ht="15" customHeight="1">
      <c r="G42116"/>
      <c r="I42116"/>
      <c r="N42116"/>
      <c r="O42116" s="24"/>
      <c r="P42116"/>
      <c r="Q42116" s="24"/>
      <c r="R42116"/>
      <c r="S42116"/>
      <c r="T42116"/>
      <c r="U42116"/>
      <c r="X42116" s="60"/>
    </row>
    <row r="42117" spans="7:24" ht="15" customHeight="1">
      <c r="G42117"/>
      <c r="I42117"/>
      <c r="N42117"/>
      <c r="O42117" s="24"/>
      <c r="P42117"/>
      <c r="Q42117" s="24"/>
      <c r="R42117"/>
      <c r="S42117"/>
      <c r="T42117"/>
      <c r="U42117"/>
      <c r="X42117" s="60"/>
    </row>
    <row r="42118" spans="7:24" ht="15" customHeight="1">
      <c r="G42118"/>
      <c r="I42118"/>
      <c r="N42118"/>
      <c r="O42118" s="24"/>
      <c r="P42118"/>
      <c r="Q42118" s="24"/>
      <c r="R42118"/>
      <c r="S42118"/>
      <c r="T42118"/>
      <c r="U42118"/>
      <c r="X42118" s="60"/>
    </row>
    <row r="42119" spans="7:24" ht="15" customHeight="1">
      <c r="G42119"/>
      <c r="I42119"/>
      <c r="N42119"/>
      <c r="O42119" s="24"/>
      <c r="P42119"/>
      <c r="Q42119" s="24"/>
      <c r="R42119"/>
      <c r="S42119"/>
      <c r="T42119"/>
      <c r="U42119"/>
      <c r="X42119" s="60"/>
    </row>
    <row r="42120" spans="7:24" ht="15" customHeight="1">
      <c r="G42120"/>
      <c r="I42120"/>
      <c r="N42120"/>
      <c r="O42120" s="24"/>
      <c r="P42120"/>
      <c r="Q42120" s="24"/>
      <c r="R42120"/>
      <c r="S42120"/>
      <c r="T42120"/>
      <c r="U42120"/>
      <c r="X42120" s="60"/>
    </row>
    <row r="42121" spans="7:24" ht="15" customHeight="1">
      <c r="G42121"/>
      <c r="I42121"/>
      <c r="N42121"/>
      <c r="O42121" s="24"/>
      <c r="P42121"/>
      <c r="Q42121" s="24"/>
      <c r="R42121"/>
      <c r="S42121"/>
      <c r="T42121"/>
      <c r="U42121"/>
      <c r="X42121" s="60"/>
    </row>
    <row r="42122" spans="7:24" ht="15" customHeight="1">
      <c r="G42122"/>
      <c r="I42122"/>
      <c r="N42122"/>
      <c r="O42122" s="24"/>
      <c r="P42122"/>
      <c r="Q42122" s="24"/>
      <c r="R42122"/>
      <c r="S42122"/>
      <c r="T42122"/>
      <c r="U42122"/>
      <c r="X42122" s="60"/>
    </row>
    <row r="42123" spans="7:24" ht="15" customHeight="1">
      <c r="G42123"/>
      <c r="I42123"/>
      <c r="N42123"/>
      <c r="O42123" s="24"/>
      <c r="P42123"/>
      <c r="Q42123" s="24"/>
      <c r="R42123"/>
      <c r="S42123"/>
      <c r="T42123"/>
      <c r="U42123"/>
      <c r="X42123" s="60"/>
    </row>
    <row r="42124" spans="7:24" ht="15" customHeight="1">
      <c r="G42124"/>
      <c r="I42124"/>
      <c r="N42124"/>
      <c r="O42124" s="24"/>
      <c r="P42124"/>
      <c r="Q42124" s="24"/>
      <c r="R42124"/>
      <c r="S42124"/>
      <c r="T42124"/>
      <c r="U42124"/>
      <c r="X42124" s="60"/>
    </row>
    <row r="42125" spans="7:24" ht="15" customHeight="1">
      <c r="G42125"/>
      <c r="I42125"/>
      <c r="N42125"/>
      <c r="O42125" s="24"/>
      <c r="P42125"/>
      <c r="Q42125" s="24"/>
      <c r="R42125"/>
      <c r="S42125"/>
      <c r="T42125"/>
      <c r="U42125"/>
      <c r="X42125" s="60"/>
    </row>
    <row r="42126" spans="7:24" ht="15" customHeight="1">
      <c r="G42126"/>
      <c r="I42126"/>
      <c r="N42126"/>
      <c r="O42126" s="24"/>
      <c r="P42126"/>
      <c r="Q42126" s="24"/>
      <c r="R42126"/>
      <c r="S42126"/>
      <c r="T42126"/>
      <c r="U42126"/>
      <c r="X42126" s="60"/>
    </row>
    <row r="42127" spans="7:24" ht="15" customHeight="1">
      <c r="G42127"/>
      <c r="I42127"/>
      <c r="N42127"/>
      <c r="O42127" s="24"/>
      <c r="P42127"/>
      <c r="Q42127" s="24"/>
      <c r="R42127"/>
      <c r="S42127"/>
      <c r="T42127"/>
      <c r="U42127"/>
      <c r="X42127" s="60"/>
    </row>
    <row r="42128" spans="7:24" ht="15" customHeight="1">
      <c r="G42128"/>
      <c r="I42128"/>
      <c r="N42128"/>
      <c r="O42128" s="24"/>
      <c r="P42128"/>
      <c r="Q42128" s="24"/>
      <c r="R42128"/>
      <c r="S42128"/>
      <c r="T42128"/>
      <c r="U42128"/>
      <c r="X42128" s="60"/>
    </row>
    <row r="42129" spans="7:24" ht="15" customHeight="1">
      <c r="G42129"/>
      <c r="I42129"/>
      <c r="N42129"/>
      <c r="O42129" s="24"/>
      <c r="P42129"/>
      <c r="Q42129" s="24"/>
      <c r="R42129"/>
      <c r="S42129"/>
      <c r="T42129"/>
      <c r="U42129"/>
      <c r="X42129" s="60"/>
    </row>
    <row r="42130" spans="7:24" ht="15" customHeight="1">
      <c r="G42130"/>
      <c r="I42130"/>
      <c r="N42130"/>
      <c r="O42130" s="24"/>
      <c r="P42130"/>
      <c r="Q42130" s="24"/>
      <c r="R42130"/>
      <c r="S42130"/>
      <c r="T42130"/>
      <c r="U42130"/>
      <c r="X42130" s="60"/>
    </row>
    <row r="42131" spans="7:24" ht="15" customHeight="1">
      <c r="G42131"/>
      <c r="I42131"/>
      <c r="N42131"/>
      <c r="O42131" s="24"/>
      <c r="P42131"/>
      <c r="Q42131" s="24"/>
      <c r="R42131"/>
      <c r="S42131"/>
      <c r="T42131"/>
      <c r="U42131"/>
      <c r="X42131" s="60"/>
    </row>
    <row r="42132" spans="7:24" ht="15" customHeight="1">
      <c r="G42132"/>
      <c r="I42132"/>
      <c r="N42132"/>
      <c r="O42132" s="24"/>
      <c r="P42132"/>
      <c r="Q42132" s="24"/>
      <c r="R42132"/>
      <c r="S42132"/>
      <c r="T42132"/>
      <c r="U42132"/>
      <c r="X42132" s="60"/>
    </row>
    <row r="42133" spans="7:24" ht="15" customHeight="1">
      <c r="G42133"/>
      <c r="I42133"/>
      <c r="N42133"/>
      <c r="O42133" s="24"/>
      <c r="P42133"/>
      <c r="Q42133" s="24"/>
      <c r="R42133"/>
      <c r="S42133"/>
      <c r="T42133"/>
      <c r="U42133"/>
      <c r="X42133" s="60"/>
    </row>
    <row r="42134" spans="7:24" ht="15" customHeight="1">
      <c r="G42134"/>
      <c r="I42134"/>
      <c r="N42134"/>
      <c r="O42134" s="24"/>
      <c r="P42134"/>
      <c r="Q42134" s="24"/>
      <c r="R42134"/>
      <c r="S42134"/>
      <c r="T42134"/>
      <c r="U42134"/>
      <c r="X42134" s="60"/>
    </row>
    <row r="42135" spans="7:24" ht="15" customHeight="1">
      <c r="G42135"/>
      <c r="I42135"/>
      <c r="N42135"/>
      <c r="O42135" s="24"/>
      <c r="P42135"/>
      <c r="Q42135" s="24"/>
      <c r="R42135"/>
      <c r="S42135"/>
      <c r="T42135"/>
      <c r="U42135"/>
      <c r="X42135" s="60"/>
    </row>
    <row r="42136" spans="7:24" ht="15" customHeight="1">
      <c r="G42136"/>
      <c r="I42136"/>
      <c r="N42136"/>
      <c r="O42136" s="24"/>
      <c r="P42136"/>
      <c r="Q42136" s="24"/>
      <c r="R42136"/>
      <c r="S42136"/>
      <c r="T42136"/>
      <c r="U42136"/>
      <c r="X42136" s="60"/>
    </row>
    <row r="42137" spans="7:24" ht="15" customHeight="1">
      <c r="G42137"/>
      <c r="I42137"/>
      <c r="N42137"/>
      <c r="O42137" s="24"/>
      <c r="P42137"/>
      <c r="Q42137" s="24"/>
      <c r="R42137"/>
      <c r="S42137"/>
      <c r="T42137"/>
      <c r="U42137"/>
      <c r="X42137" s="60"/>
    </row>
    <row r="42138" spans="7:24" ht="15" customHeight="1">
      <c r="G42138"/>
      <c r="I42138"/>
      <c r="N42138"/>
      <c r="O42138" s="24"/>
      <c r="P42138"/>
      <c r="Q42138" s="24"/>
      <c r="R42138"/>
      <c r="S42138"/>
      <c r="T42138"/>
      <c r="U42138"/>
      <c r="X42138" s="60"/>
    </row>
    <row r="42139" spans="7:24" ht="15" customHeight="1">
      <c r="G42139"/>
      <c r="I42139"/>
      <c r="N42139"/>
      <c r="O42139" s="24"/>
      <c r="P42139"/>
      <c r="Q42139" s="24"/>
      <c r="R42139"/>
      <c r="S42139"/>
      <c r="T42139"/>
      <c r="U42139"/>
      <c r="X42139" s="60"/>
    </row>
    <row r="42140" spans="7:24" ht="15" customHeight="1">
      <c r="G42140"/>
      <c r="I42140"/>
      <c r="N42140"/>
      <c r="O42140" s="24"/>
      <c r="P42140"/>
      <c r="Q42140" s="24"/>
      <c r="R42140"/>
      <c r="S42140"/>
      <c r="T42140"/>
      <c r="U42140"/>
      <c r="X42140" s="60"/>
    </row>
    <row r="42141" spans="7:24" ht="15" customHeight="1">
      <c r="G42141"/>
      <c r="I42141"/>
      <c r="N42141"/>
      <c r="O42141" s="24"/>
      <c r="P42141"/>
      <c r="Q42141" s="24"/>
      <c r="R42141"/>
      <c r="S42141"/>
      <c r="T42141"/>
      <c r="U42141"/>
      <c r="X42141" s="60"/>
    </row>
    <row r="42142" spans="7:24" ht="15" customHeight="1">
      <c r="G42142"/>
      <c r="I42142"/>
      <c r="N42142"/>
      <c r="O42142" s="24"/>
      <c r="P42142"/>
      <c r="Q42142" s="24"/>
      <c r="R42142"/>
      <c r="S42142"/>
      <c r="T42142"/>
      <c r="U42142"/>
      <c r="X42142" s="60"/>
    </row>
    <row r="42143" spans="7:24" ht="15" customHeight="1">
      <c r="G42143"/>
      <c r="I42143"/>
      <c r="N42143"/>
      <c r="O42143" s="24"/>
      <c r="P42143"/>
      <c r="Q42143" s="24"/>
      <c r="R42143"/>
      <c r="S42143"/>
      <c r="T42143"/>
      <c r="U42143"/>
      <c r="X42143" s="60"/>
    </row>
    <row r="42144" spans="7:24" ht="15" customHeight="1">
      <c r="G42144"/>
      <c r="I42144"/>
      <c r="N42144"/>
      <c r="O42144" s="24"/>
      <c r="P42144"/>
      <c r="Q42144" s="24"/>
      <c r="R42144"/>
      <c r="S42144"/>
      <c r="T42144"/>
      <c r="U42144"/>
      <c r="X42144" s="60"/>
    </row>
    <row r="42145" spans="7:24" ht="15" customHeight="1">
      <c r="G42145"/>
      <c r="I42145"/>
      <c r="N42145"/>
      <c r="O42145" s="24"/>
      <c r="P42145"/>
      <c r="Q42145" s="24"/>
      <c r="R42145"/>
      <c r="S42145"/>
      <c r="T42145"/>
      <c r="U42145"/>
      <c r="X42145" s="60"/>
    </row>
    <row r="42146" spans="7:24" ht="15" customHeight="1">
      <c r="G42146"/>
      <c r="I42146"/>
      <c r="N42146"/>
      <c r="O42146" s="24"/>
      <c r="P42146"/>
      <c r="Q42146" s="24"/>
      <c r="R42146"/>
      <c r="S42146"/>
      <c r="T42146"/>
      <c r="U42146"/>
      <c r="X42146" s="60"/>
    </row>
    <row r="42147" spans="7:24" ht="15" customHeight="1">
      <c r="G42147"/>
      <c r="I42147"/>
      <c r="N42147"/>
      <c r="O42147" s="24"/>
      <c r="P42147"/>
      <c r="Q42147" s="24"/>
      <c r="R42147"/>
      <c r="S42147"/>
      <c r="T42147"/>
      <c r="U42147"/>
      <c r="X42147" s="60"/>
    </row>
    <row r="42148" spans="7:24" ht="15" customHeight="1">
      <c r="G42148"/>
      <c r="I42148"/>
      <c r="N42148"/>
      <c r="O42148" s="24"/>
      <c r="P42148"/>
      <c r="Q42148" s="24"/>
      <c r="R42148"/>
      <c r="S42148"/>
      <c r="T42148"/>
      <c r="U42148"/>
      <c r="X42148" s="60"/>
    </row>
    <row r="42149" spans="7:24" ht="15" customHeight="1">
      <c r="G42149"/>
      <c r="I42149"/>
      <c r="N42149"/>
      <c r="O42149" s="24"/>
      <c r="P42149"/>
      <c r="Q42149" s="24"/>
      <c r="R42149"/>
      <c r="S42149"/>
      <c r="T42149"/>
      <c r="U42149"/>
      <c r="X42149" s="60"/>
    </row>
    <row r="42150" spans="7:24" ht="15" customHeight="1">
      <c r="G42150"/>
      <c r="I42150"/>
      <c r="N42150"/>
      <c r="O42150" s="24"/>
      <c r="P42150"/>
      <c r="Q42150" s="24"/>
      <c r="R42150"/>
      <c r="S42150"/>
      <c r="T42150"/>
      <c r="U42150"/>
      <c r="X42150" s="60"/>
    </row>
    <row r="42151" spans="7:24" ht="15" customHeight="1">
      <c r="G42151"/>
      <c r="I42151"/>
      <c r="N42151"/>
      <c r="O42151" s="24"/>
      <c r="P42151"/>
      <c r="Q42151" s="24"/>
      <c r="R42151"/>
      <c r="S42151"/>
      <c r="T42151"/>
      <c r="U42151"/>
      <c r="X42151" s="60"/>
    </row>
    <row r="42152" spans="7:24" ht="15" customHeight="1">
      <c r="G42152"/>
      <c r="I42152"/>
      <c r="N42152"/>
      <c r="O42152" s="24"/>
      <c r="P42152"/>
      <c r="Q42152" s="24"/>
      <c r="R42152"/>
      <c r="S42152"/>
      <c r="T42152"/>
      <c r="U42152"/>
      <c r="X42152" s="60"/>
    </row>
    <row r="42153" spans="7:24" ht="15" customHeight="1">
      <c r="G42153"/>
      <c r="I42153"/>
      <c r="N42153"/>
      <c r="O42153" s="24"/>
      <c r="P42153"/>
      <c r="Q42153" s="24"/>
      <c r="R42153"/>
      <c r="S42153"/>
      <c r="T42153"/>
      <c r="U42153"/>
      <c r="X42153" s="60"/>
    </row>
    <row r="42154" spans="7:24" ht="15" customHeight="1">
      <c r="G42154"/>
      <c r="I42154"/>
      <c r="N42154"/>
      <c r="O42154" s="24"/>
      <c r="P42154"/>
      <c r="Q42154" s="24"/>
      <c r="R42154"/>
      <c r="S42154"/>
      <c r="T42154"/>
      <c r="U42154"/>
      <c r="X42154" s="60"/>
    </row>
    <row r="42155" spans="7:24" ht="15" customHeight="1">
      <c r="G42155"/>
      <c r="I42155"/>
      <c r="N42155"/>
      <c r="O42155" s="24"/>
      <c r="P42155"/>
      <c r="Q42155" s="24"/>
      <c r="R42155"/>
      <c r="S42155"/>
      <c r="T42155"/>
      <c r="U42155"/>
      <c r="X42155" s="60"/>
    </row>
    <row r="42156" spans="7:24" ht="15" customHeight="1">
      <c r="G42156"/>
      <c r="I42156"/>
      <c r="N42156"/>
      <c r="O42156" s="24"/>
      <c r="P42156"/>
      <c r="Q42156" s="24"/>
      <c r="R42156"/>
      <c r="S42156"/>
      <c r="T42156"/>
      <c r="U42156"/>
      <c r="X42156" s="60"/>
    </row>
    <row r="42157" spans="7:24" ht="15" customHeight="1">
      <c r="G42157"/>
      <c r="I42157"/>
      <c r="N42157"/>
      <c r="O42157" s="24"/>
      <c r="P42157"/>
      <c r="Q42157" s="24"/>
      <c r="R42157"/>
      <c r="S42157"/>
      <c r="T42157"/>
      <c r="U42157"/>
      <c r="X42157" s="60"/>
    </row>
    <row r="42158" spans="7:24" ht="15" customHeight="1">
      <c r="G42158"/>
      <c r="I42158"/>
      <c r="N42158"/>
      <c r="O42158" s="24"/>
      <c r="P42158"/>
      <c r="Q42158" s="24"/>
      <c r="R42158"/>
      <c r="S42158"/>
      <c r="T42158"/>
      <c r="U42158"/>
      <c r="X42158" s="60"/>
    </row>
    <row r="42159" spans="7:24" ht="15" customHeight="1">
      <c r="G42159"/>
      <c r="I42159"/>
      <c r="N42159"/>
      <c r="O42159" s="24"/>
      <c r="P42159"/>
      <c r="Q42159" s="24"/>
      <c r="R42159"/>
      <c r="S42159"/>
      <c r="T42159"/>
      <c r="U42159"/>
      <c r="X42159" s="60"/>
    </row>
    <row r="42160" spans="7:24" ht="15" customHeight="1">
      <c r="G42160"/>
      <c r="I42160"/>
      <c r="N42160"/>
      <c r="O42160" s="24"/>
      <c r="P42160"/>
      <c r="Q42160" s="24"/>
      <c r="R42160"/>
      <c r="S42160"/>
      <c r="T42160"/>
      <c r="U42160"/>
      <c r="X42160" s="60"/>
    </row>
    <row r="42161" spans="7:24" ht="15" customHeight="1">
      <c r="G42161"/>
      <c r="I42161"/>
      <c r="N42161"/>
      <c r="O42161" s="24"/>
      <c r="P42161"/>
      <c r="Q42161" s="24"/>
      <c r="R42161"/>
      <c r="S42161"/>
      <c r="T42161"/>
      <c r="U42161"/>
      <c r="X42161" s="60"/>
    </row>
    <row r="42162" spans="7:24" ht="15" customHeight="1">
      <c r="G42162"/>
      <c r="I42162"/>
      <c r="N42162"/>
      <c r="O42162" s="24"/>
      <c r="P42162"/>
      <c r="Q42162" s="24"/>
      <c r="R42162"/>
      <c r="S42162"/>
      <c r="T42162"/>
      <c r="U42162"/>
      <c r="X42162" s="60"/>
    </row>
    <row r="42163" spans="7:24" ht="15" customHeight="1">
      <c r="G42163"/>
      <c r="I42163"/>
      <c r="N42163"/>
      <c r="O42163" s="24"/>
      <c r="P42163"/>
      <c r="Q42163" s="24"/>
      <c r="R42163"/>
      <c r="S42163"/>
      <c r="T42163"/>
      <c r="U42163"/>
      <c r="X42163" s="60"/>
    </row>
    <row r="42164" spans="7:24" ht="15" customHeight="1">
      <c r="G42164"/>
      <c r="I42164"/>
      <c r="N42164"/>
      <c r="O42164" s="24"/>
      <c r="P42164"/>
      <c r="Q42164" s="24"/>
      <c r="R42164"/>
      <c r="S42164"/>
      <c r="T42164"/>
      <c r="U42164"/>
      <c r="X42164" s="60"/>
    </row>
    <row r="42165" spans="7:24" ht="15" customHeight="1">
      <c r="G42165"/>
      <c r="I42165"/>
      <c r="N42165"/>
      <c r="O42165" s="24"/>
      <c r="P42165"/>
      <c r="Q42165" s="24"/>
      <c r="R42165"/>
      <c r="S42165"/>
      <c r="T42165"/>
      <c r="U42165"/>
      <c r="X42165" s="60"/>
    </row>
    <row r="42166" spans="7:24" ht="15" customHeight="1">
      <c r="G42166"/>
      <c r="I42166"/>
      <c r="N42166"/>
      <c r="O42166" s="24"/>
      <c r="P42166"/>
      <c r="Q42166" s="24"/>
      <c r="R42166"/>
      <c r="S42166"/>
      <c r="T42166"/>
      <c r="U42166"/>
      <c r="X42166" s="60"/>
    </row>
    <row r="42167" spans="7:24" ht="15" customHeight="1">
      <c r="G42167"/>
      <c r="I42167"/>
      <c r="N42167"/>
      <c r="O42167" s="24"/>
      <c r="P42167"/>
      <c r="Q42167" s="24"/>
      <c r="R42167"/>
      <c r="S42167"/>
      <c r="T42167"/>
      <c r="U42167"/>
      <c r="X42167" s="60"/>
    </row>
    <row r="42168" spans="7:24" ht="15" customHeight="1">
      <c r="G42168"/>
      <c r="I42168"/>
      <c r="N42168"/>
      <c r="O42168" s="24"/>
      <c r="P42168"/>
      <c r="Q42168" s="24"/>
      <c r="R42168"/>
      <c r="S42168"/>
      <c r="T42168"/>
      <c r="U42168"/>
      <c r="X42168" s="60"/>
    </row>
    <row r="42169" spans="7:24" ht="15" customHeight="1">
      <c r="G42169"/>
      <c r="I42169"/>
      <c r="N42169"/>
      <c r="O42169" s="24"/>
      <c r="P42169"/>
      <c r="Q42169" s="24"/>
      <c r="R42169"/>
      <c r="S42169"/>
      <c r="T42169"/>
      <c r="U42169"/>
      <c r="X42169" s="60"/>
    </row>
    <row r="42170" spans="7:24" ht="15" customHeight="1">
      <c r="G42170"/>
      <c r="I42170"/>
      <c r="N42170"/>
      <c r="O42170" s="24"/>
      <c r="P42170"/>
      <c r="Q42170" s="24"/>
      <c r="R42170"/>
      <c r="S42170"/>
      <c r="T42170"/>
      <c r="U42170"/>
      <c r="X42170" s="60"/>
    </row>
    <row r="42171" spans="7:24" ht="15" customHeight="1">
      <c r="G42171"/>
      <c r="I42171"/>
      <c r="N42171"/>
      <c r="O42171" s="24"/>
      <c r="P42171"/>
      <c r="Q42171" s="24"/>
      <c r="R42171"/>
      <c r="S42171"/>
      <c r="T42171"/>
      <c r="U42171"/>
      <c r="X42171" s="60"/>
    </row>
    <row r="42172" spans="7:24" ht="15" customHeight="1">
      <c r="G42172"/>
      <c r="I42172"/>
      <c r="N42172"/>
      <c r="O42172" s="24"/>
      <c r="P42172"/>
      <c r="Q42172" s="24"/>
      <c r="R42172"/>
      <c r="S42172"/>
      <c r="T42172"/>
      <c r="U42172"/>
      <c r="X42172" s="60"/>
    </row>
    <row r="42173" spans="7:24" ht="15" customHeight="1">
      <c r="G42173"/>
      <c r="I42173"/>
      <c r="N42173"/>
      <c r="O42173" s="24"/>
      <c r="P42173"/>
      <c r="Q42173" s="24"/>
      <c r="R42173"/>
      <c r="S42173"/>
      <c r="T42173"/>
      <c r="U42173"/>
      <c r="X42173" s="60"/>
    </row>
    <row r="42174" spans="7:24" ht="15" customHeight="1">
      <c r="G42174"/>
      <c r="I42174"/>
      <c r="N42174"/>
      <c r="O42174" s="24"/>
      <c r="P42174"/>
      <c r="Q42174" s="24"/>
      <c r="R42174"/>
      <c r="S42174"/>
      <c r="T42174"/>
      <c r="U42174"/>
      <c r="X42174" s="60"/>
    </row>
    <row r="42175" spans="7:24" ht="15" customHeight="1">
      <c r="G42175"/>
      <c r="I42175"/>
      <c r="N42175"/>
      <c r="O42175" s="24"/>
      <c r="P42175"/>
      <c r="Q42175" s="24"/>
      <c r="R42175"/>
      <c r="S42175"/>
      <c r="T42175"/>
      <c r="U42175"/>
      <c r="X42175" s="60"/>
    </row>
    <row r="42176" spans="7:24" ht="15" customHeight="1">
      <c r="G42176"/>
      <c r="I42176"/>
      <c r="N42176"/>
      <c r="O42176" s="24"/>
      <c r="P42176"/>
      <c r="Q42176" s="24"/>
      <c r="R42176"/>
      <c r="S42176"/>
      <c r="T42176"/>
      <c r="U42176"/>
      <c r="X42176" s="60"/>
    </row>
    <row r="42177" spans="7:24" ht="15" customHeight="1">
      <c r="G42177"/>
      <c r="I42177"/>
      <c r="N42177"/>
      <c r="O42177" s="24"/>
      <c r="P42177"/>
      <c r="Q42177" s="24"/>
      <c r="R42177"/>
      <c r="S42177"/>
      <c r="T42177"/>
      <c r="U42177"/>
      <c r="X42177" s="60"/>
    </row>
    <row r="42178" spans="7:24" ht="15" customHeight="1">
      <c r="G42178"/>
      <c r="I42178"/>
      <c r="N42178"/>
      <c r="O42178" s="24"/>
      <c r="P42178"/>
      <c r="Q42178" s="24"/>
      <c r="R42178"/>
      <c r="S42178"/>
      <c r="T42178"/>
      <c r="U42178"/>
      <c r="X42178" s="60"/>
    </row>
    <row r="42179" spans="7:24" ht="15" customHeight="1">
      <c r="G42179"/>
      <c r="I42179"/>
      <c r="N42179"/>
      <c r="O42179" s="24"/>
      <c r="P42179"/>
      <c r="Q42179" s="24"/>
      <c r="R42179"/>
      <c r="S42179"/>
      <c r="T42179"/>
      <c r="U42179"/>
      <c r="X42179" s="60"/>
    </row>
    <row r="42180" spans="7:24" ht="15" customHeight="1">
      <c r="G42180"/>
      <c r="I42180"/>
      <c r="N42180"/>
      <c r="O42180" s="24"/>
      <c r="P42180"/>
      <c r="Q42180" s="24"/>
      <c r="R42180"/>
      <c r="S42180"/>
      <c r="T42180"/>
      <c r="U42180"/>
      <c r="X42180" s="60"/>
    </row>
    <row r="42181" spans="7:24" ht="15" customHeight="1">
      <c r="G42181"/>
      <c r="I42181"/>
      <c r="N42181"/>
      <c r="O42181" s="24"/>
      <c r="P42181"/>
      <c r="Q42181" s="24"/>
      <c r="R42181"/>
      <c r="S42181"/>
      <c r="T42181"/>
      <c r="U42181"/>
      <c r="X42181" s="60"/>
    </row>
    <row r="42182" spans="7:24" ht="15" customHeight="1">
      <c r="G42182"/>
      <c r="I42182"/>
      <c r="N42182"/>
      <c r="O42182" s="24"/>
      <c r="P42182"/>
      <c r="Q42182" s="24"/>
      <c r="R42182"/>
      <c r="S42182"/>
      <c r="T42182"/>
      <c r="U42182"/>
      <c r="X42182" s="60"/>
    </row>
    <row r="42183" spans="7:24" ht="15" customHeight="1">
      <c r="G42183"/>
      <c r="I42183"/>
      <c r="N42183"/>
      <c r="O42183" s="24"/>
      <c r="P42183"/>
      <c r="Q42183" s="24"/>
      <c r="R42183"/>
      <c r="S42183"/>
      <c r="T42183"/>
      <c r="U42183"/>
      <c r="X42183" s="60"/>
    </row>
    <row r="42184" spans="7:24" ht="15" customHeight="1">
      <c r="G42184"/>
      <c r="I42184"/>
      <c r="N42184"/>
      <c r="O42184" s="24"/>
      <c r="P42184"/>
      <c r="Q42184" s="24"/>
      <c r="R42184"/>
      <c r="S42184"/>
      <c r="T42184"/>
      <c r="U42184"/>
      <c r="X42184" s="60"/>
    </row>
    <row r="42185" spans="7:24" ht="15" customHeight="1">
      <c r="G42185"/>
      <c r="I42185"/>
      <c r="N42185"/>
      <c r="O42185" s="24"/>
      <c r="P42185"/>
      <c r="Q42185" s="24"/>
      <c r="R42185"/>
      <c r="S42185"/>
      <c r="T42185"/>
      <c r="U42185"/>
      <c r="X42185" s="60"/>
    </row>
    <row r="42186" spans="7:24" ht="15" customHeight="1">
      <c r="G42186"/>
      <c r="I42186"/>
      <c r="N42186"/>
      <c r="O42186" s="24"/>
      <c r="P42186"/>
      <c r="Q42186" s="24"/>
      <c r="R42186"/>
      <c r="S42186"/>
      <c r="T42186"/>
      <c r="U42186"/>
      <c r="X42186" s="60"/>
    </row>
    <row r="42187" spans="7:24" ht="15" customHeight="1">
      <c r="G42187"/>
      <c r="I42187"/>
      <c r="N42187"/>
      <c r="O42187" s="24"/>
      <c r="P42187"/>
      <c r="Q42187" s="24"/>
      <c r="R42187"/>
      <c r="S42187"/>
      <c r="T42187"/>
      <c r="U42187"/>
      <c r="X42187" s="60"/>
    </row>
    <row r="42188" spans="7:24" ht="15" customHeight="1">
      <c r="G42188"/>
      <c r="I42188"/>
      <c r="N42188"/>
      <c r="O42188" s="24"/>
      <c r="P42188"/>
      <c r="Q42188" s="24"/>
      <c r="R42188"/>
      <c r="S42188"/>
      <c r="T42188"/>
      <c r="U42188"/>
      <c r="X42188" s="60"/>
    </row>
    <row r="42189" spans="7:24" ht="15" customHeight="1">
      <c r="G42189"/>
      <c r="I42189"/>
      <c r="N42189"/>
      <c r="O42189" s="24"/>
      <c r="P42189"/>
      <c r="Q42189" s="24"/>
      <c r="R42189"/>
      <c r="S42189"/>
      <c r="T42189"/>
      <c r="U42189"/>
      <c r="X42189" s="60"/>
    </row>
    <row r="42190" spans="7:24" ht="15" customHeight="1">
      <c r="G42190"/>
      <c r="I42190"/>
      <c r="N42190"/>
      <c r="O42190" s="24"/>
      <c r="P42190"/>
      <c r="Q42190" s="24"/>
      <c r="R42190"/>
      <c r="S42190"/>
      <c r="T42190"/>
      <c r="U42190"/>
      <c r="X42190" s="60"/>
    </row>
    <row r="42191" spans="7:24" ht="15" customHeight="1">
      <c r="G42191"/>
      <c r="I42191"/>
      <c r="N42191"/>
      <c r="O42191" s="24"/>
      <c r="P42191"/>
      <c r="Q42191" s="24"/>
      <c r="R42191"/>
      <c r="S42191"/>
      <c r="T42191"/>
      <c r="U42191"/>
      <c r="X42191" s="60"/>
    </row>
    <row r="42192" spans="7:24" ht="15" customHeight="1">
      <c r="G42192"/>
      <c r="I42192"/>
      <c r="N42192"/>
      <c r="O42192" s="24"/>
      <c r="P42192"/>
      <c r="Q42192" s="24"/>
      <c r="R42192"/>
      <c r="S42192"/>
      <c r="T42192"/>
      <c r="U42192"/>
      <c r="X42192" s="60"/>
    </row>
    <row r="42193" spans="7:24" ht="15" customHeight="1">
      <c r="G42193"/>
      <c r="I42193"/>
      <c r="N42193"/>
      <c r="O42193" s="24"/>
      <c r="P42193"/>
      <c r="Q42193" s="24"/>
      <c r="R42193"/>
      <c r="S42193"/>
      <c r="T42193"/>
      <c r="U42193"/>
      <c r="X42193" s="60"/>
    </row>
    <row r="42194" spans="7:24" ht="15" customHeight="1">
      <c r="G42194"/>
      <c r="I42194"/>
      <c r="N42194"/>
      <c r="O42194" s="24"/>
      <c r="P42194"/>
      <c r="Q42194" s="24"/>
      <c r="R42194"/>
      <c r="S42194"/>
      <c r="T42194"/>
      <c r="U42194"/>
      <c r="X42194" s="60"/>
    </row>
    <row r="42195" spans="7:24" ht="15" customHeight="1">
      <c r="G42195"/>
      <c r="I42195"/>
      <c r="N42195"/>
      <c r="O42195" s="24"/>
      <c r="P42195"/>
      <c r="Q42195" s="24"/>
      <c r="R42195"/>
      <c r="S42195"/>
      <c r="T42195"/>
      <c r="U42195"/>
      <c r="X42195" s="60"/>
    </row>
    <row r="42196" spans="7:24" ht="15" customHeight="1">
      <c r="G42196"/>
      <c r="I42196"/>
      <c r="N42196"/>
      <c r="O42196" s="24"/>
      <c r="P42196"/>
      <c r="Q42196" s="24"/>
      <c r="R42196"/>
      <c r="S42196"/>
      <c r="T42196"/>
      <c r="U42196"/>
      <c r="X42196" s="60"/>
    </row>
    <row r="42197" spans="7:24" ht="15" customHeight="1">
      <c r="G42197"/>
      <c r="I42197"/>
      <c r="N42197"/>
      <c r="O42197" s="24"/>
      <c r="P42197"/>
      <c r="Q42197" s="24"/>
      <c r="R42197"/>
      <c r="S42197"/>
      <c r="T42197"/>
      <c r="U42197"/>
      <c r="X42197" s="60"/>
    </row>
    <row r="42198" spans="7:24" ht="15" customHeight="1">
      <c r="G42198"/>
      <c r="I42198"/>
      <c r="N42198"/>
      <c r="O42198" s="24"/>
      <c r="P42198"/>
      <c r="Q42198" s="24"/>
      <c r="R42198"/>
      <c r="S42198"/>
      <c r="T42198"/>
      <c r="U42198"/>
      <c r="X42198" s="60"/>
    </row>
    <row r="42199" spans="7:24" ht="15" customHeight="1">
      <c r="G42199"/>
      <c r="I42199"/>
      <c r="N42199"/>
      <c r="O42199" s="24"/>
      <c r="P42199"/>
      <c r="Q42199" s="24"/>
      <c r="R42199"/>
      <c r="S42199"/>
      <c r="T42199"/>
      <c r="U42199"/>
      <c r="X42199" s="60"/>
    </row>
    <row r="42200" spans="7:24" ht="15" customHeight="1">
      <c r="G42200"/>
      <c r="I42200"/>
      <c r="N42200"/>
      <c r="O42200" s="24"/>
      <c r="P42200"/>
      <c r="Q42200" s="24"/>
      <c r="R42200"/>
      <c r="S42200"/>
      <c r="T42200"/>
      <c r="U42200"/>
      <c r="X42200" s="60"/>
    </row>
    <row r="42201" spans="7:24" ht="15" customHeight="1">
      <c r="G42201"/>
      <c r="I42201"/>
      <c r="N42201"/>
      <c r="O42201" s="24"/>
      <c r="P42201"/>
      <c r="Q42201" s="24"/>
      <c r="R42201"/>
      <c r="S42201"/>
      <c r="T42201"/>
      <c r="U42201"/>
      <c r="X42201" s="60"/>
    </row>
    <row r="42202" spans="7:24" ht="15" customHeight="1">
      <c r="G42202"/>
      <c r="I42202"/>
      <c r="N42202"/>
      <c r="O42202" s="24"/>
      <c r="P42202"/>
      <c r="Q42202" s="24"/>
      <c r="R42202"/>
      <c r="S42202"/>
      <c r="T42202"/>
      <c r="U42202"/>
      <c r="X42202" s="60"/>
    </row>
    <row r="42203" spans="7:24" ht="15" customHeight="1">
      <c r="G42203"/>
      <c r="I42203"/>
      <c r="N42203"/>
      <c r="O42203" s="24"/>
      <c r="P42203"/>
      <c r="Q42203" s="24"/>
      <c r="R42203"/>
      <c r="S42203"/>
      <c r="T42203"/>
      <c r="U42203"/>
      <c r="X42203" s="60"/>
    </row>
    <row r="42204" spans="7:24" ht="15" customHeight="1">
      <c r="G42204"/>
      <c r="I42204"/>
      <c r="N42204"/>
      <c r="O42204" s="24"/>
      <c r="P42204"/>
      <c r="Q42204" s="24"/>
      <c r="R42204"/>
      <c r="S42204"/>
      <c r="T42204"/>
      <c r="U42204"/>
      <c r="X42204" s="60"/>
    </row>
    <row r="42205" spans="7:24" ht="15" customHeight="1">
      <c r="G42205"/>
      <c r="I42205"/>
      <c r="N42205"/>
      <c r="O42205" s="24"/>
      <c r="P42205"/>
      <c r="Q42205" s="24"/>
      <c r="R42205"/>
      <c r="S42205"/>
      <c r="T42205"/>
      <c r="U42205"/>
      <c r="X42205" s="60"/>
    </row>
    <row r="42206" spans="7:24" ht="15" customHeight="1">
      <c r="G42206"/>
      <c r="I42206"/>
      <c r="N42206"/>
      <c r="O42206" s="24"/>
      <c r="P42206"/>
      <c r="Q42206" s="24"/>
      <c r="R42206"/>
      <c r="S42206"/>
      <c r="T42206"/>
      <c r="U42206"/>
      <c r="X42206" s="60"/>
    </row>
    <row r="42207" spans="7:24" ht="15" customHeight="1">
      <c r="G42207"/>
      <c r="I42207"/>
      <c r="N42207"/>
      <c r="O42207" s="24"/>
      <c r="P42207"/>
      <c r="Q42207" s="24"/>
      <c r="R42207"/>
      <c r="S42207"/>
      <c r="T42207"/>
      <c r="U42207"/>
      <c r="X42207" s="60"/>
    </row>
    <row r="42208" spans="7:24" ht="15" customHeight="1">
      <c r="G42208"/>
      <c r="I42208"/>
      <c r="N42208"/>
      <c r="O42208" s="24"/>
      <c r="P42208"/>
      <c r="Q42208" s="24"/>
      <c r="R42208"/>
      <c r="S42208"/>
      <c r="T42208"/>
      <c r="U42208"/>
      <c r="X42208" s="60"/>
    </row>
    <row r="42209" spans="7:24" ht="15" customHeight="1">
      <c r="G42209"/>
      <c r="I42209"/>
      <c r="N42209"/>
      <c r="O42209" s="24"/>
      <c r="P42209"/>
      <c r="Q42209" s="24"/>
      <c r="R42209"/>
      <c r="S42209"/>
      <c r="T42209"/>
      <c r="U42209"/>
      <c r="X42209" s="60"/>
    </row>
    <row r="42210" spans="7:24" ht="15" customHeight="1">
      <c r="G42210"/>
      <c r="I42210"/>
      <c r="N42210"/>
      <c r="O42210" s="24"/>
      <c r="P42210"/>
      <c r="Q42210" s="24"/>
      <c r="R42210"/>
      <c r="S42210"/>
      <c r="T42210"/>
      <c r="U42210"/>
      <c r="X42210" s="60"/>
    </row>
    <row r="42211" spans="7:24" ht="15" customHeight="1">
      <c r="G42211"/>
      <c r="I42211"/>
      <c r="N42211"/>
      <c r="O42211" s="24"/>
      <c r="P42211"/>
      <c r="Q42211" s="24"/>
      <c r="R42211"/>
      <c r="S42211"/>
      <c r="T42211"/>
      <c r="U42211"/>
      <c r="X42211" s="60"/>
    </row>
    <row r="42212" spans="7:24" ht="15" customHeight="1">
      <c r="G42212"/>
      <c r="I42212"/>
      <c r="N42212"/>
      <c r="O42212" s="24"/>
      <c r="P42212"/>
      <c r="Q42212" s="24"/>
      <c r="R42212"/>
      <c r="S42212"/>
      <c r="T42212"/>
      <c r="U42212"/>
      <c r="X42212" s="60"/>
    </row>
    <row r="42213" spans="7:24" ht="15" customHeight="1">
      <c r="G42213"/>
      <c r="I42213"/>
      <c r="N42213"/>
      <c r="O42213" s="24"/>
      <c r="P42213"/>
      <c r="Q42213" s="24"/>
      <c r="R42213"/>
      <c r="S42213"/>
      <c r="T42213"/>
      <c r="U42213"/>
      <c r="X42213" s="60"/>
    </row>
    <row r="42214" spans="7:24" ht="15" customHeight="1">
      <c r="G42214"/>
      <c r="I42214"/>
      <c r="N42214"/>
      <c r="O42214" s="24"/>
      <c r="P42214"/>
      <c r="Q42214" s="24"/>
      <c r="R42214"/>
      <c r="S42214"/>
      <c r="T42214"/>
      <c r="U42214"/>
      <c r="X42214" s="60"/>
    </row>
    <row r="42215" spans="7:24" ht="15" customHeight="1">
      <c r="G42215"/>
      <c r="I42215"/>
      <c r="N42215"/>
      <c r="O42215" s="24"/>
      <c r="P42215"/>
      <c r="Q42215" s="24"/>
      <c r="R42215"/>
      <c r="S42215"/>
      <c r="T42215"/>
      <c r="U42215"/>
      <c r="X42215" s="60"/>
    </row>
    <row r="42216" spans="7:24" ht="15" customHeight="1">
      <c r="G42216"/>
      <c r="I42216"/>
      <c r="N42216"/>
      <c r="O42216" s="24"/>
      <c r="P42216"/>
      <c r="Q42216" s="24"/>
      <c r="R42216"/>
      <c r="S42216"/>
      <c r="T42216"/>
      <c r="U42216"/>
      <c r="X42216" s="60"/>
    </row>
    <row r="42217" spans="7:24" ht="15" customHeight="1">
      <c r="G42217"/>
      <c r="I42217"/>
      <c r="N42217"/>
      <c r="O42217" s="24"/>
      <c r="P42217"/>
      <c r="Q42217" s="24"/>
      <c r="R42217"/>
      <c r="S42217"/>
      <c r="T42217"/>
      <c r="U42217"/>
      <c r="X42217" s="60"/>
    </row>
    <row r="42218" spans="7:24" ht="15" customHeight="1">
      <c r="G42218"/>
      <c r="I42218"/>
      <c r="N42218"/>
      <c r="O42218" s="24"/>
      <c r="P42218"/>
      <c r="Q42218" s="24"/>
      <c r="R42218"/>
      <c r="S42218"/>
      <c r="T42218"/>
      <c r="U42218"/>
      <c r="X42218" s="60"/>
    </row>
    <row r="42219" spans="7:24" ht="15" customHeight="1">
      <c r="G42219"/>
      <c r="I42219"/>
      <c r="N42219"/>
      <c r="O42219" s="24"/>
      <c r="P42219"/>
      <c r="Q42219" s="24"/>
      <c r="R42219"/>
      <c r="S42219"/>
      <c r="T42219"/>
      <c r="U42219"/>
      <c r="X42219" s="60"/>
    </row>
    <row r="42220" spans="7:24" ht="15" customHeight="1">
      <c r="G42220"/>
      <c r="I42220"/>
      <c r="N42220"/>
      <c r="O42220" s="24"/>
      <c r="P42220"/>
      <c r="Q42220" s="24"/>
      <c r="R42220"/>
      <c r="S42220"/>
      <c r="T42220"/>
      <c r="U42220"/>
      <c r="X42220" s="60"/>
    </row>
    <row r="42221" spans="7:24" ht="15" customHeight="1">
      <c r="G42221"/>
      <c r="I42221"/>
      <c r="N42221"/>
      <c r="O42221" s="24"/>
      <c r="P42221"/>
      <c r="Q42221" s="24"/>
      <c r="R42221"/>
      <c r="S42221"/>
      <c r="T42221"/>
      <c r="U42221"/>
      <c r="X42221" s="60"/>
    </row>
    <row r="42222" spans="7:24" ht="15" customHeight="1">
      <c r="G42222"/>
      <c r="I42222"/>
      <c r="N42222"/>
      <c r="O42222" s="24"/>
      <c r="P42222"/>
      <c r="Q42222" s="24"/>
      <c r="R42222"/>
      <c r="S42222"/>
      <c r="T42222"/>
      <c r="U42222"/>
      <c r="X42222" s="60"/>
    </row>
    <row r="42223" spans="7:24" ht="15" customHeight="1">
      <c r="G42223"/>
      <c r="I42223"/>
      <c r="N42223"/>
      <c r="O42223" s="24"/>
      <c r="P42223"/>
      <c r="Q42223" s="24"/>
      <c r="R42223"/>
      <c r="S42223"/>
      <c r="T42223"/>
      <c r="U42223"/>
      <c r="X42223" s="60"/>
    </row>
    <row r="42224" spans="7:24" ht="15" customHeight="1">
      <c r="G42224"/>
      <c r="I42224"/>
      <c r="N42224"/>
      <c r="O42224" s="24"/>
      <c r="P42224"/>
      <c r="Q42224" s="24"/>
      <c r="R42224"/>
      <c r="S42224"/>
      <c r="T42224"/>
      <c r="U42224"/>
      <c r="X42224" s="60"/>
    </row>
    <row r="42225" spans="7:24" ht="15" customHeight="1">
      <c r="G42225"/>
      <c r="I42225"/>
      <c r="N42225"/>
      <c r="O42225" s="24"/>
      <c r="P42225"/>
      <c r="Q42225" s="24"/>
      <c r="R42225"/>
      <c r="S42225"/>
      <c r="T42225"/>
      <c r="U42225"/>
      <c r="X42225" s="60"/>
    </row>
    <row r="42226" spans="7:24" ht="15" customHeight="1">
      <c r="G42226"/>
      <c r="I42226"/>
      <c r="N42226"/>
      <c r="O42226" s="24"/>
      <c r="P42226"/>
      <c r="Q42226" s="24"/>
      <c r="R42226"/>
      <c r="S42226"/>
      <c r="T42226"/>
      <c r="U42226"/>
      <c r="X42226" s="60"/>
    </row>
    <row r="42227" spans="7:24" ht="15" customHeight="1">
      <c r="G42227"/>
      <c r="I42227"/>
      <c r="N42227"/>
      <c r="O42227" s="24"/>
      <c r="P42227"/>
      <c r="Q42227" s="24"/>
      <c r="R42227"/>
      <c r="S42227"/>
      <c r="T42227"/>
      <c r="U42227"/>
      <c r="X42227" s="60"/>
    </row>
    <row r="42228" spans="7:24" ht="15" customHeight="1">
      <c r="G42228"/>
      <c r="I42228"/>
      <c r="N42228"/>
      <c r="O42228" s="24"/>
      <c r="P42228"/>
      <c r="Q42228" s="24"/>
      <c r="R42228"/>
      <c r="S42228"/>
      <c r="T42228"/>
      <c r="U42228"/>
      <c r="X42228" s="60"/>
    </row>
    <row r="42229" spans="7:24" ht="15" customHeight="1">
      <c r="G42229"/>
      <c r="I42229"/>
      <c r="N42229"/>
      <c r="O42229" s="24"/>
      <c r="P42229"/>
      <c r="Q42229" s="24"/>
      <c r="R42229"/>
      <c r="S42229"/>
      <c r="T42229"/>
      <c r="U42229"/>
      <c r="X42229" s="60"/>
    </row>
    <row r="42230" spans="7:24" ht="15" customHeight="1">
      <c r="G42230"/>
      <c r="I42230"/>
      <c r="N42230"/>
      <c r="O42230" s="24"/>
      <c r="P42230"/>
      <c r="Q42230" s="24"/>
      <c r="R42230"/>
      <c r="S42230"/>
      <c r="T42230"/>
      <c r="U42230"/>
      <c r="X42230" s="60"/>
    </row>
    <row r="42231" spans="7:24" ht="15" customHeight="1">
      <c r="G42231"/>
      <c r="I42231"/>
      <c r="N42231"/>
      <c r="O42231" s="24"/>
      <c r="P42231"/>
      <c r="Q42231" s="24"/>
      <c r="R42231"/>
      <c r="S42231"/>
      <c r="T42231"/>
      <c r="U42231"/>
      <c r="X42231" s="60"/>
    </row>
    <row r="42232" spans="7:24" ht="15" customHeight="1">
      <c r="G42232"/>
      <c r="I42232"/>
      <c r="N42232"/>
      <c r="O42232" s="24"/>
      <c r="P42232"/>
      <c r="Q42232" s="24"/>
      <c r="R42232"/>
      <c r="S42232"/>
      <c r="T42232"/>
      <c r="U42232"/>
      <c r="X42232" s="60"/>
    </row>
    <row r="42233" spans="7:24" ht="15" customHeight="1">
      <c r="G42233"/>
      <c r="I42233"/>
      <c r="N42233"/>
      <c r="O42233" s="24"/>
      <c r="P42233"/>
      <c r="Q42233" s="24"/>
      <c r="R42233"/>
      <c r="S42233"/>
      <c r="T42233"/>
      <c r="U42233"/>
      <c r="X42233" s="60"/>
    </row>
    <row r="42234" spans="7:24" ht="15" customHeight="1">
      <c r="G42234"/>
      <c r="I42234"/>
      <c r="N42234"/>
      <c r="O42234" s="24"/>
      <c r="P42234"/>
      <c r="Q42234" s="24"/>
      <c r="R42234"/>
      <c r="S42234"/>
      <c r="T42234"/>
      <c r="U42234"/>
      <c r="X42234" s="60"/>
    </row>
    <row r="42235" spans="7:24" ht="15" customHeight="1">
      <c r="G42235"/>
      <c r="I42235"/>
      <c r="N42235"/>
      <c r="O42235" s="24"/>
      <c r="P42235"/>
      <c r="Q42235" s="24"/>
      <c r="R42235"/>
      <c r="S42235"/>
      <c r="T42235"/>
      <c r="U42235"/>
      <c r="X42235" s="60"/>
    </row>
    <row r="42236" spans="7:24" ht="15" customHeight="1">
      <c r="G42236"/>
      <c r="I42236"/>
      <c r="N42236"/>
      <c r="O42236" s="24"/>
      <c r="P42236"/>
      <c r="Q42236" s="24"/>
      <c r="R42236"/>
      <c r="S42236"/>
      <c r="T42236"/>
      <c r="U42236"/>
      <c r="X42236" s="60"/>
    </row>
    <row r="42237" spans="7:24" ht="15" customHeight="1">
      <c r="G42237"/>
      <c r="I42237"/>
      <c r="N42237"/>
      <c r="O42237" s="24"/>
      <c r="P42237"/>
      <c r="Q42237" s="24"/>
      <c r="R42237"/>
      <c r="S42237"/>
      <c r="T42237"/>
      <c r="U42237"/>
      <c r="X42237" s="60"/>
    </row>
    <row r="42238" spans="7:24" ht="15" customHeight="1">
      <c r="G42238"/>
      <c r="I42238"/>
      <c r="N42238"/>
      <c r="O42238" s="24"/>
      <c r="P42238"/>
      <c r="Q42238" s="24"/>
      <c r="R42238"/>
      <c r="S42238"/>
      <c r="T42238"/>
      <c r="U42238"/>
      <c r="X42238" s="60"/>
    </row>
    <row r="42239" spans="7:24" ht="15" customHeight="1">
      <c r="G42239"/>
      <c r="I42239"/>
      <c r="N42239"/>
      <c r="O42239" s="24"/>
      <c r="P42239"/>
      <c r="Q42239" s="24"/>
      <c r="R42239"/>
      <c r="S42239"/>
      <c r="T42239"/>
      <c r="U42239"/>
      <c r="X42239" s="60"/>
    </row>
    <row r="42240" spans="7:24" ht="15" customHeight="1">
      <c r="G42240"/>
      <c r="I42240"/>
      <c r="N42240"/>
      <c r="O42240" s="24"/>
      <c r="P42240"/>
      <c r="Q42240" s="24"/>
      <c r="R42240"/>
      <c r="S42240"/>
      <c r="T42240"/>
      <c r="U42240"/>
      <c r="X42240" s="60"/>
    </row>
    <row r="42241" spans="7:24" ht="15" customHeight="1">
      <c r="G42241"/>
      <c r="I42241"/>
      <c r="N42241"/>
      <c r="O42241" s="24"/>
      <c r="P42241"/>
      <c r="Q42241" s="24"/>
      <c r="R42241"/>
      <c r="S42241"/>
      <c r="T42241"/>
      <c r="U42241"/>
      <c r="X42241" s="60"/>
    </row>
    <row r="42242" spans="7:24" ht="15" customHeight="1">
      <c r="G42242"/>
      <c r="I42242"/>
      <c r="N42242"/>
      <c r="O42242" s="24"/>
      <c r="P42242"/>
      <c r="Q42242" s="24"/>
      <c r="R42242"/>
      <c r="S42242"/>
      <c r="T42242"/>
      <c r="U42242"/>
      <c r="X42242" s="60"/>
    </row>
    <row r="42243" spans="7:24" ht="15" customHeight="1">
      <c r="G42243"/>
      <c r="I42243"/>
      <c r="N42243"/>
      <c r="O42243" s="24"/>
      <c r="P42243"/>
      <c r="Q42243" s="24"/>
      <c r="R42243"/>
      <c r="S42243"/>
      <c r="T42243"/>
      <c r="U42243"/>
      <c r="X42243" s="60"/>
    </row>
    <row r="42244" spans="7:24" ht="15" customHeight="1">
      <c r="G42244"/>
      <c r="I42244"/>
      <c r="N42244"/>
      <c r="O42244" s="24"/>
      <c r="P42244"/>
      <c r="Q42244" s="24"/>
      <c r="R42244"/>
      <c r="S42244"/>
      <c r="T42244"/>
      <c r="U42244"/>
      <c r="X42244" s="60"/>
    </row>
    <row r="42245" spans="7:24" ht="15" customHeight="1">
      <c r="G42245"/>
      <c r="I42245"/>
      <c r="N42245"/>
      <c r="O42245" s="24"/>
      <c r="P42245"/>
      <c r="Q42245" s="24"/>
      <c r="R42245"/>
      <c r="S42245"/>
      <c r="T42245"/>
      <c r="U42245"/>
      <c r="X42245" s="60"/>
    </row>
    <row r="42246" spans="7:24" ht="15" customHeight="1">
      <c r="G42246"/>
      <c r="I42246"/>
      <c r="N42246"/>
      <c r="O42246" s="24"/>
      <c r="P42246"/>
      <c r="Q42246" s="24"/>
      <c r="R42246"/>
      <c r="S42246"/>
      <c r="T42246"/>
      <c r="U42246"/>
      <c r="X42246" s="60"/>
    </row>
    <row r="42247" spans="7:24" ht="15" customHeight="1">
      <c r="G42247"/>
      <c r="I42247"/>
      <c r="N42247"/>
      <c r="O42247" s="24"/>
      <c r="P42247"/>
      <c r="Q42247" s="24"/>
      <c r="R42247"/>
      <c r="S42247"/>
      <c r="T42247"/>
      <c r="U42247"/>
      <c r="X42247" s="60"/>
    </row>
    <row r="42248" spans="7:24" ht="15" customHeight="1">
      <c r="G42248"/>
      <c r="I42248"/>
      <c r="N42248"/>
      <c r="O42248" s="24"/>
      <c r="P42248"/>
      <c r="Q42248" s="24"/>
      <c r="R42248"/>
      <c r="S42248"/>
      <c r="T42248"/>
      <c r="U42248"/>
      <c r="X42248" s="60"/>
    </row>
    <row r="42249" spans="7:24" ht="15" customHeight="1">
      <c r="G42249"/>
      <c r="I42249"/>
      <c r="N42249"/>
      <c r="O42249" s="24"/>
      <c r="P42249"/>
      <c r="Q42249" s="24"/>
      <c r="R42249"/>
      <c r="S42249"/>
      <c r="T42249"/>
      <c r="U42249"/>
      <c r="X42249" s="60"/>
    </row>
    <row r="42250" spans="7:24" ht="15" customHeight="1">
      <c r="G42250"/>
      <c r="I42250"/>
      <c r="N42250"/>
      <c r="O42250" s="24"/>
      <c r="P42250"/>
      <c r="Q42250" s="24"/>
      <c r="R42250"/>
      <c r="S42250"/>
      <c r="T42250"/>
      <c r="U42250"/>
      <c r="X42250" s="60"/>
    </row>
    <row r="42251" spans="7:24" ht="15" customHeight="1">
      <c r="G42251"/>
      <c r="I42251"/>
      <c r="N42251"/>
      <c r="O42251" s="24"/>
      <c r="P42251"/>
      <c r="Q42251" s="24"/>
      <c r="R42251"/>
      <c r="S42251"/>
      <c r="T42251"/>
      <c r="U42251"/>
      <c r="X42251" s="60"/>
    </row>
    <row r="42252" spans="7:24" ht="15" customHeight="1">
      <c r="G42252"/>
      <c r="I42252"/>
      <c r="N42252"/>
      <c r="O42252" s="24"/>
      <c r="P42252"/>
      <c r="Q42252" s="24"/>
      <c r="R42252"/>
      <c r="S42252"/>
      <c r="T42252"/>
      <c r="U42252"/>
      <c r="X42252" s="60"/>
    </row>
    <row r="42253" spans="7:24" ht="15" customHeight="1">
      <c r="G42253"/>
      <c r="I42253"/>
      <c r="N42253"/>
      <c r="O42253" s="24"/>
      <c r="P42253"/>
      <c r="Q42253" s="24"/>
      <c r="R42253"/>
      <c r="S42253"/>
      <c r="T42253"/>
      <c r="U42253"/>
      <c r="X42253" s="60"/>
    </row>
    <row r="42254" spans="7:24" ht="15" customHeight="1">
      <c r="G42254"/>
      <c r="I42254"/>
      <c r="N42254"/>
      <c r="O42254" s="24"/>
      <c r="P42254"/>
      <c r="Q42254" s="24"/>
      <c r="R42254"/>
      <c r="S42254"/>
      <c r="T42254"/>
      <c r="U42254"/>
      <c r="X42254" s="60"/>
    </row>
    <row r="42255" spans="7:24" ht="15" customHeight="1">
      <c r="G42255"/>
      <c r="I42255"/>
      <c r="N42255"/>
      <c r="O42255" s="24"/>
      <c r="P42255"/>
      <c r="Q42255" s="24"/>
      <c r="R42255"/>
      <c r="S42255"/>
      <c r="T42255"/>
      <c r="U42255"/>
      <c r="X42255" s="60"/>
    </row>
    <row r="42256" spans="7:24" ht="15" customHeight="1">
      <c r="G42256"/>
      <c r="I42256"/>
      <c r="N42256"/>
      <c r="O42256" s="24"/>
      <c r="P42256"/>
      <c r="Q42256" s="24"/>
      <c r="R42256"/>
      <c r="S42256"/>
      <c r="T42256"/>
      <c r="U42256"/>
      <c r="X42256" s="60"/>
    </row>
    <row r="42257" spans="7:24" ht="15" customHeight="1">
      <c r="G42257"/>
      <c r="I42257"/>
      <c r="N42257"/>
      <c r="O42257" s="24"/>
      <c r="P42257"/>
      <c r="Q42257" s="24"/>
      <c r="R42257"/>
      <c r="S42257"/>
      <c r="T42257"/>
      <c r="U42257"/>
      <c r="X42257" s="60"/>
    </row>
    <row r="42258" spans="7:24" ht="15" customHeight="1">
      <c r="G42258"/>
      <c r="I42258"/>
      <c r="N42258"/>
      <c r="O42258" s="24"/>
      <c r="P42258"/>
      <c r="Q42258" s="24"/>
      <c r="R42258"/>
      <c r="S42258"/>
      <c r="T42258"/>
      <c r="U42258"/>
      <c r="X42258" s="60"/>
    </row>
    <row r="42259" spans="7:24" ht="15" customHeight="1">
      <c r="G42259"/>
      <c r="I42259"/>
      <c r="N42259"/>
      <c r="O42259" s="24"/>
      <c r="P42259"/>
      <c r="Q42259" s="24"/>
      <c r="R42259"/>
      <c r="S42259"/>
      <c r="T42259"/>
      <c r="U42259"/>
      <c r="X42259" s="60"/>
    </row>
    <row r="42260" spans="7:24" ht="15" customHeight="1">
      <c r="G42260"/>
      <c r="I42260"/>
      <c r="N42260"/>
      <c r="O42260" s="24"/>
      <c r="P42260"/>
      <c r="Q42260" s="24"/>
      <c r="R42260"/>
      <c r="S42260"/>
      <c r="T42260"/>
      <c r="U42260"/>
      <c r="X42260" s="60"/>
    </row>
    <row r="42261" spans="7:24" ht="15" customHeight="1">
      <c r="G42261"/>
      <c r="I42261"/>
      <c r="N42261"/>
      <c r="O42261" s="24"/>
      <c r="P42261"/>
      <c r="Q42261" s="24"/>
      <c r="R42261"/>
      <c r="S42261"/>
      <c r="T42261"/>
      <c r="U42261"/>
      <c r="X42261" s="60"/>
    </row>
    <row r="42262" spans="7:24" ht="15" customHeight="1">
      <c r="G42262"/>
      <c r="I42262"/>
      <c r="N42262"/>
      <c r="O42262" s="24"/>
      <c r="P42262"/>
      <c r="Q42262" s="24"/>
      <c r="R42262"/>
      <c r="S42262"/>
      <c r="T42262"/>
      <c r="U42262"/>
      <c r="X42262" s="60"/>
    </row>
    <row r="42263" spans="7:24" ht="15" customHeight="1">
      <c r="G42263"/>
      <c r="I42263"/>
      <c r="N42263"/>
      <c r="O42263" s="24"/>
      <c r="P42263"/>
      <c r="Q42263" s="24"/>
      <c r="R42263"/>
      <c r="S42263"/>
      <c r="T42263"/>
      <c r="U42263"/>
      <c r="X42263" s="60"/>
    </row>
    <row r="42264" spans="7:24" ht="15" customHeight="1">
      <c r="G42264"/>
      <c r="I42264"/>
      <c r="N42264"/>
      <c r="O42264" s="24"/>
      <c r="P42264"/>
      <c r="Q42264" s="24"/>
      <c r="R42264"/>
      <c r="S42264"/>
      <c r="T42264"/>
      <c r="U42264"/>
      <c r="X42264" s="60"/>
    </row>
    <row r="42265" spans="7:24" ht="15" customHeight="1">
      <c r="G42265"/>
      <c r="I42265"/>
      <c r="N42265"/>
      <c r="O42265" s="24"/>
      <c r="P42265"/>
      <c r="Q42265" s="24"/>
      <c r="R42265"/>
      <c r="S42265"/>
      <c r="T42265"/>
      <c r="U42265"/>
      <c r="X42265" s="60"/>
    </row>
    <row r="42266" spans="7:24" ht="15" customHeight="1">
      <c r="G42266"/>
      <c r="I42266"/>
      <c r="N42266"/>
      <c r="O42266" s="24"/>
      <c r="P42266"/>
      <c r="Q42266" s="24"/>
      <c r="R42266"/>
      <c r="S42266"/>
      <c r="T42266"/>
      <c r="U42266"/>
      <c r="X42266" s="60"/>
    </row>
    <row r="42267" spans="7:24" ht="15" customHeight="1">
      <c r="G42267"/>
      <c r="I42267"/>
      <c r="N42267"/>
      <c r="O42267" s="24"/>
      <c r="P42267"/>
      <c r="Q42267" s="24"/>
      <c r="R42267"/>
      <c r="S42267"/>
      <c r="T42267"/>
      <c r="U42267"/>
      <c r="X42267" s="60"/>
    </row>
    <row r="42268" spans="7:24" ht="15" customHeight="1">
      <c r="G42268"/>
      <c r="I42268"/>
      <c r="N42268"/>
      <c r="O42268" s="24"/>
      <c r="P42268"/>
      <c r="Q42268" s="24"/>
      <c r="R42268"/>
      <c r="S42268"/>
      <c r="T42268"/>
      <c r="U42268"/>
      <c r="X42268" s="60"/>
    </row>
    <row r="42269" spans="7:24" ht="15" customHeight="1">
      <c r="G42269"/>
      <c r="I42269"/>
      <c r="N42269"/>
      <c r="O42269" s="24"/>
      <c r="P42269"/>
      <c r="Q42269" s="24"/>
      <c r="R42269"/>
      <c r="S42269"/>
      <c r="T42269"/>
      <c r="U42269"/>
      <c r="X42269" s="60"/>
    </row>
    <row r="42270" spans="7:24" ht="15" customHeight="1">
      <c r="G42270"/>
      <c r="I42270"/>
      <c r="N42270"/>
      <c r="O42270" s="24"/>
      <c r="P42270"/>
      <c r="Q42270" s="24"/>
      <c r="R42270"/>
      <c r="S42270"/>
      <c r="T42270"/>
      <c r="U42270"/>
      <c r="X42270" s="60"/>
    </row>
    <row r="42271" spans="7:24" ht="15" customHeight="1">
      <c r="G42271"/>
      <c r="I42271"/>
      <c r="N42271"/>
      <c r="O42271" s="24"/>
      <c r="P42271"/>
      <c r="Q42271" s="24"/>
      <c r="R42271"/>
      <c r="S42271"/>
      <c r="T42271"/>
      <c r="U42271"/>
      <c r="X42271" s="60"/>
    </row>
    <row r="42272" spans="7:24" ht="15" customHeight="1">
      <c r="G42272"/>
      <c r="I42272"/>
      <c r="N42272"/>
      <c r="O42272" s="24"/>
      <c r="P42272"/>
      <c r="Q42272" s="24"/>
      <c r="R42272"/>
      <c r="S42272"/>
      <c r="T42272"/>
      <c r="U42272"/>
      <c r="X42272" s="60"/>
    </row>
    <row r="42273" spans="7:24" ht="15" customHeight="1">
      <c r="G42273"/>
      <c r="I42273"/>
      <c r="N42273"/>
      <c r="O42273" s="24"/>
      <c r="P42273"/>
      <c r="Q42273" s="24"/>
      <c r="R42273"/>
      <c r="S42273"/>
      <c r="T42273"/>
      <c r="U42273"/>
      <c r="X42273" s="60"/>
    </row>
    <row r="42274" spans="7:24" ht="15" customHeight="1">
      <c r="G42274"/>
      <c r="I42274"/>
      <c r="N42274"/>
      <c r="O42274" s="24"/>
      <c r="P42274"/>
      <c r="Q42274" s="24"/>
      <c r="R42274"/>
      <c r="S42274"/>
      <c r="T42274"/>
      <c r="U42274"/>
      <c r="X42274" s="60"/>
    </row>
    <row r="42275" spans="7:24" ht="15" customHeight="1">
      <c r="G42275"/>
      <c r="I42275"/>
      <c r="N42275"/>
      <c r="O42275" s="24"/>
      <c r="P42275"/>
      <c r="Q42275" s="24"/>
      <c r="R42275"/>
      <c r="S42275"/>
      <c r="T42275"/>
      <c r="U42275"/>
      <c r="X42275" s="60"/>
    </row>
    <row r="42276" spans="7:24" ht="15" customHeight="1">
      <c r="G42276"/>
      <c r="I42276"/>
      <c r="N42276"/>
      <c r="O42276" s="24"/>
      <c r="P42276"/>
      <c r="Q42276" s="24"/>
      <c r="R42276"/>
      <c r="S42276"/>
      <c r="T42276"/>
      <c r="U42276"/>
      <c r="X42276" s="60"/>
    </row>
    <row r="42277" spans="7:24" ht="15" customHeight="1">
      <c r="G42277"/>
      <c r="I42277"/>
      <c r="N42277"/>
      <c r="O42277" s="24"/>
      <c r="P42277"/>
      <c r="Q42277" s="24"/>
      <c r="R42277"/>
      <c r="S42277"/>
      <c r="T42277"/>
      <c r="U42277"/>
      <c r="X42277" s="60"/>
    </row>
    <row r="42278" spans="7:24" ht="15" customHeight="1">
      <c r="G42278"/>
      <c r="I42278"/>
      <c r="N42278"/>
      <c r="O42278" s="24"/>
      <c r="P42278"/>
      <c r="Q42278" s="24"/>
      <c r="R42278"/>
      <c r="S42278"/>
      <c r="T42278"/>
      <c r="U42278"/>
      <c r="X42278" s="60"/>
    </row>
    <row r="42279" spans="7:24" ht="15" customHeight="1">
      <c r="G42279"/>
      <c r="I42279"/>
      <c r="N42279"/>
      <c r="O42279" s="24"/>
      <c r="P42279"/>
      <c r="Q42279" s="24"/>
      <c r="R42279"/>
      <c r="S42279"/>
      <c r="T42279"/>
      <c r="U42279"/>
      <c r="X42279" s="60"/>
    </row>
    <row r="42280" spans="7:24" ht="15" customHeight="1">
      <c r="G42280"/>
      <c r="I42280"/>
      <c r="N42280"/>
      <c r="O42280" s="24"/>
      <c r="P42280"/>
      <c r="Q42280" s="24"/>
      <c r="R42280"/>
      <c r="S42280"/>
      <c r="T42280"/>
      <c r="U42280"/>
      <c r="X42280" s="60"/>
    </row>
    <row r="42281" spans="7:24" ht="15" customHeight="1">
      <c r="G42281"/>
      <c r="I42281"/>
      <c r="N42281"/>
      <c r="O42281" s="24"/>
      <c r="P42281"/>
      <c r="Q42281" s="24"/>
      <c r="R42281"/>
      <c r="S42281"/>
      <c r="T42281"/>
      <c r="U42281"/>
      <c r="X42281" s="60"/>
    </row>
    <row r="42282" spans="7:24" ht="15" customHeight="1">
      <c r="G42282"/>
      <c r="I42282"/>
      <c r="N42282"/>
      <c r="O42282" s="24"/>
      <c r="P42282"/>
      <c r="Q42282" s="24"/>
      <c r="R42282"/>
      <c r="S42282"/>
      <c r="T42282"/>
      <c r="U42282"/>
      <c r="X42282" s="60"/>
    </row>
    <row r="42283" spans="7:24" ht="15" customHeight="1">
      <c r="G42283"/>
      <c r="I42283"/>
      <c r="N42283"/>
      <c r="O42283" s="24"/>
      <c r="P42283"/>
      <c r="Q42283" s="24"/>
      <c r="R42283"/>
      <c r="S42283"/>
      <c r="T42283"/>
      <c r="U42283"/>
      <c r="X42283" s="60"/>
    </row>
    <row r="42284" spans="7:24" ht="15" customHeight="1">
      <c r="G42284"/>
      <c r="I42284"/>
      <c r="N42284"/>
      <c r="O42284" s="24"/>
      <c r="P42284"/>
      <c r="Q42284" s="24"/>
      <c r="R42284"/>
      <c r="S42284"/>
      <c r="T42284"/>
      <c r="U42284"/>
      <c r="X42284" s="60"/>
    </row>
    <row r="42285" spans="7:24" ht="15" customHeight="1">
      <c r="G42285"/>
      <c r="I42285"/>
      <c r="N42285"/>
      <c r="O42285" s="24"/>
      <c r="P42285"/>
      <c r="Q42285" s="24"/>
      <c r="R42285"/>
      <c r="S42285"/>
      <c r="T42285"/>
      <c r="U42285"/>
      <c r="X42285" s="60"/>
    </row>
    <row r="42286" spans="7:24" ht="15" customHeight="1">
      <c r="G42286"/>
      <c r="I42286"/>
      <c r="N42286"/>
      <c r="O42286" s="24"/>
      <c r="P42286"/>
      <c r="Q42286" s="24"/>
      <c r="R42286"/>
      <c r="S42286"/>
      <c r="T42286"/>
      <c r="U42286"/>
      <c r="X42286" s="60"/>
    </row>
    <row r="42287" spans="7:24" ht="15" customHeight="1">
      <c r="G42287"/>
      <c r="I42287"/>
      <c r="N42287"/>
      <c r="O42287" s="24"/>
      <c r="P42287"/>
      <c r="Q42287" s="24"/>
      <c r="R42287"/>
      <c r="S42287"/>
      <c r="T42287"/>
      <c r="U42287"/>
      <c r="X42287" s="60"/>
    </row>
    <row r="42288" spans="7:24" ht="15" customHeight="1">
      <c r="G42288"/>
      <c r="I42288"/>
      <c r="N42288"/>
      <c r="O42288" s="24"/>
      <c r="P42288"/>
      <c r="Q42288" s="24"/>
      <c r="R42288"/>
      <c r="S42288"/>
      <c r="T42288"/>
      <c r="U42288"/>
      <c r="X42288" s="60"/>
    </row>
    <row r="42289" spans="7:24" ht="15" customHeight="1">
      <c r="G42289"/>
      <c r="I42289"/>
      <c r="N42289"/>
      <c r="O42289" s="24"/>
      <c r="P42289"/>
      <c r="Q42289" s="24"/>
      <c r="R42289"/>
      <c r="S42289"/>
      <c r="T42289"/>
      <c r="U42289"/>
      <c r="X42289" s="60"/>
    </row>
    <row r="42290" spans="7:24" ht="15" customHeight="1">
      <c r="G42290"/>
      <c r="I42290"/>
      <c r="N42290"/>
      <c r="O42290" s="24"/>
      <c r="P42290"/>
      <c r="Q42290" s="24"/>
      <c r="R42290"/>
      <c r="S42290"/>
      <c r="T42290"/>
      <c r="U42290"/>
      <c r="X42290" s="60"/>
    </row>
    <row r="42291" spans="7:24" ht="15" customHeight="1">
      <c r="G42291"/>
      <c r="I42291"/>
      <c r="N42291"/>
      <c r="O42291" s="24"/>
      <c r="P42291"/>
      <c r="Q42291" s="24"/>
      <c r="R42291"/>
      <c r="S42291"/>
      <c r="T42291"/>
      <c r="U42291"/>
      <c r="X42291" s="60"/>
    </row>
    <row r="42292" spans="7:24" ht="15" customHeight="1">
      <c r="G42292"/>
      <c r="I42292"/>
      <c r="N42292"/>
      <c r="O42292" s="24"/>
      <c r="P42292"/>
      <c r="Q42292" s="24"/>
      <c r="R42292"/>
      <c r="S42292"/>
      <c r="T42292"/>
      <c r="U42292"/>
      <c r="X42292" s="60"/>
    </row>
    <row r="42293" spans="7:24" ht="15" customHeight="1">
      <c r="G42293"/>
      <c r="I42293"/>
      <c r="N42293"/>
      <c r="O42293" s="24"/>
      <c r="P42293"/>
      <c r="Q42293" s="24"/>
      <c r="R42293"/>
      <c r="S42293"/>
      <c r="T42293"/>
      <c r="U42293"/>
      <c r="X42293" s="60"/>
    </row>
    <row r="42294" spans="7:24" ht="15" customHeight="1">
      <c r="G42294"/>
      <c r="I42294"/>
      <c r="N42294"/>
      <c r="O42294" s="24"/>
      <c r="P42294"/>
      <c r="Q42294" s="24"/>
      <c r="R42294"/>
      <c r="S42294"/>
      <c r="T42294"/>
      <c r="U42294"/>
      <c r="X42294" s="60"/>
    </row>
    <row r="42295" spans="7:24" ht="15" customHeight="1">
      <c r="G42295"/>
      <c r="I42295"/>
      <c r="N42295"/>
      <c r="O42295" s="24"/>
      <c r="P42295"/>
      <c r="Q42295" s="24"/>
      <c r="R42295"/>
      <c r="S42295"/>
      <c r="T42295"/>
      <c r="U42295"/>
      <c r="X42295" s="60"/>
    </row>
    <row r="42296" spans="7:24" ht="15" customHeight="1">
      <c r="G42296"/>
      <c r="I42296"/>
      <c r="N42296"/>
      <c r="O42296" s="24"/>
      <c r="P42296"/>
      <c r="Q42296" s="24"/>
      <c r="R42296"/>
      <c r="S42296"/>
      <c r="T42296"/>
      <c r="U42296"/>
      <c r="X42296" s="60"/>
    </row>
    <row r="42297" spans="7:24" ht="15" customHeight="1">
      <c r="G42297"/>
      <c r="I42297"/>
      <c r="N42297"/>
      <c r="O42297" s="24"/>
      <c r="P42297"/>
      <c r="Q42297" s="24"/>
      <c r="R42297"/>
      <c r="S42297"/>
      <c r="T42297"/>
      <c r="U42297"/>
      <c r="X42297" s="60"/>
    </row>
    <row r="42298" spans="7:24" ht="15" customHeight="1">
      <c r="G42298"/>
      <c r="I42298"/>
      <c r="N42298"/>
      <c r="O42298" s="24"/>
      <c r="P42298"/>
      <c r="Q42298" s="24"/>
      <c r="R42298"/>
      <c r="S42298"/>
      <c r="T42298"/>
      <c r="U42298"/>
      <c r="X42298" s="60"/>
    </row>
    <row r="42299" spans="7:24" ht="15" customHeight="1">
      <c r="G42299"/>
      <c r="I42299"/>
      <c r="N42299"/>
      <c r="O42299" s="24"/>
      <c r="P42299"/>
      <c r="Q42299" s="24"/>
      <c r="R42299"/>
      <c r="S42299"/>
      <c r="T42299"/>
      <c r="U42299"/>
      <c r="X42299" s="60"/>
    </row>
    <row r="42300" spans="7:24" ht="15" customHeight="1">
      <c r="G42300"/>
      <c r="I42300"/>
      <c r="N42300"/>
      <c r="O42300" s="24"/>
      <c r="P42300"/>
      <c r="Q42300" s="24"/>
      <c r="R42300"/>
      <c r="S42300"/>
      <c r="T42300"/>
      <c r="U42300"/>
      <c r="X42300" s="60"/>
    </row>
    <row r="42301" spans="7:24" ht="15" customHeight="1">
      <c r="G42301"/>
      <c r="I42301"/>
      <c r="N42301"/>
      <c r="O42301" s="24"/>
      <c r="P42301"/>
      <c r="Q42301" s="24"/>
      <c r="R42301"/>
      <c r="S42301"/>
      <c r="T42301"/>
      <c r="U42301"/>
      <c r="X42301" s="60"/>
    </row>
    <row r="42302" spans="7:24" ht="15" customHeight="1">
      <c r="G42302"/>
      <c r="I42302"/>
      <c r="N42302"/>
      <c r="O42302" s="24"/>
      <c r="P42302"/>
      <c r="Q42302" s="24"/>
      <c r="R42302"/>
      <c r="S42302"/>
      <c r="T42302"/>
      <c r="U42302"/>
      <c r="X42302" s="60"/>
    </row>
    <row r="42303" spans="7:24" ht="15" customHeight="1">
      <c r="G42303"/>
      <c r="I42303"/>
      <c r="N42303"/>
      <c r="O42303" s="24"/>
      <c r="P42303"/>
      <c r="Q42303" s="24"/>
      <c r="R42303"/>
      <c r="S42303"/>
      <c r="T42303"/>
      <c r="U42303"/>
      <c r="X42303" s="60"/>
    </row>
    <row r="42304" spans="7:24" ht="15" customHeight="1">
      <c r="G42304"/>
      <c r="I42304"/>
      <c r="N42304"/>
      <c r="O42304" s="24"/>
      <c r="P42304"/>
      <c r="Q42304" s="24"/>
      <c r="R42304"/>
      <c r="S42304"/>
      <c r="T42304"/>
      <c r="U42304"/>
      <c r="X42304" s="60"/>
    </row>
    <row r="42305" spans="7:24" ht="15" customHeight="1">
      <c r="G42305"/>
      <c r="I42305"/>
      <c r="N42305"/>
      <c r="O42305" s="24"/>
      <c r="P42305"/>
      <c r="Q42305" s="24"/>
      <c r="R42305"/>
      <c r="S42305"/>
      <c r="T42305"/>
      <c r="U42305"/>
      <c r="X42305" s="60"/>
    </row>
    <row r="42306" spans="7:24" ht="15" customHeight="1">
      <c r="G42306"/>
      <c r="I42306"/>
      <c r="N42306"/>
      <c r="O42306" s="24"/>
      <c r="P42306"/>
      <c r="Q42306" s="24"/>
      <c r="R42306"/>
      <c r="S42306"/>
      <c r="T42306"/>
      <c r="U42306"/>
      <c r="X42306" s="60"/>
    </row>
    <row r="42307" spans="7:24" ht="15" customHeight="1">
      <c r="G42307"/>
      <c r="I42307"/>
      <c r="N42307"/>
      <c r="O42307" s="24"/>
      <c r="P42307"/>
      <c r="Q42307" s="24"/>
      <c r="R42307"/>
      <c r="S42307"/>
      <c r="T42307"/>
      <c r="U42307"/>
      <c r="X42307" s="60"/>
    </row>
    <row r="42308" spans="7:24" ht="15" customHeight="1">
      <c r="G42308"/>
      <c r="I42308"/>
      <c r="N42308"/>
      <c r="O42308" s="24"/>
      <c r="P42308"/>
      <c r="Q42308" s="24"/>
      <c r="R42308"/>
      <c r="S42308"/>
      <c r="T42308"/>
      <c r="U42308"/>
      <c r="X42308" s="60"/>
    </row>
    <row r="42309" spans="7:24" ht="15" customHeight="1">
      <c r="G42309"/>
      <c r="I42309"/>
      <c r="N42309"/>
      <c r="O42309" s="24"/>
      <c r="P42309"/>
      <c r="Q42309" s="24"/>
      <c r="R42309"/>
      <c r="S42309"/>
      <c r="T42309"/>
      <c r="U42309"/>
      <c r="X42309" s="60"/>
    </row>
    <row r="42310" spans="7:24" ht="15" customHeight="1">
      <c r="G42310"/>
      <c r="I42310"/>
      <c r="N42310"/>
      <c r="O42310" s="24"/>
      <c r="P42310"/>
      <c r="Q42310" s="24"/>
      <c r="R42310"/>
      <c r="S42310"/>
      <c r="T42310"/>
      <c r="U42310"/>
      <c r="X42310" s="60"/>
    </row>
    <row r="42311" spans="7:24" ht="15" customHeight="1">
      <c r="G42311"/>
      <c r="I42311"/>
      <c r="N42311"/>
      <c r="O42311" s="24"/>
      <c r="P42311"/>
      <c r="Q42311" s="24"/>
      <c r="R42311"/>
      <c r="S42311"/>
      <c r="T42311"/>
      <c r="U42311"/>
      <c r="X42311" s="60"/>
    </row>
    <row r="42312" spans="7:24" ht="15" customHeight="1">
      <c r="G42312"/>
      <c r="I42312"/>
      <c r="N42312"/>
      <c r="O42312" s="24"/>
      <c r="P42312"/>
      <c r="Q42312" s="24"/>
      <c r="R42312"/>
      <c r="S42312"/>
      <c r="T42312"/>
      <c r="U42312"/>
      <c r="X42312" s="60"/>
    </row>
    <row r="42313" spans="7:24" ht="15" customHeight="1">
      <c r="G42313"/>
      <c r="I42313"/>
      <c r="N42313"/>
      <c r="O42313" s="24"/>
      <c r="P42313"/>
      <c r="Q42313" s="24"/>
      <c r="R42313"/>
      <c r="S42313"/>
      <c r="T42313"/>
      <c r="U42313"/>
      <c r="X42313" s="60"/>
    </row>
    <row r="42314" spans="7:24" ht="15" customHeight="1">
      <c r="G42314"/>
      <c r="I42314"/>
      <c r="N42314"/>
      <c r="O42314" s="24"/>
      <c r="P42314"/>
      <c r="Q42314" s="24"/>
      <c r="R42314"/>
      <c r="S42314"/>
      <c r="T42314"/>
      <c r="U42314"/>
      <c r="X42314" s="60"/>
    </row>
    <row r="42315" spans="7:24" ht="15" customHeight="1">
      <c r="G42315"/>
      <c r="I42315"/>
      <c r="N42315"/>
      <c r="O42315" s="24"/>
      <c r="P42315"/>
      <c r="Q42315" s="24"/>
      <c r="R42315"/>
      <c r="S42315"/>
      <c r="T42315"/>
      <c r="U42315"/>
      <c r="X42315" s="60"/>
    </row>
    <row r="42316" spans="7:24" ht="15" customHeight="1">
      <c r="G42316"/>
      <c r="I42316"/>
      <c r="N42316"/>
      <c r="O42316" s="24"/>
      <c r="P42316"/>
      <c r="Q42316" s="24"/>
      <c r="R42316"/>
      <c r="S42316"/>
      <c r="T42316"/>
      <c r="U42316"/>
      <c r="X42316" s="60"/>
    </row>
    <row r="42317" spans="7:24" ht="15" customHeight="1">
      <c r="G42317"/>
      <c r="I42317"/>
      <c r="N42317"/>
      <c r="O42317" s="24"/>
      <c r="P42317"/>
      <c r="Q42317" s="24"/>
      <c r="R42317"/>
      <c r="S42317"/>
      <c r="T42317"/>
      <c r="U42317"/>
      <c r="X42317" s="60"/>
    </row>
    <row r="42318" spans="7:24" ht="15" customHeight="1">
      <c r="G42318"/>
      <c r="I42318"/>
      <c r="N42318"/>
      <c r="O42318" s="24"/>
      <c r="P42318"/>
      <c r="Q42318" s="24"/>
      <c r="R42318"/>
      <c r="S42318"/>
      <c r="T42318"/>
      <c r="U42318"/>
      <c r="X42318" s="60"/>
    </row>
    <row r="42319" spans="7:24" ht="15" customHeight="1">
      <c r="G42319"/>
      <c r="I42319"/>
      <c r="N42319"/>
      <c r="O42319" s="24"/>
      <c r="P42319"/>
      <c r="Q42319" s="24"/>
      <c r="R42319"/>
      <c r="S42319"/>
      <c r="T42319"/>
      <c r="U42319"/>
      <c r="X42319" s="60"/>
    </row>
    <row r="42320" spans="7:24" ht="15" customHeight="1">
      <c r="G42320"/>
      <c r="I42320"/>
      <c r="N42320"/>
      <c r="O42320" s="24"/>
      <c r="P42320"/>
      <c r="Q42320" s="24"/>
      <c r="R42320"/>
      <c r="S42320"/>
      <c r="T42320"/>
      <c r="U42320"/>
      <c r="X42320" s="60"/>
    </row>
    <row r="42321" spans="7:24" ht="15" customHeight="1">
      <c r="G42321"/>
      <c r="I42321"/>
      <c r="N42321"/>
      <c r="O42321" s="24"/>
      <c r="P42321"/>
      <c r="Q42321" s="24"/>
      <c r="R42321"/>
      <c r="S42321"/>
      <c r="T42321"/>
      <c r="U42321"/>
      <c r="X42321" s="60"/>
    </row>
    <row r="42322" spans="7:24" ht="15" customHeight="1">
      <c r="G42322"/>
      <c r="I42322"/>
      <c r="N42322"/>
      <c r="O42322" s="24"/>
      <c r="P42322"/>
      <c r="Q42322" s="24"/>
      <c r="R42322"/>
      <c r="S42322"/>
      <c r="T42322"/>
      <c r="U42322"/>
      <c r="X42322" s="60"/>
    </row>
    <row r="42323" spans="7:24" ht="15" customHeight="1">
      <c r="G42323"/>
      <c r="I42323"/>
      <c r="N42323"/>
      <c r="O42323" s="24"/>
      <c r="P42323"/>
      <c r="Q42323" s="24"/>
      <c r="R42323"/>
      <c r="S42323"/>
      <c r="T42323"/>
      <c r="U42323"/>
      <c r="X42323" s="60"/>
    </row>
    <row r="42324" spans="7:24" ht="15" customHeight="1">
      <c r="G42324"/>
      <c r="I42324"/>
      <c r="N42324"/>
      <c r="O42324" s="24"/>
      <c r="P42324"/>
      <c r="Q42324" s="24"/>
      <c r="R42324"/>
      <c r="S42324"/>
      <c r="T42324"/>
      <c r="U42324"/>
      <c r="X42324" s="60"/>
    </row>
    <row r="42325" spans="7:24" ht="15" customHeight="1">
      <c r="G42325"/>
      <c r="I42325"/>
      <c r="N42325"/>
      <c r="O42325" s="24"/>
      <c r="P42325"/>
      <c r="Q42325" s="24"/>
      <c r="R42325"/>
      <c r="S42325"/>
      <c r="T42325"/>
      <c r="U42325"/>
      <c r="X42325" s="60"/>
    </row>
    <row r="42326" spans="7:24" ht="15" customHeight="1">
      <c r="G42326"/>
      <c r="I42326"/>
      <c r="N42326"/>
      <c r="O42326" s="24"/>
      <c r="P42326"/>
      <c r="Q42326" s="24"/>
      <c r="R42326"/>
      <c r="S42326"/>
      <c r="T42326"/>
      <c r="U42326"/>
      <c r="X42326" s="60"/>
    </row>
    <row r="42327" spans="7:24" ht="15" customHeight="1">
      <c r="G42327"/>
      <c r="I42327"/>
      <c r="N42327"/>
      <c r="O42327" s="24"/>
      <c r="P42327"/>
      <c r="Q42327" s="24"/>
      <c r="R42327"/>
      <c r="S42327"/>
      <c r="T42327"/>
      <c r="U42327"/>
      <c r="X42327" s="60"/>
    </row>
    <row r="42328" spans="7:24" ht="15" customHeight="1">
      <c r="G42328"/>
      <c r="I42328"/>
      <c r="N42328"/>
      <c r="O42328" s="24"/>
      <c r="P42328"/>
      <c r="Q42328" s="24"/>
      <c r="R42328"/>
      <c r="S42328"/>
      <c r="T42328"/>
      <c r="U42328"/>
      <c r="X42328" s="60"/>
    </row>
    <row r="42329" spans="7:24" ht="15" customHeight="1">
      <c r="G42329"/>
      <c r="I42329"/>
      <c r="N42329"/>
      <c r="O42329" s="24"/>
      <c r="P42329"/>
      <c r="Q42329" s="24"/>
      <c r="R42329"/>
      <c r="S42329"/>
      <c r="T42329"/>
      <c r="U42329"/>
      <c r="X42329" s="60"/>
    </row>
    <row r="42330" spans="7:24" ht="15" customHeight="1">
      <c r="G42330"/>
      <c r="I42330"/>
      <c r="N42330"/>
      <c r="O42330" s="24"/>
      <c r="P42330"/>
      <c r="Q42330" s="24"/>
      <c r="R42330"/>
      <c r="S42330"/>
      <c r="T42330"/>
      <c r="U42330"/>
      <c r="X42330" s="60"/>
    </row>
    <row r="42331" spans="7:24" ht="15" customHeight="1">
      <c r="G42331"/>
      <c r="I42331"/>
      <c r="N42331"/>
      <c r="O42331" s="24"/>
      <c r="P42331"/>
      <c r="Q42331" s="24"/>
      <c r="R42331"/>
      <c r="S42331"/>
      <c r="T42331"/>
      <c r="U42331"/>
      <c r="X42331" s="60"/>
    </row>
    <row r="42332" spans="7:24" ht="15" customHeight="1">
      <c r="G42332"/>
      <c r="I42332"/>
      <c r="N42332"/>
      <c r="O42332" s="24"/>
      <c r="P42332"/>
      <c r="Q42332" s="24"/>
      <c r="R42332"/>
      <c r="S42332"/>
      <c r="T42332"/>
      <c r="U42332"/>
      <c r="X42332" s="60"/>
    </row>
    <row r="42333" spans="7:24" ht="15" customHeight="1">
      <c r="G42333"/>
      <c r="I42333"/>
      <c r="N42333"/>
      <c r="O42333" s="24"/>
      <c r="P42333"/>
      <c r="Q42333" s="24"/>
      <c r="R42333"/>
      <c r="S42333"/>
      <c r="T42333"/>
      <c r="U42333"/>
      <c r="X42333" s="60"/>
    </row>
    <row r="42334" spans="7:24" ht="15" customHeight="1">
      <c r="G42334"/>
      <c r="I42334"/>
      <c r="N42334"/>
      <c r="O42334" s="24"/>
      <c r="P42334"/>
      <c r="Q42334" s="24"/>
      <c r="R42334"/>
      <c r="S42334"/>
      <c r="T42334"/>
      <c r="U42334"/>
      <c r="X42334" s="60"/>
    </row>
    <row r="42335" spans="7:24" ht="15" customHeight="1">
      <c r="G42335"/>
      <c r="I42335"/>
      <c r="N42335"/>
      <c r="O42335" s="24"/>
      <c r="P42335"/>
      <c r="Q42335" s="24"/>
      <c r="R42335"/>
      <c r="S42335"/>
      <c r="T42335"/>
      <c r="U42335"/>
      <c r="X42335" s="60"/>
    </row>
    <row r="42336" spans="7:24" ht="15" customHeight="1">
      <c r="G42336"/>
      <c r="I42336"/>
      <c r="N42336"/>
      <c r="O42336" s="24"/>
      <c r="P42336"/>
      <c r="Q42336" s="24"/>
      <c r="R42336"/>
      <c r="S42336"/>
      <c r="T42336"/>
      <c r="U42336"/>
      <c r="X42336" s="60"/>
    </row>
    <row r="42337" spans="7:24" ht="15" customHeight="1">
      <c r="G42337"/>
      <c r="I42337"/>
      <c r="N42337"/>
      <c r="O42337" s="24"/>
      <c r="P42337"/>
      <c r="Q42337" s="24"/>
      <c r="R42337"/>
      <c r="S42337"/>
      <c r="T42337"/>
      <c r="U42337"/>
      <c r="X42337" s="60"/>
    </row>
    <row r="42338" spans="7:24" ht="15" customHeight="1">
      <c r="G42338"/>
      <c r="I42338"/>
      <c r="N42338"/>
      <c r="O42338" s="24"/>
      <c r="P42338"/>
      <c r="Q42338" s="24"/>
      <c r="R42338"/>
      <c r="S42338"/>
      <c r="T42338"/>
      <c r="U42338"/>
      <c r="X42338" s="60"/>
    </row>
    <row r="42339" spans="7:24" ht="15" customHeight="1">
      <c r="G42339"/>
      <c r="I42339"/>
      <c r="N42339"/>
      <c r="O42339" s="24"/>
      <c r="P42339"/>
      <c r="Q42339" s="24"/>
      <c r="R42339"/>
      <c r="S42339"/>
      <c r="T42339"/>
      <c r="U42339"/>
      <c r="X42339" s="60"/>
    </row>
    <row r="42340" spans="7:24" ht="15" customHeight="1">
      <c r="G42340"/>
      <c r="I42340"/>
      <c r="N42340"/>
      <c r="O42340" s="24"/>
      <c r="P42340"/>
      <c r="Q42340" s="24"/>
      <c r="R42340"/>
      <c r="S42340"/>
      <c r="T42340"/>
      <c r="U42340"/>
      <c r="X42340" s="60"/>
    </row>
    <row r="42341" spans="7:24" ht="15" customHeight="1">
      <c r="G42341"/>
      <c r="I42341"/>
      <c r="N42341"/>
      <c r="O42341" s="24"/>
      <c r="P42341"/>
      <c r="Q42341" s="24"/>
      <c r="R42341"/>
      <c r="S42341"/>
      <c r="T42341"/>
      <c r="U42341"/>
      <c r="X42341" s="60"/>
    </row>
    <row r="42342" spans="7:24" ht="15" customHeight="1">
      <c r="G42342"/>
      <c r="I42342"/>
      <c r="N42342"/>
      <c r="O42342" s="24"/>
      <c r="P42342"/>
      <c r="Q42342" s="24"/>
      <c r="R42342"/>
      <c r="S42342"/>
      <c r="T42342"/>
      <c r="U42342"/>
      <c r="X42342" s="60"/>
    </row>
    <row r="42343" spans="7:24" ht="15" customHeight="1">
      <c r="G42343"/>
      <c r="I42343"/>
      <c r="N42343"/>
      <c r="O42343" s="24"/>
      <c r="P42343"/>
      <c r="Q42343" s="24"/>
      <c r="R42343"/>
      <c r="S42343"/>
      <c r="T42343"/>
      <c r="U42343"/>
      <c r="X42343" s="60"/>
    </row>
    <row r="42344" spans="7:24" ht="15" customHeight="1">
      <c r="G42344"/>
      <c r="I42344"/>
      <c r="N42344"/>
      <c r="O42344" s="24"/>
      <c r="P42344"/>
      <c r="Q42344" s="24"/>
      <c r="R42344"/>
      <c r="S42344"/>
      <c r="T42344"/>
      <c r="U42344"/>
      <c r="X42344" s="60"/>
    </row>
    <row r="42345" spans="7:24" ht="15" customHeight="1">
      <c r="G42345"/>
      <c r="I42345"/>
      <c r="N42345"/>
      <c r="O42345" s="24"/>
      <c r="P42345"/>
      <c r="Q42345" s="24"/>
      <c r="R42345"/>
      <c r="S42345"/>
      <c r="T42345"/>
      <c r="U42345"/>
      <c r="X42345" s="60"/>
    </row>
    <row r="42346" spans="7:24" ht="15" customHeight="1">
      <c r="G42346"/>
      <c r="I42346"/>
      <c r="N42346"/>
      <c r="O42346" s="24"/>
      <c r="P42346"/>
      <c r="Q42346" s="24"/>
      <c r="R42346"/>
      <c r="S42346"/>
      <c r="T42346"/>
      <c r="U42346"/>
      <c r="X42346" s="60"/>
    </row>
    <row r="42347" spans="7:24" ht="15" customHeight="1">
      <c r="G42347"/>
      <c r="I42347"/>
      <c r="N42347"/>
      <c r="O42347" s="24"/>
      <c r="P42347"/>
      <c r="Q42347" s="24"/>
      <c r="R42347"/>
      <c r="S42347"/>
      <c r="T42347"/>
      <c r="U42347"/>
      <c r="X42347" s="60"/>
    </row>
    <row r="42348" spans="7:24" ht="15" customHeight="1">
      <c r="G42348"/>
      <c r="I42348"/>
      <c r="N42348"/>
      <c r="O42348" s="24"/>
      <c r="P42348"/>
      <c r="Q42348" s="24"/>
      <c r="R42348"/>
      <c r="S42348"/>
      <c r="T42348"/>
      <c r="U42348"/>
      <c r="X42348" s="60"/>
    </row>
    <row r="42349" spans="7:24" ht="15" customHeight="1">
      <c r="G42349"/>
      <c r="I42349"/>
      <c r="N42349"/>
      <c r="O42349" s="24"/>
      <c r="P42349"/>
      <c r="Q42349" s="24"/>
      <c r="R42349"/>
      <c r="S42349"/>
      <c r="T42349"/>
      <c r="U42349"/>
      <c r="X42349" s="60"/>
    </row>
    <row r="42350" spans="7:24" ht="15" customHeight="1">
      <c r="G42350"/>
      <c r="I42350"/>
      <c r="N42350"/>
      <c r="O42350" s="24"/>
      <c r="P42350"/>
      <c r="Q42350" s="24"/>
      <c r="R42350"/>
      <c r="S42350"/>
      <c r="T42350"/>
      <c r="U42350"/>
      <c r="X42350" s="60"/>
    </row>
    <row r="42351" spans="7:24" ht="15" customHeight="1">
      <c r="G42351"/>
      <c r="I42351"/>
      <c r="N42351"/>
      <c r="O42351" s="24"/>
      <c r="P42351"/>
      <c r="Q42351" s="24"/>
      <c r="R42351"/>
      <c r="S42351"/>
      <c r="T42351"/>
      <c r="U42351"/>
      <c r="X42351" s="60"/>
    </row>
    <row r="42352" spans="7:24" ht="15" customHeight="1">
      <c r="G42352"/>
      <c r="I42352"/>
      <c r="N42352"/>
      <c r="O42352" s="24"/>
      <c r="P42352"/>
      <c r="Q42352" s="24"/>
      <c r="R42352"/>
      <c r="S42352"/>
      <c r="T42352"/>
      <c r="U42352"/>
      <c r="X42352" s="60"/>
    </row>
    <row r="42353" spans="7:24" ht="15" customHeight="1">
      <c r="G42353"/>
      <c r="I42353"/>
      <c r="N42353"/>
      <c r="O42353" s="24"/>
      <c r="P42353"/>
      <c r="Q42353" s="24"/>
      <c r="R42353"/>
      <c r="S42353"/>
      <c r="T42353"/>
      <c r="U42353"/>
      <c r="X42353" s="60"/>
    </row>
    <row r="42354" spans="7:24" ht="15" customHeight="1">
      <c r="G42354"/>
      <c r="I42354"/>
      <c r="N42354"/>
      <c r="O42354" s="24"/>
      <c r="P42354"/>
      <c r="Q42354" s="24"/>
      <c r="R42354"/>
      <c r="S42354"/>
      <c r="T42354"/>
      <c r="U42354"/>
      <c r="X42354" s="60"/>
    </row>
    <row r="42355" spans="7:24" ht="15" customHeight="1">
      <c r="G42355"/>
      <c r="I42355"/>
      <c r="N42355"/>
      <c r="O42355" s="24"/>
      <c r="P42355"/>
      <c r="Q42355" s="24"/>
      <c r="R42355"/>
      <c r="S42355"/>
      <c r="T42355"/>
      <c r="U42355"/>
      <c r="X42355" s="60"/>
    </row>
    <row r="42356" spans="7:24" ht="15" customHeight="1">
      <c r="G42356"/>
      <c r="I42356"/>
      <c r="N42356"/>
      <c r="O42356" s="24"/>
      <c r="P42356"/>
      <c r="Q42356" s="24"/>
      <c r="R42356"/>
      <c r="S42356"/>
      <c r="T42356"/>
      <c r="U42356"/>
      <c r="X42356" s="60"/>
    </row>
    <row r="42357" spans="7:24" ht="15" customHeight="1">
      <c r="G42357"/>
      <c r="I42357"/>
      <c r="N42357"/>
      <c r="O42357" s="24"/>
      <c r="P42357"/>
      <c r="Q42357" s="24"/>
      <c r="R42357"/>
      <c r="S42357"/>
      <c r="T42357"/>
      <c r="U42357"/>
      <c r="X42357" s="60"/>
    </row>
    <row r="42358" spans="7:24" ht="15" customHeight="1">
      <c r="G42358"/>
      <c r="I42358"/>
      <c r="N42358"/>
      <c r="O42358" s="24"/>
      <c r="P42358"/>
      <c r="Q42358" s="24"/>
      <c r="R42358"/>
      <c r="S42358"/>
      <c r="T42358"/>
      <c r="U42358"/>
      <c r="X42358" s="60"/>
    </row>
    <row r="42359" spans="7:24" ht="15" customHeight="1">
      <c r="G42359"/>
      <c r="I42359"/>
      <c r="N42359"/>
      <c r="O42359" s="24"/>
      <c r="P42359"/>
      <c r="Q42359" s="24"/>
      <c r="R42359"/>
      <c r="S42359"/>
      <c r="T42359"/>
      <c r="U42359"/>
      <c r="X42359" s="60"/>
    </row>
    <row r="42360" spans="7:24" ht="15" customHeight="1">
      <c r="G42360"/>
      <c r="I42360"/>
      <c r="N42360"/>
      <c r="O42360" s="24"/>
      <c r="P42360"/>
      <c r="Q42360" s="24"/>
      <c r="R42360"/>
      <c r="S42360"/>
      <c r="T42360"/>
      <c r="U42360"/>
      <c r="X42360" s="60"/>
    </row>
    <row r="42361" spans="7:24" ht="15" customHeight="1">
      <c r="G42361"/>
      <c r="I42361"/>
      <c r="N42361"/>
      <c r="O42361" s="24"/>
      <c r="P42361"/>
      <c r="Q42361" s="24"/>
      <c r="R42361"/>
      <c r="S42361"/>
      <c r="T42361"/>
      <c r="U42361"/>
      <c r="X42361" s="60"/>
    </row>
    <row r="42362" spans="7:24" ht="15" customHeight="1">
      <c r="G42362"/>
      <c r="I42362"/>
      <c r="N42362"/>
      <c r="O42362" s="24"/>
      <c r="P42362"/>
      <c r="Q42362" s="24"/>
      <c r="R42362"/>
      <c r="S42362"/>
      <c r="T42362"/>
      <c r="U42362"/>
      <c r="X42362" s="60"/>
    </row>
    <row r="42363" spans="7:24" ht="15" customHeight="1">
      <c r="G42363"/>
      <c r="I42363"/>
      <c r="N42363"/>
      <c r="O42363" s="24"/>
      <c r="P42363"/>
      <c r="Q42363" s="24"/>
      <c r="R42363"/>
      <c r="S42363"/>
      <c r="T42363"/>
      <c r="U42363"/>
      <c r="X42363" s="60"/>
    </row>
    <row r="42364" spans="7:24" ht="15" customHeight="1">
      <c r="G42364"/>
      <c r="I42364"/>
      <c r="N42364"/>
      <c r="O42364" s="24"/>
      <c r="P42364"/>
      <c r="Q42364" s="24"/>
      <c r="R42364"/>
      <c r="S42364"/>
      <c r="T42364"/>
      <c r="U42364"/>
      <c r="X42364" s="60"/>
    </row>
    <row r="42365" spans="7:24" ht="15" customHeight="1">
      <c r="G42365"/>
      <c r="I42365"/>
      <c r="N42365"/>
      <c r="O42365" s="24"/>
      <c r="P42365"/>
      <c r="Q42365" s="24"/>
      <c r="R42365"/>
      <c r="S42365"/>
      <c r="T42365"/>
      <c r="U42365"/>
      <c r="X42365" s="60"/>
    </row>
    <row r="42366" spans="7:24" ht="15" customHeight="1">
      <c r="G42366"/>
      <c r="I42366"/>
      <c r="N42366"/>
      <c r="O42366" s="24"/>
      <c r="P42366"/>
      <c r="Q42366" s="24"/>
      <c r="R42366"/>
      <c r="S42366"/>
      <c r="T42366"/>
      <c r="U42366"/>
      <c r="X42366" s="60"/>
    </row>
    <row r="42367" spans="7:24" ht="15" customHeight="1">
      <c r="G42367"/>
      <c r="I42367"/>
      <c r="N42367"/>
      <c r="O42367" s="24"/>
      <c r="P42367"/>
      <c r="Q42367" s="24"/>
      <c r="R42367"/>
      <c r="S42367"/>
      <c r="T42367"/>
      <c r="U42367"/>
      <c r="X42367" s="60"/>
    </row>
    <row r="42368" spans="7:24" ht="15" customHeight="1">
      <c r="G42368"/>
      <c r="I42368"/>
      <c r="N42368"/>
      <c r="O42368" s="24"/>
      <c r="P42368"/>
      <c r="Q42368" s="24"/>
      <c r="R42368"/>
      <c r="S42368"/>
      <c r="T42368"/>
      <c r="U42368"/>
      <c r="X42368" s="60"/>
    </row>
    <row r="42369" spans="7:24" ht="15" customHeight="1">
      <c r="G42369"/>
      <c r="I42369"/>
      <c r="N42369"/>
      <c r="O42369" s="24"/>
      <c r="P42369"/>
      <c r="Q42369" s="24"/>
      <c r="R42369"/>
      <c r="S42369"/>
      <c r="T42369"/>
      <c r="U42369"/>
      <c r="X42369" s="60"/>
    </row>
    <row r="42370" spans="7:24" ht="15" customHeight="1">
      <c r="G42370"/>
      <c r="I42370"/>
      <c r="N42370"/>
      <c r="O42370" s="24"/>
      <c r="P42370"/>
      <c r="Q42370" s="24"/>
      <c r="R42370"/>
      <c r="S42370"/>
      <c r="T42370"/>
      <c r="U42370"/>
      <c r="X42370" s="60"/>
    </row>
    <row r="42371" spans="7:24" ht="15" customHeight="1">
      <c r="G42371"/>
      <c r="I42371"/>
      <c r="N42371"/>
      <c r="O42371" s="24"/>
      <c r="P42371"/>
      <c r="Q42371" s="24"/>
      <c r="R42371"/>
      <c r="S42371"/>
      <c r="T42371"/>
      <c r="U42371"/>
      <c r="X42371" s="60"/>
    </row>
    <row r="42372" spans="7:24" ht="15" customHeight="1">
      <c r="G42372"/>
      <c r="I42372"/>
      <c r="N42372"/>
      <c r="O42372" s="24"/>
      <c r="P42372"/>
      <c r="Q42372" s="24"/>
      <c r="R42372"/>
      <c r="S42372"/>
      <c r="T42372"/>
      <c r="U42372"/>
      <c r="X42372" s="60"/>
    </row>
    <row r="42373" spans="7:24" ht="15" customHeight="1">
      <c r="G42373"/>
      <c r="I42373"/>
      <c r="N42373"/>
      <c r="O42373" s="24"/>
      <c r="P42373"/>
      <c r="Q42373" s="24"/>
      <c r="R42373"/>
      <c r="S42373"/>
      <c r="T42373"/>
      <c r="U42373"/>
      <c r="X42373" s="60"/>
    </row>
    <row r="42374" spans="7:24" ht="15" customHeight="1">
      <c r="G42374"/>
      <c r="I42374"/>
      <c r="N42374"/>
      <c r="O42374" s="24"/>
      <c r="P42374"/>
      <c r="Q42374" s="24"/>
      <c r="R42374"/>
      <c r="S42374"/>
      <c r="T42374"/>
      <c r="U42374"/>
      <c r="X42374" s="60"/>
    </row>
    <row r="42375" spans="7:24" ht="15" customHeight="1">
      <c r="G42375"/>
      <c r="I42375"/>
      <c r="N42375"/>
      <c r="O42375" s="24"/>
      <c r="P42375"/>
      <c r="Q42375" s="24"/>
      <c r="R42375"/>
      <c r="S42375"/>
      <c r="T42375"/>
      <c r="U42375"/>
      <c r="X42375" s="60"/>
    </row>
    <row r="42376" spans="7:24" ht="15" customHeight="1">
      <c r="G42376"/>
      <c r="I42376"/>
      <c r="N42376"/>
      <c r="O42376" s="24"/>
      <c r="P42376"/>
      <c r="Q42376" s="24"/>
      <c r="R42376"/>
      <c r="S42376"/>
      <c r="T42376"/>
      <c r="U42376"/>
      <c r="X42376" s="60"/>
    </row>
    <row r="42377" spans="7:24" ht="15" customHeight="1">
      <c r="G42377"/>
      <c r="I42377"/>
      <c r="N42377"/>
      <c r="O42377" s="24"/>
      <c r="P42377"/>
      <c r="Q42377" s="24"/>
      <c r="R42377"/>
      <c r="S42377"/>
      <c r="T42377"/>
      <c r="U42377"/>
      <c r="X42377" s="60"/>
    </row>
    <row r="42378" spans="7:24" ht="15" customHeight="1">
      <c r="G42378"/>
      <c r="I42378"/>
      <c r="N42378"/>
      <c r="O42378" s="24"/>
      <c r="P42378"/>
      <c r="Q42378" s="24"/>
      <c r="R42378"/>
      <c r="S42378"/>
      <c r="T42378"/>
      <c r="U42378"/>
      <c r="X42378" s="60"/>
    </row>
    <row r="42379" spans="7:24" ht="15" customHeight="1">
      <c r="G42379"/>
      <c r="I42379"/>
      <c r="N42379"/>
      <c r="O42379" s="24"/>
      <c r="P42379"/>
      <c r="Q42379" s="24"/>
      <c r="R42379"/>
      <c r="S42379"/>
      <c r="T42379"/>
      <c r="U42379"/>
      <c r="X42379" s="60"/>
    </row>
    <row r="42380" spans="7:24" ht="15" customHeight="1">
      <c r="G42380"/>
      <c r="I42380"/>
      <c r="N42380"/>
      <c r="O42380" s="24"/>
      <c r="P42380"/>
      <c r="Q42380" s="24"/>
      <c r="R42380"/>
      <c r="S42380"/>
      <c r="T42380"/>
      <c r="U42380"/>
      <c r="X42380" s="60"/>
    </row>
    <row r="42381" spans="7:24" ht="15" customHeight="1">
      <c r="G42381"/>
      <c r="I42381"/>
      <c r="N42381"/>
      <c r="O42381" s="24"/>
      <c r="P42381"/>
      <c r="Q42381" s="24"/>
      <c r="R42381"/>
      <c r="S42381"/>
      <c r="T42381"/>
      <c r="U42381"/>
      <c r="X42381" s="60"/>
    </row>
    <row r="42382" spans="7:24" ht="15" customHeight="1">
      <c r="G42382"/>
      <c r="I42382"/>
      <c r="N42382"/>
      <c r="O42382" s="24"/>
      <c r="P42382"/>
      <c r="Q42382" s="24"/>
      <c r="R42382"/>
      <c r="S42382"/>
      <c r="T42382"/>
      <c r="U42382"/>
      <c r="X42382" s="60"/>
    </row>
    <row r="42383" spans="7:24" ht="15" customHeight="1">
      <c r="G42383"/>
      <c r="I42383"/>
      <c r="N42383"/>
      <c r="O42383" s="24"/>
      <c r="P42383"/>
      <c r="Q42383" s="24"/>
      <c r="R42383"/>
      <c r="S42383"/>
      <c r="T42383"/>
      <c r="U42383"/>
      <c r="X42383" s="60"/>
    </row>
    <row r="42384" spans="7:24" ht="15" customHeight="1">
      <c r="G42384"/>
      <c r="I42384"/>
      <c r="N42384"/>
      <c r="O42384" s="24"/>
      <c r="P42384"/>
      <c r="Q42384" s="24"/>
      <c r="R42384"/>
      <c r="S42384"/>
      <c r="T42384"/>
      <c r="U42384"/>
      <c r="X42384" s="60"/>
    </row>
    <row r="42385" spans="7:24" ht="15" customHeight="1">
      <c r="G42385"/>
      <c r="I42385"/>
      <c r="N42385"/>
      <c r="O42385" s="24"/>
      <c r="P42385"/>
      <c r="Q42385" s="24"/>
      <c r="R42385"/>
      <c r="S42385"/>
      <c r="T42385"/>
      <c r="U42385"/>
      <c r="X42385" s="60"/>
    </row>
    <row r="42386" spans="7:24" ht="15" customHeight="1">
      <c r="G42386"/>
      <c r="I42386"/>
      <c r="N42386"/>
      <c r="O42386" s="24"/>
      <c r="P42386"/>
      <c r="Q42386" s="24"/>
      <c r="R42386"/>
      <c r="S42386"/>
      <c r="T42386"/>
      <c r="U42386"/>
      <c r="X42386" s="60"/>
    </row>
    <row r="42387" spans="7:24" ht="15" customHeight="1">
      <c r="G42387"/>
      <c r="I42387"/>
      <c r="N42387"/>
      <c r="O42387" s="24"/>
      <c r="P42387"/>
      <c r="Q42387" s="24"/>
      <c r="R42387"/>
      <c r="S42387"/>
      <c r="T42387"/>
      <c r="U42387"/>
      <c r="X42387" s="60"/>
    </row>
    <row r="42388" spans="7:24" ht="15" customHeight="1">
      <c r="G42388"/>
      <c r="I42388"/>
      <c r="N42388"/>
      <c r="O42388" s="24"/>
      <c r="P42388"/>
      <c r="Q42388" s="24"/>
      <c r="R42388"/>
      <c r="S42388"/>
      <c r="T42388"/>
      <c r="U42388"/>
      <c r="X42388" s="60"/>
    </row>
    <row r="42389" spans="7:24" ht="15" customHeight="1">
      <c r="G42389"/>
      <c r="I42389"/>
      <c r="N42389"/>
      <c r="O42389" s="24"/>
      <c r="P42389"/>
      <c r="Q42389" s="24"/>
      <c r="R42389"/>
      <c r="S42389"/>
      <c r="T42389"/>
      <c r="U42389"/>
      <c r="X42389" s="60"/>
    </row>
    <row r="42390" spans="7:24" ht="15" customHeight="1">
      <c r="G42390"/>
      <c r="I42390"/>
      <c r="N42390"/>
      <c r="O42390" s="24"/>
      <c r="P42390"/>
      <c r="Q42390" s="24"/>
      <c r="R42390"/>
      <c r="S42390"/>
      <c r="T42390"/>
      <c r="U42390"/>
      <c r="X42390" s="60"/>
    </row>
    <row r="42391" spans="7:24" ht="15" customHeight="1">
      <c r="G42391"/>
      <c r="I42391"/>
      <c r="N42391"/>
      <c r="O42391" s="24"/>
      <c r="P42391"/>
      <c r="Q42391" s="24"/>
      <c r="R42391"/>
      <c r="S42391"/>
      <c r="T42391"/>
      <c r="U42391"/>
      <c r="X42391" s="60"/>
    </row>
    <row r="42392" spans="7:24" ht="15" customHeight="1">
      <c r="G42392"/>
      <c r="I42392"/>
      <c r="N42392"/>
      <c r="O42392" s="24"/>
      <c r="P42392"/>
      <c r="Q42392" s="24"/>
      <c r="R42392"/>
      <c r="S42392"/>
      <c r="T42392"/>
      <c r="U42392"/>
      <c r="X42392" s="60"/>
    </row>
    <row r="42393" spans="7:24" ht="15" customHeight="1">
      <c r="G42393"/>
      <c r="I42393"/>
      <c r="N42393"/>
      <c r="O42393" s="24"/>
      <c r="P42393"/>
      <c r="Q42393" s="24"/>
      <c r="R42393"/>
      <c r="S42393"/>
      <c r="T42393"/>
      <c r="U42393"/>
      <c r="X42393" s="60"/>
    </row>
    <row r="42394" spans="7:24" ht="15" customHeight="1">
      <c r="G42394"/>
      <c r="I42394"/>
      <c r="N42394"/>
      <c r="O42394" s="24"/>
      <c r="P42394"/>
      <c r="Q42394" s="24"/>
      <c r="R42394"/>
      <c r="S42394"/>
      <c r="T42394"/>
      <c r="U42394"/>
      <c r="X42394" s="60"/>
    </row>
    <row r="42395" spans="7:24" ht="15" customHeight="1">
      <c r="G42395"/>
      <c r="I42395"/>
      <c r="N42395"/>
      <c r="O42395" s="24"/>
      <c r="P42395"/>
      <c r="Q42395" s="24"/>
      <c r="R42395"/>
      <c r="S42395"/>
      <c r="T42395"/>
      <c r="U42395"/>
      <c r="X42395" s="60"/>
    </row>
    <row r="42396" spans="7:24" ht="15" customHeight="1">
      <c r="G42396"/>
      <c r="I42396"/>
      <c r="N42396"/>
      <c r="O42396" s="24"/>
      <c r="P42396"/>
      <c r="Q42396" s="24"/>
      <c r="R42396"/>
      <c r="S42396"/>
      <c r="T42396"/>
      <c r="U42396"/>
      <c r="X42396" s="60"/>
    </row>
    <row r="42397" spans="7:24" ht="15" customHeight="1">
      <c r="G42397"/>
      <c r="I42397"/>
      <c r="N42397"/>
      <c r="O42397" s="24"/>
      <c r="P42397"/>
      <c r="Q42397" s="24"/>
      <c r="R42397"/>
      <c r="S42397"/>
      <c r="T42397"/>
      <c r="U42397"/>
      <c r="X42397" s="60"/>
    </row>
    <row r="42398" spans="7:24" ht="15" customHeight="1">
      <c r="G42398"/>
      <c r="I42398"/>
      <c r="N42398"/>
      <c r="O42398" s="24"/>
      <c r="P42398"/>
      <c r="Q42398" s="24"/>
      <c r="R42398"/>
      <c r="S42398"/>
      <c r="T42398"/>
      <c r="U42398"/>
      <c r="X42398" s="60"/>
    </row>
    <row r="42399" spans="7:24" ht="15" customHeight="1">
      <c r="G42399"/>
      <c r="I42399"/>
      <c r="N42399"/>
      <c r="O42399" s="24"/>
      <c r="P42399"/>
      <c r="Q42399" s="24"/>
      <c r="R42399"/>
      <c r="S42399"/>
      <c r="T42399"/>
      <c r="U42399"/>
      <c r="X42399" s="60"/>
    </row>
    <row r="42400" spans="7:24" ht="15" customHeight="1">
      <c r="G42400"/>
      <c r="I42400"/>
      <c r="N42400"/>
      <c r="O42400" s="24"/>
      <c r="P42400"/>
      <c r="Q42400" s="24"/>
      <c r="R42400"/>
      <c r="S42400"/>
      <c r="T42400"/>
      <c r="U42400"/>
      <c r="X42400" s="60"/>
    </row>
    <row r="42401" spans="7:24" ht="15" customHeight="1">
      <c r="G42401"/>
      <c r="I42401"/>
      <c r="N42401"/>
      <c r="O42401" s="24"/>
      <c r="P42401"/>
      <c r="Q42401" s="24"/>
      <c r="R42401"/>
      <c r="S42401"/>
      <c r="T42401"/>
      <c r="U42401"/>
      <c r="X42401" s="60"/>
    </row>
    <row r="42402" spans="7:24" ht="15" customHeight="1">
      <c r="G42402"/>
      <c r="I42402"/>
      <c r="N42402"/>
      <c r="O42402" s="24"/>
      <c r="P42402"/>
      <c r="Q42402" s="24"/>
      <c r="R42402"/>
      <c r="S42402"/>
      <c r="T42402"/>
      <c r="U42402"/>
      <c r="X42402" s="60"/>
    </row>
    <row r="42403" spans="7:24" ht="15" customHeight="1">
      <c r="G42403"/>
      <c r="I42403"/>
      <c r="N42403"/>
      <c r="O42403" s="24"/>
      <c r="P42403"/>
      <c r="Q42403" s="24"/>
      <c r="R42403"/>
      <c r="S42403"/>
      <c r="T42403"/>
      <c r="U42403"/>
      <c r="X42403" s="60"/>
    </row>
    <row r="42404" spans="7:24" ht="15" customHeight="1">
      <c r="G42404"/>
      <c r="I42404"/>
      <c r="N42404"/>
      <c r="O42404" s="24"/>
      <c r="P42404"/>
      <c r="Q42404" s="24"/>
      <c r="R42404"/>
      <c r="S42404"/>
      <c r="T42404"/>
      <c r="U42404"/>
      <c r="X42404" s="60"/>
    </row>
    <row r="42405" spans="7:24" ht="15" customHeight="1">
      <c r="G42405"/>
      <c r="I42405"/>
      <c r="N42405"/>
      <c r="O42405" s="24"/>
      <c r="P42405"/>
      <c r="Q42405" s="24"/>
      <c r="R42405"/>
      <c r="S42405"/>
      <c r="T42405"/>
      <c r="U42405"/>
      <c r="X42405" s="60"/>
    </row>
    <row r="42406" spans="7:24" ht="15" customHeight="1">
      <c r="G42406"/>
      <c r="I42406"/>
      <c r="N42406"/>
      <c r="O42406" s="24"/>
      <c r="P42406"/>
      <c r="Q42406" s="24"/>
      <c r="R42406"/>
      <c r="S42406"/>
      <c r="T42406"/>
      <c r="U42406"/>
      <c r="X42406" s="60"/>
    </row>
    <row r="42407" spans="7:24" ht="15" customHeight="1">
      <c r="G42407"/>
      <c r="I42407"/>
      <c r="N42407"/>
      <c r="O42407" s="24"/>
      <c r="P42407"/>
      <c r="Q42407" s="24"/>
      <c r="R42407"/>
      <c r="S42407"/>
      <c r="T42407"/>
      <c r="U42407"/>
      <c r="X42407" s="60"/>
    </row>
    <row r="42408" spans="7:24" ht="15" customHeight="1">
      <c r="G42408"/>
      <c r="I42408"/>
      <c r="N42408"/>
      <c r="O42408" s="24"/>
      <c r="P42408"/>
      <c r="Q42408" s="24"/>
      <c r="R42408"/>
      <c r="S42408"/>
      <c r="T42408"/>
      <c r="U42408"/>
      <c r="X42408" s="60"/>
    </row>
    <row r="42409" spans="7:24" ht="15" customHeight="1">
      <c r="G42409"/>
      <c r="I42409"/>
      <c r="N42409"/>
      <c r="O42409" s="24"/>
      <c r="P42409"/>
      <c r="Q42409" s="24"/>
      <c r="R42409"/>
      <c r="S42409"/>
      <c r="T42409"/>
      <c r="U42409"/>
      <c r="X42409" s="60"/>
    </row>
    <row r="42410" spans="7:24" ht="15" customHeight="1">
      <c r="G42410"/>
      <c r="I42410"/>
      <c r="N42410"/>
      <c r="O42410" s="24"/>
      <c r="P42410"/>
      <c r="Q42410" s="24"/>
      <c r="R42410"/>
      <c r="S42410"/>
      <c r="T42410"/>
      <c r="U42410"/>
      <c r="X42410" s="60"/>
    </row>
    <row r="42411" spans="7:24" ht="15" customHeight="1">
      <c r="G42411"/>
      <c r="I42411"/>
      <c r="N42411"/>
      <c r="O42411" s="24"/>
      <c r="P42411"/>
      <c r="Q42411" s="24"/>
      <c r="R42411"/>
      <c r="S42411"/>
      <c r="T42411"/>
      <c r="U42411"/>
      <c r="X42411" s="60"/>
    </row>
    <row r="42412" spans="7:24" ht="15" customHeight="1">
      <c r="G42412"/>
      <c r="I42412"/>
      <c r="N42412"/>
      <c r="O42412" s="24"/>
      <c r="P42412"/>
      <c r="Q42412" s="24"/>
      <c r="R42412"/>
      <c r="S42412"/>
      <c r="T42412"/>
      <c r="U42412"/>
      <c r="X42412" s="60"/>
    </row>
    <row r="42413" spans="7:24" ht="15" customHeight="1">
      <c r="G42413"/>
      <c r="I42413"/>
      <c r="N42413"/>
      <c r="O42413" s="24"/>
      <c r="P42413"/>
      <c r="Q42413" s="24"/>
      <c r="R42413"/>
      <c r="S42413"/>
      <c r="T42413"/>
      <c r="U42413"/>
      <c r="X42413" s="60"/>
    </row>
    <row r="42414" spans="7:24" ht="15" customHeight="1">
      <c r="G42414"/>
      <c r="I42414"/>
      <c r="N42414"/>
      <c r="O42414" s="24"/>
      <c r="P42414"/>
      <c r="Q42414" s="24"/>
      <c r="R42414"/>
      <c r="S42414"/>
      <c r="T42414"/>
      <c r="U42414"/>
      <c r="X42414" s="60"/>
    </row>
    <row r="42415" spans="7:24" ht="15" customHeight="1">
      <c r="G42415"/>
      <c r="I42415"/>
      <c r="N42415"/>
      <c r="O42415" s="24"/>
      <c r="P42415"/>
      <c r="Q42415" s="24"/>
      <c r="R42415"/>
      <c r="S42415"/>
      <c r="T42415"/>
      <c r="U42415"/>
      <c r="X42415" s="60"/>
    </row>
    <row r="42416" spans="7:24" ht="15" customHeight="1">
      <c r="G42416"/>
      <c r="I42416"/>
      <c r="N42416"/>
      <c r="O42416" s="24"/>
      <c r="P42416"/>
      <c r="Q42416" s="24"/>
      <c r="R42416"/>
      <c r="S42416"/>
      <c r="T42416"/>
      <c r="U42416"/>
      <c r="X42416" s="60"/>
    </row>
    <row r="42417" spans="7:24" ht="15" customHeight="1">
      <c r="G42417"/>
      <c r="I42417"/>
      <c r="N42417"/>
      <c r="O42417" s="24"/>
      <c r="P42417"/>
      <c r="Q42417" s="24"/>
      <c r="R42417"/>
      <c r="S42417"/>
      <c r="T42417"/>
      <c r="U42417"/>
      <c r="X42417" s="60"/>
    </row>
    <row r="42418" spans="7:24" ht="15" customHeight="1">
      <c r="G42418"/>
      <c r="I42418"/>
      <c r="N42418"/>
      <c r="O42418" s="24"/>
      <c r="P42418"/>
      <c r="Q42418" s="24"/>
      <c r="R42418"/>
      <c r="S42418"/>
      <c r="T42418"/>
      <c r="U42418"/>
      <c r="X42418" s="60"/>
    </row>
    <row r="42419" spans="7:24" ht="15" customHeight="1">
      <c r="G42419"/>
      <c r="I42419"/>
      <c r="N42419"/>
      <c r="O42419" s="24"/>
      <c r="P42419"/>
      <c r="Q42419" s="24"/>
      <c r="R42419"/>
      <c r="S42419"/>
      <c r="T42419"/>
      <c r="U42419"/>
      <c r="X42419" s="60"/>
    </row>
    <row r="42420" spans="7:24" ht="15" customHeight="1">
      <c r="G42420"/>
      <c r="I42420"/>
      <c r="N42420"/>
      <c r="O42420" s="24"/>
      <c r="P42420"/>
      <c r="Q42420" s="24"/>
      <c r="R42420"/>
      <c r="S42420"/>
      <c r="T42420"/>
      <c r="U42420"/>
      <c r="X42420" s="60"/>
    </row>
    <row r="42421" spans="7:24" ht="15" customHeight="1">
      <c r="G42421"/>
      <c r="I42421"/>
      <c r="N42421"/>
      <c r="O42421" s="24"/>
      <c r="P42421"/>
      <c r="Q42421" s="24"/>
      <c r="R42421"/>
      <c r="S42421"/>
      <c r="T42421"/>
      <c r="U42421"/>
      <c r="X42421" s="60"/>
    </row>
    <row r="42422" spans="7:24" ht="15" customHeight="1">
      <c r="G42422"/>
      <c r="I42422"/>
      <c r="N42422"/>
      <c r="O42422" s="24"/>
      <c r="P42422"/>
      <c r="Q42422" s="24"/>
      <c r="R42422"/>
      <c r="S42422"/>
      <c r="T42422"/>
      <c r="U42422"/>
      <c r="X42422" s="60"/>
    </row>
    <row r="42423" spans="7:24" ht="15" customHeight="1">
      <c r="G42423"/>
      <c r="I42423"/>
      <c r="N42423"/>
      <c r="O42423" s="24"/>
      <c r="P42423"/>
      <c r="Q42423" s="24"/>
      <c r="R42423"/>
      <c r="S42423"/>
      <c r="T42423"/>
      <c r="U42423"/>
      <c r="X42423" s="60"/>
    </row>
    <row r="42424" spans="7:24" ht="15" customHeight="1">
      <c r="G42424"/>
      <c r="I42424"/>
      <c r="N42424"/>
      <c r="O42424" s="24"/>
      <c r="P42424"/>
      <c r="Q42424" s="24"/>
      <c r="R42424"/>
      <c r="S42424"/>
      <c r="T42424"/>
      <c r="U42424"/>
      <c r="X42424" s="60"/>
    </row>
    <row r="42425" spans="7:24" ht="15" customHeight="1">
      <c r="G42425"/>
      <c r="I42425"/>
      <c r="N42425"/>
      <c r="O42425" s="24"/>
      <c r="P42425"/>
      <c r="Q42425" s="24"/>
      <c r="R42425"/>
      <c r="S42425"/>
      <c r="T42425"/>
      <c r="U42425"/>
      <c r="X42425" s="60"/>
    </row>
    <row r="42426" spans="7:24" ht="15" customHeight="1">
      <c r="G42426"/>
      <c r="I42426"/>
      <c r="N42426"/>
      <c r="O42426" s="24"/>
      <c r="P42426"/>
      <c r="Q42426" s="24"/>
      <c r="R42426"/>
      <c r="S42426"/>
      <c r="T42426"/>
      <c r="U42426"/>
      <c r="X42426" s="60"/>
    </row>
    <row r="42427" spans="7:24" ht="15" customHeight="1">
      <c r="G42427"/>
      <c r="I42427"/>
      <c r="N42427"/>
      <c r="O42427" s="24"/>
      <c r="P42427"/>
      <c r="Q42427" s="24"/>
      <c r="R42427"/>
      <c r="S42427"/>
      <c r="T42427"/>
      <c r="U42427"/>
      <c r="X42427" s="60"/>
    </row>
    <row r="42428" spans="7:24" ht="15" customHeight="1">
      <c r="G42428"/>
      <c r="I42428"/>
      <c r="N42428"/>
      <c r="O42428" s="24"/>
      <c r="P42428"/>
      <c r="Q42428" s="24"/>
      <c r="R42428"/>
      <c r="S42428"/>
      <c r="T42428"/>
      <c r="U42428"/>
      <c r="X42428" s="60"/>
    </row>
    <row r="42429" spans="7:24" ht="15" customHeight="1">
      <c r="G42429"/>
      <c r="I42429"/>
      <c r="N42429"/>
      <c r="O42429" s="24"/>
      <c r="P42429"/>
      <c r="Q42429" s="24"/>
      <c r="R42429"/>
      <c r="S42429"/>
      <c r="T42429"/>
      <c r="U42429"/>
      <c r="X42429" s="60"/>
    </row>
    <row r="42430" spans="7:24" ht="15" customHeight="1">
      <c r="G42430"/>
      <c r="I42430"/>
      <c r="N42430"/>
      <c r="O42430" s="24"/>
      <c r="P42430"/>
      <c r="Q42430" s="24"/>
      <c r="R42430"/>
      <c r="S42430"/>
      <c r="T42430"/>
      <c r="U42430"/>
      <c r="X42430" s="60"/>
    </row>
    <row r="42431" spans="7:24" ht="15" customHeight="1">
      <c r="G42431"/>
      <c r="I42431"/>
      <c r="N42431"/>
      <c r="O42431" s="24"/>
      <c r="P42431"/>
      <c r="Q42431" s="24"/>
      <c r="R42431"/>
      <c r="S42431"/>
      <c r="T42431"/>
      <c r="U42431"/>
      <c r="X42431" s="60"/>
    </row>
    <row r="42432" spans="7:24" ht="15" customHeight="1">
      <c r="G42432"/>
      <c r="I42432"/>
      <c r="N42432"/>
      <c r="O42432" s="24"/>
      <c r="P42432"/>
      <c r="Q42432" s="24"/>
      <c r="R42432"/>
      <c r="S42432"/>
      <c r="T42432"/>
      <c r="U42432"/>
      <c r="X42432" s="60"/>
    </row>
    <row r="42433" spans="7:24" ht="15" customHeight="1">
      <c r="G42433"/>
      <c r="I42433"/>
      <c r="N42433"/>
      <c r="O42433" s="24"/>
      <c r="P42433"/>
      <c r="Q42433" s="24"/>
      <c r="R42433"/>
      <c r="S42433"/>
      <c r="T42433"/>
      <c r="U42433"/>
      <c r="X42433" s="60"/>
    </row>
    <row r="42434" spans="7:24" ht="15" customHeight="1">
      <c r="G42434"/>
      <c r="I42434"/>
      <c r="N42434"/>
      <c r="O42434" s="24"/>
      <c r="P42434"/>
      <c r="Q42434" s="24"/>
      <c r="R42434"/>
      <c r="S42434"/>
      <c r="T42434"/>
      <c r="U42434"/>
      <c r="X42434" s="60"/>
    </row>
    <row r="42435" spans="7:24" ht="15" customHeight="1">
      <c r="G42435"/>
      <c r="I42435"/>
      <c r="N42435"/>
      <c r="O42435" s="24"/>
      <c r="P42435"/>
      <c r="Q42435" s="24"/>
      <c r="R42435"/>
      <c r="S42435"/>
      <c r="T42435"/>
      <c r="U42435"/>
      <c r="X42435" s="60"/>
    </row>
    <row r="42436" spans="7:24" ht="15" customHeight="1">
      <c r="G42436"/>
      <c r="I42436"/>
      <c r="N42436"/>
      <c r="O42436" s="24"/>
      <c r="P42436"/>
      <c r="Q42436" s="24"/>
      <c r="R42436"/>
      <c r="S42436"/>
      <c r="T42436"/>
      <c r="U42436"/>
      <c r="X42436" s="60"/>
    </row>
    <row r="42437" spans="7:24" ht="15" customHeight="1">
      <c r="G42437"/>
      <c r="I42437"/>
      <c r="N42437"/>
      <c r="O42437" s="24"/>
      <c r="P42437"/>
      <c r="Q42437" s="24"/>
      <c r="R42437"/>
      <c r="S42437"/>
      <c r="T42437"/>
      <c r="U42437"/>
      <c r="X42437" s="60"/>
    </row>
    <row r="42438" spans="7:24" ht="15" customHeight="1">
      <c r="G42438"/>
      <c r="I42438"/>
      <c r="N42438"/>
      <c r="O42438" s="24"/>
      <c r="P42438"/>
      <c r="Q42438" s="24"/>
      <c r="R42438"/>
      <c r="S42438"/>
      <c r="T42438"/>
      <c r="U42438"/>
      <c r="X42438" s="60"/>
    </row>
    <row r="42439" spans="7:24" ht="15" customHeight="1">
      <c r="G42439"/>
      <c r="I42439"/>
      <c r="N42439"/>
      <c r="O42439" s="24"/>
      <c r="P42439"/>
      <c r="Q42439" s="24"/>
      <c r="R42439"/>
      <c r="S42439"/>
      <c r="T42439"/>
      <c r="U42439"/>
      <c r="X42439" s="60"/>
    </row>
    <row r="42440" spans="7:24" ht="15" customHeight="1">
      <c r="G42440"/>
      <c r="I42440"/>
      <c r="N42440"/>
      <c r="O42440" s="24"/>
      <c r="P42440"/>
      <c r="Q42440" s="24"/>
      <c r="R42440"/>
      <c r="S42440"/>
      <c r="T42440"/>
      <c r="U42440"/>
      <c r="X42440" s="60"/>
    </row>
    <row r="42441" spans="7:24" ht="15" customHeight="1">
      <c r="G42441"/>
      <c r="I42441"/>
      <c r="N42441"/>
      <c r="O42441" s="24"/>
      <c r="P42441"/>
      <c r="Q42441" s="24"/>
      <c r="R42441"/>
      <c r="S42441"/>
      <c r="T42441"/>
      <c r="U42441"/>
      <c r="X42441" s="60"/>
    </row>
    <row r="42442" spans="7:24" ht="15" customHeight="1">
      <c r="G42442"/>
      <c r="I42442"/>
      <c r="N42442"/>
      <c r="O42442" s="24"/>
      <c r="P42442"/>
      <c r="Q42442" s="24"/>
      <c r="R42442"/>
      <c r="S42442"/>
      <c r="T42442"/>
      <c r="U42442"/>
      <c r="X42442" s="60"/>
    </row>
    <row r="42443" spans="7:24" ht="15" customHeight="1">
      <c r="G42443"/>
      <c r="I42443"/>
      <c r="N42443"/>
      <c r="O42443" s="24"/>
      <c r="P42443"/>
      <c r="Q42443" s="24"/>
      <c r="R42443"/>
      <c r="S42443"/>
      <c r="T42443"/>
      <c r="U42443"/>
      <c r="X42443" s="60"/>
    </row>
    <row r="42444" spans="7:24" ht="15" customHeight="1">
      <c r="G42444"/>
      <c r="I42444"/>
      <c r="N42444"/>
      <c r="O42444" s="24"/>
      <c r="P42444"/>
      <c r="Q42444" s="24"/>
      <c r="R42444"/>
      <c r="S42444"/>
      <c r="T42444"/>
      <c r="U42444"/>
      <c r="X42444" s="60"/>
    </row>
    <row r="42445" spans="7:24" ht="15" customHeight="1">
      <c r="G42445"/>
      <c r="I42445"/>
      <c r="N42445"/>
      <c r="O42445" s="24"/>
      <c r="P42445"/>
      <c r="Q42445" s="24"/>
      <c r="R42445"/>
      <c r="S42445"/>
      <c r="T42445"/>
      <c r="U42445"/>
      <c r="X42445" s="60"/>
    </row>
    <row r="42446" spans="7:24" ht="15" customHeight="1">
      <c r="G42446"/>
      <c r="I42446"/>
      <c r="N42446"/>
      <c r="O42446" s="24"/>
      <c r="P42446"/>
      <c r="Q42446" s="24"/>
      <c r="R42446"/>
      <c r="S42446"/>
      <c r="T42446"/>
      <c r="U42446"/>
      <c r="X42446" s="60"/>
    </row>
    <row r="42447" spans="7:24" ht="15" customHeight="1">
      <c r="G42447"/>
      <c r="I42447"/>
      <c r="N42447"/>
      <c r="O42447" s="24"/>
      <c r="P42447"/>
      <c r="Q42447" s="24"/>
      <c r="R42447"/>
      <c r="S42447"/>
      <c r="T42447"/>
      <c r="U42447"/>
      <c r="X42447" s="60"/>
    </row>
    <row r="42448" spans="7:24" ht="15" customHeight="1">
      <c r="G42448"/>
      <c r="I42448"/>
      <c r="N42448"/>
      <c r="O42448" s="24"/>
      <c r="P42448"/>
      <c r="Q42448" s="24"/>
      <c r="R42448"/>
      <c r="S42448"/>
      <c r="T42448"/>
      <c r="U42448"/>
      <c r="X42448" s="60"/>
    </row>
    <row r="42449" spans="7:24" ht="15" customHeight="1">
      <c r="G42449"/>
      <c r="I42449"/>
      <c r="N42449"/>
      <c r="O42449" s="24"/>
      <c r="P42449"/>
      <c r="Q42449" s="24"/>
      <c r="R42449"/>
      <c r="S42449"/>
      <c r="T42449"/>
      <c r="U42449"/>
      <c r="X42449" s="60"/>
    </row>
    <row r="42450" spans="7:24" ht="15" customHeight="1">
      <c r="G42450"/>
      <c r="I42450"/>
      <c r="N42450"/>
      <c r="O42450" s="24"/>
      <c r="P42450"/>
      <c r="Q42450" s="24"/>
      <c r="R42450"/>
      <c r="S42450"/>
      <c r="T42450"/>
      <c r="U42450"/>
      <c r="X42450" s="60"/>
    </row>
    <row r="42451" spans="7:24" ht="15" customHeight="1">
      <c r="G42451"/>
      <c r="I42451"/>
      <c r="N42451"/>
      <c r="O42451" s="24"/>
      <c r="P42451"/>
      <c r="Q42451" s="24"/>
      <c r="R42451"/>
      <c r="S42451"/>
      <c r="T42451"/>
      <c r="U42451"/>
      <c r="X42451" s="60"/>
    </row>
    <row r="42452" spans="7:24" ht="15" customHeight="1">
      <c r="G42452"/>
      <c r="I42452"/>
      <c r="N42452"/>
      <c r="O42452" s="24"/>
      <c r="P42452"/>
      <c r="Q42452" s="24"/>
      <c r="R42452"/>
      <c r="S42452"/>
      <c r="T42452"/>
      <c r="U42452"/>
      <c r="X42452" s="60"/>
    </row>
    <row r="42453" spans="7:24" ht="15" customHeight="1">
      <c r="G42453"/>
      <c r="I42453"/>
      <c r="N42453"/>
      <c r="O42453" s="24"/>
      <c r="P42453"/>
      <c r="Q42453" s="24"/>
      <c r="R42453"/>
      <c r="S42453"/>
      <c r="T42453"/>
      <c r="U42453"/>
      <c r="X42453" s="60"/>
    </row>
    <row r="42454" spans="7:24" ht="15" customHeight="1">
      <c r="G42454"/>
      <c r="I42454"/>
      <c r="N42454"/>
      <c r="O42454" s="24"/>
      <c r="P42454"/>
      <c r="Q42454" s="24"/>
      <c r="R42454"/>
      <c r="S42454"/>
      <c r="T42454"/>
      <c r="U42454"/>
      <c r="X42454" s="60"/>
    </row>
    <row r="42455" spans="7:24" ht="15" customHeight="1">
      <c r="G42455"/>
      <c r="I42455"/>
      <c r="N42455"/>
      <c r="O42455" s="24"/>
      <c r="P42455"/>
      <c r="Q42455" s="24"/>
      <c r="R42455"/>
      <c r="S42455"/>
      <c r="T42455"/>
      <c r="U42455"/>
      <c r="X42455" s="60"/>
    </row>
    <row r="42456" spans="7:24" ht="15" customHeight="1">
      <c r="G42456"/>
      <c r="I42456"/>
      <c r="N42456"/>
      <c r="O42456" s="24"/>
      <c r="P42456"/>
      <c r="Q42456" s="24"/>
      <c r="R42456"/>
      <c r="S42456"/>
      <c r="T42456"/>
      <c r="U42456"/>
      <c r="X42456" s="60"/>
    </row>
    <row r="42457" spans="7:24" ht="15" customHeight="1">
      <c r="G42457"/>
      <c r="I42457"/>
      <c r="N42457"/>
      <c r="O42457" s="24"/>
      <c r="P42457"/>
      <c r="Q42457" s="24"/>
      <c r="R42457"/>
      <c r="S42457"/>
      <c r="T42457"/>
      <c r="U42457"/>
      <c r="X42457" s="60"/>
    </row>
    <row r="42458" spans="7:24" ht="15" customHeight="1">
      <c r="G42458"/>
      <c r="I42458"/>
      <c r="N42458"/>
      <c r="O42458" s="24"/>
      <c r="P42458"/>
      <c r="Q42458" s="24"/>
      <c r="R42458"/>
      <c r="S42458"/>
      <c r="T42458"/>
      <c r="U42458"/>
      <c r="X42458" s="60"/>
    </row>
    <row r="42459" spans="7:24" ht="15" customHeight="1">
      <c r="G42459"/>
      <c r="I42459"/>
      <c r="N42459"/>
      <c r="O42459" s="24"/>
      <c r="P42459"/>
      <c r="Q42459" s="24"/>
      <c r="R42459"/>
      <c r="S42459"/>
      <c r="T42459"/>
      <c r="U42459"/>
      <c r="X42459" s="60"/>
    </row>
    <row r="42460" spans="7:24" ht="15" customHeight="1">
      <c r="G42460"/>
      <c r="I42460"/>
      <c r="N42460"/>
      <c r="O42460" s="24"/>
      <c r="P42460"/>
      <c r="Q42460" s="24"/>
      <c r="R42460"/>
      <c r="S42460"/>
      <c r="T42460"/>
      <c r="U42460"/>
      <c r="X42460" s="60"/>
    </row>
    <row r="42461" spans="7:24" ht="15" customHeight="1">
      <c r="G42461"/>
      <c r="I42461"/>
      <c r="N42461"/>
      <c r="O42461" s="24"/>
      <c r="P42461"/>
      <c r="Q42461" s="24"/>
      <c r="R42461"/>
      <c r="S42461"/>
      <c r="T42461"/>
      <c r="U42461"/>
      <c r="X42461" s="60"/>
    </row>
    <row r="42462" spans="7:24" ht="15" customHeight="1">
      <c r="G42462"/>
      <c r="I42462"/>
      <c r="N42462"/>
      <c r="O42462" s="24"/>
      <c r="P42462"/>
      <c r="Q42462" s="24"/>
      <c r="R42462"/>
      <c r="S42462"/>
      <c r="T42462"/>
      <c r="U42462"/>
      <c r="X42462" s="60"/>
    </row>
    <row r="42463" spans="7:24" ht="15" customHeight="1">
      <c r="G42463"/>
      <c r="I42463"/>
      <c r="N42463"/>
      <c r="O42463" s="24"/>
      <c r="P42463"/>
      <c r="Q42463" s="24"/>
      <c r="R42463"/>
      <c r="S42463"/>
      <c r="T42463"/>
      <c r="U42463"/>
      <c r="X42463" s="60"/>
    </row>
    <row r="42464" spans="7:24" ht="15" customHeight="1">
      <c r="G42464"/>
      <c r="I42464"/>
      <c r="N42464"/>
      <c r="O42464" s="24"/>
      <c r="P42464"/>
      <c r="Q42464" s="24"/>
      <c r="R42464"/>
      <c r="S42464"/>
      <c r="T42464"/>
      <c r="U42464"/>
      <c r="X42464" s="60"/>
    </row>
    <row r="42465" spans="7:24" ht="15" customHeight="1">
      <c r="G42465"/>
      <c r="I42465"/>
      <c r="N42465"/>
      <c r="O42465" s="24"/>
      <c r="P42465"/>
      <c r="Q42465" s="24"/>
      <c r="R42465"/>
      <c r="S42465"/>
      <c r="T42465"/>
      <c r="U42465"/>
      <c r="X42465" s="60"/>
    </row>
    <row r="42466" spans="7:24" ht="15" customHeight="1">
      <c r="G42466"/>
      <c r="I42466"/>
      <c r="N42466"/>
      <c r="O42466" s="24"/>
      <c r="P42466"/>
      <c r="Q42466" s="24"/>
      <c r="R42466"/>
      <c r="S42466"/>
      <c r="T42466"/>
      <c r="U42466"/>
      <c r="X42466" s="60"/>
    </row>
    <row r="42467" spans="7:24" ht="15" customHeight="1">
      <c r="G42467"/>
      <c r="I42467"/>
      <c r="N42467"/>
      <c r="O42467" s="24"/>
      <c r="P42467"/>
      <c r="Q42467" s="24"/>
      <c r="R42467"/>
      <c r="S42467"/>
      <c r="T42467"/>
      <c r="U42467"/>
      <c r="X42467" s="60"/>
    </row>
    <row r="42468" spans="7:24" ht="15" customHeight="1">
      <c r="G42468"/>
      <c r="I42468"/>
      <c r="N42468"/>
      <c r="O42468" s="24"/>
      <c r="P42468"/>
      <c r="Q42468" s="24"/>
      <c r="R42468"/>
      <c r="S42468"/>
      <c r="T42468"/>
      <c r="U42468"/>
      <c r="X42468" s="60"/>
    </row>
    <row r="42469" spans="7:24" ht="15" customHeight="1">
      <c r="G42469"/>
      <c r="I42469"/>
      <c r="N42469"/>
      <c r="O42469" s="24"/>
      <c r="P42469"/>
      <c r="Q42469" s="24"/>
      <c r="R42469"/>
      <c r="S42469"/>
      <c r="T42469"/>
      <c r="U42469"/>
      <c r="X42469" s="60"/>
    </row>
    <row r="42470" spans="7:24" ht="15" customHeight="1">
      <c r="G42470"/>
      <c r="I42470"/>
      <c r="N42470"/>
      <c r="O42470" s="24"/>
      <c r="P42470"/>
      <c r="Q42470" s="24"/>
      <c r="R42470"/>
      <c r="S42470"/>
      <c r="T42470"/>
      <c r="U42470"/>
      <c r="X42470" s="60"/>
    </row>
    <row r="42471" spans="7:24" ht="15" customHeight="1">
      <c r="G42471"/>
      <c r="I42471"/>
      <c r="N42471"/>
      <c r="O42471" s="24"/>
      <c r="P42471"/>
      <c r="Q42471" s="24"/>
      <c r="R42471"/>
      <c r="S42471"/>
      <c r="T42471"/>
      <c r="U42471"/>
      <c r="X42471" s="60"/>
    </row>
    <row r="42472" spans="7:24" ht="15" customHeight="1">
      <c r="G42472"/>
      <c r="I42472"/>
      <c r="N42472"/>
      <c r="O42472" s="24"/>
      <c r="P42472"/>
      <c r="Q42472" s="24"/>
      <c r="R42472"/>
      <c r="S42472"/>
      <c r="T42472"/>
      <c r="U42472"/>
      <c r="X42472" s="60"/>
    </row>
    <row r="42473" spans="7:24" ht="15" customHeight="1">
      <c r="G42473"/>
      <c r="I42473"/>
      <c r="N42473"/>
      <c r="O42473" s="24"/>
      <c r="P42473"/>
      <c r="Q42473" s="24"/>
      <c r="R42473"/>
      <c r="S42473"/>
      <c r="T42473"/>
      <c r="U42473"/>
      <c r="X42473" s="60"/>
    </row>
    <row r="42474" spans="7:24" ht="15" customHeight="1">
      <c r="G42474"/>
      <c r="I42474"/>
      <c r="N42474"/>
      <c r="O42474" s="24"/>
      <c r="P42474"/>
      <c r="Q42474" s="24"/>
      <c r="R42474"/>
      <c r="S42474"/>
      <c r="T42474"/>
      <c r="U42474"/>
      <c r="X42474" s="60"/>
    </row>
    <row r="42475" spans="7:24" ht="15" customHeight="1">
      <c r="G42475"/>
      <c r="I42475"/>
      <c r="N42475"/>
      <c r="O42475" s="24"/>
      <c r="P42475"/>
      <c r="Q42475" s="24"/>
      <c r="R42475"/>
      <c r="S42475"/>
      <c r="T42475"/>
      <c r="U42475"/>
      <c r="X42475" s="60"/>
    </row>
    <row r="42476" spans="7:24" ht="15" customHeight="1">
      <c r="G42476"/>
      <c r="I42476"/>
      <c r="N42476"/>
      <c r="O42476" s="24"/>
      <c r="P42476"/>
      <c r="Q42476" s="24"/>
      <c r="R42476"/>
      <c r="S42476"/>
      <c r="T42476"/>
      <c r="U42476"/>
      <c r="X42476" s="60"/>
    </row>
    <row r="42477" spans="7:24" ht="15" customHeight="1">
      <c r="G42477"/>
      <c r="I42477"/>
      <c r="N42477"/>
      <c r="O42477" s="24"/>
      <c r="P42477"/>
      <c r="Q42477" s="24"/>
      <c r="R42477"/>
      <c r="S42477"/>
      <c r="T42477"/>
      <c r="U42477"/>
      <c r="X42477" s="60"/>
    </row>
    <row r="42478" spans="7:24" ht="15" customHeight="1">
      <c r="G42478"/>
      <c r="I42478"/>
      <c r="N42478"/>
      <c r="O42478" s="24"/>
      <c r="P42478"/>
      <c r="Q42478" s="24"/>
      <c r="R42478"/>
      <c r="S42478"/>
      <c r="T42478"/>
      <c r="U42478"/>
      <c r="X42478" s="60"/>
    </row>
    <row r="42479" spans="7:24" ht="15" customHeight="1">
      <c r="G42479"/>
      <c r="I42479"/>
      <c r="N42479"/>
      <c r="O42479" s="24"/>
      <c r="P42479"/>
      <c r="Q42479" s="24"/>
      <c r="R42479"/>
      <c r="S42479"/>
      <c r="T42479"/>
      <c r="U42479"/>
      <c r="X42479" s="60"/>
    </row>
    <row r="42480" spans="7:24" ht="15" customHeight="1">
      <c r="G42480"/>
      <c r="I42480"/>
      <c r="N42480"/>
      <c r="O42480" s="24"/>
      <c r="P42480"/>
      <c r="Q42480" s="24"/>
      <c r="R42480"/>
      <c r="S42480"/>
      <c r="T42480"/>
      <c r="U42480"/>
      <c r="X42480" s="60"/>
    </row>
    <row r="42481" spans="7:24" ht="15" customHeight="1">
      <c r="G42481"/>
      <c r="I42481"/>
      <c r="N42481"/>
      <c r="O42481" s="24"/>
      <c r="P42481"/>
      <c r="Q42481" s="24"/>
      <c r="R42481"/>
      <c r="S42481"/>
      <c r="T42481"/>
      <c r="U42481"/>
      <c r="X42481" s="60"/>
    </row>
    <row r="42482" spans="7:24" ht="15" customHeight="1">
      <c r="G42482"/>
      <c r="I42482"/>
      <c r="N42482"/>
      <c r="O42482" s="24"/>
      <c r="P42482"/>
      <c r="Q42482" s="24"/>
      <c r="R42482"/>
      <c r="S42482"/>
      <c r="T42482"/>
      <c r="U42482"/>
      <c r="X42482" s="60"/>
    </row>
    <row r="42483" spans="7:24" ht="15" customHeight="1">
      <c r="G42483"/>
      <c r="I42483"/>
      <c r="N42483"/>
      <c r="O42483" s="24"/>
      <c r="P42483"/>
      <c r="Q42483" s="24"/>
      <c r="R42483"/>
      <c r="S42483"/>
      <c r="T42483"/>
      <c r="U42483"/>
      <c r="X42483" s="60"/>
    </row>
    <row r="42484" spans="7:24" ht="15" customHeight="1">
      <c r="G42484"/>
      <c r="I42484"/>
      <c r="N42484"/>
      <c r="O42484" s="24"/>
      <c r="P42484"/>
      <c r="Q42484" s="24"/>
      <c r="R42484"/>
      <c r="S42484"/>
      <c r="T42484"/>
      <c r="U42484"/>
      <c r="X42484" s="60"/>
    </row>
    <row r="42485" spans="7:24" ht="15" customHeight="1">
      <c r="G42485"/>
      <c r="I42485"/>
      <c r="N42485"/>
      <c r="O42485" s="24"/>
      <c r="P42485"/>
      <c r="Q42485" s="24"/>
      <c r="R42485"/>
      <c r="S42485"/>
      <c r="T42485"/>
      <c r="U42485"/>
      <c r="X42485" s="60"/>
    </row>
    <row r="42486" spans="7:24" ht="15" customHeight="1">
      <c r="G42486"/>
      <c r="I42486"/>
      <c r="N42486"/>
      <c r="O42486" s="24"/>
      <c r="P42486"/>
      <c r="Q42486" s="24"/>
      <c r="R42486"/>
      <c r="S42486"/>
      <c r="T42486"/>
      <c r="U42486"/>
      <c r="X42486" s="60"/>
    </row>
    <row r="42487" spans="7:24" ht="15" customHeight="1">
      <c r="G42487"/>
      <c r="I42487"/>
      <c r="N42487"/>
      <c r="O42487" s="24"/>
      <c r="P42487"/>
      <c r="Q42487" s="24"/>
      <c r="R42487"/>
      <c r="S42487"/>
      <c r="T42487"/>
      <c r="U42487"/>
      <c r="X42487" s="60"/>
    </row>
    <row r="42488" spans="7:24" ht="15" customHeight="1">
      <c r="G42488"/>
      <c r="I42488"/>
      <c r="N42488"/>
      <c r="O42488" s="24"/>
      <c r="P42488"/>
      <c r="Q42488" s="24"/>
      <c r="R42488"/>
      <c r="S42488"/>
      <c r="T42488"/>
      <c r="U42488"/>
      <c r="X42488" s="60"/>
    </row>
    <row r="42489" spans="7:24" ht="15" customHeight="1">
      <c r="G42489"/>
      <c r="I42489"/>
      <c r="N42489"/>
      <c r="O42489" s="24"/>
      <c r="P42489"/>
      <c r="Q42489" s="24"/>
      <c r="R42489"/>
      <c r="S42489"/>
      <c r="T42489"/>
      <c r="U42489"/>
      <c r="X42489" s="60"/>
    </row>
    <row r="42490" spans="7:24" ht="15" customHeight="1">
      <c r="G42490"/>
      <c r="I42490"/>
      <c r="N42490"/>
      <c r="O42490" s="24"/>
      <c r="P42490"/>
      <c r="Q42490" s="24"/>
      <c r="R42490"/>
      <c r="S42490"/>
      <c r="T42490"/>
      <c r="U42490"/>
      <c r="X42490" s="60"/>
    </row>
    <row r="42491" spans="7:24" ht="15" customHeight="1">
      <c r="G42491"/>
      <c r="I42491"/>
      <c r="N42491"/>
      <c r="O42491" s="24"/>
      <c r="P42491"/>
      <c r="Q42491" s="24"/>
      <c r="R42491"/>
      <c r="S42491"/>
      <c r="T42491"/>
      <c r="U42491"/>
      <c r="X42491" s="60"/>
    </row>
    <row r="42492" spans="7:24" ht="15" customHeight="1">
      <c r="G42492"/>
      <c r="I42492"/>
      <c r="N42492"/>
      <c r="O42492" s="24"/>
      <c r="P42492"/>
      <c r="Q42492" s="24"/>
      <c r="R42492"/>
      <c r="S42492"/>
      <c r="T42492"/>
      <c r="U42492"/>
      <c r="X42492" s="60"/>
    </row>
    <row r="42493" spans="7:24" ht="15" customHeight="1">
      <c r="G42493"/>
      <c r="I42493"/>
      <c r="N42493"/>
      <c r="O42493" s="24"/>
      <c r="P42493"/>
      <c r="Q42493" s="24"/>
      <c r="R42493"/>
      <c r="S42493"/>
      <c r="T42493"/>
      <c r="U42493"/>
      <c r="X42493" s="60"/>
    </row>
    <row r="42494" spans="7:24" ht="15" customHeight="1">
      <c r="G42494"/>
      <c r="I42494"/>
      <c r="N42494"/>
      <c r="O42494" s="24"/>
      <c r="P42494"/>
      <c r="Q42494" s="24"/>
      <c r="R42494"/>
      <c r="S42494"/>
      <c r="T42494"/>
      <c r="U42494"/>
      <c r="X42494" s="60"/>
    </row>
    <row r="42495" spans="7:24" ht="15" customHeight="1">
      <c r="G42495"/>
      <c r="I42495"/>
      <c r="N42495"/>
      <c r="O42495" s="24"/>
      <c r="P42495"/>
      <c r="Q42495" s="24"/>
      <c r="R42495"/>
      <c r="S42495"/>
      <c r="T42495"/>
      <c r="U42495"/>
      <c r="X42495" s="60"/>
    </row>
    <row r="42496" spans="7:24" ht="15" customHeight="1">
      <c r="G42496"/>
      <c r="I42496"/>
      <c r="N42496"/>
      <c r="O42496" s="24"/>
      <c r="P42496"/>
      <c r="Q42496" s="24"/>
      <c r="R42496"/>
      <c r="S42496"/>
      <c r="T42496"/>
      <c r="U42496"/>
      <c r="X42496" s="60"/>
    </row>
    <row r="42497" spans="7:24" ht="15" customHeight="1">
      <c r="G42497"/>
      <c r="I42497"/>
      <c r="N42497"/>
      <c r="O42497" s="24"/>
      <c r="P42497"/>
      <c r="Q42497" s="24"/>
      <c r="R42497"/>
      <c r="S42497"/>
      <c r="T42497"/>
      <c r="U42497"/>
      <c r="X42497" s="60"/>
    </row>
    <row r="42498" spans="7:24" ht="15" customHeight="1">
      <c r="G42498"/>
      <c r="I42498"/>
      <c r="N42498"/>
      <c r="O42498" s="24"/>
      <c r="P42498"/>
      <c r="Q42498" s="24"/>
      <c r="R42498"/>
      <c r="S42498"/>
      <c r="T42498"/>
      <c r="U42498"/>
      <c r="X42498" s="60"/>
    </row>
    <row r="42499" spans="7:24" ht="15" customHeight="1">
      <c r="G42499"/>
      <c r="I42499"/>
      <c r="N42499"/>
      <c r="O42499" s="24"/>
      <c r="P42499"/>
      <c r="Q42499" s="24"/>
      <c r="R42499"/>
      <c r="S42499"/>
      <c r="T42499"/>
      <c r="U42499"/>
      <c r="X42499" s="60"/>
    </row>
    <row r="42500" spans="7:24" ht="15" customHeight="1">
      <c r="G42500"/>
      <c r="I42500"/>
      <c r="N42500"/>
      <c r="O42500" s="24"/>
      <c r="P42500"/>
      <c r="Q42500" s="24"/>
      <c r="R42500"/>
      <c r="S42500"/>
      <c r="T42500"/>
      <c r="U42500"/>
      <c r="X42500" s="60"/>
    </row>
    <row r="42501" spans="7:24" ht="15" customHeight="1">
      <c r="G42501"/>
      <c r="I42501"/>
      <c r="N42501"/>
      <c r="O42501" s="24"/>
      <c r="P42501"/>
      <c r="Q42501" s="24"/>
      <c r="R42501"/>
      <c r="S42501"/>
      <c r="T42501"/>
      <c r="U42501"/>
      <c r="X42501" s="60"/>
    </row>
    <row r="42502" spans="7:24" ht="15" customHeight="1">
      <c r="G42502"/>
      <c r="I42502"/>
      <c r="N42502"/>
      <c r="O42502" s="24"/>
      <c r="P42502"/>
      <c r="Q42502" s="24"/>
      <c r="R42502"/>
      <c r="S42502"/>
      <c r="T42502"/>
      <c r="U42502"/>
      <c r="X42502" s="60"/>
    </row>
    <row r="42503" spans="7:24" ht="15" customHeight="1">
      <c r="G42503"/>
      <c r="I42503"/>
      <c r="N42503"/>
      <c r="O42503" s="24"/>
      <c r="P42503"/>
      <c r="Q42503" s="24"/>
      <c r="R42503"/>
      <c r="S42503"/>
      <c r="T42503"/>
      <c r="U42503"/>
      <c r="X42503" s="60"/>
    </row>
    <row r="42504" spans="7:24" ht="15" customHeight="1">
      <c r="G42504"/>
      <c r="I42504"/>
      <c r="N42504"/>
      <c r="O42504" s="24"/>
      <c r="P42504"/>
      <c r="Q42504" s="24"/>
      <c r="R42504"/>
      <c r="S42504"/>
      <c r="T42504"/>
      <c r="U42504"/>
      <c r="X42504" s="60"/>
    </row>
    <row r="42505" spans="7:24" ht="15" customHeight="1">
      <c r="G42505"/>
      <c r="I42505"/>
      <c r="N42505"/>
      <c r="O42505" s="24"/>
      <c r="P42505"/>
      <c r="Q42505" s="24"/>
      <c r="R42505"/>
      <c r="S42505"/>
      <c r="T42505"/>
      <c r="U42505"/>
      <c r="X42505" s="60"/>
    </row>
    <row r="42506" spans="7:24" ht="15" customHeight="1">
      <c r="G42506"/>
      <c r="I42506"/>
      <c r="N42506"/>
      <c r="O42506" s="24"/>
      <c r="P42506"/>
      <c r="Q42506" s="24"/>
      <c r="R42506"/>
      <c r="S42506"/>
      <c r="T42506"/>
      <c r="U42506"/>
      <c r="X42506" s="60"/>
    </row>
    <row r="42507" spans="7:24" ht="15" customHeight="1">
      <c r="G42507"/>
      <c r="I42507"/>
      <c r="N42507"/>
      <c r="O42507" s="24"/>
      <c r="P42507"/>
      <c r="Q42507" s="24"/>
      <c r="R42507"/>
      <c r="S42507"/>
      <c r="T42507"/>
      <c r="U42507"/>
      <c r="X42507" s="60"/>
    </row>
    <row r="42508" spans="7:24" ht="15" customHeight="1">
      <c r="G42508"/>
      <c r="I42508"/>
      <c r="N42508"/>
      <c r="O42508" s="24"/>
      <c r="P42508"/>
      <c r="Q42508" s="24"/>
      <c r="R42508"/>
      <c r="S42508"/>
      <c r="T42508"/>
      <c r="U42508"/>
      <c r="X42508" s="60"/>
    </row>
    <row r="42509" spans="7:24" ht="15" customHeight="1">
      <c r="G42509"/>
      <c r="I42509"/>
      <c r="N42509"/>
      <c r="O42509" s="24"/>
      <c r="P42509"/>
      <c r="Q42509" s="24"/>
      <c r="R42509"/>
      <c r="S42509"/>
      <c r="T42509"/>
      <c r="U42509"/>
      <c r="X42509" s="60"/>
    </row>
    <row r="42510" spans="7:24" ht="15" customHeight="1">
      <c r="G42510"/>
      <c r="I42510"/>
      <c r="N42510"/>
      <c r="O42510" s="24"/>
      <c r="P42510"/>
      <c r="Q42510" s="24"/>
      <c r="R42510"/>
      <c r="S42510"/>
      <c r="T42510"/>
      <c r="U42510"/>
      <c r="X42510" s="60"/>
    </row>
    <row r="42511" spans="7:24" ht="15" customHeight="1">
      <c r="G42511"/>
      <c r="I42511"/>
      <c r="N42511"/>
      <c r="O42511" s="24"/>
      <c r="P42511"/>
      <c r="Q42511" s="24"/>
      <c r="R42511"/>
      <c r="S42511"/>
      <c r="T42511"/>
      <c r="U42511"/>
      <c r="X42511" s="60"/>
    </row>
    <row r="42512" spans="7:24" ht="15" customHeight="1">
      <c r="G42512"/>
      <c r="I42512"/>
      <c r="N42512"/>
      <c r="O42512" s="24"/>
      <c r="P42512"/>
      <c r="Q42512" s="24"/>
      <c r="R42512"/>
      <c r="S42512"/>
      <c r="T42512"/>
      <c r="U42512"/>
      <c r="X42512" s="60"/>
    </row>
    <row r="42513" spans="7:24" ht="15" customHeight="1">
      <c r="G42513"/>
      <c r="I42513"/>
      <c r="N42513"/>
      <c r="O42513" s="24"/>
      <c r="P42513"/>
      <c r="Q42513" s="24"/>
      <c r="R42513"/>
      <c r="S42513"/>
      <c r="T42513"/>
      <c r="U42513"/>
      <c r="X42513" s="60"/>
    </row>
    <row r="42514" spans="7:24" ht="15" customHeight="1">
      <c r="G42514"/>
      <c r="I42514"/>
      <c r="N42514"/>
      <c r="O42514" s="24"/>
      <c r="P42514"/>
      <c r="Q42514" s="24"/>
      <c r="R42514"/>
      <c r="S42514"/>
      <c r="T42514"/>
      <c r="U42514"/>
      <c r="X42514" s="60"/>
    </row>
    <row r="42515" spans="7:24" ht="15" customHeight="1">
      <c r="G42515"/>
      <c r="I42515"/>
      <c r="N42515"/>
      <c r="O42515" s="24"/>
      <c r="P42515"/>
      <c r="Q42515" s="24"/>
      <c r="R42515"/>
      <c r="S42515"/>
      <c r="T42515"/>
      <c r="U42515"/>
      <c r="X42515" s="60"/>
    </row>
    <row r="42516" spans="7:24" ht="15" customHeight="1">
      <c r="G42516"/>
      <c r="I42516"/>
      <c r="N42516"/>
      <c r="O42516" s="24"/>
      <c r="P42516"/>
      <c r="Q42516" s="24"/>
      <c r="R42516"/>
      <c r="S42516"/>
      <c r="T42516"/>
      <c r="U42516"/>
      <c r="X42516" s="60"/>
    </row>
    <row r="42517" spans="7:24" ht="15" customHeight="1">
      <c r="G42517"/>
      <c r="I42517"/>
      <c r="N42517"/>
      <c r="O42517" s="24"/>
      <c r="P42517"/>
      <c r="Q42517" s="24"/>
      <c r="R42517"/>
      <c r="S42517"/>
      <c r="T42517"/>
      <c r="U42517"/>
      <c r="X42517" s="60"/>
    </row>
    <row r="42518" spans="7:24" ht="15" customHeight="1">
      <c r="G42518"/>
      <c r="I42518"/>
      <c r="N42518"/>
      <c r="O42518" s="24"/>
      <c r="P42518"/>
      <c r="Q42518" s="24"/>
      <c r="R42518"/>
      <c r="S42518"/>
      <c r="T42518"/>
      <c r="U42518"/>
      <c r="X42518" s="60"/>
    </row>
    <row r="42519" spans="7:24" ht="15" customHeight="1">
      <c r="G42519"/>
      <c r="I42519"/>
      <c r="N42519"/>
      <c r="O42519" s="24"/>
      <c r="P42519"/>
      <c r="Q42519" s="24"/>
      <c r="R42519"/>
      <c r="S42519"/>
      <c r="T42519"/>
      <c r="U42519"/>
      <c r="X42519" s="60"/>
    </row>
    <row r="42520" spans="7:24" ht="15" customHeight="1">
      <c r="G42520"/>
      <c r="I42520"/>
      <c r="N42520"/>
      <c r="O42520" s="24"/>
      <c r="P42520"/>
      <c r="Q42520" s="24"/>
      <c r="R42520"/>
      <c r="S42520"/>
      <c r="T42520"/>
      <c r="U42520"/>
      <c r="X42520" s="60"/>
    </row>
    <row r="42521" spans="7:24" ht="15" customHeight="1">
      <c r="G42521"/>
      <c r="I42521"/>
      <c r="N42521"/>
      <c r="O42521" s="24"/>
      <c r="P42521"/>
      <c r="Q42521" s="24"/>
      <c r="R42521"/>
      <c r="S42521"/>
      <c r="T42521"/>
      <c r="U42521"/>
      <c r="X42521" s="60"/>
    </row>
    <row r="42522" spans="7:24" ht="15" customHeight="1">
      <c r="G42522"/>
      <c r="I42522"/>
      <c r="N42522"/>
      <c r="O42522" s="24"/>
      <c r="P42522"/>
      <c r="Q42522" s="24"/>
      <c r="R42522"/>
      <c r="S42522"/>
      <c r="T42522"/>
      <c r="U42522"/>
      <c r="X42522" s="60"/>
    </row>
    <row r="42523" spans="7:24" ht="15" customHeight="1">
      <c r="G42523"/>
      <c r="I42523"/>
      <c r="N42523"/>
      <c r="O42523" s="24"/>
      <c r="P42523"/>
      <c r="Q42523" s="24"/>
      <c r="R42523"/>
      <c r="S42523"/>
      <c r="T42523"/>
      <c r="U42523"/>
      <c r="X42523" s="60"/>
    </row>
    <row r="42524" spans="7:24" ht="15" customHeight="1">
      <c r="G42524"/>
      <c r="I42524"/>
      <c r="N42524"/>
      <c r="O42524" s="24"/>
      <c r="P42524"/>
      <c r="Q42524" s="24"/>
      <c r="R42524"/>
      <c r="S42524"/>
      <c r="T42524"/>
      <c r="U42524"/>
      <c r="X42524" s="60"/>
    </row>
    <row r="42525" spans="7:24" ht="15" customHeight="1">
      <c r="G42525"/>
      <c r="I42525"/>
      <c r="N42525"/>
      <c r="O42525" s="24"/>
      <c r="P42525"/>
      <c r="Q42525" s="24"/>
      <c r="R42525"/>
      <c r="S42525"/>
      <c r="T42525"/>
      <c r="U42525"/>
      <c r="X42525" s="60"/>
    </row>
    <row r="42526" spans="7:24" ht="15" customHeight="1">
      <c r="G42526"/>
      <c r="I42526"/>
      <c r="N42526"/>
      <c r="O42526" s="24"/>
      <c r="P42526"/>
      <c r="Q42526" s="24"/>
      <c r="R42526"/>
      <c r="S42526"/>
      <c r="T42526"/>
      <c r="U42526"/>
      <c r="X42526" s="60"/>
    </row>
    <row r="42527" spans="7:24" ht="15" customHeight="1">
      <c r="G42527"/>
      <c r="I42527"/>
      <c r="N42527"/>
      <c r="O42527" s="24"/>
      <c r="P42527"/>
      <c r="Q42527" s="24"/>
      <c r="R42527"/>
      <c r="S42527"/>
      <c r="T42527"/>
      <c r="U42527"/>
      <c r="X42527" s="60"/>
    </row>
    <row r="42528" spans="7:24" ht="15" customHeight="1">
      <c r="G42528"/>
      <c r="I42528"/>
      <c r="N42528"/>
      <c r="O42528" s="24"/>
      <c r="P42528"/>
      <c r="Q42528" s="24"/>
      <c r="R42528"/>
      <c r="S42528"/>
      <c r="T42528"/>
      <c r="U42528"/>
      <c r="X42528" s="60"/>
    </row>
    <row r="42529" spans="7:24" ht="15" customHeight="1">
      <c r="G42529"/>
      <c r="I42529"/>
      <c r="N42529"/>
      <c r="O42529" s="24"/>
      <c r="P42529"/>
      <c r="Q42529" s="24"/>
      <c r="R42529"/>
      <c r="S42529"/>
      <c r="T42529"/>
      <c r="U42529"/>
      <c r="X42529" s="60"/>
    </row>
    <row r="42530" spans="7:24" ht="15" customHeight="1">
      <c r="G42530"/>
      <c r="I42530"/>
      <c r="N42530"/>
      <c r="O42530" s="24"/>
      <c r="P42530"/>
      <c r="Q42530" s="24"/>
      <c r="R42530"/>
      <c r="S42530"/>
      <c r="T42530"/>
      <c r="U42530"/>
      <c r="X42530" s="60"/>
    </row>
    <row r="42531" spans="7:24" ht="15" customHeight="1">
      <c r="G42531"/>
      <c r="I42531"/>
      <c r="N42531"/>
      <c r="O42531" s="24"/>
      <c r="P42531"/>
      <c r="Q42531" s="24"/>
      <c r="R42531"/>
      <c r="S42531"/>
      <c r="T42531"/>
      <c r="U42531"/>
      <c r="X42531" s="60"/>
    </row>
    <row r="42532" spans="7:24" ht="15" customHeight="1">
      <c r="G42532"/>
      <c r="I42532"/>
      <c r="N42532"/>
      <c r="O42532" s="24"/>
      <c r="P42532"/>
      <c r="Q42532" s="24"/>
      <c r="R42532"/>
      <c r="S42532"/>
      <c r="T42532"/>
      <c r="U42532"/>
      <c r="X42532" s="60"/>
    </row>
    <row r="42533" spans="7:24" ht="15" customHeight="1">
      <c r="G42533"/>
      <c r="I42533"/>
      <c r="N42533"/>
      <c r="O42533" s="24"/>
      <c r="P42533"/>
      <c r="Q42533" s="24"/>
      <c r="R42533"/>
      <c r="S42533"/>
      <c r="T42533"/>
      <c r="U42533"/>
      <c r="X42533" s="60"/>
    </row>
    <row r="42534" spans="7:24" ht="15" customHeight="1">
      <c r="G42534"/>
      <c r="I42534"/>
      <c r="N42534"/>
      <c r="O42534" s="24"/>
      <c r="P42534"/>
      <c r="Q42534" s="24"/>
      <c r="R42534"/>
      <c r="S42534"/>
      <c r="T42534"/>
      <c r="U42534"/>
      <c r="X42534" s="60"/>
    </row>
    <row r="42535" spans="7:24" ht="15" customHeight="1">
      <c r="G42535"/>
      <c r="I42535"/>
      <c r="N42535"/>
      <c r="O42535" s="24"/>
      <c r="P42535"/>
      <c r="Q42535" s="24"/>
      <c r="R42535"/>
      <c r="S42535"/>
      <c r="T42535"/>
      <c r="U42535"/>
      <c r="X42535" s="60"/>
    </row>
    <row r="42536" spans="7:24" ht="15" customHeight="1">
      <c r="G42536"/>
      <c r="I42536"/>
      <c r="N42536"/>
      <c r="O42536" s="24"/>
      <c r="P42536"/>
      <c r="Q42536" s="24"/>
      <c r="R42536"/>
      <c r="S42536"/>
      <c r="T42536"/>
      <c r="U42536"/>
      <c r="X42536" s="60"/>
    </row>
    <row r="42537" spans="7:24" ht="15" customHeight="1">
      <c r="G42537"/>
      <c r="I42537"/>
      <c r="N42537"/>
      <c r="O42537" s="24"/>
      <c r="P42537"/>
      <c r="Q42537" s="24"/>
      <c r="R42537"/>
      <c r="S42537"/>
      <c r="T42537"/>
      <c r="U42537"/>
      <c r="X42537" s="60"/>
    </row>
    <row r="42538" spans="7:24" ht="15" customHeight="1">
      <c r="G42538"/>
      <c r="I42538"/>
      <c r="N42538"/>
      <c r="O42538" s="24"/>
      <c r="P42538"/>
      <c r="Q42538" s="24"/>
      <c r="R42538"/>
      <c r="S42538"/>
      <c r="T42538"/>
      <c r="U42538"/>
      <c r="X42538" s="60"/>
    </row>
    <row r="42539" spans="7:24" ht="15" customHeight="1">
      <c r="G42539"/>
      <c r="I42539"/>
      <c r="N42539"/>
      <c r="O42539" s="24"/>
      <c r="P42539"/>
      <c r="Q42539" s="24"/>
      <c r="R42539"/>
      <c r="S42539"/>
      <c r="T42539"/>
      <c r="U42539"/>
      <c r="X42539" s="60"/>
    </row>
    <row r="42540" spans="7:24" ht="15" customHeight="1">
      <c r="G42540"/>
      <c r="I42540"/>
      <c r="N42540"/>
      <c r="O42540" s="24"/>
      <c r="P42540"/>
      <c r="Q42540" s="24"/>
      <c r="R42540"/>
      <c r="S42540"/>
      <c r="T42540"/>
      <c r="U42540"/>
      <c r="X42540" s="60"/>
    </row>
    <row r="42541" spans="7:24" ht="15" customHeight="1">
      <c r="G42541"/>
      <c r="I42541"/>
      <c r="N42541"/>
      <c r="O42541" s="24"/>
      <c r="P42541"/>
      <c r="Q42541" s="24"/>
      <c r="R42541"/>
      <c r="S42541"/>
      <c r="T42541"/>
      <c r="U42541"/>
      <c r="X42541" s="60"/>
    </row>
    <row r="42542" spans="7:24" ht="15" customHeight="1">
      <c r="G42542"/>
      <c r="I42542"/>
      <c r="N42542"/>
      <c r="O42542" s="24"/>
      <c r="P42542"/>
      <c r="Q42542" s="24"/>
      <c r="R42542"/>
      <c r="S42542"/>
      <c r="T42542"/>
      <c r="U42542"/>
      <c r="X42542" s="60"/>
    </row>
    <row r="42543" spans="7:24" ht="15" customHeight="1">
      <c r="G42543"/>
      <c r="I42543"/>
      <c r="N42543"/>
      <c r="O42543" s="24"/>
      <c r="P42543"/>
      <c r="Q42543" s="24"/>
      <c r="R42543"/>
      <c r="S42543"/>
      <c r="T42543"/>
      <c r="U42543"/>
      <c r="X42543" s="60"/>
    </row>
    <row r="42544" spans="7:24" ht="15" customHeight="1">
      <c r="G42544"/>
      <c r="I42544"/>
      <c r="N42544"/>
      <c r="O42544" s="24"/>
      <c r="P42544"/>
      <c r="Q42544" s="24"/>
      <c r="R42544"/>
      <c r="S42544"/>
      <c r="T42544"/>
      <c r="U42544"/>
      <c r="X42544" s="60"/>
    </row>
    <row r="42545" spans="7:24" ht="15" customHeight="1">
      <c r="G42545"/>
      <c r="I42545"/>
      <c r="N42545"/>
      <c r="O42545" s="24"/>
      <c r="P42545"/>
      <c r="Q42545" s="24"/>
      <c r="R42545"/>
      <c r="S42545"/>
      <c r="T42545"/>
      <c r="U42545"/>
      <c r="X42545" s="60"/>
    </row>
    <row r="42546" spans="7:24" ht="15" customHeight="1">
      <c r="G42546"/>
      <c r="I42546"/>
      <c r="N42546"/>
      <c r="O42546" s="24"/>
      <c r="P42546"/>
      <c r="Q42546" s="24"/>
      <c r="R42546"/>
      <c r="S42546"/>
      <c r="T42546"/>
      <c r="U42546"/>
      <c r="X42546" s="60"/>
    </row>
    <row r="42547" spans="7:24" ht="15" customHeight="1">
      <c r="G42547"/>
      <c r="I42547"/>
      <c r="N42547"/>
      <c r="O42547" s="24"/>
      <c r="P42547"/>
      <c r="Q42547" s="24"/>
      <c r="R42547"/>
      <c r="S42547"/>
      <c r="T42547"/>
      <c r="U42547"/>
      <c r="X42547" s="60"/>
    </row>
    <row r="42548" spans="7:24" ht="15" customHeight="1">
      <c r="G42548"/>
      <c r="I42548"/>
      <c r="N42548"/>
      <c r="O42548" s="24"/>
      <c r="P42548"/>
      <c r="Q42548" s="24"/>
      <c r="R42548"/>
      <c r="S42548"/>
      <c r="T42548"/>
      <c r="U42548"/>
      <c r="X42548" s="60"/>
    </row>
    <row r="42549" spans="7:24" ht="15" customHeight="1">
      <c r="G42549"/>
      <c r="I42549"/>
      <c r="N42549"/>
      <c r="O42549" s="24"/>
      <c r="P42549"/>
      <c r="Q42549" s="24"/>
      <c r="R42549"/>
      <c r="S42549"/>
      <c r="T42549"/>
      <c r="U42549"/>
      <c r="X42549" s="60"/>
    </row>
    <row r="42550" spans="7:24" ht="15" customHeight="1">
      <c r="G42550"/>
      <c r="I42550"/>
      <c r="N42550"/>
      <c r="O42550" s="24"/>
      <c r="P42550"/>
      <c r="Q42550" s="24"/>
      <c r="R42550"/>
      <c r="S42550"/>
      <c r="T42550"/>
      <c r="U42550"/>
      <c r="X42550" s="60"/>
    </row>
    <row r="42551" spans="7:24" ht="15" customHeight="1">
      <c r="G42551"/>
      <c r="I42551"/>
      <c r="N42551"/>
      <c r="O42551" s="24"/>
      <c r="P42551"/>
      <c r="Q42551" s="24"/>
      <c r="R42551"/>
      <c r="S42551"/>
      <c r="T42551"/>
      <c r="U42551"/>
      <c r="X42551" s="60"/>
    </row>
    <row r="42552" spans="7:24" ht="15" customHeight="1">
      <c r="G42552"/>
      <c r="I42552"/>
      <c r="N42552"/>
      <c r="O42552" s="24"/>
      <c r="P42552"/>
      <c r="Q42552" s="24"/>
      <c r="R42552"/>
      <c r="S42552"/>
      <c r="T42552"/>
      <c r="U42552"/>
      <c r="X42552" s="60"/>
    </row>
    <row r="42553" spans="7:24" ht="15" customHeight="1">
      <c r="G42553"/>
      <c r="I42553"/>
      <c r="N42553"/>
      <c r="O42553" s="24"/>
      <c r="P42553"/>
      <c r="Q42553" s="24"/>
      <c r="R42553"/>
      <c r="S42553"/>
      <c r="T42553"/>
      <c r="U42553"/>
      <c r="X42553" s="60"/>
    </row>
    <row r="42554" spans="7:24" ht="15" customHeight="1">
      <c r="G42554"/>
      <c r="I42554"/>
      <c r="N42554"/>
      <c r="O42554" s="24"/>
      <c r="P42554"/>
      <c r="Q42554" s="24"/>
      <c r="R42554"/>
      <c r="S42554"/>
      <c r="T42554"/>
      <c r="U42554"/>
      <c r="X42554" s="60"/>
    </row>
    <row r="42555" spans="7:24" ht="15" customHeight="1">
      <c r="G42555"/>
      <c r="I42555"/>
      <c r="N42555"/>
      <c r="O42555" s="24"/>
      <c r="P42555"/>
      <c r="Q42555" s="24"/>
      <c r="R42555"/>
      <c r="S42555"/>
      <c r="T42555"/>
      <c r="U42555"/>
      <c r="X42555" s="60"/>
    </row>
    <row r="42556" spans="7:24" ht="15" customHeight="1">
      <c r="G42556"/>
      <c r="I42556"/>
      <c r="N42556"/>
      <c r="O42556" s="24"/>
      <c r="P42556"/>
      <c r="Q42556" s="24"/>
      <c r="R42556"/>
      <c r="S42556"/>
      <c r="T42556"/>
      <c r="U42556"/>
      <c r="X42556" s="60"/>
    </row>
    <row r="42557" spans="7:24" ht="15" customHeight="1">
      <c r="G42557"/>
      <c r="I42557"/>
      <c r="N42557"/>
      <c r="O42557" s="24"/>
      <c r="P42557"/>
      <c r="Q42557" s="24"/>
      <c r="R42557"/>
      <c r="S42557"/>
      <c r="T42557"/>
      <c r="U42557"/>
      <c r="X42557" s="60"/>
    </row>
    <row r="42558" spans="7:24" ht="15" customHeight="1">
      <c r="G42558"/>
      <c r="I42558"/>
      <c r="N42558"/>
      <c r="O42558" s="24"/>
      <c r="P42558"/>
      <c r="Q42558" s="24"/>
      <c r="R42558"/>
      <c r="S42558"/>
      <c r="T42558"/>
      <c r="U42558"/>
      <c r="X42558" s="60"/>
    </row>
    <row r="42559" spans="7:24" ht="15" customHeight="1">
      <c r="G42559"/>
      <c r="I42559"/>
      <c r="N42559"/>
      <c r="O42559" s="24"/>
      <c r="P42559"/>
      <c r="Q42559" s="24"/>
      <c r="R42559"/>
      <c r="S42559"/>
      <c r="T42559"/>
      <c r="U42559"/>
      <c r="X42559" s="60"/>
    </row>
    <row r="42560" spans="7:24" ht="15" customHeight="1">
      <c r="G42560"/>
      <c r="I42560"/>
      <c r="N42560"/>
      <c r="O42560" s="24"/>
      <c r="P42560"/>
      <c r="Q42560" s="24"/>
      <c r="R42560"/>
      <c r="S42560"/>
      <c r="T42560"/>
      <c r="U42560"/>
      <c r="X42560" s="60"/>
    </row>
    <row r="42561" spans="7:24" ht="15" customHeight="1">
      <c r="G42561"/>
      <c r="I42561"/>
      <c r="N42561"/>
      <c r="O42561" s="24"/>
      <c r="P42561"/>
      <c r="Q42561" s="24"/>
      <c r="R42561"/>
      <c r="S42561"/>
      <c r="T42561"/>
      <c r="U42561"/>
      <c r="X42561" s="60"/>
    </row>
    <row r="42562" spans="7:24" ht="15" customHeight="1">
      <c r="G42562"/>
      <c r="I42562"/>
      <c r="N42562"/>
      <c r="O42562" s="24"/>
      <c r="P42562"/>
      <c r="Q42562" s="24"/>
      <c r="R42562"/>
      <c r="S42562"/>
      <c r="T42562"/>
      <c r="U42562"/>
      <c r="X42562" s="60"/>
    </row>
    <row r="42563" spans="7:24" ht="15" customHeight="1">
      <c r="G42563"/>
      <c r="I42563"/>
      <c r="N42563"/>
      <c r="O42563" s="24"/>
      <c r="P42563"/>
      <c r="Q42563" s="24"/>
      <c r="R42563"/>
      <c r="S42563"/>
      <c r="T42563"/>
      <c r="U42563"/>
      <c r="X42563" s="60"/>
    </row>
    <row r="42564" spans="7:24" ht="15" customHeight="1">
      <c r="G42564"/>
      <c r="I42564"/>
      <c r="N42564"/>
      <c r="O42564" s="24"/>
      <c r="P42564"/>
      <c r="Q42564" s="24"/>
      <c r="R42564"/>
      <c r="S42564"/>
      <c r="T42564"/>
      <c r="U42564"/>
      <c r="X42564" s="60"/>
    </row>
    <row r="42565" spans="7:24" ht="15" customHeight="1">
      <c r="G42565"/>
      <c r="I42565"/>
      <c r="N42565"/>
      <c r="O42565" s="24"/>
      <c r="P42565"/>
      <c r="Q42565" s="24"/>
      <c r="R42565"/>
      <c r="S42565"/>
      <c r="T42565"/>
      <c r="U42565"/>
      <c r="X42565" s="60"/>
    </row>
    <row r="42566" spans="7:24" ht="15" customHeight="1">
      <c r="G42566"/>
      <c r="I42566"/>
      <c r="N42566"/>
      <c r="O42566" s="24"/>
      <c r="P42566"/>
      <c r="Q42566" s="24"/>
      <c r="R42566"/>
      <c r="S42566"/>
      <c r="T42566"/>
      <c r="U42566"/>
      <c r="X42566" s="60"/>
    </row>
    <row r="42567" spans="7:24" ht="15" customHeight="1">
      <c r="G42567"/>
      <c r="I42567"/>
      <c r="N42567"/>
      <c r="O42567" s="24"/>
      <c r="P42567"/>
      <c r="Q42567" s="24"/>
      <c r="R42567"/>
      <c r="S42567"/>
      <c r="T42567"/>
      <c r="U42567"/>
      <c r="X42567" s="60"/>
    </row>
    <row r="42568" spans="7:24" ht="15" customHeight="1">
      <c r="G42568"/>
      <c r="I42568"/>
      <c r="N42568"/>
      <c r="O42568" s="24"/>
      <c r="P42568"/>
      <c r="Q42568" s="24"/>
      <c r="R42568"/>
      <c r="S42568"/>
      <c r="T42568"/>
      <c r="U42568"/>
      <c r="X42568" s="60"/>
    </row>
    <row r="42569" spans="7:24" ht="15" customHeight="1">
      <c r="G42569"/>
      <c r="I42569"/>
      <c r="N42569"/>
      <c r="O42569" s="24"/>
      <c r="P42569"/>
      <c r="Q42569" s="24"/>
      <c r="R42569"/>
      <c r="S42569"/>
      <c r="T42569"/>
      <c r="U42569"/>
      <c r="X42569" s="60"/>
    </row>
    <row r="42570" spans="7:24" ht="15" customHeight="1">
      <c r="G42570"/>
      <c r="I42570"/>
      <c r="N42570"/>
      <c r="O42570" s="24"/>
      <c r="P42570"/>
      <c r="Q42570" s="24"/>
      <c r="R42570"/>
      <c r="S42570"/>
      <c r="T42570"/>
      <c r="U42570"/>
      <c r="X42570" s="60"/>
    </row>
    <row r="42571" spans="7:24" ht="15" customHeight="1">
      <c r="G42571"/>
      <c r="I42571"/>
      <c r="N42571"/>
      <c r="O42571" s="24"/>
      <c r="P42571"/>
      <c r="Q42571" s="24"/>
      <c r="R42571"/>
      <c r="S42571"/>
      <c r="T42571"/>
      <c r="U42571"/>
      <c r="X42571" s="60"/>
    </row>
    <row r="42572" spans="7:24" ht="15" customHeight="1">
      <c r="G42572"/>
      <c r="I42572"/>
      <c r="N42572"/>
      <c r="O42572" s="24"/>
      <c r="P42572"/>
      <c r="Q42572" s="24"/>
      <c r="R42572"/>
      <c r="S42572"/>
      <c r="T42572"/>
      <c r="U42572"/>
      <c r="X42572" s="60"/>
    </row>
    <row r="42573" spans="7:24" ht="15" customHeight="1">
      <c r="G42573"/>
      <c r="I42573"/>
      <c r="N42573"/>
      <c r="O42573" s="24"/>
      <c r="P42573"/>
      <c r="Q42573" s="24"/>
      <c r="R42573"/>
      <c r="S42573"/>
      <c r="T42573"/>
      <c r="U42573"/>
      <c r="X42573" s="60"/>
    </row>
    <row r="42574" spans="7:24" ht="15" customHeight="1">
      <c r="G42574"/>
      <c r="I42574"/>
      <c r="N42574"/>
      <c r="O42574" s="24"/>
      <c r="P42574"/>
      <c r="Q42574" s="24"/>
      <c r="R42574"/>
      <c r="S42574"/>
      <c r="T42574"/>
      <c r="U42574"/>
      <c r="X42574" s="60"/>
    </row>
    <row r="42575" spans="7:24" ht="15" customHeight="1">
      <c r="G42575"/>
      <c r="I42575"/>
      <c r="N42575"/>
      <c r="O42575" s="24"/>
      <c r="P42575"/>
      <c r="Q42575" s="24"/>
      <c r="R42575"/>
      <c r="S42575"/>
      <c r="T42575"/>
      <c r="U42575"/>
      <c r="X42575" s="60"/>
    </row>
    <row r="42576" spans="7:24" ht="15" customHeight="1">
      <c r="G42576"/>
      <c r="I42576"/>
      <c r="N42576"/>
      <c r="O42576" s="24"/>
      <c r="P42576"/>
      <c r="Q42576" s="24"/>
      <c r="R42576"/>
      <c r="S42576"/>
      <c r="T42576"/>
      <c r="U42576"/>
      <c r="X42576" s="60"/>
    </row>
    <row r="42577" spans="7:24" ht="15" customHeight="1">
      <c r="G42577"/>
      <c r="I42577"/>
      <c r="N42577"/>
      <c r="O42577" s="24"/>
      <c r="P42577"/>
      <c r="Q42577" s="24"/>
      <c r="R42577"/>
      <c r="S42577"/>
      <c r="T42577"/>
      <c r="U42577"/>
      <c r="X42577" s="60"/>
    </row>
    <row r="42578" spans="7:24" ht="15" customHeight="1">
      <c r="G42578"/>
      <c r="I42578"/>
      <c r="N42578"/>
      <c r="O42578" s="24"/>
      <c r="P42578"/>
      <c r="Q42578" s="24"/>
      <c r="R42578"/>
      <c r="S42578"/>
      <c r="T42578"/>
      <c r="U42578"/>
      <c r="X42578" s="60"/>
    </row>
    <row r="42579" spans="7:24" ht="15" customHeight="1">
      <c r="G42579"/>
      <c r="I42579"/>
      <c r="N42579"/>
      <c r="O42579" s="24"/>
      <c r="P42579"/>
      <c r="Q42579" s="24"/>
      <c r="R42579"/>
      <c r="S42579"/>
      <c r="T42579"/>
      <c r="U42579"/>
      <c r="X42579" s="60"/>
    </row>
    <row r="42580" spans="7:24" ht="15" customHeight="1">
      <c r="G42580"/>
      <c r="I42580"/>
      <c r="N42580"/>
      <c r="O42580" s="24"/>
      <c r="P42580"/>
      <c r="Q42580" s="24"/>
      <c r="R42580"/>
      <c r="S42580"/>
      <c r="T42580"/>
      <c r="U42580"/>
      <c r="X42580" s="60"/>
    </row>
    <row r="42581" spans="7:24" ht="15" customHeight="1">
      <c r="G42581"/>
      <c r="I42581"/>
      <c r="N42581"/>
      <c r="O42581" s="24"/>
      <c r="P42581"/>
      <c r="Q42581" s="24"/>
      <c r="R42581"/>
      <c r="S42581"/>
      <c r="T42581"/>
      <c r="U42581"/>
      <c r="X42581" s="60"/>
    </row>
    <row r="42582" spans="7:24" ht="15" customHeight="1">
      <c r="G42582"/>
      <c r="I42582"/>
      <c r="N42582"/>
      <c r="O42582" s="24"/>
      <c r="P42582"/>
      <c r="Q42582" s="24"/>
      <c r="R42582"/>
      <c r="S42582"/>
      <c r="T42582"/>
      <c r="U42582"/>
      <c r="X42582" s="60"/>
    </row>
    <row r="42583" spans="7:24" ht="15" customHeight="1">
      <c r="G42583"/>
      <c r="I42583"/>
      <c r="N42583"/>
      <c r="O42583" s="24"/>
      <c r="P42583"/>
      <c r="Q42583" s="24"/>
      <c r="R42583"/>
      <c r="S42583"/>
      <c r="T42583"/>
      <c r="U42583"/>
      <c r="X42583" s="60"/>
    </row>
    <row r="42584" spans="7:24" ht="15" customHeight="1">
      <c r="G42584"/>
      <c r="I42584"/>
      <c r="N42584"/>
      <c r="O42584" s="24"/>
      <c r="P42584"/>
      <c r="Q42584" s="24"/>
      <c r="R42584"/>
      <c r="S42584"/>
      <c r="T42584"/>
      <c r="U42584"/>
      <c r="X42584" s="60"/>
    </row>
    <row r="42585" spans="7:24" ht="15" customHeight="1">
      <c r="G42585"/>
      <c r="I42585"/>
      <c r="N42585"/>
      <c r="O42585" s="24"/>
      <c r="P42585"/>
      <c r="Q42585" s="24"/>
      <c r="R42585"/>
      <c r="S42585"/>
      <c r="T42585"/>
      <c r="U42585"/>
      <c r="X42585" s="60"/>
    </row>
    <row r="42586" spans="7:24" ht="15" customHeight="1">
      <c r="G42586"/>
      <c r="I42586"/>
      <c r="N42586"/>
      <c r="O42586" s="24"/>
      <c r="P42586"/>
      <c r="Q42586" s="24"/>
      <c r="R42586"/>
      <c r="S42586"/>
      <c r="T42586"/>
      <c r="U42586"/>
      <c r="X42586" s="60"/>
    </row>
    <row r="42587" spans="7:24" ht="15" customHeight="1">
      <c r="G42587"/>
      <c r="I42587"/>
      <c r="N42587"/>
      <c r="O42587" s="24"/>
      <c r="P42587"/>
      <c r="Q42587" s="24"/>
      <c r="R42587"/>
      <c r="S42587"/>
      <c r="T42587"/>
      <c r="U42587"/>
      <c r="X42587" s="60"/>
    </row>
    <row r="42588" spans="7:24" ht="15" customHeight="1">
      <c r="G42588"/>
      <c r="I42588"/>
      <c r="N42588"/>
      <c r="O42588" s="24"/>
      <c r="P42588"/>
      <c r="Q42588" s="24"/>
      <c r="R42588"/>
      <c r="S42588"/>
      <c r="T42588"/>
      <c r="U42588"/>
      <c r="X42588" s="60"/>
    </row>
    <row r="42589" spans="7:24" ht="15" customHeight="1">
      <c r="G42589"/>
      <c r="I42589"/>
      <c r="N42589"/>
      <c r="O42589" s="24"/>
      <c r="P42589"/>
      <c r="Q42589" s="24"/>
      <c r="R42589"/>
      <c r="S42589"/>
      <c r="T42589"/>
      <c r="U42589"/>
      <c r="X42589" s="60"/>
    </row>
    <row r="42590" spans="7:24" ht="15" customHeight="1">
      <c r="G42590"/>
      <c r="I42590"/>
      <c r="N42590"/>
      <c r="O42590" s="24"/>
      <c r="P42590"/>
      <c r="Q42590" s="24"/>
      <c r="R42590"/>
      <c r="S42590"/>
      <c r="T42590"/>
      <c r="U42590"/>
      <c r="X42590" s="60"/>
    </row>
    <row r="42591" spans="7:24" ht="15" customHeight="1">
      <c r="G42591"/>
      <c r="I42591"/>
      <c r="N42591"/>
      <c r="O42591" s="24"/>
      <c r="P42591"/>
      <c r="Q42591" s="24"/>
      <c r="R42591"/>
      <c r="S42591"/>
      <c r="T42591"/>
      <c r="U42591"/>
      <c r="X42591" s="60"/>
    </row>
    <row r="42592" spans="7:24" ht="15" customHeight="1">
      <c r="G42592"/>
      <c r="I42592"/>
      <c r="N42592"/>
      <c r="O42592" s="24"/>
      <c r="P42592"/>
      <c r="Q42592" s="24"/>
      <c r="R42592"/>
      <c r="S42592"/>
      <c r="T42592"/>
      <c r="U42592"/>
      <c r="X42592" s="60"/>
    </row>
    <row r="42593" spans="7:24" ht="15" customHeight="1">
      <c r="G42593"/>
      <c r="I42593"/>
      <c r="N42593"/>
      <c r="O42593" s="24"/>
      <c r="P42593"/>
      <c r="Q42593" s="24"/>
      <c r="R42593"/>
      <c r="S42593"/>
      <c r="T42593"/>
      <c r="U42593"/>
      <c r="X42593" s="60"/>
    </row>
    <row r="42594" spans="7:24" ht="15" customHeight="1">
      <c r="G42594"/>
      <c r="I42594"/>
      <c r="N42594"/>
      <c r="O42594" s="24"/>
      <c r="P42594"/>
      <c r="Q42594" s="24"/>
      <c r="R42594"/>
      <c r="S42594"/>
      <c r="T42594"/>
      <c r="U42594"/>
      <c r="X42594" s="60"/>
    </row>
    <row r="42595" spans="7:24" ht="15" customHeight="1">
      <c r="G42595"/>
      <c r="I42595"/>
      <c r="N42595"/>
      <c r="O42595" s="24"/>
      <c r="P42595"/>
      <c r="Q42595" s="24"/>
      <c r="R42595"/>
      <c r="S42595"/>
      <c r="T42595"/>
      <c r="U42595"/>
      <c r="X42595" s="60"/>
    </row>
    <row r="42596" spans="7:24" ht="15" customHeight="1">
      <c r="G42596"/>
      <c r="I42596"/>
      <c r="N42596"/>
      <c r="O42596" s="24"/>
      <c r="P42596"/>
      <c r="Q42596" s="24"/>
      <c r="R42596"/>
      <c r="S42596"/>
      <c r="T42596"/>
      <c r="U42596"/>
      <c r="X42596" s="60"/>
    </row>
    <row r="42597" spans="7:24" ht="15" customHeight="1">
      <c r="G42597"/>
      <c r="I42597"/>
      <c r="N42597"/>
      <c r="O42597" s="24"/>
      <c r="P42597"/>
      <c r="Q42597" s="24"/>
      <c r="R42597"/>
      <c r="S42597"/>
      <c r="T42597"/>
      <c r="U42597"/>
      <c r="X42597" s="60"/>
    </row>
    <row r="42598" spans="7:24" ht="15" customHeight="1">
      <c r="G42598"/>
      <c r="I42598"/>
      <c r="N42598"/>
      <c r="O42598" s="24"/>
      <c r="P42598"/>
      <c r="Q42598" s="24"/>
      <c r="R42598"/>
      <c r="S42598"/>
      <c r="T42598"/>
      <c r="U42598"/>
      <c r="X42598" s="60"/>
    </row>
    <row r="42599" spans="7:24" ht="15" customHeight="1">
      <c r="G42599"/>
      <c r="I42599"/>
      <c r="N42599"/>
      <c r="O42599" s="24"/>
      <c r="P42599"/>
      <c r="Q42599" s="24"/>
      <c r="R42599"/>
      <c r="S42599"/>
      <c r="T42599"/>
      <c r="U42599"/>
      <c r="X42599" s="60"/>
    </row>
    <row r="42600" spans="7:24" ht="15" customHeight="1">
      <c r="G42600"/>
      <c r="I42600"/>
      <c r="N42600"/>
      <c r="O42600" s="24"/>
      <c r="P42600"/>
      <c r="Q42600" s="24"/>
      <c r="R42600"/>
      <c r="S42600"/>
      <c r="T42600"/>
      <c r="U42600"/>
      <c r="X42600" s="60"/>
    </row>
    <row r="42601" spans="7:24" ht="15" customHeight="1">
      <c r="G42601"/>
      <c r="I42601"/>
      <c r="N42601"/>
      <c r="O42601" s="24"/>
      <c r="P42601"/>
      <c r="Q42601" s="24"/>
      <c r="R42601"/>
      <c r="S42601"/>
      <c r="T42601"/>
      <c r="U42601"/>
      <c r="X42601" s="60"/>
    </row>
    <row r="42602" spans="7:24" ht="15" customHeight="1">
      <c r="G42602"/>
      <c r="I42602"/>
      <c r="N42602"/>
      <c r="O42602" s="24"/>
      <c r="P42602"/>
      <c r="Q42602" s="24"/>
      <c r="R42602"/>
      <c r="S42602"/>
      <c r="T42602"/>
      <c r="U42602"/>
      <c r="X42602" s="60"/>
    </row>
    <row r="42603" spans="7:24" ht="15" customHeight="1">
      <c r="G42603"/>
      <c r="I42603"/>
      <c r="N42603"/>
      <c r="O42603" s="24"/>
      <c r="P42603"/>
      <c r="Q42603" s="24"/>
      <c r="R42603"/>
      <c r="S42603"/>
      <c r="T42603"/>
      <c r="U42603"/>
      <c r="X42603" s="60"/>
    </row>
    <row r="42604" spans="7:24" ht="15" customHeight="1">
      <c r="G42604"/>
      <c r="I42604"/>
      <c r="N42604"/>
      <c r="O42604" s="24"/>
      <c r="P42604"/>
      <c r="Q42604" s="24"/>
      <c r="R42604"/>
      <c r="S42604"/>
      <c r="T42604"/>
      <c r="U42604"/>
      <c r="X42604" s="60"/>
    </row>
    <row r="42605" spans="7:24" ht="15" customHeight="1">
      <c r="G42605"/>
      <c r="I42605"/>
      <c r="N42605"/>
      <c r="O42605" s="24"/>
      <c r="P42605"/>
      <c r="Q42605" s="24"/>
      <c r="R42605"/>
      <c r="S42605"/>
      <c r="T42605"/>
      <c r="U42605"/>
      <c r="X42605" s="60"/>
    </row>
    <row r="42606" spans="7:24" ht="15" customHeight="1">
      <c r="G42606"/>
      <c r="I42606"/>
      <c r="N42606"/>
      <c r="O42606" s="24"/>
      <c r="P42606"/>
      <c r="Q42606" s="24"/>
      <c r="R42606"/>
      <c r="S42606"/>
      <c r="T42606"/>
      <c r="U42606"/>
      <c r="X42606" s="60"/>
    </row>
    <row r="42607" spans="7:24" ht="15" customHeight="1">
      <c r="G42607"/>
      <c r="I42607"/>
      <c r="N42607"/>
      <c r="O42607" s="24"/>
      <c r="P42607"/>
      <c r="Q42607" s="24"/>
      <c r="R42607"/>
      <c r="S42607"/>
      <c r="T42607"/>
      <c r="U42607"/>
      <c r="X42607" s="60"/>
    </row>
    <row r="42608" spans="7:24" ht="15" customHeight="1">
      <c r="G42608"/>
      <c r="I42608"/>
      <c r="N42608"/>
      <c r="O42608" s="24"/>
      <c r="P42608"/>
      <c r="Q42608" s="24"/>
      <c r="R42608"/>
      <c r="S42608"/>
      <c r="T42608"/>
      <c r="U42608"/>
      <c r="X42608" s="60"/>
    </row>
    <row r="42609" spans="7:24" ht="15" customHeight="1">
      <c r="G42609"/>
      <c r="I42609"/>
      <c r="N42609"/>
      <c r="O42609" s="24"/>
      <c r="P42609"/>
      <c r="Q42609" s="24"/>
      <c r="R42609"/>
      <c r="S42609"/>
      <c r="T42609"/>
      <c r="U42609"/>
      <c r="X42609" s="60"/>
    </row>
    <row r="42610" spans="7:24" ht="15" customHeight="1">
      <c r="G42610"/>
      <c r="I42610"/>
      <c r="N42610"/>
      <c r="O42610" s="24"/>
      <c r="P42610"/>
      <c r="Q42610" s="24"/>
      <c r="R42610"/>
      <c r="S42610"/>
      <c r="T42610"/>
      <c r="U42610"/>
      <c r="X42610" s="60"/>
    </row>
    <row r="42611" spans="7:24" ht="15" customHeight="1">
      <c r="G42611"/>
      <c r="I42611"/>
      <c r="N42611"/>
      <c r="O42611" s="24"/>
      <c r="P42611"/>
      <c r="Q42611" s="24"/>
      <c r="R42611"/>
      <c r="S42611"/>
      <c r="T42611"/>
      <c r="U42611"/>
      <c r="X42611" s="60"/>
    </row>
    <row r="42612" spans="7:24" ht="15" customHeight="1">
      <c r="G42612"/>
      <c r="I42612"/>
      <c r="N42612"/>
      <c r="O42612" s="24"/>
      <c r="P42612"/>
      <c r="Q42612" s="24"/>
      <c r="R42612"/>
      <c r="S42612"/>
      <c r="T42612"/>
      <c r="U42612"/>
      <c r="X42612" s="60"/>
    </row>
    <row r="42613" spans="7:24" ht="15" customHeight="1">
      <c r="G42613"/>
      <c r="I42613"/>
      <c r="N42613"/>
      <c r="O42613" s="24"/>
      <c r="P42613"/>
      <c r="Q42613" s="24"/>
      <c r="R42613"/>
      <c r="S42613"/>
      <c r="T42613"/>
      <c r="U42613"/>
      <c r="X42613" s="60"/>
    </row>
    <row r="42614" spans="7:24" ht="15" customHeight="1">
      <c r="G42614"/>
      <c r="I42614"/>
      <c r="N42614"/>
      <c r="O42614" s="24"/>
      <c r="P42614"/>
      <c r="Q42614" s="24"/>
      <c r="R42614"/>
      <c r="S42614"/>
      <c r="T42614"/>
      <c r="U42614"/>
      <c r="X42614" s="60"/>
    </row>
    <row r="42615" spans="7:24" ht="15" customHeight="1">
      <c r="G42615"/>
      <c r="I42615"/>
      <c r="N42615"/>
      <c r="O42615" s="24"/>
      <c r="P42615"/>
      <c r="Q42615" s="24"/>
      <c r="R42615"/>
      <c r="S42615"/>
      <c r="T42615"/>
      <c r="U42615"/>
      <c r="X42615" s="60"/>
    </row>
    <row r="42616" spans="7:24" ht="15" customHeight="1">
      <c r="G42616"/>
      <c r="I42616"/>
      <c r="N42616"/>
      <c r="O42616" s="24"/>
      <c r="P42616"/>
      <c r="Q42616" s="24"/>
      <c r="R42616"/>
      <c r="S42616"/>
      <c r="T42616"/>
      <c r="U42616"/>
      <c r="X42616" s="60"/>
    </row>
    <row r="42617" spans="7:24" ht="15" customHeight="1">
      <c r="G42617"/>
      <c r="I42617"/>
      <c r="N42617"/>
      <c r="O42617" s="24"/>
      <c r="P42617"/>
      <c r="Q42617" s="24"/>
      <c r="R42617"/>
      <c r="S42617"/>
      <c r="T42617"/>
      <c r="U42617"/>
      <c r="X42617" s="60"/>
    </row>
    <row r="42618" spans="7:24" ht="15" customHeight="1">
      <c r="G42618"/>
      <c r="I42618"/>
      <c r="N42618"/>
      <c r="O42618" s="24"/>
      <c r="P42618"/>
      <c r="Q42618" s="24"/>
      <c r="R42618"/>
      <c r="S42618"/>
      <c r="T42618"/>
      <c r="U42618"/>
      <c r="X42618" s="60"/>
    </row>
    <row r="42619" spans="7:24" ht="15" customHeight="1">
      <c r="G42619"/>
      <c r="I42619"/>
      <c r="N42619"/>
      <c r="O42619" s="24"/>
      <c r="P42619"/>
      <c r="Q42619" s="24"/>
      <c r="R42619"/>
      <c r="S42619"/>
      <c r="T42619"/>
      <c r="U42619"/>
      <c r="X42619" s="60"/>
    </row>
    <row r="42620" spans="7:24" ht="15" customHeight="1">
      <c r="G42620"/>
      <c r="I42620"/>
      <c r="N42620"/>
      <c r="O42620" s="24"/>
      <c r="P42620"/>
      <c r="Q42620" s="24"/>
      <c r="R42620"/>
      <c r="S42620"/>
      <c r="T42620"/>
      <c r="U42620"/>
      <c r="X42620" s="60"/>
    </row>
    <row r="42621" spans="7:24" ht="15" customHeight="1">
      <c r="G42621"/>
      <c r="I42621"/>
      <c r="N42621"/>
      <c r="O42621" s="24"/>
      <c r="P42621"/>
      <c r="Q42621" s="24"/>
      <c r="R42621"/>
      <c r="S42621"/>
      <c r="T42621"/>
      <c r="U42621"/>
      <c r="X42621" s="60"/>
    </row>
    <row r="42622" spans="7:24" ht="15" customHeight="1">
      <c r="G42622"/>
      <c r="I42622"/>
      <c r="N42622"/>
      <c r="O42622" s="24"/>
      <c r="P42622"/>
      <c r="Q42622" s="24"/>
      <c r="R42622"/>
      <c r="S42622"/>
      <c r="T42622"/>
      <c r="U42622"/>
      <c r="X42622" s="60"/>
    </row>
    <row r="42623" spans="7:24" ht="15" customHeight="1">
      <c r="G42623"/>
      <c r="I42623"/>
      <c r="N42623"/>
      <c r="O42623" s="24"/>
      <c r="P42623"/>
      <c r="Q42623" s="24"/>
      <c r="R42623"/>
      <c r="S42623"/>
      <c r="T42623"/>
      <c r="U42623"/>
      <c r="X42623" s="60"/>
    </row>
    <row r="42624" spans="7:24" ht="15" customHeight="1">
      <c r="G42624"/>
      <c r="I42624"/>
      <c r="N42624"/>
      <c r="O42624" s="24"/>
      <c r="P42624"/>
      <c r="Q42624" s="24"/>
      <c r="R42624"/>
      <c r="S42624"/>
      <c r="T42624"/>
      <c r="U42624"/>
      <c r="X42624" s="60"/>
    </row>
    <row r="42625" spans="7:24" ht="15" customHeight="1">
      <c r="G42625"/>
      <c r="I42625"/>
      <c r="N42625"/>
      <c r="O42625" s="24"/>
      <c r="P42625"/>
      <c r="Q42625" s="24"/>
      <c r="R42625"/>
      <c r="S42625"/>
      <c r="T42625"/>
      <c r="U42625"/>
      <c r="X42625" s="60"/>
    </row>
    <row r="42626" spans="7:24" ht="15" customHeight="1">
      <c r="G42626"/>
      <c r="I42626"/>
      <c r="N42626"/>
      <c r="O42626" s="24"/>
      <c r="P42626"/>
      <c r="Q42626" s="24"/>
      <c r="R42626"/>
      <c r="S42626"/>
      <c r="T42626"/>
      <c r="U42626"/>
      <c r="X42626" s="60"/>
    </row>
    <row r="42627" spans="7:24" ht="15" customHeight="1">
      <c r="G42627"/>
      <c r="I42627"/>
      <c r="N42627"/>
      <c r="O42627" s="24"/>
      <c r="P42627"/>
      <c r="Q42627" s="24"/>
      <c r="R42627"/>
      <c r="S42627"/>
      <c r="T42627"/>
      <c r="U42627"/>
      <c r="X42627" s="60"/>
    </row>
    <row r="42628" spans="7:24" ht="15" customHeight="1">
      <c r="G42628"/>
      <c r="I42628"/>
      <c r="N42628"/>
      <c r="O42628" s="24"/>
      <c r="P42628"/>
      <c r="Q42628" s="24"/>
      <c r="R42628"/>
      <c r="S42628"/>
      <c r="T42628"/>
      <c r="U42628"/>
      <c r="X42628" s="60"/>
    </row>
    <row r="42629" spans="7:24" ht="15" customHeight="1">
      <c r="G42629"/>
      <c r="I42629"/>
      <c r="N42629"/>
      <c r="O42629" s="24"/>
      <c r="P42629"/>
      <c r="Q42629" s="24"/>
      <c r="R42629"/>
      <c r="S42629"/>
      <c r="T42629"/>
      <c r="U42629"/>
      <c r="X42629" s="60"/>
    </row>
    <row r="42630" spans="7:24" ht="15" customHeight="1">
      <c r="G42630"/>
      <c r="I42630"/>
      <c r="N42630"/>
      <c r="O42630" s="24"/>
      <c r="P42630"/>
      <c r="Q42630" s="24"/>
      <c r="R42630"/>
      <c r="S42630"/>
      <c r="T42630"/>
      <c r="U42630"/>
      <c r="X42630" s="60"/>
    </row>
    <row r="42631" spans="7:24" ht="15" customHeight="1">
      <c r="G42631"/>
      <c r="I42631"/>
      <c r="N42631"/>
      <c r="O42631" s="24"/>
      <c r="P42631"/>
      <c r="Q42631" s="24"/>
      <c r="R42631"/>
      <c r="S42631"/>
      <c r="T42631"/>
      <c r="U42631"/>
      <c r="X42631" s="60"/>
    </row>
    <row r="42632" spans="7:24" ht="15" customHeight="1">
      <c r="G42632"/>
      <c r="I42632"/>
      <c r="N42632"/>
      <c r="O42632" s="24"/>
      <c r="P42632"/>
      <c r="Q42632" s="24"/>
      <c r="R42632"/>
      <c r="S42632"/>
      <c r="T42632"/>
      <c r="U42632"/>
      <c r="X42632" s="60"/>
    </row>
    <row r="42633" spans="7:24" ht="15" customHeight="1">
      <c r="G42633"/>
      <c r="I42633"/>
      <c r="N42633"/>
      <c r="O42633" s="24"/>
      <c r="P42633"/>
      <c r="Q42633" s="24"/>
      <c r="R42633"/>
      <c r="S42633"/>
      <c r="T42633"/>
      <c r="U42633"/>
      <c r="X42633" s="60"/>
    </row>
    <row r="42634" spans="7:24" ht="15" customHeight="1">
      <c r="G42634"/>
      <c r="I42634"/>
      <c r="N42634"/>
      <c r="O42634" s="24"/>
      <c r="P42634"/>
      <c r="Q42634" s="24"/>
      <c r="R42634"/>
      <c r="S42634"/>
      <c r="T42634"/>
      <c r="U42634"/>
      <c r="X42634" s="60"/>
    </row>
    <row r="42635" spans="7:24" ht="15" customHeight="1">
      <c r="G42635"/>
      <c r="I42635"/>
      <c r="N42635"/>
      <c r="O42635" s="24"/>
      <c r="P42635"/>
      <c r="Q42635" s="24"/>
      <c r="R42635"/>
      <c r="S42635"/>
      <c r="T42635"/>
      <c r="U42635"/>
      <c r="X42635" s="60"/>
    </row>
    <row r="42636" spans="7:24" ht="15" customHeight="1">
      <c r="G42636"/>
      <c r="I42636"/>
      <c r="N42636"/>
      <c r="O42636" s="24"/>
      <c r="P42636"/>
      <c r="Q42636" s="24"/>
      <c r="R42636"/>
      <c r="S42636"/>
      <c r="T42636"/>
      <c r="U42636"/>
      <c r="X42636" s="60"/>
    </row>
    <row r="42637" spans="7:24" ht="15" customHeight="1">
      <c r="G42637"/>
      <c r="I42637"/>
      <c r="N42637"/>
      <c r="O42637" s="24"/>
      <c r="P42637"/>
      <c r="Q42637" s="24"/>
      <c r="R42637"/>
      <c r="S42637"/>
      <c r="T42637"/>
      <c r="U42637"/>
      <c r="X42637" s="60"/>
    </row>
    <row r="42638" spans="7:24" ht="15" customHeight="1">
      <c r="G42638"/>
      <c r="I42638"/>
      <c r="N42638"/>
      <c r="O42638" s="24"/>
      <c r="P42638"/>
      <c r="Q42638" s="24"/>
      <c r="R42638"/>
      <c r="S42638"/>
      <c r="T42638"/>
      <c r="U42638"/>
      <c r="X42638" s="60"/>
    </row>
    <row r="42639" spans="7:24" ht="15" customHeight="1">
      <c r="G42639"/>
      <c r="I42639"/>
      <c r="N42639"/>
      <c r="O42639" s="24"/>
      <c r="P42639"/>
      <c r="Q42639" s="24"/>
      <c r="R42639"/>
      <c r="S42639"/>
      <c r="T42639"/>
      <c r="U42639"/>
      <c r="X42639" s="60"/>
    </row>
    <row r="42640" spans="7:24" ht="15" customHeight="1">
      <c r="G42640"/>
      <c r="I42640"/>
      <c r="N42640"/>
      <c r="O42640" s="24"/>
      <c r="P42640"/>
      <c r="Q42640" s="24"/>
      <c r="R42640"/>
      <c r="S42640"/>
      <c r="T42640"/>
      <c r="U42640"/>
      <c r="X42640" s="60"/>
    </row>
    <row r="42641" spans="7:24" ht="15" customHeight="1">
      <c r="G42641"/>
      <c r="I42641"/>
      <c r="N42641"/>
      <c r="O42641" s="24"/>
      <c r="P42641"/>
      <c r="Q42641" s="24"/>
      <c r="R42641"/>
      <c r="S42641"/>
      <c r="T42641"/>
      <c r="U42641"/>
      <c r="X42641" s="60"/>
    </row>
    <row r="42642" spans="7:24" ht="15" customHeight="1">
      <c r="G42642"/>
      <c r="I42642"/>
      <c r="N42642"/>
      <c r="O42642" s="24"/>
      <c r="P42642"/>
      <c r="Q42642" s="24"/>
      <c r="R42642"/>
      <c r="S42642"/>
      <c r="T42642"/>
      <c r="U42642"/>
      <c r="X42642" s="60"/>
    </row>
    <row r="42643" spans="7:24" ht="15" customHeight="1">
      <c r="G42643"/>
      <c r="I42643"/>
      <c r="N42643"/>
      <c r="O42643" s="24"/>
      <c r="P42643"/>
      <c r="Q42643" s="24"/>
      <c r="R42643"/>
      <c r="S42643"/>
      <c r="T42643"/>
      <c r="U42643"/>
      <c r="X42643" s="60"/>
    </row>
    <row r="42644" spans="7:24" ht="15" customHeight="1">
      <c r="G42644"/>
      <c r="I42644"/>
      <c r="N42644"/>
      <c r="O42644" s="24"/>
      <c r="P42644"/>
      <c r="Q42644" s="24"/>
      <c r="R42644"/>
      <c r="S42644"/>
      <c r="T42644"/>
      <c r="U42644"/>
      <c r="X42644" s="60"/>
    </row>
    <row r="42645" spans="7:24" ht="15" customHeight="1">
      <c r="G42645"/>
      <c r="I42645"/>
      <c r="N42645"/>
      <c r="O42645" s="24"/>
      <c r="P42645"/>
      <c r="Q42645" s="24"/>
      <c r="R42645"/>
      <c r="S42645"/>
      <c r="T42645"/>
      <c r="U42645"/>
      <c r="X42645" s="60"/>
    </row>
    <row r="42646" spans="7:24" ht="15" customHeight="1">
      <c r="G42646"/>
      <c r="I42646"/>
      <c r="N42646"/>
      <c r="O42646" s="24"/>
      <c r="P42646"/>
      <c r="Q42646" s="24"/>
      <c r="R42646"/>
      <c r="S42646"/>
      <c r="T42646"/>
      <c r="U42646"/>
      <c r="X42646" s="60"/>
    </row>
    <row r="42647" spans="7:24" ht="15" customHeight="1">
      <c r="G42647"/>
      <c r="I42647"/>
      <c r="N42647"/>
      <c r="O42647" s="24"/>
      <c r="P42647"/>
      <c r="Q42647" s="24"/>
      <c r="R42647"/>
      <c r="S42647"/>
      <c r="T42647"/>
      <c r="U42647"/>
      <c r="X42647" s="60"/>
    </row>
    <row r="42648" spans="7:24" ht="15" customHeight="1">
      <c r="G42648"/>
      <c r="I42648"/>
      <c r="N42648"/>
      <c r="O42648" s="24"/>
      <c r="P42648"/>
      <c r="Q42648" s="24"/>
      <c r="R42648"/>
      <c r="S42648"/>
      <c r="T42648"/>
      <c r="U42648"/>
      <c r="X42648" s="60"/>
    </row>
    <row r="42649" spans="7:24" ht="15" customHeight="1">
      <c r="G42649"/>
      <c r="I42649"/>
      <c r="N42649"/>
      <c r="O42649" s="24"/>
      <c r="P42649"/>
      <c r="Q42649" s="24"/>
      <c r="R42649"/>
      <c r="S42649"/>
      <c r="T42649"/>
      <c r="U42649"/>
      <c r="X42649" s="60"/>
    </row>
    <row r="42650" spans="7:24" ht="15" customHeight="1">
      <c r="G42650"/>
      <c r="I42650"/>
      <c r="N42650"/>
      <c r="O42650" s="24"/>
      <c r="P42650"/>
      <c r="Q42650" s="24"/>
      <c r="R42650"/>
      <c r="S42650"/>
      <c r="T42650"/>
      <c r="U42650"/>
      <c r="X42650" s="60"/>
    </row>
    <row r="42651" spans="7:24" ht="15" customHeight="1">
      <c r="G42651"/>
      <c r="I42651"/>
      <c r="N42651"/>
      <c r="O42651" s="24"/>
      <c r="P42651"/>
      <c r="Q42651" s="24"/>
      <c r="R42651"/>
      <c r="S42651"/>
      <c r="T42651"/>
      <c r="U42651"/>
      <c r="X42651" s="60"/>
    </row>
    <row r="42652" spans="7:24" ht="15" customHeight="1">
      <c r="G42652"/>
      <c r="I42652"/>
      <c r="N42652"/>
      <c r="O42652" s="24"/>
      <c r="P42652"/>
      <c r="Q42652" s="24"/>
      <c r="R42652"/>
      <c r="S42652"/>
      <c r="T42652"/>
      <c r="U42652"/>
      <c r="X42652" s="60"/>
    </row>
    <row r="42653" spans="7:24" ht="15" customHeight="1">
      <c r="G42653"/>
      <c r="I42653"/>
      <c r="N42653"/>
      <c r="O42653" s="24"/>
      <c r="P42653"/>
      <c r="Q42653" s="24"/>
      <c r="R42653"/>
      <c r="S42653"/>
      <c r="T42653"/>
      <c r="U42653"/>
      <c r="X42653" s="60"/>
    </row>
    <row r="42654" spans="7:24" ht="15" customHeight="1">
      <c r="G42654"/>
      <c r="I42654"/>
      <c r="N42654"/>
      <c r="O42654" s="24"/>
      <c r="P42654"/>
      <c r="Q42654" s="24"/>
      <c r="R42654"/>
      <c r="S42654"/>
      <c r="T42654"/>
      <c r="U42654"/>
      <c r="X42654" s="60"/>
    </row>
    <row r="42655" spans="7:24" ht="15" customHeight="1">
      <c r="G42655"/>
      <c r="I42655"/>
      <c r="N42655"/>
      <c r="O42655" s="24"/>
      <c r="P42655"/>
      <c r="Q42655" s="24"/>
      <c r="R42655"/>
      <c r="S42655"/>
      <c r="T42655"/>
      <c r="U42655"/>
      <c r="X42655" s="60"/>
    </row>
    <row r="42656" spans="7:24" ht="15" customHeight="1">
      <c r="G42656"/>
      <c r="I42656"/>
      <c r="N42656"/>
      <c r="O42656" s="24"/>
      <c r="P42656"/>
      <c r="Q42656" s="24"/>
      <c r="R42656"/>
      <c r="S42656"/>
      <c r="T42656"/>
      <c r="U42656"/>
      <c r="X42656" s="60"/>
    </row>
    <row r="42657" spans="7:24" ht="15" customHeight="1">
      <c r="G42657"/>
      <c r="I42657"/>
      <c r="N42657"/>
      <c r="O42657" s="24"/>
      <c r="P42657"/>
      <c r="Q42657" s="24"/>
      <c r="R42657"/>
      <c r="S42657"/>
      <c r="T42657"/>
      <c r="U42657"/>
      <c r="X42657" s="60"/>
    </row>
    <row r="42658" spans="7:24" ht="15" customHeight="1">
      <c r="G42658"/>
      <c r="I42658"/>
      <c r="N42658"/>
      <c r="O42658" s="24"/>
      <c r="P42658"/>
      <c r="Q42658" s="24"/>
      <c r="R42658"/>
      <c r="S42658"/>
      <c r="T42658"/>
      <c r="U42658"/>
      <c r="X42658" s="60"/>
    </row>
    <row r="42659" spans="7:24" ht="15" customHeight="1">
      <c r="G42659"/>
      <c r="I42659"/>
      <c r="N42659"/>
      <c r="O42659" s="24"/>
      <c r="P42659"/>
      <c r="Q42659" s="24"/>
      <c r="R42659"/>
      <c r="S42659"/>
      <c r="T42659"/>
      <c r="U42659"/>
      <c r="X42659" s="60"/>
    </row>
    <row r="42660" spans="7:24" ht="15" customHeight="1">
      <c r="G42660"/>
      <c r="I42660"/>
      <c r="N42660"/>
      <c r="O42660" s="24"/>
      <c r="P42660"/>
      <c r="Q42660" s="24"/>
      <c r="R42660"/>
      <c r="S42660"/>
      <c r="T42660"/>
      <c r="U42660"/>
      <c r="X42660" s="60"/>
    </row>
    <row r="42661" spans="7:24" ht="15" customHeight="1">
      <c r="G42661"/>
      <c r="I42661"/>
      <c r="N42661"/>
      <c r="O42661" s="24"/>
      <c r="P42661"/>
      <c r="Q42661" s="24"/>
      <c r="R42661"/>
      <c r="S42661"/>
      <c r="T42661"/>
      <c r="U42661"/>
      <c r="X42661" s="60"/>
    </row>
    <row r="42662" spans="7:24" ht="15" customHeight="1">
      <c r="G42662"/>
      <c r="I42662"/>
      <c r="N42662"/>
      <c r="O42662" s="24"/>
      <c r="P42662"/>
      <c r="Q42662" s="24"/>
      <c r="R42662"/>
      <c r="S42662"/>
      <c r="T42662"/>
      <c r="U42662"/>
      <c r="X42662" s="60"/>
    </row>
    <row r="42663" spans="7:24" ht="15" customHeight="1">
      <c r="G42663"/>
      <c r="I42663"/>
      <c r="N42663"/>
      <c r="O42663" s="24"/>
      <c r="P42663"/>
      <c r="Q42663" s="24"/>
      <c r="R42663"/>
      <c r="S42663"/>
      <c r="T42663"/>
      <c r="U42663"/>
      <c r="X42663" s="60"/>
    </row>
    <row r="42664" spans="7:24" ht="15" customHeight="1">
      <c r="G42664"/>
      <c r="I42664"/>
      <c r="N42664"/>
      <c r="O42664" s="24"/>
      <c r="P42664"/>
      <c r="Q42664" s="24"/>
      <c r="R42664"/>
      <c r="S42664"/>
      <c r="T42664"/>
      <c r="U42664"/>
      <c r="X42664" s="60"/>
    </row>
    <row r="42665" spans="7:24" ht="15" customHeight="1">
      <c r="G42665"/>
      <c r="I42665"/>
      <c r="N42665"/>
      <c r="O42665" s="24"/>
      <c r="P42665"/>
      <c r="Q42665" s="24"/>
      <c r="R42665"/>
      <c r="S42665"/>
      <c r="T42665"/>
      <c r="U42665"/>
      <c r="X42665" s="60"/>
    </row>
    <row r="42666" spans="7:24" ht="15" customHeight="1">
      <c r="G42666"/>
      <c r="I42666"/>
      <c r="N42666"/>
      <c r="O42666" s="24"/>
      <c r="P42666"/>
      <c r="Q42666" s="24"/>
      <c r="R42666"/>
      <c r="S42666"/>
      <c r="T42666"/>
      <c r="U42666"/>
      <c r="X42666" s="60"/>
    </row>
    <row r="42667" spans="7:24" ht="15" customHeight="1">
      <c r="G42667"/>
      <c r="I42667"/>
      <c r="N42667"/>
      <c r="O42667" s="24"/>
      <c r="P42667"/>
      <c r="Q42667" s="24"/>
      <c r="R42667"/>
      <c r="S42667"/>
      <c r="T42667"/>
      <c r="U42667"/>
      <c r="X42667" s="60"/>
    </row>
    <row r="42668" spans="7:24" ht="15" customHeight="1">
      <c r="G42668"/>
      <c r="I42668"/>
      <c r="N42668"/>
      <c r="O42668" s="24"/>
      <c r="P42668"/>
      <c r="Q42668" s="24"/>
      <c r="R42668"/>
      <c r="S42668"/>
      <c r="T42668"/>
      <c r="U42668"/>
      <c r="X42668" s="60"/>
    </row>
    <row r="42669" spans="7:24" ht="15" customHeight="1">
      <c r="G42669"/>
      <c r="I42669"/>
      <c r="N42669"/>
      <c r="O42669" s="24"/>
      <c r="P42669"/>
      <c r="Q42669" s="24"/>
      <c r="R42669"/>
      <c r="S42669"/>
      <c r="T42669"/>
      <c r="U42669"/>
      <c r="X42669" s="60"/>
    </row>
    <row r="42670" spans="7:24" ht="15" customHeight="1">
      <c r="G42670"/>
      <c r="I42670"/>
      <c r="N42670"/>
      <c r="O42670" s="24"/>
      <c r="P42670"/>
      <c r="Q42670" s="24"/>
      <c r="R42670"/>
      <c r="S42670"/>
      <c r="T42670"/>
      <c r="U42670"/>
      <c r="X42670" s="60"/>
    </row>
    <row r="42671" spans="7:24" ht="15" customHeight="1">
      <c r="G42671"/>
      <c r="I42671"/>
      <c r="N42671"/>
      <c r="O42671" s="24"/>
      <c r="P42671"/>
      <c r="Q42671" s="24"/>
      <c r="R42671"/>
      <c r="S42671"/>
      <c r="T42671"/>
      <c r="U42671"/>
      <c r="X42671" s="60"/>
    </row>
    <row r="42672" spans="7:24" ht="15" customHeight="1">
      <c r="G42672"/>
      <c r="I42672"/>
      <c r="N42672"/>
      <c r="O42672" s="24"/>
      <c r="P42672"/>
      <c r="Q42672" s="24"/>
      <c r="R42672"/>
      <c r="S42672"/>
      <c r="T42672"/>
      <c r="U42672"/>
      <c r="X42672" s="60"/>
    </row>
    <row r="42673" spans="7:24" ht="15" customHeight="1">
      <c r="G42673"/>
      <c r="I42673"/>
      <c r="N42673"/>
      <c r="O42673" s="24"/>
      <c r="P42673"/>
      <c r="Q42673" s="24"/>
      <c r="R42673"/>
      <c r="S42673"/>
      <c r="T42673"/>
      <c r="U42673"/>
      <c r="X42673" s="60"/>
    </row>
    <row r="42674" spans="7:24" ht="15" customHeight="1">
      <c r="G42674"/>
      <c r="I42674"/>
      <c r="N42674"/>
      <c r="O42674" s="24"/>
      <c r="P42674"/>
      <c r="Q42674" s="24"/>
      <c r="R42674"/>
      <c r="S42674"/>
      <c r="T42674"/>
      <c r="U42674"/>
      <c r="X42674" s="60"/>
    </row>
    <row r="42675" spans="7:24" ht="15" customHeight="1">
      <c r="G42675"/>
      <c r="I42675"/>
      <c r="N42675"/>
      <c r="O42675" s="24"/>
      <c r="P42675"/>
      <c r="Q42675" s="24"/>
      <c r="R42675"/>
      <c r="S42675"/>
      <c r="T42675"/>
      <c r="U42675"/>
      <c r="X42675" s="60"/>
    </row>
    <row r="42676" spans="7:24" ht="15" customHeight="1">
      <c r="G42676"/>
      <c r="I42676"/>
      <c r="N42676"/>
      <c r="O42676" s="24"/>
      <c r="P42676"/>
      <c r="Q42676" s="24"/>
      <c r="R42676"/>
      <c r="S42676"/>
      <c r="T42676"/>
      <c r="U42676"/>
      <c r="X42676" s="60"/>
    </row>
    <row r="42677" spans="7:24" ht="15" customHeight="1">
      <c r="G42677"/>
      <c r="I42677"/>
      <c r="N42677"/>
      <c r="O42677" s="24"/>
      <c r="P42677"/>
      <c r="Q42677" s="24"/>
      <c r="R42677"/>
      <c r="S42677"/>
      <c r="T42677"/>
      <c r="U42677"/>
      <c r="X42677" s="60"/>
    </row>
    <row r="42678" spans="7:24" ht="15" customHeight="1">
      <c r="G42678"/>
      <c r="I42678"/>
      <c r="N42678"/>
      <c r="O42678" s="24"/>
      <c r="P42678"/>
      <c r="Q42678" s="24"/>
      <c r="R42678"/>
      <c r="S42678"/>
      <c r="T42678"/>
      <c r="U42678"/>
      <c r="X42678" s="60"/>
    </row>
    <row r="42679" spans="7:24" ht="15" customHeight="1">
      <c r="G42679"/>
      <c r="I42679"/>
      <c r="N42679"/>
      <c r="O42679" s="24"/>
      <c r="P42679"/>
      <c r="Q42679" s="24"/>
      <c r="R42679"/>
      <c r="S42679"/>
      <c r="T42679"/>
      <c r="U42679"/>
      <c r="X42679" s="60"/>
    </row>
    <row r="42680" spans="7:24" ht="15" customHeight="1">
      <c r="G42680"/>
      <c r="I42680"/>
      <c r="N42680"/>
      <c r="O42680" s="24"/>
      <c r="P42680"/>
      <c r="Q42680" s="24"/>
      <c r="R42680"/>
      <c r="S42680"/>
      <c r="T42680"/>
      <c r="U42680"/>
      <c r="X42680" s="60"/>
    </row>
    <row r="42681" spans="7:24" ht="15" customHeight="1">
      <c r="G42681"/>
      <c r="I42681"/>
      <c r="N42681"/>
      <c r="O42681" s="24"/>
      <c r="P42681"/>
      <c r="Q42681" s="24"/>
      <c r="R42681"/>
      <c r="S42681"/>
      <c r="T42681"/>
      <c r="U42681"/>
      <c r="X42681" s="60"/>
    </row>
    <row r="42682" spans="7:24" ht="15" customHeight="1">
      <c r="G42682"/>
      <c r="I42682"/>
      <c r="N42682"/>
      <c r="O42682" s="24"/>
      <c r="P42682"/>
      <c r="Q42682" s="24"/>
      <c r="R42682"/>
      <c r="S42682"/>
      <c r="T42682"/>
      <c r="U42682"/>
      <c r="X42682" s="60"/>
    </row>
    <row r="42683" spans="7:24" ht="15" customHeight="1">
      <c r="G42683"/>
      <c r="I42683"/>
      <c r="N42683"/>
      <c r="O42683" s="24"/>
      <c r="P42683"/>
      <c r="Q42683" s="24"/>
      <c r="R42683"/>
      <c r="S42683"/>
      <c r="T42683"/>
      <c r="U42683"/>
      <c r="X42683" s="60"/>
    </row>
    <row r="42684" spans="7:24" ht="15" customHeight="1">
      <c r="G42684"/>
      <c r="I42684"/>
      <c r="N42684"/>
      <c r="O42684" s="24"/>
      <c r="P42684"/>
      <c r="Q42684" s="24"/>
      <c r="R42684"/>
      <c r="S42684"/>
      <c r="T42684"/>
      <c r="U42684"/>
      <c r="X42684" s="60"/>
    </row>
    <row r="42685" spans="7:24" ht="15" customHeight="1">
      <c r="G42685"/>
      <c r="I42685"/>
      <c r="N42685"/>
      <c r="O42685" s="24"/>
      <c r="P42685"/>
      <c r="Q42685" s="24"/>
      <c r="R42685"/>
      <c r="S42685"/>
      <c r="T42685"/>
      <c r="U42685"/>
      <c r="X42685" s="60"/>
    </row>
    <row r="42686" spans="7:24" ht="15" customHeight="1">
      <c r="G42686"/>
      <c r="I42686"/>
      <c r="N42686"/>
      <c r="O42686" s="24"/>
      <c r="P42686"/>
      <c r="Q42686" s="24"/>
      <c r="R42686"/>
      <c r="S42686"/>
      <c r="T42686"/>
      <c r="U42686"/>
      <c r="X42686" s="60"/>
    </row>
    <row r="42687" spans="7:24" ht="15" customHeight="1">
      <c r="G42687"/>
      <c r="I42687"/>
      <c r="N42687"/>
      <c r="O42687" s="24"/>
      <c r="P42687"/>
      <c r="Q42687" s="24"/>
      <c r="R42687"/>
      <c r="S42687"/>
      <c r="T42687"/>
      <c r="U42687"/>
      <c r="X42687" s="60"/>
    </row>
    <row r="42688" spans="7:24" ht="15" customHeight="1">
      <c r="G42688"/>
      <c r="I42688"/>
      <c r="N42688"/>
      <c r="O42688" s="24"/>
      <c r="P42688"/>
      <c r="Q42688" s="24"/>
      <c r="R42688"/>
      <c r="S42688"/>
      <c r="T42688"/>
      <c r="U42688"/>
      <c r="X42688" s="60"/>
    </row>
    <row r="42689" spans="7:24" ht="15" customHeight="1">
      <c r="G42689"/>
      <c r="I42689"/>
      <c r="N42689"/>
      <c r="O42689" s="24"/>
      <c r="P42689"/>
      <c r="Q42689" s="24"/>
      <c r="R42689"/>
      <c r="S42689"/>
      <c r="T42689"/>
      <c r="U42689"/>
      <c r="X42689" s="60"/>
    </row>
    <row r="42690" spans="7:24" ht="15" customHeight="1">
      <c r="G42690"/>
      <c r="I42690"/>
      <c r="N42690"/>
      <c r="O42690" s="24"/>
      <c r="P42690"/>
      <c r="Q42690" s="24"/>
      <c r="R42690"/>
      <c r="S42690"/>
      <c r="T42690"/>
      <c r="U42690"/>
      <c r="X42690" s="60"/>
    </row>
    <row r="42691" spans="7:24" ht="15" customHeight="1">
      <c r="G42691"/>
      <c r="I42691"/>
      <c r="N42691"/>
      <c r="O42691" s="24"/>
      <c r="P42691"/>
      <c r="Q42691" s="24"/>
      <c r="R42691"/>
      <c r="S42691"/>
      <c r="T42691"/>
      <c r="U42691"/>
      <c r="X42691" s="60"/>
    </row>
    <row r="42692" spans="7:24" ht="15" customHeight="1">
      <c r="G42692"/>
      <c r="I42692"/>
      <c r="N42692"/>
      <c r="O42692" s="24"/>
      <c r="P42692"/>
      <c r="Q42692" s="24"/>
      <c r="R42692"/>
      <c r="S42692"/>
      <c r="T42692"/>
      <c r="U42692"/>
      <c r="X42692" s="60"/>
    </row>
    <row r="42693" spans="7:24" ht="15" customHeight="1">
      <c r="G42693"/>
      <c r="I42693"/>
      <c r="N42693"/>
      <c r="O42693" s="24"/>
      <c r="P42693"/>
      <c r="Q42693" s="24"/>
      <c r="R42693"/>
      <c r="S42693"/>
      <c r="T42693"/>
      <c r="U42693"/>
      <c r="X42693" s="60"/>
    </row>
    <row r="42694" spans="7:24" ht="15" customHeight="1">
      <c r="G42694"/>
      <c r="I42694"/>
      <c r="N42694"/>
      <c r="O42694" s="24"/>
      <c r="P42694"/>
      <c r="Q42694" s="24"/>
      <c r="R42694"/>
      <c r="S42694"/>
      <c r="T42694"/>
      <c r="U42694"/>
      <c r="X42694" s="60"/>
    </row>
    <row r="42695" spans="7:24" ht="15" customHeight="1">
      <c r="G42695"/>
      <c r="I42695"/>
      <c r="N42695"/>
      <c r="O42695" s="24"/>
      <c r="P42695"/>
      <c r="Q42695" s="24"/>
      <c r="R42695"/>
      <c r="S42695"/>
      <c r="T42695"/>
      <c r="U42695"/>
      <c r="X42695" s="60"/>
    </row>
    <row r="42696" spans="7:24" ht="15" customHeight="1">
      <c r="G42696"/>
      <c r="I42696"/>
      <c r="N42696"/>
      <c r="O42696" s="24"/>
      <c r="P42696"/>
      <c r="Q42696" s="24"/>
      <c r="R42696"/>
      <c r="S42696"/>
      <c r="T42696"/>
      <c r="U42696"/>
      <c r="X42696" s="60"/>
    </row>
    <row r="42697" spans="7:24" ht="15" customHeight="1">
      <c r="G42697"/>
      <c r="I42697"/>
      <c r="N42697"/>
      <c r="O42697" s="24"/>
      <c r="P42697"/>
      <c r="Q42697" s="24"/>
      <c r="R42697"/>
      <c r="S42697"/>
      <c r="T42697"/>
      <c r="U42697"/>
      <c r="X42697" s="60"/>
    </row>
    <row r="42698" spans="7:24" ht="15" customHeight="1">
      <c r="G42698"/>
      <c r="I42698"/>
      <c r="N42698"/>
      <c r="O42698" s="24"/>
      <c r="P42698"/>
      <c r="Q42698" s="24"/>
      <c r="R42698"/>
      <c r="S42698"/>
      <c r="T42698"/>
      <c r="U42698"/>
      <c r="X42698" s="60"/>
    </row>
    <row r="42699" spans="7:24" ht="15" customHeight="1">
      <c r="G42699"/>
      <c r="I42699"/>
      <c r="N42699"/>
      <c r="O42699" s="24"/>
      <c r="P42699"/>
      <c r="Q42699" s="24"/>
      <c r="R42699"/>
      <c r="S42699"/>
      <c r="T42699"/>
      <c r="U42699"/>
      <c r="X42699" s="60"/>
    </row>
    <row r="42700" spans="7:24" ht="15" customHeight="1">
      <c r="G42700"/>
      <c r="I42700"/>
      <c r="N42700"/>
      <c r="O42700" s="24"/>
      <c r="P42700"/>
      <c r="Q42700" s="24"/>
      <c r="R42700"/>
      <c r="S42700"/>
      <c r="T42700"/>
      <c r="U42700"/>
      <c r="X42700" s="60"/>
    </row>
    <row r="42701" spans="7:24" ht="15" customHeight="1">
      <c r="G42701"/>
      <c r="I42701"/>
      <c r="N42701"/>
      <c r="O42701" s="24"/>
      <c r="P42701"/>
      <c r="Q42701" s="24"/>
      <c r="R42701"/>
      <c r="S42701"/>
      <c r="T42701"/>
      <c r="U42701"/>
      <c r="X42701" s="60"/>
    </row>
    <row r="42702" spans="7:24" ht="15" customHeight="1">
      <c r="G42702"/>
      <c r="I42702"/>
      <c r="N42702"/>
      <c r="O42702" s="24"/>
      <c r="P42702"/>
      <c r="Q42702" s="24"/>
      <c r="R42702"/>
      <c r="S42702"/>
      <c r="T42702"/>
      <c r="U42702"/>
      <c r="X42702" s="60"/>
    </row>
    <row r="42703" spans="7:24" ht="15" customHeight="1">
      <c r="G42703"/>
      <c r="I42703"/>
      <c r="N42703"/>
      <c r="O42703" s="24"/>
      <c r="P42703"/>
      <c r="Q42703" s="24"/>
      <c r="R42703"/>
      <c r="S42703"/>
      <c r="T42703"/>
      <c r="U42703"/>
      <c r="X42703" s="60"/>
    </row>
    <row r="42704" spans="7:24" ht="15" customHeight="1">
      <c r="G42704"/>
      <c r="I42704"/>
      <c r="N42704"/>
      <c r="O42704" s="24"/>
      <c r="P42704"/>
      <c r="Q42704" s="24"/>
      <c r="R42704"/>
      <c r="S42704"/>
      <c r="T42704"/>
      <c r="U42704"/>
      <c r="X42704" s="60"/>
    </row>
    <row r="42705" spans="7:24" ht="15" customHeight="1">
      <c r="G42705"/>
      <c r="I42705"/>
      <c r="N42705"/>
      <c r="O42705" s="24"/>
      <c r="P42705"/>
      <c r="Q42705" s="24"/>
      <c r="R42705"/>
      <c r="S42705"/>
      <c r="T42705"/>
      <c r="U42705"/>
      <c r="X42705" s="60"/>
    </row>
    <row r="42706" spans="7:24" ht="15" customHeight="1">
      <c r="G42706"/>
      <c r="I42706"/>
      <c r="N42706"/>
      <c r="O42706" s="24"/>
      <c r="P42706"/>
      <c r="Q42706" s="24"/>
      <c r="R42706"/>
      <c r="S42706"/>
      <c r="T42706"/>
      <c r="U42706"/>
      <c r="X42706" s="60"/>
    </row>
    <row r="42707" spans="7:24" ht="15" customHeight="1">
      <c r="G42707"/>
      <c r="I42707"/>
      <c r="N42707"/>
      <c r="O42707" s="24"/>
      <c r="P42707"/>
      <c r="Q42707" s="24"/>
      <c r="R42707"/>
      <c r="S42707"/>
      <c r="T42707"/>
      <c r="U42707"/>
      <c r="X42707" s="60"/>
    </row>
    <row r="42708" spans="7:24" ht="15" customHeight="1">
      <c r="G42708"/>
      <c r="I42708"/>
      <c r="N42708"/>
      <c r="O42708" s="24"/>
      <c r="P42708"/>
      <c r="Q42708" s="24"/>
      <c r="R42708"/>
      <c r="S42708"/>
      <c r="T42708"/>
      <c r="U42708"/>
      <c r="X42708" s="60"/>
    </row>
    <row r="42709" spans="7:24" ht="15" customHeight="1">
      <c r="G42709"/>
      <c r="I42709"/>
      <c r="N42709"/>
      <c r="O42709" s="24"/>
      <c r="P42709"/>
      <c r="Q42709" s="24"/>
      <c r="R42709"/>
      <c r="S42709"/>
      <c r="T42709"/>
      <c r="U42709"/>
      <c r="X42709" s="60"/>
    </row>
    <row r="42710" spans="7:24" ht="15" customHeight="1">
      <c r="G42710"/>
      <c r="I42710"/>
      <c r="N42710"/>
      <c r="O42710" s="24"/>
      <c r="P42710"/>
      <c r="Q42710" s="24"/>
      <c r="R42710"/>
      <c r="S42710"/>
      <c r="T42710"/>
      <c r="U42710"/>
      <c r="X42710" s="60"/>
    </row>
    <row r="42711" spans="7:24" ht="15" customHeight="1">
      <c r="G42711"/>
      <c r="I42711"/>
      <c r="N42711"/>
      <c r="O42711" s="24"/>
      <c r="P42711"/>
      <c r="Q42711" s="24"/>
      <c r="R42711"/>
      <c r="S42711"/>
      <c r="T42711"/>
      <c r="U42711"/>
      <c r="X42711" s="60"/>
    </row>
    <row r="42712" spans="7:24" ht="15" customHeight="1">
      <c r="G42712"/>
      <c r="I42712"/>
      <c r="N42712"/>
      <c r="O42712" s="24"/>
      <c r="P42712"/>
      <c r="Q42712" s="24"/>
      <c r="R42712"/>
      <c r="S42712"/>
      <c r="T42712"/>
      <c r="U42712"/>
      <c r="X42712" s="60"/>
    </row>
    <row r="42713" spans="7:24" ht="15" customHeight="1">
      <c r="G42713"/>
      <c r="I42713"/>
      <c r="N42713"/>
      <c r="O42713" s="24"/>
      <c r="P42713"/>
      <c r="Q42713" s="24"/>
      <c r="R42713"/>
      <c r="S42713"/>
      <c r="T42713"/>
      <c r="U42713"/>
      <c r="X42713" s="60"/>
    </row>
    <row r="42714" spans="7:24" ht="15" customHeight="1">
      <c r="G42714"/>
      <c r="I42714"/>
      <c r="N42714"/>
      <c r="O42714" s="24"/>
      <c r="P42714"/>
      <c r="Q42714" s="24"/>
      <c r="R42714"/>
      <c r="S42714"/>
      <c r="T42714"/>
      <c r="U42714"/>
      <c r="X42714" s="60"/>
    </row>
    <row r="42715" spans="7:24" ht="15" customHeight="1">
      <c r="G42715"/>
      <c r="I42715"/>
      <c r="N42715"/>
      <c r="O42715" s="24"/>
      <c r="P42715"/>
      <c r="Q42715" s="24"/>
      <c r="R42715"/>
      <c r="S42715"/>
      <c r="T42715"/>
      <c r="U42715"/>
      <c r="X42715" s="60"/>
    </row>
    <row r="42716" spans="7:24" ht="15" customHeight="1">
      <c r="G42716"/>
      <c r="I42716"/>
      <c r="N42716"/>
      <c r="O42716" s="24"/>
      <c r="P42716"/>
      <c r="Q42716" s="24"/>
      <c r="R42716"/>
      <c r="S42716"/>
      <c r="T42716"/>
      <c r="U42716"/>
      <c r="X42716" s="60"/>
    </row>
    <row r="42717" spans="7:24" ht="15" customHeight="1">
      <c r="G42717"/>
      <c r="I42717"/>
      <c r="N42717"/>
      <c r="O42717" s="24"/>
      <c r="P42717"/>
      <c r="Q42717" s="24"/>
      <c r="R42717"/>
      <c r="S42717"/>
      <c r="T42717"/>
      <c r="U42717"/>
      <c r="X42717" s="60"/>
    </row>
    <row r="42718" spans="7:24" ht="15" customHeight="1">
      <c r="G42718"/>
      <c r="I42718"/>
      <c r="N42718"/>
      <c r="O42718" s="24"/>
      <c r="P42718"/>
      <c r="Q42718" s="24"/>
      <c r="R42718"/>
      <c r="S42718"/>
      <c r="T42718"/>
      <c r="U42718"/>
      <c r="X42718" s="60"/>
    </row>
    <row r="42719" spans="7:24" ht="15" customHeight="1">
      <c r="G42719"/>
      <c r="I42719"/>
      <c r="N42719"/>
      <c r="O42719" s="24"/>
      <c r="P42719"/>
      <c r="Q42719" s="24"/>
      <c r="R42719"/>
      <c r="S42719"/>
      <c r="T42719"/>
      <c r="U42719"/>
      <c r="X42719" s="60"/>
    </row>
    <row r="42720" spans="7:24" ht="15" customHeight="1">
      <c r="G42720"/>
      <c r="I42720"/>
      <c r="N42720"/>
      <c r="O42720" s="24"/>
      <c r="P42720"/>
      <c r="Q42720" s="24"/>
      <c r="R42720"/>
      <c r="S42720"/>
      <c r="T42720"/>
      <c r="U42720"/>
      <c r="X42720" s="60"/>
    </row>
    <row r="42721" spans="7:24" ht="15" customHeight="1">
      <c r="G42721"/>
      <c r="I42721"/>
      <c r="N42721"/>
      <c r="O42721" s="24"/>
      <c r="P42721"/>
      <c r="Q42721" s="24"/>
      <c r="R42721"/>
      <c r="S42721"/>
      <c r="T42721"/>
      <c r="U42721"/>
      <c r="X42721" s="60"/>
    </row>
    <row r="42722" spans="7:24" ht="15" customHeight="1">
      <c r="G42722"/>
      <c r="I42722"/>
      <c r="N42722"/>
      <c r="O42722" s="24"/>
      <c r="P42722"/>
      <c r="Q42722" s="24"/>
      <c r="R42722"/>
      <c r="S42722"/>
      <c r="T42722"/>
      <c r="U42722"/>
      <c r="X42722" s="60"/>
    </row>
    <row r="42723" spans="7:24" ht="15" customHeight="1">
      <c r="G42723"/>
      <c r="I42723"/>
      <c r="N42723"/>
      <c r="O42723" s="24"/>
      <c r="P42723"/>
      <c r="Q42723" s="24"/>
      <c r="R42723"/>
      <c r="S42723"/>
      <c r="T42723"/>
      <c r="U42723"/>
      <c r="X42723" s="60"/>
    </row>
    <row r="42724" spans="7:24" ht="15" customHeight="1">
      <c r="G42724"/>
      <c r="I42724"/>
      <c r="N42724"/>
      <c r="O42724" s="24"/>
      <c r="P42724"/>
      <c r="Q42724" s="24"/>
      <c r="R42724"/>
      <c r="S42724"/>
      <c r="T42724"/>
      <c r="U42724"/>
      <c r="X42724" s="60"/>
    </row>
    <row r="42725" spans="7:24" ht="15" customHeight="1">
      <c r="G42725"/>
      <c r="I42725"/>
      <c r="N42725"/>
      <c r="O42725" s="24"/>
      <c r="P42725"/>
      <c r="Q42725" s="24"/>
      <c r="R42725"/>
      <c r="S42725"/>
      <c r="T42725"/>
      <c r="U42725"/>
      <c r="X42725" s="60"/>
    </row>
    <row r="42726" spans="7:24" ht="15" customHeight="1">
      <c r="G42726"/>
      <c r="I42726"/>
      <c r="N42726"/>
      <c r="O42726" s="24"/>
      <c r="P42726"/>
      <c r="Q42726" s="24"/>
      <c r="R42726"/>
      <c r="S42726"/>
      <c r="T42726"/>
      <c r="U42726"/>
      <c r="X42726" s="60"/>
    </row>
    <row r="42727" spans="7:24" ht="15" customHeight="1">
      <c r="G42727"/>
      <c r="I42727"/>
      <c r="N42727"/>
      <c r="O42727" s="24"/>
      <c r="P42727"/>
      <c r="Q42727" s="24"/>
      <c r="R42727"/>
      <c r="S42727"/>
      <c r="T42727"/>
      <c r="U42727"/>
      <c r="X42727" s="60"/>
    </row>
    <row r="42728" spans="7:24" ht="15" customHeight="1">
      <c r="G42728"/>
      <c r="I42728"/>
      <c r="N42728"/>
      <c r="O42728" s="24"/>
      <c r="P42728"/>
      <c r="Q42728" s="24"/>
      <c r="R42728"/>
      <c r="S42728"/>
      <c r="T42728"/>
      <c r="U42728"/>
      <c r="X42728" s="60"/>
    </row>
    <row r="42729" spans="7:24" ht="15" customHeight="1">
      <c r="G42729"/>
      <c r="I42729"/>
      <c r="N42729"/>
      <c r="O42729" s="24"/>
      <c r="P42729"/>
      <c r="Q42729" s="24"/>
      <c r="R42729"/>
      <c r="S42729"/>
      <c r="T42729"/>
      <c r="U42729"/>
      <c r="X42729" s="60"/>
    </row>
    <row r="42730" spans="7:24" ht="15" customHeight="1">
      <c r="G42730"/>
      <c r="I42730"/>
      <c r="N42730"/>
      <c r="O42730" s="24"/>
      <c r="P42730"/>
      <c r="Q42730" s="24"/>
      <c r="R42730"/>
      <c r="S42730"/>
      <c r="T42730"/>
      <c r="U42730"/>
      <c r="X42730" s="60"/>
    </row>
    <row r="42731" spans="7:24" ht="15" customHeight="1">
      <c r="G42731"/>
      <c r="I42731"/>
      <c r="N42731"/>
      <c r="O42731" s="24"/>
      <c r="P42731"/>
      <c r="Q42731" s="24"/>
      <c r="R42731"/>
      <c r="S42731"/>
      <c r="T42731"/>
      <c r="U42731"/>
      <c r="X42731" s="60"/>
    </row>
    <row r="42732" spans="7:24" ht="15" customHeight="1">
      <c r="G42732"/>
      <c r="I42732"/>
      <c r="N42732"/>
      <c r="O42732" s="24"/>
      <c r="P42732"/>
      <c r="Q42732" s="24"/>
      <c r="R42732"/>
      <c r="S42732"/>
      <c r="T42732"/>
      <c r="U42732"/>
      <c r="X42732" s="60"/>
    </row>
    <row r="42733" spans="7:24" ht="15" customHeight="1">
      <c r="G42733"/>
      <c r="I42733"/>
      <c r="N42733"/>
      <c r="O42733" s="24"/>
      <c r="P42733"/>
      <c r="Q42733" s="24"/>
      <c r="R42733"/>
      <c r="S42733"/>
      <c r="T42733"/>
      <c r="U42733"/>
      <c r="X42733" s="60"/>
    </row>
    <row r="42734" spans="7:24" ht="15" customHeight="1">
      <c r="G42734"/>
      <c r="I42734"/>
      <c r="N42734"/>
      <c r="O42734" s="24"/>
      <c r="P42734"/>
      <c r="Q42734" s="24"/>
      <c r="R42734"/>
      <c r="S42734"/>
      <c r="T42734"/>
      <c r="U42734"/>
      <c r="X42734" s="60"/>
    </row>
    <row r="42735" spans="7:24" ht="15" customHeight="1">
      <c r="G42735"/>
      <c r="I42735"/>
      <c r="N42735"/>
      <c r="O42735" s="24"/>
      <c r="P42735"/>
      <c r="Q42735" s="24"/>
      <c r="R42735"/>
      <c r="S42735"/>
      <c r="T42735"/>
      <c r="U42735"/>
      <c r="X42735" s="60"/>
    </row>
    <row r="42736" spans="7:24" ht="15" customHeight="1">
      <c r="G42736"/>
      <c r="I42736"/>
      <c r="N42736"/>
      <c r="O42736" s="24"/>
      <c r="P42736"/>
      <c r="Q42736" s="24"/>
      <c r="R42736"/>
      <c r="S42736"/>
      <c r="T42736"/>
      <c r="U42736"/>
      <c r="X42736" s="60"/>
    </row>
    <row r="42737" spans="7:24" ht="15" customHeight="1">
      <c r="G42737"/>
      <c r="I42737"/>
      <c r="N42737"/>
      <c r="O42737" s="24"/>
      <c r="P42737"/>
      <c r="Q42737" s="24"/>
      <c r="R42737"/>
      <c r="S42737"/>
      <c r="T42737"/>
      <c r="U42737"/>
      <c r="X42737" s="60"/>
    </row>
    <row r="42738" spans="7:24" ht="15" customHeight="1">
      <c r="G42738"/>
      <c r="I42738"/>
      <c r="N42738"/>
      <c r="O42738" s="24"/>
      <c r="P42738"/>
      <c r="Q42738" s="24"/>
      <c r="R42738"/>
      <c r="S42738"/>
      <c r="T42738"/>
      <c r="U42738"/>
      <c r="X42738" s="60"/>
    </row>
    <row r="42739" spans="7:24" ht="15" customHeight="1">
      <c r="G42739"/>
      <c r="I42739"/>
      <c r="N42739"/>
      <c r="O42739" s="24"/>
      <c r="P42739"/>
      <c r="Q42739" s="24"/>
      <c r="R42739"/>
      <c r="S42739"/>
      <c r="T42739"/>
      <c r="U42739"/>
      <c r="X42739" s="60"/>
    </row>
    <row r="42740" spans="7:24" ht="15" customHeight="1">
      <c r="G42740"/>
      <c r="I42740"/>
      <c r="N42740"/>
      <c r="O42740" s="24"/>
      <c r="P42740"/>
      <c r="Q42740" s="24"/>
      <c r="R42740"/>
      <c r="S42740"/>
      <c r="T42740"/>
      <c r="U42740"/>
      <c r="X42740" s="60"/>
    </row>
    <row r="42741" spans="7:24" ht="15" customHeight="1">
      <c r="G42741"/>
      <c r="I42741"/>
      <c r="N42741"/>
      <c r="O42741" s="24"/>
      <c r="P42741"/>
      <c r="Q42741" s="24"/>
      <c r="R42741"/>
      <c r="S42741"/>
      <c r="T42741"/>
      <c r="U42741"/>
      <c r="X42741" s="60"/>
    </row>
    <row r="42742" spans="7:24" ht="15" customHeight="1">
      <c r="G42742"/>
      <c r="I42742"/>
      <c r="N42742"/>
      <c r="O42742" s="24"/>
      <c r="P42742"/>
      <c r="Q42742" s="24"/>
      <c r="R42742"/>
      <c r="S42742"/>
      <c r="T42742"/>
      <c r="U42742"/>
      <c r="X42742" s="60"/>
    </row>
    <row r="42743" spans="7:24" ht="15" customHeight="1">
      <c r="G42743"/>
      <c r="I42743"/>
      <c r="N42743"/>
      <c r="O42743" s="24"/>
      <c r="P42743"/>
      <c r="Q42743" s="24"/>
      <c r="R42743"/>
      <c r="S42743"/>
      <c r="T42743"/>
      <c r="U42743"/>
      <c r="X42743" s="60"/>
    </row>
    <row r="42744" spans="7:24" ht="15" customHeight="1">
      <c r="G42744"/>
      <c r="I42744"/>
      <c r="N42744"/>
      <c r="O42744" s="24"/>
      <c r="P42744"/>
      <c r="Q42744" s="24"/>
      <c r="R42744"/>
      <c r="S42744"/>
      <c r="T42744"/>
      <c r="U42744"/>
      <c r="X42744" s="60"/>
    </row>
    <row r="42745" spans="7:24" ht="15" customHeight="1">
      <c r="G42745"/>
      <c r="I42745"/>
      <c r="N42745"/>
      <c r="O42745" s="24"/>
      <c r="P42745"/>
      <c r="Q42745" s="24"/>
      <c r="R42745"/>
      <c r="S42745"/>
      <c r="T42745"/>
      <c r="U42745"/>
      <c r="X42745" s="60"/>
    </row>
    <row r="42746" spans="7:24" ht="15" customHeight="1">
      <c r="G42746"/>
      <c r="I42746"/>
      <c r="N42746"/>
      <c r="O42746" s="24"/>
      <c r="P42746"/>
      <c r="Q42746" s="24"/>
      <c r="R42746"/>
      <c r="S42746"/>
      <c r="T42746"/>
      <c r="U42746"/>
      <c r="X42746" s="60"/>
    </row>
    <row r="42747" spans="7:24" ht="15" customHeight="1">
      <c r="G42747"/>
      <c r="I42747"/>
      <c r="N42747"/>
      <c r="O42747" s="24"/>
      <c r="P42747"/>
      <c r="Q42747" s="24"/>
      <c r="R42747"/>
      <c r="S42747"/>
      <c r="T42747"/>
      <c r="U42747"/>
      <c r="X42747" s="60"/>
    </row>
    <row r="42748" spans="7:24" ht="15" customHeight="1">
      <c r="G42748"/>
      <c r="I42748"/>
      <c r="N42748"/>
      <c r="O42748" s="24"/>
      <c r="P42748"/>
      <c r="Q42748" s="24"/>
      <c r="R42748"/>
      <c r="S42748"/>
      <c r="T42748"/>
      <c r="U42748"/>
      <c r="X42748" s="60"/>
    </row>
    <row r="42749" spans="7:24" ht="15" customHeight="1">
      <c r="G42749"/>
      <c r="I42749"/>
      <c r="N42749"/>
      <c r="O42749" s="24"/>
      <c r="P42749"/>
      <c r="Q42749" s="24"/>
      <c r="R42749"/>
      <c r="S42749"/>
      <c r="T42749"/>
      <c r="U42749"/>
      <c r="X42749" s="60"/>
    </row>
    <row r="42750" spans="7:24" ht="15" customHeight="1">
      <c r="G42750"/>
      <c r="I42750"/>
      <c r="N42750"/>
      <c r="O42750" s="24"/>
      <c r="P42750"/>
      <c r="Q42750" s="24"/>
      <c r="R42750"/>
      <c r="S42750"/>
      <c r="T42750"/>
      <c r="U42750"/>
      <c r="X42750" s="60"/>
    </row>
    <row r="42751" spans="7:24" ht="15" customHeight="1">
      <c r="G42751"/>
      <c r="I42751"/>
      <c r="N42751"/>
      <c r="O42751" s="24"/>
      <c r="P42751"/>
      <c r="Q42751" s="24"/>
      <c r="R42751"/>
      <c r="S42751"/>
      <c r="T42751"/>
      <c r="U42751"/>
      <c r="X42751" s="60"/>
    </row>
    <row r="42752" spans="7:24" ht="15" customHeight="1">
      <c r="G42752"/>
      <c r="I42752"/>
      <c r="N42752"/>
      <c r="O42752" s="24"/>
      <c r="P42752"/>
      <c r="Q42752" s="24"/>
      <c r="R42752"/>
      <c r="S42752"/>
      <c r="T42752"/>
      <c r="U42752"/>
      <c r="X42752" s="60"/>
    </row>
    <row r="42753" spans="7:24" ht="15" customHeight="1">
      <c r="G42753"/>
      <c r="I42753"/>
      <c r="N42753"/>
      <c r="O42753" s="24"/>
      <c r="P42753"/>
      <c r="Q42753" s="24"/>
      <c r="R42753"/>
      <c r="S42753"/>
      <c r="T42753"/>
      <c r="U42753"/>
      <c r="X42753" s="60"/>
    </row>
    <row r="42754" spans="7:24" ht="15" customHeight="1">
      <c r="G42754"/>
      <c r="I42754"/>
      <c r="N42754"/>
      <c r="O42754" s="24"/>
      <c r="P42754"/>
      <c r="Q42754" s="24"/>
      <c r="R42754"/>
      <c r="S42754"/>
      <c r="T42754"/>
      <c r="U42754"/>
      <c r="X42754" s="60"/>
    </row>
    <row r="42755" spans="7:24" ht="15" customHeight="1">
      <c r="G42755"/>
      <c r="I42755"/>
      <c r="N42755"/>
      <c r="O42755" s="24"/>
      <c r="P42755"/>
      <c r="Q42755" s="24"/>
      <c r="R42755"/>
      <c r="S42755"/>
      <c r="T42755"/>
      <c r="U42755"/>
      <c r="X42755" s="60"/>
    </row>
    <row r="42756" spans="7:24" ht="15" customHeight="1">
      <c r="G42756"/>
      <c r="I42756"/>
      <c r="N42756"/>
      <c r="O42756" s="24"/>
      <c r="P42756"/>
      <c r="Q42756" s="24"/>
      <c r="R42756"/>
      <c r="S42756"/>
      <c r="T42756"/>
      <c r="U42756"/>
      <c r="X42756" s="60"/>
    </row>
    <row r="42757" spans="7:24" ht="15" customHeight="1">
      <c r="G42757"/>
      <c r="I42757"/>
      <c r="N42757"/>
      <c r="O42757" s="24"/>
      <c r="P42757"/>
      <c r="Q42757" s="24"/>
      <c r="R42757"/>
      <c r="S42757"/>
      <c r="T42757"/>
      <c r="U42757"/>
      <c r="X42757" s="60"/>
    </row>
    <row r="42758" spans="7:24" ht="15" customHeight="1">
      <c r="G42758"/>
      <c r="I42758"/>
      <c r="N42758"/>
      <c r="O42758" s="24"/>
      <c r="P42758"/>
      <c r="Q42758" s="24"/>
      <c r="R42758"/>
      <c r="S42758"/>
      <c r="T42758"/>
      <c r="U42758"/>
      <c r="X42758" s="60"/>
    </row>
    <row r="42759" spans="7:24" ht="15" customHeight="1">
      <c r="G42759"/>
      <c r="I42759"/>
      <c r="N42759"/>
      <c r="O42759" s="24"/>
      <c r="P42759"/>
      <c r="Q42759" s="24"/>
      <c r="R42759"/>
      <c r="S42759"/>
      <c r="T42759"/>
      <c r="U42759"/>
      <c r="X42759" s="60"/>
    </row>
    <row r="42760" spans="7:24" ht="15" customHeight="1">
      <c r="G42760"/>
      <c r="I42760"/>
      <c r="N42760"/>
      <c r="O42760" s="24"/>
      <c r="P42760"/>
      <c r="Q42760" s="24"/>
      <c r="R42760"/>
      <c r="S42760"/>
      <c r="T42760"/>
      <c r="U42760"/>
      <c r="X42760" s="60"/>
    </row>
    <row r="42761" spans="7:24" ht="15" customHeight="1">
      <c r="G42761"/>
      <c r="I42761"/>
      <c r="N42761"/>
      <c r="O42761" s="24"/>
      <c r="P42761"/>
      <c r="Q42761" s="24"/>
      <c r="R42761"/>
      <c r="S42761"/>
      <c r="T42761"/>
      <c r="U42761"/>
      <c r="X42761" s="60"/>
    </row>
    <row r="42762" spans="7:24" ht="15" customHeight="1">
      <c r="G42762"/>
      <c r="I42762"/>
      <c r="N42762"/>
      <c r="O42762" s="24"/>
      <c r="P42762"/>
      <c r="Q42762" s="24"/>
      <c r="R42762"/>
      <c r="S42762"/>
      <c r="T42762"/>
      <c r="U42762"/>
      <c r="X42762" s="60"/>
    </row>
    <row r="42763" spans="7:24" ht="15" customHeight="1">
      <c r="G42763"/>
      <c r="I42763"/>
      <c r="N42763"/>
      <c r="O42763" s="24"/>
      <c r="P42763"/>
      <c r="Q42763" s="24"/>
      <c r="R42763"/>
      <c r="S42763"/>
      <c r="T42763"/>
      <c r="U42763"/>
      <c r="X42763" s="60"/>
    </row>
    <row r="42764" spans="7:24" ht="15" customHeight="1">
      <c r="G42764"/>
      <c r="I42764"/>
      <c r="N42764"/>
      <c r="O42764" s="24"/>
      <c r="P42764"/>
      <c r="Q42764" s="24"/>
      <c r="R42764"/>
      <c r="S42764"/>
      <c r="T42764"/>
      <c r="U42764"/>
      <c r="X42764" s="60"/>
    </row>
    <row r="42765" spans="7:24" ht="15" customHeight="1">
      <c r="G42765"/>
      <c r="I42765"/>
      <c r="N42765"/>
      <c r="O42765" s="24"/>
      <c r="P42765"/>
      <c r="Q42765" s="24"/>
      <c r="R42765"/>
      <c r="S42765"/>
      <c r="T42765"/>
      <c r="U42765"/>
      <c r="X42765" s="60"/>
    </row>
    <row r="42766" spans="7:24" ht="15" customHeight="1">
      <c r="G42766"/>
      <c r="I42766"/>
      <c r="N42766"/>
      <c r="O42766" s="24"/>
      <c r="P42766"/>
      <c r="Q42766" s="24"/>
      <c r="R42766"/>
      <c r="S42766"/>
      <c r="T42766"/>
      <c r="U42766"/>
      <c r="X42766" s="60"/>
    </row>
    <row r="42767" spans="7:24" ht="15" customHeight="1">
      <c r="G42767"/>
      <c r="I42767"/>
      <c r="N42767"/>
      <c r="O42767" s="24"/>
      <c r="P42767"/>
      <c r="Q42767" s="24"/>
      <c r="R42767"/>
      <c r="S42767"/>
      <c r="T42767"/>
      <c r="U42767"/>
      <c r="X42767" s="60"/>
    </row>
    <row r="42768" spans="7:24" ht="15" customHeight="1">
      <c r="G42768"/>
      <c r="I42768"/>
      <c r="N42768"/>
      <c r="O42768" s="24"/>
      <c r="P42768"/>
      <c r="Q42768" s="24"/>
      <c r="R42768"/>
      <c r="S42768"/>
      <c r="T42768"/>
      <c r="U42768"/>
      <c r="X42768" s="60"/>
    </row>
    <row r="42769" spans="7:24" ht="15" customHeight="1">
      <c r="G42769"/>
      <c r="I42769"/>
      <c r="N42769"/>
      <c r="O42769" s="24"/>
      <c r="P42769"/>
      <c r="Q42769" s="24"/>
      <c r="R42769"/>
      <c r="S42769"/>
      <c r="T42769"/>
      <c r="U42769"/>
      <c r="X42769" s="60"/>
    </row>
    <row r="42770" spans="7:24" ht="15" customHeight="1">
      <c r="G42770"/>
      <c r="I42770"/>
      <c r="N42770"/>
      <c r="O42770" s="24"/>
      <c r="P42770"/>
      <c r="Q42770" s="24"/>
      <c r="R42770"/>
      <c r="S42770"/>
      <c r="T42770"/>
      <c r="U42770"/>
      <c r="X42770" s="60"/>
    </row>
    <row r="42771" spans="7:24" ht="15" customHeight="1">
      <c r="G42771"/>
      <c r="I42771"/>
      <c r="N42771"/>
      <c r="O42771" s="24"/>
      <c r="P42771"/>
      <c r="Q42771" s="24"/>
      <c r="R42771"/>
      <c r="S42771"/>
      <c r="T42771"/>
      <c r="U42771"/>
      <c r="X42771" s="60"/>
    </row>
    <row r="42772" spans="7:24" ht="15" customHeight="1">
      <c r="G42772"/>
      <c r="I42772"/>
      <c r="N42772"/>
      <c r="O42772" s="24"/>
      <c r="P42772"/>
      <c r="Q42772" s="24"/>
      <c r="R42772"/>
      <c r="S42772"/>
      <c r="T42772"/>
      <c r="U42772"/>
      <c r="X42772" s="60"/>
    </row>
    <row r="42773" spans="7:24" ht="15" customHeight="1">
      <c r="G42773"/>
      <c r="I42773"/>
      <c r="N42773"/>
      <c r="O42773" s="24"/>
      <c r="P42773"/>
      <c r="Q42773" s="24"/>
      <c r="R42773"/>
      <c r="S42773"/>
      <c r="T42773"/>
      <c r="U42773"/>
      <c r="X42773" s="60"/>
    </row>
    <row r="42774" spans="7:24" ht="15" customHeight="1">
      <c r="G42774"/>
      <c r="I42774"/>
      <c r="N42774"/>
      <c r="O42774" s="24"/>
      <c r="P42774"/>
      <c r="Q42774" s="24"/>
      <c r="R42774"/>
      <c r="S42774"/>
      <c r="T42774"/>
      <c r="U42774"/>
      <c r="X42774" s="60"/>
    </row>
    <row r="42775" spans="7:24" ht="15" customHeight="1">
      <c r="G42775"/>
      <c r="I42775"/>
      <c r="N42775"/>
      <c r="O42775" s="24"/>
      <c r="P42775"/>
      <c r="Q42775" s="24"/>
      <c r="R42775"/>
      <c r="S42775"/>
      <c r="T42775"/>
      <c r="U42775"/>
      <c r="X42775" s="60"/>
    </row>
    <row r="42776" spans="7:24" ht="15" customHeight="1">
      <c r="G42776"/>
      <c r="I42776"/>
      <c r="N42776"/>
      <c r="O42776" s="24"/>
      <c r="P42776"/>
      <c r="Q42776" s="24"/>
      <c r="R42776"/>
      <c r="S42776"/>
      <c r="T42776"/>
      <c r="U42776"/>
      <c r="X42776" s="60"/>
    </row>
    <row r="42777" spans="7:24" ht="15" customHeight="1">
      <c r="G42777"/>
      <c r="I42777"/>
      <c r="N42777"/>
      <c r="O42777" s="24"/>
      <c r="P42777"/>
      <c r="Q42777" s="24"/>
      <c r="R42777"/>
      <c r="S42777"/>
      <c r="T42777"/>
      <c r="U42777"/>
      <c r="X42777" s="60"/>
    </row>
    <row r="42778" spans="7:24" ht="15" customHeight="1">
      <c r="G42778"/>
      <c r="I42778"/>
      <c r="N42778"/>
      <c r="O42778" s="24"/>
      <c r="P42778"/>
      <c r="Q42778" s="24"/>
      <c r="R42778"/>
      <c r="S42778"/>
      <c r="T42778"/>
      <c r="U42778"/>
      <c r="X42778" s="60"/>
    </row>
    <row r="42779" spans="7:24" ht="15" customHeight="1">
      <c r="G42779"/>
      <c r="I42779"/>
      <c r="N42779"/>
      <c r="O42779" s="24"/>
      <c r="P42779"/>
      <c r="Q42779" s="24"/>
      <c r="R42779"/>
      <c r="S42779"/>
      <c r="T42779"/>
      <c r="U42779"/>
      <c r="X42779" s="60"/>
    </row>
    <row r="42780" spans="7:24" ht="15" customHeight="1">
      <c r="G42780"/>
      <c r="I42780"/>
      <c r="N42780"/>
      <c r="O42780" s="24"/>
      <c r="P42780"/>
      <c r="Q42780" s="24"/>
      <c r="R42780"/>
      <c r="S42780"/>
      <c r="T42780"/>
      <c r="U42780"/>
      <c r="X42780" s="60"/>
    </row>
    <row r="42781" spans="7:24" ht="15" customHeight="1">
      <c r="G42781"/>
      <c r="I42781"/>
      <c r="N42781"/>
      <c r="O42781" s="24"/>
      <c r="P42781"/>
      <c r="Q42781" s="24"/>
      <c r="R42781"/>
      <c r="S42781"/>
      <c r="T42781"/>
      <c r="U42781"/>
      <c r="X42781" s="60"/>
    </row>
    <row r="42782" spans="7:24" ht="15" customHeight="1">
      <c r="G42782"/>
      <c r="I42782"/>
      <c r="N42782"/>
      <c r="O42782" s="24"/>
      <c r="P42782"/>
      <c r="Q42782" s="24"/>
      <c r="R42782"/>
      <c r="S42782"/>
      <c r="T42782"/>
      <c r="U42782"/>
      <c r="X42782" s="60"/>
    </row>
    <row r="42783" spans="7:24" ht="15" customHeight="1">
      <c r="G42783"/>
      <c r="I42783"/>
      <c r="N42783"/>
      <c r="O42783" s="24"/>
      <c r="P42783"/>
      <c r="Q42783" s="24"/>
      <c r="R42783"/>
      <c r="S42783"/>
      <c r="T42783"/>
      <c r="U42783"/>
      <c r="X42783" s="60"/>
    </row>
    <row r="42784" spans="7:24" ht="15" customHeight="1">
      <c r="G42784"/>
      <c r="I42784"/>
      <c r="N42784"/>
      <c r="O42784" s="24"/>
      <c r="P42784"/>
      <c r="Q42784" s="24"/>
      <c r="R42784"/>
      <c r="S42784"/>
      <c r="T42784"/>
      <c r="U42784"/>
      <c r="X42784" s="60"/>
    </row>
    <row r="42785" spans="7:24" ht="15" customHeight="1">
      <c r="G42785"/>
      <c r="I42785"/>
      <c r="N42785"/>
      <c r="O42785" s="24"/>
      <c r="P42785"/>
      <c r="Q42785" s="24"/>
      <c r="R42785"/>
      <c r="S42785"/>
      <c r="T42785"/>
      <c r="U42785"/>
      <c r="X42785" s="60"/>
    </row>
    <row r="42786" spans="7:24" ht="15" customHeight="1">
      <c r="G42786"/>
      <c r="I42786"/>
      <c r="N42786"/>
      <c r="O42786" s="24"/>
      <c r="P42786"/>
      <c r="Q42786" s="24"/>
      <c r="R42786"/>
      <c r="S42786"/>
      <c r="T42786"/>
      <c r="U42786"/>
      <c r="X42786" s="60"/>
    </row>
    <row r="42787" spans="7:24" ht="15" customHeight="1">
      <c r="G42787"/>
      <c r="I42787"/>
      <c r="N42787"/>
      <c r="O42787" s="24"/>
      <c r="P42787"/>
      <c r="Q42787" s="24"/>
      <c r="R42787"/>
      <c r="S42787"/>
      <c r="T42787"/>
      <c r="U42787"/>
      <c r="X42787" s="60"/>
    </row>
    <row r="42788" spans="7:24" ht="15" customHeight="1">
      <c r="G42788"/>
      <c r="I42788"/>
      <c r="N42788"/>
      <c r="O42788" s="24"/>
      <c r="P42788"/>
      <c r="Q42788" s="24"/>
      <c r="R42788"/>
      <c r="S42788"/>
      <c r="T42788"/>
      <c r="U42788"/>
      <c r="X42788" s="60"/>
    </row>
    <row r="42789" spans="7:24" ht="15" customHeight="1">
      <c r="G42789"/>
      <c r="I42789"/>
      <c r="N42789"/>
      <c r="O42789" s="24"/>
      <c r="P42789"/>
      <c r="Q42789" s="24"/>
      <c r="R42789"/>
      <c r="S42789"/>
      <c r="T42789"/>
      <c r="U42789"/>
      <c r="X42789" s="60"/>
    </row>
    <row r="42790" spans="7:24" ht="15" customHeight="1">
      <c r="G42790"/>
      <c r="I42790"/>
      <c r="N42790"/>
      <c r="O42790" s="24"/>
      <c r="P42790"/>
      <c r="Q42790" s="24"/>
      <c r="R42790"/>
      <c r="S42790"/>
      <c r="T42790"/>
      <c r="U42790"/>
      <c r="X42790" s="60"/>
    </row>
    <row r="42791" spans="7:24" ht="15" customHeight="1">
      <c r="G42791"/>
      <c r="I42791"/>
      <c r="N42791"/>
      <c r="O42791" s="24"/>
      <c r="P42791"/>
      <c r="Q42791" s="24"/>
      <c r="R42791"/>
      <c r="S42791"/>
      <c r="T42791"/>
      <c r="U42791"/>
      <c r="X42791" s="60"/>
    </row>
    <row r="42792" spans="7:24" ht="15" customHeight="1">
      <c r="G42792"/>
      <c r="I42792"/>
      <c r="N42792"/>
      <c r="O42792" s="24"/>
      <c r="P42792"/>
      <c r="Q42792" s="24"/>
      <c r="R42792"/>
      <c r="S42792"/>
      <c r="T42792"/>
      <c r="U42792"/>
      <c r="X42792" s="60"/>
    </row>
    <row r="42793" spans="7:24" ht="15" customHeight="1">
      <c r="G42793"/>
      <c r="I42793"/>
      <c r="N42793"/>
      <c r="O42793" s="24"/>
      <c r="P42793"/>
      <c r="Q42793" s="24"/>
      <c r="R42793"/>
      <c r="S42793"/>
      <c r="T42793"/>
      <c r="U42793"/>
      <c r="X42793" s="60"/>
    </row>
    <row r="42794" spans="7:24" ht="15" customHeight="1">
      <c r="G42794"/>
      <c r="I42794"/>
      <c r="N42794"/>
      <c r="O42794" s="24"/>
      <c r="P42794"/>
      <c r="Q42794" s="24"/>
      <c r="R42794"/>
      <c r="S42794"/>
      <c r="T42794"/>
      <c r="U42794"/>
      <c r="X42794" s="60"/>
    </row>
    <row r="42795" spans="7:24" ht="15" customHeight="1">
      <c r="G42795"/>
      <c r="I42795"/>
      <c r="N42795"/>
      <c r="O42795" s="24"/>
      <c r="P42795"/>
      <c r="Q42795" s="24"/>
      <c r="R42795"/>
      <c r="S42795"/>
      <c r="T42795"/>
      <c r="U42795"/>
      <c r="X42795" s="60"/>
    </row>
    <row r="42796" spans="7:24" ht="15" customHeight="1">
      <c r="G42796"/>
      <c r="I42796"/>
      <c r="N42796"/>
      <c r="O42796" s="24"/>
      <c r="P42796"/>
      <c r="Q42796" s="24"/>
      <c r="R42796"/>
      <c r="S42796"/>
      <c r="T42796"/>
      <c r="U42796"/>
      <c r="X42796" s="60"/>
    </row>
    <row r="42797" spans="7:24" ht="15" customHeight="1">
      <c r="G42797"/>
      <c r="I42797"/>
      <c r="N42797"/>
      <c r="O42797" s="24"/>
      <c r="P42797"/>
      <c r="Q42797" s="24"/>
      <c r="R42797"/>
      <c r="S42797"/>
      <c r="T42797"/>
      <c r="U42797"/>
      <c r="X42797" s="60"/>
    </row>
    <row r="42798" spans="7:24" ht="15" customHeight="1">
      <c r="G42798"/>
      <c r="I42798"/>
      <c r="N42798"/>
      <c r="O42798" s="24"/>
      <c r="P42798"/>
      <c r="Q42798" s="24"/>
      <c r="R42798"/>
      <c r="S42798"/>
      <c r="T42798"/>
      <c r="U42798"/>
      <c r="X42798" s="60"/>
    </row>
    <row r="42799" spans="7:24" ht="15" customHeight="1">
      <c r="G42799"/>
      <c r="I42799"/>
      <c r="N42799"/>
      <c r="O42799" s="24"/>
      <c r="P42799"/>
      <c r="Q42799" s="24"/>
      <c r="R42799"/>
      <c r="S42799"/>
      <c r="T42799"/>
      <c r="U42799"/>
      <c r="X42799" s="60"/>
    </row>
    <row r="42800" spans="7:24" ht="15" customHeight="1">
      <c r="G42800"/>
      <c r="I42800"/>
      <c r="N42800"/>
      <c r="O42800" s="24"/>
      <c r="P42800"/>
      <c r="Q42800" s="24"/>
      <c r="R42800"/>
      <c r="S42800"/>
      <c r="T42800"/>
      <c r="U42800"/>
      <c r="X42800" s="60"/>
    </row>
    <row r="42801" spans="7:24" ht="15" customHeight="1">
      <c r="G42801"/>
      <c r="I42801"/>
      <c r="N42801"/>
      <c r="O42801" s="24"/>
      <c r="P42801"/>
      <c r="Q42801" s="24"/>
      <c r="R42801"/>
      <c r="S42801"/>
      <c r="T42801"/>
      <c r="U42801"/>
      <c r="X42801" s="60"/>
    </row>
    <row r="42802" spans="7:24" ht="15" customHeight="1">
      <c r="G42802"/>
      <c r="I42802"/>
      <c r="N42802"/>
      <c r="O42802" s="24"/>
      <c r="P42802"/>
      <c r="Q42802" s="24"/>
      <c r="R42802"/>
      <c r="S42802"/>
      <c r="T42802"/>
      <c r="U42802"/>
      <c r="X42802" s="60"/>
    </row>
    <row r="42803" spans="7:24" ht="15" customHeight="1">
      <c r="G42803"/>
      <c r="I42803"/>
      <c r="N42803"/>
      <c r="O42803" s="24"/>
      <c r="P42803"/>
      <c r="Q42803" s="24"/>
      <c r="R42803"/>
      <c r="S42803"/>
      <c r="T42803"/>
      <c r="U42803"/>
      <c r="X42803" s="60"/>
    </row>
    <row r="42804" spans="7:24" ht="15" customHeight="1">
      <c r="G42804"/>
      <c r="I42804"/>
      <c r="N42804"/>
      <c r="O42804" s="24"/>
      <c r="P42804"/>
      <c r="Q42804" s="24"/>
      <c r="R42804"/>
      <c r="S42804"/>
      <c r="T42804"/>
      <c r="U42804"/>
      <c r="X42804" s="60"/>
    </row>
    <row r="42805" spans="7:24" ht="15" customHeight="1">
      <c r="G42805"/>
      <c r="I42805"/>
      <c r="N42805"/>
      <c r="O42805" s="24"/>
      <c r="P42805"/>
      <c r="Q42805" s="24"/>
      <c r="R42805"/>
      <c r="S42805"/>
      <c r="T42805"/>
      <c r="U42805"/>
      <c r="X42805" s="60"/>
    </row>
    <row r="42806" spans="7:24" ht="15" customHeight="1">
      <c r="G42806"/>
      <c r="I42806"/>
      <c r="N42806"/>
      <c r="O42806" s="24"/>
      <c r="P42806"/>
      <c r="Q42806" s="24"/>
      <c r="R42806"/>
      <c r="S42806"/>
      <c r="T42806"/>
      <c r="U42806"/>
      <c r="X42806" s="60"/>
    </row>
    <row r="42807" spans="7:24" ht="15" customHeight="1">
      <c r="G42807"/>
      <c r="I42807"/>
      <c r="N42807"/>
      <c r="O42807" s="24"/>
      <c r="P42807"/>
      <c r="Q42807" s="24"/>
      <c r="R42807"/>
      <c r="S42807"/>
      <c r="T42807"/>
      <c r="U42807"/>
      <c r="X42807" s="60"/>
    </row>
    <row r="42808" spans="7:24" ht="15" customHeight="1">
      <c r="G42808"/>
      <c r="I42808"/>
      <c r="N42808"/>
      <c r="O42808" s="24"/>
      <c r="P42808"/>
      <c r="Q42808" s="24"/>
      <c r="R42808"/>
      <c r="S42808"/>
      <c r="T42808"/>
      <c r="U42808"/>
      <c r="X42808" s="60"/>
    </row>
    <row r="42809" spans="7:24" ht="15" customHeight="1">
      <c r="G42809"/>
      <c r="I42809"/>
      <c r="N42809"/>
      <c r="O42809" s="24"/>
      <c r="P42809"/>
      <c r="Q42809" s="24"/>
      <c r="R42809"/>
      <c r="S42809"/>
      <c r="T42809"/>
      <c r="U42809"/>
      <c r="X42809" s="60"/>
    </row>
    <row r="42810" spans="7:24" ht="15" customHeight="1">
      <c r="G42810"/>
      <c r="I42810"/>
      <c r="N42810"/>
      <c r="O42810" s="24"/>
      <c r="P42810"/>
      <c r="Q42810" s="24"/>
      <c r="R42810"/>
      <c r="S42810"/>
      <c r="T42810"/>
      <c r="U42810"/>
      <c r="X42810" s="60"/>
    </row>
    <row r="42811" spans="7:24" ht="15" customHeight="1">
      <c r="G42811"/>
      <c r="I42811"/>
      <c r="N42811"/>
      <c r="O42811" s="24"/>
      <c r="P42811"/>
      <c r="Q42811" s="24"/>
      <c r="R42811"/>
      <c r="S42811"/>
      <c r="T42811"/>
      <c r="U42811"/>
      <c r="X42811" s="60"/>
    </row>
    <row r="42812" spans="7:24" ht="15" customHeight="1">
      <c r="G42812"/>
      <c r="I42812"/>
      <c r="N42812"/>
      <c r="O42812" s="24"/>
      <c r="P42812"/>
      <c r="Q42812" s="24"/>
      <c r="R42812"/>
      <c r="S42812"/>
      <c r="T42812"/>
      <c r="U42812"/>
      <c r="X42812" s="60"/>
    </row>
    <row r="42813" spans="7:24" ht="15" customHeight="1">
      <c r="G42813"/>
      <c r="I42813"/>
      <c r="N42813"/>
      <c r="O42813" s="24"/>
      <c r="P42813"/>
      <c r="Q42813" s="24"/>
      <c r="R42813"/>
      <c r="S42813"/>
      <c r="T42813"/>
      <c r="U42813"/>
      <c r="X42813" s="60"/>
    </row>
    <row r="42814" spans="7:24" ht="15" customHeight="1">
      <c r="G42814"/>
      <c r="I42814"/>
      <c r="N42814"/>
      <c r="O42814" s="24"/>
      <c r="P42814"/>
      <c r="Q42814" s="24"/>
      <c r="R42814"/>
      <c r="S42814"/>
      <c r="T42814"/>
      <c r="U42814"/>
      <c r="X42814" s="60"/>
    </row>
    <row r="42815" spans="7:24" ht="15" customHeight="1">
      <c r="G42815"/>
      <c r="I42815"/>
      <c r="N42815"/>
      <c r="O42815" s="24"/>
      <c r="P42815"/>
      <c r="Q42815" s="24"/>
      <c r="R42815"/>
      <c r="S42815"/>
      <c r="T42815"/>
      <c r="U42815"/>
      <c r="X42815" s="60"/>
    </row>
    <row r="42816" spans="7:24" ht="15" customHeight="1">
      <c r="G42816"/>
      <c r="I42816"/>
      <c r="N42816"/>
      <c r="O42816" s="24"/>
      <c r="P42816"/>
      <c r="Q42816" s="24"/>
      <c r="R42816"/>
      <c r="S42816"/>
      <c r="T42816"/>
      <c r="U42816"/>
      <c r="X42816" s="60"/>
    </row>
    <row r="42817" spans="7:24" ht="15" customHeight="1">
      <c r="G42817"/>
      <c r="I42817"/>
      <c r="N42817"/>
      <c r="O42817" s="24"/>
      <c r="P42817"/>
      <c r="Q42817" s="24"/>
      <c r="R42817"/>
      <c r="S42817"/>
      <c r="T42817"/>
      <c r="U42817"/>
      <c r="X42817" s="60"/>
    </row>
    <row r="42818" spans="7:24" ht="15" customHeight="1">
      <c r="G42818"/>
      <c r="I42818"/>
      <c r="N42818"/>
      <c r="O42818" s="24"/>
      <c r="P42818"/>
      <c r="Q42818" s="24"/>
      <c r="R42818"/>
      <c r="S42818"/>
      <c r="T42818"/>
      <c r="U42818"/>
      <c r="X42818" s="60"/>
    </row>
    <row r="42819" spans="7:24" ht="15" customHeight="1">
      <c r="G42819"/>
      <c r="I42819"/>
      <c r="N42819"/>
      <c r="O42819" s="24"/>
      <c r="P42819"/>
      <c r="Q42819" s="24"/>
      <c r="R42819"/>
      <c r="S42819"/>
      <c r="T42819"/>
      <c r="U42819"/>
      <c r="X42819" s="60"/>
    </row>
    <row r="42820" spans="7:24" ht="15" customHeight="1">
      <c r="G42820"/>
      <c r="I42820"/>
      <c r="N42820"/>
      <c r="O42820" s="24"/>
      <c r="P42820"/>
      <c r="Q42820" s="24"/>
      <c r="R42820"/>
      <c r="S42820"/>
      <c r="T42820"/>
      <c r="U42820"/>
      <c r="X42820" s="60"/>
    </row>
    <row r="42821" spans="7:24" ht="15" customHeight="1">
      <c r="G42821"/>
      <c r="I42821"/>
      <c r="N42821"/>
      <c r="O42821" s="24"/>
      <c r="P42821"/>
      <c r="Q42821" s="24"/>
      <c r="R42821"/>
      <c r="S42821"/>
      <c r="T42821"/>
      <c r="U42821"/>
      <c r="X42821" s="60"/>
    </row>
    <row r="42822" spans="7:24" ht="15" customHeight="1">
      <c r="G42822"/>
      <c r="I42822"/>
      <c r="N42822"/>
      <c r="O42822" s="24"/>
      <c r="P42822"/>
      <c r="Q42822" s="24"/>
      <c r="R42822"/>
      <c r="S42822"/>
      <c r="T42822"/>
      <c r="U42822"/>
      <c r="X42822" s="60"/>
    </row>
    <row r="42823" spans="7:24" ht="15" customHeight="1">
      <c r="G42823"/>
      <c r="I42823"/>
      <c r="N42823"/>
      <c r="O42823" s="24"/>
      <c r="P42823"/>
      <c r="Q42823" s="24"/>
      <c r="R42823"/>
      <c r="S42823"/>
      <c r="T42823"/>
      <c r="U42823"/>
      <c r="X42823" s="60"/>
    </row>
    <row r="42824" spans="7:24" ht="15" customHeight="1">
      <c r="G42824"/>
      <c r="I42824"/>
      <c r="N42824"/>
      <c r="O42824" s="24"/>
      <c r="P42824"/>
      <c r="Q42824" s="24"/>
      <c r="R42824"/>
      <c r="S42824"/>
      <c r="T42824"/>
      <c r="U42824"/>
      <c r="X42824" s="60"/>
    </row>
    <row r="42825" spans="7:24" ht="15" customHeight="1">
      <c r="G42825"/>
      <c r="I42825"/>
      <c r="N42825"/>
      <c r="O42825" s="24"/>
      <c r="P42825"/>
      <c r="Q42825" s="24"/>
      <c r="R42825"/>
      <c r="S42825"/>
      <c r="T42825"/>
      <c r="U42825"/>
      <c r="X42825" s="60"/>
    </row>
    <row r="42826" spans="7:24" ht="15" customHeight="1">
      <c r="G42826"/>
      <c r="I42826"/>
      <c r="N42826"/>
      <c r="O42826" s="24"/>
      <c r="P42826"/>
      <c r="Q42826" s="24"/>
      <c r="R42826"/>
      <c r="S42826"/>
      <c r="T42826"/>
      <c r="U42826"/>
      <c r="X42826" s="60"/>
    </row>
    <row r="42827" spans="7:24" ht="15" customHeight="1">
      <c r="G42827"/>
      <c r="I42827"/>
      <c r="N42827"/>
      <c r="O42827" s="24"/>
      <c r="P42827"/>
      <c r="Q42827" s="24"/>
      <c r="R42827"/>
      <c r="S42827"/>
      <c r="T42827"/>
      <c r="U42827"/>
      <c r="X42827" s="60"/>
    </row>
    <row r="42828" spans="7:24" ht="15" customHeight="1">
      <c r="G42828"/>
      <c r="I42828"/>
      <c r="N42828"/>
      <c r="O42828" s="24"/>
      <c r="P42828"/>
      <c r="Q42828" s="24"/>
      <c r="R42828"/>
      <c r="S42828"/>
      <c r="T42828"/>
      <c r="U42828"/>
      <c r="X42828" s="60"/>
    </row>
    <row r="42829" spans="7:24" ht="15" customHeight="1">
      <c r="G42829"/>
      <c r="I42829"/>
      <c r="N42829"/>
      <c r="O42829" s="24"/>
      <c r="P42829"/>
      <c r="Q42829" s="24"/>
      <c r="R42829"/>
      <c r="S42829"/>
      <c r="T42829"/>
      <c r="U42829"/>
      <c r="X42829" s="60"/>
    </row>
    <row r="42830" spans="7:24" ht="15" customHeight="1">
      <c r="G42830"/>
      <c r="I42830"/>
      <c r="N42830"/>
      <c r="O42830" s="24"/>
      <c r="P42830"/>
      <c r="Q42830" s="24"/>
      <c r="R42830"/>
      <c r="S42830"/>
      <c r="T42830"/>
      <c r="U42830"/>
      <c r="X42830" s="60"/>
    </row>
    <row r="42831" spans="7:24" ht="15" customHeight="1">
      <c r="G42831"/>
      <c r="I42831"/>
      <c r="N42831"/>
      <c r="O42831" s="24"/>
      <c r="P42831"/>
      <c r="Q42831" s="24"/>
      <c r="R42831"/>
      <c r="S42831"/>
      <c r="T42831"/>
      <c r="U42831"/>
      <c r="X42831" s="60"/>
    </row>
    <row r="42832" spans="7:24" ht="15" customHeight="1">
      <c r="G42832"/>
      <c r="I42832"/>
      <c r="N42832"/>
      <c r="O42832" s="24"/>
      <c r="P42832"/>
      <c r="Q42832" s="24"/>
      <c r="R42832"/>
      <c r="S42832"/>
      <c r="T42832"/>
      <c r="U42832"/>
      <c r="X42832" s="60"/>
    </row>
    <row r="42833" spans="7:24" ht="15" customHeight="1">
      <c r="G42833"/>
      <c r="I42833"/>
      <c r="N42833"/>
      <c r="O42833" s="24"/>
      <c r="P42833"/>
      <c r="Q42833" s="24"/>
      <c r="R42833"/>
      <c r="S42833"/>
      <c r="T42833"/>
      <c r="U42833"/>
      <c r="X42833" s="60"/>
    </row>
    <row r="42834" spans="7:24" ht="15" customHeight="1">
      <c r="G42834"/>
      <c r="I42834"/>
      <c r="N42834"/>
      <c r="O42834" s="24"/>
      <c r="P42834"/>
      <c r="Q42834" s="24"/>
      <c r="R42834"/>
      <c r="S42834"/>
      <c r="T42834"/>
      <c r="U42834"/>
      <c r="X42834" s="60"/>
    </row>
    <row r="42835" spans="7:24" ht="15" customHeight="1">
      <c r="G42835"/>
      <c r="I42835"/>
      <c r="N42835"/>
      <c r="O42835" s="24"/>
      <c r="P42835"/>
      <c r="Q42835" s="24"/>
      <c r="R42835"/>
      <c r="S42835"/>
      <c r="T42835"/>
      <c r="U42835"/>
      <c r="X42835" s="60"/>
    </row>
    <row r="42836" spans="7:24" ht="15" customHeight="1">
      <c r="G42836"/>
      <c r="I42836"/>
      <c r="N42836"/>
      <c r="O42836" s="24"/>
      <c r="P42836"/>
      <c r="Q42836" s="24"/>
      <c r="R42836"/>
      <c r="S42836"/>
      <c r="T42836"/>
      <c r="U42836"/>
      <c r="X42836" s="60"/>
    </row>
    <row r="42837" spans="7:24" ht="15" customHeight="1">
      <c r="G42837"/>
      <c r="I42837"/>
      <c r="N42837"/>
      <c r="O42837" s="24"/>
      <c r="P42837"/>
      <c r="Q42837" s="24"/>
      <c r="R42837"/>
      <c r="S42837"/>
      <c r="T42837"/>
      <c r="U42837"/>
      <c r="X42837" s="60"/>
    </row>
    <row r="42838" spans="7:24" ht="15" customHeight="1">
      <c r="G42838"/>
      <c r="I42838"/>
      <c r="N42838"/>
      <c r="O42838" s="24"/>
      <c r="P42838"/>
      <c r="Q42838" s="24"/>
      <c r="R42838"/>
      <c r="S42838"/>
      <c r="T42838"/>
      <c r="U42838"/>
      <c r="X42838" s="60"/>
    </row>
    <row r="42839" spans="7:24" ht="15" customHeight="1">
      <c r="G42839"/>
      <c r="I42839"/>
      <c r="N42839"/>
      <c r="O42839" s="24"/>
      <c r="P42839"/>
      <c r="Q42839" s="24"/>
      <c r="R42839"/>
      <c r="S42839"/>
      <c r="T42839"/>
      <c r="U42839"/>
      <c r="X42839" s="60"/>
    </row>
    <row r="42840" spans="7:24" ht="15" customHeight="1">
      <c r="G42840"/>
      <c r="I42840"/>
      <c r="N42840"/>
      <c r="O42840" s="24"/>
      <c r="P42840"/>
      <c r="Q42840" s="24"/>
      <c r="R42840"/>
      <c r="S42840"/>
      <c r="T42840"/>
      <c r="U42840"/>
      <c r="X42840" s="60"/>
    </row>
    <row r="42841" spans="7:24" ht="15" customHeight="1">
      <c r="G42841"/>
      <c r="I42841"/>
      <c r="N42841"/>
      <c r="O42841" s="24"/>
      <c r="P42841"/>
      <c r="Q42841" s="24"/>
      <c r="R42841"/>
      <c r="S42841"/>
      <c r="T42841"/>
      <c r="U42841"/>
      <c r="X42841" s="60"/>
    </row>
    <row r="42842" spans="7:24" ht="15" customHeight="1">
      <c r="G42842"/>
      <c r="I42842"/>
      <c r="N42842"/>
      <c r="O42842" s="24"/>
      <c r="P42842"/>
      <c r="Q42842" s="24"/>
      <c r="R42842"/>
      <c r="S42842"/>
      <c r="T42842"/>
      <c r="U42842"/>
      <c r="X42842" s="60"/>
    </row>
    <row r="42843" spans="7:24" ht="15" customHeight="1">
      <c r="G42843"/>
      <c r="I42843"/>
      <c r="N42843"/>
      <c r="O42843" s="24"/>
      <c r="P42843"/>
      <c r="Q42843" s="24"/>
      <c r="R42843"/>
      <c r="S42843"/>
      <c r="T42843"/>
      <c r="U42843"/>
      <c r="X42843" s="60"/>
    </row>
    <row r="42844" spans="7:24" ht="15" customHeight="1">
      <c r="G42844"/>
      <c r="I42844"/>
      <c r="N42844"/>
      <c r="O42844" s="24"/>
      <c r="P42844"/>
      <c r="Q42844" s="24"/>
      <c r="R42844"/>
      <c r="S42844"/>
      <c r="T42844"/>
      <c r="U42844"/>
      <c r="X42844" s="60"/>
    </row>
    <row r="42845" spans="7:24" ht="15" customHeight="1">
      <c r="G42845"/>
      <c r="I42845"/>
      <c r="N42845"/>
      <c r="O42845" s="24"/>
      <c r="P42845"/>
      <c r="Q42845" s="24"/>
      <c r="R42845"/>
      <c r="S42845"/>
      <c r="T42845"/>
      <c r="U42845"/>
      <c r="X42845" s="60"/>
    </row>
    <row r="42846" spans="7:24" ht="15" customHeight="1">
      <c r="G42846"/>
      <c r="I42846"/>
      <c r="N42846"/>
      <c r="O42846" s="24"/>
      <c r="P42846"/>
      <c r="Q42846" s="24"/>
      <c r="R42846"/>
      <c r="S42846"/>
      <c r="T42846"/>
      <c r="U42846"/>
      <c r="X42846" s="60"/>
    </row>
    <row r="42847" spans="7:24" ht="15" customHeight="1">
      <c r="G42847"/>
      <c r="I42847"/>
      <c r="N42847"/>
      <c r="O42847" s="24"/>
      <c r="P42847"/>
      <c r="Q42847" s="24"/>
      <c r="R42847"/>
      <c r="S42847"/>
      <c r="T42847"/>
      <c r="U42847"/>
      <c r="X42847" s="60"/>
    </row>
    <row r="42848" spans="7:24" ht="15" customHeight="1">
      <c r="G42848"/>
      <c r="I42848"/>
      <c r="N42848"/>
      <c r="O42848" s="24"/>
      <c r="P42848"/>
      <c r="Q42848" s="24"/>
      <c r="R42848"/>
      <c r="S42848"/>
      <c r="T42848"/>
      <c r="U42848"/>
      <c r="X42848" s="60"/>
    </row>
    <row r="42849" spans="7:24" ht="15" customHeight="1">
      <c r="G42849"/>
      <c r="I42849"/>
      <c r="N42849"/>
      <c r="O42849" s="24"/>
      <c r="P42849"/>
      <c r="Q42849" s="24"/>
      <c r="R42849"/>
      <c r="S42849"/>
      <c r="T42849"/>
      <c r="U42849"/>
      <c r="X42849" s="60"/>
    </row>
    <row r="42850" spans="7:24" ht="15" customHeight="1">
      <c r="G42850"/>
      <c r="I42850"/>
      <c r="N42850"/>
      <c r="O42850" s="24"/>
      <c r="P42850"/>
      <c r="Q42850" s="24"/>
      <c r="R42850"/>
      <c r="S42850"/>
      <c r="T42850"/>
      <c r="U42850"/>
      <c r="X42850" s="60"/>
    </row>
    <row r="42851" spans="7:24" ht="15" customHeight="1">
      <c r="G42851"/>
      <c r="I42851"/>
      <c r="N42851"/>
      <c r="O42851" s="24"/>
      <c r="P42851"/>
      <c r="Q42851" s="24"/>
      <c r="R42851"/>
      <c r="S42851"/>
      <c r="T42851"/>
      <c r="U42851"/>
      <c r="X42851" s="60"/>
    </row>
    <row r="42852" spans="7:24" ht="15" customHeight="1">
      <c r="G42852"/>
      <c r="I42852"/>
      <c r="N42852"/>
      <c r="O42852" s="24"/>
      <c r="P42852"/>
      <c r="Q42852" s="24"/>
      <c r="R42852"/>
      <c r="S42852"/>
      <c r="T42852"/>
      <c r="U42852"/>
      <c r="X42852" s="60"/>
    </row>
    <row r="42853" spans="7:24" ht="15" customHeight="1">
      <c r="G42853"/>
      <c r="I42853"/>
      <c r="N42853"/>
      <c r="O42853" s="24"/>
      <c r="P42853"/>
      <c r="Q42853" s="24"/>
      <c r="R42853"/>
      <c r="S42853"/>
      <c r="T42853"/>
      <c r="U42853"/>
      <c r="X42853" s="60"/>
    </row>
    <row r="42854" spans="7:24" ht="15" customHeight="1">
      <c r="G42854"/>
      <c r="I42854"/>
      <c r="N42854"/>
      <c r="O42854" s="24"/>
      <c r="P42854"/>
      <c r="Q42854" s="24"/>
      <c r="R42854"/>
      <c r="S42854"/>
      <c r="T42854"/>
      <c r="U42854"/>
      <c r="X42854" s="60"/>
    </row>
    <row r="42855" spans="7:24" ht="15" customHeight="1">
      <c r="G42855"/>
      <c r="I42855"/>
      <c r="N42855"/>
      <c r="O42855" s="24"/>
      <c r="P42855"/>
      <c r="Q42855" s="24"/>
      <c r="R42855"/>
      <c r="S42855"/>
      <c r="T42855"/>
      <c r="U42855"/>
      <c r="X42855" s="60"/>
    </row>
    <row r="42856" spans="7:24" ht="15" customHeight="1">
      <c r="G42856"/>
      <c r="I42856"/>
      <c r="N42856"/>
      <c r="O42856" s="24"/>
      <c r="P42856"/>
      <c r="Q42856" s="24"/>
      <c r="R42856"/>
      <c r="S42856"/>
      <c r="T42856"/>
      <c r="U42856"/>
      <c r="X42856" s="60"/>
    </row>
    <row r="42857" spans="7:24" ht="15" customHeight="1">
      <c r="G42857"/>
      <c r="I42857"/>
      <c r="N42857"/>
      <c r="O42857" s="24"/>
      <c r="P42857"/>
      <c r="Q42857" s="24"/>
      <c r="R42857"/>
      <c r="S42857"/>
      <c r="T42857"/>
      <c r="U42857"/>
      <c r="X42857" s="60"/>
    </row>
    <row r="42858" spans="7:24" ht="15" customHeight="1">
      <c r="G42858"/>
      <c r="I42858"/>
      <c r="N42858"/>
      <c r="O42858" s="24"/>
      <c r="P42858"/>
      <c r="Q42858" s="24"/>
      <c r="R42858"/>
      <c r="S42858"/>
      <c r="T42858"/>
      <c r="U42858"/>
      <c r="X42858" s="60"/>
    </row>
    <row r="42859" spans="7:24" ht="15" customHeight="1">
      <c r="G42859"/>
      <c r="I42859"/>
      <c r="N42859"/>
      <c r="O42859" s="24"/>
      <c r="P42859"/>
      <c r="Q42859" s="24"/>
      <c r="R42859"/>
      <c r="S42859"/>
      <c r="T42859"/>
      <c r="U42859"/>
      <c r="X42859" s="60"/>
    </row>
    <row r="42860" spans="7:24" ht="15" customHeight="1">
      <c r="G42860"/>
      <c r="I42860"/>
      <c r="N42860"/>
      <c r="O42860" s="24"/>
      <c r="P42860"/>
      <c r="Q42860" s="24"/>
      <c r="R42860"/>
      <c r="S42860"/>
      <c r="T42860"/>
      <c r="U42860"/>
      <c r="X42860" s="60"/>
    </row>
    <row r="42861" spans="7:24" ht="15" customHeight="1">
      <c r="G42861"/>
      <c r="I42861"/>
      <c r="N42861"/>
      <c r="O42861" s="24"/>
      <c r="P42861"/>
      <c r="Q42861" s="24"/>
      <c r="R42861"/>
      <c r="S42861"/>
      <c r="T42861"/>
      <c r="U42861"/>
      <c r="X42861" s="60"/>
    </row>
    <row r="42862" spans="7:24" ht="15" customHeight="1">
      <c r="G42862"/>
      <c r="I42862"/>
      <c r="N42862"/>
      <c r="O42862" s="24"/>
      <c r="P42862"/>
      <c r="Q42862" s="24"/>
      <c r="R42862"/>
      <c r="S42862"/>
      <c r="T42862"/>
      <c r="U42862"/>
      <c r="X42862" s="60"/>
    </row>
    <row r="42863" spans="7:24" ht="15" customHeight="1">
      <c r="G42863"/>
      <c r="I42863"/>
      <c r="N42863"/>
      <c r="O42863" s="24"/>
      <c r="P42863"/>
      <c r="Q42863" s="24"/>
      <c r="R42863"/>
      <c r="S42863"/>
      <c r="T42863"/>
      <c r="U42863"/>
      <c r="X42863" s="60"/>
    </row>
    <row r="42864" spans="7:24" ht="15" customHeight="1">
      <c r="G42864"/>
      <c r="I42864"/>
      <c r="N42864"/>
      <c r="O42864" s="24"/>
      <c r="P42864"/>
      <c r="Q42864" s="24"/>
      <c r="R42864"/>
      <c r="S42864"/>
      <c r="T42864"/>
      <c r="U42864"/>
      <c r="X42864" s="60"/>
    </row>
    <row r="42865" spans="7:24" ht="15" customHeight="1">
      <c r="G42865"/>
      <c r="I42865"/>
      <c r="N42865"/>
      <c r="O42865" s="24"/>
      <c r="P42865"/>
      <c r="Q42865" s="24"/>
      <c r="R42865"/>
      <c r="S42865"/>
      <c r="T42865"/>
      <c r="U42865"/>
      <c r="X42865" s="60"/>
    </row>
    <row r="42866" spans="7:24" ht="15" customHeight="1">
      <c r="G42866"/>
      <c r="I42866"/>
      <c r="N42866"/>
      <c r="O42866" s="24"/>
      <c r="P42866"/>
      <c r="Q42866" s="24"/>
      <c r="R42866"/>
      <c r="S42866"/>
      <c r="T42866"/>
      <c r="U42866"/>
      <c r="X42866" s="60"/>
    </row>
    <row r="42867" spans="7:24" ht="15" customHeight="1">
      <c r="G42867"/>
      <c r="I42867"/>
      <c r="N42867"/>
      <c r="O42867" s="24"/>
      <c r="P42867"/>
      <c r="Q42867" s="24"/>
      <c r="R42867"/>
      <c r="S42867"/>
      <c r="T42867"/>
      <c r="U42867"/>
      <c r="X42867" s="60"/>
    </row>
    <row r="42868" spans="7:24" ht="15" customHeight="1">
      <c r="G42868"/>
      <c r="I42868"/>
      <c r="N42868"/>
      <c r="O42868" s="24"/>
      <c r="P42868"/>
      <c r="Q42868" s="24"/>
      <c r="R42868"/>
      <c r="S42868"/>
      <c r="T42868"/>
      <c r="U42868"/>
      <c r="X42868" s="60"/>
    </row>
    <row r="42869" spans="7:24" ht="15" customHeight="1">
      <c r="G42869"/>
      <c r="I42869"/>
      <c r="N42869"/>
      <c r="O42869" s="24"/>
      <c r="P42869"/>
      <c r="Q42869" s="24"/>
      <c r="R42869"/>
      <c r="S42869"/>
      <c r="T42869"/>
      <c r="U42869"/>
      <c r="X42869" s="60"/>
    </row>
    <row r="42870" spans="7:24" ht="15" customHeight="1">
      <c r="G42870"/>
      <c r="I42870"/>
      <c r="N42870"/>
      <c r="O42870" s="24"/>
      <c r="P42870"/>
      <c r="Q42870" s="24"/>
      <c r="R42870"/>
      <c r="S42870"/>
      <c r="T42870"/>
      <c r="U42870"/>
      <c r="X42870" s="60"/>
    </row>
    <row r="42871" spans="7:24" ht="15" customHeight="1">
      <c r="G42871"/>
      <c r="I42871"/>
      <c r="N42871"/>
      <c r="O42871" s="24"/>
      <c r="P42871"/>
      <c r="Q42871" s="24"/>
      <c r="R42871"/>
      <c r="S42871"/>
      <c r="T42871"/>
      <c r="U42871"/>
      <c r="X42871" s="60"/>
    </row>
    <row r="42872" spans="7:24" ht="15" customHeight="1">
      <c r="G42872"/>
      <c r="I42872"/>
      <c r="N42872"/>
      <c r="O42872" s="24"/>
      <c r="P42872"/>
      <c r="Q42872" s="24"/>
      <c r="R42872"/>
      <c r="S42872"/>
      <c r="T42872"/>
      <c r="U42872"/>
      <c r="X42872" s="60"/>
    </row>
    <row r="42873" spans="7:24" ht="15" customHeight="1">
      <c r="G42873"/>
      <c r="I42873"/>
      <c r="N42873"/>
      <c r="O42873" s="24"/>
      <c r="P42873"/>
      <c r="Q42873" s="24"/>
      <c r="R42873"/>
      <c r="S42873"/>
      <c r="T42873"/>
      <c r="U42873"/>
      <c r="X42873" s="60"/>
    </row>
    <row r="42874" spans="7:24" ht="15" customHeight="1">
      <c r="G42874"/>
      <c r="I42874"/>
      <c r="N42874"/>
      <c r="O42874" s="24"/>
      <c r="P42874"/>
      <c r="Q42874" s="24"/>
      <c r="R42874"/>
      <c r="S42874"/>
      <c r="T42874"/>
      <c r="U42874"/>
      <c r="X42874" s="60"/>
    </row>
    <row r="42875" spans="7:24" ht="15" customHeight="1">
      <c r="G42875"/>
      <c r="I42875"/>
      <c r="N42875"/>
      <c r="O42875" s="24"/>
      <c r="P42875"/>
      <c r="Q42875" s="24"/>
      <c r="R42875"/>
      <c r="S42875"/>
      <c r="T42875"/>
      <c r="U42875"/>
      <c r="X42875" s="60"/>
    </row>
    <row r="42876" spans="7:24" ht="15" customHeight="1">
      <c r="G42876"/>
      <c r="I42876"/>
      <c r="N42876"/>
      <c r="O42876" s="24"/>
      <c r="P42876"/>
      <c r="Q42876" s="24"/>
      <c r="R42876"/>
      <c r="S42876"/>
      <c r="T42876"/>
      <c r="U42876"/>
      <c r="X42876" s="60"/>
    </row>
    <row r="42877" spans="7:24" ht="15" customHeight="1">
      <c r="G42877"/>
      <c r="I42877"/>
      <c r="N42877"/>
      <c r="O42877" s="24"/>
      <c r="P42877"/>
      <c r="Q42877" s="24"/>
      <c r="R42877"/>
      <c r="S42877"/>
      <c r="T42877"/>
      <c r="U42877"/>
      <c r="X42877" s="60"/>
    </row>
    <row r="42878" spans="7:24" ht="15" customHeight="1">
      <c r="G42878"/>
      <c r="I42878"/>
      <c r="N42878"/>
      <c r="O42878" s="24"/>
      <c r="P42878"/>
      <c r="Q42878" s="24"/>
      <c r="R42878"/>
      <c r="S42878"/>
      <c r="T42878"/>
      <c r="U42878"/>
      <c r="X42878" s="60"/>
    </row>
    <row r="42879" spans="7:24" ht="15" customHeight="1">
      <c r="G42879"/>
      <c r="I42879"/>
      <c r="N42879"/>
      <c r="O42879" s="24"/>
      <c r="P42879"/>
      <c r="Q42879" s="24"/>
      <c r="R42879"/>
      <c r="S42879"/>
      <c r="T42879"/>
      <c r="U42879"/>
      <c r="X42879" s="60"/>
    </row>
    <row r="42880" spans="7:24" ht="15" customHeight="1">
      <c r="G42880"/>
      <c r="I42880"/>
      <c r="N42880"/>
      <c r="O42880" s="24"/>
      <c r="P42880"/>
      <c r="Q42880" s="24"/>
      <c r="R42880"/>
      <c r="S42880"/>
      <c r="T42880"/>
      <c r="U42880"/>
      <c r="X42880" s="60"/>
    </row>
    <row r="42881" spans="7:24" ht="15" customHeight="1">
      <c r="G42881"/>
      <c r="I42881"/>
      <c r="N42881"/>
      <c r="O42881" s="24"/>
      <c r="P42881"/>
      <c r="Q42881" s="24"/>
      <c r="R42881"/>
      <c r="S42881"/>
      <c r="T42881"/>
      <c r="U42881"/>
      <c r="X42881" s="60"/>
    </row>
    <row r="42882" spans="7:24" ht="15" customHeight="1">
      <c r="G42882"/>
      <c r="I42882"/>
      <c r="N42882"/>
      <c r="O42882" s="24"/>
      <c r="P42882"/>
      <c r="Q42882" s="24"/>
      <c r="R42882"/>
      <c r="S42882"/>
      <c r="T42882"/>
      <c r="U42882"/>
      <c r="X42882" s="60"/>
    </row>
    <row r="42883" spans="7:24" ht="15" customHeight="1">
      <c r="G42883"/>
      <c r="I42883"/>
      <c r="N42883"/>
      <c r="O42883" s="24"/>
      <c r="P42883"/>
      <c r="Q42883" s="24"/>
      <c r="R42883"/>
      <c r="S42883"/>
      <c r="T42883"/>
      <c r="U42883"/>
      <c r="X42883" s="60"/>
    </row>
    <row r="42884" spans="7:24" ht="15" customHeight="1">
      <c r="G42884"/>
      <c r="I42884"/>
      <c r="N42884"/>
      <c r="O42884" s="24"/>
      <c r="P42884"/>
      <c r="Q42884" s="24"/>
      <c r="R42884"/>
      <c r="S42884"/>
      <c r="T42884"/>
      <c r="U42884"/>
      <c r="X42884" s="60"/>
    </row>
    <row r="42885" spans="7:24" ht="15" customHeight="1">
      <c r="G42885"/>
      <c r="I42885"/>
      <c r="N42885"/>
      <c r="O42885" s="24"/>
      <c r="P42885"/>
      <c r="Q42885" s="24"/>
      <c r="R42885"/>
      <c r="S42885"/>
      <c r="T42885"/>
      <c r="U42885"/>
      <c r="X42885" s="60"/>
    </row>
    <row r="42886" spans="7:24" ht="15" customHeight="1">
      <c r="G42886"/>
      <c r="I42886"/>
      <c r="N42886"/>
      <c r="O42886" s="24"/>
      <c r="P42886"/>
      <c r="Q42886" s="24"/>
      <c r="R42886"/>
      <c r="S42886"/>
      <c r="T42886"/>
      <c r="U42886"/>
      <c r="X42886" s="60"/>
    </row>
    <row r="42887" spans="7:24" ht="15" customHeight="1">
      <c r="G42887"/>
      <c r="I42887"/>
      <c r="N42887"/>
      <c r="O42887" s="24"/>
      <c r="P42887"/>
      <c r="Q42887" s="24"/>
      <c r="R42887"/>
      <c r="S42887"/>
      <c r="T42887"/>
      <c r="U42887"/>
      <c r="X42887" s="60"/>
    </row>
    <row r="42888" spans="7:24" ht="15" customHeight="1">
      <c r="G42888"/>
      <c r="I42888"/>
      <c r="N42888"/>
      <c r="O42888" s="24"/>
      <c r="P42888"/>
      <c r="Q42888" s="24"/>
      <c r="R42888"/>
      <c r="S42888"/>
      <c r="T42888"/>
      <c r="U42888"/>
      <c r="X42888" s="60"/>
    </row>
    <row r="42889" spans="7:24" ht="15" customHeight="1">
      <c r="G42889"/>
      <c r="I42889"/>
      <c r="N42889"/>
      <c r="O42889" s="24"/>
      <c r="P42889"/>
      <c r="Q42889" s="24"/>
      <c r="R42889"/>
      <c r="S42889"/>
      <c r="T42889"/>
      <c r="U42889"/>
      <c r="X42889" s="60"/>
    </row>
    <row r="42890" spans="7:24" ht="15" customHeight="1">
      <c r="G42890"/>
      <c r="I42890"/>
      <c r="N42890"/>
      <c r="O42890" s="24"/>
      <c r="P42890"/>
      <c r="Q42890" s="24"/>
      <c r="R42890"/>
      <c r="S42890"/>
      <c r="T42890"/>
      <c r="U42890"/>
      <c r="X42890" s="60"/>
    </row>
    <row r="42891" spans="7:24" ht="15" customHeight="1">
      <c r="G42891"/>
      <c r="I42891"/>
      <c r="N42891"/>
      <c r="O42891" s="24"/>
      <c r="P42891"/>
      <c r="Q42891" s="24"/>
      <c r="R42891"/>
      <c r="S42891"/>
      <c r="T42891"/>
      <c r="U42891"/>
      <c r="X42891" s="60"/>
    </row>
    <row r="42892" spans="7:24" ht="15" customHeight="1">
      <c r="G42892"/>
      <c r="I42892"/>
      <c r="N42892"/>
      <c r="O42892" s="24"/>
      <c r="P42892"/>
      <c r="Q42892" s="24"/>
      <c r="R42892"/>
      <c r="S42892"/>
      <c r="T42892"/>
      <c r="U42892"/>
      <c r="X42892" s="60"/>
    </row>
    <row r="42893" spans="7:24" ht="15" customHeight="1">
      <c r="G42893"/>
      <c r="I42893"/>
      <c r="N42893"/>
      <c r="O42893" s="24"/>
      <c r="P42893"/>
      <c r="Q42893" s="24"/>
      <c r="R42893"/>
      <c r="S42893"/>
      <c r="T42893"/>
      <c r="U42893"/>
      <c r="X42893" s="60"/>
    </row>
    <row r="42894" spans="7:24" ht="15" customHeight="1">
      <c r="G42894"/>
      <c r="I42894"/>
      <c r="N42894"/>
      <c r="O42894" s="24"/>
      <c r="P42894"/>
      <c r="Q42894" s="24"/>
      <c r="R42894"/>
      <c r="S42894"/>
      <c r="T42894"/>
      <c r="U42894"/>
      <c r="X42894" s="60"/>
    </row>
    <row r="42895" spans="7:24" ht="15" customHeight="1">
      <c r="G42895"/>
      <c r="I42895"/>
      <c r="N42895"/>
      <c r="O42895" s="24"/>
      <c r="P42895"/>
      <c r="Q42895" s="24"/>
      <c r="R42895"/>
      <c r="S42895"/>
      <c r="T42895"/>
      <c r="U42895"/>
      <c r="X42895" s="60"/>
    </row>
    <row r="42896" spans="7:24" ht="15" customHeight="1">
      <c r="G42896"/>
      <c r="I42896"/>
      <c r="N42896"/>
      <c r="O42896" s="24"/>
      <c r="P42896"/>
      <c r="Q42896" s="24"/>
      <c r="R42896"/>
      <c r="S42896"/>
      <c r="T42896"/>
      <c r="U42896"/>
      <c r="X42896" s="60"/>
    </row>
    <row r="42897" spans="7:24" ht="15" customHeight="1">
      <c r="G42897"/>
      <c r="I42897"/>
      <c r="N42897"/>
      <c r="O42897" s="24"/>
      <c r="P42897"/>
      <c r="Q42897" s="24"/>
      <c r="R42897"/>
      <c r="S42897"/>
      <c r="T42897"/>
      <c r="U42897"/>
      <c r="X42897" s="60"/>
    </row>
    <row r="42898" spans="7:24" ht="15" customHeight="1">
      <c r="G42898"/>
      <c r="I42898"/>
      <c r="N42898"/>
      <c r="O42898" s="24"/>
      <c r="P42898"/>
      <c r="Q42898" s="24"/>
      <c r="R42898"/>
      <c r="S42898"/>
      <c r="T42898"/>
      <c r="U42898"/>
      <c r="X42898" s="60"/>
    </row>
    <row r="42899" spans="7:24" ht="15" customHeight="1">
      <c r="G42899"/>
      <c r="I42899"/>
      <c r="N42899"/>
      <c r="O42899" s="24"/>
      <c r="P42899"/>
      <c r="Q42899" s="24"/>
      <c r="R42899"/>
      <c r="S42899"/>
      <c r="T42899"/>
      <c r="U42899"/>
      <c r="X42899" s="60"/>
    </row>
    <row r="42900" spans="7:24" ht="15" customHeight="1">
      <c r="G42900"/>
      <c r="I42900"/>
      <c r="N42900"/>
      <c r="O42900" s="24"/>
      <c r="P42900"/>
      <c r="Q42900" s="24"/>
      <c r="R42900"/>
      <c r="S42900"/>
      <c r="T42900"/>
      <c r="U42900"/>
      <c r="X42900" s="60"/>
    </row>
    <row r="42901" spans="7:24" ht="15" customHeight="1">
      <c r="G42901"/>
      <c r="I42901"/>
      <c r="N42901"/>
      <c r="O42901" s="24"/>
      <c r="P42901"/>
      <c r="Q42901" s="24"/>
      <c r="R42901"/>
      <c r="S42901"/>
      <c r="T42901"/>
      <c r="U42901"/>
      <c r="X42901" s="60"/>
    </row>
    <row r="42902" spans="7:24" ht="15" customHeight="1">
      <c r="G42902"/>
      <c r="I42902"/>
      <c r="N42902"/>
      <c r="O42902" s="24"/>
      <c r="P42902"/>
      <c r="Q42902" s="24"/>
      <c r="R42902"/>
      <c r="S42902"/>
      <c r="T42902"/>
      <c r="U42902"/>
      <c r="X42902" s="60"/>
    </row>
    <row r="42903" spans="7:24" ht="15" customHeight="1">
      <c r="G42903"/>
      <c r="I42903"/>
      <c r="N42903"/>
      <c r="O42903" s="24"/>
      <c r="P42903"/>
      <c r="Q42903" s="24"/>
      <c r="R42903"/>
      <c r="S42903"/>
      <c r="T42903"/>
      <c r="U42903"/>
      <c r="X42903" s="60"/>
    </row>
    <row r="42904" spans="7:24" ht="15" customHeight="1">
      <c r="G42904"/>
      <c r="I42904"/>
      <c r="N42904"/>
      <c r="O42904" s="24"/>
      <c r="P42904"/>
      <c r="Q42904" s="24"/>
      <c r="R42904"/>
      <c r="S42904"/>
      <c r="T42904"/>
      <c r="U42904"/>
      <c r="X42904" s="60"/>
    </row>
    <row r="42905" spans="7:24" ht="15" customHeight="1">
      <c r="G42905"/>
      <c r="I42905"/>
      <c r="N42905"/>
      <c r="O42905" s="24"/>
      <c r="P42905"/>
      <c r="Q42905" s="24"/>
      <c r="R42905"/>
      <c r="S42905"/>
      <c r="T42905"/>
      <c r="U42905"/>
      <c r="X42905" s="60"/>
    </row>
    <row r="42906" spans="7:24" ht="15" customHeight="1">
      <c r="G42906"/>
      <c r="I42906"/>
      <c r="N42906"/>
      <c r="O42906" s="24"/>
      <c r="P42906"/>
      <c r="Q42906" s="24"/>
      <c r="R42906"/>
      <c r="S42906"/>
      <c r="T42906"/>
      <c r="U42906"/>
      <c r="X42906" s="60"/>
    </row>
    <row r="42907" spans="7:24" ht="15" customHeight="1">
      <c r="G42907"/>
      <c r="I42907"/>
      <c r="N42907"/>
      <c r="O42907" s="24"/>
      <c r="P42907"/>
      <c r="Q42907" s="24"/>
      <c r="R42907"/>
      <c r="S42907"/>
      <c r="T42907"/>
      <c r="U42907"/>
      <c r="X42907" s="60"/>
    </row>
    <row r="42908" spans="7:24" ht="15" customHeight="1">
      <c r="G42908"/>
      <c r="I42908"/>
      <c r="N42908"/>
      <c r="O42908" s="24"/>
      <c r="P42908"/>
      <c r="Q42908" s="24"/>
      <c r="R42908"/>
      <c r="S42908"/>
      <c r="T42908"/>
      <c r="U42908"/>
      <c r="X42908" s="60"/>
    </row>
    <row r="42909" spans="7:24" ht="15" customHeight="1">
      <c r="G42909"/>
      <c r="I42909"/>
      <c r="N42909"/>
      <c r="O42909" s="24"/>
      <c r="P42909"/>
      <c r="Q42909" s="24"/>
      <c r="R42909"/>
      <c r="S42909"/>
      <c r="T42909"/>
      <c r="U42909"/>
      <c r="X42909" s="60"/>
    </row>
    <row r="42910" spans="7:24" ht="15" customHeight="1">
      <c r="G42910"/>
      <c r="I42910"/>
      <c r="N42910"/>
      <c r="O42910" s="24"/>
      <c r="P42910"/>
      <c r="Q42910" s="24"/>
      <c r="R42910"/>
      <c r="S42910"/>
      <c r="T42910"/>
      <c r="U42910"/>
      <c r="X42910" s="60"/>
    </row>
    <row r="42911" spans="7:24" ht="15" customHeight="1">
      <c r="G42911"/>
      <c r="I42911"/>
      <c r="N42911"/>
      <c r="O42911" s="24"/>
      <c r="P42911"/>
      <c r="Q42911" s="24"/>
      <c r="R42911"/>
      <c r="S42911"/>
      <c r="T42911"/>
      <c r="U42911"/>
      <c r="X42911" s="60"/>
    </row>
    <row r="42912" spans="7:24" ht="15" customHeight="1">
      <c r="G42912"/>
      <c r="I42912"/>
      <c r="N42912"/>
      <c r="O42912" s="24"/>
      <c r="P42912"/>
      <c r="Q42912" s="24"/>
      <c r="R42912"/>
      <c r="S42912"/>
      <c r="T42912"/>
      <c r="U42912"/>
      <c r="X42912" s="60"/>
    </row>
    <row r="42913" spans="7:24" ht="15" customHeight="1">
      <c r="G42913"/>
      <c r="I42913"/>
      <c r="N42913"/>
      <c r="O42913" s="24"/>
      <c r="P42913"/>
      <c r="Q42913" s="24"/>
      <c r="R42913"/>
      <c r="S42913"/>
      <c r="T42913"/>
      <c r="U42913"/>
      <c r="X42913" s="60"/>
    </row>
    <row r="42914" spans="7:24" ht="15" customHeight="1">
      <c r="G42914"/>
      <c r="I42914"/>
      <c r="N42914"/>
      <c r="O42914" s="24"/>
      <c r="P42914"/>
      <c r="Q42914" s="24"/>
      <c r="R42914"/>
      <c r="S42914"/>
      <c r="T42914"/>
      <c r="U42914"/>
      <c r="X42914" s="60"/>
    </row>
    <row r="42915" spans="7:24" ht="15" customHeight="1">
      <c r="G42915"/>
      <c r="I42915"/>
      <c r="N42915"/>
      <c r="O42915" s="24"/>
      <c r="P42915"/>
      <c r="Q42915" s="24"/>
      <c r="R42915"/>
      <c r="S42915"/>
      <c r="T42915"/>
      <c r="U42915"/>
      <c r="X42915" s="60"/>
    </row>
    <row r="42916" spans="7:24" ht="15" customHeight="1">
      <c r="G42916"/>
      <c r="I42916"/>
      <c r="N42916"/>
      <c r="O42916" s="24"/>
      <c r="P42916"/>
      <c r="Q42916" s="24"/>
      <c r="R42916"/>
      <c r="S42916"/>
      <c r="T42916"/>
      <c r="U42916"/>
      <c r="X42916" s="60"/>
    </row>
    <row r="42917" spans="7:24" ht="15" customHeight="1">
      <c r="G42917"/>
      <c r="I42917"/>
      <c r="N42917"/>
      <c r="O42917" s="24"/>
      <c r="P42917"/>
      <c r="Q42917" s="24"/>
      <c r="R42917"/>
      <c r="S42917"/>
      <c r="T42917"/>
      <c r="U42917"/>
      <c r="X42917" s="60"/>
    </row>
    <row r="42918" spans="7:24" ht="15" customHeight="1">
      <c r="G42918"/>
      <c r="I42918"/>
      <c r="N42918"/>
      <c r="O42918" s="24"/>
      <c r="P42918"/>
      <c r="Q42918" s="24"/>
      <c r="R42918"/>
      <c r="S42918"/>
      <c r="T42918"/>
      <c r="U42918"/>
      <c r="X42918" s="60"/>
    </row>
    <row r="42919" spans="7:24" ht="15" customHeight="1">
      <c r="G42919"/>
      <c r="I42919"/>
      <c r="N42919"/>
      <c r="O42919" s="24"/>
      <c r="P42919"/>
      <c r="Q42919" s="24"/>
      <c r="R42919"/>
      <c r="S42919"/>
      <c r="T42919"/>
      <c r="U42919"/>
      <c r="X42919" s="60"/>
    </row>
    <row r="42920" spans="7:24" ht="15" customHeight="1">
      <c r="G42920"/>
      <c r="I42920"/>
      <c r="N42920"/>
      <c r="O42920" s="24"/>
      <c r="P42920"/>
      <c r="Q42920" s="24"/>
      <c r="R42920"/>
      <c r="S42920"/>
      <c r="T42920"/>
      <c r="U42920"/>
      <c r="X42920" s="60"/>
    </row>
    <row r="42921" spans="7:24" ht="15" customHeight="1">
      <c r="G42921"/>
      <c r="I42921"/>
      <c r="N42921"/>
      <c r="O42921" s="24"/>
      <c r="P42921"/>
      <c r="Q42921" s="24"/>
      <c r="R42921"/>
      <c r="S42921"/>
      <c r="T42921"/>
      <c r="U42921"/>
      <c r="X42921" s="60"/>
    </row>
    <row r="42922" spans="7:24" ht="15" customHeight="1">
      <c r="G42922"/>
      <c r="I42922"/>
      <c r="N42922"/>
      <c r="O42922" s="24"/>
      <c r="P42922"/>
      <c r="Q42922" s="24"/>
      <c r="R42922"/>
      <c r="S42922"/>
      <c r="T42922"/>
      <c r="U42922"/>
      <c r="X42922" s="60"/>
    </row>
    <row r="42923" spans="7:24" ht="15" customHeight="1">
      <c r="G42923"/>
      <c r="I42923"/>
      <c r="N42923"/>
      <c r="O42923" s="24"/>
      <c r="P42923"/>
      <c r="Q42923" s="24"/>
      <c r="R42923"/>
      <c r="S42923"/>
      <c r="T42923"/>
      <c r="U42923"/>
      <c r="X42923" s="60"/>
    </row>
    <row r="42924" spans="7:24" ht="15" customHeight="1">
      <c r="G42924"/>
      <c r="I42924"/>
      <c r="N42924"/>
      <c r="O42924" s="24"/>
      <c r="P42924"/>
      <c r="Q42924" s="24"/>
      <c r="R42924"/>
      <c r="S42924"/>
      <c r="T42924"/>
      <c r="U42924"/>
      <c r="X42924" s="60"/>
    </row>
    <row r="42925" spans="7:24" ht="15" customHeight="1">
      <c r="G42925"/>
      <c r="I42925"/>
      <c r="N42925"/>
      <c r="O42925" s="24"/>
      <c r="P42925"/>
      <c r="Q42925" s="24"/>
      <c r="R42925"/>
      <c r="S42925"/>
      <c r="T42925"/>
      <c r="U42925"/>
      <c r="X42925" s="60"/>
    </row>
    <row r="42926" spans="7:24" ht="15" customHeight="1">
      <c r="G42926"/>
      <c r="I42926"/>
      <c r="N42926"/>
      <c r="O42926" s="24"/>
      <c r="P42926"/>
      <c r="Q42926" s="24"/>
      <c r="R42926"/>
      <c r="S42926"/>
      <c r="T42926"/>
      <c r="U42926"/>
      <c r="X42926" s="60"/>
    </row>
    <row r="42927" spans="7:24" ht="15" customHeight="1">
      <c r="G42927"/>
      <c r="I42927"/>
      <c r="N42927"/>
      <c r="O42927" s="24"/>
      <c r="P42927"/>
      <c r="Q42927" s="24"/>
      <c r="R42927"/>
      <c r="S42927"/>
      <c r="T42927"/>
      <c r="U42927"/>
      <c r="X42927" s="60"/>
    </row>
    <row r="42928" spans="7:24" ht="15" customHeight="1">
      <c r="G42928"/>
      <c r="I42928"/>
      <c r="N42928"/>
      <c r="O42928" s="24"/>
      <c r="P42928"/>
      <c r="Q42928" s="24"/>
      <c r="R42928"/>
      <c r="S42928"/>
      <c r="T42928"/>
      <c r="U42928"/>
      <c r="X42928" s="60"/>
    </row>
    <row r="42929" spans="7:24" ht="15" customHeight="1">
      <c r="G42929"/>
      <c r="I42929"/>
      <c r="N42929"/>
      <c r="O42929" s="24"/>
      <c r="P42929"/>
      <c r="Q42929" s="24"/>
      <c r="R42929"/>
      <c r="S42929"/>
      <c r="T42929"/>
      <c r="U42929"/>
      <c r="X42929" s="60"/>
    </row>
    <row r="42930" spans="7:24" ht="15" customHeight="1">
      <c r="G42930"/>
      <c r="I42930"/>
      <c r="N42930"/>
      <c r="O42930" s="24"/>
      <c r="P42930"/>
      <c r="Q42930" s="24"/>
      <c r="R42930"/>
      <c r="S42930"/>
      <c r="T42930"/>
      <c r="U42930"/>
      <c r="X42930" s="60"/>
    </row>
    <row r="42931" spans="7:24" ht="15" customHeight="1">
      <c r="G42931"/>
      <c r="I42931"/>
      <c r="N42931"/>
      <c r="O42931" s="24"/>
      <c r="P42931"/>
      <c r="Q42931" s="24"/>
      <c r="R42931"/>
      <c r="S42931"/>
      <c r="T42931"/>
      <c r="U42931"/>
      <c r="X42931" s="60"/>
    </row>
    <row r="42932" spans="7:24" ht="15" customHeight="1">
      <c r="G42932"/>
      <c r="I42932"/>
      <c r="N42932"/>
      <c r="O42932" s="24"/>
      <c r="P42932"/>
      <c r="Q42932" s="24"/>
      <c r="R42932"/>
      <c r="S42932"/>
      <c r="T42932"/>
      <c r="U42932"/>
      <c r="X42932" s="60"/>
    </row>
    <row r="42933" spans="7:24" ht="15" customHeight="1">
      <c r="G42933"/>
      <c r="I42933"/>
      <c r="N42933"/>
      <c r="O42933" s="24"/>
      <c r="P42933"/>
      <c r="Q42933" s="24"/>
      <c r="R42933"/>
      <c r="S42933"/>
      <c r="T42933"/>
      <c r="U42933"/>
      <c r="X42933" s="60"/>
    </row>
    <row r="42934" spans="7:24" ht="15" customHeight="1">
      <c r="G42934"/>
      <c r="I42934"/>
      <c r="N42934"/>
      <c r="O42934" s="24"/>
      <c r="P42934"/>
      <c r="Q42934" s="24"/>
      <c r="R42934"/>
      <c r="S42934"/>
      <c r="T42934"/>
      <c r="U42934"/>
      <c r="X42934" s="60"/>
    </row>
    <row r="42935" spans="7:24" ht="15" customHeight="1">
      <c r="G42935"/>
      <c r="I42935"/>
      <c r="N42935"/>
      <c r="O42935" s="24"/>
      <c r="P42935"/>
      <c r="Q42935" s="24"/>
      <c r="R42935"/>
      <c r="S42935"/>
      <c r="T42935"/>
      <c r="U42935"/>
      <c r="X42935" s="60"/>
    </row>
    <row r="42936" spans="7:24" ht="15" customHeight="1">
      <c r="G42936"/>
      <c r="I42936"/>
      <c r="N42936"/>
      <c r="O42936" s="24"/>
      <c r="P42936"/>
      <c r="Q42936" s="24"/>
      <c r="R42936"/>
      <c r="S42936"/>
      <c r="T42936"/>
      <c r="U42936"/>
      <c r="X42936" s="60"/>
    </row>
    <row r="42937" spans="7:24" ht="15" customHeight="1">
      <c r="G42937"/>
      <c r="I42937"/>
      <c r="N42937"/>
      <c r="O42937" s="24"/>
      <c r="P42937"/>
      <c r="Q42937" s="24"/>
      <c r="R42937"/>
      <c r="S42937"/>
      <c r="T42937"/>
      <c r="U42937"/>
      <c r="X42937" s="60"/>
    </row>
    <row r="42938" spans="7:24" ht="15" customHeight="1">
      <c r="G42938"/>
      <c r="I42938"/>
      <c r="N42938"/>
      <c r="O42938" s="24"/>
      <c r="P42938"/>
      <c r="Q42938" s="24"/>
      <c r="R42938"/>
      <c r="S42938"/>
      <c r="T42938"/>
      <c r="U42938"/>
      <c r="X42938" s="60"/>
    </row>
    <row r="42939" spans="7:24" ht="15" customHeight="1">
      <c r="G42939"/>
      <c r="I42939"/>
      <c r="N42939"/>
      <c r="O42939" s="24"/>
      <c r="P42939"/>
      <c r="Q42939" s="24"/>
      <c r="R42939"/>
      <c r="S42939"/>
      <c r="T42939"/>
      <c r="U42939"/>
      <c r="X42939" s="60"/>
    </row>
    <row r="42940" spans="7:24" ht="15" customHeight="1">
      <c r="G42940"/>
      <c r="I42940"/>
      <c r="N42940"/>
      <c r="O42940" s="24"/>
      <c r="P42940"/>
      <c r="Q42940" s="24"/>
      <c r="R42940"/>
      <c r="S42940"/>
      <c r="T42940"/>
      <c r="U42940"/>
      <c r="X42940" s="60"/>
    </row>
    <row r="42941" spans="7:24" ht="15" customHeight="1">
      <c r="G42941"/>
      <c r="I42941"/>
      <c r="N42941"/>
      <c r="O42941" s="24"/>
      <c r="P42941"/>
      <c r="Q42941" s="24"/>
      <c r="R42941"/>
      <c r="S42941"/>
      <c r="T42941"/>
      <c r="U42941"/>
      <c r="X42941" s="60"/>
    </row>
    <row r="42942" spans="7:24" ht="15" customHeight="1">
      <c r="G42942"/>
      <c r="I42942"/>
      <c r="N42942"/>
      <c r="O42942" s="24"/>
      <c r="P42942"/>
      <c r="Q42942" s="24"/>
      <c r="R42942"/>
      <c r="S42942"/>
      <c r="T42942"/>
      <c r="U42942"/>
      <c r="X42942" s="60"/>
    </row>
    <row r="42943" spans="7:24" ht="15" customHeight="1">
      <c r="G42943"/>
      <c r="I42943"/>
      <c r="N42943"/>
      <c r="O42943" s="24"/>
      <c r="P42943"/>
      <c r="Q42943" s="24"/>
      <c r="R42943"/>
      <c r="S42943"/>
      <c r="T42943"/>
      <c r="U42943"/>
      <c r="X42943" s="60"/>
    </row>
    <row r="42944" spans="7:24" ht="15" customHeight="1">
      <c r="G42944"/>
      <c r="I42944"/>
      <c r="N42944"/>
      <c r="O42944" s="24"/>
      <c r="P42944"/>
      <c r="Q42944" s="24"/>
      <c r="R42944"/>
      <c r="S42944"/>
      <c r="T42944"/>
      <c r="U42944"/>
      <c r="X42944" s="60"/>
    </row>
    <row r="42945" spans="7:24" ht="15" customHeight="1">
      <c r="G42945"/>
      <c r="I42945"/>
      <c r="N42945"/>
      <c r="O42945" s="24"/>
      <c r="P42945"/>
      <c r="Q42945" s="24"/>
      <c r="R42945"/>
      <c r="S42945"/>
      <c r="T42945"/>
      <c r="U42945"/>
      <c r="X42945" s="60"/>
    </row>
    <row r="42946" spans="7:24" ht="15" customHeight="1">
      <c r="G42946"/>
      <c r="I42946"/>
      <c r="N42946"/>
      <c r="O42946" s="24"/>
      <c r="P42946"/>
      <c r="Q42946" s="24"/>
      <c r="R42946"/>
      <c r="S42946"/>
      <c r="T42946"/>
      <c r="U42946"/>
      <c r="X42946" s="60"/>
    </row>
    <row r="42947" spans="7:24" ht="15" customHeight="1">
      <c r="G42947"/>
      <c r="I42947"/>
      <c r="N42947"/>
      <c r="O42947" s="24"/>
      <c r="P42947"/>
      <c r="Q42947" s="24"/>
      <c r="R42947"/>
      <c r="S42947"/>
      <c r="T42947"/>
      <c r="U42947"/>
      <c r="X42947" s="60"/>
    </row>
    <row r="42948" spans="7:24" ht="15" customHeight="1">
      <c r="G42948"/>
      <c r="I42948"/>
      <c r="N42948"/>
      <c r="O42948" s="24"/>
      <c r="P42948"/>
      <c r="Q42948" s="24"/>
      <c r="R42948"/>
      <c r="S42948"/>
      <c r="T42948"/>
      <c r="U42948"/>
      <c r="X42948" s="60"/>
    </row>
    <row r="42949" spans="7:24" ht="15" customHeight="1">
      <c r="G42949"/>
      <c r="I42949"/>
      <c r="N42949"/>
      <c r="O42949" s="24"/>
      <c r="P42949"/>
      <c r="Q42949" s="24"/>
      <c r="R42949"/>
      <c r="S42949"/>
      <c r="T42949"/>
      <c r="U42949"/>
      <c r="X42949" s="60"/>
    </row>
    <row r="42950" spans="7:24" ht="15" customHeight="1">
      <c r="G42950"/>
      <c r="I42950"/>
      <c r="N42950"/>
      <c r="O42950" s="24"/>
      <c r="P42950"/>
      <c r="Q42950" s="24"/>
      <c r="R42950"/>
      <c r="S42950"/>
      <c r="T42950"/>
      <c r="U42950"/>
      <c r="X42950" s="60"/>
    </row>
    <row r="42951" spans="7:24" ht="15" customHeight="1">
      <c r="G42951"/>
      <c r="I42951"/>
      <c r="N42951"/>
      <c r="O42951" s="24"/>
      <c r="P42951"/>
      <c r="Q42951" s="24"/>
      <c r="R42951"/>
      <c r="S42951"/>
      <c r="T42951"/>
      <c r="U42951"/>
      <c r="X42951" s="60"/>
    </row>
    <row r="42952" spans="7:24" ht="15" customHeight="1">
      <c r="G42952"/>
      <c r="I42952"/>
      <c r="N42952"/>
      <c r="O42952" s="24"/>
      <c r="P42952"/>
      <c r="Q42952" s="24"/>
      <c r="R42952"/>
      <c r="S42952"/>
      <c r="T42952"/>
      <c r="U42952"/>
      <c r="X42952" s="60"/>
    </row>
    <row r="42953" spans="7:24" ht="15" customHeight="1">
      <c r="G42953"/>
      <c r="I42953"/>
      <c r="N42953"/>
      <c r="O42953" s="24"/>
      <c r="P42953"/>
      <c r="Q42953" s="24"/>
      <c r="R42953"/>
      <c r="S42953"/>
      <c r="T42953"/>
      <c r="U42953"/>
      <c r="X42953" s="60"/>
    </row>
    <row r="42954" spans="7:24" ht="15" customHeight="1">
      <c r="G42954"/>
      <c r="I42954"/>
      <c r="N42954"/>
      <c r="O42954" s="24"/>
      <c r="P42954"/>
      <c r="Q42954" s="24"/>
      <c r="R42954"/>
      <c r="S42954"/>
      <c r="T42954"/>
      <c r="U42954"/>
      <c r="X42954" s="60"/>
    </row>
    <row r="42955" spans="7:24" ht="15" customHeight="1">
      <c r="G42955"/>
      <c r="I42955"/>
      <c r="N42955"/>
      <c r="O42955" s="24"/>
      <c r="P42955"/>
      <c r="Q42955" s="24"/>
      <c r="R42955"/>
      <c r="S42955"/>
      <c r="T42955"/>
      <c r="U42955"/>
      <c r="X42955" s="60"/>
    </row>
    <row r="42956" spans="7:24" ht="15" customHeight="1">
      <c r="G42956"/>
      <c r="I42956"/>
      <c r="N42956"/>
      <c r="O42956" s="24"/>
      <c r="P42956"/>
      <c r="Q42956" s="24"/>
      <c r="R42956"/>
      <c r="S42956"/>
      <c r="T42956"/>
      <c r="U42956"/>
      <c r="X42956" s="60"/>
    </row>
    <row r="42957" spans="7:24" ht="15" customHeight="1">
      <c r="G42957"/>
      <c r="I42957"/>
      <c r="N42957"/>
      <c r="O42957" s="24"/>
      <c r="P42957"/>
      <c r="Q42957" s="24"/>
      <c r="R42957"/>
      <c r="S42957"/>
      <c r="T42957"/>
      <c r="U42957"/>
      <c r="X42957" s="60"/>
    </row>
    <row r="42958" spans="7:24" ht="15" customHeight="1">
      <c r="G42958"/>
      <c r="I42958"/>
      <c r="N42958"/>
      <c r="O42958" s="24"/>
      <c r="P42958"/>
      <c r="Q42958" s="24"/>
      <c r="R42958"/>
      <c r="S42958"/>
      <c r="T42958"/>
      <c r="U42958"/>
      <c r="X42958" s="60"/>
    </row>
    <row r="42959" spans="7:24" ht="15" customHeight="1">
      <c r="G42959"/>
      <c r="I42959"/>
      <c r="N42959"/>
      <c r="O42959" s="24"/>
      <c r="P42959"/>
      <c r="Q42959" s="24"/>
      <c r="R42959"/>
      <c r="S42959"/>
      <c r="T42959"/>
      <c r="U42959"/>
      <c r="X42959" s="60"/>
    </row>
    <row r="42960" spans="7:24" ht="15" customHeight="1">
      <c r="G42960"/>
      <c r="I42960"/>
      <c r="N42960"/>
      <c r="O42960" s="24"/>
      <c r="P42960"/>
      <c r="Q42960" s="24"/>
      <c r="R42960"/>
      <c r="S42960"/>
      <c r="T42960"/>
      <c r="U42960"/>
      <c r="X42960" s="60"/>
    </row>
    <row r="42961" spans="7:24" ht="15" customHeight="1">
      <c r="G42961"/>
      <c r="I42961"/>
      <c r="N42961"/>
      <c r="O42961" s="24"/>
      <c r="P42961"/>
      <c r="Q42961" s="24"/>
      <c r="R42961"/>
      <c r="S42961"/>
      <c r="T42961"/>
      <c r="U42961"/>
      <c r="X42961" s="60"/>
    </row>
    <row r="42962" spans="7:24" ht="15" customHeight="1">
      <c r="G42962"/>
      <c r="I42962"/>
      <c r="N42962"/>
      <c r="O42962" s="24"/>
      <c r="P42962"/>
      <c r="Q42962" s="24"/>
      <c r="R42962"/>
      <c r="S42962"/>
      <c r="T42962"/>
      <c r="U42962"/>
      <c r="X42962" s="60"/>
    </row>
    <row r="42963" spans="7:24" ht="15" customHeight="1">
      <c r="G42963"/>
      <c r="I42963"/>
      <c r="N42963"/>
      <c r="O42963" s="24"/>
      <c r="P42963"/>
      <c r="Q42963" s="24"/>
      <c r="R42963"/>
      <c r="S42963"/>
      <c r="T42963"/>
      <c r="U42963"/>
      <c r="X42963" s="60"/>
    </row>
    <row r="42964" spans="7:24" ht="15" customHeight="1">
      <c r="G42964"/>
      <c r="I42964"/>
      <c r="N42964"/>
      <c r="O42964" s="24"/>
      <c r="P42964"/>
      <c r="Q42964" s="24"/>
      <c r="R42964"/>
      <c r="S42964"/>
      <c r="T42964"/>
      <c r="U42964"/>
      <c r="X42964" s="60"/>
    </row>
    <row r="42965" spans="7:24" ht="15" customHeight="1">
      <c r="G42965"/>
      <c r="I42965"/>
      <c r="N42965"/>
      <c r="O42965" s="24"/>
      <c r="P42965"/>
      <c r="Q42965" s="24"/>
      <c r="R42965"/>
      <c r="S42965"/>
      <c r="T42965"/>
      <c r="U42965"/>
      <c r="X42965" s="60"/>
    </row>
    <row r="42966" spans="7:24" ht="15" customHeight="1">
      <c r="G42966"/>
      <c r="I42966"/>
      <c r="N42966"/>
      <c r="O42966" s="24"/>
      <c r="P42966"/>
      <c r="Q42966" s="24"/>
      <c r="R42966"/>
      <c r="S42966"/>
      <c r="T42966"/>
      <c r="U42966"/>
      <c r="X42966" s="60"/>
    </row>
    <row r="42967" spans="7:24" ht="15" customHeight="1">
      <c r="G42967"/>
      <c r="I42967"/>
      <c r="N42967"/>
      <c r="O42967" s="24"/>
      <c r="P42967"/>
      <c r="Q42967" s="24"/>
      <c r="R42967"/>
      <c r="S42967"/>
      <c r="T42967"/>
      <c r="U42967"/>
      <c r="X42967" s="60"/>
    </row>
    <row r="42968" spans="7:24" ht="15" customHeight="1">
      <c r="G42968"/>
      <c r="I42968"/>
      <c r="N42968"/>
      <c r="O42968" s="24"/>
      <c r="P42968"/>
      <c r="Q42968" s="24"/>
      <c r="R42968"/>
      <c r="S42968"/>
      <c r="T42968"/>
      <c r="U42968"/>
      <c r="X42968" s="60"/>
    </row>
    <row r="42969" spans="7:24" ht="15" customHeight="1">
      <c r="G42969"/>
      <c r="I42969"/>
      <c r="N42969"/>
      <c r="O42969" s="24"/>
      <c r="P42969"/>
      <c r="Q42969" s="24"/>
      <c r="R42969"/>
      <c r="S42969"/>
      <c r="T42969"/>
      <c r="U42969"/>
      <c r="X42969" s="60"/>
    </row>
    <row r="42970" spans="7:24" ht="15" customHeight="1">
      <c r="G42970"/>
      <c r="I42970"/>
      <c r="N42970"/>
      <c r="O42970" s="24"/>
      <c r="P42970"/>
      <c r="Q42970" s="24"/>
      <c r="R42970"/>
      <c r="S42970"/>
      <c r="T42970"/>
      <c r="U42970"/>
      <c r="X42970" s="60"/>
    </row>
    <row r="42971" spans="7:24" ht="15" customHeight="1">
      <c r="G42971"/>
      <c r="I42971"/>
      <c r="N42971"/>
      <c r="O42971" s="24"/>
      <c r="P42971"/>
      <c r="Q42971" s="24"/>
      <c r="R42971"/>
      <c r="S42971"/>
      <c r="T42971"/>
      <c r="U42971"/>
      <c r="X42971" s="60"/>
    </row>
    <row r="42972" spans="7:24" ht="15" customHeight="1">
      <c r="G42972"/>
      <c r="I42972"/>
      <c r="N42972"/>
      <c r="O42972" s="24"/>
      <c r="P42972"/>
      <c r="Q42972" s="24"/>
      <c r="R42972"/>
      <c r="S42972"/>
      <c r="T42972"/>
      <c r="U42972"/>
      <c r="X42972" s="60"/>
    </row>
    <row r="42973" spans="7:24" ht="15" customHeight="1">
      <c r="G42973"/>
      <c r="I42973"/>
      <c r="N42973"/>
      <c r="O42973" s="24"/>
      <c r="P42973"/>
      <c r="Q42973" s="24"/>
      <c r="R42973"/>
      <c r="S42973"/>
      <c r="T42973"/>
      <c r="U42973"/>
      <c r="X42973" s="60"/>
    </row>
    <row r="42974" spans="7:24" ht="15" customHeight="1">
      <c r="G42974"/>
      <c r="I42974"/>
      <c r="N42974"/>
      <c r="O42974" s="24"/>
      <c r="P42974"/>
      <c r="Q42974" s="24"/>
      <c r="R42974"/>
      <c r="S42974"/>
      <c r="T42974"/>
      <c r="U42974"/>
      <c r="X42974" s="60"/>
    </row>
    <row r="42975" spans="7:24" ht="15" customHeight="1">
      <c r="G42975"/>
      <c r="I42975"/>
      <c r="N42975"/>
      <c r="O42975" s="24"/>
      <c r="P42975"/>
      <c r="Q42975" s="24"/>
      <c r="R42975"/>
      <c r="S42975"/>
      <c r="T42975"/>
      <c r="U42975"/>
      <c r="X42975" s="60"/>
    </row>
    <row r="42976" spans="7:24" ht="15" customHeight="1">
      <c r="G42976"/>
      <c r="I42976"/>
      <c r="N42976"/>
      <c r="O42976" s="24"/>
      <c r="P42976"/>
      <c r="Q42976" s="24"/>
      <c r="R42976"/>
      <c r="S42976"/>
      <c r="T42976"/>
      <c r="U42976"/>
      <c r="X42976" s="60"/>
    </row>
    <row r="42977" spans="7:24" ht="15" customHeight="1">
      <c r="G42977"/>
      <c r="I42977"/>
      <c r="N42977"/>
      <c r="O42977" s="24"/>
      <c r="P42977"/>
      <c r="Q42977" s="24"/>
      <c r="R42977"/>
      <c r="S42977"/>
      <c r="T42977"/>
      <c r="U42977"/>
      <c r="X42977" s="60"/>
    </row>
    <row r="42978" spans="7:24" ht="15" customHeight="1">
      <c r="G42978"/>
      <c r="I42978"/>
      <c r="N42978"/>
      <c r="O42978" s="24"/>
      <c r="P42978"/>
      <c r="Q42978" s="24"/>
      <c r="R42978"/>
      <c r="S42978"/>
      <c r="T42978"/>
      <c r="U42978"/>
      <c r="X42978" s="60"/>
    </row>
    <row r="42979" spans="7:24" ht="15" customHeight="1">
      <c r="G42979"/>
      <c r="I42979"/>
      <c r="N42979"/>
      <c r="O42979" s="24"/>
      <c r="P42979"/>
      <c r="Q42979" s="24"/>
      <c r="R42979"/>
      <c r="S42979"/>
      <c r="T42979"/>
      <c r="U42979"/>
      <c r="X42979" s="60"/>
    </row>
    <row r="42980" spans="7:24" ht="15" customHeight="1">
      <c r="G42980"/>
      <c r="I42980"/>
      <c r="N42980"/>
      <c r="O42980" s="24"/>
      <c r="P42980"/>
      <c r="Q42980" s="24"/>
      <c r="R42980"/>
      <c r="S42980"/>
      <c r="T42980"/>
      <c r="U42980"/>
      <c r="X42980" s="60"/>
    </row>
    <row r="42981" spans="7:24" ht="15" customHeight="1">
      <c r="G42981"/>
      <c r="I42981"/>
      <c r="N42981"/>
      <c r="O42981" s="24"/>
      <c r="P42981"/>
      <c r="Q42981" s="24"/>
      <c r="R42981"/>
      <c r="S42981"/>
      <c r="T42981"/>
      <c r="U42981"/>
      <c r="X42981" s="60"/>
    </row>
    <row r="42982" spans="7:24" ht="15" customHeight="1">
      <c r="G42982"/>
      <c r="I42982"/>
      <c r="N42982"/>
      <c r="O42982" s="24"/>
      <c r="P42982"/>
      <c r="Q42982" s="24"/>
      <c r="R42982"/>
      <c r="S42982"/>
      <c r="T42982"/>
      <c r="U42982"/>
      <c r="X42982" s="60"/>
    </row>
    <row r="42983" spans="7:24" ht="15" customHeight="1">
      <c r="G42983"/>
      <c r="I42983"/>
      <c r="N42983"/>
      <c r="O42983" s="24"/>
      <c r="P42983"/>
      <c r="Q42983" s="24"/>
      <c r="R42983"/>
      <c r="S42983"/>
      <c r="T42983"/>
      <c r="U42983"/>
      <c r="X42983" s="60"/>
    </row>
    <row r="42984" spans="7:24" ht="15" customHeight="1">
      <c r="G42984"/>
      <c r="I42984"/>
      <c r="N42984"/>
      <c r="O42984" s="24"/>
      <c r="P42984"/>
      <c r="Q42984" s="24"/>
      <c r="R42984"/>
      <c r="S42984"/>
      <c r="T42984"/>
      <c r="U42984"/>
      <c r="X42984" s="60"/>
    </row>
    <row r="42985" spans="7:24" ht="15" customHeight="1">
      <c r="G42985"/>
      <c r="I42985"/>
      <c r="N42985"/>
      <c r="O42985" s="24"/>
      <c r="P42985"/>
      <c r="Q42985" s="24"/>
      <c r="R42985"/>
      <c r="S42985"/>
      <c r="T42985"/>
      <c r="U42985"/>
      <c r="X42985" s="60"/>
    </row>
    <row r="42986" spans="7:24" ht="15" customHeight="1">
      <c r="G42986"/>
      <c r="I42986"/>
      <c r="N42986"/>
      <c r="O42986" s="24"/>
      <c r="P42986"/>
      <c r="Q42986" s="24"/>
      <c r="R42986"/>
      <c r="S42986"/>
      <c r="T42986"/>
      <c r="U42986"/>
      <c r="X42986" s="60"/>
    </row>
    <row r="42987" spans="7:24" ht="15" customHeight="1">
      <c r="G42987"/>
      <c r="I42987"/>
      <c r="N42987"/>
      <c r="O42987" s="24"/>
      <c r="P42987"/>
      <c r="Q42987" s="24"/>
      <c r="R42987"/>
      <c r="S42987"/>
      <c r="T42987"/>
      <c r="U42987"/>
      <c r="X42987" s="60"/>
    </row>
    <row r="42988" spans="7:24" ht="15" customHeight="1">
      <c r="G42988"/>
      <c r="I42988"/>
      <c r="N42988"/>
      <c r="O42988" s="24"/>
      <c r="P42988"/>
      <c r="Q42988" s="24"/>
      <c r="R42988"/>
      <c r="S42988"/>
      <c r="T42988"/>
      <c r="U42988"/>
      <c r="X42988" s="60"/>
    </row>
    <row r="42989" spans="7:24" ht="15" customHeight="1">
      <c r="G42989"/>
      <c r="I42989"/>
      <c r="N42989"/>
      <c r="O42989" s="24"/>
      <c r="P42989"/>
      <c r="Q42989" s="24"/>
      <c r="R42989"/>
      <c r="S42989"/>
      <c r="T42989"/>
      <c r="U42989"/>
      <c r="X42989" s="60"/>
    </row>
    <row r="42990" spans="7:24" ht="15" customHeight="1">
      <c r="G42990"/>
      <c r="I42990"/>
      <c r="N42990"/>
      <c r="O42990" s="24"/>
      <c r="P42990"/>
      <c r="Q42990" s="24"/>
      <c r="R42990"/>
      <c r="S42990"/>
      <c r="T42990"/>
      <c r="U42990"/>
      <c r="X42990" s="60"/>
    </row>
    <row r="42991" spans="7:24" ht="15" customHeight="1">
      <c r="G42991"/>
      <c r="I42991"/>
      <c r="N42991"/>
      <c r="O42991" s="24"/>
      <c r="P42991"/>
      <c r="Q42991" s="24"/>
      <c r="R42991"/>
      <c r="S42991"/>
      <c r="T42991"/>
      <c r="U42991"/>
      <c r="X42991" s="60"/>
    </row>
    <row r="42992" spans="7:24" ht="15" customHeight="1">
      <c r="G42992"/>
      <c r="I42992"/>
      <c r="N42992"/>
      <c r="O42992" s="24"/>
      <c r="P42992"/>
      <c r="Q42992" s="24"/>
      <c r="R42992"/>
      <c r="S42992"/>
      <c r="T42992"/>
      <c r="U42992"/>
      <c r="X42992" s="60"/>
    </row>
    <row r="42993" spans="7:24" ht="15" customHeight="1">
      <c r="G42993"/>
      <c r="I42993"/>
      <c r="N42993"/>
      <c r="O42993" s="24"/>
      <c r="P42993"/>
      <c r="Q42993" s="24"/>
      <c r="R42993"/>
      <c r="S42993"/>
      <c r="T42993"/>
      <c r="U42993"/>
      <c r="X42993" s="60"/>
    </row>
    <row r="42994" spans="7:24" ht="15" customHeight="1">
      <c r="G42994"/>
      <c r="I42994"/>
      <c r="N42994"/>
      <c r="O42994" s="24"/>
      <c r="P42994"/>
      <c r="Q42994" s="24"/>
      <c r="R42994"/>
      <c r="S42994"/>
      <c r="T42994"/>
      <c r="U42994"/>
      <c r="X42994" s="60"/>
    </row>
    <row r="42995" spans="7:24" ht="15" customHeight="1">
      <c r="G42995"/>
      <c r="I42995"/>
      <c r="N42995"/>
      <c r="O42995" s="24"/>
      <c r="P42995"/>
      <c r="Q42995" s="24"/>
      <c r="R42995"/>
      <c r="S42995"/>
      <c r="T42995"/>
      <c r="U42995"/>
      <c r="X42995" s="60"/>
    </row>
    <row r="42996" spans="7:24" ht="15" customHeight="1">
      <c r="G42996"/>
      <c r="I42996"/>
      <c r="N42996"/>
      <c r="O42996" s="24"/>
      <c r="P42996"/>
      <c r="Q42996" s="24"/>
      <c r="R42996"/>
      <c r="S42996"/>
      <c r="T42996"/>
      <c r="U42996"/>
      <c r="X42996" s="60"/>
    </row>
    <row r="42997" spans="7:24" ht="15" customHeight="1">
      <c r="G42997"/>
      <c r="I42997"/>
      <c r="N42997"/>
      <c r="O42997" s="24"/>
      <c r="P42997"/>
      <c r="Q42997" s="24"/>
      <c r="R42997"/>
      <c r="S42997"/>
      <c r="T42997"/>
      <c r="U42997"/>
      <c r="X42997" s="60"/>
    </row>
    <row r="42998" spans="7:24" ht="15" customHeight="1">
      <c r="G42998"/>
      <c r="I42998"/>
      <c r="N42998"/>
      <c r="O42998" s="24"/>
      <c r="P42998"/>
      <c r="Q42998" s="24"/>
      <c r="R42998"/>
      <c r="S42998"/>
      <c r="T42998"/>
      <c r="U42998"/>
      <c r="X42998" s="60"/>
    </row>
    <row r="42999" spans="7:24" ht="15" customHeight="1">
      <c r="G42999"/>
      <c r="I42999"/>
      <c r="N42999"/>
      <c r="O42999" s="24"/>
      <c r="P42999"/>
      <c r="Q42999" s="24"/>
      <c r="R42999"/>
      <c r="S42999"/>
      <c r="T42999"/>
      <c r="U42999"/>
      <c r="X42999" s="60"/>
    </row>
    <row r="43000" spans="7:24" ht="15" customHeight="1">
      <c r="G43000"/>
      <c r="I43000"/>
      <c r="N43000"/>
      <c r="O43000" s="24"/>
      <c r="P43000"/>
      <c r="Q43000" s="24"/>
      <c r="R43000"/>
      <c r="S43000"/>
      <c r="T43000"/>
      <c r="U43000"/>
      <c r="X43000" s="60"/>
    </row>
    <row r="43001" spans="7:24" ht="15" customHeight="1">
      <c r="G43001"/>
      <c r="I43001"/>
      <c r="N43001"/>
      <c r="O43001" s="24"/>
      <c r="P43001"/>
      <c r="Q43001" s="24"/>
      <c r="R43001"/>
      <c r="S43001"/>
      <c r="T43001"/>
      <c r="U43001"/>
      <c r="X43001" s="60"/>
    </row>
    <row r="43002" spans="7:24" ht="15" customHeight="1">
      <c r="G43002"/>
      <c r="I43002"/>
      <c r="N43002"/>
      <c r="O43002" s="24"/>
      <c r="P43002"/>
      <c r="Q43002" s="24"/>
      <c r="R43002"/>
      <c r="S43002"/>
      <c r="T43002"/>
      <c r="U43002"/>
      <c r="X43002" s="60"/>
    </row>
    <row r="43003" spans="7:24" ht="15" customHeight="1">
      <c r="G43003"/>
      <c r="I43003"/>
      <c r="N43003"/>
      <c r="O43003" s="24"/>
      <c r="P43003"/>
      <c r="Q43003" s="24"/>
      <c r="R43003"/>
      <c r="S43003"/>
      <c r="T43003"/>
      <c r="U43003"/>
      <c r="X43003" s="60"/>
    </row>
    <row r="43004" spans="7:24" ht="15" customHeight="1">
      <c r="G43004"/>
      <c r="I43004"/>
      <c r="N43004"/>
      <c r="O43004" s="24"/>
      <c r="P43004"/>
      <c r="Q43004" s="24"/>
      <c r="R43004"/>
      <c r="S43004"/>
      <c r="T43004"/>
      <c r="U43004"/>
      <c r="X43004" s="60"/>
    </row>
    <row r="43005" spans="7:24" ht="15" customHeight="1">
      <c r="G43005"/>
      <c r="I43005"/>
      <c r="N43005"/>
      <c r="O43005" s="24"/>
      <c r="P43005"/>
      <c r="Q43005" s="24"/>
      <c r="R43005"/>
      <c r="S43005"/>
      <c r="T43005"/>
      <c r="U43005"/>
      <c r="X43005" s="60"/>
    </row>
    <row r="43006" spans="7:24" ht="15" customHeight="1">
      <c r="G43006"/>
      <c r="I43006"/>
      <c r="N43006"/>
      <c r="O43006" s="24"/>
      <c r="P43006"/>
      <c r="Q43006" s="24"/>
      <c r="R43006"/>
      <c r="S43006"/>
      <c r="T43006"/>
      <c r="U43006"/>
      <c r="X43006" s="60"/>
    </row>
    <row r="43007" spans="7:24" ht="15" customHeight="1">
      <c r="G43007"/>
      <c r="I43007"/>
      <c r="N43007"/>
      <c r="O43007" s="24"/>
      <c r="P43007"/>
      <c r="Q43007" s="24"/>
      <c r="R43007"/>
      <c r="S43007"/>
      <c r="T43007"/>
      <c r="U43007"/>
      <c r="X43007" s="60"/>
    </row>
    <row r="43008" spans="7:24" ht="15" customHeight="1">
      <c r="G43008"/>
      <c r="I43008"/>
      <c r="N43008"/>
      <c r="O43008" s="24"/>
      <c r="P43008"/>
      <c r="Q43008" s="24"/>
      <c r="R43008"/>
      <c r="S43008"/>
      <c r="T43008"/>
      <c r="U43008"/>
      <c r="X43008" s="60"/>
    </row>
    <row r="43009" spans="7:24" ht="15" customHeight="1">
      <c r="G43009"/>
      <c r="I43009"/>
      <c r="N43009"/>
      <c r="O43009" s="24"/>
      <c r="P43009"/>
      <c r="Q43009" s="24"/>
      <c r="R43009"/>
      <c r="S43009"/>
      <c r="T43009"/>
      <c r="U43009"/>
      <c r="X43009" s="60"/>
    </row>
    <row r="43010" spans="7:24" ht="15" customHeight="1">
      <c r="G43010"/>
      <c r="I43010"/>
      <c r="N43010"/>
      <c r="O43010" s="24"/>
      <c r="P43010"/>
      <c r="Q43010" s="24"/>
      <c r="R43010"/>
      <c r="S43010"/>
      <c r="T43010"/>
      <c r="U43010"/>
      <c r="X43010" s="60"/>
    </row>
    <row r="43011" spans="7:24" ht="15" customHeight="1">
      <c r="G43011"/>
      <c r="I43011"/>
      <c r="N43011"/>
      <c r="O43011" s="24"/>
      <c r="P43011"/>
      <c r="Q43011" s="24"/>
      <c r="R43011"/>
      <c r="S43011"/>
      <c r="T43011"/>
      <c r="U43011"/>
      <c r="X43011" s="60"/>
    </row>
    <row r="43012" spans="7:24" ht="15" customHeight="1">
      <c r="G43012"/>
      <c r="I43012"/>
      <c r="N43012"/>
      <c r="O43012" s="24"/>
      <c r="P43012"/>
      <c r="Q43012" s="24"/>
      <c r="R43012"/>
      <c r="S43012"/>
      <c r="T43012"/>
      <c r="U43012"/>
      <c r="X43012" s="60"/>
    </row>
    <row r="43013" spans="7:24" ht="15" customHeight="1">
      <c r="G43013"/>
      <c r="I43013"/>
      <c r="N43013"/>
      <c r="O43013" s="24"/>
      <c r="P43013"/>
      <c r="Q43013" s="24"/>
      <c r="R43013"/>
      <c r="S43013"/>
      <c r="T43013"/>
      <c r="U43013"/>
      <c r="X43013" s="60"/>
    </row>
    <row r="43014" spans="7:24" ht="15" customHeight="1">
      <c r="G43014"/>
      <c r="I43014"/>
      <c r="N43014"/>
      <c r="O43014" s="24"/>
      <c r="P43014"/>
      <c r="Q43014" s="24"/>
      <c r="R43014"/>
      <c r="S43014"/>
      <c r="T43014"/>
      <c r="U43014"/>
      <c r="X43014" s="60"/>
    </row>
    <row r="43015" spans="7:24" ht="15" customHeight="1">
      <c r="G43015"/>
      <c r="I43015"/>
      <c r="N43015"/>
      <c r="O43015" s="24"/>
      <c r="P43015"/>
      <c r="Q43015" s="24"/>
      <c r="R43015"/>
      <c r="S43015"/>
      <c r="T43015"/>
      <c r="U43015"/>
      <c r="X43015" s="60"/>
    </row>
    <row r="43016" spans="7:24" ht="15" customHeight="1">
      <c r="G43016"/>
      <c r="I43016"/>
      <c r="N43016"/>
      <c r="O43016" s="24"/>
      <c r="P43016"/>
      <c r="Q43016" s="24"/>
      <c r="R43016"/>
      <c r="S43016"/>
      <c r="T43016"/>
      <c r="U43016"/>
      <c r="X43016" s="60"/>
    </row>
    <row r="43017" spans="7:24" ht="15" customHeight="1">
      <c r="G43017"/>
      <c r="I43017"/>
      <c r="N43017"/>
      <c r="O43017" s="24"/>
      <c r="P43017"/>
      <c r="Q43017" s="24"/>
      <c r="R43017"/>
      <c r="S43017"/>
      <c r="T43017"/>
      <c r="U43017"/>
      <c r="X43017" s="60"/>
    </row>
    <row r="43018" spans="7:24" ht="15" customHeight="1">
      <c r="G43018"/>
      <c r="I43018"/>
      <c r="N43018"/>
      <c r="O43018" s="24"/>
      <c r="P43018"/>
      <c r="Q43018" s="24"/>
      <c r="R43018"/>
      <c r="S43018"/>
      <c r="T43018"/>
      <c r="U43018"/>
      <c r="X43018" s="60"/>
    </row>
    <row r="43019" spans="7:24" ht="15" customHeight="1">
      <c r="G43019"/>
      <c r="I43019"/>
      <c r="N43019"/>
      <c r="O43019" s="24"/>
      <c r="P43019"/>
      <c r="Q43019" s="24"/>
      <c r="R43019"/>
      <c r="S43019"/>
      <c r="T43019"/>
      <c r="U43019"/>
      <c r="X43019" s="60"/>
    </row>
    <row r="43020" spans="7:24" ht="15" customHeight="1">
      <c r="G43020"/>
      <c r="I43020"/>
      <c r="N43020"/>
      <c r="O43020" s="24"/>
      <c r="P43020"/>
      <c r="Q43020" s="24"/>
      <c r="R43020"/>
      <c r="S43020"/>
      <c r="T43020"/>
      <c r="U43020"/>
      <c r="X43020" s="60"/>
    </row>
    <row r="43021" spans="7:24" ht="15" customHeight="1">
      <c r="G43021"/>
      <c r="I43021"/>
      <c r="N43021"/>
      <c r="O43021" s="24"/>
      <c r="P43021"/>
      <c r="Q43021" s="24"/>
      <c r="R43021"/>
      <c r="S43021"/>
      <c r="T43021"/>
      <c r="U43021"/>
      <c r="X43021" s="60"/>
    </row>
    <row r="43022" spans="7:24" ht="15" customHeight="1">
      <c r="G43022"/>
      <c r="I43022"/>
      <c r="N43022"/>
      <c r="O43022" s="24"/>
      <c r="P43022"/>
      <c r="Q43022" s="24"/>
      <c r="R43022"/>
      <c r="S43022"/>
      <c r="T43022"/>
      <c r="U43022"/>
      <c r="X43022" s="60"/>
    </row>
    <row r="43023" spans="7:24" ht="15" customHeight="1">
      <c r="G43023"/>
      <c r="I43023"/>
      <c r="N43023"/>
      <c r="O43023" s="24"/>
      <c r="P43023"/>
      <c r="Q43023" s="24"/>
      <c r="R43023"/>
      <c r="S43023"/>
      <c r="T43023"/>
      <c r="U43023"/>
      <c r="X43023" s="60"/>
    </row>
    <row r="43024" spans="7:24" ht="15" customHeight="1">
      <c r="G43024"/>
      <c r="I43024"/>
      <c r="N43024"/>
      <c r="O43024" s="24"/>
      <c r="P43024"/>
      <c r="Q43024" s="24"/>
      <c r="R43024"/>
      <c r="S43024"/>
      <c r="T43024"/>
      <c r="U43024"/>
      <c r="X43024" s="60"/>
    </row>
    <row r="43025" spans="7:24" ht="15" customHeight="1">
      <c r="G43025"/>
      <c r="I43025"/>
      <c r="N43025"/>
      <c r="O43025" s="24"/>
      <c r="P43025"/>
      <c r="Q43025" s="24"/>
      <c r="R43025"/>
      <c r="S43025"/>
      <c r="T43025"/>
      <c r="U43025"/>
      <c r="X43025" s="60"/>
    </row>
    <row r="43026" spans="7:24" ht="15" customHeight="1">
      <c r="G43026"/>
      <c r="I43026"/>
      <c r="N43026"/>
      <c r="O43026" s="24"/>
      <c r="P43026"/>
      <c r="Q43026" s="24"/>
      <c r="R43026"/>
      <c r="S43026"/>
      <c r="T43026"/>
      <c r="U43026"/>
      <c r="X43026" s="60"/>
    </row>
    <row r="43027" spans="7:24" ht="15" customHeight="1">
      <c r="G43027"/>
      <c r="I43027"/>
      <c r="N43027"/>
      <c r="O43027" s="24"/>
      <c r="P43027"/>
      <c r="Q43027" s="24"/>
      <c r="R43027"/>
      <c r="S43027"/>
      <c r="T43027"/>
      <c r="U43027"/>
      <c r="X43027" s="60"/>
    </row>
    <row r="43028" spans="7:24" ht="15" customHeight="1">
      <c r="G43028"/>
      <c r="I43028"/>
      <c r="N43028"/>
      <c r="O43028" s="24"/>
      <c r="P43028"/>
      <c r="Q43028" s="24"/>
      <c r="R43028"/>
      <c r="S43028"/>
      <c r="T43028"/>
      <c r="U43028"/>
      <c r="X43028" s="60"/>
    </row>
    <row r="43029" spans="7:24" ht="15" customHeight="1">
      <c r="G43029"/>
      <c r="I43029"/>
      <c r="N43029"/>
      <c r="O43029" s="24"/>
      <c r="P43029"/>
      <c r="Q43029" s="24"/>
      <c r="R43029"/>
      <c r="S43029"/>
      <c r="T43029"/>
      <c r="U43029"/>
      <c r="X43029" s="60"/>
    </row>
    <row r="43030" spans="7:24" ht="15" customHeight="1">
      <c r="G43030"/>
      <c r="I43030"/>
      <c r="N43030"/>
      <c r="O43030" s="24"/>
      <c r="P43030"/>
      <c r="Q43030" s="24"/>
      <c r="R43030"/>
      <c r="S43030"/>
      <c r="T43030"/>
      <c r="U43030"/>
      <c r="X43030" s="60"/>
    </row>
    <row r="43031" spans="7:24" ht="15" customHeight="1">
      <c r="G43031"/>
      <c r="I43031"/>
      <c r="N43031"/>
      <c r="O43031" s="24"/>
      <c r="P43031"/>
      <c r="Q43031" s="24"/>
      <c r="R43031"/>
      <c r="S43031"/>
      <c r="T43031"/>
      <c r="U43031"/>
      <c r="X43031" s="60"/>
    </row>
    <row r="43032" spans="7:24" ht="15" customHeight="1">
      <c r="G43032"/>
      <c r="I43032"/>
      <c r="N43032"/>
      <c r="O43032" s="24"/>
      <c r="P43032"/>
      <c r="Q43032" s="24"/>
      <c r="R43032"/>
      <c r="S43032"/>
      <c r="T43032"/>
      <c r="U43032"/>
      <c r="X43032" s="60"/>
    </row>
    <row r="43033" spans="7:24" ht="15" customHeight="1">
      <c r="G43033"/>
      <c r="I43033"/>
      <c r="N43033"/>
      <c r="O43033" s="24"/>
      <c r="P43033"/>
      <c r="Q43033" s="24"/>
      <c r="R43033"/>
      <c r="S43033"/>
      <c r="T43033"/>
      <c r="U43033"/>
      <c r="X43033" s="60"/>
    </row>
    <row r="43034" spans="7:24" ht="15" customHeight="1">
      <c r="G43034"/>
      <c r="I43034"/>
      <c r="N43034"/>
      <c r="O43034" s="24"/>
      <c r="P43034"/>
      <c r="Q43034" s="24"/>
      <c r="R43034"/>
      <c r="S43034"/>
      <c r="T43034"/>
      <c r="U43034"/>
      <c r="X43034" s="60"/>
    </row>
    <row r="43035" spans="7:24" ht="15" customHeight="1">
      <c r="G43035"/>
      <c r="I43035"/>
      <c r="N43035"/>
      <c r="O43035" s="24"/>
      <c r="P43035"/>
      <c r="Q43035" s="24"/>
      <c r="R43035"/>
      <c r="S43035"/>
      <c r="T43035"/>
      <c r="U43035"/>
      <c r="X43035" s="60"/>
    </row>
    <row r="43036" spans="7:24" ht="15" customHeight="1">
      <c r="G43036"/>
      <c r="I43036"/>
      <c r="N43036"/>
      <c r="O43036" s="24"/>
      <c r="P43036"/>
      <c r="Q43036" s="24"/>
      <c r="R43036"/>
      <c r="S43036"/>
      <c r="T43036"/>
      <c r="U43036"/>
      <c r="X43036" s="60"/>
    </row>
    <row r="43037" spans="7:24" ht="15" customHeight="1">
      <c r="G43037"/>
      <c r="I43037"/>
      <c r="N43037"/>
      <c r="O43037" s="24"/>
      <c r="P43037"/>
      <c r="Q43037" s="24"/>
      <c r="R43037"/>
      <c r="S43037"/>
      <c r="T43037"/>
      <c r="U43037"/>
      <c r="X43037" s="60"/>
    </row>
    <row r="43038" spans="7:24" ht="15" customHeight="1">
      <c r="G43038"/>
      <c r="I43038"/>
      <c r="N43038"/>
      <c r="O43038" s="24"/>
      <c r="P43038"/>
      <c r="Q43038" s="24"/>
      <c r="R43038"/>
      <c r="S43038"/>
      <c r="T43038"/>
      <c r="U43038"/>
      <c r="X43038" s="60"/>
    </row>
    <row r="43039" spans="7:24" ht="15" customHeight="1">
      <c r="G43039"/>
      <c r="I43039"/>
      <c r="N43039"/>
      <c r="O43039" s="24"/>
      <c r="P43039"/>
      <c r="Q43039" s="24"/>
      <c r="R43039"/>
      <c r="S43039"/>
      <c r="T43039"/>
      <c r="U43039"/>
      <c r="X43039" s="60"/>
    </row>
    <row r="43040" spans="7:24" ht="15" customHeight="1">
      <c r="G43040"/>
      <c r="I43040"/>
      <c r="N43040"/>
      <c r="O43040" s="24"/>
      <c r="P43040"/>
      <c r="Q43040" s="24"/>
      <c r="R43040"/>
      <c r="S43040"/>
      <c r="T43040"/>
      <c r="U43040"/>
      <c r="X43040" s="60"/>
    </row>
    <row r="43041" spans="7:24" ht="15" customHeight="1">
      <c r="G43041"/>
      <c r="I43041"/>
      <c r="N43041"/>
      <c r="O43041" s="24"/>
      <c r="P43041"/>
      <c r="Q43041" s="24"/>
      <c r="R43041"/>
      <c r="S43041"/>
      <c r="T43041"/>
      <c r="U43041"/>
      <c r="X43041" s="60"/>
    </row>
    <row r="43042" spans="7:24" ht="15" customHeight="1">
      <c r="G43042"/>
      <c r="I43042"/>
      <c r="N43042"/>
      <c r="O43042" s="24"/>
      <c r="P43042"/>
      <c r="Q43042" s="24"/>
      <c r="R43042"/>
      <c r="S43042"/>
      <c r="T43042"/>
      <c r="U43042"/>
      <c r="X43042" s="60"/>
    </row>
    <row r="43043" spans="7:24" ht="15" customHeight="1">
      <c r="G43043"/>
      <c r="I43043"/>
      <c r="N43043"/>
      <c r="O43043" s="24"/>
      <c r="P43043"/>
      <c r="Q43043" s="24"/>
      <c r="R43043"/>
      <c r="S43043"/>
      <c r="T43043"/>
      <c r="U43043"/>
      <c r="X43043" s="60"/>
    </row>
    <row r="43044" spans="7:24" ht="15" customHeight="1">
      <c r="G43044"/>
      <c r="I43044"/>
      <c r="N43044"/>
      <c r="O43044" s="24"/>
      <c r="P43044"/>
      <c r="Q43044" s="24"/>
      <c r="R43044"/>
      <c r="S43044"/>
      <c r="T43044"/>
      <c r="U43044"/>
      <c r="X43044" s="60"/>
    </row>
    <row r="43045" spans="7:24" ht="15" customHeight="1">
      <c r="G43045"/>
      <c r="I43045"/>
      <c r="N43045"/>
      <c r="O43045" s="24"/>
      <c r="P43045"/>
      <c r="Q43045" s="24"/>
      <c r="R43045"/>
      <c r="S43045"/>
      <c r="T43045"/>
      <c r="U43045"/>
      <c r="X43045" s="60"/>
    </row>
    <row r="43046" spans="7:24" ht="15" customHeight="1">
      <c r="G43046"/>
      <c r="I43046"/>
      <c r="N43046"/>
      <c r="O43046" s="24"/>
      <c r="P43046"/>
      <c r="Q43046" s="24"/>
      <c r="R43046"/>
      <c r="S43046"/>
      <c r="T43046"/>
      <c r="U43046"/>
      <c r="X43046" s="60"/>
    </row>
    <row r="43047" spans="7:24" ht="15" customHeight="1">
      <c r="G43047"/>
      <c r="I43047"/>
      <c r="N43047"/>
      <c r="O43047" s="24"/>
      <c r="P43047"/>
      <c r="Q43047" s="24"/>
      <c r="R43047"/>
      <c r="S43047"/>
      <c r="T43047"/>
      <c r="U43047"/>
      <c r="X43047" s="60"/>
    </row>
    <row r="43048" spans="7:24" ht="15" customHeight="1">
      <c r="G43048"/>
      <c r="I43048"/>
      <c r="N43048"/>
      <c r="O43048" s="24"/>
      <c r="P43048"/>
      <c r="Q43048" s="24"/>
      <c r="R43048"/>
      <c r="S43048"/>
      <c r="T43048"/>
      <c r="U43048"/>
      <c r="X43048" s="60"/>
    </row>
    <row r="43049" spans="7:24" ht="15" customHeight="1">
      <c r="G43049"/>
      <c r="I43049"/>
      <c r="N43049"/>
      <c r="O43049" s="24"/>
      <c r="P43049"/>
      <c r="Q43049" s="24"/>
      <c r="R43049"/>
      <c r="S43049"/>
      <c r="T43049"/>
      <c r="U43049"/>
      <c r="X43049" s="60"/>
    </row>
    <row r="43050" spans="7:24" ht="15" customHeight="1">
      <c r="G43050"/>
      <c r="I43050"/>
      <c r="N43050"/>
      <c r="O43050" s="24"/>
      <c r="P43050"/>
      <c r="Q43050" s="24"/>
      <c r="R43050"/>
      <c r="S43050"/>
      <c r="T43050"/>
      <c r="U43050"/>
      <c r="X43050" s="60"/>
    </row>
    <row r="43051" spans="7:24" ht="15" customHeight="1">
      <c r="G43051"/>
      <c r="I43051"/>
      <c r="N43051"/>
      <c r="O43051" s="24"/>
      <c r="P43051"/>
      <c r="Q43051" s="24"/>
      <c r="R43051"/>
      <c r="S43051"/>
      <c r="T43051"/>
      <c r="U43051"/>
      <c r="X43051" s="60"/>
    </row>
    <row r="43052" spans="7:24" ht="15" customHeight="1">
      <c r="G43052"/>
      <c r="I43052"/>
      <c r="N43052"/>
      <c r="O43052" s="24"/>
      <c r="P43052"/>
      <c r="Q43052" s="24"/>
      <c r="R43052"/>
      <c r="S43052"/>
      <c r="T43052"/>
      <c r="U43052"/>
      <c r="X43052" s="60"/>
    </row>
    <row r="43053" spans="7:24" ht="15" customHeight="1">
      <c r="G43053"/>
      <c r="I43053"/>
      <c r="N43053"/>
      <c r="O43053" s="24"/>
      <c r="P43053"/>
      <c r="Q43053" s="24"/>
      <c r="R43053"/>
      <c r="S43053"/>
      <c r="T43053"/>
      <c r="U43053"/>
      <c r="X43053" s="60"/>
    </row>
    <row r="43054" spans="7:24" ht="15" customHeight="1">
      <c r="G43054"/>
      <c r="I43054"/>
      <c r="N43054"/>
      <c r="O43054" s="24"/>
      <c r="P43054"/>
      <c r="Q43054" s="24"/>
      <c r="R43054"/>
      <c r="S43054"/>
      <c r="T43054"/>
      <c r="U43054"/>
      <c r="X43054" s="60"/>
    </row>
    <row r="43055" spans="7:24" ht="15" customHeight="1">
      <c r="G43055"/>
      <c r="I43055"/>
      <c r="N43055"/>
      <c r="O43055" s="24"/>
      <c r="P43055"/>
      <c r="Q43055" s="24"/>
      <c r="R43055"/>
      <c r="S43055"/>
      <c r="T43055"/>
      <c r="U43055"/>
      <c r="X43055" s="60"/>
    </row>
    <row r="43056" spans="7:24" ht="15" customHeight="1">
      <c r="G43056"/>
      <c r="I43056"/>
      <c r="N43056"/>
      <c r="O43056" s="24"/>
      <c r="P43056"/>
      <c r="Q43056" s="24"/>
      <c r="R43056"/>
      <c r="S43056"/>
      <c r="T43056"/>
      <c r="U43056"/>
      <c r="X43056" s="60"/>
    </row>
    <row r="43057" spans="7:24" ht="15" customHeight="1">
      <c r="G43057"/>
      <c r="I43057"/>
      <c r="N43057"/>
      <c r="O43057" s="24"/>
      <c r="P43057"/>
      <c r="Q43057" s="24"/>
      <c r="R43057"/>
      <c r="S43057"/>
      <c r="T43057"/>
      <c r="U43057"/>
      <c r="X43057" s="60"/>
    </row>
    <row r="43058" spans="7:24" ht="15" customHeight="1">
      <c r="G43058"/>
      <c r="I43058"/>
      <c r="N43058"/>
      <c r="O43058" s="24"/>
      <c r="P43058"/>
      <c r="Q43058" s="24"/>
      <c r="R43058"/>
      <c r="S43058"/>
      <c r="T43058"/>
      <c r="U43058"/>
      <c r="X43058" s="60"/>
    </row>
    <row r="43059" spans="7:24" ht="15" customHeight="1">
      <c r="G43059"/>
      <c r="I43059"/>
      <c r="N43059"/>
      <c r="O43059" s="24"/>
      <c r="P43059"/>
      <c r="Q43059" s="24"/>
      <c r="R43059"/>
      <c r="S43059"/>
      <c r="T43059"/>
      <c r="U43059"/>
      <c r="X43059" s="60"/>
    </row>
    <row r="43060" spans="7:24" ht="15" customHeight="1">
      <c r="G43060"/>
      <c r="I43060"/>
      <c r="N43060"/>
      <c r="O43060" s="24"/>
      <c r="P43060"/>
      <c r="Q43060" s="24"/>
      <c r="R43060"/>
      <c r="S43060"/>
      <c r="T43060"/>
      <c r="U43060"/>
      <c r="X43060" s="60"/>
    </row>
    <row r="43061" spans="7:24" ht="15" customHeight="1">
      <c r="G43061"/>
      <c r="I43061"/>
      <c r="N43061"/>
      <c r="O43061" s="24"/>
      <c r="P43061"/>
      <c r="Q43061" s="24"/>
      <c r="R43061"/>
      <c r="S43061"/>
      <c r="T43061"/>
      <c r="U43061"/>
      <c r="X43061" s="60"/>
    </row>
    <row r="43062" spans="7:24" ht="15" customHeight="1">
      <c r="G43062"/>
      <c r="I43062"/>
      <c r="N43062"/>
      <c r="O43062" s="24"/>
      <c r="P43062"/>
      <c r="Q43062" s="24"/>
      <c r="R43062"/>
      <c r="S43062"/>
      <c r="T43062"/>
      <c r="U43062"/>
      <c r="X43062" s="60"/>
    </row>
    <row r="43063" spans="7:24" ht="15" customHeight="1">
      <c r="G43063"/>
      <c r="I43063"/>
      <c r="N43063"/>
      <c r="O43063" s="24"/>
      <c r="P43063"/>
      <c r="Q43063" s="24"/>
      <c r="R43063"/>
      <c r="S43063"/>
      <c r="T43063"/>
      <c r="U43063"/>
      <c r="X43063" s="60"/>
    </row>
    <row r="43064" spans="7:24" ht="15" customHeight="1">
      <c r="G43064"/>
      <c r="I43064"/>
      <c r="N43064"/>
      <c r="O43064" s="24"/>
      <c r="P43064"/>
      <c r="Q43064" s="24"/>
      <c r="R43064"/>
      <c r="S43064"/>
      <c r="T43064"/>
      <c r="U43064"/>
      <c r="X43064" s="60"/>
    </row>
    <row r="43065" spans="7:24" ht="15" customHeight="1">
      <c r="G43065"/>
      <c r="I43065"/>
      <c r="N43065"/>
      <c r="O43065" s="24"/>
      <c r="P43065"/>
      <c r="Q43065" s="24"/>
      <c r="R43065"/>
      <c r="S43065"/>
      <c r="T43065"/>
      <c r="U43065"/>
      <c r="X43065" s="60"/>
    </row>
    <row r="43066" spans="7:24" ht="15" customHeight="1">
      <c r="G43066"/>
      <c r="I43066"/>
      <c r="N43066"/>
      <c r="O43066" s="24"/>
      <c r="P43066"/>
      <c r="Q43066" s="24"/>
      <c r="R43066"/>
      <c r="S43066"/>
      <c r="T43066"/>
      <c r="U43066"/>
      <c r="X43066" s="60"/>
    </row>
    <row r="43067" spans="7:24" ht="15" customHeight="1">
      <c r="G43067"/>
      <c r="I43067"/>
      <c r="N43067"/>
      <c r="O43067" s="24"/>
      <c r="P43067"/>
      <c r="Q43067" s="24"/>
      <c r="R43067"/>
      <c r="S43067"/>
      <c r="T43067"/>
      <c r="U43067"/>
      <c r="X43067" s="60"/>
    </row>
    <row r="43068" spans="7:24" ht="15" customHeight="1">
      <c r="G43068"/>
      <c r="I43068"/>
      <c r="N43068"/>
      <c r="O43068" s="24"/>
      <c r="P43068"/>
      <c r="Q43068" s="24"/>
      <c r="R43068"/>
      <c r="S43068"/>
      <c r="T43068"/>
      <c r="U43068"/>
      <c r="X43068" s="60"/>
    </row>
    <row r="43069" spans="7:24" ht="15" customHeight="1">
      <c r="G43069"/>
      <c r="I43069"/>
      <c r="N43069"/>
      <c r="O43069" s="24"/>
      <c r="P43069"/>
      <c r="Q43069" s="24"/>
      <c r="R43069"/>
      <c r="S43069"/>
      <c r="T43069"/>
      <c r="U43069"/>
      <c r="X43069" s="60"/>
    </row>
    <row r="43070" spans="7:24" ht="15" customHeight="1">
      <c r="G43070"/>
      <c r="I43070"/>
      <c r="N43070"/>
      <c r="O43070" s="24"/>
      <c r="P43070"/>
      <c r="Q43070" s="24"/>
      <c r="R43070"/>
      <c r="S43070"/>
      <c r="T43070"/>
      <c r="U43070"/>
      <c r="X43070" s="60"/>
    </row>
    <row r="43071" spans="7:24" ht="15" customHeight="1">
      <c r="G43071"/>
      <c r="I43071"/>
      <c r="N43071"/>
      <c r="O43071" s="24"/>
      <c r="P43071"/>
      <c r="Q43071" s="24"/>
      <c r="R43071"/>
      <c r="S43071"/>
      <c r="T43071"/>
      <c r="U43071"/>
      <c r="X43071" s="60"/>
    </row>
    <row r="43072" spans="7:24" ht="15" customHeight="1">
      <c r="G43072"/>
      <c r="I43072"/>
      <c r="N43072"/>
      <c r="O43072" s="24"/>
      <c r="P43072"/>
      <c r="Q43072" s="24"/>
      <c r="R43072"/>
      <c r="S43072"/>
      <c r="T43072"/>
      <c r="U43072"/>
      <c r="X43072" s="60"/>
    </row>
    <row r="43073" spans="7:24" ht="15" customHeight="1">
      <c r="G43073"/>
      <c r="I43073"/>
      <c r="N43073"/>
      <c r="O43073" s="24"/>
      <c r="P43073"/>
      <c r="Q43073" s="24"/>
      <c r="R43073"/>
      <c r="S43073"/>
      <c r="T43073"/>
      <c r="U43073"/>
      <c r="X43073" s="60"/>
    </row>
    <row r="43074" spans="7:24" ht="15" customHeight="1">
      <c r="G43074"/>
      <c r="I43074"/>
      <c r="N43074"/>
      <c r="O43074" s="24"/>
      <c r="P43074"/>
      <c r="Q43074" s="24"/>
      <c r="R43074"/>
      <c r="S43074"/>
      <c r="T43074"/>
      <c r="U43074"/>
      <c r="X43074" s="60"/>
    </row>
    <row r="43075" spans="7:24" ht="15" customHeight="1">
      <c r="G43075"/>
      <c r="I43075"/>
      <c r="N43075"/>
      <c r="O43075" s="24"/>
      <c r="P43075"/>
      <c r="Q43075" s="24"/>
      <c r="R43075"/>
      <c r="S43075"/>
      <c r="T43075"/>
      <c r="U43075"/>
      <c r="X43075" s="60"/>
    </row>
    <row r="43076" spans="7:24" ht="15" customHeight="1">
      <c r="G43076"/>
      <c r="I43076"/>
      <c r="N43076"/>
      <c r="O43076" s="24"/>
      <c r="P43076"/>
      <c r="Q43076" s="24"/>
      <c r="R43076"/>
      <c r="S43076"/>
      <c r="T43076"/>
      <c r="U43076"/>
      <c r="X43076" s="60"/>
    </row>
    <row r="43077" spans="7:24" ht="15" customHeight="1">
      <c r="G43077"/>
      <c r="I43077"/>
      <c r="N43077"/>
      <c r="O43077" s="24"/>
      <c r="P43077"/>
      <c r="Q43077" s="24"/>
      <c r="R43077"/>
      <c r="S43077"/>
      <c r="T43077"/>
      <c r="U43077"/>
      <c r="X43077" s="60"/>
    </row>
    <row r="43078" spans="7:24" ht="15" customHeight="1">
      <c r="G43078"/>
      <c r="I43078"/>
      <c r="N43078"/>
      <c r="O43078" s="24"/>
      <c r="P43078"/>
      <c r="Q43078" s="24"/>
      <c r="R43078"/>
      <c r="S43078"/>
      <c r="T43078"/>
      <c r="U43078"/>
      <c r="X43078" s="60"/>
    </row>
    <row r="43079" spans="7:24" ht="15" customHeight="1">
      <c r="G43079"/>
      <c r="I43079"/>
      <c r="N43079"/>
      <c r="O43079" s="24"/>
      <c r="P43079"/>
      <c r="Q43079" s="24"/>
      <c r="R43079"/>
      <c r="S43079"/>
      <c r="T43079"/>
      <c r="U43079"/>
      <c r="X43079" s="60"/>
    </row>
    <row r="43080" spans="7:24" ht="15" customHeight="1">
      <c r="G43080"/>
      <c r="I43080"/>
      <c r="N43080"/>
      <c r="O43080" s="24"/>
      <c r="P43080"/>
      <c r="Q43080" s="24"/>
      <c r="R43080"/>
      <c r="S43080"/>
      <c r="T43080"/>
      <c r="U43080"/>
      <c r="X43080" s="60"/>
    </row>
    <row r="43081" spans="7:24" ht="15" customHeight="1">
      <c r="G43081"/>
      <c r="I43081"/>
      <c r="N43081"/>
      <c r="O43081" s="24"/>
      <c r="P43081"/>
      <c r="Q43081" s="24"/>
      <c r="R43081"/>
      <c r="S43081"/>
      <c r="T43081"/>
      <c r="U43081"/>
      <c r="X43081" s="60"/>
    </row>
    <row r="43082" spans="7:24" ht="15" customHeight="1">
      <c r="G43082"/>
      <c r="I43082"/>
      <c r="N43082"/>
      <c r="O43082" s="24"/>
      <c r="P43082"/>
      <c r="Q43082" s="24"/>
      <c r="R43082"/>
      <c r="S43082"/>
      <c r="T43082"/>
      <c r="U43082"/>
      <c r="X43082" s="60"/>
    </row>
    <row r="43083" spans="7:24" ht="15" customHeight="1">
      <c r="G43083"/>
      <c r="I43083"/>
      <c r="N43083"/>
      <c r="O43083" s="24"/>
      <c r="P43083"/>
      <c r="Q43083" s="24"/>
      <c r="R43083"/>
      <c r="S43083"/>
      <c r="T43083"/>
      <c r="U43083"/>
      <c r="X43083" s="60"/>
    </row>
    <row r="43084" spans="7:24" ht="15" customHeight="1">
      <c r="G43084"/>
      <c r="I43084"/>
      <c r="N43084"/>
      <c r="O43084" s="24"/>
      <c r="P43084"/>
      <c r="Q43084" s="24"/>
      <c r="R43084"/>
      <c r="S43084"/>
      <c r="T43084"/>
      <c r="U43084"/>
      <c r="X43084" s="60"/>
    </row>
    <row r="43085" spans="7:24" ht="15" customHeight="1">
      <c r="G43085"/>
      <c r="I43085"/>
      <c r="N43085"/>
      <c r="O43085" s="24"/>
      <c r="P43085"/>
      <c r="Q43085" s="24"/>
      <c r="R43085"/>
      <c r="S43085"/>
      <c r="T43085"/>
      <c r="U43085"/>
      <c r="X43085" s="60"/>
    </row>
    <row r="43086" spans="7:24" ht="15" customHeight="1">
      <c r="G43086"/>
      <c r="I43086"/>
      <c r="N43086"/>
      <c r="O43086" s="24"/>
      <c r="P43086"/>
      <c r="Q43086" s="24"/>
      <c r="R43086"/>
      <c r="S43086"/>
      <c r="T43086"/>
      <c r="U43086"/>
      <c r="X43086" s="60"/>
    </row>
    <row r="43087" spans="7:24" ht="15" customHeight="1">
      <c r="G43087"/>
      <c r="I43087"/>
      <c r="N43087"/>
      <c r="O43087" s="24"/>
      <c r="P43087"/>
      <c r="Q43087" s="24"/>
      <c r="R43087"/>
      <c r="S43087"/>
      <c r="T43087"/>
      <c r="U43087"/>
      <c r="X43087" s="60"/>
    </row>
    <row r="43088" spans="7:24" ht="15" customHeight="1">
      <c r="G43088"/>
      <c r="I43088"/>
      <c r="N43088"/>
      <c r="O43088" s="24"/>
      <c r="P43088"/>
      <c r="Q43088" s="24"/>
      <c r="R43088"/>
      <c r="S43088"/>
      <c r="T43088"/>
      <c r="U43088"/>
      <c r="X43088" s="60"/>
    </row>
    <row r="43089" spans="7:24" ht="15" customHeight="1">
      <c r="G43089"/>
      <c r="I43089"/>
      <c r="N43089"/>
      <c r="O43089" s="24"/>
      <c r="P43089"/>
      <c r="Q43089" s="24"/>
      <c r="R43089"/>
      <c r="S43089"/>
      <c r="T43089"/>
      <c r="U43089"/>
      <c r="X43089" s="60"/>
    </row>
    <row r="43090" spans="7:24" ht="15" customHeight="1">
      <c r="G43090"/>
      <c r="I43090"/>
      <c r="N43090"/>
      <c r="O43090" s="24"/>
      <c r="P43090"/>
      <c r="Q43090" s="24"/>
      <c r="R43090"/>
      <c r="S43090"/>
      <c r="T43090"/>
      <c r="U43090"/>
      <c r="X43090" s="60"/>
    </row>
    <row r="43091" spans="7:24" ht="15" customHeight="1">
      <c r="G43091"/>
      <c r="I43091"/>
      <c r="N43091"/>
      <c r="O43091" s="24"/>
      <c r="P43091"/>
      <c r="Q43091" s="24"/>
      <c r="R43091"/>
      <c r="S43091"/>
      <c r="T43091"/>
      <c r="U43091"/>
      <c r="X43091" s="60"/>
    </row>
    <row r="43092" spans="7:24" ht="15" customHeight="1">
      <c r="G43092"/>
      <c r="I43092"/>
      <c r="N43092"/>
      <c r="O43092" s="24"/>
      <c r="P43092"/>
      <c r="Q43092" s="24"/>
      <c r="R43092"/>
      <c r="S43092"/>
      <c r="T43092"/>
      <c r="U43092"/>
      <c r="X43092" s="60"/>
    </row>
    <row r="43093" spans="7:24" ht="15" customHeight="1">
      <c r="G43093"/>
      <c r="I43093"/>
      <c r="N43093"/>
      <c r="O43093" s="24"/>
      <c r="P43093"/>
      <c r="Q43093" s="24"/>
      <c r="R43093"/>
      <c r="S43093"/>
      <c r="T43093"/>
      <c r="U43093"/>
      <c r="X43093" s="60"/>
    </row>
    <row r="43094" spans="7:24" ht="15" customHeight="1">
      <c r="G43094"/>
      <c r="I43094"/>
      <c r="N43094"/>
      <c r="O43094" s="24"/>
      <c r="P43094"/>
      <c r="Q43094" s="24"/>
      <c r="R43094"/>
      <c r="S43094"/>
      <c r="T43094"/>
      <c r="U43094"/>
      <c r="X43094" s="60"/>
    </row>
    <row r="43095" spans="7:24" ht="15" customHeight="1">
      <c r="G43095"/>
      <c r="I43095"/>
      <c r="N43095"/>
      <c r="O43095" s="24"/>
      <c r="P43095"/>
      <c r="Q43095" s="24"/>
      <c r="R43095"/>
      <c r="S43095"/>
      <c r="T43095"/>
      <c r="U43095"/>
      <c r="X43095" s="60"/>
    </row>
    <row r="43096" spans="7:24" ht="15" customHeight="1">
      <c r="G43096"/>
      <c r="I43096"/>
      <c r="N43096"/>
      <c r="O43096" s="24"/>
      <c r="P43096"/>
      <c r="Q43096" s="24"/>
      <c r="R43096"/>
      <c r="S43096"/>
      <c r="T43096"/>
      <c r="U43096"/>
      <c r="X43096" s="60"/>
    </row>
    <row r="43097" spans="7:24" ht="15" customHeight="1">
      <c r="G43097"/>
      <c r="I43097"/>
      <c r="N43097"/>
      <c r="O43097" s="24"/>
      <c r="P43097"/>
      <c r="Q43097" s="24"/>
      <c r="R43097"/>
      <c r="S43097"/>
      <c r="T43097"/>
      <c r="U43097"/>
      <c r="X43097" s="60"/>
    </row>
    <row r="43098" spans="7:24" ht="15" customHeight="1">
      <c r="G43098"/>
      <c r="I43098"/>
      <c r="N43098"/>
      <c r="O43098" s="24"/>
      <c r="P43098"/>
      <c r="Q43098" s="24"/>
      <c r="R43098"/>
      <c r="S43098"/>
      <c r="T43098"/>
      <c r="U43098"/>
      <c r="X43098" s="60"/>
    </row>
    <row r="43099" spans="7:24" ht="15" customHeight="1">
      <c r="G43099"/>
      <c r="I43099"/>
      <c r="N43099"/>
      <c r="O43099" s="24"/>
      <c r="P43099"/>
      <c r="Q43099" s="24"/>
      <c r="R43099"/>
      <c r="S43099"/>
      <c r="T43099"/>
      <c r="U43099"/>
      <c r="X43099" s="60"/>
    </row>
    <row r="43100" spans="7:24" ht="15" customHeight="1">
      <c r="G43100"/>
      <c r="I43100"/>
      <c r="N43100"/>
      <c r="O43100" s="24"/>
      <c r="P43100"/>
      <c r="Q43100" s="24"/>
      <c r="R43100"/>
      <c r="S43100"/>
      <c r="T43100"/>
      <c r="U43100"/>
      <c r="X43100" s="60"/>
    </row>
    <row r="43101" spans="7:24" ht="15" customHeight="1">
      <c r="G43101"/>
      <c r="I43101"/>
      <c r="N43101"/>
      <c r="O43101" s="24"/>
      <c r="P43101"/>
      <c r="Q43101" s="24"/>
      <c r="R43101"/>
      <c r="S43101"/>
      <c r="T43101"/>
      <c r="U43101"/>
      <c r="X43101" s="60"/>
    </row>
    <row r="43102" spans="7:24" ht="15" customHeight="1">
      <c r="G43102"/>
      <c r="I43102"/>
      <c r="N43102"/>
      <c r="O43102" s="24"/>
      <c r="P43102"/>
      <c r="Q43102" s="24"/>
      <c r="R43102"/>
      <c r="S43102"/>
      <c r="T43102"/>
      <c r="U43102"/>
      <c r="X43102" s="60"/>
    </row>
    <row r="43103" spans="7:24" ht="15" customHeight="1">
      <c r="G43103"/>
      <c r="I43103"/>
      <c r="N43103"/>
      <c r="O43103" s="24"/>
      <c r="P43103"/>
      <c r="Q43103" s="24"/>
      <c r="R43103"/>
      <c r="S43103"/>
      <c r="T43103"/>
      <c r="U43103"/>
      <c r="X43103" s="60"/>
    </row>
    <row r="43104" spans="7:24" ht="15" customHeight="1">
      <c r="G43104"/>
      <c r="I43104"/>
      <c r="N43104"/>
      <c r="O43104" s="24"/>
      <c r="P43104"/>
      <c r="Q43104" s="24"/>
      <c r="R43104"/>
      <c r="S43104"/>
      <c r="T43104"/>
      <c r="U43104"/>
      <c r="X43104" s="60"/>
    </row>
    <row r="43105" spans="7:24" ht="15" customHeight="1">
      <c r="G43105"/>
      <c r="I43105"/>
      <c r="N43105"/>
      <c r="O43105" s="24"/>
      <c r="P43105"/>
      <c r="Q43105" s="24"/>
      <c r="R43105"/>
      <c r="S43105"/>
      <c r="T43105"/>
      <c r="U43105"/>
      <c r="X43105" s="60"/>
    </row>
    <row r="43106" spans="7:24" ht="15" customHeight="1">
      <c r="G43106"/>
      <c r="I43106"/>
      <c r="N43106"/>
      <c r="O43106" s="24"/>
      <c r="P43106"/>
      <c r="Q43106" s="24"/>
      <c r="R43106"/>
      <c r="S43106"/>
      <c r="T43106"/>
      <c r="U43106"/>
      <c r="X43106" s="60"/>
    </row>
    <row r="43107" spans="7:24" ht="15" customHeight="1">
      <c r="G43107"/>
      <c r="I43107"/>
      <c r="N43107"/>
      <c r="O43107" s="24"/>
      <c r="P43107"/>
      <c r="Q43107" s="24"/>
      <c r="R43107"/>
      <c r="S43107"/>
      <c r="T43107"/>
      <c r="U43107"/>
      <c r="X43107" s="60"/>
    </row>
    <row r="43108" spans="7:24" ht="15" customHeight="1">
      <c r="G43108"/>
      <c r="I43108"/>
      <c r="N43108"/>
      <c r="O43108" s="24"/>
      <c r="P43108"/>
      <c r="Q43108" s="24"/>
      <c r="R43108"/>
      <c r="S43108"/>
      <c r="T43108"/>
      <c r="U43108"/>
      <c r="X43108" s="60"/>
    </row>
    <row r="43109" spans="7:24" ht="15" customHeight="1">
      <c r="G43109"/>
      <c r="I43109"/>
      <c r="N43109"/>
      <c r="O43109" s="24"/>
      <c r="P43109"/>
      <c r="Q43109" s="24"/>
      <c r="R43109"/>
      <c r="S43109"/>
      <c r="T43109"/>
      <c r="U43109"/>
      <c r="X43109" s="60"/>
    </row>
    <row r="43110" spans="7:24" ht="15" customHeight="1">
      <c r="G43110"/>
      <c r="I43110"/>
      <c r="N43110"/>
      <c r="O43110" s="24"/>
      <c r="P43110"/>
      <c r="Q43110" s="24"/>
      <c r="R43110"/>
      <c r="S43110"/>
      <c r="T43110"/>
      <c r="U43110"/>
      <c r="X43110" s="60"/>
    </row>
    <row r="43111" spans="7:24" ht="15" customHeight="1">
      <c r="G43111"/>
      <c r="I43111"/>
      <c r="N43111"/>
      <c r="O43111" s="24"/>
      <c r="P43111"/>
      <c r="Q43111" s="24"/>
      <c r="R43111"/>
      <c r="S43111"/>
      <c r="T43111"/>
      <c r="U43111"/>
      <c r="X43111" s="60"/>
    </row>
    <row r="43112" spans="7:24" ht="15" customHeight="1">
      <c r="G43112"/>
      <c r="I43112"/>
      <c r="N43112"/>
      <c r="O43112" s="24"/>
      <c r="P43112"/>
      <c r="Q43112" s="24"/>
      <c r="R43112"/>
      <c r="S43112"/>
      <c r="T43112"/>
      <c r="U43112"/>
      <c r="X43112" s="60"/>
    </row>
    <row r="43113" spans="7:24" ht="15" customHeight="1">
      <c r="G43113"/>
      <c r="I43113"/>
      <c r="N43113"/>
      <c r="O43113" s="24"/>
      <c r="P43113"/>
      <c r="Q43113" s="24"/>
      <c r="R43113"/>
      <c r="S43113"/>
      <c r="T43113"/>
      <c r="U43113"/>
      <c r="X43113" s="60"/>
    </row>
    <row r="43114" spans="7:24" ht="15" customHeight="1">
      <c r="G43114"/>
      <c r="I43114"/>
      <c r="N43114"/>
      <c r="O43114" s="24"/>
      <c r="P43114"/>
      <c r="Q43114" s="24"/>
      <c r="R43114"/>
      <c r="S43114"/>
      <c r="T43114"/>
      <c r="U43114"/>
      <c r="X43114" s="60"/>
    </row>
    <row r="43115" spans="7:24" ht="15" customHeight="1">
      <c r="G43115"/>
      <c r="I43115"/>
      <c r="N43115"/>
      <c r="O43115" s="24"/>
      <c r="P43115"/>
      <c r="Q43115" s="24"/>
      <c r="R43115"/>
      <c r="S43115"/>
      <c r="T43115"/>
      <c r="U43115"/>
      <c r="X43115" s="60"/>
    </row>
    <row r="43116" spans="7:24" ht="15" customHeight="1">
      <c r="G43116"/>
      <c r="I43116"/>
      <c r="N43116"/>
      <c r="O43116" s="24"/>
      <c r="P43116"/>
      <c r="Q43116" s="24"/>
      <c r="R43116"/>
      <c r="S43116"/>
      <c r="T43116"/>
      <c r="U43116"/>
      <c r="X43116" s="60"/>
    </row>
    <row r="43117" spans="7:24" ht="15" customHeight="1">
      <c r="G43117"/>
      <c r="I43117"/>
      <c r="N43117"/>
      <c r="O43117" s="24"/>
      <c r="P43117"/>
      <c r="Q43117" s="24"/>
      <c r="R43117"/>
      <c r="S43117"/>
      <c r="T43117"/>
      <c r="U43117"/>
      <c r="X43117" s="60"/>
    </row>
    <row r="43118" spans="7:24" ht="15" customHeight="1">
      <c r="G43118"/>
      <c r="I43118"/>
      <c r="N43118"/>
      <c r="O43118" s="24"/>
      <c r="P43118"/>
      <c r="Q43118" s="24"/>
      <c r="R43118"/>
      <c r="S43118"/>
      <c r="T43118"/>
      <c r="U43118"/>
      <c r="X43118" s="60"/>
    </row>
    <row r="43119" spans="7:24" ht="15" customHeight="1">
      <c r="G43119"/>
      <c r="I43119"/>
      <c r="N43119"/>
      <c r="O43119" s="24"/>
      <c r="P43119"/>
      <c r="Q43119" s="24"/>
      <c r="R43119"/>
      <c r="S43119"/>
      <c r="T43119"/>
      <c r="U43119"/>
      <c r="X43119" s="60"/>
    </row>
    <row r="43120" spans="7:24" ht="15" customHeight="1">
      <c r="G43120"/>
      <c r="I43120"/>
      <c r="N43120"/>
      <c r="O43120" s="24"/>
      <c r="P43120"/>
      <c r="Q43120" s="24"/>
      <c r="R43120"/>
      <c r="S43120"/>
      <c r="T43120"/>
      <c r="U43120"/>
      <c r="X43120" s="60"/>
    </row>
    <row r="43121" spans="7:24" ht="15" customHeight="1">
      <c r="G43121"/>
      <c r="I43121"/>
      <c r="N43121"/>
      <c r="O43121" s="24"/>
      <c r="P43121"/>
      <c r="Q43121" s="24"/>
      <c r="R43121"/>
      <c r="S43121"/>
      <c r="T43121"/>
      <c r="U43121"/>
      <c r="X43121" s="60"/>
    </row>
    <row r="43122" spans="7:24" ht="15" customHeight="1">
      <c r="G43122"/>
      <c r="I43122"/>
      <c r="N43122"/>
      <c r="O43122" s="24"/>
      <c r="P43122"/>
      <c r="Q43122" s="24"/>
      <c r="R43122"/>
      <c r="S43122"/>
      <c r="T43122"/>
      <c r="U43122"/>
      <c r="X43122" s="60"/>
    </row>
    <row r="43123" spans="7:24" ht="15" customHeight="1">
      <c r="G43123"/>
      <c r="I43123"/>
      <c r="N43123"/>
      <c r="O43123" s="24"/>
      <c r="P43123"/>
      <c r="Q43123" s="24"/>
      <c r="R43123"/>
      <c r="S43123"/>
      <c r="T43123"/>
      <c r="U43123"/>
      <c r="X43123" s="60"/>
    </row>
    <row r="43124" spans="7:24" ht="15" customHeight="1">
      <c r="G43124"/>
      <c r="I43124"/>
      <c r="N43124"/>
      <c r="O43124" s="24"/>
      <c r="P43124"/>
      <c r="Q43124" s="24"/>
      <c r="R43124"/>
      <c r="S43124"/>
      <c r="T43124"/>
      <c r="U43124"/>
      <c r="X43124" s="60"/>
    </row>
    <row r="43125" spans="7:24" ht="15" customHeight="1">
      <c r="G43125"/>
      <c r="I43125"/>
      <c r="N43125"/>
      <c r="O43125" s="24"/>
      <c r="P43125"/>
      <c r="Q43125" s="24"/>
      <c r="R43125"/>
      <c r="S43125"/>
      <c r="T43125"/>
      <c r="U43125"/>
      <c r="X43125" s="60"/>
    </row>
    <row r="43126" spans="7:24" ht="15" customHeight="1">
      <c r="G43126"/>
      <c r="I43126"/>
      <c r="N43126"/>
      <c r="O43126" s="24"/>
      <c r="P43126"/>
      <c r="Q43126" s="24"/>
      <c r="R43126"/>
      <c r="S43126"/>
      <c r="T43126"/>
      <c r="U43126"/>
      <c r="X43126" s="60"/>
    </row>
    <row r="43127" spans="7:24" ht="15" customHeight="1">
      <c r="G43127"/>
      <c r="I43127"/>
      <c r="N43127"/>
      <c r="O43127" s="24"/>
      <c r="P43127"/>
      <c r="Q43127" s="24"/>
      <c r="R43127"/>
      <c r="S43127"/>
      <c r="T43127"/>
      <c r="U43127"/>
      <c r="X43127" s="60"/>
    </row>
    <row r="43128" spans="7:24" ht="15" customHeight="1">
      <c r="G43128"/>
      <c r="I43128"/>
      <c r="N43128"/>
      <c r="O43128" s="24"/>
      <c r="P43128"/>
      <c r="Q43128" s="24"/>
      <c r="R43128"/>
      <c r="S43128"/>
      <c r="T43128"/>
      <c r="U43128"/>
      <c r="X43128" s="60"/>
    </row>
    <row r="43129" spans="7:24" ht="15" customHeight="1">
      <c r="G43129"/>
      <c r="I43129"/>
      <c r="N43129"/>
      <c r="O43129" s="24"/>
      <c r="P43129"/>
      <c r="Q43129" s="24"/>
      <c r="R43129"/>
      <c r="S43129"/>
      <c r="T43129"/>
      <c r="U43129"/>
      <c r="X43129" s="60"/>
    </row>
    <row r="43130" spans="7:24" ht="15" customHeight="1">
      <c r="G43130"/>
      <c r="I43130"/>
      <c r="N43130"/>
      <c r="O43130" s="24"/>
      <c r="P43130"/>
      <c r="Q43130" s="24"/>
      <c r="R43130"/>
      <c r="S43130"/>
      <c r="T43130"/>
      <c r="U43130"/>
      <c r="X43130" s="60"/>
    </row>
    <row r="43131" spans="7:24" ht="15" customHeight="1">
      <c r="G43131"/>
      <c r="I43131"/>
      <c r="N43131"/>
      <c r="O43131" s="24"/>
      <c r="P43131"/>
      <c r="Q43131" s="24"/>
      <c r="R43131"/>
      <c r="S43131"/>
      <c r="T43131"/>
      <c r="U43131"/>
      <c r="X43131" s="60"/>
    </row>
    <row r="43132" spans="7:24" ht="15" customHeight="1">
      <c r="G43132"/>
      <c r="I43132"/>
      <c r="N43132"/>
      <c r="O43132" s="24"/>
      <c r="P43132"/>
      <c r="Q43132" s="24"/>
      <c r="R43132"/>
      <c r="S43132"/>
      <c r="T43132"/>
      <c r="U43132"/>
      <c r="X43132" s="60"/>
    </row>
    <row r="43133" spans="7:24" ht="15" customHeight="1">
      <c r="G43133"/>
      <c r="I43133"/>
      <c r="N43133"/>
      <c r="O43133" s="24"/>
      <c r="P43133"/>
      <c r="Q43133" s="24"/>
      <c r="R43133"/>
      <c r="S43133"/>
      <c r="T43133"/>
      <c r="U43133"/>
      <c r="X43133" s="60"/>
    </row>
    <row r="43134" spans="7:24" ht="15" customHeight="1">
      <c r="G43134"/>
      <c r="I43134"/>
      <c r="N43134"/>
      <c r="O43134" s="24"/>
      <c r="P43134"/>
      <c r="Q43134" s="24"/>
      <c r="R43134"/>
      <c r="S43134"/>
      <c r="T43134"/>
      <c r="U43134"/>
      <c r="X43134" s="60"/>
    </row>
    <row r="43135" spans="7:24" ht="15" customHeight="1">
      <c r="G43135"/>
      <c r="I43135"/>
      <c r="N43135"/>
      <c r="O43135" s="24"/>
      <c r="P43135"/>
      <c r="Q43135" s="24"/>
      <c r="R43135"/>
      <c r="S43135"/>
      <c r="T43135"/>
      <c r="U43135"/>
      <c r="X43135" s="60"/>
    </row>
    <row r="43136" spans="7:24" ht="15" customHeight="1">
      <c r="G43136"/>
      <c r="I43136"/>
      <c r="N43136"/>
      <c r="O43136" s="24"/>
      <c r="P43136"/>
      <c r="Q43136" s="24"/>
      <c r="R43136"/>
      <c r="S43136"/>
      <c r="T43136"/>
      <c r="U43136"/>
      <c r="X43136" s="60"/>
    </row>
    <row r="43137" spans="7:24" ht="15" customHeight="1">
      <c r="G43137"/>
      <c r="I43137"/>
      <c r="N43137"/>
      <c r="O43137" s="24"/>
      <c r="P43137"/>
      <c r="Q43137" s="24"/>
      <c r="R43137"/>
      <c r="S43137"/>
      <c r="T43137"/>
      <c r="U43137"/>
      <c r="X43137" s="60"/>
    </row>
    <row r="43138" spans="7:24" ht="15" customHeight="1">
      <c r="G43138"/>
      <c r="I43138"/>
      <c r="N43138"/>
      <c r="O43138" s="24"/>
      <c r="P43138"/>
      <c r="Q43138" s="24"/>
      <c r="R43138"/>
      <c r="S43138"/>
      <c r="T43138"/>
      <c r="U43138"/>
      <c r="X43138" s="60"/>
    </row>
    <row r="43139" spans="7:24" ht="15" customHeight="1">
      <c r="G43139"/>
      <c r="I43139"/>
      <c r="N43139"/>
      <c r="O43139" s="24"/>
      <c r="P43139"/>
      <c r="Q43139" s="24"/>
      <c r="R43139"/>
      <c r="S43139"/>
      <c r="T43139"/>
      <c r="U43139"/>
      <c r="X43139" s="60"/>
    </row>
    <row r="43140" spans="7:24" ht="15" customHeight="1">
      <c r="G43140"/>
      <c r="I43140"/>
      <c r="N43140"/>
      <c r="O43140" s="24"/>
      <c r="P43140"/>
      <c r="Q43140" s="24"/>
      <c r="R43140"/>
      <c r="S43140"/>
      <c r="T43140"/>
      <c r="U43140"/>
      <c r="X43140" s="60"/>
    </row>
    <row r="43141" spans="7:24" ht="15" customHeight="1">
      <c r="G43141"/>
      <c r="I43141"/>
      <c r="N43141"/>
      <c r="O43141" s="24"/>
      <c r="P43141"/>
      <c r="Q43141" s="24"/>
      <c r="R43141"/>
      <c r="S43141"/>
      <c r="T43141"/>
      <c r="U43141"/>
      <c r="X43141" s="60"/>
    </row>
    <row r="43142" spans="7:24" ht="15" customHeight="1">
      <c r="G43142"/>
      <c r="I43142"/>
      <c r="N43142"/>
      <c r="O43142" s="24"/>
      <c r="P43142"/>
      <c r="Q43142" s="24"/>
      <c r="R43142"/>
      <c r="S43142"/>
      <c r="T43142"/>
      <c r="U43142"/>
      <c r="X43142" s="60"/>
    </row>
    <row r="43143" spans="7:24" ht="15" customHeight="1">
      <c r="G43143"/>
      <c r="I43143"/>
      <c r="N43143"/>
      <c r="O43143" s="24"/>
      <c r="P43143"/>
      <c r="Q43143" s="24"/>
      <c r="R43143"/>
      <c r="S43143"/>
      <c r="T43143"/>
      <c r="U43143"/>
      <c r="X43143" s="60"/>
    </row>
    <row r="43144" spans="7:24" ht="15" customHeight="1">
      <c r="G43144"/>
      <c r="I43144"/>
      <c r="N43144"/>
      <c r="O43144" s="24"/>
      <c r="P43144"/>
      <c r="Q43144" s="24"/>
      <c r="R43144"/>
      <c r="S43144"/>
      <c r="T43144"/>
      <c r="U43144"/>
      <c r="X43144" s="60"/>
    </row>
    <row r="43145" spans="7:24" ht="15" customHeight="1">
      <c r="G43145"/>
      <c r="I43145"/>
      <c r="N43145"/>
      <c r="O43145" s="24"/>
      <c r="P43145"/>
      <c r="Q43145" s="24"/>
      <c r="R43145"/>
      <c r="S43145"/>
      <c r="T43145"/>
      <c r="U43145"/>
      <c r="X43145" s="60"/>
    </row>
    <row r="43146" spans="7:24" ht="15" customHeight="1">
      <c r="G43146"/>
      <c r="I43146"/>
      <c r="N43146"/>
      <c r="O43146" s="24"/>
      <c r="P43146"/>
      <c r="Q43146" s="24"/>
      <c r="R43146"/>
      <c r="S43146"/>
      <c r="T43146"/>
      <c r="U43146"/>
      <c r="X43146" s="60"/>
    </row>
    <row r="43147" spans="7:24" ht="15" customHeight="1">
      <c r="G43147"/>
      <c r="I43147"/>
      <c r="N43147"/>
      <c r="O43147" s="24"/>
      <c r="P43147"/>
      <c r="Q43147" s="24"/>
      <c r="R43147"/>
      <c r="S43147"/>
      <c r="T43147"/>
      <c r="U43147"/>
      <c r="X43147" s="60"/>
    </row>
    <row r="43148" spans="7:24" ht="15" customHeight="1">
      <c r="G43148"/>
      <c r="I43148"/>
      <c r="N43148"/>
      <c r="O43148" s="24"/>
      <c r="P43148"/>
      <c r="Q43148" s="24"/>
      <c r="R43148"/>
      <c r="S43148"/>
      <c r="T43148"/>
      <c r="U43148"/>
      <c r="X43148" s="60"/>
    </row>
    <row r="43149" spans="7:24" ht="15" customHeight="1">
      <c r="G43149"/>
      <c r="I43149"/>
      <c r="N43149"/>
      <c r="O43149" s="24"/>
      <c r="P43149"/>
      <c r="Q43149" s="24"/>
      <c r="R43149"/>
      <c r="S43149"/>
      <c r="T43149"/>
      <c r="U43149"/>
      <c r="X43149" s="60"/>
    </row>
    <row r="43150" spans="7:24" ht="15" customHeight="1">
      <c r="G43150"/>
      <c r="I43150"/>
      <c r="N43150"/>
      <c r="O43150" s="24"/>
      <c r="P43150"/>
      <c r="Q43150" s="24"/>
      <c r="R43150"/>
      <c r="S43150"/>
      <c r="T43150"/>
      <c r="U43150"/>
      <c r="X43150" s="60"/>
    </row>
    <row r="43151" spans="7:24" ht="15" customHeight="1">
      <c r="G43151"/>
      <c r="I43151"/>
      <c r="N43151"/>
      <c r="O43151" s="24"/>
      <c r="P43151"/>
      <c r="Q43151" s="24"/>
      <c r="R43151"/>
      <c r="S43151"/>
      <c r="T43151"/>
      <c r="U43151"/>
      <c r="X43151" s="60"/>
    </row>
    <row r="43152" spans="7:24" ht="15" customHeight="1">
      <c r="G43152"/>
      <c r="I43152"/>
      <c r="N43152"/>
      <c r="O43152" s="24"/>
      <c r="P43152"/>
      <c r="Q43152" s="24"/>
      <c r="R43152"/>
      <c r="S43152"/>
      <c r="T43152"/>
      <c r="U43152"/>
      <c r="X43152" s="60"/>
    </row>
    <row r="43153" spans="7:24" ht="15" customHeight="1">
      <c r="G43153"/>
      <c r="I43153"/>
      <c r="N43153"/>
      <c r="O43153" s="24"/>
      <c r="P43153"/>
      <c r="Q43153" s="24"/>
      <c r="R43153"/>
      <c r="S43153"/>
      <c r="T43153"/>
      <c r="U43153"/>
      <c r="X43153" s="60"/>
    </row>
    <row r="43154" spans="7:24" ht="15" customHeight="1">
      <c r="G43154"/>
      <c r="I43154"/>
      <c r="N43154"/>
      <c r="O43154" s="24"/>
      <c r="P43154"/>
      <c r="Q43154" s="24"/>
      <c r="R43154"/>
      <c r="S43154"/>
      <c r="T43154"/>
      <c r="U43154"/>
      <c r="X43154" s="60"/>
    </row>
    <row r="43155" spans="7:24" ht="15" customHeight="1">
      <c r="G43155"/>
      <c r="I43155"/>
      <c r="N43155"/>
      <c r="O43155" s="24"/>
      <c r="P43155"/>
      <c r="Q43155" s="24"/>
      <c r="R43155"/>
      <c r="S43155"/>
      <c r="T43155"/>
      <c r="U43155"/>
      <c r="X43155" s="60"/>
    </row>
    <row r="43156" spans="7:24" ht="15" customHeight="1">
      <c r="G43156"/>
      <c r="I43156"/>
      <c r="N43156"/>
      <c r="O43156" s="24"/>
      <c r="P43156"/>
      <c r="Q43156" s="24"/>
      <c r="R43156"/>
      <c r="S43156"/>
      <c r="T43156"/>
      <c r="U43156"/>
      <c r="X43156" s="60"/>
    </row>
    <row r="43157" spans="7:24" ht="15" customHeight="1">
      <c r="G43157"/>
      <c r="I43157"/>
      <c r="N43157"/>
      <c r="O43157" s="24"/>
      <c r="P43157"/>
      <c r="Q43157" s="24"/>
      <c r="R43157"/>
      <c r="S43157"/>
      <c r="T43157"/>
      <c r="U43157"/>
      <c r="X43157" s="60"/>
    </row>
    <row r="43158" spans="7:24" ht="15" customHeight="1">
      <c r="G43158"/>
      <c r="I43158"/>
      <c r="N43158"/>
      <c r="O43158" s="24"/>
      <c r="P43158"/>
      <c r="Q43158" s="24"/>
      <c r="R43158"/>
      <c r="S43158"/>
      <c r="T43158"/>
      <c r="U43158"/>
      <c r="X43158" s="60"/>
    </row>
    <row r="43159" spans="7:24" ht="15" customHeight="1">
      <c r="G43159"/>
      <c r="I43159"/>
      <c r="N43159"/>
      <c r="O43159" s="24"/>
      <c r="P43159"/>
      <c r="Q43159" s="24"/>
      <c r="R43159"/>
      <c r="S43159"/>
      <c r="T43159"/>
      <c r="U43159"/>
      <c r="X43159" s="60"/>
    </row>
    <row r="43160" spans="7:24" ht="15" customHeight="1">
      <c r="G43160"/>
      <c r="I43160"/>
      <c r="N43160"/>
      <c r="O43160" s="24"/>
      <c r="P43160"/>
      <c r="Q43160" s="24"/>
      <c r="R43160"/>
      <c r="S43160"/>
      <c r="T43160"/>
      <c r="U43160"/>
      <c r="X43160" s="60"/>
    </row>
    <row r="43161" spans="7:24" ht="15" customHeight="1">
      <c r="G43161"/>
      <c r="I43161"/>
      <c r="N43161"/>
      <c r="O43161" s="24"/>
      <c r="P43161"/>
      <c r="Q43161" s="24"/>
      <c r="R43161"/>
      <c r="S43161"/>
      <c r="T43161"/>
      <c r="U43161"/>
      <c r="X43161" s="60"/>
    </row>
    <row r="43162" spans="7:24" ht="15" customHeight="1">
      <c r="G43162"/>
      <c r="I43162"/>
      <c r="N43162"/>
      <c r="O43162" s="24"/>
      <c r="P43162"/>
      <c r="Q43162" s="24"/>
      <c r="R43162"/>
      <c r="S43162"/>
      <c r="T43162"/>
      <c r="U43162"/>
      <c r="X43162" s="60"/>
    </row>
    <row r="43163" spans="7:24" ht="15" customHeight="1">
      <c r="G43163"/>
      <c r="I43163"/>
      <c r="N43163"/>
      <c r="O43163" s="24"/>
      <c r="P43163"/>
      <c r="Q43163" s="24"/>
      <c r="R43163"/>
      <c r="S43163"/>
      <c r="T43163"/>
      <c r="U43163"/>
      <c r="X43163" s="60"/>
    </row>
    <row r="43164" spans="7:24" ht="15" customHeight="1">
      <c r="G43164"/>
      <c r="I43164"/>
      <c r="N43164"/>
      <c r="O43164" s="24"/>
      <c r="P43164"/>
      <c r="Q43164" s="24"/>
      <c r="R43164"/>
      <c r="S43164"/>
      <c r="T43164"/>
      <c r="U43164"/>
      <c r="X43164" s="60"/>
    </row>
    <row r="43165" spans="7:24" ht="15" customHeight="1">
      <c r="G43165"/>
      <c r="I43165"/>
      <c r="N43165"/>
      <c r="O43165" s="24"/>
      <c r="P43165"/>
      <c r="Q43165" s="24"/>
      <c r="R43165"/>
      <c r="S43165"/>
      <c r="T43165"/>
      <c r="U43165"/>
      <c r="X43165" s="60"/>
    </row>
    <row r="43166" spans="7:24" ht="15" customHeight="1">
      <c r="G43166"/>
      <c r="I43166"/>
      <c r="N43166"/>
      <c r="O43166" s="24"/>
      <c r="P43166"/>
      <c r="Q43166" s="24"/>
      <c r="R43166"/>
      <c r="S43166"/>
      <c r="T43166"/>
      <c r="U43166"/>
      <c r="X43166" s="60"/>
    </row>
    <row r="43167" spans="7:24" ht="15" customHeight="1">
      <c r="G43167"/>
      <c r="I43167"/>
      <c r="N43167"/>
      <c r="O43167" s="24"/>
      <c r="P43167"/>
      <c r="Q43167" s="24"/>
      <c r="R43167"/>
      <c r="S43167"/>
      <c r="T43167"/>
      <c r="U43167"/>
      <c r="X43167" s="60"/>
    </row>
    <row r="43168" spans="7:24" ht="15" customHeight="1">
      <c r="G43168"/>
      <c r="I43168"/>
      <c r="N43168"/>
      <c r="O43168" s="24"/>
      <c r="P43168"/>
      <c r="Q43168" s="24"/>
      <c r="R43168"/>
      <c r="S43168"/>
      <c r="T43168"/>
      <c r="U43168"/>
      <c r="X43168" s="60"/>
    </row>
    <row r="43169" spans="7:24" ht="15" customHeight="1">
      <c r="G43169"/>
      <c r="I43169"/>
      <c r="N43169"/>
      <c r="O43169" s="24"/>
      <c r="P43169"/>
      <c r="Q43169" s="24"/>
      <c r="R43169"/>
      <c r="S43169"/>
      <c r="T43169"/>
      <c r="U43169"/>
      <c r="X43169" s="60"/>
    </row>
    <row r="43170" spans="7:24" ht="15" customHeight="1">
      <c r="G43170"/>
      <c r="I43170"/>
      <c r="N43170"/>
      <c r="O43170" s="24"/>
      <c r="P43170"/>
      <c r="Q43170" s="24"/>
      <c r="R43170"/>
      <c r="S43170"/>
      <c r="T43170"/>
      <c r="U43170"/>
      <c r="X43170" s="60"/>
    </row>
    <row r="43171" spans="7:24" ht="15" customHeight="1">
      <c r="G43171"/>
      <c r="I43171"/>
      <c r="N43171"/>
      <c r="O43171" s="24"/>
      <c r="P43171"/>
      <c r="Q43171" s="24"/>
      <c r="R43171"/>
      <c r="S43171"/>
      <c r="T43171"/>
      <c r="U43171"/>
      <c r="X43171" s="60"/>
    </row>
    <row r="43172" spans="7:24" ht="15" customHeight="1">
      <c r="G43172"/>
      <c r="I43172"/>
      <c r="N43172"/>
      <c r="O43172" s="24"/>
      <c r="P43172"/>
      <c r="Q43172" s="24"/>
      <c r="R43172"/>
      <c r="S43172"/>
      <c r="T43172"/>
      <c r="U43172"/>
      <c r="X43172" s="60"/>
    </row>
    <row r="43173" spans="7:24" ht="15" customHeight="1">
      <c r="G43173"/>
      <c r="I43173"/>
      <c r="N43173"/>
      <c r="O43173" s="24"/>
      <c r="P43173"/>
      <c r="Q43173" s="24"/>
      <c r="R43173"/>
      <c r="S43173"/>
      <c r="T43173"/>
      <c r="U43173"/>
      <c r="X43173" s="60"/>
    </row>
    <row r="43174" spans="7:24" ht="15" customHeight="1">
      <c r="G43174"/>
      <c r="I43174"/>
      <c r="N43174"/>
      <c r="O43174" s="24"/>
      <c r="P43174"/>
      <c r="Q43174" s="24"/>
      <c r="R43174"/>
      <c r="S43174"/>
      <c r="T43174"/>
      <c r="U43174"/>
      <c r="X43174" s="60"/>
    </row>
    <row r="43175" spans="7:24" ht="15" customHeight="1">
      <c r="G43175"/>
      <c r="I43175"/>
      <c r="N43175"/>
      <c r="O43175" s="24"/>
      <c r="P43175"/>
      <c r="Q43175" s="24"/>
      <c r="R43175"/>
      <c r="S43175"/>
      <c r="T43175"/>
      <c r="U43175"/>
      <c r="X43175" s="60"/>
    </row>
    <row r="43176" spans="7:24" ht="15" customHeight="1">
      <c r="G43176"/>
      <c r="I43176"/>
      <c r="N43176"/>
      <c r="O43176" s="24"/>
      <c r="P43176"/>
      <c r="Q43176" s="24"/>
      <c r="R43176"/>
      <c r="S43176"/>
      <c r="T43176"/>
      <c r="U43176"/>
      <c r="X43176" s="60"/>
    </row>
    <row r="43177" spans="7:24" ht="15" customHeight="1">
      <c r="G43177"/>
      <c r="I43177"/>
      <c r="N43177"/>
      <c r="O43177" s="24"/>
      <c r="P43177"/>
      <c r="Q43177" s="24"/>
      <c r="R43177"/>
      <c r="S43177"/>
      <c r="T43177"/>
      <c r="U43177"/>
      <c r="X43177" s="60"/>
    </row>
    <row r="43178" spans="7:24" ht="15" customHeight="1">
      <c r="G43178"/>
      <c r="I43178"/>
      <c r="N43178"/>
      <c r="O43178" s="24"/>
      <c r="P43178"/>
      <c r="Q43178" s="24"/>
      <c r="R43178"/>
      <c r="S43178"/>
      <c r="T43178"/>
      <c r="U43178"/>
      <c r="X43178" s="60"/>
    </row>
    <row r="43179" spans="7:24" ht="15" customHeight="1">
      <c r="G43179"/>
      <c r="I43179"/>
      <c r="N43179"/>
      <c r="O43179" s="24"/>
      <c r="P43179"/>
      <c r="Q43179" s="24"/>
      <c r="R43179"/>
      <c r="S43179"/>
      <c r="T43179"/>
      <c r="U43179"/>
      <c r="X43179" s="60"/>
    </row>
    <row r="43180" spans="7:24" ht="15" customHeight="1">
      <c r="G43180"/>
      <c r="I43180"/>
      <c r="N43180"/>
      <c r="O43180" s="24"/>
      <c r="P43180"/>
      <c r="Q43180" s="24"/>
      <c r="R43180"/>
      <c r="S43180"/>
      <c r="T43180"/>
      <c r="U43180"/>
      <c r="X43180" s="60"/>
    </row>
    <row r="43181" spans="7:24" ht="15" customHeight="1">
      <c r="G43181"/>
      <c r="I43181"/>
      <c r="N43181"/>
      <c r="O43181" s="24"/>
      <c r="P43181"/>
      <c r="Q43181" s="24"/>
      <c r="R43181"/>
      <c r="S43181"/>
      <c r="T43181"/>
      <c r="U43181"/>
      <c r="X43181" s="60"/>
    </row>
    <row r="43182" spans="7:24" ht="15" customHeight="1">
      <c r="G43182"/>
      <c r="I43182"/>
      <c r="N43182"/>
      <c r="O43182" s="24"/>
      <c r="P43182"/>
      <c r="Q43182" s="24"/>
      <c r="R43182"/>
      <c r="S43182"/>
      <c r="T43182"/>
      <c r="U43182"/>
      <c r="X43182" s="60"/>
    </row>
    <row r="43183" spans="7:24" ht="15" customHeight="1">
      <c r="G43183"/>
      <c r="I43183"/>
      <c r="N43183"/>
      <c r="O43183" s="24"/>
      <c r="P43183"/>
      <c r="Q43183" s="24"/>
      <c r="R43183"/>
      <c r="S43183"/>
      <c r="T43183"/>
      <c r="U43183"/>
      <c r="X43183" s="60"/>
    </row>
    <row r="43184" spans="7:24" ht="15" customHeight="1">
      <c r="G43184"/>
      <c r="I43184"/>
      <c r="N43184"/>
      <c r="O43184" s="24"/>
      <c r="P43184"/>
      <c r="Q43184" s="24"/>
      <c r="R43184"/>
      <c r="S43184"/>
      <c r="T43184"/>
      <c r="U43184"/>
      <c r="X43184" s="60"/>
    </row>
    <row r="43185" spans="7:24" ht="15" customHeight="1">
      <c r="G43185"/>
      <c r="I43185"/>
      <c r="N43185"/>
      <c r="O43185" s="24"/>
      <c r="P43185"/>
      <c r="Q43185" s="24"/>
      <c r="R43185"/>
      <c r="S43185"/>
      <c r="T43185"/>
      <c r="U43185"/>
      <c r="X43185" s="60"/>
    </row>
    <row r="43186" spans="7:24" ht="15" customHeight="1">
      <c r="G43186"/>
      <c r="I43186"/>
      <c r="N43186"/>
      <c r="O43186" s="24"/>
      <c r="P43186"/>
      <c r="Q43186" s="24"/>
      <c r="R43186"/>
      <c r="S43186"/>
      <c r="T43186"/>
      <c r="U43186"/>
      <c r="X43186" s="60"/>
    </row>
    <row r="43187" spans="7:24" ht="15" customHeight="1">
      <c r="G43187"/>
      <c r="I43187"/>
      <c r="N43187"/>
      <c r="O43187" s="24"/>
      <c r="P43187"/>
      <c r="Q43187" s="24"/>
      <c r="R43187"/>
      <c r="S43187"/>
      <c r="T43187"/>
      <c r="U43187"/>
      <c r="X43187" s="60"/>
    </row>
    <row r="43188" spans="7:24" ht="15" customHeight="1">
      <c r="G43188"/>
      <c r="I43188"/>
      <c r="N43188"/>
      <c r="O43188" s="24"/>
      <c r="P43188"/>
      <c r="Q43188" s="24"/>
      <c r="R43188"/>
      <c r="S43188"/>
      <c r="T43188"/>
      <c r="U43188"/>
      <c r="X43188" s="60"/>
    </row>
    <row r="43189" spans="7:24" ht="15" customHeight="1">
      <c r="G43189"/>
      <c r="I43189"/>
      <c r="N43189"/>
      <c r="O43189" s="24"/>
      <c r="P43189"/>
      <c r="Q43189" s="24"/>
      <c r="R43189"/>
      <c r="S43189"/>
      <c r="T43189"/>
      <c r="U43189"/>
      <c r="X43189" s="60"/>
    </row>
    <row r="43190" spans="7:24" ht="15" customHeight="1">
      <c r="G43190"/>
      <c r="I43190"/>
      <c r="N43190"/>
      <c r="O43190" s="24"/>
      <c r="P43190"/>
      <c r="Q43190" s="24"/>
      <c r="R43190"/>
      <c r="S43190"/>
      <c r="T43190"/>
      <c r="U43190"/>
      <c r="X43190" s="60"/>
    </row>
    <row r="43191" spans="7:24" ht="15" customHeight="1">
      <c r="G43191"/>
      <c r="I43191"/>
      <c r="N43191"/>
      <c r="O43191" s="24"/>
      <c r="P43191"/>
      <c r="Q43191" s="24"/>
      <c r="R43191"/>
      <c r="S43191"/>
      <c r="T43191"/>
      <c r="U43191"/>
      <c r="X43191" s="60"/>
    </row>
    <row r="43192" spans="7:24" ht="15" customHeight="1">
      <c r="G43192"/>
      <c r="I43192"/>
      <c r="N43192"/>
      <c r="O43192" s="24"/>
      <c r="P43192"/>
      <c r="Q43192" s="24"/>
      <c r="R43192"/>
      <c r="S43192"/>
      <c r="T43192"/>
      <c r="U43192"/>
      <c r="X43192" s="60"/>
    </row>
    <row r="43193" spans="7:24" ht="15" customHeight="1">
      <c r="G43193"/>
      <c r="I43193"/>
      <c r="N43193"/>
      <c r="O43193" s="24"/>
      <c r="P43193"/>
      <c r="Q43193" s="24"/>
      <c r="R43193"/>
      <c r="S43193"/>
      <c r="T43193"/>
      <c r="U43193"/>
      <c r="X43193" s="60"/>
    </row>
    <row r="43194" spans="7:24" ht="15" customHeight="1">
      <c r="G43194"/>
      <c r="I43194"/>
      <c r="N43194"/>
      <c r="O43194" s="24"/>
      <c r="P43194"/>
      <c r="Q43194" s="24"/>
      <c r="R43194"/>
      <c r="S43194"/>
      <c r="T43194"/>
      <c r="U43194"/>
      <c r="X43194" s="60"/>
    </row>
    <row r="43195" spans="7:24" ht="15" customHeight="1">
      <c r="G43195"/>
      <c r="I43195"/>
      <c r="N43195"/>
      <c r="O43195" s="24"/>
      <c r="P43195"/>
      <c r="Q43195" s="24"/>
      <c r="R43195"/>
      <c r="S43195"/>
      <c r="T43195"/>
      <c r="U43195"/>
      <c r="X43195" s="60"/>
    </row>
    <row r="43196" spans="7:24" ht="15" customHeight="1">
      <c r="G43196"/>
      <c r="I43196"/>
      <c r="N43196"/>
      <c r="O43196" s="24"/>
      <c r="P43196"/>
      <c r="Q43196" s="24"/>
      <c r="R43196"/>
      <c r="S43196"/>
      <c r="T43196"/>
      <c r="U43196"/>
      <c r="X43196" s="60"/>
    </row>
    <row r="43197" spans="7:24" ht="15" customHeight="1">
      <c r="G43197"/>
      <c r="I43197"/>
      <c r="N43197"/>
      <c r="O43197" s="24"/>
      <c r="P43197"/>
      <c r="Q43197" s="24"/>
      <c r="R43197"/>
      <c r="S43197"/>
      <c r="T43197"/>
      <c r="U43197"/>
      <c r="X43197" s="60"/>
    </row>
    <row r="43198" spans="7:24" ht="15" customHeight="1">
      <c r="G43198"/>
      <c r="I43198"/>
      <c r="N43198"/>
      <c r="O43198" s="24"/>
      <c r="P43198"/>
      <c r="Q43198" s="24"/>
      <c r="R43198"/>
      <c r="S43198"/>
      <c r="T43198"/>
      <c r="U43198"/>
      <c r="X43198" s="60"/>
    </row>
    <row r="43199" spans="7:24" ht="15" customHeight="1">
      <c r="G43199"/>
      <c r="I43199"/>
      <c r="N43199"/>
      <c r="O43199" s="24"/>
      <c r="P43199"/>
      <c r="Q43199" s="24"/>
      <c r="R43199"/>
      <c r="S43199"/>
      <c r="T43199"/>
      <c r="U43199"/>
      <c r="X43199" s="60"/>
    </row>
    <row r="43200" spans="7:24" ht="15" customHeight="1">
      <c r="G43200"/>
      <c r="I43200"/>
      <c r="N43200"/>
      <c r="O43200" s="24"/>
      <c r="P43200"/>
      <c r="Q43200" s="24"/>
      <c r="R43200"/>
      <c r="S43200"/>
      <c r="T43200"/>
      <c r="U43200"/>
      <c r="X43200" s="60"/>
    </row>
    <row r="43201" spans="7:24" ht="15" customHeight="1">
      <c r="G43201"/>
      <c r="I43201"/>
      <c r="N43201"/>
      <c r="O43201" s="24"/>
      <c r="P43201"/>
      <c r="Q43201" s="24"/>
      <c r="R43201"/>
      <c r="S43201"/>
      <c r="T43201"/>
      <c r="U43201"/>
      <c r="X43201" s="60"/>
    </row>
    <row r="43202" spans="7:24" ht="15" customHeight="1">
      <c r="G43202"/>
      <c r="I43202"/>
      <c r="N43202"/>
      <c r="O43202" s="24"/>
      <c r="P43202"/>
      <c r="Q43202" s="24"/>
      <c r="R43202"/>
      <c r="S43202"/>
      <c r="T43202"/>
      <c r="U43202"/>
      <c r="X43202" s="60"/>
    </row>
    <row r="43203" spans="7:24" ht="15" customHeight="1">
      <c r="G43203"/>
      <c r="I43203"/>
      <c r="N43203"/>
      <c r="O43203" s="24"/>
      <c r="P43203"/>
      <c r="Q43203" s="24"/>
      <c r="R43203"/>
      <c r="S43203"/>
      <c r="T43203"/>
      <c r="U43203"/>
      <c r="X43203" s="60"/>
    </row>
    <row r="43204" spans="7:24" ht="15" customHeight="1">
      <c r="G43204"/>
      <c r="I43204"/>
      <c r="N43204"/>
      <c r="O43204" s="24"/>
      <c r="P43204"/>
      <c r="Q43204" s="24"/>
      <c r="R43204"/>
      <c r="S43204"/>
      <c r="T43204"/>
      <c r="U43204"/>
      <c r="X43204" s="60"/>
    </row>
    <row r="43205" spans="7:24" ht="15" customHeight="1">
      <c r="G43205"/>
      <c r="I43205"/>
      <c r="N43205"/>
      <c r="O43205" s="24"/>
      <c r="P43205"/>
      <c r="Q43205" s="24"/>
      <c r="R43205"/>
      <c r="S43205"/>
      <c r="T43205"/>
      <c r="U43205"/>
      <c r="X43205" s="60"/>
    </row>
    <row r="43206" spans="7:24" ht="15" customHeight="1">
      <c r="G43206"/>
      <c r="I43206"/>
      <c r="N43206"/>
      <c r="O43206" s="24"/>
      <c r="P43206"/>
      <c r="Q43206" s="24"/>
      <c r="R43206"/>
      <c r="S43206"/>
      <c r="T43206"/>
      <c r="U43206"/>
      <c r="X43206" s="60"/>
    </row>
    <row r="43207" spans="7:24" ht="15" customHeight="1">
      <c r="G43207"/>
      <c r="I43207"/>
      <c r="N43207"/>
      <c r="O43207" s="24"/>
      <c r="P43207"/>
      <c r="Q43207" s="24"/>
      <c r="R43207"/>
      <c r="S43207"/>
      <c r="T43207"/>
      <c r="U43207"/>
      <c r="X43207" s="60"/>
    </row>
    <row r="43208" spans="7:24" ht="15" customHeight="1">
      <c r="G43208"/>
      <c r="I43208"/>
      <c r="N43208"/>
      <c r="O43208" s="24"/>
      <c r="P43208"/>
      <c r="Q43208" s="24"/>
      <c r="R43208"/>
      <c r="S43208"/>
      <c r="T43208"/>
      <c r="U43208"/>
      <c r="X43208" s="60"/>
    </row>
    <row r="43209" spans="7:24" ht="15" customHeight="1">
      <c r="G43209"/>
      <c r="I43209"/>
      <c r="N43209"/>
      <c r="O43209" s="24"/>
      <c r="P43209"/>
      <c r="Q43209" s="24"/>
      <c r="R43209"/>
      <c r="S43209"/>
      <c r="T43209"/>
      <c r="U43209"/>
      <c r="X43209" s="60"/>
    </row>
    <row r="43210" spans="7:24" ht="15" customHeight="1">
      <c r="G43210"/>
      <c r="I43210"/>
      <c r="N43210"/>
      <c r="O43210" s="24"/>
      <c r="P43210"/>
      <c r="Q43210" s="24"/>
      <c r="R43210"/>
      <c r="S43210"/>
      <c r="T43210"/>
      <c r="U43210"/>
      <c r="X43210" s="60"/>
    </row>
    <row r="43211" spans="7:24" ht="15" customHeight="1">
      <c r="G43211"/>
      <c r="I43211"/>
      <c r="N43211"/>
      <c r="O43211" s="24"/>
      <c r="P43211"/>
      <c r="Q43211" s="24"/>
      <c r="R43211"/>
      <c r="S43211"/>
      <c r="T43211"/>
      <c r="U43211"/>
      <c r="X43211" s="60"/>
    </row>
    <row r="43212" spans="7:24" ht="15" customHeight="1">
      <c r="G43212"/>
      <c r="I43212"/>
      <c r="N43212"/>
      <c r="O43212" s="24"/>
      <c r="P43212"/>
      <c r="Q43212" s="24"/>
      <c r="R43212"/>
      <c r="S43212"/>
      <c r="T43212"/>
      <c r="U43212"/>
      <c r="X43212" s="60"/>
    </row>
    <row r="43213" spans="7:24" ht="15" customHeight="1">
      <c r="G43213"/>
      <c r="I43213"/>
      <c r="N43213"/>
      <c r="O43213" s="24"/>
      <c r="P43213"/>
      <c r="Q43213" s="24"/>
      <c r="R43213"/>
      <c r="S43213"/>
      <c r="T43213"/>
      <c r="U43213"/>
      <c r="X43213" s="60"/>
    </row>
    <row r="43214" spans="7:24" ht="15" customHeight="1">
      <c r="G43214"/>
      <c r="I43214"/>
      <c r="N43214"/>
      <c r="O43214" s="24"/>
      <c r="P43214"/>
      <c r="Q43214" s="24"/>
      <c r="R43214"/>
      <c r="S43214"/>
      <c r="T43214"/>
      <c r="U43214"/>
      <c r="X43214" s="60"/>
    </row>
    <row r="43215" spans="7:24" ht="15" customHeight="1">
      <c r="G43215"/>
      <c r="I43215"/>
      <c r="N43215"/>
      <c r="O43215" s="24"/>
      <c r="P43215"/>
      <c r="Q43215" s="24"/>
      <c r="R43215"/>
      <c r="S43215"/>
      <c r="T43215"/>
      <c r="U43215"/>
      <c r="X43215" s="60"/>
    </row>
    <row r="43216" spans="7:24" ht="15" customHeight="1">
      <c r="G43216"/>
      <c r="I43216"/>
      <c r="N43216"/>
      <c r="O43216" s="24"/>
      <c r="P43216"/>
      <c r="Q43216" s="24"/>
      <c r="R43216"/>
      <c r="S43216"/>
      <c r="T43216"/>
      <c r="U43216"/>
      <c r="X43216" s="60"/>
    </row>
    <row r="43217" spans="7:24" ht="15" customHeight="1">
      <c r="G43217"/>
      <c r="I43217"/>
      <c r="N43217"/>
      <c r="O43217" s="24"/>
      <c r="P43217"/>
      <c r="Q43217" s="24"/>
      <c r="R43217"/>
      <c r="S43217"/>
      <c r="T43217"/>
      <c r="U43217"/>
      <c r="X43217" s="60"/>
    </row>
    <row r="43218" spans="7:24" ht="15" customHeight="1">
      <c r="G43218"/>
      <c r="I43218"/>
      <c r="N43218"/>
      <c r="O43218" s="24"/>
      <c r="P43218"/>
      <c r="Q43218" s="24"/>
      <c r="R43218"/>
      <c r="S43218"/>
      <c r="T43218"/>
      <c r="U43218"/>
      <c r="X43218" s="60"/>
    </row>
    <row r="43219" spans="7:24" ht="15" customHeight="1">
      <c r="G43219"/>
      <c r="I43219"/>
      <c r="N43219"/>
      <c r="O43219" s="24"/>
      <c r="P43219"/>
      <c r="Q43219" s="24"/>
      <c r="R43219"/>
      <c r="S43219"/>
      <c r="T43219"/>
      <c r="U43219"/>
      <c r="X43219" s="60"/>
    </row>
    <row r="43220" spans="7:24" ht="15" customHeight="1">
      <c r="G43220"/>
      <c r="I43220"/>
      <c r="N43220"/>
      <c r="O43220" s="24"/>
      <c r="P43220"/>
      <c r="Q43220" s="24"/>
      <c r="R43220"/>
      <c r="S43220"/>
      <c r="T43220"/>
      <c r="U43220"/>
      <c r="X43220" s="60"/>
    </row>
    <row r="43221" spans="7:24" ht="15" customHeight="1">
      <c r="G43221"/>
      <c r="I43221"/>
      <c r="N43221"/>
      <c r="O43221" s="24"/>
      <c r="P43221"/>
      <c r="Q43221" s="24"/>
      <c r="R43221"/>
      <c r="S43221"/>
      <c r="T43221"/>
      <c r="U43221"/>
      <c r="X43221" s="60"/>
    </row>
    <row r="43222" spans="7:24" ht="15" customHeight="1">
      <c r="G43222"/>
      <c r="I43222"/>
      <c r="N43222"/>
      <c r="O43222" s="24"/>
      <c r="P43222"/>
      <c r="Q43222" s="24"/>
      <c r="R43222"/>
      <c r="S43222"/>
      <c r="T43222"/>
      <c r="U43222"/>
      <c r="X43222" s="60"/>
    </row>
    <row r="43223" spans="7:24" ht="15" customHeight="1">
      <c r="G43223"/>
      <c r="I43223"/>
      <c r="N43223"/>
      <c r="O43223" s="24"/>
      <c r="P43223"/>
      <c r="Q43223" s="24"/>
      <c r="R43223"/>
      <c r="S43223"/>
      <c r="T43223"/>
      <c r="U43223"/>
      <c r="X43223" s="60"/>
    </row>
    <row r="43224" spans="7:24" ht="15" customHeight="1">
      <c r="G43224"/>
      <c r="I43224"/>
      <c r="N43224"/>
      <c r="O43224" s="24"/>
      <c r="P43224"/>
      <c r="Q43224" s="24"/>
      <c r="R43224"/>
      <c r="S43224"/>
      <c r="T43224"/>
      <c r="U43224"/>
      <c r="X43224" s="60"/>
    </row>
    <row r="43225" spans="7:24" ht="15" customHeight="1">
      <c r="G43225"/>
      <c r="I43225"/>
      <c r="N43225"/>
      <c r="O43225" s="24"/>
      <c r="P43225"/>
      <c r="Q43225" s="24"/>
      <c r="R43225"/>
      <c r="S43225"/>
      <c r="T43225"/>
      <c r="U43225"/>
      <c r="X43225" s="60"/>
    </row>
    <row r="43226" spans="7:24" ht="15" customHeight="1">
      <c r="G43226"/>
      <c r="I43226"/>
      <c r="N43226"/>
      <c r="O43226" s="24"/>
      <c r="P43226"/>
      <c r="Q43226" s="24"/>
      <c r="R43226"/>
      <c r="S43226"/>
      <c r="T43226"/>
      <c r="U43226"/>
      <c r="X43226" s="60"/>
    </row>
    <row r="43227" spans="7:24" ht="15" customHeight="1">
      <c r="G43227"/>
      <c r="I43227"/>
      <c r="N43227"/>
      <c r="O43227" s="24"/>
      <c r="P43227"/>
      <c r="Q43227" s="24"/>
      <c r="R43227"/>
      <c r="S43227"/>
      <c r="T43227"/>
      <c r="U43227"/>
      <c r="X43227" s="60"/>
    </row>
    <row r="43228" spans="7:24" ht="15" customHeight="1">
      <c r="G43228"/>
      <c r="I43228"/>
      <c r="N43228"/>
      <c r="O43228" s="24"/>
      <c r="P43228"/>
      <c r="Q43228" s="24"/>
      <c r="R43228"/>
      <c r="S43228"/>
      <c r="T43228"/>
      <c r="U43228"/>
      <c r="X43228" s="60"/>
    </row>
    <row r="43229" spans="7:24" ht="15" customHeight="1">
      <c r="G43229"/>
      <c r="I43229"/>
      <c r="N43229"/>
      <c r="O43229" s="24"/>
      <c r="P43229"/>
      <c r="Q43229" s="24"/>
      <c r="R43229"/>
      <c r="S43229"/>
      <c r="T43229"/>
      <c r="U43229"/>
      <c r="X43229" s="60"/>
    </row>
    <row r="43230" spans="7:24" ht="15" customHeight="1">
      <c r="G43230"/>
      <c r="I43230"/>
      <c r="N43230"/>
      <c r="O43230" s="24"/>
      <c r="P43230"/>
      <c r="Q43230" s="24"/>
      <c r="R43230"/>
      <c r="S43230"/>
      <c r="T43230"/>
      <c r="U43230"/>
      <c r="X43230" s="60"/>
    </row>
    <row r="43231" spans="7:24" ht="15" customHeight="1">
      <c r="G43231"/>
      <c r="I43231"/>
      <c r="N43231"/>
      <c r="O43231" s="24"/>
      <c r="P43231"/>
      <c r="Q43231" s="24"/>
      <c r="R43231"/>
      <c r="S43231"/>
      <c r="T43231"/>
      <c r="U43231"/>
      <c r="X43231" s="60"/>
    </row>
    <row r="43232" spans="7:24" ht="15" customHeight="1">
      <c r="G43232"/>
      <c r="I43232"/>
      <c r="N43232"/>
      <c r="O43232" s="24"/>
      <c r="P43232"/>
      <c r="Q43232" s="24"/>
      <c r="R43232"/>
      <c r="S43232"/>
      <c r="T43232"/>
      <c r="U43232"/>
      <c r="X43232" s="60"/>
    </row>
    <row r="43233" spans="7:24" ht="15" customHeight="1">
      <c r="G43233"/>
      <c r="I43233"/>
      <c r="N43233"/>
      <c r="O43233" s="24"/>
      <c r="P43233"/>
      <c r="Q43233" s="24"/>
      <c r="R43233"/>
      <c r="S43233"/>
      <c r="T43233"/>
      <c r="U43233"/>
      <c r="X43233" s="60"/>
    </row>
    <row r="43234" spans="7:24" ht="15" customHeight="1">
      <c r="G43234"/>
      <c r="I43234"/>
      <c r="N43234"/>
      <c r="O43234" s="24"/>
      <c r="P43234"/>
      <c r="Q43234" s="24"/>
      <c r="R43234"/>
      <c r="S43234"/>
      <c r="T43234"/>
      <c r="U43234"/>
      <c r="X43234" s="60"/>
    </row>
    <row r="43235" spans="7:24" ht="15" customHeight="1">
      <c r="G43235"/>
      <c r="I43235"/>
      <c r="N43235"/>
      <c r="O43235" s="24"/>
      <c r="P43235"/>
      <c r="Q43235" s="24"/>
      <c r="R43235"/>
      <c r="S43235"/>
      <c r="T43235"/>
      <c r="U43235"/>
      <c r="X43235" s="60"/>
    </row>
    <row r="43236" spans="7:24" ht="15" customHeight="1">
      <c r="G43236"/>
      <c r="I43236"/>
      <c r="N43236"/>
      <c r="O43236" s="24"/>
      <c r="P43236"/>
      <c r="Q43236" s="24"/>
      <c r="R43236"/>
      <c r="S43236"/>
      <c r="T43236"/>
      <c r="U43236"/>
      <c r="X43236" s="60"/>
    </row>
    <row r="43237" spans="7:24" ht="15" customHeight="1">
      <c r="G43237"/>
      <c r="I43237"/>
      <c r="N43237"/>
      <c r="O43237" s="24"/>
      <c r="P43237"/>
      <c r="Q43237" s="24"/>
      <c r="R43237"/>
      <c r="S43237"/>
      <c r="T43237"/>
      <c r="U43237"/>
      <c r="X43237" s="60"/>
    </row>
    <row r="43238" spans="7:24" ht="15" customHeight="1">
      <c r="G43238"/>
      <c r="I43238"/>
      <c r="N43238"/>
      <c r="O43238" s="24"/>
      <c r="P43238"/>
      <c r="Q43238" s="24"/>
      <c r="R43238"/>
      <c r="S43238"/>
      <c r="T43238"/>
      <c r="U43238"/>
      <c r="X43238" s="60"/>
    </row>
    <row r="43239" spans="7:24" ht="15" customHeight="1">
      <c r="G43239"/>
      <c r="I43239"/>
      <c r="N43239"/>
      <c r="O43239" s="24"/>
      <c r="P43239"/>
      <c r="Q43239" s="24"/>
      <c r="R43239"/>
      <c r="S43239"/>
      <c r="T43239"/>
      <c r="U43239"/>
      <c r="X43239" s="60"/>
    </row>
    <row r="43240" spans="7:24" ht="15" customHeight="1">
      <c r="G43240"/>
      <c r="I43240"/>
      <c r="N43240"/>
      <c r="O43240" s="24"/>
      <c r="P43240"/>
      <c r="Q43240" s="24"/>
      <c r="R43240"/>
      <c r="S43240"/>
      <c r="T43240"/>
      <c r="U43240"/>
      <c r="X43240" s="60"/>
    </row>
    <row r="43241" spans="7:24" ht="15" customHeight="1">
      <c r="G43241"/>
      <c r="I43241"/>
      <c r="N43241"/>
      <c r="O43241" s="24"/>
      <c r="P43241"/>
      <c r="Q43241" s="24"/>
      <c r="R43241"/>
      <c r="S43241"/>
      <c r="T43241"/>
      <c r="U43241"/>
      <c r="X43241" s="60"/>
    </row>
    <row r="43242" spans="7:24" ht="15" customHeight="1">
      <c r="G43242"/>
      <c r="I43242"/>
      <c r="N43242"/>
      <c r="O43242" s="24"/>
      <c r="P43242"/>
      <c r="Q43242" s="24"/>
      <c r="R43242"/>
      <c r="S43242"/>
      <c r="T43242"/>
      <c r="U43242"/>
      <c r="X43242" s="60"/>
    </row>
    <row r="43243" spans="7:24" ht="15" customHeight="1">
      <c r="G43243"/>
      <c r="I43243"/>
      <c r="N43243"/>
      <c r="O43243" s="24"/>
      <c r="P43243"/>
      <c r="Q43243" s="24"/>
      <c r="R43243"/>
      <c r="S43243"/>
      <c r="T43243"/>
      <c r="U43243"/>
      <c r="X43243" s="60"/>
    </row>
    <row r="43244" spans="7:24" ht="15" customHeight="1">
      <c r="G43244"/>
      <c r="I43244"/>
      <c r="N43244"/>
      <c r="O43244" s="24"/>
      <c r="P43244"/>
      <c r="Q43244" s="24"/>
      <c r="R43244"/>
      <c r="S43244"/>
      <c r="T43244"/>
      <c r="U43244"/>
      <c r="X43244" s="60"/>
    </row>
    <row r="43245" spans="7:24" ht="15" customHeight="1">
      <c r="G43245"/>
      <c r="I43245"/>
      <c r="N43245"/>
      <c r="O43245" s="24"/>
      <c r="P43245"/>
      <c r="Q43245" s="24"/>
      <c r="R43245"/>
      <c r="S43245"/>
      <c r="T43245"/>
      <c r="U43245"/>
      <c r="X43245" s="60"/>
    </row>
    <row r="43246" spans="7:24" ht="15" customHeight="1">
      <c r="G43246"/>
      <c r="I43246"/>
      <c r="N43246"/>
      <c r="O43246" s="24"/>
      <c r="P43246"/>
      <c r="Q43246" s="24"/>
      <c r="R43246"/>
      <c r="S43246"/>
      <c r="T43246"/>
      <c r="U43246"/>
      <c r="X43246" s="60"/>
    </row>
    <row r="43247" spans="7:24" ht="15" customHeight="1">
      <c r="G43247"/>
      <c r="I43247"/>
      <c r="N43247"/>
      <c r="O43247" s="24"/>
      <c r="P43247"/>
      <c r="Q43247" s="24"/>
      <c r="R43247"/>
      <c r="S43247"/>
      <c r="T43247"/>
      <c r="U43247"/>
      <c r="X43247" s="60"/>
    </row>
    <row r="43248" spans="7:24" ht="15" customHeight="1">
      <c r="G43248"/>
      <c r="I43248"/>
      <c r="N43248"/>
      <c r="O43248" s="24"/>
      <c r="P43248"/>
      <c r="Q43248" s="24"/>
      <c r="R43248"/>
      <c r="S43248"/>
      <c r="T43248"/>
      <c r="U43248"/>
      <c r="X43248" s="60"/>
    </row>
    <row r="43249" spans="7:24" ht="15" customHeight="1">
      <c r="G43249"/>
      <c r="I43249"/>
      <c r="N43249"/>
      <c r="O43249" s="24"/>
      <c r="P43249"/>
      <c r="Q43249" s="24"/>
      <c r="R43249"/>
      <c r="S43249"/>
      <c r="T43249"/>
      <c r="U43249"/>
      <c r="X43249" s="60"/>
    </row>
    <row r="43250" spans="7:24" ht="15" customHeight="1">
      <c r="G43250"/>
      <c r="I43250"/>
      <c r="N43250"/>
      <c r="O43250" s="24"/>
      <c r="P43250"/>
      <c r="Q43250" s="24"/>
      <c r="R43250"/>
      <c r="S43250"/>
      <c r="T43250"/>
      <c r="U43250"/>
      <c r="X43250" s="60"/>
    </row>
    <row r="43251" spans="7:24" ht="15" customHeight="1">
      <c r="G43251"/>
      <c r="I43251"/>
      <c r="N43251"/>
      <c r="O43251" s="24"/>
      <c r="P43251"/>
      <c r="Q43251" s="24"/>
      <c r="R43251"/>
      <c r="S43251"/>
      <c r="T43251"/>
      <c r="U43251"/>
      <c r="X43251" s="60"/>
    </row>
    <row r="43252" spans="7:24" ht="15" customHeight="1">
      <c r="G43252"/>
      <c r="I43252"/>
      <c r="N43252"/>
      <c r="O43252" s="24"/>
      <c r="P43252"/>
      <c r="Q43252" s="24"/>
      <c r="R43252"/>
      <c r="S43252"/>
      <c r="T43252"/>
      <c r="U43252"/>
      <c r="X43252" s="60"/>
    </row>
    <row r="43253" spans="7:24" ht="15" customHeight="1">
      <c r="G43253"/>
      <c r="I43253"/>
      <c r="N43253"/>
      <c r="O43253" s="24"/>
      <c r="P43253"/>
      <c r="Q43253" s="24"/>
      <c r="R43253"/>
      <c r="S43253"/>
      <c r="T43253"/>
      <c r="U43253"/>
      <c r="X43253" s="60"/>
    </row>
    <row r="43254" spans="7:24" ht="15" customHeight="1">
      <c r="G43254"/>
      <c r="I43254"/>
      <c r="N43254"/>
      <c r="O43254" s="24"/>
      <c r="P43254"/>
      <c r="Q43254" s="24"/>
      <c r="R43254"/>
      <c r="S43254"/>
      <c r="T43254"/>
      <c r="U43254"/>
      <c r="X43254" s="60"/>
    </row>
    <row r="43255" spans="7:24" ht="15" customHeight="1">
      <c r="G43255"/>
      <c r="I43255"/>
      <c r="N43255"/>
      <c r="O43255" s="24"/>
      <c r="P43255"/>
      <c r="Q43255" s="24"/>
      <c r="R43255"/>
      <c r="S43255"/>
      <c r="T43255"/>
      <c r="U43255"/>
      <c r="X43255" s="60"/>
    </row>
    <row r="43256" spans="7:24" ht="15" customHeight="1">
      <c r="G43256"/>
      <c r="I43256"/>
      <c r="N43256"/>
      <c r="O43256" s="24"/>
      <c r="P43256"/>
      <c r="Q43256" s="24"/>
      <c r="R43256"/>
      <c r="S43256"/>
      <c r="T43256"/>
      <c r="U43256"/>
      <c r="X43256" s="60"/>
    </row>
    <row r="43257" spans="7:24" ht="15" customHeight="1">
      <c r="G43257"/>
      <c r="I43257"/>
      <c r="N43257"/>
      <c r="O43257" s="24"/>
      <c r="P43257"/>
      <c r="Q43257" s="24"/>
      <c r="R43257"/>
      <c r="S43257"/>
      <c r="T43257"/>
      <c r="U43257"/>
      <c r="X43257" s="60"/>
    </row>
    <row r="43258" spans="7:24" ht="15" customHeight="1">
      <c r="G43258"/>
      <c r="I43258"/>
      <c r="N43258"/>
      <c r="O43258" s="24"/>
      <c r="P43258"/>
      <c r="Q43258" s="24"/>
      <c r="R43258"/>
      <c r="S43258"/>
      <c r="T43258"/>
      <c r="U43258"/>
      <c r="X43258" s="60"/>
    </row>
    <row r="43259" spans="7:24" ht="15" customHeight="1">
      <c r="G43259"/>
      <c r="I43259"/>
      <c r="N43259"/>
      <c r="O43259" s="24"/>
      <c r="P43259"/>
      <c r="Q43259" s="24"/>
      <c r="R43259"/>
      <c r="S43259"/>
      <c r="T43259"/>
      <c r="U43259"/>
      <c r="X43259" s="60"/>
    </row>
    <row r="43260" spans="7:24" ht="15" customHeight="1">
      <c r="G43260"/>
      <c r="I43260"/>
      <c r="N43260"/>
      <c r="O43260" s="24"/>
      <c r="P43260"/>
      <c r="Q43260" s="24"/>
      <c r="R43260"/>
      <c r="S43260"/>
      <c r="T43260"/>
      <c r="U43260"/>
      <c r="X43260" s="60"/>
    </row>
    <row r="43261" spans="7:24" ht="15" customHeight="1">
      <c r="G43261"/>
      <c r="I43261"/>
      <c r="N43261"/>
      <c r="O43261" s="24"/>
      <c r="P43261"/>
      <c r="Q43261" s="24"/>
      <c r="R43261"/>
      <c r="S43261"/>
      <c r="T43261"/>
      <c r="U43261"/>
      <c r="X43261" s="60"/>
    </row>
    <row r="43262" spans="7:24" ht="15" customHeight="1">
      <c r="G43262"/>
      <c r="I43262"/>
      <c r="N43262"/>
      <c r="O43262" s="24"/>
      <c r="P43262"/>
      <c r="Q43262" s="24"/>
      <c r="R43262"/>
      <c r="S43262"/>
      <c r="T43262"/>
      <c r="U43262"/>
      <c r="X43262" s="60"/>
    </row>
    <row r="43263" spans="7:24" ht="15" customHeight="1">
      <c r="G43263"/>
      <c r="I43263"/>
      <c r="N43263"/>
      <c r="O43263" s="24"/>
      <c r="P43263"/>
      <c r="Q43263" s="24"/>
      <c r="R43263"/>
      <c r="S43263"/>
      <c r="T43263"/>
      <c r="U43263"/>
      <c r="X43263" s="60"/>
    </row>
    <row r="43264" spans="7:24" ht="15" customHeight="1">
      <c r="G43264"/>
      <c r="I43264"/>
      <c r="N43264"/>
      <c r="O43264" s="24"/>
      <c r="P43264"/>
      <c r="Q43264" s="24"/>
      <c r="R43264"/>
      <c r="S43264"/>
      <c r="T43264"/>
      <c r="U43264"/>
      <c r="X43264" s="60"/>
    </row>
    <row r="43265" spans="7:24" ht="15" customHeight="1">
      <c r="G43265"/>
      <c r="I43265"/>
      <c r="N43265"/>
      <c r="O43265" s="24"/>
      <c r="P43265"/>
      <c r="Q43265" s="24"/>
      <c r="R43265"/>
      <c r="S43265"/>
      <c r="T43265"/>
      <c r="U43265"/>
      <c r="X43265" s="60"/>
    </row>
    <row r="43266" spans="7:24" ht="15" customHeight="1">
      <c r="G43266"/>
      <c r="I43266"/>
      <c r="N43266"/>
      <c r="O43266" s="24"/>
      <c r="P43266"/>
      <c r="Q43266" s="24"/>
      <c r="R43266"/>
      <c r="S43266"/>
      <c r="T43266"/>
      <c r="U43266"/>
      <c r="X43266" s="60"/>
    </row>
    <row r="43267" spans="7:24" ht="15" customHeight="1">
      <c r="G43267"/>
      <c r="I43267"/>
      <c r="N43267"/>
      <c r="O43267" s="24"/>
      <c r="P43267"/>
      <c r="Q43267" s="24"/>
      <c r="R43267"/>
      <c r="S43267"/>
      <c r="T43267"/>
      <c r="U43267"/>
      <c r="X43267" s="60"/>
    </row>
    <row r="43268" spans="7:24" ht="15" customHeight="1">
      <c r="G43268"/>
      <c r="I43268"/>
      <c r="N43268"/>
      <c r="O43268" s="24"/>
      <c r="P43268"/>
      <c r="Q43268" s="24"/>
      <c r="R43268"/>
      <c r="S43268"/>
      <c r="T43268"/>
      <c r="U43268"/>
      <c r="X43268" s="60"/>
    </row>
    <row r="43269" spans="7:24" ht="15" customHeight="1">
      <c r="G43269"/>
      <c r="I43269"/>
      <c r="N43269"/>
      <c r="O43269" s="24"/>
      <c r="P43269"/>
      <c r="Q43269" s="24"/>
      <c r="R43269"/>
      <c r="S43269"/>
      <c r="T43269"/>
      <c r="U43269"/>
      <c r="X43269" s="60"/>
    </row>
    <row r="43270" spans="7:24" ht="15" customHeight="1">
      <c r="G43270"/>
      <c r="I43270"/>
      <c r="N43270"/>
      <c r="O43270" s="24"/>
      <c r="P43270"/>
      <c r="Q43270" s="24"/>
      <c r="R43270"/>
      <c r="S43270"/>
      <c r="T43270"/>
      <c r="U43270"/>
      <c r="X43270" s="60"/>
    </row>
    <row r="43271" spans="7:24" ht="15" customHeight="1">
      <c r="G43271"/>
      <c r="I43271"/>
      <c r="N43271"/>
      <c r="O43271" s="24"/>
      <c r="P43271"/>
      <c r="Q43271" s="24"/>
      <c r="R43271"/>
      <c r="S43271"/>
      <c r="T43271"/>
      <c r="U43271"/>
      <c r="X43271" s="60"/>
    </row>
    <row r="43272" spans="7:24" ht="15" customHeight="1">
      <c r="G43272"/>
      <c r="I43272"/>
      <c r="N43272"/>
      <c r="O43272" s="24"/>
      <c r="P43272"/>
      <c r="Q43272" s="24"/>
      <c r="R43272"/>
      <c r="S43272"/>
      <c r="T43272"/>
      <c r="U43272"/>
      <c r="X43272" s="60"/>
    </row>
    <row r="43273" spans="7:24" ht="15" customHeight="1">
      <c r="G43273"/>
      <c r="I43273"/>
      <c r="N43273"/>
      <c r="O43273" s="24"/>
      <c r="P43273"/>
      <c r="Q43273" s="24"/>
      <c r="R43273"/>
      <c r="S43273"/>
      <c r="T43273"/>
      <c r="U43273"/>
      <c r="X43273" s="60"/>
    </row>
    <row r="43274" spans="7:24" ht="15" customHeight="1">
      <c r="G43274"/>
      <c r="I43274"/>
      <c r="N43274"/>
      <c r="O43274" s="24"/>
      <c r="P43274"/>
      <c r="Q43274" s="24"/>
      <c r="R43274"/>
      <c r="S43274"/>
      <c r="T43274"/>
      <c r="U43274"/>
      <c r="X43274" s="60"/>
    </row>
    <row r="43275" spans="7:24" ht="15" customHeight="1">
      <c r="G43275"/>
      <c r="I43275"/>
      <c r="N43275"/>
      <c r="O43275" s="24"/>
      <c r="P43275"/>
      <c r="Q43275" s="24"/>
      <c r="R43275"/>
      <c r="S43275"/>
      <c r="T43275"/>
      <c r="U43275"/>
      <c r="X43275" s="60"/>
    </row>
    <row r="43276" spans="7:24" ht="15" customHeight="1">
      <c r="G43276"/>
      <c r="I43276"/>
      <c r="N43276"/>
      <c r="O43276" s="24"/>
      <c r="P43276"/>
      <c r="Q43276" s="24"/>
      <c r="R43276"/>
      <c r="S43276"/>
      <c r="T43276"/>
      <c r="U43276"/>
      <c r="X43276" s="60"/>
    </row>
    <row r="43277" spans="7:24" ht="15" customHeight="1">
      <c r="G43277"/>
      <c r="I43277"/>
      <c r="N43277"/>
      <c r="O43277" s="24"/>
      <c r="P43277"/>
      <c r="Q43277" s="24"/>
      <c r="R43277"/>
      <c r="S43277"/>
      <c r="T43277"/>
      <c r="U43277"/>
      <c r="X43277" s="60"/>
    </row>
    <row r="43278" spans="7:24" ht="15" customHeight="1">
      <c r="G43278"/>
      <c r="I43278"/>
      <c r="N43278"/>
      <c r="O43278" s="24"/>
      <c r="P43278"/>
      <c r="Q43278" s="24"/>
      <c r="R43278"/>
      <c r="S43278"/>
      <c r="T43278"/>
      <c r="U43278"/>
      <c r="X43278" s="60"/>
    </row>
    <row r="43279" spans="7:24" ht="15" customHeight="1">
      <c r="G43279"/>
      <c r="I43279"/>
      <c r="N43279"/>
      <c r="O43279" s="24"/>
      <c r="P43279"/>
      <c r="Q43279" s="24"/>
      <c r="R43279"/>
      <c r="S43279"/>
      <c r="T43279"/>
      <c r="U43279"/>
      <c r="X43279" s="60"/>
    </row>
    <row r="43280" spans="7:24" ht="15" customHeight="1">
      <c r="G43280"/>
      <c r="I43280"/>
      <c r="N43280"/>
      <c r="O43280" s="24"/>
      <c r="P43280"/>
      <c r="Q43280" s="24"/>
      <c r="R43280"/>
      <c r="S43280"/>
      <c r="T43280"/>
      <c r="U43280"/>
      <c r="X43280" s="60"/>
    </row>
    <row r="43281" spans="7:24" ht="15" customHeight="1">
      <c r="G43281"/>
      <c r="I43281"/>
      <c r="N43281"/>
      <c r="O43281" s="24"/>
      <c r="P43281"/>
      <c r="Q43281" s="24"/>
      <c r="R43281"/>
      <c r="S43281"/>
      <c r="T43281"/>
      <c r="U43281"/>
      <c r="X43281" s="60"/>
    </row>
    <row r="43282" spans="7:24" ht="15" customHeight="1">
      <c r="G43282"/>
      <c r="I43282"/>
      <c r="N43282"/>
      <c r="O43282" s="24"/>
      <c r="P43282"/>
      <c r="Q43282" s="24"/>
      <c r="R43282"/>
      <c r="S43282"/>
      <c r="T43282"/>
      <c r="U43282"/>
      <c r="X43282" s="60"/>
    </row>
    <row r="43283" spans="7:24" ht="15" customHeight="1">
      <c r="G43283"/>
      <c r="I43283"/>
      <c r="N43283"/>
      <c r="O43283" s="24"/>
      <c r="P43283"/>
      <c r="Q43283" s="24"/>
      <c r="R43283"/>
      <c r="S43283"/>
      <c r="T43283"/>
      <c r="U43283"/>
      <c r="X43283" s="60"/>
    </row>
    <row r="43284" spans="7:24" ht="15" customHeight="1">
      <c r="G43284"/>
      <c r="I43284"/>
      <c r="N43284"/>
      <c r="O43284" s="24"/>
      <c r="P43284"/>
      <c r="Q43284" s="24"/>
      <c r="R43284"/>
      <c r="S43284"/>
      <c r="T43284"/>
      <c r="U43284"/>
      <c r="X43284" s="60"/>
    </row>
    <row r="43285" spans="7:24" ht="15" customHeight="1">
      <c r="G43285"/>
      <c r="I43285"/>
      <c r="N43285"/>
      <c r="O43285" s="24"/>
      <c r="P43285"/>
      <c r="Q43285" s="24"/>
      <c r="R43285"/>
      <c r="S43285"/>
      <c r="T43285"/>
      <c r="U43285"/>
      <c r="X43285" s="60"/>
    </row>
    <row r="43286" spans="7:24" ht="15" customHeight="1">
      <c r="G43286"/>
      <c r="I43286"/>
      <c r="N43286"/>
      <c r="O43286" s="24"/>
      <c r="P43286"/>
      <c r="Q43286" s="24"/>
      <c r="R43286"/>
      <c r="S43286"/>
      <c r="T43286"/>
      <c r="U43286"/>
      <c r="X43286" s="60"/>
    </row>
    <row r="43287" spans="7:24" ht="15" customHeight="1">
      <c r="G43287"/>
      <c r="I43287"/>
      <c r="N43287"/>
      <c r="O43287" s="24"/>
      <c r="P43287"/>
      <c r="Q43287" s="24"/>
      <c r="R43287"/>
      <c r="S43287"/>
      <c r="T43287"/>
      <c r="U43287"/>
      <c r="X43287" s="60"/>
    </row>
    <row r="43288" spans="7:24" ht="15" customHeight="1">
      <c r="G43288"/>
      <c r="I43288"/>
      <c r="N43288"/>
      <c r="O43288" s="24"/>
      <c r="P43288"/>
      <c r="Q43288" s="24"/>
      <c r="R43288"/>
      <c r="S43288"/>
      <c r="T43288"/>
      <c r="U43288"/>
      <c r="X43288" s="60"/>
    </row>
    <row r="43289" spans="7:24" ht="15" customHeight="1">
      <c r="G43289"/>
      <c r="I43289"/>
      <c r="N43289"/>
      <c r="O43289" s="24"/>
      <c r="P43289"/>
      <c r="Q43289" s="24"/>
      <c r="R43289"/>
      <c r="S43289"/>
      <c r="T43289"/>
      <c r="U43289"/>
      <c r="X43289" s="60"/>
    </row>
    <row r="43290" spans="7:24" ht="15" customHeight="1">
      <c r="G43290"/>
      <c r="I43290"/>
      <c r="N43290"/>
      <c r="O43290" s="24"/>
      <c r="P43290"/>
      <c r="Q43290" s="24"/>
      <c r="R43290"/>
      <c r="S43290"/>
      <c r="T43290"/>
      <c r="U43290"/>
      <c r="X43290" s="60"/>
    </row>
    <row r="43291" spans="7:24" ht="15" customHeight="1">
      <c r="G43291"/>
      <c r="I43291"/>
      <c r="N43291"/>
      <c r="O43291" s="24"/>
      <c r="P43291"/>
      <c r="Q43291" s="24"/>
      <c r="R43291"/>
      <c r="S43291"/>
      <c r="T43291"/>
      <c r="U43291"/>
      <c r="X43291" s="60"/>
    </row>
    <row r="43292" spans="7:24" ht="15" customHeight="1">
      <c r="G43292"/>
      <c r="I43292"/>
      <c r="N43292"/>
      <c r="O43292" s="24"/>
      <c r="P43292"/>
      <c r="Q43292" s="24"/>
      <c r="R43292"/>
      <c r="S43292"/>
      <c r="T43292"/>
      <c r="U43292"/>
      <c r="X43292" s="60"/>
    </row>
    <row r="43293" spans="7:24" ht="15" customHeight="1">
      <c r="G43293"/>
      <c r="I43293"/>
      <c r="N43293"/>
      <c r="O43293" s="24"/>
      <c r="P43293"/>
      <c r="Q43293" s="24"/>
      <c r="R43293"/>
      <c r="S43293"/>
      <c r="T43293"/>
      <c r="U43293"/>
      <c r="X43293" s="60"/>
    </row>
    <row r="43294" spans="7:24" ht="15" customHeight="1">
      <c r="G43294"/>
      <c r="I43294"/>
      <c r="N43294"/>
      <c r="O43294" s="24"/>
      <c r="P43294"/>
      <c r="Q43294" s="24"/>
      <c r="R43294"/>
      <c r="S43294"/>
      <c r="T43294"/>
      <c r="U43294"/>
      <c r="X43294" s="60"/>
    </row>
    <row r="43295" spans="7:24" ht="15" customHeight="1">
      <c r="G43295"/>
      <c r="I43295"/>
      <c r="N43295"/>
      <c r="O43295" s="24"/>
      <c r="P43295"/>
      <c r="Q43295" s="24"/>
      <c r="R43295"/>
      <c r="S43295"/>
      <c r="T43295"/>
      <c r="U43295"/>
      <c r="X43295" s="60"/>
    </row>
    <row r="43296" spans="7:24" ht="15" customHeight="1">
      <c r="G43296"/>
      <c r="I43296"/>
      <c r="N43296"/>
      <c r="O43296" s="24"/>
      <c r="P43296"/>
      <c r="Q43296" s="24"/>
      <c r="R43296"/>
      <c r="S43296"/>
      <c r="T43296"/>
      <c r="U43296"/>
      <c r="X43296" s="60"/>
    </row>
    <row r="43297" spans="7:24" ht="15" customHeight="1">
      <c r="G43297"/>
      <c r="I43297"/>
      <c r="N43297"/>
      <c r="O43297" s="24"/>
      <c r="P43297"/>
      <c r="Q43297" s="24"/>
      <c r="R43297"/>
      <c r="S43297"/>
      <c r="T43297"/>
      <c r="U43297"/>
      <c r="X43297" s="60"/>
    </row>
    <row r="43298" spans="7:24" ht="15" customHeight="1">
      <c r="G43298"/>
      <c r="I43298"/>
      <c r="N43298"/>
      <c r="O43298" s="24"/>
      <c r="P43298"/>
      <c r="Q43298" s="24"/>
      <c r="R43298"/>
      <c r="S43298"/>
      <c r="T43298"/>
      <c r="U43298"/>
      <c r="X43298" s="60"/>
    </row>
    <row r="43299" spans="7:24" ht="15" customHeight="1">
      <c r="G43299"/>
      <c r="I43299"/>
      <c r="N43299"/>
      <c r="O43299" s="24"/>
      <c r="P43299"/>
      <c r="Q43299" s="24"/>
      <c r="R43299"/>
      <c r="S43299"/>
      <c r="T43299"/>
      <c r="U43299"/>
      <c r="X43299" s="60"/>
    </row>
    <row r="43300" spans="7:24" ht="15" customHeight="1">
      <c r="G43300"/>
      <c r="I43300"/>
      <c r="N43300"/>
      <c r="O43300" s="24"/>
      <c r="P43300"/>
      <c r="Q43300" s="24"/>
      <c r="R43300"/>
      <c r="S43300"/>
      <c r="T43300"/>
      <c r="U43300"/>
      <c r="X43300" s="60"/>
    </row>
    <row r="43301" spans="7:24" ht="15" customHeight="1">
      <c r="G43301"/>
      <c r="I43301"/>
      <c r="N43301"/>
      <c r="O43301" s="24"/>
      <c r="P43301"/>
      <c r="Q43301" s="24"/>
      <c r="R43301"/>
      <c r="S43301"/>
      <c r="T43301"/>
      <c r="U43301"/>
      <c r="X43301" s="60"/>
    </row>
    <row r="43302" spans="7:24" ht="15" customHeight="1">
      <c r="G43302"/>
      <c r="I43302"/>
      <c r="N43302"/>
      <c r="O43302" s="24"/>
      <c r="P43302"/>
      <c r="Q43302" s="24"/>
      <c r="R43302"/>
      <c r="S43302"/>
      <c r="T43302"/>
      <c r="U43302"/>
      <c r="X43302" s="60"/>
    </row>
    <row r="43303" spans="7:24" ht="15" customHeight="1">
      <c r="G43303"/>
      <c r="I43303"/>
      <c r="N43303"/>
      <c r="O43303" s="24"/>
      <c r="P43303"/>
      <c r="Q43303" s="24"/>
      <c r="R43303"/>
      <c r="S43303"/>
      <c r="T43303"/>
      <c r="U43303"/>
      <c r="X43303" s="60"/>
    </row>
    <row r="43304" spans="7:24" ht="15" customHeight="1">
      <c r="G43304"/>
      <c r="I43304"/>
      <c r="N43304"/>
      <c r="O43304" s="24"/>
      <c r="P43304"/>
      <c r="Q43304" s="24"/>
      <c r="R43304"/>
      <c r="S43304"/>
      <c r="T43304"/>
      <c r="U43304"/>
      <c r="X43304" s="60"/>
    </row>
    <row r="43305" spans="7:24" ht="15" customHeight="1">
      <c r="G43305"/>
      <c r="I43305"/>
      <c r="N43305"/>
      <c r="O43305" s="24"/>
      <c r="P43305"/>
      <c r="Q43305" s="24"/>
      <c r="R43305"/>
      <c r="S43305"/>
      <c r="T43305"/>
      <c r="U43305"/>
      <c r="X43305" s="60"/>
    </row>
    <row r="43306" spans="7:24" ht="15" customHeight="1">
      <c r="G43306"/>
      <c r="I43306"/>
      <c r="N43306"/>
      <c r="O43306" s="24"/>
      <c r="P43306"/>
      <c r="Q43306" s="24"/>
      <c r="R43306"/>
      <c r="S43306"/>
      <c r="T43306"/>
      <c r="U43306"/>
      <c r="X43306" s="60"/>
    </row>
    <row r="43307" spans="7:24" ht="15" customHeight="1">
      <c r="G43307"/>
      <c r="I43307"/>
      <c r="N43307"/>
      <c r="O43307" s="24"/>
      <c r="P43307"/>
      <c r="Q43307" s="24"/>
      <c r="R43307"/>
      <c r="S43307"/>
      <c r="T43307"/>
      <c r="U43307"/>
      <c r="X43307" s="60"/>
    </row>
    <row r="43308" spans="7:24" ht="15" customHeight="1">
      <c r="G43308"/>
      <c r="I43308"/>
      <c r="N43308"/>
      <c r="O43308" s="24"/>
      <c r="P43308"/>
      <c r="Q43308" s="24"/>
      <c r="R43308"/>
      <c r="S43308"/>
      <c r="T43308"/>
      <c r="U43308"/>
      <c r="X43308" s="60"/>
    </row>
    <row r="43309" spans="7:24" ht="15" customHeight="1">
      <c r="G43309"/>
      <c r="I43309"/>
      <c r="N43309"/>
      <c r="O43309" s="24"/>
      <c r="P43309"/>
      <c r="Q43309" s="24"/>
      <c r="R43309"/>
      <c r="S43309"/>
      <c r="T43309"/>
      <c r="U43309"/>
      <c r="X43309" s="60"/>
    </row>
    <row r="43310" spans="7:24" ht="15" customHeight="1">
      <c r="G43310"/>
      <c r="I43310"/>
      <c r="N43310"/>
      <c r="O43310" s="24"/>
      <c r="P43310"/>
      <c r="Q43310" s="24"/>
      <c r="R43310"/>
      <c r="S43310"/>
      <c r="T43310"/>
      <c r="U43310"/>
      <c r="X43310" s="60"/>
    </row>
    <row r="43311" spans="7:24" ht="15" customHeight="1">
      <c r="G43311"/>
      <c r="I43311"/>
      <c r="N43311"/>
      <c r="O43311" s="24"/>
      <c r="P43311"/>
      <c r="Q43311" s="24"/>
      <c r="R43311"/>
      <c r="S43311"/>
      <c r="T43311"/>
      <c r="U43311"/>
      <c r="X43311" s="60"/>
    </row>
    <row r="43312" spans="7:24" ht="15" customHeight="1">
      <c r="G43312"/>
      <c r="I43312"/>
      <c r="N43312"/>
      <c r="O43312" s="24"/>
      <c r="P43312"/>
      <c r="Q43312" s="24"/>
      <c r="R43312"/>
      <c r="S43312"/>
      <c r="T43312"/>
      <c r="U43312"/>
      <c r="X43312" s="60"/>
    </row>
    <row r="43313" spans="7:24" ht="15" customHeight="1">
      <c r="G43313"/>
      <c r="I43313"/>
      <c r="N43313"/>
      <c r="O43313" s="24"/>
      <c r="P43313"/>
      <c r="Q43313" s="24"/>
      <c r="R43313"/>
      <c r="S43313"/>
      <c r="T43313"/>
      <c r="U43313"/>
      <c r="X43313" s="60"/>
    </row>
    <row r="43314" spans="7:24" ht="15" customHeight="1">
      <c r="G43314"/>
      <c r="I43314"/>
      <c r="N43314"/>
      <c r="O43314" s="24"/>
      <c r="P43314"/>
      <c r="Q43314" s="24"/>
      <c r="R43314"/>
      <c r="S43314"/>
      <c r="T43314"/>
      <c r="U43314"/>
      <c r="X43314" s="60"/>
    </row>
    <row r="43315" spans="7:24" ht="15" customHeight="1">
      <c r="G43315"/>
      <c r="I43315"/>
      <c r="N43315"/>
      <c r="O43315" s="24"/>
      <c r="P43315"/>
      <c r="Q43315" s="24"/>
      <c r="R43315"/>
      <c r="S43315"/>
      <c r="T43315"/>
      <c r="U43315"/>
      <c r="X43315" s="60"/>
    </row>
    <row r="43316" spans="7:24" ht="15" customHeight="1">
      <c r="G43316"/>
      <c r="I43316"/>
      <c r="N43316"/>
      <c r="O43316" s="24"/>
      <c r="P43316"/>
      <c r="Q43316" s="24"/>
      <c r="R43316"/>
      <c r="S43316"/>
      <c r="T43316"/>
      <c r="U43316"/>
      <c r="X43316" s="60"/>
    </row>
    <row r="43317" spans="7:24" ht="15" customHeight="1">
      <c r="G43317"/>
      <c r="I43317"/>
      <c r="N43317"/>
      <c r="O43317" s="24"/>
      <c r="P43317"/>
      <c r="Q43317" s="24"/>
      <c r="R43317"/>
      <c r="S43317"/>
      <c r="T43317"/>
      <c r="U43317"/>
      <c r="X43317" s="60"/>
    </row>
    <row r="43318" spans="7:24" ht="15" customHeight="1">
      <c r="G43318"/>
      <c r="I43318"/>
      <c r="N43318"/>
      <c r="O43318" s="24"/>
      <c r="P43318"/>
      <c r="Q43318" s="24"/>
      <c r="R43318"/>
      <c r="S43318"/>
      <c r="T43318"/>
      <c r="U43318"/>
      <c r="X43318" s="60"/>
    </row>
    <row r="43319" spans="7:24" ht="15" customHeight="1">
      <c r="G43319"/>
      <c r="I43319"/>
      <c r="N43319"/>
      <c r="O43319" s="24"/>
      <c r="P43319"/>
      <c r="Q43319" s="24"/>
      <c r="R43319"/>
      <c r="S43319"/>
      <c r="T43319"/>
      <c r="U43319"/>
      <c r="X43319" s="60"/>
    </row>
    <row r="43320" spans="7:24" ht="15" customHeight="1">
      <c r="G43320"/>
      <c r="I43320"/>
      <c r="N43320"/>
      <c r="O43320" s="24"/>
      <c r="P43320"/>
      <c r="Q43320" s="24"/>
      <c r="R43320"/>
      <c r="S43320"/>
      <c r="T43320"/>
      <c r="U43320"/>
      <c r="X43320" s="60"/>
    </row>
    <row r="43321" spans="7:24" ht="15" customHeight="1">
      <c r="G43321"/>
      <c r="I43321"/>
      <c r="N43321"/>
      <c r="O43321" s="24"/>
      <c r="P43321"/>
      <c r="Q43321" s="24"/>
      <c r="R43321"/>
      <c r="S43321"/>
      <c r="T43321"/>
      <c r="U43321"/>
      <c r="X43321" s="60"/>
    </row>
    <row r="43322" spans="7:24" ht="15" customHeight="1">
      <c r="G43322"/>
      <c r="I43322"/>
      <c r="N43322"/>
      <c r="O43322" s="24"/>
      <c r="P43322"/>
      <c r="Q43322" s="24"/>
      <c r="R43322"/>
      <c r="S43322"/>
      <c r="T43322"/>
      <c r="U43322"/>
      <c r="X43322" s="60"/>
    </row>
    <row r="43323" spans="7:24" ht="15" customHeight="1">
      <c r="G43323"/>
      <c r="I43323"/>
      <c r="N43323"/>
      <c r="O43323" s="24"/>
      <c r="P43323"/>
      <c r="Q43323" s="24"/>
      <c r="R43323"/>
      <c r="S43323"/>
      <c r="T43323"/>
      <c r="U43323"/>
      <c r="X43323" s="60"/>
    </row>
    <row r="43324" spans="7:24" ht="15" customHeight="1">
      <c r="G43324"/>
      <c r="I43324"/>
      <c r="N43324"/>
      <c r="O43324" s="24"/>
      <c r="P43324"/>
      <c r="Q43324" s="24"/>
      <c r="R43324"/>
      <c r="S43324"/>
      <c r="T43324"/>
      <c r="U43324"/>
      <c r="X43324" s="60"/>
    </row>
    <row r="43325" spans="7:24" ht="15" customHeight="1">
      <c r="G43325"/>
      <c r="I43325"/>
      <c r="N43325"/>
      <c r="O43325" s="24"/>
      <c r="P43325"/>
      <c r="Q43325" s="24"/>
      <c r="R43325"/>
      <c r="S43325"/>
      <c r="T43325"/>
      <c r="U43325"/>
      <c r="X43325" s="60"/>
    </row>
    <row r="43326" spans="7:24" ht="15" customHeight="1">
      <c r="G43326"/>
      <c r="I43326"/>
      <c r="N43326"/>
      <c r="O43326" s="24"/>
      <c r="P43326"/>
      <c r="Q43326" s="24"/>
      <c r="R43326"/>
      <c r="S43326"/>
      <c r="T43326"/>
      <c r="U43326"/>
      <c r="X43326" s="60"/>
    </row>
    <row r="43327" spans="7:24" ht="15" customHeight="1">
      <c r="G43327"/>
      <c r="I43327"/>
      <c r="N43327"/>
      <c r="O43327" s="24"/>
      <c r="P43327"/>
      <c r="Q43327" s="24"/>
      <c r="R43327"/>
      <c r="S43327"/>
      <c r="T43327"/>
      <c r="U43327"/>
      <c r="X43327" s="60"/>
    </row>
    <row r="43328" spans="7:24" ht="15" customHeight="1">
      <c r="G43328"/>
      <c r="I43328"/>
      <c r="N43328"/>
      <c r="O43328" s="24"/>
      <c r="P43328"/>
      <c r="Q43328" s="24"/>
      <c r="R43328"/>
      <c r="S43328"/>
      <c r="T43328"/>
      <c r="U43328"/>
      <c r="X43328" s="60"/>
    </row>
    <row r="43329" spans="7:24" ht="15" customHeight="1">
      <c r="G43329"/>
      <c r="I43329"/>
      <c r="N43329"/>
      <c r="O43329" s="24"/>
      <c r="P43329"/>
      <c r="Q43329" s="24"/>
      <c r="R43329"/>
      <c r="S43329"/>
      <c r="T43329"/>
      <c r="U43329"/>
      <c r="X43329" s="60"/>
    </row>
    <row r="43330" spans="7:24" ht="15" customHeight="1">
      <c r="G43330"/>
      <c r="I43330"/>
      <c r="N43330"/>
      <c r="O43330" s="24"/>
      <c r="P43330"/>
      <c r="Q43330" s="24"/>
      <c r="R43330"/>
      <c r="S43330"/>
      <c r="T43330"/>
      <c r="U43330"/>
      <c r="X43330" s="60"/>
    </row>
    <row r="43331" spans="7:24" ht="15" customHeight="1">
      <c r="G43331"/>
      <c r="I43331"/>
      <c r="N43331"/>
      <c r="O43331" s="24"/>
      <c r="P43331"/>
      <c r="Q43331" s="24"/>
      <c r="R43331"/>
      <c r="S43331"/>
      <c r="T43331"/>
      <c r="U43331"/>
      <c r="X43331" s="60"/>
    </row>
    <row r="43332" spans="7:24" ht="15" customHeight="1">
      <c r="G43332"/>
      <c r="I43332"/>
      <c r="N43332"/>
      <c r="O43332" s="24"/>
      <c r="P43332"/>
      <c r="Q43332" s="24"/>
      <c r="R43332"/>
      <c r="S43332"/>
      <c r="T43332"/>
      <c r="U43332"/>
      <c r="X43332" s="60"/>
    </row>
    <row r="43333" spans="7:24" ht="15" customHeight="1">
      <c r="G43333"/>
      <c r="I43333"/>
      <c r="N43333"/>
      <c r="O43333" s="24"/>
      <c r="P43333"/>
      <c r="Q43333" s="24"/>
      <c r="R43333"/>
      <c r="S43333"/>
      <c r="T43333"/>
      <c r="U43333"/>
      <c r="X43333" s="60"/>
    </row>
    <row r="43334" spans="7:24" ht="15" customHeight="1">
      <c r="G43334"/>
      <c r="I43334"/>
      <c r="N43334"/>
      <c r="O43334" s="24"/>
      <c r="P43334"/>
      <c r="Q43334" s="24"/>
      <c r="R43334"/>
      <c r="S43334"/>
      <c r="T43334"/>
      <c r="U43334"/>
      <c r="X43334" s="60"/>
    </row>
    <row r="43335" spans="7:24" ht="15" customHeight="1">
      <c r="G43335"/>
      <c r="I43335"/>
      <c r="N43335"/>
      <c r="O43335" s="24"/>
      <c r="P43335"/>
      <c r="Q43335" s="24"/>
      <c r="R43335"/>
      <c r="S43335"/>
      <c r="T43335"/>
      <c r="U43335"/>
      <c r="X43335" s="60"/>
    </row>
    <row r="43336" spans="7:24" ht="15" customHeight="1">
      <c r="G43336"/>
      <c r="I43336"/>
      <c r="N43336"/>
      <c r="O43336" s="24"/>
      <c r="P43336"/>
      <c r="Q43336" s="24"/>
      <c r="R43336"/>
      <c r="S43336"/>
      <c r="T43336"/>
      <c r="U43336"/>
      <c r="X43336" s="60"/>
    </row>
    <row r="43337" spans="7:24" ht="15" customHeight="1">
      <c r="G43337"/>
      <c r="I43337"/>
      <c r="N43337"/>
      <c r="O43337" s="24"/>
      <c r="P43337"/>
      <c r="Q43337" s="24"/>
      <c r="R43337"/>
      <c r="S43337"/>
      <c r="T43337"/>
      <c r="U43337"/>
      <c r="X43337" s="60"/>
    </row>
    <row r="43338" spans="7:24" ht="15" customHeight="1">
      <c r="G43338"/>
      <c r="I43338"/>
      <c r="N43338"/>
      <c r="O43338" s="24"/>
      <c r="P43338"/>
      <c r="Q43338" s="24"/>
      <c r="R43338"/>
      <c r="S43338"/>
      <c r="T43338"/>
      <c r="U43338"/>
      <c r="X43338" s="60"/>
    </row>
    <row r="43339" spans="7:24" ht="15" customHeight="1">
      <c r="G43339"/>
      <c r="I43339"/>
      <c r="N43339"/>
      <c r="O43339" s="24"/>
      <c r="P43339"/>
      <c r="Q43339" s="24"/>
      <c r="R43339"/>
      <c r="S43339"/>
      <c r="T43339"/>
      <c r="U43339"/>
      <c r="X43339" s="60"/>
    </row>
    <row r="43340" spans="7:24" ht="15" customHeight="1">
      <c r="G43340"/>
      <c r="I43340"/>
      <c r="N43340"/>
      <c r="O43340" s="24"/>
      <c r="P43340"/>
      <c r="Q43340" s="24"/>
      <c r="R43340"/>
      <c r="S43340"/>
      <c r="T43340"/>
      <c r="U43340"/>
      <c r="X43340" s="60"/>
    </row>
    <row r="43341" spans="7:24" ht="15" customHeight="1">
      <c r="G43341"/>
      <c r="I43341"/>
      <c r="N43341"/>
      <c r="O43341" s="24"/>
      <c r="P43341"/>
      <c r="Q43341" s="24"/>
      <c r="R43341"/>
      <c r="S43341"/>
      <c r="T43341"/>
      <c r="U43341"/>
      <c r="X43341" s="60"/>
    </row>
    <row r="43342" spans="7:24" ht="15" customHeight="1">
      <c r="G43342"/>
      <c r="I43342"/>
      <c r="N43342"/>
      <c r="O43342" s="24"/>
      <c r="P43342"/>
      <c r="Q43342" s="24"/>
      <c r="R43342"/>
      <c r="S43342"/>
      <c r="T43342"/>
      <c r="U43342"/>
      <c r="X43342" s="60"/>
    </row>
    <row r="43343" spans="7:24" ht="15" customHeight="1">
      <c r="G43343"/>
      <c r="I43343"/>
      <c r="N43343"/>
      <c r="O43343" s="24"/>
      <c r="P43343"/>
      <c r="Q43343" s="24"/>
      <c r="R43343"/>
      <c r="S43343"/>
      <c r="T43343"/>
      <c r="U43343"/>
      <c r="X43343" s="60"/>
    </row>
    <row r="43344" spans="7:24" ht="15" customHeight="1">
      <c r="G43344"/>
      <c r="I43344"/>
      <c r="N43344"/>
      <c r="O43344" s="24"/>
      <c r="P43344"/>
      <c r="Q43344" s="24"/>
      <c r="R43344"/>
      <c r="S43344"/>
      <c r="T43344"/>
      <c r="U43344"/>
      <c r="X43344" s="60"/>
    </row>
    <row r="43345" spans="7:24" ht="15" customHeight="1">
      <c r="G43345"/>
      <c r="I43345"/>
      <c r="N43345"/>
      <c r="O43345" s="24"/>
      <c r="P43345"/>
      <c r="Q43345" s="24"/>
      <c r="R43345"/>
      <c r="S43345"/>
      <c r="T43345"/>
      <c r="U43345"/>
      <c r="X43345" s="60"/>
    </row>
    <row r="43346" spans="7:24" ht="15" customHeight="1">
      <c r="G43346"/>
      <c r="I43346"/>
      <c r="N43346"/>
      <c r="O43346" s="24"/>
      <c r="P43346"/>
      <c r="Q43346" s="24"/>
      <c r="R43346"/>
      <c r="S43346"/>
      <c r="T43346"/>
      <c r="U43346"/>
      <c r="X43346" s="60"/>
    </row>
    <row r="43347" spans="7:24" ht="15" customHeight="1">
      <c r="G43347"/>
      <c r="I43347"/>
      <c r="N43347"/>
      <c r="O43347" s="24"/>
      <c r="P43347"/>
      <c r="Q43347" s="24"/>
      <c r="R43347"/>
      <c r="S43347"/>
      <c r="T43347"/>
      <c r="U43347"/>
      <c r="X43347" s="60"/>
    </row>
    <row r="43348" spans="7:24" ht="15" customHeight="1">
      <c r="G43348"/>
      <c r="I43348"/>
      <c r="N43348"/>
      <c r="O43348" s="24"/>
      <c r="P43348"/>
      <c r="Q43348" s="24"/>
      <c r="R43348"/>
      <c r="S43348"/>
      <c r="T43348"/>
      <c r="U43348"/>
      <c r="X43348" s="60"/>
    </row>
    <row r="43349" spans="7:24" ht="15" customHeight="1">
      <c r="G43349"/>
      <c r="I43349"/>
      <c r="N43349"/>
      <c r="O43349" s="24"/>
      <c r="P43349"/>
      <c r="Q43349" s="24"/>
      <c r="R43349"/>
      <c r="S43349"/>
      <c r="T43349"/>
      <c r="U43349"/>
      <c r="X43349" s="60"/>
    </row>
    <row r="43350" spans="7:24" ht="15" customHeight="1">
      <c r="G43350"/>
      <c r="I43350"/>
      <c r="N43350"/>
      <c r="O43350" s="24"/>
      <c r="P43350"/>
      <c r="Q43350" s="24"/>
      <c r="R43350"/>
      <c r="S43350"/>
      <c r="T43350"/>
      <c r="U43350"/>
      <c r="X43350" s="60"/>
    </row>
    <row r="43351" spans="7:24" ht="15" customHeight="1">
      <c r="G43351"/>
      <c r="I43351"/>
      <c r="N43351"/>
      <c r="O43351" s="24"/>
      <c r="P43351"/>
      <c r="Q43351" s="24"/>
      <c r="R43351"/>
      <c r="S43351"/>
      <c r="T43351"/>
      <c r="U43351"/>
      <c r="X43351" s="60"/>
    </row>
    <row r="43352" spans="7:24" ht="15" customHeight="1">
      <c r="G43352"/>
      <c r="I43352"/>
      <c r="N43352"/>
      <c r="O43352" s="24"/>
      <c r="P43352"/>
      <c r="Q43352" s="24"/>
      <c r="R43352"/>
      <c r="S43352"/>
      <c r="T43352"/>
      <c r="U43352"/>
      <c r="X43352" s="60"/>
    </row>
    <row r="43353" spans="7:24" ht="15" customHeight="1">
      <c r="G43353"/>
      <c r="I43353"/>
      <c r="N43353"/>
      <c r="O43353" s="24"/>
      <c r="P43353"/>
      <c r="Q43353" s="24"/>
      <c r="R43353"/>
      <c r="S43353"/>
      <c r="T43353"/>
      <c r="U43353"/>
      <c r="X43353" s="60"/>
    </row>
    <row r="43354" spans="7:24" ht="15" customHeight="1">
      <c r="G43354"/>
      <c r="I43354"/>
      <c r="N43354"/>
      <c r="O43354" s="24"/>
      <c r="P43354"/>
      <c r="Q43354" s="24"/>
      <c r="R43354"/>
      <c r="S43354"/>
      <c r="T43354"/>
      <c r="U43354"/>
      <c r="X43354" s="60"/>
    </row>
    <row r="43355" spans="7:24" ht="15" customHeight="1">
      <c r="G43355"/>
      <c r="I43355"/>
      <c r="N43355"/>
      <c r="O43355" s="24"/>
      <c r="P43355"/>
      <c r="Q43355" s="24"/>
      <c r="R43355"/>
      <c r="S43355"/>
      <c r="T43355"/>
      <c r="U43355"/>
      <c r="X43355" s="60"/>
    </row>
    <row r="43356" spans="7:24" ht="15" customHeight="1">
      <c r="G43356"/>
      <c r="I43356"/>
      <c r="N43356"/>
      <c r="O43356" s="24"/>
      <c r="P43356"/>
      <c r="Q43356" s="24"/>
      <c r="R43356"/>
      <c r="S43356"/>
      <c r="T43356"/>
      <c r="U43356"/>
      <c r="X43356" s="60"/>
    </row>
    <row r="43357" spans="7:24" ht="15" customHeight="1">
      <c r="G43357"/>
      <c r="I43357"/>
      <c r="N43357"/>
      <c r="O43357" s="24"/>
      <c r="P43357"/>
      <c r="Q43357" s="24"/>
      <c r="R43357"/>
      <c r="S43357"/>
      <c r="T43357"/>
      <c r="U43357"/>
      <c r="X43357" s="60"/>
    </row>
    <row r="43358" spans="7:24" ht="15" customHeight="1">
      <c r="G43358"/>
      <c r="I43358"/>
      <c r="N43358"/>
      <c r="O43358" s="24"/>
      <c r="P43358"/>
      <c r="Q43358" s="24"/>
      <c r="R43358"/>
      <c r="S43358"/>
      <c r="T43358"/>
      <c r="U43358"/>
      <c r="X43358" s="60"/>
    </row>
    <row r="43359" spans="7:24" ht="15" customHeight="1">
      <c r="G43359"/>
      <c r="I43359"/>
      <c r="N43359"/>
      <c r="O43359" s="24"/>
      <c r="P43359"/>
      <c r="Q43359" s="24"/>
      <c r="R43359"/>
      <c r="S43359"/>
      <c r="T43359"/>
      <c r="U43359"/>
      <c r="X43359" s="60"/>
    </row>
    <row r="43360" spans="7:24" ht="15" customHeight="1">
      <c r="G43360"/>
      <c r="I43360"/>
      <c r="N43360"/>
      <c r="O43360" s="24"/>
      <c r="P43360"/>
      <c r="Q43360" s="24"/>
      <c r="R43360"/>
      <c r="S43360"/>
      <c r="T43360"/>
      <c r="U43360"/>
      <c r="X43360" s="60"/>
    </row>
    <row r="43361" spans="7:24" ht="15" customHeight="1">
      <c r="G43361"/>
      <c r="I43361"/>
      <c r="N43361"/>
      <c r="O43361" s="24"/>
      <c r="P43361"/>
      <c r="Q43361" s="24"/>
      <c r="R43361"/>
      <c r="S43361"/>
      <c r="T43361"/>
      <c r="U43361"/>
      <c r="X43361" s="60"/>
    </row>
    <row r="43362" spans="7:24" ht="15" customHeight="1">
      <c r="G43362"/>
      <c r="I43362"/>
      <c r="N43362"/>
      <c r="O43362" s="24"/>
      <c r="P43362"/>
      <c r="Q43362" s="24"/>
      <c r="R43362"/>
      <c r="S43362"/>
      <c r="T43362"/>
      <c r="U43362"/>
      <c r="X43362" s="60"/>
    </row>
    <row r="43363" spans="7:24" ht="15" customHeight="1">
      <c r="G43363"/>
      <c r="I43363"/>
      <c r="N43363"/>
      <c r="O43363" s="24"/>
      <c r="P43363"/>
      <c r="Q43363" s="24"/>
      <c r="R43363"/>
      <c r="S43363"/>
      <c r="T43363"/>
      <c r="U43363"/>
      <c r="X43363" s="60"/>
    </row>
    <row r="43364" spans="7:24" ht="15" customHeight="1">
      <c r="G43364"/>
      <c r="I43364"/>
      <c r="N43364"/>
      <c r="O43364" s="24"/>
      <c r="P43364"/>
      <c r="Q43364" s="24"/>
      <c r="R43364"/>
      <c r="S43364"/>
      <c r="T43364"/>
      <c r="U43364"/>
      <c r="X43364" s="60"/>
    </row>
    <row r="43365" spans="7:24" ht="15" customHeight="1">
      <c r="G43365"/>
      <c r="I43365"/>
      <c r="N43365"/>
      <c r="O43365" s="24"/>
      <c r="P43365"/>
      <c r="Q43365" s="24"/>
      <c r="R43365"/>
      <c r="S43365"/>
      <c r="T43365"/>
      <c r="U43365"/>
      <c r="X43365" s="60"/>
    </row>
    <row r="43366" spans="7:24" ht="15" customHeight="1">
      <c r="G43366"/>
      <c r="I43366"/>
      <c r="N43366"/>
      <c r="O43366" s="24"/>
      <c r="P43366"/>
      <c r="Q43366" s="24"/>
      <c r="R43366"/>
      <c r="S43366"/>
      <c r="T43366"/>
      <c r="U43366"/>
      <c r="X43366" s="60"/>
    </row>
    <row r="43367" spans="7:24" ht="15" customHeight="1">
      <c r="G43367"/>
      <c r="I43367"/>
      <c r="N43367"/>
      <c r="O43367" s="24"/>
      <c r="P43367"/>
      <c r="Q43367" s="24"/>
      <c r="R43367"/>
      <c r="S43367"/>
      <c r="T43367"/>
      <c r="U43367"/>
      <c r="X43367" s="60"/>
    </row>
    <row r="43368" spans="7:24" ht="15" customHeight="1">
      <c r="G43368"/>
      <c r="I43368"/>
      <c r="N43368"/>
      <c r="O43368" s="24"/>
      <c r="P43368"/>
      <c r="Q43368" s="24"/>
      <c r="R43368"/>
      <c r="S43368"/>
      <c r="T43368"/>
      <c r="U43368"/>
      <c r="X43368" s="60"/>
    </row>
    <row r="43369" spans="7:24" ht="15" customHeight="1">
      <c r="G43369"/>
      <c r="I43369"/>
      <c r="N43369"/>
      <c r="O43369" s="24"/>
      <c r="P43369"/>
      <c r="Q43369" s="24"/>
      <c r="R43369"/>
      <c r="S43369"/>
      <c r="T43369"/>
      <c r="U43369"/>
      <c r="X43369" s="60"/>
    </row>
    <row r="43370" spans="7:24" ht="15" customHeight="1">
      <c r="G43370"/>
      <c r="I43370"/>
      <c r="N43370"/>
      <c r="O43370" s="24"/>
      <c r="P43370"/>
      <c r="Q43370" s="24"/>
      <c r="R43370"/>
      <c r="S43370"/>
      <c r="T43370"/>
      <c r="U43370"/>
      <c r="X43370" s="60"/>
    </row>
    <row r="43371" spans="7:24" ht="15" customHeight="1">
      <c r="G43371"/>
      <c r="I43371"/>
      <c r="N43371"/>
      <c r="O43371" s="24"/>
      <c r="P43371"/>
      <c r="Q43371" s="24"/>
      <c r="R43371"/>
      <c r="S43371"/>
      <c r="T43371"/>
      <c r="U43371"/>
      <c r="X43371" s="60"/>
    </row>
    <row r="43372" spans="7:24" ht="15" customHeight="1">
      <c r="G43372"/>
      <c r="I43372"/>
      <c r="N43372"/>
      <c r="O43372" s="24"/>
      <c r="P43372"/>
      <c r="Q43372" s="24"/>
      <c r="R43372"/>
      <c r="S43372"/>
      <c r="T43372"/>
      <c r="U43372"/>
      <c r="X43372" s="60"/>
    </row>
    <row r="43373" spans="7:24" ht="15" customHeight="1">
      <c r="G43373"/>
      <c r="I43373"/>
      <c r="N43373"/>
      <c r="O43373" s="24"/>
      <c r="P43373"/>
      <c r="Q43373" s="24"/>
      <c r="R43373"/>
      <c r="S43373"/>
      <c r="T43373"/>
      <c r="U43373"/>
      <c r="X43373" s="60"/>
    </row>
    <row r="43374" spans="7:24" ht="15" customHeight="1">
      <c r="G43374"/>
      <c r="I43374"/>
      <c r="N43374"/>
      <c r="O43374" s="24"/>
      <c r="P43374"/>
      <c r="Q43374" s="24"/>
      <c r="R43374"/>
      <c r="S43374"/>
      <c r="T43374"/>
      <c r="U43374"/>
      <c r="X43374" s="60"/>
    </row>
    <row r="43375" spans="7:24" ht="15" customHeight="1">
      <c r="G43375"/>
      <c r="I43375"/>
      <c r="N43375"/>
      <c r="O43375" s="24"/>
      <c r="P43375"/>
      <c r="Q43375" s="24"/>
      <c r="R43375"/>
      <c r="S43375"/>
      <c r="T43375"/>
      <c r="U43375"/>
      <c r="X43375" s="60"/>
    </row>
    <row r="43376" spans="7:24" ht="15" customHeight="1">
      <c r="G43376"/>
      <c r="I43376"/>
      <c r="N43376"/>
      <c r="O43376" s="24"/>
      <c r="P43376"/>
      <c r="Q43376" s="24"/>
      <c r="R43376"/>
      <c r="S43376"/>
      <c r="T43376"/>
      <c r="U43376"/>
      <c r="X43376" s="60"/>
    </row>
    <row r="43377" spans="7:24" ht="15" customHeight="1">
      <c r="G43377"/>
      <c r="I43377"/>
      <c r="N43377"/>
      <c r="O43377" s="24"/>
      <c r="P43377"/>
      <c r="Q43377" s="24"/>
      <c r="R43377"/>
      <c r="S43377"/>
      <c r="T43377"/>
      <c r="U43377"/>
      <c r="X43377" s="60"/>
    </row>
    <row r="43378" spans="7:24" ht="15" customHeight="1">
      <c r="G43378"/>
      <c r="I43378"/>
      <c r="N43378"/>
      <c r="O43378" s="24"/>
      <c r="P43378"/>
      <c r="Q43378" s="24"/>
      <c r="R43378"/>
      <c r="S43378"/>
      <c r="T43378"/>
      <c r="U43378"/>
      <c r="X43378" s="60"/>
    </row>
    <row r="43379" spans="7:24" ht="15" customHeight="1">
      <c r="G43379"/>
      <c r="I43379"/>
      <c r="N43379"/>
      <c r="O43379" s="24"/>
      <c r="P43379"/>
      <c r="Q43379" s="24"/>
      <c r="R43379"/>
      <c r="S43379"/>
      <c r="T43379"/>
      <c r="U43379"/>
      <c r="X43379" s="60"/>
    </row>
    <row r="43380" spans="7:24" ht="15" customHeight="1">
      <c r="G43380"/>
      <c r="I43380"/>
      <c r="N43380"/>
      <c r="O43380" s="24"/>
      <c r="P43380"/>
      <c r="Q43380" s="24"/>
      <c r="R43380"/>
      <c r="S43380"/>
      <c r="T43380"/>
      <c r="U43380"/>
      <c r="X43380" s="60"/>
    </row>
    <row r="43381" spans="7:24" ht="15" customHeight="1">
      <c r="G43381"/>
      <c r="I43381"/>
      <c r="N43381"/>
      <c r="O43381" s="24"/>
      <c r="P43381"/>
      <c r="Q43381" s="24"/>
      <c r="R43381"/>
      <c r="S43381"/>
      <c r="T43381"/>
      <c r="U43381"/>
      <c r="X43381" s="60"/>
    </row>
    <row r="43382" spans="7:24" ht="15" customHeight="1">
      <c r="G43382"/>
      <c r="I43382"/>
      <c r="N43382"/>
      <c r="O43382" s="24"/>
      <c r="P43382"/>
      <c r="Q43382" s="24"/>
      <c r="R43382"/>
      <c r="S43382"/>
      <c r="T43382"/>
      <c r="U43382"/>
      <c r="X43382" s="60"/>
    </row>
    <row r="43383" spans="7:24" ht="15" customHeight="1">
      <c r="G43383"/>
      <c r="I43383"/>
      <c r="N43383"/>
      <c r="O43383" s="24"/>
      <c r="P43383"/>
      <c r="Q43383" s="24"/>
      <c r="R43383"/>
      <c r="S43383"/>
      <c r="T43383"/>
      <c r="U43383"/>
      <c r="X43383" s="60"/>
    </row>
    <row r="43384" spans="7:24" ht="15" customHeight="1">
      <c r="G43384"/>
      <c r="I43384"/>
      <c r="N43384"/>
      <c r="O43384" s="24"/>
      <c r="P43384"/>
      <c r="Q43384" s="24"/>
      <c r="R43384"/>
      <c r="S43384"/>
      <c r="T43384"/>
      <c r="U43384"/>
      <c r="X43384" s="60"/>
    </row>
    <row r="43385" spans="7:24" ht="15" customHeight="1">
      <c r="G43385"/>
      <c r="I43385"/>
      <c r="N43385"/>
      <c r="O43385" s="24"/>
      <c r="P43385"/>
      <c r="Q43385" s="24"/>
      <c r="R43385"/>
      <c r="S43385"/>
      <c r="T43385"/>
      <c r="U43385"/>
      <c r="X43385" s="60"/>
    </row>
    <row r="43386" spans="7:24" ht="15" customHeight="1">
      <c r="G43386"/>
      <c r="I43386"/>
      <c r="N43386"/>
      <c r="O43386" s="24"/>
      <c r="P43386"/>
      <c r="Q43386" s="24"/>
      <c r="R43386"/>
      <c r="S43386"/>
      <c r="T43386"/>
      <c r="U43386"/>
      <c r="X43386" s="60"/>
    </row>
    <row r="43387" spans="7:24" ht="15" customHeight="1">
      <c r="G43387"/>
      <c r="I43387"/>
      <c r="N43387"/>
      <c r="O43387" s="24"/>
      <c r="P43387"/>
      <c r="Q43387" s="24"/>
      <c r="R43387"/>
      <c r="S43387"/>
      <c r="T43387"/>
      <c r="U43387"/>
      <c r="X43387" s="60"/>
    </row>
    <row r="43388" spans="7:24" ht="15" customHeight="1">
      <c r="G43388"/>
      <c r="I43388"/>
      <c r="N43388"/>
      <c r="O43388" s="24"/>
      <c r="P43388"/>
      <c r="Q43388" s="24"/>
      <c r="R43388"/>
      <c r="S43388"/>
      <c r="T43388"/>
      <c r="U43388"/>
      <c r="X43388" s="60"/>
    </row>
    <row r="43389" spans="7:24" ht="15" customHeight="1">
      <c r="G43389"/>
      <c r="I43389"/>
      <c r="N43389"/>
      <c r="O43389" s="24"/>
      <c r="P43389"/>
      <c r="Q43389" s="24"/>
      <c r="R43389"/>
      <c r="S43389"/>
      <c r="T43389"/>
      <c r="U43389"/>
      <c r="X43389" s="60"/>
    </row>
    <row r="43390" spans="7:24" ht="15" customHeight="1">
      <c r="G43390"/>
      <c r="I43390"/>
      <c r="N43390"/>
      <c r="O43390" s="24"/>
      <c r="P43390"/>
      <c r="Q43390" s="24"/>
      <c r="R43390"/>
      <c r="S43390"/>
      <c r="T43390"/>
      <c r="U43390"/>
      <c r="X43390" s="60"/>
    </row>
    <row r="43391" spans="7:24" ht="15" customHeight="1">
      <c r="G43391"/>
      <c r="I43391"/>
      <c r="N43391"/>
      <c r="O43391" s="24"/>
      <c r="P43391"/>
      <c r="Q43391" s="24"/>
      <c r="R43391"/>
      <c r="S43391"/>
      <c r="T43391"/>
      <c r="U43391"/>
      <c r="X43391" s="60"/>
    </row>
    <row r="43392" spans="7:24" ht="15" customHeight="1">
      <c r="G43392"/>
      <c r="I43392"/>
      <c r="N43392"/>
      <c r="O43392" s="24"/>
      <c r="P43392"/>
      <c r="Q43392" s="24"/>
      <c r="R43392"/>
      <c r="S43392"/>
      <c r="T43392"/>
      <c r="U43392"/>
      <c r="X43392" s="60"/>
    </row>
    <row r="43393" spans="7:24" ht="15" customHeight="1">
      <c r="G43393"/>
      <c r="I43393"/>
      <c r="N43393"/>
      <c r="O43393" s="24"/>
      <c r="P43393"/>
      <c r="Q43393" s="24"/>
      <c r="R43393"/>
      <c r="S43393"/>
      <c r="T43393"/>
      <c r="U43393"/>
      <c r="X43393" s="60"/>
    </row>
    <row r="43394" spans="7:24" ht="15" customHeight="1">
      <c r="G43394"/>
      <c r="I43394"/>
      <c r="N43394"/>
      <c r="O43394" s="24"/>
      <c r="P43394"/>
      <c r="Q43394" s="24"/>
      <c r="R43394"/>
      <c r="S43394"/>
      <c r="T43394"/>
      <c r="U43394"/>
      <c r="X43394" s="60"/>
    </row>
    <row r="43395" spans="7:24" ht="15" customHeight="1">
      <c r="G43395"/>
      <c r="I43395"/>
      <c r="N43395"/>
      <c r="O43395" s="24"/>
      <c r="P43395"/>
      <c r="Q43395" s="24"/>
      <c r="R43395"/>
      <c r="S43395"/>
      <c r="T43395"/>
      <c r="U43395"/>
      <c r="X43395" s="60"/>
    </row>
    <row r="43396" spans="7:24" ht="15" customHeight="1">
      <c r="G43396"/>
      <c r="I43396"/>
      <c r="N43396"/>
      <c r="O43396" s="24"/>
      <c r="P43396"/>
      <c r="Q43396" s="24"/>
      <c r="R43396"/>
      <c r="S43396"/>
      <c r="T43396"/>
      <c r="U43396"/>
      <c r="X43396" s="60"/>
    </row>
    <row r="43397" spans="7:24" ht="15" customHeight="1">
      <c r="G43397"/>
      <c r="I43397"/>
      <c r="N43397"/>
      <c r="O43397" s="24"/>
      <c r="P43397"/>
      <c r="Q43397" s="24"/>
      <c r="R43397"/>
      <c r="S43397"/>
      <c r="T43397"/>
      <c r="U43397"/>
      <c r="X43397" s="60"/>
    </row>
    <row r="43398" spans="7:24" ht="15" customHeight="1">
      <c r="G43398"/>
      <c r="I43398"/>
      <c r="N43398"/>
      <c r="O43398" s="24"/>
      <c r="P43398"/>
      <c r="Q43398" s="24"/>
      <c r="R43398"/>
      <c r="S43398"/>
      <c r="T43398"/>
      <c r="U43398"/>
      <c r="X43398" s="60"/>
    </row>
    <row r="43399" spans="7:24" ht="15" customHeight="1">
      <c r="G43399"/>
      <c r="I43399"/>
      <c r="N43399"/>
      <c r="O43399" s="24"/>
      <c r="P43399"/>
      <c r="Q43399" s="24"/>
      <c r="R43399"/>
      <c r="S43399"/>
      <c r="T43399"/>
      <c r="U43399"/>
      <c r="X43399" s="60"/>
    </row>
    <row r="43400" spans="7:24" ht="15" customHeight="1">
      <c r="G43400"/>
      <c r="I43400"/>
      <c r="N43400"/>
      <c r="O43400" s="24"/>
      <c r="P43400"/>
      <c r="Q43400" s="24"/>
      <c r="R43400"/>
      <c r="S43400"/>
      <c r="T43400"/>
      <c r="U43400"/>
      <c r="X43400" s="60"/>
    </row>
    <row r="43401" spans="7:24" ht="15" customHeight="1">
      <c r="G43401"/>
      <c r="I43401"/>
      <c r="N43401"/>
      <c r="O43401" s="24"/>
      <c r="P43401"/>
      <c r="Q43401" s="24"/>
      <c r="R43401"/>
      <c r="S43401"/>
      <c r="T43401"/>
      <c r="U43401"/>
      <c r="X43401" s="60"/>
    </row>
    <row r="43402" spans="7:24" ht="15" customHeight="1">
      <c r="G43402"/>
      <c r="I43402"/>
      <c r="N43402"/>
      <c r="O43402" s="24"/>
      <c r="P43402"/>
      <c r="Q43402" s="24"/>
      <c r="R43402"/>
      <c r="S43402"/>
      <c r="T43402"/>
      <c r="U43402"/>
      <c r="X43402" s="60"/>
    </row>
    <row r="43403" spans="7:24" ht="15" customHeight="1">
      <c r="G43403"/>
      <c r="I43403"/>
      <c r="N43403"/>
      <c r="O43403" s="24"/>
      <c r="P43403"/>
      <c r="Q43403" s="24"/>
      <c r="R43403"/>
      <c r="S43403"/>
      <c r="T43403"/>
      <c r="U43403"/>
      <c r="X43403" s="60"/>
    </row>
    <row r="43404" spans="7:24" ht="15" customHeight="1">
      <c r="G43404"/>
      <c r="I43404"/>
      <c r="N43404"/>
      <c r="O43404" s="24"/>
      <c r="P43404"/>
      <c r="Q43404" s="24"/>
      <c r="R43404"/>
      <c r="S43404"/>
      <c r="T43404"/>
      <c r="U43404"/>
      <c r="X43404" s="60"/>
    </row>
    <row r="43405" spans="7:24" ht="15" customHeight="1">
      <c r="G43405"/>
      <c r="I43405"/>
      <c r="N43405"/>
      <c r="O43405" s="24"/>
      <c r="P43405"/>
      <c r="Q43405" s="24"/>
      <c r="R43405"/>
      <c r="S43405"/>
      <c r="T43405"/>
      <c r="U43405"/>
      <c r="X43405" s="60"/>
    </row>
    <row r="43406" spans="7:24" ht="15" customHeight="1">
      <c r="G43406"/>
      <c r="I43406"/>
      <c r="N43406"/>
      <c r="O43406" s="24"/>
      <c r="P43406"/>
      <c r="Q43406" s="24"/>
      <c r="R43406"/>
      <c r="S43406"/>
      <c r="T43406"/>
      <c r="U43406"/>
      <c r="X43406" s="60"/>
    </row>
    <row r="43407" spans="7:24" ht="15" customHeight="1">
      <c r="G43407"/>
      <c r="I43407"/>
      <c r="N43407"/>
      <c r="O43407" s="24"/>
      <c r="P43407"/>
      <c r="Q43407" s="24"/>
      <c r="R43407"/>
      <c r="S43407"/>
      <c r="T43407"/>
      <c r="U43407"/>
      <c r="X43407" s="60"/>
    </row>
    <row r="43408" spans="7:24" ht="15" customHeight="1">
      <c r="G43408"/>
      <c r="I43408"/>
      <c r="N43408"/>
      <c r="O43408" s="24"/>
      <c r="P43408"/>
      <c r="Q43408" s="24"/>
      <c r="R43408"/>
      <c r="S43408"/>
      <c r="T43408"/>
      <c r="U43408"/>
      <c r="X43408" s="60"/>
    </row>
    <row r="43409" spans="7:24" ht="15" customHeight="1">
      <c r="G43409"/>
      <c r="I43409"/>
      <c r="N43409"/>
      <c r="O43409" s="24"/>
      <c r="P43409"/>
      <c r="Q43409" s="24"/>
      <c r="R43409"/>
      <c r="S43409"/>
      <c r="T43409"/>
      <c r="U43409"/>
      <c r="X43409" s="60"/>
    </row>
    <row r="43410" spans="7:24" ht="15" customHeight="1">
      <c r="G43410"/>
      <c r="I43410"/>
      <c r="N43410"/>
      <c r="O43410" s="24"/>
      <c r="P43410"/>
      <c r="Q43410" s="24"/>
      <c r="R43410"/>
      <c r="S43410"/>
      <c r="T43410"/>
      <c r="U43410"/>
      <c r="X43410" s="60"/>
    </row>
    <row r="43411" spans="7:24" ht="15" customHeight="1">
      <c r="G43411"/>
      <c r="I43411"/>
      <c r="N43411"/>
      <c r="O43411" s="24"/>
      <c r="P43411"/>
      <c r="Q43411" s="24"/>
      <c r="R43411"/>
      <c r="S43411"/>
      <c r="T43411"/>
      <c r="U43411"/>
      <c r="X43411" s="60"/>
    </row>
    <row r="43412" spans="7:24" ht="15" customHeight="1">
      <c r="G43412"/>
      <c r="I43412"/>
      <c r="N43412"/>
      <c r="O43412" s="24"/>
      <c r="P43412"/>
      <c r="Q43412" s="24"/>
      <c r="R43412"/>
      <c r="S43412"/>
      <c r="T43412"/>
      <c r="U43412"/>
      <c r="X43412" s="60"/>
    </row>
    <row r="43413" spans="7:24" ht="15" customHeight="1">
      <c r="G43413"/>
      <c r="I43413"/>
      <c r="N43413"/>
      <c r="O43413" s="24"/>
      <c r="P43413"/>
      <c r="Q43413" s="24"/>
      <c r="R43413"/>
      <c r="S43413"/>
      <c r="T43413"/>
      <c r="U43413"/>
      <c r="X43413" s="60"/>
    </row>
    <row r="43414" spans="7:24" ht="15" customHeight="1">
      <c r="G43414"/>
      <c r="I43414"/>
      <c r="N43414"/>
      <c r="O43414" s="24"/>
      <c r="P43414"/>
      <c r="Q43414" s="24"/>
      <c r="R43414"/>
      <c r="S43414"/>
      <c r="T43414"/>
      <c r="U43414"/>
      <c r="X43414" s="60"/>
    </row>
    <row r="43415" spans="7:24" ht="15" customHeight="1">
      <c r="G43415"/>
      <c r="I43415"/>
      <c r="N43415"/>
      <c r="O43415" s="24"/>
      <c r="P43415"/>
      <c r="Q43415" s="24"/>
      <c r="R43415"/>
      <c r="S43415"/>
      <c r="T43415"/>
      <c r="U43415"/>
      <c r="X43415" s="60"/>
    </row>
    <row r="43416" spans="7:24" ht="15" customHeight="1">
      <c r="G43416"/>
      <c r="I43416"/>
      <c r="N43416"/>
      <c r="O43416" s="24"/>
      <c r="P43416"/>
      <c r="Q43416" s="24"/>
      <c r="R43416"/>
      <c r="S43416"/>
      <c r="T43416"/>
      <c r="U43416"/>
      <c r="X43416" s="60"/>
    </row>
    <row r="43417" spans="7:24" ht="15" customHeight="1">
      <c r="G43417"/>
      <c r="I43417"/>
      <c r="N43417"/>
      <c r="O43417" s="24"/>
      <c r="P43417"/>
      <c r="Q43417" s="24"/>
      <c r="R43417"/>
      <c r="S43417"/>
      <c r="T43417"/>
      <c r="U43417"/>
      <c r="X43417" s="60"/>
    </row>
    <row r="43418" spans="7:24" ht="15" customHeight="1">
      <c r="G43418"/>
      <c r="I43418"/>
      <c r="N43418"/>
      <c r="O43418" s="24"/>
      <c r="P43418"/>
      <c r="Q43418" s="24"/>
      <c r="R43418"/>
      <c r="S43418"/>
      <c r="T43418"/>
      <c r="U43418"/>
      <c r="X43418" s="60"/>
    </row>
    <row r="43419" spans="7:24" ht="15" customHeight="1">
      <c r="G43419"/>
      <c r="I43419"/>
      <c r="N43419"/>
      <c r="O43419" s="24"/>
      <c r="P43419"/>
      <c r="Q43419" s="24"/>
      <c r="R43419"/>
      <c r="S43419"/>
      <c r="T43419"/>
      <c r="U43419"/>
      <c r="X43419" s="60"/>
    </row>
    <row r="43420" spans="7:24" ht="15" customHeight="1">
      <c r="G43420"/>
      <c r="I43420"/>
      <c r="N43420"/>
      <c r="O43420" s="24"/>
      <c r="P43420"/>
      <c r="Q43420" s="24"/>
      <c r="R43420"/>
      <c r="S43420"/>
      <c r="T43420"/>
      <c r="U43420"/>
      <c r="X43420" s="60"/>
    </row>
    <row r="43421" spans="7:24" ht="15" customHeight="1">
      <c r="G43421"/>
      <c r="I43421"/>
      <c r="N43421"/>
      <c r="O43421" s="24"/>
      <c r="P43421"/>
      <c r="Q43421" s="24"/>
      <c r="R43421"/>
      <c r="S43421"/>
      <c r="T43421"/>
      <c r="U43421"/>
      <c r="X43421" s="60"/>
    </row>
    <row r="43422" spans="7:24" ht="15" customHeight="1">
      <c r="G43422"/>
      <c r="I43422"/>
      <c r="N43422"/>
      <c r="O43422" s="24"/>
      <c r="P43422"/>
      <c r="Q43422" s="24"/>
      <c r="R43422"/>
      <c r="S43422"/>
      <c r="T43422"/>
      <c r="U43422"/>
      <c r="X43422" s="60"/>
    </row>
    <row r="43423" spans="7:24" ht="15" customHeight="1">
      <c r="G43423"/>
      <c r="I43423"/>
      <c r="N43423"/>
      <c r="O43423" s="24"/>
      <c r="P43423"/>
      <c r="Q43423" s="24"/>
      <c r="R43423"/>
      <c r="S43423"/>
      <c r="T43423"/>
      <c r="U43423"/>
      <c r="X43423" s="60"/>
    </row>
    <row r="43424" spans="7:24" ht="15" customHeight="1">
      <c r="G43424"/>
      <c r="I43424"/>
      <c r="N43424"/>
      <c r="O43424" s="24"/>
      <c r="P43424"/>
      <c r="Q43424" s="24"/>
      <c r="R43424"/>
      <c r="S43424"/>
      <c r="T43424"/>
      <c r="U43424"/>
      <c r="X43424" s="60"/>
    </row>
    <row r="43425" spans="7:24" ht="15" customHeight="1">
      <c r="G43425"/>
      <c r="I43425"/>
      <c r="N43425"/>
      <c r="O43425" s="24"/>
      <c r="P43425"/>
      <c r="Q43425" s="24"/>
      <c r="R43425"/>
      <c r="S43425"/>
      <c r="T43425"/>
      <c r="U43425"/>
      <c r="X43425" s="60"/>
    </row>
    <row r="43426" spans="7:24" ht="15" customHeight="1">
      <c r="G43426"/>
      <c r="I43426"/>
      <c r="N43426"/>
      <c r="O43426" s="24"/>
      <c r="P43426"/>
      <c r="Q43426" s="24"/>
      <c r="R43426"/>
      <c r="S43426"/>
      <c r="T43426"/>
      <c r="U43426"/>
      <c r="X43426" s="60"/>
    </row>
    <row r="43427" spans="7:24" ht="15" customHeight="1">
      <c r="G43427"/>
      <c r="I43427"/>
      <c r="N43427"/>
      <c r="O43427" s="24"/>
      <c r="P43427"/>
      <c r="Q43427" s="24"/>
      <c r="R43427"/>
      <c r="S43427"/>
      <c r="T43427"/>
      <c r="U43427"/>
      <c r="X43427" s="60"/>
    </row>
    <row r="43428" spans="7:24" ht="15" customHeight="1">
      <c r="G43428"/>
      <c r="I43428"/>
      <c r="N43428"/>
      <c r="O43428" s="24"/>
      <c r="P43428"/>
      <c r="Q43428" s="24"/>
      <c r="R43428"/>
      <c r="S43428"/>
      <c r="T43428"/>
      <c r="U43428"/>
      <c r="X43428" s="60"/>
    </row>
    <row r="43429" spans="7:24" ht="15" customHeight="1">
      <c r="G43429"/>
      <c r="I43429"/>
      <c r="N43429"/>
      <c r="O43429" s="24"/>
      <c r="P43429"/>
      <c r="Q43429" s="24"/>
      <c r="R43429"/>
      <c r="S43429"/>
      <c r="T43429"/>
      <c r="U43429"/>
      <c r="X43429" s="60"/>
    </row>
    <row r="43430" spans="7:24" ht="15" customHeight="1">
      <c r="G43430"/>
      <c r="I43430"/>
      <c r="N43430"/>
      <c r="O43430" s="24"/>
      <c r="P43430"/>
      <c r="Q43430" s="24"/>
      <c r="R43430"/>
      <c r="S43430"/>
      <c r="T43430"/>
      <c r="U43430"/>
      <c r="X43430" s="60"/>
    </row>
    <row r="43431" spans="7:24" ht="15" customHeight="1">
      <c r="G43431"/>
      <c r="I43431"/>
      <c r="N43431"/>
      <c r="O43431" s="24"/>
      <c r="P43431"/>
      <c r="Q43431" s="24"/>
      <c r="R43431"/>
      <c r="S43431"/>
      <c r="T43431"/>
      <c r="U43431"/>
      <c r="X43431" s="60"/>
    </row>
    <row r="43432" spans="7:24" ht="15" customHeight="1">
      <c r="G43432"/>
      <c r="I43432"/>
      <c r="N43432"/>
      <c r="O43432" s="24"/>
      <c r="P43432"/>
      <c r="Q43432" s="24"/>
      <c r="R43432"/>
      <c r="S43432"/>
      <c r="T43432"/>
      <c r="U43432"/>
      <c r="X43432" s="60"/>
    </row>
    <row r="43433" spans="7:24" ht="15" customHeight="1">
      <c r="G43433"/>
      <c r="I43433"/>
      <c r="N43433"/>
      <c r="O43433" s="24"/>
      <c r="P43433"/>
      <c r="Q43433" s="24"/>
      <c r="R43433"/>
      <c r="S43433"/>
      <c r="T43433"/>
      <c r="U43433"/>
      <c r="X43433" s="60"/>
    </row>
    <row r="43434" spans="7:24" ht="15" customHeight="1">
      <c r="G43434"/>
      <c r="I43434"/>
      <c r="N43434"/>
      <c r="O43434" s="24"/>
      <c r="P43434"/>
      <c r="Q43434" s="24"/>
      <c r="R43434"/>
      <c r="S43434"/>
      <c r="T43434"/>
      <c r="U43434"/>
      <c r="X43434" s="60"/>
    </row>
    <row r="43435" spans="7:24" ht="15" customHeight="1">
      <c r="G43435"/>
      <c r="I43435"/>
      <c r="N43435"/>
      <c r="O43435" s="24"/>
      <c r="P43435"/>
      <c r="Q43435" s="24"/>
      <c r="R43435"/>
      <c r="S43435"/>
      <c r="T43435"/>
      <c r="U43435"/>
      <c r="X43435" s="60"/>
    </row>
    <row r="43436" spans="7:24" ht="15" customHeight="1">
      <c r="G43436"/>
      <c r="I43436"/>
      <c r="N43436"/>
      <c r="O43436" s="24"/>
      <c r="P43436"/>
      <c r="Q43436" s="24"/>
      <c r="R43436"/>
      <c r="S43436"/>
      <c r="T43436"/>
      <c r="U43436"/>
      <c r="X43436" s="60"/>
    </row>
    <row r="43437" spans="7:24" ht="15" customHeight="1">
      <c r="G43437"/>
      <c r="I43437"/>
      <c r="N43437"/>
      <c r="O43437" s="24"/>
      <c r="P43437"/>
      <c r="Q43437" s="24"/>
      <c r="R43437"/>
      <c r="S43437"/>
      <c r="T43437"/>
      <c r="U43437"/>
      <c r="X43437" s="60"/>
    </row>
    <row r="43438" spans="7:24" ht="15" customHeight="1">
      <c r="G43438"/>
      <c r="I43438"/>
      <c r="N43438"/>
      <c r="O43438" s="24"/>
      <c r="P43438"/>
      <c r="Q43438" s="24"/>
      <c r="R43438"/>
      <c r="S43438"/>
      <c r="T43438"/>
      <c r="U43438"/>
      <c r="X43438" s="60"/>
    </row>
    <row r="43439" spans="7:24" ht="15" customHeight="1">
      <c r="G43439"/>
      <c r="I43439"/>
      <c r="N43439"/>
      <c r="O43439" s="24"/>
      <c r="P43439"/>
      <c r="Q43439" s="24"/>
      <c r="R43439"/>
      <c r="S43439"/>
      <c r="T43439"/>
      <c r="U43439"/>
      <c r="X43439" s="60"/>
    </row>
    <row r="43440" spans="7:24" ht="15" customHeight="1">
      <c r="G43440"/>
      <c r="I43440"/>
      <c r="N43440"/>
      <c r="O43440" s="24"/>
      <c r="P43440"/>
      <c r="Q43440" s="24"/>
      <c r="R43440"/>
      <c r="S43440"/>
      <c r="T43440"/>
      <c r="U43440"/>
      <c r="X43440" s="60"/>
    </row>
    <row r="43441" spans="7:24" ht="15" customHeight="1">
      <c r="G43441"/>
      <c r="I43441"/>
      <c r="N43441"/>
      <c r="O43441" s="24"/>
      <c r="P43441"/>
      <c r="Q43441" s="24"/>
      <c r="R43441"/>
      <c r="S43441"/>
      <c r="T43441"/>
      <c r="U43441"/>
      <c r="X43441" s="60"/>
    </row>
    <row r="43442" spans="7:24" ht="15" customHeight="1">
      <c r="G43442"/>
      <c r="I43442"/>
      <c r="N43442"/>
      <c r="O43442" s="24"/>
      <c r="P43442"/>
      <c r="Q43442" s="24"/>
      <c r="R43442"/>
      <c r="S43442"/>
      <c r="T43442"/>
      <c r="U43442"/>
      <c r="X43442" s="60"/>
    </row>
    <row r="43443" spans="7:24" ht="15" customHeight="1">
      <c r="G43443"/>
      <c r="I43443"/>
      <c r="N43443"/>
      <c r="O43443" s="24"/>
      <c r="P43443"/>
      <c r="Q43443" s="24"/>
      <c r="R43443"/>
      <c r="S43443"/>
      <c r="T43443"/>
      <c r="U43443"/>
      <c r="X43443" s="60"/>
    </row>
    <row r="43444" spans="7:24" ht="15" customHeight="1">
      <c r="G43444"/>
      <c r="I43444"/>
      <c r="N43444"/>
      <c r="O43444" s="24"/>
      <c r="P43444"/>
      <c r="Q43444" s="24"/>
      <c r="R43444"/>
      <c r="S43444"/>
      <c r="T43444"/>
      <c r="U43444"/>
      <c r="X43444" s="60"/>
    </row>
    <row r="43445" spans="7:24" ht="15" customHeight="1">
      <c r="G43445"/>
      <c r="I43445"/>
      <c r="N43445"/>
      <c r="O43445" s="24"/>
      <c r="P43445"/>
      <c r="Q43445" s="24"/>
      <c r="R43445"/>
      <c r="S43445"/>
      <c r="T43445"/>
      <c r="U43445"/>
      <c r="X43445" s="60"/>
    </row>
    <row r="43446" spans="7:24" ht="15" customHeight="1">
      <c r="G43446"/>
      <c r="I43446"/>
      <c r="N43446"/>
      <c r="O43446" s="24"/>
      <c r="P43446"/>
      <c r="Q43446" s="24"/>
      <c r="R43446"/>
      <c r="S43446"/>
      <c r="T43446"/>
      <c r="U43446"/>
      <c r="X43446" s="60"/>
    </row>
    <row r="43447" spans="7:24" ht="15" customHeight="1">
      <c r="G43447"/>
      <c r="I43447"/>
      <c r="N43447"/>
      <c r="O43447" s="24"/>
      <c r="P43447"/>
      <c r="Q43447" s="24"/>
      <c r="R43447"/>
      <c r="S43447"/>
      <c r="T43447"/>
      <c r="U43447"/>
      <c r="X43447" s="60"/>
    </row>
    <row r="43448" spans="7:24" ht="15" customHeight="1">
      <c r="G43448"/>
      <c r="I43448"/>
      <c r="N43448"/>
      <c r="O43448" s="24"/>
      <c r="P43448"/>
      <c r="Q43448" s="24"/>
      <c r="R43448"/>
      <c r="S43448"/>
      <c r="T43448"/>
      <c r="U43448"/>
      <c r="X43448" s="60"/>
    </row>
    <row r="43449" spans="7:24" ht="15" customHeight="1">
      <c r="G43449"/>
      <c r="I43449"/>
      <c r="N43449"/>
      <c r="O43449" s="24"/>
      <c r="P43449"/>
      <c r="Q43449" s="24"/>
      <c r="R43449"/>
      <c r="S43449"/>
      <c r="T43449"/>
      <c r="U43449"/>
      <c r="X43449" s="60"/>
    </row>
    <row r="43450" spans="7:24" ht="15" customHeight="1">
      <c r="G43450"/>
      <c r="I43450"/>
      <c r="N43450"/>
      <c r="O43450" s="24"/>
      <c r="P43450"/>
      <c r="Q43450" s="24"/>
      <c r="R43450"/>
      <c r="S43450"/>
      <c r="T43450"/>
      <c r="U43450"/>
      <c r="X43450" s="60"/>
    </row>
    <row r="43451" spans="7:24" ht="15" customHeight="1">
      <c r="G43451"/>
      <c r="I43451"/>
      <c r="N43451"/>
      <c r="O43451" s="24"/>
      <c r="P43451"/>
      <c r="Q43451" s="24"/>
      <c r="R43451"/>
      <c r="S43451"/>
      <c r="T43451"/>
      <c r="U43451"/>
      <c r="X43451" s="60"/>
    </row>
    <row r="43452" spans="7:24" ht="15" customHeight="1">
      <c r="G43452"/>
      <c r="I43452"/>
      <c r="N43452"/>
      <c r="O43452" s="24"/>
      <c r="P43452"/>
      <c r="Q43452" s="24"/>
      <c r="R43452"/>
      <c r="S43452"/>
      <c r="T43452"/>
      <c r="U43452"/>
      <c r="X43452" s="60"/>
    </row>
    <row r="43453" spans="7:24" ht="15" customHeight="1">
      <c r="G43453"/>
      <c r="I43453"/>
      <c r="N43453"/>
      <c r="O43453" s="24"/>
      <c r="P43453"/>
      <c r="Q43453" s="24"/>
      <c r="R43453"/>
      <c r="S43453"/>
      <c r="T43453"/>
      <c r="U43453"/>
      <c r="X43453" s="60"/>
    </row>
    <row r="43454" spans="7:24" ht="15" customHeight="1">
      <c r="G43454"/>
      <c r="I43454"/>
      <c r="N43454"/>
      <c r="O43454" s="24"/>
      <c r="P43454"/>
      <c r="Q43454" s="24"/>
      <c r="R43454"/>
      <c r="S43454"/>
      <c r="T43454"/>
      <c r="U43454"/>
      <c r="X43454" s="60"/>
    </row>
    <row r="43455" spans="7:24" ht="15" customHeight="1">
      <c r="G43455"/>
      <c r="I43455"/>
      <c r="N43455"/>
      <c r="O43455" s="24"/>
      <c r="P43455"/>
      <c r="Q43455" s="24"/>
      <c r="R43455"/>
      <c r="S43455"/>
      <c r="T43455"/>
      <c r="U43455"/>
      <c r="X43455" s="60"/>
    </row>
    <row r="43456" spans="7:24" ht="15" customHeight="1">
      <c r="G43456"/>
      <c r="I43456"/>
      <c r="N43456"/>
      <c r="O43456" s="24"/>
      <c r="P43456"/>
      <c r="Q43456" s="24"/>
      <c r="R43456"/>
      <c r="S43456"/>
      <c r="T43456"/>
      <c r="U43456"/>
      <c r="X43456" s="60"/>
    </row>
    <row r="43457" spans="7:24" ht="15" customHeight="1">
      <c r="G43457"/>
      <c r="I43457"/>
      <c r="N43457"/>
      <c r="O43457" s="24"/>
      <c r="P43457"/>
      <c r="Q43457" s="24"/>
      <c r="R43457"/>
      <c r="S43457"/>
      <c r="T43457"/>
      <c r="U43457"/>
      <c r="X43457" s="60"/>
    </row>
    <row r="43458" spans="7:24" ht="15" customHeight="1">
      <c r="G43458"/>
      <c r="I43458"/>
      <c r="N43458"/>
      <c r="O43458" s="24"/>
      <c r="P43458"/>
      <c r="Q43458" s="24"/>
      <c r="R43458"/>
      <c r="S43458"/>
      <c r="T43458"/>
      <c r="U43458"/>
      <c r="X43458" s="60"/>
    </row>
    <row r="43459" spans="7:24" ht="15" customHeight="1">
      <c r="G43459"/>
      <c r="I43459"/>
      <c r="N43459"/>
      <c r="O43459" s="24"/>
      <c r="P43459"/>
      <c r="Q43459" s="24"/>
      <c r="R43459"/>
      <c r="S43459"/>
      <c r="T43459"/>
      <c r="U43459"/>
      <c r="X43459" s="60"/>
    </row>
    <row r="43460" spans="7:24" ht="15" customHeight="1">
      <c r="G43460"/>
      <c r="I43460"/>
      <c r="N43460"/>
      <c r="O43460" s="24"/>
      <c r="P43460"/>
      <c r="Q43460" s="24"/>
      <c r="R43460"/>
      <c r="S43460"/>
      <c r="T43460"/>
      <c r="U43460"/>
      <c r="X43460" s="60"/>
    </row>
    <row r="43461" spans="7:24" ht="15" customHeight="1">
      <c r="G43461"/>
      <c r="I43461"/>
      <c r="N43461"/>
      <c r="O43461" s="24"/>
      <c r="P43461"/>
      <c r="Q43461" s="24"/>
      <c r="R43461"/>
      <c r="S43461"/>
      <c r="T43461"/>
      <c r="U43461"/>
      <c r="X43461" s="60"/>
    </row>
    <row r="43462" spans="7:24" ht="15" customHeight="1">
      <c r="G43462"/>
      <c r="I43462"/>
      <c r="N43462"/>
      <c r="O43462" s="24"/>
      <c r="P43462"/>
      <c r="Q43462" s="24"/>
      <c r="R43462"/>
      <c r="S43462"/>
      <c r="T43462"/>
      <c r="U43462"/>
      <c r="X43462" s="60"/>
    </row>
    <row r="43463" spans="7:24" ht="15" customHeight="1">
      <c r="G43463"/>
      <c r="I43463"/>
      <c r="N43463"/>
      <c r="O43463" s="24"/>
      <c r="P43463"/>
      <c r="Q43463" s="24"/>
      <c r="R43463"/>
      <c r="S43463"/>
      <c r="T43463"/>
      <c r="U43463"/>
      <c r="X43463" s="60"/>
    </row>
    <row r="43464" spans="7:24" ht="15" customHeight="1">
      <c r="G43464"/>
      <c r="I43464"/>
      <c r="N43464"/>
      <c r="O43464" s="24"/>
      <c r="P43464"/>
      <c r="Q43464" s="24"/>
      <c r="R43464"/>
      <c r="S43464"/>
      <c r="T43464"/>
      <c r="U43464"/>
      <c r="X43464" s="60"/>
    </row>
    <row r="43465" spans="7:24" ht="15" customHeight="1">
      <c r="G43465"/>
      <c r="I43465"/>
      <c r="N43465"/>
      <c r="O43465" s="24"/>
      <c r="P43465"/>
      <c r="Q43465" s="24"/>
      <c r="R43465"/>
      <c r="S43465"/>
      <c r="T43465"/>
      <c r="U43465"/>
      <c r="X43465" s="60"/>
    </row>
    <row r="43466" spans="7:24" ht="15" customHeight="1">
      <c r="G43466"/>
      <c r="I43466"/>
      <c r="N43466"/>
      <c r="O43466" s="24"/>
      <c r="P43466"/>
      <c r="Q43466" s="24"/>
      <c r="R43466"/>
      <c r="S43466"/>
      <c r="T43466"/>
      <c r="U43466"/>
      <c r="X43466" s="60"/>
    </row>
    <row r="43467" spans="7:24" ht="15" customHeight="1">
      <c r="G43467"/>
      <c r="I43467"/>
      <c r="N43467"/>
      <c r="O43467" s="24"/>
      <c r="P43467"/>
      <c r="Q43467" s="24"/>
      <c r="R43467"/>
      <c r="S43467"/>
      <c r="T43467"/>
      <c r="U43467"/>
      <c r="X43467" s="60"/>
    </row>
    <row r="43468" spans="7:24" ht="15" customHeight="1">
      <c r="G43468"/>
      <c r="I43468"/>
      <c r="N43468"/>
      <c r="O43468" s="24"/>
      <c r="P43468"/>
      <c r="Q43468" s="24"/>
      <c r="R43468"/>
      <c r="S43468"/>
      <c r="T43468"/>
      <c r="U43468"/>
      <c r="X43468" s="60"/>
    </row>
    <row r="43469" spans="7:24" ht="15" customHeight="1">
      <c r="G43469"/>
      <c r="I43469"/>
      <c r="N43469"/>
      <c r="O43469" s="24"/>
      <c r="P43469"/>
      <c r="Q43469" s="24"/>
      <c r="R43469"/>
      <c r="S43469"/>
      <c r="T43469"/>
      <c r="U43469"/>
      <c r="X43469" s="60"/>
    </row>
    <row r="43470" spans="7:24" ht="15" customHeight="1">
      <c r="G43470"/>
      <c r="I43470"/>
      <c r="N43470"/>
      <c r="O43470" s="24"/>
      <c r="P43470"/>
      <c r="Q43470" s="24"/>
      <c r="R43470"/>
      <c r="S43470"/>
      <c r="T43470"/>
      <c r="U43470"/>
      <c r="X43470" s="60"/>
    </row>
    <row r="43471" spans="7:24" ht="15" customHeight="1">
      <c r="G43471"/>
      <c r="I43471"/>
      <c r="N43471"/>
      <c r="O43471" s="24"/>
      <c r="P43471"/>
      <c r="Q43471" s="24"/>
      <c r="R43471"/>
      <c r="S43471"/>
      <c r="T43471"/>
      <c r="U43471"/>
      <c r="X43471" s="60"/>
    </row>
    <row r="43472" spans="7:24" ht="15" customHeight="1">
      <c r="G43472"/>
      <c r="I43472"/>
      <c r="N43472"/>
      <c r="O43472" s="24"/>
      <c r="P43472"/>
      <c r="Q43472" s="24"/>
      <c r="R43472"/>
      <c r="S43472"/>
      <c r="T43472"/>
      <c r="U43472"/>
      <c r="X43472" s="60"/>
    </row>
    <row r="43473" spans="7:24" ht="15" customHeight="1">
      <c r="G43473"/>
      <c r="I43473"/>
      <c r="N43473"/>
      <c r="O43473" s="24"/>
      <c r="P43473"/>
      <c r="Q43473" s="24"/>
      <c r="R43473"/>
      <c r="S43473"/>
      <c r="T43473"/>
      <c r="U43473"/>
      <c r="X43473" s="60"/>
    </row>
    <row r="43474" spans="7:24" ht="15" customHeight="1">
      <c r="G43474"/>
      <c r="I43474"/>
      <c r="N43474"/>
      <c r="O43474" s="24"/>
      <c r="P43474"/>
      <c r="Q43474" s="24"/>
      <c r="R43474"/>
      <c r="S43474"/>
      <c r="T43474"/>
      <c r="U43474"/>
      <c r="X43474" s="60"/>
    </row>
    <row r="43475" spans="7:24" ht="15" customHeight="1">
      <c r="G43475"/>
      <c r="I43475"/>
      <c r="N43475"/>
      <c r="O43475" s="24"/>
      <c r="P43475"/>
      <c r="Q43475" s="24"/>
      <c r="R43475"/>
      <c r="S43475"/>
      <c r="T43475"/>
      <c r="U43475"/>
      <c r="X43475" s="60"/>
    </row>
    <row r="43476" spans="7:24" ht="15" customHeight="1">
      <c r="G43476"/>
      <c r="I43476"/>
      <c r="N43476"/>
      <c r="O43476" s="24"/>
      <c r="P43476"/>
      <c r="Q43476" s="24"/>
      <c r="R43476"/>
      <c r="S43476"/>
      <c r="T43476"/>
      <c r="U43476"/>
      <c r="X43476" s="60"/>
    </row>
    <row r="43477" spans="7:24" ht="15" customHeight="1">
      <c r="G43477"/>
      <c r="I43477"/>
      <c r="N43477"/>
      <c r="O43477" s="24"/>
      <c r="P43477"/>
      <c r="Q43477" s="24"/>
      <c r="R43477"/>
      <c r="S43477"/>
      <c r="T43477"/>
      <c r="U43477"/>
      <c r="X43477" s="60"/>
    </row>
    <row r="43478" spans="7:24" ht="15" customHeight="1">
      <c r="G43478"/>
      <c r="I43478"/>
      <c r="N43478"/>
      <c r="O43478" s="24"/>
      <c r="P43478"/>
      <c r="Q43478" s="24"/>
      <c r="R43478"/>
      <c r="S43478"/>
      <c r="T43478"/>
      <c r="U43478"/>
      <c r="X43478" s="60"/>
    </row>
    <row r="43479" spans="7:24" ht="15" customHeight="1">
      <c r="G43479"/>
      <c r="I43479"/>
      <c r="N43479"/>
      <c r="O43479" s="24"/>
      <c r="P43479"/>
      <c r="Q43479" s="24"/>
      <c r="R43479"/>
      <c r="S43479"/>
      <c r="T43479"/>
      <c r="U43479"/>
      <c r="X43479" s="60"/>
    </row>
    <row r="43480" spans="7:24" ht="15" customHeight="1">
      <c r="G43480"/>
      <c r="I43480"/>
      <c r="N43480"/>
      <c r="O43480" s="24"/>
      <c r="P43480"/>
      <c r="Q43480" s="24"/>
      <c r="R43480"/>
      <c r="S43480"/>
      <c r="T43480"/>
      <c r="U43480"/>
      <c r="X43480" s="60"/>
    </row>
    <row r="43481" spans="7:24" ht="15" customHeight="1">
      <c r="G43481"/>
      <c r="I43481"/>
      <c r="N43481"/>
      <c r="O43481" s="24"/>
      <c r="P43481"/>
      <c r="Q43481" s="24"/>
      <c r="R43481"/>
      <c r="S43481"/>
      <c r="T43481"/>
      <c r="U43481"/>
      <c r="X43481" s="60"/>
    </row>
    <row r="43482" spans="7:24" ht="15" customHeight="1">
      <c r="G43482"/>
      <c r="I43482"/>
      <c r="N43482"/>
      <c r="O43482" s="24"/>
      <c r="P43482"/>
      <c r="Q43482" s="24"/>
      <c r="R43482"/>
      <c r="S43482"/>
      <c r="T43482"/>
      <c r="U43482"/>
      <c r="X43482" s="60"/>
    </row>
    <row r="43483" spans="7:24" ht="15" customHeight="1">
      <c r="G43483"/>
      <c r="I43483"/>
      <c r="N43483"/>
      <c r="O43483" s="24"/>
      <c r="P43483"/>
      <c r="Q43483" s="24"/>
      <c r="R43483"/>
      <c r="S43483"/>
      <c r="T43483"/>
      <c r="U43483"/>
      <c r="X43483" s="60"/>
    </row>
    <row r="43484" spans="7:24" ht="15" customHeight="1">
      <c r="G43484"/>
      <c r="I43484"/>
      <c r="N43484"/>
      <c r="O43484" s="24"/>
      <c r="P43484"/>
      <c r="Q43484" s="24"/>
      <c r="R43484"/>
      <c r="S43484"/>
      <c r="T43484"/>
      <c r="U43484"/>
      <c r="X43484" s="60"/>
    </row>
    <row r="43485" spans="7:24" ht="15" customHeight="1">
      <c r="G43485"/>
      <c r="I43485"/>
      <c r="N43485"/>
      <c r="O43485" s="24"/>
      <c r="P43485"/>
      <c r="Q43485" s="24"/>
      <c r="R43485"/>
      <c r="S43485"/>
      <c r="T43485"/>
      <c r="U43485"/>
      <c r="X43485" s="60"/>
    </row>
    <row r="43486" spans="7:24" ht="15" customHeight="1">
      <c r="G43486"/>
      <c r="I43486"/>
      <c r="N43486"/>
      <c r="O43486" s="24"/>
      <c r="P43486"/>
      <c r="Q43486" s="24"/>
      <c r="R43486"/>
      <c r="S43486"/>
      <c r="T43486"/>
      <c r="U43486"/>
      <c r="X43486" s="60"/>
    </row>
    <row r="43487" spans="7:24" ht="15" customHeight="1">
      <c r="G43487"/>
      <c r="I43487"/>
      <c r="N43487"/>
      <c r="O43487" s="24"/>
      <c r="P43487"/>
      <c r="Q43487" s="24"/>
      <c r="R43487"/>
      <c r="S43487"/>
      <c r="T43487"/>
      <c r="U43487"/>
      <c r="X43487" s="60"/>
    </row>
    <row r="43488" spans="7:24" ht="15" customHeight="1">
      <c r="G43488"/>
      <c r="I43488"/>
      <c r="N43488"/>
      <c r="O43488" s="24"/>
      <c r="P43488"/>
      <c r="Q43488" s="24"/>
      <c r="R43488"/>
      <c r="S43488"/>
      <c r="T43488"/>
      <c r="U43488"/>
      <c r="X43488" s="60"/>
    </row>
    <row r="43489" spans="7:24" ht="15" customHeight="1">
      <c r="G43489"/>
      <c r="I43489"/>
      <c r="N43489"/>
      <c r="O43489" s="24"/>
      <c r="P43489"/>
      <c r="Q43489" s="24"/>
      <c r="R43489"/>
      <c r="S43489"/>
      <c r="T43489"/>
      <c r="U43489"/>
      <c r="X43489" s="60"/>
    </row>
    <row r="43490" spans="7:24" ht="15" customHeight="1">
      <c r="G43490"/>
      <c r="I43490"/>
      <c r="N43490"/>
      <c r="O43490" s="24"/>
      <c r="P43490"/>
      <c r="Q43490" s="24"/>
      <c r="R43490"/>
      <c r="S43490"/>
      <c r="T43490"/>
      <c r="U43490"/>
      <c r="X43490" s="60"/>
    </row>
    <row r="43491" spans="7:24" ht="15" customHeight="1">
      <c r="G43491"/>
      <c r="I43491"/>
      <c r="N43491"/>
      <c r="O43491" s="24"/>
      <c r="P43491"/>
      <c r="Q43491" s="24"/>
      <c r="R43491"/>
      <c r="S43491"/>
      <c r="T43491"/>
      <c r="U43491"/>
      <c r="X43491" s="60"/>
    </row>
    <row r="43492" spans="7:24" ht="15" customHeight="1">
      <c r="G43492"/>
      <c r="I43492"/>
      <c r="N43492"/>
      <c r="O43492" s="24"/>
      <c r="P43492"/>
      <c r="Q43492" s="24"/>
      <c r="R43492"/>
      <c r="S43492"/>
      <c r="T43492"/>
      <c r="U43492"/>
      <c r="X43492" s="60"/>
    </row>
    <row r="43493" spans="7:24" ht="15" customHeight="1">
      <c r="G43493"/>
      <c r="I43493"/>
      <c r="N43493"/>
      <c r="O43493" s="24"/>
      <c r="P43493"/>
      <c r="Q43493" s="24"/>
      <c r="R43493"/>
      <c r="S43493"/>
      <c r="T43493"/>
      <c r="U43493"/>
      <c r="X43493" s="60"/>
    </row>
    <row r="43494" spans="7:24" ht="15" customHeight="1">
      <c r="G43494"/>
      <c r="I43494"/>
      <c r="N43494"/>
      <c r="O43494" s="24"/>
      <c r="P43494"/>
      <c r="Q43494" s="24"/>
      <c r="R43494"/>
      <c r="S43494"/>
      <c r="T43494"/>
      <c r="U43494"/>
      <c r="X43494" s="60"/>
    </row>
    <row r="43495" spans="7:24" ht="15" customHeight="1">
      <c r="G43495"/>
      <c r="I43495"/>
      <c r="N43495"/>
      <c r="O43495" s="24"/>
      <c r="P43495"/>
      <c r="Q43495" s="24"/>
      <c r="R43495"/>
      <c r="S43495"/>
      <c r="T43495"/>
      <c r="U43495"/>
      <c r="X43495" s="60"/>
    </row>
    <row r="43496" spans="7:24" ht="15" customHeight="1">
      <c r="G43496"/>
      <c r="I43496"/>
      <c r="N43496"/>
      <c r="O43496" s="24"/>
      <c r="P43496"/>
      <c r="Q43496" s="24"/>
      <c r="R43496"/>
      <c r="S43496"/>
      <c r="T43496"/>
      <c r="U43496"/>
      <c r="X43496" s="60"/>
    </row>
    <row r="43497" spans="7:24" ht="15" customHeight="1">
      <c r="G43497"/>
      <c r="I43497"/>
      <c r="N43497"/>
      <c r="O43497" s="24"/>
      <c r="P43497"/>
      <c r="Q43497" s="24"/>
      <c r="R43497"/>
      <c r="S43497"/>
      <c r="T43497"/>
      <c r="U43497"/>
      <c r="X43497" s="60"/>
    </row>
    <row r="43498" spans="7:24" ht="15" customHeight="1">
      <c r="G43498"/>
      <c r="I43498"/>
      <c r="N43498"/>
      <c r="O43498" s="24"/>
      <c r="P43498"/>
      <c r="Q43498" s="24"/>
      <c r="R43498"/>
      <c r="S43498"/>
      <c r="T43498"/>
      <c r="U43498"/>
      <c r="X43498" s="60"/>
    </row>
    <row r="43499" spans="7:24" ht="15" customHeight="1">
      <c r="G43499"/>
      <c r="I43499"/>
      <c r="N43499"/>
      <c r="O43499" s="24"/>
      <c r="P43499"/>
      <c r="Q43499" s="24"/>
      <c r="R43499"/>
      <c r="S43499"/>
      <c r="T43499"/>
      <c r="U43499"/>
      <c r="X43499" s="60"/>
    </row>
    <row r="43500" spans="7:24" ht="15" customHeight="1">
      <c r="G43500"/>
      <c r="I43500"/>
      <c r="N43500"/>
      <c r="O43500" s="24"/>
      <c r="P43500"/>
      <c r="Q43500" s="24"/>
      <c r="R43500"/>
      <c r="S43500"/>
      <c r="T43500"/>
      <c r="U43500"/>
      <c r="X43500" s="60"/>
    </row>
    <row r="43501" spans="7:24" ht="15" customHeight="1">
      <c r="G43501"/>
      <c r="I43501"/>
      <c r="N43501"/>
      <c r="O43501" s="24"/>
      <c r="P43501"/>
      <c r="Q43501" s="24"/>
      <c r="R43501"/>
      <c r="S43501"/>
      <c r="T43501"/>
      <c r="U43501"/>
      <c r="X43501" s="60"/>
    </row>
    <row r="43502" spans="7:24" ht="15" customHeight="1">
      <c r="G43502"/>
      <c r="I43502"/>
      <c r="N43502"/>
      <c r="O43502" s="24"/>
      <c r="P43502"/>
      <c r="Q43502" s="24"/>
      <c r="R43502"/>
      <c r="S43502"/>
      <c r="T43502"/>
      <c r="U43502"/>
      <c r="X43502" s="60"/>
    </row>
    <row r="43503" spans="7:24" ht="15" customHeight="1">
      <c r="G43503"/>
      <c r="I43503"/>
      <c r="N43503"/>
      <c r="O43503" s="24"/>
      <c r="P43503"/>
      <c r="Q43503" s="24"/>
      <c r="R43503"/>
      <c r="S43503"/>
      <c r="T43503"/>
      <c r="U43503"/>
      <c r="X43503" s="60"/>
    </row>
    <row r="43504" spans="7:24" ht="15" customHeight="1">
      <c r="G43504"/>
      <c r="I43504"/>
      <c r="N43504"/>
      <c r="O43504" s="24"/>
      <c r="P43504"/>
      <c r="Q43504" s="24"/>
      <c r="R43504"/>
      <c r="S43504"/>
      <c r="T43504"/>
      <c r="U43504"/>
      <c r="X43504" s="60"/>
    </row>
    <row r="43505" spans="7:24" ht="15" customHeight="1">
      <c r="G43505"/>
      <c r="I43505"/>
      <c r="N43505"/>
      <c r="O43505" s="24"/>
      <c r="P43505"/>
      <c r="Q43505" s="24"/>
      <c r="R43505"/>
      <c r="S43505"/>
      <c r="T43505"/>
      <c r="U43505"/>
      <c r="X43505" s="60"/>
    </row>
    <row r="43506" spans="7:24" ht="15" customHeight="1">
      <c r="G43506"/>
      <c r="I43506"/>
      <c r="N43506"/>
      <c r="O43506" s="24"/>
      <c r="P43506"/>
      <c r="Q43506" s="24"/>
      <c r="R43506"/>
      <c r="S43506"/>
      <c r="T43506"/>
      <c r="U43506"/>
      <c r="X43506" s="60"/>
    </row>
    <row r="43507" spans="7:24" ht="15" customHeight="1">
      <c r="G43507"/>
      <c r="I43507"/>
      <c r="N43507"/>
      <c r="O43507" s="24"/>
      <c r="P43507"/>
      <c r="Q43507" s="24"/>
      <c r="R43507"/>
      <c r="S43507"/>
      <c r="T43507"/>
      <c r="U43507"/>
      <c r="X43507" s="60"/>
    </row>
    <row r="43508" spans="7:24" ht="15" customHeight="1">
      <c r="G43508"/>
      <c r="I43508"/>
      <c r="N43508"/>
      <c r="O43508" s="24"/>
      <c r="P43508"/>
      <c r="Q43508" s="24"/>
      <c r="R43508"/>
      <c r="S43508"/>
      <c r="T43508"/>
      <c r="U43508"/>
      <c r="X43508" s="60"/>
    </row>
    <row r="43509" spans="7:24" ht="15" customHeight="1">
      <c r="G43509"/>
      <c r="I43509"/>
      <c r="N43509"/>
      <c r="O43509" s="24"/>
      <c r="P43509"/>
      <c r="Q43509" s="24"/>
      <c r="R43509"/>
      <c r="S43509"/>
      <c r="T43509"/>
      <c r="U43509"/>
      <c r="X43509" s="60"/>
    </row>
    <row r="43510" spans="7:24" ht="15" customHeight="1">
      <c r="G43510"/>
      <c r="I43510"/>
      <c r="N43510"/>
      <c r="O43510" s="24"/>
      <c r="P43510"/>
      <c r="Q43510" s="24"/>
      <c r="R43510"/>
      <c r="S43510"/>
      <c r="T43510"/>
      <c r="U43510"/>
      <c r="X43510" s="60"/>
    </row>
    <row r="43511" spans="7:24" ht="15" customHeight="1">
      <c r="G43511"/>
      <c r="I43511"/>
      <c r="N43511"/>
      <c r="O43511" s="24"/>
      <c r="P43511"/>
      <c r="Q43511" s="24"/>
      <c r="R43511"/>
      <c r="S43511"/>
      <c r="T43511"/>
      <c r="U43511"/>
      <c r="X43511" s="60"/>
    </row>
    <row r="43512" spans="7:24" ht="15" customHeight="1">
      <c r="G43512"/>
      <c r="I43512"/>
      <c r="N43512"/>
      <c r="O43512" s="24"/>
      <c r="P43512"/>
      <c r="Q43512" s="24"/>
      <c r="R43512"/>
      <c r="S43512"/>
      <c r="T43512"/>
      <c r="U43512"/>
      <c r="X43512" s="60"/>
    </row>
    <row r="43513" spans="7:24" ht="15" customHeight="1">
      <c r="G43513"/>
      <c r="I43513"/>
      <c r="N43513"/>
      <c r="O43513" s="24"/>
      <c r="P43513"/>
      <c r="Q43513" s="24"/>
      <c r="R43513"/>
      <c r="S43513"/>
      <c r="T43513"/>
      <c r="U43513"/>
      <c r="X43513" s="60"/>
    </row>
    <row r="43514" spans="7:24" ht="15" customHeight="1">
      <c r="G43514"/>
      <c r="I43514"/>
      <c r="N43514"/>
      <c r="O43514" s="24"/>
      <c r="P43514"/>
      <c r="Q43514" s="24"/>
      <c r="R43514"/>
      <c r="S43514"/>
      <c r="T43514"/>
      <c r="U43514"/>
      <c r="X43514" s="60"/>
    </row>
    <row r="43515" spans="7:24" ht="15" customHeight="1">
      <c r="G43515"/>
      <c r="I43515"/>
      <c r="N43515"/>
      <c r="O43515" s="24"/>
      <c r="P43515"/>
      <c r="Q43515" s="24"/>
      <c r="R43515"/>
      <c r="S43515"/>
      <c r="T43515"/>
      <c r="U43515"/>
      <c r="X43515" s="60"/>
    </row>
    <row r="43516" spans="7:24" ht="15" customHeight="1">
      <c r="G43516"/>
      <c r="I43516"/>
      <c r="N43516"/>
      <c r="O43516" s="24"/>
      <c r="P43516"/>
      <c r="Q43516" s="24"/>
      <c r="R43516"/>
      <c r="S43516"/>
      <c r="T43516"/>
      <c r="U43516"/>
      <c r="X43516" s="60"/>
    </row>
    <row r="43517" spans="7:24" ht="15" customHeight="1">
      <c r="G43517"/>
      <c r="I43517"/>
      <c r="N43517"/>
      <c r="O43517" s="24"/>
      <c r="P43517"/>
      <c r="Q43517" s="24"/>
      <c r="R43517"/>
      <c r="S43517"/>
      <c r="T43517"/>
      <c r="U43517"/>
      <c r="X43517" s="60"/>
    </row>
    <row r="43518" spans="7:24" ht="15" customHeight="1">
      <c r="G43518"/>
      <c r="I43518"/>
      <c r="N43518"/>
      <c r="O43518" s="24"/>
      <c r="P43518"/>
      <c r="Q43518" s="24"/>
      <c r="R43518"/>
      <c r="S43518"/>
      <c r="T43518"/>
      <c r="U43518"/>
      <c r="X43518" s="60"/>
    </row>
    <row r="43519" spans="7:24" ht="15" customHeight="1">
      <c r="G43519"/>
      <c r="I43519"/>
      <c r="N43519"/>
      <c r="O43519" s="24"/>
      <c r="P43519"/>
      <c r="Q43519" s="24"/>
      <c r="R43519"/>
      <c r="S43519"/>
      <c r="T43519"/>
      <c r="U43519"/>
      <c r="X43519" s="60"/>
    </row>
    <row r="43520" spans="7:24" ht="15" customHeight="1">
      <c r="G43520"/>
      <c r="I43520"/>
      <c r="N43520"/>
      <c r="O43520" s="24"/>
      <c r="P43520"/>
      <c r="Q43520" s="24"/>
      <c r="R43520"/>
      <c r="S43520"/>
      <c r="T43520"/>
      <c r="U43520"/>
      <c r="X43520" s="60"/>
    </row>
    <row r="43521" spans="7:24" ht="15" customHeight="1">
      <c r="G43521"/>
      <c r="I43521"/>
      <c r="N43521"/>
      <c r="O43521" s="24"/>
      <c r="P43521"/>
      <c r="Q43521" s="24"/>
      <c r="R43521"/>
      <c r="S43521"/>
      <c r="T43521"/>
      <c r="U43521"/>
      <c r="X43521" s="60"/>
    </row>
    <row r="43522" spans="7:24" ht="15" customHeight="1">
      <c r="G43522"/>
      <c r="I43522"/>
      <c r="N43522"/>
      <c r="O43522" s="24"/>
      <c r="P43522"/>
      <c r="Q43522" s="24"/>
      <c r="R43522"/>
      <c r="S43522"/>
      <c r="T43522"/>
      <c r="U43522"/>
      <c r="X43522" s="60"/>
    </row>
    <row r="43523" spans="7:24" ht="15" customHeight="1">
      <c r="G43523"/>
      <c r="I43523"/>
      <c r="N43523"/>
      <c r="O43523" s="24"/>
      <c r="P43523"/>
      <c r="Q43523" s="24"/>
      <c r="R43523"/>
      <c r="S43523"/>
      <c r="T43523"/>
      <c r="U43523"/>
      <c r="X43523" s="60"/>
    </row>
    <row r="43524" spans="7:24" ht="15" customHeight="1">
      <c r="G43524"/>
      <c r="I43524"/>
      <c r="N43524"/>
      <c r="O43524" s="24"/>
      <c r="P43524"/>
      <c r="Q43524" s="24"/>
      <c r="R43524"/>
      <c r="S43524"/>
      <c r="T43524"/>
      <c r="U43524"/>
      <c r="X43524" s="60"/>
    </row>
    <row r="43525" spans="7:24" ht="15" customHeight="1">
      <c r="G43525"/>
      <c r="I43525"/>
      <c r="N43525"/>
      <c r="O43525" s="24"/>
      <c r="P43525"/>
      <c r="Q43525" s="24"/>
      <c r="R43525"/>
      <c r="S43525"/>
      <c r="T43525"/>
      <c r="U43525"/>
      <c r="X43525" s="60"/>
    </row>
    <row r="43526" spans="7:24" ht="15" customHeight="1">
      <c r="G43526"/>
      <c r="I43526"/>
      <c r="N43526"/>
      <c r="O43526" s="24"/>
      <c r="P43526"/>
      <c r="Q43526" s="24"/>
      <c r="R43526"/>
      <c r="S43526"/>
      <c r="T43526"/>
      <c r="U43526"/>
      <c r="X43526" s="60"/>
    </row>
    <row r="43527" spans="7:24" ht="15" customHeight="1">
      <c r="G43527"/>
      <c r="I43527"/>
      <c r="N43527"/>
      <c r="O43527" s="24"/>
      <c r="P43527"/>
      <c r="Q43527" s="24"/>
      <c r="R43527"/>
      <c r="S43527"/>
      <c r="T43527"/>
      <c r="U43527"/>
      <c r="X43527" s="60"/>
    </row>
    <row r="43528" spans="7:24" ht="15" customHeight="1">
      <c r="G43528"/>
      <c r="I43528"/>
      <c r="N43528"/>
      <c r="O43528" s="24"/>
      <c r="P43528"/>
      <c r="Q43528" s="24"/>
      <c r="R43528"/>
      <c r="S43528"/>
      <c r="T43528"/>
      <c r="U43528"/>
      <c r="X43528" s="60"/>
    </row>
    <row r="43529" spans="7:24" ht="15" customHeight="1">
      <c r="G43529"/>
      <c r="I43529"/>
      <c r="N43529"/>
      <c r="O43529" s="24"/>
      <c r="P43529"/>
      <c r="Q43529" s="24"/>
      <c r="R43529"/>
      <c r="S43529"/>
      <c r="T43529"/>
      <c r="U43529"/>
      <c r="X43529" s="60"/>
    </row>
    <row r="43530" spans="7:24" ht="15" customHeight="1">
      <c r="G43530"/>
      <c r="I43530"/>
      <c r="N43530"/>
      <c r="O43530" s="24"/>
      <c r="P43530"/>
      <c r="Q43530" s="24"/>
      <c r="R43530"/>
      <c r="S43530"/>
      <c r="T43530"/>
      <c r="U43530"/>
      <c r="X43530" s="60"/>
    </row>
    <row r="43531" spans="7:24" ht="15" customHeight="1">
      <c r="G43531"/>
      <c r="I43531"/>
      <c r="N43531"/>
      <c r="O43531" s="24"/>
      <c r="P43531"/>
      <c r="Q43531" s="24"/>
      <c r="R43531"/>
      <c r="S43531"/>
      <c r="T43531"/>
      <c r="U43531"/>
      <c r="X43531" s="60"/>
    </row>
    <row r="43532" spans="7:24" ht="15" customHeight="1">
      <c r="G43532"/>
      <c r="I43532"/>
      <c r="N43532"/>
      <c r="O43532" s="24"/>
      <c r="P43532"/>
      <c r="Q43532" s="24"/>
      <c r="R43532"/>
      <c r="S43532"/>
      <c r="T43532"/>
      <c r="U43532"/>
      <c r="X43532" s="60"/>
    </row>
    <row r="43533" spans="7:24" ht="15" customHeight="1">
      <c r="G43533"/>
      <c r="I43533"/>
      <c r="N43533"/>
      <c r="O43533" s="24"/>
      <c r="P43533"/>
      <c r="Q43533" s="24"/>
      <c r="R43533"/>
      <c r="S43533"/>
      <c r="T43533"/>
      <c r="U43533"/>
      <c r="X43533" s="60"/>
    </row>
    <row r="43534" spans="7:24" ht="15" customHeight="1">
      <c r="G43534"/>
      <c r="I43534"/>
      <c r="N43534"/>
      <c r="O43534" s="24"/>
      <c r="P43534"/>
      <c r="Q43534" s="24"/>
      <c r="R43534"/>
      <c r="S43534"/>
      <c r="T43534"/>
      <c r="U43534"/>
      <c r="X43534" s="60"/>
    </row>
    <row r="43535" spans="7:24" ht="15" customHeight="1">
      <c r="G43535"/>
      <c r="I43535"/>
      <c r="N43535"/>
      <c r="O43535" s="24"/>
      <c r="P43535"/>
      <c r="Q43535" s="24"/>
      <c r="R43535"/>
      <c r="S43535"/>
      <c r="T43535"/>
      <c r="U43535"/>
      <c r="X43535" s="60"/>
    </row>
    <row r="43536" spans="7:24" ht="15" customHeight="1">
      <c r="G43536"/>
      <c r="I43536"/>
      <c r="N43536"/>
      <c r="O43536" s="24"/>
      <c r="P43536"/>
      <c r="Q43536" s="24"/>
      <c r="R43536"/>
      <c r="S43536"/>
      <c r="T43536"/>
      <c r="U43536"/>
      <c r="X43536" s="60"/>
    </row>
    <row r="43537" spans="7:24" ht="15" customHeight="1">
      <c r="G43537"/>
      <c r="I43537"/>
      <c r="N43537"/>
      <c r="O43537" s="24"/>
      <c r="P43537"/>
      <c r="Q43537" s="24"/>
      <c r="R43537"/>
      <c r="S43537"/>
      <c r="T43537"/>
      <c r="U43537"/>
      <c r="X43537" s="60"/>
    </row>
    <row r="43538" spans="7:24" ht="15" customHeight="1">
      <c r="G43538"/>
      <c r="I43538"/>
      <c r="N43538"/>
      <c r="O43538" s="24"/>
      <c r="P43538"/>
      <c r="Q43538" s="24"/>
      <c r="R43538"/>
      <c r="S43538"/>
      <c r="T43538"/>
      <c r="U43538"/>
      <c r="X43538" s="60"/>
    </row>
    <row r="43539" spans="7:24" ht="15" customHeight="1">
      <c r="G43539"/>
      <c r="I43539"/>
      <c r="N43539"/>
      <c r="O43539" s="24"/>
      <c r="P43539"/>
      <c r="Q43539" s="24"/>
      <c r="R43539"/>
      <c r="S43539"/>
      <c r="T43539"/>
      <c r="U43539"/>
      <c r="X43539" s="60"/>
    </row>
    <row r="43540" spans="7:24" ht="15" customHeight="1">
      <c r="G43540"/>
      <c r="I43540"/>
      <c r="N43540"/>
      <c r="O43540" s="24"/>
      <c r="P43540"/>
      <c r="Q43540" s="24"/>
      <c r="R43540"/>
      <c r="S43540"/>
      <c r="T43540"/>
      <c r="U43540"/>
      <c r="X43540" s="60"/>
    </row>
    <row r="43541" spans="7:24" ht="15" customHeight="1">
      <c r="G43541"/>
      <c r="I43541"/>
      <c r="N43541"/>
      <c r="O43541" s="24"/>
      <c r="P43541"/>
      <c r="Q43541" s="24"/>
      <c r="R43541"/>
      <c r="S43541"/>
      <c r="T43541"/>
      <c r="U43541"/>
      <c r="X43541" s="60"/>
    </row>
    <row r="43542" spans="7:24" ht="15" customHeight="1">
      <c r="G43542"/>
      <c r="I43542"/>
      <c r="N43542"/>
      <c r="O43542" s="24"/>
      <c r="P43542"/>
      <c r="Q43542" s="24"/>
      <c r="R43542"/>
      <c r="S43542"/>
      <c r="T43542"/>
      <c r="U43542"/>
      <c r="X43542" s="60"/>
    </row>
    <row r="43543" spans="7:24" ht="15" customHeight="1">
      <c r="G43543"/>
      <c r="I43543"/>
      <c r="N43543"/>
      <c r="O43543" s="24"/>
      <c r="P43543"/>
      <c r="Q43543" s="24"/>
      <c r="R43543"/>
      <c r="S43543"/>
      <c r="T43543"/>
      <c r="U43543"/>
      <c r="X43543" s="60"/>
    </row>
    <row r="43544" spans="7:24" ht="15" customHeight="1">
      <c r="G43544"/>
      <c r="I43544"/>
      <c r="N43544"/>
      <c r="O43544" s="24"/>
      <c r="P43544"/>
      <c r="Q43544" s="24"/>
      <c r="R43544"/>
      <c r="S43544"/>
      <c r="T43544"/>
      <c r="U43544"/>
      <c r="X43544" s="60"/>
    </row>
    <row r="43545" spans="7:24" ht="15" customHeight="1">
      <c r="G43545"/>
      <c r="I43545"/>
      <c r="N43545"/>
      <c r="O43545" s="24"/>
      <c r="P43545"/>
      <c r="Q43545" s="24"/>
      <c r="R43545"/>
      <c r="S43545"/>
      <c r="T43545"/>
      <c r="U43545"/>
      <c r="X43545" s="60"/>
    </row>
    <row r="43546" spans="7:24" ht="15" customHeight="1">
      <c r="G43546"/>
      <c r="I43546"/>
      <c r="N43546"/>
      <c r="O43546" s="24"/>
      <c r="P43546"/>
      <c r="Q43546" s="24"/>
      <c r="R43546"/>
      <c r="S43546"/>
      <c r="T43546"/>
      <c r="U43546"/>
      <c r="X43546" s="60"/>
    </row>
    <row r="43547" spans="7:24" ht="15" customHeight="1">
      <c r="G43547"/>
      <c r="I43547"/>
      <c r="N43547"/>
      <c r="O43547" s="24"/>
      <c r="P43547"/>
      <c r="Q43547" s="24"/>
      <c r="R43547"/>
      <c r="S43547"/>
      <c r="T43547"/>
      <c r="U43547"/>
      <c r="X43547" s="60"/>
    </row>
    <row r="43548" spans="7:24" ht="15" customHeight="1">
      <c r="G43548"/>
      <c r="I43548"/>
      <c r="N43548"/>
      <c r="O43548" s="24"/>
      <c r="P43548"/>
      <c r="Q43548" s="24"/>
      <c r="R43548"/>
      <c r="S43548"/>
      <c r="T43548"/>
      <c r="U43548"/>
      <c r="X43548" s="60"/>
    </row>
    <row r="43549" spans="7:24" ht="15" customHeight="1">
      <c r="G43549"/>
      <c r="I43549"/>
      <c r="N43549"/>
      <c r="O43549" s="24"/>
      <c r="P43549"/>
      <c r="Q43549" s="24"/>
      <c r="R43549"/>
      <c r="S43549"/>
      <c r="T43549"/>
      <c r="U43549"/>
      <c r="X43549" s="60"/>
    </row>
    <row r="43550" spans="7:24" ht="15" customHeight="1">
      <c r="G43550"/>
      <c r="I43550"/>
      <c r="N43550"/>
      <c r="O43550" s="24"/>
      <c r="P43550"/>
      <c r="Q43550" s="24"/>
      <c r="R43550"/>
      <c r="S43550"/>
      <c r="T43550"/>
      <c r="U43550"/>
      <c r="X43550" s="60"/>
    </row>
    <row r="43551" spans="7:24" ht="15" customHeight="1">
      <c r="G43551"/>
      <c r="I43551"/>
      <c r="N43551"/>
      <c r="O43551" s="24"/>
      <c r="P43551"/>
      <c r="Q43551" s="24"/>
      <c r="R43551"/>
      <c r="S43551"/>
      <c r="T43551"/>
      <c r="U43551"/>
      <c r="X43551" s="60"/>
    </row>
    <row r="43552" spans="7:24" ht="15" customHeight="1">
      <c r="G43552"/>
      <c r="I43552"/>
      <c r="N43552"/>
      <c r="O43552" s="24"/>
      <c r="P43552"/>
      <c r="Q43552" s="24"/>
      <c r="R43552"/>
      <c r="S43552"/>
      <c r="T43552"/>
      <c r="U43552"/>
      <c r="X43552" s="60"/>
    </row>
    <row r="43553" spans="7:24" ht="15" customHeight="1">
      <c r="G43553"/>
      <c r="I43553"/>
      <c r="N43553"/>
      <c r="O43553" s="24"/>
      <c r="P43553"/>
      <c r="Q43553" s="24"/>
      <c r="R43553"/>
      <c r="S43553"/>
      <c r="T43553"/>
      <c r="U43553"/>
      <c r="X43553" s="60"/>
    </row>
    <row r="43554" spans="7:24" ht="15" customHeight="1">
      <c r="G43554"/>
      <c r="I43554"/>
      <c r="N43554"/>
      <c r="O43554" s="24"/>
      <c r="P43554"/>
      <c r="Q43554" s="24"/>
      <c r="R43554"/>
      <c r="S43554"/>
      <c r="T43554"/>
      <c r="U43554"/>
      <c r="X43554" s="60"/>
    </row>
    <row r="43555" spans="7:24" ht="15" customHeight="1">
      <c r="G43555"/>
      <c r="I43555"/>
      <c r="N43555"/>
      <c r="O43555" s="24"/>
      <c r="P43555"/>
      <c r="Q43555" s="24"/>
      <c r="R43555"/>
      <c r="S43555"/>
      <c r="T43555"/>
      <c r="U43555"/>
      <c r="X43555" s="60"/>
    </row>
    <row r="43556" spans="7:24" ht="15" customHeight="1">
      <c r="G43556"/>
      <c r="I43556"/>
      <c r="N43556"/>
      <c r="O43556" s="24"/>
      <c r="P43556"/>
      <c r="Q43556" s="24"/>
      <c r="R43556"/>
      <c r="S43556"/>
      <c r="T43556"/>
      <c r="U43556"/>
      <c r="X43556" s="60"/>
    </row>
    <row r="43557" spans="7:24" ht="15" customHeight="1">
      <c r="G43557"/>
      <c r="I43557"/>
      <c r="N43557"/>
      <c r="O43557" s="24"/>
      <c r="P43557"/>
      <c r="Q43557" s="24"/>
      <c r="R43557"/>
      <c r="S43557"/>
      <c r="T43557"/>
      <c r="U43557"/>
      <c r="X43557" s="60"/>
    </row>
    <row r="43558" spans="7:24" ht="15" customHeight="1">
      <c r="G43558"/>
      <c r="I43558"/>
      <c r="N43558"/>
      <c r="O43558" s="24"/>
      <c r="P43558"/>
      <c r="Q43558" s="24"/>
      <c r="R43558"/>
      <c r="S43558"/>
      <c r="T43558"/>
      <c r="U43558"/>
      <c r="X43558" s="60"/>
    </row>
    <row r="43559" spans="7:24" ht="15" customHeight="1">
      <c r="G43559"/>
      <c r="I43559"/>
      <c r="N43559"/>
      <c r="O43559" s="24"/>
      <c r="P43559"/>
      <c r="Q43559" s="24"/>
      <c r="R43559"/>
      <c r="S43559"/>
      <c r="T43559"/>
      <c r="U43559"/>
      <c r="X43559" s="60"/>
    </row>
    <row r="43560" spans="7:24" ht="15" customHeight="1">
      <c r="G43560"/>
      <c r="I43560"/>
      <c r="N43560"/>
      <c r="O43560" s="24"/>
      <c r="P43560"/>
      <c r="Q43560" s="24"/>
      <c r="R43560"/>
      <c r="S43560"/>
      <c r="T43560"/>
      <c r="U43560"/>
      <c r="X43560" s="60"/>
    </row>
    <row r="43561" spans="7:24" ht="15" customHeight="1">
      <c r="G43561"/>
      <c r="I43561"/>
      <c r="N43561"/>
      <c r="O43561" s="24"/>
      <c r="P43561"/>
      <c r="Q43561" s="24"/>
      <c r="R43561"/>
      <c r="S43561"/>
      <c r="T43561"/>
      <c r="U43561"/>
      <c r="X43561" s="60"/>
    </row>
    <row r="43562" spans="7:24" ht="15" customHeight="1">
      <c r="G43562"/>
      <c r="I43562"/>
      <c r="N43562"/>
      <c r="O43562" s="24"/>
      <c r="P43562"/>
      <c r="Q43562" s="24"/>
      <c r="R43562"/>
      <c r="S43562"/>
      <c r="T43562"/>
      <c r="U43562"/>
      <c r="X43562" s="60"/>
    </row>
    <row r="43563" spans="7:24" ht="15" customHeight="1">
      <c r="G43563"/>
      <c r="I43563"/>
      <c r="N43563"/>
      <c r="O43563" s="24"/>
      <c r="P43563"/>
      <c r="Q43563" s="24"/>
      <c r="R43563"/>
      <c r="S43563"/>
      <c r="T43563"/>
      <c r="U43563"/>
      <c r="X43563" s="60"/>
    </row>
    <row r="43564" spans="7:24" ht="15" customHeight="1">
      <c r="G43564"/>
      <c r="I43564"/>
      <c r="N43564"/>
      <c r="O43564" s="24"/>
      <c r="P43564"/>
      <c r="Q43564" s="24"/>
      <c r="R43564"/>
      <c r="S43564"/>
      <c r="T43564"/>
      <c r="U43564"/>
      <c r="X43564" s="60"/>
    </row>
    <row r="43565" spans="7:24" ht="15" customHeight="1">
      <c r="G43565"/>
      <c r="I43565"/>
      <c r="N43565"/>
      <c r="O43565" s="24"/>
      <c r="P43565"/>
      <c r="Q43565" s="24"/>
      <c r="R43565"/>
      <c r="S43565"/>
      <c r="T43565"/>
      <c r="U43565"/>
      <c r="X43565" s="60"/>
    </row>
    <row r="43566" spans="7:24" ht="15" customHeight="1">
      <c r="G43566"/>
      <c r="I43566"/>
      <c r="N43566"/>
      <c r="O43566" s="24"/>
      <c r="P43566"/>
      <c r="Q43566" s="24"/>
      <c r="R43566"/>
      <c r="S43566"/>
      <c r="T43566"/>
      <c r="U43566"/>
      <c r="X43566" s="60"/>
    </row>
    <row r="43567" spans="7:24" ht="15" customHeight="1">
      <c r="G43567"/>
      <c r="I43567"/>
      <c r="N43567"/>
      <c r="O43567" s="24"/>
      <c r="P43567"/>
      <c r="Q43567" s="24"/>
      <c r="R43567"/>
      <c r="S43567"/>
      <c r="T43567"/>
      <c r="U43567"/>
      <c r="X43567" s="60"/>
    </row>
    <row r="43568" spans="7:24" ht="15" customHeight="1">
      <c r="G43568"/>
      <c r="I43568"/>
      <c r="N43568"/>
      <c r="O43568" s="24"/>
      <c r="P43568"/>
      <c r="Q43568" s="24"/>
      <c r="R43568"/>
      <c r="S43568"/>
      <c r="T43568"/>
      <c r="U43568"/>
      <c r="X43568" s="60"/>
    </row>
    <row r="43569" spans="7:24" ht="15" customHeight="1">
      <c r="G43569"/>
      <c r="I43569"/>
      <c r="N43569"/>
      <c r="O43569" s="24"/>
      <c r="P43569"/>
      <c r="Q43569" s="24"/>
      <c r="R43569"/>
      <c r="S43569"/>
      <c r="T43569"/>
      <c r="U43569"/>
      <c r="X43569" s="60"/>
    </row>
    <row r="43570" spans="7:24" ht="15" customHeight="1">
      <c r="G43570"/>
      <c r="I43570"/>
      <c r="N43570"/>
      <c r="O43570" s="24"/>
      <c r="P43570"/>
      <c r="Q43570" s="24"/>
      <c r="R43570"/>
      <c r="S43570"/>
      <c r="T43570"/>
      <c r="U43570"/>
      <c r="X43570" s="60"/>
    </row>
    <row r="43571" spans="7:24" ht="15" customHeight="1">
      <c r="G43571"/>
      <c r="I43571"/>
      <c r="N43571"/>
      <c r="O43571" s="24"/>
      <c r="P43571"/>
      <c r="Q43571" s="24"/>
      <c r="R43571"/>
      <c r="S43571"/>
      <c r="T43571"/>
      <c r="U43571"/>
      <c r="X43571" s="60"/>
    </row>
    <row r="43572" spans="7:24" ht="15" customHeight="1">
      <c r="G43572"/>
      <c r="I43572"/>
      <c r="N43572"/>
      <c r="O43572" s="24"/>
      <c r="P43572"/>
      <c r="Q43572" s="24"/>
      <c r="R43572"/>
      <c r="S43572"/>
      <c r="T43572"/>
      <c r="U43572"/>
      <c r="X43572" s="60"/>
    </row>
    <row r="43573" spans="7:24" ht="15" customHeight="1">
      <c r="G43573"/>
      <c r="I43573"/>
      <c r="N43573"/>
      <c r="O43573" s="24"/>
      <c r="P43573"/>
      <c r="Q43573" s="24"/>
      <c r="R43573"/>
      <c r="S43573"/>
      <c r="T43573"/>
      <c r="U43573"/>
      <c r="X43573" s="60"/>
    </row>
    <row r="43574" spans="7:24" ht="15" customHeight="1">
      <c r="G43574"/>
      <c r="I43574"/>
      <c r="N43574"/>
      <c r="O43574" s="24"/>
      <c r="P43574"/>
      <c r="Q43574" s="24"/>
      <c r="R43574"/>
      <c r="S43574"/>
      <c r="T43574"/>
      <c r="U43574"/>
      <c r="X43574" s="60"/>
    </row>
    <row r="43575" spans="7:24" ht="15" customHeight="1">
      <c r="G43575"/>
      <c r="I43575"/>
      <c r="N43575"/>
      <c r="O43575" s="24"/>
      <c r="P43575"/>
      <c r="Q43575" s="24"/>
      <c r="R43575"/>
      <c r="S43575"/>
      <c r="T43575"/>
      <c r="U43575"/>
      <c r="X43575" s="60"/>
    </row>
    <row r="43576" spans="7:24" ht="15" customHeight="1">
      <c r="G43576"/>
      <c r="I43576"/>
      <c r="N43576"/>
      <c r="O43576" s="24"/>
      <c r="P43576"/>
      <c r="Q43576" s="24"/>
      <c r="R43576"/>
      <c r="S43576"/>
      <c r="T43576"/>
      <c r="U43576"/>
      <c r="X43576" s="60"/>
    </row>
    <row r="43577" spans="7:24" ht="15" customHeight="1">
      <c r="G43577"/>
      <c r="I43577"/>
      <c r="N43577"/>
      <c r="O43577" s="24"/>
      <c r="P43577"/>
      <c r="Q43577" s="24"/>
      <c r="R43577"/>
      <c r="S43577"/>
      <c r="T43577"/>
      <c r="U43577"/>
      <c r="X43577" s="60"/>
    </row>
    <row r="43578" spans="7:24" ht="15" customHeight="1">
      <c r="G43578"/>
      <c r="I43578"/>
      <c r="N43578"/>
      <c r="O43578" s="24"/>
      <c r="P43578"/>
      <c r="Q43578" s="24"/>
      <c r="R43578"/>
      <c r="S43578"/>
      <c r="T43578"/>
      <c r="U43578"/>
      <c r="X43578" s="60"/>
    </row>
    <row r="43579" spans="7:24" ht="15" customHeight="1">
      <c r="G43579"/>
      <c r="I43579"/>
      <c r="N43579"/>
      <c r="O43579" s="24"/>
      <c r="P43579"/>
      <c r="Q43579" s="24"/>
      <c r="R43579"/>
      <c r="S43579"/>
      <c r="T43579"/>
      <c r="U43579"/>
      <c r="X43579" s="60"/>
    </row>
    <row r="43580" spans="7:24" ht="15" customHeight="1">
      <c r="G43580"/>
      <c r="I43580"/>
      <c r="N43580"/>
      <c r="O43580" s="24"/>
      <c r="P43580"/>
      <c r="Q43580" s="24"/>
      <c r="R43580"/>
      <c r="S43580"/>
      <c r="T43580"/>
      <c r="U43580"/>
      <c r="X43580" s="60"/>
    </row>
    <row r="43581" spans="7:24" ht="15" customHeight="1">
      <c r="G43581"/>
      <c r="I43581"/>
      <c r="N43581"/>
      <c r="O43581" s="24"/>
      <c r="P43581"/>
      <c r="Q43581" s="24"/>
      <c r="R43581"/>
      <c r="S43581"/>
      <c r="T43581"/>
      <c r="U43581"/>
      <c r="X43581" s="60"/>
    </row>
    <row r="43582" spans="7:24" ht="15" customHeight="1">
      <c r="G43582"/>
      <c r="I43582"/>
      <c r="N43582"/>
      <c r="O43582" s="24"/>
      <c r="P43582"/>
      <c r="Q43582" s="24"/>
      <c r="R43582"/>
      <c r="S43582"/>
      <c r="T43582"/>
      <c r="U43582"/>
      <c r="X43582" s="60"/>
    </row>
    <row r="43583" spans="7:24" ht="15" customHeight="1">
      <c r="G43583"/>
      <c r="I43583"/>
      <c r="N43583"/>
      <c r="O43583" s="24"/>
      <c r="P43583"/>
      <c r="Q43583" s="24"/>
      <c r="R43583"/>
      <c r="S43583"/>
      <c r="T43583"/>
      <c r="U43583"/>
      <c r="X43583" s="60"/>
    </row>
    <row r="43584" spans="7:24" ht="15" customHeight="1">
      <c r="G43584"/>
      <c r="I43584"/>
      <c r="N43584"/>
      <c r="O43584" s="24"/>
      <c r="P43584"/>
      <c r="Q43584" s="24"/>
      <c r="R43584"/>
      <c r="S43584"/>
      <c r="T43584"/>
      <c r="U43584"/>
      <c r="X43584" s="60"/>
    </row>
    <row r="43585" spans="7:24" ht="15" customHeight="1">
      <c r="G43585"/>
      <c r="I43585"/>
      <c r="N43585"/>
      <c r="O43585" s="24"/>
      <c r="P43585"/>
      <c r="Q43585" s="24"/>
      <c r="R43585"/>
      <c r="S43585"/>
      <c r="T43585"/>
      <c r="U43585"/>
      <c r="X43585" s="60"/>
    </row>
    <row r="43586" spans="7:24" ht="15" customHeight="1">
      <c r="G43586"/>
      <c r="I43586"/>
      <c r="N43586"/>
      <c r="O43586" s="24"/>
      <c r="P43586"/>
      <c r="Q43586" s="24"/>
      <c r="R43586"/>
      <c r="S43586"/>
      <c r="T43586"/>
      <c r="U43586"/>
      <c r="X43586" s="60"/>
    </row>
    <row r="43587" spans="7:24" ht="15" customHeight="1">
      <c r="G43587"/>
      <c r="I43587"/>
      <c r="N43587"/>
      <c r="O43587" s="24"/>
      <c r="P43587"/>
      <c r="Q43587" s="24"/>
      <c r="R43587"/>
      <c r="S43587"/>
      <c r="T43587"/>
      <c r="U43587"/>
      <c r="X43587" s="60"/>
    </row>
    <row r="43588" spans="7:24" ht="15" customHeight="1">
      <c r="G43588"/>
      <c r="I43588"/>
      <c r="N43588"/>
      <c r="O43588" s="24"/>
      <c r="P43588"/>
      <c r="Q43588" s="24"/>
      <c r="R43588"/>
      <c r="S43588"/>
      <c r="T43588"/>
      <c r="U43588"/>
      <c r="X43588" s="60"/>
    </row>
    <row r="43589" spans="7:24" ht="15" customHeight="1">
      <c r="G43589"/>
      <c r="I43589"/>
      <c r="N43589"/>
      <c r="O43589" s="24"/>
      <c r="P43589"/>
      <c r="Q43589" s="24"/>
      <c r="R43589"/>
      <c r="S43589"/>
      <c r="T43589"/>
      <c r="U43589"/>
      <c r="X43589" s="60"/>
    </row>
    <row r="43590" spans="7:24" ht="15" customHeight="1">
      <c r="G43590"/>
      <c r="I43590"/>
      <c r="N43590"/>
      <c r="O43590" s="24"/>
      <c r="P43590"/>
      <c r="Q43590" s="24"/>
      <c r="R43590"/>
      <c r="S43590"/>
      <c r="T43590"/>
      <c r="U43590"/>
      <c r="X43590" s="60"/>
    </row>
    <row r="43591" spans="7:24" ht="15" customHeight="1">
      <c r="G43591"/>
      <c r="I43591"/>
      <c r="N43591"/>
      <c r="O43591" s="24"/>
      <c r="P43591"/>
      <c r="Q43591" s="24"/>
      <c r="R43591"/>
      <c r="S43591"/>
      <c r="T43591"/>
      <c r="U43591"/>
      <c r="X43591" s="60"/>
    </row>
    <row r="43592" spans="7:24" ht="15" customHeight="1">
      <c r="G43592"/>
      <c r="I43592"/>
      <c r="N43592"/>
      <c r="O43592" s="24"/>
      <c r="P43592"/>
      <c r="Q43592" s="24"/>
      <c r="R43592"/>
      <c r="S43592"/>
      <c r="T43592"/>
      <c r="U43592"/>
      <c r="X43592" s="60"/>
    </row>
    <row r="43593" spans="7:24" ht="15" customHeight="1">
      <c r="G43593"/>
      <c r="I43593"/>
      <c r="N43593"/>
      <c r="O43593" s="24"/>
      <c r="P43593"/>
      <c r="Q43593" s="24"/>
      <c r="R43593"/>
      <c r="S43593"/>
      <c r="T43593"/>
      <c r="U43593"/>
      <c r="X43593" s="60"/>
    </row>
    <row r="43594" spans="7:24" ht="15" customHeight="1">
      <c r="G43594"/>
      <c r="I43594"/>
      <c r="N43594"/>
      <c r="O43594" s="24"/>
      <c r="P43594"/>
      <c r="Q43594" s="24"/>
      <c r="R43594"/>
      <c r="S43594"/>
      <c r="T43594"/>
      <c r="U43594"/>
      <c r="X43594" s="60"/>
    </row>
    <row r="43595" spans="7:24" ht="15" customHeight="1">
      <c r="G43595"/>
      <c r="I43595"/>
      <c r="N43595"/>
      <c r="O43595" s="24"/>
      <c r="P43595"/>
      <c r="Q43595" s="24"/>
      <c r="R43595"/>
      <c r="S43595"/>
      <c r="T43595"/>
      <c r="U43595"/>
      <c r="X43595" s="60"/>
    </row>
    <row r="43596" spans="7:24" ht="15" customHeight="1">
      <c r="G43596"/>
      <c r="I43596"/>
      <c r="N43596"/>
      <c r="O43596" s="24"/>
      <c r="P43596"/>
      <c r="Q43596" s="24"/>
      <c r="R43596"/>
      <c r="S43596"/>
      <c r="T43596"/>
      <c r="U43596"/>
      <c r="X43596" s="60"/>
    </row>
    <row r="43597" spans="7:24" ht="15" customHeight="1">
      <c r="G43597"/>
      <c r="I43597"/>
      <c r="N43597"/>
      <c r="O43597" s="24"/>
      <c r="P43597"/>
      <c r="Q43597" s="24"/>
      <c r="R43597"/>
      <c r="S43597"/>
      <c r="T43597"/>
      <c r="U43597"/>
      <c r="X43597" s="60"/>
    </row>
    <row r="43598" spans="7:24" ht="15" customHeight="1">
      <c r="G43598"/>
      <c r="I43598"/>
      <c r="N43598"/>
      <c r="O43598" s="24"/>
      <c r="P43598"/>
      <c r="Q43598" s="24"/>
      <c r="R43598"/>
      <c r="S43598"/>
      <c r="T43598"/>
      <c r="U43598"/>
      <c r="X43598" s="60"/>
    </row>
    <row r="43599" spans="7:24" ht="15" customHeight="1">
      <c r="G43599"/>
      <c r="I43599"/>
      <c r="N43599"/>
      <c r="O43599" s="24"/>
      <c r="P43599"/>
      <c r="Q43599" s="24"/>
      <c r="R43599"/>
      <c r="S43599"/>
      <c r="T43599"/>
      <c r="U43599"/>
      <c r="X43599" s="60"/>
    </row>
    <row r="43600" spans="7:24" ht="15" customHeight="1">
      <c r="G43600"/>
      <c r="I43600"/>
      <c r="N43600"/>
      <c r="O43600" s="24"/>
      <c r="P43600"/>
      <c r="Q43600" s="24"/>
      <c r="R43600"/>
      <c r="S43600"/>
      <c r="T43600"/>
      <c r="U43600"/>
      <c r="X43600" s="60"/>
    </row>
    <row r="43601" spans="7:24" ht="15" customHeight="1">
      <c r="G43601"/>
      <c r="I43601"/>
      <c r="N43601"/>
      <c r="O43601" s="24"/>
      <c r="P43601"/>
      <c r="Q43601" s="24"/>
      <c r="R43601"/>
      <c r="S43601"/>
      <c r="T43601"/>
      <c r="U43601"/>
      <c r="X43601" s="60"/>
    </row>
    <row r="43602" spans="7:24" ht="15" customHeight="1">
      <c r="G43602"/>
      <c r="I43602"/>
      <c r="N43602"/>
      <c r="O43602" s="24"/>
      <c r="P43602"/>
      <c r="Q43602" s="24"/>
      <c r="R43602"/>
      <c r="S43602"/>
      <c r="T43602"/>
      <c r="U43602"/>
      <c r="X43602" s="60"/>
    </row>
    <row r="43603" spans="7:24" ht="15" customHeight="1">
      <c r="G43603"/>
      <c r="I43603"/>
      <c r="N43603"/>
      <c r="O43603" s="24"/>
      <c r="P43603"/>
      <c r="Q43603" s="24"/>
      <c r="R43603"/>
      <c r="S43603"/>
      <c r="T43603"/>
      <c r="U43603"/>
      <c r="X43603" s="60"/>
    </row>
    <row r="43604" spans="7:24" ht="15" customHeight="1">
      <c r="G43604"/>
      <c r="I43604"/>
      <c r="N43604"/>
      <c r="O43604" s="24"/>
      <c r="P43604"/>
      <c r="Q43604" s="24"/>
      <c r="R43604"/>
      <c r="S43604"/>
      <c r="T43604"/>
      <c r="U43604"/>
      <c r="X43604" s="60"/>
    </row>
    <row r="43605" spans="7:24" ht="15" customHeight="1">
      <c r="G43605"/>
      <c r="I43605"/>
      <c r="N43605"/>
      <c r="O43605" s="24"/>
      <c r="P43605"/>
      <c r="Q43605" s="24"/>
      <c r="R43605"/>
      <c r="S43605"/>
      <c r="T43605"/>
      <c r="U43605"/>
      <c r="X43605" s="60"/>
    </row>
    <row r="43606" spans="7:24" ht="15" customHeight="1">
      <c r="G43606"/>
      <c r="I43606"/>
      <c r="N43606"/>
      <c r="O43606" s="24"/>
      <c r="P43606"/>
      <c r="Q43606" s="24"/>
      <c r="R43606"/>
      <c r="S43606"/>
      <c r="T43606"/>
      <c r="U43606"/>
      <c r="X43606" s="60"/>
    </row>
    <row r="43607" spans="7:24" ht="15" customHeight="1">
      <c r="G43607"/>
      <c r="I43607"/>
      <c r="N43607"/>
      <c r="O43607" s="24"/>
      <c r="P43607"/>
      <c r="Q43607" s="24"/>
      <c r="R43607"/>
      <c r="S43607"/>
      <c r="T43607"/>
      <c r="U43607"/>
      <c r="X43607" s="60"/>
    </row>
    <row r="43608" spans="7:24" ht="15" customHeight="1">
      <c r="G43608"/>
      <c r="I43608"/>
      <c r="N43608"/>
      <c r="O43608" s="24"/>
      <c r="P43608"/>
      <c r="Q43608" s="24"/>
      <c r="R43608"/>
      <c r="S43608"/>
      <c r="T43608"/>
      <c r="U43608"/>
      <c r="X43608" s="60"/>
    </row>
    <row r="43609" spans="7:24" ht="15" customHeight="1">
      <c r="G43609"/>
      <c r="I43609"/>
      <c r="N43609"/>
      <c r="O43609" s="24"/>
      <c r="P43609"/>
      <c r="Q43609" s="24"/>
      <c r="R43609"/>
      <c r="S43609"/>
      <c r="T43609"/>
      <c r="U43609"/>
      <c r="X43609" s="60"/>
    </row>
    <row r="43610" spans="7:24" ht="15" customHeight="1">
      <c r="G43610"/>
      <c r="I43610"/>
      <c r="N43610"/>
      <c r="O43610" s="24"/>
      <c r="P43610"/>
      <c r="Q43610" s="24"/>
      <c r="R43610"/>
      <c r="S43610"/>
      <c r="T43610"/>
      <c r="U43610"/>
      <c r="X43610" s="60"/>
    </row>
    <row r="43611" spans="7:24" ht="15" customHeight="1">
      <c r="G43611"/>
      <c r="I43611"/>
      <c r="N43611"/>
      <c r="O43611" s="24"/>
      <c r="P43611"/>
      <c r="Q43611" s="24"/>
      <c r="R43611"/>
      <c r="S43611"/>
      <c r="T43611"/>
      <c r="U43611"/>
      <c r="X43611" s="60"/>
    </row>
    <row r="43612" spans="7:24" ht="15" customHeight="1">
      <c r="G43612"/>
      <c r="I43612"/>
      <c r="N43612"/>
      <c r="O43612" s="24"/>
      <c r="P43612"/>
      <c r="Q43612" s="24"/>
      <c r="R43612"/>
      <c r="S43612"/>
      <c r="T43612"/>
      <c r="U43612"/>
      <c r="X43612" s="60"/>
    </row>
    <row r="43613" spans="7:24" ht="15" customHeight="1">
      <c r="G43613"/>
      <c r="I43613"/>
      <c r="N43613"/>
      <c r="O43613" s="24"/>
      <c r="P43613"/>
      <c r="Q43613" s="24"/>
      <c r="R43613"/>
      <c r="S43613"/>
      <c r="T43613"/>
      <c r="U43613"/>
      <c r="X43613" s="60"/>
    </row>
    <row r="43614" spans="7:24" ht="15" customHeight="1">
      <c r="G43614"/>
      <c r="I43614"/>
      <c r="N43614"/>
      <c r="O43614" s="24"/>
      <c r="P43614"/>
      <c r="Q43614" s="24"/>
      <c r="R43614"/>
      <c r="S43614"/>
      <c r="T43614"/>
      <c r="U43614"/>
      <c r="X43614" s="60"/>
    </row>
    <row r="43615" spans="7:24" ht="15" customHeight="1">
      <c r="G43615"/>
      <c r="I43615"/>
      <c r="N43615"/>
      <c r="O43615" s="24"/>
      <c r="P43615"/>
      <c r="Q43615" s="24"/>
      <c r="R43615"/>
      <c r="S43615"/>
      <c r="T43615"/>
      <c r="U43615"/>
      <c r="X43615" s="60"/>
    </row>
    <row r="43616" spans="7:24" ht="15" customHeight="1">
      <c r="G43616"/>
      <c r="I43616"/>
      <c r="N43616"/>
      <c r="O43616" s="24"/>
      <c r="P43616"/>
      <c r="Q43616" s="24"/>
      <c r="R43616"/>
      <c r="S43616"/>
      <c r="T43616"/>
      <c r="U43616"/>
      <c r="X43616" s="60"/>
    </row>
    <row r="43617" spans="7:24" ht="15" customHeight="1">
      <c r="G43617"/>
      <c r="I43617"/>
      <c r="N43617"/>
      <c r="O43617" s="24"/>
      <c r="P43617"/>
      <c r="Q43617" s="24"/>
      <c r="R43617"/>
      <c r="S43617"/>
      <c r="T43617"/>
      <c r="U43617"/>
      <c r="X43617" s="60"/>
    </row>
    <row r="43618" spans="7:24" ht="15" customHeight="1">
      <c r="G43618"/>
      <c r="I43618"/>
      <c r="N43618"/>
      <c r="O43618" s="24"/>
      <c r="P43618"/>
      <c r="Q43618" s="24"/>
      <c r="R43618"/>
      <c r="S43618"/>
      <c r="T43618"/>
      <c r="U43618"/>
      <c r="X43618" s="60"/>
    </row>
    <row r="43619" spans="7:24" ht="15" customHeight="1">
      <c r="G43619"/>
      <c r="I43619"/>
      <c r="N43619"/>
      <c r="O43619" s="24"/>
      <c r="P43619"/>
      <c r="Q43619" s="24"/>
      <c r="R43619"/>
      <c r="S43619"/>
      <c r="T43619"/>
      <c r="U43619"/>
      <c r="X43619" s="60"/>
    </row>
    <row r="43620" spans="7:24" ht="15" customHeight="1">
      <c r="G43620"/>
      <c r="I43620"/>
      <c r="N43620"/>
      <c r="O43620" s="24"/>
      <c r="P43620"/>
      <c r="Q43620" s="24"/>
      <c r="R43620"/>
      <c r="S43620"/>
      <c r="T43620"/>
      <c r="U43620"/>
      <c r="X43620" s="60"/>
    </row>
    <row r="43621" spans="7:24" ht="15" customHeight="1">
      <c r="G43621"/>
      <c r="I43621"/>
      <c r="N43621"/>
      <c r="O43621" s="24"/>
      <c r="P43621"/>
      <c r="Q43621" s="24"/>
      <c r="R43621"/>
      <c r="S43621"/>
      <c r="T43621"/>
      <c r="U43621"/>
      <c r="X43621" s="60"/>
    </row>
    <row r="43622" spans="7:24" ht="15" customHeight="1">
      <c r="G43622"/>
      <c r="I43622"/>
      <c r="N43622"/>
      <c r="O43622" s="24"/>
      <c r="P43622"/>
      <c r="Q43622" s="24"/>
      <c r="R43622"/>
      <c r="S43622"/>
      <c r="T43622"/>
      <c r="U43622"/>
      <c r="X43622" s="60"/>
    </row>
    <row r="43623" spans="7:24" ht="15" customHeight="1">
      <c r="G43623"/>
      <c r="I43623"/>
      <c r="N43623"/>
      <c r="O43623" s="24"/>
      <c r="P43623"/>
      <c r="Q43623" s="24"/>
      <c r="R43623"/>
      <c r="S43623"/>
      <c r="T43623"/>
      <c r="U43623"/>
      <c r="X43623" s="60"/>
    </row>
    <row r="43624" spans="7:24" ht="15" customHeight="1">
      <c r="G43624"/>
      <c r="I43624"/>
      <c r="N43624"/>
      <c r="O43624" s="24"/>
      <c r="P43624"/>
      <c r="Q43624" s="24"/>
      <c r="R43624"/>
      <c r="S43624"/>
      <c r="T43624"/>
      <c r="U43624"/>
      <c r="X43624" s="60"/>
    </row>
    <row r="43625" spans="7:24" ht="15" customHeight="1">
      <c r="G43625"/>
      <c r="I43625"/>
      <c r="N43625"/>
      <c r="O43625" s="24"/>
      <c r="P43625"/>
      <c r="Q43625" s="24"/>
      <c r="R43625"/>
      <c r="S43625"/>
      <c r="T43625"/>
      <c r="U43625"/>
      <c r="X43625" s="60"/>
    </row>
    <row r="43626" spans="7:24" ht="15" customHeight="1">
      <c r="G43626"/>
      <c r="I43626"/>
      <c r="N43626"/>
      <c r="O43626" s="24"/>
      <c r="P43626"/>
      <c r="Q43626" s="24"/>
      <c r="R43626"/>
      <c r="S43626"/>
      <c r="T43626"/>
      <c r="U43626"/>
      <c r="X43626" s="60"/>
    </row>
    <row r="43627" spans="7:24" ht="15" customHeight="1">
      <c r="G43627"/>
      <c r="I43627"/>
      <c r="N43627"/>
      <c r="O43627" s="24"/>
      <c r="P43627"/>
      <c r="Q43627" s="24"/>
      <c r="R43627"/>
      <c r="S43627"/>
      <c r="T43627"/>
      <c r="U43627"/>
      <c r="X43627" s="60"/>
    </row>
    <row r="43628" spans="7:24" ht="15" customHeight="1">
      <c r="G43628"/>
      <c r="I43628"/>
      <c r="N43628"/>
      <c r="O43628" s="24"/>
      <c r="P43628"/>
      <c r="Q43628" s="24"/>
      <c r="R43628"/>
      <c r="S43628"/>
      <c r="T43628"/>
      <c r="U43628"/>
      <c r="X43628" s="60"/>
    </row>
    <row r="43629" spans="7:24" ht="15" customHeight="1">
      <c r="G43629"/>
      <c r="I43629"/>
      <c r="N43629"/>
      <c r="O43629" s="24"/>
      <c r="P43629"/>
      <c r="Q43629" s="24"/>
      <c r="R43629"/>
      <c r="S43629"/>
      <c r="T43629"/>
      <c r="U43629"/>
      <c r="X43629" s="60"/>
    </row>
    <row r="43630" spans="7:24" ht="15" customHeight="1">
      <c r="G43630"/>
      <c r="I43630"/>
      <c r="N43630"/>
      <c r="O43630" s="24"/>
      <c r="P43630"/>
      <c r="Q43630" s="24"/>
      <c r="R43630"/>
      <c r="S43630"/>
      <c r="T43630"/>
      <c r="U43630"/>
      <c r="X43630" s="60"/>
    </row>
    <row r="43631" spans="7:24" ht="15" customHeight="1">
      <c r="G43631"/>
      <c r="I43631"/>
      <c r="N43631"/>
      <c r="O43631" s="24"/>
      <c r="P43631"/>
      <c r="Q43631" s="24"/>
      <c r="R43631"/>
      <c r="S43631"/>
      <c r="T43631"/>
      <c r="U43631"/>
      <c r="X43631" s="60"/>
    </row>
    <row r="43632" spans="7:24" ht="15" customHeight="1">
      <c r="G43632"/>
      <c r="I43632"/>
      <c r="N43632"/>
      <c r="O43632" s="24"/>
      <c r="P43632"/>
      <c r="Q43632" s="24"/>
      <c r="R43632"/>
      <c r="S43632"/>
      <c r="T43632"/>
      <c r="U43632"/>
      <c r="X43632" s="60"/>
    </row>
    <row r="43633" spans="7:24" ht="15" customHeight="1">
      <c r="G43633"/>
      <c r="I43633"/>
      <c r="N43633"/>
      <c r="O43633" s="24"/>
      <c r="P43633"/>
      <c r="Q43633" s="24"/>
      <c r="R43633"/>
      <c r="S43633"/>
      <c r="T43633"/>
      <c r="U43633"/>
      <c r="X43633" s="60"/>
    </row>
    <row r="43634" spans="7:24" ht="15" customHeight="1">
      <c r="G43634"/>
      <c r="I43634"/>
      <c r="N43634"/>
      <c r="O43634" s="24"/>
      <c r="P43634"/>
      <c r="Q43634" s="24"/>
      <c r="R43634"/>
      <c r="S43634"/>
      <c r="T43634"/>
      <c r="U43634"/>
      <c r="X43634" s="60"/>
    </row>
    <row r="43635" spans="7:24" ht="15" customHeight="1">
      <c r="G43635"/>
      <c r="I43635"/>
      <c r="N43635"/>
      <c r="O43635" s="24"/>
      <c r="P43635"/>
      <c r="Q43635" s="24"/>
      <c r="R43635"/>
      <c r="S43635"/>
      <c r="T43635"/>
      <c r="U43635"/>
      <c r="X43635" s="60"/>
    </row>
    <row r="43636" spans="7:24" ht="15" customHeight="1">
      <c r="G43636"/>
      <c r="I43636"/>
      <c r="N43636"/>
      <c r="O43636" s="24"/>
      <c r="P43636"/>
      <c r="Q43636" s="24"/>
      <c r="R43636"/>
      <c r="S43636"/>
      <c r="T43636"/>
      <c r="U43636"/>
      <c r="X43636" s="60"/>
    </row>
    <row r="43637" spans="7:24" ht="15" customHeight="1">
      <c r="G43637"/>
      <c r="I43637"/>
      <c r="N43637"/>
      <c r="O43637" s="24"/>
      <c r="P43637"/>
      <c r="Q43637" s="24"/>
      <c r="R43637"/>
      <c r="S43637"/>
      <c r="T43637"/>
      <c r="U43637"/>
      <c r="X43637" s="60"/>
    </row>
    <row r="43638" spans="7:24" ht="15" customHeight="1">
      <c r="G43638"/>
      <c r="I43638"/>
      <c r="N43638"/>
      <c r="O43638" s="24"/>
      <c r="P43638"/>
      <c r="Q43638" s="24"/>
      <c r="R43638"/>
      <c r="S43638"/>
      <c r="T43638"/>
      <c r="U43638"/>
      <c r="X43638" s="60"/>
    </row>
    <row r="43639" spans="7:24" ht="15" customHeight="1">
      <c r="G43639"/>
      <c r="I43639"/>
      <c r="N43639"/>
      <c r="O43639" s="24"/>
      <c r="P43639"/>
      <c r="Q43639" s="24"/>
      <c r="R43639"/>
      <c r="S43639"/>
      <c r="T43639"/>
      <c r="U43639"/>
      <c r="X43639" s="60"/>
    </row>
    <row r="43640" spans="7:24" ht="15" customHeight="1">
      <c r="G43640"/>
      <c r="I43640"/>
      <c r="N43640"/>
      <c r="O43640" s="24"/>
      <c r="P43640"/>
      <c r="Q43640" s="24"/>
      <c r="R43640"/>
      <c r="S43640"/>
      <c r="T43640"/>
      <c r="U43640"/>
      <c r="X43640" s="60"/>
    </row>
    <row r="43641" spans="7:24" ht="15" customHeight="1">
      <c r="G43641"/>
      <c r="I43641"/>
      <c r="N43641"/>
      <c r="O43641" s="24"/>
      <c r="P43641"/>
      <c r="Q43641" s="24"/>
      <c r="R43641"/>
      <c r="S43641"/>
      <c r="T43641"/>
      <c r="U43641"/>
      <c r="X43641" s="60"/>
    </row>
    <row r="43642" spans="7:24" ht="15" customHeight="1">
      <c r="G43642"/>
      <c r="I43642"/>
      <c r="N43642"/>
      <c r="O43642" s="24"/>
      <c r="P43642"/>
      <c r="Q43642" s="24"/>
      <c r="R43642"/>
      <c r="S43642"/>
      <c r="T43642"/>
      <c r="U43642"/>
      <c r="X43642" s="60"/>
    </row>
    <row r="43643" spans="7:24" ht="15" customHeight="1">
      <c r="G43643"/>
      <c r="I43643"/>
      <c r="N43643"/>
      <c r="O43643" s="24"/>
      <c r="P43643"/>
      <c r="Q43643" s="24"/>
      <c r="R43643"/>
      <c r="S43643"/>
      <c r="T43643"/>
      <c r="U43643"/>
      <c r="X43643" s="60"/>
    </row>
    <row r="43644" spans="7:24" ht="15" customHeight="1">
      <c r="G43644"/>
      <c r="I43644"/>
      <c r="N43644"/>
      <c r="O43644" s="24"/>
      <c r="P43644"/>
      <c r="Q43644" s="24"/>
      <c r="R43644"/>
      <c r="S43644"/>
      <c r="T43644"/>
      <c r="U43644"/>
      <c r="X43644" s="60"/>
    </row>
    <row r="43645" spans="7:24" ht="15" customHeight="1">
      <c r="G43645"/>
      <c r="I43645"/>
      <c r="N43645"/>
      <c r="O43645" s="24"/>
      <c r="P43645"/>
      <c r="Q43645" s="24"/>
      <c r="R43645"/>
      <c r="S43645"/>
      <c r="T43645"/>
      <c r="U43645"/>
      <c r="X43645" s="60"/>
    </row>
    <row r="43646" spans="7:24" ht="15" customHeight="1">
      <c r="G43646"/>
      <c r="I43646"/>
      <c r="N43646"/>
      <c r="O43646" s="24"/>
      <c r="P43646"/>
      <c r="Q43646" s="24"/>
      <c r="R43646"/>
      <c r="S43646"/>
      <c r="T43646"/>
      <c r="U43646"/>
      <c r="X43646" s="60"/>
    </row>
    <row r="43647" spans="7:24" ht="15" customHeight="1">
      <c r="G43647"/>
      <c r="I43647"/>
      <c r="N43647"/>
      <c r="O43647" s="24"/>
      <c r="P43647"/>
      <c r="Q43647" s="24"/>
      <c r="R43647"/>
      <c r="S43647"/>
      <c r="T43647"/>
      <c r="U43647"/>
      <c r="X43647" s="60"/>
    </row>
    <row r="43648" spans="7:24" ht="15" customHeight="1">
      <c r="G43648"/>
      <c r="I43648"/>
      <c r="N43648"/>
      <c r="O43648" s="24"/>
      <c r="P43648"/>
      <c r="Q43648" s="24"/>
      <c r="R43648"/>
      <c r="S43648"/>
      <c r="T43648"/>
      <c r="U43648"/>
      <c r="X43648" s="60"/>
    </row>
    <row r="43649" spans="7:24" ht="15" customHeight="1">
      <c r="G43649"/>
      <c r="I43649"/>
      <c r="N43649"/>
      <c r="O43649" s="24"/>
      <c r="P43649"/>
      <c r="Q43649" s="24"/>
      <c r="R43649"/>
      <c r="S43649"/>
      <c r="T43649"/>
      <c r="U43649"/>
      <c r="X43649" s="60"/>
    </row>
    <row r="43650" spans="7:24" ht="15" customHeight="1">
      <c r="G43650"/>
      <c r="I43650"/>
      <c r="N43650"/>
      <c r="O43650" s="24"/>
      <c r="P43650"/>
      <c r="Q43650" s="24"/>
      <c r="R43650"/>
      <c r="S43650"/>
      <c r="T43650"/>
      <c r="U43650"/>
      <c r="X43650" s="60"/>
    </row>
    <row r="43651" spans="7:24" ht="15" customHeight="1">
      <c r="G43651"/>
      <c r="I43651"/>
      <c r="N43651"/>
      <c r="O43651" s="24"/>
      <c r="P43651"/>
      <c r="Q43651" s="24"/>
      <c r="R43651"/>
      <c r="S43651"/>
      <c r="T43651"/>
      <c r="U43651"/>
      <c r="X43651" s="60"/>
    </row>
    <row r="43652" spans="7:24" ht="15" customHeight="1">
      <c r="G43652"/>
      <c r="I43652"/>
      <c r="N43652"/>
      <c r="O43652" s="24"/>
      <c r="P43652"/>
      <c r="Q43652" s="24"/>
      <c r="R43652"/>
      <c r="S43652"/>
      <c r="T43652"/>
      <c r="U43652"/>
      <c r="X43652" s="60"/>
    </row>
    <row r="43653" spans="7:24" ht="15" customHeight="1">
      <c r="G43653"/>
      <c r="I43653"/>
      <c r="N43653"/>
      <c r="O43653" s="24"/>
      <c r="P43653"/>
      <c r="Q43653" s="24"/>
      <c r="R43653"/>
      <c r="S43653"/>
      <c r="T43653"/>
      <c r="U43653"/>
      <c r="X43653" s="60"/>
    </row>
    <row r="43654" spans="7:24" ht="15" customHeight="1">
      <c r="G43654"/>
      <c r="I43654"/>
      <c r="N43654"/>
      <c r="O43654" s="24"/>
      <c r="P43654"/>
      <c r="Q43654" s="24"/>
      <c r="R43654"/>
      <c r="S43654"/>
      <c r="T43654"/>
      <c r="U43654"/>
      <c r="X43654" s="60"/>
    </row>
    <row r="43655" spans="7:24" ht="15" customHeight="1">
      <c r="G43655"/>
      <c r="I43655"/>
      <c r="N43655"/>
      <c r="O43655" s="24"/>
      <c r="P43655"/>
      <c r="Q43655" s="24"/>
      <c r="R43655"/>
      <c r="S43655"/>
      <c r="T43655"/>
      <c r="U43655"/>
      <c r="X43655" s="60"/>
    </row>
    <row r="43656" spans="7:24" ht="15" customHeight="1">
      <c r="G43656"/>
      <c r="I43656"/>
      <c r="N43656"/>
      <c r="O43656" s="24"/>
      <c r="P43656"/>
      <c r="Q43656" s="24"/>
      <c r="R43656"/>
      <c r="S43656"/>
      <c r="T43656"/>
      <c r="U43656"/>
      <c r="X43656" s="60"/>
    </row>
    <row r="43657" spans="7:24" ht="15" customHeight="1">
      <c r="G43657"/>
      <c r="I43657"/>
      <c r="N43657"/>
      <c r="O43657" s="24"/>
      <c r="P43657"/>
      <c r="Q43657" s="24"/>
      <c r="R43657"/>
      <c r="S43657"/>
      <c r="T43657"/>
      <c r="U43657"/>
      <c r="X43657" s="60"/>
    </row>
    <row r="43658" spans="7:24" ht="15" customHeight="1">
      <c r="G43658"/>
      <c r="I43658"/>
      <c r="N43658"/>
      <c r="O43658" s="24"/>
      <c r="P43658"/>
      <c r="Q43658" s="24"/>
      <c r="R43658"/>
      <c r="S43658"/>
      <c r="T43658"/>
      <c r="U43658"/>
      <c r="X43658" s="60"/>
    </row>
    <row r="43659" spans="7:24" ht="15" customHeight="1">
      <c r="G43659"/>
      <c r="I43659"/>
      <c r="N43659"/>
      <c r="O43659" s="24"/>
      <c r="P43659"/>
      <c r="Q43659" s="24"/>
      <c r="R43659"/>
      <c r="S43659"/>
      <c r="T43659"/>
      <c r="U43659"/>
      <c r="X43659" s="60"/>
    </row>
    <row r="43660" spans="7:24" ht="15" customHeight="1">
      <c r="G43660"/>
      <c r="I43660"/>
      <c r="N43660"/>
      <c r="O43660" s="24"/>
      <c r="P43660"/>
      <c r="Q43660" s="24"/>
      <c r="R43660"/>
      <c r="S43660"/>
      <c r="T43660"/>
      <c r="U43660"/>
      <c r="X43660" s="60"/>
    </row>
    <row r="43661" spans="7:24" ht="15" customHeight="1">
      <c r="G43661"/>
      <c r="I43661"/>
      <c r="N43661"/>
      <c r="O43661" s="24"/>
      <c r="P43661"/>
      <c r="Q43661" s="24"/>
      <c r="R43661"/>
      <c r="S43661"/>
      <c r="T43661"/>
      <c r="U43661"/>
      <c r="X43661" s="60"/>
    </row>
    <row r="43662" spans="7:24" ht="15" customHeight="1">
      <c r="G43662"/>
      <c r="I43662"/>
      <c r="N43662"/>
      <c r="O43662" s="24"/>
      <c r="P43662"/>
      <c r="Q43662" s="24"/>
      <c r="R43662"/>
      <c r="S43662"/>
      <c r="T43662"/>
      <c r="U43662"/>
      <c r="X43662" s="60"/>
    </row>
    <row r="43663" spans="7:24" ht="15" customHeight="1">
      <c r="G43663"/>
      <c r="I43663"/>
      <c r="N43663"/>
      <c r="O43663" s="24"/>
      <c r="P43663"/>
      <c r="Q43663" s="24"/>
      <c r="R43663"/>
      <c r="S43663"/>
      <c r="T43663"/>
      <c r="U43663"/>
      <c r="X43663" s="60"/>
    </row>
    <row r="43664" spans="7:24" ht="15" customHeight="1">
      <c r="G43664"/>
      <c r="I43664"/>
      <c r="N43664"/>
      <c r="O43664" s="24"/>
      <c r="P43664"/>
      <c r="Q43664" s="24"/>
      <c r="R43664"/>
      <c r="S43664"/>
      <c r="T43664"/>
      <c r="U43664"/>
      <c r="X43664" s="60"/>
    </row>
    <row r="43665" spans="7:24" ht="15" customHeight="1">
      <c r="G43665"/>
      <c r="I43665"/>
      <c r="N43665"/>
      <c r="O43665" s="24"/>
      <c r="P43665"/>
      <c r="Q43665" s="24"/>
      <c r="R43665"/>
      <c r="S43665"/>
      <c r="T43665"/>
      <c r="U43665"/>
      <c r="X43665" s="60"/>
    </row>
    <row r="43666" spans="7:24" ht="15" customHeight="1">
      <c r="G43666"/>
      <c r="I43666"/>
      <c r="N43666"/>
      <c r="O43666" s="24"/>
      <c r="P43666"/>
      <c r="Q43666" s="24"/>
      <c r="R43666"/>
      <c r="S43666"/>
      <c r="T43666"/>
      <c r="U43666"/>
      <c r="X43666" s="60"/>
    </row>
    <row r="43667" spans="7:24" ht="15" customHeight="1">
      <c r="G43667"/>
      <c r="I43667"/>
      <c r="N43667"/>
      <c r="O43667" s="24"/>
      <c r="P43667"/>
      <c r="Q43667" s="24"/>
      <c r="R43667"/>
      <c r="S43667"/>
      <c r="T43667"/>
      <c r="U43667"/>
      <c r="X43667" s="60"/>
    </row>
    <row r="43668" spans="7:24" ht="15" customHeight="1">
      <c r="G43668"/>
      <c r="I43668"/>
      <c r="N43668"/>
      <c r="O43668" s="24"/>
      <c r="P43668"/>
      <c r="Q43668" s="24"/>
      <c r="R43668"/>
      <c r="S43668"/>
      <c r="T43668"/>
      <c r="U43668"/>
      <c r="X43668" s="60"/>
    </row>
    <row r="43669" spans="7:24" ht="15" customHeight="1">
      <c r="G43669"/>
      <c r="I43669"/>
      <c r="N43669"/>
      <c r="O43669" s="24"/>
      <c r="P43669"/>
      <c r="Q43669" s="24"/>
      <c r="R43669"/>
      <c r="S43669"/>
      <c r="T43669"/>
      <c r="U43669"/>
      <c r="X43669" s="60"/>
    </row>
    <row r="43670" spans="7:24" ht="15" customHeight="1">
      <c r="G43670"/>
      <c r="I43670"/>
      <c r="N43670"/>
      <c r="O43670" s="24"/>
      <c r="P43670"/>
      <c r="Q43670" s="24"/>
      <c r="R43670"/>
      <c r="S43670"/>
      <c r="T43670"/>
      <c r="U43670"/>
      <c r="X43670" s="60"/>
    </row>
    <row r="43671" spans="7:24" ht="15" customHeight="1">
      <c r="G43671"/>
      <c r="I43671"/>
      <c r="N43671"/>
      <c r="O43671" s="24"/>
      <c r="P43671"/>
      <c r="Q43671" s="24"/>
      <c r="R43671"/>
      <c r="S43671"/>
      <c r="T43671"/>
      <c r="U43671"/>
      <c r="X43671" s="60"/>
    </row>
    <row r="43672" spans="7:24" ht="15" customHeight="1">
      <c r="G43672"/>
      <c r="I43672"/>
      <c r="N43672"/>
      <c r="O43672" s="24"/>
      <c r="P43672"/>
      <c r="Q43672" s="24"/>
      <c r="R43672"/>
      <c r="S43672"/>
      <c r="T43672"/>
      <c r="U43672"/>
      <c r="X43672" s="60"/>
    </row>
    <row r="43673" spans="7:24" ht="15" customHeight="1">
      <c r="G43673"/>
      <c r="I43673"/>
      <c r="N43673"/>
      <c r="O43673" s="24"/>
      <c r="P43673"/>
      <c r="Q43673" s="24"/>
      <c r="R43673"/>
      <c r="S43673"/>
      <c r="T43673"/>
      <c r="U43673"/>
      <c r="X43673" s="60"/>
    </row>
    <row r="43674" spans="7:24" ht="15" customHeight="1">
      <c r="G43674"/>
      <c r="I43674"/>
      <c r="N43674"/>
      <c r="O43674" s="24"/>
      <c r="P43674"/>
      <c r="Q43674" s="24"/>
      <c r="R43674"/>
      <c r="S43674"/>
      <c r="T43674"/>
      <c r="U43674"/>
      <c r="X43674" s="60"/>
    </row>
    <row r="43675" spans="7:24" ht="15" customHeight="1">
      <c r="G43675"/>
      <c r="I43675"/>
      <c r="N43675"/>
      <c r="O43675" s="24"/>
      <c r="P43675"/>
      <c r="Q43675" s="24"/>
      <c r="R43675"/>
      <c r="S43675"/>
      <c r="T43675"/>
      <c r="U43675"/>
      <c r="X43675" s="60"/>
    </row>
    <row r="43676" spans="7:24" ht="15" customHeight="1">
      <c r="G43676"/>
      <c r="I43676"/>
      <c r="N43676"/>
      <c r="O43676" s="24"/>
      <c r="P43676"/>
      <c r="Q43676" s="24"/>
      <c r="R43676"/>
      <c r="S43676"/>
      <c r="T43676"/>
      <c r="U43676"/>
      <c r="X43676" s="60"/>
    </row>
    <row r="43677" spans="7:24" ht="15" customHeight="1">
      <c r="G43677"/>
      <c r="I43677"/>
      <c r="N43677"/>
      <c r="O43677" s="24"/>
      <c r="P43677"/>
      <c r="Q43677" s="24"/>
      <c r="R43677"/>
      <c r="S43677"/>
      <c r="T43677"/>
      <c r="U43677"/>
      <c r="X43677" s="60"/>
    </row>
    <row r="43678" spans="7:24" ht="15" customHeight="1">
      <c r="G43678"/>
      <c r="I43678"/>
      <c r="N43678"/>
      <c r="O43678" s="24"/>
      <c r="P43678"/>
      <c r="Q43678" s="24"/>
      <c r="R43678"/>
      <c r="S43678"/>
      <c r="T43678"/>
      <c r="U43678"/>
      <c r="X43678" s="60"/>
    </row>
    <row r="43679" spans="7:24" ht="15" customHeight="1">
      <c r="G43679"/>
      <c r="I43679"/>
      <c r="N43679"/>
      <c r="O43679" s="24"/>
      <c r="P43679"/>
      <c r="Q43679" s="24"/>
      <c r="R43679"/>
      <c r="S43679"/>
      <c r="T43679"/>
      <c r="U43679"/>
      <c r="X43679" s="60"/>
    </row>
    <row r="43680" spans="7:24" ht="15" customHeight="1">
      <c r="G43680"/>
      <c r="I43680"/>
      <c r="N43680"/>
      <c r="O43680" s="24"/>
      <c r="P43680"/>
      <c r="Q43680" s="24"/>
      <c r="R43680"/>
      <c r="S43680"/>
      <c r="T43680"/>
      <c r="U43680"/>
      <c r="X43680" s="60"/>
    </row>
    <row r="43681" spans="7:24" ht="15" customHeight="1">
      <c r="G43681"/>
      <c r="I43681"/>
      <c r="N43681"/>
      <c r="O43681" s="24"/>
      <c r="P43681"/>
      <c r="Q43681" s="24"/>
      <c r="R43681"/>
      <c r="S43681"/>
      <c r="T43681"/>
      <c r="U43681"/>
      <c r="X43681" s="60"/>
    </row>
    <row r="43682" spans="7:24" ht="15" customHeight="1">
      <c r="G43682"/>
      <c r="I43682"/>
      <c r="N43682"/>
      <c r="O43682" s="24"/>
      <c r="P43682"/>
      <c r="Q43682" s="24"/>
      <c r="R43682"/>
      <c r="S43682"/>
      <c r="T43682"/>
      <c r="U43682"/>
      <c r="X43682" s="60"/>
    </row>
    <row r="43683" spans="7:24" ht="15" customHeight="1">
      <c r="G43683"/>
      <c r="I43683"/>
      <c r="N43683"/>
      <c r="O43683" s="24"/>
      <c r="P43683"/>
      <c r="Q43683" s="24"/>
      <c r="R43683"/>
      <c r="S43683"/>
      <c r="T43683"/>
      <c r="U43683"/>
      <c r="X43683" s="60"/>
    </row>
    <row r="43684" spans="7:24" ht="15" customHeight="1">
      <c r="G43684"/>
      <c r="I43684"/>
      <c r="N43684"/>
      <c r="O43684" s="24"/>
      <c r="P43684"/>
      <c r="Q43684" s="24"/>
      <c r="R43684"/>
      <c r="S43684"/>
      <c r="T43684"/>
      <c r="U43684"/>
      <c r="X43684" s="60"/>
    </row>
    <row r="43685" spans="7:24" ht="15" customHeight="1">
      <c r="G43685"/>
      <c r="I43685"/>
      <c r="N43685"/>
      <c r="O43685" s="24"/>
      <c r="P43685"/>
      <c r="Q43685" s="24"/>
      <c r="R43685"/>
      <c r="S43685"/>
      <c r="T43685"/>
      <c r="U43685"/>
      <c r="X43685" s="60"/>
    </row>
    <row r="43686" spans="7:24" ht="15" customHeight="1">
      <c r="G43686"/>
      <c r="I43686"/>
      <c r="N43686"/>
      <c r="O43686" s="24"/>
      <c r="P43686"/>
      <c r="Q43686" s="24"/>
      <c r="R43686"/>
      <c r="S43686"/>
      <c r="T43686"/>
      <c r="U43686"/>
      <c r="X43686" s="60"/>
    </row>
    <row r="43687" spans="7:24" ht="15" customHeight="1">
      <c r="G43687"/>
      <c r="I43687"/>
      <c r="N43687"/>
      <c r="O43687" s="24"/>
      <c r="P43687"/>
      <c r="Q43687" s="24"/>
      <c r="R43687"/>
      <c r="S43687"/>
      <c r="T43687"/>
      <c r="U43687"/>
      <c r="X43687" s="60"/>
    </row>
    <row r="43688" spans="7:24" ht="15" customHeight="1">
      <c r="G43688"/>
      <c r="I43688"/>
      <c r="N43688"/>
      <c r="O43688" s="24"/>
      <c r="P43688"/>
      <c r="Q43688" s="24"/>
      <c r="R43688"/>
      <c r="S43688"/>
      <c r="T43688"/>
      <c r="U43688"/>
      <c r="X43688" s="60"/>
    </row>
    <row r="43689" spans="7:24" ht="15" customHeight="1">
      <c r="G43689"/>
      <c r="I43689"/>
      <c r="N43689"/>
      <c r="O43689" s="24"/>
      <c r="P43689"/>
      <c r="Q43689" s="24"/>
      <c r="R43689"/>
      <c r="S43689"/>
      <c r="T43689"/>
      <c r="U43689"/>
      <c r="X43689" s="60"/>
    </row>
    <row r="43690" spans="7:24" ht="15" customHeight="1">
      <c r="G43690"/>
      <c r="I43690"/>
      <c r="N43690"/>
      <c r="O43690" s="24"/>
      <c r="P43690"/>
      <c r="Q43690" s="24"/>
      <c r="R43690"/>
      <c r="S43690"/>
      <c r="T43690"/>
      <c r="U43690"/>
      <c r="X43690" s="60"/>
    </row>
    <row r="43691" spans="7:24" ht="15" customHeight="1">
      <c r="G43691"/>
      <c r="I43691"/>
      <c r="N43691"/>
      <c r="O43691" s="24"/>
      <c r="P43691"/>
      <c r="Q43691" s="24"/>
      <c r="R43691"/>
      <c r="S43691"/>
      <c r="T43691"/>
      <c r="U43691"/>
      <c r="X43691" s="60"/>
    </row>
    <row r="43692" spans="7:24" ht="15" customHeight="1">
      <c r="G43692"/>
      <c r="I43692"/>
      <c r="N43692"/>
      <c r="O43692" s="24"/>
      <c r="P43692"/>
      <c r="Q43692" s="24"/>
      <c r="R43692"/>
      <c r="S43692"/>
      <c r="T43692"/>
      <c r="U43692"/>
      <c r="X43692" s="60"/>
    </row>
    <row r="43693" spans="7:24" ht="15" customHeight="1">
      <c r="G43693"/>
      <c r="I43693"/>
      <c r="N43693"/>
      <c r="O43693" s="24"/>
      <c r="P43693"/>
      <c r="Q43693" s="24"/>
      <c r="R43693"/>
      <c r="S43693"/>
      <c r="T43693"/>
      <c r="U43693"/>
      <c r="X43693" s="60"/>
    </row>
    <row r="43694" spans="7:24" ht="15" customHeight="1">
      <c r="G43694"/>
      <c r="I43694"/>
      <c r="N43694"/>
      <c r="O43694" s="24"/>
      <c r="P43694"/>
      <c r="Q43694" s="24"/>
      <c r="R43694"/>
      <c r="S43694"/>
      <c r="T43694"/>
      <c r="U43694"/>
      <c r="X43694" s="60"/>
    </row>
    <row r="43695" spans="7:24" ht="15" customHeight="1">
      <c r="G43695"/>
      <c r="I43695"/>
      <c r="N43695"/>
      <c r="O43695" s="24"/>
      <c r="P43695"/>
      <c r="Q43695" s="24"/>
      <c r="R43695"/>
      <c r="S43695"/>
      <c r="T43695"/>
      <c r="U43695"/>
      <c r="X43695" s="60"/>
    </row>
    <row r="43696" spans="7:24" ht="15" customHeight="1">
      <c r="G43696"/>
      <c r="I43696"/>
      <c r="N43696"/>
      <c r="O43696" s="24"/>
      <c r="P43696"/>
      <c r="Q43696" s="24"/>
      <c r="R43696"/>
      <c r="S43696"/>
      <c r="T43696"/>
      <c r="U43696"/>
      <c r="X43696" s="60"/>
    </row>
    <row r="43697" spans="7:24" ht="15" customHeight="1">
      <c r="G43697"/>
      <c r="I43697"/>
      <c r="N43697"/>
      <c r="O43697" s="24"/>
      <c r="P43697"/>
      <c r="Q43697" s="24"/>
      <c r="R43697"/>
      <c r="S43697"/>
      <c r="T43697"/>
      <c r="U43697"/>
      <c r="X43697" s="60"/>
    </row>
    <row r="43698" spans="7:24" ht="15" customHeight="1">
      <c r="G43698"/>
      <c r="I43698"/>
      <c r="N43698"/>
      <c r="O43698" s="24"/>
      <c r="P43698"/>
      <c r="Q43698" s="24"/>
      <c r="R43698"/>
      <c r="S43698"/>
      <c r="T43698"/>
      <c r="U43698"/>
      <c r="X43698" s="60"/>
    </row>
    <row r="43699" spans="7:24" ht="15" customHeight="1">
      <c r="G43699"/>
      <c r="I43699"/>
      <c r="N43699"/>
      <c r="O43699" s="24"/>
      <c r="P43699"/>
      <c r="Q43699" s="24"/>
      <c r="R43699"/>
      <c r="S43699"/>
      <c r="T43699"/>
      <c r="U43699"/>
      <c r="X43699" s="60"/>
    </row>
    <row r="43700" spans="7:24" ht="15" customHeight="1">
      <c r="G43700"/>
      <c r="I43700"/>
      <c r="N43700"/>
      <c r="O43700" s="24"/>
      <c r="P43700"/>
      <c r="Q43700" s="24"/>
      <c r="R43700"/>
      <c r="S43700"/>
      <c r="T43700"/>
      <c r="U43700"/>
      <c r="X43700" s="60"/>
    </row>
    <row r="43701" spans="7:24" ht="15" customHeight="1">
      <c r="G43701"/>
      <c r="I43701"/>
      <c r="N43701"/>
      <c r="O43701" s="24"/>
      <c r="P43701"/>
      <c r="Q43701" s="24"/>
      <c r="R43701"/>
      <c r="S43701"/>
      <c r="T43701"/>
      <c r="U43701"/>
      <c r="X43701" s="60"/>
    </row>
    <row r="43702" spans="7:24" ht="15" customHeight="1">
      <c r="G43702"/>
      <c r="I43702"/>
      <c r="N43702"/>
      <c r="O43702" s="24"/>
      <c r="P43702"/>
      <c r="Q43702" s="24"/>
      <c r="R43702"/>
      <c r="S43702"/>
      <c r="T43702"/>
      <c r="U43702"/>
      <c r="X43702" s="60"/>
    </row>
    <row r="43703" spans="7:24" ht="15" customHeight="1">
      <c r="G43703"/>
      <c r="I43703"/>
      <c r="N43703"/>
      <c r="O43703" s="24"/>
      <c r="P43703"/>
      <c r="Q43703" s="24"/>
      <c r="R43703"/>
      <c r="S43703"/>
      <c r="T43703"/>
      <c r="U43703"/>
      <c r="X43703" s="60"/>
    </row>
    <row r="43704" spans="7:24" ht="15" customHeight="1">
      <c r="G43704"/>
      <c r="I43704"/>
      <c r="N43704"/>
      <c r="O43704" s="24"/>
      <c r="P43704"/>
      <c r="Q43704" s="24"/>
      <c r="R43704"/>
      <c r="S43704"/>
      <c r="T43704"/>
      <c r="U43704"/>
      <c r="X43704" s="60"/>
    </row>
    <row r="43705" spans="7:24" ht="15" customHeight="1">
      <c r="G43705"/>
      <c r="I43705"/>
      <c r="N43705"/>
      <c r="O43705" s="24"/>
      <c r="P43705"/>
      <c r="Q43705" s="24"/>
      <c r="R43705"/>
      <c r="S43705"/>
      <c r="T43705"/>
      <c r="U43705"/>
      <c r="X43705" s="60"/>
    </row>
    <row r="43706" spans="7:24" ht="15" customHeight="1">
      <c r="G43706"/>
      <c r="I43706"/>
      <c r="N43706"/>
      <c r="O43706" s="24"/>
      <c r="P43706"/>
      <c r="Q43706" s="24"/>
      <c r="R43706"/>
      <c r="S43706"/>
      <c r="T43706"/>
      <c r="U43706"/>
      <c r="X43706" s="60"/>
    </row>
    <row r="43707" spans="7:24" ht="15" customHeight="1">
      <c r="G43707"/>
      <c r="I43707"/>
      <c r="N43707"/>
      <c r="O43707" s="24"/>
      <c r="P43707"/>
      <c r="Q43707" s="24"/>
      <c r="R43707"/>
      <c r="S43707"/>
      <c r="T43707"/>
      <c r="U43707"/>
      <c r="X43707" s="60"/>
    </row>
    <row r="43708" spans="7:24" ht="15" customHeight="1">
      <c r="G43708"/>
      <c r="I43708"/>
      <c r="N43708"/>
      <c r="O43708" s="24"/>
      <c r="P43708"/>
      <c r="Q43708" s="24"/>
      <c r="R43708"/>
      <c r="S43708"/>
      <c r="T43708"/>
      <c r="U43708"/>
      <c r="X43708" s="60"/>
    </row>
    <row r="43709" spans="7:24" ht="15" customHeight="1">
      <c r="G43709"/>
      <c r="I43709"/>
      <c r="N43709"/>
      <c r="O43709" s="24"/>
      <c r="P43709"/>
      <c r="Q43709" s="24"/>
      <c r="R43709"/>
      <c r="S43709"/>
      <c r="T43709"/>
      <c r="U43709"/>
      <c r="X43709" s="60"/>
    </row>
    <row r="43710" spans="7:24" ht="15" customHeight="1">
      <c r="G43710"/>
      <c r="I43710"/>
      <c r="N43710"/>
      <c r="O43710" s="24"/>
      <c r="P43710"/>
      <c r="Q43710" s="24"/>
      <c r="R43710"/>
      <c r="S43710"/>
      <c r="T43710"/>
      <c r="U43710"/>
      <c r="X43710" s="60"/>
    </row>
    <row r="43711" spans="7:24" ht="15" customHeight="1">
      <c r="G43711"/>
      <c r="I43711"/>
      <c r="N43711"/>
      <c r="O43711" s="24"/>
      <c r="P43711"/>
      <c r="Q43711" s="24"/>
      <c r="R43711"/>
      <c r="S43711"/>
      <c r="T43711"/>
      <c r="U43711"/>
      <c r="X43711" s="60"/>
    </row>
    <row r="43712" spans="7:24" ht="15" customHeight="1">
      <c r="G43712"/>
      <c r="I43712"/>
      <c r="N43712"/>
      <c r="O43712" s="24"/>
      <c r="P43712"/>
      <c r="Q43712" s="24"/>
      <c r="R43712"/>
      <c r="S43712"/>
      <c r="T43712"/>
      <c r="U43712"/>
      <c r="X43712" s="60"/>
    </row>
    <row r="43713" spans="7:24" ht="15" customHeight="1">
      <c r="G43713"/>
      <c r="I43713"/>
      <c r="N43713"/>
      <c r="O43713" s="24"/>
      <c r="P43713"/>
      <c r="Q43713" s="24"/>
      <c r="R43713"/>
      <c r="S43713"/>
      <c r="T43713"/>
      <c r="U43713"/>
      <c r="X43713" s="60"/>
    </row>
    <row r="43714" spans="7:24" ht="15" customHeight="1">
      <c r="G43714"/>
      <c r="I43714"/>
      <c r="N43714"/>
      <c r="O43714" s="24"/>
      <c r="P43714"/>
      <c r="Q43714" s="24"/>
      <c r="R43714"/>
      <c r="S43714"/>
      <c r="T43714"/>
      <c r="U43714"/>
      <c r="X43714" s="60"/>
    </row>
    <row r="43715" spans="7:24" ht="15" customHeight="1">
      <c r="G43715"/>
      <c r="I43715"/>
      <c r="N43715"/>
      <c r="O43715" s="24"/>
      <c r="P43715"/>
      <c r="Q43715" s="24"/>
      <c r="R43715"/>
      <c r="S43715"/>
      <c r="T43715"/>
      <c r="U43715"/>
      <c r="X43715" s="60"/>
    </row>
    <row r="43716" spans="7:24" ht="15" customHeight="1">
      <c r="G43716"/>
      <c r="I43716"/>
      <c r="N43716"/>
      <c r="O43716" s="24"/>
      <c r="P43716"/>
      <c r="Q43716" s="24"/>
      <c r="R43716"/>
      <c r="S43716"/>
      <c r="T43716"/>
      <c r="U43716"/>
      <c r="X43716" s="60"/>
    </row>
    <row r="43717" spans="7:24" ht="15" customHeight="1">
      <c r="G43717"/>
      <c r="I43717"/>
      <c r="N43717"/>
      <c r="O43717" s="24"/>
      <c r="P43717"/>
      <c r="Q43717" s="24"/>
      <c r="R43717"/>
      <c r="S43717"/>
      <c r="T43717"/>
      <c r="U43717"/>
      <c r="X43717" s="60"/>
    </row>
    <row r="43718" spans="7:24" ht="15" customHeight="1">
      <c r="G43718"/>
      <c r="I43718"/>
      <c r="N43718"/>
      <c r="O43718" s="24"/>
      <c r="P43718"/>
      <c r="Q43718" s="24"/>
      <c r="R43718"/>
      <c r="S43718"/>
      <c r="T43718"/>
      <c r="U43718"/>
      <c r="X43718" s="60"/>
    </row>
    <row r="43719" spans="7:24" ht="15" customHeight="1">
      <c r="G43719"/>
      <c r="I43719"/>
      <c r="N43719"/>
      <c r="O43719" s="24"/>
      <c r="P43719"/>
      <c r="Q43719" s="24"/>
      <c r="R43719"/>
      <c r="S43719"/>
      <c r="T43719"/>
      <c r="U43719"/>
      <c r="X43719" s="60"/>
    </row>
    <row r="43720" spans="7:24" ht="15" customHeight="1">
      <c r="G43720"/>
      <c r="I43720"/>
      <c r="N43720"/>
      <c r="O43720" s="24"/>
      <c r="P43720"/>
      <c r="Q43720" s="24"/>
      <c r="R43720"/>
      <c r="S43720"/>
      <c r="T43720"/>
      <c r="U43720"/>
      <c r="X43720" s="60"/>
    </row>
    <row r="43721" spans="7:24" ht="15" customHeight="1">
      <c r="G43721"/>
      <c r="I43721"/>
      <c r="N43721"/>
      <c r="O43721" s="24"/>
      <c r="P43721"/>
      <c r="Q43721" s="24"/>
      <c r="R43721"/>
      <c r="S43721"/>
      <c r="T43721"/>
      <c r="U43721"/>
      <c r="X43721" s="60"/>
    </row>
    <row r="43722" spans="7:24" ht="15" customHeight="1">
      <c r="G43722"/>
      <c r="I43722"/>
      <c r="N43722"/>
      <c r="O43722" s="24"/>
      <c r="P43722"/>
      <c r="Q43722" s="24"/>
      <c r="R43722"/>
      <c r="S43722"/>
      <c r="T43722"/>
      <c r="U43722"/>
      <c r="X43722" s="60"/>
    </row>
    <row r="43723" spans="7:24" ht="15" customHeight="1">
      <c r="G43723"/>
      <c r="I43723"/>
      <c r="N43723"/>
      <c r="O43723" s="24"/>
      <c r="P43723"/>
      <c r="Q43723" s="24"/>
      <c r="R43723"/>
      <c r="S43723"/>
      <c r="T43723"/>
      <c r="U43723"/>
      <c r="X43723" s="60"/>
    </row>
    <row r="43724" spans="7:24" ht="15" customHeight="1">
      <c r="G43724"/>
      <c r="I43724"/>
      <c r="N43724"/>
      <c r="O43724" s="24"/>
      <c r="P43724"/>
      <c r="Q43724" s="24"/>
      <c r="R43724"/>
      <c r="S43724"/>
      <c r="T43724"/>
      <c r="U43724"/>
      <c r="X43724" s="60"/>
    </row>
    <row r="43725" spans="7:24" ht="15" customHeight="1">
      <c r="G43725"/>
      <c r="I43725"/>
      <c r="N43725"/>
      <c r="O43725" s="24"/>
      <c r="P43725"/>
      <c r="Q43725" s="24"/>
      <c r="R43725"/>
      <c r="S43725"/>
      <c r="T43725"/>
      <c r="U43725"/>
      <c r="X43725" s="60"/>
    </row>
    <row r="43726" spans="7:24" ht="15" customHeight="1">
      <c r="G43726"/>
      <c r="I43726"/>
      <c r="N43726"/>
      <c r="O43726" s="24"/>
      <c r="P43726"/>
      <c r="Q43726" s="24"/>
      <c r="R43726"/>
      <c r="S43726"/>
      <c r="T43726"/>
      <c r="U43726"/>
      <c r="X43726" s="60"/>
    </row>
    <row r="43727" spans="7:24" ht="15" customHeight="1">
      <c r="G43727"/>
      <c r="I43727"/>
      <c r="N43727"/>
      <c r="O43727" s="24"/>
      <c r="P43727"/>
      <c r="Q43727" s="24"/>
      <c r="R43727"/>
      <c r="S43727"/>
      <c r="T43727"/>
      <c r="U43727"/>
      <c r="X43727" s="60"/>
    </row>
    <row r="43728" spans="7:24" ht="15" customHeight="1">
      <c r="G43728"/>
      <c r="I43728"/>
      <c r="N43728"/>
      <c r="O43728" s="24"/>
      <c r="P43728"/>
      <c r="Q43728" s="24"/>
      <c r="R43728"/>
      <c r="S43728"/>
      <c r="T43728"/>
      <c r="U43728"/>
      <c r="X43728" s="60"/>
    </row>
    <row r="43729" spans="7:24" ht="15" customHeight="1">
      <c r="G43729"/>
      <c r="I43729"/>
      <c r="N43729"/>
      <c r="O43729" s="24"/>
      <c r="P43729"/>
      <c r="Q43729" s="24"/>
      <c r="R43729"/>
      <c r="S43729"/>
      <c r="T43729"/>
      <c r="U43729"/>
      <c r="X43729" s="60"/>
    </row>
    <row r="43730" spans="7:24" ht="15" customHeight="1">
      <c r="G43730"/>
      <c r="I43730"/>
      <c r="N43730"/>
      <c r="O43730" s="24"/>
      <c r="P43730"/>
      <c r="Q43730" s="24"/>
      <c r="R43730"/>
      <c r="S43730"/>
      <c r="T43730"/>
      <c r="U43730"/>
      <c r="X43730" s="60"/>
    </row>
    <row r="43731" spans="7:24" ht="15" customHeight="1">
      <c r="G43731"/>
      <c r="I43731"/>
      <c r="N43731"/>
      <c r="O43731" s="24"/>
      <c r="P43731"/>
      <c r="Q43731" s="24"/>
      <c r="R43731"/>
      <c r="S43731"/>
      <c r="T43731"/>
      <c r="U43731"/>
      <c r="X43731" s="60"/>
    </row>
    <row r="43732" spans="7:24" ht="15" customHeight="1">
      <c r="G43732"/>
      <c r="I43732"/>
      <c r="N43732"/>
      <c r="O43732" s="24"/>
      <c r="P43732"/>
      <c r="Q43732" s="24"/>
      <c r="R43732"/>
      <c r="S43732"/>
      <c r="T43732"/>
      <c r="U43732"/>
      <c r="X43732" s="60"/>
    </row>
    <row r="43733" spans="7:24" ht="15" customHeight="1">
      <c r="G43733"/>
      <c r="I43733"/>
      <c r="N43733"/>
      <c r="O43733" s="24"/>
      <c r="P43733"/>
      <c r="Q43733" s="24"/>
      <c r="R43733"/>
      <c r="S43733"/>
      <c r="T43733"/>
      <c r="U43733"/>
      <c r="X43733" s="60"/>
    </row>
    <row r="43734" spans="7:24" ht="15" customHeight="1">
      <c r="G43734"/>
      <c r="I43734"/>
      <c r="N43734"/>
      <c r="O43734" s="24"/>
      <c r="P43734"/>
      <c r="Q43734" s="24"/>
      <c r="R43734"/>
      <c r="S43734"/>
      <c r="T43734"/>
      <c r="U43734"/>
      <c r="X43734" s="60"/>
    </row>
    <row r="43735" spans="7:24" ht="15" customHeight="1">
      <c r="G43735"/>
      <c r="I43735"/>
      <c r="N43735"/>
      <c r="O43735" s="24"/>
      <c r="P43735"/>
      <c r="Q43735" s="24"/>
      <c r="R43735"/>
      <c r="S43735"/>
      <c r="T43735"/>
      <c r="U43735"/>
      <c r="X43735" s="60"/>
    </row>
    <row r="43736" spans="7:24" ht="15" customHeight="1">
      <c r="G43736"/>
      <c r="I43736"/>
      <c r="N43736"/>
      <c r="O43736" s="24"/>
      <c r="P43736"/>
      <c r="Q43736" s="24"/>
      <c r="R43736"/>
      <c r="S43736"/>
      <c r="T43736"/>
      <c r="U43736"/>
      <c r="X43736" s="60"/>
    </row>
    <row r="43737" spans="7:24" ht="15" customHeight="1">
      <c r="G43737"/>
      <c r="I43737"/>
      <c r="N43737"/>
      <c r="O43737" s="24"/>
      <c r="P43737"/>
      <c r="Q43737" s="24"/>
      <c r="R43737"/>
      <c r="S43737"/>
      <c r="T43737"/>
      <c r="U43737"/>
      <c r="X43737" s="60"/>
    </row>
    <row r="43738" spans="7:24" ht="15" customHeight="1">
      <c r="G43738"/>
      <c r="I43738"/>
      <c r="N43738"/>
      <c r="O43738" s="24"/>
      <c r="P43738"/>
      <c r="Q43738" s="24"/>
      <c r="R43738"/>
      <c r="S43738"/>
      <c r="T43738"/>
      <c r="U43738"/>
      <c r="X43738" s="60"/>
    </row>
    <row r="43739" spans="7:24" ht="15" customHeight="1">
      <c r="G43739"/>
      <c r="I43739"/>
      <c r="N43739"/>
      <c r="O43739" s="24"/>
      <c r="P43739"/>
      <c r="Q43739" s="24"/>
      <c r="R43739"/>
      <c r="S43739"/>
      <c r="T43739"/>
      <c r="U43739"/>
      <c r="X43739" s="60"/>
    </row>
    <row r="43740" spans="7:24" ht="15" customHeight="1">
      <c r="G43740"/>
      <c r="I43740"/>
      <c r="N43740"/>
      <c r="O43740" s="24"/>
      <c r="P43740"/>
      <c r="Q43740" s="24"/>
      <c r="R43740"/>
      <c r="S43740"/>
      <c r="T43740"/>
      <c r="U43740"/>
      <c r="X43740" s="60"/>
    </row>
    <row r="43741" spans="7:24" ht="15" customHeight="1">
      <c r="G43741"/>
      <c r="I43741"/>
      <c r="N43741"/>
      <c r="O43741" s="24"/>
      <c r="P43741"/>
      <c r="Q43741" s="24"/>
      <c r="R43741"/>
      <c r="S43741"/>
      <c r="T43741"/>
      <c r="U43741"/>
      <c r="X43741" s="60"/>
    </row>
    <row r="43742" spans="7:24" ht="15" customHeight="1">
      <c r="G43742"/>
      <c r="I43742"/>
      <c r="N43742"/>
      <c r="O43742" s="24"/>
      <c r="P43742"/>
      <c r="Q43742" s="24"/>
      <c r="R43742"/>
      <c r="S43742"/>
      <c r="T43742"/>
      <c r="U43742"/>
      <c r="X43742" s="60"/>
    </row>
    <row r="43743" spans="7:24" ht="15" customHeight="1">
      <c r="G43743"/>
      <c r="I43743"/>
      <c r="N43743"/>
      <c r="O43743" s="24"/>
      <c r="P43743"/>
      <c r="Q43743" s="24"/>
      <c r="R43743"/>
      <c r="S43743"/>
      <c r="T43743"/>
      <c r="U43743"/>
      <c r="X43743" s="60"/>
    </row>
    <row r="43744" spans="7:24" ht="15" customHeight="1">
      <c r="G43744"/>
      <c r="I43744"/>
      <c r="N43744"/>
      <c r="O43744" s="24"/>
      <c r="P43744"/>
      <c r="Q43744" s="24"/>
      <c r="R43744"/>
      <c r="S43744"/>
      <c r="T43744"/>
      <c r="U43744"/>
      <c r="X43744" s="60"/>
    </row>
    <row r="43745" spans="7:24" ht="15" customHeight="1">
      <c r="G43745"/>
      <c r="I43745"/>
      <c r="N43745"/>
      <c r="O43745" s="24"/>
      <c r="P43745"/>
      <c r="Q43745" s="24"/>
      <c r="R43745"/>
      <c r="S43745"/>
      <c r="T43745"/>
      <c r="U43745"/>
      <c r="X43745" s="60"/>
    </row>
    <row r="43746" spans="7:24" ht="15" customHeight="1">
      <c r="G43746"/>
      <c r="I43746"/>
      <c r="N43746"/>
      <c r="O43746" s="24"/>
      <c r="P43746"/>
      <c r="Q43746" s="24"/>
      <c r="R43746"/>
      <c r="S43746"/>
      <c r="T43746"/>
      <c r="U43746"/>
      <c r="X43746" s="60"/>
    </row>
    <row r="43747" spans="7:24" ht="15" customHeight="1">
      <c r="G43747"/>
      <c r="I43747"/>
      <c r="N43747"/>
      <c r="O43747" s="24"/>
      <c r="P43747"/>
      <c r="Q43747" s="24"/>
      <c r="R43747"/>
      <c r="S43747"/>
      <c r="T43747"/>
      <c r="U43747"/>
      <c r="X43747" s="60"/>
    </row>
    <row r="43748" spans="7:24" ht="15" customHeight="1">
      <c r="G43748"/>
      <c r="I43748"/>
      <c r="N43748"/>
      <c r="O43748" s="24"/>
      <c r="P43748"/>
      <c r="Q43748" s="24"/>
      <c r="R43748"/>
      <c r="S43748"/>
      <c r="T43748"/>
      <c r="U43748"/>
      <c r="X43748" s="60"/>
    </row>
    <row r="43749" spans="7:24" ht="15" customHeight="1">
      <c r="G43749"/>
      <c r="I43749"/>
      <c r="N43749"/>
      <c r="O43749" s="24"/>
      <c r="P43749"/>
      <c r="Q43749" s="24"/>
      <c r="R43749"/>
      <c r="S43749"/>
      <c r="T43749"/>
      <c r="U43749"/>
      <c r="X43749" s="60"/>
    </row>
    <row r="43750" spans="7:24" ht="15" customHeight="1">
      <c r="G43750"/>
      <c r="I43750"/>
      <c r="N43750"/>
      <c r="O43750" s="24"/>
      <c r="P43750"/>
      <c r="Q43750" s="24"/>
      <c r="R43750"/>
      <c r="S43750"/>
      <c r="T43750"/>
      <c r="U43750"/>
      <c r="X43750" s="60"/>
    </row>
    <row r="43751" spans="7:24" ht="15" customHeight="1">
      <c r="G43751"/>
      <c r="I43751"/>
      <c r="N43751"/>
      <c r="O43751" s="24"/>
      <c r="P43751"/>
      <c r="Q43751" s="24"/>
      <c r="R43751"/>
      <c r="S43751"/>
      <c r="T43751"/>
      <c r="U43751"/>
      <c r="X43751" s="60"/>
    </row>
    <row r="43752" spans="7:24" ht="15" customHeight="1">
      <c r="G43752"/>
      <c r="I43752"/>
      <c r="N43752"/>
      <c r="O43752" s="24"/>
      <c r="P43752"/>
      <c r="Q43752" s="24"/>
      <c r="R43752"/>
      <c r="S43752"/>
      <c r="T43752"/>
      <c r="U43752"/>
      <c r="X43752" s="60"/>
    </row>
    <row r="43753" spans="7:24" ht="15" customHeight="1">
      <c r="G43753"/>
      <c r="I43753"/>
      <c r="N43753"/>
      <c r="O43753" s="24"/>
      <c r="P43753"/>
      <c r="Q43753" s="24"/>
      <c r="R43753"/>
      <c r="S43753"/>
      <c r="T43753"/>
      <c r="U43753"/>
      <c r="X43753" s="60"/>
    </row>
    <row r="43754" spans="7:24" ht="15" customHeight="1">
      <c r="G43754"/>
      <c r="I43754"/>
      <c r="N43754"/>
      <c r="O43754" s="24"/>
      <c r="P43754"/>
      <c r="Q43754" s="24"/>
      <c r="R43754"/>
      <c r="S43754"/>
      <c r="T43754"/>
      <c r="U43754"/>
      <c r="X43754" s="60"/>
    </row>
    <row r="43755" spans="7:24" ht="15" customHeight="1">
      <c r="G43755"/>
      <c r="I43755"/>
      <c r="N43755"/>
      <c r="O43755" s="24"/>
      <c r="P43755"/>
      <c r="Q43755" s="24"/>
      <c r="R43755"/>
      <c r="S43755"/>
      <c r="T43755"/>
      <c r="U43755"/>
      <c r="X43755" s="60"/>
    </row>
    <row r="43756" spans="7:24" ht="15" customHeight="1">
      <c r="G43756"/>
      <c r="I43756"/>
      <c r="N43756"/>
      <c r="O43756" s="24"/>
      <c r="P43756"/>
      <c r="Q43756" s="24"/>
      <c r="R43756"/>
      <c r="S43756"/>
      <c r="T43756"/>
      <c r="U43756"/>
      <c r="X43756" s="60"/>
    </row>
    <row r="43757" spans="7:24" ht="15" customHeight="1">
      <c r="G43757"/>
      <c r="I43757"/>
      <c r="N43757"/>
      <c r="O43757" s="24"/>
      <c r="P43757"/>
      <c r="Q43757" s="24"/>
      <c r="R43757"/>
      <c r="S43757"/>
      <c r="T43757"/>
      <c r="U43757"/>
      <c r="X43757" s="60"/>
    </row>
    <row r="43758" spans="7:24" ht="15" customHeight="1">
      <c r="G43758"/>
      <c r="I43758"/>
      <c r="N43758"/>
      <c r="O43758" s="24"/>
      <c r="P43758"/>
      <c r="Q43758" s="24"/>
      <c r="R43758"/>
      <c r="S43758"/>
      <c r="T43758"/>
      <c r="U43758"/>
      <c r="X43758" s="60"/>
    </row>
    <row r="43759" spans="7:24" ht="15" customHeight="1">
      <c r="G43759"/>
      <c r="I43759"/>
      <c r="N43759"/>
      <c r="O43759" s="24"/>
      <c r="P43759"/>
      <c r="Q43759" s="24"/>
      <c r="R43759"/>
      <c r="S43759"/>
      <c r="T43759"/>
      <c r="U43759"/>
      <c r="X43759" s="60"/>
    </row>
    <row r="43760" spans="7:24" ht="15" customHeight="1">
      <c r="G43760"/>
      <c r="I43760"/>
      <c r="N43760"/>
      <c r="O43760" s="24"/>
      <c r="P43760"/>
      <c r="Q43760" s="24"/>
      <c r="R43760"/>
      <c r="S43760"/>
      <c r="T43760"/>
      <c r="U43760"/>
      <c r="X43760" s="60"/>
    </row>
    <row r="43761" spans="7:24" ht="15" customHeight="1">
      <c r="G43761"/>
      <c r="I43761"/>
      <c r="N43761"/>
      <c r="O43761" s="24"/>
      <c r="P43761"/>
      <c r="Q43761" s="24"/>
      <c r="R43761"/>
      <c r="S43761"/>
      <c r="T43761"/>
      <c r="U43761"/>
      <c r="X43761" s="60"/>
    </row>
    <row r="43762" spans="7:24" ht="15" customHeight="1">
      <c r="G43762"/>
      <c r="I43762"/>
      <c r="N43762"/>
      <c r="O43762" s="24"/>
      <c r="P43762"/>
      <c r="Q43762" s="24"/>
      <c r="R43762"/>
      <c r="S43762"/>
      <c r="T43762"/>
      <c r="U43762"/>
      <c r="X43762" s="60"/>
    </row>
    <row r="43763" spans="7:24" ht="15" customHeight="1">
      <c r="G43763"/>
      <c r="I43763"/>
      <c r="N43763"/>
      <c r="O43763" s="24"/>
      <c r="P43763"/>
      <c r="Q43763" s="24"/>
      <c r="R43763"/>
      <c r="S43763"/>
      <c r="T43763"/>
      <c r="U43763"/>
      <c r="X43763" s="60"/>
    </row>
    <row r="43764" spans="7:24" ht="15" customHeight="1">
      <c r="G43764"/>
      <c r="I43764"/>
      <c r="N43764"/>
      <c r="O43764" s="24"/>
      <c r="P43764"/>
      <c r="Q43764" s="24"/>
      <c r="R43764"/>
      <c r="S43764"/>
      <c r="T43764"/>
      <c r="U43764"/>
      <c r="X43764" s="60"/>
    </row>
    <row r="43765" spans="7:24" ht="15" customHeight="1">
      <c r="G43765"/>
      <c r="I43765"/>
      <c r="N43765"/>
      <c r="O43765" s="24"/>
      <c r="P43765"/>
      <c r="Q43765" s="24"/>
      <c r="R43765"/>
      <c r="S43765"/>
      <c r="T43765"/>
      <c r="U43765"/>
      <c r="X43765" s="60"/>
    </row>
    <row r="43766" spans="7:24" ht="15" customHeight="1">
      <c r="G43766"/>
      <c r="I43766"/>
      <c r="N43766"/>
      <c r="O43766" s="24"/>
      <c r="P43766"/>
      <c r="Q43766" s="24"/>
      <c r="R43766"/>
      <c r="S43766"/>
      <c r="T43766"/>
      <c r="U43766"/>
      <c r="X43766" s="60"/>
    </row>
    <row r="43767" spans="7:24" ht="15" customHeight="1">
      <c r="G43767"/>
      <c r="I43767"/>
      <c r="N43767"/>
      <c r="O43767" s="24"/>
      <c r="P43767"/>
      <c r="Q43767" s="24"/>
      <c r="R43767"/>
      <c r="S43767"/>
      <c r="T43767"/>
      <c r="U43767"/>
      <c r="X43767" s="60"/>
    </row>
    <row r="43768" spans="7:24" ht="15" customHeight="1">
      <c r="G43768"/>
      <c r="I43768"/>
      <c r="N43768"/>
      <c r="O43768" s="24"/>
      <c r="P43768"/>
      <c r="Q43768" s="24"/>
      <c r="R43768"/>
      <c r="S43768"/>
      <c r="T43768"/>
      <c r="U43768"/>
      <c r="X43768" s="60"/>
    </row>
    <row r="43769" spans="7:24" ht="15" customHeight="1">
      <c r="G43769"/>
      <c r="I43769"/>
      <c r="N43769"/>
      <c r="O43769" s="24"/>
      <c r="P43769"/>
      <c r="Q43769" s="24"/>
      <c r="R43769"/>
      <c r="S43769"/>
      <c r="T43769"/>
      <c r="U43769"/>
      <c r="X43769" s="60"/>
    </row>
    <row r="43770" spans="7:24" ht="15" customHeight="1">
      <c r="G43770"/>
      <c r="I43770"/>
      <c r="N43770"/>
      <c r="O43770" s="24"/>
      <c r="P43770"/>
      <c r="Q43770" s="24"/>
      <c r="R43770"/>
      <c r="S43770"/>
      <c r="T43770"/>
      <c r="U43770"/>
      <c r="X43770" s="60"/>
    </row>
    <row r="43771" spans="7:24" ht="15" customHeight="1">
      <c r="G43771"/>
      <c r="I43771"/>
      <c r="N43771"/>
      <c r="O43771" s="24"/>
      <c r="P43771"/>
      <c r="Q43771" s="24"/>
      <c r="R43771"/>
      <c r="S43771"/>
      <c r="T43771"/>
      <c r="U43771"/>
      <c r="X43771" s="60"/>
    </row>
    <row r="43772" spans="7:24" ht="15" customHeight="1">
      <c r="G43772"/>
      <c r="I43772"/>
      <c r="N43772"/>
      <c r="O43772" s="24"/>
      <c r="P43772"/>
      <c r="Q43772" s="24"/>
      <c r="R43772"/>
      <c r="S43772"/>
      <c r="T43772"/>
      <c r="U43772"/>
      <c r="X43772" s="60"/>
    </row>
    <row r="43773" spans="7:24" ht="15" customHeight="1">
      <c r="G43773"/>
      <c r="I43773"/>
      <c r="N43773"/>
      <c r="O43773" s="24"/>
      <c r="P43773"/>
      <c r="Q43773" s="24"/>
      <c r="R43773"/>
      <c r="S43773"/>
      <c r="T43773"/>
      <c r="U43773"/>
      <c r="X43773" s="60"/>
    </row>
    <row r="43774" spans="7:24" ht="15" customHeight="1">
      <c r="G43774"/>
      <c r="I43774"/>
      <c r="N43774"/>
      <c r="O43774" s="24"/>
      <c r="P43774"/>
      <c r="Q43774" s="24"/>
      <c r="R43774"/>
      <c r="S43774"/>
      <c r="T43774"/>
      <c r="U43774"/>
      <c r="X43774" s="60"/>
    </row>
    <row r="43775" spans="7:24" ht="15" customHeight="1">
      <c r="G43775"/>
      <c r="I43775"/>
      <c r="N43775"/>
      <c r="O43775" s="24"/>
      <c r="P43775"/>
      <c r="Q43775" s="24"/>
      <c r="R43775"/>
      <c r="S43775"/>
      <c r="T43775"/>
      <c r="U43775"/>
      <c r="X43775" s="60"/>
    </row>
    <row r="43776" spans="7:24" ht="15" customHeight="1">
      <c r="G43776"/>
      <c r="I43776"/>
      <c r="N43776"/>
      <c r="O43776" s="24"/>
      <c r="P43776"/>
      <c r="Q43776" s="24"/>
      <c r="R43776"/>
      <c r="S43776"/>
      <c r="T43776"/>
      <c r="U43776"/>
      <c r="X43776" s="60"/>
    </row>
    <row r="43777" spans="7:24" ht="15" customHeight="1">
      <c r="G43777"/>
      <c r="I43777"/>
      <c r="N43777"/>
      <c r="O43777" s="24"/>
      <c r="P43777"/>
      <c r="Q43777" s="24"/>
      <c r="R43777"/>
      <c r="S43777"/>
      <c r="T43777"/>
      <c r="U43777"/>
      <c r="X43777" s="60"/>
    </row>
    <row r="43778" spans="7:24" ht="15" customHeight="1">
      <c r="G43778"/>
      <c r="I43778"/>
      <c r="N43778"/>
      <c r="O43778" s="24"/>
      <c r="P43778"/>
      <c r="Q43778" s="24"/>
      <c r="R43778"/>
      <c r="S43778"/>
      <c r="T43778"/>
      <c r="U43778"/>
      <c r="X43778" s="60"/>
    </row>
    <row r="43779" spans="7:24" ht="15" customHeight="1">
      <c r="G43779"/>
      <c r="I43779"/>
      <c r="N43779"/>
      <c r="O43779" s="24"/>
      <c r="P43779"/>
      <c r="Q43779" s="24"/>
      <c r="R43779"/>
      <c r="S43779"/>
      <c r="T43779"/>
      <c r="U43779"/>
      <c r="X43779" s="60"/>
    </row>
    <row r="43780" spans="7:24" ht="15" customHeight="1">
      <c r="G43780"/>
      <c r="I43780"/>
      <c r="N43780"/>
      <c r="O43780" s="24"/>
      <c r="P43780"/>
      <c r="Q43780" s="24"/>
      <c r="R43780"/>
      <c r="S43780"/>
      <c r="T43780"/>
      <c r="U43780"/>
      <c r="X43780" s="60"/>
    </row>
    <row r="43781" spans="7:24" ht="15" customHeight="1">
      <c r="G43781"/>
      <c r="I43781"/>
      <c r="N43781"/>
      <c r="O43781" s="24"/>
      <c r="P43781"/>
      <c r="Q43781" s="24"/>
      <c r="R43781"/>
      <c r="S43781"/>
      <c r="T43781"/>
      <c r="U43781"/>
      <c r="X43781" s="60"/>
    </row>
    <row r="43782" spans="7:24" ht="15" customHeight="1">
      <c r="G43782"/>
      <c r="I43782"/>
      <c r="N43782"/>
      <c r="O43782" s="24"/>
      <c r="P43782"/>
      <c r="Q43782" s="24"/>
      <c r="R43782"/>
      <c r="S43782"/>
      <c r="T43782"/>
      <c r="U43782"/>
      <c r="X43782" s="60"/>
    </row>
    <row r="43783" spans="7:24" ht="15" customHeight="1">
      <c r="G43783"/>
      <c r="I43783"/>
      <c r="N43783"/>
      <c r="O43783" s="24"/>
      <c r="P43783"/>
      <c r="Q43783" s="24"/>
      <c r="R43783"/>
      <c r="S43783"/>
      <c r="T43783"/>
      <c r="U43783"/>
      <c r="X43783" s="60"/>
    </row>
    <row r="43784" spans="7:24" ht="15" customHeight="1">
      <c r="G43784"/>
      <c r="I43784"/>
      <c r="N43784"/>
      <c r="O43784" s="24"/>
      <c r="P43784"/>
      <c r="Q43784" s="24"/>
      <c r="R43784"/>
      <c r="S43784"/>
      <c r="T43784"/>
      <c r="U43784"/>
      <c r="X43784" s="60"/>
    </row>
    <row r="43785" spans="7:24" ht="15" customHeight="1">
      <c r="G43785"/>
      <c r="I43785"/>
      <c r="N43785"/>
      <c r="O43785" s="24"/>
      <c r="P43785"/>
      <c r="Q43785" s="24"/>
      <c r="R43785"/>
      <c r="S43785"/>
      <c r="T43785"/>
      <c r="U43785"/>
      <c r="X43785" s="60"/>
    </row>
    <row r="43786" spans="7:24" ht="15" customHeight="1">
      <c r="G43786"/>
      <c r="I43786"/>
      <c r="N43786"/>
      <c r="O43786" s="24"/>
      <c r="P43786"/>
      <c r="Q43786" s="24"/>
      <c r="R43786"/>
      <c r="S43786"/>
      <c r="T43786"/>
      <c r="U43786"/>
      <c r="X43786" s="60"/>
    </row>
    <row r="43787" spans="7:24" ht="15" customHeight="1">
      <c r="G43787"/>
      <c r="I43787"/>
      <c r="N43787"/>
      <c r="O43787" s="24"/>
      <c r="P43787"/>
      <c r="Q43787" s="24"/>
      <c r="R43787"/>
      <c r="S43787"/>
      <c r="T43787"/>
      <c r="U43787"/>
      <c r="X43787" s="60"/>
    </row>
    <row r="43788" spans="7:24" ht="15" customHeight="1">
      <c r="G43788"/>
      <c r="I43788"/>
      <c r="N43788"/>
      <c r="O43788" s="24"/>
      <c r="P43788"/>
      <c r="Q43788" s="24"/>
      <c r="R43788"/>
      <c r="S43788"/>
      <c r="T43788"/>
      <c r="U43788"/>
      <c r="X43788" s="60"/>
    </row>
    <row r="43789" spans="7:24" ht="15" customHeight="1">
      <c r="G43789"/>
      <c r="I43789"/>
      <c r="N43789"/>
      <c r="O43789" s="24"/>
      <c r="P43789"/>
      <c r="Q43789" s="24"/>
      <c r="R43789"/>
      <c r="S43789"/>
      <c r="T43789"/>
      <c r="U43789"/>
      <c r="X43789" s="60"/>
    </row>
    <row r="43790" spans="7:24" ht="15" customHeight="1">
      <c r="G43790"/>
      <c r="I43790"/>
      <c r="N43790"/>
      <c r="O43790" s="24"/>
      <c r="P43790"/>
      <c r="Q43790" s="24"/>
      <c r="R43790"/>
      <c r="S43790"/>
      <c r="T43790"/>
      <c r="U43790"/>
      <c r="X43790" s="60"/>
    </row>
    <row r="43791" spans="7:24" ht="15" customHeight="1">
      <c r="G43791"/>
      <c r="I43791"/>
      <c r="N43791"/>
      <c r="O43791" s="24"/>
      <c r="P43791"/>
      <c r="Q43791" s="24"/>
      <c r="R43791"/>
      <c r="S43791"/>
      <c r="T43791"/>
      <c r="U43791"/>
      <c r="X43791" s="60"/>
    </row>
    <row r="43792" spans="7:24" ht="15" customHeight="1">
      <c r="G43792"/>
      <c r="I43792"/>
      <c r="N43792"/>
      <c r="O43792" s="24"/>
      <c r="P43792"/>
      <c r="Q43792" s="24"/>
      <c r="R43792"/>
      <c r="S43792"/>
      <c r="T43792"/>
      <c r="U43792"/>
      <c r="X43792" s="60"/>
    </row>
    <row r="43793" spans="7:24" ht="15" customHeight="1">
      <c r="G43793"/>
      <c r="I43793"/>
      <c r="N43793"/>
      <c r="O43793" s="24"/>
      <c r="P43793"/>
      <c r="Q43793" s="24"/>
      <c r="R43793"/>
      <c r="S43793"/>
      <c r="T43793"/>
      <c r="U43793"/>
      <c r="X43793" s="60"/>
    </row>
    <row r="43794" spans="7:24" ht="15" customHeight="1">
      <c r="G43794"/>
      <c r="I43794"/>
      <c r="N43794"/>
      <c r="O43794" s="24"/>
      <c r="P43794"/>
      <c r="Q43794" s="24"/>
      <c r="R43794"/>
      <c r="S43794"/>
      <c r="T43794"/>
      <c r="U43794"/>
      <c r="X43794" s="60"/>
    </row>
    <row r="43795" spans="7:24" ht="15" customHeight="1">
      <c r="G43795"/>
      <c r="I43795"/>
      <c r="N43795"/>
      <c r="O43795" s="24"/>
      <c r="P43795"/>
      <c r="Q43795" s="24"/>
      <c r="R43795"/>
      <c r="S43795"/>
      <c r="T43795"/>
      <c r="U43795"/>
      <c r="X43795" s="60"/>
    </row>
    <row r="43796" spans="7:24" ht="15" customHeight="1">
      <c r="G43796"/>
      <c r="I43796"/>
      <c r="N43796"/>
      <c r="O43796" s="24"/>
      <c r="P43796"/>
      <c r="Q43796" s="24"/>
      <c r="R43796"/>
      <c r="S43796"/>
      <c r="T43796"/>
      <c r="U43796"/>
      <c r="X43796" s="60"/>
    </row>
    <row r="43797" spans="7:24" ht="15" customHeight="1">
      <c r="G43797"/>
      <c r="I43797"/>
      <c r="N43797"/>
      <c r="O43797" s="24"/>
      <c r="P43797"/>
      <c r="Q43797" s="24"/>
      <c r="R43797"/>
      <c r="S43797"/>
      <c r="T43797"/>
      <c r="U43797"/>
      <c r="X43797" s="60"/>
    </row>
    <row r="43798" spans="7:24" ht="15" customHeight="1">
      <c r="G43798"/>
      <c r="I43798"/>
      <c r="N43798"/>
      <c r="O43798" s="24"/>
      <c r="P43798"/>
      <c r="Q43798" s="24"/>
      <c r="R43798"/>
      <c r="S43798"/>
      <c r="T43798"/>
      <c r="U43798"/>
      <c r="X43798" s="60"/>
    </row>
    <row r="43799" spans="7:24" ht="15" customHeight="1">
      <c r="G43799"/>
      <c r="I43799"/>
      <c r="N43799"/>
      <c r="O43799" s="24"/>
      <c r="P43799"/>
      <c r="Q43799" s="24"/>
      <c r="R43799"/>
      <c r="S43799"/>
      <c r="T43799"/>
      <c r="U43799"/>
      <c r="X43799" s="60"/>
    </row>
    <row r="43800" spans="7:24" ht="15" customHeight="1">
      <c r="G43800"/>
      <c r="I43800"/>
      <c r="N43800"/>
      <c r="O43800" s="24"/>
      <c r="P43800"/>
      <c r="Q43800" s="24"/>
      <c r="R43800"/>
      <c r="S43800"/>
      <c r="T43800"/>
      <c r="U43800"/>
      <c r="X43800" s="60"/>
    </row>
    <row r="43801" spans="7:24" ht="15" customHeight="1">
      <c r="G43801"/>
      <c r="I43801"/>
      <c r="N43801"/>
      <c r="O43801" s="24"/>
      <c r="P43801"/>
      <c r="Q43801" s="24"/>
      <c r="R43801"/>
      <c r="S43801"/>
      <c r="T43801"/>
      <c r="U43801"/>
      <c r="X43801" s="60"/>
    </row>
    <row r="43802" spans="7:24" ht="15" customHeight="1">
      <c r="G43802"/>
      <c r="I43802"/>
      <c r="N43802"/>
      <c r="O43802" s="24"/>
      <c r="P43802"/>
      <c r="Q43802" s="24"/>
      <c r="R43802"/>
      <c r="S43802"/>
      <c r="T43802"/>
      <c r="U43802"/>
      <c r="X43802" s="60"/>
    </row>
    <row r="43803" spans="7:24" ht="15" customHeight="1">
      <c r="G43803"/>
      <c r="I43803"/>
      <c r="N43803"/>
      <c r="O43803" s="24"/>
      <c r="P43803"/>
      <c r="Q43803" s="24"/>
      <c r="R43803"/>
      <c r="S43803"/>
      <c r="T43803"/>
      <c r="U43803"/>
      <c r="X43803" s="60"/>
    </row>
    <row r="43804" spans="7:24" ht="15" customHeight="1">
      <c r="G43804"/>
      <c r="I43804"/>
      <c r="N43804"/>
      <c r="O43804" s="24"/>
      <c r="P43804"/>
      <c r="Q43804" s="24"/>
      <c r="R43804"/>
      <c r="S43804"/>
      <c r="T43804"/>
      <c r="U43804"/>
      <c r="X43804" s="60"/>
    </row>
    <row r="43805" spans="7:24" ht="15" customHeight="1">
      <c r="G43805"/>
      <c r="I43805"/>
      <c r="N43805"/>
      <c r="O43805" s="24"/>
      <c r="P43805"/>
      <c r="Q43805" s="24"/>
      <c r="R43805"/>
      <c r="S43805"/>
      <c r="T43805"/>
      <c r="U43805"/>
      <c r="X43805" s="60"/>
    </row>
    <row r="43806" spans="7:24" ht="15" customHeight="1">
      <c r="G43806"/>
      <c r="I43806"/>
      <c r="N43806"/>
      <c r="O43806" s="24"/>
      <c r="P43806"/>
      <c r="Q43806" s="24"/>
      <c r="R43806"/>
      <c r="S43806"/>
      <c r="T43806"/>
      <c r="U43806"/>
      <c r="X43806" s="60"/>
    </row>
    <row r="43807" spans="7:24" ht="15" customHeight="1">
      <c r="G43807"/>
      <c r="I43807"/>
      <c r="N43807"/>
      <c r="O43807" s="24"/>
      <c r="P43807"/>
      <c r="Q43807" s="24"/>
      <c r="R43807"/>
      <c r="S43807"/>
      <c r="T43807"/>
      <c r="U43807"/>
      <c r="X43807" s="60"/>
    </row>
    <row r="43808" spans="7:24" ht="15" customHeight="1">
      <c r="G43808"/>
      <c r="I43808"/>
      <c r="N43808"/>
      <c r="O43808" s="24"/>
      <c r="P43808"/>
      <c r="Q43808" s="24"/>
      <c r="R43808"/>
      <c r="S43808"/>
      <c r="T43808"/>
      <c r="U43808"/>
      <c r="X43808" s="60"/>
    </row>
    <row r="43809" spans="7:24" ht="15" customHeight="1">
      <c r="G43809"/>
      <c r="I43809"/>
      <c r="N43809"/>
      <c r="O43809" s="24"/>
      <c r="P43809"/>
      <c r="Q43809" s="24"/>
      <c r="R43809"/>
      <c r="S43809"/>
      <c r="T43809"/>
      <c r="U43809"/>
      <c r="X43809" s="60"/>
    </row>
    <row r="43810" spans="7:24" ht="15" customHeight="1">
      <c r="G43810"/>
      <c r="I43810"/>
      <c r="N43810"/>
      <c r="O43810" s="24"/>
      <c r="P43810"/>
      <c r="Q43810" s="24"/>
      <c r="R43810"/>
      <c r="S43810"/>
      <c r="T43810"/>
      <c r="U43810"/>
      <c r="X43810" s="60"/>
    </row>
    <row r="43811" spans="7:24" ht="15" customHeight="1">
      <c r="G43811"/>
      <c r="I43811"/>
      <c r="N43811"/>
      <c r="O43811" s="24"/>
      <c r="P43811"/>
      <c r="Q43811" s="24"/>
      <c r="R43811"/>
      <c r="S43811"/>
      <c r="T43811"/>
      <c r="U43811"/>
      <c r="X43811" s="60"/>
    </row>
    <row r="43812" spans="7:24" ht="15" customHeight="1">
      <c r="G43812"/>
      <c r="I43812"/>
      <c r="N43812"/>
      <c r="O43812" s="24"/>
      <c r="P43812"/>
      <c r="Q43812" s="24"/>
      <c r="R43812"/>
      <c r="S43812"/>
      <c r="T43812"/>
      <c r="U43812"/>
      <c r="X43812" s="60"/>
    </row>
    <row r="43813" spans="7:24" ht="15" customHeight="1">
      <c r="G43813"/>
      <c r="I43813"/>
      <c r="N43813"/>
      <c r="O43813" s="24"/>
      <c r="P43813"/>
      <c r="Q43813" s="24"/>
      <c r="R43813"/>
      <c r="S43813"/>
      <c r="T43813"/>
      <c r="U43813"/>
      <c r="X43813" s="60"/>
    </row>
    <row r="43814" spans="7:24" ht="15" customHeight="1">
      <c r="G43814"/>
      <c r="I43814"/>
      <c r="N43814"/>
      <c r="O43814" s="24"/>
      <c r="P43814"/>
      <c r="Q43814" s="24"/>
      <c r="R43814"/>
      <c r="S43814"/>
      <c r="T43814"/>
      <c r="U43814"/>
      <c r="X43814" s="60"/>
    </row>
    <row r="43815" spans="7:24" ht="15" customHeight="1">
      <c r="G43815"/>
      <c r="I43815"/>
      <c r="N43815"/>
      <c r="O43815" s="24"/>
      <c r="P43815"/>
      <c r="Q43815" s="24"/>
      <c r="R43815"/>
      <c r="S43815"/>
      <c r="T43815"/>
      <c r="U43815"/>
      <c r="X43815" s="60"/>
    </row>
    <row r="43816" spans="7:24" ht="15" customHeight="1">
      <c r="G43816"/>
      <c r="I43816"/>
      <c r="N43816"/>
      <c r="O43816" s="24"/>
      <c r="P43816"/>
      <c r="Q43816" s="24"/>
      <c r="R43816"/>
      <c r="S43816"/>
      <c r="T43816"/>
      <c r="U43816"/>
      <c r="X43816" s="60"/>
    </row>
    <row r="43817" spans="7:24" ht="15" customHeight="1">
      <c r="G43817"/>
      <c r="I43817"/>
      <c r="N43817"/>
      <c r="O43817" s="24"/>
      <c r="P43817"/>
      <c r="Q43817" s="24"/>
      <c r="R43817"/>
      <c r="S43817"/>
      <c r="T43817"/>
      <c r="U43817"/>
      <c r="X43817" s="60"/>
    </row>
    <row r="43818" spans="7:24" ht="15" customHeight="1">
      <c r="G43818"/>
      <c r="I43818"/>
      <c r="N43818"/>
      <c r="O43818" s="24"/>
      <c r="P43818"/>
      <c r="Q43818" s="24"/>
      <c r="R43818"/>
      <c r="S43818"/>
      <c r="T43818"/>
      <c r="U43818"/>
      <c r="X43818" s="60"/>
    </row>
    <row r="43819" spans="7:24" ht="15" customHeight="1">
      <c r="G43819"/>
      <c r="I43819"/>
      <c r="N43819"/>
      <c r="O43819" s="24"/>
      <c r="P43819"/>
      <c r="Q43819" s="24"/>
      <c r="R43819"/>
      <c r="S43819"/>
      <c r="T43819"/>
      <c r="U43819"/>
      <c r="X43819" s="60"/>
    </row>
    <row r="43820" spans="7:24" ht="15" customHeight="1">
      <c r="G43820"/>
      <c r="I43820"/>
      <c r="N43820"/>
      <c r="O43820" s="24"/>
      <c r="P43820"/>
      <c r="Q43820" s="24"/>
      <c r="R43820"/>
      <c r="S43820"/>
      <c r="T43820"/>
      <c r="U43820"/>
      <c r="X43820" s="60"/>
    </row>
    <row r="43821" spans="7:24" ht="15" customHeight="1">
      <c r="G43821"/>
      <c r="I43821"/>
      <c r="N43821"/>
      <c r="O43821" s="24"/>
      <c r="P43821"/>
      <c r="Q43821" s="24"/>
      <c r="R43821"/>
      <c r="S43821"/>
      <c r="T43821"/>
      <c r="U43821"/>
      <c r="X43821" s="60"/>
    </row>
    <row r="43822" spans="7:24" ht="15" customHeight="1">
      <c r="G43822"/>
      <c r="I43822"/>
      <c r="N43822"/>
      <c r="O43822" s="24"/>
      <c r="P43822"/>
      <c r="Q43822" s="24"/>
      <c r="R43822"/>
      <c r="S43822"/>
      <c r="T43822"/>
      <c r="U43822"/>
      <c r="X43822" s="60"/>
    </row>
    <row r="43823" spans="7:24" ht="15" customHeight="1">
      <c r="G43823"/>
      <c r="I43823"/>
      <c r="N43823"/>
      <c r="O43823" s="24"/>
      <c r="P43823"/>
      <c r="Q43823" s="24"/>
      <c r="R43823"/>
      <c r="S43823"/>
      <c r="T43823"/>
      <c r="U43823"/>
      <c r="X43823" s="60"/>
    </row>
    <row r="43824" spans="7:24" ht="15" customHeight="1">
      <c r="G43824"/>
      <c r="I43824"/>
      <c r="N43824"/>
      <c r="O43824" s="24"/>
      <c r="P43824"/>
      <c r="Q43824" s="24"/>
      <c r="R43824"/>
      <c r="S43824"/>
      <c r="T43824"/>
      <c r="U43824"/>
      <c r="X43824" s="60"/>
    </row>
    <row r="43825" spans="7:24" ht="15" customHeight="1">
      <c r="G43825"/>
      <c r="I43825"/>
      <c r="N43825"/>
      <c r="O43825" s="24"/>
      <c r="P43825"/>
      <c r="Q43825" s="24"/>
      <c r="R43825"/>
      <c r="S43825"/>
      <c r="T43825"/>
      <c r="U43825"/>
      <c r="X43825" s="60"/>
    </row>
    <row r="43826" spans="7:24" ht="15" customHeight="1">
      <c r="G43826"/>
      <c r="I43826"/>
      <c r="N43826"/>
      <c r="O43826" s="24"/>
      <c r="P43826"/>
      <c r="Q43826" s="24"/>
      <c r="R43826"/>
      <c r="S43826"/>
      <c r="T43826"/>
      <c r="U43826"/>
      <c r="X43826" s="60"/>
    </row>
    <row r="43827" spans="7:24" ht="15" customHeight="1">
      <c r="G43827"/>
      <c r="I43827"/>
      <c r="N43827"/>
      <c r="O43827" s="24"/>
      <c r="P43827"/>
      <c r="Q43827" s="24"/>
      <c r="R43827"/>
      <c r="S43827"/>
      <c r="T43827"/>
      <c r="U43827"/>
      <c r="X43827" s="60"/>
    </row>
    <row r="43828" spans="7:24" ht="15" customHeight="1">
      <c r="G43828"/>
      <c r="I43828"/>
      <c r="N43828"/>
      <c r="O43828" s="24"/>
      <c r="P43828"/>
      <c r="Q43828" s="24"/>
      <c r="R43828"/>
      <c r="S43828"/>
      <c r="T43828"/>
      <c r="U43828"/>
      <c r="X43828" s="60"/>
    </row>
    <row r="43829" spans="7:24" ht="15" customHeight="1">
      <c r="G43829"/>
      <c r="I43829"/>
      <c r="N43829"/>
      <c r="O43829" s="24"/>
      <c r="P43829"/>
      <c r="Q43829" s="24"/>
      <c r="R43829"/>
      <c r="S43829"/>
      <c r="T43829"/>
      <c r="U43829"/>
      <c r="X43829" s="60"/>
    </row>
    <row r="43830" spans="7:24" ht="15" customHeight="1">
      <c r="G43830"/>
      <c r="I43830"/>
      <c r="N43830"/>
      <c r="O43830" s="24"/>
      <c r="P43830"/>
      <c r="Q43830" s="24"/>
      <c r="R43830"/>
      <c r="S43830"/>
      <c r="T43830"/>
      <c r="U43830"/>
      <c r="X43830" s="60"/>
    </row>
    <row r="43831" spans="7:24" ht="15" customHeight="1">
      <c r="G43831"/>
      <c r="I43831"/>
      <c r="N43831"/>
      <c r="O43831" s="24"/>
      <c r="P43831"/>
      <c r="Q43831" s="24"/>
      <c r="R43831"/>
      <c r="S43831"/>
      <c r="T43831"/>
      <c r="U43831"/>
      <c r="X43831" s="60"/>
    </row>
    <row r="43832" spans="7:24" ht="15" customHeight="1">
      <c r="G43832"/>
      <c r="I43832"/>
      <c r="N43832"/>
      <c r="O43832" s="24"/>
      <c r="P43832"/>
      <c r="Q43832" s="24"/>
      <c r="R43832"/>
      <c r="S43832"/>
      <c r="T43832"/>
      <c r="U43832"/>
      <c r="X43832" s="60"/>
    </row>
    <row r="43833" spans="7:24" ht="15" customHeight="1">
      <c r="G43833"/>
      <c r="I43833"/>
      <c r="N43833"/>
      <c r="O43833" s="24"/>
      <c r="P43833"/>
      <c r="Q43833" s="24"/>
      <c r="R43833"/>
      <c r="S43833"/>
      <c r="T43833"/>
      <c r="U43833"/>
      <c r="X43833" s="60"/>
    </row>
    <row r="43834" spans="7:24" ht="15" customHeight="1">
      <c r="G43834"/>
      <c r="I43834"/>
      <c r="N43834"/>
      <c r="O43834" s="24"/>
      <c r="P43834"/>
      <c r="Q43834" s="24"/>
      <c r="R43834"/>
      <c r="S43834"/>
      <c r="T43834"/>
      <c r="U43834"/>
      <c r="X43834" s="60"/>
    </row>
    <row r="43835" spans="7:24" ht="15" customHeight="1">
      <c r="G43835"/>
      <c r="I43835"/>
      <c r="N43835"/>
      <c r="O43835" s="24"/>
      <c r="P43835"/>
      <c r="Q43835" s="24"/>
      <c r="R43835"/>
      <c r="S43835"/>
      <c r="T43835"/>
      <c r="U43835"/>
      <c r="X43835" s="60"/>
    </row>
    <row r="43836" spans="7:24" ht="15" customHeight="1">
      <c r="G43836"/>
      <c r="I43836"/>
      <c r="N43836"/>
      <c r="O43836" s="24"/>
      <c r="P43836"/>
      <c r="Q43836" s="24"/>
      <c r="R43836"/>
      <c r="S43836"/>
      <c r="T43836"/>
      <c r="U43836"/>
      <c r="X43836" s="60"/>
    </row>
    <row r="43837" spans="7:24" ht="15" customHeight="1">
      <c r="G43837"/>
      <c r="I43837"/>
      <c r="N43837"/>
      <c r="O43837" s="24"/>
      <c r="P43837"/>
      <c r="Q43837" s="24"/>
      <c r="R43837"/>
      <c r="S43837"/>
      <c r="T43837"/>
      <c r="U43837"/>
      <c r="X43837" s="60"/>
    </row>
    <row r="43838" spans="7:24" ht="15" customHeight="1">
      <c r="G43838"/>
      <c r="I43838"/>
      <c r="N43838"/>
      <c r="O43838" s="24"/>
      <c r="P43838"/>
      <c r="Q43838" s="24"/>
      <c r="R43838"/>
      <c r="S43838"/>
      <c r="T43838"/>
      <c r="U43838"/>
      <c r="X43838" s="60"/>
    </row>
    <row r="43839" spans="7:24" ht="15" customHeight="1">
      <c r="G43839"/>
      <c r="I43839"/>
      <c r="N43839"/>
      <c r="O43839" s="24"/>
      <c r="P43839"/>
      <c r="Q43839" s="24"/>
      <c r="R43839"/>
      <c r="S43839"/>
      <c r="T43839"/>
      <c r="U43839"/>
      <c r="X43839" s="60"/>
    </row>
    <row r="43840" spans="7:24" ht="15" customHeight="1">
      <c r="G43840"/>
      <c r="I43840"/>
      <c r="N43840"/>
      <c r="O43840" s="24"/>
      <c r="P43840"/>
      <c r="Q43840" s="24"/>
      <c r="R43840"/>
      <c r="S43840"/>
      <c r="T43840"/>
      <c r="U43840"/>
      <c r="X43840" s="60"/>
    </row>
    <row r="43841" spans="7:24" ht="15" customHeight="1">
      <c r="G43841"/>
      <c r="I43841"/>
      <c r="N43841"/>
      <c r="O43841" s="24"/>
      <c r="P43841"/>
      <c r="Q43841" s="24"/>
      <c r="R43841"/>
      <c r="S43841"/>
      <c r="T43841"/>
      <c r="U43841"/>
      <c r="X43841" s="60"/>
    </row>
    <row r="43842" spans="7:24" ht="15" customHeight="1">
      <c r="G43842"/>
      <c r="I43842"/>
      <c r="N43842"/>
      <c r="O43842" s="24"/>
      <c r="P43842"/>
      <c r="Q43842" s="24"/>
      <c r="R43842"/>
      <c r="S43842"/>
      <c r="T43842"/>
      <c r="U43842"/>
      <c r="X43842" s="60"/>
    </row>
    <row r="43843" spans="7:24" ht="15" customHeight="1">
      <c r="G43843"/>
      <c r="I43843"/>
      <c r="N43843"/>
      <c r="O43843" s="24"/>
      <c r="P43843"/>
      <c r="Q43843" s="24"/>
      <c r="R43843"/>
      <c r="S43843"/>
      <c r="T43843"/>
      <c r="U43843"/>
      <c r="X43843" s="60"/>
    </row>
    <row r="43844" spans="7:24" ht="15" customHeight="1">
      <c r="G43844"/>
      <c r="I43844"/>
      <c r="N43844"/>
      <c r="O43844" s="24"/>
      <c r="P43844"/>
      <c r="Q43844" s="24"/>
      <c r="R43844"/>
      <c r="S43844"/>
      <c r="T43844"/>
      <c r="U43844"/>
      <c r="X43844" s="60"/>
    </row>
    <row r="43845" spans="7:24" ht="15" customHeight="1">
      <c r="G43845"/>
      <c r="I43845"/>
      <c r="N43845"/>
      <c r="O43845" s="24"/>
      <c r="P43845"/>
      <c r="Q43845" s="24"/>
      <c r="R43845"/>
      <c r="S43845"/>
      <c r="T43845"/>
      <c r="U43845"/>
      <c r="X43845" s="60"/>
    </row>
    <row r="43846" spans="7:24" ht="15" customHeight="1">
      <c r="G43846"/>
      <c r="I43846"/>
      <c r="N43846"/>
      <c r="O43846" s="24"/>
      <c r="P43846"/>
      <c r="Q43846" s="24"/>
      <c r="R43846"/>
      <c r="S43846"/>
      <c r="T43846"/>
      <c r="U43846"/>
      <c r="X43846" s="60"/>
    </row>
    <row r="43847" spans="7:24" ht="15" customHeight="1">
      <c r="G43847"/>
      <c r="I43847"/>
      <c r="N43847"/>
      <c r="O43847" s="24"/>
      <c r="P43847"/>
      <c r="Q43847" s="24"/>
      <c r="R43847"/>
      <c r="S43847"/>
      <c r="T43847"/>
      <c r="U43847"/>
      <c r="X43847" s="60"/>
    </row>
    <row r="43848" spans="7:24" ht="15" customHeight="1">
      <c r="G43848"/>
      <c r="I43848"/>
      <c r="N43848"/>
      <c r="O43848" s="24"/>
      <c r="P43848"/>
      <c r="Q43848" s="24"/>
      <c r="R43848"/>
      <c r="S43848"/>
      <c r="T43848"/>
      <c r="U43848"/>
      <c r="X43848" s="60"/>
    </row>
    <row r="43849" spans="7:24" ht="15" customHeight="1">
      <c r="G43849"/>
      <c r="I43849"/>
      <c r="N43849"/>
      <c r="O43849" s="24"/>
      <c r="P43849"/>
      <c r="Q43849" s="24"/>
      <c r="R43849"/>
      <c r="S43849"/>
      <c r="T43849"/>
      <c r="U43849"/>
      <c r="X43849" s="60"/>
    </row>
    <row r="43850" spans="7:24" ht="15" customHeight="1">
      <c r="G43850"/>
      <c r="I43850"/>
      <c r="N43850"/>
      <c r="O43850" s="24"/>
      <c r="P43850"/>
      <c r="Q43850" s="24"/>
      <c r="R43850"/>
      <c r="S43850"/>
      <c r="T43850"/>
      <c r="U43850"/>
      <c r="X43850" s="60"/>
    </row>
    <row r="43851" spans="7:24" ht="15" customHeight="1">
      <c r="G43851"/>
      <c r="I43851"/>
      <c r="N43851"/>
      <c r="O43851" s="24"/>
      <c r="P43851"/>
      <c r="Q43851" s="24"/>
      <c r="R43851"/>
      <c r="S43851"/>
      <c r="T43851"/>
      <c r="U43851"/>
      <c r="X43851" s="60"/>
    </row>
    <row r="43852" spans="7:24" ht="15" customHeight="1">
      <c r="G43852"/>
      <c r="I43852"/>
      <c r="N43852"/>
      <c r="O43852" s="24"/>
      <c r="P43852"/>
      <c r="Q43852" s="24"/>
      <c r="R43852"/>
      <c r="S43852"/>
      <c r="T43852"/>
      <c r="U43852"/>
      <c r="X43852" s="60"/>
    </row>
    <row r="43853" spans="7:24" ht="15" customHeight="1">
      <c r="G43853"/>
      <c r="I43853"/>
      <c r="N43853"/>
      <c r="O43853" s="24"/>
      <c r="P43853"/>
      <c r="Q43853" s="24"/>
      <c r="R43853"/>
      <c r="S43853"/>
      <c r="T43853"/>
      <c r="U43853"/>
      <c r="X43853" s="60"/>
    </row>
    <row r="43854" spans="7:24" ht="15" customHeight="1">
      <c r="G43854"/>
      <c r="I43854"/>
      <c r="N43854"/>
      <c r="O43854" s="24"/>
      <c r="P43854"/>
      <c r="Q43854" s="24"/>
      <c r="R43854"/>
      <c r="S43854"/>
      <c r="T43854"/>
      <c r="U43854"/>
      <c r="X43854" s="60"/>
    </row>
    <row r="43855" spans="7:24" ht="15" customHeight="1">
      <c r="G43855"/>
      <c r="I43855"/>
      <c r="N43855"/>
      <c r="O43855" s="24"/>
      <c r="P43855"/>
      <c r="Q43855" s="24"/>
      <c r="R43855"/>
      <c r="S43855"/>
      <c r="T43855"/>
      <c r="U43855"/>
      <c r="X43855" s="60"/>
    </row>
    <row r="43856" spans="7:24" ht="15" customHeight="1">
      <c r="G43856"/>
      <c r="I43856"/>
      <c r="N43856"/>
      <c r="O43856" s="24"/>
      <c r="P43856"/>
      <c r="Q43856" s="24"/>
      <c r="R43856"/>
      <c r="S43856"/>
      <c r="T43856"/>
      <c r="U43856"/>
      <c r="X43856" s="60"/>
    </row>
    <row r="43857" spans="7:24" ht="15" customHeight="1">
      <c r="G43857"/>
      <c r="I43857"/>
      <c r="N43857"/>
      <c r="O43857" s="24"/>
      <c r="P43857"/>
      <c r="Q43857" s="24"/>
      <c r="R43857"/>
      <c r="S43857"/>
      <c r="T43857"/>
      <c r="U43857"/>
      <c r="X43857" s="60"/>
    </row>
    <row r="43858" spans="7:24" ht="15" customHeight="1">
      <c r="G43858"/>
      <c r="I43858"/>
      <c r="N43858"/>
      <c r="O43858" s="24"/>
      <c r="P43858"/>
      <c r="Q43858" s="24"/>
      <c r="R43858"/>
      <c r="S43858"/>
      <c r="T43858"/>
      <c r="U43858"/>
      <c r="X43858" s="60"/>
    </row>
    <row r="43859" spans="7:24" ht="15" customHeight="1">
      <c r="G43859"/>
      <c r="I43859"/>
      <c r="N43859"/>
      <c r="O43859" s="24"/>
      <c r="P43859"/>
      <c r="Q43859" s="24"/>
      <c r="R43859"/>
      <c r="S43859"/>
      <c r="T43859"/>
      <c r="U43859"/>
      <c r="X43859" s="60"/>
    </row>
    <row r="43860" spans="7:24" ht="15" customHeight="1">
      <c r="G43860"/>
      <c r="I43860"/>
      <c r="N43860"/>
      <c r="O43860" s="24"/>
      <c r="P43860"/>
      <c r="Q43860" s="24"/>
      <c r="R43860"/>
      <c r="S43860"/>
      <c r="T43860"/>
      <c r="U43860"/>
      <c r="X43860" s="60"/>
    </row>
    <row r="43861" spans="7:24" ht="15" customHeight="1">
      <c r="G43861"/>
      <c r="I43861"/>
      <c r="N43861"/>
      <c r="O43861" s="24"/>
      <c r="P43861"/>
      <c r="Q43861" s="24"/>
      <c r="R43861"/>
      <c r="S43861"/>
      <c r="T43861"/>
      <c r="U43861"/>
      <c r="X43861" s="60"/>
    </row>
    <row r="43862" spans="7:24" ht="15" customHeight="1">
      <c r="G43862"/>
      <c r="I43862"/>
      <c r="N43862"/>
      <c r="O43862" s="24"/>
      <c r="P43862"/>
      <c r="Q43862" s="24"/>
      <c r="R43862"/>
      <c r="S43862"/>
      <c r="T43862"/>
      <c r="U43862"/>
      <c r="X43862" s="60"/>
    </row>
    <row r="43863" spans="7:24" ht="15" customHeight="1">
      <c r="G43863"/>
      <c r="I43863"/>
      <c r="N43863"/>
      <c r="O43863" s="24"/>
      <c r="P43863"/>
      <c r="Q43863" s="24"/>
      <c r="R43863"/>
      <c r="S43863"/>
      <c r="T43863"/>
      <c r="U43863"/>
      <c r="X43863" s="60"/>
    </row>
    <row r="43864" spans="7:24" ht="15" customHeight="1">
      <c r="G43864"/>
      <c r="I43864"/>
      <c r="N43864"/>
      <c r="O43864" s="24"/>
      <c r="P43864"/>
      <c r="Q43864" s="24"/>
      <c r="R43864"/>
      <c r="S43864"/>
      <c r="T43864"/>
      <c r="U43864"/>
      <c r="X43864" s="60"/>
    </row>
    <row r="43865" spans="7:24" ht="15" customHeight="1">
      <c r="G43865"/>
      <c r="I43865"/>
      <c r="N43865"/>
      <c r="O43865" s="24"/>
      <c r="P43865"/>
      <c r="Q43865" s="24"/>
      <c r="R43865"/>
      <c r="S43865"/>
      <c r="T43865"/>
      <c r="U43865"/>
      <c r="X43865" s="60"/>
    </row>
    <row r="43866" spans="7:24" ht="15" customHeight="1">
      <c r="G43866"/>
      <c r="I43866"/>
      <c r="N43866"/>
      <c r="O43866" s="24"/>
      <c r="P43866"/>
      <c r="Q43866" s="24"/>
      <c r="R43866"/>
      <c r="S43866"/>
      <c r="T43866"/>
      <c r="U43866"/>
      <c r="X43866" s="60"/>
    </row>
    <row r="43867" spans="7:24" ht="15" customHeight="1">
      <c r="G43867"/>
      <c r="I43867"/>
      <c r="N43867"/>
      <c r="O43867" s="24"/>
      <c r="P43867"/>
      <c r="Q43867" s="24"/>
      <c r="R43867"/>
      <c r="S43867"/>
      <c r="T43867"/>
      <c r="U43867"/>
      <c r="X43867" s="60"/>
    </row>
    <row r="43868" spans="7:24" ht="15" customHeight="1">
      <c r="G43868"/>
      <c r="I43868"/>
      <c r="N43868"/>
      <c r="O43868" s="24"/>
      <c r="P43868"/>
      <c r="Q43868" s="24"/>
      <c r="R43868"/>
      <c r="S43868"/>
      <c r="T43868"/>
      <c r="U43868"/>
      <c r="X43868" s="60"/>
    </row>
    <row r="43869" spans="7:24" ht="15" customHeight="1">
      <c r="G43869"/>
      <c r="I43869"/>
      <c r="N43869"/>
      <c r="O43869" s="24"/>
      <c r="P43869"/>
      <c r="Q43869" s="24"/>
      <c r="R43869"/>
      <c r="S43869"/>
      <c r="T43869"/>
      <c r="U43869"/>
      <c r="X43869" s="60"/>
    </row>
    <row r="43870" spans="7:24" ht="15" customHeight="1">
      <c r="G43870"/>
      <c r="I43870"/>
      <c r="N43870"/>
      <c r="O43870" s="24"/>
      <c r="P43870"/>
      <c r="Q43870" s="24"/>
      <c r="R43870"/>
      <c r="S43870"/>
      <c r="T43870"/>
      <c r="U43870"/>
      <c r="X43870" s="60"/>
    </row>
    <row r="43871" spans="7:24" ht="15" customHeight="1">
      <c r="G43871"/>
      <c r="I43871"/>
      <c r="N43871"/>
      <c r="O43871" s="24"/>
      <c r="P43871"/>
      <c r="Q43871" s="24"/>
      <c r="R43871"/>
      <c r="S43871"/>
      <c r="T43871"/>
      <c r="U43871"/>
      <c r="X43871" s="60"/>
    </row>
    <row r="43872" spans="7:24" ht="15" customHeight="1">
      <c r="G43872"/>
      <c r="I43872"/>
      <c r="N43872"/>
      <c r="O43872" s="24"/>
      <c r="P43872"/>
      <c r="Q43872" s="24"/>
      <c r="R43872"/>
      <c r="S43872"/>
      <c r="T43872"/>
      <c r="U43872"/>
      <c r="X43872" s="60"/>
    </row>
    <row r="43873" spans="7:24" ht="15" customHeight="1">
      <c r="G43873"/>
      <c r="I43873"/>
      <c r="N43873"/>
      <c r="O43873" s="24"/>
      <c r="P43873"/>
      <c r="Q43873" s="24"/>
      <c r="R43873"/>
      <c r="S43873"/>
      <c r="T43873"/>
      <c r="U43873"/>
      <c r="X43873" s="60"/>
    </row>
    <row r="43874" spans="7:24" ht="15" customHeight="1">
      <c r="G43874"/>
      <c r="I43874"/>
      <c r="N43874"/>
      <c r="O43874" s="24"/>
      <c r="P43874"/>
      <c r="Q43874" s="24"/>
      <c r="R43874"/>
      <c r="S43874"/>
      <c r="T43874"/>
      <c r="U43874"/>
      <c r="X43874" s="60"/>
    </row>
    <row r="43875" spans="7:24" ht="15" customHeight="1">
      <c r="G43875"/>
      <c r="I43875"/>
      <c r="N43875"/>
      <c r="O43875" s="24"/>
      <c r="P43875"/>
      <c r="Q43875" s="24"/>
      <c r="R43875"/>
      <c r="S43875"/>
      <c r="T43875"/>
      <c r="U43875"/>
      <c r="X43875" s="60"/>
    </row>
    <row r="43876" spans="7:24" ht="15" customHeight="1">
      <c r="G43876"/>
      <c r="I43876"/>
      <c r="N43876"/>
      <c r="O43876" s="24"/>
      <c r="P43876"/>
      <c r="Q43876" s="24"/>
      <c r="R43876"/>
      <c r="S43876"/>
      <c r="T43876"/>
      <c r="U43876"/>
      <c r="X43876" s="60"/>
    </row>
    <row r="43877" spans="7:24" ht="15" customHeight="1">
      <c r="G43877"/>
      <c r="I43877"/>
      <c r="N43877"/>
      <c r="O43877" s="24"/>
      <c r="P43877"/>
      <c r="Q43877" s="24"/>
      <c r="R43877"/>
      <c r="S43877"/>
      <c r="T43877"/>
      <c r="U43877"/>
      <c r="X43877" s="60"/>
    </row>
    <row r="43878" spans="7:24" ht="15" customHeight="1">
      <c r="G43878"/>
      <c r="I43878"/>
      <c r="N43878"/>
      <c r="O43878" s="24"/>
      <c r="P43878"/>
      <c r="Q43878" s="24"/>
      <c r="R43878"/>
      <c r="S43878"/>
      <c r="T43878"/>
      <c r="U43878"/>
      <c r="X43878" s="60"/>
    </row>
    <row r="43879" spans="7:24" ht="15" customHeight="1">
      <c r="G43879"/>
      <c r="I43879"/>
      <c r="N43879"/>
      <c r="O43879" s="24"/>
      <c r="P43879"/>
      <c r="Q43879" s="24"/>
      <c r="R43879"/>
      <c r="S43879"/>
      <c r="T43879"/>
      <c r="U43879"/>
      <c r="X43879" s="60"/>
    </row>
    <row r="43880" spans="7:24" ht="15" customHeight="1">
      <c r="G43880"/>
      <c r="I43880"/>
      <c r="N43880"/>
      <c r="O43880" s="24"/>
      <c r="P43880"/>
      <c r="Q43880" s="24"/>
      <c r="R43880"/>
      <c r="S43880"/>
      <c r="T43880"/>
      <c r="U43880"/>
      <c r="X43880" s="60"/>
    </row>
    <row r="43881" spans="7:24" ht="15" customHeight="1">
      <c r="G43881"/>
      <c r="I43881"/>
      <c r="N43881"/>
      <c r="O43881" s="24"/>
      <c r="P43881"/>
      <c r="Q43881" s="24"/>
      <c r="R43881"/>
      <c r="S43881"/>
      <c r="T43881"/>
      <c r="U43881"/>
      <c r="X43881" s="60"/>
    </row>
    <row r="43882" spans="7:24" ht="15" customHeight="1">
      <c r="G43882"/>
      <c r="I43882"/>
      <c r="N43882"/>
      <c r="O43882" s="24"/>
      <c r="P43882"/>
      <c r="Q43882" s="24"/>
      <c r="R43882"/>
      <c r="S43882"/>
      <c r="T43882"/>
      <c r="U43882"/>
      <c r="X43882" s="60"/>
    </row>
    <row r="43883" spans="7:24" ht="15" customHeight="1">
      <c r="G43883"/>
      <c r="I43883"/>
      <c r="N43883"/>
      <c r="O43883" s="24"/>
      <c r="P43883"/>
      <c r="Q43883" s="24"/>
      <c r="R43883"/>
      <c r="S43883"/>
      <c r="T43883"/>
      <c r="U43883"/>
      <c r="X43883" s="60"/>
    </row>
    <row r="43884" spans="7:24" ht="15" customHeight="1">
      <c r="G43884"/>
      <c r="I43884"/>
      <c r="N43884"/>
      <c r="O43884" s="24"/>
      <c r="P43884"/>
      <c r="Q43884" s="24"/>
      <c r="R43884"/>
      <c r="S43884"/>
      <c r="T43884"/>
      <c r="U43884"/>
      <c r="X43884" s="60"/>
    </row>
    <row r="43885" spans="7:24" ht="15" customHeight="1">
      <c r="G43885"/>
      <c r="I43885"/>
      <c r="N43885"/>
      <c r="O43885" s="24"/>
      <c r="P43885"/>
      <c r="Q43885" s="24"/>
      <c r="R43885"/>
      <c r="S43885"/>
      <c r="T43885"/>
      <c r="U43885"/>
      <c r="X43885" s="60"/>
    </row>
    <row r="43886" spans="7:24" ht="15" customHeight="1">
      <c r="G43886"/>
      <c r="I43886"/>
      <c r="N43886"/>
      <c r="O43886" s="24"/>
      <c r="P43886"/>
      <c r="Q43886" s="24"/>
      <c r="R43886"/>
      <c r="S43886"/>
      <c r="T43886"/>
      <c r="U43886"/>
      <c r="X43886" s="60"/>
    </row>
    <row r="43887" spans="7:24" ht="15" customHeight="1">
      <c r="G43887"/>
      <c r="I43887"/>
      <c r="N43887"/>
      <c r="O43887" s="24"/>
      <c r="P43887"/>
      <c r="Q43887" s="24"/>
      <c r="R43887"/>
      <c r="S43887"/>
      <c r="T43887"/>
      <c r="U43887"/>
      <c r="X43887" s="60"/>
    </row>
    <row r="43888" spans="7:24" ht="15" customHeight="1">
      <c r="G43888"/>
      <c r="I43888"/>
      <c r="N43888"/>
      <c r="O43888" s="24"/>
      <c r="P43888"/>
      <c r="Q43888" s="24"/>
      <c r="R43888"/>
      <c r="S43888"/>
      <c r="T43888"/>
      <c r="U43888"/>
      <c r="X43888" s="60"/>
    </row>
    <row r="43889" spans="7:24" ht="15" customHeight="1">
      <c r="G43889"/>
      <c r="I43889"/>
      <c r="N43889"/>
      <c r="O43889" s="24"/>
      <c r="P43889"/>
      <c r="Q43889" s="24"/>
      <c r="R43889"/>
      <c r="S43889"/>
      <c r="T43889"/>
      <c r="U43889"/>
      <c r="X43889" s="60"/>
    </row>
    <row r="43890" spans="7:24" ht="15" customHeight="1">
      <c r="G43890"/>
      <c r="I43890"/>
      <c r="N43890"/>
      <c r="O43890" s="24"/>
      <c r="P43890"/>
      <c r="Q43890" s="24"/>
      <c r="R43890"/>
      <c r="S43890"/>
      <c r="T43890"/>
      <c r="U43890"/>
      <c r="X43890" s="60"/>
    </row>
    <row r="43891" spans="7:24" ht="15" customHeight="1">
      <c r="G43891"/>
      <c r="I43891"/>
      <c r="N43891"/>
      <c r="O43891" s="24"/>
      <c r="P43891"/>
      <c r="Q43891" s="24"/>
      <c r="R43891"/>
      <c r="S43891"/>
      <c r="T43891"/>
      <c r="U43891"/>
      <c r="X43891" s="60"/>
    </row>
    <row r="43892" spans="7:24" ht="15" customHeight="1">
      <c r="G43892"/>
      <c r="I43892"/>
      <c r="N43892"/>
      <c r="O43892" s="24"/>
      <c r="P43892"/>
      <c r="Q43892" s="24"/>
      <c r="R43892"/>
      <c r="S43892"/>
      <c r="T43892"/>
      <c r="U43892"/>
      <c r="X43892" s="60"/>
    </row>
    <row r="43893" spans="7:24" ht="15" customHeight="1">
      <c r="G43893"/>
      <c r="I43893"/>
      <c r="N43893"/>
      <c r="O43893" s="24"/>
      <c r="P43893"/>
      <c r="Q43893" s="24"/>
      <c r="R43893"/>
      <c r="S43893"/>
      <c r="T43893"/>
      <c r="U43893"/>
      <c r="X43893" s="60"/>
    </row>
    <row r="43894" spans="7:24" ht="15" customHeight="1">
      <c r="G43894"/>
      <c r="I43894"/>
      <c r="N43894"/>
      <c r="O43894" s="24"/>
      <c r="P43894"/>
      <c r="Q43894" s="24"/>
      <c r="R43894"/>
      <c r="S43894"/>
      <c r="T43894"/>
      <c r="U43894"/>
      <c r="X43894" s="60"/>
    </row>
    <row r="43895" spans="7:24" ht="15" customHeight="1">
      <c r="G43895"/>
      <c r="I43895"/>
      <c r="N43895"/>
      <c r="O43895" s="24"/>
      <c r="P43895"/>
      <c r="Q43895" s="24"/>
      <c r="R43895"/>
      <c r="S43895"/>
      <c r="T43895"/>
      <c r="U43895"/>
      <c r="X43895" s="60"/>
    </row>
    <row r="43896" spans="7:24" ht="15" customHeight="1">
      <c r="G43896"/>
      <c r="I43896"/>
      <c r="N43896"/>
      <c r="O43896" s="24"/>
      <c r="P43896"/>
      <c r="Q43896" s="24"/>
      <c r="R43896"/>
      <c r="S43896"/>
      <c r="T43896"/>
      <c r="U43896"/>
      <c r="X43896" s="60"/>
    </row>
    <row r="43897" spans="7:24" ht="15" customHeight="1">
      <c r="G43897"/>
      <c r="I43897"/>
      <c r="N43897"/>
      <c r="O43897" s="24"/>
      <c r="P43897"/>
      <c r="Q43897" s="24"/>
      <c r="R43897"/>
      <c r="S43897"/>
      <c r="T43897"/>
      <c r="U43897"/>
      <c r="X43897" s="60"/>
    </row>
    <row r="43898" spans="7:24" ht="15" customHeight="1">
      <c r="G43898"/>
      <c r="I43898"/>
      <c r="N43898"/>
      <c r="O43898" s="24"/>
      <c r="P43898"/>
      <c r="Q43898" s="24"/>
      <c r="R43898"/>
      <c r="S43898"/>
      <c r="T43898"/>
      <c r="U43898"/>
      <c r="X43898" s="60"/>
    </row>
    <row r="43899" spans="7:24" ht="15" customHeight="1">
      <c r="G43899"/>
      <c r="I43899"/>
      <c r="N43899"/>
      <c r="O43899" s="24"/>
      <c r="P43899"/>
      <c r="Q43899" s="24"/>
      <c r="R43899"/>
      <c r="S43899"/>
      <c r="T43899"/>
      <c r="U43899"/>
      <c r="X43899" s="60"/>
    </row>
    <row r="43900" spans="7:24" ht="15" customHeight="1">
      <c r="G43900"/>
      <c r="I43900"/>
      <c r="N43900"/>
      <c r="O43900" s="24"/>
      <c r="P43900"/>
      <c r="Q43900" s="24"/>
      <c r="R43900"/>
      <c r="S43900"/>
      <c r="T43900"/>
      <c r="U43900"/>
      <c r="X43900" s="60"/>
    </row>
    <row r="43901" spans="7:24" ht="15" customHeight="1">
      <c r="G43901"/>
      <c r="I43901"/>
      <c r="N43901"/>
      <c r="O43901" s="24"/>
      <c r="P43901"/>
      <c r="Q43901" s="24"/>
      <c r="R43901"/>
      <c r="S43901"/>
      <c r="T43901"/>
      <c r="U43901"/>
      <c r="X43901" s="60"/>
    </row>
    <row r="43902" spans="7:24" ht="15" customHeight="1">
      <c r="G43902"/>
      <c r="I43902"/>
      <c r="N43902"/>
      <c r="O43902" s="24"/>
      <c r="P43902"/>
      <c r="Q43902" s="24"/>
      <c r="R43902"/>
      <c r="S43902"/>
      <c r="T43902"/>
      <c r="U43902"/>
      <c r="X43902" s="60"/>
    </row>
    <row r="43903" spans="7:24" ht="15" customHeight="1">
      <c r="G43903"/>
      <c r="I43903"/>
      <c r="N43903"/>
      <c r="O43903" s="24"/>
      <c r="P43903"/>
      <c r="Q43903" s="24"/>
      <c r="R43903"/>
      <c r="S43903"/>
      <c r="T43903"/>
      <c r="U43903"/>
      <c r="X43903" s="60"/>
    </row>
    <row r="43904" spans="7:24" ht="15" customHeight="1">
      <c r="G43904"/>
      <c r="I43904"/>
      <c r="N43904"/>
      <c r="O43904" s="24"/>
      <c r="P43904"/>
      <c r="Q43904" s="24"/>
      <c r="R43904"/>
      <c r="S43904"/>
      <c r="T43904"/>
      <c r="U43904"/>
      <c r="X43904" s="60"/>
    </row>
    <row r="43905" spans="7:24" ht="15" customHeight="1">
      <c r="G43905"/>
      <c r="I43905"/>
      <c r="N43905"/>
      <c r="O43905" s="24"/>
      <c r="P43905"/>
      <c r="Q43905" s="24"/>
      <c r="R43905"/>
      <c r="S43905"/>
      <c r="T43905"/>
      <c r="U43905"/>
      <c r="X43905" s="60"/>
    </row>
    <row r="43906" spans="7:24" ht="15" customHeight="1">
      <c r="G43906"/>
      <c r="I43906"/>
      <c r="N43906"/>
      <c r="O43906" s="24"/>
      <c r="P43906"/>
      <c r="Q43906" s="24"/>
      <c r="R43906"/>
      <c r="S43906"/>
      <c r="T43906"/>
      <c r="U43906"/>
      <c r="X43906" s="60"/>
    </row>
    <row r="43907" spans="7:24" ht="15" customHeight="1">
      <c r="G43907"/>
      <c r="I43907"/>
      <c r="N43907"/>
      <c r="O43907" s="24"/>
      <c r="P43907"/>
      <c r="Q43907" s="24"/>
      <c r="R43907"/>
      <c r="S43907"/>
      <c r="T43907"/>
      <c r="U43907"/>
      <c r="X43907" s="60"/>
    </row>
    <row r="43908" spans="7:24" ht="15" customHeight="1">
      <c r="G43908"/>
      <c r="I43908"/>
      <c r="N43908"/>
      <c r="O43908" s="24"/>
      <c r="P43908"/>
      <c r="Q43908" s="24"/>
      <c r="R43908"/>
      <c r="S43908"/>
      <c r="T43908"/>
      <c r="U43908"/>
      <c r="X43908" s="60"/>
    </row>
    <row r="43909" spans="7:24" ht="15" customHeight="1">
      <c r="G43909"/>
      <c r="I43909"/>
      <c r="N43909"/>
      <c r="O43909" s="24"/>
      <c r="P43909"/>
      <c r="Q43909" s="24"/>
      <c r="R43909"/>
      <c r="S43909"/>
      <c r="T43909"/>
      <c r="U43909"/>
      <c r="X43909" s="60"/>
    </row>
    <row r="43910" spans="7:24" ht="15" customHeight="1">
      <c r="G43910"/>
      <c r="I43910"/>
      <c r="N43910"/>
      <c r="O43910" s="24"/>
      <c r="P43910"/>
      <c r="Q43910" s="24"/>
      <c r="R43910"/>
      <c r="S43910"/>
      <c r="T43910"/>
      <c r="U43910"/>
      <c r="X43910" s="60"/>
    </row>
    <row r="43911" spans="7:24" ht="15" customHeight="1">
      <c r="G43911"/>
      <c r="I43911"/>
      <c r="N43911"/>
      <c r="O43911" s="24"/>
      <c r="P43911"/>
      <c r="Q43911" s="24"/>
      <c r="R43911"/>
      <c r="S43911"/>
      <c r="T43911"/>
      <c r="U43911"/>
      <c r="X43911" s="60"/>
    </row>
    <row r="43912" spans="7:24" ht="15" customHeight="1">
      <c r="G43912"/>
      <c r="I43912"/>
      <c r="N43912"/>
      <c r="O43912" s="24"/>
      <c r="P43912"/>
      <c r="Q43912" s="24"/>
      <c r="R43912"/>
      <c r="S43912"/>
      <c r="T43912"/>
      <c r="U43912"/>
      <c r="X43912" s="60"/>
    </row>
    <row r="43913" spans="7:24" ht="15" customHeight="1">
      <c r="G43913"/>
      <c r="I43913"/>
      <c r="N43913"/>
      <c r="O43913" s="24"/>
      <c r="P43913"/>
      <c r="Q43913" s="24"/>
      <c r="R43913"/>
      <c r="S43913"/>
      <c r="T43913"/>
      <c r="U43913"/>
      <c r="X43913" s="60"/>
    </row>
    <row r="43914" spans="7:24" ht="15" customHeight="1">
      <c r="G43914"/>
      <c r="I43914"/>
      <c r="N43914"/>
      <c r="O43914" s="24"/>
      <c r="P43914"/>
      <c r="Q43914" s="24"/>
      <c r="R43914"/>
      <c r="S43914"/>
      <c r="T43914"/>
      <c r="U43914"/>
      <c r="X43914" s="60"/>
    </row>
    <row r="43915" spans="7:24" ht="15" customHeight="1">
      <c r="G43915"/>
      <c r="I43915"/>
      <c r="N43915"/>
      <c r="O43915" s="24"/>
      <c r="P43915"/>
      <c r="Q43915" s="24"/>
      <c r="R43915"/>
      <c r="S43915"/>
      <c r="T43915"/>
      <c r="U43915"/>
      <c r="X43915" s="60"/>
    </row>
    <row r="43916" spans="7:24" ht="15" customHeight="1">
      <c r="G43916"/>
      <c r="I43916"/>
      <c r="N43916"/>
      <c r="O43916" s="24"/>
      <c r="P43916"/>
      <c r="Q43916" s="24"/>
      <c r="R43916"/>
      <c r="S43916"/>
      <c r="T43916"/>
      <c r="U43916"/>
      <c r="X43916" s="60"/>
    </row>
    <row r="43917" spans="7:24" ht="15" customHeight="1">
      <c r="G43917"/>
      <c r="I43917"/>
      <c r="N43917"/>
      <c r="O43917" s="24"/>
      <c r="P43917"/>
      <c r="Q43917" s="24"/>
      <c r="R43917"/>
      <c r="S43917"/>
      <c r="T43917"/>
      <c r="U43917"/>
      <c r="X43917" s="60"/>
    </row>
    <row r="43918" spans="7:24" ht="15" customHeight="1">
      <c r="G43918"/>
      <c r="I43918"/>
      <c r="N43918"/>
      <c r="O43918" s="24"/>
      <c r="P43918"/>
      <c r="Q43918" s="24"/>
      <c r="R43918"/>
      <c r="S43918"/>
      <c r="T43918"/>
      <c r="U43918"/>
      <c r="X43918" s="60"/>
    </row>
    <row r="43919" spans="7:24" ht="15" customHeight="1">
      <c r="G43919"/>
      <c r="I43919"/>
      <c r="N43919"/>
      <c r="O43919" s="24"/>
      <c r="P43919"/>
      <c r="Q43919" s="24"/>
      <c r="R43919"/>
      <c r="S43919"/>
      <c r="T43919"/>
      <c r="U43919"/>
      <c r="X43919" s="60"/>
    </row>
    <row r="43920" spans="7:24" ht="15" customHeight="1">
      <c r="G43920"/>
      <c r="I43920"/>
      <c r="N43920"/>
      <c r="O43920" s="24"/>
      <c r="P43920"/>
      <c r="Q43920" s="24"/>
      <c r="R43920"/>
      <c r="S43920"/>
      <c r="T43920"/>
      <c r="U43920"/>
      <c r="X43920" s="60"/>
    </row>
    <row r="43921" spans="7:24" ht="15" customHeight="1">
      <c r="G43921"/>
      <c r="I43921"/>
      <c r="N43921"/>
      <c r="O43921" s="24"/>
      <c r="P43921"/>
      <c r="Q43921" s="24"/>
      <c r="R43921"/>
      <c r="S43921"/>
      <c r="T43921"/>
      <c r="U43921"/>
      <c r="X43921" s="60"/>
    </row>
    <row r="43922" spans="7:24" ht="15" customHeight="1">
      <c r="G43922"/>
      <c r="I43922"/>
      <c r="N43922"/>
      <c r="O43922" s="24"/>
      <c r="P43922"/>
      <c r="Q43922" s="24"/>
      <c r="R43922"/>
      <c r="S43922"/>
      <c r="T43922"/>
      <c r="U43922"/>
      <c r="X43922" s="60"/>
    </row>
    <row r="43923" spans="7:24" ht="15" customHeight="1">
      <c r="G43923"/>
      <c r="I43923"/>
      <c r="N43923"/>
      <c r="O43923" s="24"/>
      <c r="P43923"/>
      <c r="Q43923" s="24"/>
      <c r="R43923"/>
      <c r="S43923"/>
      <c r="T43923"/>
      <c r="U43923"/>
      <c r="X43923" s="60"/>
    </row>
    <row r="43924" spans="7:24" ht="15" customHeight="1">
      <c r="G43924"/>
      <c r="I43924"/>
      <c r="N43924"/>
      <c r="O43924" s="24"/>
      <c r="P43924"/>
      <c r="Q43924" s="24"/>
      <c r="R43924"/>
      <c r="S43924"/>
      <c r="T43924"/>
      <c r="U43924"/>
      <c r="X43924" s="60"/>
    </row>
    <row r="43925" spans="7:24" ht="15" customHeight="1">
      <c r="G43925"/>
      <c r="I43925"/>
      <c r="N43925"/>
      <c r="O43925" s="24"/>
      <c r="P43925"/>
      <c r="Q43925" s="24"/>
      <c r="R43925"/>
      <c r="S43925"/>
      <c r="T43925"/>
      <c r="U43925"/>
      <c r="X43925" s="60"/>
    </row>
    <row r="43926" spans="7:24" ht="15" customHeight="1">
      <c r="G43926"/>
      <c r="I43926"/>
      <c r="N43926"/>
      <c r="O43926" s="24"/>
      <c r="P43926"/>
      <c r="Q43926" s="24"/>
      <c r="R43926"/>
      <c r="S43926"/>
      <c r="T43926"/>
      <c r="U43926"/>
      <c r="X43926" s="60"/>
    </row>
    <row r="43927" spans="7:24" ht="15" customHeight="1">
      <c r="G43927"/>
      <c r="I43927"/>
      <c r="N43927"/>
      <c r="O43927" s="24"/>
      <c r="P43927"/>
      <c r="Q43927" s="24"/>
      <c r="R43927"/>
      <c r="S43927"/>
      <c r="T43927"/>
      <c r="U43927"/>
      <c r="X43927" s="60"/>
    </row>
    <row r="43928" spans="7:24" ht="15" customHeight="1">
      <c r="G43928"/>
      <c r="I43928"/>
      <c r="N43928"/>
      <c r="O43928" s="24"/>
      <c r="P43928"/>
      <c r="Q43928" s="24"/>
      <c r="R43928"/>
      <c r="S43928"/>
      <c r="T43928"/>
      <c r="U43928"/>
      <c r="X43928" s="60"/>
    </row>
    <row r="43929" spans="7:24" ht="15" customHeight="1">
      <c r="G43929"/>
      <c r="I43929"/>
      <c r="N43929"/>
      <c r="O43929" s="24"/>
      <c r="P43929"/>
      <c r="Q43929" s="24"/>
      <c r="R43929"/>
      <c r="S43929"/>
      <c r="T43929"/>
      <c r="U43929"/>
      <c r="X43929" s="60"/>
    </row>
    <row r="43930" spans="7:24" ht="15" customHeight="1">
      <c r="G43930"/>
      <c r="I43930"/>
      <c r="N43930"/>
      <c r="O43930" s="24"/>
      <c r="P43930"/>
      <c r="Q43930" s="24"/>
      <c r="R43930"/>
      <c r="S43930"/>
      <c r="T43930"/>
      <c r="U43930"/>
      <c r="X43930" s="60"/>
    </row>
    <row r="43931" spans="7:24" ht="15" customHeight="1">
      <c r="G43931"/>
      <c r="I43931"/>
      <c r="N43931"/>
      <c r="O43931" s="24"/>
      <c r="P43931"/>
      <c r="Q43931" s="24"/>
      <c r="R43931"/>
      <c r="S43931"/>
      <c r="T43931"/>
      <c r="U43931"/>
      <c r="X43931" s="60"/>
    </row>
    <row r="43932" spans="7:24" ht="15" customHeight="1">
      <c r="G43932"/>
      <c r="I43932"/>
      <c r="N43932"/>
      <c r="O43932" s="24"/>
      <c r="P43932"/>
      <c r="Q43932" s="24"/>
      <c r="R43932"/>
      <c r="S43932"/>
      <c r="T43932"/>
      <c r="U43932"/>
      <c r="X43932" s="60"/>
    </row>
    <row r="43933" spans="7:24" ht="15" customHeight="1">
      <c r="G43933"/>
      <c r="I43933"/>
      <c r="N43933"/>
      <c r="O43933" s="24"/>
      <c r="P43933"/>
      <c r="Q43933" s="24"/>
      <c r="R43933"/>
      <c r="S43933"/>
      <c r="T43933"/>
      <c r="U43933"/>
      <c r="X43933" s="60"/>
    </row>
    <row r="43934" spans="7:24" ht="15" customHeight="1">
      <c r="G43934"/>
      <c r="I43934"/>
      <c r="N43934"/>
      <c r="O43934" s="24"/>
      <c r="P43934"/>
      <c r="Q43934" s="24"/>
      <c r="R43934"/>
      <c r="S43934"/>
      <c r="T43934"/>
      <c r="U43934"/>
      <c r="X43934" s="60"/>
    </row>
    <row r="43935" spans="7:24" ht="15" customHeight="1">
      <c r="G43935"/>
      <c r="I43935"/>
      <c r="N43935"/>
      <c r="O43935" s="24"/>
      <c r="P43935"/>
      <c r="Q43935" s="24"/>
      <c r="R43935"/>
      <c r="S43935"/>
      <c r="T43935"/>
      <c r="U43935"/>
      <c r="X43935" s="60"/>
    </row>
    <row r="43936" spans="7:24" ht="15" customHeight="1">
      <c r="G43936"/>
      <c r="I43936"/>
      <c r="N43936"/>
      <c r="O43936" s="24"/>
      <c r="P43936"/>
      <c r="Q43936" s="24"/>
      <c r="R43936"/>
      <c r="S43936"/>
      <c r="T43936"/>
      <c r="U43936"/>
      <c r="X43936" s="60"/>
    </row>
    <row r="43937" spans="7:24" ht="15" customHeight="1">
      <c r="G43937"/>
      <c r="I43937"/>
      <c r="N43937"/>
      <c r="O43937" s="24"/>
      <c r="P43937"/>
      <c r="Q43937" s="24"/>
      <c r="R43937"/>
      <c r="S43937"/>
      <c r="T43937"/>
      <c r="U43937"/>
      <c r="X43937" s="60"/>
    </row>
    <row r="43938" spans="7:24" ht="15" customHeight="1">
      <c r="G43938"/>
      <c r="I43938"/>
      <c r="N43938"/>
      <c r="O43938" s="24"/>
      <c r="P43938"/>
      <c r="Q43938" s="24"/>
      <c r="R43938"/>
      <c r="S43938"/>
      <c r="T43938"/>
      <c r="U43938"/>
      <c r="X43938" s="60"/>
    </row>
    <row r="43939" spans="7:24" ht="15" customHeight="1">
      <c r="G43939"/>
      <c r="I43939"/>
      <c r="N43939"/>
      <c r="O43939" s="24"/>
      <c r="P43939"/>
      <c r="Q43939" s="24"/>
      <c r="R43939"/>
      <c r="S43939"/>
      <c r="T43939"/>
      <c r="U43939"/>
      <c r="X43939" s="60"/>
    </row>
    <row r="43940" spans="7:24" ht="15" customHeight="1">
      <c r="G43940"/>
      <c r="I43940"/>
      <c r="N43940"/>
      <c r="O43940" s="24"/>
      <c r="P43940"/>
      <c r="Q43940" s="24"/>
      <c r="R43940"/>
      <c r="S43940"/>
      <c r="T43940"/>
      <c r="U43940"/>
      <c r="X43940" s="60"/>
    </row>
    <row r="43941" spans="7:24" ht="15" customHeight="1">
      <c r="G43941"/>
      <c r="I43941"/>
      <c r="N43941"/>
      <c r="O43941" s="24"/>
      <c r="P43941"/>
      <c r="Q43941" s="24"/>
      <c r="R43941"/>
      <c r="S43941"/>
      <c r="T43941"/>
      <c r="U43941"/>
      <c r="X43941" s="60"/>
    </row>
    <row r="43942" spans="7:24" ht="15" customHeight="1">
      <c r="G43942"/>
      <c r="I43942"/>
      <c r="N43942"/>
      <c r="O43942" s="24"/>
      <c r="P43942"/>
      <c r="Q43942" s="24"/>
      <c r="R43942"/>
      <c r="S43942"/>
      <c r="T43942"/>
      <c r="U43942"/>
      <c r="X43942" s="60"/>
    </row>
    <row r="43943" spans="7:24" ht="15" customHeight="1">
      <c r="G43943"/>
      <c r="I43943"/>
      <c r="N43943"/>
      <c r="O43943" s="24"/>
      <c r="P43943"/>
      <c r="Q43943" s="24"/>
      <c r="R43943"/>
      <c r="S43943"/>
      <c r="T43943"/>
      <c r="U43943"/>
      <c r="X43943" s="60"/>
    </row>
    <row r="43944" spans="7:24" ht="15" customHeight="1">
      <c r="G43944"/>
      <c r="I43944"/>
      <c r="N43944"/>
      <c r="O43944" s="24"/>
      <c r="P43944"/>
      <c r="Q43944" s="24"/>
      <c r="R43944"/>
      <c r="S43944"/>
      <c r="T43944"/>
      <c r="U43944"/>
      <c r="X43944" s="60"/>
    </row>
    <row r="43945" spans="7:24" ht="15" customHeight="1">
      <c r="G43945"/>
      <c r="I43945"/>
      <c r="N43945"/>
      <c r="O43945" s="24"/>
      <c r="P43945"/>
      <c r="Q43945" s="24"/>
      <c r="R43945"/>
      <c r="S43945"/>
      <c r="T43945"/>
      <c r="U43945"/>
      <c r="X43945" s="60"/>
    </row>
    <row r="43946" spans="7:24" ht="15" customHeight="1">
      <c r="G43946"/>
      <c r="I43946"/>
      <c r="N43946"/>
      <c r="O43946" s="24"/>
      <c r="P43946"/>
      <c r="Q43946" s="24"/>
      <c r="R43946"/>
      <c r="S43946"/>
      <c r="T43946"/>
      <c r="U43946"/>
      <c r="X43946" s="60"/>
    </row>
    <row r="43947" spans="7:24" ht="15" customHeight="1">
      <c r="G43947"/>
      <c r="I43947"/>
      <c r="N43947"/>
      <c r="O43947" s="24"/>
      <c r="P43947"/>
      <c r="Q43947" s="24"/>
      <c r="R43947"/>
      <c r="S43947"/>
      <c r="T43947"/>
      <c r="U43947"/>
      <c r="X43947" s="60"/>
    </row>
    <row r="43948" spans="7:24" ht="15" customHeight="1">
      <c r="G43948"/>
      <c r="I43948"/>
      <c r="N43948"/>
      <c r="O43948" s="24"/>
      <c r="P43948"/>
      <c r="Q43948" s="24"/>
      <c r="R43948"/>
      <c r="S43948"/>
      <c r="T43948"/>
      <c r="U43948"/>
      <c r="X43948" s="60"/>
    </row>
    <row r="43949" spans="7:24" ht="15" customHeight="1">
      <c r="G43949"/>
      <c r="I43949"/>
      <c r="N43949"/>
      <c r="O43949" s="24"/>
      <c r="P43949"/>
      <c r="Q43949" s="24"/>
      <c r="R43949"/>
      <c r="S43949"/>
      <c r="T43949"/>
      <c r="U43949"/>
      <c r="X43949" s="60"/>
    </row>
    <row r="43950" spans="7:24" ht="15" customHeight="1">
      <c r="G43950"/>
      <c r="I43950"/>
      <c r="N43950"/>
      <c r="O43950" s="24"/>
      <c r="P43950"/>
      <c r="Q43950" s="24"/>
      <c r="R43950"/>
      <c r="S43950"/>
      <c r="T43950"/>
      <c r="U43950"/>
      <c r="X43950" s="60"/>
    </row>
    <row r="43951" spans="7:24" ht="15" customHeight="1">
      <c r="G43951"/>
      <c r="I43951"/>
      <c r="N43951"/>
      <c r="O43951" s="24"/>
      <c r="P43951"/>
      <c r="Q43951" s="24"/>
      <c r="R43951"/>
      <c r="S43951"/>
      <c r="T43951"/>
      <c r="U43951"/>
      <c r="X43951" s="60"/>
    </row>
    <row r="43952" spans="7:24" ht="15" customHeight="1">
      <c r="G43952"/>
      <c r="I43952"/>
      <c r="N43952"/>
      <c r="O43952" s="24"/>
      <c r="P43952"/>
      <c r="Q43952" s="24"/>
      <c r="R43952"/>
      <c r="S43952"/>
      <c r="T43952"/>
      <c r="U43952"/>
      <c r="X43952" s="60"/>
    </row>
    <row r="43953" spans="7:24" ht="15" customHeight="1">
      <c r="G43953"/>
      <c r="I43953"/>
      <c r="N43953"/>
      <c r="O43953" s="24"/>
      <c r="P43953"/>
      <c r="Q43953" s="24"/>
      <c r="R43953"/>
      <c r="S43953"/>
      <c r="T43953"/>
      <c r="U43953"/>
      <c r="X43953" s="60"/>
    </row>
    <row r="43954" spans="7:24" ht="15" customHeight="1">
      <c r="G43954"/>
      <c r="I43954"/>
      <c r="N43954"/>
      <c r="O43954" s="24"/>
      <c r="P43954"/>
      <c r="Q43954" s="24"/>
      <c r="R43954"/>
      <c r="S43954"/>
      <c r="T43954"/>
      <c r="U43954"/>
      <c r="X43954" s="60"/>
    </row>
    <row r="43955" spans="7:24" ht="15" customHeight="1">
      <c r="G43955"/>
      <c r="I43955"/>
      <c r="N43955"/>
      <c r="O43955" s="24"/>
      <c r="P43955"/>
      <c r="Q43955" s="24"/>
      <c r="R43955"/>
      <c r="S43955"/>
      <c r="T43955"/>
      <c r="U43955"/>
      <c r="X43955" s="60"/>
    </row>
    <row r="43956" spans="7:24" ht="15" customHeight="1">
      <c r="G43956"/>
      <c r="I43956"/>
      <c r="N43956"/>
      <c r="O43956" s="24"/>
      <c r="P43956"/>
      <c r="Q43956" s="24"/>
      <c r="R43956"/>
      <c r="S43956"/>
      <c r="T43956"/>
      <c r="U43956"/>
      <c r="X43956" s="60"/>
    </row>
    <row r="43957" spans="7:24" ht="15" customHeight="1">
      <c r="G43957"/>
      <c r="I43957"/>
      <c r="N43957"/>
      <c r="O43957" s="24"/>
      <c r="P43957"/>
      <c r="Q43957" s="24"/>
      <c r="R43957"/>
      <c r="S43957"/>
      <c r="T43957"/>
      <c r="U43957"/>
      <c r="X43957" s="60"/>
    </row>
    <row r="43958" spans="7:24" ht="15" customHeight="1">
      <c r="G43958"/>
      <c r="I43958"/>
      <c r="N43958"/>
      <c r="O43958" s="24"/>
      <c r="P43958"/>
      <c r="Q43958" s="24"/>
      <c r="R43958"/>
      <c r="S43958"/>
      <c r="T43958"/>
      <c r="U43958"/>
      <c r="X43958" s="60"/>
    </row>
    <row r="43959" spans="7:24" ht="15" customHeight="1">
      <c r="G43959"/>
      <c r="I43959"/>
      <c r="N43959"/>
      <c r="O43959" s="24"/>
      <c r="P43959"/>
      <c r="Q43959" s="24"/>
      <c r="R43959"/>
      <c r="S43959"/>
      <c r="T43959"/>
      <c r="U43959"/>
      <c r="X43959" s="60"/>
    </row>
    <row r="43960" spans="7:24" ht="15" customHeight="1">
      <c r="G43960"/>
      <c r="I43960"/>
      <c r="N43960"/>
      <c r="O43960" s="24"/>
      <c r="P43960"/>
      <c r="Q43960" s="24"/>
      <c r="R43960"/>
      <c r="S43960"/>
      <c r="T43960"/>
      <c r="U43960"/>
      <c r="X43960" s="60"/>
    </row>
    <row r="43961" spans="7:24" ht="15" customHeight="1">
      <c r="G43961"/>
      <c r="I43961"/>
      <c r="N43961"/>
      <c r="O43961" s="24"/>
      <c r="P43961"/>
      <c r="Q43961" s="24"/>
      <c r="R43961"/>
      <c r="S43961"/>
      <c r="T43961"/>
      <c r="U43961"/>
      <c r="X43961" s="60"/>
    </row>
    <row r="43962" spans="7:24" ht="15" customHeight="1">
      <c r="G43962"/>
      <c r="I43962"/>
      <c r="N43962"/>
      <c r="O43962" s="24"/>
      <c r="P43962"/>
      <c r="Q43962" s="24"/>
      <c r="R43962"/>
      <c r="S43962"/>
      <c r="T43962"/>
      <c r="U43962"/>
      <c r="X43962" s="60"/>
    </row>
    <row r="43963" spans="7:24" ht="15" customHeight="1">
      <c r="G43963"/>
      <c r="I43963"/>
      <c r="N43963"/>
      <c r="O43963" s="24"/>
      <c r="P43963"/>
      <c r="Q43963" s="24"/>
      <c r="R43963"/>
      <c r="S43963"/>
      <c r="T43963"/>
      <c r="U43963"/>
      <c r="X43963" s="60"/>
    </row>
    <row r="43964" spans="7:24" ht="15" customHeight="1">
      <c r="G43964"/>
      <c r="I43964"/>
      <c r="N43964"/>
      <c r="O43964" s="24"/>
      <c r="P43964"/>
      <c r="Q43964" s="24"/>
      <c r="R43964"/>
      <c r="S43964"/>
      <c r="T43964"/>
      <c r="U43964"/>
      <c r="X43964" s="60"/>
    </row>
    <row r="43965" spans="7:24" ht="15" customHeight="1">
      <c r="G43965"/>
      <c r="I43965"/>
      <c r="N43965"/>
      <c r="O43965" s="24"/>
      <c r="P43965"/>
      <c r="Q43965" s="24"/>
      <c r="R43965"/>
      <c r="S43965"/>
      <c r="T43965"/>
      <c r="U43965"/>
      <c r="X43965" s="60"/>
    </row>
    <row r="43966" spans="7:24" ht="15" customHeight="1">
      <c r="G43966"/>
      <c r="I43966"/>
      <c r="N43966"/>
      <c r="O43966" s="24"/>
      <c r="P43966"/>
      <c r="Q43966" s="24"/>
      <c r="R43966"/>
      <c r="S43966"/>
      <c r="T43966"/>
      <c r="U43966"/>
      <c r="X43966" s="60"/>
    </row>
    <row r="43967" spans="7:24" ht="15" customHeight="1">
      <c r="G43967"/>
      <c r="I43967"/>
      <c r="N43967"/>
      <c r="O43967" s="24"/>
      <c r="P43967"/>
      <c r="Q43967" s="24"/>
      <c r="R43967"/>
      <c r="S43967"/>
      <c r="T43967"/>
      <c r="U43967"/>
      <c r="X43967" s="60"/>
    </row>
    <row r="43968" spans="7:24" ht="15" customHeight="1">
      <c r="G43968"/>
      <c r="I43968"/>
      <c r="N43968"/>
      <c r="O43968" s="24"/>
      <c r="P43968"/>
      <c r="Q43968" s="24"/>
      <c r="R43968"/>
      <c r="S43968"/>
      <c r="T43968"/>
      <c r="U43968"/>
      <c r="X43968" s="60"/>
    </row>
    <row r="43969" spans="7:24" ht="15" customHeight="1">
      <c r="G43969"/>
      <c r="I43969"/>
      <c r="N43969"/>
      <c r="O43969" s="24"/>
      <c r="P43969"/>
      <c r="Q43969" s="24"/>
      <c r="R43969"/>
      <c r="S43969"/>
      <c r="T43969"/>
      <c r="U43969"/>
      <c r="X43969" s="60"/>
    </row>
    <row r="43970" spans="7:24" ht="15" customHeight="1">
      <c r="G43970"/>
      <c r="I43970"/>
      <c r="N43970"/>
      <c r="O43970" s="24"/>
      <c r="P43970"/>
      <c r="Q43970" s="24"/>
      <c r="R43970"/>
      <c r="S43970"/>
      <c r="T43970"/>
      <c r="U43970"/>
      <c r="X43970" s="60"/>
    </row>
    <row r="43971" spans="7:24" ht="15" customHeight="1">
      <c r="G43971"/>
      <c r="I43971"/>
      <c r="N43971"/>
      <c r="O43971" s="24"/>
      <c r="P43971"/>
      <c r="Q43971" s="24"/>
      <c r="R43971"/>
      <c r="S43971"/>
      <c r="T43971"/>
      <c r="U43971"/>
      <c r="X43971" s="60"/>
    </row>
    <row r="43972" spans="7:24" ht="15" customHeight="1">
      <c r="G43972"/>
      <c r="I43972"/>
      <c r="N43972"/>
      <c r="O43972" s="24"/>
      <c r="P43972"/>
      <c r="Q43972" s="24"/>
      <c r="R43972"/>
      <c r="S43972"/>
      <c r="T43972"/>
      <c r="U43972"/>
      <c r="X43972" s="60"/>
    </row>
    <row r="43973" spans="7:24" ht="15" customHeight="1">
      <c r="G43973"/>
      <c r="I43973"/>
      <c r="N43973"/>
      <c r="O43973" s="24"/>
      <c r="P43973"/>
      <c r="Q43973" s="24"/>
      <c r="R43973"/>
      <c r="S43973"/>
      <c r="T43973"/>
      <c r="U43973"/>
      <c r="X43973" s="60"/>
    </row>
    <row r="43974" spans="7:24" ht="15" customHeight="1">
      <c r="G43974"/>
      <c r="I43974"/>
      <c r="N43974"/>
      <c r="O43974" s="24"/>
      <c r="P43974"/>
      <c r="Q43974" s="24"/>
      <c r="R43974"/>
      <c r="S43974"/>
      <c r="T43974"/>
      <c r="U43974"/>
      <c r="X43974" s="60"/>
    </row>
    <row r="43975" spans="7:24" ht="15" customHeight="1">
      <c r="G43975"/>
      <c r="I43975"/>
      <c r="N43975"/>
      <c r="O43975" s="24"/>
      <c r="P43975"/>
      <c r="Q43975" s="24"/>
      <c r="R43975"/>
      <c r="S43975"/>
      <c r="T43975"/>
      <c r="U43975"/>
      <c r="X43975" s="60"/>
    </row>
    <row r="43976" spans="7:24" ht="15" customHeight="1">
      <c r="G43976"/>
      <c r="I43976"/>
      <c r="N43976"/>
      <c r="O43976" s="24"/>
      <c r="P43976"/>
      <c r="Q43976" s="24"/>
      <c r="R43976"/>
      <c r="S43976"/>
      <c r="T43976"/>
      <c r="U43976"/>
      <c r="X43976" s="60"/>
    </row>
    <row r="43977" spans="7:24" ht="15" customHeight="1">
      <c r="G43977"/>
      <c r="I43977"/>
      <c r="N43977"/>
      <c r="O43977" s="24"/>
      <c r="P43977"/>
      <c r="Q43977" s="24"/>
      <c r="R43977"/>
      <c r="S43977"/>
      <c r="T43977"/>
      <c r="U43977"/>
      <c r="X43977" s="60"/>
    </row>
    <row r="43978" spans="7:24" ht="15" customHeight="1">
      <c r="G43978"/>
      <c r="I43978"/>
      <c r="N43978"/>
      <c r="O43978" s="24"/>
      <c r="P43978"/>
      <c r="Q43978" s="24"/>
      <c r="R43978"/>
      <c r="S43978"/>
      <c r="T43978"/>
      <c r="U43978"/>
      <c r="X43978" s="60"/>
    </row>
    <row r="43979" spans="7:24" ht="15" customHeight="1">
      <c r="G43979"/>
      <c r="I43979"/>
      <c r="N43979"/>
      <c r="O43979" s="24"/>
      <c r="P43979"/>
      <c r="Q43979" s="24"/>
      <c r="R43979"/>
      <c r="S43979"/>
      <c r="T43979"/>
      <c r="U43979"/>
      <c r="X43979" s="60"/>
    </row>
    <row r="43980" spans="7:24" ht="15" customHeight="1">
      <c r="G43980"/>
      <c r="I43980"/>
      <c r="N43980"/>
      <c r="O43980" s="24"/>
      <c r="P43980"/>
      <c r="Q43980" s="24"/>
      <c r="R43980"/>
      <c r="S43980"/>
      <c r="T43980"/>
      <c r="U43980"/>
      <c r="X43980" s="60"/>
    </row>
    <row r="43981" spans="7:24" ht="15" customHeight="1">
      <c r="G43981"/>
      <c r="I43981"/>
      <c r="N43981"/>
      <c r="O43981" s="24"/>
      <c r="P43981"/>
      <c r="Q43981" s="24"/>
      <c r="R43981"/>
      <c r="S43981"/>
      <c r="T43981"/>
      <c r="U43981"/>
      <c r="X43981" s="60"/>
    </row>
    <row r="43982" spans="7:24" ht="15" customHeight="1">
      <c r="G43982"/>
      <c r="I43982"/>
      <c r="N43982"/>
      <c r="O43982" s="24"/>
      <c r="P43982"/>
      <c r="Q43982" s="24"/>
      <c r="R43982"/>
      <c r="S43982"/>
      <c r="T43982"/>
      <c r="U43982"/>
      <c r="X43982" s="60"/>
    </row>
    <row r="43983" spans="7:24" ht="15" customHeight="1">
      <c r="G43983"/>
      <c r="I43983"/>
      <c r="N43983"/>
      <c r="O43983" s="24"/>
      <c r="P43983"/>
      <c r="Q43983" s="24"/>
      <c r="R43983"/>
      <c r="S43983"/>
      <c r="T43983"/>
      <c r="U43983"/>
      <c r="X43983" s="60"/>
    </row>
    <row r="43984" spans="7:24" ht="15" customHeight="1">
      <c r="G43984"/>
      <c r="I43984"/>
      <c r="N43984"/>
      <c r="O43984" s="24"/>
      <c r="P43984"/>
      <c r="Q43984" s="24"/>
      <c r="R43984"/>
      <c r="S43984"/>
      <c r="T43984"/>
      <c r="U43984"/>
      <c r="X43984" s="60"/>
    </row>
    <row r="43985" spans="7:24" ht="15" customHeight="1">
      <c r="G43985"/>
      <c r="I43985"/>
      <c r="N43985"/>
      <c r="O43985" s="24"/>
      <c r="P43985"/>
      <c r="Q43985" s="24"/>
      <c r="R43985"/>
      <c r="S43985"/>
      <c r="T43985"/>
      <c r="U43985"/>
      <c r="X43985" s="60"/>
    </row>
    <row r="43986" spans="7:24" ht="15" customHeight="1">
      <c r="G43986"/>
      <c r="I43986"/>
      <c r="N43986"/>
      <c r="O43986" s="24"/>
      <c r="P43986"/>
      <c r="Q43986" s="24"/>
      <c r="R43986"/>
      <c r="S43986"/>
      <c r="T43986"/>
      <c r="U43986"/>
      <c r="X43986" s="60"/>
    </row>
    <row r="43987" spans="7:24" ht="15" customHeight="1">
      <c r="G43987"/>
      <c r="I43987"/>
      <c r="N43987"/>
      <c r="O43987" s="24"/>
      <c r="P43987"/>
      <c r="Q43987" s="24"/>
      <c r="R43987"/>
      <c r="S43987"/>
      <c r="T43987"/>
      <c r="U43987"/>
      <c r="X43987" s="60"/>
    </row>
    <row r="43988" spans="7:24" ht="15" customHeight="1">
      <c r="G43988"/>
      <c r="I43988"/>
      <c r="N43988"/>
      <c r="O43988" s="24"/>
      <c r="P43988"/>
      <c r="Q43988" s="24"/>
      <c r="R43988"/>
      <c r="S43988"/>
      <c r="T43988"/>
      <c r="U43988"/>
      <c r="X43988" s="60"/>
    </row>
    <row r="43989" spans="7:24" ht="15" customHeight="1">
      <c r="G43989"/>
      <c r="I43989"/>
      <c r="N43989"/>
      <c r="O43989" s="24"/>
      <c r="P43989"/>
      <c r="Q43989" s="24"/>
      <c r="R43989"/>
      <c r="S43989"/>
      <c r="T43989"/>
      <c r="U43989"/>
      <c r="X43989" s="60"/>
    </row>
    <row r="43990" spans="7:24" ht="15" customHeight="1">
      <c r="G43990"/>
      <c r="I43990"/>
      <c r="N43990"/>
      <c r="O43990" s="24"/>
      <c r="P43990"/>
      <c r="Q43990" s="24"/>
      <c r="R43990"/>
      <c r="S43990"/>
      <c r="T43990"/>
      <c r="U43990"/>
      <c r="X43990" s="60"/>
    </row>
    <row r="43991" spans="7:24" ht="15" customHeight="1">
      <c r="G43991"/>
      <c r="I43991"/>
      <c r="N43991"/>
      <c r="O43991" s="24"/>
      <c r="P43991"/>
      <c r="Q43991" s="24"/>
      <c r="R43991"/>
      <c r="S43991"/>
      <c r="T43991"/>
      <c r="U43991"/>
      <c r="X43991" s="60"/>
    </row>
    <row r="43992" spans="7:24" ht="15" customHeight="1">
      <c r="G43992"/>
      <c r="I43992"/>
      <c r="N43992"/>
      <c r="O43992" s="24"/>
      <c r="P43992"/>
      <c r="Q43992" s="24"/>
      <c r="R43992"/>
      <c r="S43992"/>
      <c r="T43992"/>
      <c r="U43992"/>
      <c r="X43992" s="60"/>
    </row>
    <row r="43993" spans="7:24" ht="15" customHeight="1">
      <c r="G43993"/>
      <c r="I43993"/>
      <c r="N43993"/>
      <c r="O43993" s="24"/>
      <c r="P43993"/>
      <c r="Q43993" s="24"/>
      <c r="R43993"/>
      <c r="S43993"/>
      <c r="T43993"/>
      <c r="U43993"/>
      <c r="X43993" s="60"/>
    </row>
    <row r="43994" spans="7:24" ht="15" customHeight="1">
      <c r="G43994"/>
      <c r="I43994"/>
      <c r="N43994"/>
      <c r="O43994" s="24"/>
      <c r="P43994"/>
      <c r="Q43994" s="24"/>
      <c r="R43994"/>
      <c r="S43994"/>
      <c r="T43994"/>
      <c r="U43994"/>
      <c r="X43994" s="60"/>
    </row>
    <row r="43995" spans="7:24" ht="15" customHeight="1">
      <c r="G43995"/>
      <c r="I43995"/>
      <c r="N43995"/>
      <c r="O43995" s="24"/>
      <c r="P43995"/>
      <c r="Q43995" s="24"/>
      <c r="R43995"/>
      <c r="S43995"/>
      <c r="T43995"/>
      <c r="U43995"/>
      <c r="X43995" s="60"/>
    </row>
    <row r="43996" spans="7:24" ht="15" customHeight="1">
      <c r="G43996"/>
      <c r="I43996"/>
      <c r="N43996"/>
      <c r="O43996" s="24"/>
      <c r="P43996"/>
      <c r="Q43996" s="24"/>
      <c r="R43996"/>
      <c r="S43996"/>
      <c r="T43996"/>
      <c r="U43996"/>
      <c r="X43996" s="60"/>
    </row>
    <row r="43997" spans="7:24" ht="15" customHeight="1">
      <c r="G43997"/>
      <c r="I43997"/>
      <c r="N43997"/>
      <c r="O43997" s="24"/>
      <c r="P43997"/>
      <c r="Q43997" s="24"/>
      <c r="R43997"/>
      <c r="S43997"/>
      <c r="T43997"/>
      <c r="U43997"/>
      <c r="X43997" s="60"/>
    </row>
    <row r="43998" spans="7:24" ht="15" customHeight="1">
      <c r="G43998"/>
      <c r="I43998"/>
      <c r="N43998"/>
      <c r="O43998" s="24"/>
      <c r="P43998"/>
      <c r="Q43998" s="24"/>
      <c r="R43998"/>
      <c r="S43998"/>
      <c r="T43998"/>
      <c r="U43998"/>
      <c r="X43998" s="60"/>
    </row>
    <row r="43999" spans="7:24" ht="15" customHeight="1">
      <c r="G43999"/>
      <c r="I43999"/>
      <c r="N43999"/>
      <c r="O43999" s="24"/>
      <c r="P43999"/>
      <c r="Q43999" s="24"/>
      <c r="R43999"/>
      <c r="S43999"/>
      <c r="T43999"/>
      <c r="U43999"/>
      <c r="X43999" s="60"/>
    </row>
    <row r="44000" spans="7:24" ht="15" customHeight="1">
      <c r="G44000"/>
      <c r="I44000"/>
      <c r="N44000"/>
      <c r="O44000" s="24"/>
      <c r="P44000"/>
      <c r="Q44000" s="24"/>
      <c r="R44000"/>
      <c r="S44000"/>
      <c r="T44000"/>
      <c r="U44000"/>
      <c r="X44000" s="60"/>
    </row>
    <row r="44001" spans="7:24" ht="15" customHeight="1">
      <c r="G44001"/>
      <c r="I44001"/>
      <c r="N44001"/>
      <c r="O44001" s="24"/>
      <c r="P44001"/>
      <c r="Q44001" s="24"/>
      <c r="R44001"/>
      <c r="S44001"/>
      <c r="T44001"/>
      <c r="U44001"/>
      <c r="X44001" s="60"/>
    </row>
    <row r="44002" spans="7:24" ht="15" customHeight="1">
      <c r="G44002"/>
      <c r="I44002"/>
      <c r="N44002"/>
      <c r="O44002" s="24"/>
      <c r="P44002"/>
      <c r="Q44002" s="24"/>
      <c r="R44002"/>
      <c r="S44002"/>
      <c r="T44002"/>
      <c r="U44002"/>
      <c r="X44002" s="60"/>
    </row>
    <row r="44003" spans="7:24" ht="15" customHeight="1">
      <c r="G44003"/>
      <c r="I44003"/>
      <c r="N44003"/>
      <c r="O44003" s="24"/>
      <c r="P44003"/>
      <c r="Q44003" s="24"/>
      <c r="R44003"/>
      <c r="S44003"/>
      <c r="T44003"/>
      <c r="U44003"/>
      <c r="X44003" s="60"/>
    </row>
    <row r="44004" spans="7:24" ht="15" customHeight="1">
      <c r="G44004"/>
      <c r="I44004"/>
      <c r="N44004"/>
      <c r="O44004" s="24"/>
      <c r="P44004"/>
      <c r="Q44004" s="24"/>
      <c r="R44004"/>
      <c r="S44004"/>
      <c r="T44004"/>
      <c r="U44004"/>
      <c r="X44004" s="60"/>
    </row>
    <row r="44005" spans="7:24" ht="15" customHeight="1">
      <c r="G44005"/>
      <c r="I44005"/>
      <c r="N44005"/>
      <c r="O44005" s="24"/>
      <c r="P44005"/>
      <c r="Q44005" s="24"/>
      <c r="R44005"/>
      <c r="S44005"/>
      <c r="T44005"/>
      <c r="U44005"/>
      <c r="X44005" s="60"/>
    </row>
    <row r="44006" spans="7:24" ht="15" customHeight="1">
      <c r="G44006"/>
      <c r="I44006"/>
      <c r="N44006"/>
      <c r="O44006" s="24"/>
      <c r="P44006"/>
      <c r="Q44006" s="24"/>
      <c r="R44006"/>
      <c r="S44006"/>
      <c r="T44006"/>
      <c r="U44006"/>
      <c r="X44006" s="60"/>
    </row>
    <row r="44007" spans="7:24" ht="15" customHeight="1">
      <c r="G44007"/>
      <c r="I44007"/>
      <c r="N44007"/>
      <c r="O44007" s="24"/>
      <c r="P44007"/>
      <c r="Q44007" s="24"/>
      <c r="R44007"/>
      <c r="S44007"/>
      <c r="T44007"/>
      <c r="U44007"/>
      <c r="X44007" s="60"/>
    </row>
    <row r="44008" spans="7:24" ht="15" customHeight="1">
      <c r="G44008"/>
      <c r="I44008"/>
      <c r="N44008"/>
      <c r="O44008" s="24"/>
      <c r="P44008"/>
      <c r="Q44008" s="24"/>
      <c r="R44008"/>
      <c r="S44008"/>
      <c r="T44008"/>
      <c r="U44008"/>
      <c r="X44008" s="60"/>
    </row>
    <row r="44009" spans="7:24" ht="15" customHeight="1">
      <c r="G44009"/>
      <c r="I44009"/>
      <c r="N44009"/>
      <c r="O44009" s="24"/>
      <c r="P44009"/>
      <c r="Q44009" s="24"/>
      <c r="R44009"/>
      <c r="S44009"/>
      <c r="T44009"/>
      <c r="U44009"/>
      <c r="X44009" s="60"/>
    </row>
    <row r="44010" spans="7:24" ht="15" customHeight="1">
      <c r="G44010"/>
      <c r="I44010"/>
      <c r="N44010"/>
      <c r="O44010" s="24"/>
      <c r="P44010"/>
      <c r="Q44010" s="24"/>
      <c r="R44010"/>
      <c r="S44010"/>
      <c r="T44010"/>
      <c r="U44010"/>
      <c r="X44010" s="60"/>
    </row>
    <row r="44011" spans="7:24" ht="15" customHeight="1">
      <c r="G44011"/>
      <c r="I44011"/>
      <c r="N44011"/>
      <c r="O44011" s="24"/>
      <c r="P44011"/>
      <c r="Q44011" s="24"/>
      <c r="R44011"/>
      <c r="S44011"/>
      <c r="T44011"/>
      <c r="U44011"/>
      <c r="X44011" s="60"/>
    </row>
    <row r="44012" spans="7:24" ht="15" customHeight="1">
      <c r="G44012"/>
      <c r="I44012"/>
      <c r="N44012"/>
      <c r="O44012" s="24"/>
      <c r="P44012"/>
      <c r="Q44012" s="24"/>
      <c r="R44012"/>
      <c r="S44012"/>
      <c r="T44012"/>
      <c r="U44012"/>
      <c r="X44012" s="60"/>
    </row>
    <row r="44013" spans="7:24" ht="15" customHeight="1">
      <c r="G44013"/>
      <c r="I44013"/>
      <c r="N44013"/>
      <c r="O44013" s="24"/>
      <c r="P44013"/>
      <c r="Q44013" s="24"/>
      <c r="R44013"/>
      <c r="S44013"/>
      <c r="T44013"/>
      <c r="U44013"/>
      <c r="X44013" s="60"/>
    </row>
    <row r="44014" spans="7:24" ht="15" customHeight="1">
      <c r="G44014"/>
      <c r="I44014"/>
      <c r="N44014"/>
      <c r="O44014" s="24"/>
      <c r="P44014"/>
      <c r="Q44014" s="24"/>
      <c r="R44014"/>
      <c r="S44014"/>
      <c r="T44014"/>
      <c r="U44014"/>
      <c r="X44014" s="60"/>
    </row>
    <row r="44015" spans="7:24" ht="15" customHeight="1">
      <c r="G44015"/>
      <c r="I44015"/>
      <c r="N44015"/>
      <c r="O44015" s="24"/>
      <c r="P44015"/>
      <c r="Q44015" s="24"/>
      <c r="R44015"/>
      <c r="S44015"/>
      <c r="T44015"/>
      <c r="U44015"/>
      <c r="X44015" s="60"/>
    </row>
    <row r="44016" spans="7:24" ht="15" customHeight="1">
      <c r="G44016"/>
      <c r="I44016"/>
      <c r="N44016"/>
      <c r="O44016" s="24"/>
      <c r="P44016"/>
      <c r="Q44016" s="24"/>
      <c r="R44016"/>
      <c r="S44016"/>
      <c r="T44016"/>
      <c r="U44016"/>
      <c r="X44016" s="60"/>
    </row>
    <row r="44017" spans="7:24" ht="15" customHeight="1">
      <c r="G44017"/>
      <c r="I44017"/>
      <c r="N44017"/>
      <c r="O44017" s="24"/>
      <c r="P44017"/>
      <c r="Q44017" s="24"/>
      <c r="R44017"/>
      <c r="S44017"/>
      <c r="T44017"/>
      <c r="U44017"/>
      <c r="X44017" s="60"/>
    </row>
    <row r="44018" spans="7:24" ht="15" customHeight="1">
      <c r="G44018"/>
      <c r="I44018"/>
      <c r="N44018"/>
      <c r="O44018" s="24"/>
      <c r="P44018"/>
      <c r="Q44018" s="24"/>
      <c r="R44018"/>
      <c r="S44018"/>
      <c r="T44018"/>
      <c r="U44018"/>
      <c r="X44018" s="60"/>
    </row>
    <row r="44019" spans="7:24" ht="15" customHeight="1">
      <c r="G44019"/>
      <c r="I44019"/>
      <c r="N44019"/>
      <c r="O44019" s="24"/>
      <c r="P44019"/>
      <c r="Q44019" s="24"/>
      <c r="R44019"/>
      <c r="S44019"/>
      <c r="T44019"/>
      <c r="U44019"/>
      <c r="X44019" s="60"/>
    </row>
    <row r="44020" spans="7:24" ht="15" customHeight="1">
      <c r="G44020"/>
      <c r="I44020"/>
      <c r="N44020"/>
      <c r="O44020" s="24"/>
      <c r="P44020"/>
      <c r="Q44020" s="24"/>
      <c r="R44020"/>
      <c r="S44020"/>
      <c r="T44020"/>
      <c r="U44020"/>
      <c r="X44020" s="60"/>
    </row>
    <row r="44021" spans="7:24" ht="15" customHeight="1">
      <c r="G44021"/>
      <c r="I44021"/>
      <c r="N44021"/>
      <c r="O44021" s="24"/>
      <c r="P44021"/>
      <c r="Q44021" s="24"/>
      <c r="R44021"/>
      <c r="S44021"/>
      <c r="T44021"/>
      <c r="U44021"/>
      <c r="X44021" s="60"/>
    </row>
    <row r="44022" spans="7:24" ht="15" customHeight="1">
      <c r="G44022"/>
      <c r="I44022"/>
      <c r="N44022"/>
      <c r="O44022" s="24"/>
      <c r="P44022"/>
      <c r="Q44022" s="24"/>
      <c r="R44022"/>
      <c r="S44022"/>
      <c r="T44022"/>
      <c r="U44022"/>
      <c r="X44022" s="60"/>
    </row>
    <row r="44023" spans="7:24" ht="15" customHeight="1">
      <c r="G44023"/>
      <c r="I44023"/>
      <c r="N44023"/>
      <c r="O44023" s="24"/>
      <c r="P44023"/>
      <c r="Q44023" s="24"/>
      <c r="R44023"/>
      <c r="S44023"/>
      <c r="T44023"/>
      <c r="U44023"/>
      <c r="X44023" s="60"/>
    </row>
    <row r="44024" spans="7:24" ht="15" customHeight="1">
      <c r="G44024"/>
      <c r="I44024"/>
      <c r="N44024"/>
      <c r="O44024" s="24"/>
      <c r="P44024"/>
      <c r="Q44024" s="24"/>
      <c r="R44024"/>
      <c r="S44024"/>
      <c r="T44024"/>
      <c r="U44024"/>
      <c r="X44024" s="60"/>
    </row>
    <row r="44025" spans="7:24" ht="15" customHeight="1">
      <c r="G44025"/>
      <c r="I44025"/>
      <c r="N44025"/>
      <c r="O44025" s="24"/>
      <c r="P44025"/>
      <c r="Q44025" s="24"/>
      <c r="R44025"/>
      <c r="S44025"/>
      <c r="T44025"/>
      <c r="U44025"/>
      <c r="X44025" s="60"/>
    </row>
    <row r="44026" spans="7:24" ht="15" customHeight="1">
      <c r="G44026"/>
      <c r="I44026"/>
      <c r="N44026"/>
      <c r="O44026" s="24"/>
      <c r="P44026"/>
      <c r="Q44026" s="24"/>
      <c r="R44026"/>
      <c r="S44026"/>
      <c r="T44026"/>
      <c r="U44026"/>
      <c r="X44026" s="60"/>
    </row>
    <row r="44027" spans="7:24" ht="15" customHeight="1">
      <c r="G44027"/>
      <c r="I44027"/>
      <c r="N44027"/>
      <c r="O44027" s="24"/>
      <c r="P44027"/>
      <c r="Q44027" s="24"/>
      <c r="R44027"/>
      <c r="S44027"/>
      <c r="T44027"/>
      <c r="U44027"/>
      <c r="X44027" s="60"/>
    </row>
    <row r="44028" spans="7:24" ht="15" customHeight="1">
      <c r="G44028"/>
      <c r="I44028"/>
      <c r="N44028"/>
      <c r="O44028" s="24"/>
      <c r="P44028"/>
      <c r="Q44028" s="24"/>
      <c r="R44028"/>
      <c r="S44028"/>
      <c r="T44028"/>
      <c r="U44028"/>
      <c r="X44028" s="60"/>
    </row>
    <row r="44029" spans="7:24" ht="15" customHeight="1">
      <c r="G44029"/>
      <c r="I44029"/>
      <c r="N44029"/>
      <c r="O44029" s="24"/>
      <c r="P44029"/>
      <c r="Q44029" s="24"/>
      <c r="R44029"/>
      <c r="S44029"/>
      <c r="T44029"/>
      <c r="U44029"/>
      <c r="X44029" s="60"/>
    </row>
    <row r="44030" spans="7:24" ht="15" customHeight="1">
      <c r="G44030"/>
      <c r="I44030"/>
      <c r="N44030"/>
      <c r="O44030" s="24"/>
      <c r="P44030"/>
      <c r="Q44030" s="24"/>
      <c r="R44030"/>
      <c r="S44030"/>
      <c r="T44030"/>
      <c r="U44030"/>
      <c r="X44030" s="60"/>
    </row>
    <row r="44031" spans="7:24" ht="15" customHeight="1">
      <c r="G44031"/>
      <c r="I44031"/>
      <c r="N44031"/>
      <c r="O44031" s="24"/>
      <c r="P44031"/>
      <c r="Q44031" s="24"/>
      <c r="R44031"/>
      <c r="S44031"/>
      <c r="T44031"/>
      <c r="U44031"/>
      <c r="X44031" s="60"/>
    </row>
    <row r="44032" spans="7:24" ht="15" customHeight="1">
      <c r="G44032"/>
      <c r="I44032"/>
      <c r="N44032"/>
      <c r="O44032" s="24"/>
      <c r="P44032"/>
      <c r="Q44032" s="24"/>
      <c r="R44032"/>
      <c r="S44032"/>
      <c r="T44032"/>
      <c r="U44032"/>
      <c r="X44032" s="60"/>
    </row>
    <row r="44033" spans="7:24" ht="15" customHeight="1">
      <c r="G44033"/>
      <c r="I44033"/>
      <c r="N44033"/>
      <c r="O44033" s="24"/>
      <c r="P44033"/>
      <c r="Q44033" s="24"/>
      <c r="R44033"/>
      <c r="S44033"/>
      <c r="T44033"/>
      <c r="U44033"/>
      <c r="X44033" s="60"/>
    </row>
    <row r="44034" spans="7:24" ht="15" customHeight="1">
      <c r="G44034"/>
      <c r="I44034"/>
      <c r="N44034"/>
      <c r="O44034" s="24"/>
      <c r="P44034"/>
      <c r="Q44034" s="24"/>
      <c r="R44034"/>
      <c r="S44034"/>
      <c r="T44034"/>
      <c r="U44034"/>
      <c r="X44034" s="60"/>
    </row>
    <row r="44035" spans="7:24" ht="15" customHeight="1">
      <c r="G44035"/>
      <c r="I44035"/>
      <c r="N44035"/>
      <c r="O44035" s="24"/>
      <c r="P44035"/>
      <c r="Q44035" s="24"/>
      <c r="R44035"/>
      <c r="S44035"/>
      <c r="T44035"/>
      <c r="U44035"/>
      <c r="X44035" s="60"/>
    </row>
    <row r="44036" spans="7:24" ht="15" customHeight="1">
      <c r="G44036"/>
      <c r="I44036"/>
      <c r="N44036"/>
      <c r="O44036" s="24"/>
      <c r="P44036"/>
      <c r="Q44036" s="24"/>
      <c r="R44036"/>
      <c r="S44036"/>
      <c r="T44036"/>
      <c r="U44036"/>
      <c r="X44036" s="60"/>
    </row>
    <row r="44037" spans="7:24" ht="15" customHeight="1">
      <c r="G44037"/>
      <c r="I44037"/>
      <c r="N44037"/>
      <c r="O44037" s="24"/>
      <c r="P44037"/>
      <c r="Q44037" s="24"/>
      <c r="R44037"/>
      <c r="S44037"/>
      <c r="T44037"/>
      <c r="U44037"/>
      <c r="X44037" s="60"/>
    </row>
    <row r="44038" spans="7:24" ht="15" customHeight="1">
      <c r="G44038"/>
      <c r="I44038"/>
      <c r="N44038"/>
      <c r="O44038" s="24"/>
      <c r="P44038"/>
      <c r="Q44038" s="24"/>
      <c r="R44038"/>
      <c r="S44038"/>
      <c r="T44038"/>
      <c r="U44038"/>
      <c r="X44038" s="60"/>
    </row>
    <row r="44039" spans="7:24" ht="15" customHeight="1">
      <c r="G44039"/>
      <c r="I44039"/>
      <c r="N44039"/>
      <c r="O44039" s="24"/>
      <c r="P44039"/>
      <c r="Q44039" s="24"/>
      <c r="R44039"/>
      <c r="S44039"/>
      <c r="T44039"/>
      <c r="U44039"/>
      <c r="X44039" s="60"/>
    </row>
    <row r="44040" spans="7:24" ht="15" customHeight="1">
      <c r="G44040"/>
      <c r="I44040"/>
      <c r="N44040"/>
      <c r="O44040" s="24"/>
      <c r="P44040"/>
      <c r="Q44040" s="24"/>
      <c r="R44040"/>
      <c r="S44040"/>
      <c r="T44040"/>
      <c r="U44040"/>
      <c r="X44040" s="60"/>
    </row>
    <row r="44041" spans="7:24" ht="15" customHeight="1">
      <c r="G44041"/>
      <c r="I44041"/>
      <c r="N44041"/>
      <c r="O44041" s="24"/>
      <c r="P44041"/>
      <c r="Q44041" s="24"/>
      <c r="R44041"/>
      <c r="S44041"/>
      <c r="T44041"/>
      <c r="U44041"/>
      <c r="X44041" s="60"/>
    </row>
    <row r="44042" spans="7:24" ht="15" customHeight="1">
      <c r="G44042"/>
      <c r="I44042"/>
      <c r="N44042"/>
      <c r="O44042" s="24"/>
      <c r="P44042"/>
      <c r="Q44042" s="24"/>
      <c r="R44042"/>
      <c r="S44042"/>
      <c r="T44042"/>
      <c r="U44042"/>
      <c r="X44042" s="60"/>
    </row>
    <row r="44043" spans="7:24" ht="15" customHeight="1">
      <c r="G44043"/>
      <c r="I44043"/>
      <c r="N44043"/>
      <c r="O44043" s="24"/>
      <c r="P44043"/>
      <c r="Q44043" s="24"/>
      <c r="R44043"/>
      <c r="S44043"/>
      <c r="T44043"/>
      <c r="U44043"/>
      <c r="X44043" s="60"/>
    </row>
    <row r="44044" spans="7:24" ht="15" customHeight="1">
      <c r="G44044"/>
      <c r="I44044"/>
      <c r="N44044"/>
      <c r="O44044" s="24"/>
      <c r="P44044"/>
      <c r="Q44044" s="24"/>
      <c r="R44044"/>
      <c r="S44044"/>
      <c r="T44044"/>
      <c r="U44044"/>
      <c r="X44044" s="60"/>
    </row>
    <row r="44045" spans="7:24" ht="15" customHeight="1">
      <c r="G44045"/>
      <c r="I44045"/>
      <c r="N44045"/>
      <c r="O44045" s="24"/>
      <c r="P44045"/>
      <c r="Q44045" s="24"/>
      <c r="R44045"/>
      <c r="S44045"/>
      <c r="T44045"/>
      <c r="U44045"/>
      <c r="X44045" s="60"/>
    </row>
    <row r="44046" spans="7:24" ht="15" customHeight="1">
      <c r="G44046"/>
      <c r="I44046"/>
      <c r="N44046"/>
      <c r="O44046" s="24"/>
      <c r="P44046"/>
      <c r="Q44046" s="24"/>
      <c r="R44046"/>
      <c r="S44046"/>
      <c r="T44046"/>
      <c r="U44046"/>
      <c r="X44046" s="60"/>
    </row>
    <row r="44047" spans="7:24" ht="15" customHeight="1">
      <c r="G44047"/>
      <c r="I44047"/>
      <c r="N44047"/>
      <c r="O44047" s="24"/>
      <c r="P44047"/>
      <c r="Q44047" s="24"/>
      <c r="R44047"/>
      <c r="S44047"/>
      <c r="T44047"/>
      <c r="U44047"/>
      <c r="X44047" s="60"/>
    </row>
    <row r="44048" spans="7:24" ht="15" customHeight="1">
      <c r="G44048"/>
      <c r="I44048"/>
      <c r="N44048"/>
      <c r="O44048" s="24"/>
      <c r="P44048"/>
      <c r="Q44048" s="24"/>
      <c r="R44048"/>
      <c r="S44048"/>
      <c r="T44048"/>
      <c r="U44048"/>
      <c r="X44048" s="60"/>
    </row>
    <row r="44049" spans="7:24" ht="15" customHeight="1">
      <c r="G44049"/>
      <c r="I44049"/>
      <c r="N44049"/>
      <c r="O44049" s="24"/>
      <c r="P44049"/>
      <c r="Q44049" s="24"/>
      <c r="R44049"/>
      <c r="S44049"/>
      <c r="T44049"/>
      <c r="U44049"/>
      <c r="X44049" s="60"/>
    </row>
    <row r="44050" spans="7:24" ht="15" customHeight="1">
      <c r="G44050"/>
      <c r="I44050"/>
      <c r="N44050"/>
      <c r="O44050" s="24"/>
      <c r="P44050"/>
      <c r="Q44050" s="24"/>
      <c r="R44050"/>
      <c r="S44050"/>
      <c r="T44050"/>
      <c r="U44050"/>
      <c r="X44050" s="60"/>
    </row>
    <row r="44051" spans="7:24" ht="15" customHeight="1">
      <c r="G44051"/>
      <c r="I44051"/>
      <c r="N44051"/>
      <c r="O44051" s="24"/>
      <c r="P44051"/>
      <c r="Q44051" s="24"/>
      <c r="R44051"/>
      <c r="S44051"/>
      <c r="T44051"/>
      <c r="U44051"/>
      <c r="X44051" s="60"/>
    </row>
    <row r="44052" spans="7:24" ht="15" customHeight="1">
      <c r="G44052"/>
      <c r="I44052"/>
      <c r="N44052"/>
      <c r="O44052" s="24"/>
      <c r="P44052"/>
      <c r="Q44052" s="24"/>
      <c r="R44052"/>
      <c r="S44052"/>
      <c r="T44052"/>
      <c r="U44052"/>
      <c r="X44052" s="60"/>
    </row>
    <row r="44053" spans="7:24" ht="15" customHeight="1">
      <c r="G44053"/>
      <c r="I44053"/>
      <c r="N44053"/>
      <c r="O44053" s="24"/>
      <c r="P44053"/>
      <c r="Q44053" s="24"/>
      <c r="R44053"/>
      <c r="S44053"/>
      <c r="T44053"/>
      <c r="U44053"/>
      <c r="X44053" s="60"/>
    </row>
    <row r="44054" spans="7:24" ht="15" customHeight="1">
      <c r="G44054"/>
      <c r="I44054"/>
      <c r="N44054"/>
      <c r="O44054" s="24"/>
      <c r="P44054"/>
      <c r="Q44054" s="24"/>
      <c r="R44054"/>
      <c r="S44054"/>
      <c r="T44054"/>
      <c r="U44054"/>
      <c r="X44054" s="60"/>
    </row>
    <row r="44055" spans="7:24" ht="15" customHeight="1">
      <c r="G44055"/>
      <c r="I44055"/>
      <c r="N44055"/>
      <c r="O44055" s="24"/>
      <c r="P44055"/>
      <c r="Q44055" s="24"/>
      <c r="R44055"/>
      <c r="S44055"/>
      <c r="T44055"/>
      <c r="U44055"/>
      <c r="X44055" s="60"/>
    </row>
    <row r="44056" spans="7:24" ht="15" customHeight="1">
      <c r="G44056"/>
      <c r="I44056"/>
      <c r="N44056"/>
      <c r="O44056" s="24"/>
      <c r="P44056"/>
      <c r="Q44056" s="24"/>
      <c r="R44056"/>
      <c r="S44056"/>
      <c r="T44056"/>
      <c r="U44056"/>
      <c r="X44056" s="60"/>
    </row>
    <row r="44057" spans="7:24" ht="15" customHeight="1">
      <c r="G44057"/>
      <c r="I44057"/>
      <c r="N44057"/>
      <c r="O44057" s="24"/>
      <c r="P44057"/>
      <c r="Q44057" s="24"/>
      <c r="R44057"/>
      <c r="S44057"/>
      <c r="T44057"/>
      <c r="U44057"/>
      <c r="X44057" s="60"/>
    </row>
    <row r="44058" spans="7:24" ht="15" customHeight="1">
      <c r="G44058"/>
      <c r="I44058"/>
      <c r="N44058"/>
      <c r="O44058" s="24"/>
      <c r="P44058"/>
      <c r="Q44058" s="24"/>
      <c r="R44058"/>
      <c r="S44058"/>
      <c r="T44058"/>
      <c r="U44058"/>
      <c r="X44058" s="60"/>
    </row>
    <row r="44059" spans="7:24" ht="15" customHeight="1">
      <c r="G44059"/>
      <c r="I44059"/>
      <c r="N44059"/>
      <c r="O44059" s="24"/>
      <c r="P44059"/>
      <c r="Q44059" s="24"/>
      <c r="R44059"/>
      <c r="S44059"/>
      <c r="T44059"/>
      <c r="U44059"/>
      <c r="X44059" s="60"/>
    </row>
    <row r="44060" spans="7:24" ht="15" customHeight="1">
      <c r="G44060"/>
      <c r="I44060"/>
      <c r="N44060"/>
      <c r="O44060" s="24"/>
      <c r="P44060"/>
      <c r="Q44060" s="24"/>
      <c r="R44060"/>
      <c r="S44060"/>
      <c r="T44060"/>
      <c r="U44060"/>
      <c r="X44060" s="60"/>
    </row>
    <row r="44061" spans="7:24" ht="15" customHeight="1">
      <c r="G44061"/>
      <c r="I44061"/>
      <c r="N44061"/>
      <c r="O44061" s="24"/>
      <c r="P44061"/>
      <c r="Q44061" s="24"/>
      <c r="R44061"/>
      <c r="S44061"/>
      <c r="T44061"/>
      <c r="U44061"/>
      <c r="X44061" s="60"/>
    </row>
    <row r="44062" spans="7:24" ht="15" customHeight="1">
      <c r="G44062"/>
      <c r="I44062"/>
      <c r="N44062"/>
      <c r="O44062" s="24"/>
      <c r="P44062"/>
      <c r="Q44062" s="24"/>
      <c r="R44062"/>
      <c r="S44062"/>
      <c r="T44062"/>
      <c r="U44062"/>
      <c r="X44062" s="60"/>
    </row>
    <row r="44063" spans="7:24" ht="15" customHeight="1">
      <c r="G44063"/>
      <c r="I44063"/>
      <c r="N44063"/>
      <c r="O44063" s="24"/>
      <c r="P44063"/>
      <c r="Q44063" s="24"/>
      <c r="R44063"/>
      <c r="S44063"/>
      <c r="T44063"/>
      <c r="U44063"/>
      <c r="X44063" s="60"/>
    </row>
    <row r="44064" spans="7:24" ht="15" customHeight="1">
      <c r="G44064"/>
      <c r="I44064"/>
      <c r="N44064"/>
      <c r="O44064" s="24"/>
      <c r="P44064"/>
      <c r="Q44064" s="24"/>
      <c r="R44064"/>
      <c r="S44064"/>
      <c r="T44064"/>
      <c r="U44064"/>
      <c r="X44064" s="60"/>
    </row>
    <row r="44065" spans="7:24" ht="15" customHeight="1">
      <c r="G44065"/>
      <c r="I44065"/>
      <c r="N44065"/>
      <c r="O44065" s="24"/>
      <c r="P44065"/>
      <c r="Q44065" s="24"/>
      <c r="R44065"/>
      <c r="S44065"/>
      <c r="T44065"/>
      <c r="U44065"/>
      <c r="X44065" s="60"/>
    </row>
    <row r="44066" spans="7:24" ht="15" customHeight="1">
      <c r="G44066"/>
      <c r="I44066"/>
      <c r="N44066"/>
      <c r="O44066" s="24"/>
      <c r="P44066"/>
      <c r="Q44066" s="24"/>
      <c r="R44066"/>
      <c r="S44066"/>
      <c r="T44066"/>
      <c r="U44066"/>
      <c r="X44066" s="60"/>
    </row>
    <row r="44067" spans="7:24" ht="15" customHeight="1">
      <c r="G44067"/>
      <c r="I44067"/>
      <c r="N44067"/>
      <c r="O44067" s="24"/>
      <c r="P44067"/>
      <c r="Q44067" s="24"/>
      <c r="R44067"/>
      <c r="S44067"/>
      <c r="T44067"/>
      <c r="U44067"/>
      <c r="X44067" s="60"/>
    </row>
    <row r="44068" spans="7:24" ht="15" customHeight="1">
      <c r="G44068"/>
      <c r="I44068"/>
      <c r="N44068"/>
      <c r="O44068" s="24"/>
      <c r="P44068"/>
      <c r="Q44068" s="24"/>
      <c r="R44068"/>
      <c r="S44068"/>
      <c r="T44068"/>
      <c r="U44068"/>
      <c r="X44068" s="60"/>
    </row>
    <row r="44069" spans="7:24" ht="15" customHeight="1">
      <c r="G44069"/>
      <c r="I44069"/>
      <c r="N44069"/>
      <c r="O44069" s="24"/>
      <c r="P44069"/>
      <c r="Q44069" s="24"/>
      <c r="R44069"/>
      <c r="S44069"/>
      <c r="T44069"/>
      <c r="U44069"/>
      <c r="X44069" s="60"/>
    </row>
    <row r="44070" spans="7:24" ht="15" customHeight="1">
      <c r="G44070"/>
      <c r="I44070"/>
      <c r="N44070"/>
      <c r="O44070" s="24"/>
      <c r="P44070"/>
      <c r="Q44070" s="24"/>
      <c r="R44070"/>
      <c r="S44070"/>
      <c r="T44070"/>
      <c r="U44070"/>
      <c r="X44070" s="60"/>
    </row>
    <row r="44071" spans="7:24" ht="15" customHeight="1">
      <c r="G44071"/>
      <c r="I44071"/>
      <c r="N44071"/>
      <c r="O44071" s="24"/>
      <c r="P44071"/>
      <c r="Q44071" s="24"/>
      <c r="R44071"/>
      <c r="S44071"/>
      <c r="T44071"/>
      <c r="U44071"/>
      <c r="X44071" s="60"/>
    </row>
    <row r="44072" spans="7:24" ht="15" customHeight="1">
      <c r="G44072"/>
      <c r="I44072"/>
      <c r="N44072"/>
      <c r="O44072" s="24"/>
      <c r="P44072"/>
      <c r="Q44072" s="24"/>
      <c r="R44072"/>
      <c r="S44072"/>
      <c r="T44072"/>
      <c r="U44072"/>
      <c r="X44072" s="60"/>
    </row>
    <row r="44073" spans="7:24" ht="15" customHeight="1">
      <c r="G44073"/>
      <c r="I44073"/>
      <c r="N44073"/>
      <c r="O44073" s="24"/>
      <c r="P44073"/>
      <c r="Q44073" s="24"/>
      <c r="R44073"/>
      <c r="S44073"/>
      <c r="T44073"/>
      <c r="U44073"/>
      <c r="X44073" s="60"/>
    </row>
    <row r="44074" spans="7:24" ht="15" customHeight="1">
      <c r="G44074"/>
      <c r="I44074"/>
      <c r="N44074"/>
      <c r="O44074" s="24"/>
      <c r="P44074"/>
      <c r="Q44074" s="24"/>
      <c r="R44074"/>
      <c r="S44074"/>
      <c r="T44074"/>
      <c r="U44074"/>
      <c r="X44074" s="60"/>
    </row>
    <row r="44075" spans="7:24" ht="15" customHeight="1">
      <c r="G44075"/>
      <c r="I44075"/>
      <c r="N44075"/>
      <c r="O44075" s="24"/>
      <c r="P44075"/>
      <c r="Q44075" s="24"/>
      <c r="R44075"/>
      <c r="S44075"/>
      <c r="T44075"/>
      <c r="U44075"/>
      <c r="X44075" s="60"/>
    </row>
    <row r="44076" spans="7:24" ht="15" customHeight="1">
      <c r="G44076"/>
      <c r="I44076"/>
      <c r="N44076"/>
      <c r="O44076" s="24"/>
      <c r="P44076"/>
      <c r="Q44076" s="24"/>
      <c r="R44076"/>
      <c r="S44076"/>
      <c r="T44076"/>
      <c r="U44076"/>
      <c r="X44076" s="60"/>
    </row>
    <row r="44077" spans="7:24" ht="15" customHeight="1">
      <c r="G44077"/>
      <c r="I44077"/>
      <c r="N44077"/>
      <c r="O44077" s="24"/>
      <c r="P44077"/>
      <c r="Q44077" s="24"/>
      <c r="R44077"/>
      <c r="S44077"/>
      <c r="T44077"/>
      <c r="U44077"/>
      <c r="X44077" s="60"/>
    </row>
    <row r="44078" spans="7:24" ht="15" customHeight="1">
      <c r="G44078"/>
      <c r="I44078"/>
      <c r="N44078"/>
      <c r="O44078" s="24"/>
      <c r="P44078"/>
      <c r="Q44078" s="24"/>
      <c r="R44078"/>
      <c r="S44078"/>
      <c r="T44078"/>
      <c r="U44078"/>
      <c r="X44078" s="60"/>
    </row>
    <row r="44079" spans="7:24" ht="15" customHeight="1">
      <c r="G44079"/>
      <c r="I44079"/>
      <c r="N44079"/>
      <c r="O44079" s="24"/>
      <c r="P44079"/>
      <c r="Q44079" s="24"/>
      <c r="R44079"/>
      <c r="S44079"/>
      <c r="T44079"/>
      <c r="U44079"/>
      <c r="X44079" s="60"/>
    </row>
    <row r="44080" spans="7:24" ht="15" customHeight="1">
      <c r="G44080"/>
      <c r="I44080"/>
      <c r="N44080"/>
      <c r="O44080" s="24"/>
      <c r="P44080"/>
      <c r="Q44080" s="24"/>
      <c r="R44080"/>
      <c r="S44080"/>
      <c r="T44080"/>
      <c r="U44080"/>
      <c r="X44080" s="60"/>
    </row>
    <row r="44081" spans="7:24" ht="15" customHeight="1">
      <c r="G44081"/>
      <c r="I44081"/>
      <c r="N44081"/>
      <c r="O44081" s="24"/>
      <c r="P44081"/>
      <c r="Q44081" s="24"/>
      <c r="R44081"/>
      <c r="S44081"/>
      <c r="T44081"/>
      <c r="U44081"/>
      <c r="X44081" s="60"/>
    </row>
    <row r="44082" spans="7:24" ht="15" customHeight="1">
      <c r="G44082"/>
      <c r="I44082"/>
      <c r="N44082"/>
      <c r="O44082" s="24"/>
      <c r="P44082"/>
      <c r="Q44082" s="24"/>
      <c r="R44082"/>
      <c r="S44082"/>
      <c r="T44082"/>
      <c r="U44082"/>
      <c r="X44082" s="60"/>
    </row>
    <row r="44083" spans="7:24" ht="15" customHeight="1">
      <c r="G44083"/>
      <c r="I44083"/>
      <c r="N44083"/>
      <c r="O44083" s="24"/>
      <c r="P44083"/>
      <c r="Q44083" s="24"/>
      <c r="R44083"/>
      <c r="S44083"/>
      <c r="T44083"/>
      <c r="U44083"/>
      <c r="X44083" s="60"/>
    </row>
    <row r="44084" spans="7:24" ht="15" customHeight="1">
      <c r="G44084"/>
      <c r="I44084"/>
      <c r="N44084"/>
      <c r="O44084" s="24"/>
      <c r="P44084"/>
      <c r="Q44084" s="24"/>
      <c r="R44084"/>
      <c r="S44084"/>
      <c r="T44084"/>
      <c r="U44084"/>
      <c r="X44084" s="60"/>
    </row>
    <row r="44085" spans="7:24" ht="15" customHeight="1">
      <c r="G44085"/>
      <c r="I44085"/>
      <c r="N44085"/>
      <c r="O44085" s="24"/>
      <c r="P44085"/>
      <c r="Q44085" s="24"/>
      <c r="R44085"/>
      <c r="S44085"/>
      <c r="T44085"/>
      <c r="U44085"/>
      <c r="X44085" s="60"/>
    </row>
    <row r="44086" spans="7:24" ht="15" customHeight="1">
      <c r="G44086"/>
      <c r="I44086"/>
      <c r="N44086"/>
      <c r="O44086" s="24"/>
      <c r="P44086"/>
      <c r="Q44086" s="24"/>
      <c r="R44086"/>
      <c r="S44086"/>
      <c r="T44086"/>
      <c r="U44086"/>
      <c r="X44086" s="60"/>
    </row>
    <row r="44087" spans="7:24" ht="15" customHeight="1">
      <c r="G44087"/>
      <c r="I44087"/>
      <c r="N44087"/>
      <c r="O44087" s="24"/>
      <c r="P44087"/>
      <c r="Q44087" s="24"/>
      <c r="R44087"/>
      <c r="S44087"/>
      <c r="T44087"/>
      <c r="U44087"/>
      <c r="X44087" s="60"/>
    </row>
    <row r="44088" spans="7:24" ht="15" customHeight="1">
      <c r="G44088"/>
      <c r="I44088"/>
      <c r="N44088"/>
      <c r="O44088" s="24"/>
      <c r="P44088"/>
      <c r="Q44088" s="24"/>
      <c r="R44088"/>
      <c r="S44088"/>
      <c r="T44088"/>
      <c r="U44088"/>
      <c r="X44088" s="60"/>
    </row>
    <row r="44089" spans="7:24" ht="15" customHeight="1">
      <c r="G44089"/>
      <c r="I44089"/>
      <c r="N44089"/>
      <c r="O44089" s="24"/>
      <c r="P44089"/>
      <c r="Q44089" s="24"/>
      <c r="R44089"/>
      <c r="S44089"/>
      <c r="T44089"/>
      <c r="U44089"/>
      <c r="X44089" s="60"/>
    </row>
    <row r="44090" spans="7:24" ht="15" customHeight="1">
      <c r="G44090"/>
      <c r="I44090"/>
      <c r="N44090"/>
      <c r="O44090" s="24"/>
      <c r="P44090"/>
      <c r="Q44090" s="24"/>
      <c r="R44090"/>
      <c r="S44090"/>
      <c r="T44090"/>
      <c r="U44090"/>
      <c r="X44090" s="60"/>
    </row>
    <row r="44091" spans="7:24" ht="15" customHeight="1">
      <c r="G44091"/>
      <c r="I44091"/>
      <c r="N44091"/>
      <c r="O44091" s="24"/>
      <c r="P44091"/>
      <c r="Q44091" s="24"/>
      <c r="R44091"/>
      <c r="S44091"/>
      <c r="T44091"/>
      <c r="U44091"/>
      <c r="X44091" s="60"/>
    </row>
    <row r="44092" spans="7:24" ht="15" customHeight="1">
      <c r="G44092"/>
      <c r="I44092"/>
      <c r="N44092"/>
      <c r="O44092" s="24"/>
      <c r="P44092"/>
      <c r="Q44092" s="24"/>
      <c r="R44092"/>
      <c r="S44092"/>
      <c r="T44092"/>
      <c r="U44092"/>
      <c r="X44092" s="60"/>
    </row>
    <row r="44093" spans="7:24" ht="15" customHeight="1">
      <c r="G44093"/>
      <c r="I44093"/>
      <c r="N44093"/>
      <c r="O44093" s="24"/>
      <c r="P44093"/>
      <c r="Q44093" s="24"/>
      <c r="R44093"/>
      <c r="S44093"/>
      <c r="T44093"/>
      <c r="U44093"/>
      <c r="X44093" s="60"/>
    </row>
    <row r="44094" spans="7:24" ht="15" customHeight="1">
      <c r="G44094"/>
      <c r="I44094"/>
      <c r="N44094"/>
      <c r="O44094" s="24"/>
      <c r="P44094"/>
      <c r="Q44094" s="24"/>
      <c r="R44094"/>
      <c r="S44094"/>
      <c r="T44094"/>
      <c r="U44094"/>
      <c r="X44094" s="60"/>
    </row>
    <row r="44095" spans="7:24" ht="15" customHeight="1">
      <c r="G44095"/>
      <c r="I44095"/>
      <c r="N44095"/>
      <c r="O44095" s="24"/>
      <c r="P44095"/>
      <c r="Q44095" s="24"/>
      <c r="R44095"/>
      <c r="S44095"/>
      <c r="T44095"/>
      <c r="U44095"/>
      <c r="X44095" s="60"/>
    </row>
    <row r="44096" spans="7:24" ht="15" customHeight="1">
      <c r="G44096"/>
      <c r="I44096"/>
      <c r="N44096"/>
      <c r="O44096" s="24"/>
      <c r="P44096"/>
      <c r="Q44096" s="24"/>
      <c r="R44096"/>
      <c r="S44096"/>
      <c r="T44096"/>
      <c r="U44096"/>
      <c r="X44096" s="60"/>
    </row>
    <row r="44097" spans="7:24" ht="15" customHeight="1">
      <c r="G44097"/>
      <c r="I44097"/>
      <c r="N44097"/>
      <c r="O44097" s="24"/>
      <c r="P44097"/>
      <c r="Q44097" s="24"/>
      <c r="R44097"/>
      <c r="S44097"/>
      <c r="T44097"/>
      <c r="U44097"/>
      <c r="X44097" s="60"/>
    </row>
    <row r="44098" spans="7:24" ht="15" customHeight="1">
      <c r="G44098"/>
      <c r="I44098"/>
      <c r="N44098"/>
      <c r="O44098" s="24"/>
      <c r="P44098"/>
      <c r="Q44098" s="24"/>
      <c r="R44098"/>
      <c r="S44098"/>
      <c r="T44098"/>
      <c r="U44098"/>
      <c r="X44098" s="60"/>
    </row>
    <row r="44099" spans="7:24" ht="15" customHeight="1">
      <c r="G44099"/>
      <c r="I44099"/>
      <c r="N44099"/>
      <c r="O44099" s="24"/>
      <c r="P44099"/>
      <c r="Q44099" s="24"/>
      <c r="R44099"/>
      <c r="S44099"/>
      <c r="T44099"/>
      <c r="U44099"/>
      <c r="X44099" s="60"/>
    </row>
    <row r="44100" spans="7:24" ht="15" customHeight="1">
      <c r="G44100"/>
      <c r="I44100"/>
      <c r="N44100"/>
      <c r="O44100" s="24"/>
      <c r="P44100"/>
      <c r="Q44100" s="24"/>
      <c r="R44100"/>
      <c r="S44100"/>
      <c r="T44100"/>
      <c r="U44100"/>
      <c r="X44100" s="60"/>
    </row>
    <row r="44101" spans="7:24" ht="15" customHeight="1">
      <c r="G44101"/>
      <c r="I44101"/>
      <c r="N44101"/>
      <c r="O44101" s="24"/>
      <c r="P44101"/>
      <c r="Q44101" s="24"/>
      <c r="R44101"/>
      <c r="S44101"/>
      <c r="T44101"/>
      <c r="U44101"/>
      <c r="X44101" s="60"/>
    </row>
    <row r="44102" spans="7:24" ht="15" customHeight="1">
      <c r="G44102"/>
      <c r="I44102"/>
      <c r="N44102"/>
      <c r="O44102" s="24"/>
      <c r="P44102"/>
      <c r="Q44102" s="24"/>
      <c r="R44102"/>
      <c r="S44102"/>
      <c r="T44102"/>
      <c r="U44102"/>
      <c r="X44102" s="60"/>
    </row>
    <row r="44103" spans="7:24" ht="15" customHeight="1">
      <c r="G44103"/>
      <c r="I44103"/>
      <c r="N44103"/>
      <c r="O44103" s="24"/>
      <c r="P44103"/>
      <c r="Q44103" s="24"/>
      <c r="R44103"/>
      <c r="S44103"/>
      <c r="T44103"/>
      <c r="U44103"/>
      <c r="X44103" s="60"/>
    </row>
    <row r="44104" spans="7:24" ht="15" customHeight="1">
      <c r="G44104"/>
      <c r="I44104"/>
      <c r="N44104"/>
      <c r="O44104" s="24"/>
      <c r="P44104"/>
      <c r="Q44104" s="24"/>
      <c r="R44104"/>
      <c r="S44104"/>
      <c r="T44104"/>
      <c r="U44104"/>
      <c r="X44104" s="60"/>
    </row>
    <row r="44105" spans="7:24" ht="15" customHeight="1">
      <c r="G44105"/>
      <c r="I44105"/>
      <c r="N44105"/>
      <c r="O44105" s="24"/>
      <c r="P44105"/>
      <c r="Q44105" s="24"/>
      <c r="R44105"/>
      <c r="S44105"/>
      <c r="T44105"/>
      <c r="U44105"/>
      <c r="X44105" s="60"/>
    </row>
    <row r="44106" spans="7:24" ht="15" customHeight="1">
      <c r="G44106"/>
      <c r="I44106"/>
      <c r="N44106"/>
      <c r="O44106" s="24"/>
      <c r="P44106"/>
      <c r="Q44106" s="24"/>
      <c r="R44106"/>
      <c r="S44106"/>
      <c r="T44106"/>
      <c r="U44106"/>
      <c r="X44106" s="60"/>
    </row>
    <row r="44107" spans="7:24" ht="15" customHeight="1">
      <c r="G44107"/>
      <c r="I44107"/>
      <c r="N44107"/>
      <c r="O44107" s="24"/>
      <c r="P44107"/>
      <c r="Q44107" s="24"/>
      <c r="R44107"/>
      <c r="S44107"/>
      <c r="T44107"/>
      <c r="U44107"/>
      <c r="X44107" s="60"/>
    </row>
    <row r="44108" spans="7:24" ht="15" customHeight="1">
      <c r="G44108"/>
      <c r="I44108"/>
      <c r="N44108"/>
      <c r="O44108" s="24"/>
      <c r="P44108"/>
      <c r="Q44108" s="24"/>
      <c r="R44108"/>
      <c r="S44108"/>
      <c r="T44108"/>
      <c r="U44108"/>
      <c r="X44108" s="60"/>
    </row>
    <row r="44109" spans="7:24" ht="15" customHeight="1">
      <c r="G44109"/>
      <c r="I44109"/>
      <c r="N44109"/>
      <c r="O44109" s="24"/>
      <c r="P44109"/>
      <c r="Q44109" s="24"/>
      <c r="R44109"/>
      <c r="S44109"/>
      <c r="T44109"/>
      <c r="U44109"/>
      <c r="X44109" s="60"/>
    </row>
    <row r="44110" spans="7:24" ht="15" customHeight="1">
      <c r="G44110"/>
      <c r="I44110"/>
      <c r="N44110"/>
      <c r="O44110" s="24"/>
      <c r="P44110"/>
      <c r="Q44110" s="24"/>
      <c r="R44110"/>
      <c r="S44110"/>
      <c r="T44110"/>
      <c r="U44110"/>
      <c r="X44110" s="60"/>
    </row>
    <row r="44111" spans="7:24" ht="15" customHeight="1">
      <c r="G44111"/>
      <c r="I44111"/>
      <c r="N44111"/>
      <c r="O44111" s="24"/>
      <c r="P44111"/>
      <c r="Q44111" s="24"/>
      <c r="R44111"/>
      <c r="S44111"/>
      <c r="T44111"/>
      <c r="U44111"/>
      <c r="X44111" s="60"/>
    </row>
    <row r="44112" spans="7:24" ht="15" customHeight="1">
      <c r="G44112"/>
      <c r="I44112"/>
      <c r="N44112"/>
      <c r="O44112" s="24"/>
      <c r="P44112"/>
      <c r="Q44112" s="24"/>
      <c r="R44112"/>
      <c r="S44112"/>
      <c r="T44112"/>
      <c r="U44112"/>
      <c r="X44112" s="60"/>
    </row>
    <row r="44113" spans="7:24" ht="15" customHeight="1">
      <c r="G44113"/>
      <c r="I44113"/>
      <c r="N44113"/>
      <c r="O44113" s="24"/>
      <c r="P44113"/>
      <c r="Q44113" s="24"/>
      <c r="R44113"/>
      <c r="S44113"/>
      <c r="T44113"/>
      <c r="U44113"/>
      <c r="X44113" s="60"/>
    </row>
    <row r="44114" spans="7:24" ht="15" customHeight="1">
      <c r="G44114"/>
      <c r="I44114"/>
      <c r="N44114"/>
      <c r="O44114" s="24"/>
      <c r="P44114"/>
      <c r="Q44114" s="24"/>
      <c r="R44114"/>
      <c r="S44114"/>
      <c r="T44114"/>
      <c r="U44114"/>
      <c r="X44114" s="60"/>
    </row>
    <row r="44115" spans="7:24" ht="15" customHeight="1">
      <c r="G44115"/>
      <c r="I44115"/>
      <c r="N44115"/>
      <c r="O44115" s="24"/>
      <c r="P44115"/>
      <c r="Q44115" s="24"/>
      <c r="R44115"/>
      <c r="S44115"/>
      <c r="T44115"/>
      <c r="U44115"/>
      <c r="X44115" s="60"/>
    </row>
    <row r="44116" spans="7:24" ht="15" customHeight="1">
      <c r="G44116"/>
      <c r="I44116"/>
      <c r="N44116"/>
      <c r="O44116" s="24"/>
      <c r="P44116"/>
      <c r="Q44116" s="24"/>
      <c r="R44116"/>
      <c r="S44116"/>
      <c r="T44116"/>
      <c r="U44116"/>
      <c r="X44116" s="60"/>
    </row>
    <row r="44117" spans="7:24" ht="15" customHeight="1">
      <c r="G44117"/>
      <c r="I44117"/>
      <c r="N44117"/>
      <c r="O44117" s="24"/>
      <c r="P44117"/>
      <c r="Q44117" s="24"/>
      <c r="R44117"/>
      <c r="S44117"/>
      <c r="T44117"/>
      <c r="U44117"/>
      <c r="X44117" s="60"/>
    </row>
    <row r="44118" spans="7:24" ht="15" customHeight="1">
      <c r="G44118"/>
      <c r="I44118"/>
      <c r="N44118"/>
      <c r="O44118" s="24"/>
      <c r="P44118"/>
      <c r="Q44118" s="24"/>
      <c r="R44118"/>
      <c r="S44118"/>
      <c r="T44118"/>
      <c r="U44118"/>
      <c r="X44118" s="60"/>
    </row>
    <row r="44119" spans="7:24" ht="15" customHeight="1">
      <c r="G44119"/>
      <c r="I44119"/>
      <c r="N44119"/>
      <c r="O44119" s="24"/>
      <c r="P44119"/>
      <c r="Q44119" s="24"/>
      <c r="R44119"/>
      <c r="S44119"/>
      <c r="T44119"/>
      <c r="U44119"/>
      <c r="X44119" s="60"/>
    </row>
    <row r="44120" spans="7:24" ht="15" customHeight="1">
      <c r="G44120"/>
      <c r="I44120"/>
      <c r="N44120"/>
      <c r="O44120" s="24"/>
      <c r="P44120"/>
      <c r="Q44120" s="24"/>
      <c r="R44120"/>
      <c r="S44120"/>
      <c r="T44120"/>
      <c r="U44120"/>
      <c r="X44120" s="60"/>
    </row>
    <row r="44121" spans="7:24" ht="15" customHeight="1">
      <c r="G44121"/>
      <c r="I44121"/>
      <c r="N44121"/>
      <c r="O44121" s="24"/>
      <c r="P44121"/>
      <c r="Q44121" s="24"/>
      <c r="R44121"/>
      <c r="S44121"/>
      <c r="T44121"/>
      <c r="U44121"/>
      <c r="X44121" s="60"/>
    </row>
    <row r="44122" spans="7:24" ht="15" customHeight="1">
      <c r="G44122"/>
      <c r="I44122"/>
      <c r="N44122"/>
      <c r="O44122" s="24"/>
      <c r="P44122"/>
      <c r="Q44122" s="24"/>
      <c r="R44122"/>
      <c r="S44122"/>
      <c r="T44122"/>
      <c r="U44122"/>
      <c r="X44122" s="60"/>
    </row>
    <row r="44123" spans="7:24" ht="15" customHeight="1">
      <c r="G44123"/>
      <c r="I44123"/>
      <c r="N44123"/>
      <c r="O44123" s="24"/>
      <c r="P44123"/>
      <c r="Q44123" s="24"/>
      <c r="R44123"/>
      <c r="S44123"/>
      <c r="T44123"/>
      <c r="U44123"/>
      <c r="X44123" s="60"/>
    </row>
    <row r="44124" spans="7:24" ht="15" customHeight="1">
      <c r="G44124"/>
      <c r="I44124"/>
      <c r="N44124"/>
      <c r="O44124" s="24"/>
      <c r="P44124"/>
      <c r="Q44124" s="24"/>
      <c r="R44124"/>
      <c r="S44124"/>
      <c r="T44124"/>
      <c r="U44124"/>
      <c r="X44124" s="60"/>
    </row>
    <row r="44125" spans="7:24" ht="15" customHeight="1">
      <c r="G44125"/>
      <c r="I44125"/>
      <c r="N44125"/>
      <c r="O44125" s="24"/>
      <c r="P44125"/>
      <c r="Q44125" s="24"/>
      <c r="R44125"/>
      <c r="S44125"/>
      <c r="T44125"/>
      <c r="U44125"/>
      <c r="X44125" s="60"/>
    </row>
    <row r="44126" spans="7:24" ht="15" customHeight="1">
      <c r="G44126"/>
      <c r="I44126"/>
      <c r="N44126"/>
      <c r="O44126" s="24"/>
      <c r="P44126"/>
      <c r="Q44126" s="24"/>
      <c r="R44126"/>
      <c r="S44126"/>
      <c r="T44126"/>
      <c r="U44126"/>
      <c r="X44126" s="60"/>
    </row>
    <row r="44127" spans="7:24" ht="15" customHeight="1">
      <c r="G44127"/>
      <c r="I44127"/>
      <c r="N44127"/>
      <c r="O44127" s="24"/>
      <c r="P44127"/>
      <c r="Q44127" s="24"/>
      <c r="R44127"/>
      <c r="S44127"/>
      <c r="T44127"/>
      <c r="U44127"/>
      <c r="X44127" s="60"/>
    </row>
    <row r="44128" spans="7:24" ht="15" customHeight="1">
      <c r="G44128"/>
      <c r="I44128"/>
      <c r="N44128"/>
      <c r="O44128" s="24"/>
      <c r="P44128"/>
      <c r="Q44128" s="24"/>
      <c r="R44128"/>
      <c r="S44128"/>
      <c r="T44128"/>
      <c r="U44128"/>
      <c r="X44128" s="60"/>
    </row>
    <row r="44129" spans="7:24" ht="15" customHeight="1">
      <c r="G44129"/>
      <c r="I44129"/>
      <c r="N44129"/>
      <c r="O44129" s="24"/>
      <c r="P44129"/>
      <c r="Q44129" s="24"/>
      <c r="R44129"/>
      <c r="S44129"/>
      <c r="T44129"/>
      <c r="U44129"/>
      <c r="X44129" s="60"/>
    </row>
    <row r="44130" spans="7:24" ht="15" customHeight="1">
      <c r="G44130"/>
      <c r="I44130"/>
      <c r="N44130"/>
      <c r="O44130" s="24"/>
      <c r="P44130"/>
      <c r="Q44130" s="24"/>
      <c r="R44130"/>
      <c r="S44130"/>
      <c r="T44130"/>
      <c r="U44130"/>
      <c r="X44130" s="60"/>
    </row>
    <row r="44131" spans="7:24" ht="15" customHeight="1">
      <c r="G44131"/>
      <c r="I44131"/>
      <c r="N44131"/>
      <c r="O44131" s="24"/>
      <c r="P44131"/>
      <c r="Q44131" s="24"/>
      <c r="R44131"/>
      <c r="S44131"/>
      <c r="T44131"/>
      <c r="U44131"/>
      <c r="X44131" s="60"/>
    </row>
    <row r="44132" spans="7:24" ht="15" customHeight="1">
      <c r="G44132"/>
      <c r="I44132"/>
      <c r="N44132"/>
      <c r="O44132" s="24"/>
      <c r="P44132"/>
      <c r="Q44132" s="24"/>
      <c r="R44132"/>
      <c r="S44132"/>
      <c r="T44132"/>
      <c r="U44132"/>
      <c r="X44132" s="60"/>
    </row>
    <row r="44133" spans="7:24" ht="15" customHeight="1">
      <c r="G44133"/>
      <c r="I44133"/>
      <c r="N44133"/>
      <c r="O44133" s="24"/>
      <c r="P44133"/>
      <c r="Q44133" s="24"/>
      <c r="R44133"/>
      <c r="S44133"/>
      <c r="T44133"/>
      <c r="U44133"/>
      <c r="X44133" s="60"/>
    </row>
    <row r="44134" spans="7:24" ht="15" customHeight="1">
      <c r="G44134"/>
      <c r="I44134"/>
      <c r="N44134"/>
      <c r="O44134" s="24"/>
      <c r="P44134"/>
      <c r="Q44134" s="24"/>
      <c r="R44134"/>
      <c r="S44134"/>
      <c r="T44134"/>
      <c r="U44134"/>
      <c r="X44134" s="60"/>
    </row>
    <row r="44135" spans="7:24" ht="15" customHeight="1">
      <c r="G44135"/>
      <c r="I44135"/>
      <c r="N44135"/>
      <c r="O44135" s="24"/>
      <c r="P44135"/>
      <c r="Q44135" s="24"/>
      <c r="R44135"/>
      <c r="S44135"/>
      <c r="T44135"/>
      <c r="U44135"/>
      <c r="X44135" s="60"/>
    </row>
    <row r="44136" spans="7:24" ht="15" customHeight="1">
      <c r="G44136"/>
      <c r="I44136"/>
      <c r="N44136"/>
      <c r="O44136" s="24"/>
      <c r="P44136"/>
      <c r="Q44136" s="24"/>
      <c r="R44136"/>
      <c r="S44136"/>
      <c r="T44136"/>
      <c r="U44136"/>
      <c r="X44136" s="60"/>
    </row>
    <row r="44137" spans="7:24" ht="15" customHeight="1">
      <c r="G44137"/>
      <c r="I44137"/>
      <c r="N44137"/>
      <c r="O44137" s="24"/>
      <c r="P44137"/>
      <c r="Q44137" s="24"/>
      <c r="R44137"/>
      <c r="S44137"/>
      <c r="T44137"/>
      <c r="U44137"/>
      <c r="X44137" s="60"/>
    </row>
    <row r="44138" spans="7:24" ht="15" customHeight="1">
      <c r="G44138"/>
      <c r="I44138"/>
      <c r="N44138"/>
      <c r="O44138" s="24"/>
      <c r="P44138"/>
      <c r="Q44138" s="24"/>
      <c r="R44138"/>
      <c r="S44138"/>
      <c r="T44138"/>
      <c r="U44138"/>
      <c r="X44138" s="60"/>
    </row>
    <row r="44139" spans="7:24" ht="15" customHeight="1">
      <c r="G44139"/>
      <c r="I44139"/>
      <c r="N44139"/>
      <c r="O44139" s="24"/>
      <c r="P44139"/>
      <c r="Q44139" s="24"/>
      <c r="R44139"/>
      <c r="S44139"/>
      <c r="T44139"/>
      <c r="U44139"/>
      <c r="X44139" s="60"/>
    </row>
    <row r="44140" spans="7:24" ht="15" customHeight="1">
      <c r="G44140"/>
      <c r="I44140"/>
      <c r="N44140"/>
      <c r="O44140" s="24"/>
      <c r="P44140"/>
      <c r="Q44140" s="24"/>
      <c r="R44140"/>
      <c r="S44140"/>
      <c r="T44140"/>
      <c r="U44140"/>
      <c r="X44140" s="60"/>
    </row>
    <row r="44141" spans="7:24" ht="15" customHeight="1">
      <c r="G44141"/>
      <c r="I44141"/>
      <c r="N44141"/>
      <c r="O44141" s="24"/>
      <c r="P44141"/>
      <c r="Q44141" s="24"/>
      <c r="R44141"/>
      <c r="S44141"/>
      <c r="T44141"/>
      <c r="U44141"/>
      <c r="X44141" s="60"/>
    </row>
    <row r="44142" spans="7:24" ht="15" customHeight="1">
      <c r="G44142"/>
      <c r="I44142"/>
      <c r="N44142"/>
      <c r="O44142" s="24"/>
      <c r="P44142"/>
      <c r="Q44142" s="24"/>
      <c r="R44142"/>
      <c r="S44142"/>
      <c r="T44142"/>
      <c r="U44142"/>
      <c r="X44142" s="60"/>
    </row>
    <row r="44143" spans="7:24" ht="15" customHeight="1">
      <c r="G44143"/>
      <c r="I44143"/>
      <c r="N44143"/>
      <c r="O44143" s="24"/>
      <c r="P44143"/>
      <c r="Q44143" s="24"/>
      <c r="R44143"/>
      <c r="S44143"/>
      <c r="T44143"/>
      <c r="U44143"/>
      <c r="X44143" s="60"/>
    </row>
    <row r="44144" spans="7:24" ht="15" customHeight="1">
      <c r="G44144"/>
      <c r="I44144"/>
      <c r="N44144"/>
      <c r="O44144" s="24"/>
      <c r="P44144"/>
      <c r="Q44144" s="24"/>
      <c r="R44144"/>
      <c r="S44144"/>
      <c r="T44144"/>
      <c r="U44144"/>
      <c r="X44144" s="60"/>
    </row>
    <row r="44145" spans="7:24" ht="15" customHeight="1">
      <c r="G44145"/>
      <c r="I44145"/>
      <c r="N44145"/>
      <c r="O44145" s="24"/>
      <c r="P44145"/>
      <c r="Q44145" s="24"/>
      <c r="R44145"/>
      <c r="S44145"/>
      <c r="T44145"/>
      <c r="U44145"/>
      <c r="X44145" s="60"/>
    </row>
    <row r="44146" spans="7:24" ht="15" customHeight="1">
      <c r="G44146"/>
      <c r="I44146"/>
      <c r="N44146"/>
      <c r="O44146" s="24"/>
      <c r="P44146"/>
      <c r="Q44146" s="24"/>
      <c r="R44146"/>
      <c r="S44146"/>
      <c r="T44146"/>
      <c r="U44146"/>
      <c r="X44146" s="60"/>
    </row>
    <row r="44147" spans="7:24" ht="15" customHeight="1">
      <c r="G44147"/>
      <c r="I44147"/>
      <c r="N44147"/>
      <c r="O44147" s="24"/>
      <c r="P44147"/>
      <c r="Q44147" s="24"/>
      <c r="R44147"/>
      <c r="S44147"/>
      <c r="T44147"/>
      <c r="U44147"/>
      <c r="X44147" s="60"/>
    </row>
    <row r="44148" spans="7:24" ht="15" customHeight="1">
      <c r="G44148"/>
      <c r="I44148"/>
      <c r="N44148"/>
      <c r="O44148" s="24"/>
      <c r="P44148"/>
      <c r="Q44148" s="24"/>
      <c r="R44148"/>
      <c r="S44148"/>
      <c r="T44148"/>
      <c r="U44148"/>
      <c r="X44148" s="60"/>
    </row>
    <row r="44149" spans="7:24" ht="15" customHeight="1">
      <c r="G44149"/>
      <c r="I44149"/>
      <c r="N44149"/>
      <c r="O44149" s="24"/>
      <c r="P44149"/>
      <c r="Q44149" s="24"/>
      <c r="R44149"/>
      <c r="S44149"/>
      <c r="T44149"/>
      <c r="U44149"/>
      <c r="X44149" s="60"/>
    </row>
    <row r="44150" spans="7:24" ht="15" customHeight="1">
      <c r="G44150"/>
      <c r="I44150"/>
      <c r="N44150"/>
      <c r="O44150" s="24"/>
      <c r="P44150"/>
      <c r="Q44150" s="24"/>
      <c r="R44150"/>
      <c r="S44150"/>
      <c r="T44150"/>
      <c r="U44150"/>
      <c r="X44150" s="60"/>
    </row>
    <row r="44151" spans="7:24" ht="15" customHeight="1">
      <c r="G44151"/>
      <c r="I44151"/>
      <c r="N44151"/>
      <c r="O44151" s="24"/>
      <c r="P44151"/>
      <c r="Q44151" s="24"/>
      <c r="R44151"/>
      <c r="S44151"/>
      <c r="T44151"/>
      <c r="U44151"/>
      <c r="X44151" s="60"/>
    </row>
    <row r="44152" spans="7:24" ht="15" customHeight="1">
      <c r="G44152"/>
      <c r="I44152"/>
      <c r="N44152"/>
      <c r="O44152" s="24"/>
      <c r="P44152"/>
      <c r="Q44152" s="24"/>
      <c r="R44152"/>
      <c r="S44152"/>
      <c r="T44152"/>
      <c r="U44152"/>
      <c r="X44152" s="60"/>
    </row>
    <row r="44153" spans="7:24" ht="15" customHeight="1">
      <c r="G44153"/>
      <c r="I44153"/>
      <c r="N44153"/>
      <c r="O44153" s="24"/>
      <c r="P44153"/>
      <c r="Q44153" s="24"/>
      <c r="R44153"/>
      <c r="S44153"/>
      <c r="T44153"/>
      <c r="U44153"/>
      <c r="X44153" s="60"/>
    </row>
    <row r="44154" spans="7:24" ht="15" customHeight="1">
      <c r="G44154"/>
      <c r="I44154"/>
      <c r="N44154"/>
      <c r="O44154" s="24"/>
      <c r="P44154"/>
      <c r="Q44154" s="24"/>
      <c r="R44154"/>
      <c r="S44154"/>
      <c r="T44154"/>
      <c r="U44154"/>
      <c r="X44154" s="60"/>
    </row>
    <row r="44155" spans="7:24" ht="15" customHeight="1">
      <c r="G44155"/>
      <c r="I44155"/>
      <c r="N44155"/>
      <c r="O44155" s="24"/>
      <c r="P44155"/>
      <c r="Q44155" s="24"/>
      <c r="R44155"/>
      <c r="S44155"/>
      <c r="T44155"/>
      <c r="U44155"/>
      <c r="X44155" s="60"/>
    </row>
    <row r="44156" spans="7:24" ht="15" customHeight="1">
      <c r="G44156"/>
      <c r="I44156"/>
      <c r="N44156"/>
      <c r="O44156" s="24"/>
      <c r="P44156"/>
      <c r="Q44156" s="24"/>
      <c r="R44156"/>
      <c r="S44156"/>
      <c r="T44156"/>
      <c r="U44156"/>
      <c r="X44156" s="60"/>
    </row>
    <row r="44157" spans="7:24" ht="15" customHeight="1">
      <c r="G44157"/>
      <c r="I44157"/>
      <c r="N44157"/>
      <c r="O44157" s="24"/>
      <c r="P44157"/>
      <c r="Q44157" s="24"/>
      <c r="R44157"/>
      <c r="S44157"/>
      <c r="T44157"/>
      <c r="U44157"/>
      <c r="X44157" s="60"/>
    </row>
    <row r="44158" spans="7:24" ht="15" customHeight="1">
      <c r="G44158"/>
      <c r="I44158"/>
      <c r="N44158"/>
      <c r="O44158" s="24"/>
      <c r="P44158"/>
      <c r="Q44158" s="24"/>
      <c r="R44158"/>
      <c r="S44158"/>
      <c r="T44158"/>
      <c r="U44158"/>
      <c r="X44158" s="60"/>
    </row>
    <row r="44159" spans="7:24" ht="15" customHeight="1">
      <c r="G44159"/>
      <c r="I44159"/>
      <c r="N44159"/>
      <c r="O44159" s="24"/>
      <c r="P44159"/>
      <c r="Q44159" s="24"/>
      <c r="R44159"/>
      <c r="S44159"/>
      <c r="T44159"/>
      <c r="U44159"/>
      <c r="X44159" s="60"/>
    </row>
    <row r="44160" spans="7:24" ht="15" customHeight="1">
      <c r="G44160"/>
      <c r="I44160"/>
      <c r="N44160"/>
      <c r="O44160" s="24"/>
      <c r="P44160"/>
      <c r="Q44160" s="24"/>
      <c r="R44160"/>
      <c r="S44160"/>
      <c r="T44160"/>
      <c r="U44160"/>
      <c r="X44160" s="60"/>
    </row>
    <row r="44161" spans="7:24" ht="15" customHeight="1">
      <c r="G44161"/>
      <c r="I44161"/>
      <c r="N44161"/>
      <c r="O44161" s="24"/>
      <c r="P44161"/>
      <c r="Q44161" s="24"/>
      <c r="R44161"/>
      <c r="S44161"/>
      <c r="T44161"/>
      <c r="U44161"/>
      <c r="X44161" s="60"/>
    </row>
    <row r="44162" spans="7:24" ht="15" customHeight="1">
      <c r="G44162"/>
      <c r="I44162"/>
      <c r="N44162"/>
      <c r="O44162" s="24"/>
      <c r="P44162"/>
      <c r="Q44162" s="24"/>
      <c r="R44162"/>
      <c r="S44162"/>
      <c r="T44162"/>
      <c r="U44162"/>
      <c r="X44162" s="60"/>
    </row>
    <row r="44163" spans="7:24" ht="15" customHeight="1">
      <c r="G44163"/>
      <c r="I44163"/>
      <c r="N44163"/>
      <c r="O44163" s="24"/>
      <c r="P44163"/>
      <c r="Q44163" s="24"/>
      <c r="R44163"/>
      <c r="S44163"/>
      <c r="T44163"/>
      <c r="U44163"/>
      <c r="X44163" s="60"/>
    </row>
    <row r="44164" spans="7:24" ht="15" customHeight="1">
      <c r="G44164"/>
      <c r="I44164"/>
      <c r="N44164"/>
      <c r="O44164" s="24"/>
      <c r="P44164"/>
      <c r="Q44164" s="24"/>
      <c r="R44164"/>
      <c r="S44164"/>
      <c r="T44164"/>
      <c r="U44164"/>
      <c r="X44164" s="60"/>
    </row>
    <row r="44165" spans="7:24" ht="15" customHeight="1">
      <c r="G44165"/>
      <c r="I44165"/>
      <c r="N44165"/>
      <c r="O44165" s="24"/>
      <c r="P44165"/>
      <c r="Q44165" s="24"/>
      <c r="R44165"/>
      <c r="S44165"/>
      <c r="T44165"/>
      <c r="U44165"/>
      <c r="X44165" s="60"/>
    </row>
    <row r="44166" spans="7:24" ht="15" customHeight="1">
      <c r="G44166"/>
      <c r="I44166"/>
      <c r="N44166"/>
      <c r="O44166" s="24"/>
      <c r="P44166"/>
      <c r="Q44166" s="24"/>
      <c r="R44166"/>
      <c r="S44166"/>
      <c r="T44166"/>
      <c r="U44166"/>
      <c r="X44166" s="60"/>
    </row>
    <row r="44167" spans="7:24" ht="15" customHeight="1">
      <c r="G44167"/>
      <c r="I44167"/>
      <c r="N44167"/>
      <c r="O44167" s="24"/>
      <c r="P44167"/>
      <c r="Q44167" s="24"/>
      <c r="R44167"/>
      <c r="S44167"/>
      <c r="T44167"/>
      <c r="U44167"/>
      <c r="X44167" s="60"/>
    </row>
    <row r="44168" spans="7:24" ht="15" customHeight="1">
      <c r="G44168"/>
      <c r="I44168"/>
      <c r="N44168"/>
      <c r="O44168" s="24"/>
      <c r="P44168"/>
      <c r="Q44168" s="24"/>
      <c r="R44168"/>
      <c r="S44168"/>
      <c r="T44168"/>
      <c r="U44168"/>
      <c r="X44168" s="60"/>
    </row>
    <row r="44169" spans="7:24" ht="15" customHeight="1">
      <c r="G44169"/>
      <c r="I44169"/>
      <c r="N44169"/>
      <c r="O44169" s="24"/>
      <c r="P44169"/>
      <c r="Q44169" s="24"/>
      <c r="R44169"/>
      <c r="S44169"/>
      <c r="T44169"/>
      <c r="U44169"/>
      <c r="X44169" s="60"/>
    </row>
    <row r="44170" spans="7:24" ht="15" customHeight="1">
      <c r="G44170"/>
      <c r="I44170"/>
      <c r="N44170"/>
      <c r="O44170" s="24"/>
      <c r="P44170"/>
      <c r="Q44170" s="24"/>
      <c r="R44170"/>
      <c r="S44170"/>
      <c r="T44170"/>
      <c r="U44170"/>
      <c r="X44170" s="60"/>
    </row>
    <row r="44171" spans="7:24" ht="15" customHeight="1">
      <c r="G44171"/>
      <c r="I44171"/>
      <c r="N44171"/>
      <c r="O44171" s="24"/>
      <c r="P44171"/>
      <c r="Q44171" s="24"/>
      <c r="R44171"/>
      <c r="S44171"/>
      <c r="T44171"/>
      <c r="U44171"/>
      <c r="X44171" s="60"/>
    </row>
    <row r="44172" spans="7:24" ht="15" customHeight="1">
      <c r="G44172"/>
      <c r="I44172"/>
      <c r="N44172"/>
      <c r="O44172" s="24"/>
      <c r="P44172"/>
      <c r="Q44172" s="24"/>
      <c r="R44172"/>
      <c r="S44172"/>
      <c r="T44172"/>
      <c r="U44172"/>
      <c r="X44172" s="60"/>
    </row>
    <row r="44173" spans="7:24" ht="15" customHeight="1">
      <c r="G44173"/>
      <c r="I44173"/>
      <c r="N44173"/>
      <c r="O44173" s="24"/>
      <c r="P44173"/>
      <c r="Q44173" s="24"/>
      <c r="R44173"/>
      <c r="S44173"/>
      <c r="T44173"/>
      <c r="U44173"/>
      <c r="X44173" s="60"/>
    </row>
    <row r="44174" spans="7:24" ht="15" customHeight="1">
      <c r="G44174"/>
      <c r="I44174"/>
      <c r="N44174"/>
      <c r="O44174" s="24"/>
      <c r="P44174"/>
      <c r="Q44174" s="24"/>
      <c r="R44174"/>
      <c r="S44174"/>
      <c r="T44174"/>
      <c r="U44174"/>
      <c r="X44174" s="60"/>
    </row>
    <row r="44175" spans="7:24" ht="15" customHeight="1">
      <c r="G44175"/>
      <c r="I44175"/>
      <c r="N44175"/>
      <c r="O44175" s="24"/>
      <c r="P44175"/>
      <c r="Q44175" s="24"/>
      <c r="R44175"/>
      <c r="S44175"/>
      <c r="T44175"/>
      <c r="U44175"/>
      <c r="X44175" s="60"/>
    </row>
    <row r="44176" spans="7:24" ht="15" customHeight="1">
      <c r="G44176"/>
      <c r="I44176"/>
      <c r="N44176"/>
      <c r="O44176" s="24"/>
      <c r="P44176"/>
      <c r="Q44176" s="24"/>
      <c r="R44176"/>
      <c r="S44176"/>
      <c r="T44176"/>
      <c r="U44176"/>
      <c r="X44176" s="60"/>
    </row>
    <row r="44177" spans="7:24" ht="15" customHeight="1">
      <c r="G44177"/>
      <c r="I44177"/>
      <c r="N44177"/>
      <c r="O44177" s="24"/>
      <c r="P44177"/>
      <c r="Q44177" s="24"/>
      <c r="R44177"/>
      <c r="S44177"/>
      <c r="T44177"/>
      <c r="U44177"/>
      <c r="X44177" s="60"/>
    </row>
    <row r="44178" spans="7:24" ht="15" customHeight="1">
      <c r="G44178"/>
      <c r="I44178"/>
      <c r="N44178"/>
      <c r="O44178" s="24"/>
      <c r="P44178"/>
      <c r="Q44178" s="24"/>
      <c r="R44178"/>
      <c r="S44178"/>
      <c r="T44178"/>
      <c r="U44178"/>
      <c r="X44178" s="60"/>
    </row>
    <row r="44179" spans="7:24" ht="15" customHeight="1">
      <c r="G44179"/>
      <c r="I44179"/>
      <c r="N44179"/>
      <c r="O44179" s="24"/>
      <c r="P44179"/>
      <c r="Q44179" s="24"/>
      <c r="R44179"/>
      <c r="S44179"/>
      <c r="T44179"/>
      <c r="U44179"/>
      <c r="X44179" s="60"/>
    </row>
    <row r="44180" spans="7:24" ht="15" customHeight="1">
      <c r="G44180"/>
      <c r="I44180"/>
      <c r="N44180"/>
      <c r="O44180" s="24"/>
      <c r="P44180"/>
      <c r="Q44180" s="24"/>
      <c r="R44180"/>
      <c r="S44180"/>
      <c r="T44180"/>
      <c r="U44180"/>
      <c r="X44180" s="60"/>
    </row>
    <row r="44181" spans="7:24" ht="15" customHeight="1">
      <c r="G44181"/>
      <c r="I44181"/>
      <c r="N44181"/>
      <c r="O44181" s="24"/>
      <c r="P44181"/>
      <c r="Q44181" s="24"/>
      <c r="R44181"/>
      <c r="S44181"/>
      <c r="T44181"/>
      <c r="U44181"/>
      <c r="X44181" s="60"/>
    </row>
    <row r="44182" spans="7:24" ht="15" customHeight="1">
      <c r="G44182"/>
      <c r="I44182"/>
      <c r="N44182"/>
      <c r="O44182" s="24"/>
      <c r="P44182"/>
      <c r="Q44182" s="24"/>
      <c r="R44182"/>
      <c r="S44182"/>
      <c r="T44182"/>
      <c r="U44182"/>
      <c r="X44182" s="60"/>
    </row>
    <row r="44183" spans="7:24" ht="15" customHeight="1">
      <c r="G44183"/>
      <c r="I44183"/>
      <c r="N44183"/>
      <c r="O44183" s="24"/>
      <c r="P44183"/>
      <c r="Q44183" s="24"/>
      <c r="R44183"/>
      <c r="S44183"/>
      <c r="T44183"/>
      <c r="U44183"/>
      <c r="X44183" s="60"/>
    </row>
    <row r="44184" spans="7:24" ht="15" customHeight="1">
      <c r="G44184"/>
      <c r="I44184"/>
      <c r="N44184"/>
      <c r="O44184" s="24"/>
      <c r="P44184"/>
      <c r="Q44184" s="24"/>
      <c r="R44184"/>
      <c r="S44184"/>
      <c r="T44184"/>
      <c r="U44184"/>
      <c r="X44184" s="60"/>
    </row>
    <row r="44185" spans="7:24" ht="15" customHeight="1">
      <c r="G44185"/>
      <c r="I44185"/>
      <c r="N44185"/>
      <c r="O44185" s="24"/>
      <c r="P44185"/>
      <c r="Q44185" s="24"/>
      <c r="R44185"/>
      <c r="S44185"/>
      <c r="T44185"/>
      <c r="U44185"/>
      <c r="X44185" s="60"/>
    </row>
    <row r="44186" spans="7:24" ht="15" customHeight="1">
      <c r="G44186"/>
      <c r="I44186"/>
      <c r="N44186"/>
      <c r="O44186" s="24"/>
      <c r="P44186"/>
      <c r="Q44186" s="24"/>
      <c r="R44186"/>
      <c r="S44186"/>
      <c r="T44186"/>
      <c r="U44186"/>
      <c r="X44186" s="60"/>
    </row>
    <row r="44187" spans="7:24" ht="15" customHeight="1">
      <c r="G44187"/>
      <c r="I44187"/>
      <c r="N44187"/>
      <c r="O44187" s="24"/>
      <c r="P44187"/>
      <c r="Q44187" s="24"/>
      <c r="R44187"/>
      <c r="S44187"/>
      <c r="T44187"/>
      <c r="U44187"/>
      <c r="X44187" s="60"/>
    </row>
    <row r="44188" spans="7:24" ht="15" customHeight="1">
      <c r="G44188"/>
      <c r="I44188"/>
      <c r="N44188"/>
      <c r="O44188" s="24"/>
      <c r="P44188"/>
      <c r="Q44188" s="24"/>
      <c r="R44188"/>
      <c r="S44188"/>
      <c r="T44188"/>
      <c r="U44188"/>
      <c r="X44188" s="60"/>
    </row>
    <row r="44189" spans="7:24" ht="15" customHeight="1">
      <c r="G44189"/>
      <c r="I44189"/>
      <c r="N44189"/>
      <c r="O44189" s="24"/>
      <c r="P44189"/>
      <c r="Q44189" s="24"/>
      <c r="R44189"/>
      <c r="S44189"/>
      <c r="T44189"/>
      <c r="U44189"/>
      <c r="X44189" s="60"/>
    </row>
    <row r="44190" spans="7:24" ht="15" customHeight="1">
      <c r="G44190"/>
      <c r="I44190"/>
      <c r="N44190"/>
      <c r="O44190" s="24"/>
      <c r="P44190"/>
      <c r="Q44190" s="24"/>
      <c r="R44190"/>
      <c r="S44190"/>
      <c r="T44190"/>
      <c r="U44190"/>
      <c r="X44190" s="60"/>
    </row>
    <row r="44191" spans="7:24" ht="15" customHeight="1">
      <c r="G44191"/>
      <c r="I44191"/>
      <c r="N44191"/>
      <c r="O44191" s="24"/>
      <c r="P44191"/>
      <c r="Q44191" s="24"/>
      <c r="R44191"/>
      <c r="S44191"/>
      <c r="T44191"/>
      <c r="U44191"/>
      <c r="X44191" s="60"/>
    </row>
    <row r="44192" spans="7:24" ht="15" customHeight="1">
      <c r="G44192"/>
      <c r="I44192"/>
      <c r="N44192"/>
      <c r="O44192" s="24"/>
      <c r="P44192"/>
      <c r="Q44192" s="24"/>
      <c r="R44192"/>
      <c r="S44192"/>
      <c r="T44192"/>
      <c r="U44192"/>
      <c r="X44192" s="60"/>
    </row>
    <row r="44193" spans="7:24" ht="15" customHeight="1">
      <c r="G44193"/>
      <c r="I44193"/>
      <c r="N44193"/>
      <c r="O44193" s="24"/>
      <c r="P44193"/>
      <c r="Q44193" s="24"/>
      <c r="R44193"/>
      <c r="S44193"/>
      <c r="T44193"/>
      <c r="U44193"/>
      <c r="X44193" s="60"/>
    </row>
    <row r="44194" spans="7:24" ht="15" customHeight="1">
      <c r="G44194"/>
      <c r="I44194"/>
      <c r="N44194"/>
      <c r="O44194" s="24"/>
      <c r="P44194"/>
      <c r="Q44194" s="24"/>
      <c r="R44194"/>
      <c r="S44194"/>
      <c r="T44194"/>
      <c r="U44194"/>
      <c r="X44194" s="60"/>
    </row>
    <row r="44195" spans="7:24" ht="15" customHeight="1">
      <c r="G44195"/>
      <c r="I44195"/>
      <c r="N44195"/>
      <c r="O44195" s="24"/>
      <c r="P44195"/>
      <c r="Q44195" s="24"/>
      <c r="R44195"/>
      <c r="S44195"/>
      <c r="T44195"/>
      <c r="U44195"/>
      <c r="X44195" s="60"/>
    </row>
    <row r="44196" spans="7:24" ht="15" customHeight="1">
      <c r="G44196"/>
      <c r="I44196"/>
      <c r="N44196"/>
      <c r="O44196" s="24"/>
      <c r="P44196"/>
      <c r="Q44196" s="24"/>
      <c r="R44196"/>
      <c r="S44196"/>
      <c r="T44196"/>
      <c r="U44196"/>
      <c r="X44196" s="60"/>
    </row>
    <row r="44197" spans="7:24" ht="15" customHeight="1">
      <c r="G44197"/>
      <c r="I44197"/>
      <c r="N44197"/>
      <c r="O44197" s="24"/>
      <c r="P44197"/>
      <c r="Q44197" s="24"/>
      <c r="R44197"/>
      <c r="S44197"/>
      <c r="T44197"/>
      <c r="U44197"/>
      <c r="X44197" s="60"/>
    </row>
    <row r="44198" spans="7:24" ht="15" customHeight="1">
      <c r="G44198"/>
      <c r="I44198"/>
      <c r="N44198"/>
      <c r="O44198" s="24"/>
      <c r="P44198"/>
      <c r="Q44198" s="24"/>
      <c r="R44198"/>
      <c r="S44198"/>
      <c r="T44198"/>
      <c r="U44198"/>
      <c r="X44198" s="60"/>
    </row>
    <row r="44199" spans="7:24" ht="15" customHeight="1">
      <c r="G44199"/>
      <c r="I44199"/>
      <c r="N44199"/>
      <c r="O44199" s="24"/>
      <c r="P44199"/>
      <c r="Q44199" s="24"/>
      <c r="R44199"/>
      <c r="S44199"/>
      <c r="T44199"/>
      <c r="U44199"/>
      <c r="X44199" s="60"/>
    </row>
    <row r="44200" spans="7:24" ht="15" customHeight="1">
      <c r="G44200"/>
      <c r="I44200"/>
      <c r="N44200"/>
      <c r="O44200" s="24"/>
      <c r="P44200"/>
      <c r="Q44200" s="24"/>
      <c r="R44200"/>
      <c r="S44200"/>
      <c r="T44200"/>
      <c r="U44200"/>
      <c r="X44200" s="60"/>
    </row>
    <row r="44201" spans="7:24" ht="15" customHeight="1">
      <c r="G44201"/>
      <c r="I44201"/>
      <c r="N44201"/>
      <c r="O44201" s="24"/>
      <c r="P44201"/>
      <c r="Q44201" s="24"/>
      <c r="R44201"/>
      <c r="S44201"/>
      <c r="T44201"/>
      <c r="U44201"/>
      <c r="X44201" s="60"/>
    </row>
    <row r="44202" spans="7:24" ht="15" customHeight="1">
      <c r="G44202"/>
      <c r="I44202"/>
      <c r="N44202"/>
      <c r="O44202" s="24"/>
      <c r="P44202"/>
      <c r="Q44202" s="24"/>
      <c r="R44202"/>
      <c r="S44202"/>
      <c r="T44202"/>
      <c r="U44202"/>
      <c r="X44202" s="60"/>
    </row>
    <row r="44203" spans="7:24" ht="15" customHeight="1">
      <c r="G44203"/>
      <c r="I44203"/>
      <c r="N44203"/>
      <c r="O44203" s="24"/>
      <c r="P44203"/>
      <c r="Q44203" s="24"/>
      <c r="R44203"/>
      <c r="S44203"/>
      <c r="T44203"/>
      <c r="U44203"/>
      <c r="X44203" s="60"/>
    </row>
    <row r="44204" spans="7:24" ht="15" customHeight="1">
      <c r="G44204"/>
      <c r="I44204"/>
      <c r="N44204"/>
      <c r="O44204" s="24"/>
      <c r="P44204"/>
      <c r="Q44204" s="24"/>
      <c r="R44204"/>
      <c r="S44204"/>
      <c r="T44204"/>
      <c r="U44204"/>
      <c r="X44204" s="60"/>
    </row>
    <row r="44205" spans="7:24" ht="15" customHeight="1">
      <c r="G44205"/>
      <c r="I44205"/>
      <c r="N44205"/>
      <c r="O44205" s="24"/>
      <c r="P44205"/>
      <c r="Q44205" s="24"/>
      <c r="R44205"/>
      <c r="S44205"/>
      <c r="T44205"/>
      <c r="U44205"/>
      <c r="X44205" s="60"/>
    </row>
    <row r="44206" spans="7:24" ht="15" customHeight="1">
      <c r="G44206"/>
      <c r="I44206"/>
      <c r="N44206"/>
      <c r="O44206" s="24"/>
      <c r="P44206"/>
      <c r="Q44206" s="24"/>
      <c r="R44206"/>
      <c r="S44206"/>
      <c r="T44206"/>
      <c r="U44206"/>
      <c r="X44206" s="60"/>
    </row>
    <row r="44207" spans="7:24" ht="15" customHeight="1">
      <c r="G44207"/>
      <c r="I44207"/>
      <c r="N44207"/>
      <c r="O44207" s="24"/>
      <c r="P44207"/>
      <c r="Q44207" s="24"/>
      <c r="R44207"/>
      <c r="S44207"/>
      <c r="T44207"/>
      <c r="U44207"/>
      <c r="X44207" s="60"/>
    </row>
    <row r="44208" spans="7:24" ht="15" customHeight="1">
      <c r="G44208"/>
      <c r="I44208"/>
      <c r="N44208"/>
      <c r="O44208" s="24"/>
      <c r="P44208"/>
      <c r="Q44208" s="24"/>
      <c r="R44208"/>
      <c r="S44208"/>
      <c r="T44208"/>
      <c r="U44208"/>
      <c r="X44208" s="60"/>
    </row>
    <row r="44209" spans="7:24" ht="15" customHeight="1">
      <c r="G44209"/>
      <c r="I44209"/>
      <c r="N44209"/>
      <c r="O44209" s="24"/>
      <c r="P44209"/>
      <c r="Q44209" s="24"/>
      <c r="R44209"/>
      <c r="S44209"/>
      <c r="T44209"/>
      <c r="U44209"/>
      <c r="X44209" s="60"/>
    </row>
    <row r="44210" spans="7:24" ht="15" customHeight="1">
      <c r="G44210"/>
      <c r="I44210"/>
      <c r="N44210"/>
      <c r="O44210" s="24"/>
      <c r="P44210"/>
      <c r="Q44210" s="24"/>
      <c r="R44210"/>
      <c r="S44210"/>
      <c r="T44210"/>
      <c r="U44210"/>
      <c r="X44210" s="60"/>
    </row>
    <row r="44211" spans="7:24" ht="15" customHeight="1">
      <c r="G44211"/>
      <c r="I44211"/>
      <c r="N44211"/>
      <c r="O44211" s="24"/>
      <c r="P44211"/>
      <c r="Q44211" s="24"/>
      <c r="R44211"/>
      <c r="S44211"/>
      <c r="T44211"/>
      <c r="U44211"/>
      <c r="X44211" s="60"/>
    </row>
    <row r="44212" spans="7:24" ht="15" customHeight="1">
      <c r="G44212"/>
      <c r="I44212"/>
      <c r="N44212"/>
      <c r="O44212" s="24"/>
      <c r="P44212"/>
      <c r="Q44212" s="24"/>
      <c r="R44212"/>
      <c r="S44212"/>
      <c r="T44212"/>
      <c r="U44212"/>
      <c r="X44212" s="60"/>
    </row>
    <row r="44213" spans="7:24" ht="15" customHeight="1">
      <c r="G44213"/>
      <c r="I44213"/>
      <c r="N44213"/>
      <c r="O44213" s="24"/>
      <c r="P44213"/>
      <c r="Q44213" s="24"/>
      <c r="R44213"/>
      <c r="S44213"/>
      <c r="T44213"/>
      <c r="U44213"/>
      <c r="X44213" s="60"/>
    </row>
    <row r="44214" spans="7:24" ht="15" customHeight="1">
      <c r="G44214"/>
      <c r="I44214"/>
      <c r="N44214"/>
      <c r="O44214" s="24"/>
      <c r="P44214"/>
      <c r="Q44214" s="24"/>
      <c r="R44214"/>
      <c r="S44214"/>
      <c r="T44214"/>
      <c r="U44214"/>
      <c r="X44214" s="60"/>
    </row>
    <row r="44215" spans="7:24" ht="15" customHeight="1">
      <c r="G44215"/>
      <c r="I44215"/>
      <c r="N44215"/>
      <c r="O44215" s="24"/>
      <c r="P44215"/>
      <c r="Q44215" s="24"/>
      <c r="R44215"/>
      <c r="S44215"/>
      <c r="T44215"/>
      <c r="U44215"/>
      <c r="X44215" s="60"/>
    </row>
    <row r="44216" spans="7:24" ht="15" customHeight="1">
      <c r="G44216"/>
      <c r="I44216"/>
      <c r="N44216"/>
      <c r="O44216" s="24"/>
      <c r="P44216"/>
      <c r="Q44216" s="24"/>
      <c r="R44216"/>
      <c r="S44216"/>
      <c r="T44216"/>
      <c r="U44216"/>
      <c r="X44216" s="60"/>
    </row>
    <row r="44217" spans="7:24" ht="15" customHeight="1">
      <c r="G44217"/>
      <c r="I44217"/>
      <c r="N44217"/>
      <c r="O44217" s="24"/>
      <c r="P44217"/>
      <c r="Q44217" s="24"/>
      <c r="R44217"/>
      <c r="S44217"/>
      <c r="T44217"/>
      <c r="U44217"/>
      <c r="X44217" s="60"/>
    </row>
    <row r="44218" spans="7:24" ht="15" customHeight="1">
      <c r="G44218"/>
      <c r="I44218"/>
      <c r="N44218"/>
      <c r="O44218" s="24"/>
      <c r="P44218"/>
      <c r="Q44218" s="24"/>
      <c r="R44218"/>
      <c r="S44218"/>
      <c r="T44218"/>
      <c r="U44218"/>
      <c r="X44218" s="60"/>
    </row>
    <row r="44219" spans="7:24" ht="15" customHeight="1">
      <c r="G44219"/>
      <c r="I44219"/>
      <c r="N44219"/>
      <c r="O44219" s="24"/>
      <c r="P44219"/>
      <c r="Q44219" s="24"/>
      <c r="R44219"/>
      <c r="S44219"/>
      <c r="T44219"/>
      <c r="U44219"/>
      <c r="X44219" s="60"/>
    </row>
    <row r="44220" spans="7:24" ht="15" customHeight="1">
      <c r="G44220"/>
      <c r="I44220"/>
      <c r="N44220"/>
      <c r="O44220" s="24"/>
      <c r="P44220"/>
      <c r="Q44220" s="24"/>
      <c r="R44220"/>
      <c r="S44220"/>
      <c r="T44220"/>
      <c r="U44220"/>
      <c r="X44220" s="60"/>
    </row>
    <row r="44221" spans="7:24" ht="15" customHeight="1">
      <c r="G44221"/>
      <c r="I44221"/>
      <c r="N44221"/>
      <c r="O44221" s="24"/>
      <c r="P44221"/>
      <c r="Q44221" s="24"/>
      <c r="R44221"/>
      <c r="S44221"/>
      <c r="T44221"/>
      <c r="U44221"/>
      <c r="X44221" s="60"/>
    </row>
    <row r="44222" spans="7:24" ht="15" customHeight="1">
      <c r="G44222"/>
      <c r="I44222"/>
      <c r="N44222"/>
      <c r="O44222" s="24"/>
      <c r="P44222"/>
      <c r="Q44222" s="24"/>
      <c r="R44222"/>
      <c r="S44222"/>
      <c r="T44222"/>
      <c r="U44222"/>
      <c r="X44222" s="60"/>
    </row>
    <row r="44223" spans="7:24" ht="15" customHeight="1">
      <c r="G44223"/>
      <c r="I44223"/>
      <c r="N44223"/>
      <c r="O44223" s="24"/>
      <c r="P44223"/>
      <c r="Q44223" s="24"/>
      <c r="R44223"/>
      <c r="S44223"/>
      <c r="T44223"/>
      <c r="U44223"/>
      <c r="X44223" s="60"/>
    </row>
    <row r="44224" spans="7:24" ht="15" customHeight="1">
      <c r="G44224"/>
      <c r="I44224"/>
      <c r="N44224"/>
      <c r="O44224" s="24"/>
      <c r="P44224"/>
      <c r="Q44224" s="24"/>
      <c r="R44224"/>
      <c r="S44224"/>
      <c r="T44224"/>
      <c r="U44224"/>
      <c r="X44224" s="60"/>
    </row>
    <row r="44225" spans="7:24" ht="15" customHeight="1">
      <c r="G44225"/>
      <c r="I44225"/>
      <c r="N44225"/>
      <c r="O44225" s="24"/>
      <c r="P44225"/>
      <c r="Q44225" s="24"/>
      <c r="R44225"/>
      <c r="S44225"/>
      <c r="T44225"/>
      <c r="U44225"/>
      <c r="X44225" s="60"/>
    </row>
    <row r="44226" spans="7:24" ht="15" customHeight="1">
      <c r="G44226"/>
      <c r="I44226"/>
      <c r="N44226"/>
      <c r="O44226" s="24"/>
      <c r="P44226"/>
      <c r="Q44226" s="24"/>
      <c r="R44226"/>
      <c r="S44226"/>
      <c r="T44226"/>
      <c r="U44226"/>
      <c r="X44226" s="60"/>
    </row>
    <row r="44227" spans="7:24" ht="15" customHeight="1">
      <c r="G44227"/>
      <c r="I44227"/>
      <c r="N44227"/>
      <c r="O44227" s="24"/>
      <c r="P44227"/>
      <c r="Q44227" s="24"/>
      <c r="R44227"/>
      <c r="S44227"/>
      <c r="T44227"/>
      <c r="U44227"/>
      <c r="X44227" s="60"/>
    </row>
    <row r="44228" spans="7:24" ht="15" customHeight="1">
      <c r="G44228"/>
      <c r="I44228"/>
      <c r="N44228"/>
      <c r="O44228" s="24"/>
      <c r="P44228"/>
      <c r="Q44228" s="24"/>
      <c r="R44228"/>
      <c r="S44228"/>
      <c r="T44228"/>
      <c r="U44228"/>
      <c r="X44228" s="60"/>
    </row>
    <row r="44229" spans="7:24" ht="15" customHeight="1">
      <c r="G44229"/>
      <c r="I44229"/>
      <c r="N44229"/>
      <c r="O44229" s="24"/>
      <c r="P44229"/>
      <c r="Q44229" s="24"/>
      <c r="R44229"/>
      <c r="S44229"/>
      <c r="T44229"/>
      <c r="U44229"/>
      <c r="X44229" s="60"/>
    </row>
    <row r="44230" spans="7:24" ht="15" customHeight="1">
      <c r="G44230"/>
      <c r="I44230"/>
      <c r="N44230"/>
      <c r="O44230" s="24"/>
      <c r="P44230"/>
      <c r="Q44230" s="24"/>
      <c r="R44230"/>
      <c r="S44230"/>
      <c r="T44230"/>
      <c r="U44230"/>
      <c r="X44230" s="60"/>
    </row>
    <row r="44231" spans="7:24" ht="15" customHeight="1">
      <c r="G44231"/>
      <c r="I44231"/>
      <c r="N44231"/>
      <c r="O44231" s="24"/>
      <c r="P44231"/>
      <c r="Q44231" s="24"/>
      <c r="R44231"/>
      <c r="S44231"/>
      <c r="T44231"/>
      <c r="U44231"/>
      <c r="X44231" s="60"/>
    </row>
    <row r="44232" spans="7:24" ht="15" customHeight="1">
      <c r="G44232"/>
      <c r="I44232"/>
      <c r="N44232"/>
      <c r="O44232" s="24"/>
      <c r="P44232"/>
      <c r="Q44232" s="24"/>
      <c r="R44232"/>
      <c r="S44232"/>
      <c r="T44232"/>
      <c r="U44232"/>
      <c r="X44232" s="60"/>
    </row>
    <row r="44233" spans="7:24" ht="15" customHeight="1">
      <c r="G44233"/>
      <c r="I44233"/>
      <c r="N44233"/>
      <c r="O44233" s="24"/>
      <c r="P44233"/>
      <c r="Q44233" s="24"/>
      <c r="R44233"/>
      <c r="S44233"/>
      <c r="T44233"/>
      <c r="U44233"/>
      <c r="X44233" s="60"/>
    </row>
    <row r="44234" spans="7:24" ht="15" customHeight="1">
      <c r="G44234"/>
      <c r="I44234"/>
      <c r="N44234"/>
      <c r="O44234" s="24"/>
      <c r="P44234"/>
      <c r="Q44234" s="24"/>
      <c r="R44234"/>
      <c r="S44234"/>
      <c r="T44234"/>
      <c r="U44234"/>
      <c r="X44234" s="60"/>
    </row>
    <row r="44235" spans="7:24" ht="15" customHeight="1">
      <c r="G44235"/>
      <c r="I44235"/>
      <c r="N44235"/>
      <c r="O44235" s="24"/>
      <c r="P44235"/>
      <c r="Q44235" s="24"/>
      <c r="R44235"/>
      <c r="S44235"/>
      <c r="T44235"/>
      <c r="U44235"/>
      <c r="X44235" s="60"/>
    </row>
    <row r="44236" spans="7:24" ht="15" customHeight="1">
      <c r="G44236"/>
      <c r="I44236"/>
      <c r="N44236"/>
      <c r="O44236" s="24"/>
      <c r="P44236"/>
      <c r="Q44236" s="24"/>
      <c r="R44236"/>
      <c r="S44236"/>
      <c r="T44236"/>
      <c r="U44236"/>
      <c r="X44236" s="60"/>
    </row>
    <row r="44237" spans="7:24" ht="15" customHeight="1">
      <c r="G44237"/>
      <c r="I44237"/>
      <c r="N44237"/>
      <c r="O44237" s="24"/>
      <c r="P44237"/>
      <c r="Q44237" s="24"/>
      <c r="R44237"/>
      <c r="S44237"/>
      <c r="T44237"/>
      <c r="U44237"/>
      <c r="X44237" s="60"/>
    </row>
    <row r="44238" spans="7:24" ht="15" customHeight="1">
      <c r="G44238"/>
      <c r="I44238"/>
      <c r="N44238"/>
      <c r="O44238" s="24"/>
      <c r="P44238"/>
      <c r="Q44238" s="24"/>
      <c r="R44238"/>
      <c r="S44238"/>
      <c r="T44238"/>
      <c r="U44238"/>
      <c r="X44238" s="60"/>
    </row>
    <row r="44239" spans="7:24" ht="15" customHeight="1">
      <c r="G44239"/>
      <c r="I44239"/>
      <c r="N44239"/>
      <c r="O44239" s="24"/>
      <c r="P44239"/>
      <c r="Q44239" s="24"/>
      <c r="R44239"/>
      <c r="S44239"/>
      <c r="T44239"/>
      <c r="U44239"/>
      <c r="X44239" s="60"/>
    </row>
    <row r="44240" spans="7:24" ht="15" customHeight="1">
      <c r="G44240"/>
      <c r="I44240"/>
      <c r="N44240"/>
      <c r="O44240" s="24"/>
      <c r="P44240"/>
      <c r="Q44240" s="24"/>
      <c r="R44240"/>
      <c r="S44240"/>
      <c r="T44240"/>
      <c r="U44240"/>
      <c r="X44240" s="60"/>
    </row>
    <row r="44241" spans="7:24" ht="15" customHeight="1">
      <c r="G44241"/>
      <c r="I44241"/>
      <c r="N44241"/>
      <c r="O44241" s="24"/>
      <c r="P44241"/>
      <c r="Q44241" s="24"/>
      <c r="R44241"/>
      <c r="S44241"/>
      <c r="T44241"/>
      <c r="U44241"/>
      <c r="X44241" s="60"/>
    </row>
    <row r="44242" spans="7:24" ht="15" customHeight="1">
      <c r="G44242"/>
      <c r="I44242"/>
      <c r="N44242"/>
      <c r="O44242" s="24"/>
      <c r="P44242"/>
      <c r="Q44242" s="24"/>
      <c r="R44242"/>
      <c r="S44242"/>
      <c r="T44242"/>
      <c r="U44242"/>
      <c r="X44242" s="60"/>
    </row>
    <row r="44243" spans="7:24" ht="15" customHeight="1">
      <c r="G44243"/>
      <c r="I44243"/>
      <c r="N44243"/>
      <c r="O44243" s="24"/>
      <c r="P44243"/>
      <c r="Q44243" s="24"/>
      <c r="R44243"/>
      <c r="S44243"/>
      <c r="T44243"/>
      <c r="U44243"/>
      <c r="X44243" s="60"/>
    </row>
    <row r="44244" spans="7:24" ht="15" customHeight="1">
      <c r="G44244"/>
      <c r="I44244"/>
      <c r="N44244"/>
      <c r="O44244" s="24"/>
      <c r="P44244"/>
      <c r="Q44244" s="24"/>
      <c r="R44244"/>
      <c r="S44244"/>
      <c r="T44244"/>
      <c r="U44244"/>
      <c r="X44244" s="60"/>
    </row>
    <row r="44245" spans="7:24" ht="15" customHeight="1">
      <c r="G44245"/>
      <c r="I44245"/>
      <c r="N44245"/>
      <c r="O44245" s="24"/>
      <c r="P44245"/>
      <c r="Q44245" s="24"/>
      <c r="R44245"/>
      <c r="S44245"/>
      <c r="T44245"/>
      <c r="U44245"/>
      <c r="X44245" s="60"/>
    </row>
    <row r="44246" spans="7:24" ht="15" customHeight="1">
      <c r="G44246"/>
      <c r="I44246"/>
      <c r="N44246"/>
      <c r="O44246" s="24"/>
      <c r="P44246"/>
      <c r="Q44246" s="24"/>
      <c r="R44246"/>
      <c r="S44246"/>
      <c r="T44246"/>
      <c r="U44246"/>
      <c r="X44246" s="60"/>
    </row>
    <row r="44247" spans="7:24" ht="15" customHeight="1">
      <c r="G44247"/>
      <c r="I44247"/>
      <c r="N44247"/>
      <c r="O44247" s="24"/>
      <c r="P44247"/>
      <c r="Q44247" s="24"/>
      <c r="R44247"/>
      <c r="S44247"/>
      <c r="T44247"/>
      <c r="U44247"/>
      <c r="X44247" s="60"/>
    </row>
    <row r="44248" spans="7:24" ht="15" customHeight="1">
      <c r="G44248"/>
      <c r="I44248"/>
      <c r="N44248"/>
      <c r="O44248" s="24"/>
      <c r="P44248"/>
      <c r="Q44248" s="24"/>
      <c r="R44248"/>
      <c r="S44248"/>
      <c r="T44248"/>
      <c r="U44248"/>
      <c r="X44248" s="60"/>
    </row>
    <row r="44249" spans="7:24" ht="15" customHeight="1">
      <c r="G44249"/>
      <c r="I44249"/>
      <c r="N44249"/>
      <c r="O44249" s="24"/>
      <c r="P44249"/>
      <c r="Q44249" s="24"/>
      <c r="R44249"/>
      <c r="S44249"/>
      <c r="T44249"/>
      <c r="U44249"/>
      <c r="X44249" s="60"/>
    </row>
    <row r="44250" spans="7:24" ht="15" customHeight="1">
      <c r="G44250"/>
      <c r="I44250"/>
      <c r="N44250"/>
      <c r="O44250" s="24"/>
      <c r="P44250"/>
      <c r="Q44250" s="24"/>
      <c r="R44250"/>
      <c r="S44250"/>
      <c r="T44250"/>
      <c r="U44250"/>
      <c r="X44250" s="60"/>
    </row>
    <row r="44251" spans="7:24" ht="15" customHeight="1">
      <c r="G44251"/>
      <c r="I44251"/>
      <c r="N44251"/>
      <c r="O44251" s="24"/>
      <c r="P44251"/>
      <c r="Q44251" s="24"/>
      <c r="R44251"/>
      <c r="S44251"/>
      <c r="T44251"/>
      <c r="U44251"/>
      <c r="X44251" s="60"/>
    </row>
    <row r="44252" spans="7:24" ht="15" customHeight="1">
      <c r="G44252"/>
      <c r="I44252"/>
      <c r="N44252"/>
      <c r="O44252" s="24"/>
      <c r="P44252"/>
      <c r="Q44252" s="24"/>
      <c r="R44252"/>
      <c r="S44252"/>
      <c r="T44252"/>
      <c r="U44252"/>
      <c r="X44252" s="60"/>
    </row>
    <row r="44253" spans="7:24" ht="15" customHeight="1">
      <c r="G44253"/>
      <c r="I44253"/>
      <c r="N44253"/>
      <c r="O44253" s="24"/>
      <c r="P44253"/>
      <c r="Q44253" s="24"/>
      <c r="R44253"/>
      <c r="S44253"/>
      <c r="T44253"/>
      <c r="U44253"/>
      <c r="X44253" s="60"/>
    </row>
    <row r="44254" spans="7:24" ht="15" customHeight="1">
      <c r="G44254"/>
      <c r="I44254"/>
      <c r="N44254"/>
      <c r="O44254" s="24"/>
      <c r="P44254"/>
      <c r="Q44254" s="24"/>
      <c r="R44254"/>
      <c r="S44254"/>
      <c r="T44254"/>
      <c r="U44254"/>
      <c r="X44254" s="60"/>
    </row>
    <row r="44255" spans="7:24" ht="15" customHeight="1">
      <c r="G44255"/>
      <c r="I44255"/>
      <c r="N44255"/>
      <c r="O44255" s="24"/>
      <c r="P44255"/>
      <c r="Q44255" s="24"/>
      <c r="R44255"/>
      <c r="S44255"/>
      <c r="T44255"/>
      <c r="U44255"/>
      <c r="X44255" s="60"/>
    </row>
    <row r="44256" spans="7:24" ht="15" customHeight="1">
      <c r="G44256"/>
      <c r="I44256"/>
      <c r="N44256"/>
      <c r="O44256" s="24"/>
      <c r="P44256"/>
      <c r="Q44256" s="24"/>
      <c r="R44256"/>
      <c r="S44256"/>
      <c r="T44256"/>
      <c r="U44256"/>
      <c r="X44256" s="60"/>
    </row>
    <row r="44257" spans="7:24" ht="15" customHeight="1">
      <c r="G44257"/>
      <c r="I44257"/>
      <c r="N44257"/>
      <c r="O44257" s="24"/>
      <c r="P44257"/>
      <c r="Q44257" s="24"/>
      <c r="R44257"/>
      <c r="S44257"/>
      <c r="T44257"/>
      <c r="U44257"/>
      <c r="X44257" s="60"/>
    </row>
    <row r="44258" spans="7:24" ht="15" customHeight="1">
      <c r="G44258"/>
      <c r="I44258"/>
      <c r="N44258"/>
      <c r="O44258" s="24"/>
      <c r="P44258"/>
      <c r="Q44258" s="24"/>
      <c r="R44258"/>
      <c r="S44258"/>
      <c r="T44258"/>
      <c r="U44258"/>
      <c r="X44258" s="60"/>
    </row>
    <row r="44259" spans="7:24" ht="15" customHeight="1">
      <c r="G44259"/>
      <c r="I44259"/>
      <c r="N44259"/>
      <c r="O44259" s="24"/>
      <c r="P44259"/>
      <c r="Q44259" s="24"/>
      <c r="R44259"/>
      <c r="S44259"/>
      <c r="T44259"/>
      <c r="U44259"/>
      <c r="X44259" s="60"/>
    </row>
    <row r="44260" spans="7:24" ht="15" customHeight="1">
      <c r="G44260"/>
      <c r="I44260"/>
      <c r="N44260"/>
      <c r="O44260" s="24"/>
      <c r="P44260"/>
      <c r="Q44260" s="24"/>
      <c r="R44260"/>
      <c r="S44260"/>
      <c r="T44260"/>
      <c r="U44260"/>
      <c r="X44260" s="60"/>
    </row>
    <row r="44261" spans="7:24" ht="15" customHeight="1">
      <c r="G44261"/>
      <c r="I44261"/>
      <c r="N44261"/>
      <c r="O44261" s="24"/>
      <c r="P44261"/>
      <c r="Q44261" s="24"/>
      <c r="R44261"/>
      <c r="S44261"/>
      <c r="T44261"/>
      <c r="U44261"/>
      <c r="X44261" s="60"/>
    </row>
    <row r="44262" spans="7:24" ht="15" customHeight="1">
      <c r="G44262"/>
      <c r="I44262"/>
      <c r="N44262"/>
      <c r="O44262" s="24"/>
      <c r="P44262"/>
      <c r="Q44262" s="24"/>
      <c r="R44262"/>
      <c r="S44262"/>
      <c r="T44262"/>
      <c r="U44262"/>
      <c r="X44262" s="60"/>
    </row>
    <row r="44263" spans="7:24" ht="15" customHeight="1">
      <c r="G44263"/>
      <c r="I44263"/>
      <c r="N44263"/>
      <c r="O44263" s="24"/>
      <c r="P44263"/>
      <c r="Q44263" s="24"/>
      <c r="R44263"/>
      <c r="S44263"/>
      <c r="T44263"/>
      <c r="U44263"/>
      <c r="X44263" s="60"/>
    </row>
    <row r="44264" spans="7:24" ht="15" customHeight="1">
      <c r="G44264"/>
      <c r="I44264"/>
      <c r="N44264"/>
      <c r="O44264" s="24"/>
      <c r="P44264"/>
      <c r="Q44264" s="24"/>
      <c r="R44264"/>
      <c r="S44264"/>
      <c r="T44264"/>
      <c r="U44264"/>
      <c r="X44264" s="60"/>
    </row>
    <row r="44265" spans="7:24" ht="15" customHeight="1">
      <c r="G44265"/>
      <c r="I44265"/>
      <c r="N44265"/>
      <c r="O44265" s="24"/>
      <c r="P44265"/>
      <c r="Q44265" s="24"/>
      <c r="R44265"/>
      <c r="S44265"/>
      <c r="T44265"/>
      <c r="U44265"/>
      <c r="X44265" s="60"/>
    </row>
    <row r="44266" spans="7:24" ht="15" customHeight="1">
      <c r="G44266"/>
      <c r="I44266"/>
      <c r="N44266"/>
      <c r="O44266" s="24"/>
      <c r="P44266"/>
      <c r="Q44266" s="24"/>
      <c r="R44266"/>
      <c r="S44266"/>
      <c r="T44266"/>
      <c r="U44266"/>
      <c r="X44266" s="60"/>
    </row>
    <row r="44267" spans="7:24" ht="15" customHeight="1">
      <c r="G44267"/>
      <c r="I44267"/>
      <c r="N44267"/>
      <c r="O44267" s="24"/>
      <c r="P44267"/>
      <c r="Q44267" s="24"/>
      <c r="R44267"/>
      <c r="S44267"/>
      <c r="T44267"/>
      <c r="U44267"/>
      <c r="X44267" s="60"/>
    </row>
    <row r="44268" spans="7:24" ht="15" customHeight="1">
      <c r="G44268"/>
      <c r="I44268"/>
      <c r="N44268"/>
      <c r="O44268" s="24"/>
      <c r="P44268"/>
      <c r="Q44268" s="24"/>
      <c r="R44268"/>
      <c r="S44268"/>
      <c r="T44268"/>
      <c r="U44268"/>
      <c r="X44268" s="60"/>
    </row>
    <row r="44269" spans="7:24" ht="15" customHeight="1">
      <c r="G44269"/>
      <c r="I44269"/>
      <c r="N44269"/>
      <c r="O44269" s="24"/>
      <c r="P44269"/>
      <c r="Q44269" s="24"/>
      <c r="R44269"/>
      <c r="S44269"/>
      <c r="T44269"/>
      <c r="U44269"/>
      <c r="X44269" s="60"/>
    </row>
    <row r="44270" spans="7:24" ht="15" customHeight="1">
      <c r="G44270"/>
      <c r="I44270"/>
      <c r="N44270"/>
      <c r="O44270" s="24"/>
      <c r="P44270"/>
      <c r="Q44270" s="24"/>
      <c r="R44270"/>
      <c r="S44270"/>
      <c r="T44270"/>
      <c r="U44270"/>
      <c r="X44270" s="60"/>
    </row>
    <row r="44271" spans="7:24" ht="15" customHeight="1">
      <c r="G44271"/>
      <c r="I44271"/>
      <c r="N44271"/>
      <c r="O44271" s="24"/>
      <c r="P44271"/>
      <c r="Q44271" s="24"/>
      <c r="R44271"/>
      <c r="S44271"/>
      <c r="T44271"/>
      <c r="U44271"/>
      <c r="X44271" s="60"/>
    </row>
    <row r="44272" spans="7:24" ht="15" customHeight="1">
      <c r="G44272"/>
      <c r="I44272"/>
      <c r="N44272"/>
      <c r="O44272" s="24"/>
      <c r="P44272"/>
      <c r="Q44272" s="24"/>
      <c r="R44272"/>
      <c r="S44272"/>
      <c r="T44272"/>
      <c r="U44272"/>
      <c r="X44272" s="60"/>
    </row>
    <row r="44273" spans="7:24" ht="15" customHeight="1">
      <c r="G44273"/>
      <c r="I44273"/>
      <c r="N44273"/>
      <c r="O44273" s="24"/>
      <c r="P44273"/>
      <c r="Q44273" s="24"/>
      <c r="R44273"/>
      <c r="S44273"/>
      <c r="T44273"/>
      <c r="U44273"/>
      <c r="X44273" s="60"/>
    </row>
    <row r="44274" spans="7:24" ht="15" customHeight="1">
      <c r="G44274"/>
      <c r="I44274"/>
      <c r="N44274"/>
      <c r="O44274" s="24"/>
      <c r="P44274"/>
      <c r="Q44274" s="24"/>
      <c r="R44274"/>
      <c r="S44274"/>
      <c r="T44274"/>
      <c r="U44274"/>
      <c r="X44274" s="60"/>
    </row>
    <row r="44275" spans="7:24" ht="15" customHeight="1">
      <c r="G44275"/>
      <c r="I44275"/>
      <c r="N44275"/>
      <c r="O44275" s="24"/>
      <c r="P44275"/>
      <c r="Q44275" s="24"/>
      <c r="R44275"/>
      <c r="S44275"/>
      <c r="T44275"/>
      <c r="U44275"/>
      <c r="X44275" s="60"/>
    </row>
    <row r="44276" spans="7:24" ht="15" customHeight="1">
      <c r="G44276"/>
      <c r="I44276"/>
      <c r="N44276"/>
      <c r="O44276" s="24"/>
      <c r="P44276"/>
      <c r="Q44276" s="24"/>
      <c r="R44276"/>
      <c r="S44276"/>
      <c r="T44276"/>
      <c r="U44276"/>
      <c r="X44276" s="60"/>
    </row>
    <row r="44277" spans="7:24" ht="15" customHeight="1">
      <c r="G44277"/>
      <c r="I44277"/>
      <c r="N44277"/>
      <c r="O44277" s="24"/>
      <c r="P44277"/>
      <c r="Q44277" s="24"/>
      <c r="R44277"/>
      <c r="S44277"/>
      <c r="T44277"/>
      <c r="U44277"/>
      <c r="X44277" s="60"/>
    </row>
    <row r="44278" spans="7:24" ht="15" customHeight="1">
      <c r="G44278"/>
      <c r="I44278"/>
      <c r="N44278"/>
      <c r="O44278" s="24"/>
      <c r="P44278"/>
      <c r="Q44278" s="24"/>
      <c r="R44278"/>
      <c r="S44278"/>
      <c r="T44278"/>
      <c r="U44278"/>
      <c r="X44278" s="60"/>
    </row>
    <row r="44279" spans="7:24" ht="15" customHeight="1">
      <c r="G44279"/>
      <c r="I44279"/>
      <c r="N44279"/>
      <c r="O44279" s="24"/>
      <c r="P44279"/>
      <c r="Q44279" s="24"/>
      <c r="R44279"/>
      <c r="S44279"/>
      <c r="T44279"/>
      <c r="U44279"/>
      <c r="X44279" s="60"/>
    </row>
    <row r="44280" spans="7:24" ht="15" customHeight="1">
      <c r="G44280"/>
      <c r="I44280"/>
      <c r="N44280"/>
      <c r="O44280" s="24"/>
      <c r="P44280"/>
      <c r="Q44280" s="24"/>
      <c r="R44280"/>
      <c r="S44280"/>
      <c r="T44280"/>
      <c r="U44280"/>
      <c r="X44280" s="60"/>
    </row>
    <row r="44281" spans="7:24" ht="15" customHeight="1">
      <c r="G44281"/>
      <c r="I44281"/>
      <c r="N44281"/>
      <c r="O44281" s="24"/>
      <c r="P44281"/>
      <c r="Q44281" s="24"/>
      <c r="R44281"/>
      <c r="S44281"/>
      <c r="T44281"/>
      <c r="U44281"/>
      <c r="X44281" s="60"/>
    </row>
    <row r="44282" spans="7:24" ht="15" customHeight="1">
      <c r="G44282"/>
      <c r="I44282"/>
      <c r="N44282"/>
      <c r="O44282" s="24"/>
      <c r="P44282"/>
      <c r="Q44282" s="24"/>
      <c r="R44282"/>
      <c r="S44282"/>
      <c r="T44282"/>
      <c r="U44282"/>
      <c r="X44282" s="60"/>
    </row>
    <row r="44283" spans="7:24" ht="15" customHeight="1">
      <c r="G44283"/>
      <c r="I44283"/>
      <c r="N44283"/>
      <c r="O44283" s="24"/>
      <c r="P44283"/>
      <c r="Q44283" s="24"/>
      <c r="R44283"/>
      <c r="S44283"/>
      <c r="T44283"/>
      <c r="U44283"/>
      <c r="X44283" s="60"/>
    </row>
    <row r="44284" spans="7:24" ht="15" customHeight="1">
      <c r="G44284"/>
      <c r="I44284"/>
      <c r="N44284"/>
      <c r="O44284" s="24"/>
      <c r="P44284"/>
      <c r="Q44284" s="24"/>
      <c r="R44284"/>
      <c r="S44284"/>
      <c r="T44284"/>
      <c r="U44284"/>
      <c r="X44284" s="60"/>
    </row>
    <row r="44285" spans="7:24" ht="15" customHeight="1">
      <c r="G44285"/>
      <c r="I44285"/>
      <c r="N44285"/>
      <c r="O44285" s="24"/>
      <c r="P44285"/>
      <c r="Q44285" s="24"/>
      <c r="R44285"/>
      <c r="S44285"/>
      <c r="T44285"/>
      <c r="U44285"/>
      <c r="X44285" s="60"/>
    </row>
    <row r="44286" spans="7:24" ht="15" customHeight="1">
      <c r="G44286"/>
      <c r="I44286"/>
      <c r="N44286"/>
      <c r="O44286" s="24"/>
      <c r="P44286"/>
      <c r="Q44286" s="24"/>
      <c r="R44286"/>
      <c r="S44286"/>
      <c r="T44286"/>
      <c r="U44286"/>
      <c r="X44286" s="60"/>
    </row>
    <row r="44287" spans="7:24" ht="15" customHeight="1">
      <c r="G44287"/>
      <c r="I44287"/>
      <c r="N44287"/>
      <c r="O44287" s="24"/>
      <c r="P44287"/>
      <c r="Q44287" s="24"/>
      <c r="R44287"/>
      <c r="S44287"/>
      <c r="T44287"/>
      <c r="U44287"/>
      <c r="X44287" s="60"/>
    </row>
    <row r="44288" spans="7:24" ht="15" customHeight="1">
      <c r="G44288"/>
      <c r="I44288"/>
      <c r="N44288"/>
      <c r="O44288" s="24"/>
      <c r="P44288"/>
      <c r="Q44288" s="24"/>
      <c r="R44288"/>
      <c r="S44288"/>
      <c r="T44288"/>
      <c r="U44288"/>
      <c r="X44288" s="60"/>
    </row>
    <row r="44289" spans="7:24" ht="15" customHeight="1">
      <c r="G44289"/>
      <c r="I44289"/>
      <c r="N44289"/>
      <c r="O44289" s="24"/>
      <c r="P44289"/>
      <c r="Q44289" s="24"/>
      <c r="R44289"/>
      <c r="S44289"/>
      <c r="T44289"/>
      <c r="U44289"/>
      <c r="X44289" s="60"/>
    </row>
    <row r="44290" spans="7:24" ht="15" customHeight="1">
      <c r="G44290"/>
      <c r="I44290"/>
      <c r="N44290"/>
      <c r="O44290" s="24"/>
      <c r="P44290"/>
      <c r="Q44290" s="24"/>
      <c r="R44290"/>
      <c r="S44290"/>
      <c r="T44290"/>
      <c r="U44290"/>
      <c r="X44290" s="60"/>
    </row>
    <row r="44291" spans="7:24" ht="15" customHeight="1">
      <c r="G44291"/>
      <c r="I44291"/>
      <c r="N44291"/>
      <c r="O44291" s="24"/>
      <c r="P44291"/>
      <c r="Q44291" s="24"/>
      <c r="R44291"/>
      <c r="S44291"/>
      <c r="T44291"/>
      <c r="U44291"/>
      <c r="X44291" s="60"/>
    </row>
    <row r="44292" spans="7:24" ht="15" customHeight="1">
      <c r="G44292"/>
      <c r="I44292"/>
      <c r="N44292"/>
      <c r="O44292" s="24"/>
      <c r="P44292"/>
      <c r="Q44292" s="24"/>
      <c r="R44292"/>
      <c r="S44292"/>
      <c r="T44292"/>
      <c r="U44292"/>
      <c r="X44292" s="60"/>
    </row>
    <row r="44293" spans="7:24" ht="15" customHeight="1">
      <c r="G44293"/>
      <c r="I44293"/>
      <c r="N44293"/>
      <c r="O44293" s="24"/>
      <c r="P44293"/>
      <c r="Q44293" s="24"/>
      <c r="R44293"/>
      <c r="S44293"/>
      <c r="T44293"/>
      <c r="U44293"/>
      <c r="X44293" s="60"/>
    </row>
    <row r="44294" spans="7:24" ht="15" customHeight="1">
      <c r="G44294"/>
      <c r="I44294"/>
      <c r="N44294"/>
      <c r="O44294" s="24"/>
      <c r="P44294"/>
      <c r="Q44294" s="24"/>
      <c r="R44294"/>
      <c r="S44294"/>
      <c r="T44294"/>
      <c r="U44294"/>
      <c r="X44294" s="60"/>
    </row>
    <row r="44295" spans="7:24" ht="15" customHeight="1">
      <c r="G44295"/>
      <c r="I44295"/>
      <c r="N44295"/>
      <c r="O44295" s="24"/>
      <c r="P44295"/>
      <c r="Q44295" s="24"/>
      <c r="R44295"/>
      <c r="S44295"/>
      <c r="T44295"/>
      <c r="U44295"/>
      <c r="X44295" s="60"/>
    </row>
    <row r="44296" spans="7:24" ht="15" customHeight="1">
      <c r="G44296"/>
      <c r="I44296"/>
      <c r="N44296"/>
      <c r="O44296" s="24"/>
      <c r="P44296"/>
      <c r="Q44296" s="24"/>
      <c r="R44296"/>
      <c r="S44296"/>
      <c r="T44296"/>
      <c r="U44296"/>
      <c r="X44296" s="60"/>
    </row>
    <row r="44297" spans="7:24" ht="15" customHeight="1">
      <c r="G44297"/>
      <c r="I44297"/>
      <c r="N44297"/>
      <c r="O44297" s="24"/>
      <c r="P44297"/>
      <c r="Q44297" s="24"/>
      <c r="R44297"/>
      <c r="S44297"/>
      <c r="T44297"/>
      <c r="U44297"/>
      <c r="X44297" s="60"/>
    </row>
    <row r="44298" spans="7:24" ht="15" customHeight="1">
      <c r="G44298"/>
      <c r="I44298"/>
      <c r="N44298"/>
      <c r="O44298" s="24"/>
      <c r="P44298"/>
      <c r="Q44298" s="24"/>
      <c r="R44298"/>
      <c r="S44298"/>
      <c r="T44298"/>
      <c r="U44298"/>
      <c r="X44298" s="60"/>
    </row>
    <row r="44299" spans="7:24" ht="15" customHeight="1">
      <c r="G44299"/>
      <c r="I44299"/>
      <c r="N44299"/>
      <c r="O44299" s="24"/>
      <c r="P44299"/>
      <c r="Q44299" s="24"/>
      <c r="R44299"/>
      <c r="S44299"/>
      <c r="T44299"/>
      <c r="U44299"/>
      <c r="X44299" s="60"/>
    </row>
    <row r="44300" spans="7:24" ht="15" customHeight="1">
      <c r="G44300"/>
      <c r="I44300"/>
      <c r="N44300"/>
      <c r="O44300" s="24"/>
      <c r="P44300"/>
      <c r="Q44300" s="24"/>
      <c r="R44300"/>
      <c r="S44300"/>
      <c r="T44300"/>
      <c r="U44300"/>
      <c r="X44300" s="60"/>
    </row>
    <row r="44301" spans="7:24" ht="15" customHeight="1">
      <c r="G44301"/>
      <c r="I44301"/>
      <c r="N44301"/>
      <c r="O44301" s="24"/>
      <c r="P44301"/>
      <c r="Q44301" s="24"/>
      <c r="R44301"/>
      <c r="S44301"/>
      <c r="T44301"/>
      <c r="U44301"/>
      <c r="X44301" s="60"/>
    </row>
    <row r="44302" spans="7:24" ht="15" customHeight="1">
      <c r="G44302"/>
      <c r="I44302"/>
      <c r="N44302"/>
      <c r="O44302" s="24"/>
      <c r="P44302"/>
      <c r="Q44302" s="24"/>
      <c r="R44302"/>
      <c r="S44302"/>
      <c r="T44302"/>
      <c r="U44302"/>
      <c r="X44302" s="60"/>
    </row>
    <row r="44303" spans="7:24" ht="15" customHeight="1">
      <c r="G44303"/>
      <c r="I44303"/>
      <c r="N44303"/>
      <c r="O44303" s="24"/>
      <c r="P44303"/>
      <c r="Q44303" s="24"/>
      <c r="R44303"/>
      <c r="S44303"/>
      <c r="T44303"/>
      <c r="U44303"/>
      <c r="X44303" s="60"/>
    </row>
    <row r="44304" spans="7:24" ht="15" customHeight="1">
      <c r="G44304"/>
      <c r="I44304"/>
      <c r="N44304"/>
      <c r="O44304" s="24"/>
      <c r="P44304"/>
      <c r="Q44304" s="24"/>
      <c r="R44304"/>
      <c r="S44304"/>
      <c r="T44304"/>
      <c r="U44304"/>
      <c r="X44304" s="60"/>
    </row>
    <row r="44305" spans="7:24" ht="15" customHeight="1">
      <c r="G44305"/>
      <c r="I44305"/>
      <c r="N44305"/>
      <c r="O44305" s="24"/>
      <c r="P44305"/>
      <c r="Q44305" s="24"/>
      <c r="R44305"/>
      <c r="S44305"/>
      <c r="T44305"/>
      <c r="U44305"/>
      <c r="X44305" s="60"/>
    </row>
    <row r="44306" spans="7:24" ht="15" customHeight="1">
      <c r="G44306"/>
      <c r="I44306"/>
      <c r="N44306"/>
      <c r="O44306" s="24"/>
      <c r="P44306"/>
      <c r="Q44306" s="24"/>
      <c r="R44306"/>
      <c r="S44306"/>
      <c r="T44306"/>
      <c r="U44306"/>
      <c r="X44306" s="60"/>
    </row>
    <row r="44307" spans="7:24" ht="15" customHeight="1">
      <c r="G44307"/>
      <c r="I44307"/>
      <c r="N44307"/>
      <c r="O44307" s="24"/>
      <c r="P44307"/>
      <c r="Q44307" s="24"/>
      <c r="R44307"/>
      <c r="S44307"/>
      <c r="T44307"/>
      <c r="U44307"/>
      <c r="X44307" s="60"/>
    </row>
    <row r="44308" spans="7:24" ht="15" customHeight="1">
      <c r="G44308"/>
      <c r="I44308"/>
      <c r="N44308"/>
      <c r="O44308" s="24"/>
      <c r="P44308"/>
      <c r="Q44308" s="24"/>
      <c r="R44308"/>
      <c r="S44308"/>
      <c r="T44308"/>
      <c r="U44308"/>
      <c r="X44308" s="60"/>
    </row>
    <row r="44309" spans="7:24" ht="15" customHeight="1">
      <c r="G44309"/>
      <c r="I44309"/>
      <c r="N44309"/>
      <c r="O44309" s="24"/>
      <c r="P44309"/>
      <c r="Q44309" s="24"/>
      <c r="R44309"/>
      <c r="S44309"/>
      <c r="T44309"/>
      <c r="U44309"/>
      <c r="X44309" s="60"/>
    </row>
    <row r="44310" spans="7:24" ht="15" customHeight="1">
      <c r="G44310"/>
      <c r="I44310"/>
      <c r="N44310"/>
      <c r="O44310" s="24"/>
      <c r="P44310"/>
      <c r="Q44310" s="24"/>
      <c r="R44310"/>
      <c r="S44310"/>
      <c r="T44310"/>
      <c r="U44310"/>
      <c r="X44310" s="60"/>
    </row>
    <row r="44311" spans="7:24" ht="15" customHeight="1">
      <c r="G44311"/>
      <c r="I44311"/>
      <c r="N44311"/>
      <c r="O44311" s="24"/>
      <c r="P44311"/>
      <c r="Q44311" s="24"/>
      <c r="R44311"/>
      <c r="S44311"/>
      <c r="T44311"/>
      <c r="U44311"/>
      <c r="X44311" s="60"/>
    </row>
    <row r="44312" spans="7:24" ht="15" customHeight="1">
      <c r="G44312"/>
      <c r="I44312"/>
      <c r="N44312"/>
      <c r="O44312" s="24"/>
      <c r="P44312"/>
      <c r="Q44312" s="24"/>
      <c r="R44312"/>
      <c r="S44312"/>
      <c r="T44312"/>
      <c r="U44312"/>
      <c r="X44312" s="60"/>
    </row>
    <row r="44313" spans="7:24" ht="15" customHeight="1">
      <c r="G44313"/>
      <c r="I44313"/>
      <c r="N44313"/>
      <c r="O44313" s="24"/>
      <c r="P44313"/>
      <c r="Q44313" s="24"/>
      <c r="R44313"/>
      <c r="S44313"/>
      <c r="T44313"/>
      <c r="U44313"/>
      <c r="X44313" s="60"/>
    </row>
    <row r="44314" spans="7:24" ht="15" customHeight="1">
      <c r="G44314"/>
      <c r="I44314"/>
      <c r="N44314"/>
      <c r="O44314" s="24"/>
      <c r="P44314"/>
      <c r="Q44314" s="24"/>
      <c r="R44314"/>
      <c r="S44314"/>
      <c r="T44314"/>
      <c r="U44314"/>
      <c r="X44314" s="60"/>
    </row>
    <row r="44315" spans="7:24" ht="15" customHeight="1">
      <c r="G44315"/>
      <c r="I44315"/>
      <c r="N44315"/>
      <c r="O44315" s="24"/>
      <c r="P44315"/>
      <c r="Q44315" s="24"/>
      <c r="R44315"/>
      <c r="S44315"/>
      <c r="T44315"/>
      <c r="U44315"/>
      <c r="X44315" s="60"/>
    </row>
    <row r="44316" spans="7:24" ht="15" customHeight="1">
      <c r="G44316"/>
      <c r="I44316"/>
      <c r="N44316"/>
      <c r="O44316" s="24"/>
      <c r="P44316"/>
      <c r="Q44316" s="24"/>
      <c r="R44316"/>
      <c r="S44316"/>
      <c r="T44316"/>
      <c r="U44316"/>
      <c r="X44316" s="60"/>
    </row>
    <row r="44317" spans="7:24" ht="15" customHeight="1">
      <c r="G44317"/>
      <c r="I44317"/>
      <c r="N44317"/>
      <c r="O44317" s="24"/>
      <c r="P44317"/>
      <c r="Q44317" s="24"/>
      <c r="R44317"/>
      <c r="S44317"/>
      <c r="T44317"/>
      <c r="U44317"/>
      <c r="X44317" s="60"/>
    </row>
    <row r="44318" spans="7:24" ht="15" customHeight="1">
      <c r="G44318"/>
      <c r="I44318"/>
      <c r="N44318"/>
      <c r="O44318" s="24"/>
      <c r="P44318"/>
      <c r="Q44318" s="24"/>
      <c r="R44318"/>
      <c r="S44318"/>
      <c r="T44318"/>
      <c r="U44318"/>
      <c r="X44318" s="60"/>
    </row>
    <row r="44319" spans="7:24" ht="15" customHeight="1">
      <c r="G44319"/>
      <c r="I44319"/>
      <c r="N44319"/>
      <c r="O44319" s="24"/>
      <c r="P44319"/>
      <c r="Q44319" s="24"/>
      <c r="R44319"/>
      <c r="S44319"/>
      <c r="T44319"/>
      <c r="U44319"/>
      <c r="X44319" s="60"/>
    </row>
    <row r="44320" spans="7:24" ht="15" customHeight="1">
      <c r="G44320"/>
      <c r="I44320"/>
      <c r="N44320"/>
      <c r="O44320" s="24"/>
      <c r="P44320"/>
      <c r="Q44320" s="24"/>
      <c r="R44320"/>
      <c r="S44320"/>
      <c r="T44320"/>
      <c r="U44320"/>
      <c r="X44320" s="60"/>
    </row>
    <row r="44321" spans="7:24" ht="15" customHeight="1">
      <c r="G44321"/>
      <c r="I44321"/>
      <c r="N44321"/>
      <c r="O44321" s="24"/>
      <c r="P44321"/>
      <c r="Q44321" s="24"/>
      <c r="R44321"/>
      <c r="S44321"/>
      <c r="T44321"/>
      <c r="U44321"/>
      <c r="X44321" s="60"/>
    </row>
    <row r="44322" spans="7:24" ht="15" customHeight="1">
      <c r="G44322"/>
      <c r="I44322"/>
      <c r="N44322"/>
      <c r="O44322" s="24"/>
      <c r="P44322"/>
      <c r="Q44322" s="24"/>
      <c r="R44322"/>
      <c r="S44322"/>
      <c r="T44322"/>
      <c r="U44322"/>
      <c r="X44322" s="60"/>
    </row>
    <row r="44323" spans="7:24" ht="15" customHeight="1">
      <c r="G44323"/>
      <c r="I44323"/>
      <c r="N44323"/>
      <c r="O44323" s="24"/>
      <c r="P44323"/>
      <c r="Q44323" s="24"/>
      <c r="R44323"/>
      <c r="S44323"/>
      <c r="T44323"/>
      <c r="U44323"/>
      <c r="X44323" s="60"/>
    </row>
    <row r="44324" spans="7:24" ht="15" customHeight="1">
      <c r="G44324"/>
      <c r="I44324"/>
      <c r="N44324"/>
      <c r="O44324" s="24"/>
      <c r="P44324"/>
      <c r="Q44324" s="24"/>
      <c r="R44324"/>
      <c r="S44324"/>
      <c r="T44324"/>
      <c r="U44324"/>
      <c r="X44324" s="60"/>
    </row>
    <row r="44325" spans="7:24" ht="15" customHeight="1">
      <c r="G44325"/>
      <c r="I44325"/>
      <c r="N44325"/>
      <c r="O44325" s="24"/>
      <c r="P44325"/>
      <c r="Q44325" s="24"/>
      <c r="R44325"/>
      <c r="S44325"/>
      <c r="T44325"/>
      <c r="U44325"/>
      <c r="X44325" s="60"/>
    </row>
    <row r="44326" spans="7:24" ht="15" customHeight="1">
      <c r="G44326"/>
      <c r="I44326"/>
      <c r="N44326"/>
      <c r="O44326" s="24"/>
      <c r="P44326"/>
      <c r="Q44326" s="24"/>
      <c r="R44326"/>
      <c r="S44326"/>
      <c r="T44326"/>
      <c r="U44326"/>
      <c r="X44326" s="60"/>
    </row>
    <row r="44327" spans="7:24" ht="15" customHeight="1">
      <c r="G44327"/>
      <c r="I44327"/>
      <c r="N44327"/>
      <c r="O44327" s="24"/>
      <c r="P44327"/>
      <c r="Q44327" s="24"/>
      <c r="R44327"/>
      <c r="S44327"/>
      <c r="T44327"/>
      <c r="U44327"/>
      <c r="X44327" s="60"/>
    </row>
    <row r="44328" spans="7:24" ht="15" customHeight="1">
      <c r="G44328"/>
      <c r="I44328"/>
      <c r="N44328"/>
      <c r="O44328" s="24"/>
      <c r="P44328"/>
      <c r="Q44328" s="24"/>
      <c r="R44328"/>
      <c r="S44328"/>
      <c r="T44328"/>
      <c r="U44328"/>
      <c r="X44328" s="60"/>
    </row>
    <row r="44329" spans="7:24" ht="15" customHeight="1">
      <c r="G44329"/>
      <c r="I44329"/>
      <c r="N44329"/>
      <c r="O44329" s="24"/>
      <c r="P44329"/>
      <c r="Q44329" s="24"/>
      <c r="R44329"/>
      <c r="S44329"/>
      <c r="T44329"/>
      <c r="U44329"/>
      <c r="X44329" s="60"/>
    </row>
    <row r="44330" spans="7:24" ht="15" customHeight="1">
      <c r="G44330"/>
      <c r="I44330"/>
      <c r="N44330"/>
      <c r="O44330" s="24"/>
      <c r="P44330"/>
      <c r="Q44330" s="24"/>
      <c r="R44330"/>
      <c r="S44330"/>
      <c r="T44330"/>
      <c r="U44330"/>
      <c r="X44330" s="60"/>
    </row>
    <row r="44331" spans="7:24" ht="15" customHeight="1">
      <c r="G44331"/>
      <c r="I44331"/>
      <c r="N44331"/>
      <c r="O44331" s="24"/>
      <c r="P44331"/>
      <c r="Q44331" s="24"/>
      <c r="R44331"/>
      <c r="S44331"/>
      <c r="T44331"/>
      <c r="U44331"/>
      <c r="X44331" s="60"/>
    </row>
    <row r="44332" spans="7:24" ht="15" customHeight="1">
      <c r="G44332"/>
      <c r="I44332"/>
      <c r="N44332"/>
      <c r="O44332" s="24"/>
      <c r="P44332"/>
      <c r="Q44332" s="24"/>
      <c r="R44332"/>
      <c r="S44332"/>
      <c r="T44332"/>
      <c r="U44332"/>
      <c r="X44332" s="60"/>
    </row>
    <row r="44333" spans="7:24" ht="15" customHeight="1">
      <c r="G44333"/>
      <c r="I44333"/>
      <c r="N44333"/>
      <c r="O44333" s="24"/>
      <c r="P44333"/>
      <c r="Q44333" s="24"/>
      <c r="R44333"/>
      <c r="S44333"/>
      <c r="T44333"/>
      <c r="U44333"/>
      <c r="X44333" s="60"/>
    </row>
    <row r="44334" spans="7:24" ht="15" customHeight="1">
      <c r="G44334"/>
      <c r="I44334"/>
      <c r="N44334"/>
      <c r="O44334" s="24"/>
      <c r="P44334"/>
      <c r="Q44334" s="24"/>
      <c r="R44334"/>
      <c r="S44334"/>
      <c r="T44334"/>
      <c r="U44334"/>
      <c r="X44334" s="60"/>
    </row>
    <row r="44335" spans="7:24" ht="15" customHeight="1">
      <c r="G44335"/>
      <c r="I44335"/>
      <c r="N44335"/>
      <c r="O44335" s="24"/>
      <c r="P44335"/>
      <c r="Q44335" s="24"/>
      <c r="R44335"/>
      <c r="S44335"/>
      <c r="T44335"/>
      <c r="U44335"/>
      <c r="X44335" s="60"/>
    </row>
    <row r="44336" spans="7:24" ht="15" customHeight="1">
      <c r="G44336"/>
      <c r="I44336"/>
      <c r="N44336"/>
      <c r="O44336" s="24"/>
      <c r="P44336"/>
      <c r="Q44336" s="24"/>
      <c r="R44336"/>
      <c r="S44336"/>
      <c r="T44336"/>
      <c r="U44336"/>
      <c r="X44336" s="60"/>
    </row>
    <row r="44337" spans="7:24" ht="15" customHeight="1">
      <c r="G44337"/>
      <c r="I44337"/>
      <c r="N44337"/>
      <c r="O44337" s="24"/>
      <c r="P44337"/>
      <c r="Q44337" s="24"/>
      <c r="R44337"/>
      <c r="S44337"/>
      <c r="T44337"/>
      <c r="U44337"/>
      <c r="X44337" s="60"/>
    </row>
    <row r="44338" spans="7:24" ht="15" customHeight="1">
      <c r="G44338"/>
      <c r="I44338"/>
      <c r="N44338"/>
      <c r="O44338" s="24"/>
      <c r="P44338"/>
      <c r="Q44338" s="24"/>
      <c r="R44338"/>
      <c r="S44338"/>
      <c r="T44338"/>
      <c r="U44338"/>
      <c r="X44338" s="60"/>
    </row>
    <row r="44339" spans="7:24" ht="15" customHeight="1">
      <c r="G44339"/>
      <c r="I44339"/>
      <c r="N44339"/>
      <c r="O44339" s="24"/>
      <c r="P44339"/>
      <c r="Q44339" s="24"/>
      <c r="R44339"/>
      <c r="S44339"/>
      <c r="T44339"/>
      <c r="U44339"/>
      <c r="X44339" s="60"/>
    </row>
    <row r="44340" spans="7:24" ht="15" customHeight="1">
      <c r="G44340"/>
      <c r="I44340"/>
      <c r="N44340"/>
      <c r="O44340" s="24"/>
      <c r="P44340"/>
      <c r="Q44340" s="24"/>
      <c r="R44340"/>
      <c r="S44340"/>
      <c r="T44340"/>
      <c r="U44340"/>
      <c r="X44340" s="60"/>
    </row>
    <row r="44341" spans="7:24" ht="15" customHeight="1">
      <c r="G44341"/>
      <c r="I44341"/>
      <c r="N44341"/>
      <c r="O44341" s="24"/>
      <c r="P44341"/>
      <c r="Q44341" s="24"/>
      <c r="R44341"/>
      <c r="S44341"/>
      <c r="T44341"/>
      <c r="U44341"/>
      <c r="X44341" s="60"/>
    </row>
    <row r="44342" spans="7:24" ht="15" customHeight="1">
      <c r="G44342"/>
      <c r="I44342"/>
      <c r="N44342"/>
      <c r="O44342" s="24"/>
      <c r="P44342"/>
      <c r="Q44342" s="24"/>
      <c r="R44342"/>
      <c r="S44342"/>
      <c r="T44342"/>
      <c r="U44342"/>
      <c r="X44342" s="60"/>
    </row>
    <row r="44343" spans="7:24" ht="15" customHeight="1">
      <c r="G44343"/>
      <c r="I44343"/>
      <c r="N44343"/>
      <c r="O44343" s="24"/>
      <c r="P44343"/>
      <c r="Q44343" s="24"/>
      <c r="R44343"/>
      <c r="S44343"/>
      <c r="T44343"/>
      <c r="U44343"/>
      <c r="X44343" s="60"/>
    </row>
    <row r="44344" spans="7:24" ht="15" customHeight="1">
      <c r="G44344"/>
      <c r="I44344"/>
      <c r="N44344"/>
      <c r="O44344" s="24"/>
      <c r="P44344"/>
      <c r="Q44344" s="24"/>
      <c r="R44344"/>
      <c r="S44344"/>
      <c r="T44344"/>
      <c r="U44344"/>
      <c r="X44344" s="60"/>
    </row>
    <row r="44345" spans="7:24" ht="15" customHeight="1">
      <c r="G44345"/>
      <c r="I44345"/>
      <c r="N44345"/>
      <c r="O44345" s="24"/>
      <c r="P44345"/>
      <c r="Q44345" s="24"/>
      <c r="R44345"/>
      <c r="S44345"/>
      <c r="T44345"/>
      <c r="U44345"/>
      <c r="X44345" s="60"/>
    </row>
    <row r="44346" spans="7:24" ht="15" customHeight="1">
      <c r="G44346"/>
      <c r="I44346"/>
      <c r="N44346"/>
      <c r="O44346" s="24"/>
      <c r="P44346"/>
      <c r="Q44346" s="24"/>
      <c r="R44346"/>
      <c r="S44346"/>
      <c r="T44346"/>
      <c r="U44346"/>
      <c r="X44346" s="60"/>
    </row>
    <row r="44347" spans="7:24" ht="15" customHeight="1">
      <c r="G44347"/>
      <c r="I44347"/>
      <c r="N44347"/>
      <c r="O44347" s="24"/>
      <c r="P44347"/>
      <c r="Q44347" s="24"/>
      <c r="R44347"/>
      <c r="S44347"/>
      <c r="T44347"/>
      <c r="U44347"/>
      <c r="X44347" s="60"/>
    </row>
    <row r="44348" spans="7:24" ht="15" customHeight="1">
      <c r="G44348"/>
      <c r="I44348"/>
      <c r="N44348"/>
      <c r="O44348" s="24"/>
      <c r="P44348"/>
      <c r="Q44348" s="24"/>
      <c r="R44348"/>
      <c r="S44348"/>
      <c r="T44348"/>
      <c r="U44348"/>
      <c r="X44348" s="60"/>
    </row>
    <row r="44349" spans="7:24" ht="15" customHeight="1">
      <c r="G44349"/>
      <c r="I44349"/>
      <c r="N44349"/>
      <c r="O44349" s="24"/>
      <c r="P44349"/>
      <c r="Q44349" s="24"/>
      <c r="R44349"/>
      <c r="S44349"/>
      <c r="T44349"/>
      <c r="U44349"/>
      <c r="X44349" s="60"/>
    </row>
    <row r="44350" spans="7:24" ht="15" customHeight="1">
      <c r="G44350"/>
      <c r="I44350"/>
      <c r="N44350"/>
      <c r="O44350" s="24"/>
      <c r="P44350"/>
      <c r="Q44350" s="24"/>
      <c r="R44350"/>
      <c r="S44350"/>
      <c r="T44350"/>
      <c r="U44350"/>
      <c r="X44350" s="60"/>
    </row>
    <row r="44351" spans="7:24" ht="15" customHeight="1">
      <c r="G44351"/>
      <c r="I44351"/>
      <c r="N44351"/>
      <c r="O44351" s="24"/>
      <c r="P44351"/>
      <c r="Q44351" s="24"/>
      <c r="R44351"/>
      <c r="S44351"/>
      <c r="T44351"/>
      <c r="U44351"/>
      <c r="X44351" s="60"/>
    </row>
    <row r="44352" spans="7:24" ht="15" customHeight="1">
      <c r="G44352"/>
      <c r="I44352"/>
      <c r="N44352"/>
      <c r="O44352" s="24"/>
      <c r="P44352"/>
      <c r="Q44352" s="24"/>
      <c r="R44352"/>
      <c r="S44352"/>
      <c r="T44352"/>
      <c r="U44352"/>
      <c r="X44352" s="60"/>
    </row>
    <row r="44353" spans="7:24" ht="15" customHeight="1">
      <c r="G44353"/>
      <c r="I44353"/>
      <c r="N44353"/>
      <c r="O44353" s="24"/>
      <c r="P44353"/>
      <c r="Q44353" s="24"/>
      <c r="R44353"/>
      <c r="S44353"/>
      <c r="T44353"/>
      <c r="U44353"/>
      <c r="X44353" s="60"/>
    </row>
    <row r="44354" spans="7:24" ht="15" customHeight="1">
      <c r="G44354"/>
      <c r="I44354"/>
      <c r="N44354"/>
      <c r="O44354" s="24"/>
      <c r="P44354"/>
      <c r="Q44354" s="24"/>
      <c r="R44354"/>
      <c r="S44354"/>
      <c r="T44354"/>
      <c r="U44354"/>
      <c r="X44354" s="60"/>
    </row>
    <row r="44355" spans="7:24" ht="15" customHeight="1">
      <c r="G44355"/>
      <c r="I44355"/>
      <c r="N44355"/>
      <c r="O44355" s="24"/>
      <c r="P44355"/>
      <c r="Q44355" s="24"/>
      <c r="R44355"/>
      <c r="S44355"/>
      <c r="T44355"/>
      <c r="U44355"/>
      <c r="X44355" s="60"/>
    </row>
    <row r="44356" spans="7:24" ht="15" customHeight="1">
      <c r="G44356"/>
      <c r="I44356"/>
      <c r="N44356"/>
      <c r="O44356" s="24"/>
      <c r="P44356"/>
      <c r="Q44356" s="24"/>
      <c r="R44356"/>
      <c r="S44356"/>
      <c r="T44356"/>
      <c r="U44356"/>
      <c r="X44356" s="60"/>
    </row>
    <row r="44357" spans="7:24" ht="15" customHeight="1">
      <c r="G44357"/>
      <c r="I44357"/>
      <c r="N44357"/>
      <c r="O44357" s="24"/>
      <c r="P44357"/>
      <c r="Q44357" s="24"/>
      <c r="R44357"/>
      <c r="S44357"/>
      <c r="T44357"/>
      <c r="U44357"/>
      <c r="X44357" s="60"/>
    </row>
    <row r="44358" spans="7:24" ht="15" customHeight="1">
      <c r="G44358"/>
      <c r="I44358"/>
      <c r="N44358"/>
      <c r="O44358" s="24"/>
      <c r="P44358"/>
      <c r="Q44358" s="24"/>
      <c r="R44358"/>
      <c r="S44358"/>
      <c r="T44358"/>
      <c r="U44358"/>
      <c r="X44358" s="60"/>
    </row>
    <row r="44359" spans="7:24" ht="15" customHeight="1">
      <c r="G44359"/>
      <c r="I44359"/>
      <c r="N44359"/>
      <c r="O44359" s="24"/>
      <c r="P44359"/>
      <c r="Q44359" s="24"/>
      <c r="R44359"/>
      <c r="S44359"/>
      <c r="T44359"/>
      <c r="U44359"/>
      <c r="X44359" s="60"/>
    </row>
    <row r="44360" spans="7:24" ht="15" customHeight="1">
      <c r="G44360"/>
      <c r="I44360"/>
      <c r="N44360"/>
      <c r="O44360" s="24"/>
      <c r="P44360"/>
      <c r="Q44360" s="24"/>
      <c r="R44360"/>
      <c r="S44360"/>
      <c r="T44360"/>
      <c r="U44360"/>
      <c r="X44360" s="60"/>
    </row>
    <row r="44361" spans="7:24" ht="15" customHeight="1">
      <c r="G44361"/>
      <c r="I44361"/>
      <c r="N44361"/>
      <c r="O44361" s="24"/>
      <c r="P44361"/>
      <c r="Q44361" s="24"/>
      <c r="R44361"/>
      <c r="S44361"/>
      <c r="T44361"/>
      <c r="U44361"/>
      <c r="X44361" s="60"/>
    </row>
    <row r="44362" spans="7:24" ht="15" customHeight="1">
      <c r="G44362"/>
      <c r="I44362"/>
      <c r="N44362"/>
      <c r="O44362" s="24"/>
      <c r="P44362"/>
      <c r="Q44362" s="24"/>
      <c r="R44362"/>
      <c r="S44362"/>
      <c r="T44362"/>
      <c r="U44362"/>
      <c r="X44362" s="60"/>
    </row>
    <row r="44363" spans="7:24" ht="15" customHeight="1">
      <c r="G44363"/>
      <c r="I44363"/>
      <c r="N44363"/>
      <c r="O44363" s="24"/>
      <c r="P44363"/>
      <c r="Q44363" s="24"/>
      <c r="R44363"/>
      <c r="S44363"/>
      <c r="T44363"/>
      <c r="U44363"/>
      <c r="X44363" s="60"/>
    </row>
    <row r="44364" spans="7:24" ht="15" customHeight="1">
      <c r="G44364"/>
      <c r="I44364"/>
      <c r="N44364"/>
      <c r="O44364" s="24"/>
      <c r="P44364"/>
      <c r="Q44364" s="24"/>
      <c r="R44364"/>
      <c r="S44364"/>
      <c r="T44364"/>
      <c r="U44364"/>
      <c r="X44364" s="60"/>
    </row>
    <row r="44365" spans="7:24" ht="15" customHeight="1">
      <c r="G44365"/>
      <c r="I44365"/>
      <c r="N44365"/>
      <c r="O44365" s="24"/>
      <c r="P44365"/>
      <c r="Q44365" s="24"/>
      <c r="R44365"/>
      <c r="S44365"/>
      <c r="T44365"/>
      <c r="U44365"/>
      <c r="X44365" s="60"/>
    </row>
    <row r="44366" spans="7:24" ht="15" customHeight="1">
      <c r="G44366"/>
      <c r="I44366"/>
      <c r="N44366"/>
      <c r="O44366" s="24"/>
      <c r="P44366"/>
      <c r="Q44366" s="24"/>
      <c r="R44366"/>
      <c r="S44366"/>
      <c r="T44366"/>
      <c r="U44366"/>
      <c r="X44366" s="60"/>
    </row>
    <row r="44367" spans="7:24" ht="15" customHeight="1">
      <c r="G44367"/>
      <c r="I44367"/>
      <c r="N44367"/>
      <c r="O44367" s="24"/>
      <c r="P44367"/>
      <c r="Q44367" s="24"/>
      <c r="R44367"/>
      <c r="S44367"/>
      <c r="T44367"/>
      <c r="U44367"/>
      <c r="X44367" s="60"/>
    </row>
    <row r="44368" spans="7:24" ht="15" customHeight="1">
      <c r="G44368"/>
      <c r="I44368"/>
      <c r="N44368"/>
      <c r="O44368" s="24"/>
      <c r="P44368"/>
      <c r="Q44368" s="24"/>
      <c r="R44368"/>
      <c r="S44368"/>
      <c r="T44368"/>
      <c r="U44368"/>
      <c r="X44368" s="60"/>
    </row>
    <row r="44369" spans="7:24" ht="15" customHeight="1">
      <c r="G44369"/>
      <c r="I44369"/>
      <c r="N44369"/>
      <c r="O44369" s="24"/>
      <c r="P44369"/>
      <c r="Q44369" s="24"/>
      <c r="R44369"/>
      <c r="S44369"/>
      <c r="T44369"/>
      <c r="U44369"/>
      <c r="X44369" s="60"/>
    </row>
    <row r="44370" spans="7:24" ht="15" customHeight="1">
      <c r="G44370"/>
      <c r="I44370"/>
      <c r="N44370"/>
      <c r="O44370" s="24"/>
      <c r="P44370"/>
      <c r="Q44370" s="24"/>
      <c r="R44370"/>
      <c r="S44370"/>
      <c r="T44370"/>
      <c r="U44370"/>
      <c r="X44370" s="60"/>
    </row>
    <row r="44371" spans="7:24" ht="15" customHeight="1">
      <c r="G44371"/>
      <c r="I44371"/>
      <c r="N44371"/>
      <c r="O44371" s="24"/>
      <c r="P44371"/>
      <c r="Q44371" s="24"/>
      <c r="R44371"/>
      <c r="S44371"/>
      <c r="T44371"/>
      <c r="U44371"/>
      <c r="X44371" s="60"/>
    </row>
    <row r="44372" spans="7:24" ht="15" customHeight="1">
      <c r="G44372"/>
      <c r="I44372"/>
      <c r="N44372"/>
      <c r="O44372" s="24"/>
      <c r="P44372"/>
      <c r="Q44372" s="24"/>
      <c r="R44372"/>
      <c r="S44372"/>
      <c r="T44372"/>
      <c r="U44372"/>
      <c r="X44372" s="60"/>
    </row>
    <row r="44373" spans="7:24" ht="15" customHeight="1">
      <c r="G44373"/>
      <c r="I44373"/>
      <c r="N44373"/>
      <c r="O44373" s="24"/>
      <c r="P44373"/>
      <c r="Q44373" s="24"/>
      <c r="R44373"/>
      <c r="S44373"/>
      <c r="T44373"/>
      <c r="U44373"/>
      <c r="X44373" s="60"/>
    </row>
    <row r="44374" spans="7:24" ht="15" customHeight="1">
      <c r="G44374"/>
      <c r="I44374"/>
      <c r="N44374"/>
      <c r="O44374" s="24"/>
      <c r="P44374"/>
      <c r="Q44374" s="24"/>
      <c r="R44374"/>
      <c r="S44374"/>
      <c r="T44374"/>
      <c r="U44374"/>
      <c r="X44374" s="60"/>
    </row>
    <row r="44375" spans="7:24" ht="15" customHeight="1">
      <c r="G44375"/>
      <c r="I44375"/>
      <c r="N44375"/>
      <c r="O44375" s="24"/>
      <c r="P44375"/>
      <c r="Q44375" s="24"/>
      <c r="R44375"/>
      <c r="S44375"/>
      <c r="T44375"/>
      <c r="U44375"/>
      <c r="X44375" s="60"/>
    </row>
    <row r="44376" spans="7:24" ht="15" customHeight="1">
      <c r="G44376"/>
      <c r="I44376"/>
      <c r="N44376"/>
      <c r="O44376" s="24"/>
      <c r="P44376"/>
      <c r="Q44376" s="24"/>
      <c r="R44376"/>
      <c r="S44376"/>
      <c r="T44376"/>
      <c r="U44376"/>
      <c r="X44376" s="60"/>
    </row>
    <row r="44377" spans="7:24" ht="15" customHeight="1">
      <c r="G44377"/>
      <c r="I44377"/>
      <c r="N44377"/>
      <c r="O44377" s="24"/>
      <c r="P44377"/>
      <c r="Q44377" s="24"/>
      <c r="R44377"/>
      <c r="S44377"/>
      <c r="T44377"/>
      <c r="U44377"/>
      <c r="X44377" s="60"/>
    </row>
    <row r="44378" spans="7:24" ht="15" customHeight="1">
      <c r="G44378"/>
      <c r="I44378"/>
      <c r="N44378"/>
      <c r="O44378" s="24"/>
      <c r="P44378"/>
      <c r="Q44378" s="24"/>
      <c r="R44378"/>
      <c r="S44378"/>
      <c r="T44378"/>
      <c r="U44378"/>
      <c r="X44378" s="60"/>
    </row>
    <row r="44379" spans="7:24" ht="15" customHeight="1">
      <c r="G44379"/>
      <c r="I44379"/>
      <c r="N44379"/>
      <c r="O44379" s="24"/>
      <c r="P44379"/>
      <c r="Q44379" s="24"/>
      <c r="R44379"/>
      <c r="S44379"/>
      <c r="T44379"/>
      <c r="U44379"/>
      <c r="X44379" s="60"/>
    </row>
    <row r="44380" spans="7:24" ht="15" customHeight="1">
      <c r="G44380"/>
      <c r="I44380"/>
      <c r="N44380"/>
      <c r="O44380" s="24"/>
      <c r="P44380"/>
      <c r="Q44380" s="24"/>
      <c r="R44380"/>
      <c r="S44380"/>
      <c r="T44380"/>
      <c r="U44380"/>
      <c r="X44380" s="60"/>
    </row>
    <row r="44381" spans="7:24" ht="15" customHeight="1">
      <c r="G44381"/>
      <c r="I44381"/>
      <c r="N44381"/>
      <c r="O44381" s="24"/>
      <c r="P44381"/>
      <c r="Q44381" s="24"/>
      <c r="R44381"/>
      <c r="S44381"/>
      <c r="T44381"/>
      <c r="U44381"/>
      <c r="X44381" s="60"/>
    </row>
    <row r="44382" spans="7:24" ht="15" customHeight="1">
      <c r="G44382"/>
      <c r="I44382"/>
      <c r="N44382"/>
      <c r="O44382" s="24"/>
      <c r="P44382"/>
      <c r="Q44382" s="24"/>
      <c r="R44382"/>
      <c r="S44382"/>
      <c r="T44382"/>
      <c r="U44382"/>
      <c r="X44382" s="60"/>
    </row>
    <row r="44383" spans="7:24" ht="15" customHeight="1">
      <c r="G44383"/>
      <c r="I44383"/>
      <c r="N44383"/>
      <c r="O44383" s="24"/>
      <c r="P44383"/>
      <c r="Q44383" s="24"/>
      <c r="R44383"/>
      <c r="S44383"/>
      <c r="T44383"/>
      <c r="U44383"/>
      <c r="X44383" s="60"/>
    </row>
    <row r="44384" spans="7:24" ht="15" customHeight="1">
      <c r="G44384"/>
      <c r="I44384"/>
      <c r="N44384"/>
      <c r="O44384" s="24"/>
      <c r="P44384"/>
      <c r="Q44384" s="24"/>
      <c r="R44384"/>
      <c r="S44384"/>
      <c r="T44384"/>
      <c r="U44384"/>
      <c r="X44384" s="60"/>
    </row>
    <row r="44385" spans="7:24" ht="15" customHeight="1">
      <c r="G44385"/>
      <c r="I44385"/>
      <c r="N44385"/>
      <c r="O44385" s="24"/>
      <c r="P44385"/>
      <c r="Q44385" s="24"/>
      <c r="R44385"/>
      <c r="S44385"/>
      <c r="T44385"/>
      <c r="U44385"/>
      <c r="X44385" s="60"/>
    </row>
    <row r="44386" spans="7:24" ht="15" customHeight="1">
      <c r="G44386"/>
      <c r="I44386"/>
      <c r="N44386"/>
      <c r="O44386" s="24"/>
      <c r="P44386"/>
      <c r="Q44386" s="24"/>
      <c r="R44386"/>
      <c r="S44386"/>
      <c r="T44386"/>
      <c r="U44386"/>
      <c r="X44386" s="60"/>
    </row>
    <row r="44387" spans="7:24" ht="15" customHeight="1">
      <c r="G44387"/>
      <c r="I44387"/>
      <c r="N44387"/>
      <c r="O44387" s="24"/>
      <c r="P44387"/>
      <c r="Q44387" s="24"/>
      <c r="R44387"/>
      <c r="S44387"/>
      <c r="T44387"/>
      <c r="U44387"/>
      <c r="X44387" s="60"/>
    </row>
    <row r="44388" spans="7:24" ht="15" customHeight="1">
      <c r="G44388"/>
      <c r="I44388"/>
      <c r="N44388"/>
      <c r="O44388" s="24"/>
      <c r="P44388"/>
      <c r="Q44388" s="24"/>
      <c r="R44388"/>
      <c r="S44388"/>
      <c r="T44388"/>
      <c r="U44388"/>
      <c r="X44388" s="60"/>
    </row>
    <row r="44389" spans="7:24" ht="15" customHeight="1">
      <c r="G44389"/>
      <c r="I44389"/>
      <c r="N44389"/>
      <c r="O44389" s="24"/>
      <c r="P44389"/>
      <c r="Q44389" s="24"/>
      <c r="R44389"/>
      <c r="S44389"/>
      <c r="T44389"/>
      <c r="U44389"/>
      <c r="X44389" s="60"/>
    </row>
    <row r="44390" spans="7:24" ht="15" customHeight="1">
      <c r="G44390"/>
      <c r="I44390"/>
      <c r="N44390"/>
      <c r="O44390" s="24"/>
      <c r="P44390"/>
      <c r="Q44390" s="24"/>
      <c r="R44390"/>
      <c r="S44390"/>
      <c r="T44390"/>
      <c r="U44390"/>
      <c r="X44390" s="60"/>
    </row>
    <row r="44391" spans="7:24" ht="15" customHeight="1">
      <c r="G44391"/>
      <c r="I44391"/>
      <c r="N44391"/>
      <c r="O44391" s="24"/>
      <c r="P44391"/>
      <c r="Q44391" s="24"/>
      <c r="R44391"/>
      <c r="S44391"/>
      <c r="T44391"/>
      <c r="U44391"/>
      <c r="X44391" s="60"/>
    </row>
    <row r="44392" spans="7:24" ht="15" customHeight="1">
      <c r="G44392"/>
      <c r="I44392"/>
      <c r="N44392"/>
      <c r="O44392" s="24"/>
      <c r="P44392"/>
      <c r="Q44392" s="24"/>
      <c r="R44392"/>
      <c r="S44392"/>
      <c r="T44392"/>
      <c r="U44392"/>
      <c r="X44392" s="60"/>
    </row>
    <row r="44393" spans="7:24" ht="15" customHeight="1">
      <c r="G44393"/>
      <c r="I44393"/>
      <c r="N44393"/>
      <c r="O44393" s="24"/>
      <c r="P44393"/>
      <c r="Q44393" s="24"/>
      <c r="R44393"/>
      <c r="S44393"/>
      <c r="T44393"/>
      <c r="U44393"/>
      <c r="X44393" s="60"/>
    </row>
    <row r="44394" spans="7:24" ht="15" customHeight="1">
      <c r="G44394"/>
      <c r="I44394"/>
      <c r="N44394"/>
      <c r="O44394" s="24"/>
      <c r="P44394"/>
      <c r="Q44394" s="24"/>
      <c r="R44394"/>
      <c r="S44394"/>
      <c r="T44394"/>
      <c r="U44394"/>
      <c r="X44394" s="60"/>
    </row>
    <row r="44395" spans="7:24" ht="15" customHeight="1">
      <c r="G44395"/>
      <c r="I44395"/>
      <c r="N44395"/>
      <c r="O44395" s="24"/>
      <c r="P44395"/>
      <c r="Q44395" s="24"/>
      <c r="R44395"/>
      <c r="S44395"/>
      <c r="T44395"/>
      <c r="U44395"/>
      <c r="X44395" s="60"/>
    </row>
    <row r="44396" spans="7:24" ht="15" customHeight="1">
      <c r="G44396"/>
      <c r="I44396"/>
      <c r="N44396"/>
      <c r="O44396" s="24"/>
      <c r="P44396"/>
      <c r="Q44396" s="24"/>
      <c r="R44396"/>
      <c r="S44396"/>
      <c r="T44396"/>
      <c r="U44396"/>
      <c r="X44396" s="60"/>
    </row>
    <row r="44397" spans="7:24" ht="15" customHeight="1">
      <c r="G44397"/>
      <c r="I44397"/>
      <c r="N44397"/>
      <c r="O44397" s="24"/>
      <c r="P44397"/>
      <c r="Q44397" s="24"/>
      <c r="R44397"/>
      <c r="S44397"/>
      <c r="T44397"/>
      <c r="U44397"/>
      <c r="X44397" s="60"/>
    </row>
    <row r="44398" spans="7:24" ht="15" customHeight="1">
      <c r="G44398"/>
      <c r="I44398"/>
      <c r="N44398"/>
      <c r="O44398" s="24"/>
      <c r="P44398"/>
      <c r="Q44398" s="24"/>
      <c r="R44398"/>
      <c r="S44398"/>
      <c r="T44398"/>
      <c r="U44398"/>
      <c r="X44398" s="60"/>
    </row>
    <row r="44399" spans="7:24" ht="15" customHeight="1">
      <c r="G44399"/>
      <c r="I44399"/>
      <c r="N44399"/>
      <c r="O44399" s="24"/>
      <c r="P44399"/>
      <c r="Q44399" s="24"/>
      <c r="R44399"/>
      <c r="S44399"/>
      <c r="T44399"/>
      <c r="U44399"/>
      <c r="X44399" s="60"/>
    </row>
    <row r="44400" spans="7:24" ht="15" customHeight="1">
      <c r="G44400"/>
      <c r="I44400"/>
      <c r="N44400"/>
      <c r="O44400" s="24"/>
      <c r="P44400"/>
      <c r="Q44400" s="24"/>
      <c r="R44400"/>
      <c r="S44400"/>
      <c r="T44400"/>
      <c r="U44400"/>
      <c r="X44400" s="60"/>
    </row>
    <row r="44401" spans="7:24" ht="15" customHeight="1">
      <c r="G44401"/>
      <c r="I44401"/>
      <c r="N44401"/>
      <c r="O44401" s="24"/>
      <c r="P44401"/>
      <c r="Q44401" s="24"/>
      <c r="R44401"/>
      <c r="S44401"/>
      <c r="T44401"/>
      <c r="U44401"/>
      <c r="X44401" s="60"/>
    </row>
    <row r="44402" spans="7:24" ht="15" customHeight="1">
      <c r="G44402"/>
      <c r="I44402"/>
      <c r="N44402"/>
      <c r="O44402" s="24"/>
      <c r="P44402"/>
      <c r="Q44402" s="24"/>
      <c r="R44402"/>
      <c r="S44402"/>
      <c r="T44402"/>
      <c r="U44402"/>
      <c r="X44402" s="60"/>
    </row>
    <row r="44403" spans="7:24" ht="15" customHeight="1">
      <c r="G44403"/>
      <c r="I44403"/>
      <c r="N44403"/>
      <c r="O44403" s="24"/>
      <c r="P44403"/>
      <c r="Q44403" s="24"/>
      <c r="R44403"/>
      <c r="S44403"/>
      <c r="T44403"/>
      <c r="U44403"/>
      <c r="X44403" s="60"/>
    </row>
    <row r="44404" spans="7:24" ht="15" customHeight="1">
      <c r="G44404"/>
      <c r="I44404"/>
      <c r="N44404"/>
      <c r="O44404" s="24"/>
      <c r="P44404"/>
      <c r="Q44404" s="24"/>
      <c r="R44404"/>
      <c r="S44404"/>
      <c r="T44404"/>
      <c r="U44404"/>
      <c r="X44404" s="60"/>
    </row>
    <row r="44405" spans="7:24" ht="15" customHeight="1">
      <c r="G44405"/>
      <c r="I44405"/>
      <c r="N44405"/>
      <c r="O44405" s="24"/>
      <c r="P44405"/>
      <c r="Q44405" s="24"/>
      <c r="R44405"/>
      <c r="S44405"/>
      <c r="T44405"/>
      <c r="U44405"/>
      <c r="X44405" s="60"/>
    </row>
    <row r="44406" spans="7:24" ht="15" customHeight="1">
      <c r="G44406"/>
      <c r="I44406"/>
      <c r="N44406"/>
      <c r="O44406" s="24"/>
      <c r="P44406"/>
      <c r="Q44406" s="24"/>
      <c r="R44406"/>
      <c r="S44406"/>
      <c r="T44406"/>
      <c r="U44406"/>
      <c r="X44406" s="60"/>
    </row>
    <row r="44407" spans="7:24" ht="15" customHeight="1">
      <c r="G44407"/>
      <c r="I44407"/>
      <c r="N44407"/>
      <c r="O44407" s="24"/>
      <c r="P44407"/>
      <c r="Q44407" s="24"/>
      <c r="R44407"/>
      <c r="S44407"/>
      <c r="T44407"/>
      <c r="U44407"/>
      <c r="X44407" s="60"/>
    </row>
    <row r="44408" spans="7:24" ht="15" customHeight="1">
      <c r="G44408"/>
      <c r="I44408"/>
      <c r="N44408"/>
      <c r="O44408" s="24"/>
      <c r="P44408"/>
      <c r="Q44408" s="24"/>
      <c r="R44408"/>
      <c r="S44408"/>
      <c r="T44408"/>
      <c r="U44408"/>
      <c r="X44408" s="60"/>
    </row>
    <row r="44409" spans="7:24" ht="15" customHeight="1">
      <c r="G44409"/>
      <c r="I44409"/>
      <c r="N44409"/>
      <c r="O44409" s="24"/>
      <c r="P44409"/>
      <c r="Q44409" s="24"/>
      <c r="R44409"/>
      <c r="S44409"/>
      <c r="T44409"/>
      <c r="U44409"/>
      <c r="X44409" s="60"/>
    </row>
    <row r="44410" spans="7:24" ht="15" customHeight="1">
      <c r="G44410"/>
      <c r="I44410"/>
      <c r="N44410"/>
      <c r="O44410" s="24"/>
      <c r="P44410"/>
      <c r="Q44410" s="24"/>
      <c r="R44410"/>
      <c r="S44410"/>
      <c r="T44410"/>
      <c r="U44410"/>
      <c r="X44410" s="60"/>
    </row>
    <row r="44411" spans="7:24" ht="15" customHeight="1">
      <c r="G44411"/>
      <c r="I44411"/>
      <c r="N44411"/>
      <c r="O44411" s="24"/>
      <c r="P44411"/>
      <c r="Q44411" s="24"/>
      <c r="R44411"/>
      <c r="S44411"/>
      <c r="T44411"/>
      <c r="U44411"/>
      <c r="X44411" s="60"/>
    </row>
    <row r="44412" spans="7:24" ht="15" customHeight="1">
      <c r="G44412"/>
      <c r="I44412"/>
      <c r="N44412"/>
      <c r="O44412" s="24"/>
      <c r="P44412"/>
      <c r="Q44412" s="24"/>
      <c r="R44412"/>
      <c r="S44412"/>
      <c r="T44412"/>
      <c r="U44412"/>
      <c r="X44412" s="60"/>
    </row>
    <row r="44413" spans="7:24" ht="15" customHeight="1">
      <c r="G44413"/>
      <c r="I44413"/>
      <c r="N44413"/>
      <c r="O44413" s="24"/>
      <c r="P44413"/>
      <c r="Q44413" s="24"/>
      <c r="R44413"/>
      <c r="S44413"/>
      <c r="T44413"/>
      <c r="U44413"/>
      <c r="X44413" s="60"/>
    </row>
    <row r="44414" spans="7:24" ht="15" customHeight="1">
      <c r="G44414"/>
      <c r="I44414"/>
      <c r="N44414"/>
      <c r="O44414" s="24"/>
      <c r="P44414"/>
      <c r="Q44414" s="24"/>
      <c r="R44414"/>
      <c r="S44414"/>
      <c r="T44414"/>
      <c r="U44414"/>
      <c r="X44414" s="60"/>
    </row>
    <row r="44415" spans="7:24" ht="15" customHeight="1">
      <c r="G44415"/>
      <c r="I44415"/>
      <c r="N44415"/>
      <c r="O44415" s="24"/>
      <c r="P44415"/>
      <c r="Q44415" s="24"/>
      <c r="R44415"/>
      <c r="S44415"/>
      <c r="T44415"/>
      <c r="U44415"/>
      <c r="X44415" s="60"/>
    </row>
    <row r="44416" spans="7:24" ht="15" customHeight="1">
      <c r="G44416"/>
      <c r="I44416"/>
      <c r="N44416"/>
      <c r="O44416" s="24"/>
      <c r="P44416"/>
      <c r="Q44416" s="24"/>
      <c r="R44416"/>
      <c r="S44416"/>
      <c r="T44416"/>
      <c r="U44416"/>
      <c r="X44416" s="60"/>
    </row>
    <row r="44417" spans="7:24" ht="15" customHeight="1">
      <c r="G44417"/>
      <c r="I44417"/>
      <c r="N44417"/>
      <c r="O44417" s="24"/>
      <c r="P44417"/>
      <c r="Q44417" s="24"/>
      <c r="R44417"/>
      <c r="S44417"/>
      <c r="T44417"/>
      <c r="U44417"/>
      <c r="X44417" s="60"/>
    </row>
    <row r="44418" spans="7:24" ht="15" customHeight="1">
      <c r="G44418"/>
      <c r="I44418"/>
      <c r="N44418"/>
      <c r="O44418" s="24"/>
      <c r="P44418"/>
      <c r="Q44418" s="24"/>
      <c r="R44418"/>
      <c r="S44418"/>
      <c r="T44418"/>
      <c r="U44418"/>
      <c r="X44418" s="60"/>
    </row>
    <row r="44419" spans="7:24" ht="15" customHeight="1">
      <c r="G44419"/>
      <c r="I44419"/>
      <c r="N44419"/>
      <c r="O44419" s="24"/>
      <c r="P44419"/>
      <c r="Q44419" s="24"/>
      <c r="R44419"/>
      <c r="S44419"/>
      <c r="T44419"/>
      <c r="U44419"/>
      <c r="X44419" s="60"/>
    </row>
    <row r="44420" spans="7:24" ht="15" customHeight="1">
      <c r="G44420"/>
      <c r="I44420"/>
      <c r="N44420"/>
      <c r="O44420" s="24"/>
      <c r="P44420"/>
      <c r="Q44420" s="24"/>
      <c r="R44420"/>
      <c r="S44420"/>
      <c r="T44420"/>
      <c r="U44420"/>
      <c r="X44420" s="60"/>
    </row>
    <row r="44421" spans="7:24" ht="15" customHeight="1">
      <c r="G44421"/>
      <c r="I44421"/>
      <c r="N44421"/>
      <c r="O44421" s="24"/>
      <c r="P44421"/>
      <c r="Q44421" s="24"/>
      <c r="R44421"/>
      <c r="S44421"/>
      <c r="T44421"/>
      <c r="U44421"/>
      <c r="X44421" s="60"/>
    </row>
    <row r="44422" spans="7:24" ht="15" customHeight="1">
      <c r="G44422"/>
      <c r="I44422"/>
      <c r="N44422"/>
      <c r="O44422" s="24"/>
      <c r="P44422"/>
      <c r="Q44422" s="24"/>
      <c r="R44422"/>
      <c r="S44422"/>
      <c r="T44422"/>
      <c r="U44422"/>
      <c r="X44422" s="60"/>
    </row>
    <row r="44423" spans="7:24" ht="15" customHeight="1">
      <c r="G44423"/>
      <c r="I44423"/>
      <c r="N44423"/>
      <c r="O44423" s="24"/>
      <c r="P44423"/>
      <c r="Q44423" s="24"/>
      <c r="R44423"/>
      <c r="S44423"/>
      <c r="T44423"/>
      <c r="U44423"/>
      <c r="X44423" s="60"/>
    </row>
    <row r="44424" spans="7:24" ht="15" customHeight="1">
      <c r="G44424"/>
      <c r="I44424"/>
      <c r="N44424"/>
      <c r="O44424" s="24"/>
      <c r="P44424"/>
      <c r="Q44424" s="24"/>
      <c r="R44424"/>
      <c r="S44424"/>
      <c r="T44424"/>
      <c r="U44424"/>
      <c r="X44424" s="60"/>
    </row>
    <row r="44425" spans="7:24" ht="15" customHeight="1">
      <c r="G44425"/>
      <c r="I44425"/>
      <c r="N44425"/>
      <c r="O44425" s="24"/>
      <c r="P44425"/>
      <c r="Q44425" s="24"/>
      <c r="R44425"/>
      <c r="S44425"/>
      <c r="T44425"/>
      <c r="U44425"/>
      <c r="X44425" s="60"/>
    </row>
    <row r="44426" spans="7:24" ht="15" customHeight="1">
      <c r="G44426"/>
      <c r="I44426"/>
      <c r="N44426"/>
      <c r="O44426" s="24"/>
      <c r="P44426"/>
      <c r="Q44426" s="24"/>
      <c r="R44426"/>
      <c r="S44426"/>
      <c r="T44426"/>
      <c r="U44426"/>
      <c r="X44426" s="60"/>
    </row>
    <row r="44427" spans="7:24" ht="15" customHeight="1">
      <c r="G44427"/>
      <c r="I44427"/>
      <c r="N44427"/>
      <c r="O44427" s="24"/>
      <c r="P44427"/>
      <c r="Q44427" s="24"/>
      <c r="R44427"/>
      <c r="S44427"/>
      <c r="T44427"/>
      <c r="U44427"/>
      <c r="X44427" s="60"/>
    </row>
    <row r="44428" spans="7:24" ht="15" customHeight="1">
      <c r="G44428"/>
      <c r="I44428"/>
      <c r="N44428"/>
      <c r="O44428" s="24"/>
      <c r="P44428"/>
      <c r="Q44428" s="24"/>
      <c r="R44428"/>
      <c r="S44428"/>
      <c r="T44428"/>
      <c r="U44428"/>
      <c r="X44428" s="60"/>
    </row>
    <row r="44429" spans="7:24" ht="15" customHeight="1">
      <c r="G44429"/>
      <c r="I44429"/>
      <c r="N44429"/>
      <c r="O44429" s="24"/>
      <c r="P44429"/>
      <c r="Q44429" s="24"/>
      <c r="R44429"/>
      <c r="S44429"/>
      <c r="T44429"/>
      <c r="U44429"/>
      <c r="X44429" s="60"/>
    </row>
    <row r="44430" spans="7:24" ht="15" customHeight="1">
      <c r="G44430"/>
      <c r="I44430"/>
      <c r="N44430"/>
      <c r="O44430" s="24"/>
      <c r="P44430"/>
      <c r="Q44430" s="24"/>
      <c r="R44430"/>
      <c r="S44430"/>
      <c r="T44430"/>
      <c r="U44430"/>
      <c r="X44430" s="60"/>
    </row>
    <row r="44431" spans="7:24" ht="15" customHeight="1">
      <c r="G44431"/>
      <c r="I44431"/>
      <c r="N44431"/>
      <c r="O44431" s="24"/>
      <c r="P44431"/>
      <c r="Q44431" s="24"/>
      <c r="R44431"/>
      <c r="S44431"/>
      <c r="T44431"/>
      <c r="U44431"/>
      <c r="X44431" s="60"/>
    </row>
    <row r="44432" spans="7:24" ht="15" customHeight="1">
      <c r="G44432"/>
      <c r="I44432"/>
      <c r="N44432"/>
      <c r="O44432" s="24"/>
      <c r="P44432"/>
      <c r="Q44432" s="24"/>
      <c r="R44432"/>
      <c r="S44432"/>
      <c r="T44432"/>
      <c r="U44432"/>
      <c r="X44432" s="60"/>
    </row>
    <row r="44433" spans="7:24" ht="15" customHeight="1">
      <c r="G44433"/>
      <c r="I44433"/>
      <c r="N44433"/>
      <c r="O44433" s="24"/>
      <c r="P44433"/>
      <c r="Q44433" s="24"/>
      <c r="R44433"/>
      <c r="S44433"/>
      <c r="T44433"/>
      <c r="U44433"/>
      <c r="X44433" s="60"/>
    </row>
    <row r="44434" spans="7:24" ht="15" customHeight="1">
      <c r="G44434"/>
      <c r="I44434"/>
      <c r="N44434"/>
      <c r="O44434" s="24"/>
      <c r="P44434"/>
      <c r="Q44434" s="24"/>
      <c r="R44434"/>
      <c r="S44434"/>
      <c r="T44434"/>
      <c r="U44434"/>
      <c r="X44434" s="60"/>
    </row>
    <row r="44435" spans="7:24" ht="15" customHeight="1">
      <c r="G44435"/>
      <c r="I44435"/>
      <c r="N44435"/>
      <c r="O44435" s="24"/>
      <c r="P44435"/>
      <c r="Q44435" s="24"/>
      <c r="R44435"/>
      <c r="S44435"/>
      <c r="T44435"/>
      <c r="U44435"/>
      <c r="X44435" s="60"/>
    </row>
    <row r="44436" spans="7:24" ht="15" customHeight="1">
      <c r="G44436"/>
      <c r="I44436"/>
      <c r="N44436"/>
      <c r="O44436" s="24"/>
      <c r="P44436"/>
      <c r="Q44436" s="24"/>
      <c r="R44436"/>
      <c r="S44436"/>
      <c r="T44436"/>
      <c r="U44436"/>
      <c r="X44436" s="60"/>
    </row>
    <row r="44437" spans="7:24" ht="15" customHeight="1">
      <c r="G44437"/>
      <c r="I44437"/>
      <c r="N44437"/>
      <c r="O44437" s="24"/>
      <c r="P44437"/>
      <c r="Q44437" s="24"/>
      <c r="R44437"/>
      <c r="S44437"/>
      <c r="T44437"/>
      <c r="U44437"/>
      <c r="X44437" s="60"/>
    </row>
    <row r="44438" spans="7:24" ht="15" customHeight="1">
      <c r="G44438"/>
      <c r="I44438"/>
      <c r="N44438"/>
      <c r="O44438" s="24"/>
      <c r="P44438"/>
      <c r="Q44438" s="24"/>
      <c r="R44438"/>
      <c r="S44438"/>
      <c r="T44438"/>
      <c r="U44438"/>
      <c r="X44438" s="60"/>
    </row>
    <row r="44439" spans="7:24" ht="15" customHeight="1">
      <c r="G44439"/>
      <c r="I44439"/>
      <c r="N44439"/>
      <c r="O44439" s="24"/>
      <c r="P44439"/>
      <c r="Q44439" s="24"/>
      <c r="R44439"/>
      <c r="S44439"/>
      <c r="T44439"/>
      <c r="U44439"/>
      <c r="X44439" s="60"/>
    </row>
    <row r="44440" spans="7:24" ht="15" customHeight="1">
      <c r="G44440"/>
      <c r="I44440"/>
      <c r="N44440"/>
      <c r="O44440" s="24"/>
      <c r="P44440"/>
      <c r="Q44440" s="24"/>
      <c r="R44440"/>
      <c r="S44440"/>
      <c r="T44440"/>
      <c r="U44440"/>
      <c r="X44440" s="60"/>
    </row>
    <row r="44441" spans="7:24" ht="15" customHeight="1">
      <c r="G44441"/>
      <c r="I44441"/>
      <c r="N44441"/>
      <c r="O44441" s="24"/>
      <c r="P44441"/>
      <c r="Q44441" s="24"/>
      <c r="R44441"/>
      <c r="S44441"/>
      <c r="T44441"/>
      <c r="U44441"/>
      <c r="X44441" s="60"/>
    </row>
    <row r="44442" spans="7:24" ht="15" customHeight="1">
      <c r="G44442"/>
      <c r="I44442"/>
      <c r="N44442"/>
      <c r="O44442" s="24"/>
      <c r="P44442"/>
      <c r="Q44442" s="24"/>
      <c r="R44442"/>
      <c r="S44442"/>
      <c r="T44442"/>
      <c r="U44442"/>
      <c r="X44442" s="60"/>
    </row>
    <row r="44443" spans="7:24" ht="15" customHeight="1">
      <c r="G44443"/>
      <c r="I44443"/>
      <c r="N44443"/>
      <c r="O44443" s="24"/>
      <c r="P44443"/>
      <c r="Q44443" s="24"/>
      <c r="R44443"/>
      <c r="S44443"/>
      <c r="T44443"/>
      <c r="U44443"/>
      <c r="X44443" s="60"/>
    </row>
    <row r="44444" spans="7:24" ht="15" customHeight="1">
      <c r="G44444"/>
      <c r="I44444"/>
      <c r="N44444"/>
      <c r="O44444" s="24"/>
      <c r="P44444"/>
      <c r="Q44444" s="24"/>
      <c r="R44444"/>
      <c r="S44444"/>
      <c r="T44444"/>
      <c r="U44444"/>
      <c r="X44444" s="60"/>
    </row>
    <row r="44445" spans="7:24" ht="15" customHeight="1">
      <c r="G44445"/>
      <c r="I44445"/>
      <c r="N44445"/>
      <c r="O44445" s="24"/>
      <c r="P44445"/>
      <c r="Q44445" s="24"/>
      <c r="R44445"/>
      <c r="S44445"/>
      <c r="T44445"/>
      <c r="U44445"/>
      <c r="X44445" s="60"/>
    </row>
    <row r="44446" spans="7:24" ht="15" customHeight="1">
      <c r="G44446"/>
      <c r="I44446"/>
      <c r="N44446"/>
      <c r="O44446" s="24"/>
      <c r="P44446"/>
      <c r="Q44446" s="24"/>
      <c r="R44446"/>
      <c r="S44446"/>
      <c r="T44446"/>
      <c r="U44446"/>
      <c r="X44446" s="60"/>
    </row>
    <row r="44447" spans="7:24" ht="15" customHeight="1">
      <c r="G44447"/>
      <c r="I44447"/>
      <c r="N44447"/>
      <c r="O44447" s="24"/>
      <c r="P44447"/>
      <c r="Q44447" s="24"/>
      <c r="R44447"/>
      <c r="S44447"/>
      <c r="T44447"/>
      <c r="U44447"/>
      <c r="X44447" s="60"/>
    </row>
    <row r="44448" spans="7:24" ht="15" customHeight="1">
      <c r="G44448"/>
      <c r="I44448"/>
      <c r="N44448"/>
      <c r="O44448" s="24"/>
      <c r="P44448"/>
      <c r="Q44448" s="24"/>
      <c r="R44448"/>
      <c r="S44448"/>
      <c r="T44448"/>
      <c r="U44448"/>
      <c r="X44448" s="60"/>
    </row>
    <row r="44449" spans="7:24" ht="15" customHeight="1">
      <c r="G44449"/>
      <c r="I44449"/>
      <c r="N44449"/>
      <c r="O44449" s="24"/>
      <c r="P44449"/>
      <c r="Q44449" s="24"/>
      <c r="R44449"/>
      <c r="S44449"/>
      <c r="T44449"/>
      <c r="U44449"/>
      <c r="X44449" s="60"/>
    </row>
    <row r="44450" spans="7:24" ht="15" customHeight="1">
      <c r="G44450"/>
      <c r="I44450"/>
      <c r="N44450"/>
      <c r="O44450" s="24"/>
      <c r="P44450"/>
      <c r="Q44450" s="24"/>
      <c r="R44450"/>
      <c r="S44450"/>
      <c r="T44450"/>
      <c r="U44450"/>
      <c r="X44450" s="60"/>
    </row>
    <row r="44451" spans="7:24" ht="15" customHeight="1">
      <c r="G44451"/>
      <c r="I44451"/>
      <c r="N44451"/>
      <c r="O44451" s="24"/>
      <c r="P44451"/>
      <c r="Q44451" s="24"/>
      <c r="R44451"/>
      <c r="S44451"/>
      <c r="T44451"/>
      <c r="U44451"/>
      <c r="X44451" s="60"/>
    </row>
    <row r="44452" spans="7:24" ht="15" customHeight="1">
      <c r="G44452"/>
      <c r="I44452"/>
      <c r="N44452"/>
      <c r="O44452" s="24"/>
      <c r="P44452"/>
      <c r="Q44452" s="24"/>
      <c r="R44452"/>
      <c r="S44452"/>
      <c r="T44452"/>
      <c r="U44452"/>
      <c r="X44452" s="60"/>
    </row>
    <row r="44453" spans="7:24" ht="15" customHeight="1">
      <c r="G44453"/>
      <c r="I44453"/>
      <c r="N44453"/>
      <c r="O44453" s="24"/>
      <c r="P44453"/>
      <c r="Q44453" s="24"/>
      <c r="R44453"/>
      <c r="S44453"/>
      <c r="T44453"/>
      <c r="U44453"/>
      <c r="X44453" s="60"/>
    </row>
    <row r="44454" spans="7:24" ht="15" customHeight="1">
      <c r="G44454"/>
      <c r="I44454"/>
      <c r="N44454"/>
      <c r="O44454" s="24"/>
      <c r="P44454"/>
      <c r="Q44454" s="24"/>
      <c r="R44454"/>
      <c r="S44454"/>
      <c r="T44454"/>
      <c r="U44454"/>
      <c r="X44454" s="60"/>
    </row>
    <row r="44455" spans="7:24" ht="15" customHeight="1">
      <c r="G44455"/>
      <c r="I44455"/>
      <c r="N44455"/>
      <c r="O44455" s="24"/>
      <c r="P44455"/>
      <c r="Q44455" s="24"/>
      <c r="R44455"/>
      <c r="S44455"/>
      <c r="T44455"/>
      <c r="U44455"/>
      <c r="X44455" s="60"/>
    </row>
    <row r="44456" spans="7:24" ht="15" customHeight="1">
      <c r="G44456"/>
      <c r="I44456"/>
      <c r="N44456"/>
      <c r="O44456" s="24"/>
      <c r="P44456"/>
      <c r="Q44456" s="24"/>
      <c r="R44456"/>
      <c r="S44456"/>
      <c r="T44456"/>
      <c r="U44456"/>
      <c r="X44456" s="60"/>
    </row>
    <row r="44457" spans="7:24" ht="15" customHeight="1">
      <c r="G44457"/>
      <c r="I44457"/>
      <c r="N44457"/>
      <c r="O44457" s="24"/>
      <c r="P44457"/>
      <c r="Q44457" s="24"/>
      <c r="R44457"/>
      <c r="S44457"/>
      <c r="T44457"/>
      <c r="U44457"/>
      <c r="X44457" s="60"/>
    </row>
    <row r="44458" spans="7:24" ht="15" customHeight="1">
      <c r="G44458"/>
      <c r="I44458"/>
      <c r="N44458"/>
      <c r="O44458" s="24"/>
      <c r="P44458"/>
      <c r="Q44458" s="24"/>
      <c r="R44458"/>
      <c r="S44458"/>
      <c r="T44458"/>
      <c r="U44458"/>
      <c r="X44458" s="60"/>
    </row>
    <row r="44459" spans="7:24" ht="15" customHeight="1">
      <c r="G44459"/>
      <c r="I44459"/>
      <c r="N44459"/>
      <c r="O44459" s="24"/>
      <c r="P44459"/>
      <c r="Q44459" s="24"/>
      <c r="R44459"/>
      <c r="S44459"/>
      <c r="T44459"/>
      <c r="U44459"/>
      <c r="X44459" s="60"/>
    </row>
    <row r="44460" spans="7:24" ht="15" customHeight="1">
      <c r="G44460"/>
      <c r="I44460"/>
      <c r="N44460"/>
      <c r="O44460" s="24"/>
      <c r="P44460"/>
      <c r="Q44460" s="24"/>
      <c r="R44460"/>
      <c r="S44460"/>
      <c r="T44460"/>
      <c r="U44460"/>
      <c r="X44460" s="60"/>
    </row>
    <row r="44461" spans="7:24" ht="15" customHeight="1">
      <c r="G44461"/>
      <c r="I44461"/>
      <c r="N44461"/>
      <c r="O44461" s="24"/>
      <c r="P44461"/>
      <c r="Q44461" s="24"/>
      <c r="R44461"/>
      <c r="S44461"/>
      <c r="T44461"/>
      <c r="U44461"/>
      <c r="X44461" s="60"/>
    </row>
    <row r="44462" spans="7:24" ht="15" customHeight="1">
      <c r="G44462"/>
      <c r="I44462"/>
      <c r="N44462"/>
      <c r="O44462" s="24"/>
      <c r="P44462"/>
      <c r="Q44462" s="24"/>
      <c r="R44462"/>
      <c r="S44462"/>
      <c r="T44462"/>
      <c r="U44462"/>
      <c r="X44462" s="60"/>
    </row>
    <row r="44463" spans="7:24" ht="15" customHeight="1">
      <c r="G44463"/>
      <c r="I44463"/>
      <c r="N44463"/>
      <c r="O44463" s="24"/>
      <c r="P44463"/>
      <c r="Q44463" s="24"/>
      <c r="R44463"/>
      <c r="S44463"/>
      <c r="T44463"/>
      <c r="U44463"/>
      <c r="X44463" s="60"/>
    </row>
    <row r="44464" spans="7:24" ht="15" customHeight="1">
      <c r="G44464"/>
      <c r="I44464"/>
      <c r="N44464"/>
      <c r="O44464" s="24"/>
      <c r="P44464"/>
      <c r="Q44464" s="24"/>
      <c r="R44464"/>
      <c r="S44464"/>
      <c r="T44464"/>
      <c r="U44464"/>
      <c r="X44464" s="60"/>
    </row>
    <row r="44465" spans="7:24" ht="15" customHeight="1">
      <c r="G44465"/>
      <c r="I44465"/>
      <c r="N44465"/>
      <c r="O44465" s="24"/>
      <c r="P44465"/>
      <c r="Q44465" s="24"/>
      <c r="R44465"/>
      <c r="S44465"/>
      <c r="T44465"/>
      <c r="U44465"/>
      <c r="X44465" s="60"/>
    </row>
    <row r="44466" spans="7:24" ht="15" customHeight="1">
      <c r="G44466"/>
      <c r="I44466"/>
      <c r="N44466"/>
      <c r="O44466" s="24"/>
      <c r="P44466"/>
      <c r="Q44466" s="24"/>
      <c r="R44466"/>
      <c r="S44466"/>
      <c r="T44466"/>
      <c r="U44466"/>
      <c r="X44466" s="60"/>
    </row>
    <row r="44467" spans="7:24" ht="15" customHeight="1">
      <c r="G44467"/>
      <c r="I44467"/>
      <c r="N44467"/>
      <c r="O44467" s="24"/>
      <c r="P44467"/>
      <c r="Q44467" s="24"/>
      <c r="R44467"/>
      <c r="S44467"/>
      <c r="T44467"/>
      <c r="U44467"/>
      <c r="X44467" s="60"/>
    </row>
    <row r="44468" spans="7:24" ht="15" customHeight="1">
      <c r="G44468"/>
      <c r="I44468"/>
      <c r="N44468"/>
      <c r="O44468" s="24"/>
      <c r="P44468"/>
      <c r="Q44468" s="24"/>
      <c r="R44468"/>
      <c r="S44468"/>
      <c r="T44468"/>
      <c r="U44468"/>
      <c r="X44468" s="60"/>
    </row>
    <row r="44469" spans="7:24" ht="15" customHeight="1">
      <c r="G44469"/>
      <c r="I44469"/>
      <c r="N44469"/>
      <c r="O44469" s="24"/>
      <c r="P44469"/>
      <c r="Q44469" s="24"/>
      <c r="R44469"/>
      <c r="S44469"/>
      <c r="T44469"/>
      <c r="U44469"/>
      <c r="X44469" s="60"/>
    </row>
    <row r="44470" spans="7:24" ht="15" customHeight="1">
      <c r="G44470"/>
      <c r="I44470"/>
      <c r="N44470"/>
      <c r="O44470" s="24"/>
      <c r="P44470"/>
      <c r="Q44470" s="24"/>
      <c r="R44470"/>
      <c r="S44470"/>
      <c r="T44470"/>
      <c r="U44470"/>
      <c r="X44470" s="60"/>
    </row>
    <row r="44471" spans="7:24" ht="15" customHeight="1">
      <c r="G44471"/>
      <c r="I44471"/>
      <c r="N44471"/>
      <c r="O44471" s="24"/>
      <c r="P44471"/>
      <c r="Q44471" s="24"/>
      <c r="R44471"/>
      <c r="S44471"/>
      <c r="T44471"/>
      <c r="U44471"/>
      <c r="X44471" s="60"/>
    </row>
    <row r="44472" spans="7:24" ht="15" customHeight="1">
      <c r="G44472"/>
      <c r="I44472"/>
      <c r="N44472"/>
      <c r="O44472" s="24"/>
      <c r="P44472"/>
      <c r="Q44472" s="24"/>
      <c r="R44472"/>
      <c r="S44472"/>
      <c r="T44472"/>
      <c r="U44472"/>
      <c r="X44472" s="60"/>
    </row>
    <row r="44473" spans="7:24" ht="15" customHeight="1">
      <c r="G44473"/>
      <c r="I44473"/>
      <c r="N44473"/>
      <c r="O44473" s="24"/>
      <c r="P44473"/>
      <c r="Q44473" s="24"/>
      <c r="R44473"/>
      <c r="S44473"/>
      <c r="T44473"/>
      <c r="U44473"/>
      <c r="X44473" s="60"/>
    </row>
    <row r="44474" spans="7:24" ht="15" customHeight="1">
      <c r="G44474"/>
      <c r="I44474"/>
      <c r="N44474"/>
      <c r="O44474" s="24"/>
      <c r="P44474"/>
      <c r="Q44474" s="24"/>
      <c r="R44474"/>
      <c r="S44474"/>
      <c r="T44474"/>
      <c r="U44474"/>
      <c r="X44474" s="60"/>
    </row>
    <row r="44475" spans="7:24" ht="15" customHeight="1">
      <c r="G44475"/>
      <c r="I44475"/>
      <c r="N44475"/>
      <c r="O44475" s="24"/>
      <c r="P44475"/>
      <c r="Q44475" s="24"/>
      <c r="R44475"/>
      <c r="S44475"/>
      <c r="T44475"/>
      <c r="U44475"/>
      <c r="X44475" s="60"/>
    </row>
    <row r="44476" spans="7:24" ht="15" customHeight="1">
      <c r="G44476"/>
      <c r="I44476"/>
      <c r="N44476"/>
      <c r="O44476" s="24"/>
      <c r="P44476"/>
      <c r="Q44476" s="24"/>
      <c r="R44476"/>
      <c r="S44476"/>
      <c r="T44476"/>
      <c r="U44476"/>
      <c r="X44476" s="60"/>
    </row>
    <row r="44477" spans="7:24" ht="15" customHeight="1">
      <c r="G44477"/>
      <c r="I44477"/>
      <c r="N44477"/>
      <c r="O44477" s="24"/>
      <c r="P44477"/>
      <c r="Q44477" s="24"/>
      <c r="R44477"/>
      <c r="S44477"/>
      <c r="T44477"/>
      <c r="U44477"/>
      <c r="X44477" s="60"/>
    </row>
    <row r="44478" spans="7:24" ht="15" customHeight="1">
      <c r="G44478"/>
      <c r="I44478"/>
      <c r="N44478"/>
      <c r="O44478" s="24"/>
      <c r="P44478"/>
      <c r="Q44478" s="24"/>
      <c r="R44478"/>
      <c r="S44478"/>
      <c r="T44478"/>
      <c r="U44478"/>
      <c r="X44478" s="60"/>
    </row>
    <row r="44479" spans="7:24" ht="15" customHeight="1">
      <c r="G44479"/>
      <c r="I44479"/>
      <c r="N44479"/>
      <c r="O44479" s="24"/>
      <c r="P44479"/>
      <c r="Q44479" s="24"/>
      <c r="R44479"/>
      <c r="S44479"/>
      <c r="T44479"/>
      <c r="U44479"/>
      <c r="X44479" s="60"/>
    </row>
    <row r="44480" spans="7:24" ht="15" customHeight="1">
      <c r="G44480"/>
      <c r="I44480"/>
      <c r="N44480"/>
      <c r="O44480" s="24"/>
      <c r="P44480"/>
      <c r="Q44480" s="24"/>
      <c r="R44480"/>
      <c r="S44480"/>
      <c r="T44480"/>
      <c r="U44480"/>
      <c r="X44480" s="60"/>
    </row>
    <row r="44481" spans="7:24" ht="15" customHeight="1">
      <c r="G44481"/>
      <c r="I44481"/>
      <c r="N44481"/>
      <c r="O44481" s="24"/>
      <c r="P44481"/>
      <c r="Q44481" s="24"/>
      <c r="R44481"/>
      <c r="S44481"/>
      <c r="T44481"/>
      <c r="U44481"/>
      <c r="X44481" s="60"/>
    </row>
    <row r="44482" spans="7:24" ht="15" customHeight="1">
      <c r="G44482"/>
      <c r="I44482"/>
      <c r="N44482"/>
      <c r="O44482" s="24"/>
      <c r="P44482"/>
      <c r="Q44482" s="24"/>
      <c r="R44482"/>
      <c r="S44482"/>
      <c r="T44482"/>
      <c r="U44482"/>
      <c r="X44482" s="60"/>
    </row>
    <row r="44483" spans="7:24" ht="15" customHeight="1">
      <c r="G44483"/>
      <c r="I44483"/>
      <c r="N44483"/>
      <c r="O44483" s="24"/>
      <c r="P44483"/>
      <c r="Q44483" s="24"/>
      <c r="R44483"/>
      <c r="S44483"/>
      <c r="T44483"/>
      <c r="U44483"/>
      <c r="X44483" s="60"/>
    </row>
    <row r="44484" spans="7:24" ht="15" customHeight="1">
      <c r="G44484"/>
      <c r="I44484"/>
      <c r="N44484"/>
      <c r="O44484" s="24"/>
      <c r="P44484"/>
      <c r="Q44484" s="24"/>
      <c r="R44484"/>
      <c r="S44484"/>
      <c r="T44484"/>
      <c r="U44484"/>
      <c r="X44484" s="60"/>
    </row>
    <row r="44485" spans="7:24" ht="15" customHeight="1">
      <c r="G44485"/>
      <c r="I44485"/>
      <c r="N44485"/>
      <c r="O44485" s="24"/>
      <c r="P44485"/>
      <c r="Q44485" s="24"/>
      <c r="R44485"/>
      <c r="S44485"/>
      <c r="T44485"/>
      <c r="U44485"/>
      <c r="X44485" s="60"/>
    </row>
    <row r="44486" spans="7:24" ht="15" customHeight="1">
      <c r="G44486"/>
      <c r="I44486"/>
      <c r="N44486"/>
      <c r="O44486" s="24"/>
      <c r="P44486"/>
      <c r="Q44486" s="24"/>
      <c r="R44486"/>
      <c r="S44486"/>
      <c r="T44486"/>
      <c r="U44486"/>
      <c r="X44486" s="60"/>
    </row>
    <row r="44487" spans="7:24" ht="15" customHeight="1">
      <c r="G44487"/>
      <c r="I44487"/>
      <c r="N44487"/>
      <c r="O44487" s="24"/>
      <c r="P44487"/>
      <c r="Q44487" s="24"/>
      <c r="R44487"/>
      <c r="S44487"/>
      <c r="T44487"/>
      <c r="U44487"/>
      <c r="X44487" s="60"/>
    </row>
    <row r="44488" spans="7:24" ht="15" customHeight="1">
      <c r="G44488"/>
      <c r="I44488"/>
      <c r="N44488"/>
      <c r="O44488" s="24"/>
      <c r="P44488"/>
      <c r="Q44488" s="24"/>
      <c r="R44488"/>
      <c r="S44488"/>
      <c r="T44488"/>
      <c r="U44488"/>
      <c r="X44488" s="60"/>
    </row>
    <row r="44489" spans="7:24" ht="15" customHeight="1">
      <c r="G44489"/>
      <c r="I44489"/>
      <c r="N44489"/>
      <c r="O44489" s="24"/>
      <c r="P44489"/>
      <c r="Q44489" s="24"/>
      <c r="R44489"/>
      <c r="S44489"/>
      <c r="T44489"/>
      <c r="U44489"/>
      <c r="X44489" s="60"/>
    </row>
    <row r="44490" spans="7:24" ht="15" customHeight="1">
      <c r="G44490"/>
      <c r="I44490"/>
      <c r="N44490"/>
      <c r="O44490" s="24"/>
      <c r="P44490"/>
      <c r="Q44490" s="24"/>
      <c r="R44490"/>
      <c r="S44490"/>
      <c r="T44490"/>
      <c r="U44490"/>
      <c r="X44490" s="60"/>
    </row>
    <row r="44491" spans="7:24" ht="15" customHeight="1">
      <c r="G44491"/>
      <c r="I44491"/>
      <c r="N44491"/>
      <c r="O44491" s="24"/>
      <c r="P44491"/>
      <c r="Q44491" s="24"/>
      <c r="R44491"/>
      <c r="S44491"/>
      <c r="T44491"/>
      <c r="U44491"/>
      <c r="X44491" s="60"/>
    </row>
    <row r="44492" spans="7:24" ht="15" customHeight="1">
      <c r="G44492"/>
      <c r="I44492"/>
      <c r="N44492"/>
      <c r="O44492" s="24"/>
      <c r="P44492"/>
      <c r="Q44492" s="24"/>
      <c r="R44492"/>
      <c r="S44492"/>
      <c r="T44492"/>
      <c r="U44492"/>
      <c r="X44492" s="60"/>
    </row>
    <row r="44493" spans="7:24" ht="15" customHeight="1">
      <c r="G44493"/>
      <c r="I44493"/>
      <c r="N44493"/>
      <c r="O44493" s="24"/>
      <c r="P44493"/>
      <c r="Q44493" s="24"/>
      <c r="R44493"/>
      <c r="S44493"/>
      <c r="T44493"/>
      <c r="U44493"/>
      <c r="X44493" s="60"/>
    </row>
    <row r="44494" spans="7:24" ht="15" customHeight="1">
      <c r="G44494"/>
      <c r="I44494"/>
      <c r="N44494"/>
      <c r="O44494" s="24"/>
      <c r="P44494"/>
      <c r="Q44494" s="24"/>
      <c r="R44494"/>
      <c r="S44494"/>
      <c r="T44494"/>
      <c r="U44494"/>
      <c r="X44494" s="60"/>
    </row>
    <row r="44495" spans="7:24" ht="15" customHeight="1">
      <c r="G44495"/>
      <c r="I44495"/>
      <c r="N44495"/>
      <c r="O44495" s="24"/>
      <c r="P44495"/>
      <c r="Q44495" s="24"/>
      <c r="R44495"/>
      <c r="S44495"/>
      <c r="T44495"/>
      <c r="U44495"/>
      <c r="X44495" s="60"/>
    </row>
    <row r="44496" spans="7:24" ht="15" customHeight="1">
      <c r="G44496"/>
      <c r="I44496"/>
      <c r="N44496"/>
      <c r="O44496" s="24"/>
      <c r="P44496"/>
      <c r="Q44496" s="24"/>
      <c r="R44496"/>
      <c r="S44496"/>
      <c r="T44496"/>
      <c r="U44496"/>
      <c r="X44496" s="60"/>
    </row>
    <row r="44497" spans="7:24" ht="15" customHeight="1">
      <c r="G44497"/>
      <c r="I44497"/>
      <c r="N44497"/>
      <c r="O44497" s="24"/>
      <c r="P44497"/>
      <c r="Q44497" s="24"/>
      <c r="R44497"/>
      <c r="S44497"/>
      <c r="T44497"/>
      <c r="U44497"/>
      <c r="X44497" s="60"/>
    </row>
    <row r="44498" spans="7:24" ht="15" customHeight="1">
      <c r="G44498"/>
      <c r="I44498"/>
      <c r="N44498"/>
      <c r="O44498" s="24"/>
      <c r="P44498"/>
      <c r="Q44498" s="24"/>
      <c r="R44498"/>
      <c r="S44498"/>
      <c r="T44498"/>
      <c r="U44498"/>
      <c r="X44498" s="60"/>
    </row>
    <row r="44499" spans="7:24" ht="15" customHeight="1">
      <c r="G44499"/>
      <c r="I44499"/>
      <c r="N44499"/>
      <c r="O44499" s="24"/>
      <c r="P44499"/>
      <c r="Q44499" s="24"/>
      <c r="R44499"/>
      <c r="S44499"/>
      <c r="T44499"/>
      <c r="U44499"/>
      <c r="X44499" s="60"/>
    </row>
    <row r="44500" spans="7:24" ht="15" customHeight="1">
      <c r="G44500"/>
      <c r="I44500"/>
      <c r="N44500"/>
      <c r="O44500" s="24"/>
      <c r="P44500"/>
      <c r="Q44500" s="24"/>
      <c r="R44500"/>
      <c r="S44500"/>
      <c r="T44500"/>
      <c r="U44500"/>
      <c r="X44500" s="60"/>
    </row>
    <row r="44501" spans="7:24" ht="15" customHeight="1">
      <c r="G44501"/>
      <c r="I44501"/>
      <c r="N44501"/>
      <c r="O44501" s="24"/>
      <c r="P44501"/>
      <c r="Q44501" s="24"/>
      <c r="R44501"/>
      <c r="S44501"/>
      <c r="T44501"/>
      <c r="U44501"/>
      <c r="X44501" s="60"/>
    </row>
    <row r="44502" spans="7:24" ht="15" customHeight="1">
      <c r="G44502"/>
      <c r="I44502"/>
      <c r="N44502"/>
      <c r="O44502" s="24"/>
      <c r="P44502"/>
      <c r="Q44502" s="24"/>
      <c r="R44502"/>
      <c r="S44502"/>
      <c r="T44502"/>
      <c r="U44502"/>
      <c r="X44502" s="60"/>
    </row>
    <row r="44503" spans="7:24" ht="15" customHeight="1">
      <c r="G44503"/>
      <c r="I44503"/>
      <c r="N44503"/>
      <c r="O44503" s="24"/>
      <c r="P44503"/>
      <c r="Q44503" s="24"/>
      <c r="R44503"/>
      <c r="S44503"/>
      <c r="T44503"/>
      <c r="U44503"/>
      <c r="X44503" s="60"/>
    </row>
    <row r="44504" spans="7:24" ht="15" customHeight="1">
      <c r="G44504"/>
      <c r="I44504"/>
      <c r="N44504"/>
      <c r="O44504" s="24"/>
      <c r="P44504"/>
      <c r="Q44504" s="24"/>
      <c r="R44504"/>
      <c r="S44504"/>
      <c r="T44504"/>
      <c r="U44504"/>
      <c r="X44504" s="60"/>
    </row>
    <row r="44505" spans="7:24" ht="15" customHeight="1">
      <c r="G44505"/>
      <c r="I44505"/>
      <c r="N44505"/>
      <c r="O44505" s="24"/>
      <c r="P44505"/>
      <c r="Q44505" s="24"/>
      <c r="R44505"/>
      <c r="S44505"/>
      <c r="T44505"/>
      <c r="U44505"/>
      <c r="X44505" s="60"/>
    </row>
    <row r="44506" spans="7:24" ht="15" customHeight="1">
      <c r="G44506"/>
      <c r="I44506"/>
      <c r="N44506"/>
      <c r="O44506" s="24"/>
      <c r="P44506"/>
      <c r="Q44506" s="24"/>
      <c r="R44506"/>
      <c r="S44506"/>
      <c r="T44506"/>
      <c r="U44506"/>
      <c r="X44506" s="60"/>
    </row>
    <row r="44507" spans="7:24" ht="15" customHeight="1">
      <c r="G44507"/>
      <c r="I44507"/>
      <c r="N44507"/>
      <c r="O44507" s="24"/>
      <c r="P44507"/>
      <c r="Q44507" s="24"/>
      <c r="R44507"/>
      <c r="S44507"/>
      <c r="T44507"/>
      <c r="U44507"/>
      <c r="X44507" s="60"/>
    </row>
    <row r="44508" spans="7:24" ht="15" customHeight="1">
      <c r="G44508"/>
      <c r="I44508"/>
      <c r="N44508"/>
      <c r="O44508" s="24"/>
      <c r="P44508"/>
      <c r="Q44508" s="24"/>
      <c r="R44508"/>
      <c r="S44508"/>
      <c r="T44508"/>
      <c r="U44508"/>
      <c r="X44508" s="60"/>
    </row>
    <row r="44509" spans="7:24" ht="15" customHeight="1">
      <c r="G44509"/>
      <c r="I44509"/>
      <c r="N44509"/>
      <c r="O44509" s="24"/>
      <c r="P44509"/>
      <c r="Q44509" s="24"/>
      <c r="R44509"/>
      <c r="S44509"/>
      <c r="T44509"/>
      <c r="U44509"/>
      <c r="X44509" s="60"/>
    </row>
    <row r="44510" spans="7:24" ht="15" customHeight="1">
      <c r="G44510"/>
      <c r="I44510"/>
      <c r="N44510"/>
      <c r="O44510" s="24"/>
      <c r="P44510"/>
      <c r="Q44510" s="24"/>
      <c r="R44510"/>
      <c r="S44510"/>
      <c r="T44510"/>
      <c r="U44510"/>
      <c r="X44510" s="60"/>
    </row>
    <row r="44511" spans="7:24" ht="15" customHeight="1">
      <c r="G44511"/>
      <c r="I44511"/>
      <c r="N44511"/>
      <c r="O44511" s="24"/>
      <c r="P44511"/>
      <c r="Q44511" s="24"/>
      <c r="R44511"/>
      <c r="S44511"/>
      <c r="T44511"/>
      <c r="U44511"/>
      <c r="X44511" s="60"/>
    </row>
    <row r="44512" spans="7:24" ht="15" customHeight="1">
      <c r="G44512"/>
      <c r="I44512"/>
      <c r="N44512"/>
      <c r="O44512" s="24"/>
      <c r="P44512"/>
      <c r="Q44512" s="24"/>
      <c r="R44512"/>
      <c r="S44512"/>
      <c r="T44512"/>
      <c r="U44512"/>
      <c r="X44512" s="60"/>
    </row>
    <row r="44513" spans="7:24" ht="15" customHeight="1">
      <c r="G44513"/>
      <c r="I44513"/>
      <c r="N44513"/>
      <c r="O44513" s="24"/>
      <c r="P44513"/>
      <c r="Q44513" s="24"/>
      <c r="R44513"/>
      <c r="S44513"/>
      <c r="T44513"/>
      <c r="U44513"/>
      <c r="X44513" s="60"/>
    </row>
    <row r="44514" spans="7:24" ht="15" customHeight="1">
      <c r="G44514"/>
      <c r="I44514"/>
      <c r="N44514"/>
      <c r="O44514" s="24"/>
      <c r="P44514"/>
      <c r="Q44514" s="24"/>
      <c r="R44514"/>
      <c r="S44514"/>
      <c r="T44514"/>
      <c r="U44514"/>
      <c r="X44514" s="60"/>
    </row>
    <row r="44515" spans="7:24" ht="15" customHeight="1">
      <c r="G44515"/>
      <c r="I44515"/>
      <c r="N44515"/>
      <c r="O44515" s="24"/>
      <c r="P44515"/>
      <c r="Q44515" s="24"/>
      <c r="R44515"/>
      <c r="S44515"/>
      <c r="T44515"/>
      <c r="U44515"/>
      <c r="X44515" s="60"/>
    </row>
    <row r="44516" spans="7:24" ht="15" customHeight="1">
      <c r="G44516"/>
      <c r="I44516"/>
      <c r="N44516"/>
      <c r="O44516" s="24"/>
      <c r="P44516"/>
      <c r="Q44516" s="24"/>
      <c r="R44516"/>
      <c r="S44516"/>
      <c r="T44516"/>
      <c r="U44516"/>
      <c r="X44516" s="60"/>
    </row>
    <row r="44517" spans="7:24" ht="15" customHeight="1">
      <c r="G44517"/>
      <c r="I44517"/>
      <c r="N44517"/>
      <c r="O44517" s="24"/>
      <c r="P44517"/>
      <c r="Q44517" s="24"/>
      <c r="R44517"/>
      <c r="S44517"/>
      <c r="T44517"/>
      <c r="U44517"/>
      <c r="X44517" s="60"/>
    </row>
    <row r="44518" spans="7:24" ht="15" customHeight="1">
      <c r="G44518"/>
      <c r="I44518"/>
      <c r="N44518"/>
      <c r="O44518" s="24"/>
      <c r="P44518"/>
      <c r="Q44518" s="24"/>
      <c r="R44518"/>
      <c r="S44518"/>
      <c r="T44518"/>
      <c r="U44518"/>
      <c r="X44518" s="60"/>
    </row>
    <row r="44519" spans="7:24" ht="15" customHeight="1">
      <c r="G44519"/>
      <c r="I44519"/>
      <c r="N44519"/>
      <c r="O44519" s="24"/>
      <c r="P44519"/>
      <c r="Q44519" s="24"/>
      <c r="R44519"/>
      <c r="S44519"/>
      <c r="T44519"/>
      <c r="U44519"/>
      <c r="X44519" s="60"/>
    </row>
    <row r="44520" spans="7:24" ht="15" customHeight="1">
      <c r="G44520"/>
      <c r="I44520"/>
      <c r="N44520"/>
      <c r="O44520" s="24"/>
      <c r="P44520"/>
      <c r="Q44520" s="24"/>
      <c r="R44520"/>
      <c r="S44520"/>
      <c r="T44520"/>
      <c r="U44520"/>
      <c r="X44520" s="60"/>
    </row>
    <row r="44521" spans="7:24" ht="15" customHeight="1">
      <c r="G44521"/>
      <c r="I44521"/>
      <c r="N44521"/>
      <c r="O44521" s="24"/>
      <c r="P44521"/>
      <c r="Q44521" s="24"/>
      <c r="R44521"/>
      <c r="S44521"/>
      <c r="T44521"/>
      <c r="U44521"/>
      <c r="X44521" s="60"/>
    </row>
    <row r="44522" spans="7:24" ht="15" customHeight="1">
      <c r="G44522"/>
      <c r="I44522"/>
      <c r="N44522"/>
      <c r="O44522" s="24"/>
      <c r="P44522"/>
      <c r="Q44522" s="24"/>
      <c r="R44522"/>
      <c r="S44522"/>
      <c r="T44522"/>
      <c r="U44522"/>
      <c r="X44522" s="60"/>
    </row>
    <row r="44523" spans="7:24" ht="15" customHeight="1">
      <c r="G44523"/>
      <c r="I44523"/>
      <c r="N44523"/>
      <c r="O44523" s="24"/>
      <c r="P44523"/>
      <c r="Q44523" s="24"/>
      <c r="R44523"/>
      <c r="S44523"/>
      <c r="T44523"/>
      <c r="U44523"/>
      <c r="X44523" s="60"/>
    </row>
    <row r="44524" spans="7:24" ht="15" customHeight="1">
      <c r="G44524"/>
      <c r="I44524"/>
      <c r="N44524"/>
      <c r="O44524" s="24"/>
      <c r="P44524"/>
      <c r="Q44524" s="24"/>
      <c r="R44524"/>
      <c r="S44524"/>
      <c r="T44524"/>
      <c r="U44524"/>
      <c r="X44524" s="60"/>
    </row>
    <row r="44525" spans="7:24" ht="15" customHeight="1">
      <c r="G44525"/>
      <c r="I44525"/>
      <c r="N44525"/>
      <c r="O44525" s="24"/>
      <c r="P44525"/>
      <c r="Q44525" s="24"/>
      <c r="R44525"/>
      <c r="S44525"/>
      <c r="T44525"/>
      <c r="U44525"/>
      <c r="X44525" s="60"/>
    </row>
    <row r="44526" spans="7:24" ht="15" customHeight="1">
      <c r="G44526"/>
      <c r="I44526"/>
      <c r="N44526"/>
      <c r="O44526" s="24"/>
      <c r="P44526"/>
      <c r="Q44526" s="24"/>
      <c r="R44526"/>
      <c r="S44526"/>
      <c r="T44526"/>
      <c r="U44526"/>
      <c r="X44526" s="60"/>
    </row>
    <row r="44527" spans="7:24" ht="15" customHeight="1">
      <c r="G44527"/>
      <c r="I44527"/>
      <c r="N44527"/>
      <c r="O44527" s="24"/>
      <c r="P44527"/>
      <c r="Q44527" s="24"/>
      <c r="R44527"/>
      <c r="S44527"/>
      <c r="T44527"/>
      <c r="U44527"/>
      <c r="X44527" s="60"/>
    </row>
    <row r="44528" spans="7:24" ht="15" customHeight="1">
      <c r="G44528"/>
      <c r="I44528"/>
      <c r="N44528"/>
      <c r="O44528" s="24"/>
      <c r="P44528"/>
      <c r="Q44528" s="24"/>
      <c r="R44528"/>
      <c r="S44528"/>
      <c r="T44528"/>
      <c r="U44528"/>
      <c r="X44528" s="60"/>
    </row>
    <row r="44529" spans="7:24" ht="15" customHeight="1">
      <c r="G44529"/>
      <c r="I44529"/>
      <c r="N44529"/>
      <c r="O44529" s="24"/>
      <c r="P44529"/>
      <c r="Q44529" s="24"/>
      <c r="R44529"/>
      <c r="S44529"/>
      <c r="T44529"/>
      <c r="U44529"/>
      <c r="X44529" s="60"/>
    </row>
    <row r="44530" spans="7:24" ht="15" customHeight="1">
      <c r="G44530"/>
      <c r="I44530"/>
      <c r="N44530"/>
      <c r="O44530" s="24"/>
      <c r="P44530"/>
      <c r="Q44530" s="24"/>
      <c r="R44530"/>
      <c r="S44530"/>
      <c r="T44530"/>
      <c r="U44530"/>
      <c r="X44530" s="60"/>
    </row>
    <row r="44531" spans="7:24" ht="15" customHeight="1">
      <c r="G44531"/>
      <c r="I44531"/>
      <c r="N44531"/>
      <c r="O44531" s="24"/>
      <c r="P44531"/>
      <c r="Q44531" s="24"/>
      <c r="R44531"/>
      <c r="S44531"/>
      <c r="T44531"/>
      <c r="U44531"/>
      <c r="X44531" s="60"/>
    </row>
    <row r="44532" spans="7:24" ht="15" customHeight="1">
      <c r="G44532"/>
      <c r="I44532"/>
      <c r="N44532"/>
      <c r="O44532" s="24"/>
      <c r="P44532"/>
      <c r="Q44532" s="24"/>
      <c r="R44532"/>
      <c r="S44532"/>
      <c r="T44532"/>
      <c r="U44532"/>
      <c r="X44532" s="60"/>
    </row>
    <row r="44533" spans="7:24" ht="15" customHeight="1">
      <c r="G44533"/>
      <c r="I44533"/>
      <c r="N44533"/>
      <c r="O44533" s="24"/>
      <c r="P44533"/>
      <c r="Q44533" s="24"/>
      <c r="R44533"/>
      <c r="S44533"/>
      <c r="T44533"/>
      <c r="U44533"/>
      <c r="X44533" s="60"/>
    </row>
    <row r="44534" spans="7:24" ht="15" customHeight="1">
      <c r="G44534"/>
      <c r="I44534"/>
      <c r="N44534"/>
      <c r="O44534" s="24"/>
      <c r="P44534"/>
      <c r="Q44534" s="24"/>
      <c r="R44534"/>
      <c r="S44534"/>
      <c r="T44534"/>
      <c r="U44534"/>
      <c r="X44534" s="60"/>
    </row>
    <row r="44535" spans="7:24" ht="15" customHeight="1">
      <c r="G44535"/>
      <c r="I44535"/>
      <c r="N44535"/>
      <c r="O44535" s="24"/>
      <c r="P44535"/>
      <c r="Q44535" s="24"/>
      <c r="R44535"/>
      <c r="S44535"/>
      <c r="T44535"/>
      <c r="U44535"/>
      <c r="X44535" s="60"/>
    </row>
    <row r="44536" spans="7:24" ht="15" customHeight="1">
      <c r="G44536"/>
      <c r="I44536"/>
      <c r="N44536"/>
      <c r="O44536" s="24"/>
      <c r="P44536"/>
      <c r="Q44536" s="24"/>
      <c r="R44536"/>
      <c r="S44536"/>
      <c r="T44536"/>
      <c r="U44536"/>
      <c r="X44536" s="60"/>
    </row>
    <row r="44537" spans="7:24" ht="15" customHeight="1">
      <c r="G44537"/>
      <c r="I44537"/>
      <c r="N44537"/>
      <c r="O44537" s="24"/>
      <c r="P44537"/>
      <c r="Q44537" s="24"/>
      <c r="R44537"/>
      <c r="S44537"/>
      <c r="T44537"/>
      <c r="U44537"/>
      <c r="X44537" s="60"/>
    </row>
    <row r="44538" spans="7:24" ht="15" customHeight="1">
      <c r="G44538"/>
      <c r="I44538"/>
      <c r="N44538"/>
      <c r="O44538" s="24"/>
      <c r="P44538"/>
      <c r="Q44538" s="24"/>
      <c r="R44538"/>
      <c r="S44538"/>
      <c r="T44538"/>
      <c r="U44538"/>
      <c r="X44538" s="60"/>
    </row>
    <row r="44539" spans="7:24" ht="15" customHeight="1">
      <c r="G44539"/>
      <c r="I44539"/>
      <c r="N44539"/>
      <c r="O44539" s="24"/>
      <c r="P44539"/>
      <c r="Q44539" s="24"/>
      <c r="R44539"/>
      <c r="S44539"/>
      <c r="T44539"/>
      <c r="U44539"/>
      <c r="X44539" s="60"/>
    </row>
    <row r="44540" spans="7:24" ht="15" customHeight="1">
      <c r="G44540"/>
      <c r="I44540"/>
      <c r="N44540"/>
      <c r="O44540" s="24"/>
      <c r="P44540"/>
      <c r="Q44540" s="24"/>
      <c r="R44540"/>
      <c r="S44540"/>
      <c r="T44540"/>
      <c r="U44540"/>
      <c r="X44540" s="60"/>
    </row>
    <row r="44541" spans="7:24" ht="15" customHeight="1">
      <c r="G44541"/>
      <c r="I44541"/>
      <c r="N44541"/>
      <c r="O44541" s="24"/>
      <c r="P44541"/>
      <c r="Q44541" s="24"/>
      <c r="R44541"/>
      <c r="S44541"/>
      <c r="T44541"/>
      <c r="U44541"/>
      <c r="X44541" s="60"/>
    </row>
    <row r="44542" spans="7:24" ht="15" customHeight="1">
      <c r="G44542"/>
      <c r="I44542"/>
      <c r="N44542"/>
      <c r="O44542" s="24"/>
      <c r="P44542"/>
      <c r="Q44542" s="24"/>
      <c r="R44542"/>
      <c r="S44542"/>
      <c r="T44542"/>
      <c r="U44542"/>
      <c r="X44542" s="60"/>
    </row>
    <row r="44543" spans="7:24" ht="15" customHeight="1">
      <c r="G44543"/>
      <c r="I44543"/>
      <c r="N44543"/>
      <c r="O44543" s="24"/>
      <c r="P44543"/>
      <c r="Q44543" s="24"/>
      <c r="R44543"/>
      <c r="S44543"/>
      <c r="T44543"/>
      <c r="U44543"/>
      <c r="X44543" s="60"/>
    </row>
    <row r="44544" spans="7:24" ht="15" customHeight="1">
      <c r="G44544"/>
      <c r="I44544"/>
      <c r="N44544"/>
      <c r="O44544" s="24"/>
      <c r="P44544"/>
      <c r="Q44544" s="24"/>
      <c r="R44544"/>
      <c r="S44544"/>
      <c r="T44544"/>
      <c r="U44544"/>
      <c r="X44544" s="60"/>
    </row>
    <row r="44545" spans="7:24" ht="15" customHeight="1">
      <c r="G44545"/>
      <c r="I44545"/>
      <c r="N44545"/>
      <c r="O44545" s="24"/>
      <c r="P44545"/>
      <c r="Q44545" s="24"/>
      <c r="R44545"/>
      <c r="S44545"/>
      <c r="T44545"/>
      <c r="U44545"/>
      <c r="X44545" s="60"/>
    </row>
    <row r="44546" spans="7:24" ht="15" customHeight="1">
      <c r="G44546"/>
      <c r="I44546"/>
      <c r="N44546"/>
      <c r="O44546" s="24"/>
      <c r="P44546"/>
      <c r="Q44546" s="24"/>
      <c r="R44546"/>
      <c r="S44546"/>
      <c r="T44546"/>
      <c r="U44546"/>
      <c r="X44546" s="60"/>
    </row>
    <row r="44547" spans="7:24" ht="15" customHeight="1">
      <c r="G44547"/>
      <c r="I44547"/>
      <c r="N44547"/>
      <c r="O44547" s="24"/>
      <c r="P44547"/>
      <c r="Q44547" s="24"/>
      <c r="R44547"/>
      <c r="S44547"/>
      <c r="T44547"/>
      <c r="U44547"/>
      <c r="X44547" s="60"/>
    </row>
    <row r="44548" spans="7:24" ht="15" customHeight="1">
      <c r="G44548"/>
      <c r="I44548"/>
      <c r="N44548"/>
      <c r="O44548" s="24"/>
      <c r="P44548"/>
      <c r="Q44548" s="24"/>
      <c r="R44548"/>
      <c r="S44548"/>
      <c r="T44548"/>
      <c r="U44548"/>
      <c r="X44548" s="60"/>
    </row>
    <row r="44549" spans="7:24" ht="15" customHeight="1">
      <c r="G44549"/>
      <c r="I44549"/>
      <c r="N44549"/>
      <c r="O44549" s="24"/>
      <c r="P44549"/>
      <c r="Q44549" s="24"/>
      <c r="R44549"/>
      <c r="S44549"/>
      <c r="T44549"/>
      <c r="U44549"/>
      <c r="X44549" s="60"/>
    </row>
    <row r="44550" spans="7:24" ht="15" customHeight="1">
      <c r="G44550"/>
      <c r="I44550"/>
      <c r="N44550"/>
      <c r="O44550" s="24"/>
      <c r="P44550"/>
      <c r="Q44550" s="24"/>
      <c r="R44550"/>
      <c r="S44550"/>
      <c r="T44550"/>
      <c r="U44550"/>
      <c r="X44550" s="60"/>
    </row>
    <row r="44551" spans="7:24" ht="15" customHeight="1">
      <c r="G44551"/>
      <c r="I44551"/>
      <c r="N44551"/>
      <c r="O44551" s="24"/>
      <c r="P44551"/>
      <c r="Q44551" s="24"/>
      <c r="R44551"/>
      <c r="S44551"/>
      <c r="T44551"/>
      <c r="U44551"/>
      <c r="X44551" s="60"/>
    </row>
    <row r="44552" spans="7:24" ht="15" customHeight="1">
      <c r="G44552"/>
      <c r="I44552"/>
      <c r="N44552"/>
      <c r="O44552" s="24"/>
      <c r="P44552"/>
      <c r="Q44552" s="24"/>
      <c r="R44552"/>
      <c r="S44552"/>
      <c r="T44552"/>
      <c r="U44552"/>
      <c r="X44552" s="60"/>
    </row>
    <row r="44553" spans="7:24" ht="15" customHeight="1">
      <c r="G44553"/>
      <c r="I44553"/>
      <c r="N44553"/>
      <c r="O44553" s="24"/>
      <c r="P44553"/>
      <c r="Q44553" s="24"/>
      <c r="R44553"/>
      <c r="S44553"/>
      <c r="T44553"/>
      <c r="U44553"/>
      <c r="X44553" s="60"/>
    </row>
    <row r="44554" spans="7:24" ht="15" customHeight="1">
      <c r="G44554"/>
      <c r="I44554"/>
      <c r="N44554"/>
      <c r="O44554" s="24"/>
      <c r="P44554"/>
      <c r="Q44554" s="24"/>
      <c r="R44554"/>
      <c r="S44554"/>
      <c r="T44554"/>
      <c r="U44554"/>
      <c r="X44554" s="60"/>
    </row>
    <row r="44555" spans="7:24" ht="15" customHeight="1">
      <c r="G44555"/>
      <c r="I44555"/>
      <c r="N44555"/>
      <c r="O44555" s="24"/>
      <c r="P44555"/>
      <c r="Q44555" s="24"/>
      <c r="R44555"/>
      <c r="S44555"/>
      <c r="T44555"/>
      <c r="U44555"/>
      <c r="X44555" s="60"/>
    </row>
    <row r="44556" spans="7:24" ht="15" customHeight="1">
      <c r="G44556"/>
      <c r="I44556"/>
      <c r="N44556"/>
      <c r="O44556" s="24"/>
      <c r="P44556"/>
      <c r="Q44556" s="24"/>
      <c r="R44556"/>
      <c r="S44556"/>
      <c r="T44556"/>
      <c r="U44556"/>
      <c r="X44556" s="60"/>
    </row>
    <row r="44557" spans="7:24" ht="15" customHeight="1">
      <c r="G44557"/>
      <c r="I44557"/>
      <c r="N44557"/>
      <c r="O44557" s="24"/>
      <c r="P44557"/>
      <c r="Q44557" s="24"/>
      <c r="R44557"/>
      <c r="S44557"/>
      <c r="T44557"/>
      <c r="U44557"/>
      <c r="X44557" s="60"/>
    </row>
    <row r="44558" spans="7:24" ht="15" customHeight="1">
      <c r="G44558"/>
      <c r="I44558"/>
      <c r="N44558"/>
      <c r="O44558" s="24"/>
      <c r="P44558"/>
      <c r="Q44558" s="24"/>
      <c r="R44558"/>
      <c r="S44558"/>
      <c r="T44558"/>
      <c r="U44558"/>
      <c r="X44558" s="60"/>
    </row>
    <row r="44559" spans="7:24" ht="15" customHeight="1">
      <c r="G44559"/>
      <c r="I44559"/>
      <c r="N44559"/>
      <c r="O44559" s="24"/>
      <c r="P44559"/>
      <c r="Q44559" s="24"/>
      <c r="R44559"/>
      <c r="S44559"/>
      <c r="T44559"/>
      <c r="U44559"/>
      <c r="X44559" s="60"/>
    </row>
    <row r="44560" spans="7:24" ht="15" customHeight="1">
      <c r="G44560"/>
      <c r="I44560"/>
      <c r="N44560"/>
      <c r="O44560" s="24"/>
      <c r="P44560"/>
      <c r="Q44560" s="24"/>
      <c r="R44560"/>
      <c r="S44560"/>
      <c r="T44560"/>
      <c r="U44560"/>
      <c r="X44560" s="60"/>
    </row>
    <row r="44561" spans="7:24" ht="15" customHeight="1">
      <c r="G44561"/>
      <c r="I44561"/>
      <c r="N44561"/>
      <c r="O44561" s="24"/>
      <c r="P44561"/>
      <c r="Q44561" s="24"/>
      <c r="R44561"/>
      <c r="S44561"/>
      <c r="T44561"/>
      <c r="U44561"/>
      <c r="X44561" s="60"/>
    </row>
    <row r="44562" spans="7:24" ht="15" customHeight="1">
      <c r="G44562"/>
      <c r="I44562"/>
      <c r="N44562"/>
      <c r="O44562" s="24"/>
      <c r="P44562"/>
      <c r="Q44562" s="24"/>
      <c r="R44562"/>
      <c r="S44562"/>
      <c r="T44562"/>
      <c r="U44562"/>
      <c r="X44562" s="60"/>
    </row>
    <row r="44563" spans="7:24" ht="15" customHeight="1">
      <c r="G44563"/>
      <c r="I44563"/>
      <c r="N44563"/>
      <c r="O44563" s="24"/>
      <c r="P44563"/>
      <c r="Q44563" s="24"/>
      <c r="R44563"/>
      <c r="S44563"/>
      <c r="T44563"/>
      <c r="U44563"/>
      <c r="X44563" s="60"/>
    </row>
    <row r="44564" spans="7:24" ht="15" customHeight="1">
      <c r="G44564"/>
      <c r="I44564"/>
      <c r="N44564"/>
      <c r="O44564" s="24"/>
      <c r="P44564"/>
      <c r="Q44564" s="24"/>
      <c r="R44564"/>
      <c r="S44564"/>
      <c r="T44564"/>
      <c r="U44564"/>
      <c r="X44564" s="60"/>
    </row>
    <row r="44565" spans="7:24" ht="15" customHeight="1">
      <c r="G44565"/>
      <c r="I44565"/>
      <c r="N44565"/>
      <c r="O44565" s="24"/>
      <c r="P44565"/>
      <c r="Q44565" s="24"/>
      <c r="R44565"/>
      <c r="S44565"/>
      <c r="T44565"/>
      <c r="U44565"/>
      <c r="X44565" s="60"/>
    </row>
    <row r="44566" spans="7:24" ht="15" customHeight="1">
      <c r="G44566"/>
      <c r="I44566"/>
      <c r="N44566"/>
      <c r="O44566" s="24"/>
      <c r="P44566"/>
      <c r="Q44566" s="24"/>
      <c r="R44566"/>
      <c r="S44566"/>
      <c r="T44566"/>
      <c r="U44566"/>
      <c r="X44566" s="60"/>
    </row>
    <row r="44567" spans="7:24" ht="15" customHeight="1">
      <c r="G44567"/>
      <c r="I44567"/>
      <c r="N44567"/>
      <c r="O44567" s="24"/>
      <c r="P44567"/>
      <c r="Q44567" s="24"/>
      <c r="R44567"/>
      <c r="S44567"/>
      <c r="T44567"/>
      <c r="U44567"/>
      <c r="X44567" s="60"/>
    </row>
    <row r="44568" spans="7:24" ht="15" customHeight="1">
      <c r="G44568"/>
      <c r="I44568"/>
      <c r="N44568"/>
      <c r="O44568" s="24"/>
      <c r="P44568"/>
      <c r="Q44568" s="24"/>
      <c r="R44568"/>
      <c r="S44568"/>
      <c r="T44568"/>
      <c r="U44568"/>
      <c r="X44568" s="60"/>
    </row>
    <row r="44569" spans="7:24" ht="15" customHeight="1">
      <c r="G44569"/>
      <c r="I44569"/>
      <c r="N44569"/>
      <c r="O44569" s="24"/>
      <c r="P44569"/>
      <c r="Q44569" s="24"/>
      <c r="R44569"/>
      <c r="S44569"/>
      <c r="T44569"/>
      <c r="U44569"/>
      <c r="X44569" s="60"/>
    </row>
    <row r="44570" spans="7:24" ht="15" customHeight="1">
      <c r="G44570"/>
      <c r="I44570"/>
      <c r="N44570"/>
      <c r="O44570" s="24"/>
      <c r="P44570"/>
      <c r="Q44570" s="24"/>
      <c r="R44570"/>
      <c r="S44570"/>
      <c r="T44570"/>
      <c r="U44570"/>
      <c r="X44570" s="60"/>
    </row>
    <row r="44571" spans="7:24" ht="15" customHeight="1">
      <c r="G44571"/>
      <c r="I44571"/>
      <c r="N44571"/>
      <c r="O44571" s="24"/>
      <c r="P44571"/>
      <c r="Q44571" s="24"/>
      <c r="R44571"/>
      <c r="S44571"/>
      <c r="T44571"/>
      <c r="U44571"/>
      <c r="X44571" s="60"/>
    </row>
    <row r="44572" spans="7:24" ht="15" customHeight="1">
      <c r="G44572"/>
      <c r="I44572"/>
      <c r="N44572"/>
      <c r="O44572" s="24"/>
      <c r="P44572"/>
      <c r="Q44572" s="24"/>
      <c r="R44572"/>
      <c r="S44572"/>
      <c r="T44572"/>
      <c r="U44572"/>
      <c r="X44572" s="60"/>
    </row>
    <row r="44573" spans="7:24" ht="15" customHeight="1">
      <c r="G44573"/>
      <c r="I44573"/>
      <c r="N44573"/>
      <c r="O44573" s="24"/>
      <c r="P44573"/>
      <c r="Q44573" s="24"/>
      <c r="R44573"/>
      <c r="S44573"/>
      <c r="T44573"/>
      <c r="U44573"/>
      <c r="X44573" s="60"/>
    </row>
    <row r="44574" spans="7:24" ht="15" customHeight="1">
      <c r="G44574"/>
      <c r="I44574"/>
      <c r="N44574"/>
      <c r="O44574" s="24"/>
      <c r="P44574"/>
      <c r="Q44574" s="24"/>
      <c r="R44574"/>
      <c r="S44574"/>
      <c r="T44574"/>
      <c r="U44574"/>
      <c r="X44574" s="60"/>
    </row>
    <row r="44575" spans="7:24" ht="15" customHeight="1">
      <c r="G44575"/>
      <c r="I44575"/>
      <c r="N44575"/>
      <c r="O44575" s="24"/>
      <c r="P44575"/>
      <c r="Q44575" s="24"/>
      <c r="R44575"/>
      <c r="S44575"/>
      <c r="T44575"/>
      <c r="U44575"/>
      <c r="X44575" s="60"/>
    </row>
    <row r="44576" spans="7:24" ht="15" customHeight="1">
      <c r="G44576"/>
      <c r="I44576"/>
      <c r="N44576"/>
      <c r="O44576" s="24"/>
      <c r="P44576"/>
      <c r="Q44576" s="24"/>
      <c r="R44576"/>
      <c r="S44576"/>
      <c r="T44576"/>
      <c r="U44576"/>
      <c r="X44576" s="60"/>
    </row>
    <row r="44577" spans="7:24" ht="15" customHeight="1">
      <c r="G44577"/>
      <c r="I44577"/>
      <c r="N44577"/>
      <c r="O44577" s="24"/>
      <c r="P44577"/>
      <c r="Q44577" s="24"/>
      <c r="R44577"/>
      <c r="S44577"/>
      <c r="T44577"/>
      <c r="U44577"/>
      <c r="X44577" s="60"/>
    </row>
    <row r="44578" spans="7:24" ht="15" customHeight="1">
      <c r="G44578"/>
      <c r="I44578"/>
      <c r="N44578"/>
      <c r="O44578" s="24"/>
      <c r="P44578"/>
      <c r="Q44578" s="24"/>
      <c r="R44578"/>
      <c r="S44578"/>
      <c r="T44578"/>
      <c r="U44578"/>
      <c r="X44578" s="60"/>
    </row>
    <row r="44579" spans="7:24" ht="15" customHeight="1">
      <c r="G44579"/>
      <c r="I44579"/>
      <c r="N44579"/>
      <c r="O44579" s="24"/>
      <c r="P44579"/>
      <c r="Q44579" s="24"/>
      <c r="R44579"/>
      <c r="S44579"/>
      <c r="T44579"/>
      <c r="U44579"/>
      <c r="X44579" s="60"/>
    </row>
    <row r="44580" spans="7:24" ht="15" customHeight="1">
      <c r="G44580"/>
      <c r="I44580"/>
      <c r="N44580"/>
      <c r="O44580" s="24"/>
      <c r="P44580"/>
      <c r="Q44580" s="24"/>
      <c r="R44580"/>
      <c r="S44580"/>
      <c r="T44580"/>
      <c r="U44580"/>
      <c r="X44580" s="60"/>
    </row>
    <row r="44581" spans="7:24" ht="15" customHeight="1">
      <c r="G44581"/>
      <c r="I44581"/>
      <c r="N44581"/>
      <c r="O44581" s="24"/>
      <c r="P44581"/>
      <c r="Q44581" s="24"/>
      <c r="R44581"/>
      <c r="S44581"/>
      <c r="T44581"/>
      <c r="U44581"/>
      <c r="X44581" s="60"/>
    </row>
    <row r="44582" spans="7:24" ht="15" customHeight="1">
      <c r="G44582"/>
      <c r="I44582"/>
      <c r="N44582"/>
      <c r="O44582" s="24"/>
      <c r="P44582"/>
      <c r="Q44582" s="24"/>
      <c r="R44582"/>
      <c r="S44582"/>
      <c r="T44582"/>
      <c r="U44582"/>
      <c r="X44582" s="60"/>
    </row>
    <row r="44583" spans="7:24" ht="15" customHeight="1">
      <c r="G44583"/>
      <c r="I44583"/>
      <c r="N44583"/>
      <c r="O44583" s="24"/>
      <c r="P44583"/>
      <c r="Q44583" s="24"/>
      <c r="R44583"/>
      <c r="S44583"/>
      <c r="T44583"/>
      <c r="U44583"/>
      <c r="X44583" s="60"/>
    </row>
    <row r="44584" spans="7:24" ht="15" customHeight="1">
      <c r="G44584"/>
      <c r="I44584"/>
      <c r="N44584"/>
      <c r="O44584" s="24"/>
      <c r="P44584"/>
      <c r="Q44584" s="24"/>
      <c r="R44584"/>
      <c r="S44584"/>
      <c r="T44584"/>
      <c r="U44584"/>
      <c r="X44584" s="60"/>
    </row>
    <row r="44585" spans="7:24" ht="15" customHeight="1">
      <c r="G44585"/>
      <c r="I44585"/>
      <c r="N44585"/>
      <c r="O44585" s="24"/>
      <c r="P44585"/>
      <c r="Q44585" s="24"/>
      <c r="R44585"/>
      <c r="S44585"/>
      <c r="T44585"/>
      <c r="U44585"/>
      <c r="X44585" s="60"/>
    </row>
    <row r="44586" spans="7:24" ht="15" customHeight="1">
      <c r="G44586"/>
      <c r="I44586"/>
      <c r="N44586"/>
      <c r="O44586" s="24"/>
      <c r="P44586"/>
      <c r="Q44586" s="24"/>
      <c r="R44586"/>
      <c r="S44586"/>
      <c r="T44586"/>
      <c r="U44586"/>
      <c r="X44586" s="60"/>
    </row>
    <row r="44587" spans="7:24" ht="15" customHeight="1">
      <c r="G44587"/>
      <c r="I44587"/>
      <c r="N44587"/>
      <c r="O44587" s="24"/>
      <c r="P44587"/>
      <c r="Q44587" s="24"/>
      <c r="R44587"/>
      <c r="S44587"/>
      <c r="T44587"/>
      <c r="U44587"/>
      <c r="X44587" s="60"/>
    </row>
    <row r="44588" spans="7:24" ht="15" customHeight="1">
      <c r="G44588"/>
      <c r="I44588"/>
      <c r="N44588"/>
      <c r="O44588" s="24"/>
      <c r="P44588"/>
      <c r="Q44588" s="24"/>
      <c r="R44588"/>
      <c r="S44588"/>
      <c r="T44588"/>
      <c r="U44588"/>
      <c r="X44588" s="60"/>
    </row>
    <row r="44589" spans="7:24" ht="15" customHeight="1">
      <c r="G44589"/>
      <c r="I44589"/>
      <c r="N44589"/>
      <c r="O44589" s="24"/>
      <c r="P44589"/>
      <c r="Q44589" s="24"/>
      <c r="R44589"/>
      <c r="S44589"/>
      <c r="T44589"/>
      <c r="U44589"/>
      <c r="X44589" s="60"/>
    </row>
    <row r="44590" spans="7:24" ht="15" customHeight="1">
      <c r="G44590"/>
      <c r="I44590"/>
      <c r="N44590"/>
      <c r="O44590" s="24"/>
      <c r="P44590"/>
      <c r="Q44590" s="24"/>
      <c r="R44590"/>
      <c r="S44590"/>
      <c r="T44590"/>
      <c r="U44590"/>
      <c r="X44590" s="60"/>
    </row>
    <row r="44591" spans="7:24" ht="15" customHeight="1">
      <c r="G44591"/>
      <c r="I44591"/>
      <c r="N44591"/>
      <c r="O44591" s="24"/>
      <c r="P44591"/>
      <c r="Q44591" s="24"/>
      <c r="R44591"/>
      <c r="S44591"/>
      <c r="T44591"/>
      <c r="U44591"/>
      <c r="X44591" s="60"/>
    </row>
    <row r="44592" spans="7:24" ht="15" customHeight="1">
      <c r="G44592"/>
      <c r="I44592"/>
      <c r="N44592"/>
      <c r="O44592" s="24"/>
      <c r="P44592"/>
      <c r="Q44592" s="24"/>
      <c r="R44592"/>
      <c r="S44592"/>
      <c r="T44592"/>
      <c r="U44592"/>
      <c r="X44592" s="60"/>
    </row>
    <row r="44593" spans="7:24" ht="15" customHeight="1">
      <c r="G44593"/>
      <c r="I44593"/>
      <c r="N44593"/>
      <c r="O44593" s="24"/>
      <c r="P44593"/>
      <c r="Q44593" s="24"/>
      <c r="R44593"/>
      <c r="S44593"/>
      <c r="T44593"/>
      <c r="U44593"/>
      <c r="X44593" s="60"/>
    </row>
    <row r="44594" spans="7:24" ht="15" customHeight="1">
      <c r="G44594"/>
      <c r="I44594"/>
      <c r="N44594"/>
      <c r="O44594" s="24"/>
      <c r="P44594"/>
      <c r="Q44594" s="24"/>
      <c r="R44594"/>
      <c r="S44594"/>
      <c r="T44594"/>
      <c r="U44594"/>
      <c r="X44594" s="60"/>
    </row>
    <row r="44595" spans="7:24" ht="15" customHeight="1">
      <c r="G44595"/>
      <c r="I44595"/>
      <c r="N44595"/>
      <c r="O44595" s="24"/>
      <c r="P44595"/>
      <c r="Q44595" s="24"/>
      <c r="R44595"/>
      <c r="S44595"/>
      <c r="T44595"/>
      <c r="U44595"/>
      <c r="X44595" s="60"/>
    </row>
    <row r="44596" spans="7:24" ht="15" customHeight="1">
      <c r="G44596"/>
      <c r="I44596"/>
      <c r="N44596"/>
      <c r="O44596" s="24"/>
      <c r="P44596"/>
      <c r="Q44596" s="24"/>
      <c r="R44596"/>
      <c r="S44596"/>
      <c r="T44596"/>
      <c r="U44596"/>
      <c r="X44596" s="60"/>
    </row>
    <row r="44597" spans="7:24" ht="15" customHeight="1">
      <c r="G44597"/>
      <c r="I44597"/>
      <c r="N44597"/>
      <c r="O44597" s="24"/>
      <c r="P44597"/>
      <c r="Q44597" s="24"/>
      <c r="R44597"/>
      <c r="S44597"/>
      <c r="T44597"/>
      <c r="U44597"/>
      <c r="X44597" s="60"/>
    </row>
    <row r="44598" spans="7:24" ht="15" customHeight="1">
      <c r="G44598"/>
      <c r="I44598"/>
      <c r="N44598"/>
      <c r="O44598" s="24"/>
      <c r="P44598"/>
      <c r="Q44598" s="24"/>
      <c r="R44598"/>
      <c r="S44598"/>
      <c r="T44598"/>
      <c r="U44598"/>
      <c r="X44598" s="60"/>
    </row>
    <row r="44599" spans="7:24" ht="15" customHeight="1">
      <c r="G44599"/>
      <c r="I44599"/>
      <c r="N44599"/>
      <c r="O44599" s="24"/>
      <c r="P44599"/>
      <c r="Q44599" s="24"/>
      <c r="R44599"/>
      <c r="S44599"/>
      <c r="T44599"/>
      <c r="U44599"/>
      <c r="X44599" s="60"/>
    </row>
    <row r="44600" spans="7:24" ht="15" customHeight="1">
      <c r="G44600"/>
      <c r="I44600"/>
      <c r="N44600"/>
      <c r="O44600" s="24"/>
      <c r="P44600"/>
      <c r="Q44600" s="24"/>
      <c r="R44600"/>
      <c r="S44600"/>
      <c r="T44600"/>
      <c r="U44600"/>
      <c r="X44600" s="60"/>
    </row>
    <row r="44601" spans="7:24" ht="15" customHeight="1">
      <c r="G44601"/>
      <c r="I44601"/>
      <c r="N44601"/>
      <c r="O44601" s="24"/>
      <c r="P44601"/>
      <c r="Q44601" s="24"/>
      <c r="R44601"/>
      <c r="S44601"/>
      <c r="T44601"/>
      <c r="U44601"/>
      <c r="X44601" s="60"/>
    </row>
    <row r="44602" spans="7:24" ht="15" customHeight="1">
      <c r="G44602"/>
      <c r="I44602"/>
      <c r="N44602"/>
      <c r="O44602" s="24"/>
      <c r="P44602"/>
      <c r="Q44602" s="24"/>
      <c r="R44602"/>
      <c r="S44602"/>
      <c r="T44602"/>
      <c r="U44602"/>
      <c r="X44602" s="60"/>
    </row>
    <row r="44603" spans="7:24" ht="15" customHeight="1">
      <c r="G44603"/>
      <c r="I44603"/>
      <c r="N44603"/>
      <c r="O44603" s="24"/>
      <c r="P44603"/>
      <c r="Q44603" s="24"/>
      <c r="R44603"/>
      <c r="S44603"/>
      <c r="T44603"/>
      <c r="U44603"/>
      <c r="X44603" s="60"/>
    </row>
    <row r="44604" spans="7:24" ht="15" customHeight="1">
      <c r="G44604"/>
      <c r="I44604"/>
      <c r="N44604"/>
      <c r="O44604" s="24"/>
      <c r="P44604"/>
      <c r="Q44604" s="24"/>
      <c r="R44604"/>
      <c r="S44604"/>
      <c r="T44604"/>
      <c r="U44604"/>
      <c r="X44604" s="60"/>
    </row>
    <row r="44605" spans="7:24" ht="15" customHeight="1">
      <c r="G44605"/>
      <c r="I44605"/>
      <c r="N44605"/>
      <c r="O44605" s="24"/>
      <c r="P44605"/>
      <c r="Q44605" s="24"/>
      <c r="R44605"/>
      <c r="S44605"/>
      <c r="T44605"/>
      <c r="U44605"/>
      <c r="X44605" s="60"/>
    </row>
    <row r="44606" spans="7:24" ht="15" customHeight="1">
      <c r="G44606"/>
      <c r="I44606"/>
      <c r="N44606"/>
      <c r="O44606" s="24"/>
      <c r="P44606"/>
      <c r="Q44606" s="24"/>
      <c r="R44606"/>
      <c r="S44606"/>
      <c r="T44606"/>
      <c r="U44606"/>
      <c r="X44606" s="60"/>
    </row>
    <row r="44607" spans="7:24" ht="15" customHeight="1">
      <c r="G44607"/>
      <c r="I44607"/>
      <c r="N44607"/>
      <c r="O44607" s="24"/>
      <c r="P44607"/>
      <c r="Q44607" s="24"/>
      <c r="R44607"/>
      <c r="S44607"/>
      <c r="T44607"/>
      <c r="U44607"/>
      <c r="X44607" s="60"/>
    </row>
    <row r="44608" spans="7:24" ht="15" customHeight="1">
      <c r="G44608"/>
      <c r="I44608"/>
      <c r="N44608"/>
      <c r="O44608" s="24"/>
      <c r="P44608"/>
      <c r="Q44608" s="24"/>
      <c r="R44608"/>
      <c r="S44608"/>
      <c r="T44608"/>
      <c r="U44608"/>
      <c r="X44608" s="60"/>
    </row>
    <row r="44609" spans="7:24" ht="15" customHeight="1">
      <c r="G44609"/>
      <c r="I44609"/>
      <c r="N44609"/>
      <c r="O44609" s="24"/>
      <c r="P44609"/>
      <c r="Q44609" s="24"/>
      <c r="R44609"/>
      <c r="S44609"/>
      <c r="T44609"/>
      <c r="U44609"/>
      <c r="X44609" s="60"/>
    </row>
    <row r="44610" spans="7:24" ht="15" customHeight="1">
      <c r="G44610"/>
      <c r="I44610"/>
      <c r="N44610"/>
      <c r="O44610" s="24"/>
      <c r="P44610"/>
      <c r="Q44610" s="24"/>
      <c r="R44610"/>
      <c r="S44610"/>
      <c r="T44610"/>
      <c r="U44610"/>
      <c r="X44610" s="60"/>
    </row>
    <row r="44611" spans="7:24" ht="15" customHeight="1">
      <c r="G44611"/>
      <c r="I44611"/>
      <c r="N44611"/>
      <c r="O44611" s="24"/>
      <c r="P44611"/>
      <c r="Q44611" s="24"/>
      <c r="R44611"/>
      <c r="S44611"/>
      <c r="T44611"/>
      <c r="U44611"/>
      <c r="X44611" s="60"/>
    </row>
    <row r="44612" spans="7:24" ht="15" customHeight="1">
      <c r="G44612"/>
      <c r="I44612"/>
      <c r="N44612"/>
      <c r="O44612" s="24"/>
      <c r="P44612"/>
      <c r="Q44612" s="24"/>
      <c r="R44612"/>
      <c r="S44612"/>
      <c r="T44612"/>
      <c r="U44612"/>
      <c r="X44612" s="60"/>
    </row>
    <row r="44613" spans="7:24" ht="15" customHeight="1">
      <c r="G44613"/>
      <c r="I44613"/>
      <c r="N44613"/>
      <c r="O44613" s="24"/>
      <c r="P44613"/>
      <c r="Q44613" s="24"/>
      <c r="R44613"/>
      <c r="S44613"/>
      <c r="T44613"/>
      <c r="U44613"/>
      <c r="X44613" s="60"/>
    </row>
    <row r="44614" spans="7:24" ht="15" customHeight="1">
      <c r="G44614"/>
      <c r="I44614"/>
      <c r="N44614"/>
      <c r="O44614" s="24"/>
      <c r="P44614"/>
      <c r="Q44614" s="24"/>
      <c r="R44614"/>
      <c r="S44614"/>
      <c r="T44614"/>
      <c r="U44614"/>
      <c r="X44614" s="60"/>
    </row>
    <row r="44615" spans="7:24" ht="15" customHeight="1">
      <c r="G44615"/>
      <c r="I44615"/>
      <c r="N44615"/>
      <c r="O44615" s="24"/>
      <c r="P44615"/>
      <c r="Q44615" s="24"/>
      <c r="R44615"/>
      <c r="S44615"/>
      <c r="T44615"/>
      <c r="U44615"/>
      <c r="X44615" s="60"/>
    </row>
    <row r="44616" spans="7:24" ht="15" customHeight="1">
      <c r="G44616"/>
      <c r="I44616"/>
      <c r="N44616"/>
      <c r="O44616" s="24"/>
      <c r="P44616"/>
      <c r="Q44616" s="24"/>
      <c r="R44616"/>
      <c r="S44616"/>
      <c r="T44616"/>
      <c r="U44616"/>
      <c r="X44616" s="60"/>
    </row>
    <row r="44617" spans="7:24" ht="15" customHeight="1">
      <c r="G44617"/>
      <c r="I44617"/>
      <c r="N44617"/>
      <c r="O44617" s="24"/>
      <c r="P44617"/>
      <c r="Q44617" s="24"/>
      <c r="R44617"/>
      <c r="S44617"/>
      <c r="T44617"/>
      <c r="U44617"/>
      <c r="X44617" s="60"/>
    </row>
    <row r="44618" spans="7:24" ht="15" customHeight="1">
      <c r="G44618"/>
      <c r="I44618"/>
      <c r="N44618"/>
      <c r="O44618" s="24"/>
      <c r="P44618"/>
      <c r="Q44618" s="24"/>
      <c r="R44618"/>
      <c r="S44618"/>
      <c r="T44618"/>
      <c r="U44618"/>
      <c r="X44618" s="60"/>
    </row>
    <row r="44619" spans="7:24" ht="15" customHeight="1">
      <c r="G44619"/>
      <c r="I44619"/>
      <c r="N44619"/>
      <c r="O44619" s="24"/>
      <c r="P44619"/>
      <c r="Q44619" s="24"/>
      <c r="R44619"/>
      <c r="S44619"/>
      <c r="T44619"/>
      <c r="U44619"/>
      <c r="X44619" s="60"/>
    </row>
    <row r="44620" spans="7:24" ht="15" customHeight="1">
      <c r="G44620"/>
      <c r="I44620"/>
      <c r="N44620"/>
      <c r="O44620" s="24"/>
      <c r="P44620"/>
      <c r="Q44620" s="24"/>
      <c r="R44620"/>
      <c r="S44620"/>
      <c r="T44620"/>
      <c r="U44620"/>
      <c r="X44620" s="60"/>
    </row>
    <row r="44621" spans="7:24" ht="15" customHeight="1">
      <c r="G44621"/>
      <c r="I44621"/>
      <c r="N44621"/>
      <c r="O44621" s="24"/>
      <c r="P44621"/>
      <c r="Q44621" s="24"/>
      <c r="R44621"/>
      <c r="S44621"/>
      <c r="T44621"/>
      <c r="U44621"/>
      <c r="X44621" s="60"/>
    </row>
    <row r="44622" spans="7:24" ht="15" customHeight="1">
      <c r="G44622"/>
      <c r="I44622"/>
      <c r="N44622"/>
      <c r="O44622" s="24"/>
      <c r="P44622"/>
      <c r="Q44622" s="24"/>
      <c r="R44622"/>
      <c r="S44622"/>
      <c r="T44622"/>
      <c r="U44622"/>
      <c r="X44622" s="60"/>
    </row>
    <row r="44623" spans="7:24" ht="15" customHeight="1">
      <c r="G44623"/>
      <c r="I44623"/>
      <c r="N44623"/>
      <c r="O44623" s="24"/>
      <c r="P44623"/>
      <c r="Q44623" s="24"/>
      <c r="R44623"/>
      <c r="S44623"/>
      <c r="T44623"/>
      <c r="U44623"/>
      <c r="X44623" s="60"/>
    </row>
    <row r="44624" spans="7:24" ht="15" customHeight="1">
      <c r="G44624"/>
      <c r="I44624"/>
      <c r="N44624"/>
      <c r="O44624" s="24"/>
      <c r="P44624"/>
      <c r="Q44624" s="24"/>
      <c r="R44624"/>
      <c r="S44624"/>
      <c r="T44624"/>
      <c r="U44624"/>
      <c r="X44624" s="60"/>
    </row>
    <row r="44625" spans="7:24" ht="15" customHeight="1">
      <c r="G44625"/>
      <c r="I44625"/>
      <c r="N44625"/>
      <c r="O44625" s="24"/>
      <c r="P44625"/>
      <c r="Q44625" s="24"/>
      <c r="R44625"/>
      <c r="S44625"/>
      <c r="T44625"/>
      <c r="U44625"/>
      <c r="X44625" s="60"/>
    </row>
    <row r="44626" spans="7:24" ht="15" customHeight="1">
      <c r="G44626"/>
      <c r="I44626"/>
      <c r="N44626"/>
      <c r="O44626" s="24"/>
      <c r="P44626"/>
      <c r="Q44626" s="24"/>
      <c r="R44626"/>
      <c r="S44626"/>
      <c r="T44626"/>
      <c r="U44626"/>
      <c r="X44626" s="60"/>
    </row>
    <row r="44627" spans="7:24" ht="15" customHeight="1">
      <c r="G44627"/>
      <c r="I44627"/>
      <c r="N44627"/>
      <c r="O44627" s="24"/>
      <c r="P44627"/>
      <c r="Q44627" s="24"/>
      <c r="R44627"/>
      <c r="S44627"/>
      <c r="T44627"/>
      <c r="U44627"/>
      <c r="X44627" s="60"/>
    </row>
    <row r="44628" spans="7:24" ht="15" customHeight="1">
      <c r="G44628"/>
      <c r="I44628"/>
      <c r="N44628"/>
      <c r="O44628" s="24"/>
      <c r="P44628"/>
      <c r="Q44628" s="24"/>
      <c r="R44628"/>
      <c r="S44628"/>
      <c r="T44628"/>
      <c r="U44628"/>
      <c r="X44628" s="60"/>
    </row>
    <row r="44629" spans="7:24" ht="15" customHeight="1">
      <c r="G44629"/>
      <c r="I44629"/>
      <c r="N44629"/>
      <c r="O44629" s="24"/>
      <c r="P44629"/>
      <c r="Q44629" s="24"/>
      <c r="R44629"/>
      <c r="S44629"/>
      <c r="T44629"/>
      <c r="U44629"/>
      <c r="X44629" s="60"/>
    </row>
    <row r="44630" spans="7:24" ht="15" customHeight="1">
      <c r="G44630"/>
      <c r="I44630"/>
      <c r="N44630"/>
      <c r="O44630" s="24"/>
      <c r="P44630"/>
      <c r="Q44630" s="24"/>
      <c r="R44630"/>
      <c r="S44630"/>
      <c r="T44630"/>
      <c r="U44630"/>
      <c r="X44630" s="60"/>
    </row>
    <row r="44631" spans="7:24" ht="15" customHeight="1">
      <c r="G44631"/>
      <c r="I44631"/>
      <c r="N44631"/>
      <c r="O44631" s="24"/>
      <c r="P44631"/>
      <c r="Q44631" s="24"/>
      <c r="R44631"/>
      <c r="S44631"/>
      <c r="T44631"/>
      <c r="U44631"/>
      <c r="X44631" s="60"/>
    </row>
    <row r="44632" spans="7:24" ht="15" customHeight="1">
      <c r="G44632"/>
      <c r="I44632"/>
      <c r="N44632"/>
      <c r="O44632" s="24"/>
      <c r="P44632"/>
      <c r="Q44632" s="24"/>
      <c r="R44632"/>
      <c r="S44632"/>
      <c r="T44632"/>
      <c r="U44632"/>
      <c r="X44632" s="60"/>
    </row>
    <row r="44633" spans="7:24" ht="15" customHeight="1">
      <c r="G44633"/>
      <c r="I44633"/>
      <c r="N44633"/>
      <c r="O44633" s="24"/>
      <c r="P44633"/>
      <c r="Q44633" s="24"/>
      <c r="R44633"/>
      <c r="S44633"/>
      <c r="T44633"/>
      <c r="U44633"/>
      <c r="X44633" s="60"/>
    </row>
    <row r="44634" spans="7:24" ht="15" customHeight="1">
      <c r="G44634"/>
      <c r="I44634"/>
      <c r="N44634"/>
      <c r="O44634" s="24"/>
      <c r="P44634"/>
      <c r="Q44634" s="24"/>
      <c r="R44634"/>
      <c r="S44634"/>
      <c r="T44634"/>
      <c r="U44634"/>
      <c r="X44634" s="60"/>
    </row>
    <row r="44635" spans="7:24" ht="15" customHeight="1">
      <c r="G44635"/>
      <c r="I44635"/>
      <c r="N44635"/>
      <c r="O44635" s="24"/>
      <c r="P44635"/>
      <c r="Q44635" s="24"/>
      <c r="R44635"/>
      <c r="S44635"/>
      <c r="T44635"/>
      <c r="U44635"/>
      <c r="X44635" s="60"/>
    </row>
    <row r="44636" spans="7:24" ht="15" customHeight="1">
      <c r="G44636"/>
      <c r="I44636"/>
      <c r="N44636"/>
      <c r="O44636" s="24"/>
      <c r="P44636"/>
      <c r="Q44636" s="24"/>
      <c r="R44636"/>
      <c r="S44636"/>
      <c r="T44636"/>
      <c r="U44636"/>
      <c r="X44636" s="60"/>
    </row>
    <row r="44637" spans="7:24" ht="15" customHeight="1">
      <c r="G44637"/>
      <c r="I44637"/>
      <c r="N44637"/>
      <c r="O44637" s="24"/>
      <c r="P44637"/>
      <c r="Q44637" s="24"/>
      <c r="R44637"/>
      <c r="S44637"/>
      <c r="T44637"/>
      <c r="U44637"/>
      <c r="X44637" s="60"/>
    </row>
    <row r="44638" spans="7:24" ht="15" customHeight="1">
      <c r="G44638"/>
      <c r="I44638"/>
      <c r="N44638"/>
      <c r="O44638" s="24"/>
      <c r="P44638"/>
      <c r="Q44638" s="24"/>
      <c r="R44638"/>
      <c r="S44638"/>
      <c r="T44638"/>
      <c r="U44638"/>
      <c r="X44638" s="60"/>
    </row>
    <row r="44639" spans="7:24" ht="15" customHeight="1">
      <c r="G44639"/>
      <c r="I44639"/>
      <c r="N44639"/>
      <c r="O44639" s="24"/>
      <c r="P44639"/>
      <c r="Q44639" s="24"/>
      <c r="R44639"/>
      <c r="S44639"/>
      <c r="T44639"/>
      <c r="U44639"/>
      <c r="X44639" s="60"/>
    </row>
    <row r="44640" spans="7:24" ht="15" customHeight="1">
      <c r="G44640"/>
      <c r="I44640"/>
      <c r="N44640"/>
      <c r="O44640" s="24"/>
      <c r="P44640"/>
      <c r="Q44640" s="24"/>
      <c r="R44640"/>
      <c r="S44640"/>
      <c r="T44640"/>
      <c r="U44640"/>
      <c r="X44640" s="60"/>
    </row>
    <row r="44641" spans="7:24" ht="15" customHeight="1">
      <c r="G44641"/>
      <c r="I44641"/>
      <c r="N44641"/>
      <c r="O44641" s="24"/>
      <c r="P44641"/>
      <c r="Q44641" s="24"/>
      <c r="R44641"/>
      <c r="S44641"/>
      <c r="T44641"/>
      <c r="U44641"/>
      <c r="X44641" s="60"/>
    </row>
    <row r="44642" spans="7:24" ht="15" customHeight="1">
      <c r="G44642"/>
      <c r="I44642"/>
      <c r="N44642"/>
      <c r="O44642" s="24"/>
      <c r="P44642"/>
      <c r="Q44642" s="24"/>
      <c r="R44642"/>
      <c r="S44642"/>
      <c r="T44642"/>
      <c r="U44642"/>
      <c r="X44642" s="60"/>
    </row>
    <row r="44643" spans="7:24" ht="15" customHeight="1">
      <c r="G44643"/>
      <c r="I44643"/>
      <c r="N44643"/>
      <c r="O44643" s="24"/>
      <c r="P44643"/>
      <c r="Q44643" s="24"/>
      <c r="R44643"/>
      <c r="S44643"/>
      <c r="T44643"/>
      <c r="U44643"/>
      <c r="X44643" s="60"/>
    </row>
    <row r="44644" spans="7:24" ht="15" customHeight="1">
      <c r="G44644"/>
      <c r="I44644"/>
      <c r="N44644"/>
      <c r="O44644" s="24"/>
      <c r="P44644"/>
      <c r="Q44644" s="24"/>
      <c r="R44644"/>
      <c r="S44644"/>
      <c r="T44644"/>
      <c r="U44644"/>
      <c r="X44644" s="60"/>
    </row>
    <row r="44645" spans="7:24" ht="15" customHeight="1">
      <c r="G44645"/>
      <c r="I44645"/>
      <c r="N44645"/>
      <c r="O44645" s="24"/>
      <c r="P44645"/>
      <c r="Q44645" s="24"/>
      <c r="R44645"/>
      <c r="S44645"/>
      <c r="T44645"/>
      <c r="U44645"/>
      <c r="X44645" s="60"/>
    </row>
    <row r="44646" spans="7:24" ht="15" customHeight="1">
      <c r="G44646"/>
      <c r="I44646"/>
      <c r="N44646"/>
      <c r="O44646" s="24"/>
      <c r="P44646"/>
      <c r="Q44646" s="24"/>
      <c r="R44646"/>
      <c r="S44646"/>
      <c r="T44646"/>
      <c r="U44646"/>
      <c r="X44646" s="60"/>
    </row>
    <row r="44647" spans="7:24" ht="15" customHeight="1">
      <c r="G44647"/>
      <c r="I44647"/>
      <c r="N44647"/>
      <c r="O44647" s="24"/>
      <c r="P44647"/>
      <c r="Q44647" s="24"/>
      <c r="R44647"/>
      <c r="S44647"/>
      <c r="T44647"/>
      <c r="U44647"/>
      <c r="X44647" s="60"/>
    </row>
    <row r="44648" spans="7:24" ht="15" customHeight="1">
      <c r="G44648"/>
      <c r="I44648"/>
      <c r="N44648"/>
      <c r="O44648" s="24"/>
      <c r="P44648"/>
      <c r="Q44648" s="24"/>
      <c r="R44648"/>
      <c r="S44648"/>
      <c r="T44648"/>
      <c r="U44648"/>
      <c r="X44648" s="60"/>
    </row>
    <row r="44649" spans="7:24" ht="15" customHeight="1">
      <c r="G44649"/>
      <c r="I44649"/>
      <c r="N44649"/>
      <c r="O44649" s="24"/>
      <c r="P44649"/>
      <c r="Q44649" s="24"/>
      <c r="R44649"/>
      <c r="S44649"/>
      <c r="T44649"/>
      <c r="U44649"/>
      <c r="X44649" s="60"/>
    </row>
    <row r="44650" spans="7:24" ht="15" customHeight="1">
      <c r="G44650"/>
      <c r="I44650"/>
      <c r="N44650"/>
      <c r="O44650" s="24"/>
      <c r="P44650"/>
      <c r="Q44650" s="24"/>
      <c r="R44650"/>
      <c r="S44650"/>
      <c r="T44650"/>
      <c r="U44650"/>
      <c r="X44650" s="60"/>
    </row>
    <row r="44651" spans="7:24" ht="15" customHeight="1">
      <c r="G44651"/>
      <c r="I44651"/>
      <c r="N44651"/>
      <c r="O44651" s="24"/>
      <c r="P44651"/>
      <c r="Q44651" s="24"/>
      <c r="R44651"/>
      <c r="S44651"/>
      <c r="T44651"/>
      <c r="U44651"/>
      <c r="X44651" s="60"/>
    </row>
    <row r="44652" spans="7:24" ht="15" customHeight="1">
      <c r="G44652"/>
      <c r="I44652"/>
      <c r="N44652"/>
      <c r="O44652" s="24"/>
      <c r="P44652"/>
      <c r="Q44652" s="24"/>
      <c r="R44652"/>
      <c r="S44652"/>
      <c r="T44652"/>
      <c r="U44652"/>
      <c r="X44652" s="60"/>
    </row>
    <row r="44653" spans="7:24" ht="15" customHeight="1">
      <c r="G44653"/>
      <c r="I44653"/>
      <c r="N44653"/>
      <c r="O44653" s="24"/>
      <c r="P44653"/>
      <c r="Q44653" s="24"/>
      <c r="R44653"/>
      <c r="S44653"/>
      <c r="T44653"/>
      <c r="U44653"/>
      <c r="X44653" s="60"/>
    </row>
    <row r="44654" spans="7:24" ht="15" customHeight="1">
      <c r="G44654"/>
      <c r="I44654"/>
      <c r="N44654"/>
      <c r="O44654" s="24"/>
      <c r="P44654"/>
      <c r="Q44654" s="24"/>
      <c r="R44654"/>
      <c r="S44654"/>
      <c r="T44654"/>
      <c r="U44654"/>
      <c r="X44654" s="60"/>
    </row>
    <row r="44655" spans="7:24" ht="15" customHeight="1">
      <c r="G44655"/>
      <c r="I44655"/>
      <c r="N44655"/>
      <c r="O44655" s="24"/>
      <c r="P44655"/>
      <c r="Q44655" s="24"/>
      <c r="R44655"/>
      <c r="S44655"/>
      <c r="T44655"/>
      <c r="U44655"/>
      <c r="X44655" s="60"/>
    </row>
    <row r="44656" spans="7:24" ht="15" customHeight="1">
      <c r="G44656"/>
      <c r="I44656"/>
      <c r="N44656"/>
      <c r="O44656" s="24"/>
      <c r="P44656"/>
      <c r="Q44656" s="24"/>
      <c r="R44656"/>
      <c r="S44656"/>
      <c r="T44656"/>
      <c r="U44656"/>
      <c r="X44656" s="60"/>
    </row>
    <row r="44657" spans="7:24" ht="15" customHeight="1">
      <c r="G44657"/>
      <c r="I44657"/>
      <c r="N44657"/>
      <c r="O44657" s="24"/>
      <c r="P44657"/>
      <c r="Q44657" s="24"/>
      <c r="R44657"/>
      <c r="S44657"/>
      <c r="T44657"/>
      <c r="U44657"/>
      <c r="X44657" s="60"/>
    </row>
    <row r="44658" spans="7:24" ht="15" customHeight="1">
      <c r="G44658"/>
      <c r="I44658"/>
      <c r="N44658"/>
      <c r="O44658" s="24"/>
      <c r="P44658"/>
      <c r="Q44658" s="24"/>
      <c r="R44658"/>
      <c r="S44658"/>
      <c r="T44658"/>
      <c r="U44658"/>
      <c r="X44658" s="60"/>
    </row>
    <row r="44659" spans="7:24" ht="15" customHeight="1">
      <c r="G44659"/>
      <c r="I44659"/>
      <c r="N44659"/>
      <c r="O44659" s="24"/>
      <c r="P44659"/>
      <c r="Q44659" s="24"/>
      <c r="R44659"/>
      <c r="S44659"/>
      <c r="T44659"/>
      <c r="U44659"/>
      <c r="X44659" s="60"/>
    </row>
    <row r="44660" spans="7:24" ht="15" customHeight="1">
      <c r="G44660"/>
      <c r="I44660"/>
      <c r="N44660"/>
      <c r="O44660" s="24"/>
      <c r="P44660"/>
      <c r="Q44660" s="24"/>
      <c r="R44660"/>
      <c r="S44660"/>
      <c r="T44660"/>
      <c r="U44660"/>
      <c r="X44660" s="60"/>
    </row>
    <row r="44661" spans="7:24" ht="15" customHeight="1">
      <c r="G44661"/>
      <c r="I44661"/>
      <c r="N44661"/>
      <c r="O44661" s="24"/>
      <c r="P44661"/>
      <c r="Q44661" s="24"/>
      <c r="R44661"/>
      <c r="S44661"/>
      <c r="T44661"/>
      <c r="U44661"/>
      <c r="X44661" s="60"/>
    </row>
    <row r="44662" spans="7:24" ht="15" customHeight="1">
      <c r="G44662"/>
      <c r="I44662"/>
      <c r="N44662"/>
      <c r="O44662" s="24"/>
      <c r="P44662"/>
      <c r="Q44662" s="24"/>
      <c r="R44662"/>
      <c r="S44662"/>
      <c r="T44662"/>
      <c r="U44662"/>
      <c r="X44662" s="60"/>
    </row>
    <row r="44663" spans="7:24" ht="15" customHeight="1">
      <c r="G44663"/>
      <c r="I44663"/>
      <c r="N44663"/>
      <c r="O44663" s="24"/>
      <c r="P44663"/>
      <c r="Q44663" s="24"/>
      <c r="R44663"/>
      <c r="S44663"/>
      <c r="T44663"/>
      <c r="U44663"/>
      <c r="X44663" s="60"/>
    </row>
    <row r="44664" spans="7:24" ht="15" customHeight="1">
      <c r="G44664"/>
      <c r="I44664"/>
      <c r="N44664"/>
      <c r="O44664" s="24"/>
      <c r="P44664"/>
      <c r="Q44664" s="24"/>
      <c r="R44664"/>
      <c r="S44664"/>
      <c r="T44664"/>
      <c r="U44664"/>
      <c r="X44664" s="60"/>
    </row>
    <row r="44665" spans="7:24" ht="15" customHeight="1">
      <c r="G44665"/>
      <c r="I44665"/>
      <c r="N44665"/>
      <c r="O44665" s="24"/>
      <c r="P44665"/>
      <c r="Q44665" s="24"/>
      <c r="R44665"/>
      <c r="S44665"/>
      <c r="T44665"/>
      <c r="U44665"/>
      <c r="X44665" s="60"/>
    </row>
    <row r="44666" spans="7:24" ht="15" customHeight="1">
      <c r="G44666"/>
      <c r="I44666"/>
      <c r="N44666"/>
      <c r="O44666" s="24"/>
      <c r="P44666"/>
      <c r="Q44666" s="24"/>
      <c r="R44666"/>
      <c r="S44666"/>
      <c r="T44666"/>
      <c r="U44666"/>
      <c r="X44666" s="60"/>
    </row>
    <row r="44667" spans="7:24" ht="15" customHeight="1">
      <c r="G44667"/>
      <c r="I44667"/>
      <c r="N44667"/>
      <c r="O44667" s="24"/>
      <c r="P44667"/>
      <c r="Q44667" s="24"/>
      <c r="R44667"/>
      <c r="S44667"/>
      <c r="T44667"/>
      <c r="U44667"/>
      <c r="X44667" s="60"/>
    </row>
    <row r="44668" spans="7:24" ht="15" customHeight="1">
      <c r="G44668"/>
      <c r="I44668"/>
      <c r="N44668"/>
      <c r="O44668" s="24"/>
      <c r="P44668"/>
      <c r="Q44668" s="24"/>
      <c r="R44668"/>
      <c r="S44668"/>
      <c r="T44668"/>
      <c r="U44668"/>
      <c r="X44668" s="60"/>
    </row>
    <row r="44669" spans="7:24" ht="15" customHeight="1">
      <c r="G44669"/>
      <c r="I44669"/>
      <c r="N44669"/>
      <c r="O44669" s="24"/>
      <c r="P44669"/>
      <c r="Q44669" s="24"/>
      <c r="R44669"/>
      <c r="S44669"/>
      <c r="T44669"/>
      <c r="U44669"/>
      <c r="X44669" s="60"/>
    </row>
    <row r="44670" spans="7:24" ht="15" customHeight="1">
      <c r="G44670"/>
      <c r="I44670"/>
      <c r="N44670"/>
      <c r="O44670" s="24"/>
      <c r="P44670"/>
      <c r="Q44670" s="24"/>
      <c r="R44670"/>
      <c r="S44670"/>
      <c r="T44670"/>
      <c r="U44670"/>
      <c r="X44670" s="60"/>
    </row>
    <row r="44671" spans="7:24" ht="15" customHeight="1">
      <c r="G44671"/>
      <c r="I44671"/>
      <c r="N44671"/>
      <c r="O44671" s="24"/>
      <c r="P44671"/>
      <c r="Q44671" s="24"/>
      <c r="R44671"/>
      <c r="S44671"/>
      <c r="T44671"/>
      <c r="U44671"/>
      <c r="X44671" s="60"/>
    </row>
    <row r="44672" spans="7:24" ht="15" customHeight="1">
      <c r="G44672"/>
      <c r="I44672"/>
      <c r="N44672"/>
      <c r="O44672" s="24"/>
      <c r="P44672"/>
      <c r="Q44672" s="24"/>
      <c r="R44672"/>
      <c r="S44672"/>
      <c r="T44672"/>
      <c r="U44672"/>
      <c r="X44672" s="60"/>
    </row>
    <row r="44673" spans="7:24" ht="15" customHeight="1">
      <c r="G44673"/>
      <c r="I44673"/>
      <c r="N44673"/>
      <c r="O44673" s="24"/>
      <c r="P44673"/>
      <c r="Q44673" s="24"/>
      <c r="R44673"/>
      <c r="S44673"/>
      <c r="T44673"/>
      <c r="U44673"/>
      <c r="X44673" s="60"/>
    </row>
    <row r="44674" spans="7:24" ht="15" customHeight="1">
      <c r="G44674"/>
      <c r="I44674"/>
      <c r="N44674"/>
      <c r="O44674" s="24"/>
      <c r="P44674"/>
      <c r="Q44674" s="24"/>
      <c r="R44674"/>
      <c r="S44674"/>
      <c r="T44674"/>
      <c r="U44674"/>
      <c r="X44674" s="60"/>
    </row>
    <row r="44675" spans="7:24" ht="15" customHeight="1">
      <c r="G44675"/>
      <c r="I44675"/>
      <c r="N44675"/>
      <c r="O44675" s="24"/>
      <c r="P44675"/>
      <c r="Q44675" s="24"/>
      <c r="R44675"/>
      <c r="S44675"/>
      <c r="T44675"/>
      <c r="U44675"/>
      <c r="X44675" s="60"/>
    </row>
    <row r="44676" spans="7:24" ht="15" customHeight="1">
      <c r="G44676"/>
      <c r="I44676"/>
      <c r="N44676"/>
      <c r="O44676" s="24"/>
      <c r="P44676"/>
      <c r="Q44676" s="24"/>
      <c r="R44676"/>
      <c r="S44676"/>
      <c r="T44676"/>
      <c r="U44676"/>
      <c r="X44676" s="60"/>
    </row>
    <row r="44677" spans="7:24" ht="15" customHeight="1">
      <c r="G44677"/>
      <c r="I44677"/>
      <c r="N44677"/>
      <c r="O44677" s="24"/>
      <c r="P44677"/>
      <c r="Q44677" s="24"/>
      <c r="R44677"/>
      <c r="S44677"/>
      <c r="T44677"/>
      <c r="U44677"/>
      <c r="X44677" s="60"/>
    </row>
    <row r="44678" spans="7:24" ht="15" customHeight="1">
      <c r="G44678"/>
      <c r="I44678"/>
      <c r="N44678"/>
      <c r="O44678" s="24"/>
      <c r="P44678"/>
      <c r="Q44678" s="24"/>
      <c r="R44678"/>
      <c r="S44678"/>
      <c r="T44678"/>
      <c r="U44678"/>
      <c r="X44678" s="60"/>
    </row>
    <row r="44679" spans="7:24" ht="15" customHeight="1">
      <c r="G44679"/>
      <c r="I44679"/>
      <c r="N44679"/>
      <c r="O44679" s="24"/>
      <c r="P44679"/>
      <c r="Q44679" s="24"/>
      <c r="R44679"/>
      <c r="S44679"/>
      <c r="T44679"/>
      <c r="U44679"/>
      <c r="X44679" s="60"/>
    </row>
    <row r="44680" spans="7:24" ht="15" customHeight="1">
      <c r="G44680"/>
      <c r="I44680"/>
      <c r="N44680"/>
      <c r="O44680" s="24"/>
      <c r="P44680"/>
      <c r="Q44680" s="24"/>
      <c r="R44680"/>
      <c r="S44680"/>
      <c r="T44680"/>
      <c r="U44680"/>
      <c r="X44680" s="60"/>
    </row>
    <row r="44681" spans="7:24" ht="15" customHeight="1">
      <c r="G44681"/>
      <c r="I44681"/>
      <c r="N44681"/>
      <c r="O44681" s="24"/>
      <c r="P44681"/>
      <c r="Q44681" s="24"/>
      <c r="R44681"/>
      <c r="S44681"/>
      <c r="T44681"/>
      <c r="U44681"/>
      <c r="X44681" s="60"/>
    </row>
    <row r="44682" spans="7:24" ht="15" customHeight="1">
      <c r="G44682"/>
      <c r="I44682"/>
      <c r="N44682"/>
      <c r="O44682" s="24"/>
      <c r="P44682"/>
      <c r="Q44682" s="24"/>
      <c r="R44682"/>
      <c r="S44682"/>
      <c r="T44682"/>
      <c r="U44682"/>
      <c r="X44682" s="60"/>
    </row>
    <row r="44683" spans="7:24" ht="15" customHeight="1">
      <c r="G44683"/>
      <c r="I44683"/>
      <c r="N44683"/>
      <c r="O44683" s="24"/>
      <c r="P44683"/>
      <c r="Q44683" s="24"/>
      <c r="R44683"/>
      <c r="S44683"/>
      <c r="T44683"/>
      <c r="U44683"/>
      <c r="X44683" s="60"/>
    </row>
    <row r="44684" spans="7:24" ht="15" customHeight="1">
      <c r="G44684"/>
      <c r="I44684"/>
      <c r="N44684"/>
      <c r="O44684" s="24"/>
      <c r="P44684"/>
      <c r="Q44684" s="24"/>
      <c r="R44684"/>
      <c r="S44684"/>
      <c r="T44684"/>
      <c r="U44684"/>
      <c r="X44684" s="60"/>
    </row>
    <row r="44685" spans="7:24" ht="15" customHeight="1">
      <c r="G44685"/>
      <c r="I44685"/>
      <c r="N44685"/>
      <c r="O44685" s="24"/>
      <c r="P44685"/>
      <c r="Q44685" s="24"/>
      <c r="R44685"/>
      <c r="S44685"/>
      <c r="T44685"/>
      <c r="U44685"/>
      <c r="X44685" s="60"/>
    </row>
    <row r="44686" spans="7:24" ht="15" customHeight="1">
      <c r="G44686"/>
      <c r="I44686"/>
      <c r="N44686"/>
      <c r="O44686" s="24"/>
      <c r="P44686"/>
      <c r="Q44686" s="24"/>
      <c r="R44686"/>
      <c r="S44686"/>
      <c r="T44686"/>
      <c r="U44686"/>
      <c r="X44686" s="60"/>
    </row>
    <row r="44687" spans="7:24" ht="15" customHeight="1">
      <c r="G44687"/>
      <c r="I44687"/>
      <c r="N44687"/>
      <c r="O44687" s="24"/>
      <c r="P44687"/>
      <c r="Q44687" s="24"/>
      <c r="R44687"/>
      <c r="S44687"/>
      <c r="T44687"/>
      <c r="U44687"/>
      <c r="X44687" s="60"/>
    </row>
    <row r="44688" spans="7:24" ht="15" customHeight="1">
      <c r="G44688"/>
      <c r="I44688"/>
      <c r="N44688"/>
      <c r="O44688" s="24"/>
      <c r="P44688"/>
      <c r="Q44688" s="24"/>
      <c r="R44688"/>
      <c r="S44688"/>
      <c r="T44688"/>
      <c r="U44688"/>
      <c r="X44688" s="60"/>
    </row>
    <row r="44689" spans="7:24" ht="15" customHeight="1">
      <c r="G44689"/>
      <c r="I44689"/>
      <c r="N44689"/>
      <c r="O44689" s="24"/>
      <c r="P44689"/>
      <c r="Q44689" s="24"/>
      <c r="R44689"/>
      <c r="S44689"/>
      <c r="T44689"/>
      <c r="U44689"/>
      <c r="X44689" s="60"/>
    </row>
    <row r="44690" spans="7:24" ht="15" customHeight="1">
      <c r="G44690"/>
      <c r="I44690"/>
      <c r="N44690"/>
      <c r="O44690" s="24"/>
      <c r="P44690"/>
      <c r="Q44690" s="24"/>
      <c r="R44690"/>
      <c r="S44690"/>
      <c r="T44690"/>
      <c r="U44690"/>
      <c r="X44690" s="60"/>
    </row>
    <row r="44691" spans="7:24" ht="15" customHeight="1">
      <c r="G44691"/>
      <c r="I44691"/>
      <c r="N44691"/>
      <c r="O44691" s="24"/>
      <c r="P44691"/>
      <c r="Q44691" s="24"/>
      <c r="R44691"/>
      <c r="S44691"/>
      <c r="T44691"/>
      <c r="U44691"/>
      <c r="X44691" s="60"/>
    </row>
    <row r="44692" spans="7:24" ht="15" customHeight="1">
      <c r="G44692"/>
      <c r="I44692"/>
      <c r="N44692"/>
      <c r="O44692" s="24"/>
      <c r="P44692"/>
      <c r="Q44692" s="24"/>
      <c r="R44692"/>
      <c r="S44692"/>
      <c r="T44692"/>
      <c r="U44692"/>
      <c r="X44692" s="60"/>
    </row>
    <row r="44693" spans="7:24" ht="15" customHeight="1">
      <c r="G44693"/>
      <c r="I44693"/>
      <c r="N44693"/>
      <c r="O44693" s="24"/>
      <c r="P44693"/>
      <c r="Q44693" s="24"/>
      <c r="R44693"/>
      <c r="S44693"/>
      <c r="T44693"/>
      <c r="U44693"/>
      <c r="X44693" s="60"/>
    </row>
    <row r="44694" spans="7:24" ht="15" customHeight="1">
      <c r="G44694"/>
      <c r="I44694"/>
      <c r="N44694"/>
      <c r="O44694" s="24"/>
      <c r="P44694"/>
      <c r="Q44694" s="24"/>
      <c r="R44694"/>
      <c r="S44694"/>
      <c r="T44694"/>
      <c r="U44694"/>
      <c r="X44694" s="60"/>
    </row>
    <row r="44695" spans="7:24" ht="15" customHeight="1">
      <c r="G44695"/>
      <c r="I44695"/>
      <c r="N44695"/>
      <c r="O44695" s="24"/>
      <c r="P44695"/>
      <c r="Q44695" s="24"/>
      <c r="R44695"/>
      <c r="S44695"/>
      <c r="T44695"/>
      <c r="U44695"/>
      <c r="X44695" s="60"/>
    </row>
    <row r="44696" spans="7:24" ht="15" customHeight="1">
      <c r="G44696"/>
      <c r="I44696"/>
      <c r="N44696"/>
      <c r="O44696" s="24"/>
      <c r="P44696"/>
      <c r="Q44696" s="24"/>
      <c r="R44696"/>
      <c r="S44696"/>
      <c r="T44696"/>
      <c r="U44696"/>
      <c r="X44696" s="60"/>
    </row>
    <row r="44697" spans="7:24" ht="15" customHeight="1">
      <c r="G44697"/>
      <c r="I44697"/>
      <c r="N44697"/>
      <c r="O44697" s="24"/>
      <c r="P44697"/>
      <c r="Q44697" s="24"/>
      <c r="R44697"/>
      <c r="S44697"/>
      <c r="T44697"/>
      <c r="U44697"/>
      <c r="X44697" s="60"/>
    </row>
    <row r="44698" spans="7:24" ht="15" customHeight="1">
      <c r="G44698"/>
      <c r="I44698"/>
      <c r="N44698"/>
      <c r="O44698" s="24"/>
      <c r="P44698"/>
      <c r="Q44698" s="24"/>
      <c r="R44698"/>
      <c r="S44698"/>
      <c r="T44698"/>
      <c r="U44698"/>
      <c r="X44698" s="60"/>
    </row>
    <row r="44699" spans="7:24" ht="15" customHeight="1">
      <c r="G44699"/>
      <c r="I44699"/>
      <c r="N44699"/>
      <c r="O44699" s="24"/>
      <c r="P44699"/>
      <c r="Q44699" s="24"/>
      <c r="R44699"/>
      <c r="S44699"/>
      <c r="T44699"/>
      <c r="U44699"/>
      <c r="X44699" s="60"/>
    </row>
    <row r="44700" spans="7:24" ht="15" customHeight="1">
      <c r="G44700"/>
      <c r="I44700"/>
      <c r="N44700"/>
      <c r="O44700" s="24"/>
      <c r="P44700"/>
      <c r="Q44700" s="24"/>
      <c r="R44700"/>
      <c r="S44700"/>
      <c r="T44700"/>
      <c r="U44700"/>
      <c r="X44700" s="60"/>
    </row>
    <row r="44701" spans="7:24" ht="15" customHeight="1">
      <c r="G44701"/>
      <c r="I44701"/>
      <c r="N44701"/>
      <c r="O44701" s="24"/>
      <c r="P44701"/>
      <c r="Q44701" s="24"/>
      <c r="R44701"/>
      <c r="S44701"/>
      <c r="T44701"/>
      <c r="U44701"/>
      <c r="X44701" s="60"/>
    </row>
    <row r="44702" spans="7:24" ht="15" customHeight="1">
      <c r="G44702"/>
      <c r="I44702"/>
      <c r="N44702"/>
      <c r="O44702" s="24"/>
      <c r="P44702"/>
      <c r="Q44702" s="24"/>
      <c r="R44702"/>
      <c r="S44702"/>
      <c r="T44702"/>
      <c r="U44702"/>
      <c r="X44702" s="60"/>
    </row>
    <row r="44703" spans="7:24" ht="15" customHeight="1">
      <c r="G44703"/>
      <c r="I44703"/>
      <c r="N44703"/>
      <c r="O44703" s="24"/>
      <c r="P44703"/>
      <c r="Q44703" s="24"/>
      <c r="R44703"/>
      <c r="S44703"/>
      <c r="T44703"/>
      <c r="U44703"/>
      <c r="X44703" s="60"/>
    </row>
    <row r="44704" spans="7:24" ht="15" customHeight="1">
      <c r="G44704"/>
      <c r="I44704"/>
      <c r="N44704"/>
      <c r="O44704" s="24"/>
      <c r="P44704"/>
      <c r="Q44704" s="24"/>
      <c r="R44704"/>
      <c r="S44704"/>
      <c r="T44704"/>
      <c r="U44704"/>
      <c r="X44704" s="60"/>
    </row>
    <row r="44705" spans="7:24" ht="15" customHeight="1">
      <c r="G44705"/>
      <c r="I44705"/>
      <c r="N44705"/>
      <c r="O44705" s="24"/>
      <c r="P44705"/>
      <c r="Q44705" s="24"/>
      <c r="R44705"/>
      <c r="S44705"/>
      <c r="T44705"/>
      <c r="U44705"/>
      <c r="X44705" s="60"/>
    </row>
    <row r="44706" spans="7:24" ht="15" customHeight="1">
      <c r="G44706"/>
      <c r="I44706"/>
      <c r="N44706"/>
      <c r="O44706" s="24"/>
      <c r="P44706"/>
      <c r="Q44706" s="24"/>
      <c r="R44706"/>
      <c r="S44706"/>
      <c r="T44706"/>
      <c r="U44706"/>
      <c r="X44706" s="60"/>
    </row>
    <row r="44707" spans="7:24" ht="15" customHeight="1">
      <c r="G44707"/>
      <c r="I44707"/>
      <c r="N44707"/>
      <c r="O44707" s="24"/>
      <c r="P44707"/>
      <c r="Q44707" s="24"/>
      <c r="R44707"/>
      <c r="S44707"/>
      <c r="T44707"/>
      <c r="U44707"/>
      <c r="X44707" s="60"/>
    </row>
    <row r="44708" spans="7:24" ht="15" customHeight="1">
      <c r="G44708"/>
      <c r="I44708"/>
      <c r="N44708"/>
      <c r="O44708" s="24"/>
      <c r="P44708"/>
      <c r="Q44708" s="24"/>
      <c r="R44708"/>
      <c r="S44708"/>
      <c r="T44708"/>
      <c r="U44708"/>
      <c r="X44708" s="60"/>
    </row>
    <row r="44709" spans="7:24" ht="15" customHeight="1">
      <c r="G44709"/>
      <c r="I44709"/>
      <c r="N44709"/>
      <c r="O44709" s="24"/>
      <c r="P44709"/>
      <c r="Q44709" s="24"/>
      <c r="R44709"/>
      <c r="S44709"/>
      <c r="T44709"/>
      <c r="U44709"/>
      <c r="X44709" s="60"/>
    </row>
    <row r="44710" spans="7:24" ht="15" customHeight="1">
      <c r="G44710"/>
      <c r="I44710"/>
      <c r="N44710"/>
      <c r="O44710" s="24"/>
      <c r="P44710"/>
      <c r="Q44710" s="24"/>
      <c r="R44710"/>
      <c r="S44710"/>
      <c r="T44710"/>
      <c r="U44710"/>
      <c r="X44710" s="60"/>
    </row>
    <row r="44711" spans="7:24" ht="15" customHeight="1">
      <c r="G44711"/>
      <c r="I44711"/>
      <c r="N44711"/>
      <c r="O44711" s="24"/>
      <c r="P44711"/>
      <c r="Q44711" s="24"/>
      <c r="R44711"/>
      <c r="S44711"/>
      <c r="T44711"/>
      <c r="U44711"/>
      <c r="X44711" s="60"/>
    </row>
    <row r="44712" spans="7:24" ht="15" customHeight="1">
      <c r="G44712"/>
      <c r="I44712"/>
      <c r="N44712"/>
      <c r="O44712" s="24"/>
      <c r="P44712"/>
      <c r="Q44712" s="24"/>
      <c r="R44712"/>
      <c r="S44712"/>
      <c r="T44712"/>
      <c r="U44712"/>
      <c r="X44712" s="60"/>
    </row>
    <row r="44713" spans="7:24" ht="15" customHeight="1">
      <c r="G44713"/>
      <c r="I44713"/>
      <c r="N44713"/>
      <c r="O44713" s="24"/>
      <c r="P44713"/>
      <c r="Q44713" s="24"/>
      <c r="R44713"/>
      <c r="S44713"/>
      <c r="T44713"/>
      <c r="U44713"/>
      <c r="X44713" s="60"/>
    </row>
    <row r="44714" spans="7:24" ht="15" customHeight="1">
      <c r="G44714"/>
      <c r="I44714"/>
      <c r="N44714"/>
      <c r="O44714" s="24"/>
      <c r="P44714"/>
      <c r="Q44714" s="24"/>
      <c r="R44714"/>
      <c r="S44714"/>
      <c r="T44714"/>
      <c r="U44714"/>
      <c r="X44714" s="60"/>
    </row>
    <row r="44715" spans="7:24" ht="15" customHeight="1">
      <c r="G44715"/>
      <c r="I44715"/>
      <c r="N44715"/>
      <c r="O44715" s="24"/>
      <c r="P44715"/>
      <c r="Q44715" s="24"/>
      <c r="R44715"/>
      <c r="S44715"/>
      <c r="T44715"/>
      <c r="U44715"/>
      <c r="X44715" s="60"/>
    </row>
    <row r="44716" spans="7:24" ht="15" customHeight="1">
      <c r="G44716"/>
      <c r="I44716"/>
      <c r="N44716"/>
      <c r="O44716" s="24"/>
      <c r="P44716"/>
      <c r="Q44716" s="24"/>
      <c r="R44716"/>
      <c r="S44716"/>
      <c r="T44716"/>
      <c r="U44716"/>
      <c r="X44716" s="60"/>
    </row>
    <row r="44717" spans="7:24" ht="15" customHeight="1">
      <c r="G44717"/>
      <c r="I44717"/>
      <c r="N44717"/>
      <c r="O44717" s="24"/>
      <c r="P44717"/>
      <c r="Q44717" s="24"/>
      <c r="R44717"/>
      <c r="S44717"/>
      <c r="T44717"/>
      <c r="U44717"/>
      <c r="X44717" s="60"/>
    </row>
    <row r="44718" spans="7:24" ht="15" customHeight="1">
      <c r="G44718"/>
      <c r="I44718"/>
      <c r="N44718"/>
      <c r="O44718" s="24"/>
      <c r="P44718"/>
      <c r="Q44718" s="24"/>
      <c r="R44718"/>
      <c r="S44718"/>
      <c r="T44718"/>
      <c r="U44718"/>
      <c r="X44718" s="60"/>
    </row>
    <row r="44719" spans="7:24" ht="15" customHeight="1">
      <c r="G44719"/>
      <c r="I44719"/>
      <c r="N44719"/>
      <c r="O44719" s="24"/>
      <c r="P44719"/>
      <c r="Q44719" s="24"/>
      <c r="R44719"/>
      <c r="S44719"/>
      <c r="T44719"/>
      <c r="U44719"/>
      <c r="X44719" s="60"/>
    </row>
    <row r="44720" spans="7:24" ht="15" customHeight="1">
      <c r="G44720"/>
      <c r="I44720"/>
      <c r="N44720"/>
      <c r="O44720" s="24"/>
      <c r="P44720"/>
      <c r="Q44720" s="24"/>
      <c r="R44720"/>
      <c r="S44720"/>
      <c r="T44720"/>
      <c r="U44720"/>
      <c r="X44720" s="60"/>
    </row>
    <row r="44721" spans="7:24" ht="15" customHeight="1">
      <c r="G44721"/>
      <c r="I44721"/>
      <c r="N44721"/>
      <c r="O44721" s="24"/>
      <c r="P44721"/>
      <c r="Q44721" s="24"/>
      <c r="R44721"/>
      <c r="S44721"/>
      <c r="T44721"/>
      <c r="U44721"/>
      <c r="X44721" s="60"/>
    </row>
    <row r="44722" spans="7:24" ht="15" customHeight="1">
      <c r="G44722"/>
      <c r="I44722"/>
      <c r="N44722"/>
      <c r="O44722" s="24"/>
      <c r="P44722"/>
      <c r="Q44722" s="24"/>
      <c r="R44722"/>
      <c r="S44722"/>
      <c r="T44722"/>
      <c r="U44722"/>
      <c r="X44722" s="60"/>
    </row>
    <row r="44723" spans="7:24" ht="15" customHeight="1">
      <c r="G44723"/>
      <c r="I44723"/>
      <c r="N44723"/>
      <c r="O44723" s="24"/>
      <c r="P44723"/>
      <c r="Q44723" s="24"/>
      <c r="R44723"/>
      <c r="S44723"/>
      <c r="T44723"/>
      <c r="U44723"/>
      <c r="X44723" s="60"/>
    </row>
    <row r="44724" spans="7:24" ht="15" customHeight="1">
      <c r="G44724"/>
      <c r="I44724"/>
      <c r="N44724"/>
      <c r="O44724" s="24"/>
      <c r="P44724"/>
      <c r="Q44724" s="24"/>
      <c r="R44724"/>
      <c r="S44724"/>
      <c r="T44724"/>
      <c r="U44724"/>
      <c r="X44724" s="60"/>
    </row>
    <row r="44725" spans="7:24" ht="15" customHeight="1">
      <c r="G44725"/>
      <c r="I44725"/>
      <c r="N44725"/>
      <c r="O44725" s="24"/>
      <c r="P44725"/>
      <c r="Q44725" s="24"/>
      <c r="R44725"/>
      <c r="S44725"/>
      <c r="T44725"/>
      <c r="U44725"/>
      <c r="X44725" s="60"/>
    </row>
    <row r="44726" spans="7:24" ht="15" customHeight="1">
      <c r="G44726"/>
      <c r="I44726"/>
      <c r="N44726"/>
      <c r="O44726" s="24"/>
      <c r="P44726"/>
      <c r="Q44726" s="24"/>
      <c r="R44726"/>
      <c r="S44726"/>
      <c r="T44726"/>
      <c r="U44726"/>
      <c r="X44726" s="60"/>
    </row>
    <row r="44727" spans="7:24" ht="15" customHeight="1">
      <c r="G44727"/>
      <c r="I44727"/>
      <c r="N44727"/>
      <c r="O44727" s="24"/>
      <c r="P44727"/>
      <c r="Q44727" s="24"/>
      <c r="R44727"/>
      <c r="S44727"/>
      <c r="T44727"/>
      <c r="U44727"/>
      <c r="X44727" s="60"/>
    </row>
    <row r="44728" spans="7:24" ht="15" customHeight="1">
      <c r="G44728"/>
      <c r="I44728"/>
      <c r="N44728"/>
      <c r="O44728" s="24"/>
      <c r="P44728"/>
      <c r="Q44728" s="24"/>
      <c r="R44728"/>
      <c r="S44728"/>
      <c r="T44728"/>
      <c r="U44728"/>
      <c r="X44728" s="60"/>
    </row>
    <row r="44729" spans="7:24" ht="15" customHeight="1">
      <c r="G44729"/>
      <c r="I44729"/>
      <c r="N44729"/>
      <c r="O44729" s="24"/>
      <c r="P44729"/>
      <c r="Q44729" s="24"/>
      <c r="R44729"/>
      <c r="S44729"/>
      <c r="T44729"/>
      <c r="U44729"/>
      <c r="X44729" s="60"/>
    </row>
    <row r="44730" spans="7:24" ht="15" customHeight="1">
      <c r="G44730"/>
      <c r="I44730"/>
      <c r="N44730"/>
      <c r="O44730" s="24"/>
      <c r="P44730"/>
      <c r="Q44730" s="24"/>
      <c r="R44730"/>
      <c r="S44730"/>
      <c r="T44730"/>
      <c r="U44730"/>
      <c r="X44730" s="60"/>
    </row>
    <row r="44731" spans="7:24" ht="15" customHeight="1">
      <c r="G44731"/>
      <c r="I44731"/>
      <c r="N44731"/>
      <c r="O44731" s="24"/>
      <c r="P44731"/>
      <c r="Q44731" s="24"/>
      <c r="R44731"/>
      <c r="S44731"/>
      <c r="T44731"/>
      <c r="U44731"/>
      <c r="X44731" s="60"/>
    </row>
    <row r="44732" spans="7:24" ht="15" customHeight="1">
      <c r="G44732"/>
      <c r="I44732"/>
      <c r="N44732"/>
      <c r="O44732" s="24"/>
      <c r="P44732"/>
      <c r="Q44732" s="24"/>
      <c r="R44732"/>
      <c r="S44732"/>
      <c r="T44732"/>
      <c r="U44732"/>
      <c r="X44732" s="60"/>
    </row>
    <row r="44733" spans="7:24" ht="15" customHeight="1">
      <c r="G44733"/>
      <c r="I44733"/>
      <c r="N44733"/>
      <c r="O44733" s="24"/>
      <c r="P44733"/>
      <c r="Q44733" s="24"/>
      <c r="R44733"/>
      <c r="S44733"/>
      <c r="T44733"/>
      <c r="U44733"/>
      <c r="X44733" s="60"/>
    </row>
    <row r="44734" spans="7:24" ht="15" customHeight="1">
      <c r="G44734"/>
      <c r="I44734"/>
      <c r="N44734"/>
      <c r="O44734" s="24"/>
      <c r="P44734"/>
      <c r="Q44734" s="24"/>
      <c r="R44734"/>
      <c r="S44734"/>
      <c r="T44734"/>
      <c r="U44734"/>
      <c r="X44734" s="60"/>
    </row>
    <row r="44735" spans="7:24" ht="15" customHeight="1">
      <c r="G44735"/>
      <c r="I44735"/>
      <c r="N44735"/>
      <c r="O44735" s="24"/>
      <c r="P44735"/>
      <c r="Q44735" s="24"/>
      <c r="R44735"/>
      <c r="S44735"/>
      <c r="T44735"/>
      <c r="U44735"/>
      <c r="X44735" s="60"/>
    </row>
    <row r="44736" spans="7:24" ht="15" customHeight="1">
      <c r="G44736"/>
      <c r="I44736"/>
      <c r="N44736"/>
      <c r="O44736" s="24"/>
      <c r="P44736"/>
      <c r="Q44736" s="24"/>
      <c r="R44736"/>
      <c r="S44736"/>
      <c r="T44736"/>
      <c r="U44736"/>
      <c r="X44736" s="60"/>
    </row>
    <row r="44737" spans="7:24" ht="15" customHeight="1">
      <c r="G44737"/>
      <c r="I44737"/>
      <c r="N44737"/>
      <c r="O44737" s="24"/>
      <c r="P44737"/>
      <c r="Q44737" s="24"/>
      <c r="R44737"/>
      <c r="S44737"/>
      <c r="T44737"/>
      <c r="U44737"/>
      <c r="X44737" s="60"/>
    </row>
    <row r="44738" spans="7:24" ht="15" customHeight="1">
      <c r="G44738"/>
      <c r="I44738"/>
      <c r="N44738"/>
      <c r="O44738" s="24"/>
      <c r="P44738"/>
      <c r="Q44738" s="24"/>
      <c r="R44738"/>
      <c r="S44738"/>
      <c r="T44738"/>
      <c r="U44738"/>
      <c r="X44738" s="60"/>
    </row>
    <row r="44739" spans="7:24" ht="15" customHeight="1">
      <c r="G44739"/>
      <c r="I44739"/>
      <c r="N44739"/>
      <c r="O44739" s="24"/>
      <c r="P44739"/>
      <c r="Q44739" s="24"/>
      <c r="R44739"/>
      <c r="S44739"/>
      <c r="T44739"/>
      <c r="U44739"/>
      <c r="X44739" s="60"/>
    </row>
    <row r="44740" spans="7:24" ht="15" customHeight="1">
      <c r="G44740"/>
      <c r="I44740"/>
      <c r="N44740"/>
      <c r="O44740" s="24"/>
      <c r="P44740"/>
      <c r="Q44740" s="24"/>
      <c r="R44740"/>
      <c r="S44740"/>
      <c r="T44740"/>
      <c r="U44740"/>
      <c r="X44740" s="60"/>
    </row>
    <row r="44741" spans="7:24" ht="15" customHeight="1">
      <c r="G44741"/>
      <c r="I44741"/>
      <c r="N44741"/>
      <c r="O44741" s="24"/>
      <c r="P44741"/>
      <c r="Q44741" s="24"/>
      <c r="R44741"/>
      <c r="S44741"/>
      <c r="T44741"/>
      <c r="U44741"/>
      <c r="X44741" s="60"/>
    </row>
    <row r="44742" spans="7:24" ht="15" customHeight="1">
      <c r="G44742"/>
      <c r="I44742"/>
      <c r="N44742"/>
      <c r="O44742" s="24"/>
      <c r="P44742"/>
      <c r="Q44742" s="24"/>
      <c r="R44742"/>
      <c r="S44742"/>
      <c r="T44742"/>
      <c r="U44742"/>
      <c r="X44742" s="60"/>
    </row>
    <row r="44743" spans="7:24" ht="15" customHeight="1">
      <c r="G44743"/>
      <c r="I44743"/>
      <c r="N44743"/>
      <c r="O44743" s="24"/>
      <c r="P44743"/>
      <c r="Q44743" s="24"/>
      <c r="R44743"/>
      <c r="S44743"/>
      <c r="T44743"/>
      <c r="U44743"/>
      <c r="X44743" s="60"/>
    </row>
    <row r="44744" spans="7:24" ht="15" customHeight="1">
      <c r="G44744"/>
      <c r="I44744"/>
      <c r="N44744"/>
      <c r="O44744" s="24"/>
      <c r="P44744"/>
      <c r="Q44744" s="24"/>
      <c r="R44744"/>
      <c r="S44744"/>
      <c r="T44744"/>
      <c r="U44744"/>
      <c r="X44744" s="60"/>
    </row>
    <row r="44745" spans="7:24" ht="15" customHeight="1">
      <c r="G44745"/>
      <c r="I44745"/>
      <c r="N44745"/>
      <c r="O44745" s="24"/>
      <c r="P44745"/>
      <c r="Q44745" s="24"/>
      <c r="R44745"/>
      <c r="S44745"/>
      <c r="T44745"/>
      <c r="U44745"/>
      <c r="X44745" s="60"/>
    </row>
    <row r="44746" spans="7:24" ht="15" customHeight="1">
      <c r="G44746"/>
      <c r="I44746"/>
      <c r="N44746"/>
      <c r="O44746" s="24"/>
      <c r="P44746"/>
      <c r="Q44746" s="24"/>
      <c r="R44746"/>
      <c r="S44746"/>
      <c r="T44746"/>
      <c r="U44746"/>
      <c r="X44746" s="60"/>
    </row>
    <row r="44747" spans="7:24" ht="15" customHeight="1">
      <c r="G44747"/>
      <c r="I44747"/>
      <c r="N44747"/>
      <c r="O44747" s="24"/>
      <c r="P44747"/>
      <c r="Q44747" s="24"/>
      <c r="R44747"/>
      <c r="S44747"/>
      <c r="T44747"/>
      <c r="U44747"/>
      <c r="X44747" s="60"/>
    </row>
    <row r="44748" spans="7:24" ht="15" customHeight="1">
      <c r="G44748"/>
      <c r="I44748"/>
      <c r="N44748"/>
      <c r="O44748" s="24"/>
      <c r="P44748"/>
      <c r="Q44748" s="24"/>
      <c r="R44748"/>
      <c r="S44748"/>
      <c r="T44748"/>
      <c r="U44748"/>
      <c r="X44748" s="60"/>
    </row>
    <row r="44749" spans="7:24" ht="15" customHeight="1">
      <c r="G44749"/>
      <c r="I44749"/>
      <c r="N44749"/>
      <c r="O44749" s="24"/>
      <c r="P44749"/>
      <c r="Q44749" s="24"/>
      <c r="R44749"/>
      <c r="S44749"/>
      <c r="T44749"/>
      <c r="U44749"/>
      <c r="X44749" s="60"/>
    </row>
    <row r="44750" spans="7:24" ht="15" customHeight="1">
      <c r="G44750"/>
      <c r="I44750"/>
      <c r="N44750"/>
      <c r="O44750" s="24"/>
      <c r="P44750"/>
      <c r="Q44750" s="24"/>
      <c r="R44750"/>
      <c r="S44750"/>
      <c r="T44750"/>
      <c r="U44750"/>
      <c r="X44750" s="60"/>
    </row>
    <row r="44751" spans="7:24" ht="15" customHeight="1">
      <c r="G44751"/>
      <c r="I44751"/>
      <c r="N44751"/>
      <c r="O44751" s="24"/>
      <c r="P44751"/>
      <c r="Q44751" s="24"/>
      <c r="R44751"/>
      <c r="S44751"/>
      <c r="T44751"/>
      <c r="U44751"/>
      <c r="X44751" s="60"/>
    </row>
    <row r="44752" spans="7:24" ht="15" customHeight="1">
      <c r="G44752"/>
      <c r="I44752"/>
      <c r="N44752"/>
      <c r="O44752" s="24"/>
      <c r="P44752"/>
      <c r="Q44752" s="24"/>
      <c r="R44752"/>
      <c r="S44752"/>
      <c r="T44752"/>
      <c r="U44752"/>
      <c r="X44752" s="60"/>
    </row>
    <row r="44753" spans="7:24" ht="15" customHeight="1">
      <c r="G44753"/>
      <c r="I44753"/>
      <c r="N44753"/>
      <c r="O44753" s="24"/>
      <c r="P44753"/>
      <c r="Q44753" s="24"/>
      <c r="R44753"/>
      <c r="S44753"/>
      <c r="T44753"/>
      <c r="U44753"/>
      <c r="X44753" s="60"/>
    </row>
    <row r="44754" spans="7:24" ht="15" customHeight="1">
      <c r="G44754"/>
      <c r="I44754"/>
      <c r="N44754"/>
      <c r="O44754" s="24"/>
      <c r="P44754"/>
      <c r="Q44754" s="24"/>
      <c r="R44754"/>
      <c r="S44754"/>
      <c r="T44754"/>
      <c r="U44754"/>
      <c r="X44754" s="60"/>
    </row>
    <row r="44755" spans="7:24" ht="15" customHeight="1">
      <c r="G44755"/>
      <c r="I44755"/>
      <c r="N44755"/>
      <c r="O44755" s="24"/>
      <c r="P44755"/>
      <c r="Q44755" s="24"/>
      <c r="R44755"/>
      <c r="S44755"/>
      <c r="T44755"/>
      <c r="U44755"/>
      <c r="X44755" s="60"/>
    </row>
    <row r="44756" spans="7:24" ht="15" customHeight="1">
      <c r="G44756"/>
      <c r="I44756"/>
      <c r="N44756"/>
      <c r="O44756" s="24"/>
      <c r="P44756"/>
      <c r="Q44756" s="24"/>
      <c r="R44756"/>
      <c r="S44756"/>
      <c r="T44756"/>
      <c r="U44756"/>
      <c r="X44756" s="60"/>
    </row>
    <row r="44757" spans="7:24" ht="15" customHeight="1">
      <c r="G44757"/>
      <c r="I44757"/>
      <c r="N44757"/>
      <c r="O44757" s="24"/>
      <c r="P44757"/>
      <c r="Q44757" s="24"/>
      <c r="R44757"/>
      <c r="S44757"/>
      <c r="T44757"/>
      <c r="U44757"/>
      <c r="X44757" s="60"/>
    </row>
    <row r="44758" spans="7:24" ht="15" customHeight="1">
      <c r="G44758"/>
      <c r="I44758"/>
      <c r="N44758"/>
      <c r="O44758" s="24"/>
      <c r="P44758"/>
      <c r="Q44758" s="24"/>
      <c r="R44758"/>
      <c r="S44758"/>
      <c r="T44758"/>
      <c r="U44758"/>
      <c r="X44758" s="60"/>
    </row>
    <row r="44759" spans="7:24" ht="15" customHeight="1">
      <c r="G44759"/>
      <c r="I44759"/>
      <c r="N44759"/>
      <c r="O44759" s="24"/>
      <c r="P44759"/>
      <c r="Q44759" s="24"/>
      <c r="R44759"/>
      <c r="S44759"/>
      <c r="T44759"/>
      <c r="U44759"/>
      <c r="X44759" s="60"/>
    </row>
    <row r="44760" spans="7:24" ht="15" customHeight="1">
      <c r="G44760"/>
      <c r="I44760"/>
      <c r="N44760"/>
      <c r="O44760" s="24"/>
      <c r="P44760"/>
      <c r="Q44760" s="24"/>
      <c r="R44760"/>
      <c r="S44760"/>
      <c r="T44760"/>
      <c r="U44760"/>
      <c r="X44760" s="60"/>
    </row>
    <row r="44761" spans="7:24" ht="15" customHeight="1">
      <c r="G44761"/>
      <c r="I44761"/>
      <c r="N44761"/>
      <c r="O44761" s="24"/>
      <c r="P44761"/>
      <c r="Q44761" s="24"/>
      <c r="R44761"/>
      <c r="S44761"/>
      <c r="T44761"/>
      <c r="U44761"/>
      <c r="X44761" s="60"/>
    </row>
    <row r="44762" spans="7:24" ht="15" customHeight="1">
      <c r="G44762"/>
      <c r="I44762"/>
      <c r="N44762"/>
      <c r="O44762" s="24"/>
      <c r="P44762"/>
      <c r="Q44762" s="24"/>
      <c r="R44762"/>
      <c r="S44762"/>
      <c r="T44762"/>
      <c r="U44762"/>
      <c r="X44762" s="60"/>
    </row>
    <row r="44763" spans="7:24" ht="15" customHeight="1">
      <c r="G44763"/>
      <c r="I44763"/>
      <c r="N44763"/>
      <c r="O44763" s="24"/>
      <c r="P44763"/>
      <c r="Q44763" s="24"/>
      <c r="R44763"/>
      <c r="S44763"/>
      <c r="T44763"/>
      <c r="U44763"/>
      <c r="X44763" s="60"/>
    </row>
    <row r="44764" spans="7:24" ht="15" customHeight="1">
      <c r="G44764"/>
      <c r="I44764"/>
      <c r="N44764"/>
      <c r="O44764" s="24"/>
      <c r="P44764"/>
      <c r="Q44764" s="24"/>
      <c r="R44764"/>
      <c r="S44764"/>
      <c r="T44764"/>
      <c r="U44764"/>
      <c r="X44764" s="60"/>
    </row>
    <row r="44765" spans="7:24" ht="15" customHeight="1">
      <c r="G44765"/>
      <c r="I44765"/>
      <c r="N44765"/>
      <c r="O44765" s="24"/>
      <c r="P44765"/>
      <c r="Q44765" s="24"/>
      <c r="R44765"/>
      <c r="S44765"/>
      <c r="T44765"/>
      <c r="U44765"/>
      <c r="X44765" s="60"/>
    </row>
    <row r="44766" spans="7:24" ht="15" customHeight="1">
      <c r="G44766"/>
      <c r="I44766"/>
      <c r="N44766"/>
      <c r="O44766" s="24"/>
      <c r="P44766"/>
      <c r="Q44766" s="24"/>
      <c r="R44766"/>
      <c r="S44766"/>
      <c r="T44766"/>
      <c r="U44766"/>
      <c r="X44766" s="60"/>
    </row>
    <row r="44767" spans="7:24" ht="15" customHeight="1">
      <c r="G44767"/>
      <c r="I44767"/>
      <c r="N44767"/>
      <c r="O44767" s="24"/>
      <c r="P44767"/>
      <c r="Q44767" s="24"/>
      <c r="R44767"/>
      <c r="S44767"/>
      <c r="T44767"/>
      <c r="U44767"/>
      <c r="X44767" s="60"/>
    </row>
    <row r="44768" spans="7:24" ht="15" customHeight="1">
      <c r="G44768"/>
      <c r="I44768"/>
      <c r="N44768"/>
      <c r="O44768" s="24"/>
      <c r="P44768"/>
      <c r="Q44768" s="24"/>
      <c r="R44768"/>
      <c r="S44768"/>
      <c r="T44768"/>
      <c r="U44768"/>
      <c r="X44768" s="60"/>
    </row>
    <row r="44769" spans="7:24" ht="15" customHeight="1">
      <c r="G44769"/>
      <c r="I44769"/>
      <c r="N44769"/>
      <c r="O44769" s="24"/>
      <c r="P44769"/>
      <c r="Q44769" s="24"/>
      <c r="R44769"/>
      <c r="S44769"/>
      <c r="T44769"/>
      <c r="U44769"/>
      <c r="X44769" s="60"/>
    </row>
    <row r="44770" spans="7:24" ht="15" customHeight="1">
      <c r="G44770"/>
      <c r="I44770"/>
      <c r="N44770"/>
      <c r="O44770" s="24"/>
      <c r="P44770"/>
      <c r="Q44770" s="24"/>
      <c r="R44770"/>
      <c r="S44770"/>
      <c r="T44770"/>
      <c r="U44770"/>
      <c r="X44770" s="60"/>
    </row>
    <row r="44771" spans="7:24" ht="15" customHeight="1">
      <c r="G44771"/>
      <c r="I44771"/>
      <c r="N44771"/>
      <c r="O44771" s="24"/>
      <c r="P44771"/>
      <c r="Q44771" s="24"/>
      <c r="R44771"/>
      <c r="S44771"/>
      <c r="T44771"/>
      <c r="U44771"/>
      <c r="X44771" s="60"/>
    </row>
    <row r="44772" spans="7:24" ht="15" customHeight="1">
      <c r="G44772"/>
      <c r="I44772"/>
      <c r="N44772"/>
      <c r="O44772" s="24"/>
      <c r="P44772"/>
      <c r="Q44772" s="24"/>
      <c r="R44772"/>
      <c r="S44772"/>
      <c r="T44772"/>
      <c r="U44772"/>
      <c r="X44772" s="60"/>
    </row>
    <row r="44773" spans="7:24" ht="15" customHeight="1">
      <c r="G44773"/>
      <c r="I44773"/>
      <c r="N44773"/>
      <c r="O44773" s="24"/>
      <c r="P44773"/>
      <c r="Q44773" s="24"/>
      <c r="R44773"/>
      <c r="S44773"/>
      <c r="T44773"/>
      <c r="U44773"/>
      <c r="X44773" s="60"/>
    </row>
    <row r="44774" spans="7:24" ht="15" customHeight="1">
      <c r="G44774"/>
      <c r="I44774"/>
      <c r="N44774"/>
      <c r="O44774" s="24"/>
      <c r="P44774"/>
      <c r="Q44774" s="24"/>
      <c r="R44774"/>
      <c r="S44774"/>
      <c r="T44774"/>
      <c r="U44774"/>
      <c r="X44774" s="60"/>
    </row>
    <row r="44775" spans="7:24" ht="15" customHeight="1">
      <c r="G44775"/>
      <c r="I44775"/>
      <c r="N44775"/>
      <c r="O44775" s="24"/>
      <c r="P44775"/>
      <c r="Q44775" s="24"/>
      <c r="R44775"/>
      <c r="S44775"/>
      <c r="T44775"/>
      <c r="U44775"/>
      <c r="X44775" s="60"/>
    </row>
    <row r="44776" spans="7:24" ht="15" customHeight="1">
      <c r="G44776"/>
      <c r="I44776"/>
      <c r="N44776"/>
      <c r="O44776" s="24"/>
      <c r="P44776"/>
      <c r="Q44776" s="24"/>
      <c r="R44776"/>
      <c r="S44776"/>
      <c r="T44776"/>
      <c r="U44776"/>
      <c r="X44776" s="60"/>
    </row>
    <row r="44777" spans="7:24" ht="15" customHeight="1">
      <c r="G44777"/>
      <c r="I44777"/>
      <c r="N44777"/>
      <c r="O44777" s="24"/>
      <c r="P44777"/>
      <c r="Q44777" s="24"/>
      <c r="R44777"/>
      <c r="S44777"/>
      <c r="T44777"/>
      <c r="U44777"/>
      <c r="X44777" s="60"/>
    </row>
    <row r="44778" spans="7:24" ht="15" customHeight="1">
      <c r="G44778"/>
      <c r="I44778"/>
      <c r="N44778"/>
      <c r="O44778" s="24"/>
      <c r="P44778"/>
      <c r="Q44778" s="24"/>
      <c r="R44778"/>
      <c r="S44778"/>
      <c r="T44778"/>
      <c r="U44778"/>
      <c r="X44778" s="60"/>
    </row>
    <row r="44779" spans="7:24" ht="15" customHeight="1">
      <c r="G44779"/>
      <c r="I44779"/>
      <c r="N44779"/>
      <c r="O44779" s="24"/>
      <c r="P44779"/>
      <c r="Q44779" s="24"/>
      <c r="R44779"/>
      <c r="S44779"/>
      <c r="T44779"/>
      <c r="U44779"/>
      <c r="X44779" s="60"/>
    </row>
    <row r="44780" spans="7:24" ht="15" customHeight="1">
      <c r="G44780"/>
      <c r="I44780"/>
      <c r="N44780"/>
      <c r="O44780" s="24"/>
      <c r="P44780"/>
      <c r="Q44780" s="24"/>
      <c r="R44780"/>
      <c r="S44780"/>
      <c r="T44780"/>
      <c r="U44780"/>
      <c r="X44780" s="60"/>
    </row>
    <row r="44781" spans="7:24" ht="15" customHeight="1">
      <c r="G44781"/>
      <c r="I44781"/>
      <c r="N44781"/>
      <c r="O44781" s="24"/>
      <c r="P44781"/>
      <c r="Q44781" s="24"/>
      <c r="R44781"/>
      <c r="S44781"/>
      <c r="T44781"/>
      <c r="U44781"/>
      <c r="X44781" s="60"/>
    </row>
    <row r="44782" spans="7:24" ht="15" customHeight="1">
      <c r="G44782"/>
      <c r="I44782"/>
      <c r="N44782"/>
      <c r="O44782" s="24"/>
      <c r="P44782"/>
      <c r="Q44782" s="24"/>
      <c r="R44782"/>
      <c r="S44782"/>
      <c r="T44782"/>
      <c r="U44782"/>
      <c r="X44782" s="60"/>
    </row>
    <row r="44783" spans="7:24" ht="15" customHeight="1">
      <c r="G44783"/>
      <c r="I44783"/>
      <c r="N44783"/>
      <c r="O44783" s="24"/>
      <c r="P44783"/>
      <c r="Q44783" s="24"/>
      <c r="R44783"/>
      <c r="S44783"/>
      <c r="T44783"/>
      <c r="U44783"/>
      <c r="X44783" s="60"/>
    </row>
    <row r="44784" spans="7:24" ht="15" customHeight="1">
      <c r="G44784"/>
      <c r="I44784"/>
      <c r="N44784"/>
      <c r="O44784" s="24"/>
      <c r="P44784"/>
      <c r="Q44784" s="24"/>
      <c r="R44784"/>
      <c r="S44784"/>
      <c r="T44784"/>
      <c r="U44784"/>
      <c r="X44784" s="60"/>
    </row>
    <row r="44785" spans="7:24" ht="15" customHeight="1">
      <c r="G44785"/>
      <c r="I44785"/>
      <c r="N44785"/>
      <c r="O44785" s="24"/>
      <c r="P44785"/>
      <c r="Q44785" s="24"/>
      <c r="R44785"/>
      <c r="S44785"/>
      <c r="T44785"/>
      <c r="U44785"/>
      <c r="X44785" s="60"/>
    </row>
    <row r="44786" spans="7:24" ht="15" customHeight="1">
      <c r="G44786"/>
      <c r="I44786"/>
      <c r="N44786"/>
      <c r="O44786" s="24"/>
      <c r="P44786"/>
      <c r="Q44786" s="24"/>
      <c r="R44786"/>
      <c r="S44786"/>
      <c r="T44786"/>
      <c r="U44786"/>
      <c r="X44786" s="60"/>
    </row>
    <row r="44787" spans="7:24" ht="15" customHeight="1">
      <c r="G44787"/>
      <c r="I44787"/>
      <c r="N44787"/>
      <c r="O44787" s="24"/>
      <c r="P44787"/>
      <c r="Q44787" s="24"/>
      <c r="R44787"/>
      <c r="S44787"/>
      <c r="T44787"/>
      <c r="U44787"/>
      <c r="X44787" s="60"/>
    </row>
    <row r="44788" spans="7:24" ht="15" customHeight="1">
      <c r="G44788"/>
      <c r="I44788"/>
      <c r="N44788"/>
      <c r="O44788" s="24"/>
      <c r="P44788"/>
      <c r="Q44788" s="24"/>
      <c r="R44788"/>
      <c r="S44788"/>
      <c r="T44788"/>
      <c r="U44788"/>
      <c r="X44788" s="60"/>
    </row>
    <row r="44789" spans="7:24" ht="15" customHeight="1">
      <c r="G44789"/>
      <c r="I44789"/>
      <c r="N44789"/>
      <c r="O44789" s="24"/>
      <c r="P44789"/>
      <c r="Q44789" s="24"/>
      <c r="R44789"/>
      <c r="S44789"/>
      <c r="T44789"/>
      <c r="U44789"/>
      <c r="X44789" s="60"/>
    </row>
    <row r="44790" spans="7:24" ht="15" customHeight="1">
      <c r="G44790"/>
      <c r="I44790"/>
      <c r="N44790"/>
      <c r="O44790" s="24"/>
      <c r="P44790"/>
      <c r="Q44790" s="24"/>
      <c r="R44790"/>
      <c r="S44790"/>
      <c r="T44790"/>
      <c r="U44790"/>
      <c r="X44790" s="60"/>
    </row>
    <row r="44791" spans="7:24" ht="15" customHeight="1">
      <c r="G44791"/>
      <c r="I44791"/>
      <c r="N44791"/>
      <c r="O44791" s="24"/>
      <c r="P44791"/>
      <c r="Q44791" s="24"/>
      <c r="R44791"/>
      <c r="S44791"/>
      <c r="T44791"/>
      <c r="U44791"/>
      <c r="X44791" s="60"/>
    </row>
    <row r="44792" spans="7:24" ht="15" customHeight="1">
      <c r="G44792"/>
      <c r="I44792"/>
      <c r="N44792"/>
      <c r="O44792" s="24"/>
      <c r="P44792"/>
      <c r="Q44792" s="24"/>
      <c r="R44792"/>
      <c r="S44792"/>
      <c r="T44792"/>
      <c r="U44792"/>
      <c r="X44792" s="60"/>
    </row>
    <row r="44793" spans="7:24" ht="15" customHeight="1">
      <c r="G44793"/>
      <c r="I44793"/>
      <c r="N44793"/>
      <c r="O44793" s="24"/>
      <c r="P44793"/>
      <c r="Q44793" s="24"/>
      <c r="R44793"/>
      <c r="S44793"/>
      <c r="T44793"/>
      <c r="U44793"/>
      <c r="X44793" s="60"/>
    </row>
    <row r="44794" spans="7:24" ht="15" customHeight="1">
      <c r="G44794"/>
      <c r="I44794"/>
      <c r="N44794"/>
      <c r="O44794" s="24"/>
      <c r="P44794"/>
      <c r="Q44794" s="24"/>
      <c r="R44794"/>
      <c r="S44794"/>
      <c r="T44794"/>
      <c r="U44794"/>
      <c r="X44794" s="60"/>
    </row>
    <row r="44795" spans="7:24" ht="15" customHeight="1">
      <c r="G44795"/>
      <c r="I44795"/>
      <c r="N44795"/>
      <c r="O44795" s="24"/>
      <c r="P44795"/>
      <c r="Q44795" s="24"/>
      <c r="R44795"/>
      <c r="S44795"/>
      <c r="T44795"/>
      <c r="U44795"/>
      <c r="X44795" s="60"/>
    </row>
    <row r="44796" spans="7:24" ht="15" customHeight="1">
      <c r="G44796"/>
      <c r="I44796"/>
      <c r="N44796"/>
      <c r="O44796" s="24"/>
      <c r="P44796"/>
      <c r="Q44796" s="24"/>
      <c r="R44796"/>
      <c r="S44796"/>
      <c r="T44796"/>
      <c r="U44796"/>
      <c r="X44796" s="60"/>
    </row>
    <row r="44797" spans="7:24" ht="15" customHeight="1">
      <c r="G44797"/>
      <c r="I44797"/>
      <c r="N44797"/>
      <c r="O44797" s="24"/>
      <c r="P44797"/>
      <c r="Q44797" s="24"/>
      <c r="R44797"/>
      <c r="S44797"/>
      <c r="T44797"/>
      <c r="U44797"/>
      <c r="X44797" s="60"/>
    </row>
    <row r="44798" spans="7:24" ht="15" customHeight="1">
      <c r="G44798"/>
      <c r="I44798"/>
      <c r="N44798"/>
      <c r="O44798" s="24"/>
      <c r="P44798"/>
      <c r="Q44798" s="24"/>
      <c r="R44798"/>
      <c r="S44798"/>
      <c r="T44798"/>
      <c r="U44798"/>
      <c r="X44798" s="60"/>
    </row>
    <row r="44799" spans="7:24" ht="15" customHeight="1">
      <c r="G44799"/>
      <c r="I44799"/>
      <c r="N44799"/>
      <c r="O44799" s="24"/>
      <c r="P44799"/>
      <c r="Q44799" s="24"/>
      <c r="R44799"/>
      <c r="S44799"/>
      <c r="T44799"/>
      <c r="U44799"/>
      <c r="X44799" s="60"/>
    </row>
    <row r="44800" spans="7:24" ht="15" customHeight="1">
      <c r="G44800"/>
      <c r="I44800"/>
      <c r="N44800"/>
      <c r="O44800" s="24"/>
      <c r="P44800"/>
      <c r="Q44800" s="24"/>
      <c r="R44800"/>
      <c r="S44800"/>
      <c r="T44800"/>
      <c r="U44800"/>
      <c r="X44800" s="60"/>
    </row>
    <row r="44801" spans="7:24" ht="15" customHeight="1">
      <c r="G44801"/>
      <c r="I44801"/>
      <c r="N44801"/>
      <c r="O44801" s="24"/>
      <c r="P44801"/>
      <c r="Q44801" s="24"/>
      <c r="R44801"/>
      <c r="S44801"/>
      <c r="T44801"/>
      <c r="U44801"/>
      <c r="X44801" s="60"/>
    </row>
    <row r="44802" spans="7:24" ht="15" customHeight="1">
      <c r="G44802"/>
      <c r="I44802"/>
      <c r="N44802"/>
      <c r="O44802" s="24"/>
      <c r="P44802"/>
      <c r="Q44802" s="24"/>
      <c r="R44802"/>
      <c r="S44802"/>
      <c r="T44802"/>
      <c r="U44802"/>
      <c r="X44802" s="60"/>
    </row>
    <row r="44803" spans="7:24" ht="15" customHeight="1">
      <c r="G44803"/>
      <c r="I44803"/>
      <c r="N44803"/>
      <c r="O44803" s="24"/>
      <c r="P44803"/>
      <c r="Q44803" s="24"/>
      <c r="R44803"/>
      <c r="S44803"/>
      <c r="T44803"/>
      <c r="U44803"/>
      <c r="X44803" s="60"/>
    </row>
    <row r="44804" spans="7:24" ht="15" customHeight="1">
      <c r="G44804"/>
      <c r="I44804"/>
      <c r="N44804"/>
      <c r="O44804" s="24"/>
      <c r="P44804"/>
      <c r="Q44804" s="24"/>
      <c r="R44804"/>
      <c r="S44804"/>
      <c r="T44804"/>
      <c r="U44804"/>
      <c r="X44804" s="60"/>
    </row>
    <row r="44805" spans="7:24" ht="15" customHeight="1">
      <c r="G44805"/>
      <c r="I44805"/>
      <c r="N44805"/>
      <c r="O44805" s="24"/>
      <c r="P44805"/>
      <c r="Q44805" s="24"/>
      <c r="R44805"/>
      <c r="S44805"/>
      <c r="T44805"/>
      <c r="U44805"/>
      <c r="X44805" s="60"/>
    </row>
    <row r="44806" spans="7:24" ht="15" customHeight="1">
      <c r="G44806"/>
      <c r="I44806"/>
      <c r="N44806"/>
      <c r="O44806" s="24"/>
      <c r="P44806"/>
      <c r="Q44806" s="24"/>
      <c r="R44806"/>
      <c r="S44806"/>
      <c r="T44806"/>
      <c r="U44806"/>
      <c r="X44806" s="60"/>
    </row>
    <row r="44807" spans="7:24" ht="15" customHeight="1">
      <c r="G44807"/>
      <c r="I44807"/>
      <c r="N44807"/>
      <c r="O44807" s="24"/>
      <c r="P44807"/>
      <c r="Q44807" s="24"/>
      <c r="R44807"/>
      <c r="S44807"/>
      <c r="T44807"/>
      <c r="U44807"/>
      <c r="X44807" s="60"/>
    </row>
    <row r="44808" spans="7:24" ht="15" customHeight="1">
      <c r="G44808"/>
      <c r="I44808"/>
      <c r="N44808"/>
      <c r="O44808" s="24"/>
      <c r="P44808"/>
      <c r="Q44808" s="24"/>
      <c r="R44808"/>
      <c r="S44808"/>
      <c r="T44808"/>
      <c r="U44808"/>
      <c r="X44808" s="60"/>
    </row>
    <row r="44809" spans="7:24" ht="15" customHeight="1">
      <c r="G44809"/>
      <c r="I44809"/>
      <c r="N44809"/>
      <c r="O44809" s="24"/>
      <c r="P44809"/>
      <c r="Q44809" s="24"/>
      <c r="R44809"/>
      <c r="S44809"/>
      <c r="T44809"/>
      <c r="U44809"/>
      <c r="X44809" s="60"/>
    </row>
    <row r="44810" spans="7:24" ht="15" customHeight="1">
      <c r="G44810"/>
      <c r="I44810"/>
      <c r="N44810"/>
      <c r="O44810" s="24"/>
      <c r="P44810"/>
      <c r="Q44810" s="24"/>
      <c r="R44810"/>
      <c r="S44810"/>
      <c r="T44810"/>
      <c r="U44810"/>
      <c r="X44810" s="60"/>
    </row>
    <row r="44811" spans="7:24" ht="15" customHeight="1">
      <c r="G44811"/>
      <c r="I44811"/>
      <c r="N44811"/>
      <c r="O44811" s="24"/>
      <c r="P44811"/>
      <c r="Q44811" s="24"/>
      <c r="R44811"/>
      <c r="S44811"/>
      <c r="T44811"/>
      <c r="U44811"/>
      <c r="X44811" s="60"/>
    </row>
    <row r="44812" spans="7:24" ht="15" customHeight="1">
      <c r="G44812"/>
      <c r="I44812"/>
      <c r="N44812"/>
      <c r="O44812" s="24"/>
      <c r="P44812"/>
      <c r="Q44812" s="24"/>
      <c r="R44812"/>
      <c r="S44812"/>
      <c r="T44812"/>
      <c r="U44812"/>
      <c r="X44812" s="60"/>
    </row>
    <row r="44813" spans="7:24" ht="15" customHeight="1">
      <c r="G44813"/>
      <c r="I44813"/>
      <c r="N44813"/>
      <c r="O44813" s="24"/>
      <c r="P44813"/>
      <c r="Q44813" s="24"/>
      <c r="R44813"/>
      <c r="S44813"/>
      <c r="T44813"/>
      <c r="U44813"/>
      <c r="X44813" s="60"/>
    </row>
    <row r="44814" spans="7:24" ht="15" customHeight="1">
      <c r="G44814"/>
      <c r="I44814"/>
      <c r="N44814"/>
      <c r="O44814" s="24"/>
      <c r="P44814"/>
      <c r="Q44814" s="24"/>
      <c r="R44814"/>
      <c r="S44814"/>
      <c r="T44814"/>
      <c r="U44814"/>
      <c r="X44814" s="60"/>
    </row>
    <row r="44815" spans="7:24" ht="15" customHeight="1">
      <c r="G44815"/>
      <c r="I44815"/>
      <c r="N44815"/>
      <c r="O44815" s="24"/>
      <c r="P44815"/>
      <c r="Q44815" s="24"/>
      <c r="R44815"/>
      <c r="S44815"/>
      <c r="T44815"/>
      <c r="U44815"/>
      <c r="X44815" s="60"/>
    </row>
    <row r="44816" spans="7:24" ht="15" customHeight="1">
      <c r="G44816"/>
      <c r="I44816"/>
      <c r="N44816"/>
      <c r="O44816" s="24"/>
      <c r="P44816"/>
      <c r="Q44816" s="24"/>
      <c r="R44816"/>
      <c r="S44816"/>
      <c r="T44816"/>
      <c r="U44816"/>
      <c r="X44816" s="60"/>
    </row>
    <row r="44817" spans="7:24" ht="15" customHeight="1">
      <c r="G44817"/>
      <c r="I44817"/>
      <c r="N44817"/>
      <c r="O44817" s="24"/>
      <c r="P44817"/>
      <c r="Q44817" s="24"/>
      <c r="R44817"/>
      <c r="S44817"/>
      <c r="T44817"/>
      <c r="U44817"/>
      <c r="X44817" s="60"/>
    </row>
    <row r="44818" spans="7:24" ht="15" customHeight="1">
      <c r="G44818"/>
      <c r="I44818"/>
      <c r="N44818"/>
      <c r="O44818" s="24"/>
      <c r="P44818"/>
      <c r="Q44818" s="24"/>
      <c r="R44818"/>
      <c r="S44818"/>
      <c r="T44818"/>
      <c r="U44818"/>
      <c r="X44818" s="60"/>
    </row>
    <row r="44819" spans="7:24" ht="15" customHeight="1">
      <c r="G44819"/>
      <c r="I44819"/>
      <c r="N44819"/>
      <c r="O44819" s="24"/>
      <c r="P44819"/>
      <c r="Q44819" s="24"/>
      <c r="R44819"/>
      <c r="S44819"/>
      <c r="T44819"/>
      <c r="U44819"/>
      <c r="X44819" s="60"/>
    </row>
    <row r="44820" spans="7:24" ht="15" customHeight="1">
      <c r="G44820"/>
      <c r="I44820"/>
      <c r="N44820"/>
      <c r="O44820" s="24"/>
      <c r="P44820"/>
      <c r="Q44820" s="24"/>
      <c r="R44820"/>
      <c r="S44820"/>
      <c r="T44820"/>
      <c r="U44820"/>
      <c r="X44820" s="60"/>
    </row>
    <row r="44821" spans="7:24" ht="15" customHeight="1">
      <c r="G44821"/>
      <c r="I44821"/>
      <c r="N44821"/>
      <c r="O44821" s="24"/>
      <c r="P44821"/>
      <c r="Q44821" s="24"/>
      <c r="R44821"/>
      <c r="S44821"/>
      <c r="T44821"/>
      <c r="U44821"/>
      <c r="X44821" s="60"/>
    </row>
    <row r="44822" spans="7:24" ht="15" customHeight="1">
      <c r="G44822"/>
      <c r="I44822"/>
      <c r="N44822"/>
      <c r="O44822" s="24"/>
      <c r="P44822"/>
      <c r="Q44822" s="24"/>
      <c r="R44822"/>
      <c r="S44822"/>
      <c r="T44822"/>
      <c r="U44822"/>
      <c r="X44822" s="60"/>
    </row>
    <row r="44823" spans="7:24" ht="15" customHeight="1">
      <c r="G44823"/>
      <c r="I44823"/>
      <c r="N44823"/>
      <c r="O44823" s="24"/>
      <c r="P44823"/>
      <c r="Q44823" s="24"/>
      <c r="R44823"/>
      <c r="S44823"/>
      <c r="T44823"/>
      <c r="U44823"/>
      <c r="X44823" s="60"/>
    </row>
    <row r="44824" spans="7:24" ht="15" customHeight="1">
      <c r="G44824"/>
      <c r="I44824"/>
      <c r="N44824"/>
      <c r="O44824" s="24"/>
      <c r="P44824"/>
      <c r="Q44824" s="24"/>
      <c r="R44824"/>
      <c r="S44824"/>
      <c r="T44824"/>
      <c r="U44824"/>
      <c r="X44824" s="60"/>
    </row>
    <row r="44825" spans="7:24" ht="15" customHeight="1">
      <c r="G44825"/>
      <c r="I44825"/>
      <c r="N44825"/>
      <c r="O44825" s="24"/>
      <c r="P44825"/>
      <c r="Q44825" s="24"/>
      <c r="R44825"/>
      <c r="S44825"/>
      <c r="T44825"/>
      <c r="U44825"/>
      <c r="X44825" s="60"/>
    </row>
    <row r="44826" spans="7:24" ht="15" customHeight="1">
      <c r="G44826"/>
      <c r="I44826"/>
      <c r="N44826"/>
      <c r="O44826" s="24"/>
      <c r="P44826"/>
      <c r="Q44826" s="24"/>
      <c r="R44826"/>
      <c r="S44826"/>
      <c r="T44826"/>
      <c r="U44826"/>
      <c r="X44826" s="60"/>
    </row>
    <row r="44827" spans="7:24" ht="15" customHeight="1">
      <c r="G44827"/>
      <c r="I44827"/>
      <c r="N44827"/>
      <c r="O44827" s="24"/>
      <c r="P44827"/>
      <c r="Q44827" s="24"/>
      <c r="R44827"/>
      <c r="S44827"/>
      <c r="T44827"/>
      <c r="U44827"/>
      <c r="X44827" s="60"/>
    </row>
    <row r="44828" spans="7:24" ht="15" customHeight="1">
      <c r="G44828"/>
      <c r="I44828"/>
      <c r="N44828"/>
      <c r="O44828" s="24"/>
      <c r="P44828"/>
      <c r="Q44828" s="24"/>
      <c r="R44828"/>
      <c r="S44828"/>
      <c r="T44828"/>
      <c r="U44828"/>
      <c r="X44828" s="60"/>
    </row>
    <row r="44829" spans="7:24" ht="15" customHeight="1">
      <c r="G44829"/>
      <c r="I44829"/>
      <c r="N44829"/>
      <c r="O44829" s="24"/>
      <c r="P44829"/>
      <c r="Q44829" s="24"/>
      <c r="R44829"/>
      <c r="S44829"/>
      <c r="T44829"/>
      <c r="U44829"/>
      <c r="X44829" s="60"/>
    </row>
    <row r="44830" spans="7:24" ht="15" customHeight="1">
      <c r="G44830"/>
      <c r="I44830"/>
      <c r="N44830"/>
      <c r="O44830" s="24"/>
      <c r="P44830"/>
      <c r="Q44830" s="24"/>
      <c r="R44830"/>
      <c r="S44830"/>
      <c r="T44830"/>
      <c r="U44830"/>
      <c r="X44830" s="60"/>
    </row>
    <row r="44831" spans="7:24" ht="15" customHeight="1">
      <c r="G44831"/>
      <c r="I44831"/>
      <c r="N44831"/>
      <c r="O44831" s="24"/>
      <c r="P44831"/>
      <c r="Q44831" s="24"/>
      <c r="R44831"/>
      <c r="S44831"/>
      <c r="T44831"/>
      <c r="U44831"/>
      <c r="X44831" s="60"/>
    </row>
    <row r="44832" spans="7:24" ht="15" customHeight="1">
      <c r="G44832"/>
      <c r="I44832"/>
      <c r="N44832"/>
      <c r="O44832" s="24"/>
      <c r="P44832"/>
      <c r="Q44832" s="24"/>
      <c r="R44832"/>
      <c r="S44832"/>
      <c r="T44832"/>
      <c r="U44832"/>
      <c r="X44832" s="60"/>
    </row>
    <row r="44833" spans="7:24" ht="15" customHeight="1">
      <c r="G44833"/>
      <c r="I44833"/>
      <c r="N44833"/>
      <c r="O44833" s="24"/>
      <c r="P44833"/>
      <c r="Q44833" s="24"/>
      <c r="R44833"/>
      <c r="S44833"/>
      <c r="T44833"/>
      <c r="U44833"/>
      <c r="X44833" s="60"/>
    </row>
    <row r="44834" spans="7:24" ht="15" customHeight="1">
      <c r="G44834"/>
      <c r="I44834"/>
      <c r="N44834"/>
      <c r="O44834" s="24"/>
      <c r="P44834"/>
      <c r="Q44834" s="24"/>
      <c r="R44834"/>
      <c r="S44834"/>
      <c r="T44834"/>
      <c r="U44834"/>
      <c r="X44834" s="60"/>
    </row>
    <row r="44835" spans="7:24" ht="15" customHeight="1">
      <c r="G44835"/>
      <c r="I44835"/>
      <c r="N44835"/>
      <c r="O44835" s="24"/>
      <c r="P44835"/>
      <c r="Q44835" s="24"/>
      <c r="R44835"/>
      <c r="S44835"/>
      <c r="T44835"/>
      <c r="U44835"/>
      <c r="X44835" s="60"/>
    </row>
    <row r="44836" spans="7:24" ht="15" customHeight="1">
      <c r="G44836"/>
      <c r="I44836"/>
      <c r="N44836"/>
      <c r="O44836" s="24"/>
      <c r="P44836"/>
      <c r="Q44836" s="24"/>
      <c r="R44836"/>
      <c r="S44836"/>
      <c r="T44836"/>
      <c r="U44836"/>
      <c r="X44836" s="60"/>
    </row>
    <row r="44837" spans="7:24" ht="15" customHeight="1">
      <c r="G44837"/>
      <c r="I44837"/>
      <c r="N44837"/>
      <c r="O44837" s="24"/>
      <c r="P44837"/>
      <c r="Q44837" s="24"/>
      <c r="R44837"/>
      <c r="S44837"/>
      <c r="T44837"/>
      <c r="U44837"/>
      <c r="X44837" s="60"/>
    </row>
    <row r="44838" spans="7:24" ht="15" customHeight="1">
      <c r="G44838"/>
      <c r="I44838"/>
      <c r="N44838"/>
      <c r="O44838" s="24"/>
      <c r="P44838"/>
      <c r="Q44838" s="24"/>
      <c r="R44838"/>
      <c r="S44838"/>
      <c r="T44838"/>
      <c r="U44838"/>
      <c r="X44838" s="60"/>
    </row>
    <row r="44839" spans="7:24" ht="15" customHeight="1">
      <c r="G44839"/>
      <c r="I44839"/>
      <c r="N44839"/>
      <c r="O44839" s="24"/>
      <c r="P44839"/>
      <c r="Q44839" s="24"/>
      <c r="R44839"/>
      <c r="S44839"/>
      <c r="T44839"/>
      <c r="U44839"/>
      <c r="X44839" s="60"/>
    </row>
    <row r="44840" spans="7:24" ht="15" customHeight="1">
      <c r="G44840"/>
      <c r="I44840"/>
      <c r="N44840"/>
      <c r="O44840" s="24"/>
      <c r="P44840"/>
      <c r="Q44840" s="24"/>
      <c r="R44840"/>
      <c r="S44840"/>
      <c r="T44840"/>
      <c r="U44840"/>
      <c r="X44840" s="60"/>
    </row>
    <row r="44841" spans="7:24" ht="15" customHeight="1">
      <c r="G44841"/>
      <c r="I44841"/>
      <c r="N44841"/>
      <c r="O44841" s="24"/>
      <c r="P44841"/>
      <c r="Q44841" s="24"/>
      <c r="R44841"/>
      <c r="S44841"/>
      <c r="T44841"/>
      <c r="U44841"/>
      <c r="X44841" s="60"/>
    </row>
    <row r="44842" spans="7:24" ht="15" customHeight="1">
      <c r="G44842"/>
      <c r="I44842"/>
      <c r="N44842"/>
      <c r="O44842" s="24"/>
      <c r="P44842"/>
      <c r="Q44842" s="24"/>
      <c r="R44842"/>
      <c r="S44842"/>
      <c r="T44842"/>
      <c r="U44842"/>
      <c r="X44842" s="60"/>
    </row>
    <row r="44843" spans="7:24" ht="15" customHeight="1">
      <c r="G44843"/>
      <c r="I44843"/>
      <c r="N44843"/>
      <c r="O44843" s="24"/>
      <c r="P44843"/>
      <c r="Q44843" s="24"/>
      <c r="R44843"/>
      <c r="S44843"/>
      <c r="T44843"/>
      <c r="U44843"/>
      <c r="X44843" s="60"/>
    </row>
    <row r="44844" spans="7:24" ht="15" customHeight="1">
      <c r="G44844"/>
      <c r="I44844"/>
      <c r="N44844"/>
      <c r="O44844" s="24"/>
      <c r="P44844"/>
      <c r="Q44844" s="24"/>
      <c r="R44844"/>
      <c r="S44844"/>
      <c r="T44844"/>
      <c r="U44844"/>
      <c r="X44844" s="60"/>
    </row>
    <row r="44845" spans="7:24" ht="15" customHeight="1">
      <c r="G44845"/>
      <c r="I44845"/>
      <c r="N44845"/>
      <c r="O44845" s="24"/>
      <c r="P44845"/>
      <c r="Q44845" s="24"/>
      <c r="R44845"/>
      <c r="S44845"/>
      <c r="T44845"/>
      <c r="U44845"/>
      <c r="X44845" s="60"/>
    </row>
    <row r="44846" spans="7:24" ht="15" customHeight="1">
      <c r="G44846"/>
      <c r="I44846"/>
      <c r="N44846"/>
      <c r="O44846" s="24"/>
      <c r="P44846"/>
      <c r="Q44846" s="24"/>
      <c r="R44846"/>
      <c r="S44846"/>
      <c r="T44846"/>
      <c r="U44846"/>
      <c r="X44846" s="60"/>
    </row>
    <row r="44847" spans="7:24" ht="15" customHeight="1">
      <c r="G44847"/>
      <c r="I44847"/>
      <c r="N44847"/>
      <c r="O44847" s="24"/>
      <c r="P44847"/>
      <c r="Q44847" s="24"/>
      <c r="R44847"/>
      <c r="S44847"/>
      <c r="T44847"/>
      <c r="U44847"/>
      <c r="X44847" s="60"/>
    </row>
    <row r="44848" spans="7:24" ht="15" customHeight="1">
      <c r="G44848"/>
      <c r="I44848"/>
      <c r="N44848"/>
      <c r="O44848" s="24"/>
      <c r="P44848"/>
      <c r="Q44848" s="24"/>
      <c r="R44848"/>
      <c r="S44848"/>
      <c r="T44848"/>
      <c r="U44848"/>
      <c r="X44848" s="60"/>
    </row>
    <row r="44849" spans="7:24" ht="15" customHeight="1">
      <c r="G44849"/>
      <c r="I44849"/>
      <c r="N44849"/>
      <c r="O44849" s="24"/>
      <c r="P44849"/>
      <c r="Q44849" s="24"/>
      <c r="R44849"/>
      <c r="S44849"/>
      <c r="T44849"/>
      <c r="U44849"/>
      <c r="X44849" s="60"/>
    </row>
    <row r="44850" spans="7:24" ht="15" customHeight="1">
      <c r="G44850"/>
      <c r="I44850"/>
      <c r="N44850"/>
      <c r="O44850" s="24"/>
      <c r="P44850"/>
      <c r="Q44850" s="24"/>
      <c r="R44850"/>
      <c r="S44850"/>
      <c r="T44850"/>
      <c r="U44850"/>
      <c r="X44850" s="60"/>
    </row>
    <row r="44851" spans="7:24" ht="15" customHeight="1">
      <c r="G44851"/>
      <c r="I44851"/>
      <c r="N44851"/>
      <c r="O44851" s="24"/>
      <c r="P44851"/>
      <c r="Q44851" s="24"/>
      <c r="R44851"/>
      <c r="S44851"/>
      <c r="T44851"/>
      <c r="U44851"/>
      <c r="X44851" s="60"/>
    </row>
    <row r="44852" spans="7:24" ht="15" customHeight="1">
      <c r="G44852"/>
      <c r="I44852"/>
      <c r="N44852"/>
      <c r="O44852" s="24"/>
      <c r="P44852"/>
      <c r="Q44852" s="24"/>
      <c r="R44852"/>
      <c r="S44852"/>
      <c r="T44852"/>
      <c r="U44852"/>
      <c r="X44852" s="60"/>
    </row>
    <row r="44853" spans="7:24" ht="15" customHeight="1">
      <c r="G44853"/>
      <c r="I44853"/>
      <c r="N44853"/>
      <c r="O44853" s="24"/>
      <c r="P44853"/>
      <c r="Q44853" s="24"/>
      <c r="R44853"/>
      <c r="S44853"/>
      <c r="T44853"/>
      <c r="U44853"/>
      <c r="X44853" s="60"/>
    </row>
    <row r="44854" spans="7:24" ht="15" customHeight="1">
      <c r="G44854"/>
      <c r="I44854"/>
      <c r="N44854"/>
      <c r="O44854" s="24"/>
      <c r="P44854"/>
      <c r="Q44854" s="24"/>
      <c r="R44854"/>
      <c r="S44854"/>
      <c r="T44854"/>
      <c r="U44854"/>
      <c r="X44854" s="60"/>
    </row>
    <row r="44855" spans="7:24" ht="15" customHeight="1">
      <c r="G44855"/>
      <c r="I44855"/>
      <c r="N44855"/>
      <c r="O44855" s="24"/>
      <c r="P44855"/>
      <c r="Q44855" s="24"/>
      <c r="R44855"/>
      <c r="S44855"/>
      <c r="T44855"/>
      <c r="U44855"/>
      <c r="X44855" s="60"/>
    </row>
    <row r="44856" spans="7:24" ht="15" customHeight="1">
      <c r="G44856"/>
      <c r="I44856"/>
      <c r="N44856"/>
      <c r="O44856" s="24"/>
      <c r="P44856"/>
      <c r="Q44856" s="24"/>
      <c r="R44856"/>
      <c r="S44856"/>
      <c r="T44856"/>
      <c r="U44856"/>
      <c r="X44856" s="60"/>
    </row>
    <row r="44857" spans="7:24" ht="15" customHeight="1">
      <c r="G44857"/>
      <c r="I44857"/>
      <c r="N44857"/>
      <c r="O44857" s="24"/>
      <c r="P44857"/>
      <c r="Q44857" s="24"/>
      <c r="R44857"/>
      <c r="S44857"/>
      <c r="T44857"/>
      <c r="U44857"/>
      <c r="X44857" s="60"/>
    </row>
    <row r="44858" spans="7:24" ht="15" customHeight="1">
      <c r="G44858"/>
      <c r="I44858"/>
      <c r="N44858"/>
      <c r="O44858" s="24"/>
      <c r="P44858"/>
      <c r="Q44858" s="24"/>
      <c r="R44858"/>
      <c r="S44858"/>
      <c r="T44858"/>
      <c r="U44858"/>
      <c r="X44858" s="60"/>
    </row>
    <row r="44859" spans="7:24" ht="15" customHeight="1">
      <c r="G44859"/>
      <c r="I44859"/>
      <c r="N44859"/>
      <c r="O44859" s="24"/>
      <c r="P44859"/>
      <c r="Q44859" s="24"/>
      <c r="R44859"/>
      <c r="S44859"/>
      <c r="T44859"/>
      <c r="U44859"/>
      <c r="X44859" s="60"/>
    </row>
    <row r="44860" spans="7:24" ht="15" customHeight="1">
      <c r="G44860"/>
      <c r="I44860"/>
      <c r="N44860"/>
      <c r="O44860" s="24"/>
      <c r="P44860"/>
      <c r="Q44860" s="24"/>
      <c r="R44860"/>
      <c r="S44860"/>
      <c r="T44860"/>
      <c r="U44860"/>
      <c r="X44860" s="60"/>
    </row>
    <row r="44861" spans="7:24" ht="15" customHeight="1">
      <c r="G44861"/>
      <c r="I44861"/>
      <c r="N44861"/>
      <c r="O44861" s="24"/>
      <c r="P44861"/>
      <c r="Q44861" s="24"/>
      <c r="R44861"/>
      <c r="S44861"/>
      <c r="T44861"/>
      <c r="U44861"/>
      <c r="X44861" s="60"/>
    </row>
    <row r="44862" spans="7:24" ht="15" customHeight="1">
      <c r="G44862"/>
      <c r="I44862"/>
      <c r="N44862"/>
      <c r="O44862" s="24"/>
      <c r="P44862"/>
      <c r="Q44862" s="24"/>
      <c r="R44862"/>
      <c r="S44862"/>
      <c r="T44862"/>
      <c r="U44862"/>
      <c r="X44862" s="60"/>
    </row>
    <row r="44863" spans="7:24" ht="15" customHeight="1">
      <c r="G44863"/>
      <c r="I44863"/>
      <c r="N44863"/>
      <c r="O44863" s="24"/>
      <c r="P44863"/>
      <c r="Q44863" s="24"/>
      <c r="R44863"/>
      <c r="S44863"/>
      <c r="T44863"/>
      <c r="U44863"/>
      <c r="X44863" s="60"/>
    </row>
    <row r="44864" spans="7:24" ht="15" customHeight="1">
      <c r="G44864"/>
      <c r="I44864"/>
      <c r="N44864"/>
      <c r="O44864" s="24"/>
      <c r="P44864"/>
      <c r="Q44864" s="24"/>
      <c r="R44864"/>
      <c r="S44864"/>
      <c r="T44864"/>
      <c r="U44864"/>
      <c r="X44864" s="60"/>
    </row>
    <row r="44865" spans="7:24" ht="15" customHeight="1">
      <c r="G44865"/>
      <c r="I44865"/>
      <c r="N44865"/>
      <c r="O44865" s="24"/>
      <c r="P44865"/>
      <c r="Q44865" s="24"/>
      <c r="R44865"/>
      <c r="S44865"/>
      <c r="T44865"/>
      <c r="U44865"/>
      <c r="X44865" s="60"/>
    </row>
    <row r="44866" spans="7:24" ht="15" customHeight="1">
      <c r="G44866"/>
      <c r="I44866"/>
      <c r="N44866"/>
      <c r="O44866" s="24"/>
      <c r="P44866"/>
      <c r="Q44866" s="24"/>
      <c r="R44866"/>
      <c r="S44866"/>
      <c r="T44866"/>
      <c r="U44866"/>
      <c r="X44866" s="60"/>
    </row>
    <row r="44867" spans="7:24" ht="15" customHeight="1">
      <c r="G44867"/>
      <c r="I44867"/>
      <c r="N44867"/>
      <c r="O44867" s="24"/>
      <c r="P44867"/>
      <c r="Q44867" s="24"/>
      <c r="R44867"/>
      <c r="S44867"/>
      <c r="T44867"/>
      <c r="U44867"/>
      <c r="X44867" s="60"/>
    </row>
    <row r="44868" spans="7:24" ht="15" customHeight="1">
      <c r="G44868"/>
      <c r="I44868"/>
      <c r="N44868"/>
      <c r="O44868" s="24"/>
      <c r="P44868"/>
      <c r="Q44868" s="24"/>
      <c r="R44868"/>
      <c r="S44868"/>
      <c r="T44868"/>
      <c r="U44868"/>
      <c r="X44868" s="60"/>
    </row>
    <row r="44869" spans="7:24" ht="15" customHeight="1">
      <c r="G44869"/>
      <c r="I44869"/>
      <c r="N44869"/>
      <c r="O44869" s="24"/>
      <c r="P44869"/>
      <c r="Q44869" s="24"/>
      <c r="R44869"/>
      <c r="S44869"/>
      <c r="T44869"/>
      <c r="U44869"/>
      <c r="X44869" s="60"/>
    </row>
    <row r="44870" spans="7:24" ht="15" customHeight="1">
      <c r="G44870"/>
      <c r="I44870"/>
      <c r="N44870"/>
      <c r="O44870" s="24"/>
      <c r="P44870"/>
      <c r="Q44870" s="24"/>
      <c r="R44870"/>
      <c r="S44870"/>
      <c r="T44870"/>
      <c r="U44870"/>
      <c r="X44870" s="60"/>
    </row>
    <row r="44871" spans="7:24" ht="15" customHeight="1">
      <c r="G44871"/>
      <c r="I44871"/>
      <c r="N44871"/>
      <c r="O44871" s="24"/>
      <c r="P44871"/>
      <c r="Q44871" s="24"/>
      <c r="R44871"/>
      <c r="S44871"/>
      <c r="T44871"/>
      <c r="U44871"/>
      <c r="X44871" s="60"/>
    </row>
    <row r="44872" spans="7:24" ht="15" customHeight="1">
      <c r="G44872"/>
      <c r="I44872"/>
      <c r="N44872"/>
      <c r="O44872" s="24"/>
      <c r="P44872"/>
      <c r="Q44872" s="24"/>
      <c r="R44872"/>
      <c r="S44872"/>
      <c r="T44872"/>
      <c r="U44872"/>
      <c r="X44872" s="60"/>
    </row>
    <row r="44873" spans="7:24" ht="15" customHeight="1">
      <c r="G44873"/>
      <c r="I44873"/>
      <c r="N44873"/>
      <c r="O44873" s="24"/>
      <c r="P44873"/>
      <c r="Q44873" s="24"/>
      <c r="R44873"/>
      <c r="S44873"/>
      <c r="T44873"/>
      <c r="U44873"/>
      <c r="X44873" s="60"/>
    </row>
    <row r="44874" spans="7:24" ht="15" customHeight="1">
      <c r="G44874"/>
      <c r="I44874"/>
      <c r="N44874"/>
      <c r="O44874" s="24"/>
      <c r="P44874"/>
      <c r="Q44874" s="24"/>
      <c r="R44874"/>
      <c r="S44874"/>
      <c r="T44874"/>
      <c r="U44874"/>
      <c r="X44874" s="60"/>
    </row>
    <row r="44875" spans="7:24" ht="15" customHeight="1">
      <c r="G44875"/>
      <c r="I44875"/>
      <c r="N44875"/>
      <c r="O44875" s="24"/>
      <c r="P44875"/>
      <c r="Q44875" s="24"/>
      <c r="R44875"/>
      <c r="S44875"/>
      <c r="T44875"/>
      <c r="U44875"/>
      <c r="X44875" s="60"/>
    </row>
    <row r="44876" spans="7:24" ht="15" customHeight="1">
      <c r="G44876"/>
      <c r="I44876"/>
      <c r="N44876"/>
      <c r="O44876" s="24"/>
      <c r="P44876"/>
      <c r="Q44876" s="24"/>
      <c r="R44876"/>
      <c r="S44876"/>
      <c r="T44876"/>
      <c r="U44876"/>
      <c r="X44876" s="60"/>
    </row>
    <row r="44877" spans="7:24" ht="15" customHeight="1">
      <c r="G44877"/>
      <c r="I44877"/>
      <c r="N44877"/>
      <c r="O44877" s="24"/>
      <c r="P44877"/>
      <c r="Q44877" s="24"/>
      <c r="R44877"/>
      <c r="S44877"/>
      <c r="T44877"/>
      <c r="U44877"/>
      <c r="X44877" s="60"/>
    </row>
    <row r="44878" spans="7:24" ht="15" customHeight="1">
      <c r="G44878"/>
      <c r="I44878"/>
      <c r="N44878"/>
      <c r="O44878" s="24"/>
      <c r="P44878"/>
      <c r="Q44878" s="24"/>
      <c r="R44878"/>
      <c r="S44878"/>
      <c r="T44878"/>
      <c r="U44878"/>
      <c r="X44878" s="60"/>
    </row>
    <row r="44879" spans="7:24" ht="15" customHeight="1">
      <c r="G44879"/>
      <c r="I44879"/>
      <c r="N44879"/>
      <c r="O44879" s="24"/>
      <c r="P44879"/>
      <c r="Q44879" s="24"/>
      <c r="R44879"/>
      <c r="S44879"/>
      <c r="T44879"/>
      <c r="U44879"/>
      <c r="X44879" s="60"/>
    </row>
    <row r="44880" spans="7:24" ht="15" customHeight="1">
      <c r="G44880"/>
      <c r="I44880"/>
      <c r="N44880"/>
      <c r="O44880" s="24"/>
      <c r="P44880"/>
      <c r="Q44880" s="24"/>
      <c r="R44880"/>
      <c r="S44880"/>
      <c r="T44880"/>
      <c r="U44880"/>
      <c r="X44880" s="60"/>
    </row>
    <row r="44881" spans="7:24" ht="15" customHeight="1">
      <c r="G44881"/>
      <c r="I44881"/>
      <c r="N44881"/>
      <c r="O44881" s="24"/>
      <c r="P44881"/>
      <c r="Q44881" s="24"/>
      <c r="R44881"/>
      <c r="S44881"/>
      <c r="T44881"/>
      <c r="U44881"/>
      <c r="X44881" s="60"/>
    </row>
    <row r="44882" spans="7:24" ht="15" customHeight="1">
      <c r="G44882"/>
      <c r="I44882"/>
      <c r="N44882"/>
      <c r="O44882" s="24"/>
      <c r="P44882"/>
      <c r="Q44882" s="24"/>
      <c r="R44882"/>
      <c r="S44882"/>
      <c r="T44882"/>
      <c r="U44882"/>
      <c r="X44882" s="60"/>
    </row>
    <row r="44883" spans="7:24" ht="15" customHeight="1">
      <c r="G44883"/>
      <c r="I44883"/>
      <c r="N44883"/>
      <c r="O44883" s="24"/>
      <c r="P44883"/>
      <c r="Q44883" s="24"/>
      <c r="R44883"/>
      <c r="S44883"/>
      <c r="T44883"/>
      <c r="U44883"/>
      <c r="X44883" s="60"/>
    </row>
    <row r="44884" spans="7:24" ht="15" customHeight="1">
      <c r="G44884"/>
      <c r="I44884"/>
      <c r="N44884"/>
      <c r="O44884" s="24"/>
      <c r="P44884"/>
      <c r="Q44884" s="24"/>
      <c r="R44884"/>
      <c r="S44884"/>
      <c r="T44884"/>
      <c r="U44884"/>
      <c r="X44884" s="60"/>
    </row>
    <row r="44885" spans="7:24" ht="15" customHeight="1">
      <c r="G44885"/>
      <c r="I44885"/>
      <c r="N44885"/>
      <c r="O44885" s="24"/>
      <c r="P44885"/>
      <c r="Q44885" s="24"/>
      <c r="R44885"/>
      <c r="S44885"/>
      <c r="T44885"/>
      <c r="U44885"/>
      <c r="X44885" s="60"/>
    </row>
    <row r="44886" spans="7:24" ht="15" customHeight="1">
      <c r="G44886"/>
      <c r="I44886"/>
      <c r="N44886"/>
      <c r="O44886" s="24"/>
      <c r="P44886"/>
      <c r="Q44886" s="24"/>
      <c r="R44886"/>
      <c r="S44886"/>
      <c r="T44886"/>
      <c r="U44886"/>
      <c r="X44886" s="60"/>
    </row>
    <row r="44887" spans="7:24" ht="15" customHeight="1">
      <c r="G44887"/>
      <c r="I44887"/>
      <c r="N44887"/>
      <c r="O44887" s="24"/>
      <c r="P44887"/>
      <c r="Q44887" s="24"/>
      <c r="R44887"/>
      <c r="S44887"/>
      <c r="T44887"/>
      <c r="U44887"/>
      <c r="X44887" s="60"/>
    </row>
    <row r="44888" spans="7:24" ht="15" customHeight="1">
      <c r="G44888"/>
      <c r="I44888"/>
      <c r="N44888"/>
      <c r="O44888" s="24"/>
      <c r="P44888"/>
      <c r="Q44888" s="24"/>
      <c r="R44888"/>
      <c r="S44888"/>
      <c r="T44888"/>
      <c r="U44888"/>
      <c r="X44888" s="60"/>
    </row>
    <row r="44889" spans="7:24" ht="15" customHeight="1">
      <c r="G44889"/>
      <c r="I44889"/>
      <c r="N44889"/>
      <c r="O44889" s="24"/>
      <c r="P44889"/>
      <c r="Q44889" s="24"/>
      <c r="R44889"/>
      <c r="S44889"/>
      <c r="T44889"/>
      <c r="U44889"/>
      <c r="X44889" s="60"/>
    </row>
    <row r="44890" spans="7:24" ht="15" customHeight="1">
      <c r="G44890"/>
      <c r="I44890"/>
      <c r="N44890"/>
      <c r="O44890" s="24"/>
      <c r="P44890"/>
      <c r="Q44890" s="24"/>
      <c r="R44890"/>
      <c r="S44890"/>
      <c r="T44890"/>
      <c r="U44890"/>
      <c r="X44890" s="60"/>
    </row>
    <row r="44891" spans="7:24" ht="15" customHeight="1">
      <c r="G44891"/>
      <c r="I44891"/>
      <c r="N44891"/>
      <c r="O44891" s="24"/>
      <c r="P44891"/>
      <c r="Q44891" s="24"/>
      <c r="R44891"/>
      <c r="S44891"/>
      <c r="T44891"/>
      <c r="U44891"/>
      <c r="X44891" s="60"/>
    </row>
    <row r="44892" spans="7:24" ht="15" customHeight="1">
      <c r="G44892"/>
      <c r="I44892"/>
      <c r="N44892"/>
      <c r="O44892" s="24"/>
      <c r="P44892"/>
      <c r="Q44892" s="24"/>
      <c r="R44892"/>
      <c r="S44892"/>
      <c r="T44892"/>
      <c r="U44892"/>
      <c r="X44892" s="60"/>
    </row>
    <row r="44893" spans="7:24" ht="15" customHeight="1">
      <c r="G44893"/>
      <c r="I44893"/>
      <c r="N44893"/>
      <c r="O44893" s="24"/>
      <c r="P44893"/>
      <c r="Q44893" s="24"/>
      <c r="R44893"/>
      <c r="S44893"/>
      <c r="T44893"/>
      <c r="U44893"/>
      <c r="X44893" s="60"/>
    </row>
    <row r="44894" spans="7:24" ht="15" customHeight="1">
      <c r="G44894"/>
      <c r="I44894"/>
      <c r="N44894"/>
      <c r="O44894" s="24"/>
      <c r="P44894"/>
      <c r="Q44894" s="24"/>
      <c r="R44894"/>
      <c r="S44894"/>
      <c r="T44894"/>
      <c r="U44894"/>
      <c r="X44894" s="60"/>
    </row>
    <row r="44895" spans="7:24" ht="15" customHeight="1">
      <c r="G44895"/>
      <c r="I44895"/>
      <c r="N44895"/>
      <c r="O44895" s="24"/>
      <c r="P44895"/>
      <c r="Q44895" s="24"/>
      <c r="R44895"/>
      <c r="S44895"/>
      <c r="T44895"/>
      <c r="U44895"/>
      <c r="X44895" s="60"/>
    </row>
    <row r="44896" spans="7:24" ht="15" customHeight="1">
      <c r="G44896"/>
      <c r="I44896"/>
      <c r="N44896"/>
      <c r="O44896" s="24"/>
      <c r="P44896"/>
      <c r="Q44896" s="24"/>
      <c r="R44896"/>
      <c r="S44896"/>
      <c r="T44896"/>
      <c r="U44896"/>
      <c r="X44896" s="60"/>
    </row>
    <row r="44897" spans="7:24" ht="15" customHeight="1">
      <c r="G44897"/>
      <c r="I44897"/>
      <c r="N44897"/>
      <c r="O44897" s="24"/>
      <c r="P44897"/>
      <c r="Q44897" s="24"/>
      <c r="R44897"/>
      <c r="S44897"/>
      <c r="T44897"/>
      <c r="U44897"/>
      <c r="X44897" s="60"/>
    </row>
    <row r="44898" spans="7:24" ht="15" customHeight="1">
      <c r="G44898"/>
      <c r="I44898"/>
      <c r="N44898"/>
      <c r="O44898" s="24"/>
      <c r="P44898"/>
      <c r="Q44898" s="24"/>
      <c r="R44898"/>
      <c r="S44898"/>
      <c r="T44898"/>
      <c r="U44898"/>
      <c r="X44898" s="60"/>
    </row>
    <row r="44899" spans="7:24" ht="15" customHeight="1">
      <c r="G44899"/>
      <c r="I44899"/>
      <c r="N44899"/>
      <c r="O44899" s="24"/>
      <c r="P44899"/>
      <c r="Q44899" s="24"/>
      <c r="R44899"/>
      <c r="S44899"/>
      <c r="T44899"/>
      <c r="U44899"/>
      <c r="X44899" s="60"/>
    </row>
    <row r="44900" spans="7:24" ht="15" customHeight="1">
      <c r="G44900"/>
      <c r="I44900"/>
      <c r="N44900"/>
      <c r="O44900" s="24"/>
      <c r="P44900"/>
      <c r="Q44900" s="24"/>
      <c r="R44900"/>
      <c r="S44900"/>
      <c r="T44900"/>
      <c r="U44900"/>
      <c r="X44900" s="60"/>
    </row>
    <row r="44901" spans="7:24" ht="15" customHeight="1">
      <c r="G44901"/>
      <c r="I44901"/>
      <c r="N44901"/>
      <c r="O44901" s="24"/>
      <c r="P44901"/>
      <c r="Q44901" s="24"/>
      <c r="R44901"/>
      <c r="S44901"/>
      <c r="T44901"/>
      <c r="U44901"/>
      <c r="X44901" s="60"/>
    </row>
    <row r="44902" spans="7:24" ht="15" customHeight="1">
      <c r="G44902"/>
      <c r="I44902"/>
      <c r="N44902"/>
      <c r="O44902" s="24"/>
      <c r="P44902"/>
      <c r="Q44902" s="24"/>
      <c r="R44902"/>
      <c r="S44902"/>
      <c r="T44902"/>
      <c r="U44902"/>
      <c r="X44902" s="60"/>
    </row>
    <row r="44903" spans="7:24" ht="15" customHeight="1">
      <c r="G44903"/>
      <c r="I44903"/>
      <c r="N44903"/>
      <c r="O44903" s="24"/>
      <c r="P44903"/>
      <c r="Q44903" s="24"/>
      <c r="R44903"/>
      <c r="S44903"/>
      <c r="T44903"/>
      <c r="U44903"/>
      <c r="X44903" s="60"/>
    </row>
    <row r="44904" spans="7:24" ht="15" customHeight="1">
      <c r="G44904"/>
      <c r="I44904"/>
      <c r="N44904"/>
      <c r="O44904" s="24"/>
      <c r="P44904"/>
      <c r="Q44904" s="24"/>
      <c r="R44904"/>
      <c r="S44904"/>
      <c r="T44904"/>
      <c r="U44904"/>
      <c r="X44904" s="60"/>
    </row>
    <row r="44905" spans="7:24" ht="15" customHeight="1">
      <c r="G44905"/>
      <c r="I44905"/>
      <c r="N44905"/>
      <c r="O44905" s="24"/>
      <c r="P44905"/>
      <c r="Q44905" s="24"/>
      <c r="R44905"/>
      <c r="S44905"/>
      <c r="T44905"/>
      <c r="U44905"/>
      <c r="X44905" s="60"/>
    </row>
    <row r="44906" spans="7:24" ht="15" customHeight="1">
      <c r="G44906"/>
      <c r="I44906"/>
      <c r="N44906"/>
      <c r="O44906" s="24"/>
      <c r="P44906"/>
      <c r="Q44906" s="24"/>
      <c r="R44906"/>
      <c r="S44906"/>
      <c r="T44906"/>
      <c r="U44906"/>
      <c r="X44906" s="60"/>
    </row>
    <row r="44907" spans="7:24" ht="15" customHeight="1">
      <c r="G44907"/>
      <c r="I44907"/>
      <c r="N44907"/>
      <c r="O44907" s="24"/>
      <c r="P44907"/>
      <c r="Q44907" s="24"/>
      <c r="R44907"/>
      <c r="S44907"/>
      <c r="T44907"/>
      <c r="U44907"/>
      <c r="X44907" s="60"/>
    </row>
    <row r="44908" spans="7:24" ht="15" customHeight="1">
      <c r="G44908"/>
      <c r="I44908"/>
      <c r="N44908"/>
      <c r="O44908" s="24"/>
      <c r="P44908"/>
      <c r="Q44908" s="24"/>
      <c r="R44908"/>
      <c r="S44908"/>
      <c r="T44908"/>
      <c r="U44908"/>
      <c r="X44908" s="60"/>
    </row>
    <row r="44909" spans="7:24" ht="15" customHeight="1">
      <c r="G44909"/>
      <c r="I44909"/>
      <c r="N44909"/>
      <c r="O44909" s="24"/>
      <c r="P44909"/>
      <c r="Q44909" s="24"/>
      <c r="R44909"/>
      <c r="S44909"/>
      <c r="T44909"/>
      <c r="U44909"/>
      <c r="X44909" s="60"/>
    </row>
    <row r="44910" spans="7:24" ht="15" customHeight="1">
      <c r="G44910"/>
      <c r="I44910"/>
      <c r="N44910"/>
      <c r="O44910" s="24"/>
      <c r="P44910"/>
      <c r="Q44910" s="24"/>
      <c r="R44910"/>
      <c r="S44910"/>
      <c r="T44910"/>
      <c r="U44910"/>
      <c r="X44910" s="60"/>
    </row>
    <row r="44911" spans="7:24" ht="15" customHeight="1">
      <c r="G44911"/>
      <c r="I44911"/>
      <c r="N44911"/>
      <c r="O44911" s="24"/>
      <c r="P44911"/>
      <c r="Q44911" s="24"/>
      <c r="R44911"/>
      <c r="S44911"/>
      <c r="T44911"/>
      <c r="U44911"/>
      <c r="X44911" s="60"/>
    </row>
    <row r="44912" spans="7:24" ht="15" customHeight="1">
      <c r="G44912"/>
      <c r="I44912"/>
      <c r="N44912"/>
      <c r="O44912" s="24"/>
      <c r="P44912"/>
      <c r="Q44912" s="24"/>
      <c r="R44912"/>
      <c r="S44912"/>
      <c r="T44912"/>
      <c r="U44912"/>
      <c r="X44912" s="60"/>
    </row>
    <row r="44913" spans="7:24" ht="15" customHeight="1">
      <c r="G44913"/>
      <c r="I44913"/>
      <c r="N44913"/>
      <c r="O44913" s="24"/>
      <c r="P44913"/>
      <c r="Q44913" s="24"/>
      <c r="R44913"/>
      <c r="S44913"/>
      <c r="T44913"/>
      <c r="U44913"/>
      <c r="X44913" s="60"/>
    </row>
    <row r="44914" spans="7:24" ht="15" customHeight="1">
      <c r="G44914"/>
      <c r="I44914"/>
      <c r="N44914"/>
      <c r="O44914" s="24"/>
      <c r="P44914"/>
      <c r="Q44914" s="24"/>
      <c r="R44914"/>
      <c r="S44914"/>
      <c r="T44914"/>
      <c r="U44914"/>
      <c r="X44914" s="60"/>
    </row>
    <row r="44915" spans="7:24" ht="15" customHeight="1">
      <c r="G44915"/>
      <c r="I44915"/>
      <c r="N44915"/>
      <c r="O44915" s="24"/>
      <c r="P44915"/>
      <c r="Q44915" s="24"/>
      <c r="R44915"/>
      <c r="S44915"/>
      <c r="T44915"/>
      <c r="U44915"/>
      <c r="X44915" s="60"/>
    </row>
    <row r="44916" spans="7:24" ht="15" customHeight="1">
      <c r="G44916"/>
      <c r="I44916"/>
      <c r="N44916"/>
      <c r="O44916" s="24"/>
      <c r="P44916"/>
      <c r="Q44916" s="24"/>
      <c r="R44916"/>
      <c r="S44916"/>
      <c r="T44916"/>
      <c r="U44916"/>
      <c r="X44916" s="60"/>
    </row>
    <row r="44917" spans="7:24" ht="15" customHeight="1">
      <c r="G44917"/>
      <c r="I44917"/>
      <c r="N44917"/>
      <c r="O44917" s="24"/>
      <c r="P44917"/>
      <c r="Q44917" s="24"/>
      <c r="R44917"/>
      <c r="S44917"/>
      <c r="T44917"/>
      <c r="U44917"/>
      <c r="X44917" s="60"/>
    </row>
    <row r="44918" spans="7:24" ht="15" customHeight="1">
      <c r="G44918"/>
      <c r="I44918"/>
      <c r="N44918"/>
      <c r="O44918" s="24"/>
      <c r="P44918"/>
      <c r="Q44918" s="24"/>
      <c r="R44918"/>
      <c r="S44918"/>
      <c r="T44918"/>
      <c r="U44918"/>
      <c r="X44918" s="60"/>
    </row>
    <row r="44919" spans="7:24" ht="15" customHeight="1">
      <c r="G44919"/>
      <c r="I44919"/>
      <c r="N44919"/>
      <c r="O44919" s="24"/>
      <c r="P44919"/>
      <c r="Q44919" s="24"/>
      <c r="R44919"/>
      <c r="S44919"/>
      <c r="T44919"/>
      <c r="U44919"/>
      <c r="X44919" s="60"/>
    </row>
    <row r="44920" spans="7:24" ht="15" customHeight="1">
      <c r="G44920"/>
      <c r="I44920"/>
      <c r="N44920"/>
      <c r="O44920" s="24"/>
      <c r="P44920"/>
      <c r="Q44920" s="24"/>
      <c r="R44920"/>
      <c r="S44920"/>
      <c r="T44920"/>
      <c r="U44920"/>
      <c r="X44920" s="60"/>
    </row>
    <row r="44921" spans="7:24" ht="15" customHeight="1">
      <c r="G44921"/>
      <c r="I44921"/>
      <c r="N44921"/>
      <c r="O44921" s="24"/>
      <c r="P44921"/>
      <c r="Q44921" s="24"/>
      <c r="R44921"/>
      <c r="S44921"/>
      <c r="T44921"/>
      <c r="U44921"/>
      <c r="X44921" s="60"/>
    </row>
    <row r="44922" spans="7:24" ht="15" customHeight="1">
      <c r="G44922"/>
      <c r="I44922"/>
      <c r="N44922"/>
      <c r="O44922" s="24"/>
      <c r="P44922"/>
      <c r="Q44922" s="24"/>
      <c r="R44922"/>
      <c r="S44922"/>
      <c r="T44922"/>
      <c r="U44922"/>
      <c r="X44922" s="60"/>
    </row>
    <row r="44923" spans="7:24" ht="15" customHeight="1">
      <c r="G44923"/>
      <c r="I44923"/>
      <c r="N44923"/>
      <c r="O44923" s="24"/>
      <c r="P44923"/>
      <c r="Q44923" s="24"/>
      <c r="R44923"/>
      <c r="S44923"/>
      <c r="T44923"/>
      <c r="U44923"/>
      <c r="X44923" s="60"/>
    </row>
    <row r="44924" spans="7:24" ht="15" customHeight="1">
      <c r="G44924"/>
      <c r="I44924"/>
      <c r="N44924"/>
      <c r="O44924" s="24"/>
      <c r="P44924"/>
      <c r="Q44924" s="24"/>
      <c r="R44924"/>
      <c r="S44924"/>
      <c r="T44924"/>
      <c r="U44924"/>
      <c r="X44924" s="60"/>
    </row>
    <row r="44925" spans="7:24" ht="15" customHeight="1">
      <c r="G44925"/>
      <c r="I44925"/>
      <c r="N44925"/>
      <c r="O44925" s="24"/>
      <c r="P44925"/>
      <c r="Q44925" s="24"/>
      <c r="R44925"/>
      <c r="S44925"/>
      <c r="T44925"/>
      <c r="U44925"/>
      <c r="X44925" s="60"/>
    </row>
    <row r="44926" spans="7:24" ht="15" customHeight="1">
      <c r="G44926"/>
      <c r="I44926"/>
      <c r="N44926"/>
      <c r="O44926" s="24"/>
      <c r="P44926"/>
      <c r="Q44926" s="24"/>
      <c r="R44926"/>
      <c r="S44926"/>
      <c r="T44926"/>
      <c r="U44926"/>
      <c r="X44926" s="60"/>
    </row>
    <row r="44927" spans="7:24" ht="15" customHeight="1">
      <c r="G44927"/>
      <c r="I44927"/>
      <c r="N44927"/>
      <c r="O44927" s="24"/>
      <c r="P44927"/>
      <c r="Q44927" s="24"/>
      <c r="R44927"/>
      <c r="S44927"/>
      <c r="T44927"/>
      <c r="U44927"/>
      <c r="X44927" s="60"/>
    </row>
    <row r="44928" spans="7:24" ht="15" customHeight="1">
      <c r="G44928"/>
      <c r="I44928"/>
      <c r="N44928"/>
      <c r="O44928" s="24"/>
      <c r="P44928"/>
      <c r="Q44928" s="24"/>
      <c r="R44928"/>
      <c r="S44928"/>
      <c r="T44928"/>
      <c r="U44928"/>
      <c r="X44928" s="60"/>
    </row>
    <row r="44929" spans="7:24" ht="15" customHeight="1">
      <c r="G44929"/>
      <c r="I44929"/>
      <c r="N44929"/>
      <c r="O44929" s="24"/>
      <c r="P44929"/>
      <c r="Q44929" s="24"/>
      <c r="R44929"/>
      <c r="S44929"/>
      <c r="T44929"/>
      <c r="U44929"/>
      <c r="X44929" s="60"/>
    </row>
    <row r="44930" spans="7:24" ht="15" customHeight="1">
      <c r="G44930"/>
      <c r="I44930"/>
      <c r="N44930"/>
      <c r="O44930" s="24"/>
      <c r="P44930"/>
      <c r="Q44930" s="24"/>
      <c r="R44930"/>
      <c r="S44930"/>
      <c r="T44930"/>
      <c r="U44930"/>
      <c r="X44930" s="60"/>
    </row>
    <row r="44931" spans="7:24" ht="15" customHeight="1">
      <c r="G44931"/>
      <c r="I44931"/>
      <c r="N44931"/>
      <c r="O44931" s="24"/>
      <c r="P44931"/>
      <c r="Q44931" s="24"/>
      <c r="R44931"/>
      <c r="S44931"/>
      <c r="T44931"/>
      <c r="U44931"/>
      <c r="X44931" s="60"/>
    </row>
    <row r="44932" spans="7:24" ht="15" customHeight="1">
      <c r="G44932"/>
      <c r="I44932"/>
      <c r="N44932"/>
      <c r="O44932" s="24"/>
      <c r="P44932"/>
      <c r="Q44932" s="24"/>
      <c r="R44932"/>
      <c r="S44932"/>
      <c r="T44932"/>
      <c r="U44932"/>
      <c r="X44932" s="60"/>
    </row>
    <row r="44933" spans="7:24" ht="15" customHeight="1">
      <c r="G44933"/>
      <c r="I44933"/>
      <c r="N44933"/>
      <c r="O44933" s="24"/>
      <c r="P44933"/>
      <c r="Q44933" s="24"/>
      <c r="R44933"/>
      <c r="S44933"/>
      <c r="T44933"/>
      <c r="U44933"/>
      <c r="X44933" s="60"/>
    </row>
    <row r="44934" spans="7:24" ht="15" customHeight="1">
      <c r="G44934"/>
      <c r="I44934"/>
      <c r="N44934"/>
      <c r="O44934" s="24"/>
      <c r="P44934"/>
      <c r="Q44934" s="24"/>
      <c r="R44934"/>
      <c r="S44934"/>
      <c r="T44934"/>
      <c r="U44934"/>
      <c r="X44934" s="60"/>
    </row>
    <row r="44935" spans="7:24" ht="15" customHeight="1">
      <c r="G44935"/>
      <c r="I44935"/>
      <c r="N44935"/>
      <c r="O44935" s="24"/>
      <c r="P44935"/>
      <c r="Q44935" s="24"/>
      <c r="R44935"/>
      <c r="S44935"/>
      <c r="T44935"/>
      <c r="U44935"/>
      <c r="X44935" s="60"/>
    </row>
    <row r="44936" spans="7:24" ht="15" customHeight="1">
      <c r="G44936"/>
      <c r="I44936"/>
      <c r="N44936"/>
      <c r="O44936" s="24"/>
      <c r="P44936"/>
      <c r="Q44936" s="24"/>
      <c r="R44936"/>
      <c r="S44936"/>
      <c r="T44936"/>
      <c r="U44936"/>
      <c r="X44936" s="60"/>
    </row>
    <row r="44937" spans="7:24" ht="15" customHeight="1">
      <c r="G44937"/>
      <c r="I44937"/>
      <c r="N44937"/>
      <c r="O44937" s="24"/>
      <c r="P44937"/>
      <c r="Q44937" s="24"/>
      <c r="R44937"/>
      <c r="S44937"/>
      <c r="T44937"/>
      <c r="U44937"/>
      <c r="X44937" s="60"/>
    </row>
    <row r="44938" spans="7:24" ht="15" customHeight="1">
      <c r="G44938"/>
      <c r="I44938"/>
      <c r="N44938"/>
      <c r="O44938" s="24"/>
      <c r="P44938"/>
      <c r="Q44938" s="24"/>
      <c r="R44938"/>
      <c r="S44938"/>
      <c r="T44938"/>
      <c r="U44938"/>
      <c r="X44938" s="60"/>
    </row>
    <row r="44939" spans="7:24" ht="15" customHeight="1">
      <c r="G44939"/>
      <c r="I44939"/>
      <c r="N44939"/>
      <c r="O44939" s="24"/>
      <c r="P44939"/>
      <c r="Q44939" s="24"/>
      <c r="R44939"/>
      <c r="S44939"/>
      <c r="T44939"/>
      <c r="U44939"/>
      <c r="X44939" s="60"/>
    </row>
    <row r="44940" spans="7:24" ht="15" customHeight="1">
      <c r="G44940"/>
      <c r="I44940"/>
      <c r="N44940"/>
      <c r="O44940" s="24"/>
      <c r="P44940"/>
      <c r="Q44940" s="24"/>
      <c r="R44940"/>
      <c r="S44940"/>
      <c r="T44940"/>
      <c r="U44940"/>
      <c r="X44940" s="60"/>
    </row>
    <row r="44941" spans="7:24" ht="15" customHeight="1">
      <c r="G44941"/>
      <c r="I44941"/>
      <c r="N44941"/>
      <c r="O44941" s="24"/>
      <c r="P44941"/>
      <c r="Q44941" s="24"/>
      <c r="R44941"/>
      <c r="S44941"/>
      <c r="T44941"/>
      <c r="U44941"/>
      <c r="X44941" s="60"/>
    </row>
    <row r="44942" spans="7:24" ht="15" customHeight="1">
      <c r="G44942"/>
      <c r="I44942"/>
      <c r="N44942"/>
      <c r="O44942" s="24"/>
      <c r="P44942"/>
      <c r="Q44942" s="24"/>
      <c r="R44942"/>
      <c r="S44942"/>
      <c r="T44942"/>
      <c r="U44942"/>
      <c r="X44942" s="60"/>
    </row>
    <row r="44943" spans="7:24" ht="15" customHeight="1">
      <c r="G44943"/>
      <c r="I44943"/>
      <c r="N44943"/>
      <c r="O44943" s="24"/>
      <c r="P44943"/>
      <c r="Q44943" s="24"/>
      <c r="R44943"/>
      <c r="S44943"/>
      <c r="T44943"/>
      <c r="U44943"/>
      <c r="X44943" s="60"/>
    </row>
    <row r="44944" spans="7:24" ht="15" customHeight="1">
      <c r="G44944"/>
      <c r="I44944"/>
      <c r="N44944"/>
      <c r="O44944" s="24"/>
      <c r="P44944"/>
      <c r="Q44944" s="24"/>
      <c r="R44944"/>
      <c r="S44944"/>
      <c r="T44944"/>
      <c r="U44944"/>
      <c r="X44944" s="60"/>
    </row>
    <row r="44945" spans="7:24" ht="15" customHeight="1">
      <c r="G44945"/>
      <c r="I44945"/>
      <c r="N44945"/>
      <c r="O44945" s="24"/>
      <c r="P44945"/>
      <c r="Q44945" s="24"/>
      <c r="R44945"/>
      <c r="S44945"/>
      <c r="T44945"/>
      <c r="U44945"/>
      <c r="X44945" s="60"/>
    </row>
    <row r="44946" spans="7:24" ht="15" customHeight="1">
      <c r="G44946"/>
      <c r="I44946"/>
      <c r="N44946"/>
      <c r="O44946" s="24"/>
      <c r="P44946"/>
      <c r="Q44946" s="24"/>
      <c r="R44946"/>
      <c r="S44946"/>
      <c r="T44946"/>
      <c r="U44946"/>
      <c r="X44946" s="60"/>
    </row>
    <row r="44947" spans="7:24" ht="15" customHeight="1">
      <c r="G44947"/>
      <c r="I44947"/>
      <c r="N44947"/>
      <c r="O44947" s="24"/>
      <c r="P44947"/>
      <c r="Q44947" s="24"/>
      <c r="R44947"/>
      <c r="S44947"/>
      <c r="T44947"/>
      <c r="U44947"/>
      <c r="X44947" s="60"/>
    </row>
    <row r="44948" spans="7:24" ht="15" customHeight="1">
      <c r="G44948"/>
      <c r="I44948"/>
      <c r="N44948"/>
      <c r="O44948" s="24"/>
      <c r="P44948"/>
      <c r="Q44948" s="24"/>
      <c r="R44948"/>
      <c r="S44948"/>
      <c r="T44948"/>
      <c r="U44948"/>
      <c r="X44948" s="60"/>
    </row>
    <row r="44949" spans="7:24" ht="15" customHeight="1">
      <c r="G44949"/>
      <c r="I44949"/>
      <c r="N44949"/>
      <c r="O44949" s="24"/>
      <c r="P44949"/>
      <c r="Q44949" s="24"/>
      <c r="R44949"/>
      <c r="S44949"/>
      <c r="T44949"/>
      <c r="U44949"/>
      <c r="X44949" s="60"/>
    </row>
    <row r="44950" spans="7:24" ht="15" customHeight="1">
      <c r="G44950"/>
      <c r="I44950"/>
      <c r="N44950"/>
      <c r="O44950" s="24"/>
      <c r="P44950"/>
      <c r="Q44950" s="24"/>
      <c r="R44950"/>
      <c r="S44950"/>
      <c r="T44950"/>
      <c r="U44950"/>
      <c r="X44950" s="60"/>
    </row>
    <row r="44951" spans="7:24" ht="15" customHeight="1">
      <c r="G44951"/>
      <c r="I44951"/>
      <c r="N44951"/>
      <c r="O44951" s="24"/>
      <c r="P44951"/>
      <c r="Q44951" s="24"/>
      <c r="R44951"/>
      <c r="S44951"/>
      <c r="T44951"/>
      <c r="U44951"/>
      <c r="X44951" s="60"/>
    </row>
    <row r="44952" spans="7:24" ht="15" customHeight="1">
      <c r="G44952"/>
      <c r="I44952"/>
      <c r="N44952"/>
      <c r="O44952" s="24"/>
      <c r="P44952"/>
      <c r="Q44952" s="24"/>
      <c r="R44952"/>
      <c r="S44952"/>
      <c r="T44952"/>
      <c r="U44952"/>
      <c r="X44952" s="60"/>
    </row>
    <row r="44953" spans="7:24" ht="15" customHeight="1">
      <c r="G44953"/>
      <c r="I44953"/>
      <c r="N44953"/>
      <c r="O44953" s="24"/>
      <c r="P44953"/>
      <c r="Q44953" s="24"/>
      <c r="R44953"/>
      <c r="S44953"/>
      <c r="T44953"/>
      <c r="U44953"/>
      <c r="X44953" s="60"/>
    </row>
    <row r="44954" spans="7:24" ht="15" customHeight="1">
      <c r="G44954"/>
      <c r="I44954"/>
      <c r="N44954"/>
      <c r="O44954" s="24"/>
      <c r="P44954"/>
      <c r="Q44954" s="24"/>
      <c r="R44954"/>
      <c r="S44954"/>
      <c r="T44954"/>
      <c r="U44954"/>
      <c r="X44954" s="60"/>
    </row>
    <row r="44955" spans="7:24" ht="15" customHeight="1">
      <c r="G44955"/>
      <c r="I44955"/>
      <c r="N44955"/>
      <c r="O44955" s="24"/>
      <c r="P44955"/>
      <c r="Q44955" s="24"/>
      <c r="R44955"/>
      <c r="S44955"/>
      <c r="T44955"/>
      <c r="U44955"/>
      <c r="X44955" s="60"/>
    </row>
    <row r="44956" spans="7:24" ht="15" customHeight="1">
      <c r="G44956"/>
      <c r="I44956"/>
      <c r="N44956"/>
      <c r="O44956" s="24"/>
      <c r="P44956"/>
      <c r="Q44956" s="24"/>
      <c r="R44956"/>
      <c r="S44956"/>
      <c r="T44956"/>
      <c r="U44956"/>
      <c r="X44956" s="60"/>
    </row>
    <row r="44957" spans="7:24" ht="15" customHeight="1">
      <c r="G44957"/>
      <c r="I44957"/>
      <c r="N44957"/>
      <c r="O44957" s="24"/>
      <c r="P44957"/>
      <c r="Q44957" s="24"/>
      <c r="R44957"/>
      <c r="S44957"/>
      <c r="T44957"/>
      <c r="U44957"/>
      <c r="X44957" s="60"/>
    </row>
    <row r="44958" spans="7:24" ht="15" customHeight="1">
      <c r="G44958"/>
      <c r="I44958"/>
      <c r="N44958"/>
      <c r="O44958" s="24"/>
      <c r="P44958"/>
      <c r="Q44958" s="24"/>
      <c r="R44958"/>
      <c r="S44958"/>
      <c r="T44958"/>
      <c r="U44958"/>
      <c r="X44958" s="60"/>
    </row>
    <row r="44959" spans="7:24" ht="15" customHeight="1">
      <c r="G44959"/>
      <c r="I44959"/>
      <c r="N44959"/>
      <c r="O44959" s="24"/>
      <c r="P44959"/>
      <c r="Q44959" s="24"/>
      <c r="R44959"/>
      <c r="S44959"/>
      <c r="T44959"/>
      <c r="U44959"/>
      <c r="X44959" s="60"/>
    </row>
    <row r="44960" spans="7:24" ht="15" customHeight="1">
      <c r="G44960"/>
      <c r="I44960"/>
      <c r="N44960"/>
      <c r="O44960" s="24"/>
      <c r="P44960"/>
      <c r="Q44960" s="24"/>
      <c r="R44960"/>
      <c r="S44960"/>
      <c r="T44960"/>
      <c r="U44960"/>
      <c r="X44960" s="60"/>
    </row>
    <row r="44961" spans="7:24" ht="15" customHeight="1">
      <c r="G44961"/>
      <c r="I44961"/>
      <c r="N44961"/>
      <c r="O44961" s="24"/>
      <c r="P44961"/>
      <c r="Q44961" s="24"/>
      <c r="R44961"/>
      <c r="S44961"/>
      <c r="T44961"/>
      <c r="U44961"/>
      <c r="X44961" s="60"/>
    </row>
    <row r="44962" spans="7:24" ht="15" customHeight="1">
      <c r="G44962"/>
      <c r="I44962"/>
      <c r="N44962"/>
      <c r="O44962" s="24"/>
      <c r="P44962"/>
      <c r="Q44962" s="24"/>
      <c r="R44962"/>
      <c r="S44962"/>
      <c r="T44962"/>
      <c r="U44962"/>
      <c r="X44962" s="60"/>
    </row>
    <row r="44963" spans="7:24" ht="15" customHeight="1">
      <c r="G44963"/>
      <c r="I44963"/>
      <c r="N44963"/>
      <c r="O44963" s="24"/>
      <c r="P44963"/>
      <c r="Q44963" s="24"/>
      <c r="R44963"/>
      <c r="S44963"/>
      <c r="T44963"/>
      <c r="U44963"/>
      <c r="X44963" s="60"/>
    </row>
    <row r="44964" spans="7:24" ht="15" customHeight="1">
      <c r="G44964"/>
      <c r="I44964"/>
      <c r="N44964"/>
      <c r="O44964" s="24"/>
      <c r="P44964"/>
      <c r="Q44964" s="24"/>
      <c r="R44964"/>
      <c r="S44964"/>
      <c r="T44964"/>
      <c r="U44964"/>
      <c r="X44964" s="60"/>
    </row>
    <row r="44965" spans="7:24" ht="15" customHeight="1">
      <c r="G44965"/>
      <c r="I44965"/>
      <c r="N44965"/>
      <c r="O44965" s="24"/>
      <c r="P44965"/>
      <c r="Q44965" s="24"/>
      <c r="R44965"/>
      <c r="S44965"/>
      <c r="T44965"/>
      <c r="U44965"/>
      <c r="X44965" s="60"/>
    </row>
    <row r="44966" spans="7:24" ht="15" customHeight="1">
      <c r="G44966"/>
      <c r="I44966"/>
      <c r="N44966"/>
      <c r="O44966" s="24"/>
      <c r="P44966"/>
      <c r="Q44966" s="24"/>
      <c r="R44966"/>
      <c r="S44966"/>
      <c r="T44966"/>
      <c r="U44966"/>
      <c r="X44966" s="60"/>
    </row>
    <row r="44967" spans="7:24" ht="15" customHeight="1">
      <c r="G44967"/>
      <c r="I44967"/>
      <c r="N44967"/>
      <c r="O44967" s="24"/>
      <c r="P44967"/>
      <c r="Q44967" s="24"/>
      <c r="R44967"/>
      <c r="S44967"/>
      <c r="T44967"/>
      <c r="U44967"/>
      <c r="X44967" s="60"/>
    </row>
    <row r="44968" spans="7:24" ht="15" customHeight="1">
      <c r="G44968"/>
      <c r="I44968"/>
      <c r="N44968"/>
      <c r="O44968" s="24"/>
      <c r="P44968"/>
      <c r="Q44968" s="24"/>
      <c r="R44968"/>
      <c r="S44968"/>
      <c r="T44968"/>
      <c r="U44968"/>
      <c r="X44968" s="60"/>
    </row>
    <row r="44969" spans="7:24" ht="15" customHeight="1">
      <c r="G44969"/>
      <c r="I44969"/>
      <c r="N44969"/>
      <c r="O44969" s="24"/>
      <c r="P44969"/>
      <c r="Q44969" s="24"/>
      <c r="R44969"/>
      <c r="S44969"/>
      <c r="T44969"/>
      <c r="U44969"/>
      <c r="X44969" s="60"/>
    </row>
    <row r="44970" spans="7:24" ht="15" customHeight="1">
      <c r="G44970"/>
      <c r="I44970"/>
      <c r="N44970"/>
      <c r="O44970" s="24"/>
      <c r="P44970"/>
      <c r="Q44970" s="24"/>
      <c r="R44970"/>
      <c r="S44970"/>
      <c r="T44970"/>
      <c r="U44970"/>
      <c r="X44970" s="60"/>
    </row>
    <row r="44971" spans="7:24" ht="15" customHeight="1">
      <c r="G44971"/>
      <c r="I44971"/>
      <c r="N44971"/>
      <c r="O44971" s="24"/>
      <c r="P44971"/>
      <c r="Q44971" s="24"/>
      <c r="R44971"/>
      <c r="S44971"/>
      <c r="T44971"/>
      <c r="U44971"/>
      <c r="X44971" s="60"/>
    </row>
    <row r="44972" spans="7:24" ht="15" customHeight="1">
      <c r="G44972"/>
      <c r="I44972"/>
      <c r="N44972"/>
      <c r="O44972" s="24"/>
      <c r="P44972"/>
      <c r="Q44972" s="24"/>
      <c r="R44972"/>
      <c r="S44972"/>
      <c r="T44972"/>
      <c r="U44972"/>
      <c r="X44972" s="60"/>
    </row>
    <row r="44973" spans="7:24" ht="15" customHeight="1">
      <c r="G44973"/>
      <c r="I44973"/>
      <c r="N44973"/>
      <c r="O44973" s="24"/>
      <c r="P44973"/>
      <c r="Q44973" s="24"/>
      <c r="R44973"/>
      <c r="S44973"/>
      <c r="T44973"/>
      <c r="U44973"/>
      <c r="X44973" s="60"/>
    </row>
    <row r="44974" spans="7:24" ht="15" customHeight="1">
      <c r="G44974"/>
      <c r="I44974"/>
      <c r="N44974"/>
      <c r="O44974" s="24"/>
      <c r="P44974"/>
      <c r="Q44974" s="24"/>
      <c r="R44974"/>
      <c r="S44974"/>
      <c r="T44974"/>
      <c r="U44974"/>
      <c r="X44974" s="60"/>
    </row>
    <row r="44975" spans="7:24" ht="15" customHeight="1">
      <c r="G44975"/>
      <c r="I44975"/>
      <c r="N44975"/>
      <c r="O44975" s="24"/>
      <c r="P44975"/>
      <c r="Q44975" s="24"/>
      <c r="R44975"/>
      <c r="S44975"/>
      <c r="T44975"/>
      <c r="U44975"/>
      <c r="X44975" s="60"/>
    </row>
    <row r="44976" spans="7:24" ht="15" customHeight="1">
      <c r="G44976"/>
      <c r="I44976"/>
      <c r="N44976"/>
      <c r="O44976" s="24"/>
      <c r="P44976"/>
      <c r="Q44976" s="24"/>
      <c r="R44976"/>
      <c r="S44976"/>
      <c r="T44976"/>
      <c r="U44976"/>
      <c r="X44976" s="60"/>
    </row>
    <row r="44977" spans="7:24" ht="15" customHeight="1">
      <c r="G44977"/>
      <c r="I44977"/>
      <c r="N44977"/>
      <c r="O44977" s="24"/>
      <c r="P44977"/>
      <c r="Q44977" s="24"/>
      <c r="R44977"/>
      <c r="S44977"/>
      <c r="T44977"/>
      <c r="U44977"/>
      <c r="X44977" s="60"/>
    </row>
    <row r="44978" spans="7:24" ht="15" customHeight="1">
      <c r="G44978"/>
      <c r="I44978"/>
      <c r="N44978"/>
      <c r="O44978" s="24"/>
      <c r="P44978"/>
      <c r="Q44978" s="24"/>
      <c r="R44978"/>
      <c r="S44978"/>
      <c r="T44978"/>
      <c r="U44978"/>
      <c r="X44978" s="60"/>
    </row>
    <row r="44979" spans="7:24" ht="15" customHeight="1">
      <c r="G44979"/>
      <c r="I44979"/>
      <c r="N44979"/>
      <c r="O44979" s="24"/>
      <c r="P44979"/>
      <c r="Q44979" s="24"/>
      <c r="R44979"/>
      <c r="S44979"/>
      <c r="T44979"/>
      <c r="U44979"/>
      <c r="X44979" s="60"/>
    </row>
    <row r="44980" spans="7:24" ht="15" customHeight="1">
      <c r="G44980"/>
      <c r="I44980"/>
      <c r="N44980"/>
      <c r="O44980" s="24"/>
      <c r="P44980"/>
      <c r="Q44980" s="24"/>
      <c r="R44980"/>
      <c r="S44980"/>
      <c r="T44980"/>
      <c r="U44980"/>
      <c r="X44980" s="60"/>
    </row>
    <row r="44981" spans="7:24" ht="15" customHeight="1">
      <c r="G44981"/>
      <c r="I44981"/>
      <c r="N44981"/>
      <c r="O44981" s="24"/>
      <c r="P44981"/>
      <c r="Q44981" s="24"/>
      <c r="R44981"/>
      <c r="S44981"/>
      <c r="T44981"/>
      <c r="U44981"/>
      <c r="X44981" s="60"/>
    </row>
    <row r="44982" spans="7:24" ht="15" customHeight="1">
      <c r="G44982"/>
      <c r="I44982"/>
      <c r="N44982"/>
      <c r="O44982" s="24"/>
      <c r="P44982"/>
      <c r="Q44982" s="24"/>
      <c r="R44982"/>
      <c r="S44982"/>
      <c r="T44982"/>
      <c r="U44982"/>
      <c r="X44982" s="60"/>
    </row>
    <row r="44983" spans="7:24" ht="15" customHeight="1">
      <c r="G44983"/>
      <c r="I44983"/>
      <c r="N44983"/>
      <c r="O44983" s="24"/>
      <c r="P44983"/>
      <c r="Q44983" s="24"/>
      <c r="R44983"/>
      <c r="S44983"/>
      <c r="T44983"/>
      <c r="U44983"/>
      <c r="X44983" s="60"/>
    </row>
    <row r="44984" spans="7:24" ht="15" customHeight="1">
      <c r="G44984"/>
      <c r="I44984"/>
      <c r="N44984"/>
      <c r="O44984" s="24"/>
      <c r="P44984"/>
      <c r="Q44984" s="24"/>
      <c r="R44984"/>
      <c r="S44984"/>
      <c r="T44984"/>
      <c r="U44984"/>
      <c r="X44984" s="60"/>
    </row>
    <row r="44985" spans="7:24" ht="15" customHeight="1">
      <c r="G44985"/>
      <c r="I44985"/>
      <c r="N44985"/>
      <c r="O44985" s="24"/>
      <c r="P44985"/>
      <c r="Q44985" s="24"/>
      <c r="R44985"/>
      <c r="S44985"/>
      <c r="T44985"/>
      <c r="U44985"/>
      <c r="X44985" s="60"/>
    </row>
    <row r="44986" spans="7:24" ht="15" customHeight="1">
      <c r="G44986"/>
      <c r="I44986"/>
      <c r="N44986"/>
      <c r="O44986" s="24"/>
      <c r="P44986"/>
      <c r="Q44986" s="24"/>
      <c r="R44986"/>
      <c r="S44986"/>
      <c r="T44986"/>
      <c r="U44986"/>
      <c r="X44986" s="60"/>
    </row>
    <row r="44987" spans="7:24" ht="15" customHeight="1">
      <c r="G44987"/>
      <c r="I44987"/>
      <c r="N44987"/>
      <c r="O44987" s="24"/>
      <c r="P44987"/>
      <c r="Q44987" s="24"/>
      <c r="R44987"/>
      <c r="S44987"/>
      <c r="T44987"/>
      <c r="U44987"/>
      <c r="X44987" s="60"/>
    </row>
    <row r="44988" spans="7:24" ht="15" customHeight="1">
      <c r="G44988"/>
      <c r="I44988"/>
      <c r="N44988"/>
      <c r="O44988" s="24"/>
      <c r="P44988"/>
      <c r="Q44988" s="24"/>
      <c r="R44988"/>
      <c r="S44988"/>
      <c r="T44988"/>
      <c r="U44988"/>
      <c r="X44988" s="60"/>
    </row>
    <row r="44989" spans="7:24" ht="15" customHeight="1">
      <c r="G44989"/>
      <c r="I44989"/>
      <c r="N44989"/>
      <c r="O44989" s="24"/>
      <c r="P44989"/>
      <c r="Q44989" s="24"/>
      <c r="R44989"/>
      <c r="S44989"/>
      <c r="T44989"/>
      <c r="U44989"/>
      <c r="X44989" s="60"/>
    </row>
    <row r="44990" spans="7:24" ht="15" customHeight="1">
      <c r="G44990"/>
      <c r="I44990"/>
      <c r="N44990"/>
      <c r="O44990" s="24"/>
      <c r="P44990"/>
      <c r="Q44990" s="24"/>
      <c r="R44990"/>
      <c r="S44990"/>
      <c r="T44990"/>
      <c r="U44990"/>
      <c r="X44990" s="60"/>
    </row>
    <row r="44991" spans="7:24" ht="15" customHeight="1">
      <c r="G44991"/>
      <c r="I44991"/>
      <c r="N44991"/>
      <c r="O44991" s="24"/>
      <c r="P44991"/>
      <c r="Q44991" s="24"/>
      <c r="R44991"/>
      <c r="S44991"/>
      <c r="T44991"/>
      <c r="U44991"/>
      <c r="X44991" s="60"/>
    </row>
    <row r="44992" spans="7:24" ht="15" customHeight="1">
      <c r="G44992"/>
      <c r="I44992"/>
      <c r="N44992"/>
      <c r="O44992" s="24"/>
      <c r="P44992"/>
      <c r="Q44992" s="24"/>
      <c r="R44992"/>
      <c r="S44992"/>
      <c r="T44992"/>
      <c r="U44992"/>
      <c r="X44992" s="60"/>
    </row>
    <row r="44993" spans="7:24" ht="15" customHeight="1">
      <c r="G44993"/>
      <c r="I44993"/>
      <c r="N44993"/>
      <c r="O44993" s="24"/>
      <c r="P44993"/>
      <c r="Q44993" s="24"/>
      <c r="R44993"/>
      <c r="S44993"/>
      <c r="T44993"/>
      <c r="U44993"/>
      <c r="X44993" s="60"/>
    </row>
    <row r="44994" spans="7:24" ht="15" customHeight="1">
      <c r="G44994"/>
      <c r="I44994"/>
      <c r="N44994"/>
      <c r="O44994" s="24"/>
      <c r="P44994"/>
      <c r="Q44994" s="24"/>
      <c r="R44994"/>
      <c r="S44994"/>
      <c r="T44994"/>
      <c r="U44994"/>
      <c r="X44994" s="60"/>
    </row>
    <row r="44995" spans="7:24" ht="15" customHeight="1">
      <c r="G44995"/>
      <c r="I44995"/>
      <c r="N44995"/>
      <c r="O44995" s="24"/>
      <c r="P44995"/>
      <c r="Q44995" s="24"/>
      <c r="R44995"/>
      <c r="S44995"/>
      <c r="T44995"/>
      <c r="U44995"/>
      <c r="X44995" s="60"/>
    </row>
    <row r="44996" spans="7:24" ht="15" customHeight="1">
      <c r="G44996"/>
      <c r="I44996"/>
      <c r="N44996"/>
      <c r="O44996" s="24"/>
      <c r="P44996"/>
      <c r="Q44996" s="24"/>
      <c r="R44996"/>
      <c r="S44996"/>
      <c r="T44996"/>
      <c r="U44996"/>
      <c r="X44996" s="60"/>
    </row>
    <row r="44997" spans="7:24" ht="15" customHeight="1">
      <c r="G44997"/>
      <c r="I44997"/>
      <c r="N44997"/>
      <c r="O44997" s="24"/>
      <c r="P44997"/>
      <c r="Q44997" s="24"/>
      <c r="R44997"/>
      <c r="S44997"/>
      <c r="T44997"/>
      <c r="U44997"/>
      <c r="X44997" s="60"/>
    </row>
    <row r="44998" spans="7:24" ht="15" customHeight="1">
      <c r="G44998"/>
      <c r="I44998"/>
      <c r="N44998"/>
      <c r="O44998" s="24"/>
      <c r="P44998"/>
      <c r="Q44998" s="24"/>
      <c r="R44998"/>
      <c r="S44998"/>
      <c r="T44998"/>
      <c r="U44998"/>
      <c r="X44998" s="60"/>
    </row>
    <row r="44999" spans="7:24" ht="15" customHeight="1">
      <c r="G44999"/>
      <c r="I44999"/>
      <c r="N44999"/>
      <c r="O44999" s="24"/>
      <c r="P44999"/>
      <c r="Q44999" s="24"/>
      <c r="R44999"/>
      <c r="S44999"/>
      <c r="T44999"/>
      <c r="U44999"/>
      <c r="X44999" s="60"/>
    </row>
    <row r="45000" spans="7:24" ht="15" customHeight="1">
      <c r="G45000"/>
      <c r="I45000"/>
      <c r="N45000"/>
      <c r="O45000" s="24"/>
      <c r="P45000"/>
      <c r="Q45000" s="24"/>
      <c r="R45000"/>
      <c r="S45000"/>
      <c r="T45000"/>
      <c r="U45000"/>
      <c r="X45000" s="60"/>
    </row>
    <row r="45001" spans="7:24" ht="15" customHeight="1">
      <c r="G45001"/>
      <c r="I45001"/>
      <c r="N45001"/>
      <c r="O45001" s="24"/>
      <c r="P45001"/>
      <c r="Q45001" s="24"/>
      <c r="R45001"/>
      <c r="S45001"/>
      <c r="T45001"/>
      <c r="U45001"/>
      <c r="X45001" s="60"/>
    </row>
    <row r="45002" spans="7:24" ht="15" customHeight="1">
      <c r="G45002"/>
      <c r="I45002"/>
      <c r="N45002"/>
      <c r="O45002" s="24"/>
      <c r="P45002"/>
      <c r="Q45002" s="24"/>
      <c r="R45002"/>
      <c r="S45002"/>
      <c r="T45002"/>
      <c r="U45002"/>
      <c r="X45002" s="60"/>
    </row>
    <row r="45003" spans="7:24" ht="15" customHeight="1">
      <c r="G45003"/>
      <c r="I45003"/>
      <c r="N45003"/>
      <c r="O45003" s="24"/>
      <c r="P45003"/>
      <c r="Q45003" s="24"/>
      <c r="R45003"/>
      <c r="S45003"/>
      <c r="T45003"/>
      <c r="U45003"/>
      <c r="X45003" s="60"/>
    </row>
    <row r="45004" spans="7:24" ht="15" customHeight="1">
      <c r="G45004"/>
      <c r="I45004"/>
      <c r="N45004"/>
      <c r="O45004" s="24"/>
      <c r="P45004"/>
      <c r="Q45004" s="24"/>
      <c r="R45004"/>
      <c r="S45004"/>
      <c r="T45004"/>
      <c r="U45004"/>
      <c r="X45004" s="60"/>
    </row>
    <row r="45005" spans="7:24" ht="15" customHeight="1">
      <c r="G45005"/>
      <c r="I45005"/>
      <c r="N45005"/>
      <c r="O45005" s="24"/>
      <c r="P45005"/>
      <c r="Q45005" s="24"/>
      <c r="R45005"/>
      <c r="S45005"/>
      <c r="T45005"/>
      <c r="U45005"/>
      <c r="X45005" s="60"/>
    </row>
    <row r="45006" spans="7:24" ht="15" customHeight="1">
      <c r="G45006"/>
      <c r="I45006"/>
      <c r="N45006"/>
      <c r="O45006" s="24"/>
      <c r="P45006"/>
      <c r="Q45006" s="24"/>
      <c r="R45006"/>
      <c r="S45006"/>
      <c r="T45006"/>
      <c r="U45006"/>
      <c r="X45006" s="60"/>
    </row>
    <row r="45007" spans="7:24" ht="15" customHeight="1">
      <c r="G45007"/>
      <c r="I45007"/>
      <c r="N45007"/>
      <c r="O45007" s="24"/>
      <c r="P45007"/>
      <c r="Q45007" s="24"/>
      <c r="R45007"/>
      <c r="S45007"/>
      <c r="T45007"/>
      <c r="U45007"/>
      <c r="X45007" s="60"/>
    </row>
    <row r="45008" spans="7:24" ht="15" customHeight="1">
      <c r="G45008"/>
      <c r="I45008"/>
      <c r="N45008"/>
      <c r="O45008" s="24"/>
      <c r="P45008"/>
      <c r="Q45008" s="24"/>
      <c r="R45008"/>
      <c r="S45008"/>
      <c r="T45008"/>
      <c r="U45008"/>
      <c r="X45008" s="60"/>
    </row>
    <row r="45009" spans="7:24" ht="15" customHeight="1">
      <c r="G45009"/>
      <c r="I45009"/>
      <c r="N45009"/>
      <c r="O45009" s="24"/>
      <c r="P45009"/>
      <c r="Q45009" s="24"/>
      <c r="R45009"/>
      <c r="S45009"/>
      <c r="T45009"/>
      <c r="U45009"/>
      <c r="X45009" s="60"/>
    </row>
    <row r="45010" spans="7:24" ht="15" customHeight="1">
      <c r="G45010"/>
      <c r="I45010"/>
      <c r="N45010"/>
      <c r="O45010" s="24"/>
      <c r="P45010"/>
      <c r="Q45010" s="24"/>
      <c r="R45010"/>
      <c r="S45010"/>
      <c r="T45010"/>
      <c r="U45010"/>
      <c r="X45010" s="60"/>
    </row>
    <row r="45011" spans="7:24" ht="15" customHeight="1">
      <c r="G45011"/>
      <c r="I45011"/>
      <c r="N45011"/>
      <c r="O45011" s="24"/>
      <c r="P45011"/>
      <c r="Q45011" s="24"/>
      <c r="R45011"/>
      <c r="S45011"/>
      <c r="T45011"/>
      <c r="U45011"/>
      <c r="X45011" s="60"/>
    </row>
    <row r="45012" spans="7:24" ht="15" customHeight="1">
      <c r="G45012"/>
      <c r="I45012"/>
      <c r="N45012"/>
      <c r="O45012" s="24"/>
      <c r="P45012"/>
      <c r="Q45012" s="24"/>
      <c r="R45012"/>
      <c r="S45012"/>
      <c r="T45012"/>
      <c r="U45012"/>
      <c r="X45012" s="60"/>
    </row>
    <row r="45013" spans="7:24" ht="15" customHeight="1">
      <c r="G45013"/>
      <c r="I45013"/>
      <c r="N45013"/>
      <c r="O45013" s="24"/>
      <c r="P45013"/>
      <c r="Q45013" s="24"/>
      <c r="R45013"/>
      <c r="S45013"/>
      <c r="T45013"/>
      <c r="U45013"/>
      <c r="X45013" s="60"/>
    </row>
    <row r="45014" spans="7:24" ht="15" customHeight="1">
      <c r="G45014"/>
      <c r="I45014"/>
      <c r="N45014"/>
      <c r="O45014" s="24"/>
      <c r="P45014"/>
      <c r="Q45014" s="24"/>
      <c r="R45014"/>
      <c r="S45014"/>
      <c r="T45014"/>
      <c r="U45014"/>
      <c r="X45014" s="60"/>
    </row>
    <row r="45015" spans="7:24" ht="15" customHeight="1">
      <c r="G45015"/>
      <c r="I45015"/>
      <c r="N45015"/>
      <c r="O45015" s="24"/>
      <c r="P45015"/>
      <c r="Q45015" s="24"/>
      <c r="R45015"/>
      <c r="S45015"/>
      <c r="T45015"/>
      <c r="U45015"/>
      <c r="X45015" s="60"/>
    </row>
    <row r="45016" spans="7:24" ht="15" customHeight="1">
      <c r="G45016"/>
      <c r="I45016"/>
      <c r="N45016"/>
      <c r="O45016" s="24"/>
      <c r="P45016"/>
      <c r="Q45016" s="24"/>
      <c r="R45016"/>
      <c r="S45016"/>
      <c r="T45016"/>
      <c r="U45016"/>
      <c r="X45016" s="60"/>
    </row>
    <row r="45017" spans="7:24" ht="15" customHeight="1">
      <c r="G45017"/>
      <c r="I45017"/>
      <c r="N45017"/>
      <c r="O45017" s="24"/>
      <c r="P45017"/>
      <c r="Q45017" s="24"/>
      <c r="R45017"/>
      <c r="S45017"/>
      <c r="T45017"/>
      <c r="U45017"/>
      <c r="X45017" s="60"/>
    </row>
    <row r="45018" spans="7:24" ht="15" customHeight="1">
      <c r="G45018"/>
      <c r="I45018"/>
      <c r="N45018"/>
      <c r="O45018" s="24"/>
      <c r="P45018"/>
      <c r="Q45018" s="24"/>
      <c r="R45018"/>
      <c r="S45018"/>
      <c r="T45018"/>
      <c r="U45018"/>
      <c r="X45018" s="60"/>
    </row>
    <row r="45019" spans="7:24" ht="15" customHeight="1">
      <c r="G45019"/>
      <c r="I45019"/>
      <c r="N45019"/>
      <c r="O45019" s="24"/>
      <c r="P45019"/>
      <c r="Q45019" s="24"/>
      <c r="R45019"/>
      <c r="S45019"/>
      <c r="T45019"/>
      <c r="U45019"/>
      <c r="X45019" s="60"/>
    </row>
    <row r="45020" spans="7:24" ht="15" customHeight="1">
      <c r="G45020"/>
      <c r="I45020"/>
      <c r="N45020"/>
      <c r="O45020" s="24"/>
      <c r="P45020"/>
      <c r="Q45020" s="24"/>
      <c r="R45020"/>
      <c r="S45020"/>
      <c r="T45020"/>
      <c r="U45020"/>
      <c r="X45020" s="60"/>
    </row>
    <row r="45021" spans="7:24" ht="15" customHeight="1">
      <c r="G45021"/>
      <c r="I45021"/>
      <c r="N45021"/>
      <c r="O45021" s="24"/>
      <c r="P45021"/>
      <c r="Q45021" s="24"/>
      <c r="R45021"/>
      <c r="S45021"/>
      <c r="T45021"/>
      <c r="U45021"/>
      <c r="X45021" s="60"/>
    </row>
    <row r="45022" spans="7:24" ht="15" customHeight="1">
      <c r="G45022"/>
      <c r="I45022"/>
      <c r="N45022"/>
      <c r="O45022" s="24"/>
      <c r="P45022"/>
      <c r="Q45022" s="24"/>
      <c r="R45022"/>
      <c r="S45022"/>
      <c r="T45022"/>
      <c r="U45022"/>
      <c r="X45022" s="60"/>
    </row>
    <row r="45023" spans="7:24" ht="15" customHeight="1">
      <c r="G45023"/>
      <c r="I45023"/>
      <c r="N45023"/>
      <c r="O45023" s="24"/>
      <c r="P45023"/>
      <c r="Q45023" s="24"/>
      <c r="R45023"/>
      <c r="S45023"/>
      <c r="T45023"/>
      <c r="U45023"/>
      <c r="X45023" s="60"/>
    </row>
    <row r="45024" spans="7:24" ht="15" customHeight="1">
      <c r="G45024"/>
      <c r="I45024"/>
      <c r="N45024"/>
      <c r="O45024" s="24"/>
      <c r="P45024"/>
      <c r="Q45024" s="24"/>
      <c r="R45024"/>
      <c r="S45024"/>
      <c r="T45024"/>
      <c r="U45024"/>
      <c r="X45024" s="60"/>
    </row>
    <row r="45025" spans="7:24" ht="15" customHeight="1">
      <c r="G45025"/>
      <c r="I45025"/>
      <c r="N45025"/>
      <c r="O45025" s="24"/>
      <c r="P45025"/>
      <c r="Q45025" s="24"/>
      <c r="R45025"/>
      <c r="S45025"/>
      <c r="T45025"/>
      <c r="U45025"/>
      <c r="X45025" s="60"/>
    </row>
    <row r="45026" spans="7:24" ht="15" customHeight="1">
      <c r="G45026"/>
      <c r="I45026"/>
      <c r="N45026"/>
      <c r="O45026" s="24"/>
      <c r="P45026"/>
      <c r="Q45026" s="24"/>
      <c r="R45026"/>
      <c r="S45026"/>
      <c r="T45026"/>
      <c r="U45026"/>
      <c r="X45026" s="60"/>
    </row>
    <row r="45027" spans="7:24" ht="15" customHeight="1">
      <c r="G45027"/>
      <c r="I45027"/>
      <c r="N45027"/>
      <c r="O45027" s="24"/>
      <c r="P45027"/>
      <c r="Q45027" s="24"/>
      <c r="R45027"/>
      <c r="S45027"/>
      <c r="T45027"/>
      <c r="U45027"/>
      <c r="X45027" s="60"/>
    </row>
    <row r="45028" spans="7:24" ht="15" customHeight="1">
      <c r="G45028"/>
      <c r="I45028"/>
      <c r="N45028"/>
      <c r="O45028" s="24"/>
      <c r="P45028"/>
      <c r="Q45028" s="24"/>
      <c r="R45028"/>
      <c r="S45028"/>
      <c r="T45028"/>
      <c r="U45028"/>
      <c r="X45028" s="60"/>
    </row>
    <row r="45029" spans="7:24" ht="15" customHeight="1">
      <c r="G45029"/>
      <c r="I45029"/>
      <c r="N45029"/>
      <c r="O45029" s="24"/>
      <c r="P45029"/>
      <c r="Q45029" s="24"/>
      <c r="R45029"/>
      <c r="S45029"/>
      <c r="T45029"/>
      <c r="U45029"/>
      <c r="X45029" s="60"/>
    </row>
    <row r="45030" spans="7:24" ht="15" customHeight="1">
      <c r="G45030"/>
      <c r="I45030"/>
      <c r="N45030"/>
      <c r="O45030" s="24"/>
      <c r="P45030"/>
      <c r="Q45030" s="24"/>
      <c r="R45030"/>
      <c r="S45030"/>
      <c r="T45030"/>
      <c r="U45030"/>
      <c r="X45030" s="60"/>
    </row>
    <row r="45031" spans="7:24" ht="15" customHeight="1">
      <c r="G45031"/>
      <c r="I45031"/>
      <c r="N45031"/>
      <c r="O45031" s="24"/>
      <c r="P45031"/>
      <c r="Q45031" s="24"/>
      <c r="R45031"/>
      <c r="S45031"/>
      <c r="T45031"/>
      <c r="U45031"/>
      <c r="X45031" s="60"/>
    </row>
    <row r="45032" spans="7:24" ht="15" customHeight="1">
      <c r="G45032"/>
      <c r="I45032"/>
      <c r="N45032"/>
      <c r="O45032" s="24"/>
      <c r="P45032"/>
      <c r="Q45032" s="24"/>
      <c r="R45032"/>
      <c r="S45032"/>
      <c r="T45032"/>
      <c r="U45032"/>
      <c r="X45032" s="60"/>
    </row>
    <row r="45033" spans="7:24" ht="15" customHeight="1">
      <c r="G45033"/>
      <c r="I45033"/>
      <c r="N45033"/>
      <c r="O45033" s="24"/>
      <c r="P45033"/>
      <c r="Q45033" s="24"/>
      <c r="R45033"/>
      <c r="S45033"/>
      <c r="T45033"/>
      <c r="U45033"/>
      <c r="X45033" s="60"/>
    </row>
    <row r="45034" spans="7:24" ht="15" customHeight="1">
      <c r="G45034"/>
      <c r="I45034"/>
      <c r="N45034"/>
      <c r="O45034" s="24"/>
      <c r="P45034"/>
      <c r="Q45034" s="24"/>
      <c r="R45034"/>
      <c r="S45034"/>
      <c r="T45034"/>
      <c r="U45034"/>
      <c r="X45034" s="60"/>
    </row>
    <row r="45035" spans="7:24" ht="15" customHeight="1">
      <c r="G45035"/>
      <c r="I45035"/>
      <c r="N45035"/>
      <c r="O45035" s="24"/>
      <c r="P45035"/>
      <c r="Q45035" s="24"/>
      <c r="R45035"/>
      <c r="S45035"/>
      <c r="T45035"/>
      <c r="U45035"/>
      <c r="X45035" s="60"/>
    </row>
    <row r="45036" spans="7:24" ht="15" customHeight="1">
      <c r="G45036"/>
      <c r="I45036"/>
      <c r="N45036"/>
      <c r="O45036" s="24"/>
      <c r="P45036"/>
      <c r="Q45036" s="24"/>
      <c r="R45036"/>
      <c r="S45036"/>
      <c r="T45036"/>
      <c r="U45036"/>
      <c r="X45036" s="60"/>
    </row>
    <row r="45037" spans="7:24" ht="15" customHeight="1">
      <c r="G45037"/>
      <c r="I45037"/>
      <c r="N45037"/>
      <c r="O45037" s="24"/>
      <c r="P45037"/>
      <c r="Q45037" s="24"/>
      <c r="R45037"/>
      <c r="S45037"/>
      <c r="T45037"/>
      <c r="U45037"/>
      <c r="X45037" s="60"/>
    </row>
    <row r="45038" spans="7:24" ht="15" customHeight="1">
      <c r="G45038"/>
      <c r="I45038"/>
      <c r="N45038"/>
      <c r="O45038" s="24"/>
      <c r="P45038"/>
      <c r="Q45038" s="24"/>
      <c r="R45038"/>
      <c r="S45038"/>
      <c r="T45038"/>
      <c r="U45038"/>
      <c r="X45038" s="60"/>
    </row>
    <row r="45039" spans="7:24" ht="15" customHeight="1">
      <c r="G45039"/>
      <c r="I45039"/>
      <c r="N45039"/>
      <c r="O45039" s="24"/>
      <c r="P45039"/>
      <c r="Q45039" s="24"/>
      <c r="R45039"/>
      <c r="S45039"/>
      <c r="T45039"/>
      <c r="U45039"/>
      <c r="X45039" s="60"/>
    </row>
    <row r="45040" spans="7:24" ht="15" customHeight="1">
      <c r="G45040"/>
      <c r="I45040"/>
      <c r="N45040"/>
      <c r="O45040" s="24"/>
      <c r="P45040"/>
      <c r="Q45040" s="24"/>
      <c r="R45040"/>
      <c r="S45040"/>
      <c r="T45040"/>
      <c r="U45040"/>
      <c r="X45040" s="60"/>
    </row>
    <row r="45041" spans="7:24" ht="15" customHeight="1">
      <c r="G45041"/>
      <c r="I45041"/>
      <c r="N45041"/>
      <c r="O45041" s="24"/>
      <c r="P45041"/>
      <c r="Q45041" s="24"/>
      <c r="R45041"/>
      <c r="S45041"/>
      <c r="T45041"/>
      <c r="U45041"/>
      <c r="X45041" s="60"/>
    </row>
    <row r="45042" spans="7:24" ht="15" customHeight="1">
      <c r="G45042"/>
      <c r="I45042"/>
      <c r="N45042"/>
      <c r="O45042" s="24"/>
      <c r="P45042"/>
      <c r="Q45042" s="24"/>
      <c r="R45042"/>
      <c r="S45042"/>
      <c r="T45042"/>
      <c r="U45042"/>
      <c r="X45042" s="60"/>
    </row>
    <row r="45043" spans="7:24" ht="15" customHeight="1">
      <c r="G45043"/>
      <c r="I45043"/>
      <c r="N45043"/>
      <c r="O45043" s="24"/>
      <c r="P45043"/>
      <c r="Q45043" s="24"/>
      <c r="R45043"/>
      <c r="S45043"/>
      <c r="T45043"/>
      <c r="U45043"/>
      <c r="X45043" s="60"/>
    </row>
    <row r="45044" spans="7:24" ht="15" customHeight="1">
      <c r="G45044"/>
      <c r="I45044"/>
      <c r="N45044"/>
      <c r="O45044" s="24"/>
      <c r="P45044"/>
      <c r="Q45044" s="24"/>
      <c r="R45044"/>
      <c r="S45044"/>
      <c r="T45044"/>
      <c r="U45044"/>
      <c r="X45044" s="60"/>
    </row>
    <row r="45045" spans="7:24" ht="15" customHeight="1">
      <c r="G45045"/>
      <c r="I45045"/>
      <c r="N45045"/>
      <c r="O45045" s="24"/>
      <c r="P45045"/>
      <c r="Q45045" s="24"/>
      <c r="R45045"/>
      <c r="S45045"/>
      <c r="T45045"/>
      <c r="U45045"/>
      <c r="X45045" s="60"/>
    </row>
    <row r="45046" spans="7:24" ht="15" customHeight="1">
      <c r="G45046"/>
      <c r="I45046"/>
      <c r="N45046"/>
      <c r="O45046" s="24"/>
      <c r="P45046"/>
      <c r="Q45046" s="24"/>
      <c r="R45046"/>
      <c r="S45046"/>
      <c r="T45046"/>
      <c r="U45046"/>
      <c r="X45046" s="60"/>
    </row>
    <row r="45047" spans="7:24" ht="15" customHeight="1">
      <c r="G45047"/>
      <c r="I45047"/>
      <c r="N45047"/>
      <c r="O45047" s="24"/>
      <c r="P45047"/>
      <c r="Q45047" s="24"/>
      <c r="R45047"/>
      <c r="S45047"/>
      <c r="T45047"/>
      <c r="U45047"/>
      <c r="X45047" s="60"/>
    </row>
    <row r="45048" spans="7:24" ht="15" customHeight="1">
      <c r="G45048"/>
      <c r="I45048"/>
      <c r="N45048"/>
      <c r="O45048" s="24"/>
      <c r="P45048"/>
      <c r="Q45048" s="24"/>
      <c r="R45048"/>
      <c r="S45048"/>
      <c r="T45048"/>
      <c r="U45048"/>
      <c r="X45048" s="60"/>
    </row>
    <row r="45049" spans="7:24" ht="15" customHeight="1">
      <c r="G45049"/>
      <c r="I45049"/>
      <c r="N45049"/>
      <c r="O45049" s="24"/>
      <c r="P45049"/>
      <c r="Q45049" s="24"/>
      <c r="R45049"/>
      <c r="S45049"/>
      <c r="T45049"/>
      <c r="U45049"/>
      <c r="X45049" s="60"/>
    </row>
    <row r="45050" spans="7:24" ht="15" customHeight="1">
      <c r="G45050"/>
      <c r="I45050"/>
      <c r="N45050"/>
      <c r="O45050" s="24"/>
      <c r="P45050"/>
      <c r="Q45050" s="24"/>
      <c r="R45050"/>
      <c r="S45050"/>
      <c r="T45050"/>
      <c r="U45050"/>
      <c r="X45050" s="60"/>
    </row>
    <row r="45051" spans="7:24" ht="15" customHeight="1">
      <c r="G45051"/>
      <c r="I45051"/>
      <c r="N45051"/>
      <c r="O45051" s="24"/>
      <c r="P45051"/>
      <c r="Q45051" s="24"/>
      <c r="R45051"/>
      <c r="S45051"/>
      <c r="T45051"/>
      <c r="U45051"/>
      <c r="X45051" s="60"/>
    </row>
    <row r="45052" spans="7:24" ht="15" customHeight="1">
      <c r="G45052"/>
      <c r="I45052"/>
      <c r="N45052"/>
      <c r="O45052" s="24"/>
      <c r="P45052"/>
      <c r="Q45052" s="24"/>
      <c r="R45052"/>
      <c r="S45052"/>
      <c r="T45052"/>
      <c r="U45052"/>
      <c r="X45052" s="60"/>
    </row>
    <row r="45053" spans="7:24" ht="15" customHeight="1">
      <c r="G45053"/>
      <c r="I45053"/>
      <c r="N45053"/>
      <c r="O45053" s="24"/>
      <c r="P45053"/>
      <c r="Q45053" s="24"/>
      <c r="R45053"/>
      <c r="S45053"/>
      <c r="T45053"/>
      <c r="U45053"/>
      <c r="X45053" s="60"/>
    </row>
    <row r="45054" spans="7:24" ht="15" customHeight="1">
      <c r="G45054"/>
      <c r="I45054"/>
      <c r="N45054"/>
      <c r="O45054" s="24"/>
      <c r="P45054"/>
      <c r="Q45054" s="24"/>
      <c r="R45054"/>
      <c r="S45054"/>
      <c r="T45054"/>
      <c r="U45054"/>
      <c r="X45054" s="60"/>
    </row>
    <row r="45055" spans="7:24" ht="15" customHeight="1">
      <c r="G45055"/>
      <c r="I45055"/>
      <c r="N45055"/>
      <c r="O45055" s="24"/>
      <c r="P45055"/>
      <c r="Q45055" s="24"/>
      <c r="R45055"/>
      <c r="S45055"/>
      <c r="T45055"/>
      <c r="U45055"/>
      <c r="X45055" s="60"/>
    </row>
    <row r="45056" spans="7:24" ht="15" customHeight="1">
      <c r="G45056"/>
      <c r="I45056"/>
      <c r="N45056"/>
      <c r="O45056" s="24"/>
      <c r="P45056"/>
      <c r="Q45056" s="24"/>
      <c r="R45056"/>
      <c r="S45056"/>
      <c r="T45056"/>
      <c r="U45056"/>
      <c r="X45056" s="60"/>
    </row>
    <row r="45057" spans="7:24" ht="15" customHeight="1">
      <c r="G45057"/>
      <c r="I45057"/>
      <c r="N45057"/>
      <c r="O45057" s="24"/>
      <c r="P45057"/>
      <c r="Q45057" s="24"/>
      <c r="R45057"/>
      <c r="S45057"/>
      <c r="T45057"/>
      <c r="U45057"/>
      <c r="X45057" s="60"/>
    </row>
    <row r="45058" spans="7:24" ht="15" customHeight="1">
      <c r="G45058"/>
      <c r="I45058"/>
      <c r="N45058"/>
      <c r="O45058" s="24"/>
      <c r="P45058"/>
      <c r="Q45058" s="24"/>
      <c r="R45058"/>
      <c r="S45058"/>
      <c r="T45058"/>
      <c r="U45058"/>
      <c r="X45058" s="60"/>
    </row>
    <row r="45059" spans="7:24" ht="15" customHeight="1">
      <c r="G45059"/>
      <c r="I45059"/>
      <c r="N45059"/>
      <c r="O45059" s="24"/>
      <c r="P45059"/>
      <c r="Q45059" s="24"/>
      <c r="R45059"/>
      <c r="S45059"/>
      <c r="T45059"/>
      <c r="U45059"/>
      <c r="X45059" s="60"/>
    </row>
    <row r="45060" spans="7:24" ht="15" customHeight="1">
      <c r="G45060"/>
      <c r="I45060"/>
      <c r="N45060"/>
      <c r="O45060" s="24"/>
      <c r="P45060"/>
      <c r="Q45060" s="24"/>
      <c r="R45060"/>
      <c r="S45060"/>
      <c r="T45060"/>
      <c r="U45060"/>
      <c r="X45060" s="60"/>
    </row>
    <row r="45061" spans="7:24" ht="15" customHeight="1">
      <c r="G45061"/>
      <c r="I45061"/>
      <c r="N45061"/>
      <c r="O45061" s="24"/>
      <c r="P45061"/>
      <c r="Q45061" s="24"/>
      <c r="R45061"/>
      <c r="S45061"/>
      <c r="T45061"/>
      <c r="U45061"/>
      <c r="X45061" s="60"/>
    </row>
    <row r="45062" spans="7:24" ht="15" customHeight="1">
      <c r="G45062"/>
      <c r="I45062"/>
      <c r="N45062"/>
      <c r="O45062" s="24"/>
      <c r="P45062"/>
      <c r="Q45062" s="24"/>
      <c r="R45062"/>
      <c r="S45062"/>
      <c r="T45062"/>
      <c r="U45062"/>
      <c r="X45062" s="60"/>
    </row>
    <row r="45063" spans="7:24" ht="15" customHeight="1">
      <c r="G45063"/>
      <c r="I45063"/>
      <c r="N45063"/>
      <c r="O45063" s="24"/>
      <c r="P45063"/>
      <c r="Q45063" s="24"/>
      <c r="R45063"/>
      <c r="S45063"/>
      <c r="T45063"/>
      <c r="U45063"/>
      <c r="X45063" s="60"/>
    </row>
    <row r="45064" spans="7:24" ht="15" customHeight="1">
      <c r="G45064"/>
      <c r="I45064"/>
      <c r="N45064"/>
      <c r="O45064" s="24"/>
      <c r="P45064"/>
      <c r="Q45064" s="24"/>
      <c r="R45064"/>
      <c r="S45064"/>
      <c r="T45064"/>
      <c r="U45064"/>
      <c r="X45064" s="60"/>
    </row>
    <row r="45065" spans="7:24" ht="15" customHeight="1">
      <c r="G45065"/>
      <c r="I45065"/>
      <c r="N45065"/>
      <c r="O45065" s="24"/>
      <c r="P45065"/>
      <c r="Q45065" s="24"/>
      <c r="R45065"/>
      <c r="S45065"/>
      <c r="T45065"/>
      <c r="U45065"/>
      <c r="X45065" s="60"/>
    </row>
    <row r="45066" spans="7:24" ht="15" customHeight="1">
      <c r="G45066"/>
      <c r="I45066"/>
      <c r="N45066"/>
      <c r="O45066" s="24"/>
      <c r="P45066"/>
      <c r="Q45066" s="24"/>
      <c r="R45066"/>
      <c r="S45066"/>
      <c r="T45066"/>
      <c r="U45066"/>
      <c r="X45066" s="60"/>
    </row>
    <row r="45067" spans="7:24" ht="15" customHeight="1">
      <c r="G45067"/>
      <c r="I45067"/>
      <c r="N45067"/>
      <c r="O45067" s="24"/>
      <c r="P45067"/>
      <c r="Q45067" s="24"/>
      <c r="R45067"/>
      <c r="S45067"/>
      <c r="T45067"/>
      <c r="U45067"/>
      <c r="X45067" s="60"/>
    </row>
    <row r="45068" spans="7:24" ht="15" customHeight="1">
      <c r="G45068"/>
      <c r="I45068"/>
      <c r="N45068"/>
      <c r="O45068" s="24"/>
      <c r="P45068"/>
      <c r="Q45068" s="24"/>
      <c r="R45068"/>
      <c r="S45068"/>
      <c r="T45068"/>
      <c r="U45068"/>
      <c r="X45068" s="60"/>
    </row>
    <row r="45069" spans="7:24" ht="15" customHeight="1">
      <c r="G45069"/>
      <c r="I45069"/>
      <c r="N45069"/>
      <c r="O45069" s="24"/>
      <c r="P45069"/>
      <c r="Q45069" s="24"/>
      <c r="R45069"/>
      <c r="S45069"/>
      <c r="T45069"/>
      <c r="U45069"/>
      <c r="X45069" s="60"/>
    </row>
    <row r="45070" spans="7:24" ht="15" customHeight="1">
      <c r="G45070"/>
      <c r="I45070"/>
      <c r="N45070"/>
      <c r="O45070" s="24"/>
      <c r="P45070"/>
      <c r="Q45070" s="24"/>
      <c r="R45070"/>
      <c r="S45070"/>
      <c r="T45070"/>
      <c r="U45070"/>
      <c r="X45070" s="60"/>
    </row>
    <row r="45071" spans="7:24" ht="15" customHeight="1">
      <c r="G45071"/>
      <c r="I45071"/>
      <c r="N45071"/>
      <c r="O45071" s="24"/>
      <c r="P45071"/>
      <c r="Q45071" s="24"/>
      <c r="R45071"/>
      <c r="S45071"/>
      <c r="T45071"/>
      <c r="U45071"/>
      <c r="X45071" s="60"/>
    </row>
    <row r="45072" spans="7:24" ht="15" customHeight="1">
      <c r="G45072"/>
      <c r="I45072"/>
      <c r="N45072"/>
      <c r="O45072" s="24"/>
      <c r="P45072"/>
      <c r="Q45072" s="24"/>
      <c r="R45072"/>
      <c r="S45072"/>
      <c r="T45072"/>
      <c r="U45072"/>
      <c r="X45072" s="60"/>
    </row>
    <row r="45073" spans="7:24" ht="15" customHeight="1">
      <c r="G45073"/>
      <c r="I45073"/>
      <c r="N45073"/>
      <c r="O45073" s="24"/>
      <c r="P45073"/>
      <c r="Q45073" s="24"/>
      <c r="R45073"/>
      <c r="S45073"/>
      <c r="T45073"/>
      <c r="U45073"/>
      <c r="X45073" s="60"/>
    </row>
    <row r="45074" spans="7:24" ht="15" customHeight="1">
      <c r="G45074"/>
      <c r="I45074"/>
      <c r="N45074"/>
      <c r="O45074" s="24"/>
      <c r="P45074"/>
      <c r="Q45074" s="24"/>
      <c r="R45074"/>
      <c r="S45074"/>
      <c r="T45074"/>
      <c r="U45074"/>
      <c r="X45074" s="60"/>
    </row>
    <row r="45075" spans="7:24" ht="15" customHeight="1">
      <c r="G45075"/>
      <c r="I45075"/>
      <c r="N45075"/>
      <c r="O45075" s="24"/>
      <c r="P45075"/>
      <c r="Q45075" s="24"/>
      <c r="R45075"/>
      <c r="S45075"/>
      <c r="T45075"/>
      <c r="U45075"/>
      <c r="X45075" s="60"/>
    </row>
    <row r="45076" spans="7:24" ht="15" customHeight="1">
      <c r="G45076"/>
      <c r="I45076"/>
      <c r="N45076"/>
      <c r="O45076" s="24"/>
      <c r="P45076"/>
      <c r="Q45076" s="24"/>
      <c r="R45076"/>
      <c r="S45076"/>
      <c r="T45076"/>
      <c r="U45076"/>
      <c r="X45076" s="60"/>
    </row>
    <row r="45077" spans="7:24" ht="15" customHeight="1">
      <c r="G45077"/>
      <c r="I45077"/>
      <c r="N45077"/>
      <c r="O45077" s="24"/>
      <c r="P45077"/>
      <c r="Q45077" s="24"/>
      <c r="R45077"/>
      <c r="S45077"/>
      <c r="T45077"/>
      <c r="U45077"/>
      <c r="X45077" s="60"/>
    </row>
    <row r="45078" spans="7:24" ht="15" customHeight="1">
      <c r="G45078"/>
      <c r="I45078"/>
      <c r="N45078"/>
      <c r="O45078" s="24"/>
      <c r="P45078"/>
      <c r="Q45078" s="24"/>
      <c r="R45078"/>
      <c r="S45078"/>
      <c r="T45078"/>
      <c r="U45078"/>
      <c r="X45078" s="60"/>
    </row>
    <row r="45079" spans="7:24" ht="15" customHeight="1">
      <c r="G45079"/>
      <c r="I45079"/>
      <c r="N45079"/>
      <c r="O45079" s="24"/>
      <c r="P45079"/>
      <c r="Q45079" s="24"/>
      <c r="R45079"/>
      <c r="S45079"/>
      <c r="T45079"/>
      <c r="U45079"/>
      <c r="X45079" s="60"/>
    </row>
    <row r="45080" spans="7:24" ht="15" customHeight="1">
      <c r="G45080"/>
      <c r="I45080"/>
      <c r="N45080"/>
      <c r="O45080" s="24"/>
      <c r="P45080"/>
      <c r="Q45080" s="24"/>
      <c r="R45080"/>
      <c r="S45080"/>
      <c r="T45080"/>
      <c r="U45080"/>
      <c r="X45080" s="60"/>
    </row>
    <row r="45081" spans="7:24" ht="15" customHeight="1">
      <c r="G45081"/>
      <c r="I45081"/>
      <c r="N45081"/>
      <c r="O45081" s="24"/>
      <c r="P45081"/>
      <c r="Q45081" s="24"/>
      <c r="R45081"/>
      <c r="S45081"/>
      <c r="T45081"/>
      <c r="U45081"/>
      <c r="X45081" s="60"/>
    </row>
    <row r="45082" spans="7:24" ht="15" customHeight="1">
      <c r="G45082"/>
      <c r="I45082"/>
      <c r="N45082"/>
      <c r="O45082" s="24"/>
      <c r="P45082"/>
      <c r="Q45082" s="24"/>
      <c r="R45082"/>
      <c r="S45082"/>
      <c r="T45082"/>
      <c r="U45082"/>
      <c r="X45082" s="60"/>
    </row>
    <row r="45083" spans="7:24" ht="15" customHeight="1">
      <c r="G45083"/>
      <c r="I45083"/>
      <c r="N45083"/>
      <c r="O45083" s="24"/>
      <c r="P45083"/>
      <c r="Q45083" s="24"/>
      <c r="R45083"/>
      <c r="S45083"/>
      <c r="T45083"/>
      <c r="U45083"/>
      <c r="X45083" s="60"/>
    </row>
    <row r="45084" spans="7:24" ht="15" customHeight="1">
      <c r="G45084"/>
      <c r="I45084"/>
      <c r="N45084"/>
      <c r="O45084" s="24"/>
      <c r="P45084"/>
      <c r="Q45084" s="24"/>
      <c r="R45084"/>
      <c r="S45084"/>
      <c r="T45084"/>
      <c r="U45084"/>
      <c r="X45084" s="60"/>
    </row>
    <row r="45085" spans="7:24" ht="15" customHeight="1">
      <c r="G45085"/>
      <c r="I45085"/>
      <c r="N45085"/>
      <c r="O45085" s="24"/>
      <c r="P45085"/>
      <c r="Q45085" s="24"/>
      <c r="R45085"/>
      <c r="S45085"/>
      <c r="T45085"/>
      <c r="U45085"/>
      <c r="X45085" s="60"/>
    </row>
    <row r="45086" spans="7:24" ht="15" customHeight="1">
      <c r="G45086"/>
      <c r="I45086"/>
      <c r="N45086"/>
      <c r="O45086" s="24"/>
      <c r="P45086"/>
      <c r="Q45086" s="24"/>
      <c r="R45086"/>
      <c r="S45086"/>
      <c r="T45086"/>
      <c r="U45086"/>
      <c r="X45086" s="60"/>
    </row>
    <row r="45087" spans="7:24" ht="15" customHeight="1">
      <c r="G45087"/>
      <c r="I45087"/>
      <c r="N45087"/>
      <c r="O45087" s="24"/>
      <c r="P45087"/>
      <c r="Q45087" s="24"/>
      <c r="R45087"/>
      <c r="S45087"/>
      <c r="T45087"/>
      <c r="U45087"/>
      <c r="X45087" s="60"/>
    </row>
    <row r="45088" spans="7:24" ht="15" customHeight="1">
      <c r="G45088"/>
      <c r="I45088"/>
      <c r="N45088"/>
      <c r="O45088" s="24"/>
      <c r="P45088"/>
      <c r="Q45088" s="24"/>
      <c r="R45088"/>
      <c r="S45088"/>
      <c r="T45088"/>
      <c r="U45088"/>
      <c r="X45088" s="60"/>
    </row>
    <row r="45089" spans="7:24" ht="15" customHeight="1">
      <c r="G45089"/>
      <c r="I45089"/>
      <c r="N45089"/>
      <c r="O45089" s="24"/>
      <c r="P45089"/>
      <c r="Q45089" s="24"/>
      <c r="R45089"/>
      <c r="S45089"/>
      <c r="T45089"/>
      <c r="U45089"/>
      <c r="X45089" s="60"/>
    </row>
    <row r="45090" spans="7:24" ht="15" customHeight="1">
      <c r="G45090"/>
      <c r="I45090"/>
      <c r="N45090"/>
      <c r="O45090" s="24"/>
      <c r="P45090"/>
      <c r="Q45090" s="24"/>
      <c r="R45090"/>
      <c r="S45090"/>
      <c r="T45090"/>
      <c r="U45090"/>
      <c r="X45090" s="60"/>
    </row>
    <row r="45091" spans="7:24" ht="15" customHeight="1">
      <c r="G45091"/>
      <c r="I45091"/>
      <c r="N45091"/>
      <c r="O45091" s="24"/>
      <c r="P45091"/>
      <c r="Q45091" s="24"/>
      <c r="R45091"/>
      <c r="S45091"/>
      <c r="T45091"/>
      <c r="U45091"/>
      <c r="X45091" s="60"/>
    </row>
    <row r="45092" spans="7:24" ht="15" customHeight="1">
      <c r="G45092"/>
      <c r="I45092"/>
      <c r="N45092"/>
      <c r="O45092" s="24"/>
      <c r="P45092"/>
      <c r="Q45092" s="24"/>
      <c r="R45092"/>
      <c r="S45092"/>
      <c r="T45092"/>
      <c r="U45092"/>
      <c r="X45092" s="60"/>
    </row>
    <row r="45093" spans="7:24" ht="15" customHeight="1">
      <c r="G45093"/>
      <c r="I45093"/>
      <c r="N45093"/>
      <c r="O45093" s="24"/>
      <c r="P45093"/>
      <c r="Q45093" s="24"/>
      <c r="R45093"/>
      <c r="S45093"/>
      <c r="T45093"/>
      <c r="U45093"/>
      <c r="X45093" s="60"/>
    </row>
    <row r="45094" spans="7:24" ht="15" customHeight="1">
      <c r="G45094"/>
      <c r="I45094"/>
      <c r="N45094"/>
      <c r="O45094" s="24"/>
      <c r="P45094"/>
      <c r="Q45094" s="24"/>
      <c r="R45094"/>
      <c r="S45094"/>
      <c r="T45094"/>
      <c r="U45094"/>
      <c r="X45094" s="60"/>
    </row>
    <row r="45095" spans="7:24" ht="15" customHeight="1">
      <c r="G45095"/>
      <c r="I45095"/>
      <c r="N45095"/>
      <c r="O45095" s="24"/>
      <c r="P45095"/>
      <c r="Q45095" s="24"/>
      <c r="R45095"/>
      <c r="S45095"/>
      <c r="T45095"/>
      <c r="U45095"/>
      <c r="X45095" s="60"/>
    </row>
    <row r="45096" spans="7:24" ht="15" customHeight="1">
      <c r="G45096"/>
      <c r="I45096"/>
      <c r="N45096"/>
      <c r="O45096" s="24"/>
      <c r="P45096"/>
      <c r="Q45096" s="24"/>
      <c r="R45096"/>
      <c r="S45096"/>
      <c r="T45096"/>
      <c r="U45096"/>
      <c r="X45096" s="60"/>
    </row>
    <row r="45097" spans="7:24" ht="15" customHeight="1">
      <c r="G45097"/>
      <c r="I45097"/>
      <c r="N45097"/>
      <c r="O45097" s="24"/>
      <c r="P45097"/>
      <c r="Q45097" s="24"/>
      <c r="R45097"/>
      <c r="S45097"/>
      <c r="T45097"/>
      <c r="U45097"/>
      <c r="X45097" s="60"/>
    </row>
    <row r="45098" spans="7:24" ht="15" customHeight="1">
      <c r="G45098"/>
      <c r="I45098"/>
      <c r="N45098"/>
      <c r="O45098" s="24"/>
      <c r="P45098"/>
      <c r="Q45098" s="24"/>
      <c r="R45098"/>
      <c r="S45098"/>
      <c r="T45098"/>
      <c r="U45098"/>
      <c r="X45098" s="60"/>
    </row>
    <row r="45099" spans="7:24" ht="15" customHeight="1">
      <c r="G45099"/>
      <c r="I45099"/>
      <c r="N45099"/>
      <c r="O45099" s="24"/>
      <c r="P45099"/>
      <c r="Q45099" s="24"/>
      <c r="R45099"/>
      <c r="S45099"/>
      <c r="T45099"/>
      <c r="U45099"/>
      <c r="X45099" s="60"/>
    </row>
    <row r="45100" spans="7:24" ht="15" customHeight="1">
      <c r="G45100"/>
      <c r="I45100"/>
      <c r="N45100"/>
      <c r="O45100" s="24"/>
      <c r="P45100"/>
      <c r="Q45100" s="24"/>
      <c r="R45100"/>
      <c r="S45100"/>
      <c r="T45100"/>
      <c r="U45100"/>
      <c r="X45100" s="60"/>
    </row>
    <row r="45101" spans="7:24" ht="15" customHeight="1">
      <c r="G45101"/>
      <c r="I45101"/>
      <c r="N45101"/>
      <c r="O45101" s="24"/>
      <c r="P45101"/>
      <c r="Q45101" s="24"/>
      <c r="R45101"/>
      <c r="S45101"/>
      <c r="T45101"/>
      <c r="U45101"/>
      <c r="X45101" s="60"/>
    </row>
    <row r="45102" spans="7:24" ht="15" customHeight="1">
      <c r="G45102"/>
      <c r="I45102"/>
      <c r="N45102"/>
      <c r="O45102" s="24"/>
      <c r="P45102"/>
      <c r="Q45102" s="24"/>
      <c r="R45102"/>
      <c r="S45102"/>
      <c r="T45102"/>
      <c r="U45102"/>
      <c r="X45102" s="60"/>
    </row>
    <row r="45103" spans="7:24" ht="15" customHeight="1">
      <c r="G45103"/>
      <c r="I45103"/>
      <c r="N45103"/>
      <c r="O45103" s="24"/>
      <c r="P45103"/>
      <c r="Q45103" s="24"/>
      <c r="R45103"/>
      <c r="S45103"/>
      <c r="T45103"/>
      <c r="U45103"/>
      <c r="X45103" s="60"/>
    </row>
    <row r="45104" spans="7:24" ht="15" customHeight="1">
      <c r="G45104"/>
      <c r="I45104"/>
      <c r="N45104"/>
      <c r="O45104" s="24"/>
      <c r="P45104"/>
      <c r="Q45104" s="24"/>
      <c r="R45104"/>
      <c r="S45104"/>
      <c r="T45104"/>
      <c r="U45104"/>
      <c r="X45104" s="60"/>
    </row>
    <row r="45105" spans="7:24" ht="15" customHeight="1">
      <c r="G45105"/>
      <c r="I45105"/>
      <c r="N45105"/>
      <c r="O45105" s="24"/>
      <c r="P45105"/>
      <c r="Q45105" s="24"/>
      <c r="R45105"/>
      <c r="S45105"/>
      <c r="T45105"/>
      <c r="U45105"/>
      <c r="X45105" s="60"/>
    </row>
    <row r="45106" spans="7:24" ht="15" customHeight="1">
      <c r="G45106"/>
      <c r="I45106"/>
      <c r="N45106"/>
      <c r="O45106" s="24"/>
      <c r="P45106"/>
      <c r="Q45106" s="24"/>
      <c r="R45106"/>
      <c r="S45106"/>
      <c r="T45106"/>
      <c r="U45106"/>
      <c r="X45106" s="60"/>
    </row>
    <row r="45107" spans="7:24" ht="15" customHeight="1">
      <c r="G45107"/>
      <c r="I45107"/>
      <c r="N45107"/>
      <c r="O45107" s="24"/>
      <c r="P45107"/>
      <c r="Q45107" s="24"/>
      <c r="R45107"/>
      <c r="S45107"/>
      <c r="T45107"/>
      <c r="U45107"/>
      <c r="X45107" s="60"/>
    </row>
    <row r="45108" spans="7:24" ht="15" customHeight="1">
      <c r="G45108"/>
      <c r="I45108"/>
      <c r="N45108"/>
      <c r="O45108" s="24"/>
      <c r="P45108"/>
      <c r="Q45108" s="24"/>
      <c r="R45108"/>
      <c r="S45108"/>
      <c r="T45108"/>
      <c r="U45108"/>
      <c r="X45108" s="60"/>
    </row>
    <row r="45109" spans="7:24" ht="15" customHeight="1">
      <c r="G45109"/>
      <c r="I45109"/>
      <c r="N45109"/>
      <c r="O45109" s="24"/>
      <c r="P45109"/>
      <c r="Q45109" s="24"/>
      <c r="R45109"/>
      <c r="S45109"/>
      <c r="T45109"/>
      <c r="U45109"/>
      <c r="X45109" s="60"/>
    </row>
    <row r="45110" spans="7:24" ht="15" customHeight="1">
      <c r="G45110"/>
      <c r="I45110"/>
      <c r="N45110"/>
      <c r="O45110" s="24"/>
      <c r="P45110"/>
      <c r="Q45110" s="24"/>
      <c r="R45110"/>
      <c r="S45110"/>
      <c r="T45110"/>
      <c r="U45110"/>
      <c r="X45110" s="60"/>
    </row>
    <row r="45111" spans="7:24" ht="15" customHeight="1">
      <c r="G45111"/>
      <c r="I45111"/>
      <c r="N45111"/>
      <c r="O45111" s="24"/>
      <c r="P45111"/>
      <c r="Q45111" s="24"/>
      <c r="R45111"/>
      <c r="S45111"/>
      <c r="T45111"/>
      <c r="U45111"/>
      <c r="X45111" s="60"/>
    </row>
    <row r="45112" spans="7:24" ht="15" customHeight="1">
      <c r="G45112"/>
      <c r="I45112"/>
      <c r="N45112"/>
      <c r="O45112" s="24"/>
      <c r="P45112"/>
      <c r="Q45112" s="24"/>
      <c r="R45112"/>
      <c r="S45112"/>
      <c r="T45112"/>
      <c r="U45112"/>
      <c r="X45112" s="60"/>
    </row>
    <row r="45113" spans="7:24" ht="15" customHeight="1">
      <c r="G45113"/>
      <c r="I45113"/>
      <c r="N45113"/>
      <c r="O45113" s="24"/>
      <c r="P45113"/>
      <c r="Q45113" s="24"/>
      <c r="R45113"/>
      <c r="S45113"/>
      <c r="T45113"/>
      <c r="U45113"/>
      <c r="X45113" s="60"/>
    </row>
    <row r="45114" spans="7:24" ht="15" customHeight="1">
      <c r="G45114"/>
      <c r="I45114"/>
      <c r="N45114"/>
      <c r="O45114" s="24"/>
      <c r="P45114"/>
      <c r="Q45114" s="24"/>
      <c r="R45114"/>
      <c r="S45114"/>
      <c r="T45114"/>
      <c r="U45114"/>
      <c r="X45114" s="60"/>
    </row>
    <row r="45115" spans="7:24" ht="15" customHeight="1">
      <c r="G45115"/>
      <c r="I45115"/>
      <c r="N45115"/>
      <c r="O45115" s="24"/>
      <c r="P45115"/>
      <c r="Q45115" s="24"/>
      <c r="R45115"/>
      <c r="S45115"/>
      <c r="T45115"/>
      <c r="U45115"/>
      <c r="X45115" s="60"/>
    </row>
    <row r="45116" spans="7:24" ht="15" customHeight="1">
      <c r="G45116"/>
      <c r="I45116"/>
      <c r="N45116"/>
      <c r="O45116" s="24"/>
      <c r="P45116"/>
      <c r="Q45116" s="24"/>
      <c r="R45116"/>
      <c r="S45116"/>
      <c r="T45116"/>
      <c r="U45116"/>
      <c r="X45116" s="60"/>
    </row>
    <row r="45117" spans="7:24" ht="15" customHeight="1">
      <c r="G45117"/>
      <c r="I45117"/>
      <c r="N45117"/>
      <c r="O45117" s="24"/>
      <c r="P45117"/>
      <c r="Q45117" s="24"/>
      <c r="R45117"/>
      <c r="S45117"/>
      <c r="T45117"/>
      <c r="U45117"/>
      <c r="X45117" s="60"/>
    </row>
    <row r="45118" spans="7:24" ht="15" customHeight="1">
      <c r="G45118"/>
      <c r="I45118"/>
      <c r="N45118"/>
      <c r="O45118" s="24"/>
      <c r="P45118"/>
      <c r="Q45118" s="24"/>
      <c r="R45118"/>
      <c r="S45118"/>
      <c r="T45118"/>
      <c r="U45118"/>
      <c r="X45118" s="60"/>
    </row>
    <row r="45119" spans="7:24" ht="15" customHeight="1">
      <c r="G45119"/>
      <c r="I45119"/>
      <c r="N45119"/>
      <c r="O45119" s="24"/>
      <c r="P45119"/>
      <c r="Q45119" s="24"/>
      <c r="R45119"/>
      <c r="S45119"/>
      <c r="T45119"/>
      <c r="U45119"/>
      <c r="X45119" s="60"/>
    </row>
    <row r="45120" spans="7:24" ht="15" customHeight="1">
      <c r="G45120"/>
      <c r="I45120"/>
      <c r="N45120"/>
      <c r="O45120" s="24"/>
      <c r="P45120"/>
      <c r="Q45120" s="24"/>
      <c r="R45120"/>
      <c r="S45120"/>
      <c r="T45120"/>
      <c r="U45120"/>
      <c r="X45120" s="60"/>
    </row>
    <row r="45121" spans="7:24" ht="15" customHeight="1">
      <c r="G45121"/>
      <c r="I45121"/>
      <c r="N45121"/>
      <c r="O45121" s="24"/>
      <c r="P45121"/>
      <c r="Q45121" s="24"/>
      <c r="R45121"/>
      <c r="S45121"/>
      <c r="T45121"/>
      <c r="U45121"/>
      <c r="X45121" s="60"/>
    </row>
    <row r="45122" spans="7:24" ht="15" customHeight="1">
      <c r="G45122"/>
      <c r="I45122"/>
      <c r="N45122"/>
      <c r="O45122" s="24"/>
      <c r="P45122"/>
      <c r="Q45122" s="24"/>
      <c r="R45122"/>
      <c r="S45122"/>
      <c r="T45122"/>
      <c r="U45122"/>
      <c r="X45122" s="60"/>
    </row>
    <row r="45123" spans="7:24" ht="15" customHeight="1">
      <c r="G45123"/>
      <c r="I45123"/>
      <c r="N45123"/>
      <c r="O45123" s="24"/>
      <c r="P45123"/>
      <c r="Q45123" s="24"/>
      <c r="R45123"/>
      <c r="S45123"/>
      <c r="T45123"/>
      <c r="U45123"/>
      <c r="X45123" s="60"/>
    </row>
    <row r="45124" spans="7:24" ht="15" customHeight="1">
      <c r="G45124"/>
      <c r="I45124"/>
      <c r="N45124"/>
      <c r="O45124" s="24"/>
      <c r="P45124"/>
      <c r="Q45124" s="24"/>
      <c r="R45124"/>
      <c r="S45124"/>
      <c r="T45124"/>
      <c r="U45124"/>
      <c r="X45124" s="60"/>
    </row>
    <row r="45125" spans="7:24" ht="15" customHeight="1">
      <c r="G45125"/>
      <c r="I45125"/>
      <c r="N45125"/>
      <c r="O45125" s="24"/>
      <c r="P45125"/>
      <c r="Q45125" s="24"/>
      <c r="R45125"/>
      <c r="S45125"/>
      <c r="T45125"/>
      <c r="U45125"/>
      <c r="X45125" s="60"/>
    </row>
    <row r="45126" spans="7:24" ht="15" customHeight="1">
      <c r="G45126"/>
      <c r="I45126"/>
      <c r="N45126"/>
      <c r="O45126" s="24"/>
      <c r="P45126"/>
      <c r="Q45126" s="24"/>
      <c r="R45126"/>
      <c r="S45126"/>
      <c r="T45126"/>
      <c r="U45126"/>
      <c r="X45126" s="60"/>
    </row>
    <row r="45127" spans="7:24" ht="15" customHeight="1">
      <c r="G45127"/>
      <c r="I45127"/>
      <c r="N45127"/>
      <c r="O45127" s="24"/>
      <c r="P45127"/>
      <c r="Q45127" s="24"/>
      <c r="R45127"/>
      <c r="S45127"/>
      <c r="T45127"/>
      <c r="U45127"/>
      <c r="X45127" s="60"/>
    </row>
    <row r="45128" spans="7:24" ht="15" customHeight="1">
      <c r="G45128"/>
      <c r="I45128"/>
      <c r="N45128"/>
      <c r="O45128" s="24"/>
      <c r="P45128"/>
      <c r="Q45128" s="24"/>
      <c r="R45128"/>
      <c r="S45128"/>
      <c r="T45128"/>
      <c r="U45128"/>
      <c r="X45128" s="60"/>
    </row>
    <row r="45129" spans="7:24" ht="15" customHeight="1">
      <c r="G45129"/>
      <c r="I45129"/>
      <c r="N45129"/>
      <c r="O45129" s="24"/>
      <c r="P45129"/>
      <c r="Q45129" s="24"/>
      <c r="R45129"/>
      <c r="S45129"/>
      <c r="T45129"/>
      <c r="U45129"/>
      <c r="X45129" s="60"/>
    </row>
    <row r="45130" spans="7:24" ht="15" customHeight="1">
      <c r="G45130"/>
      <c r="I45130"/>
      <c r="N45130"/>
      <c r="O45130" s="24"/>
      <c r="P45130"/>
      <c r="Q45130" s="24"/>
      <c r="R45130"/>
      <c r="S45130"/>
      <c r="T45130"/>
      <c r="U45130"/>
      <c r="X45130" s="60"/>
    </row>
    <row r="45131" spans="7:24" ht="15" customHeight="1">
      <c r="G45131"/>
      <c r="I45131"/>
      <c r="N45131"/>
      <c r="O45131" s="24"/>
      <c r="P45131"/>
      <c r="Q45131" s="24"/>
      <c r="R45131"/>
      <c r="S45131"/>
      <c r="T45131"/>
      <c r="U45131"/>
      <c r="X45131" s="60"/>
    </row>
    <row r="45132" spans="7:24" ht="15" customHeight="1">
      <c r="G45132"/>
      <c r="I45132"/>
      <c r="N45132"/>
      <c r="O45132" s="24"/>
      <c r="P45132"/>
      <c r="Q45132" s="24"/>
      <c r="R45132"/>
      <c r="S45132"/>
      <c r="T45132"/>
      <c r="U45132"/>
      <c r="X45132" s="60"/>
    </row>
    <row r="45133" spans="7:24" ht="15" customHeight="1">
      <c r="G45133"/>
      <c r="I45133"/>
      <c r="N45133"/>
      <c r="O45133" s="24"/>
      <c r="P45133"/>
      <c r="Q45133" s="24"/>
      <c r="R45133"/>
      <c r="S45133"/>
      <c r="T45133"/>
      <c r="U45133"/>
      <c r="X45133" s="60"/>
    </row>
    <row r="45134" spans="7:24" ht="15" customHeight="1">
      <c r="G45134"/>
      <c r="I45134"/>
      <c r="N45134"/>
      <c r="O45134" s="24"/>
      <c r="P45134"/>
      <c r="Q45134" s="24"/>
      <c r="R45134"/>
      <c r="S45134"/>
      <c r="T45134"/>
      <c r="U45134"/>
      <c r="X45134" s="60"/>
    </row>
    <row r="45135" spans="7:24" ht="15" customHeight="1">
      <c r="G45135"/>
      <c r="I45135"/>
      <c r="N45135"/>
      <c r="O45135" s="24"/>
      <c r="P45135"/>
      <c r="Q45135" s="24"/>
      <c r="R45135"/>
      <c r="S45135"/>
      <c r="T45135"/>
      <c r="U45135"/>
      <c r="X45135" s="60"/>
    </row>
    <row r="45136" spans="7:24" ht="15" customHeight="1">
      <c r="G45136"/>
      <c r="I45136"/>
      <c r="N45136"/>
      <c r="O45136" s="24"/>
      <c r="P45136"/>
      <c r="Q45136" s="24"/>
      <c r="R45136"/>
      <c r="S45136"/>
      <c r="T45136"/>
      <c r="U45136"/>
      <c r="X45136" s="60"/>
    </row>
    <row r="45137" spans="7:24" ht="15" customHeight="1">
      <c r="G45137"/>
      <c r="I45137"/>
      <c r="N45137"/>
      <c r="O45137" s="24"/>
      <c r="P45137"/>
      <c r="Q45137" s="24"/>
      <c r="R45137"/>
      <c r="S45137"/>
      <c r="T45137"/>
      <c r="U45137"/>
      <c r="X45137" s="60"/>
    </row>
    <row r="45138" spans="7:24" ht="15" customHeight="1">
      <c r="G45138"/>
      <c r="I45138"/>
      <c r="N45138"/>
      <c r="O45138" s="24"/>
      <c r="P45138"/>
      <c r="Q45138" s="24"/>
      <c r="R45138"/>
      <c r="S45138"/>
      <c r="T45138"/>
      <c r="U45138"/>
      <c r="X45138" s="60"/>
    </row>
    <row r="45139" spans="7:24" ht="15" customHeight="1">
      <c r="G45139"/>
      <c r="I45139"/>
      <c r="N45139"/>
      <c r="O45139" s="24"/>
      <c r="P45139"/>
      <c r="Q45139" s="24"/>
      <c r="R45139"/>
      <c r="S45139"/>
      <c r="T45139"/>
      <c r="U45139"/>
      <c r="X45139" s="60"/>
    </row>
    <row r="45140" spans="7:24" ht="15" customHeight="1">
      <c r="G45140"/>
      <c r="I45140"/>
      <c r="N45140"/>
      <c r="O45140" s="24"/>
      <c r="P45140"/>
      <c r="Q45140" s="24"/>
      <c r="R45140"/>
      <c r="S45140"/>
      <c r="T45140"/>
      <c r="U45140"/>
      <c r="X45140" s="60"/>
    </row>
    <row r="45141" spans="7:24" ht="15" customHeight="1">
      <c r="G45141"/>
      <c r="I45141"/>
      <c r="N45141"/>
      <c r="O45141" s="24"/>
      <c r="P45141"/>
      <c r="Q45141" s="24"/>
      <c r="R45141"/>
      <c r="S45141"/>
      <c r="T45141"/>
      <c r="U45141"/>
      <c r="X45141" s="60"/>
    </row>
    <row r="45142" spans="7:24" ht="15" customHeight="1">
      <c r="G45142"/>
      <c r="I45142"/>
      <c r="N45142"/>
      <c r="O45142" s="24"/>
      <c r="P45142"/>
      <c r="Q45142" s="24"/>
      <c r="R45142"/>
      <c r="S45142"/>
      <c r="T45142"/>
      <c r="U45142"/>
      <c r="X45142" s="60"/>
    </row>
    <row r="45143" spans="7:24" ht="15" customHeight="1">
      <c r="G45143"/>
      <c r="I45143"/>
      <c r="N45143"/>
      <c r="O45143" s="24"/>
      <c r="P45143"/>
      <c r="Q45143" s="24"/>
      <c r="R45143"/>
      <c r="S45143"/>
      <c r="T45143"/>
      <c r="U45143"/>
      <c r="X45143" s="60"/>
    </row>
    <row r="45144" spans="7:24" ht="15" customHeight="1">
      <c r="G45144"/>
      <c r="I45144"/>
      <c r="N45144"/>
      <c r="O45144" s="24"/>
      <c r="P45144"/>
      <c r="Q45144" s="24"/>
      <c r="R45144"/>
      <c r="S45144"/>
      <c r="T45144"/>
      <c r="U45144"/>
      <c r="X45144" s="60"/>
    </row>
    <row r="45145" spans="7:24" ht="15" customHeight="1">
      <c r="G45145"/>
      <c r="I45145"/>
      <c r="N45145"/>
      <c r="O45145" s="24"/>
      <c r="P45145"/>
      <c r="Q45145" s="24"/>
      <c r="R45145"/>
      <c r="S45145"/>
      <c r="T45145"/>
      <c r="U45145"/>
      <c r="X45145" s="60"/>
    </row>
    <row r="45146" spans="7:24" ht="15" customHeight="1">
      <c r="G45146"/>
      <c r="I45146"/>
      <c r="N45146"/>
      <c r="O45146" s="24"/>
      <c r="P45146"/>
      <c r="Q45146" s="24"/>
      <c r="R45146"/>
      <c r="S45146"/>
      <c r="T45146"/>
      <c r="U45146"/>
      <c r="X45146" s="60"/>
    </row>
    <row r="45147" spans="7:24" ht="15" customHeight="1">
      <c r="G45147"/>
      <c r="I45147"/>
      <c r="N45147"/>
      <c r="O45147" s="24"/>
      <c r="P45147"/>
      <c r="Q45147" s="24"/>
      <c r="R45147"/>
      <c r="S45147"/>
      <c r="T45147"/>
      <c r="U45147"/>
      <c r="X45147" s="60"/>
    </row>
    <row r="45148" spans="7:24" ht="15" customHeight="1">
      <c r="G45148"/>
      <c r="I45148"/>
      <c r="N45148"/>
      <c r="O45148" s="24"/>
      <c r="P45148"/>
      <c r="Q45148" s="24"/>
      <c r="R45148"/>
      <c r="S45148"/>
      <c r="T45148"/>
      <c r="U45148"/>
      <c r="X45148" s="60"/>
    </row>
    <row r="45149" spans="7:24" ht="15" customHeight="1">
      <c r="G45149"/>
      <c r="I45149"/>
      <c r="N45149"/>
      <c r="O45149" s="24"/>
      <c r="P45149"/>
      <c r="Q45149" s="24"/>
      <c r="R45149"/>
      <c r="S45149"/>
      <c r="T45149"/>
      <c r="U45149"/>
      <c r="X45149" s="60"/>
    </row>
    <row r="45150" spans="7:24" ht="15" customHeight="1">
      <c r="G45150"/>
      <c r="I45150"/>
      <c r="N45150"/>
      <c r="O45150" s="24"/>
      <c r="P45150"/>
      <c r="Q45150" s="24"/>
      <c r="R45150"/>
      <c r="S45150"/>
      <c r="T45150"/>
      <c r="U45150"/>
      <c r="X45150" s="60"/>
    </row>
    <row r="45151" spans="7:24" ht="15" customHeight="1">
      <c r="G45151"/>
      <c r="I45151"/>
      <c r="N45151"/>
      <c r="O45151" s="24"/>
      <c r="P45151"/>
      <c r="Q45151" s="24"/>
      <c r="R45151"/>
      <c r="S45151"/>
      <c r="T45151"/>
      <c r="U45151"/>
      <c r="X45151" s="60"/>
    </row>
    <row r="45152" spans="7:24" ht="15" customHeight="1">
      <c r="G45152"/>
      <c r="I45152"/>
      <c r="N45152"/>
      <c r="O45152" s="24"/>
      <c r="P45152"/>
      <c r="Q45152" s="24"/>
      <c r="R45152"/>
      <c r="S45152"/>
      <c r="T45152"/>
      <c r="U45152"/>
      <c r="X45152" s="60"/>
    </row>
    <row r="45153" spans="7:24" ht="15" customHeight="1">
      <c r="G45153"/>
      <c r="I45153"/>
      <c r="N45153"/>
      <c r="O45153" s="24"/>
      <c r="P45153"/>
      <c r="Q45153" s="24"/>
      <c r="R45153"/>
      <c r="S45153"/>
      <c r="T45153"/>
      <c r="U45153"/>
      <c r="X45153" s="60"/>
    </row>
    <row r="45154" spans="7:24" ht="15" customHeight="1">
      <c r="G45154"/>
      <c r="I45154"/>
      <c r="N45154"/>
      <c r="O45154" s="24"/>
      <c r="P45154"/>
      <c r="Q45154" s="24"/>
      <c r="R45154"/>
      <c r="S45154"/>
      <c r="T45154"/>
      <c r="U45154"/>
      <c r="X45154" s="60"/>
    </row>
    <row r="45155" spans="7:24" ht="15" customHeight="1">
      <c r="G45155"/>
      <c r="I45155"/>
      <c r="N45155"/>
      <c r="O45155" s="24"/>
      <c r="P45155"/>
      <c r="Q45155" s="24"/>
      <c r="R45155"/>
      <c r="S45155"/>
      <c r="T45155"/>
      <c r="U45155"/>
      <c r="X45155" s="60"/>
    </row>
    <row r="45156" spans="7:24" ht="15" customHeight="1">
      <c r="G45156"/>
      <c r="I45156"/>
      <c r="N45156"/>
      <c r="O45156" s="24"/>
      <c r="P45156"/>
      <c r="Q45156" s="24"/>
      <c r="R45156"/>
      <c r="S45156"/>
      <c r="T45156"/>
      <c r="U45156"/>
      <c r="X45156" s="60"/>
    </row>
    <row r="45157" spans="7:24" ht="15" customHeight="1">
      <c r="G45157"/>
      <c r="I45157"/>
      <c r="N45157"/>
      <c r="O45157" s="24"/>
      <c r="P45157"/>
      <c r="Q45157" s="24"/>
      <c r="R45157"/>
      <c r="S45157"/>
      <c r="T45157"/>
      <c r="U45157"/>
      <c r="X45157" s="60"/>
    </row>
    <row r="45158" spans="7:24" ht="15" customHeight="1">
      <c r="G45158"/>
      <c r="I45158"/>
      <c r="N45158"/>
      <c r="O45158" s="24"/>
      <c r="P45158"/>
      <c r="Q45158" s="24"/>
      <c r="R45158"/>
      <c r="S45158"/>
      <c r="T45158"/>
      <c r="U45158"/>
      <c r="X45158" s="60"/>
    </row>
    <row r="45159" spans="7:24" ht="15" customHeight="1">
      <c r="G45159"/>
      <c r="I45159"/>
      <c r="N45159"/>
      <c r="O45159" s="24"/>
      <c r="P45159"/>
      <c r="Q45159" s="24"/>
      <c r="R45159"/>
      <c r="S45159"/>
      <c r="T45159"/>
      <c r="U45159"/>
      <c r="X45159" s="60"/>
    </row>
    <row r="45160" spans="7:24" ht="15" customHeight="1">
      <c r="G45160"/>
      <c r="I45160"/>
      <c r="N45160"/>
      <c r="O45160" s="24"/>
      <c r="P45160"/>
      <c r="Q45160" s="24"/>
      <c r="R45160"/>
      <c r="S45160"/>
      <c r="T45160"/>
      <c r="U45160"/>
      <c r="X45160" s="60"/>
    </row>
    <row r="45161" spans="7:24" ht="15" customHeight="1">
      <c r="G45161"/>
      <c r="I45161"/>
      <c r="N45161"/>
      <c r="O45161" s="24"/>
      <c r="P45161"/>
      <c r="Q45161" s="24"/>
      <c r="R45161"/>
      <c r="S45161"/>
      <c r="T45161"/>
      <c r="U45161"/>
      <c r="X45161" s="60"/>
    </row>
    <row r="45162" spans="7:24" ht="15" customHeight="1">
      <c r="G45162"/>
      <c r="I45162"/>
      <c r="N45162"/>
      <c r="O45162" s="24"/>
      <c r="P45162"/>
      <c r="Q45162" s="24"/>
      <c r="R45162"/>
      <c r="S45162"/>
      <c r="T45162"/>
      <c r="U45162"/>
      <c r="X45162" s="60"/>
    </row>
    <row r="45163" spans="7:24" ht="15" customHeight="1">
      <c r="G45163"/>
      <c r="I45163"/>
      <c r="N45163"/>
      <c r="O45163" s="24"/>
      <c r="P45163"/>
      <c r="Q45163" s="24"/>
      <c r="R45163"/>
      <c r="S45163"/>
      <c r="T45163"/>
      <c r="U45163"/>
      <c r="X45163" s="60"/>
    </row>
    <row r="45164" spans="7:24" ht="15" customHeight="1">
      <c r="G45164"/>
      <c r="I45164"/>
      <c r="N45164"/>
      <c r="O45164" s="24"/>
      <c r="P45164"/>
      <c r="Q45164" s="24"/>
      <c r="R45164"/>
      <c r="S45164"/>
      <c r="T45164"/>
      <c r="U45164"/>
      <c r="X45164" s="60"/>
    </row>
    <row r="45165" spans="7:24" ht="15" customHeight="1">
      <c r="G45165"/>
      <c r="I45165"/>
      <c r="N45165"/>
      <c r="O45165" s="24"/>
      <c r="P45165"/>
      <c r="Q45165" s="24"/>
      <c r="R45165"/>
      <c r="S45165"/>
      <c r="T45165"/>
      <c r="U45165"/>
      <c r="X45165" s="60"/>
    </row>
    <row r="45166" spans="7:24" ht="15" customHeight="1">
      <c r="G45166"/>
      <c r="I45166"/>
      <c r="N45166"/>
      <c r="O45166" s="24"/>
      <c r="P45166"/>
      <c r="Q45166" s="24"/>
      <c r="R45166"/>
      <c r="S45166"/>
      <c r="T45166"/>
      <c r="U45166"/>
      <c r="X45166" s="60"/>
    </row>
    <row r="45167" spans="7:24" ht="15" customHeight="1">
      <c r="G45167"/>
      <c r="I45167"/>
      <c r="N45167"/>
      <c r="O45167" s="24"/>
      <c r="P45167"/>
      <c r="Q45167" s="24"/>
      <c r="R45167"/>
      <c r="S45167"/>
      <c r="T45167"/>
      <c r="U45167"/>
      <c r="X45167" s="60"/>
    </row>
    <row r="45168" spans="7:24" ht="15" customHeight="1">
      <c r="G45168"/>
      <c r="I45168"/>
      <c r="N45168"/>
      <c r="O45168" s="24"/>
      <c r="P45168"/>
      <c r="Q45168" s="24"/>
      <c r="R45168"/>
      <c r="S45168"/>
      <c r="T45168"/>
      <c r="U45168"/>
      <c r="X45168" s="60"/>
    </row>
    <row r="45169" spans="7:24" ht="15" customHeight="1">
      <c r="G45169"/>
      <c r="I45169"/>
      <c r="N45169"/>
      <c r="O45169" s="24"/>
      <c r="P45169"/>
      <c r="Q45169" s="24"/>
      <c r="R45169"/>
      <c r="S45169"/>
      <c r="T45169"/>
      <c r="U45169"/>
      <c r="X45169" s="60"/>
    </row>
    <row r="45170" spans="7:24" ht="15" customHeight="1">
      <c r="G45170"/>
      <c r="I45170"/>
      <c r="N45170"/>
      <c r="O45170" s="24"/>
      <c r="P45170"/>
      <c r="Q45170" s="24"/>
      <c r="R45170"/>
      <c r="S45170"/>
      <c r="T45170"/>
      <c r="U45170"/>
      <c r="X45170" s="60"/>
    </row>
    <row r="45171" spans="7:24" ht="15" customHeight="1">
      <c r="G45171"/>
      <c r="I45171"/>
      <c r="N45171"/>
      <c r="O45171" s="24"/>
      <c r="P45171"/>
      <c r="Q45171" s="24"/>
      <c r="R45171"/>
      <c r="S45171"/>
      <c r="T45171"/>
      <c r="U45171"/>
      <c r="X45171" s="60"/>
    </row>
    <row r="45172" spans="7:24" ht="15" customHeight="1">
      <c r="G45172"/>
      <c r="I45172"/>
      <c r="N45172"/>
      <c r="O45172" s="24"/>
      <c r="P45172"/>
      <c r="Q45172" s="24"/>
      <c r="R45172"/>
      <c r="S45172"/>
      <c r="T45172"/>
      <c r="U45172"/>
      <c r="X45172" s="60"/>
    </row>
    <row r="45173" spans="7:24" ht="15" customHeight="1">
      <c r="G45173"/>
      <c r="I45173"/>
      <c r="N45173"/>
      <c r="O45173" s="24"/>
      <c r="P45173"/>
      <c r="Q45173" s="24"/>
      <c r="R45173"/>
      <c r="S45173"/>
      <c r="T45173"/>
      <c r="U45173"/>
      <c r="X45173" s="60"/>
    </row>
    <row r="45174" spans="7:24" ht="15" customHeight="1">
      <c r="G45174"/>
      <c r="I45174"/>
      <c r="N45174"/>
      <c r="O45174" s="24"/>
      <c r="P45174"/>
      <c r="Q45174" s="24"/>
      <c r="R45174"/>
      <c r="S45174"/>
      <c r="T45174"/>
      <c r="U45174"/>
      <c r="X45174" s="60"/>
    </row>
    <row r="45175" spans="7:24" ht="15" customHeight="1">
      <c r="G45175"/>
      <c r="I45175"/>
      <c r="N45175"/>
      <c r="O45175" s="24"/>
      <c r="P45175"/>
      <c r="Q45175" s="24"/>
      <c r="R45175"/>
      <c r="S45175"/>
      <c r="T45175"/>
      <c r="U45175"/>
      <c r="X45175" s="60"/>
    </row>
    <row r="45176" spans="7:24" ht="15" customHeight="1">
      <c r="G45176"/>
      <c r="I45176"/>
      <c r="N45176"/>
      <c r="O45176" s="24"/>
      <c r="P45176"/>
      <c r="Q45176" s="24"/>
      <c r="R45176"/>
      <c r="S45176"/>
      <c r="T45176"/>
      <c r="U45176"/>
      <c r="X45176" s="60"/>
    </row>
    <row r="45177" spans="7:24" ht="15" customHeight="1">
      <c r="G45177"/>
      <c r="I45177"/>
      <c r="N45177"/>
      <c r="O45177" s="24"/>
      <c r="P45177"/>
      <c r="Q45177" s="24"/>
      <c r="R45177"/>
      <c r="S45177"/>
      <c r="T45177"/>
      <c r="U45177"/>
      <c r="X45177" s="60"/>
    </row>
    <row r="45178" spans="7:24" ht="15" customHeight="1">
      <c r="G45178"/>
      <c r="I45178"/>
      <c r="N45178"/>
      <c r="O45178" s="24"/>
      <c r="P45178"/>
      <c r="Q45178" s="24"/>
      <c r="R45178"/>
      <c r="S45178"/>
      <c r="T45178"/>
      <c r="U45178"/>
      <c r="X45178" s="60"/>
    </row>
    <row r="45179" spans="7:24" ht="15" customHeight="1">
      <c r="G45179"/>
      <c r="I45179"/>
      <c r="N45179"/>
      <c r="O45179" s="24"/>
      <c r="P45179"/>
      <c r="Q45179" s="24"/>
      <c r="R45179"/>
      <c r="S45179"/>
      <c r="T45179"/>
      <c r="U45179"/>
      <c r="X45179" s="60"/>
    </row>
    <row r="45180" spans="7:24" ht="15" customHeight="1">
      <c r="G45180"/>
      <c r="I45180"/>
      <c r="N45180"/>
      <c r="O45180" s="24"/>
      <c r="P45180"/>
      <c r="Q45180" s="24"/>
      <c r="R45180"/>
      <c r="S45180"/>
      <c r="T45180"/>
      <c r="U45180"/>
      <c r="X45180" s="60"/>
    </row>
    <row r="45181" spans="7:24" ht="15" customHeight="1">
      <c r="G45181"/>
      <c r="I45181"/>
      <c r="N45181"/>
      <c r="O45181" s="24"/>
      <c r="P45181"/>
      <c r="Q45181" s="24"/>
      <c r="R45181"/>
      <c r="S45181"/>
      <c r="T45181"/>
      <c r="U45181"/>
      <c r="X45181" s="60"/>
    </row>
    <row r="45182" spans="7:24" ht="15" customHeight="1">
      <c r="G45182"/>
      <c r="I45182"/>
      <c r="N45182"/>
      <c r="O45182" s="24"/>
      <c r="P45182"/>
      <c r="Q45182" s="24"/>
      <c r="R45182"/>
      <c r="S45182"/>
      <c r="T45182"/>
      <c r="U45182"/>
      <c r="X45182" s="60"/>
    </row>
    <row r="45183" spans="7:24" ht="15" customHeight="1">
      <c r="G45183"/>
      <c r="I45183"/>
      <c r="N45183"/>
      <c r="O45183" s="24"/>
      <c r="P45183"/>
      <c r="Q45183" s="24"/>
      <c r="R45183"/>
      <c r="S45183"/>
      <c r="T45183"/>
      <c r="U45183"/>
      <c r="X45183" s="60"/>
    </row>
    <row r="45184" spans="7:24" ht="15" customHeight="1">
      <c r="G45184"/>
      <c r="I45184"/>
      <c r="N45184"/>
      <c r="O45184" s="24"/>
      <c r="P45184"/>
      <c r="Q45184" s="24"/>
      <c r="R45184"/>
      <c r="S45184"/>
      <c r="T45184"/>
      <c r="U45184"/>
      <c r="X45184" s="60"/>
    </row>
    <row r="45185" spans="7:24" ht="15" customHeight="1">
      <c r="G45185"/>
      <c r="I45185"/>
      <c r="N45185"/>
      <c r="O45185" s="24"/>
      <c r="P45185"/>
      <c r="Q45185" s="24"/>
      <c r="R45185"/>
      <c r="S45185"/>
      <c r="T45185"/>
      <c r="U45185"/>
      <c r="X45185" s="60"/>
    </row>
    <row r="45186" spans="7:24" ht="15" customHeight="1">
      <c r="G45186"/>
      <c r="I45186"/>
      <c r="N45186"/>
      <c r="O45186" s="24"/>
      <c r="P45186"/>
      <c r="Q45186" s="24"/>
      <c r="R45186"/>
      <c r="S45186"/>
      <c r="T45186"/>
      <c r="U45186"/>
      <c r="X45186" s="60"/>
    </row>
    <row r="45187" spans="7:24" ht="15" customHeight="1">
      <c r="G45187"/>
      <c r="I45187"/>
      <c r="N45187"/>
      <c r="O45187" s="24"/>
      <c r="P45187"/>
      <c r="Q45187" s="24"/>
      <c r="R45187"/>
      <c r="S45187"/>
      <c r="T45187"/>
      <c r="U45187"/>
      <c r="X45187" s="60"/>
    </row>
    <row r="45188" spans="7:24" ht="15" customHeight="1">
      <c r="G45188"/>
      <c r="I45188"/>
      <c r="N45188"/>
      <c r="O45188" s="24"/>
      <c r="P45188"/>
      <c r="Q45188" s="24"/>
      <c r="R45188"/>
      <c r="S45188"/>
      <c r="T45188"/>
      <c r="U45188"/>
      <c r="X45188" s="60"/>
    </row>
    <row r="45189" spans="7:24" ht="15" customHeight="1">
      <c r="G45189"/>
      <c r="I45189"/>
      <c r="N45189"/>
      <c r="O45189" s="24"/>
      <c r="P45189"/>
      <c r="Q45189" s="24"/>
      <c r="R45189"/>
      <c r="S45189"/>
      <c r="T45189"/>
      <c r="U45189"/>
      <c r="X45189" s="60"/>
    </row>
    <row r="45190" spans="7:24" ht="15" customHeight="1">
      <c r="G45190"/>
      <c r="I45190"/>
      <c r="N45190"/>
      <c r="O45190" s="24"/>
      <c r="P45190"/>
      <c r="Q45190" s="24"/>
      <c r="R45190"/>
      <c r="S45190"/>
      <c r="T45190"/>
      <c r="U45190"/>
      <c r="X45190" s="60"/>
    </row>
    <row r="45191" spans="7:24" ht="15" customHeight="1">
      <c r="G45191"/>
      <c r="I45191"/>
      <c r="N45191"/>
      <c r="O45191" s="24"/>
      <c r="P45191"/>
      <c r="Q45191" s="24"/>
      <c r="R45191"/>
      <c r="S45191"/>
      <c r="T45191"/>
      <c r="U45191"/>
      <c r="X45191" s="60"/>
    </row>
    <row r="45192" spans="7:24" ht="15" customHeight="1">
      <c r="G45192"/>
      <c r="I45192"/>
      <c r="N45192"/>
      <c r="O45192" s="24"/>
      <c r="P45192"/>
      <c r="Q45192" s="24"/>
      <c r="R45192"/>
      <c r="S45192"/>
      <c r="T45192"/>
      <c r="U45192"/>
      <c r="X45192" s="60"/>
    </row>
    <row r="45193" spans="7:24" ht="15" customHeight="1">
      <c r="G45193"/>
      <c r="I45193"/>
      <c r="N45193"/>
      <c r="O45193" s="24"/>
      <c r="P45193"/>
      <c r="Q45193" s="24"/>
      <c r="R45193"/>
      <c r="S45193"/>
      <c r="T45193"/>
      <c r="U45193"/>
      <c r="X45193" s="60"/>
    </row>
    <row r="45194" spans="7:24" ht="15" customHeight="1">
      <c r="G45194"/>
      <c r="I45194"/>
      <c r="N45194"/>
      <c r="O45194" s="24"/>
      <c r="P45194"/>
      <c r="Q45194" s="24"/>
      <c r="R45194"/>
      <c r="S45194"/>
      <c r="T45194"/>
      <c r="U45194"/>
      <c r="X45194" s="60"/>
    </row>
    <row r="45195" spans="7:24" ht="15" customHeight="1">
      <c r="G45195"/>
      <c r="I45195"/>
      <c r="N45195"/>
      <c r="O45195" s="24"/>
      <c r="P45195"/>
      <c r="Q45195" s="24"/>
      <c r="R45195"/>
      <c r="S45195"/>
      <c r="T45195"/>
      <c r="U45195"/>
      <c r="X45195" s="60"/>
    </row>
    <row r="45196" spans="7:24" ht="15" customHeight="1">
      <c r="G45196"/>
      <c r="I45196"/>
      <c r="N45196"/>
      <c r="O45196" s="24"/>
      <c r="P45196"/>
      <c r="Q45196" s="24"/>
      <c r="R45196"/>
      <c r="S45196"/>
      <c r="T45196"/>
      <c r="U45196"/>
      <c r="X45196" s="60"/>
    </row>
    <row r="45197" spans="7:24" ht="15" customHeight="1">
      <c r="G45197"/>
      <c r="I45197"/>
      <c r="N45197"/>
      <c r="O45197" s="24"/>
      <c r="P45197"/>
      <c r="Q45197" s="24"/>
      <c r="R45197"/>
      <c r="S45197"/>
      <c r="T45197"/>
      <c r="U45197"/>
      <c r="X45197" s="60"/>
    </row>
    <row r="45198" spans="7:24" ht="15" customHeight="1">
      <c r="G45198"/>
      <c r="I45198"/>
      <c r="N45198"/>
      <c r="O45198" s="24"/>
      <c r="P45198"/>
      <c r="Q45198" s="24"/>
      <c r="R45198"/>
      <c r="S45198"/>
      <c r="T45198"/>
      <c r="U45198"/>
      <c r="X45198" s="60"/>
    </row>
    <row r="45199" spans="7:24" ht="15" customHeight="1">
      <c r="G45199"/>
      <c r="I45199"/>
      <c r="N45199"/>
      <c r="O45199" s="24"/>
      <c r="P45199"/>
      <c r="Q45199" s="24"/>
      <c r="R45199"/>
      <c r="S45199"/>
      <c r="T45199"/>
      <c r="U45199"/>
      <c r="X45199" s="60"/>
    </row>
    <row r="45200" spans="7:24" ht="15" customHeight="1">
      <c r="G45200"/>
      <c r="I45200"/>
      <c r="N45200"/>
      <c r="O45200" s="24"/>
      <c r="P45200"/>
      <c r="Q45200" s="24"/>
      <c r="R45200"/>
      <c r="S45200"/>
      <c r="T45200"/>
      <c r="U45200"/>
      <c r="X45200" s="60"/>
    </row>
    <row r="45201" spans="7:24" ht="15" customHeight="1">
      <c r="G45201"/>
      <c r="I45201"/>
      <c r="N45201"/>
      <c r="O45201" s="24"/>
      <c r="P45201"/>
      <c r="Q45201" s="24"/>
      <c r="R45201"/>
      <c r="S45201"/>
      <c r="T45201"/>
      <c r="U45201"/>
      <c r="X45201" s="60"/>
    </row>
    <row r="45202" spans="7:24" ht="15" customHeight="1">
      <c r="G45202"/>
      <c r="I45202"/>
      <c r="N45202"/>
      <c r="O45202" s="24"/>
      <c r="P45202"/>
      <c r="Q45202" s="24"/>
      <c r="R45202"/>
      <c r="S45202"/>
      <c r="T45202"/>
      <c r="U45202"/>
      <c r="X45202" s="60"/>
    </row>
    <row r="45203" spans="7:24" ht="15" customHeight="1">
      <c r="G45203"/>
      <c r="I45203"/>
      <c r="N45203"/>
      <c r="O45203" s="24"/>
      <c r="P45203"/>
      <c r="Q45203" s="24"/>
      <c r="R45203"/>
      <c r="S45203"/>
      <c r="T45203"/>
      <c r="U45203"/>
      <c r="X45203" s="60"/>
    </row>
    <row r="45204" spans="7:24" ht="15" customHeight="1">
      <c r="G45204"/>
      <c r="I45204"/>
      <c r="N45204"/>
      <c r="O45204" s="24"/>
      <c r="P45204"/>
      <c r="Q45204" s="24"/>
      <c r="R45204"/>
      <c r="S45204"/>
      <c r="T45204"/>
      <c r="U45204"/>
      <c r="X45204" s="60"/>
    </row>
    <row r="45205" spans="7:24" ht="15" customHeight="1">
      <c r="G45205"/>
      <c r="I45205"/>
      <c r="N45205"/>
      <c r="O45205" s="24"/>
      <c r="P45205"/>
      <c r="Q45205" s="24"/>
      <c r="R45205"/>
      <c r="S45205"/>
      <c r="T45205"/>
      <c r="U45205"/>
      <c r="X45205" s="60"/>
    </row>
    <row r="45206" spans="7:24" ht="15" customHeight="1">
      <c r="G45206"/>
      <c r="I45206"/>
      <c r="N45206"/>
      <c r="O45206" s="24"/>
      <c r="P45206"/>
      <c r="Q45206" s="24"/>
      <c r="R45206"/>
      <c r="S45206"/>
      <c r="T45206"/>
      <c r="U45206"/>
      <c r="X45206" s="60"/>
    </row>
    <row r="45207" spans="7:24" ht="15" customHeight="1">
      <c r="G45207"/>
      <c r="I45207"/>
      <c r="N45207"/>
      <c r="O45207" s="24"/>
      <c r="P45207"/>
      <c r="Q45207" s="24"/>
      <c r="R45207"/>
      <c r="S45207"/>
      <c r="T45207"/>
      <c r="U45207"/>
      <c r="X45207" s="60"/>
    </row>
    <row r="45208" spans="7:24" ht="15" customHeight="1">
      <c r="G45208"/>
      <c r="I45208"/>
      <c r="N45208"/>
      <c r="O45208" s="24"/>
      <c r="P45208"/>
      <c r="Q45208" s="24"/>
      <c r="R45208"/>
      <c r="S45208"/>
      <c r="T45208"/>
      <c r="U45208"/>
      <c r="X45208" s="60"/>
    </row>
    <row r="45209" spans="7:24" ht="15" customHeight="1">
      <c r="G45209"/>
      <c r="I45209"/>
      <c r="N45209"/>
      <c r="O45209" s="24"/>
      <c r="P45209"/>
      <c r="Q45209" s="24"/>
      <c r="R45209"/>
      <c r="S45209"/>
      <c r="T45209"/>
      <c r="U45209"/>
      <c r="X45209" s="60"/>
    </row>
    <row r="45210" spans="7:24" ht="15" customHeight="1">
      <c r="G45210"/>
      <c r="I45210"/>
      <c r="N45210"/>
      <c r="O45210" s="24"/>
      <c r="P45210"/>
      <c r="Q45210" s="24"/>
      <c r="R45210"/>
      <c r="S45210"/>
      <c r="T45210"/>
      <c r="U45210"/>
      <c r="X45210" s="60"/>
    </row>
    <row r="45211" spans="7:24" ht="15" customHeight="1">
      <c r="G45211"/>
      <c r="I45211"/>
      <c r="N45211"/>
      <c r="O45211" s="24"/>
      <c r="P45211"/>
      <c r="Q45211" s="24"/>
      <c r="R45211"/>
      <c r="S45211"/>
      <c r="T45211"/>
      <c r="U45211"/>
      <c r="X45211" s="60"/>
    </row>
    <row r="45212" spans="7:24" ht="15" customHeight="1">
      <c r="G45212"/>
      <c r="I45212"/>
      <c r="N45212"/>
      <c r="O45212" s="24"/>
      <c r="P45212"/>
      <c r="Q45212" s="24"/>
      <c r="R45212"/>
      <c r="S45212"/>
      <c r="T45212"/>
      <c r="U45212"/>
      <c r="X45212" s="60"/>
    </row>
    <row r="45213" spans="7:24" ht="15" customHeight="1">
      <c r="G45213"/>
      <c r="I45213"/>
      <c r="N45213"/>
      <c r="O45213" s="24"/>
      <c r="P45213"/>
      <c r="Q45213" s="24"/>
      <c r="R45213"/>
      <c r="S45213"/>
      <c r="T45213"/>
      <c r="U45213"/>
      <c r="X45213" s="60"/>
    </row>
    <row r="45214" spans="7:24" ht="15" customHeight="1">
      <c r="G45214"/>
      <c r="I45214"/>
      <c r="N45214"/>
      <c r="O45214" s="24"/>
      <c r="P45214"/>
      <c r="Q45214" s="24"/>
      <c r="R45214"/>
      <c r="S45214"/>
      <c r="T45214"/>
      <c r="U45214"/>
      <c r="X45214" s="60"/>
    </row>
    <row r="45215" spans="7:24" ht="15" customHeight="1">
      <c r="G45215"/>
      <c r="I45215"/>
      <c r="N45215"/>
      <c r="O45215" s="24"/>
      <c r="P45215"/>
      <c r="Q45215" s="24"/>
      <c r="R45215"/>
      <c r="S45215"/>
      <c r="T45215"/>
      <c r="U45215"/>
      <c r="X45215" s="60"/>
    </row>
    <row r="45216" spans="7:24" ht="15" customHeight="1">
      <c r="G45216"/>
      <c r="I45216"/>
      <c r="N45216"/>
      <c r="O45216" s="24"/>
      <c r="P45216"/>
      <c r="Q45216" s="24"/>
      <c r="R45216"/>
      <c r="S45216"/>
      <c r="T45216"/>
      <c r="U45216"/>
      <c r="X45216" s="60"/>
    </row>
    <row r="45217" spans="7:24" ht="15" customHeight="1">
      <c r="G45217"/>
      <c r="I45217"/>
      <c r="N45217"/>
      <c r="O45217" s="24"/>
      <c r="P45217"/>
      <c r="Q45217" s="24"/>
      <c r="R45217"/>
      <c r="S45217"/>
      <c r="T45217"/>
      <c r="U45217"/>
      <c r="X45217" s="60"/>
    </row>
    <row r="45218" spans="7:24" ht="15" customHeight="1">
      <c r="G45218"/>
      <c r="I45218"/>
      <c r="N45218"/>
      <c r="O45218" s="24"/>
      <c r="P45218"/>
      <c r="Q45218" s="24"/>
      <c r="R45218"/>
      <c r="S45218"/>
      <c r="T45218"/>
      <c r="U45218"/>
      <c r="X45218" s="60"/>
    </row>
    <row r="45219" spans="7:24" ht="15" customHeight="1">
      <c r="G45219"/>
      <c r="I45219"/>
      <c r="N45219"/>
      <c r="O45219" s="24"/>
      <c r="P45219"/>
      <c r="Q45219" s="24"/>
      <c r="R45219"/>
      <c r="S45219"/>
      <c r="T45219"/>
      <c r="U45219"/>
      <c r="X45219" s="60"/>
    </row>
    <row r="45220" spans="7:24" ht="15" customHeight="1">
      <c r="G45220"/>
      <c r="I45220"/>
      <c r="N45220"/>
      <c r="O45220" s="24"/>
      <c r="P45220"/>
      <c r="Q45220" s="24"/>
      <c r="R45220"/>
      <c r="S45220"/>
      <c r="T45220"/>
      <c r="U45220"/>
      <c r="X45220" s="60"/>
    </row>
    <row r="45221" spans="7:24" ht="15" customHeight="1">
      <c r="G45221"/>
      <c r="I45221"/>
      <c r="N45221"/>
      <c r="O45221" s="24"/>
      <c r="P45221"/>
      <c r="Q45221" s="24"/>
      <c r="R45221"/>
      <c r="S45221"/>
      <c r="T45221"/>
      <c r="U45221"/>
      <c r="X45221" s="60"/>
    </row>
    <row r="45222" spans="7:24" ht="15" customHeight="1">
      <c r="G45222"/>
      <c r="I45222"/>
      <c r="N45222"/>
      <c r="O45222" s="24"/>
      <c r="P45222"/>
      <c r="Q45222" s="24"/>
      <c r="R45222"/>
      <c r="S45222"/>
      <c r="T45222"/>
      <c r="U45222"/>
      <c r="X45222" s="60"/>
    </row>
    <row r="45223" spans="7:24" ht="15" customHeight="1">
      <c r="G45223"/>
      <c r="I45223"/>
      <c r="N45223"/>
      <c r="O45223" s="24"/>
      <c r="P45223"/>
      <c r="Q45223" s="24"/>
      <c r="R45223"/>
      <c r="S45223"/>
      <c r="T45223"/>
      <c r="U45223"/>
      <c r="X45223" s="60"/>
    </row>
    <row r="45224" spans="7:24" ht="15" customHeight="1">
      <c r="G45224"/>
      <c r="I45224"/>
      <c r="N45224"/>
      <c r="O45224" s="24"/>
      <c r="P45224"/>
      <c r="Q45224" s="24"/>
      <c r="R45224"/>
      <c r="S45224"/>
      <c r="T45224"/>
      <c r="U45224"/>
      <c r="X45224" s="60"/>
    </row>
    <row r="45225" spans="7:24" ht="15" customHeight="1">
      <c r="G45225"/>
      <c r="I45225"/>
      <c r="N45225"/>
      <c r="O45225" s="24"/>
      <c r="P45225"/>
      <c r="Q45225" s="24"/>
      <c r="R45225"/>
      <c r="S45225"/>
      <c r="T45225"/>
      <c r="U45225"/>
      <c r="X45225" s="60"/>
    </row>
    <row r="45226" spans="7:24" ht="15" customHeight="1">
      <c r="G45226"/>
      <c r="I45226"/>
      <c r="N45226"/>
      <c r="O45226" s="24"/>
      <c r="P45226"/>
      <c r="Q45226" s="24"/>
      <c r="R45226"/>
      <c r="S45226"/>
      <c r="T45226"/>
      <c r="U45226"/>
      <c r="X45226" s="60"/>
    </row>
    <row r="45227" spans="7:24" ht="15" customHeight="1">
      <c r="G45227"/>
      <c r="I45227"/>
      <c r="N45227"/>
      <c r="O45227" s="24"/>
      <c r="P45227"/>
      <c r="Q45227" s="24"/>
      <c r="R45227"/>
      <c r="S45227"/>
      <c r="T45227"/>
      <c r="U45227"/>
      <c r="X45227" s="60"/>
    </row>
    <row r="45228" spans="7:24" ht="15" customHeight="1">
      <c r="G45228"/>
      <c r="I45228"/>
      <c r="N45228"/>
      <c r="O45228" s="24"/>
      <c r="P45228"/>
      <c r="Q45228" s="24"/>
      <c r="R45228"/>
      <c r="S45228"/>
      <c r="T45228"/>
      <c r="U45228"/>
      <c r="X45228" s="60"/>
    </row>
    <row r="45229" spans="7:24" ht="15" customHeight="1">
      <c r="G45229"/>
      <c r="I45229"/>
      <c r="N45229"/>
      <c r="O45229" s="24"/>
      <c r="P45229"/>
      <c r="Q45229" s="24"/>
      <c r="R45229"/>
      <c r="S45229"/>
      <c r="T45229"/>
      <c r="U45229"/>
      <c r="X45229" s="60"/>
    </row>
    <row r="45230" spans="7:24" ht="15" customHeight="1">
      <c r="G45230"/>
      <c r="I45230"/>
      <c r="N45230"/>
      <c r="O45230" s="24"/>
      <c r="P45230"/>
      <c r="Q45230" s="24"/>
      <c r="R45230"/>
      <c r="S45230"/>
      <c r="T45230"/>
      <c r="U45230"/>
      <c r="X45230" s="60"/>
    </row>
    <row r="45231" spans="7:24" ht="15" customHeight="1">
      <c r="G45231"/>
      <c r="I45231"/>
      <c r="N45231"/>
      <c r="O45231" s="24"/>
      <c r="P45231"/>
      <c r="Q45231" s="24"/>
      <c r="R45231"/>
      <c r="S45231"/>
      <c r="T45231"/>
      <c r="U45231"/>
      <c r="X45231" s="60"/>
    </row>
    <row r="45232" spans="7:24" ht="15" customHeight="1">
      <c r="G45232"/>
      <c r="I45232"/>
      <c r="N45232"/>
      <c r="O45232" s="24"/>
      <c r="P45232"/>
      <c r="Q45232" s="24"/>
      <c r="R45232"/>
      <c r="S45232"/>
      <c r="T45232"/>
      <c r="U45232"/>
      <c r="X45232" s="60"/>
    </row>
    <row r="45233" spans="7:24" ht="15" customHeight="1">
      <c r="G45233"/>
      <c r="I45233"/>
      <c r="N45233"/>
      <c r="O45233" s="24"/>
      <c r="P45233"/>
      <c r="Q45233" s="24"/>
      <c r="R45233"/>
      <c r="S45233"/>
      <c r="T45233"/>
      <c r="U45233"/>
      <c r="X45233" s="60"/>
    </row>
    <row r="45234" spans="7:24" ht="15" customHeight="1">
      <c r="G45234"/>
      <c r="I45234"/>
      <c r="N45234"/>
      <c r="O45234" s="24"/>
      <c r="P45234"/>
      <c r="Q45234" s="24"/>
      <c r="R45234"/>
      <c r="S45234"/>
      <c r="T45234"/>
      <c r="U45234"/>
      <c r="X45234" s="60"/>
    </row>
    <row r="45235" spans="7:24" ht="15" customHeight="1">
      <c r="G45235"/>
      <c r="I45235"/>
      <c r="N45235"/>
      <c r="O45235" s="24"/>
      <c r="P45235"/>
      <c r="Q45235" s="24"/>
      <c r="R45235"/>
      <c r="S45235"/>
      <c r="T45235"/>
      <c r="U45235"/>
      <c r="X45235" s="60"/>
    </row>
    <row r="45236" spans="7:24" ht="15" customHeight="1">
      <c r="G45236"/>
      <c r="I45236"/>
      <c r="N45236"/>
      <c r="O45236" s="24"/>
      <c r="P45236"/>
      <c r="Q45236" s="24"/>
      <c r="R45236"/>
      <c r="S45236"/>
      <c r="T45236"/>
      <c r="U45236"/>
      <c r="X45236" s="60"/>
    </row>
    <row r="45237" spans="7:24" ht="15" customHeight="1">
      <c r="G45237"/>
      <c r="I45237"/>
      <c r="N45237"/>
      <c r="O45237" s="24"/>
      <c r="P45237"/>
      <c r="Q45237" s="24"/>
      <c r="R45237"/>
      <c r="S45237"/>
      <c r="T45237"/>
      <c r="U45237"/>
      <c r="X45237" s="60"/>
    </row>
    <row r="45238" spans="7:24" ht="15" customHeight="1">
      <c r="G45238"/>
      <c r="I45238"/>
      <c r="N45238"/>
      <c r="O45238" s="24"/>
      <c r="P45238"/>
      <c r="Q45238" s="24"/>
      <c r="R45238"/>
      <c r="S45238"/>
      <c r="T45238"/>
      <c r="U45238"/>
      <c r="X45238" s="60"/>
    </row>
    <row r="45239" spans="7:24" ht="15" customHeight="1">
      <c r="G45239"/>
      <c r="I45239"/>
      <c r="N45239"/>
      <c r="O45239" s="24"/>
      <c r="P45239"/>
      <c r="Q45239" s="24"/>
      <c r="R45239"/>
      <c r="S45239"/>
      <c r="T45239"/>
      <c r="U45239"/>
      <c r="X45239" s="60"/>
    </row>
    <row r="45240" spans="7:24" ht="15" customHeight="1">
      <c r="G45240"/>
      <c r="I45240"/>
      <c r="N45240"/>
      <c r="O45240" s="24"/>
      <c r="P45240"/>
      <c r="Q45240" s="24"/>
      <c r="R45240"/>
      <c r="S45240"/>
      <c r="T45240"/>
      <c r="U45240"/>
      <c r="X45240" s="60"/>
    </row>
    <row r="45241" spans="7:24" ht="15" customHeight="1">
      <c r="G45241"/>
      <c r="I45241"/>
      <c r="N45241"/>
      <c r="O45241" s="24"/>
      <c r="P45241"/>
      <c r="Q45241" s="24"/>
      <c r="R45241"/>
      <c r="S45241"/>
      <c r="T45241"/>
      <c r="U45241"/>
      <c r="X45241" s="60"/>
    </row>
    <row r="45242" spans="7:24" ht="15" customHeight="1">
      <c r="G45242"/>
      <c r="I45242"/>
      <c r="N45242"/>
      <c r="O45242" s="24"/>
      <c r="P45242"/>
      <c r="Q45242" s="24"/>
      <c r="R45242"/>
      <c r="S45242"/>
      <c r="T45242"/>
      <c r="U45242"/>
      <c r="X45242" s="60"/>
    </row>
    <row r="45243" spans="7:24" ht="15" customHeight="1">
      <c r="G45243"/>
      <c r="I45243"/>
      <c r="N45243"/>
      <c r="O45243" s="24"/>
      <c r="P45243"/>
      <c r="Q45243" s="24"/>
      <c r="R45243"/>
      <c r="S45243"/>
      <c r="T45243"/>
      <c r="U45243"/>
      <c r="X45243" s="60"/>
    </row>
    <row r="45244" spans="7:24" ht="15" customHeight="1">
      <c r="G45244"/>
      <c r="I45244"/>
      <c r="N45244"/>
      <c r="O45244" s="24"/>
      <c r="P45244"/>
      <c r="Q45244" s="24"/>
      <c r="R45244"/>
      <c r="S45244"/>
      <c r="T45244"/>
      <c r="U45244"/>
      <c r="X45244" s="60"/>
    </row>
    <row r="45245" spans="7:24" ht="15" customHeight="1">
      <c r="G45245"/>
      <c r="I45245"/>
      <c r="N45245"/>
      <c r="O45245" s="24"/>
      <c r="P45245"/>
      <c r="Q45245" s="24"/>
      <c r="R45245"/>
      <c r="S45245"/>
      <c r="T45245"/>
      <c r="U45245"/>
      <c r="X45245" s="60"/>
    </row>
    <row r="45246" spans="7:24" ht="15" customHeight="1">
      <c r="G45246"/>
      <c r="I45246"/>
      <c r="N45246"/>
      <c r="O45246" s="24"/>
      <c r="P45246"/>
      <c r="Q45246" s="24"/>
      <c r="R45246"/>
      <c r="S45246"/>
      <c r="T45246"/>
      <c r="U45246"/>
      <c r="X45246" s="60"/>
    </row>
    <row r="45247" spans="7:24" ht="15" customHeight="1">
      <c r="G45247"/>
      <c r="I45247"/>
      <c r="N45247"/>
      <c r="O45247" s="24"/>
      <c r="P45247"/>
      <c r="Q45247" s="24"/>
      <c r="R45247"/>
      <c r="S45247"/>
      <c r="T45247"/>
      <c r="U45247"/>
      <c r="X45247" s="60"/>
    </row>
    <row r="45248" spans="7:24" ht="15" customHeight="1">
      <c r="G45248"/>
      <c r="I45248"/>
      <c r="N45248"/>
      <c r="O45248" s="24"/>
      <c r="P45248"/>
      <c r="Q45248" s="24"/>
      <c r="R45248"/>
      <c r="S45248"/>
      <c r="T45248"/>
      <c r="U45248"/>
      <c r="X45248" s="60"/>
    </row>
    <row r="45249" spans="7:24" ht="15" customHeight="1">
      <c r="G45249"/>
      <c r="I45249"/>
      <c r="N45249"/>
      <c r="O45249" s="24"/>
      <c r="P45249"/>
      <c r="Q45249" s="24"/>
      <c r="R45249"/>
      <c r="S45249"/>
      <c r="T45249"/>
      <c r="U45249"/>
      <c r="X45249" s="60"/>
    </row>
    <row r="45250" spans="7:24" ht="15" customHeight="1">
      <c r="G45250"/>
      <c r="I45250"/>
      <c r="N45250"/>
      <c r="O45250" s="24"/>
      <c r="P45250"/>
      <c r="Q45250" s="24"/>
      <c r="R45250"/>
      <c r="S45250"/>
      <c r="T45250"/>
      <c r="U45250"/>
      <c r="X45250" s="60"/>
    </row>
    <row r="45251" spans="7:24" ht="15" customHeight="1">
      <c r="G45251"/>
      <c r="I45251"/>
      <c r="N45251"/>
      <c r="O45251" s="24"/>
      <c r="P45251"/>
      <c r="Q45251" s="24"/>
      <c r="R45251"/>
      <c r="S45251"/>
      <c r="T45251"/>
      <c r="U45251"/>
      <c r="X45251" s="60"/>
    </row>
    <row r="45252" spans="7:24" ht="15" customHeight="1">
      <c r="G45252"/>
      <c r="I45252"/>
      <c r="N45252"/>
      <c r="O45252" s="24"/>
      <c r="P45252"/>
      <c r="Q45252" s="24"/>
      <c r="R45252"/>
      <c r="S45252"/>
      <c r="T45252"/>
      <c r="U45252"/>
      <c r="X45252" s="60"/>
    </row>
    <row r="45253" spans="7:24" ht="15" customHeight="1">
      <c r="G45253"/>
      <c r="I45253"/>
      <c r="N45253"/>
      <c r="O45253" s="24"/>
      <c r="P45253"/>
      <c r="Q45253" s="24"/>
      <c r="R45253"/>
      <c r="S45253"/>
      <c r="T45253"/>
      <c r="U45253"/>
      <c r="X45253" s="60"/>
    </row>
    <row r="45254" spans="7:24" ht="15" customHeight="1">
      <c r="G45254"/>
      <c r="I45254"/>
      <c r="N45254"/>
      <c r="O45254" s="24"/>
      <c r="P45254"/>
      <c r="Q45254" s="24"/>
      <c r="R45254"/>
      <c r="S45254"/>
      <c r="T45254"/>
      <c r="U45254"/>
      <c r="X45254" s="60"/>
    </row>
    <row r="45255" spans="7:24" ht="15" customHeight="1">
      <c r="G45255"/>
      <c r="I45255"/>
      <c r="N45255"/>
      <c r="O45255" s="24"/>
      <c r="P45255"/>
      <c r="Q45255" s="24"/>
      <c r="R45255"/>
      <c r="S45255"/>
      <c r="T45255"/>
      <c r="U45255"/>
      <c r="X45255" s="60"/>
    </row>
    <row r="45256" spans="7:24" ht="15" customHeight="1">
      <c r="G45256"/>
      <c r="I45256"/>
      <c r="N45256"/>
      <c r="O45256" s="24"/>
      <c r="P45256"/>
      <c r="Q45256" s="24"/>
      <c r="R45256"/>
      <c r="S45256"/>
      <c r="T45256"/>
      <c r="U45256"/>
      <c r="X45256" s="60"/>
    </row>
    <row r="45257" spans="7:24" ht="15" customHeight="1">
      <c r="G45257"/>
      <c r="I45257"/>
      <c r="N45257"/>
      <c r="O45257" s="24"/>
      <c r="P45257"/>
      <c r="Q45257" s="24"/>
      <c r="R45257"/>
      <c r="S45257"/>
      <c r="T45257"/>
      <c r="U45257"/>
      <c r="X45257" s="60"/>
    </row>
    <row r="45258" spans="7:24" ht="15" customHeight="1">
      <c r="G45258"/>
      <c r="I45258"/>
      <c r="N45258"/>
      <c r="O45258" s="24"/>
      <c r="P45258"/>
      <c r="Q45258" s="24"/>
      <c r="R45258"/>
      <c r="S45258"/>
      <c r="T45258"/>
      <c r="U45258"/>
      <c r="X45258" s="60"/>
    </row>
    <row r="45259" spans="7:24" ht="15" customHeight="1">
      <c r="G45259"/>
      <c r="I45259"/>
      <c r="N45259"/>
      <c r="O45259" s="24"/>
      <c r="P45259"/>
      <c r="Q45259" s="24"/>
      <c r="R45259"/>
      <c r="S45259"/>
      <c r="T45259"/>
      <c r="U45259"/>
      <c r="X45259" s="60"/>
    </row>
    <row r="45260" spans="7:24" ht="15" customHeight="1">
      <c r="G45260"/>
      <c r="I45260"/>
      <c r="N45260"/>
      <c r="O45260" s="24"/>
      <c r="P45260"/>
      <c r="Q45260" s="24"/>
      <c r="R45260"/>
      <c r="S45260"/>
      <c r="T45260"/>
      <c r="U45260"/>
      <c r="X45260" s="60"/>
    </row>
    <row r="45261" spans="7:24" ht="15" customHeight="1">
      <c r="G45261"/>
      <c r="I45261"/>
      <c r="N45261"/>
      <c r="O45261" s="24"/>
      <c r="P45261"/>
      <c r="Q45261" s="24"/>
      <c r="R45261"/>
      <c r="S45261"/>
      <c r="T45261"/>
      <c r="U45261"/>
      <c r="X45261" s="60"/>
    </row>
    <row r="45262" spans="7:24" ht="15" customHeight="1">
      <c r="G45262"/>
      <c r="I45262"/>
      <c r="N45262"/>
      <c r="O45262" s="24"/>
      <c r="P45262"/>
      <c r="Q45262" s="24"/>
      <c r="R45262"/>
      <c r="S45262"/>
      <c r="T45262"/>
      <c r="U45262"/>
      <c r="X45262" s="60"/>
    </row>
    <row r="45263" spans="7:24" ht="15" customHeight="1">
      <c r="G45263"/>
      <c r="I45263"/>
      <c r="N45263"/>
      <c r="O45263" s="24"/>
      <c r="P45263"/>
      <c r="Q45263" s="24"/>
      <c r="R45263"/>
      <c r="S45263"/>
      <c r="T45263"/>
      <c r="U45263"/>
      <c r="X45263" s="60"/>
    </row>
    <row r="45264" spans="7:24" ht="15" customHeight="1">
      <c r="G45264"/>
      <c r="I45264"/>
      <c r="N45264"/>
      <c r="O45264" s="24"/>
      <c r="P45264"/>
      <c r="Q45264" s="24"/>
      <c r="R45264"/>
      <c r="S45264"/>
      <c r="T45264"/>
      <c r="U45264"/>
      <c r="X45264" s="60"/>
    </row>
    <row r="45265" spans="7:24" ht="15" customHeight="1">
      <c r="G45265"/>
      <c r="I45265"/>
      <c r="N45265"/>
      <c r="O45265" s="24"/>
      <c r="P45265"/>
      <c r="Q45265" s="24"/>
      <c r="R45265"/>
      <c r="S45265"/>
      <c r="T45265"/>
      <c r="U45265"/>
      <c r="X45265" s="60"/>
    </row>
    <row r="45266" spans="7:24" ht="15" customHeight="1">
      <c r="G45266"/>
      <c r="I45266"/>
      <c r="N45266"/>
      <c r="O45266" s="24"/>
      <c r="P45266"/>
      <c r="Q45266" s="24"/>
      <c r="R45266"/>
      <c r="S45266"/>
      <c r="T45266"/>
      <c r="U45266"/>
      <c r="X45266" s="60"/>
    </row>
    <row r="45267" spans="7:24" ht="15" customHeight="1">
      <c r="G45267"/>
      <c r="I45267"/>
      <c r="N45267"/>
      <c r="O45267" s="24"/>
      <c r="P45267"/>
      <c r="Q45267" s="24"/>
      <c r="R45267"/>
      <c r="S45267"/>
      <c r="T45267"/>
      <c r="U45267"/>
      <c r="X45267" s="60"/>
    </row>
    <row r="45268" spans="7:24" ht="15" customHeight="1">
      <c r="G45268"/>
      <c r="I45268"/>
      <c r="N45268"/>
      <c r="O45268" s="24"/>
      <c r="P45268"/>
      <c r="Q45268" s="24"/>
      <c r="R45268"/>
      <c r="S45268"/>
      <c r="T45268"/>
      <c r="U45268"/>
      <c r="X45268" s="60"/>
    </row>
    <row r="45269" spans="7:24" ht="15" customHeight="1">
      <c r="G45269"/>
      <c r="I45269"/>
      <c r="N45269"/>
      <c r="O45269" s="24"/>
      <c r="P45269"/>
      <c r="Q45269" s="24"/>
      <c r="R45269"/>
      <c r="S45269"/>
      <c r="T45269"/>
      <c r="U45269"/>
      <c r="X45269" s="60"/>
    </row>
    <row r="45270" spans="7:24" ht="15" customHeight="1">
      <c r="G45270"/>
      <c r="I45270"/>
      <c r="N45270"/>
      <c r="O45270" s="24"/>
      <c r="P45270"/>
      <c r="Q45270" s="24"/>
      <c r="R45270"/>
      <c r="S45270"/>
      <c r="T45270"/>
      <c r="U45270"/>
      <c r="X45270" s="60"/>
    </row>
    <row r="45271" spans="7:24" ht="15" customHeight="1">
      <c r="G45271"/>
      <c r="I45271"/>
      <c r="N45271"/>
      <c r="O45271" s="24"/>
      <c r="P45271"/>
      <c r="Q45271" s="24"/>
      <c r="R45271"/>
      <c r="S45271"/>
      <c r="T45271"/>
      <c r="U45271"/>
      <c r="X45271" s="60"/>
    </row>
    <row r="45272" spans="7:24" ht="15" customHeight="1">
      <c r="G45272"/>
      <c r="I45272"/>
      <c r="N45272"/>
      <c r="O45272" s="24"/>
      <c r="P45272"/>
      <c r="Q45272" s="24"/>
      <c r="R45272"/>
      <c r="S45272"/>
      <c r="T45272"/>
      <c r="U45272"/>
      <c r="X45272" s="60"/>
    </row>
    <row r="45273" spans="7:24" ht="15" customHeight="1">
      <c r="G45273"/>
      <c r="I45273"/>
      <c r="N45273"/>
      <c r="O45273" s="24"/>
      <c r="P45273"/>
      <c r="Q45273" s="24"/>
      <c r="R45273"/>
      <c r="S45273"/>
      <c r="T45273"/>
      <c r="U45273"/>
      <c r="X45273" s="60"/>
    </row>
    <row r="45274" spans="7:24" ht="15" customHeight="1">
      <c r="G45274"/>
      <c r="I45274"/>
      <c r="N45274"/>
      <c r="O45274" s="24"/>
      <c r="P45274"/>
      <c r="Q45274" s="24"/>
      <c r="R45274"/>
      <c r="S45274"/>
      <c r="T45274"/>
      <c r="U45274"/>
      <c r="X45274" s="60"/>
    </row>
    <row r="45275" spans="7:24" ht="15" customHeight="1">
      <c r="G45275"/>
      <c r="I45275"/>
      <c r="N45275"/>
      <c r="O45275" s="24"/>
      <c r="P45275"/>
      <c r="Q45275" s="24"/>
      <c r="R45275"/>
      <c r="S45275"/>
      <c r="T45275"/>
      <c r="U45275"/>
      <c r="X45275" s="60"/>
    </row>
    <row r="45276" spans="7:24" ht="15" customHeight="1">
      <c r="G45276"/>
      <c r="I45276"/>
      <c r="N45276"/>
      <c r="O45276" s="24"/>
      <c r="P45276"/>
      <c r="Q45276" s="24"/>
      <c r="R45276"/>
      <c r="S45276"/>
      <c r="T45276"/>
      <c r="U45276"/>
      <c r="X45276" s="60"/>
    </row>
    <row r="45277" spans="7:24" ht="15" customHeight="1">
      <c r="G45277"/>
      <c r="I45277"/>
      <c r="N45277"/>
      <c r="O45277" s="24"/>
      <c r="P45277"/>
      <c r="Q45277" s="24"/>
      <c r="R45277"/>
      <c r="S45277"/>
      <c r="T45277"/>
      <c r="U45277"/>
      <c r="X45277" s="60"/>
    </row>
    <row r="45278" spans="7:24" ht="15" customHeight="1">
      <c r="G45278"/>
      <c r="I45278"/>
      <c r="N45278"/>
      <c r="O45278" s="24"/>
      <c r="P45278"/>
      <c r="Q45278" s="24"/>
      <c r="R45278"/>
      <c r="S45278"/>
      <c r="T45278"/>
      <c r="U45278"/>
      <c r="X45278" s="60"/>
    </row>
    <row r="45279" spans="7:24" ht="15" customHeight="1">
      <c r="G45279"/>
      <c r="I45279"/>
      <c r="N45279"/>
      <c r="O45279" s="24"/>
      <c r="P45279"/>
      <c r="Q45279" s="24"/>
      <c r="R45279"/>
      <c r="S45279"/>
      <c r="T45279"/>
      <c r="U45279"/>
      <c r="X45279" s="60"/>
    </row>
    <row r="45280" spans="7:24" ht="15" customHeight="1">
      <c r="G45280"/>
      <c r="I45280"/>
      <c r="N45280"/>
      <c r="O45280" s="24"/>
      <c r="P45280"/>
      <c r="Q45280" s="24"/>
      <c r="R45280"/>
      <c r="S45280"/>
      <c r="T45280"/>
      <c r="U45280"/>
      <c r="X45280" s="60"/>
    </row>
    <row r="45281" spans="7:24" ht="15" customHeight="1">
      <c r="G45281"/>
      <c r="I45281"/>
      <c r="N45281"/>
      <c r="O45281" s="24"/>
      <c r="P45281"/>
      <c r="Q45281" s="24"/>
      <c r="R45281"/>
      <c r="S45281"/>
      <c r="T45281"/>
      <c r="U45281"/>
      <c r="X45281" s="60"/>
    </row>
    <row r="45282" spans="7:24" ht="15" customHeight="1">
      <c r="G45282"/>
      <c r="I45282"/>
      <c r="N45282"/>
      <c r="O45282" s="24"/>
      <c r="P45282"/>
      <c r="Q45282" s="24"/>
      <c r="R45282"/>
      <c r="S45282"/>
      <c r="T45282"/>
      <c r="U45282"/>
      <c r="X45282" s="60"/>
    </row>
    <row r="45283" spans="7:24" ht="15" customHeight="1">
      <c r="G45283"/>
      <c r="I45283"/>
      <c r="N45283"/>
      <c r="O45283" s="24"/>
      <c r="P45283"/>
      <c r="Q45283" s="24"/>
      <c r="R45283"/>
      <c r="S45283"/>
      <c r="T45283"/>
      <c r="U45283"/>
      <c r="X45283" s="60"/>
    </row>
    <row r="45284" spans="7:24" ht="15" customHeight="1">
      <c r="G45284"/>
      <c r="I45284"/>
      <c r="N45284"/>
      <c r="O45284" s="24"/>
      <c r="P45284"/>
      <c r="Q45284" s="24"/>
      <c r="R45284"/>
      <c r="S45284"/>
      <c r="T45284"/>
      <c r="U45284"/>
      <c r="X45284" s="60"/>
    </row>
    <row r="45285" spans="7:24" ht="15" customHeight="1">
      <c r="G45285"/>
      <c r="I45285"/>
      <c r="N45285"/>
      <c r="O45285" s="24"/>
      <c r="P45285"/>
      <c r="Q45285" s="24"/>
      <c r="R45285"/>
      <c r="S45285"/>
      <c r="T45285"/>
      <c r="U45285"/>
      <c r="X45285" s="60"/>
    </row>
    <row r="45286" spans="7:24" ht="15" customHeight="1">
      <c r="G45286"/>
      <c r="I45286"/>
      <c r="N45286"/>
      <c r="O45286" s="24"/>
      <c r="P45286"/>
      <c r="Q45286" s="24"/>
      <c r="R45286"/>
      <c r="S45286"/>
      <c r="T45286"/>
      <c r="U45286"/>
      <c r="X45286" s="60"/>
    </row>
    <row r="45287" spans="7:24" ht="15" customHeight="1">
      <c r="G45287"/>
      <c r="I45287"/>
      <c r="N45287"/>
      <c r="O45287" s="24"/>
      <c r="P45287"/>
      <c r="Q45287" s="24"/>
      <c r="R45287"/>
      <c r="S45287"/>
      <c r="T45287"/>
      <c r="U45287"/>
      <c r="X45287" s="60"/>
    </row>
    <row r="45288" spans="7:24" ht="15" customHeight="1">
      <c r="G45288"/>
      <c r="I45288"/>
      <c r="N45288"/>
      <c r="O45288" s="24"/>
      <c r="P45288"/>
      <c r="Q45288" s="24"/>
      <c r="R45288"/>
      <c r="S45288"/>
      <c r="T45288"/>
      <c r="U45288"/>
      <c r="X45288" s="60"/>
    </row>
    <row r="45289" spans="7:24" ht="15" customHeight="1">
      <c r="G45289"/>
      <c r="I45289"/>
      <c r="N45289"/>
      <c r="O45289" s="24"/>
      <c r="P45289"/>
      <c r="Q45289" s="24"/>
      <c r="R45289"/>
      <c r="S45289"/>
      <c r="T45289"/>
      <c r="U45289"/>
      <c r="X45289" s="60"/>
    </row>
    <row r="45290" spans="7:24" ht="15" customHeight="1">
      <c r="G45290"/>
      <c r="I45290"/>
      <c r="N45290"/>
      <c r="O45290" s="24"/>
      <c r="P45290"/>
      <c r="Q45290" s="24"/>
      <c r="R45290"/>
      <c r="S45290"/>
      <c r="T45290"/>
      <c r="U45290"/>
      <c r="X45290" s="60"/>
    </row>
    <row r="45291" spans="7:24" ht="15" customHeight="1">
      <c r="G45291"/>
      <c r="I45291"/>
      <c r="N45291"/>
      <c r="O45291" s="24"/>
      <c r="P45291"/>
      <c r="Q45291" s="24"/>
      <c r="R45291"/>
      <c r="S45291"/>
      <c r="T45291"/>
      <c r="U45291"/>
      <c r="X45291" s="60"/>
    </row>
    <row r="45292" spans="7:24" ht="15" customHeight="1">
      <c r="G45292"/>
      <c r="I45292"/>
      <c r="N45292"/>
      <c r="O45292" s="24"/>
      <c r="P45292"/>
      <c r="Q45292" s="24"/>
      <c r="R45292"/>
      <c r="S45292"/>
      <c r="T45292"/>
      <c r="U45292"/>
      <c r="X45292" s="60"/>
    </row>
    <row r="45293" spans="7:24" ht="15" customHeight="1">
      <c r="G45293"/>
      <c r="I45293"/>
      <c r="N45293"/>
      <c r="O45293" s="24"/>
      <c r="P45293"/>
      <c r="Q45293" s="24"/>
      <c r="R45293"/>
      <c r="S45293"/>
      <c r="T45293"/>
      <c r="U45293"/>
      <c r="X45293" s="60"/>
    </row>
    <row r="45294" spans="7:24" ht="15" customHeight="1">
      <c r="G45294"/>
      <c r="I45294"/>
      <c r="N45294"/>
      <c r="O45294" s="24"/>
      <c r="P45294"/>
      <c r="Q45294" s="24"/>
      <c r="R45294"/>
      <c r="S45294"/>
      <c r="T45294"/>
      <c r="U45294"/>
      <c r="X45294" s="60"/>
    </row>
    <row r="45295" spans="7:24" ht="15" customHeight="1">
      <c r="G45295"/>
      <c r="I45295"/>
      <c r="N45295"/>
      <c r="O45295" s="24"/>
      <c r="P45295"/>
      <c r="Q45295" s="24"/>
      <c r="R45295"/>
      <c r="S45295"/>
      <c r="T45295"/>
      <c r="U45295"/>
      <c r="X45295" s="60"/>
    </row>
    <row r="45296" spans="7:24" ht="15" customHeight="1">
      <c r="G45296"/>
      <c r="I45296"/>
      <c r="N45296"/>
      <c r="O45296" s="24"/>
      <c r="P45296"/>
      <c r="Q45296" s="24"/>
      <c r="R45296"/>
      <c r="S45296"/>
      <c r="T45296"/>
      <c r="U45296"/>
      <c r="X45296" s="60"/>
    </row>
    <row r="45297" spans="7:24" ht="15" customHeight="1">
      <c r="G45297"/>
      <c r="I45297"/>
      <c r="N45297"/>
      <c r="O45297" s="24"/>
      <c r="P45297"/>
      <c r="Q45297" s="24"/>
      <c r="R45297"/>
      <c r="S45297"/>
      <c r="T45297"/>
      <c r="U45297"/>
      <c r="X45297" s="60"/>
    </row>
    <row r="45298" spans="7:24" ht="15" customHeight="1">
      <c r="G45298"/>
      <c r="I45298"/>
      <c r="N45298"/>
      <c r="O45298" s="24"/>
      <c r="P45298"/>
      <c r="Q45298" s="24"/>
      <c r="R45298"/>
      <c r="S45298"/>
      <c r="T45298"/>
      <c r="U45298"/>
      <c r="X45298" s="60"/>
    </row>
    <row r="45299" spans="7:24" ht="15" customHeight="1">
      <c r="G45299"/>
      <c r="I45299"/>
      <c r="N45299"/>
      <c r="O45299" s="24"/>
      <c r="P45299"/>
      <c r="Q45299" s="24"/>
      <c r="R45299"/>
      <c r="S45299"/>
      <c r="T45299"/>
      <c r="U45299"/>
      <c r="X45299" s="60"/>
    </row>
    <row r="45300" spans="7:24" ht="15" customHeight="1">
      <c r="G45300"/>
      <c r="I45300"/>
      <c r="N45300"/>
      <c r="O45300" s="24"/>
      <c r="P45300"/>
      <c r="Q45300" s="24"/>
      <c r="R45300"/>
      <c r="S45300"/>
      <c r="T45300"/>
      <c r="U45300"/>
      <c r="X45300" s="60"/>
    </row>
    <row r="45301" spans="7:24" ht="15" customHeight="1">
      <c r="G45301"/>
      <c r="I45301"/>
      <c r="N45301"/>
      <c r="O45301" s="24"/>
      <c r="P45301"/>
      <c r="Q45301" s="24"/>
      <c r="R45301"/>
      <c r="S45301"/>
      <c r="T45301"/>
      <c r="U45301"/>
      <c r="X45301" s="60"/>
    </row>
    <row r="45302" spans="7:24" ht="15" customHeight="1">
      <c r="G45302"/>
      <c r="I45302"/>
      <c r="N45302"/>
      <c r="O45302" s="24"/>
      <c r="P45302"/>
      <c r="Q45302" s="24"/>
      <c r="R45302"/>
      <c r="S45302"/>
      <c r="T45302"/>
      <c r="U45302"/>
      <c r="X45302" s="60"/>
    </row>
    <row r="45303" spans="7:24" ht="15" customHeight="1">
      <c r="G45303"/>
      <c r="I45303"/>
      <c r="N45303"/>
      <c r="O45303" s="24"/>
      <c r="P45303"/>
      <c r="Q45303" s="24"/>
      <c r="R45303"/>
      <c r="S45303"/>
      <c r="T45303"/>
      <c r="U45303"/>
      <c r="X45303" s="60"/>
    </row>
    <row r="45304" spans="7:24" ht="15" customHeight="1">
      <c r="G45304"/>
      <c r="I45304"/>
      <c r="N45304"/>
      <c r="O45304" s="24"/>
      <c r="P45304"/>
      <c r="Q45304" s="24"/>
      <c r="R45304"/>
      <c r="S45304"/>
      <c r="T45304"/>
      <c r="U45304"/>
      <c r="X45304" s="60"/>
    </row>
    <row r="45305" spans="7:24" ht="15" customHeight="1">
      <c r="G45305"/>
      <c r="I45305"/>
      <c r="N45305"/>
      <c r="O45305" s="24"/>
      <c r="P45305"/>
      <c r="Q45305" s="24"/>
      <c r="R45305"/>
      <c r="S45305"/>
      <c r="T45305"/>
      <c r="U45305"/>
      <c r="X45305" s="60"/>
    </row>
    <row r="45306" spans="7:24" ht="15" customHeight="1">
      <c r="G45306"/>
      <c r="I45306"/>
      <c r="N45306"/>
      <c r="O45306" s="24"/>
      <c r="P45306"/>
      <c r="Q45306" s="24"/>
      <c r="R45306"/>
      <c r="S45306"/>
      <c r="T45306"/>
      <c r="U45306"/>
      <c r="X45306" s="60"/>
    </row>
    <row r="45307" spans="7:24" ht="15" customHeight="1">
      <c r="G45307"/>
      <c r="I45307"/>
      <c r="N45307"/>
      <c r="O45307" s="24"/>
      <c r="P45307"/>
      <c r="Q45307" s="24"/>
      <c r="R45307"/>
      <c r="S45307"/>
      <c r="T45307"/>
      <c r="U45307"/>
      <c r="X45307" s="60"/>
    </row>
    <row r="45308" spans="7:24" ht="15" customHeight="1">
      <c r="G45308"/>
      <c r="I45308"/>
      <c r="N45308"/>
      <c r="O45308" s="24"/>
      <c r="P45308"/>
      <c r="Q45308" s="24"/>
      <c r="R45308"/>
      <c r="S45308"/>
      <c r="T45308"/>
      <c r="U45308"/>
      <c r="X45308" s="60"/>
    </row>
    <row r="45309" spans="7:24" ht="15" customHeight="1">
      <c r="G45309"/>
      <c r="I45309"/>
      <c r="N45309"/>
      <c r="O45309" s="24"/>
      <c r="P45309"/>
      <c r="Q45309" s="24"/>
      <c r="R45309"/>
      <c r="S45309"/>
      <c r="T45309"/>
      <c r="U45309"/>
      <c r="X45309" s="60"/>
    </row>
    <row r="45310" spans="7:24" ht="15" customHeight="1">
      <c r="G45310"/>
      <c r="I45310"/>
      <c r="N45310"/>
      <c r="O45310" s="24"/>
      <c r="P45310"/>
      <c r="Q45310" s="24"/>
      <c r="R45310"/>
      <c r="S45310"/>
      <c r="T45310"/>
      <c r="U45310"/>
      <c r="X45310" s="60"/>
    </row>
    <row r="45311" spans="7:24" ht="15" customHeight="1">
      <c r="G45311"/>
      <c r="I45311"/>
      <c r="N45311"/>
      <c r="O45311" s="24"/>
      <c r="P45311"/>
      <c r="Q45311" s="24"/>
      <c r="R45311"/>
      <c r="S45311"/>
      <c r="T45311"/>
      <c r="U45311"/>
      <c r="X45311" s="60"/>
    </row>
    <row r="45312" spans="7:24" ht="15" customHeight="1">
      <c r="G45312"/>
      <c r="I45312"/>
      <c r="N45312"/>
      <c r="O45312" s="24"/>
      <c r="P45312"/>
      <c r="Q45312" s="24"/>
      <c r="R45312"/>
      <c r="S45312"/>
      <c r="T45312"/>
      <c r="U45312"/>
      <c r="X45312" s="60"/>
    </row>
    <row r="45313" spans="7:24" ht="15" customHeight="1">
      <c r="G45313"/>
      <c r="I45313"/>
      <c r="N45313"/>
      <c r="O45313" s="24"/>
      <c r="P45313"/>
      <c r="Q45313" s="24"/>
      <c r="R45313"/>
      <c r="S45313"/>
      <c r="T45313"/>
      <c r="U45313"/>
      <c r="X45313" s="60"/>
    </row>
    <row r="45314" spans="7:24" ht="15" customHeight="1">
      <c r="G45314"/>
      <c r="I45314"/>
      <c r="N45314"/>
      <c r="O45314" s="24"/>
      <c r="P45314"/>
      <c r="Q45314" s="24"/>
      <c r="R45314"/>
      <c r="S45314"/>
      <c r="T45314"/>
      <c r="U45314"/>
      <c r="X45314" s="60"/>
    </row>
    <row r="45315" spans="7:24" ht="15" customHeight="1">
      <c r="G45315"/>
      <c r="I45315"/>
      <c r="N45315"/>
      <c r="O45315" s="24"/>
      <c r="P45315"/>
      <c r="Q45315" s="24"/>
      <c r="R45315"/>
      <c r="S45315"/>
      <c r="T45315"/>
      <c r="U45315"/>
      <c r="X45315" s="60"/>
    </row>
    <row r="45316" spans="7:24" ht="15" customHeight="1">
      <c r="G45316"/>
      <c r="I45316"/>
      <c r="N45316"/>
      <c r="O45316" s="24"/>
      <c r="P45316"/>
      <c r="Q45316" s="24"/>
      <c r="R45316"/>
      <c r="S45316"/>
      <c r="T45316"/>
      <c r="U45316"/>
      <c r="X45316" s="60"/>
    </row>
    <row r="45317" spans="7:24" ht="15" customHeight="1">
      <c r="G45317"/>
      <c r="I45317"/>
      <c r="N45317"/>
      <c r="O45317" s="24"/>
      <c r="P45317"/>
      <c r="Q45317" s="24"/>
      <c r="R45317"/>
      <c r="S45317"/>
      <c r="T45317"/>
      <c r="U45317"/>
      <c r="X45317" s="60"/>
    </row>
    <row r="45318" spans="7:24" ht="15" customHeight="1">
      <c r="G45318"/>
      <c r="I45318"/>
      <c r="N45318"/>
      <c r="O45318" s="24"/>
      <c r="P45318"/>
      <c r="Q45318" s="24"/>
      <c r="R45318"/>
      <c r="S45318"/>
      <c r="T45318"/>
      <c r="U45318"/>
      <c r="X45318" s="60"/>
    </row>
    <row r="45319" spans="7:24" ht="15" customHeight="1">
      <c r="G45319"/>
      <c r="I45319"/>
      <c r="N45319"/>
      <c r="O45319" s="24"/>
      <c r="P45319"/>
      <c r="Q45319" s="24"/>
      <c r="R45319"/>
      <c r="S45319"/>
      <c r="T45319"/>
      <c r="U45319"/>
      <c r="X45319" s="60"/>
    </row>
    <row r="45320" spans="7:24" ht="15" customHeight="1">
      <c r="G45320"/>
      <c r="I45320"/>
      <c r="N45320"/>
      <c r="O45320" s="24"/>
      <c r="P45320"/>
      <c r="Q45320" s="24"/>
      <c r="R45320"/>
      <c r="S45320"/>
      <c r="T45320"/>
      <c r="U45320"/>
      <c r="X45320" s="60"/>
    </row>
    <row r="45321" spans="7:24" ht="15" customHeight="1">
      <c r="G45321"/>
      <c r="I45321"/>
      <c r="N45321"/>
      <c r="O45321" s="24"/>
      <c r="P45321"/>
      <c r="Q45321" s="24"/>
      <c r="R45321"/>
      <c r="S45321"/>
      <c r="T45321"/>
      <c r="U45321"/>
      <c r="X45321" s="60"/>
    </row>
    <row r="45322" spans="7:24" ht="15" customHeight="1">
      <c r="G45322"/>
      <c r="I45322"/>
      <c r="N45322"/>
      <c r="O45322" s="24"/>
      <c r="P45322"/>
      <c r="Q45322" s="24"/>
      <c r="R45322"/>
      <c r="S45322"/>
      <c r="T45322"/>
      <c r="U45322"/>
      <c r="X45322" s="60"/>
    </row>
    <row r="45323" spans="7:24" ht="15" customHeight="1">
      <c r="G45323"/>
      <c r="I45323"/>
      <c r="N45323"/>
      <c r="O45323" s="24"/>
      <c r="P45323"/>
      <c r="Q45323" s="24"/>
      <c r="R45323"/>
      <c r="S45323"/>
      <c r="T45323"/>
      <c r="U45323"/>
      <c r="X45323" s="60"/>
    </row>
    <row r="45324" spans="7:24" ht="15" customHeight="1">
      <c r="G45324"/>
      <c r="I45324"/>
      <c r="N45324"/>
      <c r="O45324" s="24"/>
      <c r="P45324"/>
      <c r="Q45324" s="24"/>
      <c r="R45324"/>
      <c r="S45324"/>
      <c r="T45324"/>
      <c r="U45324"/>
      <c r="X45324" s="60"/>
    </row>
    <row r="45325" spans="7:24" ht="15" customHeight="1">
      <c r="G45325"/>
      <c r="I45325"/>
      <c r="N45325"/>
      <c r="O45325" s="24"/>
      <c r="P45325"/>
      <c r="Q45325" s="24"/>
      <c r="R45325"/>
      <c r="S45325"/>
      <c r="T45325"/>
      <c r="U45325"/>
      <c r="X45325" s="60"/>
    </row>
    <row r="45326" spans="7:24" ht="15" customHeight="1">
      <c r="G45326"/>
      <c r="I45326"/>
      <c r="N45326"/>
      <c r="O45326" s="24"/>
      <c r="P45326"/>
      <c r="Q45326" s="24"/>
      <c r="R45326"/>
      <c r="S45326"/>
      <c r="T45326"/>
      <c r="U45326"/>
      <c r="X45326" s="60"/>
    </row>
    <row r="45327" spans="7:24" ht="15" customHeight="1">
      <c r="G45327"/>
      <c r="I45327"/>
      <c r="N45327"/>
      <c r="O45327" s="24"/>
      <c r="P45327"/>
      <c r="Q45327" s="24"/>
      <c r="R45327"/>
      <c r="S45327"/>
      <c r="T45327"/>
      <c r="U45327"/>
      <c r="X45327" s="60"/>
    </row>
    <row r="45328" spans="7:24" ht="15" customHeight="1">
      <c r="G45328"/>
      <c r="I45328"/>
      <c r="N45328"/>
      <c r="O45328" s="24"/>
      <c r="P45328"/>
      <c r="Q45328" s="24"/>
      <c r="R45328"/>
      <c r="S45328"/>
      <c r="T45328"/>
      <c r="U45328"/>
      <c r="X45328" s="60"/>
    </row>
    <row r="45329" spans="7:24" ht="15" customHeight="1">
      <c r="G45329"/>
      <c r="I45329"/>
      <c r="N45329"/>
      <c r="O45329" s="24"/>
      <c r="P45329"/>
      <c r="Q45329" s="24"/>
      <c r="R45329"/>
      <c r="S45329"/>
      <c r="T45329"/>
      <c r="U45329"/>
      <c r="X45329" s="60"/>
    </row>
    <row r="45330" spans="7:24" ht="15" customHeight="1">
      <c r="G45330"/>
      <c r="I45330"/>
      <c r="N45330"/>
      <c r="O45330" s="24"/>
      <c r="P45330"/>
      <c r="Q45330" s="24"/>
      <c r="R45330"/>
      <c r="S45330"/>
      <c r="T45330"/>
      <c r="U45330"/>
      <c r="X45330" s="60"/>
    </row>
    <row r="45331" spans="7:24" ht="15" customHeight="1">
      <c r="G45331"/>
      <c r="I45331"/>
      <c r="N45331"/>
      <c r="O45331" s="24"/>
      <c r="P45331"/>
      <c r="Q45331" s="24"/>
      <c r="R45331"/>
      <c r="S45331"/>
      <c r="T45331"/>
      <c r="U45331"/>
      <c r="X45331" s="60"/>
    </row>
    <row r="45332" spans="7:24" ht="15" customHeight="1">
      <c r="G45332"/>
      <c r="I45332"/>
      <c r="N45332"/>
      <c r="O45332" s="24"/>
      <c r="P45332"/>
      <c r="Q45332" s="24"/>
      <c r="R45332"/>
      <c r="S45332"/>
      <c r="T45332"/>
      <c r="U45332"/>
      <c r="X45332" s="60"/>
    </row>
    <row r="45333" spans="7:24" ht="15" customHeight="1">
      <c r="G45333"/>
      <c r="I45333"/>
      <c r="N45333"/>
      <c r="O45333" s="24"/>
      <c r="P45333"/>
      <c r="Q45333" s="24"/>
      <c r="R45333"/>
      <c r="S45333"/>
      <c r="T45333"/>
      <c r="U45333"/>
      <c r="X45333" s="60"/>
    </row>
    <row r="45334" spans="7:24" ht="15" customHeight="1">
      <c r="G45334"/>
      <c r="I45334"/>
      <c r="N45334"/>
      <c r="O45334" s="24"/>
      <c r="P45334"/>
      <c r="Q45334" s="24"/>
      <c r="R45334"/>
      <c r="S45334"/>
      <c r="T45334"/>
      <c r="U45334"/>
      <c r="X45334" s="60"/>
    </row>
    <row r="45335" spans="7:24" ht="15" customHeight="1">
      <c r="G45335"/>
      <c r="I45335"/>
      <c r="N45335"/>
      <c r="O45335" s="24"/>
      <c r="P45335"/>
      <c r="Q45335" s="24"/>
      <c r="R45335"/>
      <c r="S45335"/>
      <c r="T45335"/>
      <c r="U45335"/>
      <c r="X45335" s="60"/>
    </row>
    <row r="45336" spans="7:24" ht="15" customHeight="1">
      <c r="G45336"/>
      <c r="I45336"/>
      <c r="N45336"/>
      <c r="O45336" s="24"/>
      <c r="P45336"/>
      <c r="Q45336" s="24"/>
      <c r="R45336"/>
      <c r="S45336"/>
      <c r="T45336"/>
      <c r="U45336"/>
      <c r="X45336" s="60"/>
    </row>
    <row r="45337" spans="7:24" ht="15" customHeight="1">
      <c r="G45337"/>
      <c r="I45337"/>
      <c r="N45337"/>
      <c r="O45337" s="24"/>
      <c r="P45337"/>
      <c r="Q45337" s="24"/>
      <c r="R45337"/>
      <c r="S45337"/>
      <c r="T45337"/>
      <c r="U45337"/>
      <c r="X45337" s="60"/>
    </row>
    <row r="45338" spans="7:24" ht="15" customHeight="1">
      <c r="G45338"/>
      <c r="I45338"/>
      <c r="N45338"/>
      <c r="O45338" s="24"/>
      <c r="P45338"/>
      <c r="Q45338" s="24"/>
      <c r="R45338"/>
      <c r="S45338"/>
      <c r="T45338"/>
      <c r="U45338"/>
      <c r="X45338" s="60"/>
    </row>
    <row r="45339" spans="7:24" ht="15" customHeight="1">
      <c r="G45339"/>
      <c r="I45339"/>
      <c r="N45339"/>
      <c r="O45339" s="24"/>
      <c r="P45339"/>
      <c r="Q45339" s="24"/>
      <c r="R45339"/>
      <c r="S45339"/>
      <c r="T45339"/>
      <c r="U45339"/>
      <c r="X45339" s="60"/>
    </row>
    <row r="45340" spans="7:24" ht="15" customHeight="1">
      <c r="G45340"/>
      <c r="I45340"/>
      <c r="N45340"/>
      <c r="O45340" s="24"/>
      <c r="P45340"/>
      <c r="Q45340" s="24"/>
      <c r="R45340"/>
      <c r="S45340"/>
      <c r="T45340"/>
      <c r="U45340"/>
      <c r="X45340" s="60"/>
    </row>
    <row r="45341" spans="7:24" ht="15" customHeight="1">
      <c r="G45341"/>
      <c r="I45341"/>
      <c r="N45341"/>
      <c r="O45341" s="24"/>
      <c r="P45341"/>
      <c r="Q45341" s="24"/>
      <c r="R45341"/>
      <c r="S45341"/>
      <c r="T45341"/>
      <c r="U45341"/>
      <c r="X45341" s="60"/>
    </row>
    <row r="45342" spans="7:24" ht="15" customHeight="1">
      <c r="G45342"/>
      <c r="I45342"/>
      <c r="N45342"/>
      <c r="O45342" s="24"/>
      <c r="P45342"/>
      <c r="Q45342" s="24"/>
      <c r="R45342"/>
      <c r="S45342"/>
      <c r="T45342"/>
      <c r="U45342"/>
      <c r="X45342" s="60"/>
    </row>
    <row r="45343" spans="7:24" ht="15" customHeight="1">
      <c r="G45343"/>
      <c r="I45343"/>
      <c r="N45343"/>
      <c r="O45343" s="24"/>
      <c r="P45343"/>
      <c r="Q45343" s="24"/>
      <c r="R45343"/>
      <c r="S45343"/>
      <c r="T45343"/>
      <c r="U45343"/>
      <c r="X45343" s="60"/>
    </row>
    <row r="45344" spans="7:24" ht="15" customHeight="1">
      <c r="G45344"/>
      <c r="I45344"/>
      <c r="N45344"/>
      <c r="O45344" s="24"/>
      <c r="P45344"/>
      <c r="Q45344" s="24"/>
      <c r="R45344"/>
      <c r="S45344"/>
      <c r="T45344"/>
      <c r="U45344"/>
      <c r="X45344" s="60"/>
    </row>
    <row r="45345" spans="7:24" ht="15" customHeight="1">
      <c r="G45345"/>
      <c r="I45345"/>
      <c r="N45345"/>
      <c r="O45345" s="24"/>
      <c r="P45345"/>
      <c r="Q45345" s="24"/>
      <c r="R45345"/>
      <c r="S45345"/>
      <c r="T45345"/>
      <c r="U45345"/>
      <c r="X45345" s="60"/>
    </row>
    <row r="45346" spans="7:24" ht="15" customHeight="1">
      <c r="G45346"/>
      <c r="I45346"/>
      <c r="N45346"/>
      <c r="O45346" s="24"/>
      <c r="P45346"/>
      <c r="Q45346" s="24"/>
      <c r="R45346"/>
      <c r="S45346"/>
      <c r="T45346"/>
      <c r="U45346"/>
      <c r="X45346" s="60"/>
    </row>
    <row r="45347" spans="7:24" ht="15" customHeight="1">
      <c r="G45347"/>
      <c r="I45347"/>
      <c r="N45347"/>
      <c r="O45347" s="24"/>
      <c r="P45347"/>
      <c r="Q45347" s="24"/>
      <c r="R45347"/>
      <c r="S45347"/>
      <c r="T45347"/>
      <c r="U45347"/>
      <c r="X45347" s="60"/>
    </row>
    <row r="45348" spans="7:24" ht="15" customHeight="1">
      <c r="G45348"/>
      <c r="I45348"/>
      <c r="N45348"/>
      <c r="O45348" s="24"/>
      <c r="P45348"/>
      <c r="Q45348" s="24"/>
      <c r="R45348"/>
      <c r="S45348"/>
      <c r="T45348"/>
      <c r="U45348"/>
      <c r="X45348" s="60"/>
    </row>
    <row r="45349" spans="7:24" ht="15" customHeight="1">
      <c r="G45349"/>
      <c r="I45349"/>
      <c r="N45349"/>
      <c r="O45349" s="24"/>
      <c r="P45349"/>
      <c r="Q45349" s="24"/>
      <c r="R45349"/>
      <c r="S45349"/>
      <c r="T45349"/>
      <c r="U45349"/>
      <c r="X45349" s="60"/>
    </row>
    <row r="45350" spans="7:24" ht="15" customHeight="1">
      <c r="G45350"/>
      <c r="I45350"/>
      <c r="N45350"/>
      <c r="O45350" s="24"/>
      <c r="P45350"/>
      <c r="Q45350" s="24"/>
      <c r="R45350"/>
      <c r="S45350"/>
      <c r="T45350"/>
      <c r="U45350"/>
      <c r="X45350" s="60"/>
    </row>
    <row r="45351" spans="7:24" ht="15" customHeight="1">
      <c r="G45351"/>
      <c r="I45351"/>
      <c r="N45351"/>
      <c r="O45351" s="24"/>
      <c r="P45351"/>
      <c r="Q45351" s="24"/>
      <c r="R45351"/>
      <c r="S45351"/>
      <c r="T45351"/>
      <c r="U45351"/>
      <c r="X45351" s="60"/>
    </row>
    <row r="45352" spans="7:24" ht="15" customHeight="1">
      <c r="G45352"/>
      <c r="I45352"/>
      <c r="N45352"/>
      <c r="O45352" s="24"/>
      <c r="P45352"/>
      <c r="Q45352" s="24"/>
      <c r="R45352"/>
      <c r="S45352"/>
      <c r="T45352"/>
      <c r="U45352"/>
      <c r="X45352" s="60"/>
    </row>
    <row r="45353" spans="7:24" ht="15" customHeight="1">
      <c r="G45353"/>
      <c r="I45353"/>
      <c r="N45353"/>
      <c r="O45353" s="24"/>
      <c r="P45353"/>
      <c r="Q45353" s="24"/>
      <c r="R45353"/>
      <c r="S45353"/>
      <c r="T45353"/>
      <c r="U45353"/>
      <c r="X45353" s="60"/>
    </row>
    <row r="45354" spans="7:24" ht="15" customHeight="1">
      <c r="G45354"/>
      <c r="I45354"/>
      <c r="N45354"/>
      <c r="O45354" s="24"/>
      <c r="P45354"/>
      <c r="Q45354" s="24"/>
      <c r="R45354"/>
      <c r="S45354"/>
      <c r="T45354"/>
      <c r="U45354"/>
      <c r="X45354" s="60"/>
    </row>
    <row r="45355" spans="7:24" ht="15" customHeight="1">
      <c r="G45355"/>
      <c r="I45355"/>
      <c r="N45355"/>
      <c r="O45355" s="24"/>
      <c r="P45355"/>
      <c r="Q45355" s="24"/>
      <c r="R45355"/>
      <c r="S45355"/>
      <c r="T45355"/>
      <c r="U45355"/>
      <c r="X45355" s="60"/>
    </row>
    <row r="45356" spans="7:24" ht="15" customHeight="1">
      <c r="G45356"/>
      <c r="I45356"/>
      <c r="N45356"/>
      <c r="O45356" s="24"/>
      <c r="P45356"/>
      <c r="Q45356" s="24"/>
      <c r="R45356"/>
      <c r="S45356"/>
      <c r="T45356"/>
      <c r="U45356"/>
      <c r="X45356" s="60"/>
    </row>
    <row r="45357" spans="7:24" ht="15" customHeight="1">
      <c r="G45357"/>
      <c r="I45357"/>
      <c r="N45357"/>
      <c r="O45357" s="24"/>
      <c r="P45357"/>
      <c r="Q45357" s="24"/>
      <c r="R45357"/>
      <c r="S45357"/>
      <c r="T45357"/>
      <c r="U45357"/>
      <c r="X45357" s="60"/>
    </row>
    <row r="45358" spans="7:24" ht="15" customHeight="1">
      <c r="G45358"/>
      <c r="I45358"/>
      <c r="N45358"/>
      <c r="O45358" s="24"/>
      <c r="P45358"/>
      <c r="Q45358" s="24"/>
      <c r="R45358"/>
      <c r="S45358"/>
      <c r="T45358"/>
      <c r="U45358"/>
      <c r="X45358" s="60"/>
    </row>
    <row r="45359" spans="7:24" ht="15" customHeight="1">
      <c r="G45359"/>
      <c r="I45359"/>
      <c r="N45359"/>
      <c r="O45359" s="24"/>
      <c r="P45359"/>
      <c r="Q45359" s="24"/>
      <c r="R45359"/>
      <c r="S45359"/>
      <c r="T45359"/>
      <c r="U45359"/>
      <c r="X45359" s="60"/>
    </row>
    <row r="45360" spans="7:24" ht="15" customHeight="1">
      <c r="G45360"/>
      <c r="I45360"/>
      <c r="N45360"/>
      <c r="O45360" s="24"/>
      <c r="P45360"/>
      <c r="Q45360" s="24"/>
      <c r="R45360"/>
      <c r="S45360"/>
      <c r="T45360"/>
      <c r="U45360"/>
      <c r="X45360" s="60"/>
    </row>
    <row r="45361" spans="7:24" ht="15" customHeight="1">
      <c r="G45361"/>
      <c r="I45361"/>
      <c r="N45361"/>
      <c r="O45361" s="24"/>
      <c r="P45361"/>
      <c r="Q45361" s="24"/>
      <c r="R45361"/>
      <c r="S45361"/>
      <c r="T45361"/>
      <c r="U45361"/>
      <c r="X45361" s="60"/>
    </row>
    <row r="45362" spans="7:24" ht="15" customHeight="1">
      <c r="G45362"/>
      <c r="I45362"/>
      <c r="N45362"/>
      <c r="O45362" s="24"/>
      <c r="P45362"/>
      <c r="Q45362" s="24"/>
      <c r="R45362"/>
      <c r="S45362"/>
      <c r="T45362"/>
      <c r="U45362"/>
      <c r="X45362" s="60"/>
    </row>
    <row r="45363" spans="7:24" ht="15" customHeight="1">
      <c r="G45363"/>
      <c r="I45363"/>
      <c r="N45363"/>
      <c r="O45363" s="24"/>
      <c r="P45363"/>
      <c r="Q45363" s="24"/>
      <c r="R45363"/>
      <c r="S45363"/>
      <c r="T45363"/>
      <c r="U45363"/>
      <c r="X45363" s="60"/>
    </row>
    <row r="45364" spans="7:24" ht="15" customHeight="1">
      <c r="G45364"/>
      <c r="I45364"/>
      <c r="N45364"/>
      <c r="O45364" s="24"/>
      <c r="P45364"/>
      <c r="Q45364" s="24"/>
      <c r="R45364"/>
      <c r="S45364"/>
      <c r="T45364"/>
      <c r="U45364"/>
      <c r="X45364" s="60"/>
    </row>
    <row r="45365" spans="7:24" ht="15" customHeight="1">
      <c r="G45365"/>
      <c r="I45365"/>
      <c r="N45365"/>
      <c r="O45365" s="24"/>
      <c r="P45365"/>
      <c r="Q45365" s="24"/>
      <c r="R45365"/>
      <c r="S45365"/>
      <c r="T45365"/>
      <c r="U45365"/>
      <c r="X45365" s="60"/>
    </row>
    <row r="45366" spans="7:24" ht="15" customHeight="1">
      <c r="G45366"/>
      <c r="I45366"/>
      <c r="N45366"/>
      <c r="O45366" s="24"/>
      <c r="P45366"/>
      <c r="Q45366" s="24"/>
      <c r="R45366"/>
      <c r="S45366"/>
      <c r="T45366"/>
      <c r="U45366"/>
      <c r="X45366" s="60"/>
    </row>
    <row r="45367" spans="7:24" ht="15" customHeight="1">
      <c r="G45367"/>
      <c r="I45367"/>
      <c r="N45367"/>
      <c r="O45367" s="24"/>
      <c r="P45367"/>
      <c r="Q45367" s="24"/>
      <c r="R45367"/>
      <c r="S45367"/>
      <c r="T45367"/>
      <c r="U45367"/>
      <c r="X45367" s="60"/>
    </row>
    <row r="45368" spans="7:24" ht="15" customHeight="1">
      <c r="G45368"/>
      <c r="I45368"/>
      <c r="N45368"/>
      <c r="O45368" s="24"/>
      <c r="P45368"/>
      <c r="Q45368" s="24"/>
      <c r="R45368"/>
      <c r="S45368"/>
      <c r="T45368"/>
      <c r="U45368"/>
      <c r="X45368" s="60"/>
    </row>
    <row r="45369" spans="7:24" ht="15" customHeight="1">
      <c r="G45369"/>
      <c r="I45369"/>
      <c r="N45369"/>
      <c r="O45369" s="24"/>
      <c r="P45369"/>
      <c r="Q45369" s="24"/>
      <c r="R45369"/>
      <c r="S45369"/>
      <c r="T45369"/>
      <c r="U45369"/>
      <c r="X45369" s="60"/>
    </row>
    <row r="45370" spans="7:24" ht="15" customHeight="1">
      <c r="G45370"/>
      <c r="I45370"/>
      <c r="N45370"/>
      <c r="O45370" s="24"/>
      <c r="P45370"/>
      <c r="Q45370" s="24"/>
      <c r="R45370"/>
      <c r="S45370"/>
      <c r="T45370"/>
      <c r="U45370"/>
      <c r="X45370" s="60"/>
    </row>
    <row r="45371" spans="7:24" ht="15" customHeight="1">
      <c r="G45371"/>
      <c r="I45371"/>
      <c r="N45371"/>
      <c r="O45371" s="24"/>
      <c r="P45371"/>
      <c r="Q45371" s="24"/>
      <c r="R45371"/>
      <c r="S45371"/>
      <c r="T45371"/>
      <c r="U45371"/>
      <c r="X45371" s="60"/>
    </row>
    <row r="45372" spans="7:24" ht="15" customHeight="1">
      <c r="G45372"/>
      <c r="I45372"/>
      <c r="N45372"/>
      <c r="O45372" s="24"/>
      <c r="P45372"/>
      <c r="Q45372" s="24"/>
      <c r="R45372"/>
      <c r="S45372"/>
      <c r="T45372"/>
      <c r="U45372"/>
      <c r="X45372" s="60"/>
    </row>
    <row r="45373" spans="7:24" ht="15" customHeight="1">
      <c r="G45373"/>
      <c r="I45373"/>
      <c r="N45373"/>
      <c r="O45373" s="24"/>
      <c r="P45373"/>
      <c r="Q45373" s="24"/>
      <c r="R45373"/>
      <c r="S45373"/>
      <c r="T45373"/>
      <c r="U45373"/>
      <c r="X45373" s="60"/>
    </row>
    <row r="45374" spans="7:24" ht="15" customHeight="1">
      <c r="G45374"/>
      <c r="I45374"/>
      <c r="N45374"/>
      <c r="O45374" s="24"/>
      <c r="P45374"/>
      <c r="Q45374" s="24"/>
      <c r="R45374"/>
      <c r="S45374"/>
      <c r="T45374"/>
      <c r="U45374"/>
      <c r="X45374" s="60"/>
    </row>
    <row r="45375" spans="7:24" ht="15" customHeight="1">
      <c r="G45375"/>
      <c r="I45375"/>
      <c r="N45375"/>
      <c r="O45375" s="24"/>
      <c r="P45375"/>
      <c r="Q45375" s="24"/>
      <c r="R45375"/>
      <c r="S45375"/>
      <c r="T45375"/>
      <c r="U45375"/>
      <c r="X45375" s="60"/>
    </row>
    <row r="45376" spans="7:24" ht="15" customHeight="1">
      <c r="G45376"/>
      <c r="I45376"/>
      <c r="N45376"/>
      <c r="O45376" s="24"/>
      <c r="P45376"/>
      <c r="Q45376" s="24"/>
      <c r="R45376"/>
      <c r="S45376"/>
      <c r="T45376"/>
      <c r="U45376"/>
      <c r="X45376" s="60"/>
    </row>
    <row r="45377" spans="7:24" ht="15" customHeight="1">
      <c r="G45377"/>
      <c r="I45377"/>
      <c r="N45377"/>
      <c r="O45377" s="24"/>
      <c r="P45377"/>
      <c r="Q45377" s="24"/>
      <c r="R45377"/>
      <c r="S45377"/>
      <c r="T45377"/>
      <c r="U45377"/>
      <c r="X45377" s="60"/>
    </row>
    <row r="45378" spans="7:24" ht="15" customHeight="1">
      <c r="G45378"/>
      <c r="I45378"/>
      <c r="N45378"/>
      <c r="O45378" s="24"/>
      <c r="P45378"/>
      <c r="Q45378" s="24"/>
      <c r="R45378"/>
      <c r="S45378"/>
      <c r="T45378"/>
      <c r="U45378"/>
      <c r="X45378" s="60"/>
    </row>
    <row r="45379" spans="7:24" ht="15" customHeight="1">
      <c r="G45379"/>
      <c r="I45379"/>
      <c r="N45379"/>
      <c r="O45379" s="24"/>
      <c r="P45379"/>
      <c r="Q45379" s="24"/>
      <c r="R45379"/>
      <c r="S45379"/>
      <c r="T45379"/>
      <c r="U45379"/>
      <c r="X45379" s="60"/>
    </row>
    <row r="45380" spans="7:24" ht="15" customHeight="1">
      <c r="G45380"/>
      <c r="I45380"/>
      <c r="N45380"/>
      <c r="O45380" s="24"/>
      <c r="P45380"/>
      <c r="Q45380" s="24"/>
      <c r="R45380"/>
      <c r="S45380"/>
      <c r="T45380"/>
      <c r="U45380"/>
      <c r="X45380" s="60"/>
    </row>
    <row r="45381" spans="7:24" ht="15" customHeight="1">
      <c r="G45381"/>
      <c r="I45381"/>
      <c r="N45381"/>
      <c r="O45381" s="24"/>
      <c r="P45381"/>
      <c r="Q45381" s="24"/>
      <c r="R45381"/>
      <c r="S45381"/>
      <c r="T45381"/>
      <c r="U45381"/>
      <c r="X45381" s="60"/>
    </row>
    <row r="45382" spans="7:24" ht="15" customHeight="1">
      <c r="G45382"/>
      <c r="I45382"/>
      <c r="N45382"/>
      <c r="O45382" s="24"/>
      <c r="P45382"/>
      <c r="Q45382" s="24"/>
      <c r="R45382"/>
      <c r="S45382"/>
      <c r="T45382"/>
      <c r="U45382"/>
      <c r="X45382" s="60"/>
    </row>
    <row r="45383" spans="7:24" ht="15" customHeight="1">
      <c r="G45383"/>
      <c r="I45383"/>
      <c r="N45383"/>
      <c r="O45383" s="24"/>
      <c r="P45383"/>
      <c r="Q45383" s="24"/>
      <c r="R45383"/>
      <c r="S45383"/>
      <c r="T45383"/>
      <c r="U45383"/>
      <c r="X45383" s="60"/>
    </row>
    <row r="45384" spans="7:24" ht="15" customHeight="1">
      <c r="G45384"/>
      <c r="I45384"/>
      <c r="N45384"/>
      <c r="O45384" s="24"/>
      <c r="P45384"/>
      <c r="Q45384" s="24"/>
      <c r="R45384"/>
      <c r="S45384"/>
      <c r="T45384"/>
      <c r="U45384"/>
      <c r="X45384" s="60"/>
    </row>
    <row r="45385" spans="7:24" ht="15" customHeight="1">
      <c r="G45385"/>
      <c r="I45385"/>
      <c r="N45385"/>
      <c r="O45385" s="24"/>
      <c r="P45385"/>
      <c r="Q45385" s="24"/>
      <c r="R45385"/>
      <c r="S45385"/>
      <c r="T45385"/>
      <c r="U45385"/>
      <c r="X45385" s="60"/>
    </row>
    <row r="45386" spans="7:24" ht="15" customHeight="1">
      <c r="G45386"/>
      <c r="I45386"/>
      <c r="N45386"/>
      <c r="O45386" s="24"/>
      <c r="P45386"/>
      <c r="Q45386" s="24"/>
      <c r="R45386"/>
      <c r="S45386"/>
      <c r="T45386"/>
      <c r="U45386"/>
      <c r="X45386" s="60"/>
    </row>
    <row r="45387" spans="7:24" ht="15" customHeight="1">
      <c r="G45387"/>
      <c r="I45387"/>
      <c r="N45387"/>
      <c r="O45387" s="24"/>
      <c r="P45387"/>
      <c r="Q45387" s="24"/>
      <c r="R45387"/>
      <c r="S45387"/>
      <c r="T45387"/>
      <c r="U45387"/>
      <c r="X45387" s="60"/>
    </row>
    <row r="45388" spans="7:24" ht="15" customHeight="1">
      <c r="G45388"/>
      <c r="I45388"/>
      <c r="N45388"/>
      <c r="O45388" s="24"/>
      <c r="P45388"/>
      <c r="Q45388" s="24"/>
      <c r="R45388"/>
      <c r="S45388"/>
      <c r="T45388"/>
      <c r="U45388"/>
      <c r="X45388" s="60"/>
    </row>
    <row r="45389" spans="7:24" ht="15" customHeight="1">
      <c r="G45389"/>
      <c r="I45389"/>
      <c r="N45389"/>
      <c r="O45389" s="24"/>
      <c r="P45389"/>
      <c r="Q45389" s="24"/>
      <c r="R45389"/>
      <c r="S45389"/>
      <c r="T45389"/>
      <c r="U45389"/>
      <c r="X45389" s="60"/>
    </row>
    <row r="45390" spans="7:24" ht="15" customHeight="1">
      <c r="G45390"/>
      <c r="I45390"/>
      <c r="N45390"/>
      <c r="O45390" s="24"/>
      <c r="P45390"/>
      <c r="Q45390" s="24"/>
      <c r="R45390"/>
      <c r="S45390"/>
      <c r="T45390"/>
      <c r="U45390"/>
      <c r="X45390" s="60"/>
    </row>
    <row r="45391" spans="7:24" ht="15" customHeight="1">
      <c r="G45391"/>
      <c r="I45391"/>
      <c r="N45391"/>
      <c r="O45391" s="24"/>
      <c r="P45391"/>
      <c r="Q45391" s="24"/>
      <c r="R45391"/>
      <c r="S45391"/>
      <c r="T45391"/>
      <c r="U45391"/>
      <c r="X45391" s="60"/>
    </row>
    <row r="45392" spans="7:24" ht="15" customHeight="1">
      <c r="G45392"/>
      <c r="I45392"/>
      <c r="N45392"/>
      <c r="O45392" s="24"/>
      <c r="P45392"/>
      <c r="Q45392" s="24"/>
      <c r="R45392"/>
      <c r="S45392"/>
      <c r="T45392"/>
      <c r="U45392"/>
      <c r="X45392" s="60"/>
    </row>
    <row r="45393" spans="7:24" ht="15" customHeight="1">
      <c r="G45393"/>
      <c r="I45393"/>
      <c r="N45393"/>
      <c r="O45393" s="24"/>
      <c r="P45393"/>
      <c r="Q45393" s="24"/>
      <c r="R45393"/>
      <c r="S45393"/>
      <c r="T45393"/>
      <c r="U45393"/>
      <c r="X45393" s="60"/>
    </row>
    <row r="45394" spans="7:24" ht="15" customHeight="1">
      <c r="G45394"/>
      <c r="I45394"/>
      <c r="N45394"/>
      <c r="O45394" s="24"/>
      <c r="P45394"/>
      <c r="Q45394" s="24"/>
      <c r="R45394"/>
      <c r="S45394"/>
      <c r="T45394"/>
      <c r="U45394"/>
      <c r="X45394" s="60"/>
    </row>
    <row r="45395" spans="7:24" ht="15" customHeight="1">
      <c r="G45395"/>
      <c r="I45395"/>
      <c r="N45395"/>
      <c r="O45395" s="24"/>
      <c r="P45395"/>
      <c r="Q45395" s="24"/>
      <c r="R45395"/>
      <c r="S45395"/>
      <c r="T45395"/>
      <c r="U45395"/>
      <c r="X45395" s="60"/>
    </row>
    <row r="45396" spans="7:24" ht="15" customHeight="1">
      <c r="G45396"/>
      <c r="I45396"/>
      <c r="N45396"/>
      <c r="O45396" s="24"/>
      <c r="P45396"/>
      <c r="Q45396" s="24"/>
      <c r="R45396"/>
      <c r="S45396"/>
      <c r="T45396"/>
      <c r="U45396"/>
      <c r="X45396" s="60"/>
    </row>
    <row r="45397" spans="7:24" ht="15" customHeight="1">
      <c r="G45397"/>
      <c r="I45397"/>
      <c r="N45397"/>
      <c r="O45397" s="24"/>
      <c r="P45397"/>
      <c r="Q45397" s="24"/>
      <c r="R45397"/>
      <c r="S45397"/>
      <c r="T45397"/>
      <c r="U45397"/>
      <c r="X45397" s="60"/>
    </row>
    <row r="45398" spans="7:24" ht="15" customHeight="1">
      <c r="G45398"/>
      <c r="I45398"/>
      <c r="N45398"/>
      <c r="O45398" s="24"/>
      <c r="P45398"/>
      <c r="Q45398" s="24"/>
      <c r="R45398"/>
      <c r="S45398"/>
      <c r="T45398"/>
      <c r="U45398"/>
      <c r="X45398" s="60"/>
    </row>
    <row r="45399" spans="7:24" ht="15" customHeight="1">
      <c r="G45399"/>
      <c r="I45399"/>
      <c r="N45399"/>
      <c r="O45399" s="24"/>
      <c r="P45399"/>
      <c r="Q45399" s="24"/>
      <c r="R45399"/>
      <c r="S45399"/>
      <c r="T45399"/>
      <c r="U45399"/>
      <c r="X45399" s="60"/>
    </row>
    <row r="45400" spans="7:24" ht="15" customHeight="1">
      <c r="G45400"/>
      <c r="I45400"/>
      <c r="N45400"/>
      <c r="O45400" s="24"/>
      <c r="P45400"/>
      <c r="Q45400" s="24"/>
      <c r="R45400"/>
      <c r="S45400"/>
      <c r="T45400"/>
      <c r="U45400"/>
      <c r="X45400" s="60"/>
    </row>
    <row r="45401" spans="7:24" ht="15" customHeight="1">
      <c r="G45401"/>
      <c r="I45401"/>
      <c r="N45401"/>
      <c r="O45401" s="24"/>
      <c r="P45401"/>
      <c r="Q45401" s="24"/>
      <c r="R45401"/>
      <c r="S45401"/>
      <c r="T45401"/>
      <c r="U45401"/>
      <c r="X45401" s="60"/>
    </row>
    <row r="45402" spans="7:24" ht="15" customHeight="1">
      <c r="G45402"/>
      <c r="I45402"/>
      <c r="N45402"/>
      <c r="O45402" s="24"/>
      <c r="P45402"/>
      <c r="Q45402" s="24"/>
      <c r="R45402"/>
      <c r="S45402"/>
      <c r="T45402"/>
      <c r="U45402"/>
      <c r="X45402" s="60"/>
    </row>
    <row r="45403" spans="7:24" ht="15" customHeight="1">
      <c r="G45403"/>
      <c r="I45403"/>
      <c r="N45403"/>
      <c r="O45403" s="24"/>
      <c r="P45403"/>
      <c r="Q45403" s="24"/>
      <c r="R45403"/>
      <c r="S45403"/>
      <c r="T45403"/>
      <c r="U45403"/>
      <c r="X45403" s="60"/>
    </row>
    <row r="45404" spans="7:24" ht="15" customHeight="1">
      <c r="G45404"/>
      <c r="I45404"/>
      <c r="N45404"/>
      <c r="O45404" s="24"/>
      <c r="P45404"/>
      <c r="Q45404" s="24"/>
      <c r="R45404"/>
      <c r="S45404"/>
      <c r="T45404"/>
      <c r="U45404"/>
      <c r="X45404" s="60"/>
    </row>
    <row r="45405" spans="7:24" ht="15" customHeight="1">
      <c r="G45405"/>
      <c r="I45405"/>
      <c r="N45405"/>
      <c r="O45405" s="24"/>
      <c r="P45405"/>
      <c r="Q45405" s="24"/>
      <c r="R45405"/>
      <c r="S45405"/>
      <c r="T45405"/>
      <c r="U45405"/>
      <c r="X45405" s="60"/>
    </row>
    <row r="45406" spans="7:24" ht="15" customHeight="1">
      <c r="G45406"/>
      <c r="I45406"/>
      <c r="N45406"/>
      <c r="O45406" s="24"/>
      <c r="P45406"/>
      <c r="Q45406" s="24"/>
      <c r="R45406"/>
      <c r="S45406"/>
      <c r="T45406"/>
      <c r="U45406"/>
      <c r="X45406" s="60"/>
    </row>
    <row r="45407" spans="7:24" ht="15" customHeight="1">
      <c r="G45407"/>
      <c r="I45407"/>
      <c r="N45407"/>
      <c r="O45407" s="24"/>
      <c r="P45407"/>
      <c r="Q45407" s="24"/>
      <c r="R45407"/>
      <c r="S45407"/>
      <c r="T45407"/>
      <c r="U45407"/>
      <c r="X45407" s="60"/>
    </row>
    <row r="45408" spans="7:24" ht="15" customHeight="1">
      <c r="G45408"/>
      <c r="I45408"/>
      <c r="N45408"/>
      <c r="O45408" s="24"/>
      <c r="P45408"/>
      <c r="Q45408" s="24"/>
      <c r="R45408"/>
      <c r="S45408"/>
      <c r="T45408"/>
      <c r="U45408"/>
      <c r="X45408" s="60"/>
    </row>
    <row r="45409" spans="7:24" ht="15" customHeight="1">
      <c r="G45409"/>
      <c r="I45409"/>
      <c r="N45409"/>
      <c r="O45409" s="24"/>
      <c r="P45409"/>
      <c r="Q45409" s="24"/>
      <c r="R45409"/>
      <c r="S45409"/>
      <c r="T45409"/>
      <c r="U45409"/>
      <c r="X45409" s="60"/>
    </row>
    <row r="45410" spans="7:24" ht="15" customHeight="1">
      <c r="G45410"/>
      <c r="I45410"/>
      <c r="N45410"/>
      <c r="O45410" s="24"/>
      <c r="P45410"/>
      <c r="Q45410" s="24"/>
      <c r="R45410"/>
      <c r="S45410"/>
      <c r="T45410"/>
      <c r="U45410"/>
      <c r="X45410" s="60"/>
    </row>
    <row r="45411" spans="7:24" ht="15" customHeight="1">
      <c r="G45411"/>
      <c r="I45411"/>
      <c r="N45411"/>
      <c r="O45411" s="24"/>
      <c r="P45411"/>
      <c r="Q45411" s="24"/>
      <c r="R45411"/>
      <c r="S45411"/>
      <c r="T45411"/>
      <c r="U45411"/>
      <c r="X45411" s="60"/>
    </row>
    <row r="45412" spans="7:24" ht="15" customHeight="1">
      <c r="G45412"/>
      <c r="I45412"/>
      <c r="N45412"/>
      <c r="O45412" s="24"/>
      <c r="P45412"/>
      <c r="Q45412" s="24"/>
      <c r="R45412"/>
      <c r="S45412"/>
      <c r="T45412"/>
      <c r="U45412"/>
      <c r="X45412" s="60"/>
    </row>
    <row r="45413" spans="7:24" ht="15" customHeight="1">
      <c r="G45413"/>
      <c r="I45413"/>
      <c r="N45413"/>
      <c r="O45413" s="24"/>
      <c r="P45413"/>
      <c r="Q45413" s="24"/>
      <c r="R45413"/>
      <c r="S45413"/>
      <c r="T45413"/>
      <c r="U45413"/>
      <c r="X45413" s="60"/>
    </row>
    <row r="45414" spans="7:24" ht="15" customHeight="1">
      <c r="G45414"/>
      <c r="I45414"/>
      <c r="N45414"/>
      <c r="O45414" s="24"/>
      <c r="P45414"/>
      <c r="Q45414" s="24"/>
      <c r="R45414"/>
      <c r="S45414"/>
      <c r="T45414"/>
      <c r="U45414"/>
      <c r="X45414" s="60"/>
    </row>
    <row r="45415" spans="7:24" ht="15" customHeight="1">
      <c r="G45415"/>
      <c r="I45415"/>
      <c r="N45415"/>
      <c r="O45415" s="24"/>
      <c r="P45415"/>
      <c r="Q45415" s="24"/>
      <c r="R45415"/>
      <c r="S45415"/>
      <c r="T45415"/>
      <c r="U45415"/>
      <c r="X45415" s="60"/>
    </row>
    <row r="45416" spans="7:24" ht="15" customHeight="1">
      <c r="G45416"/>
      <c r="I45416"/>
      <c r="N45416"/>
      <c r="O45416" s="24"/>
      <c r="P45416"/>
      <c r="Q45416" s="24"/>
      <c r="R45416"/>
      <c r="S45416"/>
      <c r="T45416"/>
      <c r="U45416"/>
      <c r="X45416" s="60"/>
    </row>
    <row r="45417" spans="7:24" ht="15" customHeight="1">
      <c r="G45417"/>
      <c r="I45417"/>
      <c r="N45417"/>
      <c r="O45417" s="24"/>
      <c r="P45417"/>
      <c r="Q45417" s="24"/>
      <c r="R45417"/>
      <c r="S45417"/>
      <c r="T45417"/>
      <c r="U45417"/>
      <c r="X45417" s="60"/>
    </row>
    <row r="45418" spans="7:24" ht="15" customHeight="1">
      <c r="G45418"/>
      <c r="I45418"/>
      <c r="N45418"/>
      <c r="O45418" s="24"/>
      <c r="P45418"/>
      <c r="Q45418" s="24"/>
      <c r="R45418"/>
      <c r="S45418"/>
      <c r="T45418"/>
      <c r="U45418"/>
      <c r="X45418" s="60"/>
    </row>
    <row r="45419" spans="7:24" ht="15" customHeight="1">
      <c r="G45419"/>
      <c r="I45419"/>
      <c r="N45419"/>
      <c r="O45419" s="24"/>
      <c r="P45419"/>
      <c r="Q45419" s="24"/>
      <c r="R45419"/>
      <c r="S45419"/>
      <c r="T45419"/>
      <c r="U45419"/>
      <c r="X45419" s="60"/>
    </row>
    <row r="45420" spans="7:24" ht="15" customHeight="1">
      <c r="G45420"/>
      <c r="I45420"/>
      <c r="N45420"/>
      <c r="O45420" s="24"/>
      <c r="P45420"/>
      <c r="Q45420" s="24"/>
      <c r="R45420"/>
      <c r="S45420"/>
      <c r="T45420"/>
      <c r="U45420"/>
      <c r="X45420" s="60"/>
    </row>
    <row r="45421" spans="7:24" ht="15" customHeight="1">
      <c r="G45421"/>
      <c r="I45421"/>
      <c r="N45421"/>
      <c r="O45421" s="24"/>
      <c r="P45421"/>
      <c r="Q45421" s="24"/>
      <c r="R45421"/>
      <c r="S45421"/>
      <c r="T45421"/>
      <c r="U45421"/>
      <c r="X45421" s="60"/>
    </row>
    <row r="45422" spans="7:24" ht="15" customHeight="1">
      <c r="G45422"/>
      <c r="I45422"/>
      <c r="N45422"/>
      <c r="O45422" s="24"/>
      <c r="P45422"/>
      <c r="Q45422" s="24"/>
      <c r="R45422"/>
      <c r="S45422"/>
      <c r="T45422"/>
      <c r="U45422"/>
      <c r="X45422" s="60"/>
    </row>
    <row r="45423" spans="7:24" ht="15" customHeight="1">
      <c r="G45423"/>
      <c r="I45423"/>
      <c r="N45423"/>
      <c r="O45423" s="24"/>
      <c r="P45423"/>
      <c r="Q45423" s="24"/>
      <c r="R45423"/>
      <c r="S45423"/>
      <c r="T45423"/>
      <c r="U45423"/>
      <c r="X45423" s="60"/>
    </row>
    <row r="45424" spans="7:24" ht="15" customHeight="1">
      <c r="G45424"/>
      <c r="I45424"/>
      <c r="N45424"/>
      <c r="O45424" s="24"/>
      <c r="P45424"/>
      <c r="Q45424" s="24"/>
      <c r="R45424"/>
      <c r="S45424"/>
      <c r="T45424"/>
      <c r="U45424"/>
      <c r="X45424" s="60"/>
    </row>
    <row r="45425" spans="7:24" ht="15" customHeight="1">
      <c r="G45425"/>
      <c r="I45425"/>
      <c r="N45425"/>
      <c r="O45425" s="24"/>
      <c r="P45425"/>
      <c r="Q45425" s="24"/>
      <c r="R45425"/>
      <c r="S45425"/>
      <c r="T45425"/>
      <c r="U45425"/>
      <c r="X45425" s="60"/>
    </row>
    <row r="45426" spans="7:24" ht="15" customHeight="1">
      <c r="G45426"/>
      <c r="I45426"/>
      <c r="N45426"/>
      <c r="O45426" s="24"/>
      <c r="P45426"/>
      <c r="Q45426" s="24"/>
      <c r="R45426"/>
      <c r="S45426"/>
      <c r="T45426"/>
      <c r="U45426"/>
      <c r="X45426" s="60"/>
    </row>
    <row r="45427" spans="7:24" ht="15" customHeight="1">
      <c r="G45427"/>
      <c r="I45427"/>
      <c r="N45427"/>
      <c r="O45427" s="24"/>
      <c r="P45427"/>
      <c r="Q45427" s="24"/>
      <c r="R45427"/>
      <c r="S45427"/>
      <c r="T45427"/>
      <c r="U45427"/>
      <c r="X45427" s="60"/>
    </row>
    <row r="45428" spans="7:24" ht="15" customHeight="1">
      <c r="G45428"/>
      <c r="I45428"/>
      <c r="N45428"/>
      <c r="O45428" s="24"/>
      <c r="P45428"/>
      <c r="Q45428" s="24"/>
      <c r="R45428"/>
      <c r="S45428"/>
      <c r="T45428"/>
      <c r="U45428"/>
      <c r="X45428" s="60"/>
    </row>
    <row r="45429" spans="7:24" ht="15" customHeight="1">
      <c r="G45429"/>
      <c r="I45429"/>
      <c r="N45429"/>
      <c r="O45429" s="24"/>
      <c r="P45429"/>
      <c r="Q45429" s="24"/>
      <c r="R45429"/>
      <c r="S45429"/>
      <c r="T45429"/>
      <c r="U45429"/>
      <c r="X45429" s="60"/>
    </row>
    <row r="45430" spans="7:24" ht="15" customHeight="1">
      <c r="G45430"/>
      <c r="I45430"/>
      <c r="N45430"/>
      <c r="O45430" s="24"/>
      <c r="P45430"/>
      <c r="Q45430" s="24"/>
      <c r="R45430"/>
      <c r="S45430"/>
      <c r="T45430"/>
      <c r="U45430"/>
      <c r="X45430" s="60"/>
    </row>
    <row r="45431" spans="7:24" ht="15" customHeight="1">
      <c r="G45431"/>
      <c r="I45431"/>
      <c r="N45431"/>
      <c r="O45431" s="24"/>
      <c r="P45431"/>
      <c r="Q45431" s="24"/>
      <c r="R45431"/>
      <c r="S45431"/>
      <c r="T45431"/>
      <c r="U45431"/>
      <c r="X45431" s="60"/>
    </row>
    <row r="45432" spans="7:24" ht="15" customHeight="1">
      <c r="G45432"/>
      <c r="I45432"/>
      <c r="N45432"/>
      <c r="O45432" s="24"/>
      <c r="P45432"/>
      <c r="Q45432" s="24"/>
      <c r="R45432"/>
      <c r="S45432"/>
      <c r="T45432"/>
      <c r="U45432"/>
      <c r="X45432" s="60"/>
    </row>
    <row r="45433" spans="7:24" ht="15" customHeight="1">
      <c r="G45433"/>
      <c r="I45433"/>
      <c r="N45433"/>
      <c r="O45433" s="24"/>
      <c r="P45433"/>
      <c r="Q45433" s="24"/>
      <c r="R45433"/>
      <c r="S45433"/>
      <c r="T45433"/>
      <c r="U45433"/>
      <c r="X45433" s="60"/>
    </row>
    <row r="45434" spans="7:24" ht="15" customHeight="1">
      <c r="G45434"/>
      <c r="I45434"/>
      <c r="N45434"/>
      <c r="O45434" s="24"/>
      <c r="P45434"/>
      <c r="Q45434" s="24"/>
      <c r="R45434"/>
      <c r="S45434"/>
      <c r="T45434"/>
      <c r="U45434"/>
      <c r="X45434" s="60"/>
    </row>
    <row r="45435" spans="7:24" ht="15" customHeight="1">
      <c r="G45435"/>
      <c r="I45435"/>
      <c r="N45435"/>
      <c r="O45435" s="24"/>
      <c r="P45435"/>
      <c r="Q45435" s="24"/>
      <c r="R45435"/>
      <c r="S45435"/>
      <c r="T45435"/>
      <c r="U45435"/>
      <c r="X45435" s="60"/>
    </row>
    <row r="45436" spans="7:24" ht="15" customHeight="1">
      <c r="G45436"/>
      <c r="I45436"/>
      <c r="N45436"/>
      <c r="O45436" s="24"/>
      <c r="P45436"/>
      <c r="Q45436" s="24"/>
      <c r="R45436"/>
      <c r="S45436"/>
      <c r="T45436"/>
      <c r="U45436"/>
      <c r="X45436" s="60"/>
    </row>
    <row r="45437" spans="7:24" ht="15" customHeight="1">
      <c r="G45437"/>
      <c r="I45437"/>
      <c r="N45437"/>
      <c r="O45437" s="24"/>
      <c r="P45437"/>
      <c r="Q45437" s="24"/>
      <c r="R45437"/>
      <c r="S45437"/>
      <c r="T45437"/>
      <c r="U45437"/>
      <c r="X45437" s="60"/>
    </row>
    <row r="45438" spans="7:24" ht="15" customHeight="1">
      <c r="G45438"/>
      <c r="I45438"/>
      <c r="N45438"/>
      <c r="O45438" s="24"/>
      <c r="P45438"/>
      <c r="Q45438" s="24"/>
      <c r="R45438"/>
      <c r="S45438"/>
      <c r="T45438"/>
      <c r="U45438"/>
      <c r="X45438" s="60"/>
    </row>
    <row r="45439" spans="7:24" ht="15" customHeight="1">
      <c r="G45439"/>
      <c r="I45439"/>
      <c r="N45439"/>
      <c r="O45439" s="24"/>
      <c r="P45439"/>
      <c r="Q45439" s="24"/>
      <c r="R45439"/>
      <c r="S45439"/>
      <c r="T45439"/>
      <c r="U45439"/>
      <c r="X45439" s="60"/>
    </row>
    <row r="45440" spans="7:24" ht="15" customHeight="1">
      <c r="G45440"/>
      <c r="I45440"/>
      <c r="N45440"/>
      <c r="O45440" s="24"/>
      <c r="P45440"/>
      <c r="Q45440" s="24"/>
      <c r="R45440"/>
      <c r="S45440"/>
      <c r="T45440"/>
      <c r="U45440"/>
      <c r="X45440" s="60"/>
    </row>
    <row r="45441" spans="7:24" ht="15" customHeight="1">
      <c r="G45441"/>
      <c r="I45441"/>
      <c r="N45441"/>
      <c r="O45441" s="24"/>
      <c r="P45441"/>
      <c r="Q45441" s="24"/>
      <c r="R45441"/>
      <c r="S45441"/>
      <c r="T45441"/>
      <c r="U45441"/>
      <c r="X45441" s="60"/>
    </row>
    <row r="45442" spans="7:24" ht="15" customHeight="1">
      <c r="G45442"/>
      <c r="I45442"/>
      <c r="N45442"/>
      <c r="O45442" s="24"/>
      <c r="P45442"/>
      <c r="Q45442" s="24"/>
      <c r="R45442"/>
      <c r="S45442"/>
      <c r="T45442"/>
      <c r="U45442"/>
      <c r="X45442" s="60"/>
    </row>
    <row r="45443" spans="7:24" ht="15" customHeight="1">
      <c r="G45443"/>
      <c r="I45443"/>
      <c r="N45443"/>
      <c r="O45443" s="24"/>
      <c r="P45443"/>
      <c r="Q45443" s="24"/>
      <c r="R45443"/>
      <c r="S45443"/>
      <c r="T45443"/>
      <c r="U45443"/>
      <c r="X45443" s="60"/>
    </row>
    <row r="45444" spans="7:24" ht="15" customHeight="1">
      <c r="G45444"/>
      <c r="I45444"/>
      <c r="N45444"/>
      <c r="O45444" s="24"/>
      <c r="P45444"/>
      <c r="Q45444" s="24"/>
      <c r="R45444"/>
      <c r="S45444"/>
      <c r="T45444"/>
      <c r="U45444"/>
      <c r="X45444" s="60"/>
    </row>
    <row r="45445" spans="7:24" ht="15" customHeight="1">
      <c r="G45445"/>
      <c r="I45445"/>
      <c r="N45445"/>
      <c r="O45445" s="24"/>
      <c r="P45445"/>
      <c r="Q45445" s="24"/>
      <c r="R45445"/>
      <c r="S45445"/>
      <c r="T45445"/>
      <c r="U45445"/>
      <c r="X45445" s="60"/>
    </row>
    <row r="45446" spans="7:24" ht="15" customHeight="1">
      <c r="G45446"/>
      <c r="I45446"/>
      <c r="N45446"/>
      <c r="O45446" s="24"/>
      <c r="P45446"/>
      <c r="Q45446" s="24"/>
      <c r="R45446"/>
      <c r="S45446"/>
      <c r="T45446"/>
      <c r="U45446"/>
      <c r="X45446" s="60"/>
    </row>
    <row r="45447" spans="7:24" ht="15" customHeight="1">
      <c r="G45447"/>
      <c r="I45447"/>
      <c r="N45447"/>
      <c r="O45447" s="24"/>
      <c r="P45447"/>
      <c r="Q45447" s="24"/>
      <c r="R45447"/>
      <c r="S45447"/>
      <c r="T45447"/>
      <c r="U45447"/>
      <c r="X45447" s="60"/>
    </row>
    <row r="45448" spans="7:24" ht="15" customHeight="1">
      <c r="G45448"/>
      <c r="I45448"/>
      <c r="N45448"/>
      <c r="O45448" s="24"/>
      <c r="P45448"/>
      <c r="Q45448" s="24"/>
      <c r="R45448"/>
      <c r="S45448"/>
      <c r="T45448"/>
      <c r="U45448"/>
      <c r="X45448" s="60"/>
    </row>
    <row r="45449" spans="7:24" ht="15" customHeight="1">
      <c r="G45449"/>
      <c r="I45449"/>
      <c r="N45449"/>
      <c r="O45449" s="24"/>
      <c r="P45449"/>
      <c r="Q45449" s="24"/>
      <c r="R45449"/>
      <c r="S45449"/>
      <c r="T45449"/>
      <c r="U45449"/>
      <c r="X45449" s="60"/>
    </row>
    <row r="45450" spans="7:24" ht="15" customHeight="1">
      <c r="G45450"/>
      <c r="I45450"/>
      <c r="N45450"/>
      <c r="O45450" s="24"/>
      <c r="P45450"/>
      <c r="Q45450" s="24"/>
      <c r="R45450"/>
      <c r="S45450"/>
      <c r="T45450"/>
      <c r="U45450"/>
      <c r="X45450" s="60"/>
    </row>
    <row r="45451" spans="7:24" ht="15" customHeight="1">
      <c r="G45451"/>
      <c r="I45451"/>
      <c r="N45451"/>
      <c r="O45451" s="24"/>
      <c r="P45451"/>
      <c r="Q45451" s="24"/>
      <c r="R45451"/>
      <c r="S45451"/>
      <c r="T45451"/>
      <c r="U45451"/>
      <c r="X45451" s="60"/>
    </row>
    <row r="45452" spans="7:24" ht="15" customHeight="1">
      <c r="G45452"/>
      <c r="I45452"/>
      <c r="N45452"/>
      <c r="O45452" s="24"/>
      <c r="P45452"/>
      <c r="Q45452" s="24"/>
      <c r="R45452"/>
      <c r="S45452"/>
      <c r="T45452"/>
      <c r="U45452"/>
      <c r="X45452" s="60"/>
    </row>
    <row r="45453" spans="7:24" ht="15" customHeight="1">
      <c r="G45453"/>
      <c r="I45453"/>
      <c r="N45453"/>
      <c r="O45453" s="24"/>
      <c r="P45453"/>
      <c r="Q45453" s="24"/>
      <c r="R45453"/>
      <c r="S45453"/>
      <c r="T45453"/>
      <c r="U45453"/>
      <c r="X45453" s="60"/>
    </row>
    <row r="45454" spans="7:24" ht="15" customHeight="1">
      <c r="G45454"/>
      <c r="I45454"/>
      <c r="N45454"/>
      <c r="O45454" s="24"/>
      <c r="P45454"/>
      <c r="Q45454" s="24"/>
      <c r="R45454"/>
      <c r="S45454"/>
      <c r="T45454"/>
      <c r="U45454"/>
      <c r="X45454" s="60"/>
    </row>
    <row r="45455" spans="7:24" ht="15" customHeight="1">
      <c r="G45455"/>
      <c r="I45455"/>
      <c r="N45455"/>
      <c r="O45455" s="24"/>
      <c r="P45455"/>
      <c r="Q45455" s="24"/>
      <c r="R45455"/>
      <c r="S45455"/>
      <c r="T45455"/>
      <c r="U45455"/>
      <c r="X45455" s="60"/>
    </row>
    <row r="45456" spans="7:24" ht="15" customHeight="1">
      <c r="G45456"/>
      <c r="I45456"/>
      <c r="N45456"/>
      <c r="O45456" s="24"/>
      <c r="P45456"/>
      <c r="Q45456" s="24"/>
      <c r="R45456"/>
      <c r="S45456"/>
      <c r="T45456"/>
      <c r="U45456"/>
      <c r="X45456" s="60"/>
    </row>
    <row r="45457" spans="7:24" ht="15" customHeight="1">
      <c r="G45457"/>
      <c r="I45457"/>
      <c r="N45457"/>
      <c r="O45457" s="24"/>
      <c r="P45457"/>
      <c r="Q45457" s="24"/>
      <c r="R45457"/>
      <c r="S45457"/>
      <c r="T45457"/>
      <c r="U45457"/>
      <c r="X45457" s="60"/>
    </row>
    <row r="45458" spans="7:24" ht="15" customHeight="1">
      <c r="G45458"/>
      <c r="I45458"/>
      <c r="N45458"/>
      <c r="O45458" s="24"/>
      <c r="P45458"/>
      <c r="Q45458" s="24"/>
      <c r="R45458"/>
      <c r="S45458"/>
      <c r="T45458"/>
      <c r="U45458"/>
      <c r="X45458" s="60"/>
    </row>
    <row r="45459" spans="7:24" ht="15" customHeight="1">
      <c r="G45459"/>
      <c r="I45459"/>
      <c r="N45459"/>
      <c r="O45459" s="24"/>
      <c r="P45459"/>
      <c r="Q45459" s="24"/>
      <c r="R45459"/>
      <c r="S45459"/>
      <c r="T45459"/>
      <c r="U45459"/>
      <c r="X45459" s="60"/>
    </row>
    <row r="45460" spans="7:24" ht="15" customHeight="1">
      <c r="G45460"/>
      <c r="I45460"/>
      <c r="N45460"/>
      <c r="O45460" s="24"/>
      <c r="P45460"/>
      <c r="Q45460" s="24"/>
      <c r="R45460"/>
      <c r="S45460"/>
      <c r="T45460"/>
      <c r="U45460"/>
      <c r="X45460" s="60"/>
    </row>
    <row r="45461" spans="7:24" ht="15" customHeight="1">
      <c r="G45461"/>
      <c r="I45461"/>
      <c r="N45461"/>
      <c r="O45461" s="24"/>
      <c r="P45461"/>
      <c r="Q45461" s="24"/>
      <c r="R45461"/>
      <c r="S45461"/>
      <c r="T45461"/>
      <c r="U45461"/>
      <c r="X45461" s="60"/>
    </row>
    <row r="45462" spans="7:24" ht="15" customHeight="1">
      <c r="G45462"/>
      <c r="I45462"/>
      <c r="N45462"/>
      <c r="O45462" s="24"/>
      <c r="P45462"/>
      <c r="Q45462" s="24"/>
      <c r="R45462"/>
      <c r="S45462"/>
      <c r="T45462"/>
      <c r="U45462"/>
      <c r="X45462" s="60"/>
    </row>
    <row r="45463" spans="7:24" ht="15" customHeight="1">
      <c r="G45463"/>
      <c r="I45463"/>
      <c r="N45463"/>
      <c r="O45463" s="24"/>
      <c r="P45463"/>
      <c r="Q45463" s="24"/>
      <c r="R45463"/>
      <c r="S45463"/>
      <c r="T45463"/>
      <c r="U45463"/>
      <c r="X45463" s="60"/>
    </row>
    <row r="45464" spans="7:24" ht="15" customHeight="1">
      <c r="G45464"/>
      <c r="I45464"/>
      <c r="N45464"/>
      <c r="O45464" s="24"/>
      <c r="P45464"/>
      <c r="Q45464" s="24"/>
      <c r="R45464"/>
      <c r="S45464"/>
      <c r="T45464"/>
      <c r="U45464"/>
      <c r="X45464" s="60"/>
    </row>
    <row r="45465" spans="7:24" ht="15" customHeight="1">
      <c r="G45465"/>
      <c r="I45465"/>
      <c r="N45465"/>
      <c r="O45465" s="24"/>
      <c r="P45465"/>
      <c r="Q45465" s="24"/>
      <c r="R45465"/>
      <c r="S45465"/>
      <c r="T45465"/>
      <c r="U45465"/>
      <c r="X45465" s="60"/>
    </row>
    <row r="45466" spans="7:24" ht="15" customHeight="1">
      <c r="G45466"/>
      <c r="I45466"/>
      <c r="N45466"/>
      <c r="O45466" s="24"/>
      <c r="P45466"/>
      <c r="Q45466" s="24"/>
      <c r="R45466"/>
      <c r="S45466"/>
      <c r="T45466"/>
      <c r="U45466"/>
      <c r="X45466" s="60"/>
    </row>
    <row r="45467" spans="7:24" ht="15" customHeight="1">
      <c r="G45467"/>
      <c r="I45467"/>
      <c r="N45467"/>
      <c r="O45467" s="24"/>
      <c r="P45467"/>
      <c r="Q45467" s="24"/>
      <c r="R45467"/>
      <c r="S45467"/>
      <c r="T45467"/>
      <c r="U45467"/>
      <c r="X45467" s="60"/>
    </row>
    <row r="45468" spans="7:24" ht="15" customHeight="1">
      <c r="G45468"/>
      <c r="I45468"/>
      <c r="N45468"/>
      <c r="O45468" s="24"/>
      <c r="P45468"/>
      <c r="Q45468" s="24"/>
      <c r="R45468"/>
      <c r="S45468"/>
      <c r="T45468"/>
      <c r="U45468"/>
      <c r="X45468" s="60"/>
    </row>
    <row r="45469" spans="7:24" ht="15" customHeight="1">
      <c r="G45469"/>
      <c r="I45469"/>
      <c r="N45469"/>
      <c r="O45469" s="24"/>
      <c r="P45469"/>
      <c r="Q45469" s="24"/>
      <c r="R45469"/>
      <c r="S45469"/>
      <c r="T45469"/>
      <c r="U45469"/>
      <c r="X45469" s="60"/>
    </row>
    <row r="45470" spans="7:24" ht="15" customHeight="1">
      <c r="G45470"/>
      <c r="I45470"/>
      <c r="N45470"/>
      <c r="O45470" s="24"/>
      <c r="P45470"/>
      <c r="Q45470" s="24"/>
      <c r="R45470"/>
      <c r="S45470"/>
      <c r="T45470"/>
      <c r="U45470"/>
      <c r="X45470" s="60"/>
    </row>
    <row r="45471" spans="7:24" ht="15" customHeight="1">
      <c r="G45471"/>
      <c r="I45471"/>
      <c r="N45471"/>
      <c r="O45471" s="24"/>
      <c r="P45471"/>
      <c r="Q45471" s="24"/>
      <c r="R45471"/>
      <c r="S45471"/>
      <c r="T45471"/>
      <c r="U45471"/>
      <c r="X45471" s="60"/>
    </row>
    <row r="45472" spans="7:24" ht="15" customHeight="1">
      <c r="G45472"/>
      <c r="I45472"/>
      <c r="N45472"/>
      <c r="O45472" s="24"/>
      <c r="P45472"/>
      <c r="Q45472" s="24"/>
      <c r="R45472"/>
      <c r="S45472"/>
      <c r="T45472"/>
      <c r="U45472"/>
      <c r="X45472" s="60"/>
    </row>
    <row r="45473" spans="7:24" ht="15" customHeight="1">
      <c r="G45473"/>
      <c r="I45473"/>
      <c r="N45473"/>
      <c r="O45473" s="24"/>
      <c r="P45473"/>
      <c r="Q45473" s="24"/>
      <c r="R45473"/>
      <c r="S45473"/>
      <c r="T45473"/>
      <c r="U45473"/>
      <c r="X45473" s="60"/>
    </row>
    <row r="45474" spans="7:24" ht="15" customHeight="1">
      <c r="G45474"/>
      <c r="I45474"/>
      <c r="N45474"/>
      <c r="O45474" s="24"/>
      <c r="P45474"/>
      <c r="Q45474" s="24"/>
      <c r="R45474"/>
      <c r="S45474"/>
      <c r="T45474"/>
      <c r="U45474"/>
      <c r="X45474" s="60"/>
    </row>
    <row r="45475" spans="7:24" ht="15" customHeight="1">
      <c r="G45475"/>
      <c r="I45475"/>
      <c r="N45475"/>
      <c r="O45475" s="24"/>
      <c r="P45475"/>
      <c r="Q45475" s="24"/>
      <c r="R45475"/>
      <c r="S45475"/>
      <c r="T45475"/>
      <c r="U45475"/>
      <c r="X45475" s="60"/>
    </row>
    <row r="45476" spans="7:24" ht="15" customHeight="1">
      <c r="G45476"/>
      <c r="I45476"/>
      <c r="N45476"/>
      <c r="O45476" s="24"/>
      <c r="P45476"/>
      <c r="Q45476" s="24"/>
      <c r="R45476"/>
      <c r="S45476"/>
      <c r="T45476"/>
      <c r="U45476"/>
      <c r="X45476" s="60"/>
    </row>
    <row r="45477" spans="7:24" ht="15" customHeight="1">
      <c r="G45477"/>
      <c r="I45477"/>
      <c r="N45477"/>
      <c r="O45477" s="24"/>
      <c r="P45477"/>
      <c r="Q45477" s="24"/>
      <c r="R45477"/>
      <c r="S45477"/>
      <c r="T45477"/>
      <c r="U45477"/>
      <c r="X45477" s="60"/>
    </row>
    <row r="45478" spans="7:24" ht="15" customHeight="1">
      <c r="G45478"/>
      <c r="I45478"/>
      <c r="N45478"/>
      <c r="O45478" s="24"/>
      <c r="P45478"/>
      <c r="Q45478" s="24"/>
      <c r="R45478"/>
      <c r="S45478"/>
      <c r="T45478"/>
      <c r="U45478"/>
      <c r="X45478" s="60"/>
    </row>
    <row r="45479" spans="7:24" ht="15" customHeight="1">
      <c r="G45479"/>
      <c r="I45479"/>
      <c r="N45479"/>
      <c r="O45479" s="24"/>
      <c r="P45479"/>
      <c r="Q45479" s="24"/>
      <c r="R45479"/>
      <c r="S45479"/>
      <c r="T45479"/>
      <c r="U45479"/>
      <c r="X45479" s="60"/>
    </row>
    <row r="45480" spans="7:24" ht="15" customHeight="1">
      <c r="G45480"/>
      <c r="I45480"/>
      <c r="N45480"/>
      <c r="O45480" s="24"/>
      <c r="P45480"/>
      <c r="Q45480" s="24"/>
      <c r="R45480"/>
      <c r="S45480"/>
      <c r="T45480"/>
      <c r="U45480"/>
      <c r="X45480" s="60"/>
    </row>
    <row r="45481" spans="7:24" ht="15" customHeight="1">
      <c r="G45481"/>
      <c r="I45481"/>
      <c r="N45481"/>
      <c r="O45481" s="24"/>
      <c r="P45481"/>
      <c r="Q45481" s="24"/>
      <c r="R45481"/>
      <c r="S45481"/>
      <c r="T45481"/>
      <c r="U45481"/>
      <c r="X45481" s="60"/>
    </row>
    <row r="45482" spans="7:24" ht="15" customHeight="1">
      <c r="G45482"/>
      <c r="I45482"/>
      <c r="N45482"/>
      <c r="O45482" s="24"/>
      <c r="P45482"/>
      <c r="Q45482" s="24"/>
      <c r="R45482"/>
      <c r="S45482"/>
      <c r="T45482"/>
      <c r="U45482"/>
      <c r="X45482" s="60"/>
    </row>
    <row r="45483" spans="7:24" ht="15" customHeight="1">
      <c r="G45483"/>
      <c r="I45483"/>
      <c r="N45483"/>
      <c r="O45483" s="24"/>
      <c r="P45483"/>
      <c r="Q45483" s="24"/>
      <c r="R45483"/>
      <c r="S45483"/>
      <c r="T45483"/>
      <c r="U45483"/>
      <c r="X45483" s="60"/>
    </row>
    <row r="45484" spans="7:24" ht="15" customHeight="1">
      <c r="G45484"/>
      <c r="I45484"/>
      <c r="N45484"/>
      <c r="O45484" s="24"/>
      <c r="P45484"/>
      <c r="Q45484" s="24"/>
      <c r="R45484"/>
      <c r="S45484"/>
      <c r="T45484"/>
      <c r="U45484"/>
      <c r="X45484" s="60"/>
    </row>
    <row r="45485" spans="7:24" ht="15" customHeight="1">
      <c r="G45485"/>
      <c r="I45485"/>
      <c r="N45485"/>
      <c r="O45485" s="24"/>
      <c r="P45485"/>
      <c r="Q45485" s="24"/>
      <c r="R45485"/>
      <c r="S45485"/>
      <c r="T45485"/>
      <c r="U45485"/>
      <c r="X45485" s="60"/>
    </row>
    <row r="45486" spans="7:24" ht="15" customHeight="1">
      <c r="G45486"/>
      <c r="I45486"/>
      <c r="N45486"/>
      <c r="O45486" s="24"/>
      <c r="P45486"/>
      <c r="Q45486" s="24"/>
      <c r="R45486"/>
      <c r="S45486"/>
      <c r="T45486"/>
      <c r="U45486"/>
      <c r="X45486" s="60"/>
    </row>
    <row r="45487" spans="7:24" ht="15" customHeight="1">
      <c r="G45487"/>
      <c r="I45487"/>
      <c r="N45487"/>
      <c r="O45487" s="24"/>
      <c r="P45487"/>
      <c r="Q45487" s="24"/>
      <c r="R45487"/>
      <c r="S45487"/>
      <c r="T45487"/>
      <c r="U45487"/>
      <c r="X45487" s="60"/>
    </row>
    <row r="45488" spans="7:24" ht="15" customHeight="1">
      <c r="G45488"/>
      <c r="I45488"/>
      <c r="N45488"/>
      <c r="O45488" s="24"/>
      <c r="P45488"/>
      <c r="Q45488" s="24"/>
      <c r="R45488"/>
      <c r="S45488"/>
      <c r="T45488"/>
      <c r="U45488"/>
      <c r="X45488" s="60"/>
    </row>
    <row r="45489" spans="7:24" ht="15" customHeight="1">
      <c r="G45489"/>
      <c r="I45489"/>
      <c r="N45489"/>
      <c r="O45489" s="24"/>
      <c r="P45489"/>
      <c r="Q45489" s="24"/>
      <c r="R45489"/>
      <c r="S45489"/>
      <c r="T45489"/>
      <c r="U45489"/>
      <c r="X45489" s="60"/>
    </row>
    <row r="45490" spans="7:24" ht="15" customHeight="1">
      <c r="G45490"/>
      <c r="I45490"/>
      <c r="N45490"/>
      <c r="O45490" s="24"/>
      <c r="P45490"/>
      <c r="Q45490" s="24"/>
      <c r="R45490"/>
      <c r="S45490"/>
      <c r="T45490"/>
      <c r="U45490"/>
      <c r="X45490" s="60"/>
    </row>
    <row r="45491" spans="7:24" ht="15" customHeight="1">
      <c r="G45491"/>
      <c r="I45491"/>
      <c r="N45491"/>
      <c r="O45491" s="24"/>
      <c r="P45491"/>
      <c r="Q45491" s="24"/>
      <c r="R45491"/>
      <c r="S45491"/>
      <c r="T45491"/>
      <c r="U45491"/>
      <c r="X45491" s="60"/>
    </row>
    <row r="45492" spans="7:24" ht="15" customHeight="1">
      <c r="G45492"/>
      <c r="I45492"/>
      <c r="N45492"/>
      <c r="O45492" s="24"/>
      <c r="P45492"/>
      <c r="Q45492" s="24"/>
      <c r="R45492"/>
      <c r="S45492"/>
      <c r="T45492"/>
      <c r="U45492"/>
      <c r="X45492" s="60"/>
    </row>
    <row r="45493" spans="7:24" ht="15" customHeight="1">
      <c r="G45493"/>
      <c r="I45493"/>
      <c r="N45493"/>
      <c r="O45493" s="24"/>
      <c r="P45493"/>
      <c r="Q45493" s="24"/>
      <c r="R45493"/>
      <c r="S45493"/>
      <c r="T45493"/>
      <c r="U45493"/>
      <c r="X45493" s="60"/>
    </row>
    <row r="45494" spans="7:24" ht="15" customHeight="1">
      <c r="G45494"/>
      <c r="I45494"/>
      <c r="N45494"/>
      <c r="O45494" s="24"/>
      <c r="P45494"/>
      <c r="Q45494" s="24"/>
      <c r="R45494"/>
      <c r="S45494"/>
      <c r="T45494"/>
      <c r="U45494"/>
      <c r="X45494" s="60"/>
    </row>
    <row r="45495" spans="7:24" ht="15" customHeight="1">
      <c r="G45495"/>
      <c r="I45495"/>
      <c r="N45495"/>
      <c r="O45495" s="24"/>
      <c r="P45495"/>
      <c r="Q45495" s="24"/>
      <c r="R45495"/>
      <c r="S45495"/>
      <c r="T45495"/>
      <c r="U45495"/>
      <c r="X45495" s="60"/>
    </row>
    <row r="45496" spans="7:24" ht="15" customHeight="1">
      <c r="G45496"/>
      <c r="I45496"/>
      <c r="N45496"/>
      <c r="O45496" s="24"/>
      <c r="P45496"/>
      <c r="Q45496" s="24"/>
      <c r="R45496"/>
      <c r="S45496"/>
      <c r="T45496"/>
      <c r="U45496"/>
      <c r="X45496" s="60"/>
    </row>
    <row r="45497" spans="7:24" ht="15" customHeight="1">
      <c r="G45497"/>
      <c r="I45497"/>
      <c r="N45497"/>
      <c r="O45497" s="24"/>
      <c r="P45497"/>
      <c r="Q45497" s="24"/>
      <c r="R45497"/>
      <c r="S45497"/>
      <c r="T45497"/>
      <c r="U45497"/>
      <c r="X45497" s="60"/>
    </row>
    <row r="45498" spans="7:24" ht="15" customHeight="1">
      <c r="G45498"/>
      <c r="I45498"/>
      <c r="N45498"/>
      <c r="O45498" s="24"/>
      <c r="P45498"/>
      <c r="Q45498" s="24"/>
      <c r="R45498"/>
      <c r="S45498"/>
      <c r="T45498"/>
      <c r="U45498"/>
      <c r="X45498" s="60"/>
    </row>
    <row r="45499" spans="7:24" ht="15" customHeight="1">
      <c r="G45499"/>
      <c r="I45499"/>
      <c r="N45499"/>
      <c r="O45499" s="24"/>
      <c r="P45499"/>
      <c r="Q45499" s="24"/>
      <c r="R45499"/>
      <c r="S45499"/>
      <c r="T45499"/>
      <c r="U45499"/>
      <c r="X45499" s="60"/>
    </row>
    <row r="45500" spans="7:24" ht="15" customHeight="1">
      <c r="G45500"/>
      <c r="I45500"/>
      <c r="N45500"/>
      <c r="O45500" s="24"/>
      <c r="P45500"/>
      <c r="Q45500" s="24"/>
      <c r="R45500"/>
      <c r="S45500"/>
      <c r="T45500"/>
      <c r="U45500"/>
      <c r="X45500" s="60"/>
    </row>
    <row r="45501" spans="7:24" ht="15" customHeight="1">
      <c r="G45501"/>
      <c r="I45501"/>
      <c r="N45501"/>
      <c r="O45501" s="24"/>
      <c r="P45501"/>
      <c r="Q45501" s="24"/>
      <c r="R45501"/>
      <c r="S45501"/>
      <c r="T45501"/>
      <c r="U45501"/>
      <c r="X45501" s="60"/>
    </row>
    <row r="45502" spans="7:24" ht="15" customHeight="1">
      <c r="G45502"/>
      <c r="I45502"/>
      <c r="N45502"/>
      <c r="O45502" s="24"/>
      <c r="P45502"/>
      <c r="Q45502" s="24"/>
      <c r="R45502"/>
      <c r="S45502"/>
      <c r="T45502"/>
      <c r="U45502"/>
      <c r="X45502" s="60"/>
    </row>
    <row r="45503" spans="7:24" ht="15" customHeight="1">
      <c r="G45503"/>
      <c r="I45503"/>
      <c r="N45503"/>
      <c r="O45503" s="24"/>
      <c r="P45503"/>
      <c r="Q45503" s="24"/>
      <c r="R45503"/>
      <c r="S45503"/>
      <c r="T45503"/>
      <c r="U45503"/>
      <c r="X45503" s="60"/>
    </row>
    <row r="45504" spans="7:24" ht="15" customHeight="1">
      <c r="G45504"/>
      <c r="I45504"/>
      <c r="N45504"/>
      <c r="O45504" s="24"/>
      <c r="P45504"/>
      <c r="Q45504" s="24"/>
      <c r="R45504"/>
      <c r="S45504"/>
      <c r="T45504"/>
      <c r="U45504"/>
      <c r="X45504" s="60"/>
    </row>
    <row r="45505" spans="7:24" ht="15" customHeight="1">
      <c r="G45505"/>
      <c r="I45505"/>
      <c r="N45505"/>
      <c r="O45505" s="24"/>
      <c r="P45505"/>
      <c r="Q45505" s="24"/>
      <c r="R45505"/>
      <c r="S45505"/>
      <c r="T45505"/>
      <c r="U45505"/>
      <c r="X45505" s="60"/>
    </row>
    <row r="45506" spans="7:24" ht="15" customHeight="1">
      <c r="G45506"/>
      <c r="I45506"/>
      <c r="N45506"/>
      <c r="O45506" s="24"/>
      <c r="P45506"/>
      <c r="Q45506" s="24"/>
      <c r="R45506"/>
      <c r="S45506"/>
      <c r="T45506"/>
      <c r="U45506"/>
      <c r="X45506" s="60"/>
    </row>
    <row r="45507" spans="7:24" ht="15" customHeight="1">
      <c r="G45507"/>
      <c r="I45507"/>
      <c r="N45507"/>
      <c r="O45507" s="24"/>
      <c r="P45507"/>
      <c r="Q45507" s="24"/>
      <c r="R45507"/>
      <c r="S45507"/>
      <c r="T45507"/>
      <c r="U45507"/>
      <c r="X45507" s="60"/>
    </row>
    <row r="45508" spans="7:24" ht="15" customHeight="1">
      <c r="G45508"/>
      <c r="I45508"/>
      <c r="N45508"/>
      <c r="O45508" s="24"/>
      <c r="P45508"/>
      <c r="Q45508" s="24"/>
      <c r="R45508"/>
      <c r="S45508"/>
      <c r="T45508"/>
      <c r="U45508"/>
      <c r="X45508" s="60"/>
    </row>
    <row r="45509" spans="7:24" ht="15" customHeight="1">
      <c r="G45509"/>
      <c r="I45509"/>
      <c r="N45509"/>
      <c r="O45509" s="24"/>
      <c r="P45509"/>
      <c r="Q45509" s="24"/>
      <c r="R45509"/>
      <c r="S45509"/>
      <c r="T45509"/>
      <c r="U45509"/>
      <c r="X45509" s="60"/>
    </row>
    <row r="45510" spans="7:24" ht="15" customHeight="1">
      <c r="G45510"/>
      <c r="I45510"/>
      <c r="N45510"/>
      <c r="O45510" s="24"/>
      <c r="P45510"/>
      <c r="Q45510" s="24"/>
      <c r="R45510"/>
      <c r="S45510"/>
      <c r="T45510"/>
      <c r="U45510"/>
      <c r="X45510" s="60"/>
    </row>
    <row r="45511" spans="7:24" ht="15" customHeight="1">
      <c r="G45511"/>
      <c r="I45511"/>
      <c r="N45511"/>
      <c r="O45511" s="24"/>
      <c r="P45511"/>
      <c r="Q45511" s="24"/>
      <c r="R45511"/>
      <c r="S45511"/>
      <c r="T45511"/>
      <c r="U45511"/>
      <c r="X45511" s="60"/>
    </row>
    <row r="45512" spans="7:24" ht="15" customHeight="1">
      <c r="G45512"/>
      <c r="I45512"/>
      <c r="N45512"/>
      <c r="O45512" s="24"/>
      <c r="P45512"/>
      <c r="Q45512" s="24"/>
      <c r="R45512"/>
      <c r="S45512"/>
      <c r="T45512"/>
      <c r="U45512"/>
      <c r="X45512" s="60"/>
    </row>
    <row r="45513" spans="7:24" ht="15" customHeight="1">
      <c r="G45513"/>
      <c r="I45513"/>
      <c r="N45513"/>
      <c r="O45513" s="24"/>
      <c r="P45513"/>
      <c r="Q45513" s="24"/>
      <c r="R45513"/>
      <c r="S45513"/>
      <c r="T45513"/>
      <c r="U45513"/>
      <c r="X45513" s="60"/>
    </row>
    <row r="45514" spans="7:24" ht="15" customHeight="1">
      <c r="G45514"/>
      <c r="I45514"/>
      <c r="N45514"/>
      <c r="O45514" s="24"/>
      <c r="P45514"/>
      <c r="Q45514" s="24"/>
      <c r="R45514"/>
      <c r="S45514"/>
      <c r="T45514"/>
      <c r="U45514"/>
      <c r="X45514" s="60"/>
    </row>
    <row r="45515" spans="7:24" ht="15" customHeight="1">
      <c r="G45515"/>
      <c r="I45515"/>
      <c r="N45515"/>
      <c r="O45515" s="24"/>
      <c r="P45515"/>
      <c r="Q45515" s="24"/>
      <c r="R45515"/>
      <c r="S45515"/>
      <c r="T45515"/>
      <c r="U45515"/>
      <c r="X45515" s="60"/>
    </row>
    <row r="45516" spans="7:24" ht="15" customHeight="1">
      <c r="G45516"/>
      <c r="I45516"/>
      <c r="N45516"/>
      <c r="O45516" s="24"/>
      <c r="P45516"/>
      <c r="Q45516" s="24"/>
      <c r="R45516"/>
      <c r="S45516"/>
      <c r="T45516"/>
      <c r="U45516"/>
      <c r="X45516" s="60"/>
    </row>
    <row r="45517" spans="7:24" ht="15" customHeight="1">
      <c r="G45517"/>
      <c r="I45517"/>
      <c r="N45517"/>
      <c r="O45517" s="24"/>
      <c r="P45517"/>
      <c r="Q45517" s="24"/>
      <c r="R45517"/>
      <c r="S45517"/>
      <c r="T45517"/>
      <c r="U45517"/>
      <c r="X45517" s="60"/>
    </row>
    <row r="45518" spans="7:24" ht="15" customHeight="1">
      <c r="G45518"/>
      <c r="I45518"/>
      <c r="N45518"/>
      <c r="O45518" s="24"/>
      <c r="P45518"/>
      <c r="Q45518" s="24"/>
      <c r="R45518"/>
      <c r="S45518"/>
      <c r="T45518"/>
      <c r="U45518"/>
      <c r="X45518" s="60"/>
    </row>
    <row r="45519" spans="7:24" ht="15" customHeight="1">
      <c r="G45519"/>
      <c r="I45519"/>
      <c r="N45519"/>
      <c r="O45519" s="24"/>
      <c r="P45519"/>
      <c r="Q45519" s="24"/>
      <c r="R45519"/>
      <c r="S45519"/>
      <c r="T45519"/>
      <c r="U45519"/>
      <c r="X45519" s="60"/>
    </row>
    <row r="45520" spans="7:24" ht="15" customHeight="1">
      <c r="G45520"/>
      <c r="I45520"/>
      <c r="N45520"/>
      <c r="O45520" s="24"/>
      <c r="P45520"/>
      <c r="Q45520" s="24"/>
      <c r="R45520"/>
      <c r="S45520"/>
      <c r="T45520"/>
      <c r="U45520"/>
      <c r="X45520" s="60"/>
    </row>
    <row r="45521" spans="7:24" ht="15" customHeight="1">
      <c r="G45521"/>
      <c r="I45521"/>
      <c r="N45521"/>
      <c r="O45521" s="24"/>
      <c r="P45521"/>
      <c r="Q45521" s="24"/>
      <c r="R45521"/>
      <c r="S45521"/>
      <c r="T45521"/>
      <c r="U45521"/>
      <c r="X45521" s="60"/>
    </row>
    <row r="45522" spans="7:24" ht="15" customHeight="1">
      <c r="G45522"/>
      <c r="I45522"/>
      <c r="N45522"/>
      <c r="O45522" s="24"/>
      <c r="P45522"/>
      <c r="Q45522" s="24"/>
      <c r="R45522"/>
      <c r="S45522"/>
      <c r="T45522"/>
      <c r="U45522"/>
      <c r="X45522" s="60"/>
    </row>
    <row r="45523" spans="7:24" ht="15" customHeight="1">
      <c r="G45523"/>
      <c r="I45523"/>
      <c r="N45523"/>
      <c r="O45523" s="24"/>
      <c r="P45523"/>
      <c r="Q45523" s="24"/>
      <c r="R45523"/>
      <c r="S45523"/>
      <c r="T45523"/>
      <c r="U45523"/>
      <c r="X45523" s="60"/>
    </row>
    <row r="45524" spans="7:24" ht="15" customHeight="1">
      <c r="G45524"/>
      <c r="I45524"/>
      <c r="N45524"/>
      <c r="O45524" s="24"/>
      <c r="P45524"/>
      <c r="Q45524" s="24"/>
      <c r="R45524"/>
      <c r="S45524"/>
      <c r="T45524"/>
      <c r="U45524"/>
      <c r="X45524" s="60"/>
    </row>
    <row r="45525" spans="7:24" ht="15" customHeight="1">
      <c r="G45525"/>
      <c r="I45525"/>
      <c r="N45525"/>
      <c r="O45525" s="24"/>
      <c r="P45525"/>
      <c r="Q45525" s="24"/>
      <c r="R45525"/>
      <c r="S45525"/>
      <c r="T45525"/>
      <c r="U45525"/>
      <c r="X45525" s="60"/>
    </row>
    <row r="45526" spans="7:24" ht="15" customHeight="1">
      <c r="G45526"/>
      <c r="I45526"/>
      <c r="N45526"/>
      <c r="O45526" s="24"/>
      <c r="P45526"/>
      <c r="Q45526" s="24"/>
      <c r="R45526"/>
      <c r="S45526"/>
      <c r="T45526"/>
      <c r="U45526"/>
      <c r="X45526" s="60"/>
    </row>
    <row r="45527" spans="7:24" ht="15" customHeight="1">
      <c r="G45527"/>
      <c r="I45527"/>
      <c r="N45527"/>
      <c r="O45527" s="24"/>
      <c r="P45527"/>
      <c r="Q45527" s="24"/>
      <c r="R45527"/>
      <c r="S45527"/>
      <c r="T45527"/>
      <c r="U45527"/>
      <c r="X45527" s="60"/>
    </row>
    <row r="45528" spans="7:24" ht="15" customHeight="1">
      <c r="G45528"/>
      <c r="I45528"/>
      <c r="N45528"/>
      <c r="O45528" s="24"/>
      <c r="P45528"/>
      <c r="Q45528" s="24"/>
      <c r="R45528"/>
      <c r="S45528"/>
      <c r="T45528"/>
      <c r="U45528"/>
      <c r="X45528" s="60"/>
    </row>
    <row r="45529" spans="7:24" ht="15" customHeight="1">
      <c r="G45529"/>
      <c r="I45529"/>
      <c r="N45529"/>
      <c r="O45529" s="24"/>
      <c r="P45529"/>
      <c r="Q45529" s="24"/>
      <c r="R45529"/>
      <c r="S45529"/>
      <c r="T45529"/>
      <c r="U45529"/>
      <c r="X45529" s="60"/>
    </row>
    <row r="45530" spans="7:24" ht="15" customHeight="1">
      <c r="G45530"/>
      <c r="I45530"/>
      <c r="N45530"/>
      <c r="O45530" s="24"/>
      <c r="P45530"/>
      <c r="Q45530" s="24"/>
      <c r="R45530"/>
      <c r="S45530"/>
      <c r="T45530"/>
      <c r="U45530"/>
      <c r="X45530" s="60"/>
    </row>
    <row r="45531" spans="7:24" ht="15" customHeight="1">
      <c r="G45531"/>
      <c r="I45531"/>
      <c r="N45531"/>
      <c r="O45531" s="24"/>
      <c r="P45531"/>
      <c r="Q45531" s="24"/>
      <c r="R45531"/>
      <c r="S45531"/>
      <c r="T45531"/>
      <c r="U45531"/>
      <c r="X45531" s="60"/>
    </row>
    <row r="45532" spans="7:24" ht="15" customHeight="1">
      <c r="G45532"/>
      <c r="I45532"/>
      <c r="N45532"/>
      <c r="O45532" s="24"/>
      <c r="P45532"/>
      <c r="Q45532" s="24"/>
      <c r="R45532"/>
      <c r="S45532"/>
      <c r="T45532"/>
      <c r="U45532"/>
      <c r="X45532" s="60"/>
    </row>
    <row r="45533" spans="7:24" ht="15" customHeight="1">
      <c r="G45533"/>
      <c r="I45533"/>
      <c r="N45533"/>
      <c r="O45533" s="24"/>
      <c r="P45533"/>
      <c r="Q45533" s="24"/>
      <c r="R45533"/>
      <c r="S45533"/>
      <c r="T45533"/>
      <c r="U45533"/>
      <c r="X45533" s="60"/>
    </row>
    <row r="45534" spans="7:24" ht="15" customHeight="1">
      <c r="G45534"/>
      <c r="I45534"/>
      <c r="N45534"/>
      <c r="O45534" s="24"/>
      <c r="P45534"/>
      <c r="Q45534" s="24"/>
      <c r="R45534"/>
      <c r="S45534"/>
      <c r="T45534"/>
      <c r="U45534"/>
      <c r="X45534" s="60"/>
    </row>
    <row r="45535" spans="7:24" ht="15" customHeight="1">
      <c r="G45535"/>
      <c r="I45535"/>
      <c r="N45535"/>
      <c r="O45535" s="24"/>
      <c r="P45535"/>
      <c r="Q45535" s="24"/>
      <c r="R45535"/>
      <c r="S45535"/>
      <c r="T45535"/>
      <c r="U45535"/>
      <c r="X45535" s="60"/>
    </row>
    <row r="45536" spans="7:24" ht="15" customHeight="1">
      <c r="G45536"/>
      <c r="I45536"/>
      <c r="N45536"/>
      <c r="O45536" s="24"/>
      <c r="P45536"/>
      <c r="Q45536" s="24"/>
      <c r="R45536"/>
      <c r="S45536"/>
      <c r="T45536"/>
      <c r="U45536"/>
      <c r="X45536" s="60"/>
    </row>
    <row r="45537" spans="7:24" ht="15" customHeight="1">
      <c r="G45537"/>
      <c r="I45537"/>
      <c r="N45537"/>
      <c r="O45537" s="24"/>
      <c r="P45537"/>
      <c r="Q45537" s="24"/>
      <c r="R45537"/>
      <c r="S45537"/>
      <c r="T45537"/>
      <c r="U45537"/>
      <c r="X45537" s="60"/>
    </row>
    <row r="45538" spans="7:24" ht="15" customHeight="1">
      <c r="G45538"/>
      <c r="I45538"/>
      <c r="N45538"/>
      <c r="O45538" s="24"/>
      <c r="P45538"/>
      <c r="Q45538" s="24"/>
      <c r="R45538"/>
      <c r="S45538"/>
      <c r="T45538"/>
      <c r="U45538"/>
      <c r="X45538" s="60"/>
    </row>
    <row r="45539" spans="7:24" ht="15" customHeight="1">
      <c r="G45539"/>
      <c r="I45539"/>
      <c r="N45539"/>
      <c r="O45539" s="24"/>
      <c r="P45539"/>
      <c r="Q45539" s="24"/>
      <c r="R45539"/>
      <c r="S45539"/>
      <c r="T45539"/>
      <c r="U45539"/>
      <c r="X45539" s="60"/>
    </row>
    <row r="45540" spans="7:24" ht="15" customHeight="1">
      <c r="G45540"/>
      <c r="I45540"/>
      <c r="N45540"/>
      <c r="O45540" s="24"/>
      <c r="P45540"/>
      <c r="Q45540" s="24"/>
      <c r="R45540"/>
      <c r="S45540"/>
      <c r="T45540"/>
      <c r="U45540"/>
      <c r="X45540" s="60"/>
    </row>
    <row r="45541" spans="7:24" ht="15" customHeight="1">
      <c r="G45541"/>
      <c r="I45541"/>
      <c r="N45541"/>
      <c r="O45541" s="24"/>
      <c r="P45541"/>
      <c r="Q45541" s="24"/>
      <c r="R45541"/>
      <c r="S45541"/>
      <c r="T45541"/>
      <c r="U45541"/>
      <c r="X45541" s="60"/>
    </row>
    <row r="45542" spans="7:24" ht="15" customHeight="1">
      <c r="G45542"/>
      <c r="I45542"/>
      <c r="N45542"/>
      <c r="O45542" s="24"/>
      <c r="P45542"/>
      <c r="Q45542" s="24"/>
      <c r="R45542"/>
      <c r="S45542"/>
      <c r="T45542"/>
      <c r="U45542"/>
      <c r="X45542" s="60"/>
    </row>
    <row r="45543" spans="7:24" ht="15" customHeight="1">
      <c r="G45543"/>
      <c r="I45543"/>
      <c r="N45543"/>
      <c r="O45543" s="24"/>
      <c r="P45543"/>
      <c r="Q45543" s="24"/>
      <c r="R45543"/>
      <c r="S45543"/>
      <c r="T45543"/>
      <c r="U45543"/>
      <c r="X45543" s="60"/>
    </row>
    <row r="45544" spans="7:24" ht="15" customHeight="1">
      <c r="G45544"/>
      <c r="I45544"/>
      <c r="N45544"/>
      <c r="O45544" s="24"/>
      <c r="P45544"/>
      <c r="Q45544" s="24"/>
      <c r="R45544"/>
      <c r="S45544"/>
      <c r="T45544"/>
      <c r="U45544"/>
      <c r="X45544" s="60"/>
    </row>
    <row r="45545" spans="7:24" ht="15" customHeight="1">
      <c r="G45545"/>
      <c r="I45545"/>
      <c r="N45545"/>
      <c r="O45545" s="24"/>
      <c r="P45545"/>
      <c r="Q45545" s="24"/>
      <c r="R45545"/>
      <c r="S45545"/>
      <c r="T45545"/>
      <c r="U45545"/>
      <c r="X45545" s="60"/>
    </row>
    <row r="45546" spans="7:24" ht="15" customHeight="1">
      <c r="G45546"/>
      <c r="I45546"/>
      <c r="N45546"/>
      <c r="O45546" s="24"/>
      <c r="P45546"/>
      <c r="Q45546" s="24"/>
      <c r="R45546"/>
      <c r="S45546"/>
      <c r="T45546"/>
      <c r="U45546"/>
      <c r="X45546" s="60"/>
    </row>
    <row r="45547" spans="7:24" ht="15" customHeight="1">
      <c r="G45547"/>
      <c r="I45547"/>
      <c r="N45547"/>
      <c r="O45547" s="24"/>
      <c r="P45547"/>
      <c r="Q45547" s="24"/>
      <c r="R45547"/>
      <c r="S45547"/>
      <c r="T45547"/>
      <c r="U45547"/>
      <c r="X45547" s="60"/>
    </row>
    <row r="45548" spans="7:24" ht="15" customHeight="1">
      <c r="G45548"/>
      <c r="I45548"/>
      <c r="N45548"/>
      <c r="O45548" s="24"/>
      <c r="P45548"/>
      <c r="Q45548" s="24"/>
      <c r="R45548"/>
      <c r="S45548"/>
      <c r="T45548"/>
      <c r="U45548"/>
      <c r="X45548" s="60"/>
    </row>
    <row r="45549" spans="7:24" ht="15" customHeight="1">
      <c r="G45549"/>
      <c r="I45549"/>
      <c r="N45549"/>
      <c r="O45549" s="24"/>
      <c r="P45549"/>
      <c r="Q45549" s="24"/>
      <c r="R45549"/>
      <c r="S45549"/>
      <c r="T45549"/>
      <c r="U45549"/>
      <c r="X45549" s="60"/>
    </row>
    <row r="45550" spans="7:24" ht="15" customHeight="1">
      <c r="G45550"/>
      <c r="I45550"/>
      <c r="N45550"/>
      <c r="O45550" s="24"/>
      <c r="P45550"/>
      <c r="Q45550" s="24"/>
      <c r="R45550"/>
      <c r="S45550"/>
      <c r="T45550"/>
      <c r="U45550"/>
      <c r="X45550" s="60"/>
    </row>
    <row r="45551" spans="7:24" ht="15" customHeight="1">
      <c r="G45551"/>
      <c r="I45551"/>
      <c r="N45551"/>
      <c r="O45551" s="24"/>
      <c r="P45551"/>
      <c r="Q45551" s="24"/>
      <c r="R45551"/>
      <c r="S45551"/>
      <c r="T45551"/>
      <c r="U45551"/>
      <c r="X45551" s="60"/>
    </row>
    <row r="45552" spans="7:24" ht="15" customHeight="1">
      <c r="G45552"/>
      <c r="I45552"/>
      <c r="N45552"/>
      <c r="O45552" s="24"/>
      <c r="P45552"/>
      <c r="Q45552" s="24"/>
      <c r="R45552"/>
      <c r="S45552"/>
      <c r="T45552"/>
      <c r="U45552"/>
      <c r="X45552" s="60"/>
    </row>
    <row r="45553" spans="7:24" ht="15" customHeight="1">
      <c r="G45553"/>
      <c r="I45553"/>
      <c r="N45553"/>
      <c r="O45553" s="24"/>
      <c r="P45553"/>
      <c r="Q45553" s="24"/>
      <c r="R45553"/>
      <c r="S45553"/>
      <c r="T45553"/>
      <c r="U45553"/>
      <c r="X45553" s="60"/>
    </row>
    <row r="45554" spans="7:24" ht="15" customHeight="1">
      <c r="G45554"/>
      <c r="I45554"/>
      <c r="N45554"/>
      <c r="O45554" s="24"/>
      <c r="P45554"/>
      <c r="Q45554" s="24"/>
      <c r="R45554"/>
      <c r="S45554"/>
      <c r="T45554"/>
      <c r="U45554"/>
      <c r="X45554" s="60"/>
    </row>
    <row r="45555" spans="7:24" ht="15" customHeight="1">
      <c r="G45555"/>
      <c r="I45555"/>
      <c r="N45555"/>
      <c r="O45555" s="24"/>
      <c r="P45555"/>
      <c r="Q45555" s="24"/>
      <c r="R45555"/>
      <c r="S45555"/>
      <c r="T45555"/>
      <c r="U45555"/>
      <c r="X45555" s="60"/>
    </row>
    <row r="45556" spans="7:24" ht="15" customHeight="1">
      <c r="G45556"/>
      <c r="I45556"/>
      <c r="N45556"/>
      <c r="O45556" s="24"/>
      <c r="P45556"/>
      <c r="Q45556" s="24"/>
      <c r="R45556"/>
      <c r="S45556"/>
      <c r="T45556"/>
      <c r="U45556"/>
      <c r="X45556" s="60"/>
    </row>
    <row r="45557" spans="7:24" ht="15" customHeight="1">
      <c r="G45557"/>
      <c r="I45557"/>
      <c r="N45557"/>
      <c r="O45557" s="24"/>
      <c r="P45557"/>
      <c r="Q45557" s="24"/>
      <c r="R45557"/>
      <c r="S45557"/>
      <c r="T45557"/>
      <c r="U45557"/>
      <c r="X45557" s="60"/>
    </row>
    <row r="45558" spans="7:24" ht="15" customHeight="1">
      <c r="G45558"/>
      <c r="I45558"/>
      <c r="N45558"/>
      <c r="O45558" s="24"/>
      <c r="P45558"/>
      <c r="Q45558" s="24"/>
      <c r="R45558"/>
      <c r="S45558"/>
      <c r="T45558"/>
      <c r="U45558"/>
      <c r="X45558" s="60"/>
    </row>
    <row r="45559" spans="7:24" ht="15" customHeight="1">
      <c r="G45559"/>
      <c r="I45559"/>
      <c r="N45559"/>
      <c r="O45559" s="24"/>
      <c r="P45559"/>
      <c r="Q45559" s="24"/>
      <c r="R45559"/>
      <c r="S45559"/>
      <c r="T45559"/>
      <c r="U45559"/>
      <c r="X45559" s="60"/>
    </row>
    <row r="45560" spans="7:24" ht="15" customHeight="1">
      <c r="G45560"/>
      <c r="I45560"/>
      <c r="N45560"/>
      <c r="O45560" s="24"/>
      <c r="P45560"/>
      <c r="Q45560" s="24"/>
      <c r="R45560"/>
      <c r="S45560"/>
      <c r="T45560"/>
      <c r="U45560"/>
      <c r="X45560" s="60"/>
    </row>
    <row r="45561" spans="7:24" ht="15" customHeight="1">
      <c r="G45561"/>
      <c r="I45561"/>
      <c r="N45561"/>
      <c r="O45561" s="24"/>
      <c r="P45561"/>
      <c r="Q45561" s="24"/>
      <c r="R45561"/>
      <c r="S45561"/>
      <c r="T45561"/>
      <c r="U45561"/>
      <c r="X45561" s="60"/>
    </row>
    <row r="45562" spans="7:24" ht="15" customHeight="1">
      <c r="G45562"/>
      <c r="I45562"/>
      <c r="N45562"/>
      <c r="O45562" s="24"/>
      <c r="P45562"/>
      <c r="Q45562" s="24"/>
      <c r="R45562"/>
      <c r="S45562"/>
      <c r="T45562"/>
      <c r="U45562"/>
      <c r="X45562" s="60"/>
    </row>
    <row r="45563" spans="7:24" ht="15" customHeight="1">
      <c r="G45563"/>
      <c r="I45563"/>
      <c r="N45563"/>
      <c r="O45563" s="24"/>
      <c r="P45563"/>
      <c r="Q45563" s="24"/>
      <c r="R45563"/>
      <c r="S45563"/>
      <c r="T45563"/>
      <c r="U45563"/>
      <c r="X45563" s="60"/>
    </row>
    <row r="45564" spans="7:24" ht="15" customHeight="1">
      <c r="G45564"/>
      <c r="I45564"/>
      <c r="N45564"/>
      <c r="O45564" s="24"/>
      <c r="P45564"/>
      <c r="Q45564" s="24"/>
      <c r="R45564"/>
      <c r="S45564"/>
      <c r="T45564"/>
      <c r="U45564"/>
      <c r="X45564" s="60"/>
    </row>
    <row r="45565" spans="7:24" ht="15" customHeight="1">
      <c r="G45565"/>
      <c r="I45565"/>
      <c r="N45565"/>
      <c r="O45565" s="24"/>
      <c r="P45565"/>
      <c r="Q45565" s="24"/>
      <c r="R45565"/>
      <c r="S45565"/>
      <c r="T45565"/>
      <c r="U45565"/>
      <c r="X45565" s="60"/>
    </row>
    <row r="45566" spans="7:24" ht="15" customHeight="1">
      <c r="G45566"/>
      <c r="I45566"/>
      <c r="N45566"/>
      <c r="O45566" s="24"/>
      <c r="P45566"/>
      <c r="Q45566" s="24"/>
      <c r="R45566"/>
      <c r="S45566"/>
      <c r="T45566"/>
      <c r="U45566"/>
      <c r="X45566" s="60"/>
    </row>
    <row r="45567" spans="7:24" ht="15" customHeight="1">
      <c r="G45567"/>
      <c r="I45567"/>
      <c r="N45567"/>
      <c r="O45567" s="24"/>
      <c r="P45567"/>
      <c r="Q45567" s="24"/>
      <c r="R45567"/>
      <c r="S45567"/>
      <c r="T45567"/>
      <c r="U45567"/>
      <c r="X45567" s="60"/>
    </row>
    <row r="45568" spans="7:24" ht="15" customHeight="1">
      <c r="G45568"/>
      <c r="I45568"/>
      <c r="N45568"/>
      <c r="O45568" s="24"/>
      <c r="P45568"/>
      <c r="Q45568" s="24"/>
      <c r="R45568"/>
      <c r="S45568"/>
      <c r="T45568"/>
      <c r="U45568"/>
      <c r="X45568" s="60"/>
    </row>
    <row r="45569" spans="7:24" ht="15" customHeight="1">
      <c r="G45569"/>
      <c r="I45569"/>
      <c r="N45569"/>
      <c r="O45569" s="24"/>
      <c r="P45569"/>
      <c r="Q45569" s="24"/>
      <c r="R45569"/>
      <c r="S45569"/>
      <c r="T45569"/>
      <c r="U45569"/>
      <c r="X45569" s="60"/>
    </row>
    <row r="45570" spans="7:24" ht="15" customHeight="1">
      <c r="G45570"/>
      <c r="I45570"/>
      <c r="N45570"/>
      <c r="O45570" s="24"/>
      <c r="P45570"/>
      <c r="Q45570" s="24"/>
      <c r="R45570"/>
      <c r="S45570"/>
      <c r="T45570"/>
      <c r="U45570"/>
      <c r="X45570" s="60"/>
    </row>
    <row r="45571" spans="7:24" ht="15" customHeight="1">
      <c r="G45571"/>
      <c r="I45571"/>
      <c r="N45571"/>
      <c r="O45571" s="24"/>
      <c r="P45571"/>
      <c r="Q45571" s="24"/>
      <c r="R45571"/>
      <c r="S45571"/>
      <c r="T45571"/>
      <c r="U45571"/>
      <c r="X45571" s="60"/>
    </row>
    <row r="45572" spans="7:24" ht="15" customHeight="1">
      <c r="G45572"/>
      <c r="I45572"/>
      <c r="N45572"/>
      <c r="O45572" s="24"/>
      <c r="P45572"/>
      <c r="Q45572" s="24"/>
      <c r="R45572"/>
      <c r="S45572"/>
      <c r="T45572"/>
      <c r="U45572"/>
      <c r="X45572" s="60"/>
    </row>
    <row r="45573" spans="7:24" ht="15" customHeight="1">
      <c r="G45573"/>
      <c r="I45573"/>
      <c r="N45573"/>
      <c r="O45573" s="24"/>
      <c r="P45573"/>
      <c r="Q45573" s="24"/>
      <c r="R45573"/>
      <c r="S45573"/>
      <c r="T45573"/>
      <c r="U45573"/>
      <c r="X45573" s="60"/>
    </row>
    <row r="45574" spans="7:24" ht="15" customHeight="1">
      <c r="G45574"/>
      <c r="I45574"/>
      <c r="N45574"/>
      <c r="O45574" s="24"/>
      <c r="P45574"/>
      <c r="Q45574" s="24"/>
      <c r="R45574"/>
      <c r="S45574"/>
      <c r="T45574"/>
      <c r="U45574"/>
      <c r="X45574" s="60"/>
    </row>
    <row r="45575" spans="7:24" ht="15" customHeight="1">
      <c r="G45575"/>
      <c r="I45575"/>
      <c r="N45575"/>
      <c r="O45575" s="24"/>
      <c r="P45575"/>
      <c r="Q45575" s="24"/>
      <c r="R45575"/>
      <c r="S45575"/>
      <c r="T45575"/>
      <c r="U45575"/>
      <c r="X45575" s="60"/>
    </row>
    <row r="45576" spans="7:24" ht="15" customHeight="1">
      <c r="G45576"/>
      <c r="I45576"/>
      <c r="N45576"/>
      <c r="O45576" s="24"/>
      <c r="P45576"/>
      <c r="Q45576" s="24"/>
      <c r="R45576"/>
      <c r="S45576"/>
      <c r="T45576"/>
      <c r="U45576"/>
      <c r="X45576" s="60"/>
    </row>
    <row r="45577" spans="7:24" ht="15" customHeight="1">
      <c r="G45577"/>
      <c r="I45577"/>
      <c r="N45577"/>
      <c r="O45577" s="24"/>
      <c r="P45577"/>
      <c r="Q45577" s="24"/>
      <c r="R45577"/>
      <c r="S45577"/>
      <c r="T45577"/>
      <c r="U45577"/>
      <c r="X45577" s="60"/>
    </row>
    <row r="45578" spans="7:24" ht="15" customHeight="1">
      <c r="G45578"/>
      <c r="I45578"/>
      <c r="N45578"/>
      <c r="O45578" s="24"/>
      <c r="P45578"/>
      <c r="Q45578" s="24"/>
      <c r="R45578"/>
      <c r="S45578"/>
      <c r="T45578"/>
      <c r="U45578"/>
      <c r="X45578" s="60"/>
    </row>
    <row r="45579" spans="7:24" ht="15" customHeight="1">
      <c r="G45579"/>
      <c r="I45579"/>
      <c r="N45579"/>
      <c r="O45579" s="24"/>
      <c r="P45579"/>
      <c r="Q45579" s="24"/>
      <c r="R45579"/>
      <c r="S45579"/>
      <c r="T45579"/>
      <c r="U45579"/>
      <c r="X45579" s="60"/>
    </row>
    <row r="45580" spans="7:24" ht="15" customHeight="1">
      <c r="G45580"/>
      <c r="I45580"/>
      <c r="N45580"/>
      <c r="O45580" s="24"/>
      <c r="P45580"/>
      <c r="Q45580" s="24"/>
      <c r="R45580"/>
      <c r="S45580"/>
      <c r="T45580"/>
      <c r="U45580"/>
      <c r="X45580" s="60"/>
    </row>
    <row r="45581" spans="7:24" ht="15" customHeight="1">
      <c r="G45581"/>
      <c r="I45581"/>
      <c r="N45581"/>
      <c r="O45581" s="24"/>
      <c r="P45581"/>
      <c r="Q45581" s="24"/>
      <c r="R45581"/>
      <c r="S45581"/>
      <c r="T45581"/>
      <c r="U45581"/>
      <c r="X45581" s="60"/>
    </row>
    <row r="45582" spans="7:24" ht="15" customHeight="1">
      <c r="G45582"/>
      <c r="I45582"/>
      <c r="N45582"/>
      <c r="O45582" s="24"/>
      <c r="P45582"/>
      <c r="Q45582" s="24"/>
      <c r="R45582"/>
      <c r="S45582"/>
      <c r="T45582"/>
      <c r="U45582"/>
      <c r="X45582" s="60"/>
    </row>
    <row r="45583" spans="7:24" ht="15" customHeight="1">
      <c r="G45583"/>
      <c r="I45583"/>
      <c r="N45583"/>
      <c r="O45583" s="24"/>
      <c r="P45583"/>
      <c r="Q45583" s="24"/>
      <c r="R45583"/>
      <c r="S45583"/>
      <c r="T45583"/>
      <c r="U45583"/>
      <c r="X45583" s="60"/>
    </row>
    <row r="45584" spans="7:24" ht="15" customHeight="1">
      <c r="G45584"/>
      <c r="I45584"/>
      <c r="N45584"/>
      <c r="O45584" s="24"/>
      <c r="P45584"/>
      <c r="Q45584" s="24"/>
      <c r="R45584"/>
      <c r="S45584"/>
      <c r="T45584"/>
      <c r="U45584"/>
      <c r="X45584" s="60"/>
    </row>
    <row r="45585" spans="7:24" ht="15" customHeight="1">
      <c r="G45585"/>
      <c r="I45585"/>
      <c r="N45585"/>
      <c r="O45585" s="24"/>
      <c r="P45585"/>
      <c r="Q45585" s="24"/>
      <c r="R45585"/>
      <c r="S45585"/>
      <c r="T45585"/>
      <c r="U45585"/>
      <c r="X45585" s="60"/>
    </row>
    <row r="45586" spans="7:24" ht="15" customHeight="1">
      <c r="G45586"/>
      <c r="I45586"/>
      <c r="N45586"/>
      <c r="O45586" s="24"/>
      <c r="P45586"/>
      <c r="Q45586" s="24"/>
      <c r="R45586"/>
      <c r="S45586"/>
      <c r="T45586"/>
      <c r="U45586"/>
      <c r="X45586" s="60"/>
    </row>
    <row r="45587" spans="7:24" ht="15" customHeight="1">
      <c r="G45587"/>
      <c r="I45587"/>
      <c r="N45587"/>
      <c r="O45587" s="24"/>
      <c r="P45587"/>
      <c r="Q45587" s="24"/>
      <c r="R45587"/>
      <c r="S45587"/>
      <c r="T45587"/>
      <c r="U45587"/>
      <c r="X45587" s="60"/>
    </row>
    <row r="45588" spans="7:24" ht="15" customHeight="1">
      <c r="G45588"/>
      <c r="I45588"/>
      <c r="N45588"/>
      <c r="O45588" s="24"/>
      <c r="P45588"/>
      <c r="Q45588" s="24"/>
      <c r="R45588"/>
      <c r="S45588"/>
      <c r="T45588"/>
      <c r="U45588"/>
      <c r="X45588" s="60"/>
    </row>
    <row r="45589" spans="7:24" ht="15" customHeight="1">
      <c r="G45589"/>
      <c r="I45589"/>
      <c r="N45589"/>
      <c r="O45589" s="24"/>
      <c r="P45589"/>
      <c r="Q45589" s="24"/>
      <c r="R45589"/>
      <c r="S45589"/>
      <c r="T45589"/>
      <c r="U45589"/>
      <c r="X45589" s="60"/>
    </row>
    <row r="45590" spans="7:24" ht="15" customHeight="1">
      <c r="G45590"/>
      <c r="I45590"/>
      <c r="N45590"/>
      <c r="O45590" s="24"/>
      <c r="P45590"/>
      <c r="Q45590" s="24"/>
      <c r="R45590"/>
      <c r="S45590"/>
      <c r="T45590"/>
      <c r="U45590"/>
      <c r="X45590" s="60"/>
    </row>
    <row r="45591" spans="7:24" ht="15" customHeight="1">
      <c r="G45591"/>
      <c r="I45591"/>
      <c r="N45591"/>
      <c r="O45591" s="24"/>
      <c r="P45591"/>
      <c r="Q45591" s="24"/>
      <c r="R45591"/>
      <c r="S45591"/>
      <c r="T45591"/>
      <c r="U45591"/>
      <c r="X45591" s="60"/>
    </row>
    <row r="45592" spans="7:24" ht="15" customHeight="1">
      <c r="G45592"/>
      <c r="I45592"/>
      <c r="N45592"/>
      <c r="O45592" s="24"/>
      <c r="P45592"/>
      <c r="Q45592" s="24"/>
      <c r="R45592"/>
      <c r="S45592"/>
      <c r="T45592"/>
      <c r="U45592"/>
      <c r="X45592" s="60"/>
    </row>
    <row r="45593" spans="7:24" ht="15" customHeight="1">
      <c r="G45593"/>
      <c r="I45593"/>
      <c r="N45593"/>
      <c r="O45593" s="24"/>
      <c r="P45593"/>
      <c r="Q45593" s="24"/>
      <c r="R45593"/>
      <c r="S45593"/>
      <c r="T45593"/>
      <c r="U45593"/>
      <c r="X45593" s="60"/>
    </row>
    <row r="45594" spans="7:24" ht="15" customHeight="1">
      <c r="G45594"/>
      <c r="I45594"/>
      <c r="N45594"/>
      <c r="O45594" s="24"/>
      <c r="P45594"/>
      <c r="Q45594" s="24"/>
      <c r="R45594"/>
      <c r="S45594"/>
      <c r="T45594"/>
      <c r="U45594"/>
      <c r="X45594" s="60"/>
    </row>
    <row r="45595" spans="7:24" ht="15" customHeight="1">
      <c r="G45595"/>
      <c r="I45595"/>
      <c r="N45595"/>
      <c r="O45595" s="24"/>
      <c r="P45595"/>
      <c r="Q45595" s="24"/>
      <c r="R45595"/>
      <c r="S45595"/>
      <c r="T45595"/>
      <c r="U45595"/>
      <c r="X45595" s="60"/>
    </row>
    <row r="45596" spans="7:24" ht="15" customHeight="1">
      <c r="G45596"/>
      <c r="I45596"/>
      <c r="N45596"/>
      <c r="O45596" s="24"/>
      <c r="P45596"/>
      <c r="Q45596" s="24"/>
      <c r="R45596"/>
      <c r="S45596"/>
      <c r="T45596"/>
      <c r="U45596"/>
      <c r="X45596" s="60"/>
    </row>
    <row r="45597" spans="7:24" ht="15" customHeight="1">
      <c r="G45597"/>
      <c r="I45597"/>
      <c r="N45597"/>
      <c r="O45597" s="24"/>
      <c r="P45597"/>
      <c r="Q45597" s="24"/>
      <c r="R45597"/>
      <c r="S45597"/>
      <c r="T45597"/>
      <c r="U45597"/>
      <c r="X45597" s="60"/>
    </row>
    <row r="45598" spans="7:24" ht="15" customHeight="1">
      <c r="G45598"/>
      <c r="I45598"/>
      <c r="N45598"/>
      <c r="O45598" s="24"/>
      <c r="P45598"/>
      <c r="Q45598" s="24"/>
      <c r="R45598"/>
      <c r="S45598"/>
      <c r="T45598"/>
      <c r="U45598"/>
      <c r="X45598" s="60"/>
    </row>
    <row r="45599" spans="7:24" ht="15" customHeight="1">
      <c r="G45599"/>
      <c r="I45599"/>
      <c r="N45599"/>
      <c r="O45599" s="24"/>
      <c r="P45599"/>
      <c r="Q45599" s="24"/>
      <c r="R45599"/>
      <c r="S45599"/>
      <c r="T45599"/>
      <c r="U45599"/>
      <c r="X45599" s="60"/>
    </row>
    <row r="45600" spans="7:24" ht="15" customHeight="1">
      <c r="G45600"/>
      <c r="I45600"/>
      <c r="N45600"/>
      <c r="O45600" s="24"/>
      <c r="P45600"/>
      <c r="Q45600" s="24"/>
      <c r="R45600"/>
      <c r="S45600"/>
      <c r="T45600"/>
      <c r="U45600"/>
      <c r="X45600" s="60"/>
    </row>
    <row r="45601" spans="7:24" ht="15" customHeight="1">
      <c r="G45601"/>
      <c r="I45601"/>
      <c r="N45601"/>
      <c r="O45601" s="24"/>
      <c r="P45601"/>
      <c r="Q45601" s="24"/>
      <c r="R45601"/>
      <c r="S45601"/>
      <c r="T45601"/>
      <c r="U45601"/>
      <c r="X45601" s="60"/>
    </row>
    <row r="45602" spans="7:24" ht="15" customHeight="1">
      <c r="G45602"/>
      <c r="I45602"/>
      <c r="N45602"/>
      <c r="O45602" s="24"/>
      <c r="P45602"/>
      <c r="Q45602" s="24"/>
      <c r="R45602"/>
      <c r="S45602"/>
      <c r="T45602"/>
      <c r="U45602"/>
      <c r="X45602" s="60"/>
    </row>
    <row r="45603" spans="7:24" ht="15" customHeight="1">
      <c r="G45603"/>
      <c r="I45603"/>
      <c r="N45603"/>
      <c r="O45603" s="24"/>
      <c r="P45603"/>
      <c r="Q45603" s="24"/>
      <c r="R45603"/>
      <c r="S45603"/>
      <c r="T45603"/>
      <c r="U45603"/>
      <c r="X45603" s="60"/>
    </row>
    <row r="45604" spans="7:24" ht="15" customHeight="1">
      <c r="G45604"/>
      <c r="I45604"/>
      <c r="N45604"/>
      <c r="O45604" s="24"/>
      <c r="P45604"/>
      <c r="Q45604" s="24"/>
      <c r="R45604"/>
      <c r="S45604"/>
      <c r="T45604"/>
      <c r="U45604"/>
      <c r="X45604" s="60"/>
    </row>
    <row r="45605" spans="7:24" ht="15" customHeight="1">
      <c r="G45605"/>
      <c r="I45605"/>
      <c r="N45605"/>
      <c r="O45605" s="24"/>
      <c r="P45605"/>
      <c r="Q45605" s="24"/>
      <c r="R45605"/>
      <c r="S45605"/>
      <c r="T45605"/>
      <c r="U45605"/>
      <c r="X45605" s="60"/>
    </row>
    <row r="45606" spans="7:24" ht="15" customHeight="1">
      <c r="G45606"/>
      <c r="I45606"/>
      <c r="N45606"/>
      <c r="O45606" s="24"/>
      <c r="P45606"/>
      <c r="Q45606" s="24"/>
      <c r="R45606"/>
      <c r="S45606"/>
      <c r="T45606"/>
      <c r="U45606"/>
      <c r="X45606" s="60"/>
    </row>
    <row r="45607" spans="7:24" ht="15" customHeight="1">
      <c r="G45607"/>
      <c r="I45607"/>
      <c r="N45607"/>
      <c r="O45607" s="24"/>
      <c r="P45607"/>
      <c r="Q45607" s="24"/>
      <c r="R45607"/>
      <c r="S45607"/>
      <c r="T45607"/>
      <c r="U45607"/>
      <c r="X45607" s="60"/>
    </row>
    <row r="45608" spans="7:24" ht="15" customHeight="1">
      <c r="G45608"/>
      <c r="I45608"/>
      <c r="N45608"/>
      <c r="O45608" s="24"/>
      <c r="P45608"/>
      <c r="Q45608" s="24"/>
      <c r="R45608"/>
      <c r="S45608"/>
      <c r="T45608"/>
      <c r="U45608"/>
      <c r="X45608" s="60"/>
    </row>
    <row r="45609" spans="7:24" ht="15" customHeight="1">
      <c r="G45609"/>
      <c r="I45609"/>
      <c r="N45609"/>
      <c r="O45609" s="24"/>
      <c r="P45609"/>
      <c r="Q45609" s="24"/>
      <c r="R45609"/>
      <c r="S45609"/>
      <c r="T45609"/>
      <c r="U45609"/>
      <c r="X45609" s="60"/>
    </row>
    <row r="45610" spans="7:24" ht="15" customHeight="1">
      <c r="G45610"/>
      <c r="I45610"/>
      <c r="N45610"/>
      <c r="O45610" s="24"/>
      <c r="P45610"/>
      <c r="Q45610" s="24"/>
      <c r="R45610"/>
      <c r="S45610"/>
      <c r="T45610"/>
      <c r="U45610"/>
      <c r="X45610" s="60"/>
    </row>
    <row r="45611" spans="7:24" ht="15" customHeight="1">
      <c r="G45611"/>
      <c r="I45611"/>
      <c r="N45611"/>
      <c r="O45611" s="24"/>
      <c r="P45611"/>
      <c r="Q45611" s="24"/>
      <c r="R45611"/>
      <c r="S45611"/>
      <c r="T45611"/>
      <c r="U45611"/>
      <c r="X45611" s="60"/>
    </row>
    <row r="45612" spans="7:24" ht="15" customHeight="1">
      <c r="G45612"/>
      <c r="I45612"/>
      <c r="N45612"/>
      <c r="O45612" s="24"/>
      <c r="P45612"/>
      <c r="Q45612" s="24"/>
      <c r="R45612"/>
      <c r="S45612"/>
      <c r="T45612"/>
      <c r="U45612"/>
      <c r="X45612" s="60"/>
    </row>
    <row r="45613" spans="7:24" ht="15" customHeight="1">
      <c r="G45613"/>
      <c r="I45613"/>
      <c r="N45613"/>
      <c r="O45613" s="24"/>
      <c r="P45613"/>
      <c r="Q45613" s="24"/>
      <c r="R45613"/>
      <c r="S45613"/>
      <c r="T45613"/>
      <c r="U45613"/>
      <c r="X45613" s="60"/>
    </row>
    <row r="45614" spans="7:24" ht="15" customHeight="1">
      <c r="G45614"/>
      <c r="I45614"/>
      <c r="N45614"/>
      <c r="O45614" s="24"/>
      <c r="P45614"/>
      <c r="Q45614" s="24"/>
      <c r="R45614"/>
      <c r="S45614"/>
      <c r="T45614"/>
      <c r="U45614"/>
      <c r="X45614" s="60"/>
    </row>
    <row r="45615" spans="7:24" ht="15" customHeight="1">
      <c r="G45615"/>
      <c r="I45615"/>
      <c r="N45615"/>
      <c r="O45615" s="24"/>
      <c r="P45615"/>
      <c r="Q45615" s="24"/>
      <c r="R45615"/>
      <c r="S45615"/>
      <c r="T45615"/>
      <c r="U45615"/>
      <c r="X45615" s="60"/>
    </row>
    <row r="45616" spans="7:24" ht="15" customHeight="1">
      <c r="G45616"/>
      <c r="I45616"/>
      <c r="N45616"/>
      <c r="O45616" s="24"/>
      <c r="P45616"/>
      <c r="Q45616" s="24"/>
      <c r="R45616"/>
      <c r="S45616"/>
      <c r="T45616"/>
      <c r="U45616"/>
      <c r="X45616" s="60"/>
    </row>
    <row r="45617" spans="7:24" ht="15" customHeight="1">
      <c r="G45617"/>
      <c r="I45617"/>
      <c r="N45617"/>
      <c r="O45617" s="24"/>
      <c r="P45617"/>
      <c r="Q45617" s="24"/>
      <c r="R45617"/>
      <c r="S45617"/>
      <c r="T45617"/>
      <c r="U45617"/>
      <c r="X45617" s="60"/>
    </row>
    <row r="45618" spans="7:24" ht="15" customHeight="1">
      <c r="G45618"/>
      <c r="I45618"/>
      <c r="N45618"/>
      <c r="O45618" s="24"/>
      <c r="P45618"/>
      <c r="Q45618" s="24"/>
      <c r="R45618"/>
      <c r="S45618"/>
      <c r="T45618"/>
      <c r="U45618"/>
      <c r="X45618" s="60"/>
    </row>
    <row r="45619" spans="7:24" ht="15" customHeight="1">
      <c r="G45619"/>
      <c r="I45619"/>
      <c r="N45619"/>
      <c r="O45619" s="24"/>
      <c r="P45619"/>
      <c r="Q45619" s="24"/>
      <c r="R45619"/>
      <c r="S45619"/>
      <c r="T45619"/>
      <c r="U45619"/>
      <c r="X45619" s="60"/>
    </row>
    <row r="45620" spans="7:24" ht="15" customHeight="1">
      <c r="G45620"/>
      <c r="I45620"/>
      <c r="N45620"/>
      <c r="O45620" s="24"/>
      <c r="P45620"/>
      <c r="Q45620" s="24"/>
      <c r="R45620"/>
      <c r="S45620"/>
      <c r="T45620"/>
      <c r="U45620"/>
      <c r="X45620" s="60"/>
    </row>
    <row r="45621" spans="7:24" ht="15" customHeight="1">
      <c r="G45621"/>
      <c r="I45621"/>
      <c r="N45621"/>
      <c r="O45621" s="24"/>
      <c r="P45621"/>
      <c r="Q45621" s="24"/>
      <c r="R45621"/>
      <c r="S45621"/>
      <c r="T45621"/>
      <c r="U45621"/>
      <c r="X45621" s="60"/>
    </row>
    <row r="45622" spans="7:24" ht="15" customHeight="1">
      <c r="G45622"/>
      <c r="I45622"/>
      <c r="N45622"/>
      <c r="O45622" s="24"/>
      <c r="P45622"/>
      <c r="Q45622" s="24"/>
      <c r="R45622"/>
      <c r="S45622"/>
      <c r="T45622"/>
      <c r="U45622"/>
      <c r="X45622" s="60"/>
    </row>
    <row r="45623" spans="7:24" ht="15" customHeight="1">
      <c r="G45623"/>
      <c r="I45623"/>
      <c r="N45623"/>
      <c r="O45623" s="24"/>
      <c r="P45623"/>
      <c r="Q45623" s="24"/>
      <c r="R45623"/>
      <c r="S45623"/>
      <c r="T45623"/>
      <c r="U45623"/>
      <c r="X45623" s="60"/>
    </row>
    <row r="45624" spans="7:24" ht="15" customHeight="1">
      <c r="G45624"/>
      <c r="I45624"/>
      <c r="N45624"/>
      <c r="O45624" s="24"/>
      <c r="P45624"/>
      <c r="Q45624" s="24"/>
      <c r="R45624"/>
      <c r="S45624"/>
      <c r="T45624"/>
      <c r="U45624"/>
      <c r="X45624" s="60"/>
    </row>
    <row r="45625" spans="7:24" ht="15" customHeight="1">
      <c r="G45625"/>
      <c r="I45625"/>
      <c r="N45625"/>
      <c r="O45625" s="24"/>
      <c r="P45625"/>
      <c r="Q45625" s="24"/>
      <c r="R45625"/>
      <c r="S45625"/>
      <c r="T45625"/>
      <c r="U45625"/>
      <c r="X45625" s="60"/>
    </row>
    <row r="45626" spans="7:24" ht="15" customHeight="1">
      <c r="G45626"/>
      <c r="I45626"/>
      <c r="N45626"/>
      <c r="O45626" s="24"/>
      <c r="P45626"/>
      <c r="Q45626" s="24"/>
      <c r="R45626"/>
      <c r="S45626"/>
      <c r="T45626"/>
      <c r="U45626"/>
      <c r="X45626" s="60"/>
    </row>
    <row r="45627" spans="7:24" ht="15" customHeight="1">
      <c r="G45627"/>
      <c r="I45627"/>
      <c r="N45627"/>
      <c r="O45627" s="24"/>
      <c r="P45627"/>
      <c r="Q45627" s="24"/>
      <c r="R45627"/>
      <c r="S45627"/>
      <c r="T45627"/>
      <c r="U45627"/>
      <c r="X45627" s="60"/>
    </row>
    <row r="45628" spans="7:24" ht="15" customHeight="1">
      <c r="G45628"/>
      <c r="I45628"/>
      <c r="N45628"/>
      <c r="O45628" s="24"/>
      <c r="P45628"/>
      <c r="Q45628" s="24"/>
      <c r="R45628"/>
      <c r="S45628"/>
      <c r="T45628"/>
      <c r="U45628"/>
      <c r="X45628" s="60"/>
    </row>
    <row r="45629" spans="7:24" ht="15" customHeight="1">
      <c r="G45629"/>
      <c r="I45629"/>
      <c r="N45629"/>
      <c r="O45629" s="24"/>
      <c r="P45629"/>
      <c r="Q45629" s="24"/>
      <c r="R45629"/>
      <c r="S45629"/>
      <c r="T45629"/>
      <c r="U45629"/>
      <c r="X45629" s="60"/>
    </row>
    <row r="45630" spans="7:24" ht="15" customHeight="1">
      <c r="G45630"/>
      <c r="I45630"/>
      <c r="N45630"/>
      <c r="O45630" s="24"/>
      <c r="P45630"/>
      <c r="Q45630" s="24"/>
      <c r="R45630"/>
      <c r="S45630"/>
      <c r="T45630"/>
      <c r="U45630"/>
      <c r="X45630" s="60"/>
    </row>
    <row r="45631" spans="7:24" ht="15" customHeight="1">
      <c r="G45631"/>
      <c r="I45631"/>
      <c r="N45631"/>
      <c r="O45631" s="24"/>
      <c r="P45631"/>
      <c r="Q45631" s="24"/>
      <c r="R45631"/>
      <c r="S45631"/>
      <c r="T45631"/>
      <c r="U45631"/>
      <c r="X45631" s="60"/>
    </row>
    <row r="45632" spans="7:24" ht="15" customHeight="1">
      <c r="G45632"/>
      <c r="I45632"/>
      <c r="N45632"/>
      <c r="O45632" s="24"/>
      <c r="P45632"/>
      <c r="Q45632" s="24"/>
      <c r="R45632"/>
      <c r="S45632"/>
      <c r="T45632"/>
      <c r="U45632"/>
      <c r="X45632" s="60"/>
    </row>
    <row r="45633" spans="7:24" ht="15" customHeight="1">
      <c r="G45633"/>
      <c r="I45633"/>
      <c r="N45633"/>
      <c r="O45633" s="24"/>
      <c r="P45633"/>
      <c r="Q45633" s="24"/>
      <c r="R45633"/>
      <c r="S45633"/>
      <c r="T45633"/>
      <c r="U45633"/>
      <c r="X45633" s="60"/>
    </row>
    <row r="45634" spans="7:24" ht="15" customHeight="1">
      <c r="G45634"/>
      <c r="I45634"/>
      <c r="N45634"/>
      <c r="O45634" s="24"/>
      <c r="P45634"/>
      <c r="Q45634" s="24"/>
      <c r="R45634"/>
      <c r="S45634"/>
      <c r="T45634"/>
      <c r="U45634"/>
      <c r="X45634" s="60"/>
    </row>
    <row r="45635" spans="7:24" ht="15" customHeight="1">
      <c r="G45635"/>
      <c r="I45635"/>
      <c r="N45635"/>
      <c r="O45635" s="24"/>
      <c r="P45635"/>
      <c r="Q45635" s="24"/>
      <c r="R45635"/>
      <c r="S45635"/>
      <c r="T45635"/>
      <c r="U45635"/>
      <c r="X45635" s="60"/>
    </row>
    <row r="45636" spans="7:24" ht="15" customHeight="1">
      <c r="G45636"/>
      <c r="I45636"/>
      <c r="N45636"/>
      <c r="O45636" s="24"/>
      <c r="P45636"/>
      <c r="Q45636" s="24"/>
      <c r="R45636"/>
      <c r="S45636"/>
      <c r="T45636"/>
      <c r="U45636"/>
      <c r="X45636" s="60"/>
    </row>
    <row r="45637" spans="7:24" ht="15" customHeight="1">
      <c r="G45637"/>
      <c r="I45637"/>
      <c r="N45637"/>
      <c r="O45637" s="24"/>
      <c r="P45637"/>
      <c r="Q45637" s="24"/>
      <c r="R45637"/>
      <c r="S45637"/>
      <c r="T45637"/>
      <c r="U45637"/>
      <c r="X45637" s="60"/>
    </row>
    <row r="45638" spans="7:24" ht="15" customHeight="1">
      <c r="G45638"/>
      <c r="I45638"/>
      <c r="N45638"/>
      <c r="O45638" s="24"/>
      <c r="P45638"/>
      <c r="Q45638" s="24"/>
      <c r="R45638"/>
      <c r="S45638"/>
      <c r="T45638"/>
      <c r="U45638"/>
      <c r="X45638" s="60"/>
    </row>
    <row r="45639" spans="7:24" ht="15" customHeight="1">
      <c r="G45639"/>
      <c r="I45639"/>
      <c r="N45639"/>
      <c r="O45639" s="24"/>
      <c r="P45639"/>
      <c r="Q45639" s="24"/>
      <c r="R45639"/>
      <c r="S45639"/>
      <c r="T45639"/>
      <c r="U45639"/>
      <c r="X45639" s="60"/>
    </row>
    <row r="45640" spans="7:24" ht="15" customHeight="1">
      <c r="G45640"/>
      <c r="I45640"/>
      <c r="N45640"/>
      <c r="O45640" s="24"/>
      <c r="P45640"/>
      <c r="Q45640" s="24"/>
      <c r="R45640"/>
      <c r="S45640"/>
      <c r="T45640"/>
      <c r="U45640"/>
      <c r="X45640" s="60"/>
    </row>
    <row r="45641" spans="7:24" ht="15" customHeight="1">
      <c r="G45641"/>
      <c r="I45641"/>
      <c r="N45641"/>
      <c r="O45641" s="24"/>
      <c r="P45641"/>
      <c r="Q45641" s="24"/>
      <c r="R45641"/>
      <c r="S45641"/>
      <c r="T45641"/>
      <c r="U45641"/>
      <c r="X45641" s="60"/>
    </row>
    <row r="45642" spans="7:24" ht="15" customHeight="1">
      <c r="G45642"/>
      <c r="I45642"/>
      <c r="N45642"/>
      <c r="O45642" s="24"/>
      <c r="P45642"/>
      <c r="Q45642" s="24"/>
      <c r="R45642"/>
      <c r="S45642"/>
      <c r="T45642"/>
      <c r="U45642"/>
      <c r="X45642" s="60"/>
    </row>
    <row r="45643" spans="7:24" ht="15" customHeight="1">
      <c r="G45643"/>
      <c r="I45643"/>
      <c r="N45643"/>
      <c r="O45643" s="24"/>
      <c r="P45643"/>
      <c r="Q45643" s="24"/>
      <c r="R45643"/>
      <c r="S45643"/>
      <c r="T45643"/>
      <c r="U45643"/>
      <c r="X45643" s="60"/>
    </row>
    <row r="45644" spans="7:24" ht="15" customHeight="1">
      <c r="G45644"/>
      <c r="I45644"/>
      <c r="N45644"/>
      <c r="O45644" s="24"/>
      <c r="P45644"/>
      <c r="Q45644" s="24"/>
      <c r="R45644"/>
      <c r="S45644"/>
      <c r="T45644"/>
      <c r="U45644"/>
      <c r="X45644" s="60"/>
    </row>
    <row r="45645" spans="7:24" ht="15" customHeight="1">
      <c r="G45645"/>
      <c r="I45645"/>
      <c r="N45645"/>
      <c r="O45645" s="24"/>
      <c r="P45645"/>
      <c r="Q45645" s="24"/>
      <c r="R45645"/>
      <c r="S45645"/>
      <c r="T45645"/>
      <c r="U45645"/>
      <c r="X45645" s="60"/>
    </row>
    <row r="45646" spans="7:24" ht="15" customHeight="1">
      <c r="G45646"/>
      <c r="I45646"/>
      <c r="N45646"/>
      <c r="O45646" s="24"/>
      <c r="P45646"/>
      <c r="Q45646" s="24"/>
      <c r="R45646"/>
      <c r="S45646"/>
      <c r="T45646"/>
      <c r="U45646"/>
      <c r="X45646" s="60"/>
    </row>
    <row r="45647" spans="7:24" ht="15" customHeight="1">
      <c r="G45647"/>
      <c r="I45647"/>
      <c r="N45647"/>
      <c r="O45647" s="24"/>
      <c r="P45647"/>
      <c r="Q45647" s="24"/>
      <c r="R45647"/>
      <c r="S45647"/>
      <c r="T45647"/>
      <c r="U45647"/>
      <c r="X45647" s="60"/>
    </row>
    <row r="45648" spans="7:24" ht="15" customHeight="1">
      <c r="G45648"/>
      <c r="I45648"/>
      <c r="N45648"/>
      <c r="O45648" s="24"/>
      <c r="P45648"/>
      <c r="Q45648" s="24"/>
      <c r="R45648"/>
      <c r="S45648"/>
      <c r="T45648"/>
      <c r="U45648"/>
      <c r="X45648" s="60"/>
    </row>
    <row r="45649" spans="7:24" ht="15" customHeight="1">
      <c r="G45649"/>
      <c r="I45649"/>
      <c r="N45649"/>
      <c r="O45649" s="24"/>
      <c r="P45649"/>
      <c r="Q45649" s="24"/>
      <c r="R45649"/>
      <c r="S45649"/>
      <c r="T45649"/>
      <c r="U45649"/>
      <c r="X45649" s="60"/>
    </row>
    <row r="45650" spans="7:24" ht="15" customHeight="1">
      <c r="G45650"/>
      <c r="I45650"/>
      <c r="N45650"/>
      <c r="O45650" s="24"/>
      <c r="P45650"/>
      <c r="Q45650" s="24"/>
      <c r="R45650"/>
      <c r="S45650"/>
      <c r="T45650"/>
      <c r="U45650"/>
      <c r="X45650" s="60"/>
    </row>
    <row r="45651" spans="7:24" ht="15" customHeight="1">
      <c r="G45651"/>
      <c r="I45651"/>
      <c r="N45651"/>
      <c r="O45651" s="24"/>
      <c r="P45651"/>
      <c r="Q45651" s="24"/>
      <c r="R45651"/>
      <c r="S45651"/>
      <c r="T45651"/>
      <c r="U45651"/>
      <c r="X45651" s="60"/>
    </row>
    <row r="45652" spans="7:24" ht="15" customHeight="1">
      <c r="G45652"/>
      <c r="I45652"/>
      <c r="N45652"/>
      <c r="O45652" s="24"/>
      <c r="P45652"/>
      <c r="Q45652" s="24"/>
      <c r="R45652"/>
      <c r="S45652"/>
      <c r="T45652"/>
      <c r="U45652"/>
      <c r="X45652" s="60"/>
    </row>
    <row r="45653" spans="7:24" ht="15" customHeight="1">
      <c r="G45653"/>
      <c r="I45653"/>
      <c r="N45653"/>
      <c r="O45653" s="24"/>
      <c r="P45653"/>
      <c r="Q45653" s="24"/>
      <c r="R45653"/>
      <c r="S45653"/>
      <c r="T45653"/>
      <c r="U45653"/>
      <c r="X45653" s="60"/>
    </row>
    <row r="45654" spans="7:24" ht="15" customHeight="1">
      <c r="G45654"/>
      <c r="I45654"/>
      <c r="N45654"/>
      <c r="O45654" s="24"/>
      <c r="P45654"/>
      <c r="Q45654" s="24"/>
      <c r="R45654"/>
      <c r="S45654"/>
      <c r="T45654"/>
      <c r="U45654"/>
      <c r="X45654" s="60"/>
    </row>
    <row r="45655" spans="7:24" ht="15" customHeight="1">
      <c r="G45655"/>
      <c r="I45655"/>
      <c r="N45655"/>
      <c r="O45655" s="24"/>
      <c r="P45655"/>
      <c r="Q45655" s="24"/>
      <c r="R45655"/>
      <c r="S45655"/>
      <c r="T45655"/>
      <c r="U45655"/>
      <c r="X45655" s="60"/>
    </row>
    <row r="45656" spans="7:24" ht="15" customHeight="1">
      <c r="G45656"/>
      <c r="I45656"/>
      <c r="N45656"/>
      <c r="O45656" s="24"/>
      <c r="P45656"/>
      <c r="Q45656" s="24"/>
      <c r="R45656"/>
      <c r="S45656"/>
      <c r="T45656"/>
      <c r="U45656"/>
      <c r="X45656" s="60"/>
    </row>
    <row r="45657" spans="7:24" ht="15" customHeight="1">
      <c r="G45657"/>
      <c r="I45657"/>
      <c r="N45657"/>
      <c r="O45657" s="24"/>
      <c r="P45657"/>
      <c r="Q45657" s="24"/>
      <c r="R45657"/>
      <c r="S45657"/>
      <c r="T45657"/>
      <c r="U45657"/>
      <c r="X45657" s="60"/>
    </row>
    <row r="45658" spans="7:24" ht="15" customHeight="1">
      <c r="G45658"/>
      <c r="I45658"/>
      <c r="N45658"/>
      <c r="O45658" s="24"/>
      <c r="P45658"/>
      <c r="Q45658" s="24"/>
      <c r="R45658"/>
      <c r="S45658"/>
      <c r="T45658"/>
      <c r="U45658"/>
      <c r="X45658" s="60"/>
    </row>
    <row r="45659" spans="7:24" ht="15" customHeight="1">
      <c r="G45659"/>
      <c r="I45659"/>
      <c r="N45659"/>
      <c r="O45659" s="24"/>
      <c r="P45659"/>
      <c r="Q45659" s="24"/>
      <c r="R45659"/>
      <c r="S45659"/>
      <c r="T45659"/>
      <c r="U45659"/>
      <c r="X45659" s="60"/>
    </row>
    <row r="45660" spans="7:24" ht="15" customHeight="1">
      <c r="G45660"/>
      <c r="I45660"/>
      <c r="N45660"/>
      <c r="O45660" s="24"/>
      <c r="P45660"/>
      <c r="Q45660" s="24"/>
      <c r="R45660"/>
      <c r="S45660"/>
      <c r="T45660"/>
      <c r="U45660"/>
      <c r="X45660" s="60"/>
    </row>
    <row r="45661" spans="7:24" ht="15" customHeight="1">
      <c r="G45661"/>
      <c r="I45661"/>
      <c r="N45661"/>
      <c r="O45661" s="24"/>
      <c r="P45661"/>
      <c r="Q45661" s="24"/>
      <c r="R45661"/>
      <c r="S45661"/>
      <c r="T45661"/>
      <c r="U45661"/>
      <c r="X45661" s="60"/>
    </row>
    <row r="45662" spans="7:24" ht="15" customHeight="1">
      <c r="G45662"/>
      <c r="I45662"/>
      <c r="N45662"/>
      <c r="O45662" s="24"/>
      <c r="P45662"/>
      <c r="Q45662" s="24"/>
      <c r="R45662"/>
      <c r="S45662"/>
      <c r="T45662"/>
      <c r="U45662"/>
      <c r="X45662" s="60"/>
    </row>
    <row r="45663" spans="7:24" ht="15" customHeight="1">
      <c r="G45663"/>
      <c r="I45663"/>
      <c r="N45663"/>
      <c r="O45663" s="24"/>
      <c r="P45663"/>
      <c r="Q45663" s="24"/>
      <c r="R45663"/>
      <c r="S45663"/>
      <c r="T45663"/>
      <c r="U45663"/>
      <c r="X45663" s="60"/>
    </row>
    <row r="45664" spans="7:24" ht="15" customHeight="1">
      <c r="G45664"/>
      <c r="I45664"/>
      <c r="N45664"/>
      <c r="O45664" s="24"/>
      <c r="P45664"/>
      <c r="Q45664" s="24"/>
      <c r="R45664"/>
      <c r="S45664"/>
      <c r="T45664"/>
      <c r="U45664"/>
      <c r="X45664" s="60"/>
    </row>
    <row r="45665" spans="7:24" ht="15" customHeight="1">
      <c r="G45665"/>
      <c r="I45665"/>
      <c r="N45665"/>
      <c r="O45665" s="24"/>
      <c r="P45665"/>
      <c r="Q45665" s="24"/>
      <c r="R45665"/>
      <c r="S45665"/>
      <c r="T45665"/>
      <c r="U45665"/>
      <c r="X45665" s="60"/>
    </row>
    <row r="45666" spans="7:24" ht="15" customHeight="1">
      <c r="G45666"/>
      <c r="I45666"/>
      <c r="N45666"/>
      <c r="O45666" s="24"/>
      <c r="P45666"/>
      <c r="Q45666" s="24"/>
      <c r="R45666"/>
      <c r="S45666"/>
      <c r="T45666"/>
      <c r="U45666"/>
      <c r="X45666" s="60"/>
    </row>
    <row r="45667" spans="7:24" ht="15" customHeight="1">
      <c r="G45667"/>
      <c r="I45667"/>
      <c r="N45667"/>
      <c r="O45667" s="24"/>
      <c r="P45667"/>
      <c r="Q45667" s="24"/>
      <c r="R45667"/>
      <c r="S45667"/>
      <c r="T45667"/>
      <c r="U45667"/>
      <c r="X45667" s="60"/>
    </row>
    <row r="45668" spans="7:24" ht="15" customHeight="1">
      <c r="G45668"/>
      <c r="I45668"/>
      <c r="N45668"/>
      <c r="O45668" s="24"/>
      <c r="P45668"/>
      <c r="Q45668" s="24"/>
      <c r="R45668"/>
      <c r="S45668"/>
      <c r="T45668"/>
      <c r="U45668"/>
      <c r="X45668" s="60"/>
    </row>
    <row r="45669" spans="7:24" ht="15" customHeight="1">
      <c r="G45669"/>
      <c r="I45669"/>
      <c r="N45669"/>
      <c r="O45669" s="24"/>
      <c r="P45669"/>
      <c r="Q45669" s="24"/>
      <c r="R45669"/>
      <c r="S45669"/>
      <c r="T45669"/>
      <c r="U45669"/>
      <c r="X45669" s="60"/>
    </row>
    <row r="45670" spans="7:24" ht="15" customHeight="1">
      <c r="G45670"/>
      <c r="I45670"/>
      <c r="N45670"/>
      <c r="O45670" s="24"/>
      <c r="P45670"/>
      <c r="Q45670" s="24"/>
      <c r="R45670"/>
      <c r="S45670"/>
      <c r="T45670"/>
      <c r="U45670"/>
      <c r="X45670" s="60"/>
    </row>
    <row r="45671" spans="7:24" ht="15" customHeight="1">
      <c r="G45671"/>
      <c r="I45671"/>
      <c r="N45671"/>
      <c r="O45671" s="24"/>
      <c r="P45671"/>
      <c r="Q45671" s="24"/>
      <c r="R45671"/>
      <c r="S45671"/>
      <c r="T45671"/>
      <c r="U45671"/>
      <c r="X45671" s="60"/>
    </row>
    <row r="45672" spans="7:24" ht="15" customHeight="1">
      <c r="G45672"/>
      <c r="I45672"/>
      <c r="N45672"/>
      <c r="O45672" s="24"/>
      <c r="P45672"/>
      <c r="Q45672" s="24"/>
      <c r="R45672"/>
      <c r="S45672"/>
      <c r="T45672"/>
      <c r="U45672"/>
      <c r="X45672" s="60"/>
    </row>
    <row r="45673" spans="7:24" ht="15" customHeight="1">
      <c r="G45673"/>
      <c r="I45673"/>
      <c r="N45673"/>
      <c r="O45673" s="24"/>
      <c r="P45673"/>
      <c r="Q45673" s="24"/>
      <c r="R45673"/>
      <c r="S45673"/>
      <c r="T45673"/>
      <c r="U45673"/>
      <c r="X45673" s="60"/>
    </row>
    <row r="45674" spans="7:24" ht="15" customHeight="1">
      <c r="G45674"/>
      <c r="I45674"/>
      <c r="N45674"/>
      <c r="O45674" s="24"/>
      <c r="P45674"/>
      <c r="Q45674" s="24"/>
      <c r="R45674"/>
      <c r="S45674"/>
      <c r="T45674"/>
      <c r="U45674"/>
      <c r="X45674" s="60"/>
    </row>
    <row r="45675" spans="7:24" ht="15" customHeight="1">
      <c r="G45675"/>
      <c r="I45675"/>
      <c r="N45675"/>
      <c r="O45675" s="24"/>
      <c r="P45675"/>
      <c r="Q45675" s="24"/>
      <c r="R45675"/>
      <c r="S45675"/>
      <c r="T45675"/>
      <c r="U45675"/>
      <c r="X45675" s="60"/>
    </row>
    <row r="45676" spans="7:24" ht="15" customHeight="1">
      <c r="G45676"/>
      <c r="I45676"/>
      <c r="N45676"/>
      <c r="O45676" s="24"/>
      <c r="P45676"/>
      <c r="Q45676" s="24"/>
      <c r="R45676"/>
      <c r="S45676"/>
      <c r="T45676"/>
      <c r="U45676"/>
      <c r="X45676" s="60"/>
    </row>
    <row r="45677" spans="7:24" ht="15" customHeight="1">
      <c r="G45677"/>
      <c r="I45677"/>
      <c r="N45677"/>
      <c r="O45677" s="24"/>
      <c r="P45677"/>
      <c r="Q45677" s="24"/>
      <c r="R45677"/>
      <c r="S45677"/>
      <c r="T45677"/>
      <c r="U45677"/>
      <c r="X45677" s="60"/>
    </row>
    <row r="45678" spans="7:24" ht="15" customHeight="1">
      <c r="G45678"/>
      <c r="I45678"/>
      <c r="N45678"/>
      <c r="O45678" s="24"/>
      <c r="P45678"/>
      <c r="Q45678" s="24"/>
      <c r="R45678"/>
      <c r="S45678"/>
      <c r="T45678"/>
      <c r="U45678"/>
      <c r="X45678" s="60"/>
    </row>
    <row r="45679" spans="7:24" ht="15" customHeight="1">
      <c r="G45679"/>
      <c r="I45679"/>
      <c r="N45679"/>
      <c r="O45679" s="24"/>
      <c r="P45679"/>
      <c r="Q45679" s="24"/>
      <c r="R45679"/>
      <c r="S45679"/>
      <c r="T45679"/>
      <c r="U45679"/>
      <c r="X45679" s="60"/>
    </row>
    <row r="45680" spans="7:24" ht="15" customHeight="1">
      <c r="G45680"/>
      <c r="I45680"/>
      <c r="N45680"/>
      <c r="O45680" s="24"/>
      <c r="P45680"/>
      <c r="Q45680" s="24"/>
      <c r="R45680"/>
      <c r="S45680"/>
      <c r="T45680"/>
      <c r="U45680"/>
      <c r="X45680" s="60"/>
    </row>
    <row r="45681" spans="7:24" ht="15" customHeight="1">
      <c r="G45681"/>
      <c r="I45681"/>
      <c r="N45681"/>
      <c r="O45681" s="24"/>
      <c r="P45681"/>
      <c r="Q45681" s="24"/>
      <c r="R45681"/>
      <c r="S45681"/>
      <c r="T45681"/>
      <c r="U45681"/>
      <c r="X45681" s="60"/>
    </row>
    <row r="45682" spans="7:24" ht="15" customHeight="1">
      <c r="G45682"/>
      <c r="I45682"/>
      <c r="N45682"/>
      <c r="O45682" s="24"/>
      <c r="P45682"/>
      <c r="Q45682" s="24"/>
      <c r="R45682"/>
      <c r="S45682"/>
      <c r="T45682"/>
      <c r="U45682"/>
      <c r="X45682" s="60"/>
    </row>
    <row r="45683" spans="7:24" ht="15" customHeight="1">
      <c r="G45683"/>
      <c r="I45683"/>
      <c r="N45683"/>
      <c r="O45683" s="24"/>
      <c r="P45683"/>
      <c r="Q45683" s="24"/>
      <c r="R45683"/>
      <c r="S45683"/>
      <c r="T45683"/>
      <c r="U45683"/>
      <c r="X45683" s="60"/>
    </row>
    <row r="45684" spans="7:24" ht="15" customHeight="1">
      <c r="G45684"/>
      <c r="I45684"/>
      <c r="N45684"/>
      <c r="O45684" s="24"/>
      <c r="P45684"/>
      <c r="Q45684" s="24"/>
      <c r="R45684"/>
      <c r="S45684"/>
      <c r="T45684"/>
      <c r="U45684"/>
      <c r="X45684" s="60"/>
    </row>
    <row r="45685" spans="7:24" ht="15" customHeight="1">
      <c r="G45685"/>
      <c r="I45685"/>
      <c r="N45685"/>
      <c r="O45685" s="24"/>
      <c r="P45685"/>
      <c r="Q45685" s="24"/>
      <c r="R45685"/>
      <c r="S45685"/>
      <c r="T45685"/>
      <c r="U45685"/>
      <c r="X45685" s="60"/>
    </row>
    <row r="45686" spans="7:24" ht="15" customHeight="1">
      <c r="G45686"/>
      <c r="I45686"/>
      <c r="N45686"/>
      <c r="O45686" s="24"/>
      <c r="P45686"/>
      <c r="Q45686" s="24"/>
      <c r="R45686"/>
      <c r="S45686"/>
      <c r="T45686"/>
      <c r="U45686"/>
      <c r="X45686" s="60"/>
    </row>
    <row r="45687" spans="7:24" ht="15" customHeight="1">
      <c r="G45687"/>
      <c r="I45687"/>
      <c r="N45687"/>
      <c r="O45687" s="24"/>
      <c r="P45687"/>
      <c r="Q45687" s="24"/>
      <c r="R45687"/>
      <c r="S45687"/>
      <c r="T45687"/>
      <c r="U45687"/>
      <c r="X45687" s="60"/>
    </row>
    <row r="45688" spans="7:24" ht="15" customHeight="1">
      <c r="G45688"/>
      <c r="I45688"/>
      <c r="N45688"/>
      <c r="O45688" s="24"/>
      <c r="P45688"/>
      <c r="Q45688" s="24"/>
      <c r="R45688"/>
      <c r="S45688"/>
      <c r="T45688"/>
      <c r="U45688"/>
      <c r="X45688" s="60"/>
    </row>
    <row r="45689" spans="7:24" ht="15" customHeight="1">
      <c r="G45689"/>
      <c r="I45689"/>
      <c r="N45689"/>
      <c r="O45689" s="24"/>
      <c r="P45689"/>
      <c r="Q45689" s="24"/>
      <c r="R45689"/>
      <c r="S45689"/>
      <c r="T45689"/>
      <c r="U45689"/>
      <c r="X45689" s="60"/>
    </row>
    <row r="45690" spans="7:24" ht="15" customHeight="1">
      <c r="G45690"/>
      <c r="I45690"/>
      <c r="N45690"/>
      <c r="O45690" s="24"/>
      <c r="P45690"/>
      <c r="Q45690" s="24"/>
      <c r="R45690"/>
      <c r="S45690"/>
      <c r="T45690"/>
      <c r="U45690"/>
      <c r="X45690" s="60"/>
    </row>
    <row r="45691" spans="7:24" ht="15" customHeight="1">
      <c r="G45691"/>
      <c r="I45691"/>
      <c r="N45691"/>
      <c r="O45691" s="24"/>
      <c r="P45691"/>
      <c r="Q45691" s="24"/>
      <c r="R45691"/>
      <c r="S45691"/>
      <c r="T45691"/>
      <c r="U45691"/>
      <c r="X45691" s="60"/>
    </row>
    <row r="45692" spans="7:24" ht="15" customHeight="1">
      <c r="G45692"/>
      <c r="I45692"/>
      <c r="N45692"/>
      <c r="O45692" s="24"/>
      <c r="P45692"/>
      <c r="Q45692" s="24"/>
      <c r="R45692"/>
      <c r="S45692"/>
      <c r="T45692"/>
      <c r="U45692"/>
      <c r="X45692" s="60"/>
    </row>
    <row r="45693" spans="7:24" ht="15" customHeight="1">
      <c r="G45693"/>
      <c r="I45693"/>
      <c r="N45693"/>
      <c r="O45693" s="24"/>
      <c r="P45693"/>
      <c r="Q45693" s="24"/>
      <c r="R45693"/>
      <c r="S45693"/>
      <c r="T45693"/>
      <c r="U45693"/>
      <c r="X45693" s="60"/>
    </row>
    <row r="45694" spans="7:24" ht="15" customHeight="1">
      <c r="G45694"/>
      <c r="I45694"/>
      <c r="N45694"/>
      <c r="O45694" s="24"/>
      <c r="P45694"/>
      <c r="Q45694" s="24"/>
      <c r="R45694"/>
      <c r="S45694"/>
      <c r="T45694"/>
      <c r="U45694"/>
      <c r="X45694" s="60"/>
    </row>
    <row r="45695" spans="7:24" ht="15" customHeight="1">
      <c r="G45695"/>
      <c r="I45695"/>
      <c r="N45695"/>
      <c r="O45695" s="24"/>
      <c r="P45695"/>
      <c r="Q45695" s="24"/>
      <c r="R45695"/>
      <c r="S45695"/>
      <c r="T45695"/>
      <c r="U45695"/>
      <c r="X45695" s="60"/>
    </row>
    <row r="45696" spans="7:24" ht="15" customHeight="1">
      <c r="G45696"/>
      <c r="I45696"/>
      <c r="N45696"/>
      <c r="O45696" s="24"/>
      <c r="P45696"/>
      <c r="Q45696" s="24"/>
      <c r="R45696"/>
      <c r="S45696"/>
      <c r="T45696"/>
      <c r="U45696"/>
      <c r="X45696" s="60"/>
    </row>
    <row r="45697" spans="7:24" ht="15" customHeight="1">
      <c r="G45697"/>
      <c r="I45697"/>
      <c r="N45697"/>
      <c r="O45697" s="24"/>
      <c r="P45697"/>
      <c r="Q45697" s="24"/>
      <c r="R45697"/>
      <c r="S45697"/>
      <c r="T45697"/>
      <c r="U45697"/>
      <c r="X45697" s="60"/>
    </row>
    <row r="45698" spans="7:24" ht="15" customHeight="1">
      <c r="G45698"/>
      <c r="I45698"/>
      <c r="N45698"/>
      <c r="O45698" s="24"/>
      <c r="P45698"/>
      <c r="Q45698" s="24"/>
      <c r="R45698"/>
      <c r="S45698"/>
      <c r="T45698"/>
      <c r="U45698"/>
      <c r="X45698" s="60"/>
    </row>
    <row r="45699" spans="7:24" ht="15" customHeight="1">
      <c r="G45699"/>
      <c r="I45699"/>
      <c r="N45699"/>
      <c r="O45699" s="24"/>
      <c r="P45699"/>
      <c r="Q45699" s="24"/>
      <c r="R45699"/>
      <c r="S45699"/>
      <c r="T45699"/>
      <c r="U45699"/>
      <c r="X45699" s="60"/>
    </row>
    <row r="45700" spans="7:24" ht="15" customHeight="1">
      <c r="G45700"/>
      <c r="I45700"/>
      <c r="N45700"/>
      <c r="O45700" s="24"/>
      <c r="P45700"/>
      <c r="Q45700" s="24"/>
      <c r="R45700"/>
      <c r="S45700"/>
      <c r="T45700"/>
      <c r="U45700"/>
      <c r="X45700" s="60"/>
    </row>
    <row r="45701" spans="7:24" ht="15" customHeight="1">
      <c r="G45701"/>
      <c r="I45701"/>
      <c r="N45701"/>
      <c r="O45701" s="24"/>
      <c r="P45701"/>
      <c r="Q45701" s="24"/>
      <c r="R45701"/>
      <c r="S45701"/>
      <c r="T45701"/>
      <c r="U45701"/>
      <c r="X45701" s="60"/>
    </row>
    <row r="45702" spans="7:24" ht="15" customHeight="1">
      <c r="G45702"/>
      <c r="I45702"/>
      <c r="N45702"/>
      <c r="O45702" s="24"/>
      <c r="P45702"/>
      <c r="Q45702" s="24"/>
      <c r="R45702"/>
      <c r="S45702"/>
      <c r="T45702"/>
      <c r="U45702"/>
      <c r="X45702" s="60"/>
    </row>
    <row r="45703" spans="7:24" ht="15" customHeight="1">
      <c r="G45703"/>
      <c r="I45703"/>
      <c r="N45703"/>
      <c r="O45703" s="24"/>
      <c r="P45703"/>
      <c r="Q45703" s="24"/>
      <c r="R45703"/>
      <c r="S45703"/>
      <c r="T45703"/>
      <c r="U45703"/>
      <c r="X45703" s="60"/>
    </row>
    <row r="45704" spans="7:24" ht="15" customHeight="1">
      <c r="G45704"/>
      <c r="I45704"/>
      <c r="N45704"/>
      <c r="O45704" s="24"/>
      <c r="P45704"/>
      <c r="Q45704" s="24"/>
      <c r="R45704"/>
      <c r="S45704"/>
      <c r="T45704"/>
      <c r="U45704"/>
      <c r="X45704" s="60"/>
    </row>
    <row r="45705" spans="7:24" ht="15" customHeight="1">
      <c r="G45705"/>
      <c r="I45705"/>
      <c r="N45705"/>
      <c r="O45705" s="24"/>
      <c r="P45705"/>
      <c r="Q45705" s="24"/>
      <c r="R45705"/>
      <c r="S45705"/>
      <c r="T45705"/>
      <c r="U45705"/>
      <c r="X45705" s="60"/>
    </row>
    <row r="45706" spans="7:24" ht="15" customHeight="1">
      <c r="G45706"/>
      <c r="I45706"/>
      <c r="N45706"/>
      <c r="O45706" s="24"/>
      <c r="P45706"/>
      <c r="Q45706" s="24"/>
      <c r="R45706"/>
      <c r="S45706"/>
      <c r="T45706"/>
      <c r="U45706"/>
      <c r="X45706" s="60"/>
    </row>
    <row r="45707" spans="7:24" ht="15" customHeight="1">
      <c r="G45707"/>
      <c r="I45707"/>
      <c r="N45707"/>
      <c r="O45707" s="24"/>
      <c r="P45707"/>
      <c r="Q45707" s="24"/>
      <c r="R45707"/>
      <c r="S45707"/>
      <c r="T45707"/>
      <c r="U45707"/>
      <c r="X45707" s="60"/>
    </row>
    <row r="45708" spans="7:24" ht="15" customHeight="1">
      <c r="G45708"/>
      <c r="I45708"/>
      <c r="N45708"/>
      <c r="O45708" s="24"/>
      <c r="P45708"/>
      <c r="Q45708" s="24"/>
      <c r="R45708"/>
      <c r="S45708"/>
      <c r="T45708"/>
      <c r="U45708"/>
      <c r="X45708" s="60"/>
    </row>
    <row r="45709" spans="7:24" ht="15" customHeight="1">
      <c r="G45709"/>
      <c r="I45709"/>
      <c r="N45709"/>
      <c r="O45709" s="24"/>
      <c r="P45709"/>
      <c r="Q45709" s="24"/>
      <c r="R45709"/>
      <c r="S45709"/>
      <c r="T45709"/>
      <c r="U45709"/>
      <c r="X45709" s="60"/>
    </row>
    <row r="45710" spans="7:24" ht="15" customHeight="1">
      <c r="G45710"/>
      <c r="I45710"/>
      <c r="N45710"/>
      <c r="O45710" s="24"/>
      <c r="P45710"/>
      <c r="Q45710" s="24"/>
      <c r="R45710"/>
      <c r="S45710"/>
      <c r="T45710"/>
      <c r="U45710"/>
      <c r="X45710" s="60"/>
    </row>
    <row r="45711" spans="7:24" ht="15" customHeight="1">
      <c r="G45711"/>
      <c r="I45711"/>
      <c r="N45711"/>
      <c r="O45711" s="24"/>
      <c r="P45711"/>
      <c r="Q45711" s="24"/>
      <c r="R45711"/>
      <c r="S45711"/>
      <c r="T45711"/>
      <c r="U45711"/>
      <c r="X45711" s="60"/>
    </row>
    <row r="45712" spans="7:24" ht="15" customHeight="1">
      <c r="G45712"/>
      <c r="I45712"/>
      <c r="N45712"/>
      <c r="O45712" s="24"/>
      <c r="P45712"/>
      <c r="Q45712" s="24"/>
      <c r="R45712"/>
      <c r="S45712"/>
      <c r="T45712"/>
      <c r="U45712"/>
      <c r="X45712" s="60"/>
    </row>
    <row r="45713" spans="7:24" ht="15" customHeight="1">
      <c r="G45713"/>
      <c r="I45713"/>
      <c r="N45713"/>
      <c r="O45713" s="24"/>
      <c r="P45713"/>
      <c r="Q45713" s="24"/>
      <c r="R45713"/>
      <c r="S45713"/>
      <c r="T45713"/>
      <c r="U45713"/>
      <c r="X45713" s="60"/>
    </row>
    <row r="45714" spans="7:24" ht="15" customHeight="1">
      <c r="G45714"/>
      <c r="I45714"/>
      <c r="N45714"/>
      <c r="O45714" s="24"/>
      <c r="P45714"/>
      <c r="Q45714" s="24"/>
      <c r="R45714"/>
      <c r="S45714"/>
      <c r="T45714"/>
      <c r="U45714"/>
      <c r="X45714" s="60"/>
    </row>
    <row r="45715" spans="7:24" ht="15" customHeight="1">
      <c r="G45715"/>
      <c r="I45715"/>
      <c r="N45715"/>
      <c r="O45715" s="24"/>
      <c r="P45715"/>
      <c r="Q45715" s="24"/>
      <c r="R45715"/>
      <c r="S45715"/>
      <c r="T45715"/>
      <c r="U45715"/>
      <c r="X45715" s="60"/>
    </row>
    <row r="45716" spans="7:24" ht="15" customHeight="1">
      <c r="G45716"/>
      <c r="I45716"/>
      <c r="N45716"/>
      <c r="O45716" s="24"/>
      <c r="P45716"/>
      <c r="Q45716" s="24"/>
      <c r="R45716"/>
      <c r="S45716"/>
      <c r="T45716"/>
      <c r="U45716"/>
      <c r="X45716" s="60"/>
    </row>
    <row r="45717" spans="7:24" ht="15" customHeight="1">
      <c r="G45717"/>
      <c r="I45717"/>
      <c r="N45717"/>
      <c r="O45717" s="24"/>
      <c r="P45717"/>
      <c r="Q45717" s="24"/>
      <c r="R45717"/>
      <c r="S45717"/>
      <c r="T45717"/>
      <c r="U45717"/>
      <c r="X45717" s="60"/>
    </row>
    <row r="45718" spans="7:24" ht="15" customHeight="1">
      <c r="G45718"/>
      <c r="I45718"/>
      <c r="N45718"/>
      <c r="O45718" s="24"/>
      <c r="P45718"/>
      <c r="Q45718" s="24"/>
      <c r="R45718"/>
      <c r="S45718"/>
      <c r="T45718"/>
      <c r="U45718"/>
      <c r="X45718" s="60"/>
    </row>
    <row r="45719" spans="7:24" ht="15" customHeight="1">
      <c r="G45719"/>
      <c r="I45719"/>
      <c r="N45719"/>
      <c r="O45719" s="24"/>
      <c r="P45719"/>
      <c r="Q45719" s="24"/>
      <c r="R45719"/>
      <c r="S45719"/>
      <c r="T45719"/>
      <c r="U45719"/>
      <c r="X45719" s="60"/>
    </row>
    <row r="45720" spans="7:24" ht="15" customHeight="1">
      <c r="G45720"/>
      <c r="I45720"/>
      <c r="N45720"/>
      <c r="O45720" s="24"/>
      <c r="P45720"/>
      <c r="Q45720" s="24"/>
      <c r="R45720"/>
      <c r="S45720"/>
      <c r="T45720"/>
      <c r="U45720"/>
      <c r="X45720" s="60"/>
    </row>
    <row r="45721" spans="7:24" ht="15" customHeight="1">
      <c r="G45721"/>
      <c r="I45721"/>
      <c r="N45721"/>
      <c r="O45721" s="24"/>
      <c r="P45721"/>
      <c r="Q45721" s="24"/>
      <c r="R45721"/>
      <c r="S45721"/>
      <c r="T45721"/>
      <c r="U45721"/>
      <c r="X45721" s="60"/>
    </row>
    <row r="45722" spans="7:24" ht="15" customHeight="1">
      <c r="G45722"/>
      <c r="I45722"/>
      <c r="N45722"/>
      <c r="O45722" s="24"/>
      <c r="P45722"/>
      <c r="Q45722" s="24"/>
      <c r="R45722"/>
      <c r="S45722"/>
      <c r="T45722"/>
      <c r="U45722"/>
      <c r="X45722" s="60"/>
    </row>
    <row r="45723" spans="7:24" ht="15" customHeight="1">
      <c r="G45723"/>
      <c r="I45723"/>
      <c r="N45723"/>
      <c r="O45723" s="24"/>
      <c r="P45723"/>
      <c r="Q45723" s="24"/>
      <c r="R45723"/>
      <c r="S45723"/>
      <c r="T45723"/>
      <c r="U45723"/>
      <c r="X45723" s="60"/>
    </row>
    <row r="45724" spans="7:24" ht="15" customHeight="1">
      <c r="G45724"/>
      <c r="I45724"/>
      <c r="N45724"/>
      <c r="O45724" s="24"/>
      <c r="P45724"/>
      <c r="Q45724" s="24"/>
      <c r="R45724"/>
      <c r="S45724"/>
      <c r="T45724"/>
      <c r="U45724"/>
      <c r="X45724" s="60"/>
    </row>
    <row r="45725" spans="7:24" ht="15" customHeight="1">
      <c r="G45725"/>
      <c r="I45725"/>
      <c r="N45725"/>
      <c r="O45725" s="24"/>
      <c r="P45725"/>
      <c r="Q45725" s="24"/>
      <c r="R45725"/>
      <c r="S45725"/>
      <c r="T45725"/>
      <c r="U45725"/>
      <c r="X45725" s="60"/>
    </row>
    <row r="45726" spans="7:24" ht="15" customHeight="1">
      <c r="G45726"/>
      <c r="I45726"/>
      <c r="N45726"/>
      <c r="O45726" s="24"/>
      <c r="P45726"/>
      <c r="Q45726" s="24"/>
      <c r="R45726"/>
      <c r="S45726"/>
      <c r="T45726"/>
      <c r="U45726"/>
      <c r="X45726" s="60"/>
    </row>
    <row r="45727" spans="7:24" ht="15" customHeight="1">
      <c r="G45727"/>
      <c r="I45727"/>
      <c r="N45727"/>
      <c r="O45727" s="24"/>
      <c r="P45727"/>
      <c r="Q45727" s="24"/>
      <c r="R45727"/>
      <c r="S45727"/>
      <c r="T45727"/>
      <c r="U45727"/>
      <c r="X45727" s="60"/>
    </row>
    <row r="45728" spans="7:24" ht="15" customHeight="1">
      <c r="G45728"/>
      <c r="I45728"/>
      <c r="N45728"/>
      <c r="O45728" s="24"/>
      <c r="P45728"/>
      <c r="Q45728" s="24"/>
      <c r="R45728"/>
      <c r="S45728"/>
      <c r="T45728"/>
      <c r="U45728"/>
      <c r="X45728" s="60"/>
    </row>
    <row r="45729" spans="7:24" ht="15" customHeight="1">
      <c r="G45729"/>
      <c r="I45729"/>
      <c r="N45729"/>
      <c r="O45729" s="24"/>
      <c r="P45729"/>
      <c r="Q45729" s="24"/>
      <c r="R45729"/>
      <c r="S45729"/>
      <c r="T45729"/>
      <c r="U45729"/>
      <c r="X45729" s="60"/>
    </row>
    <row r="45730" spans="7:24" ht="15" customHeight="1">
      <c r="G45730"/>
      <c r="I45730"/>
      <c r="N45730"/>
      <c r="O45730" s="24"/>
      <c r="P45730"/>
      <c r="Q45730" s="24"/>
      <c r="R45730"/>
      <c r="S45730"/>
      <c r="T45730"/>
      <c r="U45730"/>
      <c r="X45730" s="60"/>
    </row>
    <row r="45731" spans="7:24" ht="15" customHeight="1">
      <c r="G45731"/>
      <c r="I45731"/>
      <c r="N45731"/>
      <c r="O45731" s="24"/>
      <c r="P45731"/>
      <c r="Q45731" s="24"/>
      <c r="R45731"/>
      <c r="S45731"/>
      <c r="T45731"/>
      <c r="U45731"/>
      <c r="X45731" s="60"/>
    </row>
    <row r="45732" spans="7:24" ht="15" customHeight="1">
      <c r="G45732"/>
      <c r="I45732"/>
      <c r="N45732"/>
      <c r="O45732" s="24"/>
      <c r="P45732"/>
      <c r="Q45732" s="24"/>
      <c r="R45732"/>
      <c r="S45732"/>
      <c r="T45732"/>
      <c r="U45732"/>
      <c r="X45732" s="60"/>
    </row>
    <row r="45733" spans="7:24" ht="15" customHeight="1">
      <c r="G45733"/>
      <c r="I45733"/>
      <c r="N45733"/>
      <c r="O45733" s="24"/>
      <c r="P45733"/>
      <c r="Q45733" s="24"/>
      <c r="R45733"/>
      <c r="S45733"/>
      <c r="T45733"/>
      <c r="U45733"/>
      <c r="X45733" s="60"/>
    </row>
    <row r="45734" spans="7:24" ht="15" customHeight="1">
      <c r="G45734"/>
      <c r="I45734"/>
      <c r="N45734"/>
      <c r="O45734" s="24"/>
      <c r="P45734"/>
      <c r="Q45734" s="24"/>
      <c r="R45734"/>
      <c r="S45734"/>
      <c r="T45734"/>
      <c r="U45734"/>
      <c r="X45734" s="60"/>
    </row>
    <row r="45735" spans="7:24" ht="15" customHeight="1">
      <c r="G45735"/>
      <c r="I45735"/>
      <c r="N45735"/>
      <c r="O45735" s="24"/>
      <c r="P45735"/>
      <c r="Q45735" s="24"/>
      <c r="R45735"/>
      <c r="S45735"/>
      <c r="T45735"/>
      <c r="U45735"/>
      <c r="X45735" s="60"/>
    </row>
    <row r="45736" spans="7:24" ht="15" customHeight="1">
      <c r="G45736"/>
      <c r="I45736"/>
      <c r="N45736"/>
      <c r="O45736" s="24"/>
      <c r="P45736"/>
      <c r="Q45736" s="24"/>
      <c r="R45736"/>
      <c r="S45736"/>
      <c r="T45736"/>
      <c r="U45736"/>
      <c r="X45736" s="60"/>
    </row>
    <row r="45737" spans="7:24" ht="15" customHeight="1">
      <c r="G45737"/>
      <c r="I45737"/>
      <c r="N45737"/>
      <c r="O45737" s="24"/>
      <c r="P45737"/>
      <c r="Q45737" s="24"/>
      <c r="R45737"/>
      <c r="S45737"/>
      <c r="T45737"/>
      <c r="U45737"/>
      <c r="X45737" s="60"/>
    </row>
    <row r="45738" spans="7:24" ht="15" customHeight="1">
      <c r="G45738"/>
      <c r="I45738"/>
      <c r="N45738"/>
      <c r="O45738" s="24"/>
      <c r="P45738"/>
      <c r="Q45738" s="24"/>
      <c r="R45738"/>
      <c r="S45738"/>
      <c r="T45738"/>
      <c r="U45738"/>
      <c r="X45738" s="60"/>
    </row>
    <row r="45739" spans="7:24" ht="15" customHeight="1">
      <c r="G45739"/>
      <c r="I45739"/>
      <c r="N45739"/>
      <c r="O45739" s="24"/>
      <c r="P45739"/>
      <c r="Q45739" s="24"/>
      <c r="R45739"/>
      <c r="S45739"/>
      <c r="T45739"/>
      <c r="U45739"/>
      <c r="X45739" s="60"/>
    </row>
    <row r="45740" spans="7:24" ht="15" customHeight="1">
      <c r="G45740"/>
      <c r="I45740"/>
      <c r="N45740"/>
      <c r="O45740" s="24"/>
      <c r="P45740"/>
      <c r="Q45740" s="24"/>
      <c r="R45740"/>
      <c r="S45740"/>
      <c r="T45740"/>
      <c r="U45740"/>
      <c r="X45740" s="60"/>
    </row>
    <row r="45741" spans="7:24" ht="15" customHeight="1">
      <c r="G45741"/>
      <c r="I45741"/>
      <c r="N45741"/>
      <c r="O45741" s="24"/>
      <c r="P45741"/>
      <c r="Q45741" s="24"/>
      <c r="R45741"/>
      <c r="S45741"/>
      <c r="T45741"/>
      <c r="U45741"/>
      <c r="X45741" s="60"/>
    </row>
    <row r="45742" spans="7:24" ht="15" customHeight="1">
      <c r="G45742"/>
      <c r="I45742"/>
      <c r="N45742"/>
      <c r="O45742" s="24"/>
      <c r="P45742"/>
      <c r="Q45742" s="24"/>
      <c r="R45742"/>
      <c r="S45742"/>
      <c r="T45742"/>
      <c r="U45742"/>
      <c r="X45742" s="60"/>
    </row>
    <row r="45743" spans="7:24" ht="15" customHeight="1">
      <c r="G45743"/>
      <c r="I45743"/>
      <c r="N45743"/>
      <c r="O45743" s="24"/>
      <c r="P45743"/>
      <c r="Q45743" s="24"/>
      <c r="R45743"/>
      <c r="S45743"/>
      <c r="T45743"/>
      <c r="U45743"/>
      <c r="X45743" s="60"/>
    </row>
    <row r="45744" spans="7:24" ht="15" customHeight="1">
      <c r="G45744"/>
      <c r="I45744"/>
      <c r="N45744"/>
      <c r="O45744" s="24"/>
      <c r="P45744"/>
      <c r="Q45744" s="24"/>
      <c r="R45744"/>
      <c r="S45744"/>
      <c r="T45744"/>
      <c r="U45744"/>
      <c r="X45744" s="60"/>
    </row>
    <row r="45745" spans="7:24" ht="15" customHeight="1">
      <c r="G45745"/>
      <c r="I45745"/>
      <c r="N45745"/>
      <c r="O45745" s="24"/>
      <c r="P45745"/>
      <c r="Q45745" s="24"/>
      <c r="R45745"/>
      <c r="S45745"/>
      <c r="T45745"/>
      <c r="U45745"/>
      <c r="X45745" s="60"/>
    </row>
    <row r="45746" spans="7:24" ht="15" customHeight="1">
      <c r="G45746"/>
      <c r="I45746"/>
      <c r="N45746"/>
      <c r="O45746" s="24"/>
      <c r="P45746"/>
      <c r="Q45746" s="24"/>
      <c r="R45746"/>
      <c r="S45746"/>
      <c r="T45746"/>
      <c r="U45746"/>
      <c r="X45746" s="60"/>
    </row>
    <row r="45747" spans="7:24" ht="15" customHeight="1">
      <c r="G45747"/>
      <c r="I45747"/>
      <c r="N45747"/>
      <c r="O45747" s="24"/>
      <c r="P45747"/>
      <c r="Q45747" s="24"/>
      <c r="R45747"/>
      <c r="S45747"/>
      <c r="T45747"/>
      <c r="U45747"/>
      <c r="X45747" s="60"/>
    </row>
    <row r="45748" spans="7:24" ht="15" customHeight="1">
      <c r="G45748"/>
      <c r="I45748"/>
      <c r="N45748"/>
      <c r="O45748" s="24"/>
      <c r="P45748"/>
      <c r="Q45748" s="24"/>
      <c r="R45748"/>
      <c r="S45748"/>
      <c r="T45748"/>
      <c r="U45748"/>
      <c r="X45748" s="60"/>
    </row>
    <row r="45749" spans="7:24" ht="15" customHeight="1">
      <c r="G45749"/>
      <c r="I45749"/>
      <c r="N45749"/>
      <c r="O45749" s="24"/>
      <c r="P45749"/>
      <c r="Q45749" s="24"/>
      <c r="R45749"/>
      <c r="S45749"/>
      <c r="T45749"/>
      <c r="U45749"/>
      <c r="X45749" s="60"/>
    </row>
    <row r="45750" spans="7:24" ht="15" customHeight="1">
      <c r="G45750"/>
      <c r="I45750"/>
      <c r="N45750"/>
      <c r="O45750" s="24"/>
      <c r="P45750"/>
      <c r="Q45750" s="24"/>
      <c r="R45750"/>
      <c r="S45750"/>
      <c r="T45750"/>
      <c r="U45750"/>
      <c r="X45750" s="60"/>
    </row>
    <row r="45751" spans="7:24" ht="15" customHeight="1">
      <c r="G45751"/>
      <c r="I45751"/>
      <c r="N45751"/>
      <c r="O45751" s="24"/>
      <c r="P45751"/>
      <c r="Q45751" s="24"/>
      <c r="R45751"/>
      <c r="S45751"/>
      <c r="T45751"/>
      <c r="U45751"/>
      <c r="X45751" s="60"/>
    </row>
    <row r="45752" spans="7:24" ht="15" customHeight="1">
      <c r="G45752"/>
      <c r="I45752"/>
      <c r="N45752"/>
      <c r="O45752" s="24"/>
      <c r="P45752"/>
      <c r="Q45752" s="24"/>
      <c r="R45752"/>
      <c r="S45752"/>
      <c r="T45752"/>
      <c r="U45752"/>
      <c r="X45752" s="60"/>
    </row>
    <row r="45753" spans="7:24" ht="15" customHeight="1">
      <c r="G45753"/>
      <c r="I45753"/>
      <c r="N45753"/>
      <c r="O45753" s="24"/>
      <c r="P45753"/>
      <c r="Q45753" s="24"/>
      <c r="R45753"/>
      <c r="S45753"/>
      <c r="T45753"/>
      <c r="U45753"/>
      <c r="X45753" s="60"/>
    </row>
    <row r="45754" spans="7:24" ht="15" customHeight="1">
      <c r="G45754"/>
      <c r="I45754"/>
      <c r="N45754"/>
      <c r="O45754" s="24"/>
      <c r="P45754"/>
      <c r="Q45754" s="24"/>
      <c r="R45754"/>
      <c r="S45754"/>
      <c r="T45754"/>
      <c r="U45754"/>
      <c r="X45754" s="60"/>
    </row>
    <row r="45755" spans="7:24" ht="15" customHeight="1">
      <c r="G45755"/>
      <c r="I45755"/>
      <c r="N45755"/>
      <c r="O45755" s="24"/>
      <c r="P45755"/>
      <c r="Q45755" s="24"/>
      <c r="R45755"/>
      <c r="S45755"/>
      <c r="T45755"/>
      <c r="U45755"/>
      <c r="X45755" s="60"/>
    </row>
    <row r="45756" spans="7:24" ht="15" customHeight="1">
      <c r="G45756"/>
      <c r="I45756"/>
      <c r="N45756"/>
      <c r="O45756" s="24"/>
      <c r="P45756"/>
      <c r="Q45756" s="24"/>
      <c r="R45756"/>
      <c r="S45756"/>
      <c r="T45756"/>
      <c r="U45756"/>
      <c r="X45756" s="60"/>
    </row>
    <row r="45757" spans="7:24" ht="15" customHeight="1">
      <c r="G45757"/>
      <c r="I45757"/>
      <c r="N45757"/>
      <c r="O45757" s="24"/>
      <c r="P45757"/>
      <c r="Q45757" s="24"/>
      <c r="R45757"/>
      <c r="S45757"/>
      <c r="T45757"/>
      <c r="U45757"/>
      <c r="X45757" s="60"/>
    </row>
    <row r="45758" spans="7:24" ht="15" customHeight="1">
      <c r="G45758"/>
      <c r="I45758"/>
      <c r="N45758"/>
      <c r="O45758" s="24"/>
      <c r="P45758"/>
      <c r="Q45758" s="24"/>
      <c r="R45758"/>
      <c r="S45758"/>
      <c r="T45758"/>
      <c r="U45758"/>
      <c r="X45758" s="60"/>
    </row>
    <row r="45759" spans="7:24" ht="15" customHeight="1">
      <c r="G45759"/>
      <c r="I45759"/>
      <c r="N45759"/>
      <c r="O45759" s="24"/>
      <c r="P45759"/>
      <c r="Q45759" s="24"/>
      <c r="R45759"/>
      <c r="S45759"/>
      <c r="T45759"/>
      <c r="U45759"/>
      <c r="X45759" s="60"/>
    </row>
    <row r="45760" spans="7:24" ht="15" customHeight="1">
      <c r="G45760"/>
      <c r="I45760"/>
      <c r="N45760"/>
      <c r="O45760" s="24"/>
      <c r="P45760"/>
      <c r="Q45760" s="24"/>
      <c r="R45760"/>
      <c r="S45760"/>
      <c r="T45760"/>
      <c r="U45760"/>
      <c r="X45760" s="60"/>
    </row>
    <row r="45761" spans="7:24" ht="15" customHeight="1">
      <c r="G45761"/>
      <c r="I45761"/>
      <c r="N45761"/>
      <c r="O45761" s="24"/>
      <c r="P45761"/>
      <c r="Q45761" s="24"/>
      <c r="R45761"/>
      <c r="S45761"/>
      <c r="T45761"/>
      <c r="U45761"/>
      <c r="X45761" s="60"/>
    </row>
    <row r="45762" spans="7:24" ht="15" customHeight="1">
      <c r="G45762"/>
      <c r="I45762"/>
      <c r="N45762"/>
      <c r="O45762" s="24"/>
      <c r="P45762"/>
      <c r="Q45762" s="24"/>
      <c r="R45762"/>
      <c r="S45762"/>
      <c r="T45762"/>
      <c r="U45762"/>
      <c r="X45762" s="60"/>
    </row>
    <row r="45763" spans="7:24" ht="15" customHeight="1">
      <c r="G45763"/>
      <c r="I45763"/>
      <c r="N45763"/>
      <c r="O45763" s="24"/>
      <c r="P45763"/>
      <c r="Q45763" s="24"/>
      <c r="R45763"/>
      <c r="S45763"/>
      <c r="T45763"/>
      <c r="U45763"/>
      <c r="X45763" s="60"/>
    </row>
    <row r="45764" spans="7:24" ht="15" customHeight="1">
      <c r="G45764"/>
      <c r="I45764"/>
      <c r="N45764"/>
      <c r="O45764" s="24"/>
      <c r="P45764"/>
      <c r="Q45764" s="24"/>
      <c r="R45764"/>
      <c r="S45764"/>
      <c r="T45764"/>
      <c r="U45764"/>
      <c r="X45764" s="60"/>
    </row>
    <row r="45765" spans="7:24" ht="15" customHeight="1">
      <c r="G45765"/>
      <c r="I45765"/>
      <c r="N45765"/>
      <c r="O45765" s="24"/>
      <c r="P45765"/>
      <c r="Q45765" s="24"/>
      <c r="R45765"/>
      <c r="S45765"/>
      <c r="T45765"/>
      <c r="U45765"/>
      <c r="X45765" s="60"/>
    </row>
    <row r="45766" spans="7:24" ht="15" customHeight="1">
      <c r="G45766"/>
      <c r="I45766"/>
      <c r="N45766"/>
      <c r="O45766" s="24"/>
      <c r="P45766"/>
      <c r="Q45766" s="24"/>
      <c r="R45766"/>
      <c r="S45766"/>
      <c r="T45766"/>
      <c r="U45766"/>
      <c r="X45766" s="60"/>
    </row>
    <row r="45767" spans="7:24" ht="15" customHeight="1">
      <c r="G45767"/>
      <c r="I45767"/>
      <c r="N45767"/>
      <c r="O45767" s="24"/>
      <c r="P45767"/>
      <c r="Q45767" s="24"/>
      <c r="R45767"/>
      <c r="S45767"/>
      <c r="T45767"/>
      <c r="U45767"/>
      <c r="X45767" s="60"/>
    </row>
    <row r="45768" spans="7:24" ht="15" customHeight="1">
      <c r="G45768"/>
      <c r="I45768"/>
      <c r="N45768"/>
      <c r="O45768" s="24"/>
      <c r="P45768"/>
      <c r="Q45768" s="24"/>
      <c r="R45768"/>
      <c r="S45768"/>
      <c r="T45768"/>
      <c r="U45768"/>
      <c r="X45768" s="60"/>
    </row>
    <row r="45769" spans="7:24" ht="15" customHeight="1">
      <c r="G45769"/>
      <c r="I45769"/>
      <c r="N45769"/>
      <c r="O45769" s="24"/>
      <c r="P45769"/>
      <c r="Q45769" s="24"/>
      <c r="R45769"/>
      <c r="S45769"/>
      <c r="T45769"/>
      <c r="U45769"/>
      <c r="X45769" s="60"/>
    </row>
    <row r="45770" spans="7:24" ht="15" customHeight="1">
      <c r="G45770"/>
      <c r="I45770"/>
      <c r="N45770"/>
      <c r="O45770" s="24"/>
      <c r="P45770"/>
      <c r="Q45770" s="24"/>
      <c r="R45770"/>
      <c r="S45770"/>
      <c r="T45770"/>
      <c r="U45770"/>
      <c r="X45770" s="60"/>
    </row>
    <row r="45771" spans="7:24" ht="15" customHeight="1">
      <c r="G45771"/>
      <c r="I45771"/>
      <c r="N45771"/>
      <c r="O45771" s="24"/>
      <c r="P45771"/>
      <c r="Q45771" s="24"/>
      <c r="R45771"/>
      <c r="S45771"/>
      <c r="T45771"/>
      <c r="U45771"/>
      <c r="X45771" s="60"/>
    </row>
    <row r="45772" spans="7:24" ht="15" customHeight="1">
      <c r="G45772"/>
      <c r="I45772"/>
      <c r="N45772"/>
      <c r="O45772" s="24"/>
      <c r="P45772"/>
      <c r="Q45772" s="24"/>
      <c r="R45772"/>
      <c r="S45772"/>
      <c r="T45772"/>
      <c r="U45772"/>
      <c r="X45772" s="60"/>
    </row>
    <row r="45773" spans="7:24" ht="15" customHeight="1">
      <c r="G45773"/>
      <c r="I45773"/>
      <c r="N45773"/>
      <c r="O45773" s="24"/>
      <c r="P45773"/>
      <c r="Q45773" s="24"/>
      <c r="R45773"/>
      <c r="S45773"/>
      <c r="T45773"/>
      <c r="U45773"/>
      <c r="X45773" s="60"/>
    </row>
    <row r="45774" spans="7:24" ht="15" customHeight="1">
      <c r="G45774"/>
      <c r="I45774"/>
      <c r="N45774"/>
      <c r="O45774" s="24"/>
      <c r="P45774"/>
      <c r="Q45774" s="24"/>
      <c r="R45774"/>
      <c r="S45774"/>
      <c r="T45774"/>
      <c r="U45774"/>
      <c r="X45774" s="60"/>
    </row>
    <row r="45775" spans="7:24" ht="15" customHeight="1">
      <c r="G45775"/>
      <c r="I45775"/>
      <c r="N45775"/>
      <c r="O45775" s="24"/>
      <c r="P45775"/>
      <c r="Q45775" s="24"/>
      <c r="R45775"/>
      <c r="S45775"/>
      <c r="T45775"/>
      <c r="U45775"/>
      <c r="X45775" s="60"/>
    </row>
    <row r="45776" spans="7:24" ht="15" customHeight="1">
      <c r="G45776"/>
      <c r="I45776"/>
      <c r="N45776"/>
      <c r="O45776" s="24"/>
      <c r="P45776"/>
      <c r="Q45776" s="24"/>
      <c r="R45776"/>
      <c r="S45776"/>
      <c r="T45776"/>
      <c r="U45776"/>
      <c r="X45776" s="60"/>
    </row>
    <row r="45777" spans="7:24" ht="15" customHeight="1">
      <c r="G45777"/>
      <c r="I45777"/>
      <c r="N45777"/>
      <c r="O45777" s="24"/>
      <c r="P45777"/>
      <c r="Q45777" s="24"/>
      <c r="R45777"/>
      <c r="S45777"/>
      <c r="T45777"/>
      <c r="U45777"/>
      <c r="X45777" s="60"/>
    </row>
    <row r="45778" spans="7:24" ht="15" customHeight="1">
      <c r="G45778"/>
      <c r="I45778"/>
      <c r="N45778"/>
      <c r="O45778" s="24"/>
      <c r="P45778"/>
      <c r="Q45778" s="24"/>
      <c r="R45778"/>
      <c r="S45778"/>
      <c r="T45778"/>
      <c r="U45778"/>
      <c r="X45778" s="60"/>
    </row>
    <row r="45779" spans="7:24" ht="15" customHeight="1">
      <c r="G45779"/>
      <c r="I45779"/>
      <c r="N45779"/>
      <c r="O45779" s="24"/>
      <c r="P45779"/>
      <c r="Q45779" s="24"/>
      <c r="R45779"/>
      <c r="S45779"/>
      <c r="T45779"/>
      <c r="U45779"/>
      <c r="X45779" s="60"/>
    </row>
    <row r="45780" spans="7:24" ht="15" customHeight="1">
      <c r="G45780"/>
      <c r="I45780"/>
      <c r="N45780"/>
      <c r="O45780" s="24"/>
      <c r="P45780"/>
      <c r="Q45780" s="24"/>
      <c r="R45780"/>
      <c r="S45780"/>
      <c r="T45780"/>
      <c r="U45780"/>
      <c r="X45780" s="60"/>
    </row>
    <row r="45781" spans="7:24" ht="15" customHeight="1">
      <c r="G45781"/>
      <c r="I45781"/>
      <c r="N45781"/>
      <c r="O45781" s="24"/>
      <c r="P45781"/>
      <c r="Q45781" s="24"/>
      <c r="R45781"/>
      <c r="S45781"/>
      <c r="T45781"/>
      <c r="U45781"/>
      <c r="X45781" s="60"/>
    </row>
    <row r="45782" spans="7:24" ht="15" customHeight="1">
      <c r="G45782"/>
      <c r="I45782"/>
      <c r="N45782"/>
      <c r="O45782" s="24"/>
      <c r="P45782"/>
      <c r="Q45782" s="24"/>
      <c r="R45782"/>
      <c r="S45782"/>
      <c r="T45782"/>
      <c r="U45782"/>
      <c r="X45782" s="60"/>
    </row>
    <row r="45783" spans="7:24" ht="15" customHeight="1">
      <c r="G45783"/>
      <c r="I45783"/>
      <c r="N45783"/>
      <c r="O45783" s="24"/>
      <c r="P45783"/>
      <c r="Q45783" s="24"/>
      <c r="R45783"/>
      <c r="S45783"/>
      <c r="T45783"/>
      <c r="U45783"/>
      <c r="X45783" s="60"/>
    </row>
    <row r="45784" spans="7:24" ht="15" customHeight="1">
      <c r="G45784"/>
      <c r="I45784"/>
      <c r="N45784"/>
      <c r="O45784" s="24"/>
      <c r="P45784"/>
      <c r="Q45784" s="24"/>
      <c r="R45784"/>
      <c r="S45784"/>
      <c r="T45784"/>
      <c r="U45784"/>
      <c r="X45784" s="60"/>
    </row>
    <row r="45785" spans="7:24" ht="15" customHeight="1">
      <c r="G45785"/>
      <c r="I45785"/>
      <c r="N45785"/>
      <c r="O45785" s="24"/>
      <c r="P45785"/>
      <c r="Q45785" s="24"/>
      <c r="R45785"/>
      <c r="S45785"/>
      <c r="T45785"/>
      <c r="U45785"/>
      <c r="X45785" s="60"/>
    </row>
    <row r="45786" spans="7:24" ht="15" customHeight="1">
      <c r="G45786"/>
      <c r="I45786"/>
      <c r="N45786"/>
      <c r="O45786" s="24"/>
      <c r="P45786"/>
      <c r="Q45786" s="24"/>
      <c r="R45786"/>
      <c r="S45786"/>
      <c r="T45786"/>
      <c r="U45786"/>
      <c r="X45786" s="60"/>
    </row>
    <row r="45787" spans="7:24" ht="15" customHeight="1">
      <c r="G45787"/>
      <c r="I45787"/>
      <c r="N45787"/>
      <c r="O45787" s="24"/>
      <c r="P45787"/>
      <c r="Q45787" s="24"/>
      <c r="R45787"/>
      <c r="S45787"/>
      <c r="T45787"/>
      <c r="U45787"/>
      <c r="X45787" s="60"/>
    </row>
    <row r="45788" spans="7:24" ht="15" customHeight="1">
      <c r="G45788"/>
      <c r="I45788"/>
      <c r="N45788"/>
      <c r="O45788" s="24"/>
      <c r="P45788"/>
      <c r="Q45788" s="24"/>
      <c r="R45788"/>
      <c r="S45788"/>
      <c r="T45788"/>
      <c r="U45788"/>
      <c r="X45788" s="60"/>
    </row>
    <row r="45789" spans="7:24" ht="15" customHeight="1">
      <c r="G45789"/>
      <c r="I45789"/>
      <c r="N45789"/>
      <c r="O45789" s="24"/>
      <c r="P45789"/>
      <c r="Q45789" s="24"/>
      <c r="R45789"/>
      <c r="S45789"/>
      <c r="T45789"/>
      <c r="U45789"/>
      <c r="X45789" s="60"/>
    </row>
    <row r="45790" spans="7:24" ht="15" customHeight="1">
      <c r="G45790"/>
      <c r="I45790"/>
      <c r="N45790"/>
      <c r="O45790" s="24"/>
      <c r="P45790"/>
      <c r="Q45790" s="24"/>
      <c r="R45790"/>
      <c r="S45790"/>
      <c r="T45790"/>
      <c r="U45790"/>
      <c r="X45790" s="60"/>
    </row>
    <row r="45791" spans="7:24" ht="15" customHeight="1">
      <c r="G45791"/>
      <c r="I45791"/>
      <c r="N45791"/>
      <c r="O45791" s="24"/>
      <c r="P45791"/>
      <c r="Q45791" s="24"/>
      <c r="R45791"/>
      <c r="S45791"/>
      <c r="T45791"/>
      <c r="U45791"/>
      <c r="X45791" s="60"/>
    </row>
    <row r="45792" spans="7:24" ht="15" customHeight="1">
      <c r="G45792"/>
      <c r="I45792"/>
      <c r="N45792"/>
      <c r="O45792" s="24"/>
      <c r="P45792"/>
      <c r="Q45792" s="24"/>
      <c r="R45792"/>
      <c r="S45792"/>
      <c r="T45792"/>
      <c r="U45792"/>
      <c r="X45792" s="60"/>
    </row>
    <row r="45793" spans="7:24" ht="15" customHeight="1">
      <c r="G45793"/>
      <c r="I45793"/>
      <c r="N45793"/>
      <c r="O45793" s="24"/>
      <c r="P45793"/>
      <c r="Q45793" s="24"/>
      <c r="R45793"/>
      <c r="S45793"/>
      <c r="T45793"/>
      <c r="U45793"/>
      <c r="X45793" s="60"/>
    </row>
    <row r="45794" spans="7:24" ht="15" customHeight="1">
      <c r="G45794"/>
      <c r="I45794"/>
      <c r="N45794"/>
      <c r="O45794" s="24"/>
      <c r="P45794"/>
      <c r="Q45794" s="24"/>
      <c r="R45794"/>
      <c r="S45794"/>
      <c r="T45794"/>
      <c r="U45794"/>
      <c r="X45794" s="60"/>
    </row>
    <row r="45795" spans="7:24" ht="15" customHeight="1">
      <c r="G45795"/>
      <c r="I45795"/>
      <c r="N45795"/>
      <c r="O45795" s="24"/>
      <c r="P45795"/>
      <c r="Q45795" s="24"/>
      <c r="R45795"/>
      <c r="S45795"/>
      <c r="T45795"/>
      <c r="U45795"/>
      <c r="X45795" s="60"/>
    </row>
    <row r="45796" spans="7:24" ht="15" customHeight="1">
      <c r="G45796"/>
      <c r="I45796"/>
      <c r="N45796"/>
      <c r="O45796" s="24"/>
      <c r="P45796"/>
      <c r="Q45796" s="24"/>
      <c r="R45796"/>
      <c r="S45796"/>
      <c r="T45796"/>
      <c r="U45796"/>
      <c r="X45796" s="60"/>
    </row>
    <row r="45797" spans="7:24" ht="15" customHeight="1">
      <c r="G45797"/>
      <c r="I45797"/>
      <c r="N45797"/>
      <c r="O45797" s="24"/>
      <c r="P45797"/>
      <c r="Q45797" s="24"/>
      <c r="R45797"/>
      <c r="S45797"/>
      <c r="T45797"/>
      <c r="U45797"/>
      <c r="X45797" s="60"/>
    </row>
    <row r="45798" spans="7:24" ht="15" customHeight="1">
      <c r="G45798"/>
      <c r="I45798"/>
      <c r="N45798"/>
      <c r="O45798" s="24"/>
      <c r="P45798"/>
      <c r="Q45798" s="24"/>
      <c r="R45798"/>
      <c r="S45798"/>
      <c r="T45798"/>
      <c r="U45798"/>
      <c r="X45798" s="60"/>
    </row>
    <row r="45799" spans="7:24" ht="15" customHeight="1">
      <c r="G45799"/>
      <c r="I45799"/>
      <c r="N45799"/>
      <c r="O45799" s="24"/>
      <c r="P45799"/>
      <c r="Q45799" s="24"/>
      <c r="R45799"/>
      <c r="S45799"/>
      <c r="T45799"/>
      <c r="U45799"/>
      <c r="X45799" s="60"/>
    </row>
    <row r="45800" spans="7:24" ht="15" customHeight="1">
      <c r="G45800"/>
      <c r="I45800"/>
      <c r="N45800"/>
      <c r="O45800" s="24"/>
      <c r="P45800"/>
      <c r="Q45800" s="24"/>
      <c r="R45800"/>
      <c r="S45800"/>
      <c r="T45800"/>
      <c r="U45800"/>
      <c r="X45800" s="60"/>
    </row>
    <row r="45801" spans="7:24" ht="15" customHeight="1">
      <c r="G45801"/>
      <c r="I45801"/>
      <c r="N45801"/>
      <c r="O45801" s="24"/>
      <c r="P45801"/>
      <c r="Q45801" s="24"/>
      <c r="R45801"/>
      <c r="S45801"/>
      <c r="T45801"/>
      <c r="U45801"/>
      <c r="X45801" s="60"/>
    </row>
    <row r="45802" spans="7:24" ht="15" customHeight="1">
      <c r="G45802"/>
      <c r="I45802"/>
      <c r="N45802"/>
      <c r="O45802" s="24"/>
      <c r="P45802"/>
      <c r="Q45802" s="24"/>
      <c r="R45802"/>
      <c r="S45802"/>
      <c r="T45802"/>
      <c r="U45802"/>
      <c r="X45802" s="60"/>
    </row>
    <row r="45803" spans="7:24" ht="15" customHeight="1">
      <c r="G45803"/>
      <c r="I45803"/>
      <c r="N45803"/>
      <c r="O45803" s="24"/>
      <c r="P45803"/>
      <c r="Q45803" s="24"/>
      <c r="R45803"/>
      <c r="S45803"/>
      <c r="T45803"/>
      <c r="U45803"/>
      <c r="X45803" s="60"/>
    </row>
    <row r="45804" spans="7:24" ht="15" customHeight="1">
      <c r="G45804"/>
      <c r="I45804"/>
      <c r="N45804"/>
      <c r="O45804" s="24"/>
      <c r="P45804"/>
      <c r="Q45804" s="24"/>
      <c r="R45804"/>
      <c r="S45804"/>
      <c r="T45804"/>
      <c r="U45804"/>
      <c r="X45804" s="60"/>
    </row>
    <row r="45805" spans="7:24" ht="15" customHeight="1">
      <c r="G45805"/>
      <c r="I45805"/>
      <c r="N45805"/>
      <c r="O45805" s="24"/>
      <c r="P45805"/>
      <c r="Q45805" s="24"/>
      <c r="R45805"/>
      <c r="S45805"/>
      <c r="T45805"/>
      <c r="U45805"/>
      <c r="X45805" s="60"/>
    </row>
    <row r="45806" spans="7:24" ht="15" customHeight="1">
      <c r="G45806"/>
      <c r="I45806"/>
      <c r="N45806"/>
      <c r="O45806" s="24"/>
      <c r="P45806"/>
      <c r="Q45806" s="24"/>
      <c r="R45806"/>
      <c r="S45806"/>
      <c r="T45806"/>
      <c r="U45806"/>
      <c r="X45806" s="60"/>
    </row>
    <row r="45807" spans="7:24" ht="15" customHeight="1">
      <c r="G45807"/>
      <c r="I45807"/>
      <c r="N45807"/>
      <c r="O45807" s="24"/>
      <c r="P45807"/>
      <c r="Q45807" s="24"/>
      <c r="R45807"/>
      <c r="S45807"/>
      <c r="T45807"/>
      <c r="U45807"/>
      <c r="X45807" s="60"/>
    </row>
    <row r="45808" spans="7:24" ht="15" customHeight="1">
      <c r="G45808"/>
      <c r="I45808"/>
      <c r="N45808"/>
      <c r="O45808" s="24"/>
      <c r="P45808"/>
      <c r="Q45808" s="24"/>
      <c r="R45808"/>
      <c r="S45808"/>
      <c r="T45808"/>
      <c r="U45808"/>
      <c r="X45808" s="60"/>
    </row>
    <row r="45809" spans="7:24" ht="15" customHeight="1">
      <c r="G45809"/>
      <c r="I45809"/>
      <c r="N45809"/>
      <c r="O45809" s="24"/>
      <c r="P45809"/>
      <c r="Q45809" s="24"/>
      <c r="R45809"/>
      <c r="S45809"/>
      <c r="T45809"/>
      <c r="U45809"/>
      <c r="X45809" s="60"/>
    </row>
    <row r="45810" spans="7:24" ht="15" customHeight="1">
      <c r="G45810"/>
      <c r="I45810"/>
      <c r="N45810"/>
      <c r="O45810" s="24"/>
      <c r="P45810"/>
      <c r="Q45810" s="24"/>
      <c r="R45810"/>
      <c r="S45810"/>
      <c r="T45810"/>
      <c r="U45810"/>
      <c r="X45810" s="60"/>
    </row>
    <row r="45811" spans="7:24" ht="15" customHeight="1">
      <c r="G45811"/>
      <c r="I45811"/>
      <c r="N45811"/>
      <c r="O45811" s="24"/>
      <c r="P45811"/>
      <c r="Q45811" s="24"/>
      <c r="R45811"/>
      <c r="S45811"/>
      <c r="T45811"/>
      <c r="U45811"/>
      <c r="X45811" s="60"/>
    </row>
    <row r="45812" spans="7:24" ht="15" customHeight="1">
      <c r="G45812"/>
      <c r="I45812"/>
      <c r="N45812"/>
      <c r="O45812" s="24"/>
      <c r="P45812"/>
      <c r="Q45812" s="24"/>
      <c r="R45812"/>
      <c r="S45812"/>
      <c r="T45812"/>
      <c r="U45812"/>
      <c r="X45812" s="60"/>
    </row>
    <row r="45813" spans="7:24" ht="15" customHeight="1">
      <c r="G45813"/>
      <c r="I45813"/>
      <c r="N45813"/>
      <c r="O45813" s="24"/>
      <c r="P45813"/>
      <c r="Q45813" s="24"/>
      <c r="R45813"/>
      <c r="S45813"/>
      <c r="T45813"/>
      <c r="U45813"/>
      <c r="X45813" s="60"/>
    </row>
    <row r="45814" spans="7:24" ht="15" customHeight="1">
      <c r="G45814"/>
      <c r="I45814"/>
      <c r="N45814"/>
      <c r="O45814" s="24"/>
      <c r="P45814"/>
      <c r="Q45814" s="24"/>
      <c r="R45814"/>
      <c r="S45814"/>
      <c r="T45814"/>
      <c r="U45814"/>
      <c r="X45814" s="60"/>
    </row>
    <row r="45815" spans="7:24" ht="15" customHeight="1">
      <c r="G45815"/>
      <c r="I45815"/>
      <c r="N45815"/>
      <c r="O45815" s="24"/>
      <c r="P45815"/>
      <c r="Q45815" s="24"/>
      <c r="R45815"/>
      <c r="S45815"/>
      <c r="T45815"/>
      <c r="U45815"/>
      <c r="X45815" s="60"/>
    </row>
    <row r="45816" spans="7:24" ht="15" customHeight="1">
      <c r="G45816"/>
      <c r="I45816"/>
      <c r="N45816"/>
      <c r="O45816" s="24"/>
      <c r="P45816"/>
      <c r="Q45816" s="24"/>
      <c r="R45816"/>
      <c r="S45816"/>
      <c r="T45816"/>
      <c r="U45816"/>
      <c r="X45816" s="60"/>
    </row>
    <row r="45817" spans="7:24" ht="15" customHeight="1">
      <c r="G45817"/>
      <c r="I45817"/>
      <c r="N45817"/>
      <c r="O45817" s="24"/>
      <c r="P45817"/>
      <c r="Q45817" s="24"/>
      <c r="R45817"/>
      <c r="S45817"/>
      <c r="T45817"/>
      <c r="U45817"/>
      <c r="X45817" s="60"/>
    </row>
    <row r="45818" spans="7:24" ht="15" customHeight="1">
      <c r="G45818"/>
      <c r="I45818"/>
      <c r="N45818"/>
      <c r="O45818" s="24"/>
      <c r="P45818"/>
      <c r="Q45818" s="24"/>
      <c r="R45818"/>
      <c r="S45818"/>
      <c r="T45818"/>
      <c r="U45818"/>
      <c r="X45818" s="60"/>
    </row>
    <row r="45819" spans="7:24" ht="15" customHeight="1">
      <c r="G45819"/>
      <c r="I45819"/>
      <c r="N45819"/>
      <c r="O45819" s="24"/>
      <c r="P45819"/>
      <c r="Q45819" s="24"/>
      <c r="R45819"/>
      <c r="S45819"/>
      <c r="T45819"/>
      <c r="U45819"/>
      <c r="X45819" s="60"/>
    </row>
    <row r="45820" spans="7:24" ht="15" customHeight="1">
      <c r="G45820"/>
      <c r="I45820"/>
      <c r="N45820"/>
      <c r="O45820" s="24"/>
      <c r="P45820"/>
      <c r="Q45820" s="24"/>
      <c r="R45820"/>
      <c r="S45820"/>
      <c r="T45820"/>
      <c r="U45820"/>
      <c r="X45820" s="60"/>
    </row>
    <row r="45821" spans="7:24" ht="15" customHeight="1">
      <c r="G45821"/>
      <c r="I45821"/>
      <c r="N45821"/>
      <c r="O45821" s="24"/>
      <c r="P45821"/>
      <c r="Q45821" s="24"/>
      <c r="R45821"/>
      <c r="S45821"/>
      <c r="T45821"/>
      <c r="U45821"/>
      <c r="X45821" s="60"/>
    </row>
    <row r="45822" spans="7:24" ht="15" customHeight="1">
      <c r="G45822"/>
      <c r="I45822"/>
      <c r="N45822"/>
      <c r="O45822" s="24"/>
      <c r="P45822"/>
      <c r="Q45822" s="24"/>
      <c r="R45822"/>
      <c r="S45822"/>
      <c r="T45822"/>
      <c r="U45822"/>
      <c r="X45822" s="60"/>
    </row>
    <row r="45823" spans="7:24" ht="15" customHeight="1">
      <c r="G45823"/>
      <c r="I45823"/>
      <c r="N45823"/>
      <c r="O45823" s="24"/>
      <c r="P45823"/>
      <c r="Q45823" s="24"/>
      <c r="R45823"/>
      <c r="S45823"/>
      <c r="T45823"/>
      <c r="U45823"/>
      <c r="X45823" s="60"/>
    </row>
    <row r="45824" spans="7:24" ht="15" customHeight="1">
      <c r="G45824"/>
      <c r="I45824"/>
      <c r="N45824"/>
      <c r="O45824" s="24"/>
      <c r="P45824"/>
      <c r="Q45824" s="24"/>
      <c r="R45824"/>
      <c r="S45824"/>
      <c r="T45824"/>
      <c r="U45824"/>
      <c r="X45824" s="60"/>
    </row>
    <row r="45825" spans="7:24" ht="15" customHeight="1">
      <c r="G45825"/>
      <c r="I45825"/>
      <c r="N45825"/>
      <c r="O45825" s="24"/>
      <c r="P45825"/>
      <c r="Q45825" s="24"/>
      <c r="R45825"/>
      <c r="S45825"/>
      <c r="T45825"/>
      <c r="U45825"/>
      <c r="X45825" s="60"/>
    </row>
    <row r="45826" spans="7:24" ht="15" customHeight="1">
      <c r="G45826"/>
      <c r="I45826"/>
      <c r="N45826"/>
      <c r="O45826" s="24"/>
      <c r="P45826"/>
      <c r="Q45826" s="24"/>
      <c r="R45826"/>
      <c r="S45826"/>
      <c r="T45826"/>
      <c r="U45826"/>
      <c r="X45826" s="60"/>
    </row>
    <row r="45827" spans="7:24" ht="15" customHeight="1">
      <c r="G45827"/>
      <c r="I45827"/>
      <c r="N45827"/>
      <c r="O45827" s="24"/>
      <c r="P45827"/>
      <c r="Q45827" s="24"/>
      <c r="R45827"/>
      <c r="S45827"/>
      <c r="T45827"/>
      <c r="U45827"/>
      <c r="X45827" s="60"/>
    </row>
    <row r="45828" spans="7:24" ht="15" customHeight="1">
      <c r="G45828"/>
      <c r="I45828"/>
      <c r="N45828"/>
      <c r="O45828" s="24"/>
      <c r="P45828"/>
      <c r="Q45828" s="24"/>
      <c r="R45828"/>
      <c r="S45828"/>
      <c r="T45828"/>
      <c r="U45828"/>
      <c r="X45828" s="60"/>
    </row>
    <row r="45829" spans="7:24" ht="15" customHeight="1">
      <c r="G45829"/>
      <c r="I45829"/>
      <c r="N45829"/>
      <c r="O45829" s="24"/>
      <c r="P45829"/>
      <c r="Q45829" s="24"/>
      <c r="R45829"/>
      <c r="S45829"/>
      <c r="T45829"/>
      <c r="U45829"/>
      <c r="X45829" s="60"/>
    </row>
    <row r="45830" spans="7:24" ht="15" customHeight="1">
      <c r="G45830"/>
      <c r="I45830"/>
      <c r="N45830"/>
      <c r="O45830" s="24"/>
      <c r="P45830"/>
      <c r="Q45830" s="24"/>
      <c r="R45830"/>
      <c r="S45830"/>
      <c r="T45830"/>
      <c r="U45830"/>
      <c r="X45830" s="60"/>
    </row>
    <row r="45831" spans="7:24" ht="15" customHeight="1">
      <c r="G45831"/>
      <c r="I45831"/>
      <c r="N45831"/>
      <c r="O45831" s="24"/>
      <c r="P45831"/>
      <c r="Q45831" s="24"/>
      <c r="R45831"/>
      <c r="S45831"/>
      <c r="T45831"/>
      <c r="U45831"/>
      <c r="X45831" s="60"/>
    </row>
    <row r="45832" spans="7:24" ht="15" customHeight="1">
      <c r="G45832"/>
      <c r="I45832"/>
      <c r="N45832"/>
      <c r="O45832" s="24"/>
      <c r="P45832"/>
      <c r="Q45832" s="24"/>
      <c r="R45832"/>
      <c r="S45832"/>
      <c r="T45832"/>
      <c r="U45832"/>
      <c r="X45832" s="60"/>
    </row>
    <row r="45833" spans="7:24" ht="15" customHeight="1">
      <c r="G45833"/>
      <c r="I45833"/>
      <c r="N45833"/>
      <c r="O45833" s="24"/>
      <c r="P45833"/>
      <c r="Q45833" s="24"/>
      <c r="R45833"/>
      <c r="S45833"/>
      <c r="T45833"/>
      <c r="U45833"/>
      <c r="X45833" s="60"/>
    </row>
    <row r="45834" spans="7:24" ht="15" customHeight="1">
      <c r="G45834"/>
      <c r="I45834"/>
      <c r="N45834"/>
      <c r="O45834" s="24"/>
      <c r="P45834"/>
      <c r="Q45834" s="24"/>
      <c r="R45834"/>
      <c r="S45834"/>
      <c r="T45834"/>
      <c r="U45834"/>
      <c r="X45834" s="60"/>
    </row>
    <row r="45835" spans="7:24" ht="15" customHeight="1">
      <c r="G45835"/>
      <c r="I45835"/>
      <c r="N45835"/>
      <c r="O45835" s="24"/>
      <c r="P45835"/>
      <c r="Q45835" s="24"/>
      <c r="R45835"/>
      <c r="S45835"/>
      <c r="T45835"/>
      <c r="U45835"/>
      <c r="X45835" s="60"/>
    </row>
    <row r="45836" spans="7:24" ht="15" customHeight="1">
      <c r="G45836"/>
      <c r="I45836"/>
      <c r="N45836"/>
      <c r="O45836" s="24"/>
      <c r="P45836"/>
      <c r="Q45836" s="24"/>
      <c r="R45836"/>
      <c r="S45836"/>
      <c r="T45836"/>
      <c r="U45836"/>
      <c r="X45836" s="60"/>
    </row>
    <row r="45837" spans="7:24" ht="15" customHeight="1">
      <c r="G45837"/>
      <c r="I45837"/>
      <c r="N45837"/>
      <c r="O45837" s="24"/>
      <c r="P45837"/>
      <c r="Q45837" s="24"/>
      <c r="R45837"/>
      <c r="S45837"/>
      <c r="T45837"/>
      <c r="U45837"/>
      <c r="X45837" s="60"/>
    </row>
    <row r="45838" spans="7:24" ht="15" customHeight="1">
      <c r="G45838"/>
      <c r="I45838"/>
      <c r="N45838"/>
      <c r="O45838" s="24"/>
      <c r="P45838"/>
      <c r="Q45838" s="24"/>
      <c r="R45838"/>
      <c r="S45838"/>
      <c r="T45838"/>
      <c r="U45838"/>
      <c r="X45838" s="60"/>
    </row>
    <row r="45839" spans="7:24" ht="15" customHeight="1">
      <c r="G45839"/>
      <c r="I45839"/>
      <c r="N45839"/>
      <c r="O45839" s="24"/>
      <c r="P45839"/>
      <c r="Q45839" s="24"/>
      <c r="R45839"/>
      <c r="S45839"/>
      <c r="T45839"/>
      <c r="U45839"/>
      <c r="X45839" s="60"/>
    </row>
    <row r="45840" spans="7:24" ht="15" customHeight="1">
      <c r="G45840"/>
      <c r="I45840"/>
      <c r="N45840"/>
      <c r="O45840" s="24"/>
      <c r="P45840"/>
      <c r="Q45840" s="24"/>
      <c r="R45840"/>
      <c r="S45840"/>
      <c r="T45840"/>
      <c r="U45840"/>
      <c r="X45840" s="60"/>
    </row>
    <row r="45841" spans="7:24" ht="15" customHeight="1">
      <c r="G45841"/>
      <c r="I45841"/>
      <c r="N45841"/>
      <c r="O45841" s="24"/>
      <c r="P45841"/>
      <c r="Q45841" s="24"/>
      <c r="R45841"/>
      <c r="S45841"/>
      <c r="T45841"/>
      <c r="U45841"/>
      <c r="X45841" s="60"/>
    </row>
    <row r="45842" spans="7:24" ht="15" customHeight="1">
      <c r="G45842"/>
      <c r="I45842"/>
      <c r="N45842"/>
      <c r="O45842" s="24"/>
      <c r="P45842"/>
      <c r="Q45842" s="24"/>
      <c r="R45842"/>
      <c r="S45842"/>
      <c r="T45842"/>
      <c r="U45842"/>
      <c r="X45842" s="60"/>
    </row>
    <row r="45843" spans="7:24" ht="15" customHeight="1">
      <c r="G45843"/>
      <c r="I45843"/>
      <c r="N45843"/>
      <c r="O45843" s="24"/>
      <c r="P45843"/>
      <c r="Q45843" s="24"/>
      <c r="R45843"/>
      <c r="S45843"/>
      <c r="T45843"/>
      <c r="U45843"/>
      <c r="X45843" s="60"/>
    </row>
    <row r="45844" spans="7:24" ht="15" customHeight="1">
      <c r="G45844"/>
      <c r="I45844"/>
      <c r="N45844"/>
      <c r="O45844" s="24"/>
      <c r="P45844"/>
      <c r="Q45844" s="24"/>
      <c r="R45844"/>
      <c r="S45844"/>
      <c r="T45844"/>
      <c r="U45844"/>
      <c r="X45844" s="60"/>
    </row>
    <row r="45845" spans="7:24" ht="15" customHeight="1">
      <c r="G45845"/>
      <c r="I45845"/>
      <c r="N45845"/>
      <c r="O45845" s="24"/>
      <c r="P45845"/>
      <c r="Q45845" s="24"/>
      <c r="R45845"/>
      <c r="S45845"/>
      <c r="T45845"/>
      <c r="U45845"/>
      <c r="X45845" s="60"/>
    </row>
    <row r="45846" spans="7:24" ht="15" customHeight="1">
      <c r="G45846"/>
      <c r="I45846"/>
      <c r="N45846"/>
      <c r="O45846" s="24"/>
      <c r="P45846"/>
      <c r="Q45846" s="24"/>
      <c r="R45846"/>
      <c r="S45846"/>
      <c r="T45846"/>
      <c r="U45846"/>
      <c r="X45846" s="60"/>
    </row>
    <row r="45847" spans="7:24" ht="15" customHeight="1">
      <c r="G45847"/>
      <c r="I45847"/>
      <c r="N45847"/>
      <c r="O45847" s="24"/>
      <c r="P45847"/>
      <c r="Q45847" s="24"/>
      <c r="R45847"/>
      <c r="S45847"/>
      <c r="T45847"/>
      <c r="U45847"/>
      <c r="X45847" s="60"/>
    </row>
    <row r="45848" spans="7:24" ht="15" customHeight="1">
      <c r="G45848"/>
      <c r="I45848"/>
      <c r="N45848"/>
      <c r="O45848" s="24"/>
      <c r="P45848"/>
      <c r="Q45848" s="24"/>
      <c r="R45848"/>
      <c r="S45848"/>
      <c r="T45848"/>
      <c r="U45848"/>
      <c r="X45848" s="60"/>
    </row>
    <row r="45849" spans="7:24" ht="15" customHeight="1">
      <c r="G45849"/>
      <c r="I45849"/>
      <c r="N45849"/>
      <c r="O45849" s="24"/>
      <c r="P45849"/>
      <c r="Q45849" s="24"/>
      <c r="R45849"/>
      <c r="S45849"/>
      <c r="T45849"/>
      <c r="U45849"/>
      <c r="X45849" s="60"/>
    </row>
    <row r="45850" spans="7:24" ht="15" customHeight="1">
      <c r="G45850"/>
      <c r="I45850"/>
      <c r="N45850"/>
      <c r="O45850" s="24"/>
      <c r="P45850"/>
      <c r="Q45850" s="24"/>
      <c r="R45850"/>
      <c r="S45850"/>
      <c r="T45850"/>
      <c r="U45850"/>
      <c r="X45850" s="60"/>
    </row>
    <row r="45851" spans="7:24" ht="15" customHeight="1">
      <c r="G45851"/>
      <c r="I45851"/>
      <c r="N45851"/>
      <c r="O45851" s="24"/>
      <c r="P45851"/>
      <c r="Q45851" s="24"/>
      <c r="R45851"/>
      <c r="S45851"/>
      <c r="T45851"/>
      <c r="U45851"/>
      <c r="X45851" s="60"/>
    </row>
    <row r="45852" spans="7:24" ht="15" customHeight="1">
      <c r="G45852"/>
      <c r="I45852"/>
      <c r="N45852"/>
      <c r="O45852" s="24"/>
      <c r="P45852"/>
      <c r="Q45852" s="24"/>
      <c r="R45852"/>
      <c r="S45852"/>
      <c r="T45852"/>
      <c r="U45852"/>
      <c r="X45852" s="60"/>
    </row>
    <row r="45853" spans="7:24" ht="15" customHeight="1">
      <c r="G45853"/>
      <c r="I45853"/>
      <c r="N45853"/>
      <c r="O45853" s="24"/>
      <c r="P45853"/>
      <c r="Q45853" s="24"/>
      <c r="R45853"/>
      <c r="S45853"/>
      <c r="T45853"/>
      <c r="U45853"/>
      <c r="X45853" s="60"/>
    </row>
    <row r="45854" spans="7:24" ht="15" customHeight="1">
      <c r="G45854"/>
      <c r="I45854"/>
      <c r="N45854"/>
      <c r="O45854" s="24"/>
      <c r="P45854"/>
      <c r="Q45854" s="24"/>
      <c r="R45854"/>
      <c r="S45854"/>
      <c r="T45854"/>
      <c r="U45854"/>
      <c r="X45854" s="60"/>
    </row>
    <row r="45855" spans="7:24" ht="15" customHeight="1">
      <c r="G45855"/>
      <c r="I45855"/>
      <c r="N45855"/>
      <c r="O45855" s="24"/>
      <c r="P45855"/>
      <c r="Q45855" s="24"/>
      <c r="R45855"/>
      <c r="S45855"/>
      <c r="T45855"/>
      <c r="U45855"/>
      <c r="X45855" s="60"/>
    </row>
    <row r="45856" spans="7:24" ht="15" customHeight="1">
      <c r="G45856"/>
      <c r="I45856"/>
      <c r="N45856"/>
      <c r="O45856" s="24"/>
      <c r="P45856"/>
      <c r="Q45856" s="24"/>
      <c r="R45856"/>
      <c r="S45856"/>
      <c r="T45856"/>
      <c r="U45856"/>
      <c r="X45856" s="60"/>
    </row>
    <row r="45857" spans="7:24" ht="15" customHeight="1">
      <c r="G45857"/>
      <c r="I45857"/>
      <c r="N45857"/>
      <c r="O45857" s="24"/>
      <c r="P45857"/>
      <c r="Q45857" s="24"/>
      <c r="R45857"/>
      <c r="S45857"/>
      <c r="T45857"/>
      <c r="U45857"/>
      <c r="X45857" s="60"/>
    </row>
    <row r="45858" spans="7:24" ht="15" customHeight="1">
      <c r="G45858"/>
      <c r="I45858"/>
      <c r="N45858"/>
      <c r="O45858" s="24"/>
      <c r="P45858"/>
      <c r="Q45858" s="24"/>
      <c r="R45858"/>
      <c r="S45858"/>
      <c r="T45858"/>
      <c r="U45858"/>
      <c r="X45858" s="60"/>
    </row>
    <row r="45859" spans="7:24" ht="15" customHeight="1">
      <c r="G45859"/>
      <c r="I45859"/>
      <c r="N45859"/>
      <c r="O45859" s="24"/>
      <c r="P45859"/>
      <c r="Q45859" s="24"/>
      <c r="R45859"/>
      <c r="S45859"/>
      <c r="T45859"/>
      <c r="U45859"/>
      <c r="X45859" s="60"/>
    </row>
    <row r="45860" spans="7:24" ht="15" customHeight="1">
      <c r="G45860"/>
      <c r="I45860"/>
      <c r="N45860"/>
      <c r="O45860" s="24"/>
      <c r="P45860"/>
      <c r="Q45860" s="24"/>
      <c r="R45860"/>
      <c r="S45860"/>
      <c r="T45860"/>
      <c r="U45860"/>
      <c r="X45860" s="60"/>
    </row>
    <row r="45861" spans="7:24" ht="15" customHeight="1">
      <c r="G45861"/>
      <c r="I45861"/>
      <c r="N45861"/>
      <c r="O45861" s="24"/>
      <c r="P45861"/>
      <c r="Q45861" s="24"/>
      <c r="R45861"/>
      <c r="S45861"/>
      <c r="T45861"/>
      <c r="U45861"/>
      <c r="X45861" s="60"/>
    </row>
    <row r="45862" spans="7:24" ht="15" customHeight="1">
      <c r="G45862"/>
      <c r="I45862"/>
      <c r="N45862"/>
      <c r="O45862" s="24"/>
      <c r="P45862"/>
      <c r="Q45862" s="24"/>
      <c r="R45862"/>
      <c r="S45862"/>
      <c r="T45862"/>
      <c r="U45862"/>
      <c r="X45862" s="60"/>
    </row>
    <row r="45863" spans="7:24" ht="15" customHeight="1">
      <c r="G45863"/>
      <c r="I45863"/>
      <c r="N45863"/>
      <c r="O45863" s="24"/>
      <c r="P45863"/>
      <c r="Q45863" s="24"/>
      <c r="R45863"/>
      <c r="S45863"/>
      <c r="T45863"/>
      <c r="U45863"/>
      <c r="X45863" s="60"/>
    </row>
    <row r="45864" spans="7:24" ht="15" customHeight="1">
      <c r="G45864"/>
      <c r="I45864"/>
      <c r="N45864"/>
      <c r="O45864" s="24"/>
      <c r="P45864"/>
      <c r="Q45864" s="24"/>
      <c r="R45864"/>
      <c r="S45864"/>
      <c r="T45864"/>
      <c r="U45864"/>
      <c r="X45864" s="60"/>
    </row>
    <row r="45865" spans="7:24" ht="15" customHeight="1">
      <c r="G45865"/>
      <c r="I45865"/>
      <c r="N45865"/>
      <c r="O45865" s="24"/>
      <c r="P45865"/>
      <c r="Q45865" s="24"/>
      <c r="R45865"/>
      <c r="S45865"/>
      <c r="T45865"/>
      <c r="U45865"/>
      <c r="X45865" s="60"/>
    </row>
    <row r="45866" spans="7:24" ht="15" customHeight="1">
      <c r="G45866"/>
      <c r="I45866"/>
      <c r="N45866"/>
      <c r="O45866" s="24"/>
      <c r="P45866"/>
      <c r="Q45866" s="24"/>
      <c r="R45866"/>
      <c r="S45866"/>
      <c r="T45866"/>
      <c r="U45866"/>
      <c r="X45866" s="60"/>
    </row>
    <row r="45867" spans="7:24" ht="15" customHeight="1">
      <c r="G45867"/>
      <c r="I45867"/>
      <c r="N45867"/>
      <c r="O45867" s="24"/>
      <c r="P45867"/>
      <c r="Q45867" s="24"/>
      <c r="R45867"/>
      <c r="S45867"/>
      <c r="T45867"/>
      <c r="U45867"/>
      <c r="X45867" s="60"/>
    </row>
    <row r="45868" spans="7:24" ht="15" customHeight="1">
      <c r="G45868"/>
      <c r="I45868"/>
      <c r="N45868"/>
      <c r="O45868" s="24"/>
      <c r="P45868"/>
      <c r="Q45868" s="24"/>
      <c r="R45868"/>
      <c r="S45868"/>
      <c r="T45868"/>
      <c r="U45868"/>
      <c r="X45868" s="60"/>
    </row>
    <row r="45869" spans="7:24" ht="15" customHeight="1">
      <c r="G45869"/>
      <c r="I45869"/>
      <c r="N45869"/>
      <c r="O45869" s="24"/>
      <c r="P45869"/>
      <c r="Q45869" s="24"/>
      <c r="R45869"/>
      <c r="S45869"/>
      <c r="T45869"/>
      <c r="U45869"/>
      <c r="X45869" s="60"/>
    </row>
    <row r="45870" spans="7:24" ht="15" customHeight="1">
      <c r="G45870"/>
      <c r="I45870"/>
      <c r="N45870"/>
      <c r="O45870" s="24"/>
      <c r="P45870"/>
      <c r="Q45870" s="24"/>
      <c r="R45870"/>
      <c r="S45870"/>
      <c r="T45870"/>
      <c r="U45870"/>
      <c r="X45870" s="60"/>
    </row>
    <row r="45871" spans="7:24" ht="15" customHeight="1">
      <c r="G45871"/>
      <c r="I45871"/>
      <c r="N45871"/>
      <c r="O45871" s="24"/>
      <c r="P45871"/>
      <c r="Q45871" s="24"/>
      <c r="R45871"/>
      <c r="S45871"/>
      <c r="T45871"/>
      <c r="U45871"/>
      <c r="X45871" s="60"/>
    </row>
    <row r="45872" spans="7:24" ht="15" customHeight="1">
      <c r="G45872"/>
      <c r="I45872"/>
      <c r="N45872"/>
      <c r="O45872" s="24"/>
      <c r="P45872"/>
      <c r="Q45872" s="24"/>
      <c r="R45872"/>
      <c r="S45872"/>
      <c r="T45872"/>
      <c r="U45872"/>
      <c r="X45872" s="60"/>
    </row>
    <row r="45873" spans="7:24" ht="15" customHeight="1">
      <c r="G45873"/>
      <c r="I45873"/>
      <c r="N45873"/>
      <c r="O45873" s="24"/>
      <c r="P45873"/>
      <c r="Q45873" s="24"/>
      <c r="R45873"/>
      <c r="S45873"/>
      <c r="T45873"/>
      <c r="U45873"/>
      <c r="X45873" s="60"/>
    </row>
    <row r="45874" spans="7:24" ht="15" customHeight="1">
      <c r="G45874"/>
      <c r="I45874"/>
      <c r="N45874"/>
      <c r="O45874" s="24"/>
      <c r="P45874"/>
      <c r="Q45874" s="24"/>
      <c r="R45874"/>
      <c r="S45874"/>
      <c r="T45874"/>
      <c r="U45874"/>
      <c r="X45874" s="60"/>
    </row>
    <row r="45875" spans="7:24" ht="15" customHeight="1">
      <c r="G45875"/>
      <c r="I45875"/>
      <c r="N45875"/>
      <c r="O45875" s="24"/>
      <c r="P45875"/>
      <c r="Q45875" s="24"/>
      <c r="R45875"/>
      <c r="S45875"/>
      <c r="T45875"/>
      <c r="U45875"/>
      <c r="X45875" s="60"/>
    </row>
    <row r="45876" spans="7:24" ht="15" customHeight="1">
      <c r="G45876"/>
      <c r="I45876"/>
      <c r="N45876"/>
      <c r="O45876" s="24"/>
      <c r="P45876"/>
      <c r="Q45876" s="24"/>
      <c r="R45876"/>
      <c r="S45876"/>
      <c r="T45876"/>
      <c r="U45876"/>
      <c r="X45876" s="60"/>
    </row>
    <row r="45877" spans="7:24" ht="15" customHeight="1">
      <c r="G45877"/>
      <c r="I45877"/>
      <c r="N45877"/>
      <c r="O45877" s="24"/>
      <c r="P45877"/>
      <c r="Q45877" s="24"/>
      <c r="R45877"/>
      <c r="S45877"/>
      <c r="T45877"/>
      <c r="U45877"/>
      <c r="X45877" s="60"/>
    </row>
    <row r="45878" spans="7:24" ht="15" customHeight="1">
      <c r="G45878"/>
      <c r="I45878"/>
      <c r="N45878"/>
      <c r="O45878" s="24"/>
      <c r="P45878"/>
      <c r="Q45878" s="24"/>
      <c r="R45878"/>
      <c r="S45878"/>
      <c r="T45878"/>
      <c r="U45878"/>
      <c r="X45878" s="60"/>
    </row>
    <row r="45879" spans="7:24" ht="15" customHeight="1">
      <c r="G45879"/>
      <c r="I45879"/>
      <c r="N45879"/>
      <c r="O45879" s="24"/>
      <c r="P45879"/>
      <c r="Q45879" s="24"/>
      <c r="R45879"/>
      <c r="S45879"/>
      <c r="T45879"/>
      <c r="U45879"/>
      <c r="X45879" s="60"/>
    </row>
    <row r="45880" spans="7:24" ht="15" customHeight="1">
      <c r="G45880"/>
      <c r="I45880"/>
      <c r="N45880"/>
      <c r="O45880" s="24"/>
      <c r="P45880"/>
      <c r="Q45880" s="24"/>
      <c r="R45880"/>
      <c r="S45880"/>
      <c r="T45880"/>
      <c r="U45880"/>
      <c r="X45880" s="60"/>
    </row>
    <row r="45881" spans="7:24" ht="15" customHeight="1">
      <c r="G45881"/>
      <c r="I45881"/>
      <c r="N45881"/>
      <c r="O45881" s="24"/>
      <c r="P45881"/>
      <c r="Q45881" s="24"/>
      <c r="R45881"/>
      <c r="S45881"/>
      <c r="T45881"/>
      <c r="U45881"/>
      <c r="X45881" s="60"/>
    </row>
    <row r="45882" spans="7:24" ht="15" customHeight="1">
      <c r="G45882"/>
      <c r="I45882"/>
      <c r="N45882"/>
      <c r="O45882" s="24"/>
      <c r="P45882"/>
      <c r="Q45882" s="24"/>
      <c r="R45882"/>
      <c r="S45882"/>
      <c r="T45882"/>
      <c r="U45882"/>
      <c r="X45882" s="60"/>
    </row>
    <row r="45883" spans="7:24" ht="15" customHeight="1">
      <c r="G45883"/>
      <c r="I45883"/>
      <c r="N45883"/>
      <c r="O45883" s="24"/>
      <c r="P45883"/>
      <c r="Q45883" s="24"/>
      <c r="R45883"/>
      <c r="S45883"/>
      <c r="T45883"/>
      <c r="U45883"/>
      <c r="X45883" s="60"/>
    </row>
    <row r="45884" spans="7:24" ht="15" customHeight="1">
      <c r="G45884"/>
      <c r="I45884"/>
      <c r="N45884"/>
      <c r="O45884" s="24"/>
      <c r="P45884"/>
      <c r="Q45884" s="24"/>
      <c r="R45884"/>
      <c r="S45884"/>
      <c r="T45884"/>
      <c r="U45884"/>
      <c r="X45884" s="60"/>
    </row>
    <row r="45885" spans="7:24" ht="15" customHeight="1">
      <c r="G45885"/>
      <c r="I45885"/>
      <c r="N45885"/>
      <c r="O45885" s="24"/>
      <c r="P45885"/>
      <c r="Q45885" s="24"/>
      <c r="R45885"/>
      <c r="S45885"/>
      <c r="T45885"/>
      <c r="U45885"/>
      <c r="X45885" s="60"/>
    </row>
    <row r="45886" spans="7:24" ht="15" customHeight="1">
      <c r="G45886"/>
      <c r="I45886"/>
      <c r="N45886"/>
      <c r="O45886" s="24"/>
      <c r="P45886"/>
      <c r="Q45886" s="24"/>
      <c r="R45886"/>
      <c r="S45886"/>
      <c r="T45886"/>
      <c r="U45886"/>
      <c r="X45886" s="60"/>
    </row>
    <row r="45887" spans="7:24" ht="15" customHeight="1">
      <c r="G45887"/>
      <c r="I45887"/>
      <c r="N45887"/>
      <c r="O45887" s="24"/>
      <c r="P45887"/>
      <c r="Q45887" s="24"/>
      <c r="R45887"/>
      <c r="S45887"/>
      <c r="T45887"/>
      <c r="U45887"/>
      <c r="X45887" s="60"/>
    </row>
    <row r="45888" spans="7:24" ht="15" customHeight="1">
      <c r="G45888"/>
      <c r="I45888"/>
      <c r="N45888"/>
      <c r="O45888" s="24"/>
      <c r="P45888"/>
      <c r="Q45888" s="24"/>
      <c r="R45888"/>
      <c r="S45888"/>
      <c r="T45888"/>
      <c r="U45888"/>
      <c r="X45888" s="60"/>
    </row>
    <row r="45889" spans="7:24" ht="15" customHeight="1">
      <c r="G45889"/>
      <c r="I45889"/>
      <c r="N45889"/>
      <c r="O45889" s="24"/>
      <c r="P45889"/>
      <c r="Q45889" s="24"/>
      <c r="R45889"/>
      <c r="S45889"/>
      <c r="T45889"/>
      <c r="U45889"/>
      <c r="X45889" s="60"/>
    </row>
    <row r="45890" spans="7:24" ht="15" customHeight="1">
      <c r="G45890"/>
      <c r="I45890"/>
      <c r="N45890"/>
      <c r="O45890" s="24"/>
      <c r="P45890"/>
      <c r="Q45890" s="24"/>
      <c r="R45890"/>
      <c r="S45890"/>
      <c r="T45890"/>
      <c r="U45890"/>
      <c r="X45890" s="60"/>
    </row>
    <row r="45891" spans="7:24" ht="15" customHeight="1">
      <c r="G45891"/>
      <c r="I45891"/>
      <c r="N45891"/>
      <c r="O45891" s="24"/>
      <c r="P45891"/>
      <c r="Q45891" s="24"/>
      <c r="R45891"/>
      <c r="S45891"/>
      <c r="T45891"/>
      <c r="U45891"/>
      <c r="X45891" s="60"/>
    </row>
    <row r="45892" spans="7:24" ht="15" customHeight="1">
      <c r="G45892"/>
      <c r="I45892"/>
      <c r="N45892"/>
      <c r="O45892" s="24"/>
      <c r="P45892"/>
      <c r="Q45892" s="24"/>
      <c r="R45892"/>
      <c r="S45892"/>
      <c r="T45892"/>
      <c r="U45892"/>
      <c r="X45892" s="60"/>
    </row>
    <row r="45893" spans="7:24" ht="15" customHeight="1">
      <c r="G45893"/>
      <c r="I45893"/>
      <c r="N45893"/>
      <c r="O45893" s="24"/>
      <c r="P45893"/>
      <c r="Q45893" s="24"/>
      <c r="R45893"/>
      <c r="S45893"/>
      <c r="T45893"/>
      <c r="U45893"/>
      <c r="X45893" s="60"/>
    </row>
    <row r="45894" spans="7:24" ht="15" customHeight="1">
      <c r="G45894"/>
      <c r="I45894"/>
      <c r="N45894"/>
      <c r="O45894" s="24"/>
      <c r="P45894"/>
      <c r="Q45894" s="24"/>
      <c r="R45894"/>
      <c r="S45894"/>
      <c r="T45894"/>
      <c r="U45894"/>
      <c r="X45894" s="60"/>
    </row>
    <row r="45895" spans="7:24" ht="15" customHeight="1">
      <c r="G45895"/>
      <c r="I45895"/>
      <c r="N45895"/>
      <c r="O45895" s="24"/>
      <c r="P45895"/>
      <c r="Q45895" s="24"/>
      <c r="R45895"/>
      <c r="S45895"/>
      <c r="T45895"/>
      <c r="U45895"/>
      <c r="X45895" s="60"/>
    </row>
    <row r="45896" spans="7:24" ht="15" customHeight="1">
      <c r="G45896"/>
      <c r="I45896"/>
      <c r="N45896"/>
      <c r="O45896" s="24"/>
      <c r="P45896"/>
      <c r="Q45896" s="24"/>
      <c r="R45896"/>
      <c r="S45896"/>
      <c r="T45896"/>
      <c r="U45896"/>
      <c r="X45896" s="60"/>
    </row>
    <row r="45897" spans="7:24" ht="15" customHeight="1">
      <c r="G45897"/>
      <c r="I45897"/>
      <c r="N45897"/>
      <c r="O45897" s="24"/>
      <c r="P45897"/>
      <c r="Q45897" s="24"/>
      <c r="R45897"/>
      <c r="S45897"/>
      <c r="T45897"/>
      <c r="U45897"/>
      <c r="X45897" s="60"/>
    </row>
    <row r="45898" spans="7:24" ht="15" customHeight="1">
      <c r="G45898"/>
      <c r="I45898"/>
      <c r="N45898"/>
      <c r="O45898" s="24"/>
      <c r="P45898"/>
      <c r="Q45898" s="24"/>
      <c r="R45898"/>
      <c r="S45898"/>
      <c r="T45898"/>
      <c r="U45898"/>
      <c r="X45898" s="60"/>
    </row>
    <row r="45899" spans="7:24" ht="15" customHeight="1">
      <c r="G45899"/>
      <c r="I45899"/>
      <c r="N45899"/>
      <c r="O45899" s="24"/>
      <c r="P45899"/>
      <c r="Q45899" s="24"/>
      <c r="R45899"/>
      <c r="S45899"/>
      <c r="T45899"/>
      <c r="U45899"/>
      <c r="X45899" s="60"/>
    </row>
    <row r="45900" spans="7:24" ht="15" customHeight="1">
      <c r="G45900"/>
      <c r="I45900"/>
      <c r="N45900"/>
      <c r="O45900" s="24"/>
      <c r="P45900"/>
      <c r="Q45900" s="24"/>
      <c r="R45900"/>
      <c r="S45900"/>
      <c r="T45900"/>
      <c r="U45900"/>
      <c r="X45900" s="60"/>
    </row>
    <row r="45901" spans="7:24" ht="15" customHeight="1">
      <c r="G45901"/>
      <c r="I45901"/>
      <c r="N45901"/>
      <c r="O45901" s="24"/>
      <c r="P45901"/>
      <c r="Q45901" s="24"/>
      <c r="R45901"/>
      <c r="S45901"/>
      <c r="T45901"/>
      <c r="U45901"/>
      <c r="X45901" s="60"/>
    </row>
    <row r="45902" spans="7:24" ht="15" customHeight="1">
      <c r="G45902"/>
      <c r="I45902"/>
      <c r="N45902"/>
      <c r="O45902" s="24"/>
      <c r="P45902"/>
      <c r="Q45902" s="24"/>
      <c r="R45902"/>
      <c r="S45902"/>
      <c r="T45902"/>
      <c r="U45902"/>
      <c r="X45902" s="60"/>
    </row>
    <row r="45903" spans="7:24" ht="15" customHeight="1">
      <c r="G45903"/>
      <c r="I45903"/>
      <c r="N45903"/>
      <c r="O45903" s="24"/>
      <c r="P45903"/>
      <c r="Q45903" s="24"/>
      <c r="R45903"/>
      <c r="S45903"/>
      <c r="T45903"/>
      <c r="U45903"/>
      <c r="X45903" s="60"/>
    </row>
    <row r="45904" spans="7:24" ht="15" customHeight="1">
      <c r="G45904"/>
      <c r="I45904"/>
      <c r="N45904"/>
      <c r="O45904" s="24"/>
      <c r="P45904"/>
      <c r="Q45904" s="24"/>
      <c r="R45904"/>
      <c r="S45904"/>
      <c r="T45904"/>
      <c r="U45904"/>
      <c r="X45904" s="60"/>
    </row>
    <row r="45905" spans="7:24" ht="15" customHeight="1">
      <c r="G45905"/>
      <c r="I45905"/>
      <c r="N45905"/>
      <c r="O45905" s="24"/>
      <c r="P45905"/>
      <c r="Q45905" s="24"/>
      <c r="R45905"/>
      <c r="S45905"/>
      <c r="T45905"/>
      <c r="U45905"/>
      <c r="X45905" s="60"/>
    </row>
    <row r="45906" spans="7:24" ht="15" customHeight="1">
      <c r="G45906"/>
      <c r="I45906"/>
      <c r="N45906"/>
      <c r="O45906" s="24"/>
      <c r="P45906"/>
      <c r="Q45906" s="24"/>
      <c r="R45906"/>
      <c r="S45906"/>
      <c r="T45906"/>
      <c r="U45906"/>
      <c r="X45906" s="60"/>
    </row>
    <row r="45907" spans="7:24" ht="15" customHeight="1">
      <c r="G45907"/>
      <c r="I45907"/>
      <c r="N45907"/>
      <c r="O45907" s="24"/>
      <c r="P45907"/>
      <c r="Q45907" s="24"/>
      <c r="R45907"/>
      <c r="S45907"/>
      <c r="T45907"/>
      <c r="U45907"/>
      <c r="X45907" s="60"/>
    </row>
    <row r="45908" spans="7:24" ht="15" customHeight="1">
      <c r="G45908"/>
      <c r="I45908"/>
      <c r="N45908"/>
      <c r="O45908" s="24"/>
      <c r="P45908"/>
      <c r="Q45908" s="24"/>
      <c r="R45908"/>
      <c r="S45908"/>
      <c r="T45908"/>
      <c r="U45908"/>
      <c r="X45908" s="60"/>
    </row>
    <row r="45909" spans="7:24" ht="15" customHeight="1">
      <c r="G45909"/>
      <c r="I45909"/>
      <c r="N45909"/>
      <c r="O45909" s="24"/>
      <c r="P45909"/>
      <c r="Q45909" s="24"/>
      <c r="R45909"/>
      <c r="S45909"/>
      <c r="T45909"/>
      <c r="U45909"/>
      <c r="X45909" s="60"/>
    </row>
    <row r="45910" spans="7:24" ht="15" customHeight="1">
      <c r="G45910"/>
      <c r="I45910"/>
      <c r="N45910"/>
      <c r="O45910" s="24"/>
      <c r="P45910"/>
      <c r="Q45910" s="24"/>
      <c r="R45910"/>
      <c r="S45910"/>
      <c r="T45910"/>
      <c r="U45910"/>
      <c r="X45910" s="60"/>
    </row>
    <row r="45911" spans="7:24" ht="15" customHeight="1">
      <c r="G45911"/>
      <c r="I45911"/>
      <c r="N45911"/>
      <c r="O45911" s="24"/>
      <c r="P45911"/>
      <c r="Q45911" s="24"/>
      <c r="R45911"/>
      <c r="S45911"/>
      <c r="T45911"/>
      <c r="U45911"/>
      <c r="X45911" s="60"/>
    </row>
    <row r="45912" spans="7:24" ht="15" customHeight="1">
      <c r="G45912"/>
      <c r="I45912"/>
      <c r="N45912"/>
      <c r="O45912" s="24"/>
      <c r="P45912"/>
      <c r="Q45912" s="24"/>
      <c r="R45912"/>
      <c r="S45912"/>
      <c r="T45912"/>
      <c r="U45912"/>
      <c r="X45912" s="60"/>
    </row>
    <row r="45913" spans="7:24" ht="15" customHeight="1">
      <c r="G45913"/>
      <c r="I45913"/>
      <c r="N45913"/>
      <c r="O45913" s="24"/>
      <c r="P45913"/>
      <c r="Q45913" s="24"/>
      <c r="R45913"/>
      <c r="S45913"/>
      <c r="T45913"/>
      <c r="U45913"/>
      <c r="X45913" s="60"/>
    </row>
    <row r="45914" spans="7:24" ht="15" customHeight="1">
      <c r="G45914"/>
      <c r="I45914"/>
      <c r="N45914"/>
      <c r="O45914" s="24"/>
      <c r="P45914"/>
      <c r="Q45914" s="24"/>
      <c r="R45914"/>
      <c r="S45914"/>
      <c r="T45914"/>
      <c r="U45914"/>
      <c r="X45914" s="60"/>
    </row>
    <row r="45915" spans="7:24" ht="15" customHeight="1">
      <c r="G45915"/>
      <c r="I45915"/>
      <c r="N45915"/>
      <c r="O45915" s="24"/>
      <c r="P45915"/>
      <c r="Q45915" s="24"/>
      <c r="R45915"/>
      <c r="S45915"/>
      <c r="T45915"/>
      <c r="U45915"/>
      <c r="X45915" s="60"/>
    </row>
    <row r="45916" spans="7:24" ht="15" customHeight="1">
      <c r="G45916"/>
      <c r="I45916"/>
      <c r="N45916"/>
      <c r="O45916" s="24"/>
      <c r="P45916"/>
      <c r="Q45916" s="24"/>
      <c r="R45916"/>
      <c r="S45916"/>
      <c r="T45916"/>
      <c r="U45916"/>
      <c r="X45916" s="60"/>
    </row>
    <row r="45917" spans="7:24" ht="15" customHeight="1">
      <c r="G45917"/>
      <c r="I45917"/>
      <c r="N45917"/>
      <c r="O45917" s="24"/>
      <c r="P45917"/>
      <c r="Q45917" s="24"/>
      <c r="R45917"/>
      <c r="S45917"/>
      <c r="T45917"/>
      <c r="U45917"/>
      <c r="X45917" s="60"/>
    </row>
    <row r="45918" spans="7:24" ht="15" customHeight="1">
      <c r="G45918"/>
      <c r="I45918"/>
      <c r="N45918"/>
      <c r="O45918" s="24"/>
      <c r="P45918"/>
      <c r="Q45918" s="24"/>
      <c r="R45918"/>
      <c r="S45918"/>
      <c r="T45918"/>
      <c r="U45918"/>
      <c r="X45918" s="60"/>
    </row>
    <row r="45919" spans="7:24" ht="15" customHeight="1">
      <c r="G45919"/>
      <c r="I45919"/>
      <c r="N45919"/>
      <c r="O45919" s="24"/>
      <c r="P45919"/>
      <c r="Q45919" s="24"/>
      <c r="R45919"/>
      <c r="S45919"/>
      <c r="T45919"/>
      <c r="U45919"/>
      <c r="X45919" s="60"/>
    </row>
    <row r="45920" spans="7:24" ht="15" customHeight="1">
      <c r="G45920"/>
      <c r="I45920"/>
      <c r="N45920"/>
      <c r="O45920" s="24"/>
      <c r="P45920"/>
      <c r="Q45920" s="24"/>
      <c r="R45920"/>
      <c r="S45920"/>
      <c r="T45920"/>
      <c r="U45920"/>
      <c r="X45920" s="60"/>
    </row>
    <row r="45921" spans="7:24" ht="15" customHeight="1">
      <c r="G45921"/>
      <c r="I45921"/>
      <c r="N45921"/>
      <c r="O45921" s="24"/>
      <c r="P45921"/>
      <c r="Q45921" s="24"/>
      <c r="R45921"/>
      <c r="S45921"/>
      <c r="T45921"/>
      <c r="U45921"/>
      <c r="X45921" s="60"/>
    </row>
    <row r="45922" spans="7:24" ht="15" customHeight="1">
      <c r="G45922"/>
      <c r="I45922"/>
      <c r="N45922"/>
      <c r="O45922" s="24"/>
      <c r="P45922"/>
      <c r="Q45922" s="24"/>
      <c r="R45922"/>
      <c r="S45922"/>
      <c r="T45922"/>
      <c r="U45922"/>
      <c r="X45922" s="60"/>
    </row>
    <row r="45923" spans="7:24" ht="15" customHeight="1">
      <c r="G45923"/>
      <c r="I45923"/>
      <c r="N45923"/>
      <c r="O45923" s="24"/>
      <c r="P45923"/>
      <c r="Q45923" s="24"/>
      <c r="R45923"/>
      <c r="S45923"/>
      <c r="T45923"/>
      <c r="U45923"/>
      <c r="X45923" s="60"/>
    </row>
    <row r="45924" spans="7:24" ht="15" customHeight="1">
      <c r="G45924"/>
      <c r="I45924"/>
      <c r="N45924"/>
      <c r="O45924" s="24"/>
      <c r="P45924"/>
      <c r="Q45924" s="24"/>
      <c r="R45924"/>
      <c r="S45924"/>
      <c r="T45924"/>
      <c r="U45924"/>
      <c r="X45924" s="60"/>
    </row>
    <row r="45925" spans="7:24" ht="15" customHeight="1">
      <c r="G45925"/>
      <c r="I45925"/>
      <c r="N45925"/>
      <c r="O45925" s="24"/>
      <c r="P45925"/>
      <c r="Q45925" s="24"/>
      <c r="R45925"/>
      <c r="S45925"/>
      <c r="T45925"/>
      <c r="U45925"/>
      <c r="X45925" s="60"/>
    </row>
    <row r="45926" spans="7:24" ht="15" customHeight="1">
      <c r="G45926"/>
      <c r="I45926"/>
      <c r="N45926"/>
      <c r="O45926" s="24"/>
      <c r="P45926"/>
      <c r="Q45926" s="24"/>
      <c r="R45926"/>
      <c r="S45926"/>
      <c r="T45926"/>
      <c r="U45926"/>
      <c r="X45926" s="60"/>
    </row>
    <row r="45927" spans="7:24" ht="15" customHeight="1">
      <c r="G45927"/>
      <c r="I45927"/>
      <c r="N45927"/>
      <c r="O45927" s="24"/>
      <c r="P45927"/>
      <c r="Q45927" s="24"/>
      <c r="R45927"/>
      <c r="S45927"/>
      <c r="T45927"/>
      <c r="U45927"/>
      <c r="X45927" s="60"/>
    </row>
    <row r="45928" spans="7:24" ht="15" customHeight="1">
      <c r="G45928"/>
      <c r="I45928"/>
      <c r="N45928"/>
      <c r="O45928" s="24"/>
      <c r="P45928"/>
      <c r="Q45928" s="24"/>
      <c r="R45928"/>
      <c r="S45928"/>
      <c r="T45928"/>
      <c r="U45928"/>
      <c r="X45928" s="60"/>
    </row>
    <row r="45929" spans="7:24" ht="15" customHeight="1">
      <c r="G45929"/>
      <c r="I45929"/>
      <c r="N45929"/>
      <c r="O45929" s="24"/>
      <c r="P45929"/>
      <c r="Q45929" s="24"/>
      <c r="R45929"/>
      <c r="S45929"/>
      <c r="T45929"/>
      <c r="U45929"/>
      <c r="X45929" s="60"/>
    </row>
    <row r="45930" spans="7:24" ht="15" customHeight="1">
      <c r="G45930"/>
      <c r="I45930"/>
      <c r="N45930"/>
      <c r="O45930" s="24"/>
      <c r="P45930"/>
      <c r="Q45930" s="24"/>
      <c r="R45930"/>
      <c r="S45930"/>
      <c r="T45930"/>
      <c r="U45930"/>
      <c r="X45930" s="60"/>
    </row>
    <row r="45931" spans="7:24" ht="15" customHeight="1">
      <c r="G45931"/>
      <c r="I45931"/>
      <c r="N45931"/>
      <c r="O45931" s="24"/>
      <c r="P45931"/>
      <c r="Q45931" s="24"/>
      <c r="R45931"/>
      <c r="S45931"/>
      <c r="T45931"/>
      <c r="U45931"/>
      <c r="X45931" s="60"/>
    </row>
    <row r="45932" spans="7:24" ht="15" customHeight="1">
      <c r="G45932"/>
      <c r="I45932"/>
      <c r="N45932"/>
      <c r="O45932" s="24"/>
      <c r="P45932"/>
      <c r="Q45932" s="24"/>
      <c r="R45932"/>
      <c r="S45932"/>
      <c r="T45932"/>
      <c r="U45932"/>
      <c r="X45932" s="60"/>
    </row>
    <row r="45933" spans="7:24" ht="15" customHeight="1">
      <c r="G45933"/>
      <c r="I45933"/>
      <c r="N45933"/>
      <c r="O45933" s="24"/>
      <c r="P45933"/>
      <c r="Q45933" s="24"/>
      <c r="R45933"/>
      <c r="S45933"/>
      <c r="T45933"/>
      <c r="U45933"/>
      <c r="X45933" s="60"/>
    </row>
    <row r="45934" spans="7:24" ht="15" customHeight="1">
      <c r="G45934"/>
      <c r="I45934"/>
      <c r="N45934"/>
      <c r="O45934" s="24"/>
      <c r="P45934"/>
      <c r="Q45934" s="24"/>
      <c r="R45934"/>
      <c r="S45934"/>
      <c r="T45934"/>
      <c r="U45934"/>
      <c r="X45934" s="60"/>
    </row>
    <row r="45935" spans="7:24" ht="15" customHeight="1">
      <c r="G45935"/>
      <c r="I45935"/>
      <c r="N45935"/>
      <c r="O45935" s="24"/>
      <c r="P45935"/>
      <c r="Q45935" s="24"/>
      <c r="R45935"/>
      <c r="S45935"/>
      <c r="T45935"/>
      <c r="U45935"/>
      <c r="X45935" s="60"/>
    </row>
    <row r="45936" spans="7:24" ht="15" customHeight="1">
      <c r="G45936"/>
      <c r="I45936"/>
      <c r="N45936"/>
      <c r="O45936" s="24"/>
      <c r="P45936"/>
      <c r="Q45936" s="24"/>
      <c r="R45936"/>
      <c r="S45936"/>
      <c r="T45936"/>
      <c r="U45936"/>
      <c r="X45936" s="60"/>
    </row>
    <row r="45937" spans="7:24" ht="15" customHeight="1">
      <c r="G45937"/>
      <c r="I45937"/>
      <c r="N45937"/>
      <c r="O45937" s="24"/>
      <c r="P45937"/>
      <c r="Q45937" s="24"/>
      <c r="R45937"/>
      <c r="S45937"/>
      <c r="T45937"/>
      <c r="U45937"/>
      <c r="X45937" s="60"/>
    </row>
    <row r="45938" spans="7:24" ht="15" customHeight="1">
      <c r="G45938"/>
      <c r="I45938"/>
      <c r="N45938"/>
      <c r="O45938" s="24"/>
      <c r="P45938"/>
      <c r="Q45938" s="24"/>
      <c r="R45938"/>
      <c r="S45938"/>
      <c r="T45938"/>
      <c r="U45938"/>
      <c r="X45938" s="60"/>
    </row>
    <row r="45939" spans="7:24" ht="15" customHeight="1">
      <c r="G45939"/>
      <c r="I45939"/>
      <c r="N45939"/>
      <c r="O45939" s="24"/>
      <c r="P45939"/>
      <c r="Q45939" s="24"/>
      <c r="R45939"/>
      <c r="S45939"/>
      <c r="T45939"/>
      <c r="U45939"/>
      <c r="X45939" s="60"/>
    </row>
    <row r="45940" spans="7:24" ht="15" customHeight="1">
      <c r="G45940"/>
      <c r="I45940"/>
      <c r="N45940"/>
      <c r="O45940" s="24"/>
      <c r="P45940"/>
      <c r="Q45940" s="24"/>
      <c r="R45940"/>
      <c r="S45940"/>
      <c r="T45940"/>
      <c r="U45940"/>
      <c r="X45940" s="60"/>
    </row>
    <row r="45941" spans="7:24" ht="15" customHeight="1">
      <c r="G45941"/>
      <c r="I45941"/>
      <c r="N45941"/>
      <c r="O45941" s="24"/>
      <c r="P45941"/>
      <c r="Q45941" s="24"/>
      <c r="R45941"/>
      <c r="S45941"/>
      <c r="T45941"/>
      <c r="U45941"/>
      <c r="X45941" s="60"/>
    </row>
    <row r="45942" spans="7:24" ht="15" customHeight="1">
      <c r="G45942"/>
      <c r="I45942"/>
      <c r="N45942"/>
      <c r="O45942" s="24"/>
      <c r="P45942"/>
      <c r="Q45942" s="24"/>
      <c r="R45942"/>
      <c r="S45942"/>
      <c r="T45942"/>
      <c r="U45942"/>
      <c r="X45942" s="60"/>
    </row>
    <row r="45943" spans="7:24" ht="15" customHeight="1">
      <c r="G45943"/>
      <c r="I45943"/>
      <c r="N45943"/>
      <c r="O45943" s="24"/>
      <c r="P45943"/>
      <c r="Q45943" s="24"/>
      <c r="R45943"/>
      <c r="S45943"/>
      <c r="T45943"/>
      <c r="U45943"/>
      <c r="X45943" s="60"/>
    </row>
    <row r="45944" spans="7:24" ht="15" customHeight="1">
      <c r="G45944"/>
      <c r="I45944"/>
      <c r="N45944"/>
      <c r="O45944" s="24"/>
      <c r="P45944"/>
      <c r="Q45944" s="24"/>
      <c r="R45944"/>
      <c r="S45944"/>
      <c r="T45944"/>
      <c r="U45944"/>
      <c r="X45944" s="60"/>
    </row>
    <row r="45945" spans="7:24" ht="15" customHeight="1">
      <c r="G45945"/>
      <c r="I45945"/>
      <c r="N45945"/>
      <c r="O45945" s="24"/>
      <c r="P45945"/>
      <c r="Q45945" s="24"/>
      <c r="R45945"/>
      <c r="S45945"/>
      <c r="T45945"/>
      <c r="U45945"/>
      <c r="X45945" s="60"/>
    </row>
    <row r="45946" spans="7:24" ht="15" customHeight="1">
      <c r="G45946"/>
      <c r="I45946"/>
      <c r="N45946"/>
      <c r="O45946" s="24"/>
      <c r="P45946"/>
      <c r="Q45946" s="24"/>
      <c r="R45946"/>
      <c r="S45946"/>
      <c r="T45946"/>
      <c r="U45946"/>
      <c r="X45946" s="60"/>
    </row>
    <row r="45947" spans="7:24" ht="15" customHeight="1">
      <c r="G45947"/>
      <c r="I45947"/>
      <c r="N45947"/>
      <c r="O45947" s="24"/>
      <c r="P45947"/>
      <c r="Q45947" s="24"/>
      <c r="R45947"/>
      <c r="S45947"/>
      <c r="T45947"/>
      <c r="U45947"/>
      <c r="X45947" s="60"/>
    </row>
    <row r="45948" spans="7:24" ht="15" customHeight="1">
      <c r="G45948"/>
      <c r="I45948"/>
      <c r="N45948"/>
      <c r="O45948" s="24"/>
      <c r="P45948"/>
      <c r="Q45948" s="24"/>
      <c r="R45948"/>
      <c r="S45948"/>
      <c r="T45948"/>
      <c r="U45948"/>
      <c r="X45948" s="60"/>
    </row>
    <row r="45949" spans="7:24" ht="15" customHeight="1">
      <c r="G45949"/>
      <c r="I45949"/>
      <c r="N45949"/>
      <c r="O45949" s="24"/>
      <c r="P45949"/>
      <c r="Q45949" s="24"/>
      <c r="R45949"/>
      <c r="S45949"/>
      <c r="T45949"/>
      <c r="U45949"/>
      <c r="X45949" s="60"/>
    </row>
    <row r="45950" spans="7:24" ht="15" customHeight="1">
      <c r="G45950"/>
      <c r="I45950"/>
      <c r="N45950"/>
      <c r="O45950" s="24"/>
      <c r="P45950"/>
      <c r="Q45950" s="24"/>
      <c r="R45950"/>
      <c r="S45950"/>
      <c r="T45950"/>
      <c r="U45950"/>
      <c r="X45950" s="60"/>
    </row>
    <row r="45951" spans="7:24" ht="15" customHeight="1">
      <c r="G45951"/>
      <c r="I45951"/>
      <c r="N45951"/>
      <c r="O45951" s="24"/>
      <c r="P45951"/>
      <c r="Q45951" s="24"/>
      <c r="R45951"/>
      <c r="S45951"/>
      <c r="T45951"/>
      <c r="U45951"/>
      <c r="X45951" s="60"/>
    </row>
    <row r="45952" spans="7:24" ht="15" customHeight="1">
      <c r="G45952"/>
      <c r="I45952"/>
      <c r="N45952"/>
      <c r="O45952" s="24"/>
      <c r="P45952"/>
      <c r="Q45952" s="24"/>
      <c r="R45952"/>
      <c r="S45952"/>
      <c r="T45952"/>
      <c r="U45952"/>
      <c r="X45952" s="60"/>
    </row>
    <row r="45953" spans="7:24" ht="15" customHeight="1">
      <c r="G45953"/>
      <c r="I45953"/>
      <c r="N45953"/>
      <c r="O45953" s="24"/>
      <c r="P45953"/>
      <c r="Q45953" s="24"/>
      <c r="R45953"/>
      <c r="S45953"/>
      <c r="T45953"/>
      <c r="U45953"/>
      <c r="X45953" s="60"/>
    </row>
    <row r="45954" spans="7:24" ht="15" customHeight="1">
      <c r="G45954"/>
      <c r="I45954"/>
      <c r="N45954"/>
      <c r="O45954" s="24"/>
      <c r="P45954"/>
      <c r="Q45954" s="24"/>
      <c r="R45954"/>
      <c r="S45954"/>
      <c r="T45954"/>
      <c r="U45954"/>
      <c r="X45954" s="60"/>
    </row>
    <row r="45955" spans="7:24" ht="15" customHeight="1">
      <c r="G45955"/>
      <c r="I45955"/>
      <c r="N45955"/>
      <c r="O45955" s="24"/>
      <c r="P45955"/>
      <c r="Q45955" s="24"/>
      <c r="R45955"/>
      <c r="S45955"/>
      <c r="T45955"/>
      <c r="U45955"/>
      <c r="X45955" s="60"/>
    </row>
    <row r="45956" spans="7:24" ht="15" customHeight="1">
      <c r="G45956"/>
      <c r="I45956"/>
      <c r="N45956"/>
      <c r="O45956" s="24"/>
      <c r="P45956"/>
      <c r="Q45956" s="24"/>
      <c r="R45956"/>
      <c r="S45956"/>
      <c r="T45956"/>
      <c r="U45956"/>
      <c r="X45956" s="60"/>
    </row>
    <row r="45957" spans="7:24" ht="15" customHeight="1">
      <c r="G45957"/>
      <c r="I45957"/>
      <c r="N45957"/>
      <c r="O45957" s="24"/>
      <c r="P45957"/>
      <c r="Q45957" s="24"/>
      <c r="R45957"/>
      <c r="S45957"/>
      <c r="T45957"/>
      <c r="U45957"/>
      <c r="X45957" s="60"/>
    </row>
    <row r="45958" spans="7:24" ht="15" customHeight="1">
      <c r="G45958"/>
      <c r="I45958"/>
      <c r="N45958"/>
      <c r="O45958" s="24"/>
      <c r="P45958"/>
      <c r="Q45958" s="24"/>
      <c r="R45958"/>
      <c r="S45958"/>
      <c r="T45958"/>
      <c r="U45958"/>
      <c r="X45958" s="60"/>
    </row>
    <row r="45959" spans="7:24" ht="15" customHeight="1">
      <c r="G45959"/>
      <c r="I45959"/>
      <c r="N45959"/>
      <c r="O45959" s="24"/>
      <c r="P45959"/>
      <c r="Q45959" s="24"/>
      <c r="R45959"/>
      <c r="S45959"/>
      <c r="T45959"/>
      <c r="U45959"/>
      <c r="X45959" s="60"/>
    </row>
    <row r="45960" spans="7:24" ht="15" customHeight="1">
      <c r="G45960"/>
      <c r="I45960"/>
      <c r="N45960"/>
      <c r="O45960" s="24"/>
      <c r="P45960"/>
      <c r="Q45960" s="24"/>
      <c r="R45960"/>
      <c r="S45960"/>
      <c r="T45960"/>
      <c r="U45960"/>
      <c r="X45960" s="60"/>
    </row>
    <row r="45961" spans="7:24" ht="15" customHeight="1">
      <c r="G45961"/>
      <c r="I45961"/>
      <c r="N45961"/>
      <c r="O45961" s="24"/>
      <c r="P45961"/>
      <c r="Q45961" s="24"/>
      <c r="R45961"/>
      <c r="S45961"/>
      <c r="T45961"/>
      <c r="U45961"/>
      <c r="X45961" s="60"/>
    </row>
    <row r="45962" spans="7:24" ht="15" customHeight="1">
      <c r="G45962"/>
      <c r="I45962"/>
      <c r="N45962"/>
      <c r="O45962" s="24"/>
      <c r="P45962"/>
      <c r="Q45962" s="24"/>
      <c r="R45962"/>
      <c r="S45962"/>
      <c r="T45962"/>
      <c r="U45962"/>
      <c r="X45962" s="60"/>
    </row>
    <row r="45963" spans="7:24" ht="15" customHeight="1">
      <c r="G45963"/>
      <c r="I45963"/>
      <c r="N45963"/>
      <c r="O45963" s="24"/>
      <c r="P45963"/>
      <c r="Q45963" s="24"/>
      <c r="R45963"/>
      <c r="S45963"/>
      <c r="T45963"/>
      <c r="U45963"/>
      <c r="X45963" s="60"/>
    </row>
    <row r="45964" spans="7:24" ht="15" customHeight="1">
      <c r="G45964"/>
      <c r="I45964"/>
      <c r="N45964"/>
      <c r="O45964" s="24"/>
      <c r="P45964"/>
      <c r="Q45964" s="24"/>
      <c r="R45964"/>
      <c r="S45964"/>
      <c r="T45964"/>
      <c r="U45964"/>
      <c r="X45964" s="60"/>
    </row>
    <row r="45965" spans="7:24" ht="15" customHeight="1">
      <c r="G45965"/>
      <c r="I45965"/>
      <c r="N45965"/>
      <c r="O45965" s="24"/>
      <c r="P45965"/>
      <c r="Q45965" s="24"/>
      <c r="R45965"/>
      <c r="S45965"/>
      <c r="T45965"/>
      <c r="U45965"/>
      <c r="X45965" s="60"/>
    </row>
    <row r="45966" spans="7:24" ht="15" customHeight="1">
      <c r="G45966"/>
      <c r="I45966"/>
      <c r="N45966"/>
      <c r="O45966" s="24"/>
      <c r="P45966"/>
      <c r="Q45966" s="24"/>
      <c r="R45966"/>
      <c r="S45966"/>
      <c r="T45966"/>
      <c r="U45966"/>
      <c r="X45966" s="60"/>
    </row>
    <row r="45967" spans="7:24" ht="15" customHeight="1">
      <c r="G45967"/>
      <c r="I45967"/>
      <c r="N45967"/>
      <c r="O45967" s="24"/>
      <c r="P45967"/>
      <c r="Q45967" s="24"/>
      <c r="R45967"/>
      <c r="S45967"/>
      <c r="T45967"/>
      <c r="U45967"/>
      <c r="X45967" s="60"/>
    </row>
    <row r="45968" spans="7:24" ht="15" customHeight="1">
      <c r="G45968"/>
      <c r="I45968"/>
      <c r="N45968"/>
      <c r="O45968" s="24"/>
      <c r="P45968"/>
      <c r="Q45968" s="24"/>
      <c r="R45968"/>
      <c r="S45968"/>
      <c r="T45968"/>
      <c r="U45968"/>
      <c r="X45968" s="60"/>
    </row>
    <row r="45969" spans="7:24" ht="15" customHeight="1">
      <c r="G45969"/>
      <c r="I45969"/>
      <c r="N45969"/>
      <c r="O45969" s="24"/>
      <c r="P45969"/>
      <c r="Q45969" s="24"/>
      <c r="R45969"/>
      <c r="S45969"/>
      <c r="T45969"/>
      <c r="U45969"/>
      <c r="X45969" s="60"/>
    </row>
    <row r="45970" spans="7:24" ht="15" customHeight="1">
      <c r="G45970"/>
      <c r="I45970"/>
      <c r="N45970"/>
      <c r="O45970" s="24"/>
      <c r="P45970"/>
      <c r="Q45970" s="24"/>
      <c r="R45970"/>
      <c r="S45970"/>
      <c r="T45970"/>
      <c r="U45970"/>
      <c r="X45970" s="60"/>
    </row>
    <row r="45971" spans="7:24" ht="15" customHeight="1">
      <c r="G45971"/>
      <c r="I45971"/>
      <c r="N45971"/>
      <c r="O45971" s="24"/>
      <c r="P45971"/>
      <c r="Q45971" s="24"/>
      <c r="R45971"/>
      <c r="S45971"/>
      <c r="T45971"/>
      <c r="U45971"/>
      <c r="X45971" s="60"/>
    </row>
    <row r="45972" spans="7:24" ht="15" customHeight="1">
      <c r="G45972"/>
      <c r="I45972"/>
      <c r="N45972"/>
      <c r="O45972" s="24"/>
      <c r="P45972"/>
      <c r="Q45972" s="24"/>
      <c r="R45972"/>
      <c r="S45972"/>
      <c r="T45972"/>
      <c r="U45972"/>
      <c r="X45972" s="60"/>
    </row>
    <row r="45973" spans="7:24" ht="15" customHeight="1">
      <c r="G45973"/>
      <c r="I45973"/>
      <c r="N45973"/>
      <c r="O45973" s="24"/>
      <c r="P45973"/>
      <c r="Q45973" s="24"/>
      <c r="R45973"/>
      <c r="S45973"/>
      <c r="T45973"/>
      <c r="U45973"/>
      <c r="X45973" s="60"/>
    </row>
    <row r="45974" spans="7:24" ht="15" customHeight="1">
      <c r="G45974"/>
      <c r="I45974"/>
      <c r="N45974"/>
      <c r="O45974" s="24"/>
      <c r="P45974"/>
      <c r="Q45974" s="24"/>
      <c r="R45974"/>
      <c r="S45974"/>
      <c r="T45974"/>
      <c r="U45974"/>
      <c r="X45974" s="60"/>
    </row>
    <row r="45975" spans="7:24" ht="15" customHeight="1">
      <c r="G45975"/>
      <c r="I45975"/>
      <c r="N45975"/>
      <c r="O45975" s="24"/>
      <c r="P45975"/>
      <c r="Q45975" s="24"/>
      <c r="R45975"/>
      <c r="S45975"/>
      <c r="T45975"/>
      <c r="U45975"/>
      <c r="X45975" s="60"/>
    </row>
    <row r="45976" spans="7:24" ht="15" customHeight="1">
      <c r="G45976"/>
      <c r="I45976"/>
      <c r="N45976"/>
      <c r="O45976" s="24"/>
      <c r="P45976"/>
      <c r="Q45976" s="24"/>
      <c r="R45976"/>
      <c r="S45976"/>
      <c r="T45976"/>
      <c r="U45976"/>
      <c r="X45976" s="60"/>
    </row>
    <row r="45977" spans="7:24" ht="15" customHeight="1">
      <c r="G45977"/>
      <c r="I45977"/>
      <c r="N45977"/>
      <c r="O45977" s="24"/>
      <c r="P45977"/>
      <c r="Q45977" s="24"/>
      <c r="R45977"/>
      <c r="S45977"/>
      <c r="T45977"/>
      <c r="U45977"/>
      <c r="X45977" s="60"/>
    </row>
    <row r="45978" spans="7:24" ht="15" customHeight="1">
      <c r="G45978"/>
      <c r="I45978"/>
      <c r="N45978"/>
      <c r="O45978" s="24"/>
      <c r="P45978"/>
      <c r="Q45978" s="24"/>
      <c r="R45978"/>
      <c r="S45978"/>
      <c r="T45978"/>
      <c r="U45978"/>
      <c r="X45978" s="60"/>
    </row>
    <row r="45979" spans="7:24" ht="15" customHeight="1">
      <c r="G45979"/>
      <c r="I45979"/>
      <c r="N45979"/>
      <c r="O45979" s="24"/>
      <c r="P45979"/>
      <c r="Q45979" s="24"/>
      <c r="R45979"/>
      <c r="S45979"/>
      <c r="T45979"/>
      <c r="U45979"/>
      <c r="X45979" s="60"/>
    </row>
    <row r="45980" spans="7:24" ht="15" customHeight="1">
      <c r="G45980"/>
      <c r="I45980"/>
      <c r="N45980"/>
      <c r="O45980" s="24"/>
      <c r="P45980"/>
      <c r="Q45980" s="24"/>
      <c r="R45980"/>
      <c r="S45980"/>
      <c r="T45980"/>
      <c r="U45980"/>
      <c r="X45980" s="60"/>
    </row>
    <row r="45981" spans="7:24" ht="15" customHeight="1">
      <c r="G45981"/>
      <c r="I45981"/>
      <c r="N45981"/>
      <c r="O45981" s="24"/>
      <c r="P45981"/>
      <c r="Q45981" s="24"/>
      <c r="R45981"/>
      <c r="S45981"/>
      <c r="T45981"/>
      <c r="U45981"/>
      <c r="X45981" s="60"/>
    </row>
    <row r="45982" spans="7:24" ht="15" customHeight="1">
      <c r="G45982"/>
      <c r="I45982"/>
      <c r="N45982"/>
      <c r="O45982" s="24"/>
      <c r="P45982"/>
      <c r="Q45982" s="24"/>
      <c r="R45982"/>
      <c r="S45982"/>
      <c r="T45982"/>
      <c r="U45982"/>
      <c r="X45982" s="60"/>
    </row>
    <row r="45983" spans="7:24" ht="15" customHeight="1">
      <c r="G45983"/>
      <c r="I45983"/>
      <c r="N45983"/>
      <c r="O45983" s="24"/>
      <c r="P45983"/>
      <c r="Q45983" s="24"/>
      <c r="R45983"/>
      <c r="S45983"/>
      <c r="T45983"/>
      <c r="U45983"/>
      <c r="X45983" s="60"/>
    </row>
    <row r="45984" spans="7:24" ht="15" customHeight="1">
      <c r="G45984"/>
      <c r="I45984"/>
      <c r="N45984"/>
      <c r="O45984" s="24"/>
      <c r="P45984"/>
      <c r="Q45984" s="24"/>
      <c r="R45984"/>
      <c r="S45984"/>
      <c r="T45984"/>
      <c r="U45984"/>
      <c r="X45984" s="60"/>
    </row>
    <row r="45985" spans="7:24" ht="15" customHeight="1">
      <c r="G45985"/>
      <c r="I45985"/>
      <c r="N45985"/>
      <c r="O45985" s="24"/>
      <c r="P45985"/>
      <c r="Q45985" s="24"/>
      <c r="R45985"/>
      <c r="S45985"/>
      <c r="T45985"/>
      <c r="U45985"/>
      <c r="X45985" s="60"/>
    </row>
    <row r="45986" spans="7:24" ht="15" customHeight="1">
      <c r="G45986"/>
      <c r="I45986"/>
      <c r="N45986"/>
      <c r="O45986" s="24"/>
      <c r="P45986"/>
      <c r="Q45986" s="24"/>
      <c r="R45986"/>
      <c r="S45986"/>
      <c r="T45986"/>
      <c r="U45986"/>
      <c r="X45986" s="60"/>
    </row>
    <row r="45987" spans="7:24" ht="15" customHeight="1">
      <c r="G45987"/>
      <c r="I45987"/>
      <c r="N45987"/>
      <c r="O45987" s="24"/>
      <c r="P45987"/>
      <c r="Q45987" s="24"/>
      <c r="R45987"/>
      <c r="S45987"/>
      <c r="T45987"/>
      <c r="U45987"/>
      <c r="X45987" s="60"/>
    </row>
    <row r="45988" spans="7:24" ht="15" customHeight="1">
      <c r="G45988"/>
      <c r="I45988"/>
      <c r="N45988"/>
      <c r="O45988" s="24"/>
      <c r="P45988"/>
      <c r="Q45988" s="24"/>
      <c r="R45988"/>
      <c r="S45988"/>
      <c r="T45988"/>
      <c r="U45988"/>
      <c r="X45988" s="60"/>
    </row>
    <row r="45989" spans="7:24" ht="15" customHeight="1">
      <c r="G45989"/>
      <c r="I45989"/>
      <c r="N45989"/>
      <c r="O45989" s="24"/>
      <c r="P45989"/>
      <c r="Q45989" s="24"/>
      <c r="R45989"/>
      <c r="S45989"/>
      <c r="T45989"/>
      <c r="U45989"/>
      <c r="X45989" s="60"/>
    </row>
    <row r="45990" spans="7:24" ht="15" customHeight="1">
      <c r="G45990"/>
      <c r="I45990"/>
      <c r="N45990"/>
      <c r="O45990" s="24"/>
      <c r="P45990"/>
      <c r="Q45990" s="24"/>
      <c r="R45990"/>
      <c r="S45990"/>
      <c r="T45990"/>
      <c r="U45990"/>
      <c r="X45990" s="60"/>
    </row>
    <row r="45991" spans="7:24" ht="15" customHeight="1">
      <c r="G45991"/>
      <c r="I45991"/>
      <c r="N45991"/>
      <c r="O45991" s="24"/>
      <c r="P45991"/>
      <c r="Q45991" s="24"/>
      <c r="R45991"/>
      <c r="S45991"/>
      <c r="T45991"/>
      <c r="U45991"/>
      <c r="X45991" s="60"/>
    </row>
    <row r="45992" spans="7:24" ht="15" customHeight="1">
      <c r="G45992"/>
      <c r="I45992"/>
      <c r="N45992"/>
      <c r="O45992" s="24"/>
      <c r="P45992"/>
      <c r="Q45992" s="24"/>
      <c r="R45992"/>
      <c r="S45992"/>
      <c r="T45992"/>
      <c r="U45992"/>
      <c r="X45992" s="60"/>
    </row>
    <row r="45993" spans="7:24" ht="15" customHeight="1">
      <c r="G45993"/>
      <c r="I45993"/>
      <c r="N45993"/>
      <c r="O45993" s="24"/>
      <c r="P45993"/>
      <c r="Q45993" s="24"/>
      <c r="R45993"/>
      <c r="S45993"/>
      <c r="T45993"/>
      <c r="U45993"/>
      <c r="X45993" s="60"/>
    </row>
    <row r="45994" spans="7:24" ht="15" customHeight="1">
      <c r="G45994"/>
      <c r="I45994"/>
      <c r="N45994"/>
      <c r="O45994" s="24"/>
      <c r="P45994"/>
      <c r="Q45994" s="24"/>
      <c r="R45994"/>
      <c r="S45994"/>
      <c r="T45994"/>
      <c r="U45994"/>
      <c r="X45994" s="60"/>
    </row>
    <row r="45995" spans="7:24" ht="15" customHeight="1">
      <c r="G45995"/>
      <c r="I45995"/>
      <c r="N45995"/>
      <c r="O45995" s="24"/>
      <c r="P45995"/>
      <c r="Q45995" s="24"/>
      <c r="R45995"/>
      <c r="S45995"/>
      <c r="T45995"/>
      <c r="U45995"/>
      <c r="X45995" s="60"/>
    </row>
    <row r="45996" spans="7:24" ht="15" customHeight="1">
      <c r="G45996"/>
      <c r="I45996"/>
      <c r="N45996"/>
      <c r="O45996" s="24"/>
      <c r="P45996"/>
      <c r="Q45996" s="24"/>
      <c r="R45996"/>
      <c r="S45996"/>
      <c r="T45996"/>
      <c r="U45996"/>
      <c r="X45996" s="60"/>
    </row>
    <row r="45997" spans="7:24" ht="15" customHeight="1">
      <c r="G45997"/>
      <c r="I45997"/>
      <c r="N45997"/>
      <c r="O45997" s="24"/>
      <c r="P45997"/>
      <c r="Q45997" s="24"/>
      <c r="R45997"/>
      <c r="S45997"/>
      <c r="T45997"/>
      <c r="U45997"/>
      <c r="X45997" s="60"/>
    </row>
    <row r="45998" spans="7:24" ht="15" customHeight="1">
      <c r="G45998"/>
      <c r="I45998"/>
      <c r="N45998"/>
      <c r="O45998" s="24"/>
      <c r="P45998"/>
      <c r="Q45998" s="24"/>
      <c r="R45998"/>
      <c r="S45998"/>
      <c r="T45998"/>
      <c r="U45998"/>
      <c r="X45998" s="60"/>
    </row>
    <row r="45999" spans="7:24" ht="15" customHeight="1">
      <c r="G45999"/>
      <c r="I45999"/>
      <c r="N45999"/>
      <c r="O45999" s="24"/>
      <c r="P45999"/>
      <c r="Q45999" s="24"/>
      <c r="R45999"/>
      <c r="S45999"/>
      <c r="T45999"/>
      <c r="U45999"/>
      <c r="X45999" s="60"/>
    </row>
    <row r="46000" spans="7:24" ht="15" customHeight="1">
      <c r="G46000"/>
      <c r="I46000"/>
      <c r="N46000"/>
      <c r="O46000" s="24"/>
      <c r="P46000"/>
      <c r="Q46000" s="24"/>
      <c r="R46000"/>
      <c r="S46000"/>
      <c r="T46000"/>
      <c r="U46000"/>
      <c r="X46000" s="60"/>
    </row>
    <row r="46001" spans="7:24" ht="15" customHeight="1">
      <c r="G46001"/>
      <c r="I46001"/>
      <c r="N46001"/>
      <c r="O46001" s="24"/>
      <c r="P46001"/>
      <c r="Q46001" s="24"/>
      <c r="R46001"/>
      <c r="S46001"/>
      <c r="T46001"/>
      <c r="U46001"/>
      <c r="X46001" s="60"/>
    </row>
    <row r="46002" spans="7:24" ht="15" customHeight="1">
      <c r="G46002"/>
      <c r="I46002"/>
      <c r="N46002"/>
      <c r="O46002" s="24"/>
      <c r="P46002"/>
      <c r="Q46002" s="24"/>
      <c r="R46002"/>
      <c r="S46002"/>
      <c r="T46002"/>
      <c r="U46002"/>
      <c r="X46002" s="60"/>
    </row>
    <row r="46003" spans="7:24" ht="15" customHeight="1">
      <c r="G46003"/>
      <c r="I46003"/>
      <c r="N46003"/>
      <c r="O46003" s="24"/>
      <c r="P46003"/>
      <c r="Q46003" s="24"/>
      <c r="R46003"/>
      <c r="S46003"/>
      <c r="T46003"/>
      <c r="U46003"/>
      <c r="X46003" s="60"/>
    </row>
    <row r="46004" spans="7:24" ht="15" customHeight="1">
      <c r="G46004"/>
      <c r="I46004"/>
      <c r="N46004"/>
      <c r="O46004" s="24"/>
      <c r="P46004"/>
      <c r="Q46004" s="24"/>
      <c r="R46004"/>
      <c r="S46004"/>
      <c r="T46004"/>
      <c r="U46004"/>
      <c r="X46004" s="60"/>
    </row>
    <row r="46005" spans="7:24" ht="15" customHeight="1">
      <c r="G46005"/>
      <c r="I46005"/>
      <c r="N46005"/>
      <c r="O46005" s="24"/>
      <c r="P46005"/>
      <c r="Q46005" s="24"/>
      <c r="R46005"/>
      <c r="S46005"/>
      <c r="T46005"/>
      <c r="U46005"/>
      <c r="X46005" s="60"/>
    </row>
    <row r="46006" spans="7:24" ht="15" customHeight="1">
      <c r="G46006"/>
      <c r="I46006"/>
      <c r="N46006"/>
      <c r="O46006" s="24"/>
      <c r="P46006"/>
      <c r="Q46006" s="24"/>
      <c r="R46006"/>
      <c r="S46006"/>
      <c r="T46006"/>
      <c r="U46006"/>
      <c r="X46006" s="60"/>
    </row>
    <row r="46007" spans="7:24" ht="15" customHeight="1">
      <c r="G46007"/>
      <c r="I46007"/>
      <c r="N46007"/>
      <c r="O46007" s="24"/>
      <c r="P46007"/>
      <c r="Q46007" s="24"/>
      <c r="R46007"/>
      <c r="S46007"/>
      <c r="T46007"/>
      <c r="U46007"/>
      <c r="X46007" s="60"/>
    </row>
    <row r="46008" spans="7:24" ht="15" customHeight="1">
      <c r="G46008"/>
      <c r="I46008"/>
      <c r="N46008"/>
      <c r="O46008" s="24"/>
      <c r="P46008"/>
      <c r="Q46008" s="24"/>
      <c r="R46008"/>
      <c r="S46008"/>
      <c r="T46008"/>
      <c r="U46008"/>
      <c r="X46008" s="60"/>
    </row>
    <row r="46009" spans="7:24" ht="15" customHeight="1">
      <c r="G46009"/>
      <c r="I46009"/>
      <c r="N46009"/>
      <c r="O46009" s="24"/>
      <c r="P46009"/>
      <c r="Q46009" s="24"/>
      <c r="R46009"/>
      <c r="S46009"/>
      <c r="T46009"/>
      <c r="U46009"/>
      <c r="X46009" s="60"/>
    </row>
    <row r="46010" spans="7:24" ht="15" customHeight="1">
      <c r="G46010"/>
      <c r="I46010"/>
      <c r="N46010"/>
      <c r="O46010" s="24"/>
      <c r="P46010"/>
      <c r="Q46010" s="24"/>
      <c r="R46010"/>
      <c r="S46010"/>
      <c r="T46010"/>
      <c r="U46010"/>
      <c r="X46010" s="60"/>
    </row>
    <row r="46011" spans="7:24" ht="15" customHeight="1">
      <c r="G46011"/>
      <c r="I46011"/>
      <c r="N46011"/>
      <c r="O46011" s="24"/>
      <c r="P46011"/>
      <c r="Q46011" s="24"/>
      <c r="R46011"/>
      <c r="S46011"/>
      <c r="T46011"/>
      <c r="U46011"/>
      <c r="X46011" s="60"/>
    </row>
    <row r="46012" spans="7:24" ht="15" customHeight="1">
      <c r="G46012"/>
      <c r="I46012"/>
      <c r="N46012"/>
      <c r="O46012" s="24"/>
      <c r="P46012"/>
      <c r="Q46012" s="24"/>
      <c r="R46012"/>
      <c r="S46012"/>
      <c r="T46012"/>
      <c r="U46012"/>
      <c r="X46012" s="60"/>
    </row>
    <row r="46013" spans="7:24" ht="15" customHeight="1">
      <c r="G46013"/>
      <c r="I46013"/>
      <c r="N46013"/>
      <c r="O46013" s="24"/>
      <c r="P46013"/>
      <c r="Q46013" s="24"/>
      <c r="R46013"/>
      <c r="S46013"/>
      <c r="T46013"/>
      <c r="U46013"/>
      <c r="X46013" s="60"/>
    </row>
    <row r="46014" spans="7:24" ht="15" customHeight="1">
      <c r="G46014"/>
      <c r="I46014"/>
      <c r="N46014"/>
      <c r="O46014" s="24"/>
      <c r="P46014"/>
      <c r="Q46014" s="24"/>
      <c r="R46014"/>
      <c r="S46014"/>
      <c r="T46014"/>
      <c r="U46014"/>
      <c r="X46014" s="60"/>
    </row>
    <row r="46015" spans="7:24" ht="15" customHeight="1">
      <c r="G46015"/>
      <c r="I46015"/>
      <c r="N46015"/>
      <c r="O46015" s="24"/>
      <c r="P46015"/>
      <c r="Q46015" s="24"/>
      <c r="R46015"/>
      <c r="S46015"/>
      <c r="T46015"/>
      <c r="U46015"/>
      <c r="X46015" s="60"/>
    </row>
    <row r="46016" spans="7:24" ht="15" customHeight="1">
      <c r="G46016"/>
      <c r="I46016"/>
      <c r="N46016"/>
      <c r="O46016" s="24"/>
      <c r="P46016"/>
      <c r="Q46016" s="24"/>
      <c r="R46016"/>
      <c r="S46016"/>
      <c r="T46016"/>
      <c r="U46016"/>
      <c r="X46016" s="60"/>
    </row>
    <row r="46017" spans="7:24" ht="15" customHeight="1">
      <c r="G46017"/>
      <c r="I46017"/>
      <c r="N46017"/>
      <c r="O46017" s="24"/>
      <c r="P46017"/>
      <c r="Q46017" s="24"/>
      <c r="R46017"/>
      <c r="S46017"/>
      <c r="T46017"/>
      <c r="U46017"/>
      <c r="X46017" s="60"/>
    </row>
    <row r="46018" spans="7:24" ht="15" customHeight="1">
      <c r="G46018"/>
      <c r="I46018"/>
      <c r="N46018"/>
      <c r="O46018" s="24"/>
      <c r="P46018"/>
      <c r="Q46018" s="24"/>
      <c r="R46018"/>
      <c r="S46018"/>
      <c r="T46018"/>
      <c r="U46018"/>
      <c r="X46018" s="60"/>
    </row>
    <row r="46019" spans="7:24" ht="15" customHeight="1">
      <c r="G46019"/>
      <c r="I46019"/>
      <c r="N46019"/>
      <c r="O46019" s="24"/>
      <c r="P46019"/>
      <c r="Q46019" s="24"/>
      <c r="R46019"/>
      <c r="S46019"/>
      <c r="T46019"/>
      <c r="U46019"/>
      <c r="X46019" s="60"/>
    </row>
    <row r="46020" spans="7:24" ht="15" customHeight="1">
      <c r="G46020"/>
      <c r="I46020"/>
      <c r="N46020"/>
      <c r="O46020" s="24"/>
      <c r="P46020"/>
      <c r="Q46020" s="24"/>
      <c r="R46020"/>
      <c r="S46020"/>
      <c r="T46020"/>
      <c r="U46020"/>
      <c r="X46020" s="60"/>
    </row>
    <row r="46021" spans="7:24" ht="15" customHeight="1">
      <c r="G46021"/>
      <c r="I46021"/>
      <c r="N46021"/>
      <c r="O46021" s="24"/>
      <c r="P46021"/>
      <c r="Q46021" s="24"/>
      <c r="R46021"/>
      <c r="S46021"/>
      <c r="T46021"/>
      <c r="U46021"/>
      <c r="X46021" s="60"/>
    </row>
    <row r="46022" spans="7:24" ht="15" customHeight="1">
      <c r="G46022"/>
      <c r="I46022"/>
      <c r="N46022"/>
      <c r="O46022" s="24"/>
      <c r="P46022"/>
      <c r="Q46022" s="24"/>
      <c r="R46022"/>
      <c r="S46022"/>
      <c r="T46022"/>
      <c r="U46022"/>
      <c r="X46022" s="60"/>
    </row>
    <row r="46023" spans="7:24" ht="15" customHeight="1">
      <c r="G46023"/>
      <c r="I46023"/>
      <c r="N46023"/>
      <c r="O46023" s="24"/>
      <c r="P46023"/>
      <c r="Q46023" s="24"/>
      <c r="R46023"/>
      <c r="S46023"/>
      <c r="T46023"/>
      <c r="U46023"/>
      <c r="X46023" s="60"/>
    </row>
    <row r="46024" spans="7:24" ht="15" customHeight="1">
      <c r="G46024"/>
      <c r="I46024"/>
      <c r="N46024"/>
      <c r="O46024" s="24"/>
      <c r="P46024"/>
      <c r="Q46024" s="24"/>
      <c r="R46024"/>
      <c r="S46024"/>
      <c r="T46024"/>
      <c r="U46024"/>
      <c r="X46024" s="60"/>
    </row>
    <row r="46025" spans="7:24" ht="15" customHeight="1">
      <c r="G46025"/>
      <c r="I46025"/>
      <c r="N46025"/>
      <c r="O46025" s="24"/>
      <c r="P46025"/>
      <c r="Q46025" s="24"/>
      <c r="R46025"/>
      <c r="S46025"/>
      <c r="T46025"/>
      <c r="U46025"/>
      <c r="X46025" s="60"/>
    </row>
    <row r="46026" spans="7:24" ht="15" customHeight="1">
      <c r="G46026"/>
      <c r="I46026"/>
      <c r="N46026"/>
      <c r="O46026" s="24"/>
      <c r="P46026"/>
      <c r="Q46026" s="24"/>
      <c r="R46026"/>
      <c r="S46026"/>
      <c r="T46026"/>
      <c r="U46026"/>
      <c r="X46026" s="60"/>
    </row>
    <row r="46027" spans="7:24" ht="15" customHeight="1">
      <c r="G46027"/>
      <c r="I46027"/>
      <c r="N46027"/>
      <c r="O46027" s="24"/>
      <c r="P46027"/>
      <c r="Q46027" s="24"/>
      <c r="R46027"/>
      <c r="S46027"/>
      <c r="T46027"/>
      <c r="U46027"/>
      <c r="X46027" s="60"/>
    </row>
    <row r="46028" spans="7:24" ht="15" customHeight="1">
      <c r="G46028"/>
      <c r="I46028"/>
      <c r="N46028"/>
      <c r="O46028" s="24"/>
      <c r="P46028"/>
      <c r="Q46028" s="24"/>
      <c r="R46028"/>
      <c r="S46028"/>
      <c r="T46028"/>
      <c r="U46028"/>
      <c r="X46028" s="60"/>
    </row>
    <row r="46029" spans="7:24" ht="15" customHeight="1">
      <c r="G46029"/>
      <c r="I46029"/>
      <c r="N46029"/>
      <c r="O46029" s="24"/>
      <c r="P46029"/>
      <c r="Q46029" s="24"/>
      <c r="R46029"/>
      <c r="S46029"/>
      <c r="T46029"/>
      <c r="U46029"/>
      <c r="X46029" s="60"/>
    </row>
    <row r="46030" spans="7:24" ht="15" customHeight="1">
      <c r="G46030"/>
      <c r="I46030"/>
      <c r="N46030"/>
      <c r="O46030" s="24"/>
      <c r="P46030"/>
      <c r="Q46030" s="24"/>
      <c r="R46030"/>
      <c r="S46030"/>
      <c r="T46030"/>
      <c r="U46030"/>
      <c r="X46030" s="60"/>
    </row>
    <row r="46031" spans="7:24" ht="15" customHeight="1">
      <c r="G46031"/>
      <c r="I46031"/>
      <c r="N46031"/>
      <c r="O46031" s="24"/>
      <c r="P46031"/>
      <c r="Q46031" s="24"/>
      <c r="R46031"/>
      <c r="S46031"/>
      <c r="T46031"/>
      <c r="U46031"/>
      <c r="X46031" s="60"/>
    </row>
    <row r="46032" spans="7:24" ht="15" customHeight="1">
      <c r="G46032"/>
      <c r="I46032"/>
      <c r="N46032"/>
      <c r="O46032" s="24"/>
      <c r="P46032"/>
      <c r="Q46032" s="24"/>
      <c r="R46032"/>
      <c r="S46032"/>
      <c r="T46032"/>
      <c r="U46032"/>
      <c r="X46032" s="60"/>
    </row>
    <row r="46033" spans="7:24" ht="15" customHeight="1">
      <c r="G46033"/>
      <c r="I46033"/>
      <c r="N46033"/>
      <c r="O46033" s="24"/>
      <c r="P46033"/>
      <c r="Q46033" s="24"/>
      <c r="R46033"/>
      <c r="S46033"/>
      <c r="T46033"/>
      <c r="U46033"/>
      <c r="X46033" s="60"/>
    </row>
    <row r="46034" spans="7:24" ht="15" customHeight="1">
      <c r="G46034"/>
      <c r="I46034"/>
      <c r="N46034"/>
      <c r="O46034" s="24"/>
      <c r="P46034"/>
      <c r="Q46034" s="24"/>
      <c r="R46034"/>
      <c r="S46034"/>
      <c r="T46034"/>
      <c r="U46034"/>
      <c r="X46034" s="60"/>
    </row>
    <row r="46035" spans="7:24" ht="15" customHeight="1">
      <c r="G46035"/>
      <c r="I46035"/>
      <c r="N46035"/>
      <c r="O46035" s="24"/>
      <c r="P46035"/>
      <c r="Q46035" s="24"/>
      <c r="R46035"/>
      <c r="S46035"/>
      <c r="T46035"/>
      <c r="U46035"/>
      <c r="X46035" s="60"/>
    </row>
    <row r="46036" spans="7:24" ht="15" customHeight="1">
      <c r="G46036"/>
      <c r="I46036"/>
      <c r="N46036"/>
      <c r="O46036" s="24"/>
      <c r="P46036"/>
      <c r="Q46036" s="24"/>
      <c r="R46036"/>
      <c r="S46036"/>
      <c r="T46036"/>
      <c r="U46036"/>
      <c r="X46036" s="60"/>
    </row>
    <row r="46037" spans="7:24" ht="15" customHeight="1">
      <c r="G46037"/>
      <c r="I46037"/>
      <c r="N46037"/>
      <c r="O46037" s="24"/>
      <c r="P46037"/>
      <c r="Q46037" s="24"/>
      <c r="R46037"/>
      <c r="S46037"/>
      <c r="T46037"/>
      <c r="U46037"/>
      <c r="X46037" s="60"/>
    </row>
    <row r="46038" spans="7:24" ht="15" customHeight="1">
      <c r="G46038"/>
      <c r="I46038"/>
      <c r="N46038"/>
      <c r="O46038" s="24"/>
      <c r="P46038"/>
      <c r="Q46038" s="24"/>
      <c r="R46038"/>
      <c r="S46038"/>
      <c r="T46038"/>
      <c r="U46038"/>
      <c r="X46038" s="60"/>
    </row>
    <row r="46039" spans="7:24" ht="15" customHeight="1">
      <c r="G46039"/>
      <c r="I46039"/>
      <c r="N46039"/>
      <c r="O46039" s="24"/>
      <c r="P46039"/>
      <c r="Q46039" s="24"/>
      <c r="R46039"/>
      <c r="S46039"/>
      <c r="T46039"/>
      <c r="U46039"/>
      <c r="X46039" s="60"/>
    </row>
    <row r="46040" spans="7:24" ht="15" customHeight="1">
      <c r="G46040"/>
      <c r="I46040"/>
      <c r="N46040"/>
      <c r="O46040" s="24"/>
      <c r="P46040"/>
      <c r="Q46040" s="24"/>
      <c r="R46040"/>
      <c r="S46040"/>
      <c r="T46040"/>
      <c r="U46040"/>
      <c r="X46040" s="60"/>
    </row>
    <row r="46041" spans="7:24" ht="15" customHeight="1">
      <c r="G46041"/>
      <c r="I46041"/>
      <c r="N46041"/>
      <c r="O46041" s="24"/>
      <c r="P46041"/>
      <c r="Q46041" s="24"/>
      <c r="R46041"/>
      <c r="S46041"/>
      <c r="T46041"/>
      <c r="U46041"/>
      <c r="X46041" s="60"/>
    </row>
    <row r="46042" spans="7:24" ht="15" customHeight="1">
      <c r="G46042"/>
      <c r="I46042"/>
      <c r="N46042"/>
      <c r="O46042" s="24"/>
      <c r="P46042"/>
      <c r="Q46042" s="24"/>
      <c r="R46042"/>
      <c r="S46042"/>
      <c r="T46042"/>
      <c r="U46042"/>
      <c r="X46042" s="60"/>
    </row>
    <row r="46043" spans="7:24" ht="15" customHeight="1">
      <c r="G46043"/>
      <c r="I46043"/>
      <c r="N46043"/>
      <c r="O46043" s="24"/>
      <c r="P46043"/>
      <c r="Q46043" s="24"/>
      <c r="R46043"/>
      <c r="S46043"/>
      <c r="T46043"/>
      <c r="U46043"/>
      <c r="X46043" s="60"/>
    </row>
    <row r="46044" spans="7:24" ht="15" customHeight="1">
      <c r="G46044"/>
      <c r="I46044"/>
      <c r="N46044"/>
      <c r="O46044" s="24"/>
      <c r="P46044"/>
      <c r="Q46044" s="24"/>
      <c r="R46044"/>
      <c r="S46044"/>
      <c r="T46044"/>
      <c r="U46044"/>
      <c r="X46044" s="60"/>
    </row>
    <row r="46045" spans="7:24" ht="15" customHeight="1">
      <c r="G46045"/>
      <c r="I46045"/>
      <c r="N46045"/>
      <c r="O46045" s="24"/>
      <c r="P46045"/>
      <c r="Q46045" s="24"/>
      <c r="R46045"/>
      <c r="S46045"/>
      <c r="T46045"/>
      <c r="U46045"/>
      <c r="X46045" s="60"/>
    </row>
    <row r="46046" spans="7:24" ht="15" customHeight="1">
      <c r="G46046"/>
      <c r="I46046"/>
      <c r="N46046"/>
      <c r="O46046" s="24"/>
      <c r="P46046"/>
      <c r="Q46046" s="24"/>
      <c r="R46046"/>
      <c r="S46046"/>
      <c r="T46046"/>
      <c r="U46046"/>
      <c r="X46046" s="60"/>
    </row>
    <row r="46047" spans="7:24" ht="15" customHeight="1">
      <c r="G46047"/>
      <c r="I46047"/>
      <c r="N46047"/>
      <c r="O46047" s="24"/>
      <c r="P46047"/>
      <c r="Q46047" s="24"/>
      <c r="R46047"/>
      <c r="S46047"/>
      <c r="T46047"/>
      <c r="U46047"/>
      <c r="X46047" s="60"/>
    </row>
    <row r="46048" spans="7:24" ht="15" customHeight="1">
      <c r="G46048"/>
      <c r="I46048"/>
      <c r="N46048"/>
      <c r="O46048" s="24"/>
      <c r="P46048"/>
      <c r="Q46048" s="24"/>
      <c r="R46048"/>
      <c r="S46048"/>
      <c r="T46048"/>
      <c r="U46048"/>
      <c r="X46048" s="60"/>
    </row>
    <row r="46049" spans="7:24" ht="15" customHeight="1">
      <c r="G46049"/>
      <c r="I46049"/>
      <c r="N46049"/>
      <c r="O46049" s="24"/>
      <c r="P46049"/>
      <c r="Q46049" s="24"/>
      <c r="R46049"/>
      <c r="S46049"/>
      <c r="T46049"/>
      <c r="U46049"/>
      <c r="X46049" s="60"/>
    </row>
    <row r="46050" spans="7:24" ht="15" customHeight="1">
      <c r="G46050"/>
      <c r="I46050"/>
      <c r="N46050"/>
      <c r="O46050" s="24"/>
      <c r="P46050"/>
      <c r="Q46050" s="24"/>
      <c r="R46050"/>
      <c r="S46050"/>
      <c r="T46050"/>
      <c r="U46050"/>
      <c r="X46050" s="60"/>
    </row>
    <row r="46051" spans="7:24" ht="15" customHeight="1">
      <c r="G46051"/>
      <c r="I46051"/>
      <c r="N46051"/>
      <c r="O46051" s="24"/>
      <c r="P46051"/>
      <c r="Q46051" s="24"/>
      <c r="R46051"/>
      <c r="S46051"/>
      <c r="T46051"/>
      <c r="U46051"/>
      <c r="X46051" s="60"/>
    </row>
    <row r="46052" spans="7:24" ht="15" customHeight="1">
      <c r="G46052"/>
      <c r="I46052"/>
      <c r="N46052"/>
      <c r="O46052" s="24"/>
      <c r="P46052"/>
      <c r="Q46052" s="24"/>
      <c r="R46052"/>
      <c r="S46052"/>
      <c r="T46052"/>
      <c r="U46052"/>
      <c r="X46052" s="60"/>
    </row>
    <row r="46053" spans="7:24" ht="15" customHeight="1">
      <c r="G46053"/>
      <c r="I46053"/>
      <c r="N46053"/>
      <c r="O46053" s="24"/>
      <c r="P46053"/>
      <c r="Q46053" s="24"/>
      <c r="R46053"/>
      <c r="S46053"/>
      <c r="T46053"/>
      <c r="U46053"/>
      <c r="X46053" s="60"/>
    </row>
    <row r="46054" spans="7:24" ht="15" customHeight="1">
      <c r="G46054"/>
      <c r="I46054"/>
      <c r="N46054"/>
      <c r="O46054" s="24"/>
      <c r="P46054"/>
      <c r="Q46054" s="24"/>
      <c r="R46054"/>
      <c r="S46054"/>
      <c r="T46054"/>
      <c r="U46054"/>
      <c r="X46054" s="60"/>
    </row>
    <row r="46055" spans="7:24" ht="15" customHeight="1">
      <c r="G46055"/>
      <c r="I46055"/>
      <c r="N46055"/>
      <c r="O46055" s="24"/>
      <c r="P46055"/>
      <c r="Q46055" s="24"/>
      <c r="R46055"/>
      <c r="S46055"/>
      <c r="T46055"/>
      <c r="U46055"/>
      <c r="X46055" s="60"/>
    </row>
    <row r="46056" spans="7:24" ht="15" customHeight="1">
      <c r="G46056"/>
      <c r="I46056"/>
      <c r="N46056"/>
      <c r="O46056" s="24"/>
      <c r="P46056"/>
      <c r="Q46056" s="24"/>
      <c r="R46056"/>
      <c r="S46056"/>
      <c r="T46056"/>
      <c r="U46056"/>
      <c r="X46056" s="60"/>
    </row>
    <row r="46057" spans="7:24" ht="15" customHeight="1">
      <c r="G46057"/>
      <c r="I46057"/>
      <c r="N46057"/>
      <c r="O46057" s="24"/>
      <c r="P46057"/>
      <c r="Q46057" s="24"/>
      <c r="R46057"/>
      <c r="S46057"/>
      <c r="T46057"/>
      <c r="U46057"/>
      <c r="X46057" s="60"/>
    </row>
    <row r="46058" spans="7:24" ht="15" customHeight="1">
      <c r="G46058"/>
      <c r="I46058"/>
      <c r="N46058"/>
      <c r="O46058" s="24"/>
      <c r="P46058"/>
      <c r="Q46058" s="24"/>
      <c r="R46058"/>
      <c r="S46058"/>
      <c r="T46058"/>
      <c r="U46058"/>
      <c r="X46058" s="60"/>
    </row>
    <row r="46059" spans="7:24" ht="15" customHeight="1">
      <c r="G46059"/>
      <c r="I46059"/>
      <c r="N46059"/>
      <c r="O46059" s="24"/>
      <c r="P46059"/>
      <c r="Q46059" s="24"/>
      <c r="R46059"/>
      <c r="S46059"/>
      <c r="T46059"/>
      <c r="U46059"/>
      <c r="X46059" s="60"/>
    </row>
    <row r="46060" spans="7:24" ht="15" customHeight="1">
      <c r="G46060"/>
      <c r="I46060"/>
      <c r="N46060"/>
      <c r="O46060" s="24"/>
      <c r="P46060"/>
      <c r="Q46060" s="24"/>
      <c r="R46060"/>
      <c r="S46060"/>
      <c r="T46060"/>
      <c r="U46060"/>
      <c r="X46060" s="60"/>
    </row>
    <row r="46061" spans="7:24" ht="15" customHeight="1">
      <c r="G46061"/>
      <c r="I46061"/>
      <c r="N46061"/>
      <c r="O46061" s="24"/>
      <c r="P46061"/>
      <c r="Q46061" s="24"/>
      <c r="R46061"/>
      <c r="S46061"/>
      <c r="T46061"/>
      <c r="U46061"/>
      <c r="X46061" s="60"/>
    </row>
    <row r="46062" spans="7:24" ht="15" customHeight="1">
      <c r="G46062"/>
      <c r="I46062"/>
      <c r="N46062"/>
      <c r="O46062" s="24"/>
      <c r="P46062"/>
      <c r="Q46062" s="24"/>
      <c r="R46062"/>
      <c r="S46062"/>
      <c r="T46062"/>
      <c r="U46062"/>
      <c r="X46062" s="60"/>
    </row>
    <row r="46063" spans="7:24" ht="15" customHeight="1">
      <c r="G46063"/>
      <c r="I46063"/>
      <c r="N46063"/>
      <c r="O46063" s="24"/>
      <c r="P46063"/>
      <c r="Q46063" s="24"/>
      <c r="R46063"/>
      <c r="S46063"/>
      <c r="T46063"/>
      <c r="U46063"/>
      <c r="X46063" s="60"/>
    </row>
    <row r="46064" spans="7:24" ht="15" customHeight="1">
      <c r="G46064"/>
      <c r="I46064"/>
      <c r="N46064"/>
      <c r="O46064" s="24"/>
      <c r="P46064"/>
      <c r="Q46064" s="24"/>
      <c r="R46064"/>
      <c r="S46064"/>
      <c r="T46064"/>
      <c r="U46064"/>
      <c r="X46064" s="60"/>
    </row>
    <row r="46065" spans="7:24" ht="15" customHeight="1">
      <c r="G46065"/>
      <c r="I46065"/>
      <c r="N46065"/>
      <c r="O46065" s="24"/>
      <c r="P46065"/>
      <c r="Q46065" s="24"/>
      <c r="R46065"/>
      <c r="S46065"/>
      <c r="T46065"/>
      <c r="U46065"/>
      <c r="X46065" s="60"/>
    </row>
    <row r="46066" spans="7:24" ht="15" customHeight="1">
      <c r="G46066"/>
      <c r="I46066"/>
      <c r="N46066"/>
      <c r="O46066" s="24"/>
      <c r="P46066"/>
      <c r="Q46066" s="24"/>
      <c r="R46066"/>
      <c r="S46066"/>
      <c r="T46066"/>
      <c r="U46066"/>
      <c r="X46066" s="60"/>
    </row>
    <row r="46068" spans="7:24" ht="15" customHeight="1">
      <c r="G46068"/>
      <c r="I46068"/>
      <c r="N46068"/>
      <c r="O46068" s="24"/>
      <c r="P46068"/>
      <c r="Q46068" s="24"/>
      <c r="R46068"/>
      <c r="S46068"/>
      <c r="T46068"/>
      <c r="U46068"/>
      <c r="X46068" s="60"/>
    </row>
    <row r="46069" spans="7:24" ht="15" customHeight="1">
      <c r="G46069"/>
      <c r="I46069"/>
      <c r="N46069"/>
      <c r="O46069" s="24"/>
      <c r="P46069"/>
      <c r="Q46069" s="24"/>
      <c r="R46069"/>
      <c r="S46069"/>
      <c r="T46069"/>
      <c r="U46069"/>
      <c r="X46069" s="60"/>
    </row>
    <row r="46070" spans="7:24" ht="15" customHeight="1">
      <c r="G46070"/>
      <c r="I46070"/>
      <c r="N46070"/>
      <c r="O46070" s="24"/>
      <c r="P46070"/>
      <c r="Q46070" s="24"/>
      <c r="R46070"/>
      <c r="S46070"/>
      <c r="T46070"/>
      <c r="U46070"/>
      <c r="X46070" s="60"/>
    </row>
    <row r="46071" spans="7:24" ht="15" customHeight="1">
      <c r="G46071"/>
      <c r="I46071"/>
      <c r="N46071"/>
      <c r="O46071" s="24"/>
      <c r="P46071"/>
      <c r="Q46071" s="24"/>
      <c r="R46071"/>
      <c r="S46071"/>
      <c r="T46071"/>
      <c r="U46071"/>
      <c r="X46071" s="60"/>
    </row>
    <row r="46072" spans="7:24" ht="15" customHeight="1">
      <c r="G46072"/>
      <c r="I46072"/>
      <c r="N46072"/>
      <c r="O46072" s="24"/>
      <c r="P46072"/>
      <c r="Q46072" s="24"/>
      <c r="R46072"/>
      <c r="S46072"/>
      <c r="T46072"/>
      <c r="U46072"/>
      <c r="X46072" s="60"/>
    </row>
    <row r="46073" spans="7:24" ht="15" customHeight="1">
      <c r="G46073"/>
      <c r="I46073"/>
      <c r="N46073"/>
      <c r="O46073" s="24"/>
      <c r="P46073"/>
      <c r="Q46073" s="24"/>
      <c r="R46073"/>
      <c r="S46073"/>
      <c r="T46073"/>
      <c r="U46073"/>
      <c r="X46073" s="60"/>
    </row>
    <row r="46074" spans="7:24" ht="15" customHeight="1">
      <c r="G46074"/>
      <c r="I46074"/>
      <c r="N46074"/>
      <c r="O46074" s="24"/>
      <c r="P46074"/>
      <c r="Q46074" s="24"/>
      <c r="R46074"/>
      <c r="S46074"/>
      <c r="T46074"/>
      <c r="U46074"/>
      <c r="W46074" s="57"/>
      <c r="X46074" s="57"/>
    </row>
    <row r="46075" spans="7:24" ht="15" customHeight="1">
      <c r="G46075"/>
      <c r="I46075"/>
      <c r="N46075"/>
      <c r="O46075" s="24"/>
      <c r="P46075"/>
      <c r="Q46075" s="24"/>
      <c r="R46075"/>
      <c r="S46075"/>
      <c r="T46075"/>
      <c r="U46075"/>
      <c r="W46075" s="57"/>
      <c r="X46075" s="57"/>
    </row>
    <row r="46076" spans="7:24" ht="15" customHeight="1">
      <c r="G46076"/>
      <c r="I46076"/>
      <c r="N46076"/>
      <c r="O46076" s="24"/>
      <c r="P46076"/>
      <c r="Q46076" s="24"/>
      <c r="R46076"/>
      <c r="S46076"/>
      <c r="T46076"/>
      <c r="U46076"/>
      <c r="W46076" s="57"/>
      <c r="X46076" s="57"/>
    </row>
    <row r="46077" spans="7:24" ht="15" customHeight="1">
      <c r="G46077"/>
      <c r="I46077"/>
      <c r="N46077"/>
      <c r="O46077" s="24"/>
      <c r="P46077"/>
      <c r="Q46077" s="24"/>
      <c r="R46077"/>
      <c r="S46077"/>
      <c r="T46077"/>
      <c r="U46077"/>
      <c r="W46077" s="57"/>
      <c r="X46077" s="57"/>
    </row>
    <row r="46078" spans="7:24" ht="15" customHeight="1">
      <c r="G46078"/>
      <c r="I46078"/>
      <c r="N46078"/>
      <c r="O46078" s="24"/>
      <c r="P46078"/>
      <c r="Q46078" s="24"/>
      <c r="R46078"/>
      <c r="S46078"/>
      <c r="T46078"/>
      <c r="U46078"/>
      <c r="W46078" s="57"/>
      <c r="X46078" s="57"/>
    </row>
    <row r="46079" spans="7:24" ht="15" customHeight="1">
      <c r="G46079"/>
      <c r="I46079"/>
      <c r="N46079"/>
      <c r="O46079" s="24"/>
      <c r="P46079"/>
      <c r="Q46079" s="24"/>
      <c r="R46079"/>
      <c r="S46079"/>
      <c r="T46079"/>
      <c r="U46079"/>
      <c r="W46079" s="57"/>
      <c r="X46079" s="57"/>
    </row>
    <row r="46080" spans="7:24" ht="15" customHeight="1">
      <c r="G46080"/>
      <c r="I46080"/>
      <c r="N46080"/>
      <c r="O46080" s="24"/>
      <c r="P46080"/>
      <c r="Q46080" s="24"/>
      <c r="R46080"/>
      <c r="S46080"/>
      <c r="T46080"/>
      <c r="U46080"/>
      <c r="W46080" s="57"/>
      <c r="X46080" s="57"/>
    </row>
    <row r="46427" spans="1:22" ht="15" customHeight="1">
      <c r="A46427" s="57"/>
      <c r="B46427" s="57"/>
      <c r="C46427" s="57"/>
      <c r="D46427" s="57"/>
      <c r="E46427" s="57"/>
      <c r="F46427" s="57"/>
      <c r="G46427" s="67"/>
      <c r="H46427" s="57"/>
      <c r="I46427" s="69"/>
      <c r="J46427" s="57"/>
      <c r="K46427" s="57"/>
      <c r="L46427" s="57"/>
      <c r="M46427" s="57"/>
      <c r="N46427" s="70"/>
      <c r="O46427" s="71"/>
      <c r="P46427" s="70"/>
      <c r="Q46427" s="71"/>
      <c r="R46427" s="70"/>
      <c r="S46427" s="70"/>
      <c r="T46427" s="70"/>
      <c r="U46427" s="70"/>
      <c r="V46427" s="57"/>
    </row>
    <row r="46428" spans="1:22" ht="15" customHeight="1">
      <c r="A46428" s="57"/>
      <c r="B46428" s="57"/>
      <c r="C46428" s="57"/>
      <c r="D46428" s="57"/>
      <c r="E46428" s="57"/>
      <c r="F46428" s="57"/>
      <c r="G46428" s="67"/>
      <c r="H46428" s="57"/>
      <c r="I46428" s="69"/>
      <c r="J46428" s="57"/>
      <c r="K46428" s="57"/>
      <c r="L46428" s="57"/>
      <c r="M46428" s="57"/>
      <c r="N46428" s="70"/>
      <c r="O46428" s="71"/>
      <c r="P46428" s="70"/>
      <c r="Q46428" s="71"/>
      <c r="R46428" s="70"/>
      <c r="S46428" s="70"/>
      <c r="T46428" s="70"/>
      <c r="U46428" s="70"/>
      <c r="V46428" s="57"/>
    </row>
    <row r="46429" spans="1:22" ht="15" customHeight="1">
      <c r="A46429" s="57"/>
      <c r="B46429" s="57"/>
      <c r="C46429" s="57"/>
      <c r="D46429" s="57"/>
      <c r="E46429" s="57"/>
      <c r="F46429" s="57"/>
      <c r="G46429" s="67"/>
      <c r="H46429" s="57"/>
      <c r="I46429" s="69"/>
      <c r="J46429" s="57"/>
      <c r="K46429" s="57"/>
      <c r="L46429" s="57"/>
      <c r="M46429" s="57"/>
      <c r="N46429" s="70"/>
      <c r="O46429" s="71"/>
      <c r="P46429" s="70"/>
      <c r="Q46429" s="71"/>
      <c r="R46429" s="70"/>
      <c r="S46429" s="70"/>
      <c r="T46429" s="70"/>
      <c r="U46429" s="70"/>
      <c r="V46429" s="57"/>
    </row>
    <row r="46430" spans="1:22" ht="15" customHeight="1">
      <c r="A46430" s="57"/>
      <c r="B46430" s="57"/>
      <c r="C46430" s="57"/>
      <c r="D46430" s="57"/>
      <c r="E46430" s="57"/>
      <c r="F46430" s="57"/>
      <c r="G46430" s="68"/>
      <c r="H46430" s="57"/>
      <c r="I46430" s="69"/>
      <c r="J46430" s="57"/>
      <c r="K46430" s="57"/>
      <c r="L46430" s="57"/>
      <c r="M46430" s="57"/>
      <c r="N46430" s="70"/>
      <c r="O46430" s="71"/>
      <c r="P46430" s="70"/>
      <c r="Q46430" s="71"/>
      <c r="R46430" s="70"/>
      <c r="S46430" s="70"/>
      <c r="T46430" s="70"/>
      <c r="U46430" s="70"/>
      <c r="V46430" s="57"/>
    </row>
    <row r="46431" spans="1:22" ht="15" customHeight="1">
      <c r="A46431" s="57"/>
      <c r="B46431" s="57"/>
      <c r="C46431" s="57"/>
      <c r="D46431" s="57"/>
      <c r="E46431" s="57"/>
      <c r="F46431" s="57"/>
      <c r="G46431" s="68"/>
      <c r="H46431" s="57"/>
      <c r="I46431" s="69"/>
      <c r="J46431" s="57"/>
      <c r="K46431" s="57"/>
      <c r="L46431" s="57"/>
      <c r="M46431" s="57"/>
      <c r="N46431" s="70"/>
      <c r="O46431" s="71"/>
      <c r="P46431" s="70"/>
      <c r="Q46431" s="71"/>
      <c r="R46431" s="70"/>
      <c r="S46431" s="70"/>
      <c r="T46431" s="70"/>
      <c r="U46431" s="70"/>
      <c r="V46431" s="57"/>
    </row>
    <row r="46432" spans="1:22" ht="15" customHeight="1">
      <c r="A46432" s="57"/>
      <c r="B46432" s="57"/>
      <c r="C46432" s="57"/>
      <c r="D46432" s="57"/>
      <c r="E46432" s="57"/>
      <c r="F46432" s="57"/>
      <c r="G46432" s="68"/>
      <c r="H46432" s="57"/>
      <c r="I46432" s="69"/>
      <c r="J46432" s="57"/>
      <c r="K46432" s="57"/>
      <c r="L46432" s="57"/>
      <c r="M46432" s="57"/>
      <c r="N46432" s="70"/>
      <c r="O46432" s="71"/>
      <c r="P46432" s="70"/>
      <c r="Q46432" s="71"/>
      <c r="R46432" s="70"/>
      <c r="S46432" s="70"/>
      <c r="T46432" s="70"/>
      <c r="U46432" s="70"/>
      <c r="V46432" s="57"/>
    </row>
    <row r="48861" spans="1:24" s="57" customFormat="1" ht="15" customHeight="1">
      <c r="A48861"/>
      <c r="B48861"/>
      <c r="C48861"/>
      <c r="D48861"/>
      <c r="E48861"/>
      <c r="F48861"/>
      <c r="G48861" s="3"/>
      <c r="H48861"/>
      <c r="I48861" s="58"/>
      <c r="J48861"/>
      <c r="K48861"/>
      <c r="L48861"/>
      <c r="M48861"/>
      <c r="N48861" s="15"/>
      <c r="O48861" s="59"/>
      <c r="P48861" s="15"/>
      <c r="Q48861" s="59"/>
      <c r="R48861" s="15"/>
      <c r="S48861" s="15"/>
      <c r="T48861" s="15"/>
      <c r="U48861" s="15"/>
      <c r="V48861"/>
      <c r="W48861"/>
      <c r="X48861"/>
    </row>
    <row r="48862" spans="1:24" s="57" customFormat="1" ht="15" customHeight="1">
      <c r="A48862"/>
      <c r="B48862"/>
      <c r="C48862"/>
      <c r="D48862"/>
      <c r="E48862"/>
      <c r="F48862"/>
      <c r="G48862" s="3"/>
      <c r="H48862"/>
      <c r="I48862" s="58"/>
      <c r="J48862"/>
      <c r="K48862"/>
      <c r="L48862"/>
      <c r="M48862"/>
      <c r="N48862" s="15"/>
      <c r="O48862" s="59"/>
      <c r="P48862" s="15"/>
      <c r="Q48862" s="59"/>
      <c r="R48862" s="15"/>
      <c r="S48862" s="15"/>
      <c r="T48862" s="15"/>
      <c r="U48862" s="15"/>
      <c r="V48862"/>
      <c r="W48862"/>
      <c r="X48862"/>
    </row>
    <row r="48863" spans="1:24" s="57" customFormat="1" ht="15" customHeight="1">
      <c r="A48863"/>
      <c r="B48863"/>
      <c r="C48863"/>
      <c r="D48863"/>
      <c r="E48863"/>
      <c r="F48863"/>
      <c r="G48863" s="3"/>
      <c r="H48863"/>
      <c r="I48863" s="58"/>
      <c r="J48863"/>
      <c r="K48863"/>
      <c r="L48863"/>
      <c r="M48863"/>
      <c r="N48863" s="15"/>
      <c r="O48863" s="59"/>
      <c r="P48863" s="15"/>
      <c r="Q48863" s="59"/>
      <c r="R48863" s="15"/>
      <c r="S48863" s="15"/>
      <c r="T48863" s="15"/>
      <c r="U48863" s="15"/>
      <c r="V48863"/>
      <c r="W48863"/>
      <c r="X48863"/>
    </row>
    <row r="48864" spans="1:24" s="57" customFormat="1" ht="15" customHeight="1">
      <c r="A48864"/>
      <c r="B48864"/>
      <c r="C48864"/>
      <c r="D48864"/>
      <c r="E48864"/>
      <c r="F48864"/>
      <c r="G48864" s="3"/>
      <c r="H48864"/>
      <c r="I48864" s="58"/>
      <c r="J48864"/>
      <c r="K48864"/>
      <c r="L48864"/>
      <c r="M48864"/>
      <c r="N48864" s="15"/>
      <c r="O48864" s="59"/>
      <c r="P48864" s="15"/>
      <c r="Q48864" s="59"/>
      <c r="R48864" s="15"/>
      <c r="S48864" s="15"/>
      <c r="T48864" s="15"/>
      <c r="U48864" s="15"/>
      <c r="V48864"/>
      <c r="W48864"/>
      <c r="X48864"/>
    </row>
    <row r="48865" spans="1:24" s="57" customFormat="1" ht="15" customHeight="1">
      <c r="A48865"/>
      <c r="B48865"/>
      <c r="C48865"/>
      <c r="D48865"/>
      <c r="E48865"/>
      <c r="F48865"/>
      <c r="G48865" s="3"/>
      <c r="H48865"/>
      <c r="I48865" s="58"/>
      <c r="J48865"/>
      <c r="K48865"/>
      <c r="L48865"/>
      <c r="M48865"/>
      <c r="N48865" s="15"/>
      <c r="O48865" s="59"/>
      <c r="P48865" s="15"/>
      <c r="Q48865" s="59"/>
      <c r="R48865" s="15"/>
      <c r="S48865" s="15"/>
      <c r="T48865" s="15"/>
      <c r="U48865" s="15"/>
      <c r="V48865"/>
      <c r="W48865"/>
      <c r="X48865"/>
    </row>
    <row r="48866" spans="1:24" s="57" customFormat="1" ht="15" customHeight="1">
      <c r="A48866"/>
      <c r="B48866"/>
      <c r="C48866"/>
      <c r="D48866"/>
      <c r="E48866"/>
      <c r="F48866"/>
      <c r="G48866" s="3"/>
      <c r="H48866"/>
      <c r="I48866" s="58"/>
      <c r="J48866"/>
      <c r="K48866"/>
      <c r="L48866"/>
      <c r="M48866"/>
      <c r="N48866" s="15"/>
      <c r="O48866" s="59"/>
      <c r="P48866" s="15"/>
      <c r="Q48866" s="59"/>
      <c r="R48866" s="15"/>
      <c r="S48866" s="15"/>
      <c r="T48866" s="15"/>
      <c r="U48866" s="15"/>
      <c r="V48866"/>
      <c r="W48866"/>
      <c r="X48866"/>
    </row>
  </sheetData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29"/>
  <sheetViews>
    <sheetView showGridLines="0" topLeftCell="I1" zoomScale="80" zoomScaleNormal="80" workbookViewId="0">
      <pane ySplit="1" topLeftCell="A208" activePane="bottomLeft" state="frozen"/>
      <selection pane="bottomLeft" activeCell="K225" sqref="K225"/>
    </sheetView>
  </sheetViews>
  <sheetFormatPr baseColWidth="10" defaultColWidth="11.42578125" defaultRowHeight="15"/>
  <cols>
    <col min="1" max="1" width="13.140625" customWidth="1"/>
    <col min="4" max="4" width="13" customWidth="1"/>
    <col min="5" max="5" width="8.5703125" customWidth="1"/>
    <col min="6" max="6" width="24" customWidth="1"/>
    <col min="7" max="7" width="13.85546875" customWidth="1"/>
    <col min="9" max="9" width="7.85546875" customWidth="1"/>
    <col min="10" max="10" width="15" customWidth="1"/>
    <col min="11" max="11" width="12.5703125" customWidth="1"/>
    <col min="12" max="12" width="15.85546875" customWidth="1"/>
    <col min="14" max="14" width="16.5703125" customWidth="1"/>
    <col min="15" max="15" width="16.7109375" customWidth="1"/>
    <col min="16" max="16" width="10.5703125" customWidth="1"/>
    <col min="17" max="17" width="12.5703125" customWidth="1"/>
    <col min="18" max="18" width="13.28515625" customWidth="1"/>
    <col min="19" max="20" width="16.5703125" customWidth="1"/>
    <col min="23" max="23" width="15.140625" customWidth="1"/>
    <col min="24" max="24" width="9.85546875" customWidth="1"/>
  </cols>
  <sheetData>
    <row r="1" spans="1:24" ht="33.75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75</v>
      </c>
      <c r="D2" s="2">
        <v>4944281732</v>
      </c>
      <c r="E2" s="2" t="s">
        <v>6</v>
      </c>
      <c r="F2" s="2" t="s">
        <v>76</v>
      </c>
      <c r="G2" s="28" t="s">
        <v>9</v>
      </c>
      <c r="H2" s="2" t="s">
        <v>23</v>
      </c>
      <c r="I2" s="2">
        <v>6</v>
      </c>
      <c r="J2" s="2"/>
      <c r="K2" s="2">
        <v>7322.4</v>
      </c>
      <c r="L2" s="35">
        <v>23209079.039999999</v>
      </c>
      <c r="M2" s="36">
        <v>3564</v>
      </c>
      <c r="N2" s="37">
        <v>834923</v>
      </c>
      <c r="O2" s="37">
        <v>0</v>
      </c>
      <c r="P2" s="37">
        <v>153495</v>
      </c>
      <c r="Q2" s="37">
        <v>47977</v>
      </c>
      <c r="R2" s="37">
        <v>115293</v>
      </c>
      <c r="S2" s="37">
        <v>343435</v>
      </c>
      <c r="T2" s="40">
        <v>30000</v>
      </c>
      <c r="U2" s="37">
        <v>1940000</v>
      </c>
      <c r="V2" s="37">
        <v>0</v>
      </c>
      <c r="W2" s="45">
        <v>3465123</v>
      </c>
      <c r="X2" s="46">
        <v>14.9300323120447</v>
      </c>
    </row>
    <row r="3" spans="1:24">
      <c r="A3" s="28" t="s">
        <v>63</v>
      </c>
      <c r="B3" s="29">
        <v>3169.6</v>
      </c>
      <c r="C3" s="30" t="s">
        <v>83</v>
      </c>
      <c r="D3" s="2">
        <v>4945575562</v>
      </c>
      <c r="E3" s="2" t="s">
        <v>6</v>
      </c>
      <c r="F3" s="2" t="s">
        <v>84</v>
      </c>
      <c r="G3" s="28" t="s">
        <v>5</v>
      </c>
      <c r="H3" s="2" t="s">
        <v>20</v>
      </c>
      <c r="I3" s="2">
        <v>1</v>
      </c>
      <c r="J3" s="2" t="s">
        <v>85</v>
      </c>
      <c r="K3" s="2">
        <v>27636</v>
      </c>
      <c r="L3" s="35">
        <v>87595065.599999994</v>
      </c>
      <c r="M3" s="36">
        <v>197.4</v>
      </c>
      <c r="N3" s="37">
        <v>542497</v>
      </c>
      <c r="O3" s="37">
        <v>371569</v>
      </c>
      <c r="P3" s="37">
        <v>573754</v>
      </c>
      <c r="Q3" s="37">
        <v>104356</v>
      </c>
      <c r="R3" s="37">
        <v>792108</v>
      </c>
      <c r="S3" s="37">
        <v>343435</v>
      </c>
      <c r="T3" s="40">
        <v>30000</v>
      </c>
      <c r="U3" s="37">
        <v>1878000</v>
      </c>
      <c r="V3" s="37">
        <v>0</v>
      </c>
      <c r="W3" s="45">
        <v>4635719</v>
      </c>
      <c r="X3" s="46">
        <v>5.29221477060005</v>
      </c>
    </row>
    <row r="4" spans="1:24">
      <c r="A4" s="28" t="s">
        <v>63</v>
      </c>
      <c r="B4" s="29">
        <v>3169.6</v>
      </c>
      <c r="C4" s="30" t="s">
        <v>112</v>
      </c>
      <c r="D4" s="2">
        <v>4941330549</v>
      </c>
      <c r="E4" s="2" t="s">
        <v>6</v>
      </c>
      <c r="F4" s="78" t="s">
        <v>113</v>
      </c>
      <c r="G4" s="28" t="s">
        <v>5</v>
      </c>
      <c r="H4" s="2" t="s">
        <v>17</v>
      </c>
      <c r="I4" s="2">
        <v>1</v>
      </c>
      <c r="J4" s="2" t="s">
        <v>114</v>
      </c>
      <c r="K4" s="2">
        <v>12161.8</v>
      </c>
      <c r="L4" s="35">
        <v>38548041.280000001</v>
      </c>
      <c r="M4" s="36">
        <v>8330</v>
      </c>
      <c r="N4" s="37">
        <v>471497</v>
      </c>
      <c r="O4" s="37">
        <v>521896</v>
      </c>
      <c r="P4" s="37">
        <v>569033</v>
      </c>
      <c r="Q4" s="37">
        <v>124137</v>
      </c>
      <c r="R4" s="37">
        <v>860312</v>
      </c>
      <c r="S4" s="37">
        <v>343435</v>
      </c>
      <c r="T4" s="40">
        <v>30000</v>
      </c>
      <c r="U4" s="37">
        <v>4054050</v>
      </c>
      <c r="V4" s="37">
        <v>0</v>
      </c>
      <c r="W4" s="45">
        <v>6974360</v>
      </c>
      <c r="X4" s="46">
        <v>18.0926443171019</v>
      </c>
    </row>
    <row r="5" spans="1:24">
      <c r="A5" s="28" t="s">
        <v>63</v>
      </c>
      <c r="B5" s="29">
        <v>3169.6</v>
      </c>
      <c r="C5" s="30" t="s">
        <v>259</v>
      </c>
      <c r="D5" s="2">
        <v>4941330543</v>
      </c>
      <c r="E5" s="2" t="s">
        <v>6</v>
      </c>
      <c r="F5" s="2" t="s">
        <v>260</v>
      </c>
      <c r="G5" s="28" t="s">
        <v>5</v>
      </c>
      <c r="H5" s="2" t="s">
        <v>20</v>
      </c>
      <c r="I5" s="2">
        <v>1</v>
      </c>
      <c r="J5" s="2" t="s">
        <v>261</v>
      </c>
      <c r="K5" s="2">
        <v>7154</v>
      </c>
      <c r="L5" s="35">
        <v>22675318.399999999</v>
      </c>
      <c r="M5" s="36">
        <v>4900</v>
      </c>
      <c r="N5" s="37">
        <v>325162</v>
      </c>
      <c r="O5" s="37">
        <v>394878</v>
      </c>
      <c r="P5" s="37">
        <v>0</v>
      </c>
      <c r="Q5" s="37">
        <v>124137</v>
      </c>
      <c r="R5" s="37">
        <v>642965</v>
      </c>
      <c r="S5" s="37">
        <v>343435</v>
      </c>
      <c r="T5" s="40">
        <v>30000</v>
      </c>
      <c r="U5" s="37">
        <v>2119000</v>
      </c>
      <c r="V5" s="37">
        <v>0</v>
      </c>
      <c r="W5" s="45">
        <v>3979577</v>
      </c>
      <c r="X5" s="46">
        <v>17.550258522499998</v>
      </c>
    </row>
    <row r="6" spans="1:24">
      <c r="A6" s="28" t="s">
        <v>63</v>
      </c>
      <c r="B6" s="29">
        <v>3169.6</v>
      </c>
      <c r="C6" s="30" t="s">
        <v>268</v>
      </c>
      <c r="D6" s="2">
        <v>4944881456</v>
      </c>
      <c r="E6" s="2" t="s">
        <v>6</v>
      </c>
      <c r="F6" s="78" t="s">
        <v>269</v>
      </c>
      <c r="G6" s="28" t="s">
        <v>9</v>
      </c>
      <c r="H6" s="2" t="s">
        <v>23</v>
      </c>
      <c r="I6" s="2">
        <v>1</v>
      </c>
      <c r="J6" s="2"/>
      <c r="K6" s="2">
        <v>2769.6</v>
      </c>
      <c r="L6" s="35">
        <v>8778524.1600000001</v>
      </c>
      <c r="M6" s="36">
        <v>480</v>
      </c>
      <c r="N6" s="37">
        <v>652681</v>
      </c>
      <c r="O6" s="37">
        <v>384</v>
      </c>
      <c r="P6" s="37">
        <v>0</v>
      </c>
      <c r="Q6" s="37">
        <v>11849</v>
      </c>
      <c r="R6" s="37">
        <v>92552</v>
      </c>
      <c r="S6" s="37">
        <v>343435</v>
      </c>
      <c r="T6" s="40">
        <v>30000</v>
      </c>
      <c r="U6" s="37">
        <v>1560000</v>
      </c>
      <c r="V6" s="37">
        <v>0</v>
      </c>
      <c r="W6" s="45">
        <v>2690901</v>
      </c>
      <c r="X6" s="46">
        <v>30.6532277061023</v>
      </c>
    </row>
    <row r="7" spans="1:24">
      <c r="A7" s="28" t="s">
        <v>63</v>
      </c>
      <c r="B7" s="29">
        <v>3169.6</v>
      </c>
      <c r="C7" s="30" t="s">
        <v>272</v>
      </c>
      <c r="D7" s="2">
        <v>4941335869</v>
      </c>
      <c r="E7" s="2" t="s">
        <v>6</v>
      </c>
      <c r="F7" s="2" t="s">
        <v>273</v>
      </c>
      <c r="G7" s="28" t="s">
        <v>5</v>
      </c>
      <c r="H7" s="2" t="s">
        <v>17</v>
      </c>
      <c r="I7" s="2">
        <v>1</v>
      </c>
      <c r="J7" s="2" t="s">
        <v>274</v>
      </c>
      <c r="K7" s="2">
        <v>18866.5</v>
      </c>
      <c r="L7" s="35">
        <v>59799258.399999999</v>
      </c>
      <c r="M7" s="36">
        <v>4850</v>
      </c>
      <c r="N7" s="37">
        <v>330482</v>
      </c>
      <c r="O7" s="37">
        <v>521896</v>
      </c>
      <c r="P7" s="37">
        <v>0</v>
      </c>
      <c r="Q7" s="37">
        <v>124137</v>
      </c>
      <c r="R7" s="37">
        <v>944522</v>
      </c>
      <c r="S7" s="37">
        <v>343435</v>
      </c>
      <c r="T7" s="40">
        <v>30000</v>
      </c>
      <c r="U7" s="37">
        <v>4054050</v>
      </c>
      <c r="V7" s="37">
        <v>0</v>
      </c>
      <c r="W7" s="45">
        <v>6348522</v>
      </c>
      <c r="X7" s="46">
        <v>10.616389182512</v>
      </c>
    </row>
    <row r="8" spans="1:24">
      <c r="A8" s="28" t="s">
        <v>63</v>
      </c>
      <c r="B8" s="29">
        <v>3169.6</v>
      </c>
      <c r="C8" s="30" t="s">
        <v>281</v>
      </c>
      <c r="D8" s="2">
        <v>4947112619</v>
      </c>
      <c r="E8" s="2" t="s">
        <v>6</v>
      </c>
      <c r="F8" s="78" t="s">
        <v>282</v>
      </c>
      <c r="G8" s="28" t="s">
        <v>9</v>
      </c>
      <c r="H8" s="2" t="s">
        <v>23</v>
      </c>
      <c r="I8" s="2">
        <v>3</v>
      </c>
      <c r="J8" s="2"/>
      <c r="K8" s="2">
        <v>33443.71</v>
      </c>
      <c r="L8" s="35">
        <v>106003183.21600001</v>
      </c>
      <c r="M8" s="36">
        <v>345600</v>
      </c>
      <c r="N8" s="37">
        <v>793338</v>
      </c>
      <c r="O8" s="37">
        <v>625</v>
      </c>
      <c r="P8" s="37">
        <v>49417</v>
      </c>
      <c r="Q8" s="37">
        <v>17930</v>
      </c>
      <c r="R8" s="37">
        <v>97451</v>
      </c>
      <c r="S8" s="37">
        <v>343435</v>
      </c>
      <c r="T8" s="40">
        <v>30000</v>
      </c>
      <c r="U8" s="37">
        <v>2085500</v>
      </c>
      <c r="V8" s="37">
        <v>0</v>
      </c>
      <c r="W8" s="45">
        <v>3417696</v>
      </c>
      <c r="X8" s="46">
        <v>3.22414468727401</v>
      </c>
    </row>
    <row r="9" spans="1:24">
      <c r="A9" s="28" t="s">
        <v>63</v>
      </c>
      <c r="B9" s="29">
        <v>3169.6</v>
      </c>
      <c r="C9" s="30" t="s">
        <v>321</v>
      </c>
      <c r="D9" s="2">
        <v>4944904854</v>
      </c>
      <c r="E9" s="2" t="s">
        <v>6</v>
      </c>
      <c r="F9" s="2" t="s">
        <v>322</v>
      </c>
      <c r="G9" s="28" t="s">
        <v>9</v>
      </c>
      <c r="H9" s="2" t="s">
        <v>23</v>
      </c>
      <c r="I9" s="2">
        <v>4</v>
      </c>
      <c r="J9" s="2"/>
      <c r="K9" s="2">
        <v>7046.4</v>
      </c>
      <c r="L9" s="35">
        <v>22334269.440000001</v>
      </c>
      <c r="M9" s="36">
        <v>2112</v>
      </c>
      <c r="N9" s="37">
        <v>894035</v>
      </c>
      <c r="O9" s="37">
        <v>1680</v>
      </c>
      <c r="P9" s="37">
        <v>0</v>
      </c>
      <c r="Q9" s="37">
        <v>51378</v>
      </c>
      <c r="R9" s="37">
        <v>137506</v>
      </c>
      <c r="S9" s="37">
        <v>343435</v>
      </c>
      <c r="T9" s="40">
        <v>30000</v>
      </c>
      <c r="U9" s="37">
        <v>1367700</v>
      </c>
      <c r="V9" s="37">
        <v>0</v>
      </c>
      <c r="W9" s="45">
        <v>2825734</v>
      </c>
      <c r="X9" s="46">
        <v>12.652009986676299</v>
      </c>
    </row>
    <row r="10" spans="1:24">
      <c r="A10" s="28" t="s">
        <v>63</v>
      </c>
      <c r="B10" s="29">
        <v>3169.6</v>
      </c>
      <c r="C10" s="30" t="s">
        <v>401</v>
      </c>
      <c r="D10" s="2">
        <v>4947567983</v>
      </c>
      <c r="E10" s="2" t="s">
        <v>6</v>
      </c>
      <c r="F10" s="2" t="s">
        <v>402</v>
      </c>
      <c r="G10" s="28" t="s">
        <v>5</v>
      </c>
      <c r="H10" s="2" t="s">
        <v>20</v>
      </c>
      <c r="I10" s="2">
        <v>1</v>
      </c>
      <c r="J10" s="2" t="s">
        <v>403</v>
      </c>
      <c r="K10" s="2">
        <v>20541.599999999999</v>
      </c>
      <c r="L10" s="35">
        <v>65108655.359999999</v>
      </c>
      <c r="M10" s="36">
        <v>6480</v>
      </c>
      <c r="N10" s="40">
        <v>382996.06930693099</v>
      </c>
      <c r="O10" s="37">
        <v>318735</v>
      </c>
      <c r="P10" s="40">
        <v>0</v>
      </c>
      <c r="Q10" s="37">
        <v>99555.415841584196</v>
      </c>
      <c r="R10" s="40">
        <v>432070.03960396</v>
      </c>
      <c r="S10" s="40">
        <v>275428.06930693099</v>
      </c>
      <c r="T10" s="40">
        <v>30000</v>
      </c>
      <c r="U10" s="40">
        <v>1600835.07920792</v>
      </c>
      <c r="V10" s="40">
        <v>0</v>
      </c>
      <c r="W10" s="45">
        <v>3139619.67326733</v>
      </c>
      <c r="X10" s="46">
        <v>4.8221233504327197</v>
      </c>
    </row>
    <row r="11" spans="1:24">
      <c r="A11" s="28" t="s">
        <v>63</v>
      </c>
      <c r="B11" s="29">
        <v>3169.6</v>
      </c>
      <c r="C11" s="30" t="s">
        <v>401</v>
      </c>
      <c r="D11" s="2">
        <v>4946607247</v>
      </c>
      <c r="E11" s="2" t="s">
        <v>6</v>
      </c>
      <c r="F11" s="2" t="s">
        <v>402</v>
      </c>
      <c r="G11" s="28" t="s">
        <v>5</v>
      </c>
      <c r="H11" s="2" t="s">
        <v>20</v>
      </c>
      <c r="I11" s="2">
        <v>1</v>
      </c>
      <c r="J11" s="2" t="s">
        <v>403</v>
      </c>
      <c r="K11" s="2">
        <v>656</v>
      </c>
      <c r="L11" s="35">
        <v>2079257.6000000001</v>
      </c>
      <c r="M11" s="36">
        <v>1600</v>
      </c>
      <c r="N11" s="40">
        <v>94566.930693069298</v>
      </c>
      <c r="O11" s="56">
        <v>78700</v>
      </c>
      <c r="P11" s="40">
        <v>0</v>
      </c>
      <c r="Q11" s="37">
        <v>24581.584158415801</v>
      </c>
      <c r="R11" s="40">
        <v>106683.96039604</v>
      </c>
      <c r="S11" s="40">
        <v>68006.930693069298</v>
      </c>
      <c r="T11" s="40">
        <v>30000</v>
      </c>
      <c r="U11" s="40">
        <v>395267.92079207901</v>
      </c>
      <c r="V11" s="40">
        <v>0</v>
      </c>
      <c r="W11" s="45">
        <v>797807.32673267298</v>
      </c>
      <c r="X11" s="46">
        <v>38.369816550516603</v>
      </c>
    </row>
    <row r="12" spans="1:24">
      <c r="A12" s="28" t="s">
        <v>63</v>
      </c>
      <c r="B12" s="29">
        <v>3169.6</v>
      </c>
      <c r="C12" s="30" t="s">
        <v>438</v>
      </c>
      <c r="D12" s="2">
        <v>4948094924</v>
      </c>
      <c r="E12" s="2" t="s">
        <v>6</v>
      </c>
      <c r="F12" s="2" t="s">
        <v>439</v>
      </c>
      <c r="G12" s="28" t="s">
        <v>9</v>
      </c>
      <c r="H12" s="2" t="s">
        <v>23</v>
      </c>
      <c r="I12" s="2">
        <v>2</v>
      </c>
      <c r="J12" s="2"/>
      <c r="K12" s="2">
        <v>15033.6</v>
      </c>
      <c r="L12" s="35">
        <v>47650498.560000002</v>
      </c>
      <c r="M12" s="36">
        <v>1080</v>
      </c>
      <c r="N12" s="37">
        <v>1301179</v>
      </c>
      <c r="O12" s="37">
        <v>907</v>
      </c>
      <c r="P12" s="37">
        <v>0</v>
      </c>
      <c r="Q12" s="37">
        <v>21924</v>
      </c>
      <c r="R12" s="37">
        <v>108786</v>
      </c>
      <c r="S12" s="37">
        <v>343435</v>
      </c>
      <c r="T12" s="40">
        <v>30000</v>
      </c>
      <c r="U12" s="37">
        <v>522739</v>
      </c>
      <c r="V12" s="37">
        <v>0</v>
      </c>
      <c r="W12" s="45">
        <v>2328970</v>
      </c>
      <c r="X12" s="46">
        <v>4.8876088821346402</v>
      </c>
    </row>
    <row r="13" spans="1:24">
      <c r="A13" s="28" t="s">
        <v>63</v>
      </c>
      <c r="B13" s="29">
        <v>3169.6</v>
      </c>
      <c r="C13" s="30" t="s">
        <v>534</v>
      </c>
      <c r="D13" s="2" t="s">
        <v>535</v>
      </c>
      <c r="E13" s="2" t="s">
        <v>6</v>
      </c>
      <c r="F13" s="2">
        <v>579396147</v>
      </c>
      <c r="G13" s="28" t="s">
        <v>5</v>
      </c>
      <c r="H13" s="2" t="s">
        <v>20</v>
      </c>
      <c r="I13" s="2">
        <v>1</v>
      </c>
      <c r="J13" s="2" t="s">
        <v>536</v>
      </c>
      <c r="K13" s="2">
        <v>3102</v>
      </c>
      <c r="L13" s="35">
        <v>9832099.1999999993</v>
      </c>
      <c r="M13" s="36">
        <v>600</v>
      </c>
      <c r="N13" s="40">
        <v>234964</v>
      </c>
      <c r="O13" s="37">
        <v>99358.75</v>
      </c>
      <c r="P13" s="37">
        <v>2237117</v>
      </c>
      <c r="Q13" s="37">
        <v>31034.25</v>
      </c>
      <c r="R13" s="40">
        <v>384843</v>
      </c>
      <c r="S13" s="40">
        <v>171717.5</v>
      </c>
      <c r="T13" s="40">
        <v>30000</v>
      </c>
      <c r="U13" s="40">
        <v>1059500</v>
      </c>
      <c r="V13" s="40">
        <v>0</v>
      </c>
      <c r="W13" s="45">
        <v>4248534.5</v>
      </c>
      <c r="X13" s="46">
        <v>43.2108587757129</v>
      </c>
    </row>
    <row r="14" spans="1:24">
      <c r="A14" s="28" t="s">
        <v>63</v>
      </c>
      <c r="B14" s="29">
        <v>3169.6</v>
      </c>
      <c r="C14" s="30" t="s">
        <v>534</v>
      </c>
      <c r="D14" s="2" t="s">
        <v>537</v>
      </c>
      <c r="E14" s="2" t="s">
        <v>6</v>
      </c>
      <c r="F14" s="2">
        <v>579396147</v>
      </c>
      <c r="G14" s="28" t="s">
        <v>5</v>
      </c>
      <c r="H14" s="2" t="s">
        <v>20</v>
      </c>
      <c r="I14" s="2">
        <v>1</v>
      </c>
      <c r="J14" s="2" t="s">
        <v>536</v>
      </c>
      <c r="K14" s="2">
        <v>3102</v>
      </c>
      <c r="L14" s="35">
        <v>9832099.1999999993</v>
      </c>
      <c r="M14" s="36">
        <v>600</v>
      </c>
      <c r="N14" s="40">
        <v>117482</v>
      </c>
      <c r="O14" s="37">
        <v>99358.75</v>
      </c>
      <c r="P14" s="37">
        <v>1118558.5</v>
      </c>
      <c r="Q14" s="37">
        <v>31034.25</v>
      </c>
      <c r="R14" s="40">
        <v>192421.5</v>
      </c>
      <c r="S14" s="40">
        <v>85858.75</v>
      </c>
      <c r="T14" s="40">
        <v>30000</v>
      </c>
      <c r="U14" s="40">
        <v>529750</v>
      </c>
      <c r="V14" s="40">
        <v>0</v>
      </c>
      <c r="W14" s="45">
        <v>2204463.75</v>
      </c>
      <c r="X14" s="46">
        <v>22.421089384452099</v>
      </c>
    </row>
    <row r="15" spans="1:24">
      <c r="A15" s="28" t="s">
        <v>63</v>
      </c>
      <c r="B15" s="29">
        <v>3169.6</v>
      </c>
      <c r="C15" s="30" t="s">
        <v>534</v>
      </c>
      <c r="D15" s="2" t="s">
        <v>538</v>
      </c>
      <c r="E15" s="2" t="s">
        <v>6</v>
      </c>
      <c r="F15" s="2">
        <v>579396147</v>
      </c>
      <c r="G15" s="28" t="s">
        <v>5</v>
      </c>
      <c r="H15" s="2" t="s">
        <v>20</v>
      </c>
      <c r="I15" s="2">
        <v>1</v>
      </c>
      <c r="J15" s="2" t="s">
        <v>536</v>
      </c>
      <c r="K15" s="2">
        <v>6204</v>
      </c>
      <c r="L15" s="35">
        <v>19664198.399999999</v>
      </c>
      <c r="M15" s="36">
        <v>1200</v>
      </c>
      <c r="N15" s="40">
        <v>117482</v>
      </c>
      <c r="O15" s="37">
        <v>198717.5</v>
      </c>
      <c r="P15" s="37">
        <v>1118558.5</v>
      </c>
      <c r="Q15" s="37">
        <v>62068.5</v>
      </c>
      <c r="R15" s="40">
        <v>192421.5</v>
      </c>
      <c r="S15" s="40">
        <v>85858.75</v>
      </c>
      <c r="T15" s="40">
        <v>30000</v>
      </c>
      <c r="U15" s="40">
        <v>529750</v>
      </c>
      <c r="V15" s="40">
        <v>0</v>
      </c>
      <c r="W15" s="45">
        <v>2334856.75</v>
      </c>
      <c r="X15" s="46">
        <v>11.8736431686938</v>
      </c>
    </row>
    <row r="16" spans="1:24">
      <c r="A16" s="28" t="s">
        <v>63</v>
      </c>
      <c r="B16" s="29">
        <v>3169.6</v>
      </c>
      <c r="C16" s="30" t="s">
        <v>543</v>
      </c>
      <c r="D16" s="2">
        <v>4945994027</v>
      </c>
      <c r="E16" s="2" t="s">
        <v>6</v>
      </c>
      <c r="F16" s="78" t="s">
        <v>542</v>
      </c>
      <c r="G16" s="28" t="s">
        <v>9</v>
      </c>
      <c r="H16" s="2" t="s">
        <v>23</v>
      </c>
      <c r="I16" s="2">
        <v>3</v>
      </c>
      <c r="J16" s="2"/>
      <c r="K16" s="2">
        <v>10324.799999999999</v>
      </c>
      <c r="L16" s="35">
        <v>32725486.079999998</v>
      </c>
      <c r="M16" s="36">
        <v>1440</v>
      </c>
      <c r="N16" s="37">
        <v>362480.727272727</v>
      </c>
      <c r="O16" s="37">
        <v>314</v>
      </c>
      <c r="P16" s="37">
        <v>0</v>
      </c>
      <c r="Q16" s="37">
        <v>7809</v>
      </c>
      <c r="R16" s="37">
        <v>68224.727272727294</v>
      </c>
      <c r="S16" s="37">
        <v>249770.909090909</v>
      </c>
      <c r="T16" s="40">
        <v>30000</v>
      </c>
      <c r="U16" s="37">
        <v>317147.82608695701</v>
      </c>
      <c r="V16" s="37">
        <v>0</v>
      </c>
      <c r="W16" s="45">
        <v>1035747.18972332</v>
      </c>
      <c r="X16" s="46">
        <v>3.16495586098051</v>
      </c>
    </row>
    <row r="17" spans="1:24">
      <c r="A17" s="28" t="s">
        <v>63</v>
      </c>
      <c r="B17" s="29">
        <v>3169.6</v>
      </c>
      <c r="C17" s="30" t="s">
        <v>544</v>
      </c>
      <c r="D17" s="2">
        <v>4944904857</v>
      </c>
      <c r="E17" s="2" t="s">
        <v>6</v>
      </c>
      <c r="F17" s="2" t="s">
        <v>545</v>
      </c>
      <c r="G17" s="28" t="s">
        <v>9</v>
      </c>
      <c r="H17" s="2" t="s">
        <v>23</v>
      </c>
      <c r="I17" s="2">
        <v>1</v>
      </c>
      <c r="J17" s="2"/>
      <c r="K17" s="2">
        <v>6091.2</v>
      </c>
      <c r="L17" s="35">
        <v>19306667.52</v>
      </c>
      <c r="M17" s="36">
        <v>288</v>
      </c>
      <c r="N17" s="37">
        <v>723679</v>
      </c>
      <c r="O17" s="37">
        <v>325</v>
      </c>
      <c r="P17" s="37">
        <v>18241</v>
      </c>
      <c r="Q17" s="37">
        <v>9230</v>
      </c>
      <c r="R17" s="37">
        <v>93220</v>
      </c>
      <c r="S17" s="37">
        <v>343435</v>
      </c>
      <c r="T17" s="40">
        <v>30000</v>
      </c>
      <c r="U17" s="37">
        <v>1367700</v>
      </c>
      <c r="V17" s="37">
        <v>0</v>
      </c>
      <c r="W17" s="45">
        <v>2585830</v>
      </c>
      <c r="X17" s="46">
        <v>13.3934558997368</v>
      </c>
    </row>
    <row r="18" spans="1:24">
      <c r="A18" s="28" t="s">
        <v>63</v>
      </c>
      <c r="B18" s="29">
        <v>3169.6</v>
      </c>
      <c r="C18" s="30" t="s">
        <v>546</v>
      </c>
      <c r="D18" s="2">
        <v>4947574268</v>
      </c>
      <c r="E18" s="2" t="s">
        <v>6</v>
      </c>
      <c r="F18" s="2" t="s">
        <v>547</v>
      </c>
      <c r="G18" s="28" t="s">
        <v>5</v>
      </c>
      <c r="H18" s="2" t="s">
        <v>20</v>
      </c>
      <c r="I18" s="2">
        <v>1</v>
      </c>
      <c r="J18" s="2" t="s">
        <v>548</v>
      </c>
      <c r="K18" s="2">
        <v>24512</v>
      </c>
      <c r="L18" s="35">
        <v>77693235.200000003</v>
      </c>
      <c r="M18" s="36">
        <v>6400</v>
      </c>
      <c r="N18" s="37">
        <v>477563</v>
      </c>
      <c r="O18" s="37">
        <v>397435</v>
      </c>
      <c r="P18" s="37">
        <v>0</v>
      </c>
      <c r="Q18" s="37">
        <v>124137</v>
      </c>
      <c r="R18" s="37">
        <v>1134717</v>
      </c>
      <c r="S18" s="37">
        <v>343435</v>
      </c>
      <c r="T18" s="40">
        <v>30000</v>
      </c>
      <c r="U18" s="37">
        <v>499900</v>
      </c>
      <c r="V18" s="37">
        <v>0</v>
      </c>
      <c r="W18" s="45">
        <v>3007187</v>
      </c>
      <c r="X18" s="46">
        <v>3.8705905247204799</v>
      </c>
    </row>
    <row r="19" spans="1:24">
      <c r="A19" s="28" t="s">
        <v>63</v>
      </c>
      <c r="B19" s="29">
        <v>3169.6</v>
      </c>
      <c r="C19" s="30" t="s">
        <v>551</v>
      </c>
      <c r="D19" s="2">
        <v>4946765523</v>
      </c>
      <c r="E19" s="2" t="s">
        <v>6</v>
      </c>
      <c r="F19" s="2" t="s">
        <v>552</v>
      </c>
      <c r="G19" s="28" t="s">
        <v>9</v>
      </c>
      <c r="H19" s="2" t="s">
        <v>23</v>
      </c>
      <c r="I19" s="2">
        <v>1</v>
      </c>
      <c r="J19" s="2"/>
      <c r="K19" s="2">
        <v>6091.2</v>
      </c>
      <c r="L19" s="35">
        <v>19306667.52</v>
      </c>
      <c r="M19" s="36">
        <v>288</v>
      </c>
      <c r="N19" s="37">
        <v>716208</v>
      </c>
      <c r="O19" s="37">
        <v>321</v>
      </c>
      <c r="P19" s="37">
        <v>32865</v>
      </c>
      <c r="Q19" s="37">
        <v>9234</v>
      </c>
      <c r="R19" s="37">
        <v>93249</v>
      </c>
      <c r="S19" s="37">
        <v>343435</v>
      </c>
      <c r="T19" s="40">
        <v>30000</v>
      </c>
      <c r="U19" s="37">
        <v>147857</v>
      </c>
      <c r="V19" s="37">
        <v>0</v>
      </c>
      <c r="W19" s="45">
        <v>1373169</v>
      </c>
      <c r="X19" s="46">
        <v>7.11240818011456</v>
      </c>
    </row>
    <row r="20" spans="1:24">
      <c r="A20" s="28" t="s">
        <v>63</v>
      </c>
      <c r="B20" s="29">
        <v>3169.6</v>
      </c>
      <c r="C20" s="30" t="s">
        <v>565</v>
      </c>
      <c r="D20" s="2">
        <v>4945994029</v>
      </c>
      <c r="E20" s="2" t="s">
        <v>6</v>
      </c>
      <c r="F20" s="2" t="s">
        <v>566</v>
      </c>
      <c r="G20" s="28" t="s">
        <v>5</v>
      </c>
      <c r="H20" s="2" t="s">
        <v>20</v>
      </c>
      <c r="I20" s="2">
        <v>1</v>
      </c>
      <c r="J20" s="2" t="s">
        <v>567</v>
      </c>
      <c r="K20" s="2">
        <v>10136</v>
      </c>
      <c r="L20" s="35">
        <v>32127065.600000001</v>
      </c>
      <c r="M20" s="36">
        <v>1400</v>
      </c>
      <c r="N20" s="37">
        <v>330602</v>
      </c>
      <c r="O20" s="37">
        <v>397435</v>
      </c>
      <c r="P20" s="37">
        <v>1417441</v>
      </c>
      <c r="Q20" s="37">
        <v>124137</v>
      </c>
      <c r="R20" s="37">
        <v>1458463</v>
      </c>
      <c r="S20" s="37">
        <v>343435</v>
      </c>
      <c r="T20" s="40">
        <v>30000</v>
      </c>
      <c r="U20" s="37">
        <v>2119000</v>
      </c>
      <c r="V20" s="37">
        <v>0</v>
      </c>
      <c r="W20" s="45">
        <v>6220513</v>
      </c>
      <c r="X20" s="46">
        <v>19.362219623319699</v>
      </c>
    </row>
    <row r="22" spans="1:24" ht="15" customHeight="1">
      <c r="A22" s="31" t="s">
        <v>63</v>
      </c>
      <c r="B22" s="31"/>
      <c r="C22" s="31"/>
      <c r="D22" s="31"/>
      <c r="E22" s="31"/>
      <c r="F22" s="32">
        <v>16</v>
      </c>
      <c r="G22" s="31"/>
      <c r="H22" s="31"/>
      <c r="I22" s="38"/>
      <c r="J22" s="31"/>
      <c r="K22" s="39">
        <f>+SUM(K2:K20)</f>
        <v>222194.81</v>
      </c>
      <c r="L22" s="39">
        <f>+SUM(L2:L20)</f>
        <v>704268669.77600002</v>
      </c>
      <c r="M22" s="31"/>
      <c r="N22" s="39"/>
      <c r="O22" s="39"/>
      <c r="P22" s="39"/>
      <c r="Q22" s="39"/>
      <c r="R22" s="39"/>
      <c r="S22" s="39"/>
      <c r="T22" s="39"/>
      <c r="U22" s="39"/>
      <c r="V22" s="31"/>
      <c r="W22" s="39">
        <f>+SUM(W2:W20)</f>
        <v>63614330.18972332</v>
      </c>
      <c r="X22" s="47">
        <f>(W22/L22)*100</f>
        <v>9.0326792770657427</v>
      </c>
    </row>
    <row r="24" spans="1:24" s="4" customFormat="1" ht="15" customHeight="1">
      <c r="A24" s="28" t="s">
        <v>647</v>
      </c>
      <c r="B24" s="29">
        <v>3125.21</v>
      </c>
      <c r="C24" s="30" t="s">
        <v>702</v>
      </c>
      <c r="D24" s="2">
        <v>4944904853</v>
      </c>
      <c r="E24" s="2" t="s">
        <v>6</v>
      </c>
      <c r="F24" s="2" t="s">
        <v>703</v>
      </c>
      <c r="G24" s="28" t="s">
        <v>9</v>
      </c>
      <c r="H24" s="2" t="s">
        <v>23</v>
      </c>
      <c r="I24" s="2">
        <v>1</v>
      </c>
      <c r="J24" s="2"/>
      <c r="K24" s="2">
        <v>1220.4000000000001</v>
      </c>
      <c r="L24" s="35">
        <v>3814006.284</v>
      </c>
      <c r="M24" s="36">
        <v>540</v>
      </c>
      <c r="N24" s="37">
        <v>48838</v>
      </c>
      <c r="O24" s="37">
        <v>0</v>
      </c>
      <c r="P24" s="37">
        <v>63152</v>
      </c>
      <c r="Q24" s="37">
        <v>47065</v>
      </c>
      <c r="R24" s="37">
        <v>61763</v>
      </c>
      <c r="S24" s="37">
        <v>343435</v>
      </c>
      <c r="T24" s="37">
        <v>30000</v>
      </c>
      <c r="U24" s="37">
        <v>1299800</v>
      </c>
      <c r="V24" s="37">
        <v>0</v>
      </c>
      <c r="W24" s="45">
        <v>1894053</v>
      </c>
      <c r="X24" s="46">
        <v>49.660458294095498</v>
      </c>
    </row>
    <row r="25" spans="1:24" s="4" customFormat="1" ht="15" customHeight="1">
      <c r="A25" s="28" t="s">
        <v>647</v>
      </c>
      <c r="B25" s="29">
        <v>3125.21</v>
      </c>
      <c r="C25" s="30" t="s">
        <v>745</v>
      </c>
      <c r="D25" s="2">
        <v>4946607248</v>
      </c>
      <c r="E25" s="2" t="s">
        <v>6</v>
      </c>
      <c r="F25" s="78" t="s">
        <v>746</v>
      </c>
      <c r="G25" s="28" t="s">
        <v>5</v>
      </c>
      <c r="H25" s="2" t="s">
        <v>17</v>
      </c>
      <c r="I25" s="2">
        <v>1</v>
      </c>
      <c r="J25" s="2" t="s">
        <v>747</v>
      </c>
      <c r="K25" s="2">
        <v>1640</v>
      </c>
      <c r="L25" s="35">
        <v>5125344.4000000004</v>
      </c>
      <c r="M25" s="36">
        <v>4000</v>
      </c>
      <c r="N25" s="40">
        <v>92106.571428571406</v>
      </c>
      <c r="O25" s="40">
        <v>148865.42857142899</v>
      </c>
      <c r="P25" s="40">
        <v>0</v>
      </c>
      <c r="Q25" s="40">
        <v>35467.714285714297</v>
      </c>
      <c r="R25" s="40">
        <v>220962.285714286</v>
      </c>
      <c r="S25" s="40">
        <v>98124.285714285696</v>
      </c>
      <c r="T25" s="37">
        <v>30000</v>
      </c>
      <c r="U25" s="40">
        <v>1182571.42857143</v>
      </c>
      <c r="V25" s="40">
        <v>0</v>
      </c>
      <c r="W25" s="45">
        <v>1808097.7142857199</v>
      </c>
      <c r="X25" s="46">
        <v>35.277584747001903</v>
      </c>
    </row>
    <row r="26" spans="1:24" s="4" customFormat="1" ht="15" customHeight="1">
      <c r="A26" s="28" t="s">
        <v>647</v>
      </c>
      <c r="B26" s="29">
        <v>3125.21</v>
      </c>
      <c r="C26" s="30" t="s">
        <v>745</v>
      </c>
      <c r="D26" s="2">
        <v>4945994022</v>
      </c>
      <c r="E26" s="2" t="s">
        <v>6</v>
      </c>
      <c r="F26" s="2" t="s">
        <v>746</v>
      </c>
      <c r="G26" s="28" t="s">
        <v>5</v>
      </c>
      <c r="H26" s="2" t="s">
        <v>17</v>
      </c>
      <c r="I26" s="2">
        <v>1</v>
      </c>
      <c r="J26" s="2" t="s">
        <v>747</v>
      </c>
      <c r="K26" s="2">
        <v>10700</v>
      </c>
      <c r="L26" s="35">
        <v>33439747</v>
      </c>
      <c r="M26" s="36">
        <v>10000</v>
      </c>
      <c r="N26" s="40">
        <v>230266.42857142899</v>
      </c>
      <c r="O26" s="40">
        <v>372163.57142857101</v>
      </c>
      <c r="P26" s="40">
        <v>0</v>
      </c>
      <c r="Q26" s="40">
        <v>88669.285714285696</v>
      </c>
      <c r="R26" s="40">
        <v>552404.71428571397</v>
      </c>
      <c r="S26" s="40">
        <v>245310.714285714</v>
      </c>
      <c r="T26" s="37">
        <v>30000</v>
      </c>
      <c r="U26" s="40">
        <v>2956428.57142857</v>
      </c>
      <c r="V26" s="40">
        <v>0</v>
      </c>
      <c r="W26" s="45">
        <v>4475243.2857142799</v>
      </c>
      <c r="X26" s="46">
        <v>13.3830058155472</v>
      </c>
    </row>
    <row r="27" spans="1:24" s="4" customFormat="1" ht="15" customHeight="1">
      <c r="A27" s="28" t="s">
        <v>647</v>
      </c>
      <c r="B27" s="29">
        <v>3125.21</v>
      </c>
      <c r="C27" s="30" t="s">
        <v>768</v>
      </c>
      <c r="D27" s="2">
        <v>4946630988</v>
      </c>
      <c r="E27" s="2" t="s">
        <v>6</v>
      </c>
      <c r="F27" s="2" t="s">
        <v>769</v>
      </c>
      <c r="G27" s="28" t="s">
        <v>5</v>
      </c>
      <c r="H27" s="2" t="s">
        <v>20</v>
      </c>
      <c r="I27" s="2">
        <v>1</v>
      </c>
      <c r="J27" s="2" t="s">
        <v>770</v>
      </c>
      <c r="K27" s="2">
        <v>22032</v>
      </c>
      <c r="L27" s="35">
        <v>68854626.719999999</v>
      </c>
      <c r="M27" s="36">
        <v>2160</v>
      </c>
      <c r="N27" s="40">
        <v>200412.42857142899</v>
      </c>
      <c r="O27" s="40">
        <v>170046.42857142899</v>
      </c>
      <c r="P27" s="40">
        <v>90264.428571428594</v>
      </c>
      <c r="Q27" s="40">
        <v>53201.571428571398</v>
      </c>
      <c r="R27" s="40">
        <v>270817.42857142899</v>
      </c>
      <c r="S27" s="40">
        <v>147186.42857142899</v>
      </c>
      <c r="T27" s="37">
        <v>30000</v>
      </c>
      <c r="U27" s="40">
        <v>1028785.71428571</v>
      </c>
      <c r="V27" s="40">
        <v>0</v>
      </c>
      <c r="W27" s="45">
        <v>1990714.42857143</v>
      </c>
      <c r="X27" s="46">
        <v>2.8911846936107</v>
      </c>
    </row>
    <row r="28" spans="1:24" s="4" customFormat="1" ht="15" customHeight="1">
      <c r="A28" s="28" t="s">
        <v>647</v>
      </c>
      <c r="B28" s="29">
        <v>3125.21</v>
      </c>
      <c r="C28" s="30" t="s">
        <v>768</v>
      </c>
      <c r="D28" s="2">
        <v>4947010977</v>
      </c>
      <c r="E28" s="2" t="s">
        <v>6</v>
      </c>
      <c r="F28" s="2" t="s">
        <v>769</v>
      </c>
      <c r="G28" s="28" t="s">
        <v>5</v>
      </c>
      <c r="H28" s="2" t="s">
        <v>20</v>
      </c>
      <c r="I28" s="2">
        <v>1</v>
      </c>
      <c r="J28" s="2" t="s">
        <v>770</v>
      </c>
      <c r="K28" s="2" t="s">
        <v>771</v>
      </c>
      <c r="L28" s="35">
        <v>53253578.399999999</v>
      </c>
      <c r="M28" s="36">
        <v>960</v>
      </c>
      <c r="N28" s="40">
        <v>89072.190476190503</v>
      </c>
      <c r="O28" s="40">
        <v>75576.190476190503</v>
      </c>
      <c r="P28" s="40">
        <v>40117.523809523802</v>
      </c>
      <c r="Q28" s="40">
        <v>23645.142857142899</v>
      </c>
      <c r="R28" s="40">
        <v>120343.190476191</v>
      </c>
      <c r="S28" s="40">
        <v>65416.190476190503</v>
      </c>
      <c r="T28" s="37">
        <v>30000</v>
      </c>
      <c r="U28" s="40">
        <v>457238.09523809497</v>
      </c>
      <c r="V28" s="40">
        <v>0</v>
      </c>
      <c r="W28" s="45">
        <v>901408.52380952402</v>
      </c>
      <c r="X28" s="46">
        <v>1.6926722126329901</v>
      </c>
    </row>
    <row r="29" spans="1:24" s="4" customFormat="1" ht="15" customHeight="1">
      <c r="A29" s="28" t="s">
        <v>647</v>
      </c>
      <c r="B29" s="29">
        <v>3125.21</v>
      </c>
      <c r="C29" s="30" t="s">
        <v>768</v>
      </c>
      <c r="D29" s="2">
        <v>4947198891</v>
      </c>
      <c r="E29" s="2" t="s">
        <v>6</v>
      </c>
      <c r="F29" s="2" t="s">
        <v>769</v>
      </c>
      <c r="G29" s="28" t="s">
        <v>5</v>
      </c>
      <c r="H29" s="2" t="s">
        <v>20</v>
      </c>
      <c r="I29" s="2">
        <v>1</v>
      </c>
      <c r="J29" s="2" t="s">
        <v>770</v>
      </c>
      <c r="K29" s="2" t="s">
        <v>772</v>
      </c>
      <c r="L29" s="35">
        <v>106507156.8</v>
      </c>
      <c r="M29" s="36">
        <v>1920</v>
      </c>
      <c r="N29" s="40">
        <v>178144.38095238101</v>
      </c>
      <c r="O29" s="40">
        <v>151152.38095238101</v>
      </c>
      <c r="P29" s="40">
        <v>80235.047619047604</v>
      </c>
      <c r="Q29" s="40">
        <v>47290.285714285703</v>
      </c>
      <c r="R29" s="40">
        <v>240726.38095238101</v>
      </c>
      <c r="S29" s="40">
        <v>130832.38095238101</v>
      </c>
      <c r="T29" s="37">
        <v>30000</v>
      </c>
      <c r="U29" s="40">
        <v>914476.19047618995</v>
      </c>
      <c r="V29" s="40">
        <v>0</v>
      </c>
      <c r="W29" s="45">
        <v>1772857.0476190499</v>
      </c>
      <c r="X29" s="46">
        <v>1.6645426475406999</v>
      </c>
    </row>
    <row r="30" spans="1:24" s="4" customFormat="1" ht="15" customHeight="1">
      <c r="A30" s="28" t="s">
        <v>647</v>
      </c>
      <c r="B30" s="29">
        <v>3125.21</v>
      </c>
      <c r="C30" s="30" t="s">
        <v>785</v>
      </c>
      <c r="D30" s="2">
        <v>4946765522</v>
      </c>
      <c r="E30" s="2" t="s">
        <v>6</v>
      </c>
      <c r="F30" s="2" t="s">
        <v>786</v>
      </c>
      <c r="G30" s="28" t="s">
        <v>5</v>
      </c>
      <c r="H30" s="2" t="s">
        <v>20</v>
      </c>
      <c r="I30" s="2">
        <v>1</v>
      </c>
      <c r="J30" s="2" t="s">
        <v>787</v>
      </c>
      <c r="K30" s="2">
        <v>24768</v>
      </c>
      <c r="L30" s="35">
        <v>77405201.280000001</v>
      </c>
      <c r="M30" s="36">
        <v>960</v>
      </c>
      <c r="N30" s="40">
        <v>112129.739130435</v>
      </c>
      <c r="O30" s="40">
        <v>138008.69565217401</v>
      </c>
      <c r="P30" s="40">
        <v>0</v>
      </c>
      <c r="Q30" s="40">
        <v>43178.0869565217</v>
      </c>
      <c r="R30" s="40">
        <v>278830.56521739101</v>
      </c>
      <c r="S30" s="40">
        <v>119455.652173913</v>
      </c>
      <c r="T30" s="37">
        <v>30000</v>
      </c>
      <c r="U30" s="40">
        <v>737043.47826086998</v>
      </c>
      <c r="V30" s="40">
        <v>453093.21739130397</v>
      </c>
      <c r="W30" s="45">
        <v>1911739.43478261</v>
      </c>
      <c r="X30" s="46">
        <v>2.4697816208334902</v>
      </c>
    </row>
    <row r="31" spans="1:24" s="4" customFormat="1" ht="15" customHeight="1">
      <c r="A31" s="28" t="s">
        <v>647</v>
      </c>
      <c r="B31" s="29">
        <v>3125.21</v>
      </c>
      <c r="C31" s="30" t="s">
        <v>785</v>
      </c>
      <c r="D31" s="2">
        <v>4946765519</v>
      </c>
      <c r="E31" s="2" t="s">
        <v>6</v>
      </c>
      <c r="F31" s="2" t="s">
        <v>786</v>
      </c>
      <c r="G31" s="28" t="s">
        <v>5</v>
      </c>
      <c r="H31" s="2" t="s">
        <v>20</v>
      </c>
      <c r="I31" s="2">
        <v>1</v>
      </c>
      <c r="J31" s="2" t="s">
        <v>787</v>
      </c>
      <c r="K31" s="2">
        <v>44964</v>
      </c>
      <c r="L31" s="35">
        <v>140521942.44</v>
      </c>
      <c r="M31" s="36">
        <v>1800</v>
      </c>
      <c r="N31" s="40">
        <v>210243.26086956501</v>
      </c>
      <c r="O31" s="40">
        <v>258766.30434782599</v>
      </c>
      <c r="P31" s="40">
        <v>0</v>
      </c>
      <c r="Q31" s="40">
        <v>80958.9130434783</v>
      </c>
      <c r="R31" s="40">
        <v>522843.43478260899</v>
      </c>
      <c r="S31" s="40">
        <v>223979.347826087</v>
      </c>
      <c r="T31" s="37">
        <v>30000</v>
      </c>
      <c r="U31" s="40">
        <v>1381956.5217391299</v>
      </c>
      <c r="V31" s="40">
        <v>849549.78260869603</v>
      </c>
      <c r="W31" s="45">
        <v>3558297.5652173902</v>
      </c>
      <c r="X31" s="46">
        <v>2.5322006680463498</v>
      </c>
    </row>
    <row r="32" spans="1:24" s="4" customFormat="1" ht="15" customHeight="1">
      <c r="A32" s="28" t="s">
        <v>647</v>
      </c>
      <c r="B32" s="29">
        <v>3125.21</v>
      </c>
      <c r="C32" s="30" t="s">
        <v>788</v>
      </c>
      <c r="D32" s="2">
        <v>4946765517</v>
      </c>
      <c r="E32" s="2" t="s">
        <v>6</v>
      </c>
      <c r="F32" s="78" t="s">
        <v>789</v>
      </c>
      <c r="G32" s="28" t="s">
        <v>5</v>
      </c>
      <c r="H32" s="2" t="s">
        <v>20</v>
      </c>
      <c r="I32" s="2">
        <v>1</v>
      </c>
      <c r="J32" s="2" t="s">
        <v>790</v>
      </c>
      <c r="K32" s="2">
        <v>103773.6</v>
      </c>
      <c r="L32" s="35">
        <v>324314292.45599997</v>
      </c>
      <c r="M32" s="36">
        <v>504</v>
      </c>
      <c r="N32" s="37">
        <v>322373</v>
      </c>
      <c r="O32" s="37">
        <v>396775</v>
      </c>
      <c r="P32" s="37">
        <v>0</v>
      </c>
      <c r="Q32" s="37">
        <v>124137</v>
      </c>
      <c r="R32" s="37">
        <v>798637</v>
      </c>
      <c r="S32" s="37">
        <v>343435</v>
      </c>
      <c r="T32" s="37">
        <v>30000</v>
      </c>
      <c r="U32" s="37">
        <v>2119000</v>
      </c>
      <c r="V32" s="37">
        <v>1261522</v>
      </c>
      <c r="W32" s="45">
        <v>5395879</v>
      </c>
      <c r="X32" s="46">
        <v>1.66378082172622</v>
      </c>
    </row>
    <row r="33" spans="1:24" s="4" customFormat="1" ht="15" customHeight="1">
      <c r="A33" s="28" t="s">
        <v>647</v>
      </c>
      <c r="B33" s="29">
        <v>3125.21</v>
      </c>
      <c r="C33" s="30" t="s">
        <v>797</v>
      </c>
      <c r="D33" s="2">
        <v>4946611860</v>
      </c>
      <c r="E33" s="2" t="s">
        <v>6</v>
      </c>
      <c r="F33" s="78" t="s">
        <v>798</v>
      </c>
      <c r="G33" s="28" t="s">
        <v>5</v>
      </c>
      <c r="H33" s="2" t="s">
        <v>17</v>
      </c>
      <c r="I33" s="2">
        <v>1</v>
      </c>
      <c r="J33" s="2" t="s">
        <v>799</v>
      </c>
      <c r="K33" s="2">
        <v>25625.599999999999</v>
      </c>
      <c r="L33" s="35">
        <v>80085381.376000002</v>
      </c>
      <c r="M33" s="36">
        <v>8320</v>
      </c>
      <c r="N33" s="37">
        <v>467858</v>
      </c>
      <c r="O33" s="37">
        <v>521029</v>
      </c>
      <c r="P33" s="37">
        <v>0</v>
      </c>
      <c r="Q33" s="37">
        <v>124137</v>
      </c>
      <c r="R33" s="37">
        <v>853489</v>
      </c>
      <c r="S33" s="37">
        <v>343435</v>
      </c>
      <c r="T33" s="37">
        <v>30000</v>
      </c>
      <c r="U33" s="37">
        <v>4054050</v>
      </c>
      <c r="V33" s="37">
        <v>0</v>
      </c>
      <c r="W33" s="45">
        <v>6393998</v>
      </c>
      <c r="X33" s="46">
        <v>7.9839764637946198</v>
      </c>
    </row>
    <row r="34" spans="1:24" s="4" customFormat="1" ht="15" customHeight="1">
      <c r="A34" s="28" t="s">
        <v>647</v>
      </c>
      <c r="B34" s="29">
        <v>3125.21</v>
      </c>
      <c r="C34" s="30" t="s">
        <v>803</v>
      </c>
      <c r="D34" s="2">
        <v>4946293634</v>
      </c>
      <c r="E34" s="2" t="s">
        <v>6</v>
      </c>
      <c r="F34" s="2" t="s">
        <v>804</v>
      </c>
      <c r="G34" s="28" t="s">
        <v>5</v>
      </c>
      <c r="H34" s="2" t="s">
        <v>20</v>
      </c>
      <c r="I34" s="2">
        <v>1</v>
      </c>
      <c r="J34" s="2" t="s">
        <v>805</v>
      </c>
      <c r="K34" s="2">
        <v>106444.8</v>
      </c>
      <c r="L34" s="35">
        <v>332662353.40799999</v>
      </c>
      <c r="M34" s="36">
        <v>16632</v>
      </c>
      <c r="N34" s="37">
        <v>467858</v>
      </c>
      <c r="O34" s="37">
        <v>396775</v>
      </c>
      <c r="P34" s="37">
        <v>0</v>
      </c>
      <c r="Q34" s="37">
        <v>124137</v>
      </c>
      <c r="R34" s="37">
        <v>728530</v>
      </c>
      <c r="S34" s="37">
        <v>343435</v>
      </c>
      <c r="T34" s="37">
        <v>30000</v>
      </c>
      <c r="U34" s="37">
        <v>499900</v>
      </c>
      <c r="V34" s="37">
        <v>89250</v>
      </c>
      <c r="W34" s="45">
        <v>2679885</v>
      </c>
      <c r="X34" s="46">
        <v>0.80558709831322695</v>
      </c>
    </row>
    <row r="35" spans="1:24" s="4" customFormat="1" ht="15" customHeight="1">
      <c r="A35" s="28" t="s">
        <v>647</v>
      </c>
      <c r="B35" s="29">
        <v>3125.21</v>
      </c>
      <c r="C35" s="30" t="s">
        <v>855</v>
      </c>
      <c r="D35" s="2">
        <v>4946580746</v>
      </c>
      <c r="E35" s="2" t="s">
        <v>6</v>
      </c>
      <c r="F35" s="2" t="s">
        <v>856</v>
      </c>
      <c r="G35" s="28" t="s">
        <v>5</v>
      </c>
      <c r="H35" s="2" t="s">
        <v>17</v>
      </c>
      <c r="I35" s="2">
        <v>2</v>
      </c>
      <c r="J35" s="2" t="s">
        <v>857</v>
      </c>
      <c r="K35" s="2">
        <v>99792</v>
      </c>
      <c r="L35" s="35">
        <v>311870956.31999999</v>
      </c>
      <c r="M35" s="36">
        <v>14400</v>
      </c>
      <c r="N35" s="37">
        <v>927781</v>
      </c>
      <c r="O35" s="37">
        <v>521029</v>
      </c>
      <c r="P35" s="37">
        <v>0</v>
      </c>
      <c r="Q35" s="37">
        <v>124137</v>
      </c>
      <c r="R35" s="37">
        <v>1692053</v>
      </c>
      <c r="S35" s="37">
        <v>354356</v>
      </c>
      <c r="T35" s="37">
        <v>30000</v>
      </c>
      <c r="U35" s="37">
        <v>8108100</v>
      </c>
      <c r="V35" s="37">
        <v>0</v>
      </c>
      <c r="W35" s="45">
        <v>11757456</v>
      </c>
      <c r="X35" s="46">
        <v>3.7699746519313799</v>
      </c>
    </row>
    <row r="36" spans="1:24" s="4" customFormat="1" ht="15" customHeight="1">
      <c r="A36" s="28" t="s">
        <v>647</v>
      </c>
      <c r="B36" s="29">
        <v>3125.21</v>
      </c>
      <c r="C36" s="30" t="s">
        <v>893</v>
      </c>
      <c r="D36" s="2">
        <v>4943584080</v>
      </c>
      <c r="E36" s="2" t="s">
        <v>6</v>
      </c>
      <c r="F36" s="2" t="s">
        <v>894</v>
      </c>
      <c r="G36" s="28" t="s">
        <v>9</v>
      </c>
      <c r="H36" s="2" t="s">
        <v>23</v>
      </c>
      <c r="I36" s="2">
        <v>4</v>
      </c>
      <c r="J36" s="2"/>
      <c r="K36" s="2">
        <v>13104</v>
      </c>
      <c r="L36" s="35">
        <v>40952751.840000004</v>
      </c>
      <c r="M36" s="36">
        <v>2880</v>
      </c>
      <c r="N36" s="37">
        <v>776308</v>
      </c>
      <c r="O36" s="37">
        <v>2331</v>
      </c>
      <c r="P36" s="37">
        <v>72471</v>
      </c>
      <c r="Q36" s="37">
        <v>57792</v>
      </c>
      <c r="R36" s="37">
        <v>137083</v>
      </c>
      <c r="S36" s="37">
        <v>354356</v>
      </c>
      <c r="T36" s="37">
        <v>30000</v>
      </c>
      <c r="U36" s="37">
        <v>1367700</v>
      </c>
      <c r="V36" s="37">
        <v>0</v>
      </c>
      <c r="W36" s="45">
        <v>2798041</v>
      </c>
      <c r="X36" s="46">
        <v>6.8323638199742502</v>
      </c>
    </row>
    <row r="37" spans="1:24" s="4" customFormat="1" ht="15" customHeight="1">
      <c r="A37" s="28" t="s">
        <v>647</v>
      </c>
      <c r="B37" s="29">
        <v>3125.21</v>
      </c>
      <c r="C37" s="30" t="s">
        <v>910</v>
      </c>
      <c r="D37" s="2">
        <v>4947222243</v>
      </c>
      <c r="E37" s="2" t="s">
        <v>6</v>
      </c>
      <c r="F37" s="2" t="s">
        <v>911</v>
      </c>
      <c r="G37" s="28" t="s">
        <v>5</v>
      </c>
      <c r="H37" s="2" t="s">
        <v>17</v>
      </c>
      <c r="I37" s="2">
        <v>1</v>
      </c>
      <c r="J37" s="2" t="s">
        <v>912</v>
      </c>
      <c r="K37" s="2">
        <v>298896</v>
      </c>
      <c r="L37" s="35">
        <v>934112768.15999997</v>
      </c>
      <c r="M37" s="36">
        <v>13110</v>
      </c>
      <c r="N37" s="40">
        <v>315347.84210526297</v>
      </c>
      <c r="O37" s="37">
        <v>464862.54185381799</v>
      </c>
      <c r="P37" s="40">
        <v>0</v>
      </c>
      <c r="Q37" s="37">
        <v>110755.142915476</v>
      </c>
      <c r="R37" s="40">
        <v>580915.15789473697</v>
      </c>
      <c r="S37" s="40">
        <v>242454.10526315801</v>
      </c>
      <c r="T37" s="37">
        <v>30000</v>
      </c>
      <c r="U37" s="40">
        <v>2773823.68421053</v>
      </c>
      <c r="V37" s="40">
        <v>913421.05263157899</v>
      </c>
      <c r="W37" s="45">
        <v>5431579.5268745599</v>
      </c>
      <c r="X37" s="46">
        <v>0.58146935916244902</v>
      </c>
    </row>
    <row r="38" spans="1:24" s="4" customFormat="1" ht="15" customHeight="1">
      <c r="A38" s="28" t="s">
        <v>647</v>
      </c>
      <c r="B38" s="29">
        <v>3125.21</v>
      </c>
      <c r="C38" s="30" t="s">
        <v>910</v>
      </c>
      <c r="D38" s="2">
        <v>4947189185</v>
      </c>
      <c r="E38" s="2" t="s">
        <v>6</v>
      </c>
      <c r="F38" s="2" t="s">
        <v>911</v>
      </c>
      <c r="G38" s="28" t="s">
        <v>5</v>
      </c>
      <c r="H38" s="2" t="s">
        <v>17</v>
      </c>
      <c r="I38" s="2">
        <v>1</v>
      </c>
      <c r="J38" s="2" t="s">
        <v>912</v>
      </c>
      <c r="K38" s="2">
        <v>26064</v>
      </c>
      <c r="L38" s="35">
        <v>81455473.439999998</v>
      </c>
      <c r="M38" s="36">
        <v>1584</v>
      </c>
      <c r="N38" s="40">
        <v>145545.157894737</v>
      </c>
      <c r="O38" s="40">
        <v>56166.4581461821</v>
      </c>
      <c r="P38" s="40">
        <v>0</v>
      </c>
      <c r="Q38" s="40">
        <v>13381.857084524299</v>
      </c>
      <c r="R38" s="40">
        <v>268114.84210526297</v>
      </c>
      <c r="S38" s="40">
        <v>111901.894736842</v>
      </c>
      <c r="T38" s="37">
        <v>30000</v>
      </c>
      <c r="U38" s="40">
        <v>1280226.31578947</v>
      </c>
      <c r="V38" s="40">
        <v>421578.94736842101</v>
      </c>
      <c r="W38" s="45">
        <v>2326915.4731254401</v>
      </c>
      <c r="X38" s="46">
        <v>2.8566717187389998</v>
      </c>
    </row>
    <row r="39" spans="1:24" s="4" customFormat="1" ht="15" customHeight="1">
      <c r="A39" s="28" t="s">
        <v>647</v>
      </c>
      <c r="B39" s="29">
        <v>3125.21</v>
      </c>
      <c r="C39" s="30" t="s">
        <v>929</v>
      </c>
      <c r="D39" s="2">
        <v>4942476056</v>
      </c>
      <c r="E39" s="2" t="s">
        <v>6</v>
      </c>
      <c r="F39" s="2" t="s">
        <v>930</v>
      </c>
      <c r="G39" s="28" t="s">
        <v>9</v>
      </c>
      <c r="H39" s="2" t="s">
        <v>23</v>
      </c>
      <c r="I39" s="2">
        <v>1</v>
      </c>
      <c r="J39" s="2"/>
      <c r="K39" s="2">
        <v>5205.6000000000004</v>
      </c>
      <c r="L39" s="35">
        <v>16268593.176000001</v>
      </c>
      <c r="M39" s="36">
        <v>792</v>
      </c>
      <c r="N39" s="37">
        <v>732541</v>
      </c>
      <c r="O39" s="37">
        <v>564</v>
      </c>
      <c r="P39" s="37">
        <v>0</v>
      </c>
      <c r="Q39" s="37">
        <v>16991</v>
      </c>
      <c r="R39" s="37">
        <v>101214</v>
      </c>
      <c r="S39" s="37">
        <v>354356</v>
      </c>
      <c r="T39" s="37">
        <v>30000</v>
      </c>
      <c r="U39" s="37">
        <v>683850</v>
      </c>
      <c r="V39" s="37">
        <v>0</v>
      </c>
      <c r="W39" s="45">
        <v>1919516</v>
      </c>
      <c r="X39" s="46">
        <v>11.7989058994464</v>
      </c>
    </row>
    <row r="40" spans="1:24" s="4" customFormat="1" ht="15" customHeight="1">
      <c r="A40" s="28" t="s">
        <v>647</v>
      </c>
      <c r="B40" s="29">
        <v>3125.21</v>
      </c>
      <c r="C40" s="30" t="s">
        <v>931</v>
      </c>
      <c r="D40" s="2">
        <v>4946611853</v>
      </c>
      <c r="E40" s="2" t="s">
        <v>6</v>
      </c>
      <c r="F40" s="2" t="s">
        <v>932</v>
      </c>
      <c r="G40" s="28" t="s">
        <v>9</v>
      </c>
      <c r="H40" s="2" t="s">
        <v>23</v>
      </c>
      <c r="I40" s="2">
        <v>1</v>
      </c>
      <c r="J40" s="2"/>
      <c r="K40" s="2">
        <v>5205.6000000000004</v>
      </c>
      <c r="L40" s="35">
        <v>16268593.176000001</v>
      </c>
      <c r="M40" s="36">
        <v>792</v>
      </c>
      <c r="N40" s="37">
        <v>732541</v>
      </c>
      <c r="O40" s="37">
        <v>564</v>
      </c>
      <c r="P40" s="37">
        <v>0</v>
      </c>
      <c r="Q40" s="37">
        <v>16991</v>
      </c>
      <c r="R40" s="37">
        <v>101214</v>
      </c>
      <c r="S40" s="37">
        <v>354356</v>
      </c>
      <c r="T40" s="37">
        <v>30000</v>
      </c>
      <c r="U40" s="37">
        <v>683850</v>
      </c>
      <c r="V40" s="37">
        <v>0</v>
      </c>
      <c r="W40" s="45">
        <v>1919516</v>
      </c>
      <c r="X40" s="46">
        <v>11.7989058994464</v>
      </c>
    </row>
    <row r="41" spans="1:24" s="4" customFormat="1" ht="15" customHeight="1">
      <c r="A41" s="28" t="s">
        <v>647</v>
      </c>
      <c r="B41" s="29">
        <v>3125.21</v>
      </c>
      <c r="C41" s="30" t="s">
        <v>936</v>
      </c>
      <c r="D41" s="2">
        <v>4948185771</v>
      </c>
      <c r="E41" s="2" t="s">
        <v>6</v>
      </c>
      <c r="F41" s="2" t="s">
        <v>937</v>
      </c>
      <c r="G41" s="28" t="s">
        <v>5</v>
      </c>
      <c r="H41" s="2" t="s">
        <v>20</v>
      </c>
      <c r="I41" s="2">
        <v>1</v>
      </c>
      <c r="J41" s="2" t="s">
        <v>938</v>
      </c>
      <c r="K41" s="2">
        <v>24818.400000000001</v>
      </c>
      <c r="L41" s="35">
        <v>77562711.863999993</v>
      </c>
      <c r="M41" s="36">
        <v>6480</v>
      </c>
      <c r="N41" s="37">
        <v>317267</v>
      </c>
      <c r="O41" s="37">
        <v>392267</v>
      </c>
      <c r="P41" s="37">
        <v>0</v>
      </c>
      <c r="Q41" s="37">
        <v>124137</v>
      </c>
      <c r="R41" s="37">
        <v>789352</v>
      </c>
      <c r="S41" s="37">
        <v>354356</v>
      </c>
      <c r="T41" s="37">
        <v>30000</v>
      </c>
      <c r="U41" s="37">
        <v>2400300</v>
      </c>
      <c r="V41" s="37">
        <v>0</v>
      </c>
      <c r="W41" s="45">
        <v>4407679</v>
      </c>
      <c r="X41" s="46">
        <v>5.6827293606346698</v>
      </c>
    </row>
    <row r="42" spans="1:24" s="4" customFormat="1" ht="15" customHeight="1">
      <c r="A42" s="28" t="s">
        <v>647</v>
      </c>
      <c r="B42" s="29">
        <v>3125.21</v>
      </c>
      <c r="C42" s="30" t="s">
        <v>939</v>
      </c>
      <c r="D42" s="2">
        <v>4946580746</v>
      </c>
      <c r="E42" s="2" t="s">
        <v>6</v>
      </c>
      <c r="F42" s="2" t="s">
        <v>940</v>
      </c>
      <c r="G42" s="28" t="s">
        <v>5</v>
      </c>
      <c r="H42" s="2" t="s">
        <v>20</v>
      </c>
      <c r="I42" s="2">
        <v>1</v>
      </c>
      <c r="J42" s="2" t="s">
        <v>941</v>
      </c>
      <c r="K42" s="2">
        <v>19958.400000000001</v>
      </c>
      <c r="L42" s="35">
        <v>62374191.263999999</v>
      </c>
      <c r="M42" s="36">
        <v>2880</v>
      </c>
      <c r="N42" s="37">
        <v>463890</v>
      </c>
      <c r="O42" s="37">
        <v>392267</v>
      </c>
      <c r="P42" s="37">
        <v>0</v>
      </c>
      <c r="Q42" s="37">
        <v>124137</v>
      </c>
      <c r="R42" s="37">
        <v>722855</v>
      </c>
      <c r="S42" s="37">
        <v>354356</v>
      </c>
      <c r="T42" s="37">
        <v>30000</v>
      </c>
      <c r="U42" s="37">
        <v>2119000</v>
      </c>
      <c r="V42" s="37">
        <v>0</v>
      </c>
      <c r="W42" s="45">
        <v>4206505</v>
      </c>
      <c r="X42" s="46">
        <v>6.7439832320965598</v>
      </c>
    </row>
    <row r="43" spans="1:24" s="4" customFormat="1" ht="15" customHeight="1">
      <c r="A43" s="28" t="s">
        <v>647</v>
      </c>
      <c r="B43" s="29">
        <v>3125.21</v>
      </c>
      <c r="C43" s="30" t="s">
        <v>949</v>
      </c>
      <c r="D43" s="2">
        <v>4947223073</v>
      </c>
      <c r="E43" s="2" t="s">
        <v>6</v>
      </c>
      <c r="F43" s="2" t="s">
        <v>950</v>
      </c>
      <c r="G43" s="28" t="s">
        <v>5</v>
      </c>
      <c r="H43" s="2" t="s">
        <v>20</v>
      </c>
      <c r="I43" s="2">
        <v>1</v>
      </c>
      <c r="J43" s="2" t="s">
        <v>951</v>
      </c>
      <c r="K43" s="2">
        <v>54360</v>
      </c>
      <c r="L43" s="35">
        <v>169886415.59999999</v>
      </c>
      <c r="M43" s="36">
        <v>7200</v>
      </c>
      <c r="N43" s="37">
        <v>316761</v>
      </c>
      <c r="O43" s="37">
        <v>392267</v>
      </c>
      <c r="P43" s="37">
        <v>0</v>
      </c>
      <c r="Q43" s="37">
        <v>124137</v>
      </c>
      <c r="R43" s="37">
        <v>721605</v>
      </c>
      <c r="S43" s="37">
        <v>354356</v>
      </c>
      <c r="T43" s="37">
        <v>30000</v>
      </c>
      <c r="U43" s="37">
        <v>2400300</v>
      </c>
      <c r="V43" s="37">
        <v>0</v>
      </c>
      <c r="W43" s="45">
        <v>4339426</v>
      </c>
      <c r="X43" s="46">
        <v>2.55431017522745</v>
      </c>
    </row>
    <row r="44" spans="1:24" s="4" customFormat="1" ht="15" customHeight="1">
      <c r="A44" s="28" t="s">
        <v>647</v>
      </c>
      <c r="B44" s="29">
        <v>3125.21</v>
      </c>
      <c r="C44" s="30" t="s">
        <v>981</v>
      </c>
      <c r="D44" s="2">
        <v>4947224863</v>
      </c>
      <c r="E44" s="2" t="s">
        <v>6</v>
      </c>
      <c r="F44" s="2" t="s">
        <v>982</v>
      </c>
      <c r="G44" s="28" t="s">
        <v>5</v>
      </c>
      <c r="H44" s="2" t="s">
        <v>17</v>
      </c>
      <c r="I44" s="2">
        <v>1</v>
      </c>
      <c r="J44" s="2" t="s">
        <v>983</v>
      </c>
      <c r="K44" s="2">
        <v>49636.800000000003</v>
      </c>
      <c r="L44" s="35">
        <v>155125423.72799999</v>
      </c>
      <c r="M44" s="36">
        <v>14256</v>
      </c>
      <c r="N44" s="37">
        <v>317267</v>
      </c>
      <c r="O44" s="37">
        <v>515109</v>
      </c>
      <c r="P44" s="37">
        <v>0</v>
      </c>
      <c r="Q44" s="37">
        <v>124137</v>
      </c>
      <c r="R44" s="37">
        <v>912332</v>
      </c>
      <c r="S44" s="37">
        <v>354356</v>
      </c>
      <c r="T44" s="37">
        <v>30000</v>
      </c>
      <c r="U44" s="37">
        <v>4781550</v>
      </c>
      <c r="V44" s="37">
        <v>0</v>
      </c>
      <c r="W44" s="45">
        <v>7034751</v>
      </c>
      <c r="X44" s="46">
        <v>4.53487947426005</v>
      </c>
    </row>
    <row r="45" spans="1:24" s="4" customFormat="1" ht="15" customHeight="1">
      <c r="A45" s="28" t="s">
        <v>647</v>
      </c>
      <c r="B45" s="29">
        <v>3125.21</v>
      </c>
      <c r="C45" s="30" t="s">
        <v>984</v>
      </c>
      <c r="D45" s="2">
        <v>4947198890</v>
      </c>
      <c r="E45" s="2" t="s">
        <v>6</v>
      </c>
      <c r="F45" s="2" t="s">
        <v>985</v>
      </c>
      <c r="G45" s="28" t="s">
        <v>5</v>
      </c>
      <c r="H45" s="2" t="s">
        <v>17</v>
      </c>
      <c r="I45" s="2">
        <v>1</v>
      </c>
      <c r="J45" s="2" t="s">
        <v>986</v>
      </c>
      <c r="K45" s="2">
        <v>30333.599999999999</v>
      </c>
      <c r="L45" s="35">
        <v>94798870.055999994</v>
      </c>
      <c r="M45" s="36">
        <v>8712</v>
      </c>
      <c r="N45" s="37">
        <v>317267</v>
      </c>
      <c r="O45" s="37">
        <v>515109</v>
      </c>
      <c r="P45" s="37">
        <v>0</v>
      </c>
      <c r="Q45" s="37">
        <v>124137</v>
      </c>
      <c r="R45" s="37">
        <v>912332</v>
      </c>
      <c r="S45" s="37">
        <v>354356</v>
      </c>
      <c r="T45" s="37">
        <v>30000</v>
      </c>
      <c r="U45" s="37">
        <v>4054050</v>
      </c>
      <c r="V45" s="37">
        <v>0</v>
      </c>
      <c r="W45" s="45">
        <v>6307251</v>
      </c>
      <c r="X45" s="46">
        <v>6.6532976566853099</v>
      </c>
    </row>
    <row r="46" spans="1:24" s="4" customFormat="1" ht="15" customHeight="1">
      <c r="A46" s="28" t="s">
        <v>647</v>
      </c>
      <c r="B46" s="29">
        <v>3125.21</v>
      </c>
      <c r="C46" s="30" t="s">
        <v>987</v>
      </c>
      <c r="D46" s="2">
        <v>4947224359</v>
      </c>
      <c r="E46" s="2" t="s">
        <v>6</v>
      </c>
      <c r="F46" s="2" t="s">
        <v>988</v>
      </c>
      <c r="G46" s="28" t="s">
        <v>5</v>
      </c>
      <c r="H46" s="2" t="s">
        <v>17</v>
      </c>
      <c r="I46" s="2">
        <v>1</v>
      </c>
      <c r="J46" s="2" t="s">
        <v>989</v>
      </c>
      <c r="K46" s="2">
        <v>139860</v>
      </c>
      <c r="L46" s="35">
        <v>437091870.60000002</v>
      </c>
      <c r="M46" s="36">
        <v>9000</v>
      </c>
      <c r="N46" s="37">
        <v>317267</v>
      </c>
      <c r="O46" s="37">
        <v>515109</v>
      </c>
      <c r="P46" s="37">
        <v>0</v>
      </c>
      <c r="Q46" s="37">
        <v>124137</v>
      </c>
      <c r="R46" s="37">
        <v>912332</v>
      </c>
      <c r="S46" s="37">
        <v>354356</v>
      </c>
      <c r="T46" s="37">
        <v>30000</v>
      </c>
      <c r="U46" s="37">
        <v>4054050</v>
      </c>
      <c r="V46" s="37">
        <v>1335000</v>
      </c>
      <c r="W46" s="45">
        <v>7642251</v>
      </c>
      <c r="X46" s="46">
        <v>1.74843128276658</v>
      </c>
    </row>
    <row r="47" spans="1:24" s="4" customFormat="1" ht="15" customHeight="1">
      <c r="A47" s="28" t="s">
        <v>647</v>
      </c>
      <c r="B47" s="29">
        <v>3125.21</v>
      </c>
      <c r="C47" s="30" t="s">
        <v>996</v>
      </c>
      <c r="D47" s="2">
        <v>4946765521</v>
      </c>
      <c r="E47" s="2" t="s">
        <v>6</v>
      </c>
      <c r="F47" s="2" t="s">
        <v>997</v>
      </c>
      <c r="G47" s="28" t="s">
        <v>9</v>
      </c>
      <c r="H47" s="2" t="s">
        <v>23</v>
      </c>
      <c r="I47" s="2">
        <v>4</v>
      </c>
      <c r="J47" s="2"/>
      <c r="K47" s="2">
        <v>19958.400000000001</v>
      </c>
      <c r="L47" s="35">
        <v>62374191.263999999</v>
      </c>
      <c r="M47" s="36">
        <v>960</v>
      </c>
      <c r="N47" s="37">
        <v>808595</v>
      </c>
      <c r="O47" s="37">
        <v>1737</v>
      </c>
      <c r="P47" s="37">
        <v>93282</v>
      </c>
      <c r="Q47" s="37">
        <v>27600</v>
      </c>
      <c r="R47" s="37">
        <v>240354</v>
      </c>
      <c r="S47" s="37">
        <v>354356</v>
      </c>
      <c r="T47" s="37">
        <v>30000</v>
      </c>
      <c r="U47" s="37">
        <v>1367700</v>
      </c>
      <c r="V47" s="37">
        <v>0</v>
      </c>
      <c r="W47" s="45">
        <v>2923624</v>
      </c>
      <c r="X47" s="46">
        <v>4.6872335187893697</v>
      </c>
    </row>
    <row r="48" spans="1:24" s="4" customFormat="1" ht="15" customHeight="1">
      <c r="A48" s="28" t="s">
        <v>647</v>
      </c>
      <c r="B48" s="29">
        <v>3125.21</v>
      </c>
      <c r="C48" s="30" t="s">
        <v>1035</v>
      </c>
      <c r="D48" s="2">
        <v>4946630993</v>
      </c>
      <c r="E48" s="2" t="s">
        <v>6</v>
      </c>
      <c r="F48" s="2" t="s">
        <v>1036</v>
      </c>
      <c r="G48" s="28" t="s">
        <v>5</v>
      </c>
      <c r="H48" s="2" t="s">
        <v>17</v>
      </c>
      <c r="I48" s="2">
        <v>1</v>
      </c>
      <c r="J48" s="2" t="s">
        <v>1037</v>
      </c>
      <c r="K48" s="2">
        <v>369122.4</v>
      </c>
      <c r="L48" s="35">
        <v>1153585015.704</v>
      </c>
      <c r="M48" s="36">
        <v>16560</v>
      </c>
      <c r="N48" s="37">
        <v>0</v>
      </c>
      <c r="O48" s="37">
        <v>515109</v>
      </c>
      <c r="P48" s="37">
        <v>0</v>
      </c>
      <c r="Q48" s="37">
        <v>124137</v>
      </c>
      <c r="R48" s="37">
        <v>843318</v>
      </c>
      <c r="S48" s="37">
        <v>354356</v>
      </c>
      <c r="T48" s="37">
        <v>30000</v>
      </c>
      <c r="U48" s="37">
        <v>4975550</v>
      </c>
      <c r="V48" s="37">
        <v>1335000</v>
      </c>
      <c r="W48" s="45">
        <v>8177470</v>
      </c>
      <c r="X48" s="46">
        <v>0.70887449894705201</v>
      </c>
    </row>
    <row r="49" spans="1:24" s="4" customFormat="1" ht="15" customHeight="1">
      <c r="A49" s="28" t="s">
        <v>647</v>
      </c>
      <c r="B49" s="29">
        <v>3125.21</v>
      </c>
      <c r="C49" s="30" t="s">
        <v>1064</v>
      </c>
      <c r="D49" s="2">
        <v>4948415752</v>
      </c>
      <c r="E49" s="2" t="s">
        <v>6</v>
      </c>
      <c r="F49" s="2" t="s">
        <v>1065</v>
      </c>
      <c r="G49" s="28" t="s">
        <v>5</v>
      </c>
      <c r="H49" s="2" t="s">
        <v>17</v>
      </c>
      <c r="I49" s="2">
        <v>6</v>
      </c>
      <c r="J49" s="2" t="s">
        <v>1066</v>
      </c>
      <c r="K49" s="2">
        <v>36308</v>
      </c>
      <c r="L49" s="35">
        <v>113470124.68000001</v>
      </c>
      <c r="M49" s="36">
        <v>400</v>
      </c>
      <c r="N49" s="40">
        <v>533654.80208649696</v>
      </c>
      <c r="O49" s="40">
        <v>187956.60869565199</v>
      </c>
      <c r="P49" s="40">
        <v>80672.911508748803</v>
      </c>
      <c r="Q49" s="40">
        <v>53935.391304347802</v>
      </c>
      <c r="R49" s="40">
        <v>726004.49637504097</v>
      </c>
      <c r="S49" s="40">
        <v>28601.1736150545</v>
      </c>
      <c r="T49" s="37">
        <v>30000</v>
      </c>
      <c r="U49" s="40">
        <v>1187644.9362826</v>
      </c>
      <c r="V49" s="40">
        <v>146563.54038956799</v>
      </c>
      <c r="W49" s="45">
        <v>2975033.8602575101</v>
      </c>
      <c r="X49" s="46">
        <v>2.6218653312028</v>
      </c>
    </row>
    <row r="50" spans="1:24" s="4" customFormat="1" ht="15" customHeight="1">
      <c r="A50" s="28" t="s">
        <v>647</v>
      </c>
      <c r="B50" s="29">
        <v>3125.21</v>
      </c>
      <c r="C50" s="30" t="s">
        <v>1064</v>
      </c>
      <c r="D50" s="2">
        <v>4948415762</v>
      </c>
      <c r="E50" s="2" t="s">
        <v>6</v>
      </c>
      <c r="F50" s="2" t="s">
        <v>1065</v>
      </c>
      <c r="G50" s="28" t="s">
        <v>5</v>
      </c>
      <c r="H50" s="2" t="s">
        <v>17</v>
      </c>
      <c r="I50" s="2">
        <v>6</v>
      </c>
      <c r="J50" s="2" t="s">
        <v>1066</v>
      </c>
      <c r="K50" s="2">
        <v>90770</v>
      </c>
      <c r="L50" s="35">
        <v>283675311.69999999</v>
      </c>
      <c r="M50" s="36">
        <v>1000</v>
      </c>
      <c r="N50" s="40">
        <v>1426478.8440066001</v>
      </c>
      <c r="O50" s="40">
        <v>469891.52173913002</v>
      </c>
      <c r="P50" s="40">
        <v>215641.649061737</v>
      </c>
      <c r="Q50" s="40">
        <v>134838.47826087</v>
      </c>
      <c r="R50" s="40">
        <v>1940635.9886087801</v>
      </c>
      <c r="S50" s="40">
        <v>76451.985283591901</v>
      </c>
      <c r="T50" s="37">
        <v>30000</v>
      </c>
      <c r="U50" s="40">
        <v>3174618.4409376001</v>
      </c>
      <c r="V50" s="40">
        <v>391769.71489996702</v>
      </c>
      <c r="W50" s="45">
        <v>7860326.6227982799</v>
      </c>
      <c r="X50" s="46">
        <v>2.7708885118317701</v>
      </c>
    </row>
    <row r="51" spans="1:24" s="4" customFormat="1" ht="15" customHeight="1">
      <c r="A51" s="28" t="s">
        <v>647</v>
      </c>
      <c r="B51" s="29">
        <v>3125.21</v>
      </c>
      <c r="C51" s="30" t="s">
        <v>1064</v>
      </c>
      <c r="D51" s="2">
        <v>4948415760</v>
      </c>
      <c r="E51" s="2" t="s">
        <v>6</v>
      </c>
      <c r="F51" s="2" t="s">
        <v>1065</v>
      </c>
      <c r="G51" s="28" t="s">
        <v>5</v>
      </c>
      <c r="H51" s="2" t="s">
        <v>17</v>
      </c>
      <c r="I51" s="2">
        <v>6</v>
      </c>
      <c r="J51" s="2" t="s">
        <v>1066</v>
      </c>
      <c r="K51" s="2">
        <v>290464</v>
      </c>
      <c r="L51" s="35">
        <v>907760997.44000006</v>
      </c>
      <c r="M51" s="36">
        <v>3200</v>
      </c>
      <c r="N51" s="40">
        <v>4651615.3539068997</v>
      </c>
      <c r="O51" s="40">
        <v>1503652.8695652201</v>
      </c>
      <c r="P51" s="40">
        <v>703187.43942951504</v>
      </c>
      <c r="Q51" s="40">
        <v>431483.130434783</v>
      </c>
      <c r="R51" s="40">
        <v>6328233.5150161805</v>
      </c>
      <c r="S51" s="40">
        <v>249302.84110135399</v>
      </c>
      <c r="T51" s="37">
        <v>30000</v>
      </c>
      <c r="U51" s="40">
        <v>10352136.6227798</v>
      </c>
      <c r="V51" s="40">
        <v>1277524.7447104701</v>
      </c>
      <c r="W51" s="45">
        <v>25527136.5169442</v>
      </c>
      <c r="X51" s="46">
        <v>2.8120988441818899</v>
      </c>
    </row>
    <row r="52" spans="1:24" s="4" customFormat="1" ht="15" customHeight="1">
      <c r="A52" s="28" t="s">
        <v>647</v>
      </c>
      <c r="B52" s="29">
        <v>3125.21</v>
      </c>
      <c r="C52" s="30" t="s">
        <v>1074</v>
      </c>
      <c r="D52" s="2" t="s">
        <v>1075</v>
      </c>
      <c r="E52" s="2" t="s">
        <v>6</v>
      </c>
      <c r="F52" s="2" t="s">
        <v>1076</v>
      </c>
      <c r="G52" s="28" t="s">
        <v>9</v>
      </c>
      <c r="H52" s="2" t="s">
        <v>23</v>
      </c>
      <c r="I52" s="2">
        <v>1</v>
      </c>
      <c r="J52" s="2"/>
      <c r="K52" s="2">
        <v>7800</v>
      </c>
      <c r="L52" s="35">
        <v>24376638</v>
      </c>
      <c r="M52" s="36">
        <v>480</v>
      </c>
      <c r="N52" s="40">
        <v>623008</v>
      </c>
      <c r="O52" s="40">
        <v>409</v>
      </c>
      <c r="P52" s="40">
        <v>0</v>
      </c>
      <c r="Q52" s="40">
        <v>12224</v>
      </c>
      <c r="R52" s="40">
        <v>95834</v>
      </c>
      <c r="S52" s="40">
        <v>354356</v>
      </c>
      <c r="T52" s="37">
        <v>30000</v>
      </c>
      <c r="U52" s="40">
        <v>231722.22222222199</v>
      </c>
      <c r="V52" s="40">
        <v>148333.33333333299</v>
      </c>
      <c r="W52" s="45">
        <v>1495886.5555555599</v>
      </c>
      <c r="X52" s="46">
        <v>6.1365581076256497</v>
      </c>
    </row>
    <row r="53" spans="1:24" s="4" customFormat="1" ht="15" customHeight="1">
      <c r="A53" s="28" t="s">
        <v>647</v>
      </c>
      <c r="B53" s="29">
        <v>3125.21</v>
      </c>
      <c r="C53" s="30" t="s">
        <v>1107</v>
      </c>
      <c r="D53" s="2">
        <v>4949227686</v>
      </c>
      <c r="E53" s="2" t="s">
        <v>6</v>
      </c>
      <c r="F53" s="78" t="s">
        <v>1108</v>
      </c>
      <c r="G53" s="28" t="s">
        <v>13</v>
      </c>
      <c r="H53" s="2" t="s">
        <v>23</v>
      </c>
      <c r="I53" s="2">
        <v>1</v>
      </c>
      <c r="J53" s="2"/>
      <c r="K53" s="2">
        <v>543.35</v>
      </c>
      <c r="L53" s="35">
        <v>1698082.8535</v>
      </c>
      <c r="M53" s="36">
        <v>339</v>
      </c>
      <c r="N53" s="40">
        <v>247653.87</v>
      </c>
      <c r="O53" s="40">
        <v>0</v>
      </c>
      <c r="P53" s="40">
        <v>0</v>
      </c>
      <c r="Q53" s="40">
        <v>0</v>
      </c>
      <c r="R53" s="40">
        <v>990</v>
      </c>
      <c r="S53" s="40">
        <v>354356</v>
      </c>
      <c r="T53" s="37">
        <v>30000</v>
      </c>
      <c r="U53" s="40">
        <v>246380</v>
      </c>
      <c r="V53" s="40">
        <v>0</v>
      </c>
      <c r="W53" s="45">
        <v>879379.87</v>
      </c>
      <c r="X53" s="46">
        <v>51.786629149894999</v>
      </c>
    </row>
    <row r="55" spans="1:24" ht="15" customHeight="1">
      <c r="A55" s="31" t="s">
        <v>647</v>
      </c>
      <c r="B55" s="31"/>
      <c r="C55" s="31"/>
      <c r="D55" s="31"/>
      <c r="E55" s="31"/>
      <c r="F55" s="32">
        <v>23</v>
      </c>
      <c r="G55" s="31"/>
      <c r="H55" s="31"/>
      <c r="I55" s="38"/>
      <c r="J55" s="31"/>
      <c r="K55" s="39">
        <f>+SUM(K24:K53)</f>
        <v>1923368.9500000002</v>
      </c>
      <c r="L55" s="39">
        <f>+SUM(L24:L53)</f>
        <v>6170692611.4295006</v>
      </c>
      <c r="M55" s="31"/>
      <c r="N55" s="39"/>
      <c r="O55" s="39"/>
      <c r="P55" s="39"/>
      <c r="Q55" s="39"/>
      <c r="R55" s="39"/>
      <c r="S55" s="39"/>
      <c r="T55" s="39"/>
      <c r="U55" s="39"/>
      <c r="V55" s="31"/>
      <c r="W55" s="39">
        <f>+SUM(W24:W53)</f>
        <v>142711917.42555556</v>
      </c>
      <c r="X55" s="47">
        <f>(W55/L55)*100</f>
        <v>2.3127374253130228</v>
      </c>
    </row>
    <row r="57" spans="1:24" s="4" customFormat="1" ht="15" customHeight="1">
      <c r="A57" s="28" t="s">
        <v>1109</v>
      </c>
      <c r="B57" s="29">
        <v>3106.0650000000001</v>
      </c>
      <c r="C57" s="30" t="s">
        <v>1186</v>
      </c>
      <c r="D57" s="2">
        <v>4947010964</v>
      </c>
      <c r="E57" s="2" t="s">
        <v>6</v>
      </c>
      <c r="F57" s="2" t="s">
        <v>1187</v>
      </c>
      <c r="G57" s="28" t="s">
        <v>9</v>
      </c>
      <c r="H57" s="2" t="s">
        <v>23</v>
      </c>
      <c r="I57" s="2">
        <v>3</v>
      </c>
      <c r="J57" s="2"/>
      <c r="K57" s="2">
        <v>18270</v>
      </c>
      <c r="L57" s="35">
        <v>56747807.549999997</v>
      </c>
      <c r="M57" s="36">
        <v>1980</v>
      </c>
      <c r="N57" s="40">
        <v>741426</v>
      </c>
      <c r="O57" s="40">
        <v>2751</v>
      </c>
      <c r="P57" s="40">
        <v>210280</v>
      </c>
      <c r="Q57" s="40">
        <v>42657</v>
      </c>
      <c r="R57" s="40">
        <v>256188</v>
      </c>
      <c r="S57" s="40">
        <v>354356</v>
      </c>
      <c r="T57" s="37">
        <v>30000</v>
      </c>
      <c r="U57" s="40">
        <v>1367700</v>
      </c>
      <c r="V57" s="40">
        <v>0</v>
      </c>
      <c r="W57" s="45">
        <v>3005358</v>
      </c>
      <c r="X57" s="46">
        <v>5.2959896245365998</v>
      </c>
    </row>
    <row r="58" spans="1:24" s="4" customFormat="1" ht="15" customHeight="1">
      <c r="A58" s="28" t="s">
        <v>1109</v>
      </c>
      <c r="B58" s="29">
        <v>3106.0650000000001</v>
      </c>
      <c r="C58" s="30" t="s">
        <v>1194</v>
      </c>
      <c r="D58" s="2">
        <v>4946294193</v>
      </c>
      <c r="E58" s="2" t="s">
        <v>6</v>
      </c>
      <c r="F58" s="2" t="s">
        <v>1195</v>
      </c>
      <c r="G58" s="28" t="s">
        <v>5</v>
      </c>
      <c r="H58" s="2" t="s">
        <v>20</v>
      </c>
      <c r="I58" s="2">
        <v>1</v>
      </c>
      <c r="J58" s="2" t="s">
        <v>1196</v>
      </c>
      <c r="K58" s="2">
        <v>95744</v>
      </c>
      <c r="L58" s="35">
        <v>297387087.36000001</v>
      </c>
      <c r="M58" s="36">
        <v>13600</v>
      </c>
      <c r="N58" s="40">
        <v>321838</v>
      </c>
      <c r="O58" s="40">
        <v>392345</v>
      </c>
      <c r="P58" s="40">
        <v>0</v>
      </c>
      <c r="Q58" s="40">
        <v>124137</v>
      </c>
      <c r="R58" s="40">
        <v>638422</v>
      </c>
      <c r="S58" s="40">
        <v>354356</v>
      </c>
      <c r="T58" s="37">
        <v>30000</v>
      </c>
      <c r="U58" s="40">
        <v>499900</v>
      </c>
      <c r="V58" s="40">
        <v>0</v>
      </c>
      <c r="W58" s="45">
        <v>2360998</v>
      </c>
      <c r="X58" s="46">
        <v>0.79391409390344803</v>
      </c>
    </row>
    <row r="59" spans="1:24" s="4" customFormat="1" ht="15" customHeight="1">
      <c r="A59" s="28" t="s">
        <v>1109</v>
      </c>
      <c r="B59" s="29">
        <v>3106.0650000000001</v>
      </c>
      <c r="C59" s="30" t="s">
        <v>1206</v>
      </c>
      <c r="D59" s="2">
        <v>4947722816</v>
      </c>
      <c r="E59" s="2" t="s">
        <v>6</v>
      </c>
      <c r="F59" s="2" t="s">
        <v>1207</v>
      </c>
      <c r="G59" s="28" t="s">
        <v>5</v>
      </c>
      <c r="H59" s="2" t="s">
        <v>20</v>
      </c>
      <c r="I59" s="2">
        <v>1</v>
      </c>
      <c r="J59" s="2" t="s">
        <v>1208</v>
      </c>
      <c r="K59" s="2">
        <v>25677</v>
      </c>
      <c r="L59" s="35">
        <v>79754431.004999995</v>
      </c>
      <c r="M59" s="36">
        <v>8910</v>
      </c>
      <c r="N59" s="40">
        <v>251195.526315789</v>
      </c>
      <c r="O59" s="40">
        <v>309746.05263157899</v>
      </c>
      <c r="P59" s="40">
        <v>0</v>
      </c>
      <c r="Q59" s="40">
        <v>98002.894736842107</v>
      </c>
      <c r="R59" s="40">
        <v>626058.47368421103</v>
      </c>
      <c r="S59" s="40">
        <v>279754.73684210499</v>
      </c>
      <c r="T59" s="37">
        <v>30000</v>
      </c>
      <c r="U59" s="40">
        <v>394657.89473684202</v>
      </c>
      <c r="V59" s="40">
        <v>0</v>
      </c>
      <c r="W59" s="45">
        <v>1989415.5789473699</v>
      </c>
      <c r="X59" s="46">
        <v>2.4944263959737198</v>
      </c>
    </row>
    <row r="60" spans="1:24" s="4" customFormat="1" ht="15" customHeight="1">
      <c r="A60" s="28" t="s">
        <v>1109</v>
      </c>
      <c r="B60" s="29">
        <v>3106.0650000000001</v>
      </c>
      <c r="C60" s="30" t="s">
        <v>1206</v>
      </c>
      <c r="D60" s="2">
        <v>4946294197</v>
      </c>
      <c r="E60" s="2" t="s">
        <v>6</v>
      </c>
      <c r="F60" s="2" t="s">
        <v>1207</v>
      </c>
      <c r="G60" s="28" t="s">
        <v>5</v>
      </c>
      <c r="H60" s="2" t="s">
        <v>20</v>
      </c>
      <c r="I60" s="2">
        <v>1</v>
      </c>
      <c r="J60" s="2" t="s">
        <v>1208</v>
      </c>
      <c r="K60" s="2">
        <v>6847.2</v>
      </c>
      <c r="L60" s="35">
        <v>21267848.267999999</v>
      </c>
      <c r="M60" s="36">
        <v>2376</v>
      </c>
      <c r="N60" s="40">
        <v>66985.473684210505</v>
      </c>
      <c r="O60" s="40">
        <v>82598.947368421097</v>
      </c>
      <c r="P60" s="40">
        <v>0</v>
      </c>
      <c r="Q60" s="40">
        <v>26134.1052631579</v>
      </c>
      <c r="R60" s="40">
        <v>166948.526315789</v>
      </c>
      <c r="S60" s="40">
        <v>74601.263157894704</v>
      </c>
      <c r="T60" s="37">
        <v>30000</v>
      </c>
      <c r="U60" s="40">
        <v>105242.105263158</v>
      </c>
      <c r="V60" s="40">
        <v>0</v>
      </c>
      <c r="W60" s="45">
        <v>552510.42105263099</v>
      </c>
      <c r="X60" s="46">
        <v>2.5978670436724398</v>
      </c>
    </row>
    <row r="61" spans="1:24" s="4" customFormat="1" ht="15" customHeight="1">
      <c r="A61" s="28" t="s">
        <v>1109</v>
      </c>
      <c r="B61" s="29">
        <v>3106.0650000000001</v>
      </c>
      <c r="C61" s="30" t="s">
        <v>1220</v>
      </c>
      <c r="D61" s="2">
        <v>4946607250</v>
      </c>
      <c r="E61" s="2" t="s">
        <v>6</v>
      </c>
      <c r="F61" s="78" t="s">
        <v>1221</v>
      </c>
      <c r="G61" s="28" t="s">
        <v>9</v>
      </c>
      <c r="H61" s="2" t="s">
        <v>23</v>
      </c>
      <c r="I61" s="2">
        <v>5</v>
      </c>
      <c r="J61" s="2"/>
      <c r="K61" s="2">
        <v>6562.5</v>
      </c>
      <c r="L61" s="35">
        <v>20383551.5625</v>
      </c>
      <c r="M61" s="36">
        <v>4375</v>
      </c>
      <c r="N61" s="40">
        <v>2194623</v>
      </c>
      <c r="O61" s="40">
        <v>2807</v>
      </c>
      <c r="P61" s="40">
        <v>0</v>
      </c>
      <c r="Q61" s="40">
        <v>69254</v>
      </c>
      <c r="R61" s="40">
        <v>156571</v>
      </c>
      <c r="S61" s="40">
        <v>354356</v>
      </c>
      <c r="T61" s="37">
        <v>30000</v>
      </c>
      <c r="U61" s="40">
        <v>2085500</v>
      </c>
      <c r="V61" s="40">
        <v>0</v>
      </c>
      <c r="W61" s="45">
        <v>4893111</v>
      </c>
      <c r="X61" s="46">
        <v>24.005193525754098</v>
      </c>
    </row>
    <row r="62" spans="1:24" s="4" customFormat="1" ht="15" customHeight="1">
      <c r="A62" s="28" t="s">
        <v>1109</v>
      </c>
      <c r="B62" s="29">
        <v>3106.0650000000001</v>
      </c>
      <c r="C62" s="30" t="s">
        <v>1234</v>
      </c>
      <c r="D62" s="2">
        <v>4948492529</v>
      </c>
      <c r="E62" s="2" t="s">
        <v>6</v>
      </c>
      <c r="F62" s="2" t="s">
        <v>1235</v>
      </c>
      <c r="G62" s="28" t="s">
        <v>5</v>
      </c>
      <c r="H62" s="2" t="s">
        <v>20</v>
      </c>
      <c r="I62" s="2">
        <v>1</v>
      </c>
      <c r="J62" s="2" t="s">
        <v>1236</v>
      </c>
      <c r="K62" s="2">
        <v>60000</v>
      </c>
      <c r="L62" s="35">
        <v>186363900</v>
      </c>
      <c r="M62" s="36">
        <v>12000</v>
      </c>
      <c r="N62" s="40">
        <v>2026140</v>
      </c>
      <c r="O62" s="40">
        <v>392345</v>
      </c>
      <c r="P62" s="40">
        <v>0</v>
      </c>
      <c r="Q62" s="40">
        <v>124137</v>
      </c>
      <c r="R62" s="40">
        <v>757385</v>
      </c>
      <c r="S62" s="40">
        <v>354356</v>
      </c>
      <c r="T62" s="37">
        <v>30000</v>
      </c>
      <c r="U62" s="40">
        <v>2749500</v>
      </c>
      <c r="V62" s="40">
        <v>0</v>
      </c>
      <c r="W62" s="45">
        <v>6433863</v>
      </c>
      <c r="X62" s="46">
        <v>3.45231184794909</v>
      </c>
    </row>
    <row r="63" spans="1:24" s="4" customFormat="1" ht="15" customHeight="1">
      <c r="A63" s="28" t="s">
        <v>1109</v>
      </c>
      <c r="B63" s="29">
        <v>3106.0650000000001</v>
      </c>
      <c r="C63" s="30" t="s">
        <v>1252</v>
      </c>
      <c r="D63" s="2">
        <v>4947224896</v>
      </c>
      <c r="E63" s="2" t="s">
        <v>6</v>
      </c>
      <c r="F63" s="2" t="s">
        <v>1253</v>
      </c>
      <c r="G63" s="28" t="s">
        <v>9</v>
      </c>
      <c r="H63" s="2" t="s">
        <v>23</v>
      </c>
      <c r="I63" s="2">
        <v>8</v>
      </c>
      <c r="J63" s="2"/>
      <c r="K63" s="2">
        <v>39916.800000000003</v>
      </c>
      <c r="L63" s="35">
        <v>123984175.392</v>
      </c>
      <c r="M63" s="36">
        <v>1920</v>
      </c>
      <c r="N63" s="40">
        <v>1139306</v>
      </c>
      <c r="O63" s="40">
        <v>2876</v>
      </c>
      <c r="P63" s="40">
        <v>83257</v>
      </c>
      <c r="Q63" s="40">
        <v>44574</v>
      </c>
      <c r="R63" s="40">
        <v>259261</v>
      </c>
      <c r="S63" s="40">
        <v>354356</v>
      </c>
      <c r="T63" s="37">
        <v>30000</v>
      </c>
      <c r="U63" s="40">
        <v>2085500</v>
      </c>
      <c r="V63" s="40">
        <v>0</v>
      </c>
      <c r="W63" s="45">
        <v>3999130</v>
      </c>
      <c r="X63" s="46">
        <v>3.2255164720465102</v>
      </c>
    </row>
    <row r="64" spans="1:24" s="4" customFormat="1" ht="15" customHeight="1">
      <c r="A64" s="28" t="s">
        <v>1109</v>
      </c>
      <c r="B64" s="29">
        <v>3106.0650000000001</v>
      </c>
      <c r="C64" s="30" t="s">
        <v>1257</v>
      </c>
      <c r="D64" s="2">
        <v>4947198889</v>
      </c>
      <c r="E64" s="2" t="s">
        <v>6</v>
      </c>
      <c r="F64" s="78" t="s">
        <v>1258</v>
      </c>
      <c r="G64" s="28" t="s">
        <v>9</v>
      </c>
      <c r="H64" s="2" t="s">
        <v>23</v>
      </c>
      <c r="I64" s="2">
        <v>3</v>
      </c>
      <c r="J64" s="2"/>
      <c r="K64" s="2">
        <v>6390</v>
      </c>
      <c r="L64" s="35">
        <v>19847755.350000001</v>
      </c>
      <c r="M64" s="36">
        <v>1500</v>
      </c>
      <c r="N64" s="40">
        <v>811236</v>
      </c>
      <c r="O64" s="40">
        <v>1300</v>
      </c>
      <c r="P64" s="40">
        <v>0</v>
      </c>
      <c r="Q64" s="40">
        <v>40235</v>
      </c>
      <c r="R64" s="40">
        <v>125605</v>
      </c>
      <c r="S64" s="40">
        <v>354356</v>
      </c>
      <c r="T64" s="37">
        <v>30000</v>
      </c>
      <c r="U64" s="40">
        <v>914692.98245613999</v>
      </c>
      <c r="V64" s="40">
        <v>0</v>
      </c>
      <c r="W64" s="45">
        <v>2277424.9824561402</v>
      </c>
      <c r="X64" s="46">
        <v>11.474471255290499</v>
      </c>
    </row>
    <row r="65" spans="1:24" s="4" customFormat="1" ht="15" customHeight="1">
      <c r="A65" s="28" t="s">
        <v>1109</v>
      </c>
      <c r="B65" s="29">
        <v>3106.0650000000001</v>
      </c>
      <c r="C65" s="30" t="s">
        <v>1301</v>
      </c>
      <c r="D65" s="2">
        <v>4947226230</v>
      </c>
      <c r="E65" s="2" t="s">
        <v>6</v>
      </c>
      <c r="F65" s="78" t="s">
        <v>1302</v>
      </c>
      <c r="G65" s="28" t="s">
        <v>9</v>
      </c>
      <c r="H65" s="2" t="s">
        <v>23</v>
      </c>
      <c r="I65" s="2">
        <v>3</v>
      </c>
      <c r="J65" s="2"/>
      <c r="K65" s="2">
        <v>22996.799999999999</v>
      </c>
      <c r="L65" s="35">
        <v>71429555.591999993</v>
      </c>
      <c r="M65" s="36">
        <v>1584</v>
      </c>
      <c r="N65" s="40">
        <v>775269</v>
      </c>
      <c r="O65" s="40">
        <v>1176</v>
      </c>
      <c r="P65" s="40">
        <v>0</v>
      </c>
      <c r="Q65" s="40">
        <v>36514</v>
      </c>
      <c r="R65" s="40">
        <v>121601</v>
      </c>
      <c r="S65" s="40">
        <v>354356</v>
      </c>
      <c r="T65" s="37">
        <v>30000</v>
      </c>
      <c r="U65" s="40">
        <v>878105.26315789495</v>
      </c>
      <c r="V65" s="40">
        <v>0</v>
      </c>
      <c r="W65" s="45">
        <v>2197021.2631578902</v>
      </c>
      <c r="X65" s="46">
        <v>3.0757873893365799</v>
      </c>
    </row>
    <row r="66" spans="1:24" s="4" customFormat="1" ht="15" customHeight="1">
      <c r="A66" s="28" t="s">
        <v>1109</v>
      </c>
      <c r="B66" s="29">
        <v>3106.0650000000001</v>
      </c>
      <c r="C66" s="30" t="s">
        <v>1321</v>
      </c>
      <c r="D66" s="2">
        <v>4946630991</v>
      </c>
      <c r="E66" s="2" t="s">
        <v>6</v>
      </c>
      <c r="F66" s="78" t="s">
        <v>1322</v>
      </c>
      <c r="G66" s="28" t="s">
        <v>9</v>
      </c>
      <c r="H66" s="2" t="s">
        <v>23</v>
      </c>
      <c r="I66" s="2">
        <v>7</v>
      </c>
      <c r="J66" s="2"/>
      <c r="K66" s="2">
        <v>13680</v>
      </c>
      <c r="L66" s="35">
        <v>42490969.200000003</v>
      </c>
      <c r="M66" s="36">
        <v>1600</v>
      </c>
      <c r="N66" s="40">
        <v>666976.875</v>
      </c>
      <c r="O66" s="40">
        <v>1692.10526315789</v>
      </c>
      <c r="P66" s="40">
        <v>38620.625</v>
      </c>
      <c r="Q66" s="40">
        <v>42008.421052631602</v>
      </c>
      <c r="R66" s="40">
        <v>107211.25</v>
      </c>
      <c r="S66" s="40">
        <v>221472.5</v>
      </c>
      <c r="T66" s="37">
        <v>30000</v>
      </c>
      <c r="U66" s="40">
        <v>1303437.5</v>
      </c>
      <c r="V66" s="40">
        <v>0</v>
      </c>
      <c r="W66" s="45">
        <v>2411419.2763157901</v>
      </c>
      <c r="X66" s="46">
        <v>5.6751336147818199</v>
      </c>
    </row>
    <row r="67" spans="1:24" s="4" customFormat="1" ht="15" customHeight="1">
      <c r="A67" s="28" t="s">
        <v>1109</v>
      </c>
      <c r="B67" s="29">
        <v>3106.0650000000001</v>
      </c>
      <c r="C67" s="30" t="s">
        <v>1321</v>
      </c>
      <c r="D67" s="2">
        <v>4946630989</v>
      </c>
      <c r="E67" s="2" t="s">
        <v>6</v>
      </c>
      <c r="F67" s="78" t="s">
        <v>1322</v>
      </c>
      <c r="G67" s="28" t="s">
        <v>9</v>
      </c>
      <c r="H67" s="2" t="s">
        <v>23</v>
      </c>
      <c r="I67" s="2">
        <v>7</v>
      </c>
      <c r="J67" s="2"/>
      <c r="K67" s="2">
        <v>14688</v>
      </c>
      <c r="L67" s="35">
        <v>45621882.719999999</v>
      </c>
      <c r="M67" s="36">
        <v>1440</v>
      </c>
      <c r="N67" s="40">
        <v>400186.125</v>
      </c>
      <c r="O67" s="40">
        <v>1522.89473684211</v>
      </c>
      <c r="P67" s="40">
        <v>23172.375</v>
      </c>
      <c r="Q67" s="40">
        <v>37807.578947368398</v>
      </c>
      <c r="R67" s="40">
        <v>64326.75</v>
      </c>
      <c r="S67" s="40">
        <v>132883.5</v>
      </c>
      <c r="T67" s="37">
        <v>30000</v>
      </c>
      <c r="U67" s="40">
        <v>782062.5</v>
      </c>
      <c r="V67" s="40">
        <v>0</v>
      </c>
      <c r="W67" s="45">
        <v>1471961.7236842101</v>
      </c>
      <c r="X67" s="46">
        <v>3.2264379195357602</v>
      </c>
    </row>
    <row r="68" spans="1:24" s="4" customFormat="1" ht="15" customHeight="1">
      <c r="A68" s="28" t="s">
        <v>1109</v>
      </c>
      <c r="B68" s="29">
        <v>3106.0650000000001</v>
      </c>
      <c r="C68" s="30" t="s">
        <v>1325</v>
      </c>
      <c r="D68" s="2">
        <v>4946765520</v>
      </c>
      <c r="E68" s="2" t="s">
        <v>6</v>
      </c>
      <c r="F68" s="78" t="s">
        <v>1326</v>
      </c>
      <c r="G68" s="28" t="s">
        <v>9</v>
      </c>
      <c r="H68" s="2" t="s">
        <v>23</v>
      </c>
      <c r="I68" s="2">
        <v>2</v>
      </c>
      <c r="J68" s="2"/>
      <c r="K68" s="2">
        <v>9979.2000000000007</v>
      </c>
      <c r="L68" s="35">
        <v>30996043.848000001</v>
      </c>
      <c r="M68" s="36">
        <v>480</v>
      </c>
      <c r="N68" s="40">
        <v>646749</v>
      </c>
      <c r="O68" s="40">
        <v>464</v>
      </c>
      <c r="P68" s="40">
        <v>0</v>
      </c>
      <c r="Q68" s="40">
        <v>14071</v>
      </c>
      <c r="R68" s="40">
        <v>96109.5</v>
      </c>
      <c r="S68" s="40">
        <v>354356</v>
      </c>
      <c r="T68" s="37">
        <v>30000</v>
      </c>
      <c r="U68" s="40">
        <v>292701.754385965</v>
      </c>
      <c r="V68" s="40">
        <v>0</v>
      </c>
      <c r="W68" s="45">
        <v>1434451.2543859601</v>
      </c>
      <c r="X68" s="46">
        <v>4.6278527073335596</v>
      </c>
    </row>
    <row r="69" spans="1:24" s="4" customFormat="1" ht="15" customHeight="1">
      <c r="A69" s="28" t="s">
        <v>1109</v>
      </c>
      <c r="B69" s="29">
        <v>3106.0650000000001</v>
      </c>
      <c r="C69" s="30" t="s">
        <v>1355</v>
      </c>
      <c r="D69" s="2">
        <v>4947330798</v>
      </c>
      <c r="E69" s="2" t="s">
        <v>6</v>
      </c>
      <c r="F69" s="2" t="s">
        <v>1356</v>
      </c>
      <c r="G69" s="28" t="s">
        <v>9</v>
      </c>
      <c r="H69" s="2" t="s">
        <v>23</v>
      </c>
      <c r="I69" s="2">
        <v>8</v>
      </c>
      <c r="J69" s="2"/>
      <c r="K69" s="2">
        <v>104486.39999999999</v>
      </c>
      <c r="L69" s="35">
        <v>324541550.01599997</v>
      </c>
      <c r="M69" s="36">
        <v>3840</v>
      </c>
      <c r="N69" s="40">
        <v>1199728</v>
      </c>
      <c r="O69" s="40">
        <v>3456</v>
      </c>
      <c r="P69" s="40">
        <v>0</v>
      </c>
      <c r="Q69" s="40">
        <v>106777</v>
      </c>
      <c r="R69" s="40">
        <v>196132</v>
      </c>
      <c r="S69" s="40">
        <v>354356</v>
      </c>
      <c r="T69" s="37">
        <v>30000</v>
      </c>
      <c r="U69" s="40">
        <v>1853777.7777777801</v>
      </c>
      <c r="V69" s="40">
        <v>1186666.66666667</v>
      </c>
      <c r="W69" s="45">
        <v>4930893.4444444496</v>
      </c>
      <c r="X69" s="46">
        <v>1.5193411888867101</v>
      </c>
    </row>
    <row r="70" spans="1:24" s="4" customFormat="1" ht="15" customHeight="1">
      <c r="A70" s="28" t="s">
        <v>1109</v>
      </c>
      <c r="B70" s="29">
        <v>3106.0650000000001</v>
      </c>
      <c r="C70" s="30" t="s">
        <v>1364</v>
      </c>
      <c r="D70" s="2">
        <v>4949386335</v>
      </c>
      <c r="E70" s="2" t="s">
        <v>6</v>
      </c>
      <c r="F70" s="78" t="s">
        <v>1365</v>
      </c>
      <c r="G70" s="28" t="s">
        <v>13</v>
      </c>
      <c r="H70" s="2" t="s">
        <v>23</v>
      </c>
      <c r="I70" s="2">
        <v>1</v>
      </c>
      <c r="J70" s="2"/>
      <c r="K70" s="2">
        <v>4024.19</v>
      </c>
      <c r="L70" s="35">
        <v>12499395.71235</v>
      </c>
      <c r="M70" s="36">
        <v>500</v>
      </c>
      <c r="N70" s="40">
        <v>358029</v>
      </c>
      <c r="O70" s="40">
        <v>0</v>
      </c>
      <c r="P70" s="40">
        <v>0</v>
      </c>
      <c r="Q70" s="40">
        <v>0</v>
      </c>
      <c r="R70" s="40">
        <v>2593</v>
      </c>
      <c r="S70" s="40">
        <v>354356</v>
      </c>
      <c r="T70" s="37">
        <v>30000</v>
      </c>
      <c r="U70" s="40">
        <v>246380</v>
      </c>
      <c r="V70" s="40">
        <v>0</v>
      </c>
      <c r="W70" s="45">
        <v>991358</v>
      </c>
      <c r="X70" s="46">
        <v>7.9312474203892203</v>
      </c>
    </row>
    <row r="71" spans="1:24" s="4" customFormat="1" ht="15" customHeight="1">
      <c r="A71" s="28" t="s">
        <v>1109</v>
      </c>
      <c r="B71" s="29">
        <v>3106.0650000000001</v>
      </c>
      <c r="C71" s="30" t="s">
        <v>1396</v>
      </c>
      <c r="D71" s="2">
        <v>4947226208</v>
      </c>
      <c r="E71" s="2" t="s">
        <v>6</v>
      </c>
      <c r="F71" s="78" t="s">
        <v>1397</v>
      </c>
      <c r="G71" s="28" t="s">
        <v>5</v>
      </c>
      <c r="H71" s="2" t="s">
        <v>17</v>
      </c>
      <c r="I71" s="2">
        <v>1</v>
      </c>
      <c r="J71" s="2" t="s">
        <v>1398</v>
      </c>
      <c r="K71" s="2">
        <v>220002.3</v>
      </c>
      <c r="L71" s="35">
        <v>683341443.94949996</v>
      </c>
      <c r="M71" s="36">
        <v>12240</v>
      </c>
      <c r="N71" s="40">
        <v>0</v>
      </c>
      <c r="O71" s="40">
        <v>509004</v>
      </c>
      <c r="P71" s="40">
        <v>0</v>
      </c>
      <c r="Q71" s="40">
        <v>124137</v>
      </c>
      <c r="R71" s="40">
        <v>837828</v>
      </c>
      <c r="S71" s="40">
        <v>354356</v>
      </c>
      <c r="T71" s="37">
        <v>30000</v>
      </c>
      <c r="U71" s="40">
        <v>5446550</v>
      </c>
      <c r="V71" s="40">
        <v>1335000</v>
      </c>
      <c r="W71" s="45">
        <v>8636875</v>
      </c>
      <c r="X71" s="46">
        <v>1.2639179251417201</v>
      </c>
    </row>
    <row r="72" spans="1:24" s="4" customFormat="1" ht="15" customHeight="1">
      <c r="A72" s="28" t="s">
        <v>1109</v>
      </c>
      <c r="B72" s="29">
        <v>3106.0650000000001</v>
      </c>
      <c r="C72" s="30" t="s">
        <v>1409</v>
      </c>
      <c r="D72" s="2">
        <v>4947226229</v>
      </c>
      <c r="E72" s="2" t="s">
        <v>6</v>
      </c>
      <c r="F72" s="2" t="s">
        <v>1410</v>
      </c>
      <c r="G72" s="28" t="s">
        <v>5</v>
      </c>
      <c r="H72" s="2" t="s">
        <v>20</v>
      </c>
      <c r="I72" s="2">
        <v>1</v>
      </c>
      <c r="J72" s="2" t="s">
        <v>1411</v>
      </c>
      <c r="K72" s="2">
        <v>44964</v>
      </c>
      <c r="L72" s="35">
        <v>139661106.66</v>
      </c>
      <c r="M72" s="36">
        <v>1800</v>
      </c>
      <c r="N72" s="40">
        <v>156945</v>
      </c>
      <c r="O72" s="40">
        <v>193809</v>
      </c>
      <c r="P72" s="40">
        <v>64085.5</v>
      </c>
      <c r="Q72" s="40">
        <v>62068.5</v>
      </c>
      <c r="R72" s="40">
        <v>391250</v>
      </c>
      <c r="S72" s="40">
        <v>177178</v>
      </c>
      <c r="T72" s="37">
        <v>30000</v>
      </c>
      <c r="U72" s="40">
        <v>1309500</v>
      </c>
      <c r="V72" s="40">
        <v>0</v>
      </c>
      <c r="W72" s="45">
        <v>2384836</v>
      </c>
      <c r="X72" s="46">
        <v>1.7075877866311</v>
      </c>
    </row>
    <row r="73" spans="1:24" s="4" customFormat="1" ht="15" customHeight="1">
      <c r="A73" s="28" t="s">
        <v>1109</v>
      </c>
      <c r="B73" s="29">
        <v>3106.0650000000001</v>
      </c>
      <c r="C73" s="30" t="s">
        <v>1409</v>
      </c>
      <c r="D73" s="2">
        <v>4946765518</v>
      </c>
      <c r="E73" s="2" t="s">
        <v>6</v>
      </c>
      <c r="F73" s="2" t="s">
        <v>1410</v>
      </c>
      <c r="G73" s="28" t="s">
        <v>5</v>
      </c>
      <c r="H73" s="2" t="s">
        <v>20</v>
      </c>
      <c r="I73" s="2">
        <v>1</v>
      </c>
      <c r="J73" s="2" t="s">
        <v>1411</v>
      </c>
      <c r="K73" s="2">
        <v>44964</v>
      </c>
      <c r="L73" s="35">
        <v>139661106.66</v>
      </c>
      <c r="M73" s="36">
        <v>1800</v>
      </c>
      <c r="N73" s="40">
        <v>156945</v>
      </c>
      <c r="O73" s="40">
        <v>193809</v>
      </c>
      <c r="P73" s="40">
        <v>64085.5</v>
      </c>
      <c r="Q73" s="40">
        <v>62068.5</v>
      </c>
      <c r="R73" s="40">
        <v>391250</v>
      </c>
      <c r="S73" s="40">
        <v>177178</v>
      </c>
      <c r="T73" s="37">
        <v>30000</v>
      </c>
      <c r="U73" s="40">
        <v>1309500</v>
      </c>
      <c r="V73" s="40">
        <v>0</v>
      </c>
      <c r="W73" s="45">
        <v>2384836</v>
      </c>
      <c r="X73" s="46">
        <v>1.7075877866311</v>
      </c>
    </row>
    <row r="74" spans="1:24" s="4" customFormat="1" ht="15" customHeight="1">
      <c r="A74" s="28" t="s">
        <v>1109</v>
      </c>
      <c r="B74" s="29">
        <v>3106.0650000000001</v>
      </c>
      <c r="C74" s="30" t="s">
        <v>1416</v>
      </c>
      <c r="D74" s="2">
        <v>4947514934</v>
      </c>
      <c r="E74" s="2" t="s">
        <v>6</v>
      </c>
      <c r="F74" s="2" t="s">
        <v>1417</v>
      </c>
      <c r="G74" s="28" t="s">
        <v>5</v>
      </c>
      <c r="H74" s="2" t="s">
        <v>17</v>
      </c>
      <c r="I74" s="2">
        <v>1</v>
      </c>
      <c r="J74" s="2" t="s">
        <v>1418</v>
      </c>
      <c r="K74" s="2">
        <v>117559.2</v>
      </c>
      <c r="L74" s="35">
        <v>365146516.54799998</v>
      </c>
      <c r="M74" s="36">
        <v>16104</v>
      </c>
      <c r="N74" s="40">
        <v>313889</v>
      </c>
      <c r="O74" s="40">
        <v>509004</v>
      </c>
      <c r="P74" s="40">
        <v>0</v>
      </c>
      <c r="Q74" s="40">
        <v>124137</v>
      </c>
      <c r="R74" s="40">
        <v>900658</v>
      </c>
      <c r="S74" s="40">
        <v>354356</v>
      </c>
      <c r="T74" s="37">
        <v>30000</v>
      </c>
      <c r="U74" s="40">
        <v>1600500</v>
      </c>
      <c r="V74" s="40">
        <v>0</v>
      </c>
      <c r="W74" s="45">
        <v>3832544</v>
      </c>
      <c r="X74" s="46">
        <v>1.0495907331204699</v>
      </c>
    </row>
    <row r="75" spans="1:24" s="4" customFormat="1" ht="15" customHeight="1">
      <c r="A75" s="28" t="s">
        <v>1109</v>
      </c>
      <c r="B75" s="29">
        <v>3106.0650000000001</v>
      </c>
      <c r="C75" s="30" t="s">
        <v>1419</v>
      </c>
      <c r="D75" s="2">
        <v>4948417073</v>
      </c>
      <c r="E75" s="2" t="s">
        <v>6</v>
      </c>
      <c r="F75" s="2" t="s">
        <v>1420</v>
      </c>
      <c r="G75" s="28" t="s">
        <v>5</v>
      </c>
      <c r="H75" s="2" t="s">
        <v>17</v>
      </c>
      <c r="I75" s="2">
        <v>1</v>
      </c>
      <c r="J75" s="2" t="s">
        <v>1421</v>
      </c>
      <c r="K75" s="2">
        <v>3720</v>
      </c>
      <c r="L75" s="35">
        <v>11554561.800000001</v>
      </c>
      <c r="M75" s="36">
        <v>2400</v>
      </c>
      <c r="N75" s="40">
        <v>75635.903614457799</v>
      </c>
      <c r="O75" s="40">
        <v>113998.65621500601</v>
      </c>
      <c r="P75" s="40">
        <v>0</v>
      </c>
      <c r="Q75" s="40">
        <v>27802.239641657299</v>
      </c>
      <c r="R75" s="40">
        <v>219194.57831325301</v>
      </c>
      <c r="S75" s="40">
        <v>85386.987951807198</v>
      </c>
      <c r="T75" s="37">
        <v>30000</v>
      </c>
      <c r="U75" s="40">
        <v>1160493.97590361</v>
      </c>
      <c r="V75" s="40">
        <v>321686.74698795198</v>
      </c>
      <c r="W75" s="45">
        <v>2034199.08862774</v>
      </c>
      <c r="X75" s="46">
        <v>17.605159969179802</v>
      </c>
    </row>
    <row r="76" spans="1:24" s="4" customFormat="1" ht="15" customHeight="1">
      <c r="A76" s="28" t="s">
        <v>1109</v>
      </c>
      <c r="B76" s="29">
        <v>3106.0650000000001</v>
      </c>
      <c r="C76" s="30" t="s">
        <v>1419</v>
      </c>
      <c r="D76" s="2">
        <v>4946611876</v>
      </c>
      <c r="E76" s="2" t="s">
        <v>6</v>
      </c>
      <c r="F76" s="2" t="s">
        <v>1420</v>
      </c>
      <c r="G76" s="28" t="s">
        <v>5</v>
      </c>
      <c r="H76" s="2" t="s">
        <v>17</v>
      </c>
      <c r="I76" s="2">
        <v>1</v>
      </c>
      <c r="J76" s="2" t="s">
        <v>1421</v>
      </c>
      <c r="K76" s="2">
        <v>110822.39999999999</v>
      </c>
      <c r="L76" s="35">
        <v>344221577.85600001</v>
      </c>
      <c r="M76" s="36">
        <v>4224</v>
      </c>
      <c r="N76" s="40">
        <v>121017.44578313299</v>
      </c>
      <c r="O76" s="40">
        <v>200637.63493840999</v>
      </c>
      <c r="P76" s="40">
        <v>0</v>
      </c>
      <c r="Q76" s="40">
        <v>48931.941769316902</v>
      </c>
      <c r="R76" s="40">
        <v>350711.32530120498</v>
      </c>
      <c r="S76" s="40">
        <v>136619.18072289199</v>
      </c>
      <c r="T76" s="37">
        <v>30000</v>
      </c>
      <c r="U76" s="40">
        <v>1856790.3614457799</v>
      </c>
      <c r="V76" s="40">
        <v>514698.79518072301</v>
      </c>
      <c r="W76" s="45">
        <v>3259406.68514146</v>
      </c>
      <c r="X76" s="46">
        <v>0.94689202967542696</v>
      </c>
    </row>
    <row r="77" spans="1:24" s="4" customFormat="1" ht="15" customHeight="1">
      <c r="A77" s="28" t="s">
        <v>1109</v>
      </c>
      <c r="B77" s="29">
        <v>3106.0650000000001</v>
      </c>
      <c r="C77" s="30" t="s">
        <v>1419</v>
      </c>
      <c r="D77" s="2">
        <v>4946611875</v>
      </c>
      <c r="E77" s="2" t="s">
        <v>6</v>
      </c>
      <c r="F77" s="2" t="s">
        <v>1420</v>
      </c>
      <c r="G77" s="28" t="s">
        <v>5</v>
      </c>
      <c r="H77" s="2" t="s">
        <v>17</v>
      </c>
      <c r="I77" s="2">
        <v>1</v>
      </c>
      <c r="J77" s="2" t="s">
        <v>1421</v>
      </c>
      <c r="K77" s="2">
        <v>96969.600000000006</v>
      </c>
      <c r="L77" s="35">
        <v>301193880.62400001</v>
      </c>
      <c r="M77" s="36">
        <v>3696</v>
      </c>
      <c r="N77" s="40">
        <v>105890.265060241</v>
      </c>
      <c r="O77" s="40">
        <v>175557.930571109</v>
      </c>
      <c r="P77" s="40">
        <v>0</v>
      </c>
      <c r="Q77" s="40">
        <v>42815.449048152303</v>
      </c>
      <c r="R77" s="40">
        <v>306872.40963855397</v>
      </c>
      <c r="S77" s="40">
        <v>119541.78313253001</v>
      </c>
      <c r="T77" s="37">
        <v>30000</v>
      </c>
      <c r="U77" s="40">
        <v>1624691.5662650601</v>
      </c>
      <c r="V77" s="40">
        <v>450361.44578313298</v>
      </c>
      <c r="W77" s="45">
        <v>2855730.84949878</v>
      </c>
      <c r="X77" s="46">
        <v>0.94813707489089905</v>
      </c>
    </row>
    <row r="78" spans="1:24" s="4" customFormat="1" ht="15" customHeight="1">
      <c r="A78" s="28" t="s">
        <v>1109</v>
      </c>
      <c r="B78" s="29">
        <v>3106.0650000000001</v>
      </c>
      <c r="C78" s="30" t="s">
        <v>1419</v>
      </c>
      <c r="D78" s="2">
        <v>4946611874</v>
      </c>
      <c r="E78" s="2" t="s">
        <v>6</v>
      </c>
      <c r="F78" s="2" t="s">
        <v>1420</v>
      </c>
      <c r="G78" s="28" t="s">
        <v>5</v>
      </c>
      <c r="H78" s="2" t="s">
        <v>17</v>
      </c>
      <c r="I78" s="2">
        <v>1</v>
      </c>
      <c r="J78" s="2" t="s">
        <v>1421</v>
      </c>
      <c r="K78" s="2">
        <v>10389.6</v>
      </c>
      <c r="L78" s="35">
        <v>32270772.923999999</v>
      </c>
      <c r="M78" s="36">
        <v>396</v>
      </c>
      <c r="N78" s="40">
        <v>11345.3855421687</v>
      </c>
      <c r="O78" s="40">
        <v>18809.778275475899</v>
      </c>
      <c r="P78" s="40">
        <v>0</v>
      </c>
      <c r="Q78" s="40">
        <v>4587.3695408734602</v>
      </c>
      <c r="R78" s="40">
        <v>32878.686746988002</v>
      </c>
      <c r="S78" s="40">
        <v>12808.048192771101</v>
      </c>
      <c r="T78" s="37">
        <v>30000</v>
      </c>
      <c r="U78" s="40">
        <v>174074.09638554201</v>
      </c>
      <c r="V78" s="40">
        <v>48253.012048192802</v>
      </c>
      <c r="W78" s="45">
        <v>332756.37673201202</v>
      </c>
      <c r="X78" s="46">
        <v>1.03113853986602</v>
      </c>
    </row>
    <row r="79" spans="1:24" s="4" customFormat="1" ht="15" customHeight="1">
      <c r="A79" s="28" t="s">
        <v>1109</v>
      </c>
      <c r="B79" s="29">
        <v>3106.0650000000001</v>
      </c>
      <c r="C79" s="30" t="s">
        <v>1502</v>
      </c>
      <c r="D79" s="2">
        <v>4948492529</v>
      </c>
      <c r="E79" s="2" t="s">
        <v>6</v>
      </c>
      <c r="F79" s="2" t="s">
        <v>1503</v>
      </c>
      <c r="G79" s="28" t="s">
        <v>5</v>
      </c>
      <c r="H79" s="2" t="s">
        <v>20</v>
      </c>
      <c r="I79" s="2">
        <v>1</v>
      </c>
      <c r="J79" s="2" t="s">
        <v>1504</v>
      </c>
      <c r="K79" s="2">
        <v>59700</v>
      </c>
      <c r="L79" s="35">
        <v>185432080.5</v>
      </c>
      <c r="M79" s="36">
        <v>12000</v>
      </c>
      <c r="N79" s="40">
        <v>2022263</v>
      </c>
      <c r="O79" s="40">
        <v>387618</v>
      </c>
      <c r="P79" s="40">
        <v>129949</v>
      </c>
      <c r="Q79" s="40">
        <v>124137</v>
      </c>
      <c r="R79" s="40">
        <v>756441</v>
      </c>
      <c r="S79" s="40">
        <v>354356</v>
      </c>
      <c r="T79" s="37">
        <v>30000</v>
      </c>
      <c r="U79" s="40">
        <v>3249500</v>
      </c>
      <c r="V79" s="40">
        <v>0</v>
      </c>
      <c r="W79" s="45">
        <v>7054264</v>
      </c>
      <c r="X79" s="46">
        <v>3.8042306277203202</v>
      </c>
    </row>
    <row r="80" spans="1:24" s="4" customFormat="1" ht="15" customHeight="1">
      <c r="A80" s="28" t="s">
        <v>1109</v>
      </c>
      <c r="B80" s="29">
        <v>3106.0650000000001</v>
      </c>
      <c r="C80" s="30" t="s">
        <v>1507</v>
      </c>
      <c r="D80" s="2">
        <v>4948773541</v>
      </c>
      <c r="E80" s="2" t="s">
        <v>6</v>
      </c>
      <c r="F80" s="2" t="s">
        <v>1508</v>
      </c>
      <c r="G80" s="28" t="s">
        <v>9</v>
      </c>
      <c r="H80" s="2" t="s">
        <v>23</v>
      </c>
      <c r="I80" s="2">
        <v>2</v>
      </c>
      <c r="J80" s="2"/>
      <c r="K80" s="2">
        <v>11620</v>
      </c>
      <c r="L80" s="35">
        <v>36092475.299999997</v>
      </c>
      <c r="M80" s="36">
        <v>1540</v>
      </c>
      <c r="N80" s="40">
        <v>764786</v>
      </c>
      <c r="O80" s="40">
        <v>880</v>
      </c>
      <c r="P80" s="40">
        <v>17137</v>
      </c>
      <c r="Q80" s="40">
        <v>27294</v>
      </c>
      <c r="R80" s="40">
        <v>30990</v>
      </c>
      <c r="S80" s="40">
        <v>354356</v>
      </c>
      <c r="T80" s="40"/>
      <c r="U80" s="40">
        <v>252200</v>
      </c>
      <c r="V80" s="40">
        <v>0</v>
      </c>
      <c r="W80" s="45">
        <v>1447643</v>
      </c>
      <c r="X80" s="46">
        <v>4.0109274522382199</v>
      </c>
    </row>
    <row r="81" spans="1:24" s="4" customFormat="1" ht="15" customHeight="1">
      <c r="A81" s="28" t="s">
        <v>1109</v>
      </c>
      <c r="B81" s="29">
        <v>3106.0650000000001</v>
      </c>
      <c r="C81" s="30" t="s">
        <v>1509</v>
      </c>
      <c r="D81" s="2">
        <v>4946611854</v>
      </c>
      <c r="E81" s="2" t="s">
        <v>6</v>
      </c>
      <c r="F81" s="2" t="s">
        <v>1510</v>
      </c>
      <c r="G81" s="28" t="s">
        <v>5</v>
      </c>
      <c r="H81" s="2" t="s">
        <v>1511</v>
      </c>
      <c r="I81" s="2" t="s">
        <v>1512</v>
      </c>
      <c r="J81" s="2" t="s">
        <v>1513</v>
      </c>
      <c r="K81" s="2">
        <v>10411.200000000001</v>
      </c>
      <c r="L81" s="35">
        <v>32337863.927999999</v>
      </c>
      <c r="M81" s="36">
        <v>1584</v>
      </c>
      <c r="N81" s="40">
        <v>45801.595735228802</v>
      </c>
      <c r="O81" s="40">
        <v>53475.689027099099</v>
      </c>
      <c r="P81" s="40">
        <v>0</v>
      </c>
      <c r="Q81" s="40">
        <v>15882.4771212794</v>
      </c>
      <c r="R81" s="40">
        <v>96770.899600177698</v>
      </c>
      <c r="S81" s="40">
        <v>11334.354509107099</v>
      </c>
      <c r="T81" s="37">
        <v>30000</v>
      </c>
      <c r="U81" s="40">
        <v>142288.76055086599</v>
      </c>
      <c r="V81" s="40">
        <v>0</v>
      </c>
      <c r="W81" s="45">
        <v>395553.77654375799</v>
      </c>
      <c r="X81" s="46">
        <v>1.22319080018537</v>
      </c>
    </row>
    <row r="82" spans="1:24" s="4" customFormat="1" ht="15" customHeight="1">
      <c r="A82" s="28" t="s">
        <v>1109</v>
      </c>
      <c r="B82" s="29">
        <v>3106.0650000000001</v>
      </c>
      <c r="C82" s="30" t="s">
        <v>1509</v>
      </c>
      <c r="D82" s="2">
        <v>4947169232</v>
      </c>
      <c r="E82" s="2" t="s">
        <v>6</v>
      </c>
      <c r="F82" s="2" t="s">
        <v>1510</v>
      </c>
      <c r="G82" s="28" t="s">
        <v>5</v>
      </c>
      <c r="H82" s="2" t="s">
        <v>1511</v>
      </c>
      <c r="I82" s="2" t="s">
        <v>1512</v>
      </c>
      <c r="J82" s="2" t="s">
        <v>1513</v>
      </c>
      <c r="K82" s="2">
        <v>26028</v>
      </c>
      <c r="L82" s="35">
        <v>80844659.819999993</v>
      </c>
      <c r="M82" s="36">
        <v>3960</v>
      </c>
      <c r="N82" s="40">
        <v>114503.989338072</v>
      </c>
      <c r="O82" s="40">
        <v>133689.22256774799</v>
      </c>
      <c r="P82" s="40">
        <v>0</v>
      </c>
      <c r="Q82" s="40">
        <v>39706.192803198603</v>
      </c>
      <c r="R82" s="40">
        <v>241926.74900044399</v>
      </c>
      <c r="S82" s="40">
        <v>28335.886272767701</v>
      </c>
      <c r="T82" s="37">
        <v>30000</v>
      </c>
      <c r="U82" s="40">
        <v>355721.90137716598</v>
      </c>
      <c r="V82" s="40">
        <v>0</v>
      </c>
      <c r="W82" s="45">
        <v>943883.94135939598</v>
      </c>
      <c r="X82" s="46">
        <v>1.1675278781071601</v>
      </c>
    </row>
    <row r="83" spans="1:24" s="4" customFormat="1" ht="15" customHeight="1">
      <c r="A83" s="28" t="s">
        <v>1109</v>
      </c>
      <c r="B83" s="29">
        <v>3106.0650000000001</v>
      </c>
      <c r="C83" s="30" t="s">
        <v>1509</v>
      </c>
      <c r="D83" s="2">
        <v>4946611852</v>
      </c>
      <c r="E83" s="2" t="s">
        <v>6</v>
      </c>
      <c r="F83" s="2" t="s">
        <v>1510</v>
      </c>
      <c r="G83" s="28" t="s">
        <v>5</v>
      </c>
      <c r="H83" s="2" t="s">
        <v>1511</v>
      </c>
      <c r="I83" s="2" t="s">
        <v>1512</v>
      </c>
      <c r="J83" s="2" t="s">
        <v>1513</v>
      </c>
      <c r="K83" s="2">
        <v>30369.599999999999</v>
      </c>
      <c r="L83" s="35">
        <v>94329951.623999998</v>
      </c>
      <c r="M83" s="36">
        <v>792</v>
      </c>
      <c r="N83" s="40">
        <v>22900.797867614401</v>
      </c>
      <c r="O83" s="40">
        <v>26737.844513549499</v>
      </c>
      <c r="P83" s="40">
        <v>0</v>
      </c>
      <c r="Q83" s="40">
        <v>7941.2385606397102</v>
      </c>
      <c r="R83" s="40">
        <v>48384.949800088798</v>
      </c>
      <c r="S83" s="40">
        <v>5667.1772545535296</v>
      </c>
      <c r="T83" s="37">
        <v>30000</v>
      </c>
      <c r="U83" s="40">
        <v>71144.380275433097</v>
      </c>
      <c r="V83" s="40">
        <v>0</v>
      </c>
      <c r="W83" s="45">
        <v>212776.388271879</v>
      </c>
      <c r="X83" s="46">
        <v>0.22556609497692501</v>
      </c>
    </row>
    <row r="84" spans="1:24" s="4" customFormat="1" ht="15" customHeight="1">
      <c r="A84" s="28" t="s">
        <v>1109</v>
      </c>
      <c r="B84" s="29">
        <v>3106.0650000000001</v>
      </c>
      <c r="C84" s="30" t="s">
        <v>1509</v>
      </c>
      <c r="D84" s="2">
        <v>4947169231</v>
      </c>
      <c r="E84" s="2" t="s">
        <v>6</v>
      </c>
      <c r="F84" s="2" t="s">
        <v>1510</v>
      </c>
      <c r="G84" s="28" t="s">
        <v>5</v>
      </c>
      <c r="H84" s="2" t="s">
        <v>1511</v>
      </c>
      <c r="I84" s="2" t="s">
        <v>1512</v>
      </c>
      <c r="J84" s="2" t="s">
        <v>1513</v>
      </c>
      <c r="K84" s="2">
        <v>146832</v>
      </c>
      <c r="L84" s="35">
        <v>456069736.07999998</v>
      </c>
      <c r="M84" s="36">
        <v>9240</v>
      </c>
      <c r="N84" s="40">
        <v>267175.97512216802</v>
      </c>
      <c r="O84" s="40">
        <v>311941.51932474499</v>
      </c>
      <c r="P84" s="40">
        <v>0</v>
      </c>
      <c r="Q84" s="40">
        <v>92647.783207463304</v>
      </c>
      <c r="R84" s="40">
        <v>564494.74766770296</v>
      </c>
      <c r="S84" s="40">
        <v>66117.067969791198</v>
      </c>
      <c r="T84" s="37">
        <v>30000</v>
      </c>
      <c r="U84" s="40">
        <v>830017.76988005301</v>
      </c>
      <c r="V84" s="40">
        <v>0</v>
      </c>
      <c r="W84" s="45">
        <v>2162394.8631719202</v>
      </c>
      <c r="X84" s="46">
        <v>0.47413689006380699</v>
      </c>
    </row>
    <row r="85" spans="1:24" s="4" customFormat="1" ht="15" customHeight="1">
      <c r="A85" s="28" t="s">
        <v>1109</v>
      </c>
      <c r="B85" s="29">
        <v>3106.0650000000001</v>
      </c>
      <c r="C85" s="30" t="s">
        <v>1509</v>
      </c>
      <c r="D85" s="2">
        <v>4947169235</v>
      </c>
      <c r="E85" s="2" t="s">
        <v>6</v>
      </c>
      <c r="F85" s="2" t="s">
        <v>1510</v>
      </c>
      <c r="G85" s="28" t="s">
        <v>5</v>
      </c>
      <c r="H85" s="2" t="s">
        <v>1511</v>
      </c>
      <c r="I85" s="2" t="s">
        <v>1512</v>
      </c>
      <c r="J85" s="2" t="s">
        <v>1513</v>
      </c>
      <c r="K85" s="2">
        <v>54808</v>
      </c>
      <c r="L85" s="35">
        <v>170237210.52000001</v>
      </c>
      <c r="M85" s="36">
        <v>11440</v>
      </c>
      <c r="N85" s="40">
        <v>330789.30253220798</v>
      </c>
      <c r="O85" s="40">
        <v>386213.30964016001</v>
      </c>
      <c r="P85" s="40">
        <v>0</v>
      </c>
      <c r="Q85" s="40">
        <v>114706.77920924001</v>
      </c>
      <c r="R85" s="40">
        <v>698898.49711239396</v>
      </c>
      <c r="S85" s="40">
        <v>81859.227010217699</v>
      </c>
      <c r="T85" s="37">
        <v>30000</v>
      </c>
      <c r="U85" s="40">
        <v>1027641.0484229201</v>
      </c>
      <c r="V85" s="40">
        <v>0</v>
      </c>
      <c r="W85" s="45">
        <v>2670108.1639271402</v>
      </c>
      <c r="X85" s="46">
        <v>1.5684632964621099</v>
      </c>
    </row>
    <row r="86" spans="1:24" s="4" customFormat="1" ht="15" customHeight="1">
      <c r="A86" s="28" t="s">
        <v>1109</v>
      </c>
      <c r="B86" s="29">
        <v>3106.0650000000001</v>
      </c>
      <c r="C86" s="30" t="s">
        <v>1509</v>
      </c>
      <c r="D86" s="2">
        <v>4946611856</v>
      </c>
      <c r="E86" s="2" t="s">
        <v>6</v>
      </c>
      <c r="F86" s="2" t="s">
        <v>1510</v>
      </c>
      <c r="G86" s="28" t="s">
        <v>5</v>
      </c>
      <c r="H86" s="2" t="s">
        <v>1511</v>
      </c>
      <c r="I86" s="2" t="s">
        <v>1512</v>
      </c>
      <c r="J86" s="2" t="s">
        <v>1513</v>
      </c>
      <c r="K86" s="2">
        <v>83970</v>
      </c>
      <c r="L86" s="35">
        <v>260816278.05000001</v>
      </c>
      <c r="M86" s="36">
        <v>14850</v>
      </c>
      <c r="N86" s="40">
        <v>429389.96001777</v>
      </c>
      <c r="O86" s="40">
        <v>501334.58462905401</v>
      </c>
      <c r="P86" s="40">
        <v>0</v>
      </c>
      <c r="Q86" s="40">
        <v>148898.223011995</v>
      </c>
      <c r="R86" s="40">
        <v>907223.30875166599</v>
      </c>
      <c r="S86" s="40">
        <v>106259.573522879</v>
      </c>
      <c r="T86" s="37">
        <v>30000</v>
      </c>
      <c r="U86" s="40">
        <v>1333957.1301643699</v>
      </c>
      <c r="V86" s="40">
        <v>0</v>
      </c>
      <c r="W86" s="45">
        <v>3457062.78009773</v>
      </c>
      <c r="X86" s="46">
        <v>1.32547815111256</v>
      </c>
    </row>
    <row r="87" spans="1:24" s="4" customFormat="1" ht="15" customHeight="1">
      <c r="A87" s="28" t="s">
        <v>1109</v>
      </c>
      <c r="B87" s="29">
        <v>3106.0650000000001</v>
      </c>
      <c r="C87" s="30" t="s">
        <v>1509</v>
      </c>
      <c r="D87" s="2">
        <v>4946581605</v>
      </c>
      <c r="E87" s="2" t="s">
        <v>6</v>
      </c>
      <c r="F87" s="2" t="s">
        <v>1510</v>
      </c>
      <c r="G87" s="28" t="s">
        <v>5</v>
      </c>
      <c r="H87" s="2" t="s">
        <v>1511</v>
      </c>
      <c r="I87" s="2" t="s">
        <v>1512</v>
      </c>
      <c r="J87" s="2" t="s">
        <v>1513</v>
      </c>
      <c r="K87" s="2">
        <v>18878.400000000001</v>
      </c>
      <c r="L87" s="35">
        <v>58637537.495999999</v>
      </c>
      <c r="M87" s="36">
        <v>1188</v>
      </c>
      <c r="N87" s="40">
        <v>34351.196801421604</v>
      </c>
      <c r="O87" s="40">
        <v>40106.766770324299</v>
      </c>
      <c r="P87" s="40">
        <v>0</v>
      </c>
      <c r="Q87" s="40">
        <v>11911.857840959599</v>
      </c>
      <c r="R87" s="40">
        <v>72577.424700133299</v>
      </c>
      <c r="S87" s="40">
        <v>8500.7658818303007</v>
      </c>
      <c r="T87" s="37">
        <v>30000</v>
      </c>
      <c r="U87" s="40">
        <v>106716.57041315</v>
      </c>
      <c r="V87" s="40">
        <v>0</v>
      </c>
      <c r="W87" s="45">
        <v>304164.58240781899</v>
      </c>
      <c r="X87" s="46">
        <v>0.51871991116367699</v>
      </c>
    </row>
    <row r="88" spans="1:24" s="4" customFormat="1" ht="15" customHeight="1">
      <c r="A88" s="28" t="s">
        <v>1109</v>
      </c>
      <c r="B88" s="29">
        <v>3106.0650000000001</v>
      </c>
      <c r="C88" s="30" t="s">
        <v>1509</v>
      </c>
      <c r="D88" s="2">
        <v>4946581603</v>
      </c>
      <c r="E88" s="2" t="s">
        <v>6</v>
      </c>
      <c r="F88" s="2" t="s">
        <v>1510</v>
      </c>
      <c r="G88" s="28" t="s">
        <v>5</v>
      </c>
      <c r="H88" s="2" t="s">
        <v>1511</v>
      </c>
      <c r="I88" s="2" t="s">
        <v>1512</v>
      </c>
      <c r="J88" s="2" t="s">
        <v>1513</v>
      </c>
      <c r="K88" s="2">
        <v>102782.39999999999</v>
      </c>
      <c r="L88" s="35">
        <v>319248815.25599998</v>
      </c>
      <c r="M88" s="36">
        <v>6468</v>
      </c>
      <c r="N88" s="40">
        <v>187023.18258551799</v>
      </c>
      <c r="O88" s="40">
        <v>218359.06352732101</v>
      </c>
      <c r="P88" s="40">
        <v>0</v>
      </c>
      <c r="Q88" s="40">
        <v>64853.448245224303</v>
      </c>
      <c r="R88" s="40">
        <v>395146.42336739198</v>
      </c>
      <c r="S88" s="40">
        <v>46281.947578853797</v>
      </c>
      <c r="T88" s="37">
        <v>30000</v>
      </c>
      <c r="U88" s="40">
        <v>581012.43891603698</v>
      </c>
      <c r="V88" s="40">
        <v>0</v>
      </c>
      <c r="W88" s="45">
        <v>1522676.5042203499</v>
      </c>
      <c r="X88" s="46">
        <v>0.47695603913184098</v>
      </c>
    </row>
    <row r="89" spans="1:24" s="4" customFormat="1" ht="15" customHeight="1">
      <c r="A89" s="28" t="s">
        <v>1109</v>
      </c>
      <c r="B89" s="29">
        <v>3106.0650000000001</v>
      </c>
      <c r="C89" s="30" t="s">
        <v>1514</v>
      </c>
      <c r="D89" s="2">
        <v>4941326582</v>
      </c>
      <c r="E89" s="2" t="s">
        <v>6</v>
      </c>
      <c r="F89" s="2" t="s">
        <v>1515</v>
      </c>
      <c r="G89" s="28" t="s">
        <v>5</v>
      </c>
      <c r="H89" s="2" t="s">
        <v>17</v>
      </c>
      <c r="I89" s="2">
        <v>1</v>
      </c>
      <c r="J89" s="2" t="s">
        <v>1516</v>
      </c>
      <c r="K89" s="2">
        <v>13051.5</v>
      </c>
      <c r="L89" s="35">
        <v>40538807.347499996</v>
      </c>
      <c r="M89" s="36">
        <v>5775</v>
      </c>
      <c r="N89" s="40">
        <v>290967.77566539898</v>
      </c>
      <c r="O89" s="40">
        <v>319337.11026615999</v>
      </c>
      <c r="P89" s="40">
        <v>0</v>
      </c>
      <c r="Q89" s="40">
        <v>77880.627376425895</v>
      </c>
      <c r="R89" s="40">
        <v>533120.36121672997</v>
      </c>
      <c r="S89" s="40">
        <v>222314.600760456</v>
      </c>
      <c r="T89" s="37">
        <v>30000</v>
      </c>
      <c r="U89" s="40">
        <v>2140294.6768060802</v>
      </c>
      <c r="V89" s="40">
        <v>0</v>
      </c>
      <c r="W89" s="45">
        <v>3613915.1520912498</v>
      </c>
      <c r="X89" s="46">
        <v>8.9147051641471595</v>
      </c>
    </row>
    <row r="90" spans="1:24" s="4" customFormat="1" ht="15" customHeight="1">
      <c r="A90" s="28" t="s">
        <v>1109</v>
      </c>
      <c r="B90" s="29">
        <v>3106.0650000000001</v>
      </c>
      <c r="C90" s="30" t="s">
        <v>1514</v>
      </c>
      <c r="D90" s="2">
        <v>4946611863</v>
      </c>
      <c r="E90" s="2" t="s">
        <v>6</v>
      </c>
      <c r="F90" s="2" t="s">
        <v>1515</v>
      </c>
      <c r="G90" s="28" t="s">
        <v>5</v>
      </c>
      <c r="H90" s="2" t="s">
        <v>17</v>
      </c>
      <c r="I90" s="2">
        <v>1</v>
      </c>
      <c r="J90" s="2" t="s">
        <v>1516</v>
      </c>
      <c r="K90" s="2">
        <v>10564.4</v>
      </c>
      <c r="L90" s="35">
        <v>32813713.085999999</v>
      </c>
      <c r="M90" s="36">
        <v>3430</v>
      </c>
      <c r="N90" s="40">
        <v>172817.22433460099</v>
      </c>
      <c r="O90" s="40">
        <v>189666.88973384001</v>
      </c>
      <c r="P90" s="40">
        <v>0</v>
      </c>
      <c r="Q90" s="40">
        <v>46256.372623574098</v>
      </c>
      <c r="R90" s="40">
        <v>316641.63878327003</v>
      </c>
      <c r="S90" s="40">
        <v>132041.399239544</v>
      </c>
      <c r="T90" s="37">
        <v>30000</v>
      </c>
      <c r="U90" s="40">
        <v>1271205.3231939201</v>
      </c>
      <c r="V90" s="40">
        <v>0</v>
      </c>
      <c r="W90" s="45">
        <v>2158628.8479087502</v>
      </c>
      <c r="X90" s="46">
        <v>6.5784351872989699</v>
      </c>
    </row>
    <row r="91" spans="1:24" s="4" customFormat="1" ht="15" customHeight="1">
      <c r="A91" s="28" t="s">
        <v>1109</v>
      </c>
      <c r="B91" s="29">
        <v>3106.0650000000001</v>
      </c>
      <c r="C91" s="30" t="s">
        <v>1582</v>
      </c>
      <c r="D91" s="2">
        <v>4946580736</v>
      </c>
      <c r="E91" s="2" t="s">
        <v>6</v>
      </c>
      <c r="F91" s="78" t="s">
        <v>1583</v>
      </c>
      <c r="G91" s="28" t="s">
        <v>9</v>
      </c>
      <c r="H91" s="2" t="s">
        <v>23</v>
      </c>
      <c r="I91" s="2">
        <v>1</v>
      </c>
      <c r="J91" s="2"/>
      <c r="K91" s="2">
        <v>4800</v>
      </c>
      <c r="L91" s="35">
        <v>14909112</v>
      </c>
      <c r="M91" s="36">
        <v>660</v>
      </c>
      <c r="N91" s="40">
        <v>713595</v>
      </c>
      <c r="O91" s="40">
        <v>472</v>
      </c>
      <c r="P91" s="40">
        <v>8867</v>
      </c>
      <c r="Q91" s="40">
        <v>14238</v>
      </c>
      <c r="R91" s="40">
        <v>93415</v>
      </c>
      <c r="S91" s="40">
        <v>354356</v>
      </c>
      <c r="T91" s="37">
        <v>30000</v>
      </c>
      <c r="U91" s="40">
        <v>1367700</v>
      </c>
      <c r="V91" s="40">
        <v>0</v>
      </c>
      <c r="W91" s="45">
        <v>2582643</v>
      </c>
      <c r="X91" s="46">
        <v>17.322580982690301</v>
      </c>
    </row>
    <row r="92" spans="1:24" s="4" customFormat="1" ht="15" customHeight="1">
      <c r="A92" s="28" t="s">
        <v>1109</v>
      </c>
      <c r="B92" s="29">
        <v>3106.0650000000001</v>
      </c>
      <c r="C92" s="30" t="s">
        <v>1586</v>
      </c>
      <c r="D92" s="2">
        <v>4942446903</v>
      </c>
      <c r="E92" s="2" t="s">
        <v>6</v>
      </c>
      <c r="F92" s="2" t="s">
        <v>1587</v>
      </c>
      <c r="G92" s="28" t="s">
        <v>5</v>
      </c>
      <c r="H92" s="2" t="s">
        <v>17</v>
      </c>
      <c r="I92" s="2">
        <v>1</v>
      </c>
      <c r="J92" s="2" t="s">
        <v>1588</v>
      </c>
      <c r="K92" s="2">
        <v>39245</v>
      </c>
      <c r="L92" s="35">
        <v>121897520.925</v>
      </c>
      <c r="M92" s="36">
        <v>8683</v>
      </c>
      <c r="N92" s="40">
        <v>0</v>
      </c>
      <c r="O92" s="40">
        <v>509004</v>
      </c>
      <c r="P92" s="40">
        <v>299348</v>
      </c>
      <c r="Q92" s="40">
        <v>124137</v>
      </c>
      <c r="R92" s="40">
        <v>845839</v>
      </c>
      <c r="S92" s="40">
        <v>354356</v>
      </c>
      <c r="T92" s="37">
        <v>30000</v>
      </c>
      <c r="U92" s="40">
        <v>0</v>
      </c>
      <c r="V92" s="40">
        <v>0</v>
      </c>
      <c r="W92" s="45">
        <v>2162684</v>
      </c>
      <c r="X92" s="46">
        <v>1.7741821027932401</v>
      </c>
    </row>
    <row r="94" spans="1:24" ht="15" customHeight="1">
      <c r="A94" s="31" t="s">
        <v>1109</v>
      </c>
      <c r="B94" s="31"/>
      <c r="C94" s="31"/>
      <c r="D94" s="31"/>
      <c r="E94" s="31"/>
      <c r="F94" s="32">
        <v>22</v>
      </c>
      <c r="G94" s="31"/>
      <c r="H94" s="31"/>
      <c r="I94" s="38"/>
      <c r="J94" s="31"/>
      <c r="K94" s="39">
        <f>+SUM(K57:K92)</f>
        <v>1691713.69</v>
      </c>
      <c r="L94" s="39">
        <f>+SUM(L57:L92)</f>
        <v>5254572682.529851</v>
      </c>
      <c r="M94" s="31"/>
      <c r="N94" s="39"/>
      <c r="O94" s="39"/>
      <c r="P94" s="39"/>
      <c r="Q94" s="39"/>
      <c r="R94" s="39"/>
      <c r="S94" s="39"/>
      <c r="T94" s="39"/>
      <c r="U94" s="39"/>
      <c r="V94" s="31"/>
      <c r="W94" s="39">
        <f>+SUM(W57:W92)</f>
        <v>95358498.944444418</v>
      </c>
      <c r="X94" s="47">
        <f>(W94/L94)*100</f>
        <v>1.8147717180026408</v>
      </c>
    </row>
    <row r="96" spans="1:24" s="4" customFormat="1" ht="15" customHeight="1">
      <c r="A96" s="28" t="s">
        <v>1603</v>
      </c>
      <c r="B96" s="29">
        <v>3149.63</v>
      </c>
      <c r="C96" s="30" t="s">
        <v>1628</v>
      </c>
      <c r="D96" s="2">
        <v>4946630987</v>
      </c>
      <c r="E96" s="2" t="s">
        <v>6</v>
      </c>
      <c r="F96" s="2" t="s">
        <v>1629</v>
      </c>
      <c r="G96" s="28" t="s">
        <v>5</v>
      </c>
      <c r="H96" s="2" t="s">
        <v>17</v>
      </c>
      <c r="I96" s="2">
        <v>1</v>
      </c>
      <c r="J96" s="2" t="s">
        <v>1630</v>
      </c>
      <c r="K96" s="2">
        <v>211560</v>
      </c>
      <c r="L96" s="35">
        <v>666335722.79999995</v>
      </c>
      <c r="M96" s="36">
        <v>13200</v>
      </c>
      <c r="N96" s="40">
        <v>0</v>
      </c>
      <c r="O96" s="40">
        <v>534687</v>
      </c>
      <c r="P96" s="40">
        <v>0</v>
      </c>
      <c r="Q96" s="40">
        <v>124137</v>
      </c>
      <c r="R96" s="40">
        <v>848949</v>
      </c>
      <c r="S96" s="40">
        <v>354356</v>
      </c>
      <c r="T96" s="40">
        <v>30000</v>
      </c>
      <c r="U96" s="40">
        <v>5446550</v>
      </c>
      <c r="V96" s="40">
        <v>1355000</v>
      </c>
      <c r="W96" s="45">
        <v>8693679</v>
      </c>
      <c r="X96" s="46">
        <v>1.3046995234576999</v>
      </c>
    </row>
    <row r="97" spans="1:24" s="4" customFormat="1" ht="15" customHeight="1">
      <c r="A97" s="28" t="s">
        <v>1603</v>
      </c>
      <c r="B97" s="29">
        <v>3149.63</v>
      </c>
      <c r="C97" s="30" t="s">
        <v>1641</v>
      </c>
      <c r="D97" s="2">
        <v>4947226234</v>
      </c>
      <c r="E97" s="2" t="s">
        <v>6</v>
      </c>
      <c r="F97" s="2" t="s">
        <v>1642</v>
      </c>
      <c r="G97" s="28" t="s">
        <v>5</v>
      </c>
      <c r="H97" s="2" t="s">
        <v>17</v>
      </c>
      <c r="I97" s="2">
        <v>1</v>
      </c>
      <c r="J97" s="2" t="s">
        <v>212</v>
      </c>
      <c r="K97" s="2">
        <v>21470</v>
      </c>
      <c r="L97" s="35">
        <v>67622556.099999994</v>
      </c>
      <c r="M97" s="36">
        <v>9500</v>
      </c>
      <c r="N97" s="40">
        <v>221999.59927140301</v>
      </c>
      <c r="O97" s="40">
        <v>370093.00546448102</v>
      </c>
      <c r="P97" s="40">
        <v>0</v>
      </c>
      <c r="Q97" s="40">
        <v>85923.606557377003</v>
      </c>
      <c r="R97" s="40">
        <v>528633.318761384</v>
      </c>
      <c r="S97" s="40">
        <v>245273.734061931</v>
      </c>
      <c r="T97" s="40">
        <v>30000</v>
      </c>
      <c r="U97" s="40">
        <v>1217290.2003643</v>
      </c>
      <c r="V97" s="40">
        <v>0</v>
      </c>
      <c r="W97" s="45">
        <v>2699213.4644808802</v>
      </c>
      <c r="X97" s="46">
        <v>3.99158745269742</v>
      </c>
    </row>
    <row r="98" spans="1:24" s="4" customFormat="1" ht="15" customHeight="1">
      <c r="A98" s="28" t="s">
        <v>1603</v>
      </c>
      <c r="B98" s="29">
        <v>3149.63</v>
      </c>
      <c r="C98" s="30" t="s">
        <v>1641</v>
      </c>
      <c r="D98" s="2">
        <v>4941326582</v>
      </c>
      <c r="E98" s="2" t="s">
        <v>6</v>
      </c>
      <c r="F98" s="2" t="s">
        <v>1642</v>
      </c>
      <c r="G98" s="28" t="s">
        <v>5</v>
      </c>
      <c r="H98" s="2" t="s">
        <v>17</v>
      </c>
      <c r="I98" s="2">
        <v>1</v>
      </c>
      <c r="J98" s="2" t="s">
        <v>212</v>
      </c>
      <c r="K98" s="2">
        <v>9548.5</v>
      </c>
      <c r="L98" s="35">
        <v>30074242.055</v>
      </c>
      <c r="M98" s="36">
        <v>4225</v>
      </c>
      <c r="N98" s="40">
        <v>98731.400728597495</v>
      </c>
      <c r="O98" s="40">
        <v>164593.99453551901</v>
      </c>
      <c r="P98" s="40">
        <v>0</v>
      </c>
      <c r="Q98" s="40">
        <v>38213.393442622903</v>
      </c>
      <c r="R98" s="40">
        <v>235102.681238616</v>
      </c>
      <c r="S98" s="40">
        <v>109082.265938069</v>
      </c>
      <c r="T98" s="40">
        <v>30000</v>
      </c>
      <c r="U98" s="40">
        <v>541373.799635701</v>
      </c>
      <c r="V98" s="40">
        <v>0</v>
      </c>
      <c r="W98" s="45">
        <v>1217097.5355191301</v>
      </c>
      <c r="X98" s="46">
        <v>4.0469765897783496</v>
      </c>
    </row>
    <row r="99" spans="1:24" s="4" customFormat="1" ht="15" customHeight="1">
      <c r="A99" s="28" t="s">
        <v>1603</v>
      </c>
      <c r="B99" s="29">
        <v>3149.63</v>
      </c>
      <c r="C99" s="30" t="s">
        <v>1664</v>
      </c>
      <c r="D99" s="2">
        <v>4946607246</v>
      </c>
      <c r="E99" s="2" t="s">
        <v>6</v>
      </c>
      <c r="F99" s="2" t="s">
        <v>1665</v>
      </c>
      <c r="G99" s="28" t="s">
        <v>9</v>
      </c>
      <c r="H99" s="2" t="s">
        <v>23</v>
      </c>
      <c r="I99" s="2">
        <v>2</v>
      </c>
      <c r="J99" s="2"/>
      <c r="K99" s="2">
        <v>20937.599999999999</v>
      </c>
      <c r="L99" s="35">
        <v>65945693.088</v>
      </c>
      <c r="M99" s="36">
        <v>1584</v>
      </c>
      <c r="N99" s="40">
        <v>204387</v>
      </c>
      <c r="O99" s="40">
        <v>1195</v>
      </c>
      <c r="P99" s="40">
        <v>0</v>
      </c>
      <c r="Q99" s="40">
        <v>28882</v>
      </c>
      <c r="R99" s="40">
        <v>108017</v>
      </c>
      <c r="S99" s="40">
        <v>354356</v>
      </c>
      <c r="T99" s="40">
        <v>30000</v>
      </c>
      <c r="U99" s="40">
        <v>1367700</v>
      </c>
      <c r="V99" s="40">
        <v>0</v>
      </c>
      <c r="W99" s="45">
        <v>2094537</v>
      </c>
      <c r="X99" s="46">
        <v>3.1761543505274599</v>
      </c>
    </row>
    <row r="100" spans="1:24" s="4" customFormat="1" ht="15" customHeight="1">
      <c r="A100" s="28" t="s">
        <v>1603</v>
      </c>
      <c r="B100" s="29">
        <v>3149.63</v>
      </c>
      <c r="C100" s="30" t="s">
        <v>1789</v>
      </c>
      <c r="D100" s="2">
        <v>4949164160</v>
      </c>
      <c r="E100" s="2" t="s">
        <v>6</v>
      </c>
      <c r="F100" s="78" t="s">
        <v>1790</v>
      </c>
      <c r="G100" s="28" t="s">
        <v>5</v>
      </c>
      <c r="H100" s="2" t="s">
        <v>17</v>
      </c>
      <c r="I100" s="2">
        <v>1</v>
      </c>
      <c r="J100" s="2" t="s">
        <v>1791</v>
      </c>
      <c r="K100" s="2">
        <v>177840</v>
      </c>
      <c r="L100" s="35">
        <v>560130199.20000005</v>
      </c>
      <c r="M100" s="36">
        <v>14400</v>
      </c>
      <c r="N100" s="40">
        <v>0</v>
      </c>
      <c r="O100" s="40">
        <v>534687</v>
      </c>
      <c r="P100" s="40">
        <v>0</v>
      </c>
      <c r="Q100" s="40">
        <v>124137</v>
      </c>
      <c r="R100" s="40">
        <v>856660</v>
      </c>
      <c r="S100" s="40">
        <v>354356</v>
      </c>
      <c r="T100" s="40">
        <v>30000</v>
      </c>
      <c r="U100" s="40">
        <v>5446550</v>
      </c>
      <c r="V100" s="40">
        <v>1335000</v>
      </c>
      <c r="W100" s="45">
        <v>8681390</v>
      </c>
      <c r="X100" s="46">
        <v>1.54988786757063</v>
      </c>
    </row>
    <row r="101" spans="1:24" s="4" customFormat="1" ht="15" customHeight="1">
      <c r="A101" s="28" t="s">
        <v>1603</v>
      </c>
      <c r="B101" s="29">
        <v>3149.63</v>
      </c>
      <c r="C101" s="30" t="s">
        <v>1810</v>
      </c>
      <c r="D101" s="2">
        <v>4946580748</v>
      </c>
      <c r="E101" s="2" t="s">
        <v>6</v>
      </c>
      <c r="F101" s="2" t="s">
        <v>1811</v>
      </c>
      <c r="G101" s="28" t="s">
        <v>5</v>
      </c>
      <c r="H101" s="2" t="s">
        <v>17</v>
      </c>
      <c r="I101" s="2">
        <v>1</v>
      </c>
      <c r="J101" s="2" t="s">
        <v>1812</v>
      </c>
      <c r="K101" s="2">
        <v>72972</v>
      </c>
      <c r="L101" s="35">
        <v>229834800.36000001</v>
      </c>
      <c r="M101" s="36">
        <v>7200</v>
      </c>
      <c r="N101" s="40">
        <v>325476</v>
      </c>
      <c r="O101" s="40">
        <v>534687</v>
      </c>
      <c r="P101" s="40">
        <v>0</v>
      </c>
      <c r="Q101" s="40">
        <v>124137</v>
      </c>
      <c r="R101" s="40">
        <v>876177</v>
      </c>
      <c r="S101" s="40">
        <v>354356</v>
      </c>
      <c r="T101" s="40">
        <v>30000</v>
      </c>
      <c r="U101" s="40">
        <v>4719050</v>
      </c>
      <c r="V101" s="40">
        <v>0</v>
      </c>
      <c r="W101" s="45">
        <v>6963883</v>
      </c>
      <c r="X101" s="46">
        <v>3.0299515082538302</v>
      </c>
    </row>
    <row r="102" spans="1:24" s="4" customFormat="1" ht="15" customHeight="1">
      <c r="A102" s="28" t="s">
        <v>1603</v>
      </c>
      <c r="B102" s="29">
        <v>3149.63</v>
      </c>
      <c r="C102" s="30" t="s">
        <v>1819</v>
      </c>
      <c r="D102" s="2">
        <v>4947229912</v>
      </c>
      <c r="E102" s="2" t="s">
        <v>6</v>
      </c>
      <c r="F102" s="2" t="s">
        <v>1820</v>
      </c>
      <c r="G102" s="28" t="s">
        <v>5</v>
      </c>
      <c r="H102" s="2" t="s">
        <v>20</v>
      </c>
      <c r="I102" s="2">
        <v>1</v>
      </c>
      <c r="J102" s="2" t="s">
        <v>1821</v>
      </c>
      <c r="K102" s="2">
        <v>17376</v>
      </c>
      <c r="L102" s="35">
        <v>54727970.880000003</v>
      </c>
      <c r="M102" s="36">
        <v>4800</v>
      </c>
      <c r="N102" s="40">
        <v>325476</v>
      </c>
      <c r="O102" s="40">
        <v>407175</v>
      </c>
      <c r="P102" s="40">
        <v>0</v>
      </c>
      <c r="Q102" s="40">
        <v>124137</v>
      </c>
      <c r="R102" s="40">
        <v>749113</v>
      </c>
      <c r="S102" s="40">
        <v>354356</v>
      </c>
      <c r="T102" s="40">
        <v>30000</v>
      </c>
      <c r="U102" s="40">
        <v>2619000</v>
      </c>
      <c r="V102" s="40">
        <v>0</v>
      </c>
      <c r="W102" s="45">
        <v>4609257</v>
      </c>
      <c r="X102" s="46">
        <v>8.4221229581241897</v>
      </c>
    </row>
    <row r="103" spans="1:24" s="4" customFormat="1" ht="15" customHeight="1">
      <c r="A103" s="28" t="s">
        <v>1603</v>
      </c>
      <c r="B103" s="29">
        <v>3149.63</v>
      </c>
      <c r="C103" s="30" t="s">
        <v>1837</v>
      </c>
      <c r="D103" s="2">
        <v>4947229906</v>
      </c>
      <c r="E103" s="2" t="s">
        <v>6</v>
      </c>
      <c r="F103" s="2" t="s">
        <v>1838</v>
      </c>
      <c r="G103" s="28" t="s">
        <v>5</v>
      </c>
      <c r="H103" s="2" t="s">
        <v>20</v>
      </c>
      <c r="I103" s="2">
        <v>1</v>
      </c>
      <c r="J103" s="2" t="s">
        <v>1839</v>
      </c>
      <c r="K103" s="2">
        <v>96576</v>
      </c>
      <c r="L103" s="35">
        <v>304178666.88</v>
      </c>
      <c r="M103" s="36">
        <v>4224</v>
      </c>
      <c r="N103" s="40">
        <v>467148</v>
      </c>
      <c r="O103" s="40">
        <v>407175</v>
      </c>
      <c r="P103" s="40">
        <v>0</v>
      </c>
      <c r="Q103" s="40">
        <v>124137</v>
      </c>
      <c r="R103" s="40">
        <v>732368</v>
      </c>
      <c r="S103" s="40">
        <v>354356</v>
      </c>
      <c r="T103" s="40">
        <v>30000</v>
      </c>
      <c r="U103" s="40">
        <v>2619000</v>
      </c>
      <c r="V103" s="40">
        <v>0</v>
      </c>
      <c r="W103" s="45">
        <v>4734184</v>
      </c>
      <c r="X103" s="46">
        <v>1.55638265120928</v>
      </c>
    </row>
    <row r="104" spans="1:24" s="4" customFormat="1" ht="15" customHeight="1">
      <c r="A104" s="28" t="s">
        <v>1603</v>
      </c>
      <c r="B104" s="29">
        <v>3149.63</v>
      </c>
      <c r="C104" s="30" t="s">
        <v>1855</v>
      </c>
      <c r="D104" s="2">
        <v>4947229914</v>
      </c>
      <c r="E104" s="2" t="s">
        <v>6</v>
      </c>
      <c r="F104" s="2" t="s">
        <v>1856</v>
      </c>
      <c r="G104" s="28" t="s">
        <v>9</v>
      </c>
      <c r="H104" s="2" t="s">
        <v>23</v>
      </c>
      <c r="I104" s="2">
        <v>3</v>
      </c>
      <c r="J104" s="2"/>
      <c r="K104" s="2">
        <v>24498</v>
      </c>
      <c r="L104" s="35">
        <v>77159635.739999995</v>
      </c>
      <c r="M104" s="36">
        <v>1980</v>
      </c>
      <c r="N104" s="40">
        <v>888134</v>
      </c>
      <c r="O104" s="40">
        <v>1385</v>
      </c>
      <c r="P104" s="40">
        <v>0</v>
      </c>
      <c r="Q104" s="40">
        <v>43810</v>
      </c>
      <c r="R104" s="40">
        <v>129588</v>
      </c>
      <c r="S104" s="40">
        <v>354356</v>
      </c>
      <c r="T104" s="40">
        <v>30000</v>
      </c>
      <c r="U104" s="40">
        <v>1367700</v>
      </c>
      <c r="V104" s="40">
        <v>0</v>
      </c>
      <c r="W104" s="45">
        <v>2814973</v>
      </c>
      <c r="X104" s="46">
        <v>3.6482455794444602</v>
      </c>
    </row>
    <row r="105" spans="1:24" s="4" customFormat="1" ht="15" customHeight="1">
      <c r="A105" s="28" t="s">
        <v>1603</v>
      </c>
      <c r="B105" s="29">
        <v>3149.63</v>
      </c>
      <c r="C105" s="30" t="s">
        <v>1892</v>
      </c>
      <c r="D105" s="2">
        <v>4948185788</v>
      </c>
      <c r="E105" s="2" t="s">
        <v>6</v>
      </c>
      <c r="F105" s="2" t="s">
        <v>1893</v>
      </c>
      <c r="G105" s="28" t="s">
        <v>5</v>
      </c>
      <c r="H105" s="2" t="s">
        <v>17</v>
      </c>
      <c r="I105" s="2">
        <v>1</v>
      </c>
      <c r="J105" s="2" t="s">
        <v>1894</v>
      </c>
      <c r="K105" s="2">
        <v>271814.40000000002</v>
      </c>
      <c r="L105" s="35">
        <v>856114788.67200005</v>
      </c>
      <c r="M105" s="36">
        <v>9504</v>
      </c>
      <c r="N105" s="40">
        <v>307012</v>
      </c>
      <c r="O105" s="40">
        <v>534687</v>
      </c>
      <c r="P105" s="40">
        <v>0</v>
      </c>
      <c r="Q105" s="40">
        <v>124137</v>
      </c>
      <c r="R105" s="40">
        <v>719904</v>
      </c>
      <c r="S105" s="40">
        <v>354356</v>
      </c>
      <c r="T105" s="40">
        <v>30000</v>
      </c>
      <c r="U105" s="40">
        <v>4719050</v>
      </c>
      <c r="V105" s="40">
        <v>1335000</v>
      </c>
      <c r="W105" s="45">
        <v>8124146</v>
      </c>
      <c r="X105" s="46">
        <v>0.94895522276891497</v>
      </c>
    </row>
    <row r="106" spans="1:24" s="4" customFormat="1" ht="15" customHeight="1">
      <c r="A106" s="28" t="s">
        <v>1603</v>
      </c>
      <c r="B106" s="29">
        <v>3149.63</v>
      </c>
      <c r="C106" s="30" t="s">
        <v>1913</v>
      </c>
      <c r="D106" s="2">
        <v>4947224354</v>
      </c>
      <c r="E106" s="2" t="s">
        <v>6</v>
      </c>
      <c r="F106" s="2" t="s">
        <v>1914</v>
      </c>
      <c r="G106" s="28" t="s">
        <v>5</v>
      </c>
      <c r="H106" s="2" t="s">
        <v>17</v>
      </c>
      <c r="I106" s="2">
        <v>1</v>
      </c>
      <c r="J106" s="2" t="s">
        <v>1915</v>
      </c>
      <c r="K106" s="2">
        <v>34752</v>
      </c>
      <c r="L106" s="35">
        <v>109455941.76000001</v>
      </c>
      <c r="M106" s="36">
        <v>10560</v>
      </c>
      <c r="N106" s="40">
        <v>471488</v>
      </c>
      <c r="O106" s="40">
        <v>534687</v>
      </c>
      <c r="P106" s="40">
        <v>0</v>
      </c>
      <c r="Q106" s="40">
        <v>124137</v>
      </c>
      <c r="R106" s="40">
        <v>858547</v>
      </c>
      <c r="S106" s="40">
        <v>354356</v>
      </c>
      <c r="T106" s="40">
        <v>30000</v>
      </c>
      <c r="U106" s="40">
        <v>4719050</v>
      </c>
      <c r="V106" s="40">
        <v>0</v>
      </c>
      <c r="W106" s="45">
        <v>7092265</v>
      </c>
      <c r="X106" s="46">
        <v>6.4795614435906499</v>
      </c>
    </row>
    <row r="107" spans="1:24" s="4" customFormat="1" ht="15" customHeight="1">
      <c r="A107" s="28" t="s">
        <v>1603</v>
      </c>
      <c r="B107" s="29">
        <v>3149.63</v>
      </c>
      <c r="C107" s="30" t="s">
        <v>1946</v>
      </c>
      <c r="D107" s="2">
        <v>4948094916</v>
      </c>
      <c r="E107" s="2" t="s">
        <v>6</v>
      </c>
      <c r="F107" s="2" t="s">
        <v>1947</v>
      </c>
      <c r="G107" s="28" t="s">
        <v>9</v>
      </c>
      <c r="H107" s="2" t="s">
        <v>23</v>
      </c>
      <c r="I107" s="2">
        <v>2</v>
      </c>
      <c r="J107" s="2"/>
      <c r="K107" s="2">
        <v>20224.79</v>
      </c>
      <c r="L107" s="35">
        <v>63700605.327699997</v>
      </c>
      <c r="M107" s="36">
        <v>1584</v>
      </c>
      <c r="N107" s="40">
        <v>682469</v>
      </c>
      <c r="O107" s="40">
        <v>1347</v>
      </c>
      <c r="P107" s="40">
        <v>0</v>
      </c>
      <c r="Q107" s="40">
        <v>34287</v>
      </c>
      <c r="R107" s="40">
        <v>113883</v>
      </c>
      <c r="S107" s="40">
        <v>354356</v>
      </c>
      <c r="T107" s="40">
        <v>30000</v>
      </c>
      <c r="U107" s="40">
        <v>1367700</v>
      </c>
      <c r="V107" s="40">
        <v>0</v>
      </c>
      <c r="W107" s="45">
        <v>2584042</v>
      </c>
      <c r="X107" s="46">
        <v>4.05654229925557</v>
      </c>
    </row>
    <row r="108" spans="1:24" s="4" customFormat="1" ht="15" customHeight="1">
      <c r="A108" s="28" t="s">
        <v>1603</v>
      </c>
      <c r="B108" s="29">
        <v>3149.63</v>
      </c>
      <c r="C108" s="30" t="s">
        <v>1963</v>
      </c>
      <c r="D108" s="2">
        <v>4947169237</v>
      </c>
      <c r="E108" s="2" t="s">
        <v>6</v>
      </c>
      <c r="F108" s="2" t="s">
        <v>1964</v>
      </c>
      <c r="G108" s="28" t="s">
        <v>5</v>
      </c>
      <c r="H108" s="2" t="s">
        <v>20</v>
      </c>
      <c r="I108" s="2">
        <v>1</v>
      </c>
      <c r="J108" s="2" t="s">
        <v>1965</v>
      </c>
      <c r="K108" s="2">
        <v>89440</v>
      </c>
      <c r="L108" s="35">
        <v>281702907.19999999</v>
      </c>
      <c r="M108" s="36">
        <v>10400</v>
      </c>
      <c r="N108" s="40">
        <v>307012</v>
      </c>
      <c r="O108" s="40">
        <v>407175</v>
      </c>
      <c r="P108" s="40">
        <v>0</v>
      </c>
      <c r="Q108" s="40">
        <v>99309</v>
      </c>
      <c r="R108" s="40">
        <v>911084</v>
      </c>
      <c r="S108" s="40">
        <v>354356</v>
      </c>
      <c r="T108" s="40">
        <v>30000</v>
      </c>
      <c r="U108" s="40">
        <v>499900</v>
      </c>
      <c r="V108" s="40">
        <v>0</v>
      </c>
      <c r="W108" s="45">
        <v>2608836</v>
      </c>
      <c r="X108" s="46">
        <v>0.92609480886464901</v>
      </c>
    </row>
    <row r="109" spans="1:24" s="4" customFormat="1" ht="15" customHeight="1">
      <c r="A109" s="28" t="s">
        <v>1603</v>
      </c>
      <c r="B109" s="29">
        <v>3149.63</v>
      </c>
      <c r="C109" s="30" t="s">
        <v>1994</v>
      </c>
      <c r="D109" s="2">
        <v>4947010969</v>
      </c>
      <c r="E109" s="2" t="s">
        <v>6</v>
      </c>
      <c r="F109" s="2" t="s">
        <v>1995</v>
      </c>
      <c r="G109" s="28" t="s">
        <v>5</v>
      </c>
      <c r="H109" s="2" t="s">
        <v>20</v>
      </c>
      <c r="I109" s="2">
        <v>1</v>
      </c>
      <c r="J109" s="2" t="s">
        <v>1996</v>
      </c>
      <c r="K109" s="2">
        <v>33840</v>
      </c>
      <c r="L109" s="35">
        <v>106583479.2</v>
      </c>
      <c r="M109" s="36">
        <v>1440</v>
      </c>
      <c r="N109" s="40">
        <v>175501.714285714</v>
      </c>
      <c r="O109" s="40">
        <v>155114.285714286</v>
      </c>
      <c r="P109" s="40">
        <v>0</v>
      </c>
      <c r="Q109" s="40">
        <v>37832</v>
      </c>
      <c r="R109" s="40">
        <v>447479</v>
      </c>
      <c r="S109" s="40">
        <v>134992.76190476201</v>
      </c>
      <c r="T109" s="40">
        <v>30000</v>
      </c>
      <c r="U109" s="40">
        <v>997714.28571428603</v>
      </c>
      <c r="V109" s="40">
        <v>0</v>
      </c>
      <c r="W109" s="45">
        <v>1978634.0476190499</v>
      </c>
      <c r="X109" s="46">
        <v>1.85641720693525</v>
      </c>
    </row>
    <row r="110" spans="1:24" s="4" customFormat="1" ht="15" customHeight="1">
      <c r="A110" s="28" t="s">
        <v>1603</v>
      </c>
      <c r="B110" s="29">
        <v>3149.63</v>
      </c>
      <c r="C110" s="30" t="s">
        <v>1994</v>
      </c>
      <c r="D110" s="2">
        <v>4947226202</v>
      </c>
      <c r="E110" s="2" t="s">
        <v>6</v>
      </c>
      <c r="F110" s="2" t="s">
        <v>1995</v>
      </c>
      <c r="G110" s="28" t="s">
        <v>5</v>
      </c>
      <c r="H110" s="2" t="s">
        <v>20</v>
      </c>
      <c r="I110" s="2">
        <v>1</v>
      </c>
      <c r="J110" s="2" t="s">
        <v>1996</v>
      </c>
      <c r="K110" s="2">
        <v>45120</v>
      </c>
      <c r="L110" s="35">
        <v>142111305.59999999</v>
      </c>
      <c r="M110" s="36">
        <v>1920</v>
      </c>
      <c r="N110" s="40">
        <v>234002.285714286</v>
      </c>
      <c r="O110" s="40">
        <v>206819.04761904801</v>
      </c>
      <c r="P110" s="40">
        <v>0</v>
      </c>
      <c r="Q110" s="40">
        <v>50442.666666666701</v>
      </c>
      <c r="R110" s="40">
        <v>596639</v>
      </c>
      <c r="S110" s="40">
        <v>179990.349206349</v>
      </c>
      <c r="T110" s="40">
        <v>30000</v>
      </c>
      <c r="U110" s="40">
        <v>1330285.7142857099</v>
      </c>
      <c r="V110" s="40">
        <v>0</v>
      </c>
      <c r="W110" s="45">
        <v>2628179.0634920602</v>
      </c>
      <c r="X110" s="46">
        <v>1.84938070366448</v>
      </c>
    </row>
    <row r="111" spans="1:24" s="4" customFormat="1" ht="15" customHeight="1">
      <c r="A111" s="28" t="s">
        <v>1603</v>
      </c>
      <c r="B111" s="29">
        <v>3149.63</v>
      </c>
      <c r="C111" s="30" t="s">
        <v>1994</v>
      </c>
      <c r="D111" s="2">
        <v>4947189181</v>
      </c>
      <c r="E111" s="2" t="s">
        <v>6</v>
      </c>
      <c r="F111" s="2" t="s">
        <v>1995</v>
      </c>
      <c r="G111" s="28" t="s">
        <v>5</v>
      </c>
      <c r="H111" s="2" t="s">
        <v>20</v>
      </c>
      <c r="I111" s="2">
        <v>1</v>
      </c>
      <c r="J111" s="2" t="s">
        <v>1996</v>
      </c>
      <c r="K111" s="2">
        <v>23142</v>
      </c>
      <c r="L111" s="35">
        <v>72888737.459999993</v>
      </c>
      <c r="M111" s="36">
        <v>420</v>
      </c>
      <c r="N111" s="40">
        <v>51188</v>
      </c>
      <c r="O111" s="40">
        <v>45241.666666666701</v>
      </c>
      <c r="P111" s="40">
        <v>0</v>
      </c>
      <c r="Q111" s="40">
        <v>11034.333333333299</v>
      </c>
      <c r="R111" s="40">
        <v>130515</v>
      </c>
      <c r="S111" s="40">
        <v>39372.888888888898</v>
      </c>
      <c r="T111" s="40">
        <v>30000</v>
      </c>
      <c r="U111" s="40">
        <v>291000</v>
      </c>
      <c r="V111" s="40">
        <v>0</v>
      </c>
      <c r="W111" s="45">
        <v>598351.88888888899</v>
      </c>
      <c r="X111" s="46">
        <v>0.82091130912680899</v>
      </c>
    </row>
    <row r="112" spans="1:24" s="4" customFormat="1" ht="15" customHeight="1">
      <c r="A112" s="28" t="s">
        <v>1603</v>
      </c>
      <c r="B112" s="29">
        <v>3149.63</v>
      </c>
      <c r="C112" s="30" t="s">
        <v>2003</v>
      </c>
      <c r="D112" s="2">
        <v>4947229913</v>
      </c>
      <c r="E112" s="2" t="s">
        <v>6</v>
      </c>
      <c r="F112" s="2" t="s">
        <v>2004</v>
      </c>
      <c r="G112" s="28" t="s">
        <v>5</v>
      </c>
      <c r="H112" s="2" t="s">
        <v>20</v>
      </c>
      <c r="I112" s="2">
        <v>1</v>
      </c>
      <c r="J112" s="2" t="s">
        <v>2005</v>
      </c>
      <c r="K112" s="2">
        <v>91800</v>
      </c>
      <c r="L112" s="35">
        <v>289136034</v>
      </c>
      <c r="M112" s="36">
        <v>7200</v>
      </c>
      <c r="N112" s="40">
        <v>460692</v>
      </c>
      <c r="O112" s="40">
        <v>407175</v>
      </c>
      <c r="P112" s="40">
        <v>0</v>
      </c>
      <c r="Q112" s="40">
        <v>124137</v>
      </c>
      <c r="R112" s="40">
        <v>726469</v>
      </c>
      <c r="S112" s="40">
        <v>354356</v>
      </c>
      <c r="T112" s="40">
        <v>30000</v>
      </c>
      <c r="U112" s="40">
        <v>2900300</v>
      </c>
      <c r="V112" s="40">
        <v>0</v>
      </c>
      <c r="W112" s="45">
        <v>5003129</v>
      </c>
      <c r="X112" s="46">
        <v>1.73037200890706</v>
      </c>
    </row>
    <row r="113" spans="1:24" s="4" customFormat="1" ht="15" customHeight="1">
      <c r="A113" s="28" t="s">
        <v>1603</v>
      </c>
      <c r="B113" s="29">
        <v>3149.63</v>
      </c>
      <c r="C113" s="30" t="s">
        <v>2006</v>
      </c>
      <c r="D113" s="2">
        <v>4947223085</v>
      </c>
      <c r="E113" s="2" t="s">
        <v>6</v>
      </c>
      <c r="F113" s="2" t="s">
        <v>2007</v>
      </c>
      <c r="G113" s="28" t="s">
        <v>5</v>
      </c>
      <c r="H113" s="2" t="s">
        <v>17</v>
      </c>
      <c r="I113" s="2">
        <v>4</v>
      </c>
      <c r="J113" s="2" t="s">
        <v>2008</v>
      </c>
      <c r="K113" s="2">
        <v>245108</v>
      </c>
      <c r="L113" s="35">
        <v>771999510.03999996</v>
      </c>
      <c r="M113" s="36">
        <v>25200</v>
      </c>
      <c r="N113" s="40">
        <v>1278174</v>
      </c>
      <c r="O113" s="40">
        <v>2138685</v>
      </c>
      <c r="P113" s="40">
        <v>0</v>
      </c>
      <c r="Q113" s="40">
        <v>496548</v>
      </c>
      <c r="R113" s="40">
        <v>3873429</v>
      </c>
      <c r="S113" s="40">
        <v>354356</v>
      </c>
      <c r="T113" s="40">
        <v>30000</v>
      </c>
      <c r="U113" s="40">
        <v>18779200</v>
      </c>
      <c r="V113" s="40">
        <v>0</v>
      </c>
      <c r="W113" s="45">
        <v>26950392</v>
      </c>
      <c r="X113" s="46">
        <v>3.4909856352892801</v>
      </c>
    </row>
    <row r="114" spans="1:24" s="4" customFormat="1" ht="15" customHeight="1">
      <c r="A114" s="28" t="s">
        <v>1603</v>
      </c>
      <c r="B114" s="29">
        <v>3149.63</v>
      </c>
      <c r="C114" s="30" t="s">
        <v>2066</v>
      </c>
      <c r="D114" s="2">
        <v>4948492548</v>
      </c>
      <c r="E114" s="2" t="s">
        <v>6</v>
      </c>
      <c r="F114" s="2" t="s">
        <v>2067</v>
      </c>
      <c r="G114" s="28" t="s">
        <v>5</v>
      </c>
      <c r="H114" s="2" t="s">
        <v>20</v>
      </c>
      <c r="I114" s="2">
        <v>1</v>
      </c>
      <c r="J114" s="2" t="s">
        <v>2068</v>
      </c>
      <c r="K114" s="2">
        <v>59500</v>
      </c>
      <c r="L114" s="35">
        <v>187402985</v>
      </c>
      <c r="M114" s="36">
        <v>12000</v>
      </c>
      <c r="N114" s="40">
        <v>1494305</v>
      </c>
      <c r="O114" s="40">
        <v>407175</v>
      </c>
      <c r="P114" s="40">
        <v>207510</v>
      </c>
      <c r="Q114" s="40">
        <v>124137</v>
      </c>
      <c r="R114" s="40">
        <v>625278</v>
      </c>
      <c r="S114" s="40">
        <v>354356</v>
      </c>
      <c r="T114" s="40">
        <v>30000</v>
      </c>
      <c r="U114" s="40">
        <v>3249500</v>
      </c>
      <c r="V114" s="40">
        <v>0</v>
      </c>
      <c r="W114" s="45">
        <v>6492261</v>
      </c>
      <c r="X114" s="46">
        <v>3.4643316914082201</v>
      </c>
    </row>
    <row r="115" spans="1:24" s="4" customFormat="1" ht="15" customHeight="1">
      <c r="A115" s="28" t="s">
        <v>1603</v>
      </c>
      <c r="B115" s="29">
        <v>3149.63</v>
      </c>
      <c r="C115" s="30" t="s">
        <v>2074</v>
      </c>
      <c r="D115" s="2">
        <v>4947226240</v>
      </c>
      <c r="E115" s="2" t="s">
        <v>6</v>
      </c>
      <c r="F115" s="2" t="s">
        <v>2075</v>
      </c>
      <c r="G115" s="28" t="s">
        <v>5</v>
      </c>
      <c r="H115" s="2" t="s">
        <v>17</v>
      </c>
      <c r="I115" s="2">
        <v>1</v>
      </c>
      <c r="J115" s="2" t="s">
        <v>2076</v>
      </c>
      <c r="K115" s="2">
        <v>23487.200000000001</v>
      </c>
      <c r="L115" s="35">
        <v>73975989.736000001</v>
      </c>
      <c r="M115" s="36">
        <v>2904</v>
      </c>
      <c r="N115" s="40">
        <v>0</v>
      </c>
      <c r="O115" s="40">
        <v>534687</v>
      </c>
      <c r="P115" s="40">
        <v>0</v>
      </c>
      <c r="Q115" s="40">
        <v>124137</v>
      </c>
      <c r="R115" s="40">
        <v>315116</v>
      </c>
      <c r="S115" s="40">
        <v>354356</v>
      </c>
      <c r="T115" s="40">
        <v>30000</v>
      </c>
      <c r="U115" s="40">
        <v>1410503.1239723801</v>
      </c>
      <c r="V115" s="40">
        <v>579480.43406774104</v>
      </c>
      <c r="W115" s="45">
        <v>3348279.5580401202</v>
      </c>
      <c r="X115" s="46">
        <v>4.5261706804994599</v>
      </c>
    </row>
    <row r="116" spans="1:24" s="4" customFormat="1" ht="15" customHeight="1">
      <c r="A116" s="28" t="s">
        <v>1603</v>
      </c>
      <c r="B116" s="29">
        <v>3149.63</v>
      </c>
      <c r="C116" s="30" t="s">
        <v>2077</v>
      </c>
      <c r="D116" s="2">
        <v>4947226249</v>
      </c>
      <c r="E116" s="2" t="s">
        <v>6</v>
      </c>
      <c r="F116" s="2" t="s">
        <v>2078</v>
      </c>
      <c r="G116" s="28" t="s">
        <v>5</v>
      </c>
      <c r="H116" s="2" t="s">
        <v>17</v>
      </c>
      <c r="I116" s="2">
        <v>1</v>
      </c>
      <c r="J116" s="2" t="s">
        <v>2076</v>
      </c>
      <c r="K116" s="2">
        <v>8164.8</v>
      </c>
      <c r="L116" s="35">
        <v>25716099.024</v>
      </c>
      <c r="M116" s="36">
        <v>1584</v>
      </c>
      <c r="N116" s="40">
        <v>0</v>
      </c>
      <c r="O116" s="40">
        <v>534687</v>
      </c>
      <c r="P116" s="40">
        <v>0</v>
      </c>
      <c r="Q116" s="40">
        <v>124137</v>
      </c>
      <c r="R116" s="40">
        <v>171882</v>
      </c>
      <c r="S116" s="40">
        <v>354356</v>
      </c>
      <c r="T116" s="40">
        <v>30000</v>
      </c>
      <c r="U116" s="40">
        <v>769365.34034857003</v>
      </c>
      <c r="V116" s="40">
        <v>316080.23676422198</v>
      </c>
      <c r="W116" s="45">
        <v>2300507.5771127902</v>
      </c>
      <c r="X116" s="46">
        <v>8.9457875199726207</v>
      </c>
    </row>
    <row r="117" spans="1:24" s="4" customFormat="1" ht="15" customHeight="1">
      <c r="A117" s="28" t="s">
        <v>1603</v>
      </c>
      <c r="B117" s="29">
        <v>3149.63</v>
      </c>
      <c r="C117" s="30" t="s">
        <v>2079</v>
      </c>
      <c r="D117" s="2">
        <v>4948665436</v>
      </c>
      <c r="E117" s="2" t="s">
        <v>6</v>
      </c>
      <c r="F117" s="2" t="s">
        <v>2080</v>
      </c>
      <c r="G117" s="28" t="s">
        <v>5</v>
      </c>
      <c r="H117" s="2" t="s">
        <v>17</v>
      </c>
      <c r="I117" s="2">
        <v>1</v>
      </c>
      <c r="J117" s="2" t="s">
        <v>2076</v>
      </c>
      <c r="K117" s="2">
        <v>167927.76</v>
      </c>
      <c r="L117" s="35">
        <v>528910310.7288</v>
      </c>
      <c r="M117" s="36">
        <v>2002</v>
      </c>
      <c r="N117" s="40">
        <v>0</v>
      </c>
      <c r="O117" s="40">
        <v>534687</v>
      </c>
      <c r="P117" s="40">
        <v>0</v>
      </c>
      <c r="Q117" s="40">
        <v>124137</v>
      </c>
      <c r="R117" s="40">
        <v>238963</v>
      </c>
      <c r="S117" s="40">
        <v>354356</v>
      </c>
      <c r="T117" s="40">
        <v>30000</v>
      </c>
      <c r="U117" s="40">
        <v>1069631.53567905</v>
      </c>
      <c r="V117" s="40">
        <v>439439.32916803699</v>
      </c>
      <c r="W117" s="45">
        <v>2791213.8648470901</v>
      </c>
      <c r="X117" s="46">
        <v>0.52772914579808405</v>
      </c>
    </row>
    <row r="118" spans="1:24" s="4" customFormat="1" ht="15" customHeight="1">
      <c r="A118" s="28" t="s">
        <v>1603</v>
      </c>
      <c r="B118" s="29">
        <v>3149.63</v>
      </c>
      <c r="C118" s="30" t="s">
        <v>2092</v>
      </c>
      <c r="D118" s="2">
        <v>4947226220</v>
      </c>
      <c r="E118" s="2" t="s">
        <v>6</v>
      </c>
      <c r="F118" s="2" t="s">
        <v>2093</v>
      </c>
      <c r="G118" s="28" t="s">
        <v>5</v>
      </c>
      <c r="H118" s="2" t="s">
        <v>20</v>
      </c>
      <c r="I118" s="2">
        <v>1</v>
      </c>
      <c r="J118" s="2" t="s">
        <v>2094</v>
      </c>
      <c r="K118" s="2">
        <v>25363.8</v>
      </c>
      <c r="L118" s="35">
        <v>79886585.393999994</v>
      </c>
      <c r="M118" s="36">
        <v>3780</v>
      </c>
      <c r="N118" s="40">
        <v>460692</v>
      </c>
      <c r="O118" s="40">
        <v>293863</v>
      </c>
      <c r="P118" s="40">
        <v>374435.88</v>
      </c>
      <c r="Q118" s="40">
        <v>109417</v>
      </c>
      <c r="R118" s="40">
        <v>1058119.44</v>
      </c>
      <c r="S118" s="40">
        <v>354356</v>
      </c>
      <c r="T118" s="40">
        <v>30000</v>
      </c>
      <c r="U118" s="40">
        <v>2328000</v>
      </c>
      <c r="V118" s="40">
        <v>0</v>
      </c>
      <c r="W118" s="45">
        <v>5008883.32</v>
      </c>
      <c r="X118" s="46">
        <v>6.26999300983542</v>
      </c>
    </row>
    <row r="119" spans="1:24" s="4" customFormat="1" ht="15" customHeight="1">
      <c r="A119" s="28" t="s">
        <v>1603</v>
      </c>
      <c r="B119" s="29">
        <v>3149.63</v>
      </c>
      <c r="C119" s="30" t="s">
        <v>2114</v>
      </c>
      <c r="D119" s="2">
        <v>4946607249</v>
      </c>
      <c r="E119" s="2" t="s">
        <v>6</v>
      </c>
      <c r="F119" s="2" t="s">
        <v>2115</v>
      </c>
      <c r="G119" s="28" t="s">
        <v>5</v>
      </c>
      <c r="H119" s="2" t="s">
        <v>20</v>
      </c>
      <c r="I119" s="2">
        <v>1</v>
      </c>
      <c r="J119" s="2" t="s">
        <v>2116</v>
      </c>
      <c r="K119" s="2">
        <v>6816</v>
      </c>
      <c r="L119" s="35">
        <v>21467878.079999998</v>
      </c>
      <c r="M119" s="36">
        <v>3200</v>
      </c>
      <c r="N119" s="40">
        <v>152618.02985074601</v>
      </c>
      <c r="O119" s="40">
        <v>194471.641791045</v>
      </c>
      <c r="P119" s="40">
        <v>0</v>
      </c>
      <c r="Q119" s="40">
        <v>59289.313432835799</v>
      </c>
      <c r="R119" s="40">
        <v>255873</v>
      </c>
      <c r="S119" s="40">
        <v>169244.65671641799</v>
      </c>
      <c r="T119" s="40">
        <v>30000</v>
      </c>
      <c r="U119" s="40">
        <v>1385217.91044776</v>
      </c>
      <c r="V119" s="40">
        <v>0</v>
      </c>
      <c r="W119" s="45">
        <v>2246714.5522388001</v>
      </c>
      <c r="X119" s="46">
        <v>10.4654709881732</v>
      </c>
    </row>
    <row r="120" spans="1:24" s="4" customFormat="1" ht="15" customHeight="1">
      <c r="A120" s="28" t="s">
        <v>1603</v>
      </c>
      <c r="B120" s="29">
        <v>3149.63</v>
      </c>
      <c r="C120" s="30" t="s">
        <v>2114</v>
      </c>
      <c r="D120" s="2">
        <v>4946611851</v>
      </c>
      <c r="E120" s="2" t="s">
        <v>6</v>
      </c>
      <c r="F120" s="2" t="s">
        <v>2115</v>
      </c>
      <c r="G120" s="28" t="s">
        <v>5</v>
      </c>
      <c r="H120" s="2" t="s">
        <v>20</v>
      </c>
      <c r="I120" s="2">
        <v>1</v>
      </c>
      <c r="J120" s="2" t="s">
        <v>2116</v>
      </c>
      <c r="K120" s="2">
        <v>7910</v>
      </c>
      <c r="L120" s="35">
        <v>24913573.300000001</v>
      </c>
      <c r="M120" s="36">
        <v>3500</v>
      </c>
      <c r="N120" s="40">
        <v>166925.97014925399</v>
      </c>
      <c r="O120" s="40">
        <v>212703.358208955</v>
      </c>
      <c r="P120" s="40">
        <v>0</v>
      </c>
      <c r="Q120" s="40">
        <v>64847.686567164201</v>
      </c>
      <c r="R120" s="40">
        <v>279860</v>
      </c>
      <c r="S120" s="40">
        <v>185111.34328358201</v>
      </c>
      <c r="T120" s="40">
        <v>30000</v>
      </c>
      <c r="U120" s="40">
        <v>1515082.08955224</v>
      </c>
      <c r="V120" s="40">
        <v>0</v>
      </c>
      <c r="W120" s="45">
        <v>2454530.4477611999</v>
      </c>
      <c r="X120" s="46">
        <v>9.85218145227363</v>
      </c>
    </row>
    <row r="121" spans="1:24" s="4" customFormat="1" ht="15" customHeight="1">
      <c r="A121" s="28" t="s">
        <v>1603</v>
      </c>
      <c r="B121" s="29">
        <v>3149.63</v>
      </c>
      <c r="C121" s="30" t="s">
        <v>2117</v>
      </c>
      <c r="D121" s="2">
        <v>4949364249</v>
      </c>
      <c r="E121" s="2" t="s">
        <v>6</v>
      </c>
      <c r="F121" s="2" t="s">
        <v>2118</v>
      </c>
      <c r="G121" s="28" t="s">
        <v>5</v>
      </c>
      <c r="H121" s="2" t="s">
        <v>20</v>
      </c>
      <c r="I121" s="2">
        <v>1</v>
      </c>
      <c r="J121" s="2" t="s">
        <v>2119</v>
      </c>
      <c r="K121" s="2">
        <v>60500</v>
      </c>
      <c r="L121" s="35">
        <v>190552615</v>
      </c>
      <c r="M121" s="36">
        <v>12100</v>
      </c>
      <c r="N121" s="40">
        <v>1990422</v>
      </c>
      <c r="O121" s="40">
        <v>407175</v>
      </c>
      <c r="P121" s="40">
        <v>0</v>
      </c>
      <c r="Q121" s="40">
        <v>124137</v>
      </c>
      <c r="R121" s="40">
        <v>730154</v>
      </c>
      <c r="S121" s="40">
        <v>354356</v>
      </c>
      <c r="T121" s="40">
        <v>30000</v>
      </c>
      <c r="U121" s="40">
        <v>3249500</v>
      </c>
      <c r="V121" s="40">
        <v>0</v>
      </c>
      <c r="W121" s="45">
        <v>6885744</v>
      </c>
      <c r="X121" s="46">
        <v>3.6135657335376901</v>
      </c>
    </row>
    <row r="122" spans="1:24" s="4" customFormat="1" ht="15" customHeight="1">
      <c r="A122" s="28" t="s">
        <v>1603</v>
      </c>
      <c r="B122" s="29">
        <v>3149.63</v>
      </c>
      <c r="C122" s="30" t="s">
        <v>2137</v>
      </c>
      <c r="D122" s="2">
        <v>4947722839</v>
      </c>
      <c r="E122" s="2" t="s">
        <v>6</v>
      </c>
      <c r="F122" s="2" t="s">
        <v>2138</v>
      </c>
      <c r="G122" s="28" t="s">
        <v>5</v>
      </c>
      <c r="H122" s="2" t="s">
        <v>20</v>
      </c>
      <c r="I122" s="2">
        <v>1</v>
      </c>
      <c r="J122" s="2" t="s">
        <v>2139</v>
      </c>
      <c r="K122" s="2">
        <v>183792</v>
      </c>
      <c r="L122" s="35">
        <v>578876796.96000004</v>
      </c>
      <c r="M122" s="36">
        <v>16800</v>
      </c>
      <c r="N122" s="40">
        <v>319544</v>
      </c>
      <c r="O122" s="40">
        <v>407175</v>
      </c>
      <c r="P122" s="40">
        <v>0</v>
      </c>
      <c r="Q122" s="40">
        <v>124137</v>
      </c>
      <c r="R122" s="40">
        <v>632075</v>
      </c>
      <c r="S122" s="40">
        <v>354356</v>
      </c>
      <c r="T122" s="40">
        <v>30000</v>
      </c>
      <c r="U122" s="40">
        <v>499900</v>
      </c>
      <c r="V122" s="40">
        <v>0</v>
      </c>
      <c r="W122" s="45">
        <v>2367187</v>
      </c>
      <c r="X122" s="46">
        <v>0.40892760124976502</v>
      </c>
    </row>
    <row r="123" spans="1:24" s="4" customFormat="1" ht="15" customHeight="1">
      <c r="A123" s="28" t="s">
        <v>1603</v>
      </c>
      <c r="B123" s="29">
        <v>3149.63</v>
      </c>
      <c r="C123" s="30" t="s">
        <v>2149</v>
      </c>
      <c r="D123" s="2">
        <v>4946611862</v>
      </c>
      <c r="E123" s="2" t="s">
        <v>6</v>
      </c>
      <c r="F123" s="2" t="s">
        <v>2150</v>
      </c>
      <c r="G123" s="28" t="s">
        <v>5</v>
      </c>
      <c r="H123" s="2" t="s">
        <v>17</v>
      </c>
      <c r="I123" s="2">
        <v>1</v>
      </c>
      <c r="J123" s="2" t="s">
        <v>2151</v>
      </c>
      <c r="K123" s="2">
        <v>45425.599999999999</v>
      </c>
      <c r="L123" s="35">
        <v>143073832.528</v>
      </c>
      <c r="M123" s="36">
        <v>9790</v>
      </c>
      <c r="N123" s="40">
        <v>460692</v>
      </c>
      <c r="O123" s="40">
        <v>534687</v>
      </c>
      <c r="P123" s="40">
        <v>0</v>
      </c>
      <c r="Q123" s="40">
        <v>124137</v>
      </c>
      <c r="R123" s="40">
        <v>620313</v>
      </c>
      <c r="S123" s="40">
        <v>354356</v>
      </c>
      <c r="T123" s="40">
        <v>30000</v>
      </c>
      <c r="U123" s="40">
        <v>4816050</v>
      </c>
      <c r="V123" s="40">
        <v>0</v>
      </c>
      <c r="W123" s="45">
        <v>6940235</v>
      </c>
      <c r="X123" s="46">
        <v>4.8508066621069696</v>
      </c>
    </row>
    <row r="124" spans="1:24" s="4" customFormat="1" ht="15" customHeight="1">
      <c r="A124" s="28" t="s">
        <v>1603</v>
      </c>
      <c r="B124" s="29">
        <v>3149.63</v>
      </c>
      <c r="C124" s="30" t="s">
        <v>2161</v>
      </c>
      <c r="D124" s="2">
        <v>4944881458</v>
      </c>
      <c r="E124" s="2" t="s">
        <v>6</v>
      </c>
      <c r="F124" s="2" t="s">
        <v>2162</v>
      </c>
      <c r="G124" s="28" t="s">
        <v>9</v>
      </c>
      <c r="H124" s="2" t="s">
        <v>23</v>
      </c>
      <c r="I124" s="2">
        <v>2</v>
      </c>
      <c r="J124" s="2"/>
      <c r="K124" s="2">
        <v>2632</v>
      </c>
      <c r="L124" s="35">
        <v>8289826.1600000001</v>
      </c>
      <c r="M124" s="36">
        <v>880</v>
      </c>
      <c r="N124" s="40">
        <v>629960</v>
      </c>
      <c r="O124" s="40">
        <v>664</v>
      </c>
      <c r="P124" s="40">
        <v>12833</v>
      </c>
      <c r="Q124" s="40">
        <v>16630</v>
      </c>
      <c r="R124" s="40">
        <v>103567</v>
      </c>
      <c r="S124" s="40">
        <v>354356</v>
      </c>
      <c r="T124" s="40">
        <v>30000</v>
      </c>
      <c r="U124" s="40">
        <v>1367700</v>
      </c>
      <c r="V124" s="40">
        <v>0</v>
      </c>
      <c r="W124" s="45">
        <v>2515710</v>
      </c>
      <c r="X124" s="46">
        <v>30.346957239450699</v>
      </c>
    </row>
    <row r="126" spans="1:24" ht="15" customHeight="1">
      <c r="A126" s="31" t="s">
        <v>1603</v>
      </c>
      <c r="B126" s="31"/>
      <c r="C126" s="31"/>
      <c r="D126" s="31"/>
      <c r="E126" s="31"/>
      <c r="F126" s="32">
        <v>25</v>
      </c>
      <c r="G126" s="31"/>
      <c r="H126" s="31"/>
      <c r="I126" s="38"/>
      <c r="J126" s="31"/>
      <c r="K126" s="39">
        <f>+SUM(K96:K124)</f>
        <v>2099538.4500000002</v>
      </c>
      <c r="L126" s="39">
        <f>+SUM(L96:L124)</f>
        <v>6612769288.2735004</v>
      </c>
      <c r="M126" s="31"/>
      <c r="N126" s="39"/>
      <c r="O126" s="39"/>
      <c r="P126" s="39"/>
      <c r="Q126" s="39"/>
      <c r="R126" s="39"/>
      <c r="S126" s="39"/>
      <c r="T126" s="39"/>
      <c r="U126" s="39"/>
      <c r="V126" s="31"/>
      <c r="W126" s="39">
        <f>+SUM(W96:W124)</f>
        <v>143427455.32000005</v>
      </c>
      <c r="X126" s="47">
        <f>(W126/L126)*100</f>
        <v>2.1689469126700307</v>
      </c>
    </row>
    <row r="128" spans="1:24" s="4" customFormat="1" ht="15" customHeight="1">
      <c r="A128" s="28" t="s">
        <v>2168</v>
      </c>
      <c r="B128" s="29">
        <v>3271.01</v>
      </c>
      <c r="C128" s="30" t="s">
        <v>2198</v>
      </c>
      <c r="D128" s="2">
        <v>4947225886</v>
      </c>
      <c r="E128" s="2" t="s">
        <v>6</v>
      </c>
      <c r="F128" s="2" t="s">
        <v>2199</v>
      </c>
      <c r="G128" s="28" t="s">
        <v>9</v>
      </c>
      <c r="H128" s="2" t="s">
        <v>23</v>
      </c>
      <c r="I128" s="2">
        <v>4</v>
      </c>
      <c r="J128" s="2"/>
      <c r="K128" s="2">
        <v>60576</v>
      </c>
      <c r="L128" s="35">
        <v>198144701.75999999</v>
      </c>
      <c r="M128" s="36">
        <v>1920</v>
      </c>
      <c r="N128" s="40">
        <v>824899</v>
      </c>
      <c r="O128" s="40">
        <v>1549</v>
      </c>
      <c r="P128" s="40">
        <v>29712</v>
      </c>
      <c r="Q128" s="40">
        <v>48543</v>
      </c>
      <c r="R128" s="40">
        <v>133010</v>
      </c>
      <c r="S128" s="40">
        <v>354356</v>
      </c>
      <c r="T128" s="40">
        <v>30000</v>
      </c>
      <c r="U128" s="40">
        <v>1367700</v>
      </c>
      <c r="V128" s="40">
        <v>0</v>
      </c>
      <c r="W128" s="45">
        <v>2789769</v>
      </c>
      <c r="X128" s="46">
        <v>1.4079452921123601</v>
      </c>
    </row>
    <row r="129" spans="1:24" s="4" customFormat="1" ht="15" customHeight="1">
      <c r="A129" s="28" t="s">
        <v>2168</v>
      </c>
      <c r="B129" s="29">
        <v>3271.01</v>
      </c>
      <c r="C129" s="30" t="s">
        <v>2249</v>
      </c>
      <c r="D129" s="2">
        <v>4948665442</v>
      </c>
      <c r="E129" s="2" t="s">
        <v>6</v>
      </c>
      <c r="F129" s="2" t="s">
        <v>2250</v>
      </c>
      <c r="G129" s="28" t="s">
        <v>5</v>
      </c>
      <c r="H129" s="2" t="s">
        <v>17</v>
      </c>
      <c r="I129" s="2">
        <v>1</v>
      </c>
      <c r="J129" s="2" t="s">
        <v>2251</v>
      </c>
      <c r="K129" s="2">
        <v>40564.800000000003</v>
      </c>
      <c r="L129" s="35">
        <v>132687866.448</v>
      </c>
      <c r="M129" s="36">
        <v>12960</v>
      </c>
      <c r="N129" s="40">
        <v>330274</v>
      </c>
      <c r="O129" s="40">
        <v>538682</v>
      </c>
      <c r="P129" s="40">
        <v>0</v>
      </c>
      <c r="Q129" s="40">
        <v>124137</v>
      </c>
      <c r="R129" s="40">
        <v>941008</v>
      </c>
      <c r="S129" s="40">
        <v>354356</v>
      </c>
      <c r="T129" s="40">
        <v>30000</v>
      </c>
      <c r="U129" s="40">
        <v>5446550</v>
      </c>
      <c r="V129" s="40">
        <v>0</v>
      </c>
      <c r="W129" s="45">
        <v>7765007</v>
      </c>
      <c r="X129" s="46">
        <v>5.8520852040703204</v>
      </c>
    </row>
    <row r="130" spans="1:24" s="4" customFormat="1" ht="15" customHeight="1">
      <c r="A130" s="28" t="s">
        <v>2168</v>
      </c>
      <c r="B130" s="29">
        <v>3271.01</v>
      </c>
      <c r="C130" s="30" t="s">
        <v>2319</v>
      </c>
      <c r="D130" s="2">
        <v>4947722839</v>
      </c>
      <c r="E130" s="2" t="s">
        <v>6</v>
      </c>
      <c r="F130" s="2" t="s">
        <v>2320</v>
      </c>
      <c r="G130" s="28" t="s">
        <v>9</v>
      </c>
      <c r="H130" s="2" t="s">
        <v>23</v>
      </c>
      <c r="I130" s="2">
        <v>8</v>
      </c>
      <c r="J130" s="2"/>
      <c r="K130" s="2">
        <v>73516.800000000003</v>
      </c>
      <c r="L130" s="35">
        <v>240474187.96799999</v>
      </c>
      <c r="M130" s="36">
        <v>6720</v>
      </c>
      <c r="N130" s="40">
        <v>1239952</v>
      </c>
      <c r="O130" s="40">
        <v>4390</v>
      </c>
      <c r="P130" s="40">
        <v>256221</v>
      </c>
      <c r="Q130" s="40">
        <v>136240</v>
      </c>
      <c r="R130" s="40">
        <v>233810</v>
      </c>
      <c r="S130" s="40">
        <v>354356</v>
      </c>
      <c r="T130" s="40">
        <v>30000</v>
      </c>
      <c r="U130" s="40">
        <v>368600</v>
      </c>
      <c r="V130" s="40">
        <v>0</v>
      </c>
      <c r="W130" s="45">
        <v>2623569</v>
      </c>
      <c r="X130" s="46">
        <v>1.09099817413631</v>
      </c>
    </row>
    <row r="131" spans="1:24" s="4" customFormat="1" ht="15" customHeight="1">
      <c r="A131" s="28" t="s">
        <v>2168</v>
      </c>
      <c r="B131" s="29">
        <v>3271.01</v>
      </c>
      <c r="C131" s="30" t="s">
        <v>2360</v>
      </c>
      <c r="D131" s="2">
        <v>4942476061</v>
      </c>
      <c r="E131" s="2" t="s">
        <v>6</v>
      </c>
      <c r="F131" s="78" t="s">
        <v>2361</v>
      </c>
      <c r="G131" s="28" t="s">
        <v>9</v>
      </c>
      <c r="H131" s="2" t="s">
        <v>23</v>
      </c>
      <c r="I131" s="2">
        <v>1</v>
      </c>
      <c r="J131" s="2"/>
      <c r="K131" s="2">
        <v>41853.599999999999</v>
      </c>
      <c r="L131" s="35">
        <v>136903544.13600001</v>
      </c>
      <c r="M131" s="36">
        <v>792</v>
      </c>
      <c r="N131" s="40">
        <v>729315</v>
      </c>
      <c r="O131" s="40">
        <v>611</v>
      </c>
      <c r="P131" s="40">
        <v>12142</v>
      </c>
      <c r="Q131" s="40">
        <v>19343</v>
      </c>
      <c r="R131" s="40">
        <v>106633</v>
      </c>
      <c r="S131" s="40">
        <v>354356</v>
      </c>
      <c r="T131" s="40">
        <v>30000</v>
      </c>
      <c r="U131" s="40">
        <v>1367700</v>
      </c>
      <c r="V131" s="40">
        <v>0</v>
      </c>
      <c r="W131" s="45">
        <v>2620100</v>
      </c>
      <c r="X131" s="46">
        <v>1.9138291974363999</v>
      </c>
    </row>
    <row r="132" spans="1:24" s="4" customFormat="1" ht="15" customHeight="1">
      <c r="A132" s="28" t="s">
        <v>2168</v>
      </c>
      <c r="B132" s="29">
        <v>3271.01</v>
      </c>
      <c r="C132" s="30" t="s">
        <v>2375</v>
      </c>
      <c r="D132" s="2">
        <v>4949078452</v>
      </c>
      <c r="E132" s="2" t="s">
        <v>6</v>
      </c>
      <c r="F132" s="2" t="s">
        <v>2376</v>
      </c>
      <c r="G132" s="28" t="s">
        <v>9</v>
      </c>
      <c r="H132" s="2" t="s">
        <v>23</v>
      </c>
      <c r="I132" s="2">
        <v>6</v>
      </c>
      <c r="J132" s="2"/>
      <c r="K132" s="2">
        <v>23295.39</v>
      </c>
      <c r="L132" s="35">
        <v>76199453.643900007</v>
      </c>
      <c r="M132" s="36">
        <v>3960</v>
      </c>
      <c r="N132" s="40">
        <v>840447</v>
      </c>
      <c r="O132" s="40">
        <v>2873</v>
      </c>
      <c r="P132" s="40">
        <v>166432</v>
      </c>
      <c r="Q132" s="40">
        <v>88609</v>
      </c>
      <c r="R132" s="40">
        <v>182509</v>
      </c>
      <c r="S132" s="40">
        <v>354356</v>
      </c>
      <c r="T132" s="40">
        <v>30000</v>
      </c>
      <c r="U132" s="40">
        <v>2085500</v>
      </c>
      <c r="V132" s="40">
        <v>0</v>
      </c>
      <c r="W132" s="45">
        <v>3750726</v>
      </c>
      <c r="X132" s="46">
        <v>4.9222478910782304</v>
      </c>
    </row>
    <row r="133" spans="1:24" s="4" customFormat="1" ht="15" customHeight="1">
      <c r="A133" s="28" t="s">
        <v>2168</v>
      </c>
      <c r="B133" s="29">
        <v>3271.01</v>
      </c>
      <c r="C133" s="30" t="s">
        <v>2423</v>
      </c>
      <c r="D133" s="2">
        <v>4948095913</v>
      </c>
      <c r="E133" s="2" t="s">
        <v>6</v>
      </c>
      <c r="F133" s="2" t="s">
        <v>2424</v>
      </c>
      <c r="G133" s="28" t="s">
        <v>5</v>
      </c>
      <c r="H133" s="2" t="s">
        <v>20</v>
      </c>
      <c r="I133" s="2">
        <v>1</v>
      </c>
      <c r="J133" s="2" t="s">
        <v>2425</v>
      </c>
      <c r="K133" s="2">
        <v>133476</v>
      </c>
      <c r="L133" s="35">
        <v>436601330.75999999</v>
      </c>
      <c r="M133" s="36">
        <v>8400</v>
      </c>
      <c r="N133" s="40">
        <v>480378</v>
      </c>
      <c r="O133" s="40">
        <v>414172</v>
      </c>
      <c r="P133" s="40">
        <v>271738</v>
      </c>
      <c r="Q133" s="40">
        <v>124137</v>
      </c>
      <c r="R133" s="40">
        <v>742499</v>
      </c>
      <c r="S133" s="40">
        <v>354356</v>
      </c>
      <c r="T133" s="40">
        <v>30000</v>
      </c>
      <c r="U133" s="40">
        <v>3249500</v>
      </c>
      <c r="V133" s="40">
        <v>0</v>
      </c>
      <c r="W133" s="45">
        <v>5666780</v>
      </c>
      <c r="X133" s="46">
        <v>1.29793007963025</v>
      </c>
    </row>
    <row r="134" spans="1:24" s="4" customFormat="1" ht="15" customHeight="1">
      <c r="A134" s="28" t="s">
        <v>2168</v>
      </c>
      <c r="B134" s="29">
        <v>3271.01</v>
      </c>
      <c r="C134" s="30" t="s">
        <v>2426</v>
      </c>
      <c r="D134" s="2">
        <v>4950165171</v>
      </c>
      <c r="E134" s="2" t="s">
        <v>6</v>
      </c>
      <c r="F134" s="78" t="s">
        <v>2427</v>
      </c>
      <c r="G134" s="28" t="s">
        <v>5</v>
      </c>
      <c r="H134" s="2" t="s">
        <v>20</v>
      </c>
      <c r="I134" s="2">
        <v>1</v>
      </c>
      <c r="J134" s="2" t="s">
        <v>2428</v>
      </c>
      <c r="K134" s="2">
        <v>83886</v>
      </c>
      <c r="L134" s="35">
        <v>274391944.86000001</v>
      </c>
      <c r="M134" s="36">
        <v>6820</v>
      </c>
      <c r="N134" s="40">
        <v>480378</v>
      </c>
      <c r="O134" s="40">
        <v>414172</v>
      </c>
      <c r="P134" s="40">
        <v>271738</v>
      </c>
      <c r="Q134" s="40">
        <v>124137</v>
      </c>
      <c r="R134" s="40">
        <v>740859</v>
      </c>
      <c r="S134" s="40">
        <v>354356</v>
      </c>
      <c r="T134" s="40">
        <v>30000</v>
      </c>
      <c r="U134" s="40">
        <v>2900300</v>
      </c>
      <c r="V134" s="40">
        <v>0</v>
      </c>
      <c r="W134" s="45">
        <v>5315940</v>
      </c>
      <c r="X134" s="46">
        <v>1.9373527902622301</v>
      </c>
    </row>
    <row r="135" spans="1:24" s="4" customFormat="1" ht="15" customHeight="1">
      <c r="A135" s="28" t="s">
        <v>2168</v>
      </c>
      <c r="B135" s="29">
        <v>3271.01</v>
      </c>
      <c r="C135" s="30" t="s">
        <v>2532</v>
      </c>
      <c r="D135" s="2">
        <v>4949311062</v>
      </c>
      <c r="E135" s="2" t="s">
        <v>6</v>
      </c>
      <c r="F135" s="2" t="s">
        <v>2533</v>
      </c>
      <c r="G135" s="28" t="s">
        <v>5</v>
      </c>
      <c r="H135" s="2" t="s">
        <v>20</v>
      </c>
      <c r="I135" s="2">
        <v>2</v>
      </c>
      <c r="J135" s="2" t="s">
        <v>2534</v>
      </c>
      <c r="K135" s="2">
        <v>120000</v>
      </c>
      <c r="L135" s="35">
        <v>392521200</v>
      </c>
      <c r="M135" s="36">
        <v>24000</v>
      </c>
      <c r="N135" s="40">
        <v>2446358</v>
      </c>
      <c r="O135" s="40">
        <v>413751</v>
      </c>
      <c r="P135" s="40">
        <v>3223729</v>
      </c>
      <c r="Q135" s="40">
        <v>124137</v>
      </c>
      <c r="R135" s="40">
        <v>1507610</v>
      </c>
      <c r="S135" s="40">
        <v>354356</v>
      </c>
      <c r="T135" s="40">
        <v>30000</v>
      </c>
      <c r="U135" s="40">
        <v>6499000</v>
      </c>
      <c r="V135" s="40">
        <v>0</v>
      </c>
      <c r="W135" s="45">
        <v>14598941</v>
      </c>
      <c r="X135" s="46">
        <v>3.71927452580905</v>
      </c>
    </row>
    <row r="136" spans="1:24" s="4" customFormat="1" ht="15" customHeight="1">
      <c r="A136" s="28" t="s">
        <v>2168</v>
      </c>
      <c r="B136" s="29">
        <v>3271.01</v>
      </c>
      <c r="C136" s="30" t="s">
        <v>2607</v>
      </c>
      <c r="D136" s="2">
        <v>4948123289</v>
      </c>
      <c r="E136" s="2" t="s">
        <v>6</v>
      </c>
      <c r="F136" s="2" t="s">
        <v>2608</v>
      </c>
      <c r="G136" s="28" t="s">
        <v>5</v>
      </c>
      <c r="H136" s="2" t="s">
        <v>20</v>
      </c>
      <c r="I136" s="2">
        <v>1</v>
      </c>
      <c r="J136" s="2" t="s">
        <v>2609</v>
      </c>
      <c r="K136" s="2">
        <v>30931.200000000001</v>
      </c>
      <c r="L136" s="35">
        <v>101176264.51199999</v>
      </c>
      <c r="M136" s="36">
        <v>3168</v>
      </c>
      <c r="N136" s="40">
        <v>335608</v>
      </c>
      <c r="O136" s="40">
        <v>423621</v>
      </c>
      <c r="P136" s="40">
        <v>0</v>
      </c>
      <c r="Q136" s="40">
        <v>124137</v>
      </c>
      <c r="R136" s="40">
        <v>826509</v>
      </c>
      <c r="S136" s="40">
        <v>354356</v>
      </c>
      <c r="T136" s="40">
        <v>30000</v>
      </c>
      <c r="U136" s="40">
        <v>2619000</v>
      </c>
      <c r="V136" s="40">
        <v>0</v>
      </c>
      <c r="W136" s="45">
        <v>4713231</v>
      </c>
      <c r="X136" s="46">
        <v>4.6584354766734704</v>
      </c>
    </row>
    <row r="137" spans="1:24" s="4" customFormat="1" ht="15" customHeight="1">
      <c r="A137" s="28" t="s">
        <v>2168</v>
      </c>
      <c r="B137" s="29">
        <v>3271.01</v>
      </c>
      <c r="C137" s="30" t="s">
        <v>2622</v>
      </c>
      <c r="D137" s="2" t="s">
        <v>4401</v>
      </c>
      <c r="E137" s="2" t="s">
        <v>6</v>
      </c>
      <c r="F137" s="2" t="s">
        <v>2623</v>
      </c>
      <c r="G137" s="28" t="s">
        <v>9</v>
      </c>
      <c r="H137" s="2" t="s">
        <v>23</v>
      </c>
      <c r="I137" s="2">
        <v>2</v>
      </c>
      <c r="J137" s="2"/>
      <c r="K137" s="2">
        <v>3930</v>
      </c>
      <c r="L137" s="35">
        <v>12855069.300000001</v>
      </c>
      <c r="M137" s="36">
        <v>1100</v>
      </c>
      <c r="N137" s="40">
        <v>740080</v>
      </c>
      <c r="O137" s="40">
        <v>936</v>
      </c>
      <c r="P137" s="40">
        <v>0</v>
      </c>
      <c r="Q137" s="40">
        <v>27620</v>
      </c>
      <c r="R137" s="40">
        <v>115264</v>
      </c>
      <c r="S137" s="40">
        <v>354356</v>
      </c>
      <c r="T137" s="40">
        <v>30000</v>
      </c>
      <c r="U137" s="40">
        <v>1367700</v>
      </c>
      <c r="V137" s="40">
        <v>0</v>
      </c>
      <c r="W137" s="45">
        <v>2635956</v>
      </c>
      <c r="X137" s="46">
        <v>20.5051870082101</v>
      </c>
    </row>
    <row r="138" spans="1:24" s="4" customFormat="1" ht="15" customHeight="1">
      <c r="A138" s="28" t="s">
        <v>2168</v>
      </c>
      <c r="B138" s="29">
        <v>3271.01</v>
      </c>
      <c r="C138" s="30" t="s">
        <v>2639</v>
      </c>
      <c r="D138" s="2">
        <v>4948474963</v>
      </c>
      <c r="E138" s="2" t="s">
        <v>6</v>
      </c>
      <c r="F138" s="2" t="s">
        <v>2640</v>
      </c>
      <c r="G138" s="28" t="s">
        <v>9</v>
      </c>
      <c r="H138" s="2" t="s">
        <v>23</v>
      </c>
      <c r="I138" s="2">
        <v>1</v>
      </c>
      <c r="J138" s="2"/>
      <c r="K138" s="2">
        <v>7257.6</v>
      </c>
      <c r="L138" s="35">
        <v>23739682.175999999</v>
      </c>
      <c r="M138" s="36">
        <v>480</v>
      </c>
      <c r="N138" s="40">
        <v>682651</v>
      </c>
      <c r="O138" s="40">
        <v>435</v>
      </c>
      <c r="P138" s="40">
        <v>0</v>
      </c>
      <c r="Q138" s="40">
        <v>12592</v>
      </c>
      <c r="R138" s="40">
        <v>102443</v>
      </c>
      <c r="S138" s="40">
        <v>354356</v>
      </c>
      <c r="T138" s="40">
        <v>30000</v>
      </c>
      <c r="U138" s="40">
        <v>1367700</v>
      </c>
      <c r="V138" s="40">
        <v>0</v>
      </c>
      <c r="W138" s="45">
        <v>2550177</v>
      </c>
      <c r="X138" s="46">
        <v>10.7422541763349</v>
      </c>
    </row>
    <row r="139" spans="1:24" s="4" customFormat="1" ht="15" customHeight="1">
      <c r="A139" s="28" t="s">
        <v>2168</v>
      </c>
      <c r="B139" s="29">
        <v>3271.01</v>
      </c>
      <c r="C139" s="30" t="s">
        <v>2679</v>
      </c>
      <c r="D139" s="2">
        <v>4948307299</v>
      </c>
      <c r="E139" s="2" t="s">
        <v>6</v>
      </c>
      <c r="F139" s="78" t="s">
        <v>2680</v>
      </c>
      <c r="G139" s="28" t="s">
        <v>5</v>
      </c>
      <c r="H139" s="2" t="s">
        <v>17</v>
      </c>
      <c r="I139" s="2">
        <v>1</v>
      </c>
      <c r="J139" s="2" t="s">
        <v>2681</v>
      </c>
      <c r="K139" s="2">
        <v>20448</v>
      </c>
      <c r="L139" s="35">
        <v>66885612.479999997</v>
      </c>
      <c r="M139" s="36">
        <v>9600</v>
      </c>
      <c r="N139" s="40">
        <v>50542</v>
      </c>
      <c r="O139" s="40">
        <v>446360</v>
      </c>
      <c r="P139" s="40">
        <v>0</v>
      </c>
      <c r="Q139" s="40">
        <v>99309</v>
      </c>
      <c r="R139" s="40">
        <v>743612</v>
      </c>
      <c r="S139" s="40">
        <v>354356</v>
      </c>
      <c r="T139" s="40">
        <v>30000</v>
      </c>
      <c r="U139" s="40">
        <v>4719050</v>
      </c>
      <c r="V139" s="40">
        <v>0</v>
      </c>
      <c r="W139" s="45">
        <v>6443229</v>
      </c>
      <c r="X139" s="46">
        <v>9.6332062473475002</v>
      </c>
    </row>
    <row r="141" spans="1:24" ht="15" customHeight="1">
      <c r="A141" s="31" t="s">
        <v>2168</v>
      </c>
      <c r="B141" s="31"/>
      <c r="C141" s="31"/>
      <c r="D141" s="31"/>
      <c r="E141" s="31"/>
      <c r="F141" s="32">
        <v>12</v>
      </c>
      <c r="G141" s="31"/>
      <c r="H141" s="31"/>
      <c r="I141" s="38"/>
      <c r="J141" s="31"/>
      <c r="K141" s="39">
        <f>+SUM(K128:K139)</f>
        <v>639735.39</v>
      </c>
      <c r="L141" s="39">
        <f>+SUM(L128:L139)</f>
        <v>2092580858.0439</v>
      </c>
      <c r="M141" s="31"/>
      <c r="N141" s="39"/>
      <c r="O141" s="39"/>
      <c r="P141" s="39"/>
      <c r="Q141" s="39"/>
      <c r="R141" s="39"/>
      <c r="S141" s="39"/>
      <c r="T141" s="39"/>
      <c r="U141" s="39"/>
      <c r="V141" s="31"/>
      <c r="W141" s="39">
        <f>+SUM(W128:W139)</f>
        <v>61473425</v>
      </c>
      <c r="X141" s="47">
        <f>(W141/L141)*100</f>
        <v>2.9376845708826775</v>
      </c>
    </row>
    <row r="143" spans="1:24" s="4" customFormat="1" ht="15" customHeight="1">
      <c r="A143" s="28" t="s">
        <v>2682</v>
      </c>
      <c r="B143" s="29">
        <v>3278.81</v>
      </c>
      <c r="C143" s="30" t="s">
        <v>2701</v>
      </c>
      <c r="D143" s="2">
        <v>4948861179</v>
      </c>
      <c r="E143" s="2" t="s">
        <v>6</v>
      </c>
      <c r="F143" s="2" t="s">
        <v>2702</v>
      </c>
      <c r="G143" s="28" t="s">
        <v>5</v>
      </c>
      <c r="H143" s="2" t="s">
        <v>17</v>
      </c>
      <c r="I143" s="2">
        <v>1</v>
      </c>
      <c r="J143" s="2" t="s">
        <v>2703</v>
      </c>
      <c r="K143" s="2">
        <v>51000</v>
      </c>
      <c r="L143" s="35">
        <v>167219310</v>
      </c>
      <c r="M143" s="36">
        <v>15000</v>
      </c>
      <c r="N143" s="40">
        <v>397605</v>
      </c>
      <c r="O143" s="40">
        <v>543061</v>
      </c>
      <c r="P143" s="40">
        <v>0</v>
      </c>
      <c r="Q143" s="40">
        <v>124137</v>
      </c>
      <c r="R143" s="40">
        <v>877693</v>
      </c>
      <c r="S143" s="40">
        <v>354356</v>
      </c>
      <c r="T143" s="40">
        <v>30000</v>
      </c>
      <c r="U143" s="40">
        <v>529000</v>
      </c>
      <c r="V143" s="40">
        <v>0</v>
      </c>
      <c r="W143" s="45">
        <v>2855852</v>
      </c>
      <c r="X143" s="46">
        <v>1.70784821441973</v>
      </c>
    </row>
    <row r="144" spans="1:24" s="4" customFormat="1" ht="15" customHeight="1">
      <c r="A144" s="28" t="s">
        <v>2682</v>
      </c>
      <c r="B144" s="29">
        <v>3278.81</v>
      </c>
      <c r="C144" s="30" t="s">
        <v>2763</v>
      </c>
      <c r="D144" s="2">
        <v>4947229916</v>
      </c>
      <c r="E144" s="2" t="s">
        <v>6</v>
      </c>
      <c r="F144" s="2" t="s">
        <v>2764</v>
      </c>
      <c r="G144" s="28" t="s">
        <v>5</v>
      </c>
      <c r="H144" s="2" t="s">
        <v>2765</v>
      </c>
      <c r="I144" s="2">
        <v>2</v>
      </c>
      <c r="J144" s="2" t="s">
        <v>2766</v>
      </c>
      <c r="K144" s="2">
        <v>68208</v>
      </c>
      <c r="L144" s="35">
        <v>223641072.47999999</v>
      </c>
      <c r="M144" s="36">
        <v>14700</v>
      </c>
      <c r="N144" s="40">
        <v>678768</v>
      </c>
      <c r="O144" s="40">
        <v>979122</v>
      </c>
      <c r="P144" s="40">
        <v>0</v>
      </c>
      <c r="Q144" s="40">
        <v>276530</v>
      </c>
      <c r="R144" s="40">
        <v>1641806</v>
      </c>
      <c r="S144" s="40">
        <v>354356</v>
      </c>
      <c r="T144" s="40">
        <v>30000</v>
      </c>
      <c r="U144" s="40">
        <v>7716350</v>
      </c>
      <c r="V144" s="40">
        <v>0</v>
      </c>
      <c r="W144" s="45">
        <v>11676932</v>
      </c>
      <c r="X144" s="46">
        <v>5.2212824194197403</v>
      </c>
    </row>
    <row r="145" spans="1:24" s="4" customFormat="1" ht="15" customHeight="1">
      <c r="A145" s="28" t="s">
        <v>2682</v>
      </c>
      <c r="B145" s="29">
        <v>3278.81</v>
      </c>
      <c r="C145" s="30" t="s">
        <v>2779</v>
      </c>
      <c r="D145" s="2">
        <v>4948268537</v>
      </c>
      <c r="E145" s="2" t="s">
        <v>6</v>
      </c>
      <c r="F145" s="2" t="s">
        <v>2780</v>
      </c>
      <c r="G145" s="28" t="s">
        <v>5</v>
      </c>
      <c r="H145" s="2" t="s">
        <v>17</v>
      </c>
      <c r="I145" s="2">
        <v>1</v>
      </c>
      <c r="J145" s="2" t="s">
        <v>2781</v>
      </c>
      <c r="K145" s="2">
        <v>196673</v>
      </c>
      <c r="L145" s="35">
        <v>644853399.13</v>
      </c>
      <c r="M145" s="36">
        <v>7820</v>
      </c>
      <c r="N145" s="40">
        <v>399316</v>
      </c>
      <c r="O145" s="40">
        <v>543061</v>
      </c>
      <c r="P145" s="40">
        <v>0</v>
      </c>
      <c r="Q145" s="40">
        <v>124137</v>
      </c>
      <c r="R145" s="40">
        <v>890739</v>
      </c>
      <c r="S145" s="40">
        <v>354356</v>
      </c>
      <c r="T145" s="40">
        <v>30000</v>
      </c>
      <c r="U145" s="40">
        <v>4719050</v>
      </c>
      <c r="V145" s="40">
        <v>1335000</v>
      </c>
      <c r="W145" s="45">
        <v>8395659</v>
      </c>
      <c r="X145" s="46">
        <v>1.3019484756266999</v>
      </c>
    </row>
    <row r="146" spans="1:24" s="4" customFormat="1" ht="15" customHeight="1">
      <c r="A146" s="28" t="s">
        <v>2682</v>
      </c>
      <c r="B146" s="29">
        <v>3278.81</v>
      </c>
      <c r="C146" s="30" t="s">
        <v>2793</v>
      </c>
      <c r="D146" s="2">
        <v>4947226232</v>
      </c>
      <c r="E146" s="2" t="s">
        <v>6</v>
      </c>
      <c r="F146" s="2" t="s">
        <v>2794</v>
      </c>
      <c r="G146" s="28" t="s">
        <v>9</v>
      </c>
      <c r="H146" s="2" t="s">
        <v>23</v>
      </c>
      <c r="I146" s="2">
        <v>6</v>
      </c>
      <c r="J146" s="2"/>
      <c r="K146" s="2">
        <v>24969.599999999999</v>
      </c>
      <c r="L146" s="35">
        <v>81870574.175999999</v>
      </c>
      <c r="M146" s="36">
        <v>2880</v>
      </c>
      <c r="N146" s="40">
        <v>887399</v>
      </c>
      <c r="O146" s="40">
        <v>2286</v>
      </c>
      <c r="P146" s="40">
        <v>0</v>
      </c>
      <c r="Q146" s="40">
        <v>53845</v>
      </c>
      <c r="R146" s="40">
        <v>146538</v>
      </c>
      <c r="S146" s="40">
        <v>354356</v>
      </c>
      <c r="T146" s="40">
        <v>30000</v>
      </c>
      <c r="U146" s="40">
        <v>2085500</v>
      </c>
      <c r="V146" s="40">
        <v>0</v>
      </c>
      <c r="W146" s="45">
        <v>3559924</v>
      </c>
      <c r="X146" s="46">
        <v>4.3482338261694702</v>
      </c>
    </row>
    <row r="147" spans="1:24" s="4" customFormat="1" ht="15" customHeight="1">
      <c r="A147" s="28" t="s">
        <v>2682</v>
      </c>
      <c r="B147" s="29">
        <v>3278.81</v>
      </c>
      <c r="C147" s="30" t="s">
        <v>2801</v>
      </c>
      <c r="D147" s="2">
        <v>4947226222</v>
      </c>
      <c r="E147" s="2" t="s">
        <v>6</v>
      </c>
      <c r="F147" s="78" t="s">
        <v>2802</v>
      </c>
      <c r="G147" s="28" t="s">
        <v>9</v>
      </c>
      <c r="H147" s="2" t="s">
        <v>23</v>
      </c>
      <c r="I147" s="2">
        <v>4</v>
      </c>
      <c r="J147" s="2"/>
      <c r="K147" s="2">
        <v>17092.8</v>
      </c>
      <c r="L147" s="35">
        <v>56044043.568000004</v>
      </c>
      <c r="M147" s="36">
        <v>1440</v>
      </c>
      <c r="N147" s="40">
        <v>560022</v>
      </c>
      <c r="O147" s="40">
        <v>1232.5</v>
      </c>
      <c r="P147" s="40">
        <v>47664</v>
      </c>
      <c r="Q147" s="40">
        <v>36627.5</v>
      </c>
      <c r="R147" s="40">
        <v>85160</v>
      </c>
      <c r="S147" s="40">
        <v>177178</v>
      </c>
      <c r="T147" s="40">
        <v>30000</v>
      </c>
      <c r="U147" s="40">
        <v>683850</v>
      </c>
      <c r="V147" s="40">
        <v>0</v>
      </c>
      <c r="W147" s="45">
        <v>1621734</v>
      </c>
      <c r="X147" s="46">
        <v>2.8936777162274199</v>
      </c>
    </row>
    <row r="148" spans="1:24" s="4" customFormat="1" ht="15" customHeight="1">
      <c r="A148" s="28" t="s">
        <v>2682</v>
      </c>
      <c r="B148" s="29">
        <v>3278.81</v>
      </c>
      <c r="C148" s="30" t="s">
        <v>2801</v>
      </c>
      <c r="D148" s="2">
        <v>4947223072</v>
      </c>
      <c r="E148" s="2" t="s">
        <v>6</v>
      </c>
      <c r="F148" s="78" t="s">
        <v>2802</v>
      </c>
      <c r="G148" s="28" t="s">
        <v>9</v>
      </c>
      <c r="H148" s="2" t="s">
        <v>23</v>
      </c>
      <c r="I148" s="2">
        <v>4</v>
      </c>
      <c r="J148" s="2"/>
      <c r="K148" s="2">
        <v>17092.8</v>
      </c>
      <c r="L148" s="35">
        <v>56044043.568000004</v>
      </c>
      <c r="M148" s="36">
        <v>1440</v>
      </c>
      <c r="N148" s="40">
        <v>560022</v>
      </c>
      <c r="O148" s="40">
        <v>1232.5</v>
      </c>
      <c r="P148" s="40">
        <v>47664</v>
      </c>
      <c r="Q148" s="40">
        <v>36627.5</v>
      </c>
      <c r="R148" s="40">
        <v>85160</v>
      </c>
      <c r="S148" s="40">
        <v>177178</v>
      </c>
      <c r="T148" s="40">
        <v>30000</v>
      </c>
      <c r="U148" s="40">
        <v>683850</v>
      </c>
      <c r="V148" s="40">
        <v>0</v>
      </c>
      <c r="W148" s="45">
        <v>1621734</v>
      </c>
      <c r="X148" s="46">
        <v>2.8936777162274199</v>
      </c>
    </row>
    <row r="149" spans="1:24" s="4" customFormat="1" ht="15" customHeight="1">
      <c r="A149" s="28" t="s">
        <v>2682</v>
      </c>
      <c r="B149" s="29">
        <v>3278.81</v>
      </c>
      <c r="C149" s="30" t="s">
        <v>2818</v>
      </c>
      <c r="D149" s="2">
        <v>4948121747</v>
      </c>
      <c r="E149" s="2" t="s">
        <v>6</v>
      </c>
      <c r="F149" s="2" t="s">
        <v>2819</v>
      </c>
      <c r="G149" s="28" t="s">
        <v>5</v>
      </c>
      <c r="H149" s="2" t="s">
        <v>20</v>
      </c>
      <c r="I149" s="2">
        <v>1</v>
      </c>
      <c r="J149" s="2" t="s">
        <v>2820</v>
      </c>
      <c r="K149" s="2">
        <v>39672</v>
      </c>
      <c r="L149" s="35">
        <v>130076950.31999999</v>
      </c>
      <c r="M149" s="36">
        <v>3600</v>
      </c>
      <c r="N149" s="40">
        <v>399194</v>
      </c>
      <c r="O149" s="40">
        <v>410790</v>
      </c>
      <c r="P149" s="40">
        <v>0</v>
      </c>
      <c r="Q149" s="40">
        <v>124137</v>
      </c>
      <c r="R149" s="40">
        <v>753164</v>
      </c>
      <c r="S149" s="40">
        <v>354356</v>
      </c>
      <c r="T149" s="40">
        <v>30000</v>
      </c>
      <c r="U149" s="40">
        <v>2619000</v>
      </c>
      <c r="V149" s="40">
        <v>0</v>
      </c>
      <c r="W149" s="45">
        <v>4690641</v>
      </c>
      <c r="X149" s="46">
        <v>3.6060508710118402</v>
      </c>
    </row>
    <row r="150" spans="1:24" s="4" customFormat="1" ht="15" customHeight="1">
      <c r="A150" s="28" t="s">
        <v>2682</v>
      </c>
      <c r="B150" s="29">
        <v>3278.81</v>
      </c>
      <c r="C150" s="30" t="s">
        <v>2826</v>
      </c>
      <c r="D150" s="2">
        <v>4950958094</v>
      </c>
      <c r="E150" s="2" t="s">
        <v>6</v>
      </c>
      <c r="F150" s="2" t="s">
        <v>2827</v>
      </c>
      <c r="G150" s="28" t="s">
        <v>5</v>
      </c>
      <c r="H150" s="2" t="s">
        <v>20</v>
      </c>
      <c r="I150" s="2">
        <v>1</v>
      </c>
      <c r="J150" s="2" t="s">
        <v>2828</v>
      </c>
      <c r="K150" s="2">
        <v>3300</v>
      </c>
      <c r="L150" s="35">
        <v>10820073</v>
      </c>
      <c r="M150" s="36">
        <v>6000</v>
      </c>
      <c r="N150" s="40">
        <v>341920</v>
      </c>
      <c r="O150" s="40">
        <v>410790</v>
      </c>
      <c r="P150" s="40">
        <v>241125.862068966</v>
      </c>
      <c r="Q150" s="40">
        <v>124137</v>
      </c>
      <c r="R150" s="40">
        <v>650649</v>
      </c>
      <c r="S150" s="40">
        <v>354356</v>
      </c>
      <c r="T150" s="40">
        <v>30000</v>
      </c>
      <c r="U150" s="40">
        <v>2500258.6206896598</v>
      </c>
      <c r="V150" s="40">
        <v>0</v>
      </c>
      <c r="W150" s="45">
        <v>4653236.4827586301</v>
      </c>
      <c r="X150" s="46">
        <v>43.005592316785901</v>
      </c>
    </row>
    <row r="151" spans="1:24" s="4" customFormat="1" ht="15" customHeight="1">
      <c r="A151" s="28" t="s">
        <v>2682</v>
      </c>
      <c r="B151" s="29">
        <v>3278.81</v>
      </c>
      <c r="C151" s="30" t="s">
        <v>2829</v>
      </c>
      <c r="D151" s="2">
        <v>4948123296</v>
      </c>
      <c r="E151" s="2" t="s">
        <v>6</v>
      </c>
      <c r="F151" s="2" t="s">
        <v>2830</v>
      </c>
      <c r="G151" s="28" t="s">
        <v>5</v>
      </c>
      <c r="H151" s="2" t="s">
        <v>20</v>
      </c>
      <c r="I151" s="2">
        <v>1</v>
      </c>
      <c r="J151" s="2" t="s">
        <v>2828</v>
      </c>
      <c r="K151" s="2">
        <v>9436.7999999999993</v>
      </c>
      <c r="L151" s="35">
        <v>30941474.208000001</v>
      </c>
      <c r="M151" s="36">
        <v>960</v>
      </c>
      <c r="N151" s="40">
        <v>57274</v>
      </c>
      <c r="O151" s="40">
        <v>410790</v>
      </c>
      <c r="P151" s="40">
        <v>38580.1379310345</v>
      </c>
      <c r="Q151" s="40">
        <v>124137</v>
      </c>
      <c r="R151" s="40">
        <v>106634</v>
      </c>
      <c r="S151" s="40">
        <v>354356</v>
      </c>
      <c r="T151" s="40">
        <v>30000</v>
      </c>
      <c r="U151" s="40">
        <v>400041.37931034499</v>
      </c>
      <c r="V151" s="40">
        <v>0</v>
      </c>
      <c r="W151" s="45">
        <v>1521812.5172413799</v>
      </c>
      <c r="X151" s="46">
        <v>4.9183581461283801</v>
      </c>
    </row>
    <row r="152" spans="1:24" s="4" customFormat="1" ht="15" customHeight="1">
      <c r="A152" s="28" t="s">
        <v>2682</v>
      </c>
      <c r="B152" s="29">
        <v>3278.81</v>
      </c>
      <c r="C152" s="30" t="s">
        <v>2846</v>
      </c>
      <c r="D152" s="2">
        <v>4950645034</v>
      </c>
      <c r="E152" s="2" t="s">
        <v>6</v>
      </c>
      <c r="F152" s="2" t="s">
        <v>2847</v>
      </c>
      <c r="G152" s="28" t="s">
        <v>5</v>
      </c>
      <c r="H152" s="2" t="s">
        <v>17</v>
      </c>
      <c r="I152" s="2">
        <v>1</v>
      </c>
      <c r="J152" s="2" t="s">
        <v>2848</v>
      </c>
      <c r="K152" s="2">
        <v>54720</v>
      </c>
      <c r="L152" s="35">
        <v>179416483.19999999</v>
      </c>
      <c r="M152" s="36">
        <v>5760</v>
      </c>
      <c r="N152" s="40">
        <v>399194</v>
      </c>
      <c r="O152" s="40">
        <v>539433</v>
      </c>
      <c r="P152" s="40">
        <v>0</v>
      </c>
      <c r="Q152" s="40">
        <v>124137</v>
      </c>
      <c r="R152" s="40">
        <v>885924</v>
      </c>
      <c r="S152" s="40">
        <v>354356</v>
      </c>
      <c r="T152" s="40">
        <v>30000</v>
      </c>
      <c r="U152" s="40">
        <v>4719050</v>
      </c>
      <c r="V152" s="40">
        <v>0</v>
      </c>
      <c r="W152" s="45">
        <v>7052094</v>
      </c>
      <c r="X152" s="46">
        <v>3.9305719709926898</v>
      </c>
    </row>
    <row r="153" spans="1:24" s="4" customFormat="1" ht="15" customHeight="1">
      <c r="A153" s="28" t="s">
        <v>2682</v>
      </c>
      <c r="B153" s="29">
        <v>3278.81</v>
      </c>
      <c r="C153" s="30" t="s">
        <v>3000</v>
      </c>
      <c r="D153" s="2">
        <v>4948665443</v>
      </c>
      <c r="E153" s="2" t="s">
        <v>6</v>
      </c>
      <c r="F153" s="2" t="s">
        <v>3001</v>
      </c>
      <c r="G153" s="28" t="s">
        <v>5</v>
      </c>
      <c r="H153" s="2" t="s">
        <v>17</v>
      </c>
      <c r="I153" s="2">
        <v>1</v>
      </c>
      <c r="J153" s="2" t="s">
        <v>3002</v>
      </c>
      <c r="K153" s="2">
        <v>42768</v>
      </c>
      <c r="L153" s="35">
        <v>140228146.08000001</v>
      </c>
      <c r="M153" s="36">
        <v>12960</v>
      </c>
      <c r="N153" s="40">
        <v>333205</v>
      </c>
      <c r="O153" s="40">
        <v>527958</v>
      </c>
      <c r="P153" s="40">
        <v>0</v>
      </c>
      <c r="Q153" s="40">
        <v>124137</v>
      </c>
      <c r="R153" s="40">
        <v>948228</v>
      </c>
      <c r="S153" s="40">
        <v>354356</v>
      </c>
      <c r="T153" s="40">
        <v>30000</v>
      </c>
      <c r="U153" s="40">
        <v>5446550</v>
      </c>
      <c r="V153" s="40">
        <v>0</v>
      </c>
      <c r="W153" s="45">
        <v>7764434</v>
      </c>
      <c r="X153" s="46">
        <v>5.5370011064471996</v>
      </c>
    </row>
    <row r="154" spans="1:24" s="4" customFormat="1" ht="15" customHeight="1">
      <c r="A154" s="28" t="s">
        <v>2682</v>
      </c>
      <c r="B154" s="29">
        <v>3278.81</v>
      </c>
      <c r="C154" s="30" t="s">
        <v>3006</v>
      </c>
      <c r="D154" s="2">
        <v>4951016419</v>
      </c>
      <c r="E154" s="2" t="s">
        <v>6</v>
      </c>
      <c r="F154" s="2" t="s">
        <v>3007</v>
      </c>
      <c r="G154" s="28" t="s">
        <v>5</v>
      </c>
      <c r="H154" s="2" t="s">
        <v>20</v>
      </c>
      <c r="I154" s="2">
        <v>1</v>
      </c>
      <c r="J154" s="2" t="s">
        <v>3008</v>
      </c>
      <c r="K154" s="2">
        <v>14256</v>
      </c>
      <c r="L154" s="35">
        <v>46742715.359999999</v>
      </c>
      <c r="M154" s="36">
        <v>4320</v>
      </c>
      <c r="N154" s="40">
        <v>333205</v>
      </c>
      <c r="O154" s="40">
        <v>322920</v>
      </c>
      <c r="P154" s="40">
        <v>0</v>
      </c>
      <c r="Q154" s="40">
        <v>110000</v>
      </c>
      <c r="R154" s="40">
        <v>822299</v>
      </c>
      <c r="S154" s="40">
        <v>354356</v>
      </c>
      <c r="T154" s="40">
        <v>30000</v>
      </c>
      <c r="U154" s="40">
        <v>2619000</v>
      </c>
      <c r="V154" s="40">
        <v>0</v>
      </c>
      <c r="W154" s="45">
        <v>4591780</v>
      </c>
      <c r="X154" s="46">
        <v>9.8235200172590105</v>
      </c>
    </row>
    <row r="156" spans="1:24" ht="15" customHeight="1">
      <c r="A156" s="31" t="s">
        <v>2682</v>
      </c>
      <c r="B156" s="31"/>
      <c r="C156" s="31"/>
      <c r="D156" s="31"/>
      <c r="E156" s="31"/>
      <c r="F156" s="32">
        <v>11</v>
      </c>
      <c r="G156" s="31"/>
      <c r="H156" s="31"/>
      <c r="I156" s="38"/>
      <c r="J156" s="31"/>
      <c r="K156" s="39">
        <f>+SUM(K143:K154)</f>
        <v>539189</v>
      </c>
      <c r="L156" s="39">
        <f>+SUM(L143:L154)</f>
        <v>1767898285.0899999</v>
      </c>
      <c r="M156" s="31"/>
      <c r="N156" s="39"/>
      <c r="O156" s="39"/>
      <c r="P156" s="39"/>
      <c r="Q156" s="39"/>
      <c r="R156" s="39"/>
      <c r="S156" s="39"/>
      <c r="T156" s="39"/>
      <c r="U156" s="39"/>
      <c r="V156" s="31"/>
      <c r="W156" s="39">
        <f>+SUM(W143:W154)</f>
        <v>60005833.000000007</v>
      </c>
      <c r="X156" s="47">
        <f>(W156/L156)*100</f>
        <v>3.3941903505463973</v>
      </c>
    </row>
    <row r="158" spans="1:24" s="4" customFormat="1" ht="15" customHeight="1">
      <c r="A158" s="28" t="s">
        <v>3019</v>
      </c>
      <c r="B158" s="29">
        <v>3196.165</v>
      </c>
      <c r="C158" s="30" t="s">
        <v>3025</v>
      </c>
      <c r="D158" s="2">
        <v>4950645035</v>
      </c>
      <c r="E158" s="2" t="s">
        <v>6</v>
      </c>
      <c r="F158" s="2" t="s">
        <v>3026</v>
      </c>
      <c r="G158" s="28" t="s">
        <v>5</v>
      </c>
      <c r="H158" s="2" t="s">
        <v>17</v>
      </c>
      <c r="I158" s="2">
        <v>1</v>
      </c>
      <c r="J158" s="2" t="s">
        <v>3027</v>
      </c>
      <c r="K158" s="2">
        <v>100320</v>
      </c>
      <c r="L158" s="35">
        <v>320639272.80000001</v>
      </c>
      <c r="M158" s="36">
        <v>11616</v>
      </c>
      <c r="N158" s="40">
        <v>325338.64</v>
      </c>
      <c r="O158" s="40">
        <v>115079.36</v>
      </c>
      <c r="P158" s="40">
        <v>161580.45283018899</v>
      </c>
      <c r="Q158" s="40">
        <v>438252.32</v>
      </c>
      <c r="R158" s="40">
        <v>823115.47169811302</v>
      </c>
      <c r="S158" s="40">
        <v>311833.28000000003</v>
      </c>
      <c r="T158" s="40">
        <v>30000</v>
      </c>
      <c r="U158" s="40">
        <v>4521664.1509434003</v>
      </c>
      <c r="V158" s="40">
        <v>0</v>
      </c>
      <c r="W158" s="45">
        <v>6726863.6754716998</v>
      </c>
      <c r="X158" s="46">
        <v>2.0979537586674901</v>
      </c>
    </row>
    <row r="159" spans="1:24" s="4" customFormat="1" ht="15" customHeight="1">
      <c r="A159" s="28" t="s">
        <v>3019</v>
      </c>
      <c r="B159" s="29">
        <v>3196.165</v>
      </c>
      <c r="C159" s="30" t="s">
        <v>3025</v>
      </c>
      <c r="D159" s="2">
        <v>4948861182</v>
      </c>
      <c r="E159" s="2" t="s">
        <v>6</v>
      </c>
      <c r="F159" s="2" t="s">
        <v>3026</v>
      </c>
      <c r="G159" s="28" t="s">
        <v>5</v>
      </c>
      <c r="H159" s="2" t="s">
        <v>17</v>
      </c>
      <c r="I159" s="2">
        <v>1</v>
      </c>
      <c r="J159" s="2" t="s">
        <v>3027</v>
      </c>
      <c r="K159" s="2">
        <v>26236.799999999999</v>
      </c>
      <c r="L159" s="35">
        <v>83857141.871999994</v>
      </c>
      <c r="M159" s="36">
        <v>1584</v>
      </c>
      <c r="N159" s="40">
        <v>44364.36</v>
      </c>
      <c r="O159" s="40">
        <v>15692.64</v>
      </c>
      <c r="P159" s="40">
        <v>22033.698113207502</v>
      </c>
      <c r="Q159" s="40">
        <v>59761.68</v>
      </c>
      <c r="R159" s="40">
        <v>112243.018867925</v>
      </c>
      <c r="S159" s="40">
        <v>42522.720000000001</v>
      </c>
      <c r="T159" s="40">
        <v>30000</v>
      </c>
      <c r="U159" s="40">
        <v>616590.56603773602</v>
      </c>
      <c r="V159" s="40">
        <v>0</v>
      </c>
      <c r="W159" s="45">
        <v>943208.68301886902</v>
      </c>
      <c r="X159" s="46">
        <v>1.1247803847865301</v>
      </c>
    </row>
    <row r="160" spans="1:24" s="4" customFormat="1" ht="15" customHeight="1">
      <c r="A160" s="28" t="s">
        <v>3019</v>
      </c>
      <c r="B160" s="29">
        <v>3196.165</v>
      </c>
      <c r="C160" s="30" t="s">
        <v>3028</v>
      </c>
      <c r="D160" s="2">
        <v>4948474962</v>
      </c>
      <c r="E160" s="2" t="s">
        <v>6</v>
      </c>
      <c r="F160" s="2" t="s">
        <v>3029</v>
      </c>
      <c r="G160" s="28" t="s">
        <v>5</v>
      </c>
      <c r="H160" s="2" t="s">
        <v>17</v>
      </c>
      <c r="I160" s="2">
        <v>1</v>
      </c>
      <c r="J160" s="2" t="s">
        <v>3027</v>
      </c>
      <c r="K160" s="2">
        <v>8323.2000000000007</v>
      </c>
      <c r="L160" s="35">
        <v>26602320.528000001</v>
      </c>
      <c r="M160" s="36">
        <v>792</v>
      </c>
      <c r="N160" s="40">
        <v>68030</v>
      </c>
      <c r="O160" s="40">
        <v>28912</v>
      </c>
      <c r="P160" s="40">
        <v>11016.8490566038</v>
      </c>
      <c r="Q160" s="40">
        <v>7846</v>
      </c>
      <c r="R160" s="40">
        <v>56121.509433962303</v>
      </c>
      <c r="S160" s="40">
        <v>354356</v>
      </c>
      <c r="T160" s="40">
        <v>30000</v>
      </c>
      <c r="U160" s="40">
        <v>308295.28301886801</v>
      </c>
      <c r="V160" s="40">
        <v>0</v>
      </c>
      <c r="W160" s="45">
        <v>864577.64150943398</v>
      </c>
      <c r="X160" s="46">
        <v>3.2500083614864801</v>
      </c>
    </row>
    <row r="161" spans="1:24" s="4" customFormat="1" ht="15" customHeight="1">
      <c r="A161" s="28" t="s">
        <v>3019</v>
      </c>
      <c r="B161" s="29">
        <v>3196.165</v>
      </c>
      <c r="C161" s="30" t="s">
        <v>3084</v>
      </c>
      <c r="D161" s="2">
        <v>4948474969</v>
      </c>
      <c r="E161" s="2" t="s">
        <v>6</v>
      </c>
      <c r="F161" s="2" t="s">
        <v>3085</v>
      </c>
      <c r="G161" s="28" t="s">
        <v>5</v>
      </c>
      <c r="H161" s="2" t="s">
        <v>20</v>
      </c>
      <c r="I161" s="2">
        <v>1</v>
      </c>
      <c r="J161" s="2" t="s">
        <v>3086</v>
      </c>
      <c r="K161" s="2">
        <v>95839.2</v>
      </c>
      <c r="L161" s="35">
        <v>306317896.66799998</v>
      </c>
      <c r="M161" s="36">
        <v>9720</v>
      </c>
      <c r="N161" s="40">
        <v>377809</v>
      </c>
      <c r="O161" s="40">
        <v>324522</v>
      </c>
      <c r="P161" s="40">
        <v>0</v>
      </c>
      <c r="Q161" s="40">
        <v>110000</v>
      </c>
      <c r="R161" s="40">
        <v>733407</v>
      </c>
      <c r="S161" s="40">
        <v>354356</v>
      </c>
      <c r="T161" s="40">
        <v>30000</v>
      </c>
      <c r="U161" s="40">
        <v>3249500</v>
      </c>
      <c r="V161" s="40">
        <v>0</v>
      </c>
      <c r="W161" s="45">
        <v>5179594</v>
      </c>
      <c r="X161" s="46">
        <v>1.6909211170295599</v>
      </c>
    </row>
    <row r="162" spans="1:24" s="4" customFormat="1" ht="15" customHeight="1">
      <c r="A162" s="28" t="s">
        <v>3019</v>
      </c>
      <c r="B162" s="29">
        <v>3196.165</v>
      </c>
      <c r="C162" s="30" t="s">
        <v>3087</v>
      </c>
      <c r="D162" s="2">
        <v>4948123297</v>
      </c>
      <c r="E162" s="2" t="s">
        <v>6</v>
      </c>
      <c r="F162" s="2" t="s">
        <v>3088</v>
      </c>
      <c r="G162" s="28" t="s">
        <v>9</v>
      </c>
      <c r="H162" s="2" t="s">
        <v>23</v>
      </c>
      <c r="I162" s="2">
        <v>1</v>
      </c>
      <c r="J162" s="2"/>
      <c r="K162" s="2">
        <v>4718.3999999999996</v>
      </c>
      <c r="L162" s="35">
        <v>15080784.936000001</v>
      </c>
      <c r="M162" s="36">
        <v>480</v>
      </c>
      <c r="N162" s="40">
        <v>663323</v>
      </c>
      <c r="O162" s="40">
        <v>383</v>
      </c>
      <c r="P162" s="40">
        <v>7556</v>
      </c>
      <c r="Q162" s="40">
        <v>12172</v>
      </c>
      <c r="R162" s="40">
        <v>98921</v>
      </c>
      <c r="S162" s="40">
        <v>354356</v>
      </c>
      <c r="T162" s="40">
        <v>30000</v>
      </c>
      <c r="U162" s="40">
        <v>1367700</v>
      </c>
      <c r="V162" s="40">
        <v>0</v>
      </c>
      <c r="W162" s="45">
        <v>2534411</v>
      </c>
      <c r="X162" s="46">
        <v>16.805564237906498</v>
      </c>
    </row>
    <row r="163" spans="1:24" s="4" customFormat="1" ht="15" customHeight="1">
      <c r="A163" s="28" t="s">
        <v>3019</v>
      </c>
      <c r="B163" s="29">
        <v>3196.165</v>
      </c>
      <c r="C163" s="30" t="s">
        <v>3097</v>
      </c>
      <c r="D163" s="2">
        <v>4949339826</v>
      </c>
      <c r="E163" s="2" t="s">
        <v>6</v>
      </c>
      <c r="F163" s="2" t="s">
        <v>3098</v>
      </c>
      <c r="G163" s="28" t="s">
        <v>5</v>
      </c>
      <c r="H163" s="2" t="s">
        <v>17</v>
      </c>
      <c r="I163" s="2">
        <v>1</v>
      </c>
      <c r="J163" s="2" t="s">
        <v>3099</v>
      </c>
      <c r="K163" s="2">
        <v>74480</v>
      </c>
      <c r="L163" s="35">
        <v>238050369.19999999</v>
      </c>
      <c r="M163" s="36">
        <v>11200</v>
      </c>
      <c r="N163" s="40">
        <v>245647.78378378399</v>
      </c>
      <c r="O163" s="48">
        <v>401517.72972973</v>
      </c>
      <c r="P163" s="40">
        <v>0</v>
      </c>
      <c r="Q163" s="48">
        <v>93941.513513513506</v>
      </c>
      <c r="R163" s="40">
        <v>652325.48648648697</v>
      </c>
      <c r="S163" s="40">
        <v>268161.29729729699</v>
      </c>
      <c r="T163" s="40">
        <v>30000</v>
      </c>
      <c r="U163" s="40">
        <v>2569567.5675675701</v>
      </c>
      <c r="V163" s="40">
        <v>0</v>
      </c>
      <c r="W163" s="45">
        <v>4261161.3783783801</v>
      </c>
      <c r="X163" s="46">
        <v>1.7900251080049101</v>
      </c>
    </row>
    <row r="164" spans="1:24" s="4" customFormat="1" ht="15" customHeight="1">
      <c r="A164" s="28" t="s">
        <v>3019</v>
      </c>
      <c r="B164" s="29">
        <v>3196.165</v>
      </c>
      <c r="C164" s="30" t="s">
        <v>3097</v>
      </c>
      <c r="D164" s="2">
        <v>4948093549</v>
      </c>
      <c r="E164" s="2" t="s">
        <v>6</v>
      </c>
      <c r="F164" s="2" t="s">
        <v>3098</v>
      </c>
      <c r="G164" s="28" t="s">
        <v>5</v>
      </c>
      <c r="H164" s="2" t="s">
        <v>17</v>
      </c>
      <c r="I164" s="2">
        <v>1</v>
      </c>
      <c r="J164" s="2" t="s">
        <v>3099</v>
      </c>
      <c r="K164" s="2">
        <v>27828</v>
      </c>
      <c r="L164" s="35">
        <v>88942879.620000005</v>
      </c>
      <c r="M164" s="36">
        <v>3600</v>
      </c>
      <c r="N164" s="40">
        <v>78958.216216216199</v>
      </c>
      <c r="O164" s="48">
        <v>129059.27027027</v>
      </c>
      <c r="P164" s="40">
        <v>0</v>
      </c>
      <c r="Q164" s="48">
        <v>30195.486486486501</v>
      </c>
      <c r="R164" s="40">
        <v>209676.51351351399</v>
      </c>
      <c r="S164" s="40">
        <v>86194.702702702707</v>
      </c>
      <c r="T164" s="40">
        <v>30000</v>
      </c>
      <c r="U164" s="40">
        <v>825932.43243243196</v>
      </c>
      <c r="V164" s="40">
        <v>0</v>
      </c>
      <c r="W164" s="45">
        <v>1390016.6216216199</v>
      </c>
      <c r="X164" s="46">
        <v>1.56281944947177</v>
      </c>
    </row>
    <row r="165" spans="1:24" s="4" customFormat="1" ht="15" customHeight="1">
      <c r="A165" s="28" t="s">
        <v>3019</v>
      </c>
      <c r="B165" s="29">
        <v>3196.165</v>
      </c>
      <c r="C165" s="30" t="s">
        <v>3100</v>
      </c>
      <c r="D165" s="2">
        <v>4948416339</v>
      </c>
      <c r="E165" s="2" t="s">
        <v>6</v>
      </c>
      <c r="F165" s="2" t="s">
        <v>3101</v>
      </c>
      <c r="G165" s="28" t="s">
        <v>5</v>
      </c>
      <c r="H165" s="2" t="s">
        <v>20</v>
      </c>
      <c r="I165" s="2">
        <v>3</v>
      </c>
      <c r="J165" s="2" t="s">
        <v>3102</v>
      </c>
      <c r="K165" s="2">
        <v>97800</v>
      </c>
      <c r="L165" s="35">
        <v>312584937</v>
      </c>
      <c r="M165" s="36">
        <v>30000</v>
      </c>
      <c r="N165" s="40">
        <v>1142011</v>
      </c>
      <c r="O165" s="40">
        <v>1212138</v>
      </c>
      <c r="P165" s="40">
        <v>0</v>
      </c>
      <c r="Q165" s="40">
        <v>372411</v>
      </c>
      <c r="R165" s="40">
        <v>2227768</v>
      </c>
      <c r="S165" s="40">
        <v>354356</v>
      </c>
      <c r="T165" s="40">
        <v>30000</v>
      </c>
      <c r="U165" s="40">
        <v>1499700</v>
      </c>
      <c r="V165" s="40">
        <v>0</v>
      </c>
      <c r="W165" s="45">
        <v>6838384</v>
      </c>
      <c r="X165" s="46">
        <v>2.18768826982856</v>
      </c>
    </row>
    <row r="166" spans="1:24" s="4" customFormat="1" ht="15" customHeight="1">
      <c r="A166" s="28" t="s">
        <v>3019</v>
      </c>
      <c r="B166" s="29">
        <v>3196.165</v>
      </c>
      <c r="C166" s="30" t="s">
        <v>3142</v>
      </c>
      <c r="D166" s="2">
        <v>4951270727</v>
      </c>
      <c r="E166" s="2" t="s">
        <v>6</v>
      </c>
      <c r="F166" s="2" t="s">
        <v>3143</v>
      </c>
      <c r="G166" s="28" t="s">
        <v>5</v>
      </c>
      <c r="H166" s="2" t="s">
        <v>17</v>
      </c>
      <c r="I166" s="2">
        <v>9</v>
      </c>
      <c r="J166" s="2" t="s">
        <v>3144</v>
      </c>
      <c r="K166" s="2">
        <v>561648</v>
      </c>
      <c r="L166" s="35">
        <v>1795119679.9200001</v>
      </c>
      <c r="M166" s="36">
        <v>99519.4</v>
      </c>
      <c r="N166" s="40">
        <v>7331271.0087980004</v>
      </c>
      <c r="O166" s="48">
        <v>2345216.7551803398</v>
      </c>
      <c r="P166" s="40">
        <v>4572776.9978266498</v>
      </c>
      <c r="Q166" s="40">
        <v>732880.32067001797</v>
      </c>
      <c r="R166" s="40">
        <v>8138615.1210491201</v>
      </c>
      <c r="S166" s="40">
        <v>240044.05165358799</v>
      </c>
      <c r="T166" s="40">
        <v>30000</v>
      </c>
      <c r="U166" s="40">
        <v>17268247.0372524</v>
      </c>
      <c r="V166" s="40">
        <v>914502.561639547</v>
      </c>
      <c r="W166" s="45">
        <v>41573553.854069702</v>
      </c>
      <c r="X166" s="46">
        <v>2.31592101179139</v>
      </c>
    </row>
    <row r="167" spans="1:24" s="4" customFormat="1" ht="15" customHeight="1">
      <c r="A167" s="28" t="s">
        <v>3019</v>
      </c>
      <c r="B167" s="29">
        <v>3196.165</v>
      </c>
      <c r="C167" s="30" t="s">
        <v>3142</v>
      </c>
      <c r="D167" s="2">
        <v>4951270744</v>
      </c>
      <c r="E167" s="2" t="s">
        <v>6</v>
      </c>
      <c r="F167" s="2" t="s">
        <v>3143</v>
      </c>
      <c r="G167" s="28" t="s">
        <v>5</v>
      </c>
      <c r="H167" s="2" t="s">
        <v>17</v>
      </c>
      <c r="I167" s="2">
        <v>9</v>
      </c>
      <c r="J167" s="2" t="s">
        <v>3144</v>
      </c>
      <c r="K167" s="2">
        <v>241164</v>
      </c>
      <c r="L167" s="35">
        <v>770799936.05999994</v>
      </c>
      <c r="M167" s="36">
        <v>42422.57</v>
      </c>
      <c r="N167" s="40">
        <v>3125132.9646250298</v>
      </c>
      <c r="O167" s="48">
        <v>999705.80572039902</v>
      </c>
      <c r="P167" s="40">
        <v>1949257.6551375</v>
      </c>
      <c r="Q167" s="40">
        <v>312408.10038290301</v>
      </c>
      <c r="R167" s="40">
        <v>3469282.9540418698</v>
      </c>
      <c r="S167" s="40">
        <v>102324.628005775</v>
      </c>
      <c r="T167" s="40">
        <v>30000</v>
      </c>
      <c r="U167" s="40">
        <v>7361011.20701221</v>
      </c>
      <c r="V167" s="40">
        <v>389829.00757372897</v>
      </c>
      <c r="W167" s="45">
        <v>17738952.322499398</v>
      </c>
      <c r="X167" s="46">
        <v>2.30136920005123</v>
      </c>
    </row>
    <row r="168" spans="1:24" s="4" customFormat="1" ht="15" customHeight="1">
      <c r="A168" s="28" t="s">
        <v>3019</v>
      </c>
      <c r="B168" s="29">
        <v>3196.165</v>
      </c>
      <c r="C168" s="30" t="s">
        <v>3142</v>
      </c>
      <c r="D168" s="2">
        <v>4951270745</v>
      </c>
      <c r="E168" s="2" t="s">
        <v>6</v>
      </c>
      <c r="F168" s="2" t="s">
        <v>3143</v>
      </c>
      <c r="G168" s="28" t="s">
        <v>5</v>
      </c>
      <c r="H168" s="2" t="s">
        <v>17</v>
      </c>
      <c r="I168" s="2">
        <v>9</v>
      </c>
      <c r="J168" s="2" t="s">
        <v>3144</v>
      </c>
      <c r="K168" s="2">
        <v>7702.2</v>
      </c>
      <c r="L168" s="35">
        <v>24617502.063000001</v>
      </c>
      <c r="M168" s="36">
        <v>4969.8</v>
      </c>
      <c r="N168" s="40">
        <v>366109.02657697198</v>
      </c>
      <c r="O168" s="48">
        <v>117115.43909926301</v>
      </c>
      <c r="P168" s="40">
        <v>228355.34703584301</v>
      </c>
      <c r="Q168" s="40">
        <v>36598.578947078197</v>
      </c>
      <c r="R168" s="40">
        <v>406425.92490901198</v>
      </c>
      <c r="S168" s="40">
        <v>11987.320340637099</v>
      </c>
      <c r="T168" s="40">
        <v>30000</v>
      </c>
      <c r="U168" s="40">
        <v>862341.75573543203</v>
      </c>
      <c r="V168" s="40">
        <v>45668.430786723198</v>
      </c>
      <c r="W168" s="45">
        <v>2104601.8234309601</v>
      </c>
      <c r="X168" s="46">
        <v>8.5492094934935299</v>
      </c>
    </row>
    <row r="169" spans="1:24" s="4" customFormat="1" ht="15" customHeight="1">
      <c r="A169" s="28" t="s">
        <v>3019</v>
      </c>
      <c r="B169" s="29">
        <v>3196.165</v>
      </c>
      <c r="C169" s="30" t="s">
        <v>3190</v>
      </c>
      <c r="D169" s="2">
        <v>4948304012</v>
      </c>
      <c r="E169" s="2" t="s">
        <v>6</v>
      </c>
      <c r="F169" s="2" t="s">
        <v>3191</v>
      </c>
      <c r="G169" s="28" t="s">
        <v>5</v>
      </c>
      <c r="H169" s="2" t="s">
        <v>20</v>
      </c>
      <c r="I169" s="2">
        <v>1</v>
      </c>
      <c r="J169" s="2" t="s">
        <v>3192</v>
      </c>
      <c r="K169" s="2">
        <v>88992</v>
      </c>
      <c r="L169" s="35">
        <v>284433115.68000001</v>
      </c>
      <c r="M169" s="36">
        <v>4320</v>
      </c>
      <c r="N169" s="40">
        <v>128312.490566038</v>
      </c>
      <c r="O169" s="40">
        <v>110215.018867925</v>
      </c>
      <c r="P169" s="40">
        <v>0</v>
      </c>
      <c r="Q169" s="48">
        <v>37358.490566037697</v>
      </c>
      <c r="R169" s="40">
        <v>250100.96226415099</v>
      </c>
      <c r="S169" s="40">
        <v>120347.320754717</v>
      </c>
      <c r="T169" s="40">
        <v>30000</v>
      </c>
      <c r="U169" s="40">
        <v>169777.358490566</v>
      </c>
      <c r="V169" s="40">
        <v>0</v>
      </c>
      <c r="W169" s="45">
        <v>846111.64150943398</v>
      </c>
      <c r="X169" s="46">
        <v>0.297472971628714</v>
      </c>
    </row>
    <row r="170" spans="1:24" s="4" customFormat="1" ht="15" customHeight="1">
      <c r="A170" s="28" t="s">
        <v>3019</v>
      </c>
      <c r="B170" s="29">
        <v>3196.165</v>
      </c>
      <c r="C170" s="30" t="s">
        <v>3190</v>
      </c>
      <c r="D170" s="2">
        <v>4948123279</v>
      </c>
      <c r="E170" s="2" t="s">
        <v>6</v>
      </c>
      <c r="F170" s="2" t="s">
        <v>3191</v>
      </c>
      <c r="G170" s="28" t="s">
        <v>5</v>
      </c>
      <c r="H170" s="2" t="s">
        <v>20</v>
      </c>
      <c r="I170" s="2">
        <v>1</v>
      </c>
      <c r="J170" s="2" t="s">
        <v>3192</v>
      </c>
      <c r="K170" s="2">
        <v>173628</v>
      </c>
      <c r="L170" s="35">
        <v>554943736.62</v>
      </c>
      <c r="M170" s="36">
        <v>8400</v>
      </c>
      <c r="N170" s="40">
        <v>249496.509433962</v>
      </c>
      <c r="O170" s="40">
        <v>214306.98113207499</v>
      </c>
      <c r="P170" s="40">
        <v>0</v>
      </c>
      <c r="Q170" s="48">
        <v>72641.509433962303</v>
      </c>
      <c r="R170" s="40">
        <v>486306.03773584898</v>
      </c>
      <c r="S170" s="40">
        <v>234008.67924528301</v>
      </c>
      <c r="T170" s="40">
        <v>30000</v>
      </c>
      <c r="U170" s="40">
        <v>330122.64150943398</v>
      </c>
      <c r="V170" s="40">
        <v>0</v>
      </c>
      <c r="W170" s="45">
        <v>1616882.35849057</v>
      </c>
      <c r="X170" s="46">
        <v>0.291359691405569</v>
      </c>
    </row>
    <row r="171" spans="1:24" s="4" customFormat="1" ht="15" customHeight="1">
      <c r="A171" s="28" t="s">
        <v>3019</v>
      </c>
      <c r="B171" s="29">
        <v>3196.165</v>
      </c>
      <c r="C171" s="30" t="s">
        <v>3193</v>
      </c>
      <c r="D171" s="2">
        <v>4950764155</v>
      </c>
      <c r="E171" s="2" t="s">
        <v>6</v>
      </c>
      <c r="F171" s="2" t="s">
        <v>3194</v>
      </c>
      <c r="G171" s="28" t="s">
        <v>9</v>
      </c>
      <c r="H171" s="2" t="s">
        <v>23</v>
      </c>
      <c r="I171" s="2">
        <v>4</v>
      </c>
      <c r="J171" s="2"/>
      <c r="K171" s="2">
        <v>7420</v>
      </c>
      <c r="L171" s="35">
        <v>23715544.300000001</v>
      </c>
      <c r="M171" s="36">
        <v>2000</v>
      </c>
      <c r="N171" s="40">
        <v>943758</v>
      </c>
      <c r="O171" s="40">
        <v>1769</v>
      </c>
      <c r="P171" s="40">
        <v>102758</v>
      </c>
      <c r="Q171" s="48">
        <v>55309</v>
      </c>
      <c r="R171" s="40">
        <v>139707</v>
      </c>
      <c r="S171" s="40">
        <v>354356</v>
      </c>
      <c r="T171" s="40">
        <v>30000</v>
      </c>
      <c r="U171" s="40">
        <v>1367700</v>
      </c>
      <c r="V171" s="40">
        <v>0</v>
      </c>
      <c r="W171" s="45">
        <v>2995357</v>
      </c>
      <c r="X171" s="46">
        <v>12.630353164612</v>
      </c>
    </row>
    <row r="172" spans="1:24" s="4" customFormat="1" ht="15" customHeight="1">
      <c r="A172" s="28" t="s">
        <v>3019</v>
      </c>
      <c r="B172" s="29">
        <v>3196.165</v>
      </c>
      <c r="C172" s="30" t="s">
        <v>3199</v>
      </c>
      <c r="D172" s="2">
        <v>4951181394</v>
      </c>
      <c r="E172" s="2" t="s">
        <v>6</v>
      </c>
      <c r="F172" s="2" t="s">
        <v>3200</v>
      </c>
      <c r="G172" s="28" t="s">
        <v>9</v>
      </c>
      <c r="H172" s="2" t="s">
        <v>23</v>
      </c>
      <c r="I172" s="2">
        <v>5</v>
      </c>
      <c r="J172" s="2"/>
      <c r="K172" s="2">
        <v>20236.919999999998</v>
      </c>
      <c r="L172" s="35">
        <v>64680535.411799997</v>
      </c>
      <c r="M172" s="36">
        <v>1440</v>
      </c>
      <c r="N172" s="40">
        <v>429055.11111111101</v>
      </c>
      <c r="O172" s="40">
        <v>1012</v>
      </c>
      <c r="P172" s="40">
        <v>0</v>
      </c>
      <c r="Q172" s="48">
        <v>24647.333333333299</v>
      </c>
      <c r="R172" s="40">
        <v>79967.111111111095</v>
      </c>
      <c r="S172" s="40">
        <v>157491.555555556</v>
      </c>
      <c r="T172" s="40">
        <v>30000</v>
      </c>
      <c r="U172" s="40">
        <v>926888.88888888899</v>
      </c>
      <c r="V172" s="40">
        <v>0</v>
      </c>
      <c r="W172" s="45">
        <v>1649062</v>
      </c>
      <c r="X172" s="46">
        <v>2.5495490869099302</v>
      </c>
    </row>
    <row r="173" spans="1:24" s="4" customFormat="1" ht="15" customHeight="1">
      <c r="A173" s="28" t="s">
        <v>3019</v>
      </c>
      <c r="B173" s="29">
        <v>3196.165</v>
      </c>
      <c r="C173" s="30" t="s">
        <v>3199</v>
      </c>
      <c r="D173" s="2">
        <v>4951186751</v>
      </c>
      <c r="E173" s="2" t="s">
        <v>6</v>
      </c>
      <c r="F173" s="2" t="s">
        <v>3200</v>
      </c>
      <c r="G173" s="28" t="s">
        <v>9</v>
      </c>
      <c r="H173" s="2" t="s">
        <v>23</v>
      </c>
      <c r="I173" s="2">
        <v>5</v>
      </c>
      <c r="J173" s="2"/>
      <c r="K173" s="2">
        <v>15136.86</v>
      </c>
      <c r="L173" s="35">
        <v>48379902.141900003</v>
      </c>
      <c r="M173" s="36">
        <v>2160</v>
      </c>
      <c r="N173" s="40">
        <v>214527.555555556</v>
      </c>
      <c r="O173" s="40">
        <v>1518</v>
      </c>
      <c r="P173" s="40">
        <v>0</v>
      </c>
      <c r="Q173" s="48">
        <v>36971</v>
      </c>
      <c r="R173" s="40">
        <v>39983.555555555598</v>
      </c>
      <c r="S173" s="40">
        <v>78745.777777777796</v>
      </c>
      <c r="T173" s="40">
        <v>30000</v>
      </c>
      <c r="U173" s="40">
        <v>463444.44444444397</v>
      </c>
      <c r="V173" s="40">
        <v>0</v>
      </c>
      <c r="W173" s="45">
        <v>865190.33333333302</v>
      </c>
      <c r="X173" s="46">
        <v>1.7883259267364799</v>
      </c>
    </row>
    <row r="174" spans="1:24" s="4" customFormat="1" ht="15" customHeight="1">
      <c r="A174" s="28" t="s">
        <v>3019</v>
      </c>
      <c r="B174" s="29">
        <v>3196.165</v>
      </c>
      <c r="C174" s="30" t="s">
        <v>3199</v>
      </c>
      <c r="D174" s="2">
        <v>4951293639</v>
      </c>
      <c r="E174" s="2" t="s">
        <v>6</v>
      </c>
      <c r="F174" s="2" t="s">
        <v>3200</v>
      </c>
      <c r="G174" s="28" t="s">
        <v>9</v>
      </c>
      <c r="H174" s="2" t="s">
        <v>23</v>
      </c>
      <c r="I174" s="2">
        <v>5</v>
      </c>
      <c r="J174" s="2"/>
      <c r="K174" s="2">
        <v>10170.09</v>
      </c>
      <c r="L174" s="35">
        <v>32505285.704849999</v>
      </c>
      <c r="M174" s="36">
        <v>720</v>
      </c>
      <c r="N174" s="40">
        <v>321791.33333333302</v>
      </c>
      <c r="O174" s="40">
        <v>506</v>
      </c>
      <c r="P174" s="40">
        <v>0</v>
      </c>
      <c r="Q174" s="48">
        <v>12323.666666666701</v>
      </c>
      <c r="R174" s="40">
        <v>59975.333333333299</v>
      </c>
      <c r="S174" s="40">
        <v>118118.66666666701</v>
      </c>
      <c r="T174" s="40">
        <v>30000</v>
      </c>
      <c r="U174" s="40">
        <v>695166.66666666698</v>
      </c>
      <c r="V174" s="40">
        <v>0</v>
      </c>
      <c r="W174" s="45">
        <v>1237881.66666667</v>
      </c>
      <c r="X174" s="46">
        <v>3.80824730447444</v>
      </c>
    </row>
    <row r="175" spans="1:24" s="4" customFormat="1" ht="15" customHeight="1">
      <c r="A175" s="28" t="s">
        <v>3019</v>
      </c>
      <c r="B175" s="29">
        <v>3196.165</v>
      </c>
      <c r="C175" s="30" t="s">
        <v>3251</v>
      </c>
      <c r="D175" s="2">
        <v>4948093541</v>
      </c>
      <c r="E175" s="2" t="s">
        <v>6</v>
      </c>
      <c r="F175" s="2" t="s">
        <v>3252</v>
      </c>
      <c r="G175" s="28" t="s">
        <v>5</v>
      </c>
      <c r="H175" s="2" t="s">
        <v>20</v>
      </c>
      <c r="I175" s="2">
        <v>1</v>
      </c>
      <c r="J175" s="2" t="s">
        <v>3253</v>
      </c>
      <c r="K175" s="2">
        <v>16632</v>
      </c>
      <c r="L175" s="35">
        <v>53158616.280000001</v>
      </c>
      <c r="M175" s="36">
        <v>3780</v>
      </c>
      <c r="N175" s="40">
        <v>377809</v>
      </c>
      <c r="O175" s="40">
        <v>201879</v>
      </c>
      <c r="P175" s="40">
        <v>0</v>
      </c>
      <c r="Q175" s="40">
        <v>0</v>
      </c>
      <c r="R175" s="40">
        <v>407198</v>
      </c>
      <c r="S175" s="40">
        <v>354356</v>
      </c>
      <c r="T175" s="40">
        <v>30000</v>
      </c>
      <c r="U175" s="40">
        <v>2328000</v>
      </c>
      <c r="V175" s="40">
        <v>0</v>
      </c>
      <c r="W175" s="45">
        <v>3699242</v>
      </c>
      <c r="X175" s="46">
        <v>6.9588756421257196</v>
      </c>
    </row>
    <row r="176" spans="1:24" s="4" customFormat="1" ht="15" customHeight="1">
      <c r="A176" s="28" t="s">
        <v>3019</v>
      </c>
      <c r="B176" s="29">
        <v>3196.165</v>
      </c>
      <c r="C176" s="30" t="s">
        <v>3266</v>
      </c>
      <c r="D176" s="2">
        <v>4950038778</v>
      </c>
      <c r="E176" s="2" t="s">
        <v>6</v>
      </c>
      <c r="F176" s="2" t="s">
        <v>3267</v>
      </c>
      <c r="G176" s="28" t="s">
        <v>9</v>
      </c>
      <c r="H176" s="2" t="s">
        <v>23</v>
      </c>
      <c r="I176" s="2">
        <v>6</v>
      </c>
      <c r="J176" s="2"/>
      <c r="K176" s="2">
        <v>7128</v>
      </c>
      <c r="L176" s="35">
        <v>22782264.120000001</v>
      </c>
      <c r="M176" s="36">
        <v>4752</v>
      </c>
      <c r="N176" s="40">
        <v>1145164</v>
      </c>
      <c r="O176" s="40">
        <v>4426</v>
      </c>
      <c r="P176" s="40">
        <v>0</v>
      </c>
      <c r="Q176" s="40">
        <v>109266</v>
      </c>
      <c r="R176" s="40">
        <v>205360</v>
      </c>
      <c r="S176" s="40">
        <v>354356</v>
      </c>
      <c r="T176" s="40">
        <v>30000</v>
      </c>
      <c r="U176" s="40">
        <v>2085500</v>
      </c>
      <c r="V176" s="40">
        <v>0</v>
      </c>
      <c r="W176" s="45">
        <v>3934072</v>
      </c>
      <c r="X176" s="46">
        <v>17.268134454408202</v>
      </c>
    </row>
    <row r="177" spans="1:24" s="4" customFormat="1" ht="15" customHeight="1">
      <c r="A177" s="28" t="s">
        <v>3019</v>
      </c>
      <c r="B177" s="29">
        <v>3196.165</v>
      </c>
      <c r="C177" s="30" t="s">
        <v>3268</v>
      </c>
      <c r="D177" s="2">
        <v>4948542304</v>
      </c>
      <c r="E177" s="2" t="s">
        <v>6</v>
      </c>
      <c r="F177" s="78" t="s">
        <v>3269</v>
      </c>
      <c r="G177" s="28" t="s">
        <v>5</v>
      </c>
      <c r="H177" s="2" t="s">
        <v>3270</v>
      </c>
      <c r="I177" s="2">
        <v>5</v>
      </c>
      <c r="J177" s="2" t="s">
        <v>3271</v>
      </c>
      <c r="K177" s="2">
        <v>254144</v>
      </c>
      <c r="L177" s="35">
        <v>812286157.75999999</v>
      </c>
      <c r="M177" s="36">
        <v>32000</v>
      </c>
      <c r="N177" s="40">
        <v>1906272</v>
      </c>
      <c r="O177" s="40">
        <v>2583166</v>
      </c>
      <c r="P177" s="40">
        <v>0</v>
      </c>
      <c r="Q177" s="40">
        <v>692802</v>
      </c>
      <c r="R177" s="40">
        <v>4157669</v>
      </c>
      <c r="S177" s="40">
        <v>354356</v>
      </c>
      <c r="T177" s="40">
        <v>30000</v>
      </c>
      <c r="U177" s="40">
        <v>21495200</v>
      </c>
      <c r="V177" s="40">
        <v>0</v>
      </c>
      <c r="W177" s="45">
        <v>31219465</v>
      </c>
      <c r="X177" s="46">
        <v>3.8434072403858699</v>
      </c>
    </row>
    <row r="178" spans="1:24" s="4" customFormat="1" ht="15" customHeight="1">
      <c r="A178" s="28" t="s">
        <v>3019</v>
      </c>
      <c r="B178" s="29">
        <v>3196.165</v>
      </c>
      <c r="C178" s="30" t="s">
        <v>3282</v>
      </c>
      <c r="D178" s="2">
        <v>4949079065</v>
      </c>
      <c r="E178" s="2" t="s">
        <v>6</v>
      </c>
      <c r="F178" s="2" t="s">
        <v>3283</v>
      </c>
      <c r="G178" s="28" t="s">
        <v>5</v>
      </c>
      <c r="H178" s="2" t="s">
        <v>17</v>
      </c>
      <c r="I178" s="2">
        <v>1</v>
      </c>
      <c r="J178" s="2" t="s">
        <v>3284</v>
      </c>
      <c r="K178" s="2">
        <v>16761.599999999999</v>
      </c>
      <c r="L178" s="35">
        <v>53572839.263999999</v>
      </c>
      <c r="M178" s="36">
        <v>4320</v>
      </c>
      <c r="N178" s="40">
        <v>143899.99185336</v>
      </c>
      <c r="O178" s="48">
        <v>251325.94736842101</v>
      </c>
      <c r="P178" s="40">
        <v>0</v>
      </c>
      <c r="Q178" s="48">
        <v>58801.736842105303</v>
      </c>
      <c r="R178" s="40">
        <v>413478.282666952</v>
      </c>
      <c r="S178" s="40">
        <v>167852.842105263</v>
      </c>
      <c r="T178" s="40">
        <v>30000</v>
      </c>
      <c r="U178" s="40">
        <v>2118669.65376782</v>
      </c>
      <c r="V178" s="40">
        <v>0</v>
      </c>
      <c r="W178" s="45">
        <v>3184028.4546039202</v>
      </c>
      <c r="X178" s="46">
        <v>5.9433632757700998</v>
      </c>
    </row>
    <row r="179" spans="1:24" s="4" customFormat="1" ht="15" customHeight="1">
      <c r="A179" s="28" t="s">
        <v>3019</v>
      </c>
      <c r="B179" s="29">
        <v>3196.165</v>
      </c>
      <c r="C179" s="30" t="s">
        <v>3282</v>
      </c>
      <c r="D179" s="2">
        <v>4948303930</v>
      </c>
      <c r="E179" s="2" t="s">
        <v>6</v>
      </c>
      <c r="F179" s="2" t="s">
        <v>3283</v>
      </c>
      <c r="G179" s="28" t="s">
        <v>5</v>
      </c>
      <c r="H179" s="2" t="s">
        <v>17</v>
      </c>
      <c r="I179" s="2">
        <v>1</v>
      </c>
      <c r="J179" s="2" t="s">
        <v>3284</v>
      </c>
      <c r="K179" s="2">
        <v>6444</v>
      </c>
      <c r="L179" s="35">
        <v>20596087.260000002</v>
      </c>
      <c r="M179" s="36">
        <v>1200</v>
      </c>
      <c r="N179" s="40">
        <v>39972.219959266797</v>
      </c>
      <c r="O179" s="48">
        <v>69812.763157894704</v>
      </c>
      <c r="P179" s="40">
        <v>0</v>
      </c>
      <c r="Q179" s="48">
        <v>16333.8157894737</v>
      </c>
      <c r="R179" s="40">
        <v>114855.07851859801</v>
      </c>
      <c r="S179" s="40">
        <v>46625.789473684199</v>
      </c>
      <c r="T179" s="40">
        <v>30000</v>
      </c>
      <c r="U179" s="40">
        <v>588519.34826883895</v>
      </c>
      <c r="V179" s="40">
        <v>0</v>
      </c>
      <c r="W179" s="45">
        <v>906119.01516775601</v>
      </c>
      <c r="X179" s="46">
        <v>4.3994716264751199</v>
      </c>
    </row>
    <row r="180" spans="1:24" s="4" customFormat="1" ht="15" customHeight="1">
      <c r="A180" s="28" t="s">
        <v>3019</v>
      </c>
      <c r="B180" s="29">
        <v>3196.165</v>
      </c>
      <c r="C180" s="30" t="s">
        <v>3282</v>
      </c>
      <c r="D180" s="2">
        <v>4948303927</v>
      </c>
      <c r="E180" s="2" t="s">
        <v>6</v>
      </c>
      <c r="F180" s="2" t="s">
        <v>3283</v>
      </c>
      <c r="G180" s="28" t="s">
        <v>5</v>
      </c>
      <c r="H180" s="2" t="s">
        <v>17</v>
      </c>
      <c r="I180" s="2">
        <v>1</v>
      </c>
      <c r="J180" s="2" t="s">
        <v>3284</v>
      </c>
      <c r="K180" s="2">
        <v>13968</v>
      </c>
      <c r="L180" s="35">
        <v>44644032.719999999</v>
      </c>
      <c r="M180" s="36">
        <v>3600</v>
      </c>
      <c r="N180" s="40">
        <v>119916.6598778</v>
      </c>
      <c r="O180" s="48">
        <v>209438.28947368401</v>
      </c>
      <c r="P180" s="40">
        <v>0</v>
      </c>
      <c r="Q180" s="48">
        <v>49001.447368421097</v>
      </c>
      <c r="R180" s="40">
        <v>344565.23555579397</v>
      </c>
      <c r="S180" s="40">
        <v>139877.36842105299</v>
      </c>
      <c r="T180" s="40">
        <v>30000</v>
      </c>
      <c r="U180" s="40">
        <v>1765558.04480652</v>
      </c>
      <c r="V180" s="40">
        <v>0</v>
      </c>
      <c r="W180" s="45">
        <v>2658357.0455032699</v>
      </c>
      <c r="X180" s="46">
        <v>5.9545629808490803</v>
      </c>
    </row>
    <row r="181" spans="1:24" s="4" customFormat="1" ht="15" customHeight="1">
      <c r="A181" s="28" t="s">
        <v>3019</v>
      </c>
      <c r="B181" s="29">
        <v>3196.165</v>
      </c>
      <c r="C181" s="30" t="s">
        <v>3375</v>
      </c>
      <c r="D181" s="2">
        <v>4947224857</v>
      </c>
      <c r="E181" s="2" t="s">
        <v>6</v>
      </c>
      <c r="F181" s="2" t="s">
        <v>3376</v>
      </c>
      <c r="G181" s="28" t="s">
        <v>9</v>
      </c>
      <c r="H181" s="2" t="s">
        <v>23</v>
      </c>
      <c r="I181" s="2">
        <v>4</v>
      </c>
      <c r="J181" s="2"/>
      <c r="K181" s="2">
        <v>5775</v>
      </c>
      <c r="L181" s="35">
        <v>18457852.875</v>
      </c>
      <c r="M181" s="36">
        <v>3500</v>
      </c>
      <c r="N181" s="40">
        <v>606949</v>
      </c>
      <c r="O181" s="40">
        <v>2302</v>
      </c>
      <c r="P181" s="40">
        <v>71240</v>
      </c>
      <c r="Q181" s="40">
        <v>57145</v>
      </c>
      <c r="R181" s="40">
        <v>149031</v>
      </c>
      <c r="S181" s="40">
        <v>354356</v>
      </c>
      <c r="T181" s="40">
        <v>30000</v>
      </c>
      <c r="U181" s="40">
        <v>1367700</v>
      </c>
      <c r="V181" s="40">
        <v>0</v>
      </c>
      <c r="W181" s="45">
        <v>2638723</v>
      </c>
      <c r="X181" s="46">
        <v>14.295936899432</v>
      </c>
    </row>
    <row r="183" spans="1:24" ht="15" customHeight="1">
      <c r="A183" s="31" t="s">
        <v>3019</v>
      </c>
      <c r="B183" s="31"/>
      <c r="C183" s="31"/>
      <c r="D183" s="31"/>
      <c r="E183" s="31"/>
      <c r="F183" s="32">
        <v>15</v>
      </c>
      <c r="G183" s="31"/>
      <c r="H183" s="31"/>
      <c r="I183" s="38"/>
      <c r="J183" s="31"/>
      <c r="K183" s="39">
        <f>+SUM(K158:K181)</f>
        <v>1882496.2700000003</v>
      </c>
      <c r="L183" s="39">
        <f>+SUM(L158:L181)</f>
        <v>6016768690.8045511</v>
      </c>
      <c r="M183" s="31"/>
      <c r="N183" s="39"/>
      <c r="O183" s="39"/>
      <c r="P183" s="39"/>
      <c r="Q183" s="39"/>
      <c r="R183" s="39"/>
      <c r="S183" s="39"/>
      <c r="T183" s="39"/>
      <c r="U183" s="39"/>
      <c r="V183" s="31"/>
      <c r="W183" s="39">
        <f>+SUM(W158:W181)</f>
        <v>147605816.51527497</v>
      </c>
      <c r="X183" s="47">
        <f>(W183/L183)*100</f>
        <v>2.4532406695451243</v>
      </c>
    </row>
    <row r="185" spans="1:24" s="4" customFormat="1" ht="15" customHeight="1">
      <c r="A185" s="28" t="s">
        <v>3483</v>
      </c>
      <c r="B185" s="29">
        <v>3387.15</v>
      </c>
      <c r="C185" s="30" t="s">
        <v>3555</v>
      </c>
      <c r="D185" s="2">
        <v>4949475894</v>
      </c>
      <c r="E185" s="2" t="s">
        <v>6</v>
      </c>
      <c r="F185" s="2" t="s">
        <v>3556</v>
      </c>
      <c r="G185" s="28" t="s">
        <v>9</v>
      </c>
      <c r="H185" s="2" t="s">
        <v>23</v>
      </c>
      <c r="I185" s="2">
        <v>7</v>
      </c>
      <c r="J185" s="2"/>
      <c r="K185" s="2">
        <v>93139.199999999997</v>
      </c>
      <c r="L185" s="35">
        <v>315476441.27999997</v>
      </c>
      <c r="M185" s="36">
        <v>2880</v>
      </c>
      <c r="N185" s="40">
        <v>1339732</v>
      </c>
      <c r="O185" s="40">
        <v>2397</v>
      </c>
      <c r="P185" s="40">
        <v>0</v>
      </c>
      <c r="Q185" s="40">
        <v>56987</v>
      </c>
      <c r="R185" s="40">
        <v>142840</v>
      </c>
      <c r="S185" s="40">
        <v>354356</v>
      </c>
      <c r="T185" s="40">
        <v>30000</v>
      </c>
      <c r="U185" s="40">
        <v>2085500</v>
      </c>
      <c r="V185" s="40">
        <v>0</v>
      </c>
      <c r="W185" s="45">
        <v>4011812</v>
      </c>
      <c r="X185" s="46">
        <v>1.27166769845718</v>
      </c>
    </row>
    <row r="186" spans="1:24" s="4" customFormat="1" ht="15" customHeight="1">
      <c r="A186" s="28" t="s">
        <v>3483</v>
      </c>
      <c r="B186" s="29">
        <v>3387.15</v>
      </c>
      <c r="C186" s="30" t="s">
        <v>3559</v>
      </c>
      <c r="D186" s="2">
        <v>4950691636</v>
      </c>
      <c r="E186" s="2" t="s">
        <v>6</v>
      </c>
      <c r="F186" s="2" t="s">
        <v>3560</v>
      </c>
      <c r="G186" s="28" t="s">
        <v>9</v>
      </c>
      <c r="H186" s="2" t="s">
        <v>23</v>
      </c>
      <c r="I186" s="2">
        <v>9</v>
      </c>
      <c r="J186" s="2"/>
      <c r="K186" s="2">
        <v>113368.92</v>
      </c>
      <c r="L186" s="35">
        <v>383997537.37800002</v>
      </c>
      <c r="M186" s="36">
        <v>1911</v>
      </c>
      <c r="N186" s="40">
        <v>1388661</v>
      </c>
      <c r="O186" s="40">
        <v>1964</v>
      </c>
      <c r="P186" s="40">
        <v>0</v>
      </c>
      <c r="Q186" s="40">
        <v>58620</v>
      </c>
      <c r="R186" s="40">
        <v>133720</v>
      </c>
      <c r="S186" s="40">
        <v>354356</v>
      </c>
      <c r="T186" s="40">
        <v>30000</v>
      </c>
      <c r="U186" s="40">
        <v>2085500</v>
      </c>
      <c r="V186" s="40">
        <v>0</v>
      </c>
      <c r="W186" s="45">
        <v>4052821</v>
      </c>
      <c r="X186" s="46">
        <v>1.05542890396468</v>
      </c>
    </row>
    <row r="187" spans="1:24" s="4" customFormat="1" ht="15" customHeight="1">
      <c r="A187" s="28" t="s">
        <v>3483</v>
      </c>
      <c r="B187" s="29">
        <v>3387.15</v>
      </c>
      <c r="C187" s="30" t="s">
        <v>3561</v>
      </c>
      <c r="D187" s="2">
        <v>4950750282</v>
      </c>
      <c r="E187" s="2" t="s">
        <v>6</v>
      </c>
      <c r="F187" s="2" t="s">
        <v>3562</v>
      </c>
      <c r="G187" s="28" t="s">
        <v>5</v>
      </c>
      <c r="H187" s="2" t="s">
        <v>20</v>
      </c>
      <c r="I187" s="2">
        <v>1</v>
      </c>
      <c r="J187" s="2" t="s">
        <v>3563</v>
      </c>
      <c r="K187" s="2">
        <v>41064</v>
      </c>
      <c r="L187" s="35">
        <v>139089927.59999999</v>
      </c>
      <c r="M187" s="36">
        <v>4640</v>
      </c>
      <c r="N187" s="40">
        <v>384386</v>
      </c>
      <c r="O187" s="40">
        <v>435616</v>
      </c>
      <c r="P187" s="40">
        <v>133825</v>
      </c>
      <c r="Q187" s="40">
        <v>124137</v>
      </c>
      <c r="R187" s="40">
        <v>735369</v>
      </c>
      <c r="S187" s="40">
        <v>354356</v>
      </c>
      <c r="T187" s="40">
        <v>30000</v>
      </c>
      <c r="U187" s="40">
        <v>2400500</v>
      </c>
      <c r="V187" s="40">
        <v>0</v>
      </c>
      <c r="W187" s="45">
        <v>4598189</v>
      </c>
      <c r="X187" s="46">
        <v>3.30591084440251</v>
      </c>
    </row>
    <row r="188" spans="1:24" s="4" customFormat="1" ht="15" customHeight="1">
      <c r="A188" s="28" t="s">
        <v>3483</v>
      </c>
      <c r="B188" s="29">
        <v>3387.15</v>
      </c>
      <c r="C188" s="30" t="s">
        <v>3603</v>
      </c>
      <c r="D188" s="2">
        <v>4948474968</v>
      </c>
      <c r="E188" s="2" t="s">
        <v>6</v>
      </c>
      <c r="F188" s="2" t="s">
        <v>3604</v>
      </c>
      <c r="G188" s="28" t="s">
        <v>5</v>
      </c>
      <c r="H188" s="2" t="s">
        <v>20</v>
      </c>
      <c r="I188" s="2">
        <v>2</v>
      </c>
      <c r="J188" s="2" t="s">
        <v>3605</v>
      </c>
      <c r="K188" s="2">
        <v>284298</v>
      </c>
      <c r="L188" s="35">
        <v>962959970.70000005</v>
      </c>
      <c r="M188" s="36">
        <v>29400</v>
      </c>
      <c r="N188" s="40">
        <v>665358</v>
      </c>
      <c r="O188" s="40">
        <v>699758</v>
      </c>
      <c r="P188" s="40">
        <v>0</v>
      </c>
      <c r="Q188" s="40">
        <v>198619</v>
      </c>
      <c r="R188" s="40">
        <v>1472253</v>
      </c>
      <c r="S188" s="40">
        <v>354356</v>
      </c>
      <c r="T188" s="40">
        <v>30000</v>
      </c>
      <c r="U188" s="40">
        <v>999800</v>
      </c>
      <c r="V188" s="40">
        <v>0</v>
      </c>
      <c r="W188" s="45">
        <v>4420144</v>
      </c>
      <c r="X188" s="46">
        <v>0.45901638017070301</v>
      </c>
    </row>
    <row r="189" spans="1:24" s="4" customFormat="1" ht="15" customHeight="1">
      <c r="A189" s="28" t="s">
        <v>3483</v>
      </c>
      <c r="B189" s="29">
        <v>3387.15</v>
      </c>
      <c r="C189" s="30" t="s">
        <v>3610</v>
      </c>
      <c r="D189" s="2">
        <v>4947226238</v>
      </c>
      <c r="E189" s="2" t="s">
        <v>6</v>
      </c>
      <c r="F189" s="2" t="s">
        <v>3611</v>
      </c>
      <c r="G189" s="28" t="s">
        <v>5</v>
      </c>
      <c r="H189" s="2" t="s">
        <v>20</v>
      </c>
      <c r="I189" s="2">
        <v>1</v>
      </c>
      <c r="J189" s="2" t="s">
        <v>3612</v>
      </c>
      <c r="K189" s="2">
        <v>11130</v>
      </c>
      <c r="L189" s="35">
        <v>37698979.5</v>
      </c>
      <c r="M189" s="36">
        <v>3000</v>
      </c>
      <c r="N189" s="40">
        <v>324667</v>
      </c>
      <c r="O189" s="40">
        <v>435616</v>
      </c>
      <c r="P189" s="40">
        <v>0</v>
      </c>
      <c r="Q189" s="40">
        <v>124137</v>
      </c>
      <c r="R189" s="40">
        <v>801712</v>
      </c>
      <c r="S189" s="40">
        <v>354356</v>
      </c>
      <c r="T189" s="40">
        <v>30000</v>
      </c>
      <c r="U189" s="40">
        <v>2619000</v>
      </c>
      <c r="V189" s="40">
        <v>0</v>
      </c>
      <c r="W189" s="45">
        <v>4689488</v>
      </c>
      <c r="X189" s="46">
        <v>12.4392969311013</v>
      </c>
    </row>
    <row r="190" spans="1:24" s="4" customFormat="1" ht="15" customHeight="1">
      <c r="A190" s="28" t="s">
        <v>3483</v>
      </c>
      <c r="B190" s="29">
        <v>3387.15</v>
      </c>
      <c r="C190" s="30" t="s">
        <v>3613</v>
      </c>
      <c r="D190" s="2">
        <v>4947229910</v>
      </c>
      <c r="E190" s="2" t="s">
        <v>6</v>
      </c>
      <c r="F190" s="2" t="s">
        <v>3614</v>
      </c>
      <c r="G190" s="28" t="s">
        <v>9</v>
      </c>
      <c r="H190" s="2" t="s">
        <v>23</v>
      </c>
      <c r="I190" s="2">
        <v>1</v>
      </c>
      <c r="J190" s="2"/>
      <c r="K190" s="2">
        <v>12801.6</v>
      </c>
      <c r="L190" s="35">
        <v>43360939.439999998</v>
      </c>
      <c r="M190" s="36">
        <v>720</v>
      </c>
      <c r="N190" s="40">
        <v>741115</v>
      </c>
      <c r="O190" s="40">
        <v>574</v>
      </c>
      <c r="P190" s="40">
        <v>0</v>
      </c>
      <c r="Q190" s="40">
        <v>18209</v>
      </c>
      <c r="R190" s="40">
        <v>108455</v>
      </c>
      <c r="S190" s="40">
        <v>354356</v>
      </c>
      <c r="T190" s="40">
        <v>30000</v>
      </c>
      <c r="U190" s="40">
        <v>1367700</v>
      </c>
      <c r="V190" s="40">
        <v>0</v>
      </c>
      <c r="W190" s="45">
        <v>2620409</v>
      </c>
      <c r="X190" s="46">
        <v>6.0432477567187997</v>
      </c>
    </row>
    <row r="191" spans="1:24" s="4" customFormat="1" ht="15" customHeight="1">
      <c r="A191" s="28" t="s">
        <v>3483</v>
      </c>
      <c r="B191" s="29">
        <v>3387.15</v>
      </c>
      <c r="C191" s="30" t="s">
        <v>3615</v>
      </c>
      <c r="D191" s="2">
        <v>4946611858</v>
      </c>
      <c r="E191" s="2" t="s">
        <v>6</v>
      </c>
      <c r="F191" s="2" t="s">
        <v>3616</v>
      </c>
      <c r="G191" s="28" t="s">
        <v>9</v>
      </c>
      <c r="H191" s="2" t="s">
        <v>23</v>
      </c>
      <c r="I191" s="2">
        <v>4</v>
      </c>
      <c r="J191" s="2"/>
      <c r="K191" s="2">
        <v>16646.400000000001</v>
      </c>
      <c r="L191" s="35">
        <v>56383853.759999998</v>
      </c>
      <c r="M191" s="36">
        <v>1920</v>
      </c>
      <c r="N191" s="40">
        <v>695329</v>
      </c>
      <c r="O191" s="40">
        <v>1435</v>
      </c>
      <c r="P191" s="40">
        <v>892516</v>
      </c>
      <c r="Q191" s="40">
        <v>35975</v>
      </c>
      <c r="R191" s="40">
        <v>127544</v>
      </c>
      <c r="S191" s="40">
        <v>354356</v>
      </c>
      <c r="T191" s="40">
        <v>30000</v>
      </c>
      <c r="U191" s="40">
        <v>1367700</v>
      </c>
      <c r="V191" s="40">
        <v>0</v>
      </c>
      <c r="W191" s="45">
        <v>3504855</v>
      </c>
      <c r="X191" s="46">
        <v>6.2160614542570096</v>
      </c>
    </row>
    <row r="192" spans="1:24" s="4" customFormat="1" ht="15" customHeight="1">
      <c r="A192" s="28" t="s">
        <v>3483</v>
      </c>
      <c r="B192" s="29">
        <v>3387.15</v>
      </c>
      <c r="C192" s="30" t="s">
        <v>3617</v>
      </c>
      <c r="D192" s="2">
        <v>4949386334</v>
      </c>
      <c r="E192" s="2" t="s">
        <v>6</v>
      </c>
      <c r="F192" s="2" t="s">
        <v>3618</v>
      </c>
      <c r="G192" s="28" t="s">
        <v>9</v>
      </c>
      <c r="H192" s="2" t="s">
        <v>23</v>
      </c>
      <c r="I192" s="2">
        <v>1</v>
      </c>
      <c r="J192" s="2"/>
      <c r="K192" s="2">
        <v>5594.4</v>
      </c>
      <c r="L192" s="35">
        <v>18949071.960000001</v>
      </c>
      <c r="M192" s="36">
        <v>720</v>
      </c>
      <c r="N192" s="40">
        <v>755929</v>
      </c>
      <c r="O192" s="40">
        <v>593</v>
      </c>
      <c r="P192" s="40">
        <v>0</v>
      </c>
      <c r="Q192" s="40">
        <v>17490</v>
      </c>
      <c r="R192" s="40">
        <v>107812</v>
      </c>
      <c r="S192" s="40">
        <v>354356</v>
      </c>
      <c r="T192" s="40">
        <v>30000</v>
      </c>
      <c r="U192" s="40">
        <v>683850</v>
      </c>
      <c r="V192" s="40">
        <v>0</v>
      </c>
      <c r="W192" s="45">
        <v>1950030</v>
      </c>
      <c r="X192" s="46">
        <v>10.2908997554939</v>
      </c>
    </row>
    <row r="193" spans="1:24" s="4" customFormat="1" ht="15" customHeight="1">
      <c r="A193" s="28" t="s">
        <v>3483</v>
      </c>
      <c r="B193" s="29">
        <v>3387.15</v>
      </c>
      <c r="C193" s="30" t="s">
        <v>3636</v>
      </c>
      <c r="D193" s="2">
        <v>4949745371</v>
      </c>
      <c r="E193" s="2" t="s">
        <v>6</v>
      </c>
      <c r="F193" s="2" t="s">
        <v>3637</v>
      </c>
      <c r="G193" s="28" t="s">
        <v>5</v>
      </c>
      <c r="H193" s="2" t="s">
        <v>17</v>
      </c>
      <c r="I193" s="2">
        <v>1</v>
      </c>
      <c r="J193" s="2" t="s">
        <v>3638</v>
      </c>
      <c r="K193" s="2">
        <v>151992</v>
      </c>
      <c r="L193" s="35">
        <v>514819702.80000001</v>
      </c>
      <c r="M193" s="36">
        <v>7200</v>
      </c>
      <c r="N193" s="40">
        <v>216575.42857142899</v>
      </c>
      <c r="O193" s="40">
        <v>286017.5</v>
      </c>
      <c r="P193" s="40">
        <v>216444.57142857101</v>
      </c>
      <c r="Q193" s="40">
        <v>62068.5</v>
      </c>
      <c r="R193" s="40">
        <v>492215.71428571403</v>
      </c>
      <c r="S193" s="40">
        <v>202489.14285714299</v>
      </c>
      <c r="T193" s="40">
        <v>30000</v>
      </c>
      <c r="U193" s="40">
        <v>3112314.2857142901</v>
      </c>
      <c r="V193" s="40">
        <v>762857.14285714296</v>
      </c>
      <c r="W193" s="45">
        <v>5380982.2857142901</v>
      </c>
      <c r="X193" s="46">
        <v>1.04521685095738</v>
      </c>
    </row>
    <row r="194" spans="1:24" s="4" customFormat="1" ht="15" customHeight="1">
      <c r="A194" s="28" t="s">
        <v>3483</v>
      </c>
      <c r="B194" s="29">
        <v>3387.15</v>
      </c>
      <c r="C194" s="30" t="s">
        <v>3636</v>
      </c>
      <c r="D194" s="2">
        <v>4948095914</v>
      </c>
      <c r="E194" s="2" t="s">
        <v>6</v>
      </c>
      <c r="F194" s="2" t="s">
        <v>3637</v>
      </c>
      <c r="G194" s="28" t="s">
        <v>5</v>
      </c>
      <c r="H194" s="2" t="s">
        <v>17</v>
      </c>
      <c r="I194" s="2">
        <v>1</v>
      </c>
      <c r="J194" s="2" t="s">
        <v>3638</v>
      </c>
      <c r="K194" s="2">
        <v>62802</v>
      </c>
      <c r="L194" s="35">
        <v>212719794.30000001</v>
      </c>
      <c r="M194" s="36">
        <v>5400</v>
      </c>
      <c r="N194" s="40">
        <v>162431.57142857101</v>
      </c>
      <c r="O194" s="40">
        <v>286017.5</v>
      </c>
      <c r="P194" s="40">
        <v>162333.42857142899</v>
      </c>
      <c r="Q194" s="40">
        <v>62068.5</v>
      </c>
      <c r="R194" s="40">
        <v>369161.28571428597</v>
      </c>
      <c r="S194" s="40">
        <v>151866.85714285701</v>
      </c>
      <c r="T194" s="40">
        <v>30000</v>
      </c>
      <c r="U194" s="40">
        <v>2334235.7142857099</v>
      </c>
      <c r="V194" s="40">
        <v>572142.85714285704</v>
      </c>
      <c r="W194" s="45">
        <v>4130257.7142857099</v>
      </c>
      <c r="X194" s="46">
        <v>1.94164239763263</v>
      </c>
    </row>
    <row r="195" spans="1:24" s="4" customFormat="1" ht="15" customHeight="1">
      <c r="A195" s="28" t="s">
        <v>3483</v>
      </c>
      <c r="B195" s="29">
        <v>3387.15</v>
      </c>
      <c r="C195" s="30" t="s">
        <v>3639</v>
      </c>
      <c r="D195" s="2">
        <v>4951104760</v>
      </c>
      <c r="E195" s="2" t="s">
        <v>6</v>
      </c>
      <c r="F195" s="2" t="s">
        <v>3640</v>
      </c>
      <c r="G195" s="28" t="s">
        <v>5</v>
      </c>
      <c r="H195" s="2" t="s">
        <v>20</v>
      </c>
      <c r="I195" s="2">
        <v>1</v>
      </c>
      <c r="J195" s="2" t="s">
        <v>3641</v>
      </c>
      <c r="K195" s="2">
        <v>16300</v>
      </c>
      <c r="L195" s="35">
        <v>55210545</v>
      </c>
      <c r="M195" s="36">
        <v>5000</v>
      </c>
      <c r="N195" s="40">
        <v>379149</v>
      </c>
      <c r="O195" s="40">
        <v>435616</v>
      </c>
      <c r="P195" s="40">
        <v>0</v>
      </c>
      <c r="Q195" s="40">
        <v>124137</v>
      </c>
      <c r="R195" s="40">
        <v>732843</v>
      </c>
      <c r="S195" s="40">
        <v>354356</v>
      </c>
      <c r="T195" s="40">
        <v>30000</v>
      </c>
      <c r="U195" s="40">
        <v>499900</v>
      </c>
      <c r="V195" s="40">
        <v>0</v>
      </c>
      <c r="W195" s="45">
        <v>2556001</v>
      </c>
      <c r="X195" s="46">
        <v>4.6295521987692698</v>
      </c>
    </row>
    <row r="196" spans="1:24" s="4" customFormat="1" ht="15" customHeight="1">
      <c r="A196" s="28" t="s">
        <v>3483</v>
      </c>
      <c r="B196" s="29">
        <v>3387.15</v>
      </c>
      <c r="C196" s="30" t="s">
        <v>3645</v>
      </c>
      <c r="D196" s="2">
        <v>4948415202</v>
      </c>
      <c r="E196" s="2" t="s">
        <v>6</v>
      </c>
      <c r="F196" s="2" t="s">
        <v>3646</v>
      </c>
      <c r="G196" s="28" t="s">
        <v>5</v>
      </c>
      <c r="H196" s="2" t="s">
        <v>17</v>
      </c>
      <c r="I196" s="2">
        <v>1</v>
      </c>
      <c r="J196" s="2" t="s">
        <v>3647</v>
      </c>
      <c r="K196" s="2">
        <v>79380</v>
      </c>
      <c r="L196" s="35">
        <v>268871967</v>
      </c>
      <c r="M196" s="36">
        <v>11340</v>
      </c>
      <c r="N196" s="40">
        <v>357225.98507462698</v>
      </c>
      <c r="O196" s="40">
        <v>286017.5</v>
      </c>
      <c r="P196" s="40">
        <v>539295.04477611894</v>
      </c>
      <c r="Q196" s="40">
        <v>62068.5</v>
      </c>
      <c r="R196" s="40">
        <v>815377.32835820899</v>
      </c>
      <c r="S196" s="40">
        <v>333200.41791044798</v>
      </c>
      <c r="T196" s="40">
        <v>30000</v>
      </c>
      <c r="U196" s="40">
        <v>529000</v>
      </c>
      <c r="V196" s="40">
        <v>0</v>
      </c>
      <c r="W196" s="45">
        <v>2952184.7761193998</v>
      </c>
      <c r="X196" s="46">
        <v>1.09798905741609</v>
      </c>
    </row>
    <row r="197" spans="1:24" s="4" customFormat="1" ht="15" customHeight="1">
      <c r="A197" s="28" t="s">
        <v>3483</v>
      </c>
      <c r="B197" s="29">
        <v>3387.15</v>
      </c>
      <c r="C197" s="30" t="s">
        <v>3645</v>
      </c>
      <c r="D197" s="2">
        <v>4949476592</v>
      </c>
      <c r="E197" s="2" t="s">
        <v>6</v>
      </c>
      <c r="F197" s="2" t="s">
        <v>3646</v>
      </c>
      <c r="G197" s="28" t="s">
        <v>5</v>
      </c>
      <c r="H197" s="2" t="s">
        <v>17</v>
      </c>
      <c r="I197" s="2">
        <v>1</v>
      </c>
      <c r="J197" s="2" t="s">
        <v>3647</v>
      </c>
      <c r="K197" s="2">
        <v>35193.599999999999</v>
      </c>
      <c r="L197" s="35">
        <v>119206002.23999999</v>
      </c>
      <c r="M197" s="36">
        <v>720</v>
      </c>
      <c r="N197" s="40">
        <v>22681.0149253731</v>
      </c>
      <c r="O197" s="40">
        <v>286017.5</v>
      </c>
      <c r="P197" s="40">
        <v>34240.955223880599</v>
      </c>
      <c r="Q197" s="40">
        <v>62068.5</v>
      </c>
      <c r="R197" s="40">
        <v>51769.671641790999</v>
      </c>
      <c r="S197" s="40">
        <v>21155.582089552201</v>
      </c>
      <c r="T197" s="40">
        <v>30000</v>
      </c>
      <c r="U197" s="40">
        <v>1367700</v>
      </c>
      <c r="V197" s="40">
        <v>0</v>
      </c>
      <c r="W197" s="45">
        <v>1875633.2238806</v>
      </c>
      <c r="X197" s="46">
        <v>1.5734385757726701</v>
      </c>
    </row>
    <row r="198" spans="1:24" s="4" customFormat="1" ht="15" customHeight="1">
      <c r="A198" s="28" t="s">
        <v>3483</v>
      </c>
      <c r="B198" s="29">
        <v>3387.15</v>
      </c>
      <c r="C198" s="30" t="s">
        <v>3648</v>
      </c>
      <c r="D198" s="2">
        <v>4948123391</v>
      </c>
      <c r="E198" s="2" t="s">
        <v>6</v>
      </c>
      <c r="F198" s="2" t="s">
        <v>3649</v>
      </c>
      <c r="G198" s="28" t="s">
        <v>9</v>
      </c>
      <c r="H198" s="2" t="s">
        <v>23</v>
      </c>
      <c r="I198" s="2">
        <v>4</v>
      </c>
      <c r="J198" s="2"/>
      <c r="K198" s="2">
        <v>31944</v>
      </c>
      <c r="L198" s="35">
        <v>108199119.59999999</v>
      </c>
      <c r="M198" s="36">
        <v>2400</v>
      </c>
      <c r="N198" s="40">
        <v>869112</v>
      </c>
      <c r="O198" s="40">
        <v>1856</v>
      </c>
      <c r="P198" s="40">
        <v>72231</v>
      </c>
      <c r="Q198" s="40">
        <v>58376</v>
      </c>
      <c r="R198" s="40">
        <v>150871</v>
      </c>
      <c r="S198" s="40">
        <v>354356</v>
      </c>
      <c r="T198" s="40">
        <v>30000</v>
      </c>
      <c r="U198" s="40">
        <v>1367700</v>
      </c>
      <c r="V198" s="40">
        <v>0</v>
      </c>
      <c r="W198" s="45">
        <v>2904502</v>
      </c>
      <c r="X198" s="46">
        <v>2.6844044671875502</v>
      </c>
    </row>
    <row r="199" spans="1:24" s="4" customFormat="1" ht="15" customHeight="1">
      <c r="A199" s="28" t="s">
        <v>3483</v>
      </c>
      <c r="B199" s="29">
        <v>3387.15</v>
      </c>
      <c r="C199" s="30" t="s">
        <v>3717</v>
      </c>
      <c r="D199" s="2">
        <v>4949505226</v>
      </c>
      <c r="E199" s="2" t="s">
        <v>6</v>
      </c>
      <c r="F199" s="2" t="s">
        <v>3718</v>
      </c>
      <c r="G199" s="28" t="s">
        <v>5</v>
      </c>
      <c r="H199" s="2" t="s">
        <v>17</v>
      </c>
      <c r="I199" s="2">
        <v>1</v>
      </c>
      <c r="J199" s="2" t="s">
        <v>3719</v>
      </c>
      <c r="K199" s="2">
        <v>10535</v>
      </c>
      <c r="L199" s="35">
        <v>35683625.25</v>
      </c>
      <c r="M199" s="36">
        <v>6125</v>
      </c>
      <c r="N199" s="40">
        <v>462480.86534011998</v>
      </c>
      <c r="O199" s="40">
        <v>286017.5</v>
      </c>
      <c r="P199" s="40">
        <v>0</v>
      </c>
      <c r="Q199" s="40">
        <v>62067</v>
      </c>
      <c r="R199" s="40">
        <v>437217.29523368803</v>
      </c>
      <c r="S199" s="40">
        <v>200872.790374826</v>
      </c>
      <c r="T199" s="40">
        <v>30000</v>
      </c>
      <c r="U199" s="40">
        <v>2730060.7357704798</v>
      </c>
      <c r="V199" s="40">
        <v>0</v>
      </c>
      <c r="W199" s="45">
        <v>4208716.1867191102</v>
      </c>
      <c r="X199" s="46">
        <v>11.7945308449822</v>
      </c>
    </row>
    <row r="200" spans="1:24" s="4" customFormat="1" ht="15" customHeight="1">
      <c r="A200" s="28" t="s">
        <v>3483</v>
      </c>
      <c r="B200" s="29">
        <v>3387.15</v>
      </c>
      <c r="C200" s="30" t="s">
        <v>3717</v>
      </c>
      <c r="D200" s="2">
        <v>4950442192</v>
      </c>
      <c r="E200" s="2" t="s">
        <v>6</v>
      </c>
      <c r="F200" s="2" t="s">
        <v>3718</v>
      </c>
      <c r="G200" s="28" t="s">
        <v>5</v>
      </c>
      <c r="H200" s="2" t="s">
        <v>17</v>
      </c>
      <c r="I200" s="2">
        <v>1</v>
      </c>
      <c r="J200" s="2" t="s">
        <v>3719</v>
      </c>
      <c r="K200" s="2">
        <v>38984.400000000001</v>
      </c>
      <c r="L200" s="35">
        <v>132046010.45999999</v>
      </c>
      <c r="M200" s="36">
        <v>4680</v>
      </c>
      <c r="N200" s="40">
        <v>353373.13465988002</v>
      </c>
      <c r="O200" s="40">
        <v>286017.5</v>
      </c>
      <c r="P200" s="40">
        <v>0</v>
      </c>
      <c r="Q200" s="40">
        <v>62067</v>
      </c>
      <c r="R200" s="40">
        <v>334069.70476631197</v>
      </c>
      <c r="S200" s="40">
        <v>153483.209625174</v>
      </c>
      <c r="T200" s="40">
        <v>30000</v>
      </c>
      <c r="U200" s="40">
        <v>2085989.26422952</v>
      </c>
      <c r="V200" s="40">
        <v>0</v>
      </c>
      <c r="W200" s="45">
        <v>3304999.8132808902</v>
      </c>
      <c r="X200" s="46">
        <v>2.5029153109340299</v>
      </c>
    </row>
    <row r="201" spans="1:24" s="4" customFormat="1" ht="15" customHeight="1">
      <c r="A201" s="28" t="s">
        <v>3483</v>
      </c>
      <c r="B201" s="29">
        <v>3387.15</v>
      </c>
      <c r="C201" s="30" t="s">
        <v>3723</v>
      </c>
      <c r="D201" s="2">
        <v>4948303921</v>
      </c>
      <c r="E201" s="2" t="s">
        <v>6</v>
      </c>
      <c r="F201" s="2" t="s">
        <v>3724</v>
      </c>
      <c r="G201" s="28" t="s">
        <v>5</v>
      </c>
      <c r="H201" s="2" t="s">
        <v>20</v>
      </c>
      <c r="I201" s="2">
        <v>1</v>
      </c>
      <c r="J201" s="2" t="s">
        <v>3725</v>
      </c>
      <c r="K201" s="2">
        <v>58464</v>
      </c>
      <c r="L201" s="35">
        <v>198026337.59999999</v>
      </c>
      <c r="M201" s="36">
        <v>5760</v>
      </c>
      <c r="N201" s="40">
        <v>407927</v>
      </c>
      <c r="O201" s="40">
        <v>435616</v>
      </c>
      <c r="P201" s="40">
        <v>0</v>
      </c>
      <c r="Q201" s="40">
        <v>124137</v>
      </c>
      <c r="R201" s="40">
        <v>659298</v>
      </c>
      <c r="S201" s="40">
        <v>354356</v>
      </c>
      <c r="T201" s="40">
        <v>30000</v>
      </c>
      <c r="U201" s="40">
        <v>2900300</v>
      </c>
      <c r="V201" s="40">
        <v>0</v>
      </c>
      <c r="W201" s="45">
        <v>4911634</v>
      </c>
      <c r="X201" s="46">
        <v>2.480293308217</v>
      </c>
    </row>
    <row r="202" spans="1:24" s="4" customFormat="1" ht="15" customHeight="1">
      <c r="A202" s="28" t="s">
        <v>3483</v>
      </c>
      <c r="B202" s="29">
        <v>3387.15</v>
      </c>
      <c r="C202" s="30" t="s">
        <v>3726</v>
      </c>
      <c r="D202" s="2">
        <v>4949078457</v>
      </c>
      <c r="E202" s="2" t="s">
        <v>6</v>
      </c>
      <c r="F202" s="2" t="s">
        <v>3727</v>
      </c>
      <c r="G202" s="28" t="s">
        <v>5</v>
      </c>
      <c r="H202" s="2" t="s">
        <v>20</v>
      </c>
      <c r="I202" s="2">
        <v>1</v>
      </c>
      <c r="J202" s="2" t="s">
        <v>3728</v>
      </c>
      <c r="K202" s="2">
        <v>34560</v>
      </c>
      <c r="L202" s="35">
        <v>117059904</v>
      </c>
      <c r="M202" s="36">
        <v>5400</v>
      </c>
      <c r="N202" s="40">
        <v>570294</v>
      </c>
      <c r="O202" s="40">
        <v>435616</v>
      </c>
      <c r="P202" s="40">
        <v>0</v>
      </c>
      <c r="Q202" s="40">
        <v>124137</v>
      </c>
      <c r="R202" s="40">
        <v>758494</v>
      </c>
      <c r="S202" s="40">
        <v>354356</v>
      </c>
      <c r="T202" s="40">
        <v>30000</v>
      </c>
      <c r="U202" s="40">
        <v>2900300</v>
      </c>
      <c r="V202" s="40">
        <v>0</v>
      </c>
      <c r="W202" s="45">
        <v>5173197</v>
      </c>
      <c r="X202" s="46">
        <v>4.4192732295423696</v>
      </c>
    </row>
    <row r="203" spans="1:24" s="4" customFormat="1" ht="15" customHeight="1">
      <c r="A203" s="28" t="s">
        <v>3483</v>
      </c>
      <c r="B203" s="29">
        <v>3387.15</v>
      </c>
      <c r="C203" s="30" t="s">
        <v>3732</v>
      </c>
      <c r="D203" s="2">
        <v>4950750282</v>
      </c>
      <c r="E203" s="2" t="s">
        <v>6</v>
      </c>
      <c r="F203" s="2" t="s">
        <v>3733</v>
      </c>
      <c r="G203" s="28" t="s">
        <v>5</v>
      </c>
      <c r="H203" s="2" t="s">
        <v>17</v>
      </c>
      <c r="I203" s="2">
        <v>1</v>
      </c>
      <c r="J203" s="2" t="s">
        <v>3734</v>
      </c>
      <c r="K203" s="2">
        <v>135936</v>
      </c>
      <c r="L203" s="35">
        <v>460435622.39999998</v>
      </c>
      <c r="M203" s="36">
        <v>15360</v>
      </c>
      <c r="N203" s="40">
        <v>379007</v>
      </c>
      <c r="O203" s="40">
        <v>572035</v>
      </c>
      <c r="P203" s="40">
        <v>378778</v>
      </c>
      <c r="Q203" s="40">
        <v>124137</v>
      </c>
      <c r="R203" s="40">
        <v>858377</v>
      </c>
      <c r="S203" s="40">
        <v>354356</v>
      </c>
      <c r="T203" s="40">
        <v>30000</v>
      </c>
      <c r="U203" s="40">
        <v>5640550</v>
      </c>
      <c r="V203" s="40">
        <v>0</v>
      </c>
      <c r="W203" s="45">
        <v>8337240</v>
      </c>
      <c r="X203" s="46">
        <v>1.8107287087264301</v>
      </c>
    </row>
    <row r="204" spans="1:24" s="4" customFormat="1" ht="15" customHeight="1">
      <c r="A204" s="28" t="s">
        <v>3483</v>
      </c>
      <c r="B204" s="29">
        <v>3387.15</v>
      </c>
      <c r="C204" s="30" t="s">
        <v>3748</v>
      </c>
      <c r="D204" s="2">
        <v>4950958066</v>
      </c>
      <c r="E204" s="2" t="s">
        <v>6</v>
      </c>
      <c r="F204" s="2" t="s">
        <v>3749</v>
      </c>
      <c r="G204" s="28" t="s">
        <v>5</v>
      </c>
      <c r="H204" s="2" t="s">
        <v>17</v>
      </c>
      <c r="I204" s="2">
        <v>1</v>
      </c>
      <c r="J204" s="2" t="s">
        <v>3750</v>
      </c>
      <c r="K204" s="2">
        <v>23918.400000000001</v>
      </c>
      <c r="L204" s="35">
        <v>81015208.560000002</v>
      </c>
      <c r="M204" s="36">
        <v>7920</v>
      </c>
      <c r="N204" s="40">
        <v>339581</v>
      </c>
      <c r="O204" s="40">
        <v>458999</v>
      </c>
      <c r="P204" s="40">
        <v>0</v>
      </c>
      <c r="Q204" s="40">
        <v>110000</v>
      </c>
      <c r="R204" s="40">
        <v>963931</v>
      </c>
      <c r="S204" s="40">
        <v>354356</v>
      </c>
      <c r="T204" s="40">
        <v>30000</v>
      </c>
      <c r="U204" s="40">
        <v>4719050</v>
      </c>
      <c r="V204" s="40">
        <v>0</v>
      </c>
      <c r="W204" s="45">
        <v>6975917</v>
      </c>
      <c r="X204" s="46">
        <v>8.6106264786489106</v>
      </c>
    </row>
    <row r="205" spans="1:24" s="4" customFormat="1" ht="15" customHeight="1">
      <c r="A205" s="28" t="s">
        <v>3483</v>
      </c>
      <c r="B205" s="29">
        <v>3387.15</v>
      </c>
      <c r="C205" s="30" t="s">
        <v>3817</v>
      </c>
      <c r="D205" s="2">
        <v>4947229915</v>
      </c>
      <c r="E205" s="2" t="s">
        <v>6</v>
      </c>
      <c r="F205" s="2" t="s">
        <v>3818</v>
      </c>
      <c r="G205" s="28" t="s">
        <v>9</v>
      </c>
      <c r="H205" s="2" t="s">
        <v>23</v>
      </c>
      <c r="I205" s="2">
        <v>5</v>
      </c>
      <c r="J205" s="2"/>
      <c r="K205" s="2">
        <v>7525</v>
      </c>
      <c r="L205" s="35">
        <v>25488303.75</v>
      </c>
      <c r="M205" s="36">
        <v>4375</v>
      </c>
      <c r="N205" s="40">
        <v>696336</v>
      </c>
      <c r="O205" s="40">
        <v>3088</v>
      </c>
      <c r="P205" s="40">
        <v>47252</v>
      </c>
      <c r="Q205" s="40">
        <v>71225</v>
      </c>
      <c r="R205" s="40">
        <v>164218</v>
      </c>
      <c r="S205" s="40">
        <v>354356</v>
      </c>
      <c r="T205" s="40">
        <v>30000</v>
      </c>
      <c r="U205" s="40">
        <v>2085500</v>
      </c>
      <c r="V205" s="40">
        <v>0</v>
      </c>
      <c r="W205" s="45">
        <v>3451975</v>
      </c>
      <c r="X205" s="46">
        <v>13.543368887386199</v>
      </c>
    </row>
    <row r="206" spans="1:24" s="4" customFormat="1" ht="15" customHeight="1">
      <c r="A206" s="28" t="s">
        <v>3483</v>
      </c>
      <c r="B206" s="29">
        <v>3387.15</v>
      </c>
      <c r="C206" s="30" t="s">
        <v>3841</v>
      </c>
      <c r="D206" s="2" t="s">
        <v>3842</v>
      </c>
      <c r="E206" s="2" t="s">
        <v>6</v>
      </c>
      <c r="F206" s="2" t="s">
        <v>3843</v>
      </c>
      <c r="G206" s="28" t="s">
        <v>5</v>
      </c>
      <c r="H206" s="2" t="s">
        <v>17</v>
      </c>
      <c r="I206" s="2">
        <v>1</v>
      </c>
      <c r="J206" s="2" t="s">
        <v>3844</v>
      </c>
      <c r="K206" s="2">
        <v>33453</v>
      </c>
      <c r="L206" s="35">
        <v>113310328.95</v>
      </c>
      <c r="M206" s="36">
        <v>8100</v>
      </c>
      <c r="N206" s="40">
        <v>448442</v>
      </c>
      <c r="O206" s="40">
        <v>394597</v>
      </c>
      <c r="P206" s="40">
        <v>460792</v>
      </c>
      <c r="Q206" s="40">
        <v>120095</v>
      </c>
      <c r="R206" s="40">
        <v>1254831</v>
      </c>
      <c r="S206" s="40">
        <v>354356</v>
      </c>
      <c r="T206" s="40">
        <v>30000</v>
      </c>
      <c r="U206" s="40">
        <v>3734500</v>
      </c>
      <c r="V206" s="40">
        <v>0</v>
      </c>
      <c r="W206" s="45">
        <v>6797613</v>
      </c>
      <c r="X206" s="46">
        <v>5.9991115223039904</v>
      </c>
    </row>
    <row r="207" spans="1:24" s="4" customFormat="1" ht="15" customHeight="1">
      <c r="A207" s="28" t="s">
        <v>3483</v>
      </c>
      <c r="B207" s="29">
        <v>3387.15</v>
      </c>
      <c r="C207" s="30" t="s">
        <v>3845</v>
      </c>
      <c r="D207" s="2">
        <v>4948268548</v>
      </c>
      <c r="E207" s="2" t="s">
        <v>6</v>
      </c>
      <c r="F207" s="2" t="s">
        <v>3846</v>
      </c>
      <c r="G207" s="28" t="s">
        <v>5</v>
      </c>
      <c r="H207" s="2" t="s">
        <v>17</v>
      </c>
      <c r="I207" s="2">
        <v>2</v>
      </c>
      <c r="J207" s="2" t="s">
        <v>3847</v>
      </c>
      <c r="K207" s="2">
        <v>107956.8</v>
      </c>
      <c r="L207" s="35">
        <v>365665875.12</v>
      </c>
      <c r="M207" s="36">
        <v>12960</v>
      </c>
      <c r="N207" s="40">
        <v>1161555</v>
      </c>
      <c r="O207" s="40">
        <v>917999</v>
      </c>
      <c r="P207" s="40">
        <v>1211875</v>
      </c>
      <c r="Q207" s="40">
        <v>198619</v>
      </c>
      <c r="R207" s="40">
        <v>1788467</v>
      </c>
      <c r="S207" s="40">
        <v>354356</v>
      </c>
      <c r="T207" s="40">
        <v>30000</v>
      </c>
      <c r="U207" s="40">
        <v>9438100</v>
      </c>
      <c r="V207" s="40">
        <v>0</v>
      </c>
      <c r="W207" s="45">
        <v>15100971</v>
      </c>
      <c r="X207" s="46">
        <v>4.1297184198674097</v>
      </c>
    </row>
    <row r="208" spans="1:24" s="4" customFormat="1" ht="15" customHeight="1">
      <c r="A208" s="28" t="s">
        <v>3483</v>
      </c>
      <c r="B208" s="29">
        <v>3387.15</v>
      </c>
      <c r="C208" s="30" t="s">
        <v>3848</v>
      </c>
      <c r="D208" s="2">
        <v>4947010966</v>
      </c>
      <c r="E208" s="2" t="s">
        <v>6</v>
      </c>
      <c r="F208" s="2" t="s">
        <v>3849</v>
      </c>
      <c r="G208" s="28" t="s">
        <v>9</v>
      </c>
      <c r="H208" s="2" t="s">
        <v>23</v>
      </c>
      <c r="I208" s="2">
        <v>1</v>
      </c>
      <c r="J208" s="2"/>
      <c r="K208" s="2">
        <v>4483.2</v>
      </c>
      <c r="L208" s="35">
        <v>15185270.880000001</v>
      </c>
      <c r="M208" s="36">
        <v>480</v>
      </c>
      <c r="N208" s="40">
        <v>701219</v>
      </c>
      <c r="O208" s="40">
        <v>414</v>
      </c>
      <c r="P208" s="40">
        <v>0</v>
      </c>
      <c r="Q208" s="40">
        <v>12141</v>
      </c>
      <c r="R208" s="40">
        <v>97227.19</v>
      </c>
      <c r="S208" s="40">
        <v>354356</v>
      </c>
      <c r="T208" s="40">
        <v>30000</v>
      </c>
      <c r="U208" s="40">
        <v>1367700</v>
      </c>
      <c r="V208" s="40">
        <v>0</v>
      </c>
      <c r="W208" s="45">
        <v>2563057.19</v>
      </c>
      <c r="X208" s="46">
        <v>16.878574048854901</v>
      </c>
    </row>
    <row r="210" spans="1:24" ht="15" customHeight="1">
      <c r="A210" s="31" t="s">
        <v>3483</v>
      </c>
      <c r="B210" s="31"/>
      <c r="C210" s="31"/>
      <c r="D210" s="31"/>
      <c r="E210" s="31"/>
      <c r="F210" s="32">
        <v>21</v>
      </c>
      <c r="G210" s="31"/>
      <c r="H210" s="31"/>
      <c r="I210" s="38"/>
      <c r="J210" s="31"/>
      <c r="K210" s="39">
        <f>+SUM(K185:K208)</f>
        <v>1411469.92</v>
      </c>
      <c r="L210" s="39">
        <f>+SUM(L185:L208)</f>
        <v>4780860339.5279999</v>
      </c>
      <c r="M210" s="31"/>
      <c r="N210" s="39"/>
      <c r="O210" s="39"/>
      <c r="P210" s="39"/>
      <c r="Q210" s="39"/>
      <c r="R210" s="39"/>
      <c r="S210" s="39"/>
      <c r="T210" s="39"/>
      <c r="U210" s="39"/>
      <c r="V210" s="31"/>
      <c r="W210" s="39">
        <f>+SUM(W185:W208)</f>
        <v>110472629.19</v>
      </c>
      <c r="X210" s="47">
        <f>(W210/L210)*100</f>
        <v>2.3107269684624723</v>
      </c>
    </row>
    <row r="212" spans="1:24" s="4" customFormat="1" ht="15" customHeight="1">
      <c r="A212" s="79" t="s">
        <v>3955</v>
      </c>
      <c r="B212" s="80">
        <v>3394.61</v>
      </c>
      <c r="C212" s="81" t="s">
        <v>3986</v>
      </c>
      <c r="D212" s="82">
        <v>4946611858</v>
      </c>
      <c r="E212" s="82" t="s">
        <v>6</v>
      </c>
      <c r="F212" s="82" t="s">
        <v>3987</v>
      </c>
      <c r="G212" s="79" t="s">
        <v>9</v>
      </c>
      <c r="H212" s="2" t="s">
        <v>23</v>
      </c>
      <c r="I212" s="2">
        <v>4</v>
      </c>
      <c r="J212" s="2"/>
      <c r="K212" s="2">
        <v>15052.8</v>
      </c>
      <c r="L212" s="35">
        <v>51098385.408</v>
      </c>
      <c r="M212" s="36">
        <v>1920</v>
      </c>
      <c r="N212" s="40">
        <v>737703</v>
      </c>
      <c r="O212" s="40">
        <v>1520</v>
      </c>
      <c r="P212" s="40">
        <v>0</v>
      </c>
      <c r="Q212" s="40">
        <v>35890</v>
      </c>
      <c r="R212" s="40">
        <v>127143</v>
      </c>
      <c r="S212" s="40">
        <v>354356</v>
      </c>
      <c r="T212" s="40">
        <v>30000</v>
      </c>
      <c r="U212" s="40">
        <v>771012.34795429395</v>
      </c>
      <c r="V212" s="40">
        <v>0</v>
      </c>
      <c r="W212" s="45">
        <v>2057624.3479542939</v>
      </c>
      <c r="X212" s="46">
        <v>4.02678936237416</v>
      </c>
    </row>
    <row r="213" spans="1:24" s="4" customFormat="1" ht="15" customHeight="1">
      <c r="A213" s="79" t="s">
        <v>3955</v>
      </c>
      <c r="B213" s="80">
        <v>3394.61</v>
      </c>
      <c r="C213" s="81" t="s">
        <v>4051</v>
      </c>
      <c r="D213" s="82">
        <v>4950756155</v>
      </c>
      <c r="E213" s="82" t="s">
        <v>6</v>
      </c>
      <c r="F213" s="82" t="s">
        <v>4052</v>
      </c>
      <c r="G213" s="79" t="s">
        <v>9</v>
      </c>
      <c r="H213" s="2" t="s">
        <v>23</v>
      </c>
      <c r="I213" s="2">
        <v>4</v>
      </c>
      <c r="J213" s="2"/>
      <c r="K213" s="2">
        <v>29232</v>
      </c>
      <c r="L213" s="35">
        <v>99231239.520000011</v>
      </c>
      <c r="M213" s="36">
        <v>2880</v>
      </c>
      <c r="N213" s="40">
        <v>785951</v>
      </c>
      <c r="O213" s="40">
        <v>2593</v>
      </c>
      <c r="P213" s="40">
        <v>39308</v>
      </c>
      <c r="Q213" s="40">
        <v>59408</v>
      </c>
      <c r="R213" s="40">
        <v>166045</v>
      </c>
      <c r="S213" s="40">
        <v>354356</v>
      </c>
      <c r="T213" s="40">
        <v>30000</v>
      </c>
      <c r="U213" s="40">
        <v>1314487.65204571</v>
      </c>
      <c r="V213" s="40">
        <v>0</v>
      </c>
      <c r="W213" s="45">
        <v>2752148.65204571</v>
      </c>
      <c r="X213" s="46">
        <v>2.7734699932786948</v>
      </c>
    </row>
    <row r="214" spans="1:24" s="4" customFormat="1" ht="15" customHeight="1">
      <c r="A214" s="79" t="s">
        <v>3955</v>
      </c>
      <c r="B214" s="80">
        <v>3394.61</v>
      </c>
      <c r="C214" s="81" t="s">
        <v>4073</v>
      </c>
      <c r="D214" s="82">
        <v>4950689588</v>
      </c>
      <c r="E214" s="82" t="s">
        <v>6</v>
      </c>
      <c r="F214" s="82" t="s">
        <v>4074</v>
      </c>
      <c r="G214" s="79" t="s">
        <v>5</v>
      </c>
      <c r="H214" s="2" t="s">
        <v>17</v>
      </c>
      <c r="I214" s="2">
        <v>1</v>
      </c>
      <c r="J214" s="2" t="s">
        <v>4075</v>
      </c>
      <c r="K214" s="2">
        <v>16744</v>
      </c>
      <c r="L214" s="35">
        <v>56839349.840000004</v>
      </c>
      <c r="M214" s="36">
        <v>10400</v>
      </c>
      <c r="N214" s="40">
        <v>353343</v>
      </c>
      <c r="O214" s="40">
        <v>567305</v>
      </c>
      <c r="P214" s="40">
        <v>0</v>
      </c>
      <c r="Q214" s="40">
        <v>124137</v>
      </c>
      <c r="R214" s="40">
        <v>564954</v>
      </c>
      <c r="S214" s="40">
        <v>354356</v>
      </c>
      <c r="T214" s="40">
        <v>30000</v>
      </c>
      <c r="U214" s="40">
        <v>4816050</v>
      </c>
      <c r="V214" s="40">
        <v>0</v>
      </c>
      <c r="W214" s="45">
        <v>6810145</v>
      </c>
      <c r="X214" s="46">
        <v>11.981391446542274</v>
      </c>
    </row>
    <row r="215" spans="1:24" s="4" customFormat="1" ht="15" customHeight="1">
      <c r="A215" s="79" t="s">
        <v>3955</v>
      </c>
      <c r="B215" s="80">
        <v>3394.61</v>
      </c>
      <c r="C215" s="81" t="s">
        <v>4110</v>
      </c>
      <c r="D215" s="82">
        <v>4951101241</v>
      </c>
      <c r="E215" s="82" t="s">
        <v>6</v>
      </c>
      <c r="F215" s="82" t="s">
        <v>4111</v>
      </c>
      <c r="G215" s="79" t="s">
        <v>9</v>
      </c>
      <c r="H215" s="2" t="s">
        <v>23</v>
      </c>
      <c r="I215" s="2">
        <v>2</v>
      </c>
      <c r="J215" s="2"/>
      <c r="K215" s="2">
        <v>97986</v>
      </c>
      <c r="L215" s="35">
        <v>332624255.46000004</v>
      </c>
      <c r="M215" s="36">
        <v>1400</v>
      </c>
      <c r="N215" s="40">
        <v>898920</v>
      </c>
      <c r="O215" s="40">
        <v>1371</v>
      </c>
      <c r="P215" s="40">
        <v>0</v>
      </c>
      <c r="Q215" s="40">
        <v>39680</v>
      </c>
      <c r="R215" s="40">
        <v>41821</v>
      </c>
      <c r="S215" s="40">
        <v>354356</v>
      </c>
      <c r="T215" s="40">
        <v>30000</v>
      </c>
      <c r="U215" s="40">
        <v>1367700</v>
      </c>
      <c r="V215" s="40">
        <v>0</v>
      </c>
      <c r="W215" s="45">
        <v>2733848</v>
      </c>
      <c r="X215" s="46">
        <v>0.82190277922433741</v>
      </c>
    </row>
    <row r="216" spans="1:24" s="4" customFormat="1" ht="15" customHeight="1">
      <c r="A216" s="79" t="s">
        <v>3955</v>
      </c>
      <c r="B216" s="80">
        <v>3394.61</v>
      </c>
      <c r="C216" s="81" t="s">
        <v>4114</v>
      </c>
      <c r="D216" s="82">
        <v>4950691641</v>
      </c>
      <c r="E216" s="82" t="s">
        <v>6</v>
      </c>
      <c r="F216" s="82" t="s">
        <v>4115</v>
      </c>
      <c r="G216" s="79" t="s">
        <v>9</v>
      </c>
      <c r="H216" s="2" t="s">
        <v>23</v>
      </c>
      <c r="I216" s="2">
        <v>1</v>
      </c>
      <c r="J216" s="2"/>
      <c r="K216" s="2">
        <v>4322.88</v>
      </c>
      <c r="L216" s="35">
        <v>14674491.676800001</v>
      </c>
      <c r="M216" s="36">
        <v>288</v>
      </c>
      <c r="N216" s="40">
        <v>765473</v>
      </c>
      <c r="O216" s="40">
        <v>346</v>
      </c>
      <c r="P216" s="40">
        <v>6443</v>
      </c>
      <c r="Q216" s="40">
        <v>9508</v>
      </c>
      <c r="R216" s="40">
        <v>96614</v>
      </c>
      <c r="S216" s="40">
        <v>354356</v>
      </c>
      <c r="T216" s="40">
        <v>30000</v>
      </c>
      <c r="U216" s="40">
        <v>1367700</v>
      </c>
      <c r="V216" s="40">
        <v>0</v>
      </c>
      <c r="W216" s="45">
        <v>2630440</v>
      </c>
      <c r="X216" s="46">
        <v>17.925254638691566</v>
      </c>
    </row>
    <row r="217" spans="1:24" s="4" customFormat="1" ht="15" customHeight="1">
      <c r="A217" s="79" t="s">
        <v>3955</v>
      </c>
      <c r="B217" s="80">
        <v>3394.61</v>
      </c>
      <c r="C217" s="81" t="s">
        <v>4132</v>
      </c>
      <c r="D217" s="82">
        <v>4952735062</v>
      </c>
      <c r="E217" s="82" t="s">
        <v>6</v>
      </c>
      <c r="F217" s="82" t="s">
        <v>4133</v>
      </c>
      <c r="G217" s="79" t="s">
        <v>5</v>
      </c>
      <c r="H217" s="2" t="s">
        <v>17</v>
      </c>
      <c r="I217" s="2">
        <v>2</v>
      </c>
      <c r="J217" s="2" t="s">
        <v>4134</v>
      </c>
      <c r="K217" s="2">
        <v>117900</v>
      </c>
      <c r="L217" s="35">
        <v>400224519</v>
      </c>
      <c r="M217" s="36">
        <v>15000</v>
      </c>
      <c r="N217" s="40">
        <v>416686.54434250802</v>
      </c>
      <c r="O217" s="40">
        <v>567288.5</v>
      </c>
      <c r="P217" s="40">
        <v>0</v>
      </c>
      <c r="Q217" s="40">
        <v>124137</v>
      </c>
      <c r="R217" s="40">
        <v>576123.34352701297</v>
      </c>
      <c r="S217" s="40">
        <v>180609.582059123</v>
      </c>
      <c r="T217" s="40">
        <v>30000</v>
      </c>
      <c r="U217" s="55">
        <v>539245.66768603504</v>
      </c>
      <c r="V217" s="55">
        <v>0</v>
      </c>
      <c r="W217" s="45">
        <v>2434090.6376146791</v>
      </c>
      <c r="X217" s="46">
        <v>0.60818128876673816</v>
      </c>
    </row>
    <row r="218" spans="1:24" s="4" customFormat="1" ht="15" customHeight="1">
      <c r="A218" s="79" t="s">
        <v>3955</v>
      </c>
      <c r="B218" s="80">
        <v>3394.61</v>
      </c>
      <c r="C218" s="81" t="s">
        <v>4132</v>
      </c>
      <c r="D218" s="82">
        <v>4952735162</v>
      </c>
      <c r="E218" s="82" t="s">
        <v>6</v>
      </c>
      <c r="F218" s="82" t="s">
        <v>4133</v>
      </c>
      <c r="G218" s="79" t="s">
        <v>5</v>
      </c>
      <c r="H218" s="2" t="s">
        <v>17</v>
      </c>
      <c r="I218" s="2">
        <v>2</v>
      </c>
      <c r="J218" s="2" t="s">
        <v>4134</v>
      </c>
      <c r="K218" s="2">
        <v>121933.5</v>
      </c>
      <c r="L218" s="35">
        <v>413916678.435</v>
      </c>
      <c r="M218" s="36">
        <v>14430</v>
      </c>
      <c r="N218" s="40">
        <v>400852.45565749198</v>
      </c>
      <c r="O218" s="40">
        <v>567288.5</v>
      </c>
      <c r="P218" s="40">
        <v>0</v>
      </c>
      <c r="Q218" s="40">
        <v>124137</v>
      </c>
      <c r="R218" s="40">
        <v>554230.65647298703</v>
      </c>
      <c r="S218" s="40">
        <v>173746.417940877</v>
      </c>
      <c r="T218" s="40">
        <v>30000</v>
      </c>
      <c r="U218" s="55">
        <v>518754.33231396502</v>
      </c>
      <c r="V218" s="55">
        <v>0</v>
      </c>
      <c r="W218" s="45">
        <v>2369009.3623853209</v>
      </c>
      <c r="X218" s="46">
        <v>0.57233967264678409</v>
      </c>
    </row>
    <row r="219" spans="1:24" s="4" customFormat="1" ht="15" customHeight="1">
      <c r="A219" s="79" t="s">
        <v>3955</v>
      </c>
      <c r="B219" s="80">
        <v>3394.61</v>
      </c>
      <c r="C219" s="81" t="s">
        <v>4198</v>
      </c>
      <c r="D219" s="82">
        <v>4947229902</v>
      </c>
      <c r="E219" s="82" t="s">
        <v>6</v>
      </c>
      <c r="F219" s="83" t="s">
        <v>4199</v>
      </c>
      <c r="G219" s="79" t="s">
        <v>9</v>
      </c>
      <c r="H219" s="2" t="s">
        <v>23</v>
      </c>
      <c r="I219" s="2">
        <v>2</v>
      </c>
      <c r="J219" s="2"/>
      <c r="K219" s="2">
        <v>22334.400000000001</v>
      </c>
      <c r="L219" s="35">
        <v>75816577.584000006</v>
      </c>
      <c r="M219" s="36">
        <v>1440</v>
      </c>
      <c r="N219" s="40">
        <v>915875</v>
      </c>
      <c r="O219" s="40">
        <v>996</v>
      </c>
      <c r="P219" s="40">
        <v>24664</v>
      </c>
      <c r="Q219" s="40">
        <v>19333</v>
      </c>
      <c r="R219" s="40">
        <v>128423</v>
      </c>
      <c r="S219" s="40">
        <v>354356</v>
      </c>
      <c r="T219" s="40">
        <v>30000</v>
      </c>
      <c r="U219" s="40">
        <v>1367700</v>
      </c>
      <c r="V219" s="40">
        <v>0</v>
      </c>
      <c r="W219" s="45">
        <v>2841347</v>
      </c>
      <c r="X219" s="46">
        <v>3.7476592726069256</v>
      </c>
    </row>
    <row r="220" spans="1:24" s="4" customFormat="1" ht="15" customHeight="1">
      <c r="A220" s="79" t="s">
        <v>3955</v>
      </c>
      <c r="B220" s="80">
        <v>3394.61</v>
      </c>
      <c r="C220" s="81" t="s">
        <v>4225</v>
      </c>
      <c r="D220" s="82">
        <v>4951816774</v>
      </c>
      <c r="E220" s="82" t="s">
        <v>6</v>
      </c>
      <c r="F220" s="83" t="s">
        <v>4226</v>
      </c>
      <c r="G220" s="79" t="s">
        <v>5</v>
      </c>
      <c r="H220" s="2" t="s">
        <v>17</v>
      </c>
      <c r="I220" s="2">
        <v>1</v>
      </c>
      <c r="J220" s="2" t="s">
        <v>4227</v>
      </c>
      <c r="K220" s="2">
        <v>63020</v>
      </c>
      <c r="L220" s="35">
        <v>213928322.20000002</v>
      </c>
      <c r="M220" s="36">
        <v>15000</v>
      </c>
      <c r="N220" s="40">
        <v>346229</v>
      </c>
      <c r="O220" s="40">
        <v>567305</v>
      </c>
      <c r="P220" s="40">
        <v>0</v>
      </c>
      <c r="Q220" s="40">
        <v>124137</v>
      </c>
      <c r="R220" s="40">
        <v>694957</v>
      </c>
      <c r="S220" s="40">
        <v>354356</v>
      </c>
      <c r="T220" s="40">
        <v>30000</v>
      </c>
      <c r="U220" s="40">
        <v>529000</v>
      </c>
      <c r="V220" s="40">
        <v>0</v>
      </c>
      <c r="W220" s="45">
        <v>2645984</v>
      </c>
      <c r="X220" s="46">
        <v>1.2368553975411862</v>
      </c>
    </row>
    <row r="221" spans="1:24" s="4" customFormat="1" ht="15" customHeight="1">
      <c r="A221" s="79" t="s">
        <v>3955</v>
      </c>
      <c r="B221" s="80">
        <v>3394.61</v>
      </c>
      <c r="C221" s="81" t="s">
        <v>4245</v>
      </c>
      <c r="D221" s="82">
        <v>4950752285</v>
      </c>
      <c r="E221" s="82" t="s">
        <v>6</v>
      </c>
      <c r="F221" s="82" t="s">
        <v>4246</v>
      </c>
      <c r="G221" s="79" t="s">
        <v>5</v>
      </c>
      <c r="H221" s="2" t="s">
        <v>20</v>
      </c>
      <c r="I221" s="2">
        <v>1</v>
      </c>
      <c r="J221" s="2" t="s">
        <v>4247</v>
      </c>
      <c r="K221" s="2">
        <v>14212.8</v>
      </c>
      <c r="L221" s="35">
        <v>48246913.008000001</v>
      </c>
      <c r="M221" s="36">
        <v>4320</v>
      </c>
      <c r="N221" s="40">
        <v>353343</v>
      </c>
      <c r="O221" s="40">
        <v>346986</v>
      </c>
      <c r="P221" s="40">
        <v>0</v>
      </c>
      <c r="Q221" s="40">
        <v>99309</v>
      </c>
      <c r="R221" s="40">
        <v>566405</v>
      </c>
      <c r="S221" s="40">
        <v>354356</v>
      </c>
      <c r="T221" s="40">
        <v>30000</v>
      </c>
      <c r="U221" s="40">
        <v>2619000</v>
      </c>
      <c r="V221" s="40">
        <v>0</v>
      </c>
      <c r="W221" s="45">
        <v>4369399</v>
      </c>
      <c r="X221" s="46">
        <v>9.0563286386333015</v>
      </c>
    </row>
    <row r="222" spans="1:24" s="4" customFormat="1" ht="15" customHeight="1">
      <c r="A222" s="79" t="s">
        <v>3955</v>
      </c>
      <c r="B222" s="80">
        <v>3394.61</v>
      </c>
      <c r="C222" s="81" t="s">
        <v>4248</v>
      </c>
      <c r="D222" s="82">
        <v>4950530967</v>
      </c>
      <c r="E222" s="82" t="s">
        <v>6</v>
      </c>
      <c r="F222" s="83" t="s">
        <v>4249</v>
      </c>
      <c r="G222" s="79" t="s">
        <v>5</v>
      </c>
      <c r="H222" s="2" t="s">
        <v>17</v>
      </c>
      <c r="I222" s="2">
        <v>6</v>
      </c>
      <c r="J222" s="2" t="s">
        <v>4250</v>
      </c>
      <c r="K222" s="2">
        <v>320568</v>
      </c>
      <c r="L222" s="35">
        <v>1088203338.48</v>
      </c>
      <c r="M222" s="36">
        <v>44400</v>
      </c>
      <c r="N222" s="40">
        <v>2120060</v>
      </c>
      <c r="O222" s="40">
        <v>3403731</v>
      </c>
      <c r="P222" s="40">
        <v>0</v>
      </c>
      <c r="Q222" s="40">
        <v>744826</v>
      </c>
      <c r="R222" s="40">
        <v>4179962</v>
      </c>
      <c r="S222" s="40">
        <v>354356</v>
      </c>
      <c r="T222" s="40">
        <v>30000</v>
      </c>
      <c r="U222" s="40">
        <v>28217300</v>
      </c>
      <c r="V222" s="40">
        <v>0</v>
      </c>
      <c r="W222" s="45">
        <v>39050235</v>
      </c>
      <c r="X222" s="46">
        <v>3.588505348140659</v>
      </c>
    </row>
    <row r="223" spans="1:24" s="4" customFormat="1" ht="15" customHeight="1">
      <c r="A223" s="79" t="s">
        <v>3955</v>
      </c>
      <c r="B223" s="80">
        <v>3394.61</v>
      </c>
      <c r="C223" s="81" t="s">
        <v>4315</v>
      </c>
      <c r="D223" s="82">
        <v>4950804997</v>
      </c>
      <c r="E223" s="82" t="s">
        <v>6</v>
      </c>
      <c r="F223" s="83" t="s">
        <v>4316</v>
      </c>
      <c r="G223" s="79" t="s">
        <v>9</v>
      </c>
      <c r="H223" s="2" t="s">
        <v>23</v>
      </c>
      <c r="I223" s="2">
        <v>4</v>
      </c>
      <c r="J223" s="2"/>
      <c r="K223" s="2">
        <v>7392</v>
      </c>
      <c r="L223" s="35">
        <v>25092957.120000001</v>
      </c>
      <c r="M223" s="36">
        <v>3200</v>
      </c>
      <c r="N223" s="40">
        <v>917599</v>
      </c>
      <c r="O223" s="40">
        <v>2198</v>
      </c>
      <c r="P223" s="40">
        <v>0</v>
      </c>
      <c r="Q223" s="40">
        <v>42963</v>
      </c>
      <c r="R223" s="40">
        <v>150880</v>
      </c>
      <c r="S223" s="40">
        <v>354356</v>
      </c>
      <c r="T223" s="40">
        <v>30000</v>
      </c>
      <c r="U223" s="40">
        <v>1367700</v>
      </c>
      <c r="V223" s="40">
        <v>0</v>
      </c>
      <c r="W223" s="45">
        <v>2865696</v>
      </c>
      <c r="X223" s="46">
        <v>11.420319997741263</v>
      </c>
    </row>
    <row r="224" spans="1:24" s="4" customFormat="1" ht="15" customHeight="1">
      <c r="A224" s="79" t="s">
        <v>3955</v>
      </c>
      <c r="B224" s="80">
        <v>3394.61</v>
      </c>
      <c r="C224" s="81" t="s">
        <v>4329</v>
      </c>
      <c r="D224" s="82">
        <v>4950218295</v>
      </c>
      <c r="E224" s="82" t="s">
        <v>6</v>
      </c>
      <c r="F224" s="82" t="s">
        <v>4330</v>
      </c>
      <c r="G224" s="79" t="s">
        <v>5</v>
      </c>
      <c r="H224" s="2" t="s">
        <v>17</v>
      </c>
      <c r="I224" s="2">
        <v>1</v>
      </c>
      <c r="J224" s="2" t="s">
        <v>4331</v>
      </c>
      <c r="K224" s="2">
        <v>85320</v>
      </c>
      <c r="L224" s="35">
        <v>289628125.19999999</v>
      </c>
      <c r="M224" s="36">
        <v>7200</v>
      </c>
      <c r="N224" s="40">
        <v>343604</v>
      </c>
      <c r="O224" s="40">
        <v>567305</v>
      </c>
      <c r="P224" s="40">
        <v>0</v>
      </c>
      <c r="Q224" s="40">
        <v>124137</v>
      </c>
      <c r="R224" s="40">
        <v>685930</v>
      </c>
      <c r="S224" s="40">
        <v>354356</v>
      </c>
      <c r="T224" s="40">
        <v>30000</v>
      </c>
      <c r="U224" s="40">
        <v>4719050</v>
      </c>
      <c r="V224" s="40">
        <v>0</v>
      </c>
      <c r="W224" s="45">
        <v>6824382</v>
      </c>
      <c r="X224" s="46">
        <v>2.3562566637088462</v>
      </c>
    </row>
    <row r="225" spans="1:24" s="4" customFormat="1" ht="15" customHeight="1">
      <c r="A225" s="79" t="s">
        <v>3955</v>
      </c>
      <c r="B225" s="80">
        <v>3394.61</v>
      </c>
      <c r="C225" s="81" t="s">
        <v>4335</v>
      </c>
      <c r="D225" s="82">
        <v>4950041000</v>
      </c>
      <c r="E225" s="82" t="s">
        <v>6</v>
      </c>
      <c r="F225" s="83" t="s">
        <v>4336</v>
      </c>
      <c r="G225" s="79" t="s">
        <v>9</v>
      </c>
      <c r="H225" s="2" t="s">
        <v>23</v>
      </c>
      <c r="I225" s="2">
        <v>3</v>
      </c>
      <c r="J225" s="2"/>
      <c r="K225" s="2">
        <v>67914</v>
      </c>
      <c r="L225" s="35">
        <v>230541543.54000002</v>
      </c>
      <c r="M225" s="36">
        <v>2520</v>
      </c>
      <c r="N225" s="40">
        <v>315841</v>
      </c>
      <c r="O225" s="40">
        <v>1717</v>
      </c>
      <c r="P225" s="40">
        <v>42747</v>
      </c>
      <c r="Q225" s="40">
        <v>33833</v>
      </c>
      <c r="R225" s="40">
        <v>315841</v>
      </c>
      <c r="S225" s="40">
        <v>354356</v>
      </c>
      <c r="T225" s="40">
        <v>30000</v>
      </c>
      <c r="U225" s="40">
        <v>252200</v>
      </c>
      <c r="V225" s="40">
        <v>0</v>
      </c>
      <c r="W225" s="45">
        <v>1346535</v>
      </c>
      <c r="X225" s="46">
        <v>0.58407477425706134</v>
      </c>
    </row>
    <row r="226" spans="1:24" s="4" customFormat="1" ht="15" customHeight="1">
      <c r="A226" s="79" t="s">
        <v>3955</v>
      </c>
      <c r="B226" s="80">
        <v>3394.61</v>
      </c>
      <c r="C226" s="81" t="s">
        <v>4354</v>
      </c>
      <c r="D226" s="82" t="s">
        <v>4355</v>
      </c>
      <c r="E226" s="82" t="s">
        <v>6</v>
      </c>
      <c r="F226" s="82" t="s">
        <v>4356</v>
      </c>
      <c r="G226" s="79" t="s">
        <v>5</v>
      </c>
      <c r="H226" s="2" t="s">
        <v>17</v>
      </c>
      <c r="I226" s="2">
        <v>1</v>
      </c>
      <c r="J226" s="2" t="s">
        <v>4357</v>
      </c>
      <c r="K226" s="2">
        <v>85320</v>
      </c>
      <c r="L226" s="35">
        <v>289628125.19999999</v>
      </c>
      <c r="M226" s="36">
        <v>7200</v>
      </c>
      <c r="N226" s="40">
        <v>399980</v>
      </c>
      <c r="O226" s="40">
        <v>567305</v>
      </c>
      <c r="P226" s="40">
        <v>0</v>
      </c>
      <c r="Q226" s="40">
        <v>124137</v>
      </c>
      <c r="R226" s="40">
        <v>686156</v>
      </c>
      <c r="S226" s="40">
        <v>354356</v>
      </c>
      <c r="T226" s="40">
        <v>30000</v>
      </c>
      <c r="U226" s="40">
        <v>4719050</v>
      </c>
      <c r="V226" s="40">
        <v>0</v>
      </c>
      <c r="W226" s="45">
        <v>6880984</v>
      </c>
      <c r="X226" s="46">
        <v>2.3757996552470173</v>
      </c>
    </row>
    <row r="227" spans="1:24" s="4" customFormat="1" ht="15" customHeight="1">
      <c r="A227" s="79" t="s">
        <v>3955</v>
      </c>
      <c r="B227" s="80">
        <v>3394.61</v>
      </c>
      <c r="C227" s="81" t="s">
        <v>4391</v>
      </c>
      <c r="D227" s="82" t="s">
        <v>4355</v>
      </c>
      <c r="E227" s="82" t="s">
        <v>6</v>
      </c>
      <c r="F227" s="82" t="s">
        <v>4392</v>
      </c>
      <c r="G227" s="79" t="s">
        <v>5</v>
      </c>
      <c r="H227" s="2" t="s">
        <v>17</v>
      </c>
      <c r="I227" s="2">
        <v>1</v>
      </c>
      <c r="J227" s="2" t="s">
        <v>4393</v>
      </c>
      <c r="K227" s="2">
        <v>85320</v>
      </c>
      <c r="L227" s="35">
        <v>289628125.19999999</v>
      </c>
      <c r="M227" s="36">
        <v>7200</v>
      </c>
      <c r="N227" s="40">
        <v>399980</v>
      </c>
      <c r="O227" s="40">
        <v>567305</v>
      </c>
      <c r="P227" s="40">
        <v>0</v>
      </c>
      <c r="Q227" s="40">
        <v>124137</v>
      </c>
      <c r="R227" s="40">
        <v>686156</v>
      </c>
      <c r="S227" s="40">
        <v>354356</v>
      </c>
      <c r="T227" s="40">
        <v>30000</v>
      </c>
      <c r="U227" s="40">
        <v>4719050</v>
      </c>
      <c r="V227" s="40">
        <v>0</v>
      </c>
      <c r="W227" s="45">
        <v>6880984</v>
      </c>
      <c r="X227" s="46">
        <v>2.3757996552470173</v>
      </c>
    </row>
    <row r="229" spans="1:24" ht="15" customHeight="1">
      <c r="A229" s="87" t="s">
        <v>3955</v>
      </c>
      <c r="B229" s="31"/>
      <c r="C229" s="31"/>
      <c r="D229" s="31"/>
      <c r="E229" s="31"/>
      <c r="F229" s="32">
        <v>15</v>
      </c>
      <c r="G229" s="31"/>
      <c r="H229" s="31"/>
      <c r="I229" s="38"/>
      <c r="J229" s="31"/>
      <c r="K229" s="39">
        <f>+SUM(K212:K227)</f>
        <v>1154572.3799999999</v>
      </c>
      <c r="L229" s="39">
        <f>+SUM(L212:L227)</f>
        <v>3919322946.8717995</v>
      </c>
      <c r="M229" s="31"/>
      <c r="N229" s="39"/>
      <c r="O229" s="39"/>
      <c r="P229" s="39"/>
      <c r="Q229" s="39"/>
      <c r="R229" s="39"/>
      <c r="S229" s="39"/>
      <c r="T229" s="39"/>
      <c r="U229" s="39"/>
      <c r="V229" s="31"/>
      <c r="W229" s="39">
        <f>+SUM(W212:W227)</f>
        <v>95492852</v>
      </c>
      <c r="X229" s="47">
        <f>(W229/L229)*100</f>
        <v>2.4364629629772523</v>
      </c>
    </row>
  </sheetData>
  <conditionalFormatting sqref="C2">
    <cfRule type="duplicateValues" dxfId="379" priority="19"/>
  </conditionalFormatting>
  <conditionalFormatting sqref="C3">
    <cfRule type="duplicateValues" dxfId="378" priority="18"/>
  </conditionalFormatting>
  <conditionalFormatting sqref="C4">
    <cfRule type="duplicateValues" dxfId="377" priority="17"/>
  </conditionalFormatting>
  <conditionalFormatting sqref="C5">
    <cfRule type="duplicateValues" dxfId="376" priority="16"/>
  </conditionalFormatting>
  <conditionalFormatting sqref="C6">
    <cfRule type="duplicateValues" dxfId="375" priority="15"/>
  </conditionalFormatting>
  <conditionalFormatting sqref="C7">
    <cfRule type="duplicateValues" dxfId="374" priority="14"/>
  </conditionalFormatting>
  <conditionalFormatting sqref="C8">
    <cfRule type="duplicateValues" dxfId="373" priority="13"/>
  </conditionalFormatting>
  <conditionalFormatting sqref="C9">
    <cfRule type="duplicateValues" dxfId="372" priority="12"/>
  </conditionalFormatting>
  <conditionalFormatting sqref="C10">
    <cfRule type="duplicateValues" dxfId="371" priority="11"/>
  </conditionalFormatting>
  <conditionalFormatting sqref="C11">
    <cfRule type="duplicateValues" dxfId="370" priority="10"/>
  </conditionalFormatting>
  <conditionalFormatting sqref="C12">
    <cfRule type="duplicateValues" dxfId="369" priority="9"/>
  </conditionalFormatting>
  <conditionalFormatting sqref="C13">
    <cfRule type="duplicateValues" dxfId="368" priority="8"/>
  </conditionalFormatting>
  <conditionalFormatting sqref="C14">
    <cfRule type="duplicateValues" dxfId="367" priority="7"/>
  </conditionalFormatting>
  <conditionalFormatting sqref="C15">
    <cfRule type="duplicateValues" dxfId="366" priority="6"/>
  </conditionalFormatting>
  <conditionalFormatting sqref="C16">
    <cfRule type="duplicateValues" dxfId="365" priority="5"/>
  </conditionalFormatting>
  <conditionalFormatting sqref="C17">
    <cfRule type="duplicateValues" dxfId="364" priority="4"/>
  </conditionalFormatting>
  <conditionalFormatting sqref="C18">
    <cfRule type="duplicateValues" dxfId="363" priority="3"/>
  </conditionalFormatting>
  <conditionalFormatting sqref="C19">
    <cfRule type="duplicateValues" dxfId="362" priority="2"/>
  </conditionalFormatting>
  <conditionalFormatting sqref="C20">
    <cfRule type="duplicateValues" dxfId="361" priority="1"/>
  </conditionalFormatting>
  <pageMargins left="0.69930555555555596" right="0.69930555555555596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98"/>
  <sheetViews>
    <sheetView showGridLines="0" zoomScale="80" zoomScaleNormal="80" workbookViewId="0">
      <pane ySplit="1" topLeftCell="A77" activePane="bottomLeft" state="frozen"/>
      <selection pane="bottomLeft" activeCell="A98" sqref="A98"/>
    </sheetView>
  </sheetViews>
  <sheetFormatPr baseColWidth="10" defaultColWidth="11.42578125" defaultRowHeight="15" customHeight="1"/>
  <cols>
    <col min="1" max="1" width="13.140625" customWidth="1"/>
    <col min="2" max="2" width="9.7109375" customWidth="1"/>
    <col min="3" max="3" width="10.7109375" customWidth="1"/>
    <col min="4" max="4" width="13.140625" customWidth="1"/>
    <col min="5" max="5" width="9" customWidth="1"/>
    <col min="6" max="6" width="22.85546875" customWidth="1"/>
    <col min="7" max="7" width="13.5703125" customWidth="1"/>
    <col min="8" max="8" width="8.7109375" customWidth="1"/>
    <col min="9" max="9" width="6.140625" customWidth="1"/>
    <col min="10" max="10" width="13.7109375" customWidth="1"/>
    <col min="11" max="11" width="12.7109375" customWidth="1"/>
    <col min="12" max="12" width="16.85546875" customWidth="1"/>
    <col min="13" max="13" width="12.28515625" customWidth="1"/>
    <col min="14" max="14" width="20" customWidth="1"/>
    <col min="15" max="15" width="15.28515625" customWidth="1"/>
    <col min="16" max="16" width="12.85546875" customWidth="1"/>
    <col min="19" max="20" width="18.85546875" customWidth="1"/>
    <col min="21" max="21" width="11.85546875" customWidth="1"/>
    <col min="22" max="22" width="11" customWidth="1"/>
    <col min="23" max="23" width="13.5703125" customWidth="1"/>
    <col min="24" max="24" width="9.7109375" customWidth="1"/>
  </cols>
  <sheetData>
    <row r="1" spans="1:24" ht="43.5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 ht="15" customHeight="1">
      <c r="A2" s="28" t="s">
        <v>63</v>
      </c>
      <c r="B2" s="29">
        <v>3169.6</v>
      </c>
      <c r="C2" s="30" t="s">
        <v>151</v>
      </c>
      <c r="D2" s="2">
        <v>4944881457</v>
      </c>
      <c r="E2" s="2" t="s">
        <v>10</v>
      </c>
      <c r="F2" s="78" t="s">
        <v>152</v>
      </c>
      <c r="G2" s="28" t="s">
        <v>9</v>
      </c>
      <c r="H2" s="2" t="s">
        <v>23</v>
      </c>
      <c r="I2" s="2">
        <v>2</v>
      </c>
      <c r="J2" s="2"/>
      <c r="K2" s="2">
        <v>16912</v>
      </c>
      <c r="L2" s="35">
        <v>53604275.200000003</v>
      </c>
      <c r="M2" s="36">
        <v>1600</v>
      </c>
      <c r="N2" s="37">
        <v>652680</v>
      </c>
      <c r="O2" s="37">
        <v>1183</v>
      </c>
      <c r="P2" s="37">
        <v>0</v>
      </c>
      <c r="Q2" s="37">
        <v>35546</v>
      </c>
      <c r="R2" s="37">
        <v>120740</v>
      </c>
      <c r="S2" s="37">
        <v>686870</v>
      </c>
      <c r="T2" s="40"/>
      <c r="U2" s="37">
        <v>533500</v>
      </c>
      <c r="V2" s="37">
        <v>0</v>
      </c>
      <c r="W2" s="45">
        <v>2030519</v>
      </c>
      <c r="X2" s="46">
        <v>3.7879795826434401</v>
      </c>
    </row>
    <row r="3" spans="1:24" ht="15" customHeight="1">
      <c r="A3" s="28" t="s">
        <v>63</v>
      </c>
      <c r="B3" s="29">
        <v>3169.6</v>
      </c>
      <c r="C3" s="30" t="s">
        <v>153</v>
      </c>
      <c r="D3" s="2">
        <v>4942955293</v>
      </c>
      <c r="E3" s="2" t="s">
        <v>10</v>
      </c>
      <c r="F3" s="2" t="s">
        <v>154</v>
      </c>
      <c r="G3" s="28" t="s">
        <v>5</v>
      </c>
      <c r="H3" s="2" t="s">
        <v>20</v>
      </c>
      <c r="I3" s="2">
        <v>1</v>
      </c>
      <c r="J3" s="2" t="s">
        <v>155</v>
      </c>
      <c r="K3" s="2">
        <v>16907</v>
      </c>
      <c r="L3" s="35">
        <v>53588427.200000003</v>
      </c>
      <c r="M3" s="36">
        <v>6380</v>
      </c>
      <c r="N3" s="37">
        <v>363891</v>
      </c>
      <c r="O3" s="37">
        <v>394878</v>
      </c>
      <c r="P3" s="37">
        <v>0</v>
      </c>
      <c r="Q3" s="37">
        <v>124137</v>
      </c>
      <c r="R3" s="37">
        <v>735371</v>
      </c>
      <c r="S3" s="37">
        <v>686870</v>
      </c>
      <c r="T3" s="40"/>
      <c r="U3" s="37">
        <v>1352000</v>
      </c>
      <c r="V3" s="37">
        <v>0</v>
      </c>
      <c r="W3" s="45">
        <v>3657147</v>
      </c>
      <c r="X3" s="46">
        <v>6.8245089305401399</v>
      </c>
    </row>
    <row r="4" spans="1:24" ht="15" customHeight="1">
      <c r="A4" s="28" t="s">
        <v>63</v>
      </c>
      <c r="B4" s="29">
        <v>3169.6</v>
      </c>
      <c r="C4" s="30" t="s">
        <v>160</v>
      </c>
      <c r="D4" s="2">
        <v>4947010980</v>
      </c>
      <c r="E4" s="2" t="s">
        <v>10</v>
      </c>
      <c r="F4" s="78" t="s">
        <v>161</v>
      </c>
      <c r="G4" s="28" t="s">
        <v>5</v>
      </c>
      <c r="H4" s="2" t="s">
        <v>20</v>
      </c>
      <c r="I4" s="2">
        <v>1</v>
      </c>
      <c r="J4" s="2" t="s">
        <v>162</v>
      </c>
      <c r="K4" s="2">
        <v>18288</v>
      </c>
      <c r="L4" s="35">
        <v>57965644.799999997</v>
      </c>
      <c r="M4" s="36">
        <v>2880</v>
      </c>
      <c r="N4" s="37">
        <v>668775</v>
      </c>
      <c r="O4" s="37">
        <v>394878</v>
      </c>
      <c r="P4" s="37">
        <v>0</v>
      </c>
      <c r="Q4" s="37">
        <v>124137</v>
      </c>
      <c r="R4" s="37">
        <v>639113</v>
      </c>
      <c r="S4" s="37">
        <v>686870</v>
      </c>
      <c r="T4" s="40"/>
      <c r="U4" s="37">
        <v>1400500</v>
      </c>
      <c r="V4" s="37">
        <v>0</v>
      </c>
      <c r="W4" s="45">
        <v>3914273</v>
      </c>
      <c r="X4" s="46">
        <v>6.7527464129925496</v>
      </c>
    </row>
    <row r="5" spans="1:24" ht="15" customHeight="1">
      <c r="A5" s="28" t="s">
        <v>63</v>
      </c>
      <c r="B5" s="29">
        <v>3169.6</v>
      </c>
      <c r="C5" s="30" t="s">
        <v>163</v>
      </c>
      <c r="D5" s="2">
        <v>4944853444</v>
      </c>
      <c r="E5" s="2" t="s">
        <v>10</v>
      </c>
      <c r="F5" s="78" t="s">
        <v>164</v>
      </c>
      <c r="G5" s="28" t="s">
        <v>5</v>
      </c>
      <c r="H5" s="2" t="s">
        <v>20</v>
      </c>
      <c r="I5" s="2">
        <v>1</v>
      </c>
      <c r="J5" s="2" t="s">
        <v>165</v>
      </c>
      <c r="K5" s="2">
        <v>11577.6</v>
      </c>
      <c r="L5" s="35">
        <v>36696360.960000001</v>
      </c>
      <c r="M5" s="36">
        <v>4320</v>
      </c>
      <c r="N5" s="37">
        <v>330482</v>
      </c>
      <c r="O5" s="37">
        <v>394878</v>
      </c>
      <c r="P5" s="37">
        <v>0</v>
      </c>
      <c r="Q5" s="37">
        <v>124137</v>
      </c>
      <c r="R5" s="37">
        <v>657045</v>
      </c>
      <c r="S5" s="37">
        <v>686870</v>
      </c>
      <c r="T5" s="40"/>
      <c r="U5" s="37">
        <v>828200</v>
      </c>
      <c r="V5" s="37">
        <v>0</v>
      </c>
      <c r="W5" s="45">
        <v>3021612</v>
      </c>
      <c r="X5" s="46">
        <v>8.2340916672735904</v>
      </c>
    </row>
    <row r="6" spans="1:24" ht="15" customHeight="1">
      <c r="A6" s="28" t="s">
        <v>63</v>
      </c>
      <c r="B6" s="29">
        <v>3169.6</v>
      </c>
      <c r="C6" s="30" t="s">
        <v>166</v>
      </c>
      <c r="D6" s="2">
        <v>4942955294</v>
      </c>
      <c r="E6" s="2" t="s">
        <v>10</v>
      </c>
      <c r="F6" s="78" t="s">
        <v>167</v>
      </c>
      <c r="G6" s="28" t="s">
        <v>5</v>
      </c>
      <c r="H6" s="2" t="s">
        <v>17</v>
      </c>
      <c r="I6" s="2">
        <v>1</v>
      </c>
      <c r="J6" s="2" t="s">
        <v>168</v>
      </c>
      <c r="K6" s="2">
        <v>31957.200000000001</v>
      </c>
      <c r="L6" s="35">
        <v>101291541.12</v>
      </c>
      <c r="M6" s="36">
        <v>11880</v>
      </c>
      <c r="N6" s="37">
        <v>363891</v>
      </c>
      <c r="O6" s="37">
        <v>521896</v>
      </c>
      <c r="P6" s="37">
        <v>0</v>
      </c>
      <c r="Q6" s="37">
        <v>124137</v>
      </c>
      <c r="R6" s="37">
        <v>861038</v>
      </c>
      <c r="S6" s="37">
        <v>686870</v>
      </c>
      <c r="T6" s="40"/>
      <c r="U6" s="37">
        <v>1400500</v>
      </c>
      <c r="V6" s="37">
        <v>0</v>
      </c>
      <c r="W6" s="45">
        <v>3958332</v>
      </c>
      <c r="X6" s="46">
        <v>3.9078603763275401</v>
      </c>
    </row>
    <row r="7" spans="1:24" ht="15" customHeight="1">
      <c r="A7" s="28" t="s">
        <v>63</v>
      </c>
      <c r="B7" s="29">
        <v>3169.6</v>
      </c>
      <c r="C7" s="30" t="s">
        <v>175</v>
      </c>
      <c r="D7" s="2">
        <v>4946209936</v>
      </c>
      <c r="E7" s="2" t="s">
        <v>10</v>
      </c>
      <c r="F7" s="78" t="s">
        <v>176</v>
      </c>
      <c r="G7" s="28" t="s">
        <v>5</v>
      </c>
      <c r="H7" s="2" t="s">
        <v>17</v>
      </c>
      <c r="I7" s="2">
        <v>1</v>
      </c>
      <c r="J7" s="2" t="s">
        <v>177</v>
      </c>
      <c r="K7" s="2">
        <v>9300</v>
      </c>
      <c r="L7" s="35">
        <v>29477280</v>
      </c>
      <c r="M7" s="36">
        <v>6000</v>
      </c>
      <c r="N7" s="37">
        <v>330482</v>
      </c>
      <c r="O7" s="37">
        <v>521896</v>
      </c>
      <c r="P7" s="37">
        <v>385562</v>
      </c>
      <c r="Q7" s="37">
        <v>124137</v>
      </c>
      <c r="R7" s="37">
        <v>1000454</v>
      </c>
      <c r="S7" s="37">
        <v>686870</v>
      </c>
      <c r="T7" s="40"/>
      <c r="U7" s="37">
        <v>1400500</v>
      </c>
      <c r="V7" s="37">
        <v>0</v>
      </c>
      <c r="W7" s="45">
        <v>4449901</v>
      </c>
      <c r="X7" s="46">
        <v>15.096036676382599</v>
      </c>
    </row>
    <row r="8" spans="1:24" ht="15" customHeight="1">
      <c r="A8" s="28" t="s">
        <v>63</v>
      </c>
      <c r="B8" s="29">
        <v>3169.6</v>
      </c>
      <c r="C8" s="30" t="s">
        <v>484</v>
      </c>
      <c r="D8" s="2">
        <v>4942512567</v>
      </c>
      <c r="E8" s="2" t="s">
        <v>10</v>
      </c>
      <c r="F8" s="2">
        <v>579493973</v>
      </c>
      <c r="G8" s="28" t="s">
        <v>5</v>
      </c>
      <c r="H8" s="2" t="s">
        <v>17</v>
      </c>
      <c r="I8" s="2">
        <v>1</v>
      </c>
      <c r="J8" s="2" t="s">
        <v>485</v>
      </c>
      <c r="K8" s="2">
        <v>37440</v>
      </c>
      <c r="L8" s="35">
        <v>118669824</v>
      </c>
      <c r="M8" s="36">
        <v>20232</v>
      </c>
      <c r="N8" s="37">
        <v>421356</v>
      </c>
      <c r="O8" s="37">
        <v>521893</v>
      </c>
      <c r="P8" s="37">
        <v>829261</v>
      </c>
      <c r="Q8" s="37">
        <v>124137</v>
      </c>
      <c r="R8" s="37">
        <v>874996</v>
      </c>
      <c r="S8" s="37">
        <v>686870</v>
      </c>
      <c r="T8" s="37"/>
      <c r="U8" s="37">
        <v>1400500</v>
      </c>
      <c r="V8" s="37">
        <v>0</v>
      </c>
      <c r="W8" s="45">
        <v>4859013</v>
      </c>
      <c r="X8" s="46">
        <v>4.0945649333734604</v>
      </c>
    </row>
    <row r="9" spans="1:24" ht="15" customHeight="1">
      <c r="A9" s="28" t="s">
        <v>63</v>
      </c>
      <c r="B9" s="29">
        <v>3169.6</v>
      </c>
      <c r="C9" s="30" t="s">
        <v>486</v>
      </c>
      <c r="D9" s="2">
        <v>4941326596</v>
      </c>
      <c r="E9" s="2" t="s">
        <v>10</v>
      </c>
      <c r="F9" s="2" t="s">
        <v>487</v>
      </c>
      <c r="G9" s="28" t="s">
        <v>5</v>
      </c>
      <c r="H9" s="2" t="s">
        <v>20</v>
      </c>
      <c r="I9" s="2">
        <v>1</v>
      </c>
      <c r="J9" s="2" t="s">
        <v>488</v>
      </c>
      <c r="K9" s="2">
        <v>12312</v>
      </c>
      <c r="L9" s="35">
        <v>39024115.200000003</v>
      </c>
      <c r="M9" s="36">
        <v>3600</v>
      </c>
      <c r="N9" s="37">
        <v>330602</v>
      </c>
      <c r="O9" s="37">
        <v>397435</v>
      </c>
      <c r="P9" s="37">
        <v>269991</v>
      </c>
      <c r="Q9" s="37">
        <v>124137</v>
      </c>
      <c r="R9" s="37">
        <v>658878</v>
      </c>
      <c r="S9" s="37">
        <v>686870</v>
      </c>
      <c r="T9" s="37"/>
      <c r="U9" s="37">
        <v>828200</v>
      </c>
      <c r="V9" s="37">
        <v>0</v>
      </c>
      <c r="W9" s="45">
        <v>3296113</v>
      </c>
      <c r="X9" s="46">
        <v>8.4463490923684006</v>
      </c>
    </row>
    <row r="10" spans="1:24" ht="15" customHeight="1">
      <c r="A10" s="28" t="s">
        <v>63</v>
      </c>
      <c r="B10" s="29">
        <v>3169.6</v>
      </c>
      <c r="C10" s="30" t="s">
        <v>489</v>
      </c>
      <c r="D10" s="2">
        <v>4947198888</v>
      </c>
      <c r="E10" s="2" t="s">
        <v>10</v>
      </c>
      <c r="F10" s="2" t="s">
        <v>490</v>
      </c>
      <c r="G10" s="28" t="s">
        <v>5</v>
      </c>
      <c r="H10" s="2" t="s">
        <v>20</v>
      </c>
      <c r="I10" s="2">
        <v>1</v>
      </c>
      <c r="J10" s="2" t="s">
        <v>491</v>
      </c>
      <c r="K10" s="2">
        <v>32400</v>
      </c>
      <c r="L10" s="35">
        <v>102695040</v>
      </c>
      <c r="M10" s="36">
        <v>10000</v>
      </c>
      <c r="N10" s="37">
        <v>372852</v>
      </c>
      <c r="O10" s="37">
        <v>397435</v>
      </c>
      <c r="P10" s="37">
        <v>0</v>
      </c>
      <c r="Q10" s="37">
        <v>124137</v>
      </c>
      <c r="R10" s="37">
        <v>747604</v>
      </c>
      <c r="S10" s="37">
        <v>686870</v>
      </c>
      <c r="T10" s="37"/>
      <c r="U10" s="37">
        <v>1352000</v>
      </c>
      <c r="V10" s="37">
        <v>0</v>
      </c>
      <c r="W10" s="45">
        <v>3680898</v>
      </c>
      <c r="X10" s="46">
        <v>3.5842996896442099</v>
      </c>
    </row>
    <row r="11" spans="1:24" ht="15" customHeight="1">
      <c r="A11" s="28" t="s">
        <v>63</v>
      </c>
      <c r="B11" s="29">
        <v>3169.6</v>
      </c>
      <c r="C11" s="30" t="s">
        <v>497</v>
      </c>
      <c r="D11" s="2">
        <v>4941326596</v>
      </c>
      <c r="E11" s="2" t="s">
        <v>10</v>
      </c>
      <c r="F11" s="2" t="s">
        <v>498</v>
      </c>
      <c r="G11" s="28" t="s">
        <v>9</v>
      </c>
      <c r="H11" s="2" t="s">
        <v>23</v>
      </c>
      <c r="I11" s="2">
        <v>2</v>
      </c>
      <c r="J11" s="2"/>
      <c r="K11" s="2">
        <v>1641.6</v>
      </c>
      <c r="L11" s="35">
        <v>5203215.3600000003</v>
      </c>
      <c r="M11" s="36">
        <v>480</v>
      </c>
      <c r="N11" s="37">
        <v>793737</v>
      </c>
      <c r="O11" s="37">
        <v>417</v>
      </c>
      <c r="P11" s="37">
        <v>34486</v>
      </c>
      <c r="Q11" s="37">
        <v>12602</v>
      </c>
      <c r="R11" s="37">
        <v>100445</v>
      </c>
      <c r="S11" s="37">
        <v>686870</v>
      </c>
      <c r="T11" s="37"/>
      <c r="U11" s="37">
        <v>533500</v>
      </c>
      <c r="V11" s="37">
        <v>0</v>
      </c>
      <c r="W11" s="45">
        <v>2162057</v>
      </c>
      <c r="X11" s="46">
        <v>41.552325829542497</v>
      </c>
    </row>
    <row r="12" spans="1:24" ht="15" customHeight="1">
      <c r="A12" s="28" t="s">
        <v>63</v>
      </c>
      <c r="B12" s="29">
        <v>3169.6</v>
      </c>
      <c r="C12" s="30" t="s">
        <v>501</v>
      </c>
      <c r="D12" s="2">
        <v>4944933544</v>
      </c>
      <c r="E12" s="2" t="s">
        <v>10</v>
      </c>
      <c r="F12" s="2" t="s">
        <v>502</v>
      </c>
      <c r="G12" s="28" t="s">
        <v>9</v>
      </c>
      <c r="H12" s="2" t="s">
        <v>23</v>
      </c>
      <c r="I12" s="2">
        <v>3</v>
      </c>
      <c r="J12" s="2"/>
      <c r="K12" s="2">
        <v>9636</v>
      </c>
      <c r="L12" s="35">
        <v>30542265.600000001</v>
      </c>
      <c r="M12" s="36">
        <v>2200</v>
      </c>
      <c r="N12" s="37">
        <v>972846</v>
      </c>
      <c r="O12" s="37">
        <v>1741</v>
      </c>
      <c r="P12" s="37">
        <v>34227</v>
      </c>
      <c r="Q12" s="37">
        <v>52969</v>
      </c>
      <c r="R12" s="37">
        <v>144616</v>
      </c>
      <c r="S12" s="37">
        <v>686870</v>
      </c>
      <c r="T12" s="37"/>
      <c r="U12" s="37">
        <v>533500</v>
      </c>
      <c r="V12" s="37">
        <v>0</v>
      </c>
      <c r="W12" s="45">
        <v>2426769</v>
      </c>
      <c r="X12" s="46">
        <v>7.9456089858638403</v>
      </c>
    </row>
    <row r="13" spans="1:24" ht="15" customHeight="1">
      <c r="A13" s="28" t="s">
        <v>63</v>
      </c>
      <c r="B13" s="29">
        <v>3169.6</v>
      </c>
      <c r="C13" s="30" t="s">
        <v>503</v>
      </c>
      <c r="D13" s="2">
        <v>4941326593</v>
      </c>
      <c r="E13" s="2" t="s">
        <v>10</v>
      </c>
      <c r="F13" s="2" t="s">
        <v>504</v>
      </c>
      <c r="G13" s="28" t="s">
        <v>5</v>
      </c>
      <c r="H13" s="2" t="s">
        <v>17</v>
      </c>
      <c r="I13" s="2">
        <v>1</v>
      </c>
      <c r="J13" s="2" t="s">
        <v>505</v>
      </c>
      <c r="K13" s="2">
        <v>18057.599999999999</v>
      </c>
      <c r="L13" s="35">
        <v>57235368.960000001</v>
      </c>
      <c r="M13" s="36">
        <v>5280</v>
      </c>
      <c r="N13" s="37">
        <v>477563</v>
      </c>
      <c r="O13" s="37">
        <v>521893</v>
      </c>
      <c r="P13" s="37">
        <v>0</v>
      </c>
      <c r="Q13" s="37">
        <v>124137</v>
      </c>
      <c r="R13" s="37">
        <v>871904</v>
      </c>
      <c r="S13" s="37">
        <v>686870</v>
      </c>
      <c r="T13" s="37"/>
      <c r="U13" s="37">
        <v>1400500</v>
      </c>
      <c r="V13" s="37">
        <v>0</v>
      </c>
      <c r="W13" s="45">
        <v>4082867</v>
      </c>
      <c r="X13" s="46">
        <v>7.13346847270852</v>
      </c>
    </row>
    <row r="14" spans="1:24" ht="15" customHeight="1">
      <c r="A14" s="28" t="s">
        <v>63</v>
      </c>
      <c r="B14" s="29">
        <v>3169.6</v>
      </c>
      <c r="C14" s="30" t="s">
        <v>522</v>
      </c>
      <c r="D14" s="2">
        <v>4944880853</v>
      </c>
      <c r="E14" s="2" t="s">
        <v>10</v>
      </c>
      <c r="F14" s="2" t="s">
        <v>523</v>
      </c>
      <c r="G14" s="28" t="s">
        <v>5</v>
      </c>
      <c r="H14" s="2" t="s">
        <v>17</v>
      </c>
      <c r="I14" s="2">
        <v>1</v>
      </c>
      <c r="J14" s="2" t="s">
        <v>524</v>
      </c>
      <c r="K14" s="2">
        <v>13166.4</v>
      </c>
      <c r="L14" s="35">
        <v>41732221.439999998</v>
      </c>
      <c r="M14" s="36">
        <v>6240</v>
      </c>
      <c r="N14" s="37">
        <v>334051</v>
      </c>
      <c r="O14" s="37">
        <v>521893</v>
      </c>
      <c r="P14" s="37">
        <v>194863</v>
      </c>
      <c r="Q14" s="37">
        <v>124137</v>
      </c>
      <c r="R14" s="37">
        <v>793897</v>
      </c>
      <c r="S14" s="37">
        <v>686870</v>
      </c>
      <c r="T14" s="37"/>
      <c r="U14" s="37">
        <v>1400500</v>
      </c>
      <c r="V14" s="37">
        <v>0</v>
      </c>
      <c r="W14" s="45">
        <v>4056211</v>
      </c>
      <c r="X14" s="46">
        <v>9.7196143891639402</v>
      </c>
    </row>
    <row r="15" spans="1:24" ht="15" customHeight="1">
      <c r="A15" s="28" t="s">
        <v>63</v>
      </c>
      <c r="B15" s="29">
        <v>3169.6</v>
      </c>
      <c r="C15" s="30" t="s">
        <v>525</v>
      </c>
      <c r="D15" s="2">
        <v>4946294305</v>
      </c>
      <c r="E15" s="2" t="s">
        <v>10</v>
      </c>
      <c r="F15" s="2" t="s">
        <v>526</v>
      </c>
      <c r="G15" s="28" t="s">
        <v>9</v>
      </c>
      <c r="H15" s="2" t="s">
        <v>23</v>
      </c>
      <c r="I15" s="2">
        <v>5</v>
      </c>
      <c r="J15" s="2"/>
      <c r="K15" s="2">
        <v>15320</v>
      </c>
      <c r="L15" s="35">
        <v>48558272</v>
      </c>
      <c r="M15" s="36">
        <v>4000</v>
      </c>
      <c r="N15" s="37">
        <v>1106691</v>
      </c>
      <c r="O15" s="37">
        <v>2697</v>
      </c>
      <c r="P15" s="37">
        <v>157331</v>
      </c>
      <c r="Q15" s="37">
        <v>80032</v>
      </c>
      <c r="R15" s="37">
        <v>173775</v>
      </c>
      <c r="S15" s="37">
        <v>686870</v>
      </c>
      <c r="T15" s="37"/>
      <c r="U15" s="37">
        <v>834200</v>
      </c>
      <c r="V15" s="37">
        <v>0</v>
      </c>
      <c r="W15" s="45">
        <v>3041596</v>
      </c>
      <c r="X15" s="46">
        <v>6.2638060926056003</v>
      </c>
    </row>
    <row r="16" spans="1:24" ht="15" customHeight="1">
      <c r="A16" s="28" t="s">
        <v>63</v>
      </c>
      <c r="B16" s="29">
        <v>3169.6</v>
      </c>
      <c r="C16" s="30" t="s">
        <v>541</v>
      </c>
      <c r="D16" s="2">
        <v>4944856228</v>
      </c>
      <c r="E16" s="2" t="s">
        <v>10</v>
      </c>
      <c r="F16" s="78" t="s">
        <v>542</v>
      </c>
      <c r="G16" s="28" t="s">
        <v>9</v>
      </c>
      <c r="H16" s="2" t="s">
        <v>23</v>
      </c>
      <c r="I16" s="2">
        <v>3</v>
      </c>
      <c r="J16" s="2"/>
      <c r="K16" s="2">
        <v>8438.4</v>
      </c>
      <c r="L16" s="35">
        <v>26746352.640000001</v>
      </c>
      <c r="M16" s="36">
        <v>720</v>
      </c>
      <c r="N16" s="37">
        <v>315555.66666666698</v>
      </c>
      <c r="O16" s="37">
        <v>1733</v>
      </c>
      <c r="P16" s="37">
        <v>74962</v>
      </c>
      <c r="Q16" s="37">
        <v>53615</v>
      </c>
      <c r="R16" s="37">
        <v>48638</v>
      </c>
      <c r="S16" s="37">
        <v>228956.66666666701</v>
      </c>
      <c r="T16" s="37"/>
      <c r="U16" s="37">
        <v>177833.33333333299</v>
      </c>
      <c r="V16" s="37">
        <v>0</v>
      </c>
      <c r="W16" s="45">
        <v>901293.66666666698</v>
      </c>
      <c r="X16" s="46">
        <v>3.3697815877846198</v>
      </c>
    </row>
    <row r="18" spans="1:24" ht="15" customHeight="1">
      <c r="A18" s="31" t="s">
        <v>63</v>
      </c>
      <c r="B18" s="31"/>
      <c r="C18" s="31"/>
      <c r="D18" s="31"/>
      <c r="E18" s="31"/>
      <c r="F18" s="32">
        <v>15</v>
      </c>
      <c r="G18" s="31"/>
      <c r="H18" s="31"/>
      <c r="I18" s="38"/>
      <c r="J18" s="31"/>
      <c r="K18" s="39">
        <f>+SUM(K2:K16)</f>
        <v>253353.8</v>
      </c>
      <c r="L18" s="39">
        <f>+SUM(L2:L16)</f>
        <v>803030204.48000014</v>
      </c>
      <c r="M18" s="31"/>
      <c r="N18" s="39"/>
      <c r="O18" s="39"/>
      <c r="P18" s="39"/>
      <c r="Q18" s="39"/>
      <c r="R18" s="39"/>
      <c r="S18" s="39"/>
      <c r="T18" s="39"/>
      <c r="U18" s="39"/>
      <c r="V18" s="31"/>
      <c r="W18" s="39">
        <f>+SUM(W2:W16)</f>
        <v>49538601.666666664</v>
      </c>
      <c r="X18" s="47">
        <f>(W18/L18)*100</f>
        <v>6.1689587004694602</v>
      </c>
    </row>
    <row r="20" spans="1:24" s="4" customFormat="1" ht="15" customHeight="1">
      <c r="A20" s="28" t="s">
        <v>647</v>
      </c>
      <c r="B20" s="29">
        <v>3125.21</v>
      </c>
      <c r="C20" s="30" t="s">
        <v>822</v>
      </c>
      <c r="D20" s="2">
        <v>4947112617</v>
      </c>
      <c r="E20" s="2" t="s">
        <v>10</v>
      </c>
      <c r="F20" s="2" t="s">
        <v>823</v>
      </c>
      <c r="G20" s="28" t="s">
        <v>5</v>
      </c>
      <c r="H20" s="2" t="s">
        <v>17</v>
      </c>
      <c r="I20" s="2">
        <v>1</v>
      </c>
      <c r="J20" s="2" t="s">
        <v>824</v>
      </c>
      <c r="K20" s="2">
        <v>53985</v>
      </c>
      <c r="L20" s="35">
        <v>168714461.84999999</v>
      </c>
      <c r="M20" s="36">
        <v>16560</v>
      </c>
      <c r="N20" s="37">
        <v>322373</v>
      </c>
      <c r="O20" s="37">
        <v>521029</v>
      </c>
      <c r="P20" s="37">
        <v>0</v>
      </c>
      <c r="Q20" s="37">
        <v>124137</v>
      </c>
      <c r="R20" s="37">
        <v>928595</v>
      </c>
      <c r="S20" s="37">
        <v>686870</v>
      </c>
      <c r="T20" s="37"/>
      <c r="U20" s="37">
        <v>1400500</v>
      </c>
      <c r="V20" s="37">
        <v>302643</v>
      </c>
      <c r="W20" s="45">
        <v>4286147</v>
      </c>
      <c r="X20" s="46">
        <v>2.5404739777498802</v>
      </c>
    </row>
    <row r="21" spans="1:24" s="4" customFormat="1" ht="15" customHeight="1">
      <c r="A21" s="28" t="s">
        <v>647</v>
      </c>
      <c r="B21" s="29">
        <v>3125.21</v>
      </c>
      <c r="C21" s="30" t="s">
        <v>825</v>
      </c>
      <c r="D21" s="2">
        <v>4946611871</v>
      </c>
      <c r="E21" s="2" t="s">
        <v>10</v>
      </c>
      <c r="F21" s="2" t="s">
        <v>826</v>
      </c>
      <c r="G21" s="28" t="s">
        <v>9</v>
      </c>
      <c r="H21" s="2" t="s">
        <v>23</v>
      </c>
      <c r="I21" s="2">
        <v>2</v>
      </c>
      <c r="J21" s="2"/>
      <c r="K21" s="2">
        <v>8438.4</v>
      </c>
      <c r="L21" s="35">
        <v>26371772.063999999</v>
      </c>
      <c r="M21" s="36">
        <v>792</v>
      </c>
      <c r="N21" s="40">
        <v>415826</v>
      </c>
      <c r="O21" s="40">
        <v>577.5</v>
      </c>
      <c r="P21" s="40">
        <v>0</v>
      </c>
      <c r="Q21" s="40">
        <v>18068</v>
      </c>
      <c r="R21" s="40">
        <v>63213</v>
      </c>
      <c r="S21" s="40">
        <v>343435</v>
      </c>
      <c r="T21" s="40"/>
      <c r="U21" s="40">
        <v>266750</v>
      </c>
      <c r="V21" s="40">
        <v>0</v>
      </c>
      <c r="W21" s="45">
        <v>1107869.5</v>
      </c>
      <c r="X21" s="46">
        <v>4.2009672209792397</v>
      </c>
    </row>
    <row r="22" spans="1:24" s="4" customFormat="1" ht="15" customHeight="1">
      <c r="A22" s="28" t="s">
        <v>647</v>
      </c>
      <c r="B22" s="29">
        <v>3125.21</v>
      </c>
      <c r="C22" s="30" t="s">
        <v>825</v>
      </c>
      <c r="D22" s="2">
        <v>4944874372</v>
      </c>
      <c r="E22" s="2" t="s">
        <v>10</v>
      </c>
      <c r="F22" s="2" t="s">
        <v>826</v>
      </c>
      <c r="G22" s="28" t="s">
        <v>9</v>
      </c>
      <c r="H22" s="2" t="s">
        <v>23</v>
      </c>
      <c r="I22" s="2">
        <v>2</v>
      </c>
      <c r="J22" s="2"/>
      <c r="K22" s="2">
        <v>8438.4</v>
      </c>
      <c r="L22" s="35">
        <v>26371772.063999999</v>
      </c>
      <c r="M22" s="36">
        <v>792</v>
      </c>
      <c r="N22" s="40">
        <v>415826</v>
      </c>
      <c r="O22" s="40">
        <v>577.5</v>
      </c>
      <c r="P22" s="40">
        <v>0</v>
      </c>
      <c r="Q22" s="40">
        <v>18068</v>
      </c>
      <c r="R22" s="40">
        <v>63213</v>
      </c>
      <c r="S22" s="40">
        <v>343435</v>
      </c>
      <c r="T22" s="40"/>
      <c r="U22" s="40">
        <v>266750</v>
      </c>
      <c r="V22" s="40">
        <v>0</v>
      </c>
      <c r="W22" s="45">
        <v>1107869.5</v>
      </c>
      <c r="X22" s="46">
        <v>4.2009672209792397</v>
      </c>
    </row>
    <row r="23" spans="1:24" s="4" customFormat="1" ht="15" customHeight="1">
      <c r="A23" s="28" t="s">
        <v>647</v>
      </c>
      <c r="B23" s="29">
        <v>3125.21</v>
      </c>
      <c r="C23" s="30" t="s">
        <v>827</v>
      </c>
      <c r="D23" s="2">
        <v>4947112617</v>
      </c>
      <c r="E23" s="2" t="s">
        <v>10</v>
      </c>
      <c r="F23" s="2" t="s">
        <v>828</v>
      </c>
      <c r="G23" s="28" t="s">
        <v>5</v>
      </c>
      <c r="H23" s="2" t="s">
        <v>17</v>
      </c>
      <c r="I23" s="2">
        <v>1</v>
      </c>
      <c r="J23" s="2" t="s">
        <v>829</v>
      </c>
      <c r="K23" s="2">
        <v>53985</v>
      </c>
      <c r="L23" s="35">
        <v>168714461.84999999</v>
      </c>
      <c r="M23" s="36">
        <v>16560</v>
      </c>
      <c r="N23" s="37">
        <v>322373</v>
      </c>
      <c r="O23" s="37">
        <v>521029</v>
      </c>
      <c r="P23" s="37">
        <v>0</v>
      </c>
      <c r="Q23" s="37">
        <v>124137</v>
      </c>
      <c r="R23" s="37">
        <v>928595</v>
      </c>
      <c r="S23" s="37">
        <v>686870</v>
      </c>
      <c r="T23" s="37"/>
      <c r="U23" s="37">
        <v>1400500</v>
      </c>
      <c r="V23" s="37">
        <v>302643</v>
      </c>
      <c r="W23" s="45">
        <v>4286147</v>
      </c>
      <c r="X23" s="46">
        <v>2.5404739777498802</v>
      </c>
    </row>
    <row r="24" spans="1:24" s="4" customFormat="1" ht="15" customHeight="1">
      <c r="A24" s="28" t="s">
        <v>647</v>
      </c>
      <c r="B24" s="29">
        <v>3125.21</v>
      </c>
      <c r="C24" s="30" t="s">
        <v>830</v>
      </c>
      <c r="D24" s="2">
        <v>4944881452</v>
      </c>
      <c r="E24" s="2" t="s">
        <v>10</v>
      </c>
      <c r="F24" s="2" t="s">
        <v>831</v>
      </c>
      <c r="G24" s="28" t="s">
        <v>5</v>
      </c>
      <c r="H24" s="2" t="s">
        <v>20</v>
      </c>
      <c r="I24" s="2">
        <v>1</v>
      </c>
      <c r="J24" s="2" t="s">
        <v>832</v>
      </c>
      <c r="K24" s="2">
        <v>15782.8</v>
      </c>
      <c r="L24" s="35">
        <v>49324564.387999997</v>
      </c>
      <c r="M24" s="36">
        <v>8228</v>
      </c>
      <c r="N24" s="37">
        <v>467629</v>
      </c>
      <c r="O24" s="37">
        <v>396775</v>
      </c>
      <c r="P24" s="37">
        <v>0</v>
      </c>
      <c r="Q24" s="37">
        <v>124137</v>
      </c>
      <c r="R24" s="37">
        <v>733528</v>
      </c>
      <c r="S24" s="37">
        <v>686870</v>
      </c>
      <c r="T24" s="37"/>
      <c r="U24" s="37">
        <v>1352000</v>
      </c>
      <c r="V24" s="37">
        <v>0</v>
      </c>
      <c r="W24" s="45">
        <v>3760939</v>
      </c>
      <c r="X24" s="46">
        <v>7.6248803140266297</v>
      </c>
    </row>
    <row r="25" spans="1:24" s="4" customFormat="1" ht="15" customHeight="1">
      <c r="A25" s="28" t="s">
        <v>647</v>
      </c>
      <c r="B25" s="29">
        <v>3125.21</v>
      </c>
      <c r="C25" s="30" t="s">
        <v>1089</v>
      </c>
      <c r="D25" s="2">
        <v>4945994028</v>
      </c>
      <c r="E25" s="2" t="s">
        <v>10</v>
      </c>
      <c r="F25" s="2" t="s">
        <v>1090</v>
      </c>
      <c r="G25" s="28" t="s">
        <v>9</v>
      </c>
      <c r="H25" s="2" t="s">
        <v>23</v>
      </c>
      <c r="I25" s="2">
        <v>5</v>
      </c>
      <c r="J25" s="2"/>
      <c r="K25" s="2">
        <v>6060</v>
      </c>
      <c r="L25" s="35">
        <v>18938772.600000001</v>
      </c>
      <c r="M25" s="36">
        <v>3000</v>
      </c>
      <c r="N25" s="40">
        <v>949198</v>
      </c>
      <c r="O25" s="40">
        <v>1927</v>
      </c>
      <c r="P25" s="40">
        <v>0</v>
      </c>
      <c r="Q25" s="40">
        <v>60208</v>
      </c>
      <c r="R25" s="40">
        <v>151839</v>
      </c>
      <c r="S25" s="40">
        <v>708712</v>
      </c>
      <c r="T25" s="40"/>
      <c r="U25" s="40">
        <v>553500</v>
      </c>
      <c r="V25" s="40">
        <v>0</v>
      </c>
      <c r="W25" s="45">
        <v>2425384</v>
      </c>
      <c r="X25" s="46">
        <v>12.806447657542501</v>
      </c>
    </row>
    <row r="26" spans="1:24" s="4" customFormat="1" ht="15" customHeight="1">
      <c r="A26" s="28" t="s">
        <v>647</v>
      </c>
      <c r="B26" s="29">
        <v>3125.21</v>
      </c>
      <c r="C26" s="30" t="s">
        <v>1091</v>
      </c>
      <c r="D26" s="2">
        <v>4943838729</v>
      </c>
      <c r="E26" s="2" t="s">
        <v>10</v>
      </c>
      <c r="F26" s="78" t="s">
        <v>1092</v>
      </c>
      <c r="G26" s="28" t="s">
        <v>9</v>
      </c>
      <c r="H26" s="2" t="s">
        <v>23</v>
      </c>
      <c r="I26" s="2">
        <v>1</v>
      </c>
      <c r="J26" s="2"/>
      <c r="K26" s="2">
        <v>7797.6</v>
      </c>
      <c r="L26" s="35">
        <v>24369137.495999999</v>
      </c>
      <c r="M26" s="36">
        <v>720</v>
      </c>
      <c r="N26" s="40">
        <v>694177</v>
      </c>
      <c r="O26" s="40">
        <v>561</v>
      </c>
      <c r="P26" s="40">
        <v>0</v>
      </c>
      <c r="Q26" s="40">
        <v>17536</v>
      </c>
      <c r="R26" s="40">
        <v>26828</v>
      </c>
      <c r="S26" s="40">
        <v>708712</v>
      </c>
      <c r="T26" s="40"/>
      <c r="U26" s="40">
        <v>533500</v>
      </c>
      <c r="V26" s="40">
        <v>0</v>
      </c>
      <c r="W26" s="45">
        <v>1981314</v>
      </c>
      <c r="X26" s="46">
        <v>8.1304231646492102</v>
      </c>
    </row>
    <row r="27" spans="1:24" s="4" customFormat="1" ht="15" customHeight="1">
      <c r="A27" s="28" t="s">
        <v>647</v>
      </c>
      <c r="B27" s="29">
        <v>3125.21</v>
      </c>
      <c r="C27" s="30" t="s">
        <v>1093</v>
      </c>
      <c r="D27" s="2">
        <v>4945994028</v>
      </c>
      <c r="E27" s="2" t="s">
        <v>10</v>
      </c>
      <c r="F27" s="78" t="s">
        <v>1094</v>
      </c>
      <c r="G27" s="28" t="s">
        <v>5</v>
      </c>
      <c r="H27" s="2" t="s">
        <v>20</v>
      </c>
      <c r="I27" s="2">
        <v>1</v>
      </c>
      <c r="J27" s="2" t="s">
        <v>1095</v>
      </c>
      <c r="K27" s="2">
        <v>13320</v>
      </c>
      <c r="L27" s="35">
        <v>41627797.200000003</v>
      </c>
      <c r="M27" s="36">
        <v>12000</v>
      </c>
      <c r="N27" s="40">
        <v>317801</v>
      </c>
      <c r="O27" s="40">
        <v>392267</v>
      </c>
      <c r="P27" s="40">
        <v>0</v>
      </c>
      <c r="Q27" s="40">
        <v>124137</v>
      </c>
      <c r="R27" s="40">
        <v>636590</v>
      </c>
      <c r="S27" s="40">
        <v>708712</v>
      </c>
      <c r="T27" s="40"/>
      <c r="U27" s="40">
        <v>1352000</v>
      </c>
      <c r="V27" s="40">
        <v>0</v>
      </c>
      <c r="W27" s="45">
        <v>3531507</v>
      </c>
      <c r="X27" s="46">
        <v>8.4835308076306308</v>
      </c>
    </row>
    <row r="28" spans="1:24" s="4" customFormat="1" ht="15" customHeight="1">
      <c r="A28" s="28" t="s">
        <v>647</v>
      </c>
      <c r="B28" s="29">
        <v>3125.21</v>
      </c>
      <c r="C28" s="30" t="s">
        <v>1096</v>
      </c>
      <c r="D28" s="2">
        <v>4948468969</v>
      </c>
      <c r="E28" s="2" t="s">
        <v>10</v>
      </c>
      <c r="F28" s="2" t="s">
        <v>1097</v>
      </c>
      <c r="G28" s="28" t="s">
        <v>5</v>
      </c>
      <c r="H28" s="2" t="s">
        <v>20</v>
      </c>
      <c r="I28" s="2">
        <v>1</v>
      </c>
      <c r="J28" s="2" t="s">
        <v>1098</v>
      </c>
      <c r="K28" s="2">
        <v>66000</v>
      </c>
      <c r="L28" s="35">
        <v>206263860</v>
      </c>
      <c r="M28" s="36">
        <v>5000</v>
      </c>
      <c r="N28" s="40">
        <v>501824</v>
      </c>
      <c r="O28" s="40">
        <v>392267</v>
      </c>
      <c r="P28" s="40">
        <v>259537</v>
      </c>
      <c r="Q28" s="40">
        <v>124137</v>
      </c>
      <c r="R28" s="40">
        <v>729045</v>
      </c>
      <c r="S28" s="40">
        <v>708712</v>
      </c>
      <c r="T28" s="40"/>
      <c r="U28" s="40">
        <v>828200</v>
      </c>
      <c r="V28" s="40">
        <v>0</v>
      </c>
      <c r="W28" s="45">
        <v>3543722</v>
      </c>
      <c r="X28" s="46">
        <v>1.7180527892768001</v>
      </c>
    </row>
    <row r="30" spans="1:24" ht="15" customHeight="1">
      <c r="A30" s="31" t="s">
        <v>647</v>
      </c>
      <c r="B30" s="31"/>
      <c r="C30" s="31"/>
      <c r="D30" s="31"/>
      <c r="E30" s="31"/>
      <c r="F30" s="32">
        <v>8</v>
      </c>
      <c r="G30" s="31"/>
      <c r="H30" s="31"/>
      <c r="I30" s="38"/>
      <c r="J30" s="31"/>
      <c r="K30" s="39">
        <f>+SUM(K20:K28)</f>
        <v>233807.2</v>
      </c>
      <c r="L30" s="39">
        <f>+SUM(L20:L28)</f>
        <v>730696599.51200008</v>
      </c>
      <c r="M30" s="31"/>
      <c r="N30" s="39"/>
      <c r="O30" s="39"/>
      <c r="P30" s="39"/>
      <c r="Q30" s="39"/>
      <c r="R30" s="39"/>
      <c r="S30" s="39"/>
      <c r="T30" s="39"/>
      <c r="U30" s="39"/>
      <c r="V30" s="31"/>
      <c r="W30" s="39">
        <f>+SUM(W20:W28)</f>
        <v>26030899</v>
      </c>
      <c r="X30" s="47">
        <f>(W30/L30)*100</f>
        <v>3.5624770961552152</v>
      </c>
    </row>
    <row r="32" spans="1:24" s="4" customFormat="1" ht="15" customHeight="1">
      <c r="A32" s="28" t="s">
        <v>1109</v>
      </c>
      <c r="B32" s="29">
        <v>3106.0650000000001</v>
      </c>
      <c r="C32" s="30" t="s">
        <v>1273</v>
      </c>
      <c r="D32" s="2">
        <v>4942476059</v>
      </c>
      <c r="E32" s="2" t="s">
        <v>10</v>
      </c>
      <c r="F32" s="78" t="s">
        <v>1274</v>
      </c>
      <c r="G32" s="28" t="s">
        <v>9</v>
      </c>
      <c r="H32" s="2" t="s">
        <v>23</v>
      </c>
      <c r="I32" s="2">
        <v>3</v>
      </c>
      <c r="J32" s="2"/>
      <c r="K32" s="2">
        <v>32716.799999999999</v>
      </c>
      <c r="L32" s="35">
        <v>101620507.392</v>
      </c>
      <c r="M32" s="36">
        <v>1440</v>
      </c>
      <c r="N32" s="40">
        <v>580217.14285714296</v>
      </c>
      <c r="O32" s="40">
        <v>1187.3571428571399</v>
      </c>
      <c r="P32" s="40">
        <v>0</v>
      </c>
      <c r="Q32" s="40">
        <v>36915.428571428602</v>
      </c>
      <c r="R32" s="40">
        <v>95643</v>
      </c>
      <c r="S32" s="40">
        <v>455600.57142857101</v>
      </c>
      <c r="T32" s="40"/>
      <c r="U32" s="40">
        <v>342964.28571428597</v>
      </c>
      <c r="V32" s="40">
        <v>0</v>
      </c>
      <c r="W32" s="45">
        <v>1512527.7857142901</v>
      </c>
      <c r="X32" s="46">
        <v>1.48840802366763</v>
      </c>
    </row>
    <row r="33" spans="1:24" s="4" customFormat="1" ht="15" customHeight="1">
      <c r="A33" s="28" t="s">
        <v>1109</v>
      </c>
      <c r="B33" s="29">
        <v>3106.0650000000001</v>
      </c>
      <c r="C33" s="30" t="s">
        <v>1273</v>
      </c>
      <c r="D33" s="2">
        <v>4946369359</v>
      </c>
      <c r="E33" s="2" t="s">
        <v>10</v>
      </c>
      <c r="F33" s="78" t="s">
        <v>1274</v>
      </c>
      <c r="G33" s="28" t="s">
        <v>9</v>
      </c>
      <c r="H33" s="2" t="s">
        <v>23</v>
      </c>
      <c r="I33" s="2">
        <v>3</v>
      </c>
      <c r="J33" s="2"/>
      <c r="K33" s="2">
        <v>13584</v>
      </c>
      <c r="L33" s="35">
        <v>42192786.960000001</v>
      </c>
      <c r="M33" s="36">
        <v>800</v>
      </c>
      <c r="N33" s="40">
        <v>322342.85714285698</v>
      </c>
      <c r="O33" s="40">
        <v>659.642857142857</v>
      </c>
      <c r="P33" s="40">
        <v>0</v>
      </c>
      <c r="Q33" s="40">
        <v>20508.571428571398</v>
      </c>
      <c r="R33" s="40">
        <v>53135</v>
      </c>
      <c r="S33" s="40">
        <v>253111.42857142899</v>
      </c>
      <c r="T33" s="40"/>
      <c r="U33" s="40">
        <v>190535.714285714</v>
      </c>
      <c r="V33" s="40">
        <v>0</v>
      </c>
      <c r="W33" s="45">
        <v>840293.21428571397</v>
      </c>
      <c r="X33" s="46">
        <v>1.9915565546365499</v>
      </c>
    </row>
    <row r="34" spans="1:24" s="4" customFormat="1" ht="15" customHeight="1">
      <c r="A34" s="28" t="s">
        <v>1109</v>
      </c>
      <c r="B34" s="29">
        <v>3106.0650000000001</v>
      </c>
      <c r="C34" s="30" t="s">
        <v>1275</v>
      </c>
      <c r="D34" s="2">
        <v>4946553536</v>
      </c>
      <c r="E34" s="2" t="s">
        <v>10</v>
      </c>
      <c r="F34" s="78" t="s">
        <v>1276</v>
      </c>
      <c r="G34" s="28" t="s">
        <v>5</v>
      </c>
      <c r="H34" s="2" t="s">
        <v>17</v>
      </c>
      <c r="I34" s="2">
        <v>1</v>
      </c>
      <c r="J34" s="2" t="s">
        <v>1277</v>
      </c>
      <c r="K34" s="2">
        <v>70200</v>
      </c>
      <c r="L34" s="35">
        <v>218045763</v>
      </c>
      <c r="M34" s="36">
        <v>18000</v>
      </c>
      <c r="N34" s="40">
        <v>317056</v>
      </c>
      <c r="O34" s="40">
        <v>515212</v>
      </c>
      <c r="P34" s="40">
        <v>0</v>
      </c>
      <c r="Q34" s="40">
        <v>124137</v>
      </c>
      <c r="R34" s="40">
        <v>851071</v>
      </c>
      <c r="S34" s="40">
        <v>708712</v>
      </c>
      <c r="T34" s="40"/>
      <c r="U34" s="40">
        <v>1600500</v>
      </c>
      <c r="V34" s="40">
        <v>0</v>
      </c>
      <c r="W34" s="45">
        <v>4116688</v>
      </c>
      <c r="X34" s="46">
        <v>1.88799265959596</v>
      </c>
    </row>
    <row r="35" spans="1:24" s="4" customFormat="1" ht="15" customHeight="1">
      <c r="A35" s="28" t="s">
        <v>1109</v>
      </c>
      <c r="B35" s="29">
        <v>3106.0650000000001</v>
      </c>
      <c r="C35" s="30" t="s">
        <v>1278</v>
      </c>
      <c r="D35" s="2">
        <v>4946882424</v>
      </c>
      <c r="E35" s="2" t="s">
        <v>10</v>
      </c>
      <c r="F35" s="78" t="s">
        <v>1279</v>
      </c>
      <c r="G35" s="28" t="s">
        <v>9</v>
      </c>
      <c r="H35" s="2" t="s">
        <v>23</v>
      </c>
      <c r="I35" s="2">
        <v>4</v>
      </c>
      <c r="J35" s="2"/>
      <c r="K35" s="2">
        <v>5260.8</v>
      </c>
      <c r="L35" s="35">
        <v>16340386.752</v>
      </c>
      <c r="M35" s="36">
        <v>2112</v>
      </c>
      <c r="N35" s="40">
        <v>2506817</v>
      </c>
      <c r="O35" s="40">
        <v>1341</v>
      </c>
      <c r="P35" s="40">
        <v>51408</v>
      </c>
      <c r="Q35" s="40">
        <v>41310</v>
      </c>
      <c r="R35" s="40">
        <v>138714</v>
      </c>
      <c r="S35" s="40">
        <v>708712</v>
      </c>
      <c r="T35" s="40"/>
      <c r="U35" s="40">
        <v>533500</v>
      </c>
      <c r="V35" s="40">
        <v>0</v>
      </c>
      <c r="W35" s="45">
        <v>3981802</v>
      </c>
      <c r="X35" s="46">
        <v>24.367856528932201</v>
      </c>
    </row>
    <row r="36" spans="1:24" s="4" customFormat="1" ht="15" customHeight="1">
      <c r="A36" s="28" t="s">
        <v>1109</v>
      </c>
      <c r="B36" s="29">
        <v>3106.0650000000001</v>
      </c>
      <c r="C36" s="30" t="s">
        <v>1280</v>
      </c>
      <c r="D36" s="2">
        <v>4947224879</v>
      </c>
      <c r="E36" s="2" t="s">
        <v>10</v>
      </c>
      <c r="F36" s="78" t="s">
        <v>1281</v>
      </c>
      <c r="G36" s="28" t="s">
        <v>5</v>
      </c>
      <c r="H36" s="2" t="s">
        <v>17</v>
      </c>
      <c r="I36" s="2">
        <v>1</v>
      </c>
      <c r="J36" s="2" t="s">
        <v>1282</v>
      </c>
      <c r="K36" s="2">
        <v>13151.6</v>
      </c>
      <c r="L36" s="35">
        <v>40849724.454000004</v>
      </c>
      <c r="M36" s="36">
        <v>5390</v>
      </c>
      <c r="N36" s="40">
        <v>321838</v>
      </c>
      <c r="O36" s="40">
        <v>515212</v>
      </c>
      <c r="P36" s="40">
        <v>0</v>
      </c>
      <c r="Q36" s="40">
        <v>124137</v>
      </c>
      <c r="R36" s="40">
        <v>768173</v>
      </c>
      <c r="S36" s="40">
        <v>708712</v>
      </c>
      <c r="T36" s="40"/>
      <c r="U36" s="40">
        <v>1400500</v>
      </c>
      <c r="V36" s="40">
        <v>0</v>
      </c>
      <c r="W36" s="45">
        <v>3838572</v>
      </c>
      <c r="X36" s="46">
        <v>9.3968124664403394</v>
      </c>
    </row>
    <row r="37" spans="1:24" s="4" customFormat="1" ht="15" customHeight="1">
      <c r="A37" s="28" t="s">
        <v>1109</v>
      </c>
      <c r="B37" s="29">
        <v>3106.0650000000001</v>
      </c>
      <c r="C37" s="30" t="s">
        <v>1283</v>
      </c>
      <c r="D37" s="2">
        <v>4946294304</v>
      </c>
      <c r="E37" s="2" t="s">
        <v>10</v>
      </c>
      <c r="F37" s="78" t="s">
        <v>1284</v>
      </c>
      <c r="G37" s="28" t="s">
        <v>5</v>
      </c>
      <c r="H37" s="2" t="s">
        <v>20</v>
      </c>
      <c r="I37" s="2">
        <v>1</v>
      </c>
      <c r="J37" s="2" t="s">
        <v>1285</v>
      </c>
      <c r="K37" s="2">
        <v>40384</v>
      </c>
      <c r="L37" s="35">
        <v>125435328.95999999</v>
      </c>
      <c r="M37" s="36">
        <v>6400</v>
      </c>
      <c r="N37" s="40">
        <v>321838</v>
      </c>
      <c r="O37" s="40">
        <v>392345</v>
      </c>
      <c r="P37" s="40">
        <v>0</v>
      </c>
      <c r="Q37" s="40">
        <v>124137</v>
      </c>
      <c r="R37" s="40">
        <v>643422</v>
      </c>
      <c r="S37" s="40">
        <v>708712</v>
      </c>
      <c r="T37" s="40"/>
      <c r="U37" s="40">
        <v>1352000</v>
      </c>
      <c r="V37" s="40">
        <v>0</v>
      </c>
      <c r="W37" s="45">
        <v>3542454</v>
      </c>
      <c r="X37" s="46">
        <v>2.8241278030447501</v>
      </c>
    </row>
    <row r="38" spans="1:24" s="4" customFormat="1" ht="15" customHeight="1">
      <c r="A38" s="28" t="s">
        <v>1109</v>
      </c>
      <c r="B38" s="29">
        <v>3106.0650000000001</v>
      </c>
      <c r="C38" s="30" t="s">
        <v>1286</v>
      </c>
      <c r="D38" s="2">
        <v>4947720143</v>
      </c>
      <c r="E38" s="2" t="s">
        <v>10</v>
      </c>
      <c r="F38" s="78" t="s">
        <v>1287</v>
      </c>
      <c r="G38" s="28" t="s">
        <v>5</v>
      </c>
      <c r="H38" s="2" t="s">
        <v>20</v>
      </c>
      <c r="I38" s="2">
        <v>1</v>
      </c>
      <c r="J38" s="2" t="s">
        <v>1288</v>
      </c>
      <c r="K38" s="2">
        <v>106176</v>
      </c>
      <c r="L38" s="35">
        <v>329789557.44</v>
      </c>
      <c r="M38" s="36">
        <v>16800</v>
      </c>
      <c r="N38" s="40">
        <v>318619</v>
      </c>
      <c r="O38" s="40">
        <v>392345</v>
      </c>
      <c r="P38" s="40">
        <v>0</v>
      </c>
      <c r="Q38" s="40">
        <v>124137</v>
      </c>
      <c r="R38" s="40">
        <v>732270</v>
      </c>
      <c r="S38" s="40">
        <v>708712</v>
      </c>
      <c r="T38" s="40"/>
      <c r="U38" s="40">
        <v>1381100</v>
      </c>
      <c r="V38" s="40">
        <v>0</v>
      </c>
      <c r="W38" s="45">
        <v>3657183</v>
      </c>
      <c r="X38" s="46">
        <v>1.1089444518464999</v>
      </c>
    </row>
    <row r="39" spans="1:24" s="4" customFormat="1" ht="15" customHeight="1">
      <c r="A39" s="28" t="s">
        <v>1109</v>
      </c>
      <c r="B39" s="29">
        <v>3106.0650000000001</v>
      </c>
      <c r="C39" s="30" t="s">
        <v>1289</v>
      </c>
      <c r="D39" s="2">
        <v>4947574268</v>
      </c>
      <c r="E39" s="2" t="s">
        <v>10</v>
      </c>
      <c r="F39" s="78" t="s">
        <v>1290</v>
      </c>
      <c r="G39" s="28" t="s">
        <v>5</v>
      </c>
      <c r="H39" s="2" t="s">
        <v>17</v>
      </c>
      <c r="I39" s="2">
        <v>1</v>
      </c>
      <c r="J39" s="2" t="s">
        <v>1291</v>
      </c>
      <c r="K39" s="2">
        <v>40384</v>
      </c>
      <c r="L39" s="35">
        <v>125435328.95999999</v>
      </c>
      <c r="M39" s="36">
        <v>7040</v>
      </c>
      <c r="N39" s="40">
        <v>160919</v>
      </c>
      <c r="O39" s="40">
        <v>257606</v>
      </c>
      <c r="P39" s="40">
        <v>0</v>
      </c>
      <c r="Q39" s="40">
        <v>62068.5</v>
      </c>
      <c r="R39" s="40">
        <v>384087</v>
      </c>
      <c r="S39" s="40">
        <v>354356</v>
      </c>
      <c r="T39" s="40"/>
      <c r="U39" s="40">
        <v>700250</v>
      </c>
      <c r="V39" s="40">
        <v>0</v>
      </c>
      <c r="W39" s="45">
        <v>1919286.5</v>
      </c>
      <c r="X39" s="46">
        <v>1.53010042379053</v>
      </c>
    </row>
    <row r="40" spans="1:24" s="4" customFormat="1" ht="15" customHeight="1">
      <c r="A40" s="28" t="s">
        <v>1109</v>
      </c>
      <c r="B40" s="29">
        <v>3106.0650000000001</v>
      </c>
      <c r="C40" s="30" t="s">
        <v>1289</v>
      </c>
      <c r="D40" s="2">
        <v>4947574269</v>
      </c>
      <c r="E40" s="2" t="s">
        <v>10</v>
      </c>
      <c r="F40" s="78" t="s">
        <v>1290</v>
      </c>
      <c r="G40" s="28" t="s">
        <v>5</v>
      </c>
      <c r="H40" s="2" t="s">
        <v>17</v>
      </c>
      <c r="I40" s="2">
        <v>1</v>
      </c>
      <c r="J40" s="2" t="s">
        <v>1291</v>
      </c>
      <c r="K40" s="2">
        <v>40384</v>
      </c>
      <c r="L40" s="35">
        <v>125435328.95999999</v>
      </c>
      <c r="M40" s="36">
        <v>7040</v>
      </c>
      <c r="N40" s="40">
        <v>160919</v>
      </c>
      <c r="O40" s="40">
        <v>257606</v>
      </c>
      <c r="P40" s="40">
        <v>0</v>
      </c>
      <c r="Q40" s="40">
        <v>62068.5</v>
      </c>
      <c r="R40" s="40">
        <v>384087</v>
      </c>
      <c r="S40" s="40">
        <v>354356</v>
      </c>
      <c r="T40" s="40"/>
      <c r="U40" s="40">
        <v>700250</v>
      </c>
      <c r="V40" s="40">
        <v>0</v>
      </c>
      <c r="W40" s="45">
        <v>1919286.5</v>
      </c>
      <c r="X40" s="46">
        <v>1.53010042379053</v>
      </c>
    </row>
    <row r="41" spans="1:24" s="4" customFormat="1" ht="15" customHeight="1">
      <c r="A41" s="28" t="s">
        <v>1109</v>
      </c>
      <c r="B41" s="29">
        <v>3106.0650000000001</v>
      </c>
      <c r="C41" s="30" t="s">
        <v>1550</v>
      </c>
      <c r="D41" s="2">
        <v>4948541023</v>
      </c>
      <c r="E41" s="2" t="s">
        <v>10</v>
      </c>
      <c r="F41" s="78" t="s">
        <v>1551</v>
      </c>
      <c r="G41" s="28" t="s">
        <v>9</v>
      </c>
      <c r="H41" s="2" t="s">
        <v>23</v>
      </c>
      <c r="I41" s="2">
        <v>3</v>
      </c>
      <c r="J41" s="2"/>
      <c r="K41" s="2">
        <v>19278</v>
      </c>
      <c r="L41" s="35">
        <v>59878721.07</v>
      </c>
      <c r="M41" s="36">
        <v>1980</v>
      </c>
      <c r="N41" s="40">
        <v>669539</v>
      </c>
      <c r="O41" s="40">
        <v>1298</v>
      </c>
      <c r="P41" s="40">
        <v>24741</v>
      </c>
      <c r="Q41" s="40">
        <v>40314</v>
      </c>
      <c r="R41" s="40">
        <v>130214</v>
      </c>
      <c r="S41" s="40">
        <v>708712</v>
      </c>
      <c r="T41" s="40"/>
      <c r="U41" s="40">
        <v>533500</v>
      </c>
      <c r="V41" s="40">
        <v>0</v>
      </c>
      <c r="W41" s="45">
        <v>2108318</v>
      </c>
      <c r="X41" s="46">
        <v>3.5209803454808499</v>
      </c>
    </row>
    <row r="42" spans="1:24" s="4" customFormat="1" ht="15" customHeight="1">
      <c r="A42" s="28" t="s">
        <v>1109</v>
      </c>
      <c r="B42" s="29">
        <v>3106.0650000000001</v>
      </c>
      <c r="C42" s="30" t="s">
        <v>1552</v>
      </c>
      <c r="D42" s="2">
        <v>4947112618</v>
      </c>
      <c r="E42" s="2" t="s">
        <v>10</v>
      </c>
      <c r="F42" s="2" t="s">
        <v>1553</v>
      </c>
      <c r="G42" s="28" t="s">
        <v>5</v>
      </c>
      <c r="H42" s="2" t="s">
        <v>17</v>
      </c>
      <c r="I42" s="2">
        <v>1</v>
      </c>
      <c r="J42" s="2" t="s">
        <v>1554</v>
      </c>
      <c r="K42" s="2">
        <v>53985.599999999999</v>
      </c>
      <c r="L42" s="35">
        <v>167682782.664</v>
      </c>
      <c r="M42" s="36">
        <v>16560</v>
      </c>
      <c r="N42" s="40">
        <v>313889</v>
      </c>
      <c r="O42" s="40">
        <v>509004</v>
      </c>
      <c r="P42" s="40">
        <v>0</v>
      </c>
      <c r="Q42" s="40">
        <v>124137</v>
      </c>
      <c r="R42" s="40">
        <v>905659</v>
      </c>
      <c r="S42" s="40">
        <v>708712</v>
      </c>
      <c r="T42" s="40"/>
      <c r="U42" s="40">
        <v>1600500</v>
      </c>
      <c r="V42" s="40">
        <v>0</v>
      </c>
      <c r="W42" s="45">
        <v>4161901</v>
      </c>
      <c r="X42" s="46">
        <v>2.48200854845041</v>
      </c>
    </row>
    <row r="43" spans="1:24" s="4" customFormat="1" ht="15" customHeight="1">
      <c r="A43" s="28" t="s">
        <v>1109</v>
      </c>
      <c r="B43" s="29">
        <v>3106.0650000000001</v>
      </c>
      <c r="C43" s="30" t="s">
        <v>1555</v>
      </c>
      <c r="D43" s="2">
        <v>4947112618</v>
      </c>
      <c r="E43" s="2" t="s">
        <v>10</v>
      </c>
      <c r="F43" s="2" t="s">
        <v>1556</v>
      </c>
      <c r="G43" s="28" t="s">
        <v>5</v>
      </c>
      <c r="H43" s="2" t="s">
        <v>17</v>
      </c>
      <c r="I43" s="2">
        <v>1</v>
      </c>
      <c r="J43" s="2" t="s">
        <v>1557</v>
      </c>
      <c r="K43" s="2">
        <v>53985.599999999999</v>
      </c>
      <c r="L43" s="35">
        <v>167682782.664</v>
      </c>
      <c r="M43" s="36">
        <v>16560</v>
      </c>
      <c r="N43" s="40">
        <v>313889</v>
      </c>
      <c r="O43" s="40">
        <v>509004</v>
      </c>
      <c r="P43" s="40">
        <v>0</v>
      </c>
      <c r="Q43" s="40">
        <v>124137</v>
      </c>
      <c r="R43" s="40">
        <v>905659</v>
      </c>
      <c r="S43" s="40">
        <v>708712</v>
      </c>
      <c r="T43" s="40"/>
      <c r="U43" s="40">
        <v>1600500</v>
      </c>
      <c r="V43" s="40">
        <v>0</v>
      </c>
      <c r="W43" s="45">
        <v>4161901</v>
      </c>
      <c r="X43" s="46">
        <v>2.48200854845041</v>
      </c>
    </row>
    <row r="44" spans="1:24" s="4" customFormat="1" ht="15" customHeight="1">
      <c r="A44" s="28" t="s">
        <v>1109</v>
      </c>
      <c r="B44" s="29">
        <v>3106.0650000000001</v>
      </c>
      <c r="C44" s="30" t="s">
        <v>1558</v>
      </c>
      <c r="D44" s="2">
        <v>4947720143</v>
      </c>
      <c r="E44" s="2" t="s">
        <v>10</v>
      </c>
      <c r="F44" s="2" t="s">
        <v>1559</v>
      </c>
      <c r="G44" s="28" t="s">
        <v>5</v>
      </c>
      <c r="H44" s="2" t="s">
        <v>20</v>
      </c>
      <c r="I44" s="2">
        <v>1</v>
      </c>
      <c r="J44" s="2" t="s">
        <v>1560</v>
      </c>
      <c r="K44" s="2">
        <v>47779.199999999997</v>
      </c>
      <c r="L44" s="35">
        <v>148405300.84799999</v>
      </c>
      <c r="M44" s="36">
        <v>7560</v>
      </c>
      <c r="N44" s="40">
        <v>382336.70588235301</v>
      </c>
      <c r="O44" s="40">
        <v>319214.82352941198</v>
      </c>
      <c r="P44" s="40">
        <v>0</v>
      </c>
      <c r="Q44" s="40">
        <v>102230.470588235</v>
      </c>
      <c r="R44" s="40">
        <v>599798</v>
      </c>
      <c r="S44" s="40">
        <v>583645.17647058796</v>
      </c>
      <c r="T44" s="40"/>
      <c r="U44" s="40">
        <v>1278117.6470588199</v>
      </c>
      <c r="V44" s="40">
        <v>0</v>
      </c>
      <c r="W44" s="45">
        <v>3265342.8235294102</v>
      </c>
      <c r="X44" s="46">
        <v>2.2002871897910499</v>
      </c>
    </row>
    <row r="45" spans="1:24" s="4" customFormat="1" ht="15" customHeight="1">
      <c r="A45" s="28" t="s">
        <v>1109</v>
      </c>
      <c r="B45" s="29">
        <v>3106.0650000000001</v>
      </c>
      <c r="C45" s="30" t="s">
        <v>1558</v>
      </c>
      <c r="D45" s="2">
        <v>4946346882</v>
      </c>
      <c r="E45" s="2" t="s">
        <v>10</v>
      </c>
      <c r="F45" s="2" t="s">
        <v>1559</v>
      </c>
      <c r="G45" s="28" t="s">
        <v>5</v>
      </c>
      <c r="H45" s="2" t="s">
        <v>20</v>
      </c>
      <c r="I45" s="2">
        <v>1</v>
      </c>
      <c r="J45" s="2" t="s">
        <v>1560</v>
      </c>
      <c r="K45" s="2">
        <v>13008.6</v>
      </c>
      <c r="L45" s="35">
        <v>40405557.159000002</v>
      </c>
      <c r="M45" s="36">
        <v>1620</v>
      </c>
      <c r="N45" s="40">
        <v>81929.294117647107</v>
      </c>
      <c r="O45" s="40">
        <v>68403.176470588194</v>
      </c>
      <c r="P45" s="40">
        <v>0</v>
      </c>
      <c r="Q45" s="40">
        <v>21906.529411764699</v>
      </c>
      <c r="R45" s="40">
        <v>128528</v>
      </c>
      <c r="S45" s="40">
        <v>125066.82352941199</v>
      </c>
      <c r="T45" s="40"/>
      <c r="U45" s="40">
        <v>273882.35294117703</v>
      </c>
      <c r="V45" s="40">
        <v>0</v>
      </c>
      <c r="W45" s="45">
        <v>699716.17647058901</v>
      </c>
      <c r="X45" s="46">
        <v>1.7317325280706699</v>
      </c>
    </row>
    <row r="46" spans="1:24" s="4" customFormat="1" ht="15" customHeight="1">
      <c r="A46" s="28" t="s">
        <v>1109</v>
      </c>
      <c r="B46" s="29">
        <v>3106.0650000000001</v>
      </c>
      <c r="C46" s="30" t="s">
        <v>1561</v>
      </c>
      <c r="D46" s="2">
        <v>4947112618</v>
      </c>
      <c r="E46" s="2" t="s">
        <v>10</v>
      </c>
      <c r="F46" s="78" t="s">
        <v>1562</v>
      </c>
      <c r="G46" s="28" t="s">
        <v>5</v>
      </c>
      <c r="H46" s="2" t="s">
        <v>17</v>
      </c>
      <c r="I46" s="2">
        <v>1</v>
      </c>
      <c r="J46" s="2" t="s">
        <v>1563</v>
      </c>
      <c r="K46" s="2">
        <v>53985.599999999999</v>
      </c>
      <c r="L46" s="35">
        <v>167682782.664</v>
      </c>
      <c r="M46" s="36">
        <v>16560</v>
      </c>
      <c r="N46" s="40">
        <v>313889</v>
      </c>
      <c r="O46" s="40">
        <v>509004</v>
      </c>
      <c r="P46" s="40">
        <v>0</v>
      </c>
      <c r="Q46" s="40">
        <v>124137</v>
      </c>
      <c r="R46" s="40">
        <v>905659</v>
      </c>
      <c r="S46" s="40">
        <v>708712</v>
      </c>
      <c r="T46" s="40"/>
      <c r="U46" s="40">
        <v>1600500</v>
      </c>
      <c r="V46" s="40">
        <v>0</v>
      </c>
      <c r="W46" s="45">
        <v>4161901</v>
      </c>
      <c r="X46" s="46">
        <v>2.48200854845041</v>
      </c>
    </row>
    <row r="47" spans="1:24" s="4" customFormat="1" ht="15" customHeight="1">
      <c r="A47" s="28" t="s">
        <v>1109</v>
      </c>
      <c r="B47" s="29">
        <v>3106.0650000000001</v>
      </c>
      <c r="C47" s="30" t="s">
        <v>1564</v>
      </c>
      <c r="D47" s="2">
        <v>4947010968</v>
      </c>
      <c r="E47" s="2" t="s">
        <v>10</v>
      </c>
      <c r="F47" s="78" t="s">
        <v>1565</v>
      </c>
      <c r="G47" s="28" t="s">
        <v>9</v>
      </c>
      <c r="H47" s="2" t="s">
        <v>23</v>
      </c>
      <c r="I47" s="2">
        <v>6</v>
      </c>
      <c r="J47" s="2"/>
      <c r="K47" s="2">
        <v>25536</v>
      </c>
      <c r="L47" s="35">
        <v>79316475.840000004</v>
      </c>
      <c r="M47" s="36">
        <v>4200</v>
      </c>
      <c r="N47" s="40">
        <v>950717</v>
      </c>
      <c r="O47" s="40">
        <v>3246</v>
      </c>
      <c r="P47" s="40">
        <v>0</v>
      </c>
      <c r="Q47" s="40">
        <v>101289</v>
      </c>
      <c r="R47" s="40">
        <v>194415</v>
      </c>
      <c r="S47" s="40">
        <v>708712</v>
      </c>
      <c r="T47" s="40"/>
      <c r="U47" s="40">
        <v>834200</v>
      </c>
      <c r="V47" s="40">
        <v>0</v>
      </c>
      <c r="W47" s="45">
        <v>2792579</v>
      </c>
      <c r="X47" s="46">
        <v>3.5208056969566899</v>
      </c>
    </row>
    <row r="49" spans="1:24" ht="15" customHeight="1">
      <c r="A49" s="31" t="s">
        <v>1109</v>
      </c>
      <c r="B49" s="31"/>
      <c r="C49" s="31"/>
      <c r="D49" s="31"/>
      <c r="E49" s="31"/>
      <c r="F49" s="32">
        <v>13</v>
      </c>
      <c r="G49" s="31"/>
      <c r="H49" s="31"/>
      <c r="I49" s="38"/>
      <c r="J49" s="31"/>
      <c r="K49" s="39">
        <f>+SUM(K32:K47)</f>
        <v>629799.79999999993</v>
      </c>
      <c r="L49" s="39">
        <f>+SUM(L32:L47)</f>
        <v>1956199115.7869999</v>
      </c>
      <c r="M49" s="31"/>
      <c r="N49" s="39"/>
      <c r="O49" s="39"/>
      <c r="P49" s="39"/>
      <c r="Q49" s="39"/>
      <c r="R49" s="39"/>
      <c r="S49" s="39"/>
      <c r="T49" s="39"/>
      <c r="U49" s="39"/>
      <c r="V49" s="31"/>
      <c r="W49" s="39">
        <f>+SUM(W32:W47)</f>
        <v>46679752</v>
      </c>
      <c r="X49" s="47">
        <f>(W49/L49)*100</f>
        <v>2.3862474746708098</v>
      </c>
    </row>
    <row r="51" spans="1:24" s="4" customFormat="1" ht="15" customHeight="1">
      <c r="A51" s="28" t="s">
        <v>1603</v>
      </c>
      <c r="B51" s="29">
        <v>3149.63</v>
      </c>
      <c r="C51" s="30" t="s">
        <v>1691</v>
      </c>
      <c r="D51" s="2">
        <v>4945301133</v>
      </c>
      <c r="E51" s="2" t="s">
        <v>10</v>
      </c>
      <c r="F51" s="2" t="s">
        <v>1692</v>
      </c>
      <c r="G51" s="28" t="s">
        <v>9</v>
      </c>
      <c r="H51" s="2" t="s">
        <v>23</v>
      </c>
      <c r="I51" s="2">
        <v>2</v>
      </c>
      <c r="J51" s="2"/>
      <c r="K51" s="2">
        <v>3192</v>
      </c>
      <c r="L51" s="35">
        <v>10053618.960000001</v>
      </c>
      <c r="M51" s="36">
        <v>660</v>
      </c>
      <c r="N51" s="40">
        <v>642185</v>
      </c>
      <c r="O51" s="40">
        <v>531</v>
      </c>
      <c r="P51" s="40">
        <v>0</v>
      </c>
      <c r="Q51" s="40">
        <v>16779</v>
      </c>
      <c r="R51" s="40">
        <v>105607</v>
      </c>
      <c r="S51" s="40">
        <v>708712</v>
      </c>
      <c r="T51" s="40"/>
      <c r="U51" s="40">
        <v>143827.58620689699</v>
      </c>
      <c r="V51" s="40">
        <v>0</v>
      </c>
      <c r="W51" s="45">
        <v>1617641.5862069</v>
      </c>
      <c r="X51" s="46">
        <v>16.090142193004901</v>
      </c>
    </row>
    <row r="52" spans="1:24" s="4" customFormat="1" ht="15" customHeight="1">
      <c r="A52" s="28" t="s">
        <v>1603</v>
      </c>
      <c r="B52" s="29">
        <v>3149.63</v>
      </c>
      <c r="C52" s="30" t="s">
        <v>1693</v>
      </c>
      <c r="D52" s="2">
        <v>4947010975</v>
      </c>
      <c r="E52" s="2" t="s">
        <v>10</v>
      </c>
      <c r="F52" s="2" t="s">
        <v>1694</v>
      </c>
      <c r="G52" s="28" t="s">
        <v>9</v>
      </c>
      <c r="H52" s="2" t="s">
        <v>23</v>
      </c>
      <c r="I52" s="2">
        <v>6</v>
      </c>
      <c r="J52" s="2"/>
      <c r="K52" s="2">
        <v>11649.6</v>
      </c>
      <c r="L52" s="35">
        <v>36691929.648000002</v>
      </c>
      <c r="M52" s="36">
        <v>1584</v>
      </c>
      <c r="N52" s="40">
        <v>520397</v>
      </c>
      <c r="O52" s="40">
        <v>1140</v>
      </c>
      <c r="P52" s="40">
        <v>0</v>
      </c>
      <c r="Q52" s="40">
        <v>35554</v>
      </c>
      <c r="R52" s="40">
        <v>81752</v>
      </c>
      <c r="S52" s="40">
        <v>354356</v>
      </c>
      <c r="T52" s="40"/>
      <c r="U52" s="40">
        <v>345186.206896552</v>
      </c>
      <c r="V52" s="40">
        <v>0</v>
      </c>
      <c r="W52" s="45">
        <v>1338385.20689655</v>
      </c>
      <c r="X52" s="46">
        <v>3.64762829247795</v>
      </c>
    </row>
    <row r="53" spans="1:24" s="4" customFormat="1" ht="15" customHeight="1">
      <c r="A53" s="28" t="s">
        <v>1603</v>
      </c>
      <c r="B53" s="29">
        <v>3149.63</v>
      </c>
      <c r="C53" s="30" t="s">
        <v>1693</v>
      </c>
      <c r="D53" s="2">
        <v>4947225892</v>
      </c>
      <c r="E53" s="2" t="s">
        <v>10</v>
      </c>
      <c r="F53" s="2" t="s">
        <v>1694</v>
      </c>
      <c r="G53" s="28" t="s">
        <v>9</v>
      </c>
      <c r="H53" s="2" t="s">
        <v>23</v>
      </c>
      <c r="I53" s="2">
        <v>6</v>
      </c>
      <c r="J53" s="2"/>
      <c r="K53" s="2">
        <v>11649.6</v>
      </c>
      <c r="L53" s="35">
        <v>36691929.648000002</v>
      </c>
      <c r="M53" s="36">
        <v>1584</v>
      </c>
      <c r="N53" s="40">
        <v>520397</v>
      </c>
      <c r="O53" s="40">
        <v>1140</v>
      </c>
      <c r="P53" s="40">
        <v>0</v>
      </c>
      <c r="Q53" s="40">
        <v>35554</v>
      </c>
      <c r="R53" s="40">
        <v>81752</v>
      </c>
      <c r="S53" s="40">
        <v>354356</v>
      </c>
      <c r="T53" s="40"/>
      <c r="U53" s="40">
        <v>345186.206896552</v>
      </c>
      <c r="V53" s="40">
        <v>0</v>
      </c>
      <c r="W53" s="45">
        <v>1338385.20689655</v>
      </c>
      <c r="X53" s="46">
        <v>3.64762829247795</v>
      </c>
    </row>
    <row r="54" spans="1:24" s="4" customFormat="1" ht="15" customHeight="1">
      <c r="A54" s="28" t="s">
        <v>1603</v>
      </c>
      <c r="B54" s="29">
        <v>3149.63</v>
      </c>
      <c r="C54" s="30" t="s">
        <v>1695</v>
      </c>
      <c r="D54" s="2">
        <v>4946611870</v>
      </c>
      <c r="E54" s="2" t="s">
        <v>10</v>
      </c>
      <c r="F54" s="2" t="s">
        <v>1696</v>
      </c>
      <c r="G54" s="28" t="s">
        <v>9</v>
      </c>
      <c r="H54" s="2" t="s">
        <v>23</v>
      </c>
      <c r="I54" s="2">
        <v>2</v>
      </c>
      <c r="J54" s="2"/>
      <c r="K54" s="2">
        <v>16560</v>
      </c>
      <c r="L54" s="35">
        <v>52157872.799999997</v>
      </c>
      <c r="M54" s="36">
        <v>1440</v>
      </c>
      <c r="N54" s="40">
        <v>832372</v>
      </c>
      <c r="O54" s="40">
        <v>1148</v>
      </c>
      <c r="P54" s="40">
        <v>0</v>
      </c>
      <c r="Q54" s="40">
        <v>35581</v>
      </c>
      <c r="R54" s="40">
        <v>125865</v>
      </c>
      <c r="S54" s="40">
        <v>708712</v>
      </c>
      <c r="T54" s="40"/>
      <c r="U54" s="40">
        <v>533500</v>
      </c>
      <c r="V54" s="40">
        <v>0</v>
      </c>
      <c r="W54" s="45">
        <v>2237178</v>
      </c>
      <c r="X54" s="46">
        <v>4.2892431763436498</v>
      </c>
    </row>
    <row r="55" spans="1:24" s="4" customFormat="1" ht="15" customHeight="1">
      <c r="A55" s="28" t="s">
        <v>1603</v>
      </c>
      <c r="B55" s="29">
        <v>3149.63</v>
      </c>
      <c r="C55" s="30" t="s">
        <v>1697</v>
      </c>
      <c r="D55" s="2">
        <v>4949164936</v>
      </c>
      <c r="E55" s="2" t="s">
        <v>10</v>
      </c>
      <c r="F55" s="2" t="s">
        <v>1698</v>
      </c>
      <c r="G55" s="28" t="s">
        <v>9</v>
      </c>
      <c r="H55" s="2" t="s">
        <v>23</v>
      </c>
      <c r="I55" s="2">
        <v>3</v>
      </c>
      <c r="J55" s="2"/>
      <c r="K55" s="2">
        <v>42880</v>
      </c>
      <c r="L55" s="35">
        <v>135056134.40000001</v>
      </c>
      <c r="M55" s="36">
        <v>1600</v>
      </c>
      <c r="N55" s="40">
        <v>711694</v>
      </c>
      <c r="O55" s="40">
        <v>1062</v>
      </c>
      <c r="P55" s="40">
        <v>20910</v>
      </c>
      <c r="Q55" s="40">
        <v>33364</v>
      </c>
      <c r="R55" s="40">
        <v>123070</v>
      </c>
      <c r="S55" s="40">
        <v>708712</v>
      </c>
      <c r="T55" s="40"/>
      <c r="U55" s="40">
        <v>533500</v>
      </c>
      <c r="V55" s="40">
        <v>0</v>
      </c>
      <c r="W55" s="45">
        <v>2132312</v>
      </c>
      <c r="X55" s="46">
        <v>1.57883387487211</v>
      </c>
    </row>
    <row r="56" spans="1:24" s="4" customFormat="1" ht="15" customHeight="1">
      <c r="A56" s="28" t="s">
        <v>1603</v>
      </c>
      <c r="B56" s="29">
        <v>3149.63</v>
      </c>
      <c r="C56" s="30" t="s">
        <v>1699</v>
      </c>
      <c r="D56" s="2">
        <v>4946611859</v>
      </c>
      <c r="E56" s="2" t="s">
        <v>10</v>
      </c>
      <c r="F56" s="2" t="s">
        <v>1700</v>
      </c>
      <c r="G56" s="28" t="s">
        <v>5</v>
      </c>
      <c r="H56" s="2" t="s">
        <v>17</v>
      </c>
      <c r="I56" s="2">
        <v>1</v>
      </c>
      <c r="J56" s="2" t="s">
        <v>1701</v>
      </c>
      <c r="K56" s="2">
        <v>13151.6</v>
      </c>
      <c r="L56" s="35">
        <v>41422673.908</v>
      </c>
      <c r="M56" s="36">
        <v>5390</v>
      </c>
      <c r="N56" s="40">
        <v>320731</v>
      </c>
      <c r="O56" s="40">
        <v>534687</v>
      </c>
      <c r="P56" s="40">
        <v>187092</v>
      </c>
      <c r="Q56" s="40">
        <v>124137</v>
      </c>
      <c r="R56" s="40">
        <v>767854</v>
      </c>
      <c r="S56" s="40">
        <v>708712</v>
      </c>
      <c r="T56" s="40"/>
      <c r="U56" s="40">
        <v>1600500</v>
      </c>
      <c r="V56" s="40">
        <v>0</v>
      </c>
      <c r="W56" s="45">
        <v>4243713</v>
      </c>
      <c r="X56" s="46">
        <v>10.244903574852099</v>
      </c>
    </row>
    <row r="57" spans="1:24" s="4" customFormat="1" ht="15" customHeight="1">
      <c r="A57" s="28" t="s">
        <v>1603</v>
      </c>
      <c r="B57" s="29">
        <v>3149.63</v>
      </c>
      <c r="C57" s="30" t="s">
        <v>1702</v>
      </c>
      <c r="D57" s="2">
        <v>4946611865</v>
      </c>
      <c r="E57" s="2" t="s">
        <v>10</v>
      </c>
      <c r="F57" s="2" t="s">
        <v>1703</v>
      </c>
      <c r="G57" s="28" t="s">
        <v>5</v>
      </c>
      <c r="H57" s="2" t="s">
        <v>17</v>
      </c>
      <c r="I57" s="2">
        <v>1</v>
      </c>
      <c r="J57" s="2" t="s">
        <v>1704</v>
      </c>
      <c r="K57" s="2">
        <v>40400</v>
      </c>
      <c r="L57" s="35">
        <v>127245052</v>
      </c>
      <c r="M57" s="36">
        <v>20000</v>
      </c>
      <c r="N57" s="40">
        <v>320731</v>
      </c>
      <c r="O57" s="40">
        <v>534687</v>
      </c>
      <c r="P57" s="40">
        <v>187092</v>
      </c>
      <c r="Q57" s="40">
        <v>124137</v>
      </c>
      <c r="R57" s="40">
        <v>767854</v>
      </c>
      <c r="S57" s="40">
        <v>708712</v>
      </c>
      <c r="T57" s="40"/>
      <c r="U57" s="40">
        <v>1600500</v>
      </c>
      <c r="V57" s="40">
        <v>0</v>
      </c>
      <c r="W57" s="45">
        <v>4243713</v>
      </c>
      <c r="X57" s="46">
        <v>3.3350711350253501</v>
      </c>
    </row>
    <row r="58" spans="1:24" s="4" customFormat="1" ht="15" customHeight="1">
      <c r="A58" s="28" t="s">
        <v>1603</v>
      </c>
      <c r="B58" s="29">
        <v>3149.63</v>
      </c>
      <c r="C58" s="30" t="s">
        <v>1715</v>
      </c>
      <c r="D58" s="2">
        <v>4947870951</v>
      </c>
      <c r="E58" s="2" t="s">
        <v>10</v>
      </c>
      <c r="F58" s="2" t="s">
        <v>1716</v>
      </c>
      <c r="G58" s="28" t="s">
        <v>5</v>
      </c>
      <c r="H58" s="2" t="s">
        <v>20</v>
      </c>
      <c r="I58" s="2">
        <v>1</v>
      </c>
      <c r="J58" s="2" t="s">
        <v>1717</v>
      </c>
      <c r="K58" s="2">
        <v>18993.599999999999</v>
      </c>
      <c r="L58" s="35">
        <v>59822812.368000001</v>
      </c>
      <c r="M58" s="36">
        <v>1584</v>
      </c>
      <c r="N58" s="40">
        <v>269893.18032786902</v>
      </c>
      <c r="O58" s="40">
        <v>240300</v>
      </c>
      <c r="P58" s="40">
        <v>0</v>
      </c>
      <c r="Q58" s="40">
        <v>73261.180327868802</v>
      </c>
      <c r="R58" s="40">
        <v>427061.13114754099</v>
      </c>
      <c r="S58" s="40">
        <v>418256.26229508198</v>
      </c>
      <c r="T58" s="40"/>
      <c r="U58" s="40">
        <v>606806.557377049</v>
      </c>
      <c r="V58" s="40">
        <v>0</v>
      </c>
      <c r="W58" s="45">
        <v>2035578.3114754099</v>
      </c>
      <c r="X58" s="46">
        <v>3.40267906322015</v>
      </c>
    </row>
    <row r="59" spans="1:24" s="4" customFormat="1" ht="15" customHeight="1">
      <c r="A59" s="28" t="s">
        <v>1603</v>
      </c>
      <c r="B59" s="29">
        <v>3149.63</v>
      </c>
      <c r="C59" s="30" t="s">
        <v>1715</v>
      </c>
      <c r="D59" s="2">
        <v>4947226210</v>
      </c>
      <c r="E59" s="2" t="s">
        <v>10</v>
      </c>
      <c r="F59" s="2" t="s">
        <v>1716</v>
      </c>
      <c r="G59" s="28" t="s">
        <v>5</v>
      </c>
      <c r="H59" s="2" t="s">
        <v>20</v>
      </c>
      <c r="I59" s="2">
        <v>1</v>
      </c>
      <c r="J59" s="2" t="s">
        <v>1717</v>
      </c>
      <c r="K59" s="2">
        <v>14420</v>
      </c>
      <c r="L59" s="35">
        <v>45417664.600000001</v>
      </c>
      <c r="M59" s="36">
        <v>1100</v>
      </c>
      <c r="N59" s="40">
        <v>187425.81967213101</v>
      </c>
      <c r="O59" s="40">
        <v>166875</v>
      </c>
      <c r="P59" s="40">
        <v>0</v>
      </c>
      <c r="Q59" s="40">
        <v>50875.819672131103</v>
      </c>
      <c r="R59" s="40">
        <v>296569.86885245901</v>
      </c>
      <c r="S59" s="40">
        <v>290455.73770491802</v>
      </c>
      <c r="T59" s="40"/>
      <c r="U59" s="40">
        <v>421393.442622951</v>
      </c>
      <c r="V59" s="40">
        <v>0</v>
      </c>
      <c r="W59" s="45">
        <v>1413595.6885245901</v>
      </c>
      <c r="X59" s="46">
        <v>3.1124358792428799</v>
      </c>
    </row>
    <row r="60" spans="1:24" s="4" customFormat="1" ht="15" customHeight="1">
      <c r="A60" s="28" t="s">
        <v>1603</v>
      </c>
      <c r="B60" s="29">
        <v>3149.63</v>
      </c>
      <c r="C60" s="30" t="s">
        <v>1718</v>
      </c>
      <c r="D60" s="2">
        <v>4947226223</v>
      </c>
      <c r="E60" s="2" t="s">
        <v>10</v>
      </c>
      <c r="F60" s="78" t="s">
        <v>1719</v>
      </c>
      <c r="G60" s="28" t="s">
        <v>9</v>
      </c>
      <c r="H60" s="2" t="s">
        <v>23</v>
      </c>
      <c r="I60" s="2">
        <v>2</v>
      </c>
      <c r="J60" s="2"/>
      <c r="K60" s="2">
        <v>13034</v>
      </c>
      <c r="L60" s="35">
        <v>41052277.420000002</v>
      </c>
      <c r="M60" s="36">
        <v>700</v>
      </c>
      <c r="N60" s="40">
        <v>380958.23943661997</v>
      </c>
      <c r="O60" s="40">
        <v>563.94366197183103</v>
      </c>
      <c r="P60" s="40">
        <v>21759.1549295775</v>
      </c>
      <c r="Q60" s="40">
        <v>17656.267605633799</v>
      </c>
      <c r="R60" s="40">
        <v>62043.169014084502</v>
      </c>
      <c r="S60" s="40">
        <v>349365.07042253501</v>
      </c>
      <c r="T60" s="40"/>
      <c r="U60" s="40">
        <v>262992.95774647902</v>
      </c>
      <c r="V60" s="40">
        <v>0</v>
      </c>
      <c r="W60" s="45">
        <v>1095338.8028169</v>
      </c>
      <c r="X60" s="46">
        <v>2.6681559992656299</v>
      </c>
    </row>
    <row r="61" spans="1:24" s="4" customFormat="1" ht="15" customHeight="1">
      <c r="A61" s="28" t="s">
        <v>1603</v>
      </c>
      <c r="B61" s="29">
        <v>3149.63</v>
      </c>
      <c r="C61" s="30" t="s">
        <v>1718</v>
      </c>
      <c r="D61" s="2">
        <v>4946209908</v>
      </c>
      <c r="E61" s="2" t="s">
        <v>10</v>
      </c>
      <c r="F61" s="2" t="s">
        <v>1719</v>
      </c>
      <c r="G61" s="28" t="s">
        <v>9</v>
      </c>
      <c r="H61" s="2" t="s">
        <v>23</v>
      </c>
      <c r="I61" s="2">
        <v>2</v>
      </c>
      <c r="J61" s="2"/>
      <c r="K61" s="2">
        <v>7135.2</v>
      </c>
      <c r="L61" s="35">
        <v>22473239.976</v>
      </c>
      <c r="M61" s="36">
        <v>720</v>
      </c>
      <c r="N61" s="40">
        <v>391842.76056338003</v>
      </c>
      <c r="O61" s="40">
        <v>580.05633802816897</v>
      </c>
      <c r="P61" s="40">
        <v>22380.8450704225</v>
      </c>
      <c r="Q61" s="40">
        <v>18160.732394366201</v>
      </c>
      <c r="R61" s="40">
        <v>63815.830985915498</v>
      </c>
      <c r="S61" s="40">
        <v>359346.92957746499</v>
      </c>
      <c r="T61" s="40"/>
      <c r="U61" s="40">
        <v>270507.04225352098</v>
      </c>
      <c r="V61" s="40">
        <v>0</v>
      </c>
      <c r="W61" s="45">
        <v>1126634.1971831</v>
      </c>
      <c r="X61" s="46">
        <v>5.01322550013382</v>
      </c>
    </row>
    <row r="62" spans="1:24" s="4" customFormat="1" ht="15" customHeight="1">
      <c r="A62" s="28" t="s">
        <v>1603</v>
      </c>
      <c r="B62" s="29">
        <v>3149.63</v>
      </c>
      <c r="C62" s="30" t="s">
        <v>2102</v>
      </c>
      <c r="D62" s="2">
        <v>4946611866</v>
      </c>
      <c r="E62" s="2" t="s">
        <v>10</v>
      </c>
      <c r="F62" s="78" t="s">
        <v>2103</v>
      </c>
      <c r="G62" s="28" t="s">
        <v>5</v>
      </c>
      <c r="H62" s="2" t="s">
        <v>20</v>
      </c>
      <c r="I62" s="2">
        <v>2</v>
      </c>
      <c r="J62" s="2" t="s">
        <v>2104</v>
      </c>
      <c r="K62" s="2">
        <v>61800</v>
      </c>
      <c r="L62" s="35">
        <v>194647134</v>
      </c>
      <c r="M62" s="36">
        <v>24000</v>
      </c>
      <c r="N62" s="40">
        <v>0</v>
      </c>
      <c r="O62" s="40">
        <v>814351</v>
      </c>
      <c r="P62" s="40">
        <v>0</v>
      </c>
      <c r="Q62" s="40">
        <v>248274</v>
      </c>
      <c r="R62" s="40">
        <v>1462998</v>
      </c>
      <c r="S62" s="40">
        <v>708712</v>
      </c>
      <c r="T62" s="40"/>
      <c r="U62" s="40">
        <v>3104000</v>
      </c>
      <c r="V62" s="40">
        <v>0</v>
      </c>
      <c r="W62" s="45">
        <v>6338335</v>
      </c>
      <c r="X62" s="46">
        <v>3.2563207429501602</v>
      </c>
    </row>
    <row r="63" spans="1:24" s="4" customFormat="1" ht="15" customHeight="1">
      <c r="A63" s="28" t="s">
        <v>1603</v>
      </c>
      <c r="B63" s="29">
        <v>3149.63</v>
      </c>
      <c r="C63" s="30" t="s">
        <v>2126</v>
      </c>
      <c r="D63" s="2">
        <v>4948630691</v>
      </c>
      <c r="E63" s="2" t="s">
        <v>10</v>
      </c>
      <c r="F63" s="2" t="s">
        <v>2127</v>
      </c>
      <c r="G63" s="28" t="s">
        <v>9</v>
      </c>
      <c r="H63" s="2" t="s">
        <v>23</v>
      </c>
      <c r="I63" s="2">
        <v>1</v>
      </c>
      <c r="J63" s="2"/>
      <c r="K63" s="2">
        <v>37916.639999999999</v>
      </c>
      <c r="L63" s="35">
        <v>119423386.8432</v>
      </c>
      <c r="M63" s="36">
        <v>432</v>
      </c>
      <c r="N63" s="40">
        <v>742405</v>
      </c>
      <c r="O63" s="40">
        <v>345</v>
      </c>
      <c r="P63" s="40">
        <v>6673</v>
      </c>
      <c r="Q63" s="40">
        <v>11019</v>
      </c>
      <c r="R63" s="40">
        <v>17669</v>
      </c>
      <c r="S63" s="40">
        <v>708712</v>
      </c>
      <c r="T63" s="40"/>
      <c r="U63" s="40">
        <v>533500</v>
      </c>
      <c r="V63" s="40">
        <v>0</v>
      </c>
      <c r="W63" s="45">
        <v>2020323</v>
      </c>
      <c r="X63" s="46">
        <v>1.6917314551233</v>
      </c>
    </row>
    <row r="65" spans="1:24" ht="15" customHeight="1">
      <c r="A65" s="31" t="s">
        <v>1603</v>
      </c>
      <c r="B65" s="31"/>
      <c r="C65" s="31"/>
      <c r="D65" s="31"/>
      <c r="E65" s="31"/>
      <c r="F65" s="32">
        <v>10</v>
      </c>
      <c r="G65" s="31"/>
      <c r="H65" s="31"/>
      <c r="I65" s="38"/>
      <c r="J65" s="31"/>
      <c r="K65" s="39">
        <f>+SUM(K51:K63)</f>
        <v>292782.24</v>
      </c>
      <c r="L65" s="39">
        <f>+SUM(L51:L63)</f>
        <v>922155726.57119989</v>
      </c>
      <c r="M65" s="31"/>
      <c r="N65" s="39"/>
      <c r="O65" s="39"/>
      <c r="P65" s="39"/>
      <c r="Q65" s="39"/>
      <c r="R65" s="39"/>
      <c r="S65" s="39"/>
      <c r="T65" s="39"/>
      <c r="U65" s="39"/>
      <c r="V65" s="31"/>
      <c r="W65" s="39">
        <f>+SUM(W51:W63)</f>
        <v>31181133</v>
      </c>
      <c r="X65" s="47">
        <f>(W65/L65)*100</f>
        <v>3.38133051734538</v>
      </c>
    </row>
    <row r="67" spans="1:24" s="4" customFormat="1" ht="15" customHeight="1">
      <c r="A67" s="28" t="s">
        <v>2168</v>
      </c>
      <c r="B67" s="29">
        <v>3271.01</v>
      </c>
      <c r="C67" s="30" t="s">
        <v>2488</v>
      </c>
      <c r="D67" s="2">
        <v>4948665437</v>
      </c>
      <c r="E67" s="2" t="s">
        <v>10</v>
      </c>
      <c r="F67" s="2" t="s">
        <v>2489</v>
      </c>
      <c r="G67" s="28" t="s">
        <v>5</v>
      </c>
      <c r="H67" s="2" t="s">
        <v>17</v>
      </c>
      <c r="I67" s="2">
        <v>1</v>
      </c>
      <c r="J67" s="2" t="s">
        <v>2490</v>
      </c>
      <c r="K67" s="2">
        <v>23155.200000000001</v>
      </c>
      <c r="L67" s="35">
        <v>75740890.752000004</v>
      </c>
      <c r="M67" s="36">
        <v>8640</v>
      </c>
      <c r="N67" s="40">
        <v>319544</v>
      </c>
      <c r="O67" s="40">
        <v>543322</v>
      </c>
      <c r="P67" s="40">
        <v>0</v>
      </c>
      <c r="Q67" s="40">
        <v>124137</v>
      </c>
      <c r="R67" s="40">
        <v>916452</v>
      </c>
      <c r="S67" s="40">
        <v>708712</v>
      </c>
      <c r="T67" s="48"/>
      <c r="U67" s="40">
        <v>1600500</v>
      </c>
      <c r="V67" s="40">
        <v>0</v>
      </c>
      <c r="W67" s="45">
        <v>4212667</v>
      </c>
      <c r="X67" s="46">
        <v>5.5619454143913103</v>
      </c>
    </row>
    <row r="68" spans="1:24" s="4" customFormat="1" ht="15" customHeight="1">
      <c r="A68" s="28" t="s">
        <v>2168</v>
      </c>
      <c r="B68" s="29">
        <v>3271.01</v>
      </c>
      <c r="C68" s="30" t="s">
        <v>2517</v>
      </c>
      <c r="D68" s="2">
        <v>4948269702</v>
      </c>
      <c r="E68" s="2" t="s">
        <v>10</v>
      </c>
      <c r="F68" s="2" t="s">
        <v>2518</v>
      </c>
      <c r="G68" s="28" t="s">
        <v>5</v>
      </c>
      <c r="H68" s="2" t="s">
        <v>20</v>
      </c>
      <c r="I68" s="2">
        <v>1</v>
      </c>
      <c r="J68" s="2" t="s">
        <v>2519</v>
      </c>
      <c r="K68" s="2">
        <v>15557.5</v>
      </c>
      <c r="L68" s="35">
        <v>50888738.075000003</v>
      </c>
      <c r="M68" s="36">
        <v>12250</v>
      </c>
      <c r="N68" s="40">
        <v>385220.273037543</v>
      </c>
      <c r="O68" s="40">
        <v>345969.266211604</v>
      </c>
      <c r="P68" s="40">
        <v>0</v>
      </c>
      <c r="Q68" s="40">
        <v>103800.563139932</v>
      </c>
      <c r="R68" s="40">
        <v>608496</v>
      </c>
      <c r="S68" s="40">
        <v>592609.010238908</v>
      </c>
      <c r="T68" s="48"/>
      <c r="U68" s="40">
        <v>1322080.20477816</v>
      </c>
      <c r="V68" s="40">
        <v>0</v>
      </c>
      <c r="W68" s="45">
        <v>3358175.31740615</v>
      </c>
      <c r="X68" s="46">
        <v>6.5990540234203801</v>
      </c>
    </row>
    <row r="69" spans="1:24" s="4" customFormat="1" ht="15" customHeight="1">
      <c r="A69" s="28" t="s">
        <v>2168</v>
      </c>
      <c r="B69" s="29">
        <v>3271.01</v>
      </c>
      <c r="C69" s="30" t="s">
        <v>2517</v>
      </c>
      <c r="D69" s="2">
        <v>4945773645</v>
      </c>
      <c r="E69" s="2" t="s">
        <v>10</v>
      </c>
      <c r="F69" s="2" t="s">
        <v>2518</v>
      </c>
      <c r="G69" s="28" t="s">
        <v>5</v>
      </c>
      <c r="H69" s="2" t="s">
        <v>20</v>
      </c>
      <c r="I69" s="2">
        <v>1</v>
      </c>
      <c r="J69" s="2" t="s">
        <v>2519</v>
      </c>
      <c r="K69" s="2">
        <v>5568</v>
      </c>
      <c r="L69" s="35">
        <v>18212983.68</v>
      </c>
      <c r="M69" s="36">
        <v>2400</v>
      </c>
      <c r="N69" s="40">
        <v>75471.726962457295</v>
      </c>
      <c r="O69" s="40">
        <v>67781.733788395897</v>
      </c>
      <c r="P69" s="40">
        <v>0</v>
      </c>
      <c r="Q69" s="40">
        <v>20336.436860068301</v>
      </c>
      <c r="R69" s="40">
        <v>119216</v>
      </c>
      <c r="S69" s="40">
        <v>116102.989761092</v>
      </c>
      <c r="T69" s="48"/>
      <c r="U69" s="40">
        <v>259019.795221843</v>
      </c>
      <c r="V69" s="40">
        <v>0</v>
      </c>
      <c r="W69" s="45">
        <v>657928.68259385601</v>
      </c>
      <c r="X69" s="46">
        <v>3.6124157038384599</v>
      </c>
    </row>
    <row r="71" spans="1:24" ht="15" customHeight="1">
      <c r="A71" s="31" t="s">
        <v>2168</v>
      </c>
      <c r="B71" s="31"/>
      <c r="C71" s="31"/>
      <c r="D71" s="31"/>
      <c r="E71" s="31"/>
      <c r="F71" s="32">
        <v>2</v>
      </c>
      <c r="G71" s="31"/>
      <c r="H71" s="31"/>
      <c r="I71" s="38"/>
      <c r="J71" s="31"/>
      <c r="K71" s="39">
        <f>+SUM(K67:K69)</f>
        <v>44280.7</v>
      </c>
      <c r="L71" s="39">
        <f>+SUM(L67:L69)</f>
        <v>144842612.507</v>
      </c>
      <c r="M71" s="31"/>
      <c r="N71" s="39"/>
      <c r="O71" s="39"/>
      <c r="P71" s="39"/>
      <c r="Q71" s="39"/>
      <c r="R71" s="39"/>
      <c r="S71" s="39"/>
      <c r="T71" s="39"/>
      <c r="U71" s="39"/>
      <c r="V71" s="31"/>
      <c r="W71" s="39">
        <f>+SUM(W67:W69)</f>
        <v>8228771.0000000056</v>
      </c>
      <c r="X71" s="47">
        <f>(W71/L71)*100</f>
        <v>5.6811810126680244</v>
      </c>
    </row>
    <row r="73" spans="1:24" s="4" customFormat="1" ht="15" customHeight="1">
      <c r="A73" s="28" t="s">
        <v>2682</v>
      </c>
      <c r="B73" s="29">
        <v>3278.81</v>
      </c>
      <c r="C73" s="30" t="s">
        <v>2883</v>
      </c>
      <c r="D73" s="2">
        <v>4947229905</v>
      </c>
      <c r="E73" s="2" t="s">
        <v>10</v>
      </c>
      <c r="F73" s="2" t="s">
        <v>2884</v>
      </c>
      <c r="G73" s="28" t="s">
        <v>9</v>
      </c>
      <c r="H73" s="2" t="s">
        <v>23</v>
      </c>
      <c r="I73" s="2">
        <v>1</v>
      </c>
      <c r="J73" s="2"/>
      <c r="K73" s="2">
        <v>6753.6</v>
      </c>
      <c r="L73" s="35">
        <v>22143771.215999998</v>
      </c>
      <c r="M73" s="36">
        <v>720</v>
      </c>
      <c r="N73" s="40">
        <v>755260</v>
      </c>
      <c r="O73" s="40">
        <v>592</v>
      </c>
      <c r="P73" s="40">
        <v>11494</v>
      </c>
      <c r="Q73" s="40">
        <v>18050</v>
      </c>
      <c r="R73" s="40">
        <v>113418</v>
      </c>
      <c r="S73" s="40">
        <v>708712</v>
      </c>
      <c r="T73" s="40"/>
      <c r="U73" s="40">
        <v>553500</v>
      </c>
      <c r="V73" s="40">
        <v>0</v>
      </c>
      <c r="W73" s="45">
        <v>2161026</v>
      </c>
      <c r="X73" s="46">
        <v>9.7590693966281101</v>
      </c>
    </row>
    <row r="74" spans="1:24" s="4" customFormat="1" ht="15" customHeight="1">
      <c r="A74" s="28" t="s">
        <v>2682</v>
      </c>
      <c r="B74" s="29">
        <v>3278.81</v>
      </c>
      <c r="C74" s="30" t="s">
        <v>2893</v>
      </c>
      <c r="D74" s="2">
        <v>4947223071</v>
      </c>
      <c r="E74" s="2" t="s">
        <v>10</v>
      </c>
      <c r="F74" s="2" t="s">
        <v>2894</v>
      </c>
      <c r="G74" s="28" t="s">
        <v>9</v>
      </c>
      <c r="H74" s="2" t="s">
        <v>23</v>
      </c>
      <c r="I74" s="2">
        <v>4</v>
      </c>
      <c r="J74" s="2"/>
      <c r="K74" s="2">
        <v>13572</v>
      </c>
      <c r="L74" s="35">
        <v>44500009.32</v>
      </c>
      <c r="M74" s="36">
        <v>2600</v>
      </c>
      <c r="N74" s="40">
        <v>850919</v>
      </c>
      <c r="O74" s="40">
        <v>2074</v>
      </c>
      <c r="P74" s="40">
        <v>81260</v>
      </c>
      <c r="Q74" s="40">
        <v>64346</v>
      </c>
      <c r="R74" s="40">
        <v>162048</v>
      </c>
      <c r="S74" s="40">
        <v>708712</v>
      </c>
      <c r="T74" s="40"/>
      <c r="U74" s="40">
        <v>533500</v>
      </c>
      <c r="V74" s="40">
        <v>0</v>
      </c>
      <c r="W74" s="45">
        <v>2402859</v>
      </c>
      <c r="X74" s="46">
        <v>5.3996820151677198</v>
      </c>
    </row>
    <row r="76" spans="1:24" ht="15" customHeight="1">
      <c r="A76" s="31" t="s">
        <v>2682</v>
      </c>
      <c r="B76" s="31"/>
      <c r="C76" s="31"/>
      <c r="D76" s="31"/>
      <c r="E76" s="31"/>
      <c r="F76" s="32">
        <v>2</v>
      </c>
      <c r="G76" s="31"/>
      <c r="H76" s="31"/>
      <c r="I76" s="38"/>
      <c r="J76" s="31"/>
      <c r="K76" s="39">
        <f>+SUM(K73:K74)</f>
        <v>20325.599999999999</v>
      </c>
      <c r="L76" s="39">
        <f>+SUM(L73:L74)</f>
        <v>66643780.535999998</v>
      </c>
      <c r="M76" s="31"/>
      <c r="N76" s="39"/>
      <c r="O76" s="39"/>
      <c r="P76" s="39"/>
      <c r="Q76" s="39"/>
      <c r="R76" s="39"/>
      <c r="S76" s="39"/>
      <c r="T76" s="39"/>
      <c r="U76" s="39"/>
      <c r="V76" s="31"/>
      <c r="W76" s="39">
        <f>+SUM(W73:W74)</f>
        <v>4563885</v>
      </c>
      <c r="X76" s="47">
        <f>(W76/L76)*100</f>
        <v>6.8481784245938098</v>
      </c>
    </row>
    <row r="78" spans="1:24" s="4" customFormat="1" ht="15" customHeight="1">
      <c r="A78" s="28" t="s">
        <v>3019</v>
      </c>
      <c r="B78" s="29">
        <v>3196.165</v>
      </c>
      <c r="C78" s="30" t="s">
        <v>3201</v>
      </c>
      <c r="D78" s="2">
        <v>4948416340</v>
      </c>
      <c r="E78" s="2" t="s">
        <v>10</v>
      </c>
      <c r="F78" s="2" t="s">
        <v>3202</v>
      </c>
      <c r="G78" s="28" t="s">
        <v>5</v>
      </c>
      <c r="H78" s="2" t="s">
        <v>17</v>
      </c>
      <c r="I78" s="2">
        <v>1</v>
      </c>
      <c r="J78" s="2" t="s">
        <v>3203</v>
      </c>
      <c r="K78" s="2">
        <v>41068.800000000003</v>
      </c>
      <c r="L78" s="35">
        <v>131262661.152</v>
      </c>
      <c r="M78" s="36">
        <v>16560</v>
      </c>
      <c r="N78" s="40">
        <v>333205</v>
      </c>
      <c r="O78" s="40">
        <v>530577</v>
      </c>
      <c r="P78" s="40">
        <v>0</v>
      </c>
      <c r="Q78" s="48">
        <v>124137</v>
      </c>
      <c r="R78" s="40">
        <v>956457</v>
      </c>
      <c r="S78" s="40">
        <v>708712</v>
      </c>
      <c r="T78" s="40"/>
      <c r="U78" s="40">
        <v>1600500</v>
      </c>
      <c r="V78" s="40">
        <v>0</v>
      </c>
      <c r="W78" s="45">
        <v>4253588</v>
      </c>
      <c r="X78" s="46">
        <v>3.2405163529896899</v>
      </c>
    </row>
    <row r="79" spans="1:24" s="4" customFormat="1" ht="15" customHeight="1">
      <c r="A79" s="28" t="s">
        <v>3019</v>
      </c>
      <c r="B79" s="29">
        <v>3196.165</v>
      </c>
      <c r="C79" s="30" t="s">
        <v>3204</v>
      </c>
      <c r="D79" s="2">
        <v>4948417581</v>
      </c>
      <c r="E79" s="2" t="s">
        <v>10</v>
      </c>
      <c r="F79" s="2" t="s">
        <v>3205</v>
      </c>
      <c r="G79" s="28" t="s">
        <v>5</v>
      </c>
      <c r="H79" s="2" t="s">
        <v>17</v>
      </c>
      <c r="I79" s="2">
        <v>1</v>
      </c>
      <c r="J79" s="2" t="s">
        <v>3206</v>
      </c>
      <c r="K79" s="2">
        <v>41068.800000000003</v>
      </c>
      <c r="L79" s="35">
        <v>131262661.152</v>
      </c>
      <c r="M79" s="36">
        <v>16560</v>
      </c>
      <c r="N79" s="40">
        <v>333205</v>
      </c>
      <c r="O79" s="40">
        <v>530577</v>
      </c>
      <c r="P79" s="40">
        <v>0</v>
      </c>
      <c r="Q79" s="48">
        <v>124137</v>
      </c>
      <c r="R79" s="40">
        <v>791222</v>
      </c>
      <c r="S79" s="40">
        <v>708712</v>
      </c>
      <c r="T79" s="40"/>
      <c r="U79" s="40">
        <v>1600500</v>
      </c>
      <c r="V79" s="40">
        <v>0</v>
      </c>
      <c r="W79" s="45">
        <v>4088353</v>
      </c>
      <c r="X79" s="46">
        <v>3.1146351629011702</v>
      </c>
    </row>
    <row r="80" spans="1:24" s="4" customFormat="1" ht="15" customHeight="1">
      <c r="A80" s="28" t="s">
        <v>3019</v>
      </c>
      <c r="B80" s="29">
        <v>3196.165</v>
      </c>
      <c r="C80" s="30" t="s">
        <v>3207</v>
      </c>
      <c r="D80" s="2">
        <v>4948416340</v>
      </c>
      <c r="E80" s="2" t="s">
        <v>10</v>
      </c>
      <c r="F80" s="2" t="s">
        <v>3208</v>
      </c>
      <c r="G80" s="28" t="s">
        <v>5</v>
      </c>
      <c r="H80" s="2" t="s">
        <v>17</v>
      </c>
      <c r="I80" s="2">
        <v>1</v>
      </c>
      <c r="J80" s="2" t="s">
        <v>3209</v>
      </c>
      <c r="K80" s="2">
        <v>41068.800000000003</v>
      </c>
      <c r="L80" s="35">
        <v>131262661.152</v>
      </c>
      <c r="M80" s="36">
        <v>16560</v>
      </c>
      <c r="N80" s="40">
        <v>333205</v>
      </c>
      <c r="O80" s="40">
        <v>530577</v>
      </c>
      <c r="P80" s="40">
        <v>0</v>
      </c>
      <c r="Q80" s="48">
        <v>124137</v>
      </c>
      <c r="R80" s="40">
        <v>956457</v>
      </c>
      <c r="S80" s="40">
        <v>708712</v>
      </c>
      <c r="T80" s="40"/>
      <c r="U80" s="40">
        <v>1600500</v>
      </c>
      <c r="V80" s="40">
        <v>0</v>
      </c>
      <c r="W80" s="45">
        <v>4253588</v>
      </c>
      <c r="X80" s="46">
        <v>3.2405163529896899</v>
      </c>
    </row>
    <row r="81" spans="1:24" s="4" customFormat="1" ht="15" customHeight="1">
      <c r="A81" s="28" t="s">
        <v>3019</v>
      </c>
      <c r="B81" s="29">
        <v>3196.165</v>
      </c>
      <c r="C81" s="30" t="s">
        <v>3210</v>
      </c>
      <c r="D81" s="2">
        <v>4950526277</v>
      </c>
      <c r="E81" s="2" t="s">
        <v>10</v>
      </c>
      <c r="F81" s="2" t="s">
        <v>3211</v>
      </c>
      <c r="G81" s="28" t="s">
        <v>9</v>
      </c>
      <c r="H81" s="2" t="s">
        <v>23</v>
      </c>
      <c r="I81" s="2">
        <v>4</v>
      </c>
      <c r="J81" s="2"/>
      <c r="K81" s="2">
        <v>36520</v>
      </c>
      <c r="L81" s="35">
        <v>116723945.8</v>
      </c>
      <c r="M81" s="36">
        <v>4000</v>
      </c>
      <c r="N81" s="40">
        <v>933461</v>
      </c>
      <c r="O81" s="40">
        <v>2828</v>
      </c>
      <c r="P81" s="40">
        <v>0</v>
      </c>
      <c r="Q81" s="48">
        <v>88833</v>
      </c>
      <c r="R81" s="40">
        <v>173797</v>
      </c>
      <c r="S81" s="40">
        <v>708712</v>
      </c>
      <c r="T81" s="40"/>
      <c r="U81" s="40">
        <v>834200</v>
      </c>
      <c r="V81" s="40">
        <v>0</v>
      </c>
      <c r="W81" s="45">
        <v>2741831</v>
      </c>
      <c r="X81" s="46">
        <v>2.34898758880031</v>
      </c>
    </row>
    <row r="82" spans="1:24" s="4" customFormat="1" ht="15" customHeight="1">
      <c r="A82" s="28" t="s">
        <v>3019</v>
      </c>
      <c r="B82" s="29">
        <v>3196.165</v>
      </c>
      <c r="C82" s="30" t="s">
        <v>3254</v>
      </c>
      <c r="D82" s="2">
        <v>4948417581</v>
      </c>
      <c r="E82" s="2" t="s">
        <v>10</v>
      </c>
      <c r="F82" s="2" t="s">
        <v>3255</v>
      </c>
      <c r="G82" s="28" t="s">
        <v>5</v>
      </c>
      <c r="H82" s="2" t="s">
        <v>17</v>
      </c>
      <c r="I82" s="2">
        <v>1</v>
      </c>
      <c r="J82" s="2" t="s">
        <v>3256</v>
      </c>
      <c r="K82" s="2">
        <v>41068.800000000003</v>
      </c>
      <c r="L82" s="35">
        <v>131262661.152</v>
      </c>
      <c r="M82" s="36">
        <v>16560</v>
      </c>
      <c r="N82" s="40">
        <v>335446</v>
      </c>
      <c r="O82" s="40">
        <v>425734</v>
      </c>
      <c r="P82" s="40">
        <v>0</v>
      </c>
      <c r="Q82" s="40">
        <v>110000</v>
      </c>
      <c r="R82" s="40">
        <v>960449</v>
      </c>
      <c r="S82" s="40">
        <v>708712</v>
      </c>
      <c r="T82" s="40"/>
      <c r="U82" s="40">
        <v>1600500</v>
      </c>
      <c r="V82" s="40">
        <v>0</v>
      </c>
      <c r="W82" s="45">
        <v>4140841</v>
      </c>
      <c r="X82" s="46">
        <v>3.1546221626612998</v>
      </c>
    </row>
    <row r="83" spans="1:24" s="4" customFormat="1" ht="15" customHeight="1">
      <c r="A83" s="28" t="s">
        <v>3019</v>
      </c>
      <c r="B83" s="29">
        <v>3196.165</v>
      </c>
      <c r="C83" s="30" t="s">
        <v>3331</v>
      </c>
      <c r="D83" s="2">
        <v>4950695650</v>
      </c>
      <c r="E83" s="2" t="s">
        <v>10</v>
      </c>
      <c r="F83" s="2" t="s">
        <v>3332</v>
      </c>
      <c r="G83" s="28" t="s">
        <v>5</v>
      </c>
      <c r="H83" s="2" t="s">
        <v>20</v>
      </c>
      <c r="I83" s="2">
        <v>2</v>
      </c>
      <c r="J83" s="2" t="s">
        <v>3333</v>
      </c>
      <c r="K83" s="2">
        <v>44216.33</v>
      </c>
      <c r="L83" s="35">
        <v>141322686.37445</v>
      </c>
      <c r="M83" s="36">
        <v>30473</v>
      </c>
      <c r="N83" s="40">
        <v>0</v>
      </c>
      <c r="O83" s="40">
        <v>808090</v>
      </c>
      <c r="P83" s="40">
        <v>467630</v>
      </c>
      <c r="Q83" s="40">
        <v>248274</v>
      </c>
      <c r="R83" s="40">
        <v>1359669</v>
      </c>
      <c r="S83" s="40">
        <v>708712</v>
      </c>
      <c r="T83" s="40"/>
      <c r="U83" s="40">
        <v>3162200</v>
      </c>
      <c r="V83" s="40">
        <v>0</v>
      </c>
      <c r="W83" s="45">
        <v>6754575</v>
      </c>
      <c r="X83" s="46">
        <v>4.7795404780963597</v>
      </c>
    </row>
    <row r="84" spans="1:24" s="4" customFormat="1" ht="15" customHeight="1">
      <c r="A84" s="28" t="s">
        <v>3019</v>
      </c>
      <c r="B84" s="29">
        <v>3196.165</v>
      </c>
      <c r="C84" s="30" t="s">
        <v>3474</v>
      </c>
      <c r="D84" s="2">
        <v>4948269704</v>
      </c>
      <c r="E84" s="2" t="s">
        <v>10</v>
      </c>
      <c r="F84" s="2" t="s">
        <v>3475</v>
      </c>
      <c r="G84" s="28" t="s">
        <v>5</v>
      </c>
      <c r="H84" s="2" t="s">
        <v>20</v>
      </c>
      <c r="I84" s="2">
        <v>1</v>
      </c>
      <c r="J84" s="2" t="s">
        <v>3476</v>
      </c>
      <c r="K84" s="2">
        <v>12005</v>
      </c>
      <c r="L84" s="35">
        <v>38369960.825000003</v>
      </c>
      <c r="M84" s="36">
        <v>12250</v>
      </c>
      <c r="N84" s="40">
        <v>326145</v>
      </c>
      <c r="O84" s="40">
        <v>404046</v>
      </c>
      <c r="P84" s="40">
        <v>106540</v>
      </c>
      <c r="Q84" s="40">
        <v>124137</v>
      </c>
      <c r="R84" s="40">
        <v>556323</v>
      </c>
      <c r="S84" s="40">
        <v>708712</v>
      </c>
      <c r="T84" s="40"/>
      <c r="U84" s="40">
        <v>1552000</v>
      </c>
      <c r="V84" s="40">
        <v>0</v>
      </c>
      <c r="W84" s="45">
        <v>3777903</v>
      </c>
      <c r="X84" s="46">
        <v>9.8459912878996292</v>
      </c>
    </row>
    <row r="85" spans="1:24" s="4" customFormat="1" ht="15" customHeight="1">
      <c r="A85" s="28" t="s">
        <v>3019</v>
      </c>
      <c r="B85" s="29">
        <v>3196.165</v>
      </c>
      <c r="C85" s="30" t="s">
        <v>3477</v>
      </c>
      <c r="D85" s="2">
        <v>4948537318</v>
      </c>
      <c r="E85" s="2" t="s">
        <v>10</v>
      </c>
      <c r="F85" s="2" t="s">
        <v>3478</v>
      </c>
      <c r="G85" s="28" t="s">
        <v>5</v>
      </c>
      <c r="H85" s="2" t="s">
        <v>17</v>
      </c>
      <c r="I85" s="2">
        <v>1</v>
      </c>
      <c r="J85" s="2" t="s">
        <v>3479</v>
      </c>
      <c r="K85" s="2">
        <v>61272</v>
      </c>
      <c r="L85" s="35">
        <v>195835421.88</v>
      </c>
      <c r="M85" s="36">
        <v>16560</v>
      </c>
      <c r="N85" s="40">
        <v>326145</v>
      </c>
      <c r="O85" s="40">
        <v>425734</v>
      </c>
      <c r="P85" s="40">
        <v>0</v>
      </c>
      <c r="Q85" s="40">
        <v>110000</v>
      </c>
      <c r="R85" s="40">
        <v>935840</v>
      </c>
      <c r="S85" s="40">
        <v>708712</v>
      </c>
      <c r="T85" s="40"/>
      <c r="U85" s="40">
        <v>1600500</v>
      </c>
      <c r="V85" s="40">
        <v>0</v>
      </c>
      <c r="W85" s="45">
        <v>4106931</v>
      </c>
      <c r="X85" s="46">
        <v>2.0971338895557698</v>
      </c>
    </row>
    <row r="86" spans="1:24" s="4" customFormat="1" ht="15" customHeight="1">
      <c r="A86" s="28" t="s">
        <v>3019</v>
      </c>
      <c r="B86" s="29">
        <v>3196.165</v>
      </c>
      <c r="C86" s="30" t="s">
        <v>3480</v>
      </c>
      <c r="D86" s="2">
        <v>4948417580</v>
      </c>
      <c r="E86" s="2" t="s">
        <v>10</v>
      </c>
      <c r="F86" s="2" t="s">
        <v>3481</v>
      </c>
      <c r="G86" s="28" t="s">
        <v>5</v>
      </c>
      <c r="H86" s="2" t="s">
        <v>17</v>
      </c>
      <c r="I86" s="2">
        <v>1</v>
      </c>
      <c r="J86" s="2" t="s">
        <v>3482</v>
      </c>
      <c r="K86" s="2">
        <v>61272</v>
      </c>
      <c r="L86" s="35">
        <v>195835421.88</v>
      </c>
      <c r="M86" s="36">
        <v>16560</v>
      </c>
      <c r="N86" s="40">
        <v>326145</v>
      </c>
      <c r="O86" s="40">
        <v>425734</v>
      </c>
      <c r="P86" s="40">
        <v>0</v>
      </c>
      <c r="Q86" s="40">
        <v>110000</v>
      </c>
      <c r="R86" s="40">
        <v>935840</v>
      </c>
      <c r="S86" s="40">
        <v>708712</v>
      </c>
      <c r="T86" s="40"/>
      <c r="U86" s="40">
        <v>1600500</v>
      </c>
      <c r="V86" s="40">
        <v>0</v>
      </c>
      <c r="W86" s="45">
        <v>4106931</v>
      </c>
      <c r="X86" s="46">
        <v>2.0971338895557698</v>
      </c>
    </row>
    <row r="88" spans="1:24" ht="15" customHeight="1">
      <c r="A88" s="31" t="s">
        <v>3019</v>
      </c>
      <c r="B88" s="31"/>
      <c r="C88" s="31"/>
      <c r="D88" s="31"/>
      <c r="E88" s="31"/>
      <c r="F88" s="32">
        <v>9</v>
      </c>
      <c r="G88" s="31"/>
      <c r="H88" s="31"/>
      <c r="I88" s="38"/>
      <c r="J88" s="31"/>
      <c r="K88" s="39">
        <f>+SUM(K78:K86)</f>
        <v>379560.53</v>
      </c>
      <c r="L88" s="39">
        <f>+SUM(L78:L86)</f>
        <v>1213138081.36745</v>
      </c>
      <c r="M88" s="31"/>
      <c r="N88" s="39"/>
      <c r="O88" s="39"/>
      <c r="P88" s="39"/>
      <c r="Q88" s="39"/>
      <c r="R88" s="39"/>
      <c r="S88" s="39"/>
      <c r="T88" s="39"/>
      <c r="U88" s="39"/>
      <c r="V88" s="31"/>
      <c r="W88" s="39">
        <f>+SUM(W78:W86)</f>
        <v>38224541</v>
      </c>
      <c r="X88" s="47">
        <f>(W88/L88)*100</f>
        <v>3.1508813042051464</v>
      </c>
    </row>
    <row r="90" spans="1:24" s="4" customFormat="1" ht="15" customHeight="1">
      <c r="A90" s="28" t="s">
        <v>3483</v>
      </c>
      <c r="B90" s="29">
        <v>3387.15</v>
      </c>
      <c r="C90" s="30" t="s">
        <v>3656</v>
      </c>
      <c r="D90" s="2">
        <v>4951722693</v>
      </c>
      <c r="E90" s="2" t="s">
        <v>10</v>
      </c>
      <c r="F90" s="2" t="s">
        <v>3657</v>
      </c>
      <c r="G90" s="28" t="s">
        <v>9</v>
      </c>
      <c r="H90" s="2" t="s">
        <v>23</v>
      </c>
      <c r="I90" s="2">
        <v>1</v>
      </c>
      <c r="J90" s="2"/>
      <c r="K90" s="2">
        <v>14420</v>
      </c>
      <c r="L90" s="35">
        <v>48842703</v>
      </c>
      <c r="M90" s="36">
        <v>1000</v>
      </c>
      <c r="N90" s="40">
        <v>651247</v>
      </c>
      <c r="O90" s="40">
        <v>803</v>
      </c>
      <c r="P90" s="40">
        <v>30525</v>
      </c>
      <c r="Q90" s="40">
        <v>24758</v>
      </c>
      <c r="R90" s="40">
        <v>116243</v>
      </c>
      <c r="S90" s="40">
        <v>708712</v>
      </c>
      <c r="T90" s="40"/>
      <c r="U90" s="40">
        <v>533500</v>
      </c>
      <c r="V90" s="40">
        <v>0</v>
      </c>
      <c r="W90" s="45">
        <v>2065788</v>
      </c>
      <c r="X90" s="46">
        <v>4.22947108394062</v>
      </c>
    </row>
    <row r="91" spans="1:24" s="4" customFormat="1" ht="15" customHeight="1">
      <c r="A91" s="28" t="s">
        <v>3483</v>
      </c>
      <c r="B91" s="29">
        <v>3387.15</v>
      </c>
      <c r="C91" s="30" t="s">
        <v>3658</v>
      </c>
      <c r="D91" s="2">
        <v>4951379397</v>
      </c>
      <c r="E91" s="2" t="s">
        <v>10</v>
      </c>
      <c r="F91" s="2" t="s">
        <v>3659</v>
      </c>
      <c r="G91" s="28" t="s">
        <v>9</v>
      </c>
      <c r="H91" s="2" t="s">
        <v>23</v>
      </c>
      <c r="I91" s="2">
        <v>1</v>
      </c>
      <c r="J91" s="2"/>
      <c r="K91" s="2">
        <v>14420</v>
      </c>
      <c r="L91" s="35">
        <v>48842703</v>
      </c>
      <c r="M91" s="36">
        <v>1000</v>
      </c>
      <c r="N91" s="40">
        <v>651247</v>
      </c>
      <c r="O91" s="40">
        <v>803</v>
      </c>
      <c r="P91" s="40">
        <v>30525</v>
      </c>
      <c r="Q91" s="40">
        <v>24758</v>
      </c>
      <c r="R91" s="40">
        <v>116243</v>
      </c>
      <c r="S91" s="40">
        <v>708712</v>
      </c>
      <c r="T91" s="40"/>
      <c r="U91" s="40">
        <v>533500</v>
      </c>
      <c r="V91" s="40">
        <v>0</v>
      </c>
      <c r="W91" s="45">
        <v>2065788</v>
      </c>
      <c r="X91" s="46">
        <v>4.22947108394062</v>
      </c>
    </row>
    <row r="92" spans="1:24" s="4" customFormat="1" ht="15" customHeight="1">
      <c r="A92" s="28" t="s">
        <v>3483</v>
      </c>
      <c r="B92" s="29">
        <v>3387.15</v>
      </c>
      <c r="C92" s="30" t="s">
        <v>3715</v>
      </c>
      <c r="D92" s="2">
        <v>4950896900</v>
      </c>
      <c r="E92" s="2" t="s">
        <v>10</v>
      </c>
      <c r="F92" s="2" t="s">
        <v>3716</v>
      </c>
      <c r="G92" s="28" t="s">
        <v>9</v>
      </c>
      <c r="H92" s="2" t="s">
        <v>23</v>
      </c>
      <c r="I92" s="2">
        <v>9</v>
      </c>
      <c r="J92" s="2"/>
      <c r="K92" s="2">
        <v>23430</v>
      </c>
      <c r="L92" s="35">
        <v>79360924.5</v>
      </c>
      <c r="M92" s="36">
        <v>6600</v>
      </c>
      <c r="N92" s="40">
        <v>1267371</v>
      </c>
      <c r="O92" s="40">
        <v>5460</v>
      </c>
      <c r="P92" s="40">
        <v>0</v>
      </c>
      <c r="Q92" s="40">
        <v>163326</v>
      </c>
      <c r="R92" s="40">
        <v>203150</v>
      </c>
      <c r="S92" s="40">
        <v>708712</v>
      </c>
      <c r="T92" s="40"/>
      <c r="U92" s="40">
        <v>1503500</v>
      </c>
      <c r="V92" s="40">
        <v>0</v>
      </c>
      <c r="W92" s="45">
        <v>3851519</v>
      </c>
      <c r="X92" s="46">
        <v>4.8531680096544196</v>
      </c>
    </row>
    <row r="93" spans="1:24" s="4" customFormat="1" ht="15" customHeight="1">
      <c r="A93" s="28" t="s">
        <v>3483</v>
      </c>
      <c r="B93" s="29">
        <v>3387.15</v>
      </c>
      <c r="C93" s="30" t="s">
        <v>3753</v>
      </c>
      <c r="D93" s="2">
        <v>4948417580</v>
      </c>
      <c r="E93" s="2" t="s">
        <v>10</v>
      </c>
      <c r="F93" s="2" t="s">
        <v>3754</v>
      </c>
      <c r="G93" s="28" t="s">
        <v>5</v>
      </c>
      <c r="H93" s="2" t="s">
        <v>17</v>
      </c>
      <c r="I93" s="2">
        <v>1</v>
      </c>
      <c r="J93" s="2" t="s">
        <v>3755</v>
      </c>
      <c r="K93" s="2">
        <v>61272</v>
      </c>
      <c r="L93" s="35">
        <v>207537454.80000001</v>
      </c>
      <c r="M93" s="36">
        <v>16560</v>
      </c>
      <c r="N93" s="40">
        <v>326145</v>
      </c>
      <c r="O93" s="40">
        <v>458999</v>
      </c>
      <c r="P93" s="40">
        <v>0</v>
      </c>
      <c r="Q93" s="40">
        <v>110000</v>
      </c>
      <c r="R93" s="40">
        <v>935840</v>
      </c>
      <c r="S93" s="40">
        <v>708712</v>
      </c>
      <c r="T93" s="40"/>
      <c r="U93" s="40">
        <v>1600500</v>
      </c>
      <c r="V93" s="40">
        <v>0</v>
      </c>
      <c r="W93" s="45">
        <v>4140196</v>
      </c>
      <c r="X93" s="46">
        <v>1.99491508845467</v>
      </c>
    </row>
    <row r="94" spans="1:24" s="4" customFormat="1" ht="15" customHeight="1">
      <c r="A94" s="28" t="s">
        <v>3483</v>
      </c>
      <c r="B94" s="29">
        <v>3387.15</v>
      </c>
      <c r="C94" s="30" t="s">
        <v>3889</v>
      </c>
      <c r="D94" s="2">
        <v>4948538664</v>
      </c>
      <c r="E94" s="2" t="s">
        <v>10</v>
      </c>
      <c r="F94" s="2" t="s">
        <v>3890</v>
      </c>
      <c r="G94" s="28" t="s">
        <v>9</v>
      </c>
      <c r="H94" s="2" t="s">
        <v>23</v>
      </c>
      <c r="I94" s="2">
        <v>10</v>
      </c>
      <c r="J94" s="2"/>
      <c r="K94" s="2">
        <v>58188</v>
      </c>
      <c r="L94" s="35">
        <v>197091484.19999999</v>
      </c>
      <c r="M94" s="36">
        <v>7800</v>
      </c>
      <c r="N94" s="40">
        <v>1421588</v>
      </c>
      <c r="O94" s="40">
        <v>6036</v>
      </c>
      <c r="P94" s="40">
        <v>114873</v>
      </c>
      <c r="Q94" s="40">
        <v>174512</v>
      </c>
      <c r="R94" s="40">
        <v>252217</v>
      </c>
      <c r="S94" s="40">
        <v>708712</v>
      </c>
      <c r="T94" s="40"/>
      <c r="U94" s="40">
        <v>1503500</v>
      </c>
      <c r="V94" s="40">
        <v>0</v>
      </c>
      <c r="W94" s="45">
        <v>4181438</v>
      </c>
      <c r="X94" s="46">
        <v>2.1215721303092199</v>
      </c>
    </row>
    <row r="95" spans="1:24" s="4" customFormat="1" ht="15" customHeight="1">
      <c r="A95" s="28" t="s">
        <v>3483</v>
      </c>
      <c r="B95" s="29">
        <v>3387.15</v>
      </c>
      <c r="C95" s="30" t="s">
        <v>3891</v>
      </c>
      <c r="D95" s="2">
        <v>4950899801</v>
      </c>
      <c r="E95" s="2" t="s">
        <v>10</v>
      </c>
      <c r="F95" s="2" t="s">
        <v>3892</v>
      </c>
      <c r="G95" s="28" t="s">
        <v>5</v>
      </c>
      <c r="H95" s="2" t="s">
        <v>20</v>
      </c>
      <c r="I95" s="2">
        <v>1</v>
      </c>
      <c r="J95" s="2" t="s">
        <v>3893</v>
      </c>
      <c r="K95" s="2">
        <v>83700</v>
      </c>
      <c r="L95" s="35">
        <v>283504455</v>
      </c>
      <c r="M95" s="36">
        <v>6000</v>
      </c>
      <c r="N95" s="40">
        <v>546746</v>
      </c>
      <c r="O95" s="40">
        <v>435616</v>
      </c>
      <c r="P95" s="40">
        <v>0</v>
      </c>
      <c r="Q95" s="40">
        <v>124137</v>
      </c>
      <c r="R95" s="40">
        <v>763400</v>
      </c>
      <c r="S95" s="40">
        <v>708712</v>
      </c>
      <c r="T95" s="40"/>
      <c r="U95" s="40">
        <v>1552000</v>
      </c>
      <c r="V95" s="40">
        <v>0</v>
      </c>
      <c r="W95" s="45">
        <v>4130611</v>
      </c>
      <c r="X95" s="46">
        <v>1.45698274829579</v>
      </c>
    </row>
    <row r="96" spans="1:24" s="4" customFormat="1" ht="15" customHeight="1">
      <c r="A96" s="28" t="s">
        <v>3483</v>
      </c>
      <c r="B96" s="29">
        <v>3387.15</v>
      </c>
      <c r="C96" s="30" t="s">
        <v>3914</v>
      </c>
      <c r="D96" s="2">
        <v>4951210375</v>
      </c>
      <c r="E96" s="2" t="s">
        <v>10</v>
      </c>
      <c r="F96" s="2" t="s">
        <v>3915</v>
      </c>
      <c r="G96" s="28" t="s">
        <v>5</v>
      </c>
      <c r="H96" s="2" t="s">
        <v>17</v>
      </c>
      <c r="I96" s="2">
        <v>1</v>
      </c>
      <c r="J96" s="2" t="s">
        <v>3916</v>
      </c>
      <c r="K96" s="2">
        <v>61272</v>
      </c>
      <c r="L96" s="35">
        <v>207537454.80000001</v>
      </c>
      <c r="M96" s="36">
        <v>16560</v>
      </c>
      <c r="N96" s="40">
        <v>351671</v>
      </c>
      <c r="O96" s="40">
        <v>572035</v>
      </c>
      <c r="P96" s="40">
        <v>0</v>
      </c>
      <c r="Q96" s="40">
        <v>124137</v>
      </c>
      <c r="R96" s="40">
        <v>705645</v>
      </c>
      <c r="S96" s="40">
        <v>708712</v>
      </c>
      <c r="T96" s="40"/>
      <c r="U96" s="40">
        <v>1600500</v>
      </c>
      <c r="V96" s="40">
        <v>0</v>
      </c>
      <c r="W96" s="45">
        <v>4062700</v>
      </c>
      <c r="X96" s="46">
        <v>1.9575743587658201</v>
      </c>
    </row>
    <row r="98" spans="1:24" ht="15" customHeight="1">
      <c r="A98" s="31" t="s">
        <v>3483</v>
      </c>
      <c r="B98" s="31"/>
      <c r="C98" s="31"/>
      <c r="D98" s="31"/>
      <c r="E98" s="31"/>
      <c r="F98" s="32">
        <v>7</v>
      </c>
      <c r="G98" s="31"/>
      <c r="H98" s="31"/>
      <c r="I98" s="38"/>
      <c r="J98" s="31"/>
      <c r="K98" s="39">
        <f>+SUM(K90:K96)</f>
        <v>316702</v>
      </c>
      <c r="L98" s="39">
        <f>+SUM(L90:L96)</f>
        <v>1072717179.3</v>
      </c>
      <c r="M98" s="31"/>
      <c r="N98" s="39"/>
      <c r="O98" s="39"/>
      <c r="P98" s="39"/>
      <c r="Q98" s="39"/>
      <c r="R98" s="39"/>
      <c r="S98" s="39"/>
      <c r="T98" s="39"/>
      <c r="U98" s="39"/>
      <c r="V98" s="31"/>
      <c r="W98" s="39">
        <f>+SUM(W90:W96)</f>
        <v>24498040</v>
      </c>
      <c r="X98" s="47">
        <f>(W98/L98)*100</f>
        <v>2.2837370811928417</v>
      </c>
    </row>
  </sheetData>
  <conditionalFormatting sqref="C2">
    <cfRule type="duplicateValues" dxfId="360" priority="15"/>
  </conditionalFormatting>
  <conditionalFormatting sqref="C3">
    <cfRule type="duplicateValues" dxfId="359" priority="14"/>
  </conditionalFormatting>
  <conditionalFormatting sqref="C4">
    <cfRule type="duplicateValues" dxfId="358" priority="13"/>
  </conditionalFormatting>
  <conditionalFormatting sqref="C5">
    <cfRule type="duplicateValues" dxfId="357" priority="12"/>
  </conditionalFormatting>
  <conditionalFormatting sqref="C6">
    <cfRule type="duplicateValues" dxfId="356" priority="11"/>
  </conditionalFormatting>
  <conditionalFormatting sqref="C7">
    <cfRule type="duplicateValues" dxfId="355" priority="10"/>
  </conditionalFormatting>
  <conditionalFormatting sqref="C8">
    <cfRule type="duplicateValues" dxfId="354" priority="9"/>
  </conditionalFormatting>
  <conditionalFormatting sqref="C9">
    <cfRule type="duplicateValues" dxfId="353" priority="8"/>
  </conditionalFormatting>
  <conditionalFormatting sqref="C10">
    <cfRule type="duplicateValues" dxfId="352" priority="7"/>
  </conditionalFormatting>
  <conditionalFormatting sqref="C11">
    <cfRule type="duplicateValues" dxfId="351" priority="6"/>
  </conditionalFormatting>
  <conditionalFormatting sqref="C12">
    <cfRule type="duplicateValues" dxfId="350" priority="5"/>
  </conditionalFormatting>
  <conditionalFormatting sqref="C13">
    <cfRule type="duplicateValues" dxfId="349" priority="4"/>
  </conditionalFormatting>
  <conditionalFormatting sqref="C14">
    <cfRule type="duplicateValues" dxfId="348" priority="3"/>
  </conditionalFormatting>
  <conditionalFormatting sqref="C15">
    <cfRule type="duplicateValues" dxfId="347" priority="2"/>
  </conditionalFormatting>
  <conditionalFormatting sqref="C16">
    <cfRule type="duplicateValues" dxfId="346" priority="1"/>
  </conditionalFormatting>
  <pageMargins left="0.69930555555555596" right="0.69930555555555596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657"/>
  <sheetViews>
    <sheetView showGridLines="0" topLeftCell="I1" zoomScale="80" zoomScaleNormal="80" workbookViewId="0">
      <pane ySplit="1" topLeftCell="A1642" activePane="bottomLeft" state="frozen"/>
      <selection pane="bottomLeft" activeCell="J1651" sqref="J1651"/>
    </sheetView>
  </sheetViews>
  <sheetFormatPr baseColWidth="10" defaultColWidth="11.42578125" defaultRowHeight="15"/>
  <cols>
    <col min="1" max="1" width="13.5703125" customWidth="1"/>
    <col min="2" max="2" width="10.42578125" customWidth="1"/>
    <col min="3" max="3" width="11.85546875" customWidth="1"/>
    <col min="4" max="4" width="12.85546875" customWidth="1"/>
    <col min="5" max="5" width="5.85546875" customWidth="1"/>
    <col min="6" max="6" width="22.5703125" customWidth="1"/>
    <col min="7" max="7" width="14.42578125" customWidth="1"/>
    <col min="8" max="8" width="10.5703125" customWidth="1"/>
    <col min="9" max="9" width="6.42578125" customWidth="1"/>
    <col min="10" max="10" width="14.42578125" customWidth="1"/>
    <col min="11" max="11" width="13.85546875" customWidth="1"/>
    <col min="12" max="12" width="17.7109375" customWidth="1"/>
    <col min="13" max="13" width="12.28515625" customWidth="1"/>
    <col min="14" max="14" width="17.5703125" customWidth="1"/>
    <col min="15" max="15" width="15.7109375" customWidth="1"/>
    <col min="16" max="16" width="9.5703125" customWidth="1"/>
    <col min="17" max="18" width="11.42578125" customWidth="1"/>
    <col min="19" max="20" width="17.5703125" customWidth="1"/>
    <col min="21" max="21" width="13.140625" customWidth="1"/>
    <col min="22" max="22" width="10.140625" customWidth="1"/>
    <col min="23" max="23" width="14.7109375" customWidth="1"/>
    <col min="24" max="24" width="10.42578125" customWidth="1"/>
  </cols>
  <sheetData>
    <row r="1" spans="1:24" ht="45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64</v>
      </c>
      <c r="D2" s="2">
        <v>4947917132</v>
      </c>
      <c r="E2" s="2" t="s">
        <v>14</v>
      </c>
      <c r="F2" s="2">
        <v>1023591784</v>
      </c>
      <c r="G2" s="28" t="s">
        <v>13</v>
      </c>
      <c r="H2" s="2" t="s">
        <v>23</v>
      </c>
      <c r="I2" s="2">
        <v>6</v>
      </c>
      <c r="J2" s="2"/>
      <c r="K2" s="2">
        <v>2505.23</v>
      </c>
      <c r="L2" s="35">
        <v>7940577.0080000004</v>
      </c>
      <c r="M2" s="36">
        <v>68.040000000000006</v>
      </c>
      <c r="N2" s="37">
        <v>188214.45</v>
      </c>
      <c r="O2" s="37">
        <v>0</v>
      </c>
      <c r="P2" s="37">
        <v>0</v>
      </c>
      <c r="Q2" s="37">
        <v>0</v>
      </c>
      <c r="R2" s="37">
        <v>753</v>
      </c>
      <c r="S2" s="37">
        <v>343435</v>
      </c>
      <c r="T2" s="40">
        <v>30000</v>
      </c>
      <c r="U2" s="37">
        <v>246380</v>
      </c>
      <c r="V2" s="37">
        <v>0</v>
      </c>
      <c r="W2" s="45">
        <v>808782.45</v>
      </c>
      <c r="X2" s="46">
        <v>10.1854367659323</v>
      </c>
    </row>
    <row r="3" spans="1:24">
      <c r="A3" s="28" t="s">
        <v>63</v>
      </c>
      <c r="B3" s="29">
        <v>3169.6</v>
      </c>
      <c r="C3" s="30" t="s">
        <v>69</v>
      </c>
      <c r="D3" s="2">
        <v>4948208972</v>
      </c>
      <c r="E3" s="2" t="s">
        <v>14</v>
      </c>
      <c r="F3" s="78" t="s">
        <v>70</v>
      </c>
      <c r="G3" s="28" t="s">
        <v>13</v>
      </c>
      <c r="H3" s="2" t="s">
        <v>23</v>
      </c>
      <c r="I3" s="2">
        <v>1</v>
      </c>
      <c r="J3" s="2"/>
      <c r="K3" s="2">
        <v>8920.2000000000007</v>
      </c>
      <c r="L3" s="35">
        <v>28273465.920000002</v>
      </c>
      <c r="M3" s="36">
        <v>20</v>
      </c>
      <c r="N3" s="37">
        <v>136987.6</v>
      </c>
      <c r="O3" s="37">
        <v>0</v>
      </c>
      <c r="P3" s="37">
        <v>0</v>
      </c>
      <c r="Q3" s="37">
        <v>0</v>
      </c>
      <c r="R3" s="37">
        <v>548</v>
      </c>
      <c r="S3" s="37">
        <v>343435</v>
      </c>
      <c r="T3" s="40">
        <v>30000</v>
      </c>
      <c r="U3" s="37">
        <v>70394.285714285696</v>
      </c>
      <c r="V3" s="37">
        <v>0</v>
      </c>
      <c r="W3" s="45">
        <v>581364.88571428601</v>
      </c>
      <c r="X3" s="46">
        <v>2.05622079500003</v>
      </c>
    </row>
    <row r="4" spans="1:24">
      <c r="A4" s="28" t="s">
        <v>63</v>
      </c>
      <c r="B4" s="29">
        <v>3169.6</v>
      </c>
      <c r="C4" s="30" t="s">
        <v>71</v>
      </c>
      <c r="D4" s="2">
        <v>4947917132</v>
      </c>
      <c r="E4" s="2" t="s">
        <v>14</v>
      </c>
      <c r="F4" s="2" t="s">
        <v>72</v>
      </c>
      <c r="G4" s="28" t="s">
        <v>13</v>
      </c>
      <c r="H4" s="2" t="s">
        <v>23</v>
      </c>
      <c r="I4" s="2">
        <v>1</v>
      </c>
      <c r="J4" s="2"/>
      <c r="K4" s="2">
        <v>376.6</v>
      </c>
      <c r="L4" s="35">
        <v>1193671.3600000001</v>
      </c>
      <c r="M4" s="36">
        <v>5</v>
      </c>
      <c r="N4" s="37">
        <v>421821</v>
      </c>
      <c r="O4" s="37">
        <v>0</v>
      </c>
      <c r="P4" s="37">
        <v>0</v>
      </c>
      <c r="Q4" s="37">
        <v>0</v>
      </c>
      <c r="R4" s="37">
        <v>1687</v>
      </c>
      <c r="S4" s="37">
        <v>343435</v>
      </c>
      <c r="T4" s="40">
        <v>30000</v>
      </c>
      <c r="U4" s="37">
        <v>3677.3134328358201</v>
      </c>
      <c r="V4" s="37">
        <v>0</v>
      </c>
      <c r="W4" s="45">
        <v>800620.31343283597</v>
      </c>
      <c r="X4" s="46">
        <v>67.072088705624594</v>
      </c>
    </row>
    <row r="5" spans="1:24">
      <c r="A5" s="28" t="s">
        <v>63</v>
      </c>
      <c r="B5" s="29">
        <v>3169.6</v>
      </c>
      <c r="C5" s="30" t="s">
        <v>73</v>
      </c>
      <c r="D5" s="2">
        <v>4947642963</v>
      </c>
      <c r="E5" s="2" t="s">
        <v>14</v>
      </c>
      <c r="F5" s="78" t="s">
        <v>74</v>
      </c>
      <c r="G5" s="28" t="s">
        <v>13</v>
      </c>
      <c r="H5" s="2" t="s">
        <v>23</v>
      </c>
      <c r="I5" s="2">
        <v>1</v>
      </c>
      <c r="J5" s="2"/>
      <c r="K5" s="2">
        <v>376.6</v>
      </c>
      <c r="L5" s="35">
        <v>1193671.3600000001</v>
      </c>
      <c r="M5" s="36">
        <v>5</v>
      </c>
      <c r="N5" s="37">
        <v>416881</v>
      </c>
      <c r="O5" s="37">
        <v>0</v>
      </c>
      <c r="P5" s="37">
        <v>0</v>
      </c>
      <c r="Q5" s="37">
        <v>0</v>
      </c>
      <c r="R5" s="37">
        <v>1668</v>
      </c>
      <c r="S5" s="37">
        <v>343435</v>
      </c>
      <c r="T5" s="40">
        <v>30000</v>
      </c>
      <c r="U5" s="37">
        <v>246380</v>
      </c>
      <c r="V5" s="37">
        <v>0</v>
      </c>
      <c r="W5" s="45">
        <v>1038364</v>
      </c>
      <c r="X5" s="46">
        <v>86.989102260106193</v>
      </c>
    </row>
    <row r="6" spans="1:24">
      <c r="A6" s="28" t="s">
        <v>63</v>
      </c>
      <c r="B6" s="29">
        <v>3169.6</v>
      </c>
      <c r="C6" s="30" t="s">
        <v>88</v>
      </c>
      <c r="D6" s="2">
        <v>4947321530</v>
      </c>
      <c r="E6" s="2" t="s">
        <v>14</v>
      </c>
      <c r="F6" s="2" t="s">
        <v>89</v>
      </c>
      <c r="G6" s="28" t="s">
        <v>5</v>
      </c>
      <c r="H6" s="2" t="s">
        <v>17</v>
      </c>
      <c r="I6" s="2">
        <v>1</v>
      </c>
      <c r="J6" s="2" t="s">
        <v>90</v>
      </c>
      <c r="K6" s="2">
        <v>18522</v>
      </c>
      <c r="L6" s="35">
        <v>58707331.200000003</v>
      </c>
      <c r="M6" s="36">
        <v>4900</v>
      </c>
      <c r="N6" s="37">
        <v>77194.467054263601</v>
      </c>
      <c r="O6" s="37">
        <v>98777.495155038807</v>
      </c>
      <c r="P6" s="37">
        <v>0</v>
      </c>
      <c r="Q6" s="37">
        <v>23576.2645348837</v>
      </c>
      <c r="R6" s="37">
        <v>155418.537790698</v>
      </c>
      <c r="S6" s="37">
        <v>81532.533914728701</v>
      </c>
      <c r="T6" s="40">
        <v>30000</v>
      </c>
      <c r="U6" s="37">
        <v>1181210.9980620199</v>
      </c>
      <c r="V6" s="37">
        <v>0</v>
      </c>
      <c r="W6" s="45">
        <v>1647710.2965116301</v>
      </c>
      <c r="X6" s="46">
        <v>2.8066516784732198</v>
      </c>
    </row>
    <row r="7" spans="1:24">
      <c r="A7" s="28" t="s">
        <v>63</v>
      </c>
      <c r="B7" s="29">
        <v>3169.6</v>
      </c>
      <c r="C7" s="30" t="s">
        <v>88</v>
      </c>
      <c r="D7" s="2">
        <v>4947217693</v>
      </c>
      <c r="E7" s="2" t="s">
        <v>14</v>
      </c>
      <c r="F7" s="2" t="s">
        <v>89</v>
      </c>
      <c r="G7" s="28" t="s">
        <v>5</v>
      </c>
      <c r="H7" s="2" t="s">
        <v>17</v>
      </c>
      <c r="I7" s="2">
        <v>1</v>
      </c>
      <c r="J7" s="2" t="s">
        <v>90</v>
      </c>
      <c r="K7" s="2">
        <v>1060.5999999999999</v>
      </c>
      <c r="L7" s="35">
        <v>3361677.76</v>
      </c>
      <c r="M7" s="36">
        <v>420</v>
      </c>
      <c r="N7" s="37">
        <v>6616.6686046511604</v>
      </c>
      <c r="O7" s="37">
        <v>8466.6424418604693</v>
      </c>
      <c r="P7" s="37">
        <v>0</v>
      </c>
      <c r="Q7" s="37">
        <v>2020.8226744185999</v>
      </c>
      <c r="R7" s="37">
        <v>13321.188953488399</v>
      </c>
      <c r="S7" s="37">
        <v>6988.5029069767397</v>
      </c>
      <c r="T7" s="40">
        <v>30000</v>
      </c>
      <c r="U7" s="37">
        <v>101246.65697674399</v>
      </c>
      <c r="V7" s="37">
        <v>0</v>
      </c>
      <c r="W7" s="45">
        <v>168660.48255813899</v>
      </c>
      <c r="X7" s="46">
        <v>5.0171519877663497</v>
      </c>
    </row>
    <row r="8" spans="1:24">
      <c r="A8" s="28" t="s">
        <v>63</v>
      </c>
      <c r="B8" s="29">
        <v>3169.6</v>
      </c>
      <c r="C8" s="30" t="s">
        <v>88</v>
      </c>
      <c r="D8" s="2">
        <v>4947106843</v>
      </c>
      <c r="E8" s="2" t="s">
        <v>14</v>
      </c>
      <c r="F8" s="2" t="s">
        <v>89</v>
      </c>
      <c r="G8" s="28" t="s">
        <v>5</v>
      </c>
      <c r="H8" s="2" t="s">
        <v>17</v>
      </c>
      <c r="I8" s="2">
        <v>1</v>
      </c>
      <c r="J8" s="2" t="s">
        <v>90</v>
      </c>
      <c r="K8" s="2">
        <v>2847</v>
      </c>
      <c r="L8" s="35">
        <v>9023851.1999999993</v>
      </c>
      <c r="M8" s="36">
        <v>100</v>
      </c>
      <c r="N8" s="37">
        <v>1575.3972868217099</v>
      </c>
      <c r="O8" s="37">
        <v>2015.8672480620201</v>
      </c>
      <c r="P8" s="37">
        <v>0</v>
      </c>
      <c r="Q8" s="37">
        <v>481.14825581395303</v>
      </c>
      <c r="R8" s="37">
        <v>3172.23546511628</v>
      </c>
      <c r="S8" s="37">
        <v>1663.9292635658901</v>
      </c>
      <c r="T8" s="40">
        <v>30000</v>
      </c>
      <c r="U8" s="37">
        <v>24106.346899224802</v>
      </c>
      <c r="V8" s="37">
        <v>0</v>
      </c>
      <c r="W8" s="45">
        <v>63014.9244186047</v>
      </c>
      <c r="X8" s="46">
        <v>0.69831519848869705</v>
      </c>
    </row>
    <row r="9" spans="1:24">
      <c r="A9" s="28" t="s">
        <v>63</v>
      </c>
      <c r="B9" s="29">
        <v>3169.6</v>
      </c>
      <c r="C9" s="30" t="s">
        <v>88</v>
      </c>
      <c r="D9" s="2">
        <v>4947223493</v>
      </c>
      <c r="E9" s="2" t="s">
        <v>14</v>
      </c>
      <c r="F9" s="2" t="s">
        <v>89</v>
      </c>
      <c r="G9" s="28" t="s">
        <v>5</v>
      </c>
      <c r="H9" s="2" t="s">
        <v>17</v>
      </c>
      <c r="I9" s="2">
        <v>1</v>
      </c>
      <c r="J9" s="2" t="s">
        <v>90</v>
      </c>
      <c r="K9" s="2">
        <v>6408</v>
      </c>
      <c r="L9" s="35">
        <v>20310796.800000001</v>
      </c>
      <c r="M9" s="36">
        <v>3600</v>
      </c>
      <c r="N9" s="37">
        <v>56714.302325581397</v>
      </c>
      <c r="O9" s="37">
        <v>72571.220930232594</v>
      </c>
      <c r="P9" s="37">
        <v>0</v>
      </c>
      <c r="Q9" s="37">
        <v>17321.337209302299</v>
      </c>
      <c r="R9" s="37">
        <v>114185.476744186</v>
      </c>
      <c r="S9" s="37">
        <v>59901.453488372099</v>
      </c>
      <c r="T9" s="40">
        <v>30000</v>
      </c>
      <c r="U9" s="37">
        <v>867828.48837209295</v>
      </c>
      <c r="V9" s="37">
        <v>0</v>
      </c>
      <c r="W9" s="45">
        <v>1218522.2790697699</v>
      </c>
      <c r="X9" s="46">
        <v>5.9993819595978</v>
      </c>
    </row>
    <row r="10" spans="1:24">
      <c r="A10" s="28" t="s">
        <v>63</v>
      </c>
      <c r="B10" s="29">
        <v>3169.6</v>
      </c>
      <c r="C10" s="30" t="s">
        <v>88</v>
      </c>
      <c r="D10" s="2">
        <v>4946878051</v>
      </c>
      <c r="E10" s="2" t="s">
        <v>14</v>
      </c>
      <c r="F10" s="2" t="s">
        <v>89</v>
      </c>
      <c r="G10" s="28" t="s">
        <v>5</v>
      </c>
      <c r="H10" s="2" t="s">
        <v>17</v>
      </c>
      <c r="I10" s="2">
        <v>1</v>
      </c>
      <c r="J10" s="2" t="s">
        <v>90</v>
      </c>
      <c r="K10" s="2">
        <v>13587.2</v>
      </c>
      <c r="L10" s="35">
        <v>43065989.119999997</v>
      </c>
      <c r="M10" s="36">
        <v>3520</v>
      </c>
      <c r="N10" s="37">
        <v>55453.984496124001</v>
      </c>
      <c r="O10" s="37">
        <v>70958.527131782903</v>
      </c>
      <c r="P10" s="37">
        <v>0</v>
      </c>
      <c r="Q10" s="37">
        <v>16936.4186046512</v>
      </c>
      <c r="R10" s="37">
        <v>111647.48837209299</v>
      </c>
      <c r="S10" s="37">
        <v>58570.310077519403</v>
      </c>
      <c r="T10" s="40">
        <v>30000</v>
      </c>
      <c r="U10" s="37">
        <v>848543.41085271304</v>
      </c>
      <c r="V10" s="37">
        <v>0</v>
      </c>
      <c r="W10" s="45">
        <v>1192110.1395348799</v>
      </c>
      <c r="X10" s="46">
        <v>2.76810114871195</v>
      </c>
    </row>
    <row r="11" spans="1:24">
      <c r="A11" s="28" t="s">
        <v>63</v>
      </c>
      <c r="B11" s="29">
        <v>3169.6</v>
      </c>
      <c r="C11" s="30" t="s">
        <v>88</v>
      </c>
      <c r="D11" s="2">
        <v>4947562544</v>
      </c>
      <c r="E11" s="2" t="s">
        <v>14</v>
      </c>
      <c r="F11" s="2" t="s">
        <v>89</v>
      </c>
      <c r="G11" s="28" t="s">
        <v>5</v>
      </c>
      <c r="H11" s="2" t="s">
        <v>17</v>
      </c>
      <c r="I11" s="2">
        <v>1</v>
      </c>
      <c r="J11" s="2" t="s">
        <v>90</v>
      </c>
      <c r="K11" s="2">
        <v>18630</v>
      </c>
      <c r="L11" s="35">
        <v>59049648</v>
      </c>
      <c r="M11" s="36">
        <v>8100</v>
      </c>
      <c r="N11" s="37">
        <v>127607.18023255801</v>
      </c>
      <c r="O11" s="37">
        <v>163285.247093023</v>
      </c>
      <c r="P11" s="37">
        <v>0</v>
      </c>
      <c r="Q11" s="37">
        <v>38973.0087209302</v>
      </c>
      <c r="R11" s="37">
        <v>256917.072674419</v>
      </c>
      <c r="S11" s="37">
        <v>134778.27034883699</v>
      </c>
      <c r="T11" s="40">
        <v>30000</v>
      </c>
      <c r="U11" s="37">
        <v>1952614.0988372101</v>
      </c>
      <c r="V11" s="37">
        <v>0</v>
      </c>
      <c r="W11" s="45">
        <v>2704174.87790698</v>
      </c>
      <c r="X11" s="46">
        <v>4.5794936455962896</v>
      </c>
    </row>
    <row r="12" spans="1:24">
      <c r="A12" s="28" t="s">
        <v>63</v>
      </c>
      <c r="B12" s="29">
        <v>3169.6</v>
      </c>
      <c r="C12" s="30" t="s">
        <v>91</v>
      </c>
      <c r="D12" s="2">
        <v>4947199006</v>
      </c>
      <c r="E12" s="2" t="s">
        <v>14</v>
      </c>
      <c r="F12" s="78" t="s">
        <v>92</v>
      </c>
      <c r="G12" s="28" t="s">
        <v>5</v>
      </c>
      <c r="H12" s="2" t="s">
        <v>17</v>
      </c>
      <c r="I12" s="2">
        <v>1</v>
      </c>
      <c r="J12" s="2" t="s">
        <v>93</v>
      </c>
      <c r="K12" s="2">
        <v>32164</v>
      </c>
      <c r="L12" s="35">
        <v>101947014.40000001</v>
      </c>
      <c r="M12" s="36">
        <v>17200</v>
      </c>
      <c r="N12" s="37">
        <v>327027</v>
      </c>
      <c r="O12" s="37">
        <v>416075</v>
      </c>
      <c r="P12" s="37">
        <v>849755</v>
      </c>
      <c r="Q12" s="37">
        <v>99309</v>
      </c>
      <c r="R12" s="37">
        <v>731494</v>
      </c>
      <c r="S12" s="37">
        <v>343435</v>
      </c>
      <c r="T12" s="40">
        <v>30000</v>
      </c>
      <c r="U12" s="37">
        <v>4961900</v>
      </c>
      <c r="V12" s="37">
        <v>0</v>
      </c>
      <c r="W12" s="45">
        <v>7758995</v>
      </c>
      <c r="X12" s="46">
        <v>7.6108114059689402</v>
      </c>
    </row>
    <row r="13" spans="1:24">
      <c r="A13" s="28" t="s">
        <v>63</v>
      </c>
      <c r="B13" s="29">
        <v>3169.6</v>
      </c>
      <c r="C13" s="30" t="s">
        <v>102</v>
      </c>
      <c r="D13" s="2">
        <v>4946469494</v>
      </c>
      <c r="E13" s="2" t="s">
        <v>14</v>
      </c>
      <c r="F13" s="2" t="s">
        <v>103</v>
      </c>
      <c r="G13" s="28" t="s">
        <v>5</v>
      </c>
      <c r="H13" s="2" t="s">
        <v>26</v>
      </c>
      <c r="I13" s="2">
        <v>1</v>
      </c>
      <c r="J13" s="2" t="s">
        <v>104</v>
      </c>
      <c r="K13" s="2">
        <v>36636.6</v>
      </c>
      <c r="L13" s="35">
        <v>116123367.36</v>
      </c>
      <c r="M13" s="36">
        <v>20020</v>
      </c>
      <c r="N13" s="37">
        <v>325768</v>
      </c>
      <c r="O13" s="37">
        <v>390324</v>
      </c>
      <c r="P13" s="37">
        <v>4484733</v>
      </c>
      <c r="Q13" s="37">
        <v>99309</v>
      </c>
      <c r="R13" s="37">
        <v>629743</v>
      </c>
      <c r="S13" s="37">
        <v>343435</v>
      </c>
      <c r="T13" s="40">
        <v>30000</v>
      </c>
      <c r="U13" s="37">
        <v>0</v>
      </c>
      <c r="V13" s="37">
        <v>0</v>
      </c>
      <c r="W13" s="45">
        <v>6303312</v>
      </c>
      <c r="X13" s="46">
        <v>5.4281167893269702</v>
      </c>
    </row>
    <row r="14" spans="1:24">
      <c r="A14" s="28" t="s">
        <v>63</v>
      </c>
      <c r="B14" s="29">
        <v>3169.6</v>
      </c>
      <c r="C14" s="30" t="s">
        <v>115</v>
      </c>
      <c r="D14" s="2">
        <v>4947110136</v>
      </c>
      <c r="E14" s="2" t="s">
        <v>14</v>
      </c>
      <c r="F14" s="2" t="s">
        <v>116</v>
      </c>
      <c r="G14" s="28" t="s">
        <v>5</v>
      </c>
      <c r="H14" s="2" t="s">
        <v>20</v>
      </c>
      <c r="I14" s="2">
        <v>2</v>
      </c>
      <c r="J14" s="2" t="s">
        <v>117</v>
      </c>
      <c r="K14" s="2">
        <v>16632</v>
      </c>
      <c r="L14" s="35">
        <v>52716787.200000003</v>
      </c>
      <c r="M14" s="36">
        <v>21600</v>
      </c>
      <c r="N14" s="37">
        <v>325161.5</v>
      </c>
      <c r="O14" s="37">
        <v>2884906</v>
      </c>
      <c r="P14" s="37">
        <v>251548.5</v>
      </c>
      <c r="Q14" s="37">
        <v>104812</v>
      </c>
      <c r="R14" s="37">
        <v>638132.5</v>
      </c>
      <c r="S14" s="37">
        <v>171717.5</v>
      </c>
      <c r="T14" s="40">
        <v>30000</v>
      </c>
      <c r="U14" s="37">
        <v>2339900</v>
      </c>
      <c r="V14" s="37">
        <v>0</v>
      </c>
      <c r="W14" s="45">
        <v>6746178</v>
      </c>
      <c r="X14" s="46">
        <v>12.7970203768412</v>
      </c>
    </row>
    <row r="15" spans="1:24">
      <c r="A15" s="28" t="s">
        <v>63</v>
      </c>
      <c r="B15" s="29">
        <v>3169.6</v>
      </c>
      <c r="C15" s="30" t="s">
        <v>115</v>
      </c>
      <c r="D15" s="2">
        <v>4947108761</v>
      </c>
      <c r="E15" s="2" t="s">
        <v>14</v>
      </c>
      <c r="F15" s="2" t="s">
        <v>116</v>
      </c>
      <c r="G15" s="28" t="s">
        <v>5</v>
      </c>
      <c r="H15" s="2" t="s">
        <v>20</v>
      </c>
      <c r="I15" s="2">
        <v>2</v>
      </c>
      <c r="J15" s="2" t="s">
        <v>117</v>
      </c>
      <c r="K15" s="2">
        <v>16632</v>
      </c>
      <c r="L15" s="35">
        <v>52716787.200000003</v>
      </c>
      <c r="M15" s="36">
        <v>21600</v>
      </c>
      <c r="N15" s="37">
        <v>325161.5</v>
      </c>
      <c r="O15" s="37">
        <v>2884906</v>
      </c>
      <c r="P15" s="37">
        <v>251548.5</v>
      </c>
      <c r="Q15" s="37">
        <v>104812</v>
      </c>
      <c r="R15" s="37">
        <v>638132.5</v>
      </c>
      <c r="S15" s="37">
        <v>171717.5</v>
      </c>
      <c r="T15" s="40">
        <v>30000</v>
      </c>
      <c r="U15" s="37">
        <v>2339900</v>
      </c>
      <c r="V15" s="37">
        <v>0</v>
      </c>
      <c r="W15" s="45">
        <v>6746178</v>
      </c>
      <c r="X15" s="46">
        <v>12.7970203768412</v>
      </c>
    </row>
    <row r="16" spans="1:24">
      <c r="A16" s="28" t="s">
        <v>63</v>
      </c>
      <c r="B16" s="29">
        <v>3169.6</v>
      </c>
      <c r="C16" s="30" t="s">
        <v>118</v>
      </c>
      <c r="D16" s="2">
        <v>4945565231</v>
      </c>
      <c r="E16" s="2" t="s">
        <v>14</v>
      </c>
      <c r="F16" s="78" t="s">
        <v>119</v>
      </c>
      <c r="G16" s="28" t="s">
        <v>5</v>
      </c>
      <c r="H16" s="2" t="s">
        <v>17</v>
      </c>
      <c r="I16" s="2">
        <v>1</v>
      </c>
      <c r="J16" s="2" t="s">
        <v>120</v>
      </c>
      <c r="K16" s="2">
        <v>14196</v>
      </c>
      <c r="L16" s="35">
        <v>44995641.600000001</v>
      </c>
      <c r="M16" s="36">
        <v>7800</v>
      </c>
      <c r="N16" s="37">
        <v>113124.701159679</v>
      </c>
      <c r="O16" s="37">
        <v>145690.91882247999</v>
      </c>
      <c r="P16" s="37">
        <v>52791.596788581599</v>
      </c>
      <c r="Q16" s="37">
        <v>34549.964317573598</v>
      </c>
      <c r="R16" s="37">
        <v>227918.420160571</v>
      </c>
      <c r="S16" s="37">
        <v>119482.292595897</v>
      </c>
      <c r="T16" s="40">
        <v>30000</v>
      </c>
      <c r="U16" s="37">
        <v>1747885.37020517</v>
      </c>
      <c r="V16" s="37">
        <v>438888.11775200698</v>
      </c>
      <c r="W16" s="45">
        <v>2910331.3818019601</v>
      </c>
      <c r="X16" s="46">
        <v>6.4680295208902203</v>
      </c>
    </row>
    <row r="17" spans="1:24">
      <c r="A17" s="28" t="s">
        <v>63</v>
      </c>
      <c r="B17" s="29">
        <v>3169.6</v>
      </c>
      <c r="C17" s="30" t="s">
        <v>118</v>
      </c>
      <c r="D17" s="2">
        <v>4946386865</v>
      </c>
      <c r="E17" s="2" t="s">
        <v>14</v>
      </c>
      <c r="F17" s="78" t="s">
        <v>119</v>
      </c>
      <c r="G17" s="28" t="s">
        <v>5</v>
      </c>
      <c r="H17" s="2" t="s">
        <v>17</v>
      </c>
      <c r="I17" s="2">
        <v>1</v>
      </c>
      <c r="J17" s="2" t="s">
        <v>120</v>
      </c>
      <c r="K17" s="2">
        <v>43750</v>
      </c>
      <c r="L17" s="35">
        <v>138670000</v>
      </c>
      <c r="M17" s="36">
        <v>7000</v>
      </c>
      <c r="N17" s="37">
        <v>101522.16770740401</v>
      </c>
      <c r="O17" s="37">
        <v>130748.260481713</v>
      </c>
      <c r="P17" s="37">
        <v>47377.074041034801</v>
      </c>
      <c r="Q17" s="37">
        <v>31006.378233719901</v>
      </c>
      <c r="R17" s="37">
        <v>204542.146297948</v>
      </c>
      <c r="S17" s="37">
        <v>107227.69848349701</v>
      </c>
      <c r="T17" s="40">
        <v>30000</v>
      </c>
      <c r="U17" s="37">
        <v>1568615.0758251599</v>
      </c>
      <c r="V17" s="37">
        <v>393873.95182872401</v>
      </c>
      <c r="W17" s="45">
        <v>2614912.7528992002</v>
      </c>
      <c r="X17" s="46">
        <v>1.8857090595653001</v>
      </c>
    </row>
    <row r="18" spans="1:24">
      <c r="A18" s="28" t="s">
        <v>63</v>
      </c>
      <c r="B18" s="29">
        <v>3169.6</v>
      </c>
      <c r="C18" s="30" t="s">
        <v>118</v>
      </c>
      <c r="D18" s="2">
        <v>4946737922</v>
      </c>
      <c r="E18" s="2" t="s">
        <v>14</v>
      </c>
      <c r="F18" s="78" t="s">
        <v>119</v>
      </c>
      <c r="G18" s="28" t="s">
        <v>5</v>
      </c>
      <c r="H18" s="2" t="s">
        <v>17</v>
      </c>
      <c r="I18" s="2">
        <v>1</v>
      </c>
      <c r="J18" s="2" t="s">
        <v>120</v>
      </c>
      <c r="K18" s="2">
        <v>16984</v>
      </c>
      <c r="L18" s="35">
        <v>53832486.399999999</v>
      </c>
      <c r="M18" s="36">
        <v>4400</v>
      </c>
      <c r="N18" s="37">
        <v>63813.933987511198</v>
      </c>
      <c r="O18" s="37">
        <v>82184.620874219501</v>
      </c>
      <c r="P18" s="37">
        <v>29779.875111507601</v>
      </c>
      <c r="Q18" s="37">
        <v>19489.723461195401</v>
      </c>
      <c r="R18" s="37">
        <v>128569.00624442501</v>
      </c>
      <c r="S18" s="37">
        <v>67400.267618198006</v>
      </c>
      <c r="T18" s="40">
        <v>30000</v>
      </c>
      <c r="U18" s="37">
        <v>985986.61909009796</v>
      </c>
      <c r="V18" s="37">
        <v>247577.91257805499</v>
      </c>
      <c r="W18" s="45">
        <v>1654801.95896521</v>
      </c>
      <c r="X18" s="46">
        <v>3.0739838889648801</v>
      </c>
    </row>
    <row r="19" spans="1:24">
      <c r="A19" s="28" t="s">
        <v>63</v>
      </c>
      <c r="B19" s="29">
        <v>3169.6</v>
      </c>
      <c r="C19" s="30" t="s">
        <v>118</v>
      </c>
      <c r="D19" s="2">
        <v>4945624817</v>
      </c>
      <c r="E19" s="2" t="s">
        <v>14</v>
      </c>
      <c r="F19" s="78" t="s">
        <v>119</v>
      </c>
      <c r="G19" s="28" t="s">
        <v>5</v>
      </c>
      <c r="H19" s="2" t="s">
        <v>17</v>
      </c>
      <c r="I19" s="2">
        <v>1</v>
      </c>
      <c r="J19" s="2" t="s">
        <v>120</v>
      </c>
      <c r="K19" s="2">
        <v>6048</v>
      </c>
      <c r="L19" s="35">
        <v>19169740.800000001</v>
      </c>
      <c r="M19" s="36">
        <v>2520</v>
      </c>
      <c r="N19" s="37">
        <v>36547.980374665502</v>
      </c>
      <c r="O19" s="37">
        <v>47069.373773416599</v>
      </c>
      <c r="P19" s="37">
        <v>17055.746654772502</v>
      </c>
      <c r="Q19" s="37">
        <v>11162.296164139199</v>
      </c>
      <c r="R19" s="37">
        <v>73634.812667261402</v>
      </c>
      <c r="S19" s="37">
        <v>38601.971454058898</v>
      </c>
      <c r="T19" s="40">
        <v>30000</v>
      </c>
      <c r="U19" s="37">
        <v>564701.42729705595</v>
      </c>
      <c r="V19" s="37">
        <v>141794.62265834099</v>
      </c>
      <c r="W19" s="45">
        <v>960568.23104371096</v>
      </c>
      <c r="X19" s="46">
        <v>5.0108566467612903</v>
      </c>
    </row>
    <row r="20" spans="1:24">
      <c r="A20" s="28" t="s">
        <v>63</v>
      </c>
      <c r="B20" s="29">
        <v>3169.6</v>
      </c>
      <c r="C20" s="30" t="s">
        <v>118</v>
      </c>
      <c r="D20" s="2">
        <v>4946737907</v>
      </c>
      <c r="E20" s="2" t="s">
        <v>14</v>
      </c>
      <c r="F20" s="78" t="s">
        <v>119</v>
      </c>
      <c r="G20" s="28" t="s">
        <v>5</v>
      </c>
      <c r="H20" s="2" t="s">
        <v>17</v>
      </c>
      <c r="I20" s="2">
        <v>1</v>
      </c>
      <c r="J20" s="2" t="s">
        <v>120</v>
      </c>
      <c r="K20" s="2">
        <v>2884</v>
      </c>
      <c r="L20" s="35">
        <v>9141126.4000000004</v>
      </c>
      <c r="M20" s="36">
        <v>700</v>
      </c>
      <c r="N20" s="37">
        <v>10152.216770740401</v>
      </c>
      <c r="O20" s="37">
        <v>13074.8260481713</v>
      </c>
      <c r="P20" s="37">
        <v>4737.7074041034803</v>
      </c>
      <c r="Q20" s="37">
        <v>3100.6378233719902</v>
      </c>
      <c r="R20" s="37">
        <v>20454.6146297948</v>
      </c>
      <c r="S20" s="37">
        <v>10722.769848349701</v>
      </c>
      <c r="T20" s="40">
        <v>30000</v>
      </c>
      <c r="U20" s="37">
        <v>156861.507582516</v>
      </c>
      <c r="V20" s="37">
        <v>39387.395182872402</v>
      </c>
      <c r="W20" s="45">
        <v>288491.67528992001</v>
      </c>
      <c r="X20" s="46">
        <v>3.1559751245745802</v>
      </c>
    </row>
    <row r="21" spans="1:24">
      <c r="A21" s="28" t="s">
        <v>63</v>
      </c>
      <c r="B21" s="29">
        <v>3169.6</v>
      </c>
      <c r="C21" s="30" t="s">
        <v>121</v>
      </c>
      <c r="D21" s="2">
        <v>4947320090</v>
      </c>
      <c r="E21" s="2" t="s">
        <v>14</v>
      </c>
      <c r="F21" s="78" t="s">
        <v>122</v>
      </c>
      <c r="G21" s="28" t="s">
        <v>9</v>
      </c>
      <c r="H21" s="2" t="s">
        <v>23</v>
      </c>
      <c r="I21" s="2">
        <v>2</v>
      </c>
      <c r="J21" s="2"/>
      <c r="K21" s="2">
        <v>1792</v>
      </c>
      <c r="L21" s="35">
        <v>5679923.2000000002</v>
      </c>
      <c r="M21" s="36">
        <v>1600</v>
      </c>
      <c r="N21" s="37">
        <v>653759</v>
      </c>
      <c r="O21" s="37">
        <v>1104</v>
      </c>
      <c r="P21" s="37">
        <v>34040</v>
      </c>
      <c r="Q21" s="37">
        <v>26543</v>
      </c>
      <c r="R21" s="37">
        <v>108321</v>
      </c>
      <c r="S21" s="37">
        <v>343435</v>
      </c>
      <c r="T21" s="40">
        <v>30000</v>
      </c>
      <c r="U21" s="37">
        <v>1367700</v>
      </c>
      <c r="V21" s="37">
        <v>0</v>
      </c>
      <c r="W21" s="45">
        <v>2564902</v>
      </c>
      <c r="X21" s="46">
        <v>45.157335930175996</v>
      </c>
    </row>
    <row r="22" spans="1:24">
      <c r="A22" s="28" t="s">
        <v>63</v>
      </c>
      <c r="B22" s="29">
        <v>3169.6</v>
      </c>
      <c r="C22" s="30" t="s">
        <v>126</v>
      </c>
      <c r="D22" s="2">
        <v>4947381257</v>
      </c>
      <c r="E22" s="2" t="s">
        <v>14</v>
      </c>
      <c r="F22" s="78" t="s">
        <v>127</v>
      </c>
      <c r="G22" s="28" t="s">
        <v>5</v>
      </c>
      <c r="H22" s="2" t="s">
        <v>17</v>
      </c>
      <c r="I22" s="2">
        <v>1</v>
      </c>
      <c r="J22" s="2" t="s">
        <v>128</v>
      </c>
      <c r="K22" s="2">
        <v>25657.599999999999</v>
      </c>
      <c r="L22" s="35">
        <v>81324328.959999993</v>
      </c>
      <c r="M22" s="36">
        <v>12160</v>
      </c>
      <c r="N22" s="37">
        <v>209094.12585933399</v>
      </c>
      <c r="O22" s="37">
        <v>269287.09042834502</v>
      </c>
      <c r="P22" s="37">
        <v>0</v>
      </c>
      <c r="Q22" s="37">
        <v>63860.2559492332</v>
      </c>
      <c r="R22" s="37">
        <v>498364.51665785298</v>
      </c>
      <c r="S22" s="37">
        <v>220844.50555261801</v>
      </c>
      <c r="T22" s="40">
        <v>30000</v>
      </c>
      <c r="U22" s="37">
        <v>3199507.5621364401</v>
      </c>
      <c r="V22" s="37">
        <v>0</v>
      </c>
      <c r="W22" s="45">
        <v>4490958.0565838199</v>
      </c>
      <c r="X22" s="46">
        <v>5.5222811107273202</v>
      </c>
    </row>
    <row r="23" spans="1:24">
      <c r="A23" s="28" t="s">
        <v>63</v>
      </c>
      <c r="B23" s="29">
        <v>3169.6</v>
      </c>
      <c r="C23" s="30" t="s">
        <v>126</v>
      </c>
      <c r="D23" s="2">
        <v>4947106848</v>
      </c>
      <c r="E23" s="2" t="s">
        <v>14</v>
      </c>
      <c r="F23" s="78" t="s">
        <v>127</v>
      </c>
      <c r="G23" s="28" t="s">
        <v>5</v>
      </c>
      <c r="H23" s="2" t="s">
        <v>17</v>
      </c>
      <c r="I23" s="2">
        <v>1</v>
      </c>
      <c r="J23" s="2" t="s">
        <v>128</v>
      </c>
      <c r="K23" s="2">
        <v>16506</v>
      </c>
      <c r="L23" s="35">
        <v>52317417.600000001</v>
      </c>
      <c r="M23" s="36">
        <v>6300</v>
      </c>
      <c r="N23" s="37">
        <v>108330.01586462199</v>
      </c>
      <c r="O23" s="37">
        <v>139515.51560021201</v>
      </c>
      <c r="P23" s="37">
        <v>0</v>
      </c>
      <c r="Q23" s="37">
        <v>33085.494447382298</v>
      </c>
      <c r="R23" s="37">
        <v>258198.38445267099</v>
      </c>
      <c r="S23" s="37">
        <v>114417.79481755701</v>
      </c>
      <c r="T23" s="40">
        <v>30000</v>
      </c>
      <c r="U23" s="37">
        <v>1657639.6086726601</v>
      </c>
      <c r="V23" s="37">
        <v>0</v>
      </c>
      <c r="W23" s="45">
        <v>2341186.8138551</v>
      </c>
      <c r="X23" s="46">
        <v>4.4749663138096203</v>
      </c>
    </row>
    <row r="24" spans="1:24">
      <c r="A24" s="28" t="s">
        <v>63</v>
      </c>
      <c r="B24" s="29">
        <v>3169.6</v>
      </c>
      <c r="C24" s="30" t="s">
        <v>126</v>
      </c>
      <c r="D24" s="2">
        <v>4947381258</v>
      </c>
      <c r="E24" s="2" t="s">
        <v>14</v>
      </c>
      <c r="F24" s="78" t="s">
        <v>127</v>
      </c>
      <c r="G24" s="28" t="s">
        <v>5</v>
      </c>
      <c r="H24" s="2" t="s">
        <v>17</v>
      </c>
      <c r="I24" s="2">
        <v>1</v>
      </c>
      <c r="J24" s="2" t="s">
        <v>128</v>
      </c>
      <c r="K24" s="2">
        <v>1386</v>
      </c>
      <c r="L24" s="35">
        <v>4393065.5999999996</v>
      </c>
      <c r="M24" s="36">
        <v>450</v>
      </c>
      <c r="N24" s="37">
        <v>7737.8582760444197</v>
      </c>
      <c r="O24" s="37">
        <v>9965.3939714436801</v>
      </c>
      <c r="P24" s="37">
        <v>0</v>
      </c>
      <c r="Q24" s="37">
        <v>2363.24960338445</v>
      </c>
      <c r="R24" s="37">
        <v>18443.0988894765</v>
      </c>
      <c r="S24" s="37">
        <v>8172.6996298254899</v>
      </c>
      <c r="T24" s="40">
        <v>30000</v>
      </c>
      <c r="U24" s="37">
        <v>118402.829190904</v>
      </c>
      <c r="V24" s="37">
        <v>0</v>
      </c>
      <c r="W24" s="45">
        <v>195085.129561079</v>
      </c>
      <c r="X24" s="46">
        <v>4.4407515690427797</v>
      </c>
    </row>
    <row r="25" spans="1:24">
      <c r="A25" s="28" t="s">
        <v>63</v>
      </c>
      <c r="B25" s="29">
        <v>3169.6</v>
      </c>
      <c r="C25" s="30" t="s">
        <v>136</v>
      </c>
      <c r="D25" s="2">
        <v>4947199007</v>
      </c>
      <c r="E25" s="2" t="s">
        <v>14</v>
      </c>
      <c r="F25" s="78" t="s">
        <v>137</v>
      </c>
      <c r="G25" s="28" t="s">
        <v>5</v>
      </c>
      <c r="H25" s="2" t="s">
        <v>35</v>
      </c>
      <c r="I25" s="2">
        <v>1</v>
      </c>
      <c r="J25" s="2" t="s">
        <v>138</v>
      </c>
      <c r="K25" s="2">
        <v>6172.2</v>
      </c>
      <c r="L25" s="35">
        <v>19563405.120000001</v>
      </c>
      <c r="M25" s="36">
        <v>1620</v>
      </c>
      <c r="N25" s="37">
        <v>55371.548761201899</v>
      </c>
      <c r="O25" s="37">
        <v>71523.896678966805</v>
      </c>
      <c r="P25" s="37">
        <v>0</v>
      </c>
      <c r="Q25" s="37">
        <v>16961.579335793402</v>
      </c>
      <c r="R25" s="37">
        <v>298775.28624143399</v>
      </c>
      <c r="S25" s="37">
        <v>58657.322087506604</v>
      </c>
      <c r="T25" s="40">
        <v>30000</v>
      </c>
      <c r="U25" s="37">
        <v>692415.49815498199</v>
      </c>
      <c r="V25" s="37">
        <v>215462.90353189199</v>
      </c>
      <c r="W25" s="45">
        <v>1439168.0347917799</v>
      </c>
      <c r="X25" s="46">
        <v>7.3564291388133203</v>
      </c>
    </row>
    <row r="26" spans="1:24">
      <c r="A26" s="28" t="s">
        <v>63</v>
      </c>
      <c r="B26" s="29">
        <v>3169.6</v>
      </c>
      <c r="C26" s="30" t="s">
        <v>139</v>
      </c>
      <c r="D26" s="2">
        <v>4947917132</v>
      </c>
      <c r="E26" s="2" t="s">
        <v>14</v>
      </c>
      <c r="F26" s="78" t="s">
        <v>140</v>
      </c>
      <c r="G26" s="28" t="s">
        <v>13</v>
      </c>
      <c r="H26" s="2" t="s">
        <v>23</v>
      </c>
      <c r="I26" s="2">
        <v>1</v>
      </c>
      <c r="J26" s="2"/>
      <c r="K26" s="2">
        <v>549.5</v>
      </c>
      <c r="L26" s="35">
        <v>1741695.2</v>
      </c>
      <c r="M26" s="36">
        <v>10</v>
      </c>
      <c r="N26" s="37">
        <v>31518.400000000001</v>
      </c>
      <c r="O26" s="37">
        <v>0</v>
      </c>
      <c r="P26" s="37">
        <v>0</v>
      </c>
      <c r="Q26" s="37">
        <v>0</v>
      </c>
      <c r="R26" s="37">
        <v>126</v>
      </c>
      <c r="S26" s="37">
        <v>68687</v>
      </c>
      <c r="T26" s="40">
        <v>30000</v>
      </c>
      <c r="U26" s="37">
        <v>35197.142857142899</v>
      </c>
      <c r="V26" s="37">
        <v>0</v>
      </c>
      <c r="W26" s="45">
        <v>165528.54285714301</v>
      </c>
      <c r="X26" s="46">
        <v>9.5038754689766005</v>
      </c>
    </row>
    <row r="27" spans="1:24">
      <c r="A27" s="28" t="s">
        <v>63</v>
      </c>
      <c r="B27" s="29">
        <v>3169.6</v>
      </c>
      <c r="C27" s="30" t="s">
        <v>139</v>
      </c>
      <c r="D27" s="2">
        <v>4947917132</v>
      </c>
      <c r="E27" s="2" t="s">
        <v>14</v>
      </c>
      <c r="F27" s="78" t="s">
        <v>140</v>
      </c>
      <c r="G27" s="28" t="s">
        <v>13</v>
      </c>
      <c r="H27" s="2" t="s">
        <v>23</v>
      </c>
      <c r="I27" s="2">
        <v>1</v>
      </c>
      <c r="J27" s="2"/>
      <c r="K27" s="2">
        <v>715.6</v>
      </c>
      <c r="L27" s="35">
        <v>2268165.7599999998</v>
      </c>
      <c r="M27" s="36">
        <v>10</v>
      </c>
      <c r="N27" s="37">
        <v>31518.400000000001</v>
      </c>
      <c r="O27" s="37">
        <v>0</v>
      </c>
      <c r="P27" s="37">
        <v>0</v>
      </c>
      <c r="Q27" s="37">
        <v>0</v>
      </c>
      <c r="R27" s="37">
        <v>126</v>
      </c>
      <c r="S27" s="37">
        <v>68687</v>
      </c>
      <c r="T27" s="40">
        <v>30000</v>
      </c>
      <c r="U27" s="37">
        <v>35197.142857142899</v>
      </c>
      <c r="V27" s="37">
        <v>0</v>
      </c>
      <c r="W27" s="45">
        <v>165528.54285714301</v>
      </c>
      <c r="X27" s="46">
        <v>7.2979032562921198</v>
      </c>
    </row>
    <row r="28" spans="1:24">
      <c r="A28" s="28" t="s">
        <v>63</v>
      </c>
      <c r="B28" s="29">
        <v>3169.6</v>
      </c>
      <c r="C28" s="30" t="s">
        <v>139</v>
      </c>
      <c r="D28" s="2">
        <v>4947612626</v>
      </c>
      <c r="E28" s="2" t="s">
        <v>14</v>
      </c>
      <c r="F28" s="78" t="s">
        <v>140</v>
      </c>
      <c r="G28" s="28" t="s">
        <v>13</v>
      </c>
      <c r="H28" s="2" t="s">
        <v>23</v>
      </c>
      <c r="I28" s="2">
        <v>1</v>
      </c>
      <c r="J28" s="2"/>
      <c r="K28" s="2">
        <v>1648.5</v>
      </c>
      <c r="L28" s="35">
        <v>5225085.5999999996</v>
      </c>
      <c r="M28" s="36">
        <v>30</v>
      </c>
      <c r="N28" s="37">
        <v>94555.199999999997</v>
      </c>
      <c r="O28" s="37">
        <v>0</v>
      </c>
      <c r="P28" s="37">
        <v>0</v>
      </c>
      <c r="Q28" s="37">
        <v>0</v>
      </c>
      <c r="R28" s="37">
        <v>378</v>
      </c>
      <c r="S28" s="37">
        <v>206061</v>
      </c>
      <c r="T28" s="40">
        <v>30000</v>
      </c>
      <c r="U28" s="37">
        <v>105591.428571429</v>
      </c>
      <c r="V28" s="37">
        <v>0</v>
      </c>
      <c r="W28" s="45">
        <v>436585.628571429</v>
      </c>
      <c r="X28" s="46">
        <v>8.35556892257285</v>
      </c>
    </row>
    <row r="29" spans="1:24">
      <c r="A29" s="28" t="s">
        <v>63</v>
      </c>
      <c r="B29" s="29">
        <v>3169.6</v>
      </c>
      <c r="C29" s="30" t="s">
        <v>141</v>
      </c>
      <c r="D29" s="2">
        <v>4946948273</v>
      </c>
      <c r="E29" s="2" t="s">
        <v>14</v>
      </c>
      <c r="F29" s="2" t="s">
        <v>142</v>
      </c>
      <c r="G29" s="28" t="s">
        <v>13</v>
      </c>
      <c r="H29" s="2" t="s">
        <v>23</v>
      </c>
      <c r="I29" s="2">
        <v>7</v>
      </c>
      <c r="J29" s="2"/>
      <c r="K29" s="2">
        <v>9218.2999999999993</v>
      </c>
      <c r="L29" s="35">
        <v>29218323.68</v>
      </c>
      <c r="M29" s="36">
        <v>35</v>
      </c>
      <c r="N29" s="37">
        <v>433803</v>
      </c>
      <c r="O29" s="37">
        <v>0</v>
      </c>
      <c r="P29" s="37">
        <v>0</v>
      </c>
      <c r="Q29" s="37">
        <v>0</v>
      </c>
      <c r="R29" s="37">
        <v>4735</v>
      </c>
      <c r="S29" s="37">
        <v>343435</v>
      </c>
      <c r="T29" s="40">
        <v>30000</v>
      </c>
      <c r="U29" s="37">
        <v>25741.1940298507</v>
      </c>
      <c r="V29" s="37">
        <v>0</v>
      </c>
      <c r="W29" s="45">
        <v>837714.194029851</v>
      </c>
      <c r="X29" s="46">
        <v>2.8670850634845499</v>
      </c>
    </row>
    <row r="30" spans="1:24">
      <c r="A30" s="28" t="s">
        <v>63</v>
      </c>
      <c r="B30" s="29">
        <v>3169.6</v>
      </c>
      <c r="C30" s="30" t="s">
        <v>143</v>
      </c>
      <c r="D30" s="2">
        <v>4945438027</v>
      </c>
      <c r="E30" s="2" t="s">
        <v>14</v>
      </c>
      <c r="F30" s="2" t="s">
        <v>144</v>
      </c>
      <c r="G30" s="28" t="s">
        <v>13</v>
      </c>
      <c r="H30" s="2" t="s">
        <v>23</v>
      </c>
      <c r="I30" s="2">
        <v>3</v>
      </c>
      <c r="J30" s="2"/>
      <c r="K30" s="2">
        <v>3950.7</v>
      </c>
      <c r="L30" s="35">
        <v>12522138.720000001</v>
      </c>
      <c r="M30" s="36">
        <v>15</v>
      </c>
      <c r="N30" s="37">
        <v>425912</v>
      </c>
      <c r="O30" s="37">
        <v>0</v>
      </c>
      <c r="P30" s="37">
        <v>0</v>
      </c>
      <c r="Q30" s="37">
        <v>0</v>
      </c>
      <c r="R30" s="37">
        <v>1704</v>
      </c>
      <c r="S30" s="37">
        <v>343435</v>
      </c>
      <c r="T30" s="40">
        <v>30000</v>
      </c>
      <c r="U30" s="37">
        <v>11031.940298507499</v>
      </c>
      <c r="V30" s="37">
        <v>0</v>
      </c>
      <c r="W30" s="45">
        <v>812082.94029850699</v>
      </c>
      <c r="X30" s="46">
        <v>6.4851776398345802</v>
      </c>
    </row>
    <row r="31" spans="1:24">
      <c r="A31" s="28" t="s">
        <v>63</v>
      </c>
      <c r="B31" s="29">
        <v>3169.6</v>
      </c>
      <c r="C31" s="30" t="s">
        <v>204</v>
      </c>
      <c r="D31" s="2">
        <v>4947612650</v>
      </c>
      <c r="E31" s="2" t="s">
        <v>14</v>
      </c>
      <c r="F31" s="78" t="s">
        <v>205</v>
      </c>
      <c r="G31" s="28" t="s">
        <v>5</v>
      </c>
      <c r="H31" s="2" t="s">
        <v>17</v>
      </c>
      <c r="I31" s="2">
        <v>1</v>
      </c>
      <c r="J31" s="2" t="s">
        <v>206</v>
      </c>
      <c r="K31" s="2">
        <v>429</v>
      </c>
      <c r="L31" s="35">
        <v>1359758.4</v>
      </c>
      <c r="M31" s="36">
        <v>50</v>
      </c>
      <c r="N31" s="37">
        <v>1512.2508038585199</v>
      </c>
      <c r="O31" s="37">
        <v>1346.52090032154</v>
      </c>
      <c r="P31" s="37">
        <v>0</v>
      </c>
      <c r="Q31" s="37">
        <v>319.32154340836001</v>
      </c>
      <c r="R31" s="37">
        <v>2850.2765273311902</v>
      </c>
      <c r="S31" s="37">
        <v>1104.29260450161</v>
      </c>
      <c r="T31" s="40">
        <v>30000</v>
      </c>
      <c r="U31" s="37">
        <v>15374.7588424437</v>
      </c>
      <c r="V31" s="37">
        <v>4056.3408360128601</v>
      </c>
      <c r="W31" s="45">
        <v>56563.762057877801</v>
      </c>
      <c r="X31" s="46">
        <v>4.1598391345019703</v>
      </c>
    </row>
    <row r="32" spans="1:24">
      <c r="A32" s="28" t="s">
        <v>63</v>
      </c>
      <c r="B32" s="29">
        <v>3169.6</v>
      </c>
      <c r="C32" s="30" t="s">
        <v>204</v>
      </c>
      <c r="D32" s="2">
        <v>4947217696</v>
      </c>
      <c r="E32" s="2" t="s">
        <v>14</v>
      </c>
      <c r="F32" s="78" t="s">
        <v>205</v>
      </c>
      <c r="G32" s="28" t="s">
        <v>5</v>
      </c>
      <c r="H32" s="2" t="s">
        <v>17</v>
      </c>
      <c r="I32" s="2">
        <v>1</v>
      </c>
      <c r="J32" s="2" t="s">
        <v>206</v>
      </c>
      <c r="K32" s="2">
        <v>3561.6</v>
      </c>
      <c r="L32" s="35">
        <v>11288847.359999999</v>
      </c>
      <c r="M32" s="36">
        <v>840</v>
      </c>
      <c r="N32" s="37">
        <v>25405.813504823102</v>
      </c>
      <c r="O32" s="37">
        <v>22621.5511254019</v>
      </c>
      <c r="P32" s="37">
        <v>0</v>
      </c>
      <c r="Q32" s="37">
        <v>5364.6019292604497</v>
      </c>
      <c r="R32" s="37">
        <v>47886.245659164</v>
      </c>
      <c r="S32" s="37">
        <v>18552.115755627001</v>
      </c>
      <c r="T32" s="40">
        <v>30000</v>
      </c>
      <c r="U32" s="37">
        <v>258295.948553055</v>
      </c>
      <c r="V32" s="37">
        <v>68146.5260450161</v>
      </c>
      <c r="W32" s="45">
        <v>476272.80257234798</v>
      </c>
      <c r="X32" s="46">
        <v>4.2189675117756904</v>
      </c>
    </row>
    <row r="33" spans="1:24">
      <c r="A33" s="28" t="s">
        <v>63</v>
      </c>
      <c r="B33" s="29">
        <v>3169.6</v>
      </c>
      <c r="C33" s="30" t="s">
        <v>204</v>
      </c>
      <c r="D33" s="2">
        <v>4947217696</v>
      </c>
      <c r="E33" s="2" t="s">
        <v>14</v>
      </c>
      <c r="F33" s="78" t="s">
        <v>205</v>
      </c>
      <c r="G33" s="28" t="s">
        <v>5</v>
      </c>
      <c r="H33" s="2" t="s">
        <v>17</v>
      </c>
      <c r="I33" s="2">
        <v>1</v>
      </c>
      <c r="J33" s="2" t="s">
        <v>206</v>
      </c>
      <c r="K33" s="2">
        <v>2646</v>
      </c>
      <c r="L33" s="35">
        <v>8386761.5999999996</v>
      </c>
      <c r="M33" s="36">
        <v>840</v>
      </c>
      <c r="N33" s="37">
        <v>25405.813504823102</v>
      </c>
      <c r="O33" s="37">
        <v>22621.5511254019</v>
      </c>
      <c r="P33" s="37">
        <v>0</v>
      </c>
      <c r="Q33" s="37">
        <v>5364.6019292604497</v>
      </c>
      <c r="R33" s="37">
        <v>47886.245659164</v>
      </c>
      <c r="S33" s="37">
        <v>18552.115755627001</v>
      </c>
      <c r="T33" s="40">
        <v>30000</v>
      </c>
      <c r="U33" s="37">
        <v>258295.948553055</v>
      </c>
      <c r="V33" s="37">
        <v>68146.5260450161</v>
      </c>
      <c r="W33" s="45">
        <v>476272.80257234798</v>
      </c>
      <c r="X33" s="46">
        <v>5.6788642063266401</v>
      </c>
    </row>
    <row r="34" spans="1:24">
      <c r="A34" s="28" t="s">
        <v>63</v>
      </c>
      <c r="B34" s="29">
        <v>3169.6</v>
      </c>
      <c r="C34" s="30" t="s">
        <v>204</v>
      </c>
      <c r="D34" s="2">
        <v>4947219364</v>
      </c>
      <c r="E34" s="2" t="s">
        <v>14</v>
      </c>
      <c r="F34" s="78" t="s">
        <v>205</v>
      </c>
      <c r="G34" s="28" t="s">
        <v>5</v>
      </c>
      <c r="H34" s="2" t="s">
        <v>17</v>
      </c>
      <c r="I34" s="2">
        <v>1</v>
      </c>
      <c r="J34" s="2" t="s">
        <v>206</v>
      </c>
      <c r="K34" s="2">
        <v>4000.5</v>
      </c>
      <c r="L34" s="35">
        <v>12679984.800000001</v>
      </c>
      <c r="M34" s="36">
        <v>1050</v>
      </c>
      <c r="N34" s="37">
        <v>31757.2668810289</v>
      </c>
      <c r="O34" s="37">
        <v>28276.938906752399</v>
      </c>
      <c r="P34" s="37">
        <v>0</v>
      </c>
      <c r="Q34" s="37">
        <v>6705.7524115755596</v>
      </c>
      <c r="R34" s="37">
        <v>59857.807073955002</v>
      </c>
      <c r="S34" s="37">
        <v>23190.144694533799</v>
      </c>
      <c r="T34" s="40">
        <v>30000</v>
      </c>
      <c r="U34" s="37">
        <v>322869.93569131801</v>
      </c>
      <c r="V34" s="37">
        <v>85183.157556270104</v>
      </c>
      <c r="W34" s="45">
        <v>587841.00321543403</v>
      </c>
      <c r="X34" s="46">
        <v>4.6359756142249804</v>
      </c>
    </row>
    <row r="35" spans="1:24">
      <c r="A35" s="28" t="s">
        <v>63</v>
      </c>
      <c r="B35" s="29">
        <v>3169.6</v>
      </c>
      <c r="C35" s="30" t="s">
        <v>204</v>
      </c>
      <c r="D35" s="2">
        <v>4947219364</v>
      </c>
      <c r="E35" s="2" t="s">
        <v>14</v>
      </c>
      <c r="F35" s="78" t="s">
        <v>205</v>
      </c>
      <c r="G35" s="28" t="s">
        <v>5</v>
      </c>
      <c r="H35" s="2" t="s">
        <v>17</v>
      </c>
      <c r="I35" s="2">
        <v>1</v>
      </c>
      <c r="J35" s="2" t="s">
        <v>206</v>
      </c>
      <c r="K35" s="2">
        <v>4032</v>
      </c>
      <c r="L35" s="35">
        <v>12779827.199999999</v>
      </c>
      <c r="M35" s="36">
        <v>1600</v>
      </c>
      <c r="N35" s="37">
        <v>48392.025723472703</v>
      </c>
      <c r="O35" s="37">
        <v>43088.668810289397</v>
      </c>
      <c r="P35" s="37">
        <v>0</v>
      </c>
      <c r="Q35" s="37">
        <v>10218.2893890675</v>
      </c>
      <c r="R35" s="37">
        <v>91211.848874598101</v>
      </c>
      <c r="S35" s="37">
        <v>35337.363344051402</v>
      </c>
      <c r="T35" s="40">
        <v>30000</v>
      </c>
      <c r="U35" s="37">
        <v>491992.28295819898</v>
      </c>
      <c r="V35" s="37">
        <v>129802.906752412</v>
      </c>
      <c r="W35" s="45">
        <v>880043.38585208997</v>
      </c>
      <c r="X35" s="46">
        <v>6.8861915899151596</v>
      </c>
    </row>
    <row r="36" spans="1:24">
      <c r="A36" s="28" t="s">
        <v>63</v>
      </c>
      <c r="B36" s="29">
        <v>3169.6</v>
      </c>
      <c r="C36" s="30" t="s">
        <v>204</v>
      </c>
      <c r="D36" s="2">
        <v>4947219364</v>
      </c>
      <c r="E36" s="2" t="s">
        <v>14</v>
      </c>
      <c r="F36" s="78" t="s">
        <v>205</v>
      </c>
      <c r="G36" s="28" t="s">
        <v>5</v>
      </c>
      <c r="H36" s="2" t="s">
        <v>17</v>
      </c>
      <c r="I36" s="2">
        <v>1</v>
      </c>
      <c r="J36" s="2" t="s">
        <v>206</v>
      </c>
      <c r="K36" s="2">
        <v>3036</v>
      </c>
      <c r="L36" s="35">
        <v>9622905.5999999996</v>
      </c>
      <c r="M36" s="36">
        <v>600</v>
      </c>
      <c r="N36" s="37">
        <v>18147.0096463023</v>
      </c>
      <c r="O36" s="37">
        <v>16158.2508038585</v>
      </c>
      <c r="P36" s="37">
        <v>0</v>
      </c>
      <c r="Q36" s="37">
        <v>3831.8585209003199</v>
      </c>
      <c r="R36" s="37">
        <v>34204.318327974303</v>
      </c>
      <c r="S36" s="37">
        <v>13251.5112540193</v>
      </c>
      <c r="T36" s="40">
        <v>30000</v>
      </c>
      <c r="U36" s="37">
        <v>184497.10610932499</v>
      </c>
      <c r="V36" s="37">
        <v>48676.090032154301</v>
      </c>
      <c r="W36" s="45">
        <v>348766.14469453401</v>
      </c>
      <c r="X36" s="46">
        <v>3.6243330153268301</v>
      </c>
    </row>
    <row r="37" spans="1:24">
      <c r="A37" s="28" t="s">
        <v>63</v>
      </c>
      <c r="B37" s="29">
        <v>3169.6</v>
      </c>
      <c r="C37" s="30" t="s">
        <v>204</v>
      </c>
      <c r="D37" s="2">
        <v>4947219364</v>
      </c>
      <c r="E37" s="2" t="s">
        <v>14</v>
      </c>
      <c r="F37" s="78" t="s">
        <v>205</v>
      </c>
      <c r="G37" s="28" t="s">
        <v>5</v>
      </c>
      <c r="H37" s="2" t="s">
        <v>17</v>
      </c>
      <c r="I37" s="2">
        <v>1</v>
      </c>
      <c r="J37" s="2" t="s">
        <v>206</v>
      </c>
      <c r="K37" s="2">
        <v>16600.5</v>
      </c>
      <c r="L37" s="35">
        <v>52616944.799999997</v>
      </c>
      <c r="M37" s="36">
        <v>3150</v>
      </c>
      <c r="N37" s="37">
        <v>95271.800643086797</v>
      </c>
      <c r="O37" s="37">
        <v>84830.816720257193</v>
      </c>
      <c r="P37" s="37">
        <v>0</v>
      </c>
      <c r="Q37" s="37">
        <v>20117.257234726701</v>
      </c>
      <c r="R37" s="37">
        <v>179572.42122186499</v>
      </c>
      <c r="S37" s="37">
        <v>69570.4340836013</v>
      </c>
      <c r="T37" s="40">
        <v>30000</v>
      </c>
      <c r="U37" s="37">
        <v>968609.80707395496</v>
      </c>
      <c r="V37" s="37">
        <v>255549.47266880999</v>
      </c>
      <c r="W37" s="45">
        <v>1703522.0096463</v>
      </c>
      <c r="X37" s="46">
        <v>3.2375920269059502</v>
      </c>
    </row>
    <row r="38" spans="1:24">
      <c r="A38" s="28" t="s">
        <v>63</v>
      </c>
      <c r="B38" s="29">
        <v>3169.6</v>
      </c>
      <c r="C38" s="30" t="s">
        <v>204</v>
      </c>
      <c r="D38" s="2">
        <v>4947510913</v>
      </c>
      <c r="E38" s="2" t="s">
        <v>14</v>
      </c>
      <c r="F38" s="78" t="s">
        <v>205</v>
      </c>
      <c r="G38" s="28" t="s">
        <v>5</v>
      </c>
      <c r="H38" s="2" t="s">
        <v>17</v>
      </c>
      <c r="I38" s="2">
        <v>1</v>
      </c>
      <c r="J38" s="2" t="s">
        <v>206</v>
      </c>
      <c r="K38" s="2">
        <v>570</v>
      </c>
      <c r="L38" s="35">
        <v>1806672</v>
      </c>
      <c r="M38" s="36">
        <v>40</v>
      </c>
      <c r="N38" s="37">
        <v>1209.8006430868199</v>
      </c>
      <c r="O38" s="37">
        <v>1077.21672025723</v>
      </c>
      <c r="P38" s="37">
        <v>0</v>
      </c>
      <c r="Q38" s="37">
        <v>255.457234726688</v>
      </c>
      <c r="R38" s="37">
        <v>2279.8212218649501</v>
      </c>
      <c r="S38" s="37">
        <v>883.43408360128603</v>
      </c>
      <c r="T38" s="40">
        <v>30000</v>
      </c>
      <c r="U38" s="37">
        <v>12299.807073955</v>
      </c>
      <c r="V38" s="37">
        <v>3245.07266881029</v>
      </c>
      <c r="W38" s="45">
        <v>51250.609646302299</v>
      </c>
      <c r="X38" s="46">
        <v>2.8367412372750702</v>
      </c>
    </row>
    <row r="39" spans="1:24">
      <c r="A39" s="28" t="s">
        <v>63</v>
      </c>
      <c r="B39" s="29">
        <v>3169.6</v>
      </c>
      <c r="C39" s="30" t="s">
        <v>204</v>
      </c>
      <c r="D39" s="2">
        <v>4947510913</v>
      </c>
      <c r="E39" s="2" t="s">
        <v>14</v>
      </c>
      <c r="F39" s="78" t="s">
        <v>205</v>
      </c>
      <c r="G39" s="28" t="s">
        <v>5</v>
      </c>
      <c r="H39" s="2" t="s">
        <v>17</v>
      </c>
      <c r="I39" s="2">
        <v>1</v>
      </c>
      <c r="J39" s="2" t="s">
        <v>206</v>
      </c>
      <c r="K39" s="2">
        <v>3430.8</v>
      </c>
      <c r="L39" s="35">
        <v>10874263.68</v>
      </c>
      <c r="M39" s="36">
        <v>360</v>
      </c>
      <c r="N39" s="37">
        <v>10888.2057877813</v>
      </c>
      <c r="O39" s="37">
        <v>9694.9504823151092</v>
      </c>
      <c r="P39" s="37">
        <v>0</v>
      </c>
      <c r="Q39" s="37">
        <v>2299.1151125401898</v>
      </c>
      <c r="R39" s="37">
        <v>20522.390996784601</v>
      </c>
      <c r="S39" s="37">
        <v>7950.9067524115799</v>
      </c>
      <c r="T39" s="40">
        <v>30000</v>
      </c>
      <c r="U39" s="37">
        <v>110698.263665595</v>
      </c>
      <c r="V39" s="37">
        <v>29205.6540192926</v>
      </c>
      <c r="W39" s="45">
        <v>221259.48681671999</v>
      </c>
      <c r="X39" s="46">
        <v>2.0347077588679601</v>
      </c>
    </row>
    <row r="40" spans="1:24">
      <c r="A40" s="28" t="s">
        <v>63</v>
      </c>
      <c r="B40" s="29">
        <v>3169.6</v>
      </c>
      <c r="C40" s="30" t="s">
        <v>204</v>
      </c>
      <c r="D40" s="2">
        <v>4945963724</v>
      </c>
      <c r="E40" s="2" t="s">
        <v>14</v>
      </c>
      <c r="F40" s="78" t="s">
        <v>205</v>
      </c>
      <c r="G40" s="28" t="s">
        <v>5</v>
      </c>
      <c r="H40" s="2" t="s">
        <v>17</v>
      </c>
      <c r="I40" s="2">
        <v>1</v>
      </c>
      <c r="J40" s="2" t="s">
        <v>206</v>
      </c>
      <c r="K40" s="2">
        <v>6048</v>
      </c>
      <c r="L40" s="35">
        <v>19169740.800000001</v>
      </c>
      <c r="M40" s="36">
        <v>2520</v>
      </c>
      <c r="N40" s="37">
        <v>136102.57234726701</v>
      </c>
      <c r="O40" s="37">
        <v>67864.653376205795</v>
      </c>
      <c r="P40" s="37">
        <v>0</v>
      </c>
      <c r="Q40" s="37">
        <v>16093.805787781401</v>
      </c>
      <c r="R40" s="37">
        <v>256532.88745980701</v>
      </c>
      <c r="S40" s="37">
        <v>99386.334405144706</v>
      </c>
      <c r="T40" s="40">
        <v>30000</v>
      </c>
      <c r="U40" s="37">
        <v>1383728.29581994</v>
      </c>
      <c r="V40" s="37">
        <v>365070.67524115799</v>
      </c>
      <c r="W40" s="45">
        <v>2354779.2244373001</v>
      </c>
      <c r="X40" s="46">
        <v>12.283834450371399</v>
      </c>
    </row>
    <row r="41" spans="1:24">
      <c r="A41" s="28" t="s">
        <v>63</v>
      </c>
      <c r="B41" s="29">
        <v>3169.6</v>
      </c>
      <c r="C41" s="30" t="s">
        <v>204</v>
      </c>
      <c r="D41" s="2">
        <v>4947217695</v>
      </c>
      <c r="E41" s="2" t="s">
        <v>14</v>
      </c>
      <c r="F41" s="78" t="s">
        <v>205</v>
      </c>
      <c r="G41" s="28" t="s">
        <v>5</v>
      </c>
      <c r="H41" s="2" t="s">
        <v>17</v>
      </c>
      <c r="I41" s="2">
        <v>1</v>
      </c>
      <c r="J41" s="2" t="s">
        <v>206</v>
      </c>
      <c r="K41" s="2">
        <v>18900</v>
      </c>
      <c r="L41" s="35">
        <v>59905440</v>
      </c>
      <c r="M41" s="36">
        <v>4500</v>
      </c>
      <c r="N41" s="37">
        <v>76217.440514469505</v>
      </c>
      <c r="O41" s="37">
        <v>121186.88102893899</v>
      </c>
      <c r="P41" s="37">
        <v>0</v>
      </c>
      <c r="Q41" s="37">
        <v>28738.938906752399</v>
      </c>
      <c r="R41" s="37">
        <v>143658.73697749199</v>
      </c>
      <c r="S41" s="37">
        <v>55656.347266880999</v>
      </c>
      <c r="T41" s="40">
        <v>30000</v>
      </c>
      <c r="U41" s="37">
        <v>774887.84565916401</v>
      </c>
      <c r="V41" s="37">
        <v>204439.57813504801</v>
      </c>
      <c r="W41" s="45">
        <v>1434785.7684887501</v>
      </c>
      <c r="X41" s="46">
        <v>2.39508426695263</v>
      </c>
    </row>
    <row r="42" spans="1:24">
      <c r="A42" s="28" t="s">
        <v>63</v>
      </c>
      <c r="B42" s="29">
        <v>3169.6</v>
      </c>
      <c r="C42" s="30" t="s">
        <v>207</v>
      </c>
      <c r="D42" s="2">
        <v>4947381299</v>
      </c>
      <c r="E42" s="2" t="s">
        <v>14</v>
      </c>
      <c r="F42" s="78" t="s">
        <v>208</v>
      </c>
      <c r="G42" s="28" t="s">
        <v>5</v>
      </c>
      <c r="H42" s="2" t="s">
        <v>17</v>
      </c>
      <c r="I42" s="2">
        <v>1</v>
      </c>
      <c r="J42" s="2" t="s">
        <v>209</v>
      </c>
      <c r="K42" s="2">
        <v>4312</v>
      </c>
      <c r="L42" s="35">
        <v>13667315.199999999</v>
      </c>
      <c r="M42" s="36">
        <v>800</v>
      </c>
      <c r="N42" s="37">
        <v>13464.265010352001</v>
      </c>
      <c r="O42" s="37">
        <v>17340.2898550725</v>
      </c>
      <c r="P42" s="37">
        <v>0</v>
      </c>
      <c r="Q42" s="37">
        <v>4112.1739130434798</v>
      </c>
      <c r="R42" s="37">
        <v>23801.939958592098</v>
      </c>
      <c r="S42" s="37">
        <v>14220.9109730849</v>
      </c>
      <c r="T42" s="40">
        <v>30000</v>
      </c>
      <c r="U42" s="37">
        <v>206026.915113872</v>
      </c>
      <c r="V42" s="37">
        <v>52236.935817805403</v>
      </c>
      <c r="W42" s="45">
        <v>361203.43064182199</v>
      </c>
      <c r="X42" s="46">
        <v>2.6428265197382901</v>
      </c>
    </row>
    <row r="43" spans="1:24">
      <c r="A43" s="28" t="s">
        <v>63</v>
      </c>
      <c r="B43" s="29">
        <v>3169.6</v>
      </c>
      <c r="C43" s="30" t="s">
        <v>207</v>
      </c>
      <c r="D43" s="2">
        <v>4946737907</v>
      </c>
      <c r="E43" s="2" t="s">
        <v>14</v>
      </c>
      <c r="F43" s="78" t="s">
        <v>208</v>
      </c>
      <c r="G43" s="28" t="s">
        <v>5</v>
      </c>
      <c r="H43" s="2" t="s">
        <v>17</v>
      </c>
      <c r="I43" s="2">
        <v>1</v>
      </c>
      <c r="J43" s="2" t="s">
        <v>209</v>
      </c>
      <c r="K43" s="2">
        <v>1744.6</v>
      </c>
      <c r="L43" s="35">
        <v>5529684.1600000001</v>
      </c>
      <c r="M43" s="36">
        <v>220</v>
      </c>
      <c r="N43" s="37">
        <v>3702.67287784679</v>
      </c>
      <c r="O43" s="37">
        <v>4768.5797101449298</v>
      </c>
      <c r="P43" s="37">
        <v>0</v>
      </c>
      <c r="Q43" s="37">
        <v>1130.8478260869599</v>
      </c>
      <c r="R43" s="37">
        <v>6545.3084886128399</v>
      </c>
      <c r="S43" s="37">
        <v>3910.7505175983401</v>
      </c>
      <c r="T43" s="40">
        <v>30000</v>
      </c>
      <c r="U43" s="37">
        <v>56657.401656314702</v>
      </c>
      <c r="V43" s="37">
        <v>14365.157349896501</v>
      </c>
      <c r="W43" s="45">
        <v>121080.718426501</v>
      </c>
      <c r="X43" s="46">
        <v>2.1896498049990099</v>
      </c>
    </row>
    <row r="44" spans="1:24">
      <c r="A44" s="28" t="s">
        <v>63</v>
      </c>
      <c r="B44" s="29">
        <v>3169.6</v>
      </c>
      <c r="C44" s="30" t="s">
        <v>207</v>
      </c>
      <c r="D44" s="2">
        <v>4947217689</v>
      </c>
      <c r="E44" s="2" t="s">
        <v>14</v>
      </c>
      <c r="F44" s="78" t="s">
        <v>208</v>
      </c>
      <c r="G44" s="28" t="s">
        <v>5</v>
      </c>
      <c r="H44" s="2" t="s">
        <v>17</v>
      </c>
      <c r="I44" s="2">
        <v>1</v>
      </c>
      <c r="J44" s="2" t="s">
        <v>209</v>
      </c>
      <c r="K44" s="2">
        <v>7962</v>
      </c>
      <c r="L44" s="35">
        <v>25236355.199999999</v>
      </c>
      <c r="M44" s="36">
        <v>600</v>
      </c>
      <c r="N44" s="37">
        <v>10098.198757763999</v>
      </c>
      <c r="O44" s="37">
        <v>13005.217391304301</v>
      </c>
      <c r="P44" s="37">
        <v>0</v>
      </c>
      <c r="Q44" s="37">
        <v>3084.1304347826099</v>
      </c>
      <c r="R44" s="37">
        <v>17851.204968944101</v>
      </c>
      <c r="S44" s="37">
        <v>10665.6832298137</v>
      </c>
      <c r="T44" s="40">
        <v>30000</v>
      </c>
      <c r="U44" s="37">
        <v>154520.186335404</v>
      </c>
      <c r="V44" s="37">
        <v>39177.701863353999</v>
      </c>
      <c r="W44" s="45">
        <v>278402.322981367</v>
      </c>
      <c r="X44" s="46">
        <v>1.1031796025020599</v>
      </c>
    </row>
    <row r="45" spans="1:24">
      <c r="A45" s="28" t="s">
        <v>63</v>
      </c>
      <c r="B45" s="29">
        <v>3169.6</v>
      </c>
      <c r="C45" s="30" t="s">
        <v>207</v>
      </c>
      <c r="D45" s="2">
        <v>4947199012</v>
      </c>
      <c r="E45" s="2" t="s">
        <v>14</v>
      </c>
      <c r="F45" s="78" t="s">
        <v>208</v>
      </c>
      <c r="G45" s="28" t="s">
        <v>5</v>
      </c>
      <c r="H45" s="2" t="s">
        <v>17</v>
      </c>
      <c r="I45" s="2">
        <v>1</v>
      </c>
      <c r="J45" s="2" t="s">
        <v>209</v>
      </c>
      <c r="K45" s="2">
        <v>9387</v>
      </c>
      <c r="L45" s="35">
        <v>29753035.199999999</v>
      </c>
      <c r="M45" s="36">
        <v>2100</v>
      </c>
      <c r="N45" s="37">
        <v>35343.695652173898</v>
      </c>
      <c r="O45" s="37">
        <v>45518.260869565202</v>
      </c>
      <c r="P45" s="37">
        <v>0</v>
      </c>
      <c r="Q45" s="37">
        <v>10794.456521739099</v>
      </c>
      <c r="R45" s="37">
        <v>62481.217391304301</v>
      </c>
      <c r="S45" s="37">
        <v>37329.891304347802</v>
      </c>
      <c r="T45" s="40">
        <v>30000</v>
      </c>
      <c r="U45" s="37">
        <v>540820.65217391297</v>
      </c>
      <c r="V45" s="37">
        <v>137121.95652173899</v>
      </c>
      <c r="W45" s="45">
        <v>899410.13043478201</v>
      </c>
      <c r="X45" s="46">
        <v>3.0229189203351701</v>
      </c>
    </row>
    <row r="46" spans="1:24">
      <c r="A46" s="28" t="s">
        <v>63</v>
      </c>
      <c r="B46" s="29">
        <v>3169.6</v>
      </c>
      <c r="C46" s="30" t="s">
        <v>207</v>
      </c>
      <c r="D46" s="2">
        <v>4947199012</v>
      </c>
      <c r="E46" s="2" t="s">
        <v>14</v>
      </c>
      <c r="F46" s="78" t="s">
        <v>208</v>
      </c>
      <c r="G46" s="28" t="s">
        <v>5</v>
      </c>
      <c r="H46" s="2" t="s">
        <v>17</v>
      </c>
      <c r="I46" s="2">
        <v>1</v>
      </c>
      <c r="J46" s="2" t="s">
        <v>209</v>
      </c>
      <c r="K46" s="2">
        <v>4422.6000000000004</v>
      </c>
      <c r="L46" s="35">
        <v>14017872.960000001</v>
      </c>
      <c r="M46" s="36">
        <v>1260</v>
      </c>
      <c r="N46" s="37">
        <v>21206.217391304301</v>
      </c>
      <c r="O46" s="37">
        <v>27310.956521739099</v>
      </c>
      <c r="P46" s="37">
        <v>0</v>
      </c>
      <c r="Q46" s="37">
        <v>6476.6739130434798</v>
      </c>
      <c r="R46" s="37">
        <v>37488.130434782601</v>
      </c>
      <c r="S46" s="37">
        <v>22397.9347826087</v>
      </c>
      <c r="T46" s="40">
        <v>30000</v>
      </c>
      <c r="U46" s="37">
        <v>324492.39130434801</v>
      </c>
      <c r="V46" s="37">
        <v>82273.173913043502</v>
      </c>
      <c r="W46" s="45">
        <v>551645.47826086998</v>
      </c>
      <c r="X46" s="46">
        <v>3.9353008822022399</v>
      </c>
    </row>
    <row r="47" spans="1:24">
      <c r="A47" s="28" t="s">
        <v>63</v>
      </c>
      <c r="B47" s="29">
        <v>3169.6</v>
      </c>
      <c r="C47" s="30" t="s">
        <v>207</v>
      </c>
      <c r="D47" s="2">
        <v>4947223486</v>
      </c>
      <c r="E47" s="2" t="s">
        <v>14</v>
      </c>
      <c r="F47" s="78" t="s">
        <v>208</v>
      </c>
      <c r="G47" s="28" t="s">
        <v>5</v>
      </c>
      <c r="H47" s="2" t="s">
        <v>17</v>
      </c>
      <c r="I47" s="2">
        <v>1</v>
      </c>
      <c r="J47" s="2" t="s">
        <v>209</v>
      </c>
      <c r="K47" s="2">
        <v>16984</v>
      </c>
      <c r="L47" s="35">
        <v>53832486.399999999</v>
      </c>
      <c r="M47" s="36">
        <v>4400</v>
      </c>
      <c r="N47" s="37">
        <v>74053.457556935798</v>
      </c>
      <c r="O47" s="37">
        <v>95371.594202898603</v>
      </c>
      <c r="P47" s="37">
        <v>0</v>
      </c>
      <c r="Q47" s="37">
        <v>22616.956521739099</v>
      </c>
      <c r="R47" s="37">
        <v>130912.169772257</v>
      </c>
      <c r="S47" s="37">
        <v>78215.010351966906</v>
      </c>
      <c r="T47" s="40">
        <v>30000</v>
      </c>
      <c r="U47" s="37">
        <v>1133148.03312629</v>
      </c>
      <c r="V47" s="37">
        <v>287303.14699793002</v>
      </c>
      <c r="W47" s="45">
        <v>1851620.3685300199</v>
      </c>
      <c r="X47" s="46">
        <v>3.43959659372155</v>
      </c>
    </row>
    <row r="48" spans="1:24">
      <c r="A48" s="28" t="s">
        <v>63</v>
      </c>
      <c r="B48" s="29">
        <v>3169.6</v>
      </c>
      <c r="C48" s="30" t="s">
        <v>207</v>
      </c>
      <c r="D48" s="2">
        <v>4946737902</v>
      </c>
      <c r="E48" s="2" t="s">
        <v>14</v>
      </c>
      <c r="F48" s="78" t="s">
        <v>208</v>
      </c>
      <c r="G48" s="28" t="s">
        <v>5</v>
      </c>
      <c r="H48" s="2" t="s">
        <v>17</v>
      </c>
      <c r="I48" s="2">
        <v>1</v>
      </c>
      <c r="J48" s="2" t="s">
        <v>209</v>
      </c>
      <c r="K48" s="2">
        <v>1860.6</v>
      </c>
      <c r="L48" s="35">
        <v>5897357.7599999998</v>
      </c>
      <c r="M48" s="36">
        <v>420</v>
      </c>
      <c r="N48" s="37">
        <v>7068.7391304347802</v>
      </c>
      <c r="O48" s="37">
        <v>9103.6521739130403</v>
      </c>
      <c r="P48" s="37">
        <v>0</v>
      </c>
      <c r="Q48" s="37">
        <v>2158.8913043478301</v>
      </c>
      <c r="R48" s="37">
        <v>12496.043478260901</v>
      </c>
      <c r="S48" s="37">
        <v>7465.9782608695696</v>
      </c>
      <c r="T48" s="40">
        <v>30000</v>
      </c>
      <c r="U48" s="37">
        <v>108164.130434783</v>
      </c>
      <c r="V48" s="37">
        <v>27424.391304347799</v>
      </c>
      <c r="W48" s="45">
        <v>203881.82608695701</v>
      </c>
      <c r="X48" s="46">
        <v>3.4571724216873201</v>
      </c>
    </row>
    <row r="49" spans="1:24">
      <c r="A49" s="28" t="s">
        <v>63</v>
      </c>
      <c r="B49" s="29">
        <v>3169.6</v>
      </c>
      <c r="C49" s="30" t="s">
        <v>207</v>
      </c>
      <c r="D49" s="2">
        <v>4947321540</v>
      </c>
      <c r="E49" s="2" t="s">
        <v>14</v>
      </c>
      <c r="F49" s="78" t="s">
        <v>208</v>
      </c>
      <c r="G49" s="28" t="s">
        <v>5</v>
      </c>
      <c r="H49" s="2" t="s">
        <v>17</v>
      </c>
      <c r="I49" s="2">
        <v>1</v>
      </c>
      <c r="J49" s="2" t="s">
        <v>209</v>
      </c>
      <c r="K49" s="2">
        <v>12012</v>
      </c>
      <c r="L49" s="35">
        <v>38073235.200000003</v>
      </c>
      <c r="M49" s="36">
        <v>4620</v>
      </c>
      <c r="N49" s="37">
        <v>77756.130434782594</v>
      </c>
      <c r="O49" s="37">
        <v>100140.17391304301</v>
      </c>
      <c r="P49" s="37">
        <v>0</v>
      </c>
      <c r="Q49" s="37">
        <v>23747.804347826099</v>
      </c>
      <c r="R49" s="37">
        <v>137457.47826087</v>
      </c>
      <c r="S49" s="37">
        <v>82125.760869565202</v>
      </c>
      <c r="T49" s="40">
        <v>30000</v>
      </c>
      <c r="U49" s="37">
        <v>1189805.43478261</v>
      </c>
      <c r="V49" s="37">
        <v>301668.30434782599</v>
      </c>
      <c r="W49" s="45">
        <v>1942701.0869565201</v>
      </c>
      <c r="X49" s="46">
        <v>5.1025374564348098</v>
      </c>
    </row>
    <row r="50" spans="1:24">
      <c r="A50" s="28" t="s">
        <v>63</v>
      </c>
      <c r="B50" s="29">
        <v>3169.6</v>
      </c>
      <c r="C50" s="30" t="s">
        <v>207</v>
      </c>
      <c r="D50" s="2">
        <v>4945798908</v>
      </c>
      <c r="E50" s="2" t="s">
        <v>14</v>
      </c>
      <c r="F50" s="78" t="s">
        <v>208</v>
      </c>
      <c r="G50" s="28" t="s">
        <v>5</v>
      </c>
      <c r="H50" s="2" t="s">
        <v>17</v>
      </c>
      <c r="I50" s="2">
        <v>1</v>
      </c>
      <c r="J50" s="2" t="s">
        <v>209</v>
      </c>
      <c r="K50" s="2">
        <v>7630</v>
      </c>
      <c r="L50" s="35">
        <v>24184048</v>
      </c>
      <c r="M50" s="36">
        <v>700</v>
      </c>
      <c r="N50" s="37">
        <v>11781.231884057999</v>
      </c>
      <c r="O50" s="37">
        <v>15172.753623188401</v>
      </c>
      <c r="P50" s="37">
        <v>0</v>
      </c>
      <c r="Q50" s="37">
        <v>3598.1521739130399</v>
      </c>
      <c r="R50" s="37">
        <v>20827.072463768101</v>
      </c>
      <c r="S50" s="37">
        <v>12443.2971014493</v>
      </c>
      <c r="T50" s="40">
        <v>30000</v>
      </c>
      <c r="U50" s="37">
        <v>180273.55072463799</v>
      </c>
      <c r="V50" s="37">
        <v>45707.318840579697</v>
      </c>
      <c r="W50" s="45">
        <v>319803.37681159499</v>
      </c>
      <c r="X50" s="46">
        <v>1.32237323053442</v>
      </c>
    </row>
    <row r="51" spans="1:24">
      <c r="A51" s="28" t="s">
        <v>63</v>
      </c>
      <c r="B51" s="29">
        <v>3169.6</v>
      </c>
      <c r="C51" s="30" t="s">
        <v>207</v>
      </c>
      <c r="D51" s="2">
        <v>4946111549</v>
      </c>
      <c r="E51" s="2" t="s">
        <v>14</v>
      </c>
      <c r="F51" s="78" t="s">
        <v>208</v>
      </c>
      <c r="G51" s="28" t="s">
        <v>5</v>
      </c>
      <c r="H51" s="2" t="s">
        <v>17</v>
      </c>
      <c r="I51" s="2">
        <v>1</v>
      </c>
      <c r="J51" s="2" t="s">
        <v>209</v>
      </c>
      <c r="K51" s="2">
        <v>7630</v>
      </c>
      <c r="L51" s="35">
        <v>24184048</v>
      </c>
      <c r="M51" s="36">
        <v>700</v>
      </c>
      <c r="N51" s="37">
        <v>11781.231884057999</v>
      </c>
      <c r="O51" s="37">
        <v>15172.753623188401</v>
      </c>
      <c r="P51" s="37">
        <v>0</v>
      </c>
      <c r="Q51" s="37">
        <v>3598.1521739130399</v>
      </c>
      <c r="R51" s="37">
        <v>20827.072463768101</v>
      </c>
      <c r="S51" s="37">
        <v>12443.2971014493</v>
      </c>
      <c r="T51" s="40">
        <v>30000</v>
      </c>
      <c r="U51" s="37">
        <v>180273.55072463799</v>
      </c>
      <c r="V51" s="37">
        <v>45707.318840579697</v>
      </c>
      <c r="W51" s="45">
        <v>319803.37681159499</v>
      </c>
      <c r="X51" s="46">
        <v>1.32237323053442</v>
      </c>
    </row>
    <row r="52" spans="1:24">
      <c r="A52" s="28" t="s">
        <v>63</v>
      </c>
      <c r="B52" s="29">
        <v>3169.6</v>
      </c>
      <c r="C52" s="30" t="s">
        <v>207</v>
      </c>
      <c r="D52" s="2">
        <v>4946386853</v>
      </c>
      <c r="E52" s="2" t="s">
        <v>14</v>
      </c>
      <c r="F52" s="78" t="s">
        <v>208</v>
      </c>
      <c r="G52" s="28" t="s">
        <v>5</v>
      </c>
      <c r="H52" s="2" t="s">
        <v>17</v>
      </c>
      <c r="I52" s="2">
        <v>1</v>
      </c>
      <c r="J52" s="2" t="s">
        <v>209</v>
      </c>
      <c r="K52" s="2">
        <v>7630</v>
      </c>
      <c r="L52" s="35">
        <v>24184048</v>
      </c>
      <c r="M52" s="36">
        <v>700</v>
      </c>
      <c r="N52" s="37">
        <v>11781.231884057999</v>
      </c>
      <c r="O52" s="37">
        <v>15172.753623188401</v>
      </c>
      <c r="P52" s="37">
        <v>0</v>
      </c>
      <c r="Q52" s="37">
        <v>3598.1521739130399</v>
      </c>
      <c r="R52" s="37">
        <v>20827.072463768101</v>
      </c>
      <c r="S52" s="37">
        <v>12443.2971014493</v>
      </c>
      <c r="T52" s="40">
        <v>30000</v>
      </c>
      <c r="U52" s="37">
        <v>180273.55072463799</v>
      </c>
      <c r="V52" s="37">
        <v>45707.318840579697</v>
      </c>
      <c r="W52" s="45">
        <v>319803.37681159499</v>
      </c>
      <c r="X52" s="46">
        <v>1.32237323053442</v>
      </c>
    </row>
    <row r="53" spans="1:24">
      <c r="A53" s="28" t="s">
        <v>63</v>
      </c>
      <c r="B53" s="29">
        <v>3169.6</v>
      </c>
      <c r="C53" s="30" t="s">
        <v>207</v>
      </c>
      <c r="D53" s="2">
        <v>4947322346</v>
      </c>
      <c r="E53" s="2" t="s">
        <v>14</v>
      </c>
      <c r="F53" s="78" t="s">
        <v>208</v>
      </c>
      <c r="G53" s="28" t="s">
        <v>5</v>
      </c>
      <c r="H53" s="2" t="s">
        <v>17</v>
      </c>
      <c r="I53" s="2">
        <v>1</v>
      </c>
      <c r="J53" s="2" t="s">
        <v>209</v>
      </c>
      <c r="K53" s="2">
        <v>11502</v>
      </c>
      <c r="L53" s="35">
        <v>36456739.200000003</v>
      </c>
      <c r="M53" s="36">
        <v>2700</v>
      </c>
      <c r="N53" s="37">
        <v>45441.8944099379</v>
      </c>
      <c r="O53" s="37">
        <v>58523.478260869597</v>
      </c>
      <c r="P53" s="37">
        <v>0</v>
      </c>
      <c r="Q53" s="37">
        <v>13878.5869565217</v>
      </c>
      <c r="R53" s="37">
        <v>80332.422360248296</v>
      </c>
      <c r="S53" s="37">
        <v>47995.574534161497</v>
      </c>
      <c r="T53" s="40">
        <v>30000</v>
      </c>
      <c r="U53" s="37">
        <v>695340.83850931702</v>
      </c>
      <c r="V53" s="37">
        <v>176299.658385093</v>
      </c>
      <c r="W53" s="45">
        <v>1147812.4534161501</v>
      </c>
      <c r="X53" s="46">
        <v>3.1484232506898202</v>
      </c>
    </row>
    <row r="54" spans="1:24">
      <c r="A54" s="28" t="s">
        <v>63</v>
      </c>
      <c r="B54" s="29">
        <v>3169.6</v>
      </c>
      <c r="C54" s="30" t="s">
        <v>207</v>
      </c>
      <c r="D54" s="2">
        <v>4947217689</v>
      </c>
      <c r="E54" s="2" t="s">
        <v>14</v>
      </c>
      <c r="F54" s="78" t="s">
        <v>208</v>
      </c>
      <c r="G54" s="28" t="s">
        <v>5</v>
      </c>
      <c r="H54" s="2" t="s">
        <v>17</v>
      </c>
      <c r="I54" s="2">
        <v>1</v>
      </c>
      <c r="J54" s="2" t="s">
        <v>209</v>
      </c>
      <c r="K54" s="2">
        <v>793</v>
      </c>
      <c r="L54" s="35">
        <v>2513492.7999999998</v>
      </c>
      <c r="M54" s="36">
        <v>100</v>
      </c>
      <c r="N54" s="37">
        <v>1683.0331262940001</v>
      </c>
      <c r="O54" s="37">
        <v>2167.5362318840598</v>
      </c>
      <c r="P54" s="37">
        <v>0</v>
      </c>
      <c r="Q54" s="37">
        <v>514.02173913043498</v>
      </c>
      <c r="R54" s="37">
        <v>2974.86749482402</v>
      </c>
      <c r="S54" s="37">
        <v>1777.6138716356099</v>
      </c>
      <c r="T54" s="40">
        <v>30000</v>
      </c>
      <c r="U54" s="37">
        <v>25753.364389234001</v>
      </c>
      <c r="V54" s="37">
        <v>6529.6169772256699</v>
      </c>
      <c r="W54" s="45">
        <v>71400.0538302278</v>
      </c>
      <c r="X54" s="46">
        <v>2.8406707124933002</v>
      </c>
    </row>
    <row r="55" spans="1:24">
      <c r="A55" s="28" t="s">
        <v>63</v>
      </c>
      <c r="B55" s="29">
        <v>3169.6</v>
      </c>
      <c r="C55" s="30" t="s">
        <v>210</v>
      </c>
      <c r="D55" s="2">
        <v>4947219365</v>
      </c>
      <c r="E55" s="2" t="s">
        <v>14</v>
      </c>
      <c r="F55" s="2" t="s">
        <v>211</v>
      </c>
      <c r="G55" s="28" t="s">
        <v>5</v>
      </c>
      <c r="H55" s="2" t="s">
        <v>17</v>
      </c>
      <c r="I55" s="2">
        <v>1</v>
      </c>
      <c r="J55" s="2" t="s">
        <v>212</v>
      </c>
      <c r="K55" s="2">
        <v>10287</v>
      </c>
      <c r="L55" s="35">
        <v>32605675.199999999</v>
      </c>
      <c r="M55" s="36">
        <v>2700</v>
      </c>
      <c r="N55" s="37">
        <v>54925.264127764101</v>
      </c>
      <c r="O55" s="37">
        <v>69451.6953316953</v>
      </c>
      <c r="P55" s="37">
        <v>0</v>
      </c>
      <c r="Q55" s="37">
        <v>16470.165847665801</v>
      </c>
      <c r="R55" s="37">
        <v>137670.72113022101</v>
      </c>
      <c r="S55" s="37">
        <v>56957.893120393099</v>
      </c>
      <c r="T55" s="40">
        <v>30000</v>
      </c>
      <c r="U55" s="37">
        <v>793008.906633907</v>
      </c>
      <c r="V55" s="37">
        <v>209220.47911547899</v>
      </c>
      <c r="W55" s="45">
        <v>1367705.1253071299</v>
      </c>
      <c r="X55" s="46">
        <v>4.19468425946636</v>
      </c>
    </row>
    <row r="56" spans="1:24">
      <c r="A56" s="28" t="s">
        <v>63</v>
      </c>
      <c r="B56" s="29">
        <v>3169.6</v>
      </c>
      <c r="C56" s="30" t="s">
        <v>210</v>
      </c>
      <c r="D56" s="2">
        <v>4947612647</v>
      </c>
      <c r="E56" s="2" t="s">
        <v>14</v>
      </c>
      <c r="F56" s="2" t="s">
        <v>211</v>
      </c>
      <c r="G56" s="28" t="s">
        <v>5</v>
      </c>
      <c r="H56" s="2" t="s">
        <v>17</v>
      </c>
      <c r="I56" s="2">
        <v>1</v>
      </c>
      <c r="J56" s="2" t="s">
        <v>212</v>
      </c>
      <c r="K56" s="2">
        <v>9580</v>
      </c>
      <c r="L56" s="35">
        <v>30364768</v>
      </c>
      <c r="M56" s="36">
        <v>2000</v>
      </c>
      <c r="N56" s="37">
        <v>40685.380835380798</v>
      </c>
      <c r="O56" s="37">
        <v>51445.700245700202</v>
      </c>
      <c r="P56" s="37">
        <v>0</v>
      </c>
      <c r="Q56" s="37">
        <v>12200.1228501229</v>
      </c>
      <c r="R56" s="37">
        <v>101977.830466831</v>
      </c>
      <c r="S56" s="37">
        <v>42191.031941031899</v>
      </c>
      <c r="T56" s="40">
        <v>30000</v>
      </c>
      <c r="U56" s="37">
        <v>587414.00491400505</v>
      </c>
      <c r="V56" s="37">
        <v>154978.132678133</v>
      </c>
      <c r="W56" s="45">
        <v>1020892.2039312</v>
      </c>
      <c r="X56" s="46">
        <v>3.3620945298551401</v>
      </c>
    </row>
    <row r="57" spans="1:24">
      <c r="A57" s="28" t="s">
        <v>63</v>
      </c>
      <c r="B57" s="29">
        <v>3169.6</v>
      </c>
      <c r="C57" s="30" t="s">
        <v>219</v>
      </c>
      <c r="D57" s="2">
        <v>4947917135</v>
      </c>
      <c r="E57" s="2" t="s">
        <v>14</v>
      </c>
      <c r="F57" s="78" t="s">
        <v>220</v>
      </c>
      <c r="G57" s="28" t="s">
        <v>9</v>
      </c>
      <c r="H57" s="2" t="s">
        <v>23</v>
      </c>
      <c r="I57" s="2">
        <v>1</v>
      </c>
      <c r="J57" s="2"/>
      <c r="K57" s="2">
        <v>14210</v>
      </c>
      <c r="L57" s="35">
        <v>45040016</v>
      </c>
      <c r="M57" s="36">
        <v>280</v>
      </c>
      <c r="N57" s="37">
        <v>695186</v>
      </c>
      <c r="O57" s="37">
        <v>195</v>
      </c>
      <c r="P57" s="37">
        <v>6288</v>
      </c>
      <c r="Q57" s="37">
        <v>6037</v>
      </c>
      <c r="R57" s="37">
        <v>89722</v>
      </c>
      <c r="S57" s="37">
        <v>343435</v>
      </c>
      <c r="T57" s="40">
        <v>30000</v>
      </c>
      <c r="U57" s="37">
        <v>189590.909090909</v>
      </c>
      <c r="V57" s="37">
        <v>0</v>
      </c>
      <c r="W57" s="45">
        <v>1360453.9090909101</v>
      </c>
      <c r="X57" s="46">
        <v>3.0205449063137699</v>
      </c>
    </row>
    <row r="58" spans="1:24">
      <c r="A58" s="28" t="s">
        <v>63</v>
      </c>
      <c r="B58" s="29">
        <v>3169.6</v>
      </c>
      <c r="C58" s="30" t="s">
        <v>224</v>
      </c>
      <c r="D58" s="2">
        <v>4947562523</v>
      </c>
      <c r="E58" s="2" t="s">
        <v>14</v>
      </c>
      <c r="F58" s="78" t="s">
        <v>225</v>
      </c>
      <c r="G58" s="28" t="s">
        <v>5</v>
      </c>
      <c r="H58" s="2" t="s">
        <v>20</v>
      </c>
      <c r="I58" s="2">
        <v>1</v>
      </c>
      <c r="J58" s="2" t="s">
        <v>226</v>
      </c>
      <c r="K58" s="2">
        <v>27261.200000000001</v>
      </c>
      <c r="L58" s="35">
        <v>86407099.519999996</v>
      </c>
      <c r="M58" s="36">
        <v>12920</v>
      </c>
      <c r="N58" s="37">
        <v>324197</v>
      </c>
      <c r="O58" s="37">
        <v>411833</v>
      </c>
      <c r="P58" s="37">
        <v>0</v>
      </c>
      <c r="Q58" s="37">
        <v>133450</v>
      </c>
      <c r="R58" s="37">
        <v>643273</v>
      </c>
      <c r="S58" s="37">
        <v>343435</v>
      </c>
      <c r="T58" s="40">
        <v>30000</v>
      </c>
      <c r="U58" s="37">
        <v>3428500</v>
      </c>
      <c r="V58" s="37">
        <v>0</v>
      </c>
      <c r="W58" s="45">
        <v>5314688</v>
      </c>
      <c r="X58" s="46">
        <v>6.1507538495373897</v>
      </c>
    </row>
    <row r="59" spans="1:24">
      <c r="A59" s="28" t="s">
        <v>63</v>
      </c>
      <c r="B59" s="29">
        <v>3169.6</v>
      </c>
      <c r="C59" s="30" t="s">
        <v>229</v>
      </c>
      <c r="D59" s="2">
        <v>4947915817</v>
      </c>
      <c r="E59" s="2" t="s">
        <v>14</v>
      </c>
      <c r="F59" s="2" t="s">
        <v>230</v>
      </c>
      <c r="G59" s="28" t="s">
        <v>5</v>
      </c>
      <c r="H59" s="2" t="s">
        <v>17</v>
      </c>
      <c r="I59" s="2">
        <v>1</v>
      </c>
      <c r="J59" s="2" t="s">
        <v>231</v>
      </c>
      <c r="K59" s="2">
        <v>54180</v>
      </c>
      <c r="L59" s="35">
        <v>171728928</v>
      </c>
      <c r="M59" s="36">
        <v>18000</v>
      </c>
      <c r="N59" s="37">
        <v>334051</v>
      </c>
      <c r="O59" s="37">
        <v>418768</v>
      </c>
      <c r="P59" s="37">
        <v>155890</v>
      </c>
      <c r="Q59" s="37">
        <v>99309</v>
      </c>
      <c r="R59" s="37">
        <v>659523</v>
      </c>
      <c r="S59" s="37">
        <v>343435</v>
      </c>
      <c r="T59" s="40">
        <v>30000</v>
      </c>
      <c r="U59" s="37">
        <v>4781550</v>
      </c>
      <c r="V59" s="37">
        <v>0</v>
      </c>
      <c r="W59" s="45">
        <v>6822526</v>
      </c>
      <c r="X59" s="46">
        <v>3.9728460891574402</v>
      </c>
    </row>
    <row r="60" spans="1:24">
      <c r="A60" s="28" t="s">
        <v>63</v>
      </c>
      <c r="B60" s="29">
        <v>3169.6</v>
      </c>
      <c r="C60" s="30" t="s">
        <v>235</v>
      </c>
      <c r="D60" s="2">
        <v>4947320696</v>
      </c>
      <c r="E60" s="2" t="s">
        <v>14</v>
      </c>
      <c r="F60" s="78" t="s">
        <v>236</v>
      </c>
      <c r="G60" s="28" t="s">
        <v>9</v>
      </c>
      <c r="H60" s="2" t="s">
        <v>23</v>
      </c>
      <c r="I60" s="2">
        <v>1</v>
      </c>
      <c r="J60" s="2"/>
      <c r="K60" s="2">
        <v>2113.1999999999998</v>
      </c>
      <c r="L60" s="35">
        <v>6697998.7199999997</v>
      </c>
      <c r="M60" s="36">
        <v>360</v>
      </c>
      <c r="N60" s="37">
        <v>407788</v>
      </c>
      <c r="O60" s="37">
        <v>256</v>
      </c>
      <c r="P60" s="37">
        <v>11428</v>
      </c>
      <c r="Q60" s="37">
        <v>5883</v>
      </c>
      <c r="R60" s="37">
        <v>247324</v>
      </c>
      <c r="S60" s="37">
        <v>343435</v>
      </c>
      <c r="T60" s="40">
        <v>30000</v>
      </c>
      <c r="U60" s="37">
        <v>410310</v>
      </c>
      <c r="V60" s="37">
        <v>0</v>
      </c>
      <c r="W60" s="45">
        <v>1456424</v>
      </c>
      <c r="X60" s="46">
        <v>21.7441665918981</v>
      </c>
    </row>
    <row r="61" spans="1:24">
      <c r="A61" s="28" t="s">
        <v>63</v>
      </c>
      <c r="B61" s="29">
        <v>3169.6</v>
      </c>
      <c r="C61" s="30" t="s">
        <v>252</v>
      </c>
      <c r="D61" s="2">
        <v>4947223493</v>
      </c>
      <c r="E61" s="2" t="s">
        <v>14</v>
      </c>
      <c r="F61" s="78" t="s">
        <v>253</v>
      </c>
      <c r="G61" s="28" t="s">
        <v>9</v>
      </c>
      <c r="H61" s="2" t="s">
        <v>23</v>
      </c>
      <c r="I61" s="2">
        <v>5</v>
      </c>
      <c r="J61" s="2"/>
      <c r="K61" s="2">
        <v>6480</v>
      </c>
      <c r="L61" s="35">
        <v>20539008</v>
      </c>
      <c r="M61" s="36">
        <v>3000</v>
      </c>
      <c r="N61" s="37">
        <v>735758</v>
      </c>
      <c r="O61" s="37">
        <v>2060</v>
      </c>
      <c r="P61" s="37">
        <v>63917</v>
      </c>
      <c r="Q61" s="37">
        <v>50001</v>
      </c>
      <c r="R61" s="37">
        <v>138872</v>
      </c>
      <c r="S61" s="37">
        <v>343435</v>
      </c>
      <c r="T61" s="40">
        <v>30000</v>
      </c>
      <c r="U61" s="37">
        <v>1334341.4634146299</v>
      </c>
      <c r="V61" s="37">
        <v>0</v>
      </c>
      <c r="W61" s="45">
        <v>2698384.4634146299</v>
      </c>
      <c r="X61" s="46">
        <v>13.1378519518305</v>
      </c>
    </row>
    <row r="62" spans="1:24">
      <c r="A62" s="28" t="s">
        <v>63</v>
      </c>
      <c r="B62" s="29">
        <v>3169.6</v>
      </c>
      <c r="C62" s="30" t="s">
        <v>254</v>
      </c>
      <c r="D62" s="2">
        <v>4947381256</v>
      </c>
      <c r="E62" s="2" t="s">
        <v>14</v>
      </c>
      <c r="F62" s="78" t="s">
        <v>255</v>
      </c>
      <c r="G62" s="28" t="s">
        <v>5</v>
      </c>
      <c r="H62" s="2" t="s">
        <v>20</v>
      </c>
      <c r="I62" s="2">
        <v>1</v>
      </c>
      <c r="J62" s="2" t="s">
        <v>256</v>
      </c>
      <c r="K62" s="2">
        <v>34251.599999999999</v>
      </c>
      <c r="L62" s="35">
        <v>108563871.36</v>
      </c>
      <c r="M62" s="36">
        <v>15640</v>
      </c>
      <c r="N62" s="37">
        <v>331179</v>
      </c>
      <c r="O62" s="37">
        <v>317159</v>
      </c>
      <c r="P62" s="37">
        <v>0</v>
      </c>
      <c r="Q62" s="37">
        <v>99309</v>
      </c>
      <c r="R62" s="37">
        <v>549451</v>
      </c>
      <c r="S62" s="37">
        <v>343435</v>
      </c>
      <c r="T62" s="40">
        <v>30000</v>
      </c>
      <c r="U62" s="37">
        <v>3629900</v>
      </c>
      <c r="V62" s="37">
        <v>0</v>
      </c>
      <c r="W62" s="45">
        <v>5300433</v>
      </c>
      <c r="X62" s="46">
        <v>4.8823176012429199</v>
      </c>
    </row>
    <row r="63" spans="1:24">
      <c r="A63" s="28" t="s">
        <v>63</v>
      </c>
      <c r="B63" s="29">
        <v>3169.6</v>
      </c>
      <c r="C63" s="30" t="s">
        <v>257</v>
      </c>
      <c r="D63" s="2">
        <v>4947106845</v>
      </c>
      <c r="E63" s="2" t="s">
        <v>14</v>
      </c>
      <c r="F63" s="78" t="s">
        <v>258</v>
      </c>
      <c r="G63" s="28" t="s">
        <v>9</v>
      </c>
      <c r="H63" s="2" t="s">
        <v>23</v>
      </c>
      <c r="I63" s="2">
        <v>11</v>
      </c>
      <c r="J63" s="2"/>
      <c r="K63" s="2">
        <v>25236</v>
      </c>
      <c r="L63" s="35">
        <v>79988025.599999994</v>
      </c>
      <c r="M63" s="36">
        <v>720</v>
      </c>
      <c r="N63" s="37">
        <v>256845.90078329001</v>
      </c>
      <c r="O63" s="37">
        <v>970.68407310705004</v>
      </c>
      <c r="P63" s="37">
        <v>7477.7545691905998</v>
      </c>
      <c r="Q63" s="37">
        <v>11684.772845953001</v>
      </c>
      <c r="R63" s="37">
        <v>53065.127937336802</v>
      </c>
      <c r="S63" s="37">
        <v>32281.0966057441</v>
      </c>
      <c r="T63" s="40">
        <v>30000</v>
      </c>
      <c r="U63" s="37">
        <v>196026.109660574</v>
      </c>
      <c r="V63" s="37">
        <v>118576.480417755</v>
      </c>
      <c r="W63" s="45">
        <v>706927.92689295101</v>
      </c>
      <c r="X63" s="46">
        <v>0.88379219463188097</v>
      </c>
    </row>
    <row r="64" spans="1:24">
      <c r="A64" s="28" t="s">
        <v>63</v>
      </c>
      <c r="B64" s="29">
        <v>3169.6</v>
      </c>
      <c r="C64" s="30" t="s">
        <v>257</v>
      </c>
      <c r="D64" s="2">
        <v>4947217687</v>
      </c>
      <c r="E64" s="2" t="s">
        <v>14</v>
      </c>
      <c r="F64" s="78" t="s">
        <v>258</v>
      </c>
      <c r="G64" s="28" t="s">
        <v>9</v>
      </c>
      <c r="H64" s="2" t="s">
        <v>23</v>
      </c>
      <c r="I64" s="2">
        <v>11</v>
      </c>
      <c r="J64" s="2"/>
      <c r="K64" s="2">
        <v>7620</v>
      </c>
      <c r="L64" s="35">
        <v>24152352</v>
      </c>
      <c r="M64" s="36">
        <v>2000</v>
      </c>
      <c r="N64" s="37">
        <v>713460.83550913795</v>
      </c>
      <c r="O64" s="37">
        <v>2696.3446475195801</v>
      </c>
      <c r="P64" s="37">
        <v>20771.540469973901</v>
      </c>
      <c r="Q64" s="37">
        <v>32457.702349869502</v>
      </c>
      <c r="R64" s="37">
        <v>147403.133159269</v>
      </c>
      <c r="S64" s="37">
        <v>89669.712793733706</v>
      </c>
      <c r="T64" s="40">
        <v>30000</v>
      </c>
      <c r="U64" s="37">
        <v>544516.97127937304</v>
      </c>
      <c r="V64" s="37">
        <v>329379.11227154097</v>
      </c>
      <c r="W64" s="45">
        <v>1910355.3524804199</v>
      </c>
      <c r="X64" s="46">
        <v>7.9096038037223799</v>
      </c>
    </row>
    <row r="65" spans="1:24">
      <c r="A65" s="28" t="s">
        <v>63</v>
      </c>
      <c r="B65" s="29">
        <v>3169.6</v>
      </c>
      <c r="C65" s="30" t="s">
        <v>257</v>
      </c>
      <c r="D65" s="2">
        <v>4947092297</v>
      </c>
      <c r="E65" s="2" t="s">
        <v>14</v>
      </c>
      <c r="F65" s="78" t="s">
        <v>258</v>
      </c>
      <c r="G65" s="28" t="s">
        <v>9</v>
      </c>
      <c r="H65" s="2" t="s">
        <v>23</v>
      </c>
      <c r="I65" s="2">
        <v>11</v>
      </c>
      <c r="J65" s="2"/>
      <c r="K65" s="2">
        <v>1680</v>
      </c>
      <c r="L65" s="35">
        <v>5324928</v>
      </c>
      <c r="M65" s="36">
        <v>800</v>
      </c>
      <c r="N65" s="37">
        <v>285384.33420365502</v>
      </c>
      <c r="O65" s="37">
        <v>1078.5378590078301</v>
      </c>
      <c r="P65" s="37">
        <v>8308.6161879895608</v>
      </c>
      <c r="Q65" s="37">
        <v>12983.0809399478</v>
      </c>
      <c r="R65" s="37">
        <v>58961.2532637076</v>
      </c>
      <c r="S65" s="37">
        <v>35867.885117493497</v>
      </c>
      <c r="T65" s="40">
        <v>30000</v>
      </c>
      <c r="U65" s="37">
        <v>217806.78851174901</v>
      </c>
      <c r="V65" s="37">
        <v>131751.644908616</v>
      </c>
      <c r="W65" s="45">
        <v>782142.14099216601</v>
      </c>
      <c r="X65" s="46">
        <v>14.688313926351</v>
      </c>
    </row>
    <row r="66" spans="1:24">
      <c r="A66" s="28" t="s">
        <v>63</v>
      </c>
      <c r="B66" s="29">
        <v>3169.6</v>
      </c>
      <c r="C66" s="30" t="s">
        <v>262</v>
      </c>
      <c r="D66" s="2">
        <v>4947106847</v>
      </c>
      <c r="E66" s="2" t="s">
        <v>14</v>
      </c>
      <c r="F66" s="78" t="s">
        <v>263</v>
      </c>
      <c r="G66" s="28" t="s">
        <v>5</v>
      </c>
      <c r="H66" s="2" t="s">
        <v>20</v>
      </c>
      <c r="I66" s="2">
        <v>1</v>
      </c>
      <c r="J66" s="2" t="s">
        <v>264</v>
      </c>
      <c r="K66" s="2">
        <v>61464</v>
      </c>
      <c r="L66" s="35">
        <v>194816294.40000001</v>
      </c>
      <c r="M66" s="36">
        <v>10400</v>
      </c>
      <c r="N66" s="37">
        <v>358994</v>
      </c>
      <c r="O66" s="37">
        <v>317159</v>
      </c>
      <c r="P66" s="37">
        <v>0</v>
      </c>
      <c r="Q66" s="37">
        <v>99309</v>
      </c>
      <c r="R66" s="37">
        <v>627403</v>
      </c>
      <c r="S66" s="37">
        <v>343435</v>
      </c>
      <c r="T66" s="40">
        <v>30000</v>
      </c>
      <c r="U66" s="37">
        <v>529000</v>
      </c>
      <c r="V66" s="37">
        <v>0</v>
      </c>
      <c r="W66" s="45">
        <v>2305300</v>
      </c>
      <c r="X66" s="46">
        <v>1.18331991022615</v>
      </c>
    </row>
    <row r="67" spans="1:24">
      <c r="A67" s="28" t="s">
        <v>63</v>
      </c>
      <c r="B67" s="29">
        <v>3169.6</v>
      </c>
      <c r="C67" s="30" t="s">
        <v>270</v>
      </c>
      <c r="D67" s="2">
        <v>4947273668</v>
      </c>
      <c r="E67" s="2" t="s">
        <v>14</v>
      </c>
      <c r="F67" s="2" t="s">
        <v>271</v>
      </c>
      <c r="G67" s="28" t="s">
        <v>9</v>
      </c>
      <c r="H67" s="2" t="s">
        <v>23</v>
      </c>
      <c r="I67" s="2">
        <v>7</v>
      </c>
      <c r="J67" s="2"/>
      <c r="K67" s="2">
        <v>15220.8</v>
      </c>
      <c r="L67" s="35">
        <v>48243847.68</v>
      </c>
      <c r="M67" s="36">
        <v>2520</v>
      </c>
      <c r="N67" s="37">
        <v>1147021</v>
      </c>
      <c r="O67" s="37">
        <v>1818</v>
      </c>
      <c r="P67" s="37">
        <v>0</v>
      </c>
      <c r="Q67" s="37">
        <v>43829</v>
      </c>
      <c r="R67" s="37">
        <v>131078</v>
      </c>
      <c r="S67" s="37">
        <v>343435</v>
      </c>
      <c r="T67" s="40">
        <v>30000</v>
      </c>
      <c r="U67" s="37">
        <v>2085500</v>
      </c>
      <c r="V67" s="37">
        <v>0</v>
      </c>
      <c r="W67" s="45">
        <v>3782681</v>
      </c>
      <c r="X67" s="46">
        <v>7.8407531362142002</v>
      </c>
    </row>
    <row r="68" spans="1:24">
      <c r="A68" s="28" t="s">
        <v>63</v>
      </c>
      <c r="B68" s="29">
        <v>3169.6</v>
      </c>
      <c r="C68" s="30" t="s">
        <v>275</v>
      </c>
      <c r="D68" s="2">
        <v>4947217697</v>
      </c>
      <c r="E68" s="2" t="s">
        <v>14</v>
      </c>
      <c r="F68" s="2" t="s">
        <v>276</v>
      </c>
      <c r="G68" s="28" t="s">
        <v>9</v>
      </c>
      <c r="H68" s="2" t="s">
        <v>23</v>
      </c>
      <c r="I68" s="2">
        <v>2</v>
      </c>
      <c r="J68" s="2"/>
      <c r="K68" s="2">
        <v>23705.599999999999</v>
      </c>
      <c r="L68" s="35">
        <v>75137269.760000005</v>
      </c>
      <c r="M68" s="36">
        <v>320</v>
      </c>
      <c r="N68" s="37">
        <v>343561.33333333302</v>
      </c>
      <c r="O68" s="37">
        <v>240.666666666667</v>
      </c>
      <c r="P68" s="37">
        <v>38248</v>
      </c>
      <c r="Q68" s="37">
        <v>5615.3333333333303</v>
      </c>
      <c r="R68" s="37">
        <v>63179.333333333299</v>
      </c>
      <c r="S68" s="37">
        <v>228956.66666666701</v>
      </c>
      <c r="T68" s="40">
        <v>30000</v>
      </c>
      <c r="U68" s="37">
        <v>399616.76646706602</v>
      </c>
      <c r="V68" s="37">
        <v>0</v>
      </c>
      <c r="W68" s="45">
        <v>1109418.0998004</v>
      </c>
      <c r="X68" s="46">
        <v>1.4765217093248799</v>
      </c>
    </row>
    <row r="69" spans="1:24">
      <c r="A69" s="28" t="s">
        <v>63</v>
      </c>
      <c r="B69" s="29">
        <v>3169.6</v>
      </c>
      <c r="C69" s="30" t="s">
        <v>275</v>
      </c>
      <c r="D69" s="2">
        <v>4947612638</v>
      </c>
      <c r="E69" s="2" t="s">
        <v>14</v>
      </c>
      <c r="F69" s="2" t="s">
        <v>276</v>
      </c>
      <c r="G69" s="28" t="s">
        <v>9</v>
      </c>
      <c r="H69" s="2" t="s">
        <v>23</v>
      </c>
      <c r="I69" s="2">
        <v>2</v>
      </c>
      <c r="J69" s="2"/>
      <c r="K69" s="2">
        <v>2601.6</v>
      </c>
      <c r="L69" s="35">
        <v>8246031.3600000003</v>
      </c>
      <c r="M69" s="36">
        <v>160</v>
      </c>
      <c r="N69" s="37">
        <v>171780.66666666701</v>
      </c>
      <c r="O69" s="37">
        <v>120.333333333333</v>
      </c>
      <c r="P69" s="37">
        <v>19124</v>
      </c>
      <c r="Q69" s="37">
        <v>2807.6666666666702</v>
      </c>
      <c r="R69" s="37">
        <v>31589.666666666701</v>
      </c>
      <c r="S69" s="37">
        <v>114478.33333333299</v>
      </c>
      <c r="T69" s="40">
        <v>30000</v>
      </c>
      <c r="U69" s="37">
        <v>199808.38323353301</v>
      </c>
      <c r="V69" s="37">
        <v>0</v>
      </c>
      <c r="W69" s="45">
        <v>569709.04990019999</v>
      </c>
      <c r="X69" s="46">
        <v>6.9088877428208102</v>
      </c>
    </row>
    <row r="70" spans="1:24">
      <c r="A70" s="28" t="s">
        <v>63</v>
      </c>
      <c r="B70" s="29">
        <v>3169.6</v>
      </c>
      <c r="C70" s="30" t="s">
        <v>277</v>
      </c>
      <c r="D70" s="2">
        <v>4947705165</v>
      </c>
      <c r="E70" s="2" t="s">
        <v>14</v>
      </c>
      <c r="F70" s="78" t="s">
        <v>278</v>
      </c>
      <c r="G70" s="28" t="s">
        <v>9</v>
      </c>
      <c r="H70" s="2" t="s">
        <v>23</v>
      </c>
      <c r="I70" s="2">
        <v>1</v>
      </c>
      <c r="J70" s="2"/>
      <c r="K70" s="2">
        <v>1848</v>
      </c>
      <c r="L70" s="35">
        <v>5857420.7999999998</v>
      </c>
      <c r="M70" s="36">
        <v>840</v>
      </c>
      <c r="N70" s="37">
        <v>480304</v>
      </c>
      <c r="O70" s="37">
        <v>579</v>
      </c>
      <c r="P70" s="37">
        <v>8928</v>
      </c>
      <c r="Q70" s="37">
        <v>13729</v>
      </c>
      <c r="R70" s="37">
        <v>93982</v>
      </c>
      <c r="S70" s="37">
        <v>343435</v>
      </c>
      <c r="T70" s="40">
        <v>30000</v>
      </c>
      <c r="U70" s="37">
        <v>957390</v>
      </c>
      <c r="V70" s="37">
        <v>0</v>
      </c>
      <c r="W70" s="45">
        <v>1928347</v>
      </c>
      <c r="X70" s="46">
        <v>32.921435318425502</v>
      </c>
    </row>
    <row r="71" spans="1:24">
      <c r="A71" s="28" t="s">
        <v>63</v>
      </c>
      <c r="B71" s="29">
        <v>3169.6</v>
      </c>
      <c r="C71" s="30" t="s">
        <v>291</v>
      </c>
      <c r="D71" s="2">
        <v>4947217691</v>
      </c>
      <c r="E71" s="2" t="s">
        <v>14</v>
      </c>
      <c r="F71" s="78" t="s">
        <v>292</v>
      </c>
      <c r="G71" s="28" t="s">
        <v>5</v>
      </c>
      <c r="H71" s="2" t="s">
        <v>20</v>
      </c>
      <c r="I71" s="2">
        <v>1</v>
      </c>
      <c r="J71" s="2" t="s">
        <v>293</v>
      </c>
      <c r="K71" s="2">
        <v>52052</v>
      </c>
      <c r="L71" s="35">
        <v>164984019.19999999</v>
      </c>
      <c r="M71" s="36">
        <v>6160</v>
      </c>
      <c r="N71" s="37">
        <v>471500</v>
      </c>
      <c r="O71" s="37">
        <v>317159</v>
      </c>
      <c r="P71" s="37">
        <v>0</v>
      </c>
      <c r="Q71" s="37">
        <v>99309</v>
      </c>
      <c r="R71" s="37">
        <v>627853</v>
      </c>
      <c r="S71" s="37">
        <v>343435</v>
      </c>
      <c r="T71" s="40">
        <v>30000</v>
      </c>
      <c r="U71" s="37">
        <v>2601700</v>
      </c>
      <c r="V71" s="37">
        <v>0</v>
      </c>
      <c r="W71" s="45">
        <v>4490956</v>
      </c>
      <c r="X71" s="46">
        <v>2.72205515526682</v>
      </c>
    </row>
    <row r="72" spans="1:24">
      <c r="A72" s="28" t="s">
        <v>63</v>
      </c>
      <c r="B72" s="29">
        <v>3169.6</v>
      </c>
      <c r="C72" s="30" t="s">
        <v>294</v>
      </c>
      <c r="D72" s="2">
        <v>4947002343</v>
      </c>
      <c r="E72" s="2" t="s">
        <v>14</v>
      </c>
      <c r="F72" s="78" t="s">
        <v>295</v>
      </c>
      <c r="G72" s="28" t="s">
        <v>5</v>
      </c>
      <c r="H72" s="2" t="s">
        <v>26</v>
      </c>
      <c r="I72" s="2">
        <v>1</v>
      </c>
      <c r="J72" s="2" t="s">
        <v>296</v>
      </c>
      <c r="K72" s="2">
        <v>30521.599999999999</v>
      </c>
      <c r="L72" s="35">
        <v>96741263.359999999</v>
      </c>
      <c r="M72" s="36">
        <v>2080</v>
      </c>
      <c r="N72" s="37">
        <v>324197</v>
      </c>
      <c r="O72" s="37">
        <v>390324</v>
      </c>
      <c r="P72" s="37">
        <v>151291</v>
      </c>
      <c r="Q72" s="37">
        <v>99309</v>
      </c>
      <c r="R72" s="37">
        <v>609954</v>
      </c>
      <c r="S72" s="37">
        <v>343435</v>
      </c>
      <c r="T72" s="40">
        <v>30000</v>
      </c>
      <c r="U72" s="37">
        <v>0</v>
      </c>
      <c r="V72" s="37">
        <v>0</v>
      </c>
      <c r="W72" s="45">
        <v>1948510</v>
      </c>
      <c r="X72" s="46">
        <v>2.0141457040405601</v>
      </c>
    </row>
    <row r="73" spans="1:24">
      <c r="A73" s="28" t="s">
        <v>63</v>
      </c>
      <c r="B73" s="29">
        <v>3169.6</v>
      </c>
      <c r="C73" s="30" t="s">
        <v>299</v>
      </c>
      <c r="D73" s="2">
        <v>4947510911</v>
      </c>
      <c r="E73" s="2" t="s">
        <v>14</v>
      </c>
      <c r="F73" s="2" t="s">
        <v>300</v>
      </c>
      <c r="G73" s="28" t="s">
        <v>9</v>
      </c>
      <c r="H73" s="2" t="s">
        <v>23</v>
      </c>
      <c r="I73" s="2">
        <v>3</v>
      </c>
      <c r="J73" s="2"/>
      <c r="K73" s="2">
        <v>4776</v>
      </c>
      <c r="L73" s="35">
        <v>15138009.6</v>
      </c>
      <c r="M73" s="36">
        <v>2400</v>
      </c>
      <c r="N73" s="37">
        <v>873665</v>
      </c>
      <c r="O73" s="37">
        <v>1579</v>
      </c>
      <c r="P73" s="37">
        <v>128543</v>
      </c>
      <c r="Q73" s="37">
        <v>46788</v>
      </c>
      <c r="R73" s="37">
        <v>124399</v>
      </c>
      <c r="S73" s="37">
        <v>343435</v>
      </c>
      <c r="T73" s="40">
        <v>30000</v>
      </c>
      <c r="U73" s="37">
        <v>1564125</v>
      </c>
      <c r="V73" s="37">
        <v>0</v>
      </c>
      <c r="W73" s="45">
        <v>3112534</v>
      </c>
      <c r="X73" s="46">
        <v>20.5610518307506</v>
      </c>
    </row>
    <row r="74" spans="1:24">
      <c r="A74" s="28" t="s">
        <v>63</v>
      </c>
      <c r="B74" s="29">
        <v>3169.6</v>
      </c>
      <c r="C74" s="30" t="s">
        <v>304</v>
      </c>
      <c r="D74" s="2">
        <v>4946737903</v>
      </c>
      <c r="E74" s="2" t="s">
        <v>14</v>
      </c>
      <c r="F74" s="78" t="s">
        <v>305</v>
      </c>
      <c r="G74" s="28" t="s">
        <v>9</v>
      </c>
      <c r="H74" s="2" t="s">
        <v>23</v>
      </c>
      <c r="I74" s="2">
        <v>1</v>
      </c>
      <c r="J74" s="2"/>
      <c r="K74" s="2">
        <v>2397.6</v>
      </c>
      <c r="L74" s="35">
        <v>7599432.96</v>
      </c>
      <c r="M74" s="36">
        <v>400</v>
      </c>
      <c r="N74" s="37">
        <v>221914</v>
      </c>
      <c r="O74" s="37">
        <v>296</v>
      </c>
      <c r="P74" s="37">
        <v>45910</v>
      </c>
      <c r="Q74" s="37">
        <v>6812</v>
      </c>
      <c r="R74" s="37">
        <v>85867</v>
      </c>
      <c r="S74" s="37">
        <v>343435</v>
      </c>
      <c r="T74" s="40">
        <v>30000</v>
      </c>
      <c r="U74" s="37">
        <v>499520.958083832</v>
      </c>
      <c r="V74" s="37">
        <v>0</v>
      </c>
      <c r="W74" s="45">
        <v>1233754.9580838301</v>
      </c>
      <c r="X74" s="46">
        <v>16.234829158672301</v>
      </c>
    </row>
    <row r="75" spans="1:24">
      <c r="A75" s="28" t="s">
        <v>63</v>
      </c>
      <c r="B75" s="29">
        <v>3169.6</v>
      </c>
      <c r="C75" s="30" t="s">
        <v>306</v>
      </c>
      <c r="D75" s="2">
        <v>4947165072</v>
      </c>
      <c r="E75" s="2" t="s">
        <v>14</v>
      </c>
      <c r="F75" s="78" t="s">
        <v>307</v>
      </c>
      <c r="G75" s="28" t="s">
        <v>9</v>
      </c>
      <c r="H75" s="2" t="s">
        <v>23</v>
      </c>
      <c r="I75" s="2">
        <v>2</v>
      </c>
      <c r="J75" s="2"/>
      <c r="K75" s="2">
        <v>82835.199999999997</v>
      </c>
      <c r="L75" s="35">
        <v>262554449.91999999</v>
      </c>
      <c r="M75" s="36">
        <v>640</v>
      </c>
      <c r="N75" s="37">
        <v>648207</v>
      </c>
      <c r="O75" s="37">
        <v>473</v>
      </c>
      <c r="P75" s="37">
        <v>48724</v>
      </c>
      <c r="Q75" s="37">
        <v>11435</v>
      </c>
      <c r="R75" s="37">
        <v>95331</v>
      </c>
      <c r="S75" s="37">
        <v>343435</v>
      </c>
      <c r="T75" s="40">
        <v>30000</v>
      </c>
      <c r="U75" s="37">
        <v>182214.33447099</v>
      </c>
      <c r="V75" s="37">
        <v>1261522</v>
      </c>
      <c r="W75" s="45">
        <v>2621341.3344709901</v>
      </c>
      <c r="X75" s="46">
        <v>0.99839912645537299</v>
      </c>
    </row>
    <row r="76" spans="1:24">
      <c r="A76" s="28" t="s">
        <v>63</v>
      </c>
      <c r="B76" s="29">
        <v>3169.6</v>
      </c>
      <c r="C76" s="30" t="s">
        <v>308</v>
      </c>
      <c r="D76" s="2">
        <v>4947106822</v>
      </c>
      <c r="E76" s="2" t="s">
        <v>14</v>
      </c>
      <c r="F76" s="78" t="s">
        <v>309</v>
      </c>
      <c r="G76" s="28" t="s">
        <v>9</v>
      </c>
      <c r="H76" s="2" t="s">
        <v>23</v>
      </c>
      <c r="I76" s="2">
        <v>19</v>
      </c>
      <c r="J76" s="2"/>
      <c r="K76" s="2">
        <v>3510</v>
      </c>
      <c r="L76" s="35">
        <v>11125296</v>
      </c>
      <c r="M76" s="36">
        <v>1800</v>
      </c>
      <c r="N76" s="37">
        <v>334970.10706638102</v>
      </c>
      <c r="O76" s="37">
        <v>1236.8736616702399</v>
      </c>
      <c r="P76" s="37">
        <v>197858.41541755901</v>
      </c>
      <c r="Q76" s="37">
        <v>29764.239828693801</v>
      </c>
      <c r="R76" s="37">
        <v>48737.858672376897</v>
      </c>
      <c r="S76" s="37">
        <v>44124.411134903603</v>
      </c>
      <c r="T76" s="40">
        <v>30000</v>
      </c>
      <c r="U76" s="37">
        <v>512477.815699659</v>
      </c>
      <c r="V76" s="37">
        <v>0</v>
      </c>
      <c r="W76" s="45">
        <v>1199169.7214812399</v>
      </c>
      <c r="X76" s="46">
        <v>10.7787668883708</v>
      </c>
    </row>
    <row r="77" spans="1:24">
      <c r="A77" s="28" t="s">
        <v>63</v>
      </c>
      <c r="B77" s="29">
        <v>3169.6</v>
      </c>
      <c r="C77" s="30" t="s">
        <v>308</v>
      </c>
      <c r="D77" s="2">
        <v>4947321526</v>
      </c>
      <c r="E77" s="2" t="s">
        <v>14</v>
      </c>
      <c r="F77" s="78" t="s">
        <v>309</v>
      </c>
      <c r="G77" s="28" t="s">
        <v>9</v>
      </c>
      <c r="H77" s="2" t="s">
        <v>23</v>
      </c>
      <c r="I77" s="2">
        <v>19</v>
      </c>
      <c r="J77" s="2"/>
      <c r="K77" s="2">
        <v>15876</v>
      </c>
      <c r="L77" s="35">
        <v>50320569.600000001</v>
      </c>
      <c r="M77" s="36">
        <v>4200</v>
      </c>
      <c r="N77" s="37">
        <v>781596.91648822301</v>
      </c>
      <c r="O77" s="37">
        <v>2886.0385438972198</v>
      </c>
      <c r="P77" s="37">
        <v>461669.63597430399</v>
      </c>
      <c r="Q77" s="37">
        <v>69449.892933618801</v>
      </c>
      <c r="R77" s="37">
        <v>113721.670235546</v>
      </c>
      <c r="S77" s="37">
        <v>102956.959314775</v>
      </c>
      <c r="T77" s="40">
        <v>30000</v>
      </c>
      <c r="U77" s="37">
        <v>1195781.5699658699</v>
      </c>
      <c r="V77" s="37">
        <v>0</v>
      </c>
      <c r="W77" s="45">
        <v>2758062.68345623</v>
      </c>
      <c r="X77" s="46">
        <v>5.4809846259296604</v>
      </c>
    </row>
    <row r="78" spans="1:24">
      <c r="A78" s="28" t="s">
        <v>63</v>
      </c>
      <c r="B78" s="29">
        <v>3169.6</v>
      </c>
      <c r="C78" s="30" t="s">
        <v>308</v>
      </c>
      <c r="D78" s="2">
        <v>4945916957</v>
      </c>
      <c r="E78" s="2" t="s">
        <v>14</v>
      </c>
      <c r="F78" s="78" t="s">
        <v>309</v>
      </c>
      <c r="G78" s="28" t="s">
        <v>9</v>
      </c>
      <c r="H78" s="2" t="s">
        <v>23</v>
      </c>
      <c r="I78" s="2">
        <v>19</v>
      </c>
      <c r="J78" s="2"/>
      <c r="K78" s="2">
        <v>13163.2</v>
      </c>
      <c r="L78" s="35">
        <v>41722078.719999999</v>
      </c>
      <c r="M78" s="36">
        <v>3040</v>
      </c>
      <c r="N78" s="37">
        <v>565727.29193433304</v>
      </c>
      <c r="O78" s="37">
        <v>2088.9421841541798</v>
      </c>
      <c r="P78" s="37">
        <v>334160.879371877</v>
      </c>
      <c r="Q78" s="37">
        <v>50268.493932905098</v>
      </c>
      <c r="R78" s="37">
        <v>82312.827980014306</v>
      </c>
      <c r="S78" s="37">
        <v>74521.227694503905</v>
      </c>
      <c r="T78" s="40">
        <v>30000</v>
      </c>
      <c r="U78" s="37">
        <v>865518.08873720095</v>
      </c>
      <c r="V78" s="37">
        <v>0</v>
      </c>
      <c r="W78" s="45">
        <v>2004597.75183499</v>
      </c>
      <c r="X78" s="46">
        <v>4.8046449585793498</v>
      </c>
    </row>
    <row r="79" spans="1:24">
      <c r="A79" s="28" t="s">
        <v>63</v>
      </c>
      <c r="B79" s="29">
        <v>3169.6</v>
      </c>
      <c r="C79" s="30" t="s">
        <v>308</v>
      </c>
      <c r="D79" s="2">
        <v>4945438001</v>
      </c>
      <c r="E79" s="2" t="s">
        <v>14</v>
      </c>
      <c r="F79" s="78" t="s">
        <v>309</v>
      </c>
      <c r="G79" s="28" t="s">
        <v>9</v>
      </c>
      <c r="H79" s="2" t="s">
        <v>23</v>
      </c>
      <c r="I79" s="2">
        <v>19</v>
      </c>
      <c r="J79" s="2"/>
      <c r="K79" s="2">
        <v>6581.6</v>
      </c>
      <c r="L79" s="35">
        <v>20861039.359999999</v>
      </c>
      <c r="M79" s="36">
        <v>1520</v>
      </c>
      <c r="N79" s="37">
        <v>282863.645967166</v>
      </c>
      <c r="O79" s="37">
        <v>1044.4710920770899</v>
      </c>
      <c r="P79" s="37">
        <v>167080.439685939</v>
      </c>
      <c r="Q79" s="37">
        <v>25134.246966452502</v>
      </c>
      <c r="R79" s="37">
        <v>41156.413990007102</v>
      </c>
      <c r="S79" s="37">
        <v>37260.613847252003</v>
      </c>
      <c r="T79" s="40">
        <v>30000</v>
      </c>
      <c r="U79" s="37">
        <v>432759.044368601</v>
      </c>
      <c r="V79" s="37">
        <v>0</v>
      </c>
      <c r="W79" s="45">
        <v>1017298.87591749</v>
      </c>
      <c r="X79" s="46">
        <v>4.8765493337216697</v>
      </c>
    </row>
    <row r="80" spans="1:24">
      <c r="A80" s="28" t="s">
        <v>63</v>
      </c>
      <c r="B80" s="29">
        <v>3169.6</v>
      </c>
      <c r="C80" s="30" t="s">
        <v>308</v>
      </c>
      <c r="D80" s="2">
        <v>4947199011</v>
      </c>
      <c r="E80" s="2" t="s">
        <v>14</v>
      </c>
      <c r="F80" s="78" t="s">
        <v>309</v>
      </c>
      <c r="G80" s="28" t="s">
        <v>9</v>
      </c>
      <c r="H80" s="2" t="s">
        <v>23</v>
      </c>
      <c r="I80" s="2">
        <v>19</v>
      </c>
      <c r="J80" s="2"/>
      <c r="K80" s="2">
        <v>5535</v>
      </c>
      <c r="L80" s="35">
        <v>17543736</v>
      </c>
      <c r="M80" s="36">
        <v>1350</v>
      </c>
      <c r="N80" s="37">
        <v>251227.580299786</v>
      </c>
      <c r="O80" s="37">
        <v>927.65524625267699</v>
      </c>
      <c r="P80" s="37">
        <v>148393.811563169</v>
      </c>
      <c r="Q80" s="37">
        <v>22323.1798715203</v>
      </c>
      <c r="R80" s="37">
        <v>36553.394004282702</v>
      </c>
      <c r="S80" s="37">
        <v>33093.3083511777</v>
      </c>
      <c r="T80" s="40">
        <v>30000</v>
      </c>
      <c r="U80" s="37">
        <v>384358.361774744</v>
      </c>
      <c r="V80" s="37">
        <v>0</v>
      </c>
      <c r="W80" s="45">
        <v>906877.29111093201</v>
      </c>
      <c r="X80" s="46">
        <v>5.1692369921146399</v>
      </c>
    </row>
    <row r="81" spans="1:24">
      <c r="A81" s="28" t="s">
        <v>63</v>
      </c>
      <c r="B81" s="29">
        <v>3169.6</v>
      </c>
      <c r="C81" s="30" t="s">
        <v>308</v>
      </c>
      <c r="D81" s="2">
        <v>4947199010</v>
      </c>
      <c r="E81" s="2" t="s">
        <v>14</v>
      </c>
      <c r="F81" s="78" t="s">
        <v>309</v>
      </c>
      <c r="G81" s="28" t="s">
        <v>9</v>
      </c>
      <c r="H81" s="2" t="s">
        <v>23</v>
      </c>
      <c r="I81" s="2">
        <v>19</v>
      </c>
      <c r="J81" s="2"/>
      <c r="K81" s="2">
        <v>10206</v>
      </c>
      <c r="L81" s="35">
        <v>32348937.600000001</v>
      </c>
      <c r="M81" s="36">
        <v>2100</v>
      </c>
      <c r="N81" s="37">
        <v>390798.45824411098</v>
      </c>
      <c r="O81" s="37">
        <v>1443.0192719486099</v>
      </c>
      <c r="P81" s="37">
        <v>230834.817987152</v>
      </c>
      <c r="Q81" s="37">
        <v>34724.946466809401</v>
      </c>
      <c r="R81" s="37">
        <v>56860.835117773</v>
      </c>
      <c r="S81" s="37">
        <v>51478.479657387601</v>
      </c>
      <c r="T81" s="40">
        <v>30000</v>
      </c>
      <c r="U81" s="37">
        <v>597890.78498293494</v>
      </c>
      <c r="V81" s="37">
        <v>0</v>
      </c>
      <c r="W81" s="45">
        <v>1394031.3417281201</v>
      </c>
      <c r="X81" s="46">
        <v>4.3093574168201298</v>
      </c>
    </row>
    <row r="82" spans="1:24">
      <c r="A82" s="28" t="s">
        <v>63</v>
      </c>
      <c r="B82" s="29">
        <v>3169.6</v>
      </c>
      <c r="C82" s="30" t="s">
        <v>310</v>
      </c>
      <c r="D82" s="2">
        <v>4946948902</v>
      </c>
      <c r="E82" s="2" t="s">
        <v>14</v>
      </c>
      <c r="F82" s="2" t="s">
        <v>311</v>
      </c>
      <c r="G82" s="28" t="s">
        <v>9</v>
      </c>
      <c r="H82" s="2" t="s">
        <v>23</v>
      </c>
      <c r="I82" s="2">
        <v>1</v>
      </c>
      <c r="J82" s="2"/>
      <c r="K82" s="2">
        <v>1658.25</v>
      </c>
      <c r="L82" s="35">
        <v>5255989.2</v>
      </c>
      <c r="M82" s="36">
        <v>75</v>
      </c>
      <c r="N82" s="37">
        <v>1152679</v>
      </c>
      <c r="O82" s="37">
        <v>64</v>
      </c>
      <c r="P82" s="37">
        <v>1366</v>
      </c>
      <c r="Q82" s="37">
        <v>1629</v>
      </c>
      <c r="R82" s="37">
        <v>83975</v>
      </c>
      <c r="S82" s="37">
        <v>343435</v>
      </c>
      <c r="T82" s="40">
        <v>30000</v>
      </c>
      <c r="U82" s="37">
        <v>33358.536585365902</v>
      </c>
      <c r="V82" s="37">
        <v>0</v>
      </c>
      <c r="W82" s="45">
        <v>1646506.5365853701</v>
      </c>
      <c r="X82" s="46">
        <v>31.326292234112</v>
      </c>
    </row>
    <row r="83" spans="1:24">
      <c r="A83" s="28" t="s">
        <v>63</v>
      </c>
      <c r="B83" s="29">
        <v>3169.6</v>
      </c>
      <c r="C83" s="30" t="s">
        <v>312</v>
      </c>
      <c r="D83" s="2">
        <v>4947223497</v>
      </c>
      <c r="E83" s="2" t="s">
        <v>14</v>
      </c>
      <c r="F83" s="78" t="s">
        <v>313</v>
      </c>
      <c r="G83" s="28" t="s">
        <v>5</v>
      </c>
      <c r="H83" s="2" t="s">
        <v>26</v>
      </c>
      <c r="I83" s="2">
        <v>1</v>
      </c>
      <c r="J83" s="2" t="s">
        <v>314</v>
      </c>
      <c r="K83" s="2">
        <v>30521.599999999999</v>
      </c>
      <c r="L83" s="35">
        <v>96741263.359999999</v>
      </c>
      <c r="M83" s="36">
        <v>20080</v>
      </c>
      <c r="N83" s="37">
        <v>324197</v>
      </c>
      <c r="O83" s="37">
        <v>390324</v>
      </c>
      <c r="P83" s="37">
        <v>832105</v>
      </c>
      <c r="Q83" s="37">
        <v>99309</v>
      </c>
      <c r="R83" s="37">
        <v>761707</v>
      </c>
      <c r="S83" s="37">
        <v>343435</v>
      </c>
      <c r="T83" s="40">
        <v>30000</v>
      </c>
      <c r="U83" s="37">
        <v>0</v>
      </c>
      <c r="V83" s="37">
        <v>0</v>
      </c>
      <c r="W83" s="45">
        <v>2781077</v>
      </c>
      <c r="X83" s="46">
        <v>2.8747577852594999</v>
      </c>
    </row>
    <row r="84" spans="1:24">
      <c r="A84" s="28" t="s">
        <v>63</v>
      </c>
      <c r="B84" s="29">
        <v>3169.6</v>
      </c>
      <c r="C84" s="30" t="s">
        <v>318</v>
      </c>
      <c r="D84" s="2">
        <v>4947106840</v>
      </c>
      <c r="E84" s="2" t="s">
        <v>14</v>
      </c>
      <c r="F84" s="2" t="s">
        <v>319</v>
      </c>
      <c r="G84" s="28" t="s">
        <v>5</v>
      </c>
      <c r="H84" s="2" t="s">
        <v>17</v>
      </c>
      <c r="I84" s="2">
        <v>1</v>
      </c>
      <c r="J84" s="2" t="s">
        <v>320</v>
      </c>
      <c r="K84" s="2">
        <v>4790</v>
      </c>
      <c r="L84" s="35">
        <v>15182384</v>
      </c>
      <c r="M84" s="36">
        <v>1000</v>
      </c>
      <c r="N84" s="37">
        <v>36036.887921654001</v>
      </c>
      <c r="O84" s="37">
        <v>45567.791077257898</v>
      </c>
      <c r="P84" s="37">
        <v>0</v>
      </c>
      <c r="Q84" s="37">
        <v>10806.2023939064</v>
      </c>
      <c r="R84" s="37">
        <v>72266.571273123001</v>
      </c>
      <c r="S84" s="37">
        <v>37370.5114254625</v>
      </c>
      <c r="T84" s="40">
        <v>30000</v>
      </c>
      <c r="U84" s="37">
        <v>441137.10554950999</v>
      </c>
      <c r="V84" s="37">
        <v>0</v>
      </c>
      <c r="W84" s="45">
        <v>673185.06964091398</v>
      </c>
      <c r="X84" s="46">
        <v>4.4339879009838903</v>
      </c>
    </row>
    <row r="85" spans="1:24">
      <c r="A85" s="28" t="s">
        <v>63</v>
      </c>
      <c r="B85" s="29">
        <v>3169.6</v>
      </c>
      <c r="C85" s="30" t="s">
        <v>318</v>
      </c>
      <c r="D85" s="2">
        <v>4947705169</v>
      </c>
      <c r="E85" s="2" t="s">
        <v>14</v>
      </c>
      <c r="F85" s="2" t="s">
        <v>319</v>
      </c>
      <c r="G85" s="28" t="s">
        <v>5</v>
      </c>
      <c r="H85" s="2" t="s">
        <v>17</v>
      </c>
      <c r="I85" s="2">
        <v>1</v>
      </c>
      <c r="J85" s="2" t="s">
        <v>320</v>
      </c>
      <c r="K85" s="2">
        <v>8100</v>
      </c>
      <c r="L85" s="35">
        <v>25673760</v>
      </c>
      <c r="M85" s="36">
        <v>540</v>
      </c>
      <c r="N85" s="37">
        <v>19459.9194776931</v>
      </c>
      <c r="O85" s="37">
        <v>24606.607181719301</v>
      </c>
      <c r="P85" s="37">
        <v>0</v>
      </c>
      <c r="Q85" s="37">
        <v>5835.3492927094703</v>
      </c>
      <c r="R85" s="37">
        <v>39024.8084874864</v>
      </c>
      <c r="S85" s="37">
        <v>20180.0761697497</v>
      </c>
      <c r="T85" s="40">
        <v>30000</v>
      </c>
      <c r="U85" s="37">
        <v>238214.03699673599</v>
      </c>
      <c r="V85" s="37">
        <v>0</v>
      </c>
      <c r="W85" s="45">
        <v>377320.79760609398</v>
      </c>
      <c r="X85" s="46">
        <v>1.46967486494418</v>
      </c>
    </row>
    <row r="86" spans="1:24">
      <c r="A86" s="28" t="s">
        <v>63</v>
      </c>
      <c r="B86" s="29">
        <v>3169.6</v>
      </c>
      <c r="C86" s="30" t="s">
        <v>318</v>
      </c>
      <c r="D86" s="2">
        <v>4947737193</v>
      </c>
      <c r="E86" s="2" t="s">
        <v>14</v>
      </c>
      <c r="F86" s="2" t="s">
        <v>319</v>
      </c>
      <c r="G86" s="28" t="s">
        <v>5</v>
      </c>
      <c r="H86" s="2" t="s">
        <v>17</v>
      </c>
      <c r="I86" s="2">
        <v>1</v>
      </c>
      <c r="J86" s="2" t="s">
        <v>320</v>
      </c>
      <c r="K86" s="2">
        <v>81576</v>
      </c>
      <c r="L86" s="35">
        <v>258563289.59999999</v>
      </c>
      <c r="M86" s="36">
        <v>1440</v>
      </c>
      <c r="N86" s="37">
        <v>51893.118607181699</v>
      </c>
      <c r="O86" s="37">
        <v>65617.619151251405</v>
      </c>
      <c r="P86" s="37">
        <v>0</v>
      </c>
      <c r="Q86" s="37">
        <v>15560.931447225201</v>
      </c>
      <c r="R86" s="37">
        <v>104064.82263329699</v>
      </c>
      <c r="S86" s="37">
        <v>53813.536452665903</v>
      </c>
      <c r="T86" s="40">
        <v>30000</v>
      </c>
      <c r="U86" s="37">
        <v>635237.43199129496</v>
      </c>
      <c r="V86" s="37">
        <v>0</v>
      </c>
      <c r="W86" s="45">
        <v>956187.46028291597</v>
      </c>
      <c r="X86" s="46">
        <v>0.36980789568470801</v>
      </c>
    </row>
    <row r="87" spans="1:24">
      <c r="A87" s="28" t="s">
        <v>63</v>
      </c>
      <c r="B87" s="29">
        <v>3169.6</v>
      </c>
      <c r="C87" s="30" t="s">
        <v>318</v>
      </c>
      <c r="D87" s="2">
        <v>4947705169</v>
      </c>
      <c r="E87" s="2" t="s">
        <v>14</v>
      </c>
      <c r="F87" s="2" t="s">
        <v>319</v>
      </c>
      <c r="G87" s="28" t="s">
        <v>5</v>
      </c>
      <c r="H87" s="2" t="s">
        <v>17</v>
      </c>
      <c r="I87" s="2">
        <v>1</v>
      </c>
      <c r="J87" s="2" t="s">
        <v>320</v>
      </c>
      <c r="K87" s="2">
        <v>18060</v>
      </c>
      <c r="L87" s="35">
        <v>57242976</v>
      </c>
      <c r="M87" s="36">
        <v>6000</v>
      </c>
      <c r="N87" s="37">
        <v>216221.32752992399</v>
      </c>
      <c r="O87" s="37">
        <v>273406.746463547</v>
      </c>
      <c r="P87" s="37">
        <v>0</v>
      </c>
      <c r="Q87" s="37">
        <v>64837.214363438499</v>
      </c>
      <c r="R87" s="37">
        <v>433603.42763873801</v>
      </c>
      <c r="S87" s="37">
        <v>224223.06855277499</v>
      </c>
      <c r="T87" s="40">
        <v>30000</v>
      </c>
      <c r="U87" s="37">
        <v>2646822.6332970602</v>
      </c>
      <c r="V87" s="37">
        <v>0</v>
      </c>
      <c r="W87" s="45">
        <v>3889114.4178454801</v>
      </c>
      <c r="X87" s="46">
        <v>6.7940465182059802</v>
      </c>
    </row>
    <row r="88" spans="1:24">
      <c r="A88" s="28" t="s">
        <v>63</v>
      </c>
      <c r="B88" s="29">
        <v>3169.6</v>
      </c>
      <c r="C88" s="30" t="s">
        <v>318</v>
      </c>
      <c r="D88" s="2">
        <v>4947513063</v>
      </c>
      <c r="E88" s="2" t="s">
        <v>14</v>
      </c>
      <c r="F88" s="2" t="s">
        <v>319</v>
      </c>
      <c r="G88" s="28" t="s">
        <v>5</v>
      </c>
      <c r="H88" s="2" t="s">
        <v>17</v>
      </c>
      <c r="I88" s="2">
        <v>1</v>
      </c>
      <c r="J88" s="2" t="s">
        <v>320</v>
      </c>
      <c r="K88" s="2">
        <v>2091.6</v>
      </c>
      <c r="L88" s="35">
        <v>6629535.3600000003</v>
      </c>
      <c r="M88" s="36">
        <v>210</v>
      </c>
      <c r="N88" s="37">
        <v>7567.7464635473298</v>
      </c>
      <c r="O88" s="37">
        <v>9569.2361262241593</v>
      </c>
      <c r="P88" s="37">
        <v>0</v>
      </c>
      <c r="Q88" s="37">
        <v>2269.3025027203498</v>
      </c>
      <c r="R88" s="37">
        <v>15176.3699673558</v>
      </c>
      <c r="S88" s="37">
        <v>7847.8073993471198</v>
      </c>
      <c r="T88" s="40">
        <v>30000</v>
      </c>
      <c r="U88" s="37">
        <v>92638.792165397201</v>
      </c>
      <c r="V88" s="37">
        <v>0</v>
      </c>
      <c r="W88" s="45">
        <v>165069.25462459199</v>
      </c>
      <c r="X88" s="46">
        <v>2.48990684355581</v>
      </c>
    </row>
    <row r="89" spans="1:24">
      <c r="A89" s="28" t="s">
        <v>63</v>
      </c>
      <c r="B89" s="29">
        <v>3169.6</v>
      </c>
      <c r="C89" s="30" t="s">
        <v>323</v>
      </c>
      <c r="D89" s="2">
        <v>4947562533</v>
      </c>
      <c r="E89" s="2" t="s">
        <v>14</v>
      </c>
      <c r="F89" s="78" t="s">
        <v>324</v>
      </c>
      <c r="G89" s="28" t="s">
        <v>9</v>
      </c>
      <c r="H89" s="2" t="s">
        <v>23</v>
      </c>
      <c r="I89" s="2">
        <v>6</v>
      </c>
      <c r="J89" s="2"/>
      <c r="K89" s="2">
        <v>74826</v>
      </c>
      <c r="L89" s="35">
        <v>237168489.59999999</v>
      </c>
      <c r="M89" s="36">
        <v>1800</v>
      </c>
      <c r="N89" s="37">
        <v>676814</v>
      </c>
      <c r="O89" s="37">
        <v>1365</v>
      </c>
      <c r="P89" s="37">
        <v>42542</v>
      </c>
      <c r="Q89" s="37">
        <v>32220</v>
      </c>
      <c r="R89" s="37">
        <v>117256</v>
      </c>
      <c r="S89" s="37">
        <v>343435</v>
      </c>
      <c r="T89" s="40">
        <v>30000</v>
      </c>
      <c r="U89" s="37">
        <v>1218798.7012986999</v>
      </c>
      <c r="V89" s="37">
        <v>1261522</v>
      </c>
      <c r="W89" s="45">
        <v>3723952.7012987002</v>
      </c>
      <c r="X89" s="46">
        <v>1.5701717827606001</v>
      </c>
    </row>
    <row r="90" spans="1:24">
      <c r="A90" s="28" t="s">
        <v>63</v>
      </c>
      <c r="B90" s="29">
        <v>3169.6</v>
      </c>
      <c r="C90" s="30" t="s">
        <v>330</v>
      </c>
      <c r="D90" s="2">
        <v>4947223494</v>
      </c>
      <c r="E90" s="2" t="s">
        <v>14</v>
      </c>
      <c r="F90" s="78" t="s">
        <v>331</v>
      </c>
      <c r="G90" s="28" t="s">
        <v>9</v>
      </c>
      <c r="H90" s="2" t="s">
        <v>23</v>
      </c>
      <c r="I90" s="2">
        <v>6</v>
      </c>
      <c r="J90" s="2"/>
      <c r="K90" s="2">
        <v>43410</v>
      </c>
      <c r="L90" s="35">
        <v>137592336</v>
      </c>
      <c r="M90" s="36">
        <v>3000</v>
      </c>
      <c r="N90" s="37">
        <v>777271.15384615399</v>
      </c>
      <c r="O90" s="37">
        <v>1980.76923076923</v>
      </c>
      <c r="P90" s="37">
        <v>0</v>
      </c>
      <c r="Q90" s="37">
        <v>48151.9230769231</v>
      </c>
      <c r="R90" s="37">
        <v>133883.65384615399</v>
      </c>
      <c r="S90" s="37">
        <v>330225.96153846203</v>
      </c>
      <c r="T90" s="40">
        <v>30000</v>
      </c>
      <c r="U90" s="37">
        <v>1955156.25</v>
      </c>
      <c r="V90" s="37">
        <v>0</v>
      </c>
      <c r="W90" s="45">
        <v>3276669.7115384601</v>
      </c>
      <c r="X90" s="46">
        <v>2.3814333027520198</v>
      </c>
    </row>
    <row r="91" spans="1:24">
      <c r="A91" s="28" t="s">
        <v>63</v>
      </c>
      <c r="B91" s="29">
        <v>3169.6</v>
      </c>
      <c r="C91" s="30" t="s">
        <v>330</v>
      </c>
      <c r="D91" s="2">
        <v>4947612635</v>
      </c>
      <c r="E91" s="2" t="s">
        <v>14</v>
      </c>
      <c r="F91" s="78" t="s">
        <v>331</v>
      </c>
      <c r="G91" s="28" t="s">
        <v>9</v>
      </c>
      <c r="H91" s="2" t="s">
        <v>23</v>
      </c>
      <c r="I91" s="2">
        <v>6</v>
      </c>
      <c r="J91" s="2"/>
      <c r="K91" s="2">
        <v>416.4</v>
      </c>
      <c r="L91" s="35">
        <v>1319821.44</v>
      </c>
      <c r="M91" s="36">
        <v>120</v>
      </c>
      <c r="N91" s="37">
        <v>31090.8461538462</v>
      </c>
      <c r="O91" s="37">
        <v>79.230769230769198</v>
      </c>
      <c r="P91" s="37">
        <v>0</v>
      </c>
      <c r="Q91" s="37">
        <v>1926.0769230769199</v>
      </c>
      <c r="R91" s="37">
        <v>5355.3461538461497</v>
      </c>
      <c r="S91" s="37">
        <v>13209.038461538499</v>
      </c>
      <c r="T91" s="40">
        <v>30000</v>
      </c>
      <c r="U91" s="37">
        <v>78206.25</v>
      </c>
      <c r="V91" s="37">
        <v>0</v>
      </c>
      <c r="W91" s="45">
        <v>159866.78846153899</v>
      </c>
      <c r="X91" s="46">
        <v>12.1127588639217</v>
      </c>
    </row>
    <row r="92" spans="1:24">
      <c r="A92" s="28" t="s">
        <v>63</v>
      </c>
      <c r="B92" s="29">
        <v>3169.6</v>
      </c>
      <c r="C92" s="30" t="s">
        <v>348</v>
      </c>
      <c r="D92" s="2">
        <v>4947463374</v>
      </c>
      <c r="E92" s="2" t="s">
        <v>14</v>
      </c>
      <c r="F92" s="78" t="s">
        <v>349</v>
      </c>
      <c r="G92" s="28" t="s">
        <v>5</v>
      </c>
      <c r="H92" s="2" t="s">
        <v>20</v>
      </c>
      <c r="I92" s="2">
        <v>1</v>
      </c>
      <c r="J92" s="2" t="s">
        <v>350</v>
      </c>
      <c r="K92" s="2">
        <v>14256</v>
      </c>
      <c r="L92" s="35">
        <v>45185817.600000001</v>
      </c>
      <c r="M92" s="36">
        <v>6600</v>
      </c>
      <c r="N92" s="37">
        <v>398959</v>
      </c>
      <c r="O92" s="37">
        <v>270102.46153846203</v>
      </c>
      <c r="P92" s="37">
        <v>494329</v>
      </c>
      <c r="Q92" s="37">
        <v>84030.692307692298</v>
      </c>
      <c r="R92" s="37">
        <v>535776.38461538497</v>
      </c>
      <c r="S92" s="37">
        <v>290598.84615384601</v>
      </c>
      <c r="T92" s="40">
        <v>30000</v>
      </c>
      <c r="U92" s="37">
        <v>1793000</v>
      </c>
      <c r="V92" s="37">
        <v>0</v>
      </c>
      <c r="W92" s="45">
        <v>3896796.3846153799</v>
      </c>
      <c r="X92" s="46">
        <v>8.6239368713234992</v>
      </c>
    </row>
    <row r="93" spans="1:24">
      <c r="A93" s="28" t="s">
        <v>63</v>
      </c>
      <c r="B93" s="29">
        <v>3169.6</v>
      </c>
      <c r="C93" s="30" t="s">
        <v>354</v>
      </c>
      <c r="D93" s="2">
        <v>4947162563</v>
      </c>
      <c r="E93" s="2" t="s">
        <v>14</v>
      </c>
      <c r="F93" s="78" t="s">
        <v>355</v>
      </c>
      <c r="G93" s="28" t="s">
        <v>5</v>
      </c>
      <c r="H93" s="2" t="s">
        <v>20</v>
      </c>
      <c r="I93" s="2">
        <v>1</v>
      </c>
      <c r="J93" s="2" t="s">
        <v>356</v>
      </c>
      <c r="K93" s="2">
        <v>19866</v>
      </c>
      <c r="L93" s="35">
        <v>62967273.600000001</v>
      </c>
      <c r="M93" s="36">
        <v>8600</v>
      </c>
      <c r="N93" s="37">
        <v>331180</v>
      </c>
      <c r="O93" s="37">
        <v>319212</v>
      </c>
      <c r="P93" s="37">
        <v>216370</v>
      </c>
      <c r="Q93" s="37">
        <v>99309</v>
      </c>
      <c r="R93" s="37">
        <v>550317</v>
      </c>
      <c r="S93" s="37">
        <v>343435</v>
      </c>
      <c r="T93" s="40">
        <v>30000</v>
      </c>
      <c r="U93" s="37">
        <v>2601700</v>
      </c>
      <c r="V93" s="37">
        <v>0</v>
      </c>
      <c r="W93" s="45">
        <v>4491523</v>
      </c>
      <c r="X93" s="46">
        <v>7.1331069986171398</v>
      </c>
    </row>
    <row r="94" spans="1:24">
      <c r="A94" s="28" t="s">
        <v>63</v>
      </c>
      <c r="B94" s="29">
        <v>3169.6</v>
      </c>
      <c r="C94" s="30" t="s">
        <v>357</v>
      </c>
      <c r="D94" s="2">
        <v>4947915818</v>
      </c>
      <c r="E94" s="2" t="s">
        <v>14</v>
      </c>
      <c r="F94" s="2" t="s">
        <v>358</v>
      </c>
      <c r="G94" s="28" t="s">
        <v>5</v>
      </c>
      <c r="H94" s="2" t="s">
        <v>17</v>
      </c>
      <c r="I94" s="2">
        <v>1</v>
      </c>
      <c r="J94" s="2" t="s">
        <v>359</v>
      </c>
      <c r="K94" s="2">
        <v>54180</v>
      </c>
      <c r="L94" s="35">
        <v>171728928</v>
      </c>
      <c r="M94" s="36">
        <v>18000</v>
      </c>
      <c r="N94" s="37">
        <v>334051</v>
      </c>
      <c r="O94" s="37">
        <v>418768</v>
      </c>
      <c r="P94" s="37">
        <v>0</v>
      </c>
      <c r="Q94" s="37">
        <v>99309</v>
      </c>
      <c r="R94" s="37">
        <v>655899</v>
      </c>
      <c r="S94" s="37">
        <v>343435</v>
      </c>
      <c r="T94" s="40">
        <v>30000</v>
      </c>
      <c r="U94" s="37">
        <v>4781550</v>
      </c>
      <c r="V94" s="37">
        <v>0</v>
      </c>
      <c r="W94" s="45">
        <v>6663012</v>
      </c>
      <c r="X94" s="46">
        <v>3.8799590014327698</v>
      </c>
    </row>
    <row r="95" spans="1:24">
      <c r="A95" s="28" t="s">
        <v>63</v>
      </c>
      <c r="B95" s="29">
        <v>3169.6</v>
      </c>
      <c r="C95" s="30" t="s">
        <v>363</v>
      </c>
      <c r="D95" s="2">
        <v>4947219352</v>
      </c>
      <c r="E95" s="2" t="s">
        <v>14</v>
      </c>
      <c r="F95" s="78" t="s">
        <v>364</v>
      </c>
      <c r="G95" s="28" t="s">
        <v>9</v>
      </c>
      <c r="H95" s="2" t="s">
        <v>23</v>
      </c>
      <c r="I95" s="2">
        <v>1</v>
      </c>
      <c r="J95" s="2"/>
      <c r="K95" s="2">
        <v>2552</v>
      </c>
      <c r="L95" s="35">
        <v>8088819.2000000002</v>
      </c>
      <c r="M95" s="36">
        <v>800</v>
      </c>
      <c r="N95" s="37">
        <v>495000</v>
      </c>
      <c r="O95" s="37">
        <v>559</v>
      </c>
      <c r="P95" s="37">
        <v>46624</v>
      </c>
      <c r="Q95" s="37">
        <v>13103</v>
      </c>
      <c r="R95" s="37">
        <v>91837</v>
      </c>
      <c r="S95" s="37">
        <v>343435</v>
      </c>
      <c r="T95" s="40">
        <v>30000</v>
      </c>
      <c r="U95" s="37">
        <v>521375</v>
      </c>
      <c r="V95" s="37">
        <v>0</v>
      </c>
      <c r="W95" s="45">
        <v>1541933</v>
      </c>
      <c r="X95" s="46">
        <v>19.0625227474487</v>
      </c>
    </row>
    <row r="96" spans="1:24">
      <c r="A96" s="28" t="s">
        <v>63</v>
      </c>
      <c r="B96" s="29">
        <v>3169.6</v>
      </c>
      <c r="C96" s="30" t="s">
        <v>365</v>
      </c>
      <c r="D96" s="2">
        <v>4947642968</v>
      </c>
      <c r="E96" s="2" t="s">
        <v>14</v>
      </c>
      <c r="F96" s="78" t="s">
        <v>366</v>
      </c>
      <c r="G96" s="28" t="s">
        <v>9</v>
      </c>
      <c r="H96" s="2" t="s">
        <v>23</v>
      </c>
      <c r="I96" s="2">
        <v>1</v>
      </c>
      <c r="J96" s="2"/>
      <c r="K96" s="2">
        <v>277.60000000000002</v>
      </c>
      <c r="L96" s="35">
        <v>879880.96</v>
      </c>
      <c r="M96" s="36">
        <v>80</v>
      </c>
      <c r="N96" s="37">
        <v>448631</v>
      </c>
      <c r="O96" s="37">
        <v>63</v>
      </c>
      <c r="P96" s="37">
        <v>0</v>
      </c>
      <c r="Q96" s="37">
        <v>1660</v>
      </c>
      <c r="R96" s="37">
        <v>81184</v>
      </c>
      <c r="S96" s="37">
        <v>343435</v>
      </c>
      <c r="T96" s="40">
        <v>30000</v>
      </c>
      <c r="U96" s="37">
        <v>52137.5</v>
      </c>
      <c r="V96" s="37">
        <v>0</v>
      </c>
      <c r="W96" s="45">
        <v>957110.5</v>
      </c>
      <c r="X96" s="46">
        <v>108.77727141635199</v>
      </c>
    </row>
    <row r="97" spans="1:24">
      <c r="A97" s="28" t="s">
        <v>63</v>
      </c>
      <c r="B97" s="29">
        <v>3169.6</v>
      </c>
      <c r="C97" s="30" t="s">
        <v>370</v>
      </c>
      <c r="D97" s="2">
        <v>4947381259</v>
      </c>
      <c r="E97" s="2" t="s">
        <v>14</v>
      </c>
      <c r="F97" s="78" t="s">
        <v>371</v>
      </c>
      <c r="G97" s="28" t="s">
        <v>9</v>
      </c>
      <c r="H97" s="2" t="s">
        <v>23</v>
      </c>
      <c r="I97" s="2">
        <v>17</v>
      </c>
      <c r="J97" s="2"/>
      <c r="K97" s="2">
        <v>2772</v>
      </c>
      <c r="L97" s="35">
        <v>8786131.1999999993</v>
      </c>
      <c r="M97" s="36">
        <v>900</v>
      </c>
      <c r="N97" s="37">
        <v>209256.80880330101</v>
      </c>
      <c r="O97" s="37">
        <v>637.221458046767</v>
      </c>
      <c r="P97" s="37">
        <v>24334.002751031599</v>
      </c>
      <c r="Q97" s="37">
        <v>18744.841815680898</v>
      </c>
      <c r="R97" s="37">
        <v>29962.861072902298</v>
      </c>
      <c r="S97" s="37">
        <v>28344.016506189801</v>
      </c>
      <c r="T97" s="40">
        <v>30000</v>
      </c>
      <c r="U97" s="37">
        <v>604492.75362318801</v>
      </c>
      <c r="V97" s="37">
        <v>0</v>
      </c>
      <c r="W97" s="45">
        <v>945772.50603033998</v>
      </c>
      <c r="X97" s="46">
        <v>10.764379503351099</v>
      </c>
    </row>
    <row r="98" spans="1:24">
      <c r="A98" s="28" t="s">
        <v>63</v>
      </c>
      <c r="B98" s="29">
        <v>3169.6</v>
      </c>
      <c r="C98" s="30" t="s">
        <v>370</v>
      </c>
      <c r="D98" s="2">
        <v>4947562540</v>
      </c>
      <c r="E98" s="2" t="s">
        <v>14</v>
      </c>
      <c r="F98" s="78" t="s">
        <v>371</v>
      </c>
      <c r="G98" s="28" t="s">
        <v>9</v>
      </c>
      <c r="H98" s="2" t="s">
        <v>23</v>
      </c>
      <c r="I98" s="2">
        <v>17</v>
      </c>
      <c r="J98" s="2"/>
      <c r="K98" s="2">
        <v>4368</v>
      </c>
      <c r="L98" s="35">
        <v>13844812.800000001</v>
      </c>
      <c r="M98" s="36">
        <v>1680</v>
      </c>
      <c r="N98" s="37">
        <v>390612.70976616198</v>
      </c>
      <c r="O98" s="37">
        <v>1189.4800550206301</v>
      </c>
      <c r="P98" s="37">
        <v>45423.471801925698</v>
      </c>
      <c r="Q98" s="37">
        <v>34990.371389271</v>
      </c>
      <c r="R98" s="37">
        <v>55930.674002751002</v>
      </c>
      <c r="S98" s="37">
        <v>52908.830811554297</v>
      </c>
      <c r="T98" s="40">
        <v>30000</v>
      </c>
      <c r="U98" s="37">
        <v>1128386.47342995</v>
      </c>
      <c r="V98" s="37">
        <v>0</v>
      </c>
      <c r="W98" s="45">
        <v>1739442.0112566301</v>
      </c>
      <c r="X98" s="46">
        <v>12.563853599065199</v>
      </c>
    </row>
    <row r="99" spans="1:24">
      <c r="A99" s="28" t="s">
        <v>63</v>
      </c>
      <c r="B99" s="29">
        <v>3169.6</v>
      </c>
      <c r="C99" s="30" t="s">
        <v>370</v>
      </c>
      <c r="D99" s="2">
        <v>4946737925</v>
      </c>
      <c r="E99" s="2" t="s">
        <v>14</v>
      </c>
      <c r="F99" s="78" t="s">
        <v>371</v>
      </c>
      <c r="G99" s="28" t="s">
        <v>9</v>
      </c>
      <c r="H99" s="2" t="s">
        <v>23</v>
      </c>
      <c r="I99" s="2">
        <v>17</v>
      </c>
      <c r="J99" s="2"/>
      <c r="K99" s="2">
        <v>14196</v>
      </c>
      <c r="L99" s="35">
        <v>44995641.600000001</v>
      </c>
      <c r="M99" s="36">
        <v>7800</v>
      </c>
      <c r="N99" s="37">
        <v>122066.471801926</v>
      </c>
      <c r="O99" s="37">
        <v>5522.5859697386504</v>
      </c>
      <c r="P99" s="37">
        <v>14194.8349381018</v>
      </c>
      <c r="Q99" s="37">
        <v>162455.29573590099</v>
      </c>
      <c r="R99" s="37">
        <v>17478.335625859701</v>
      </c>
      <c r="S99" s="37">
        <v>16534.0096286107</v>
      </c>
      <c r="T99" s="40">
        <v>30000</v>
      </c>
      <c r="U99" s="37">
        <v>352620.77294686</v>
      </c>
      <c r="V99" s="37">
        <v>0</v>
      </c>
      <c r="W99" s="45">
        <v>720872.30664699804</v>
      </c>
      <c r="X99" s="46">
        <v>1.6020936273236701</v>
      </c>
    </row>
    <row r="100" spans="1:24">
      <c r="A100" s="28" t="s">
        <v>63</v>
      </c>
      <c r="B100" s="29">
        <v>3169.6</v>
      </c>
      <c r="C100" s="30" t="s">
        <v>370</v>
      </c>
      <c r="D100" s="2">
        <v>4947562531</v>
      </c>
      <c r="E100" s="2" t="s">
        <v>14</v>
      </c>
      <c r="F100" s="78" t="s">
        <v>371</v>
      </c>
      <c r="G100" s="28" t="s">
        <v>9</v>
      </c>
      <c r="H100" s="2" t="s">
        <v>23</v>
      </c>
      <c r="I100" s="2">
        <v>17</v>
      </c>
      <c r="J100" s="2"/>
      <c r="K100" s="2">
        <v>1816.5</v>
      </c>
      <c r="L100" s="35">
        <v>5757578.4000000004</v>
      </c>
      <c r="M100" s="36">
        <v>525</v>
      </c>
      <c r="N100" s="37">
        <v>1813559.00962861</v>
      </c>
      <c r="O100" s="37">
        <v>371.71251719394797</v>
      </c>
      <c r="P100" s="37">
        <v>210894.69050894101</v>
      </c>
      <c r="Q100" s="37">
        <v>10934.4910591472</v>
      </c>
      <c r="R100" s="37">
        <v>259678.12929848701</v>
      </c>
      <c r="S100" s="37">
        <v>245648.14305364501</v>
      </c>
      <c r="T100" s="40">
        <v>30000</v>
      </c>
      <c r="U100" s="37">
        <v>2085500</v>
      </c>
      <c r="V100" s="37">
        <v>0</v>
      </c>
      <c r="W100" s="45">
        <v>4656586.1760660196</v>
      </c>
      <c r="X100" s="46">
        <v>80.877512255256903</v>
      </c>
    </row>
    <row r="101" spans="1:24">
      <c r="A101" s="28" t="s">
        <v>63</v>
      </c>
      <c r="B101" s="29">
        <v>3169.6</v>
      </c>
      <c r="C101" s="30" t="s">
        <v>404</v>
      </c>
      <c r="D101" s="2">
        <v>4947273658</v>
      </c>
      <c r="E101" s="2" t="s">
        <v>14</v>
      </c>
      <c r="F101" s="78" t="s">
        <v>405</v>
      </c>
      <c r="G101" s="28" t="s">
        <v>9</v>
      </c>
      <c r="H101" s="2" t="s">
        <v>23</v>
      </c>
      <c r="I101" s="2">
        <v>1</v>
      </c>
      <c r="J101" s="2"/>
      <c r="K101" s="2">
        <v>800</v>
      </c>
      <c r="L101" s="35">
        <v>2535680</v>
      </c>
      <c r="M101" s="36">
        <v>800</v>
      </c>
      <c r="N101" s="37">
        <v>661652</v>
      </c>
      <c r="O101" s="37">
        <v>550</v>
      </c>
      <c r="P101" s="37">
        <v>88080</v>
      </c>
      <c r="Q101" s="37">
        <v>13157</v>
      </c>
      <c r="R101" s="37">
        <v>94420</v>
      </c>
      <c r="S101" s="37">
        <v>343435</v>
      </c>
      <c r="T101" s="40">
        <v>30000</v>
      </c>
      <c r="U101" s="37">
        <v>415550</v>
      </c>
      <c r="V101" s="37">
        <v>0</v>
      </c>
      <c r="W101" s="45">
        <v>1646844</v>
      </c>
      <c r="X101" s="46">
        <v>64.946838717819304</v>
      </c>
    </row>
    <row r="102" spans="1:24">
      <c r="A102" s="28" t="s">
        <v>63</v>
      </c>
      <c r="B102" s="29">
        <v>3169.6</v>
      </c>
      <c r="C102" s="30" t="s">
        <v>409</v>
      </c>
      <c r="D102" s="2">
        <v>4947002348</v>
      </c>
      <c r="E102" s="2" t="s">
        <v>14</v>
      </c>
      <c r="F102" s="2" t="s">
        <v>410</v>
      </c>
      <c r="G102" s="28" t="s">
        <v>5</v>
      </c>
      <c r="H102" s="2" t="s">
        <v>26</v>
      </c>
      <c r="I102" s="2">
        <v>1</v>
      </c>
      <c r="J102" s="2" t="s">
        <v>411</v>
      </c>
      <c r="K102" s="2">
        <v>30460.799999999999</v>
      </c>
      <c r="L102" s="35">
        <v>96548551.680000007</v>
      </c>
      <c r="M102" s="36">
        <v>20040</v>
      </c>
      <c r="N102" s="37">
        <v>331179</v>
      </c>
      <c r="O102" s="37">
        <v>390324</v>
      </c>
      <c r="P102" s="37">
        <v>386376</v>
      </c>
      <c r="Q102" s="37">
        <v>99309</v>
      </c>
      <c r="R102" s="37">
        <v>621807</v>
      </c>
      <c r="S102" s="37">
        <v>343435</v>
      </c>
      <c r="T102" s="40">
        <v>30000</v>
      </c>
      <c r="U102" s="37">
        <v>0</v>
      </c>
      <c r="V102" s="37">
        <v>0</v>
      </c>
      <c r="W102" s="45">
        <v>2202430</v>
      </c>
      <c r="X102" s="46">
        <v>2.2811631678326201</v>
      </c>
    </row>
    <row r="103" spans="1:24">
      <c r="A103" s="28" t="s">
        <v>63</v>
      </c>
      <c r="B103" s="29">
        <v>3169.6</v>
      </c>
      <c r="C103" s="30" t="s">
        <v>412</v>
      </c>
      <c r="D103" s="2">
        <v>4948037014</v>
      </c>
      <c r="E103" s="2" t="s">
        <v>14</v>
      </c>
      <c r="F103" s="2" t="s">
        <v>413</v>
      </c>
      <c r="G103" s="28" t="s">
        <v>5</v>
      </c>
      <c r="H103" s="2" t="s">
        <v>35</v>
      </c>
      <c r="I103" s="2">
        <v>1</v>
      </c>
      <c r="J103" s="2" t="s">
        <v>414</v>
      </c>
      <c r="K103" s="2">
        <v>3708</v>
      </c>
      <c r="L103" s="35">
        <v>11752876.800000001</v>
      </c>
      <c r="M103" s="36">
        <v>3600</v>
      </c>
      <c r="N103" s="40">
        <v>131655.66371681399</v>
      </c>
      <c r="O103" s="37">
        <v>164401.327433628</v>
      </c>
      <c r="P103" s="37">
        <v>0</v>
      </c>
      <c r="Q103" s="37">
        <v>39547.831858407102</v>
      </c>
      <c r="R103" s="40">
        <v>490617.34513274301</v>
      </c>
      <c r="S103" s="40">
        <v>136766.15044247801</v>
      </c>
      <c r="T103" s="40">
        <v>30000</v>
      </c>
      <c r="U103" s="40">
        <v>1960904.86725664</v>
      </c>
      <c r="V103" s="40">
        <v>502376.01769911498</v>
      </c>
      <c r="W103" s="45">
        <v>3456269.2035398302</v>
      </c>
      <c r="X103" s="46">
        <v>29.4078570068889</v>
      </c>
    </row>
    <row r="104" spans="1:24">
      <c r="A104" s="28" t="s">
        <v>63</v>
      </c>
      <c r="B104" s="29">
        <v>3169.6</v>
      </c>
      <c r="C104" s="30" t="s">
        <v>415</v>
      </c>
      <c r="D104" s="2">
        <v>4947917140</v>
      </c>
      <c r="E104" s="2" t="s">
        <v>14</v>
      </c>
      <c r="F104" s="2" t="s">
        <v>416</v>
      </c>
      <c r="G104" s="28" t="s">
        <v>9</v>
      </c>
      <c r="H104" s="2" t="s">
        <v>23</v>
      </c>
      <c r="I104" s="2">
        <v>1</v>
      </c>
      <c r="J104" s="2"/>
      <c r="K104" s="2">
        <v>1586.5</v>
      </c>
      <c r="L104" s="35">
        <v>5028570.4000000004</v>
      </c>
      <c r="M104" s="36">
        <v>950</v>
      </c>
      <c r="N104" s="37">
        <v>484689</v>
      </c>
      <c r="O104" s="37">
        <v>642</v>
      </c>
      <c r="P104" s="37">
        <v>55294</v>
      </c>
      <c r="Q104" s="37">
        <v>15543</v>
      </c>
      <c r="R104" s="37">
        <v>96069</v>
      </c>
      <c r="S104" s="37">
        <v>343435</v>
      </c>
      <c r="T104" s="40">
        <v>30000</v>
      </c>
      <c r="U104" s="37">
        <v>686223</v>
      </c>
      <c r="V104" s="37">
        <v>0</v>
      </c>
      <c r="W104" s="45">
        <v>1711895</v>
      </c>
      <c r="X104" s="46">
        <v>34.043373440689997</v>
      </c>
    </row>
    <row r="105" spans="1:24">
      <c r="A105" s="28" t="s">
        <v>63</v>
      </c>
      <c r="B105" s="29">
        <v>3169.6</v>
      </c>
      <c r="C105" s="30" t="s">
        <v>417</v>
      </c>
      <c r="D105" s="2">
        <v>4947642984</v>
      </c>
      <c r="E105" s="2" t="s">
        <v>14</v>
      </c>
      <c r="F105" s="78" t="s">
        <v>418</v>
      </c>
      <c r="G105" s="28" t="s">
        <v>9</v>
      </c>
      <c r="H105" s="2" t="s">
        <v>23</v>
      </c>
      <c r="I105" s="2">
        <v>2</v>
      </c>
      <c r="J105" s="2"/>
      <c r="K105" s="2">
        <v>3534</v>
      </c>
      <c r="L105" s="35">
        <v>11201366.4</v>
      </c>
      <c r="M105" s="36">
        <v>600</v>
      </c>
      <c r="N105" s="37">
        <v>485531</v>
      </c>
      <c r="O105" s="37">
        <v>417</v>
      </c>
      <c r="P105" s="37">
        <v>19544</v>
      </c>
      <c r="Q105" s="37">
        <v>10029</v>
      </c>
      <c r="R105" s="37">
        <v>90167</v>
      </c>
      <c r="S105" s="37">
        <v>343435</v>
      </c>
      <c r="T105" s="40">
        <v>30000</v>
      </c>
      <c r="U105" s="37">
        <v>994690.90909090894</v>
      </c>
      <c r="V105" s="37">
        <v>0</v>
      </c>
      <c r="W105" s="45">
        <v>1973813.9090909101</v>
      </c>
      <c r="X105" s="46">
        <v>17.621188689005901</v>
      </c>
    </row>
    <row r="106" spans="1:24">
      <c r="A106" s="28" t="s">
        <v>63</v>
      </c>
      <c r="B106" s="29">
        <v>3169.6</v>
      </c>
      <c r="C106" s="30" t="s">
        <v>421</v>
      </c>
      <c r="D106" s="2">
        <v>4948267736</v>
      </c>
      <c r="E106" s="2" t="s">
        <v>14</v>
      </c>
      <c r="F106" s="2">
        <v>1024065638</v>
      </c>
      <c r="G106" s="28" t="s">
        <v>13</v>
      </c>
      <c r="H106" s="2" t="s">
        <v>23</v>
      </c>
      <c r="I106" s="2">
        <v>1</v>
      </c>
      <c r="J106" s="2"/>
      <c r="K106" s="2">
        <v>2180</v>
      </c>
      <c r="L106" s="35">
        <v>6909728</v>
      </c>
      <c r="M106" s="36">
        <v>500</v>
      </c>
      <c r="N106" s="37">
        <v>650977</v>
      </c>
      <c r="O106" s="37">
        <v>0</v>
      </c>
      <c r="P106" s="37">
        <v>0</v>
      </c>
      <c r="Q106" s="37">
        <v>0</v>
      </c>
      <c r="R106" s="37">
        <v>5718</v>
      </c>
      <c r="S106" s="37">
        <v>343435</v>
      </c>
      <c r="T106" s="40">
        <v>30000</v>
      </c>
      <c r="U106" s="37">
        <v>246380</v>
      </c>
      <c r="V106" s="37">
        <v>0</v>
      </c>
      <c r="W106" s="45">
        <v>1276510</v>
      </c>
      <c r="X106" s="46">
        <v>18.4740991251754</v>
      </c>
    </row>
    <row r="107" spans="1:24">
      <c r="A107" s="28" t="s">
        <v>63</v>
      </c>
      <c r="B107" s="29">
        <v>3169.6</v>
      </c>
      <c r="C107" s="30" t="s">
        <v>425</v>
      </c>
      <c r="D107" s="2">
        <v>4948347742</v>
      </c>
      <c r="E107" s="2" t="s">
        <v>14</v>
      </c>
      <c r="F107" s="78" t="s">
        <v>426</v>
      </c>
      <c r="G107" s="28" t="s">
        <v>13</v>
      </c>
      <c r="H107" s="2" t="s">
        <v>23</v>
      </c>
      <c r="I107" s="2">
        <v>1</v>
      </c>
      <c r="J107" s="2"/>
      <c r="K107" s="2">
        <v>335.8</v>
      </c>
      <c r="L107" s="35">
        <v>1064351.68</v>
      </c>
      <c r="M107" s="36">
        <v>20</v>
      </c>
      <c r="N107" s="37">
        <v>1026010.15</v>
      </c>
      <c r="O107" s="37">
        <v>0</v>
      </c>
      <c r="P107" s="37">
        <v>0</v>
      </c>
      <c r="Q107" s="37">
        <v>0</v>
      </c>
      <c r="R107" s="37">
        <v>4862</v>
      </c>
      <c r="S107" s="37">
        <v>343435</v>
      </c>
      <c r="T107" s="40">
        <v>30000</v>
      </c>
      <c r="U107" s="37">
        <v>246380</v>
      </c>
      <c r="V107" s="37">
        <v>0</v>
      </c>
      <c r="W107" s="45">
        <v>1650687.15</v>
      </c>
      <c r="X107" s="46">
        <v>155.088508903373</v>
      </c>
    </row>
    <row r="108" spans="1:24">
      <c r="A108" s="28" t="s">
        <v>63</v>
      </c>
      <c r="B108" s="29">
        <v>3169.6</v>
      </c>
      <c r="C108" s="30" t="s">
        <v>427</v>
      </c>
      <c r="D108" s="2">
        <v>4947917131</v>
      </c>
      <c r="E108" s="2" t="s">
        <v>14</v>
      </c>
      <c r="F108" s="78" t="s">
        <v>428</v>
      </c>
      <c r="G108" s="28" t="s">
        <v>13</v>
      </c>
      <c r="H108" s="2" t="s">
        <v>23</v>
      </c>
      <c r="I108" s="2">
        <v>6</v>
      </c>
      <c r="J108" s="2"/>
      <c r="K108" s="2">
        <v>3784.5</v>
      </c>
      <c r="L108" s="35">
        <v>11995351.199999999</v>
      </c>
      <c r="M108" s="36">
        <v>30</v>
      </c>
      <c r="N108" s="37">
        <v>587617</v>
      </c>
      <c r="O108" s="37">
        <v>0</v>
      </c>
      <c r="P108" s="37">
        <v>0</v>
      </c>
      <c r="Q108" s="37">
        <v>0</v>
      </c>
      <c r="R108" s="37">
        <v>4068</v>
      </c>
      <c r="S108" s="37">
        <v>343435</v>
      </c>
      <c r="T108" s="40">
        <v>30000</v>
      </c>
      <c r="U108" s="37">
        <v>113713.846153846</v>
      </c>
      <c r="V108" s="37">
        <v>0</v>
      </c>
      <c r="W108" s="45">
        <v>1078833.84615385</v>
      </c>
      <c r="X108" s="46">
        <v>8.9937662363219992</v>
      </c>
    </row>
    <row r="109" spans="1:24">
      <c r="A109" s="28" t="s">
        <v>63</v>
      </c>
      <c r="B109" s="29">
        <v>3169.6</v>
      </c>
      <c r="C109" s="30" t="s">
        <v>429</v>
      </c>
      <c r="D109" s="2">
        <v>4947642961</v>
      </c>
      <c r="E109" s="2" t="s">
        <v>14</v>
      </c>
      <c r="F109" s="2">
        <v>1024159391</v>
      </c>
      <c r="G109" s="28" t="s">
        <v>13</v>
      </c>
      <c r="H109" s="2" t="s">
        <v>23</v>
      </c>
      <c r="I109" s="2">
        <v>1</v>
      </c>
      <c r="J109" s="2"/>
      <c r="K109" s="2">
        <v>579</v>
      </c>
      <c r="L109" s="35">
        <v>1835198.4</v>
      </c>
      <c r="M109" s="36">
        <v>10</v>
      </c>
      <c r="N109" s="37">
        <v>145685.45000000001</v>
      </c>
      <c r="O109" s="37">
        <v>0</v>
      </c>
      <c r="P109" s="37">
        <v>0</v>
      </c>
      <c r="Q109" s="37">
        <v>0</v>
      </c>
      <c r="R109" s="37">
        <v>583</v>
      </c>
      <c r="S109" s="37">
        <v>343435</v>
      </c>
      <c r="T109" s="40">
        <v>30000</v>
      </c>
      <c r="U109" s="37">
        <v>54751.111111111102</v>
      </c>
      <c r="V109" s="37">
        <v>0</v>
      </c>
      <c r="W109" s="45">
        <v>574454.56111111096</v>
      </c>
      <c r="X109" s="46">
        <v>31.302041300336299</v>
      </c>
    </row>
    <row r="110" spans="1:24">
      <c r="A110" s="28" t="s">
        <v>63</v>
      </c>
      <c r="B110" s="29">
        <v>3169.6</v>
      </c>
      <c r="C110" s="30" t="s">
        <v>432</v>
      </c>
      <c r="D110" s="2">
        <v>4947945346</v>
      </c>
      <c r="E110" s="2" t="s">
        <v>14</v>
      </c>
      <c r="F110" s="78" t="s">
        <v>433</v>
      </c>
      <c r="G110" s="28" t="s">
        <v>13</v>
      </c>
      <c r="H110" s="2" t="s">
        <v>23</v>
      </c>
      <c r="I110" s="2">
        <v>1</v>
      </c>
      <c r="J110" s="2"/>
      <c r="K110" s="2">
        <v>388.1</v>
      </c>
      <c r="L110" s="35">
        <v>1230121.76</v>
      </c>
      <c r="M110" s="36">
        <v>10</v>
      </c>
      <c r="N110" s="37">
        <v>137417.78</v>
      </c>
      <c r="O110" s="37">
        <v>0</v>
      </c>
      <c r="P110" s="37">
        <v>0</v>
      </c>
      <c r="Q110" s="37">
        <v>0</v>
      </c>
      <c r="R110" s="37">
        <v>550</v>
      </c>
      <c r="S110" s="37">
        <v>343435</v>
      </c>
      <c r="T110" s="40">
        <v>30000</v>
      </c>
      <c r="U110" s="37">
        <v>54751.111111111102</v>
      </c>
      <c r="V110" s="37">
        <v>0</v>
      </c>
      <c r="W110" s="45">
        <v>566153.89111111104</v>
      </c>
      <c r="X110" s="46">
        <v>46.024215611884699</v>
      </c>
    </row>
    <row r="111" spans="1:24">
      <c r="A111" s="28" t="s">
        <v>63</v>
      </c>
      <c r="B111" s="29">
        <v>3169.6</v>
      </c>
      <c r="C111" s="30" t="s">
        <v>442</v>
      </c>
      <c r="D111" s="2">
        <v>4947642980</v>
      </c>
      <c r="E111" s="2" t="s">
        <v>14</v>
      </c>
      <c r="F111" s="78" t="s">
        <v>443</v>
      </c>
      <c r="G111" s="28" t="s">
        <v>9</v>
      </c>
      <c r="H111" s="2" t="s">
        <v>23</v>
      </c>
      <c r="I111" s="2">
        <v>3</v>
      </c>
      <c r="J111" s="2"/>
      <c r="K111" s="2">
        <v>3510</v>
      </c>
      <c r="L111" s="35">
        <v>11125296</v>
      </c>
      <c r="M111" s="36">
        <v>2250</v>
      </c>
      <c r="N111" s="37">
        <v>632976</v>
      </c>
      <c r="O111" s="37">
        <v>1540</v>
      </c>
      <c r="P111" s="37">
        <v>72505</v>
      </c>
      <c r="Q111" s="37">
        <v>36983</v>
      </c>
      <c r="R111" s="37">
        <v>119158</v>
      </c>
      <c r="S111" s="37">
        <v>343435</v>
      </c>
      <c r="T111" s="40">
        <v>30000</v>
      </c>
      <c r="U111" s="37">
        <v>986790</v>
      </c>
      <c r="V111" s="37">
        <v>0</v>
      </c>
      <c r="W111" s="45">
        <v>2223387</v>
      </c>
      <c r="X111" s="46">
        <v>19.984969388679598</v>
      </c>
    </row>
    <row r="112" spans="1:24">
      <c r="A112" s="28" t="s">
        <v>63</v>
      </c>
      <c r="B112" s="29">
        <v>3169.6</v>
      </c>
      <c r="C112" s="30" t="s">
        <v>450</v>
      </c>
      <c r="D112" s="2">
        <v>4947917134</v>
      </c>
      <c r="E112" s="2" t="s">
        <v>14</v>
      </c>
      <c r="F112" s="2" t="s">
        <v>451</v>
      </c>
      <c r="G112" s="28" t="s">
        <v>5</v>
      </c>
      <c r="H112" s="2" t="s">
        <v>17</v>
      </c>
      <c r="I112" s="2">
        <v>1</v>
      </c>
      <c r="J112" s="2" t="s">
        <v>452</v>
      </c>
      <c r="K112" s="2">
        <v>15593.5</v>
      </c>
      <c r="L112" s="35">
        <v>49425157.600000001</v>
      </c>
      <c r="M112" s="36">
        <v>325</v>
      </c>
      <c r="N112" s="40">
        <v>6303.6462305661498</v>
      </c>
      <c r="O112" s="37">
        <v>7984.7227926078003</v>
      </c>
      <c r="P112" s="37">
        <v>0</v>
      </c>
      <c r="Q112" s="37">
        <v>1893.54209445585</v>
      </c>
      <c r="R112" s="40">
        <v>12483.250513347</v>
      </c>
      <c r="S112" s="40">
        <v>6548.3352889410398</v>
      </c>
      <c r="T112" s="40">
        <v>30000</v>
      </c>
      <c r="U112" s="40">
        <v>91170.651217365797</v>
      </c>
      <c r="V112" s="40">
        <v>24053.6608976239</v>
      </c>
      <c r="W112" s="45">
        <v>180437.80903490799</v>
      </c>
      <c r="X112" s="46">
        <v>0.36507280461338898</v>
      </c>
    </row>
    <row r="113" spans="1:24">
      <c r="A113" s="28" t="s">
        <v>63</v>
      </c>
      <c r="B113" s="29">
        <v>3169.6</v>
      </c>
      <c r="C113" s="30" t="s">
        <v>450</v>
      </c>
      <c r="D113" s="2">
        <v>4947705173</v>
      </c>
      <c r="E113" s="2" t="s">
        <v>14</v>
      </c>
      <c r="F113" s="2" t="s">
        <v>451</v>
      </c>
      <c r="G113" s="28" t="s">
        <v>5</v>
      </c>
      <c r="H113" s="2" t="s">
        <v>17</v>
      </c>
      <c r="I113" s="2">
        <v>1</v>
      </c>
      <c r="J113" s="2" t="s">
        <v>452</v>
      </c>
      <c r="K113" s="2">
        <v>25236</v>
      </c>
      <c r="L113" s="35">
        <v>79988025.599999994</v>
      </c>
      <c r="M113" s="36">
        <v>720</v>
      </c>
      <c r="N113" s="40">
        <v>13965.000880023499</v>
      </c>
      <c r="O113" s="37">
        <v>17689.232032854201</v>
      </c>
      <c r="P113" s="37">
        <v>0</v>
      </c>
      <c r="Q113" s="37">
        <v>4194.9240246406598</v>
      </c>
      <c r="R113" s="40">
        <v>27655.108829568799</v>
      </c>
      <c r="S113" s="40">
        <v>14507.081255500099</v>
      </c>
      <c r="T113" s="40">
        <v>30000</v>
      </c>
      <c r="U113" s="40">
        <v>201978.05808154901</v>
      </c>
      <c r="V113" s="40">
        <v>53288.110296274601</v>
      </c>
      <c r="W113" s="45">
        <v>363277.51540041098</v>
      </c>
      <c r="X113" s="46">
        <v>0.45416487364880098</v>
      </c>
    </row>
    <row r="114" spans="1:24">
      <c r="A114" s="28" t="s">
        <v>63</v>
      </c>
      <c r="B114" s="29">
        <v>3169.6</v>
      </c>
      <c r="C114" s="30" t="s">
        <v>453</v>
      </c>
      <c r="D114" s="2">
        <v>4947219368</v>
      </c>
      <c r="E114" s="2" t="s">
        <v>14</v>
      </c>
      <c r="F114" s="2" t="s">
        <v>454</v>
      </c>
      <c r="G114" s="28" t="s">
        <v>5</v>
      </c>
      <c r="H114" s="2" t="s">
        <v>17</v>
      </c>
      <c r="I114" s="2">
        <v>1</v>
      </c>
      <c r="J114" s="2" t="s">
        <v>455</v>
      </c>
      <c r="K114" s="2">
        <v>26346.6</v>
      </c>
      <c r="L114" s="35">
        <v>83508183.359999999</v>
      </c>
      <c r="M114" s="36">
        <v>16400</v>
      </c>
      <c r="N114" s="40">
        <v>222390.18867924501</v>
      </c>
      <c r="O114" s="37">
        <v>281697.91632485599</v>
      </c>
      <c r="P114" s="37">
        <v>389183.166529943</v>
      </c>
      <c r="Q114" s="37">
        <v>66803.429040196905</v>
      </c>
      <c r="R114" s="40">
        <v>649227.05086136202</v>
      </c>
      <c r="S114" s="40">
        <v>231022.72354388799</v>
      </c>
      <c r="T114" s="40">
        <v>30000</v>
      </c>
      <c r="U114" s="40">
        <v>3379590.6480721901</v>
      </c>
      <c r="V114" s="40">
        <v>848603.80639868695</v>
      </c>
      <c r="W114" s="45">
        <v>6098518.9294503704</v>
      </c>
      <c r="X114" s="46">
        <v>7.3028997687088104</v>
      </c>
    </row>
    <row r="115" spans="1:24">
      <c r="A115" s="28" t="s">
        <v>63</v>
      </c>
      <c r="B115" s="29">
        <v>3169.6</v>
      </c>
      <c r="C115" s="30" t="s">
        <v>453</v>
      </c>
      <c r="D115" s="2">
        <v>4947975254</v>
      </c>
      <c r="E115" s="2" t="s">
        <v>14</v>
      </c>
      <c r="F115" s="2" t="s">
        <v>454</v>
      </c>
      <c r="G115" s="28" t="s">
        <v>5</v>
      </c>
      <c r="H115" s="2" t="s">
        <v>17</v>
      </c>
      <c r="I115" s="2">
        <v>1</v>
      </c>
      <c r="J115" s="2" t="s">
        <v>455</v>
      </c>
      <c r="K115" s="2">
        <v>6166.4</v>
      </c>
      <c r="L115" s="35">
        <v>19545021.440000001</v>
      </c>
      <c r="M115" s="36">
        <v>820</v>
      </c>
      <c r="N115" s="40">
        <v>11119.509433962299</v>
      </c>
      <c r="O115" s="37">
        <v>14084.895816242801</v>
      </c>
      <c r="P115" s="37">
        <v>19459.158326497101</v>
      </c>
      <c r="Q115" s="37">
        <v>3340.1714520098399</v>
      </c>
      <c r="R115" s="40">
        <v>32461.1025430681</v>
      </c>
      <c r="S115" s="40">
        <v>11551.136177194399</v>
      </c>
      <c r="T115" s="40">
        <v>30000</v>
      </c>
      <c r="U115" s="40">
        <v>168979.53240361001</v>
      </c>
      <c r="V115" s="40">
        <v>42430.190319934401</v>
      </c>
      <c r="W115" s="45">
        <v>333425.69647251902</v>
      </c>
      <c r="X115" s="46">
        <v>1.70593671383826</v>
      </c>
    </row>
    <row r="116" spans="1:24">
      <c r="A116" s="28" t="s">
        <v>63</v>
      </c>
      <c r="B116" s="29">
        <v>3169.6</v>
      </c>
      <c r="C116" s="30" t="s">
        <v>453</v>
      </c>
      <c r="D116" s="2">
        <v>4947510913</v>
      </c>
      <c r="E116" s="2" t="s">
        <v>14</v>
      </c>
      <c r="F116" s="2" t="s">
        <v>454</v>
      </c>
      <c r="G116" s="28" t="s">
        <v>5</v>
      </c>
      <c r="H116" s="2" t="s">
        <v>17</v>
      </c>
      <c r="I116" s="2">
        <v>1</v>
      </c>
      <c r="J116" s="2" t="s">
        <v>455</v>
      </c>
      <c r="K116" s="2">
        <v>4732</v>
      </c>
      <c r="L116" s="35">
        <v>14998547.199999999</v>
      </c>
      <c r="M116" s="36">
        <v>700</v>
      </c>
      <c r="N116" s="40">
        <v>9492.2641509433997</v>
      </c>
      <c r="O116" s="37">
        <v>12023.6915504512</v>
      </c>
      <c r="P116" s="37">
        <v>16611.4766201805</v>
      </c>
      <c r="Q116" s="37">
        <v>2851.3658736669399</v>
      </c>
      <c r="R116" s="40">
        <v>27710.697292862998</v>
      </c>
      <c r="S116" s="40">
        <v>9860.7260049220695</v>
      </c>
      <c r="T116" s="40">
        <v>30000</v>
      </c>
      <c r="U116" s="40">
        <v>144250.82034454501</v>
      </c>
      <c r="V116" s="40">
        <v>36220.894175553702</v>
      </c>
      <c r="W116" s="45">
        <v>289021.93601312599</v>
      </c>
      <c r="X116" s="46">
        <v>1.9269995430832501</v>
      </c>
    </row>
    <row r="117" spans="1:24">
      <c r="A117" s="28" t="s">
        <v>63</v>
      </c>
      <c r="B117" s="29">
        <v>3169.6</v>
      </c>
      <c r="C117" s="30" t="s">
        <v>453</v>
      </c>
      <c r="D117" s="2">
        <v>4948037014</v>
      </c>
      <c r="E117" s="2" t="s">
        <v>14</v>
      </c>
      <c r="F117" s="2" t="s">
        <v>454</v>
      </c>
      <c r="G117" s="28" t="s">
        <v>5</v>
      </c>
      <c r="H117" s="2" t="s">
        <v>17</v>
      </c>
      <c r="I117" s="2">
        <v>1</v>
      </c>
      <c r="J117" s="2" t="s">
        <v>455</v>
      </c>
      <c r="K117" s="2">
        <v>1864.8</v>
      </c>
      <c r="L117" s="35">
        <v>5910670.0800000001</v>
      </c>
      <c r="M117" s="36">
        <v>420</v>
      </c>
      <c r="N117" s="40">
        <v>5695.35849056604</v>
      </c>
      <c r="O117" s="37">
        <v>7214.2149302707103</v>
      </c>
      <c r="P117" s="37">
        <v>9966.8859721082899</v>
      </c>
      <c r="Q117" s="37">
        <v>1710.81952420016</v>
      </c>
      <c r="R117" s="40">
        <v>16626.4183757178</v>
      </c>
      <c r="S117" s="40">
        <v>5916.43560295324</v>
      </c>
      <c r="T117" s="40">
        <v>30000</v>
      </c>
      <c r="U117" s="40">
        <v>86550.492206726805</v>
      </c>
      <c r="V117" s="40">
        <v>21732.536505332198</v>
      </c>
      <c r="W117" s="45">
        <v>185413.16160787499</v>
      </c>
      <c r="X117" s="46">
        <v>3.1369228716598401</v>
      </c>
    </row>
    <row r="118" spans="1:24">
      <c r="A118" s="28" t="s">
        <v>63</v>
      </c>
      <c r="B118" s="29">
        <v>3169.6</v>
      </c>
      <c r="C118" s="30" t="s">
        <v>453</v>
      </c>
      <c r="D118" s="2">
        <v>4947223485</v>
      </c>
      <c r="E118" s="2" t="s">
        <v>14</v>
      </c>
      <c r="F118" s="2" t="s">
        <v>454</v>
      </c>
      <c r="G118" s="28" t="s">
        <v>5</v>
      </c>
      <c r="H118" s="2" t="s">
        <v>17</v>
      </c>
      <c r="I118" s="2">
        <v>1</v>
      </c>
      <c r="J118" s="2" t="s">
        <v>455</v>
      </c>
      <c r="K118" s="2">
        <v>16984</v>
      </c>
      <c r="L118" s="35">
        <v>53832486.399999999</v>
      </c>
      <c r="M118" s="36">
        <v>4400</v>
      </c>
      <c r="N118" s="40">
        <v>59665.660377358501</v>
      </c>
      <c r="O118" s="37">
        <v>75577.489745693194</v>
      </c>
      <c r="P118" s="37">
        <v>104414.995898277</v>
      </c>
      <c r="Q118" s="37">
        <v>17922.8712059065</v>
      </c>
      <c r="R118" s="40">
        <v>174182.52584085299</v>
      </c>
      <c r="S118" s="40">
        <v>61981.706316652999</v>
      </c>
      <c r="T118" s="40">
        <v>30000</v>
      </c>
      <c r="U118" s="40">
        <v>906719.44216571003</v>
      </c>
      <c r="V118" s="40">
        <v>227674.19196062299</v>
      </c>
      <c r="W118" s="45">
        <v>1658138.8835110699</v>
      </c>
      <c r="X118" s="46">
        <v>3.0801826079337</v>
      </c>
    </row>
    <row r="119" spans="1:24">
      <c r="A119" s="28" t="s">
        <v>63</v>
      </c>
      <c r="B119" s="29">
        <v>3169.6</v>
      </c>
      <c r="C119" s="30" t="s">
        <v>453</v>
      </c>
      <c r="D119" s="2">
        <v>4948037017</v>
      </c>
      <c r="E119" s="2" t="s">
        <v>14</v>
      </c>
      <c r="F119" s="2" t="s">
        <v>454</v>
      </c>
      <c r="G119" s="28" t="s">
        <v>5</v>
      </c>
      <c r="H119" s="2" t="s">
        <v>17</v>
      </c>
      <c r="I119" s="2">
        <v>1</v>
      </c>
      <c r="J119" s="2" t="s">
        <v>455</v>
      </c>
      <c r="K119" s="2">
        <v>6543.6</v>
      </c>
      <c r="L119" s="35">
        <v>20740594.559999999</v>
      </c>
      <c r="M119" s="36">
        <v>1640</v>
      </c>
      <c r="N119" s="40">
        <v>22239.0188679245</v>
      </c>
      <c r="O119" s="37">
        <v>28169.791632485601</v>
      </c>
      <c r="P119" s="37">
        <v>38918.316652994297</v>
      </c>
      <c r="Q119" s="37">
        <v>6680.3429040196897</v>
      </c>
      <c r="R119" s="40">
        <v>64923.2050861362</v>
      </c>
      <c r="S119" s="40">
        <v>23102.272354388799</v>
      </c>
      <c r="T119" s="40">
        <v>30000</v>
      </c>
      <c r="U119" s="40">
        <v>337959.06480721902</v>
      </c>
      <c r="V119" s="40">
        <v>84860.380639868701</v>
      </c>
      <c r="W119" s="45">
        <v>636852.39294503699</v>
      </c>
      <c r="X119" s="46">
        <v>3.0705599644344801</v>
      </c>
    </row>
    <row r="120" spans="1:24">
      <c r="A120" s="28" t="s">
        <v>63</v>
      </c>
      <c r="B120" s="29">
        <v>3169.6</v>
      </c>
      <c r="C120" s="30" t="s">
        <v>456</v>
      </c>
      <c r="D120" s="2">
        <v>4945963724</v>
      </c>
      <c r="E120" s="2" t="s">
        <v>14</v>
      </c>
      <c r="F120" s="2" t="s">
        <v>457</v>
      </c>
      <c r="G120" s="28" t="s">
        <v>9</v>
      </c>
      <c r="H120" s="2" t="s">
        <v>23</v>
      </c>
      <c r="I120" s="2">
        <v>16</v>
      </c>
      <c r="J120" s="2"/>
      <c r="K120" s="2">
        <v>6048</v>
      </c>
      <c r="L120" s="35">
        <v>19169740.800000001</v>
      </c>
      <c r="M120" s="36">
        <v>2520</v>
      </c>
      <c r="N120" s="40">
        <v>145945.945945946</v>
      </c>
      <c r="O120" s="37">
        <v>1728.6486486486499</v>
      </c>
      <c r="P120" s="37">
        <v>78456.648648648697</v>
      </c>
      <c r="Q120" s="37">
        <v>40807.783783783801</v>
      </c>
      <c r="R120" s="40">
        <v>66549.081081081094</v>
      </c>
      <c r="S120" s="40">
        <v>111384.324324324</v>
      </c>
      <c r="T120" s="40">
        <v>30000</v>
      </c>
      <c r="U120" s="40">
        <v>2005500</v>
      </c>
      <c r="V120" s="40">
        <v>0</v>
      </c>
      <c r="W120" s="45">
        <v>2480372.4324324299</v>
      </c>
      <c r="X120" s="46">
        <v>12.9389982802085</v>
      </c>
    </row>
    <row r="121" spans="1:24">
      <c r="A121" s="28" t="s">
        <v>63</v>
      </c>
      <c r="B121" s="29">
        <v>3169.6</v>
      </c>
      <c r="C121" s="30" t="s">
        <v>456</v>
      </c>
      <c r="D121" s="2">
        <v>4947219364</v>
      </c>
      <c r="E121" s="2" t="s">
        <v>14</v>
      </c>
      <c r="F121" s="2" t="s">
        <v>457</v>
      </c>
      <c r="G121" s="28" t="s">
        <v>9</v>
      </c>
      <c r="H121" s="2" t="s">
        <v>23</v>
      </c>
      <c r="I121" s="2">
        <v>16</v>
      </c>
      <c r="J121" s="2"/>
      <c r="K121" s="2">
        <v>16327</v>
      </c>
      <c r="L121" s="35">
        <v>51750059.200000003</v>
      </c>
      <c r="M121" s="36">
        <v>5250</v>
      </c>
      <c r="N121" s="40">
        <v>256000</v>
      </c>
      <c r="O121" s="37">
        <v>3601.3513513513499</v>
      </c>
      <c r="P121" s="37">
        <v>166972</v>
      </c>
      <c r="Q121" s="37">
        <v>85016.216216216199</v>
      </c>
      <c r="R121" s="40">
        <v>82988</v>
      </c>
      <c r="S121" s="40">
        <v>232051</v>
      </c>
      <c r="T121" s="40">
        <v>30000</v>
      </c>
      <c r="U121" s="40">
        <v>1500000</v>
      </c>
      <c r="V121" s="40">
        <v>0</v>
      </c>
      <c r="W121" s="45">
        <v>2356628.5675675701</v>
      </c>
      <c r="X121" s="46">
        <v>4.5538664187027003</v>
      </c>
    </row>
    <row r="122" spans="1:24">
      <c r="A122" s="28" t="s">
        <v>63</v>
      </c>
      <c r="B122" s="29">
        <v>3169.6</v>
      </c>
      <c r="C122" s="30" t="s">
        <v>291</v>
      </c>
      <c r="D122" s="2">
        <v>4947217691</v>
      </c>
      <c r="E122" s="2" t="s">
        <v>14</v>
      </c>
      <c r="F122" s="78" t="s">
        <v>292</v>
      </c>
      <c r="G122" s="28" t="s">
        <v>5</v>
      </c>
      <c r="H122" s="2" t="s">
        <v>20</v>
      </c>
      <c r="I122" s="2">
        <v>1</v>
      </c>
      <c r="J122" s="2" t="s">
        <v>293</v>
      </c>
      <c r="K122" s="2">
        <v>52052</v>
      </c>
      <c r="L122" s="35">
        <v>164984019.19999999</v>
      </c>
      <c r="M122" s="36">
        <v>6160</v>
      </c>
      <c r="N122" s="37">
        <v>471500</v>
      </c>
      <c r="O122" s="37">
        <v>319212</v>
      </c>
      <c r="P122" s="37">
        <v>0</v>
      </c>
      <c r="Q122" s="37">
        <v>99309</v>
      </c>
      <c r="R122" s="37">
        <v>627853</v>
      </c>
      <c r="S122" s="37">
        <v>343435</v>
      </c>
      <c r="T122" s="40">
        <v>30000</v>
      </c>
      <c r="U122" s="37">
        <v>2601700</v>
      </c>
      <c r="V122" s="37">
        <v>0</v>
      </c>
      <c r="W122" s="45">
        <v>4493009</v>
      </c>
      <c r="X122" s="46">
        <v>2.7232995182117601</v>
      </c>
    </row>
    <row r="123" spans="1:24">
      <c r="A123" s="28" t="s">
        <v>63</v>
      </c>
      <c r="B123" s="29">
        <v>3169.6</v>
      </c>
      <c r="C123" s="30" t="s">
        <v>464</v>
      </c>
      <c r="D123" s="2">
        <v>4947612624</v>
      </c>
      <c r="E123" s="2" t="s">
        <v>14</v>
      </c>
      <c r="F123" s="2">
        <v>1023851411</v>
      </c>
      <c r="G123" s="28" t="s">
        <v>13</v>
      </c>
      <c r="H123" s="2" t="s">
        <v>23</v>
      </c>
      <c r="I123" s="2">
        <v>2</v>
      </c>
      <c r="J123" s="2"/>
      <c r="K123" s="2">
        <v>1417.2</v>
      </c>
      <c r="L123" s="35">
        <v>4491957.12</v>
      </c>
      <c r="M123" s="36">
        <v>20</v>
      </c>
      <c r="N123" s="40">
        <v>136269.76666666701</v>
      </c>
      <c r="O123" s="37">
        <v>0</v>
      </c>
      <c r="P123" s="37">
        <v>0</v>
      </c>
      <c r="Q123" s="37">
        <v>0</v>
      </c>
      <c r="R123" s="40">
        <v>545.08000000000004</v>
      </c>
      <c r="S123" s="40">
        <v>228956.66666666701</v>
      </c>
      <c r="T123" s="40">
        <v>30000</v>
      </c>
      <c r="U123" s="40">
        <v>14709.2537313433</v>
      </c>
      <c r="V123" s="40">
        <v>0</v>
      </c>
      <c r="W123" s="45">
        <v>410480.76706467703</v>
      </c>
      <c r="X123" s="46">
        <v>9.1381274597892297</v>
      </c>
    </row>
    <row r="124" spans="1:24">
      <c r="A124" s="28" t="s">
        <v>63</v>
      </c>
      <c r="B124" s="29">
        <v>3169.6</v>
      </c>
      <c r="C124" s="30" t="s">
        <v>464</v>
      </c>
      <c r="D124" s="2">
        <v>4947945347</v>
      </c>
      <c r="E124" s="2" t="s">
        <v>14</v>
      </c>
      <c r="F124" s="2">
        <v>1023851411</v>
      </c>
      <c r="G124" s="28" t="s">
        <v>13</v>
      </c>
      <c r="H124" s="2" t="s">
        <v>23</v>
      </c>
      <c r="I124" s="2">
        <v>2</v>
      </c>
      <c r="J124" s="2"/>
      <c r="K124" s="2">
        <v>840.8</v>
      </c>
      <c r="L124" s="35">
        <v>2664999.6800000002</v>
      </c>
      <c r="M124" s="36">
        <v>10</v>
      </c>
      <c r="N124" s="40">
        <v>68134.883333333302</v>
      </c>
      <c r="O124" s="37">
        <v>0</v>
      </c>
      <c r="P124" s="37">
        <v>0</v>
      </c>
      <c r="Q124" s="37">
        <v>0</v>
      </c>
      <c r="R124" s="40">
        <v>272.54000000000002</v>
      </c>
      <c r="S124" s="40">
        <v>114478.33333333299</v>
      </c>
      <c r="T124" s="40">
        <v>30000</v>
      </c>
      <c r="U124" s="40">
        <v>7354.6268656716402</v>
      </c>
      <c r="V124" s="40">
        <v>0</v>
      </c>
      <c r="W124" s="45">
        <v>220240.38353233799</v>
      </c>
      <c r="X124" s="46">
        <v>8.2641804869686908</v>
      </c>
    </row>
    <row r="125" spans="1:24">
      <c r="A125" s="28" t="s">
        <v>63</v>
      </c>
      <c r="B125" s="29">
        <v>3169.6</v>
      </c>
      <c r="C125" s="30" t="s">
        <v>465</v>
      </c>
      <c r="D125" s="2">
        <v>4947642958</v>
      </c>
      <c r="E125" s="2" t="s">
        <v>14</v>
      </c>
      <c r="F125" s="2">
        <v>1023985114</v>
      </c>
      <c r="G125" s="28" t="s">
        <v>13</v>
      </c>
      <c r="H125" s="2" t="s">
        <v>23</v>
      </c>
      <c r="I125" s="2">
        <v>2</v>
      </c>
      <c r="J125" s="2"/>
      <c r="K125" s="2">
        <v>29428.5</v>
      </c>
      <c r="L125" s="35">
        <v>93276573.599999994</v>
      </c>
      <c r="M125" s="36">
        <v>230</v>
      </c>
      <c r="N125" s="37">
        <v>439071.46</v>
      </c>
      <c r="O125" s="37">
        <v>0</v>
      </c>
      <c r="P125" s="37">
        <v>0</v>
      </c>
      <c r="Q125" s="37">
        <v>0</v>
      </c>
      <c r="R125" s="37">
        <v>4756</v>
      </c>
      <c r="S125" s="37">
        <v>343435</v>
      </c>
      <c r="T125" s="40">
        <v>30000</v>
      </c>
      <c r="U125" s="37">
        <v>169156.41791044801</v>
      </c>
      <c r="V125" s="37">
        <v>0</v>
      </c>
      <c r="W125" s="45">
        <v>986418.87791044801</v>
      </c>
      <c r="X125" s="46">
        <v>1.05752048970037</v>
      </c>
    </row>
    <row r="126" spans="1:24">
      <c r="A126" s="28" t="s">
        <v>63</v>
      </c>
      <c r="B126" s="29">
        <v>3169.6</v>
      </c>
      <c r="C126" s="30" t="s">
        <v>466</v>
      </c>
      <c r="D126" s="2">
        <v>4947917132</v>
      </c>
      <c r="E126" s="2" t="s">
        <v>14</v>
      </c>
      <c r="F126" s="78" t="s">
        <v>467</v>
      </c>
      <c r="G126" s="28" t="s">
        <v>13</v>
      </c>
      <c r="H126" s="2" t="s">
        <v>23</v>
      </c>
      <c r="I126" s="2">
        <v>1</v>
      </c>
      <c r="J126" s="2"/>
      <c r="K126" s="2">
        <v>976.6</v>
      </c>
      <c r="L126" s="35">
        <v>3095431.36</v>
      </c>
      <c r="M126" s="36">
        <v>20</v>
      </c>
      <c r="N126" s="37">
        <v>147413.17000000001</v>
      </c>
      <c r="O126" s="37">
        <v>0</v>
      </c>
      <c r="P126" s="37">
        <v>0</v>
      </c>
      <c r="Q126" s="37">
        <v>0</v>
      </c>
      <c r="R126" s="37">
        <v>589.65</v>
      </c>
      <c r="S126" s="37">
        <v>343435</v>
      </c>
      <c r="T126" s="40">
        <v>30000</v>
      </c>
      <c r="U126" s="37">
        <v>14709.2537313433</v>
      </c>
      <c r="V126" s="37">
        <v>0</v>
      </c>
      <c r="W126" s="45">
        <v>536147.07373134303</v>
      </c>
      <c r="X126" s="46">
        <v>17.320593202601099</v>
      </c>
    </row>
    <row r="127" spans="1:24">
      <c r="A127" s="28" t="s">
        <v>63</v>
      </c>
      <c r="B127" s="29">
        <v>3169.6</v>
      </c>
      <c r="C127" s="30" t="s">
        <v>470</v>
      </c>
      <c r="D127" s="2">
        <v>4948408903</v>
      </c>
      <c r="E127" s="2" t="s">
        <v>14</v>
      </c>
      <c r="F127" s="2">
        <v>1024012079</v>
      </c>
      <c r="G127" s="28" t="s">
        <v>13</v>
      </c>
      <c r="H127" s="2" t="s">
        <v>23</v>
      </c>
      <c r="I127" s="2">
        <v>1</v>
      </c>
      <c r="J127" s="2"/>
      <c r="K127" s="2">
        <v>852.2</v>
      </c>
      <c r="L127" s="35">
        <v>2701133.12</v>
      </c>
      <c r="M127" s="36">
        <v>20</v>
      </c>
      <c r="N127" s="37">
        <v>147543</v>
      </c>
      <c r="O127" s="37">
        <v>0</v>
      </c>
      <c r="P127" s="37">
        <v>321300</v>
      </c>
      <c r="Q127" s="37">
        <v>0</v>
      </c>
      <c r="R127" s="37">
        <v>1875</v>
      </c>
      <c r="S127" s="37">
        <v>343435</v>
      </c>
      <c r="T127" s="40">
        <v>30000</v>
      </c>
      <c r="U127" s="37">
        <v>246380</v>
      </c>
      <c r="V127" s="37">
        <v>0</v>
      </c>
      <c r="W127" s="45">
        <v>1090533</v>
      </c>
      <c r="X127" s="46">
        <v>40.373167539406602</v>
      </c>
    </row>
    <row r="128" spans="1:24">
      <c r="A128" s="28" t="s">
        <v>63</v>
      </c>
      <c r="B128" s="29">
        <v>3169.6</v>
      </c>
      <c r="C128" s="30" t="s">
        <v>471</v>
      </c>
      <c r="D128" s="2">
        <v>4947945345</v>
      </c>
      <c r="E128" s="2" t="s">
        <v>14</v>
      </c>
      <c r="F128" s="2" t="s">
        <v>472</v>
      </c>
      <c r="G128" s="28" t="s">
        <v>13</v>
      </c>
      <c r="H128" s="2" t="s">
        <v>23</v>
      </c>
      <c r="I128" s="2">
        <v>1</v>
      </c>
      <c r="J128" s="2"/>
      <c r="K128" s="2">
        <v>803.16</v>
      </c>
      <c r="L128" s="35">
        <v>2545695.9360000002</v>
      </c>
      <c r="M128" s="36">
        <v>5</v>
      </c>
      <c r="N128" s="37">
        <v>82863</v>
      </c>
      <c r="O128" s="37">
        <v>0</v>
      </c>
      <c r="P128" s="37">
        <v>0</v>
      </c>
      <c r="Q128" s="37">
        <v>0</v>
      </c>
      <c r="R128" s="37">
        <v>1524</v>
      </c>
      <c r="S128" s="37">
        <v>343435</v>
      </c>
      <c r="T128" s="40">
        <v>30000</v>
      </c>
      <c r="U128" s="37">
        <v>246380</v>
      </c>
      <c r="V128" s="37">
        <v>0</v>
      </c>
      <c r="W128" s="45">
        <v>704202</v>
      </c>
      <c r="X128" s="46">
        <v>27.662455285468901</v>
      </c>
    </row>
    <row r="129" spans="1:24">
      <c r="A129" s="28" t="s">
        <v>63</v>
      </c>
      <c r="B129" s="29">
        <v>3169.6</v>
      </c>
      <c r="C129" s="30" t="s">
        <v>481</v>
      </c>
      <c r="D129" s="2">
        <v>4947320666</v>
      </c>
      <c r="E129" s="2" t="s">
        <v>14</v>
      </c>
      <c r="F129" s="2" t="s">
        <v>482</v>
      </c>
      <c r="G129" s="28" t="s">
        <v>5</v>
      </c>
      <c r="H129" s="2" t="s">
        <v>17</v>
      </c>
      <c r="I129" s="2">
        <v>1</v>
      </c>
      <c r="J129" s="2" t="s">
        <v>483</v>
      </c>
      <c r="K129" s="2">
        <v>26134.68</v>
      </c>
      <c r="L129" s="35">
        <v>82836481.728</v>
      </c>
      <c r="M129" s="36">
        <v>18060</v>
      </c>
      <c r="N129" s="40">
        <v>0</v>
      </c>
      <c r="O129" s="37">
        <v>384687.186164802</v>
      </c>
      <c r="P129" s="37">
        <v>143203.12309257401</v>
      </c>
      <c r="Q129" s="37">
        <v>91226.884028484201</v>
      </c>
      <c r="R129" s="40">
        <v>683454.03967446601</v>
      </c>
      <c r="S129" s="40">
        <v>630970.10172939999</v>
      </c>
      <c r="T129" s="40">
        <v>30000</v>
      </c>
      <c r="U129" s="40">
        <v>1286522.3804679599</v>
      </c>
      <c r="V129" s="40">
        <v>0</v>
      </c>
      <c r="W129" s="45">
        <v>3250063.71515769</v>
      </c>
      <c r="X129" s="46">
        <v>3.9234690408864998</v>
      </c>
    </row>
    <row r="130" spans="1:24">
      <c r="A130" s="28" t="s">
        <v>63</v>
      </c>
      <c r="B130" s="29">
        <v>3169.6</v>
      </c>
      <c r="C130" s="30" t="s">
        <v>481</v>
      </c>
      <c r="D130" s="2">
        <v>4947320666</v>
      </c>
      <c r="E130" s="2" t="s">
        <v>14</v>
      </c>
      <c r="F130" s="2" t="s">
        <v>482</v>
      </c>
      <c r="G130" s="28" t="s">
        <v>5</v>
      </c>
      <c r="H130" s="2" t="s">
        <v>17</v>
      </c>
      <c r="I130" s="2">
        <v>1</v>
      </c>
      <c r="J130" s="2" t="s">
        <v>483</v>
      </c>
      <c r="K130" s="2">
        <v>1792</v>
      </c>
      <c r="L130" s="35">
        <v>5679923.2000000002</v>
      </c>
      <c r="M130" s="36">
        <v>1600</v>
      </c>
      <c r="N130" s="40">
        <v>0</v>
      </c>
      <c r="O130" s="37">
        <v>34080.813835198402</v>
      </c>
      <c r="P130" s="37">
        <v>12686.8769074262</v>
      </c>
      <c r="Q130" s="37">
        <v>8082.1159715157701</v>
      </c>
      <c r="R130" s="40">
        <v>60549.960325534099</v>
      </c>
      <c r="S130" s="40">
        <v>55899.898270600199</v>
      </c>
      <c r="T130" s="40">
        <v>30000</v>
      </c>
      <c r="U130" s="40">
        <v>113977.61953204501</v>
      </c>
      <c r="V130" s="40">
        <v>0</v>
      </c>
      <c r="W130" s="45">
        <v>315277.28484232002</v>
      </c>
      <c r="X130" s="46">
        <v>5.5507314754241701</v>
      </c>
    </row>
    <row r="131" spans="1:24">
      <c r="A131" s="28" t="s">
        <v>63</v>
      </c>
      <c r="B131" s="29">
        <v>3169.6</v>
      </c>
      <c r="C131" s="30" t="s">
        <v>492</v>
      </c>
      <c r="D131" s="2">
        <v>4947162564</v>
      </c>
      <c r="E131" s="2" t="s">
        <v>14</v>
      </c>
      <c r="F131" s="2" t="s">
        <v>493</v>
      </c>
      <c r="G131" s="28" t="s">
        <v>5</v>
      </c>
      <c r="H131" s="2" t="s">
        <v>17</v>
      </c>
      <c r="I131" s="2">
        <v>1</v>
      </c>
      <c r="J131" s="2" t="s">
        <v>494</v>
      </c>
      <c r="K131" s="2">
        <v>40936</v>
      </c>
      <c r="L131" s="35">
        <v>129750745.59999999</v>
      </c>
      <c r="M131" s="36">
        <v>17200</v>
      </c>
      <c r="N131" s="37">
        <v>330602</v>
      </c>
      <c r="O131" s="37">
        <v>418768</v>
      </c>
      <c r="P131" s="37">
        <v>0</v>
      </c>
      <c r="Q131" s="37">
        <v>99309</v>
      </c>
      <c r="R131" s="37">
        <v>647161</v>
      </c>
      <c r="S131" s="37">
        <v>343435</v>
      </c>
      <c r="T131" s="40">
        <v>30000</v>
      </c>
      <c r="U131" s="37">
        <v>4961900</v>
      </c>
      <c r="V131" s="37">
        <v>0</v>
      </c>
      <c r="W131" s="45">
        <v>6831175</v>
      </c>
      <c r="X131" s="46">
        <v>5.2648445050630999</v>
      </c>
    </row>
    <row r="132" spans="1:24">
      <c r="A132" s="28" t="s">
        <v>63</v>
      </c>
      <c r="B132" s="29">
        <v>3169.6</v>
      </c>
      <c r="C132" s="30" t="s">
        <v>495</v>
      </c>
      <c r="D132" s="2">
        <v>4948063393</v>
      </c>
      <c r="E132" s="2" t="s">
        <v>14</v>
      </c>
      <c r="F132" s="2" t="s">
        <v>496</v>
      </c>
      <c r="G132" s="28" t="s">
        <v>9</v>
      </c>
      <c r="H132" s="2" t="s">
        <v>23</v>
      </c>
      <c r="I132" s="2">
        <v>1</v>
      </c>
      <c r="J132" s="2"/>
      <c r="K132" s="2">
        <v>2601.6</v>
      </c>
      <c r="L132" s="35">
        <v>8246031.3600000003</v>
      </c>
      <c r="M132" s="36">
        <v>160</v>
      </c>
      <c r="N132" s="37">
        <v>132924</v>
      </c>
      <c r="O132" s="37">
        <v>126</v>
      </c>
      <c r="P132" s="37">
        <v>5520</v>
      </c>
      <c r="Q132" s="37">
        <v>2951</v>
      </c>
      <c r="R132" s="37">
        <v>81303</v>
      </c>
      <c r="S132" s="37">
        <v>343435</v>
      </c>
      <c r="T132" s="40">
        <v>30000</v>
      </c>
      <c r="U132" s="37">
        <v>86110.967741935499</v>
      </c>
      <c r="V132" s="37">
        <v>0</v>
      </c>
      <c r="W132" s="45">
        <v>682369.96774193598</v>
      </c>
      <c r="X132" s="46">
        <v>8.2751318537543792</v>
      </c>
    </row>
    <row r="133" spans="1:24">
      <c r="A133" s="28" t="s">
        <v>63</v>
      </c>
      <c r="B133" s="29">
        <v>3169.6</v>
      </c>
      <c r="C133" s="30" t="s">
        <v>506</v>
      </c>
      <c r="D133" s="2">
        <v>4947612645</v>
      </c>
      <c r="E133" s="2" t="s">
        <v>14</v>
      </c>
      <c r="F133" s="2" t="s">
        <v>507</v>
      </c>
      <c r="G133" s="28" t="s">
        <v>9</v>
      </c>
      <c r="H133" s="2" t="s">
        <v>23</v>
      </c>
      <c r="I133" s="2">
        <v>2</v>
      </c>
      <c r="J133" s="2"/>
      <c r="K133" s="2">
        <v>3050</v>
      </c>
      <c r="L133" s="35">
        <v>9667280</v>
      </c>
      <c r="M133" s="36">
        <v>625</v>
      </c>
      <c r="N133" s="37">
        <v>465894</v>
      </c>
      <c r="O133" s="37">
        <v>441</v>
      </c>
      <c r="P133" s="37">
        <v>18317</v>
      </c>
      <c r="Q133" s="37">
        <v>10405</v>
      </c>
      <c r="R133" s="37">
        <v>90485</v>
      </c>
      <c r="S133" s="37">
        <v>343435</v>
      </c>
      <c r="T133" s="40">
        <v>30000</v>
      </c>
      <c r="U133" s="37">
        <v>336370.96774193499</v>
      </c>
      <c r="V133" s="37">
        <v>0</v>
      </c>
      <c r="W133" s="45">
        <v>1295347.9677419399</v>
      </c>
      <c r="X133" s="46">
        <v>13.399301227873099</v>
      </c>
    </row>
    <row r="134" spans="1:24">
      <c r="A134" s="28" t="s">
        <v>63</v>
      </c>
      <c r="B134" s="29">
        <v>3169.6</v>
      </c>
      <c r="C134" s="30" t="s">
        <v>511</v>
      </c>
      <c r="D134" s="2">
        <v>4947917141</v>
      </c>
      <c r="E134" s="2" t="s">
        <v>14</v>
      </c>
      <c r="F134" s="2" t="s">
        <v>512</v>
      </c>
      <c r="G134" s="28" t="s">
        <v>9</v>
      </c>
      <c r="H134" s="2" t="s">
        <v>23</v>
      </c>
      <c r="I134" s="2">
        <v>3</v>
      </c>
      <c r="J134" s="2"/>
      <c r="K134" s="2">
        <v>6447</v>
      </c>
      <c r="L134" s="35">
        <v>20434411.199999999</v>
      </c>
      <c r="M134" s="36">
        <v>2100</v>
      </c>
      <c r="N134" s="37">
        <v>593863</v>
      </c>
      <c r="O134" s="37">
        <v>1513</v>
      </c>
      <c r="P134" s="37">
        <v>69567</v>
      </c>
      <c r="Q134" s="37">
        <v>36795</v>
      </c>
      <c r="R134" s="37">
        <v>121774</v>
      </c>
      <c r="S134" s="37">
        <v>343435</v>
      </c>
      <c r="T134" s="40">
        <v>30000</v>
      </c>
      <c r="U134" s="37">
        <v>912406.25</v>
      </c>
      <c r="V134" s="37">
        <v>0</v>
      </c>
      <c r="W134" s="45">
        <v>2109353.25</v>
      </c>
      <c r="X134" s="46">
        <v>10.322554583809101</v>
      </c>
    </row>
    <row r="135" spans="1:24">
      <c r="A135" s="28" t="s">
        <v>63</v>
      </c>
      <c r="B135" s="29">
        <v>3169.6</v>
      </c>
      <c r="C135" s="30" t="s">
        <v>516</v>
      </c>
      <c r="D135" s="2">
        <v>4947321505</v>
      </c>
      <c r="E135" s="2" t="s">
        <v>14</v>
      </c>
      <c r="F135" s="2" t="s">
        <v>517</v>
      </c>
      <c r="G135" s="28" t="s">
        <v>5</v>
      </c>
      <c r="H135" s="2" t="s">
        <v>20</v>
      </c>
      <c r="I135" s="2">
        <v>1</v>
      </c>
      <c r="J135" s="2" t="s">
        <v>518</v>
      </c>
      <c r="K135" s="2">
        <v>15040</v>
      </c>
      <c r="L135" s="35">
        <v>47670784</v>
      </c>
      <c r="M135" s="36">
        <v>16000</v>
      </c>
      <c r="N135" s="37">
        <v>466386</v>
      </c>
      <c r="O135" s="37">
        <v>319212</v>
      </c>
      <c r="P135" s="37">
        <v>218246</v>
      </c>
      <c r="Q135" s="37">
        <v>99309</v>
      </c>
      <c r="R135" s="37">
        <v>642544</v>
      </c>
      <c r="S135" s="37">
        <v>686870</v>
      </c>
      <c r="T135" s="40">
        <v>30000</v>
      </c>
      <c r="U135" s="37">
        <v>1381100</v>
      </c>
      <c r="V135" s="37">
        <v>0</v>
      </c>
      <c r="W135" s="45">
        <v>3843667</v>
      </c>
      <c r="X135" s="46">
        <v>8.0629406052982109</v>
      </c>
    </row>
    <row r="136" spans="1:24">
      <c r="A136" s="28" t="s">
        <v>63</v>
      </c>
      <c r="B136" s="29">
        <v>3169.6</v>
      </c>
      <c r="C136" s="30" t="s">
        <v>549</v>
      </c>
      <c r="D136" s="2">
        <v>4947915819</v>
      </c>
      <c r="E136" s="2" t="s">
        <v>14</v>
      </c>
      <c r="F136" s="2" t="s">
        <v>550</v>
      </c>
      <c r="G136" s="28" t="s">
        <v>9</v>
      </c>
      <c r="H136" s="2" t="s">
        <v>23</v>
      </c>
      <c r="I136" s="2">
        <v>1</v>
      </c>
      <c r="J136" s="2"/>
      <c r="K136" s="2">
        <v>7962</v>
      </c>
      <c r="L136" s="35">
        <v>25236355.199999999</v>
      </c>
      <c r="M136" s="36">
        <v>600</v>
      </c>
      <c r="N136" s="37">
        <v>319153</v>
      </c>
      <c r="O136" s="37">
        <v>410</v>
      </c>
      <c r="P136" s="37">
        <v>18630</v>
      </c>
      <c r="Q136" s="37">
        <v>9837</v>
      </c>
      <c r="R136" s="37">
        <v>92299</v>
      </c>
      <c r="S136" s="37">
        <v>343435</v>
      </c>
      <c r="T136" s="40">
        <v>30000</v>
      </c>
      <c r="U136" s="37">
        <v>322916.129032258</v>
      </c>
      <c r="V136" s="37">
        <v>0</v>
      </c>
      <c r="W136" s="45">
        <v>1136680.12903226</v>
      </c>
      <c r="X136" s="46">
        <v>4.5041374636867504</v>
      </c>
    </row>
    <row r="137" spans="1:24">
      <c r="A137" s="28" t="s">
        <v>63</v>
      </c>
      <c r="B137" s="29">
        <v>3169.6</v>
      </c>
      <c r="C137" s="30" t="s">
        <v>555</v>
      </c>
      <c r="D137" s="2">
        <v>4947975532</v>
      </c>
      <c r="E137" s="2" t="s">
        <v>14</v>
      </c>
      <c r="F137" s="2" t="s">
        <v>556</v>
      </c>
      <c r="G137" s="28" t="s">
        <v>5</v>
      </c>
      <c r="H137" s="2" t="s">
        <v>20</v>
      </c>
      <c r="I137" s="2">
        <v>1</v>
      </c>
      <c r="J137" s="2" t="s">
        <v>557</v>
      </c>
      <c r="K137" s="2">
        <v>22080</v>
      </c>
      <c r="L137" s="35">
        <v>69984768</v>
      </c>
      <c r="M137" s="36">
        <v>8000</v>
      </c>
      <c r="N137" s="40">
        <v>200107.584050039</v>
      </c>
      <c r="O137" s="37">
        <v>199663.48709929601</v>
      </c>
      <c r="P137" s="37">
        <v>347265.05082095403</v>
      </c>
      <c r="Q137" s="37">
        <v>62116.653635652903</v>
      </c>
      <c r="R137" s="40">
        <v>407243.57544957002</v>
      </c>
      <c r="S137" s="40">
        <v>214814.69898358101</v>
      </c>
      <c r="T137" s="40">
        <v>30000</v>
      </c>
      <c r="U137" s="40">
        <v>2144487.88115715</v>
      </c>
      <c r="V137" s="40">
        <v>0</v>
      </c>
      <c r="W137" s="45">
        <v>3605698.9311962398</v>
      </c>
      <c r="X137" s="46">
        <v>5.1521195743568704</v>
      </c>
    </row>
    <row r="138" spans="1:24">
      <c r="A138" s="28" t="s">
        <v>63</v>
      </c>
      <c r="B138" s="29">
        <v>3169.6</v>
      </c>
      <c r="C138" s="30" t="s">
        <v>555</v>
      </c>
      <c r="D138" s="2">
        <v>4947975531</v>
      </c>
      <c r="E138" s="2" t="s">
        <v>14</v>
      </c>
      <c r="F138" s="2" t="s">
        <v>556</v>
      </c>
      <c r="G138" s="28" t="s">
        <v>5</v>
      </c>
      <c r="H138" s="2" t="s">
        <v>20</v>
      </c>
      <c r="I138" s="2">
        <v>1</v>
      </c>
      <c r="J138" s="2" t="s">
        <v>557</v>
      </c>
      <c r="K138" s="2">
        <v>12332.8</v>
      </c>
      <c r="L138" s="35">
        <v>39090042.880000003</v>
      </c>
      <c r="M138" s="36">
        <v>1640</v>
      </c>
      <c r="N138" s="40">
        <v>41022.054730258002</v>
      </c>
      <c r="O138" s="37">
        <v>40931.014855355803</v>
      </c>
      <c r="P138" s="37">
        <v>71189.335418295595</v>
      </c>
      <c r="Q138" s="37">
        <v>12733.9139953088</v>
      </c>
      <c r="R138" s="40">
        <v>83485.397967161902</v>
      </c>
      <c r="S138" s="40">
        <v>44037.013291634103</v>
      </c>
      <c r="T138" s="40">
        <v>30000</v>
      </c>
      <c r="U138" s="40">
        <v>439620.01563721697</v>
      </c>
      <c r="V138" s="40">
        <v>0</v>
      </c>
      <c r="W138" s="45">
        <v>763018.74589523103</v>
      </c>
      <c r="X138" s="46">
        <v>1.95195167280213</v>
      </c>
    </row>
    <row r="139" spans="1:24">
      <c r="A139" s="28" t="s">
        <v>63</v>
      </c>
      <c r="B139" s="29">
        <v>3169.6</v>
      </c>
      <c r="C139" s="30" t="s">
        <v>555</v>
      </c>
      <c r="D139" s="2">
        <v>4947975531</v>
      </c>
      <c r="E139" s="2" t="s">
        <v>14</v>
      </c>
      <c r="F139" s="2" t="s">
        <v>556</v>
      </c>
      <c r="G139" s="28" t="s">
        <v>5</v>
      </c>
      <c r="H139" s="2" t="s">
        <v>20</v>
      </c>
      <c r="I139" s="2">
        <v>1</v>
      </c>
      <c r="J139" s="2" t="s">
        <v>557</v>
      </c>
      <c r="K139" s="2">
        <v>4554</v>
      </c>
      <c r="L139" s="35">
        <v>14434358.4</v>
      </c>
      <c r="M139" s="36">
        <v>900</v>
      </c>
      <c r="N139" s="40">
        <v>22512.103205629399</v>
      </c>
      <c r="O139" s="37">
        <v>22462.142298670798</v>
      </c>
      <c r="P139" s="37">
        <v>39067.3182173573</v>
      </c>
      <c r="Q139" s="37">
        <v>6988.1235340109497</v>
      </c>
      <c r="R139" s="40">
        <v>45814.864738076598</v>
      </c>
      <c r="S139" s="40">
        <v>24166.6536356529</v>
      </c>
      <c r="T139" s="40">
        <v>30000</v>
      </c>
      <c r="U139" s="40">
        <v>241254.88663018</v>
      </c>
      <c r="V139" s="40">
        <v>0</v>
      </c>
      <c r="W139" s="45">
        <v>432266.092259578</v>
      </c>
      <c r="X139" s="46">
        <v>2.9947025027421899</v>
      </c>
    </row>
    <row r="140" spans="1:24">
      <c r="A140" s="28" t="s">
        <v>63</v>
      </c>
      <c r="B140" s="29">
        <v>3169.6</v>
      </c>
      <c r="C140" s="30" t="s">
        <v>555</v>
      </c>
      <c r="D140" s="2">
        <v>4948208973</v>
      </c>
      <c r="E140" s="2" t="s">
        <v>14</v>
      </c>
      <c r="F140" s="2" t="s">
        <v>556</v>
      </c>
      <c r="G140" s="28" t="s">
        <v>5</v>
      </c>
      <c r="H140" s="2" t="s">
        <v>20</v>
      </c>
      <c r="I140" s="2">
        <v>1</v>
      </c>
      <c r="J140" s="2" t="s">
        <v>557</v>
      </c>
      <c r="K140" s="2">
        <v>6930</v>
      </c>
      <c r="L140" s="35">
        <v>21965328</v>
      </c>
      <c r="M140" s="36">
        <v>2250</v>
      </c>
      <c r="N140" s="40">
        <v>56280.258014073501</v>
      </c>
      <c r="O140" s="37">
        <v>56155.355746677102</v>
      </c>
      <c r="P140" s="37">
        <v>97668.295543393295</v>
      </c>
      <c r="Q140" s="37">
        <v>17470.308835027401</v>
      </c>
      <c r="R140" s="40">
        <v>114537.16184519199</v>
      </c>
      <c r="S140" s="40">
        <v>60416.634089132102</v>
      </c>
      <c r="T140" s="40">
        <v>30000</v>
      </c>
      <c r="U140" s="40">
        <v>603137.21657545003</v>
      </c>
      <c r="V140" s="40">
        <v>0</v>
      </c>
      <c r="W140" s="45">
        <v>1035665.23064895</v>
      </c>
      <c r="X140" s="46">
        <v>4.7150000703333204</v>
      </c>
    </row>
    <row r="141" spans="1:24">
      <c r="A141" s="28" t="s">
        <v>63</v>
      </c>
      <c r="B141" s="29">
        <v>3169.6</v>
      </c>
      <c r="C141" s="30" t="s">
        <v>558</v>
      </c>
      <c r="D141" s="2">
        <v>4947510912</v>
      </c>
      <c r="E141" s="2" t="s">
        <v>14</v>
      </c>
      <c r="F141" s="2" t="s">
        <v>559</v>
      </c>
      <c r="G141" s="28" t="s">
        <v>9</v>
      </c>
      <c r="H141" s="2" t="s">
        <v>23</v>
      </c>
      <c r="I141" s="2">
        <v>1</v>
      </c>
      <c r="J141" s="2"/>
      <c r="K141" s="2">
        <v>2197.5</v>
      </c>
      <c r="L141" s="35">
        <v>6965196</v>
      </c>
      <c r="M141" s="36">
        <v>75</v>
      </c>
      <c r="N141" s="37">
        <v>459797</v>
      </c>
      <c r="O141" s="37">
        <v>64</v>
      </c>
      <c r="P141" s="37">
        <v>4667</v>
      </c>
      <c r="Q141" s="37">
        <v>1628</v>
      </c>
      <c r="R141" s="37">
        <v>81216</v>
      </c>
      <c r="S141" s="37">
        <v>343435</v>
      </c>
      <c r="T141" s="40">
        <v>30000</v>
      </c>
      <c r="U141" s="37">
        <v>124336.363636364</v>
      </c>
      <c r="V141" s="37">
        <v>0</v>
      </c>
      <c r="W141" s="45">
        <v>1045143.36363636</v>
      </c>
      <c r="X141" s="46">
        <v>15.005225461514099</v>
      </c>
    </row>
    <row r="142" spans="1:24">
      <c r="A142" s="28" t="s">
        <v>63</v>
      </c>
      <c r="B142" s="29">
        <v>3169.6</v>
      </c>
      <c r="C142" s="30" t="s">
        <v>560</v>
      </c>
      <c r="D142" s="2">
        <v>4947162568</v>
      </c>
      <c r="E142" s="2" t="s">
        <v>14</v>
      </c>
      <c r="F142" s="2" t="s">
        <v>561</v>
      </c>
      <c r="G142" s="28" t="s">
        <v>5</v>
      </c>
      <c r="H142" s="2" t="s">
        <v>17</v>
      </c>
      <c r="I142" s="2">
        <v>1</v>
      </c>
      <c r="J142" s="2" t="s">
        <v>562</v>
      </c>
      <c r="K142" s="2">
        <v>40936</v>
      </c>
      <c r="L142" s="35">
        <v>129750745.59999999</v>
      </c>
      <c r="M142" s="36">
        <v>17200</v>
      </c>
      <c r="N142" s="37">
        <v>330602</v>
      </c>
      <c r="O142" s="37">
        <v>418768</v>
      </c>
      <c r="P142" s="37">
        <v>863974</v>
      </c>
      <c r="Q142" s="37">
        <v>99309</v>
      </c>
      <c r="R142" s="37">
        <v>653592</v>
      </c>
      <c r="S142" s="37">
        <v>343435</v>
      </c>
      <c r="T142" s="40">
        <v>30000</v>
      </c>
      <c r="U142" s="37">
        <v>4961900</v>
      </c>
      <c r="V142" s="37">
        <v>0</v>
      </c>
      <c r="W142" s="45">
        <v>7701580</v>
      </c>
      <c r="X142" s="46">
        <v>5.9356730201325298</v>
      </c>
    </row>
    <row r="143" spans="1:24">
      <c r="A143" s="28" t="s">
        <v>63</v>
      </c>
      <c r="B143" s="29">
        <v>3169.6</v>
      </c>
      <c r="C143" s="30" t="s">
        <v>591</v>
      </c>
      <c r="D143" s="2">
        <v>4947917133</v>
      </c>
      <c r="E143" s="2" t="s">
        <v>14</v>
      </c>
      <c r="F143" s="2" t="s">
        <v>592</v>
      </c>
      <c r="G143" s="28" t="s">
        <v>9</v>
      </c>
      <c r="H143" s="2" t="s">
        <v>23</v>
      </c>
      <c r="I143" s="2">
        <v>3</v>
      </c>
      <c r="J143" s="2"/>
      <c r="K143" s="2">
        <v>4312</v>
      </c>
      <c r="L143" s="35">
        <v>13667315.199999999</v>
      </c>
      <c r="M143" s="36">
        <v>800</v>
      </c>
      <c r="N143" s="37">
        <v>328148</v>
      </c>
      <c r="O143" s="37">
        <v>567</v>
      </c>
      <c r="P143" s="37">
        <v>90174</v>
      </c>
      <c r="Q143" s="37">
        <v>13894</v>
      </c>
      <c r="R143" s="37">
        <v>120136</v>
      </c>
      <c r="S143" s="37">
        <v>343435</v>
      </c>
      <c r="T143" s="40">
        <v>30000</v>
      </c>
      <c r="U143" s="37">
        <v>430554.83870967699</v>
      </c>
      <c r="V143" s="37">
        <v>0</v>
      </c>
      <c r="W143" s="45">
        <v>1356908.8387096799</v>
      </c>
      <c r="X143" s="46">
        <v>9.9281301327540703</v>
      </c>
    </row>
    <row r="144" spans="1:24">
      <c r="A144" s="28" t="s">
        <v>63</v>
      </c>
      <c r="B144" s="29">
        <v>3169.6</v>
      </c>
      <c r="C144" s="30" t="s">
        <v>616</v>
      </c>
      <c r="D144" s="2">
        <v>4947975511</v>
      </c>
      <c r="E144" s="2" t="s">
        <v>14</v>
      </c>
      <c r="F144" s="2" t="s">
        <v>617</v>
      </c>
      <c r="G144" s="28" t="s">
        <v>5</v>
      </c>
      <c r="H144" s="2" t="s">
        <v>20</v>
      </c>
      <c r="I144" s="2">
        <v>1</v>
      </c>
      <c r="J144" s="2" t="s">
        <v>618</v>
      </c>
      <c r="K144" s="2">
        <v>7197</v>
      </c>
      <c r="L144" s="35">
        <v>22811611.199999999</v>
      </c>
      <c r="M144" s="36">
        <v>150</v>
      </c>
      <c r="N144" s="40">
        <v>14596.7748691099</v>
      </c>
      <c r="O144" s="50">
        <v>10027.602094240799</v>
      </c>
      <c r="P144" s="53">
        <v>0</v>
      </c>
      <c r="Q144" s="50">
        <v>3119.6544502617799</v>
      </c>
      <c r="R144" s="40">
        <v>19747.408376963402</v>
      </c>
      <c r="S144" s="40">
        <v>10788.534031413599</v>
      </c>
      <c r="T144" s="40">
        <v>30000</v>
      </c>
      <c r="U144" s="40">
        <v>66565.445026178</v>
      </c>
      <c r="V144" s="40">
        <v>0</v>
      </c>
      <c r="W144" s="45">
        <v>154845.418848167</v>
      </c>
      <c r="X144" s="46">
        <v>0.67880088561288199</v>
      </c>
    </row>
    <row r="145" spans="1:24">
      <c r="A145" s="28" t="s">
        <v>63</v>
      </c>
      <c r="B145" s="29">
        <v>3169.6</v>
      </c>
      <c r="C145" s="30" t="s">
        <v>616</v>
      </c>
      <c r="D145" s="2">
        <v>4947917135</v>
      </c>
      <c r="E145" s="2" t="s">
        <v>14</v>
      </c>
      <c r="F145" s="2" t="s">
        <v>617</v>
      </c>
      <c r="G145" s="28" t="s">
        <v>5</v>
      </c>
      <c r="H145" s="2" t="s">
        <v>20</v>
      </c>
      <c r="I145" s="2">
        <v>1</v>
      </c>
      <c r="J145" s="2" t="s">
        <v>618</v>
      </c>
      <c r="K145" s="2">
        <v>36966.75</v>
      </c>
      <c r="L145" s="35">
        <v>117169810.8</v>
      </c>
      <c r="M145" s="36">
        <v>1725</v>
      </c>
      <c r="N145" s="40">
        <v>167862.91099476401</v>
      </c>
      <c r="O145" s="50">
        <v>115317.42408377001</v>
      </c>
      <c r="P145" s="53">
        <v>0</v>
      </c>
      <c r="Q145" s="50">
        <v>35876.026178010499</v>
      </c>
      <c r="R145" s="40">
        <v>227091.696335079</v>
      </c>
      <c r="S145" s="40">
        <v>124068.141361257</v>
      </c>
      <c r="T145" s="40">
        <v>30000</v>
      </c>
      <c r="U145" s="40">
        <v>765502.61780104705</v>
      </c>
      <c r="V145" s="40">
        <v>0</v>
      </c>
      <c r="W145" s="45">
        <v>1465718.8167539299</v>
      </c>
      <c r="X145" s="46">
        <v>1.25093554964922</v>
      </c>
    </row>
    <row r="146" spans="1:24">
      <c r="A146" s="28" t="s">
        <v>63</v>
      </c>
      <c r="B146" s="29">
        <v>3169.6</v>
      </c>
      <c r="C146" s="30" t="s">
        <v>619</v>
      </c>
      <c r="D146" s="2">
        <v>4947915815</v>
      </c>
      <c r="E146" s="2" t="s">
        <v>14</v>
      </c>
      <c r="F146" s="2" t="s">
        <v>620</v>
      </c>
      <c r="G146" s="28" t="s">
        <v>9</v>
      </c>
      <c r="H146" s="2" t="s">
        <v>23</v>
      </c>
      <c r="I146" s="2">
        <v>1</v>
      </c>
      <c r="J146" s="2"/>
      <c r="K146" s="2">
        <v>4319.6400000000003</v>
      </c>
      <c r="L146" s="35">
        <v>13691530.944</v>
      </c>
      <c r="M146" s="36">
        <v>852</v>
      </c>
      <c r="N146" s="37">
        <v>583021</v>
      </c>
      <c r="O146" s="37">
        <v>596</v>
      </c>
      <c r="P146" s="37">
        <v>0</v>
      </c>
      <c r="Q146" s="37">
        <v>14635</v>
      </c>
      <c r="R146" s="37">
        <v>95283</v>
      </c>
      <c r="S146" s="37">
        <v>343435</v>
      </c>
      <c r="T146" s="40">
        <v>30000</v>
      </c>
      <c r="U146" s="37">
        <v>1367700</v>
      </c>
      <c r="V146" s="37">
        <v>0</v>
      </c>
      <c r="W146" s="45">
        <v>2434670</v>
      </c>
      <c r="X146" s="46">
        <v>17.7823065218791</v>
      </c>
    </row>
    <row r="147" spans="1:24">
      <c r="A147" s="28" t="s">
        <v>63</v>
      </c>
      <c r="B147" s="29">
        <v>3169.6</v>
      </c>
      <c r="C147" s="30" t="s">
        <v>621</v>
      </c>
      <c r="D147" s="2">
        <v>4947092285</v>
      </c>
      <c r="E147" s="2" t="s">
        <v>14</v>
      </c>
      <c r="F147" s="2" t="s">
        <v>622</v>
      </c>
      <c r="G147" s="28" t="s">
        <v>5</v>
      </c>
      <c r="H147" s="2" t="s">
        <v>20</v>
      </c>
      <c r="I147" s="2">
        <v>1</v>
      </c>
      <c r="J147" s="2" t="s">
        <v>623</v>
      </c>
      <c r="K147" s="2">
        <v>25612</v>
      </c>
      <c r="L147" s="35">
        <v>81179795.200000003</v>
      </c>
      <c r="M147" s="36">
        <v>7600</v>
      </c>
      <c r="N147" s="37">
        <v>328475</v>
      </c>
      <c r="O147" s="50">
        <v>319212</v>
      </c>
      <c r="P147" s="50">
        <v>107996</v>
      </c>
      <c r="Q147" s="50">
        <v>99309</v>
      </c>
      <c r="R147" s="37">
        <v>633123</v>
      </c>
      <c r="S147" s="37">
        <v>343435</v>
      </c>
      <c r="T147" s="40">
        <v>30000</v>
      </c>
      <c r="U147" s="37">
        <v>2601700</v>
      </c>
      <c r="V147" s="37">
        <v>0</v>
      </c>
      <c r="W147" s="45">
        <v>4463250</v>
      </c>
      <c r="X147" s="46">
        <v>5.49798134992092</v>
      </c>
    </row>
    <row r="148" spans="1:24">
      <c r="A148" s="28" t="s">
        <v>63</v>
      </c>
      <c r="B148" s="29">
        <v>3169.6</v>
      </c>
      <c r="C148" s="30" t="s">
        <v>624</v>
      </c>
      <c r="D148" s="2">
        <v>4947642971</v>
      </c>
      <c r="E148" s="2" t="s">
        <v>14</v>
      </c>
      <c r="F148" s="2" t="s">
        <v>625</v>
      </c>
      <c r="G148" s="28" t="s">
        <v>9</v>
      </c>
      <c r="H148" s="2" t="s">
        <v>23</v>
      </c>
      <c r="I148" s="2">
        <v>38</v>
      </c>
      <c r="J148" s="2"/>
      <c r="K148" s="2">
        <v>10410</v>
      </c>
      <c r="L148" s="35">
        <v>32995536</v>
      </c>
      <c r="M148" s="36">
        <v>300</v>
      </c>
      <c r="N148" s="40">
        <v>46660.597103162901</v>
      </c>
      <c r="O148" s="37">
        <v>201.211942063257</v>
      </c>
      <c r="P148" s="40">
        <v>43635.128584097001</v>
      </c>
      <c r="Q148" s="37">
        <v>4909.1279929057</v>
      </c>
      <c r="R148" s="40">
        <v>7401.37156370086</v>
      </c>
      <c r="S148" s="40">
        <v>6091.0730121194201</v>
      </c>
      <c r="T148" s="40">
        <v>30000</v>
      </c>
      <c r="U148" s="40">
        <v>147951.52231746999</v>
      </c>
      <c r="V148" s="40">
        <v>0</v>
      </c>
      <c r="W148" s="45">
        <v>286850.03251551901</v>
      </c>
      <c r="X148" s="46">
        <v>0.86936012348918701</v>
      </c>
    </row>
    <row r="149" spans="1:24">
      <c r="A149" s="28" t="s">
        <v>63</v>
      </c>
      <c r="B149" s="29">
        <v>3169.6</v>
      </c>
      <c r="C149" s="30" t="s">
        <v>624</v>
      </c>
      <c r="D149" s="2">
        <v>4947917135</v>
      </c>
      <c r="E149" s="2" t="s">
        <v>14</v>
      </c>
      <c r="F149" s="2" t="s">
        <v>625</v>
      </c>
      <c r="G149" s="28" t="s">
        <v>9</v>
      </c>
      <c r="H149" s="2" t="s">
        <v>23</v>
      </c>
      <c r="I149" s="2">
        <v>38</v>
      </c>
      <c r="J149" s="2"/>
      <c r="K149" s="2">
        <v>7686</v>
      </c>
      <c r="L149" s="35">
        <v>24361545.600000001</v>
      </c>
      <c r="M149" s="36">
        <v>1575</v>
      </c>
      <c r="N149" s="40">
        <v>244968.134791605</v>
      </c>
      <c r="O149" s="37">
        <v>1056.3626958320999</v>
      </c>
      <c r="P149" s="40">
        <v>229084.42506650899</v>
      </c>
      <c r="Q149" s="37">
        <v>25772.921962755001</v>
      </c>
      <c r="R149" s="40">
        <v>38857.200709429497</v>
      </c>
      <c r="S149" s="40">
        <v>31978.133313627</v>
      </c>
      <c r="T149" s="40">
        <v>30000</v>
      </c>
      <c r="U149" s="40">
        <v>776745.49216671602</v>
      </c>
      <c r="V149" s="40">
        <v>0</v>
      </c>
      <c r="W149" s="45">
        <v>1378462.67070647</v>
      </c>
      <c r="X149" s="46">
        <v>5.6583547421000802</v>
      </c>
    </row>
    <row r="150" spans="1:24">
      <c r="A150" s="28" t="s">
        <v>63</v>
      </c>
      <c r="B150" s="29">
        <v>3169.6</v>
      </c>
      <c r="C150" s="30" t="s">
        <v>624</v>
      </c>
      <c r="D150" s="2">
        <v>4947917137</v>
      </c>
      <c r="E150" s="2" t="s">
        <v>14</v>
      </c>
      <c r="F150" s="2" t="s">
        <v>625</v>
      </c>
      <c r="G150" s="28" t="s">
        <v>9</v>
      </c>
      <c r="H150" s="2" t="s">
        <v>23</v>
      </c>
      <c r="I150" s="2">
        <v>38</v>
      </c>
      <c r="J150" s="2"/>
      <c r="K150" s="2">
        <v>4416</v>
      </c>
      <c r="L150" s="35">
        <v>13996953.6</v>
      </c>
      <c r="M150" s="36">
        <v>1600</v>
      </c>
      <c r="N150" s="40">
        <v>248856.51788353501</v>
      </c>
      <c r="O150" s="37">
        <v>1073.1303576707101</v>
      </c>
      <c r="P150" s="40">
        <v>232720.68578185001</v>
      </c>
      <c r="Q150" s="37">
        <v>26182.015962163801</v>
      </c>
      <c r="R150" s="40">
        <v>39473.981673071197</v>
      </c>
      <c r="S150" s="40">
        <v>32485.722731303598</v>
      </c>
      <c r="T150" s="40">
        <v>30000</v>
      </c>
      <c r="U150" s="40">
        <v>789074.78569317202</v>
      </c>
      <c r="V150" s="40">
        <v>0</v>
      </c>
      <c r="W150" s="45">
        <v>1399866.84008277</v>
      </c>
      <c r="X150" s="46">
        <v>10.001225124321101</v>
      </c>
    </row>
    <row r="151" spans="1:24">
      <c r="A151" s="28" t="s">
        <v>63</v>
      </c>
      <c r="B151" s="29">
        <v>3169.6</v>
      </c>
      <c r="C151" s="30" t="s">
        <v>624</v>
      </c>
      <c r="D151" s="2">
        <v>4947917135</v>
      </c>
      <c r="E151" s="2" t="s">
        <v>14</v>
      </c>
      <c r="F151" s="2" t="s">
        <v>625</v>
      </c>
      <c r="G151" s="28" t="s">
        <v>9</v>
      </c>
      <c r="H151" s="2" t="s">
        <v>23</v>
      </c>
      <c r="I151" s="2">
        <v>38</v>
      </c>
      <c r="J151" s="2"/>
      <c r="K151" s="2">
        <v>1092</v>
      </c>
      <c r="L151" s="35">
        <v>3461203.2</v>
      </c>
      <c r="M151" s="36">
        <v>420</v>
      </c>
      <c r="N151" s="40">
        <v>65324.835944427999</v>
      </c>
      <c r="O151" s="37">
        <v>281.69671888855999</v>
      </c>
      <c r="P151" s="40">
        <v>61089.1800177357</v>
      </c>
      <c r="Q151" s="37">
        <v>6872.7791900679904</v>
      </c>
      <c r="R151" s="40">
        <v>10361.920189181201</v>
      </c>
      <c r="S151" s="40">
        <v>8527.5022169671902</v>
      </c>
      <c r="T151" s="40">
        <v>30000</v>
      </c>
      <c r="U151" s="40">
        <v>207132.131244458</v>
      </c>
      <c r="V151" s="40">
        <v>0</v>
      </c>
      <c r="W151" s="45">
        <v>389590.04552172701</v>
      </c>
      <c r="X151" s="46">
        <v>11.2559137100569</v>
      </c>
    </row>
    <row r="152" spans="1:24">
      <c r="A152" s="28" t="s">
        <v>63</v>
      </c>
      <c r="B152" s="29">
        <v>3169.6</v>
      </c>
      <c r="C152" s="30" t="s">
        <v>624</v>
      </c>
      <c r="D152" s="2">
        <v>4947219366</v>
      </c>
      <c r="E152" s="2" t="s">
        <v>14</v>
      </c>
      <c r="F152" s="2" t="s">
        <v>625</v>
      </c>
      <c r="G152" s="28" t="s">
        <v>9</v>
      </c>
      <c r="H152" s="2" t="s">
        <v>23</v>
      </c>
      <c r="I152" s="2">
        <v>38</v>
      </c>
      <c r="J152" s="2"/>
      <c r="K152" s="2">
        <v>23587.200000000001</v>
      </c>
      <c r="L152" s="35">
        <v>74761989.120000005</v>
      </c>
      <c r="M152" s="36">
        <v>6720</v>
      </c>
      <c r="N152" s="40">
        <v>1045197.37511085</v>
      </c>
      <c r="O152" s="37">
        <v>4507.1475022169698</v>
      </c>
      <c r="P152" s="40">
        <v>977426.88028377201</v>
      </c>
      <c r="Q152" s="37">
        <v>109964.46704108801</v>
      </c>
      <c r="R152" s="40">
        <v>165790.72302689901</v>
      </c>
      <c r="S152" s="40">
        <v>136440.03547147501</v>
      </c>
      <c r="T152" s="40">
        <v>30000</v>
      </c>
      <c r="U152" s="40">
        <v>3314114.09991132</v>
      </c>
      <c r="V152" s="40">
        <v>0</v>
      </c>
      <c r="W152" s="45">
        <v>5783440.72834762</v>
      </c>
      <c r="X152" s="46">
        <v>7.7358037104452304</v>
      </c>
    </row>
    <row r="153" spans="1:24">
      <c r="A153" s="28" t="s">
        <v>63</v>
      </c>
      <c r="B153" s="29">
        <v>3169.6</v>
      </c>
      <c r="C153" s="30" t="s">
        <v>624</v>
      </c>
      <c r="D153" s="2">
        <v>4947642971</v>
      </c>
      <c r="E153" s="2" t="s">
        <v>14</v>
      </c>
      <c r="F153" s="2" t="s">
        <v>625</v>
      </c>
      <c r="G153" s="28" t="s">
        <v>9</v>
      </c>
      <c r="H153" s="2" t="s">
        <v>23</v>
      </c>
      <c r="I153" s="2">
        <v>38</v>
      </c>
      <c r="J153" s="2"/>
      <c r="K153" s="2">
        <v>1860.6</v>
      </c>
      <c r="L153" s="35">
        <v>5897357.7599999998</v>
      </c>
      <c r="M153" s="36">
        <v>420</v>
      </c>
      <c r="N153" s="40">
        <v>65324.835944427999</v>
      </c>
      <c r="O153" s="37">
        <v>281.69671888855999</v>
      </c>
      <c r="P153" s="40">
        <v>61089.1800177357</v>
      </c>
      <c r="Q153" s="37">
        <v>6872.7791900679904</v>
      </c>
      <c r="R153" s="40">
        <v>10361.920189181201</v>
      </c>
      <c r="S153" s="40">
        <v>8527.5022169671902</v>
      </c>
      <c r="T153" s="40">
        <v>30000</v>
      </c>
      <c r="U153" s="40">
        <v>207132.131244458</v>
      </c>
      <c r="V153" s="40">
        <v>0</v>
      </c>
      <c r="W153" s="45">
        <v>389590.04552172701</v>
      </c>
      <c r="X153" s="46">
        <v>6.6061796040965799</v>
      </c>
    </row>
    <row r="154" spans="1:24">
      <c r="A154" s="28" t="s">
        <v>63</v>
      </c>
      <c r="B154" s="29">
        <v>3169.6</v>
      </c>
      <c r="C154" s="30" t="s">
        <v>624</v>
      </c>
      <c r="D154" s="2">
        <v>4946111531</v>
      </c>
      <c r="E154" s="2" t="s">
        <v>14</v>
      </c>
      <c r="F154" s="2" t="s">
        <v>625</v>
      </c>
      <c r="G154" s="28" t="s">
        <v>9</v>
      </c>
      <c r="H154" s="2" t="s">
        <v>23</v>
      </c>
      <c r="I154" s="2">
        <v>38</v>
      </c>
      <c r="J154" s="2"/>
      <c r="K154" s="2">
        <v>2016</v>
      </c>
      <c r="L154" s="35">
        <v>6389913.5999999996</v>
      </c>
      <c r="M154" s="36">
        <v>840</v>
      </c>
      <c r="N154" s="40">
        <v>130649.671888856</v>
      </c>
      <c r="O154" s="37">
        <v>563.39343777712099</v>
      </c>
      <c r="P154" s="40">
        <v>122178.36003547101</v>
      </c>
      <c r="Q154" s="37">
        <v>13745.558380136001</v>
      </c>
      <c r="R154" s="40">
        <v>20723.840378362402</v>
      </c>
      <c r="S154" s="40">
        <v>17055.004433934399</v>
      </c>
      <c r="T154" s="40">
        <v>30000</v>
      </c>
      <c r="U154" s="40">
        <v>414264.262488915</v>
      </c>
      <c r="V154" s="40">
        <v>0</v>
      </c>
      <c r="W154" s="45">
        <v>749180.09104345203</v>
      </c>
      <c r="X154" s="46">
        <v>11.724416603120501</v>
      </c>
    </row>
    <row r="155" spans="1:24">
      <c r="A155" s="28" t="s">
        <v>63</v>
      </c>
      <c r="B155" s="29">
        <v>3169.6</v>
      </c>
      <c r="C155" s="30" t="s">
        <v>624</v>
      </c>
      <c r="D155" s="2">
        <v>4946737905</v>
      </c>
      <c r="E155" s="2" t="s">
        <v>14</v>
      </c>
      <c r="F155" s="2" t="s">
        <v>625</v>
      </c>
      <c r="G155" s="28" t="s">
        <v>9</v>
      </c>
      <c r="H155" s="2" t="s">
        <v>23</v>
      </c>
      <c r="I155" s="2">
        <v>38</v>
      </c>
      <c r="J155" s="2"/>
      <c r="K155" s="2">
        <v>4032</v>
      </c>
      <c r="L155" s="35">
        <v>12779827.199999999</v>
      </c>
      <c r="M155" s="36">
        <v>1680</v>
      </c>
      <c r="N155" s="40">
        <v>261299.343777712</v>
      </c>
      <c r="O155" s="37">
        <v>1126.7868755542399</v>
      </c>
      <c r="P155" s="40">
        <v>244356.720070943</v>
      </c>
      <c r="Q155" s="37">
        <v>27491.116760272002</v>
      </c>
      <c r="R155" s="40">
        <v>41447.680756724803</v>
      </c>
      <c r="S155" s="40">
        <v>34110.008867868797</v>
      </c>
      <c r="T155" s="40">
        <v>30000</v>
      </c>
      <c r="U155" s="40">
        <v>828528.52497783001</v>
      </c>
      <c r="V155" s="40">
        <v>0</v>
      </c>
      <c r="W155" s="45">
        <v>1468360.1820869001</v>
      </c>
      <c r="X155" s="46">
        <v>11.489671645066601</v>
      </c>
    </row>
    <row r="156" spans="1:24">
      <c r="A156" s="28" t="s">
        <v>63</v>
      </c>
      <c r="B156" s="29">
        <v>3169.6</v>
      </c>
      <c r="C156" s="30" t="s">
        <v>624</v>
      </c>
      <c r="D156" s="2">
        <v>4946736889</v>
      </c>
      <c r="E156" s="2" t="s">
        <v>14</v>
      </c>
      <c r="F156" s="2" t="s">
        <v>625</v>
      </c>
      <c r="G156" s="28" t="s">
        <v>9</v>
      </c>
      <c r="H156" s="2" t="s">
        <v>23</v>
      </c>
      <c r="I156" s="2">
        <v>38</v>
      </c>
      <c r="J156" s="2"/>
      <c r="K156" s="2">
        <v>4032</v>
      </c>
      <c r="L156" s="35">
        <v>12779827.199999999</v>
      </c>
      <c r="M156" s="36">
        <v>1680</v>
      </c>
      <c r="N156" s="40">
        <v>261299.343777712</v>
      </c>
      <c r="O156" s="37">
        <v>1126.7868755542399</v>
      </c>
      <c r="P156" s="40">
        <v>244356.720070943</v>
      </c>
      <c r="Q156" s="37">
        <v>27491.116760272002</v>
      </c>
      <c r="R156" s="40">
        <v>41447.680756724803</v>
      </c>
      <c r="S156" s="40">
        <v>34110.008867868797</v>
      </c>
      <c r="T156" s="40">
        <v>30000</v>
      </c>
      <c r="U156" s="40">
        <v>828528.52497783001</v>
      </c>
      <c r="V156" s="40">
        <v>0</v>
      </c>
      <c r="W156" s="45">
        <v>1468360.1820869001</v>
      </c>
      <c r="X156" s="46">
        <v>11.489671645066601</v>
      </c>
    </row>
    <row r="157" spans="1:24">
      <c r="A157" s="28" t="s">
        <v>63</v>
      </c>
      <c r="B157" s="29">
        <v>3169.6</v>
      </c>
      <c r="C157" s="30" t="s">
        <v>624</v>
      </c>
      <c r="D157" s="2">
        <v>4946736886</v>
      </c>
      <c r="E157" s="2" t="s">
        <v>14</v>
      </c>
      <c r="F157" s="2" t="s">
        <v>625</v>
      </c>
      <c r="G157" s="28" t="s">
        <v>9</v>
      </c>
      <c r="H157" s="2" t="s">
        <v>23</v>
      </c>
      <c r="I157" s="2">
        <v>38</v>
      </c>
      <c r="J157" s="2"/>
      <c r="K157" s="2">
        <v>4032</v>
      </c>
      <c r="L157" s="35">
        <v>12779827.199999999</v>
      </c>
      <c r="M157" s="36">
        <v>1680</v>
      </c>
      <c r="N157" s="40">
        <v>261299.343777712</v>
      </c>
      <c r="O157" s="37">
        <v>1126.7868755542399</v>
      </c>
      <c r="P157" s="40">
        <v>244356.720070943</v>
      </c>
      <c r="Q157" s="37">
        <v>27491.116760272002</v>
      </c>
      <c r="R157" s="40">
        <v>41447.680756724803</v>
      </c>
      <c r="S157" s="40">
        <v>34110.008867868797</v>
      </c>
      <c r="T157" s="40">
        <v>30000</v>
      </c>
      <c r="U157" s="40">
        <v>828528.52497783001</v>
      </c>
      <c r="V157" s="40">
        <v>0</v>
      </c>
      <c r="W157" s="45">
        <v>1468360.1820869001</v>
      </c>
      <c r="X157" s="46">
        <v>11.489671645066601</v>
      </c>
    </row>
    <row r="158" spans="1:24">
      <c r="A158" s="28" t="s">
        <v>63</v>
      </c>
      <c r="B158" s="29">
        <v>3169.6</v>
      </c>
      <c r="C158" s="30" t="s">
        <v>626</v>
      </c>
      <c r="D158" s="2">
        <v>4947915818</v>
      </c>
      <c r="E158" s="2" t="s">
        <v>14</v>
      </c>
      <c r="F158" s="2" t="s">
        <v>627</v>
      </c>
      <c r="G158" s="28" t="s">
        <v>9</v>
      </c>
      <c r="H158" s="2" t="s">
        <v>23</v>
      </c>
      <c r="I158" s="2">
        <v>10</v>
      </c>
      <c r="J158" s="2"/>
      <c r="K158" s="2">
        <v>3010</v>
      </c>
      <c r="L158" s="35">
        <v>9540496</v>
      </c>
      <c r="M158" s="36">
        <v>6000</v>
      </c>
      <c r="N158" s="40">
        <v>3256649.1428571399</v>
      </c>
      <c r="O158" s="37">
        <v>3891.1168831168802</v>
      </c>
      <c r="P158" s="40">
        <v>389311.16883116902</v>
      </c>
      <c r="Q158" s="37">
        <v>95542.441558441598</v>
      </c>
      <c r="R158" s="40">
        <v>170306.49350649401</v>
      </c>
      <c r="S158" s="40">
        <v>214089.35064935099</v>
      </c>
      <c r="T158" s="40">
        <v>30000</v>
      </c>
      <c r="U158" s="40">
        <v>1673725.4901960799</v>
      </c>
      <c r="V158" s="40">
        <v>0</v>
      </c>
      <c r="W158" s="45">
        <v>5833515.2044817898</v>
      </c>
      <c r="X158" s="46">
        <v>61.144779102488897</v>
      </c>
    </row>
    <row r="159" spans="1:24">
      <c r="A159" s="28" t="s">
        <v>63</v>
      </c>
      <c r="B159" s="29">
        <v>3169.6</v>
      </c>
      <c r="C159" s="30" t="s">
        <v>630</v>
      </c>
      <c r="D159" s="2">
        <v>4947217696</v>
      </c>
      <c r="E159" s="2" t="s">
        <v>14</v>
      </c>
      <c r="F159" s="78" t="s">
        <v>631</v>
      </c>
      <c r="G159" s="28" t="s">
        <v>9</v>
      </c>
      <c r="H159" s="2" t="s">
        <v>23</v>
      </c>
      <c r="I159" s="2">
        <v>30</v>
      </c>
      <c r="J159" s="2"/>
      <c r="K159" s="2">
        <v>7098</v>
      </c>
      <c r="L159" s="35">
        <v>22497820.800000001</v>
      </c>
      <c r="M159" s="36">
        <v>3900</v>
      </c>
      <c r="N159" s="40">
        <v>502711.142578125</v>
      </c>
      <c r="O159" s="37">
        <v>3893.0132568971699</v>
      </c>
      <c r="P159" s="40">
        <v>223251.57714843701</v>
      </c>
      <c r="Q159" s="37">
        <v>95022.221426012198</v>
      </c>
      <c r="R159" s="40">
        <v>90504.1845703125</v>
      </c>
      <c r="S159" s="40">
        <v>65400.2197265625</v>
      </c>
      <c r="T159" s="40">
        <v>30000</v>
      </c>
      <c r="U159" s="40">
        <v>1588564.453125</v>
      </c>
      <c r="V159" s="40">
        <v>0</v>
      </c>
      <c r="W159" s="45">
        <v>2599346.81183135</v>
      </c>
      <c r="X159" s="46">
        <v>11.553771518312301</v>
      </c>
    </row>
    <row r="160" spans="1:24">
      <c r="A160" s="28" t="s">
        <v>63</v>
      </c>
      <c r="B160" s="29">
        <v>3169.6</v>
      </c>
      <c r="C160" s="30" t="s">
        <v>630</v>
      </c>
      <c r="D160" s="2">
        <v>4947915819</v>
      </c>
      <c r="E160" s="2" t="s">
        <v>14</v>
      </c>
      <c r="F160" s="2" t="s">
        <v>631</v>
      </c>
      <c r="G160" s="28" t="s">
        <v>9</v>
      </c>
      <c r="H160" s="2" t="s">
        <v>23</v>
      </c>
      <c r="I160" s="2">
        <v>30</v>
      </c>
      <c r="J160" s="2"/>
      <c r="K160" s="2">
        <v>5607</v>
      </c>
      <c r="L160" s="35">
        <v>17771947.199999999</v>
      </c>
      <c r="M160" s="36">
        <v>1050</v>
      </c>
      <c r="N160" s="40">
        <v>135345.30761718701</v>
      </c>
      <c r="O160" s="37">
        <v>1048.1189537800101</v>
      </c>
      <c r="P160" s="40">
        <v>60106.193847656199</v>
      </c>
      <c r="Q160" s="37">
        <v>25582.905768541699</v>
      </c>
      <c r="R160" s="40">
        <v>24366.511230468699</v>
      </c>
      <c r="S160" s="40">
        <v>17607.751464843699</v>
      </c>
      <c r="T160" s="40">
        <v>30000</v>
      </c>
      <c r="U160" s="40">
        <v>427690.4296875</v>
      </c>
      <c r="V160" s="40">
        <v>0</v>
      </c>
      <c r="W160" s="45">
        <v>721747.21856997698</v>
      </c>
      <c r="X160" s="46">
        <v>4.0611600431154598</v>
      </c>
    </row>
    <row r="161" spans="1:24">
      <c r="A161" s="28" t="s">
        <v>63</v>
      </c>
      <c r="B161" s="29">
        <v>3169.6</v>
      </c>
      <c r="C161" s="30" t="s">
        <v>630</v>
      </c>
      <c r="D161" s="2">
        <v>4947774254</v>
      </c>
      <c r="E161" s="2" t="s">
        <v>14</v>
      </c>
      <c r="F161" s="2" t="s">
        <v>631</v>
      </c>
      <c r="G161" s="28" t="s">
        <v>9</v>
      </c>
      <c r="H161" s="2" t="s">
        <v>23</v>
      </c>
      <c r="I161" s="2">
        <v>30</v>
      </c>
      <c r="J161" s="2"/>
      <c r="K161" s="2">
        <v>8936.4</v>
      </c>
      <c r="L161" s="35">
        <v>28324813.440000001</v>
      </c>
      <c r="M161" s="36">
        <v>1320</v>
      </c>
      <c r="N161" s="40">
        <v>170148.38671875</v>
      </c>
      <c r="O161" s="37">
        <v>1317.63525618058</v>
      </c>
      <c r="P161" s="40">
        <v>75562.072265625</v>
      </c>
      <c r="Q161" s="37">
        <v>32161.367251881002</v>
      </c>
      <c r="R161" s="40">
        <v>30632.185546875</v>
      </c>
      <c r="S161" s="40">
        <v>22135.458984375</v>
      </c>
      <c r="T161" s="40">
        <v>30000</v>
      </c>
      <c r="U161" s="40">
        <v>537667.96875</v>
      </c>
      <c r="V161" s="40">
        <v>0</v>
      </c>
      <c r="W161" s="45">
        <v>899625.07477368705</v>
      </c>
      <c r="X161" s="46">
        <v>3.17610238344322</v>
      </c>
    </row>
    <row r="162" spans="1:24">
      <c r="A162" s="28" t="s">
        <v>63</v>
      </c>
      <c r="B162" s="29">
        <v>3169.6</v>
      </c>
      <c r="C162" s="30" t="s">
        <v>630</v>
      </c>
      <c r="D162" s="2">
        <v>4947975531</v>
      </c>
      <c r="E162" s="2" t="s">
        <v>14</v>
      </c>
      <c r="F162" s="2" t="s">
        <v>631</v>
      </c>
      <c r="G162" s="28" t="s">
        <v>9</v>
      </c>
      <c r="H162" s="2" t="s">
        <v>23</v>
      </c>
      <c r="I162" s="2">
        <v>30</v>
      </c>
      <c r="J162" s="2"/>
      <c r="K162" s="2">
        <v>6048</v>
      </c>
      <c r="L162" s="35">
        <v>19169740.800000001</v>
      </c>
      <c r="M162" s="36">
        <v>2400</v>
      </c>
      <c r="N162" s="40">
        <v>309360.703125</v>
      </c>
      <c r="O162" s="37">
        <v>2395.7004657828702</v>
      </c>
      <c r="P162" s="40">
        <v>137385.5859375</v>
      </c>
      <c r="Q162" s="37">
        <v>58475.213185238303</v>
      </c>
      <c r="R162" s="40">
        <v>55694.8828125</v>
      </c>
      <c r="S162" s="40">
        <v>40246.2890625</v>
      </c>
      <c r="T162" s="40">
        <v>30000</v>
      </c>
      <c r="U162" s="40">
        <v>977578.125</v>
      </c>
      <c r="V162" s="40">
        <v>0</v>
      </c>
      <c r="W162" s="45">
        <v>1611136.49958852</v>
      </c>
      <c r="X162" s="46">
        <v>8.4045815558889601</v>
      </c>
    </row>
    <row r="163" spans="1:24">
      <c r="A163" s="28" t="s">
        <v>63</v>
      </c>
      <c r="B163" s="29">
        <v>3169.6</v>
      </c>
      <c r="C163" s="30" t="s">
        <v>630</v>
      </c>
      <c r="D163" s="2">
        <v>4947975519</v>
      </c>
      <c r="E163" s="2" t="s">
        <v>14</v>
      </c>
      <c r="F163" s="2" t="s">
        <v>631</v>
      </c>
      <c r="G163" s="28" t="s">
        <v>9</v>
      </c>
      <c r="H163" s="2" t="s">
        <v>23</v>
      </c>
      <c r="I163" s="2">
        <v>30</v>
      </c>
      <c r="J163" s="2"/>
      <c r="K163" s="2">
        <v>7371</v>
      </c>
      <c r="L163" s="35">
        <v>23363121.600000001</v>
      </c>
      <c r="M163" s="36">
        <v>2100</v>
      </c>
      <c r="N163" s="40">
        <v>270690.615234375</v>
      </c>
      <c r="O163" s="37">
        <v>2096.2379075600102</v>
      </c>
      <c r="P163" s="40">
        <v>120212.38769531201</v>
      </c>
      <c r="Q163" s="37">
        <v>51165.8115370835</v>
      </c>
      <c r="R163" s="40">
        <v>48733.0224609375</v>
      </c>
      <c r="S163" s="40">
        <v>35215.5029296875</v>
      </c>
      <c r="T163" s="40">
        <v>30000</v>
      </c>
      <c r="U163" s="40">
        <v>855380.859375</v>
      </c>
      <c r="V163" s="40">
        <v>0</v>
      </c>
      <c r="W163" s="45">
        <v>1413494.43713996</v>
      </c>
      <c r="X163" s="46">
        <v>6.05010949024875</v>
      </c>
    </row>
    <row r="164" spans="1:24">
      <c r="A164" s="28" t="s">
        <v>63</v>
      </c>
      <c r="B164" s="29">
        <v>3169.6</v>
      </c>
      <c r="C164" s="30" t="s">
        <v>630</v>
      </c>
      <c r="D164" s="2">
        <v>4947975519</v>
      </c>
      <c r="E164" s="2" t="s">
        <v>14</v>
      </c>
      <c r="F164" s="2" t="s">
        <v>631</v>
      </c>
      <c r="G164" s="28" t="s">
        <v>9</v>
      </c>
      <c r="H164" s="2" t="s">
        <v>23</v>
      </c>
      <c r="I164" s="2">
        <v>30</v>
      </c>
      <c r="J164" s="2"/>
      <c r="K164" s="2">
        <v>4000.5</v>
      </c>
      <c r="L164" s="35">
        <v>12679984.800000001</v>
      </c>
      <c r="M164" s="36">
        <v>1050</v>
      </c>
      <c r="N164" s="40">
        <v>135345.30761718701</v>
      </c>
      <c r="O164" s="37">
        <v>1048.1189537800101</v>
      </c>
      <c r="P164" s="40">
        <v>60106.193847656199</v>
      </c>
      <c r="Q164" s="37">
        <v>25582.905768541699</v>
      </c>
      <c r="R164" s="40">
        <v>24366.511230468699</v>
      </c>
      <c r="S164" s="40">
        <v>17607.751464843699</v>
      </c>
      <c r="T164" s="40">
        <v>30000</v>
      </c>
      <c r="U164" s="40">
        <v>427690.4296875</v>
      </c>
      <c r="V164" s="40">
        <v>0</v>
      </c>
      <c r="W164" s="45">
        <v>721747.21856997698</v>
      </c>
      <c r="X164" s="46">
        <v>5.6920195879886002</v>
      </c>
    </row>
    <row r="165" spans="1:24">
      <c r="A165" s="28" t="s">
        <v>63</v>
      </c>
      <c r="B165" s="29">
        <v>3169.6</v>
      </c>
      <c r="C165" s="30" t="s">
        <v>630</v>
      </c>
      <c r="D165" s="2">
        <v>4947975519</v>
      </c>
      <c r="E165" s="2" t="s">
        <v>14</v>
      </c>
      <c r="F165" s="2" t="s">
        <v>631</v>
      </c>
      <c r="G165" s="28" t="s">
        <v>9</v>
      </c>
      <c r="H165" s="2" t="s">
        <v>23</v>
      </c>
      <c r="I165" s="2">
        <v>30</v>
      </c>
      <c r="J165" s="2"/>
      <c r="K165" s="2">
        <v>5533.5</v>
      </c>
      <c r="L165" s="35">
        <v>17538981.600000001</v>
      </c>
      <c r="M165" s="36">
        <v>1050</v>
      </c>
      <c r="N165" s="40">
        <v>135345.30761718701</v>
      </c>
      <c r="O165" s="37">
        <v>1048.1189537800101</v>
      </c>
      <c r="P165" s="40">
        <v>60106.193847656199</v>
      </c>
      <c r="Q165" s="37">
        <v>25582.905768541699</v>
      </c>
      <c r="R165" s="40">
        <v>24366.511230468699</v>
      </c>
      <c r="S165" s="40">
        <v>17607.751464843699</v>
      </c>
      <c r="T165" s="40">
        <v>30000</v>
      </c>
      <c r="U165" s="40">
        <v>427690.4296875</v>
      </c>
      <c r="V165" s="40">
        <v>0</v>
      </c>
      <c r="W165" s="45">
        <v>721747.21856997698</v>
      </c>
      <c r="X165" s="46">
        <v>4.11510334539593</v>
      </c>
    </row>
    <row r="166" spans="1:24">
      <c r="A166" s="28" t="s">
        <v>63</v>
      </c>
      <c r="B166" s="29">
        <v>3169.6</v>
      </c>
      <c r="C166" s="30" t="s">
        <v>630</v>
      </c>
      <c r="D166" s="2">
        <v>4947975519</v>
      </c>
      <c r="E166" s="2" t="s">
        <v>14</v>
      </c>
      <c r="F166" s="2" t="s">
        <v>631</v>
      </c>
      <c r="G166" s="28" t="s">
        <v>9</v>
      </c>
      <c r="H166" s="2" t="s">
        <v>23</v>
      </c>
      <c r="I166" s="2">
        <v>30</v>
      </c>
      <c r="J166" s="2"/>
      <c r="K166" s="2">
        <v>2460</v>
      </c>
      <c r="L166" s="35">
        <v>7797216</v>
      </c>
      <c r="M166" s="36">
        <v>410</v>
      </c>
      <c r="N166" s="40">
        <v>52849.1201171875</v>
      </c>
      <c r="O166" s="37">
        <v>409.265496237908</v>
      </c>
      <c r="P166" s="40">
        <v>23470.037597656199</v>
      </c>
      <c r="Q166" s="37">
        <v>9989.5155858115395</v>
      </c>
      <c r="R166" s="40">
        <v>9514.54248046875</v>
      </c>
      <c r="S166" s="40">
        <v>6875.40771484375</v>
      </c>
      <c r="T166" s="40">
        <v>30000</v>
      </c>
      <c r="U166" s="40">
        <v>167002.9296875</v>
      </c>
      <c r="V166" s="40">
        <v>0</v>
      </c>
      <c r="W166" s="45">
        <v>300110.81867970602</v>
      </c>
      <c r="X166" s="46">
        <v>3.8489483769553798</v>
      </c>
    </row>
    <row r="167" spans="1:24">
      <c r="A167" s="28" t="s">
        <v>63</v>
      </c>
      <c r="B167" s="29">
        <v>3169.6</v>
      </c>
      <c r="C167" s="30" t="s">
        <v>630</v>
      </c>
      <c r="D167" s="2">
        <v>4946654384</v>
      </c>
      <c r="E167" s="2" t="s">
        <v>14</v>
      </c>
      <c r="F167" s="2" t="s">
        <v>631</v>
      </c>
      <c r="G167" s="28" t="s">
        <v>9</v>
      </c>
      <c r="H167" s="2" t="s">
        <v>23</v>
      </c>
      <c r="I167" s="2">
        <v>30</v>
      </c>
      <c r="J167" s="2"/>
      <c r="K167" s="2">
        <v>1458</v>
      </c>
      <c r="L167" s="35">
        <v>4621276.8</v>
      </c>
      <c r="M167" s="36">
        <v>675</v>
      </c>
      <c r="N167" s="40">
        <v>928082.109375</v>
      </c>
      <c r="O167" s="37">
        <v>673.79075600143301</v>
      </c>
      <c r="P167" s="40">
        <v>412156.7578125</v>
      </c>
      <c r="Q167" s="37">
        <v>16446.153708348302</v>
      </c>
      <c r="R167" s="40">
        <v>167084.6484375</v>
      </c>
      <c r="S167" s="40">
        <v>120738.8671875</v>
      </c>
      <c r="T167" s="40">
        <v>30000</v>
      </c>
      <c r="U167" s="40">
        <v>2932734.375</v>
      </c>
      <c r="V167" s="40">
        <v>0</v>
      </c>
      <c r="W167" s="45">
        <v>4607916.7022768501</v>
      </c>
      <c r="X167" s="46">
        <v>99.710900292249306</v>
      </c>
    </row>
    <row r="168" spans="1:24">
      <c r="A168" s="28" t="s">
        <v>63</v>
      </c>
      <c r="B168" s="29">
        <v>3169.6</v>
      </c>
      <c r="C168" s="30" t="s">
        <v>632</v>
      </c>
      <c r="D168" s="2">
        <v>4948242166</v>
      </c>
      <c r="E168" s="2" t="s">
        <v>14</v>
      </c>
      <c r="F168" s="2" t="s">
        <v>633</v>
      </c>
      <c r="G168" s="28" t="s">
        <v>9</v>
      </c>
      <c r="H168" s="2" t="s">
        <v>23</v>
      </c>
      <c r="I168" s="2">
        <v>1</v>
      </c>
      <c r="J168" s="2"/>
      <c r="K168" s="2">
        <v>4878.6000000000004</v>
      </c>
      <c r="L168" s="35">
        <v>15463210.560000001</v>
      </c>
      <c r="M168" s="36">
        <v>940</v>
      </c>
      <c r="N168" s="37">
        <v>477151</v>
      </c>
      <c r="O168" s="37">
        <v>625</v>
      </c>
      <c r="P168" s="37">
        <v>9608</v>
      </c>
      <c r="Q168" s="37">
        <v>15237</v>
      </c>
      <c r="R168" s="37">
        <v>95532</v>
      </c>
      <c r="S168" s="37">
        <v>343435</v>
      </c>
      <c r="T168" s="40">
        <v>30000</v>
      </c>
      <c r="U168" s="37">
        <v>931621.73913043505</v>
      </c>
      <c r="V168" s="37">
        <v>0</v>
      </c>
      <c r="W168" s="45">
        <v>1903209.7391304399</v>
      </c>
      <c r="X168" s="46">
        <v>12.3079856653678</v>
      </c>
    </row>
    <row r="169" spans="1:24">
      <c r="A169" s="28" t="s">
        <v>63</v>
      </c>
      <c r="B169" s="29">
        <v>3169.6</v>
      </c>
      <c r="C169" s="30" t="s">
        <v>634</v>
      </c>
      <c r="D169" s="2">
        <v>4948208976</v>
      </c>
      <c r="E169" s="2" t="s">
        <v>14</v>
      </c>
      <c r="F169" s="2" t="s">
        <v>635</v>
      </c>
      <c r="G169" s="28" t="s">
        <v>5</v>
      </c>
      <c r="H169" s="2" t="s">
        <v>35</v>
      </c>
      <c r="I169" s="2">
        <v>1</v>
      </c>
      <c r="J169" s="2" t="s">
        <v>636</v>
      </c>
      <c r="K169" s="2">
        <v>1968</v>
      </c>
      <c r="L169" s="35">
        <v>6237772.7999999998</v>
      </c>
      <c r="M169" s="36">
        <v>1200</v>
      </c>
      <c r="N169" s="40">
        <v>26925.309982486899</v>
      </c>
      <c r="O169" s="37">
        <v>34703.747810858098</v>
      </c>
      <c r="P169" s="40">
        <v>0</v>
      </c>
      <c r="Q169" s="37">
        <v>8348.2171628721499</v>
      </c>
      <c r="R169" s="40">
        <v>121928.96497373001</v>
      </c>
      <c r="S169" s="40">
        <v>28870.192644483399</v>
      </c>
      <c r="T169" s="40">
        <v>30000</v>
      </c>
      <c r="U169" s="40">
        <v>475086.51488616498</v>
      </c>
      <c r="V169" s="40">
        <v>106047.383537653</v>
      </c>
      <c r="W169" s="45">
        <v>831910.330998249</v>
      </c>
      <c r="X169" s="46">
        <v>13.336656490570601</v>
      </c>
    </row>
    <row r="170" spans="1:24">
      <c r="A170" s="28" t="s">
        <v>63</v>
      </c>
      <c r="B170" s="29">
        <v>3169.6</v>
      </c>
      <c r="C170" s="30" t="s">
        <v>637</v>
      </c>
      <c r="D170" s="2">
        <v>4947975511</v>
      </c>
      <c r="E170" s="2" t="s">
        <v>14</v>
      </c>
      <c r="F170" s="2" t="s">
        <v>638</v>
      </c>
      <c r="G170" s="28" t="s">
        <v>5</v>
      </c>
      <c r="H170" s="2" t="s">
        <v>20</v>
      </c>
      <c r="I170" s="2">
        <v>1</v>
      </c>
      <c r="J170" s="2" t="s">
        <v>639</v>
      </c>
      <c r="K170" s="2">
        <v>92950</v>
      </c>
      <c r="L170" s="35">
        <v>294614320</v>
      </c>
      <c r="M170" s="36">
        <v>11000</v>
      </c>
      <c r="N170" s="37">
        <v>474768</v>
      </c>
      <c r="O170" s="50">
        <v>319212</v>
      </c>
      <c r="P170" s="50">
        <v>0</v>
      </c>
      <c r="Q170" s="50">
        <v>99309</v>
      </c>
      <c r="R170" s="37">
        <v>633275</v>
      </c>
      <c r="S170" s="37">
        <v>343435</v>
      </c>
      <c r="T170" s="40">
        <v>30000</v>
      </c>
      <c r="U170" s="37">
        <v>2950900</v>
      </c>
      <c r="V170" s="37">
        <v>0</v>
      </c>
      <c r="W170" s="45">
        <v>4850899</v>
      </c>
      <c r="X170" s="46">
        <v>1.6465251926654501</v>
      </c>
    </row>
    <row r="171" spans="1:24">
      <c r="A171" s="28" t="s">
        <v>63</v>
      </c>
      <c r="B171" s="29">
        <v>3169.6</v>
      </c>
      <c r="C171" s="30" t="s">
        <v>640</v>
      </c>
      <c r="D171" s="2">
        <v>4947162569</v>
      </c>
      <c r="E171" s="2" t="s">
        <v>14</v>
      </c>
      <c r="F171" s="2" t="s">
        <v>641</v>
      </c>
      <c r="G171" s="28" t="s">
        <v>5</v>
      </c>
      <c r="H171" s="2" t="s">
        <v>20</v>
      </c>
      <c r="I171" s="2">
        <v>1</v>
      </c>
      <c r="J171" s="2" t="s">
        <v>642</v>
      </c>
      <c r="K171" s="2">
        <v>20468</v>
      </c>
      <c r="L171" s="35">
        <v>64875372.799999997</v>
      </c>
      <c r="M171" s="36">
        <v>8600</v>
      </c>
      <c r="N171" s="37">
        <v>319922</v>
      </c>
      <c r="O171" s="50">
        <v>319212</v>
      </c>
      <c r="P171" s="50">
        <v>0</v>
      </c>
      <c r="Q171" s="50">
        <v>99309</v>
      </c>
      <c r="R171" s="37">
        <v>533530</v>
      </c>
      <c r="S171" s="37">
        <v>343435</v>
      </c>
      <c r="T171" s="40">
        <v>30000</v>
      </c>
      <c r="U171" s="37">
        <v>2601700</v>
      </c>
      <c r="V171" s="37">
        <v>0</v>
      </c>
      <c r="W171" s="45">
        <v>4247108</v>
      </c>
      <c r="X171" s="46">
        <v>6.54656430737304</v>
      </c>
    </row>
    <row r="172" spans="1:24">
      <c r="A172" s="28" t="s">
        <v>63</v>
      </c>
      <c r="B172" s="29">
        <v>3169.6</v>
      </c>
      <c r="C172" s="30" t="s">
        <v>643</v>
      </c>
      <c r="D172" s="2" t="s">
        <v>644</v>
      </c>
      <c r="E172" s="2" t="s">
        <v>14</v>
      </c>
      <c r="F172" s="2" t="s">
        <v>645</v>
      </c>
      <c r="G172" s="28" t="s">
        <v>5</v>
      </c>
      <c r="H172" s="2" t="s">
        <v>20</v>
      </c>
      <c r="I172" s="2">
        <v>2</v>
      </c>
      <c r="J172" s="2" t="s">
        <v>646</v>
      </c>
      <c r="K172" s="2">
        <v>30080</v>
      </c>
      <c r="L172" s="35">
        <v>95341568</v>
      </c>
      <c r="M172" s="36">
        <v>32000</v>
      </c>
      <c r="N172" s="37">
        <v>933980</v>
      </c>
      <c r="O172" s="50">
        <v>319212</v>
      </c>
      <c r="P172" s="50">
        <v>418031</v>
      </c>
      <c r="Q172" s="50">
        <v>99309</v>
      </c>
      <c r="R172" s="37">
        <v>1246926</v>
      </c>
      <c r="S172" s="37">
        <v>343435</v>
      </c>
      <c r="T172" s="40">
        <v>30000</v>
      </c>
      <c r="U172" s="37">
        <v>0</v>
      </c>
      <c r="V172" s="37">
        <v>0</v>
      </c>
      <c r="W172" s="45">
        <v>3390893</v>
      </c>
      <c r="X172" s="46">
        <v>3.5565735608627702</v>
      </c>
    </row>
    <row r="174" spans="1:24" ht="15" customHeight="1">
      <c r="A174" s="31" t="s">
        <v>63</v>
      </c>
      <c r="B174" s="31"/>
      <c r="C174" s="31"/>
      <c r="D174" s="31"/>
      <c r="E174" s="31"/>
      <c r="F174" s="32">
        <v>87</v>
      </c>
      <c r="G174" s="31"/>
      <c r="H174" s="31"/>
      <c r="I174" s="38"/>
      <c r="J174" s="31"/>
      <c r="K174" s="39">
        <f>+SUM(K2:K172)</f>
        <v>2188318.6100000003</v>
      </c>
      <c r="L174" s="39">
        <f>+SUM(L2:L172)</f>
        <v>6936094666.2560005</v>
      </c>
      <c r="M174" s="31"/>
      <c r="N174" s="39"/>
      <c r="O174" s="39"/>
      <c r="P174" s="39"/>
      <c r="Q174" s="39"/>
      <c r="R174" s="39"/>
      <c r="S174" s="39"/>
      <c r="T174" s="39"/>
      <c r="U174" s="39"/>
      <c r="V174" s="31"/>
      <c r="W174" s="39">
        <f>+SUM(W2:W172)</f>
        <v>315764842.39970201</v>
      </c>
      <c r="X174" s="47">
        <f>(W174/L174)*100</f>
        <v>4.5524874961106478</v>
      </c>
    </row>
    <row r="176" spans="1:24" s="4" customFormat="1" ht="15" customHeight="1">
      <c r="A176" s="28" t="s">
        <v>647</v>
      </c>
      <c r="B176" s="29">
        <v>3125.21</v>
      </c>
      <c r="C176" s="30" t="s">
        <v>657</v>
      </c>
      <c r="D176" s="2">
        <v>4946469474</v>
      </c>
      <c r="E176" s="2" t="s">
        <v>14</v>
      </c>
      <c r="F176" s="2" t="s">
        <v>658</v>
      </c>
      <c r="G176" s="28" t="s">
        <v>9</v>
      </c>
      <c r="H176" s="2" t="s">
        <v>23</v>
      </c>
      <c r="I176" s="2">
        <v>6</v>
      </c>
      <c r="J176" s="2"/>
      <c r="K176" s="2">
        <v>12668.4</v>
      </c>
      <c r="L176" s="35">
        <v>39591410.364</v>
      </c>
      <c r="M176" s="36">
        <v>23000</v>
      </c>
      <c r="N176" s="37">
        <v>872130</v>
      </c>
      <c r="O176" s="37">
        <v>1475</v>
      </c>
      <c r="P176" s="37">
        <v>22990</v>
      </c>
      <c r="Q176" s="37">
        <v>36433</v>
      </c>
      <c r="R176" s="37">
        <v>122300</v>
      </c>
      <c r="S176" s="37">
        <v>343435</v>
      </c>
      <c r="T176" s="37">
        <v>30000</v>
      </c>
      <c r="U176" s="37">
        <v>2085500</v>
      </c>
      <c r="V176" s="37">
        <v>0</v>
      </c>
      <c r="W176" s="45">
        <v>3514263</v>
      </c>
      <c r="X176" s="46">
        <v>8.8763268792148793</v>
      </c>
    </row>
    <row r="177" spans="1:24" s="4" customFormat="1" ht="15" customHeight="1">
      <c r="A177" s="28" t="s">
        <v>647</v>
      </c>
      <c r="B177" s="29">
        <v>3125.21</v>
      </c>
      <c r="C177" s="30" t="s">
        <v>671</v>
      </c>
      <c r="D177" s="2">
        <v>4947975535</v>
      </c>
      <c r="E177" s="2" t="s">
        <v>14</v>
      </c>
      <c r="F177" s="2" t="s">
        <v>672</v>
      </c>
      <c r="G177" s="28" t="s">
        <v>5</v>
      </c>
      <c r="H177" s="2" t="s">
        <v>20</v>
      </c>
      <c r="I177" s="2">
        <v>1</v>
      </c>
      <c r="J177" s="2" t="s">
        <v>673</v>
      </c>
      <c r="K177" s="2">
        <v>11144</v>
      </c>
      <c r="L177" s="35">
        <v>34827340.240000002</v>
      </c>
      <c r="M177" s="36">
        <v>5600</v>
      </c>
      <c r="N177" s="37">
        <v>355267</v>
      </c>
      <c r="O177" s="37">
        <v>318682</v>
      </c>
      <c r="P177" s="37">
        <v>0</v>
      </c>
      <c r="Q177" s="37">
        <v>99309</v>
      </c>
      <c r="R177" s="37">
        <v>622555</v>
      </c>
      <c r="S177" s="37">
        <v>343435</v>
      </c>
      <c r="T177" s="37">
        <v>30000</v>
      </c>
      <c r="U177" s="37">
        <v>2119000</v>
      </c>
      <c r="V177" s="37">
        <v>0</v>
      </c>
      <c r="W177" s="45">
        <v>3888248</v>
      </c>
      <c r="X177" s="46">
        <v>11.1643552829632</v>
      </c>
    </row>
    <row r="178" spans="1:24" s="4" customFormat="1" ht="15" customHeight="1">
      <c r="A178" s="28" t="s">
        <v>647</v>
      </c>
      <c r="B178" s="29">
        <v>3125.21</v>
      </c>
      <c r="C178" s="30" t="s">
        <v>677</v>
      </c>
      <c r="D178" s="2">
        <v>4947917127</v>
      </c>
      <c r="E178" s="2" t="s">
        <v>14</v>
      </c>
      <c r="F178" s="78" t="s">
        <v>678</v>
      </c>
      <c r="G178" s="28" t="s">
        <v>9</v>
      </c>
      <c r="H178" s="2" t="s">
        <v>23</v>
      </c>
      <c r="I178" s="2">
        <v>5</v>
      </c>
      <c r="J178" s="2"/>
      <c r="K178" s="2">
        <v>2340</v>
      </c>
      <c r="L178" s="35">
        <v>7312991.4000000004</v>
      </c>
      <c r="M178" s="36">
        <v>1500</v>
      </c>
      <c r="N178" s="40">
        <v>374401.642335766</v>
      </c>
      <c r="O178" s="40">
        <v>1023.17518248175</v>
      </c>
      <c r="P178" s="40">
        <v>47044.160583941601</v>
      </c>
      <c r="Q178" s="40">
        <v>24689.781021897801</v>
      </c>
      <c r="R178" s="40">
        <v>74943.065693430704</v>
      </c>
      <c r="S178" s="40">
        <v>188011.86131386901</v>
      </c>
      <c r="T178" s="37">
        <v>30000</v>
      </c>
      <c r="U178" s="40">
        <v>1497481.7518248199</v>
      </c>
      <c r="V178" s="40">
        <v>0</v>
      </c>
      <c r="W178" s="45">
        <v>2237595.4379562102</v>
      </c>
      <c r="X178" s="46">
        <v>30.597539578074802</v>
      </c>
    </row>
    <row r="179" spans="1:24" s="4" customFormat="1" ht="15" customHeight="1">
      <c r="A179" s="28" t="s">
        <v>647</v>
      </c>
      <c r="B179" s="29">
        <v>3125.21</v>
      </c>
      <c r="C179" s="30" t="s">
        <v>677</v>
      </c>
      <c r="D179" s="2">
        <v>4947945344</v>
      </c>
      <c r="E179" s="2" t="s">
        <v>14</v>
      </c>
      <c r="F179" s="78" t="s">
        <v>678</v>
      </c>
      <c r="G179" s="28" t="s">
        <v>9</v>
      </c>
      <c r="H179" s="2" t="s">
        <v>23</v>
      </c>
      <c r="I179" s="2">
        <v>5</v>
      </c>
      <c r="J179" s="2"/>
      <c r="K179" s="2">
        <v>2796.4</v>
      </c>
      <c r="L179" s="35">
        <v>8739337.2440000009</v>
      </c>
      <c r="M179" s="36">
        <v>840</v>
      </c>
      <c r="N179" s="40">
        <v>209664.91970802899</v>
      </c>
      <c r="O179" s="40">
        <v>572.978102189781</v>
      </c>
      <c r="P179" s="40">
        <v>26344.729927007302</v>
      </c>
      <c r="Q179" s="40">
        <v>13826.277372262801</v>
      </c>
      <c r="R179" s="40">
        <v>41968.116788321197</v>
      </c>
      <c r="S179" s="40">
        <v>105286.642335766</v>
      </c>
      <c r="T179" s="37">
        <v>30000</v>
      </c>
      <c r="U179" s="40">
        <v>838589.78102189803</v>
      </c>
      <c r="V179" s="40">
        <v>0</v>
      </c>
      <c r="W179" s="45">
        <v>1266253.44525547</v>
      </c>
      <c r="X179" s="46">
        <v>14.4891244027094</v>
      </c>
    </row>
    <row r="180" spans="1:24" s="4" customFormat="1" ht="15" customHeight="1">
      <c r="A180" s="28" t="s">
        <v>647</v>
      </c>
      <c r="B180" s="29">
        <v>3125.21</v>
      </c>
      <c r="C180" s="30" t="s">
        <v>677</v>
      </c>
      <c r="D180" s="2">
        <v>4948411912</v>
      </c>
      <c r="E180" s="2" t="s">
        <v>14</v>
      </c>
      <c r="F180" s="78" t="s">
        <v>678</v>
      </c>
      <c r="G180" s="28" t="s">
        <v>9</v>
      </c>
      <c r="H180" s="2" t="s">
        <v>23</v>
      </c>
      <c r="I180" s="2">
        <v>5</v>
      </c>
      <c r="J180" s="2"/>
      <c r="K180" s="2">
        <v>2356</v>
      </c>
      <c r="L180" s="35">
        <v>7362994.7599999998</v>
      </c>
      <c r="M180" s="36">
        <v>400</v>
      </c>
      <c r="N180" s="40">
        <v>99840.437956204405</v>
      </c>
      <c r="O180" s="40">
        <v>272.84671532846698</v>
      </c>
      <c r="P180" s="40">
        <v>12545.109489051099</v>
      </c>
      <c r="Q180" s="40">
        <v>6583.9416058394199</v>
      </c>
      <c r="R180" s="40">
        <v>19984.817518248201</v>
      </c>
      <c r="S180" s="40">
        <v>50136.496350365</v>
      </c>
      <c r="T180" s="37">
        <v>30000</v>
      </c>
      <c r="U180" s="40">
        <v>399328.46715328499</v>
      </c>
      <c r="V180" s="40">
        <v>0</v>
      </c>
      <c r="W180" s="45">
        <v>618692.11678832199</v>
      </c>
      <c r="X180" s="46">
        <v>8.4027238502112098</v>
      </c>
    </row>
    <row r="181" spans="1:24" s="4" customFormat="1" ht="15" customHeight="1">
      <c r="A181" s="28" t="s">
        <v>647</v>
      </c>
      <c r="B181" s="29">
        <v>3125.21</v>
      </c>
      <c r="C181" s="30" t="s">
        <v>720</v>
      </c>
      <c r="D181" s="2">
        <v>4947975534</v>
      </c>
      <c r="E181" s="2" t="s">
        <v>14</v>
      </c>
      <c r="F181" s="78" t="s">
        <v>721</v>
      </c>
      <c r="G181" s="28" t="s">
        <v>9</v>
      </c>
      <c r="H181" s="2" t="s">
        <v>23</v>
      </c>
      <c r="I181" s="2">
        <v>1</v>
      </c>
      <c r="J181" s="2"/>
      <c r="K181" s="2">
        <v>2552</v>
      </c>
      <c r="L181" s="35">
        <v>7975535.9199999999</v>
      </c>
      <c r="M181" s="36">
        <v>800</v>
      </c>
      <c r="N181" s="37">
        <v>476092</v>
      </c>
      <c r="O181" s="37">
        <v>539</v>
      </c>
      <c r="P181" s="37">
        <v>8312</v>
      </c>
      <c r="Q181" s="37">
        <v>13123</v>
      </c>
      <c r="R181" s="37">
        <v>93314</v>
      </c>
      <c r="S181" s="37">
        <v>343435</v>
      </c>
      <c r="T181" s="37">
        <v>30000</v>
      </c>
      <c r="U181" s="37">
        <v>308214.08450704202</v>
      </c>
      <c r="V181" s="37">
        <v>0</v>
      </c>
      <c r="W181" s="45">
        <v>1273029.08450704</v>
      </c>
      <c r="X181" s="46">
        <v>15.9616745166266</v>
      </c>
    </row>
    <row r="182" spans="1:24" s="4" customFormat="1" ht="15" customHeight="1">
      <c r="A182" s="28" t="s">
        <v>647</v>
      </c>
      <c r="B182" s="29">
        <v>3125.21</v>
      </c>
      <c r="C182" s="30" t="s">
        <v>722</v>
      </c>
      <c r="D182" s="2">
        <v>4948213162</v>
      </c>
      <c r="E182" s="2" t="s">
        <v>14</v>
      </c>
      <c r="F182" s="2" t="s">
        <v>723</v>
      </c>
      <c r="G182" s="28" t="s">
        <v>5</v>
      </c>
      <c r="H182" s="2" t="s">
        <v>20</v>
      </c>
      <c r="I182" s="2">
        <v>1</v>
      </c>
      <c r="J182" s="2" t="s">
        <v>724</v>
      </c>
      <c r="K182" s="2">
        <v>12736</v>
      </c>
      <c r="L182" s="35">
        <v>39802674.560000002</v>
      </c>
      <c r="M182" s="36">
        <v>6400</v>
      </c>
      <c r="N182" s="37">
        <v>360653</v>
      </c>
      <c r="O182" s="37">
        <v>318682</v>
      </c>
      <c r="P182" s="37">
        <v>0</v>
      </c>
      <c r="Q182" s="37">
        <v>99309</v>
      </c>
      <c r="R182" s="37">
        <v>728101</v>
      </c>
      <c r="S182" s="37">
        <v>343435</v>
      </c>
      <c r="T182" s="37">
        <v>30000</v>
      </c>
      <c r="U182" s="37">
        <v>2400300</v>
      </c>
      <c r="V182" s="37">
        <v>0</v>
      </c>
      <c r="W182" s="45">
        <v>4280480</v>
      </c>
      <c r="X182" s="46">
        <v>10.7542521886248</v>
      </c>
    </row>
    <row r="183" spans="1:24" s="4" customFormat="1" ht="15" customHeight="1">
      <c r="A183" s="28" t="s">
        <v>647</v>
      </c>
      <c r="B183" s="29">
        <v>3125.21</v>
      </c>
      <c r="C183" s="30" t="s">
        <v>725</v>
      </c>
      <c r="D183" s="2">
        <v>4948037015</v>
      </c>
      <c r="E183" s="2" t="s">
        <v>14</v>
      </c>
      <c r="F183" s="78" t="s">
        <v>726</v>
      </c>
      <c r="G183" s="28" t="s">
        <v>9</v>
      </c>
      <c r="H183" s="2" t="s">
        <v>23</v>
      </c>
      <c r="I183" s="2">
        <v>3</v>
      </c>
      <c r="J183" s="2"/>
      <c r="K183" s="2">
        <v>10861.2</v>
      </c>
      <c r="L183" s="35">
        <v>33943530.851999998</v>
      </c>
      <c r="M183" s="36">
        <v>2520</v>
      </c>
      <c r="N183" s="37">
        <v>833176</v>
      </c>
      <c r="O183" s="37">
        <v>1708</v>
      </c>
      <c r="P183" s="37">
        <v>0</v>
      </c>
      <c r="Q183" s="37">
        <v>51924</v>
      </c>
      <c r="R183" s="37">
        <v>121830</v>
      </c>
      <c r="S183" s="37">
        <v>343435</v>
      </c>
      <c r="T183" s="37">
        <v>30000</v>
      </c>
      <c r="U183" s="37">
        <v>1367700</v>
      </c>
      <c r="V183" s="37">
        <v>0</v>
      </c>
      <c r="W183" s="45">
        <v>2749773</v>
      </c>
      <c r="X183" s="46">
        <v>8.1010222890173509</v>
      </c>
    </row>
    <row r="184" spans="1:24" s="4" customFormat="1" ht="15" customHeight="1">
      <c r="A184" s="28" t="s">
        <v>647</v>
      </c>
      <c r="B184" s="29">
        <v>3125.21</v>
      </c>
      <c r="C184" s="30" t="s">
        <v>727</v>
      </c>
      <c r="D184" s="2">
        <v>4947705166</v>
      </c>
      <c r="E184" s="2" t="s">
        <v>14</v>
      </c>
      <c r="F184" s="78" t="s">
        <v>728</v>
      </c>
      <c r="G184" s="28" t="s">
        <v>9</v>
      </c>
      <c r="H184" s="2" t="s">
        <v>23</v>
      </c>
      <c r="I184" s="2">
        <v>5</v>
      </c>
      <c r="J184" s="2"/>
      <c r="K184" s="2">
        <v>4600</v>
      </c>
      <c r="L184" s="35">
        <v>14375966</v>
      </c>
      <c r="M184" s="36">
        <v>5000</v>
      </c>
      <c r="N184" s="37">
        <v>967456</v>
      </c>
      <c r="O184" s="37">
        <v>3322</v>
      </c>
      <c r="P184" s="37">
        <v>0</v>
      </c>
      <c r="Q184" s="37">
        <v>101969</v>
      </c>
      <c r="R184" s="37">
        <v>187241</v>
      </c>
      <c r="S184" s="37">
        <v>354356</v>
      </c>
      <c r="T184" s="37">
        <v>30000</v>
      </c>
      <c r="U184" s="37">
        <v>2085500</v>
      </c>
      <c r="V184" s="37">
        <v>0</v>
      </c>
      <c r="W184" s="45">
        <v>3729844</v>
      </c>
      <c r="X184" s="46">
        <v>25.9449973657422</v>
      </c>
    </row>
    <row r="185" spans="1:24" s="4" customFormat="1" ht="15" customHeight="1">
      <c r="A185" s="28" t="s">
        <v>647</v>
      </c>
      <c r="B185" s="29">
        <v>3125.21</v>
      </c>
      <c r="C185" s="30" t="s">
        <v>729</v>
      </c>
      <c r="D185" s="2">
        <v>4948208975</v>
      </c>
      <c r="E185" s="2" t="s">
        <v>14</v>
      </c>
      <c r="F185" s="78" t="s">
        <v>730</v>
      </c>
      <c r="G185" s="28" t="s">
        <v>9</v>
      </c>
      <c r="H185" s="2" t="s">
        <v>23</v>
      </c>
      <c r="I185" s="2">
        <v>5</v>
      </c>
      <c r="J185" s="2"/>
      <c r="K185" s="2">
        <v>5350</v>
      </c>
      <c r="L185" s="35">
        <v>16719873.5</v>
      </c>
      <c r="M185" s="36">
        <v>5000</v>
      </c>
      <c r="N185" s="37">
        <v>959355</v>
      </c>
      <c r="O185" s="37">
        <v>3271</v>
      </c>
      <c r="P185" s="37">
        <v>0</v>
      </c>
      <c r="Q185" s="37">
        <v>102019</v>
      </c>
      <c r="R185" s="37">
        <v>187241</v>
      </c>
      <c r="S185" s="37">
        <v>354356</v>
      </c>
      <c r="T185" s="37">
        <v>30000</v>
      </c>
      <c r="U185" s="37">
        <v>2085500</v>
      </c>
      <c r="V185" s="37">
        <v>0</v>
      </c>
      <c r="W185" s="45">
        <v>3721742</v>
      </c>
      <c r="X185" s="46">
        <v>22.2593908979036</v>
      </c>
    </row>
    <row r="186" spans="1:24" s="4" customFormat="1" ht="15" customHeight="1">
      <c r="A186" s="28" t="s">
        <v>647</v>
      </c>
      <c r="B186" s="29">
        <v>3125.21</v>
      </c>
      <c r="C186" s="30" t="s">
        <v>731</v>
      </c>
      <c r="D186" s="2">
        <v>4948212957</v>
      </c>
      <c r="E186" s="2" t="s">
        <v>14</v>
      </c>
      <c r="F186" s="2" t="s">
        <v>732</v>
      </c>
      <c r="G186" s="28" t="s">
        <v>9</v>
      </c>
      <c r="H186" s="2" t="s">
        <v>23</v>
      </c>
      <c r="I186" s="2">
        <v>2</v>
      </c>
      <c r="J186" s="2"/>
      <c r="K186" s="2">
        <v>5180</v>
      </c>
      <c r="L186" s="35">
        <v>16188587.800000001</v>
      </c>
      <c r="M186" s="36">
        <v>2000</v>
      </c>
      <c r="N186" s="37">
        <v>645857</v>
      </c>
      <c r="O186" s="37">
        <v>1323</v>
      </c>
      <c r="P186" s="37">
        <v>87293</v>
      </c>
      <c r="Q186" s="37">
        <v>32492</v>
      </c>
      <c r="R186" s="37">
        <v>111165</v>
      </c>
      <c r="S186" s="37">
        <v>343435</v>
      </c>
      <c r="T186" s="37">
        <v>30000</v>
      </c>
      <c r="U186" s="37">
        <v>770535.21126760601</v>
      </c>
      <c r="V186" s="37">
        <v>0</v>
      </c>
      <c r="W186" s="45">
        <v>2022100.2112676101</v>
      </c>
      <c r="X186" s="46">
        <v>12.490899368428</v>
      </c>
    </row>
    <row r="187" spans="1:24" s="4" customFormat="1" ht="15" customHeight="1">
      <c r="A187" s="28" t="s">
        <v>647</v>
      </c>
      <c r="B187" s="29">
        <v>3125.21</v>
      </c>
      <c r="C187" s="30" t="s">
        <v>733</v>
      </c>
      <c r="D187" s="2">
        <v>4948210678</v>
      </c>
      <c r="E187" s="2" t="s">
        <v>14</v>
      </c>
      <c r="F187" s="78" t="s">
        <v>734</v>
      </c>
      <c r="G187" s="28" t="s">
        <v>5</v>
      </c>
      <c r="H187" s="2" t="s">
        <v>20</v>
      </c>
      <c r="I187" s="2">
        <v>3</v>
      </c>
      <c r="J187" s="2" t="s">
        <v>735</v>
      </c>
      <c r="K187" s="2">
        <v>55728</v>
      </c>
      <c r="L187" s="35">
        <v>174161702.88</v>
      </c>
      <c r="M187" s="36">
        <v>64800</v>
      </c>
      <c r="N187" s="37">
        <v>967119</v>
      </c>
      <c r="O187" s="37">
        <v>888464</v>
      </c>
      <c r="P187" s="37">
        <v>408287</v>
      </c>
      <c r="Q187" s="37">
        <v>311907</v>
      </c>
      <c r="R187" s="37">
        <v>1756855</v>
      </c>
      <c r="S187" s="37">
        <v>343435</v>
      </c>
      <c r="T187" s="37">
        <v>30000</v>
      </c>
      <c r="U187" s="37">
        <v>7019700</v>
      </c>
      <c r="V187" s="37">
        <v>0</v>
      </c>
      <c r="W187" s="45">
        <v>11725767</v>
      </c>
      <c r="X187" s="46">
        <v>6.7326896821164102</v>
      </c>
    </row>
    <row r="188" spans="1:24" s="4" customFormat="1" ht="15" customHeight="1">
      <c r="A188" s="28" t="s">
        <v>647</v>
      </c>
      <c r="B188" s="29">
        <v>3125.21</v>
      </c>
      <c r="C188" s="30" t="s">
        <v>739</v>
      </c>
      <c r="D188" s="2">
        <v>4948210659</v>
      </c>
      <c r="E188" s="2" t="s">
        <v>14</v>
      </c>
      <c r="F188" s="78" t="s">
        <v>740</v>
      </c>
      <c r="G188" s="28" t="s">
        <v>5</v>
      </c>
      <c r="H188" s="2" t="s">
        <v>17</v>
      </c>
      <c r="I188" s="2">
        <v>1</v>
      </c>
      <c r="J188" s="2" t="s">
        <v>741</v>
      </c>
      <c r="K188" s="2">
        <v>56880</v>
      </c>
      <c r="L188" s="35">
        <v>177761944.80000001</v>
      </c>
      <c r="M188" s="36">
        <v>18000</v>
      </c>
      <c r="N188" s="37">
        <v>467858</v>
      </c>
      <c r="O188" s="37">
        <v>418073</v>
      </c>
      <c r="P188" s="37">
        <v>0</v>
      </c>
      <c r="Q188" s="37">
        <v>99309</v>
      </c>
      <c r="R188" s="37">
        <v>728020</v>
      </c>
      <c r="S188" s="37">
        <v>343435</v>
      </c>
      <c r="T188" s="37">
        <v>30000</v>
      </c>
      <c r="U188" s="37">
        <v>4781550</v>
      </c>
      <c r="V188" s="37">
        <v>0</v>
      </c>
      <c r="W188" s="45">
        <v>6868245</v>
      </c>
      <c r="X188" s="46">
        <v>3.8637319183965202</v>
      </c>
    </row>
    <row r="189" spans="1:24" s="4" customFormat="1" ht="15" customHeight="1">
      <c r="A189" s="28" t="s">
        <v>647</v>
      </c>
      <c r="B189" s="29">
        <v>3125.21</v>
      </c>
      <c r="C189" s="30" t="s">
        <v>742</v>
      </c>
      <c r="D189" s="2">
        <v>4948267739</v>
      </c>
      <c r="E189" s="2" t="s">
        <v>14</v>
      </c>
      <c r="F189" s="78" t="s">
        <v>743</v>
      </c>
      <c r="G189" s="28" t="s">
        <v>5</v>
      </c>
      <c r="H189" s="2" t="s">
        <v>17</v>
      </c>
      <c r="I189" s="2">
        <v>1</v>
      </c>
      <c r="J189" s="2" t="s">
        <v>744</v>
      </c>
      <c r="K189" s="2">
        <v>9828</v>
      </c>
      <c r="L189" s="35">
        <v>30714563.879999999</v>
      </c>
      <c r="M189" s="36">
        <v>3780</v>
      </c>
      <c r="N189" s="40">
        <v>85766.403491755598</v>
      </c>
      <c r="O189" s="37">
        <v>76639.958292919502</v>
      </c>
      <c r="P189" s="40">
        <v>0</v>
      </c>
      <c r="Q189" s="37">
        <v>18205.044616876799</v>
      </c>
      <c r="R189" s="40">
        <v>159208.51018428701</v>
      </c>
      <c r="S189" s="40">
        <v>62957.531522793397</v>
      </c>
      <c r="T189" s="37">
        <v>30000</v>
      </c>
      <c r="U189" s="40">
        <v>920994.61687681905</v>
      </c>
      <c r="V189" s="40">
        <v>238796.82541222099</v>
      </c>
      <c r="W189" s="45">
        <v>1592568.89039767</v>
      </c>
      <c r="X189" s="46">
        <v>5.1850610564413202</v>
      </c>
    </row>
    <row r="190" spans="1:24" s="4" customFormat="1" ht="15" customHeight="1">
      <c r="A190" s="28" t="s">
        <v>647</v>
      </c>
      <c r="B190" s="29">
        <v>3125.21</v>
      </c>
      <c r="C190" s="30" t="s">
        <v>742</v>
      </c>
      <c r="D190" s="2">
        <v>4948494944</v>
      </c>
      <c r="E190" s="2" t="s">
        <v>14</v>
      </c>
      <c r="F190" s="78" t="s">
        <v>743</v>
      </c>
      <c r="G190" s="28" t="s">
        <v>5</v>
      </c>
      <c r="H190" s="2" t="s">
        <v>17</v>
      </c>
      <c r="I190" s="2">
        <v>1</v>
      </c>
      <c r="J190" s="2" t="s">
        <v>744</v>
      </c>
      <c r="K190" s="2">
        <v>1212.2</v>
      </c>
      <c r="L190" s="35">
        <v>3788379.5619999999</v>
      </c>
      <c r="M190" s="36">
        <v>190</v>
      </c>
      <c r="N190" s="40">
        <v>4311.00969932105</v>
      </c>
      <c r="O190" s="40">
        <v>3852.2730358874901</v>
      </c>
      <c r="P190" s="40">
        <v>0</v>
      </c>
      <c r="Q190" s="40">
        <v>915.06838021338501</v>
      </c>
      <c r="R190" s="40">
        <v>8002.6949563530598</v>
      </c>
      <c r="S190" s="40">
        <v>3164.5320077594602</v>
      </c>
      <c r="T190" s="37">
        <v>30000</v>
      </c>
      <c r="U190" s="40">
        <v>46293.380213385099</v>
      </c>
      <c r="V190" s="40">
        <v>12003.0150339476</v>
      </c>
      <c r="W190" s="45">
        <v>108541.973326867</v>
      </c>
      <c r="X190" s="46">
        <v>2.8651293132191999</v>
      </c>
    </row>
    <row r="191" spans="1:24" s="4" customFormat="1" ht="15" customHeight="1">
      <c r="A191" s="28" t="s">
        <v>647</v>
      </c>
      <c r="B191" s="29">
        <v>3125.21</v>
      </c>
      <c r="C191" s="30" t="s">
        <v>742</v>
      </c>
      <c r="D191" s="2">
        <v>4948494945</v>
      </c>
      <c r="E191" s="2" t="s">
        <v>14</v>
      </c>
      <c r="F191" s="78" t="s">
        <v>743</v>
      </c>
      <c r="G191" s="28" t="s">
        <v>5</v>
      </c>
      <c r="H191" s="2" t="s">
        <v>17</v>
      </c>
      <c r="I191" s="2">
        <v>1</v>
      </c>
      <c r="J191" s="2" t="s">
        <v>744</v>
      </c>
      <c r="K191" s="2">
        <v>4860</v>
      </c>
      <c r="L191" s="35">
        <v>15188520.6</v>
      </c>
      <c r="M191" s="36">
        <v>1350</v>
      </c>
      <c r="N191" s="40">
        <v>30630.858389912701</v>
      </c>
      <c r="O191" s="40">
        <v>27371.413676042699</v>
      </c>
      <c r="P191" s="40">
        <v>0</v>
      </c>
      <c r="Q191" s="40">
        <v>6501.8016488845797</v>
      </c>
      <c r="R191" s="40">
        <v>56860.253637245398</v>
      </c>
      <c r="S191" s="40">
        <v>22484.832686711899</v>
      </c>
      <c r="T191" s="37">
        <v>30000</v>
      </c>
      <c r="U191" s="40">
        <v>328926.64888457803</v>
      </c>
      <c r="V191" s="40">
        <v>85284.580504364698</v>
      </c>
      <c r="W191" s="45">
        <v>588060.38942774001</v>
      </c>
      <c r="X191" s="46">
        <v>3.8717423830451301</v>
      </c>
    </row>
    <row r="192" spans="1:24" s="4" customFormat="1" ht="15" customHeight="1">
      <c r="A192" s="28" t="s">
        <v>647</v>
      </c>
      <c r="B192" s="29">
        <v>3125.21</v>
      </c>
      <c r="C192" s="30" t="s">
        <v>742</v>
      </c>
      <c r="D192" s="2">
        <v>4948495886</v>
      </c>
      <c r="E192" s="2" t="s">
        <v>14</v>
      </c>
      <c r="F192" s="78" t="s">
        <v>743</v>
      </c>
      <c r="G192" s="28" t="s">
        <v>5</v>
      </c>
      <c r="H192" s="2" t="s">
        <v>17</v>
      </c>
      <c r="I192" s="2">
        <v>1</v>
      </c>
      <c r="J192" s="2" t="s">
        <v>744</v>
      </c>
      <c r="K192" s="2">
        <v>13248</v>
      </c>
      <c r="L192" s="35">
        <v>41402782.079999998</v>
      </c>
      <c r="M192" s="36">
        <v>4800</v>
      </c>
      <c r="N192" s="40">
        <v>108909.71871969</v>
      </c>
      <c r="O192" s="40">
        <v>97320.581959262898</v>
      </c>
      <c r="P192" s="40">
        <v>0</v>
      </c>
      <c r="Q192" s="40">
        <v>23117.516973811798</v>
      </c>
      <c r="R192" s="40">
        <v>202170.34626576101</v>
      </c>
      <c r="S192" s="40">
        <v>79946.071774975702</v>
      </c>
      <c r="T192" s="37">
        <v>30000</v>
      </c>
      <c r="U192" s="40">
        <v>1169516.9738118299</v>
      </c>
      <c r="V192" s="40">
        <v>303234.06401551899</v>
      </c>
      <c r="W192" s="45">
        <v>2014215.2735208501</v>
      </c>
      <c r="X192" s="46">
        <v>4.8649273607481502</v>
      </c>
    </row>
    <row r="193" spans="1:24" s="4" customFormat="1" ht="15" customHeight="1">
      <c r="A193" s="28" t="s">
        <v>647</v>
      </c>
      <c r="B193" s="29">
        <v>3125.21</v>
      </c>
      <c r="C193" s="30" t="s">
        <v>742</v>
      </c>
      <c r="D193" s="2">
        <v>4947917126</v>
      </c>
      <c r="E193" s="2" t="s">
        <v>14</v>
      </c>
      <c r="F193" s="78" t="s">
        <v>743</v>
      </c>
      <c r="G193" s="28" t="s">
        <v>5</v>
      </c>
      <c r="H193" s="2" t="s">
        <v>17</v>
      </c>
      <c r="I193" s="2">
        <v>1</v>
      </c>
      <c r="J193" s="2" t="s">
        <v>744</v>
      </c>
      <c r="K193" s="2">
        <v>43750</v>
      </c>
      <c r="L193" s="35">
        <v>136727937.5</v>
      </c>
      <c r="M193" s="36">
        <v>7000</v>
      </c>
      <c r="N193" s="40">
        <v>158826.673132881</v>
      </c>
      <c r="O193" s="40">
        <v>141925.84869059201</v>
      </c>
      <c r="P193" s="40">
        <v>0</v>
      </c>
      <c r="Q193" s="40">
        <v>33713.045586808897</v>
      </c>
      <c r="R193" s="40">
        <v>294831.12997090199</v>
      </c>
      <c r="S193" s="40">
        <v>116588.02133850601</v>
      </c>
      <c r="T193" s="37">
        <v>30000</v>
      </c>
      <c r="U193" s="40">
        <v>1705545.5868089199</v>
      </c>
      <c r="V193" s="40">
        <v>442216.34335596499</v>
      </c>
      <c r="W193" s="45">
        <v>2923646.6488845702</v>
      </c>
      <c r="X193" s="46">
        <v>2.1382949983316899</v>
      </c>
    </row>
    <row r="194" spans="1:24" s="4" customFormat="1" ht="15" customHeight="1">
      <c r="A194" s="28" t="s">
        <v>647</v>
      </c>
      <c r="B194" s="29">
        <v>3125.21</v>
      </c>
      <c r="C194" s="30" t="s">
        <v>742</v>
      </c>
      <c r="D194" s="2">
        <v>4948267739</v>
      </c>
      <c r="E194" s="2" t="s">
        <v>14</v>
      </c>
      <c r="F194" s="78" t="s">
        <v>743</v>
      </c>
      <c r="G194" s="28" t="s">
        <v>5</v>
      </c>
      <c r="H194" s="2" t="s">
        <v>17</v>
      </c>
      <c r="I194" s="2">
        <v>1</v>
      </c>
      <c r="J194" s="2" t="s">
        <v>744</v>
      </c>
      <c r="K194" s="2">
        <v>13230</v>
      </c>
      <c r="L194" s="35">
        <v>41346528.299999997</v>
      </c>
      <c r="M194" s="36">
        <v>3500</v>
      </c>
      <c r="N194" s="40">
        <v>79413.336566440397</v>
      </c>
      <c r="O194" s="40">
        <v>70962.924345295804</v>
      </c>
      <c r="P194" s="40">
        <v>0</v>
      </c>
      <c r="Q194" s="40">
        <v>16856.5227934045</v>
      </c>
      <c r="R194" s="40">
        <v>147416.064985451</v>
      </c>
      <c r="S194" s="40">
        <v>58294.010669253199</v>
      </c>
      <c r="T194" s="37">
        <v>30000</v>
      </c>
      <c r="U194" s="40">
        <v>852772.79340446205</v>
      </c>
      <c r="V194" s="40">
        <v>221108.17167798299</v>
      </c>
      <c r="W194" s="45">
        <v>1476823.82444229</v>
      </c>
      <c r="X194" s="46">
        <v>3.5718206223430098</v>
      </c>
    </row>
    <row r="195" spans="1:24" s="4" customFormat="1" ht="15" customHeight="1">
      <c r="A195" s="28" t="s">
        <v>647</v>
      </c>
      <c r="B195" s="29">
        <v>3125.21</v>
      </c>
      <c r="C195" s="30" t="s">
        <v>748</v>
      </c>
      <c r="D195" s="2">
        <v>4948210658</v>
      </c>
      <c r="E195" s="2" t="s">
        <v>14</v>
      </c>
      <c r="F195" s="2" t="s">
        <v>749</v>
      </c>
      <c r="G195" s="28" t="s">
        <v>5</v>
      </c>
      <c r="H195" s="2" t="s">
        <v>35</v>
      </c>
      <c r="I195" s="2">
        <v>1</v>
      </c>
      <c r="J195" s="2" t="s">
        <v>750</v>
      </c>
      <c r="K195" s="2">
        <v>16020</v>
      </c>
      <c r="L195" s="35">
        <v>50065864.200000003</v>
      </c>
      <c r="M195" s="36">
        <v>6000</v>
      </c>
      <c r="N195" s="40">
        <v>89548.055555555606</v>
      </c>
      <c r="O195" s="40">
        <v>116131.38888888901</v>
      </c>
      <c r="P195" s="40">
        <v>0</v>
      </c>
      <c r="Q195" s="40">
        <v>27585.833333333299</v>
      </c>
      <c r="R195" s="40">
        <v>375184.88888888899</v>
      </c>
      <c r="S195" s="40">
        <v>95398.611111111095</v>
      </c>
      <c r="T195" s="37">
        <v>30000</v>
      </c>
      <c r="U195" s="40">
        <v>1634722.2222222199</v>
      </c>
      <c r="V195" s="40">
        <v>0</v>
      </c>
      <c r="W195" s="45">
        <v>2368571</v>
      </c>
      <c r="X195" s="46">
        <v>4.7309100478884698</v>
      </c>
    </row>
    <row r="196" spans="1:24" s="4" customFormat="1" ht="15" customHeight="1">
      <c r="A196" s="28" t="s">
        <v>647</v>
      </c>
      <c r="B196" s="29">
        <v>3125.21</v>
      </c>
      <c r="C196" s="30" t="s">
        <v>748</v>
      </c>
      <c r="D196" s="2">
        <v>4948413335</v>
      </c>
      <c r="E196" s="2" t="s">
        <v>14</v>
      </c>
      <c r="F196" s="2" t="s">
        <v>749</v>
      </c>
      <c r="G196" s="28" t="s">
        <v>5</v>
      </c>
      <c r="H196" s="2" t="s">
        <v>35</v>
      </c>
      <c r="I196" s="2">
        <v>1</v>
      </c>
      <c r="J196" s="2" t="s">
        <v>750</v>
      </c>
      <c r="K196" s="2">
        <v>14730</v>
      </c>
      <c r="L196" s="35">
        <v>46034343.299999997</v>
      </c>
      <c r="M196" s="36">
        <v>3000</v>
      </c>
      <c r="N196" s="40">
        <v>44774.027777777803</v>
      </c>
      <c r="O196" s="40">
        <v>58065.694444444402</v>
      </c>
      <c r="P196" s="40">
        <v>0</v>
      </c>
      <c r="Q196" s="40">
        <v>13792.916666666701</v>
      </c>
      <c r="R196" s="40">
        <v>187592.944444444</v>
      </c>
      <c r="S196" s="40">
        <v>47699.305555555598</v>
      </c>
      <c r="T196" s="37">
        <v>30000</v>
      </c>
      <c r="U196" s="40">
        <v>817361.11111111101</v>
      </c>
      <c r="V196" s="40">
        <v>0</v>
      </c>
      <c r="W196" s="45">
        <v>1199286</v>
      </c>
      <c r="X196" s="46">
        <v>2.6051984540854698</v>
      </c>
    </row>
    <row r="197" spans="1:24" s="4" customFormat="1" ht="15" customHeight="1">
      <c r="A197" s="28" t="s">
        <v>647</v>
      </c>
      <c r="B197" s="29">
        <v>3125.21</v>
      </c>
      <c r="C197" s="30" t="s">
        <v>748</v>
      </c>
      <c r="D197" s="2">
        <v>4948242153</v>
      </c>
      <c r="E197" s="2" t="s">
        <v>14</v>
      </c>
      <c r="F197" s="2" t="s">
        <v>749</v>
      </c>
      <c r="G197" s="28" t="s">
        <v>5</v>
      </c>
      <c r="H197" s="2" t="s">
        <v>35</v>
      </c>
      <c r="I197" s="2">
        <v>1</v>
      </c>
      <c r="J197" s="2" t="s">
        <v>750</v>
      </c>
      <c r="K197" s="2">
        <v>14370</v>
      </c>
      <c r="L197" s="35">
        <v>44909267.700000003</v>
      </c>
      <c r="M197" s="36">
        <v>3000</v>
      </c>
      <c r="N197" s="40">
        <v>44774.027777777803</v>
      </c>
      <c r="O197" s="40">
        <v>58065.694444444402</v>
      </c>
      <c r="P197" s="40">
        <v>0</v>
      </c>
      <c r="Q197" s="40">
        <v>13792.916666666701</v>
      </c>
      <c r="R197" s="40">
        <v>187592.944444444</v>
      </c>
      <c r="S197" s="40">
        <v>47699.305555555598</v>
      </c>
      <c r="T197" s="37">
        <v>30000</v>
      </c>
      <c r="U197" s="40">
        <v>817361.11111111101</v>
      </c>
      <c r="V197" s="40">
        <v>0</v>
      </c>
      <c r="W197" s="45">
        <v>1199286</v>
      </c>
      <c r="X197" s="46">
        <v>2.6704643861293702</v>
      </c>
    </row>
    <row r="198" spans="1:24" s="4" customFormat="1" ht="15" customHeight="1">
      <c r="A198" s="28" t="s">
        <v>647</v>
      </c>
      <c r="B198" s="29">
        <v>3125.21</v>
      </c>
      <c r="C198" s="30" t="s">
        <v>748</v>
      </c>
      <c r="D198" s="2">
        <v>4948343766</v>
      </c>
      <c r="E198" s="2" t="s">
        <v>14</v>
      </c>
      <c r="F198" s="2" t="s">
        <v>749</v>
      </c>
      <c r="G198" s="28" t="s">
        <v>5</v>
      </c>
      <c r="H198" s="2" t="s">
        <v>35</v>
      </c>
      <c r="I198" s="2">
        <v>1</v>
      </c>
      <c r="J198" s="2" t="s">
        <v>750</v>
      </c>
      <c r="K198" s="2">
        <v>8179.2</v>
      </c>
      <c r="L198" s="35">
        <v>25561717.631999999</v>
      </c>
      <c r="M198" s="36">
        <v>9600</v>
      </c>
      <c r="N198" s="40">
        <v>143276.88888888899</v>
      </c>
      <c r="O198" s="40">
        <v>185810.22222222199</v>
      </c>
      <c r="P198" s="40">
        <v>0</v>
      </c>
      <c r="Q198" s="40">
        <v>44137.333333333299</v>
      </c>
      <c r="R198" s="40">
        <v>600296.22222222202</v>
      </c>
      <c r="S198" s="40">
        <v>152637.77777777801</v>
      </c>
      <c r="T198" s="37">
        <v>30000</v>
      </c>
      <c r="U198" s="40">
        <v>2615555.5555555602</v>
      </c>
      <c r="V198" s="40">
        <v>0</v>
      </c>
      <c r="W198" s="45">
        <v>3771714</v>
      </c>
      <c r="X198" s="46">
        <v>14.755322996285299</v>
      </c>
    </row>
    <row r="199" spans="1:24" s="4" customFormat="1" ht="15" customHeight="1">
      <c r="A199" s="28" t="s">
        <v>647</v>
      </c>
      <c r="B199" s="29">
        <v>3125.21</v>
      </c>
      <c r="C199" s="30" t="s">
        <v>751</v>
      </c>
      <c r="D199" s="2">
        <v>4948242192</v>
      </c>
      <c r="E199" s="2" t="s">
        <v>14</v>
      </c>
      <c r="F199" s="2" t="s">
        <v>752</v>
      </c>
      <c r="G199" s="28" t="s">
        <v>5</v>
      </c>
      <c r="H199" s="2" t="s">
        <v>20</v>
      </c>
      <c r="I199" s="2">
        <v>2</v>
      </c>
      <c r="J199" s="2" t="s">
        <v>753</v>
      </c>
      <c r="K199" s="2">
        <v>30080</v>
      </c>
      <c r="L199" s="35">
        <v>94006316.799999997</v>
      </c>
      <c r="M199" s="36">
        <v>32000</v>
      </c>
      <c r="N199" s="37">
        <v>935259</v>
      </c>
      <c r="O199" s="37">
        <v>637364</v>
      </c>
      <c r="P199" s="37">
        <v>421234</v>
      </c>
      <c r="Q199" s="37">
        <v>198619</v>
      </c>
      <c r="R199" s="37">
        <v>1251818</v>
      </c>
      <c r="S199" s="37">
        <v>343435</v>
      </c>
      <c r="T199" s="37">
        <v>30000</v>
      </c>
      <c r="U199" s="37">
        <v>0</v>
      </c>
      <c r="V199" s="37">
        <v>0</v>
      </c>
      <c r="W199" s="45">
        <v>3817729</v>
      </c>
      <c r="X199" s="46">
        <v>4.0611409211173397</v>
      </c>
    </row>
    <row r="200" spans="1:24" s="4" customFormat="1" ht="15" customHeight="1">
      <c r="A200" s="28" t="s">
        <v>647</v>
      </c>
      <c r="B200" s="29">
        <v>3125.21</v>
      </c>
      <c r="C200" s="30" t="s">
        <v>757</v>
      </c>
      <c r="D200" s="2">
        <v>4948242167</v>
      </c>
      <c r="E200" s="2" t="s">
        <v>14</v>
      </c>
      <c r="F200" s="2" t="s">
        <v>758</v>
      </c>
      <c r="G200" s="28" t="s">
        <v>9</v>
      </c>
      <c r="H200" s="2" t="s">
        <v>23</v>
      </c>
      <c r="I200" s="2">
        <v>1</v>
      </c>
      <c r="J200" s="2"/>
      <c r="K200" s="2">
        <v>2930</v>
      </c>
      <c r="L200" s="35">
        <v>9156865.3000000007</v>
      </c>
      <c r="M200" s="36">
        <v>100</v>
      </c>
      <c r="N200" s="37">
        <v>222461</v>
      </c>
      <c r="O200" s="37">
        <v>93</v>
      </c>
      <c r="P200" s="37">
        <v>0</v>
      </c>
      <c r="Q200" s="37">
        <v>2045</v>
      </c>
      <c r="R200" s="37">
        <v>80696</v>
      </c>
      <c r="S200" s="37">
        <v>354356</v>
      </c>
      <c r="T200" s="37">
        <v>30000</v>
      </c>
      <c r="U200" s="37">
        <v>166792.682926829</v>
      </c>
      <c r="V200" s="37">
        <v>0</v>
      </c>
      <c r="W200" s="45">
        <v>856443.68292682897</v>
      </c>
      <c r="X200" s="46">
        <v>9.3530226214731904</v>
      </c>
    </row>
    <row r="201" spans="1:24" s="4" customFormat="1" ht="15" customHeight="1">
      <c r="A201" s="28" t="s">
        <v>647</v>
      </c>
      <c r="B201" s="29">
        <v>3125.21</v>
      </c>
      <c r="C201" s="30" t="s">
        <v>759</v>
      </c>
      <c r="D201" s="2">
        <v>4946736885</v>
      </c>
      <c r="E201" s="2" t="s">
        <v>14</v>
      </c>
      <c r="F201" s="2" t="s">
        <v>760</v>
      </c>
      <c r="G201" s="28" t="s">
        <v>5</v>
      </c>
      <c r="H201" s="2" t="s">
        <v>17</v>
      </c>
      <c r="I201" s="2">
        <v>1</v>
      </c>
      <c r="J201" s="2" t="s">
        <v>761</v>
      </c>
      <c r="K201" s="2">
        <v>7398</v>
      </c>
      <c r="L201" s="35">
        <v>23120303.579999998</v>
      </c>
      <c r="M201" s="36">
        <v>1350</v>
      </c>
      <c r="N201" s="40">
        <v>32375.683229813701</v>
      </c>
      <c r="O201" s="40">
        <v>29213.1754658385</v>
      </c>
      <c r="P201" s="40">
        <v>0</v>
      </c>
      <c r="Q201" s="40">
        <v>6939.29347826087</v>
      </c>
      <c r="R201" s="40">
        <v>60584.937888198801</v>
      </c>
      <c r="S201" s="40">
        <v>24760.900621117999</v>
      </c>
      <c r="T201" s="37">
        <v>30000</v>
      </c>
      <c r="U201" s="40">
        <v>347670.41925465799</v>
      </c>
      <c r="V201" s="40">
        <v>0</v>
      </c>
      <c r="W201" s="45">
        <v>531544.40993788803</v>
      </c>
      <c r="X201" s="46">
        <v>2.2990373292403299</v>
      </c>
    </row>
    <row r="202" spans="1:24" s="4" customFormat="1" ht="15" customHeight="1">
      <c r="A202" s="28" t="s">
        <v>647</v>
      </c>
      <c r="B202" s="29">
        <v>3125.21</v>
      </c>
      <c r="C202" s="30" t="s">
        <v>759</v>
      </c>
      <c r="D202" s="2">
        <v>4946737921</v>
      </c>
      <c r="E202" s="2" t="s">
        <v>14</v>
      </c>
      <c r="F202" s="2" t="s">
        <v>760</v>
      </c>
      <c r="G202" s="28" t="s">
        <v>5</v>
      </c>
      <c r="H202" s="2" t="s">
        <v>17</v>
      </c>
      <c r="I202" s="2">
        <v>1</v>
      </c>
      <c r="J202" s="2" t="s">
        <v>761</v>
      </c>
      <c r="K202" s="2">
        <v>4438.8</v>
      </c>
      <c r="L202" s="35">
        <v>13872182.148</v>
      </c>
      <c r="M202" s="36">
        <v>810</v>
      </c>
      <c r="N202" s="40">
        <v>19425.409937888198</v>
      </c>
      <c r="O202" s="40">
        <v>17527.905279503098</v>
      </c>
      <c r="P202" s="40">
        <v>0</v>
      </c>
      <c r="Q202" s="40">
        <v>4163.5760869565202</v>
      </c>
      <c r="R202" s="40">
        <v>36350.962732919303</v>
      </c>
      <c r="S202" s="40">
        <v>14856.540372670799</v>
      </c>
      <c r="T202" s="37">
        <v>30000</v>
      </c>
      <c r="U202" s="40">
        <v>208602.251552795</v>
      </c>
      <c r="V202" s="40">
        <v>0</v>
      </c>
      <c r="W202" s="45">
        <v>330926.64596273302</v>
      </c>
      <c r="X202" s="46">
        <v>2.3855413836996302</v>
      </c>
    </row>
    <row r="203" spans="1:24" s="4" customFormat="1" ht="15" customHeight="1">
      <c r="A203" s="28" t="s">
        <v>647</v>
      </c>
      <c r="B203" s="29">
        <v>3125.21</v>
      </c>
      <c r="C203" s="30" t="s">
        <v>759</v>
      </c>
      <c r="D203" s="2">
        <v>4948241404</v>
      </c>
      <c r="E203" s="2" t="s">
        <v>14</v>
      </c>
      <c r="F203" s="2" t="s">
        <v>760</v>
      </c>
      <c r="G203" s="28" t="s">
        <v>5</v>
      </c>
      <c r="H203" s="2" t="s">
        <v>17</v>
      </c>
      <c r="I203" s="2">
        <v>1</v>
      </c>
      <c r="J203" s="2" t="s">
        <v>761</v>
      </c>
      <c r="K203" s="2">
        <v>1227</v>
      </c>
      <c r="L203" s="35">
        <v>3834632.67</v>
      </c>
      <c r="M203" s="36">
        <v>300</v>
      </c>
      <c r="N203" s="40">
        <v>7194.5962732919297</v>
      </c>
      <c r="O203" s="40">
        <v>6491.8167701863304</v>
      </c>
      <c r="P203" s="40">
        <v>0</v>
      </c>
      <c r="Q203" s="40">
        <v>1542.0652173912999</v>
      </c>
      <c r="R203" s="40">
        <v>13463.7639751553</v>
      </c>
      <c r="S203" s="40">
        <v>5502.4223602484499</v>
      </c>
      <c r="T203" s="37">
        <v>30000</v>
      </c>
      <c r="U203" s="40">
        <v>77260.093167701896</v>
      </c>
      <c r="V203" s="40">
        <v>0</v>
      </c>
      <c r="W203" s="45">
        <v>141454.75776397501</v>
      </c>
      <c r="X203" s="46">
        <v>3.6888737445606501</v>
      </c>
    </row>
    <row r="204" spans="1:24" s="4" customFormat="1" ht="15" customHeight="1">
      <c r="A204" s="28" t="s">
        <v>647</v>
      </c>
      <c r="B204" s="29">
        <v>3125.21</v>
      </c>
      <c r="C204" s="30" t="s">
        <v>759</v>
      </c>
      <c r="D204" s="2">
        <v>4947642973</v>
      </c>
      <c r="E204" s="2" t="s">
        <v>14</v>
      </c>
      <c r="F204" s="2" t="s">
        <v>760</v>
      </c>
      <c r="G204" s="28" t="s">
        <v>5</v>
      </c>
      <c r="H204" s="2" t="s">
        <v>17</v>
      </c>
      <c r="I204" s="2">
        <v>1</v>
      </c>
      <c r="J204" s="2" t="s">
        <v>761</v>
      </c>
      <c r="K204" s="2">
        <v>25657.599999999999</v>
      </c>
      <c r="L204" s="35">
        <v>80185388.096000001</v>
      </c>
      <c r="M204" s="36">
        <v>12160</v>
      </c>
      <c r="N204" s="40">
        <v>291620.96894409898</v>
      </c>
      <c r="O204" s="40">
        <v>263134.97308488598</v>
      </c>
      <c r="P204" s="40">
        <v>0</v>
      </c>
      <c r="Q204" s="40">
        <v>62505.043478260901</v>
      </c>
      <c r="R204" s="40">
        <v>545714.69979296101</v>
      </c>
      <c r="S204" s="40">
        <v>223031.51966873699</v>
      </c>
      <c r="T204" s="37">
        <v>30000</v>
      </c>
      <c r="U204" s="40">
        <v>3131609.10973085</v>
      </c>
      <c r="V204" s="40">
        <v>0</v>
      </c>
      <c r="W204" s="45">
        <v>4547616.3146997904</v>
      </c>
      <c r="X204" s="46">
        <v>5.6713778191798099</v>
      </c>
    </row>
    <row r="205" spans="1:24" s="4" customFormat="1" ht="15" customHeight="1">
      <c r="A205" s="28" t="s">
        <v>647</v>
      </c>
      <c r="B205" s="29">
        <v>3125.21</v>
      </c>
      <c r="C205" s="30" t="s">
        <v>759</v>
      </c>
      <c r="D205" s="2">
        <v>4948208978</v>
      </c>
      <c r="E205" s="2" t="s">
        <v>14</v>
      </c>
      <c r="F205" s="2" t="s">
        <v>760</v>
      </c>
      <c r="G205" s="28" t="s">
        <v>5</v>
      </c>
      <c r="H205" s="2" t="s">
        <v>17</v>
      </c>
      <c r="I205" s="2">
        <v>1</v>
      </c>
      <c r="J205" s="2" t="s">
        <v>761</v>
      </c>
      <c r="K205" s="2">
        <v>1386</v>
      </c>
      <c r="L205" s="35">
        <v>4331541.0599999996</v>
      </c>
      <c r="M205" s="36">
        <v>450</v>
      </c>
      <c r="N205" s="40">
        <v>10791.8944099379</v>
      </c>
      <c r="O205" s="40">
        <v>9737.7251552795005</v>
      </c>
      <c r="P205" s="40">
        <v>0</v>
      </c>
      <c r="Q205" s="40">
        <v>2313.0978260869601</v>
      </c>
      <c r="R205" s="40">
        <v>20194.645962732899</v>
      </c>
      <c r="S205" s="40">
        <v>8253.6335403726698</v>
      </c>
      <c r="T205" s="37">
        <v>30000</v>
      </c>
      <c r="U205" s="40">
        <v>115890.139751553</v>
      </c>
      <c r="V205" s="40">
        <v>0</v>
      </c>
      <c r="W205" s="45">
        <v>197181.13664596301</v>
      </c>
      <c r="X205" s="46">
        <v>4.5522167264406104</v>
      </c>
    </row>
    <row r="206" spans="1:24" s="4" customFormat="1" ht="15" customHeight="1">
      <c r="A206" s="28" t="s">
        <v>647</v>
      </c>
      <c r="B206" s="29">
        <v>3125.21</v>
      </c>
      <c r="C206" s="30" t="s">
        <v>759</v>
      </c>
      <c r="D206" s="2">
        <v>4948212548</v>
      </c>
      <c r="E206" s="2" t="s">
        <v>14</v>
      </c>
      <c r="F206" s="2" t="s">
        <v>760</v>
      </c>
      <c r="G206" s="28" t="s">
        <v>5</v>
      </c>
      <c r="H206" s="2" t="s">
        <v>17</v>
      </c>
      <c r="I206" s="2">
        <v>1</v>
      </c>
      <c r="J206" s="2" t="s">
        <v>761</v>
      </c>
      <c r="K206" s="2">
        <v>2122.5</v>
      </c>
      <c r="L206" s="35">
        <v>6633258.2249999996</v>
      </c>
      <c r="M206" s="36">
        <v>150</v>
      </c>
      <c r="N206" s="40">
        <v>3597.2981366459599</v>
      </c>
      <c r="O206" s="40">
        <v>3245.9083850931702</v>
      </c>
      <c r="P206" s="40">
        <v>0</v>
      </c>
      <c r="Q206" s="40">
        <v>771.03260869565202</v>
      </c>
      <c r="R206" s="40">
        <v>6731.8819875776398</v>
      </c>
      <c r="S206" s="40">
        <v>2751.2111801242199</v>
      </c>
      <c r="T206" s="37">
        <v>30000</v>
      </c>
      <c r="U206" s="40">
        <v>38630.046583850897</v>
      </c>
      <c r="V206" s="40">
        <v>0</v>
      </c>
      <c r="W206" s="45">
        <v>85727.378881987504</v>
      </c>
      <c r="X206" s="46">
        <v>1.2923871794843</v>
      </c>
    </row>
    <row r="207" spans="1:24" s="4" customFormat="1" ht="15" customHeight="1">
      <c r="A207" s="28" t="s">
        <v>647</v>
      </c>
      <c r="B207" s="29">
        <v>3125.21</v>
      </c>
      <c r="C207" s="30" t="s">
        <v>759</v>
      </c>
      <c r="D207" s="2">
        <v>4947772696</v>
      </c>
      <c r="E207" s="2" t="s">
        <v>14</v>
      </c>
      <c r="F207" s="2" t="s">
        <v>760</v>
      </c>
      <c r="G207" s="28" t="s">
        <v>5</v>
      </c>
      <c r="H207" s="2" t="s">
        <v>17</v>
      </c>
      <c r="I207" s="2">
        <v>1</v>
      </c>
      <c r="J207" s="2" t="s">
        <v>761</v>
      </c>
      <c r="K207" s="2">
        <v>6258</v>
      </c>
      <c r="L207" s="35">
        <v>19557564.18</v>
      </c>
      <c r="M207" s="36">
        <v>1400</v>
      </c>
      <c r="N207" s="40">
        <v>33574.782608695699</v>
      </c>
      <c r="O207" s="40">
        <v>30295.144927536199</v>
      </c>
      <c r="P207" s="40">
        <v>0</v>
      </c>
      <c r="Q207" s="40">
        <v>7196.3043478260897</v>
      </c>
      <c r="R207" s="40">
        <v>62829.231884057997</v>
      </c>
      <c r="S207" s="40">
        <v>25677.971014492799</v>
      </c>
      <c r="T207" s="37">
        <v>30000</v>
      </c>
      <c r="U207" s="40">
        <v>360547.10144927498</v>
      </c>
      <c r="V207" s="40">
        <v>0</v>
      </c>
      <c r="W207" s="45">
        <v>550120.53623188403</v>
      </c>
      <c r="X207" s="46">
        <v>2.8128274624017302</v>
      </c>
    </row>
    <row r="208" spans="1:24" s="4" customFormat="1" ht="15" customHeight="1">
      <c r="A208" s="28" t="s">
        <v>647</v>
      </c>
      <c r="B208" s="29">
        <v>3125.21</v>
      </c>
      <c r="C208" s="30" t="s">
        <v>759</v>
      </c>
      <c r="D208" s="2">
        <v>4948208979</v>
      </c>
      <c r="E208" s="2" t="s">
        <v>14</v>
      </c>
      <c r="F208" s="2" t="s">
        <v>760</v>
      </c>
      <c r="G208" s="28" t="s">
        <v>5</v>
      </c>
      <c r="H208" s="2" t="s">
        <v>17</v>
      </c>
      <c r="I208" s="2">
        <v>1</v>
      </c>
      <c r="J208" s="2" t="s">
        <v>761</v>
      </c>
      <c r="K208" s="2">
        <v>5832</v>
      </c>
      <c r="L208" s="35">
        <v>18226224.719999999</v>
      </c>
      <c r="M208" s="36">
        <v>2700</v>
      </c>
      <c r="N208" s="40">
        <v>64751.366459627301</v>
      </c>
      <c r="O208" s="40">
        <v>58426.350931677</v>
      </c>
      <c r="P208" s="40">
        <v>0</v>
      </c>
      <c r="Q208" s="40">
        <v>13878.5869565217</v>
      </c>
      <c r="R208" s="40">
        <v>121169.875776398</v>
      </c>
      <c r="S208" s="40">
        <v>49521.801242235997</v>
      </c>
      <c r="T208" s="37">
        <v>30000</v>
      </c>
      <c r="U208" s="40">
        <v>695340.83850931702</v>
      </c>
      <c r="V208" s="40">
        <v>0</v>
      </c>
      <c r="W208" s="45">
        <v>1033088.81987578</v>
      </c>
      <c r="X208" s="46">
        <v>5.6681448613005898</v>
      </c>
    </row>
    <row r="209" spans="1:24" s="4" customFormat="1" ht="15" customHeight="1">
      <c r="A209" s="28" t="s">
        <v>647</v>
      </c>
      <c r="B209" s="29">
        <v>3125.21</v>
      </c>
      <c r="C209" s="30" t="s">
        <v>762</v>
      </c>
      <c r="D209" s="2">
        <v>4948210659</v>
      </c>
      <c r="E209" s="2" t="s">
        <v>14</v>
      </c>
      <c r="F209" s="2" t="s">
        <v>763</v>
      </c>
      <c r="G209" s="28" t="s">
        <v>5</v>
      </c>
      <c r="H209" s="2" t="s">
        <v>17</v>
      </c>
      <c r="I209" s="2">
        <v>2</v>
      </c>
      <c r="J209" s="2" t="s">
        <v>764</v>
      </c>
      <c r="K209" s="2">
        <v>85557</v>
      </c>
      <c r="L209" s="35">
        <v>267383591.97</v>
      </c>
      <c r="M209" s="36">
        <v>27075</v>
      </c>
      <c r="N209" s="37">
        <v>935716</v>
      </c>
      <c r="O209" s="37">
        <v>836146</v>
      </c>
      <c r="P209" s="37">
        <v>0</v>
      </c>
      <c r="Q209" s="37">
        <v>198619</v>
      </c>
      <c r="R209" s="37">
        <v>1453043</v>
      </c>
      <c r="S209" s="37">
        <v>343435</v>
      </c>
      <c r="T209" s="37">
        <v>30000</v>
      </c>
      <c r="U209" s="37">
        <v>8932600</v>
      </c>
      <c r="V209" s="37">
        <v>0</v>
      </c>
      <c r="W209" s="45">
        <v>12729559</v>
      </c>
      <c r="X209" s="46">
        <v>4.7607853968198004</v>
      </c>
    </row>
    <row r="210" spans="1:24" s="4" customFormat="1" ht="15" customHeight="1">
      <c r="A210" s="28" t="s">
        <v>647</v>
      </c>
      <c r="B210" s="29">
        <v>3125.21</v>
      </c>
      <c r="C210" s="30" t="s">
        <v>765</v>
      </c>
      <c r="D210" s="2">
        <v>4948208974</v>
      </c>
      <c r="E210" s="2" t="s">
        <v>14</v>
      </c>
      <c r="F210" s="2" t="s">
        <v>766</v>
      </c>
      <c r="G210" s="28" t="s">
        <v>5</v>
      </c>
      <c r="H210" s="2" t="s">
        <v>20</v>
      </c>
      <c r="I210" s="2">
        <v>1</v>
      </c>
      <c r="J210" s="2" t="s">
        <v>767</v>
      </c>
      <c r="K210" s="2">
        <v>15040</v>
      </c>
      <c r="L210" s="35">
        <v>47003158.399999999</v>
      </c>
      <c r="M210" s="36">
        <v>16000</v>
      </c>
      <c r="N210" s="37">
        <v>467363</v>
      </c>
      <c r="O210" s="37">
        <v>318682</v>
      </c>
      <c r="P210" s="37">
        <v>209309</v>
      </c>
      <c r="Q210" s="37">
        <v>99309</v>
      </c>
      <c r="R210" s="37">
        <v>622042</v>
      </c>
      <c r="S210" s="37">
        <v>343435</v>
      </c>
      <c r="T210" s="37">
        <v>30000</v>
      </c>
      <c r="U210" s="37">
        <v>0</v>
      </c>
      <c r="V210" s="37">
        <v>0</v>
      </c>
      <c r="W210" s="45">
        <v>2090140</v>
      </c>
      <c r="X210" s="46">
        <v>4.4468075575108603</v>
      </c>
    </row>
    <row r="211" spans="1:24" s="4" customFormat="1" ht="15" customHeight="1">
      <c r="A211" s="28" t="s">
        <v>647</v>
      </c>
      <c r="B211" s="29">
        <v>3125.21</v>
      </c>
      <c r="C211" s="30" t="s">
        <v>775</v>
      </c>
      <c r="D211" s="2">
        <v>4948210673</v>
      </c>
      <c r="E211" s="2" t="s">
        <v>14</v>
      </c>
      <c r="F211" s="2" t="s">
        <v>776</v>
      </c>
      <c r="G211" s="28" t="s">
        <v>9</v>
      </c>
      <c r="H211" s="2" t="s">
        <v>23</v>
      </c>
      <c r="I211" s="2">
        <v>1</v>
      </c>
      <c r="J211" s="2"/>
      <c r="K211" s="2">
        <v>7290</v>
      </c>
      <c r="L211" s="35">
        <v>22782780.899999999</v>
      </c>
      <c r="M211" s="36">
        <v>750</v>
      </c>
      <c r="N211" s="37">
        <v>487256</v>
      </c>
      <c r="O211" s="37">
        <v>507</v>
      </c>
      <c r="P211" s="37">
        <v>7838</v>
      </c>
      <c r="Q211" s="37">
        <v>12339</v>
      </c>
      <c r="R211" s="37">
        <v>95537</v>
      </c>
      <c r="S211" s="37">
        <v>343435</v>
      </c>
      <c r="T211" s="37">
        <v>30000</v>
      </c>
      <c r="U211" s="37">
        <v>288950.70422535198</v>
      </c>
      <c r="V211" s="37">
        <v>0</v>
      </c>
      <c r="W211" s="45">
        <v>1265862.7042253499</v>
      </c>
      <c r="X211" s="46">
        <v>5.5562255976633299</v>
      </c>
    </row>
    <row r="212" spans="1:24" s="4" customFormat="1" ht="15" customHeight="1">
      <c r="A212" s="28" t="s">
        <v>647</v>
      </c>
      <c r="B212" s="29">
        <v>3125.21</v>
      </c>
      <c r="C212" s="30" t="s">
        <v>779</v>
      </c>
      <c r="D212" s="2">
        <v>4948210662</v>
      </c>
      <c r="E212" s="2" t="s">
        <v>14</v>
      </c>
      <c r="F212" s="2" t="s">
        <v>780</v>
      </c>
      <c r="G212" s="28" t="s">
        <v>5</v>
      </c>
      <c r="H212" s="2" t="s">
        <v>20</v>
      </c>
      <c r="I212" s="2">
        <v>1</v>
      </c>
      <c r="J212" s="2" t="s">
        <v>781</v>
      </c>
      <c r="K212" s="2">
        <v>13248</v>
      </c>
      <c r="L212" s="35">
        <v>41402782.079999998</v>
      </c>
      <c r="M212" s="36">
        <v>9600</v>
      </c>
      <c r="N212" s="37">
        <v>322373</v>
      </c>
      <c r="O212" s="37">
        <v>318682</v>
      </c>
      <c r="P212" s="37">
        <v>0</v>
      </c>
      <c r="Q212" s="37">
        <v>99309</v>
      </c>
      <c r="R212" s="37">
        <v>535945</v>
      </c>
      <c r="S212" s="37">
        <v>343435</v>
      </c>
      <c r="T212" s="37">
        <v>30000</v>
      </c>
      <c r="U212" s="37">
        <v>2749500</v>
      </c>
      <c r="V212" s="37">
        <v>0</v>
      </c>
      <c r="W212" s="45">
        <v>4399244</v>
      </c>
      <c r="X212" s="46">
        <v>10.6254792045124</v>
      </c>
    </row>
    <row r="213" spans="1:24" s="4" customFormat="1" ht="15" customHeight="1">
      <c r="A213" s="28" t="s">
        <v>647</v>
      </c>
      <c r="B213" s="29">
        <v>3125.21</v>
      </c>
      <c r="C213" s="30" t="s">
        <v>782</v>
      </c>
      <c r="D213" s="2">
        <v>4947642970</v>
      </c>
      <c r="E213" s="2" t="s">
        <v>14</v>
      </c>
      <c r="F213" s="2" t="s">
        <v>783</v>
      </c>
      <c r="G213" s="28" t="s">
        <v>5</v>
      </c>
      <c r="H213" s="2" t="s">
        <v>20</v>
      </c>
      <c r="I213" s="2">
        <v>1</v>
      </c>
      <c r="J213" s="2" t="s">
        <v>784</v>
      </c>
      <c r="K213" s="2">
        <v>36842.400000000001</v>
      </c>
      <c r="L213" s="35">
        <v>115140236.904</v>
      </c>
      <c r="M213" s="36">
        <v>15480</v>
      </c>
      <c r="N213" s="37">
        <v>320299</v>
      </c>
      <c r="O213" s="37">
        <v>318682</v>
      </c>
      <c r="P213" s="37">
        <v>0</v>
      </c>
      <c r="Q213" s="37">
        <v>99309</v>
      </c>
      <c r="R213" s="37">
        <v>532322</v>
      </c>
      <c r="S213" s="37">
        <v>343435</v>
      </c>
      <c r="T213" s="37">
        <v>30000</v>
      </c>
      <c r="U213" s="37">
        <v>3629900</v>
      </c>
      <c r="V213" s="37">
        <v>0</v>
      </c>
      <c r="W213" s="45">
        <v>5273947</v>
      </c>
      <c r="X213" s="46">
        <v>4.5804552273044497</v>
      </c>
    </row>
    <row r="214" spans="1:24" s="4" customFormat="1" ht="15" customHeight="1">
      <c r="A214" s="28" t="s">
        <v>647</v>
      </c>
      <c r="B214" s="29">
        <v>3125.21</v>
      </c>
      <c r="C214" s="30" t="s">
        <v>791</v>
      </c>
      <c r="D214" s="2">
        <v>4948210657</v>
      </c>
      <c r="E214" s="2" t="s">
        <v>14</v>
      </c>
      <c r="F214" s="2" t="s">
        <v>792</v>
      </c>
      <c r="G214" s="28" t="s">
        <v>5</v>
      </c>
      <c r="H214" s="2" t="s">
        <v>35</v>
      </c>
      <c r="I214" s="2">
        <v>1</v>
      </c>
      <c r="J214" s="2" t="s">
        <v>793</v>
      </c>
      <c r="K214" s="2">
        <v>3218.75</v>
      </c>
      <c r="L214" s="35">
        <v>10059269.6875</v>
      </c>
      <c r="M214" s="36">
        <v>625</v>
      </c>
      <c r="N214" s="40">
        <v>20403.354430379699</v>
      </c>
      <c r="O214" s="40">
        <v>26460.3164556962</v>
      </c>
      <c r="P214" s="40">
        <v>0</v>
      </c>
      <c r="Q214" s="40">
        <v>6285.3797468354396</v>
      </c>
      <c r="R214" s="40">
        <v>43628.303797468398</v>
      </c>
      <c r="S214" s="40">
        <v>21736.3924050633</v>
      </c>
      <c r="T214" s="37">
        <v>30000</v>
      </c>
      <c r="U214" s="40">
        <v>317787.97468354402</v>
      </c>
      <c r="V214" s="40">
        <v>82445.759493670907</v>
      </c>
      <c r="W214" s="45">
        <v>548747.48101265798</v>
      </c>
      <c r="X214" s="46">
        <v>5.4551423518801796</v>
      </c>
    </row>
    <row r="215" spans="1:24" s="4" customFormat="1" ht="15" customHeight="1">
      <c r="A215" s="28" t="s">
        <v>647</v>
      </c>
      <c r="B215" s="29">
        <v>3125.21</v>
      </c>
      <c r="C215" s="30" t="s">
        <v>806</v>
      </c>
      <c r="D215" s="2">
        <v>4947225151</v>
      </c>
      <c r="E215" s="2" t="s">
        <v>14</v>
      </c>
      <c r="F215" s="2" t="s">
        <v>807</v>
      </c>
      <c r="G215" s="28" t="s">
        <v>5</v>
      </c>
      <c r="H215" s="2" t="s">
        <v>20</v>
      </c>
      <c r="I215" s="2">
        <v>1</v>
      </c>
      <c r="J215" s="2" t="s">
        <v>808</v>
      </c>
      <c r="K215" s="2">
        <v>26960</v>
      </c>
      <c r="L215" s="35">
        <v>84255661.599999994</v>
      </c>
      <c r="M215" s="36">
        <v>8000</v>
      </c>
      <c r="N215" s="37">
        <v>0</v>
      </c>
      <c r="O215" s="37">
        <v>318682</v>
      </c>
      <c r="P215" s="37">
        <v>0</v>
      </c>
      <c r="Q215" s="37">
        <v>99309</v>
      </c>
      <c r="R215" s="37">
        <v>620758</v>
      </c>
      <c r="S215" s="37">
        <v>343435</v>
      </c>
      <c r="T215" s="37">
        <v>30000</v>
      </c>
      <c r="U215" s="37">
        <v>2601700</v>
      </c>
      <c r="V215" s="37">
        <v>0</v>
      </c>
      <c r="W215" s="45">
        <v>4013884</v>
      </c>
      <c r="X215" s="46">
        <v>4.7639338695786799</v>
      </c>
    </row>
    <row r="216" spans="1:24" s="4" customFormat="1" ht="15" customHeight="1">
      <c r="A216" s="28" t="s">
        <v>647</v>
      </c>
      <c r="B216" s="29">
        <v>3125.21</v>
      </c>
      <c r="C216" s="30" t="s">
        <v>820</v>
      </c>
      <c r="D216" s="2">
        <v>4948242174</v>
      </c>
      <c r="E216" s="2" t="s">
        <v>14</v>
      </c>
      <c r="F216" s="2" t="s">
        <v>821</v>
      </c>
      <c r="G216" s="28" t="s">
        <v>9</v>
      </c>
      <c r="H216" s="2" t="s">
        <v>23</v>
      </c>
      <c r="I216" s="2">
        <v>1</v>
      </c>
      <c r="J216" s="2"/>
      <c r="K216" s="2">
        <v>7962</v>
      </c>
      <c r="L216" s="35">
        <v>24882922.02</v>
      </c>
      <c r="M216" s="36">
        <v>600</v>
      </c>
      <c r="N216" s="37">
        <v>339250</v>
      </c>
      <c r="O216" s="37">
        <v>404</v>
      </c>
      <c r="P216" s="37">
        <v>0</v>
      </c>
      <c r="Q216" s="37">
        <v>9842</v>
      </c>
      <c r="R216" s="37">
        <v>92303</v>
      </c>
      <c r="S216" s="37">
        <v>354356</v>
      </c>
      <c r="T216" s="37">
        <v>30000</v>
      </c>
      <c r="U216" s="37">
        <v>322500</v>
      </c>
      <c r="V216" s="37">
        <v>0</v>
      </c>
      <c r="W216" s="45">
        <v>1148655</v>
      </c>
      <c r="X216" s="46">
        <v>4.6162383946577998</v>
      </c>
    </row>
    <row r="217" spans="1:24" s="4" customFormat="1" ht="15" customHeight="1">
      <c r="A217" s="28" t="s">
        <v>647</v>
      </c>
      <c r="B217" s="29">
        <v>3125.21</v>
      </c>
      <c r="C217" s="30" t="s">
        <v>833</v>
      </c>
      <c r="D217" s="2">
        <v>4948210663</v>
      </c>
      <c r="E217" s="2" t="s">
        <v>14</v>
      </c>
      <c r="F217" s="78" t="s">
        <v>834</v>
      </c>
      <c r="G217" s="28" t="s">
        <v>5</v>
      </c>
      <c r="H217" s="2" t="s">
        <v>26</v>
      </c>
      <c r="I217" s="2">
        <v>1</v>
      </c>
      <c r="J217" s="2" t="s">
        <v>835</v>
      </c>
      <c r="K217" s="2">
        <v>35008.800000000003</v>
      </c>
      <c r="L217" s="35">
        <v>109409851.848</v>
      </c>
      <c r="M217" s="36">
        <v>20120</v>
      </c>
      <c r="N217" s="40">
        <v>323229.80531561503</v>
      </c>
      <c r="O217" s="37">
        <v>130236.893687708</v>
      </c>
      <c r="P217" s="40">
        <v>316765.00199335598</v>
      </c>
      <c r="Q217" s="37">
        <v>33190.981395348797</v>
      </c>
      <c r="R217" s="40">
        <v>575645.00930232601</v>
      </c>
      <c r="S217" s="40">
        <v>114782.594684385</v>
      </c>
      <c r="T217" s="37">
        <v>30000</v>
      </c>
      <c r="U217" s="40">
        <v>0</v>
      </c>
      <c r="V217" s="40">
        <v>0</v>
      </c>
      <c r="W217" s="45">
        <v>1523850.2863787401</v>
      </c>
      <c r="X217" s="46">
        <v>1.3927907410895499</v>
      </c>
    </row>
    <row r="218" spans="1:24" s="4" customFormat="1" ht="15" customHeight="1">
      <c r="A218" s="28" t="s">
        <v>647</v>
      </c>
      <c r="B218" s="29">
        <v>3125.21</v>
      </c>
      <c r="C218" s="30" t="s">
        <v>833</v>
      </c>
      <c r="D218" s="2">
        <v>4948494940</v>
      </c>
      <c r="E218" s="2" t="s">
        <v>14</v>
      </c>
      <c r="F218" s="78" t="s">
        <v>834</v>
      </c>
      <c r="G218" s="28" t="s">
        <v>5</v>
      </c>
      <c r="H218" s="2" t="s">
        <v>26</v>
      </c>
      <c r="I218" s="2">
        <v>1</v>
      </c>
      <c r="J218" s="2" t="s">
        <v>836</v>
      </c>
      <c r="K218" s="2">
        <v>34869.599999999999</v>
      </c>
      <c r="L218" s="35">
        <v>108974822.616</v>
      </c>
      <c r="M218" s="36">
        <v>20040</v>
      </c>
      <c r="N218" s="40">
        <v>321944.59734219301</v>
      </c>
      <c r="O218" s="40">
        <v>129719.05315614599</v>
      </c>
      <c r="P218" s="40">
        <v>315505.49900332198</v>
      </c>
      <c r="Q218" s="40">
        <v>33059.009302325598</v>
      </c>
      <c r="R218" s="40">
        <v>573795.99534883699</v>
      </c>
      <c r="S218" s="40">
        <v>114326.20265780701</v>
      </c>
      <c r="T218" s="37">
        <v>30000</v>
      </c>
      <c r="U218" s="40">
        <v>0</v>
      </c>
      <c r="V218" s="40">
        <v>0</v>
      </c>
      <c r="W218" s="45">
        <v>1518350.3568106301</v>
      </c>
      <c r="X218" s="46">
        <v>1.3933038112490601</v>
      </c>
    </row>
    <row r="219" spans="1:24" s="4" customFormat="1" ht="15" customHeight="1">
      <c r="A219" s="28" t="s">
        <v>647</v>
      </c>
      <c r="B219" s="29">
        <v>3125.21</v>
      </c>
      <c r="C219" s="30" t="s">
        <v>833</v>
      </c>
      <c r="D219" s="2">
        <v>4948495887</v>
      </c>
      <c r="E219" s="2" t="s">
        <v>14</v>
      </c>
      <c r="F219" s="78" t="s">
        <v>834</v>
      </c>
      <c r="G219" s="28" t="s">
        <v>5</v>
      </c>
      <c r="H219" s="2" t="s">
        <v>26</v>
      </c>
      <c r="I219" s="2">
        <v>1</v>
      </c>
      <c r="J219" s="2" t="s">
        <v>837</v>
      </c>
      <c r="K219" s="2">
        <v>34869.599999999999</v>
      </c>
      <c r="L219" s="35">
        <v>108974822.616</v>
      </c>
      <c r="M219" s="36">
        <v>20040</v>
      </c>
      <c r="N219" s="40">
        <v>321944.59734219301</v>
      </c>
      <c r="O219" s="40">
        <v>129719.05315614599</v>
      </c>
      <c r="P219" s="40">
        <v>315505.49900332198</v>
      </c>
      <c r="Q219" s="40">
        <v>33059.009302325598</v>
      </c>
      <c r="R219" s="40">
        <v>573795.99534883699</v>
      </c>
      <c r="S219" s="40">
        <v>114326.20265780701</v>
      </c>
      <c r="T219" s="37">
        <v>30000</v>
      </c>
      <c r="U219" s="40">
        <v>0</v>
      </c>
      <c r="V219" s="40">
        <v>0</v>
      </c>
      <c r="W219" s="45">
        <v>1518350.3568106301</v>
      </c>
      <c r="X219" s="46">
        <v>1.3933038112490601</v>
      </c>
    </row>
    <row r="220" spans="1:24" s="4" customFormat="1" ht="15" customHeight="1">
      <c r="A220" s="28" t="s">
        <v>647</v>
      </c>
      <c r="B220" s="29">
        <v>3125.21</v>
      </c>
      <c r="C220" s="30" t="s">
        <v>838</v>
      </c>
      <c r="D220" s="2">
        <v>4948495886</v>
      </c>
      <c r="E220" s="2" t="s">
        <v>14</v>
      </c>
      <c r="F220" s="2" t="s">
        <v>839</v>
      </c>
      <c r="G220" s="28" t="s">
        <v>5</v>
      </c>
      <c r="H220" s="2" t="s">
        <v>32</v>
      </c>
      <c r="I220" s="2">
        <v>1</v>
      </c>
      <c r="J220" s="2" t="s">
        <v>840</v>
      </c>
      <c r="K220" s="2">
        <v>27885</v>
      </c>
      <c r="L220" s="35">
        <v>87146480.849999994</v>
      </c>
      <c r="M220" s="36">
        <v>3300</v>
      </c>
      <c r="N220" s="40">
        <v>197876.094339623</v>
      </c>
      <c r="O220" s="40">
        <v>198424.641509434</v>
      </c>
      <c r="P220" s="40">
        <v>0</v>
      </c>
      <c r="Q220" s="40">
        <v>61833.905660377401</v>
      </c>
      <c r="R220" s="40">
        <v>610793.094339623</v>
      </c>
      <c r="S220" s="40">
        <v>220636.754716981</v>
      </c>
      <c r="T220" s="37">
        <v>30000</v>
      </c>
      <c r="U220" s="40">
        <v>2492558.4905660399</v>
      </c>
      <c r="V220" s="40">
        <v>831226.41509433999</v>
      </c>
      <c r="W220" s="45">
        <v>4643349.3962264201</v>
      </c>
      <c r="X220" s="46">
        <v>5.3282121675328904</v>
      </c>
    </row>
    <row r="221" spans="1:24" s="4" customFormat="1" ht="15" customHeight="1">
      <c r="A221" s="28" t="s">
        <v>647</v>
      </c>
      <c r="B221" s="29">
        <v>3125.21</v>
      </c>
      <c r="C221" s="30" t="s">
        <v>846</v>
      </c>
      <c r="D221" s="2">
        <v>4947915816</v>
      </c>
      <c r="E221" s="2" t="s">
        <v>14</v>
      </c>
      <c r="F221" s="2" t="s">
        <v>847</v>
      </c>
      <c r="G221" s="28" t="s">
        <v>9</v>
      </c>
      <c r="H221" s="2" t="s">
        <v>23</v>
      </c>
      <c r="I221" s="2">
        <v>6</v>
      </c>
      <c r="J221" s="2"/>
      <c r="K221" s="2">
        <v>4400</v>
      </c>
      <c r="L221" s="35">
        <v>13750924</v>
      </c>
      <c r="M221" s="36">
        <v>2000</v>
      </c>
      <c r="N221" s="40">
        <v>1596050.4249291799</v>
      </c>
      <c r="O221" s="40">
        <v>1335.97733711048</v>
      </c>
      <c r="P221" s="40">
        <v>62101.983002832902</v>
      </c>
      <c r="Q221" s="40">
        <v>32998.300283286102</v>
      </c>
      <c r="R221" s="40">
        <v>90202.832861189803</v>
      </c>
      <c r="S221" s="40">
        <v>200768.27195467401</v>
      </c>
      <c r="T221" s="37">
        <v>30000</v>
      </c>
      <c r="U221" s="40">
        <v>1181586.40226629</v>
      </c>
      <c r="V221" s="40">
        <v>0</v>
      </c>
      <c r="W221" s="45">
        <v>3195044.1926345602</v>
      </c>
      <c r="X221" s="46">
        <v>23.235123637033901</v>
      </c>
    </row>
    <row r="222" spans="1:24" s="4" customFormat="1" ht="15" customHeight="1">
      <c r="A222" s="28" t="s">
        <v>647</v>
      </c>
      <c r="B222" s="29">
        <v>3125.21</v>
      </c>
      <c r="C222" s="30" t="s">
        <v>846</v>
      </c>
      <c r="D222" s="2">
        <v>4947975264</v>
      </c>
      <c r="E222" s="2" t="s">
        <v>14</v>
      </c>
      <c r="F222" s="2" t="s">
        <v>847</v>
      </c>
      <c r="G222" s="28" t="s">
        <v>9</v>
      </c>
      <c r="H222" s="2" t="s">
        <v>23</v>
      </c>
      <c r="I222" s="2">
        <v>6</v>
      </c>
      <c r="J222" s="2"/>
      <c r="K222" s="2">
        <v>7920</v>
      </c>
      <c r="L222" s="35">
        <v>24751663.199999999</v>
      </c>
      <c r="M222" s="36">
        <v>180</v>
      </c>
      <c r="N222" s="40">
        <v>143644.53824362601</v>
      </c>
      <c r="O222" s="40">
        <v>120.237960339943</v>
      </c>
      <c r="P222" s="40">
        <v>5589.1784702549603</v>
      </c>
      <c r="Q222" s="40">
        <v>2969.8470254957501</v>
      </c>
      <c r="R222" s="40">
        <v>8118.2549575070798</v>
      </c>
      <c r="S222" s="40">
        <v>18069.144475920701</v>
      </c>
      <c r="T222" s="37">
        <v>30000</v>
      </c>
      <c r="U222" s="40">
        <v>106342.776203966</v>
      </c>
      <c r="V222" s="40">
        <v>0</v>
      </c>
      <c r="W222" s="45">
        <v>314853.97733710997</v>
      </c>
      <c r="X222" s="46">
        <v>1.2720518002891601</v>
      </c>
    </row>
    <row r="223" spans="1:24" s="4" customFormat="1" ht="15" customHeight="1">
      <c r="A223" s="28" t="s">
        <v>647</v>
      </c>
      <c r="B223" s="29">
        <v>3125.21</v>
      </c>
      <c r="C223" s="30" t="s">
        <v>846</v>
      </c>
      <c r="D223" s="2">
        <v>4948037020</v>
      </c>
      <c r="E223" s="2" t="s">
        <v>14</v>
      </c>
      <c r="F223" s="2" t="s">
        <v>847</v>
      </c>
      <c r="G223" s="28" t="s">
        <v>9</v>
      </c>
      <c r="H223" s="2" t="s">
        <v>23</v>
      </c>
      <c r="I223" s="2">
        <v>6</v>
      </c>
      <c r="J223" s="2"/>
      <c r="K223" s="2">
        <v>28930.5</v>
      </c>
      <c r="L223" s="35">
        <v>90413887.905000001</v>
      </c>
      <c r="M223" s="36">
        <v>1350</v>
      </c>
      <c r="N223" s="40">
        <v>1077334.0368272001</v>
      </c>
      <c r="O223" s="40">
        <v>901.78470254957494</v>
      </c>
      <c r="P223" s="40">
        <v>41918.838526912201</v>
      </c>
      <c r="Q223" s="40">
        <v>22273.852691218101</v>
      </c>
      <c r="R223" s="40">
        <v>60886.912181303102</v>
      </c>
      <c r="S223" s="40">
        <v>135518.58356940499</v>
      </c>
      <c r="T223" s="37">
        <v>30000</v>
      </c>
      <c r="U223" s="40">
        <v>797570.82152974501</v>
      </c>
      <c r="V223" s="40">
        <v>0</v>
      </c>
      <c r="W223" s="45">
        <v>2166404.83002833</v>
      </c>
      <c r="X223" s="46">
        <v>2.3960974140439899</v>
      </c>
    </row>
    <row r="224" spans="1:24" s="4" customFormat="1" ht="15" customHeight="1">
      <c r="A224" s="28" t="s">
        <v>647</v>
      </c>
      <c r="B224" s="29">
        <v>3125.21</v>
      </c>
      <c r="C224" s="30" t="s">
        <v>848</v>
      </c>
      <c r="D224" s="2">
        <v>4948241408</v>
      </c>
      <c r="E224" s="2" t="s">
        <v>14</v>
      </c>
      <c r="F224" s="2" t="s">
        <v>849</v>
      </c>
      <c r="G224" s="28" t="s">
        <v>9</v>
      </c>
      <c r="H224" s="2" t="s">
        <v>23</v>
      </c>
      <c r="I224" s="2">
        <v>15</v>
      </c>
      <c r="J224" s="2"/>
      <c r="K224" s="2">
        <v>25056</v>
      </c>
      <c r="L224" s="35">
        <v>78305261.760000005</v>
      </c>
      <c r="M224" s="36">
        <v>3200</v>
      </c>
      <c r="N224" s="40">
        <v>2109885.7001239201</v>
      </c>
      <c r="O224" s="40">
        <v>2207.88104089219</v>
      </c>
      <c r="P224" s="40">
        <v>101036.332094176</v>
      </c>
      <c r="Q224" s="40">
        <v>53678.711276332098</v>
      </c>
      <c r="R224" s="40">
        <v>104075.34076827799</v>
      </c>
      <c r="S224" s="40">
        <v>140512.912019827</v>
      </c>
      <c r="T224" s="37">
        <v>30000</v>
      </c>
      <c r="U224" s="40">
        <v>1911633.2094176</v>
      </c>
      <c r="V224" s="40">
        <v>529368.02973977698</v>
      </c>
      <c r="W224" s="45">
        <v>4982398.1164808003</v>
      </c>
      <c r="X224" s="46">
        <v>6.3627884059074997</v>
      </c>
    </row>
    <row r="225" spans="1:24" s="4" customFormat="1" ht="15" customHeight="1">
      <c r="A225" s="28" t="s">
        <v>647</v>
      </c>
      <c r="B225" s="29">
        <v>3125.21</v>
      </c>
      <c r="C225" s="30" t="s">
        <v>848</v>
      </c>
      <c r="D225" s="2">
        <v>4948210674</v>
      </c>
      <c r="E225" s="2" t="s">
        <v>14</v>
      </c>
      <c r="F225" s="2" t="s">
        <v>849</v>
      </c>
      <c r="G225" s="28" t="s">
        <v>9</v>
      </c>
      <c r="H225" s="2" t="s">
        <v>23</v>
      </c>
      <c r="I225" s="2">
        <v>15</v>
      </c>
      <c r="J225" s="2"/>
      <c r="K225" s="2">
        <v>28504.799999999999</v>
      </c>
      <c r="L225" s="35">
        <v>89083486.008000001</v>
      </c>
      <c r="M225" s="36">
        <v>720</v>
      </c>
      <c r="N225" s="40">
        <v>474724.28252788098</v>
      </c>
      <c r="O225" s="40">
        <v>496.77323420074299</v>
      </c>
      <c r="P225" s="40">
        <v>22733.1747211896</v>
      </c>
      <c r="Q225" s="40">
        <v>12077.7100371747</v>
      </c>
      <c r="R225" s="40">
        <v>23416.951672862499</v>
      </c>
      <c r="S225" s="40">
        <v>31615.405204461</v>
      </c>
      <c r="T225" s="37">
        <v>30000</v>
      </c>
      <c r="U225" s="40">
        <v>430117.47211895901</v>
      </c>
      <c r="V225" s="40">
        <v>119107.80669144999</v>
      </c>
      <c r="W225" s="45">
        <v>1144289.57620818</v>
      </c>
      <c r="X225" s="46">
        <v>1.28451369326232</v>
      </c>
    </row>
    <row r="226" spans="1:24" s="4" customFormat="1" ht="15" customHeight="1">
      <c r="A226" s="28" t="s">
        <v>647</v>
      </c>
      <c r="B226" s="29">
        <v>3125.21</v>
      </c>
      <c r="C226" s="30" t="s">
        <v>853</v>
      </c>
      <c r="D226" s="2">
        <v>4948413339</v>
      </c>
      <c r="E226" s="2" t="s">
        <v>14</v>
      </c>
      <c r="F226" s="2" t="s">
        <v>854</v>
      </c>
      <c r="G226" s="28" t="s">
        <v>9</v>
      </c>
      <c r="H226" s="2" t="s">
        <v>23</v>
      </c>
      <c r="I226" s="2">
        <v>3</v>
      </c>
      <c r="J226" s="2"/>
      <c r="K226" s="2">
        <v>10861.2</v>
      </c>
      <c r="L226" s="35">
        <v>33943530.851999998</v>
      </c>
      <c r="M226" s="36">
        <v>2520</v>
      </c>
      <c r="N226" s="37">
        <v>1940863</v>
      </c>
      <c r="O226" s="37">
        <v>1680</v>
      </c>
      <c r="P226" s="37">
        <v>0</v>
      </c>
      <c r="Q226" s="37">
        <v>51952</v>
      </c>
      <c r="R226" s="37">
        <v>135675</v>
      </c>
      <c r="S226" s="37">
        <v>354356</v>
      </c>
      <c r="T226" s="37">
        <v>30000</v>
      </c>
      <c r="U226" s="37">
        <v>1354500</v>
      </c>
      <c r="V226" s="37">
        <v>0</v>
      </c>
      <c r="W226" s="45">
        <v>3869026</v>
      </c>
      <c r="X226" s="46">
        <v>11.3984193832682</v>
      </c>
    </row>
    <row r="227" spans="1:24" s="4" customFormat="1" ht="15" customHeight="1">
      <c r="A227" s="28" t="s">
        <v>647</v>
      </c>
      <c r="B227" s="29">
        <v>3125.21</v>
      </c>
      <c r="C227" s="30" t="s">
        <v>862</v>
      </c>
      <c r="D227" s="2">
        <v>4948494932</v>
      </c>
      <c r="E227" s="2" t="s">
        <v>14</v>
      </c>
      <c r="F227" s="78" t="s">
        <v>863</v>
      </c>
      <c r="G227" s="28" t="s">
        <v>13</v>
      </c>
      <c r="H227" s="2" t="s">
        <v>23</v>
      </c>
      <c r="I227" s="2">
        <v>2</v>
      </c>
      <c r="J227" s="2"/>
      <c r="K227" s="2">
        <v>10236</v>
      </c>
      <c r="L227" s="35">
        <v>31989649.559999999</v>
      </c>
      <c r="M227" s="36">
        <v>80</v>
      </c>
      <c r="N227" s="40">
        <v>138930.94339622601</v>
      </c>
      <c r="O227" s="40">
        <v>0</v>
      </c>
      <c r="P227" s="40">
        <v>127417.735849057</v>
      </c>
      <c r="Q227" s="40">
        <v>0</v>
      </c>
      <c r="R227" s="40">
        <v>7857.7358490566003</v>
      </c>
      <c r="S227" s="40">
        <v>133719.245283019</v>
      </c>
      <c r="T227" s="37">
        <v>30000</v>
      </c>
      <c r="U227" s="40">
        <v>51597.905759162299</v>
      </c>
      <c r="V227" s="40">
        <v>0</v>
      </c>
      <c r="W227" s="45">
        <v>489523.566136521</v>
      </c>
      <c r="X227" s="46">
        <v>1.5302561074273999</v>
      </c>
    </row>
    <row r="228" spans="1:24" s="4" customFormat="1" ht="15" customHeight="1">
      <c r="A228" s="28" t="s">
        <v>647</v>
      </c>
      <c r="B228" s="29">
        <v>3125.21</v>
      </c>
      <c r="C228" s="30" t="s">
        <v>862</v>
      </c>
      <c r="D228" s="2">
        <v>4948494932</v>
      </c>
      <c r="E228" s="2" t="s">
        <v>14</v>
      </c>
      <c r="F228" s="78" t="s">
        <v>863</v>
      </c>
      <c r="G228" s="28" t="s">
        <v>13</v>
      </c>
      <c r="H228" s="2" t="s">
        <v>23</v>
      </c>
      <c r="I228" s="2">
        <v>2</v>
      </c>
      <c r="J228" s="2"/>
      <c r="K228" s="2">
        <v>2198</v>
      </c>
      <c r="L228" s="35">
        <v>6869211.5800000001</v>
      </c>
      <c r="M228" s="36">
        <v>40</v>
      </c>
      <c r="N228" s="40">
        <v>69465.471698113193</v>
      </c>
      <c r="O228" s="40">
        <v>0</v>
      </c>
      <c r="P228" s="40">
        <v>63708.867924528298</v>
      </c>
      <c r="Q228" s="40">
        <v>0</v>
      </c>
      <c r="R228" s="40">
        <v>3928.8679245283001</v>
      </c>
      <c r="S228" s="40">
        <v>66859.622641509399</v>
      </c>
      <c r="T228" s="37">
        <v>30000</v>
      </c>
      <c r="U228" s="40">
        <v>25798.9528795812</v>
      </c>
      <c r="V228" s="40">
        <v>0</v>
      </c>
      <c r="W228" s="45">
        <v>259761.78306826</v>
      </c>
      <c r="X228" s="46">
        <v>3.7815370809740099</v>
      </c>
    </row>
    <row r="229" spans="1:24" s="4" customFormat="1" ht="15" customHeight="1">
      <c r="A229" s="28" t="s">
        <v>647</v>
      </c>
      <c r="B229" s="29">
        <v>3125.21</v>
      </c>
      <c r="C229" s="30" t="s">
        <v>862</v>
      </c>
      <c r="D229" s="2">
        <v>4948494932</v>
      </c>
      <c r="E229" s="2" t="s">
        <v>14</v>
      </c>
      <c r="F229" s="78" t="s">
        <v>863</v>
      </c>
      <c r="G229" s="28" t="s">
        <v>13</v>
      </c>
      <c r="H229" s="2" t="s">
        <v>23</v>
      </c>
      <c r="I229" s="2">
        <v>2</v>
      </c>
      <c r="J229" s="2"/>
      <c r="K229" s="2">
        <v>1892</v>
      </c>
      <c r="L229" s="35">
        <v>5912897.3200000003</v>
      </c>
      <c r="M229" s="36">
        <v>50</v>
      </c>
      <c r="N229" s="40">
        <v>86831.839622641506</v>
      </c>
      <c r="O229" s="40">
        <v>0</v>
      </c>
      <c r="P229" s="40">
        <v>79636.084905660406</v>
      </c>
      <c r="Q229" s="40">
        <v>0</v>
      </c>
      <c r="R229" s="40">
        <v>4911.0849056603802</v>
      </c>
      <c r="S229" s="40">
        <v>83574.528301886807</v>
      </c>
      <c r="T229" s="37">
        <v>30000</v>
      </c>
      <c r="U229" s="40">
        <v>32248.6910994764</v>
      </c>
      <c r="V229" s="40">
        <v>0</v>
      </c>
      <c r="W229" s="45">
        <v>317202.22883532598</v>
      </c>
      <c r="X229" s="46">
        <v>5.3645820596682601</v>
      </c>
    </row>
    <row r="230" spans="1:24" s="4" customFormat="1" ht="15" customHeight="1">
      <c r="A230" s="28" t="s">
        <v>647</v>
      </c>
      <c r="B230" s="29">
        <v>3125.21</v>
      </c>
      <c r="C230" s="30" t="s">
        <v>862</v>
      </c>
      <c r="D230" s="2">
        <v>4948494932</v>
      </c>
      <c r="E230" s="2" t="s">
        <v>14</v>
      </c>
      <c r="F230" s="78" t="s">
        <v>863</v>
      </c>
      <c r="G230" s="28" t="s">
        <v>13</v>
      </c>
      <c r="H230" s="2" t="s">
        <v>23</v>
      </c>
      <c r="I230" s="2">
        <v>2</v>
      </c>
      <c r="J230" s="2"/>
      <c r="K230" s="2">
        <v>848</v>
      </c>
      <c r="L230" s="35">
        <v>2650178.08</v>
      </c>
      <c r="M230" s="36">
        <v>2</v>
      </c>
      <c r="N230" s="40">
        <v>3473.2735849056598</v>
      </c>
      <c r="O230" s="40">
        <v>0</v>
      </c>
      <c r="P230" s="40">
        <v>3185.4433962264202</v>
      </c>
      <c r="Q230" s="40">
        <v>0</v>
      </c>
      <c r="R230" s="40">
        <v>196.44339622641499</v>
      </c>
      <c r="S230" s="40">
        <v>3342.9811320754702</v>
      </c>
      <c r="T230" s="37">
        <v>30000</v>
      </c>
      <c r="U230" s="40">
        <v>1289.9476439790601</v>
      </c>
      <c r="V230" s="40">
        <v>0</v>
      </c>
      <c r="W230" s="45">
        <v>41488.089153412999</v>
      </c>
      <c r="X230" s="46">
        <v>1.5654830694778501</v>
      </c>
    </row>
    <row r="231" spans="1:24" s="4" customFormat="1" ht="15" customHeight="1">
      <c r="A231" s="28" t="s">
        <v>647</v>
      </c>
      <c r="B231" s="29">
        <v>3125.21</v>
      </c>
      <c r="C231" s="30" t="s">
        <v>862</v>
      </c>
      <c r="D231" s="2">
        <v>4948494932</v>
      </c>
      <c r="E231" s="2" t="s">
        <v>14</v>
      </c>
      <c r="F231" s="78" t="s">
        <v>863</v>
      </c>
      <c r="G231" s="28" t="s">
        <v>13</v>
      </c>
      <c r="H231" s="2" t="s">
        <v>23</v>
      </c>
      <c r="I231" s="2">
        <v>2</v>
      </c>
      <c r="J231" s="2"/>
      <c r="K231" s="2">
        <v>2484.6</v>
      </c>
      <c r="L231" s="35">
        <v>7764896.7659999998</v>
      </c>
      <c r="M231" s="36">
        <v>30</v>
      </c>
      <c r="N231" s="40">
        <v>52099.103773584902</v>
      </c>
      <c r="O231" s="40">
        <v>0</v>
      </c>
      <c r="P231" s="40">
        <v>47781.650943396198</v>
      </c>
      <c r="Q231" s="40">
        <v>0</v>
      </c>
      <c r="R231" s="40">
        <v>2946.6509433962301</v>
      </c>
      <c r="S231" s="40">
        <v>50144.7169811321</v>
      </c>
      <c r="T231" s="37">
        <v>30000</v>
      </c>
      <c r="U231" s="40">
        <v>19349.214659685898</v>
      </c>
      <c r="V231" s="40">
        <v>0</v>
      </c>
      <c r="W231" s="45">
        <v>202321.33730119499</v>
      </c>
      <c r="X231" s="46">
        <v>2.6055895319445299</v>
      </c>
    </row>
    <row r="232" spans="1:24" s="4" customFormat="1" ht="15" customHeight="1">
      <c r="A232" s="28" t="s">
        <v>647</v>
      </c>
      <c r="B232" s="29">
        <v>3125.21</v>
      </c>
      <c r="C232" s="30" t="s">
        <v>862</v>
      </c>
      <c r="D232" s="2">
        <v>4948494932</v>
      </c>
      <c r="E232" s="2" t="s">
        <v>14</v>
      </c>
      <c r="F232" s="78" t="s">
        <v>863</v>
      </c>
      <c r="G232" s="28" t="s">
        <v>13</v>
      </c>
      <c r="H232" s="2" t="s">
        <v>23</v>
      </c>
      <c r="I232" s="2">
        <v>2</v>
      </c>
      <c r="J232" s="2"/>
      <c r="K232" s="2">
        <v>715.6</v>
      </c>
      <c r="L232" s="35">
        <v>2236400.2760000001</v>
      </c>
      <c r="M232" s="36">
        <v>10</v>
      </c>
      <c r="N232" s="40">
        <v>17366.367924528298</v>
      </c>
      <c r="O232" s="40">
        <v>0</v>
      </c>
      <c r="P232" s="40">
        <v>15927.2169811321</v>
      </c>
      <c r="Q232" s="40">
        <v>0</v>
      </c>
      <c r="R232" s="40">
        <v>982.21698113207503</v>
      </c>
      <c r="S232" s="40">
        <v>16714.905660377401</v>
      </c>
      <c r="T232" s="37">
        <v>30000</v>
      </c>
      <c r="U232" s="40">
        <v>6449.7382198952901</v>
      </c>
      <c r="V232" s="40">
        <v>0</v>
      </c>
      <c r="W232" s="45">
        <v>87440.445767065205</v>
      </c>
      <c r="X232" s="46">
        <v>3.9098745741285699</v>
      </c>
    </row>
    <row r="233" spans="1:24" s="4" customFormat="1" ht="15" customHeight="1">
      <c r="A233" s="28" t="s">
        <v>647</v>
      </c>
      <c r="B233" s="29">
        <v>3125.21</v>
      </c>
      <c r="C233" s="30" t="s">
        <v>864</v>
      </c>
      <c r="D233" s="2">
        <v>4947945348</v>
      </c>
      <c r="E233" s="2" t="s">
        <v>14</v>
      </c>
      <c r="F233" s="78" t="s">
        <v>865</v>
      </c>
      <c r="G233" s="28" t="s">
        <v>13</v>
      </c>
      <c r="H233" s="2" t="s">
        <v>23</v>
      </c>
      <c r="I233" s="2">
        <v>2</v>
      </c>
      <c r="J233" s="2"/>
      <c r="K233" s="2">
        <v>4309.6000000000004</v>
      </c>
      <c r="L233" s="35">
        <v>13468405.016000001</v>
      </c>
      <c r="M233" s="36">
        <v>80</v>
      </c>
      <c r="N233" s="37">
        <v>148667.5</v>
      </c>
      <c r="O233" s="37">
        <v>0</v>
      </c>
      <c r="P233" s="37">
        <v>168828.5</v>
      </c>
      <c r="Q233" s="37">
        <v>0</v>
      </c>
      <c r="R233" s="37">
        <v>1185</v>
      </c>
      <c r="S233" s="37">
        <v>354356</v>
      </c>
      <c r="T233" s="37">
        <v>30000</v>
      </c>
      <c r="U233" s="37">
        <v>45148.167539267</v>
      </c>
      <c r="V233" s="37">
        <v>0</v>
      </c>
      <c r="W233" s="45">
        <v>748185.16753926699</v>
      </c>
      <c r="X233" s="46">
        <v>5.55511336829007</v>
      </c>
    </row>
    <row r="234" spans="1:24" s="4" customFormat="1" ht="15" customHeight="1">
      <c r="A234" s="28" t="s">
        <v>647</v>
      </c>
      <c r="B234" s="29">
        <v>3125.21</v>
      </c>
      <c r="C234" s="30" t="s">
        <v>866</v>
      </c>
      <c r="D234" s="2">
        <v>4948494936</v>
      </c>
      <c r="E234" s="2" t="s">
        <v>14</v>
      </c>
      <c r="F234" s="2">
        <v>1024589507</v>
      </c>
      <c r="G234" s="28" t="s">
        <v>13</v>
      </c>
      <c r="H234" s="2" t="s">
        <v>23</v>
      </c>
      <c r="I234" s="2">
        <v>1</v>
      </c>
      <c r="J234" s="2"/>
      <c r="K234" s="2">
        <v>2046.4</v>
      </c>
      <c r="L234" s="35">
        <v>6395429.7439999999</v>
      </c>
      <c r="M234" s="36">
        <v>20</v>
      </c>
      <c r="N234" s="37">
        <v>154062.85999999999</v>
      </c>
      <c r="O234" s="37">
        <v>0</v>
      </c>
      <c r="P234" s="37">
        <v>331517</v>
      </c>
      <c r="Q234" s="37">
        <v>0</v>
      </c>
      <c r="R234" s="37">
        <v>1942</v>
      </c>
      <c r="S234" s="37">
        <v>354356</v>
      </c>
      <c r="T234" s="37">
        <v>30000</v>
      </c>
      <c r="U234" s="37">
        <v>12899.4764397906</v>
      </c>
      <c r="V234" s="37">
        <v>0</v>
      </c>
      <c r="W234" s="45">
        <v>884777.33643979102</v>
      </c>
      <c r="X234" s="46">
        <v>13.8345251508683</v>
      </c>
    </row>
    <row r="235" spans="1:24" s="4" customFormat="1" ht="15" customHeight="1">
      <c r="A235" s="28" t="s">
        <v>647</v>
      </c>
      <c r="B235" s="29">
        <v>3125.21</v>
      </c>
      <c r="C235" s="30" t="s">
        <v>867</v>
      </c>
      <c r="D235" s="2">
        <v>4948494931</v>
      </c>
      <c r="E235" s="2" t="s">
        <v>14</v>
      </c>
      <c r="F235" s="2">
        <v>1024454772</v>
      </c>
      <c r="G235" s="28" t="s">
        <v>13</v>
      </c>
      <c r="H235" s="2" t="s">
        <v>23</v>
      </c>
      <c r="I235" s="2">
        <v>1</v>
      </c>
      <c r="J235" s="2"/>
      <c r="K235" s="2">
        <v>806.8</v>
      </c>
      <c r="L235" s="35">
        <v>2521419.4279999998</v>
      </c>
      <c r="M235" s="36">
        <v>20</v>
      </c>
      <c r="N235" s="40">
        <v>33909.967857142903</v>
      </c>
      <c r="O235" s="40">
        <v>0</v>
      </c>
      <c r="P235" s="40">
        <v>26691.928571428602</v>
      </c>
      <c r="Q235" s="40">
        <v>0</v>
      </c>
      <c r="R235" s="40">
        <v>3099.1111111111099</v>
      </c>
      <c r="S235" s="40">
        <v>78745.777777777796</v>
      </c>
      <c r="T235" s="37">
        <v>30000</v>
      </c>
      <c r="U235" s="40">
        <v>17598.571428571398</v>
      </c>
      <c r="V235" s="40">
        <v>0</v>
      </c>
      <c r="W235" s="45">
        <v>190045.35674603199</v>
      </c>
      <c r="X235" s="46">
        <v>7.5372369481890003</v>
      </c>
    </row>
    <row r="236" spans="1:24" s="4" customFormat="1" ht="15" customHeight="1">
      <c r="A236" s="28" t="s">
        <v>647</v>
      </c>
      <c r="B236" s="29">
        <v>3125.21</v>
      </c>
      <c r="C236" s="30" t="s">
        <v>867</v>
      </c>
      <c r="D236" s="2">
        <v>4948494931</v>
      </c>
      <c r="E236" s="2" t="s">
        <v>14</v>
      </c>
      <c r="F236" s="2">
        <v>1024454772</v>
      </c>
      <c r="G236" s="28" t="s">
        <v>13</v>
      </c>
      <c r="H236" s="2" t="s">
        <v>23</v>
      </c>
      <c r="I236" s="2">
        <v>1</v>
      </c>
      <c r="J236" s="2"/>
      <c r="K236" s="2">
        <v>892.2</v>
      </c>
      <c r="L236" s="35">
        <v>2788312.3620000002</v>
      </c>
      <c r="M236" s="36">
        <v>20</v>
      </c>
      <c r="N236" s="40">
        <v>33909.967857142903</v>
      </c>
      <c r="O236" s="40">
        <v>0</v>
      </c>
      <c r="P236" s="40">
        <v>26691.928571428602</v>
      </c>
      <c r="Q236" s="40">
        <v>0</v>
      </c>
      <c r="R236" s="40">
        <v>3099.1111111111099</v>
      </c>
      <c r="S236" s="40">
        <v>78745.777777777796</v>
      </c>
      <c r="T236" s="37">
        <v>30000</v>
      </c>
      <c r="U236" s="40">
        <v>17598.571428571398</v>
      </c>
      <c r="V236" s="40">
        <v>0</v>
      </c>
      <c r="W236" s="45">
        <v>190045.35674603199</v>
      </c>
      <c r="X236" s="46">
        <v>6.8157843194338597</v>
      </c>
    </row>
    <row r="237" spans="1:24" s="4" customFormat="1" ht="15" customHeight="1">
      <c r="A237" s="28" t="s">
        <v>647</v>
      </c>
      <c r="B237" s="29">
        <v>3125.21</v>
      </c>
      <c r="C237" s="30" t="s">
        <v>867</v>
      </c>
      <c r="D237" s="2">
        <v>4948494931</v>
      </c>
      <c r="E237" s="2" t="s">
        <v>14</v>
      </c>
      <c r="F237" s="2">
        <v>1024454772</v>
      </c>
      <c r="G237" s="28" t="s">
        <v>13</v>
      </c>
      <c r="H237" s="2" t="s">
        <v>23</v>
      </c>
      <c r="I237" s="2">
        <v>1</v>
      </c>
      <c r="J237" s="2"/>
      <c r="K237" s="2">
        <v>1158.8</v>
      </c>
      <c r="L237" s="35">
        <v>3621493.3480000002</v>
      </c>
      <c r="M237" s="36">
        <v>10</v>
      </c>
      <c r="N237" s="40">
        <v>16954.983928571401</v>
      </c>
      <c r="O237" s="40">
        <v>0</v>
      </c>
      <c r="P237" s="40">
        <v>13345.964285714301</v>
      </c>
      <c r="Q237" s="40">
        <v>0</v>
      </c>
      <c r="R237" s="40">
        <v>1549.55555555556</v>
      </c>
      <c r="S237" s="40">
        <v>39372.888888888898</v>
      </c>
      <c r="T237" s="37">
        <v>30000</v>
      </c>
      <c r="U237" s="40">
        <v>8799.2857142857101</v>
      </c>
      <c r="V237" s="40">
        <v>0</v>
      </c>
      <c r="W237" s="45">
        <v>110022.678373016</v>
      </c>
      <c r="X237" s="46">
        <v>3.0380472308136901</v>
      </c>
    </row>
    <row r="238" spans="1:24" s="4" customFormat="1" ht="15" customHeight="1">
      <c r="A238" s="28" t="s">
        <v>647</v>
      </c>
      <c r="B238" s="29">
        <v>3125.21</v>
      </c>
      <c r="C238" s="30" t="s">
        <v>867</v>
      </c>
      <c r="D238" s="2">
        <v>4948494931</v>
      </c>
      <c r="E238" s="2" t="s">
        <v>14</v>
      </c>
      <c r="F238" s="2">
        <v>1024454772</v>
      </c>
      <c r="G238" s="28" t="s">
        <v>13</v>
      </c>
      <c r="H238" s="2" t="s">
        <v>23</v>
      </c>
      <c r="I238" s="2">
        <v>1</v>
      </c>
      <c r="J238" s="2"/>
      <c r="K238" s="2">
        <v>5469.2</v>
      </c>
      <c r="L238" s="35">
        <v>17092398.532000002</v>
      </c>
      <c r="M238" s="36">
        <v>40</v>
      </c>
      <c r="N238" s="40">
        <v>67819.935714285704</v>
      </c>
      <c r="O238" s="40">
        <v>0</v>
      </c>
      <c r="P238" s="40">
        <v>53383.857142857101</v>
      </c>
      <c r="Q238" s="40">
        <v>0</v>
      </c>
      <c r="R238" s="40">
        <v>6198.2222222222199</v>
      </c>
      <c r="S238" s="40">
        <v>157491.555555556</v>
      </c>
      <c r="T238" s="37">
        <v>30000</v>
      </c>
      <c r="U238" s="40">
        <v>35197.142857142899</v>
      </c>
      <c r="V238" s="40">
        <v>0</v>
      </c>
      <c r="W238" s="45">
        <v>350090.71349206398</v>
      </c>
      <c r="X238" s="46">
        <v>2.0482246118742902</v>
      </c>
    </row>
    <row r="239" spans="1:24" s="4" customFormat="1" ht="15" customHeight="1">
      <c r="A239" s="28" t="s">
        <v>647</v>
      </c>
      <c r="B239" s="29">
        <v>3125.21</v>
      </c>
      <c r="C239" s="30" t="s">
        <v>868</v>
      </c>
      <c r="D239" s="2">
        <v>4949034839</v>
      </c>
      <c r="E239" s="2" t="s">
        <v>14</v>
      </c>
      <c r="F239" s="2">
        <v>1024678264</v>
      </c>
      <c r="G239" s="28" t="s">
        <v>13</v>
      </c>
      <c r="H239" s="2" t="s">
        <v>23</v>
      </c>
      <c r="I239" s="2">
        <v>1</v>
      </c>
      <c r="J239" s="2"/>
      <c r="K239" s="2">
        <v>579</v>
      </c>
      <c r="L239" s="35">
        <v>1809496.59</v>
      </c>
      <c r="M239" s="36">
        <v>10</v>
      </c>
      <c r="N239" s="37">
        <v>140310</v>
      </c>
      <c r="O239" s="37">
        <v>0</v>
      </c>
      <c r="P239" s="37">
        <v>0</v>
      </c>
      <c r="Q239" s="37">
        <v>0</v>
      </c>
      <c r="R239" s="37">
        <v>561</v>
      </c>
      <c r="S239" s="37">
        <v>354356</v>
      </c>
      <c r="T239" s="37">
        <v>30000</v>
      </c>
      <c r="U239" s="37">
        <v>246380</v>
      </c>
      <c r="V239" s="37">
        <v>0</v>
      </c>
      <c r="W239" s="45">
        <v>771607</v>
      </c>
      <c r="X239" s="46">
        <v>42.642080911575498</v>
      </c>
    </row>
    <row r="240" spans="1:24" s="4" customFormat="1" ht="15" customHeight="1">
      <c r="A240" s="28" t="s">
        <v>647</v>
      </c>
      <c r="B240" s="29">
        <v>3125.21</v>
      </c>
      <c r="C240" s="30" t="s">
        <v>869</v>
      </c>
      <c r="D240" s="2">
        <v>4948063395</v>
      </c>
      <c r="E240" s="2" t="s">
        <v>14</v>
      </c>
      <c r="F240" s="2">
        <v>1024402715</v>
      </c>
      <c r="G240" s="28" t="s">
        <v>13</v>
      </c>
      <c r="H240" s="2" t="s">
        <v>23</v>
      </c>
      <c r="I240" s="2">
        <v>2</v>
      </c>
      <c r="J240" s="2"/>
      <c r="K240" s="2">
        <v>12177.6</v>
      </c>
      <c r="L240" s="35">
        <v>38057557.295999996</v>
      </c>
      <c r="M240" s="36">
        <v>80</v>
      </c>
      <c r="N240" s="37">
        <v>148667.5</v>
      </c>
      <c r="O240" s="37">
        <v>0</v>
      </c>
      <c r="P240" s="37">
        <v>168828.5</v>
      </c>
      <c r="Q240" s="37">
        <v>0</v>
      </c>
      <c r="R240" s="37">
        <v>1355</v>
      </c>
      <c r="S240" s="37">
        <v>354356</v>
      </c>
      <c r="T240" s="37">
        <v>30000</v>
      </c>
      <c r="U240" s="37">
        <v>51597.905759162299</v>
      </c>
      <c r="V240" s="37">
        <v>0</v>
      </c>
      <c r="W240" s="45">
        <v>754804.90575916204</v>
      </c>
      <c r="X240" s="46">
        <v>1.98332462561515</v>
      </c>
    </row>
    <row r="241" spans="1:24" s="4" customFormat="1" ht="15" customHeight="1">
      <c r="A241" s="28" t="s">
        <v>647</v>
      </c>
      <c r="B241" s="29">
        <v>3125.21</v>
      </c>
      <c r="C241" s="30" t="s">
        <v>870</v>
      </c>
      <c r="D241" s="2">
        <v>4947612630</v>
      </c>
      <c r="E241" s="2" t="s">
        <v>14</v>
      </c>
      <c r="F241" s="78" t="s">
        <v>871</v>
      </c>
      <c r="G241" s="28" t="s">
        <v>13</v>
      </c>
      <c r="H241" s="2" t="s">
        <v>23</v>
      </c>
      <c r="I241" s="2">
        <v>7</v>
      </c>
      <c r="J241" s="2"/>
      <c r="K241" s="2">
        <v>4580.03</v>
      </c>
      <c r="L241" s="35">
        <v>14313555.556299999</v>
      </c>
      <c r="M241" s="36">
        <v>35</v>
      </c>
      <c r="N241" s="37">
        <v>616098</v>
      </c>
      <c r="O241" s="37">
        <v>0</v>
      </c>
      <c r="P241" s="37">
        <v>0</v>
      </c>
      <c r="Q241" s="37">
        <v>0</v>
      </c>
      <c r="R241" s="37">
        <v>4520</v>
      </c>
      <c r="S241" s="37">
        <v>343435</v>
      </c>
      <c r="T241" s="37">
        <v>30000</v>
      </c>
      <c r="U241" s="37">
        <v>132666.15384615399</v>
      </c>
      <c r="V241" s="37">
        <v>0</v>
      </c>
      <c r="W241" s="45">
        <v>1126719.15384615</v>
      </c>
      <c r="X241" s="46">
        <v>7.8716930214466299</v>
      </c>
    </row>
    <row r="242" spans="1:24" s="4" customFormat="1" ht="15" customHeight="1">
      <c r="A242" s="28" t="s">
        <v>647</v>
      </c>
      <c r="B242" s="29">
        <v>3125.21</v>
      </c>
      <c r="C242" s="30" t="s">
        <v>873</v>
      </c>
      <c r="D242" s="78" t="s">
        <v>874</v>
      </c>
      <c r="E242" s="2" t="s">
        <v>14</v>
      </c>
      <c r="F242" s="2" t="s">
        <v>875</v>
      </c>
      <c r="G242" s="28" t="s">
        <v>13</v>
      </c>
      <c r="H242" s="2" t="s">
        <v>23</v>
      </c>
      <c r="I242" s="2">
        <v>7</v>
      </c>
      <c r="J242" s="2"/>
      <c r="K242" s="2">
        <v>2923.75</v>
      </c>
      <c r="L242" s="35">
        <v>9137332.7375000007</v>
      </c>
      <c r="M242" s="36">
        <v>175</v>
      </c>
      <c r="N242" s="37">
        <v>356549</v>
      </c>
      <c r="O242" s="37">
        <v>0</v>
      </c>
      <c r="P242" s="37">
        <v>0</v>
      </c>
      <c r="Q242" s="37">
        <v>0</v>
      </c>
      <c r="R242" s="37">
        <v>5222</v>
      </c>
      <c r="S242" s="37">
        <v>343435</v>
      </c>
      <c r="T242" s="37">
        <v>30000</v>
      </c>
      <c r="U242" s="37">
        <v>246380</v>
      </c>
      <c r="V242" s="37">
        <v>0</v>
      </c>
      <c r="W242" s="45">
        <v>981586</v>
      </c>
      <c r="X242" s="46">
        <v>10.7425878886026</v>
      </c>
    </row>
    <row r="243" spans="1:24" s="4" customFormat="1" ht="15" customHeight="1">
      <c r="A243" s="28" t="s">
        <v>647</v>
      </c>
      <c r="B243" s="29">
        <v>3125.21</v>
      </c>
      <c r="C243" s="30" t="s">
        <v>878</v>
      </c>
      <c r="D243" s="2">
        <v>4948494930</v>
      </c>
      <c r="E243" s="2" t="s">
        <v>14</v>
      </c>
      <c r="F243" s="78" t="s">
        <v>879</v>
      </c>
      <c r="G243" s="28" t="s">
        <v>13</v>
      </c>
      <c r="H243" s="2" t="s">
        <v>23</v>
      </c>
      <c r="I243" s="2">
        <v>1</v>
      </c>
      <c r="J243" s="2"/>
      <c r="K243" s="2">
        <v>2749.2</v>
      </c>
      <c r="L243" s="35">
        <v>8591827.3320000004</v>
      </c>
      <c r="M243" s="36">
        <v>40</v>
      </c>
      <c r="N243" s="37">
        <v>143849.48000000001</v>
      </c>
      <c r="O243" s="37">
        <v>0</v>
      </c>
      <c r="P243" s="37">
        <v>0</v>
      </c>
      <c r="Q243" s="37">
        <v>0</v>
      </c>
      <c r="R243" s="37">
        <v>575</v>
      </c>
      <c r="S243" s="37">
        <v>343435</v>
      </c>
      <c r="T243" s="37">
        <v>30000</v>
      </c>
      <c r="U243" s="37">
        <v>246380</v>
      </c>
      <c r="V243" s="37">
        <v>0</v>
      </c>
      <c r="W243" s="45">
        <v>764239.48</v>
      </c>
      <c r="X243" s="46">
        <v>8.8949585515250398</v>
      </c>
    </row>
    <row r="244" spans="1:24" s="4" customFormat="1" ht="15" customHeight="1">
      <c r="A244" s="28" t="s">
        <v>647</v>
      </c>
      <c r="B244" s="29">
        <v>3125.21</v>
      </c>
      <c r="C244" s="30" t="s">
        <v>880</v>
      </c>
      <c r="D244" s="2">
        <v>4947273666</v>
      </c>
      <c r="E244" s="2" t="s">
        <v>14</v>
      </c>
      <c r="F244" s="2" t="s">
        <v>881</v>
      </c>
      <c r="G244" s="28" t="s">
        <v>13</v>
      </c>
      <c r="H244" s="2" t="s">
        <v>23</v>
      </c>
      <c r="I244" s="2">
        <v>7</v>
      </c>
      <c r="J244" s="2"/>
      <c r="K244" s="2">
        <v>19123.8</v>
      </c>
      <c r="L244" s="35">
        <v>59765890.998000003</v>
      </c>
      <c r="M244" s="36">
        <v>2520</v>
      </c>
      <c r="N244" s="37">
        <v>4842429</v>
      </c>
      <c r="O244" s="37">
        <v>0</v>
      </c>
      <c r="P244" s="37">
        <v>326536</v>
      </c>
      <c r="Q244" s="37">
        <v>0</v>
      </c>
      <c r="R244" s="37">
        <v>71076</v>
      </c>
      <c r="S244" s="37">
        <v>343435</v>
      </c>
      <c r="T244" s="37">
        <v>30000</v>
      </c>
      <c r="U244" s="37">
        <v>1154337</v>
      </c>
      <c r="V244" s="37">
        <v>0</v>
      </c>
      <c r="W244" s="45">
        <v>6767813</v>
      </c>
      <c r="X244" s="46">
        <v>11.3238720062359</v>
      </c>
    </row>
    <row r="245" spans="1:24" s="4" customFormat="1" ht="15" customHeight="1">
      <c r="A245" s="28" t="s">
        <v>647</v>
      </c>
      <c r="B245" s="29">
        <v>3125.21</v>
      </c>
      <c r="C245" s="30" t="s">
        <v>882</v>
      </c>
      <c r="D245" s="2">
        <v>4948494934</v>
      </c>
      <c r="E245" s="2" t="s">
        <v>14</v>
      </c>
      <c r="F245" s="2">
        <v>1024444404</v>
      </c>
      <c r="G245" s="28" t="s">
        <v>13</v>
      </c>
      <c r="H245" s="2" t="s">
        <v>23</v>
      </c>
      <c r="I245" s="2">
        <v>1</v>
      </c>
      <c r="J245" s="2"/>
      <c r="K245" s="2">
        <v>3543</v>
      </c>
      <c r="L245" s="35">
        <v>11072619.029999999</v>
      </c>
      <c r="M245" s="36">
        <v>50</v>
      </c>
      <c r="N245" s="37">
        <v>155574.46</v>
      </c>
      <c r="O245" s="37">
        <v>0</v>
      </c>
      <c r="P245" s="37">
        <v>0</v>
      </c>
      <c r="Q245" s="37">
        <v>0</v>
      </c>
      <c r="R245" s="37">
        <v>622</v>
      </c>
      <c r="S245" s="37">
        <v>343435</v>
      </c>
      <c r="T245" s="37">
        <v>30000</v>
      </c>
      <c r="U245" s="37">
        <v>232433.96226415099</v>
      </c>
      <c r="V245" s="37">
        <v>0</v>
      </c>
      <c r="W245" s="45">
        <v>762065.42226415104</v>
      </c>
      <c r="X245" s="46">
        <v>6.8824315204869002</v>
      </c>
    </row>
    <row r="246" spans="1:24" s="4" customFormat="1" ht="15" customHeight="1">
      <c r="A246" s="28" t="s">
        <v>647</v>
      </c>
      <c r="B246" s="29">
        <v>3125.21</v>
      </c>
      <c r="C246" s="30" t="s">
        <v>883</v>
      </c>
      <c r="D246" s="2">
        <v>4948208971</v>
      </c>
      <c r="E246" s="2" t="s">
        <v>14</v>
      </c>
      <c r="F246" s="2">
        <v>1024289843</v>
      </c>
      <c r="G246" s="28" t="s">
        <v>13</v>
      </c>
      <c r="H246" s="2" t="s">
        <v>23</v>
      </c>
      <c r="I246" s="2">
        <v>1</v>
      </c>
      <c r="J246" s="2"/>
      <c r="K246" s="2">
        <v>848</v>
      </c>
      <c r="L246" s="35">
        <v>2650178.08</v>
      </c>
      <c r="M246" s="36">
        <v>2</v>
      </c>
      <c r="N246" s="37">
        <v>132165</v>
      </c>
      <c r="O246" s="37">
        <v>0</v>
      </c>
      <c r="P246" s="37">
        <v>0</v>
      </c>
      <c r="Q246" s="37">
        <v>0</v>
      </c>
      <c r="R246" s="37">
        <v>529</v>
      </c>
      <c r="S246" s="37">
        <v>343435</v>
      </c>
      <c r="T246" s="37">
        <v>30000</v>
      </c>
      <c r="U246" s="37">
        <v>9297.3584905660391</v>
      </c>
      <c r="V246" s="37">
        <v>0</v>
      </c>
      <c r="W246" s="45">
        <v>515426.35849056602</v>
      </c>
      <c r="X246" s="46">
        <v>19.4487443081774</v>
      </c>
    </row>
    <row r="247" spans="1:24" s="4" customFormat="1" ht="15" customHeight="1">
      <c r="A247" s="28" t="s">
        <v>647</v>
      </c>
      <c r="B247" s="29">
        <v>3125.21</v>
      </c>
      <c r="C247" s="30" t="s">
        <v>884</v>
      </c>
      <c r="D247" s="2">
        <v>4948826965</v>
      </c>
      <c r="E247" s="2" t="s">
        <v>14</v>
      </c>
      <c r="F247" s="78" t="s">
        <v>885</v>
      </c>
      <c r="G247" s="28" t="s">
        <v>13</v>
      </c>
      <c r="H247" s="2" t="s">
        <v>23</v>
      </c>
      <c r="I247" s="2">
        <v>1</v>
      </c>
      <c r="J247" s="2"/>
      <c r="K247" s="2">
        <v>750.15</v>
      </c>
      <c r="L247" s="35">
        <v>2344376.2815</v>
      </c>
      <c r="M247" s="36">
        <v>1</v>
      </c>
      <c r="N247" s="37">
        <v>97399.23</v>
      </c>
      <c r="O247" s="37">
        <v>0</v>
      </c>
      <c r="P247" s="37">
        <v>0</v>
      </c>
      <c r="Q247" s="37">
        <v>0</v>
      </c>
      <c r="R247" s="37">
        <v>390</v>
      </c>
      <c r="S247" s="37">
        <v>343435</v>
      </c>
      <c r="T247" s="37">
        <v>30000</v>
      </c>
      <c r="U247" s="37">
        <v>4648.6792452830196</v>
      </c>
      <c r="V247" s="37">
        <v>0</v>
      </c>
      <c r="W247" s="45">
        <v>475872.90924528299</v>
      </c>
      <c r="X247" s="46">
        <v>20.2984867659899</v>
      </c>
    </row>
    <row r="248" spans="1:24" s="4" customFormat="1" ht="15" customHeight="1">
      <c r="A248" s="28" t="s">
        <v>647</v>
      </c>
      <c r="B248" s="29">
        <v>3125.21</v>
      </c>
      <c r="C248" s="30" t="s">
        <v>886</v>
      </c>
      <c r="D248" s="2">
        <v>4947917130</v>
      </c>
      <c r="E248" s="2" t="s">
        <v>14</v>
      </c>
      <c r="F248" s="2" t="s">
        <v>887</v>
      </c>
      <c r="G248" s="28" t="s">
        <v>13</v>
      </c>
      <c r="H248" s="2" t="s">
        <v>23</v>
      </c>
      <c r="I248" s="2">
        <v>1</v>
      </c>
      <c r="J248" s="2"/>
      <c r="K248" s="2">
        <v>11950.28</v>
      </c>
      <c r="L248" s="35">
        <v>37347134.558799997</v>
      </c>
      <c r="M248" s="36">
        <v>90</v>
      </c>
      <c r="N248" s="37">
        <v>459181</v>
      </c>
      <c r="O248" s="37">
        <v>0</v>
      </c>
      <c r="P248" s="37">
        <v>0</v>
      </c>
      <c r="Q248" s="37">
        <v>0</v>
      </c>
      <c r="R248" s="37">
        <v>8925</v>
      </c>
      <c r="S248" s="37">
        <v>343435</v>
      </c>
      <c r="T248" s="37">
        <v>30000</v>
      </c>
      <c r="U248" s="37">
        <v>246380</v>
      </c>
      <c r="V248" s="37">
        <v>0</v>
      </c>
      <c r="W248" s="45">
        <v>1087921</v>
      </c>
      <c r="X248" s="46">
        <v>2.9129972429000102</v>
      </c>
    </row>
    <row r="249" spans="1:24" s="4" customFormat="1" ht="15" customHeight="1">
      <c r="A249" s="28" t="s">
        <v>647</v>
      </c>
      <c r="B249" s="29">
        <v>3125.21</v>
      </c>
      <c r="C249" s="30" t="s">
        <v>888</v>
      </c>
      <c r="D249" s="2">
        <v>4948540096</v>
      </c>
      <c r="E249" s="2" t="s">
        <v>14</v>
      </c>
      <c r="F249" s="2" t="s">
        <v>889</v>
      </c>
      <c r="G249" s="28" t="s">
        <v>9</v>
      </c>
      <c r="H249" s="2" t="s">
        <v>23</v>
      </c>
      <c r="I249" s="2">
        <v>4</v>
      </c>
      <c r="J249" s="2"/>
      <c r="K249" s="2">
        <v>12180</v>
      </c>
      <c r="L249" s="35">
        <v>38065057.799999997</v>
      </c>
      <c r="M249" s="36">
        <v>240</v>
      </c>
      <c r="N249" s="40">
        <v>389067.130434783</v>
      </c>
      <c r="O249" s="40">
        <v>178.95652173913001</v>
      </c>
      <c r="P249" s="40">
        <v>3527.47826086957</v>
      </c>
      <c r="Q249" s="40">
        <v>5702.0869565217399</v>
      </c>
      <c r="R249" s="40">
        <v>54253.565217391297</v>
      </c>
      <c r="S249" s="40">
        <v>184881.39130434801</v>
      </c>
      <c r="T249" s="37">
        <v>30000</v>
      </c>
      <c r="U249" s="40">
        <v>146179.90654205601</v>
      </c>
      <c r="V249" s="40">
        <v>0</v>
      </c>
      <c r="W249" s="45">
        <v>813790.51523770904</v>
      </c>
      <c r="X249" s="46">
        <v>2.1378938119928699</v>
      </c>
    </row>
    <row r="250" spans="1:24" s="4" customFormat="1" ht="15" customHeight="1">
      <c r="A250" s="28" t="s">
        <v>647</v>
      </c>
      <c r="B250" s="29">
        <v>3125.21</v>
      </c>
      <c r="C250" s="30" t="s">
        <v>888</v>
      </c>
      <c r="D250" s="2">
        <v>4948540087</v>
      </c>
      <c r="E250" s="2" t="s">
        <v>14</v>
      </c>
      <c r="F250" s="2" t="s">
        <v>889</v>
      </c>
      <c r="G250" s="28" t="s">
        <v>9</v>
      </c>
      <c r="H250" s="2" t="s">
        <v>23</v>
      </c>
      <c r="I250" s="2">
        <v>4</v>
      </c>
      <c r="J250" s="2"/>
      <c r="K250" s="2">
        <v>1951.2</v>
      </c>
      <c r="L250" s="35">
        <v>6097909.7520000003</v>
      </c>
      <c r="M250" s="36">
        <v>120</v>
      </c>
      <c r="N250" s="40">
        <v>194533.56521739101</v>
      </c>
      <c r="O250" s="40">
        <v>89.478260869565204</v>
      </c>
      <c r="P250" s="40">
        <v>1763.73913043478</v>
      </c>
      <c r="Q250" s="40">
        <v>2851.04347826087</v>
      </c>
      <c r="R250" s="40">
        <v>27126.782608695699</v>
      </c>
      <c r="S250" s="40">
        <v>92440.695652173905</v>
      </c>
      <c r="T250" s="37">
        <v>30000</v>
      </c>
      <c r="U250" s="40">
        <v>73089.953271028004</v>
      </c>
      <c r="V250" s="40">
        <v>0</v>
      </c>
      <c r="W250" s="45">
        <v>421895.257618854</v>
      </c>
      <c r="X250" s="46">
        <v>6.9186864807318598</v>
      </c>
    </row>
    <row r="251" spans="1:24" s="4" customFormat="1" ht="15" customHeight="1">
      <c r="A251" s="28" t="s">
        <v>647</v>
      </c>
      <c r="B251" s="29">
        <v>3125.21</v>
      </c>
      <c r="C251" s="30" t="s">
        <v>888</v>
      </c>
      <c r="D251" s="2">
        <v>4948494938</v>
      </c>
      <c r="E251" s="2" t="s">
        <v>14</v>
      </c>
      <c r="F251" s="2" t="s">
        <v>889</v>
      </c>
      <c r="G251" s="28" t="s">
        <v>9</v>
      </c>
      <c r="H251" s="2" t="s">
        <v>23</v>
      </c>
      <c r="I251" s="2">
        <v>4</v>
      </c>
      <c r="J251" s="2"/>
      <c r="K251" s="2">
        <v>138.80000000000001</v>
      </c>
      <c r="L251" s="35">
        <v>433779.14799999999</v>
      </c>
      <c r="M251" s="36">
        <v>40</v>
      </c>
      <c r="N251" s="40">
        <v>64844.521739130403</v>
      </c>
      <c r="O251" s="40">
        <v>29.826086956521699</v>
      </c>
      <c r="P251" s="40">
        <v>587.91304347826099</v>
      </c>
      <c r="Q251" s="40">
        <v>950.34782608695696</v>
      </c>
      <c r="R251" s="40">
        <v>9042.2608695652198</v>
      </c>
      <c r="S251" s="40">
        <v>30813.5652173913</v>
      </c>
      <c r="T251" s="37">
        <v>30000</v>
      </c>
      <c r="U251" s="40">
        <v>24363.317757009299</v>
      </c>
      <c r="V251" s="40">
        <v>0</v>
      </c>
      <c r="W251" s="45">
        <v>160631.752539618</v>
      </c>
      <c r="X251" s="46">
        <v>37.030768602002503</v>
      </c>
    </row>
    <row r="252" spans="1:24" s="4" customFormat="1" ht="15" customHeight="1">
      <c r="A252" s="28" t="s">
        <v>647</v>
      </c>
      <c r="B252" s="29">
        <v>3125.21</v>
      </c>
      <c r="C252" s="30" t="s">
        <v>888</v>
      </c>
      <c r="D252" s="2">
        <v>4948494938</v>
      </c>
      <c r="E252" s="2" t="s">
        <v>14</v>
      </c>
      <c r="F252" s="2" t="s">
        <v>889</v>
      </c>
      <c r="G252" s="28" t="s">
        <v>9</v>
      </c>
      <c r="H252" s="2" t="s">
        <v>23</v>
      </c>
      <c r="I252" s="2">
        <v>4</v>
      </c>
      <c r="J252" s="2"/>
      <c r="K252" s="2">
        <v>3045</v>
      </c>
      <c r="L252" s="35">
        <v>9516264.4499999993</v>
      </c>
      <c r="M252" s="36">
        <v>60</v>
      </c>
      <c r="N252" s="40">
        <v>97266.782608695605</v>
      </c>
      <c r="O252" s="40">
        <v>44.739130434782602</v>
      </c>
      <c r="P252" s="40">
        <v>881.86956521739103</v>
      </c>
      <c r="Q252" s="40">
        <v>1425.52173913043</v>
      </c>
      <c r="R252" s="40">
        <v>13563.391304347801</v>
      </c>
      <c r="S252" s="40">
        <v>46220.347826087003</v>
      </c>
      <c r="T252" s="37">
        <v>30000</v>
      </c>
      <c r="U252" s="40">
        <v>36544.976635514002</v>
      </c>
      <c r="V252" s="40">
        <v>0</v>
      </c>
      <c r="W252" s="45">
        <v>225947.628809427</v>
      </c>
      <c r="X252" s="46">
        <v>2.3743311253758499</v>
      </c>
    </row>
    <row r="253" spans="1:24" s="4" customFormat="1" ht="15" customHeight="1">
      <c r="A253" s="28" t="s">
        <v>647</v>
      </c>
      <c r="B253" s="29">
        <v>3125.21</v>
      </c>
      <c r="C253" s="30" t="s">
        <v>900</v>
      </c>
      <c r="D253" s="2">
        <v>4948494944</v>
      </c>
      <c r="E253" s="2" t="s">
        <v>14</v>
      </c>
      <c r="F253" s="2" t="s">
        <v>901</v>
      </c>
      <c r="G253" s="28" t="s">
        <v>9</v>
      </c>
      <c r="H253" s="2" t="s">
        <v>23</v>
      </c>
      <c r="I253" s="2">
        <v>2</v>
      </c>
      <c r="J253" s="2"/>
      <c r="K253" s="2">
        <v>16628</v>
      </c>
      <c r="L253" s="35">
        <v>51965991.880000003</v>
      </c>
      <c r="M253" s="36">
        <v>400</v>
      </c>
      <c r="N253" s="37">
        <v>481594</v>
      </c>
      <c r="O253" s="37">
        <v>628</v>
      </c>
      <c r="P253" s="37">
        <v>4704</v>
      </c>
      <c r="Q253" s="37">
        <v>7484</v>
      </c>
      <c r="R253" s="37">
        <v>350471</v>
      </c>
      <c r="S253" s="37">
        <v>354356</v>
      </c>
      <c r="T253" s="37">
        <v>30000</v>
      </c>
      <c r="U253" s="37">
        <v>1367700</v>
      </c>
      <c r="V253" s="37">
        <v>0</v>
      </c>
      <c r="W253" s="45">
        <v>2596937</v>
      </c>
      <c r="X253" s="46">
        <v>4.9973779120715198</v>
      </c>
    </row>
    <row r="254" spans="1:24" s="4" customFormat="1" ht="15" customHeight="1">
      <c r="A254" s="28" t="s">
        <v>647</v>
      </c>
      <c r="B254" s="29">
        <v>3125.21</v>
      </c>
      <c r="C254" s="30" t="s">
        <v>902</v>
      </c>
      <c r="D254" s="2">
        <v>4948494942</v>
      </c>
      <c r="E254" s="2" t="s">
        <v>14</v>
      </c>
      <c r="F254" s="2" t="s">
        <v>903</v>
      </c>
      <c r="G254" s="28" t="s">
        <v>9</v>
      </c>
      <c r="H254" s="2" t="s">
        <v>23</v>
      </c>
      <c r="I254" s="2">
        <v>1</v>
      </c>
      <c r="J254" s="2"/>
      <c r="K254" s="2">
        <v>1592</v>
      </c>
      <c r="L254" s="35">
        <v>4975334.32</v>
      </c>
      <c r="M254" s="36">
        <v>800</v>
      </c>
      <c r="N254" s="37">
        <v>548550</v>
      </c>
      <c r="O254" s="37">
        <v>494</v>
      </c>
      <c r="P254" s="37">
        <v>19535</v>
      </c>
      <c r="Q254" s="37">
        <v>15661</v>
      </c>
      <c r="R254" s="37">
        <v>96151</v>
      </c>
      <c r="S254" s="37">
        <v>354356</v>
      </c>
      <c r="T254" s="37">
        <v>30000</v>
      </c>
      <c r="U254" s="37">
        <v>621681.818181818</v>
      </c>
      <c r="V254" s="37">
        <v>615909.09090909106</v>
      </c>
      <c r="W254" s="45">
        <v>2302337.9090909101</v>
      </c>
      <c r="X254" s="46">
        <v>46.275039243813197</v>
      </c>
    </row>
    <row r="255" spans="1:24" s="4" customFormat="1" ht="15" customHeight="1">
      <c r="A255" s="28" t="s">
        <v>647</v>
      </c>
      <c r="B255" s="29">
        <v>3125.21</v>
      </c>
      <c r="C255" s="30" t="s">
        <v>904</v>
      </c>
      <c r="D255" s="2">
        <v>4947642965</v>
      </c>
      <c r="E255" s="2" t="s">
        <v>14</v>
      </c>
      <c r="F255" s="2" t="s">
        <v>905</v>
      </c>
      <c r="G255" s="28" t="s">
        <v>5</v>
      </c>
      <c r="H255" s="2" t="s">
        <v>20</v>
      </c>
      <c r="I255" s="2">
        <v>1</v>
      </c>
      <c r="J255" s="2" t="s">
        <v>906</v>
      </c>
      <c r="K255" s="2">
        <v>22008</v>
      </c>
      <c r="L255" s="35">
        <v>68779621.680000007</v>
      </c>
      <c r="M255" s="36">
        <v>8400</v>
      </c>
      <c r="N255" s="37">
        <v>316307</v>
      </c>
      <c r="O255" s="37">
        <v>318682</v>
      </c>
      <c r="P255" s="37">
        <v>0</v>
      </c>
      <c r="Q255" s="37">
        <v>99309</v>
      </c>
      <c r="R255" s="37">
        <v>622399</v>
      </c>
      <c r="S255" s="37">
        <v>343435</v>
      </c>
      <c r="T255" s="37">
        <v>30000</v>
      </c>
      <c r="U255" s="37">
        <v>2601700</v>
      </c>
      <c r="V255" s="37">
        <v>0</v>
      </c>
      <c r="W255" s="45">
        <v>4331832</v>
      </c>
      <c r="X255" s="46">
        <v>6.2981329268631701</v>
      </c>
    </row>
    <row r="256" spans="1:24" s="4" customFormat="1" ht="15" customHeight="1">
      <c r="A256" s="54" t="s">
        <v>647</v>
      </c>
      <c r="B256" s="29">
        <v>3125.21</v>
      </c>
      <c r="C256" s="30" t="s">
        <v>921</v>
      </c>
      <c r="D256" s="2">
        <v>4948407500</v>
      </c>
      <c r="E256" s="2" t="s">
        <v>14</v>
      </c>
      <c r="F256" s="78" t="s">
        <v>922</v>
      </c>
      <c r="G256" s="28" t="s">
        <v>13</v>
      </c>
      <c r="H256" s="2" t="s">
        <v>23</v>
      </c>
      <c r="I256" s="2">
        <v>1</v>
      </c>
      <c r="J256" s="2"/>
      <c r="K256" s="2">
        <v>13169</v>
      </c>
      <c r="L256" s="35">
        <v>41155890.490000002</v>
      </c>
      <c r="M256" s="36">
        <v>50</v>
      </c>
      <c r="N256" s="37">
        <v>445182</v>
      </c>
      <c r="O256" s="37">
        <v>0</v>
      </c>
      <c r="P256" s="37">
        <v>200000</v>
      </c>
      <c r="Q256" s="37">
        <v>0</v>
      </c>
      <c r="R256" s="37">
        <v>5425</v>
      </c>
      <c r="S256" s="37">
        <v>343435</v>
      </c>
      <c r="T256" s="37">
        <v>30000</v>
      </c>
      <c r="U256" s="37">
        <v>246380</v>
      </c>
      <c r="V256" s="37">
        <v>0</v>
      </c>
      <c r="W256" s="45">
        <v>1270422</v>
      </c>
      <c r="X256" s="46">
        <v>3.0868533881163001</v>
      </c>
    </row>
    <row r="257" spans="1:24" s="4" customFormat="1" ht="15" customHeight="1">
      <c r="A257" s="28" t="s">
        <v>647</v>
      </c>
      <c r="B257" s="29">
        <v>3125.21</v>
      </c>
      <c r="C257" s="30" t="s">
        <v>923</v>
      </c>
      <c r="D257" s="2">
        <v>4947917126</v>
      </c>
      <c r="E257" s="2" t="s">
        <v>14</v>
      </c>
      <c r="F257" s="2" t="s">
        <v>924</v>
      </c>
      <c r="G257" s="28" t="s">
        <v>5</v>
      </c>
      <c r="H257" s="2" t="s">
        <v>17</v>
      </c>
      <c r="I257" s="2">
        <v>1</v>
      </c>
      <c r="J257" s="2" t="s">
        <v>925</v>
      </c>
      <c r="K257" s="2">
        <v>35035</v>
      </c>
      <c r="L257" s="35">
        <v>109491732.34999999</v>
      </c>
      <c r="M257" s="36">
        <v>3500</v>
      </c>
      <c r="N257" s="40">
        <v>48266.587112171801</v>
      </c>
      <c r="O257" s="40">
        <v>62774.1592536342</v>
      </c>
      <c r="P257" s="40">
        <v>0</v>
      </c>
      <c r="Q257" s="40">
        <v>15082.729442395301</v>
      </c>
      <c r="R257" s="40">
        <v>117366.85333044</v>
      </c>
      <c r="S257" s="40">
        <v>53818.442178346697</v>
      </c>
      <c r="T257" s="37">
        <v>30000</v>
      </c>
      <c r="U257" s="40">
        <v>763036.45042308501</v>
      </c>
      <c r="V257" s="40">
        <v>202755.47841180299</v>
      </c>
      <c r="W257" s="45">
        <v>1293100.70015188</v>
      </c>
      <c r="X257" s="46">
        <v>1.18100305146179</v>
      </c>
    </row>
    <row r="258" spans="1:24" s="4" customFormat="1" ht="15" customHeight="1">
      <c r="A258" s="28" t="s">
        <v>647</v>
      </c>
      <c r="B258" s="29">
        <v>3125.21</v>
      </c>
      <c r="C258" s="30" t="s">
        <v>923</v>
      </c>
      <c r="D258" s="2">
        <v>4947945344</v>
      </c>
      <c r="E258" s="2" t="s">
        <v>14</v>
      </c>
      <c r="F258" s="2" t="s">
        <v>924</v>
      </c>
      <c r="G258" s="28" t="s">
        <v>5</v>
      </c>
      <c r="H258" s="2" t="s">
        <v>17</v>
      </c>
      <c r="I258" s="2">
        <v>1</v>
      </c>
      <c r="J258" s="2" t="s">
        <v>925</v>
      </c>
      <c r="K258" s="2">
        <v>1839.2</v>
      </c>
      <c r="L258" s="35">
        <v>5747886.2319999998</v>
      </c>
      <c r="M258" s="36">
        <v>880</v>
      </c>
      <c r="N258" s="40">
        <v>12135.5990453461</v>
      </c>
      <c r="O258" s="40">
        <v>15783.217183770899</v>
      </c>
      <c r="P258" s="40">
        <v>0</v>
      </c>
      <c r="Q258" s="40">
        <v>3792.22911694511</v>
      </c>
      <c r="R258" s="40">
        <v>29508.911694510702</v>
      </c>
      <c r="S258" s="40">
        <v>13531.494033412901</v>
      </c>
      <c r="T258" s="37">
        <v>30000</v>
      </c>
      <c r="U258" s="40">
        <v>191849.16467780399</v>
      </c>
      <c r="V258" s="40">
        <v>50978.520286396197</v>
      </c>
      <c r="W258" s="45">
        <v>347579.13603818603</v>
      </c>
      <c r="X258" s="46">
        <v>6.04707751700305</v>
      </c>
    </row>
    <row r="259" spans="1:24" s="4" customFormat="1" ht="15" customHeight="1">
      <c r="A259" s="28" t="s">
        <v>647</v>
      </c>
      <c r="B259" s="29">
        <v>3125.21</v>
      </c>
      <c r="C259" s="30" t="s">
        <v>923</v>
      </c>
      <c r="D259" s="2">
        <v>4947774259</v>
      </c>
      <c r="E259" s="2" t="s">
        <v>14</v>
      </c>
      <c r="F259" s="2" t="s">
        <v>924</v>
      </c>
      <c r="G259" s="28" t="s">
        <v>5</v>
      </c>
      <c r="H259" s="2" t="s">
        <v>17</v>
      </c>
      <c r="I259" s="2">
        <v>1</v>
      </c>
      <c r="J259" s="2" t="s">
        <v>925</v>
      </c>
      <c r="K259" s="2">
        <v>30996</v>
      </c>
      <c r="L259" s="35">
        <v>96869009.159999996</v>
      </c>
      <c r="M259" s="36">
        <v>16400</v>
      </c>
      <c r="N259" s="40">
        <v>226163.436754177</v>
      </c>
      <c r="O259" s="40">
        <v>294141.77478845703</v>
      </c>
      <c r="P259" s="40">
        <v>0</v>
      </c>
      <c r="Q259" s="40">
        <v>70673.360815795197</v>
      </c>
      <c r="R259" s="40">
        <v>549947.62703406403</v>
      </c>
      <c r="S259" s="40">
        <v>252177.84334996701</v>
      </c>
      <c r="T259" s="37">
        <v>30000</v>
      </c>
      <c r="U259" s="40">
        <v>3575370.7962681698</v>
      </c>
      <c r="V259" s="40">
        <v>950054.24170102004</v>
      </c>
      <c r="W259" s="45">
        <v>5948529.0807116497</v>
      </c>
      <c r="X259" s="46">
        <v>6.1407968681566398</v>
      </c>
    </row>
    <row r="260" spans="1:24" s="4" customFormat="1" ht="15" customHeight="1">
      <c r="A260" s="28" t="s">
        <v>647</v>
      </c>
      <c r="B260" s="29">
        <v>3125.21</v>
      </c>
      <c r="C260" s="30" t="s">
        <v>923</v>
      </c>
      <c r="D260" s="2">
        <v>4948242163</v>
      </c>
      <c r="E260" s="2" t="s">
        <v>14</v>
      </c>
      <c r="F260" s="2" t="s">
        <v>924</v>
      </c>
      <c r="G260" s="28" t="s">
        <v>5</v>
      </c>
      <c r="H260" s="2" t="s">
        <v>17</v>
      </c>
      <c r="I260" s="2">
        <v>1</v>
      </c>
      <c r="J260" s="2" t="s">
        <v>925</v>
      </c>
      <c r="K260" s="2">
        <v>2856</v>
      </c>
      <c r="L260" s="35">
        <v>8925599.7599999998</v>
      </c>
      <c r="M260" s="36">
        <v>525</v>
      </c>
      <c r="N260" s="40">
        <v>7239.9880668257802</v>
      </c>
      <c r="O260" s="40">
        <v>9416.1238880451292</v>
      </c>
      <c r="P260" s="40">
        <v>0</v>
      </c>
      <c r="Q260" s="40">
        <v>2262.4094163592999</v>
      </c>
      <c r="R260" s="40">
        <v>17604.5779995661</v>
      </c>
      <c r="S260" s="40">
        <v>8072.7663267520102</v>
      </c>
      <c r="T260" s="37">
        <v>30000</v>
      </c>
      <c r="U260" s="40">
        <v>114455.467563463</v>
      </c>
      <c r="V260" s="40">
        <v>30413.321761770399</v>
      </c>
      <c r="W260" s="45">
        <v>219464.65502278201</v>
      </c>
      <c r="X260" s="46">
        <v>2.4588224984757998</v>
      </c>
    </row>
    <row r="261" spans="1:24" s="4" customFormat="1" ht="15" customHeight="1">
      <c r="A261" s="28" t="s">
        <v>647</v>
      </c>
      <c r="B261" s="29">
        <v>3125.21</v>
      </c>
      <c r="C261" s="30" t="s">
        <v>923</v>
      </c>
      <c r="D261" s="2">
        <v>4948242163</v>
      </c>
      <c r="E261" s="2" t="s">
        <v>14</v>
      </c>
      <c r="F261" s="2" t="s">
        <v>924</v>
      </c>
      <c r="G261" s="28" t="s">
        <v>5</v>
      </c>
      <c r="H261" s="2" t="s">
        <v>17</v>
      </c>
      <c r="I261" s="2">
        <v>1</v>
      </c>
      <c r="J261" s="2" t="s">
        <v>925</v>
      </c>
      <c r="K261" s="2">
        <v>570</v>
      </c>
      <c r="L261" s="35">
        <v>1781369.7</v>
      </c>
      <c r="M261" s="36">
        <v>40</v>
      </c>
      <c r="N261" s="40">
        <v>551.61813842482104</v>
      </c>
      <c r="O261" s="40">
        <v>717.41896289867702</v>
      </c>
      <c r="P261" s="40">
        <v>0</v>
      </c>
      <c r="Q261" s="40">
        <v>172.374050770232</v>
      </c>
      <c r="R261" s="40">
        <v>1341.58689520503</v>
      </c>
      <c r="S261" s="40">
        <v>615.06791060967703</v>
      </c>
      <c r="T261" s="37">
        <v>30000</v>
      </c>
      <c r="U261" s="40">
        <v>8720.4165762638295</v>
      </c>
      <c r="V261" s="40">
        <v>2317.2054675634599</v>
      </c>
      <c r="W261" s="45">
        <v>44435.688001735703</v>
      </c>
      <c r="X261" s="46">
        <v>2.4944674876717499</v>
      </c>
    </row>
    <row r="262" spans="1:24" s="4" customFormat="1" ht="15" customHeight="1">
      <c r="A262" s="28" t="s">
        <v>647</v>
      </c>
      <c r="B262" s="29">
        <v>3125.21</v>
      </c>
      <c r="C262" s="30" t="s">
        <v>923</v>
      </c>
      <c r="D262" s="2">
        <v>4948242163</v>
      </c>
      <c r="E262" s="2" t="s">
        <v>14</v>
      </c>
      <c r="F262" s="2" t="s">
        <v>924</v>
      </c>
      <c r="G262" s="28" t="s">
        <v>5</v>
      </c>
      <c r="H262" s="2" t="s">
        <v>17</v>
      </c>
      <c r="I262" s="2">
        <v>1</v>
      </c>
      <c r="J262" s="2" t="s">
        <v>925</v>
      </c>
      <c r="K262" s="2">
        <v>8134</v>
      </c>
      <c r="L262" s="35">
        <v>25420458.140000001</v>
      </c>
      <c r="M262" s="36">
        <v>1400</v>
      </c>
      <c r="N262" s="40">
        <v>19306.634844868699</v>
      </c>
      <c r="O262" s="40">
        <v>25109.663701453701</v>
      </c>
      <c r="P262" s="40">
        <v>0</v>
      </c>
      <c r="Q262" s="40">
        <v>6033.0917769581201</v>
      </c>
      <c r="R262" s="40">
        <v>46946.541332176203</v>
      </c>
      <c r="S262" s="40">
        <v>21527.3768713387</v>
      </c>
      <c r="T262" s="37">
        <v>30000</v>
      </c>
      <c r="U262" s="40">
        <v>305214.58016923402</v>
      </c>
      <c r="V262" s="40">
        <v>81102.191364721206</v>
      </c>
      <c r="W262" s="45">
        <v>535240.08006075094</v>
      </c>
      <c r="X262" s="46">
        <v>2.1055485196725501</v>
      </c>
    </row>
    <row r="263" spans="1:24" s="4" customFormat="1" ht="15" customHeight="1">
      <c r="A263" s="28" t="s">
        <v>647</v>
      </c>
      <c r="B263" s="29">
        <v>3125.21</v>
      </c>
      <c r="C263" s="30" t="s">
        <v>923</v>
      </c>
      <c r="D263" s="2">
        <v>4948210658</v>
      </c>
      <c r="E263" s="2" t="s">
        <v>14</v>
      </c>
      <c r="F263" s="2" t="s">
        <v>924</v>
      </c>
      <c r="G263" s="28" t="s">
        <v>5</v>
      </c>
      <c r="H263" s="2" t="s">
        <v>17</v>
      </c>
      <c r="I263" s="2">
        <v>1</v>
      </c>
      <c r="J263" s="2" t="s">
        <v>925</v>
      </c>
      <c r="K263" s="2">
        <v>5724</v>
      </c>
      <c r="L263" s="35">
        <v>17888702.039999999</v>
      </c>
      <c r="M263" s="36">
        <v>300</v>
      </c>
      <c r="N263" s="40">
        <v>4137.1360381861596</v>
      </c>
      <c r="O263" s="40">
        <v>5380.6422217400705</v>
      </c>
      <c r="P263" s="40">
        <v>0</v>
      </c>
      <c r="Q263" s="40">
        <v>1292.8053807767401</v>
      </c>
      <c r="R263" s="40">
        <v>10059.9017140377</v>
      </c>
      <c r="S263" s="40">
        <v>4613.0093295725801</v>
      </c>
      <c r="T263" s="37">
        <v>30000</v>
      </c>
      <c r="U263" s="40">
        <v>65403.124321978699</v>
      </c>
      <c r="V263" s="40">
        <v>17379.041006726002</v>
      </c>
      <c r="W263" s="45">
        <v>138265.660013018</v>
      </c>
      <c r="X263" s="46">
        <v>0.77292170054512199</v>
      </c>
    </row>
    <row r="264" spans="1:24" s="4" customFormat="1" ht="15" customHeight="1">
      <c r="A264" s="28" t="s">
        <v>647</v>
      </c>
      <c r="B264" s="29">
        <v>3125.21</v>
      </c>
      <c r="C264" s="30" t="s">
        <v>944</v>
      </c>
      <c r="D264" s="2">
        <v>4948242196</v>
      </c>
      <c r="E264" s="2" t="s">
        <v>14</v>
      </c>
      <c r="F264" s="2" t="s">
        <v>945</v>
      </c>
      <c r="G264" s="28" t="s">
        <v>9</v>
      </c>
      <c r="H264" s="2" t="s">
        <v>23</v>
      </c>
      <c r="I264" s="2">
        <v>3</v>
      </c>
      <c r="J264" s="2"/>
      <c r="K264" s="2">
        <v>124252.8</v>
      </c>
      <c r="L264" s="35">
        <v>388316093.088</v>
      </c>
      <c r="M264" s="36">
        <v>960</v>
      </c>
      <c r="N264" s="37">
        <v>711840</v>
      </c>
      <c r="O264" s="37">
        <v>683</v>
      </c>
      <c r="P264" s="37">
        <v>21591</v>
      </c>
      <c r="Q264" s="37">
        <v>17179</v>
      </c>
      <c r="R264" s="37">
        <v>101527</v>
      </c>
      <c r="S264" s="37">
        <v>354356</v>
      </c>
      <c r="T264" s="37">
        <v>30000</v>
      </c>
      <c r="U264" s="37">
        <v>746018.181818182</v>
      </c>
      <c r="V264" s="37">
        <v>739090.90909090894</v>
      </c>
      <c r="W264" s="45">
        <v>2722285.0909090899</v>
      </c>
      <c r="X264" s="46">
        <v>0.70104874337313805</v>
      </c>
    </row>
    <row r="265" spans="1:24" s="4" customFormat="1" ht="15" customHeight="1">
      <c r="A265" s="28" t="s">
        <v>647</v>
      </c>
      <c r="B265" s="29">
        <v>3125.21</v>
      </c>
      <c r="C265" s="30" t="s">
        <v>946</v>
      </c>
      <c r="D265" s="2">
        <v>4948242179</v>
      </c>
      <c r="E265" s="2" t="s">
        <v>14</v>
      </c>
      <c r="F265" s="2" t="s">
        <v>947</v>
      </c>
      <c r="G265" s="28" t="s">
        <v>5</v>
      </c>
      <c r="H265" s="2" t="s">
        <v>32</v>
      </c>
      <c r="I265" s="2">
        <v>1</v>
      </c>
      <c r="J265" s="2" t="s">
        <v>948</v>
      </c>
      <c r="K265" s="2">
        <v>149059.75</v>
      </c>
      <c r="L265" s="35">
        <v>465843021.29750001</v>
      </c>
      <c r="M265" s="36">
        <v>3600</v>
      </c>
      <c r="N265" s="37">
        <v>317801</v>
      </c>
      <c r="O265" s="37">
        <v>315061</v>
      </c>
      <c r="P265" s="37">
        <v>0</v>
      </c>
      <c r="Q265" s="37">
        <v>99309</v>
      </c>
      <c r="R265" s="37">
        <v>991080</v>
      </c>
      <c r="S265" s="37">
        <v>354356</v>
      </c>
      <c r="T265" s="37">
        <v>30000</v>
      </c>
      <c r="U265" s="37">
        <v>4721000</v>
      </c>
      <c r="V265" s="37">
        <v>1335000</v>
      </c>
      <c r="W265" s="45">
        <v>8163607</v>
      </c>
      <c r="X265" s="46">
        <v>1.7524373290517701</v>
      </c>
    </row>
    <row r="266" spans="1:24" s="4" customFormat="1" ht="15" customHeight="1">
      <c r="A266" s="28" t="s">
        <v>647</v>
      </c>
      <c r="B266" s="29">
        <v>3125.21</v>
      </c>
      <c r="C266" s="30" t="s">
        <v>952</v>
      </c>
      <c r="D266" s="2">
        <v>4947975539</v>
      </c>
      <c r="E266" s="2" t="s">
        <v>14</v>
      </c>
      <c r="F266" s="2" t="s">
        <v>953</v>
      </c>
      <c r="G266" s="28" t="s">
        <v>5</v>
      </c>
      <c r="H266" s="2" t="s">
        <v>20</v>
      </c>
      <c r="I266" s="2">
        <v>2</v>
      </c>
      <c r="J266" s="2" t="s">
        <v>954</v>
      </c>
      <c r="K266" s="2">
        <v>52693.2</v>
      </c>
      <c r="L266" s="35">
        <v>164677315.572</v>
      </c>
      <c r="M266" s="36">
        <v>27880</v>
      </c>
      <c r="N266" s="37">
        <v>635603</v>
      </c>
      <c r="O266" s="37">
        <v>630122</v>
      </c>
      <c r="P266" s="37">
        <v>0</v>
      </c>
      <c r="Q266" s="37">
        <v>198619</v>
      </c>
      <c r="R266" s="37">
        <v>3477875</v>
      </c>
      <c r="S266" s="37">
        <v>354356</v>
      </c>
      <c r="T266" s="37">
        <v>30000</v>
      </c>
      <c r="U266" s="37">
        <v>6178000</v>
      </c>
      <c r="V266" s="37">
        <v>0</v>
      </c>
      <c r="W266" s="45">
        <v>11504575</v>
      </c>
      <c r="X266" s="46">
        <v>6.9861322186600701</v>
      </c>
    </row>
    <row r="267" spans="1:24" s="4" customFormat="1" ht="15" customHeight="1">
      <c r="A267" s="28" t="s">
        <v>647</v>
      </c>
      <c r="B267" s="29">
        <v>3125.21</v>
      </c>
      <c r="C267" s="30" t="s">
        <v>955</v>
      </c>
      <c r="D267" s="2">
        <v>4948210659</v>
      </c>
      <c r="E267" s="2" t="s">
        <v>14</v>
      </c>
      <c r="F267" s="2" t="s">
        <v>956</v>
      </c>
      <c r="G267" s="28" t="s">
        <v>9</v>
      </c>
      <c r="H267" s="2" t="s">
        <v>23</v>
      </c>
      <c r="I267" s="2">
        <v>18</v>
      </c>
      <c r="J267" s="2"/>
      <c r="K267" s="2">
        <v>11929</v>
      </c>
      <c r="L267" s="35">
        <v>37280630.090000004</v>
      </c>
      <c r="M267" s="36">
        <v>3775</v>
      </c>
      <c r="N267" s="40">
        <v>2444744.9420231902</v>
      </c>
      <c r="O267" s="40">
        <v>2458.50459816074</v>
      </c>
      <c r="P267" s="40">
        <v>0</v>
      </c>
      <c r="Q267" s="40">
        <v>76738.912435025995</v>
      </c>
      <c r="R267" s="40">
        <v>118170.631747301</v>
      </c>
      <c r="S267" s="40">
        <v>106972.722910836</v>
      </c>
      <c r="T267" s="37">
        <v>30000</v>
      </c>
      <c r="U267" s="40">
        <v>1259138.3446621399</v>
      </c>
      <c r="V267" s="40">
        <v>0</v>
      </c>
      <c r="W267" s="45">
        <v>4038224.0583766499</v>
      </c>
      <c r="X267" s="46">
        <v>10.8319630023095</v>
      </c>
    </row>
    <row r="268" spans="1:24" s="4" customFormat="1" ht="15" customHeight="1">
      <c r="A268" s="28" t="s">
        <v>647</v>
      </c>
      <c r="B268" s="29">
        <v>3125.21</v>
      </c>
      <c r="C268" s="30" t="s">
        <v>955</v>
      </c>
      <c r="D268" s="2">
        <v>4947917126</v>
      </c>
      <c r="E268" s="2" t="s">
        <v>14</v>
      </c>
      <c r="F268" s="2" t="s">
        <v>956</v>
      </c>
      <c r="G268" s="28" t="s">
        <v>9</v>
      </c>
      <c r="H268" s="2" t="s">
        <v>23</v>
      </c>
      <c r="I268" s="2">
        <v>18</v>
      </c>
      <c r="J268" s="2"/>
      <c r="K268" s="2">
        <v>3066</v>
      </c>
      <c r="L268" s="35">
        <v>9581893.8599999994</v>
      </c>
      <c r="M268" s="36">
        <v>600</v>
      </c>
      <c r="N268" s="40">
        <v>388568.73250699701</v>
      </c>
      <c r="O268" s="40">
        <v>390.755697720912</v>
      </c>
      <c r="P268" s="40">
        <v>0</v>
      </c>
      <c r="Q268" s="40">
        <v>12196.9132347061</v>
      </c>
      <c r="R268" s="40">
        <v>18782.0871651339</v>
      </c>
      <c r="S268" s="40">
        <v>17002.287085165899</v>
      </c>
      <c r="T268" s="37">
        <v>30000</v>
      </c>
      <c r="U268" s="40">
        <v>200127.948820472</v>
      </c>
      <c r="V268" s="40">
        <v>0</v>
      </c>
      <c r="W268" s="45">
        <v>667068.72451019601</v>
      </c>
      <c r="X268" s="46">
        <v>6.9617628232650404</v>
      </c>
    </row>
    <row r="269" spans="1:24" s="4" customFormat="1" ht="15" customHeight="1">
      <c r="A269" s="28" t="s">
        <v>647</v>
      </c>
      <c r="B269" s="29">
        <v>3125.21</v>
      </c>
      <c r="C269" s="30" t="s">
        <v>955</v>
      </c>
      <c r="D269" s="2">
        <v>4948242163</v>
      </c>
      <c r="E269" s="2" t="s">
        <v>14</v>
      </c>
      <c r="F269" s="78" t="s">
        <v>956</v>
      </c>
      <c r="G269" s="28" t="s">
        <v>9</v>
      </c>
      <c r="H269" s="2" t="s">
        <v>23</v>
      </c>
      <c r="I269" s="2">
        <v>18</v>
      </c>
      <c r="J269" s="2"/>
      <c r="K269" s="2">
        <v>3511.2</v>
      </c>
      <c r="L269" s="35">
        <v>10973237.352</v>
      </c>
      <c r="M269" s="36">
        <v>280</v>
      </c>
      <c r="N269" s="40">
        <v>181332.07516993201</v>
      </c>
      <c r="O269" s="40">
        <v>182.352658936425</v>
      </c>
      <c r="P269" s="40">
        <v>0</v>
      </c>
      <c r="Q269" s="40">
        <v>5691.8928428628597</v>
      </c>
      <c r="R269" s="40">
        <v>8764.9740103958393</v>
      </c>
      <c r="S269" s="40">
        <v>7934.4006397440999</v>
      </c>
      <c r="T269" s="37">
        <v>30000</v>
      </c>
      <c r="U269" s="40">
        <v>93393.042782886798</v>
      </c>
      <c r="V269" s="40">
        <v>0</v>
      </c>
      <c r="W269" s="45">
        <v>327298.73810475803</v>
      </c>
      <c r="X269" s="46">
        <v>2.9826998870584398</v>
      </c>
    </row>
    <row r="270" spans="1:24" s="4" customFormat="1" ht="15" customHeight="1">
      <c r="A270" s="28" t="s">
        <v>647</v>
      </c>
      <c r="B270" s="29">
        <v>3125.21</v>
      </c>
      <c r="C270" s="30" t="s">
        <v>955</v>
      </c>
      <c r="D270" s="2">
        <v>4948244812</v>
      </c>
      <c r="E270" s="2" t="s">
        <v>14</v>
      </c>
      <c r="F270" s="78" t="s">
        <v>956</v>
      </c>
      <c r="G270" s="28" t="s">
        <v>9</v>
      </c>
      <c r="H270" s="2" t="s">
        <v>23</v>
      </c>
      <c r="I270" s="2">
        <v>18</v>
      </c>
      <c r="J270" s="2"/>
      <c r="K270" s="2">
        <v>35017.5</v>
      </c>
      <c r="L270" s="35">
        <v>109437041.175</v>
      </c>
      <c r="M270" s="36">
        <v>5250</v>
      </c>
      <c r="N270" s="40">
        <v>3399976.4094362301</v>
      </c>
      <c r="O270" s="40">
        <v>3419.11235505798</v>
      </c>
      <c r="P270" s="40">
        <v>0</v>
      </c>
      <c r="Q270" s="40">
        <v>106722.990803679</v>
      </c>
      <c r="R270" s="40">
        <v>164343.26269492201</v>
      </c>
      <c r="S270" s="40">
        <v>148770.01199520199</v>
      </c>
      <c r="T270" s="37">
        <v>30000</v>
      </c>
      <c r="U270" s="40">
        <v>1751119.55217913</v>
      </c>
      <c r="V270" s="40">
        <v>0</v>
      </c>
      <c r="W270" s="45">
        <v>5604351.3394642202</v>
      </c>
      <c r="X270" s="46">
        <v>5.1210735225400903</v>
      </c>
    </row>
    <row r="271" spans="1:24" s="4" customFormat="1" ht="15" customHeight="1">
      <c r="A271" s="28" t="s">
        <v>647</v>
      </c>
      <c r="B271" s="29">
        <v>3125.21</v>
      </c>
      <c r="C271" s="30" t="s">
        <v>955</v>
      </c>
      <c r="D271" s="2">
        <v>4948242163</v>
      </c>
      <c r="E271" s="2" t="s">
        <v>14</v>
      </c>
      <c r="F271" s="78" t="s">
        <v>956</v>
      </c>
      <c r="G271" s="28" t="s">
        <v>9</v>
      </c>
      <c r="H271" s="2" t="s">
        <v>23</v>
      </c>
      <c r="I271" s="2">
        <v>18</v>
      </c>
      <c r="J271" s="2"/>
      <c r="K271" s="2">
        <v>3210</v>
      </c>
      <c r="L271" s="35">
        <v>10031924.1</v>
      </c>
      <c r="M271" s="36">
        <v>600</v>
      </c>
      <c r="N271" s="40">
        <v>388568.73250699701</v>
      </c>
      <c r="O271" s="40">
        <v>390.755697720912</v>
      </c>
      <c r="P271" s="40">
        <v>0</v>
      </c>
      <c r="Q271" s="40">
        <v>12196.9132347061</v>
      </c>
      <c r="R271" s="40">
        <v>18782.0871651339</v>
      </c>
      <c r="S271" s="40">
        <v>17002.287085165899</v>
      </c>
      <c r="T271" s="37">
        <v>30000</v>
      </c>
      <c r="U271" s="40">
        <v>200127.948820472</v>
      </c>
      <c r="V271" s="40">
        <v>0</v>
      </c>
      <c r="W271" s="45">
        <v>667068.72451019601</v>
      </c>
      <c r="X271" s="46">
        <v>6.6494594442774497</v>
      </c>
    </row>
    <row r="272" spans="1:24" s="4" customFormat="1" ht="15" customHeight="1">
      <c r="A272" s="28" t="s">
        <v>647</v>
      </c>
      <c r="B272" s="29">
        <v>3125.21</v>
      </c>
      <c r="C272" s="30" t="s">
        <v>960</v>
      </c>
      <c r="D272" s="2">
        <v>4948411910</v>
      </c>
      <c r="E272" s="2" t="s">
        <v>14</v>
      </c>
      <c r="F272" s="2" t="s">
        <v>961</v>
      </c>
      <c r="G272" s="28" t="s">
        <v>5</v>
      </c>
      <c r="H272" s="2" t="s">
        <v>20</v>
      </c>
      <c r="I272" s="2">
        <v>1</v>
      </c>
      <c r="J272" s="2" t="s">
        <v>962</v>
      </c>
      <c r="K272" s="2">
        <v>15360</v>
      </c>
      <c r="L272" s="35">
        <v>48003225.600000001</v>
      </c>
      <c r="M272" s="36">
        <v>16000</v>
      </c>
      <c r="N272" s="37">
        <v>463361</v>
      </c>
      <c r="O272" s="37">
        <v>315061</v>
      </c>
      <c r="P272" s="37">
        <v>0</v>
      </c>
      <c r="Q272" s="37">
        <v>99309</v>
      </c>
      <c r="R272" s="37">
        <v>619972</v>
      </c>
      <c r="S272" s="37">
        <v>354356</v>
      </c>
      <c r="T272" s="37">
        <v>30000</v>
      </c>
      <c r="U272" s="37">
        <v>3428500</v>
      </c>
      <c r="V272" s="37">
        <v>0</v>
      </c>
      <c r="W272" s="45">
        <v>5310559</v>
      </c>
      <c r="X272" s="46">
        <v>11.062921155031701</v>
      </c>
    </row>
    <row r="273" spans="1:24" s="4" customFormat="1" ht="15" customHeight="1">
      <c r="A273" s="28" t="s">
        <v>647</v>
      </c>
      <c r="B273" s="29">
        <v>3125.21</v>
      </c>
      <c r="C273" s="30" t="s">
        <v>969</v>
      </c>
      <c r="D273" s="2">
        <v>4948208970</v>
      </c>
      <c r="E273" s="2" t="s">
        <v>14</v>
      </c>
      <c r="F273" s="78" t="s">
        <v>970</v>
      </c>
      <c r="G273" s="28" t="s">
        <v>13</v>
      </c>
      <c r="H273" s="2" t="s">
        <v>23</v>
      </c>
      <c r="I273" s="2">
        <v>3</v>
      </c>
      <c r="J273" s="2"/>
      <c r="K273" s="2">
        <v>1656.4</v>
      </c>
      <c r="L273" s="35">
        <v>5176597.8439999996</v>
      </c>
      <c r="M273" s="36">
        <v>20</v>
      </c>
      <c r="N273" s="40">
        <v>33909.967857142903</v>
      </c>
      <c r="O273" s="40">
        <v>0</v>
      </c>
      <c r="P273" s="40">
        <v>26691.928571428602</v>
      </c>
      <c r="Q273" s="40">
        <v>0</v>
      </c>
      <c r="R273" s="40">
        <v>1841.2631578947401</v>
      </c>
      <c r="S273" s="40">
        <v>37300.631578947403</v>
      </c>
      <c r="T273" s="37">
        <v>30000</v>
      </c>
      <c r="U273" s="40">
        <v>17598.571428571398</v>
      </c>
      <c r="V273" s="40">
        <v>0</v>
      </c>
      <c r="W273" s="45">
        <v>147342.36259398499</v>
      </c>
      <c r="X273" s="46">
        <v>2.8463165776874901</v>
      </c>
    </row>
    <row r="274" spans="1:24" s="4" customFormat="1" ht="15" customHeight="1">
      <c r="A274" s="28" t="s">
        <v>647</v>
      </c>
      <c r="B274" s="29">
        <v>3125.21</v>
      </c>
      <c r="C274" s="30" t="s">
        <v>969</v>
      </c>
      <c r="D274" s="2">
        <v>4948208970</v>
      </c>
      <c r="E274" s="2" t="s">
        <v>14</v>
      </c>
      <c r="F274" s="78" t="s">
        <v>970</v>
      </c>
      <c r="G274" s="28" t="s">
        <v>13</v>
      </c>
      <c r="H274" s="2" t="s">
        <v>23</v>
      </c>
      <c r="I274" s="2">
        <v>3</v>
      </c>
      <c r="J274" s="2"/>
      <c r="K274" s="2">
        <v>2559</v>
      </c>
      <c r="L274" s="35">
        <v>7997412.3899999997</v>
      </c>
      <c r="M274" s="36">
        <v>20</v>
      </c>
      <c r="N274" s="40">
        <v>33909.967857142903</v>
      </c>
      <c r="O274" s="40">
        <v>0</v>
      </c>
      <c r="P274" s="40">
        <v>26691.928571428602</v>
      </c>
      <c r="Q274" s="40">
        <v>0</v>
      </c>
      <c r="R274" s="40">
        <v>1841.2631578947401</v>
      </c>
      <c r="S274" s="40">
        <v>37300.631578947403</v>
      </c>
      <c r="T274" s="37">
        <v>30000</v>
      </c>
      <c r="U274" s="40">
        <v>17598.571428571398</v>
      </c>
      <c r="V274" s="40">
        <v>0</v>
      </c>
      <c r="W274" s="45">
        <v>147342.36259398499</v>
      </c>
      <c r="X274" s="46">
        <v>1.8423754510674299</v>
      </c>
    </row>
    <row r="275" spans="1:24" s="4" customFormat="1" ht="15" customHeight="1">
      <c r="A275" s="28" t="s">
        <v>647</v>
      </c>
      <c r="B275" s="29">
        <v>3125.21</v>
      </c>
      <c r="C275" s="30" t="s">
        <v>969</v>
      </c>
      <c r="D275" s="2">
        <v>4948269027</v>
      </c>
      <c r="E275" s="2" t="s">
        <v>14</v>
      </c>
      <c r="F275" s="78" t="s">
        <v>970</v>
      </c>
      <c r="G275" s="28" t="s">
        <v>13</v>
      </c>
      <c r="H275" s="2" t="s">
        <v>23</v>
      </c>
      <c r="I275" s="2">
        <v>3</v>
      </c>
      <c r="J275" s="2"/>
      <c r="K275" s="2">
        <v>1372</v>
      </c>
      <c r="L275" s="35">
        <v>4287788.12</v>
      </c>
      <c r="M275" s="36">
        <v>20</v>
      </c>
      <c r="N275" s="40">
        <v>33909.967857142903</v>
      </c>
      <c r="O275" s="40">
        <v>0</v>
      </c>
      <c r="P275" s="40">
        <v>26691.928571428602</v>
      </c>
      <c r="Q275" s="40">
        <v>0</v>
      </c>
      <c r="R275" s="40">
        <v>1841.2631578947401</v>
      </c>
      <c r="S275" s="40">
        <v>37300.631578947403</v>
      </c>
      <c r="T275" s="37">
        <v>30000</v>
      </c>
      <c r="U275" s="40">
        <v>17598.571428571398</v>
      </c>
      <c r="V275" s="40">
        <v>0</v>
      </c>
      <c r="W275" s="45">
        <v>147342.36259398499</v>
      </c>
      <c r="X275" s="46">
        <v>3.4363256408757699</v>
      </c>
    </row>
    <row r="276" spans="1:24" s="4" customFormat="1" ht="15" customHeight="1">
      <c r="A276" s="28" t="s">
        <v>647</v>
      </c>
      <c r="B276" s="29">
        <v>3125.21</v>
      </c>
      <c r="C276" s="30" t="s">
        <v>969</v>
      </c>
      <c r="D276" s="2">
        <v>4948267737</v>
      </c>
      <c r="E276" s="2" t="s">
        <v>14</v>
      </c>
      <c r="F276" s="78" t="s">
        <v>970</v>
      </c>
      <c r="G276" s="28" t="s">
        <v>13</v>
      </c>
      <c r="H276" s="2" t="s">
        <v>23</v>
      </c>
      <c r="I276" s="2">
        <v>3</v>
      </c>
      <c r="J276" s="2"/>
      <c r="K276" s="2">
        <v>1737</v>
      </c>
      <c r="L276" s="35">
        <v>5428489.7699999996</v>
      </c>
      <c r="M276" s="36">
        <v>30</v>
      </c>
      <c r="N276" s="40">
        <v>50864.9517857143</v>
      </c>
      <c r="O276" s="40">
        <v>0</v>
      </c>
      <c r="P276" s="40">
        <v>40037.892857142899</v>
      </c>
      <c r="Q276" s="40">
        <v>0</v>
      </c>
      <c r="R276" s="40">
        <v>2761.8947368421</v>
      </c>
      <c r="S276" s="40">
        <v>55950.947368421002</v>
      </c>
      <c r="T276" s="37">
        <v>30000</v>
      </c>
      <c r="U276" s="40">
        <v>26397.857142857101</v>
      </c>
      <c r="V276" s="40">
        <v>0</v>
      </c>
      <c r="W276" s="45">
        <v>206013.54389097699</v>
      </c>
      <c r="X276" s="46">
        <v>3.7950434212751101</v>
      </c>
    </row>
    <row r="277" spans="1:24" s="4" customFormat="1" ht="15" customHeight="1">
      <c r="A277" s="28" t="s">
        <v>647</v>
      </c>
      <c r="B277" s="29">
        <v>3125.21</v>
      </c>
      <c r="C277" s="30" t="s">
        <v>969</v>
      </c>
      <c r="D277" s="2">
        <v>4948494931</v>
      </c>
      <c r="E277" s="2" t="s">
        <v>14</v>
      </c>
      <c r="F277" s="78" t="s">
        <v>970</v>
      </c>
      <c r="G277" s="28" t="s">
        <v>13</v>
      </c>
      <c r="H277" s="2" t="s">
        <v>23</v>
      </c>
      <c r="I277" s="2">
        <v>3</v>
      </c>
      <c r="J277" s="2"/>
      <c r="K277" s="2">
        <v>6489</v>
      </c>
      <c r="L277" s="35">
        <v>20279487.690000001</v>
      </c>
      <c r="M277" s="36">
        <v>90</v>
      </c>
      <c r="N277" s="40">
        <v>169549.839285714</v>
      </c>
      <c r="O277" s="40">
        <v>0</v>
      </c>
      <c r="P277" s="40">
        <v>133459.64285714299</v>
      </c>
      <c r="Q277" s="40">
        <v>0</v>
      </c>
      <c r="R277" s="40">
        <v>9206.3157894736796</v>
      </c>
      <c r="S277" s="40">
        <v>186503.157894737</v>
      </c>
      <c r="T277" s="37">
        <v>30000</v>
      </c>
      <c r="U277" s="40">
        <v>87992.857142857101</v>
      </c>
      <c r="V277" s="40">
        <v>0</v>
      </c>
      <c r="W277" s="45">
        <v>616711.812969925</v>
      </c>
      <c r="X277" s="46">
        <v>3.0410620938616302</v>
      </c>
    </row>
    <row r="278" spans="1:24" s="4" customFormat="1" ht="15" customHeight="1">
      <c r="A278" s="28" t="s">
        <v>647</v>
      </c>
      <c r="B278" s="29">
        <v>3125.21</v>
      </c>
      <c r="C278" s="30" t="s">
        <v>977</v>
      </c>
      <c r="D278" s="2">
        <v>4948559404</v>
      </c>
      <c r="E278" s="2" t="s">
        <v>14</v>
      </c>
      <c r="F278" s="2" t="s">
        <v>978</v>
      </c>
      <c r="G278" s="28" t="s">
        <v>9</v>
      </c>
      <c r="H278" s="2" t="s">
        <v>23</v>
      </c>
      <c r="I278" s="2">
        <v>1</v>
      </c>
      <c r="J278" s="2"/>
      <c r="K278" s="2">
        <v>1829.48</v>
      </c>
      <c r="L278" s="35">
        <v>5717509.1908</v>
      </c>
      <c r="M278" s="36">
        <v>1068</v>
      </c>
      <c r="N278" s="37">
        <v>562620</v>
      </c>
      <c r="O278" s="40">
        <v>721</v>
      </c>
      <c r="P278" s="37">
        <v>0</v>
      </c>
      <c r="Q278" s="37">
        <v>17326</v>
      </c>
      <c r="R278" s="37">
        <v>98029</v>
      </c>
      <c r="S278" s="37">
        <v>354356</v>
      </c>
      <c r="T278" s="37">
        <v>30000</v>
      </c>
      <c r="U278" s="37">
        <v>505516.16379310301</v>
      </c>
      <c r="V278" s="37">
        <v>0</v>
      </c>
      <c r="W278" s="45">
        <v>1568568.1637931</v>
      </c>
      <c r="X278" s="46">
        <v>27.434466853452101</v>
      </c>
    </row>
    <row r="279" spans="1:24" s="4" customFormat="1" ht="15" customHeight="1">
      <c r="A279" s="28" t="s">
        <v>647</v>
      </c>
      <c r="B279" s="29">
        <v>3125.21</v>
      </c>
      <c r="C279" s="30" t="s">
        <v>979</v>
      </c>
      <c r="D279" s="2">
        <v>4948210674</v>
      </c>
      <c r="E279" s="2" t="s">
        <v>14</v>
      </c>
      <c r="F279" s="2" t="s">
        <v>980</v>
      </c>
      <c r="G279" s="28" t="s">
        <v>9</v>
      </c>
      <c r="H279" s="2" t="s">
        <v>23</v>
      </c>
      <c r="I279" s="2">
        <v>6</v>
      </c>
      <c r="J279" s="2"/>
      <c r="K279" s="2">
        <v>61668</v>
      </c>
      <c r="L279" s="35">
        <v>192725450.28</v>
      </c>
      <c r="M279" s="36">
        <v>3600</v>
      </c>
      <c r="N279" s="37">
        <v>723283</v>
      </c>
      <c r="O279" s="37">
        <v>2366</v>
      </c>
      <c r="P279" s="37">
        <v>0</v>
      </c>
      <c r="Q279" s="37">
        <v>57372</v>
      </c>
      <c r="R279" s="37">
        <v>143529</v>
      </c>
      <c r="S279" s="37">
        <v>354356</v>
      </c>
      <c r="T279" s="37">
        <v>30000</v>
      </c>
      <c r="U279" s="37">
        <v>2085500</v>
      </c>
      <c r="V279" s="37">
        <v>0</v>
      </c>
      <c r="W279" s="45">
        <v>3396406</v>
      </c>
      <c r="X279" s="46">
        <v>1.76230279657697</v>
      </c>
    </row>
    <row r="280" spans="1:24" s="4" customFormat="1" ht="15" customHeight="1">
      <c r="A280" s="28" t="s">
        <v>647</v>
      </c>
      <c r="B280" s="29">
        <v>3125.21</v>
      </c>
      <c r="C280" s="30" t="s">
        <v>993</v>
      </c>
      <c r="D280" s="2">
        <v>4947320672</v>
      </c>
      <c r="E280" s="2" t="s">
        <v>14</v>
      </c>
      <c r="F280" s="2" t="s">
        <v>994</v>
      </c>
      <c r="G280" s="28" t="s">
        <v>5</v>
      </c>
      <c r="H280" s="2" t="s">
        <v>17</v>
      </c>
      <c r="I280" s="2">
        <v>1</v>
      </c>
      <c r="J280" s="2" t="s">
        <v>995</v>
      </c>
      <c r="K280" s="2">
        <v>25103.4</v>
      </c>
      <c r="L280" s="35">
        <v>78453396.714000002</v>
      </c>
      <c r="M280" s="36">
        <v>18060</v>
      </c>
      <c r="N280" s="37">
        <v>0</v>
      </c>
      <c r="O280" s="37">
        <v>413323</v>
      </c>
      <c r="P280" s="37">
        <v>148057</v>
      </c>
      <c r="Q280" s="37">
        <v>99309</v>
      </c>
      <c r="R280" s="37">
        <v>717082</v>
      </c>
      <c r="S280" s="37">
        <v>354356</v>
      </c>
      <c r="T280" s="37">
        <v>30000</v>
      </c>
      <c r="U280" s="37">
        <v>0</v>
      </c>
      <c r="V280" s="37">
        <v>0</v>
      </c>
      <c r="W280" s="45">
        <v>1762127</v>
      </c>
      <c r="X280" s="46">
        <v>2.2460812071959002</v>
      </c>
    </row>
    <row r="281" spans="1:24" s="4" customFormat="1" ht="15" customHeight="1">
      <c r="A281" s="28" t="s">
        <v>647</v>
      </c>
      <c r="B281" s="29">
        <v>3125.21</v>
      </c>
      <c r="C281" s="30" t="s">
        <v>998</v>
      </c>
      <c r="D281" s="2">
        <v>4947320677</v>
      </c>
      <c r="E281" s="2" t="s">
        <v>14</v>
      </c>
      <c r="F281" s="2" t="s">
        <v>999</v>
      </c>
      <c r="G281" s="28" t="s">
        <v>5</v>
      </c>
      <c r="H281" s="2" t="s">
        <v>17</v>
      </c>
      <c r="I281" s="2">
        <v>1</v>
      </c>
      <c r="J281" s="2" t="s">
        <v>1000</v>
      </c>
      <c r="K281" s="2">
        <v>25103.4</v>
      </c>
      <c r="L281" s="35">
        <v>78453396.714000002</v>
      </c>
      <c r="M281" s="36">
        <v>18060</v>
      </c>
      <c r="N281" s="37">
        <v>0</v>
      </c>
      <c r="O281" s="37">
        <v>413323</v>
      </c>
      <c r="P281" s="37">
        <v>148057</v>
      </c>
      <c r="Q281" s="37">
        <v>99309</v>
      </c>
      <c r="R281" s="37">
        <v>717082</v>
      </c>
      <c r="S281" s="37">
        <v>354356</v>
      </c>
      <c r="T281" s="37">
        <v>30000</v>
      </c>
      <c r="U281" s="37">
        <v>0</v>
      </c>
      <c r="V281" s="37">
        <v>0</v>
      </c>
      <c r="W281" s="45">
        <v>1762127</v>
      </c>
      <c r="X281" s="46">
        <v>2.2460812071959002</v>
      </c>
    </row>
    <row r="282" spans="1:24" s="4" customFormat="1" ht="15" customHeight="1">
      <c r="A282" s="28" t="s">
        <v>647</v>
      </c>
      <c r="B282" s="29">
        <v>3125.21</v>
      </c>
      <c r="C282" s="30" t="s">
        <v>1006</v>
      </c>
      <c r="D282" s="2" t="s">
        <v>1007</v>
      </c>
      <c r="E282" s="2" t="s">
        <v>14</v>
      </c>
      <c r="F282" s="2" t="s">
        <v>1008</v>
      </c>
      <c r="G282" s="28" t="s">
        <v>9</v>
      </c>
      <c r="H282" s="2" t="s">
        <v>23</v>
      </c>
      <c r="I282" s="2">
        <v>10</v>
      </c>
      <c r="J282" s="2"/>
      <c r="K282" s="2">
        <v>6410</v>
      </c>
      <c r="L282" s="35">
        <v>20032596.100000001</v>
      </c>
      <c r="M282" s="36">
        <v>1000</v>
      </c>
      <c r="N282" s="40">
        <v>532221.58671586704</v>
      </c>
      <c r="O282" s="40">
        <v>688.19188191881904</v>
      </c>
      <c r="P282" s="40">
        <v>0</v>
      </c>
      <c r="Q282" s="40">
        <v>21512.7306273063</v>
      </c>
      <c r="R282" s="40">
        <v>40960.885608856101</v>
      </c>
      <c r="S282" s="40">
        <v>65379.335793357903</v>
      </c>
      <c r="T282" s="37">
        <v>30000</v>
      </c>
      <c r="U282" s="40">
        <v>637121.77121771197</v>
      </c>
      <c r="V282" s="40">
        <v>0</v>
      </c>
      <c r="W282" s="45">
        <v>1327884.5018450201</v>
      </c>
      <c r="X282" s="46">
        <v>6.6286191525871097</v>
      </c>
    </row>
    <row r="283" spans="1:24" s="4" customFormat="1" ht="15" customHeight="1">
      <c r="A283" s="28" t="s">
        <v>647</v>
      </c>
      <c r="B283" s="29">
        <v>3125.21</v>
      </c>
      <c r="C283" s="30" t="s">
        <v>1006</v>
      </c>
      <c r="D283" s="2">
        <v>4948242174</v>
      </c>
      <c r="E283" s="2" t="s">
        <v>14</v>
      </c>
      <c r="F283" s="2" t="s">
        <v>1008</v>
      </c>
      <c r="G283" s="28" t="s">
        <v>9</v>
      </c>
      <c r="H283" s="2" t="s">
        <v>23</v>
      </c>
      <c r="I283" s="2">
        <v>10</v>
      </c>
      <c r="J283" s="2"/>
      <c r="K283" s="2">
        <v>4790</v>
      </c>
      <c r="L283" s="35">
        <v>14969755.9</v>
      </c>
      <c r="M283" s="36">
        <v>1000</v>
      </c>
      <c r="N283" s="40">
        <v>532221.58671586704</v>
      </c>
      <c r="O283" s="40">
        <v>688.19188191881904</v>
      </c>
      <c r="P283" s="40">
        <v>0</v>
      </c>
      <c r="Q283" s="40">
        <v>21512.7306273063</v>
      </c>
      <c r="R283" s="40">
        <v>40960.885608856101</v>
      </c>
      <c r="S283" s="40">
        <v>65379.335793357903</v>
      </c>
      <c r="T283" s="37">
        <v>30000</v>
      </c>
      <c r="U283" s="40">
        <v>637121.77121771197</v>
      </c>
      <c r="V283" s="40">
        <v>0</v>
      </c>
      <c r="W283" s="45">
        <v>1327884.5018450201</v>
      </c>
      <c r="X283" s="46">
        <v>8.8704485945894298</v>
      </c>
    </row>
    <row r="284" spans="1:24" s="4" customFormat="1" ht="15" customHeight="1">
      <c r="A284" s="28" t="s">
        <v>647</v>
      </c>
      <c r="B284" s="29">
        <v>3125.21</v>
      </c>
      <c r="C284" s="30" t="s">
        <v>1006</v>
      </c>
      <c r="D284" s="2">
        <v>4948242175</v>
      </c>
      <c r="E284" s="2" t="s">
        <v>14</v>
      </c>
      <c r="F284" s="2" t="s">
        <v>1008</v>
      </c>
      <c r="G284" s="28" t="s">
        <v>9</v>
      </c>
      <c r="H284" s="2" t="s">
        <v>23</v>
      </c>
      <c r="I284" s="2">
        <v>10</v>
      </c>
      <c r="J284" s="2"/>
      <c r="K284" s="2">
        <v>27885</v>
      </c>
      <c r="L284" s="35">
        <v>87146480.849999994</v>
      </c>
      <c r="M284" s="36">
        <v>3300</v>
      </c>
      <c r="N284" s="40">
        <v>1756331.2361623601</v>
      </c>
      <c r="O284" s="40">
        <v>2271.0332103321002</v>
      </c>
      <c r="P284" s="40">
        <v>0</v>
      </c>
      <c r="Q284" s="40">
        <v>70992.011070110704</v>
      </c>
      <c r="R284" s="40">
        <v>135170.922509225</v>
      </c>
      <c r="S284" s="40">
        <v>215751.80811808101</v>
      </c>
      <c r="T284" s="37">
        <v>30000</v>
      </c>
      <c r="U284" s="40">
        <v>2102501.8450184502</v>
      </c>
      <c r="V284" s="40">
        <v>0</v>
      </c>
      <c r="W284" s="45">
        <v>4313018.8560885601</v>
      </c>
      <c r="X284" s="46">
        <v>4.9491600969088996</v>
      </c>
    </row>
    <row r="285" spans="1:24" s="4" customFormat="1" ht="15" customHeight="1">
      <c r="A285" s="28" t="s">
        <v>647</v>
      </c>
      <c r="B285" s="29">
        <v>3125.21</v>
      </c>
      <c r="C285" s="30" t="s">
        <v>1006</v>
      </c>
      <c r="D285" s="2">
        <v>4948242175</v>
      </c>
      <c r="E285" s="2" t="s">
        <v>14</v>
      </c>
      <c r="F285" s="2" t="s">
        <v>1008</v>
      </c>
      <c r="G285" s="28" t="s">
        <v>9</v>
      </c>
      <c r="H285" s="2" t="s">
        <v>23</v>
      </c>
      <c r="I285" s="2">
        <v>10</v>
      </c>
      <c r="J285" s="2"/>
      <c r="K285" s="2">
        <v>5280</v>
      </c>
      <c r="L285" s="35">
        <v>16501108.800000001</v>
      </c>
      <c r="M285" s="36">
        <v>120</v>
      </c>
      <c r="N285" s="40">
        <v>63866.590405904099</v>
      </c>
      <c r="O285" s="40">
        <v>82.583025830258293</v>
      </c>
      <c r="P285" s="40">
        <v>0</v>
      </c>
      <c r="Q285" s="40">
        <v>2581.52767527675</v>
      </c>
      <c r="R285" s="40">
        <v>4915.3062730627298</v>
      </c>
      <c r="S285" s="40">
        <v>7845.5202952029504</v>
      </c>
      <c r="T285" s="37">
        <v>30000</v>
      </c>
      <c r="U285" s="40">
        <v>76454.6125461255</v>
      </c>
      <c r="V285" s="40">
        <v>0</v>
      </c>
      <c r="W285" s="45">
        <v>185746.14022140199</v>
      </c>
      <c r="X285" s="46">
        <v>1.1256585389061999</v>
      </c>
    </row>
    <row r="286" spans="1:24" s="4" customFormat="1" ht="15" customHeight="1">
      <c r="A286" s="28" t="s">
        <v>647</v>
      </c>
      <c r="B286" s="29">
        <v>3125.21</v>
      </c>
      <c r="C286" s="30" t="s">
        <v>1012</v>
      </c>
      <c r="D286" s="2">
        <v>4947705171</v>
      </c>
      <c r="E286" s="2" t="s">
        <v>14</v>
      </c>
      <c r="F286" s="2" t="s">
        <v>1013</v>
      </c>
      <c r="G286" s="28" t="s">
        <v>9</v>
      </c>
      <c r="H286" s="2" t="s">
        <v>23</v>
      </c>
      <c r="I286" s="2">
        <v>30</v>
      </c>
      <c r="J286" s="2"/>
      <c r="K286" s="2">
        <v>2562</v>
      </c>
      <c r="L286" s="35">
        <v>8006788.0199999996</v>
      </c>
      <c r="M286" s="36">
        <v>525</v>
      </c>
      <c r="N286" s="40">
        <v>92688.316941624405</v>
      </c>
      <c r="O286" s="40">
        <v>350.01110406091402</v>
      </c>
      <c r="P286" s="40">
        <v>0</v>
      </c>
      <c r="Q286" s="40">
        <v>8666.3309010152298</v>
      </c>
      <c r="R286" s="40">
        <v>10195.6265862944</v>
      </c>
      <c r="S286" s="40">
        <v>11804.3718274112</v>
      </c>
      <c r="T286" s="37">
        <v>30000</v>
      </c>
      <c r="U286" s="40">
        <v>277890.22842639597</v>
      </c>
      <c r="V286" s="40">
        <v>0</v>
      </c>
      <c r="W286" s="45">
        <v>431594.88578680198</v>
      </c>
      <c r="X286" s="46">
        <v>5.3903623364166702</v>
      </c>
    </row>
    <row r="287" spans="1:24" s="4" customFormat="1" ht="15" customHeight="1">
      <c r="A287" s="28" t="s">
        <v>647</v>
      </c>
      <c r="B287" s="29">
        <v>3125.21</v>
      </c>
      <c r="C287" s="30" t="s">
        <v>1012</v>
      </c>
      <c r="D287" s="2">
        <v>4948037019</v>
      </c>
      <c r="E287" s="2" t="s">
        <v>14</v>
      </c>
      <c r="F287" s="2" t="s">
        <v>1013</v>
      </c>
      <c r="G287" s="28" t="s">
        <v>9</v>
      </c>
      <c r="H287" s="2" t="s">
        <v>23</v>
      </c>
      <c r="I287" s="2">
        <v>30</v>
      </c>
      <c r="J287" s="2"/>
      <c r="K287" s="2">
        <v>23777.599999999999</v>
      </c>
      <c r="L287" s="35">
        <v>74309993.296000004</v>
      </c>
      <c r="M287" s="36">
        <v>6160</v>
      </c>
      <c r="N287" s="40">
        <v>1087542.9187817301</v>
      </c>
      <c r="O287" s="40">
        <v>4106.7969543147201</v>
      </c>
      <c r="P287" s="40">
        <v>0</v>
      </c>
      <c r="Q287" s="40">
        <v>101684.94923857901</v>
      </c>
      <c r="R287" s="40">
        <v>119628.68527918799</v>
      </c>
      <c r="S287" s="40">
        <v>138504.62944162401</v>
      </c>
      <c r="T287" s="37">
        <v>30000</v>
      </c>
      <c r="U287" s="40">
        <v>3260578.6802030499</v>
      </c>
      <c r="V287" s="40">
        <v>0</v>
      </c>
      <c r="W287" s="45">
        <v>4742046.6598984897</v>
      </c>
      <c r="X287" s="46">
        <v>6.3814386861931602</v>
      </c>
    </row>
    <row r="288" spans="1:24" s="4" customFormat="1" ht="15" customHeight="1">
      <c r="A288" s="28" t="s">
        <v>647</v>
      </c>
      <c r="B288" s="29">
        <v>3125.21</v>
      </c>
      <c r="C288" s="30" t="s">
        <v>1012</v>
      </c>
      <c r="D288" s="2">
        <v>4947975537</v>
      </c>
      <c r="E288" s="2" t="s">
        <v>14</v>
      </c>
      <c r="F288" s="2" t="s">
        <v>1013</v>
      </c>
      <c r="G288" s="28" t="s">
        <v>9</v>
      </c>
      <c r="H288" s="2" t="s">
        <v>23</v>
      </c>
      <c r="I288" s="2">
        <v>30</v>
      </c>
      <c r="J288" s="2"/>
      <c r="K288" s="2">
        <v>1323</v>
      </c>
      <c r="L288" s="35">
        <v>4134652.83</v>
      </c>
      <c r="M288" s="36">
        <v>420</v>
      </c>
      <c r="N288" s="40">
        <v>74150.653553299504</v>
      </c>
      <c r="O288" s="40">
        <v>280.00888324873102</v>
      </c>
      <c r="P288" s="40">
        <v>0</v>
      </c>
      <c r="Q288" s="40">
        <v>6933.06472081218</v>
      </c>
      <c r="R288" s="40">
        <v>8156.5012690355297</v>
      </c>
      <c r="S288" s="40">
        <v>9443.4974619289296</v>
      </c>
      <c r="T288" s="37">
        <v>30000</v>
      </c>
      <c r="U288" s="40">
        <v>222312.18274111699</v>
      </c>
      <c r="V288" s="40">
        <v>0</v>
      </c>
      <c r="W288" s="45">
        <v>351275.90862944198</v>
      </c>
      <c r="X288" s="46">
        <v>8.4958985209271294</v>
      </c>
    </row>
    <row r="289" spans="1:24" s="4" customFormat="1" ht="15" customHeight="1">
      <c r="A289" s="28" t="s">
        <v>647</v>
      </c>
      <c r="B289" s="29">
        <v>3125.21</v>
      </c>
      <c r="C289" s="30" t="s">
        <v>1012</v>
      </c>
      <c r="D289" s="2">
        <v>4948242174</v>
      </c>
      <c r="E289" s="2" t="s">
        <v>14</v>
      </c>
      <c r="F289" s="2" t="s">
        <v>1013</v>
      </c>
      <c r="G289" s="28" t="s">
        <v>9</v>
      </c>
      <c r="H289" s="2" t="s">
        <v>23</v>
      </c>
      <c r="I289" s="2">
        <v>30</v>
      </c>
      <c r="J289" s="2"/>
      <c r="K289" s="2">
        <v>6848</v>
      </c>
      <c r="L289" s="35">
        <v>21401438.079999998</v>
      </c>
      <c r="M289" s="36">
        <v>800</v>
      </c>
      <c r="N289" s="40">
        <v>141239.340101523</v>
      </c>
      <c r="O289" s="40">
        <v>533.35025380710704</v>
      </c>
      <c r="P289" s="40">
        <v>0</v>
      </c>
      <c r="Q289" s="40">
        <v>13205.8375634518</v>
      </c>
      <c r="R289" s="40">
        <v>15536.192893400999</v>
      </c>
      <c r="S289" s="40">
        <v>17987.614213198001</v>
      </c>
      <c r="T289" s="37">
        <v>30000</v>
      </c>
      <c r="U289" s="40">
        <v>423451.776649746</v>
      </c>
      <c r="V289" s="40">
        <v>0</v>
      </c>
      <c r="W289" s="45">
        <v>641954.11167512694</v>
      </c>
      <c r="X289" s="46">
        <v>2.9995839965307902</v>
      </c>
    </row>
    <row r="290" spans="1:24" s="4" customFormat="1" ht="15" customHeight="1">
      <c r="A290" s="28" t="s">
        <v>647</v>
      </c>
      <c r="B290" s="29">
        <v>3125.21</v>
      </c>
      <c r="C290" s="30" t="s">
        <v>1012</v>
      </c>
      <c r="D290" s="2">
        <v>4948411915</v>
      </c>
      <c r="E290" s="2" t="s">
        <v>14</v>
      </c>
      <c r="F290" s="2" t="s">
        <v>1013</v>
      </c>
      <c r="G290" s="28" t="s">
        <v>9</v>
      </c>
      <c r="H290" s="2" t="s">
        <v>23</v>
      </c>
      <c r="I290" s="2">
        <v>30</v>
      </c>
      <c r="J290" s="2"/>
      <c r="K290" s="2">
        <v>8064</v>
      </c>
      <c r="L290" s="35">
        <v>25201693.440000001</v>
      </c>
      <c r="M290" s="36">
        <v>3360</v>
      </c>
      <c r="N290" s="40">
        <v>593205.22842639603</v>
      </c>
      <c r="O290" s="40">
        <v>2240.07106598985</v>
      </c>
      <c r="P290" s="40">
        <v>0</v>
      </c>
      <c r="Q290" s="40">
        <v>55464.517766497498</v>
      </c>
      <c r="R290" s="40">
        <v>65252.010152284303</v>
      </c>
      <c r="S290" s="40">
        <v>75547.979695431495</v>
      </c>
      <c r="T290" s="37">
        <v>30000</v>
      </c>
      <c r="U290" s="40">
        <v>1778497.4619289299</v>
      </c>
      <c r="V290" s="40">
        <v>0</v>
      </c>
      <c r="W290" s="45">
        <v>2600207.2690355298</v>
      </c>
      <c r="X290" s="46">
        <v>10.3175894716206</v>
      </c>
    </row>
    <row r="291" spans="1:24" s="4" customFormat="1" ht="15" customHeight="1">
      <c r="A291" s="28" t="s">
        <v>647</v>
      </c>
      <c r="B291" s="29">
        <v>3125.21</v>
      </c>
      <c r="C291" s="30" t="s">
        <v>1012</v>
      </c>
      <c r="D291" s="2">
        <v>4948494947</v>
      </c>
      <c r="E291" s="2" t="s">
        <v>14</v>
      </c>
      <c r="F291" s="2" t="s">
        <v>1013</v>
      </c>
      <c r="G291" s="28" t="s">
        <v>9</v>
      </c>
      <c r="H291" s="2" t="s">
        <v>23</v>
      </c>
      <c r="I291" s="2">
        <v>30</v>
      </c>
      <c r="J291" s="2"/>
      <c r="K291" s="2">
        <v>817.95</v>
      </c>
      <c r="L291" s="35">
        <v>2556265.5194999999</v>
      </c>
      <c r="M291" s="36">
        <v>205</v>
      </c>
      <c r="N291" s="40">
        <v>36192.580901015201</v>
      </c>
      <c r="O291" s="40">
        <v>136.67100253807101</v>
      </c>
      <c r="P291" s="40">
        <v>0</v>
      </c>
      <c r="Q291" s="40">
        <v>3383.99587563452</v>
      </c>
      <c r="R291" s="40">
        <v>3981.1494289340098</v>
      </c>
      <c r="S291" s="40">
        <v>4609.3261421319803</v>
      </c>
      <c r="T291" s="37">
        <v>30000</v>
      </c>
      <c r="U291" s="40">
        <v>108509.517766497</v>
      </c>
      <c r="V291" s="40">
        <v>0</v>
      </c>
      <c r="W291" s="45">
        <v>186813.24111675101</v>
      </c>
      <c r="X291" s="46">
        <v>7.3080530833624398</v>
      </c>
    </row>
    <row r="292" spans="1:24" s="4" customFormat="1" ht="15" customHeight="1">
      <c r="A292" s="28" t="s">
        <v>647</v>
      </c>
      <c r="B292" s="29">
        <v>3125.21</v>
      </c>
      <c r="C292" s="30" t="s">
        <v>1012</v>
      </c>
      <c r="D292" s="2">
        <v>4947774262</v>
      </c>
      <c r="E292" s="2" t="s">
        <v>14</v>
      </c>
      <c r="F292" s="2" t="s">
        <v>1013</v>
      </c>
      <c r="G292" s="28" t="s">
        <v>9</v>
      </c>
      <c r="H292" s="2" t="s">
        <v>23</v>
      </c>
      <c r="I292" s="2">
        <v>30</v>
      </c>
      <c r="J292" s="2"/>
      <c r="K292" s="2">
        <v>4711</v>
      </c>
      <c r="L292" s="35">
        <v>14722864.310000001</v>
      </c>
      <c r="M292" s="36">
        <v>700</v>
      </c>
      <c r="N292" s="40">
        <v>123584.42258883201</v>
      </c>
      <c r="O292" s="40">
        <v>466.68147208121798</v>
      </c>
      <c r="P292" s="40">
        <v>0</v>
      </c>
      <c r="Q292" s="40">
        <v>11555.107868020301</v>
      </c>
      <c r="R292" s="40">
        <v>13594.168781725901</v>
      </c>
      <c r="S292" s="40">
        <v>15739.1624365482</v>
      </c>
      <c r="T292" s="37">
        <v>30000</v>
      </c>
      <c r="U292" s="40">
        <v>370520.30456852802</v>
      </c>
      <c r="V292" s="40">
        <v>0</v>
      </c>
      <c r="W292" s="45">
        <v>565459.84771573602</v>
      </c>
      <c r="X292" s="46">
        <v>3.8406918369251501</v>
      </c>
    </row>
    <row r="293" spans="1:24" s="4" customFormat="1" ht="15" customHeight="1">
      <c r="A293" s="28" t="s">
        <v>647</v>
      </c>
      <c r="B293" s="29">
        <v>3125.21</v>
      </c>
      <c r="C293" s="30" t="s">
        <v>1012</v>
      </c>
      <c r="D293" s="2">
        <v>4948540096</v>
      </c>
      <c r="E293" s="2" t="s">
        <v>14</v>
      </c>
      <c r="F293" s="2" t="s">
        <v>1013</v>
      </c>
      <c r="G293" s="28" t="s">
        <v>9</v>
      </c>
      <c r="H293" s="2" t="s">
        <v>23</v>
      </c>
      <c r="I293" s="2">
        <v>30</v>
      </c>
      <c r="J293" s="2"/>
      <c r="K293" s="2">
        <v>3172</v>
      </c>
      <c r="L293" s="35">
        <v>9913166.1199999992</v>
      </c>
      <c r="M293" s="36">
        <v>650</v>
      </c>
      <c r="N293" s="40">
        <v>114756.963832487</v>
      </c>
      <c r="O293" s="40">
        <v>433.34708121827401</v>
      </c>
      <c r="P293" s="40">
        <v>0</v>
      </c>
      <c r="Q293" s="40">
        <v>10729.743020304601</v>
      </c>
      <c r="R293" s="40">
        <v>12623.156725888301</v>
      </c>
      <c r="S293" s="40">
        <v>14614.936548223301</v>
      </c>
      <c r="T293" s="37">
        <v>30000</v>
      </c>
      <c r="U293" s="40">
        <v>344054.56852791901</v>
      </c>
      <c r="V293" s="40">
        <v>0</v>
      </c>
      <c r="W293" s="45">
        <v>527212.71573604003</v>
      </c>
      <c r="X293" s="46">
        <v>5.3183080900095003</v>
      </c>
    </row>
    <row r="294" spans="1:24" s="4" customFormat="1" ht="15" customHeight="1">
      <c r="A294" s="28" t="s">
        <v>647</v>
      </c>
      <c r="B294" s="29">
        <v>3125.21</v>
      </c>
      <c r="C294" s="30" t="s">
        <v>1012</v>
      </c>
      <c r="D294" s="2">
        <v>4947975534</v>
      </c>
      <c r="E294" s="2" t="s">
        <v>14</v>
      </c>
      <c r="F294" s="2" t="s">
        <v>1013</v>
      </c>
      <c r="G294" s="28" t="s">
        <v>9</v>
      </c>
      <c r="H294" s="2" t="s">
        <v>23</v>
      </c>
      <c r="I294" s="2">
        <v>30</v>
      </c>
      <c r="J294" s="2"/>
      <c r="K294" s="2">
        <v>1629.6</v>
      </c>
      <c r="L294" s="35">
        <v>5092842.216</v>
      </c>
      <c r="M294" s="36">
        <v>420</v>
      </c>
      <c r="N294" s="40">
        <v>74150.653553299504</v>
      </c>
      <c r="O294" s="40">
        <v>280.00888324873102</v>
      </c>
      <c r="P294" s="40">
        <v>0</v>
      </c>
      <c r="Q294" s="40">
        <v>6933.06472081218</v>
      </c>
      <c r="R294" s="40">
        <v>8156.5012690355297</v>
      </c>
      <c r="S294" s="40">
        <v>9443.4974619289296</v>
      </c>
      <c r="T294" s="37">
        <v>30000</v>
      </c>
      <c r="U294" s="40">
        <v>222312.18274111699</v>
      </c>
      <c r="V294" s="40">
        <v>0</v>
      </c>
      <c r="W294" s="45">
        <v>351275.90862944198</v>
      </c>
      <c r="X294" s="46">
        <v>6.8974433868351701</v>
      </c>
    </row>
    <row r="295" spans="1:24" s="4" customFormat="1" ht="15" customHeight="1">
      <c r="A295" s="28" t="s">
        <v>647</v>
      </c>
      <c r="B295" s="29">
        <v>3125.21</v>
      </c>
      <c r="C295" s="30" t="s">
        <v>1012</v>
      </c>
      <c r="D295" s="2">
        <v>4947975204</v>
      </c>
      <c r="E295" s="2" t="s">
        <v>14</v>
      </c>
      <c r="F295" s="2" t="s">
        <v>1013</v>
      </c>
      <c r="G295" s="28" t="s">
        <v>9</v>
      </c>
      <c r="H295" s="2" t="s">
        <v>23</v>
      </c>
      <c r="I295" s="2">
        <v>30</v>
      </c>
      <c r="J295" s="2"/>
      <c r="K295" s="2">
        <v>9777.6</v>
      </c>
      <c r="L295" s="35">
        <v>30557053.296</v>
      </c>
      <c r="M295" s="36">
        <v>2520</v>
      </c>
      <c r="N295" s="40">
        <v>444903.92131979699</v>
      </c>
      <c r="O295" s="40">
        <v>1680.0532994923899</v>
      </c>
      <c r="P295" s="40">
        <v>0</v>
      </c>
      <c r="Q295" s="40">
        <v>41598.3883248731</v>
      </c>
      <c r="R295" s="40">
        <v>48939.007614213202</v>
      </c>
      <c r="S295" s="40">
        <v>56660.984771573603</v>
      </c>
      <c r="T295" s="37">
        <v>30000</v>
      </c>
      <c r="U295" s="40">
        <v>1333873.0964466999</v>
      </c>
      <c r="V295" s="40">
        <v>0</v>
      </c>
      <c r="W295" s="45">
        <v>1957655.45177665</v>
      </c>
      <c r="X295" s="46">
        <v>6.4065583576179197</v>
      </c>
    </row>
    <row r="296" spans="1:24" s="4" customFormat="1" ht="15" customHeight="1">
      <c r="A296" s="28" t="s">
        <v>647</v>
      </c>
      <c r="B296" s="29">
        <v>3125.21</v>
      </c>
      <c r="C296" s="30" t="s">
        <v>1014</v>
      </c>
      <c r="D296" s="2">
        <v>4948494929</v>
      </c>
      <c r="E296" s="2" t="s">
        <v>14</v>
      </c>
      <c r="F296" s="78" t="s">
        <v>1015</v>
      </c>
      <c r="G296" s="28" t="s">
        <v>13</v>
      </c>
      <c r="H296" s="2" t="s">
        <v>23</v>
      </c>
      <c r="I296" s="2">
        <v>3</v>
      </c>
      <c r="J296" s="2"/>
      <c r="K296" s="2">
        <v>1892.25</v>
      </c>
      <c r="L296" s="35">
        <v>5913678.6224999996</v>
      </c>
      <c r="M296" s="36">
        <v>15</v>
      </c>
      <c r="N296" s="37">
        <v>198569</v>
      </c>
      <c r="O296" s="37">
        <v>0</v>
      </c>
      <c r="P296" s="37">
        <v>0</v>
      </c>
      <c r="Q296" s="37">
        <v>0</v>
      </c>
      <c r="R296" s="37">
        <v>1639</v>
      </c>
      <c r="S296" s="37">
        <v>354356</v>
      </c>
      <c r="T296" s="37">
        <v>30000</v>
      </c>
      <c r="U296" s="37">
        <v>246380</v>
      </c>
      <c r="V296" s="37">
        <v>0</v>
      </c>
      <c r="W296" s="45">
        <v>830944</v>
      </c>
      <c r="X296" s="46">
        <v>14.0512201126127</v>
      </c>
    </row>
    <row r="297" spans="1:24" s="4" customFormat="1" ht="15" customHeight="1">
      <c r="A297" s="28" t="s">
        <v>647</v>
      </c>
      <c r="B297" s="29">
        <v>3125.21</v>
      </c>
      <c r="C297" s="30" t="s">
        <v>1031</v>
      </c>
      <c r="D297" s="2">
        <v>4947774257</v>
      </c>
      <c r="E297" s="2" t="s">
        <v>14</v>
      </c>
      <c r="F297" s="78" t="s">
        <v>1032</v>
      </c>
      <c r="G297" s="28" t="s">
        <v>9</v>
      </c>
      <c r="H297" s="2" t="s">
        <v>23</v>
      </c>
      <c r="I297" s="2">
        <v>32</v>
      </c>
      <c r="J297" s="2"/>
      <c r="K297" s="2">
        <v>18900</v>
      </c>
      <c r="L297" s="35">
        <v>59066469</v>
      </c>
      <c r="M297" s="36">
        <v>4500</v>
      </c>
      <c r="N297" s="40">
        <v>865492.388059702</v>
      </c>
      <c r="O297" s="40">
        <v>2989.8805970149301</v>
      </c>
      <c r="P297" s="40">
        <v>0</v>
      </c>
      <c r="Q297" s="40">
        <v>73961.731343283594</v>
      </c>
      <c r="R297" s="40">
        <v>95373.402985074601</v>
      </c>
      <c r="S297" s="40">
        <v>95200.119402985103</v>
      </c>
      <c r="T297" s="37">
        <v>30000</v>
      </c>
      <c r="U297" s="40">
        <v>2241134.3283582102</v>
      </c>
      <c r="V297" s="40">
        <v>0</v>
      </c>
      <c r="W297" s="45">
        <v>3404151.8507462698</v>
      </c>
      <c r="X297" s="46">
        <v>5.7632560543720199</v>
      </c>
    </row>
    <row r="298" spans="1:24" s="4" customFormat="1" ht="15" customHeight="1">
      <c r="A298" s="28" t="s">
        <v>647</v>
      </c>
      <c r="B298" s="29">
        <v>3125.21</v>
      </c>
      <c r="C298" s="30" t="s">
        <v>1031</v>
      </c>
      <c r="D298" s="2">
        <v>4947975533</v>
      </c>
      <c r="E298" s="2" t="s">
        <v>14</v>
      </c>
      <c r="F298" s="2" t="s">
        <v>1032</v>
      </c>
      <c r="G298" s="28" t="s">
        <v>9</v>
      </c>
      <c r="H298" s="2" t="s">
        <v>23</v>
      </c>
      <c r="I298" s="2">
        <v>32</v>
      </c>
      <c r="J298" s="2"/>
      <c r="K298" s="2">
        <v>29389.5</v>
      </c>
      <c r="L298" s="35">
        <v>91848359.295000002</v>
      </c>
      <c r="M298" s="36">
        <v>9450</v>
      </c>
      <c r="N298" s="40">
        <v>1817534.01492537</v>
      </c>
      <c r="O298" s="40">
        <v>6278.7492537313401</v>
      </c>
      <c r="P298" s="40">
        <v>0</v>
      </c>
      <c r="Q298" s="40">
        <v>155319.63582089599</v>
      </c>
      <c r="R298" s="40">
        <v>200284.146268657</v>
      </c>
      <c r="S298" s="40">
        <v>199920.25074626901</v>
      </c>
      <c r="T298" s="37">
        <v>30000</v>
      </c>
      <c r="U298" s="40">
        <v>4706382.0895522404</v>
      </c>
      <c r="V298" s="40">
        <v>0</v>
      </c>
      <c r="W298" s="45">
        <v>7115718.8865671596</v>
      </c>
      <c r="X298" s="46">
        <v>7.74724659339073</v>
      </c>
    </row>
    <row r="299" spans="1:24" s="4" customFormat="1" ht="15" customHeight="1">
      <c r="A299" s="28" t="s">
        <v>647</v>
      </c>
      <c r="B299" s="29">
        <v>3125.21</v>
      </c>
      <c r="C299" s="30" t="s">
        <v>1031</v>
      </c>
      <c r="D299" s="2">
        <v>4948210661</v>
      </c>
      <c r="E299" s="2" t="s">
        <v>14</v>
      </c>
      <c r="F299" s="2" t="s">
        <v>1032</v>
      </c>
      <c r="G299" s="28" t="s">
        <v>9</v>
      </c>
      <c r="H299" s="2" t="s">
        <v>23</v>
      </c>
      <c r="I299" s="2">
        <v>32</v>
      </c>
      <c r="J299" s="2"/>
      <c r="K299" s="2">
        <v>6258</v>
      </c>
      <c r="L299" s="35">
        <v>19557564.18</v>
      </c>
      <c r="M299" s="36">
        <v>1400</v>
      </c>
      <c r="N299" s="40">
        <v>269264.29850746301</v>
      </c>
      <c r="O299" s="40">
        <v>930.18507462686603</v>
      </c>
      <c r="P299" s="40">
        <v>0</v>
      </c>
      <c r="Q299" s="40">
        <v>23010.316417910399</v>
      </c>
      <c r="R299" s="40">
        <v>29671.725373134301</v>
      </c>
      <c r="S299" s="40">
        <v>29617.814925373099</v>
      </c>
      <c r="T299" s="37">
        <v>30000</v>
      </c>
      <c r="U299" s="40">
        <v>697241.79104477598</v>
      </c>
      <c r="V299" s="40">
        <v>0</v>
      </c>
      <c r="W299" s="45">
        <v>1079736.13134328</v>
      </c>
      <c r="X299" s="46">
        <v>5.5208108811804202</v>
      </c>
    </row>
    <row r="300" spans="1:24" s="4" customFormat="1" ht="15" customHeight="1">
      <c r="A300" s="28" t="s">
        <v>647</v>
      </c>
      <c r="B300" s="29">
        <v>3125.21</v>
      </c>
      <c r="C300" s="30" t="s">
        <v>1031</v>
      </c>
      <c r="D300" s="2">
        <v>4947774262</v>
      </c>
      <c r="E300" s="2" t="s">
        <v>14</v>
      </c>
      <c r="F300" s="2" t="s">
        <v>1032</v>
      </c>
      <c r="G300" s="28" t="s">
        <v>9</v>
      </c>
      <c r="H300" s="2" t="s">
        <v>23</v>
      </c>
      <c r="I300" s="2">
        <v>32</v>
      </c>
      <c r="J300" s="2"/>
      <c r="K300" s="2">
        <v>15260</v>
      </c>
      <c r="L300" s="35">
        <v>47690704.600000001</v>
      </c>
      <c r="M300" s="36">
        <v>1400</v>
      </c>
      <c r="N300" s="40">
        <v>269264.29850746301</v>
      </c>
      <c r="O300" s="40">
        <v>930.18507462686603</v>
      </c>
      <c r="P300" s="40">
        <v>0</v>
      </c>
      <c r="Q300" s="40">
        <v>23010.316417910399</v>
      </c>
      <c r="R300" s="40">
        <v>29671.725373134301</v>
      </c>
      <c r="S300" s="40">
        <v>29617.814925373099</v>
      </c>
      <c r="T300" s="37">
        <v>30000</v>
      </c>
      <c r="U300" s="40">
        <v>697241.79104477598</v>
      </c>
      <c r="V300" s="40">
        <v>0</v>
      </c>
      <c r="W300" s="45">
        <v>1079736.13134328</v>
      </c>
      <c r="X300" s="46">
        <v>2.2640389576950901</v>
      </c>
    </row>
    <row r="301" spans="1:24" s="4" customFormat="1" ht="15" customHeight="1">
      <c r="A301" s="28" t="s">
        <v>647</v>
      </c>
      <c r="B301" s="29">
        <v>3125.21</v>
      </c>
      <c r="C301" s="30" t="s">
        <v>1041</v>
      </c>
      <c r="D301" s="2">
        <v>4948540080</v>
      </c>
      <c r="E301" s="2" t="s">
        <v>14</v>
      </c>
      <c r="F301" s="2" t="s">
        <v>1042</v>
      </c>
      <c r="G301" s="28" t="s">
        <v>9</v>
      </c>
      <c r="H301" s="2" t="s">
        <v>23</v>
      </c>
      <c r="I301" s="2">
        <v>2</v>
      </c>
      <c r="J301" s="2"/>
      <c r="K301" s="2">
        <v>1792</v>
      </c>
      <c r="L301" s="35">
        <v>5600376.3200000003</v>
      </c>
      <c r="M301" s="36">
        <v>1600</v>
      </c>
      <c r="N301" s="37">
        <v>640778</v>
      </c>
      <c r="O301" s="37">
        <v>1091</v>
      </c>
      <c r="P301" s="37">
        <v>33313</v>
      </c>
      <c r="Q301" s="37">
        <v>26556</v>
      </c>
      <c r="R301" s="37">
        <v>108113</v>
      </c>
      <c r="S301" s="37">
        <v>354356</v>
      </c>
      <c r="T301" s="37">
        <v>30000</v>
      </c>
      <c r="U301" s="37">
        <v>1367700</v>
      </c>
      <c r="V301" s="37">
        <v>0</v>
      </c>
      <c r="W301" s="45">
        <v>2561907</v>
      </c>
      <c r="X301" s="46">
        <v>45.7452652038926</v>
      </c>
    </row>
    <row r="302" spans="1:24" s="4" customFormat="1" ht="15" customHeight="1">
      <c r="A302" s="28" t="s">
        <v>647</v>
      </c>
      <c r="B302" s="29">
        <v>3125.21</v>
      </c>
      <c r="C302" s="30" t="s">
        <v>1043</v>
      </c>
      <c r="D302" s="2">
        <v>4947915813</v>
      </c>
      <c r="E302" s="2" t="s">
        <v>14</v>
      </c>
      <c r="F302" s="2" t="s">
        <v>1044</v>
      </c>
      <c r="G302" s="28" t="s">
        <v>5</v>
      </c>
      <c r="H302" s="2" t="s">
        <v>20</v>
      </c>
      <c r="I302" s="2">
        <v>3</v>
      </c>
      <c r="J302" s="2" t="s">
        <v>1045</v>
      </c>
      <c r="K302" s="2">
        <v>19866</v>
      </c>
      <c r="L302" s="35">
        <v>62085421.859999999</v>
      </c>
      <c r="M302" s="36">
        <v>8600</v>
      </c>
      <c r="N302" s="40">
        <v>317267</v>
      </c>
      <c r="O302" s="40">
        <v>205474.782608696</v>
      </c>
      <c r="P302" s="40">
        <v>207281</v>
      </c>
      <c r="Q302" s="40">
        <v>64766.956521739099</v>
      </c>
      <c r="R302" s="40">
        <v>345527</v>
      </c>
      <c r="S302" s="40">
        <v>77033.9130434783</v>
      </c>
      <c r="T302" s="37">
        <v>30000</v>
      </c>
      <c r="U302" s="40">
        <v>2601700</v>
      </c>
      <c r="V302" s="40">
        <v>0</v>
      </c>
      <c r="W302" s="45">
        <v>3849050.6521739098</v>
      </c>
      <c r="X302" s="46">
        <v>6.1996045719933397</v>
      </c>
    </row>
    <row r="303" spans="1:24" s="4" customFormat="1" ht="15" customHeight="1">
      <c r="A303" s="28" t="s">
        <v>647</v>
      </c>
      <c r="B303" s="29">
        <v>3125.21</v>
      </c>
      <c r="C303" s="30" t="s">
        <v>1043</v>
      </c>
      <c r="D303" s="2">
        <v>4947915813</v>
      </c>
      <c r="E303" s="2" t="s">
        <v>14</v>
      </c>
      <c r="F303" s="2" t="s">
        <v>1044</v>
      </c>
      <c r="G303" s="28" t="s">
        <v>5</v>
      </c>
      <c r="H303" s="2" t="s">
        <v>20</v>
      </c>
      <c r="I303" s="2">
        <v>3</v>
      </c>
      <c r="J303" s="2" t="s">
        <v>1045</v>
      </c>
      <c r="K303" s="2">
        <v>73684.800000000003</v>
      </c>
      <c r="L303" s="35">
        <v>230280473.808</v>
      </c>
      <c r="M303" s="36">
        <v>30960</v>
      </c>
      <c r="N303" s="37">
        <v>634534</v>
      </c>
      <c r="O303" s="37">
        <v>739709.21739130397</v>
      </c>
      <c r="P303" s="40">
        <v>207281</v>
      </c>
      <c r="Q303" s="37">
        <v>233161.04347826101</v>
      </c>
      <c r="R303" s="37">
        <v>1241741</v>
      </c>
      <c r="S303" s="37">
        <v>277322</v>
      </c>
      <c r="T303" s="37">
        <v>30000</v>
      </c>
      <c r="U303" s="37">
        <v>3629900</v>
      </c>
      <c r="V303" s="37">
        <v>0</v>
      </c>
      <c r="W303" s="45">
        <v>6993648.2608695598</v>
      </c>
      <c r="X303" s="46">
        <v>3.0370131454135501</v>
      </c>
    </row>
    <row r="304" spans="1:24" s="4" customFormat="1" ht="15" customHeight="1">
      <c r="A304" s="28" t="s">
        <v>647</v>
      </c>
      <c r="B304" s="29">
        <v>3125.21</v>
      </c>
      <c r="C304" s="30" t="s">
        <v>1046</v>
      </c>
      <c r="D304" s="2">
        <v>4948736570</v>
      </c>
      <c r="E304" s="2" t="s">
        <v>14</v>
      </c>
      <c r="F304" s="2" t="s">
        <v>1047</v>
      </c>
      <c r="G304" s="28" t="s">
        <v>9</v>
      </c>
      <c r="H304" s="2" t="s">
        <v>23</v>
      </c>
      <c r="I304" s="2">
        <v>5</v>
      </c>
      <c r="J304" s="2"/>
      <c r="K304" s="2">
        <v>7128</v>
      </c>
      <c r="L304" s="35">
        <v>22276496.879999999</v>
      </c>
      <c r="M304" s="36">
        <v>3600</v>
      </c>
      <c r="N304" s="37">
        <v>747610</v>
      </c>
      <c r="O304" s="37">
        <v>2587</v>
      </c>
      <c r="P304" s="37">
        <v>0</v>
      </c>
      <c r="Q304" s="37">
        <v>62782</v>
      </c>
      <c r="R304" s="37">
        <v>153798</v>
      </c>
      <c r="S304" s="37">
        <v>354356</v>
      </c>
      <c r="T304" s="37">
        <v>30000</v>
      </c>
      <c r="U304" s="37">
        <v>2085500</v>
      </c>
      <c r="V304" s="37">
        <v>0</v>
      </c>
      <c r="W304" s="45">
        <v>3436633</v>
      </c>
      <c r="X304" s="46">
        <v>15.427169803729001</v>
      </c>
    </row>
    <row r="305" spans="1:24" s="4" customFormat="1" ht="15" customHeight="1">
      <c r="A305" s="28" t="s">
        <v>647</v>
      </c>
      <c r="B305" s="29">
        <v>3125.21</v>
      </c>
      <c r="C305" s="30" t="s">
        <v>1054</v>
      </c>
      <c r="D305" s="2">
        <v>4948951735</v>
      </c>
      <c r="E305" s="2" t="s">
        <v>14</v>
      </c>
      <c r="F305" s="78" t="s">
        <v>1055</v>
      </c>
      <c r="G305" s="28" t="s">
        <v>13</v>
      </c>
      <c r="H305" s="2" t="s">
        <v>23</v>
      </c>
      <c r="I305" s="2">
        <v>1</v>
      </c>
      <c r="J305" s="2"/>
      <c r="K305" s="2">
        <v>20195</v>
      </c>
      <c r="L305" s="35">
        <v>63113615.950000003</v>
      </c>
      <c r="M305" s="36">
        <v>500</v>
      </c>
      <c r="N305" s="37">
        <v>649864</v>
      </c>
      <c r="O305" s="37">
        <v>0</v>
      </c>
      <c r="P305" s="37">
        <v>0</v>
      </c>
      <c r="Q305" s="37">
        <v>0</v>
      </c>
      <c r="R305" s="37">
        <v>2599</v>
      </c>
      <c r="S305" s="37">
        <v>354356</v>
      </c>
      <c r="T305" s="37">
        <v>30000</v>
      </c>
      <c r="U305" s="37">
        <v>246380</v>
      </c>
      <c r="V305" s="37">
        <v>0</v>
      </c>
      <c r="W305" s="45">
        <v>1283199</v>
      </c>
      <c r="X305" s="46">
        <v>2.03315715742951</v>
      </c>
    </row>
    <row r="306" spans="1:24" s="4" customFormat="1" ht="15" customHeight="1">
      <c r="A306" s="28" t="s">
        <v>647</v>
      </c>
      <c r="B306" s="29">
        <v>3125.21</v>
      </c>
      <c r="C306" s="30" t="s">
        <v>1058</v>
      </c>
      <c r="D306" s="2">
        <v>4947917138</v>
      </c>
      <c r="E306" s="2" t="s">
        <v>14</v>
      </c>
      <c r="F306" s="2" t="s">
        <v>1059</v>
      </c>
      <c r="G306" s="28" t="s">
        <v>5</v>
      </c>
      <c r="H306" s="2" t="s">
        <v>17</v>
      </c>
      <c r="I306" s="2">
        <v>1</v>
      </c>
      <c r="J306" s="2" t="s">
        <v>1060</v>
      </c>
      <c r="K306" s="2">
        <v>9298.7999999999993</v>
      </c>
      <c r="L306" s="35">
        <v>29060702.748</v>
      </c>
      <c r="M306" s="36">
        <v>4920</v>
      </c>
      <c r="N306" s="40">
        <v>68432.864533099506</v>
      </c>
      <c r="O306" s="37">
        <v>89151.651030249894</v>
      </c>
      <c r="P306" s="40">
        <v>39919.081104778597</v>
      </c>
      <c r="Q306" s="37">
        <v>21420.441911442402</v>
      </c>
      <c r="R306" s="40">
        <v>305072.15957913199</v>
      </c>
      <c r="S306" s="40">
        <v>76432.771591407305</v>
      </c>
      <c r="T306" s="37">
        <v>30000</v>
      </c>
      <c r="U306" s="40">
        <v>1083661.8149934199</v>
      </c>
      <c r="V306" s="40">
        <v>287952.65234546299</v>
      </c>
      <c r="W306" s="45">
        <v>2002043.4370889899</v>
      </c>
      <c r="X306" s="46">
        <v>6.8891776446348203</v>
      </c>
    </row>
    <row r="307" spans="1:24" s="4" customFormat="1" ht="15" customHeight="1">
      <c r="A307" s="28" t="s">
        <v>647</v>
      </c>
      <c r="B307" s="29">
        <v>3125.21</v>
      </c>
      <c r="C307" s="30" t="s">
        <v>1058</v>
      </c>
      <c r="D307" s="2">
        <v>4947917125</v>
      </c>
      <c r="E307" s="2" t="s">
        <v>14</v>
      </c>
      <c r="F307" s="2" t="s">
        <v>1059</v>
      </c>
      <c r="G307" s="28" t="s">
        <v>5</v>
      </c>
      <c r="H307" s="2" t="s">
        <v>17</v>
      </c>
      <c r="I307" s="2">
        <v>1</v>
      </c>
      <c r="J307" s="2" t="s">
        <v>1060</v>
      </c>
      <c r="K307" s="2">
        <v>2528.4</v>
      </c>
      <c r="L307" s="35">
        <v>7901780.9639999997</v>
      </c>
      <c r="M307" s="36">
        <v>420</v>
      </c>
      <c r="N307" s="40">
        <v>5841.8298991670299</v>
      </c>
      <c r="O307" s="40">
        <v>7610.5067952652398</v>
      </c>
      <c r="P307" s="40">
        <v>3407.7264357737799</v>
      </c>
      <c r="Q307" s="40">
        <v>1828.5743095133701</v>
      </c>
      <c r="R307" s="40">
        <v>26042.818500657599</v>
      </c>
      <c r="S307" s="40">
        <v>6524.7487943884298</v>
      </c>
      <c r="T307" s="37">
        <v>30000</v>
      </c>
      <c r="U307" s="40">
        <v>92507.715914072804</v>
      </c>
      <c r="V307" s="40">
        <v>24581.3239807102</v>
      </c>
      <c r="W307" s="45">
        <v>198345.24462954799</v>
      </c>
      <c r="X307" s="46">
        <v>2.5101334184432198</v>
      </c>
    </row>
    <row r="308" spans="1:24" s="4" customFormat="1" ht="15" customHeight="1">
      <c r="A308" s="28" t="s">
        <v>647</v>
      </c>
      <c r="B308" s="29">
        <v>3125.21</v>
      </c>
      <c r="C308" s="30" t="s">
        <v>1058</v>
      </c>
      <c r="D308" s="2">
        <v>4947510922</v>
      </c>
      <c r="E308" s="2" t="s">
        <v>14</v>
      </c>
      <c r="F308" s="2" t="s">
        <v>1059</v>
      </c>
      <c r="G308" s="28" t="s">
        <v>5</v>
      </c>
      <c r="H308" s="2" t="s">
        <v>17</v>
      </c>
      <c r="I308" s="2">
        <v>1</v>
      </c>
      <c r="J308" s="2" t="s">
        <v>1060</v>
      </c>
      <c r="K308" s="2">
        <v>5918.4</v>
      </c>
      <c r="L308" s="35">
        <v>18496242.864</v>
      </c>
      <c r="M308" s="36">
        <v>1080</v>
      </c>
      <c r="N308" s="40">
        <v>15021.8483121438</v>
      </c>
      <c r="O308" s="40">
        <v>19569.874616396301</v>
      </c>
      <c r="P308" s="40">
        <v>8762.7251205611592</v>
      </c>
      <c r="Q308" s="40">
        <v>4702.0482244629502</v>
      </c>
      <c r="R308" s="40">
        <v>66966.961858833805</v>
      </c>
      <c r="S308" s="40">
        <v>16777.9254712845</v>
      </c>
      <c r="T308" s="37">
        <v>30000</v>
      </c>
      <c r="U308" s="40">
        <v>237876.98377904401</v>
      </c>
      <c r="V308" s="40">
        <v>63209.118807540603</v>
      </c>
      <c r="W308" s="45">
        <v>462887.48619026702</v>
      </c>
      <c r="X308" s="46">
        <v>2.5026027696208701</v>
      </c>
    </row>
    <row r="309" spans="1:24" s="4" customFormat="1" ht="15" customHeight="1">
      <c r="A309" s="28" t="s">
        <v>647</v>
      </c>
      <c r="B309" s="29">
        <v>3125.21</v>
      </c>
      <c r="C309" s="30" t="s">
        <v>1058</v>
      </c>
      <c r="D309" s="2">
        <v>4948241413</v>
      </c>
      <c r="E309" s="2" t="s">
        <v>14</v>
      </c>
      <c r="F309" s="2" t="s">
        <v>1059</v>
      </c>
      <c r="G309" s="28" t="s">
        <v>5</v>
      </c>
      <c r="H309" s="2" t="s">
        <v>17</v>
      </c>
      <c r="I309" s="2">
        <v>1</v>
      </c>
      <c r="J309" s="2" t="s">
        <v>1060</v>
      </c>
      <c r="K309" s="2">
        <v>2839.2</v>
      </c>
      <c r="L309" s="35">
        <v>8873096.2320000008</v>
      </c>
      <c r="M309" s="36">
        <v>1560</v>
      </c>
      <c r="N309" s="40">
        <v>21698.225339763299</v>
      </c>
      <c r="O309" s="40">
        <v>28267.596668128001</v>
      </c>
      <c r="P309" s="40">
        <v>12657.2696185883</v>
      </c>
      <c r="Q309" s="40">
        <v>6791.8474353353804</v>
      </c>
      <c r="R309" s="40">
        <v>96729.611573871094</v>
      </c>
      <c r="S309" s="40">
        <v>24234.781236299899</v>
      </c>
      <c r="T309" s="37">
        <v>30000</v>
      </c>
      <c r="U309" s="40">
        <v>343600.08768084203</v>
      </c>
      <c r="V309" s="40">
        <v>91302.060499780797</v>
      </c>
      <c r="W309" s="45">
        <v>655281.480052609</v>
      </c>
      <c r="X309" s="46">
        <v>7.3850374538866896</v>
      </c>
    </row>
    <row r="310" spans="1:24" s="4" customFormat="1" ht="15" customHeight="1">
      <c r="A310" s="28" t="s">
        <v>647</v>
      </c>
      <c r="B310" s="29">
        <v>3125.21</v>
      </c>
      <c r="C310" s="30" t="s">
        <v>1058</v>
      </c>
      <c r="D310" s="2">
        <v>4948242153</v>
      </c>
      <c r="E310" s="2" t="s">
        <v>14</v>
      </c>
      <c r="F310" s="2" t="s">
        <v>1059</v>
      </c>
      <c r="G310" s="28" t="s">
        <v>5</v>
      </c>
      <c r="H310" s="2" t="s">
        <v>17</v>
      </c>
      <c r="I310" s="2">
        <v>1</v>
      </c>
      <c r="J310" s="2" t="s">
        <v>1060</v>
      </c>
      <c r="K310" s="2">
        <v>4032</v>
      </c>
      <c r="L310" s="35">
        <v>12600846.720000001</v>
      </c>
      <c r="M310" s="36">
        <v>1600</v>
      </c>
      <c r="N310" s="40">
        <v>22254.5900920649</v>
      </c>
      <c r="O310" s="40">
        <v>28992.406839105701</v>
      </c>
      <c r="P310" s="40">
        <v>12981.814993423901</v>
      </c>
      <c r="Q310" s="40">
        <v>6965.9973695747503</v>
      </c>
      <c r="R310" s="40">
        <v>99210.1657167909</v>
      </c>
      <c r="S310" s="40">
        <v>24856.1858833845</v>
      </c>
      <c r="T310" s="37">
        <v>30000</v>
      </c>
      <c r="U310" s="40">
        <v>352410.34633932501</v>
      </c>
      <c r="V310" s="40">
        <v>93643.138974134097</v>
      </c>
      <c r="W310" s="45">
        <v>671314.64620780398</v>
      </c>
      <c r="X310" s="46">
        <v>5.3275360071025704</v>
      </c>
    </row>
    <row r="311" spans="1:24" s="4" customFormat="1" ht="15" customHeight="1">
      <c r="A311" s="28" t="s">
        <v>647</v>
      </c>
      <c r="B311" s="29">
        <v>3125.21</v>
      </c>
      <c r="C311" s="30" t="s">
        <v>1058</v>
      </c>
      <c r="D311" s="2">
        <v>4948242156</v>
      </c>
      <c r="E311" s="2" t="s">
        <v>14</v>
      </c>
      <c r="F311" s="2" t="s">
        <v>1059</v>
      </c>
      <c r="G311" s="28" t="s">
        <v>5</v>
      </c>
      <c r="H311" s="2" t="s">
        <v>17</v>
      </c>
      <c r="I311" s="2">
        <v>1</v>
      </c>
      <c r="J311" s="2" t="s">
        <v>1060</v>
      </c>
      <c r="K311" s="2">
        <v>2454</v>
      </c>
      <c r="L311" s="35">
        <v>7669265.3399999999</v>
      </c>
      <c r="M311" s="36">
        <v>600</v>
      </c>
      <c r="N311" s="40">
        <v>8345.4712845243303</v>
      </c>
      <c r="O311" s="40">
        <v>10872.152564664601</v>
      </c>
      <c r="P311" s="40">
        <v>4868.1806225339797</v>
      </c>
      <c r="Q311" s="40">
        <v>2612.24901359053</v>
      </c>
      <c r="R311" s="40">
        <v>37204.312143796597</v>
      </c>
      <c r="S311" s="40">
        <v>9321.0697062691797</v>
      </c>
      <c r="T311" s="37">
        <v>30000</v>
      </c>
      <c r="U311" s="40">
        <v>132153.879877247</v>
      </c>
      <c r="V311" s="40">
        <v>35116.177115300299</v>
      </c>
      <c r="W311" s="45">
        <v>270493.49232792697</v>
      </c>
      <c r="X311" s="46">
        <v>3.52698049077966</v>
      </c>
    </row>
    <row r="312" spans="1:24" s="4" customFormat="1" ht="15" customHeight="1">
      <c r="A312" s="28" t="s">
        <v>647</v>
      </c>
      <c r="B312" s="29">
        <v>3125.21</v>
      </c>
      <c r="C312" s="30" t="s">
        <v>1058</v>
      </c>
      <c r="D312" s="2">
        <v>4948242156</v>
      </c>
      <c r="E312" s="2" t="s">
        <v>14</v>
      </c>
      <c r="F312" s="2" t="s">
        <v>1059</v>
      </c>
      <c r="G312" s="28" t="s">
        <v>5</v>
      </c>
      <c r="H312" s="2" t="s">
        <v>17</v>
      </c>
      <c r="I312" s="2">
        <v>1</v>
      </c>
      <c r="J312" s="2" t="s">
        <v>1060</v>
      </c>
      <c r="K312" s="2">
        <v>1518</v>
      </c>
      <c r="L312" s="35">
        <v>4744068.78</v>
      </c>
      <c r="M312" s="36">
        <v>300</v>
      </c>
      <c r="N312" s="40">
        <v>4172.7356422621697</v>
      </c>
      <c r="O312" s="40">
        <v>5436.0762823323103</v>
      </c>
      <c r="P312" s="40">
        <v>2434.0903112669898</v>
      </c>
      <c r="Q312" s="40">
        <v>1306.12450679527</v>
      </c>
      <c r="R312" s="40">
        <v>18602.156071898298</v>
      </c>
      <c r="S312" s="40">
        <v>4660.5348531345899</v>
      </c>
      <c r="T312" s="37">
        <v>30000</v>
      </c>
      <c r="U312" s="40">
        <v>66076.9399386234</v>
      </c>
      <c r="V312" s="40">
        <v>17558.088557650201</v>
      </c>
      <c r="W312" s="45">
        <v>150246.74616396299</v>
      </c>
      <c r="X312" s="46">
        <v>3.1670440107734499</v>
      </c>
    </row>
    <row r="313" spans="1:24" s="4" customFormat="1" ht="15" customHeight="1">
      <c r="A313" s="28" t="s">
        <v>647</v>
      </c>
      <c r="B313" s="29">
        <v>3125.21</v>
      </c>
      <c r="C313" s="30" t="s">
        <v>1058</v>
      </c>
      <c r="D313" s="2">
        <v>4948210656</v>
      </c>
      <c r="E313" s="2" t="s">
        <v>14</v>
      </c>
      <c r="F313" s="2" t="s">
        <v>1059</v>
      </c>
      <c r="G313" s="28" t="s">
        <v>5</v>
      </c>
      <c r="H313" s="2" t="s">
        <v>17</v>
      </c>
      <c r="I313" s="2">
        <v>1</v>
      </c>
      <c r="J313" s="2" t="s">
        <v>1060</v>
      </c>
      <c r="K313" s="2">
        <v>7884</v>
      </c>
      <c r="L313" s="35">
        <v>24639155.640000001</v>
      </c>
      <c r="M313" s="36">
        <v>3600</v>
      </c>
      <c r="N313" s="40">
        <v>50072.827707146003</v>
      </c>
      <c r="O313" s="40">
        <v>65232.915387987698</v>
      </c>
      <c r="P313" s="40">
        <v>29209.083735203902</v>
      </c>
      <c r="Q313" s="40">
        <v>15673.4940815432</v>
      </c>
      <c r="R313" s="40">
        <v>223222.87286277901</v>
      </c>
      <c r="S313" s="40">
        <v>55926.4182376151</v>
      </c>
      <c r="T313" s="37">
        <v>30000</v>
      </c>
      <c r="U313" s="40">
        <v>792923.27926348103</v>
      </c>
      <c r="V313" s="40">
        <v>210697.06269180201</v>
      </c>
      <c r="W313" s="45">
        <v>1472957.9539675601</v>
      </c>
      <c r="X313" s="46">
        <v>5.9781186315342296</v>
      </c>
    </row>
    <row r="314" spans="1:24" s="4" customFormat="1" ht="15" customHeight="1">
      <c r="A314" s="28" t="s">
        <v>647</v>
      </c>
      <c r="B314" s="29">
        <v>3125.21</v>
      </c>
      <c r="C314" s="30" t="s">
        <v>1058</v>
      </c>
      <c r="D314" s="2">
        <v>4948208980</v>
      </c>
      <c r="E314" s="2" t="s">
        <v>14</v>
      </c>
      <c r="F314" s="2" t="s">
        <v>1059</v>
      </c>
      <c r="G314" s="28" t="s">
        <v>5</v>
      </c>
      <c r="H314" s="2" t="s">
        <v>17</v>
      </c>
      <c r="I314" s="2">
        <v>1</v>
      </c>
      <c r="J314" s="2" t="s">
        <v>1060</v>
      </c>
      <c r="K314" s="2">
        <v>2025</v>
      </c>
      <c r="L314" s="35">
        <v>6328550.25</v>
      </c>
      <c r="M314" s="36">
        <v>500</v>
      </c>
      <c r="N314" s="40">
        <v>6954.5594037702804</v>
      </c>
      <c r="O314" s="40">
        <v>9060.1271372205192</v>
      </c>
      <c r="P314" s="40">
        <v>4056.8171854449802</v>
      </c>
      <c r="Q314" s="40">
        <v>2176.8741779921102</v>
      </c>
      <c r="R314" s="40">
        <v>31002.926786497101</v>
      </c>
      <c r="S314" s="40">
        <v>7767.5580885576501</v>
      </c>
      <c r="T314" s="37">
        <v>30000</v>
      </c>
      <c r="U314" s="40">
        <v>110128.233231039</v>
      </c>
      <c r="V314" s="40">
        <v>29263.480929416899</v>
      </c>
      <c r="W314" s="45">
        <v>230410.576939939</v>
      </c>
      <c r="X314" s="46">
        <v>3.6408113681318799</v>
      </c>
    </row>
    <row r="315" spans="1:24" s="4" customFormat="1" ht="15" customHeight="1">
      <c r="A315" s="28" t="s">
        <v>647</v>
      </c>
      <c r="B315" s="29">
        <v>3125.21</v>
      </c>
      <c r="C315" s="30" t="s">
        <v>1058</v>
      </c>
      <c r="D315" s="2">
        <v>4948210657</v>
      </c>
      <c r="E315" s="2" t="s">
        <v>14</v>
      </c>
      <c r="F315" s="2" t="s">
        <v>1059</v>
      </c>
      <c r="G315" s="28" t="s">
        <v>5</v>
      </c>
      <c r="H315" s="2" t="s">
        <v>17</v>
      </c>
      <c r="I315" s="2">
        <v>1</v>
      </c>
      <c r="J315" s="2" t="s">
        <v>1060</v>
      </c>
      <c r="K315" s="2">
        <v>10710</v>
      </c>
      <c r="L315" s="35">
        <v>33470999.100000001</v>
      </c>
      <c r="M315" s="36">
        <v>4500</v>
      </c>
      <c r="N315" s="40">
        <v>62591.034633932497</v>
      </c>
      <c r="O315" s="40">
        <v>81541.144234984706</v>
      </c>
      <c r="P315" s="40">
        <v>36511.354669004802</v>
      </c>
      <c r="Q315" s="40">
        <v>19591.867601929</v>
      </c>
      <c r="R315" s="40">
        <v>279029.34107847401</v>
      </c>
      <c r="S315" s="40">
        <v>69908.022797018901</v>
      </c>
      <c r="T315" s="37">
        <v>30000</v>
      </c>
      <c r="U315" s="40">
        <v>991154.09907935106</v>
      </c>
      <c r="V315" s="40">
        <v>263371.328364752</v>
      </c>
      <c r="W315" s="45">
        <v>1833698.1924594501</v>
      </c>
      <c r="X315" s="46">
        <v>5.4784686497734301</v>
      </c>
    </row>
    <row r="316" spans="1:24" s="4" customFormat="1" ht="15" customHeight="1">
      <c r="A316" s="28" t="s">
        <v>647</v>
      </c>
      <c r="B316" s="29">
        <v>3125.21</v>
      </c>
      <c r="C316" s="30" t="s">
        <v>1058</v>
      </c>
      <c r="D316" s="2">
        <v>4947917126</v>
      </c>
      <c r="E316" s="2" t="s">
        <v>14</v>
      </c>
      <c r="F316" s="2" t="s">
        <v>1059</v>
      </c>
      <c r="G316" s="28" t="s">
        <v>5</v>
      </c>
      <c r="H316" s="2" t="s">
        <v>17</v>
      </c>
      <c r="I316" s="2">
        <v>1</v>
      </c>
      <c r="J316" s="2" t="s">
        <v>1060</v>
      </c>
      <c r="K316" s="2">
        <v>6732</v>
      </c>
      <c r="L316" s="35">
        <v>21038913.719999999</v>
      </c>
      <c r="M316" s="36">
        <v>1800</v>
      </c>
      <c r="N316" s="40">
        <v>25036.413853573002</v>
      </c>
      <c r="O316" s="40">
        <v>32616.4576939939</v>
      </c>
      <c r="P316" s="40">
        <v>14604.5418676019</v>
      </c>
      <c r="Q316" s="40">
        <v>7836.74704077159</v>
      </c>
      <c r="R316" s="40">
        <v>111611.93643139</v>
      </c>
      <c r="S316" s="40">
        <v>27963.209118807499</v>
      </c>
      <c r="T316" s="37">
        <v>30000</v>
      </c>
      <c r="U316" s="40">
        <v>396461.63963173999</v>
      </c>
      <c r="V316" s="40">
        <v>105348.53134590101</v>
      </c>
      <c r="W316" s="45">
        <v>751479.47698377899</v>
      </c>
      <c r="X316" s="46">
        <v>3.5718549302733602</v>
      </c>
    </row>
    <row r="317" spans="1:24" s="4" customFormat="1" ht="15" customHeight="1">
      <c r="A317" s="28" t="s">
        <v>647</v>
      </c>
      <c r="B317" s="29">
        <v>3125.21</v>
      </c>
      <c r="C317" s="30" t="s">
        <v>1058</v>
      </c>
      <c r="D317" s="2">
        <v>4947774256</v>
      </c>
      <c r="E317" s="2" t="s">
        <v>14</v>
      </c>
      <c r="F317" s="2" t="s">
        <v>1059</v>
      </c>
      <c r="G317" s="28" t="s">
        <v>5</v>
      </c>
      <c r="H317" s="2" t="s">
        <v>17</v>
      </c>
      <c r="I317" s="2">
        <v>1</v>
      </c>
      <c r="J317" s="2" t="s">
        <v>1060</v>
      </c>
      <c r="K317" s="2">
        <v>2884</v>
      </c>
      <c r="L317" s="35">
        <v>9013105.6400000006</v>
      </c>
      <c r="M317" s="36">
        <v>700</v>
      </c>
      <c r="N317" s="40">
        <v>9736.3831652783902</v>
      </c>
      <c r="O317" s="40">
        <v>12684.1779921087</v>
      </c>
      <c r="P317" s="40">
        <v>5679.5440596229701</v>
      </c>
      <c r="Q317" s="40">
        <v>3047.6238491889499</v>
      </c>
      <c r="R317" s="40">
        <v>43404.697501096001</v>
      </c>
      <c r="S317" s="40">
        <v>10874.581323980699</v>
      </c>
      <c r="T317" s="37">
        <v>30000</v>
      </c>
      <c r="U317" s="40">
        <v>154179.52652345499</v>
      </c>
      <c r="V317" s="40">
        <v>40968.873301183703</v>
      </c>
      <c r="W317" s="45">
        <v>310575.40771591401</v>
      </c>
      <c r="X317" s="46">
        <v>3.4458201215082398</v>
      </c>
    </row>
    <row r="318" spans="1:24" s="4" customFormat="1" ht="15" customHeight="1">
      <c r="A318" s="28" t="s">
        <v>647</v>
      </c>
      <c r="B318" s="29">
        <v>3125.21</v>
      </c>
      <c r="C318" s="30" t="s">
        <v>1058</v>
      </c>
      <c r="D318" s="2">
        <v>4947774256</v>
      </c>
      <c r="E318" s="2" t="s">
        <v>14</v>
      </c>
      <c r="F318" s="2" t="s">
        <v>1059</v>
      </c>
      <c r="G318" s="28" t="s">
        <v>5</v>
      </c>
      <c r="H318" s="2" t="s">
        <v>17</v>
      </c>
      <c r="I318" s="2">
        <v>1</v>
      </c>
      <c r="J318" s="2" t="s">
        <v>1060</v>
      </c>
      <c r="K318" s="2">
        <v>1860.6</v>
      </c>
      <c r="L318" s="35">
        <v>5814765.7259999998</v>
      </c>
      <c r="M318" s="36">
        <v>420</v>
      </c>
      <c r="N318" s="40">
        <v>5841.8298991670299</v>
      </c>
      <c r="O318" s="40">
        <v>7610.5067952652398</v>
      </c>
      <c r="P318" s="40">
        <v>3407.7264357737799</v>
      </c>
      <c r="Q318" s="40">
        <v>1828.5743095133701</v>
      </c>
      <c r="R318" s="40">
        <v>26042.818500657599</v>
      </c>
      <c r="S318" s="40">
        <v>6524.7487943884298</v>
      </c>
      <c r="T318" s="37">
        <v>30000</v>
      </c>
      <c r="U318" s="40">
        <v>92507.715914072804</v>
      </c>
      <c r="V318" s="40">
        <v>24581.3239807102</v>
      </c>
      <c r="W318" s="45">
        <v>198345.24462954799</v>
      </c>
      <c r="X318" s="46">
        <v>3.4110616656948398</v>
      </c>
    </row>
    <row r="319" spans="1:24" s="4" customFormat="1" ht="15" customHeight="1">
      <c r="A319" s="28" t="s">
        <v>647</v>
      </c>
      <c r="B319" s="29">
        <v>3125.21</v>
      </c>
      <c r="C319" s="30" t="s">
        <v>1058</v>
      </c>
      <c r="D319" s="2">
        <v>4948242163</v>
      </c>
      <c r="E319" s="2" t="s">
        <v>14</v>
      </c>
      <c r="F319" s="2" t="s">
        <v>1059</v>
      </c>
      <c r="G319" s="28" t="s">
        <v>5</v>
      </c>
      <c r="H319" s="2" t="s">
        <v>17</v>
      </c>
      <c r="I319" s="2">
        <v>1</v>
      </c>
      <c r="J319" s="2" t="s">
        <v>1060</v>
      </c>
      <c r="K319" s="2">
        <v>116.7</v>
      </c>
      <c r="L319" s="35">
        <v>364712.00699999998</v>
      </c>
      <c r="M319" s="36">
        <v>10</v>
      </c>
      <c r="N319" s="40">
        <v>139.091188075406</v>
      </c>
      <c r="O319" s="40">
        <v>181.20254274441001</v>
      </c>
      <c r="P319" s="40">
        <v>81.136343708899602</v>
      </c>
      <c r="Q319" s="40">
        <v>43.537483559842201</v>
      </c>
      <c r="R319" s="40">
        <v>620.13853572994299</v>
      </c>
      <c r="S319" s="40">
        <v>155.35116177115299</v>
      </c>
      <c r="T319" s="37">
        <v>30000</v>
      </c>
      <c r="U319" s="40">
        <v>2202.5646646207801</v>
      </c>
      <c r="V319" s="40">
        <v>585.26961858833897</v>
      </c>
      <c r="W319" s="45">
        <v>34008.291538798803</v>
      </c>
      <c r="X319" s="46">
        <v>9.3246975383507902</v>
      </c>
    </row>
    <row r="320" spans="1:24" s="4" customFormat="1" ht="15" customHeight="1">
      <c r="A320" s="28" t="s">
        <v>647</v>
      </c>
      <c r="B320" s="29">
        <v>3125.21</v>
      </c>
      <c r="C320" s="30" t="s">
        <v>1058</v>
      </c>
      <c r="D320" s="2">
        <v>4947917126</v>
      </c>
      <c r="E320" s="2" t="s">
        <v>14</v>
      </c>
      <c r="F320" s="2" t="s">
        <v>1059</v>
      </c>
      <c r="G320" s="28" t="s">
        <v>5</v>
      </c>
      <c r="H320" s="2" t="s">
        <v>17</v>
      </c>
      <c r="I320" s="2">
        <v>1</v>
      </c>
      <c r="J320" s="2" t="s">
        <v>1060</v>
      </c>
      <c r="K320" s="2">
        <v>7624</v>
      </c>
      <c r="L320" s="35">
        <v>23826601.039999999</v>
      </c>
      <c r="M320" s="36">
        <v>800</v>
      </c>
      <c r="N320" s="40">
        <v>11127.295046032399</v>
      </c>
      <c r="O320" s="40">
        <v>14496.203419552799</v>
      </c>
      <c r="P320" s="40">
        <v>6490.9074967119705</v>
      </c>
      <c r="Q320" s="40">
        <v>3482.9986847873702</v>
      </c>
      <c r="R320" s="40">
        <v>49605.082858395399</v>
      </c>
      <c r="S320" s="40">
        <v>12428.092941692201</v>
      </c>
      <c r="T320" s="37">
        <v>30000</v>
      </c>
      <c r="U320" s="40">
        <v>176205.17316966201</v>
      </c>
      <c r="V320" s="40">
        <v>46821.5694870671</v>
      </c>
      <c r="W320" s="45">
        <v>350657.323103901</v>
      </c>
      <c r="X320" s="46">
        <v>1.4717051857930501</v>
      </c>
    </row>
    <row r="321" spans="1:24" s="4" customFormat="1" ht="15" customHeight="1">
      <c r="A321" s="28" t="s">
        <v>647</v>
      </c>
      <c r="B321" s="29">
        <v>3125.21</v>
      </c>
      <c r="C321" s="30" t="s">
        <v>1069</v>
      </c>
      <c r="D321" s="2">
        <v>4948242175</v>
      </c>
      <c r="E321" s="2" t="s">
        <v>14</v>
      </c>
      <c r="F321" s="78" t="s">
        <v>1070</v>
      </c>
      <c r="G321" s="28" t="s">
        <v>5</v>
      </c>
      <c r="H321" s="2" t="s">
        <v>17</v>
      </c>
      <c r="I321" s="2">
        <v>1</v>
      </c>
      <c r="J321" s="2" t="s">
        <v>1071</v>
      </c>
      <c r="K321" s="2">
        <v>1780.8</v>
      </c>
      <c r="L321" s="35">
        <v>5565373.9680000003</v>
      </c>
      <c r="M321" s="36">
        <v>420</v>
      </c>
      <c r="N321" s="40">
        <v>10636.471482889699</v>
      </c>
      <c r="O321" s="40">
        <v>9429.4220532319396</v>
      </c>
      <c r="P321" s="40">
        <v>3426.38783269962</v>
      </c>
      <c r="Q321" s="40">
        <v>2265.6045627376402</v>
      </c>
      <c r="R321" s="40">
        <v>17085.821292775701</v>
      </c>
      <c r="S321" s="40">
        <v>8084.1673003802298</v>
      </c>
      <c r="T321" s="37">
        <v>30000</v>
      </c>
      <c r="U321" s="40">
        <v>113510.646387833</v>
      </c>
      <c r="V321" s="40">
        <v>0</v>
      </c>
      <c r="W321" s="45">
        <v>194438.520912548</v>
      </c>
      <c r="X321" s="46">
        <v>3.4937188773034502</v>
      </c>
    </row>
    <row r="322" spans="1:24" s="4" customFormat="1" ht="15" customHeight="1">
      <c r="A322" s="28" t="s">
        <v>647</v>
      </c>
      <c r="B322" s="29">
        <v>3125.21</v>
      </c>
      <c r="C322" s="30" t="s">
        <v>1069</v>
      </c>
      <c r="D322" s="2">
        <v>4948540100</v>
      </c>
      <c r="E322" s="2" t="s">
        <v>14</v>
      </c>
      <c r="F322" s="78" t="s">
        <v>1070</v>
      </c>
      <c r="G322" s="28" t="s">
        <v>5</v>
      </c>
      <c r="H322" s="2" t="s">
        <v>17</v>
      </c>
      <c r="I322" s="2">
        <v>1</v>
      </c>
      <c r="J322" s="2" t="s">
        <v>1071</v>
      </c>
      <c r="K322" s="2">
        <v>1162.5</v>
      </c>
      <c r="L322" s="35">
        <v>3633056.625</v>
      </c>
      <c r="M322" s="36">
        <v>375</v>
      </c>
      <c r="N322" s="40">
        <v>9496.8495382944093</v>
      </c>
      <c r="O322" s="40">
        <v>8419.1268332428008</v>
      </c>
      <c r="P322" s="40">
        <v>3059.2748506246598</v>
      </c>
      <c r="Q322" s="40">
        <v>2022.86121673004</v>
      </c>
      <c r="R322" s="40">
        <v>15255.090439978299</v>
      </c>
      <c r="S322" s="40">
        <v>7218.0065181966302</v>
      </c>
      <c r="T322" s="37">
        <v>30000</v>
      </c>
      <c r="U322" s="40">
        <v>101348.79141770799</v>
      </c>
      <c r="V322" s="40">
        <v>0</v>
      </c>
      <c r="W322" s="45">
        <v>176820.000814775</v>
      </c>
      <c r="X322" s="46">
        <v>4.8669761874348696</v>
      </c>
    </row>
    <row r="323" spans="1:24" s="4" customFormat="1" ht="15" customHeight="1">
      <c r="A323" s="28" t="s">
        <v>647</v>
      </c>
      <c r="B323" s="29">
        <v>3125.21</v>
      </c>
      <c r="C323" s="30" t="s">
        <v>1069</v>
      </c>
      <c r="D323" s="2">
        <v>4948063394</v>
      </c>
      <c r="E323" s="2" t="s">
        <v>14</v>
      </c>
      <c r="F323" s="2" t="s">
        <v>1070</v>
      </c>
      <c r="G323" s="28" t="s">
        <v>5</v>
      </c>
      <c r="H323" s="2" t="s">
        <v>17</v>
      </c>
      <c r="I323" s="2">
        <v>1</v>
      </c>
      <c r="J323" s="2" t="s">
        <v>1071</v>
      </c>
      <c r="K323" s="2">
        <v>12248.5</v>
      </c>
      <c r="L323" s="35">
        <v>38279134.685000002</v>
      </c>
      <c r="M323" s="36">
        <v>6300</v>
      </c>
      <c r="N323" s="40">
        <v>159547.07224334599</v>
      </c>
      <c r="O323" s="40">
        <v>141441.330798479</v>
      </c>
      <c r="P323" s="40">
        <v>51395.817490494301</v>
      </c>
      <c r="Q323" s="40">
        <v>33984.068441064599</v>
      </c>
      <c r="R323" s="40">
        <v>256283.31939163501</v>
      </c>
      <c r="S323" s="40">
        <v>121262.509505703</v>
      </c>
      <c r="T323" s="37">
        <v>30000</v>
      </c>
      <c r="U323" s="40">
        <v>1702659.6958174901</v>
      </c>
      <c r="V323" s="40">
        <v>0</v>
      </c>
      <c r="W323" s="45">
        <v>2496573.8136882102</v>
      </c>
      <c r="X323" s="46">
        <v>6.5220225959457601</v>
      </c>
    </row>
    <row r="324" spans="1:24" s="4" customFormat="1" ht="15" customHeight="1">
      <c r="A324" s="28" t="s">
        <v>647</v>
      </c>
      <c r="B324" s="29">
        <v>3125.21</v>
      </c>
      <c r="C324" s="30" t="s">
        <v>1069</v>
      </c>
      <c r="D324" s="2">
        <v>4948242199</v>
      </c>
      <c r="E324" s="2" t="s">
        <v>14</v>
      </c>
      <c r="F324" s="78" t="s">
        <v>1070</v>
      </c>
      <c r="G324" s="28" t="s">
        <v>5</v>
      </c>
      <c r="H324" s="2" t="s">
        <v>17</v>
      </c>
      <c r="I324" s="2">
        <v>1</v>
      </c>
      <c r="J324" s="2" t="s">
        <v>1071</v>
      </c>
      <c r="K324" s="2">
        <v>8300.25</v>
      </c>
      <c r="L324" s="35">
        <v>25940024.302499998</v>
      </c>
      <c r="M324" s="36">
        <v>1575</v>
      </c>
      <c r="N324" s="40">
        <v>39886.768060836497</v>
      </c>
      <c r="O324" s="40">
        <v>35360.332699619801</v>
      </c>
      <c r="P324" s="40">
        <v>12848.954372623601</v>
      </c>
      <c r="Q324" s="40">
        <v>8496.0171102661607</v>
      </c>
      <c r="R324" s="40">
        <v>64070.579847908703</v>
      </c>
      <c r="S324" s="40">
        <v>30315.627376425899</v>
      </c>
      <c r="T324" s="37">
        <v>30000</v>
      </c>
      <c r="U324" s="40">
        <v>425664.92395437299</v>
      </c>
      <c r="V324" s="40">
        <v>0</v>
      </c>
      <c r="W324" s="45">
        <v>646643.20342205395</v>
      </c>
      <c r="X324" s="46">
        <v>2.4928396206619299</v>
      </c>
    </row>
    <row r="325" spans="1:24" s="4" customFormat="1" ht="15" customHeight="1">
      <c r="A325" s="28" t="s">
        <v>647</v>
      </c>
      <c r="B325" s="29">
        <v>3125.21</v>
      </c>
      <c r="C325" s="30" t="s">
        <v>1069</v>
      </c>
      <c r="D325" s="2">
        <v>4948243006</v>
      </c>
      <c r="E325" s="2" t="s">
        <v>14</v>
      </c>
      <c r="F325" s="78" t="s">
        <v>1070</v>
      </c>
      <c r="G325" s="28" t="s">
        <v>5</v>
      </c>
      <c r="H325" s="2" t="s">
        <v>17</v>
      </c>
      <c r="I325" s="2">
        <v>1</v>
      </c>
      <c r="J325" s="2" t="s">
        <v>1071</v>
      </c>
      <c r="K325" s="2">
        <v>23777.599999999999</v>
      </c>
      <c r="L325" s="35">
        <v>74309993.296000004</v>
      </c>
      <c r="M325" s="36">
        <v>6160</v>
      </c>
      <c r="N325" s="40">
        <v>156001.58174904899</v>
      </c>
      <c r="O325" s="40">
        <v>138298.19011406801</v>
      </c>
      <c r="P325" s="40">
        <v>50253.688212927802</v>
      </c>
      <c r="Q325" s="40">
        <v>33228.866920152097</v>
      </c>
      <c r="R325" s="40">
        <v>250588.04562737601</v>
      </c>
      <c r="S325" s="40">
        <v>118567.78707224299</v>
      </c>
      <c r="T325" s="37">
        <v>30000</v>
      </c>
      <c r="U325" s="40">
        <v>1664822.81368821</v>
      </c>
      <c r="V325" s="40">
        <v>0</v>
      </c>
      <c r="W325" s="45">
        <v>2441760.9733840302</v>
      </c>
      <c r="X325" s="46">
        <v>3.2859119817945999</v>
      </c>
    </row>
    <row r="326" spans="1:24" s="4" customFormat="1" ht="15" customHeight="1">
      <c r="A326" s="28" t="s">
        <v>647</v>
      </c>
      <c r="B326" s="29">
        <v>3125.21</v>
      </c>
      <c r="C326" s="30" t="s">
        <v>1069</v>
      </c>
      <c r="D326" s="2">
        <v>4948494947</v>
      </c>
      <c r="E326" s="2" t="s">
        <v>14</v>
      </c>
      <c r="F326" s="2" t="s">
        <v>1070</v>
      </c>
      <c r="G326" s="28" t="s">
        <v>5</v>
      </c>
      <c r="H326" s="2" t="s">
        <v>17</v>
      </c>
      <c r="I326" s="2">
        <v>1</v>
      </c>
      <c r="J326" s="2" t="s">
        <v>1071</v>
      </c>
      <c r="K326" s="2">
        <v>2772</v>
      </c>
      <c r="L326" s="35">
        <v>8663082.1199999992</v>
      </c>
      <c r="M326" s="36">
        <v>900</v>
      </c>
      <c r="N326" s="40">
        <v>22792.4388919066</v>
      </c>
      <c r="O326" s="40">
        <v>20205.904399782699</v>
      </c>
      <c r="P326" s="40">
        <v>7342.2596414991804</v>
      </c>
      <c r="Q326" s="40">
        <v>4854.8669201520897</v>
      </c>
      <c r="R326" s="40">
        <v>36611.6170559479</v>
      </c>
      <c r="S326" s="40">
        <v>17323.215643671901</v>
      </c>
      <c r="T326" s="37">
        <v>30000</v>
      </c>
      <c r="U326" s="40">
        <v>243237.09940249901</v>
      </c>
      <c r="V326" s="40">
        <v>0</v>
      </c>
      <c r="W326" s="45">
        <v>382367.40195545898</v>
      </c>
      <c r="X326" s="46">
        <v>4.41375709775056</v>
      </c>
    </row>
    <row r="327" spans="1:24" s="4" customFormat="1" ht="15" customHeight="1">
      <c r="A327" s="28" t="s">
        <v>647</v>
      </c>
      <c r="B327" s="29">
        <v>3125.21</v>
      </c>
      <c r="C327" s="30" t="s">
        <v>1069</v>
      </c>
      <c r="D327" s="2">
        <v>4948411918</v>
      </c>
      <c r="E327" s="2" t="s">
        <v>14</v>
      </c>
      <c r="F327" s="2" t="s">
        <v>1070</v>
      </c>
      <c r="G327" s="28" t="s">
        <v>5</v>
      </c>
      <c r="H327" s="2" t="s">
        <v>17</v>
      </c>
      <c r="I327" s="2">
        <v>1</v>
      </c>
      <c r="J327" s="2" t="s">
        <v>1071</v>
      </c>
      <c r="K327" s="2">
        <v>2397.6</v>
      </c>
      <c r="L327" s="35">
        <v>7493003.4960000003</v>
      </c>
      <c r="M327" s="36">
        <v>400</v>
      </c>
      <c r="N327" s="40">
        <v>10129.9728408474</v>
      </c>
      <c r="O327" s="40">
        <v>8980.4019554589904</v>
      </c>
      <c r="P327" s="40">
        <v>3263.22650733297</v>
      </c>
      <c r="Q327" s="40">
        <v>2157.71863117871</v>
      </c>
      <c r="R327" s="40">
        <v>16271.496469310199</v>
      </c>
      <c r="S327" s="40">
        <v>7699.2069527430704</v>
      </c>
      <c r="T327" s="37">
        <v>30000</v>
      </c>
      <c r="U327" s="40">
        <v>108105.377512222</v>
      </c>
      <c r="V327" s="40">
        <v>0</v>
      </c>
      <c r="W327" s="45">
        <v>186607.40086909299</v>
      </c>
      <c r="X327" s="46">
        <v>2.4904219111696699</v>
      </c>
    </row>
    <row r="328" spans="1:24" s="4" customFormat="1" ht="15" customHeight="1">
      <c r="A328" s="28" t="s">
        <v>647</v>
      </c>
      <c r="B328" s="29">
        <v>3125.21</v>
      </c>
      <c r="C328" s="30" t="s">
        <v>1069</v>
      </c>
      <c r="D328" s="2">
        <v>4948411918</v>
      </c>
      <c r="E328" s="2" t="s">
        <v>14</v>
      </c>
      <c r="F328" s="2" t="s">
        <v>1070</v>
      </c>
      <c r="G328" s="28" t="s">
        <v>5</v>
      </c>
      <c r="H328" s="2" t="s">
        <v>17</v>
      </c>
      <c r="I328" s="2">
        <v>1</v>
      </c>
      <c r="J328" s="2" t="s">
        <v>1071</v>
      </c>
      <c r="K328" s="2">
        <v>4468.2</v>
      </c>
      <c r="L328" s="35">
        <v>13964063.322000001</v>
      </c>
      <c r="M328" s="36">
        <v>660</v>
      </c>
      <c r="N328" s="40">
        <v>16714.455187398202</v>
      </c>
      <c r="O328" s="40">
        <v>14817.6632265073</v>
      </c>
      <c r="P328" s="40">
        <v>5384.3237370994002</v>
      </c>
      <c r="Q328" s="40">
        <v>3560.2357414448702</v>
      </c>
      <c r="R328" s="40">
        <v>26848.719174361799</v>
      </c>
      <c r="S328" s="40">
        <v>12703.691472026099</v>
      </c>
      <c r="T328" s="37">
        <v>30000</v>
      </c>
      <c r="U328" s="40">
        <v>178373.87289516599</v>
      </c>
      <c r="V328" s="40">
        <v>0</v>
      </c>
      <c r="W328" s="45">
        <v>288402.96143400401</v>
      </c>
      <c r="X328" s="46">
        <v>2.0653226412947601</v>
      </c>
    </row>
    <row r="329" spans="1:24" s="4" customFormat="1" ht="15" customHeight="1">
      <c r="A329" s="28" t="s">
        <v>647</v>
      </c>
      <c r="B329" s="29">
        <v>3125.21</v>
      </c>
      <c r="C329" s="30" t="s">
        <v>1069</v>
      </c>
      <c r="D329" s="2">
        <v>4948116379</v>
      </c>
      <c r="E329" s="2" t="s">
        <v>14</v>
      </c>
      <c r="F329" s="2" t="s">
        <v>1070</v>
      </c>
      <c r="G329" s="28" t="s">
        <v>5</v>
      </c>
      <c r="H329" s="2" t="s">
        <v>17</v>
      </c>
      <c r="I329" s="2">
        <v>1</v>
      </c>
      <c r="J329" s="2" t="s">
        <v>1071</v>
      </c>
      <c r="K329" s="2">
        <v>8877.6</v>
      </c>
      <c r="L329" s="35">
        <v>27744364.296</v>
      </c>
      <c r="M329" s="36">
        <v>1620</v>
      </c>
      <c r="N329" s="40">
        <v>41026.3900054318</v>
      </c>
      <c r="O329" s="40">
        <v>36370.627919608902</v>
      </c>
      <c r="P329" s="40">
        <v>13216.0673546985</v>
      </c>
      <c r="Q329" s="40">
        <v>8738.7604562737706</v>
      </c>
      <c r="R329" s="40">
        <v>65901.310700706104</v>
      </c>
      <c r="S329" s="40">
        <v>31181.788158609499</v>
      </c>
      <c r="T329" s="37">
        <v>30000</v>
      </c>
      <c r="U329" s="40">
        <v>437826.77892449801</v>
      </c>
      <c r="V329" s="40">
        <v>0</v>
      </c>
      <c r="W329" s="45">
        <v>664261.72351982701</v>
      </c>
      <c r="X329" s="46">
        <v>2.3942221794413099</v>
      </c>
    </row>
    <row r="330" spans="1:24" s="4" customFormat="1" ht="15" customHeight="1">
      <c r="A330" s="28" t="s">
        <v>647</v>
      </c>
      <c r="B330" s="29">
        <v>3125.21</v>
      </c>
      <c r="C330" s="30" t="s">
        <v>1085</v>
      </c>
      <c r="D330" s="2">
        <v>4948495730</v>
      </c>
      <c r="E330" s="2" t="s">
        <v>14</v>
      </c>
      <c r="F330" s="2" t="s">
        <v>1086</v>
      </c>
      <c r="G330" s="28" t="s">
        <v>9</v>
      </c>
      <c r="H330" s="2" t="s">
        <v>23</v>
      </c>
      <c r="I330" s="2">
        <v>3</v>
      </c>
      <c r="J330" s="2"/>
      <c r="K330" s="2">
        <v>6732</v>
      </c>
      <c r="L330" s="35">
        <v>21038913.719999999</v>
      </c>
      <c r="M330" s="36">
        <v>1800</v>
      </c>
      <c r="N330" s="40">
        <v>376613</v>
      </c>
      <c r="O330" s="40">
        <v>1199</v>
      </c>
      <c r="P330" s="40">
        <v>18647</v>
      </c>
      <c r="Q330" s="40">
        <v>29385</v>
      </c>
      <c r="R330" s="40">
        <v>112947</v>
      </c>
      <c r="S330" s="40">
        <v>354356</v>
      </c>
      <c r="T330" s="37">
        <v>30000</v>
      </c>
      <c r="U330" s="40">
        <v>858034.28571428603</v>
      </c>
      <c r="V330" s="40">
        <v>0</v>
      </c>
      <c r="W330" s="45">
        <v>1781181.2857142901</v>
      </c>
      <c r="X330" s="46">
        <v>8.4661276215086207</v>
      </c>
    </row>
    <row r="331" spans="1:24" s="4" customFormat="1" ht="15" customHeight="1">
      <c r="A331" s="28" t="s">
        <v>647</v>
      </c>
      <c r="B331" s="29">
        <v>3125.21</v>
      </c>
      <c r="C331" s="30" t="s">
        <v>1099</v>
      </c>
      <c r="D331" s="2">
        <v>4948628831</v>
      </c>
      <c r="E331" s="2" t="s">
        <v>14</v>
      </c>
      <c r="F331" s="78" t="s">
        <v>1100</v>
      </c>
      <c r="G331" s="28" t="s">
        <v>13</v>
      </c>
      <c r="H331" s="2" t="s">
        <v>23</v>
      </c>
      <c r="I331" s="2">
        <v>5</v>
      </c>
      <c r="J331" s="2"/>
      <c r="K331" s="2">
        <v>7602</v>
      </c>
      <c r="L331" s="35">
        <v>23757846.420000002</v>
      </c>
      <c r="M331" s="36">
        <v>600</v>
      </c>
      <c r="N331" s="40">
        <v>575386</v>
      </c>
      <c r="O331" s="40">
        <v>0</v>
      </c>
      <c r="P331" s="40">
        <v>0</v>
      </c>
      <c r="Q331" s="40">
        <v>0</v>
      </c>
      <c r="R331" s="40">
        <v>20635</v>
      </c>
      <c r="S331" s="40">
        <v>354356</v>
      </c>
      <c r="T331" s="37">
        <v>30000</v>
      </c>
      <c r="U331" s="40">
        <v>67194.5454545455</v>
      </c>
      <c r="V331" s="40">
        <v>0</v>
      </c>
      <c r="W331" s="45">
        <v>1047571.54545455</v>
      </c>
      <c r="X331" s="46">
        <v>4.4093708113740098</v>
      </c>
    </row>
    <row r="332" spans="1:24" s="4" customFormat="1" ht="15" customHeight="1">
      <c r="A332" s="28" t="s">
        <v>647</v>
      </c>
      <c r="B332" s="29">
        <v>3125.21</v>
      </c>
      <c r="C332" s="30" t="s">
        <v>1101</v>
      </c>
      <c r="D332" s="2">
        <v>4948951739</v>
      </c>
      <c r="E332" s="2" t="s">
        <v>14</v>
      </c>
      <c r="F332" s="78" t="s">
        <v>1102</v>
      </c>
      <c r="G332" s="28" t="s">
        <v>13</v>
      </c>
      <c r="H332" s="2" t="s">
        <v>23</v>
      </c>
      <c r="I332" s="2">
        <v>1</v>
      </c>
      <c r="J332" s="2"/>
      <c r="K332" s="2">
        <v>1561.8</v>
      </c>
      <c r="L332" s="35">
        <v>4880952.9780000001</v>
      </c>
      <c r="M332" s="36">
        <v>20</v>
      </c>
      <c r="N332" s="40">
        <v>133476.79999999999</v>
      </c>
      <c r="O332" s="40">
        <v>0</v>
      </c>
      <c r="P332" s="40">
        <v>0</v>
      </c>
      <c r="Q332" s="40">
        <v>0</v>
      </c>
      <c r="R332" s="40">
        <v>534</v>
      </c>
      <c r="S332" s="40">
        <v>354356</v>
      </c>
      <c r="T332" s="37">
        <v>30000</v>
      </c>
      <c r="U332" s="40">
        <v>44796.363636363603</v>
      </c>
      <c r="V332" s="40">
        <v>0</v>
      </c>
      <c r="W332" s="45">
        <v>563163.16363636404</v>
      </c>
      <c r="X332" s="46">
        <v>11.5379755997388</v>
      </c>
    </row>
    <row r="333" spans="1:24" s="4" customFormat="1" ht="15" customHeight="1">
      <c r="A333" s="28" t="s">
        <v>647</v>
      </c>
      <c r="B333" s="29">
        <v>3125.21</v>
      </c>
      <c r="C333" s="30" t="s">
        <v>1103</v>
      </c>
      <c r="D333" s="2">
        <v>4949034850</v>
      </c>
      <c r="E333" s="2" t="s">
        <v>14</v>
      </c>
      <c r="F333" s="78" t="s">
        <v>1104</v>
      </c>
      <c r="G333" s="28" t="s">
        <v>13</v>
      </c>
      <c r="H333" s="2" t="s">
        <v>23</v>
      </c>
      <c r="I333" s="2">
        <v>1</v>
      </c>
      <c r="J333" s="2"/>
      <c r="K333" s="2">
        <v>2516</v>
      </c>
      <c r="L333" s="35">
        <v>7863028.3600000003</v>
      </c>
      <c r="M333" s="36">
        <v>40</v>
      </c>
      <c r="N333" s="40">
        <v>143281</v>
      </c>
      <c r="O333" s="40">
        <v>0</v>
      </c>
      <c r="P333" s="40">
        <v>0</v>
      </c>
      <c r="Q333" s="40">
        <v>0</v>
      </c>
      <c r="R333" s="40">
        <v>573</v>
      </c>
      <c r="S333" s="40">
        <v>354356</v>
      </c>
      <c r="T333" s="37">
        <v>30000</v>
      </c>
      <c r="U333" s="40">
        <v>164253.33333333299</v>
      </c>
      <c r="V333" s="40">
        <v>0</v>
      </c>
      <c r="W333" s="45">
        <v>692463.33333333302</v>
      </c>
      <c r="X333" s="46">
        <v>8.80657301016441</v>
      </c>
    </row>
    <row r="334" spans="1:24" s="4" customFormat="1" ht="15" customHeight="1">
      <c r="A334" s="28" t="s">
        <v>647</v>
      </c>
      <c r="B334" s="29">
        <v>3125.21</v>
      </c>
      <c r="C334" s="30" t="s">
        <v>1105</v>
      </c>
      <c r="D334" s="2">
        <v>4948408914</v>
      </c>
      <c r="E334" s="2" t="s">
        <v>14</v>
      </c>
      <c r="F334" s="78" t="s">
        <v>1106</v>
      </c>
      <c r="G334" s="28" t="s">
        <v>13</v>
      </c>
      <c r="H334" s="2" t="s">
        <v>23</v>
      </c>
      <c r="I334" s="2">
        <v>1</v>
      </c>
      <c r="J334" s="2"/>
      <c r="K334" s="2">
        <v>1258</v>
      </c>
      <c r="L334" s="35">
        <v>3931514.18</v>
      </c>
      <c r="M334" s="36">
        <v>20</v>
      </c>
      <c r="N334" s="40">
        <v>143281.54</v>
      </c>
      <c r="O334" s="40">
        <v>0</v>
      </c>
      <c r="P334" s="40">
        <v>0</v>
      </c>
      <c r="Q334" s="40">
        <v>0</v>
      </c>
      <c r="R334" s="40">
        <v>573</v>
      </c>
      <c r="S334" s="40">
        <v>354356</v>
      </c>
      <c r="T334" s="37">
        <v>30000</v>
      </c>
      <c r="U334" s="40">
        <v>82126.666666666701</v>
      </c>
      <c r="V334" s="40">
        <v>0</v>
      </c>
      <c r="W334" s="45">
        <v>610337.20666666701</v>
      </c>
      <c r="X334" s="46">
        <v>15.5242275297266</v>
      </c>
    </row>
    <row r="336" spans="1:24" ht="15" customHeight="1">
      <c r="A336" s="31" t="s">
        <v>647</v>
      </c>
      <c r="B336" s="31"/>
      <c r="C336" s="31"/>
      <c r="D336" s="31"/>
      <c r="E336" s="31"/>
      <c r="F336" s="32">
        <v>74</v>
      </c>
      <c r="G336" s="31"/>
      <c r="H336" s="31"/>
      <c r="I336" s="38"/>
      <c r="J336" s="31"/>
      <c r="K336" s="39">
        <f>+SUM(K176:K334)</f>
        <v>2075431.5400000003</v>
      </c>
      <c r="L336" s="39">
        <f>+SUM(L176:L334)</f>
        <v>6486159403.1234007</v>
      </c>
      <c r="M336" s="31"/>
      <c r="N336" s="39"/>
      <c r="O336" s="39"/>
      <c r="P336" s="39"/>
      <c r="Q336" s="39"/>
      <c r="R336" s="39"/>
      <c r="S336" s="39"/>
      <c r="T336" s="39"/>
      <c r="U336" s="39"/>
      <c r="V336" s="31"/>
      <c r="W336" s="39">
        <f>+SUM(W176:W334)</f>
        <v>293775014.33751428</v>
      </c>
      <c r="X336" s="47">
        <f>(W336/L336)*100</f>
        <v>4.5292598605585823</v>
      </c>
    </row>
    <row r="338" spans="1:24" s="4" customFormat="1" ht="15" customHeight="1">
      <c r="A338" s="28" t="s">
        <v>1109</v>
      </c>
      <c r="B338" s="29">
        <v>3106.0650000000001</v>
      </c>
      <c r="C338" s="30" t="s">
        <v>1110</v>
      </c>
      <c r="D338" s="2">
        <v>4949034846</v>
      </c>
      <c r="E338" s="2" t="s">
        <v>14</v>
      </c>
      <c r="F338" s="78" t="s">
        <v>1111</v>
      </c>
      <c r="G338" s="28" t="s">
        <v>13</v>
      </c>
      <c r="H338" s="2" t="s">
        <v>23</v>
      </c>
      <c r="I338" s="2">
        <v>2</v>
      </c>
      <c r="J338" s="2"/>
      <c r="K338" s="2">
        <v>11814.52</v>
      </c>
      <c r="L338" s="35">
        <v>36696667.0638</v>
      </c>
      <c r="M338" s="36">
        <v>90</v>
      </c>
      <c r="N338" s="40">
        <v>431925</v>
      </c>
      <c r="O338" s="40">
        <v>0</v>
      </c>
      <c r="P338" s="40">
        <v>0</v>
      </c>
      <c r="Q338" s="40">
        <v>0</v>
      </c>
      <c r="R338" s="40">
        <v>7094</v>
      </c>
      <c r="S338" s="40">
        <v>354356</v>
      </c>
      <c r="T338" s="37">
        <v>30000</v>
      </c>
      <c r="U338" s="40">
        <v>201583.636363636</v>
      </c>
      <c r="V338" s="40">
        <v>0</v>
      </c>
      <c r="W338" s="45">
        <v>1024958.63636364</v>
      </c>
      <c r="X338" s="46">
        <v>2.7930564772589999</v>
      </c>
    </row>
    <row r="339" spans="1:24" s="4" customFormat="1" ht="15" customHeight="1">
      <c r="A339" s="28" t="s">
        <v>1109</v>
      </c>
      <c r="B339" s="29">
        <v>3106.0650000000001</v>
      </c>
      <c r="C339" s="30" t="s">
        <v>1114</v>
      </c>
      <c r="D339" s="2">
        <v>4948212806</v>
      </c>
      <c r="E339" s="2" t="s">
        <v>14</v>
      </c>
      <c r="F339" s="78" t="s">
        <v>1115</v>
      </c>
      <c r="G339" s="28" t="s">
        <v>5</v>
      </c>
      <c r="H339" s="2" t="s">
        <v>17</v>
      </c>
      <c r="I339" s="2">
        <v>1</v>
      </c>
      <c r="J339" s="2" t="s">
        <v>1116</v>
      </c>
      <c r="K339" s="2">
        <v>35048</v>
      </c>
      <c r="L339" s="35">
        <v>108861366.12</v>
      </c>
      <c r="M339" s="36">
        <v>10400</v>
      </c>
      <c r="N339" s="40">
        <v>315336</v>
      </c>
      <c r="O339" s="40">
        <v>413405</v>
      </c>
      <c r="P339" s="40">
        <v>0</v>
      </c>
      <c r="Q339" s="40">
        <v>99309</v>
      </c>
      <c r="R339" s="40">
        <v>723713</v>
      </c>
      <c r="S339" s="40">
        <v>354356</v>
      </c>
      <c r="T339" s="37">
        <v>30000</v>
      </c>
      <c r="U339" s="40">
        <v>4331400</v>
      </c>
      <c r="V339" s="40">
        <v>0</v>
      </c>
      <c r="W339" s="45">
        <v>6267519</v>
      </c>
      <c r="X339" s="46">
        <v>5.7573400218872797</v>
      </c>
    </row>
    <row r="340" spans="1:24" s="4" customFormat="1" ht="15" customHeight="1">
      <c r="A340" s="28" t="s">
        <v>1109</v>
      </c>
      <c r="B340" s="29">
        <v>3106.0650000000001</v>
      </c>
      <c r="C340" s="30" t="s">
        <v>1120</v>
      </c>
      <c r="D340" s="2">
        <v>4948828038</v>
      </c>
      <c r="E340" s="2" t="s">
        <v>14</v>
      </c>
      <c r="F340" s="78" t="s">
        <v>1121</v>
      </c>
      <c r="G340" s="28" t="s">
        <v>9</v>
      </c>
      <c r="H340" s="2" t="s">
        <v>23</v>
      </c>
      <c r="I340" s="2">
        <v>1</v>
      </c>
      <c r="J340" s="2"/>
      <c r="K340" s="2">
        <v>1100</v>
      </c>
      <c r="L340" s="35">
        <v>3416671.5</v>
      </c>
      <c r="M340" s="36">
        <v>880</v>
      </c>
      <c r="N340" s="40">
        <v>508472</v>
      </c>
      <c r="O340" s="40">
        <v>593</v>
      </c>
      <c r="P340" s="40">
        <v>0</v>
      </c>
      <c r="Q340" s="40">
        <v>14423</v>
      </c>
      <c r="R340" s="40">
        <v>92965.5</v>
      </c>
      <c r="S340" s="40">
        <v>354356</v>
      </c>
      <c r="T340" s="37">
        <v>30000</v>
      </c>
      <c r="U340" s="40">
        <v>0</v>
      </c>
      <c r="V340" s="40">
        <v>0</v>
      </c>
      <c r="W340" s="45">
        <v>1000809.5</v>
      </c>
      <c r="X340" s="46">
        <v>29.2919439284696</v>
      </c>
    </row>
    <row r="341" spans="1:24" s="4" customFormat="1" ht="15" customHeight="1">
      <c r="A341" s="28" t="s">
        <v>1109</v>
      </c>
      <c r="B341" s="29">
        <v>3106.0650000000001</v>
      </c>
      <c r="C341" s="30" t="s">
        <v>1128</v>
      </c>
      <c r="D341" s="2">
        <v>4948210672</v>
      </c>
      <c r="E341" s="2" t="s">
        <v>14</v>
      </c>
      <c r="F341" s="78" t="s">
        <v>1129</v>
      </c>
      <c r="G341" s="28" t="s">
        <v>5</v>
      </c>
      <c r="H341" s="2" t="s">
        <v>26</v>
      </c>
      <c r="I341" s="2">
        <v>1</v>
      </c>
      <c r="J341" s="2" t="s">
        <v>1130</v>
      </c>
      <c r="K341" s="2">
        <v>34904.400000000001</v>
      </c>
      <c r="L341" s="35">
        <v>108415335.186</v>
      </c>
      <c r="M341" s="36">
        <v>20060</v>
      </c>
      <c r="N341" s="40">
        <v>322373</v>
      </c>
      <c r="O341" s="40">
        <v>385324</v>
      </c>
      <c r="P341" s="40">
        <v>315925</v>
      </c>
      <c r="Q341" s="40">
        <v>99309</v>
      </c>
      <c r="R341" s="40">
        <v>536366</v>
      </c>
      <c r="S341" s="40">
        <v>343435</v>
      </c>
      <c r="T341" s="37">
        <v>30000</v>
      </c>
      <c r="U341" s="40">
        <v>0</v>
      </c>
      <c r="V341" s="40">
        <v>0</v>
      </c>
      <c r="W341" s="45">
        <v>2032732</v>
      </c>
      <c r="X341" s="46">
        <v>1.8749487759389301</v>
      </c>
    </row>
    <row r="342" spans="1:24" s="4" customFormat="1" ht="15" customHeight="1">
      <c r="A342" s="28" t="s">
        <v>1109</v>
      </c>
      <c r="B342" s="29">
        <v>3106.0650000000001</v>
      </c>
      <c r="C342" s="30" t="s">
        <v>1131</v>
      </c>
      <c r="D342" s="2">
        <v>4948828033</v>
      </c>
      <c r="E342" s="2" t="s">
        <v>14</v>
      </c>
      <c r="F342" s="2" t="s">
        <v>1132</v>
      </c>
      <c r="G342" s="28" t="s">
        <v>9</v>
      </c>
      <c r="H342" s="2" t="s">
        <v>23</v>
      </c>
      <c r="I342" s="2">
        <v>6</v>
      </c>
      <c r="J342" s="2"/>
      <c r="K342" s="2">
        <v>8407.7999999999993</v>
      </c>
      <c r="L342" s="35">
        <v>26115173.307</v>
      </c>
      <c r="M342" s="36">
        <v>1620</v>
      </c>
      <c r="N342" s="40">
        <v>585184.95505618001</v>
      </c>
      <c r="O342" s="40">
        <v>1220.4606741573</v>
      </c>
      <c r="P342" s="40">
        <v>0</v>
      </c>
      <c r="Q342" s="40">
        <v>30171.134831460698</v>
      </c>
      <c r="R342" s="40">
        <v>109997.08988764</v>
      </c>
      <c r="S342" s="40">
        <v>322503.77528089902</v>
      </c>
      <c r="T342" s="37">
        <v>30000</v>
      </c>
      <c r="U342" s="40">
        <v>1898039.3258427</v>
      </c>
      <c r="V342" s="40">
        <v>0</v>
      </c>
      <c r="W342" s="45">
        <v>2977116.7415730399</v>
      </c>
      <c r="X342" s="46">
        <v>11.399950161445201</v>
      </c>
    </row>
    <row r="343" spans="1:24" s="4" customFormat="1" ht="15" customHeight="1">
      <c r="A343" s="28" t="s">
        <v>1109</v>
      </c>
      <c r="B343" s="29">
        <v>3106.0650000000001</v>
      </c>
      <c r="C343" s="30" t="s">
        <v>1131</v>
      </c>
      <c r="D343" s="2">
        <v>4948951745</v>
      </c>
      <c r="E343" s="2" t="s">
        <v>14</v>
      </c>
      <c r="F343" s="2" t="s">
        <v>1132</v>
      </c>
      <c r="G343" s="28" t="s">
        <v>9</v>
      </c>
      <c r="H343" s="2" t="s">
        <v>23</v>
      </c>
      <c r="I343" s="2">
        <v>6</v>
      </c>
      <c r="J343" s="2"/>
      <c r="K343" s="2">
        <v>14555.2</v>
      </c>
      <c r="L343" s="35">
        <v>45209397.288000003</v>
      </c>
      <c r="M343" s="36">
        <v>160</v>
      </c>
      <c r="N343" s="40">
        <v>57796.044943820198</v>
      </c>
      <c r="O343" s="40">
        <v>120.539325842697</v>
      </c>
      <c r="P343" s="40">
        <v>0</v>
      </c>
      <c r="Q343" s="40">
        <v>2979.8651685393302</v>
      </c>
      <c r="R343" s="40">
        <v>10863.910112359599</v>
      </c>
      <c r="S343" s="40">
        <v>31852.224719101101</v>
      </c>
      <c r="T343" s="37">
        <v>30000</v>
      </c>
      <c r="U343" s="40">
        <v>187460.674157303</v>
      </c>
      <c r="V343" s="40">
        <v>0</v>
      </c>
      <c r="W343" s="45">
        <v>321073.25842696597</v>
      </c>
      <c r="X343" s="46">
        <v>0.71019141525292795</v>
      </c>
    </row>
    <row r="344" spans="1:24" s="4" customFormat="1" ht="15" customHeight="1">
      <c r="A344" s="28" t="s">
        <v>1109</v>
      </c>
      <c r="B344" s="29">
        <v>3106.0650000000001</v>
      </c>
      <c r="C344" s="30" t="s">
        <v>1140</v>
      </c>
      <c r="D344" s="2">
        <v>4948495848</v>
      </c>
      <c r="E344" s="2" t="s">
        <v>14</v>
      </c>
      <c r="F344" s="2" t="s">
        <v>1141</v>
      </c>
      <c r="G344" s="28" t="s">
        <v>5</v>
      </c>
      <c r="H344" s="2" t="s">
        <v>17</v>
      </c>
      <c r="I344" s="2">
        <v>1</v>
      </c>
      <c r="J344" s="2" t="s">
        <v>1142</v>
      </c>
      <c r="K344" s="2">
        <v>1198.8</v>
      </c>
      <c r="L344" s="35">
        <v>3723550.7220000001</v>
      </c>
      <c r="M344" s="36">
        <v>200</v>
      </c>
      <c r="N344" s="40">
        <v>3961.0830769230802</v>
      </c>
      <c r="O344" s="40">
        <v>5088.0615384615403</v>
      </c>
      <c r="P344" s="40">
        <v>0</v>
      </c>
      <c r="Q344" s="40">
        <v>1222.2646153846199</v>
      </c>
      <c r="R344" s="40">
        <v>7924.7876923076901</v>
      </c>
      <c r="S344" s="40">
        <v>4361.3046153846199</v>
      </c>
      <c r="T344" s="37">
        <v>30000</v>
      </c>
      <c r="U344" s="40">
        <v>58849.8461538462</v>
      </c>
      <c r="V344" s="40">
        <v>0</v>
      </c>
      <c r="W344" s="45">
        <v>111407.347692308</v>
      </c>
      <c r="X344" s="46">
        <v>2.9919653580673802</v>
      </c>
    </row>
    <row r="345" spans="1:24" s="4" customFormat="1" ht="15" customHeight="1">
      <c r="A345" s="28" t="s">
        <v>1109</v>
      </c>
      <c r="B345" s="29">
        <v>3106.0650000000001</v>
      </c>
      <c r="C345" s="30" t="s">
        <v>1140</v>
      </c>
      <c r="D345" s="2">
        <v>4948495848</v>
      </c>
      <c r="E345" s="2" t="s">
        <v>14</v>
      </c>
      <c r="F345" s="2" t="s">
        <v>1141</v>
      </c>
      <c r="G345" s="28" t="s">
        <v>5</v>
      </c>
      <c r="H345" s="2" t="s">
        <v>17</v>
      </c>
      <c r="I345" s="2">
        <v>1</v>
      </c>
      <c r="J345" s="2" t="s">
        <v>1142</v>
      </c>
      <c r="K345" s="2">
        <v>21021</v>
      </c>
      <c r="L345" s="35">
        <v>65292592.365000002</v>
      </c>
      <c r="M345" s="36">
        <v>2100</v>
      </c>
      <c r="N345" s="40">
        <v>41591.372307692298</v>
      </c>
      <c r="O345" s="40">
        <v>53424.646153846203</v>
      </c>
      <c r="P345" s="40">
        <v>0</v>
      </c>
      <c r="Q345" s="40">
        <v>12833.778461538501</v>
      </c>
      <c r="R345" s="40">
        <v>83209.270769230803</v>
      </c>
      <c r="S345" s="40">
        <v>45793.698461538501</v>
      </c>
      <c r="T345" s="37">
        <v>30000</v>
      </c>
      <c r="U345" s="40">
        <v>617923.38461538497</v>
      </c>
      <c r="V345" s="40">
        <v>0</v>
      </c>
      <c r="W345" s="45">
        <v>884776.15076923103</v>
      </c>
      <c r="X345" s="46">
        <v>1.3550942284894101</v>
      </c>
    </row>
    <row r="346" spans="1:24" s="4" customFormat="1" ht="15" customHeight="1">
      <c r="A346" s="28" t="s">
        <v>1109</v>
      </c>
      <c r="B346" s="29">
        <v>3106.0650000000001</v>
      </c>
      <c r="C346" s="30" t="s">
        <v>1140</v>
      </c>
      <c r="D346" s="2">
        <v>4948830201</v>
      </c>
      <c r="E346" s="2" t="s">
        <v>14</v>
      </c>
      <c r="F346" s="2" t="s">
        <v>1141</v>
      </c>
      <c r="G346" s="28" t="s">
        <v>5</v>
      </c>
      <c r="H346" s="2" t="s">
        <v>17</v>
      </c>
      <c r="I346" s="2">
        <v>1</v>
      </c>
      <c r="J346" s="2" t="s">
        <v>1142</v>
      </c>
      <c r="K346" s="2">
        <v>16380</v>
      </c>
      <c r="L346" s="35">
        <v>50877344.700000003</v>
      </c>
      <c r="M346" s="36">
        <v>6300</v>
      </c>
      <c r="N346" s="40">
        <v>124774.116923077</v>
      </c>
      <c r="O346" s="40">
        <v>160273.938461538</v>
      </c>
      <c r="P346" s="40">
        <v>0</v>
      </c>
      <c r="Q346" s="40">
        <v>38501.335384615399</v>
      </c>
      <c r="R346" s="40">
        <v>249626.81230769199</v>
      </c>
      <c r="S346" s="40">
        <v>137381.09538461501</v>
      </c>
      <c r="T346" s="37">
        <v>30000</v>
      </c>
      <c r="U346" s="40">
        <v>1853770.15384615</v>
      </c>
      <c r="V346" s="40">
        <v>0</v>
      </c>
      <c r="W346" s="45">
        <v>2594327.4523076899</v>
      </c>
      <c r="X346" s="46">
        <v>5.09918013136343</v>
      </c>
    </row>
    <row r="347" spans="1:24" s="4" customFormat="1" ht="15" customHeight="1">
      <c r="A347" s="28" t="s">
        <v>1109</v>
      </c>
      <c r="B347" s="29">
        <v>3106.0650000000001</v>
      </c>
      <c r="C347" s="30" t="s">
        <v>1140</v>
      </c>
      <c r="D347" s="2">
        <v>4948712024</v>
      </c>
      <c r="E347" s="2" t="s">
        <v>14</v>
      </c>
      <c r="F347" s="2" t="s">
        <v>1141</v>
      </c>
      <c r="G347" s="28" t="s">
        <v>5</v>
      </c>
      <c r="H347" s="2" t="s">
        <v>17</v>
      </c>
      <c r="I347" s="2">
        <v>1</v>
      </c>
      <c r="J347" s="2" t="s">
        <v>1142</v>
      </c>
      <c r="K347" s="2">
        <v>32130</v>
      </c>
      <c r="L347" s="35">
        <v>99797868.450000003</v>
      </c>
      <c r="M347" s="36">
        <v>7650</v>
      </c>
      <c r="N347" s="40">
        <v>151511.427692308</v>
      </c>
      <c r="O347" s="40">
        <v>194618.353846154</v>
      </c>
      <c r="P347" s="40">
        <v>0</v>
      </c>
      <c r="Q347" s="40">
        <v>46751.621538461499</v>
      </c>
      <c r="R347" s="40">
        <v>303118.129230769</v>
      </c>
      <c r="S347" s="40">
        <v>166819.901538462</v>
      </c>
      <c r="T347" s="37">
        <v>30000</v>
      </c>
      <c r="U347" s="40">
        <v>2251006.6153846201</v>
      </c>
      <c r="V347" s="40">
        <v>0</v>
      </c>
      <c r="W347" s="45">
        <v>3143826.0492307702</v>
      </c>
      <c r="X347" s="46">
        <v>3.15019358435082</v>
      </c>
    </row>
    <row r="348" spans="1:24" s="4" customFormat="1" ht="15" customHeight="1">
      <c r="A348" s="28" t="s">
        <v>1109</v>
      </c>
      <c r="B348" s="29">
        <v>3106.0650000000001</v>
      </c>
      <c r="C348" s="30" t="s">
        <v>1154</v>
      </c>
      <c r="D348" s="2">
        <v>4948772919</v>
      </c>
      <c r="E348" s="2" t="s">
        <v>14</v>
      </c>
      <c r="F348" s="78" t="s">
        <v>1155</v>
      </c>
      <c r="G348" s="28" t="s">
        <v>13</v>
      </c>
      <c r="H348" s="2" t="s">
        <v>23</v>
      </c>
      <c r="I348" s="2">
        <v>10</v>
      </c>
      <c r="J348" s="2"/>
      <c r="K348" s="2">
        <v>31471</v>
      </c>
      <c r="L348" s="35">
        <v>97750971.614999995</v>
      </c>
      <c r="M348" s="36">
        <v>4500</v>
      </c>
      <c r="N348" s="40">
        <v>8073282</v>
      </c>
      <c r="O348" s="40">
        <v>0</v>
      </c>
      <c r="P348" s="40">
        <v>0</v>
      </c>
      <c r="Q348" s="40">
        <v>0</v>
      </c>
      <c r="R348" s="40">
        <v>190297</v>
      </c>
      <c r="S348" s="40">
        <v>354356</v>
      </c>
      <c r="T348" s="37">
        <v>30000</v>
      </c>
      <c r="U348" s="40">
        <v>1154337</v>
      </c>
      <c r="V348" s="40">
        <v>0</v>
      </c>
      <c r="W348" s="45">
        <v>9802272</v>
      </c>
      <c r="X348" s="46">
        <v>10.0278000699646</v>
      </c>
    </row>
    <row r="349" spans="1:24" s="4" customFormat="1" ht="15" customHeight="1">
      <c r="A349" s="28" t="s">
        <v>1109</v>
      </c>
      <c r="B349" s="29">
        <v>3106.0650000000001</v>
      </c>
      <c r="C349" s="30" t="s">
        <v>1156</v>
      </c>
      <c r="D349" s="2">
        <v>4949366038</v>
      </c>
      <c r="E349" s="2" t="s">
        <v>14</v>
      </c>
      <c r="F349" s="78" t="s">
        <v>1157</v>
      </c>
      <c r="G349" s="28" t="s">
        <v>13</v>
      </c>
      <c r="H349" s="2" t="s">
        <v>23</v>
      </c>
      <c r="I349" s="2">
        <v>2</v>
      </c>
      <c r="J349" s="2"/>
      <c r="K349" s="2">
        <v>708.6</v>
      </c>
      <c r="L349" s="35">
        <v>2200957.659</v>
      </c>
      <c r="M349" s="36">
        <v>10</v>
      </c>
      <c r="N349" s="40">
        <v>40198.6</v>
      </c>
      <c r="O349" s="40">
        <v>0</v>
      </c>
      <c r="P349" s="40">
        <v>0</v>
      </c>
      <c r="Q349" s="40">
        <v>0</v>
      </c>
      <c r="R349" s="40">
        <v>160.80000000000001</v>
      </c>
      <c r="S349" s="40">
        <v>70871.199999999997</v>
      </c>
      <c r="T349" s="37">
        <v>30000</v>
      </c>
      <c r="U349" s="40">
        <v>30797.5</v>
      </c>
      <c r="V349" s="40">
        <v>0</v>
      </c>
      <c r="W349" s="45">
        <v>172028.1</v>
      </c>
      <c r="X349" s="46">
        <v>7.8160567649520596</v>
      </c>
    </row>
    <row r="350" spans="1:24" s="4" customFormat="1" ht="15" customHeight="1">
      <c r="A350" s="28" t="s">
        <v>1109</v>
      </c>
      <c r="B350" s="29">
        <v>3106.0650000000001</v>
      </c>
      <c r="C350" s="30" t="s">
        <v>1156</v>
      </c>
      <c r="D350" s="2">
        <v>4949035714</v>
      </c>
      <c r="E350" s="2" t="s">
        <v>14</v>
      </c>
      <c r="F350" s="78" t="s">
        <v>1157</v>
      </c>
      <c r="G350" s="28" t="s">
        <v>13</v>
      </c>
      <c r="H350" s="2" t="s">
        <v>23</v>
      </c>
      <c r="I350" s="2">
        <v>2</v>
      </c>
      <c r="J350" s="2"/>
      <c r="K350" s="2">
        <v>2834.4</v>
      </c>
      <c r="L350" s="35">
        <v>8803830.6359999999</v>
      </c>
      <c r="M350" s="36">
        <v>40</v>
      </c>
      <c r="N350" s="40">
        <v>160794.4</v>
      </c>
      <c r="O350" s="40">
        <v>0</v>
      </c>
      <c r="P350" s="40">
        <v>0</v>
      </c>
      <c r="Q350" s="40">
        <v>0</v>
      </c>
      <c r="R350" s="40">
        <v>643.20000000000005</v>
      </c>
      <c r="S350" s="40">
        <v>283484.79999999999</v>
      </c>
      <c r="T350" s="37">
        <v>30000</v>
      </c>
      <c r="U350" s="40">
        <v>123190</v>
      </c>
      <c r="V350" s="40">
        <v>0</v>
      </c>
      <c r="W350" s="45">
        <v>598112.4</v>
      </c>
      <c r="X350" s="46">
        <v>6.7937744912338598</v>
      </c>
    </row>
    <row r="351" spans="1:24" s="4" customFormat="1" ht="15" customHeight="1">
      <c r="A351" s="28" t="s">
        <v>1109</v>
      </c>
      <c r="B351" s="29">
        <v>3106.0650000000001</v>
      </c>
      <c r="C351" s="30" t="s">
        <v>1158</v>
      </c>
      <c r="D351" s="2">
        <v>4948826970</v>
      </c>
      <c r="E351" s="2" t="s">
        <v>14</v>
      </c>
      <c r="F351" s="78" t="s">
        <v>1159</v>
      </c>
      <c r="G351" s="28" t="s">
        <v>13</v>
      </c>
      <c r="H351" s="2" t="s">
        <v>23</v>
      </c>
      <c r="I351" s="2">
        <v>2</v>
      </c>
      <c r="J351" s="2"/>
      <c r="K351" s="2">
        <v>1023.2</v>
      </c>
      <c r="L351" s="35">
        <v>3178125.7080000001</v>
      </c>
      <c r="M351" s="36">
        <v>10</v>
      </c>
      <c r="N351" s="40">
        <v>67297.333333333299</v>
      </c>
      <c r="O351" s="40">
        <v>0</v>
      </c>
      <c r="P351" s="40">
        <v>0</v>
      </c>
      <c r="Q351" s="40">
        <v>0</v>
      </c>
      <c r="R351" s="40">
        <v>269.33333333333297</v>
      </c>
      <c r="S351" s="40">
        <v>118118.66666666701</v>
      </c>
      <c r="T351" s="37">
        <v>30000</v>
      </c>
      <c r="U351" s="40">
        <v>30797.5</v>
      </c>
      <c r="V351" s="40">
        <v>0</v>
      </c>
      <c r="W351" s="45">
        <v>246482.83333333401</v>
      </c>
      <c r="X351" s="46">
        <v>7.7556036475487797</v>
      </c>
    </row>
    <row r="352" spans="1:24" s="4" customFormat="1" ht="15" customHeight="1">
      <c r="A352" s="28" t="s">
        <v>1109</v>
      </c>
      <c r="B352" s="29">
        <v>3106.0650000000001</v>
      </c>
      <c r="C352" s="30" t="s">
        <v>1158</v>
      </c>
      <c r="D352" s="2">
        <v>4949096196</v>
      </c>
      <c r="E352" s="2" t="s">
        <v>14</v>
      </c>
      <c r="F352" s="78" t="s">
        <v>1159</v>
      </c>
      <c r="G352" s="28" t="s">
        <v>13</v>
      </c>
      <c r="H352" s="2" t="s">
        <v>23</v>
      </c>
      <c r="I352" s="2">
        <v>2</v>
      </c>
      <c r="J352" s="2"/>
      <c r="K352" s="2">
        <v>1907.4</v>
      </c>
      <c r="L352" s="35">
        <v>5924508.3810000001</v>
      </c>
      <c r="M352" s="36">
        <v>20</v>
      </c>
      <c r="N352" s="40">
        <v>134594.66666666701</v>
      </c>
      <c r="O352" s="40">
        <v>0</v>
      </c>
      <c r="P352" s="40">
        <v>0</v>
      </c>
      <c r="Q352" s="40">
        <v>0</v>
      </c>
      <c r="R352" s="40">
        <v>538.66666666666697</v>
      </c>
      <c r="S352" s="40">
        <v>236237.33333333299</v>
      </c>
      <c r="T352" s="37">
        <v>30000</v>
      </c>
      <c r="U352" s="40">
        <v>61595</v>
      </c>
      <c r="V352" s="40">
        <v>0</v>
      </c>
      <c r="W352" s="45">
        <v>462965.66666666698</v>
      </c>
      <c r="X352" s="46">
        <v>7.8144149167111596</v>
      </c>
    </row>
    <row r="353" spans="1:24" s="4" customFormat="1" ht="15" customHeight="1">
      <c r="A353" s="28" t="s">
        <v>1109</v>
      </c>
      <c r="B353" s="29">
        <v>3106.0650000000001</v>
      </c>
      <c r="C353" s="30" t="s">
        <v>1160</v>
      </c>
      <c r="D353" s="2">
        <v>4948772919</v>
      </c>
      <c r="E353" s="2" t="s">
        <v>14</v>
      </c>
      <c r="F353" s="78" t="s">
        <v>1161</v>
      </c>
      <c r="G353" s="28" t="s">
        <v>13</v>
      </c>
      <c r="H353" s="2" t="s">
        <v>23</v>
      </c>
      <c r="I353" s="2">
        <v>5</v>
      </c>
      <c r="J353" s="2"/>
      <c r="K353" s="2">
        <v>15735.75</v>
      </c>
      <c r="L353" s="35">
        <v>48876262.323749997</v>
      </c>
      <c r="M353" s="36">
        <v>2250</v>
      </c>
      <c r="N353" s="40">
        <v>4064920</v>
      </c>
      <c r="O353" s="40">
        <v>0</v>
      </c>
      <c r="P353" s="40">
        <v>0</v>
      </c>
      <c r="Q353" s="40">
        <v>0</v>
      </c>
      <c r="R353" s="40">
        <v>96762</v>
      </c>
      <c r="S353" s="40">
        <v>354356</v>
      </c>
      <c r="T353" s="37">
        <v>30000</v>
      </c>
      <c r="U353" s="40">
        <v>1154337</v>
      </c>
      <c r="V353" s="40">
        <v>0</v>
      </c>
      <c r="W353" s="45">
        <v>5700375</v>
      </c>
      <c r="X353" s="46">
        <v>11.6628701316018</v>
      </c>
    </row>
    <row r="354" spans="1:24" s="4" customFormat="1" ht="15" customHeight="1">
      <c r="A354" s="28" t="s">
        <v>1109</v>
      </c>
      <c r="B354" s="29">
        <v>3106.0650000000001</v>
      </c>
      <c r="C354" s="30" t="s">
        <v>1164</v>
      </c>
      <c r="D354" s="2">
        <v>4949035714</v>
      </c>
      <c r="E354" s="2" t="s">
        <v>14</v>
      </c>
      <c r="F354" s="78" t="s">
        <v>1165</v>
      </c>
      <c r="G354" s="28" t="s">
        <v>13</v>
      </c>
      <c r="H354" s="2" t="s">
        <v>23</v>
      </c>
      <c r="I354" s="2">
        <v>3</v>
      </c>
      <c r="J354" s="2"/>
      <c r="K354" s="2">
        <v>446.1</v>
      </c>
      <c r="L354" s="35">
        <v>1385615.5965</v>
      </c>
      <c r="M354" s="36">
        <v>10</v>
      </c>
      <c r="N354" s="40">
        <v>15907.8032786885</v>
      </c>
      <c r="O354" s="40">
        <v>0</v>
      </c>
      <c r="P354" s="40">
        <v>0</v>
      </c>
      <c r="Q354" s="40">
        <v>0</v>
      </c>
      <c r="R354" s="40">
        <v>653.80327868852498</v>
      </c>
      <c r="S354" s="40">
        <v>11618.2295081967</v>
      </c>
      <c r="T354" s="37">
        <v>30000</v>
      </c>
      <c r="U354" s="40">
        <v>6940.2816901408496</v>
      </c>
      <c r="V354" s="40">
        <v>0</v>
      </c>
      <c r="W354" s="45">
        <v>65120.1177557146</v>
      </c>
      <c r="X354" s="46">
        <v>4.6997246509208601</v>
      </c>
    </row>
    <row r="355" spans="1:24" s="4" customFormat="1" ht="15" customHeight="1">
      <c r="A355" s="28" t="s">
        <v>1109</v>
      </c>
      <c r="B355" s="29">
        <v>3106.0650000000001</v>
      </c>
      <c r="C355" s="30" t="s">
        <v>1164</v>
      </c>
      <c r="D355" s="2">
        <v>4949035714</v>
      </c>
      <c r="E355" s="2" t="s">
        <v>14</v>
      </c>
      <c r="F355" s="78" t="s">
        <v>1165</v>
      </c>
      <c r="G355" s="28" t="s">
        <v>13</v>
      </c>
      <c r="H355" s="2" t="s">
        <v>23</v>
      </c>
      <c r="I355" s="2">
        <v>3</v>
      </c>
      <c r="J355" s="2"/>
      <c r="K355" s="2">
        <v>5797.4</v>
      </c>
      <c r="L355" s="35">
        <v>18007101.230999999</v>
      </c>
      <c r="M355" s="36">
        <v>70</v>
      </c>
      <c r="N355" s="40">
        <v>111354.62295082</v>
      </c>
      <c r="O355" s="40">
        <v>0</v>
      </c>
      <c r="P355" s="40">
        <v>0</v>
      </c>
      <c r="Q355" s="40">
        <v>0</v>
      </c>
      <c r="R355" s="40">
        <v>4576.6229508196702</v>
      </c>
      <c r="S355" s="40">
        <v>81327.606557377003</v>
      </c>
      <c r="T355" s="37">
        <v>30000</v>
      </c>
      <c r="U355" s="40">
        <v>48581.971830985902</v>
      </c>
      <c r="V355" s="40">
        <v>0</v>
      </c>
      <c r="W355" s="45">
        <v>275840.82429000299</v>
      </c>
      <c r="X355" s="46">
        <v>1.5318446914438999</v>
      </c>
    </row>
    <row r="356" spans="1:24" s="4" customFormat="1" ht="15" customHeight="1">
      <c r="A356" s="28" t="s">
        <v>1109</v>
      </c>
      <c r="B356" s="29">
        <v>3106.0650000000001</v>
      </c>
      <c r="C356" s="30" t="s">
        <v>1164</v>
      </c>
      <c r="D356" s="2">
        <v>4949035714</v>
      </c>
      <c r="E356" s="2" t="s">
        <v>14</v>
      </c>
      <c r="F356" s="78" t="s">
        <v>1165</v>
      </c>
      <c r="G356" s="28" t="s">
        <v>13</v>
      </c>
      <c r="H356" s="2" t="s">
        <v>23</v>
      </c>
      <c r="I356" s="2">
        <v>3</v>
      </c>
      <c r="J356" s="2"/>
      <c r="K356" s="2">
        <v>15354</v>
      </c>
      <c r="L356" s="35">
        <v>47690522.009999998</v>
      </c>
      <c r="M356" s="36">
        <v>120</v>
      </c>
      <c r="N356" s="40">
        <v>190893.63934426199</v>
      </c>
      <c r="O356" s="40">
        <v>0</v>
      </c>
      <c r="P356" s="40">
        <v>0</v>
      </c>
      <c r="Q356" s="40">
        <v>0</v>
      </c>
      <c r="R356" s="40">
        <v>7845.6393442622903</v>
      </c>
      <c r="S356" s="40">
        <v>139418.75409836101</v>
      </c>
      <c r="T356" s="37">
        <v>30000</v>
      </c>
      <c r="U356" s="40">
        <v>83283.380281690101</v>
      </c>
      <c r="V356" s="40">
        <v>0</v>
      </c>
      <c r="W356" s="45">
        <v>451441.41306857503</v>
      </c>
      <c r="X356" s="46">
        <v>0.94660614738902404</v>
      </c>
    </row>
    <row r="357" spans="1:24" s="4" customFormat="1" ht="15" customHeight="1">
      <c r="A357" s="28" t="s">
        <v>1109</v>
      </c>
      <c r="B357" s="29">
        <v>3106.0650000000001</v>
      </c>
      <c r="C357" s="30" t="s">
        <v>1164</v>
      </c>
      <c r="D357" s="2">
        <v>4948951744</v>
      </c>
      <c r="E357" s="2" t="s">
        <v>14</v>
      </c>
      <c r="F357" s="78" t="s">
        <v>1165</v>
      </c>
      <c r="G357" s="28" t="s">
        <v>13</v>
      </c>
      <c r="H357" s="2" t="s">
        <v>23</v>
      </c>
      <c r="I357" s="2">
        <v>3</v>
      </c>
      <c r="J357" s="2"/>
      <c r="K357" s="2">
        <v>1883.4</v>
      </c>
      <c r="L357" s="35">
        <v>5849962.8210000005</v>
      </c>
      <c r="M357" s="36">
        <v>60</v>
      </c>
      <c r="N357" s="40">
        <v>95446.819672131096</v>
      </c>
      <c r="O357" s="40">
        <v>0</v>
      </c>
      <c r="P357" s="40">
        <v>0</v>
      </c>
      <c r="Q357" s="40">
        <v>0</v>
      </c>
      <c r="R357" s="40">
        <v>3922.8196721311501</v>
      </c>
      <c r="S357" s="40">
        <v>69709.377049180301</v>
      </c>
      <c r="T357" s="37">
        <v>30000</v>
      </c>
      <c r="U357" s="40">
        <v>41641.690140845101</v>
      </c>
      <c r="V357" s="40">
        <v>0</v>
      </c>
      <c r="W357" s="45">
        <v>240720.70653428801</v>
      </c>
      <c r="X357" s="46">
        <v>4.1149100242168499</v>
      </c>
    </row>
    <row r="358" spans="1:24" s="4" customFormat="1" ht="15" customHeight="1">
      <c r="A358" s="28" t="s">
        <v>1109</v>
      </c>
      <c r="B358" s="29">
        <v>3106.0650000000001</v>
      </c>
      <c r="C358" s="30" t="s">
        <v>1164</v>
      </c>
      <c r="D358" s="2">
        <v>4949035713</v>
      </c>
      <c r="E358" s="2" t="s">
        <v>14</v>
      </c>
      <c r="F358" s="78" t="s">
        <v>1165</v>
      </c>
      <c r="G358" s="28" t="s">
        <v>13</v>
      </c>
      <c r="H358" s="2" t="s">
        <v>23</v>
      </c>
      <c r="I358" s="2">
        <v>3</v>
      </c>
      <c r="J358" s="2"/>
      <c r="K358" s="2">
        <v>1158.8</v>
      </c>
      <c r="L358" s="35">
        <v>3599308.122</v>
      </c>
      <c r="M358" s="36">
        <v>10</v>
      </c>
      <c r="N358" s="40">
        <v>15907.8032786885</v>
      </c>
      <c r="O358" s="40">
        <v>0</v>
      </c>
      <c r="P358" s="40">
        <v>0</v>
      </c>
      <c r="Q358" s="40">
        <v>0</v>
      </c>
      <c r="R358" s="40">
        <v>653.80327868852498</v>
      </c>
      <c r="S358" s="40">
        <v>11618.2295081967</v>
      </c>
      <c r="T358" s="37">
        <v>30000</v>
      </c>
      <c r="U358" s="40">
        <v>6940.2816901408496</v>
      </c>
      <c r="V358" s="40">
        <v>0</v>
      </c>
      <c r="W358" s="45">
        <v>65120.1177557146</v>
      </c>
      <c r="X358" s="46">
        <v>1.8092398746770699</v>
      </c>
    </row>
    <row r="359" spans="1:24" s="4" customFormat="1" ht="15" customHeight="1">
      <c r="A359" s="28" t="s">
        <v>1109</v>
      </c>
      <c r="B359" s="29">
        <v>3106.0650000000001</v>
      </c>
      <c r="C359" s="30" t="s">
        <v>1164</v>
      </c>
      <c r="D359" s="2">
        <v>4949035713</v>
      </c>
      <c r="E359" s="2" t="s">
        <v>14</v>
      </c>
      <c r="F359" s="78" t="s">
        <v>1165</v>
      </c>
      <c r="G359" s="28" t="s">
        <v>13</v>
      </c>
      <c r="H359" s="2" t="s">
        <v>23</v>
      </c>
      <c r="I359" s="2">
        <v>3</v>
      </c>
      <c r="J359" s="2"/>
      <c r="K359" s="2">
        <v>4836.6499999999996</v>
      </c>
      <c r="L359" s="35">
        <v>15022949.28225</v>
      </c>
      <c r="M359" s="36">
        <v>35</v>
      </c>
      <c r="N359" s="40">
        <v>55677.311475409799</v>
      </c>
      <c r="O359" s="40">
        <v>0</v>
      </c>
      <c r="P359" s="40">
        <v>0</v>
      </c>
      <c r="Q359" s="40">
        <v>0</v>
      </c>
      <c r="R359" s="40">
        <v>2288.3114754098401</v>
      </c>
      <c r="S359" s="40">
        <v>40663.803278688501</v>
      </c>
      <c r="T359" s="37">
        <v>30000</v>
      </c>
      <c r="U359" s="40">
        <v>24290.985915493002</v>
      </c>
      <c r="V359" s="40">
        <v>0</v>
      </c>
      <c r="W359" s="45">
        <v>152920.412145001</v>
      </c>
      <c r="X359" s="46">
        <v>1.0179120575590299</v>
      </c>
    </row>
    <row r="360" spans="1:24" s="4" customFormat="1" ht="15" customHeight="1">
      <c r="A360" s="28" t="s">
        <v>1109</v>
      </c>
      <c r="B360" s="29">
        <v>3106.0650000000001</v>
      </c>
      <c r="C360" s="30" t="s">
        <v>1166</v>
      </c>
      <c r="D360" s="2">
        <v>4949035716</v>
      </c>
      <c r="E360" s="2" t="s">
        <v>14</v>
      </c>
      <c r="F360" s="78" t="s">
        <v>1167</v>
      </c>
      <c r="G360" s="28" t="s">
        <v>13</v>
      </c>
      <c r="H360" s="2" t="s">
        <v>23</v>
      </c>
      <c r="I360" s="2">
        <v>10</v>
      </c>
      <c r="J360" s="2"/>
      <c r="K360" s="2">
        <v>6330.27</v>
      </c>
      <c r="L360" s="35">
        <v>19662230.087549999</v>
      </c>
      <c r="M360" s="36">
        <v>50</v>
      </c>
      <c r="N360" s="40">
        <v>622719</v>
      </c>
      <c r="O360" s="40">
        <v>0</v>
      </c>
      <c r="P360" s="40">
        <v>0</v>
      </c>
      <c r="Q360" s="40">
        <v>0</v>
      </c>
      <c r="R360" s="40">
        <v>8299</v>
      </c>
      <c r="S360" s="40">
        <v>354356</v>
      </c>
      <c r="T360" s="37">
        <v>30000</v>
      </c>
      <c r="U360" s="40">
        <v>34701.408450704199</v>
      </c>
      <c r="V360" s="40">
        <v>0</v>
      </c>
      <c r="W360" s="45">
        <v>1050075.4084507001</v>
      </c>
      <c r="X360" s="46">
        <v>5.3405712565412697</v>
      </c>
    </row>
    <row r="361" spans="1:24" s="4" customFormat="1" ht="15" customHeight="1">
      <c r="A361" s="28" t="s">
        <v>1109</v>
      </c>
      <c r="B361" s="29">
        <v>3106.0650000000001</v>
      </c>
      <c r="C361" s="30" t="s">
        <v>1174</v>
      </c>
      <c r="D361" s="2">
        <v>4948242183</v>
      </c>
      <c r="E361" s="2" t="s">
        <v>14</v>
      </c>
      <c r="F361" s="78" t="s">
        <v>1175</v>
      </c>
      <c r="G361" s="28" t="s">
        <v>9</v>
      </c>
      <c r="H361" s="2" t="s">
        <v>23</v>
      </c>
      <c r="I361" s="2">
        <v>1</v>
      </c>
      <c r="J361" s="2"/>
      <c r="K361" s="2">
        <v>4878.6000000000004</v>
      </c>
      <c r="L361" s="35">
        <v>15153248.709000001</v>
      </c>
      <c r="M361" s="36">
        <v>940</v>
      </c>
      <c r="N361" s="40">
        <v>468129</v>
      </c>
      <c r="O361" s="40">
        <v>621</v>
      </c>
      <c r="P361" s="40">
        <v>0</v>
      </c>
      <c r="Q361" s="40">
        <v>15240</v>
      </c>
      <c r="R361" s="40">
        <v>93494</v>
      </c>
      <c r="S361" s="40">
        <v>354356</v>
      </c>
      <c r="T361" s="37">
        <v>30000</v>
      </c>
      <c r="U361" s="40">
        <v>691203.22580645198</v>
      </c>
      <c r="V361" s="40">
        <v>0</v>
      </c>
      <c r="W361" s="45">
        <v>1653043.22580645</v>
      </c>
      <c r="X361" s="46">
        <v>10.908837157966399</v>
      </c>
    </row>
    <row r="362" spans="1:24" s="4" customFormat="1" ht="15" customHeight="1">
      <c r="A362" s="28" t="s">
        <v>1109</v>
      </c>
      <c r="B362" s="29">
        <v>3106.0650000000001</v>
      </c>
      <c r="C362" s="30" t="s">
        <v>1176</v>
      </c>
      <c r="D362" s="2">
        <v>4948830216</v>
      </c>
      <c r="E362" s="2" t="s">
        <v>14</v>
      </c>
      <c r="F362" s="78" t="s">
        <v>1177</v>
      </c>
      <c r="G362" s="28" t="s">
        <v>5</v>
      </c>
      <c r="H362" s="2" t="s">
        <v>17</v>
      </c>
      <c r="I362" s="2">
        <v>1</v>
      </c>
      <c r="J362" s="2" t="s">
        <v>1178</v>
      </c>
      <c r="K362" s="2">
        <v>951.6</v>
      </c>
      <c r="L362" s="35">
        <v>2955731.4539999999</v>
      </c>
      <c r="M362" s="36">
        <v>120</v>
      </c>
      <c r="N362" s="40">
        <v>3056.0570488206299</v>
      </c>
      <c r="O362" s="40">
        <v>2721.26165660998</v>
      </c>
      <c r="P362" s="40">
        <v>0</v>
      </c>
      <c r="Q362" s="40">
        <v>653.70707624794295</v>
      </c>
      <c r="R362" s="40">
        <v>5771.1524958859</v>
      </c>
      <c r="S362" s="40">
        <v>2332.5682940208399</v>
      </c>
      <c r="T362" s="37">
        <v>30000</v>
      </c>
      <c r="U362" s="40">
        <v>37129.237520570503</v>
      </c>
      <c r="V362" s="40">
        <v>0</v>
      </c>
      <c r="W362" s="45">
        <v>81663.984092155806</v>
      </c>
      <c r="X362" s="46">
        <v>2.7629026981338098</v>
      </c>
    </row>
    <row r="363" spans="1:24" s="4" customFormat="1" ht="15" customHeight="1">
      <c r="A363" s="28" t="s">
        <v>1109</v>
      </c>
      <c r="B363" s="29">
        <v>3106.0650000000001</v>
      </c>
      <c r="C363" s="30" t="s">
        <v>1176</v>
      </c>
      <c r="D363" s="2">
        <v>4948774454</v>
      </c>
      <c r="E363" s="2" t="s">
        <v>14</v>
      </c>
      <c r="F363" s="78" t="s">
        <v>1177</v>
      </c>
      <c r="G363" s="28" t="s">
        <v>5</v>
      </c>
      <c r="H363" s="2" t="s">
        <v>17</v>
      </c>
      <c r="I363" s="2">
        <v>1</v>
      </c>
      <c r="J363" s="2" t="s">
        <v>1178</v>
      </c>
      <c r="K363" s="2">
        <v>5342.4</v>
      </c>
      <c r="L363" s="35">
        <v>16593841.655999999</v>
      </c>
      <c r="M363" s="36">
        <v>1260</v>
      </c>
      <c r="N363" s="40">
        <v>32088.5990126166</v>
      </c>
      <c r="O363" s="40">
        <v>28573.2473944048</v>
      </c>
      <c r="P363" s="40">
        <v>0</v>
      </c>
      <c r="Q363" s="40">
        <v>6863.9243006034003</v>
      </c>
      <c r="R363" s="40">
        <v>60591.601206801999</v>
      </c>
      <c r="S363" s="40">
        <v>24491.967087218902</v>
      </c>
      <c r="T363" s="37">
        <v>30000</v>
      </c>
      <c r="U363" s="40">
        <v>389856.99396599003</v>
      </c>
      <c r="V363" s="40">
        <v>0</v>
      </c>
      <c r="W363" s="45">
        <v>572466.33296763594</v>
      </c>
      <c r="X363" s="46">
        <v>3.44987221666445</v>
      </c>
    </row>
    <row r="364" spans="1:24" s="4" customFormat="1" ht="15" customHeight="1">
      <c r="A364" s="28" t="s">
        <v>1109</v>
      </c>
      <c r="B364" s="29">
        <v>3106.0650000000001</v>
      </c>
      <c r="C364" s="30" t="s">
        <v>1176</v>
      </c>
      <c r="D364" s="2">
        <v>4948830216</v>
      </c>
      <c r="E364" s="2" t="s">
        <v>14</v>
      </c>
      <c r="F364" s="78" t="s">
        <v>1177</v>
      </c>
      <c r="G364" s="28" t="s">
        <v>5</v>
      </c>
      <c r="H364" s="2" t="s">
        <v>17</v>
      </c>
      <c r="I364" s="2">
        <v>1</v>
      </c>
      <c r="J364" s="2" t="s">
        <v>1178</v>
      </c>
      <c r="K364" s="2">
        <v>2884</v>
      </c>
      <c r="L364" s="35">
        <v>8957891.4600000009</v>
      </c>
      <c r="M364" s="36">
        <v>700</v>
      </c>
      <c r="N364" s="40">
        <v>17826.999451453601</v>
      </c>
      <c r="O364" s="40">
        <v>15874.0263302249</v>
      </c>
      <c r="P364" s="40">
        <v>0</v>
      </c>
      <c r="Q364" s="40">
        <v>3813.2912781129999</v>
      </c>
      <c r="R364" s="40">
        <v>33662.556226001099</v>
      </c>
      <c r="S364" s="40">
        <v>13606.6483817883</v>
      </c>
      <c r="T364" s="37">
        <v>30000</v>
      </c>
      <c r="U364" s="40">
        <v>216587.21886999501</v>
      </c>
      <c r="V364" s="40">
        <v>0</v>
      </c>
      <c r="W364" s="45">
        <v>331370.74053757603</v>
      </c>
      <c r="X364" s="46">
        <v>3.6992046846878801</v>
      </c>
    </row>
    <row r="365" spans="1:24" s="4" customFormat="1" ht="15" customHeight="1">
      <c r="A365" s="28" t="s">
        <v>1109</v>
      </c>
      <c r="B365" s="29">
        <v>3106.0650000000001</v>
      </c>
      <c r="C365" s="30" t="s">
        <v>1176</v>
      </c>
      <c r="D365" s="2">
        <v>4948828040</v>
      </c>
      <c r="E365" s="2" t="s">
        <v>14</v>
      </c>
      <c r="F365" s="78" t="s">
        <v>1177</v>
      </c>
      <c r="G365" s="28" t="s">
        <v>5</v>
      </c>
      <c r="H365" s="2" t="s">
        <v>17</v>
      </c>
      <c r="I365" s="2">
        <v>1</v>
      </c>
      <c r="J365" s="2" t="s">
        <v>1178</v>
      </c>
      <c r="K365" s="2">
        <v>2226.8000000000002</v>
      </c>
      <c r="L365" s="35">
        <v>6916585.5420000004</v>
      </c>
      <c r="M365" s="36">
        <v>760</v>
      </c>
      <c r="N365" s="40">
        <v>19355.027975863999</v>
      </c>
      <c r="O365" s="40">
        <v>17234.657158529899</v>
      </c>
      <c r="P365" s="40">
        <v>0</v>
      </c>
      <c r="Q365" s="40">
        <v>4140.1448162369697</v>
      </c>
      <c r="R365" s="40">
        <v>36547.632473944002</v>
      </c>
      <c r="S365" s="40">
        <v>14772.932528798699</v>
      </c>
      <c r="T365" s="37">
        <v>30000</v>
      </c>
      <c r="U365" s="40">
        <v>235151.83763028</v>
      </c>
      <c r="V365" s="40">
        <v>0</v>
      </c>
      <c r="W365" s="45">
        <v>357202.232583654</v>
      </c>
      <c r="X365" s="46">
        <v>5.1644302006328502</v>
      </c>
    </row>
    <row r="366" spans="1:24" s="4" customFormat="1" ht="15" customHeight="1">
      <c r="A366" s="28" t="s">
        <v>1109</v>
      </c>
      <c r="B366" s="29">
        <v>3106.0650000000001</v>
      </c>
      <c r="C366" s="30" t="s">
        <v>1176</v>
      </c>
      <c r="D366" s="2">
        <v>4948494946</v>
      </c>
      <c r="E366" s="2" t="s">
        <v>14</v>
      </c>
      <c r="F366" s="78" t="s">
        <v>1177</v>
      </c>
      <c r="G366" s="28" t="s">
        <v>5</v>
      </c>
      <c r="H366" s="2" t="s">
        <v>17</v>
      </c>
      <c r="I366" s="2">
        <v>1</v>
      </c>
      <c r="J366" s="2" t="s">
        <v>1178</v>
      </c>
      <c r="K366" s="2">
        <v>4888.8</v>
      </c>
      <c r="L366" s="35">
        <v>15184930.572000001</v>
      </c>
      <c r="M366" s="36">
        <v>1260</v>
      </c>
      <c r="N366" s="40">
        <v>32088.5990126166</v>
      </c>
      <c r="O366" s="40">
        <v>28573.2473944048</v>
      </c>
      <c r="P366" s="40">
        <v>0</v>
      </c>
      <c r="Q366" s="40">
        <v>6863.9243006034003</v>
      </c>
      <c r="R366" s="40">
        <v>60591.601206801999</v>
      </c>
      <c r="S366" s="40">
        <v>24491.967087218902</v>
      </c>
      <c r="T366" s="37">
        <v>30000</v>
      </c>
      <c r="U366" s="40">
        <v>389856.99396599003</v>
      </c>
      <c r="V366" s="40">
        <v>0</v>
      </c>
      <c r="W366" s="45">
        <v>572466.33296763594</v>
      </c>
      <c r="X366" s="46">
        <v>3.76996345326218</v>
      </c>
    </row>
    <row r="367" spans="1:24" s="4" customFormat="1" ht="15" customHeight="1">
      <c r="A367" s="28" t="s">
        <v>1109</v>
      </c>
      <c r="B367" s="29">
        <v>3106.0650000000001</v>
      </c>
      <c r="C367" s="30" t="s">
        <v>1176</v>
      </c>
      <c r="D367" s="2">
        <v>4948242153</v>
      </c>
      <c r="E367" s="2" t="s">
        <v>14</v>
      </c>
      <c r="F367" s="78" t="s">
        <v>1177</v>
      </c>
      <c r="G367" s="28" t="s">
        <v>5</v>
      </c>
      <c r="H367" s="2" t="s">
        <v>17</v>
      </c>
      <c r="I367" s="2">
        <v>1</v>
      </c>
      <c r="J367" s="2" t="s">
        <v>1178</v>
      </c>
      <c r="K367" s="2">
        <v>3259.2</v>
      </c>
      <c r="L367" s="35">
        <v>10123287.048</v>
      </c>
      <c r="M367" s="36">
        <v>840</v>
      </c>
      <c r="N367" s="40">
        <v>21392.3993417444</v>
      </c>
      <c r="O367" s="40">
        <v>19048.831596269902</v>
      </c>
      <c r="P367" s="40">
        <v>0</v>
      </c>
      <c r="Q367" s="40">
        <v>4575.9495337356002</v>
      </c>
      <c r="R367" s="40">
        <v>40395.067471201197</v>
      </c>
      <c r="S367" s="40">
        <v>16327.9780581459</v>
      </c>
      <c r="T367" s="37">
        <v>30000</v>
      </c>
      <c r="U367" s="40">
        <v>259904.66264399301</v>
      </c>
      <c r="V367" s="40">
        <v>0</v>
      </c>
      <c r="W367" s="45">
        <v>391644.88864508999</v>
      </c>
      <c r="X367" s="46">
        <v>3.8687521828442599</v>
      </c>
    </row>
    <row r="368" spans="1:24" s="4" customFormat="1" ht="15" customHeight="1">
      <c r="A368" s="28" t="s">
        <v>1109</v>
      </c>
      <c r="B368" s="29">
        <v>3106.0650000000001</v>
      </c>
      <c r="C368" s="30" t="s">
        <v>1176</v>
      </c>
      <c r="D368" s="2">
        <v>4948242199</v>
      </c>
      <c r="E368" s="2" t="s">
        <v>14</v>
      </c>
      <c r="F368" s="78" t="s">
        <v>1177</v>
      </c>
      <c r="G368" s="28" t="s">
        <v>5</v>
      </c>
      <c r="H368" s="2" t="s">
        <v>17</v>
      </c>
      <c r="I368" s="2">
        <v>1</v>
      </c>
      <c r="J368" s="2" t="s">
        <v>1178</v>
      </c>
      <c r="K368" s="2">
        <v>3259.2</v>
      </c>
      <c r="L368" s="35">
        <v>10123287.048</v>
      </c>
      <c r="M368" s="36">
        <v>840</v>
      </c>
      <c r="N368" s="40">
        <v>21392.3993417444</v>
      </c>
      <c r="O368" s="40">
        <v>19048.831596269902</v>
      </c>
      <c r="P368" s="40">
        <v>0</v>
      </c>
      <c r="Q368" s="40">
        <v>4575.9495337356002</v>
      </c>
      <c r="R368" s="40">
        <v>40395.067471201197</v>
      </c>
      <c r="S368" s="40">
        <v>16327.9780581459</v>
      </c>
      <c r="T368" s="37">
        <v>30000</v>
      </c>
      <c r="U368" s="40">
        <v>259904.66264399301</v>
      </c>
      <c r="V368" s="40">
        <v>0</v>
      </c>
      <c r="W368" s="45">
        <v>391644.88864508999</v>
      </c>
      <c r="X368" s="46">
        <v>3.8687521828442599</v>
      </c>
    </row>
    <row r="369" spans="1:24" s="4" customFormat="1" ht="15" customHeight="1">
      <c r="A369" s="28" t="s">
        <v>1109</v>
      </c>
      <c r="B369" s="29">
        <v>3106.0650000000001</v>
      </c>
      <c r="C369" s="30" t="s">
        <v>1176</v>
      </c>
      <c r="D369" s="2">
        <v>4948828049</v>
      </c>
      <c r="E369" s="2" t="s">
        <v>14</v>
      </c>
      <c r="F369" s="78" t="s">
        <v>1177</v>
      </c>
      <c r="G369" s="28" t="s">
        <v>5</v>
      </c>
      <c r="H369" s="2" t="s">
        <v>17</v>
      </c>
      <c r="I369" s="2">
        <v>1</v>
      </c>
      <c r="J369" s="2" t="s">
        <v>1178</v>
      </c>
      <c r="K369" s="2">
        <v>10038</v>
      </c>
      <c r="L369" s="35">
        <v>31178680.469999999</v>
      </c>
      <c r="M369" s="36">
        <v>4200</v>
      </c>
      <c r="N369" s="40">
        <v>106961.996708722</v>
      </c>
      <c r="O369" s="40">
        <v>95244.157981349403</v>
      </c>
      <c r="P369" s="40">
        <v>0</v>
      </c>
      <c r="Q369" s="40">
        <v>22879.747668677999</v>
      </c>
      <c r="R369" s="40">
        <v>201973.33735600699</v>
      </c>
      <c r="S369" s="40">
        <v>81639.8902907296</v>
      </c>
      <c r="T369" s="37">
        <v>30000</v>
      </c>
      <c r="U369" s="40">
        <v>1299523.3132199701</v>
      </c>
      <c r="V369" s="40">
        <v>0</v>
      </c>
      <c r="W369" s="45">
        <v>1838222.4432254599</v>
      </c>
      <c r="X369" s="46">
        <v>5.8957672855789598</v>
      </c>
    </row>
    <row r="370" spans="1:24" s="4" customFormat="1" ht="15" customHeight="1">
      <c r="A370" s="28" t="s">
        <v>1109</v>
      </c>
      <c r="B370" s="29">
        <v>3106.0650000000001</v>
      </c>
      <c r="C370" s="30" t="s">
        <v>1176</v>
      </c>
      <c r="D370" s="2">
        <v>4948892171</v>
      </c>
      <c r="E370" s="2" t="s">
        <v>14</v>
      </c>
      <c r="F370" s="78" t="s">
        <v>1177</v>
      </c>
      <c r="G370" s="28" t="s">
        <v>5</v>
      </c>
      <c r="H370" s="2" t="s">
        <v>17</v>
      </c>
      <c r="I370" s="2">
        <v>1</v>
      </c>
      <c r="J370" s="2" t="s">
        <v>1178</v>
      </c>
      <c r="K370" s="2">
        <v>6975</v>
      </c>
      <c r="L370" s="35">
        <v>21664803.375</v>
      </c>
      <c r="M370" s="36">
        <v>2250</v>
      </c>
      <c r="N370" s="40">
        <v>57301.069665386698</v>
      </c>
      <c r="O370" s="40">
        <v>51023.656061437199</v>
      </c>
      <c r="P370" s="40">
        <v>0</v>
      </c>
      <c r="Q370" s="40">
        <v>12257.007679648899</v>
      </c>
      <c r="R370" s="40">
        <v>108200.359297861</v>
      </c>
      <c r="S370" s="40">
        <v>43735.6555128908</v>
      </c>
      <c r="T370" s="37">
        <v>30000</v>
      </c>
      <c r="U370" s="40">
        <v>696173.203510697</v>
      </c>
      <c r="V370" s="40">
        <v>0</v>
      </c>
      <c r="W370" s="45">
        <v>998690.95172792196</v>
      </c>
      <c r="X370" s="46">
        <v>4.6097392828423098</v>
      </c>
    </row>
    <row r="371" spans="1:24" s="4" customFormat="1" ht="15" customHeight="1">
      <c r="A371" s="28" t="s">
        <v>1109</v>
      </c>
      <c r="B371" s="29">
        <v>3106.0650000000001</v>
      </c>
      <c r="C371" s="30" t="s">
        <v>1176</v>
      </c>
      <c r="D371" s="2">
        <v>4948828033</v>
      </c>
      <c r="E371" s="2" t="s">
        <v>14</v>
      </c>
      <c r="F371" s="78" t="s">
        <v>1177</v>
      </c>
      <c r="G371" s="28" t="s">
        <v>5</v>
      </c>
      <c r="H371" s="2" t="s">
        <v>17</v>
      </c>
      <c r="I371" s="2">
        <v>1</v>
      </c>
      <c r="J371" s="2" t="s">
        <v>1178</v>
      </c>
      <c r="K371" s="2">
        <v>21168</v>
      </c>
      <c r="L371" s="35">
        <v>65749183.920000002</v>
      </c>
      <c r="M371" s="36">
        <v>5600</v>
      </c>
      <c r="N371" s="40">
        <v>142615.99561162901</v>
      </c>
      <c r="O371" s="40">
        <v>126992.210641799</v>
      </c>
      <c r="P371" s="40">
        <v>0</v>
      </c>
      <c r="Q371" s="40">
        <v>30506.330224903999</v>
      </c>
      <c r="R371" s="40">
        <v>269297.44980800903</v>
      </c>
      <c r="S371" s="40">
        <v>108853.18705430601</v>
      </c>
      <c r="T371" s="37">
        <v>30000</v>
      </c>
      <c r="U371" s="40">
        <v>1732697.75095996</v>
      </c>
      <c r="V371" s="40">
        <v>0</v>
      </c>
      <c r="W371" s="45">
        <v>2440962.9243006101</v>
      </c>
      <c r="X371" s="46">
        <v>3.7125372191244801</v>
      </c>
    </row>
    <row r="372" spans="1:24" s="4" customFormat="1" ht="15" customHeight="1">
      <c r="A372" s="28" t="s">
        <v>1109</v>
      </c>
      <c r="B372" s="29">
        <v>3106.0650000000001</v>
      </c>
      <c r="C372" s="30" t="s">
        <v>1176</v>
      </c>
      <c r="D372" s="2">
        <v>4948771043</v>
      </c>
      <c r="E372" s="2" t="s">
        <v>14</v>
      </c>
      <c r="F372" s="78" t="s">
        <v>1177</v>
      </c>
      <c r="G372" s="28" t="s">
        <v>5</v>
      </c>
      <c r="H372" s="2" t="s">
        <v>17</v>
      </c>
      <c r="I372" s="2">
        <v>1</v>
      </c>
      <c r="J372" s="2" t="s">
        <v>1178</v>
      </c>
      <c r="K372" s="2">
        <v>7304</v>
      </c>
      <c r="L372" s="35">
        <v>22686698.760000002</v>
      </c>
      <c r="M372" s="36">
        <v>400</v>
      </c>
      <c r="N372" s="40">
        <v>10186.856829402101</v>
      </c>
      <c r="O372" s="40">
        <v>9070.8721886999392</v>
      </c>
      <c r="P372" s="40">
        <v>0</v>
      </c>
      <c r="Q372" s="40">
        <v>2179.02358749314</v>
      </c>
      <c r="R372" s="40">
        <v>19235.1749862863</v>
      </c>
      <c r="S372" s="40">
        <v>7775.2276467361498</v>
      </c>
      <c r="T372" s="37">
        <v>30000</v>
      </c>
      <c r="U372" s="40">
        <v>123764.125068568</v>
      </c>
      <c r="V372" s="40">
        <v>0</v>
      </c>
      <c r="W372" s="45">
        <v>202211.28030718601</v>
      </c>
      <c r="X372" s="46">
        <v>0.89132086799562904</v>
      </c>
    </row>
    <row r="373" spans="1:24" s="4" customFormat="1" ht="15" customHeight="1">
      <c r="A373" s="28" t="s">
        <v>1109</v>
      </c>
      <c r="B373" s="29">
        <v>3106.0650000000001</v>
      </c>
      <c r="C373" s="30" t="s">
        <v>1179</v>
      </c>
      <c r="D373" s="2">
        <v>4948775102</v>
      </c>
      <c r="E373" s="2" t="s">
        <v>14</v>
      </c>
      <c r="F373" s="2" t="s">
        <v>1180</v>
      </c>
      <c r="G373" s="28" t="s">
        <v>9</v>
      </c>
      <c r="H373" s="2" t="s">
        <v>23</v>
      </c>
      <c r="I373" s="2">
        <v>3</v>
      </c>
      <c r="J373" s="2"/>
      <c r="K373" s="2">
        <v>2552</v>
      </c>
      <c r="L373" s="35">
        <v>7926677.8799999999</v>
      </c>
      <c r="M373" s="36">
        <v>800</v>
      </c>
      <c r="N373" s="40">
        <v>271587.31707317103</v>
      </c>
      <c r="O373" s="40">
        <v>531.21951219512198</v>
      </c>
      <c r="P373" s="40">
        <v>0</v>
      </c>
      <c r="Q373" s="40">
        <v>13104.8780487805</v>
      </c>
      <c r="R373" s="40">
        <v>55586.341463414603</v>
      </c>
      <c r="S373" s="40">
        <v>172856.585365854</v>
      </c>
      <c r="T373" s="37">
        <v>30000</v>
      </c>
      <c r="U373" s="40">
        <v>417100</v>
      </c>
      <c r="V373" s="40">
        <v>0</v>
      </c>
      <c r="W373" s="45">
        <v>960766.34146341495</v>
      </c>
      <c r="X373" s="46">
        <v>12.120668406212801</v>
      </c>
    </row>
    <row r="374" spans="1:24" s="4" customFormat="1" ht="15" customHeight="1">
      <c r="A374" s="28" t="s">
        <v>1109</v>
      </c>
      <c r="B374" s="29">
        <v>3106.0650000000001</v>
      </c>
      <c r="C374" s="30" t="s">
        <v>1179</v>
      </c>
      <c r="D374" s="2">
        <v>4948830238</v>
      </c>
      <c r="E374" s="2" t="s">
        <v>14</v>
      </c>
      <c r="F374" s="2" t="s">
        <v>1180</v>
      </c>
      <c r="G374" s="28" t="s">
        <v>9</v>
      </c>
      <c r="H374" s="2" t="s">
        <v>23</v>
      </c>
      <c r="I374" s="2">
        <v>3</v>
      </c>
      <c r="J374" s="2"/>
      <c r="K374" s="2">
        <v>4141.2</v>
      </c>
      <c r="L374" s="35">
        <v>12862836.378</v>
      </c>
      <c r="M374" s="36">
        <v>840</v>
      </c>
      <c r="N374" s="40">
        <v>285166.68292682897</v>
      </c>
      <c r="O374" s="40">
        <v>557.78048780487802</v>
      </c>
      <c r="P374" s="40">
        <v>0</v>
      </c>
      <c r="Q374" s="40">
        <v>13760.1219512195</v>
      </c>
      <c r="R374" s="40">
        <v>58365.658536585397</v>
      </c>
      <c r="S374" s="40">
        <v>181499.414634146</v>
      </c>
      <c r="T374" s="37">
        <v>30000</v>
      </c>
      <c r="U374" s="40">
        <v>252200</v>
      </c>
      <c r="V374" s="40">
        <v>0</v>
      </c>
      <c r="W374" s="45">
        <v>821549.65853658505</v>
      </c>
      <c r="X374" s="46">
        <v>6.38700232509935</v>
      </c>
    </row>
    <row r="375" spans="1:24" s="4" customFormat="1" ht="15" customHeight="1">
      <c r="A375" s="28" t="s">
        <v>1109</v>
      </c>
      <c r="B375" s="29">
        <v>3106.0650000000001</v>
      </c>
      <c r="C375" s="30" t="s">
        <v>1183</v>
      </c>
      <c r="D375" s="2">
        <v>4948892170</v>
      </c>
      <c r="E375" s="2" t="s">
        <v>14</v>
      </c>
      <c r="F375" s="2" t="s">
        <v>1184</v>
      </c>
      <c r="G375" s="28" t="s">
        <v>5</v>
      </c>
      <c r="H375" s="2" t="s">
        <v>20</v>
      </c>
      <c r="I375" s="2">
        <v>1</v>
      </c>
      <c r="J375" s="2" t="s">
        <v>1185</v>
      </c>
      <c r="K375" s="2">
        <v>16692</v>
      </c>
      <c r="L375" s="35">
        <v>51846436.979999997</v>
      </c>
      <c r="M375" s="36">
        <v>15600</v>
      </c>
      <c r="N375" s="40">
        <v>465789</v>
      </c>
      <c r="O375" s="40">
        <v>315124</v>
      </c>
      <c r="P375" s="40">
        <v>0</v>
      </c>
      <c r="Q375" s="40">
        <v>99309</v>
      </c>
      <c r="R375" s="40">
        <v>727270</v>
      </c>
      <c r="S375" s="40">
        <v>354356</v>
      </c>
      <c r="T375" s="37">
        <v>30000</v>
      </c>
      <c r="U375" s="40">
        <v>3428500</v>
      </c>
      <c r="V375" s="40">
        <v>0</v>
      </c>
      <c r="W375" s="45">
        <v>5420348</v>
      </c>
      <c r="X375" s="46">
        <v>10.4546200582519</v>
      </c>
    </row>
    <row r="376" spans="1:24" s="4" customFormat="1" ht="15" customHeight="1">
      <c r="A376" s="28" t="s">
        <v>1109</v>
      </c>
      <c r="B376" s="29">
        <v>3106.0650000000001</v>
      </c>
      <c r="C376" s="30" t="s">
        <v>1188</v>
      </c>
      <c r="D376" s="2">
        <v>4948828046</v>
      </c>
      <c r="E376" s="2" t="s">
        <v>14</v>
      </c>
      <c r="F376" s="2" t="s">
        <v>1189</v>
      </c>
      <c r="G376" s="28" t="s">
        <v>5</v>
      </c>
      <c r="H376" s="2" t="s">
        <v>17</v>
      </c>
      <c r="I376" s="2">
        <v>1</v>
      </c>
      <c r="J376" s="2" t="s">
        <v>1190</v>
      </c>
      <c r="K376" s="2">
        <v>12780</v>
      </c>
      <c r="L376" s="35">
        <v>39695510.700000003</v>
      </c>
      <c r="M376" s="36">
        <v>9000</v>
      </c>
      <c r="N376" s="40">
        <v>221219.05013192599</v>
      </c>
      <c r="O376" s="40">
        <v>196340.105540897</v>
      </c>
      <c r="P376" s="40">
        <v>0</v>
      </c>
      <c r="Q376" s="40">
        <v>47165.224274406297</v>
      </c>
      <c r="R376" s="40">
        <v>254714.24802110801</v>
      </c>
      <c r="S376" s="40">
        <v>168295.725593668</v>
      </c>
      <c r="T376" s="37">
        <v>30000</v>
      </c>
      <c r="U376" s="40">
        <v>3304923.4828495998</v>
      </c>
      <c r="V376" s="40">
        <v>0</v>
      </c>
      <c r="W376" s="45">
        <v>4222657.8364116</v>
      </c>
      <c r="X376" s="46">
        <v>10.6376206325306</v>
      </c>
    </row>
    <row r="377" spans="1:24" s="4" customFormat="1" ht="15" customHeight="1">
      <c r="A377" s="28" t="s">
        <v>1109</v>
      </c>
      <c r="B377" s="29">
        <v>3106.0650000000001</v>
      </c>
      <c r="C377" s="30" t="s">
        <v>1188</v>
      </c>
      <c r="D377" s="2">
        <v>4948774494</v>
      </c>
      <c r="E377" s="2" t="s">
        <v>14</v>
      </c>
      <c r="F377" s="2" t="s">
        <v>1189</v>
      </c>
      <c r="G377" s="28" t="s">
        <v>5</v>
      </c>
      <c r="H377" s="2" t="s">
        <v>17</v>
      </c>
      <c r="I377" s="2">
        <v>1</v>
      </c>
      <c r="J377" s="2" t="s">
        <v>1190</v>
      </c>
      <c r="K377" s="2">
        <v>18792</v>
      </c>
      <c r="L377" s="35">
        <v>58369173.479999997</v>
      </c>
      <c r="M377" s="36">
        <v>2400</v>
      </c>
      <c r="N377" s="40">
        <v>58991.746701846998</v>
      </c>
      <c r="O377" s="40">
        <v>52357.361477572602</v>
      </c>
      <c r="P377" s="40">
        <v>0</v>
      </c>
      <c r="Q377" s="40">
        <v>12577.393139841701</v>
      </c>
      <c r="R377" s="40">
        <v>67923.799472295505</v>
      </c>
      <c r="S377" s="40">
        <v>44878.860158311298</v>
      </c>
      <c r="T377" s="37">
        <v>30000</v>
      </c>
      <c r="U377" s="40">
        <v>881312.92875989503</v>
      </c>
      <c r="V377" s="40">
        <v>0</v>
      </c>
      <c r="W377" s="45">
        <v>1148042.0897097599</v>
      </c>
      <c r="X377" s="46">
        <v>1.96686370778085</v>
      </c>
    </row>
    <row r="378" spans="1:24" s="4" customFormat="1" ht="15" customHeight="1">
      <c r="A378" s="28" t="s">
        <v>1109</v>
      </c>
      <c r="B378" s="29">
        <v>3106.0650000000001</v>
      </c>
      <c r="C378" s="30" t="s">
        <v>1188</v>
      </c>
      <c r="D378" s="2">
        <v>4948413337</v>
      </c>
      <c r="E378" s="2" t="s">
        <v>14</v>
      </c>
      <c r="F378" s="2" t="s">
        <v>1189</v>
      </c>
      <c r="G378" s="28" t="s">
        <v>5</v>
      </c>
      <c r="H378" s="2" t="s">
        <v>17</v>
      </c>
      <c r="I378" s="2">
        <v>1</v>
      </c>
      <c r="J378" s="2" t="s">
        <v>1190</v>
      </c>
      <c r="K378" s="2">
        <v>9820</v>
      </c>
      <c r="L378" s="35">
        <v>30501558.300000001</v>
      </c>
      <c r="M378" s="36">
        <v>2000</v>
      </c>
      <c r="N378" s="40">
        <v>49159.788918205799</v>
      </c>
      <c r="O378" s="40">
        <v>43631.134564643799</v>
      </c>
      <c r="P378" s="40">
        <v>0</v>
      </c>
      <c r="Q378" s="40">
        <v>10481.160949868099</v>
      </c>
      <c r="R378" s="40">
        <v>56603.166226912901</v>
      </c>
      <c r="S378" s="40">
        <v>37399.050131926102</v>
      </c>
      <c r="T378" s="37">
        <v>30000</v>
      </c>
      <c r="U378" s="40">
        <v>734427.44063324505</v>
      </c>
      <c r="V378" s="40">
        <v>0</v>
      </c>
      <c r="W378" s="45">
        <v>961701.74142480199</v>
      </c>
      <c r="X378" s="46">
        <v>3.15295937330783</v>
      </c>
    </row>
    <row r="379" spans="1:24" s="4" customFormat="1" ht="15" customHeight="1">
      <c r="A379" s="28" t="s">
        <v>1109</v>
      </c>
      <c r="B379" s="29">
        <v>3106.0650000000001</v>
      </c>
      <c r="C379" s="30" t="s">
        <v>1188</v>
      </c>
      <c r="D379" s="2">
        <v>4948828031</v>
      </c>
      <c r="E379" s="2" t="s">
        <v>14</v>
      </c>
      <c r="F379" s="2" t="s">
        <v>1189</v>
      </c>
      <c r="G379" s="28" t="s">
        <v>5</v>
      </c>
      <c r="H379" s="2" t="s">
        <v>17</v>
      </c>
      <c r="I379" s="2">
        <v>1</v>
      </c>
      <c r="J379" s="2" t="s">
        <v>1190</v>
      </c>
      <c r="K379" s="2">
        <v>2399</v>
      </c>
      <c r="L379" s="35">
        <v>7451449.9349999996</v>
      </c>
      <c r="M379" s="36">
        <v>50</v>
      </c>
      <c r="N379" s="40">
        <v>1228.9947229551501</v>
      </c>
      <c r="O379" s="40">
        <v>1090.77836411609</v>
      </c>
      <c r="P379" s="40">
        <v>0</v>
      </c>
      <c r="Q379" s="40">
        <v>262.02902374670202</v>
      </c>
      <c r="R379" s="40">
        <v>1415.07915567282</v>
      </c>
      <c r="S379" s="40">
        <v>934.97625329815298</v>
      </c>
      <c r="T379" s="37">
        <v>30000</v>
      </c>
      <c r="U379" s="40">
        <v>18360.686015831099</v>
      </c>
      <c r="V379" s="40">
        <v>0</v>
      </c>
      <c r="W379" s="45">
        <v>53292.543535620003</v>
      </c>
      <c r="X379" s="46">
        <v>0.71519696167186297</v>
      </c>
    </row>
    <row r="380" spans="1:24" s="4" customFormat="1" ht="15" customHeight="1">
      <c r="A380" s="28" t="s">
        <v>1109</v>
      </c>
      <c r="B380" s="29">
        <v>3106.0650000000001</v>
      </c>
      <c r="C380" s="30" t="s">
        <v>1188</v>
      </c>
      <c r="D380" s="2">
        <v>4948951748</v>
      </c>
      <c r="E380" s="2" t="s">
        <v>14</v>
      </c>
      <c r="F380" s="2" t="s">
        <v>1189</v>
      </c>
      <c r="G380" s="28" t="s">
        <v>5</v>
      </c>
      <c r="H380" s="2" t="s">
        <v>17</v>
      </c>
      <c r="I380" s="2">
        <v>1</v>
      </c>
      <c r="J380" s="2" t="s">
        <v>1190</v>
      </c>
      <c r="K380" s="2">
        <v>46475</v>
      </c>
      <c r="L380" s="35">
        <v>144354370.875</v>
      </c>
      <c r="M380" s="36">
        <v>5500</v>
      </c>
      <c r="N380" s="40">
        <v>135189.41952506601</v>
      </c>
      <c r="O380" s="40">
        <v>119985.62005277</v>
      </c>
      <c r="P380" s="40">
        <v>0</v>
      </c>
      <c r="Q380" s="40">
        <v>28823.192612137202</v>
      </c>
      <c r="R380" s="40">
        <v>155658.70712401101</v>
      </c>
      <c r="S380" s="40">
        <v>102847.387862797</v>
      </c>
      <c r="T380" s="37">
        <v>30000</v>
      </c>
      <c r="U380" s="40">
        <v>2019675.46174142</v>
      </c>
      <c r="V380" s="40">
        <v>0</v>
      </c>
      <c r="W380" s="45">
        <v>2592179.7889181999</v>
      </c>
      <c r="X380" s="46">
        <v>1.7957057851492699</v>
      </c>
    </row>
    <row r="381" spans="1:24" s="4" customFormat="1" ht="15" customHeight="1">
      <c r="A381" s="28" t="s">
        <v>1109</v>
      </c>
      <c r="B381" s="29">
        <v>3106.0650000000001</v>
      </c>
      <c r="C381" s="30" t="s">
        <v>1213</v>
      </c>
      <c r="D381" s="2">
        <v>4948267743</v>
      </c>
      <c r="E381" s="2" t="s">
        <v>14</v>
      </c>
      <c r="F381" s="2" t="s">
        <v>1214</v>
      </c>
      <c r="G381" s="28" t="s">
        <v>9</v>
      </c>
      <c r="H381" s="2" t="s">
        <v>23</v>
      </c>
      <c r="I381" s="2">
        <v>4</v>
      </c>
      <c r="J381" s="2"/>
      <c r="K381" s="2">
        <v>7328</v>
      </c>
      <c r="L381" s="35">
        <v>22761244.32</v>
      </c>
      <c r="M381" s="36">
        <v>3200</v>
      </c>
      <c r="N381" s="40">
        <v>521009</v>
      </c>
      <c r="O381" s="40">
        <v>2109</v>
      </c>
      <c r="P381" s="40">
        <v>0</v>
      </c>
      <c r="Q381" s="40">
        <v>65949</v>
      </c>
      <c r="R381" s="40">
        <v>142693</v>
      </c>
      <c r="S381" s="40">
        <v>354356</v>
      </c>
      <c r="T381" s="37">
        <v>30000</v>
      </c>
      <c r="U381" s="40">
        <v>1668400</v>
      </c>
      <c r="V381" s="40">
        <v>0</v>
      </c>
      <c r="W381" s="45">
        <v>2784516</v>
      </c>
      <c r="X381" s="46">
        <v>12.233584248965199</v>
      </c>
    </row>
    <row r="382" spans="1:24" s="4" customFormat="1" ht="15" customHeight="1">
      <c r="A382" s="28" t="s">
        <v>1109</v>
      </c>
      <c r="B382" s="29">
        <v>3106.0650000000001</v>
      </c>
      <c r="C382" s="30" t="s">
        <v>1222</v>
      </c>
      <c r="D382" s="2">
        <v>4948951746</v>
      </c>
      <c r="E382" s="2" t="s">
        <v>14</v>
      </c>
      <c r="F382" s="78" t="s">
        <v>1223</v>
      </c>
      <c r="G382" s="28" t="s">
        <v>9</v>
      </c>
      <c r="H382" s="2" t="s">
        <v>23</v>
      </c>
      <c r="I382" s="2">
        <v>1</v>
      </c>
      <c r="J382" s="2"/>
      <c r="K382" s="2">
        <v>2070.6</v>
      </c>
      <c r="L382" s="35">
        <v>6431418.1890000002</v>
      </c>
      <c r="M382" s="36">
        <v>420</v>
      </c>
      <c r="N382" s="40">
        <v>447282</v>
      </c>
      <c r="O382" s="40">
        <v>280</v>
      </c>
      <c r="P382" s="40">
        <v>0</v>
      </c>
      <c r="Q382" s="40">
        <v>6874</v>
      </c>
      <c r="R382" s="40">
        <v>85791</v>
      </c>
      <c r="S382" s="40">
        <v>354356</v>
      </c>
      <c r="T382" s="37">
        <v>30000</v>
      </c>
      <c r="U382" s="40">
        <v>310606.38297872298</v>
      </c>
      <c r="V382" s="40">
        <v>198829.787234043</v>
      </c>
      <c r="W382" s="45">
        <v>1434019.1702127701</v>
      </c>
      <c r="X382" s="46">
        <v>22.297091062519399</v>
      </c>
    </row>
    <row r="383" spans="1:24" s="4" customFormat="1" ht="15" customHeight="1">
      <c r="A383" s="28" t="s">
        <v>1109</v>
      </c>
      <c r="B383" s="29">
        <v>3106.0650000000001</v>
      </c>
      <c r="C383" s="30" t="s">
        <v>1227</v>
      </c>
      <c r="D383" s="2">
        <v>4948828035</v>
      </c>
      <c r="E383" s="2" t="s">
        <v>14</v>
      </c>
      <c r="F383" s="2" t="s">
        <v>1228</v>
      </c>
      <c r="G383" s="28" t="s">
        <v>5</v>
      </c>
      <c r="H383" s="2" t="s">
        <v>20</v>
      </c>
      <c r="I383" s="2">
        <v>1</v>
      </c>
      <c r="J383" s="2" t="s">
        <v>1229</v>
      </c>
      <c r="K383" s="2">
        <v>33096</v>
      </c>
      <c r="L383" s="35">
        <v>102798327.23999999</v>
      </c>
      <c r="M383" s="36">
        <v>16800</v>
      </c>
      <c r="N383" s="40">
        <v>318181</v>
      </c>
      <c r="O383" s="40">
        <v>315124</v>
      </c>
      <c r="P383" s="40">
        <v>0</v>
      </c>
      <c r="Q383" s="40">
        <v>99309</v>
      </c>
      <c r="R383" s="40">
        <v>530350</v>
      </c>
      <c r="S383" s="40">
        <v>354356</v>
      </c>
      <c r="T383" s="37">
        <v>30000</v>
      </c>
      <c r="U383" s="40">
        <v>5014900</v>
      </c>
      <c r="V383" s="40">
        <v>0</v>
      </c>
      <c r="W383" s="45">
        <v>6662220</v>
      </c>
      <c r="X383" s="46">
        <v>6.4808642113853896</v>
      </c>
    </row>
    <row r="384" spans="1:24" s="4" customFormat="1" ht="15" customHeight="1">
      <c r="A384" s="28" t="s">
        <v>1109</v>
      </c>
      <c r="B384" s="29">
        <v>3106.0650000000001</v>
      </c>
      <c r="C384" s="30" t="s">
        <v>1230</v>
      </c>
      <c r="D384" s="2">
        <v>4949035725</v>
      </c>
      <c r="E384" s="2" t="s">
        <v>14</v>
      </c>
      <c r="F384" s="2" t="s">
        <v>1231</v>
      </c>
      <c r="G384" s="28" t="s">
        <v>9</v>
      </c>
      <c r="H384" s="2" t="s">
        <v>23</v>
      </c>
      <c r="I384" s="2">
        <v>1</v>
      </c>
      <c r="J384" s="2"/>
      <c r="K384" s="2">
        <v>1951.2</v>
      </c>
      <c r="L384" s="35">
        <v>6060554.0279999999</v>
      </c>
      <c r="M384" s="36">
        <v>120</v>
      </c>
      <c r="N384" s="40">
        <v>434368</v>
      </c>
      <c r="O384" s="40">
        <v>92</v>
      </c>
      <c r="P384" s="40">
        <v>0</v>
      </c>
      <c r="Q384" s="40">
        <v>2308</v>
      </c>
      <c r="R384" s="40">
        <v>81510</v>
      </c>
      <c r="S384" s="40">
        <v>354356</v>
      </c>
      <c r="T384" s="37">
        <v>30000</v>
      </c>
      <c r="U384" s="40">
        <v>60669.090909090897</v>
      </c>
      <c r="V384" s="40">
        <v>0</v>
      </c>
      <c r="W384" s="45">
        <v>963303.09090909106</v>
      </c>
      <c r="X384" s="46">
        <v>15.894637461502599</v>
      </c>
    </row>
    <row r="385" spans="1:24" s="4" customFormat="1" ht="15" customHeight="1">
      <c r="A385" s="28" t="s">
        <v>1109</v>
      </c>
      <c r="B385" s="29">
        <v>3106.0650000000001</v>
      </c>
      <c r="C385" s="30" t="s">
        <v>1237</v>
      </c>
      <c r="D385" s="2">
        <v>4948495889</v>
      </c>
      <c r="E385" s="2" t="s">
        <v>14</v>
      </c>
      <c r="F385" s="2" t="s">
        <v>1238</v>
      </c>
      <c r="G385" s="28" t="s">
        <v>5</v>
      </c>
      <c r="H385" s="2" t="s">
        <v>20</v>
      </c>
      <c r="I385" s="2">
        <v>1</v>
      </c>
      <c r="J385" s="2" t="s">
        <v>1239</v>
      </c>
      <c r="K385" s="2">
        <v>20976</v>
      </c>
      <c r="L385" s="35">
        <v>65152819.439999998</v>
      </c>
      <c r="M385" s="36">
        <v>15200</v>
      </c>
      <c r="N385" s="40">
        <v>321838</v>
      </c>
      <c r="O385" s="40">
        <v>315124</v>
      </c>
      <c r="P385" s="40">
        <v>0</v>
      </c>
      <c r="Q385" s="40">
        <v>99309</v>
      </c>
      <c r="R385" s="40">
        <v>535089</v>
      </c>
      <c r="S385" s="40">
        <v>354356</v>
      </c>
      <c r="T385" s="37">
        <v>30000</v>
      </c>
      <c r="U385" s="40">
        <v>3428500</v>
      </c>
      <c r="V385" s="40">
        <v>0</v>
      </c>
      <c r="W385" s="45">
        <v>5084216</v>
      </c>
      <c r="X385" s="46">
        <v>7.8035241509112501</v>
      </c>
    </row>
    <row r="386" spans="1:24" s="4" customFormat="1" ht="15" customHeight="1">
      <c r="A386" s="28" t="s">
        <v>1109</v>
      </c>
      <c r="B386" s="29">
        <v>3106.0650000000001</v>
      </c>
      <c r="C386" s="30" t="s">
        <v>1240</v>
      </c>
      <c r="D386" s="2">
        <v>4949137003</v>
      </c>
      <c r="E386" s="2" t="s">
        <v>14</v>
      </c>
      <c r="F386" s="78" t="s">
        <v>1241</v>
      </c>
      <c r="G386" s="28" t="s">
        <v>9</v>
      </c>
      <c r="H386" s="2" t="s">
        <v>23</v>
      </c>
      <c r="I386" s="2">
        <v>1</v>
      </c>
      <c r="J386" s="2"/>
      <c r="K386" s="2">
        <v>3241.4</v>
      </c>
      <c r="L386" s="35">
        <v>10067999.091</v>
      </c>
      <c r="M386" s="36">
        <v>380</v>
      </c>
      <c r="N386" s="40">
        <v>635663</v>
      </c>
      <c r="O386" s="40">
        <v>280</v>
      </c>
      <c r="P386" s="40">
        <v>0</v>
      </c>
      <c r="Q386" s="40">
        <v>6766</v>
      </c>
      <c r="R386" s="40">
        <v>87276</v>
      </c>
      <c r="S386" s="40">
        <v>354356</v>
      </c>
      <c r="T386" s="37">
        <v>30000</v>
      </c>
      <c r="U386" s="40">
        <v>764302.94117647095</v>
      </c>
      <c r="V386" s="40">
        <v>0</v>
      </c>
      <c r="W386" s="45">
        <v>1878643.9411764699</v>
      </c>
      <c r="X386" s="46">
        <v>18.659556126259801</v>
      </c>
    </row>
    <row r="387" spans="1:24" s="4" customFormat="1" ht="15" customHeight="1">
      <c r="A387" s="28" t="s">
        <v>1109</v>
      </c>
      <c r="B387" s="29">
        <v>3106.0650000000001</v>
      </c>
      <c r="C387" s="30" t="s">
        <v>1244</v>
      </c>
      <c r="D387" s="2">
        <v>4948559407</v>
      </c>
      <c r="E387" s="2" t="s">
        <v>14</v>
      </c>
      <c r="F387" s="2" t="s">
        <v>1245</v>
      </c>
      <c r="G387" s="28" t="s">
        <v>5</v>
      </c>
      <c r="H387" s="2" t="s">
        <v>20</v>
      </c>
      <c r="I387" s="2">
        <v>1</v>
      </c>
      <c r="J387" s="2" t="s">
        <v>1246</v>
      </c>
      <c r="K387" s="2">
        <v>18576</v>
      </c>
      <c r="L387" s="35">
        <v>57698263.439999998</v>
      </c>
      <c r="M387" s="36">
        <v>21600</v>
      </c>
      <c r="N387" s="40">
        <v>321837</v>
      </c>
      <c r="O387" s="40">
        <v>293126</v>
      </c>
      <c r="P387" s="40">
        <v>0</v>
      </c>
      <c r="Q387" s="40">
        <v>102906</v>
      </c>
      <c r="R387" s="40">
        <v>0</v>
      </c>
      <c r="S387" s="40">
        <v>354356</v>
      </c>
      <c r="T387" s="37">
        <v>30000</v>
      </c>
      <c r="U387" s="40">
        <v>2339900</v>
      </c>
      <c r="V387" s="40">
        <v>0</v>
      </c>
      <c r="W387" s="45">
        <v>3442125</v>
      </c>
      <c r="X387" s="46">
        <v>5.9657341396061998</v>
      </c>
    </row>
    <row r="388" spans="1:24" s="4" customFormat="1" ht="15" customHeight="1">
      <c r="A388" s="28" t="s">
        <v>1109</v>
      </c>
      <c r="B388" s="29">
        <v>3106.0650000000001</v>
      </c>
      <c r="C388" s="30" t="s">
        <v>1247</v>
      </c>
      <c r="D388" s="2">
        <v>4948951742</v>
      </c>
      <c r="E388" s="2" t="s">
        <v>14</v>
      </c>
      <c r="F388" s="78" t="s">
        <v>1248</v>
      </c>
      <c r="G388" s="28" t="s">
        <v>9</v>
      </c>
      <c r="H388" s="2" t="s">
        <v>23</v>
      </c>
      <c r="I388" s="2">
        <v>1</v>
      </c>
      <c r="J388" s="2"/>
      <c r="K388" s="2">
        <v>1840</v>
      </c>
      <c r="L388" s="35">
        <v>5715159.5999999996</v>
      </c>
      <c r="M388" s="36">
        <v>800</v>
      </c>
      <c r="N388" s="40">
        <v>634445</v>
      </c>
      <c r="O388" s="40">
        <v>526</v>
      </c>
      <c r="P388" s="40">
        <v>0</v>
      </c>
      <c r="Q388" s="40">
        <v>13182</v>
      </c>
      <c r="R388" s="40">
        <v>93960</v>
      </c>
      <c r="S388" s="40">
        <v>354356</v>
      </c>
      <c r="T388" s="37">
        <v>30000</v>
      </c>
      <c r="U388" s="40">
        <v>591631.20567375899</v>
      </c>
      <c r="V388" s="40">
        <v>378723.40425531898</v>
      </c>
      <c r="W388" s="45">
        <v>2096823.6099290799</v>
      </c>
      <c r="X388" s="46">
        <v>36.688802355214698</v>
      </c>
    </row>
    <row r="389" spans="1:24" s="4" customFormat="1" ht="15" customHeight="1">
      <c r="A389" s="28" t="s">
        <v>1109</v>
      </c>
      <c r="B389" s="29">
        <v>3106.0650000000001</v>
      </c>
      <c r="C389" s="30" t="s">
        <v>1249</v>
      </c>
      <c r="D389" s="2">
        <v>4947917128</v>
      </c>
      <c r="E389" s="2" t="s">
        <v>14</v>
      </c>
      <c r="F389" s="2" t="s">
        <v>1250</v>
      </c>
      <c r="G389" s="28" t="s">
        <v>5</v>
      </c>
      <c r="H389" s="2" t="s">
        <v>20</v>
      </c>
      <c r="I389" s="2">
        <v>1</v>
      </c>
      <c r="J389" s="2" t="s">
        <v>1251</v>
      </c>
      <c r="K389" s="2">
        <v>20357.400000000001</v>
      </c>
      <c r="L389" s="35">
        <v>63231407.630999997</v>
      </c>
      <c r="M389" s="36">
        <v>8400</v>
      </c>
      <c r="N389" s="40">
        <v>168832.005076142</v>
      </c>
      <c r="O389" s="40">
        <v>167959.49238578699</v>
      </c>
      <c r="P389" s="40">
        <v>0</v>
      </c>
      <c r="Q389" s="40">
        <v>52931.192893400999</v>
      </c>
      <c r="R389" s="40">
        <v>387809.78680202999</v>
      </c>
      <c r="S389" s="40">
        <v>188869.94923857899</v>
      </c>
      <c r="T389" s="37">
        <v>30000</v>
      </c>
      <c r="U389" s="40">
        <v>1934718.27411168</v>
      </c>
      <c r="V389" s="40">
        <v>0</v>
      </c>
      <c r="W389" s="45">
        <v>2931120.7005076199</v>
      </c>
      <c r="X389" s="46">
        <v>4.6355455466257904</v>
      </c>
    </row>
    <row r="390" spans="1:24" s="4" customFormat="1" ht="15" customHeight="1">
      <c r="A390" s="28" t="s">
        <v>1109</v>
      </c>
      <c r="B390" s="29">
        <v>3106.0650000000001</v>
      </c>
      <c r="C390" s="30" t="s">
        <v>1249</v>
      </c>
      <c r="D390" s="2">
        <v>4948242169</v>
      </c>
      <c r="E390" s="2" t="s">
        <v>14</v>
      </c>
      <c r="F390" s="2" t="s">
        <v>1250</v>
      </c>
      <c r="G390" s="28" t="s">
        <v>5</v>
      </c>
      <c r="H390" s="2" t="s">
        <v>20</v>
      </c>
      <c r="I390" s="2">
        <v>1</v>
      </c>
      <c r="J390" s="2" t="s">
        <v>1251</v>
      </c>
      <c r="K390" s="2">
        <v>12824</v>
      </c>
      <c r="L390" s="35">
        <v>39832177.560000002</v>
      </c>
      <c r="M390" s="36">
        <v>5600</v>
      </c>
      <c r="N390" s="40">
        <v>112554.67005076099</v>
      </c>
      <c r="O390" s="40">
        <v>111972.994923858</v>
      </c>
      <c r="P390" s="40">
        <v>0</v>
      </c>
      <c r="Q390" s="40">
        <v>35287.461928933997</v>
      </c>
      <c r="R390" s="40">
        <v>258539.85786801999</v>
      </c>
      <c r="S390" s="40">
        <v>125913.299492386</v>
      </c>
      <c r="T390" s="37">
        <v>30000</v>
      </c>
      <c r="U390" s="40">
        <v>1289812.18274112</v>
      </c>
      <c r="V390" s="40">
        <v>0</v>
      </c>
      <c r="W390" s="45">
        <v>1964080.4670050801</v>
      </c>
      <c r="X390" s="46">
        <v>4.9308890131516003</v>
      </c>
    </row>
    <row r="391" spans="1:24" s="4" customFormat="1" ht="15" customHeight="1">
      <c r="A391" s="28" t="s">
        <v>1109</v>
      </c>
      <c r="B391" s="29">
        <v>3106.0650000000001</v>
      </c>
      <c r="C391" s="30" t="s">
        <v>1249</v>
      </c>
      <c r="D391" s="2">
        <v>4948267741</v>
      </c>
      <c r="E391" s="2" t="s">
        <v>14</v>
      </c>
      <c r="F391" s="2" t="s">
        <v>1250</v>
      </c>
      <c r="G391" s="28" t="s">
        <v>5</v>
      </c>
      <c r="H391" s="2" t="s">
        <v>20</v>
      </c>
      <c r="I391" s="2">
        <v>1</v>
      </c>
      <c r="J391" s="2" t="s">
        <v>1251</v>
      </c>
      <c r="K391" s="2">
        <v>2147.1999999999998</v>
      </c>
      <c r="L391" s="35">
        <v>6669342.7680000002</v>
      </c>
      <c r="M391" s="36">
        <v>1760</v>
      </c>
      <c r="N391" s="40">
        <v>35374.324873096397</v>
      </c>
      <c r="O391" s="40">
        <v>35191.512690355303</v>
      </c>
      <c r="P391" s="40">
        <v>0</v>
      </c>
      <c r="Q391" s="40">
        <v>11090.345177665</v>
      </c>
      <c r="R391" s="40">
        <v>81255.355329949205</v>
      </c>
      <c r="S391" s="40">
        <v>39572.7512690355</v>
      </c>
      <c r="T391" s="37">
        <v>30000</v>
      </c>
      <c r="U391" s="40">
        <v>405369.54314720799</v>
      </c>
      <c r="V391" s="40">
        <v>0</v>
      </c>
      <c r="W391" s="45">
        <v>637853.832487309</v>
      </c>
      <c r="X391" s="46">
        <v>9.5639683650356009</v>
      </c>
    </row>
    <row r="392" spans="1:24" s="4" customFormat="1" ht="15" customHeight="1">
      <c r="A392" s="28" t="s">
        <v>1109</v>
      </c>
      <c r="B392" s="29">
        <v>3106.0650000000001</v>
      </c>
      <c r="C392" s="30" t="s">
        <v>1254</v>
      </c>
      <c r="D392" s="2">
        <v>4947106849</v>
      </c>
      <c r="E392" s="2" t="s">
        <v>14</v>
      </c>
      <c r="F392" s="78" t="s">
        <v>1255</v>
      </c>
      <c r="G392" s="28" t="s">
        <v>5</v>
      </c>
      <c r="H392" s="2" t="s">
        <v>20</v>
      </c>
      <c r="I392" s="2">
        <v>1</v>
      </c>
      <c r="J392" s="2" t="s">
        <v>1256</v>
      </c>
      <c r="K392" s="2">
        <v>31040</v>
      </c>
      <c r="L392" s="35">
        <v>96412257.599999994</v>
      </c>
      <c r="M392" s="36">
        <v>8000</v>
      </c>
      <c r="N392" s="40">
        <v>321838</v>
      </c>
      <c r="O392" s="40">
        <v>315124</v>
      </c>
      <c r="P392" s="40">
        <v>0</v>
      </c>
      <c r="Q392" s="40">
        <v>99309</v>
      </c>
      <c r="R392" s="40">
        <v>535089</v>
      </c>
      <c r="S392" s="40">
        <v>354356</v>
      </c>
      <c r="T392" s="37">
        <v>30000</v>
      </c>
      <c r="U392" s="40">
        <v>2601700</v>
      </c>
      <c r="V392" s="40">
        <v>0</v>
      </c>
      <c r="W392" s="45">
        <v>4257416</v>
      </c>
      <c r="X392" s="46">
        <v>4.4158451487189296</v>
      </c>
    </row>
    <row r="393" spans="1:24" s="4" customFormat="1" ht="15" customHeight="1">
      <c r="A393" s="28" t="s">
        <v>1109</v>
      </c>
      <c r="B393" s="29">
        <v>3106.0650000000001</v>
      </c>
      <c r="C393" s="30" t="s">
        <v>1259</v>
      </c>
      <c r="D393" s="2">
        <v>4948495884</v>
      </c>
      <c r="E393" s="2" t="s">
        <v>14</v>
      </c>
      <c r="F393" s="78" t="s">
        <v>1260</v>
      </c>
      <c r="G393" s="28" t="s">
        <v>5</v>
      </c>
      <c r="H393" s="2" t="s">
        <v>20</v>
      </c>
      <c r="I393" s="2">
        <v>1</v>
      </c>
      <c r="J393" s="2" t="s">
        <v>1261</v>
      </c>
      <c r="K393" s="2">
        <v>11214</v>
      </c>
      <c r="L393" s="35">
        <v>34831412.909999996</v>
      </c>
      <c r="M393" s="36">
        <v>300</v>
      </c>
      <c r="N393" s="40">
        <v>11961.6917293233</v>
      </c>
      <c r="O393" s="40">
        <v>11846.7669172932</v>
      </c>
      <c r="P393" s="40">
        <v>0</v>
      </c>
      <c r="Q393" s="40">
        <v>3733.4210526315801</v>
      </c>
      <c r="R393" s="40">
        <v>30151.082706766902</v>
      </c>
      <c r="S393" s="40">
        <v>13321.6541353383</v>
      </c>
      <c r="T393" s="37">
        <v>30000</v>
      </c>
      <c r="U393" s="40">
        <v>109033.83458646599</v>
      </c>
      <c r="V393" s="40">
        <v>0</v>
      </c>
      <c r="W393" s="45">
        <v>210048.45112781899</v>
      </c>
      <c r="X393" s="46">
        <v>0.60304315438066802</v>
      </c>
    </row>
    <row r="394" spans="1:24" s="4" customFormat="1" ht="15" customHeight="1">
      <c r="A394" s="28" t="s">
        <v>1109</v>
      </c>
      <c r="B394" s="29">
        <v>3106.0650000000001</v>
      </c>
      <c r="C394" s="30" t="s">
        <v>1259</v>
      </c>
      <c r="D394" s="2">
        <v>4948772914</v>
      </c>
      <c r="E394" s="2" t="s">
        <v>14</v>
      </c>
      <c r="F394" s="78" t="s">
        <v>1260</v>
      </c>
      <c r="G394" s="28" t="s">
        <v>5</v>
      </c>
      <c r="H394" s="2" t="s">
        <v>20</v>
      </c>
      <c r="I394" s="2">
        <v>1</v>
      </c>
      <c r="J394" s="2" t="s">
        <v>1261</v>
      </c>
      <c r="K394" s="2">
        <v>4468.2</v>
      </c>
      <c r="L394" s="35">
        <v>13878519.632999999</v>
      </c>
      <c r="M394" s="36">
        <v>660</v>
      </c>
      <c r="N394" s="40">
        <v>26315.7218045113</v>
      </c>
      <c r="O394" s="40">
        <v>26062.8872180451</v>
      </c>
      <c r="P394" s="40">
        <v>0</v>
      </c>
      <c r="Q394" s="40">
        <v>8213.5263157894697</v>
      </c>
      <c r="R394" s="40">
        <v>66331.781954887207</v>
      </c>
      <c r="S394" s="40">
        <v>29307.639097744399</v>
      </c>
      <c r="T394" s="37">
        <v>30000</v>
      </c>
      <c r="U394" s="40">
        <v>239874.43609022599</v>
      </c>
      <c r="V394" s="40">
        <v>0</v>
      </c>
      <c r="W394" s="45">
        <v>426105.99248120299</v>
      </c>
      <c r="X394" s="46">
        <v>3.0702553568322899</v>
      </c>
    </row>
    <row r="395" spans="1:24" s="4" customFormat="1" ht="15" customHeight="1">
      <c r="A395" s="28" t="s">
        <v>1109</v>
      </c>
      <c r="B395" s="29">
        <v>3106.0650000000001</v>
      </c>
      <c r="C395" s="30" t="s">
        <v>1259</v>
      </c>
      <c r="D395" s="2">
        <v>4949035720</v>
      </c>
      <c r="E395" s="2" t="s">
        <v>14</v>
      </c>
      <c r="F395" s="78" t="s">
        <v>1260</v>
      </c>
      <c r="G395" s="28" t="s">
        <v>5</v>
      </c>
      <c r="H395" s="2" t="s">
        <v>20</v>
      </c>
      <c r="I395" s="2">
        <v>1</v>
      </c>
      <c r="J395" s="2" t="s">
        <v>1261</v>
      </c>
      <c r="K395" s="2">
        <v>10920</v>
      </c>
      <c r="L395" s="35">
        <v>33918229.799999997</v>
      </c>
      <c r="M395" s="36">
        <v>4200</v>
      </c>
      <c r="N395" s="40">
        <v>167463.684210526</v>
      </c>
      <c r="O395" s="40">
        <v>165854.73684210499</v>
      </c>
      <c r="P395" s="40">
        <v>0</v>
      </c>
      <c r="Q395" s="40">
        <v>52267.8947368421</v>
      </c>
      <c r="R395" s="40">
        <v>422109.15789473703</v>
      </c>
      <c r="S395" s="40">
        <v>186503.157894737</v>
      </c>
      <c r="T395" s="37">
        <v>30000</v>
      </c>
      <c r="U395" s="40">
        <v>1526473.68421053</v>
      </c>
      <c r="V395" s="40">
        <v>0</v>
      </c>
      <c r="W395" s="45">
        <v>2550672.3157894802</v>
      </c>
      <c r="X395" s="46">
        <v>7.5200631956019004</v>
      </c>
    </row>
    <row r="396" spans="1:24" s="4" customFormat="1" ht="15" customHeight="1">
      <c r="A396" s="28" t="s">
        <v>1109</v>
      </c>
      <c r="B396" s="29">
        <v>3106.0650000000001</v>
      </c>
      <c r="C396" s="30" t="s">
        <v>1259</v>
      </c>
      <c r="D396" s="2">
        <v>4949035723</v>
      </c>
      <c r="E396" s="2" t="s">
        <v>14</v>
      </c>
      <c r="F396" s="78" t="s">
        <v>1260</v>
      </c>
      <c r="G396" s="28" t="s">
        <v>5</v>
      </c>
      <c r="H396" s="2" t="s">
        <v>20</v>
      </c>
      <c r="I396" s="2">
        <v>1</v>
      </c>
      <c r="J396" s="2" t="s">
        <v>1261</v>
      </c>
      <c r="K396" s="2">
        <v>8845.2000000000007</v>
      </c>
      <c r="L396" s="35">
        <v>27473766.138</v>
      </c>
      <c r="M396" s="36">
        <v>2520</v>
      </c>
      <c r="N396" s="40">
        <v>100478.210526316</v>
      </c>
      <c r="O396" s="40">
        <v>99512.842105263102</v>
      </c>
      <c r="P396" s="40">
        <v>0</v>
      </c>
      <c r="Q396" s="40">
        <v>31360.7368421053</v>
      </c>
      <c r="R396" s="40">
        <v>253264.89473684199</v>
      </c>
      <c r="S396" s="40">
        <v>111901.894736842</v>
      </c>
      <c r="T396" s="37">
        <v>30000</v>
      </c>
      <c r="U396" s="40">
        <v>915884.21052631596</v>
      </c>
      <c r="V396" s="40">
        <v>0</v>
      </c>
      <c r="W396" s="45">
        <v>1542402.7894736801</v>
      </c>
      <c r="X396" s="46">
        <v>5.6140930286959403</v>
      </c>
    </row>
    <row r="397" spans="1:24" s="4" customFormat="1" ht="15" customHeight="1">
      <c r="A397" s="28" t="s">
        <v>1109</v>
      </c>
      <c r="B397" s="29">
        <v>3106.0650000000001</v>
      </c>
      <c r="C397" s="30" t="s">
        <v>1259</v>
      </c>
      <c r="D397" s="2">
        <v>4949035723</v>
      </c>
      <c r="E397" s="2" t="s">
        <v>14</v>
      </c>
      <c r="F397" s="78" t="s">
        <v>1260</v>
      </c>
      <c r="G397" s="28" t="s">
        <v>5</v>
      </c>
      <c r="H397" s="2" t="s">
        <v>20</v>
      </c>
      <c r="I397" s="2">
        <v>1</v>
      </c>
      <c r="J397" s="2" t="s">
        <v>1261</v>
      </c>
      <c r="K397" s="2">
        <v>1518</v>
      </c>
      <c r="L397" s="35">
        <v>4715006.67</v>
      </c>
      <c r="M397" s="36">
        <v>300</v>
      </c>
      <c r="N397" s="40">
        <v>11961.6917293233</v>
      </c>
      <c r="O397" s="40">
        <v>11846.7669172932</v>
      </c>
      <c r="P397" s="40">
        <v>0</v>
      </c>
      <c r="Q397" s="40">
        <v>3733.4210526315801</v>
      </c>
      <c r="R397" s="40">
        <v>30151.082706766902</v>
      </c>
      <c r="S397" s="40">
        <v>13321.6541353383</v>
      </c>
      <c r="T397" s="37">
        <v>30000</v>
      </c>
      <c r="U397" s="40">
        <v>109033.83458646599</v>
      </c>
      <c r="V397" s="40">
        <v>0</v>
      </c>
      <c r="W397" s="45">
        <v>210048.45112781899</v>
      </c>
      <c r="X397" s="46">
        <v>4.4548919191204304</v>
      </c>
    </row>
    <row r="398" spans="1:24" s="4" customFormat="1" ht="15" customHeight="1">
      <c r="A398" s="28" t="s">
        <v>1109</v>
      </c>
      <c r="B398" s="29">
        <v>3106.0650000000001</v>
      </c>
      <c r="C398" s="30" t="s">
        <v>1306</v>
      </c>
      <c r="D398" s="2">
        <v>4948413338</v>
      </c>
      <c r="E398" s="2" t="s">
        <v>14</v>
      </c>
      <c r="F398" s="78" t="s">
        <v>1307</v>
      </c>
      <c r="G398" s="28" t="s">
        <v>5</v>
      </c>
      <c r="H398" s="2" t="s">
        <v>20</v>
      </c>
      <c r="I398" s="2">
        <v>1</v>
      </c>
      <c r="J398" s="2" t="s">
        <v>1308</v>
      </c>
      <c r="K398" s="2">
        <v>3537.5</v>
      </c>
      <c r="L398" s="35">
        <v>10987704.9375</v>
      </c>
      <c r="M398" s="36">
        <v>250</v>
      </c>
      <c r="N398" s="40">
        <v>32285.535465924899</v>
      </c>
      <c r="O398" s="40">
        <v>21914.047287899899</v>
      </c>
      <c r="P398" s="40">
        <v>0</v>
      </c>
      <c r="Q398" s="40">
        <v>6906.0500695410301</v>
      </c>
      <c r="R398" s="40">
        <v>50717.944367176598</v>
      </c>
      <c r="S398" s="40">
        <v>24642.280945758001</v>
      </c>
      <c r="T398" s="37">
        <v>30000</v>
      </c>
      <c r="U398" s="40">
        <v>182127.955493741</v>
      </c>
      <c r="V398" s="40">
        <v>0</v>
      </c>
      <c r="W398" s="45">
        <v>348593.81363004103</v>
      </c>
      <c r="X398" s="46">
        <v>3.1725807674387401</v>
      </c>
    </row>
    <row r="399" spans="1:24" s="4" customFormat="1" ht="15" customHeight="1">
      <c r="A399" s="28" t="s">
        <v>1109</v>
      </c>
      <c r="B399" s="29">
        <v>3106.0650000000001</v>
      </c>
      <c r="C399" s="30" t="s">
        <v>1306</v>
      </c>
      <c r="D399" s="2">
        <v>4948951745</v>
      </c>
      <c r="E399" s="2" t="s">
        <v>14</v>
      </c>
      <c r="F399" s="78" t="s">
        <v>1307</v>
      </c>
      <c r="G399" s="28" t="s">
        <v>5</v>
      </c>
      <c r="H399" s="2" t="s">
        <v>20</v>
      </c>
      <c r="I399" s="2">
        <v>1</v>
      </c>
      <c r="J399" s="2" t="s">
        <v>1308</v>
      </c>
      <c r="K399" s="2">
        <v>16275.6</v>
      </c>
      <c r="L399" s="35">
        <v>50553071.513999999</v>
      </c>
      <c r="M399" s="36">
        <v>2970</v>
      </c>
      <c r="N399" s="40">
        <v>383552.16133518802</v>
      </c>
      <c r="O399" s="40">
        <v>260338.88178025</v>
      </c>
      <c r="P399" s="40">
        <v>0</v>
      </c>
      <c r="Q399" s="40">
        <v>82043.874826147396</v>
      </c>
      <c r="R399" s="40">
        <v>602601.13908205798</v>
      </c>
      <c r="S399" s="40">
        <v>292750.29763560498</v>
      </c>
      <c r="T399" s="37">
        <v>30000</v>
      </c>
      <c r="U399" s="40">
        <v>2163680.11126565</v>
      </c>
      <c r="V399" s="40">
        <v>0</v>
      </c>
      <c r="W399" s="45">
        <v>3814966.4659249</v>
      </c>
      <c r="X399" s="46">
        <v>7.5464583093994504</v>
      </c>
    </row>
    <row r="400" spans="1:24" s="4" customFormat="1" ht="15" customHeight="1">
      <c r="A400" s="28" t="s">
        <v>1109</v>
      </c>
      <c r="B400" s="29">
        <v>3106.0650000000001</v>
      </c>
      <c r="C400" s="30" t="s">
        <v>1311</v>
      </c>
      <c r="D400" s="2">
        <v>4948775104</v>
      </c>
      <c r="E400" s="2" t="s">
        <v>14</v>
      </c>
      <c r="F400" s="2" t="s">
        <v>1312</v>
      </c>
      <c r="G400" s="28" t="s">
        <v>9</v>
      </c>
      <c r="H400" s="2" t="s">
        <v>23</v>
      </c>
      <c r="I400" s="2">
        <v>4</v>
      </c>
      <c r="J400" s="2"/>
      <c r="K400" s="2">
        <v>31358.25</v>
      </c>
      <c r="L400" s="35">
        <v>97400762.786249995</v>
      </c>
      <c r="M400" s="36">
        <v>1575</v>
      </c>
      <c r="N400" s="40">
        <v>397834.73523421597</v>
      </c>
      <c r="O400" s="40">
        <v>1024.5519348268799</v>
      </c>
      <c r="P400" s="40">
        <v>0</v>
      </c>
      <c r="Q400" s="40">
        <v>25683.085539714899</v>
      </c>
      <c r="R400" s="40">
        <v>77185.906313645595</v>
      </c>
      <c r="S400" s="40">
        <v>227336.33401222</v>
      </c>
      <c r="T400" s="37">
        <v>30000</v>
      </c>
      <c r="U400" s="40">
        <v>796281.818181818</v>
      </c>
      <c r="V400" s="40">
        <v>0</v>
      </c>
      <c r="W400" s="45">
        <v>1555346.4312164399</v>
      </c>
      <c r="X400" s="46">
        <v>1.59685241339404</v>
      </c>
    </row>
    <row r="401" spans="1:24" s="4" customFormat="1" ht="15" customHeight="1">
      <c r="A401" s="28" t="s">
        <v>1109</v>
      </c>
      <c r="B401" s="29">
        <v>3106.0650000000001</v>
      </c>
      <c r="C401" s="30" t="s">
        <v>1311</v>
      </c>
      <c r="D401" s="2">
        <v>4949035724</v>
      </c>
      <c r="E401" s="2" t="s">
        <v>14</v>
      </c>
      <c r="F401" s="2" t="s">
        <v>1312</v>
      </c>
      <c r="G401" s="28" t="s">
        <v>9</v>
      </c>
      <c r="H401" s="2" t="s">
        <v>23</v>
      </c>
      <c r="I401" s="2">
        <v>4</v>
      </c>
      <c r="J401" s="2"/>
      <c r="K401" s="2">
        <v>2156</v>
      </c>
      <c r="L401" s="35">
        <v>6696676.1399999997</v>
      </c>
      <c r="M401" s="36">
        <v>880</v>
      </c>
      <c r="N401" s="40">
        <v>222282.264765784</v>
      </c>
      <c r="O401" s="40">
        <v>572.44806517311599</v>
      </c>
      <c r="P401" s="40">
        <v>0</v>
      </c>
      <c r="Q401" s="40">
        <v>14349.914460285099</v>
      </c>
      <c r="R401" s="40">
        <v>43126.093686354398</v>
      </c>
      <c r="S401" s="40">
        <v>127019.66598778</v>
      </c>
      <c r="T401" s="37">
        <v>30000</v>
      </c>
      <c r="U401" s="40">
        <v>444906.66666666698</v>
      </c>
      <c r="V401" s="40">
        <v>0</v>
      </c>
      <c r="W401" s="45">
        <v>882257.053632044</v>
      </c>
      <c r="X401" s="46">
        <v>13.174551601237299</v>
      </c>
    </row>
    <row r="402" spans="1:24" s="4" customFormat="1" ht="15" customHeight="1">
      <c r="A402" s="28" t="s">
        <v>1109</v>
      </c>
      <c r="B402" s="29">
        <v>3106.0650000000001</v>
      </c>
      <c r="C402" s="30" t="s">
        <v>1315</v>
      </c>
      <c r="D402" s="2">
        <v>4948559409</v>
      </c>
      <c r="E402" s="2" t="s">
        <v>14</v>
      </c>
      <c r="F402" s="2" t="s">
        <v>1316</v>
      </c>
      <c r="G402" s="28" t="s">
        <v>9</v>
      </c>
      <c r="H402" s="2" t="s">
        <v>23</v>
      </c>
      <c r="I402" s="2">
        <v>6</v>
      </c>
      <c r="J402" s="2"/>
      <c r="K402" s="2">
        <v>12426</v>
      </c>
      <c r="L402" s="35">
        <v>38595963.689999998</v>
      </c>
      <c r="M402" s="36">
        <v>600</v>
      </c>
      <c r="N402" s="40">
        <v>537320</v>
      </c>
      <c r="O402" s="40">
        <v>415.58823529411802</v>
      </c>
      <c r="P402" s="40">
        <v>0</v>
      </c>
      <c r="Q402" s="40">
        <v>10371.7647058824</v>
      </c>
      <c r="R402" s="40">
        <v>36257.352941176498</v>
      </c>
      <c r="S402" s="40">
        <v>104222.352941176</v>
      </c>
      <c r="T402" s="37">
        <v>30000</v>
      </c>
      <c r="U402" s="40">
        <v>348551.53203342599</v>
      </c>
      <c r="V402" s="40">
        <v>223119.777158774</v>
      </c>
      <c r="W402" s="45">
        <v>1290258.3680157301</v>
      </c>
      <c r="X402" s="46">
        <v>3.34298782737747</v>
      </c>
    </row>
    <row r="403" spans="1:24" s="4" customFormat="1" ht="15" customHeight="1">
      <c r="A403" s="28" t="s">
        <v>1109</v>
      </c>
      <c r="B403" s="29">
        <v>3106.0650000000001</v>
      </c>
      <c r="C403" s="30" t="s">
        <v>1315</v>
      </c>
      <c r="D403" s="2">
        <v>4948242184</v>
      </c>
      <c r="E403" s="2" t="s">
        <v>14</v>
      </c>
      <c r="F403" s="2" t="s">
        <v>1316</v>
      </c>
      <c r="G403" s="28" t="s">
        <v>9</v>
      </c>
      <c r="H403" s="2" t="s">
        <v>23</v>
      </c>
      <c r="I403" s="2">
        <v>6</v>
      </c>
      <c r="J403" s="2"/>
      <c r="K403" s="2">
        <v>57009.599999999999</v>
      </c>
      <c r="L403" s="35">
        <v>177075523.22400001</v>
      </c>
      <c r="M403" s="36">
        <v>1440</v>
      </c>
      <c r="N403" s="40">
        <v>1289568</v>
      </c>
      <c r="O403" s="40">
        <v>997.41176470588198</v>
      </c>
      <c r="P403" s="40">
        <v>0</v>
      </c>
      <c r="Q403" s="40">
        <v>24892.235294117701</v>
      </c>
      <c r="R403" s="40">
        <v>87017.647058823495</v>
      </c>
      <c r="S403" s="40">
        <v>250133.64705882399</v>
      </c>
      <c r="T403" s="37">
        <v>30000</v>
      </c>
      <c r="U403" s="40">
        <v>836523.67688022298</v>
      </c>
      <c r="V403" s="40">
        <v>535487.46518105897</v>
      </c>
      <c r="W403" s="45">
        <v>3054620.08323775</v>
      </c>
      <c r="X403" s="46">
        <v>1.7250380106874901</v>
      </c>
    </row>
    <row r="404" spans="1:24" s="4" customFormat="1" ht="15" customHeight="1">
      <c r="A404" s="28" t="s">
        <v>1109</v>
      </c>
      <c r="B404" s="29">
        <v>3106.0650000000001</v>
      </c>
      <c r="C404" s="30" t="s">
        <v>1319</v>
      </c>
      <c r="D404" s="2">
        <v>4948495881</v>
      </c>
      <c r="E404" s="2" t="s">
        <v>14</v>
      </c>
      <c r="F404" s="78" t="s">
        <v>1320</v>
      </c>
      <c r="G404" s="28" t="s">
        <v>9</v>
      </c>
      <c r="H404" s="2" t="s">
        <v>23</v>
      </c>
      <c r="I404" s="2">
        <v>3</v>
      </c>
      <c r="J404" s="2"/>
      <c r="K404" s="2">
        <v>2392.1999999999998</v>
      </c>
      <c r="L404" s="35">
        <v>7430328.693</v>
      </c>
      <c r="M404" s="36">
        <v>420</v>
      </c>
      <c r="N404" s="40">
        <v>231459.717391304</v>
      </c>
      <c r="O404" s="40">
        <v>283.5</v>
      </c>
      <c r="P404" s="40">
        <v>0</v>
      </c>
      <c r="Q404" s="40">
        <v>7048.6956521739103</v>
      </c>
      <c r="R404" s="40">
        <v>45554.021739130403</v>
      </c>
      <c r="S404" s="40">
        <v>161771.217391304</v>
      </c>
      <c r="T404" s="37">
        <v>30000</v>
      </c>
      <c r="U404" s="40">
        <v>308835.48387096799</v>
      </c>
      <c r="V404" s="40">
        <v>0</v>
      </c>
      <c r="W404" s="45">
        <v>784952.63604488003</v>
      </c>
      <c r="X404" s="46">
        <v>10.5641710949392</v>
      </c>
    </row>
    <row r="405" spans="1:24" s="4" customFormat="1" ht="15" customHeight="1">
      <c r="A405" s="28" t="s">
        <v>1109</v>
      </c>
      <c r="B405" s="29">
        <v>3106.0650000000001</v>
      </c>
      <c r="C405" s="30" t="s">
        <v>1319</v>
      </c>
      <c r="D405" s="2">
        <v>4948830203</v>
      </c>
      <c r="E405" s="2" t="s">
        <v>14</v>
      </c>
      <c r="F405" s="78" t="s">
        <v>1320</v>
      </c>
      <c r="G405" s="28" t="s">
        <v>9</v>
      </c>
      <c r="H405" s="2" t="s">
        <v>23</v>
      </c>
      <c r="I405" s="2">
        <v>3</v>
      </c>
      <c r="J405" s="2"/>
      <c r="K405" s="2">
        <v>2945</v>
      </c>
      <c r="L405" s="35">
        <v>9147361.4250000007</v>
      </c>
      <c r="M405" s="36">
        <v>500</v>
      </c>
      <c r="N405" s="40">
        <v>275547.28260869603</v>
      </c>
      <c r="O405" s="40">
        <v>337.5</v>
      </c>
      <c r="P405" s="40">
        <v>0</v>
      </c>
      <c r="Q405" s="40">
        <v>8391.3043478260897</v>
      </c>
      <c r="R405" s="40">
        <v>54230.978260869597</v>
      </c>
      <c r="S405" s="40">
        <v>192584.782608696</v>
      </c>
      <c r="T405" s="37">
        <v>30000</v>
      </c>
      <c r="U405" s="40">
        <v>367661.29032258102</v>
      </c>
      <c r="V405" s="40">
        <v>0</v>
      </c>
      <c r="W405" s="45">
        <v>928753.13814866904</v>
      </c>
      <c r="X405" s="46">
        <v>10.1532353975908</v>
      </c>
    </row>
    <row r="406" spans="1:24" s="4" customFormat="1" ht="15" customHeight="1">
      <c r="A406" s="28" t="s">
        <v>1109</v>
      </c>
      <c r="B406" s="29">
        <v>3106.0650000000001</v>
      </c>
      <c r="C406" s="30" t="s">
        <v>1323</v>
      </c>
      <c r="D406" s="2">
        <v>4948775148</v>
      </c>
      <c r="E406" s="2" t="s">
        <v>14</v>
      </c>
      <c r="F406" s="78" t="s">
        <v>1324</v>
      </c>
      <c r="G406" s="28" t="s">
        <v>9</v>
      </c>
      <c r="H406" s="2" t="s">
        <v>23</v>
      </c>
      <c r="I406" s="2">
        <v>1</v>
      </c>
      <c r="J406" s="2"/>
      <c r="K406" s="2">
        <v>3261.6</v>
      </c>
      <c r="L406" s="35">
        <v>10130741.604</v>
      </c>
      <c r="M406" s="36">
        <v>540</v>
      </c>
      <c r="N406" s="40">
        <v>663064</v>
      </c>
      <c r="O406" s="40">
        <v>402</v>
      </c>
      <c r="P406" s="40">
        <v>0</v>
      </c>
      <c r="Q406" s="40">
        <v>9613</v>
      </c>
      <c r="R406" s="40">
        <v>89044</v>
      </c>
      <c r="S406" s="40">
        <v>354356</v>
      </c>
      <c r="T406" s="37">
        <v>30000</v>
      </c>
      <c r="U406" s="40">
        <v>1367700</v>
      </c>
      <c r="V406" s="40">
        <v>0</v>
      </c>
      <c r="W406" s="45">
        <v>2514179</v>
      </c>
      <c r="X406" s="46">
        <v>24.817324321126801</v>
      </c>
    </row>
    <row r="407" spans="1:24" s="4" customFormat="1" ht="15" customHeight="1">
      <c r="A407" s="28" t="s">
        <v>1109</v>
      </c>
      <c r="B407" s="29">
        <v>3106.0650000000001</v>
      </c>
      <c r="C407" s="30" t="s">
        <v>1339</v>
      </c>
      <c r="D407" s="2">
        <v>4948771043</v>
      </c>
      <c r="E407" s="2" t="s">
        <v>14</v>
      </c>
      <c r="F407" s="2" t="s">
        <v>1340</v>
      </c>
      <c r="G407" s="28" t="s">
        <v>9</v>
      </c>
      <c r="H407" s="2" t="s">
        <v>23</v>
      </c>
      <c r="I407" s="2">
        <v>2</v>
      </c>
      <c r="J407" s="2"/>
      <c r="K407" s="2">
        <v>3349.5</v>
      </c>
      <c r="L407" s="35">
        <v>10403764.717499999</v>
      </c>
      <c r="M407" s="36">
        <v>1050</v>
      </c>
      <c r="N407" s="40">
        <v>480559</v>
      </c>
      <c r="O407" s="40">
        <v>737</v>
      </c>
      <c r="P407" s="40">
        <v>0</v>
      </c>
      <c r="Q407" s="40">
        <v>18601</v>
      </c>
      <c r="R407" s="40">
        <v>96632</v>
      </c>
      <c r="S407" s="40">
        <v>354356</v>
      </c>
      <c r="T407" s="37">
        <v>30000</v>
      </c>
      <c r="U407" s="40">
        <v>530854.54545454495</v>
      </c>
      <c r="V407" s="40">
        <v>0</v>
      </c>
      <c r="W407" s="45">
        <v>1511739.5454545401</v>
      </c>
      <c r="X407" s="46">
        <v>14.530697170723901</v>
      </c>
    </row>
    <row r="408" spans="1:24" s="4" customFormat="1" ht="15" customHeight="1">
      <c r="A408" s="28" t="s">
        <v>1109</v>
      </c>
      <c r="B408" s="29">
        <v>3106.0650000000001</v>
      </c>
      <c r="C408" s="30" t="s">
        <v>1351</v>
      </c>
      <c r="D408" s="2">
        <v>4948828022</v>
      </c>
      <c r="E408" s="2" t="s">
        <v>14</v>
      </c>
      <c r="F408" s="2" t="s">
        <v>1352</v>
      </c>
      <c r="G408" s="28" t="s">
        <v>9</v>
      </c>
      <c r="H408" s="2" t="s">
        <v>23</v>
      </c>
      <c r="I408" s="2">
        <v>5</v>
      </c>
      <c r="J408" s="2"/>
      <c r="K408" s="2">
        <v>207088</v>
      </c>
      <c r="L408" s="35">
        <v>643228788.72000003</v>
      </c>
      <c r="M408" s="36">
        <v>1600</v>
      </c>
      <c r="N408" s="40">
        <v>884491</v>
      </c>
      <c r="O408" s="40">
        <v>1144</v>
      </c>
      <c r="P408" s="40">
        <v>35420</v>
      </c>
      <c r="Q408" s="40">
        <v>28625</v>
      </c>
      <c r="R408" s="40">
        <v>114227</v>
      </c>
      <c r="S408" s="40">
        <v>354356</v>
      </c>
      <c r="T408" s="37">
        <v>30000</v>
      </c>
      <c r="U408" s="40">
        <v>1183262.4113475201</v>
      </c>
      <c r="V408" s="40">
        <v>757446.80851063796</v>
      </c>
      <c r="W408" s="45">
        <v>3388972.2198581598</v>
      </c>
      <c r="X408" s="46">
        <v>0.52686886521389698</v>
      </c>
    </row>
    <row r="409" spans="1:24" s="4" customFormat="1" ht="15" customHeight="1">
      <c r="A409" s="28" t="s">
        <v>1109</v>
      </c>
      <c r="B409" s="29">
        <v>3106.0650000000001</v>
      </c>
      <c r="C409" s="30" t="s">
        <v>1353</v>
      </c>
      <c r="D409" s="2">
        <v>4948495730</v>
      </c>
      <c r="E409" s="2" t="s">
        <v>14</v>
      </c>
      <c r="F409" s="2" t="s">
        <v>1354</v>
      </c>
      <c r="G409" s="28" t="s">
        <v>9</v>
      </c>
      <c r="H409" s="2" t="s">
        <v>23</v>
      </c>
      <c r="I409" s="2">
        <v>38</v>
      </c>
      <c r="J409" s="2"/>
      <c r="K409" s="2">
        <v>5754</v>
      </c>
      <c r="L409" s="35">
        <v>17872298.010000002</v>
      </c>
      <c r="M409" s="36">
        <v>300</v>
      </c>
      <c r="N409" s="40">
        <v>53434.319775596101</v>
      </c>
      <c r="O409" s="40">
        <v>210.95513748190999</v>
      </c>
      <c r="P409" s="40">
        <v>16741.0659186536</v>
      </c>
      <c r="Q409" s="40">
        <v>6481.4471780028898</v>
      </c>
      <c r="R409" s="40">
        <v>8260.4207573632502</v>
      </c>
      <c r="S409" s="40">
        <v>4969.9298737727904</v>
      </c>
      <c r="T409" s="37">
        <v>30000</v>
      </c>
      <c r="U409" s="52">
        <v>145664.474053296</v>
      </c>
      <c r="V409" s="52">
        <v>0</v>
      </c>
      <c r="W409" s="45">
        <v>265762.61269416701</v>
      </c>
      <c r="X409" s="46">
        <v>1.4870086238796201</v>
      </c>
    </row>
    <row r="410" spans="1:24" s="4" customFormat="1" ht="15" customHeight="1">
      <c r="A410" s="28" t="s">
        <v>1109</v>
      </c>
      <c r="B410" s="29">
        <v>3106.0650000000001</v>
      </c>
      <c r="C410" s="30" t="s">
        <v>1353</v>
      </c>
      <c r="D410" s="2">
        <v>4948772945</v>
      </c>
      <c r="E410" s="2" t="s">
        <v>14</v>
      </c>
      <c r="F410" s="2" t="s">
        <v>1354</v>
      </c>
      <c r="G410" s="28" t="s">
        <v>9</v>
      </c>
      <c r="H410" s="2" t="s">
        <v>23</v>
      </c>
      <c r="I410" s="2">
        <v>38</v>
      </c>
      <c r="J410" s="2"/>
      <c r="K410" s="2">
        <v>16216.2</v>
      </c>
      <c r="L410" s="35">
        <v>50368571.252999999</v>
      </c>
      <c r="M410" s="36">
        <v>4620</v>
      </c>
      <c r="N410" s="40">
        <v>822888.52454418002</v>
      </c>
      <c r="O410" s="40">
        <v>3248.70911722142</v>
      </c>
      <c r="P410" s="40">
        <v>257812.41514726501</v>
      </c>
      <c r="Q410" s="40">
        <v>99814.286541244597</v>
      </c>
      <c r="R410" s="40">
        <v>127210.479663394</v>
      </c>
      <c r="S410" s="40">
        <v>76536.920056100993</v>
      </c>
      <c r="T410" s="37">
        <v>30000</v>
      </c>
      <c r="U410" s="52">
        <v>2243232.9004207598</v>
      </c>
      <c r="V410" s="52">
        <v>0</v>
      </c>
      <c r="W410" s="45">
        <v>3660744.2354901698</v>
      </c>
      <c r="X410" s="46">
        <v>7.2679135906046302</v>
      </c>
    </row>
    <row r="411" spans="1:24" s="4" customFormat="1" ht="15" customHeight="1">
      <c r="A411" s="28" t="s">
        <v>1109</v>
      </c>
      <c r="B411" s="29">
        <v>3106.0650000000001</v>
      </c>
      <c r="C411" s="30" t="s">
        <v>1353</v>
      </c>
      <c r="D411" s="2">
        <v>4948772945</v>
      </c>
      <c r="E411" s="2" t="s">
        <v>14</v>
      </c>
      <c r="F411" s="2" t="s">
        <v>1354</v>
      </c>
      <c r="G411" s="28" t="s">
        <v>9</v>
      </c>
      <c r="H411" s="2" t="s">
        <v>23</v>
      </c>
      <c r="I411" s="2">
        <v>38</v>
      </c>
      <c r="J411" s="2"/>
      <c r="K411" s="2">
        <v>2200.1999999999998</v>
      </c>
      <c r="L411" s="35">
        <v>6833964.2130000005</v>
      </c>
      <c r="M411" s="36">
        <v>190</v>
      </c>
      <c r="N411" s="40">
        <v>33841.735857877502</v>
      </c>
      <c r="O411" s="40">
        <v>133.60492040521001</v>
      </c>
      <c r="P411" s="40">
        <v>10602.675081813901</v>
      </c>
      <c r="Q411" s="40">
        <v>4104.9165460684999</v>
      </c>
      <c r="R411" s="40">
        <v>5231.5998129967302</v>
      </c>
      <c r="S411" s="40">
        <v>3147.6222533894302</v>
      </c>
      <c r="T411" s="37">
        <v>30000</v>
      </c>
      <c r="U411" s="52">
        <v>92254.166900420794</v>
      </c>
      <c r="V411" s="52">
        <v>0</v>
      </c>
      <c r="W411" s="45">
        <v>179316.32137297199</v>
      </c>
      <c r="X411" s="46">
        <v>2.6238990399139799</v>
      </c>
    </row>
    <row r="412" spans="1:24" s="4" customFormat="1" ht="15" customHeight="1">
      <c r="A412" s="28" t="s">
        <v>1109</v>
      </c>
      <c r="B412" s="29">
        <v>3106.0650000000001</v>
      </c>
      <c r="C412" s="30" t="s">
        <v>1353</v>
      </c>
      <c r="D412" s="2">
        <v>4948772945</v>
      </c>
      <c r="E412" s="2" t="s">
        <v>14</v>
      </c>
      <c r="F412" s="2" t="s">
        <v>1354</v>
      </c>
      <c r="G412" s="28" t="s">
        <v>9</v>
      </c>
      <c r="H412" s="2" t="s">
        <v>23</v>
      </c>
      <c r="I412" s="2">
        <v>38</v>
      </c>
      <c r="J412" s="2"/>
      <c r="K412" s="2">
        <v>822.7</v>
      </c>
      <c r="L412" s="35">
        <v>2555359.6754999999</v>
      </c>
      <c r="M412" s="36">
        <v>190</v>
      </c>
      <c r="N412" s="40">
        <v>33841.735857877502</v>
      </c>
      <c r="O412" s="40">
        <v>133.60492040521001</v>
      </c>
      <c r="P412" s="40">
        <v>10602.675081813901</v>
      </c>
      <c r="Q412" s="40">
        <v>4104.9165460684999</v>
      </c>
      <c r="R412" s="40">
        <v>5231.5998129967302</v>
      </c>
      <c r="S412" s="40">
        <v>3147.6222533894302</v>
      </c>
      <c r="T412" s="37">
        <v>30000</v>
      </c>
      <c r="U412" s="52">
        <v>92254.166900420794</v>
      </c>
      <c r="V412" s="52">
        <v>0</v>
      </c>
      <c r="W412" s="45">
        <v>179316.32137297199</v>
      </c>
      <c r="X412" s="46">
        <v>7.0172634831879703</v>
      </c>
    </row>
    <row r="413" spans="1:24" s="4" customFormat="1" ht="15" customHeight="1">
      <c r="A413" s="28" t="s">
        <v>1109</v>
      </c>
      <c r="B413" s="29">
        <v>3106.0650000000001</v>
      </c>
      <c r="C413" s="30" t="s">
        <v>1353</v>
      </c>
      <c r="D413" s="2">
        <v>4948772945</v>
      </c>
      <c r="E413" s="2" t="s">
        <v>14</v>
      </c>
      <c r="F413" s="2" t="s">
        <v>1354</v>
      </c>
      <c r="G413" s="28" t="s">
        <v>9</v>
      </c>
      <c r="H413" s="2" t="s">
        <v>23</v>
      </c>
      <c r="I413" s="2">
        <v>38</v>
      </c>
      <c r="J413" s="2"/>
      <c r="K413" s="2">
        <v>4554</v>
      </c>
      <c r="L413" s="35">
        <v>14145020.01</v>
      </c>
      <c r="M413" s="36">
        <v>900</v>
      </c>
      <c r="N413" s="40">
        <v>160302.959326788</v>
      </c>
      <c r="O413" s="40">
        <v>632.86541244573095</v>
      </c>
      <c r="P413" s="40">
        <v>50223.197755960697</v>
      </c>
      <c r="Q413" s="40">
        <v>19444.341534008701</v>
      </c>
      <c r="R413" s="40">
        <v>24781.2622720898</v>
      </c>
      <c r="S413" s="40">
        <v>14909.789621318399</v>
      </c>
      <c r="T413" s="37">
        <v>30000</v>
      </c>
      <c r="U413" s="52">
        <v>436993.42215988802</v>
      </c>
      <c r="V413" s="52">
        <v>0</v>
      </c>
      <c r="W413" s="45">
        <v>737287.83808249899</v>
      </c>
      <c r="X413" s="46">
        <v>5.2123492053122904</v>
      </c>
    </row>
    <row r="414" spans="1:24" s="4" customFormat="1" ht="15" customHeight="1">
      <c r="A414" s="28" t="s">
        <v>1109</v>
      </c>
      <c r="B414" s="29">
        <v>3106.0650000000001</v>
      </c>
      <c r="C414" s="30" t="s">
        <v>1353</v>
      </c>
      <c r="D414" s="2">
        <v>4948411913</v>
      </c>
      <c r="E414" s="2" t="s">
        <v>14</v>
      </c>
      <c r="F414" s="2" t="s">
        <v>1354</v>
      </c>
      <c r="G414" s="28" t="s">
        <v>9</v>
      </c>
      <c r="H414" s="2" t="s">
        <v>23</v>
      </c>
      <c r="I414" s="2">
        <v>38</v>
      </c>
      <c r="J414" s="2"/>
      <c r="K414" s="2">
        <v>9937.2000000000007</v>
      </c>
      <c r="L414" s="35">
        <v>30865589.118000001</v>
      </c>
      <c r="M414" s="36">
        <v>5460</v>
      </c>
      <c r="N414" s="40">
        <v>972504.61991584802</v>
      </c>
      <c r="O414" s="40">
        <v>3839.38350217077</v>
      </c>
      <c r="P414" s="40">
        <v>304687.39971949498</v>
      </c>
      <c r="Q414" s="40">
        <v>117962.338639653</v>
      </c>
      <c r="R414" s="40">
        <v>150339.65778401101</v>
      </c>
      <c r="S414" s="40">
        <v>90452.723702664807</v>
      </c>
      <c r="T414" s="37">
        <v>30000</v>
      </c>
      <c r="U414" s="52">
        <v>2651093.4277699902</v>
      </c>
      <c r="V414" s="52">
        <v>0</v>
      </c>
      <c r="W414" s="45">
        <v>4320879.5510338303</v>
      </c>
      <c r="X414" s="46">
        <v>13.9990185656752</v>
      </c>
    </row>
    <row r="415" spans="1:24" s="4" customFormat="1" ht="15" customHeight="1">
      <c r="A415" s="28" t="s">
        <v>1109</v>
      </c>
      <c r="B415" s="29">
        <v>3106.0650000000001</v>
      </c>
      <c r="C415" s="30" t="s">
        <v>1353</v>
      </c>
      <c r="D415" s="2">
        <v>4948495730</v>
      </c>
      <c r="E415" s="2" t="s">
        <v>14</v>
      </c>
      <c r="F415" s="2" t="s">
        <v>1354</v>
      </c>
      <c r="G415" s="28" t="s">
        <v>9</v>
      </c>
      <c r="H415" s="2" t="s">
        <v>23</v>
      </c>
      <c r="I415" s="2">
        <v>38</v>
      </c>
      <c r="J415" s="2"/>
      <c r="K415" s="2">
        <v>459.8</v>
      </c>
      <c r="L415" s="35">
        <v>1428168.6869999999</v>
      </c>
      <c r="M415" s="36">
        <v>220</v>
      </c>
      <c r="N415" s="40">
        <v>156740.67134174801</v>
      </c>
      <c r="O415" s="40">
        <v>154.70043415340101</v>
      </c>
      <c r="P415" s="40">
        <v>49107.126694717197</v>
      </c>
      <c r="Q415" s="40">
        <v>4753.0612638687899</v>
      </c>
      <c r="R415" s="40">
        <v>24230.5675549322</v>
      </c>
      <c r="S415" s="40">
        <v>14578.4609630669</v>
      </c>
      <c r="T415" s="37">
        <v>30000</v>
      </c>
      <c r="U415" s="52">
        <v>427282.45722300099</v>
      </c>
      <c r="V415" s="52">
        <v>0</v>
      </c>
      <c r="W415" s="45">
        <v>706847.04547548795</v>
      </c>
      <c r="X415" s="46">
        <v>49.493246274729998</v>
      </c>
    </row>
    <row r="416" spans="1:24" s="4" customFormat="1" ht="15" customHeight="1">
      <c r="A416" s="28" t="s">
        <v>1109</v>
      </c>
      <c r="B416" s="29">
        <v>3106.0650000000001</v>
      </c>
      <c r="C416" s="30" t="s">
        <v>1353</v>
      </c>
      <c r="D416" s="2">
        <v>4948267740</v>
      </c>
      <c r="E416" s="2" t="s">
        <v>14</v>
      </c>
      <c r="F416" s="2" t="s">
        <v>1354</v>
      </c>
      <c r="G416" s="28" t="s">
        <v>9</v>
      </c>
      <c r="H416" s="2" t="s">
        <v>23</v>
      </c>
      <c r="I416" s="2">
        <v>38</v>
      </c>
      <c r="J416" s="2"/>
      <c r="K416" s="2">
        <v>14196</v>
      </c>
      <c r="L416" s="35">
        <v>44093698.740000002</v>
      </c>
      <c r="M416" s="36">
        <v>7800</v>
      </c>
      <c r="N416" s="40">
        <v>1389292.3141655</v>
      </c>
      <c r="O416" s="40">
        <v>5484.8335745296699</v>
      </c>
      <c r="P416" s="40">
        <v>435267.71388499299</v>
      </c>
      <c r="Q416" s="40">
        <v>168517.626628075</v>
      </c>
      <c r="R416" s="40">
        <v>214770.939691445</v>
      </c>
      <c r="S416" s="40">
        <v>129218.176718093</v>
      </c>
      <c r="T416" s="37">
        <v>30000</v>
      </c>
      <c r="U416" s="52">
        <v>3787276.3253856902</v>
      </c>
      <c r="V416" s="52">
        <v>0</v>
      </c>
      <c r="W416" s="45">
        <v>6159827.9300483298</v>
      </c>
      <c r="X416" s="46">
        <v>13.9698598803651</v>
      </c>
    </row>
    <row r="417" spans="1:24" s="4" customFormat="1" ht="15" customHeight="1">
      <c r="A417" s="28" t="s">
        <v>1109</v>
      </c>
      <c r="B417" s="29">
        <v>3106.0650000000001</v>
      </c>
      <c r="C417" s="30" t="s">
        <v>1353</v>
      </c>
      <c r="D417" s="2">
        <v>4948242156</v>
      </c>
      <c r="E417" s="2" t="s">
        <v>14</v>
      </c>
      <c r="F417" s="2" t="s">
        <v>1354</v>
      </c>
      <c r="G417" s="28" t="s">
        <v>9</v>
      </c>
      <c r="H417" s="2" t="s">
        <v>23</v>
      </c>
      <c r="I417" s="2">
        <v>38</v>
      </c>
      <c r="J417" s="2"/>
      <c r="K417" s="2">
        <v>4000.5</v>
      </c>
      <c r="L417" s="35">
        <v>12425813.032500001</v>
      </c>
      <c r="M417" s="36">
        <v>1050</v>
      </c>
      <c r="N417" s="40">
        <v>187020.11921458601</v>
      </c>
      <c r="O417" s="40">
        <v>738.34298118668596</v>
      </c>
      <c r="P417" s="40">
        <v>58593.7307152875</v>
      </c>
      <c r="Q417" s="40">
        <v>22685.065123010099</v>
      </c>
      <c r="R417" s="40">
        <v>28911.4726507714</v>
      </c>
      <c r="S417" s="40">
        <v>17394.754558204801</v>
      </c>
      <c r="T417" s="37">
        <v>30000</v>
      </c>
      <c r="U417" s="52">
        <v>509825.65918653598</v>
      </c>
      <c r="V417" s="52">
        <v>0</v>
      </c>
      <c r="W417" s="45">
        <v>855169.14442958205</v>
      </c>
      <c r="X417" s="46">
        <v>6.8821987116083898</v>
      </c>
    </row>
    <row r="418" spans="1:24" s="4" customFormat="1" ht="15" customHeight="1">
      <c r="A418" s="28" t="s">
        <v>1109</v>
      </c>
      <c r="B418" s="29">
        <v>3106.0650000000001</v>
      </c>
      <c r="C418" s="30" t="s">
        <v>1359</v>
      </c>
      <c r="D418" s="2">
        <v>4949571458</v>
      </c>
      <c r="E418" s="2" t="s">
        <v>14</v>
      </c>
      <c r="F418" s="78" t="s">
        <v>1360</v>
      </c>
      <c r="G418" s="28" t="s">
        <v>13</v>
      </c>
      <c r="H418" s="2" t="s">
        <v>23</v>
      </c>
      <c r="I418" s="2">
        <v>1</v>
      </c>
      <c r="J418" s="2"/>
      <c r="K418" s="2">
        <v>1854</v>
      </c>
      <c r="L418" s="35">
        <v>5758644.5099999998</v>
      </c>
      <c r="M418" s="36">
        <v>60</v>
      </c>
      <c r="N418" s="40">
        <v>165083</v>
      </c>
      <c r="O418" s="40">
        <v>0</v>
      </c>
      <c r="P418" s="40">
        <v>0</v>
      </c>
      <c r="Q418" s="40">
        <v>0</v>
      </c>
      <c r="R418" s="40">
        <v>660</v>
      </c>
      <c r="S418" s="40">
        <v>354356</v>
      </c>
      <c r="T418" s="37">
        <v>30000</v>
      </c>
      <c r="U418" s="40">
        <v>20887.921776973901</v>
      </c>
      <c r="V418" s="40">
        <v>0</v>
      </c>
      <c r="W418" s="45">
        <v>570986.92177697399</v>
      </c>
      <c r="X418" s="46">
        <v>9.9153007410935707</v>
      </c>
    </row>
    <row r="419" spans="1:24" s="4" customFormat="1" ht="15" customHeight="1">
      <c r="A419" s="28" t="s">
        <v>1109</v>
      </c>
      <c r="B419" s="29">
        <v>3106.0650000000001</v>
      </c>
      <c r="C419" s="30" t="s">
        <v>1361</v>
      </c>
      <c r="D419" s="2">
        <v>4949681908</v>
      </c>
      <c r="E419" s="2" t="s">
        <v>14</v>
      </c>
      <c r="F419" s="78" t="s">
        <v>1362</v>
      </c>
      <c r="G419" s="28" t="s">
        <v>13</v>
      </c>
      <c r="H419" s="2" t="s">
        <v>23</v>
      </c>
      <c r="I419" s="2">
        <v>1</v>
      </c>
      <c r="J419" s="2"/>
      <c r="K419" s="2">
        <v>828.2</v>
      </c>
      <c r="L419" s="35">
        <v>2572443.0329999998</v>
      </c>
      <c r="M419" s="36">
        <v>10</v>
      </c>
      <c r="N419" s="40">
        <v>129058</v>
      </c>
      <c r="O419" s="40">
        <v>0</v>
      </c>
      <c r="P419" s="40">
        <v>0</v>
      </c>
      <c r="Q419" s="40">
        <v>0</v>
      </c>
      <c r="R419" s="40">
        <v>516</v>
      </c>
      <c r="S419" s="40">
        <v>354356</v>
      </c>
      <c r="T419" s="37">
        <v>30000</v>
      </c>
      <c r="U419" s="40">
        <v>3481.3202961623201</v>
      </c>
      <c r="V419" s="40">
        <v>0</v>
      </c>
      <c r="W419" s="45">
        <v>517411.32029616198</v>
      </c>
      <c r="X419" s="46">
        <v>20.1136162651094</v>
      </c>
    </row>
    <row r="420" spans="1:24" s="4" customFormat="1" ht="15" customHeight="1">
      <c r="A420" s="28" t="s">
        <v>1109</v>
      </c>
      <c r="B420" s="29">
        <v>3106.0650000000001</v>
      </c>
      <c r="C420" s="30" t="s">
        <v>1366</v>
      </c>
      <c r="D420" s="2">
        <v>4949718140</v>
      </c>
      <c r="E420" s="2" t="s">
        <v>14</v>
      </c>
      <c r="F420" s="78" t="s">
        <v>1367</v>
      </c>
      <c r="G420" s="28" t="s">
        <v>13</v>
      </c>
      <c r="H420" s="2" t="s">
        <v>23</v>
      </c>
      <c r="I420" s="2">
        <v>1</v>
      </c>
      <c r="J420" s="2"/>
      <c r="K420" s="2">
        <v>2528.4</v>
      </c>
      <c r="L420" s="35">
        <v>7853374.7460000003</v>
      </c>
      <c r="M420" s="36">
        <v>420</v>
      </c>
      <c r="N420" s="40">
        <v>1011453.59</v>
      </c>
      <c r="O420" s="40">
        <v>0</v>
      </c>
      <c r="P420" s="40">
        <v>0</v>
      </c>
      <c r="Q420" s="40">
        <v>0</v>
      </c>
      <c r="R420" s="40">
        <v>4046</v>
      </c>
      <c r="S420" s="40">
        <v>354356</v>
      </c>
      <c r="T420" s="37">
        <v>30000</v>
      </c>
      <c r="U420" s="40">
        <v>146215.452438818</v>
      </c>
      <c r="V420" s="40">
        <v>0</v>
      </c>
      <c r="W420" s="45">
        <v>1546071.04243882</v>
      </c>
      <c r="X420" s="46">
        <v>19.686709121149299</v>
      </c>
    </row>
    <row r="421" spans="1:24" s="4" customFormat="1" ht="15" customHeight="1">
      <c r="A421" s="28" t="s">
        <v>1109</v>
      </c>
      <c r="B421" s="29">
        <v>3106.0650000000001</v>
      </c>
      <c r="C421" s="30" t="s">
        <v>1368</v>
      </c>
      <c r="D421" s="2">
        <v>4949035719</v>
      </c>
      <c r="E421" s="2" t="s">
        <v>14</v>
      </c>
      <c r="F421" s="78" t="s">
        <v>1369</v>
      </c>
      <c r="G421" s="28" t="s">
        <v>13</v>
      </c>
      <c r="H421" s="2" t="s">
        <v>23</v>
      </c>
      <c r="I421" s="2">
        <v>1</v>
      </c>
      <c r="J421" s="2"/>
      <c r="K421" s="2">
        <v>975.6</v>
      </c>
      <c r="L421" s="35">
        <v>3030277.014</v>
      </c>
      <c r="M421" s="36">
        <v>20</v>
      </c>
      <c r="N421" s="40">
        <v>51154</v>
      </c>
      <c r="O421" s="40">
        <v>0</v>
      </c>
      <c r="P421" s="40">
        <v>0</v>
      </c>
      <c r="Q421" s="40">
        <v>0</v>
      </c>
      <c r="R421" s="40">
        <v>205</v>
      </c>
      <c r="S421" s="40">
        <v>109033</v>
      </c>
      <c r="T421" s="37">
        <v>30000</v>
      </c>
      <c r="U421" s="40">
        <v>41063.333333333299</v>
      </c>
      <c r="V421" s="40">
        <v>0</v>
      </c>
      <c r="W421" s="45">
        <v>231455.33333333299</v>
      </c>
      <c r="X421" s="46">
        <v>7.6380915759186498</v>
      </c>
    </row>
    <row r="422" spans="1:24" s="4" customFormat="1" ht="15" customHeight="1">
      <c r="A422" s="28" t="s">
        <v>1109</v>
      </c>
      <c r="B422" s="29">
        <v>3106.0650000000001</v>
      </c>
      <c r="C422" s="30" t="s">
        <v>1368</v>
      </c>
      <c r="D422" s="2">
        <v>4948494932</v>
      </c>
      <c r="E422" s="2" t="s">
        <v>14</v>
      </c>
      <c r="F422" s="78" t="s">
        <v>1369</v>
      </c>
      <c r="G422" s="28" t="s">
        <v>13</v>
      </c>
      <c r="H422" s="2" t="s">
        <v>23</v>
      </c>
      <c r="I422" s="2">
        <v>1</v>
      </c>
      <c r="J422" s="2"/>
      <c r="K422" s="2">
        <v>1951.2</v>
      </c>
      <c r="L422" s="35">
        <v>6060554.0279999999</v>
      </c>
      <c r="M422" s="36">
        <v>40</v>
      </c>
      <c r="N422" s="40">
        <v>102307</v>
      </c>
      <c r="O422" s="40">
        <v>0</v>
      </c>
      <c r="P422" s="40">
        <v>0</v>
      </c>
      <c r="Q422" s="40">
        <v>0</v>
      </c>
      <c r="R422" s="40">
        <v>409</v>
      </c>
      <c r="S422" s="40">
        <v>218065</v>
      </c>
      <c r="T422" s="37">
        <v>30000</v>
      </c>
      <c r="U422" s="40">
        <v>82126.666666666701</v>
      </c>
      <c r="V422" s="40">
        <v>0</v>
      </c>
      <c r="W422" s="45">
        <v>432907.66666666698</v>
      </c>
      <c r="X422" s="46">
        <v>7.1430378256940896</v>
      </c>
    </row>
    <row r="423" spans="1:24" s="4" customFormat="1" ht="15" customHeight="1">
      <c r="A423" s="28" t="s">
        <v>1109</v>
      </c>
      <c r="B423" s="29">
        <v>3106.0650000000001</v>
      </c>
      <c r="C423" s="30" t="s">
        <v>1368</v>
      </c>
      <c r="D423" s="2">
        <v>4949571458</v>
      </c>
      <c r="E423" s="2" t="s">
        <v>14</v>
      </c>
      <c r="F423" s="78" t="s">
        <v>1369</v>
      </c>
      <c r="G423" s="28" t="s">
        <v>13</v>
      </c>
      <c r="H423" s="2" t="s">
        <v>23</v>
      </c>
      <c r="I423" s="2">
        <v>1</v>
      </c>
      <c r="J423" s="2"/>
      <c r="K423" s="2">
        <v>560.29999999999995</v>
      </c>
      <c r="L423" s="35">
        <v>1740328.2194999999</v>
      </c>
      <c r="M423" s="36">
        <v>5</v>
      </c>
      <c r="N423" s="40">
        <v>12788</v>
      </c>
      <c r="O423" s="40">
        <v>0</v>
      </c>
      <c r="P423" s="40">
        <v>0</v>
      </c>
      <c r="Q423" s="40">
        <v>0</v>
      </c>
      <c r="R423" s="40">
        <v>51</v>
      </c>
      <c r="S423" s="40">
        <v>27258</v>
      </c>
      <c r="T423" s="37">
        <v>30000</v>
      </c>
      <c r="U423" s="40">
        <v>10265.833333333299</v>
      </c>
      <c r="V423" s="40">
        <v>0</v>
      </c>
      <c r="W423" s="45">
        <v>80362.833333333299</v>
      </c>
      <c r="X423" s="46">
        <v>4.6176825976206803</v>
      </c>
    </row>
    <row r="424" spans="1:24" s="4" customFormat="1" ht="15" customHeight="1">
      <c r="A424" s="28" t="s">
        <v>1109</v>
      </c>
      <c r="B424" s="29">
        <v>3106.0650000000001</v>
      </c>
      <c r="C424" s="30" t="s">
        <v>1370</v>
      </c>
      <c r="D424" s="2">
        <v>4949654737</v>
      </c>
      <c r="E424" s="2" t="s">
        <v>14</v>
      </c>
      <c r="F424" s="78" t="s">
        <v>1371</v>
      </c>
      <c r="G424" s="28" t="s">
        <v>13</v>
      </c>
      <c r="H424" s="2" t="s">
        <v>23</v>
      </c>
      <c r="I424" s="2">
        <v>1</v>
      </c>
      <c r="J424" s="2"/>
      <c r="K424" s="2">
        <v>828.2</v>
      </c>
      <c r="L424" s="35">
        <v>2572443.0329999998</v>
      </c>
      <c r="M424" s="36">
        <v>10</v>
      </c>
      <c r="N424" s="40">
        <v>132436</v>
      </c>
      <c r="O424" s="40">
        <v>0</v>
      </c>
      <c r="P424" s="40">
        <v>0</v>
      </c>
      <c r="Q424" s="40">
        <v>0</v>
      </c>
      <c r="R424" s="40">
        <v>529</v>
      </c>
      <c r="S424" s="40">
        <v>354356</v>
      </c>
      <c r="T424" s="37">
        <v>30000</v>
      </c>
      <c r="U424" s="40">
        <v>20531.666666666701</v>
      </c>
      <c r="V424" s="40">
        <v>0</v>
      </c>
      <c r="W424" s="45">
        <v>537852.66666666698</v>
      </c>
      <c r="X424" s="46">
        <v>20.908244022003402</v>
      </c>
    </row>
    <row r="425" spans="1:24" s="4" customFormat="1" ht="15" customHeight="1">
      <c r="A425" s="28" t="s">
        <v>1109</v>
      </c>
      <c r="B425" s="29">
        <v>3106.0650000000001</v>
      </c>
      <c r="C425" s="30" t="s">
        <v>1372</v>
      </c>
      <c r="D425" s="2">
        <v>4949162082</v>
      </c>
      <c r="E425" s="2" t="s">
        <v>14</v>
      </c>
      <c r="F425" s="78" t="s">
        <v>1373</v>
      </c>
      <c r="G425" s="28" t="s">
        <v>13</v>
      </c>
      <c r="H425" s="2" t="s">
        <v>23</v>
      </c>
      <c r="I425" s="2">
        <v>7</v>
      </c>
      <c r="J425" s="2"/>
      <c r="K425" s="2">
        <v>4574.8100000000004</v>
      </c>
      <c r="L425" s="35">
        <v>14209657.222650001</v>
      </c>
      <c r="M425" s="36">
        <v>35</v>
      </c>
      <c r="N425" s="40">
        <v>589039</v>
      </c>
      <c r="O425" s="40">
        <v>0</v>
      </c>
      <c r="P425" s="40">
        <v>0</v>
      </c>
      <c r="Q425" s="40">
        <v>0</v>
      </c>
      <c r="R425" s="40">
        <v>4323</v>
      </c>
      <c r="S425" s="40">
        <v>354356</v>
      </c>
      <c r="T425" s="37">
        <v>30000</v>
      </c>
      <c r="U425" s="40">
        <v>71860.833333333299</v>
      </c>
      <c r="V425" s="40">
        <v>0</v>
      </c>
      <c r="W425" s="45">
        <v>1049578.83333333</v>
      </c>
      <c r="X425" s="46">
        <v>7.3863768624926402</v>
      </c>
    </row>
    <row r="426" spans="1:24" s="4" customFormat="1" ht="15" customHeight="1">
      <c r="A426" s="28" t="s">
        <v>1109</v>
      </c>
      <c r="B426" s="29">
        <v>3106.0650000000001</v>
      </c>
      <c r="C426" s="30" t="s">
        <v>1374</v>
      </c>
      <c r="D426" s="2">
        <v>4949035713</v>
      </c>
      <c r="E426" s="2" t="s">
        <v>14</v>
      </c>
      <c r="F426" s="78" t="s">
        <v>1375</v>
      </c>
      <c r="G426" s="28" t="s">
        <v>13</v>
      </c>
      <c r="H426" s="2" t="s">
        <v>23</v>
      </c>
      <c r="I426" s="2">
        <v>1</v>
      </c>
      <c r="J426" s="2"/>
      <c r="K426" s="2">
        <v>391.5</v>
      </c>
      <c r="L426" s="35">
        <v>1216024.4475</v>
      </c>
      <c r="M426" s="36">
        <v>10</v>
      </c>
      <c r="N426" s="40">
        <v>149550.76</v>
      </c>
      <c r="O426" s="40">
        <v>0</v>
      </c>
      <c r="P426" s="40">
        <v>0</v>
      </c>
      <c r="Q426" s="40">
        <v>0</v>
      </c>
      <c r="R426" s="40">
        <v>598</v>
      </c>
      <c r="S426" s="40">
        <v>354356</v>
      </c>
      <c r="T426" s="37">
        <v>30000</v>
      </c>
      <c r="U426" s="40">
        <v>20531.666666666701</v>
      </c>
      <c r="V426" s="40">
        <v>0</v>
      </c>
      <c r="W426" s="45">
        <v>555036.42666666699</v>
      </c>
      <c r="X426" s="46">
        <v>45.643525326135901</v>
      </c>
    </row>
    <row r="427" spans="1:24" s="4" customFormat="1" ht="15" customHeight="1">
      <c r="A427" s="28" t="s">
        <v>1109</v>
      </c>
      <c r="B427" s="29">
        <v>3106.0650000000001</v>
      </c>
      <c r="C427" s="30" t="s">
        <v>1380</v>
      </c>
      <c r="D427" s="2">
        <v>4949035724</v>
      </c>
      <c r="E427" s="2" t="s">
        <v>14</v>
      </c>
      <c r="F427" s="78" t="s">
        <v>1381</v>
      </c>
      <c r="G427" s="28" t="s">
        <v>9</v>
      </c>
      <c r="H427" s="2" t="s">
        <v>23</v>
      </c>
      <c r="I427" s="2">
        <v>2</v>
      </c>
      <c r="J427" s="2"/>
      <c r="K427" s="2">
        <v>22648</v>
      </c>
      <c r="L427" s="35">
        <v>70346160.120000005</v>
      </c>
      <c r="M427" s="36">
        <v>800</v>
      </c>
      <c r="N427" s="40">
        <v>495057</v>
      </c>
      <c r="O427" s="40">
        <v>528</v>
      </c>
      <c r="P427" s="40">
        <v>0</v>
      </c>
      <c r="Q427" s="40">
        <v>12795</v>
      </c>
      <c r="R427" s="40">
        <v>96016</v>
      </c>
      <c r="S427" s="40">
        <v>354356</v>
      </c>
      <c r="T427" s="37">
        <v>30000</v>
      </c>
      <c r="U427" s="40">
        <v>322097</v>
      </c>
      <c r="V427" s="40">
        <v>0</v>
      </c>
      <c r="W427" s="45">
        <v>1310849</v>
      </c>
      <c r="X427" s="46">
        <v>1.8634265150562399</v>
      </c>
    </row>
    <row r="428" spans="1:24" s="4" customFormat="1" ht="15" customHeight="1">
      <c r="A428" s="28" t="s">
        <v>1109</v>
      </c>
      <c r="B428" s="29">
        <v>3106.0650000000001</v>
      </c>
      <c r="C428" s="30" t="s">
        <v>1388</v>
      </c>
      <c r="D428" s="2">
        <v>4948208977</v>
      </c>
      <c r="E428" s="2" t="s">
        <v>14</v>
      </c>
      <c r="F428" s="78" t="s">
        <v>1389</v>
      </c>
      <c r="G428" s="28" t="s">
        <v>5</v>
      </c>
      <c r="H428" s="2" t="s">
        <v>17</v>
      </c>
      <c r="I428" s="2">
        <v>1</v>
      </c>
      <c r="J428" s="2" t="s">
        <v>1390</v>
      </c>
      <c r="K428" s="2">
        <v>38880</v>
      </c>
      <c r="L428" s="35">
        <v>120763807.2</v>
      </c>
      <c r="M428" s="36">
        <v>18000</v>
      </c>
      <c r="N428" s="40">
        <v>354263.08089500898</v>
      </c>
      <c r="O428" s="40">
        <v>316335.28399311501</v>
      </c>
      <c r="P428" s="40">
        <v>609815.83476764197</v>
      </c>
      <c r="Q428" s="40">
        <v>76917.469879518103</v>
      </c>
      <c r="R428" s="40">
        <v>1138780.0430292599</v>
      </c>
      <c r="S428" s="40">
        <v>274458.17555937998</v>
      </c>
      <c r="T428" s="37">
        <v>30000</v>
      </c>
      <c r="U428" s="40">
        <v>4898416.5232357997</v>
      </c>
      <c r="V428" s="40">
        <v>0</v>
      </c>
      <c r="W428" s="45">
        <v>7698986.4113597199</v>
      </c>
      <c r="X428" s="46">
        <v>6.3752432039586502</v>
      </c>
    </row>
    <row r="429" spans="1:24" s="4" customFormat="1" ht="15" customHeight="1">
      <c r="A429" s="28" t="s">
        <v>1109</v>
      </c>
      <c r="B429" s="29">
        <v>3106.0650000000001</v>
      </c>
      <c r="C429" s="30" t="s">
        <v>1388</v>
      </c>
      <c r="D429" s="2">
        <v>4949035723</v>
      </c>
      <c r="E429" s="2" t="s">
        <v>14</v>
      </c>
      <c r="F429" s="78" t="s">
        <v>1389</v>
      </c>
      <c r="G429" s="28" t="s">
        <v>5</v>
      </c>
      <c r="H429" s="2" t="s">
        <v>17</v>
      </c>
      <c r="I429" s="2">
        <v>1</v>
      </c>
      <c r="J429" s="2" t="s">
        <v>1390</v>
      </c>
      <c r="K429" s="2">
        <v>6166.4</v>
      </c>
      <c r="L429" s="35">
        <v>19153239.215999998</v>
      </c>
      <c r="M429" s="36">
        <v>820</v>
      </c>
      <c r="N429" s="40">
        <v>16138.6514629948</v>
      </c>
      <c r="O429" s="40">
        <v>14410.8296041308</v>
      </c>
      <c r="P429" s="40">
        <v>27780.499139414798</v>
      </c>
      <c r="Q429" s="40">
        <v>3504.01807228916</v>
      </c>
      <c r="R429" s="40">
        <v>51877.974182444101</v>
      </c>
      <c r="S429" s="40">
        <v>12503.0946643718</v>
      </c>
      <c r="T429" s="37">
        <v>30000</v>
      </c>
      <c r="U429" s="40">
        <v>223150.08605852001</v>
      </c>
      <c r="V429" s="40">
        <v>0</v>
      </c>
      <c r="W429" s="45">
        <v>379365.15318416501</v>
      </c>
      <c r="X429" s="46">
        <v>1.98068404464586</v>
      </c>
    </row>
    <row r="430" spans="1:24" s="4" customFormat="1" ht="15" customHeight="1">
      <c r="A430" s="28" t="s">
        <v>1109</v>
      </c>
      <c r="B430" s="29">
        <v>3106.0650000000001</v>
      </c>
      <c r="C430" s="30" t="s">
        <v>1388</v>
      </c>
      <c r="D430" s="2">
        <v>4948772924</v>
      </c>
      <c r="E430" s="2" t="s">
        <v>14</v>
      </c>
      <c r="F430" s="78" t="s">
        <v>1389</v>
      </c>
      <c r="G430" s="28" t="s">
        <v>5</v>
      </c>
      <c r="H430" s="2" t="s">
        <v>17</v>
      </c>
      <c r="I430" s="2">
        <v>1</v>
      </c>
      <c r="J430" s="2" t="s">
        <v>1390</v>
      </c>
      <c r="K430" s="2">
        <v>6048</v>
      </c>
      <c r="L430" s="35">
        <v>18785481.120000001</v>
      </c>
      <c r="M430" s="36">
        <v>2400</v>
      </c>
      <c r="N430" s="40">
        <v>47235.0774526678</v>
      </c>
      <c r="O430" s="40">
        <v>42178.037865748702</v>
      </c>
      <c r="P430" s="40">
        <v>81308.777969018905</v>
      </c>
      <c r="Q430" s="40">
        <v>10255.6626506024</v>
      </c>
      <c r="R430" s="40">
        <v>151837.33907056801</v>
      </c>
      <c r="S430" s="40">
        <v>36594.423407917398</v>
      </c>
      <c r="T430" s="37">
        <v>30000</v>
      </c>
      <c r="U430" s="40">
        <v>653122.20309810701</v>
      </c>
      <c r="V430" s="40">
        <v>0</v>
      </c>
      <c r="W430" s="45">
        <v>1052531.5215146299</v>
      </c>
      <c r="X430" s="46">
        <v>5.6028989345077296</v>
      </c>
    </row>
    <row r="431" spans="1:24" s="4" customFormat="1" ht="15" customHeight="1">
      <c r="A431" s="28" t="s">
        <v>1109</v>
      </c>
      <c r="B431" s="29">
        <v>3106.0650000000001</v>
      </c>
      <c r="C431" s="30" t="s">
        <v>1388</v>
      </c>
      <c r="D431" s="2">
        <v>4948242156</v>
      </c>
      <c r="E431" s="2" t="s">
        <v>14</v>
      </c>
      <c r="F431" s="78" t="s">
        <v>1389</v>
      </c>
      <c r="G431" s="28" t="s">
        <v>5</v>
      </c>
      <c r="H431" s="2" t="s">
        <v>17</v>
      </c>
      <c r="I431" s="2">
        <v>1</v>
      </c>
      <c r="J431" s="2" t="s">
        <v>1390</v>
      </c>
      <c r="K431" s="2">
        <v>2460</v>
      </c>
      <c r="L431" s="35">
        <v>7640919.9000000004</v>
      </c>
      <c r="M431" s="36">
        <v>410</v>
      </c>
      <c r="N431" s="40">
        <v>8069.3257314974198</v>
      </c>
      <c r="O431" s="40">
        <v>7205.4148020654002</v>
      </c>
      <c r="P431" s="40">
        <v>13890.249569707399</v>
      </c>
      <c r="Q431" s="40">
        <v>1752.00903614458</v>
      </c>
      <c r="R431" s="40">
        <v>25938.487091221999</v>
      </c>
      <c r="S431" s="40">
        <v>6251.5473321858899</v>
      </c>
      <c r="T431" s="37">
        <v>30000</v>
      </c>
      <c r="U431" s="40">
        <v>111575.04302926001</v>
      </c>
      <c r="V431" s="40">
        <v>0</v>
      </c>
      <c r="W431" s="45">
        <v>204682.076592083</v>
      </c>
      <c r="X431" s="46">
        <v>2.6787622337473098</v>
      </c>
    </row>
    <row r="432" spans="1:24" s="4" customFormat="1" ht="15" customHeight="1">
      <c r="A432" s="28" t="s">
        <v>1109</v>
      </c>
      <c r="B432" s="29">
        <v>3106.0650000000001</v>
      </c>
      <c r="C432" s="30" t="s">
        <v>1388</v>
      </c>
      <c r="D432" s="2">
        <v>4947612645</v>
      </c>
      <c r="E432" s="2" t="s">
        <v>14</v>
      </c>
      <c r="F432" s="78" t="s">
        <v>1389</v>
      </c>
      <c r="G432" s="28" t="s">
        <v>5</v>
      </c>
      <c r="H432" s="2" t="s">
        <v>17</v>
      </c>
      <c r="I432" s="2">
        <v>1</v>
      </c>
      <c r="J432" s="2" t="s">
        <v>1390</v>
      </c>
      <c r="K432" s="2">
        <v>1620.7</v>
      </c>
      <c r="L432" s="35">
        <v>5033999.5455</v>
      </c>
      <c r="M432" s="36">
        <v>190</v>
      </c>
      <c r="N432" s="40">
        <v>3739.4436316695401</v>
      </c>
      <c r="O432" s="40">
        <v>3339.0946643717698</v>
      </c>
      <c r="P432" s="40">
        <v>6436.94492254733</v>
      </c>
      <c r="Q432" s="40">
        <v>811.90662650602405</v>
      </c>
      <c r="R432" s="40">
        <v>12020.34767642</v>
      </c>
      <c r="S432" s="40">
        <v>2897.0585197934602</v>
      </c>
      <c r="T432" s="37">
        <v>30000</v>
      </c>
      <c r="U432" s="40">
        <v>51705.507745266797</v>
      </c>
      <c r="V432" s="40">
        <v>0</v>
      </c>
      <c r="W432" s="45">
        <v>110950.30378657499</v>
      </c>
      <c r="X432" s="46">
        <v>2.2040189472356202</v>
      </c>
    </row>
    <row r="433" spans="1:24" s="4" customFormat="1" ht="15" customHeight="1">
      <c r="A433" s="28" t="s">
        <v>1109</v>
      </c>
      <c r="B433" s="29">
        <v>3106.0650000000001</v>
      </c>
      <c r="C433" s="30" t="s">
        <v>1388</v>
      </c>
      <c r="D433" s="2">
        <v>4948495848</v>
      </c>
      <c r="E433" s="2" t="s">
        <v>14</v>
      </c>
      <c r="F433" s="78" t="s">
        <v>1389</v>
      </c>
      <c r="G433" s="28" t="s">
        <v>5</v>
      </c>
      <c r="H433" s="2" t="s">
        <v>17</v>
      </c>
      <c r="I433" s="2">
        <v>1</v>
      </c>
      <c r="J433" s="2" t="s">
        <v>1390</v>
      </c>
      <c r="K433" s="2">
        <v>4711</v>
      </c>
      <c r="L433" s="35">
        <v>14632672.215</v>
      </c>
      <c r="M433" s="36">
        <v>700</v>
      </c>
      <c r="N433" s="40">
        <v>13776.897590361399</v>
      </c>
      <c r="O433" s="40">
        <v>12301.9277108434</v>
      </c>
      <c r="P433" s="40">
        <v>23715.0602409639</v>
      </c>
      <c r="Q433" s="40">
        <v>2991.2349397590401</v>
      </c>
      <c r="R433" s="40">
        <v>44285.807228915699</v>
      </c>
      <c r="S433" s="40">
        <v>10673.3734939759</v>
      </c>
      <c r="T433" s="37">
        <v>30000</v>
      </c>
      <c r="U433" s="40">
        <v>190493.97590361399</v>
      </c>
      <c r="V433" s="40">
        <v>0</v>
      </c>
      <c r="W433" s="45">
        <v>328238.27710843302</v>
      </c>
      <c r="X433" s="46">
        <v>2.2431875209502401</v>
      </c>
    </row>
    <row r="434" spans="1:24" s="4" customFormat="1" ht="15" customHeight="1">
      <c r="A434" s="28" t="s">
        <v>1109</v>
      </c>
      <c r="B434" s="29">
        <v>3106.0650000000001</v>
      </c>
      <c r="C434" s="30" t="s">
        <v>1388</v>
      </c>
      <c r="D434" s="2">
        <v>4949162091</v>
      </c>
      <c r="E434" s="2" t="s">
        <v>14</v>
      </c>
      <c r="F434" s="78" t="s">
        <v>1389</v>
      </c>
      <c r="G434" s="28" t="s">
        <v>5</v>
      </c>
      <c r="H434" s="2" t="s">
        <v>17</v>
      </c>
      <c r="I434" s="2">
        <v>1</v>
      </c>
      <c r="J434" s="2" t="s">
        <v>1390</v>
      </c>
      <c r="K434" s="2">
        <v>11214</v>
      </c>
      <c r="L434" s="35">
        <v>34831412.909999996</v>
      </c>
      <c r="M434" s="36">
        <v>300</v>
      </c>
      <c r="N434" s="40">
        <v>5904.3846815834804</v>
      </c>
      <c r="O434" s="40">
        <v>5272.2547332185904</v>
      </c>
      <c r="P434" s="40">
        <v>10163.5972461274</v>
      </c>
      <c r="Q434" s="40">
        <v>1281.9578313253</v>
      </c>
      <c r="R434" s="40">
        <v>18979.917383821001</v>
      </c>
      <c r="S434" s="40">
        <v>4574.3029259896703</v>
      </c>
      <c r="T434" s="37">
        <v>30000</v>
      </c>
      <c r="U434" s="40">
        <v>81640.275387263304</v>
      </c>
      <c r="V434" s="40">
        <v>0</v>
      </c>
      <c r="W434" s="45">
        <v>157816.69018932901</v>
      </c>
      <c r="X434" s="46">
        <v>0.45308724798820899</v>
      </c>
    </row>
    <row r="435" spans="1:24" s="4" customFormat="1" ht="15" customHeight="1">
      <c r="A435" s="28" t="s">
        <v>1109</v>
      </c>
      <c r="B435" s="29">
        <v>3106.0650000000001</v>
      </c>
      <c r="C435" s="30" t="s">
        <v>1388</v>
      </c>
      <c r="D435" s="2">
        <v>4949162088</v>
      </c>
      <c r="E435" s="2" t="s">
        <v>14</v>
      </c>
      <c r="F435" s="78" t="s">
        <v>1389</v>
      </c>
      <c r="G435" s="28" t="s">
        <v>5</v>
      </c>
      <c r="H435" s="2" t="s">
        <v>17</v>
      </c>
      <c r="I435" s="2">
        <v>1</v>
      </c>
      <c r="J435" s="2" t="s">
        <v>1390</v>
      </c>
      <c r="K435" s="2">
        <v>5754</v>
      </c>
      <c r="L435" s="35">
        <v>17872298.010000002</v>
      </c>
      <c r="M435" s="36">
        <v>300</v>
      </c>
      <c r="N435" s="40">
        <v>5904.3846815834804</v>
      </c>
      <c r="O435" s="40">
        <v>5272.2547332185904</v>
      </c>
      <c r="P435" s="40">
        <v>10163.5972461274</v>
      </c>
      <c r="Q435" s="40">
        <v>1281.9578313253</v>
      </c>
      <c r="R435" s="40">
        <v>18979.917383821001</v>
      </c>
      <c r="S435" s="40">
        <v>4574.3029259896703</v>
      </c>
      <c r="T435" s="37">
        <v>30000</v>
      </c>
      <c r="U435" s="40">
        <v>81640.275387263304</v>
      </c>
      <c r="V435" s="40">
        <v>0</v>
      </c>
      <c r="W435" s="45">
        <v>157816.69018932901</v>
      </c>
      <c r="X435" s="46">
        <v>0.88302405264855299</v>
      </c>
    </row>
    <row r="436" spans="1:24" s="4" customFormat="1" ht="15" customHeight="1">
      <c r="A436" s="28" t="s">
        <v>1109</v>
      </c>
      <c r="B436" s="29">
        <v>3106.0650000000001</v>
      </c>
      <c r="C436" s="30" t="s">
        <v>1388</v>
      </c>
      <c r="D436" s="2">
        <v>4948208978</v>
      </c>
      <c r="E436" s="2" t="s">
        <v>14</v>
      </c>
      <c r="F436" s="78" t="s">
        <v>1389</v>
      </c>
      <c r="G436" s="28" t="s">
        <v>5</v>
      </c>
      <c r="H436" s="2" t="s">
        <v>17</v>
      </c>
      <c r="I436" s="2">
        <v>1</v>
      </c>
      <c r="J436" s="2" t="s">
        <v>1390</v>
      </c>
      <c r="K436" s="2">
        <v>3416.4</v>
      </c>
      <c r="L436" s="35">
        <v>10611560.466</v>
      </c>
      <c r="M436" s="36">
        <v>120</v>
      </c>
      <c r="N436" s="40">
        <v>2361.7538726333901</v>
      </c>
      <c r="O436" s="40">
        <v>2108.9018932874401</v>
      </c>
      <c r="P436" s="40">
        <v>4065.4388984509501</v>
      </c>
      <c r="Q436" s="40">
        <v>512.78313253012004</v>
      </c>
      <c r="R436" s="40">
        <v>7592.1669535284</v>
      </c>
      <c r="S436" s="40">
        <v>1829.7211703958701</v>
      </c>
      <c r="T436" s="37">
        <v>30000</v>
      </c>
      <c r="U436" s="40">
        <v>32656.110154905298</v>
      </c>
      <c r="V436" s="40">
        <v>0</v>
      </c>
      <c r="W436" s="45">
        <v>81126.876075731503</v>
      </c>
      <c r="X436" s="46">
        <v>0.76451410078344495</v>
      </c>
    </row>
    <row r="437" spans="1:24" s="4" customFormat="1" ht="15" customHeight="1">
      <c r="A437" s="28" t="s">
        <v>1109</v>
      </c>
      <c r="B437" s="29">
        <v>3106.0650000000001</v>
      </c>
      <c r="C437" s="30" t="s">
        <v>1391</v>
      </c>
      <c r="D437" s="2">
        <v>4948242197</v>
      </c>
      <c r="E437" s="2" t="s">
        <v>14</v>
      </c>
      <c r="F437" s="78" t="s">
        <v>1392</v>
      </c>
      <c r="G437" s="28" t="s">
        <v>5</v>
      </c>
      <c r="H437" s="2" t="s">
        <v>20</v>
      </c>
      <c r="I437" s="2">
        <v>1</v>
      </c>
      <c r="J437" s="2" t="s">
        <v>1393</v>
      </c>
      <c r="K437" s="2">
        <v>42400.800000000003</v>
      </c>
      <c r="L437" s="35">
        <v>131699640.852</v>
      </c>
      <c r="M437" s="36">
        <v>7020</v>
      </c>
      <c r="N437" s="40">
        <v>350348</v>
      </c>
      <c r="O437" s="40">
        <v>311327</v>
      </c>
      <c r="P437" s="40">
        <v>0</v>
      </c>
      <c r="Q437" s="40">
        <v>99309</v>
      </c>
      <c r="R437" s="40">
        <v>616163</v>
      </c>
      <c r="S437" s="40">
        <v>354356</v>
      </c>
      <c r="T437" s="37">
        <v>30000</v>
      </c>
      <c r="U437" s="40">
        <v>3501700</v>
      </c>
      <c r="V437" s="40">
        <v>0</v>
      </c>
      <c r="W437" s="45">
        <v>5263203</v>
      </c>
      <c r="X437" s="46">
        <v>3.9963685291402</v>
      </c>
    </row>
    <row r="438" spans="1:24" s="4" customFormat="1" ht="15" customHeight="1">
      <c r="A438" s="28" t="s">
        <v>1109</v>
      </c>
      <c r="B438" s="29">
        <v>3106.0650000000001</v>
      </c>
      <c r="C438" s="30" t="s">
        <v>1402</v>
      </c>
      <c r="D438" s="2">
        <v>4948830210</v>
      </c>
      <c r="E438" s="2" t="s">
        <v>14</v>
      </c>
      <c r="F438" s="2" t="s">
        <v>1403</v>
      </c>
      <c r="G438" s="28" t="s">
        <v>5</v>
      </c>
      <c r="H438" s="2" t="s">
        <v>20</v>
      </c>
      <c r="I438" s="2">
        <v>1</v>
      </c>
      <c r="J438" s="2" t="s">
        <v>1404</v>
      </c>
      <c r="K438" s="2">
        <v>22860</v>
      </c>
      <c r="L438" s="35">
        <v>71004645.900000006</v>
      </c>
      <c r="M438" s="36">
        <v>18000</v>
      </c>
      <c r="N438" s="40">
        <v>464266</v>
      </c>
      <c r="O438" s="40">
        <v>311327</v>
      </c>
      <c r="P438" s="40">
        <v>0</v>
      </c>
      <c r="Q438" s="40">
        <v>99309</v>
      </c>
      <c r="R438" s="40">
        <v>620885</v>
      </c>
      <c r="S438" s="40">
        <v>354356</v>
      </c>
      <c r="T438" s="37">
        <v>30000</v>
      </c>
      <c r="U438" s="40">
        <v>5014900</v>
      </c>
      <c r="V438" s="40">
        <v>0</v>
      </c>
      <c r="W438" s="45">
        <v>6895043</v>
      </c>
      <c r="X438" s="46">
        <v>9.7106927477825806</v>
      </c>
    </row>
    <row r="439" spans="1:24" s="4" customFormat="1" ht="15" customHeight="1">
      <c r="A439" s="28" t="s">
        <v>1109</v>
      </c>
      <c r="B439" s="29">
        <v>3106.0650000000001</v>
      </c>
      <c r="C439" s="30" t="s">
        <v>1405</v>
      </c>
      <c r="D439" s="2">
        <v>4948494944</v>
      </c>
      <c r="E439" s="2" t="s">
        <v>14</v>
      </c>
      <c r="F439" s="78" t="s">
        <v>1406</v>
      </c>
      <c r="G439" s="28" t="s">
        <v>9</v>
      </c>
      <c r="H439" s="2" t="s">
        <v>23</v>
      </c>
      <c r="I439" s="2">
        <v>11</v>
      </c>
      <c r="J439" s="2"/>
      <c r="K439" s="2">
        <v>7378</v>
      </c>
      <c r="L439" s="35">
        <v>22916547.57</v>
      </c>
      <c r="M439" s="36">
        <v>1400</v>
      </c>
      <c r="N439" s="40">
        <v>372139.89660078997</v>
      </c>
      <c r="O439" s="40">
        <v>74730.561264822099</v>
      </c>
      <c r="P439" s="40">
        <v>190726.92490118599</v>
      </c>
      <c r="Q439" s="40">
        <v>37604.332015810302</v>
      </c>
      <c r="R439" s="40">
        <v>29263.209486166001</v>
      </c>
      <c r="S439" s="40">
        <v>78434.529644268798</v>
      </c>
      <c r="T439" s="37">
        <v>30000</v>
      </c>
      <c r="U439" s="40">
        <v>764344.66403162095</v>
      </c>
      <c r="V439" s="40">
        <v>0</v>
      </c>
      <c r="W439" s="45">
        <v>1577244.1179446599</v>
      </c>
      <c r="X439" s="46">
        <v>6.8825555556607103</v>
      </c>
    </row>
    <row r="440" spans="1:24" s="4" customFormat="1" ht="15" customHeight="1">
      <c r="A440" s="28" t="s">
        <v>1109</v>
      </c>
      <c r="B440" s="29">
        <v>3106.0650000000001</v>
      </c>
      <c r="C440" s="30" t="s">
        <v>1405</v>
      </c>
      <c r="D440" s="2">
        <v>4948343776</v>
      </c>
      <c r="E440" s="2" t="s">
        <v>14</v>
      </c>
      <c r="F440" s="78" t="s">
        <v>1406</v>
      </c>
      <c r="G440" s="28" t="s">
        <v>9</v>
      </c>
      <c r="H440" s="2" t="s">
        <v>23</v>
      </c>
      <c r="I440" s="2">
        <v>11</v>
      </c>
      <c r="J440" s="2"/>
      <c r="K440" s="2">
        <v>14014</v>
      </c>
      <c r="L440" s="35">
        <v>43528394.909999996</v>
      </c>
      <c r="M440" s="36">
        <v>1400</v>
      </c>
      <c r="N440" s="40">
        <v>372139.89660078997</v>
      </c>
      <c r="O440" s="40">
        <v>74730.561264822099</v>
      </c>
      <c r="P440" s="40">
        <v>190726.92490118599</v>
      </c>
      <c r="Q440" s="40">
        <v>37604.332015810302</v>
      </c>
      <c r="R440" s="40">
        <v>29263.209486166001</v>
      </c>
      <c r="S440" s="40">
        <v>78434.529644268798</v>
      </c>
      <c r="T440" s="37">
        <v>30000</v>
      </c>
      <c r="U440" s="40">
        <v>764344.66403162095</v>
      </c>
      <c r="V440" s="40">
        <v>0</v>
      </c>
      <c r="W440" s="45">
        <v>1577244.1179446599</v>
      </c>
      <c r="X440" s="46">
        <v>3.6234832945386501</v>
      </c>
    </row>
    <row r="441" spans="1:24" s="4" customFormat="1" ht="15" customHeight="1">
      <c r="A441" s="28" t="s">
        <v>1109</v>
      </c>
      <c r="B441" s="29">
        <v>3106.0650000000001</v>
      </c>
      <c r="C441" s="30" t="s">
        <v>1405</v>
      </c>
      <c r="D441" s="2">
        <v>4948830201</v>
      </c>
      <c r="E441" s="2" t="s">
        <v>14</v>
      </c>
      <c r="F441" s="78" t="s">
        <v>1406</v>
      </c>
      <c r="G441" s="28" t="s">
        <v>9</v>
      </c>
      <c r="H441" s="2" t="s">
        <v>23</v>
      </c>
      <c r="I441" s="2">
        <v>11</v>
      </c>
      <c r="J441" s="2"/>
      <c r="K441" s="2">
        <v>1816.5</v>
      </c>
      <c r="L441" s="35">
        <v>5642167.0724999998</v>
      </c>
      <c r="M441" s="36">
        <v>525</v>
      </c>
      <c r="N441" s="40">
        <v>139552.46122529599</v>
      </c>
      <c r="O441" s="40">
        <v>28023.9604743083</v>
      </c>
      <c r="P441" s="40">
        <v>71522.5968379447</v>
      </c>
      <c r="Q441" s="40">
        <v>14101.624505928899</v>
      </c>
      <c r="R441" s="40">
        <v>10973.703557312299</v>
      </c>
      <c r="S441" s="40">
        <v>29412.948616600799</v>
      </c>
      <c r="T441" s="37">
        <v>30000</v>
      </c>
      <c r="U441" s="40">
        <v>286629.24901185802</v>
      </c>
      <c r="V441" s="40">
        <v>0</v>
      </c>
      <c r="W441" s="45">
        <v>610216.544229249</v>
      </c>
      <c r="X441" s="46">
        <v>10.815286686625299</v>
      </c>
    </row>
    <row r="442" spans="1:24" s="4" customFormat="1" ht="15" customHeight="1">
      <c r="A442" s="28" t="s">
        <v>1109</v>
      </c>
      <c r="B442" s="29">
        <v>3106.0650000000001</v>
      </c>
      <c r="C442" s="30" t="s">
        <v>1405</v>
      </c>
      <c r="D442" s="2">
        <v>4948830205</v>
      </c>
      <c r="E442" s="2" t="s">
        <v>14</v>
      </c>
      <c r="F442" s="78" t="s">
        <v>1406</v>
      </c>
      <c r="G442" s="28" t="s">
        <v>9</v>
      </c>
      <c r="H442" s="2" t="s">
        <v>23</v>
      </c>
      <c r="I442" s="2">
        <v>11</v>
      </c>
      <c r="J442" s="2"/>
      <c r="K442" s="2">
        <v>2149</v>
      </c>
      <c r="L442" s="35">
        <v>6674933.6849999996</v>
      </c>
      <c r="M442" s="36">
        <v>700</v>
      </c>
      <c r="N442" s="40">
        <v>186069.94830039499</v>
      </c>
      <c r="O442" s="40">
        <v>37365.280632411101</v>
      </c>
      <c r="P442" s="40">
        <v>95363.462450592895</v>
      </c>
      <c r="Q442" s="40">
        <v>18802.1660079051</v>
      </c>
      <c r="R442" s="40">
        <v>14631.604743083</v>
      </c>
      <c r="S442" s="40">
        <v>39217.264822134399</v>
      </c>
      <c r="T442" s="37">
        <v>30000</v>
      </c>
      <c r="U442" s="40">
        <v>382172.33201581001</v>
      </c>
      <c r="V442" s="40">
        <v>0</v>
      </c>
      <c r="W442" s="45">
        <v>803622.058972331</v>
      </c>
      <c r="X442" s="46">
        <v>12.0394013917807</v>
      </c>
    </row>
    <row r="443" spans="1:24" s="4" customFormat="1" ht="15" customHeight="1">
      <c r="A443" s="28" t="s">
        <v>1109</v>
      </c>
      <c r="B443" s="29">
        <v>3106.0650000000001</v>
      </c>
      <c r="C443" s="30" t="s">
        <v>1405</v>
      </c>
      <c r="D443" s="2">
        <v>4948830205</v>
      </c>
      <c r="E443" s="2" t="s">
        <v>14</v>
      </c>
      <c r="F443" s="78" t="s">
        <v>1406</v>
      </c>
      <c r="G443" s="28" t="s">
        <v>9</v>
      </c>
      <c r="H443" s="2" t="s">
        <v>23</v>
      </c>
      <c r="I443" s="2">
        <v>11</v>
      </c>
      <c r="J443" s="2"/>
      <c r="K443" s="2">
        <v>1839.2</v>
      </c>
      <c r="L443" s="35">
        <v>5712674.7479999997</v>
      </c>
      <c r="M443" s="36">
        <v>880</v>
      </c>
      <c r="N443" s="40">
        <v>233916.50643478299</v>
      </c>
      <c r="O443" s="40">
        <v>46973.4956521739</v>
      </c>
      <c r="P443" s="40">
        <v>119885.495652174</v>
      </c>
      <c r="Q443" s="40">
        <v>23637.008695652199</v>
      </c>
      <c r="R443" s="40">
        <v>18394.0173913043</v>
      </c>
      <c r="S443" s="40">
        <v>49301.704347826097</v>
      </c>
      <c r="T443" s="37">
        <v>30000</v>
      </c>
      <c r="U443" s="40">
        <v>480445.21739130397</v>
      </c>
      <c r="V443" s="40">
        <v>0</v>
      </c>
      <c r="W443" s="45">
        <v>1002553.44556522</v>
      </c>
      <c r="X443" s="46">
        <v>17.549632874096499</v>
      </c>
    </row>
    <row r="444" spans="1:24" s="4" customFormat="1" ht="15" customHeight="1">
      <c r="A444" s="28" t="s">
        <v>1109</v>
      </c>
      <c r="B444" s="29">
        <v>3106.0650000000001</v>
      </c>
      <c r="C444" s="30" t="s">
        <v>1405</v>
      </c>
      <c r="D444" s="2">
        <v>4948830205</v>
      </c>
      <c r="E444" s="2" t="s">
        <v>14</v>
      </c>
      <c r="F444" s="78" t="s">
        <v>1406</v>
      </c>
      <c r="G444" s="28" t="s">
        <v>9</v>
      </c>
      <c r="H444" s="2" t="s">
        <v>23</v>
      </c>
      <c r="I444" s="2">
        <v>11</v>
      </c>
      <c r="J444" s="2"/>
      <c r="K444" s="2">
        <v>10410</v>
      </c>
      <c r="L444" s="35">
        <v>32334136.649999999</v>
      </c>
      <c r="M444" s="36">
        <v>300</v>
      </c>
      <c r="N444" s="40">
        <v>79744.263557312195</v>
      </c>
      <c r="O444" s="40">
        <v>16013.6916996047</v>
      </c>
      <c r="P444" s="40">
        <v>40870.055335968398</v>
      </c>
      <c r="Q444" s="40">
        <v>8058.0711462450599</v>
      </c>
      <c r="R444" s="40">
        <v>6270.6877470355703</v>
      </c>
      <c r="S444" s="40">
        <v>16807.399209486201</v>
      </c>
      <c r="T444" s="37">
        <v>30000</v>
      </c>
      <c r="U444" s="40">
        <v>163788.14229249</v>
      </c>
      <c r="V444" s="40">
        <v>0</v>
      </c>
      <c r="W444" s="45">
        <v>361552.31098814198</v>
      </c>
      <c r="X444" s="46">
        <v>1.11817524278367</v>
      </c>
    </row>
    <row r="445" spans="1:24" s="4" customFormat="1" ht="15" customHeight="1">
      <c r="A445" s="28" t="s">
        <v>1109</v>
      </c>
      <c r="B445" s="29">
        <v>3106.0650000000001</v>
      </c>
      <c r="C445" s="30" t="s">
        <v>1405</v>
      </c>
      <c r="D445" s="2">
        <v>4948411919</v>
      </c>
      <c r="E445" s="2" t="s">
        <v>14</v>
      </c>
      <c r="F445" s="78" t="s">
        <v>1406</v>
      </c>
      <c r="G445" s="28" t="s">
        <v>9</v>
      </c>
      <c r="H445" s="2" t="s">
        <v>23</v>
      </c>
      <c r="I445" s="2">
        <v>11</v>
      </c>
      <c r="J445" s="2"/>
      <c r="K445" s="2">
        <v>1860.6</v>
      </c>
      <c r="L445" s="35">
        <v>5779144.5389999999</v>
      </c>
      <c r="M445" s="36">
        <v>420</v>
      </c>
      <c r="N445" s="40">
        <v>111641.968980237</v>
      </c>
      <c r="O445" s="40">
        <v>22419.168379446601</v>
      </c>
      <c r="P445" s="40">
        <v>57218.077470355704</v>
      </c>
      <c r="Q445" s="40">
        <v>11281.299604743101</v>
      </c>
      <c r="R445" s="40">
        <v>8778.9628458497991</v>
      </c>
      <c r="S445" s="40">
        <v>23530.358893280601</v>
      </c>
      <c r="T445" s="37">
        <v>30000</v>
      </c>
      <c r="U445" s="40">
        <v>229303.399209486</v>
      </c>
      <c r="V445" s="40">
        <v>0</v>
      </c>
      <c r="W445" s="45">
        <v>494173.23538339901</v>
      </c>
      <c r="X445" s="46">
        <v>8.5509755301761103</v>
      </c>
    </row>
    <row r="446" spans="1:24" s="4" customFormat="1" ht="15" customHeight="1">
      <c r="A446" s="28" t="s">
        <v>1109</v>
      </c>
      <c r="B446" s="29">
        <v>3106.0650000000001</v>
      </c>
      <c r="C446" s="30" t="s">
        <v>1405</v>
      </c>
      <c r="D446" s="2">
        <v>4948495881</v>
      </c>
      <c r="E446" s="2" t="s">
        <v>14</v>
      </c>
      <c r="F446" s="78" t="s">
        <v>1406</v>
      </c>
      <c r="G446" s="28" t="s">
        <v>9</v>
      </c>
      <c r="H446" s="2" t="s">
        <v>23</v>
      </c>
      <c r="I446" s="2">
        <v>11</v>
      </c>
      <c r="J446" s="2"/>
      <c r="K446" s="2">
        <v>7630</v>
      </c>
      <c r="L446" s="35">
        <v>23699275.949999999</v>
      </c>
      <c r="M446" s="36">
        <v>700</v>
      </c>
      <c r="N446" s="40">
        <v>186069.94830039499</v>
      </c>
      <c r="O446" s="40">
        <v>37365.280632411101</v>
      </c>
      <c r="P446" s="40">
        <v>95363.462450592895</v>
      </c>
      <c r="Q446" s="40">
        <v>18802.1660079051</v>
      </c>
      <c r="R446" s="40">
        <v>14631.604743083</v>
      </c>
      <c r="S446" s="40">
        <v>39217.264822134399</v>
      </c>
      <c r="T446" s="37">
        <v>30000</v>
      </c>
      <c r="U446" s="40">
        <v>382172.33201581001</v>
      </c>
      <c r="V446" s="40">
        <v>0</v>
      </c>
      <c r="W446" s="45">
        <v>803622.058972331</v>
      </c>
      <c r="X446" s="46">
        <v>3.3909139699786102</v>
      </c>
    </row>
    <row r="447" spans="1:24" s="4" customFormat="1" ht="15" customHeight="1">
      <c r="A447" s="28" t="s">
        <v>1109</v>
      </c>
      <c r="B447" s="29">
        <v>3106.0650000000001</v>
      </c>
      <c r="C447" s="30" t="s">
        <v>1412</v>
      </c>
      <c r="D447" s="2">
        <v>4949162084</v>
      </c>
      <c r="E447" s="2" t="s">
        <v>14</v>
      </c>
      <c r="F447" s="78" t="s">
        <v>1413</v>
      </c>
      <c r="G447" s="28" t="s">
        <v>9</v>
      </c>
      <c r="H447" s="2" t="s">
        <v>23</v>
      </c>
      <c r="I447" s="2">
        <v>3</v>
      </c>
      <c r="J447" s="2"/>
      <c r="K447" s="2">
        <v>3902.4</v>
      </c>
      <c r="L447" s="35">
        <v>12121108.056</v>
      </c>
      <c r="M447" s="36">
        <v>240</v>
      </c>
      <c r="N447" s="40">
        <v>150017.181818182</v>
      </c>
      <c r="O447" s="40">
        <v>170.18181818181799</v>
      </c>
      <c r="P447" s="40">
        <v>0</v>
      </c>
      <c r="Q447" s="40">
        <v>4155.8181818181802</v>
      </c>
      <c r="R447" s="40">
        <v>28577.727272727301</v>
      </c>
      <c r="S447" s="40">
        <v>96642.545454545398</v>
      </c>
      <c r="T447" s="37">
        <v>30000</v>
      </c>
      <c r="U447" s="40">
        <v>212535.031847134</v>
      </c>
      <c r="V447" s="40">
        <v>0</v>
      </c>
      <c r="W447" s="45">
        <v>522098.48639258899</v>
      </c>
      <c r="X447" s="46">
        <v>4.3073494929710501</v>
      </c>
    </row>
    <row r="448" spans="1:24" s="4" customFormat="1" ht="15" customHeight="1">
      <c r="A448" s="28" t="s">
        <v>1109</v>
      </c>
      <c r="B448" s="29">
        <v>3106.0650000000001</v>
      </c>
      <c r="C448" s="30" t="s">
        <v>1412</v>
      </c>
      <c r="D448" s="2">
        <v>4948776998</v>
      </c>
      <c r="E448" s="2" t="s">
        <v>14</v>
      </c>
      <c r="F448" s="78" t="s">
        <v>1413</v>
      </c>
      <c r="G448" s="28" t="s">
        <v>9</v>
      </c>
      <c r="H448" s="2" t="s">
        <v>23</v>
      </c>
      <c r="I448" s="2">
        <v>3</v>
      </c>
      <c r="J448" s="2"/>
      <c r="K448" s="2">
        <v>23705.599999999999</v>
      </c>
      <c r="L448" s="35">
        <v>73631134.464000002</v>
      </c>
      <c r="M448" s="36">
        <v>320</v>
      </c>
      <c r="N448" s="40">
        <v>200022.909090909</v>
      </c>
      <c r="O448" s="40">
        <v>226.90909090909099</v>
      </c>
      <c r="P448" s="40">
        <v>0</v>
      </c>
      <c r="Q448" s="40">
        <v>5541.0909090909099</v>
      </c>
      <c r="R448" s="40">
        <v>38103.636363636397</v>
      </c>
      <c r="S448" s="40">
        <v>128856.727272727</v>
      </c>
      <c r="T448" s="37">
        <v>30000</v>
      </c>
      <c r="U448" s="40">
        <v>283380.04246284498</v>
      </c>
      <c r="V448" s="40">
        <v>0</v>
      </c>
      <c r="W448" s="45">
        <v>686131.31519011699</v>
      </c>
      <c r="X448" s="46">
        <v>0.93184944138757397</v>
      </c>
    </row>
    <row r="449" spans="1:24" s="4" customFormat="1" ht="15" customHeight="1">
      <c r="A449" s="28" t="s">
        <v>1109</v>
      </c>
      <c r="B449" s="29">
        <v>3106.0650000000001</v>
      </c>
      <c r="C449" s="30" t="s">
        <v>1412</v>
      </c>
      <c r="D449" s="2">
        <v>4949035730</v>
      </c>
      <c r="E449" s="2" t="s">
        <v>14</v>
      </c>
      <c r="F449" s="78" t="s">
        <v>1413</v>
      </c>
      <c r="G449" s="28" t="s">
        <v>9</v>
      </c>
      <c r="H449" s="2" t="s">
        <v>23</v>
      </c>
      <c r="I449" s="2">
        <v>3</v>
      </c>
      <c r="J449" s="2"/>
      <c r="K449" s="2">
        <v>23705.599999999999</v>
      </c>
      <c r="L449" s="35">
        <v>73631134.464000002</v>
      </c>
      <c r="M449" s="36">
        <v>320</v>
      </c>
      <c r="N449" s="40">
        <v>200022.909090909</v>
      </c>
      <c r="O449" s="40">
        <v>226.90909090909099</v>
      </c>
      <c r="P449" s="40">
        <v>0</v>
      </c>
      <c r="Q449" s="40">
        <v>5541.0909090909099</v>
      </c>
      <c r="R449" s="40">
        <v>38103.636363636397</v>
      </c>
      <c r="S449" s="40">
        <v>128856.727272727</v>
      </c>
      <c r="T449" s="37">
        <v>30000</v>
      </c>
      <c r="U449" s="40">
        <v>283380.04246284498</v>
      </c>
      <c r="V449" s="40">
        <v>0</v>
      </c>
      <c r="W449" s="45">
        <v>686131.31519011699</v>
      </c>
      <c r="X449" s="46">
        <v>0.93184944138757397</v>
      </c>
    </row>
    <row r="450" spans="1:24" s="4" customFormat="1" ht="15" customHeight="1">
      <c r="A450" s="28" t="s">
        <v>1109</v>
      </c>
      <c r="B450" s="29">
        <v>3106.0650000000001</v>
      </c>
      <c r="C450" s="30" t="s">
        <v>1422</v>
      </c>
      <c r="D450" s="2">
        <v>4948559405</v>
      </c>
      <c r="E450" s="2" t="s">
        <v>14</v>
      </c>
      <c r="F450" s="78" t="s">
        <v>1423</v>
      </c>
      <c r="G450" s="28" t="s">
        <v>5</v>
      </c>
      <c r="H450" s="2" t="s">
        <v>32</v>
      </c>
      <c r="I450" s="2">
        <v>1</v>
      </c>
      <c r="J450" s="2" t="s">
        <v>1424</v>
      </c>
      <c r="K450" s="2">
        <v>11214</v>
      </c>
      <c r="L450" s="35">
        <v>34831412.909999996</v>
      </c>
      <c r="M450" s="36">
        <v>4200</v>
      </c>
      <c r="N450" s="40">
        <v>183101.91666666701</v>
      </c>
      <c r="O450" s="40">
        <v>181607.41666666701</v>
      </c>
      <c r="P450" s="40">
        <v>0</v>
      </c>
      <c r="Q450" s="40">
        <v>57930.25</v>
      </c>
      <c r="R450" s="40">
        <v>644033.91666666698</v>
      </c>
      <c r="S450" s="40">
        <v>206707.66666666701</v>
      </c>
      <c r="T450" s="37">
        <v>30000</v>
      </c>
      <c r="U450" s="40">
        <v>1684491.66666667</v>
      </c>
      <c r="V450" s="40">
        <v>0</v>
      </c>
      <c r="W450" s="45">
        <v>2987872.83333334</v>
      </c>
      <c r="X450" s="46">
        <v>8.5780982845962193</v>
      </c>
    </row>
    <row r="451" spans="1:24" s="4" customFormat="1" ht="15" customHeight="1">
      <c r="A451" s="28" t="s">
        <v>1109</v>
      </c>
      <c r="B451" s="29">
        <v>3106.0650000000001</v>
      </c>
      <c r="C451" s="30" t="s">
        <v>1466</v>
      </c>
      <c r="D451" s="2">
        <v>4947320682</v>
      </c>
      <c r="E451" s="2" t="s">
        <v>14</v>
      </c>
      <c r="F451" s="2" t="s">
        <v>1467</v>
      </c>
      <c r="G451" s="28" t="s">
        <v>5</v>
      </c>
      <c r="H451" s="2" t="s">
        <v>17</v>
      </c>
      <c r="I451" s="2">
        <v>1</v>
      </c>
      <c r="J451" s="2" t="s">
        <v>1468</v>
      </c>
      <c r="K451" s="2">
        <v>25103.4</v>
      </c>
      <c r="L451" s="35">
        <v>77972792.121000007</v>
      </c>
      <c r="M451" s="36">
        <v>18060</v>
      </c>
      <c r="N451" s="40">
        <v>0</v>
      </c>
      <c r="O451" s="40">
        <v>408424</v>
      </c>
      <c r="P451" s="40">
        <v>0</v>
      </c>
      <c r="Q451" s="40">
        <v>99309</v>
      </c>
      <c r="R451" s="40">
        <v>717765</v>
      </c>
      <c r="S451" s="40">
        <v>354356</v>
      </c>
      <c r="T451" s="37">
        <v>30000</v>
      </c>
      <c r="U451" s="40">
        <v>1600500</v>
      </c>
      <c r="V451" s="40">
        <v>0</v>
      </c>
      <c r="W451" s="45">
        <v>3210354</v>
      </c>
      <c r="X451" s="46">
        <v>4.1172746450044997</v>
      </c>
    </row>
    <row r="452" spans="1:24" s="4" customFormat="1" ht="15" customHeight="1">
      <c r="A452" s="28" t="s">
        <v>1109</v>
      </c>
      <c r="B452" s="29">
        <v>3106.0650000000001</v>
      </c>
      <c r="C452" s="30" t="s">
        <v>1478</v>
      </c>
      <c r="D452" s="2">
        <v>4948776858</v>
      </c>
      <c r="E452" s="2" t="s">
        <v>14</v>
      </c>
      <c r="F452" s="78" t="s">
        <v>1479</v>
      </c>
      <c r="G452" s="28" t="s">
        <v>5</v>
      </c>
      <c r="H452" s="2" t="s">
        <v>20</v>
      </c>
      <c r="I452" s="2">
        <v>1</v>
      </c>
      <c r="J452" s="2" t="s">
        <v>1480</v>
      </c>
      <c r="K452" s="2">
        <v>22008</v>
      </c>
      <c r="L452" s="35">
        <v>68358278.519999996</v>
      </c>
      <c r="M452" s="36">
        <v>8400</v>
      </c>
      <c r="N452" s="40">
        <v>249149.444444444</v>
      </c>
      <c r="O452" s="40">
        <v>242143.22222222199</v>
      </c>
      <c r="P452" s="40">
        <v>0</v>
      </c>
      <c r="Q452" s="40">
        <v>77240.333333333299</v>
      </c>
      <c r="R452" s="40">
        <v>564534.11111111101</v>
      </c>
      <c r="S452" s="40">
        <v>275610.22222222202</v>
      </c>
      <c r="T452" s="37">
        <v>30000</v>
      </c>
      <c r="U452" s="40">
        <v>2995144.4444444398</v>
      </c>
      <c r="V452" s="40">
        <v>0</v>
      </c>
      <c r="W452" s="45">
        <v>4433821.7777777696</v>
      </c>
      <c r="X452" s="46">
        <v>6.4861518952390602</v>
      </c>
    </row>
    <row r="453" spans="1:24" s="4" customFormat="1" ht="15" customHeight="1">
      <c r="A453" s="28" t="s">
        <v>1109</v>
      </c>
      <c r="B453" s="29">
        <v>3106.0650000000001</v>
      </c>
      <c r="C453" s="30" t="s">
        <v>1478</v>
      </c>
      <c r="D453" s="2">
        <v>4949037253</v>
      </c>
      <c r="E453" s="2" t="s">
        <v>14</v>
      </c>
      <c r="F453" s="78" t="s">
        <v>1479</v>
      </c>
      <c r="G453" s="28" t="s">
        <v>5</v>
      </c>
      <c r="H453" s="2" t="s">
        <v>20</v>
      </c>
      <c r="I453" s="2">
        <v>1</v>
      </c>
      <c r="J453" s="2" t="s">
        <v>1480</v>
      </c>
      <c r="K453" s="2">
        <v>5496</v>
      </c>
      <c r="L453" s="35">
        <v>17070933.239999998</v>
      </c>
      <c r="M453" s="36">
        <v>2400</v>
      </c>
      <c r="N453" s="40">
        <v>71185.555555555504</v>
      </c>
      <c r="O453" s="40">
        <v>69183.777777777796</v>
      </c>
      <c r="P453" s="40">
        <v>0</v>
      </c>
      <c r="Q453" s="40">
        <v>22068.666666666701</v>
      </c>
      <c r="R453" s="40">
        <v>161294.88888888899</v>
      </c>
      <c r="S453" s="40">
        <v>78745.777777777796</v>
      </c>
      <c r="T453" s="37">
        <v>30000</v>
      </c>
      <c r="U453" s="40">
        <v>855755.55555555597</v>
      </c>
      <c r="V453" s="40">
        <v>0</v>
      </c>
      <c r="W453" s="45">
        <v>1288234.2222222199</v>
      </c>
      <c r="X453" s="46">
        <v>7.5463608468907699</v>
      </c>
    </row>
    <row r="454" spans="1:24" s="4" customFormat="1" ht="15" customHeight="1">
      <c r="A454" s="28" t="s">
        <v>1109</v>
      </c>
      <c r="B454" s="29">
        <v>3106.0650000000001</v>
      </c>
      <c r="C454" s="30" t="s">
        <v>1484</v>
      </c>
      <c r="D454" s="2">
        <v>4948826974</v>
      </c>
      <c r="E454" s="2" t="s">
        <v>14</v>
      </c>
      <c r="F454" s="78" t="s">
        <v>1485</v>
      </c>
      <c r="G454" s="28" t="s">
        <v>13</v>
      </c>
      <c r="H454" s="2" t="s">
        <v>23</v>
      </c>
      <c r="I454" s="2">
        <v>2</v>
      </c>
      <c r="J454" s="2"/>
      <c r="K454" s="2">
        <v>9772.7999999999993</v>
      </c>
      <c r="L454" s="35">
        <v>30354952.032000002</v>
      </c>
      <c r="M454" s="36">
        <v>160</v>
      </c>
      <c r="N454" s="40">
        <v>247706.323076923</v>
      </c>
      <c r="O454" s="40">
        <v>0</v>
      </c>
      <c r="P454" s="40">
        <v>140711.79487179499</v>
      </c>
      <c r="Q454" s="40">
        <v>0</v>
      </c>
      <c r="R454" s="40">
        <v>5606.1538461538503</v>
      </c>
      <c r="S454" s="40">
        <v>181721.025641026</v>
      </c>
      <c r="T454" s="37">
        <v>30000</v>
      </c>
      <c r="U454" s="40">
        <v>126348.717948718</v>
      </c>
      <c r="V454" s="40">
        <v>0</v>
      </c>
      <c r="W454" s="45">
        <v>732094.01538461598</v>
      </c>
      <c r="X454" s="46">
        <v>2.4117778694324601</v>
      </c>
    </row>
    <row r="455" spans="1:24" s="4" customFormat="1" ht="15" customHeight="1">
      <c r="A455" s="28" t="s">
        <v>1109</v>
      </c>
      <c r="B455" s="29">
        <v>3106.0650000000001</v>
      </c>
      <c r="C455" s="30" t="s">
        <v>1484</v>
      </c>
      <c r="D455" s="2">
        <v>4948826974</v>
      </c>
      <c r="E455" s="2" t="s">
        <v>14</v>
      </c>
      <c r="F455" s="78" t="s">
        <v>1485</v>
      </c>
      <c r="G455" s="28" t="s">
        <v>13</v>
      </c>
      <c r="H455" s="2" t="s">
        <v>23</v>
      </c>
      <c r="I455" s="2">
        <v>2</v>
      </c>
      <c r="J455" s="2"/>
      <c r="K455" s="2">
        <v>13731</v>
      </c>
      <c r="L455" s="35">
        <v>42649378.515000001</v>
      </c>
      <c r="M455" s="36">
        <v>150</v>
      </c>
      <c r="N455" s="40">
        <v>232224.677884615</v>
      </c>
      <c r="O455" s="40">
        <v>0</v>
      </c>
      <c r="P455" s="40">
        <v>131917.30769230801</v>
      </c>
      <c r="Q455" s="40">
        <v>0</v>
      </c>
      <c r="R455" s="40">
        <v>5255.7692307692296</v>
      </c>
      <c r="S455" s="40">
        <v>170363.461538462</v>
      </c>
      <c r="T455" s="37">
        <v>30000</v>
      </c>
      <c r="U455" s="40">
        <v>118451.92307692301</v>
      </c>
      <c r="V455" s="40">
        <v>0</v>
      </c>
      <c r="W455" s="45">
        <v>688213.13942307699</v>
      </c>
      <c r="X455" s="46">
        <v>1.61365338343917</v>
      </c>
    </row>
    <row r="456" spans="1:24" s="4" customFormat="1" ht="15" customHeight="1">
      <c r="A456" s="28" t="s">
        <v>1109</v>
      </c>
      <c r="B456" s="29">
        <v>3106.0650000000001</v>
      </c>
      <c r="C456" s="30" t="s">
        <v>1484</v>
      </c>
      <c r="D456" s="2">
        <v>4949192133</v>
      </c>
      <c r="E456" s="2" t="s">
        <v>14</v>
      </c>
      <c r="F456" s="78" t="s">
        <v>1485</v>
      </c>
      <c r="G456" s="28" t="s">
        <v>13</v>
      </c>
      <c r="H456" s="2" t="s">
        <v>23</v>
      </c>
      <c r="I456" s="2">
        <v>2</v>
      </c>
      <c r="J456" s="2"/>
      <c r="K456" s="2">
        <v>848</v>
      </c>
      <c r="L456" s="35">
        <v>2633943.12</v>
      </c>
      <c r="M456" s="36">
        <v>2</v>
      </c>
      <c r="N456" s="40">
        <v>3096.3290384615402</v>
      </c>
      <c r="O456" s="40">
        <v>0</v>
      </c>
      <c r="P456" s="40">
        <v>1758.8974358974399</v>
      </c>
      <c r="Q456" s="40">
        <v>0</v>
      </c>
      <c r="R456" s="40">
        <v>70.076923076923094</v>
      </c>
      <c r="S456" s="40">
        <v>2271.5128205128199</v>
      </c>
      <c r="T456" s="37">
        <v>30000</v>
      </c>
      <c r="U456" s="40">
        <v>1579.35897435897</v>
      </c>
      <c r="V456" s="40">
        <v>0</v>
      </c>
      <c r="W456" s="45">
        <v>38776.175192307703</v>
      </c>
      <c r="X456" s="46">
        <v>1.4721720791110999</v>
      </c>
    </row>
    <row r="457" spans="1:24" s="4" customFormat="1" ht="15" customHeight="1">
      <c r="A457" s="28" t="s">
        <v>1109</v>
      </c>
      <c r="B457" s="29">
        <v>3106.0650000000001</v>
      </c>
      <c r="C457" s="30" t="s">
        <v>1488</v>
      </c>
      <c r="D457" s="2">
        <v>4949037254</v>
      </c>
      <c r="E457" s="2" t="s">
        <v>14</v>
      </c>
      <c r="F457" s="2" t="s">
        <v>1489</v>
      </c>
      <c r="G457" s="28" t="s">
        <v>9</v>
      </c>
      <c r="H457" s="2" t="s">
        <v>23</v>
      </c>
      <c r="I457" s="2">
        <v>4</v>
      </c>
      <c r="J457" s="2"/>
      <c r="K457" s="2">
        <v>14348.8</v>
      </c>
      <c r="L457" s="35">
        <v>44568305.472000003</v>
      </c>
      <c r="M457" s="36">
        <v>3040</v>
      </c>
      <c r="N457" s="40">
        <v>666395</v>
      </c>
      <c r="O457" s="40">
        <v>2154</v>
      </c>
      <c r="P457" s="40">
        <v>0</v>
      </c>
      <c r="Q457" s="40">
        <v>52553</v>
      </c>
      <c r="R457" s="40">
        <v>138251</v>
      </c>
      <c r="S457" s="40">
        <v>354356</v>
      </c>
      <c r="T457" s="37">
        <v>30000</v>
      </c>
      <c r="U457" s="40">
        <v>1367700</v>
      </c>
      <c r="V457" s="40">
        <v>0</v>
      </c>
      <c r="W457" s="45">
        <v>2611409</v>
      </c>
      <c r="X457" s="46">
        <v>5.85934101003821</v>
      </c>
    </row>
    <row r="458" spans="1:24" s="4" customFormat="1" ht="15" customHeight="1">
      <c r="A458" s="28" t="s">
        <v>1109</v>
      </c>
      <c r="B458" s="29">
        <v>3106.0650000000001</v>
      </c>
      <c r="C458" s="30" t="s">
        <v>1490</v>
      </c>
      <c r="D458" s="2">
        <v>4949096194</v>
      </c>
      <c r="E458" s="2" t="s">
        <v>14</v>
      </c>
      <c r="F458" s="2" t="s">
        <v>1491</v>
      </c>
      <c r="G458" s="28" t="s">
        <v>5</v>
      </c>
      <c r="H458" s="2" t="s">
        <v>20</v>
      </c>
      <c r="I458" s="2">
        <v>1</v>
      </c>
      <c r="J458" s="2" t="s">
        <v>1492</v>
      </c>
      <c r="K458" s="2">
        <v>3894</v>
      </c>
      <c r="L458" s="35">
        <v>12095017.109999999</v>
      </c>
      <c r="M458" s="36">
        <v>1100</v>
      </c>
      <c r="N458" s="40">
        <v>73336.404332129998</v>
      </c>
      <c r="O458" s="40">
        <v>49452.664259927798</v>
      </c>
      <c r="P458" s="40">
        <v>16513.342960288799</v>
      </c>
      <c r="Q458" s="40">
        <v>15774.714801444001</v>
      </c>
      <c r="R458" s="40">
        <v>100604.85559566801</v>
      </c>
      <c r="S458" s="40">
        <v>56287.595667870002</v>
      </c>
      <c r="T458" s="37">
        <v>30000</v>
      </c>
      <c r="U458" s="40">
        <v>460697.47292418801</v>
      </c>
      <c r="V458" s="40">
        <v>0</v>
      </c>
      <c r="W458" s="45">
        <v>802667.05054151698</v>
      </c>
      <c r="X458" s="46">
        <v>6.6363448951046298</v>
      </c>
    </row>
    <row r="459" spans="1:24" s="4" customFormat="1" ht="15" customHeight="1">
      <c r="A459" s="28" t="s">
        <v>1109</v>
      </c>
      <c r="B459" s="29">
        <v>3106.0650000000001</v>
      </c>
      <c r="C459" s="30" t="s">
        <v>1490</v>
      </c>
      <c r="D459" s="2">
        <v>4949192135</v>
      </c>
      <c r="E459" s="2" t="s">
        <v>14</v>
      </c>
      <c r="F459" s="2" t="s">
        <v>1491</v>
      </c>
      <c r="G459" s="28" t="s">
        <v>5</v>
      </c>
      <c r="H459" s="2" t="s">
        <v>20</v>
      </c>
      <c r="I459" s="2">
        <v>1</v>
      </c>
      <c r="J459" s="2" t="s">
        <v>1492</v>
      </c>
      <c r="K459" s="2">
        <v>3708</v>
      </c>
      <c r="L459" s="35">
        <v>11517289.02</v>
      </c>
      <c r="M459" s="36">
        <v>3600</v>
      </c>
      <c r="N459" s="40">
        <v>240010.05054151599</v>
      </c>
      <c r="O459" s="40">
        <v>161845.08303249101</v>
      </c>
      <c r="P459" s="40">
        <v>54043.667870036101</v>
      </c>
      <c r="Q459" s="40">
        <v>51626.339350180497</v>
      </c>
      <c r="R459" s="40">
        <v>329251.98194945802</v>
      </c>
      <c r="S459" s="40">
        <v>184213.94945848401</v>
      </c>
      <c r="T459" s="37">
        <v>30000</v>
      </c>
      <c r="U459" s="40">
        <v>1507737.18411552</v>
      </c>
      <c r="V459" s="40">
        <v>0</v>
      </c>
      <c r="W459" s="45">
        <v>2558728.25631769</v>
      </c>
      <c r="X459" s="46">
        <v>22.216410926863102</v>
      </c>
    </row>
    <row r="460" spans="1:24" s="4" customFormat="1" ht="15" customHeight="1">
      <c r="A460" s="28" t="s">
        <v>1109</v>
      </c>
      <c r="B460" s="29">
        <v>3106.0650000000001</v>
      </c>
      <c r="C460" s="30" t="s">
        <v>1490</v>
      </c>
      <c r="D460" s="2">
        <v>4949035723</v>
      </c>
      <c r="E460" s="2" t="s">
        <v>14</v>
      </c>
      <c r="F460" s="2" t="s">
        <v>1491</v>
      </c>
      <c r="G460" s="28" t="s">
        <v>5</v>
      </c>
      <c r="H460" s="2" t="s">
        <v>20</v>
      </c>
      <c r="I460" s="2">
        <v>1</v>
      </c>
      <c r="J460" s="2" t="s">
        <v>1492</v>
      </c>
      <c r="K460" s="2">
        <v>4798</v>
      </c>
      <c r="L460" s="35">
        <v>14902899.869999999</v>
      </c>
      <c r="M460" s="36">
        <v>100</v>
      </c>
      <c r="N460" s="40">
        <v>6666.9458483754497</v>
      </c>
      <c r="O460" s="40">
        <v>4495.6967509025299</v>
      </c>
      <c r="P460" s="40">
        <v>1501.2129963898899</v>
      </c>
      <c r="Q460" s="40">
        <v>1434.0649819494599</v>
      </c>
      <c r="R460" s="40">
        <v>9145.8050541516204</v>
      </c>
      <c r="S460" s="40">
        <v>5117.0541516245503</v>
      </c>
      <c r="T460" s="37">
        <v>30000</v>
      </c>
      <c r="U460" s="40">
        <v>41881.588447653397</v>
      </c>
      <c r="V460" s="40">
        <v>0</v>
      </c>
      <c r="W460" s="45">
        <v>100242.368231047</v>
      </c>
      <c r="X460" s="46">
        <v>0.67263666202869599</v>
      </c>
    </row>
    <row r="461" spans="1:24" s="4" customFormat="1" ht="15" customHeight="1">
      <c r="A461" s="28" t="s">
        <v>1109</v>
      </c>
      <c r="B461" s="29">
        <v>3106.0650000000001</v>
      </c>
      <c r="C461" s="30" t="s">
        <v>1493</v>
      </c>
      <c r="D461" s="2">
        <v>4948495885</v>
      </c>
      <c r="E461" s="2" t="s">
        <v>14</v>
      </c>
      <c r="F461" s="2" t="s">
        <v>1494</v>
      </c>
      <c r="G461" s="28" t="s">
        <v>5</v>
      </c>
      <c r="H461" s="2" t="s">
        <v>20</v>
      </c>
      <c r="I461" s="2">
        <v>1</v>
      </c>
      <c r="J461" s="2" t="s">
        <v>1495</v>
      </c>
      <c r="K461" s="2">
        <v>4067</v>
      </c>
      <c r="L461" s="35">
        <v>12632366.355</v>
      </c>
      <c r="M461" s="36">
        <v>700</v>
      </c>
      <c r="N461" s="40">
        <v>26124.9616161616</v>
      </c>
      <c r="O461" s="40">
        <v>17610.416161616198</v>
      </c>
      <c r="P461" s="40">
        <v>7350.6505050505102</v>
      </c>
      <c r="Q461" s="40">
        <v>5617.4787878787902</v>
      </c>
      <c r="R461" s="40">
        <v>41796.967676767701</v>
      </c>
      <c r="S461" s="40">
        <v>20044.3797979798</v>
      </c>
      <c r="T461" s="37">
        <v>30000</v>
      </c>
      <c r="U461" s="40">
        <v>183810.101010101</v>
      </c>
      <c r="V461" s="40">
        <v>0</v>
      </c>
      <c r="W461" s="45">
        <v>332354.95555555599</v>
      </c>
      <c r="X461" s="46">
        <v>2.6309793922656999</v>
      </c>
    </row>
    <row r="462" spans="1:24" s="4" customFormat="1" ht="15" customHeight="1">
      <c r="A462" s="28" t="s">
        <v>1109</v>
      </c>
      <c r="B462" s="29">
        <v>3106.0650000000001</v>
      </c>
      <c r="C462" s="30" t="s">
        <v>1493</v>
      </c>
      <c r="D462" s="2">
        <v>4948772924</v>
      </c>
      <c r="E462" s="2" t="s">
        <v>14</v>
      </c>
      <c r="F462" s="2" t="s">
        <v>1494</v>
      </c>
      <c r="G462" s="28" t="s">
        <v>5</v>
      </c>
      <c r="H462" s="2" t="s">
        <v>20</v>
      </c>
      <c r="I462" s="2">
        <v>1</v>
      </c>
      <c r="J462" s="2" t="s">
        <v>1495</v>
      </c>
      <c r="K462" s="2">
        <v>10272</v>
      </c>
      <c r="L462" s="35">
        <v>31905499.68</v>
      </c>
      <c r="M462" s="36">
        <v>1200</v>
      </c>
      <c r="N462" s="40">
        <v>44785.648484848498</v>
      </c>
      <c r="O462" s="40">
        <v>30189.2848484848</v>
      </c>
      <c r="P462" s="40">
        <v>12601.1151515152</v>
      </c>
      <c r="Q462" s="40">
        <v>9629.96363636364</v>
      </c>
      <c r="R462" s="40">
        <v>71652.230303030301</v>
      </c>
      <c r="S462" s="40">
        <v>34361.793939393901</v>
      </c>
      <c r="T462" s="37">
        <v>30000</v>
      </c>
      <c r="U462" s="40">
        <v>315103.03030302998</v>
      </c>
      <c r="V462" s="40">
        <v>0</v>
      </c>
      <c r="W462" s="45">
        <v>548323.06666666595</v>
      </c>
      <c r="X462" s="46">
        <v>1.71858479624559</v>
      </c>
    </row>
    <row r="463" spans="1:24" s="4" customFormat="1" ht="15" customHeight="1">
      <c r="A463" s="28" t="s">
        <v>1109</v>
      </c>
      <c r="B463" s="29">
        <v>3106.0650000000001</v>
      </c>
      <c r="C463" s="30" t="s">
        <v>1493</v>
      </c>
      <c r="D463" s="2">
        <v>4948772939</v>
      </c>
      <c r="E463" s="2" t="s">
        <v>14</v>
      </c>
      <c r="F463" s="2" t="s">
        <v>1494</v>
      </c>
      <c r="G463" s="28" t="s">
        <v>5</v>
      </c>
      <c r="H463" s="2" t="s">
        <v>20</v>
      </c>
      <c r="I463" s="2">
        <v>1</v>
      </c>
      <c r="J463" s="2" t="s">
        <v>1495</v>
      </c>
      <c r="K463" s="2">
        <v>24288</v>
      </c>
      <c r="L463" s="35">
        <v>75440106.719999999</v>
      </c>
      <c r="M463" s="36">
        <v>8800</v>
      </c>
      <c r="N463" s="40">
        <v>328428.088888889</v>
      </c>
      <c r="O463" s="40">
        <v>221388.088888889</v>
      </c>
      <c r="P463" s="40">
        <v>92408.177777777804</v>
      </c>
      <c r="Q463" s="40">
        <v>70619.733333333294</v>
      </c>
      <c r="R463" s="40">
        <v>525449.02222222195</v>
      </c>
      <c r="S463" s="40">
        <v>251986.488888889</v>
      </c>
      <c r="T463" s="37">
        <v>30000</v>
      </c>
      <c r="U463" s="40">
        <v>2310755.5555555602</v>
      </c>
      <c r="V463" s="40">
        <v>0</v>
      </c>
      <c r="W463" s="45">
        <v>3831035.1555555598</v>
      </c>
      <c r="X463" s="46">
        <v>5.07824726411729</v>
      </c>
    </row>
    <row r="464" spans="1:24" s="4" customFormat="1" ht="15" customHeight="1">
      <c r="A464" s="28" t="s">
        <v>1109</v>
      </c>
      <c r="B464" s="29">
        <v>3106.0650000000001</v>
      </c>
      <c r="C464" s="30" t="s">
        <v>1493</v>
      </c>
      <c r="D464" s="2">
        <v>4948540087</v>
      </c>
      <c r="E464" s="2" t="s">
        <v>14</v>
      </c>
      <c r="F464" s="2" t="s">
        <v>1494</v>
      </c>
      <c r="G464" s="28" t="s">
        <v>5</v>
      </c>
      <c r="H464" s="2" t="s">
        <v>20</v>
      </c>
      <c r="I464" s="2">
        <v>1</v>
      </c>
      <c r="J464" s="2" t="s">
        <v>1495</v>
      </c>
      <c r="K464" s="2">
        <v>1220</v>
      </c>
      <c r="L464" s="35">
        <v>3789399.3</v>
      </c>
      <c r="M464" s="36">
        <v>250</v>
      </c>
      <c r="N464" s="40">
        <v>9330.3434343434292</v>
      </c>
      <c r="O464" s="40">
        <v>6289.43434343434</v>
      </c>
      <c r="P464" s="40">
        <v>2625.2323232323201</v>
      </c>
      <c r="Q464" s="40">
        <v>2006.2424242424199</v>
      </c>
      <c r="R464" s="40">
        <v>14927.1313131313</v>
      </c>
      <c r="S464" s="40">
        <v>7158.7070707070698</v>
      </c>
      <c r="T464" s="37">
        <v>30000</v>
      </c>
      <c r="U464" s="40">
        <v>65646.464646464694</v>
      </c>
      <c r="V464" s="40">
        <v>0</v>
      </c>
      <c r="W464" s="45">
        <v>137983.555555556</v>
      </c>
      <c r="X464" s="46">
        <v>3.6413041918162499</v>
      </c>
    </row>
    <row r="465" spans="1:24" s="4" customFormat="1" ht="15" customHeight="1">
      <c r="A465" s="28" t="s">
        <v>1109</v>
      </c>
      <c r="B465" s="29">
        <v>3106.0650000000001</v>
      </c>
      <c r="C465" s="30" t="s">
        <v>1493</v>
      </c>
      <c r="D465" s="2">
        <v>4949035733</v>
      </c>
      <c r="E465" s="2" t="s">
        <v>14</v>
      </c>
      <c r="F465" s="2" t="s">
        <v>1494</v>
      </c>
      <c r="G465" s="28" t="s">
        <v>5</v>
      </c>
      <c r="H465" s="2" t="s">
        <v>20</v>
      </c>
      <c r="I465" s="2">
        <v>1</v>
      </c>
      <c r="J465" s="2" t="s">
        <v>1495</v>
      </c>
      <c r="K465" s="2">
        <v>2803.5</v>
      </c>
      <c r="L465" s="35">
        <v>8707853.2274999991</v>
      </c>
      <c r="M465" s="36">
        <v>525</v>
      </c>
      <c r="N465" s="40">
        <v>19593.7212121212</v>
      </c>
      <c r="O465" s="40">
        <v>13207.8121212121</v>
      </c>
      <c r="P465" s="40">
        <v>5512.9878787878797</v>
      </c>
      <c r="Q465" s="40">
        <v>4213.1090909090899</v>
      </c>
      <c r="R465" s="40">
        <v>31347.975757575801</v>
      </c>
      <c r="S465" s="40">
        <v>15033.2848484848</v>
      </c>
      <c r="T465" s="37">
        <v>30000</v>
      </c>
      <c r="U465" s="40">
        <v>137857.57575757601</v>
      </c>
      <c r="V465" s="40">
        <v>0</v>
      </c>
      <c r="W465" s="45">
        <v>256766.46666666699</v>
      </c>
      <c r="X465" s="46">
        <v>2.9486770155447801</v>
      </c>
    </row>
    <row r="466" spans="1:24" s="4" customFormat="1" ht="15" customHeight="1">
      <c r="A466" s="28" t="s">
        <v>1109</v>
      </c>
      <c r="B466" s="29">
        <v>3106.0650000000001</v>
      </c>
      <c r="C466" s="30" t="s">
        <v>1493</v>
      </c>
      <c r="D466" s="2">
        <v>4948951750</v>
      </c>
      <c r="E466" s="2" t="s">
        <v>14</v>
      </c>
      <c r="F466" s="2" t="s">
        <v>1494</v>
      </c>
      <c r="G466" s="28" t="s">
        <v>5</v>
      </c>
      <c r="H466" s="2" t="s">
        <v>20</v>
      </c>
      <c r="I466" s="2">
        <v>1</v>
      </c>
      <c r="J466" s="2" t="s">
        <v>1495</v>
      </c>
      <c r="K466" s="2">
        <v>2772</v>
      </c>
      <c r="L466" s="35">
        <v>8610012.1799999997</v>
      </c>
      <c r="M466" s="36">
        <v>900</v>
      </c>
      <c r="N466" s="40">
        <v>33589.236363636403</v>
      </c>
      <c r="O466" s="40">
        <v>22641.963636363598</v>
      </c>
      <c r="P466" s="40">
        <v>9450.8363636363592</v>
      </c>
      <c r="Q466" s="40">
        <v>7222.4727272727296</v>
      </c>
      <c r="R466" s="40">
        <v>53738.6727272727</v>
      </c>
      <c r="S466" s="40">
        <v>25771.345454545499</v>
      </c>
      <c r="T466" s="37">
        <v>30000</v>
      </c>
      <c r="U466" s="40">
        <v>236327.272727273</v>
      </c>
      <c r="V466" s="40">
        <v>0</v>
      </c>
      <c r="W466" s="45">
        <v>418741.8</v>
      </c>
      <c r="X466" s="46">
        <v>4.8634286600974397</v>
      </c>
    </row>
    <row r="467" spans="1:24" s="4" customFormat="1" ht="15" customHeight="1">
      <c r="A467" s="28" t="s">
        <v>1109</v>
      </c>
      <c r="B467" s="29">
        <v>3106.0650000000001</v>
      </c>
      <c r="C467" s="30" t="s">
        <v>1496</v>
      </c>
      <c r="D467" s="2">
        <v>4949037267</v>
      </c>
      <c r="E467" s="2" t="s">
        <v>14</v>
      </c>
      <c r="F467" s="78" t="s">
        <v>1497</v>
      </c>
      <c r="G467" s="28" t="s">
        <v>9</v>
      </c>
      <c r="H467" s="2" t="s">
        <v>23</v>
      </c>
      <c r="I467" s="2">
        <v>2</v>
      </c>
      <c r="J467" s="2"/>
      <c r="K467" s="2">
        <v>1792</v>
      </c>
      <c r="L467" s="35">
        <v>5566068.4800000004</v>
      </c>
      <c r="M467" s="36">
        <v>1600</v>
      </c>
      <c r="N467" s="40">
        <v>651374</v>
      </c>
      <c r="O467" s="40">
        <v>1107</v>
      </c>
      <c r="P467" s="40">
        <v>0</v>
      </c>
      <c r="Q467" s="40">
        <v>26540</v>
      </c>
      <c r="R467" s="40">
        <v>108022</v>
      </c>
      <c r="S467" s="40">
        <v>354356</v>
      </c>
      <c r="T467" s="37">
        <v>30000</v>
      </c>
      <c r="U467" s="40">
        <v>1226764.70588235</v>
      </c>
      <c r="V467" s="40">
        <v>0</v>
      </c>
      <c r="W467" s="45">
        <v>2398163.70588235</v>
      </c>
      <c r="X467" s="46">
        <v>43.085415037551797</v>
      </c>
    </row>
    <row r="468" spans="1:24" s="4" customFormat="1" ht="15" customHeight="1">
      <c r="A468" s="28" t="s">
        <v>1109</v>
      </c>
      <c r="B468" s="29">
        <v>3106.0650000000001</v>
      </c>
      <c r="C468" s="30" t="s">
        <v>1498</v>
      </c>
      <c r="D468" s="2">
        <v>4949231338</v>
      </c>
      <c r="E468" s="2" t="s">
        <v>14</v>
      </c>
      <c r="F468" s="2" t="s">
        <v>1499</v>
      </c>
      <c r="G468" s="28" t="s">
        <v>9</v>
      </c>
      <c r="H468" s="2" t="s">
        <v>23</v>
      </c>
      <c r="I468" s="2">
        <v>7</v>
      </c>
      <c r="J468" s="2"/>
      <c r="K468" s="2">
        <v>10795.5</v>
      </c>
      <c r="L468" s="35">
        <v>33531524.7075</v>
      </c>
      <c r="M468" s="36">
        <v>225</v>
      </c>
      <c r="N468" s="40">
        <v>314355.44927536201</v>
      </c>
      <c r="O468" s="40">
        <v>149.08695652173901</v>
      </c>
      <c r="P468" s="40">
        <v>0</v>
      </c>
      <c r="Q468" s="40">
        <v>3656.95652173913</v>
      </c>
      <c r="R468" s="40">
        <v>18988.550724637698</v>
      </c>
      <c r="S468" s="40">
        <v>37661.024154589402</v>
      </c>
      <c r="T468" s="37">
        <v>30000</v>
      </c>
      <c r="U468" s="40">
        <v>258222.647456101</v>
      </c>
      <c r="V468" s="40">
        <v>0</v>
      </c>
      <c r="W468" s="45">
        <v>663033.71508895105</v>
      </c>
      <c r="X468" s="46">
        <v>1.9773443673458999</v>
      </c>
    </row>
    <row r="469" spans="1:24" s="4" customFormat="1" ht="15" customHeight="1">
      <c r="A469" s="28" t="s">
        <v>1109</v>
      </c>
      <c r="B469" s="29">
        <v>3106.0650000000001</v>
      </c>
      <c r="C469" s="30" t="s">
        <v>1498</v>
      </c>
      <c r="D469" s="2">
        <v>4949035723</v>
      </c>
      <c r="E469" s="2" t="s">
        <v>14</v>
      </c>
      <c r="F469" s="2" t="s">
        <v>1499</v>
      </c>
      <c r="G469" s="28" t="s">
        <v>9</v>
      </c>
      <c r="H469" s="2" t="s">
        <v>23</v>
      </c>
      <c r="I469" s="2">
        <v>7</v>
      </c>
      <c r="J469" s="2"/>
      <c r="K469" s="2">
        <v>18792</v>
      </c>
      <c r="L469" s="35">
        <v>58369173.479999997</v>
      </c>
      <c r="M469" s="36">
        <v>2400</v>
      </c>
      <c r="N469" s="40">
        <v>1143110.72463768</v>
      </c>
      <c r="O469" s="40">
        <v>1590.26086956522</v>
      </c>
      <c r="P469" s="40">
        <v>0</v>
      </c>
      <c r="Q469" s="40">
        <v>39007.5362318841</v>
      </c>
      <c r="R469" s="40">
        <v>69049.275362318804</v>
      </c>
      <c r="S469" s="40">
        <v>136949.17874396101</v>
      </c>
      <c r="T469" s="37">
        <v>30000</v>
      </c>
      <c r="U469" s="40">
        <v>938991.44529491197</v>
      </c>
      <c r="V469" s="40">
        <v>0</v>
      </c>
      <c r="W469" s="45">
        <v>2358698.4211403201</v>
      </c>
      <c r="X469" s="46">
        <v>4.0410002069817201</v>
      </c>
    </row>
    <row r="470" spans="1:24" s="4" customFormat="1" ht="15" customHeight="1">
      <c r="A470" s="28" t="s">
        <v>1109</v>
      </c>
      <c r="B470" s="29">
        <v>3106.0650000000001</v>
      </c>
      <c r="C470" s="30" t="s">
        <v>1498</v>
      </c>
      <c r="D470" s="2">
        <v>4949366039</v>
      </c>
      <c r="E470" s="2" t="s">
        <v>14</v>
      </c>
      <c r="F470" s="2" t="s">
        <v>1499</v>
      </c>
      <c r="G470" s="28" t="s">
        <v>9</v>
      </c>
      <c r="H470" s="2" t="s">
        <v>23</v>
      </c>
      <c r="I470" s="2">
        <v>7</v>
      </c>
      <c r="J470" s="2"/>
      <c r="K470" s="2">
        <v>1947</v>
      </c>
      <c r="L470" s="35">
        <v>6047508.5549999997</v>
      </c>
      <c r="M470" s="36">
        <v>550</v>
      </c>
      <c r="N470" s="40">
        <v>128599.956521739</v>
      </c>
      <c r="O470" s="40">
        <v>364.43478260869603</v>
      </c>
      <c r="P470" s="40">
        <v>0</v>
      </c>
      <c r="Q470" s="40">
        <v>8939.2270531401009</v>
      </c>
      <c r="R470" s="40">
        <v>7768.04347826087</v>
      </c>
      <c r="S470" s="40">
        <v>15406.782608695699</v>
      </c>
      <c r="T470" s="37">
        <v>30000</v>
      </c>
      <c r="U470" s="40">
        <v>117231.428571429</v>
      </c>
      <c r="V470" s="40">
        <v>0</v>
      </c>
      <c r="W470" s="45">
        <v>308309.87301587302</v>
      </c>
      <c r="X470" s="46">
        <v>5.0981304153917497</v>
      </c>
    </row>
    <row r="471" spans="1:24" s="4" customFormat="1" ht="15" customHeight="1">
      <c r="A471" s="28" t="s">
        <v>1109</v>
      </c>
      <c r="B471" s="29">
        <v>3106.0650000000001</v>
      </c>
      <c r="C471" s="30" t="s">
        <v>1500</v>
      </c>
      <c r="D471" s="2">
        <v>4949366039</v>
      </c>
      <c r="E471" s="2" t="s">
        <v>14</v>
      </c>
      <c r="F471" s="2" t="s">
        <v>1501</v>
      </c>
      <c r="G471" s="28" t="s">
        <v>9</v>
      </c>
      <c r="H471" s="2" t="s">
        <v>23</v>
      </c>
      <c r="I471" s="2">
        <v>1</v>
      </c>
      <c r="J471" s="2"/>
      <c r="K471" s="2">
        <v>138.80000000000001</v>
      </c>
      <c r="L471" s="35">
        <v>431121.82199999999</v>
      </c>
      <c r="M471" s="36">
        <v>40</v>
      </c>
      <c r="N471" s="40">
        <v>443835</v>
      </c>
      <c r="O471" s="40">
        <v>31</v>
      </c>
      <c r="P471" s="40">
        <v>0</v>
      </c>
      <c r="Q471" s="40">
        <v>1014</v>
      </c>
      <c r="R471" s="40">
        <v>80409.440000000002</v>
      </c>
      <c r="S471" s="40">
        <v>354356</v>
      </c>
      <c r="T471" s="37">
        <v>30000</v>
      </c>
      <c r="U471" s="40">
        <v>18779.828905898201</v>
      </c>
      <c r="V471" s="40">
        <v>0</v>
      </c>
      <c r="W471" s="45">
        <v>928425.26890589797</v>
      </c>
      <c r="X471" s="46">
        <v>215.351026445119</v>
      </c>
    </row>
    <row r="472" spans="1:24" s="4" customFormat="1" ht="15" customHeight="1">
      <c r="A472" s="28" t="s">
        <v>1109</v>
      </c>
      <c r="B472" s="29">
        <v>3106.0650000000001</v>
      </c>
      <c r="C472" s="30" t="s">
        <v>1505</v>
      </c>
      <c r="D472" s="2">
        <v>4949037270</v>
      </c>
      <c r="E472" s="2" t="s">
        <v>14</v>
      </c>
      <c r="F472" s="2" t="s">
        <v>1506</v>
      </c>
      <c r="G472" s="28" t="s">
        <v>9</v>
      </c>
      <c r="H472" s="2" t="s">
        <v>23</v>
      </c>
      <c r="I472" s="2">
        <v>1</v>
      </c>
      <c r="J472" s="2"/>
      <c r="K472" s="2">
        <v>4319.6400000000003</v>
      </c>
      <c r="L472" s="35">
        <v>13417082.616599999</v>
      </c>
      <c r="M472" s="36">
        <v>852</v>
      </c>
      <c r="N472" s="40">
        <v>580051</v>
      </c>
      <c r="O472" s="40">
        <v>599</v>
      </c>
      <c r="P472" s="40">
        <v>0</v>
      </c>
      <c r="Q472" s="40">
        <v>14632</v>
      </c>
      <c r="R472" s="40">
        <v>95272</v>
      </c>
      <c r="S472" s="40">
        <v>354356</v>
      </c>
      <c r="T472" s="37">
        <v>30000</v>
      </c>
      <c r="U472" s="40">
        <v>400010.35569563298</v>
      </c>
      <c r="V472" s="40">
        <v>0</v>
      </c>
      <c r="W472" s="45">
        <v>1474920.35569563</v>
      </c>
      <c r="X472" s="46">
        <v>10.9928543919885</v>
      </c>
    </row>
    <row r="473" spans="1:24" s="4" customFormat="1" ht="15" customHeight="1">
      <c r="A473" s="28" t="s">
        <v>1109</v>
      </c>
      <c r="B473" s="29">
        <v>3106.0650000000001</v>
      </c>
      <c r="C473" s="30" t="s">
        <v>1517</v>
      </c>
      <c r="D473" s="2">
        <v>4948776527</v>
      </c>
      <c r="E473" s="2" t="s">
        <v>14</v>
      </c>
      <c r="F473" s="2" t="s">
        <v>1518</v>
      </c>
      <c r="G473" s="28" t="s">
        <v>5</v>
      </c>
      <c r="H473" s="2" t="s">
        <v>20</v>
      </c>
      <c r="I473" s="2">
        <v>1</v>
      </c>
      <c r="J473" s="2" t="s">
        <v>1519</v>
      </c>
      <c r="K473" s="2">
        <v>36842.400000000001</v>
      </c>
      <c r="L473" s="35">
        <v>114434889.156</v>
      </c>
      <c r="M473" s="36">
        <v>15480</v>
      </c>
      <c r="N473" s="40">
        <v>318244</v>
      </c>
      <c r="O473" s="40">
        <v>311327</v>
      </c>
      <c r="P473" s="40">
        <v>0</v>
      </c>
      <c r="Q473" s="40">
        <v>99309</v>
      </c>
      <c r="R473" s="40">
        <v>534710</v>
      </c>
      <c r="S473" s="40">
        <v>354356</v>
      </c>
      <c r="T473" s="37">
        <v>30000</v>
      </c>
      <c r="U473" s="40">
        <v>4529900</v>
      </c>
      <c r="V473" s="40">
        <v>0</v>
      </c>
      <c r="W473" s="45">
        <v>6177846</v>
      </c>
      <c r="X473" s="46">
        <v>5.3985686057494497</v>
      </c>
    </row>
    <row r="474" spans="1:24" s="4" customFormat="1" ht="15" customHeight="1">
      <c r="A474" s="28" t="s">
        <v>1109</v>
      </c>
      <c r="B474" s="29">
        <v>3106.0650000000001</v>
      </c>
      <c r="C474" s="30" t="s">
        <v>1523</v>
      </c>
      <c r="D474" s="2">
        <v>4949192130</v>
      </c>
      <c r="E474" s="2" t="s">
        <v>14</v>
      </c>
      <c r="F474" s="2" t="s">
        <v>1524</v>
      </c>
      <c r="G474" s="28" t="s">
        <v>5</v>
      </c>
      <c r="H474" s="2" t="s">
        <v>17</v>
      </c>
      <c r="I474" s="2">
        <v>2</v>
      </c>
      <c r="J474" s="2" t="s">
        <v>1525</v>
      </c>
      <c r="K474" s="2">
        <v>113602</v>
      </c>
      <c r="L474" s="35">
        <v>352855196.13</v>
      </c>
      <c r="M474" s="36">
        <v>35950</v>
      </c>
      <c r="N474" s="40">
        <v>636488</v>
      </c>
      <c r="O474" s="40">
        <v>816849</v>
      </c>
      <c r="P474" s="40">
        <v>0</v>
      </c>
      <c r="Q474" s="40">
        <v>198619</v>
      </c>
      <c r="R474" s="40">
        <v>1259480</v>
      </c>
      <c r="S474" s="40">
        <v>354356</v>
      </c>
      <c r="T474" s="37">
        <v>30000</v>
      </c>
      <c r="U474" s="40">
        <v>10893100</v>
      </c>
      <c r="V474" s="40">
        <v>0</v>
      </c>
      <c r="W474" s="45">
        <v>14188892</v>
      </c>
      <c r="X474" s="46">
        <v>4.0211656667151603</v>
      </c>
    </row>
    <row r="475" spans="1:24" s="4" customFormat="1" ht="15" customHeight="1">
      <c r="A475" s="28" t="s">
        <v>1109</v>
      </c>
      <c r="B475" s="29">
        <v>3106.0650000000001</v>
      </c>
      <c r="C475" s="30" t="s">
        <v>1526</v>
      </c>
      <c r="D475" s="2">
        <v>4949192138</v>
      </c>
      <c r="E475" s="2" t="s">
        <v>14</v>
      </c>
      <c r="F475" s="2" t="s">
        <v>1527</v>
      </c>
      <c r="G475" s="28" t="s">
        <v>5</v>
      </c>
      <c r="H475" s="2" t="s">
        <v>17</v>
      </c>
      <c r="I475" s="2">
        <v>1</v>
      </c>
      <c r="J475" s="2" t="s">
        <v>1528</v>
      </c>
      <c r="K475" s="2">
        <v>6732</v>
      </c>
      <c r="L475" s="35">
        <v>20910029.579999998</v>
      </c>
      <c r="M475" s="36">
        <v>1800</v>
      </c>
      <c r="N475" s="40">
        <v>29467.037037037</v>
      </c>
      <c r="O475" s="40">
        <v>37817.037037037</v>
      </c>
      <c r="P475" s="40">
        <v>0</v>
      </c>
      <c r="Q475" s="40">
        <v>9195.2777777777792</v>
      </c>
      <c r="R475" s="40">
        <v>59529.185185185197</v>
      </c>
      <c r="S475" s="40">
        <v>32810.740740740701</v>
      </c>
      <c r="T475" s="37">
        <v>30000</v>
      </c>
      <c r="U475" s="40">
        <v>522273.14814814797</v>
      </c>
      <c r="V475" s="40">
        <v>0</v>
      </c>
      <c r="W475" s="45">
        <v>721092.42592592596</v>
      </c>
      <c r="X475" s="46">
        <v>3.4485480910827402</v>
      </c>
    </row>
    <row r="476" spans="1:24" s="4" customFormat="1" ht="15" customHeight="1">
      <c r="A476" s="28" t="s">
        <v>1109</v>
      </c>
      <c r="B476" s="29">
        <v>3106.0650000000001</v>
      </c>
      <c r="C476" s="30" t="s">
        <v>1526</v>
      </c>
      <c r="D476" s="2">
        <v>4948772936</v>
      </c>
      <c r="E476" s="2" t="s">
        <v>14</v>
      </c>
      <c r="F476" s="78" t="s">
        <v>1527</v>
      </c>
      <c r="G476" s="28" t="s">
        <v>5</v>
      </c>
      <c r="H476" s="2" t="s">
        <v>17</v>
      </c>
      <c r="I476" s="2">
        <v>1</v>
      </c>
      <c r="J476" s="2" t="s">
        <v>1528</v>
      </c>
      <c r="K476" s="2">
        <v>3259.2</v>
      </c>
      <c r="L476" s="35">
        <v>10123287.048</v>
      </c>
      <c r="M476" s="36">
        <v>840</v>
      </c>
      <c r="N476" s="40">
        <v>13751.2839506173</v>
      </c>
      <c r="O476" s="40">
        <v>17647.950617284001</v>
      </c>
      <c r="P476" s="40">
        <v>0</v>
      </c>
      <c r="Q476" s="40">
        <v>4291.1296296296296</v>
      </c>
      <c r="R476" s="40">
        <v>27780.086419753101</v>
      </c>
      <c r="S476" s="40">
        <v>15311.679012345699</v>
      </c>
      <c r="T476" s="37">
        <v>30000</v>
      </c>
      <c r="U476" s="40">
        <v>243727.46913580201</v>
      </c>
      <c r="V476" s="40">
        <v>0</v>
      </c>
      <c r="W476" s="45">
        <v>352509.59876543202</v>
      </c>
      <c r="X476" s="46">
        <v>3.4821653983927598</v>
      </c>
    </row>
    <row r="477" spans="1:24" s="4" customFormat="1" ht="15" customHeight="1">
      <c r="A477" s="28" t="s">
        <v>1109</v>
      </c>
      <c r="B477" s="29">
        <v>3106.0650000000001</v>
      </c>
      <c r="C477" s="30" t="s">
        <v>1526</v>
      </c>
      <c r="D477" s="2">
        <v>4948772936</v>
      </c>
      <c r="E477" s="2" t="s">
        <v>14</v>
      </c>
      <c r="F477" s="2" t="s">
        <v>1527</v>
      </c>
      <c r="G477" s="28" t="s">
        <v>5</v>
      </c>
      <c r="H477" s="2" t="s">
        <v>17</v>
      </c>
      <c r="I477" s="2">
        <v>1</v>
      </c>
      <c r="J477" s="2" t="s">
        <v>1528</v>
      </c>
      <c r="K477" s="2">
        <v>4000.5</v>
      </c>
      <c r="L477" s="35">
        <v>12425813.032500001</v>
      </c>
      <c r="M477" s="36">
        <v>1050</v>
      </c>
      <c r="N477" s="40">
        <v>17189.104938271601</v>
      </c>
      <c r="O477" s="40">
        <v>22059.9382716049</v>
      </c>
      <c r="P477" s="40">
        <v>0</v>
      </c>
      <c r="Q477" s="40">
        <v>5363.9120370370401</v>
      </c>
      <c r="R477" s="40">
        <v>34725.608024691399</v>
      </c>
      <c r="S477" s="40">
        <v>19139.5987654321</v>
      </c>
      <c r="T477" s="37">
        <v>30000</v>
      </c>
      <c r="U477" s="40">
        <v>304659.33641975297</v>
      </c>
      <c r="V477" s="40">
        <v>0</v>
      </c>
      <c r="W477" s="45">
        <v>433137.49845679</v>
      </c>
      <c r="X477" s="46">
        <v>3.4857879908856599</v>
      </c>
    </row>
    <row r="478" spans="1:24" s="4" customFormat="1" ht="15" customHeight="1">
      <c r="A478" s="28" t="s">
        <v>1109</v>
      </c>
      <c r="B478" s="29">
        <v>3106.0650000000001</v>
      </c>
      <c r="C478" s="30" t="s">
        <v>1526</v>
      </c>
      <c r="D478" s="2">
        <v>4948952402</v>
      </c>
      <c r="E478" s="2" t="s">
        <v>14</v>
      </c>
      <c r="F478" s="2" t="s">
        <v>1527</v>
      </c>
      <c r="G478" s="28" t="s">
        <v>5</v>
      </c>
      <c r="H478" s="2" t="s">
        <v>17</v>
      </c>
      <c r="I478" s="2">
        <v>1</v>
      </c>
      <c r="J478" s="2" t="s">
        <v>1528</v>
      </c>
      <c r="K478" s="2">
        <v>37800</v>
      </c>
      <c r="L478" s="35">
        <v>117409257</v>
      </c>
      <c r="M478" s="36">
        <v>9000</v>
      </c>
      <c r="N478" s="40">
        <v>147335.18518518499</v>
      </c>
      <c r="O478" s="40">
        <v>189085.18518518499</v>
      </c>
      <c r="P478" s="40">
        <v>0</v>
      </c>
      <c r="Q478" s="40">
        <v>45976.388888888898</v>
      </c>
      <c r="R478" s="40">
        <v>297644.92592592601</v>
      </c>
      <c r="S478" s="40">
        <v>164053.703703704</v>
      </c>
      <c r="T478" s="37">
        <v>30000</v>
      </c>
      <c r="U478" s="40">
        <v>2611365.7407407402</v>
      </c>
      <c r="V478" s="40">
        <v>0</v>
      </c>
      <c r="W478" s="45">
        <v>3485461.1296296301</v>
      </c>
      <c r="X478" s="46">
        <v>2.9686425233315501</v>
      </c>
    </row>
    <row r="479" spans="1:24" s="4" customFormat="1" ht="15" customHeight="1">
      <c r="A479" s="28" t="s">
        <v>1109</v>
      </c>
      <c r="B479" s="29">
        <v>3106.0650000000001</v>
      </c>
      <c r="C479" s="30" t="s">
        <v>1526</v>
      </c>
      <c r="D479" s="2">
        <v>4949414670</v>
      </c>
      <c r="E479" s="2" t="s">
        <v>14</v>
      </c>
      <c r="F479" s="2" t="s">
        <v>1527</v>
      </c>
      <c r="G479" s="28" t="s">
        <v>5</v>
      </c>
      <c r="H479" s="2" t="s">
        <v>17</v>
      </c>
      <c r="I479" s="2">
        <v>1</v>
      </c>
      <c r="J479" s="2" t="s">
        <v>1528</v>
      </c>
      <c r="K479" s="2">
        <v>28350</v>
      </c>
      <c r="L479" s="35">
        <v>88056942.75</v>
      </c>
      <c r="M479" s="36">
        <v>6750</v>
      </c>
      <c r="N479" s="40">
        <v>110501.38888888901</v>
      </c>
      <c r="O479" s="40">
        <v>141813.88888888899</v>
      </c>
      <c r="P479" s="40">
        <v>0</v>
      </c>
      <c r="Q479" s="40">
        <v>34482.291666666701</v>
      </c>
      <c r="R479" s="40">
        <v>223233.194444444</v>
      </c>
      <c r="S479" s="40">
        <v>123040.277777778</v>
      </c>
      <c r="T479" s="37">
        <v>30000</v>
      </c>
      <c r="U479" s="40">
        <v>1958524.3055555599</v>
      </c>
      <c r="V479" s="40">
        <v>0</v>
      </c>
      <c r="W479" s="45">
        <v>2621595.3472222299</v>
      </c>
      <c r="X479" s="46">
        <v>2.9771591714978398</v>
      </c>
    </row>
    <row r="480" spans="1:24" s="4" customFormat="1" ht="15" customHeight="1">
      <c r="A480" s="28" t="s">
        <v>1109</v>
      </c>
      <c r="B480" s="29">
        <v>3106.0650000000001</v>
      </c>
      <c r="C480" s="30" t="s">
        <v>1532</v>
      </c>
      <c r="D480" s="2">
        <v>4949192130</v>
      </c>
      <c r="E480" s="2" t="s">
        <v>14</v>
      </c>
      <c r="F480" s="78" t="s">
        <v>1533</v>
      </c>
      <c r="G480" s="28" t="s">
        <v>5</v>
      </c>
      <c r="H480" s="2" t="s">
        <v>17</v>
      </c>
      <c r="I480" s="2">
        <v>1</v>
      </c>
      <c r="J480" s="2" t="s">
        <v>1534</v>
      </c>
      <c r="K480" s="2">
        <v>56880</v>
      </c>
      <c r="L480" s="35">
        <v>176672977.19999999</v>
      </c>
      <c r="M480" s="36">
        <v>18000</v>
      </c>
      <c r="N480" s="40">
        <v>318244</v>
      </c>
      <c r="O480" s="40">
        <v>408424</v>
      </c>
      <c r="P480" s="40">
        <v>0</v>
      </c>
      <c r="Q480" s="40">
        <v>99309</v>
      </c>
      <c r="R480" s="40">
        <v>630912</v>
      </c>
      <c r="S480" s="40">
        <v>354356</v>
      </c>
      <c r="T480" s="37">
        <v>30000</v>
      </c>
      <c r="U480" s="40">
        <v>5446550</v>
      </c>
      <c r="V480" s="40">
        <v>0</v>
      </c>
      <c r="W480" s="45">
        <v>7287795</v>
      </c>
      <c r="X480" s="46">
        <v>4.1250196354307</v>
      </c>
    </row>
    <row r="481" spans="1:24" s="4" customFormat="1" ht="15" customHeight="1">
      <c r="A481" s="28" t="s">
        <v>1109</v>
      </c>
      <c r="B481" s="29">
        <v>3106.0650000000001</v>
      </c>
      <c r="C481" s="30" t="s">
        <v>1535</v>
      </c>
      <c r="D481" s="2">
        <v>4948774467</v>
      </c>
      <c r="E481" s="2" t="s">
        <v>14</v>
      </c>
      <c r="F481" s="2" t="s">
        <v>1536</v>
      </c>
      <c r="G481" s="28" t="s">
        <v>5</v>
      </c>
      <c r="H481" s="2" t="s">
        <v>17</v>
      </c>
      <c r="I481" s="2">
        <v>1</v>
      </c>
      <c r="J481" s="2" t="s">
        <v>1537</v>
      </c>
      <c r="K481" s="2">
        <v>9872.4</v>
      </c>
      <c r="L481" s="35">
        <v>30664316.105999999</v>
      </c>
      <c r="M481" s="36">
        <v>2280</v>
      </c>
      <c r="N481" s="40">
        <v>86674.573770491799</v>
      </c>
      <c r="O481" s="40">
        <v>76328.419672131102</v>
      </c>
      <c r="P481" s="40">
        <v>0</v>
      </c>
      <c r="Q481" s="40">
        <v>18559.386885245902</v>
      </c>
      <c r="R481" s="40">
        <v>162171.86557376999</v>
      </c>
      <c r="S481" s="40">
        <v>66223.908196721299</v>
      </c>
      <c r="T481" s="37">
        <v>30000</v>
      </c>
      <c r="U481" s="40">
        <v>1018786.2295082</v>
      </c>
      <c r="V481" s="40">
        <v>0</v>
      </c>
      <c r="W481" s="45">
        <v>1458744.3836065601</v>
      </c>
      <c r="X481" s="46">
        <v>4.7571397925979904</v>
      </c>
    </row>
    <row r="482" spans="1:24" s="4" customFormat="1" ht="15" customHeight="1">
      <c r="A482" s="28" t="s">
        <v>1109</v>
      </c>
      <c r="B482" s="29">
        <v>3106.0650000000001</v>
      </c>
      <c r="C482" s="30" t="s">
        <v>1535</v>
      </c>
      <c r="D482" s="2">
        <v>4948774467</v>
      </c>
      <c r="E482" s="2" t="s">
        <v>14</v>
      </c>
      <c r="F482" s="2" t="s">
        <v>1536</v>
      </c>
      <c r="G482" s="28" t="s">
        <v>5</v>
      </c>
      <c r="H482" s="2" t="s">
        <v>17</v>
      </c>
      <c r="I482" s="2">
        <v>1</v>
      </c>
      <c r="J482" s="2" t="s">
        <v>1537</v>
      </c>
      <c r="K482" s="2">
        <v>6166.4</v>
      </c>
      <c r="L482" s="35">
        <v>19153239.215999998</v>
      </c>
      <c r="M482" s="36">
        <v>820</v>
      </c>
      <c r="N482" s="40">
        <v>31172.434426229502</v>
      </c>
      <c r="O482" s="40">
        <v>27451.449180327902</v>
      </c>
      <c r="P482" s="40">
        <v>0</v>
      </c>
      <c r="Q482" s="40">
        <v>6674.8672131147496</v>
      </c>
      <c r="R482" s="40">
        <v>58325.363934426197</v>
      </c>
      <c r="S482" s="40">
        <v>23817.3704918033</v>
      </c>
      <c r="T482" s="37">
        <v>30000</v>
      </c>
      <c r="U482" s="40">
        <v>366405.57377049199</v>
      </c>
      <c r="V482" s="40">
        <v>0</v>
      </c>
      <c r="W482" s="45">
        <v>543847.05901639396</v>
      </c>
      <c r="X482" s="46">
        <v>2.8394521306979801</v>
      </c>
    </row>
    <row r="483" spans="1:24" s="4" customFormat="1" ht="15" customHeight="1">
      <c r="A483" s="28" t="s">
        <v>1109</v>
      </c>
      <c r="B483" s="29">
        <v>3106.0650000000001</v>
      </c>
      <c r="C483" s="30" t="s">
        <v>1535</v>
      </c>
      <c r="D483" s="2">
        <v>4949331824</v>
      </c>
      <c r="E483" s="2" t="s">
        <v>14</v>
      </c>
      <c r="F483" s="2" t="s">
        <v>1536</v>
      </c>
      <c r="G483" s="28" t="s">
        <v>5</v>
      </c>
      <c r="H483" s="2" t="s">
        <v>17</v>
      </c>
      <c r="I483" s="2">
        <v>1</v>
      </c>
      <c r="J483" s="2" t="s">
        <v>1537</v>
      </c>
      <c r="K483" s="2">
        <v>2286</v>
      </c>
      <c r="L483" s="35">
        <v>7100464.5899999999</v>
      </c>
      <c r="M483" s="36">
        <v>1800</v>
      </c>
      <c r="N483" s="40">
        <v>68427.295081967197</v>
      </c>
      <c r="O483" s="40">
        <v>60259.278688524602</v>
      </c>
      <c r="P483" s="40">
        <v>0</v>
      </c>
      <c r="Q483" s="40">
        <v>14652.1475409836</v>
      </c>
      <c r="R483" s="40">
        <v>128030.26229508199</v>
      </c>
      <c r="S483" s="40">
        <v>52282.032786885196</v>
      </c>
      <c r="T483" s="37">
        <v>30000</v>
      </c>
      <c r="U483" s="40">
        <v>804304.91803278704</v>
      </c>
      <c r="V483" s="40">
        <v>0</v>
      </c>
      <c r="W483" s="45">
        <v>1157955.9344262299</v>
      </c>
      <c r="X483" s="46">
        <v>16.3081713844056</v>
      </c>
    </row>
    <row r="484" spans="1:24" s="4" customFormat="1" ht="15" customHeight="1">
      <c r="A484" s="28" t="s">
        <v>1109</v>
      </c>
      <c r="B484" s="29">
        <v>3106.0650000000001</v>
      </c>
      <c r="C484" s="30" t="s">
        <v>1535</v>
      </c>
      <c r="D484" s="2">
        <v>4949366040</v>
      </c>
      <c r="E484" s="2" t="s">
        <v>14</v>
      </c>
      <c r="F484" s="78" t="s">
        <v>1536</v>
      </c>
      <c r="G484" s="28" t="s">
        <v>5</v>
      </c>
      <c r="H484" s="2" t="s">
        <v>17</v>
      </c>
      <c r="I484" s="2">
        <v>1</v>
      </c>
      <c r="J484" s="2" t="s">
        <v>1537</v>
      </c>
      <c r="K484" s="2">
        <v>7686</v>
      </c>
      <c r="L484" s="35">
        <v>23873215.59</v>
      </c>
      <c r="M484" s="36">
        <v>1575</v>
      </c>
      <c r="N484" s="40">
        <v>59873.883196721297</v>
      </c>
      <c r="O484" s="40">
        <v>52726.868852459003</v>
      </c>
      <c r="P484" s="40">
        <v>0</v>
      </c>
      <c r="Q484" s="40">
        <v>12820.6290983607</v>
      </c>
      <c r="R484" s="40">
        <v>112026.97950819699</v>
      </c>
      <c r="S484" s="40">
        <v>45746.778688524602</v>
      </c>
      <c r="T484" s="37">
        <v>30000</v>
      </c>
      <c r="U484" s="40">
        <v>703766.80327868904</v>
      </c>
      <c r="V484" s="40">
        <v>0</v>
      </c>
      <c r="W484" s="45">
        <v>1016961.94262295</v>
      </c>
      <c r="X484" s="46">
        <v>4.2598448407131899</v>
      </c>
    </row>
    <row r="485" spans="1:24" s="4" customFormat="1" ht="15" customHeight="1">
      <c r="A485" s="28" t="s">
        <v>1109</v>
      </c>
      <c r="B485" s="29">
        <v>3106.0650000000001</v>
      </c>
      <c r="C485" s="30" t="s">
        <v>1535</v>
      </c>
      <c r="D485" s="2">
        <v>4948494948</v>
      </c>
      <c r="E485" s="2" t="s">
        <v>14</v>
      </c>
      <c r="F485" s="2" t="s">
        <v>1536</v>
      </c>
      <c r="G485" s="28" t="s">
        <v>5</v>
      </c>
      <c r="H485" s="2" t="s">
        <v>17</v>
      </c>
      <c r="I485" s="2">
        <v>1</v>
      </c>
      <c r="J485" s="2" t="s">
        <v>1537</v>
      </c>
      <c r="K485" s="2">
        <v>11067</v>
      </c>
      <c r="L485" s="35">
        <v>34374821.354999997</v>
      </c>
      <c r="M485" s="36">
        <v>2100</v>
      </c>
      <c r="N485" s="40">
        <v>79831.844262295097</v>
      </c>
      <c r="O485" s="40">
        <v>70302.491803278695</v>
      </c>
      <c r="P485" s="40">
        <v>0</v>
      </c>
      <c r="Q485" s="40">
        <v>17094.172131147501</v>
      </c>
      <c r="R485" s="40">
        <v>149368.63934426199</v>
      </c>
      <c r="S485" s="40">
        <v>60995.704918032803</v>
      </c>
      <c r="T485" s="37">
        <v>30000</v>
      </c>
      <c r="U485" s="40">
        <v>938355.73770491802</v>
      </c>
      <c r="V485" s="40">
        <v>0</v>
      </c>
      <c r="W485" s="45">
        <v>1345948.5901639301</v>
      </c>
      <c r="X485" s="46">
        <v>3.9155071564267399</v>
      </c>
    </row>
    <row r="486" spans="1:24" s="4" customFormat="1" ht="15" customHeight="1">
      <c r="A486" s="28" t="s">
        <v>1109</v>
      </c>
      <c r="B486" s="29">
        <v>3106.0650000000001</v>
      </c>
      <c r="C486" s="30" t="s">
        <v>1535</v>
      </c>
      <c r="D486" s="2">
        <v>4948494944</v>
      </c>
      <c r="E486" s="2" t="s">
        <v>14</v>
      </c>
      <c r="F486" s="2" t="s">
        <v>1536</v>
      </c>
      <c r="G486" s="28" t="s">
        <v>5</v>
      </c>
      <c r="H486" s="2" t="s">
        <v>17</v>
      </c>
      <c r="I486" s="2">
        <v>1</v>
      </c>
      <c r="J486" s="2" t="s">
        <v>1537</v>
      </c>
      <c r="K486" s="2">
        <v>922.25</v>
      </c>
      <c r="L486" s="35">
        <v>2864568.44625</v>
      </c>
      <c r="M486" s="36">
        <v>175</v>
      </c>
      <c r="N486" s="40">
        <v>6652.6536885245896</v>
      </c>
      <c r="O486" s="40">
        <v>5858.5409836065601</v>
      </c>
      <c r="P486" s="40">
        <v>0</v>
      </c>
      <c r="Q486" s="40">
        <v>1424.5143442623</v>
      </c>
      <c r="R486" s="40">
        <v>12447.5532786885</v>
      </c>
      <c r="S486" s="40">
        <v>5082.97540983607</v>
      </c>
      <c r="T486" s="37">
        <v>30000</v>
      </c>
      <c r="U486" s="40">
        <v>78196.311475409806</v>
      </c>
      <c r="V486" s="40">
        <v>0</v>
      </c>
      <c r="W486" s="45">
        <v>139662.549180328</v>
      </c>
      <c r="X486" s="46">
        <v>4.87551796373236</v>
      </c>
    </row>
    <row r="487" spans="1:24" s="4" customFormat="1" ht="15" customHeight="1">
      <c r="A487" s="28" t="s">
        <v>1109</v>
      </c>
      <c r="B487" s="29">
        <v>3106.0650000000001</v>
      </c>
      <c r="C487" s="30" t="s">
        <v>1535</v>
      </c>
      <c r="D487" s="2">
        <v>4948772936</v>
      </c>
      <c r="E487" s="2" t="s">
        <v>14</v>
      </c>
      <c r="F487" s="78" t="s">
        <v>1536</v>
      </c>
      <c r="G487" s="28" t="s">
        <v>5</v>
      </c>
      <c r="H487" s="2" t="s">
        <v>17</v>
      </c>
      <c r="I487" s="2">
        <v>1</v>
      </c>
      <c r="J487" s="2" t="s">
        <v>1537</v>
      </c>
      <c r="K487" s="2">
        <v>8300.25</v>
      </c>
      <c r="L487" s="35">
        <v>25781116.016249999</v>
      </c>
      <c r="M487" s="36">
        <v>1575</v>
      </c>
      <c r="N487" s="40">
        <v>59873.883196721297</v>
      </c>
      <c r="O487" s="40">
        <v>52726.868852459003</v>
      </c>
      <c r="P487" s="40">
        <v>0</v>
      </c>
      <c r="Q487" s="40">
        <v>12820.6290983607</v>
      </c>
      <c r="R487" s="40">
        <v>112026.97950819699</v>
      </c>
      <c r="S487" s="40">
        <v>45746.778688524602</v>
      </c>
      <c r="T487" s="37">
        <v>30000</v>
      </c>
      <c r="U487" s="40">
        <v>703766.80327868904</v>
      </c>
      <c r="V487" s="40">
        <v>0</v>
      </c>
      <c r="W487" s="45">
        <v>1016961.94262295</v>
      </c>
      <c r="X487" s="46">
        <v>3.94460015610633</v>
      </c>
    </row>
    <row r="488" spans="1:24" s="4" customFormat="1" ht="15" customHeight="1">
      <c r="A488" s="28" t="s">
        <v>1109</v>
      </c>
      <c r="B488" s="29">
        <v>3106.0650000000001</v>
      </c>
      <c r="C488" s="30" t="s">
        <v>1535</v>
      </c>
      <c r="D488" s="2">
        <v>4949137004</v>
      </c>
      <c r="E488" s="2" t="s">
        <v>14</v>
      </c>
      <c r="F488" s="78" t="s">
        <v>1536</v>
      </c>
      <c r="G488" s="28" t="s">
        <v>5</v>
      </c>
      <c r="H488" s="2" t="s">
        <v>17</v>
      </c>
      <c r="I488" s="2">
        <v>1</v>
      </c>
      <c r="J488" s="2" t="s">
        <v>1537</v>
      </c>
      <c r="K488" s="2">
        <v>5812.5</v>
      </c>
      <c r="L488" s="35">
        <v>18054002.8125</v>
      </c>
      <c r="M488" s="36">
        <v>1875</v>
      </c>
      <c r="N488" s="40">
        <v>71278.432377049205</v>
      </c>
      <c r="O488" s="40">
        <v>62770.081967213097</v>
      </c>
      <c r="P488" s="40">
        <v>0</v>
      </c>
      <c r="Q488" s="40">
        <v>15262.653688524601</v>
      </c>
      <c r="R488" s="40">
        <v>133365.356557377</v>
      </c>
      <c r="S488" s="40">
        <v>54460.4508196721</v>
      </c>
      <c r="T488" s="37">
        <v>30000</v>
      </c>
      <c r="U488" s="40">
        <v>837817.62295082002</v>
      </c>
      <c r="V488" s="40">
        <v>0</v>
      </c>
      <c r="W488" s="45">
        <v>1204954.59836066</v>
      </c>
      <c r="X488" s="46">
        <v>6.6741686642830498</v>
      </c>
    </row>
    <row r="489" spans="1:24" s="4" customFormat="1" ht="15" customHeight="1">
      <c r="A489" s="28" t="s">
        <v>1109</v>
      </c>
      <c r="B489" s="29">
        <v>3106.0650000000001</v>
      </c>
      <c r="C489" s="30" t="s">
        <v>1538</v>
      </c>
      <c r="D489" s="2">
        <v>4949366048</v>
      </c>
      <c r="E489" s="2" t="s">
        <v>14</v>
      </c>
      <c r="F489" s="78" t="s">
        <v>1539</v>
      </c>
      <c r="G489" s="28" t="s">
        <v>13</v>
      </c>
      <c r="H489" s="2" t="s">
        <v>23</v>
      </c>
      <c r="I489" s="2">
        <v>1</v>
      </c>
      <c r="J489" s="2"/>
      <c r="K489" s="2">
        <v>2481.25</v>
      </c>
      <c r="L489" s="35">
        <v>7706923.78125</v>
      </c>
      <c r="M489" s="36">
        <v>408</v>
      </c>
      <c r="N489" s="40">
        <v>728059</v>
      </c>
      <c r="O489" s="40">
        <v>0</v>
      </c>
      <c r="P489" s="40">
        <v>0</v>
      </c>
      <c r="Q489" s="40">
        <v>0</v>
      </c>
      <c r="R489" s="40">
        <v>10336</v>
      </c>
      <c r="S489" s="40">
        <v>354356</v>
      </c>
      <c r="T489" s="37">
        <v>30000</v>
      </c>
      <c r="U489" s="40">
        <v>162658.640776699</v>
      </c>
      <c r="V489" s="40">
        <v>0</v>
      </c>
      <c r="W489" s="45">
        <v>1285409.6407767001</v>
      </c>
      <c r="X489" s="46">
        <v>16.678634397604199</v>
      </c>
    </row>
    <row r="490" spans="1:24" s="4" customFormat="1" ht="15" customHeight="1">
      <c r="A490" s="28" t="s">
        <v>1109</v>
      </c>
      <c r="B490" s="29">
        <v>3106.0650000000001</v>
      </c>
      <c r="C490" s="30" t="s">
        <v>1540</v>
      </c>
      <c r="D490" s="2">
        <v>4948826980</v>
      </c>
      <c r="E490" s="2" t="s">
        <v>14</v>
      </c>
      <c r="F490" s="78" t="s">
        <v>1541</v>
      </c>
      <c r="G490" s="28" t="s">
        <v>13</v>
      </c>
      <c r="H490" s="2" t="s">
        <v>23</v>
      </c>
      <c r="I490" s="2">
        <v>1</v>
      </c>
      <c r="J490" s="2"/>
      <c r="K490" s="2">
        <v>1099</v>
      </c>
      <c r="L490" s="35">
        <v>3413565.4350000001</v>
      </c>
      <c r="M490" s="36">
        <v>20</v>
      </c>
      <c r="N490" s="40">
        <v>130682.7</v>
      </c>
      <c r="O490" s="40">
        <v>0</v>
      </c>
      <c r="P490" s="40">
        <v>0</v>
      </c>
      <c r="Q490" s="40">
        <v>0</v>
      </c>
      <c r="R490" s="40">
        <v>523</v>
      </c>
      <c r="S490" s="40">
        <v>354356</v>
      </c>
      <c r="T490" s="37">
        <v>30000</v>
      </c>
      <c r="U490" s="40">
        <v>7973.4627831715197</v>
      </c>
      <c r="V490" s="40">
        <v>0</v>
      </c>
      <c r="W490" s="45">
        <v>523535.16278317198</v>
      </c>
      <c r="X490" s="46">
        <v>15.336901335338601</v>
      </c>
    </row>
    <row r="491" spans="1:24" s="4" customFormat="1" ht="15" customHeight="1">
      <c r="A491" s="28" t="s">
        <v>1109</v>
      </c>
      <c r="B491" s="29">
        <v>3106.0650000000001</v>
      </c>
      <c r="C491" s="30" t="s">
        <v>1542</v>
      </c>
      <c r="D491" s="2">
        <v>4949571460</v>
      </c>
      <c r="E491" s="2" t="s">
        <v>14</v>
      </c>
      <c r="F491" s="78" t="s">
        <v>1543</v>
      </c>
      <c r="G491" s="28" t="s">
        <v>13</v>
      </c>
      <c r="H491" s="2" t="s">
        <v>23</v>
      </c>
      <c r="I491" s="2">
        <v>2</v>
      </c>
      <c r="J491" s="2"/>
      <c r="K491" s="2">
        <v>13731</v>
      </c>
      <c r="L491" s="35">
        <v>42649378.515000001</v>
      </c>
      <c r="M491" s="36">
        <v>150</v>
      </c>
      <c r="N491" s="40">
        <v>269563.36578947399</v>
      </c>
      <c r="O491" s="40">
        <v>0</v>
      </c>
      <c r="P491" s="40">
        <v>0</v>
      </c>
      <c r="Q491" s="40">
        <v>0</v>
      </c>
      <c r="R491" s="40">
        <v>8183.6842105263204</v>
      </c>
      <c r="S491" s="40">
        <v>279754.73684210499</v>
      </c>
      <c r="T491" s="37">
        <v>30000</v>
      </c>
      <c r="U491" s="40">
        <v>59800.970873786398</v>
      </c>
      <c r="V491" s="40">
        <v>0</v>
      </c>
      <c r="W491" s="45">
        <v>647302.75771589205</v>
      </c>
      <c r="X491" s="46">
        <v>1.5177308093439901</v>
      </c>
    </row>
    <row r="492" spans="1:24" s="4" customFormat="1" ht="15" customHeight="1">
      <c r="A492" s="28" t="s">
        <v>1109</v>
      </c>
      <c r="B492" s="29">
        <v>3106.0650000000001</v>
      </c>
      <c r="C492" s="30" t="s">
        <v>1542</v>
      </c>
      <c r="D492" s="2">
        <v>4949571460</v>
      </c>
      <c r="E492" s="2" t="s">
        <v>14</v>
      </c>
      <c r="F492" s="78" t="s">
        <v>1543</v>
      </c>
      <c r="G492" s="28" t="s">
        <v>13</v>
      </c>
      <c r="H492" s="2" t="s">
        <v>23</v>
      </c>
      <c r="I492" s="2">
        <v>2</v>
      </c>
      <c r="J492" s="2"/>
      <c r="K492" s="2">
        <v>388.1</v>
      </c>
      <c r="L492" s="35">
        <v>1205463.8265</v>
      </c>
      <c r="M492" s="36">
        <v>10</v>
      </c>
      <c r="N492" s="40">
        <v>17970.891052631599</v>
      </c>
      <c r="O492" s="40">
        <v>0</v>
      </c>
      <c r="P492" s="40">
        <v>0</v>
      </c>
      <c r="Q492" s="40">
        <v>0</v>
      </c>
      <c r="R492" s="40">
        <v>545.57894736842104</v>
      </c>
      <c r="S492" s="40">
        <v>18650.315789473701</v>
      </c>
      <c r="T492" s="37">
        <v>30000</v>
      </c>
      <c r="U492" s="40">
        <v>3986.7313915857599</v>
      </c>
      <c r="V492" s="40">
        <v>0</v>
      </c>
      <c r="W492" s="45">
        <v>71153.517181059506</v>
      </c>
      <c r="X492" s="46">
        <v>5.9025841851804</v>
      </c>
    </row>
    <row r="493" spans="1:24" s="4" customFormat="1" ht="15" customHeight="1">
      <c r="A493" s="28" t="s">
        <v>1109</v>
      </c>
      <c r="B493" s="29">
        <v>3106.0650000000001</v>
      </c>
      <c r="C493" s="30" t="s">
        <v>1542</v>
      </c>
      <c r="D493" s="2">
        <v>4949571463</v>
      </c>
      <c r="E493" s="2" t="s">
        <v>14</v>
      </c>
      <c r="F493" s="78" t="s">
        <v>1543</v>
      </c>
      <c r="G493" s="28" t="s">
        <v>13</v>
      </c>
      <c r="H493" s="2" t="s">
        <v>23</v>
      </c>
      <c r="I493" s="2">
        <v>2</v>
      </c>
      <c r="J493" s="2"/>
      <c r="K493" s="2">
        <v>1581.3</v>
      </c>
      <c r="L493" s="35">
        <v>4911620.5844999999</v>
      </c>
      <c r="M493" s="36">
        <v>30</v>
      </c>
      <c r="N493" s="40">
        <v>53912.6731578947</v>
      </c>
      <c r="O493" s="40">
        <v>0</v>
      </c>
      <c r="P493" s="40">
        <v>0</v>
      </c>
      <c r="Q493" s="40">
        <v>0</v>
      </c>
      <c r="R493" s="40">
        <v>1636.7368421052599</v>
      </c>
      <c r="S493" s="40">
        <v>55950.947368421002</v>
      </c>
      <c r="T493" s="37">
        <v>30000</v>
      </c>
      <c r="U493" s="40">
        <v>11960.1941747573</v>
      </c>
      <c r="V493" s="40">
        <v>0</v>
      </c>
      <c r="W493" s="45">
        <v>153460.55154317801</v>
      </c>
      <c r="X493" s="46">
        <v>3.1244382358740501</v>
      </c>
    </row>
    <row r="494" spans="1:24" s="4" customFormat="1" ht="15" customHeight="1">
      <c r="A494" s="28" t="s">
        <v>1109</v>
      </c>
      <c r="B494" s="29">
        <v>3106.0650000000001</v>
      </c>
      <c r="C494" s="30" t="s">
        <v>1566</v>
      </c>
      <c r="D494" s="2">
        <v>4948495776</v>
      </c>
      <c r="E494" s="2" t="s">
        <v>14</v>
      </c>
      <c r="F494" s="78" t="s">
        <v>1567</v>
      </c>
      <c r="G494" s="28" t="s">
        <v>5</v>
      </c>
      <c r="H494" s="2" t="s">
        <v>26</v>
      </c>
      <c r="I494" s="2">
        <v>1</v>
      </c>
      <c r="J494" s="2" t="s">
        <v>1568</v>
      </c>
      <c r="K494" s="2">
        <v>35078.400000000001</v>
      </c>
      <c r="L494" s="35">
        <v>108955790.49600001</v>
      </c>
      <c r="M494" s="36">
        <v>20160</v>
      </c>
      <c r="N494" s="40">
        <v>317267</v>
      </c>
      <c r="O494" s="40">
        <v>380682</v>
      </c>
      <c r="P494" s="40">
        <v>1480578</v>
      </c>
      <c r="Q494" s="40">
        <v>99309</v>
      </c>
      <c r="R494" s="40">
        <v>604441</v>
      </c>
      <c r="S494" s="40">
        <v>354356</v>
      </c>
      <c r="T494" s="37">
        <v>30000</v>
      </c>
      <c r="U494" s="40">
        <v>0</v>
      </c>
      <c r="V494" s="40">
        <v>0</v>
      </c>
      <c r="W494" s="45">
        <v>3266633</v>
      </c>
      <c r="X494" s="46">
        <v>2.9981270248504401</v>
      </c>
    </row>
    <row r="495" spans="1:24" s="4" customFormat="1" ht="15" customHeight="1">
      <c r="A495" s="28" t="s">
        <v>1109</v>
      </c>
      <c r="B495" s="29">
        <v>3106.0650000000001</v>
      </c>
      <c r="C495" s="30" t="s">
        <v>1572</v>
      </c>
      <c r="D495" s="2">
        <v>4949681910</v>
      </c>
      <c r="E495" s="2" t="s">
        <v>14</v>
      </c>
      <c r="F495" s="78" t="s">
        <v>1573</v>
      </c>
      <c r="G495" s="28" t="s">
        <v>13</v>
      </c>
      <c r="H495" s="2" t="s">
        <v>23</v>
      </c>
      <c r="I495" s="2">
        <v>1</v>
      </c>
      <c r="J495" s="2"/>
      <c r="K495" s="2">
        <v>1158.8</v>
      </c>
      <c r="L495" s="35">
        <v>3599308.122</v>
      </c>
      <c r="M495" s="36">
        <v>10</v>
      </c>
      <c r="N495" s="40">
        <v>132894.29</v>
      </c>
      <c r="O495" s="40">
        <v>0</v>
      </c>
      <c r="P495" s="40">
        <v>0</v>
      </c>
      <c r="Q495" s="40">
        <v>0</v>
      </c>
      <c r="R495" s="40">
        <v>532</v>
      </c>
      <c r="S495" s="40">
        <v>354356</v>
      </c>
      <c r="T495" s="37">
        <v>30000</v>
      </c>
      <c r="U495" s="40">
        <v>35197.142857142899</v>
      </c>
      <c r="V495" s="40">
        <v>0</v>
      </c>
      <c r="W495" s="45">
        <v>552979.43285714299</v>
      </c>
      <c r="X495" s="46">
        <v>15.363492485602301</v>
      </c>
    </row>
    <row r="496" spans="1:24" s="4" customFormat="1" ht="15" customHeight="1">
      <c r="A496" s="28" t="s">
        <v>1109</v>
      </c>
      <c r="B496" s="29">
        <v>3106.0650000000001</v>
      </c>
      <c r="C496" s="30" t="s">
        <v>1574</v>
      </c>
      <c r="D496" s="2">
        <v>4949192133</v>
      </c>
      <c r="E496" s="2" t="s">
        <v>14</v>
      </c>
      <c r="F496" s="78" t="s">
        <v>1575</v>
      </c>
      <c r="G496" s="28" t="s">
        <v>13</v>
      </c>
      <c r="H496" s="2" t="s">
        <v>23</v>
      </c>
      <c r="I496" s="2">
        <v>1</v>
      </c>
      <c r="J496" s="2"/>
      <c r="K496" s="2">
        <v>2198</v>
      </c>
      <c r="L496" s="35">
        <v>6827130.8700000001</v>
      </c>
      <c r="M496" s="36">
        <v>40</v>
      </c>
      <c r="N496" s="40">
        <v>109986.913333333</v>
      </c>
      <c r="O496" s="40">
        <v>0</v>
      </c>
      <c r="P496" s="40">
        <v>0</v>
      </c>
      <c r="Q496" s="40">
        <v>0</v>
      </c>
      <c r="R496" s="40">
        <v>440</v>
      </c>
      <c r="S496" s="40">
        <v>236237.33333333299</v>
      </c>
      <c r="T496" s="37">
        <v>30000</v>
      </c>
      <c r="U496" s="40">
        <v>140788.57142857101</v>
      </c>
      <c r="V496" s="40">
        <v>0</v>
      </c>
      <c r="W496" s="45">
        <v>517452.81809523702</v>
      </c>
      <c r="X496" s="46">
        <v>7.5793598796977104</v>
      </c>
    </row>
    <row r="497" spans="1:24" s="4" customFormat="1" ht="15" customHeight="1">
      <c r="A497" s="28" t="s">
        <v>1109</v>
      </c>
      <c r="B497" s="29">
        <v>3106.0650000000001</v>
      </c>
      <c r="C497" s="30" t="s">
        <v>1574</v>
      </c>
      <c r="D497" s="2">
        <v>4949035718</v>
      </c>
      <c r="E497" s="2" t="s">
        <v>14</v>
      </c>
      <c r="F497" s="78" t="s">
        <v>1575</v>
      </c>
      <c r="G497" s="28" t="s">
        <v>13</v>
      </c>
      <c r="H497" s="2" t="s">
        <v>23</v>
      </c>
      <c r="I497" s="2">
        <v>1</v>
      </c>
      <c r="J497" s="2"/>
      <c r="K497" s="2">
        <v>1099</v>
      </c>
      <c r="L497" s="35">
        <v>3413565.4350000001</v>
      </c>
      <c r="M497" s="36">
        <v>20</v>
      </c>
      <c r="N497" s="40">
        <v>54993.456666666701</v>
      </c>
      <c r="O497" s="40">
        <v>0</v>
      </c>
      <c r="P497" s="40">
        <v>0</v>
      </c>
      <c r="Q497" s="40">
        <v>0</v>
      </c>
      <c r="R497" s="40">
        <v>220</v>
      </c>
      <c r="S497" s="40">
        <v>118118.66666666701</v>
      </c>
      <c r="T497" s="37">
        <v>30000</v>
      </c>
      <c r="U497" s="40">
        <v>70394.285714285696</v>
      </c>
      <c r="V497" s="40">
        <v>0</v>
      </c>
      <c r="W497" s="45">
        <v>273726.40904761897</v>
      </c>
      <c r="X497" s="46">
        <v>8.0187831245607697</v>
      </c>
    </row>
    <row r="498" spans="1:24" s="4" customFormat="1" ht="15" customHeight="1">
      <c r="A498" s="28" t="s">
        <v>1109</v>
      </c>
      <c r="B498" s="29">
        <v>3106.0650000000001</v>
      </c>
      <c r="C498" s="30" t="s">
        <v>1579</v>
      </c>
      <c r="D498" s="2">
        <v>4949037254</v>
      </c>
      <c r="E498" s="2" t="s">
        <v>14</v>
      </c>
      <c r="F498" s="2" t="s">
        <v>1580</v>
      </c>
      <c r="G498" s="28" t="s">
        <v>5</v>
      </c>
      <c r="H498" s="2" t="s">
        <v>17</v>
      </c>
      <c r="I498" s="2">
        <v>1</v>
      </c>
      <c r="J498" s="2" t="s">
        <v>1581</v>
      </c>
      <c r="K498" s="2">
        <v>7962</v>
      </c>
      <c r="L498" s="35">
        <v>24730489.530000001</v>
      </c>
      <c r="M498" s="36">
        <v>600</v>
      </c>
      <c r="N498" s="40">
        <v>267379</v>
      </c>
      <c r="O498" s="40">
        <v>408424</v>
      </c>
      <c r="P498" s="40">
        <v>50114.182330827098</v>
      </c>
      <c r="Q498" s="40">
        <v>99309</v>
      </c>
      <c r="R498" s="40">
        <v>21117.618421052601</v>
      </c>
      <c r="S498" s="40">
        <v>354356</v>
      </c>
      <c r="T498" s="37">
        <v>30000</v>
      </c>
      <c r="U498" s="40">
        <v>160405.54511278201</v>
      </c>
      <c r="V498" s="40">
        <v>0</v>
      </c>
      <c r="W498" s="45">
        <v>1391105.3458646601</v>
      </c>
      <c r="X498" s="46">
        <v>5.6250619065875904</v>
      </c>
    </row>
    <row r="499" spans="1:24" s="4" customFormat="1" ht="15" customHeight="1">
      <c r="A499" s="28" t="s">
        <v>1109</v>
      </c>
      <c r="B499" s="29">
        <v>3106.0650000000001</v>
      </c>
      <c r="C499" s="30" t="s">
        <v>1584</v>
      </c>
      <c r="D499" s="2">
        <v>4948495848</v>
      </c>
      <c r="E499" s="2" t="s">
        <v>14</v>
      </c>
      <c r="F499" s="2" t="s">
        <v>1585</v>
      </c>
      <c r="G499" s="28" t="s">
        <v>5</v>
      </c>
      <c r="H499" s="2" t="s">
        <v>17</v>
      </c>
      <c r="I499" s="2">
        <v>1</v>
      </c>
      <c r="J499" s="2" t="s">
        <v>1581</v>
      </c>
      <c r="K499" s="2">
        <v>43750</v>
      </c>
      <c r="L499" s="35">
        <v>135890343.75</v>
      </c>
      <c r="M499" s="36">
        <v>7000</v>
      </c>
      <c r="N499" s="40">
        <v>483162.47582205001</v>
      </c>
      <c r="O499" s="40">
        <v>138247.96905222401</v>
      </c>
      <c r="P499" s="40">
        <v>584665.46052631596</v>
      </c>
      <c r="Q499" s="40">
        <v>33615.232108317199</v>
      </c>
      <c r="R499" s="40">
        <v>527277.66881298996</v>
      </c>
      <c r="S499" s="40">
        <v>119946.421663443</v>
      </c>
      <c r="T499" s="37">
        <v>30000</v>
      </c>
      <c r="U499" s="40">
        <v>1871398.0263157899</v>
      </c>
      <c r="V499" s="40">
        <v>0</v>
      </c>
      <c r="W499" s="45">
        <v>3788313.2543011298</v>
      </c>
      <c r="X499" s="46">
        <v>2.7877722211598499</v>
      </c>
    </row>
    <row r="500" spans="1:24" s="4" customFormat="1" ht="15" customHeight="1">
      <c r="A500" s="28" t="s">
        <v>1109</v>
      </c>
      <c r="B500" s="29">
        <v>3106.0650000000001</v>
      </c>
      <c r="C500" s="30" t="s">
        <v>1584</v>
      </c>
      <c r="D500" s="2">
        <v>4949309835</v>
      </c>
      <c r="E500" s="2" t="s">
        <v>14</v>
      </c>
      <c r="F500" s="2" t="s">
        <v>1585</v>
      </c>
      <c r="G500" s="28" t="s">
        <v>5</v>
      </c>
      <c r="H500" s="2" t="s">
        <v>17</v>
      </c>
      <c r="I500" s="2">
        <v>1</v>
      </c>
      <c r="J500" s="2" t="s">
        <v>1581</v>
      </c>
      <c r="K500" s="2">
        <v>28864.799999999999</v>
      </c>
      <c r="L500" s="35">
        <v>89655945.011999995</v>
      </c>
      <c r="M500" s="36">
        <v>13680</v>
      </c>
      <c r="N500" s="40">
        <v>944237.52417794999</v>
      </c>
      <c r="O500" s="40">
        <v>270176.03094777599</v>
      </c>
      <c r="P500" s="40">
        <v>1142603.3571428601</v>
      </c>
      <c r="Q500" s="40">
        <v>65693.767891682801</v>
      </c>
      <c r="R500" s="40">
        <v>1030401.71276596</v>
      </c>
      <c r="S500" s="40">
        <v>234409.578336557</v>
      </c>
      <c r="T500" s="37">
        <v>30000</v>
      </c>
      <c r="U500" s="40">
        <v>3657246.42857143</v>
      </c>
      <c r="V500" s="40">
        <v>0</v>
      </c>
      <c r="W500" s="45">
        <v>7374768.3998342101</v>
      </c>
      <c r="X500" s="46">
        <v>8.2256323312939692</v>
      </c>
    </row>
    <row r="501" spans="1:24" s="4" customFormat="1" ht="15" customHeight="1">
      <c r="A501" s="28" t="s">
        <v>1109</v>
      </c>
      <c r="B501" s="29">
        <v>3106.0650000000001</v>
      </c>
      <c r="C501" s="30" t="s">
        <v>1591</v>
      </c>
      <c r="D501" s="2">
        <v>4948892179</v>
      </c>
      <c r="E501" s="2" t="s">
        <v>14</v>
      </c>
      <c r="F501" s="2" t="s">
        <v>1592</v>
      </c>
      <c r="G501" s="28" t="s">
        <v>5</v>
      </c>
      <c r="H501" s="2" t="s">
        <v>20</v>
      </c>
      <c r="I501" s="2">
        <v>1</v>
      </c>
      <c r="J501" s="2" t="s">
        <v>1593</v>
      </c>
      <c r="K501" s="2">
        <v>22790</v>
      </c>
      <c r="L501" s="35">
        <v>70787221.349999994</v>
      </c>
      <c r="M501" s="36">
        <v>8600</v>
      </c>
      <c r="N501" s="40">
        <v>464746</v>
      </c>
      <c r="O501" s="40">
        <v>311327</v>
      </c>
      <c r="P501" s="40">
        <v>707211</v>
      </c>
      <c r="Q501" s="40">
        <v>99309</v>
      </c>
      <c r="R501" s="40">
        <v>626250</v>
      </c>
      <c r="S501" s="40">
        <v>354356</v>
      </c>
      <c r="T501" s="37">
        <v>30000</v>
      </c>
      <c r="U501" s="40">
        <v>2801700</v>
      </c>
      <c r="V501" s="40">
        <v>0</v>
      </c>
      <c r="W501" s="45">
        <v>5394899</v>
      </c>
      <c r="X501" s="46">
        <v>7.6212894038112999</v>
      </c>
    </row>
    <row r="502" spans="1:24" s="4" customFormat="1" ht="15" customHeight="1">
      <c r="A502" s="28" t="s">
        <v>1109</v>
      </c>
      <c r="B502" s="29">
        <v>3106.0650000000001</v>
      </c>
      <c r="C502" s="30" t="s">
        <v>1594</v>
      </c>
      <c r="D502" s="2">
        <v>4949366037</v>
      </c>
      <c r="E502" s="2" t="s">
        <v>14</v>
      </c>
      <c r="F502" s="2" t="s">
        <v>1595</v>
      </c>
      <c r="G502" s="28" t="s">
        <v>9</v>
      </c>
      <c r="H502" s="2" t="s">
        <v>23</v>
      </c>
      <c r="I502" s="2">
        <v>1</v>
      </c>
      <c r="J502" s="2"/>
      <c r="K502" s="2">
        <v>1327.36</v>
      </c>
      <c r="L502" s="35">
        <v>4122866.4383999999</v>
      </c>
      <c r="M502" s="36">
        <v>1088</v>
      </c>
      <c r="N502" s="40">
        <v>581403</v>
      </c>
      <c r="O502" s="40">
        <v>714</v>
      </c>
      <c r="P502" s="40">
        <v>0</v>
      </c>
      <c r="Q502" s="40">
        <v>22325</v>
      </c>
      <c r="R502" s="40">
        <v>103116</v>
      </c>
      <c r="S502" s="40">
        <v>354356</v>
      </c>
      <c r="T502" s="37">
        <v>30000</v>
      </c>
      <c r="U502" s="40">
        <v>779904.40251572302</v>
      </c>
      <c r="V502" s="40">
        <v>0</v>
      </c>
      <c r="W502" s="45">
        <v>1871818.4025157201</v>
      </c>
      <c r="X502" s="46">
        <v>45.400898391511703</v>
      </c>
    </row>
    <row r="503" spans="1:24" s="4" customFormat="1" ht="15" customHeight="1">
      <c r="A503" s="28" t="s">
        <v>1109</v>
      </c>
      <c r="B503" s="29">
        <v>3106.0650000000001</v>
      </c>
      <c r="C503" s="30" t="s">
        <v>1596</v>
      </c>
      <c r="D503" s="2">
        <v>4949286580</v>
      </c>
      <c r="E503" s="2" t="s">
        <v>14</v>
      </c>
      <c r="F503" s="2" t="s">
        <v>1597</v>
      </c>
      <c r="G503" s="28" t="s">
        <v>5</v>
      </c>
      <c r="H503" s="2" t="s">
        <v>20</v>
      </c>
      <c r="I503" s="2">
        <v>1</v>
      </c>
      <c r="J503" s="2" t="s">
        <v>1598</v>
      </c>
      <c r="K503" s="2">
        <v>20113.2</v>
      </c>
      <c r="L503" s="35">
        <v>62472906.557999998</v>
      </c>
      <c r="M503" s="36">
        <v>3330</v>
      </c>
      <c r="N503" s="40">
        <v>320731</v>
      </c>
      <c r="O503" s="40">
        <v>311327</v>
      </c>
      <c r="P503" s="40">
        <v>0</v>
      </c>
      <c r="Q503" s="40">
        <v>99309</v>
      </c>
      <c r="R503" s="40">
        <v>533351</v>
      </c>
      <c r="S503" s="40">
        <v>354356</v>
      </c>
      <c r="T503" s="37">
        <v>30000</v>
      </c>
      <c r="U503" s="40">
        <v>3220400</v>
      </c>
      <c r="V503" s="40">
        <v>0</v>
      </c>
      <c r="W503" s="45">
        <v>4869474</v>
      </c>
      <c r="X503" s="46">
        <v>7.7945372935052504</v>
      </c>
    </row>
    <row r="505" spans="1:24" ht="15" customHeight="1">
      <c r="A505" s="31" t="s">
        <v>1109</v>
      </c>
      <c r="B505" s="31"/>
      <c r="C505" s="31"/>
      <c r="D505" s="31"/>
      <c r="E505" s="31"/>
      <c r="F505" s="32">
        <v>75</v>
      </c>
      <c r="G505" s="31"/>
      <c r="H505" s="31"/>
      <c r="I505" s="38"/>
      <c r="J505" s="31"/>
      <c r="K505" s="39">
        <f>+SUM(K338:K503)</f>
        <v>2047639.4999999993</v>
      </c>
      <c r="L505" s="39">
        <f>+SUM(L338:L503)</f>
        <v>6360101383.5675011</v>
      </c>
      <c r="M505" s="31"/>
      <c r="N505" s="39"/>
      <c r="O505" s="39"/>
      <c r="P505" s="39"/>
      <c r="Q505" s="39"/>
      <c r="R505" s="39"/>
      <c r="S505" s="39"/>
      <c r="T505" s="39"/>
      <c r="U505" s="39"/>
      <c r="V505" s="31"/>
      <c r="W505" s="39">
        <f>+SUM(W338:W503)</f>
        <v>288400982.8515138</v>
      </c>
      <c r="X505" s="47">
        <f>(W505/L505)*100</f>
        <v>4.5345343644466283</v>
      </c>
    </row>
    <row r="507" spans="1:24" s="4" customFormat="1" ht="15" customHeight="1">
      <c r="A507" s="28" t="s">
        <v>1603</v>
      </c>
      <c r="B507" s="29">
        <v>3149.63</v>
      </c>
      <c r="C507" s="30" t="s">
        <v>1617</v>
      </c>
      <c r="D507" s="2">
        <v>4949329797</v>
      </c>
      <c r="E507" s="2" t="s">
        <v>14</v>
      </c>
      <c r="F507" s="2" t="s">
        <v>1618</v>
      </c>
      <c r="G507" s="28" t="s">
        <v>5</v>
      </c>
      <c r="H507" s="2" t="s">
        <v>20</v>
      </c>
      <c r="I507" s="2">
        <v>1</v>
      </c>
      <c r="J507" s="2" t="s">
        <v>1619</v>
      </c>
      <c r="K507" s="2">
        <v>18576</v>
      </c>
      <c r="L507" s="35">
        <v>58507526.880000003</v>
      </c>
      <c r="M507" s="36">
        <v>21600</v>
      </c>
      <c r="N507" s="40">
        <v>320731</v>
      </c>
      <c r="O507" s="40">
        <v>327035</v>
      </c>
      <c r="P507" s="40">
        <v>134916</v>
      </c>
      <c r="Q507" s="40">
        <v>99309</v>
      </c>
      <c r="R507" s="40">
        <v>594675</v>
      </c>
      <c r="S507" s="40">
        <v>354356</v>
      </c>
      <c r="T507" s="40">
        <v>30000</v>
      </c>
      <c r="U507" s="40">
        <v>2589900</v>
      </c>
      <c r="V507" s="40">
        <v>0</v>
      </c>
      <c r="W507" s="45">
        <v>4450922</v>
      </c>
      <c r="X507" s="46">
        <v>7.6074348675323797</v>
      </c>
    </row>
    <row r="508" spans="1:24" s="4" customFormat="1" ht="15" customHeight="1">
      <c r="A508" s="28" t="s">
        <v>1603</v>
      </c>
      <c r="B508" s="29">
        <v>3149.63</v>
      </c>
      <c r="C508" s="30" t="s">
        <v>1636</v>
      </c>
      <c r="D508" s="2">
        <v>4949286591</v>
      </c>
      <c r="E508" s="2" t="s">
        <v>14</v>
      </c>
      <c r="F508" s="2" t="s">
        <v>1637</v>
      </c>
      <c r="G508" s="28" t="s">
        <v>9</v>
      </c>
      <c r="H508" s="2" t="s">
        <v>23</v>
      </c>
      <c r="I508" s="2">
        <v>1</v>
      </c>
      <c r="J508" s="2"/>
      <c r="K508" s="2">
        <v>29646</v>
      </c>
      <c r="L508" s="35">
        <v>93373930.980000004</v>
      </c>
      <c r="M508" s="36">
        <v>540</v>
      </c>
      <c r="N508" s="40">
        <v>451161</v>
      </c>
      <c r="O508" s="40">
        <v>371</v>
      </c>
      <c r="P508" s="40">
        <v>0</v>
      </c>
      <c r="Q508" s="40">
        <v>9121</v>
      </c>
      <c r="R508" s="40">
        <v>91994</v>
      </c>
      <c r="S508" s="40">
        <v>354356</v>
      </c>
      <c r="T508" s="40">
        <v>30000</v>
      </c>
      <c r="U508" s="40">
        <v>671416.363636364</v>
      </c>
      <c r="V508" s="40">
        <v>0</v>
      </c>
      <c r="W508" s="45">
        <v>1608419.36363636</v>
      </c>
      <c r="X508" s="46">
        <v>1.7225571920934499</v>
      </c>
    </row>
    <row r="509" spans="1:24" s="4" customFormat="1" ht="15" customHeight="1">
      <c r="A509" s="28" t="s">
        <v>1603</v>
      </c>
      <c r="B509" s="29">
        <v>3149.63</v>
      </c>
      <c r="C509" s="30" t="s">
        <v>1638</v>
      </c>
      <c r="D509" s="2">
        <v>4949366040</v>
      </c>
      <c r="E509" s="2" t="s">
        <v>14</v>
      </c>
      <c r="F509" s="2" t="s">
        <v>1639</v>
      </c>
      <c r="G509" s="28" t="s">
        <v>5</v>
      </c>
      <c r="H509" s="2" t="s">
        <v>20</v>
      </c>
      <c r="I509" s="2">
        <v>1</v>
      </c>
      <c r="J509" s="2" t="s">
        <v>1640</v>
      </c>
      <c r="K509" s="2">
        <v>10861.2</v>
      </c>
      <c r="L509" s="35">
        <v>34208761.355999999</v>
      </c>
      <c r="M509" s="36">
        <v>2520</v>
      </c>
      <c r="N509" s="40">
        <v>65205.838137472303</v>
      </c>
      <c r="O509" s="40">
        <v>91164.623893805299</v>
      </c>
      <c r="P509" s="40">
        <v>99309</v>
      </c>
      <c r="Q509" s="40">
        <v>27683.482300885</v>
      </c>
      <c r="R509" s="40">
        <v>102321.583148559</v>
      </c>
      <c r="S509" s="40">
        <v>49499.840354767199</v>
      </c>
      <c r="T509" s="40">
        <v>30000</v>
      </c>
      <c r="U509" s="40">
        <v>548770.50997782697</v>
      </c>
      <c r="V509" s="40">
        <v>0</v>
      </c>
      <c r="W509" s="45">
        <v>1013954.87781332</v>
      </c>
      <c r="X509" s="46">
        <v>2.9640210215780698</v>
      </c>
    </row>
    <row r="510" spans="1:24" s="4" customFormat="1" ht="15" customHeight="1">
      <c r="A510" s="28" t="s">
        <v>1603</v>
      </c>
      <c r="B510" s="29">
        <v>3149.63</v>
      </c>
      <c r="C510" s="30" t="s">
        <v>1638</v>
      </c>
      <c r="D510" s="2">
        <v>4949416071</v>
      </c>
      <c r="E510" s="2" t="s">
        <v>14</v>
      </c>
      <c r="F510" s="2" t="s">
        <v>1639</v>
      </c>
      <c r="G510" s="28" t="s">
        <v>5</v>
      </c>
      <c r="H510" s="2" t="s">
        <v>20</v>
      </c>
      <c r="I510" s="2">
        <v>1</v>
      </c>
      <c r="J510" s="2" t="s">
        <v>1640</v>
      </c>
      <c r="K510" s="2">
        <v>10700</v>
      </c>
      <c r="L510" s="35">
        <v>33701041</v>
      </c>
      <c r="M510" s="36">
        <v>1000</v>
      </c>
      <c r="N510" s="40">
        <v>258753.32594235</v>
      </c>
      <c r="O510" s="40">
        <v>36176.438053097401</v>
      </c>
      <c r="P510" s="40">
        <v>0</v>
      </c>
      <c r="Q510" s="40">
        <v>10985.5088495575</v>
      </c>
      <c r="R510" s="40">
        <v>406037.94900221698</v>
      </c>
      <c r="S510" s="40">
        <v>196427.93791574301</v>
      </c>
      <c r="T510" s="40">
        <v>30000</v>
      </c>
      <c r="U510" s="40">
        <v>2177660.7538802698</v>
      </c>
      <c r="V510" s="40">
        <v>0</v>
      </c>
      <c r="W510" s="45">
        <v>3116041.9136432302</v>
      </c>
      <c r="X510" s="46">
        <v>9.2461295591528891</v>
      </c>
    </row>
    <row r="511" spans="1:24" s="4" customFormat="1" ht="15" customHeight="1">
      <c r="A511" s="28" t="s">
        <v>1603</v>
      </c>
      <c r="B511" s="29">
        <v>3149.63</v>
      </c>
      <c r="C511" s="30" t="s">
        <v>1638</v>
      </c>
      <c r="D511" s="2">
        <v>4949416073</v>
      </c>
      <c r="E511" s="2" t="s">
        <v>14</v>
      </c>
      <c r="F511" s="2" t="s">
        <v>1639</v>
      </c>
      <c r="G511" s="28" t="s">
        <v>5</v>
      </c>
      <c r="H511" s="2" t="s">
        <v>20</v>
      </c>
      <c r="I511" s="2">
        <v>1</v>
      </c>
      <c r="J511" s="2" t="s">
        <v>1640</v>
      </c>
      <c r="K511" s="2">
        <v>14241.6</v>
      </c>
      <c r="L511" s="35">
        <v>44855770.608000003</v>
      </c>
      <c r="M511" s="36">
        <v>5520</v>
      </c>
      <c r="N511" s="40">
        <v>142831.83592017699</v>
      </c>
      <c r="O511" s="40">
        <v>199693.93805309699</v>
      </c>
      <c r="P511" s="40">
        <v>0</v>
      </c>
      <c r="Q511" s="40">
        <v>60640.008849557496</v>
      </c>
      <c r="R511" s="40">
        <v>224132.46784922399</v>
      </c>
      <c r="S511" s="40">
        <v>108428.22172949</v>
      </c>
      <c r="T511" s="40">
        <v>30000</v>
      </c>
      <c r="U511" s="40">
        <v>1202068.7361419101</v>
      </c>
      <c r="V511" s="40">
        <v>0</v>
      </c>
      <c r="W511" s="45">
        <v>1967795.2085434599</v>
      </c>
      <c r="X511" s="46">
        <v>4.38693880825336</v>
      </c>
    </row>
    <row r="512" spans="1:24" s="4" customFormat="1" ht="15" customHeight="1">
      <c r="A512" s="28" t="s">
        <v>1603</v>
      </c>
      <c r="B512" s="29">
        <v>3149.63</v>
      </c>
      <c r="C512" s="30" t="s">
        <v>1643</v>
      </c>
      <c r="D512" s="2">
        <v>4948541366</v>
      </c>
      <c r="E512" s="2" t="s">
        <v>14</v>
      </c>
      <c r="F512" s="2" t="s">
        <v>1644</v>
      </c>
      <c r="G512" s="28" t="s">
        <v>5</v>
      </c>
      <c r="H512" s="2" t="s">
        <v>20</v>
      </c>
      <c r="I512" s="2">
        <v>1</v>
      </c>
      <c r="J512" s="2" t="s">
        <v>1645</v>
      </c>
      <c r="K512" s="2">
        <v>10861.2</v>
      </c>
      <c r="L512" s="35">
        <v>34208761.355999999</v>
      </c>
      <c r="M512" s="36">
        <v>2520</v>
      </c>
      <c r="N512" s="40">
        <v>64556.0798722045</v>
      </c>
      <c r="O512" s="40">
        <v>65824.936102236403</v>
      </c>
      <c r="P512" s="40">
        <v>0</v>
      </c>
      <c r="Q512" s="40">
        <v>19988.7124600639</v>
      </c>
      <c r="R512" s="40">
        <v>128699.520766773</v>
      </c>
      <c r="S512" s="40">
        <v>71324.051118210904</v>
      </c>
      <c r="T512" s="40">
        <v>30000</v>
      </c>
      <c r="U512" s="40">
        <v>654052.71565495199</v>
      </c>
      <c r="V512" s="40">
        <v>0</v>
      </c>
      <c r="W512" s="45">
        <v>1034446.01597444</v>
      </c>
      <c r="X512" s="46">
        <v>3.0239212849868502</v>
      </c>
    </row>
    <row r="513" spans="1:24" s="4" customFormat="1" ht="15" customHeight="1">
      <c r="A513" s="28" t="s">
        <v>1603</v>
      </c>
      <c r="B513" s="29">
        <v>3149.63</v>
      </c>
      <c r="C513" s="30" t="s">
        <v>1643</v>
      </c>
      <c r="D513" s="2">
        <v>4949035728</v>
      </c>
      <c r="E513" s="2" t="s">
        <v>14</v>
      </c>
      <c r="F513" s="2" t="s">
        <v>1644</v>
      </c>
      <c r="G513" s="28" t="s">
        <v>5</v>
      </c>
      <c r="H513" s="2" t="s">
        <v>20</v>
      </c>
      <c r="I513" s="2">
        <v>1</v>
      </c>
      <c r="J513" s="2" t="s">
        <v>1645</v>
      </c>
      <c r="K513" s="2">
        <v>10700</v>
      </c>
      <c r="L513" s="35">
        <v>33701041</v>
      </c>
      <c r="M513" s="36">
        <v>10000</v>
      </c>
      <c r="N513" s="40">
        <v>256174.92012779601</v>
      </c>
      <c r="O513" s="40">
        <v>261210.06389776399</v>
      </c>
      <c r="P513" s="40">
        <v>0</v>
      </c>
      <c r="Q513" s="40">
        <v>79320.287539936093</v>
      </c>
      <c r="R513" s="40">
        <v>510713.47923322697</v>
      </c>
      <c r="S513" s="40">
        <v>283031.94888178899</v>
      </c>
      <c r="T513" s="40">
        <v>30000</v>
      </c>
      <c r="U513" s="40">
        <v>2595447.2843450499</v>
      </c>
      <c r="V513" s="40">
        <v>0</v>
      </c>
      <c r="W513" s="45">
        <v>4015897.9840255599</v>
      </c>
      <c r="X513" s="46">
        <v>11.9162431333369</v>
      </c>
    </row>
    <row r="514" spans="1:24" s="4" customFormat="1" ht="15" customHeight="1">
      <c r="A514" s="28" t="s">
        <v>1603</v>
      </c>
      <c r="B514" s="29">
        <v>3149.63</v>
      </c>
      <c r="C514" s="30" t="s">
        <v>1649</v>
      </c>
      <c r="D514" s="2">
        <v>4948210666</v>
      </c>
      <c r="E514" s="2" t="s">
        <v>14</v>
      </c>
      <c r="F514" s="78" t="s">
        <v>1650</v>
      </c>
      <c r="G514" s="28" t="s">
        <v>5</v>
      </c>
      <c r="H514" s="2" t="s">
        <v>26</v>
      </c>
      <c r="I514" s="2">
        <v>1</v>
      </c>
      <c r="J514" s="2" t="s">
        <v>1651</v>
      </c>
      <c r="K514" s="2">
        <v>34869.599999999999</v>
      </c>
      <c r="L514" s="35">
        <v>109826338.248</v>
      </c>
      <c r="M514" s="36">
        <v>20040</v>
      </c>
      <c r="N514" s="40">
        <v>317267</v>
      </c>
      <c r="O514" s="40">
        <v>399890</v>
      </c>
      <c r="P514" s="40">
        <v>814318</v>
      </c>
      <c r="Q514" s="40">
        <v>99309</v>
      </c>
      <c r="R514" s="40">
        <v>601776</v>
      </c>
      <c r="S514" s="40">
        <v>354356</v>
      </c>
      <c r="T514" s="40">
        <v>30000</v>
      </c>
      <c r="U514" s="40">
        <v>0</v>
      </c>
      <c r="V514" s="40">
        <v>0</v>
      </c>
      <c r="W514" s="45">
        <v>2616916</v>
      </c>
      <c r="X514" s="46">
        <v>2.38277633739433</v>
      </c>
    </row>
    <row r="515" spans="1:24" s="4" customFormat="1" ht="15" customHeight="1">
      <c r="A515" s="28" t="s">
        <v>1603</v>
      </c>
      <c r="B515" s="29">
        <v>3149.63</v>
      </c>
      <c r="C515" s="30" t="s">
        <v>1652</v>
      </c>
      <c r="D515" s="2">
        <v>4949532977</v>
      </c>
      <c r="E515" s="2" t="s">
        <v>14</v>
      </c>
      <c r="F515" s="2" t="s">
        <v>1653</v>
      </c>
      <c r="G515" s="28" t="s">
        <v>9</v>
      </c>
      <c r="H515" s="2" t="s">
        <v>23</v>
      </c>
      <c r="I515" s="2">
        <v>2</v>
      </c>
      <c r="J515" s="2"/>
      <c r="K515" s="2">
        <v>24360</v>
      </c>
      <c r="L515" s="35">
        <v>76724986.799999997</v>
      </c>
      <c r="M515" s="36">
        <v>480</v>
      </c>
      <c r="N515" s="40">
        <v>606154.28571428603</v>
      </c>
      <c r="O515" s="40">
        <v>344.57142857142901</v>
      </c>
      <c r="P515" s="40">
        <v>0</v>
      </c>
      <c r="Q515" s="40">
        <v>10499.142857142901</v>
      </c>
      <c r="R515" s="40">
        <v>85020</v>
      </c>
      <c r="S515" s="40">
        <v>303733.71428571403</v>
      </c>
      <c r="T515" s="40">
        <v>30000</v>
      </c>
      <c r="U515" s="40">
        <v>596814.54545454495</v>
      </c>
      <c r="V515" s="40">
        <v>0</v>
      </c>
      <c r="W515" s="45">
        <v>1632566.25974026</v>
      </c>
      <c r="X515" s="46">
        <v>2.1278156280377001</v>
      </c>
    </row>
    <row r="516" spans="1:24" s="4" customFormat="1" ht="15" customHeight="1">
      <c r="A516" s="28" t="s">
        <v>1603</v>
      </c>
      <c r="B516" s="29">
        <v>3149.63</v>
      </c>
      <c r="C516" s="30" t="s">
        <v>1652</v>
      </c>
      <c r="D516" s="2">
        <v>4949532984</v>
      </c>
      <c r="E516" s="2" t="s">
        <v>14</v>
      </c>
      <c r="F516" s="2" t="s">
        <v>1653</v>
      </c>
      <c r="G516" s="28" t="s">
        <v>9</v>
      </c>
      <c r="H516" s="2" t="s">
        <v>23</v>
      </c>
      <c r="I516" s="2">
        <v>2</v>
      </c>
      <c r="J516" s="2"/>
      <c r="K516" s="2">
        <v>277.60000000000002</v>
      </c>
      <c r="L516" s="35">
        <v>874337.28799999994</v>
      </c>
      <c r="M516" s="36">
        <v>80</v>
      </c>
      <c r="N516" s="40">
        <v>101025.714285714</v>
      </c>
      <c r="O516" s="40">
        <v>57.428571428571402</v>
      </c>
      <c r="P516" s="40">
        <v>0</v>
      </c>
      <c r="Q516" s="40">
        <v>1749.8571428571399</v>
      </c>
      <c r="R516" s="40">
        <v>14170</v>
      </c>
      <c r="S516" s="40">
        <v>50622.285714285703</v>
      </c>
      <c r="T516" s="40">
        <v>30000</v>
      </c>
      <c r="U516" s="40">
        <v>99469.090909090897</v>
      </c>
      <c r="V516" s="40">
        <v>0</v>
      </c>
      <c r="W516" s="45">
        <v>297094.37662337598</v>
      </c>
      <c r="X516" s="46">
        <v>33.979378519125497</v>
      </c>
    </row>
    <row r="517" spans="1:24" s="4" customFormat="1" ht="15" customHeight="1">
      <c r="A517" s="28" t="s">
        <v>1603</v>
      </c>
      <c r="B517" s="29">
        <v>3149.63</v>
      </c>
      <c r="C517" s="30" t="s">
        <v>1654</v>
      </c>
      <c r="D517" s="2">
        <v>4949305807</v>
      </c>
      <c r="E517" s="2" t="s">
        <v>14</v>
      </c>
      <c r="F517" s="2" t="s">
        <v>1655</v>
      </c>
      <c r="G517" s="28" t="s">
        <v>5</v>
      </c>
      <c r="H517" s="2" t="s">
        <v>20</v>
      </c>
      <c r="I517" s="2">
        <v>1</v>
      </c>
      <c r="J517" s="2" t="s">
        <v>1656</v>
      </c>
      <c r="K517" s="2">
        <v>15640</v>
      </c>
      <c r="L517" s="35">
        <v>49260213.200000003</v>
      </c>
      <c r="M517" s="36">
        <v>4000</v>
      </c>
      <c r="N517" s="40">
        <v>129850.60728744901</v>
      </c>
      <c r="O517" s="40">
        <v>130034.592445328</v>
      </c>
      <c r="P517" s="40">
        <v>0</v>
      </c>
      <c r="Q517" s="40">
        <v>39486.679920477101</v>
      </c>
      <c r="R517" s="40">
        <v>282336.570850202</v>
      </c>
      <c r="S517" s="40">
        <v>143463.967611336</v>
      </c>
      <c r="T517" s="40">
        <v>30000</v>
      </c>
      <c r="U517" s="40">
        <v>1315587.0445344099</v>
      </c>
      <c r="V517" s="40">
        <v>0</v>
      </c>
      <c r="W517" s="45">
        <v>2070759.4626492001</v>
      </c>
      <c r="X517" s="46">
        <v>4.2037159974151299</v>
      </c>
    </row>
    <row r="518" spans="1:24" s="4" customFormat="1" ht="15" customHeight="1">
      <c r="A518" s="28" t="s">
        <v>1603</v>
      </c>
      <c r="B518" s="29">
        <v>3149.63</v>
      </c>
      <c r="C518" s="30" t="s">
        <v>1654</v>
      </c>
      <c r="D518" s="2">
        <v>4948830211</v>
      </c>
      <c r="E518" s="2" t="s">
        <v>14</v>
      </c>
      <c r="F518" s="2" t="s">
        <v>1655</v>
      </c>
      <c r="G518" s="28" t="s">
        <v>5</v>
      </c>
      <c r="H518" s="2" t="s">
        <v>20</v>
      </c>
      <c r="I518" s="2">
        <v>1</v>
      </c>
      <c r="J518" s="2" t="s">
        <v>1656</v>
      </c>
      <c r="K518" s="2">
        <v>9494.4</v>
      </c>
      <c r="L518" s="35">
        <v>29903847.072000001</v>
      </c>
      <c r="M518" s="36">
        <v>3860</v>
      </c>
      <c r="N518" s="40">
        <v>119462.558704453</v>
      </c>
      <c r="O518" s="40">
        <v>125483.381709742</v>
      </c>
      <c r="P518" s="40">
        <v>0</v>
      </c>
      <c r="Q518" s="40">
        <v>38104.646123260398</v>
      </c>
      <c r="R518" s="40">
        <v>259749.76518218601</v>
      </c>
      <c r="S518" s="40">
        <v>131986.85020242899</v>
      </c>
      <c r="T518" s="40">
        <v>30000</v>
      </c>
      <c r="U518" s="40">
        <v>1210340.0809716601</v>
      </c>
      <c r="V518" s="40">
        <v>0</v>
      </c>
      <c r="W518" s="45">
        <v>1915127.2828937301</v>
      </c>
      <c r="X518" s="46">
        <v>6.4042839648110998</v>
      </c>
    </row>
    <row r="519" spans="1:24" s="4" customFormat="1" ht="15" customHeight="1">
      <c r="A519" s="28" t="s">
        <v>1603</v>
      </c>
      <c r="B519" s="29">
        <v>3149.63</v>
      </c>
      <c r="C519" s="30" t="s">
        <v>1657</v>
      </c>
      <c r="D519" s="2">
        <v>4948772924</v>
      </c>
      <c r="E519" s="2" t="s">
        <v>14</v>
      </c>
      <c r="F519" s="2" t="s">
        <v>1658</v>
      </c>
      <c r="G519" s="28" t="s">
        <v>5</v>
      </c>
      <c r="H519" s="2" t="s">
        <v>20</v>
      </c>
      <c r="I519" s="2">
        <v>1</v>
      </c>
      <c r="J519" s="2" t="s">
        <v>1659</v>
      </c>
      <c r="K519" s="2">
        <v>6732</v>
      </c>
      <c r="L519" s="35">
        <v>21203309.16</v>
      </c>
      <c r="M519" s="36">
        <v>1800</v>
      </c>
      <c r="N519" s="40">
        <v>382148</v>
      </c>
      <c r="O519" s="40">
        <v>327035</v>
      </c>
      <c r="P519" s="40">
        <v>38216.5581395349</v>
      </c>
      <c r="Q519" s="40">
        <v>99309</v>
      </c>
      <c r="R519" s="40">
        <v>121043.232558139</v>
      </c>
      <c r="S519" s="40">
        <v>354356</v>
      </c>
      <c r="T519" s="40">
        <v>30000</v>
      </c>
      <c r="U519" s="40">
        <v>604558.13953488402</v>
      </c>
      <c r="V519" s="40">
        <v>0</v>
      </c>
      <c r="W519" s="45">
        <v>1956665.93023256</v>
      </c>
      <c r="X519" s="46">
        <v>9.2281158354461201</v>
      </c>
    </row>
    <row r="520" spans="1:24" s="4" customFormat="1" ht="15" customHeight="1">
      <c r="A520" s="28" t="s">
        <v>1603</v>
      </c>
      <c r="B520" s="29">
        <v>3149.63</v>
      </c>
      <c r="C520" s="30" t="s">
        <v>1660</v>
      </c>
      <c r="D520" s="2">
        <v>4948541353</v>
      </c>
      <c r="E520" s="2" t="s">
        <v>14</v>
      </c>
      <c r="F520" s="2" t="s">
        <v>1661</v>
      </c>
      <c r="G520" s="28" t="s">
        <v>5</v>
      </c>
      <c r="H520" s="2" t="s">
        <v>20</v>
      </c>
      <c r="I520" s="2">
        <v>1</v>
      </c>
      <c r="J520" s="2" t="s">
        <v>1659</v>
      </c>
      <c r="K520" s="2">
        <v>16506</v>
      </c>
      <c r="L520" s="35">
        <v>51987792.780000001</v>
      </c>
      <c r="M520" s="36">
        <v>6300</v>
      </c>
      <c r="N520" s="40">
        <v>1147200</v>
      </c>
      <c r="O520" s="40">
        <v>299682.98181818199</v>
      </c>
      <c r="P520" s="40">
        <v>133757.6</v>
      </c>
      <c r="Q520" s="40">
        <v>91003.156363636401</v>
      </c>
      <c r="R520" s="40">
        <v>427693.8</v>
      </c>
      <c r="S520" s="40">
        <v>283484.79999999999</v>
      </c>
      <c r="T520" s="40">
        <v>30000</v>
      </c>
      <c r="U520" s="40">
        <v>2115953.4883720898</v>
      </c>
      <c r="V520" s="40">
        <v>0</v>
      </c>
      <c r="W520" s="45">
        <v>4528775.82655391</v>
      </c>
      <c r="X520" s="46">
        <v>8.7112292797630602</v>
      </c>
    </row>
    <row r="521" spans="1:24" s="4" customFormat="1" ht="15" customHeight="1">
      <c r="A521" s="28" t="s">
        <v>1603</v>
      </c>
      <c r="B521" s="29">
        <v>3149.63</v>
      </c>
      <c r="C521" s="30" t="s">
        <v>1660</v>
      </c>
      <c r="D521" s="2">
        <v>4948771043</v>
      </c>
      <c r="E521" s="2" t="s">
        <v>14</v>
      </c>
      <c r="F521" s="2" t="s">
        <v>1661</v>
      </c>
      <c r="G521" s="28" t="s">
        <v>5</v>
      </c>
      <c r="H521" s="2" t="s">
        <v>20</v>
      </c>
      <c r="I521" s="2">
        <v>1</v>
      </c>
      <c r="J521" s="2" t="s">
        <v>1659</v>
      </c>
      <c r="K521" s="2">
        <v>8300.25</v>
      </c>
      <c r="L521" s="35">
        <v>26142716.407499999</v>
      </c>
      <c r="M521" s="36">
        <v>575</v>
      </c>
      <c r="N521" s="40">
        <v>286800</v>
      </c>
      <c r="O521" s="40">
        <v>27352.018181818199</v>
      </c>
      <c r="P521" s="40">
        <v>33439.4</v>
      </c>
      <c r="Q521" s="40">
        <v>8305.8436363636392</v>
      </c>
      <c r="R521" s="40">
        <v>106923.2</v>
      </c>
      <c r="S521" s="40">
        <v>70871.199999999997</v>
      </c>
      <c r="T521" s="40">
        <v>30000</v>
      </c>
      <c r="U521" s="40">
        <v>528988.37209302303</v>
      </c>
      <c r="V521" s="40">
        <v>0</v>
      </c>
      <c r="W521" s="45">
        <v>1092680.0339112</v>
      </c>
      <c r="X521" s="46">
        <v>4.1796729034544002</v>
      </c>
    </row>
    <row r="522" spans="1:24" s="4" customFormat="1" ht="15" customHeight="1">
      <c r="A522" s="28" t="s">
        <v>1603</v>
      </c>
      <c r="B522" s="29">
        <v>3149.63</v>
      </c>
      <c r="C522" s="30" t="s">
        <v>1666</v>
      </c>
      <c r="D522" s="2">
        <v>4949387322</v>
      </c>
      <c r="E522" s="2" t="s">
        <v>14</v>
      </c>
      <c r="F522" s="2" t="s">
        <v>1667</v>
      </c>
      <c r="G522" s="28" t="s">
        <v>9</v>
      </c>
      <c r="H522" s="2" t="s">
        <v>23</v>
      </c>
      <c r="I522" s="2">
        <v>3</v>
      </c>
      <c r="J522" s="2"/>
      <c r="K522" s="2">
        <v>3510.7</v>
      </c>
      <c r="L522" s="35">
        <v>11057406.040999999</v>
      </c>
      <c r="M522" s="36">
        <v>3000.6</v>
      </c>
      <c r="N522" s="40">
        <v>747555</v>
      </c>
      <c r="O522" s="40">
        <v>1982</v>
      </c>
      <c r="P522" s="40">
        <v>0</v>
      </c>
      <c r="Q522" s="40">
        <v>48664</v>
      </c>
      <c r="R522" s="40">
        <v>131498</v>
      </c>
      <c r="S522" s="40">
        <v>354356</v>
      </c>
      <c r="T522" s="40">
        <v>30000</v>
      </c>
      <c r="U522" s="40">
        <v>1367700</v>
      </c>
      <c r="V522" s="40">
        <v>0</v>
      </c>
      <c r="W522" s="45">
        <v>2681755</v>
      </c>
      <c r="X522" s="46">
        <v>24.253020916987801</v>
      </c>
    </row>
    <row r="523" spans="1:24" s="4" customFormat="1" ht="15" customHeight="1">
      <c r="A523" s="28" t="s">
        <v>1603</v>
      </c>
      <c r="B523" s="29">
        <v>3149.63</v>
      </c>
      <c r="C523" s="30" t="s">
        <v>1668</v>
      </c>
      <c r="D523" s="2">
        <v>4950043003</v>
      </c>
      <c r="E523" s="2" t="s">
        <v>14</v>
      </c>
      <c r="F523" s="78" t="s">
        <v>1669</v>
      </c>
      <c r="G523" s="28" t="s">
        <v>13</v>
      </c>
      <c r="H523" s="2" t="s">
        <v>23</v>
      </c>
      <c r="I523" s="2">
        <v>1</v>
      </c>
      <c r="J523" s="2"/>
      <c r="K523" s="2">
        <v>1534.71</v>
      </c>
      <c r="L523" s="35">
        <v>4833768.6573000001</v>
      </c>
      <c r="M523" s="36">
        <v>10</v>
      </c>
      <c r="N523" s="40">
        <v>106530</v>
      </c>
      <c r="O523" s="40">
        <v>0</v>
      </c>
      <c r="P523" s="40">
        <v>0</v>
      </c>
      <c r="Q523" s="40">
        <v>0</v>
      </c>
      <c r="R523" s="40">
        <v>1959</v>
      </c>
      <c r="S523" s="40">
        <v>354356</v>
      </c>
      <c r="T523" s="40">
        <v>30000</v>
      </c>
      <c r="U523" s="40">
        <v>37904.615384615397</v>
      </c>
      <c r="V523" s="40">
        <v>0</v>
      </c>
      <c r="W523" s="45">
        <v>530749.61538461503</v>
      </c>
      <c r="X523" s="46">
        <v>10.9800375858508</v>
      </c>
    </row>
    <row r="524" spans="1:24" s="4" customFormat="1" ht="15" customHeight="1">
      <c r="A524" s="28" t="s">
        <v>1603</v>
      </c>
      <c r="B524" s="29">
        <v>3149.63</v>
      </c>
      <c r="C524" s="30" t="s">
        <v>1670</v>
      </c>
      <c r="D524" s="2">
        <v>4950057178</v>
      </c>
      <c r="E524" s="2" t="s">
        <v>14</v>
      </c>
      <c r="F524" s="2" t="s">
        <v>1671</v>
      </c>
      <c r="G524" s="28" t="s">
        <v>13</v>
      </c>
      <c r="H524" s="2" t="s">
        <v>23</v>
      </c>
      <c r="I524" s="2">
        <v>1</v>
      </c>
      <c r="J524" s="2"/>
      <c r="K524" s="2">
        <v>16896.3</v>
      </c>
      <c r="L524" s="35">
        <v>53217093.369000003</v>
      </c>
      <c r="M524" s="36">
        <v>45</v>
      </c>
      <c r="N524" s="40">
        <v>420337</v>
      </c>
      <c r="O524" s="40">
        <v>0</v>
      </c>
      <c r="P524" s="40">
        <v>0</v>
      </c>
      <c r="Q524" s="40">
        <v>0</v>
      </c>
      <c r="R524" s="40">
        <v>6100</v>
      </c>
      <c r="S524" s="40">
        <v>354356</v>
      </c>
      <c r="T524" s="40">
        <v>30000</v>
      </c>
      <c r="U524" s="40">
        <v>170570.76923076899</v>
      </c>
      <c r="V524" s="40">
        <v>0</v>
      </c>
      <c r="W524" s="45">
        <v>981363.76923076902</v>
      </c>
      <c r="X524" s="46">
        <v>1.8440762302182301</v>
      </c>
    </row>
    <row r="525" spans="1:24" s="4" customFormat="1" ht="15" customHeight="1">
      <c r="A525" s="28" t="s">
        <v>1603</v>
      </c>
      <c r="B525" s="29">
        <v>3149.63</v>
      </c>
      <c r="C525" s="30" t="s">
        <v>1672</v>
      </c>
      <c r="D525" s="2">
        <v>4950089523</v>
      </c>
      <c r="E525" s="2" t="s">
        <v>14</v>
      </c>
      <c r="F525" s="78" t="s">
        <v>1673</v>
      </c>
      <c r="G525" s="28" t="s">
        <v>13</v>
      </c>
      <c r="H525" s="2" t="s">
        <v>23</v>
      </c>
      <c r="I525" s="2">
        <v>1</v>
      </c>
      <c r="J525" s="2"/>
      <c r="K525" s="2">
        <v>687.3</v>
      </c>
      <c r="L525" s="35">
        <v>2164740.699</v>
      </c>
      <c r="M525" s="36">
        <v>10</v>
      </c>
      <c r="N525" s="40">
        <v>134790</v>
      </c>
      <c r="O525" s="40">
        <v>0</v>
      </c>
      <c r="P525" s="40">
        <v>0</v>
      </c>
      <c r="Q525" s="40">
        <v>0</v>
      </c>
      <c r="R525" s="40">
        <v>539</v>
      </c>
      <c r="S525" s="40">
        <v>354356</v>
      </c>
      <c r="T525" s="40">
        <v>30000</v>
      </c>
      <c r="U525" s="40">
        <v>37904.615384615397</v>
      </c>
      <c r="V525" s="40">
        <v>0</v>
      </c>
      <c r="W525" s="45">
        <v>557589.61538461503</v>
      </c>
      <c r="X525" s="46">
        <v>25.757801645351499</v>
      </c>
    </row>
    <row r="526" spans="1:24" s="4" customFormat="1" ht="15" customHeight="1">
      <c r="A526" s="28" t="s">
        <v>1603</v>
      </c>
      <c r="B526" s="29">
        <v>3149.63</v>
      </c>
      <c r="C526" s="30" t="s">
        <v>1674</v>
      </c>
      <c r="D526" s="2">
        <v>4949591590</v>
      </c>
      <c r="E526" s="2" t="s">
        <v>14</v>
      </c>
      <c r="F526" s="78" t="s">
        <v>1675</v>
      </c>
      <c r="G526" s="28" t="s">
        <v>13</v>
      </c>
      <c r="H526" s="2" t="s">
        <v>23</v>
      </c>
      <c r="I526" s="2">
        <v>1</v>
      </c>
      <c r="J526" s="2"/>
      <c r="K526" s="2">
        <v>1099</v>
      </c>
      <c r="L526" s="35">
        <v>3461443.37</v>
      </c>
      <c r="M526" s="36">
        <v>20</v>
      </c>
      <c r="N526" s="40">
        <v>133912</v>
      </c>
      <c r="O526" s="40">
        <v>0</v>
      </c>
      <c r="P526" s="40">
        <v>0</v>
      </c>
      <c r="Q526" s="40">
        <v>0</v>
      </c>
      <c r="R526" s="40">
        <v>536</v>
      </c>
      <c r="S526" s="40">
        <v>354356</v>
      </c>
      <c r="T526" s="40">
        <v>30000</v>
      </c>
      <c r="U526" s="40">
        <v>89592.727272727294</v>
      </c>
      <c r="V526" s="40">
        <v>0</v>
      </c>
      <c r="W526" s="45">
        <v>608396.72727272694</v>
      </c>
      <c r="X526" s="46">
        <v>17.576388293555301</v>
      </c>
    </row>
    <row r="527" spans="1:24" s="4" customFormat="1" ht="15" customHeight="1">
      <c r="A527" s="28" t="s">
        <v>1603</v>
      </c>
      <c r="B527" s="29">
        <v>3149.63</v>
      </c>
      <c r="C527" s="30" t="s">
        <v>1676</v>
      </c>
      <c r="D527" s="2">
        <v>4949231337</v>
      </c>
      <c r="E527" s="2" t="s">
        <v>14</v>
      </c>
      <c r="F527" s="78" t="s">
        <v>1677</v>
      </c>
      <c r="G527" s="28" t="s">
        <v>13</v>
      </c>
      <c r="H527" s="2" t="s">
        <v>23</v>
      </c>
      <c r="I527" s="2">
        <v>1</v>
      </c>
      <c r="J527" s="2"/>
      <c r="K527" s="2">
        <v>580.41</v>
      </c>
      <c r="L527" s="35">
        <v>1828076.7483000001</v>
      </c>
      <c r="M527" s="36">
        <v>25</v>
      </c>
      <c r="N527" s="40">
        <v>497416</v>
      </c>
      <c r="O527" s="40">
        <v>0</v>
      </c>
      <c r="P527" s="40">
        <v>0</v>
      </c>
      <c r="Q527" s="40">
        <v>0</v>
      </c>
      <c r="R527" s="40">
        <v>4628</v>
      </c>
      <c r="S527" s="40">
        <v>354356</v>
      </c>
      <c r="T527" s="40">
        <v>30000</v>
      </c>
      <c r="U527" s="40">
        <v>111990.909090909</v>
      </c>
      <c r="V527" s="40">
        <v>0</v>
      </c>
      <c r="W527" s="45">
        <v>998390.90909090894</v>
      </c>
      <c r="X527" s="46">
        <v>54.614277547119002</v>
      </c>
    </row>
    <row r="528" spans="1:24" s="4" customFormat="1" ht="15" customHeight="1">
      <c r="A528" s="28" t="s">
        <v>1603</v>
      </c>
      <c r="B528" s="29">
        <v>3149.63</v>
      </c>
      <c r="C528" s="30" t="s">
        <v>1681</v>
      </c>
      <c r="D528" s="2">
        <v>4949681910</v>
      </c>
      <c r="E528" s="2" t="s">
        <v>14</v>
      </c>
      <c r="F528" s="2" t="s">
        <v>1682</v>
      </c>
      <c r="G528" s="28" t="s">
        <v>13</v>
      </c>
      <c r="H528" s="2" t="s">
        <v>23</v>
      </c>
      <c r="I528" s="2">
        <v>1</v>
      </c>
      <c r="J528" s="2"/>
      <c r="K528" s="2">
        <v>708.6</v>
      </c>
      <c r="L528" s="35">
        <v>2231827.818</v>
      </c>
      <c r="M528" s="36">
        <v>10</v>
      </c>
      <c r="N528" s="40">
        <v>149411.57999999999</v>
      </c>
      <c r="O528" s="40">
        <v>0</v>
      </c>
      <c r="P528" s="40">
        <v>0</v>
      </c>
      <c r="Q528" s="40">
        <v>0</v>
      </c>
      <c r="R528" s="40">
        <v>597.64</v>
      </c>
      <c r="S528" s="40">
        <v>354356</v>
      </c>
      <c r="T528" s="40">
        <v>30000</v>
      </c>
      <c r="U528" s="40">
        <v>44796.363636363603</v>
      </c>
      <c r="V528" s="40">
        <v>0</v>
      </c>
      <c r="W528" s="45">
        <v>579161.58363636397</v>
      </c>
      <c r="X528" s="46">
        <v>25.950101480291</v>
      </c>
    </row>
    <row r="529" spans="1:24" s="4" customFormat="1" ht="15" customHeight="1">
      <c r="A529" s="28" t="s">
        <v>1603</v>
      </c>
      <c r="B529" s="29">
        <v>3149.63</v>
      </c>
      <c r="C529" s="30" t="s">
        <v>1683</v>
      </c>
      <c r="D529" s="2">
        <v>4950039555</v>
      </c>
      <c r="E529" s="2" t="s">
        <v>14</v>
      </c>
      <c r="F529" s="78" t="s">
        <v>1684</v>
      </c>
      <c r="G529" s="28" t="s">
        <v>13</v>
      </c>
      <c r="H529" s="2" t="s">
        <v>23</v>
      </c>
      <c r="I529" s="2">
        <v>1</v>
      </c>
      <c r="J529" s="2"/>
      <c r="K529" s="2">
        <v>623.70000000000005</v>
      </c>
      <c r="L529" s="35">
        <v>1964424.2309999999</v>
      </c>
      <c r="M529" s="36">
        <v>10</v>
      </c>
      <c r="N529" s="40">
        <v>151033.65</v>
      </c>
      <c r="O529" s="40">
        <v>0</v>
      </c>
      <c r="P529" s="40">
        <v>0</v>
      </c>
      <c r="Q529" s="40">
        <v>0</v>
      </c>
      <c r="R529" s="40">
        <v>604</v>
      </c>
      <c r="S529" s="40">
        <v>354356</v>
      </c>
      <c r="T529" s="40">
        <v>30000</v>
      </c>
      <c r="U529" s="40">
        <v>0</v>
      </c>
      <c r="V529" s="40">
        <v>0</v>
      </c>
      <c r="W529" s="45">
        <v>535993.65</v>
      </c>
      <c r="X529" s="46">
        <v>27.285025380039698</v>
      </c>
    </row>
    <row r="530" spans="1:24" s="4" customFormat="1" ht="15" customHeight="1">
      <c r="A530" s="28" t="s">
        <v>1603</v>
      </c>
      <c r="B530" s="29">
        <v>3149.63</v>
      </c>
      <c r="C530" s="30" t="s">
        <v>1705</v>
      </c>
      <c r="D530" s="2">
        <v>4949309841</v>
      </c>
      <c r="E530" s="2" t="s">
        <v>14</v>
      </c>
      <c r="F530" s="2" t="s">
        <v>1706</v>
      </c>
      <c r="G530" s="28" t="s">
        <v>9</v>
      </c>
      <c r="H530" s="2" t="s">
        <v>23</v>
      </c>
      <c r="I530" s="2">
        <v>10</v>
      </c>
      <c r="J530" s="2"/>
      <c r="K530" s="2">
        <v>3862.8</v>
      </c>
      <c r="L530" s="35">
        <v>12166390.764</v>
      </c>
      <c r="M530" s="36">
        <v>740</v>
      </c>
      <c r="N530" s="40">
        <v>384055.92256143002</v>
      </c>
      <c r="O530" s="40">
        <v>492.59865971705102</v>
      </c>
      <c r="P530" s="40">
        <v>18959.097542814601</v>
      </c>
      <c r="Q530" s="40">
        <v>15445.9985107967</v>
      </c>
      <c r="R530" s="40">
        <v>25485.754281459402</v>
      </c>
      <c r="S530" s="40">
        <v>39050.400595681298</v>
      </c>
      <c r="T530" s="40">
        <v>30000</v>
      </c>
      <c r="U530" s="40">
        <v>229824.27401340299</v>
      </c>
      <c r="V530" s="40">
        <v>149322.41250930799</v>
      </c>
      <c r="W530" s="45">
        <v>892636.45867461001</v>
      </c>
      <c r="X530" s="46">
        <v>7.3369043949820796</v>
      </c>
    </row>
    <row r="531" spans="1:24" s="4" customFormat="1" ht="15" customHeight="1">
      <c r="A531" s="28" t="s">
        <v>1603</v>
      </c>
      <c r="B531" s="29">
        <v>3149.63</v>
      </c>
      <c r="C531" s="30" t="s">
        <v>1707</v>
      </c>
      <c r="D531" s="2">
        <v>4949355657</v>
      </c>
      <c r="E531" s="2" t="s">
        <v>14</v>
      </c>
      <c r="F531" s="2" t="s">
        <v>1708</v>
      </c>
      <c r="G531" s="28" t="s">
        <v>5</v>
      </c>
      <c r="H531" s="2" t="s">
        <v>20</v>
      </c>
      <c r="I531" s="2">
        <v>1</v>
      </c>
      <c r="J531" s="2" t="s">
        <v>1709</v>
      </c>
      <c r="K531" s="2">
        <v>19552.5</v>
      </c>
      <c r="L531" s="35">
        <v>61583140.575000003</v>
      </c>
      <c r="M531" s="36">
        <v>4950</v>
      </c>
      <c r="N531" s="40">
        <v>314410</v>
      </c>
      <c r="O531" s="40">
        <v>327035</v>
      </c>
      <c r="P531" s="40">
        <v>0</v>
      </c>
      <c r="Q531" s="40">
        <v>99309</v>
      </c>
      <c r="R531" s="40">
        <v>527143</v>
      </c>
      <c r="S531" s="40">
        <v>354356</v>
      </c>
      <c r="T531" s="40">
        <v>30000</v>
      </c>
      <c r="U531" s="40">
        <v>3220400</v>
      </c>
      <c r="V531" s="40">
        <v>0</v>
      </c>
      <c r="W531" s="45">
        <v>4872653</v>
      </c>
      <c r="X531" s="46">
        <v>7.9123165114740504</v>
      </c>
    </row>
    <row r="532" spans="1:24" s="4" customFormat="1" ht="15" customHeight="1">
      <c r="A532" s="28" t="s">
        <v>1603</v>
      </c>
      <c r="B532" s="29">
        <v>3149.63</v>
      </c>
      <c r="C532" s="30" t="s">
        <v>1710</v>
      </c>
      <c r="D532" s="2">
        <v>4949532983</v>
      </c>
      <c r="E532" s="2" t="s">
        <v>14</v>
      </c>
      <c r="F532" s="78" t="s">
        <v>1711</v>
      </c>
      <c r="G532" s="28" t="s">
        <v>9</v>
      </c>
      <c r="H532" s="2" t="s">
        <v>23</v>
      </c>
      <c r="I532" s="2">
        <v>2</v>
      </c>
      <c r="J532" s="2"/>
      <c r="K532" s="2">
        <v>4796.3999999999996</v>
      </c>
      <c r="L532" s="35">
        <v>15106885.332</v>
      </c>
      <c r="M532" s="36">
        <v>840</v>
      </c>
      <c r="N532" s="40">
        <v>494927</v>
      </c>
      <c r="O532" s="40">
        <v>574</v>
      </c>
      <c r="P532" s="40">
        <v>8569</v>
      </c>
      <c r="Q532" s="40">
        <v>13873</v>
      </c>
      <c r="R532" s="40">
        <v>94178</v>
      </c>
      <c r="S532" s="40">
        <v>354356</v>
      </c>
      <c r="T532" s="40">
        <v>30000</v>
      </c>
      <c r="U532" s="40">
        <v>334253.00515168899</v>
      </c>
      <c r="V532" s="40">
        <v>0</v>
      </c>
      <c r="W532" s="45">
        <v>1330730.00515169</v>
      </c>
      <c r="X532" s="46">
        <v>8.8087648506398892</v>
      </c>
    </row>
    <row r="533" spans="1:24" s="4" customFormat="1" ht="15" customHeight="1">
      <c r="A533" s="28" t="s">
        <v>1603</v>
      </c>
      <c r="B533" s="29">
        <v>3149.63</v>
      </c>
      <c r="C533" s="30" t="s">
        <v>1712</v>
      </c>
      <c r="D533" s="2">
        <v>4948559408</v>
      </c>
      <c r="E533" s="2" t="s">
        <v>14</v>
      </c>
      <c r="F533" s="2" t="s">
        <v>1713</v>
      </c>
      <c r="G533" s="28" t="s">
        <v>5</v>
      </c>
      <c r="H533" s="2" t="s">
        <v>17</v>
      </c>
      <c r="I533" s="2">
        <v>1</v>
      </c>
      <c r="J533" s="2" t="s">
        <v>1714</v>
      </c>
      <c r="K533" s="2">
        <v>33920</v>
      </c>
      <c r="L533" s="35">
        <v>106835449.59999999</v>
      </c>
      <c r="M533" s="36">
        <v>8000</v>
      </c>
      <c r="N533" s="40">
        <v>318820</v>
      </c>
      <c r="O533" s="40">
        <v>429032</v>
      </c>
      <c r="P533" s="40">
        <v>0</v>
      </c>
      <c r="Q533" s="40">
        <v>99309</v>
      </c>
      <c r="R533" s="40">
        <v>714039</v>
      </c>
      <c r="S533" s="40">
        <v>354356</v>
      </c>
      <c r="T533" s="40">
        <v>30000</v>
      </c>
      <c r="U533" s="40">
        <v>5354400</v>
      </c>
      <c r="V533" s="40">
        <v>0</v>
      </c>
      <c r="W533" s="45">
        <v>7299956</v>
      </c>
      <c r="X533" s="46">
        <v>6.8328967841026396</v>
      </c>
    </row>
    <row r="534" spans="1:24" s="4" customFormat="1" ht="15" customHeight="1">
      <c r="A534" s="28" t="s">
        <v>1603</v>
      </c>
      <c r="B534" s="29">
        <v>3149.63</v>
      </c>
      <c r="C534" s="30" t="s">
        <v>1720</v>
      </c>
      <c r="D534" s="2">
        <v>4949416075</v>
      </c>
      <c r="E534" s="2" t="s">
        <v>14</v>
      </c>
      <c r="F534" s="78" t="s">
        <v>1721</v>
      </c>
      <c r="G534" s="28" t="s">
        <v>9</v>
      </c>
      <c r="H534" s="2" t="s">
        <v>23</v>
      </c>
      <c r="I534" s="2">
        <v>3</v>
      </c>
      <c r="J534" s="2"/>
      <c r="K534" s="2">
        <v>589</v>
      </c>
      <c r="L534" s="35">
        <v>1855132.07</v>
      </c>
      <c r="M534" s="36">
        <v>100</v>
      </c>
      <c r="N534" s="40">
        <v>41094.0769230769</v>
      </c>
      <c r="O534" s="40">
        <v>68.615384615384599</v>
      </c>
      <c r="P534" s="40">
        <v>1036.1538461538501</v>
      </c>
      <c r="Q534" s="40">
        <v>1662.6923076923099</v>
      </c>
      <c r="R534" s="40">
        <v>8342.0769230769201</v>
      </c>
      <c r="S534" s="40">
        <v>27258.1538461538</v>
      </c>
      <c r="T534" s="40">
        <v>30000</v>
      </c>
      <c r="U534" s="52">
        <v>39792.024422820097</v>
      </c>
      <c r="V534" s="52">
        <v>0</v>
      </c>
      <c r="W534" s="45">
        <v>149253.793653589</v>
      </c>
      <c r="X534" s="46">
        <v>8.0454538017656692</v>
      </c>
    </row>
    <row r="535" spans="1:24" s="4" customFormat="1" ht="15" customHeight="1">
      <c r="A535" s="28" t="s">
        <v>1603</v>
      </c>
      <c r="B535" s="29">
        <v>3149.63</v>
      </c>
      <c r="C535" s="30" t="s">
        <v>1720</v>
      </c>
      <c r="D535" s="2">
        <v>4949587515</v>
      </c>
      <c r="E535" s="2" t="s">
        <v>14</v>
      </c>
      <c r="F535" s="78" t="s">
        <v>1721</v>
      </c>
      <c r="G535" s="28" t="s">
        <v>9</v>
      </c>
      <c r="H535" s="2" t="s">
        <v>23</v>
      </c>
      <c r="I535" s="2">
        <v>3</v>
      </c>
      <c r="J535" s="2"/>
      <c r="K535" s="2">
        <v>2356</v>
      </c>
      <c r="L535" s="35">
        <v>7420528.2800000003</v>
      </c>
      <c r="M535" s="36">
        <v>400</v>
      </c>
      <c r="N535" s="40">
        <v>164376.30769230801</v>
      </c>
      <c r="O535" s="40">
        <v>274.461538461538</v>
      </c>
      <c r="P535" s="40">
        <v>4144.6153846153802</v>
      </c>
      <c r="Q535" s="40">
        <v>6650.7692307692296</v>
      </c>
      <c r="R535" s="40">
        <v>33368.307692307702</v>
      </c>
      <c r="S535" s="40">
        <v>109032.615384615</v>
      </c>
      <c r="T535" s="40">
        <v>30000</v>
      </c>
      <c r="U535" s="52">
        <v>159168.09769128001</v>
      </c>
      <c r="V535" s="52">
        <v>0</v>
      </c>
      <c r="W535" s="45">
        <v>507015.17461435701</v>
      </c>
      <c r="X535" s="46">
        <v>6.8326021474896503</v>
      </c>
    </row>
    <row r="536" spans="1:24" s="4" customFormat="1" ht="15" customHeight="1">
      <c r="A536" s="28" t="s">
        <v>1603</v>
      </c>
      <c r="B536" s="29">
        <v>3149.63</v>
      </c>
      <c r="C536" s="30" t="s">
        <v>1720</v>
      </c>
      <c r="D536" s="2">
        <v>4949662472</v>
      </c>
      <c r="E536" s="2" t="s">
        <v>14</v>
      </c>
      <c r="F536" s="78" t="s">
        <v>1721</v>
      </c>
      <c r="G536" s="28" t="s">
        <v>9</v>
      </c>
      <c r="H536" s="2" t="s">
        <v>23</v>
      </c>
      <c r="I536" s="2">
        <v>3</v>
      </c>
      <c r="J536" s="2"/>
      <c r="K536" s="2">
        <v>2552</v>
      </c>
      <c r="L536" s="35">
        <v>8037855.7599999998</v>
      </c>
      <c r="M536" s="36">
        <v>800</v>
      </c>
      <c r="N536" s="40">
        <v>328752.61538461503</v>
      </c>
      <c r="O536" s="40">
        <v>548.92307692307702</v>
      </c>
      <c r="P536" s="40">
        <v>8289.2307692307695</v>
      </c>
      <c r="Q536" s="40">
        <v>13301.538461538499</v>
      </c>
      <c r="R536" s="40">
        <v>66736.615384615405</v>
      </c>
      <c r="S536" s="40">
        <v>218065.23076923101</v>
      </c>
      <c r="T536" s="40">
        <v>30000</v>
      </c>
      <c r="U536" s="52">
        <v>318336.19538256101</v>
      </c>
      <c r="V536" s="52">
        <v>0</v>
      </c>
      <c r="W536" s="45">
        <v>984030.34922871494</v>
      </c>
      <c r="X536" s="46">
        <v>12.242448466489</v>
      </c>
    </row>
    <row r="537" spans="1:24" s="4" customFormat="1" ht="15" customHeight="1">
      <c r="A537" s="28" t="s">
        <v>1603</v>
      </c>
      <c r="B537" s="29">
        <v>3149.63</v>
      </c>
      <c r="C537" s="30" t="s">
        <v>1722</v>
      </c>
      <c r="D537" s="2">
        <v>4949718147</v>
      </c>
      <c r="E537" s="2" t="s">
        <v>14</v>
      </c>
      <c r="F537" s="78" t="s">
        <v>1723</v>
      </c>
      <c r="G537" s="28" t="s">
        <v>9</v>
      </c>
      <c r="H537" s="2" t="s">
        <v>23</v>
      </c>
      <c r="I537" s="2">
        <v>4</v>
      </c>
      <c r="J537" s="2"/>
      <c r="K537" s="2">
        <v>14348.8</v>
      </c>
      <c r="L537" s="35">
        <v>45193410.943999998</v>
      </c>
      <c r="M537" s="36">
        <v>3040</v>
      </c>
      <c r="N537" s="40">
        <v>658812</v>
      </c>
      <c r="O537" s="40">
        <v>2167</v>
      </c>
      <c r="P537" s="40">
        <v>33750</v>
      </c>
      <c r="Q537" s="40">
        <v>52540</v>
      </c>
      <c r="R537" s="40">
        <v>138355</v>
      </c>
      <c r="S537" s="40">
        <v>354356</v>
      </c>
      <c r="T537" s="40">
        <v>30000</v>
      </c>
      <c r="U537" s="40">
        <v>900556.818181818</v>
      </c>
      <c r="V537" s="40">
        <v>0</v>
      </c>
      <c r="W537" s="45">
        <v>2170536.8181818202</v>
      </c>
      <c r="X537" s="46">
        <v>4.8027727335548303</v>
      </c>
    </row>
    <row r="538" spans="1:24" s="4" customFormat="1" ht="15" customHeight="1">
      <c r="A538" s="28" t="s">
        <v>1603</v>
      </c>
      <c r="B538" s="29">
        <v>3149.63</v>
      </c>
      <c r="C538" s="30" t="s">
        <v>1724</v>
      </c>
      <c r="D538" s="2">
        <v>4949366049</v>
      </c>
      <c r="E538" s="2" t="s">
        <v>14</v>
      </c>
      <c r="F538" s="2" t="s">
        <v>1725</v>
      </c>
      <c r="G538" s="28" t="s">
        <v>9</v>
      </c>
      <c r="H538" s="2" t="s">
        <v>23</v>
      </c>
      <c r="I538" s="2">
        <v>4</v>
      </c>
      <c r="J538" s="2"/>
      <c r="K538" s="2">
        <v>6368</v>
      </c>
      <c r="L538" s="35">
        <v>20056843.84</v>
      </c>
      <c r="M538" s="36">
        <v>3200</v>
      </c>
      <c r="N538" s="40">
        <v>936695</v>
      </c>
      <c r="O538" s="40">
        <v>2045</v>
      </c>
      <c r="P538" s="40">
        <v>0</v>
      </c>
      <c r="Q538" s="40">
        <v>62626</v>
      </c>
      <c r="R538" s="40">
        <v>149336</v>
      </c>
      <c r="S538" s="40">
        <v>354356</v>
      </c>
      <c r="T538" s="40">
        <v>30000</v>
      </c>
      <c r="U538" s="40">
        <v>1367700</v>
      </c>
      <c r="V538" s="40">
        <v>0</v>
      </c>
      <c r="W538" s="45">
        <v>2902758</v>
      </c>
      <c r="X538" s="46">
        <v>14.4726559330882</v>
      </c>
    </row>
    <row r="539" spans="1:24" s="4" customFormat="1" ht="15" customHeight="1">
      <c r="A539" s="28" t="s">
        <v>1603</v>
      </c>
      <c r="B539" s="29">
        <v>3149.63</v>
      </c>
      <c r="C539" s="30" t="s">
        <v>1733</v>
      </c>
      <c r="D539" s="2">
        <v>4948774467</v>
      </c>
      <c r="E539" s="2" t="s">
        <v>14</v>
      </c>
      <c r="F539" s="2" t="s">
        <v>1734</v>
      </c>
      <c r="G539" s="28" t="s">
        <v>5</v>
      </c>
      <c r="H539" s="2" t="s">
        <v>20</v>
      </c>
      <c r="I539" s="2">
        <v>1</v>
      </c>
      <c r="J539" s="2" t="s">
        <v>1735</v>
      </c>
      <c r="K539" s="2">
        <v>30996</v>
      </c>
      <c r="L539" s="35">
        <v>97625931.480000004</v>
      </c>
      <c r="M539" s="36">
        <v>16400</v>
      </c>
      <c r="N539" s="40">
        <v>353184</v>
      </c>
      <c r="O539" s="40">
        <v>327035</v>
      </c>
      <c r="P539" s="40">
        <v>0</v>
      </c>
      <c r="Q539" s="40">
        <v>99309</v>
      </c>
      <c r="R539" s="40">
        <v>622975</v>
      </c>
      <c r="S539" s="40">
        <v>354356</v>
      </c>
      <c r="T539" s="40">
        <v>30000</v>
      </c>
      <c r="U539" s="40">
        <v>3928500</v>
      </c>
      <c r="V539" s="40">
        <v>0</v>
      </c>
      <c r="W539" s="45">
        <v>5715359</v>
      </c>
      <c r="X539" s="46">
        <v>5.8543451656293497</v>
      </c>
    </row>
    <row r="540" spans="1:24" s="4" customFormat="1" ht="15" customHeight="1">
      <c r="A540" s="28" t="s">
        <v>1603</v>
      </c>
      <c r="B540" s="29">
        <v>3149.63</v>
      </c>
      <c r="C540" s="30" t="s">
        <v>1744</v>
      </c>
      <c r="D540" s="2">
        <v>4949387314</v>
      </c>
      <c r="E540" s="2" t="s">
        <v>14</v>
      </c>
      <c r="F540" s="2" t="s">
        <v>1745</v>
      </c>
      <c r="G540" s="28" t="s">
        <v>9</v>
      </c>
      <c r="H540" s="2" t="s">
        <v>23</v>
      </c>
      <c r="I540" s="2">
        <v>4</v>
      </c>
      <c r="J540" s="2"/>
      <c r="K540" s="2">
        <v>10360</v>
      </c>
      <c r="L540" s="35">
        <v>32630166.800000001</v>
      </c>
      <c r="M540" s="36">
        <v>4000</v>
      </c>
      <c r="N540" s="40">
        <v>827111</v>
      </c>
      <c r="O540" s="40">
        <v>2657</v>
      </c>
      <c r="P540" s="40">
        <v>80698</v>
      </c>
      <c r="Q540" s="40">
        <v>65004</v>
      </c>
      <c r="R540" s="40">
        <v>152222</v>
      </c>
      <c r="S540" s="40">
        <v>354356</v>
      </c>
      <c r="T540" s="40">
        <v>30000</v>
      </c>
      <c r="U540" s="40">
        <v>1591680.9769128</v>
      </c>
      <c r="V540" s="40">
        <v>0</v>
      </c>
      <c r="W540" s="45">
        <v>3103728.9769128002</v>
      </c>
      <c r="X540" s="46">
        <v>9.5118391393353203</v>
      </c>
    </row>
    <row r="541" spans="1:24" s="4" customFormat="1" ht="15" customHeight="1">
      <c r="A541" s="28" t="s">
        <v>1603</v>
      </c>
      <c r="B541" s="29">
        <v>3149.63</v>
      </c>
      <c r="C541" s="30" t="s">
        <v>1760</v>
      </c>
      <c r="D541" s="2">
        <v>4949718142</v>
      </c>
      <c r="E541" s="2" t="s">
        <v>14</v>
      </c>
      <c r="F541" s="78" t="s">
        <v>1761</v>
      </c>
      <c r="G541" s="28" t="s">
        <v>13</v>
      </c>
      <c r="H541" s="2" t="s">
        <v>23</v>
      </c>
      <c r="I541" s="2">
        <v>1</v>
      </c>
      <c r="J541" s="2"/>
      <c r="K541" s="2">
        <v>15354</v>
      </c>
      <c r="L541" s="35">
        <v>48359419.020000003</v>
      </c>
      <c r="M541" s="36">
        <v>120</v>
      </c>
      <c r="N541" s="40">
        <v>265028</v>
      </c>
      <c r="O541" s="40">
        <v>0</v>
      </c>
      <c r="P541" s="40">
        <v>0</v>
      </c>
      <c r="Q541" s="40">
        <v>0</v>
      </c>
      <c r="R541" s="40">
        <v>4060</v>
      </c>
      <c r="S541" s="40">
        <v>354356</v>
      </c>
      <c r="T541" s="40">
        <v>30000</v>
      </c>
      <c r="U541" s="40">
        <v>55784.150943396198</v>
      </c>
      <c r="V541" s="40">
        <v>0</v>
      </c>
      <c r="W541" s="45">
        <v>709228.15094339603</v>
      </c>
      <c r="X541" s="46">
        <v>1.46657707084959</v>
      </c>
    </row>
    <row r="542" spans="1:24" s="4" customFormat="1" ht="15" customHeight="1">
      <c r="A542" s="28" t="s">
        <v>1603</v>
      </c>
      <c r="B542" s="29">
        <v>3149.63</v>
      </c>
      <c r="C542" s="30" t="s">
        <v>1762</v>
      </c>
      <c r="D542" s="2">
        <v>4949331202</v>
      </c>
      <c r="E542" s="2" t="s">
        <v>14</v>
      </c>
      <c r="F542" s="2" t="s">
        <v>1763</v>
      </c>
      <c r="G542" s="28" t="s">
        <v>5</v>
      </c>
      <c r="H542" s="2" t="s">
        <v>20</v>
      </c>
      <c r="I542" s="2">
        <v>3</v>
      </c>
      <c r="J542" s="2" t="s">
        <v>1764</v>
      </c>
      <c r="K542" s="2">
        <v>45408</v>
      </c>
      <c r="L542" s="35">
        <v>143018399.03999999</v>
      </c>
      <c r="M542" s="36">
        <v>52800</v>
      </c>
      <c r="N542" s="40">
        <v>0</v>
      </c>
      <c r="O542" s="40">
        <v>9482</v>
      </c>
      <c r="P542" s="40">
        <v>889742</v>
      </c>
      <c r="Q542" s="40">
        <v>330415</v>
      </c>
      <c r="R542" s="40">
        <v>916321</v>
      </c>
      <c r="S542" s="40">
        <v>354356</v>
      </c>
      <c r="T542" s="40">
        <v>30000</v>
      </c>
      <c r="U542" s="40">
        <v>7527200</v>
      </c>
      <c r="V542" s="40">
        <v>0</v>
      </c>
      <c r="W542" s="45">
        <v>10057516</v>
      </c>
      <c r="X542" s="46">
        <v>7.0323231608732204</v>
      </c>
    </row>
    <row r="543" spans="1:24" s="4" customFormat="1" ht="15" customHeight="1">
      <c r="A543" s="28" t="s">
        <v>1603</v>
      </c>
      <c r="B543" s="29">
        <v>3149.63</v>
      </c>
      <c r="C543" s="30" t="s">
        <v>1765</v>
      </c>
      <c r="D543" s="2">
        <v>4949587510</v>
      </c>
      <c r="E543" s="2" t="s">
        <v>14</v>
      </c>
      <c r="F543" s="2" t="s">
        <v>1766</v>
      </c>
      <c r="G543" s="28" t="s">
        <v>9</v>
      </c>
      <c r="H543" s="2" t="s">
        <v>23</v>
      </c>
      <c r="I543" s="2">
        <v>3</v>
      </c>
      <c r="J543" s="2"/>
      <c r="K543" s="2">
        <v>400.56</v>
      </c>
      <c r="L543" s="35">
        <v>1261615.7927999999</v>
      </c>
      <c r="M543" s="36">
        <v>40</v>
      </c>
      <c r="N543" s="40">
        <v>23662.9130434783</v>
      </c>
      <c r="O543" s="40">
        <v>29</v>
      </c>
      <c r="P543" s="40">
        <v>885.13043478260897</v>
      </c>
      <c r="Q543" s="40">
        <v>685.43478260869597</v>
      </c>
      <c r="R543" s="40">
        <v>4452.8260869565202</v>
      </c>
      <c r="S543" s="40">
        <v>15406.782608695699</v>
      </c>
      <c r="T543" s="40">
        <v>30000</v>
      </c>
      <c r="U543" s="40">
        <v>25394.216133942198</v>
      </c>
      <c r="V543" s="40">
        <v>0</v>
      </c>
      <c r="W543" s="45">
        <v>100516.303090464</v>
      </c>
      <c r="X543" s="46">
        <v>7.9672673458993799</v>
      </c>
    </row>
    <row r="544" spans="1:24" s="4" customFormat="1" ht="15" customHeight="1">
      <c r="A544" s="28" t="s">
        <v>1603</v>
      </c>
      <c r="B544" s="29">
        <v>3149.63</v>
      </c>
      <c r="C544" s="30" t="s">
        <v>1765</v>
      </c>
      <c r="D544" s="2">
        <v>4949591599</v>
      </c>
      <c r="E544" s="2" t="s">
        <v>14</v>
      </c>
      <c r="F544" s="2" t="s">
        <v>1766</v>
      </c>
      <c r="G544" s="28" t="s">
        <v>9</v>
      </c>
      <c r="H544" s="2" t="s">
        <v>23</v>
      </c>
      <c r="I544" s="2">
        <v>3</v>
      </c>
      <c r="J544" s="2"/>
      <c r="K544" s="2">
        <v>1100</v>
      </c>
      <c r="L544" s="35">
        <v>3464593</v>
      </c>
      <c r="M544" s="36">
        <v>880</v>
      </c>
      <c r="N544" s="40">
        <v>520584.08695652202</v>
      </c>
      <c r="O544" s="40">
        <v>638</v>
      </c>
      <c r="P544" s="40">
        <v>19472.869565217399</v>
      </c>
      <c r="Q544" s="40">
        <v>15079.5652173913</v>
      </c>
      <c r="R544" s="40">
        <v>97962.173913043502</v>
      </c>
      <c r="S544" s="40">
        <v>338949.21739130397</v>
      </c>
      <c r="T544" s="40">
        <v>30000</v>
      </c>
      <c r="U544" s="40">
        <v>558672.754946728</v>
      </c>
      <c r="V544" s="40">
        <v>0</v>
      </c>
      <c r="W544" s="45">
        <v>1581358.66799021</v>
      </c>
      <c r="X544" s="46">
        <v>45.6434180866326</v>
      </c>
    </row>
    <row r="545" spans="1:24" s="4" customFormat="1" ht="15" customHeight="1">
      <c r="A545" s="28" t="s">
        <v>1603</v>
      </c>
      <c r="B545" s="29">
        <v>3149.63</v>
      </c>
      <c r="C545" s="30" t="s">
        <v>1767</v>
      </c>
      <c r="D545" s="2">
        <v>4949590076</v>
      </c>
      <c r="E545" s="2" t="s">
        <v>14</v>
      </c>
      <c r="F545" s="2" t="s">
        <v>1768</v>
      </c>
      <c r="G545" s="28" t="s">
        <v>9</v>
      </c>
      <c r="H545" s="2" t="s">
        <v>23</v>
      </c>
      <c r="I545" s="2">
        <v>3</v>
      </c>
      <c r="J545" s="2"/>
      <c r="K545" s="2">
        <v>1100</v>
      </c>
      <c r="L545" s="35">
        <v>3464593</v>
      </c>
      <c r="M545" s="36">
        <v>880</v>
      </c>
      <c r="N545" s="40">
        <v>379170.33846153802</v>
      </c>
      <c r="O545" s="40">
        <v>601.78461538461499</v>
      </c>
      <c r="P545" s="40">
        <v>18705.4153846154</v>
      </c>
      <c r="Q545" s="40">
        <v>14592.430769230799</v>
      </c>
      <c r="R545" s="40">
        <v>69415.753846153806</v>
      </c>
      <c r="S545" s="40">
        <v>239871.753846154</v>
      </c>
      <c r="T545" s="40">
        <v>30000</v>
      </c>
      <c r="U545" s="40">
        <v>558672.754946728</v>
      </c>
      <c r="V545" s="40">
        <v>0</v>
      </c>
      <c r="W545" s="45">
        <v>1311030.2318698</v>
      </c>
      <c r="X545" s="46">
        <v>37.840815122290103</v>
      </c>
    </row>
    <row r="546" spans="1:24" s="4" customFormat="1" ht="15" customHeight="1">
      <c r="A546" s="28" t="s">
        <v>1603</v>
      </c>
      <c r="B546" s="29">
        <v>3149.63</v>
      </c>
      <c r="C546" s="30" t="s">
        <v>1767</v>
      </c>
      <c r="D546" s="2">
        <v>4949590076</v>
      </c>
      <c r="E546" s="2" t="s">
        <v>14</v>
      </c>
      <c r="F546" s="2" t="s">
        <v>1768</v>
      </c>
      <c r="G546" s="28" t="s">
        <v>9</v>
      </c>
      <c r="H546" s="2" t="s">
        <v>23</v>
      </c>
      <c r="I546" s="2">
        <v>3</v>
      </c>
      <c r="J546" s="2"/>
      <c r="K546" s="2">
        <v>2461.1999999999998</v>
      </c>
      <c r="L546" s="35">
        <v>7751869.3559999997</v>
      </c>
      <c r="M546" s="36">
        <v>420</v>
      </c>
      <c r="N546" s="40">
        <v>180967.66153846201</v>
      </c>
      <c r="O546" s="40">
        <v>287.21538461538501</v>
      </c>
      <c r="P546" s="40">
        <v>8927.5846153846196</v>
      </c>
      <c r="Q546" s="40">
        <v>6964.5692307692298</v>
      </c>
      <c r="R546" s="40">
        <v>33130.246153846201</v>
      </c>
      <c r="S546" s="40">
        <v>114484.246153846</v>
      </c>
      <c r="T546" s="40">
        <v>30000</v>
      </c>
      <c r="U546" s="40">
        <v>266639.269406393</v>
      </c>
      <c r="V546" s="40">
        <v>0</v>
      </c>
      <c r="W546" s="45">
        <v>641400.79248331604</v>
      </c>
      <c r="X546" s="46">
        <v>8.2741434746557996</v>
      </c>
    </row>
    <row r="547" spans="1:24" s="4" customFormat="1" ht="15" customHeight="1">
      <c r="A547" s="28" t="s">
        <v>1603</v>
      </c>
      <c r="B547" s="29">
        <v>3149.63</v>
      </c>
      <c r="C547" s="30" t="s">
        <v>1769</v>
      </c>
      <c r="D547" s="2">
        <v>4949654739</v>
      </c>
      <c r="E547" s="2" t="s">
        <v>14</v>
      </c>
      <c r="F547" s="2" t="s">
        <v>1770</v>
      </c>
      <c r="G547" s="28" t="s">
        <v>5</v>
      </c>
      <c r="H547" s="2" t="s">
        <v>20</v>
      </c>
      <c r="I547" s="2">
        <v>1</v>
      </c>
      <c r="J547" s="2" t="s">
        <v>1771</v>
      </c>
      <c r="K547" s="2">
        <v>36842.400000000001</v>
      </c>
      <c r="L547" s="35">
        <v>116039928.31200001</v>
      </c>
      <c r="M547" s="36">
        <v>15480</v>
      </c>
      <c r="N547" s="40">
        <v>325476</v>
      </c>
      <c r="O547" s="40">
        <v>327035</v>
      </c>
      <c r="P547" s="40">
        <v>0</v>
      </c>
      <c r="Q547" s="40">
        <v>99309</v>
      </c>
      <c r="R547" s="40">
        <v>539889</v>
      </c>
      <c r="S547" s="40">
        <v>354356</v>
      </c>
      <c r="T547" s="40">
        <v>30000</v>
      </c>
      <c r="U547" s="40">
        <v>4529900</v>
      </c>
      <c r="V547" s="40">
        <v>0</v>
      </c>
      <c r="W547" s="45">
        <v>6205965</v>
      </c>
      <c r="X547" s="46">
        <v>5.3481289503332299</v>
      </c>
    </row>
    <row r="548" spans="1:24" s="4" customFormat="1" ht="15" customHeight="1">
      <c r="A548" s="28" t="s">
        <v>1603</v>
      </c>
      <c r="B548" s="29">
        <v>3149.63</v>
      </c>
      <c r="C548" s="30" t="s">
        <v>1776</v>
      </c>
      <c r="D548" s="2">
        <v>4949417132</v>
      </c>
      <c r="E548" s="2" t="s">
        <v>14</v>
      </c>
      <c r="F548" s="2" t="s">
        <v>1777</v>
      </c>
      <c r="G548" s="28" t="s">
        <v>5</v>
      </c>
      <c r="H548" s="2" t="s">
        <v>32</v>
      </c>
      <c r="I548" s="2">
        <v>1</v>
      </c>
      <c r="J548" s="2" t="s">
        <v>1778</v>
      </c>
      <c r="K548" s="2">
        <v>6172.2</v>
      </c>
      <c r="L548" s="35">
        <v>19440146.285999998</v>
      </c>
      <c r="M548" s="36">
        <v>1620</v>
      </c>
      <c r="N548" s="40">
        <v>82129.457943925197</v>
      </c>
      <c r="O548" s="40">
        <v>82522.850467289696</v>
      </c>
      <c r="P548" s="40">
        <v>0</v>
      </c>
      <c r="Q548" s="40">
        <v>25059.2803738318</v>
      </c>
      <c r="R548" s="40">
        <v>341532.65420560702</v>
      </c>
      <c r="S548" s="40">
        <v>89416.934579439199</v>
      </c>
      <c r="T548" s="40">
        <v>30000</v>
      </c>
      <c r="U548" s="40">
        <v>1323500.3831775701</v>
      </c>
      <c r="V548" s="40">
        <v>0</v>
      </c>
      <c r="W548" s="45">
        <v>1974161.56074766</v>
      </c>
      <c r="X548" s="46">
        <v>10.1550756445149</v>
      </c>
    </row>
    <row r="549" spans="1:24" s="4" customFormat="1" ht="15" customHeight="1">
      <c r="A549" s="28" t="s">
        <v>1603</v>
      </c>
      <c r="B549" s="29">
        <v>3149.63</v>
      </c>
      <c r="C549" s="30" t="s">
        <v>1776</v>
      </c>
      <c r="D549" s="2">
        <v>4947705169</v>
      </c>
      <c r="E549" s="2" t="s">
        <v>14</v>
      </c>
      <c r="F549" s="2" t="s">
        <v>1777</v>
      </c>
      <c r="G549" s="28" t="s">
        <v>5</v>
      </c>
      <c r="H549" s="2" t="s">
        <v>32</v>
      </c>
      <c r="I549" s="2">
        <v>1</v>
      </c>
      <c r="J549" s="2" t="s">
        <v>1778</v>
      </c>
      <c r="K549" s="2">
        <v>1928</v>
      </c>
      <c r="L549" s="35">
        <v>6072486.6399999997</v>
      </c>
      <c r="M549" s="36">
        <v>800</v>
      </c>
      <c r="N549" s="40">
        <v>40557.757009345798</v>
      </c>
      <c r="O549" s="40">
        <v>40752.024922118399</v>
      </c>
      <c r="P549" s="40">
        <v>0</v>
      </c>
      <c r="Q549" s="40">
        <v>12374.953271028</v>
      </c>
      <c r="R549" s="40">
        <v>168658.557632399</v>
      </c>
      <c r="S549" s="40">
        <v>44156.510903426803</v>
      </c>
      <c r="T549" s="40">
        <v>30000</v>
      </c>
      <c r="U549" s="40">
        <v>653580.43613707204</v>
      </c>
      <c r="V549" s="40">
        <v>0</v>
      </c>
      <c r="W549" s="45">
        <v>990080.23987538996</v>
      </c>
      <c r="X549" s="46">
        <v>16.304362587702499</v>
      </c>
    </row>
    <row r="550" spans="1:24" s="4" customFormat="1" ht="15" customHeight="1">
      <c r="A550" s="28" t="s">
        <v>1603</v>
      </c>
      <c r="B550" s="29">
        <v>3149.63</v>
      </c>
      <c r="C550" s="30" t="s">
        <v>1781</v>
      </c>
      <c r="D550" s="2">
        <v>4948828026</v>
      </c>
      <c r="E550" s="2" t="s">
        <v>14</v>
      </c>
      <c r="F550" s="2" t="s">
        <v>1782</v>
      </c>
      <c r="G550" s="28" t="s">
        <v>9</v>
      </c>
      <c r="H550" s="2" t="s">
        <v>23</v>
      </c>
      <c r="I550" s="2">
        <v>1</v>
      </c>
      <c r="J550" s="2"/>
      <c r="K550" s="2">
        <v>1735.2</v>
      </c>
      <c r="L550" s="35">
        <v>5465237.9759999998</v>
      </c>
      <c r="M550" s="36">
        <v>60</v>
      </c>
      <c r="N550" s="40">
        <v>613737.375</v>
      </c>
      <c r="O550" s="40">
        <v>46.875</v>
      </c>
      <c r="P550" s="40">
        <v>2978.625</v>
      </c>
      <c r="Q550" s="40">
        <v>1066.5</v>
      </c>
      <c r="R550" s="40">
        <v>34847.25</v>
      </c>
      <c r="S550" s="40">
        <v>132883.5</v>
      </c>
      <c r="T550" s="40">
        <v>30000</v>
      </c>
      <c r="U550" s="40">
        <v>512887.5</v>
      </c>
      <c r="V550" s="40">
        <v>0</v>
      </c>
      <c r="W550" s="45">
        <v>1328447.625</v>
      </c>
      <c r="X550" s="46">
        <v>24.307223781173501</v>
      </c>
    </row>
    <row r="551" spans="1:24" s="4" customFormat="1" ht="15" customHeight="1">
      <c r="A551" s="28" t="s">
        <v>1603</v>
      </c>
      <c r="B551" s="29">
        <v>3149.63</v>
      </c>
      <c r="C551" s="30" t="s">
        <v>1781</v>
      </c>
      <c r="D551" s="2">
        <v>4948828026</v>
      </c>
      <c r="E551" s="2" t="s">
        <v>14</v>
      </c>
      <c r="F551" s="2" t="s">
        <v>1782</v>
      </c>
      <c r="G551" s="28" t="s">
        <v>9</v>
      </c>
      <c r="H551" s="2" t="s">
        <v>23</v>
      </c>
      <c r="I551" s="2">
        <v>1</v>
      </c>
      <c r="J551" s="2"/>
      <c r="K551" s="2">
        <v>5316</v>
      </c>
      <c r="L551" s="35">
        <v>16743433.08</v>
      </c>
      <c r="M551" s="36">
        <v>100</v>
      </c>
      <c r="N551" s="40">
        <v>1022895.625</v>
      </c>
      <c r="O551" s="40">
        <v>78.125</v>
      </c>
      <c r="P551" s="40">
        <v>4964.375</v>
      </c>
      <c r="Q551" s="40">
        <v>1777.5</v>
      </c>
      <c r="R551" s="40">
        <v>58078.75</v>
      </c>
      <c r="S551" s="40">
        <v>221472.5</v>
      </c>
      <c r="T551" s="40">
        <v>30000</v>
      </c>
      <c r="U551" s="40">
        <v>854812.5</v>
      </c>
      <c r="V551" s="40">
        <v>0</v>
      </c>
      <c r="W551" s="45">
        <v>2194079.375</v>
      </c>
      <c r="X551" s="46">
        <v>13.1041188776322</v>
      </c>
    </row>
    <row r="552" spans="1:24" s="4" customFormat="1" ht="15" customHeight="1">
      <c r="A552" s="28" t="s">
        <v>1603</v>
      </c>
      <c r="B552" s="29">
        <v>3149.63</v>
      </c>
      <c r="C552" s="30" t="s">
        <v>1792</v>
      </c>
      <c r="D552" s="2">
        <v>4948771043</v>
      </c>
      <c r="E552" s="2" t="s">
        <v>14</v>
      </c>
      <c r="F552" s="2" t="s">
        <v>1793</v>
      </c>
      <c r="G552" s="28" t="s">
        <v>5</v>
      </c>
      <c r="H552" s="2" t="s">
        <v>17</v>
      </c>
      <c r="I552" s="2">
        <v>1</v>
      </c>
      <c r="J552" s="2" t="s">
        <v>1794</v>
      </c>
      <c r="K552" s="2">
        <v>6000.75</v>
      </c>
      <c r="L552" s="35">
        <v>18900142.2225</v>
      </c>
      <c r="M552" s="36">
        <v>1575</v>
      </c>
      <c r="N552" s="40">
        <v>24266.2579881657</v>
      </c>
      <c r="O552" s="40">
        <v>31987.001183431999</v>
      </c>
      <c r="P552" s="40">
        <v>22648.462721893498</v>
      </c>
      <c r="Q552" s="40">
        <v>7404.1029585798797</v>
      </c>
      <c r="R552" s="40">
        <v>49417.969230769202</v>
      </c>
      <c r="S552" s="40">
        <v>26419.441420118299</v>
      </c>
      <c r="T552" s="40">
        <v>30000</v>
      </c>
      <c r="U552" s="40">
        <v>420538.04733727803</v>
      </c>
      <c r="V552" s="40">
        <v>0</v>
      </c>
      <c r="W552" s="45">
        <v>612681.28284023702</v>
      </c>
      <c r="X552" s="46">
        <v>3.2416755155993502</v>
      </c>
    </row>
    <row r="553" spans="1:24" s="4" customFormat="1" ht="15" customHeight="1">
      <c r="A553" s="28" t="s">
        <v>1603</v>
      </c>
      <c r="B553" s="29">
        <v>3149.63</v>
      </c>
      <c r="C553" s="30" t="s">
        <v>1792</v>
      </c>
      <c r="D553" s="2">
        <v>4949286595</v>
      </c>
      <c r="E553" s="2" t="s">
        <v>14</v>
      </c>
      <c r="F553" s="2" t="s">
        <v>1793</v>
      </c>
      <c r="G553" s="28" t="s">
        <v>5</v>
      </c>
      <c r="H553" s="2" t="s">
        <v>17</v>
      </c>
      <c r="I553" s="2">
        <v>1</v>
      </c>
      <c r="J553" s="2" t="s">
        <v>1794</v>
      </c>
      <c r="K553" s="2">
        <v>7884</v>
      </c>
      <c r="L553" s="35">
        <v>24831682.920000002</v>
      </c>
      <c r="M553" s="36">
        <v>3600</v>
      </c>
      <c r="N553" s="40">
        <v>55465.732544378698</v>
      </c>
      <c r="O553" s="40">
        <v>73113.145562130201</v>
      </c>
      <c r="P553" s="40">
        <v>51767.914792899399</v>
      </c>
      <c r="Q553" s="40">
        <v>16923.6639053254</v>
      </c>
      <c r="R553" s="40">
        <v>112954.215384615</v>
      </c>
      <c r="S553" s="40">
        <v>60387.2946745562</v>
      </c>
      <c r="T553" s="40">
        <v>30000</v>
      </c>
      <c r="U553" s="40">
        <v>961229.822485207</v>
      </c>
      <c r="V553" s="40">
        <v>0</v>
      </c>
      <c r="W553" s="45">
        <v>1361841.7893491101</v>
      </c>
      <c r="X553" s="46">
        <v>5.4842911523014601</v>
      </c>
    </row>
    <row r="554" spans="1:24" s="4" customFormat="1" ht="15" customHeight="1">
      <c r="A554" s="28" t="s">
        <v>1603</v>
      </c>
      <c r="B554" s="29">
        <v>3149.63</v>
      </c>
      <c r="C554" s="30" t="s">
        <v>1792</v>
      </c>
      <c r="D554" s="2">
        <v>4949532987</v>
      </c>
      <c r="E554" s="2" t="s">
        <v>14</v>
      </c>
      <c r="F554" s="2" t="s">
        <v>1793</v>
      </c>
      <c r="G554" s="28" t="s">
        <v>5</v>
      </c>
      <c r="H554" s="2" t="s">
        <v>17</v>
      </c>
      <c r="I554" s="2">
        <v>1</v>
      </c>
      <c r="J554" s="2" t="s">
        <v>1794</v>
      </c>
      <c r="K554" s="2">
        <v>21168</v>
      </c>
      <c r="L554" s="35">
        <v>66671367.840000004</v>
      </c>
      <c r="M554" s="36">
        <v>5600</v>
      </c>
      <c r="N554" s="40">
        <v>86280.028402366894</v>
      </c>
      <c r="O554" s="40">
        <v>113731.559763314</v>
      </c>
      <c r="P554" s="40">
        <v>80527.867455621294</v>
      </c>
      <c r="Q554" s="40">
        <v>26325.699408283999</v>
      </c>
      <c r="R554" s="40">
        <v>175705.44615384599</v>
      </c>
      <c r="S554" s="40">
        <v>93935.791715976302</v>
      </c>
      <c r="T554" s="40">
        <v>30000</v>
      </c>
      <c r="U554" s="40">
        <v>1495246.3905325399</v>
      </c>
      <c r="V554" s="40">
        <v>0</v>
      </c>
      <c r="W554" s="45">
        <v>2101752.78343195</v>
      </c>
      <c r="X554" s="46">
        <v>3.1524068749808798</v>
      </c>
    </row>
    <row r="555" spans="1:24" s="4" customFormat="1" ht="15" customHeight="1">
      <c r="A555" s="28" t="s">
        <v>1603</v>
      </c>
      <c r="B555" s="29">
        <v>3149.63</v>
      </c>
      <c r="C555" s="30" t="s">
        <v>1792</v>
      </c>
      <c r="D555" s="2">
        <v>4949532981</v>
      </c>
      <c r="E555" s="2" t="s">
        <v>14</v>
      </c>
      <c r="F555" s="2" t="s">
        <v>1793</v>
      </c>
      <c r="G555" s="28" t="s">
        <v>5</v>
      </c>
      <c r="H555" s="2" t="s">
        <v>17</v>
      </c>
      <c r="I555" s="2">
        <v>1</v>
      </c>
      <c r="J555" s="2" t="s">
        <v>1794</v>
      </c>
      <c r="K555" s="2">
        <v>12096</v>
      </c>
      <c r="L555" s="35">
        <v>38097924.479999997</v>
      </c>
      <c r="M555" s="36">
        <v>5040</v>
      </c>
      <c r="N555" s="40">
        <v>77652.025562130206</v>
      </c>
      <c r="O555" s="40">
        <v>102358.403786982</v>
      </c>
      <c r="P555" s="40">
        <v>72475.080710059206</v>
      </c>
      <c r="Q555" s="40">
        <v>23693.129467455601</v>
      </c>
      <c r="R555" s="40">
        <v>158136.70153846199</v>
      </c>
      <c r="S555" s="40">
        <v>84542.212544378694</v>
      </c>
      <c r="T555" s="40">
        <v>30000</v>
      </c>
      <c r="U555" s="40">
        <v>1345721.75147929</v>
      </c>
      <c r="V555" s="40">
        <v>0</v>
      </c>
      <c r="W555" s="45">
        <v>1894579.3050887601</v>
      </c>
      <c r="X555" s="46">
        <v>4.9729199974747704</v>
      </c>
    </row>
    <row r="556" spans="1:24" s="4" customFormat="1" ht="15" customHeight="1">
      <c r="A556" s="28" t="s">
        <v>1603</v>
      </c>
      <c r="B556" s="29">
        <v>3149.63</v>
      </c>
      <c r="C556" s="30" t="s">
        <v>1792</v>
      </c>
      <c r="D556" s="2">
        <v>4949037255</v>
      </c>
      <c r="E556" s="2" t="s">
        <v>14</v>
      </c>
      <c r="F556" s="2" t="s">
        <v>1793</v>
      </c>
      <c r="G556" s="28" t="s">
        <v>5</v>
      </c>
      <c r="H556" s="2" t="s">
        <v>17</v>
      </c>
      <c r="I556" s="2">
        <v>1</v>
      </c>
      <c r="J556" s="2" t="s">
        <v>1794</v>
      </c>
      <c r="K556" s="2">
        <v>7668</v>
      </c>
      <c r="L556" s="35">
        <v>24151362.84</v>
      </c>
      <c r="M556" s="36">
        <v>1800</v>
      </c>
      <c r="N556" s="40">
        <v>27732.866272189302</v>
      </c>
      <c r="O556" s="40">
        <v>36556.572781065101</v>
      </c>
      <c r="P556" s="40">
        <v>25883.957396449699</v>
      </c>
      <c r="Q556" s="40">
        <v>8461.8319526627201</v>
      </c>
      <c r="R556" s="40">
        <v>56477.107692307698</v>
      </c>
      <c r="S556" s="40">
        <v>30193.6473372781</v>
      </c>
      <c r="T556" s="40">
        <v>30000</v>
      </c>
      <c r="U556" s="40">
        <v>480614.91124260402</v>
      </c>
      <c r="V556" s="40">
        <v>0</v>
      </c>
      <c r="W556" s="45">
        <v>695920.89467455703</v>
      </c>
      <c r="X556" s="46">
        <v>2.88149740983543</v>
      </c>
    </row>
    <row r="557" spans="1:24" s="4" customFormat="1" ht="15" customHeight="1">
      <c r="A557" s="28" t="s">
        <v>1603</v>
      </c>
      <c r="B557" s="29">
        <v>3149.63</v>
      </c>
      <c r="C557" s="30" t="s">
        <v>1792</v>
      </c>
      <c r="D557" s="2">
        <v>4949662090</v>
      </c>
      <c r="E557" s="2" t="s">
        <v>14</v>
      </c>
      <c r="F557" s="2" t="s">
        <v>1793</v>
      </c>
      <c r="G557" s="28" t="s">
        <v>5</v>
      </c>
      <c r="H557" s="2" t="s">
        <v>17</v>
      </c>
      <c r="I557" s="2">
        <v>1</v>
      </c>
      <c r="J557" s="2" t="s">
        <v>1794</v>
      </c>
      <c r="K557" s="2">
        <v>128.80000000000001</v>
      </c>
      <c r="L557" s="35">
        <v>405672.34399999998</v>
      </c>
      <c r="M557" s="36">
        <v>10</v>
      </c>
      <c r="N557" s="40">
        <v>154.07147928994101</v>
      </c>
      <c r="O557" s="40">
        <v>203.09207100591701</v>
      </c>
      <c r="P557" s="40">
        <v>143.79976331360899</v>
      </c>
      <c r="Q557" s="40">
        <v>47.0101775147929</v>
      </c>
      <c r="R557" s="40">
        <v>313.40615384615398</v>
      </c>
      <c r="S557" s="40">
        <v>167.742485207101</v>
      </c>
      <c r="T557" s="40">
        <v>30000</v>
      </c>
      <c r="U557" s="40">
        <v>2670.0828402366901</v>
      </c>
      <c r="V557" s="40">
        <v>0</v>
      </c>
      <c r="W557" s="45">
        <v>33699.204970414197</v>
      </c>
      <c r="X557" s="46">
        <v>8.3070008268579905</v>
      </c>
    </row>
    <row r="558" spans="1:24" s="4" customFormat="1" ht="15" customHeight="1">
      <c r="A558" s="28" t="s">
        <v>1603</v>
      </c>
      <c r="B558" s="29">
        <v>3149.63</v>
      </c>
      <c r="C558" s="30" t="s">
        <v>1792</v>
      </c>
      <c r="D558" s="2">
        <v>4948952403</v>
      </c>
      <c r="E558" s="2" t="s">
        <v>14</v>
      </c>
      <c r="F558" s="2" t="s">
        <v>1793</v>
      </c>
      <c r="G558" s="28" t="s">
        <v>5</v>
      </c>
      <c r="H558" s="2" t="s">
        <v>17</v>
      </c>
      <c r="I558" s="2">
        <v>1</v>
      </c>
      <c r="J558" s="2" t="s">
        <v>1794</v>
      </c>
      <c r="K558" s="2">
        <v>35035</v>
      </c>
      <c r="L558" s="35">
        <v>110347287.05</v>
      </c>
      <c r="M558" s="36">
        <v>3500</v>
      </c>
      <c r="N558" s="40">
        <v>53925.017751479303</v>
      </c>
      <c r="O558" s="40">
        <v>71082.224852070998</v>
      </c>
      <c r="P558" s="40">
        <v>50329.917159763303</v>
      </c>
      <c r="Q558" s="40">
        <v>16453.562130177499</v>
      </c>
      <c r="R558" s="40">
        <v>109817.153846154</v>
      </c>
      <c r="S558" s="40">
        <v>58709.869822485198</v>
      </c>
      <c r="T558" s="40">
        <v>30000</v>
      </c>
      <c r="U558" s="40">
        <v>934528.99408284004</v>
      </c>
      <c r="V558" s="40">
        <v>0</v>
      </c>
      <c r="W558" s="45">
        <v>1324846.73964497</v>
      </c>
      <c r="X558" s="46">
        <v>1.20061559741352</v>
      </c>
    </row>
    <row r="559" spans="1:24" s="4" customFormat="1" ht="15" customHeight="1">
      <c r="A559" s="28" t="s">
        <v>1603</v>
      </c>
      <c r="B559" s="29">
        <v>3149.63</v>
      </c>
      <c r="C559" s="30" t="s">
        <v>1798</v>
      </c>
      <c r="D559" s="2">
        <v>4948494930</v>
      </c>
      <c r="E559" s="2" t="s">
        <v>14</v>
      </c>
      <c r="F559" s="2" t="s">
        <v>1799</v>
      </c>
      <c r="G559" s="28" t="s">
        <v>13</v>
      </c>
      <c r="H559" s="2" t="s">
        <v>23</v>
      </c>
      <c r="I559" s="2">
        <v>1</v>
      </c>
      <c r="J559" s="2"/>
      <c r="K559" s="2">
        <v>550.79999999999995</v>
      </c>
      <c r="L559" s="35">
        <v>1734816.2039999999</v>
      </c>
      <c r="M559" s="36">
        <v>2</v>
      </c>
      <c r="N559" s="40">
        <v>409987</v>
      </c>
      <c r="O559" s="40">
        <v>0</v>
      </c>
      <c r="P559" s="40">
        <v>0</v>
      </c>
      <c r="Q559" s="40">
        <v>0</v>
      </c>
      <c r="R559" s="40">
        <v>1640</v>
      </c>
      <c r="S559" s="40">
        <v>354356</v>
      </c>
      <c r="T559" s="40">
        <v>30000</v>
      </c>
      <c r="U559" s="40">
        <v>246380</v>
      </c>
      <c r="V559" s="40">
        <v>0</v>
      </c>
      <c r="W559" s="45">
        <v>1042363</v>
      </c>
      <c r="X559" s="46">
        <v>60.0849241318246</v>
      </c>
    </row>
    <row r="560" spans="1:24" s="4" customFormat="1" ht="15" customHeight="1">
      <c r="A560" s="28" t="s">
        <v>1603</v>
      </c>
      <c r="B560" s="29">
        <v>3149.63</v>
      </c>
      <c r="C560" s="30" t="s">
        <v>1800</v>
      </c>
      <c r="D560" s="2">
        <v>4950215959</v>
      </c>
      <c r="E560" s="2" t="s">
        <v>14</v>
      </c>
      <c r="F560" s="78" t="s">
        <v>1801</v>
      </c>
      <c r="G560" s="28" t="s">
        <v>13</v>
      </c>
      <c r="H560" s="2" t="s">
        <v>23</v>
      </c>
      <c r="I560" s="2">
        <v>1</v>
      </c>
      <c r="J560" s="2"/>
      <c r="K560" s="2">
        <v>975.6</v>
      </c>
      <c r="L560" s="35">
        <v>3072779.0279999999</v>
      </c>
      <c r="M560" s="36">
        <v>20</v>
      </c>
      <c r="N560" s="40">
        <v>142899.91</v>
      </c>
      <c r="O560" s="40">
        <v>0</v>
      </c>
      <c r="P560" s="40">
        <v>0</v>
      </c>
      <c r="Q560" s="40">
        <v>0</v>
      </c>
      <c r="R560" s="40">
        <v>572</v>
      </c>
      <c r="S560" s="40">
        <v>354356</v>
      </c>
      <c r="T560" s="40">
        <v>30000</v>
      </c>
      <c r="U560" s="40">
        <v>9297.3584905660391</v>
      </c>
      <c r="V560" s="40">
        <v>0</v>
      </c>
      <c r="W560" s="45">
        <v>537125.26849056606</v>
      </c>
      <c r="X560" s="46">
        <v>17.480113721036702</v>
      </c>
    </row>
    <row r="561" spans="1:24" s="4" customFormat="1" ht="15" customHeight="1">
      <c r="A561" s="28" t="s">
        <v>1603</v>
      </c>
      <c r="B561" s="29">
        <v>3149.63</v>
      </c>
      <c r="C561" s="30" t="s">
        <v>1802</v>
      </c>
      <c r="D561" s="2">
        <v>4949590094</v>
      </c>
      <c r="E561" s="2" t="s">
        <v>14</v>
      </c>
      <c r="F561" s="78" t="s">
        <v>1803</v>
      </c>
      <c r="G561" s="28" t="s">
        <v>13</v>
      </c>
      <c r="H561" s="2" t="s">
        <v>23</v>
      </c>
      <c r="I561" s="2">
        <v>2</v>
      </c>
      <c r="J561" s="2"/>
      <c r="K561" s="2">
        <v>4092.8</v>
      </c>
      <c r="L561" s="35">
        <v>12890805.664000001</v>
      </c>
      <c r="M561" s="36">
        <v>40</v>
      </c>
      <c r="N561" s="40">
        <v>169464.8</v>
      </c>
      <c r="O561" s="40">
        <v>0</v>
      </c>
      <c r="P561" s="40">
        <v>0</v>
      </c>
      <c r="Q561" s="40">
        <v>0</v>
      </c>
      <c r="R561" s="40">
        <v>1600</v>
      </c>
      <c r="S561" s="40">
        <v>283484.79999999999</v>
      </c>
      <c r="T561" s="40">
        <v>30000</v>
      </c>
      <c r="U561" s="40">
        <v>18594.7169811321</v>
      </c>
      <c r="V561" s="40">
        <v>0</v>
      </c>
      <c r="W561" s="45">
        <v>503144.31698113203</v>
      </c>
      <c r="X561" s="46">
        <v>3.9031254530991601</v>
      </c>
    </row>
    <row r="562" spans="1:24" s="4" customFormat="1" ht="15" customHeight="1">
      <c r="A562" s="28" t="s">
        <v>1603</v>
      </c>
      <c r="B562" s="29">
        <v>3149.63</v>
      </c>
      <c r="C562" s="30" t="s">
        <v>1802</v>
      </c>
      <c r="D562" s="2">
        <v>4949654736</v>
      </c>
      <c r="E562" s="2" t="s">
        <v>14</v>
      </c>
      <c r="F562" s="78" t="s">
        <v>1803</v>
      </c>
      <c r="G562" s="28" t="s">
        <v>13</v>
      </c>
      <c r="H562" s="2" t="s">
        <v>23</v>
      </c>
      <c r="I562" s="2">
        <v>2</v>
      </c>
      <c r="J562" s="2"/>
      <c r="K562" s="2">
        <v>708.6</v>
      </c>
      <c r="L562" s="35">
        <v>2231827.818</v>
      </c>
      <c r="M562" s="36">
        <v>10</v>
      </c>
      <c r="N562" s="40">
        <v>42366.2</v>
      </c>
      <c r="O562" s="40">
        <v>0</v>
      </c>
      <c r="P562" s="40">
        <v>0</v>
      </c>
      <c r="Q562" s="40">
        <v>0</v>
      </c>
      <c r="R562" s="40">
        <v>400</v>
      </c>
      <c r="S562" s="40">
        <v>70871.199999999997</v>
      </c>
      <c r="T562" s="40">
        <v>30000</v>
      </c>
      <c r="U562" s="40">
        <v>4648.6792452830196</v>
      </c>
      <c r="V562" s="40">
        <v>0</v>
      </c>
      <c r="W562" s="45">
        <v>148286.07924528301</v>
      </c>
      <c r="X562" s="46">
        <v>6.6441540897257099</v>
      </c>
    </row>
    <row r="563" spans="1:24" s="4" customFormat="1" ht="15" customHeight="1">
      <c r="A563" s="28" t="s">
        <v>1603</v>
      </c>
      <c r="B563" s="29">
        <v>3149.63</v>
      </c>
      <c r="C563" s="30" t="s">
        <v>1804</v>
      </c>
      <c r="D563" s="2">
        <v>4950041581</v>
      </c>
      <c r="E563" s="2" t="s">
        <v>14</v>
      </c>
      <c r="F563" s="78" t="s">
        <v>1805</v>
      </c>
      <c r="G563" s="28" t="s">
        <v>13</v>
      </c>
      <c r="H563" s="2" t="s">
        <v>23</v>
      </c>
      <c r="I563" s="2">
        <v>1</v>
      </c>
      <c r="J563" s="2"/>
      <c r="K563" s="2">
        <v>12783</v>
      </c>
      <c r="L563" s="35">
        <v>40261720.289999999</v>
      </c>
      <c r="M563" s="36">
        <v>300</v>
      </c>
      <c r="N563" s="40">
        <v>432818</v>
      </c>
      <c r="O563" s="40">
        <v>0</v>
      </c>
      <c r="P563" s="40">
        <v>0</v>
      </c>
      <c r="Q563" s="40">
        <v>0</v>
      </c>
      <c r="R563" s="40">
        <v>5000</v>
      </c>
      <c r="S563" s="40">
        <v>354356</v>
      </c>
      <c r="T563" s="40">
        <v>30000</v>
      </c>
      <c r="U563" s="40">
        <v>139460.37735849101</v>
      </c>
      <c r="V563" s="40">
        <v>0</v>
      </c>
      <c r="W563" s="45">
        <v>961634.37735849095</v>
      </c>
      <c r="X563" s="46">
        <v>2.38845824379078</v>
      </c>
    </row>
    <row r="564" spans="1:24" s="4" customFormat="1" ht="15" customHeight="1">
      <c r="A564" s="28" t="s">
        <v>1603</v>
      </c>
      <c r="B564" s="29">
        <v>3149.63</v>
      </c>
      <c r="C564" s="30" t="s">
        <v>1806</v>
      </c>
      <c r="D564" s="2">
        <v>4950041582</v>
      </c>
      <c r="E564" s="2" t="s">
        <v>14</v>
      </c>
      <c r="F564" s="78" t="s">
        <v>1807</v>
      </c>
      <c r="G564" s="28" t="s">
        <v>13</v>
      </c>
      <c r="H564" s="2" t="s">
        <v>23</v>
      </c>
      <c r="I564" s="2">
        <v>3</v>
      </c>
      <c r="J564" s="2"/>
      <c r="K564" s="2">
        <v>783</v>
      </c>
      <c r="L564" s="35">
        <v>2466160.29</v>
      </c>
      <c r="M564" s="36">
        <v>20</v>
      </c>
      <c r="N564" s="40">
        <v>131254</v>
      </c>
      <c r="O564" s="40">
        <v>0</v>
      </c>
      <c r="P564" s="40">
        <v>0</v>
      </c>
      <c r="Q564" s="40">
        <v>0</v>
      </c>
      <c r="R564" s="40">
        <v>1000</v>
      </c>
      <c r="S564" s="40">
        <v>177178</v>
      </c>
      <c r="T564" s="40">
        <v>30000</v>
      </c>
      <c r="U564" s="40">
        <v>9297.3584905660391</v>
      </c>
      <c r="V564" s="40">
        <v>0</v>
      </c>
      <c r="W564" s="45">
        <v>348729.35849056602</v>
      </c>
      <c r="X564" s="46">
        <v>14.140579584572199</v>
      </c>
    </row>
    <row r="565" spans="1:24" s="4" customFormat="1" ht="15" customHeight="1">
      <c r="A565" s="28" t="s">
        <v>1603</v>
      </c>
      <c r="B565" s="29">
        <v>3149.63</v>
      </c>
      <c r="C565" s="30" t="s">
        <v>1806</v>
      </c>
      <c r="D565" s="2">
        <v>4950089544</v>
      </c>
      <c r="E565" s="2" t="s">
        <v>14</v>
      </c>
      <c r="F565" s="78" t="s">
        <v>1807</v>
      </c>
      <c r="G565" s="28" t="s">
        <v>13</v>
      </c>
      <c r="H565" s="2" t="s">
        <v>23</v>
      </c>
      <c r="I565" s="2">
        <v>3</v>
      </c>
      <c r="J565" s="2"/>
      <c r="K565" s="2">
        <v>391.5</v>
      </c>
      <c r="L565" s="35">
        <v>1233080.145</v>
      </c>
      <c r="M565" s="36">
        <v>10</v>
      </c>
      <c r="N565" s="40">
        <v>65627</v>
      </c>
      <c r="O565" s="40">
        <v>0</v>
      </c>
      <c r="P565" s="40">
        <v>0</v>
      </c>
      <c r="Q565" s="40">
        <v>0</v>
      </c>
      <c r="R565" s="40">
        <v>500</v>
      </c>
      <c r="S565" s="40">
        <v>88589</v>
      </c>
      <c r="T565" s="40">
        <v>30000</v>
      </c>
      <c r="U565" s="40">
        <v>4648.6792452830196</v>
      </c>
      <c r="V565" s="40">
        <v>0</v>
      </c>
      <c r="W565" s="45">
        <v>189364.67924528301</v>
      </c>
      <c r="X565" s="46">
        <v>15.357045526451399</v>
      </c>
    </row>
    <row r="566" spans="1:24" s="4" customFormat="1" ht="15" customHeight="1">
      <c r="A566" s="28" t="s">
        <v>1603</v>
      </c>
      <c r="B566" s="29">
        <v>3149.63</v>
      </c>
      <c r="C566" s="30" t="s">
        <v>1806</v>
      </c>
      <c r="D566" s="2">
        <v>4950089532</v>
      </c>
      <c r="E566" s="2" t="s">
        <v>14</v>
      </c>
      <c r="F566" s="78" t="s">
        <v>1807</v>
      </c>
      <c r="G566" s="28" t="s">
        <v>13</v>
      </c>
      <c r="H566" s="2" t="s">
        <v>23</v>
      </c>
      <c r="I566" s="2">
        <v>3</v>
      </c>
      <c r="J566" s="2"/>
      <c r="K566" s="2">
        <v>708.6</v>
      </c>
      <c r="L566" s="35">
        <v>2231827.818</v>
      </c>
      <c r="M566" s="36">
        <v>10</v>
      </c>
      <c r="N566" s="40">
        <v>65627</v>
      </c>
      <c r="O566" s="40">
        <v>0</v>
      </c>
      <c r="P566" s="40">
        <v>0</v>
      </c>
      <c r="Q566" s="40">
        <v>0</v>
      </c>
      <c r="R566" s="40">
        <v>500</v>
      </c>
      <c r="S566" s="40">
        <v>88589</v>
      </c>
      <c r="T566" s="40">
        <v>30000</v>
      </c>
      <c r="U566" s="40">
        <v>4648.6792452830196</v>
      </c>
      <c r="V566" s="40">
        <v>0</v>
      </c>
      <c r="W566" s="45">
        <v>189364.67924528301</v>
      </c>
      <c r="X566" s="46">
        <v>8.4847351448006307</v>
      </c>
    </row>
    <row r="567" spans="1:24" s="4" customFormat="1" ht="15" customHeight="1">
      <c r="A567" s="28" t="s">
        <v>1603</v>
      </c>
      <c r="B567" s="29">
        <v>3149.63</v>
      </c>
      <c r="C567" s="30" t="s">
        <v>1808</v>
      </c>
      <c r="D567" s="2">
        <v>4949192140</v>
      </c>
      <c r="E567" s="2" t="s">
        <v>14</v>
      </c>
      <c r="F567" s="2" t="s">
        <v>1809</v>
      </c>
      <c r="G567" s="28" t="s">
        <v>9</v>
      </c>
      <c r="H567" s="2" t="s">
        <v>23</v>
      </c>
      <c r="I567" s="2">
        <v>1</v>
      </c>
      <c r="J567" s="2"/>
      <c r="K567" s="2">
        <v>1848</v>
      </c>
      <c r="L567" s="35">
        <v>5820516.2400000002</v>
      </c>
      <c r="M567" s="36">
        <v>840</v>
      </c>
      <c r="N567" s="40">
        <v>478229</v>
      </c>
      <c r="O567" s="40">
        <v>566</v>
      </c>
      <c r="P567" s="40">
        <v>0</v>
      </c>
      <c r="Q567" s="40">
        <v>14189</v>
      </c>
      <c r="R567" s="40">
        <v>96776</v>
      </c>
      <c r="S567" s="40">
        <v>354356</v>
      </c>
      <c r="T567" s="40">
        <v>30000</v>
      </c>
      <c r="U567" s="40">
        <v>533278.53881278494</v>
      </c>
      <c r="V567" s="40">
        <v>0</v>
      </c>
      <c r="W567" s="45">
        <v>1507394.5388127801</v>
      </c>
      <c r="X567" s="46">
        <v>25.897952632682401</v>
      </c>
    </row>
    <row r="568" spans="1:24" s="4" customFormat="1" ht="15" customHeight="1">
      <c r="A568" s="28" t="s">
        <v>1603</v>
      </c>
      <c r="B568" s="29">
        <v>3149.63</v>
      </c>
      <c r="C568" s="30" t="s">
        <v>1816</v>
      </c>
      <c r="D568" s="2">
        <v>4949331871</v>
      </c>
      <c r="E568" s="2" t="s">
        <v>14</v>
      </c>
      <c r="F568" s="2" t="s">
        <v>1817</v>
      </c>
      <c r="G568" s="28" t="s">
        <v>5</v>
      </c>
      <c r="H568" s="2" t="s">
        <v>20</v>
      </c>
      <c r="I568" s="2">
        <v>1</v>
      </c>
      <c r="J568" s="2" t="s">
        <v>1818</v>
      </c>
      <c r="K568" s="2">
        <v>123336</v>
      </c>
      <c r="L568" s="35">
        <v>388462765.68000001</v>
      </c>
      <c r="M568" s="36">
        <v>7200</v>
      </c>
      <c r="N568" s="40">
        <v>325476</v>
      </c>
      <c r="O568" s="40">
        <v>327035</v>
      </c>
      <c r="P568" s="40">
        <v>0</v>
      </c>
      <c r="Q568" s="40">
        <v>99309</v>
      </c>
      <c r="R568" s="40">
        <v>539263</v>
      </c>
      <c r="S568" s="40">
        <v>354356</v>
      </c>
      <c r="T568" s="40">
        <v>30000</v>
      </c>
      <c r="U568" s="40">
        <v>2900300</v>
      </c>
      <c r="V568" s="40">
        <v>0</v>
      </c>
      <c r="W568" s="45">
        <v>4575739</v>
      </c>
      <c r="X568" s="46">
        <v>1.1779092886779601</v>
      </c>
    </row>
    <row r="569" spans="1:24" s="4" customFormat="1" ht="15" customHeight="1">
      <c r="A569" s="28" t="s">
        <v>1603</v>
      </c>
      <c r="B569" s="29">
        <v>3149.63</v>
      </c>
      <c r="C569" s="30" t="s">
        <v>1822</v>
      </c>
      <c r="D569" s="2">
        <v>4948952405</v>
      </c>
      <c r="E569" s="2" t="s">
        <v>14</v>
      </c>
      <c r="F569" s="2" t="s">
        <v>1823</v>
      </c>
      <c r="G569" s="28" t="s">
        <v>5</v>
      </c>
      <c r="H569" s="2" t="s">
        <v>20</v>
      </c>
      <c r="I569" s="2">
        <v>1</v>
      </c>
      <c r="J569" s="2" t="s">
        <v>1824</v>
      </c>
      <c r="K569" s="2">
        <v>37800</v>
      </c>
      <c r="L569" s="35">
        <v>119056014</v>
      </c>
      <c r="M569" s="36">
        <v>9000</v>
      </c>
      <c r="N569" s="40">
        <v>325476</v>
      </c>
      <c r="O569" s="40">
        <v>327035</v>
      </c>
      <c r="P569" s="40">
        <v>0</v>
      </c>
      <c r="Q569" s="40">
        <v>99309</v>
      </c>
      <c r="R569" s="40">
        <v>539264</v>
      </c>
      <c r="S569" s="40">
        <v>354356</v>
      </c>
      <c r="T569" s="40">
        <v>30000</v>
      </c>
      <c r="U569" s="40">
        <v>3501700</v>
      </c>
      <c r="V569" s="40">
        <v>0</v>
      </c>
      <c r="W569" s="45">
        <v>5177140</v>
      </c>
      <c r="X569" s="46">
        <v>4.3484909548542401</v>
      </c>
    </row>
    <row r="570" spans="1:24" s="4" customFormat="1" ht="15" customHeight="1">
      <c r="A570" s="28" t="s">
        <v>1603</v>
      </c>
      <c r="B570" s="29">
        <v>3149.63</v>
      </c>
      <c r="C570" s="30" t="s">
        <v>1834</v>
      </c>
      <c r="D570" s="2">
        <v>4949162086</v>
      </c>
      <c r="E570" s="2" t="s">
        <v>14</v>
      </c>
      <c r="F570" s="2" t="s">
        <v>1835</v>
      </c>
      <c r="G570" s="28" t="s">
        <v>5</v>
      </c>
      <c r="H570" s="2" t="s">
        <v>20</v>
      </c>
      <c r="I570" s="2">
        <v>1</v>
      </c>
      <c r="J570" s="2" t="s">
        <v>1836</v>
      </c>
      <c r="K570" s="2">
        <v>30996</v>
      </c>
      <c r="L570" s="35">
        <v>97625931.480000004</v>
      </c>
      <c r="M570" s="36">
        <v>16400</v>
      </c>
      <c r="N570" s="40">
        <v>467148</v>
      </c>
      <c r="O570" s="40">
        <v>327035</v>
      </c>
      <c r="P570" s="40">
        <v>0</v>
      </c>
      <c r="Q570" s="40">
        <v>99309</v>
      </c>
      <c r="R570" s="40">
        <v>628147</v>
      </c>
      <c r="S570" s="40">
        <v>354356</v>
      </c>
      <c r="T570" s="40">
        <v>30000</v>
      </c>
      <c r="U570" s="40">
        <v>3928500</v>
      </c>
      <c r="V570" s="40">
        <v>0</v>
      </c>
      <c r="W570" s="45">
        <v>5834495</v>
      </c>
      <c r="X570" s="46">
        <v>5.9763783162420099</v>
      </c>
    </row>
    <row r="571" spans="1:24" s="4" customFormat="1" ht="15" customHeight="1">
      <c r="A571" s="28" t="s">
        <v>1603</v>
      </c>
      <c r="B571" s="29">
        <v>3149.63</v>
      </c>
      <c r="C571" s="30" t="s">
        <v>1840</v>
      </c>
      <c r="D571" s="2">
        <v>4947917129</v>
      </c>
      <c r="E571" s="2" t="s">
        <v>14</v>
      </c>
      <c r="F571" s="2" t="s">
        <v>1841</v>
      </c>
      <c r="G571" s="28" t="s">
        <v>9</v>
      </c>
      <c r="H571" s="2" t="s">
        <v>23</v>
      </c>
      <c r="I571" s="2">
        <v>12</v>
      </c>
      <c r="J571" s="2"/>
      <c r="K571" s="2">
        <v>5920</v>
      </c>
      <c r="L571" s="35">
        <v>18645809.600000001</v>
      </c>
      <c r="M571" s="36">
        <v>4000</v>
      </c>
      <c r="N571" s="40">
        <v>605257.93991416297</v>
      </c>
      <c r="O571" s="40">
        <v>2754.0772532188798</v>
      </c>
      <c r="P571" s="40">
        <v>758804.72103004297</v>
      </c>
      <c r="Q571" s="40">
        <v>84649.7854077253</v>
      </c>
      <c r="R571" s="40">
        <v>137630.90128755401</v>
      </c>
      <c r="S571" s="40">
        <v>152084.120171674</v>
      </c>
      <c r="T571" s="40">
        <v>30000</v>
      </c>
      <c r="U571" s="40">
        <v>1184943.18181818</v>
      </c>
      <c r="V571" s="40">
        <v>0</v>
      </c>
      <c r="W571" s="45">
        <v>2956124.7268825602</v>
      </c>
      <c r="X571" s="46">
        <v>15.854096927400599</v>
      </c>
    </row>
    <row r="572" spans="1:24" s="4" customFormat="1" ht="15" customHeight="1">
      <c r="A572" s="28" t="s">
        <v>1603</v>
      </c>
      <c r="B572" s="29">
        <v>3149.63</v>
      </c>
      <c r="C572" s="30" t="s">
        <v>1840</v>
      </c>
      <c r="D572" s="2">
        <v>4949309838</v>
      </c>
      <c r="E572" s="2" t="s">
        <v>14</v>
      </c>
      <c r="F572" s="2" t="s">
        <v>1841</v>
      </c>
      <c r="G572" s="28" t="s">
        <v>9</v>
      </c>
      <c r="H572" s="2" t="s">
        <v>23</v>
      </c>
      <c r="I572" s="2">
        <v>12</v>
      </c>
      <c r="J572" s="2"/>
      <c r="K572" s="2">
        <v>11225.2</v>
      </c>
      <c r="L572" s="35">
        <v>35355226.675999999</v>
      </c>
      <c r="M572" s="36">
        <v>5320</v>
      </c>
      <c r="N572" s="40">
        <v>804993.06008583703</v>
      </c>
      <c r="O572" s="40">
        <v>3662.9227467811202</v>
      </c>
      <c r="P572" s="40">
        <v>1009210.2789699601</v>
      </c>
      <c r="Q572" s="40">
        <v>112584.21459227501</v>
      </c>
      <c r="R572" s="40">
        <v>183049.09871244599</v>
      </c>
      <c r="S572" s="40">
        <v>202271.879828326</v>
      </c>
      <c r="T572" s="40">
        <v>30000</v>
      </c>
      <c r="U572" s="40">
        <v>2085500</v>
      </c>
      <c r="V572" s="40">
        <v>0</v>
      </c>
      <c r="W572" s="45">
        <v>4431271.4549356299</v>
      </c>
      <c r="X572" s="46">
        <v>12.533568220462501</v>
      </c>
    </row>
    <row r="573" spans="1:24" s="4" customFormat="1" ht="15" customHeight="1">
      <c r="A573" s="28" t="s">
        <v>1603</v>
      </c>
      <c r="B573" s="29">
        <v>3149.63</v>
      </c>
      <c r="C573" s="30" t="s">
        <v>1842</v>
      </c>
      <c r="D573" s="2">
        <v>4949331209</v>
      </c>
      <c r="E573" s="2" t="s">
        <v>14</v>
      </c>
      <c r="F573" s="2" t="s">
        <v>1843</v>
      </c>
      <c r="G573" s="28" t="s">
        <v>5</v>
      </c>
      <c r="H573" s="2" t="s">
        <v>20</v>
      </c>
      <c r="I573" s="2">
        <v>1</v>
      </c>
      <c r="J573" s="2" t="s">
        <v>1844</v>
      </c>
      <c r="K573" s="2">
        <v>15040</v>
      </c>
      <c r="L573" s="35">
        <v>47370435.200000003</v>
      </c>
      <c r="M573" s="36">
        <v>16000</v>
      </c>
      <c r="N573" s="40">
        <v>460533</v>
      </c>
      <c r="O573" s="40">
        <v>327035</v>
      </c>
      <c r="P573" s="40">
        <v>205414</v>
      </c>
      <c r="Q573" s="40">
        <v>99309</v>
      </c>
      <c r="R573" s="40">
        <v>619188</v>
      </c>
      <c r="S573" s="40">
        <v>354356</v>
      </c>
      <c r="T573" s="40">
        <v>30000</v>
      </c>
      <c r="U573" s="40">
        <v>0</v>
      </c>
      <c r="V573" s="40">
        <v>0</v>
      </c>
      <c r="W573" s="45">
        <v>2095835</v>
      </c>
      <c r="X573" s="46">
        <v>4.4243524281575501</v>
      </c>
    </row>
    <row r="574" spans="1:24" s="4" customFormat="1" ht="15" customHeight="1">
      <c r="A574" s="28" t="s">
        <v>1603</v>
      </c>
      <c r="B574" s="29">
        <v>3149.63</v>
      </c>
      <c r="C574" s="30" t="s">
        <v>1845</v>
      </c>
      <c r="D574" s="2">
        <v>4949417457</v>
      </c>
      <c r="E574" s="2" t="s">
        <v>14</v>
      </c>
      <c r="F574" s="2" t="s">
        <v>1846</v>
      </c>
      <c r="G574" s="28" t="s">
        <v>9</v>
      </c>
      <c r="H574" s="2" t="s">
        <v>23</v>
      </c>
      <c r="I574" s="2">
        <v>1</v>
      </c>
      <c r="J574" s="2"/>
      <c r="K574" s="2">
        <v>1327.36</v>
      </c>
      <c r="L574" s="35">
        <v>4180692.8768000002</v>
      </c>
      <c r="M574" s="36">
        <v>1088</v>
      </c>
      <c r="N574" s="40">
        <v>595339</v>
      </c>
      <c r="O574" s="40">
        <v>724</v>
      </c>
      <c r="P574" s="40">
        <v>0</v>
      </c>
      <c r="Q574" s="40">
        <v>23035</v>
      </c>
      <c r="R574" s="40">
        <v>100347</v>
      </c>
      <c r="S574" s="40">
        <v>354356</v>
      </c>
      <c r="T574" s="40">
        <v>30000</v>
      </c>
      <c r="U574" s="40">
        <v>623139.69849246205</v>
      </c>
      <c r="V574" s="40">
        <v>0</v>
      </c>
      <c r="W574" s="45">
        <v>1726940.69849246</v>
      </c>
      <c r="X574" s="46">
        <v>41.307523642212701</v>
      </c>
    </row>
    <row r="575" spans="1:24" s="4" customFormat="1" ht="15" customHeight="1">
      <c r="A575" s="28" t="s">
        <v>1603</v>
      </c>
      <c r="B575" s="29">
        <v>3149.63</v>
      </c>
      <c r="C575" s="30" t="s">
        <v>1850</v>
      </c>
      <c r="D575" s="2">
        <v>4949331209</v>
      </c>
      <c r="E575" s="2" t="s">
        <v>14</v>
      </c>
      <c r="F575" s="2" t="s">
        <v>1851</v>
      </c>
      <c r="G575" s="28" t="s">
        <v>5</v>
      </c>
      <c r="H575" s="2" t="s">
        <v>20</v>
      </c>
      <c r="I575" s="2">
        <v>1</v>
      </c>
      <c r="J575" s="2" t="s">
        <v>1852</v>
      </c>
      <c r="K575" s="2">
        <v>15040</v>
      </c>
      <c r="L575" s="35">
        <v>47370435.200000003</v>
      </c>
      <c r="M575" s="36">
        <v>16000</v>
      </c>
      <c r="N575" s="40">
        <v>460533</v>
      </c>
      <c r="O575" s="40">
        <v>327035</v>
      </c>
      <c r="P575" s="40">
        <v>205414</v>
      </c>
      <c r="Q575" s="40">
        <v>99309</v>
      </c>
      <c r="R575" s="40">
        <v>619188</v>
      </c>
      <c r="S575" s="40">
        <v>354356</v>
      </c>
      <c r="T575" s="40">
        <v>30000</v>
      </c>
      <c r="U575" s="40">
        <v>0</v>
      </c>
      <c r="V575" s="40">
        <v>0</v>
      </c>
      <c r="W575" s="45">
        <v>2095835</v>
      </c>
      <c r="X575" s="46">
        <v>4.4243524281575501</v>
      </c>
    </row>
    <row r="576" spans="1:24" s="4" customFormat="1" ht="15" customHeight="1">
      <c r="A576" s="28" t="s">
        <v>1603</v>
      </c>
      <c r="B576" s="29">
        <v>3149.63</v>
      </c>
      <c r="C576" s="30" t="s">
        <v>1866</v>
      </c>
      <c r="D576" s="2">
        <v>4949591597</v>
      </c>
      <c r="E576" s="2" t="s">
        <v>14</v>
      </c>
      <c r="F576" s="2" t="s">
        <v>1867</v>
      </c>
      <c r="G576" s="28" t="s">
        <v>5</v>
      </c>
      <c r="H576" s="2" t="s">
        <v>20</v>
      </c>
      <c r="I576" s="2">
        <v>1</v>
      </c>
      <c r="J576" s="2" t="s">
        <v>1868</v>
      </c>
      <c r="K576" s="2">
        <v>22860</v>
      </c>
      <c r="L576" s="35">
        <v>72000541.799999997</v>
      </c>
      <c r="M576" s="36">
        <v>18000</v>
      </c>
      <c r="N576" s="40">
        <v>467148</v>
      </c>
      <c r="O576" s="40">
        <v>327035</v>
      </c>
      <c r="P576" s="40">
        <v>0</v>
      </c>
      <c r="Q576" s="40">
        <v>99309</v>
      </c>
      <c r="R576" s="40">
        <v>626859</v>
      </c>
      <c r="S576" s="40">
        <v>354356</v>
      </c>
      <c r="T576" s="40">
        <v>30000</v>
      </c>
      <c r="U576" s="40">
        <v>5014900</v>
      </c>
      <c r="V576" s="40">
        <v>0</v>
      </c>
      <c r="W576" s="45">
        <v>6919607</v>
      </c>
      <c r="X576" s="46">
        <v>9.6104929588182593</v>
      </c>
    </row>
    <row r="577" spans="1:24" s="4" customFormat="1" ht="15" customHeight="1">
      <c r="A577" s="28" t="s">
        <v>1603</v>
      </c>
      <c r="B577" s="29">
        <v>3149.63</v>
      </c>
      <c r="C577" s="30" t="s">
        <v>1875</v>
      </c>
      <c r="D577" s="2">
        <v>4949591595</v>
      </c>
      <c r="E577" s="2" t="s">
        <v>14</v>
      </c>
      <c r="F577" s="2" t="s">
        <v>1876</v>
      </c>
      <c r="G577" s="28" t="s">
        <v>5</v>
      </c>
      <c r="H577" s="2" t="s">
        <v>32</v>
      </c>
      <c r="I577" s="2">
        <v>1</v>
      </c>
      <c r="J577" s="2" t="s">
        <v>1877</v>
      </c>
      <c r="K577" s="2">
        <v>18480</v>
      </c>
      <c r="L577" s="35">
        <v>58205162.399999999</v>
      </c>
      <c r="M577" s="36">
        <v>420</v>
      </c>
      <c r="N577" s="40">
        <v>48475.148936170197</v>
      </c>
      <c r="O577" s="40">
        <v>48707.340425531896</v>
      </c>
      <c r="P577" s="40">
        <v>0</v>
      </c>
      <c r="Q577" s="40">
        <v>14790.702127659601</v>
      </c>
      <c r="R577" s="40">
        <v>214736.08510638299</v>
      </c>
      <c r="S577" s="40">
        <v>52776.425531914902</v>
      </c>
      <c r="T577" s="40">
        <v>30000</v>
      </c>
      <c r="U577" s="40">
        <v>813248.68085106404</v>
      </c>
      <c r="V577" s="40">
        <v>0</v>
      </c>
      <c r="W577" s="45">
        <v>1222734.3829787199</v>
      </c>
      <c r="X577" s="46">
        <v>2.1007318467317302</v>
      </c>
    </row>
    <row r="578" spans="1:24" s="4" customFormat="1" ht="15" customHeight="1">
      <c r="A578" s="28" t="s">
        <v>1603</v>
      </c>
      <c r="B578" s="29">
        <v>3149.63</v>
      </c>
      <c r="C578" s="30" t="s">
        <v>1885</v>
      </c>
      <c r="D578" s="2">
        <v>4949416075</v>
      </c>
      <c r="E578" s="2" t="s">
        <v>14</v>
      </c>
      <c r="F578" s="78" t="s">
        <v>1886</v>
      </c>
      <c r="G578" s="28" t="s">
        <v>9</v>
      </c>
      <c r="H578" s="2" t="s">
        <v>23</v>
      </c>
      <c r="I578" s="2">
        <v>2</v>
      </c>
      <c r="J578" s="2"/>
      <c r="K578" s="2">
        <v>2481.6</v>
      </c>
      <c r="L578" s="35">
        <v>7816121.8080000002</v>
      </c>
      <c r="M578" s="36">
        <v>880</v>
      </c>
      <c r="N578" s="40">
        <v>538030</v>
      </c>
      <c r="O578" s="40">
        <v>605</v>
      </c>
      <c r="P578" s="40">
        <v>9154</v>
      </c>
      <c r="Q578" s="40">
        <v>14764</v>
      </c>
      <c r="R578" s="40">
        <v>95278</v>
      </c>
      <c r="S578" s="40">
        <v>354356</v>
      </c>
      <c r="T578" s="40">
        <v>30000</v>
      </c>
      <c r="U578" s="40">
        <v>350169.81492081698</v>
      </c>
      <c r="V578" s="40">
        <v>0</v>
      </c>
      <c r="W578" s="45">
        <v>1392356.8149208201</v>
      </c>
      <c r="X578" s="46">
        <v>17.8139088556131</v>
      </c>
    </row>
    <row r="579" spans="1:24" s="4" customFormat="1" ht="15" customHeight="1">
      <c r="A579" s="28" t="s">
        <v>1603</v>
      </c>
      <c r="B579" s="29">
        <v>3149.63</v>
      </c>
      <c r="C579" s="30" t="s">
        <v>1900</v>
      </c>
      <c r="D579" s="2">
        <v>4949591594</v>
      </c>
      <c r="E579" s="2" t="s">
        <v>14</v>
      </c>
      <c r="F579" s="2" t="s">
        <v>1901</v>
      </c>
      <c r="G579" s="28" t="s">
        <v>9</v>
      </c>
      <c r="H579" s="2" t="s">
        <v>23</v>
      </c>
      <c r="I579" s="2">
        <v>2</v>
      </c>
      <c r="J579" s="2"/>
      <c r="K579" s="2">
        <v>22648</v>
      </c>
      <c r="L579" s="35">
        <v>71332820.239999995</v>
      </c>
      <c r="M579" s="36">
        <v>800</v>
      </c>
      <c r="N579" s="40">
        <v>506620</v>
      </c>
      <c r="O579" s="40">
        <v>526</v>
      </c>
      <c r="P579" s="40">
        <v>0</v>
      </c>
      <c r="Q579" s="40">
        <v>13785</v>
      </c>
      <c r="R579" s="40">
        <v>94951</v>
      </c>
      <c r="S579" s="40">
        <v>354356</v>
      </c>
      <c r="T579" s="40">
        <v>30000</v>
      </c>
      <c r="U579" s="40">
        <v>625234.28571428603</v>
      </c>
      <c r="V579" s="40">
        <v>0</v>
      </c>
      <c r="W579" s="45">
        <v>1625472.2857142901</v>
      </c>
      <c r="X579" s="46">
        <v>2.2787158565235002</v>
      </c>
    </row>
    <row r="580" spans="1:24" s="4" customFormat="1" ht="15" customHeight="1">
      <c r="A580" s="28" t="s">
        <v>1603</v>
      </c>
      <c r="B580" s="29">
        <v>3149.63</v>
      </c>
      <c r="C580" s="30" t="s">
        <v>1908</v>
      </c>
      <c r="D580" s="2">
        <v>4949590084</v>
      </c>
      <c r="E580" s="2" t="s">
        <v>14</v>
      </c>
      <c r="F580" s="2" t="s">
        <v>1909</v>
      </c>
      <c r="G580" s="28" t="s">
        <v>9</v>
      </c>
      <c r="H580" s="2" t="s">
        <v>23</v>
      </c>
      <c r="I580" s="2">
        <v>1</v>
      </c>
      <c r="J580" s="2"/>
      <c r="K580" s="2">
        <v>1465</v>
      </c>
      <c r="L580" s="35">
        <v>4614207.95</v>
      </c>
      <c r="M580" s="36">
        <v>50</v>
      </c>
      <c r="N580" s="40">
        <v>453213</v>
      </c>
      <c r="O580" s="40">
        <v>63</v>
      </c>
      <c r="P580" s="40">
        <v>0</v>
      </c>
      <c r="Q580" s="40">
        <v>1254</v>
      </c>
      <c r="R580" s="40">
        <v>80613.820000000007</v>
      </c>
      <c r="S580" s="40">
        <v>354356</v>
      </c>
      <c r="T580" s="40">
        <v>30000</v>
      </c>
      <c r="U580" s="40">
        <v>19861.9047619048</v>
      </c>
      <c r="V580" s="40">
        <v>0</v>
      </c>
      <c r="W580" s="45">
        <v>939361.72476190503</v>
      </c>
      <c r="X580" s="46">
        <v>20.3580275302049</v>
      </c>
    </row>
    <row r="581" spans="1:24" s="4" customFormat="1" ht="15" customHeight="1">
      <c r="A581" s="28" t="s">
        <v>1603</v>
      </c>
      <c r="B581" s="29">
        <v>3149.63</v>
      </c>
      <c r="C581" s="30" t="s">
        <v>1918</v>
      </c>
      <c r="D581" s="2" t="s">
        <v>1919</v>
      </c>
      <c r="E581" s="2" t="s">
        <v>14</v>
      </c>
      <c r="F581" s="78" t="s">
        <v>1920</v>
      </c>
      <c r="G581" s="28" t="s">
        <v>5</v>
      </c>
      <c r="H581" s="2" t="s">
        <v>26</v>
      </c>
      <c r="I581" s="2">
        <v>1</v>
      </c>
      <c r="J581" s="2" t="s">
        <v>1921</v>
      </c>
      <c r="K581" s="2">
        <v>34974</v>
      </c>
      <c r="L581" s="35">
        <v>110155159.62</v>
      </c>
      <c r="M581" s="36">
        <v>20100</v>
      </c>
      <c r="N581" s="40">
        <v>318180</v>
      </c>
      <c r="O581" s="40">
        <v>399890</v>
      </c>
      <c r="P581" s="40">
        <v>965148</v>
      </c>
      <c r="Q581" s="40">
        <v>99309</v>
      </c>
      <c r="R581" s="40">
        <v>603809</v>
      </c>
      <c r="S581" s="40">
        <v>354356</v>
      </c>
      <c r="T581" s="40">
        <v>30000</v>
      </c>
      <c r="U581" s="40">
        <v>0</v>
      </c>
      <c r="V581" s="40">
        <v>0</v>
      </c>
      <c r="W581" s="45">
        <v>2770692</v>
      </c>
      <c r="X581" s="46">
        <v>2.5152630249531698</v>
      </c>
    </row>
    <row r="582" spans="1:24" s="4" customFormat="1" ht="15" customHeight="1">
      <c r="A582" s="28" t="s">
        <v>1603</v>
      </c>
      <c r="B582" s="29">
        <v>3149.63</v>
      </c>
      <c r="C582" s="30" t="s">
        <v>1924</v>
      </c>
      <c r="D582" s="2">
        <v>4949417102</v>
      </c>
      <c r="E582" s="2" t="s">
        <v>14</v>
      </c>
      <c r="F582" s="2" t="s">
        <v>1925</v>
      </c>
      <c r="G582" s="28" t="s">
        <v>5</v>
      </c>
      <c r="H582" s="2" t="s">
        <v>20</v>
      </c>
      <c r="I582" s="2">
        <v>1</v>
      </c>
      <c r="J582" s="2" t="s">
        <v>1926</v>
      </c>
      <c r="K582" s="2">
        <v>149652</v>
      </c>
      <c r="L582" s="35">
        <v>471348428.75999999</v>
      </c>
      <c r="M582" s="36">
        <v>3600</v>
      </c>
      <c r="N582" s="40">
        <v>471488</v>
      </c>
      <c r="O582" s="40">
        <v>327035</v>
      </c>
      <c r="P582" s="40">
        <v>0</v>
      </c>
      <c r="Q582" s="40">
        <v>99309</v>
      </c>
      <c r="R582" s="40">
        <v>628165</v>
      </c>
      <c r="S582" s="40">
        <v>354356</v>
      </c>
      <c r="T582" s="40">
        <v>30000</v>
      </c>
      <c r="U582" s="40">
        <v>2619000</v>
      </c>
      <c r="V582" s="40">
        <v>0</v>
      </c>
      <c r="W582" s="45">
        <v>4529353</v>
      </c>
      <c r="X582" s="46">
        <v>0.96093520708567903</v>
      </c>
    </row>
    <row r="583" spans="1:24" s="4" customFormat="1" ht="15" customHeight="1">
      <c r="A583" s="28" t="s">
        <v>1603</v>
      </c>
      <c r="B583" s="29">
        <v>3149.63</v>
      </c>
      <c r="C583" s="30" t="s">
        <v>1932</v>
      </c>
      <c r="D583" s="2">
        <v>4949331231</v>
      </c>
      <c r="E583" s="2" t="s">
        <v>14</v>
      </c>
      <c r="F583" s="2" t="s">
        <v>1933</v>
      </c>
      <c r="G583" s="28" t="s">
        <v>5</v>
      </c>
      <c r="H583" s="2" t="s">
        <v>17</v>
      </c>
      <c r="I583" s="2">
        <v>1</v>
      </c>
      <c r="J583" s="2" t="s">
        <v>1934</v>
      </c>
      <c r="K583" s="2">
        <v>25103.4</v>
      </c>
      <c r="L583" s="35">
        <v>79066421.741999999</v>
      </c>
      <c r="M583" s="36">
        <v>18060</v>
      </c>
      <c r="N583" s="40">
        <v>0</v>
      </c>
      <c r="O583" s="40">
        <v>429032</v>
      </c>
      <c r="P583" s="40">
        <v>0</v>
      </c>
      <c r="Q583" s="40">
        <v>99309</v>
      </c>
      <c r="R583" s="40">
        <v>727196</v>
      </c>
      <c r="S583" s="40">
        <v>354356</v>
      </c>
      <c r="T583" s="40">
        <v>30000</v>
      </c>
      <c r="U583" s="40">
        <v>6275900</v>
      </c>
      <c r="V583" s="40">
        <v>0</v>
      </c>
      <c r="W583" s="45">
        <v>7915793</v>
      </c>
      <c r="X583" s="46">
        <v>10.0115735929341</v>
      </c>
    </row>
    <row r="584" spans="1:24" s="4" customFormat="1" ht="15" customHeight="1">
      <c r="A584" s="28" t="s">
        <v>1603</v>
      </c>
      <c r="B584" s="29">
        <v>3149.63</v>
      </c>
      <c r="C584" s="30" t="s">
        <v>1938</v>
      </c>
      <c r="D584" s="2">
        <v>4949818316</v>
      </c>
      <c r="E584" s="2" t="s">
        <v>14</v>
      </c>
      <c r="F584" s="78" t="s">
        <v>1939</v>
      </c>
      <c r="G584" s="28" t="s">
        <v>13</v>
      </c>
      <c r="H584" s="2" t="s">
        <v>23</v>
      </c>
      <c r="I584" s="2">
        <v>2</v>
      </c>
      <c r="J584" s="2"/>
      <c r="K584" s="2">
        <v>1863.33</v>
      </c>
      <c r="L584" s="35">
        <v>5868800.0679000001</v>
      </c>
      <c r="M584" s="36">
        <v>40</v>
      </c>
      <c r="N584" s="40">
        <v>1011434</v>
      </c>
      <c r="O584" s="40">
        <v>0</v>
      </c>
      <c r="P584" s="40">
        <v>0</v>
      </c>
      <c r="Q584" s="40">
        <v>0</v>
      </c>
      <c r="R584" s="40">
        <v>5430</v>
      </c>
      <c r="S584" s="40">
        <v>354356</v>
      </c>
      <c r="T584" s="40">
        <v>30000</v>
      </c>
      <c r="U584" s="40">
        <v>246380</v>
      </c>
      <c r="V584" s="40">
        <v>0</v>
      </c>
      <c r="W584" s="45">
        <v>1647600</v>
      </c>
      <c r="X584" s="46">
        <v>28.073881899840401</v>
      </c>
    </row>
    <row r="585" spans="1:24" s="4" customFormat="1" ht="15" customHeight="1">
      <c r="A585" s="28" t="s">
        <v>1603</v>
      </c>
      <c r="B585" s="29">
        <v>3149.63</v>
      </c>
      <c r="C585" s="30" t="s">
        <v>1940</v>
      </c>
      <c r="D585" s="2">
        <v>4950363249</v>
      </c>
      <c r="E585" s="2" t="s">
        <v>14</v>
      </c>
      <c r="F585" s="78" t="s">
        <v>1941</v>
      </c>
      <c r="G585" s="28" t="s">
        <v>13</v>
      </c>
      <c r="H585" s="2" t="s">
        <v>23</v>
      </c>
      <c r="I585" s="2">
        <v>6</v>
      </c>
      <c r="J585" s="2"/>
      <c r="K585" s="2">
        <v>4055.58</v>
      </c>
      <c r="L585" s="35">
        <v>12773576.4354</v>
      </c>
      <c r="M585" s="36">
        <v>30</v>
      </c>
      <c r="N585" s="40">
        <v>577817</v>
      </c>
      <c r="O585" s="40">
        <v>0</v>
      </c>
      <c r="P585" s="40">
        <v>0</v>
      </c>
      <c r="Q585" s="40">
        <v>0</v>
      </c>
      <c r="R585" s="40">
        <v>0</v>
      </c>
      <c r="S585" s="40">
        <v>354356</v>
      </c>
      <c r="T585" s="40">
        <v>30000</v>
      </c>
      <c r="U585" s="40">
        <v>246380</v>
      </c>
      <c r="V585" s="40">
        <v>0</v>
      </c>
      <c r="W585" s="45">
        <v>1208553</v>
      </c>
      <c r="X585" s="46">
        <v>9.4613517687237607</v>
      </c>
    </row>
    <row r="586" spans="1:24" s="4" customFormat="1" ht="15" customHeight="1">
      <c r="A586" s="28" t="s">
        <v>1603</v>
      </c>
      <c r="B586" s="29">
        <v>3149.63</v>
      </c>
      <c r="C586" s="30" t="s">
        <v>1944</v>
      </c>
      <c r="D586" s="2">
        <v>4949037258</v>
      </c>
      <c r="E586" s="2" t="s">
        <v>14</v>
      </c>
      <c r="F586" s="2" t="s">
        <v>1945</v>
      </c>
      <c r="G586" s="28" t="s">
        <v>9</v>
      </c>
      <c r="H586" s="2" t="s">
        <v>23</v>
      </c>
      <c r="I586" s="2">
        <v>5</v>
      </c>
      <c r="J586" s="2"/>
      <c r="K586" s="2">
        <v>9160</v>
      </c>
      <c r="L586" s="35">
        <v>28850610.800000001</v>
      </c>
      <c r="M586" s="36">
        <v>4000</v>
      </c>
      <c r="N586" s="40">
        <v>608230</v>
      </c>
      <c r="O586" s="40">
        <v>2648</v>
      </c>
      <c r="P586" s="40">
        <v>0</v>
      </c>
      <c r="Q586" s="40">
        <v>85088</v>
      </c>
      <c r="R586" s="40">
        <v>156996</v>
      </c>
      <c r="S586" s="40">
        <v>354356</v>
      </c>
      <c r="T586" s="40">
        <v>30000</v>
      </c>
      <c r="U586" s="40">
        <v>2085500</v>
      </c>
      <c r="V586" s="40">
        <v>0</v>
      </c>
      <c r="W586" s="45">
        <v>3322818</v>
      </c>
      <c r="X586" s="46">
        <v>11.517322884546999</v>
      </c>
    </row>
    <row r="587" spans="1:24" s="4" customFormat="1" ht="15" customHeight="1">
      <c r="A587" s="28" t="s">
        <v>1603</v>
      </c>
      <c r="B587" s="29">
        <v>3149.63</v>
      </c>
      <c r="C587" s="30" t="s">
        <v>1948</v>
      </c>
      <c r="D587" s="2">
        <v>4949366042</v>
      </c>
      <c r="E587" s="2" t="s">
        <v>14</v>
      </c>
      <c r="F587" s="78" t="s">
        <v>1949</v>
      </c>
      <c r="G587" s="28" t="s">
        <v>5</v>
      </c>
      <c r="H587" s="2" t="s">
        <v>20</v>
      </c>
      <c r="I587" s="2">
        <v>1</v>
      </c>
      <c r="J587" s="2" t="s">
        <v>1950</v>
      </c>
      <c r="K587" s="2">
        <v>6543.6</v>
      </c>
      <c r="L587" s="35">
        <v>20609918.868000001</v>
      </c>
      <c r="M587" s="36">
        <v>1640</v>
      </c>
      <c r="N587" s="40">
        <v>48782.479443390301</v>
      </c>
      <c r="O587" s="40">
        <v>33923.934218848801</v>
      </c>
      <c r="P587" s="40">
        <v>33086.922201138499</v>
      </c>
      <c r="Q587" s="40">
        <v>10301.5028462998</v>
      </c>
      <c r="R587" s="40">
        <v>108063.60404807101</v>
      </c>
      <c r="S587" s="40">
        <v>36757.991144845</v>
      </c>
      <c r="T587" s="40">
        <v>30000</v>
      </c>
      <c r="U587" s="40">
        <v>469894.75015812798</v>
      </c>
      <c r="V587" s="40">
        <v>0</v>
      </c>
      <c r="W587" s="45">
        <v>770811.18406072096</v>
      </c>
      <c r="X587" s="46">
        <v>3.74000105967191</v>
      </c>
    </row>
    <row r="588" spans="1:24" s="4" customFormat="1" ht="15" customHeight="1">
      <c r="A588" s="28" t="s">
        <v>1603</v>
      </c>
      <c r="B588" s="29">
        <v>3149.63</v>
      </c>
      <c r="C588" s="30" t="s">
        <v>1948</v>
      </c>
      <c r="D588" s="2">
        <v>4949818313</v>
      </c>
      <c r="E588" s="2" t="s">
        <v>14</v>
      </c>
      <c r="F588" s="2" t="s">
        <v>1949</v>
      </c>
      <c r="G588" s="28" t="s">
        <v>5</v>
      </c>
      <c r="H588" s="2" t="s">
        <v>20</v>
      </c>
      <c r="I588" s="2">
        <v>1</v>
      </c>
      <c r="J588" s="2" t="s">
        <v>1950</v>
      </c>
      <c r="K588" s="2">
        <v>2528.4</v>
      </c>
      <c r="L588" s="35">
        <v>7963524.4919999996</v>
      </c>
      <c r="M588" s="36">
        <v>420</v>
      </c>
      <c r="N588" s="40">
        <v>12493.0740037951</v>
      </c>
      <c r="O588" s="40">
        <v>8687.8368121442109</v>
      </c>
      <c r="P588" s="40">
        <v>8473.4800759013306</v>
      </c>
      <c r="Q588" s="40">
        <v>2638.1897533206802</v>
      </c>
      <c r="R588" s="40">
        <v>27674.825426945001</v>
      </c>
      <c r="S588" s="40">
        <v>9413.6318785578806</v>
      </c>
      <c r="T588" s="40">
        <v>30000</v>
      </c>
      <c r="U588" s="40">
        <v>120338.89943074</v>
      </c>
      <c r="V588" s="40">
        <v>0</v>
      </c>
      <c r="W588" s="45">
        <v>219719.93738140399</v>
      </c>
      <c r="X588" s="46">
        <v>2.75907906859746</v>
      </c>
    </row>
    <row r="589" spans="1:24" s="4" customFormat="1" ht="15" customHeight="1">
      <c r="A589" s="28" t="s">
        <v>1603</v>
      </c>
      <c r="B589" s="29">
        <v>3149.63</v>
      </c>
      <c r="C589" s="30" t="s">
        <v>1948</v>
      </c>
      <c r="D589" s="2">
        <v>4949662198</v>
      </c>
      <c r="E589" s="2" t="s">
        <v>14</v>
      </c>
      <c r="F589" s="2" t="s">
        <v>1949</v>
      </c>
      <c r="G589" s="28" t="s">
        <v>5</v>
      </c>
      <c r="H589" s="2" t="s">
        <v>20</v>
      </c>
      <c r="I589" s="2">
        <v>1</v>
      </c>
      <c r="J589" s="2" t="s">
        <v>1950</v>
      </c>
      <c r="K589" s="2">
        <v>4000.5</v>
      </c>
      <c r="L589" s="35">
        <v>12600094.814999999</v>
      </c>
      <c r="M589" s="36">
        <v>1050</v>
      </c>
      <c r="N589" s="40">
        <v>31232.685009487701</v>
      </c>
      <c r="O589" s="40">
        <v>21719.592030360502</v>
      </c>
      <c r="P589" s="40">
        <v>21183.700189753301</v>
      </c>
      <c r="Q589" s="40">
        <v>6595.4743833017101</v>
      </c>
      <c r="R589" s="40">
        <v>69187.563567362406</v>
      </c>
      <c r="S589" s="40">
        <v>23534.0796963947</v>
      </c>
      <c r="T589" s="40">
        <v>30000</v>
      </c>
      <c r="U589" s="40">
        <v>300847.24857684999</v>
      </c>
      <c r="V589" s="40">
        <v>0</v>
      </c>
      <c r="W589" s="45">
        <v>504300.34345351002</v>
      </c>
      <c r="X589" s="46">
        <v>4.0023535604919198</v>
      </c>
    </row>
    <row r="590" spans="1:24" s="4" customFormat="1" ht="15" customHeight="1">
      <c r="A590" s="28" t="s">
        <v>1603</v>
      </c>
      <c r="B590" s="29">
        <v>3149.63</v>
      </c>
      <c r="C590" s="30" t="s">
        <v>1948</v>
      </c>
      <c r="D590" s="2">
        <v>4949591600</v>
      </c>
      <c r="E590" s="2" t="s">
        <v>14</v>
      </c>
      <c r="F590" s="2" t="s">
        <v>1949</v>
      </c>
      <c r="G590" s="28" t="s">
        <v>5</v>
      </c>
      <c r="H590" s="2" t="s">
        <v>20</v>
      </c>
      <c r="I590" s="2">
        <v>1</v>
      </c>
      <c r="J590" s="2" t="s">
        <v>1950</v>
      </c>
      <c r="K590" s="2">
        <v>12573</v>
      </c>
      <c r="L590" s="35">
        <v>39600297.990000002</v>
      </c>
      <c r="M590" s="36">
        <v>9900</v>
      </c>
      <c r="N590" s="40">
        <v>294479.60151802702</v>
      </c>
      <c r="O590" s="40">
        <v>204784.72485768501</v>
      </c>
      <c r="P590" s="40">
        <v>199732.030360531</v>
      </c>
      <c r="Q590" s="40">
        <v>62185.901328273198</v>
      </c>
      <c r="R590" s="40">
        <v>652337.17077798897</v>
      </c>
      <c r="S590" s="40">
        <v>221892.75142315001</v>
      </c>
      <c r="T590" s="40">
        <v>30000</v>
      </c>
      <c r="U590" s="40">
        <v>2836559.7722960198</v>
      </c>
      <c r="V590" s="40">
        <v>0</v>
      </c>
      <c r="W590" s="45">
        <v>4501971.95256167</v>
      </c>
      <c r="X590" s="46">
        <v>11.3685304936304</v>
      </c>
    </row>
    <row r="591" spans="1:24" s="4" customFormat="1" ht="15" customHeight="1">
      <c r="A591" s="28" t="s">
        <v>1603</v>
      </c>
      <c r="B591" s="29">
        <v>3149.63</v>
      </c>
      <c r="C591" s="30" t="s">
        <v>1948</v>
      </c>
      <c r="D591" s="2">
        <v>4949532989</v>
      </c>
      <c r="E591" s="2" t="s">
        <v>14</v>
      </c>
      <c r="F591" s="2" t="s">
        <v>1949</v>
      </c>
      <c r="G591" s="28" t="s">
        <v>5</v>
      </c>
      <c r="H591" s="2" t="s">
        <v>20</v>
      </c>
      <c r="I591" s="2">
        <v>1</v>
      </c>
      <c r="J591" s="2" t="s">
        <v>1950</v>
      </c>
      <c r="K591" s="2">
        <v>10584</v>
      </c>
      <c r="L591" s="35">
        <v>33335683.920000002</v>
      </c>
      <c r="M591" s="36">
        <v>2800</v>
      </c>
      <c r="N591" s="40">
        <v>83287.1600253004</v>
      </c>
      <c r="O591" s="40">
        <v>57918.912080961403</v>
      </c>
      <c r="P591" s="40">
        <v>56489.867172675498</v>
      </c>
      <c r="Q591" s="40">
        <v>17587.931688804601</v>
      </c>
      <c r="R591" s="40">
        <v>184499.83617963301</v>
      </c>
      <c r="S591" s="40">
        <v>62757.545857052501</v>
      </c>
      <c r="T591" s="40">
        <v>30000</v>
      </c>
      <c r="U591" s="40">
        <v>802259.32953826699</v>
      </c>
      <c r="V591" s="40">
        <v>0</v>
      </c>
      <c r="W591" s="45">
        <v>1294800.58254269</v>
      </c>
      <c r="X591" s="46">
        <v>3.8841278482541299</v>
      </c>
    </row>
    <row r="592" spans="1:24" s="4" customFormat="1" ht="15" customHeight="1">
      <c r="A592" s="28" t="s">
        <v>1603</v>
      </c>
      <c r="B592" s="29">
        <v>3149.63</v>
      </c>
      <c r="C592" s="30" t="s">
        <v>1957</v>
      </c>
      <c r="D592" s="2">
        <v>4949587549</v>
      </c>
      <c r="E592" s="2" t="s">
        <v>14</v>
      </c>
      <c r="F592" s="2" t="s">
        <v>1958</v>
      </c>
      <c r="G592" s="28" t="s">
        <v>5</v>
      </c>
      <c r="H592" s="2" t="s">
        <v>1959</v>
      </c>
      <c r="I592" s="2">
        <v>3</v>
      </c>
      <c r="J592" s="2" t="s">
        <v>1960</v>
      </c>
      <c r="K592" s="2">
        <v>132640</v>
      </c>
      <c r="L592" s="35">
        <v>417766923.19999999</v>
      </c>
      <c r="M592" s="36">
        <v>42000</v>
      </c>
      <c r="N592" s="40">
        <v>1414464</v>
      </c>
      <c r="O592" s="40">
        <v>1185099</v>
      </c>
      <c r="P592" s="40">
        <v>0</v>
      </c>
      <c r="Q592" s="40">
        <v>297928</v>
      </c>
      <c r="R592" s="40">
        <v>2086332</v>
      </c>
      <c r="S592" s="40">
        <v>354356</v>
      </c>
      <c r="T592" s="40">
        <v>30000</v>
      </c>
      <c r="U592" s="40">
        <v>13793400</v>
      </c>
      <c r="V592" s="40">
        <v>0</v>
      </c>
      <c r="W592" s="45">
        <v>19161579</v>
      </c>
      <c r="X592" s="46">
        <v>4.5866673343180597</v>
      </c>
    </row>
    <row r="593" spans="1:24" s="4" customFormat="1" ht="15" customHeight="1">
      <c r="A593" s="28" t="s">
        <v>1603</v>
      </c>
      <c r="B593" s="29">
        <v>3149.63</v>
      </c>
      <c r="C593" s="30" t="s">
        <v>1961</v>
      </c>
      <c r="D593" s="2">
        <v>4949037265</v>
      </c>
      <c r="E593" s="2" t="s">
        <v>14</v>
      </c>
      <c r="F593" s="2" t="s">
        <v>1962</v>
      </c>
      <c r="G593" s="28" t="s">
        <v>9</v>
      </c>
      <c r="H593" s="2" t="s">
        <v>23</v>
      </c>
      <c r="I593" s="2">
        <v>7</v>
      </c>
      <c r="J593" s="2"/>
      <c r="K593" s="2">
        <v>13755</v>
      </c>
      <c r="L593" s="35">
        <v>43323160.649999999</v>
      </c>
      <c r="M593" s="36">
        <v>5250</v>
      </c>
      <c r="N593" s="40">
        <v>821842</v>
      </c>
      <c r="O593" s="40">
        <v>3489</v>
      </c>
      <c r="P593" s="40">
        <v>0</v>
      </c>
      <c r="Q593" s="40">
        <v>89070</v>
      </c>
      <c r="R593" s="40">
        <v>163091</v>
      </c>
      <c r="S593" s="40">
        <v>354356</v>
      </c>
      <c r="T593" s="40">
        <v>30000</v>
      </c>
      <c r="U593" s="40">
        <v>2085500</v>
      </c>
      <c r="V593" s="40">
        <v>0</v>
      </c>
      <c r="W593" s="45">
        <v>3547348</v>
      </c>
      <c r="X593" s="46">
        <v>8.1881098857453694</v>
      </c>
    </row>
    <row r="594" spans="1:24" s="4" customFormat="1" ht="15" customHeight="1">
      <c r="A594" s="28" t="s">
        <v>1603</v>
      </c>
      <c r="B594" s="29">
        <v>3149.63</v>
      </c>
      <c r="C594" s="30" t="s">
        <v>1966</v>
      </c>
      <c r="D594" s="2">
        <v>4949417140</v>
      </c>
      <c r="E594" s="2" t="s">
        <v>14</v>
      </c>
      <c r="F594" s="2" t="s">
        <v>1967</v>
      </c>
      <c r="G594" s="28" t="s">
        <v>9</v>
      </c>
      <c r="H594" s="2" t="s">
        <v>23</v>
      </c>
      <c r="I594" s="2">
        <v>1</v>
      </c>
      <c r="J594" s="2"/>
      <c r="K594" s="2">
        <v>1586.5</v>
      </c>
      <c r="L594" s="35">
        <v>4996887.9950000001</v>
      </c>
      <c r="M594" s="36">
        <v>950</v>
      </c>
      <c r="N594" s="40">
        <v>470822</v>
      </c>
      <c r="O594" s="40">
        <v>619</v>
      </c>
      <c r="P594" s="40">
        <v>0</v>
      </c>
      <c r="Q594" s="40">
        <v>16071</v>
      </c>
      <c r="R594" s="40">
        <v>93788</v>
      </c>
      <c r="S594" s="40">
        <v>354356</v>
      </c>
      <c r="T594" s="40">
        <v>30000</v>
      </c>
      <c r="U594" s="40">
        <v>742465.71428571397</v>
      </c>
      <c r="V594" s="40">
        <v>0</v>
      </c>
      <c r="W594" s="45">
        <v>1708121.7142857099</v>
      </c>
      <c r="X594" s="46">
        <v>34.183710261164499</v>
      </c>
    </row>
    <row r="595" spans="1:24" s="4" customFormat="1" ht="15" customHeight="1">
      <c r="A595" s="28" t="s">
        <v>1603</v>
      </c>
      <c r="B595" s="29">
        <v>3149.63</v>
      </c>
      <c r="C595" s="30" t="s">
        <v>1997</v>
      </c>
      <c r="D595" s="2">
        <v>4948951741</v>
      </c>
      <c r="E595" s="2" t="s">
        <v>14</v>
      </c>
      <c r="F595" s="2" t="s">
        <v>1998</v>
      </c>
      <c r="G595" s="28" t="s">
        <v>5</v>
      </c>
      <c r="H595" s="2" t="s">
        <v>20</v>
      </c>
      <c r="I595" s="2">
        <v>1</v>
      </c>
      <c r="J595" s="2" t="s">
        <v>1999</v>
      </c>
      <c r="K595" s="2">
        <v>15040</v>
      </c>
      <c r="L595" s="35">
        <v>47370435.200000003</v>
      </c>
      <c r="M595" s="36">
        <v>16000</v>
      </c>
      <c r="N595" s="40">
        <v>461259</v>
      </c>
      <c r="O595" s="40">
        <v>327035</v>
      </c>
      <c r="P595" s="40">
        <v>208768</v>
      </c>
      <c r="Q595" s="40">
        <v>99309</v>
      </c>
      <c r="R595" s="40">
        <v>621719</v>
      </c>
      <c r="S595" s="40">
        <v>354356</v>
      </c>
      <c r="T595" s="40">
        <v>30000</v>
      </c>
      <c r="U595" s="40">
        <v>0</v>
      </c>
      <c r="V595" s="40">
        <v>0</v>
      </c>
      <c r="W595" s="45">
        <v>2102446</v>
      </c>
      <c r="X595" s="46">
        <v>4.4383083902931899</v>
      </c>
    </row>
    <row r="596" spans="1:24" s="4" customFormat="1" ht="15" customHeight="1">
      <c r="A596" s="28" t="s">
        <v>1603</v>
      </c>
      <c r="B596" s="29">
        <v>3149.63</v>
      </c>
      <c r="C596" s="30" t="s">
        <v>2009</v>
      </c>
      <c r="D596" s="2">
        <v>4949416084</v>
      </c>
      <c r="E596" s="2" t="s">
        <v>14</v>
      </c>
      <c r="F596" s="2" t="s">
        <v>2010</v>
      </c>
      <c r="G596" s="28" t="s">
        <v>5</v>
      </c>
      <c r="H596" s="2" t="s">
        <v>20</v>
      </c>
      <c r="I596" s="2">
        <v>1</v>
      </c>
      <c r="J596" s="2" t="s">
        <v>2011</v>
      </c>
      <c r="K596" s="2">
        <v>4944</v>
      </c>
      <c r="L596" s="35">
        <v>15571770.720000001</v>
      </c>
      <c r="M596" s="36">
        <v>600</v>
      </c>
      <c r="N596" s="40">
        <v>22550.300230946901</v>
      </c>
      <c r="O596" s="40">
        <v>22658.314087759802</v>
      </c>
      <c r="P596" s="40">
        <v>0</v>
      </c>
      <c r="Q596" s="40">
        <v>6880.5311778290998</v>
      </c>
      <c r="R596" s="40">
        <v>45477.845265588898</v>
      </c>
      <c r="S596" s="40">
        <v>24551.224018475801</v>
      </c>
      <c r="T596" s="40">
        <v>30000</v>
      </c>
      <c r="U596" s="40">
        <v>298296.82997118199</v>
      </c>
      <c r="V596" s="40">
        <v>0</v>
      </c>
      <c r="W596" s="45">
        <v>450415.04475178203</v>
      </c>
      <c r="X596" s="46">
        <v>2.8925101252183301</v>
      </c>
    </row>
    <row r="597" spans="1:24" s="4" customFormat="1" ht="15" customHeight="1">
      <c r="A597" s="28" t="s">
        <v>1603</v>
      </c>
      <c r="B597" s="29">
        <v>3149.63</v>
      </c>
      <c r="C597" s="30" t="s">
        <v>2009</v>
      </c>
      <c r="D597" s="2">
        <v>4948830213</v>
      </c>
      <c r="E597" s="2" t="s">
        <v>14</v>
      </c>
      <c r="F597" s="2" t="s">
        <v>2010</v>
      </c>
      <c r="G597" s="28" t="s">
        <v>5</v>
      </c>
      <c r="H597" s="2" t="s">
        <v>20</v>
      </c>
      <c r="I597" s="2">
        <v>1</v>
      </c>
      <c r="J597" s="2" t="s">
        <v>2011</v>
      </c>
      <c r="K597" s="2">
        <v>9456</v>
      </c>
      <c r="L597" s="35">
        <v>29782901.280000001</v>
      </c>
      <c r="M597" s="36">
        <v>4800</v>
      </c>
      <c r="N597" s="40">
        <v>180402.40184757501</v>
      </c>
      <c r="O597" s="40">
        <v>181266.512702079</v>
      </c>
      <c r="P597" s="40">
        <v>0</v>
      </c>
      <c r="Q597" s="40">
        <v>55044.249422632798</v>
      </c>
      <c r="R597" s="40">
        <v>363825.76212471101</v>
      </c>
      <c r="S597" s="40">
        <v>196409.792147806</v>
      </c>
      <c r="T597" s="40">
        <v>30000</v>
      </c>
      <c r="U597" s="40">
        <v>2386374.6397694498</v>
      </c>
      <c r="V597" s="40">
        <v>0</v>
      </c>
      <c r="W597" s="45">
        <v>3393323.3580142502</v>
      </c>
      <c r="X597" s="46">
        <v>11.393528542140199</v>
      </c>
    </row>
    <row r="598" spans="1:24" s="4" customFormat="1" ht="15" customHeight="1">
      <c r="A598" s="28" t="s">
        <v>1603</v>
      </c>
      <c r="B598" s="29">
        <v>3149.63</v>
      </c>
      <c r="C598" s="30" t="s">
        <v>2009</v>
      </c>
      <c r="D598" s="2">
        <v>4949366045</v>
      </c>
      <c r="E598" s="2" t="s">
        <v>14</v>
      </c>
      <c r="F598" s="2" t="s">
        <v>2010</v>
      </c>
      <c r="G598" s="28" t="s">
        <v>5</v>
      </c>
      <c r="H598" s="2" t="s">
        <v>20</v>
      </c>
      <c r="I598" s="2">
        <v>1</v>
      </c>
      <c r="J598" s="2" t="s">
        <v>2011</v>
      </c>
      <c r="K598" s="2">
        <v>9325.7999999999993</v>
      </c>
      <c r="L598" s="35">
        <v>29372819.454</v>
      </c>
      <c r="M598" s="36">
        <v>540</v>
      </c>
      <c r="N598" s="40">
        <v>20295.270207852202</v>
      </c>
      <c r="O598" s="40">
        <v>20392.482678983801</v>
      </c>
      <c r="P598" s="40">
        <v>0</v>
      </c>
      <c r="Q598" s="40">
        <v>6192.47806004619</v>
      </c>
      <c r="R598" s="40">
        <v>40929.960739030001</v>
      </c>
      <c r="S598" s="40">
        <v>22096.101616628199</v>
      </c>
      <c r="T598" s="40">
        <v>30000</v>
      </c>
      <c r="U598" s="40">
        <v>268467.14697406301</v>
      </c>
      <c r="V598" s="40">
        <v>0</v>
      </c>
      <c r="W598" s="45">
        <v>408373.44027660298</v>
      </c>
      <c r="X598" s="46">
        <v>1.39031066090249</v>
      </c>
    </row>
    <row r="599" spans="1:24" s="4" customFormat="1" ht="15" customHeight="1">
      <c r="A599" s="28" t="s">
        <v>1603</v>
      </c>
      <c r="B599" s="29">
        <v>3149.63</v>
      </c>
      <c r="C599" s="30" t="s">
        <v>2009</v>
      </c>
      <c r="D599" s="2">
        <v>4949366041</v>
      </c>
      <c r="E599" s="2" t="s">
        <v>14</v>
      </c>
      <c r="F599" s="2" t="s">
        <v>2010</v>
      </c>
      <c r="G599" s="28" t="s">
        <v>5</v>
      </c>
      <c r="H599" s="2" t="s">
        <v>20</v>
      </c>
      <c r="I599" s="2">
        <v>1</v>
      </c>
      <c r="J599" s="2" t="s">
        <v>2011</v>
      </c>
      <c r="K599" s="2">
        <v>4248.3999999999996</v>
      </c>
      <c r="L599" s="35">
        <v>13380888.092</v>
      </c>
      <c r="M599" s="36">
        <v>1720</v>
      </c>
      <c r="N599" s="40">
        <v>37583.833718244801</v>
      </c>
      <c r="O599" s="40">
        <v>64953.833718244801</v>
      </c>
      <c r="P599" s="40">
        <v>0</v>
      </c>
      <c r="Q599" s="40">
        <v>19724.189376443399</v>
      </c>
      <c r="R599" s="40">
        <v>75797.408775981501</v>
      </c>
      <c r="S599" s="40">
        <v>40918.706697459602</v>
      </c>
      <c r="T599" s="40">
        <v>30000</v>
      </c>
      <c r="U599" s="40">
        <v>497161.38328530302</v>
      </c>
      <c r="V599" s="40">
        <v>0</v>
      </c>
      <c r="W599" s="45">
        <v>766139.35557167698</v>
      </c>
      <c r="X599" s="46">
        <v>5.7256241163075501</v>
      </c>
    </row>
    <row r="600" spans="1:24" s="4" customFormat="1" ht="15" customHeight="1">
      <c r="A600" s="28" t="s">
        <v>1603</v>
      </c>
      <c r="B600" s="29">
        <v>3149.63</v>
      </c>
      <c r="C600" s="30" t="s">
        <v>2009</v>
      </c>
      <c r="D600" s="2">
        <v>4949331969</v>
      </c>
      <c r="E600" s="2" t="s">
        <v>14</v>
      </c>
      <c r="F600" s="2" t="s">
        <v>2010</v>
      </c>
      <c r="G600" s="28" t="s">
        <v>5</v>
      </c>
      <c r="H600" s="2" t="s">
        <v>20</v>
      </c>
      <c r="I600" s="2">
        <v>1</v>
      </c>
      <c r="J600" s="2" t="s">
        <v>2011</v>
      </c>
      <c r="K600" s="2">
        <v>6410</v>
      </c>
      <c r="L600" s="35">
        <v>20189128.300000001</v>
      </c>
      <c r="M600" s="36">
        <v>1000</v>
      </c>
      <c r="N600" s="40">
        <v>64644.193995381102</v>
      </c>
      <c r="O600" s="40">
        <v>37763.856812933001</v>
      </c>
      <c r="P600" s="40">
        <v>0</v>
      </c>
      <c r="Q600" s="40">
        <v>11467.5519630485</v>
      </c>
      <c r="R600" s="40">
        <v>130371.023094688</v>
      </c>
      <c r="S600" s="40">
        <v>70380.175519630502</v>
      </c>
      <c r="T600" s="40">
        <v>30000</v>
      </c>
      <c r="U600" s="40">
        <v>0</v>
      </c>
      <c r="V600" s="40">
        <v>0</v>
      </c>
      <c r="W600" s="45">
        <v>344626.80138568103</v>
      </c>
      <c r="X600" s="46">
        <v>1.7069919823417099</v>
      </c>
    </row>
    <row r="601" spans="1:24" s="4" customFormat="1" ht="15" customHeight="1">
      <c r="A601" s="28" t="s">
        <v>1603</v>
      </c>
      <c r="B601" s="29">
        <v>3149.63</v>
      </c>
      <c r="C601" s="30" t="s">
        <v>2012</v>
      </c>
      <c r="D601" s="2">
        <v>4949661984</v>
      </c>
      <c r="E601" s="2" t="s">
        <v>14</v>
      </c>
      <c r="F601" s="2" t="s">
        <v>2013</v>
      </c>
      <c r="G601" s="28" t="s">
        <v>5</v>
      </c>
      <c r="H601" s="2" t="s">
        <v>17</v>
      </c>
      <c r="I601" s="2">
        <v>1</v>
      </c>
      <c r="J601" s="2" t="s">
        <v>2014</v>
      </c>
      <c r="K601" s="2">
        <v>3420</v>
      </c>
      <c r="L601" s="35">
        <v>10771734.6</v>
      </c>
      <c r="M601" s="36">
        <v>400</v>
      </c>
      <c r="N601" s="40">
        <v>7324.3544303797498</v>
      </c>
      <c r="O601" s="40">
        <v>9654.7285513361494</v>
      </c>
      <c r="P601" s="40">
        <v>0</v>
      </c>
      <c r="Q601" s="40">
        <v>2234.8016877637101</v>
      </c>
      <c r="R601" s="40">
        <v>17053.105485232099</v>
      </c>
      <c r="S601" s="40">
        <v>7974.2559774964802</v>
      </c>
      <c r="T601" s="40">
        <v>30000</v>
      </c>
      <c r="U601" s="40">
        <v>141229.81715893099</v>
      </c>
      <c r="V601" s="40">
        <v>0</v>
      </c>
      <c r="W601" s="45">
        <v>215471.063291139</v>
      </c>
      <c r="X601" s="46">
        <v>2.00033765491344</v>
      </c>
    </row>
    <row r="602" spans="1:24" s="4" customFormat="1" ht="15" customHeight="1">
      <c r="A602" s="28" t="s">
        <v>1603</v>
      </c>
      <c r="B602" s="29">
        <v>3149.63</v>
      </c>
      <c r="C602" s="30" t="s">
        <v>2012</v>
      </c>
      <c r="D602" s="2">
        <v>4949661984</v>
      </c>
      <c r="E602" s="2" t="s">
        <v>14</v>
      </c>
      <c r="F602" s="2" t="s">
        <v>2013</v>
      </c>
      <c r="G602" s="28" t="s">
        <v>5</v>
      </c>
      <c r="H602" s="2" t="s">
        <v>17</v>
      </c>
      <c r="I602" s="2">
        <v>1</v>
      </c>
      <c r="J602" s="2" t="s">
        <v>2014</v>
      </c>
      <c r="K602" s="2">
        <v>7760.5</v>
      </c>
      <c r="L602" s="35">
        <v>24442703.614999998</v>
      </c>
      <c r="M602" s="36">
        <v>425</v>
      </c>
      <c r="N602" s="40">
        <v>7782.1265822784799</v>
      </c>
      <c r="O602" s="40">
        <v>10258.149085794699</v>
      </c>
      <c r="P602" s="40">
        <v>0</v>
      </c>
      <c r="Q602" s="40">
        <v>2374.4767932489399</v>
      </c>
      <c r="R602" s="40">
        <v>18119.299578059101</v>
      </c>
      <c r="S602" s="40">
        <v>8472.6469760900109</v>
      </c>
      <c r="T602" s="40">
        <v>30000</v>
      </c>
      <c r="U602" s="40">
        <v>150056.680731364</v>
      </c>
      <c r="V602" s="40">
        <v>0</v>
      </c>
      <c r="W602" s="45">
        <v>227063.37974683501</v>
      </c>
      <c r="X602" s="46">
        <v>0.92896180113025995</v>
      </c>
    </row>
    <row r="603" spans="1:24" s="4" customFormat="1" ht="15" customHeight="1">
      <c r="A603" s="28" t="s">
        <v>1603</v>
      </c>
      <c r="B603" s="29">
        <v>3149.63</v>
      </c>
      <c r="C603" s="30" t="s">
        <v>2012</v>
      </c>
      <c r="D603" s="2">
        <v>4949532975</v>
      </c>
      <c r="E603" s="2" t="s">
        <v>14</v>
      </c>
      <c r="F603" s="2" t="s">
        <v>2013</v>
      </c>
      <c r="G603" s="28" t="s">
        <v>5</v>
      </c>
      <c r="H603" s="2" t="s">
        <v>17</v>
      </c>
      <c r="I603" s="2">
        <v>1</v>
      </c>
      <c r="J603" s="2" t="s">
        <v>2014</v>
      </c>
      <c r="K603" s="2">
        <v>10113.6</v>
      </c>
      <c r="L603" s="35">
        <v>31854097.967999998</v>
      </c>
      <c r="M603" s="36">
        <v>1680</v>
      </c>
      <c r="N603" s="40">
        <v>30762.288607594899</v>
      </c>
      <c r="O603" s="40">
        <v>40549.8599156118</v>
      </c>
      <c r="P603" s="40">
        <v>0</v>
      </c>
      <c r="Q603" s="40">
        <v>9386.1670886075899</v>
      </c>
      <c r="R603" s="40">
        <v>71624.043037974698</v>
      </c>
      <c r="S603" s="40">
        <v>33491.875105485196</v>
      </c>
      <c r="T603" s="40">
        <v>30000</v>
      </c>
      <c r="U603" s="40">
        <v>593165.23206751002</v>
      </c>
      <c r="V603" s="40">
        <v>0</v>
      </c>
      <c r="W603" s="45">
        <v>808979.465822784</v>
      </c>
      <c r="X603" s="46">
        <v>2.5396401638353399</v>
      </c>
    </row>
    <row r="604" spans="1:24" s="4" customFormat="1" ht="15" customHeight="1">
      <c r="A604" s="28" t="s">
        <v>1603</v>
      </c>
      <c r="B604" s="29">
        <v>3149.63</v>
      </c>
      <c r="C604" s="30" t="s">
        <v>2012</v>
      </c>
      <c r="D604" s="2" t="s">
        <v>2015</v>
      </c>
      <c r="E604" s="2" t="s">
        <v>14</v>
      </c>
      <c r="F604" s="2" t="s">
        <v>2013</v>
      </c>
      <c r="G604" s="28" t="s">
        <v>5</v>
      </c>
      <c r="H604" s="2" t="s">
        <v>17</v>
      </c>
      <c r="I604" s="2">
        <v>1</v>
      </c>
      <c r="J604" s="2" t="s">
        <v>2014</v>
      </c>
      <c r="K604" s="2">
        <v>58590</v>
      </c>
      <c r="L604" s="35">
        <v>184536821.69999999</v>
      </c>
      <c r="M604" s="36">
        <v>13950</v>
      </c>
      <c r="N604" s="40">
        <v>255436.86075949401</v>
      </c>
      <c r="O604" s="40">
        <v>336708.65822784801</v>
      </c>
      <c r="P604" s="40">
        <v>0</v>
      </c>
      <c r="Q604" s="40">
        <v>77938.708860759507</v>
      </c>
      <c r="R604" s="40">
        <v>594737.30379746796</v>
      </c>
      <c r="S604" s="40">
        <v>278102.17721519002</v>
      </c>
      <c r="T604" s="40">
        <v>30000</v>
      </c>
      <c r="U604" s="40">
        <v>4925389.8734177202</v>
      </c>
      <c r="V604" s="40">
        <v>0</v>
      </c>
      <c r="W604" s="45">
        <v>6498313.5822784798</v>
      </c>
      <c r="X604" s="46">
        <v>3.52141839358366</v>
      </c>
    </row>
    <row r="605" spans="1:24" s="4" customFormat="1" ht="15" customHeight="1">
      <c r="A605" s="28" t="s">
        <v>1603</v>
      </c>
      <c r="B605" s="29">
        <v>3149.63</v>
      </c>
      <c r="C605" s="30" t="s">
        <v>2012</v>
      </c>
      <c r="D605" s="2">
        <v>4949532988</v>
      </c>
      <c r="E605" s="2" t="s">
        <v>14</v>
      </c>
      <c r="F605" s="2" t="s">
        <v>2013</v>
      </c>
      <c r="G605" s="28" t="s">
        <v>5</v>
      </c>
      <c r="H605" s="2" t="s">
        <v>17</v>
      </c>
      <c r="I605" s="2">
        <v>1</v>
      </c>
      <c r="J605" s="2" t="s">
        <v>2014</v>
      </c>
      <c r="K605" s="2">
        <v>8936.4</v>
      </c>
      <c r="L605" s="35">
        <v>28146353.532000002</v>
      </c>
      <c r="M605" s="36">
        <v>1320</v>
      </c>
      <c r="N605" s="40">
        <v>24170.369620253201</v>
      </c>
      <c r="O605" s="40">
        <v>31860.604219409299</v>
      </c>
      <c r="P605" s="40">
        <v>0</v>
      </c>
      <c r="Q605" s="40">
        <v>7374.84556962025</v>
      </c>
      <c r="R605" s="40">
        <v>56276.248101265803</v>
      </c>
      <c r="S605" s="40">
        <v>26315.0447257384</v>
      </c>
      <c r="T605" s="40">
        <v>30000</v>
      </c>
      <c r="U605" s="40">
        <v>466058.39662447298</v>
      </c>
      <c r="V605" s="40">
        <v>0</v>
      </c>
      <c r="W605" s="45">
        <v>642055.50886076002</v>
      </c>
      <c r="X605" s="46">
        <v>2.2811321123029198</v>
      </c>
    </row>
    <row r="606" spans="1:24" s="4" customFormat="1" ht="15" customHeight="1">
      <c r="A606" s="28" t="s">
        <v>1603</v>
      </c>
      <c r="B606" s="29">
        <v>3149.63</v>
      </c>
      <c r="C606" s="30" t="s">
        <v>2022</v>
      </c>
      <c r="D606" s="2">
        <v>4948777383</v>
      </c>
      <c r="E606" s="2" t="s">
        <v>14</v>
      </c>
      <c r="F606" s="78" t="s">
        <v>2023</v>
      </c>
      <c r="G606" s="28" t="s">
        <v>5</v>
      </c>
      <c r="H606" s="2" t="s">
        <v>20</v>
      </c>
      <c r="I606" s="2">
        <v>2</v>
      </c>
      <c r="J606" s="2" t="s">
        <v>2024</v>
      </c>
      <c r="K606" s="2">
        <v>73684.800000000003</v>
      </c>
      <c r="L606" s="35">
        <v>232079856.62400001</v>
      </c>
      <c r="M606" s="36">
        <v>30960</v>
      </c>
      <c r="N606" s="40">
        <v>641462</v>
      </c>
      <c r="O606" s="40">
        <v>654071</v>
      </c>
      <c r="P606" s="40">
        <v>1129779</v>
      </c>
      <c r="Q606" s="40">
        <v>198619</v>
      </c>
      <c r="R606" s="40">
        <v>1056162</v>
      </c>
      <c r="S606" s="40">
        <v>354356</v>
      </c>
      <c r="T606" s="40">
        <v>30000</v>
      </c>
      <c r="U606" s="40">
        <v>9059800</v>
      </c>
      <c r="V606" s="40">
        <v>0</v>
      </c>
      <c r="W606" s="45">
        <v>13124249</v>
      </c>
      <c r="X606" s="46">
        <v>5.6550573543584202</v>
      </c>
    </row>
    <row r="607" spans="1:24" s="4" customFormat="1" ht="15" customHeight="1">
      <c r="A607" s="28" t="s">
        <v>1603</v>
      </c>
      <c r="B607" s="29">
        <v>3149.63</v>
      </c>
      <c r="C607" s="30" t="s">
        <v>2028</v>
      </c>
      <c r="D607" s="2">
        <v>4949571464</v>
      </c>
      <c r="E607" s="2" t="s">
        <v>14</v>
      </c>
      <c r="F607" s="2" t="s">
        <v>2029</v>
      </c>
      <c r="G607" s="28" t="s">
        <v>5</v>
      </c>
      <c r="H607" s="2" t="s">
        <v>20</v>
      </c>
      <c r="I607" s="2">
        <v>1</v>
      </c>
      <c r="J607" s="2" t="s">
        <v>2030</v>
      </c>
      <c r="K607" s="2">
        <v>5520</v>
      </c>
      <c r="L607" s="35">
        <v>17385957.600000001</v>
      </c>
      <c r="M607" s="36">
        <v>2400</v>
      </c>
      <c r="N607" s="40">
        <v>105480.223880597</v>
      </c>
      <c r="O607" s="40">
        <v>73216.791044776095</v>
      </c>
      <c r="P607" s="40">
        <v>160673.28358208999</v>
      </c>
      <c r="Q607" s="40">
        <v>22233.3582089552</v>
      </c>
      <c r="R607" s="40">
        <v>233201.74626865701</v>
      </c>
      <c r="S607" s="40">
        <v>79333.432835820902</v>
      </c>
      <c r="T607" s="40">
        <v>30000</v>
      </c>
      <c r="U607" s="40">
        <v>727500</v>
      </c>
      <c r="V607" s="40">
        <v>298880.59701492498</v>
      </c>
      <c r="W607" s="45">
        <v>1730519.4328358199</v>
      </c>
      <c r="X607" s="46">
        <v>9.9535468373385498</v>
      </c>
    </row>
    <row r="608" spans="1:24" s="4" customFormat="1" ht="15" customHeight="1">
      <c r="A608" s="28" t="s">
        <v>1603</v>
      </c>
      <c r="B608" s="29">
        <v>3149.63</v>
      </c>
      <c r="C608" s="30" t="s">
        <v>2028</v>
      </c>
      <c r="D608" s="2">
        <v>4949387320</v>
      </c>
      <c r="E608" s="2" t="s">
        <v>14</v>
      </c>
      <c r="F608" s="2" t="s">
        <v>2029</v>
      </c>
      <c r="G608" s="28" t="s">
        <v>5</v>
      </c>
      <c r="H608" s="2" t="s">
        <v>20</v>
      </c>
      <c r="I608" s="2">
        <v>1</v>
      </c>
      <c r="J608" s="2" t="s">
        <v>2030</v>
      </c>
      <c r="K608" s="2">
        <v>237196.79999999999</v>
      </c>
      <c r="L608" s="35">
        <v>747082157.18400002</v>
      </c>
      <c r="M608" s="36">
        <v>1920</v>
      </c>
      <c r="N608" s="40">
        <v>84384.179104477604</v>
      </c>
      <c r="O608" s="40">
        <v>58573.432835820902</v>
      </c>
      <c r="P608" s="40">
        <v>128538.62686567201</v>
      </c>
      <c r="Q608" s="40">
        <v>17786.686567164201</v>
      </c>
      <c r="R608" s="40">
        <v>186561.59701492501</v>
      </c>
      <c r="S608" s="40">
        <v>63466.746268656701</v>
      </c>
      <c r="T608" s="40">
        <v>30000</v>
      </c>
      <c r="U608" s="40">
        <v>582000</v>
      </c>
      <c r="V608" s="40">
        <v>239104.47761194</v>
      </c>
      <c r="W608" s="45">
        <v>1390415.7462686601</v>
      </c>
      <c r="X608" s="46">
        <v>0.18611283014837299</v>
      </c>
    </row>
    <row r="609" spans="1:24" s="4" customFormat="1" ht="15" customHeight="1">
      <c r="A609" s="28" t="s">
        <v>1603</v>
      </c>
      <c r="B609" s="29">
        <v>3149.63</v>
      </c>
      <c r="C609" s="30" t="s">
        <v>2028</v>
      </c>
      <c r="D609" s="2">
        <v>4949719637</v>
      </c>
      <c r="E609" s="2" t="s">
        <v>14</v>
      </c>
      <c r="F609" s="2" t="s">
        <v>2029</v>
      </c>
      <c r="G609" s="28" t="s">
        <v>5</v>
      </c>
      <c r="H609" s="2" t="s">
        <v>20</v>
      </c>
      <c r="I609" s="2">
        <v>1</v>
      </c>
      <c r="J609" s="2" t="s">
        <v>2030</v>
      </c>
      <c r="K609" s="2">
        <v>12672</v>
      </c>
      <c r="L609" s="35">
        <v>39912111.359999999</v>
      </c>
      <c r="M609" s="36">
        <v>6400</v>
      </c>
      <c r="N609" s="40">
        <v>281280.59701492498</v>
      </c>
      <c r="O609" s="40">
        <v>195244.77611940299</v>
      </c>
      <c r="P609" s="40">
        <v>428462.08955223899</v>
      </c>
      <c r="Q609" s="40">
        <v>59288.955223880599</v>
      </c>
      <c r="R609" s="40">
        <v>621871.65671641799</v>
      </c>
      <c r="S609" s="40">
        <v>211555.82089552199</v>
      </c>
      <c r="T609" s="40">
        <v>30000</v>
      </c>
      <c r="U609" s="40">
        <v>1940000</v>
      </c>
      <c r="V609" s="40">
        <v>797014.92537313397</v>
      </c>
      <c r="W609" s="45">
        <v>4564718.82089552</v>
      </c>
      <c r="X609" s="46">
        <v>11.4369264500256</v>
      </c>
    </row>
    <row r="610" spans="1:24" s="4" customFormat="1" ht="15" customHeight="1">
      <c r="A610" s="28" t="s">
        <v>1603</v>
      </c>
      <c r="B610" s="29">
        <v>3149.63</v>
      </c>
      <c r="C610" s="30" t="s">
        <v>2031</v>
      </c>
      <c r="D610" s="2">
        <v>4949661357</v>
      </c>
      <c r="E610" s="2" t="s">
        <v>14</v>
      </c>
      <c r="F610" s="2" t="s">
        <v>2032</v>
      </c>
      <c r="G610" s="28" t="s">
        <v>9</v>
      </c>
      <c r="H610" s="2" t="s">
        <v>23</v>
      </c>
      <c r="I610" s="2">
        <v>5</v>
      </c>
      <c r="J610" s="2"/>
      <c r="K610" s="2">
        <v>1199.5</v>
      </c>
      <c r="L610" s="35">
        <v>3777981.1850000001</v>
      </c>
      <c r="M610" s="36">
        <v>25</v>
      </c>
      <c r="N610" s="40">
        <v>19202.511556240399</v>
      </c>
      <c r="O610" s="40">
        <v>17.1725731895223</v>
      </c>
      <c r="P610" s="40">
        <v>0</v>
      </c>
      <c r="Q610" s="40">
        <v>552.08782742681001</v>
      </c>
      <c r="R610" s="40">
        <v>1207.9506933744201</v>
      </c>
      <c r="S610" s="40">
        <v>2730.0154083204902</v>
      </c>
      <c r="T610" s="40">
        <v>30000</v>
      </c>
      <c r="U610" s="40">
        <v>85839</v>
      </c>
      <c r="V610" s="40">
        <v>0</v>
      </c>
      <c r="W610" s="45">
        <v>139548.738058552</v>
      </c>
      <c r="X610" s="46">
        <v>3.6937383016255398</v>
      </c>
    </row>
    <row r="611" spans="1:24" s="4" customFormat="1" ht="15" customHeight="1">
      <c r="A611" s="28" t="s">
        <v>1603</v>
      </c>
      <c r="B611" s="29">
        <v>3149.63</v>
      </c>
      <c r="C611" s="30" t="s">
        <v>2033</v>
      </c>
      <c r="D611" s="2">
        <v>4949587506</v>
      </c>
      <c r="E611" s="2" t="s">
        <v>14</v>
      </c>
      <c r="F611" s="78" t="s">
        <v>2034</v>
      </c>
      <c r="G611" s="28" t="s">
        <v>5</v>
      </c>
      <c r="H611" s="2" t="s">
        <v>17</v>
      </c>
      <c r="I611" s="2">
        <v>1</v>
      </c>
      <c r="J611" s="2" t="s">
        <v>2035</v>
      </c>
      <c r="K611" s="2">
        <v>22440</v>
      </c>
      <c r="L611" s="35">
        <v>70677697.200000003</v>
      </c>
      <c r="M611" s="36">
        <v>6000</v>
      </c>
      <c r="N611" s="40">
        <v>536073.26334599103</v>
      </c>
      <c r="O611" s="40">
        <v>429032</v>
      </c>
      <c r="P611" s="40">
        <v>174223.81058744699</v>
      </c>
      <c r="Q611" s="40">
        <v>99309</v>
      </c>
      <c r="R611" s="40">
        <v>211748.61268706701</v>
      </c>
      <c r="S611" s="40">
        <v>354356</v>
      </c>
      <c r="T611" s="40">
        <v>30000</v>
      </c>
      <c r="U611" s="40">
        <v>1524873.7994192501</v>
      </c>
      <c r="V611" s="40">
        <v>0</v>
      </c>
      <c r="W611" s="45">
        <v>3359616.4860397498</v>
      </c>
      <c r="X611" s="46">
        <v>4.7534322977910399</v>
      </c>
    </row>
    <row r="612" spans="1:24" s="4" customFormat="1" ht="15" customHeight="1">
      <c r="A612" s="28" t="s">
        <v>1603</v>
      </c>
      <c r="B612" s="29">
        <v>3149.63</v>
      </c>
      <c r="C612" s="30" t="s">
        <v>2036</v>
      </c>
      <c r="D612" s="2">
        <v>4949532973</v>
      </c>
      <c r="E612" s="2" t="s">
        <v>14</v>
      </c>
      <c r="F612" s="2" t="s">
        <v>2037</v>
      </c>
      <c r="G612" s="28" t="s">
        <v>5</v>
      </c>
      <c r="H612" s="2" t="s">
        <v>17</v>
      </c>
      <c r="I612" s="2">
        <v>1</v>
      </c>
      <c r="J612" s="2" t="s">
        <v>2035</v>
      </c>
      <c r="K612" s="2">
        <v>6804</v>
      </c>
      <c r="L612" s="35">
        <v>21430082.52</v>
      </c>
      <c r="M612" s="36">
        <v>1400</v>
      </c>
      <c r="N612" s="40">
        <v>125083.69850473</v>
      </c>
      <c r="O612" s="40">
        <v>36658.211779066201</v>
      </c>
      <c r="P612" s="40">
        <v>40652.2062862374</v>
      </c>
      <c r="Q612" s="40">
        <v>8485.3585596582197</v>
      </c>
      <c r="R612" s="40">
        <v>50218.198352151398</v>
      </c>
      <c r="S612" s="40">
        <v>30277.595361611198</v>
      </c>
      <c r="T612" s="40">
        <v>30000</v>
      </c>
      <c r="U612" s="40">
        <v>355803.88653115899</v>
      </c>
      <c r="V612" s="40">
        <v>0</v>
      </c>
      <c r="W612" s="45">
        <v>677179.15537461301</v>
      </c>
      <c r="X612" s="46">
        <v>3.1599465599006602</v>
      </c>
    </row>
    <row r="613" spans="1:24" s="4" customFormat="1" ht="15" customHeight="1">
      <c r="A613" s="28" t="s">
        <v>1603</v>
      </c>
      <c r="B613" s="29">
        <v>3149.63</v>
      </c>
      <c r="C613" s="30" t="s">
        <v>2036</v>
      </c>
      <c r="D613" s="2">
        <v>4948951749</v>
      </c>
      <c r="E613" s="2" t="s">
        <v>14</v>
      </c>
      <c r="F613" s="78" t="s">
        <v>2037</v>
      </c>
      <c r="G613" s="28" t="s">
        <v>5</v>
      </c>
      <c r="H613" s="2" t="s">
        <v>17</v>
      </c>
      <c r="I613" s="2">
        <v>1</v>
      </c>
      <c r="J613" s="2" t="s">
        <v>2035</v>
      </c>
      <c r="K613" s="2">
        <v>6258</v>
      </c>
      <c r="L613" s="35">
        <v>19710384.539999999</v>
      </c>
      <c r="M613" s="36">
        <v>1400</v>
      </c>
      <c r="N613" s="40">
        <v>125083.69850473</v>
      </c>
      <c r="O613" s="40">
        <v>36658.211779066201</v>
      </c>
      <c r="P613" s="40">
        <v>40652.2062862374</v>
      </c>
      <c r="Q613" s="40">
        <v>8485.3585596582197</v>
      </c>
      <c r="R613" s="40">
        <v>50218.198352151398</v>
      </c>
      <c r="S613" s="40">
        <v>30277.595361611198</v>
      </c>
      <c r="T613" s="40">
        <v>30000</v>
      </c>
      <c r="U613" s="40">
        <v>355803.88653115899</v>
      </c>
      <c r="V613" s="40">
        <v>0</v>
      </c>
      <c r="W613" s="45">
        <v>677179.15537461301</v>
      </c>
      <c r="X613" s="46">
        <v>3.4356465953282398</v>
      </c>
    </row>
    <row r="614" spans="1:24" s="4" customFormat="1" ht="15" customHeight="1">
      <c r="A614" s="28" t="s">
        <v>1603</v>
      </c>
      <c r="B614" s="29">
        <v>3149.63</v>
      </c>
      <c r="C614" s="30" t="s">
        <v>2036</v>
      </c>
      <c r="D614" s="2">
        <v>4949287007</v>
      </c>
      <c r="E614" s="2" t="s">
        <v>14</v>
      </c>
      <c r="F614" s="78" t="s">
        <v>2037</v>
      </c>
      <c r="G614" s="28" t="s">
        <v>5</v>
      </c>
      <c r="H614" s="2" t="s">
        <v>17</v>
      </c>
      <c r="I614" s="2">
        <v>1</v>
      </c>
      <c r="J614" s="2" t="s">
        <v>2035</v>
      </c>
      <c r="K614" s="2">
        <v>8568</v>
      </c>
      <c r="L614" s="35">
        <v>26986029.84</v>
      </c>
      <c r="M614" s="36">
        <v>3600</v>
      </c>
      <c r="N614" s="40">
        <v>321643.79615502001</v>
      </c>
      <c r="O614" s="40">
        <v>94263.973146170305</v>
      </c>
      <c r="P614" s="40">
        <v>104534.24473603901</v>
      </c>
      <c r="Q614" s="40">
        <v>21819.493439121099</v>
      </c>
      <c r="R614" s="40">
        <v>129133.081476961</v>
      </c>
      <c r="S614" s="40">
        <v>77856.673787000298</v>
      </c>
      <c r="T614" s="40">
        <v>30000</v>
      </c>
      <c r="U614" s="40">
        <v>914924.27965155197</v>
      </c>
      <c r="V614" s="40">
        <v>0</v>
      </c>
      <c r="W614" s="45">
        <v>1694175.5423918599</v>
      </c>
      <c r="X614" s="46">
        <v>6.2779725377783198</v>
      </c>
    </row>
    <row r="615" spans="1:24" s="4" customFormat="1" ht="15" customHeight="1">
      <c r="A615" s="28" t="s">
        <v>1603</v>
      </c>
      <c r="B615" s="29">
        <v>3149.63</v>
      </c>
      <c r="C615" s="30" t="s">
        <v>2036</v>
      </c>
      <c r="D615" s="2">
        <v>4948774475</v>
      </c>
      <c r="E615" s="2" t="s">
        <v>14</v>
      </c>
      <c r="F615" s="2" t="s">
        <v>2037</v>
      </c>
      <c r="G615" s="28" t="s">
        <v>5</v>
      </c>
      <c r="H615" s="2" t="s">
        <v>17</v>
      </c>
      <c r="I615" s="2">
        <v>1</v>
      </c>
      <c r="J615" s="2" t="s">
        <v>2035</v>
      </c>
      <c r="K615" s="2">
        <v>4258.8</v>
      </c>
      <c r="L615" s="35">
        <v>13413644.244000001</v>
      </c>
      <c r="M615" s="36">
        <v>2340</v>
      </c>
      <c r="N615" s="40">
        <v>209068.46750076301</v>
      </c>
      <c r="O615" s="40">
        <v>61271.5825450107</v>
      </c>
      <c r="P615" s="40">
        <v>67947.259078425399</v>
      </c>
      <c r="Q615" s="40">
        <v>14182.670735428699</v>
      </c>
      <c r="R615" s="40">
        <v>83936.902960024396</v>
      </c>
      <c r="S615" s="40">
        <v>50606.837961550198</v>
      </c>
      <c r="T615" s="40">
        <v>30000</v>
      </c>
      <c r="U615" s="40">
        <v>594700.78177350899</v>
      </c>
      <c r="V615" s="40">
        <v>0</v>
      </c>
      <c r="W615" s="45">
        <v>1111714.50255471</v>
      </c>
      <c r="X615" s="46">
        <v>8.2879378812509295</v>
      </c>
    </row>
    <row r="616" spans="1:24" s="4" customFormat="1" ht="15" customHeight="1">
      <c r="A616" s="28" t="s">
        <v>1603</v>
      </c>
      <c r="B616" s="29">
        <v>3149.63</v>
      </c>
      <c r="C616" s="30" t="s">
        <v>2036</v>
      </c>
      <c r="D616" s="2">
        <v>4948892173</v>
      </c>
      <c r="E616" s="2" t="s">
        <v>14</v>
      </c>
      <c r="F616" s="2" t="s">
        <v>2037</v>
      </c>
      <c r="G616" s="28" t="s">
        <v>5</v>
      </c>
      <c r="H616" s="2" t="s">
        <v>17</v>
      </c>
      <c r="I616" s="2">
        <v>1</v>
      </c>
      <c r="J616" s="2" t="s">
        <v>2035</v>
      </c>
      <c r="K616" s="2">
        <v>5678.4</v>
      </c>
      <c r="L616" s="35">
        <v>17884858.991999999</v>
      </c>
      <c r="M616" s="36">
        <v>3120</v>
      </c>
      <c r="N616" s="40">
        <v>278757.95666768402</v>
      </c>
      <c r="O616" s="40">
        <v>81695.443393347596</v>
      </c>
      <c r="P616" s="40">
        <v>90596.345437900498</v>
      </c>
      <c r="Q616" s="40">
        <v>18910.227647238298</v>
      </c>
      <c r="R616" s="40">
        <v>111915.870613366</v>
      </c>
      <c r="S616" s="40">
        <v>67475.783948733602</v>
      </c>
      <c r="T616" s="40">
        <v>30000</v>
      </c>
      <c r="U616" s="40">
        <v>792934.37569801195</v>
      </c>
      <c r="V616" s="40">
        <v>0</v>
      </c>
      <c r="W616" s="45">
        <v>1472286.00340628</v>
      </c>
      <c r="X616" s="46">
        <v>8.2320246643534905</v>
      </c>
    </row>
    <row r="617" spans="1:24" s="4" customFormat="1" ht="15" customHeight="1">
      <c r="A617" s="28" t="s">
        <v>1603</v>
      </c>
      <c r="B617" s="29">
        <v>3149.63</v>
      </c>
      <c r="C617" s="30" t="s">
        <v>2036</v>
      </c>
      <c r="D617" s="2">
        <v>4948772914</v>
      </c>
      <c r="E617" s="2" t="s">
        <v>14</v>
      </c>
      <c r="F617" s="2" t="s">
        <v>2037</v>
      </c>
      <c r="G617" s="28" t="s">
        <v>5</v>
      </c>
      <c r="H617" s="2" t="s">
        <v>17</v>
      </c>
      <c r="I617" s="2">
        <v>1</v>
      </c>
      <c r="J617" s="2" t="s">
        <v>2035</v>
      </c>
      <c r="K617" s="2">
        <v>5751</v>
      </c>
      <c r="L617" s="35">
        <v>18113522.129999999</v>
      </c>
      <c r="M617" s="36">
        <v>1350</v>
      </c>
      <c r="N617" s="40">
        <v>120616.423558132</v>
      </c>
      <c r="O617" s="40">
        <v>35348.989929813899</v>
      </c>
      <c r="P617" s="40">
        <v>39200.341776014597</v>
      </c>
      <c r="Q617" s="40">
        <v>8182.3100396704303</v>
      </c>
      <c r="R617" s="40">
        <v>48425.405553860197</v>
      </c>
      <c r="S617" s="40">
        <v>29196.252670125101</v>
      </c>
      <c r="T617" s="40">
        <v>30000</v>
      </c>
      <c r="U617" s="40">
        <v>343096.60486933199</v>
      </c>
      <c r="V617" s="40">
        <v>0</v>
      </c>
      <c r="W617" s="45">
        <v>654066.32839694805</v>
      </c>
      <c r="X617" s="46">
        <v>3.61092847488601</v>
      </c>
    </row>
    <row r="618" spans="1:24" s="4" customFormat="1" ht="15" customHeight="1">
      <c r="A618" s="28" t="s">
        <v>1603</v>
      </c>
      <c r="B618" s="29">
        <v>3149.63</v>
      </c>
      <c r="C618" s="30" t="s">
        <v>2036</v>
      </c>
      <c r="D618" s="2">
        <v>4949037263</v>
      </c>
      <c r="E618" s="2" t="s">
        <v>14</v>
      </c>
      <c r="F618" s="2" t="s">
        <v>2037</v>
      </c>
      <c r="G618" s="28" t="s">
        <v>5</v>
      </c>
      <c r="H618" s="2" t="s">
        <v>17</v>
      </c>
      <c r="I618" s="2">
        <v>1</v>
      </c>
      <c r="J618" s="2" t="s">
        <v>2035</v>
      </c>
      <c r="K618" s="2">
        <v>4468.2</v>
      </c>
      <c r="L618" s="35">
        <v>14073176.766000001</v>
      </c>
      <c r="M618" s="36">
        <v>660</v>
      </c>
      <c r="N618" s="40">
        <v>58968.029295086999</v>
      </c>
      <c r="O618" s="40">
        <v>17281.7284101312</v>
      </c>
      <c r="P618" s="40">
        <v>19164.611534940501</v>
      </c>
      <c r="Q618" s="40">
        <v>4000.2404638388798</v>
      </c>
      <c r="R618" s="40">
        <v>23674.664937442802</v>
      </c>
      <c r="S618" s="40">
        <v>14273.723527616699</v>
      </c>
      <c r="T618" s="40">
        <v>30000</v>
      </c>
      <c r="U618" s="40">
        <v>167736.11793611801</v>
      </c>
      <c r="V618" s="40">
        <v>0</v>
      </c>
      <c r="W618" s="45">
        <v>335099.116105175</v>
      </c>
      <c r="X618" s="46">
        <v>2.38111921477996</v>
      </c>
    </row>
    <row r="619" spans="1:24" s="4" customFormat="1" ht="15" customHeight="1">
      <c r="A619" s="28" t="s">
        <v>1603</v>
      </c>
      <c r="B619" s="29">
        <v>3149.63</v>
      </c>
      <c r="C619" s="30" t="s">
        <v>2036</v>
      </c>
      <c r="D619" s="2">
        <v>4949366043</v>
      </c>
      <c r="E619" s="2" t="s">
        <v>14</v>
      </c>
      <c r="F619" s="2" t="s">
        <v>2037</v>
      </c>
      <c r="G619" s="28" t="s">
        <v>5</v>
      </c>
      <c r="H619" s="2" t="s">
        <v>17</v>
      </c>
      <c r="I619" s="2">
        <v>1</v>
      </c>
      <c r="J619" s="2" t="s">
        <v>2035</v>
      </c>
      <c r="K619" s="2">
        <v>5754</v>
      </c>
      <c r="L619" s="35">
        <v>18122971.02</v>
      </c>
      <c r="M619" s="36">
        <v>300</v>
      </c>
      <c r="N619" s="40">
        <v>26803.649679585</v>
      </c>
      <c r="O619" s="40">
        <v>7855.3310955141897</v>
      </c>
      <c r="P619" s="40">
        <v>8711.18706133659</v>
      </c>
      <c r="Q619" s="40">
        <v>1818.2911199267601</v>
      </c>
      <c r="R619" s="40">
        <v>10760.7567897467</v>
      </c>
      <c r="S619" s="40">
        <v>6488.0561489166903</v>
      </c>
      <c r="T619" s="40">
        <v>30000</v>
      </c>
      <c r="U619" s="40">
        <v>76243.689970962703</v>
      </c>
      <c r="V619" s="40">
        <v>0</v>
      </c>
      <c r="W619" s="45">
        <v>168680.961865989</v>
      </c>
      <c r="X619" s="46">
        <v>0.93075777520052905</v>
      </c>
    </row>
    <row r="620" spans="1:24" s="4" customFormat="1" ht="15" customHeight="1">
      <c r="A620" s="28" t="s">
        <v>1603</v>
      </c>
      <c r="B620" s="29">
        <v>3149.63</v>
      </c>
      <c r="C620" s="30" t="s">
        <v>2036</v>
      </c>
      <c r="D620" s="2">
        <v>4949532985</v>
      </c>
      <c r="E620" s="2" t="s">
        <v>14</v>
      </c>
      <c r="F620" s="2" t="s">
        <v>2037</v>
      </c>
      <c r="G620" s="28" t="s">
        <v>5</v>
      </c>
      <c r="H620" s="2" t="s">
        <v>17</v>
      </c>
      <c r="I620" s="2">
        <v>1</v>
      </c>
      <c r="J620" s="2" t="s">
        <v>2035</v>
      </c>
      <c r="K620" s="2">
        <v>2184</v>
      </c>
      <c r="L620" s="35">
        <v>6878791.9199999999</v>
      </c>
      <c r="M620" s="36">
        <v>840</v>
      </c>
      <c r="N620" s="40">
        <v>75050.219102838004</v>
      </c>
      <c r="O620" s="40">
        <v>21994.927067439701</v>
      </c>
      <c r="P620" s="40">
        <v>24391.323771742402</v>
      </c>
      <c r="Q620" s="40">
        <v>5091.2151357949297</v>
      </c>
      <c r="R620" s="40">
        <v>30131.119011290801</v>
      </c>
      <c r="S620" s="40">
        <v>18166.557216966699</v>
      </c>
      <c r="T620" s="40">
        <v>30000</v>
      </c>
      <c r="U620" s="40">
        <v>213482.331918696</v>
      </c>
      <c r="V620" s="40">
        <v>0</v>
      </c>
      <c r="W620" s="45">
        <v>418307.69322476903</v>
      </c>
      <c r="X620" s="46">
        <v>6.0811214830985696</v>
      </c>
    </row>
    <row r="621" spans="1:24" s="4" customFormat="1" ht="15" customHeight="1">
      <c r="A621" s="28" t="s">
        <v>1603</v>
      </c>
      <c r="B621" s="29">
        <v>3149.63</v>
      </c>
      <c r="C621" s="30" t="s">
        <v>2036</v>
      </c>
      <c r="D621" s="2">
        <v>4949591593</v>
      </c>
      <c r="E621" s="2" t="s">
        <v>14</v>
      </c>
      <c r="F621" s="2" t="s">
        <v>2037</v>
      </c>
      <c r="G621" s="28" t="s">
        <v>5</v>
      </c>
      <c r="H621" s="2" t="s">
        <v>17</v>
      </c>
      <c r="I621" s="2">
        <v>1</v>
      </c>
      <c r="J621" s="2" t="s">
        <v>2035</v>
      </c>
      <c r="K621" s="2">
        <v>1132.25</v>
      </c>
      <c r="L621" s="35">
        <v>3566168.5674999999</v>
      </c>
      <c r="M621" s="36">
        <v>175</v>
      </c>
      <c r="N621" s="40">
        <v>15635.4623130912</v>
      </c>
      <c r="O621" s="40">
        <v>4582.2764723832797</v>
      </c>
      <c r="P621" s="40">
        <v>5081.5257857796796</v>
      </c>
      <c r="Q621" s="40">
        <v>1060.66981995728</v>
      </c>
      <c r="R621" s="40">
        <v>6277.7747940189201</v>
      </c>
      <c r="S621" s="40">
        <v>3784.6994202013998</v>
      </c>
      <c r="T621" s="40">
        <v>30000</v>
      </c>
      <c r="U621" s="40">
        <v>44475.485816394903</v>
      </c>
      <c r="V621" s="40">
        <v>0</v>
      </c>
      <c r="W621" s="45">
        <v>110897.894421827</v>
      </c>
      <c r="X621" s="46">
        <v>3.1097210443860099</v>
      </c>
    </row>
    <row r="622" spans="1:24" s="4" customFormat="1" ht="15" customHeight="1">
      <c r="A622" s="28" t="s">
        <v>1603</v>
      </c>
      <c r="B622" s="29">
        <v>3149.63</v>
      </c>
      <c r="C622" s="30" t="s">
        <v>2036</v>
      </c>
      <c r="D622" s="2">
        <v>4949037263</v>
      </c>
      <c r="E622" s="2" t="s">
        <v>14</v>
      </c>
      <c r="F622" s="2" t="s">
        <v>2037</v>
      </c>
      <c r="G622" s="28" t="s">
        <v>5</v>
      </c>
      <c r="H622" s="2" t="s">
        <v>17</v>
      </c>
      <c r="I622" s="2">
        <v>1</v>
      </c>
      <c r="J622" s="2" t="s">
        <v>2035</v>
      </c>
      <c r="K622" s="2">
        <v>3520</v>
      </c>
      <c r="L622" s="35">
        <v>11086697.6</v>
      </c>
      <c r="M622" s="36">
        <v>400</v>
      </c>
      <c r="N622" s="40">
        <v>35738.199572780002</v>
      </c>
      <c r="O622" s="40">
        <v>10473.7747940189</v>
      </c>
      <c r="P622" s="40">
        <v>11614.916081782099</v>
      </c>
      <c r="Q622" s="40">
        <v>2424.3881599023498</v>
      </c>
      <c r="R622" s="40">
        <v>14348.342386329001</v>
      </c>
      <c r="S622" s="40">
        <v>8650.7415318889198</v>
      </c>
      <c r="T622" s="40">
        <v>30000</v>
      </c>
      <c r="U622" s="40">
        <v>101658.253294617</v>
      </c>
      <c r="V622" s="40">
        <v>0</v>
      </c>
      <c r="W622" s="45">
        <v>214908.615821318</v>
      </c>
      <c r="X622" s="46">
        <v>1.93843670653846</v>
      </c>
    </row>
    <row r="623" spans="1:24" s="4" customFormat="1" ht="15" customHeight="1">
      <c r="A623" s="28" t="s">
        <v>1603</v>
      </c>
      <c r="B623" s="29">
        <v>3149.63</v>
      </c>
      <c r="C623" s="30" t="s">
        <v>2036</v>
      </c>
      <c r="D623" s="2">
        <v>4949037263</v>
      </c>
      <c r="E623" s="2" t="s">
        <v>14</v>
      </c>
      <c r="F623" s="2" t="s">
        <v>2037</v>
      </c>
      <c r="G623" s="28" t="s">
        <v>5</v>
      </c>
      <c r="H623" s="2" t="s">
        <v>17</v>
      </c>
      <c r="I623" s="2">
        <v>1</v>
      </c>
      <c r="J623" s="2" t="s">
        <v>2035</v>
      </c>
      <c r="K623" s="2">
        <v>3456</v>
      </c>
      <c r="L623" s="35">
        <v>10885121.279999999</v>
      </c>
      <c r="M623" s="36">
        <v>400</v>
      </c>
      <c r="N623" s="40">
        <v>35738.199572780002</v>
      </c>
      <c r="O623" s="40">
        <v>10473.7747940189</v>
      </c>
      <c r="P623" s="40">
        <v>11614.916081782099</v>
      </c>
      <c r="Q623" s="40">
        <v>2424.3881599023498</v>
      </c>
      <c r="R623" s="40">
        <v>14348.342386329001</v>
      </c>
      <c r="S623" s="40">
        <v>8650.7415318889198</v>
      </c>
      <c r="T623" s="40">
        <v>30000</v>
      </c>
      <c r="U623" s="40">
        <v>101658.253294617</v>
      </c>
      <c r="V623" s="40">
        <v>0</v>
      </c>
      <c r="W623" s="45">
        <v>214908.615821318</v>
      </c>
      <c r="X623" s="46">
        <v>1.97433368258547</v>
      </c>
    </row>
    <row r="624" spans="1:24" s="4" customFormat="1" ht="15" customHeight="1">
      <c r="A624" s="28" t="s">
        <v>1603</v>
      </c>
      <c r="B624" s="29">
        <v>3149.63</v>
      </c>
      <c r="C624" s="30" t="s">
        <v>2036</v>
      </c>
      <c r="D624" s="2">
        <v>4949037263</v>
      </c>
      <c r="E624" s="2" t="s">
        <v>14</v>
      </c>
      <c r="F624" s="2" t="s">
        <v>2037</v>
      </c>
      <c r="G624" s="28" t="s">
        <v>5</v>
      </c>
      <c r="H624" s="2" t="s">
        <v>17</v>
      </c>
      <c r="I624" s="2">
        <v>1</v>
      </c>
      <c r="J624" s="2" t="s">
        <v>2035</v>
      </c>
      <c r="K624" s="2">
        <v>4100</v>
      </c>
      <c r="L624" s="35">
        <v>12913483</v>
      </c>
      <c r="M624" s="36">
        <v>400</v>
      </c>
      <c r="N624" s="40">
        <v>35738.199572780002</v>
      </c>
      <c r="O624" s="40">
        <v>10473.7747940189</v>
      </c>
      <c r="P624" s="40">
        <v>11614.916081782099</v>
      </c>
      <c r="Q624" s="40">
        <v>2424.3881599023498</v>
      </c>
      <c r="R624" s="40">
        <v>14348.342386329001</v>
      </c>
      <c r="S624" s="40">
        <v>8650.7415318889198</v>
      </c>
      <c r="T624" s="40">
        <v>30000</v>
      </c>
      <c r="U624" s="40">
        <v>101658.253294617</v>
      </c>
      <c r="V624" s="40">
        <v>0</v>
      </c>
      <c r="W624" s="45">
        <v>214908.615821318</v>
      </c>
      <c r="X624" s="46">
        <v>1.66421883097936</v>
      </c>
    </row>
    <row r="625" spans="1:24" s="4" customFormat="1" ht="15" customHeight="1">
      <c r="A625" s="28" t="s">
        <v>1603</v>
      </c>
      <c r="B625" s="29">
        <v>3149.63</v>
      </c>
      <c r="C625" s="30" t="s">
        <v>2043</v>
      </c>
      <c r="D625" s="2">
        <v>4949037265</v>
      </c>
      <c r="E625" s="2" t="s">
        <v>14</v>
      </c>
      <c r="F625" s="2" t="s">
        <v>2044</v>
      </c>
      <c r="G625" s="28" t="s">
        <v>9</v>
      </c>
      <c r="H625" s="2" t="s">
        <v>23</v>
      </c>
      <c r="I625" s="2">
        <v>4</v>
      </c>
      <c r="J625" s="2"/>
      <c r="K625" s="2">
        <v>8253</v>
      </c>
      <c r="L625" s="35">
        <v>25993896.390000001</v>
      </c>
      <c r="M625" s="36">
        <v>3150</v>
      </c>
      <c r="N625" s="40">
        <v>566071</v>
      </c>
      <c r="O625" s="40">
        <v>2087</v>
      </c>
      <c r="P625" s="40">
        <v>0</v>
      </c>
      <c r="Q625" s="40">
        <v>53394</v>
      </c>
      <c r="R625" s="40">
        <v>130314</v>
      </c>
      <c r="S625" s="40">
        <v>354356</v>
      </c>
      <c r="T625" s="40">
        <v>30000</v>
      </c>
      <c r="U625" s="40">
        <v>2085500</v>
      </c>
      <c r="V625" s="40">
        <v>0</v>
      </c>
      <c r="W625" s="45">
        <v>3221722</v>
      </c>
      <c r="X625" s="46">
        <v>12.3941480402277</v>
      </c>
    </row>
    <row r="626" spans="1:24" s="4" customFormat="1" ht="15" customHeight="1">
      <c r="A626" s="28" t="s">
        <v>1603</v>
      </c>
      <c r="B626" s="29">
        <v>3149.63</v>
      </c>
      <c r="C626" s="30" t="s">
        <v>2046</v>
      </c>
      <c r="D626" s="2">
        <v>4949654738</v>
      </c>
      <c r="E626" s="2" t="s">
        <v>14</v>
      </c>
      <c r="F626" s="2" t="s">
        <v>2047</v>
      </c>
      <c r="G626" s="28" t="s">
        <v>5</v>
      </c>
      <c r="H626" s="2" t="s">
        <v>20</v>
      </c>
      <c r="I626" s="2">
        <v>2</v>
      </c>
      <c r="J626" s="2" t="s">
        <v>2048</v>
      </c>
      <c r="K626" s="2">
        <v>73684.800000000003</v>
      </c>
      <c r="L626" s="35">
        <v>232079856.62400001</v>
      </c>
      <c r="M626" s="36">
        <v>30960</v>
      </c>
      <c r="N626" s="40">
        <v>650952</v>
      </c>
      <c r="O626" s="40">
        <v>654071</v>
      </c>
      <c r="P626" s="40">
        <v>0</v>
      </c>
      <c r="Q626" s="40">
        <v>198619</v>
      </c>
      <c r="R626" s="40">
        <v>1076780</v>
      </c>
      <c r="S626" s="40">
        <v>354356</v>
      </c>
      <c r="T626" s="40">
        <v>30000</v>
      </c>
      <c r="U626" s="40">
        <v>9059800</v>
      </c>
      <c r="V626" s="40">
        <v>0</v>
      </c>
      <c r="W626" s="45">
        <v>12024578</v>
      </c>
      <c r="X626" s="46">
        <v>5.1812243315374902</v>
      </c>
    </row>
    <row r="627" spans="1:24" s="4" customFormat="1" ht="15" customHeight="1">
      <c r="A627" s="28" t="s">
        <v>1603</v>
      </c>
      <c r="B627" s="29">
        <v>3149.63</v>
      </c>
      <c r="C627" s="30" t="s">
        <v>2052</v>
      </c>
      <c r="D627" s="2">
        <v>4949654735</v>
      </c>
      <c r="E627" s="2" t="s">
        <v>14</v>
      </c>
      <c r="F627" s="78" t="s">
        <v>2053</v>
      </c>
      <c r="G627" s="28" t="s">
        <v>13</v>
      </c>
      <c r="H627" s="2" t="s">
        <v>23</v>
      </c>
      <c r="I627" s="2">
        <v>1</v>
      </c>
      <c r="J627" s="2"/>
      <c r="K627" s="2">
        <v>784.8</v>
      </c>
      <c r="L627" s="35">
        <v>2471829.6239999998</v>
      </c>
      <c r="M627" s="36">
        <v>10</v>
      </c>
      <c r="N627" s="40">
        <v>148571</v>
      </c>
      <c r="O627" s="40">
        <v>0</v>
      </c>
      <c r="P627" s="40">
        <v>0</v>
      </c>
      <c r="Q627" s="40">
        <v>0</v>
      </c>
      <c r="R627" s="40">
        <v>594</v>
      </c>
      <c r="S627" s="40">
        <v>354356</v>
      </c>
      <c r="T627" s="40">
        <v>30000</v>
      </c>
      <c r="U627" s="40">
        <v>13317.8378378378</v>
      </c>
      <c r="V627" s="40">
        <v>0</v>
      </c>
      <c r="W627" s="45">
        <v>546838.83783783799</v>
      </c>
      <c r="X627" s="46">
        <v>22.1228369677407</v>
      </c>
    </row>
    <row r="628" spans="1:24" s="4" customFormat="1" ht="15" customHeight="1">
      <c r="A628" s="28" t="s">
        <v>1603</v>
      </c>
      <c r="B628" s="29">
        <v>3149.63</v>
      </c>
      <c r="C628" s="30" t="s">
        <v>2054</v>
      </c>
      <c r="D628" s="2">
        <v>4950215960</v>
      </c>
      <c r="E628" s="2" t="s">
        <v>14</v>
      </c>
      <c r="F628" s="78" t="s">
        <v>2055</v>
      </c>
      <c r="G628" s="28" t="s">
        <v>13</v>
      </c>
      <c r="H628" s="2" t="s">
        <v>23</v>
      </c>
      <c r="I628" s="2">
        <v>1</v>
      </c>
      <c r="J628" s="2"/>
      <c r="K628" s="2">
        <v>3139.2</v>
      </c>
      <c r="L628" s="35">
        <v>9887318.4959999993</v>
      </c>
      <c r="M628" s="36">
        <v>40</v>
      </c>
      <c r="N628" s="40">
        <v>144582</v>
      </c>
      <c r="O628" s="40">
        <v>0</v>
      </c>
      <c r="P628" s="40">
        <v>0</v>
      </c>
      <c r="Q628" s="40">
        <v>0</v>
      </c>
      <c r="R628" s="40">
        <v>578</v>
      </c>
      <c r="S628" s="40">
        <v>354356</v>
      </c>
      <c r="T628" s="40">
        <v>30000</v>
      </c>
      <c r="U628" s="40">
        <v>53271.351351351397</v>
      </c>
      <c r="V628" s="40">
        <v>0</v>
      </c>
      <c r="W628" s="45">
        <v>582787.35135135101</v>
      </c>
      <c r="X628" s="46">
        <v>5.8942912740913798</v>
      </c>
    </row>
    <row r="629" spans="1:24" s="4" customFormat="1" ht="15" customHeight="1">
      <c r="A629" s="28" t="s">
        <v>1603</v>
      </c>
      <c r="B629" s="29">
        <v>3149.63</v>
      </c>
      <c r="C629" s="30" t="s">
        <v>2058</v>
      </c>
      <c r="D629" s="2">
        <v>4949654735</v>
      </c>
      <c r="E629" s="2" t="s">
        <v>14</v>
      </c>
      <c r="F629" s="78" t="s">
        <v>2059</v>
      </c>
      <c r="G629" s="28" t="s">
        <v>13</v>
      </c>
      <c r="H629" s="2" t="s">
        <v>23</v>
      </c>
      <c r="I629" s="2">
        <v>1</v>
      </c>
      <c r="J629" s="2"/>
      <c r="K629" s="2">
        <v>3434.8</v>
      </c>
      <c r="L629" s="35">
        <v>10818349.124</v>
      </c>
      <c r="M629" s="36">
        <v>40</v>
      </c>
      <c r="N629" s="40">
        <v>142419</v>
      </c>
      <c r="O629" s="40">
        <v>0</v>
      </c>
      <c r="P629" s="40">
        <v>0</v>
      </c>
      <c r="Q629" s="40">
        <v>0</v>
      </c>
      <c r="R629" s="40">
        <v>570</v>
      </c>
      <c r="S629" s="40">
        <v>354356</v>
      </c>
      <c r="T629" s="40">
        <v>30000</v>
      </c>
      <c r="U629" s="40">
        <v>53271.351351351397</v>
      </c>
      <c r="V629" s="40">
        <v>0</v>
      </c>
      <c r="W629" s="45">
        <v>580616.35135135101</v>
      </c>
      <c r="X629" s="46">
        <v>5.3669589019204498</v>
      </c>
    </row>
    <row r="630" spans="1:24" s="4" customFormat="1" ht="15" customHeight="1">
      <c r="A630" s="28" t="s">
        <v>1603</v>
      </c>
      <c r="B630" s="29">
        <v>3149.63</v>
      </c>
      <c r="C630" s="30" t="s">
        <v>2060</v>
      </c>
      <c r="D630" s="2">
        <v>4949366047</v>
      </c>
      <c r="E630" s="2" t="s">
        <v>14</v>
      </c>
      <c r="F630" s="2" t="s">
        <v>2061</v>
      </c>
      <c r="G630" s="28" t="s">
        <v>5</v>
      </c>
      <c r="H630" s="2" t="s">
        <v>32</v>
      </c>
      <c r="I630" s="2">
        <v>1</v>
      </c>
      <c r="J630" s="2" t="s">
        <v>2062</v>
      </c>
      <c r="K630" s="2">
        <v>164.75</v>
      </c>
      <c r="L630" s="35">
        <v>518901.54249999998</v>
      </c>
      <c r="M630" s="36">
        <v>25</v>
      </c>
      <c r="N630" s="40">
        <v>1500.20187793427</v>
      </c>
      <c r="O630" s="40">
        <v>1535.3755868544599</v>
      </c>
      <c r="P630" s="40">
        <v>980.131455399061</v>
      </c>
      <c r="Q630" s="40">
        <v>466.23943661971799</v>
      </c>
      <c r="R630" s="40">
        <v>13109</v>
      </c>
      <c r="S630" s="40">
        <v>1663.64319248826</v>
      </c>
      <c r="T630" s="40">
        <v>30000</v>
      </c>
      <c r="U630" s="40">
        <v>13322.535211267599</v>
      </c>
      <c r="V630" s="40">
        <v>0</v>
      </c>
      <c r="W630" s="45">
        <v>62577.126760563398</v>
      </c>
      <c r="X630" s="46">
        <v>12.059537626169901</v>
      </c>
    </row>
    <row r="631" spans="1:24" s="4" customFormat="1" ht="15" customHeight="1">
      <c r="A631" s="28" t="s">
        <v>1603</v>
      </c>
      <c r="B631" s="29">
        <v>3149.63</v>
      </c>
      <c r="C631" s="30" t="s">
        <v>2069</v>
      </c>
      <c r="D631" s="2">
        <v>4950365705</v>
      </c>
      <c r="E631" s="2" t="s">
        <v>14</v>
      </c>
      <c r="F631" s="78" t="s">
        <v>2070</v>
      </c>
      <c r="G631" s="28" t="s">
        <v>13</v>
      </c>
      <c r="H631" s="2" t="s">
        <v>23</v>
      </c>
      <c r="I631" s="2">
        <v>1</v>
      </c>
      <c r="J631" s="2"/>
      <c r="K631" s="2">
        <v>7872.8</v>
      </c>
      <c r="L631" s="35">
        <v>24796407.063999999</v>
      </c>
      <c r="M631" s="36">
        <v>130</v>
      </c>
      <c r="N631" s="40">
        <v>418323.25757575798</v>
      </c>
      <c r="O631" s="40">
        <v>0</v>
      </c>
      <c r="P631" s="40">
        <v>0</v>
      </c>
      <c r="Q631" s="40">
        <v>0</v>
      </c>
      <c r="R631" s="40">
        <v>1673.2575757575801</v>
      </c>
      <c r="S631" s="40">
        <v>348986.96969697002</v>
      </c>
      <c r="T631" s="40">
        <v>30000</v>
      </c>
      <c r="U631" s="40">
        <v>180957.062146893</v>
      </c>
      <c r="V631" s="40">
        <v>0</v>
      </c>
      <c r="W631" s="45">
        <v>979940.54699537903</v>
      </c>
      <c r="X631" s="46">
        <v>3.9519457172409398</v>
      </c>
    </row>
    <row r="632" spans="1:24" s="4" customFormat="1" ht="15" customHeight="1">
      <c r="A632" s="28" t="s">
        <v>1603</v>
      </c>
      <c r="B632" s="29">
        <v>3149.63</v>
      </c>
      <c r="C632" s="30" t="s">
        <v>2069</v>
      </c>
      <c r="D632" s="2">
        <v>4950365708</v>
      </c>
      <c r="E632" s="2" t="s">
        <v>14</v>
      </c>
      <c r="F632" s="78" t="s">
        <v>2070</v>
      </c>
      <c r="G632" s="28" t="s">
        <v>13</v>
      </c>
      <c r="H632" s="2" t="s">
        <v>23</v>
      </c>
      <c r="I632" s="2">
        <v>1</v>
      </c>
      <c r="J632" s="2"/>
      <c r="K632" s="2">
        <v>584.36</v>
      </c>
      <c r="L632" s="35">
        <v>1840517.7867999999</v>
      </c>
      <c r="M632" s="36">
        <v>2</v>
      </c>
      <c r="N632" s="40">
        <v>6435.7424242424204</v>
      </c>
      <c r="O632" s="40">
        <v>0</v>
      </c>
      <c r="P632" s="40">
        <v>0</v>
      </c>
      <c r="Q632" s="40">
        <v>0</v>
      </c>
      <c r="R632" s="40">
        <v>25.7424242424242</v>
      </c>
      <c r="S632" s="40">
        <v>5369.0303030303003</v>
      </c>
      <c r="T632" s="40">
        <v>30000</v>
      </c>
      <c r="U632" s="40">
        <v>2783.9548022598901</v>
      </c>
      <c r="V632" s="40">
        <v>0</v>
      </c>
      <c r="W632" s="45">
        <v>44614.469953774998</v>
      </c>
      <c r="X632" s="46">
        <v>2.4240173213073701</v>
      </c>
    </row>
    <row r="633" spans="1:24" s="4" customFormat="1" ht="15" customHeight="1">
      <c r="A633" s="28" t="s">
        <v>1603</v>
      </c>
      <c r="B633" s="29">
        <v>3149.63</v>
      </c>
      <c r="C633" s="30" t="s">
        <v>2071</v>
      </c>
      <c r="D633" s="2" t="s">
        <v>2072</v>
      </c>
      <c r="E633" s="2" t="s">
        <v>14</v>
      </c>
      <c r="F633" s="78" t="s">
        <v>2073</v>
      </c>
      <c r="G633" s="28" t="s">
        <v>13</v>
      </c>
      <c r="H633" s="2" t="s">
        <v>23</v>
      </c>
      <c r="I633" s="2">
        <v>1</v>
      </c>
      <c r="J633" s="2"/>
      <c r="K633" s="2">
        <v>6070.84</v>
      </c>
      <c r="L633" s="35">
        <v>19120899.7892</v>
      </c>
      <c r="M633" s="36">
        <v>45</v>
      </c>
      <c r="N633" s="40">
        <v>376350</v>
      </c>
      <c r="O633" s="40">
        <v>0</v>
      </c>
      <c r="P633" s="40">
        <v>0</v>
      </c>
      <c r="Q633" s="40">
        <v>0</v>
      </c>
      <c r="R633" s="40">
        <v>2921</v>
      </c>
      <c r="S633" s="40">
        <v>354356</v>
      </c>
      <c r="T633" s="40">
        <v>30000</v>
      </c>
      <c r="U633" s="40">
        <v>62638.983050847499</v>
      </c>
      <c r="V633" s="40">
        <v>0</v>
      </c>
      <c r="W633" s="45">
        <v>826265.98305084801</v>
      </c>
      <c r="X633" s="46">
        <v>4.3212714472649703</v>
      </c>
    </row>
    <row r="634" spans="1:24" s="4" customFormat="1" ht="15" customHeight="1">
      <c r="A634" s="28" t="s">
        <v>1603</v>
      </c>
      <c r="B634" s="29">
        <v>3149.63</v>
      </c>
      <c r="C634" s="30" t="s">
        <v>2098</v>
      </c>
      <c r="D634" s="2">
        <v>4949681927</v>
      </c>
      <c r="E634" s="2" t="s">
        <v>14</v>
      </c>
      <c r="F634" s="2" t="s">
        <v>2099</v>
      </c>
      <c r="G634" s="28" t="s">
        <v>5</v>
      </c>
      <c r="H634" s="2" t="s">
        <v>2100</v>
      </c>
      <c r="I634" s="2">
        <v>3</v>
      </c>
      <c r="J634" s="2" t="s">
        <v>2101</v>
      </c>
      <c r="K634" s="2">
        <v>18000</v>
      </c>
      <c r="L634" s="35">
        <v>56693340</v>
      </c>
      <c r="M634" s="36">
        <v>18000</v>
      </c>
      <c r="N634" s="40">
        <v>0</v>
      </c>
      <c r="O634" s="40">
        <v>1185089</v>
      </c>
      <c r="P634" s="40">
        <v>199556.541019956</v>
      </c>
      <c r="Q634" s="40">
        <v>297928</v>
      </c>
      <c r="R634" s="40">
        <v>682607</v>
      </c>
      <c r="S634" s="40">
        <v>117856.762749446</v>
      </c>
      <c r="T634" s="40">
        <v>30000</v>
      </c>
      <c r="U634" s="40">
        <v>521374.72283813701</v>
      </c>
      <c r="V634" s="40">
        <v>0</v>
      </c>
      <c r="W634" s="45">
        <v>3034412.02660754</v>
      </c>
      <c r="X634" s="46">
        <v>5.3523253817953602</v>
      </c>
    </row>
    <row r="635" spans="1:24" s="4" customFormat="1" ht="15" customHeight="1">
      <c r="A635" s="28" t="s">
        <v>1603</v>
      </c>
      <c r="B635" s="29">
        <v>3149.63</v>
      </c>
      <c r="C635" s="30" t="s">
        <v>2105</v>
      </c>
      <c r="D635" s="2">
        <v>4949838814</v>
      </c>
      <c r="E635" s="2" t="s">
        <v>14</v>
      </c>
      <c r="F635" s="2" t="s">
        <v>2106</v>
      </c>
      <c r="G635" s="28" t="s">
        <v>5</v>
      </c>
      <c r="H635" s="2" t="s">
        <v>20</v>
      </c>
      <c r="I635" s="2">
        <v>1</v>
      </c>
      <c r="J635" s="2" t="s">
        <v>2107</v>
      </c>
      <c r="K635" s="2">
        <v>1742</v>
      </c>
      <c r="L635" s="35">
        <v>5486655.46</v>
      </c>
      <c r="M635" s="36">
        <v>880</v>
      </c>
      <c r="N635" s="40">
        <v>42033.069984447902</v>
      </c>
      <c r="O635" s="40">
        <v>29838.341109383098</v>
      </c>
      <c r="P635" s="40">
        <v>0</v>
      </c>
      <c r="Q635" s="40">
        <v>9060.8522550544294</v>
      </c>
      <c r="R635" s="40">
        <v>58513</v>
      </c>
      <c r="S635" s="40">
        <v>32331.081389320902</v>
      </c>
      <c r="T635" s="40">
        <v>30000</v>
      </c>
      <c r="U635" s="40">
        <v>296481.078278901</v>
      </c>
      <c r="V635" s="40">
        <v>0</v>
      </c>
      <c r="W635" s="45">
        <v>498257.42301710701</v>
      </c>
      <c r="X635" s="46">
        <v>9.0812595514628391</v>
      </c>
    </row>
    <row r="636" spans="1:24" s="4" customFormat="1" ht="15" customHeight="1">
      <c r="A636" s="28" t="s">
        <v>1603</v>
      </c>
      <c r="B636" s="29">
        <v>3149.63</v>
      </c>
      <c r="C636" s="30" t="s">
        <v>2105</v>
      </c>
      <c r="D636" s="2">
        <v>4949137005</v>
      </c>
      <c r="E636" s="2" t="s">
        <v>14</v>
      </c>
      <c r="F636" s="2" t="s">
        <v>2106</v>
      </c>
      <c r="G636" s="28" t="s">
        <v>5</v>
      </c>
      <c r="H636" s="2" t="s">
        <v>20</v>
      </c>
      <c r="I636" s="2">
        <v>1</v>
      </c>
      <c r="J636" s="2" t="s">
        <v>2107</v>
      </c>
      <c r="K636" s="2">
        <v>1773</v>
      </c>
      <c r="L636" s="35">
        <v>5584293.9900000002</v>
      </c>
      <c r="M636" s="36">
        <v>900</v>
      </c>
      <c r="N636" s="40">
        <v>42988.367029549001</v>
      </c>
      <c r="O636" s="40">
        <v>30516.485225505399</v>
      </c>
      <c r="P636" s="40">
        <v>0</v>
      </c>
      <c r="Q636" s="40">
        <v>9266.7807153965805</v>
      </c>
      <c r="R636" s="40">
        <v>59843</v>
      </c>
      <c r="S636" s="40">
        <v>33065.878693623599</v>
      </c>
      <c r="T636" s="40">
        <v>30000</v>
      </c>
      <c r="U636" s="40">
        <v>303219.28460342099</v>
      </c>
      <c r="V636" s="40">
        <v>0</v>
      </c>
      <c r="W636" s="45">
        <v>508899.79626749601</v>
      </c>
      <c r="X636" s="46">
        <v>9.1130552434882706</v>
      </c>
    </row>
    <row r="637" spans="1:24" s="4" customFormat="1" ht="15" customHeight="1">
      <c r="A637" s="28" t="s">
        <v>1603</v>
      </c>
      <c r="B637" s="29">
        <v>3149.63</v>
      </c>
      <c r="C637" s="30" t="s">
        <v>2105</v>
      </c>
      <c r="D637" s="2">
        <v>4949718144</v>
      </c>
      <c r="E637" s="2" t="s">
        <v>14</v>
      </c>
      <c r="F637" s="2" t="s">
        <v>2106</v>
      </c>
      <c r="G637" s="28" t="s">
        <v>5</v>
      </c>
      <c r="H637" s="2" t="s">
        <v>20</v>
      </c>
      <c r="I637" s="2">
        <v>1</v>
      </c>
      <c r="J637" s="2" t="s">
        <v>2107</v>
      </c>
      <c r="K637" s="2">
        <v>3834</v>
      </c>
      <c r="L637" s="35">
        <v>12075681.42</v>
      </c>
      <c r="M637" s="36">
        <v>900</v>
      </c>
      <c r="N637" s="40">
        <v>42988.367029549001</v>
      </c>
      <c r="O637" s="40">
        <v>30516.485225505399</v>
      </c>
      <c r="P637" s="40">
        <v>0</v>
      </c>
      <c r="Q637" s="40">
        <v>9266.7807153965805</v>
      </c>
      <c r="R637" s="40">
        <v>59843</v>
      </c>
      <c r="S637" s="40">
        <v>33065.878693623599</v>
      </c>
      <c r="T637" s="40">
        <v>30000</v>
      </c>
      <c r="U637" s="40">
        <v>303219.28460342099</v>
      </c>
      <c r="V637" s="40">
        <v>0</v>
      </c>
      <c r="W637" s="45">
        <v>508899.79626749601</v>
      </c>
      <c r="X637" s="46">
        <v>4.2142532464018503</v>
      </c>
    </row>
    <row r="638" spans="1:24" s="4" customFormat="1" ht="15" customHeight="1">
      <c r="A638" s="28" t="s">
        <v>1603</v>
      </c>
      <c r="B638" s="29">
        <v>3149.63</v>
      </c>
      <c r="C638" s="30" t="s">
        <v>2105</v>
      </c>
      <c r="D638" s="2">
        <v>4949532986</v>
      </c>
      <c r="E638" s="2" t="s">
        <v>14</v>
      </c>
      <c r="F638" s="2" t="s">
        <v>2106</v>
      </c>
      <c r="G638" s="28" t="s">
        <v>5</v>
      </c>
      <c r="H638" s="2" t="s">
        <v>20</v>
      </c>
      <c r="I638" s="2">
        <v>1</v>
      </c>
      <c r="J638" s="2" t="s">
        <v>2107</v>
      </c>
      <c r="K638" s="2">
        <v>4258.8</v>
      </c>
      <c r="L638" s="35">
        <v>13413644.244000001</v>
      </c>
      <c r="M638" s="36">
        <v>2340</v>
      </c>
      <c r="N638" s="40">
        <v>111769.75427682701</v>
      </c>
      <c r="O638" s="40">
        <v>79342.861586314102</v>
      </c>
      <c r="P638" s="40">
        <v>0</v>
      </c>
      <c r="Q638" s="40">
        <v>24093.629860031098</v>
      </c>
      <c r="R638" s="40">
        <v>155591</v>
      </c>
      <c r="S638" s="40">
        <v>85971.284603421504</v>
      </c>
      <c r="T638" s="40">
        <v>30000</v>
      </c>
      <c r="U638" s="40">
        <v>788370.13996889605</v>
      </c>
      <c r="V638" s="40">
        <v>0</v>
      </c>
      <c r="W638" s="45">
        <v>1275138.67029549</v>
      </c>
      <c r="X638" s="46">
        <v>9.5062806728743094</v>
      </c>
    </row>
    <row r="639" spans="1:24" s="4" customFormat="1" ht="15" customHeight="1">
      <c r="A639" s="28" t="s">
        <v>1603</v>
      </c>
      <c r="B639" s="29">
        <v>3149.63</v>
      </c>
      <c r="C639" s="30" t="s">
        <v>2105</v>
      </c>
      <c r="D639" s="2">
        <v>4949719615</v>
      </c>
      <c r="E639" s="2" t="s">
        <v>14</v>
      </c>
      <c r="F639" s="2" t="s">
        <v>2106</v>
      </c>
      <c r="G639" s="28" t="s">
        <v>5</v>
      </c>
      <c r="H639" s="2" t="s">
        <v>20</v>
      </c>
      <c r="I639" s="2">
        <v>1</v>
      </c>
      <c r="J639" s="2" t="s">
        <v>2107</v>
      </c>
      <c r="K639" s="2">
        <v>2803.5</v>
      </c>
      <c r="L639" s="35">
        <v>8829987.7050000001</v>
      </c>
      <c r="M639" s="36">
        <v>525</v>
      </c>
      <c r="N639" s="40">
        <v>25076.547433903601</v>
      </c>
      <c r="O639" s="40">
        <v>17801.283048211499</v>
      </c>
      <c r="P639" s="40">
        <v>0</v>
      </c>
      <c r="Q639" s="40">
        <v>5405.6220839813404</v>
      </c>
      <c r="R639" s="40">
        <v>34908</v>
      </c>
      <c r="S639" s="40">
        <v>19288.429237947101</v>
      </c>
      <c r="T639" s="40">
        <v>30000</v>
      </c>
      <c r="U639" s="40">
        <v>176877.916018663</v>
      </c>
      <c r="V639" s="40">
        <v>0</v>
      </c>
      <c r="W639" s="45">
        <v>309357.79782270698</v>
      </c>
      <c r="X639" s="46">
        <v>3.5034906973600002</v>
      </c>
    </row>
    <row r="640" spans="1:24" s="4" customFormat="1" ht="15" customHeight="1">
      <c r="A640" s="28" t="s">
        <v>1603</v>
      </c>
      <c r="B640" s="29">
        <v>3149.63</v>
      </c>
      <c r="C640" s="30" t="s">
        <v>2105</v>
      </c>
      <c r="D640" s="2">
        <v>4949660514</v>
      </c>
      <c r="E640" s="2" t="s">
        <v>14</v>
      </c>
      <c r="F640" s="2" t="s">
        <v>2106</v>
      </c>
      <c r="G640" s="28" t="s">
        <v>5</v>
      </c>
      <c r="H640" s="2" t="s">
        <v>20</v>
      </c>
      <c r="I640" s="2">
        <v>1</v>
      </c>
      <c r="J640" s="2" t="s">
        <v>2107</v>
      </c>
      <c r="K640" s="2">
        <v>5257.6</v>
      </c>
      <c r="L640" s="35">
        <v>16559494.687999999</v>
      </c>
      <c r="M640" s="36">
        <v>1240</v>
      </c>
      <c r="N640" s="40">
        <v>59228.416796267498</v>
      </c>
      <c r="O640" s="40">
        <v>42044.935199585299</v>
      </c>
      <c r="P640" s="40">
        <v>0</v>
      </c>
      <c r="Q640" s="40">
        <v>12767.5645412131</v>
      </c>
      <c r="R640" s="40">
        <v>82450</v>
      </c>
      <c r="S640" s="40">
        <v>45557.432866770403</v>
      </c>
      <c r="T640" s="40">
        <v>30000</v>
      </c>
      <c r="U640" s="40">
        <v>417768.79212027002</v>
      </c>
      <c r="V640" s="40">
        <v>0</v>
      </c>
      <c r="W640" s="45">
        <v>689817.14152410603</v>
      </c>
      <c r="X640" s="46">
        <v>4.1656895607085698</v>
      </c>
    </row>
    <row r="641" spans="1:24" s="4" customFormat="1" ht="15" customHeight="1">
      <c r="A641" s="28" t="s">
        <v>1603</v>
      </c>
      <c r="B641" s="29">
        <v>3149.63</v>
      </c>
      <c r="C641" s="30" t="s">
        <v>2105</v>
      </c>
      <c r="D641" s="2">
        <v>4949660514</v>
      </c>
      <c r="E641" s="2" t="s">
        <v>14</v>
      </c>
      <c r="F641" s="2" t="s">
        <v>2106</v>
      </c>
      <c r="G641" s="28" t="s">
        <v>5</v>
      </c>
      <c r="H641" s="2" t="s">
        <v>20</v>
      </c>
      <c r="I641" s="2">
        <v>1</v>
      </c>
      <c r="J641" s="2" t="s">
        <v>2107</v>
      </c>
      <c r="K641" s="2">
        <v>3969</v>
      </c>
      <c r="L641" s="35">
        <v>12500881.470000001</v>
      </c>
      <c r="M641" s="36">
        <v>1260</v>
      </c>
      <c r="N641" s="40">
        <v>60183.713841368597</v>
      </c>
      <c r="O641" s="40">
        <v>42723.079315707597</v>
      </c>
      <c r="P641" s="40">
        <v>0</v>
      </c>
      <c r="Q641" s="40">
        <v>12973.4930015552</v>
      </c>
      <c r="R641" s="40">
        <v>83780</v>
      </c>
      <c r="S641" s="40">
        <v>46292.230171073097</v>
      </c>
      <c r="T641" s="40">
        <v>30000</v>
      </c>
      <c r="U641" s="40">
        <v>424506.99844479002</v>
      </c>
      <c r="V641" s="40">
        <v>0</v>
      </c>
      <c r="W641" s="45">
        <v>700459.51477449504</v>
      </c>
      <c r="X641" s="46">
        <v>5.6032809882685397</v>
      </c>
    </row>
    <row r="642" spans="1:24" s="4" customFormat="1" ht="15" customHeight="1">
      <c r="A642" s="28" t="s">
        <v>1603</v>
      </c>
      <c r="B642" s="29">
        <v>3149.63</v>
      </c>
      <c r="C642" s="30" t="s">
        <v>2105</v>
      </c>
      <c r="D642" s="2">
        <v>4949660514</v>
      </c>
      <c r="E642" s="2" t="s">
        <v>14</v>
      </c>
      <c r="F642" s="2" t="s">
        <v>2106</v>
      </c>
      <c r="G642" s="28" t="s">
        <v>5</v>
      </c>
      <c r="H642" s="2" t="s">
        <v>20</v>
      </c>
      <c r="I642" s="2">
        <v>1</v>
      </c>
      <c r="J642" s="2" t="s">
        <v>2107</v>
      </c>
      <c r="K642" s="2">
        <v>4416</v>
      </c>
      <c r="L642" s="35">
        <v>13908766.08</v>
      </c>
      <c r="M642" s="36">
        <v>1600</v>
      </c>
      <c r="N642" s="40">
        <v>76423.763608087102</v>
      </c>
      <c r="O642" s="40">
        <v>54251.529289787497</v>
      </c>
      <c r="P642" s="40">
        <v>0</v>
      </c>
      <c r="Q642" s="40">
        <v>16474.276827371701</v>
      </c>
      <c r="R642" s="40">
        <v>106387</v>
      </c>
      <c r="S642" s="40">
        <v>58783.784344219799</v>
      </c>
      <c r="T642" s="40">
        <v>30000</v>
      </c>
      <c r="U642" s="40">
        <v>539056.50596163794</v>
      </c>
      <c r="V642" s="40">
        <v>0</v>
      </c>
      <c r="W642" s="45">
        <v>881376.86003110395</v>
      </c>
      <c r="X642" s="46">
        <v>6.3368443682324402</v>
      </c>
    </row>
    <row r="643" spans="1:24" s="4" customFormat="1" ht="15" customHeight="1">
      <c r="A643" s="28" t="s">
        <v>1603</v>
      </c>
      <c r="B643" s="29">
        <v>3149.63</v>
      </c>
      <c r="C643" s="30" t="s">
        <v>2108</v>
      </c>
      <c r="D643" s="2">
        <v>4949037263</v>
      </c>
      <c r="E643" s="2" t="s">
        <v>14</v>
      </c>
      <c r="F643" s="2" t="s">
        <v>2109</v>
      </c>
      <c r="G643" s="28" t="s">
        <v>5</v>
      </c>
      <c r="H643" s="2" t="s">
        <v>17</v>
      </c>
      <c r="I643" s="2">
        <v>1</v>
      </c>
      <c r="J643" s="2" t="s">
        <v>2110</v>
      </c>
      <c r="K643" s="2">
        <v>11165</v>
      </c>
      <c r="L643" s="35">
        <v>35165618.950000003</v>
      </c>
      <c r="M643" s="36">
        <v>3500</v>
      </c>
      <c r="N643" s="40">
        <v>48405.280242371802</v>
      </c>
      <c r="O643" s="40">
        <v>64990.781216187002</v>
      </c>
      <c r="P643" s="40">
        <v>0</v>
      </c>
      <c r="Q643" s="40">
        <v>15043.5619995672</v>
      </c>
      <c r="R643" s="40">
        <v>96985</v>
      </c>
      <c r="S643" s="40">
        <v>53678.6842674746</v>
      </c>
      <c r="T643" s="40">
        <v>30000</v>
      </c>
      <c r="U643" s="40">
        <v>861790.73793551198</v>
      </c>
      <c r="V643" s="40">
        <v>0</v>
      </c>
      <c r="W643" s="45">
        <v>1170894.04566111</v>
      </c>
      <c r="X643" s="46">
        <v>3.32965572801645</v>
      </c>
    </row>
    <row r="644" spans="1:24" s="4" customFormat="1" ht="15" customHeight="1">
      <c r="A644" s="28" t="s">
        <v>1603</v>
      </c>
      <c r="B644" s="29">
        <v>3149.63</v>
      </c>
      <c r="C644" s="30" t="s">
        <v>2108</v>
      </c>
      <c r="D644" s="2">
        <v>4949532991</v>
      </c>
      <c r="E644" s="2" t="s">
        <v>14</v>
      </c>
      <c r="F644" s="2" t="s">
        <v>2109</v>
      </c>
      <c r="G644" s="28" t="s">
        <v>5</v>
      </c>
      <c r="H644" s="2" t="s">
        <v>17</v>
      </c>
      <c r="I644" s="2">
        <v>1</v>
      </c>
      <c r="J644" s="2" t="s">
        <v>2110</v>
      </c>
      <c r="K644" s="2">
        <v>20380.8</v>
      </c>
      <c r="L644" s="35">
        <v>64191979.104000002</v>
      </c>
      <c r="M644" s="36">
        <v>5280</v>
      </c>
      <c r="N644" s="40">
        <v>73022.822765635196</v>
      </c>
      <c r="O644" s="40">
        <v>98043.235663276399</v>
      </c>
      <c r="P644" s="40">
        <v>0</v>
      </c>
      <c r="Q644" s="40">
        <v>22694.287816489901</v>
      </c>
      <c r="R644" s="40">
        <v>146310</v>
      </c>
      <c r="S644" s="40">
        <v>80978.129409218804</v>
      </c>
      <c r="T644" s="40">
        <v>30000</v>
      </c>
      <c r="U644" s="40">
        <v>1300072.884657</v>
      </c>
      <c r="V644" s="40">
        <v>0</v>
      </c>
      <c r="W644" s="45">
        <v>1751121.3603116199</v>
      </c>
      <c r="X644" s="46">
        <v>2.7279441836098499</v>
      </c>
    </row>
    <row r="645" spans="1:24" s="4" customFormat="1" ht="15" customHeight="1">
      <c r="A645" s="28" t="s">
        <v>1603</v>
      </c>
      <c r="B645" s="29">
        <v>3149.63</v>
      </c>
      <c r="C645" s="30" t="s">
        <v>2108</v>
      </c>
      <c r="D645" s="2">
        <v>4949532992</v>
      </c>
      <c r="E645" s="2" t="s">
        <v>14</v>
      </c>
      <c r="F645" s="2" t="s">
        <v>2109</v>
      </c>
      <c r="G645" s="28" t="s">
        <v>5</v>
      </c>
      <c r="H645" s="2" t="s">
        <v>17</v>
      </c>
      <c r="I645" s="2">
        <v>1</v>
      </c>
      <c r="J645" s="2" t="s">
        <v>2110</v>
      </c>
      <c r="K645" s="2">
        <v>19367.25</v>
      </c>
      <c r="L645" s="35">
        <v>60999671.6175</v>
      </c>
      <c r="M645" s="36">
        <v>3675</v>
      </c>
      <c r="N645" s="40">
        <v>50825.5442544904</v>
      </c>
      <c r="O645" s="40">
        <v>68240.320276996295</v>
      </c>
      <c r="P645" s="40">
        <v>0</v>
      </c>
      <c r="Q645" s="40">
        <v>15795.740099545599</v>
      </c>
      <c r="R645" s="40">
        <v>101835</v>
      </c>
      <c r="S645" s="40">
        <v>56362.618480848301</v>
      </c>
      <c r="T645" s="40">
        <v>30000</v>
      </c>
      <c r="U645" s="40">
        <v>904880.27483228699</v>
      </c>
      <c r="V645" s="40">
        <v>0</v>
      </c>
      <c r="W645" s="45">
        <v>1227939.4979441699</v>
      </c>
      <c r="X645" s="46">
        <v>2.0130264071649302</v>
      </c>
    </row>
    <row r="646" spans="1:24" s="4" customFormat="1" ht="15" customHeight="1">
      <c r="A646" s="28" t="s">
        <v>1603</v>
      </c>
      <c r="B646" s="29">
        <v>3149.63</v>
      </c>
      <c r="C646" s="30" t="s">
        <v>2108</v>
      </c>
      <c r="D646" s="2">
        <v>4949590092</v>
      </c>
      <c r="E646" s="2" t="s">
        <v>14</v>
      </c>
      <c r="F646" s="2" t="s">
        <v>2109</v>
      </c>
      <c r="G646" s="28" t="s">
        <v>5</v>
      </c>
      <c r="H646" s="2" t="s">
        <v>17</v>
      </c>
      <c r="I646" s="2">
        <v>1</v>
      </c>
      <c r="J646" s="2" t="s">
        <v>2110</v>
      </c>
      <c r="K646" s="2">
        <v>5124</v>
      </c>
      <c r="L646" s="35">
        <v>16138704.119999999</v>
      </c>
      <c r="M646" s="36">
        <v>1050</v>
      </c>
      <c r="N646" s="40">
        <v>14521.584072711499</v>
      </c>
      <c r="O646" s="40">
        <v>19497.2343648561</v>
      </c>
      <c r="P646" s="40">
        <v>0</v>
      </c>
      <c r="Q646" s="40">
        <v>4513.0685998701601</v>
      </c>
      <c r="R646" s="40">
        <v>29096</v>
      </c>
      <c r="S646" s="40">
        <v>16103.6052802424</v>
      </c>
      <c r="T646" s="40">
        <v>30000</v>
      </c>
      <c r="U646" s="40">
        <v>258537.22138065399</v>
      </c>
      <c r="V646" s="40">
        <v>0</v>
      </c>
      <c r="W646" s="45">
        <v>372268.713698334</v>
      </c>
      <c r="X646" s="46">
        <v>2.30668281003428</v>
      </c>
    </row>
    <row r="647" spans="1:24" s="4" customFormat="1" ht="15" customHeight="1">
      <c r="A647" s="28" t="s">
        <v>1603</v>
      </c>
      <c r="B647" s="29">
        <v>3149.63</v>
      </c>
      <c r="C647" s="30" t="s">
        <v>2108</v>
      </c>
      <c r="D647" s="2">
        <v>4949719617</v>
      </c>
      <c r="E647" s="2" t="s">
        <v>14</v>
      </c>
      <c r="F647" s="2" t="s">
        <v>2109</v>
      </c>
      <c r="G647" s="28" t="s">
        <v>5</v>
      </c>
      <c r="H647" s="2" t="s">
        <v>17</v>
      </c>
      <c r="I647" s="2">
        <v>1</v>
      </c>
      <c r="J647" s="2" t="s">
        <v>2110</v>
      </c>
      <c r="K647" s="2">
        <v>26496</v>
      </c>
      <c r="L647" s="35">
        <v>83452596.480000004</v>
      </c>
      <c r="M647" s="36">
        <v>9600</v>
      </c>
      <c r="N647" s="40">
        <v>132768.76866479099</v>
      </c>
      <c r="O647" s="40">
        <v>178260.42847868401</v>
      </c>
      <c r="P647" s="40">
        <v>0</v>
      </c>
      <c r="Q647" s="40">
        <v>41262.341484527198</v>
      </c>
      <c r="R647" s="40">
        <v>266018</v>
      </c>
      <c r="S647" s="40">
        <v>147232.96256221601</v>
      </c>
      <c r="T647" s="40">
        <v>30000</v>
      </c>
      <c r="U647" s="40">
        <v>2363768.8811945501</v>
      </c>
      <c r="V647" s="40">
        <v>0</v>
      </c>
      <c r="W647" s="45">
        <v>3159311.3823847701</v>
      </c>
      <c r="X647" s="46">
        <v>3.7857556452924999</v>
      </c>
    </row>
    <row r="648" spans="1:24" s="4" customFormat="1" ht="15" customHeight="1">
      <c r="A648" s="28" t="s">
        <v>1603</v>
      </c>
      <c r="B648" s="29">
        <v>3149.63</v>
      </c>
      <c r="C648" s="30" t="s">
        <v>2128</v>
      </c>
      <c r="D648" s="2">
        <v>4949417105</v>
      </c>
      <c r="E648" s="2" t="s">
        <v>14</v>
      </c>
      <c r="F648" s="2" t="s">
        <v>2129</v>
      </c>
      <c r="G648" s="28" t="s">
        <v>5</v>
      </c>
      <c r="H648" s="2" t="s">
        <v>20</v>
      </c>
      <c r="I648" s="2">
        <v>2</v>
      </c>
      <c r="J648" s="2" t="s">
        <v>2130</v>
      </c>
      <c r="K648" s="2">
        <v>56368</v>
      </c>
      <c r="L648" s="35">
        <v>177538343.84</v>
      </c>
      <c r="M648" s="36">
        <v>10400</v>
      </c>
      <c r="N648" s="40">
        <v>354004</v>
      </c>
      <c r="O648" s="40">
        <v>654071</v>
      </c>
      <c r="P648" s="40">
        <v>0</v>
      </c>
      <c r="Q648" s="40">
        <v>198619</v>
      </c>
      <c r="R648" s="40">
        <v>622799</v>
      </c>
      <c r="S648" s="40">
        <v>354356</v>
      </c>
      <c r="T648" s="40">
        <v>30000</v>
      </c>
      <c r="U648" s="40">
        <v>1552000</v>
      </c>
      <c r="V648" s="40">
        <v>0</v>
      </c>
      <c r="W648" s="45">
        <v>3765849</v>
      </c>
      <c r="X648" s="46">
        <v>2.1211468568129899</v>
      </c>
    </row>
    <row r="649" spans="1:24" s="4" customFormat="1" ht="15" customHeight="1">
      <c r="A649" s="28" t="s">
        <v>1603</v>
      </c>
      <c r="B649" s="29">
        <v>3149.63</v>
      </c>
      <c r="C649" s="30" t="s">
        <v>2131</v>
      </c>
      <c r="D649" s="2">
        <v>4949662455</v>
      </c>
      <c r="E649" s="2" t="s">
        <v>14</v>
      </c>
      <c r="F649" s="2" t="s">
        <v>2132</v>
      </c>
      <c r="G649" s="28" t="s">
        <v>5</v>
      </c>
      <c r="H649" s="2" t="s">
        <v>17</v>
      </c>
      <c r="I649" s="2">
        <v>1</v>
      </c>
      <c r="J649" s="2" t="s">
        <v>2133</v>
      </c>
      <c r="K649" s="2">
        <v>15260</v>
      </c>
      <c r="L649" s="35">
        <v>48063353.799999997</v>
      </c>
      <c r="M649" s="36">
        <v>1400</v>
      </c>
      <c r="N649" s="40">
        <v>28458.117048346099</v>
      </c>
      <c r="O649" s="40">
        <v>38763.781865117802</v>
      </c>
      <c r="P649" s="40">
        <v>0</v>
      </c>
      <c r="Q649" s="40">
        <v>8972.7395934172291</v>
      </c>
      <c r="R649" s="40">
        <v>69928</v>
      </c>
      <c r="S649" s="40">
        <v>31558.422391857501</v>
      </c>
      <c r="T649" s="40">
        <v>30000</v>
      </c>
      <c r="U649" s="40">
        <v>485061.70483460597</v>
      </c>
      <c r="V649" s="40">
        <v>0</v>
      </c>
      <c r="W649" s="45">
        <v>692742.76573334495</v>
      </c>
      <c r="X649" s="46">
        <v>1.44131174993732</v>
      </c>
    </row>
    <row r="650" spans="1:24" s="4" customFormat="1" ht="15" customHeight="1">
      <c r="A650" s="28" t="s">
        <v>1603</v>
      </c>
      <c r="B650" s="29">
        <v>3149.63</v>
      </c>
      <c r="C650" s="30" t="s">
        <v>2131</v>
      </c>
      <c r="D650" s="2">
        <v>4949662455</v>
      </c>
      <c r="E650" s="2" t="s">
        <v>14</v>
      </c>
      <c r="F650" s="2" t="s">
        <v>2132</v>
      </c>
      <c r="G650" s="28" t="s">
        <v>5</v>
      </c>
      <c r="H650" s="2" t="s">
        <v>17</v>
      </c>
      <c r="I650" s="2">
        <v>1</v>
      </c>
      <c r="J650" s="2" t="s">
        <v>2133</v>
      </c>
      <c r="K650" s="2">
        <v>128.80000000000001</v>
      </c>
      <c r="L650" s="35">
        <v>405672.34399999998</v>
      </c>
      <c r="M650" s="36">
        <v>10</v>
      </c>
      <c r="N650" s="40">
        <v>203.27226463104299</v>
      </c>
      <c r="O650" s="40">
        <v>276.88415617941303</v>
      </c>
      <c r="P650" s="40">
        <v>0</v>
      </c>
      <c r="Q650" s="40">
        <v>64.090997095837395</v>
      </c>
      <c r="R650" s="40">
        <v>499</v>
      </c>
      <c r="S650" s="40">
        <v>225.41730279898201</v>
      </c>
      <c r="T650" s="40">
        <v>30000</v>
      </c>
      <c r="U650" s="40">
        <v>3464.7264631043299</v>
      </c>
      <c r="V650" s="40">
        <v>0</v>
      </c>
      <c r="W650" s="45">
        <v>34733.391183809603</v>
      </c>
      <c r="X650" s="46">
        <v>8.5619322336179806</v>
      </c>
    </row>
    <row r="651" spans="1:24" s="4" customFormat="1" ht="15" customHeight="1">
      <c r="A651" s="28" t="s">
        <v>1603</v>
      </c>
      <c r="B651" s="29">
        <v>3149.63</v>
      </c>
      <c r="C651" s="30" t="s">
        <v>2131</v>
      </c>
      <c r="D651" s="2">
        <v>4948771043</v>
      </c>
      <c r="E651" s="2" t="s">
        <v>14</v>
      </c>
      <c r="F651" s="2" t="s">
        <v>2132</v>
      </c>
      <c r="G651" s="28" t="s">
        <v>5</v>
      </c>
      <c r="H651" s="2" t="s">
        <v>17</v>
      </c>
      <c r="I651" s="2">
        <v>1</v>
      </c>
      <c r="J651" s="2" t="s">
        <v>2133</v>
      </c>
      <c r="K651" s="2">
        <v>14514.5</v>
      </c>
      <c r="L651" s="35">
        <v>45715304.634999998</v>
      </c>
      <c r="M651" s="36">
        <v>4550</v>
      </c>
      <c r="N651" s="40">
        <v>92488.8804071247</v>
      </c>
      <c r="O651" s="40">
        <v>125982.291061633</v>
      </c>
      <c r="P651" s="40">
        <v>0</v>
      </c>
      <c r="Q651" s="40">
        <v>29161.403678605999</v>
      </c>
      <c r="R651" s="40">
        <v>227264</v>
      </c>
      <c r="S651" s="40">
        <v>102564.872773537</v>
      </c>
      <c r="T651" s="40">
        <v>30000</v>
      </c>
      <c r="U651" s="40">
        <v>1576450.54071247</v>
      </c>
      <c r="V651" s="40">
        <v>0</v>
      </c>
      <c r="W651" s="45">
        <v>2183911.98863337</v>
      </c>
      <c r="X651" s="46">
        <v>4.7772009966249902</v>
      </c>
    </row>
    <row r="652" spans="1:24" s="4" customFormat="1" ht="15" customHeight="1">
      <c r="A652" s="28" t="s">
        <v>1603</v>
      </c>
      <c r="B652" s="29">
        <v>3149.63</v>
      </c>
      <c r="C652" s="30" t="s">
        <v>2131</v>
      </c>
      <c r="D652" s="2">
        <v>4949366046</v>
      </c>
      <c r="E652" s="2" t="s">
        <v>14</v>
      </c>
      <c r="F652" s="2" t="s">
        <v>2132</v>
      </c>
      <c r="G652" s="28" t="s">
        <v>5</v>
      </c>
      <c r="H652" s="2" t="s">
        <v>17</v>
      </c>
      <c r="I652" s="2">
        <v>1</v>
      </c>
      <c r="J652" s="2" t="s">
        <v>2133</v>
      </c>
      <c r="K652" s="2">
        <v>15916.5</v>
      </c>
      <c r="L652" s="35">
        <v>50131085.895000003</v>
      </c>
      <c r="M652" s="36">
        <v>6075</v>
      </c>
      <c r="N652" s="40">
        <v>128061.526717557</v>
      </c>
      <c r="O652" s="40">
        <v>168207.124878993</v>
      </c>
      <c r="P652" s="40">
        <v>0</v>
      </c>
      <c r="Q652" s="40">
        <v>38935.2807357212</v>
      </c>
      <c r="R652" s="40">
        <v>314673</v>
      </c>
      <c r="S652" s="40">
        <v>142012.90076335901</v>
      </c>
      <c r="T652" s="40">
        <v>30000</v>
      </c>
      <c r="U652" s="40">
        <v>2182777.6717557302</v>
      </c>
      <c r="V652" s="40">
        <v>0</v>
      </c>
      <c r="W652" s="45">
        <v>3004667.5048513599</v>
      </c>
      <c r="X652" s="46">
        <v>5.9936214251266398</v>
      </c>
    </row>
    <row r="653" spans="1:24" s="4" customFormat="1" ht="15" customHeight="1">
      <c r="A653" s="28" t="s">
        <v>1603</v>
      </c>
      <c r="B653" s="29">
        <v>3149.63</v>
      </c>
      <c r="C653" s="30" t="s">
        <v>2131</v>
      </c>
      <c r="D653" s="2">
        <v>4950090416</v>
      </c>
      <c r="E653" s="2" t="s">
        <v>14</v>
      </c>
      <c r="F653" s="2" t="s">
        <v>2132</v>
      </c>
      <c r="G653" s="28" t="s">
        <v>5</v>
      </c>
      <c r="H653" s="2" t="s">
        <v>17</v>
      </c>
      <c r="I653" s="2">
        <v>1</v>
      </c>
      <c r="J653" s="2" t="s">
        <v>2133</v>
      </c>
      <c r="K653" s="2">
        <v>1764</v>
      </c>
      <c r="L653" s="35">
        <v>5555947.3200000003</v>
      </c>
      <c r="M653" s="36">
        <v>175</v>
      </c>
      <c r="N653" s="40">
        <v>3557.2646310432601</v>
      </c>
      <c r="O653" s="40">
        <v>4845.4727331397198</v>
      </c>
      <c r="P653" s="40">
        <v>0</v>
      </c>
      <c r="Q653" s="40">
        <v>1121.59244917715</v>
      </c>
      <c r="R653" s="40">
        <v>8741</v>
      </c>
      <c r="S653" s="40">
        <v>3944.8027989821899</v>
      </c>
      <c r="T653" s="40">
        <v>30000</v>
      </c>
      <c r="U653" s="40">
        <v>60632.713104325703</v>
      </c>
      <c r="V653" s="40">
        <v>0</v>
      </c>
      <c r="W653" s="45">
        <v>112842.845716668</v>
      </c>
      <c r="X653" s="46">
        <v>2.0310279996799498</v>
      </c>
    </row>
    <row r="654" spans="1:24" s="4" customFormat="1" ht="15" customHeight="1">
      <c r="A654" s="28" t="s">
        <v>1603</v>
      </c>
      <c r="B654" s="29">
        <v>3149.63</v>
      </c>
      <c r="C654" s="30" t="s">
        <v>2131</v>
      </c>
      <c r="D654" s="2">
        <v>4950090419</v>
      </c>
      <c r="E654" s="2" t="s">
        <v>14</v>
      </c>
      <c r="F654" s="2" t="s">
        <v>2132</v>
      </c>
      <c r="G654" s="28" t="s">
        <v>5</v>
      </c>
      <c r="H654" s="2" t="s">
        <v>17</v>
      </c>
      <c r="I654" s="2">
        <v>1</v>
      </c>
      <c r="J654" s="2" t="s">
        <v>2133</v>
      </c>
      <c r="K654" s="2">
        <v>2528.4</v>
      </c>
      <c r="L654" s="35">
        <v>7963524.4919999996</v>
      </c>
      <c r="M654" s="36">
        <v>420</v>
      </c>
      <c r="N654" s="40">
        <v>8537.4351145038199</v>
      </c>
      <c r="O654" s="40">
        <v>11629.1345595353</v>
      </c>
      <c r="P654" s="40">
        <v>0</v>
      </c>
      <c r="Q654" s="40">
        <v>2691.82187802517</v>
      </c>
      <c r="R654" s="40">
        <v>20978</v>
      </c>
      <c r="S654" s="40">
        <v>9467.5267175572499</v>
      </c>
      <c r="T654" s="40">
        <v>30000</v>
      </c>
      <c r="U654" s="40">
        <v>145518.51145038201</v>
      </c>
      <c r="V654" s="40">
        <v>0</v>
      </c>
      <c r="W654" s="45">
        <v>228822.429720004</v>
      </c>
      <c r="X654" s="46">
        <v>2.8733813771763201</v>
      </c>
    </row>
    <row r="655" spans="1:24" s="4" customFormat="1" ht="15" customHeight="1">
      <c r="A655" s="28" t="s">
        <v>1603</v>
      </c>
      <c r="B655" s="29">
        <v>3149.63</v>
      </c>
      <c r="C655" s="30" t="s">
        <v>2131</v>
      </c>
      <c r="D655" s="2">
        <v>4950090417</v>
      </c>
      <c r="E655" s="2" t="s">
        <v>14</v>
      </c>
      <c r="F655" s="2" t="s">
        <v>2132</v>
      </c>
      <c r="G655" s="28" t="s">
        <v>5</v>
      </c>
      <c r="H655" s="2" t="s">
        <v>17</v>
      </c>
      <c r="I655" s="2">
        <v>1</v>
      </c>
      <c r="J655" s="2" t="s">
        <v>2133</v>
      </c>
      <c r="K655" s="2">
        <v>2528.4</v>
      </c>
      <c r="L655" s="35">
        <v>7963524.4919999996</v>
      </c>
      <c r="M655" s="36">
        <v>420</v>
      </c>
      <c r="N655" s="40">
        <v>8537.4351145038199</v>
      </c>
      <c r="O655" s="40">
        <v>11629.1345595353</v>
      </c>
      <c r="P655" s="40">
        <v>0</v>
      </c>
      <c r="Q655" s="40">
        <v>2691.82187802517</v>
      </c>
      <c r="R655" s="40">
        <v>20978</v>
      </c>
      <c r="S655" s="40">
        <v>9467.5267175572499</v>
      </c>
      <c r="T655" s="40">
        <v>30000</v>
      </c>
      <c r="U655" s="40">
        <v>145518.51145038201</v>
      </c>
      <c r="V655" s="40">
        <v>0</v>
      </c>
      <c r="W655" s="45">
        <v>228822.429720004</v>
      </c>
      <c r="X655" s="46">
        <v>2.8733813771763201</v>
      </c>
    </row>
    <row r="656" spans="1:24" s="4" customFormat="1" ht="15" customHeight="1">
      <c r="A656" s="28" t="s">
        <v>1603</v>
      </c>
      <c r="B656" s="29">
        <v>3149.63</v>
      </c>
      <c r="C656" s="30" t="s">
        <v>2131</v>
      </c>
      <c r="D656" s="2">
        <v>4950090419</v>
      </c>
      <c r="E656" s="2" t="s">
        <v>14</v>
      </c>
      <c r="F656" s="2" t="s">
        <v>2132</v>
      </c>
      <c r="G656" s="28" t="s">
        <v>5</v>
      </c>
      <c r="H656" s="2" t="s">
        <v>17</v>
      </c>
      <c r="I656" s="2">
        <v>1</v>
      </c>
      <c r="J656" s="2" t="s">
        <v>2133</v>
      </c>
      <c r="K656" s="2">
        <v>2528.4</v>
      </c>
      <c r="L656" s="35">
        <v>7963524.4919999996</v>
      </c>
      <c r="M656" s="36">
        <v>420</v>
      </c>
      <c r="N656" s="40">
        <v>8537.4351145038199</v>
      </c>
      <c r="O656" s="40">
        <v>11629.1345595353</v>
      </c>
      <c r="P656" s="40">
        <v>0</v>
      </c>
      <c r="Q656" s="40">
        <v>2691.82187802517</v>
      </c>
      <c r="R656" s="40">
        <v>20978</v>
      </c>
      <c r="S656" s="40">
        <v>9467.5267175572499</v>
      </c>
      <c r="T656" s="40">
        <v>30000</v>
      </c>
      <c r="U656" s="40">
        <v>145518.51145038201</v>
      </c>
      <c r="V656" s="40">
        <v>0</v>
      </c>
      <c r="W656" s="45">
        <v>228822.429720004</v>
      </c>
      <c r="X656" s="46">
        <v>2.8733813771763201</v>
      </c>
    </row>
    <row r="657" spans="1:24" s="4" customFormat="1" ht="15" customHeight="1">
      <c r="A657" s="28" t="s">
        <v>1603</v>
      </c>
      <c r="B657" s="29">
        <v>3149.63</v>
      </c>
      <c r="C657" s="30" t="s">
        <v>2131</v>
      </c>
      <c r="D657" s="2">
        <v>4950057190</v>
      </c>
      <c r="E657" s="2" t="s">
        <v>14</v>
      </c>
      <c r="F657" s="2" t="s">
        <v>2132</v>
      </c>
      <c r="G657" s="28" t="s">
        <v>5</v>
      </c>
      <c r="H657" s="2" t="s">
        <v>17</v>
      </c>
      <c r="I657" s="2">
        <v>1</v>
      </c>
      <c r="J657" s="2" t="s">
        <v>2133</v>
      </c>
      <c r="K657" s="2">
        <v>7290</v>
      </c>
      <c r="L657" s="35">
        <v>22960802.699999999</v>
      </c>
      <c r="M657" s="36">
        <v>2025</v>
      </c>
      <c r="N657" s="40">
        <v>41162.633587786302</v>
      </c>
      <c r="O657" s="40">
        <v>56069.041626331098</v>
      </c>
      <c r="P657" s="40">
        <v>0</v>
      </c>
      <c r="Q657" s="40">
        <v>12978.4269119071</v>
      </c>
      <c r="R657" s="40">
        <v>101145</v>
      </c>
      <c r="S657" s="40">
        <v>45647.003816793898</v>
      </c>
      <c r="T657" s="40">
        <v>30000</v>
      </c>
      <c r="U657" s="40">
        <v>701607.10877862596</v>
      </c>
      <c r="V657" s="40">
        <v>0</v>
      </c>
      <c r="W657" s="45">
        <v>988609.21472144395</v>
      </c>
      <c r="X657" s="46">
        <v>4.3056387341434004</v>
      </c>
    </row>
    <row r="658" spans="1:24" s="4" customFormat="1" ht="15" customHeight="1">
      <c r="A658" s="28" t="s">
        <v>1603</v>
      </c>
      <c r="B658" s="29">
        <v>3149.63</v>
      </c>
      <c r="C658" s="30" t="s">
        <v>2143</v>
      </c>
      <c r="D658" s="2">
        <v>4948495888</v>
      </c>
      <c r="E658" s="2" t="s">
        <v>14</v>
      </c>
      <c r="F658" s="2" t="s">
        <v>2144</v>
      </c>
      <c r="G658" s="28" t="s">
        <v>5</v>
      </c>
      <c r="H658" s="2" t="s">
        <v>20</v>
      </c>
      <c r="I658" s="2">
        <v>1</v>
      </c>
      <c r="J658" s="2" t="s">
        <v>2145</v>
      </c>
      <c r="K658" s="2">
        <v>2208</v>
      </c>
      <c r="L658" s="35">
        <v>6954383.04</v>
      </c>
      <c r="M658" s="36">
        <v>1600</v>
      </c>
      <c r="N658" s="40">
        <v>77427.226890756298</v>
      </c>
      <c r="O658" s="40">
        <v>54963.865546218498</v>
      </c>
      <c r="P658" s="40">
        <v>0</v>
      </c>
      <c r="Q658" s="40">
        <v>16690.588235294101</v>
      </c>
      <c r="R658" s="40">
        <v>104758</v>
      </c>
      <c r="S658" s="40">
        <v>59555.630252100796</v>
      </c>
      <c r="T658" s="40">
        <v>30000</v>
      </c>
      <c r="U658" s="40">
        <v>546134.45378151303</v>
      </c>
      <c r="V658" s="40">
        <v>0</v>
      </c>
      <c r="W658" s="45">
        <v>889529.76470588299</v>
      </c>
      <c r="X658" s="46">
        <v>12.7909227833657</v>
      </c>
    </row>
    <row r="659" spans="1:24" s="4" customFormat="1" ht="15" customHeight="1">
      <c r="A659" s="28" t="s">
        <v>1603</v>
      </c>
      <c r="B659" s="29">
        <v>3149.63</v>
      </c>
      <c r="C659" s="30" t="s">
        <v>2143</v>
      </c>
      <c r="D659" s="2">
        <v>4945565224</v>
      </c>
      <c r="E659" s="2" t="s">
        <v>14</v>
      </c>
      <c r="F659" s="2" t="s">
        <v>2144</v>
      </c>
      <c r="G659" s="28" t="s">
        <v>5</v>
      </c>
      <c r="H659" s="2" t="s">
        <v>20</v>
      </c>
      <c r="I659" s="2">
        <v>1</v>
      </c>
      <c r="J659" s="2" t="s">
        <v>2145</v>
      </c>
      <c r="K659" s="2">
        <v>12276</v>
      </c>
      <c r="L659" s="35">
        <v>38664857.880000003</v>
      </c>
      <c r="M659" s="36">
        <v>7920</v>
      </c>
      <c r="N659" s="40">
        <v>383264.77310924401</v>
      </c>
      <c r="O659" s="40">
        <v>272071.134453782</v>
      </c>
      <c r="P659" s="40">
        <v>0</v>
      </c>
      <c r="Q659" s="40">
        <v>82618.411764705903</v>
      </c>
      <c r="R659" s="40">
        <v>518555</v>
      </c>
      <c r="S659" s="40">
        <v>294800.36974789901</v>
      </c>
      <c r="T659" s="40">
        <v>30000</v>
      </c>
      <c r="U659" s="40">
        <v>2703365.5462184902</v>
      </c>
      <c r="V659" s="40">
        <v>0</v>
      </c>
      <c r="W659" s="45">
        <v>4284675.2352941204</v>
      </c>
      <c r="X659" s="46">
        <v>11.081575027618101</v>
      </c>
    </row>
    <row r="660" spans="1:24" s="4" customFormat="1" ht="15" customHeight="1">
      <c r="A660" s="28" t="s">
        <v>1603</v>
      </c>
      <c r="B660" s="29">
        <v>3149.63</v>
      </c>
      <c r="C660" s="30" t="s">
        <v>2163</v>
      </c>
      <c r="D660" s="2">
        <v>4948242171</v>
      </c>
      <c r="E660" s="2" t="s">
        <v>14</v>
      </c>
      <c r="F660" s="2" t="s">
        <v>2164</v>
      </c>
      <c r="G660" s="28" t="s">
        <v>9</v>
      </c>
      <c r="H660" s="2" t="s">
        <v>23</v>
      </c>
      <c r="I660" s="2">
        <v>4</v>
      </c>
      <c r="J660" s="2"/>
      <c r="K660" s="2">
        <v>1566.75</v>
      </c>
      <c r="L660" s="35">
        <v>4934682.8025000002</v>
      </c>
      <c r="M660" s="36">
        <v>75</v>
      </c>
      <c r="N660" s="40">
        <v>24271.8039215686</v>
      </c>
      <c r="O660" s="40">
        <v>50.196078431372499</v>
      </c>
      <c r="P660" s="40">
        <v>951.862745098039</v>
      </c>
      <c r="Q660" s="40">
        <v>1580.60784313725</v>
      </c>
      <c r="R660" s="40">
        <v>3068.7843137254899</v>
      </c>
      <c r="S660" s="40">
        <v>6948.1568627450997</v>
      </c>
      <c r="T660" s="40">
        <v>30000</v>
      </c>
      <c r="U660" s="40">
        <v>26817.647058823499</v>
      </c>
      <c r="V660" s="40">
        <v>0</v>
      </c>
      <c r="W660" s="45">
        <v>93689.058823529398</v>
      </c>
      <c r="X660" s="46">
        <v>1.8985832032823799</v>
      </c>
    </row>
    <row r="662" spans="1:24" ht="15" customHeight="1">
      <c r="A662" s="31" t="s">
        <v>1603</v>
      </c>
      <c r="B662" s="31"/>
      <c r="C662" s="31"/>
      <c r="D662" s="31"/>
      <c r="E662" s="31"/>
      <c r="F662" s="32">
        <v>85</v>
      </c>
      <c r="G662" s="31"/>
      <c r="H662" s="31"/>
      <c r="I662" s="38"/>
      <c r="J662" s="31"/>
      <c r="K662" s="39">
        <f>+SUM(K507:K660)</f>
        <v>2245731.0500000003</v>
      </c>
      <c r="L662" s="39">
        <f>+SUM(L507:L660)</f>
        <v>7073221887.0114994</v>
      </c>
      <c r="M662" s="31"/>
      <c r="N662" s="39"/>
      <c r="O662" s="39"/>
      <c r="P662" s="39"/>
      <c r="Q662" s="39"/>
      <c r="R662" s="39"/>
      <c r="S662" s="39"/>
      <c r="T662" s="39"/>
      <c r="U662" s="39"/>
      <c r="V662" s="31"/>
      <c r="W662" s="39">
        <f>+SUM(W507:W660)</f>
        <v>305189408.20791107</v>
      </c>
      <c r="X662" s="47">
        <f>(W662/L662)*100</f>
        <v>4.3147156003734022</v>
      </c>
    </row>
    <row r="664" spans="1:24" s="4" customFormat="1" ht="15" customHeight="1">
      <c r="A664" s="28" t="s">
        <v>2168</v>
      </c>
      <c r="B664" s="29">
        <v>3271.01</v>
      </c>
      <c r="C664" s="30" t="s">
        <v>2169</v>
      </c>
      <c r="D664" s="2">
        <v>4949661299</v>
      </c>
      <c r="E664" s="2" t="s">
        <v>14</v>
      </c>
      <c r="F664" s="2" t="s">
        <v>2170</v>
      </c>
      <c r="G664" s="28" t="s">
        <v>9</v>
      </c>
      <c r="H664" s="2" t="s">
        <v>23</v>
      </c>
      <c r="I664" s="2">
        <v>2</v>
      </c>
      <c r="J664" s="2"/>
      <c r="K664" s="2">
        <v>2340</v>
      </c>
      <c r="L664" s="35">
        <v>7654163.4000000004</v>
      </c>
      <c r="M664" s="36">
        <v>1500</v>
      </c>
      <c r="N664" s="40">
        <v>538024</v>
      </c>
      <c r="O664" s="40">
        <v>1011</v>
      </c>
      <c r="P664" s="40">
        <v>85470</v>
      </c>
      <c r="Q664" s="40">
        <v>25468</v>
      </c>
      <c r="R664" s="40">
        <v>104769</v>
      </c>
      <c r="S664" s="40">
        <v>354356</v>
      </c>
      <c r="T664" s="40">
        <v>30000</v>
      </c>
      <c r="U664" s="40">
        <v>766727.94117647095</v>
      </c>
      <c r="V664" s="40">
        <v>0</v>
      </c>
      <c r="W664" s="45">
        <v>1905825.9411764699</v>
      </c>
      <c r="X664" s="46">
        <v>24.8992063740953</v>
      </c>
    </row>
    <row r="665" spans="1:24" s="4" customFormat="1" ht="15" customHeight="1">
      <c r="A665" s="28" t="s">
        <v>2168</v>
      </c>
      <c r="B665" s="29">
        <v>3271.01</v>
      </c>
      <c r="C665" s="30" t="s">
        <v>2173</v>
      </c>
      <c r="D665" s="2">
        <v>4949654740</v>
      </c>
      <c r="E665" s="2" t="s">
        <v>14</v>
      </c>
      <c r="F665" s="2" t="s">
        <v>2174</v>
      </c>
      <c r="G665" s="28" t="s">
        <v>9</v>
      </c>
      <c r="H665" s="2" t="s">
        <v>23</v>
      </c>
      <c r="I665" s="2">
        <v>1</v>
      </c>
      <c r="J665" s="2"/>
      <c r="K665" s="2">
        <v>1327.36</v>
      </c>
      <c r="L665" s="35">
        <v>4341807.8335999995</v>
      </c>
      <c r="M665" s="36">
        <v>1088</v>
      </c>
      <c r="N665" s="40">
        <v>582472</v>
      </c>
      <c r="O665" s="40">
        <v>727</v>
      </c>
      <c r="P665" s="40">
        <v>111389</v>
      </c>
      <c r="Q665" s="40">
        <v>23032</v>
      </c>
      <c r="R665" s="40">
        <v>110263</v>
      </c>
      <c r="S665" s="40">
        <v>354356</v>
      </c>
      <c r="T665" s="40">
        <v>30000</v>
      </c>
      <c r="U665" s="40">
        <v>737392.26957383496</v>
      </c>
      <c r="V665" s="40">
        <v>0</v>
      </c>
      <c r="W665" s="45">
        <v>1949631.2695738301</v>
      </c>
      <c r="X665" s="46">
        <v>44.903674789247901</v>
      </c>
    </row>
    <row r="666" spans="1:24" s="4" customFormat="1" ht="15" customHeight="1">
      <c r="A666" s="28" t="s">
        <v>2168</v>
      </c>
      <c r="B666" s="29">
        <v>3271.01</v>
      </c>
      <c r="C666" s="30" t="s">
        <v>2175</v>
      </c>
      <c r="D666" s="2">
        <v>4950090417</v>
      </c>
      <c r="E666" s="2" t="s">
        <v>14</v>
      </c>
      <c r="F666" s="2" t="s">
        <v>2176</v>
      </c>
      <c r="G666" s="28" t="s">
        <v>5</v>
      </c>
      <c r="H666" s="2" t="s">
        <v>17</v>
      </c>
      <c r="I666" s="2">
        <v>1</v>
      </c>
      <c r="J666" s="2" t="s">
        <v>2177</v>
      </c>
      <c r="K666" s="2">
        <v>963.2</v>
      </c>
      <c r="L666" s="35">
        <v>3150636.8319999999</v>
      </c>
      <c r="M666" s="36">
        <v>420</v>
      </c>
      <c r="N666" s="40">
        <v>8969.0303867403309</v>
      </c>
      <c r="O666" s="40">
        <v>8358.0773480662992</v>
      </c>
      <c r="P666" s="40">
        <v>5807.1961325966804</v>
      </c>
      <c r="Q666" s="40">
        <v>1920.3397790055201</v>
      </c>
      <c r="R666" s="40">
        <v>14509</v>
      </c>
      <c r="S666" s="40">
        <v>6852.1878453038698</v>
      </c>
      <c r="T666" s="40">
        <v>30000</v>
      </c>
      <c r="U666" s="40">
        <v>110009.254143646</v>
      </c>
      <c r="V666" s="40">
        <v>0</v>
      </c>
      <c r="W666" s="45">
        <v>186425.08563535899</v>
      </c>
      <c r="X666" s="46">
        <v>5.9170604413018797</v>
      </c>
    </row>
    <row r="667" spans="1:24" s="4" customFormat="1" ht="15" customHeight="1">
      <c r="A667" s="28" t="s">
        <v>2168</v>
      </c>
      <c r="B667" s="29">
        <v>3271.01</v>
      </c>
      <c r="C667" s="30" t="s">
        <v>2175</v>
      </c>
      <c r="D667" s="2">
        <v>4949719612</v>
      </c>
      <c r="E667" s="2" t="s">
        <v>14</v>
      </c>
      <c r="F667" s="2" t="s">
        <v>2176</v>
      </c>
      <c r="G667" s="28" t="s">
        <v>5</v>
      </c>
      <c r="H667" s="2" t="s">
        <v>17</v>
      </c>
      <c r="I667" s="2">
        <v>1</v>
      </c>
      <c r="J667" s="2" t="s">
        <v>2177</v>
      </c>
      <c r="K667" s="2">
        <v>42042</v>
      </c>
      <c r="L667" s="35">
        <v>137519802.41999999</v>
      </c>
      <c r="M667" s="36">
        <v>4200</v>
      </c>
      <c r="N667" s="40">
        <v>89690.303867403301</v>
      </c>
      <c r="O667" s="40">
        <v>83580.773480663003</v>
      </c>
      <c r="P667" s="40">
        <v>58071.961325966899</v>
      </c>
      <c r="Q667" s="40">
        <v>19203.397790055202</v>
      </c>
      <c r="R667" s="40">
        <v>145097</v>
      </c>
      <c r="S667" s="40">
        <v>68521.878453038706</v>
      </c>
      <c r="T667" s="40">
        <v>30000</v>
      </c>
      <c r="U667" s="40">
        <v>1100092.5414364601</v>
      </c>
      <c r="V667" s="40">
        <v>0</v>
      </c>
      <c r="W667" s="45">
        <v>1594257.85635359</v>
      </c>
      <c r="X667" s="46">
        <v>1.15929330052741</v>
      </c>
    </row>
    <row r="668" spans="1:24" s="4" customFormat="1" ht="15" customHeight="1">
      <c r="A668" s="28" t="s">
        <v>2168</v>
      </c>
      <c r="B668" s="29">
        <v>3271.01</v>
      </c>
      <c r="C668" s="30" t="s">
        <v>2175</v>
      </c>
      <c r="D668" s="2">
        <v>4949719612</v>
      </c>
      <c r="E668" s="2" t="s">
        <v>14</v>
      </c>
      <c r="F668" s="2" t="s">
        <v>2176</v>
      </c>
      <c r="G668" s="28" t="s">
        <v>5</v>
      </c>
      <c r="H668" s="2" t="s">
        <v>17</v>
      </c>
      <c r="I668" s="2">
        <v>1</v>
      </c>
      <c r="J668" s="2" t="s">
        <v>2177</v>
      </c>
      <c r="K668" s="2">
        <v>43750</v>
      </c>
      <c r="L668" s="35">
        <v>143106687.5</v>
      </c>
      <c r="M668" s="36">
        <v>7000</v>
      </c>
      <c r="N668" s="40">
        <v>149483.839779006</v>
      </c>
      <c r="O668" s="40">
        <v>139301.289134438</v>
      </c>
      <c r="P668" s="40">
        <v>96786.602209944802</v>
      </c>
      <c r="Q668" s="40">
        <v>32005.662983425402</v>
      </c>
      <c r="R668" s="40">
        <v>241829</v>
      </c>
      <c r="S668" s="40">
        <v>114203.130755064</v>
      </c>
      <c r="T668" s="40">
        <v>30000</v>
      </c>
      <c r="U668" s="40">
        <v>1833487.5690607701</v>
      </c>
      <c r="V668" s="40">
        <v>0</v>
      </c>
      <c r="W668" s="45">
        <v>2637097.09392265</v>
      </c>
      <c r="X668" s="46">
        <v>1.8427490287081401</v>
      </c>
    </row>
    <row r="669" spans="1:24" s="4" customFormat="1" ht="15" customHeight="1">
      <c r="A669" s="28" t="s">
        <v>2168</v>
      </c>
      <c r="B669" s="29">
        <v>3271.01</v>
      </c>
      <c r="C669" s="30" t="s">
        <v>2175</v>
      </c>
      <c r="D669" s="2">
        <v>4949532991</v>
      </c>
      <c r="E669" s="2" t="s">
        <v>14</v>
      </c>
      <c r="F669" s="2" t="s">
        <v>2176</v>
      </c>
      <c r="G669" s="28" t="s">
        <v>5</v>
      </c>
      <c r="H669" s="2" t="s">
        <v>17</v>
      </c>
      <c r="I669" s="2">
        <v>1</v>
      </c>
      <c r="J669" s="2" t="s">
        <v>2177</v>
      </c>
      <c r="K669" s="2">
        <v>5678.4</v>
      </c>
      <c r="L669" s="35">
        <v>18574103.184</v>
      </c>
      <c r="M669" s="36">
        <v>3120</v>
      </c>
      <c r="N669" s="40">
        <v>66627.082872928193</v>
      </c>
      <c r="O669" s="40">
        <v>62088.574585635397</v>
      </c>
      <c r="P669" s="40">
        <v>43139.171270718201</v>
      </c>
      <c r="Q669" s="40">
        <v>14265.381215469601</v>
      </c>
      <c r="R669" s="40">
        <v>107786</v>
      </c>
      <c r="S669" s="40">
        <v>50901.9668508287</v>
      </c>
      <c r="T669" s="40">
        <v>30000</v>
      </c>
      <c r="U669" s="40">
        <v>817211.60220994498</v>
      </c>
      <c r="V669" s="40">
        <v>0</v>
      </c>
      <c r="W669" s="45">
        <v>1192019.7790055301</v>
      </c>
      <c r="X669" s="46">
        <v>6.4176437871431</v>
      </c>
    </row>
    <row r="670" spans="1:24" s="4" customFormat="1" ht="15" customHeight="1">
      <c r="A670" s="28" t="s">
        <v>2168</v>
      </c>
      <c r="B670" s="29">
        <v>3271.01</v>
      </c>
      <c r="C670" s="30" t="s">
        <v>2175</v>
      </c>
      <c r="D670" s="2">
        <v>4949366042</v>
      </c>
      <c r="E670" s="2" t="s">
        <v>14</v>
      </c>
      <c r="F670" s="2" t="s">
        <v>2176</v>
      </c>
      <c r="G670" s="28" t="s">
        <v>5</v>
      </c>
      <c r="H670" s="2" t="s">
        <v>17</v>
      </c>
      <c r="I670" s="2">
        <v>1</v>
      </c>
      <c r="J670" s="2" t="s">
        <v>2177</v>
      </c>
      <c r="K670" s="2">
        <v>2562</v>
      </c>
      <c r="L670" s="35">
        <v>8380327.6200000001</v>
      </c>
      <c r="M670" s="36">
        <v>525</v>
      </c>
      <c r="N670" s="40">
        <v>11211.2879834254</v>
      </c>
      <c r="O670" s="40">
        <v>10447.596685082901</v>
      </c>
      <c r="P670" s="40">
        <v>7258.9951657458596</v>
      </c>
      <c r="Q670" s="40">
        <v>2400.4247237569102</v>
      </c>
      <c r="R670" s="40">
        <v>18137</v>
      </c>
      <c r="S670" s="40">
        <v>8565.2348066298291</v>
      </c>
      <c r="T670" s="40">
        <v>30000</v>
      </c>
      <c r="U670" s="40">
        <v>137511.56767955801</v>
      </c>
      <c r="V670" s="40">
        <v>0</v>
      </c>
      <c r="W670" s="45">
        <v>225532.10704419899</v>
      </c>
      <c r="X670" s="46">
        <v>2.69120871248467</v>
      </c>
    </row>
    <row r="671" spans="1:24" s="4" customFormat="1" ht="15" customHeight="1">
      <c r="A671" s="28" t="s">
        <v>2168</v>
      </c>
      <c r="B671" s="29">
        <v>3271.01</v>
      </c>
      <c r="C671" s="30" t="s">
        <v>2175</v>
      </c>
      <c r="D671" s="2">
        <v>4949416093</v>
      </c>
      <c r="E671" s="2" t="s">
        <v>14</v>
      </c>
      <c r="F671" s="2" t="s">
        <v>2176</v>
      </c>
      <c r="G671" s="28" t="s">
        <v>5</v>
      </c>
      <c r="H671" s="2" t="s">
        <v>17</v>
      </c>
      <c r="I671" s="2">
        <v>1</v>
      </c>
      <c r="J671" s="2" t="s">
        <v>2177</v>
      </c>
      <c r="K671" s="2">
        <v>5124</v>
      </c>
      <c r="L671" s="35">
        <v>16760655.24</v>
      </c>
      <c r="M671" s="36">
        <v>1050</v>
      </c>
      <c r="N671" s="40">
        <v>22422.5759668508</v>
      </c>
      <c r="O671" s="40">
        <v>20895.1933701657</v>
      </c>
      <c r="P671" s="40">
        <v>14517.990331491699</v>
      </c>
      <c r="Q671" s="40">
        <v>4800.8494475138104</v>
      </c>
      <c r="R671" s="40">
        <v>36275</v>
      </c>
      <c r="S671" s="40">
        <v>17130.469613259698</v>
      </c>
      <c r="T671" s="40">
        <v>30000</v>
      </c>
      <c r="U671" s="40">
        <v>275023.13535911602</v>
      </c>
      <c r="V671" s="40">
        <v>0</v>
      </c>
      <c r="W671" s="45">
        <v>421065.21408839797</v>
      </c>
      <c r="X671" s="46">
        <v>2.5122240631947901</v>
      </c>
    </row>
    <row r="672" spans="1:24" s="4" customFormat="1" ht="15" customHeight="1">
      <c r="A672" s="28" t="s">
        <v>2168</v>
      </c>
      <c r="B672" s="29">
        <v>3271.01</v>
      </c>
      <c r="C672" s="30" t="s">
        <v>2175</v>
      </c>
      <c r="D672" s="2">
        <v>4949662470</v>
      </c>
      <c r="E672" s="2" t="s">
        <v>14</v>
      </c>
      <c r="F672" s="2" t="s">
        <v>2176</v>
      </c>
      <c r="G672" s="28" t="s">
        <v>5</v>
      </c>
      <c r="H672" s="2" t="s">
        <v>17</v>
      </c>
      <c r="I672" s="2">
        <v>1</v>
      </c>
      <c r="J672" s="2" t="s">
        <v>2177</v>
      </c>
      <c r="K672" s="2">
        <v>6848</v>
      </c>
      <c r="L672" s="35">
        <v>22399876.48</v>
      </c>
      <c r="M672" s="36">
        <v>225</v>
      </c>
      <c r="N672" s="40">
        <v>4804.8377071823197</v>
      </c>
      <c r="O672" s="40">
        <v>4477.5414364640901</v>
      </c>
      <c r="P672" s="40">
        <v>3110.9979281768001</v>
      </c>
      <c r="Q672" s="40">
        <v>1028.7534530386699</v>
      </c>
      <c r="R672" s="40">
        <v>7773</v>
      </c>
      <c r="S672" s="40">
        <v>3670.8149171270702</v>
      </c>
      <c r="T672" s="40">
        <v>30000</v>
      </c>
      <c r="U672" s="40">
        <v>58933.529005524899</v>
      </c>
      <c r="V672" s="40">
        <v>0</v>
      </c>
      <c r="W672" s="45">
        <v>113799.474447514</v>
      </c>
      <c r="X672" s="46">
        <v>0.50803616952584996</v>
      </c>
    </row>
    <row r="673" spans="1:24" s="4" customFormat="1" ht="15" customHeight="1">
      <c r="A673" s="28" t="s">
        <v>2168</v>
      </c>
      <c r="B673" s="29">
        <v>3271.01</v>
      </c>
      <c r="C673" s="30" t="s">
        <v>2175</v>
      </c>
      <c r="D673" s="2">
        <v>4949719627</v>
      </c>
      <c r="E673" s="2" t="s">
        <v>14</v>
      </c>
      <c r="F673" s="2" t="s">
        <v>2176</v>
      </c>
      <c r="G673" s="28" t="s">
        <v>5</v>
      </c>
      <c r="H673" s="2" t="s">
        <v>17</v>
      </c>
      <c r="I673" s="2">
        <v>1</v>
      </c>
      <c r="J673" s="2" t="s">
        <v>2177</v>
      </c>
      <c r="K673" s="2">
        <v>13404.6</v>
      </c>
      <c r="L673" s="35">
        <v>43846580.645999998</v>
      </c>
      <c r="M673" s="36">
        <v>1980</v>
      </c>
      <c r="N673" s="40">
        <v>42282.571823204402</v>
      </c>
      <c r="O673" s="40">
        <v>39402.364640884</v>
      </c>
      <c r="P673" s="40">
        <v>27376.781767955799</v>
      </c>
      <c r="Q673" s="40">
        <v>9053.0303867403309</v>
      </c>
      <c r="R673" s="40">
        <v>68403</v>
      </c>
      <c r="S673" s="40">
        <v>32303.171270718201</v>
      </c>
      <c r="T673" s="40">
        <v>30000</v>
      </c>
      <c r="U673" s="40">
        <v>518615.055248619</v>
      </c>
      <c r="V673" s="40">
        <v>0</v>
      </c>
      <c r="W673" s="45">
        <v>767435.97513812198</v>
      </c>
      <c r="X673" s="46">
        <v>1.75027553763906</v>
      </c>
    </row>
    <row r="674" spans="1:24" s="4" customFormat="1" ht="15" customHeight="1">
      <c r="A674" s="28" t="s">
        <v>2168</v>
      </c>
      <c r="B674" s="29">
        <v>3271.01</v>
      </c>
      <c r="C674" s="30" t="s">
        <v>2175</v>
      </c>
      <c r="D674" s="2">
        <v>4950058257</v>
      </c>
      <c r="E674" s="2" t="s">
        <v>14</v>
      </c>
      <c r="F674" s="2" t="s">
        <v>2176</v>
      </c>
      <c r="G674" s="28" t="s">
        <v>5</v>
      </c>
      <c r="H674" s="2" t="s">
        <v>17</v>
      </c>
      <c r="I674" s="2">
        <v>1</v>
      </c>
      <c r="J674" s="2" t="s">
        <v>2177</v>
      </c>
      <c r="K674" s="2">
        <v>8064</v>
      </c>
      <c r="L674" s="35">
        <v>26377424.640000001</v>
      </c>
      <c r="M674" s="36">
        <v>3200</v>
      </c>
      <c r="N674" s="40">
        <v>68335.469613259702</v>
      </c>
      <c r="O674" s="40">
        <v>63680.589318600403</v>
      </c>
      <c r="P674" s="40">
        <v>44245.303867403301</v>
      </c>
      <c r="Q674" s="40">
        <v>14631.160220994499</v>
      </c>
      <c r="R674" s="40">
        <v>110550</v>
      </c>
      <c r="S674" s="40">
        <v>52207.145488029499</v>
      </c>
      <c r="T674" s="40">
        <v>30000</v>
      </c>
      <c r="U674" s="40">
        <v>838165.74585635401</v>
      </c>
      <c r="V674" s="40">
        <v>0</v>
      </c>
      <c r="W674" s="45">
        <v>1221815.4143646399</v>
      </c>
      <c r="X674" s="46">
        <v>4.6320496827875397</v>
      </c>
    </row>
    <row r="675" spans="1:24" s="4" customFormat="1" ht="15" customHeight="1">
      <c r="A675" s="28" t="s">
        <v>2168</v>
      </c>
      <c r="B675" s="29">
        <v>3271.01</v>
      </c>
      <c r="C675" s="30" t="s">
        <v>2195</v>
      </c>
      <c r="D675" s="2">
        <v>4950210613</v>
      </c>
      <c r="E675" s="2" t="s">
        <v>14</v>
      </c>
      <c r="F675" s="2" t="s">
        <v>2196</v>
      </c>
      <c r="G675" s="28" t="s">
        <v>5</v>
      </c>
      <c r="H675" s="2" t="s">
        <v>17</v>
      </c>
      <c r="I675" s="2">
        <v>1</v>
      </c>
      <c r="J675" s="2" t="s">
        <v>2197</v>
      </c>
      <c r="K675" s="2">
        <v>595.20000000000005</v>
      </c>
      <c r="L675" s="35">
        <v>1946905.152</v>
      </c>
      <c r="M675" s="36">
        <v>80</v>
      </c>
      <c r="N675" s="40">
        <v>2734.5236051502102</v>
      </c>
      <c r="O675" s="40">
        <v>2473.4592274678098</v>
      </c>
      <c r="P675" s="40">
        <v>2645.9685264663799</v>
      </c>
      <c r="Q675" s="40">
        <v>568.29184549356205</v>
      </c>
      <c r="R675" s="40">
        <v>4355.5307582260402</v>
      </c>
      <c r="S675" s="40">
        <v>2027.78826895565</v>
      </c>
      <c r="T675" s="40">
        <v>30000</v>
      </c>
      <c r="U675" s="40">
        <v>32277.825464949899</v>
      </c>
      <c r="V675" s="40">
        <v>0</v>
      </c>
      <c r="W675" s="45">
        <v>77083.3876967096</v>
      </c>
      <c r="X675" s="46">
        <v>3.9592780170890198</v>
      </c>
    </row>
    <row r="676" spans="1:24" s="4" customFormat="1" ht="15" customHeight="1">
      <c r="A676" s="28" t="s">
        <v>2168</v>
      </c>
      <c r="B676" s="29">
        <v>3271.01</v>
      </c>
      <c r="C676" s="30" t="s">
        <v>2195</v>
      </c>
      <c r="D676" s="2">
        <v>4949532994</v>
      </c>
      <c r="E676" s="2" t="s">
        <v>14</v>
      </c>
      <c r="F676" s="2" t="s">
        <v>2196</v>
      </c>
      <c r="G676" s="28" t="s">
        <v>5</v>
      </c>
      <c r="H676" s="2" t="s">
        <v>17</v>
      </c>
      <c r="I676" s="2">
        <v>1</v>
      </c>
      <c r="J676" s="2" t="s">
        <v>2197</v>
      </c>
      <c r="K676" s="2">
        <v>43008</v>
      </c>
      <c r="L676" s="35">
        <v>140679598.08000001</v>
      </c>
      <c r="M676" s="36">
        <v>4200</v>
      </c>
      <c r="N676" s="40">
        <v>143562.489270386</v>
      </c>
      <c r="O676" s="40">
        <v>129856.60944206</v>
      </c>
      <c r="P676" s="40">
        <v>138913.347639485</v>
      </c>
      <c r="Q676" s="40">
        <v>29835.321888412</v>
      </c>
      <c r="R676" s="40">
        <v>228691.364806867</v>
      </c>
      <c r="S676" s="40">
        <v>106458.88412017201</v>
      </c>
      <c r="T676" s="40">
        <v>30000</v>
      </c>
      <c r="U676" s="40">
        <v>1694585.8369098699</v>
      </c>
      <c r="V676" s="40">
        <v>0</v>
      </c>
      <c r="W676" s="45">
        <v>2501903.8540772502</v>
      </c>
      <c r="X676" s="46">
        <v>1.77844114443268</v>
      </c>
    </row>
    <row r="677" spans="1:24" s="4" customFormat="1" ht="15" customHeight="1">
      <c r="A677" s="28" t="s">
        <v>2168</v>
      </c>
      <c r="B677" s="29">
        <v>3271.01</v>
      </c>
      <c r="C677" s="30" t="s">
        <v>2195</v>
      </c>
      <c r="D677" s="2">
        <v>4950057198</v>
      </c>
      <c r="E677" s="2" t="s">
        <v>14</v>
      </c>
      <c r="F677" s="2" t="s">
        <v>2196</v>
      </c>
      <c r="G677" s="28" t="s">
        <v>5</v>
      </c>
      <c r="H677" s="2" t="s">
        <v>17</v>
      </c>
      <c r="I677" s="2">
        <v>1</v>
      </c>
      <c r="J677" s="2" t="s">
        <v>2197</v>
      </c>
      <c r="K677" s="2">
        <v>5019</v>
      </c>
      <c r="L677" s="35">
        <v>16417199.189999999</v>
      </c>
      <c r="M677" s="36">
        <v>700</v>
      </c>
      <c r="N677" s="40">
        <v>23927.0815450644</v>
      </c>
      <c r="O677" s="40">
        <v>21642.768240343401</v>
      </c>
      <c r="P677" s="40">
        <v>23152.224606580799</v>
      </c>
      <c r="Q677" s="40">
        <v>4972.5536480686696</v>
      </c>
      <c r="R677" s="40">
        <v>38114.8941344778</v>
      </c>
      <c r="S677" s="40">
        <v>17743.147353361899</v>
      </c>
      <c r="T677" s="40">
        <v>30000</v>
      </c>
      <c r="U677" s="40">
        <v>282430.972818312</v>
      </c>
      <c r="V677" s="40">
        <v>0</v>
      </c>
      <c r="W677" s="45">
        <v>441983.64234620897</v>
      </c>
      <c r="X677" s="46">
        <v>2.6921988168081001</v>
      </c>
    </row>
    <row r="678" spans="1:24" s="4" customFormat="1" ht="15" customHeight="1">
      <c r="A678" s="28" t="s">
        <v>2168</v>
      </c>
      <c r="B678" s="29">
        <v>3271.01</v>
      </c>
      <c r="C678" s="30" t="s">
        <v>2195</v>
      </c>
      <c r="D678" s="2">
        <v>4949587530</v>
      </c>
      <c r="E678" s="2" t="s">
        <v>14</v>
      </c>
      <c r="F678" s="2" t="s">
        <v>2196</v>
      </c>
      <c r="G678" s="28" t="s">
        <v>5</v>
      </c>
      <c r="H678" s="2" t="s">
        <v>17</v>
      </c>
      <c r="I678" s="2">
        <v>1</v>
      </c>
      <c r="J678" s="2" t="s">
        <v>2197</v>
      </c>
      <c r="K678" s="2">
        <v>2583</v>
      </c>
      <c r="L678" s="35">
        <v>8449018.8300000001</v>
      </c>
      <c r="M678" s="36">
        <v>525</v>
      </c>
      <c r="N678" s="40">
        <v>17945.3111587983</v>
      </c>
      <c r="O678" s="40">
        <v>16232.0761802575</v>
      </c>
      <c r="P678" s="40">
        <v>17364.1684549356</v>
      </c>
      <c r="Q678" s="40">
        <v>3729.4152360515</v>
      </c>
      <c r="R678" s="40">
        <v>28586.670600858401</v>
      </c>
      <c r="S678" s="40">
        <v>13307.360515021501</v>
      </c>
      <c r="T678" s="40">
        <v>30000</v>
      </c>
      <c r="U678" s="40">
        <v>211823.229613734</v>
      </c>
      <c r="V678" s="40">
        <v>0</v>
      </c>
      <c r="W678" s="45">
        <v>338988.23175965698</v>
      </c>
      <c r="X678" s="46">
        <v>4.0121609216446403</v>
      </c>
    </row>
    <row r="679" spans="1:24" s="4" customFormat="1" ht="15" customHeight="1">
      <c r="A679" s="28" t="s">
        <v>2168</v>
      </c>
      <c r="B679" s="29">
        <v>3271.01</v>
      </c>
      <c r="C679" s="30" t="s">
        <v>2195</v>
      </c>
      <c r="D679" s="2">
        <v>4949532982</v>
      </c>
      <c r="E679" s="2" t="s">
        <v>14</v>
      </c>
      <c r="F679" s="2" t="s">
        <v>2196</v>
      </c>
      <c r="G679" s="28" t="s">
        <v>5</v>
      </c>
      <c r="H679" s="2" t="s">
        <v>17</v>
      </c>
      <c r="I679" s="2">
        <v>1</v>
      </c>
      <c r="J679" s="2" t="s">
        <v>2197</v>
      </c>
      <c r="K679" s="2">
        <v>11292.75</v>
      </c>
      <c r="L679" s="35">
        <v>36938698.177500002</v>
      </c>
      <c r="M679" s="36">
        <v>1575</v>
      </c>
      <c r="N679" s="40">
        <v>53835.933476394799</v>
      </c>
      <c r="O679" s="40">
        <v>48696.228540772499</v>
      </c>
      <c r="P679" s="40">
        <v>52092.505364806901</v>
      </c>
      <c r="Q679" s="40">
        <v>11188.2457081545</v>
      </c>
      <c r="R679" s="40">
        <v>85750.0118025751</v>
      </c>
      <c r="S679" s="40">
        <v>39922.0815450644</v>
      </c>
      <c r="T679" s="40">
        <v>30000</v>
      </c>
      <c r="U679" s="40">
        <v>635469.68884120195</v>
      </c>
      <c r="V679" s="40">
        <v>0</v>
      </c>
      <c r="W679" s="45">
        <v>956954.69527896994</v>
      </c>
      <c r="X679" s="46">
        <v>2.5906562561586601</v>
      </c>
    </row>
    <row r="680" spans="1:24" s="4" customFormat="1" ht="15" customHeight="1">
      <c r="A680" s="28" t="s">
        <v>2168</v>
      </c>
      <c r="B680" s="29">
        <v>3271.01</v>
      </c>
      <c r="C680" s="30" t="s">
        <v>2195</v>
      </c>
      <c r="D680" s="2">
        <v>4950090428</v>
      </c>
      <c r="E680" s="2" t="s">
        <v>14</v>
      </c>
      <c r="F680" s="2" t="s">
        <v>2196</v>
      </c>
      <c r="G680" s="28" t="s">
        <v>5</v>
      </c>
      <c r="H680" s="2" t="s">
        <v>17</v>
      </c>
      <c r="I680" s="2">
        <v>1</v>
      </c>
      <c r="J680" s="2" t="s">
        <v>2197</v>
      </c>
      <c r="K680" s="2">
        <v>6703</v>
      </c>
      <c r="L680" s="35">
        <v>21925580.030000001</v>
      </c>
      <c r="M680" s="36">
        <v>3780</v>
      </c>
      <c r="N680" s="40">
        <v>129206.24034334801</v>
      </c>
      <c r="O680" s="40">
        <v>116870.948497854</v>
      </c>
      <c r="P680" s="40">
        <v>125022.01287553601</v>
      </c>
      <c r="Q680" s="40">
        <v>26851.7896995708</v>
      </c>
      <c r="R680" s="40">
        <v>205821.82832618</v>
      </c>
      <c r="S680" s="40">
        <v>95812.9957081545</v>
      </c>
      <c r="T680" s="40">
        <v>30000</v>
      </c>
      <c r="U680" s="40">
        <v>1525127.2532188799</v>
      </c>
      <c r="V680" s="40">
        <v>0</v>
      </c>
      <c r="W680" s="45">
        <v>2254713.0686695199</v>
      </c>
      <c r="X680" s="46">
        <v>10.283481967567001</v>
      </c>
    </row>
    <row r="681" spans="1:24" s="4" customFormat="1" ht="15" customHeight="1">
      <c r="A681" s="28" t="s">
        <v>2168</v>
      </c>
      <c r="B681" s="29">
        <v>3271.01</v>
      </c>
      <c r="C681" s="30" t="s">
        <v>2195</v>
      </c>
      <c r="D681" s="2">
        <v>4949532991</v>
      </c>
      <c r="E681" s="2" t="s">
        <v>14</v>
      </c>
      <c r="F681" s="2" t="s">
        <v>2196</v>
      </c>
      <c r="G681" s="28" t="s">
        <v>5</v>
      </c>
      <c r="H681" s="2" t="s">
        <v>17</v>
      </c>
      <c r="I681" s="2">
        <v>1</v>
      </c>
      <c r="J681" s="2" t="s">
        <v>2197</v>
      </c>
      <c r="K681" s="2">
        <v>6177.6</v>
      </c>
      <c r="L681" s="35">
        <v>20206991.375999998</v>
      </c>
      <c r="M681" s="36">
        <v>3120</v>
      </c>
      <c r="N681" s="40">
        <v>106646.42060085799</v>
      </c>
      <c r="O681" s="40">
        <v>96464.909871244599</v>
      </c>
      <c r="P681" s="40">
        <v>103192.772532189</v>
      </c>
      <c r="Q681" s="40">
        <v>22163.381974248899</v>
      </c>
      <c r="R681" s="40">
        <v>169884.69957081499</v>
      </c>
      <c r="S681" s="40">
        <v>79083.7424892704</v>
      </c>
      <c r="T681" s="40">
        <v>30000</v>
      </c>
      <c r="U681" s="40">
        <v>1258835.1931330501</v>
      </c>
      <c r="V681" s="40">
        <v>0</v>
      </c>
      <c r="W681" s="45">
        <v>1866271.1201716801</v>
      </c>
      <c r="X681" s="46">
        <v>9.2357693703391206</v>
      </c>
    </row>
    <row r="682" spans="1:24" s="4" customFormat="1" ht="15" customHeight="1">
      <c r="A682" s="28" t="s">
        <v>2168</v>
      </c>
      <c r="B682" s="29">
        <v>3271.01</v>
      </c>
      <c r="C682" s="30" t="s">
        <v>2200</v>
      </c>
      <c r="D682" s="2">
        <v>4949681926</v>
      </c>
      <c r="E682" s="2" t="s">
        <v>14</v>
      </c>
      <c r="F682" s="2" t="s">
        <v>2201</v>
      </c>
      <c r="G682" s="28" t="s">
        <v>5</v>
      </c>
      <c r="H682" s="2" t="s">
        <v>17</v>
      </c>
      <c r="I682" s="2">
        <v>1</v>
      </c>
      <c r="J682" s="2" t="s">
        <v>2202</v>
      </c>
      <c r="K682" s="2">
        <v>7962</v>
      </c>
      <c r="L682" s="35">
        <v>26043781.620000001</v>
      </c>
      <c r="M682" s="36">
        <v>600</v>
      </c>
      <c r="N682" s="40">
        <v>11301.0436270317</v>
      </c>
      <c r="O682" s="40">
        <v>14789.974337040199</v>
      </c>
      <c r="P682" s="40">
        <v>6592.2668947818602</v>
      </c>
      <c r="Q682" s="40">
        <v>3398.08383233533</v>
      </c>
      <c r="R682" s="40">
        <v>27865.349871685201</v>
      </c>
      <c r="S682" s="40">
        <v>12125.098374679201</v>
      </c>
      <c r="T682" s="40">
        <v>30000</v>
      </c>
      <c r="U682" s="40">
        <v>193004.277159966</v>
      </c>
      <c r="V682" s="40">
        <v>0</v>
      </c>
      <c r="W682" s="45">
        <v>299076.09409751999</v>
      </c>
      <c r="X682" s="46">
        <v>1.1483589382727999</v>
      </c>
    </row>
    <row r="683" spans="1:24" s="4" customFormat="1" ht="15" customHeight="1">
      <c r="A683" s="28" t="s">
        <v>2168</v>
      </c>
      <c r="B683" s="29">
        <v>3271.01</v>
      </c>
      <c r="C683" s="30" t="s">
        <v>2200</v>
      </c>
      <c r="D683" s="2">
        <v>4949719628</v>
      </c>
      <c r="E683" s="2" t="s">
        <v>14</v>
      </c>
      <c r="F683" s="2" t="s">
        <v>2201</v>
      </c>
      <c r="G683" s="28" t="s">
        <v>5</v>
      </c>
      <c r="H683" s="2" t="s">
        <v>17</v>
      </c>
      <c r="I683" s="2">
        <v>1</v>
      </c>
      <c r="J683" s="2" t="s">
        <v>2202</v>
      </c>
      <c r="K683" s="2">
        <v>6372</v>
      </c>
      <c r="L683" s="35">
        <v>20842875.719999999</v>
      </c>
      <c r="M683" s="36">
        <v>1800</v>
      </c>
      <c r="N683" s="40">
        <v>33903.130881094999</v>
      </c>
      <c r="O683" s="40">
        <v>44369.923011120598</v>
      </c>
      <c r="P683" s="40">
        <v>19776.800684345599</v>
      </c>
      <c r="Q683" s="40">
        <v>10194.251497006</v>
      </c>
      <c r="R683" s="40">
        <v>83595.049615055599</v>
      </c>
      <c r="S683" s="40">
        <v>36375.295124037599</v>
      </c>
      <c r="T683" s="40">
        <v>30000</v>
      </c>
      <c r="U683" s="40">
        <v>579012.83147989702</v>
      </c>
      <c r="V683" s="40">
        <v>0</v>
      </c>
      <c r="W683" s="45">
        <v>837227.28229255695</v>
      </c>
      <c r="X683" s="46">
        <v>4.0168510983788401</v>
      </c>
    </row>
    <row r="684" spans="1:24" s="4" customFormat="1" ht="15" customHeight="1">
      <c r="A684" s="28" t="s">
        <v>2168</v>
      </c>
      <c r="B684" s="29">
        <v>3271.01</v>
      </c>
      <c r="C684" s="30" t="s">
        <v>2200</v>
      </c>
      <c r="D684" s="2">
        <v>4950058261</v>
      </c>
      <c r="E684" s="2" t="s">
        <v>14</v>
      </c>
      <c r="F684" s="2" t="s">
        <v>2201</v>
      </c>
      <c r="G684" s="28" t="s">
        <v>5</v>
      </c>
      <c r="H684" s="2" t="s">
        <v>17</v>
      </c>
      <c r="I684" s="2">
        <v>1</v>
      </c>
      <c r="J684" s="2" t="s">
        <v>2202</v>
      </c>
      <c r="K684" s="2">
        <v>3792</v>
      </c>
      <c r="L684" s="35">
        <v>12403669.92</v>
      </c>
      <c r="M684" s="36">
        <v>400</v>
      </c>
      <c r="N684" s="40">
        <v>7534.0290846877697</v>
      </c>
      <c r="O684" s="40">
        <v>9859.9828913601395</v>
      </c>
      <c r="P684" s="40">
        <v>4394.8445965212404</v>
      </c>
      <c r="Q684" s="40">
        <v>2265.3892215568899</v>
      </c>
      <c r="R684" s="40">
        <v>18576.2332477901</v>
      </c>
      <c r="S684" s="40">
        <v>8083.3989164528102</v>
      </c>
      <c r="T684" s="40">
        <v>30000</v>
      </c>
      <c r="U684" s="40">
        <v>128669.518106644</v>
      </c>
      <c r="V684" s="40">
        <v>0</v>
      </c>
      <c r="W684" s="45">
        <v>209383.39606501299</v>
      </c>
      <c r="X684" s="46">
        <v>1.68807616951655</v>
      </c>
    </row>
    <row r="685" spans="1:24" s="4" customFormat="1" ht="15" customHeight="1">
      <c r="A685" s="28" t="s">
        <v>2168</v>
      </c>
      <c r="B685" s="29">
        <v>3271.01</v>
      </c>
      <c r="C685" s="30" t="s">
        <v>2200</v>
      </c>
      <c r="D685" s="2">
        <v>4950058261</v>
      </c>
      <c r="E685" s="2" t="s">
        <v>14</v>
      </c>
      <c r="F685" s="2" t="s">
        <v>2201</v>
      </c>
      <c r="G685" s="28" t="s">
        <v>5</v>
      </c>
      <c r="H685" s="2" t="s">
        <v>17</v>
      </c>
      <c r="I685" s="2">
        <v>1</v>
      </c>
      <c r="J685" s="2" t="s">
        <v>2202</v>
      </c>
      <c r="K685" s="2">
        <v>2767.5</v>
      </c>
      <c r="L685" s="35">
        <v>9052520.1750000007</v>
      </c>
      <c r="M685" s="36">
        <v>675</v>
      </c>
      <c r="N685" s="40">
        <v>12713.674080410599</v>
      </c>
      <c r="O685" s="40">
        <v>16638.721129170201</v>
      </c>
      <c r="P685" s="40">
        <v>7416.3002566296</v>
      </c>
      <c r="Q685" s="40">
        <v>3822.8443113772501</v>
      </c>
      <c r="R685" s="40">
        <v>31348.268605645899</v>
      </c>
      <c r="S685" s="40">
        <v>13640.7356715141</v>
      </c>
      <c r="T685" s="40">
        <v>30000</v>
      </c>
      <c r="U685" s="40">
        <v>217129.811804962</v>
      </c>
      <c r="V685" s="40">
        <v>0</v>
      </c>
      <c r="W685" s="45">
        <v>332710.35585971002</v>
      </c>
      <c r="X685" s="46">
        <v>3.6753340443089302</v>
      </c>
    </row>
    <row r="686" spans="1:24" s="4" customFormat="1" ht="15" customHeight="1">
      <c r="A686" s="28" t="s">
        <v>2168</v>
      </c>
      <c r="B686" s="29">
        <v>3271.01</v>
      </c>
      <c r="C686" s="30" t="s">
        <v>2200</v>
      </c>
      <c r="D686" s="2">
        <v>4949532995</v>
      </c>
      <c r="E686" s="2" t="s">
        <v>14</v>
      </c>
      <c r="F686" s="2" t="s">
        <v>2201</v>
      </c>
      <c r="G686" s="28" t="s">
        <v>5</v>
      </c>
      <c r="H686" s="2" t="s">
        <v>17</v>
      </c>
      <c r="I686" s="2">
        <v>1</v>
      </c>
      <c r="J686" s="2" t="s">
        <v>2202</v>
      </c>
      <c r="K686" s="2">
        <v>2745.6</v>
      </c>
      <c r="L686" s="35">
        <v>8980885.0559999999</v>
      </c>
      <c r="M686" s="36">
        <v>1320</v>
      </c>
      <c r="N686" s="40">
        <v>24862.2959794696</v>
      </c>
      <c r="O686" s="40">
        <v>32537.943541488501</v>
      </c>
      <c r="P686" s="40">
        <v>14502.9871685201</v>
      </c>
      <c r="Q686" s="40">
        <v>7475.7844311377203</v>
      </c>
      <c r="R686" s="40">
        <v>61303.569717707403</v>
      </c>
      <c r="S686" s="40">
        <v>26675.2164242943</v>
      </c>
      <c r="T686" s="40">
        <v>30000</v>
      </c>
      <c r="U686" s="40">
        <v>424609.40975192498</v>
      </c>
      <c r="V686" s="40">
        <v>0</v>
      </c>
      <c r="W686" s="45">
        <v>621967.207014543</v>
      </c>
      <c r="X686" s="46">
        <v>6.9254555997130298</v>
      </c>
    </row>
    <row r="687" spans="1:24" s="4" customFormat="1" ht="15" customHeight="1">
      <c r="A687" s="28" t="s">
        <v>2168</v>
      </c>
      <c r="B687" s="29">
        <v>3271.01</v>
      </c>
      <c r="C687" s="30" t="s">
        <v>2200</v>
      </c>
      <c r="D687" s="2">
        <v>4949532995</v>
      </c>
      <c r="E687" s="2" t="s">
        <v>14</v>
      </c>
      <c r="F687" s="2" t="s">
        <v>2201</v>
      </c>
      <c r="G687" s="28" t="s">
        <v>5</v>
      </c>
      <c r="H687" s="2" t="s">
        <v>17</v>
      </c>
      <c r="I687" s="2">
        <v>1</v>
      </c>
      <c r="J687" s="2" t="s">
        <v>2202</v>
      </c>
      <c r="K687" s="2">
        <v>8738.4</v>
      </c>
      <c r="L687" s="35">
        <v>28583393.784000002</v>
      </c>
      <c r="M687" s="36">
        <v>1320</v>
      </c>
      <c r="N687" s="40">
        <v>24862.2959794696</v>
      </c>
      <c r="O687" s="40">
        <v>32537.943541488501</v>
      </c>
      <c r="P687" s="40">
        <v>14502.9871685201</v>
      </c>
      <c r="Q687" s="40">
        <v>7475.7844311377203</v>
      </c>
      <c r="R687" s="40">
        <v>61303.569717707403</v>
      </c>
      <c r="S687" s="40">
        <v>26675.2164242943</v>
      </c>
      <c r="T687" s="40">
        <v>30000</v>
      </c>
      <c r="U687" s="40">
        <v>424609.40975192498</v>
      </c>
      <c r="V687" s="40">
        <v>0</v>
      </c>
      <c r="W687" s="45">
        <v>621967.207014543</v>
      </c>
      <c r="X687" s="46">
        <v>2.1759739648645202</v>
      </c>
    </row>
    <row r="688" spans="1:24" s="4" customFormat="1" ht="15" customHeight="1">
      <c r="A688" s="28" t="s">
        <v>2168</v>
      </c>
      <c r="B688" s="29">
        <v>3271.01</v>
      </c>
      <c r="C688" s="30" t="s">
        <v>2200</v>
      </c>
      <c r="D688" s="2">
        <v>4949532995</v>
      </c>
      <c r="E688" s="2" t="s">
        <v>14</v>
      </c>
      <c r="F688" s="2" t="s">
        <v>2201</v>
      </c>
      <c r="G688" s="28" t="s">
        <v>5</v>
      </c>
      <c r="H688" s="2" t="s">
        <v>17</v>
      </c>
      <c r="I688" s="2">
        <v>1</v>
      </c>
      <c r="J688" s="2" t="s">
        <v>2202</v>
      </c>
      <c r="K688" s="2">
        <v>44450</v>
      </c>
      <c r="L688" s="35">
        <v>145396394.5</v>
      </c>
      <c r="M688" s="36">
        <v>7000</v>
      </c>
      <c r="N688" s="40">
        <v>131845.508982036</v>
      </c>
      <c r="O688" s="40">
        <v>172549.70059880201</v>
      </c>
      <c r="P688" s="40">
        <v>76909.780439121794</v>
      </c>
      <c r="Q688" s="40">
        <v>39644.311377245504</v>
      </c>
      <c r="R688" s="40">
        <v>325093.08183632698</v>
      </c>
      <c r="S688" s="40">
        <v>141459.48103792401</v>
      </c>
      <c r="T688" s="40">
        <v>30000</v>
      </c>
      <c r="U688" s="40">
        <v>2251716.5668662698</v>
      </c>
      <c r="V688" s="40">
        <v>0</v>
      </c>
      <c r="W688" s="45">
        <v>3169218.4311377299</v>
      </c>
      <c r="X688" s="46">
        <v>2.17970909253718</v>
      </c>
    </row>
    <row r="689" spans="1:24" s="4" customFormat="1" ht="15" customHeight="1">
      <c r="A689" s="28" t="s">
        <v>2168</v>
      </c>
      <c r="B689" s="29">
        <v>3271.01</v>
      </c>
      <c r="C689" s="30" t="s">
        <v>2200</v>
      </c>
      <c r="D689" s="2">
        <v>4949532995</v>
      </c>
      <c r="E689" s="2" t="s">
        <v>14</v>
      </c>
      <c r="F689" s="2" t="s">
        <v>2201</v>
      </c>
      <c r="G689" s="28" t="s">
        <v>5</v>
      </c>
      <c r="H689" s="2" t="s">
        <v>17</v>
      </c>
      <c r="I689" s="2">
        <v>1</v>
      </c>
      <c r="J689" s="2" t="s">
        <v>2202</v>
      </c>
      <c r="K689" s="2">
        <v>3978</v>
      </c>
      <c r="L689" s="35">
        <v>13012077.779999999</v>
      </c>
      <c r="M689" s="36">
        <v>900</v>
      </c>
      <c r="N689" s="40">
        <v>16951.5654405475</v>
      </c>
      <c r="O689" s="40">
        <v>22184.961505560299</v>
      </c>
      <c r="P689" s="40">
        <v>9888.4003421727994</v>
      </c>
      <c r="Q689" s="40">
        <v>5097.1257485029901</v>
      </c>
      <c r="R689" s="40">
        <v>41798.0248075278</v>
      </c>
      <c r="S689" s="40">
        <v>18187.647562018799</v>
      </c>
      <c r="T689" s="40">
        <v>30000</v>
      </c>
      <c r="U689" s="40">
        <v>289506.41573994898</v>
      </c>
      <c r="V689" s="40">
        <v>0</v>
      </c>
      <c r="W689" s="45">
        <v>433614.141146279</v>
      </c>
      <c r="X689" s="46">
        <v>3.3323973963079001</v>
      </c>
    </row>
    <row r="690" spans="1:24" s="4" customFormat="1" ht="15" customHeight="1">
      <c r="A690" s="28" t="s">
        <v>2168</v>
      </c>
      <c r="B690" s="29">
        <v>3271.01</v>
      </c>
      <c r="C690" s="30" t="s">
        <v>2200</v>
      </c>
      <c r="D690" s="2">
        <v>4950058283</v>
      </c>
      <c r="E690" s="2" t="s">
        <v>14</v>
      </c>
      <c r="F690" s="2" t="s">
        <v>2201</v>
      </c>
      <c r="G690" s="28" t="s">
        <v>5</v>
      </c>
      <c r="H690" s="2" t="s">
        <v>17</v>
      </c>
      <c r="I690" s="2">
        <v>1</v>
      </c>
      <c r="J690" s="2" t="s">
        <v>2202</v>
      </c>
      <c r="K690" s="2">
        <v>3840</v>
      </c>
      <c r="L690" s="35">
        <v>12560678.4</v>
      </c>
      <c r="M690" s="36">
        <v>400</v>
      </c>
      <c r="N690" s="40">
        <v>7534.0290846877697</v>
      </c>
      <c r="O690" s="40">
        <v>9859.9828913601395</v>
      </c>
      <c r="P690" s="40">
        <v>4394.8445965212404</v>
      </c>
      <c r="Q690" s="40">
        <v>2265.3892215568899</v>
      </c>
      <c r="R690" s="40">
        <v>18576.2332477901</v>
      </c>
      <c r="S690" s="40">
        <v>8083.3989164528102</v>
      </c>
      <c r="T690" s="40">
        <v>30000</v>
      </c>
      <c r="U690" s="40">
        <v>128669.518106644</v>
      </c>
      <c r="V690" s="40">
        <v>0</v>
      </c>
      <c r="W690" s="45">
        <v>209383.39606501299</v>
      </c>
      <c r="X690" s="46">
        <v>1.6669752173976</v>
      </c>
    </row>
    <row r="691" spans="1:24" s="4" customFormat="1" ht="15" customHeight="1">
      <c r="A691" s="28" t="s">
        <v>2168</v>
      </c>
      <c r="B691" s="29">
        <v>3271.01</v>
      </c>
      <c r="C691" s="30" t="s">
        <v>2200</v>
      </c>
      <c r="D691" s="2">
        <v>4950058283</v>
      </c>
      <c r="E691" s="2" t="s">
        <v>14</v>
      </c>
      <c r="F691" s="2" t="s">
        <v>2201</v>
      </c>
      <c r="G691" s="28" t="s">
        <v>5</v>
      </c>
      <c r="H691" s="2" t="s">
        <v>17</v>
      </c>
      <c r="I691" s="2">
        <v>1</v>
      </c>
      <c r="J691" s="2" t="s">
        <v>2202</v>
      </c>
      <c r="K691" s="2">
        <v>2158.8000000000002</v>
      </c>
      <c r="L691" s="35">
        <v>7061456.3880000003</v>
      </c>
      <c r="M691" s="36">
        <v>420</v>
      </c>
      <c r="N691" s="40">
        <v>7910.7305389221601</v>
      </c>
      <c r="O691" s="40">
        <v>10352.9820359281</v>
      </c>
      <c r="P691" s="40">
        <v>4614.5868263473103</v>
      </c>
      <c r="Q691" s="40">
        <v>2378.6586826347302</v>
      </c>
      <c r="R691" s="40">
        <v>19505.5449101796</v>
      </c>
      <c r="S691" s="40">
        <v>8487.5688622754496</v>
      </c>
      <c r="T691" s="40">
        <v>30000</v>
      </c>
      <c r="U691" s="40">
        <v>135102.994011976</v>
      </c>
      <c r="V691" s="40">
        <v>0</v>
      </c>
      <c r="W691" s="45">
        <v>218353.06586826299</v>
      </c>
      <c r="X691" s="46">
        <v>3.0921817521853598</v>
      </c>
    </row>
    <row r="692" spans="1:24" s="4" customFormat="1" ht="15" customHeight="1">
      <c r="A692" s="28" t="s">
        <v>2168</v>
      </c>
      <c r="B692" s="29">
        <v>3271.01</v>
      </c>
      <c r="C692" s="30" t="s">
        <v>2200</v>
      </c>
      <c r="D692" s="2">
        <v>4950272187</v>
      </c>
      <c r="E692" s="2" t="s">
        <v>14</v>
      </c>
      <c r="F692" s="2" t="s">
        <v>2201</v>
      </c>
      <c r="G692" s="28" t="s">
        <v>5</v>
      </c>
      <c r="H692" s="2" t="s">
        <v>17</v>
      </c>
      <c r="I692" s="2">
        <v>1</v>
      </c>
      <c r="J692" s="2" t="s">
        <v>2202</v>
      </c>
      <c r="K692" s="2">
        <v>4410</v>
      </c>
      <c r="L692" s="35">
        <v>14425154.1</v>
      </c>
      <c r="M692" s="36">
        <v>1800</v>
      </c>
      <c r="N692" s="40">
        <v>33903.130881094999</v>
      </c>
      <c r="O692" s="40">
        <v>44369.923011120598</v>
      </c>
      <c r="P692" s="40">
        <v>19776.800684345599</v>
      </c>
      <c r="Q692" s="40">
        <v>10194.251497006</v>
      </c>
      <c r="R692" s="40">
        <v>83595.049615055599</v>
      </c>
      <c r="S692" s="40">
        <v>36375.295124037599</v>
      </c>
      <c r="T692" s="40">
        <v>30000</v>
      </c>
      <c r="U692" s="40">
        <v>579012.83147989702</v>
      </c>
      <c r="V692" s="40">
        <v>0</v>
      </c>
      <c r="W692" s="45">
        <v>837227.28229255695</v>
      </c>
      <c r="X692" s="46">
        <v>5.8039399543922903</v>
      </c>
    </row>
    <row r="693" spans="1:24" s="4" customFormat="1" ht="15" customHeight="1">
      <c r="A693" s="28" t="s">
        <v>2168</v>
      </c>
      <c r="B693" s="29">
        <v>3271.01</v>
      </c>
      <c r="C693" s="30" t="s">
        <v>2200</v>
      </c>
      <c r="D693" s="2">
        <v>4949590086</v>
      </c>
      <c r="E693" s="2" t="s">
        <v>14</v>
      </c>
      <c r="F693" s="2" t="s">
        <v>2201</v>
      </c>
      <c r="G693" s="28" t="s">
        <v>5</v>
      </c>
      <c r="H693" s="2" t="s">
        <v>17</v>
      </c>
      <c r="I693" s="2">
        <v>1</v>
      </c>
      <c r="J693" s="2" t="s">
        <v>2202</v>
      </c>
      <c r="K693" s="2">
        <v>2655</v>
      </c>
      <c r="L693" s="35">
        <v>8684531.5500000007</v>
      </c>
      <c r="M693" s="36">
        <v>900</v>
      </c>
      <c r="N693" s="40">
        <v>16951.5654405475</v>
      </c>
      <c r="O693" s="40">
        <v>22184.961505560299</v>
      </c>
      <c r="P693" s="40">
        <v>9888.4003421727994</v>
      </c>
      <c r="Q693" s="40">
        <v>5097.1257485029901</v>
      </c>
      <c r="R693" s="40">
        <v>41796.0248075278</v>
      </c>
      <c r="S693" s="40">
        <v>18187.647562018799</v>
      </c>
      <c r="T693" s="40">
        <v>30000</v>
      </c>
      <c r="U693" s="40">
        <v>289506.41573994898</v>
      </c>
      <c r="V693" s="40">
        <v>0</v>
      </c>
      <c r="W693" s="45">
        <v>433612.141146279</v>
      </c>
      <c r="X693" s="46">
        <v>4.9929249338299604</v>
      </c>
    </row>
    <row r="694" spans="1:24" s="4" customFormat="1" ht="15" customHeight="1">
      <c r="A694" s="28" t="s">
        <v>2168</v>
      </c>
      <c r="B694" s="29">
        <v>3271.01</v>
      </c>
      <c r="C694" s="30" t="s">
        <v>2205</v>
      </c>
      <c r="D694" s="2">
        <v>4949681915</v>
      </c>
      <c r="E694" s="2" t="s">
        <v>14</v>
      </c>
      <c r="F694" s="2" t="s">
        <v>2206</v>
      </c>
      <c r="G694" s="28" t="s">
        <v>9</v>
      </c>
      <c r="H694" s="2" t="s">
        <v>23</v>
      </c>
      <c r="I694" s="2">
        <v>23</v>
      </c>
      <c r="J694" s="2"/>
      <c r="K694" s="2">
        <v>3036</v>
      </c>
      <c r="L694" s="35">
        <v>9930786.3599999994</v>
      </c>
      <c r="M694" s="36">
        <v>600</v>
      </c>
      <c r="N694" s="40">
        <v>84982.539130434801</v>
      </c>
      <c r="O694" s="40">
        <v>408.91826086956502</v>
      </c>
      <c r="P694" s="40">
        <v>113460.146086957</v>
      </c>
      <c r="Q694" s="40">
        <v>12945.391304347801</v>
      </c>
      <c r="R694" s="40">
        <v>14280.0834782609</v>
      </c>
      <c r="S694" s="40">
        <v>14790.5113043478</v>
      </c>
      <c r="T694" s="40">
        <v>30000</v>
      </c>
      <c r="U694" s="40">
        <v>288267.130434783</v>
      </c>
      <c r="V694" s="40">
        <v>0</v>
      </c>
      <c r="W694" s="45">
        <v>559134.72000000102</v>
      </c>
      <c r="X694" s="46">
        <v>5.6303166711160699</v>
      </c>
    </row>
    <row r="695" spans="1:24" s="4" customFormat="1" ht="15" customHeight="1">
      <c r="A695" s="28" t="s">
        <v>2168</v>
      </c>
      <c r="B695" s="29">
        <v>3271.01</v>
      </c>
      <c r="C695" s="30" t="s">
        <v>2205</v>
      </c>
      <c r="D695" s="2">
        <v>4949681915</v>
      </c>
      <c r="E695" s="2" t="s">
        <v>14</v>
      </c>
      <c r="F695" s="2" t="s">
        <v>2206</v>
      </c>
      <c r="G695" s="28" t="s">
        <v>9</v>
      </c>
      <c r="H695" s="2" t="s">
        <v>23</v>
      </c>
      <c r="I695" s="2">
        <v>23</v>
      </c>
      <c r="J695" s="2"/>
      <c r="K695" s="2">
        <v>5535</v>
      </c>
      <c r="L695" s="35">
        <v>18105040.350000001</v>
      </c>
      <c r="M695" s="36">
        <v>1350</v>
      </c>
      <c r="N695" s="40">
        <v>191210.713043478</v>
      </c>
      <c r="O695" s="40">
        <v>920.06608695652199</v>
      </c>
      <c r="P695" s="40">
        <v>255285.32869565199</v>
      </c>
      <c r="Q695" s="40">
        <v>29127.130434782601</v>
      </c>
      <c r="R695" s="40">
        <v>32130.187826087</v>
      </c>
      <c r="S695" s="40">
        <v>33278.650434782598</v>
      </c>
      <c r="T695" s="40">
        <v>30000</v>
      </c>
      <c r="U695" s="40">
        <v>648601.04347826098</v>
      </c>
      <c r="V695" s="40">
        <v>0</v>
      </c>
      <c r="W695" s="45">
        <v>1220553.1200000001</v>
      </c>
      <c r="X695" s="46">
        <v>6.7415100789874796</v>
      </c>
    </row>
    <row r="696" spans="1:24" s="4" customFormat="1" ht="15" customHeight="1">
      <c r="A696" s="28" t="s">
        <v>2168</v>
      </c>
      <c r="B696" s="29">
        <v>3271.01</v>
      </c>
      <c r="C696" s="30" t="s">
        <v>2205</v>
      </c>
      <c r="D696" s="2">
        <v>4949681915</v>
      </c>
      <c r="E696" s="2" t="s">
        <v>14</v>
      </c>
      <c r="F696" s="2" t="s">
        <v>2206</v>
      </c>
      <c r="G696" s="28" t="s">
        <v>9</v>
      </c>
      <c r="H696" s="2" t="s">
        <v>23</v>
      </c>
      <c r="I696" s="2">
        <v>23</v>
      </c>
      <c r="J696" s="2"/>
      <c r="K696" s="2">
        <v>8568</v>
      </c>
      <c r="L696" s="35">
        <v>28026013.68</v>
      </c>
      <c r="M696" s="36">
        <v>1575</v>
      </c>
      <c r="N696" s="40">
        <v>223079.16521739101</v>
      </c>
      <c r="O696" s="40">
        <v>1073.4104347826101</v>
      </c>
      <c r="P696" s="40">
        <v>297832.88347826101</v>
      </c>
      <c r="Q696" s="40">
        <v>33981.652173912997</v>
      </c>
      <c r="R696" s="40">
        <v>37485.219130434802</v>
      </c>
      <c r="S696" s="40">
        <v>38825.092173912999</v>
      </c>
      <c r="T696" s="40">
        <v>30000</v>
      </c>
      <c r="U696" s="40">
        <v>756701.21739130397</v>
      </c>
      <c r="V696" s="40">
        <v>0</v>
      </c>
      <c r="W696" s="45">
        <v>1418978.64</v>
      </c>
      <c r="X696" s="46">
        <v>5.0630769548671699</v>
      </c>
    </row>
    <row r="697" spans="1:24" s="4" customFormat="1" ht="15" customHeight="1">
      <c r="A697" s="28" t="s">
        <v>2168</v>
      </c>
      <c r="B697" s="29">
        <v>3271.01</v>
      </c>
      <c r="C697" s="30" t="s">
        <v>2205</v>
      </c>
      <c r="D697" s="2">
        <v>4948892177</v>
      </c>
      <c r="E697" s="2" t="s">
        <v>14</v>
      </c>
      <c r="F697" s="2" t="s">
        <v>2206</v>
      </c>
      <c r="G697" s="28" t="s">
        <v>9</v>
      </c>
      <c r="H697" s="2" t="s">
        <v>23</v>
      </c>
      <c r="I697" s="2">
        <v>23</v>
      </c>
      <c r="J697" s="2"/>
      <c r="K697" s="2">
        <v>11840</v>
      </c>
      <c r="L697" s="35">
        <v>38728758.399999999</v>
      </c>
      <c r="M697" s="36">
        <v>8000</v>
      </c>
      <c r="N697" s="40">
        <v>1133100.5217391299</v>
      </c>
      <c r="O697" s="40">
        <v>5452.2434782608698</v>
      </c>
      <c r="P697" s="40">
        <v>1512801.94782609</v>
      </c>
      <c r="Q697" s="40">
        <v>172605.217391304</v>
      </c>
      <c r="R697" s="40">
        <v>190401.11304347799</v>
      </c>
      <c r="S697" s="40">
        <v>197206.81739130401</v>
      </c>
      <c r="T697" s="40">
        <v>30000</v>
      </c>
      <c r="U697" s="40">
        <v>3843561.7391304402</v>
      </c>
      <c r="V697" s="40">
        <v>0</v>
      </c>
      <c r="W697" s="45">
        <v>7085129.6000000099</v>
      </c>
      <c r="X697" s="46">
        <v>18.2942337753849</v>
      </c>
    </row>
    <row r="698" spans="1:24" s="4" customFormat="1" ht="15" customHeight="1">
      <c r="A698" s="28" t="s">
        <v>2168</v>
      </c>
      <c r="B698" s="29">
        <v>3271.01</v>
      </c>
      <c r="C698" s="30" t="s">
        <v>2205</v>
      </c>
      <c r="D698" s="2">
        <v>4949532979</v>
      </c>
      <c r="E698" s="2" t="s">
        <v>14</v>
      </c>
      <c r="F698" s="2" t="s">
        <v>2206</v>
      </c>
      <c r="G698" s="28" t="s">
        <v>9</v>
      </c>
      <c r="H698" s="2" t="s">
        <v>23</v>
      </c>
      <c r="I698" s="2">
        <v>23</v>
      </c>
      <c r="J698" s="2"/>
      <c r="K698" s="2">
        <v>2361.6</v>
      </c>
      <c r="L698" s="35">
        <v>7724817.216</v>
      </c>
      <c r="M698" s="36">
        <v>820</v>
      </c>
      <c r="N698" s="40">
        <v>116142.803478261</v>
      </c>
      <c r="O698" s="40">
        <v>558.85495652173904</v>
      </c>
      <c r="P698" s="40">
        <v>155062.19965217399</v>
      </c>
      <c r="Q698" s="40">
        <v>17692.034782608702</v>
      </c>
      <c r="R698" s="40">
        <v>19516.114086956499</v>
      </c>
      <c r="S698" s="40">
        <v>20213.698782608699</v>
      </c>
      <c r="T698" s="40">
        <v>30000</v>
      </c>
      <c r="U698" s="40">
        <v>393965.07826087001</v>
      </c>
      <c r="V698" s="40">
        <v>0</v>
      </c>
      <c r="W698" s="45">
        <v>753150.78400000103</v>
      </c>
      <c r="X698" s="46">
        <v>9.74975540443908</v>
      </c>
    </row>
    <row r="699" spans="1:24" s="4" customFormat="1" ht="15" customHeight="1">
      <c r="A699" s="28" t="s">
        <v>2168</v>
      </c>
      <c r="B699" s="29">
        <v>3271.01</v>
      </c>
      <c r="C699" s="30" t="s">
        <v>2205</v>
      </c>
      <c r="D699" s="2">
        <v>4949532979</v>
      </c>
      <c r="E699" s="2" t="s">
        <v>14</v>
      </c>
      <c r="F699" s="2" t="s">
        <v>2206</v>
      </c>
      <c r="G699" s="28" t="s">
        <v>9</v>
      </c>
      <c r="H699" s="2" t="s">
        <v>23</v>
      </c>
      <c r="I699" s="2">
        <v>23</v>
      </c>
      <c r="J699" s="2"/>
      <c r="K699" s="2">
        <v>2149</v>
      </c>
      <c r="L699" s="35">
        <v>7029400.4900000002</v>
      </c>
      <c r="M699" s="36">
        <v>700</v>
      </c>
      <c r="N699" s="40">
        <v>99146.295652173896</v>
      </c>
      <c r="O699" s="40">
        <v>477.07130434782601</v>
      </c>
      <c r="P699" s="40">
        <v>132370.17043478301</v>
      </c>
      <c r="Q699" s="40">
        <v>15102.956521739099</v>
      </c>
      <c r="R699" s="40">
        <v>16660.097391304302</v>
      </c>
      <c r="S699" s="40">
        <v>17255.596521739099</v>
      </c>
      <c r="T699" s="40">
        <v>30000</v>
      </c>
      <c r="U699" s="40">
        <v>336311.65217391303</v>
      </c>
      <c r="V699" s="40">
        <v>0</v>
      </c>
      <c r="W699" s="45">
        <v>647323.84</v>
      </c>
      <c r="X699" s="46">
        <v>9.2088057995967194</v>
      </c>
    </row>
    <row r="700" spans="1:24" s="4" customFormat="1" ht="15" customHeight="1">
      <c r="A700" s="28" t="s">
        <v>2168</v>
      </c>
      <c r="B700" s="29">
        <v>3271.01</v>
      </c>
      <c r="C700" s="30" t="s">
        <v>2205</v>
      </c>
      <c r="D700" s="2">
        <v>4949590080</v>
      </c>
      <c r="E700" s="2" t="s">
        <v>14</v>
      </c>
      <c r="F700" s="2" t="s">
        <v>2206</v>
      </c>
      <c r="G700" s="28" t="s">
        <v>9</v>
      </c>
      <c r="H700" s="2" t="s">
        <v>23</v>
      </c>
      <c r="I700" s="2">
        <v>23</v>
      </c>
      <c r="J700" s="2"/>
      <c r="K700" s="2">
        <v>2772</v>
      </c>
      <c r="L700" s="35">
        <v>9067239.7200000007</v>
      </c>
      <c r="M700" s="36">
        <v>900</v>
      </c>
      <c r="N700" s="40">
        <v>127473.808695652</v>
      </c>
      <c r="O700" s="40">
        <v>613.37739130434795</v>
      </c>
      <c r="P700" s="40">
        <v>170190.219130435</v>
      </c>
      <c r="Q700" s="40">
        <v>19418.0869565217</v>
      </c>
      <c r="R700" s="40">
        <v>21420.125217391302</v>
      </c>
      <c r="S700" s="40">
        <v>22185.7669565217</v>
      </c>
      <c r="T700" s="40">
        <v>30000</v>
      </c>
      <c r="U700" s="40">
        <v>432400.69565217401</v>
      </c>
      <c r="V700" s="40">
        <v>0</v>
      </c>
      <c r="W700" s="45">
        <v>823702.08</v>
      </c>
      <c r="X700" s="46">
        <v>9.0843752391714592</v>
      </c>
    </row>
    <row r="701" spans="1:24" s="4" customFormat="1" ht="15" customHeight="1">
      <c r="A701" s="28" t="s">
        <v>2168</v>
      </c>
      <c r="B701" s="29">
        <v>3271.01</v>
      </c>
      <c r="C701" s="30" t="s">
        <v>2205</v>
      </c>
      <c r="D701" s="2">
        <v>4949681919</v>
      </c>
      <c r="E701" s="2" t="s">
        <v>14</v>
      </c>
      <c r="F701" s="2" t="s">
        <v>2206</v>
      </c>
      <c r="G701" s="28" t="s">
        <v>9</v>
      </c>
      <c r="H701" s="2" t="s">
        <v>23</v>
      </c>
      <c r="I701" s="2">
        <v>23</v>
      </c>
      <c r="J701" s="2"/>
      <c r="K701" s="2">
        <v>1632</v>
      </c>
      <c r="L701" s="35">
        <v>5338288.32</v>
      </c>
      <c r="M701" s="36">
        <v>300</v>
      </c>
      <c r="N701" s="40">
        <v>42491.269565217401</v>
      </c>
      <c r="O701" s="40">
        <v>204.45913043478299</v>
      </c>
      <c r="P701" s="40">
        <v>56730.073043478304</v>
      </c>
      <c r="Q701" s="40">
        <v>6472.6956521739103</v>
      </c>
      <c r="R701" s="40">
        <v>7140.04173913044</v>
      </c>
      <c r="S701" s="40">
        <v>7395.2556521739098</v>
      </c>
      <c r="T701" s="40">
        <v>30000</v>
      </c>
      <c r="U701" s="40">
        <v>144133.56521739101</v>
      </c>
      <c r="V701" s="40">
        <v>0</v>
      </c>
      <c r="W701" s="45">
        <v>294567.36</v>
      </c>
      <c r="X701" s="46">
        <v>5.5180114362949899</v>
      </c>
    </row>
    <row r="702" spans="1:24" s="4" customFormat="1" ht="15" customHeight="1">
      <c r="A702" s="28" t="s">
        <v>2168</v>
      </c>
      <c r="B702" s="29">
        <v>3271.01</v>
      </c>
      <c r="C702" s="30" t="s">
        <v>2205</v>
      </c>
      <c r="D702" s="2">
        <v>4949662342</v>
      </c>
      <c r="E702" s="2" t="s">
        <v>14</v>
      </c>
      <c r="F702" s="2" t="s">
        <v>2206</v>
      </c>
      <c r="G702" s="28" t="s">
        <v>9</v>
      </c>
      <c r="H702" s="2" t="s">
        <v>23</v>
      </c>
      <c r="I702" s="2">
        <v>23</v>
      </c>
      <c r="J702" s="2"/>
      <c r="K702" s="2">
        <v>1735</v>
      </c>
      <c r="L702" s="35">
        <v>5675202.3499999996</v>
      </c>
      <c r="M702" s="36">
        <v>50</v>
      </c>
      <c r="N702" s="40">
        <v>7081.8782608695701</v>
      </c>
      <c r="O702" s="40">
        <v>34.076521739130399</v>
      </c>
      <c r="P702" s="40">
        <v>9455.0121739130409</v>
      </c>
      <c r="Q702" s="40">
        <v>1078.78260869565</v>
      </c>
      <c r="R702" s="40">
        <v>1190.00695652174</v>
      </c>
      <c r="S702" s="40">
        <v>1232.54260869565</v>
      </c>
      <c r="T702" s="40">
        <v>30000</v>
      </c>
      <c r="U702" s="40">
        <v>24022.260869565202</v>
      </c>
      <c r="V702" s="40">
        <v>0</v>
      </c>
      <c r="W702" s="45">
        <v>74094.559999999998</v>
      </c>
      <c r="X702" s="46">
        <v>1.3055844607901901</v>
      </c>
    </row>
    <row r="703" spans="1:24" s="4" customFormat="1" ht="15" customHeight="1">
      <c r="A703" s="28" t="s">
        <v>2168</v>
      </c>
      <c r="B703" s="29">
        <v>3271.01</v>
      </c>
      <c r="C703" s="30" t="s">
        <v>2205</v>
      </c>
      <c r="D703" s="2">
        <v>4949096191</v>
      </c>
      <c r="E703" s="2" t="s">
        <v>14</v>
      </c>
      <c r="F703" s="2" t="s">
        <v>2206</v>
      </c>
      <c r="G703" s="28" t="s">
        <v>9</v>
      </c>
      <c r="H703" s="2" t="s">
        <v>23</v>
      </c>
      <c r="I703" s="2">
        <v>23</v>
      </c>
      <c r="J703" s="2"/>
      <c r="K703" s="2">
        <v>634.4</v>
      </c>
      <c r="L703" s="35">
        <v>2075128.7439999999</v>
      </c>
      <c r="M703" s="36">
        <v>80</v>
      </c>
      <c r="N703" s="40">
        <v>11331.005217391301</v>
      </c>
      <c r="O703" s="40">
        <v>54.522434782608698</v>
      </c>
      <c r="P703" s="40">
        <v>15128.0194782609</v>
      </c>
      <c r="Q703" s="40">
        <v>1726.05217391304</v>
      </c>
      <c r="R703" s="40">
        <v>1904.0111304347799</v>
      </c>
      <c r="S703" s="40">
        <v>1972.06817391304</v>
      </c>
      <c r="T703" s="40">
        <v>30000</v>
      </c>
      <c r="U703" s="40">
        <v>38435.617391304397</v>
      </c>
      <c r="V703" s="40">
        <v>0</v>
      </c>
      <c r="W703" s="45">
        <v>100551.296</v>
      </c>
      <c r="X703" s="46">
        <v>4.8455449470657097</v>
      </c>
    </row>
    <row r="704" spans="1:24" s="4" customFormat="1" ht="15" customHeight="1">
      <c r="A704" s="28" t="s">
        <v>2168</v>
      </c>
      <c r="B704" s="29">
        <v>3271.01</v>
      </c>
      <c r="C704" s="30" t="s">
        <v>2207</v>
      </c>
      <c r="D704" s="2">
        <v>4949747394</v>
      </c>
      <c r="E704" s="2" t="s">
        <v>14</v>
      </c>
      <c r="F704" s="2" t="s">
        <v>2208</v>
      </c>
      <c r="G704" s="28" t="s">
        <v>5</v>
      </c>
      <c r="H704" s="2" t="s">
        <v>20</v>
      </c>
      <c r="I704" s="2">
        <v>1</v>
      </c>
      <c r="J704" s="2" t="s">
        <v>2209</v>
      </c>
      <c r="K704" s="2">
        <v>19065</v>
      </c>
      <c r="L704" s="35">
        <v>62361805.649999999</v>
      </c>
      <c r="M704" s="36">
        <v>15500</v>
      </c>
      <c r="N704" s="40">
        <v>357103</v>
      </c>
      <c r="O704" s="40">
        <v>294849</v>
      </c>
      <c r="P704" s="40">
        <v>295627</v>
      </c>
      <c r="Q704" s="40">
        <v>109784</v>
      </c>
      <c r="R704" s="40">
        <v>690814</v>
      </c>
      <c r="S704" s="40">
        <v>354356</v>
      </c>
      <c r="T704" s="40">
        <v>30000</v>
      </c>
      <c r="U704" s="40">
        <v>2541400</v>
      </c>
      <c r="V704" s="40">
        <v>0</v>
      </c>
      <c r="W704" s="45">
        <v>4673933</v>
      </c>
      <c r="X704" s="46">
        <v>7.4948647674379796</v>
      </c>
    </row>
    <row r="705" spans="1:24" s="4" customFormat="1" ht="15" customHeight="1">
      <c r="A705" s="28" t="s">
        <v>2168</v>
      </c>
      <c r="B705" s="29">
        <v>3271.01</v>
      </c>
      <c r="C705" s="30" t="s">
        <v>2213</v>
      </c>
      <c r="D705" s="2">
        <v>4949571453</v>
      </c>
      <c r="E705" s="2" t="s">
        <v>14</v>
      </c>
      <c r="F705" s="2" t="s">
        <v>2214</v>
      </c>
      <c r="G705" s="28" t="s">
        <v>9</v>
      </c>
      <c r="H705" s="2" t="s">
        <v>23</v>
      </c>
      <c r="I705" s="2">
        <v>1</v>
      </c>
      <c r="J705" s="2"/>
      <c r="K705" s="2">
        <v>2284.6999999999998</v>
      </c>
      <c r="L705" s="35">
        <v>7473276.5470000003</v>
      </c>
      <c r="M705" s="36">
        <v>110</v>
      </c>
      <c r="N705" s="40">
        <v>528201</v>
      </c>
      <c r="O705" s="40">
        <v>94</v>
      </c>
      <c r="P705" s="40">
        <v>7744</v>
      </c>
      <c r="Q705" s="40">
        <v>2900</v>
      </c>
      <c r="R705" s="40">
        <v>88450</v>
      </c>
      <c r="S705" s="40">
        <v>354356</v>
      </c>
      <c r="T705" s="40">
        <v>30000</v>
      </c>
      <c r="U705" s="40">
        <v>74552.527254707602</v>
      </c>
      <c r="V705" s="40">
        <v>0</v>
      </c>
      <c r="W705" s="45">
        <v>1086297.52725471</v>
      </c>
      <c r="X705" s="46">
        <v>14.535759789202199</v>
      </c>
    </row>
    <row r="706" spans="1:24" s="4" customFormat="1" ht="15" customHeight="1">
      <c r="A706" s="28" t="s">
        <v>2168</v>
      </c>
      <c r="B706" s="29">
        <v>3271.01</v>
      </c>
      <c r="C706" s="30" t="s">
        <v>2215</v>
      </c>
      <c r="D706" s="2">
        <v>4949654739</v>
      </c>
      <c r="E706" s="2" t="s">
        <v>14</v>
      </c>
      <c r="F706" s="2" t="s">
        <v>2216</v>
      </c>
      <c r="G706" s="28" t="s">
        <v>9</v>
      </c>
      <c r="H706" s="2" t="s">
        <v>23</v>
      </c>
      <c r="I706" s="2">
        <v>3</v>
      </c>
      <c r="J706" s="2"/>
      <c r="K706" s="2">
        <v>5959.8</v>
      </c>
      <c r="L706" s="35">
        <v>19494565.397999998</v>
      </c>
      <c r="M706" s="36">
        <v>2580</v>
      </c>
      <c r="N706" s="40">
        <v>774851</v>
      </c>
      <c r="O706" s="40">
        <v>1741</v>
      </c>
      <c r="P706" s="40">
        <v>251574</v>
      </c>
      <c r="Q706" s="40">
        <v>44618</v>
      </c>
      <c r="R706" s="40">
        <v>129028</v>
      </c>
      <c r="S706" s="40">
        <v>354356</v>
      </c>
      <c r="T706" s="40">
        <v>30000</v>
      </c>
      <c r="U706" s="40">
        <v>1318772.0588235301</v>
      </c>
      <c r="V706" s="40">
        <v>0</v>
      </c>
      <c r="W706" s="45">
        <v>2904940.0588235301</v>
      </c>
      <c r="X706" s="46">
        <v>14.9012814572494</v>
      </c>
    </row>
    <row r="707" spans="1:24" s="4" customFormat="1" ht="15" customHeight="1">
      <c r="A707" s="28" t="s">
        <v>2168</v>
      </c>
      <c r="B707" s="29">
        <v>3271.01</v>
      </c>
      <c r="C707" s="30" t="s">
        <v>2217</v>
      </c>
      <c r="D707" s="2">
        <v>4949866950</v>
      </c>
      <c r="E707" s="2" t="s">
        <v>14</v>
      </c>
      <c r="F707" s="2" t="s">
        <v>2218</v>
      </c>
      <c r="G707" s="28" t="s">
        <v>5</v>
      </c>
      <c r="H707" s="2" t="s">
        <v>20</v>
      </c>
      <c r="I707" s="2">
        <v>1</v>
      </c>
      <c r="J707" s="2" t="s">
        <v>2219</v>
      </c>
      <c r="K707" s="2">
        <v>3431.7</v>
      </c>
      <c r="L707" s="35">
        <v>11225125.017000001</v>
      </c>
      <c r="M707" s="36">
        <v>2790</v>
      </c>
      <c r="N707" s="40">
        <v>121650.813186813</v>
      </c>
      <c r="O707" s="40">
        <v>100443.06593406601</v>
      </c>
      <c r="P707" s="40">
        <v>100708.098901099</v>
      </c>
      <c r="Q707" s="40">
        <v>37398.945054945099</v>
      </c>
      <c r="R707" s="40">
        <v>235834</v>
      </c>
      <c r="S707" s="40">
        <v>120714.681318681</v>
      </c>
      <c r="T707" s="40">
        <v>30000</v>
      </c>
      <c r="U707" s="40">
        <v>799663.73626373603</v>
      </c>
      <c r="V707" s="40">
        <v>0</v>
      </c>
      <c r="W707" s="45">
        <v>1546413.3406593399</v>
      </c>
      <c r="X707" s="46">
        <v>13.776357397510999</v>
      </c>
    </row>
    <row r="708" spans="1:24" s="4" customFormat="1" ht="15" customHeight="1">
      <c r="A708" s="28" t="s">
        <v>2168</v>
      </c>
      <c r="B708" s="29">
        <v>3271.01</v>
      </c>
      <c r="C708" s="30" t="s">
        <v>2217</v>
      </c>
      <c r="D708" s="2">
        <v>4949868806</v>
      </c>
      <c r="E708" s="2" t="s">
        <v>14</v>
      </c>
      <c r="F708" s="2" t="s">
        <v>2218</v>
      </c>
      <c r="G708" s="28" t="s">
        <v>5</v>
      </c>
      <c r="H708" s="2" t="s">
        <v>20</v>
      </c>
      <c r="I708" s="2">
        <v>1</v>
      </c>
      <c r="J708" s="2" t="s">
        <v>2219</v>
      </c>
      <c r="K708" s="2">
        <v>6372</v>
      </c>
      <c r="L708" s="35">
        <v>20842875.719999999</v>
      </c>
      <c r="M708" s="36">
        <v>5400</v>
      </c>
      <c r="N708" s="40">
        <v>235453.186813187</v>
      </c>
      <c r="O708" s="40">
        <v>194405.93406593401</v>
      </c>
      <c r="P708" s="40">
        <v>194918.901098901</v>
      </c>
      <c r="Q708" s="40">
        <v>72385.054945054901</v>
      </c>
      <c r="R708" s="40">
        <v>456452</v>
      </c>
      <c r="S708" s="40">
        <v>233641.31868131901</v>
      </c>
      <c r="T708" s="40">
        <v>30000</v>
      </c>
      <c r="U708" s="40">
        <v>1547736.2637362599</v>
      </c>
      <c r="V708" s="40">
        <v>0</v>
      </c>
      <c r="W708" s="45">
        <v>2964992.6593406601</v>
      </c>
      <c r="X708" s="46">
        <v>14.225449017553601</v>
      </c>
    </row>
    <row r="709" spans="1:24" s="4" customFormat="1" ht="15" customHeight="1">
      <c r="A709" s="28" t="s">
        <v>2168</v>
      </c>
      <c r="B709" s="29">
        <v>3271.01</v>
      </c>
      <c r="C709" s="30" t="s">
        <v>2220</v>
      </c>
      <c r="D709" s="2">
        <v>4949309836</v>
      </c>
      <c r="E709" s="2" t="s">
        <v>14</v>
      </c>
      <c r="F709" s="2" t="s">
        <v>2221</v>
      </c>
      <c r="G709" s="28" t="s">
        <v>5</v>
      </c>
      <c r="H709" s="2" t="s">
        <v>17</v>
      </c>
      <c r="I709" s="2">
        <v>1</v>
      </c>
      <c r="J709" s="2" t="s">
        <v>2222</v>
      </c>
      <c r="K709" s="2">
        <v>16837.8</v>
      </c>
      <c r="L709" s="35">
        <v>55076612.178000003</v>
      </c>
      <c r="M709" s="36">
        <v>7980</v>
      </c>
      <c r="N709" s="40">
        <v>245768.14443330001</v>
      </c>
      <c r="O709" s="40">
        <v>271167.551886792</v>
      </c>
      <c r="P709" s="40">
        <v>802842.046138415</v>
      </c>
      <c r="Q709" s="40">
        <v>62302.344339622599</v>
      </c>
      <c r="R709" s="40">
        <v>1170258</v>
      </c>
      <c r="S709" s="40">
        <v>270120.922768305</v>
      </c>
      <c r="T709" s="40">
        <v>30000</v>
      </c>
      <c r="U709" s="40">
        <v>4784036.1083249701</v>
      </c>
      <c r="V709" s="40">
        <v>0</v>
      </c>
      <c r="W709" s="45">
        <v>7636495.1178914001</v>
      </c>
      <c r="X709" s="46">
        <v>13.8652230337104</v>
      </c>
    </row>
    <row r="710" spans="1:24" s="4" customFormat="1" ht="15" customHeight="1">
      <c r="A710" s="28" t="s">
        <v>2168</v>
      </c>
      <c r="B710" s="29">
        <v>3271.01</v>
      </c>
      <c r="C710" s="30" t="s">
        <v>2220</v>
      </c>
      <c r="D710" s="2">
        <v>4949662469</v>
      </c>
      <c r="E710" s="2" t="s">
        <v>14</v>
      </c>
      <c r="F710" s="2" t="s">
        <v>2221</v>
      </c>
      <c r="G710" s="28" t="s">
        <v>5</v>
      </c>
      <c r="H710" s="2" t="s">
        <v>17</v>
      </c>
      <c r="I710" s="2">
        <v>1</v>
      </c>
      <c r="J710" s="2" t="s">
        <v>2222</v>
      </c>
      <c r="K710" s="2">
        <v>7304</v>
      </c>
      <c r="L710" s="35">
        <v>23891457.039999999</v>
      </c>
      <c r="M710" s="36">
        <v>400</v>
      </c>
      <c r="N710" s="40">
        <v>6467.5827482447303</v>
      </c>
      <c r="O710" s="40">
        <v>13592.358490565999</v>
      </c>
      <c r="P710" s="40">
        <v>21127.4222668004</v>
      </c>
      <c r="Q710" s="40">
        <v>3122.9245283018899</v>
      </c>
      <c r="R710" s="40">
        <v>30796</v>
      </c>
      <c r="S710" s="40">
        <v>7108.4453360080197</v>
      </c>
      <c r="T710" s="40">
        <v>30000</v>
      </c>
      <c r="U710" s="40">
        <v>125895.687061184</v>
      </c>
      <c r="V710" s="40">
        <v>0</v>
      </c>
      <c r="W710" s="45">
        <v>238110.42043110501</v>
      </c>
      <c r="X710" s="46">
        <v>0.99663415266993305</v>
      </c>
    </row>
    <row r="711" spans="1:24" s="4" customFormat="1" ht="15" customHeight="1">
      <c r="A711" s="28" t="s">
        <v>2168</v>
      </c>
      <c r="B711" s="29">
        <v>3271.01</v>
      </c>
      <c r="C711" s="30" t="s">
        <v>2220</v>
      </c>
      <c r="D711" s="2">
        <v>4949662469</v>
      </c>
      <c r="E711" s="2" t="s">
        <v>14</v>
      </c>
      <c r="F711" s="2" t="s">
        <v>2221</v>
      </c>
      <c r="G711" s="28" t="s">
        <v>5</v>
      </c>
      <c r="H711" s="2" t="s">
        <v>17</v>
      </c>
      <c r="I711" s="2">
        <v>1</v>
      </c>
      <c r="J711" s="2" t="s">
        <v>2222</v>
      </c>
      <c r="K711" s="2">
        <v>3487.5</v>
      </c>
      <c r="L711" s="35">
        <v>11407647.375</v>
      </c>
      <c r="M711" s="36">
        <v>1125</v>
      </c>
      <c r="N711" s="40">
        <v>18190.076479438299</v>
      </c>
      <c r="O711" s="40">
        <v>38228.508254717002</v>
      </c>
      <c r="P711" s="40">
        <v>59420.8751253761</v>
      </c>
      <c r="Q711" s="40">
        <v>8783.2252358490605</v>
      </c>
      <c r="R711" s="40">
        <v>86614</v>
      </c>
      <c r="S711" s="40">
        <v>19992.5025075226</v>
      </c>
      <c r="T711" s="40">
        <v>30000</v>
      </c>
      <c r="U711" s="40">
        <v>354081.61985957902</v>
      </c>
      <c r="V711" s="40">
        <v>0</v>
      </c>
      <c r="W711" s="45">
        <v>615310.80746248201</v>
      </c>
      <c r="X711" s="46">
        <v>5.3938449115366502</v>
      </c>
    </row>
    <row r="712" spans="1:24" s="4" customFormat="1" ht="15" customHeight="1">
      <c r="A712" s="28" t="s">
        <v>2168</v>
      </c>
      <c r="B712" s="29">
        <v>3271.01</v>
      </c>
      <c r="C712" s="30" t="s">
        <v>2220</v>
      </c>
      <c r="D712" s="2">
        <v>4949681921</v>
      </c>
      <c r="E712" s="2" t="s">
        <v>14</v>
      </c>
      <c r="F712" s="2" t="s">
        <v>2221</v>
      </c>
      <c r="G712" s="28" t="s">
        <v>5</v>
      </c>
      <c r="H712" s="2" t="s">
        <v>17</v>
      </c>
      <c r="I712" s="2">
        <v>1</v>
      </c>
      <c r="J712" s="2" t="s">
        <v>2222</v>
      </c>
      <c r="K712" s="2">
        <v>4554</v>
      </c>
      <c r="L712" s="35">
        <v>14896179.539999999</v>
      </c>
      <c r="M712" s="36">
        <v>900</v>
      </c>
      <c r="N712" s="40">
        <v>14552.061183550701</v>
      </c>
      <c r="O712" s="40">
        <v>30582.806603773599</v>
      </c>
      <c r="P712" s="40">
        <v>47536.700100300899</v>
      </c>
      <c r="Q712" s="40">
        <v>7026.5801886792497</v>
      </c>
      <c r="R712" s="40">
        <v>69292</v>
      </c>
      <c r="S712" s="40">
        <v>15994.0020060181</v>
      </c>
      <c r="T712" s="40">
        <v>30000</v>
      </c>
      <c r="U712" s="40">
        <v>283265.29588766297</v>
      </c>
      <c r="V712" s="40">
        <v>0</v>
      </c>
      <c r="W712" s="45">
        <v>498249.44596998597</v>
      </c>
      <c r="X712" s="46">
        <v>3.3448136458886002</v>
      </c>
    </row>
    <row r="713" spans="1:24" s="4" customFormat="1" ht="15" customHeight="1">
      <c r="A713" s="28" t="s">
        <v>2168</v>
      </c>
      <c r="B713" s="29">
        <v>3271.01</v>
      </c>
      <c r="C713" s="30" t="s">
        <v>2220</v>
      </c>
      <c r="D713" s="2">
        <v>4949681921</v>
      </c>
      <c r="E713" s="2" t="s">
        <v>14</v>
      </c>
      <c r="F713" s="2" t="s">
        <v>2221</v>
      </c>
      <c r="G713" s="28" t="s">
        <v>5</v>
      </c>
      <c r="H713" s="2" t="s">
        <v>17</v>
      </c>
      <c r="I713" s="2">
        <v>1</v>
      </c>
      <c r="J713" s="2" t="s">
        <v>2222</v>
      </c>
      <c r="K713" s="2">
        <v>2767.5</v>
      </c>
      <c r="L713" s="35">
        <v>9052520.1750000007</v>
      </c>
      <c r="M713" s="36">
        <v>675</v>
      </c>
      <c r="N713" s="40">
        <v>10914.045887663</v>
      </c>
      <c r="O713" s="40">
        <v>22937.104952830199</v>
      </c>
      <c r="P713" s="40">
        <v>35652.525075225698</v>
      </c>
      <c r="Q713" s="40">
        <v>5269.9351415094297</v>
      </c>
      <c r="R713" s="40">
        <v>51968</v>
      </c>
      <c r="S713" s="40">
        <v>11995.501504513501</v>
      </c>
      <c r="T713" s="40">
        <v>30000</v>
      </c>
      <c r="U713" s="40">
        <v>212448.97191574701</v>
      </c>
      <c r="V713" s="40">
        <v>0</v>
      </c>
      <c r="W713" s="45">
        <v>381186.084477489</v>
      </c>
      <c r="X713" s="46">
        <v>4.2108283340831001</v>
      </c>
    </row>
    <row r="714" spans="1:24" s="4" customFormat="1" ht="15" customHeight="1">
      <c r="A714" s="28" t="s">
        <v>2168</v>
      </c>
      <c r="B714" s="29">
        <v>3271.01</v>
      </c>
      <c r="C714" s="30" t="s">
        <v>2220</v>
      </c>
      <c r="D714" s="2">
        <v>4949662469</v>
      </c>
      <c r="E714" s="2" t="s">
        <v>14</v>
      </c>
      <c r="F714" s="2" t="s">
        <v>2221</v>
      </c>
      <c r="G714" s="28" t="s">
        <v>5</v>
      </c>
      <c r="H714" s="2" t="s">
        <v>17</v>
      </c>
      <c r="I714" s="2">
        <v>1</v>
      </c>
      <c r="J714" s="2" t="s">
        <v>2222</v>
      </c>
      <c r="K714" s="2">
        <v>12332.8</v>
      </c>
      <c r="L714" s="35">
        <v>40340712.127999999</v>
      </c>
      <c r="M714" s="36">
        <v>1640</v>
      </c>
      <c r="N714" s="40">
        <v>26517.0892678034</v>
      </c>
      <c r="O714" s="40">
        <v>55728.669811320797</v>
      </c>
      <c r="P714" s="40">
        <v>86622.4312938816</v>
      </c>
      <c r="Q714" s="40">
        <v>12803.990566037701</v>
      </c>
      <c r="R714" s="40">
        <v>126264</v>
      </c>
      <c r="S714" s="40">
        <v>29144.625877632901</v>
      </c>
      <c r="T714" s="40">
        <v>30000</v>
      </c>
      <c r="U714" s="40">
        <v>516172.31695085298</v>
      </c>
      <c r="V714" s="40">
        <v>0</v>
      </c>
      <c r="W714" s="45">
        <v>883253.12376752903</v>
      </c>
      <c r="X714" s="46">
        <v>2.18948322222223</v>
      </c>
    </row>
    <row r="715" spans="1:24" s="4" customFormat="1" ht="15" customHeight="1">
      <c r="A715" s="28" t="s">
        <v>2168</v>
      </c>
      <c r="B715" s="29">
        <v>3271.01</v>
      </c>
      <c r="C715" s="30" t="s">
        <v>2223</v>
      </c>
      <c r="D715" s="2">
        <v>4949747399</v>
      </c>
      <c r="E715" s="2" t="s">
        <v>14</v>
      </c>
      <c r="F715" s="2" t="s">
        <v>2224</v>
      </c>
      <c r="G715" s="28" t="s">
        <v>5</v>
      </c>
      <c r="H715" s="2" t="s">
        <v>20</v>
      </c>
      <c r="I715" s="2">
        <v>2</v>
      </c>
      <c r="J715" s="2" t="s">
        <v>2225</v>
      </c>
      <c r="K715" s="2">
        <v>35400</v>
      </c>
      <c r="L715" s="35">
        <v>115793754</v>
      </c>
      <c r="M715" s="36">
        <v>30000</v>
      </c>
      <c r="N715" s="40">
        <v>745810</v>
      </c>
      <c r="O715" s="40">
        <v>594244</v>
      </c>
      <c r="P715" s="40">
        <v>285870.13</v>
      </c>
      <c r="Q715" s="40">
        <v>347694</v>
      </c>
      <c r="R715" s="40">
        <v>1354689</v>
      </c>
      <c r="S715" s="40">
        <v>354356</v>
      </c>
      <c r="T715" s="40">
        <v>30000</v>
      </c>
      <c r="U715" s="40">
        <v>5082800</v>
      </c>
      <c r="V715" s="40">
        <v>0</v>
      </c>
      <c r="W715" s="45">
        <v>8795463.1300000008</v>
      </c>
      <c r="X715" s="46">
        <v>7.59580100494885</v>
      </c>
    </row>
    <row r="716" spans="1:24" s="4" customFormat="1" ht="15" customHeight="1">
      <c r="A716" s="28" t="s">
        <v>2168</v>
      </c>
      <c r="B716" s="29">
        <v>3271.01</v>
      </c>
      <c r="C716" s="30" t="s">
        <v>2238</v>
      </c>
      <c r="D716" s="2">
        <v>4949922753</v>
      </c>
      <c r="E716" s="2" t="s">
        <v>14</v>
      </c>
      <c r="F716" s="2" t="s">
        <v>2239</v>
      </c>
      <c r="G716" s="28" t="s">
        <v>5</v>
      </c>
      <c r="H716" s="2" t="s">
        <v>20</v>
      </c>
      <c r="I716" s="2">
        <v>2</v>
      </c>
      <c r="J716" s="2" t="s">
        <v>2240</v>
      </c>
      <c r="K716" s="2">
        <v>37152</v>
      </c>
      <c r="L716" s="35">
        <v>121524563.52</v>
      </c>
      <c r="M716" s="36">
        <v>43200</v>
      </c>
      <c r="N716" s="40">
        <v>660548</v>
      </c>
      <c r="O716" s="40">
        <v>606825</v>
      </c>
      <c r="P716" s="40">
        <v>1448468</v>
      </c>
      <c r="Q716" s="40">
        <v>225945</v>
      </c>
      <c r="R716" s="40">
        <v>1229459</v>
      </c>
      <c r="S716" s="40">
        <v>354356</v>
      </c>
      <c r="T716" s="40">
        <v>30000</v>
      </c>
      <c r="U716" s="40">
        <v>5179800</v>
      </c>
      <c r="V716" s="40">
        <v>0</v>
      </c>
      <c r="W716" s="45">
        <v>9735401</v>
      </c>
      <c r="X716" s="46">
        <v>8.0110561338471999</v>
      </c>
    </row>
    <row r="717" spans="1:24" s="4" customFormat="1" ht="15" customHeight="1">
      <c r="A717" s="28" t="s">
        <v>2168</v>
      </c>
      <c r="B717" s="29">
        <v>3271.01</v>
      </c>
      <c r="C717" s="30" t="s">
        <v>2241</v>
      </c>
      <c r="D717" s="2">
        <v>4948830203</v>
      </c>
      <c r="E717" s="2" t="s">
        <v>14</v>
      </c>
      <c r="F717" s="78" t="s">
        <v>2242</v>
      </c>
      <c r="G717" s="28" t="s">
        <v>9</v>
      </c>
      <c r="H717" s="2" t="s">
        <v>23</v>
      </c>
      <c r="I717" s="2">
        <v>1</v>
      </c>
      <c r="J717" s="2"/>
      <c r="K717" s="2">
        <v>2616.3000000000002</v>
      </c>
      <c r="L717" s="35">
        <v>8557943.4629999995</v>
      </c>
      <c r="M717" s="36">
        <v>570</v>
      </c>
      <c r="N717" s="40">
        <v>485681</v>
      </c>
      <c r="O717" s="40">
        <v>420</v>
      </c>
      <c r="P717" s="40">
        <v>0</v>
      </c>
      <c r="Q717" s="40">
        <v>10336</v>
      </c>
      <c r="R717" s="40">
        <v>96375</v>
      </c>
      <c r="S717" s="40">
        <v>354356</v>
      </c>
      <c r="T717" s="40">
        <v>30000</v>
      </c>
      <c r="U717" s="40">
        <v>330020.82176568598</v>
      </c>
      <c r="V717" s="40">
        <v>0</v>
      </c>
      <c r="W717" s="45">
        <v>1307188.8217656901</v>
      </c>
      <c r="X717" s="46">
        <v>15.2745671599407</v>
      </c>
    </row>
    <row r="718" spans="1:24" s="4" customFormat="1" ht="15" customHeight="1">
      <c r="A718" s="28" t="s">
        <v>2168</v>
      </c>
      <c r="B718" s="29">
        <v>3271.01</v>
      </c>
      <c r="C718" s="30" t="s">
        <v>2261</v>
      </c>
      <c r="D718" s="2">
        <v>4949954634</v>
      </c>
      <c r="E718" s="2" t="s">
        <v>14</v>
      </c>
      <c r="F718" s="2" t="s">
        <v>2262</v>
      </c>
      <c r="G718" s="28" t="s">
        <v>5</v>
      </c>
      <c r="H718" s="2" t="s">
        <v>20</v>
      </c>
      <c r="I718" s="2">
        <v>1</v>
      </c>
      <c r="J718" s="2" t="s">
        <v>2263</v>
      </c>
      <c r="K718" s="2">
        <v>22860</v>
      </c>
      <c r="L718" s="35">
        <v>74775288.599999994</v>
      </c>
      <c r="M718" s="36">
        <v>18000</v>
      </c>
      <c r="N718" s="40">
        <v>319544</v>
      </c>
      <c r="O718" s="40">
        <v>329479</v>
      </c>
      <c r="P718" s="40">
        <v>0</v>
      </c>
      <c r="Q718" s="40">
        <v>99309</v>
      </c>
      <c r="R718" s="40">
        <v>529764</v>
      </c>
      <c r="S718" s="40">
        <v>354356</v>
      </c>
      <c r="T718" s="40">
        <v>30000</v>
      </c>
      <c r="U718" s="40">
        <v>5014900</v>
      </c>
      <c r="V718" s="40">
        <v>0</v>
      </c>
      <c r="W718" s="45">
        <v>6677352</v>
      </c>
      <c r="X718" s="46">
        <v>8.9298913117133694</v>
      </c>
    </row>
    <row r="719" spans="1:24" s="4" customFormat="1" ht="15" customHeight="1">
      <c r="A719" s="28" t="s">
        <v>2168</v>
      </c>
      <c r="B719" s="29">
        <v>3271.01</v>
      </c>
      <c r="C719" s="30" t="s">
        <v>2267</v>
      </c>
      <c r="D719" s="2">
        <v>4949590074</v>
      </c>
      <c r="E719" s="2" t="s">
        <v>14</v>
      </c>
      <c r="F719" s="2" t="s">
        <v>2268</v>
      </c>
      <c r="G719" s="28" t="s">
        <v>9</v>
      </c>
      <c r="H719" s="2" t="s">
        <v>23</v>
      </c>
      <c r="I719" s="2">
        <v>5</v>
      </c>
      <c r="J719" s="2"/>
      <c r="K719" s="2">
        <v>6410</v>
      </c>
      <c r="L719" s="35">
        <v>20967174.100000001</v>
      </c>
      <c r="M719" s="36">
        <v>1000</v>
      </c>
      <c r="N719" s="40">
        <v>761725.75</v>
      </c>
      <c r="O719" s="48">
        <v>1791</v>
      </c>
      <c r="P719" s="40">
        <v>57118.25</v>
      </c>
      <c r="Q719" s="40">
        <v>28637.666666666701</v>
      </c>
      <c r="R719" s="40">
        <v>45108.5</v>
      </c>
      <c r="S719" s="40">
        <v>88589</v>
      </c>
      <c r="T719" s="40">
        <v>30000</v>
      </c>
      <c r="U719" s="40">
        <v>814580.25</v>
      </c>
      <c r="V719" s="40">
        <v>0</v>
      </c>
      <c r="W719" s="45">
        <v>1827550.41666667</v>
      </c>
      <c r="X719" s="46">
        <v>8.7162457274901293</v>
      </c>
    </row>
    <row r="720" spans="1:24" s="4" customFormat="1" ht="15" customHeight="1">
      <c r="A720" s="28" t="s">
        <v>2168</v>
      </c>
      <c r="B720" s="29">
        <v>3271.01</v>
      </c>
      <c r="C720" s="30" t="s">
        <v>2269</v>
      </c>
      <c r="D720" s="2">
        <v>4949661864</v>
      </c>
      <c r="E720" s="2" t="s">
        <v>14</v>
      </c>
      <c r="F720" s="2" t="s">
        <v>2270</v>
      </c>
      <c r="G720" s="28" t="s">
        <v>5</v>
      </c>
      <c r="H720" s="2" t="s">
        <v>20</v>
      </c>
      <c r="I720" s="2">
        <v>1</v>
      </c>
      <c r="J720" s="2" t="s">
        <v>2271</v>
      </c>
      <c r="K720" s="2">
        <v>6584.6</v>
      </c>
      <c r="L720" s="35">
        <v>21538292.445999999</v>
      </c>
      <c r="M720" s="36">
        <v>820</v>
      </c>
      <c r="N720" s="40">
        <v>23588.847355769201</v>
      </c>
      <c r="O720" s="40">
        <v>16236.3449519231</v>
      </c>
      <c r="P720" s="40">
        <v>0</v>
      </c>
      <c r="Q720" s="40">
        <v>4893.8329326923104</v>
      </c>
      <c r="R720" s="40">
        <v>43335.308894230802</v>
      </c>
      <c r="S720" s="40">
        <v>17462.254807692301</v>
      </c>
      <c r="T720" s="40">
        <v>30000</v>
      </c>
      <c r="U720" s="40">
        <v>268399.69951923098</v>
      </c>
      <c r="V720" s="40">
        <v>0</v>
      </c>
      <c r="W720" s="45">
        <v>403916.28846153902</v>
      </c>
      <c r="X720" s="46">
        <v>1.87534034777465</v>
      </c>
    </row>
    <row r="721" spans="1:24" s="4" customFormat="1" ht="15" customHeight="1">
      <c r="A721" s="28" t="s">
        <v>2168</v>
      </c>
      <c r="B721" s="29">
        <v>3271.01</v>
      </c>
      <c r="C721" s="30" t="s">
        <v>2269</v>
      </c>
      <c r="D721" s="2">
        <v>4949661864</v>
      </c>
      <c r="E721" s="2" t="s">
        <v>14</v>
      </c>
      <c r="F721" s="2" t="s">
        <v>2270</v>
      </c>
      <c r="G721" s="28" t="s">
        <v>5</v>
      </c>
      <c r="H721" s="2" t="s">
        <v>20</v>
      </c>
      <c r="I721" s="2">
        <v>1</v>
      </c>
      <c r="J721" s="2" t="s">
        <v>2271</v>
      </c>
      <c r="K721" s="2">
        <v>605.20000000000005</v>
      </c>
      <c r="L721" s="35">
        <v>1979615.2520000001</v>
      </c>
      <c r="M721" s="36">
        <v>40</v>
      </c>
      <c r="N721" s="40">
        <v>1150.67548076923</v>
      </c>
      <c r="O721" s="40">
        <v>792.01682692307702</v>
      </c>
      <c r="P721" s="40">
        <v>0</v>
      </c>
      <c r="Q721" s="40">
        <v>238.72355769230799</v>
      </c>
      <c r="R721" s="40">
        <v>2114.13701923077</v>
      </c>
      <c r="S721" s="40">
        <v>851.81730769230796</v>
      </c>
      <c r="T721" s="40">
        <v>30000</v>
      </c>
      <c r="U721" s="40">
        <v>13092.6682692308</v>
      </c>
      <c r="V721" s="40">
        <v>0</v>
      </c>
      <c r="W721" s="45">
        <v>48240.038461538497</v>
      </c>
      <c r="X721" s="46">
        <v>2.4368390985471402</v>
      </c>
    </row>
    <row r="722" spans="1:24" s="4" customFormat="1" ht="15" customHeight="1">
      <c r="A722" s="28" t="s">
        <v>2168</v>
      </c>
      <c r="B722" s="29">
        <v>3271.01</v>
      </c>
      <c r="C722" s="30" t="s">
        <v>2269</v>
      </c>
      <c r="D722" s="2">
        <v>4949661864</v>
      </c>
      <c r="E722" s="2" t="s">
        <v>14</v>
      </c>
      <c r="F722" s="2" t="s">
        <v>2270</v>
      </c>
      <c r="G722" s="28" t="s">
        <v>5</v>
      </c>
      <c r="H722" s="2" t="s">
        <v>20</v>
      </c>
      <c r="I722" s="2">
        <v>1</v>
      </c>
      <c r="J722" s="2" t="s">
        <v>2271</v>
      </c>
      <c r="K722" s="2">
        <v>23166</v>
      </c>
      <c r="L722" s="35">
        <v>75776217.659999996</v>
      </c>
      <c r="M722" s="36">
        <v>9900</v>
      </c>
      <c r="N722" s="40">
        <v>284792.18149038497</v>
      </c>
      <c r="O722" s="40">
        <v>196024.164663462</v>
      </c>
      <c r="P722" s="40">
        <v>0</v>
      </c>
      <c r="Q722" s="40">
        <v>59084.0805288462</v>
      </c>
      <c r="R722" s="40">
        <v>523191.41225961503</v>
      </c>
      <c r="S722" s="40">
        <v>210824.78365384601</v>
      </c>
      <c r="T722" s="40">
        <v>30000</v>
      </c>
      <c r="U722" s="40">
        <v>3240435.3966346201</v>
      </c>
      <c r="V722" s="40">
        <v>0</v>
      </c>
      <c r="W722" s="45">
        <v>4544352.0192307699</v>
      </c>
      <c r="X722" s="46">
        <v>5.9970689479657198</v>
      </c>
    </row>
    <row r="723" spans="1:24" s="4" customFormat="1" ht="15" customHeight="1">
      <c r="A723" s="28" t="s">
        <v>2168</v>
      </c>
      <c r="B723" s="29">
        <v>3271.01</v>
      </c>
      <c r="C723" s="30" t="s">
        <v>2269</v>
      </c>
      <c r="D723" s="2">
        <v>4949661864</v>
      </c>
      <c r="E723" s="2" t="s">
        <v>14</v>
      </c>
      <c r="F723" s="2" t="s">
        <v>2270</v>
      </c>
      <c r="G723" s="28" t="s">
        <v>5</v>
      </c>
      <c r="H723" s="2" t="s">
        <v>20</v>
      </c>
      <c r="I723" s="2">
        <v>1</v>
      </c>
      <c r="J723" s="2" t="s">
        <v>2271</v>
      </c>
      <c r="K723" s="2">
        <v>20638.8</v>
      </c>
      <c r="L723" s="35">
        <v>67509721.187999994</v>
      </c>
      <c r="M723" s="36">
        <v>5880</v>
      </c>
      <c r="N723" s="40">
        <v>169149.29567307699</v>
      </c>
      <c r="O723" s="40">
        <v>116426.47355769201</v>
      </c>
      <c r="P723" s="40">
        <v>0</v>
      </c>
      <c r="Q723" s="40">
        <v>35092.362980769198</v>
      </c>
      <c r="R723" s="40">
        <v>310744.14182692301</v>
      </c>
      <c r="S723" s="40">
        <v>125217.144230769</v>
      </c>
      <c r="T723" s="40">
        <v>30000</v>
      </c>
      <c r="U723" s="40">
        <v>1924622.23557692</v>
      </c>
      <c r="V723" s="40">
        <v>0</v>
      </c>
      <c r="W723" s="45">
        <v>2711251.6538461498</v>
      </c>
      <c r="X723" s="46">
        <v>4.01609072906093</v>
      </c>
    </row>
    <row r="724" spans="1:24" s="4" customFormat="1" ht="15" customHeight="1">
      <c r="A724" s="28" t="s">
        <v>2168</v>
      </c>
      <c r="B724" s="29">
        <v>3271.01</v>
      </c>
      <c r="C724" s="30" t="s">
        <v>2272</v>
      </c>
      <c r="D724" s="2">
        <v>4949719633</v>
      </c>
      <c r="E724" s="2" t="s">
        <v>14</v>
      </c>
      <c r="F724" s="2" t="s">
        <v>2273</v>
      </c>
      <c r="G724" s="28" t="s">
        <v>5</v>
      </c>
      <c r="H724" s="2" t="s">
        <v>35</v>
      </c>
      <c r="I724" s="2">
        <v>1</v>
      </c>
      <c r="J724" s="2" t="s">
        <v>2274</v>
      </c>
      <c r="K724" s="2">
        <v>3708</v>
      </c>
      <c r="L724" s="35">
        <v>12128905.08</v>
      </c>
      <c r="M724" s="36">
        <v>3600</v>
      </c>
      <c r="N724" s="40">
        <v>69026.577648766295</v>
      </c>
      <c r="O724" s="40">
        <v>93738.144578313295</v>
      </c>
      <c r="P724" s="40">
        <v>412764.00725689402</v>
      </c>
      <c r="Q724" s="40">
        <v>21536.891566265102</v>
      </c>
      <c r="R724" s="40">
        <v>526478.83889695199</v>
      </c>
      <c r="S724" s="40">
        <v>74059.889695210499</v>
      </c>
      <c r="T724" s="40">
        <v>30000</v>
      </c>
      <c r="U724" s="40">
        <v>1272529.46298984</v>
      </c>
      <c r="V724" s="40">
        <v>0</v>
      </c>
      <c r="W724" s="45">
        <v>2500133.8126322399</v>
      </c>
      <c r="X724" s="46">
        <v>20.613021506408199</v>
      </c>
    </row>
    <row r="725" spans="1:24" s="4" customFormat="1" ht="15" customHeight="1">
      <c r="A725" s="28" t="s">
        <v>2168</v>
      </c>
      <c r="B725" s="29">
        <v>3271.01</v>
      </c>
      <c r="C725" s="30" t="s">
        <v>2275</v>
      </c>
      <c r="D725" s="2">
        <v>4950058270</v>
      </c>
      <c r="E725" s="2" t="s">
        <v>14</v>
      </c>
      <c r="F725" s="2" t="s">
        <v>2276</v>
      </c>
      <c r="G725" s="28" t="s">
        <v>9</v>
      </c>
      <c r="H725" s="2" t="s">
        <v>23</v>
      </c>
      <c r="I725" s="2">
        <v>3</v>
      </c>
      <c r="J725" s="2"/>
      <c r="K725" s="2">
        <v>47411.199999999997</v>
      </c>
      <c r="L725" s="35">
        <v>155082509.31200001</v>
      </c>
      <c r="M725" s="36">
        <v>640</v>
      </c>
      <c r="N725" s="40">
        <v>344520.57142857101</v>
      </c>
      <c r="O725" s="48">
        <v>461.142857142857</v>
      </c>
      <c r="P725" s="40">
        <v>21296.571428571398</v>
      </c>
      <c r="Q725" s="48">
        <v>11242.857142857099</v>
      </c>
      <c r="R725" s="40">
        <v>64302.857142857101</v>
      </c>
      <c r="S725" s="40">
        <v>202489.14285714299</v>
      </c>
      <c r="T725" s="40">
        <v>30000</v>
      </c>
      <c r="U725" s="40">
        <v>246804.73372781099</v>
      </c>
      <c r="V725" s="40">
        <v>0</v>
      </c>
      <c r="W725" s="45">
        <v>921117.87658495398</v>
      </c>
      <c r="X725" s="46">
        <v>0.59395342561282605</v>
      </c>
    </row>
    <row r="726" spans="1:24" s="4" customFormat="1" ht="15" customHeight="1">
      <c r="A726" s="28" t="s">
        <v>2168</v>
      </c>
      <c r="B726" s="29">
        <v>3271.01</v>
      </c>
      <c r="C726" s="30" t="s">
        <v>2275</v>
      </c>
      <c r="D726" s="2">
        <v>4949838819</v>
      </c>
      <c r="E726" s="2" t="s">
        <v>14</v>
      </c>
      <c r="F726" s="2" t="s">
        <v>2276</v>
      </c>
      <c r="G726" s="28" t="s">
        <v>9</v>
      </c>
      <c r="H726" s="2" t="s">
        <v>23</v>
      </c>
      <c r="I726" s="2">
        <v>3</v>
      </c>
      <c r="J726" s="2"/>
      <c r="K726" s="2">
        <v>7804.8</v>
      </c>
      <c r="L726" s="35">
        <v>25529578.848000001</v>
      </c>
      <c r="M726" s="36">
        <v>480</v>
      </c>
      <c r="N726" s="40">
        <v>258390.42857142899</v>
      </c>
      <c r="O726" s="48">
        <v>345.857142857143</v>
      </c>
      <c r="P726" s="40">
        <v>15972.4285714286</v>
      </c>
      <c r="Q726" s="48">
        <v>8432.1428571428605</v>
      </c>
      <c r="R726" s="40">
        <v>48227.142857142899</v>
      </c>
      <c r="S726" s="40">
        <v>151866.85714285701</v>
      </c>
      <c r="T726" s="40">
        <v>30000</v>
      </c>
      <c r="U726" s="40">
        <v>185103.550295858</v>
      </c>
      <c r="V726" s="40">
        <v>0</v>
      </c>
      <c r="W726" s="45">
        <v>698338.40743871499</v>
      </c>
      <c r="X726" s="46">
        <v>2.7354090390465799</v>
      </c>
    </row>
    <row r="727" spans="1:24" s="4" customFormat="1" ht="15" customHeight="1">
      <c r="A727" s="28" t="s">
        <v>2168</v>
      </c>
      <c r="B727" s="29">
        <v>3271.01</v>
      </c>
      <c r="C727" s="30" t="s">
        <v>2277</v>
      </c>
      <c r="D727" s="2">
        <v>4949654734</v>
      </c>
      <c r="E727" s="2" t="s">
        <v>14</v>
      </c>
      <c r="F727" s="78" t="s">
        <v>2278</v>
      </c>
      <c r="G727" s="28" t="s">
        <v>13</v>
      </c>
      <c r="H727" s="2" t="s">
        <v>23</v>
      </c>
      <c r="I727" s="2">
        <v>1</v>
      </c>
      <c r="J727" s="2"/>
      <c r="K727" s="2">
        <v>1854.57</v>
      </c>
      <c r="L727" s="35">
        <v>6066317.0157000003</v>
      </c>
      <c r="M727" s="36">
        <v>8</v>
      </c>
      <c r="N727" s="40">
        <v>307607</v>
      </c>
      <c r="O727" s="40">
        <v>0</v>
      </c>
      <c r="P727" s="40">
        <v>0</v>
      </c>
      <c r="Q727" s="40">
        <v>0</v>
      </c>
      <c r="R727" s="40">
        <v>1230</v>
      </c>
      <c r="S727" s="40">
        <v>354356</v>
      </c>
      <c r="T727" s="40">
        <v>30000</v>
      </c>
      <c r="U727" s="40">
        <v>28985.8823529412</v>
      </c>
      <c r="V727" s="40">
        <v>0</v>
      </c>
      <c r="W727" s="45">
        <v>722178.88235294097</v>
      </c>
      <c r="X727" s="46">
        <v>11.9047336379536</v>
      </c>
    </row>
    <row r="728" spans="1:24" s="4" customFormat="1" ht="15" customHeight="1">
      <c r="A728" s="28" t="s">
        <v>2168</v>
      </c>
      <c r="B728" s="29">
        <v>3271.01</v>
      </c>
      <c r="C728" s="30" t="s">
        <v>2279</v>
      </c>
      <c r="D728" s="2">
        <v>4950089537</v>
      </c>
      <c r="E728" s="2" t="s">
        <v>14</v>
      </c>
      <c r="F728" s="78" t="s">
        <v>2280</v>
      </c>
      <c r="G728" s="28" t="s">
        <v>13</v>
      </c>
      <c r="H728" s="2" t="s">
        <v>23</v>
      </c>
      <c r="I728" s="2">
        <v>1</v>
      </c>
      <c r="J728" s="2"/>
      <c r="K728" s="2">
        <v>5152.2</v>
      </c>
      <c r="L728" s="35">
        <v>16852897.721999999</v>
      </c>
      <c r="M728" s="36">
        <v>60</v>
      </c>
      <c r="N728" s="40">
        <v>329341</v>
      </c>
      <c r="O728" s="40">
        <v>0</v>
      </c>
      <c r="P728" s="40">
        <v>0</v>
      </c>
      <c r="Q728" s="40">
        <v>0</v>
      </c>
      <c r="R728" s="40">
        <v>1317</v>
      </c>
      <c r="S728" s="40">
        <v>354356</v>
      </c>
      <c r="T728" s="40">
        <v>30000</v>
      </c>
      <c r="U728" s="40">
        <v>217394.117647059</v>
      </c>
      <c r="V728" s="40">
        <v>0</v>
      </c>
      <c r="W728" s="45">
        <v>932408.11764705903</v>
      </c>
      <c r="X728" s="46">
        <v>5.5326278781712501</v>
      </c>
    </row>
    <row r="729" spans="1:24" s="4" customFormat="1" ht="15" customHeight="1">
      <c r="A729" s="28" t="s">
        <v>2168</v>
      </c>
      <c r="B729" s="29">
        <v>3271.01</v>
      </c>
      <c r="C729" s="30" t="s">
        <v>2281</v>
      </c>
      <c r="D729" s="2">
        <v>4950043004</v>
      </c>
      <c r="E729" s="2" t="s">
        <v>14</v>
      </c>
      <c r="F729" s="78" t="s">
        <v>2282</v>
      </c>
      <c r="G729" s="28" t="s">
        <v>13</v>
      </c>
      <c r="H729" s="2" t="s">
        <v>23</v>
      </c>
      <c r="I729" s="2">
        <v>4</v>
      </c>
      <c r="J729" s="2"/>
      <c r="K729" s="2">
        <v>2704.41</v>
      </c>
      <c r="L729" s="35">
        <v>8846152.1541000009</v>
      </c>
      <c r="M729" s="36">
        <v>20</v>
      </c>
      <c r="N729" s="40">
        <v>726064</v>
      </c>
      <c r="O729" s="40">
        <v>0</v>
      </c>
      <c r="P729" s="40">
        <v>0</v>
      </c>
      <c r="Q729" s="40">
        <v>0</v>
      </c>
      <c r="R729" s="40">
        <v>4033</v>
      </c>
      <c r="S729" s="40">
        <v>354356</v>
      </c>
      <c r="T729" s="40">
        <v>30000</v>
      </c>
      <c r="U729" s="40">
        <v>246380</v>
      </c>
      <c r="V729" s="40">
        <v>0</v>
      </c>
      <c r="W729" s="45">
        <v>1360833</v>
      </c>
      <c r="X729" s="46">
        <v>15.3833325076743</v>
      </c>
    </row>
    <row r="730" spans="1:24" s="4" customFormat="1" ht="15" customHeight="1">
      <c r="A730" s="28" t="s">
        <v>2168</v>
      </c>
      <c r="B730" s="29">
        <v>3271.01</v>
      </c>
      <c r="C730" s="30" t="s">
        <v>2283</v>
      </c>
      <c r="D730" s="2">
        <v>4950443826</v>
      </c>
      <c r="E730" s="2" t="s">
        <v>14</v>
      </c>
      <c r="F730" s="2" t="s">
        <v>2284</v>
      </c>
      <c r="G730" s="28" t="s">
        <v>13</v>
      </c>
      <c r="H730" s="2" t="s">
        <v>23</v>
      </c>
      <c r="I730" s="2">
        <v>1</v>
      </c>
      <c r="J730" s="2"/>
      <c r="K730" s="2">
        <v>930.45</v>
      </c>
      <c r="L730" s="35">
        <v>3043511.2544999998</v>
      </c>
      <c r="M730" s="36">
        <v>15</v>
      </c>
      <c r="N730" s="40">
        <v>134971</v>
      </c>
      <c r="O730" s="40">
        <v>0</v>
      </c>
      <c r="P730" s="40">
        <v>0</v>
      </c>
      <c r="Q730" s="40">
        <v>0</v>
      </c>
      <c r="R730" s="40">
        <v>540</v>
      </c>
      <c r="S730" s="40">
        <v>354356</v>
      </c>
      <c r="T730" s="40">
        <v>30000</v>
      </c>
      <c r="U730" s="40">
        <v>246380</v>
      </c>
      <c r="V730" s="40">
        <v>0</v>
      </c>
      <c r="W730" s="45">
        <v>766247</v>
      </c>
      <c r="X730" s="46">
        <v>25.176414211285099</v>
      </c>
    </row>
    <row r="731" spans="1:24" s="4" customFormat="1" ht="15" customHeight="1">
      <c r="A731" s="28" t="s">
        <v>2168</v>
      </c>
      <c r="B731" s="29">
        <v>3271.01</v>
      </c>
      <c r="C731" s="30" t="s">
        <v>2287</v>
      </c>
      <c r="D731" s="2">
        <v>4950585736</v>
      </c>
      <c r="E731" s="2" t="s">
        <v>14</v>
      </c>
      <c r="F731" s="78" t="s">
        <v>2288</v>
      </c>
      <c r="G731" s="28" t="s">
        <v>13</v>
      </c>
      <c r="H731" s="2" t="s">
        <v>23</v>
      </c>
      <c r="I731" s="2">
        <v>3</v>
      </c>
      <c r="J731" s="2"/>
      <c r="K731" s="2">
        <v>2027.34</v>
      </c>
      <c r="L731" s="35">
        <v>6631449.4134</v>
      </c>
      <c r="M731" s="36">
        <v>15</v>
      </c>
      <c r="N731" s="40">
        <v>708579</v>
      </c>
      <c r="O731" s="40">
        <v>0</v>
      </c>
      <c r="P731" s="40">
        <v>0</v>
      </c>
      <c r="Q731" s="40">
        <v>0</v>
      </c>
      <c r="R731" s="40">
        <v>3669</v>
      </c>
      <c r="S731" s="40">
        <v>354356</v>
      </c>
      <c r="T731" s="40">
        <v>30000</v>
      </c>
      <c r="U731" s="40">
        <v>246380</v>
      </c>
      <c r="V731" s="40">
        <v>0</v>
      </c>
      <c r="W731" s="45">
        <v>1342984</v>
      </c>
      <c r="X731" s="46">
        <v>20.2517416069897</v>
      </c>
    </row>
    <row r="732" spans="1:24" s="4" customFormat="1" ht="15" customHeight="1">
      <c r="A732" s="28" t="s">
        <v>2168</v>
      </c>
      <c r="B732" s="29">
        <v>3271.01</v>
      </c>
      <c r="C732" s="30" t="s">
        <v>2291</v>
      </c>
      <c r="D732" s="2">
        <v>4950722783</v>
      </c>
      <c r="E732" s="2" t="s">
        <v>14</v>
      </c>
      <c r="F732" s="78" t="s">
        <v>2292</v>
      </c>
      <c r="G732" s="28" t="s">
        <v>13</v>
      </c>
      <c r="H732" s="2" t="s">
        <v>23</v>
      </c>
      <c r="I732" s="2">
        <v>7</v>
      </c>
      <c r="J732" s="2"/>
      <c r="K732" s="2">
        <v>9013.2000000000007</v>
      </c>
      <c r="L732" s="35">
        <v>29482267.331999999</v>
      </c>
      <c r="M732" s="36">
        <v>35</v>
      </c>
      <c r="N732" s="40">
        <v>428836</v>
      </c>
      <c r="O732" s="40">
        <v>0</v>
      </c>
      <c r="P732" s="40">
        <v>0</v>
      </c>
      <c r="Q732" s="40">
        <v>0</v>
      </c>
      <c r="R732" s="40">
        <v>4715</v>
      </c>
      <c r="S732" s="40">
        <v>354356</v>
      </c>
      <c r="T732" s="40">
        <v>30000</v>
      </c>
      <c r="U732" s="40">
        <v>246380</v>
      </c>
      <c r="V732" s="40">
        <v>0</v>
      </c>
      <c r="W732" s="45">
        <v>1064287</v>
      </c>
      <c r="X732" s="46">
        <v>3.6099224934604099</v>
      </c>
    </row>
    <row r="733" spans="1:24" s="4" customFormat="1" ht="15" customHeight="1">
      <c r="A733" s="28" t="s">
        <v>2168</v>
      </c>
      <c r="B733" s="29">
        <v>3271.01</v>
      </c>
      <c r="C733" s="30" t="s">
        <v>2293</v>
      </c>
      <c r="D733" s="2">
        <v>4950089529</v>
      </c>
      <c r="E733" s="2" t="s">
        <v>14</v>
      </c>
      <c r="F733" s="78" t="s">
        <v>2294</v>
      </c>
      <c r="G733" s="28" t="s">
        <v>13</v>
      </c>
      <c r="H733" s="2" t="s">
        <v>23</v>
      </c>
      <c r="I733" s="2">
        <v>1</v>
      </c>
      <c r="J733" s="2"/>
      <c r="K733" s="2">
        <v>490.3</v>
      </c>
      <c r="L733" s="35">
        <v>1603776.203</v>
      </c>
      <c r="M733" s="36">
        <v>10</v>
      </c>
      <c r="N733" s="40">
        <v>24495.1578947368</v>
      </c>
      <c r="O733" s="40">
        <v>0</v>
      </c>
      <c r="P733" s="40">
        <v>0</v>
      </c>
      <c r="Q733" s="40">
        <v>0</v>
      </c>
      <c r="R733" s="40">
        <v>1992.7368421052599</v>
      </c>
      <c r="S733" s="40">
        <v>37300.631578947403</v>
      </c>
      <c r="T733" s="40">
        <v>30000</v>
      </c>
      <c r="U733" s="40">
        <v>13317.8378378378</v>
      </c>
      <c r="V733" s="40">
        <v>0</v>
      </c>
      <c r="W733" s="45">
        <v>107106.364153627</v>
      </c>
      <c r="X733" s="46">
        <v>6.67838592150673</v>
      </c>
    </row>
    <row r="734" spans="1:24" s="4" customFormat="1" ht="15" customHeight="1">
      <c r="A734" s="28" t="s">
        <v>2168</v>
      </c>
      <c r="B734" s="29">
        <v>3271.01</v>
      </c>
      <c r="C734" s="30" t="s">
        <v>2293</v>
      </c>
      <c r="D734" s="2">
        <v>4950215963</v>
      </c>
      <c r="E734" s="2" t="s">
        <v>14</v>
      </c>
      <c r="F734" s="78" t="s">
        <v>2294</v>
      </c>
      <c r="G734" s="28" t="s">
        <v>13</v>
      </c>
      <c r="H734" s="2" t="s">
        <v>23</v>
      </c>
      <c r="I734" s="2">
        <v>1</v>
      </c>
      <c r="J734" s="2"/>
      <c r="K734" s="2">
        <v>911.6</v>
      </c>
      <c r="L734" s="35">
        <v>2981852.716</v>
      </c>
      <c r="M734" s="36">
        <v>20</v>
      </c>
      <c r="N734" s="40">
        <v>48990.315789473701</v>
      </c>
      <c r="O734" s="40">
        <v>0</v>
      </c>
      <c r="P734" s="40">
        <v>0</v>
      </c>
      <c r="Q734" s="40">
        <v>0</v>
      </c>
      <c r="R734" s="40">
        <v>3985.4736842105299</v>
      </c>
      <c r="S734" s="40">
        <v>74601.263157894704</v>
      </c>
      <c r="T734" s="40">
        <v>30000</v>
      </c>
      <c r="U734" s="40">
        <v>26635.675675675699</v>
      </c>
      <c r="V734" s="40">
        <v>0</v>
      </c>
      <c r="W734" s="45">
        <v>184212.72830725499</v>
      </c>
      <c r="X734" s="46">
        <v>6.1777943397005304</v>
      </c>
    </row>
    <row r="735" spans="1:24" s="4" customFormat="1" ht="15" customHeight="1">
      <c r="A735" s="28" t="s">
        <v>2168</v>
      </c>
      <c r="B735" s="29">
        <v>3271.01</v>
      </c>
      <c r="C735" s="30" t="s">
        <v>2293</v>
      </c>
      <c r="D735" s="2">
        <v>4950215963</v>
      </c>
      <c r="E735" s="2" t="s">
        <v>14</v>
      </c>
      <c r="F735" s="78" t="s">
        <v>2294</v>
      </c>
      <c r="G735" s="28" t="s">
        <v>13</v>
      </c>
      <c r="H735" s="2" t="s">
        <v>23</v>
      </c>
      <c r="I735" s="2">
        <v>1</v>
      </c>
      <c r="J735" s="2"/>
      <c r="K735" s="2">
        <v>561.5</v>
      </c>
      <c r="L735" s="35">
        <v>1836672.115</v>
      </c>
      <c r="M735" s="36">
        <v>10</v>
      </c>
      <c r="N735" s="40">
        <v>24495.1578947368</v>
      </c>
      <c r="O735" s="40">
        <v>0</v>
      </c>
      <c r="P735" s="40">
        <v>0</v>
      </c>
      <c r="Q735" s="40">
        <v>0</v>
      </c>
      <c r="R735" s="40">
        <v>1992.7368421052599</v>
      </c>
      <c r="S735" s="40">
        <v>37300.631578947403</v>
      </c>
      <c r="T735" s="40">
        <v>30000</v>
      </c>
      <c r="U735" s="40">
        <v>13317.8378378378</v>
      </c>
      <c r="V735" s="40">
        <v>0</v>
      </c>
      <c r="W735" s="45">
        <v>107106.364153627</v>
      </c>
      <c r="X735" s="46">
        <v>5.83154517776447</v>
      </c>
    </row>
    <row r="736" spans="1:24" s="4" customFormat="1" ht="15" customHeight="1">
      <c r="A736" s="28" t="s">
        <v>2168</v>
      </c>
      <c r="B736" s="29">
        <v>3271.01</v>
      </c>
      <c r="C736" s="30" t="s">
        <v>2293</v>
      </c>
      <c r="D736" s="2">
        <v>4950215963</v>
      </c>
      <c r="E736" s="2" t="s">
        <v>14</v>
      </c>
      <c r="F736" s="78" t="s">
        <v>2294</v>
      </c>
      <c r="G736" s="28" t="s">
        <v>13</v>
      </c>
      <c r="H736" s="2" t="s">
        <v>23</v>
      </c>
      <c r="I736" s="2">
        <v>1</v>
      </c>
      <c r="J736" s="2"/>
      <c r="K736" s="2">
        <v>906.6</v>
      </c>
      <c r="L736" s="35">
        <v>2965497.6660000002</v>
      </c>
      <c r="M736" s="36">
        <v>20</v>
      </c>
      <c r="N736" s="40">
        <v>48990.315789473701</v>
      </c>
      <c r="O736" s="40">
        <v>0</v>
      </c>
      <c r="P736" s="40">
        <v>0</v>
      </c>
      <c r="Q736" s="40">
        <v>0</v>
      </c>
      <c r="R736" s="40">
        <v>3985.4736842105299</v>
      </c>
      <c r="S736" s="40">
        <v>74601.263157894704</v>
      </c>
      <c r="T736" s="40">
        <v>30000</v>
      </c>
      <c r="U736" s="40">
        <v>26635.675675675699</v>
      </c>
      <c r="V736" s="40">
        <v>0</v>
      </c>
      <c r="W736" s="45">
        <v>184212.72830725499</v>
      </c>
      <c r="X736" s="46">
        <v>6.2118655637227098</v>
      </c>
    </row>
    <row r="737" spans="1:24" s="4" customFormat="1" ht="15" customHeight="1">
      <c r="A737" s="28" t="s">
        <v>2168</v>
      </c>
      <c r="B737" s="29">
        <v>3271.01</v>
      </c>
      <c r="C737" s="30" t="s">
        <v>2293</v>
      </c>
      <c r="D737" s="2">
        <v>4950216842</v>
      </c>
      <c r="E737" s="2" t="s">
        <v>14</v>
      </c>
      <c r="F737" s="78" t="s">
        <v>2294</v>
      </c>
      <c r="G737" s="28" t="s">
        <v>13</v>
      </c>
      <c r="H737" s="2" t="s">
        <v>23</v>
      </c>
      <c r="I737" s="2">
        <v>1</v>
      </c>
      <c r="J737" s="2"/>
      <c r="K737" s="2">
        <v>1977.3</v>
      </c>
      <c r="L737" s="35">
        <v>6467768.0729999999</v>
      </c>
      <c r="M737" s="36">
        <v>15</v>
      </c>
      <c r="N737" s="40">
        <v>36742.736842105303</v>
      </c>
      <c r="O737" s="40">
        <v>0</v>
      </c>
      <c r="P737" s="40">
        <v>0</v>
      </c>
      <c r="Q737" s="40">
        <v>0</v>
      </c>
      <c r="R737" s="40">
        <v>2989.10526315789</v>
      </c>
      <c r="S737" s="40">
        <v>55950.947368421002</v>
      </c>
      <c r="T737" s="40">
        <v>30000</v>
      </c>
      <c r="U737" s="40">
        <v>19976.7567567568</v>
      </c>
      <c r="V737" s="40">
        <v>0</v>
      </c>
      <c r="W737" s="45">
        <v>145659.54623044099</v>
      </c>
      <c r="X737" s="46">
        <v>2.2520836335876599</v>
      </c>
    </row>
    <row r="738" spans="1:24" s="4" customFormat="1" ht="15" customHeight="1">
      <c r="A738" s="28" t="s">
        <v>2168</v>
      </c>
      <c r="B738" s="29">
        <v>3271.01</v>
      </c>
      <c r="C738" s="30" t="s">
        <v>2293</v>
      </c>
      <c r="D738" s="2">
        <v>4950216842</v>
      </c>
      <c r="E738" s="2" t="s">
        <v>14</v>
      </c>
      <c r="F738" s="78" t="s">
        <v>2294</v>
      </c>
      <c r="G738" s="28" t="s">
        <v>13</v>
      </c>
      <c r="H738" s="2" t="s">
        <v>23</v>
      </c>
      <c r="I738" s="2">
        <v>1</v>
      </c>
      <c r="J738" s="2"/>
      <c r="K738" s="2">
        <v>3862</v>
      </c>
      <c r="L738" s="35">
        <v>12632640.619999999</v>
      </c>
      <c r="M738" s="36">
        <v>20</v>
      </c>
      <c r="N738" s="40">
        <v>48990.315789473701</v>
      </c>
      <c r="O738" s="40">
        <v>0</v>
      </c>
      <c r="P738" s="40">
        <v>0</v>
      </c>
      <c r="Q738" s="40">
        <v>0</v>
      </c>
      <c r="R738" s="40">
        <v>3985.4736842105299</v>
      </c>
      <c r="S738" s="40">
        <v>74601.263157894704</v>
      </c>
      <c r="T738" s="40">
        <v>30000</v>
      </c>
      <c r="U738" s="40">
        <v>26635.675675675699</v>
      </c>
      <c r="V738" s="40">
        <v>0</v>
      </c>
      <c r="W738" s="45">
        <v>184212.72830725499</v>
      </c>
      <c r="X738" s="46">
        <v>1.45822820302201</v>
      </c>
    </row>
    <row r="739" spans="1:24" s="4" customFormat="1" ht="15" customHeight="1">
      <c r="A739" s="28" t="s">
        <v>2168</v>
      </c>
      <c r="B739" s="29">
        <v>3271.01</v>
      </c>
      <c r="C739" s="30" t="s">
        <v>2295</v>
      </c>
      <c r="D739" s="2">
        <v>4949681929</v>
      </c>
      <c r="E739" s="2" t="s">
        <v>14</v>
      </c>
      <c r="F739" s="2" t="s">
        <v>2296</v>
      </c>
      <c r="G739" s="28" t="s">
        <v>5</v>
      </c>
      <c r="H739" s="2" t="s">
        <v>20</v>
      </c>
      <c r="I739" s="2">
        <v>1</v>
      </c>
      <c r="J739" s="2" t="s">
        <v>2297</v>
      </c>
      <c r="K739" s="2">
        <v>18000</v>
      </c>
      <c r="L739" s="35">
        <v>58878180</v>
      </c>
      <c r="M739" s="36">
        <v>18000</v>
      </c>
      <c r="N739" s="40">
        <v>0</v>
      </c>
      <c r="O739" s="40">
        <v>332655</v>
      </c>
      <c r="P739" s="40">
        <v>323668</v>
      </c>
      <c r="Q739" s="40">
        <v>99309</v>
      </c>
      <c r="R739" s="40">
        <v>632344</v>
      </c>
      <c r="S739" s="40">
        <v>354356</v>
      </c>
      <c r="T739" s="40">
        <v>30000</v>
      </c>
      <c r="U739" s="40">
        <v>0</v>
      </c>
      <c r="V739" s="40">
        <v>0</v>
      </c>
      <c r="W739" s="45">
        <v>1772332</v>
      </c>
      <c r="X739" s="46">
        <v>3.0101677735283299</v>
      </c>
    </row>
    <row r="740" spans="1:24" s="4" customFormat="1" ht="15" customHeight="1">
      <c r="A740" s="28" t="s">
        <v>2168</v>
      </c>
      <c r="B740" s="29">
        <v>3271.01</v>
      </c>
      <c r="C740" s="30" t="s">
        <v>2300</v>
      </c>
      <c r="D740" s="2">
        <v>4950210634</v>
      </c>
      <c r="E740" s="2" t="s">
        <v>14</v>
      </c>
      <c r="F740" s="2" t="s">
        <v>2301</v>
      </c>
      <c r="G740" s="28" t="s">
        <v>5</v>
      </c>
      <c r="H740" s="2" t="s">
        <v>17</v>
      </c>
      <c r="I740" s="2">
        <v>1</v>
      </c>
      <c r="J740" s="2" t="s">
        <v>2302</v>
      </c>
      <c r="K740" s="2">
        <v>3310</v>
      </c>
      <c r="L740" s="35">
        <v>10827043.1</v>
      </c>
      <c r="M740" s="36">
        <v>100</v>
      </c>
      <c r="N740" s="40">
        <v>2778.17759721416</v>
      </c>
      <c r="O740" s="40">
        <v>2532.81485780615</v>
      </c>
      <c r="P740" s="40">
        <v>0</v>
      </c>
      <c r="Q740" s="40">
        <v>576.37260591990696</v>
      </c>
      <c r="R740" s="40">
        <v>5312.9674985490401</v>
      </c>
      <c r="S740" s="40">
        <v>2056.6221706326201</v>
      </c>
      <c r="T740" s="40">
        <v>30000</v>
      </c>
      <c r="U740" s="40">
        <v>31610.853163087599</v>
      </c>
      <c r="V740" s="40">
        <v>0</v>
      </c>
      <c r="W740" s="45">
        <v>74867.807893209494</v>
      </c>
      <c r="X740" s="46">
        <v>0.69148896149872596</v>
      </c>
    </row>
    <row r="741" spans="1:24" s="4" customFormat="1" ht="15" customHeight="1">
      <c r="A741" s="28" t="s">
        <v>2168</v>
      </c>
      <c r="B741" s="29">
        <v>3271.01</v>
      </c>
      <c r="C741" s="30" t="s">
        <v>2300</v>
      </c>
      <c r="D741" s="2">
        <v>4950365721</v>
      </c>
      <c r="E741" s="2" t="s">
        <v>14</v>
      </c>
      <c r="F741" s="2" t="s">
        <v>2301</v>
      </c>
      <c r="G741" s="28" t="s">
        <v>5</v>
      </c>
      <c r="H741" s="2" t="s">
        <v>17</v>
      </c>
      <c r="I741" s="2">
        <v>1</v>
      </c>
      <c r="J741" s="2" t="s">
        <v>2302</v>
      </c>
      <c r="K741" s="2">
        <v>3310</v>
      </c>
      <c r="L741" s="35">
        <v>10827043.1</v>
      </c>
      <c r="M741" s="36">
        <v>100</v>
      </c>
      <c r="N741" s="40">
        <v>2778.17759721416</v>
      </c>
      <c r="O741" s="40">
        <v>2532.81485780615</v>
      </c>
      <c r="P741" s="40">
        <v>0</v>
      </c>
      <c r="Q741" s="40">
        <v>576.37260591990696</v>
      </c>
      <c r="R741" s="40">
        <v>5312.9674985490401</v>
      </c>
      <c r="S741" s="40">
        <v>2056.6221706326201</v>
      </c>
      <c r="T741" s="40">
        <v>30000</v>
      </c>
      <c r="U741" s="40">
        <v>31610.853163087599</v>
      </c>
      <c r="V741" s="40">
        <v>0</v>
      </c>
      <c r="W741" s="45">
        <v>74867.807893209494</v>
      </c>
      <c r="X741" s="46">
        <v>0.69148896149872596</v>
      </c>
    </row>
    <row r="742" spans="1:24" s="4" customFormat="1" ht="15" customHeight="1">
      <c r="A742" s="28" t="s">
        <v>2168</v>
      </c>
      <c r="B742" s="29">
        <v>3271.01</v>
      </c>
      <c r="C742" s="30" t="s">
        <v>2300</v>
      </c>
      <c r="D742" s="2" t="s">
        <v>2303</v>
      </c>
      <c r="E742" s="2" t="s">
        <v>14</v>
      </c>
      <c r="F742" s="2" t="s">
        <v>2301</v>
      </c>
      <c r="G742" s="28" t="s">
        <v>5</v>
      </c>
      <c r="H742" s="2" t="s">
        <v>17</v>
      </c>
      <c r="I742" s="2">
        <v>1</v>
      </c>
      <c r="J742" s="2" t="s">
        <v>2302</v>
      </c>
      <c r="K742" s="2">
        <v>3335.2</v>
      </c>
      <c r="L742" s="35">
        <v>10909472.551999999</v>
      </c>
      <c r="M742" s="36">
        <v>880</v>
      </c>
      <c r="N742" s="40">
        <v>24447.962855484599</v>
      </c>
      <c r="O742" s="40">
        <v>22288.7707486941</v>
      </c>
      <c r="P742" s="40">
        <v>0</v>
      </c>
      <c r="Q742" s="40">
        <v>5072.0789320951799</v>
      </c>
      <c r="R742" s="40">
        <v>46752.313987231602</v>
      </c>
      <c r="S742" s="40">
        <v>18098.275101567</v>
      </c>
      <c r="T742" s="40">
        <v>30000</v>
      </c>
      <c r="U742" s="40">
        <v>278175.50783517101</v>
      </c>
      <c r="V742" s="40">
        <v>0</v>
      </c>
      <c r="W742" s="45">
        <v>424834.909460244</v>
      </c>
      <c r="X742" s="46">
        <v>3.8941837695201902</v>
      </c>
    </row>
    <row r="743" spans="1:24" s="4" customFormat="1" ht="15" customHeight="1">
      <c r="A743" s="28" t="s">
        <v>2168</v>
      </c>
      <c r="B743" s="29">
        <v>3271.01</v>
      </c>
      <c r="C743" s="30" t="s">
        <v>2300</v>
      </c>
      <c r="D743" s="2" t="s">
        <v>2303</v>
      </c>
      <c r="E743" s="2" t="s">
        <v>14</v>
      </c>
      <c r="F743" s="2" t="s">
        <v>2301</v>
      </c>
      <c r="G743" s="28" t="s">
        <v>5</v>
      </c>
      <c r="H743" s="2" t="s">
        <v>17</v>
      </c>
      <c r="I743" s="2">
        <v>1</v>
      </c>
      <c r="J743" s="2" t="s">
        <v>2302</v>
      </c>
      <c r="K743" s="2">
        <v>7884</v>
      </c>
      <c r="L743" s="35">
        <v>25788642.84</v>
      </c>
      <c r="M743" s="36">
        <v>3600</v>
      </c>
      <c r="N743" s="40">
        <v>100014.39349971</v>
      </c>
      <c r="O743" s="40">
        <v>91181.334881021496</v>
      </c>
      <c r="P743" s="40">
        <v>0</v>
      </c>
      <c r="Q743" s="40">
        <v>20749.413813116698</v>
      </c>
      <c r="R743" s="40">
        <v>191258.829947766</v>
      </c>
      <c r="S743" s="40">
        <v>74038.398142774196</v>
      </c>
      <c r="T743" s="40">
        <v>30000</v>
      </c>
      <c r="U743" s="40">
        <v>1137990.71387115</v>
      </c>
      <c r="V743" s="40">
        <v>0</v>
      </c>
      <c r="W743" s="45">
        <v>1645233.08415554</v>
      </c>
      <c r="X743" s="46">
        <v>6.3796807546757197</v>
      </c>
    </row>
    <row r="744" spans="1:24" s="4" customFormat="1" ht="15" customHeight="1">
      <c r="A744" s="28" t="s">
        <v>2168</v>
      </c>
      <c r="B744" s="29">
        <v>3271.01</v>
      </c>
      <c r="C744" s="30" t="s">
        <v>2300</v>
      </c>
      <c r="D744" s="2">
        <v>4949868828</v>
      </c>
      <c r="E744" s="2" t="s">
        <v>14</v>
      </c>
      <c r="F744" s="2" t="s">
        <v>2301</v>
      </c>
      <c r="G744" s="28" t="s">
        <v>5</v>
      </c>
      <c r="H744" s="2" t="s">
        <v>17</v>
      </c>
      <c r="I744" s="2">
        <v>1</v>
      </c>
      <c r="J744" s="2" t="s">
        <v>2302</v>
      </c>
      <c r="K744" s="2">
        <v>2142</v>
      </c>
      <c r="L744" s="35">
        <v>7006503.4199999999</v>
      </c>
      <c r="M744" s="36">
        <v>900</v>
      </c>
      <c r="N744" s="40">
        <v>25003.5983749275</v>
      </c>
      <c r="O744" s="40">
        <v>22795.333720255399</v>
      </c>
      <c r="P744" s="40">
        <v>0</v>
      </c>
      <c r="Q744" s="40">
        <v>5187.35345327916</v>
      </c>
      <c r="R744" s="40">
        <v>47814.707486941399</v>
      </c>
      <c r="S744" s="40">
        <v>18509.5995356936</v>
      </c>
      <c r="T744" s="40">
        <v>30000</v>
      </c>
      <c r="U744" s="40">
        <v>284497.67846778902</v>
      </c>
      <c r="V744" s="40">
        <v>0</v>
      </c>
      <c r="W744" s="45">
        <v>433808.27103888599</v>
      </c>
      <c r="X744" s="46">
        <v>6.1915087317389199</v>
      </c>
    </row>
    <row r="745" spans="1:24" s="4" customFormat="1" ht="15" customHeight="1">
      <c r="A745" s="28" t="s">
        <v>2168</v>
      </c>
      <c r="B745" s="29">
        <v>3271.01</v>
      </c>
      <c r="C745" s="30" t="s">
        <v>2300</v>
      </c>
      <c r="D745" s="2">
        <v>4950090432</v>
      </c>
      <c r="E745" s="2" t="s">
        <v>14</v>
      </c>
      <c r="F745" s="2" t="s">
        <v>2301</v>
      </c>
      <c r="G745" s="28" t="s">
        <v>5</v>
      </c>
      <c r="H745" s="2" t="s">
        <v>17</v>
      </c>
      <c r="I745" s="2">
        <v>1</v>
      </c>
      <c r="J745" s="2" t="s">
        <v>2302</v>
      </c>
      <c r="K745" s="2">
        <v>2247</v>
      </c>
      <c r="L745" s="35">
        <v>7349959.4699999997</v>
      </c>
      <c r="M745" s="36">
        <v>700</v>
      </c>
      <c r="N745" s="40">
        <v>19447.243180499099</v>
      </c>
      <c r="O745" s="40">
        <v>17729.704004643099</v>
      </c>
      <c r="P745" s="40">
        <v>0</v>
      </c>
      <c r="Q745" s="40">
        <v>4034.60824143935</v>
      </c>
      <c r="R745" s="40">
        <v>37188.772489843301</v>
      </c>
      <c r="S745" s="40">
        <v>14396.355194428301</v>
      </c>
      <c r="T745" s="40">
        <v>30000</v>
      </c>
      <c r="U745" s="40">
        <v>221275.97214161299</v>
      </c>
      <c r="V745" s="40">
        <v>0</v>
      </c>
      <c r="W745" s="45">
        <v>344072.65525246598</v>
      </c>
      <c r="X745" s="46">
        <v>4.6812864296306902</v>
      </c>
    </row>
    <row r="746" spans="1:24" s="4" customFormat="1" ht="15" customHeight="1">
      <c r="A746" s="28" t="s">
        <v>2168</v>
      </c>
      <c r="B746" s="29">
        <v>3271.01</v>
      </c>
      <c r="C746" s="30" t="s">
        <v>2300</v>
      </c>
      <c r="D746" s="2">
        <v>4950210615</v>
      </c>
      <c r="E746" s="2" t="s">
        <v>14</v>
      </c>
      <c r="F746" s="2" t="s">
        <v>2301</v>
      </c>
      <c r="G746" s="28" t="s">
        <v>5</v>
      </c>
      <c r="H746" s="2" t="s">
        <v>17</v>
      </c>
      <c r="I746" s="2">
        <v>1</v>
      </c>
      <c r="J746" s="2" t="s">
        <v>2302</v>
      </c>
      <c r="K746" s="2">
        <v>271.8</v>
      </c>
      <c r="L746" s="35">
        <v>889060.51800000004</v>
      </c>
      <c r="M746" s="36">
        <v>20</v>
      </c>
      <c r="N746" s="40">
        <v>555.63551944283199</v>
      </c>
      <c r="O746" s="40">
        <v>506.56297156122997</v>
      </c>
      <c r="P746" s="40">
        <v>0</v>
      </c>
      <c r="Q746" s="40">
        <v>115.27452118398099</v>
      </c>
      <c r="R746" s="40">
        <v>1062.3934997098099</v>
      </c>
      <c r="S746" s="40">
        <v>411.32443412652299</v>
      </c>
      <c r="T746" s="40">
        <v>30000</v>
      </c>
      <c r="U746" s="40">
        <v>6322.1706326175299</v>
      </c>
      <c r="V746" s="40">
        <v>0</v>
      </c>
      <c r="W746" s="45">
        <v>38973.361578641903</v>
      </c>
      <c r="X746" s="46">
        <v>4.3836567690931796</v>
      </c>
    </row>
    <row r="747" spans="1:24" s="4" customFormat="1" ht="15" customHeight="1">
      <c r="A747" s="28" t="s">
        <v>2168</v>
      </c>
      <c r="B747" s="29">
        <v>3271.01</v>
      </c>
      <c r="C747" s="30" t="s">
        <v>2300</v>
      </c>
      <c r="D747" s="2">
        <v>4950365720</v>
      </c>
      <c r="E747" s="2" t="s">
        <v>14</v>
      </c>
      <c r="F747" s="2" t="s">
        <v>2301</v>
      </c>
      <c r="G747" s="28" t="s">
        <v>5</v>
      </c>
      <c r="H747" s="2" t="s">
        <v>17</v>
      </c>
      <c r="I747" s="2">
        <v>1</v>
      </c>
      <c r="J747" s="2" t="s">
        <v>2302</v>
      </c>
      <c r="K747" s="2">
        <v>14742</v>
      </c>
      <c r="L747" s="35">
        <v>48221229.420000002</v>
      </c>
      <c r="M747" s="36">
        <v>6300</v>
      </c>
      <c r="N747" s="40">
        <v>175025.188624492</v>
      </c>
      <c r="O747" s="40">
        <v>159567.33604178799</v>
      </c>
      <c r="P747" s="40">
        <v>0</v>
      </c>
      <c r="Q747" s="40">
        <v>36311.474172954098</v>
      </c>
      <c r="R747" s="40">
        <v>334701.95240859</v>
      </c>
      <c r="S747" s="40">
        <v>129567.19674985499</v>
      </c>
      <c r="T747" s="40">
        <v>30000</v>
      </c>
      <c r="U747" s="40">
        <v>1991483.74927452</v>
      </c>
      <c r="V747" s="40">
        <v>0</v>
      </c>
      <c r="W747" s="45">
        <v>2856656.8972721999</v>
      </c>
      <c r="X747" s="46">
        <v>5.9240648395567197</v>
      </c>
    </row>
    <row r="748" spans="1:24" s="4" customFormat="1" ht="15" customHeight="1">
      <c r="A748" s="28" t="s">
        <v>2168</v>
      </c>
      <c r="B748" s="29">
        <v>3271.01</v>
      </c>
      <c r="C748" s="30" t="s">
        <v>2300</v>
      </c>
      <c r="D748" s="2">
        <v>4950274555</v>
      </c>
      <c r="E748" s="2" t="s">
        <v>14</v>
      </c>
      <c r="F748" s="2" t="s">
        <v>2301</v>
      </c>
      <c r="G748" s="28" t="s">
        <v>5</v>
      </c>
      <c r="H748" s="2" t="s">
        <v>17</v>
      </c>
      <c r="I748" s="2">
        <v>1</v>
      </c>
      <c r="J748" s="2" t="s">
        <v>2302</v>
      </c>
      <c r="K748" s="2">
        <v>2226.8000000000002</v>
      </c>
      <c r="L748" s="35">
        <v>7283885.068</v>
      </c>
      <c r="M748" s="36">
        <v>760</v>
      </c>
      <c r="N748" s="40">
        <v>21114.1497388276</v>
      </c>
      <c r="O748" s="40">
        <v>19249.392919326801</v>
      </c>
      <c r="P748" s="40">
        <v>0</v>
      </c>
      <c r="Q748" s="40">
        <v>4380.4318049912899</v>
      </c>
      <c r="R748" s="40">
        <v>40376.952988972698</v>
      </c>
      <c r="S748" s="40">
        <v>15630.328496807901</v>
      </c>
      <c r="T748" s="40">
        <v>30000</v>
      </c>
      <c r="U748" s="40">
        <v>240242.48403946601</v>
      </c>
      <c r="V748" s="40">
        <v>0</v>
      </c>
      <c r="W748" s="45">
        <v>370993.73998839199</v>
      </c>
      <c r="X748" s="46">
        <v>5.0933497237382896</v>
      </c>
    </row>
    <row r="749" spans="1:24" s="4" customFormat="1" ht="15" customHeight="1">
      <c r="A749" s="28" t="s">
        <v>2168</v>
      </c>
      <c r="B749" s="29">
        <v>3271.01</v>
      </c>
      <c r="C749" s="30" t="s">
        <v>2300</v>
      </c>
      <c r="D749" s="2">
        <v>4949532982</v>
      </c>
      <c r="E749" s="2" t="s">
        <v>14</v>
      </c>
      <c r="F749" s="2" t="s">
        <v>2301</v>
      </c>
      <c r="G749" s="28" t="s">
        <v>5</v>
      </c>
      <c r="H749" s="2" t="s">
        <v>17</v>
      </c>
      <c r="I749" s="2">
        <v>1</v>
      </c>
      <c r="J749" s="2" t="s">
        <v>2302</v>
      </c>
      <c r="K749" s="2">
        <v>2115.6</v>
      </c>
      <c r="L749" s="35">
        <v>6920148.7560000001</v>
      </c>
      <c r="M749" s="36">
        <v>410</v>
      </c>
      <c r="N749" s="40">
        <v>11390.5281485781</v>
      </c>
      <c r="O749" s="40">
        <v>10384.540917005201</v>
      </c>
      <c r="P749" s="40">
        <v>0</v>
      </c>
      <c r="Q749" s="40">
        <v>2363.1276842716202</v>
      </c>
      <c r="R749" s="40">
        <v>21782.066744051099</v>
      </c>
      <c r="S749" s="40">
        <v>8432.1508995937293</v>
      </c>
      <c r="T749" s="40">
        <v>30000</v>
      </c>
      <c r="U749" s="40">
        <v>129604.49796865899</v>
      </c>
      <c r="V749" s="40">
        <v>0</v>
      </c>
      <c r="W749" s="45">
        <v>213956.912362159</v>
      </c>
      <c r="X749" s="46">
        <v>3.0917964325066101</v>
      </c>
    </row>
    <row r="750" spans="1:24" s="4" customFormat="1" ht="15" customHeight="1">
      <c r="A750" s="28" t="s">
        <v>2168</v>
      </c>
      <c r="B750" s="29">
        <v>3271.01</v>
      </c>
      <c r="C750" s="30" t="s">
        <v>2300</v>
      </c>
      <c r="D750" s="2">
        <v>4950090425</v>
      </c>
      <c r="E750" s="2" t="s">
        <v>14</v>
      </c>
      <c r="F750" s="2" t="s">
        <v>2301</v>
      </c>
      <c r="G750" s="28" t="s">
        <v>5</v>
      </c>
      <c r="H750" s="2" t="s">
        <v>17</v>
      </c>
      <c r="I750" s="2">
        <v>1</v>
      </c>
      <c r="J750" s="2" t="s">
        <v>2302</v>
      </c>
      <c r="K750" s="2">
        <v>4137.5</v>
      </c>
      <c r="L750" s="35">
        <v>13533803.875</v>
      </c>
      <c r="M750" s="36">
        <v>125</v>
      </c>
      <c r="N750" s="40">
        <v>3472.7219965177001</v>
      </c>
      <c r="O750" s="40">
        <v>3166.0185722576898</v>
      </c>
      <c r="P750" s="40">
        <v>0</v>
      </c>
      <c r="Q750" s="40">
        <v>720.46575739988396</v>
      </c>
      <c r="R750" s="40">
        <v>6640.9593731862997</v>
      </c>
      <c r="S750" s="40">
        <v>2570.77771329077</v>
      </c>
      <c r="T750" s="40">
        <v>30000</v>
      </c>
      <c r="U750" s="40">
        <v>39513.566453859501</v>
      </c>
      <c r="V750" s="40">
        <v>0</v>
      </c>
      <c r="W750" s="45">
        <v>86084.509866511798</v>
      </c>
      <c r="X750" s="46">
        <v>0.63607032185185897</v>
      </c>
    </row>
    <row r="751" spans="1:24" s="4" customFormat="1" ht="15" customHeight="1">
      <c r="A751" s="28" t="s">
        <v>2168</v>
      </c>
      <c r="B751" s="29">
        <v>3271.01</v>
      </c>
      <c r="C751" s="30" t="s">
        <v>2300</v>
      </c>
      <c r="D751" s="2">
        <v>4950443828</v>
      </c>
      <c r="E751" s="2" t="s">
        <v>14</v>
      </c>
      <c r="F751" s="2" t="s">
        <v>2301</v>
      </c>
      <c r="G751" s="28" t="s">
        <v>5</v>
      </c>
      <c r="H751" s="2" t="s">
        <v>17</v>
      </c>
      <c r="I751" s="2">
        <v>1</v>
      </c>
      <c r="J751" s="2" t="s">
        <v>2302</v>
      </c>
      <c r="K751" s="2">
        <v>1177.75</v>
      </c>
      <c r="L751" s="35">
        <v>3852432.0274999999</v>
      </c>
      <c r="M751" s="36">
        <v>175</v>
      </c>
      <c r="N751" s="40">
        <v>4861.8107951247803</v>
      </c>
      <c r="O751" s="40">
        <v>4432.4260011607703</v>
      </c>
      <c r="P751" s="40">
        <v>0</v>
      </c>
      <c r="Q751" s="40">
        <v>1008.65206035984</v>
      </c>
      <c r="R751" s="40">
        <v>9296.9431224608197</v>
      </c>
      <c r="S751" s="40">
        <v>3599.0887986070802</v>
      </c>
      <c r="T751" s="40">
        <v>30000</v>
      </c>
      <c r="U751" s="40">
        <v>55318.9930354034</v>
      </c>
      <c r="V751" s="40">
        <v>0</v>
      </c>
      <c r="W751" s="45">
        <v>108517.913813117</v>
      </c>
      <c r="X751" s="46">
        <v>2.8168677095008601</v>
      </c>
    </row>
    <row r="752" spans="1:24" s="4" customFormat="1" ht="15" customHeight="1">
      <c r="A752" s="28" t="s">
        <v>2168</v>
      </c>
      <c r="B752" s="29">
        <v>3271.01</v>
      </c>
      <c r="C752" s="30" t="s">
        <v>2300</v>
      </c>
      <c r="D752" s="2">
        <v>4949818311</v>
      </c>
      <c r="E752" s="2" t="s">
        <v>14</v>
      </c>
      <c r="F752" s="2" t="s">
        <v>2301</v>
      </c>
      <c r="G752" s="28" t="s">
        <v>5</v>
      </c>
      <c r="H752" s="2" t="s">
        <v>17</v>
      </c>
      <c r="I752" s="2">
        <v>1</v>
      </c>
      <c r="J752" s="2" t="s">
        <v>2302</v>
      </c>
      <c r="K752" s="2">
        <v>5888.8</v>
      </c>
      <c r="L752" s="35">
        <v>19262323.688000001</v>
      </c>
      <c r="M752" s="36">
        <v>680</v>
      </c>
      <c r="N752" s="40">
        <v>18891.6076610563</v>
      </c>
      <c r="O752" s="40">
        <v>17223.1410330818</v>
      </c>
      <c r="P752" s="40">
        <v>0</v>
      </c>
      <c r="Q752" s="40">
        <v>3919.3337202553698</v>
      </c>
      <c r="R752" s="40">
        <v>36126.378990133497</v>
      </c>
      <c r="S752" s="40">
        <v>13985.030760301799</v>
      </c>
      <c r="T752" s="40">
        <v>30000</v>
      </c>
      <c r="U752" s="40">
        <v>214953.801508996</v>
      </c>
      <c r="V752" s="40">
        <v>0</v>
      </c>
      <c r="W752" s="45">
        <v>335099.29367382498</v>
      </c>
      <c r="X752" s="46">
        <v>1.73966183468604</v>
      </c>
    </row>
    <row r="753" spans="1:24" s="4" customFormat="1" ht="15" customHeight="1">
      <c r="A753" s="28" t="s">
        <v>2168</v>
      </c>
      <c r="B753" s="29">
        <v>3271.01</v>
      </c>
      <c r="C753" s="30" t="s">
        <v>2300</v>
      </c>
      <c r="D753" s="2">
        <v>4950210625</v>
      </c>
      <c r="E753" s="2" t="s">
        <v>14</v>
      </c>
      <c r="F753" s="2" t="s">
        <v>2301</v>
      </c>
      <c r="G753" s="28" t="s">
        <v>5</v>
      </c>
      <c r="H753" s="2" t="s">
        <v>17</v>
      </c>
      <c r="I753" s="2">
        <v>1</v>
      </c>
      <c r="J753" s="2" t="s">
        <v>2302</v>
      </c>
      <c r="K753" s="2">
        <v>3716.4</v>
      </c>
      <c r="L753" s="35">
        <v>12156381.563999999</v>
      </c>
      <c r="M753" s="36">
        <v>380</v>
      </c>
      <c r="N753" s="40">
        <v>10557.0748694138</v>
      </c>
      <c r="O753" s="40">
        <v>9624.6964596633807</v>
      </c>
      <c r="P753" s="40">
        <v>0</v>
      </c>
      <c r="Q753" s="40">
        <v>2190.21590249565</v>
      </c>
      <c r="R753" s="40">
        <v>20188.4764944864</v>
      </c>
      <c r="S753" s="40">
        <v>7815.1642484039503</v>
      </c>
      <c r="T753" s="40">
        <v>30000</v>
      </c>
      <c r="U753" s="40">
        <v>120121.24201973301</v>
      </c>
      <c r="V753" s="40">
        <v>0</v>
      </c>
      <c r="W753" s="45">
        <v>200496.86999419599</v>
      </c>
      <c r="X753" s="46">
        <v>1.64931372825569</v>
      </c>
    </row>
    <row r="754" spans="1:24" s="4" customFormat="1" ht="15" customHeight="1">
      <c r="A754" s="28" t="s">
        <v>2168</v>
      </c>
      <c r="B754" s="29">
        <v>3271.01</v>
      </c>
      <c r="C754" s="30" t="s">
        <v>2300</v>
      </c>
      <c r="D754" s="2">
        <v>4949718149</v>
      </c>
      <c r="E754" s="2" t="s">
        <v>14</v>
      </c>
      <c r="F754" s="2" t="s">
        <v>2301</v>
      </c>
      <c r="G754" s="28" t="s">
        <v>5</v>
      </c>
      <c r="H754" s="2" t="s">
        <v>17</v>
      </c>
      <c r="I754" s="2">
        <v>1</v>
      </c>
      <c r="J754" s="2" t="s">
        <v>2302</v>
      </c>
      <c r="K754" s="2">
        <v>9366</v>
      </c>
      <c r="L754" s="35">
        <v>30636279.66</v>
      </c>
      <c r="M754" s="36">
        <v>2100</v>
      </c>
      <c r="N754" s="40">
        <v>58341.7295414974</v>
      </c>
      <c r="O754" s="40">
        <v>53189.112013929203</v>
      </c>
      <c r="P754" s="40">
        <v>0</v>
      </c>
      <c r="Q754" s="40">
        <v>12103.824724318099</v>
      </c>
      <c r="R754" s="40">
        <v>111567.31746953</v>
      </c>
      <c r="S754" s="40">
        <v>43189.065583285003</v>
      </c>
      <c r="T754" s="40">
        <v>30000</v>
      </c>
      <c r="U754" s="40">
        <v>663827.91642483999</v>
      </c>
      <c r="V754" s="40">
        <v>0</v>
      </c>
      <c r="W754" s="45">
        <v>972218.96575740003</v>
      </c>
      <c r="X754" s="46">
        <v>3.1734237203310598</v>
      </c>
    </row>
    <row r="755" spans="1:24" s="4" customFormat="1" ht="15" customHeight="1">
      <c r="A755" s="28" t="s">
        <v>2168</v>
      </c>
      <c r="B755" s="29">
        <v>3271.01</v>
      </c>
      <c r="C755" s="30" t="s">
        <v>2304</v>
      </c>
      <c r="D755" s="2">
        <v>4950252530</v>
      </c>
      <c r="E755" s="2" t="s">
        <v>14</v>
      </c>
      <c r="F755" s="78" t="s">
        <v>2305</v>
      </c>
      <c r="G755" s="28" t="s">
        <v>9</v>
      </c>
      <c r="H755" s="2" t="s">
        <v>23</v>
      </c>
      <c r="I755" s="2">
        <v>1</v>
      </c>
      <c r="J755" s="2"/>
      <c r="K755" s="2">
        <v>5107.5</v>
      </c>
      <c r="L755" s="35">
        <v>16706683.574999999</v>
      </c>
      <c r="M755" s="36">
        <v>750</v>
      </c>
      <c r="N755" s="40">
        <v>500614</v>
      </c>
      <c r="O755" s="40">
        <v>517</v>
      </c>
      <c r="P755" s="40">
        <v>0</v>
      </c>
      <c r="Q755" s="40">
        <v>12730</v>
      </c>
      <c r="R755" s="40">
        <v>101935</v>
      </c>
      <c r="S755" s="40">
        <v>354356</v>
      </c>
      <c r="T755" s="40">
        <v>30000</v>
      </c>
      <c r="U755" s="40">
        <v>434237.923375902</v>
      </c>
      <c r="V755" s="40">
        <v>0</v>
      </c>
      <c r="W755" s="45">
        <v>1434389.9233758999</v>
      </c>
      <c r="X755" s="46">
        <v>8.5857250898217394</v>
      </c>
    </row>
    <row r="756" spans="1:24" s="4" customFormat="1" ht="15" customHeight="1">
      <c r="A756" s="28" t="s">
        <v>2168</v>
      </c>
      <c r="B756" s="29">
        <v>3271.01</v>
      </c>
      <c r="C756" s="30" t="s">
        <v>2306</v>
      </c>
      <c r="D756" s="2">
        <v>4950272191</v>
      </c>
      <c r="E756" s="2" t="s">
        <v>14</v>
      </c>
      <c r="F756" s="78" t="s">
        <v>2307</v>
      </c>
      <c r="G756" s="28" t="s">
        <v>9</v>
      </c>
      <c r="H756" s="2" t="s">
        <v>23</v>
      </c>
      <c r="I756" s="2">
        <v>1</v>
      </c>
      <c r="J756" s="2"/>
      <c r="K756" s="2">
        <v>8079</v>
      </c>
      <c r="L756" s="35">
        <v>26426489.789999999</v>
      </c>
      <c r="M756" s="36">
        <v>300</v>
      </c>
      <c r="N756" s="40">
        <v>492152</v>
      </c>
      <c r="O756" s="40">
        <v>226</v>
      </c>
      <c r="P756" s="40">
        <v>0</v>
      </c>
      <c r="Q756" s="40">
        <v>5422</v>
      </c>
      <c r="R756" s="40">
        <v>94272</v>
      </c>
      <c r="S756" s="40">
        <v>354356</v>
      </c>
      <c r="T756" s="40">
        <v>30000</v>
      </c>
      <c r="U756" s="40">
        <v>1367700</v>
      </c>
      <c r="V756" s="40">
        <v>0</v>
      </c>
      <c r="W756" s="45">
        <v>2344128</v>
      </c>
      <c r="X756" s="46">
        <v>8.8703721857415907</v>
      </c>
    </row>
    <row r="757" spans="1:24" s="4" customFormat="1" ht="15" customHeight="1">
      <c r="A757" s="28" t="s">
        <v>2168</v>
      </c>
      <c r="B757" s="29">
        <v>3271.01</v>
      </c>
      <c r="C757" s="30" t="s">
        <v>2310</v>
      </c>
      <c r="D757" s="2">
        <v>4950090430</v>
      </c>
      <c r="E757" s="2" t="s">
        <v>14</v>
      </c>
      <c r="F757" s="2" t="s">
        <v>2311</v>
      </c>
      <c r="G757" s="28" t="s">
        <v>9</v>
      </c>
      <c r="H757" s="2" t="s">
        <v>23</v>
      </c>
      <c r="I757" s="2">
        <v>2</v>
      </c>
      <c r="J757" s="2"/>
      <c r="K757" s="2">
        <v>2182.4</v>
      </c>
      <c r="L757" s="35">
        <v>7138652.2240000004</v>
      </c>
      <c r="M757" s="36">
        <v>1760</v>
      </c>
      <c r="N757" s="40">
        <v>632143</v>
      </c>
      <c r="O757" s="40">
        <v>1229</v>
      </c>
      <c r="P757" s="40">
        <v>0</v>
      </c>
      <c r="Q757" s="40">
        <v>29741</v>
      </c>
      <c r="R757" s="40">
        <v>117255</v>
      </c>
      <c r="S757" s="40">
        <v>354356</v>
      </c>
      <c r="T757" s="40">
        <v>30000</v>
      </c>
      <c r="U757" s="40">
        <v>1019011.66018878</v>
      </c>
      <c r="V757" s="40">
        <v>0</v>
      </c>
      <c r="W757" s="45">
        <v>2183735.6601887802</v>
      </c>
      <c r="X757" s="46">
        <v>30.590307409108799</v>
      </c>
    </row>
    <row r="758" spans="1:24" s="4" customFormat="1" ht="15" customHeight="1">
      <c r="A758" s="28" t="s">
        <v>2168</v>
      </c>
      <c r="B758" s="29">
        <v>3271.01</v>
      </c>
      <c r="C758" s="30" t="s">
        <v>2314</v>
      </c>
      <c r="D758" s="2">
        <v>4949868823</v>
      </c>
      <c r="E758" s="2" t="s">
        <v>14</v>
      </c>
      <c r="F758" s="2" t="s">
        <v>2315</v>
      </c>
      <c r="G758" s="28" t="s">
        <v>5</v>
      </c>
      <c r="H758" s="2" t="s">
        <v>20</v>
      </c>
      <c r="I758" s="2">
        <v>2</v>
      </c>
      <c r="J758" s="2" t="s">
        <v>2316</v>
      </c>
      <c r="K758" s="2">
        <v>39744</v>
      </c>
      <c r="L758" s="35">
        <v>130003021.44</v>
      </c>
      <c r="M758" s="36">
        <v>28800</v>
      </c>
      <c r="N758" s="40">
        <v>927002</v>
      </c>
      <c r="O758" s="40">
        <v>665311</v>
      </c>
      <c r="P758" s="40">
        <v>0</v>
      </c>
      <c r="Q758" s="40">
        <v>198619</v>
      </c>
      <c r="R758" s="40">
        <v>1250171</v>
      </c>
      <c r="S758" s="40">
        <v>354356</v>
      </c>
      <c r="T758" s="40">
        <v>30000</v>
      </c>
      <c r="U758" s="40">
        <v>7857000</v>
      </c>
      <c r="V758" s="40">
        <v>0</v>
      </c>
      <c r="W758" s="45">
        <v>11282459</v>
      </c>
      <c r="X758" s="46">
        <v>8.6786129083985699</v>
      </c>
    </row>
    <row r="759" spans="1:24" s="4" customFormat="1" ht="15" customHeight="1">
      <c r="A759" s="28" t="s">
        <v>2168</v>
      </c>
      <c r="B759" s="29">
        <v>3271.01</v>
      </c>
      <c r="C759" s="30" t="s">
        <v>2328</v>
      </c>
      <c r="D759" s="2">
        <v>4950057193</v>
      </c>
      <c r="E759" s="2" t="s">
        <v>14</v>
      </c>
      <c r="F759" s="2" t="s">
        <v>2329</v>
      </c>
      <c r="G759" s="28" t="s">
        <v>5</v>
      </c>
      <c r="H759" s="2" t="s">
        <v>20</v>
      </c>
      <c r="I759" s="2">
        <v>1</v>
      </c>
      <c r="J759" s="2" t="s">
        <v>2330</v>
      </c>
      <c r="K759" s="2">
        <v>15840</v>
      </c>
      <c r="L759" s="35">
        <v>51812798.399999999</v>
      </c>
      <c r="M759" s="36">
        <v>360</v>
      </c>
      <c r="N759" s="40">
        <v>17291.370332997001</v>
      </c>
      <c r="O759" s="40">
        <v>12084.339051463199</v>
      </c>
      <c r="P759" s="40">
        <v>0</v>
      </c>
      <c r="Q759" s="40">
        <v>3607.59233097881</v>
      </c>
      <c r="R759" s="40">
        <v>23319.801210898098</v>
      </c>
      <c r="S759" s="40">
        <v>12872.6700302725</v>
      </c>
      <c r="T759" s="40">
        <v>30000</v>
      </c>
      <c r="U759" s="40">
        <v>118044.399596367</v>
      </c>
      <c r="V759" s="40">
        <v>0</v>
      </c>
      <c r="W759" s="45">
        <v>217220.17255297699</v>
      </c>
      <c r="X759" s="46">
        <v>0.419240379328704</v>
      </c>
    </row>
    <row r="760" spans="1:24" s="4" customFormat="1" ht="15" customHeight="1">
      <c r="A760" s="28" t="s">
        <v>2168</v>
      </c>
      <c r="B760" s="29">
        <v>3271.01</v>
      </c>
      <c r="C760" s="30" t="s">
        <v>2328</v>
      </c>
      <c r="D760" s="2">
        <v>4950090417</v>
      </c>
      <c r="E760" s="2" t="s">
        <v>14</v>
      </c>
      <c r="F760" s="2" t="s">
        <v>2329</v>
      </c>
      <c r="G760" s="28" t="s">
        <v>5</v>
      </c>
      <c r="H760" s="2" t="s">
        <v>20</v>
      </c>
      <c r="I760" s="2">
        <v>1</v>
      </c>
      <c r="J760" s="2" t="s">
        <v>2330</v>
      </c>
      <c r="K760" s="2">
        <v>11086</v>
      </c>
      <c r="L760" s="35">
        <v>36262416.859999999</v>
      </c>
      <c r="M760" s="36">
        <v>4600</v>
      </c>
      <c r="N760" s="40">
        <v>220945.287588295</v>
      </c>
      <c r="O760" s="40">
        <v>154410.99899091799</v>
      </c>
      <c r="P760" s="40">
        <v>0</v>
      </c>
      <c r="Q760" s="40">
        <v>46097.013118062598</v>
      </c>
      <c r="R760" s="40">
        <v>297980.68213925301</v>
      </c>
      <c r="S760" s="40">
        <v>164484.11705348099</v>
      </c>
      <c r="T760" s="40">
        <v>30000</v>
      </c>
      <c r="U760" s="40">
        <v>1508345.10595358</v>
      </c>
      <c r="V760" s="40">
        <v>0</v>
      </c>
      <c r="W760" s="45">
        <v>2422263.20484359</v>
      </c>
      <c r="X760" s="46">
        <v>6.6798173276627804</v>
      </c>
    </row>
    <row r="761" spans="1:24" s="4" customFormat="1" ht="15" customHeight="1">
      <c r="A761" s="28" t="s">
        <v>2168</v>
      </c>
      <c r="B761" s="29">
        <v>3271.01</v>
      </c>
      <c r="C761" s="30" t="s">
        <v>2328</v>
      </c>
      <c r="D761" s="2">
        <v>4949309840</v>
      </c>
      <c r="E761" s="2" t="s">
        <v>14</v>
      </c>
      <c r="F761" s="2" t="s">
        <v>2329</v>
      </c>
      <c r="G761" s="28" t="s">
        <v>5</v>
      </c>
      <c r="H761" s="2" t="s">
        <v>20</v>
      </c>
      <c r="I761" s="2">
        <v>1</v>
      </c>
      <c r="J761" s="2" t="s">
        <v>2330</v>
      </c>
      <c r="K761" s="2">
        <v>8250</v>
      </c>
      <c r="L761" s="35">
        <v>26985832.5</v>
      </c>
      <c r="M761" s="36">
        <v>2200</v>
      </c>
      <c r="N761" s="40">
        <v>105669.485368315</v>
      </c>
      <c r="O761" s="40">
        <v>73848.738647830498</v>
      </c>
      <c r="P761" s="40">
        <v>0</v>
      </c>
      <c r="Q761" s="40">
        <v>22046.3975782038</v>
      </c>
      <c r="R761" s="40">
        <v>142512.67406659899</v>
      </c>
      <c r="S761" s="40">
        <v>78666.316851665004</v>
      </c>
      <c r="T761" s="40">
        <v>30000</v>
      </c>
      <c r="U761" s="40">
        <v>721382.44197779999</v>
      </c>
      <c r="V761" s="40">
        <v>0</v>
      </c>
      <c r="W761" s="45">
        <v>1174126.05449041</v>
      </c>
      <c r="X761" s="46">
        <v>4.3508980295138704</v>
      </c>
    </row>
    <row r="762" spans="1:24" s="4" customFormat="1" ht="15" customHeight="1">
      <c r="A762" s="28" t="s">
        <v>2168</v>
      </c>
      <c r="B762" s="29">
        <v>3271.01</v>
      </c>
      <c r="C762" s="30" t="s">
        <v>2331</v>
      </c>
      <c r="D762" s="2">
        <v>4949868825</v>
      </c>
      <c r="E762" s="2" t="s">
        <v>14</v>
      </c>
      <c r="F762" s="2" t="s">
        <v>2332</v>
      </c>
      <c r="G762" s="28" t="s">
        <v>5</v>
      </c>
      <c r="H762" s="2" t="s">
        <v>20</v>
      </c>
      <c r="I762" s="2">
        <v>1</v>
      </c>
      <c r="J762" s="2" t="s">
        <v>2333</v>
      </c>
      <c r="K762" s="2">
        <v>14241.6</v>
      </c>
      <c r="L762" s="35">
        <v>46584416.016000003</v>
      </c>
      <c r="M762" s="36">
        <v>5520</v>
      </c>
      <c r="N762" s="40">
        <v>256089.801169591</v>
      </c>
      <c r="O762" s="40">
        <v>178972.280701754</v>
      </c>
      <c r="P762" s="40">
        <v>0</v>
      </c>
      <c r="Q762" s="40">
        <v>53429.403508771902</v>
      </c>
      <c r="R762" s="40">
        <v>403691.89473684202</v>
      </c>
      <c r="S762" s="40">
        <v>190647.67251462</v>
      </c>
      <c r="T762" s="40">
        <v>30000</v>
      </c>
      <c r="U762" s="40">
        <v>1748269.00584795</v>
      </c>
      <c r="V762" s="40">
        <v>0</v>
      </c>
      <c r="W762" s="45">
        <v>2861100.0584795298</v>
      </c>
      <c r="X762" s="46">
        <v>6.1417536231362204</v>
      </c>
    </row>
    <row r="763" spans="1:24" s="4" customFormat="1" ht="15" customHeight="1">
      <c r="A763" s="28" t="s">
        <v>2168</v>
      </c>
      <c r="B763" s="29">
        <v>3271.01</v>
      </c>
      <c r="C763" s="30" t="s">
        <v>2331</v>
      </c>
      <c r="D763" s="2">
        <v>4949416093</v>
      </c>
      <c r="E763" s="2" t="s">
        <v>14</v>
      </c>
      <c r="F763" s="2" t="s">
        <v>2332</v>
      </c>
      <c r="G763" s="28" t="s">
        <v>5</v>
      </c>
      <c r="H763" s="2" t="s">
        <v>20</v>
      </c>
      <c r="I763" s="2">
        <v>1</v>
      </c>
      <c r="J763" s="2" t="s">
        <v>2333</v>
      </c>
      <c r="K763" s="2">
        <v>1856.8</v>
      </c>
      <c r="L763" s="35">
        <v>6073611.3679999998</v>
      </c>
      <c r="M763" s="36">
        <v>880</v>
      </c>
      <c r="N763" s="40">
        <v>40825.910331384002</v>
      </c>
      <c r="O763" s="40">
        <v>28531.812865497101</v>
      </c>
      <c r="P763" s="40">
        <v>0</v>
      </c>
      <c r="Q763" s="40">
        <v>8517.7309941520507</v>
      </c>
      <c r="R763" s="40">
        <v>64356.736842105303</v>
      </c>
      <c r="S763" s="40">
        <v>30393.107212475599</v>
      </c>
      <c r="T763" s="40">
        <v>30000</v>
      </c>
      <c r="U763" s="40">
        <v>278709.55165692</v>
      </c>
      <c r="V763" s="40">
        <v>0</v>
      </c>
      <c r="W763" s="45">
        <v>481334.84990253398</v>
      </c>
      <c r="X763" s="46">
        <v>7.9250189177157404</v>
      </c>
    </row>
    <row r="764" spans="1:24" s="4" customFormat="1" ht="15" customHeight="1">
      <c r="A764" s="28" t="s">
        <v>2168</v>
      </c>
      <c r="B764" s="29">
        <v>3271.01</v>
      </c>
      <c r="C764" s="30" t="s">
        <v>2331</v>
      </c>
      <c r="D764" s="2">
        <v>4950058268</v>
      </c>
      <c r="E764" s="2" t="s">
        <v>14</v>
      </c>
      <c r="F764" s="78" t="s">
        <v>2332</v>
      </c>
      <c r="G764" s="28" t="s">
        <v>5</v>
      </c>
      <c r="H764" s="2" t="s">
        <v>20</v>
      </c>
      <c r="I764" s="2">
        <v>1</v>
      </c>
      <c r="J764" s="2" t="s">
        <v>2333</v>
      </c>
      <c r="K764" s="2">
        <v>12820</v>
      </c>
      <c r="L764" s="35">
        <v>41934348.200000003</v>
      </c>
      <c r="M764" s="36">
        <v>2000</v>
      </c>
      <c r="N764" s="40">
        <v>92786.159844054593</v>
      </c>
      <c r="O764" s="40">
        <v>64845.029239766103</v>
      </c>
      <c r="P764" s="40">
        <v>0</v>
      </c>
      <c r="Q764" s="40">
        <v>19358.479532163699</v>
      </c>
      <c r="R764" s="40">
        <v>146264.94736842101</v>
      </c>
      <c r="S764" s="40">
        <v>69075.243664717302</v>
      </c>
      <c r="T764" s="40">
        <v>30000</v>
      </c>
      <c r="U764" s="40">
        <v>633430.79922027304</v>
      </c>
      <c r="V764" s="40">
        <v>0</v>
      </c>
      <c r="W764" s="45">
        <v>1055760.6588693999</v>
      </c>
      <c r="X764" s="46">
        <v>2.5176512910945799</v>
      </c>
    </row>
    <row r="765" spans="1:24" s="4" customFormat="1" ht="15" customHeight="1">
      <c r="A765" s="28" t="s">
        <v>2168</v>
      </c>
      <c r="B765" s="29">
        <v>3271.01</v>
      </c>
      <c r="C765" s="30" t="s">
        <v>2331</v>
      </c>
      <c r="D765" s="2">
        <v>4950210610</v>
      </c>
      <c r="E765" s="2" t="s">
        <v>14</v>
      </c>
      <c r="F765" s="78" t="s">
        <v>2332</v>
      </c>
      <c r="G765" s="28" t="s">
        <v>5</v>
      </c>
      <c r="H765" s="2" t="s">
        <v>20</v>
      </c>
      <c r="I765" s="2">
        <v>1</v>
      </c>
      <c r="J765" s="2" t="s">
        <v>2333</v>
      </c>
      <c r="K765" s="2">
        <v>2124.1999999999998</v>
      </c>
      <c r="L765" s="35">
        <v>6948279.4419999998</v>
      </c>
      <c r="M765" s="36">
        <v>860</v>
      </c>
      <c r="N765" s="40">
        <v>39898.048732943498</v>
      </c>
      <c r="O765" s="40">
        <v>27883.362573099399</v>
      </c>
      <c r="P765" s="40">
        <v>0</v>
      </c>
      <c r="Q765" s="40">
        <v>8324.1461988304109</v>
      </c>
      <c r="R765" s="40">
        <v>62893.947368421097</v>
      </c>
      <c r="S765" s="40">
        <v>29702.354775828499</v>
      </c>
      <c r="T765" s="40">
        <v>30000</v>
      </c>
      <c r="U765" s="40">
        <v>272375.24366471701</v>
      </c>
      <c r="V765" s="40">
        <v>0</v>
      </c>
      <c r="W765" s="45">
        <v>471077.10331383999</v>
      </c>
      <c r="X765" s="46">
        <v>6.7797662320018102</v>
      </c>
    </row>
    <row r="766" spans="1:24" s="4" customFormat="1" ht="15" customHeight="1">
      <c r="A766" s="28" t="s">
        <v>2168</v>
      </c>
      <c r="B766" s="29">
        <v>3271.01</v>
      </c>
      <c r="C766" s="30" t="s">
        <v>2331</v>
      </c>
      <c r="D766" s="2">
        <v>4949747386</v>
      </c>
      <c r="E766" s="2" t="s">
        <v>14</v>
      </c>
      <c r="F766" s="78" t="s">
        <v>2332</v>
      </c>
      <c r="G766" s="28" t="s">
        <v>5</v>
      </c>
      <c r="H766" s="2" t="s">
        <v>20</v>
      </c>
      <c r="I766" s="2">
        <v>1</v>
      </c>
      <c r="J766" s="2" t="s">
        <v>2333</v>
      </c>
      <c r="K766" s="2">
        <v>4910</v>
      </c>
      <c r="L766" s="35">
        <v>16060659.1</v>
      </c>
      <c r="M766" s="36">
        <v>1000</v>
      </c>
      <c r="N766" s="40">
        <v>46393.079922027297</v>
      </c>
      <c r="O766" s="40">
        <v>32422.514619883001</v>
      </c>
      <c r="P766" s="40">
        <v>0</v>
      </c>
      <c r="Q766" s="40">
        <v>9679.2397660818697</v>
      </c>
      <c r="R766" s="40">
        <v>73132.473684210505</v>
      </c>
      <c r="S766" s="40">
        <v>34537.621832358702</v>
      </c>
      <c r="T766" s="40">
        <v>30000</v>
      </c>
      <c r="U766" s="40">
        <v>316715.399610136</v>
      </c>
      <c r="V766" s="40">
        <v>0</v>
      </c>
      <c r="W766" s="45">
        <v>542880.32943469705</v>
      </c>
      <c r="X766" s="46">
        <v>3.3801871147037601</v>
      </c>
    </row>
    <row r="767" spans="1:24" s="4" customFormat="1" ht="15" customHeight="1">
      <c r="A767" s="28" t="s">
        <v>2168</v>
      </c>
      <c r="B767" s="29">
        <v>3271.01</v>
      </c>
      <c r="C767" s="30" t="s">
        <v>2339</v>
      </c>
      <c r="D767" s="2">
        <v>4949590091</v>
      </c>
      <c r="E767" s="2" t="s">
        <v>14</v>
      </c>
      <c r="F767" s="2" t="s">
        <v>2340</v>
      </c>
      <c r="G767" s="28" t="s">
        <v>9</v>
      </c>
      <c r="H767" s="2" t="s">
        <v>23</v>
      </c>
      <c r="I767" s="2">
        <v>3</v>
      </c>
      <c r="J767" s="2"/>
      <c r="K767" s="2">
        <v>10861.2</v>
      </c>
      <c r="L767" s="35">
        <v>35527093.811999999</v>
      </c>
      <c r="M767" s="36">
        <v>2520</v>
      </c>
      <c r="N767" s="40">
        <v>853596</v>
      </c>
      <c r="O767" s="40">
        <v>1743</v>
      </c>
      <c r="P767" s="40">
        <v>80528</v>
      </c>
      <c r="Q767" s="40">
        <v>53565</v>
      </c>
      <c r="R767" s="40">
        <v>181608</v>
      </c>
      <c r="S767" s="40">
        <v>354356</v>
      </c>
      <c r="T767" s="40">
        <v>30000</v>
      </c>
      <c r="U767" s="40">
        <v>971793.63905325404</v>
      </c>
      <c r="V767" s="40">
        <v>0</v>
      </c>
      <c r="W767" s="45">
        <v>2527189.6390532502</v>
      </c>
      <c r="X767" s="46">
        <v>7.1134150528227096</v>
      </c>
    </row>
    <row r="768" spans="1:24" s="4" customFormat="1" ht="15" customHeight="1">
      <c r="A768" s="28" t="s">
        <v>2168</v>
      </c>
      <c r="B768" s="29">
        <v>3271.01</v>
      </c>
      <c r="C768" s="30" t="s">
        <v>2343</v>
      </c>
      <c r="D768" s="2">
        <v>4947772695</v>
      </c>
      <c r="E768" s="2" t="s">
        <v>14</v>
      </c>
      <c r="F768" s="2" t="s">
        <v>2344</v>
      </c>
      <c r="G768" s="28" t="s">
        <v>9</v>
      </c>
      <c r="H768" s="2" t="s">
        <v>23</v>
      </c>
      <c r="I768" s="2">
        <v>1</v>
      </c>
      <c r="J768" s="2"/>
      <c r="K768" s="2">
        <v>1406</v>
      </c>
      <c r="L768" s="35">
        <v>4599040.0599999996</v>
      </c>
      <c r="M768" s="36">
        <v>950</v>
      </c>
      <c r="N768" s="40">
        <v>484823</v>
      </c>
      <c r="O768" s="40">
        <v>643</v>
      </c>
      <c r="P768" s="40">
        <v>10134</v>
      </c>
      <c r="Q768" s="40">
        <v>16016</v>
      </c>
      <c r="R768" s="40">
        <v>101333</v>
      </c>
      <c r="S768" s="40">
        <v>354356</v>
      </c>
      <c r="T768" s="40">
        <v>30000</v>
      </c>
      <c r="U768" s="40">
        <v>568628.00875273498</v>
      </c>
      <c r="V768" s="40">
        <v>0</v>
      </c>
      <c r="W768" s="45">
        <v>1565933.00875273</v>
      </c>
      <c r="X768" s="46">
        <v>34.049127390134899</v>
      </c>
    </row>
    <row r="769" spans="1:24" s="4" customFormat="1" ht="15" customHeight="1">
      <c r="A769" s="28" t="s">
        <v>2168</v>
      </c>
      <c r="B769" s="29">
        <v>3271.01</v>
      </c>
      <c r="C769" s="30" t="s">
        <v>2345</v>
      </c>
      <c r="D769" s="2">
        <v>4950058273</v>
      </c>
      <c r="E769" s="2" t="s">
        <v>14</v>
      </c>
      <c r="F769" s="2" t="s">
        <v>2346</v>
      </c>
      <c r="G769" s="28" t="s">
        <v>9</v>
      </c>
      <c r="H769" s="2" t="s">
        <v>23</v>
      </c>
      <c r="I769" s="2">
        <v>2</v>
      </c>
      <c r="J769" s="2"/>
      <c r="K769" s="2">
        <v>11448.25</v>
      </c>
      <c r="L769" s="35">
        <v>37447340.232500002</v>
      </c>
      <c r="M769" s="36">
        <v>575</v>
      </c>
      <c r="N769" s="40">
        <v>277176.659090909</v>
      </c>
      <c r="O769" s="40">
        <v>386.29545454545502</v>
      </c>
      <c r="P769" s="40">
        <v>6076.1818181818198</v>
      </c>
      <c r="Q769" s="40">
        <v>9590.4772727272702</v>
      </c>
      <c r="R769" s="40">
        <v>58003.386363636397</v>
      </c>
      <c r="S769" s="40">
        <v>185231.545454545</v>
      </c>
      <c r="T769" s="40">
        <v>30000</v>
      </c>
      <c r="U769" s="40">
        <v>344169.58424507699</v>
      </c>
      <c r="V769" s="40">
        <v>0</v>
      </c>
      <c r="W769" s="45">
        <v>910634.12969962205</v>
      </c>
      <c r="X769" s="46">
        <v>2.4317725212144601</v>
      </c>
    </row>
    <row r="770" spans="1:24" s="4" customFormat="1" ht="15" customHeight="1">
      <c r="A770" s="28" t="s">
        <v>2168</v>
      </c>
      <c r="B770" s="29">
        <v>3271.01</v>
      </c>
      <c r="C770" s="30" t="s">
        <v>2345</v>
      </c>
      <c r="D770" s="2">
        <v>4950210610</v>
      </c>
      <c r="E770" s="2" t="s">
        <v>14</v>
      </c>
      <c r="F770" s="2" t="s">
        <v>2346</v>
      </c>
      <c r="G770" s="28" t="s">
        <v>9</v>
      </c>
      <c r="H770" s="2" t="s">
        <v>23</v>
      </c>
      <c r="I770" s="2">
        <v>2</v>
      </c>
      <c r="J770" s="2"/>
      <c r="K770" s="2">
        <v>10452.75</v>
      </c>
      <c r="L770" s="35">
        <v>34191049.777500004</v>
      </c>
      <c r="M770" s="36">
        <v>525</v>
      </c>
      <c r="N770" s="40">
        <v>253074.340909091</v>
      </c>
      <c r="O770" s="40">
        <v>352.70454545454498</v>
      </c>
      <c r="P770" s="40">
        <v>5547.8181818181802</v>
      </c>
      <c r="Q770" s="40">
        <v>8756.5227272727298</v>
      </c>
      <c r="R770" s="40">
        <v>52959.613636363603</v>
      </c>
      <c r="S770" s="40">
        <v>169124.454545455</v>
      </c>
      <c r="T770" s="40">
        <v>30000</v>
      </c>
      <c r="U770" s="40">
        <v>314241.79431072198</v>
      </c>
      <c r="V770" s="40">
        <v>0</v>
      </c>
      <c r="W770" s="45">
        <v>834057.24885617697</v>
      </c>
      <c r="X770" s="46">
        <v>2.43940228300636</v>
      </c>
    </row>
    <row r="771" spans="1:24" s="4" customFormat="1" ht="15" customHeight="1">
      <c r="A771" s="28" t="s">
        <v>2168</v>
      </c>
      <c r="B771" s="29">
        <v>3271.01</v>
      </c>
      <c r="C771" s="30" t="s">
        <v>2347</v>
      </c>
      <c r="D771" s="2">
        <v>4949818309</v>
      </c>
      <c r="E771" s="2" t="s">
        <v>14</v>
      </c>
      <c r="F771" s="2" t="s">
        <v>2348</v>
      </c>
      <c r="G771" s="28" t="s">
        <v>9</v>
      </c>
      <c r="H771" s="2" t="s">
        <v>23</v>
      </c>
      <c r="I771" s="2">
        <v>2</v>
      </c>
      <c r="J771" s="2"/>
      <c r="K771" s="2">
        <v>5027.12</v>
      </c>
      <c r="L771" s="35">
        <v>16443759.791200001</v>
      </c>
      <c r="M771" s="36">
        <v>1528</v>
      </c>
      <c r="N771" s="40">
        <v>693769</v>
      </c>
      <c r="O771" s="40">
        <v>1133</v>
      </c>
      <c r="P771" s="40">
        <v>94678</v>
      </c>
      <c r="Q771" s="40">
        <v>27377</v>
      </c>
      <c r="R771" s="40">
        <v>115411</v>
      </c>
      <c r="S771" s="40">
        <v>354356</v>
      </c>
      <c r="T771" s="40">
        <v>30000</v>
      </c>
      <c r="U771" s="40">
        <v>589246.30177514802</v>
      </c>
      <c r="V771" s="40">
        <v>0</v>
      </c>
      <c r="W771" s="45">
        <v>1905970.30177515</v>
      </c>
      <c r="X771" s="46">
        <v>11.590842520061299</v>
      </c>
    </row>
    <row r="772" spans="1:24" s="4" customFormat="1" ht="15" customHeight="1">
      <c r="A772" s="28" t="s">
        <v>2168</v>
      </c>
      <c r="B772" s="29">
        <v>3271.01</v>
      </c>
      <c r="C772" s="30" t="s">
        <v>2353</v>
      </c>
      <c r="D772" s="2">
        <v>4950058280</v>
      </c>
      <c r="E772" s="2" t="s">
        <v>14</v>
      </c>
      <c r="F772" s="78" t="s">
        <v>2354</v>
      </c>
      <c r="G772" s="28" t="s">
        <v>9</v>
      </c>
      <c r="H772" s="2" t="s">
        <v>23</v>
      </c>
      <c r="I772" s="2">
        <v>1</v>
      </c>
      <c r="J772" s="2"/>
      <c r="K772" s="2">
        <v>1170</v>
      </c>
      <c r="L772" s="35">
        <v>3827081.7</v>
      </c>
      <c r="M772" s="36">
        <v>750</v>
      </c>
      <c r="N772" s="40">
        <v>477549</v>
      </c>
      <c r="O772" s="40">
        <v>514</v>
      </c>
      <c r="P772" s="40">
        <v>8030</v>
      </c>
      <c r="Q772" s="40">
        <v>12733</v>
      </c>
      <c r="R772" s="40">
        <v>98876</v>
      </c>
      <c r="S772" s="40">
        <v>354356</v>
      </c>
      <c r="T772" s="40">
        <v>30000</v>
      </c>
      <c r="U772" s="40">
        <v>1367700</v>
      </c>
      <c r="V772" s="40">
        <v>0</v>
      </c>
      <c r="W772" s="45">
        <v>2349758</v>
      </c>
      <c r="X772" s="46">
        <v>61.398166650061299</v>
      </c>
    </row>
    <row r="773" spans="1:24" s="4" customFormat="1" ht="15" customHeight="1">
      <c r="A773" s="28" t="s">
        <v>2168</v>
      </c>
      <c r="B773" s="29">
        <v>3271.01</v>
      </c>
      <c r="C773" s="30" t="s">
        <v>2355</v>
      </c>
      <c r="D773" s="2">
        <v>4950090422</v>
      </c>
      <c r="E773" s="2" t="s">
        <v>14</v>
      </c>
      <c r="F773" s="78" t="s">
        <v>2356</v>
      </c>
      <c r="G773" s="28" t="s">
        <v>9</v>
      </c>
      <c r="H773" s="2" t="s">
        <v>23</v>
      </c>
      <c r="I773" s="2">
        <v>1</v>
      </c>
      <c r="J773" s="2"/>
      <c r="K773" s="2">
        <v>1266.6500000000001</v>
      </c>
      <c r="L773" s="35">
        <v>4143224.8165000002</v>
      </c>
      <c r="M773" s="36">
        <v>235</v>
      </c>
      <c r="N773" s="40">
        <v>478504</v>
      </c>
      <c r="O773" s="40">
        <v>161</v>
      </c>
      <c r="P773" s="40">
        <v>2687</v>
      </c>
      <c r="Q773" s="40">
        <v>4234</v>
      </c>
      <c r="R773" s="40">
        <v>89971</v>
      </c>
      <c r="S773" s="40">
        <v>354356</v>
      </c>
      <c r="T773" s="40">
        <v>30000</v>
      </c>
      <c r="U773" s="40">
        <v>140660.612691466</v>
      </c>
      <c r="V773" s="40">
        <v>0</v>
      </c>
      <c r="W773" s="45">
        <v>1100573.61269147</v>
      </c>
      <c r="X773" s="46">
        <v>26.563212508009101</v>
      </c>
    </row>
    <row r="774" spans="1:24" s="4" customFormat="1" ht="15" customHeight="1">
      <c r="A774" s="28" t="s">
        <v>2168</v>
      </c>
      <c r="B774" s="29">
        <v>3271.01</v>
      </c>
      <c r="C774" s="30" t="s">
        <v>2362</v>
      </c>
      <c r="D774" s="2">
        <v>4950058277</v>
      </c>
      <c r="E774" s="2" t="s">
        <v>14</v>
      </c>
      <c r="F774" s="2" t="s">
        <v>2363</v>
      </c>
      <c r="G774" s="28" t="s">
        <v>9</v>
      </c>
      <c r="H774" s="2" t="s">
        <v>23</v>
      </c>
      <c r="I774" s="2">
        <v>2</v>
      </c>
      <c r="J774" s="2"/>
      <c r="K774" s="2">
        <v>2748</v>
      </c>
      <c r="L774" s="35">
        <v>8988735.4800000004</v>
      </c>
      <c r="M774" s="36">
        <v>1200</v>
      </c>
      <c r="N774" s="40">
        <v>377021</v>
      </c>
      <c r="O774" s="40">
        <v>826</v>
      </c>
      <c r="P774" s="40">
        <v>15772</v>
      </c>
      <c r="Q774" s="40">
        <v>25686</v>
      </c>
      <c r="R774" s="40">
        <v>109812</v>
      </c>
      <c r="S774" s="40">
        <v>354356</v>
      </c>
      <c r="T774" s="40">
        <v>30000</v>
      </c>
      <c r="U774" s="40">
        <v>1053726.31578947</v>
      </c>
      <c r="V774" s="40">
        <v>0</v>
      </c>
      <c r="W774" s="45">
        <v>1967199.31578947</v>
      </c>
      <c r="X774" s="46">
        <v>21.885161935919701</v>
      </c>
    </row>
    <row r="775" spans="1:24" s="4" customFormat="1" ht="15" customHeight="1">
      <c r="A775" s="28" t="s">
        <v>2168</v>
      </c>
      <c r="B775" s="29">
        <v>3271.01</v>
      </c>
      <c r="C775" s="30" t="s">
        <v>2366</v>
      </c>
      <c r="D775" s="2">
        <v>4949681926</v>
      </c>
      <c r="E775" s="2" t="s">
        <v>14</v>
      </c>
      <c r="F775" s="2" t="s">
        <v>2367</v>
      </c>
      <c r="G775" s="28" t="s">
        <v>5</v>
      </c>
      <c r="H775" s="2" t="s">
        <v>17</v>
      </c>
      <c r="I775" s="2">
        <v>1</v>
      </c>
      <c r="J775" s="2" t="s">
        <v>2368</v>
      </c>
      <c r="K775" s="2">
        <v>4100</v>
      </c>
      <c r="L775" s="35">
        <v>13411141</v>
      </c>
      <c r="M775" s="36">
        <v>400</v>
      </c>
      <c r="N775" s="40">
        <v>9279.6893203883501</v>
      </c>
      <c r="O775" s="40">
        <v>12468.685714285701</v>
      </c>
      <c r="P775" s="40">
        <v>65202.213592232998</v>
      </c>
      <c r="Q775" s="40">
        <v>2837.4</v>
      </c>
      <c r="R775" s="40">
        <v>30357.038834951501</v>
      </c>
      <c r="S775" s="40">
        <v>6880.69902912621</v>
      </c>
      <c r="T775" s="40">
        <v>30000</v>
      </c>
      <c r="U775" s="40">
        <v>110466.990291262</v>
      </c>
      <c r="V775" s="40">
        <v>0</v>
      </c>
      <c r="W775" s="45">
        <v>267492.71678224701</v>
      </c>
      <c r="X775" s="46">
        <v>1.9945559947676801</v>
      </c>
    </row>
    <row r="776" spans="1:24" s="4" customFormat="1" ht="15" customHeight="1">
      <c r="A776" s="28" t="s">
        <v>2168</v>
      </c>
      <c r="B776" s="29">
        <v>3271.01</v>
      </c>
      <c r="C776" s="30" t="s">
        <v>2366</v>
      </c>
      <c r="D776" s="2">
        <v>4949719623</v>
      </c>
      <c r="E776" s="2" t="s">
        <v>14</v>
      </c>
      <c r="F776" s="2" t="s">
        <v>2367</v>
      </c>
      <c r="G776" s="28" t="s">
        <v>5</v>
      </c>
      <c r="H776" s="2" t="s">
        <v>17</v>
      </c>
      <c r="I776" s="2">
        <v>1</v>
      </c>
      <c r="J776" s="2" t="s">
        <v>2368</v>
      </c>
      <c r="K776" s="2">
        <v>43750</v>
      </c>
      <c r="L776" s="35">
        <v>143106687.5</v>
      </c>
      <c r="M776" s="36">
        <v>7000</v>
      </c>
      <c r="N776" s="40">
        <v>162394.56310679601</v>
      </c>
      <c r="O776" s="40">
        <v>218202</v>
      </c>
      <c r="P776" s="40">
        <v>1141038.7378640799</v>
      </c>
      <c r="Q776" s="40">
        <v>49654.5</v>
      </c>
      <c r="R776" s="40">
        <v>531256.67961165099</v>
      </c>
      <c r="S776" s="40">
        <v>120412.233009709</v>
      </c>
      <c r="T776" s="40">
        <v>30000</v>
      </c>
      <c r="U776" s="40">
        <v>1933172.33009709</v>
      </c>
      <c r="V776" s="40">
        <v>0</v>
      </c>
      <c r="W776" s="45">
        <v>4186131.0436893301</v>
      </c>
      <c r="X776" s="46">
        <v>2.92518198612439</v>
      </c>
    </row>
    <row r="777" spans="1:24" s="4" customFormat="1" ht="15" customHeight="1">
      <c r="A777" s="28" t="s">
        <v>2168</v>
      </c>
      <c r="B777" s="29">
        <v>3271.01</v>
      </c>
      <c r="C777" s="30" t="s">
        <v>2366</v>
      </c>
      <c r="D777" s="2">
        <v>4950058276</v>
      </c>
      <c r="E777" s="2" t="s">
        <v>14</v>
      </c>
      <c r="F777" s="2" t="s">
        <v>2367</v>
      </c>
      <c r="G777" s="28" t="s">
        <v>5</v>
      </c>
      <c r="H777" s="2" t="s">
        <v>17</v>
      </c>
      <c r="I777" s="2">
        <v>1</v>
      </c>
      <c r="J777" s="2" t="s">
        <v>2368</v>
      </c>
      <c r="K777" s="2">
        <v>18499.2</v>
      </c>
      <c r="L777" s="35">
        <v>60511068.192000002</v>
      </c>
      <c r="M777" s="36">
        <v>2460</v>
      </c>
      <c r="N777" s="40">
        <v>153114.87378640799</v>
      </c>
      <c r="O777" s="40">
        <v>76682.417142857099</v>
      </c>
      <c r="P777" s="40">
        <v>1075836.52427184</v>
      </c>
      <c r="Q777" s="40">
        <v>17450.009999999998</v>
      </c>
      <c r="R777" s="40">
        <v>500899.640776699</v>
      </c>
      <c r="S777" s="40">
        <v>113531.533980583</v>
      </c>
      <c r="T777" s="40">
        <v>30000</v>
      </c>
      <c r="U777" s="40">
        <v>1822705.33980583</v>
      </c>
      <c r="V777" s="40">
        <v>0</v>
      </c>
      <c r="W777" s="45">
        <v>3790220.3397642202</v>
      </c>
      <c r="X777" s="46">
        <v>6.2636810967176304</v>
      </c>
    </row>
    <row r="778" spans="1:24" s="4" customFormat="1" ht="15" customHeight="1">
      <c r="A778" s="28" t="s">
        <v>2168</v>
      </c>
      <c r="B778" s="29">
        <v>3271.01</v>
      </c>
      <c r="C778" s="30" t="s">
        <v>2366</v>
      </c>
      <c r="D778" s="2">
        <v>4950058257</v>
      </c>
      <c r="E778" s="2" t="s">
        <v>14</v>
      </c>
      <c r="F778" s="2" t="s">
        <v>2367</v>
      </c>
      <c r="G778" s="28" t="s">
        <v>5</v>
      </c>
      <c r="H778" s="2" t="s">
        <v>17</v>
      </c>
      <c r="I778" s="2">
        <v>1</v>
      </c>
      <c r="J778" s="2" t="s">
        <v>2368</v>
      </c>
      <c r="K778" s="2">
        <v>13969</v>
      </c>
      <c r="L778" s="35">
        <v>45692738.689999998</v>
      </c>
      <c r="M778" s="36">
        <v>1600</v>
      </c>
      <c r="N778" s="40">
        <v>57070.089320388302</v>
      </c>
      <c r="O778" s="40">
        <v>49874.742857142897</v>
      </c>
      <c r="P778" s="40">
        <v>400993.61359223298</v>
      </c>
      <c r="Q778" s="40">
        <v>11349.6</v>
      </c>
      <c r="R778" s="40">
        <v>186698.33883495099</v>
      </c>
      <c r="S778" s="40">
        <v>42316.299029126203</v>
      </c>
      <c r="T778" s="40">
        <v>30000</v>
      </c>
      <c r="U778" s="40">
        <v>679371.99029126205</v>
      </c>
      <c r="V778" s="40">
        <v>0</v>
      </c>
      <c r="W778" s="45">
        <v>1457674.6739250999</v>
      </c>
      <c r="X778" s="46">
        <v>3.1901670062165</v>
      </c>
    </row>
    <row r="779" spans="1:24" s="4" customFormat="1" ht="15" customHeight="1">
      <c r="A779" s="28" t="s">
        <v>2168</v>
      </c>
      <c r="B779" s="29">
        <v>3271.01</v>
      </c>
      <c r="C779" s="30" t="s">
        <v>2366</v>
      </c>
      <c r="D779" s="2">
        <v>4950090421</v>
      </c>
      <c r="E779" s="2" t="s">
        <v>14</v>
      </c>
      <c r="F779" s="2" t="s">
        <v>2367</v>
      </c>
      <c r="G779" s="28" t="s">
        <v>5</v>
      </c>
      <c r="H779" s="2" t="s">
        <v>17</v>
      </c>
      <c r="I779" s="2">
        <v>1</v>
      </c>
      <c r="J779" s="2" t="s">
        <v>2368</v>
      </c>
      <c r="K779" s="2">
        <v>4298</v>
      </c>
      <c r="L779" s="35">
        <v>14058800.98</v>
      </c>
      <c r="M779" s="36">
        <v>1400</v>
      </c>
      <c r="N779" s="40">
        <v>37118.7572815534</v>
      </c>
      <c r="O779" s="40">
        <v>43640.4</v>
      </c>
      <c r="P779" s="40">
        <v>260808.85436893199</v>
      </c>
      <c r="Q779" s="40">
        <v>9930.9</v>
      </c>
      <c r="R779" s="40">
        <v>121430.15533980601</v>
      </c>
      <c r="S779" s="40">
        <v>27522.796116504898</v>
      </c>
      <c r="T779" s="40">
        <v>30000</v>
      </c>
      <c r="U779" s="40">
        <v>441867.961165049</v>
      </c>
      <c r="V779" s="40">
        <v>0</v>
      </c>
      <c r="W779" s="45">
        <v>972319.82427184505</v>
      </c>
      <c r="X779" s="46">
        <v>6.9160935250101598</v>
      </c>
    </row>
    <row r="780" spans="1:24" s="4" customFormat="1" ht="15" customHeight="1">
      <c r="A780" s="28" t="s">
        <v>2168</v>
      </c>
      <c r="B780" s="29">
        <v>3271.01</v>
      </c>
      <c r="C780" s="30" t="s">
        <v>2366</v>
      </c>
      <c r="D780" s="2">
        <v>4950090421</v>
      </c>
      <c r="E780" s="2" t="s">
        <v>14</v>
      </c>
      <c r="F780" s="2" t="s">
        <v>2367</v>
      </c>
      <c r="G780" s="28" t="s">
        <v>5</v>
      </c>
      <c r="H780" s="2" t="s">
        <v>17</v>
      </c>
      <c r="I780" s="2">
        <v>1</v>
      </c>
      <c r="J780" s="2" t="s">
        <v>2368</v>
      </c>
      <c r="K780" s="2">
        <v>2528.4</v>
      </c>
      <c r="L780" s="35">
        <v>8270421.6840000004</v>
      </c>
      <c r="M780" s="36">
        <v>420</v>
      </c>
      <c r="N780" s="40">
        <v>32478.912621359199</v>
      </c>
      <c r="O780" s="40">
        <v>13092.12</v>
      </c>
      <c r="P780" s="40">
        <v>228207.74757281601</v>
      </c>
      <c r="Q780" s="40">
        <v>2979.27</v>
      </c>
      <c r="R780" s="40">
        <v>106251.13592233</v>
      </c>
      <c r="S780" s="40">
        <v>24082.446601941701</v>
      </c>
      <c r="T780" s="40">
        <v>30000</v>
      </c>
      <c r="U780" s="40">
        <v>386634.46601941698</v>
      </c>
      <c r="V780" s="40">
        <v>0</v>
      </c>
      <c r="W780" s="45">
        <v>823726.09873786406</v>
      </c>
      <c r="X780" s="46">
        <v>9.9599044669203298</v>
      </c>
    </row>
    <row r="781" spans="1:24" s="4" customFormat="1" ht="15" customHeight="1">
      <c r="A781" s="28" t="s">
        <v>2168</v>
      </c>
      <c r="B781" s="29">
        <v>3271.01</v>
      </c>
      <c r="C781" s="30" t="s">
        <v>2366</v>
      </c>
      <c r="D781" s="2">
        <v>4950090421</v>
      </c>
      <c r="E781" s="2" t="s">
        <v>14</v>
      </c>
      <c r="F781" s="2" t="s">
        <v>2367</v>
      </c>
      <c r="G781" s="28" t="s">
        <v>5</v>
      </c>
      <c r="H781" s="2" t="s">
        <v>17</v>
      </c>
      <c r="I781" s="2">
        <v>1</v>
      </c>
      <c r="J781" s="2" t="s">
        <v>2368</v>
      </c>
      <c r="K781" s="2">
        <v>2528.4</v>
      </c>
      <c r="L781" s="35">
        <v>8270421.6840000004</v>
      </c>
      <c r="M781" s="36">
        <v>420</v>
      </c>
      <c r="N781" s="40">
        <v>9743.6737864077695</v>
      </c>
      <c r="O781" s="40">
        <v>13092.12</v>
      </c>
      <c r="P781" s="40">
        <v>68462.3242718447</v>
      </c>
      <c r="Q781" s="40">
        <v>2979.27</v>
      </c>
      <c r="R781" s="40">
        <v>31875.740776699</v>
      </c>
      <c r="S781" s="40">
        <v>7224.7339805825204</v>
      </c>
      <c r="T781" s="40">
        <v>30000</v>
      </c>
      <c r="U781" s="40">
        <v>115990.339805825</v>
      </c>
      <c r="V781" s="40">
        <v>0</v>
      </c>
      <c r="W781" s="45">
        <v>279368.20262135903</v>
      </c>
      <c r="X781" s="46">
        <v>3.3779196913481</v>
      </c>
    </row>
    <row r="782" spans="1:24" s="4" customFormat="1" ht="15" customHeight="1">
      <c r="A782" s="28" t="s">
        <v>2168</v>
      </c>
      <c r="B782" s="29">
        <v>3271.01</v>
      </c>
      <c r="C782" s="30" t="s">
        <v>2366</v>
      </c>
      <c r="D782" s="2">
        <v>4950057198</v>
      </c>
      <c r="E782" s="2" t="s">
        <v>14</v>
      </c>
      <c r="F782" s="2" t="s">
        <v>2367</v>
      </c>
      <c r="G782" s="28" t="s">
        <v>5</v>
      </c>
      <c r="H782" s="2" t="s">
        <v>17</v>
      </c>
      <c r="I782" s="2">
        <v>1</v>
      </c>
      <c r="J782" s="2" t="s">
        <v>2368</v>
      </c>
      <c r="K782" s="2">
        <v>5754</v>
      </c>
      <c r="L782" s="35">
        <v>18821391.539999999</v>
      </c>
      <c r="M782" s="36">
        <v>300</v>
      </c>
      <c r="N782" s="40">
        <v>6959.7669902912603</v>
      </c>
      <c r="O782" s="40">
        <v>9351.5142857142891</v>
      </c>
      <c r="P782" s="40">
        <v>48901.660194174801</v>
      </c>
      <c r="Q782" s="40">
        <v>2128.0500000000002</v>
      </c>
      <c r="R782" s="40">
        <v>22768.529126213602</v>
      </c>
      <c r="S782" s="40">
        <v>5160.5242718446598</v>
      </c>
      <c r="T782" s="40">
        <v>30000</v>
      </c>
      <c r="U782" s="40">
        <v>82850.242718446607</v>
      </c>
      <c r="V782" s="40">
        <v>0</v>
      </c>
      <c r="W782" s="45">
        <v>208120.28758668501</v>
      </c>
      <c r="X782" s="46">
        <v>1.1057646143983499</v>
      </c>
    </row>
    <row r="783" spans="1:24" s="4" customFormat="1" ht="15" customHeight="1">
      <c r="A783" s="28" t="s">
        <v>2168</v>
      </c>
      <c r="B783" s="29">
        <v>3271.01</v>
      </c>
      <c r="C783" s="30" t="s">
        <v>2369</v>
      </c>
      <c r="D783" s="2">
        <v>4948775148</v>
      </c>
      <c r="E783" s="2" t="s">
        <v>14</v>
      </c>
      <c r="F783" s="78" t="s">
        <v>2370</v>
      </c>
      <c r="G783" s="28" t="s">
        <v>5</v>
      </c>
      <c r="H783" s="2" t="s">
        <v>20</v>
      </c>
      <c r="I783" s="2">
        <v>1</v>
      </c>
      <c r="J783" s="2" t="s">
        <v>2371</v>
      </c>
      <c r="K783" s="2">
        <v>2925</v>
      </c>
      <c r="L783" s="35">
        <v>9567704.25</v>
      </c>
      <c r="M783" s="36">
        <v>4500</v>
      </c>
      <c r="N783" s="40">
        <v>387824</v>
      </c>
      <c r="O783" s="40">
        <v>332655</v>
      </c>
      <c r="P783" s="40">
        <v>217391</v>
      </c>
      <c r="Q783" s="40">
        <v>99309</v>
      </c>
      <c r="R783" s="40">
        <v>635924</v>
      </c>
      <c r="S783" s="40">
        <v>354356</v>
      </c>
      <c r="T783" s="40">
        <v>30000</v>
      </c>
      <c r="U783" s="40">
        <v>3220400</v>
      </c>
      <c r="V783" s="40">
        <v>0</v>
      </c>
      <c r="W783" s="45">
        <v>5277859</v>
      </c>
      <c r="X783" s="46">
        <v>55.163274930869697</v>
      </c>
    </row>
    <row r="784" spans="1:24" s="4" customFormat="1" ht="15" customHeight="1">
      <c r="A784" s="28" t="s">
        <v>2168</v>
      </c>
      <c r="B784" s="29">
        <v>3271.01</v>
      </c>
      <c r="C784" s="30" t="s">
        <v>2382</v>
      </c>
      <c r="D784" s="2">
        <v>4949532993</v>
      </c>
      <c r="E784" s="2" t="s">
        <v>14</v>
      </c>
      <c r="F784" s="2" t="s">
        <v>2383</v>
      </c>
      <c r="G784" s="28" t="s">
        <v>5</v>
      </c>
      <c r="H784" s="2" t="s">
        <v>20</v>
      </c>
      <c r="I784" s="2">
        <v>1</v>
      </c>
      <c r="J784" s="2" t="s">
        <v>2384</v>
      </c>
      <c r="K784" s="2">
        <v>123336</v>
      </c>
      <c r="L784" s="35">
        <v>403433289.36000001</v>
      </c>
      <c r="M784" s="36">
        <v>7200</v>
      </c>
      <c r="N784" s="40">
        <v>322409</v>
      </c>
      <c r="O784" s="40">
        <v>332655</v>
      </c>
      <c r="P784" s="40">
        <v>0</v>
      </c>
      <c r="Q784" s="40">
        <v>99309</v>
      </c>
      <c r="R784" s="40">
        <v>536328</v>
      </c>
      <c r="S784" s="40">
        <v>354356</v>
      </c>
      <c r="T784" s="40">
        <v>30000</v>
      </c>
      <c r="U784" s="40">
        <v>2900300</v>
      </c>
      <c r="V784" s="40">
        <v>0</v>
      </c>
      <c r="W784" s="45">
        <v>4575357</v>
      </c>
      <c r="X784" s="46">
        <v>1.1341049736520901</v>
      </c>
    </row>
    <row r="785" spans="1:24" s="4" customFormat="1" ht="15" customHeight="1">
      <c r="A785" s="28" t="s">
        <v>2168</v>
      </c>
      <c r="B785" s="29">
        <v>3271.01</v>
      </c>
      <c r="C785" s="30" t="s">
        <v>2385</v>
      </c>
      <c r="D785" s="2">
        <v>4949222855</v>
      </c>
      <c r="E785" s="2" t="s">
        <v>14</v>
      </c>
      <c r="F785" s="78" t="s">
        <v>2386</v>
      </c>
      <c r="G785" s="28" t="s">
        <v>5</v>
      </c>
      <c r="H785" s="2" t="s">
        <v>26</v>
      </c>
      <c r="I785" s="2">
        <v>2</v>
      </c>
      <c r="J785" s="2" t="s">
        <v>2387</v>
      </c>
      <c r="K785" s="2">
        <v>70052.399999999994</v>
      </c>
      <c r="L785" s="35">
        <v>229142100.92399999</v>
      </c>
      <c r="M785" s="36">
        <v>40260</v>
      </c>
      <c r="N785" s="40">
        <v>627749</v>
      </c>
      <c r="O785" s="40">
        <v>406762</v>
      </c>
      <c r="P785" s="40">
        <v>2343709</v>
      </c>
      <c r="Q785" s="40">
        <v>99309</v>
      </c>
      <c r="R785" s="40">
        <v>1193708</v>
      </c>
      <c r="S785" s="40">
        <v>354356</v>
      </c>
      <c r="T785" s="40">
        <v>30000</v>
      </c>
      <c r="U785" s="40">
        <v>0</v>
      </c>
      <c r="V785" s="40">
        <v>0</v>
      </c>
      <c r="W785" s="45">
        <v>5055593</v>
      </c>
      <c r="X785" s="46">
        <v>2.2063134533608899</v>
      </c>
    </row>
    <row r="786" spans="1:24" s="4" customFormat="1" ht="15" customHeight="1">
      <c r="A786" s="28" t="s">
        <v>2168</v>
      </c>
      <c r="B786" s="29">
        <v>3271.01</v>
      </c>
      <c r="C786" s="30" t="s">
        <v>2395</v>
      </c>
      <c r="D786" s="2">
        <v>4950058287</v>
      </c>
      <c r="E786" s="2" t="s">
        <v>14</v>
      </c>
      <c r="F786" s="2" t="s">
        <v>2396</v>
      </c>
      <c r="G786" s="28" t="s">
        <v>9</v>
      </c>
      <c r="H786" s="2" t="s">
        <v>23</v>
      </c>
      <c r="I786" s="2">
        <v>3</v>
      </c>
      <c r="J786" s="2"/>
      <c r="K786" s="2">
        <v>13760</v>
      </c>
      <c r="L786" s="35">
        <v>45009097.600000001</v>
      </c>
      <c r="M786" s="36">
        <v>2000</v>
      </c>
      <c r="N786" s="40">
        <v>1682797.0370370401</v>
      </c>
      <c r="O786" s="40">
        <v>1397.53086419753</v>
      </c>
      <c r="P786" s="40">
        <v>0</v>
      </c>
      <c r="Q786" s="40">
        <v>33906.172839506202</v>
      </c>
      <c r="R786" s="40">
        <v>130703.209876543</v>
      </c>
      <c r="S786" s="40">
        <v>349981.234567901</v>
      </c>
      <c r="T786" s="40">
        <v>30000</v>
      </c>
      <c r="U786" s="40">
        <v>1087614.0808344199</v>
      </c>
      <c r="V786" s="40">
        <v>0</v>
      </c>
      <c r="W786" s="45">
        <v>3316399.2660196102</v>
      </c>
      <c r="X786" s="46">
        <v>7.3682865084138198</v>
      </c>
    </row>
    <row r="787" spans="1:24" s="4" customFormat="1" ht="15" customHeight="1">
      <c r="A787" s="28" t="s">
        <v>2168</v>
      </c>
      <c r="B787" s="29">
        <v>3271.01</v>
      </c>
      <c r="C787" s="30" t="s">
        <v>2395</v>
      </c>
      <c r="D787" s="2">
        <v>4950210634</v>
      </c>
      <c r="E787" s="2" t="s">
        <v>14</v>
      </c>
      <c r="F787" s="2" t="s">
        <v>2396</v>
      </c>
      <c r="G787" s="28" t="s">
        <v>9</v>
      </c>
      <c r="H787" s="2" t="s">
        <v>23</v>
      </c>
      <c r="I787" s="2">
        <v>3</v>
      </c>
      <c r="J787" s="2"/>
      <c r="K787" s="2">
        <v>1253.75</v>
      </c>
      <c r="L787" s="35">
        <v>4101028.7875000001</v>
      </c>
      <c r="M787" s="36">
        <v>25</v>
      </c>
      <c r="N787" s="40">
        <v>21034.962962963</v>
      </c>
      <c r="O787" s="40">
        <v>17.469135802469101</v>
      </c>
      <c r="P787" s="40">
        <v>0</v>
      </c>
      <c r="Q787" s="40">
        <v>423.82716049382702</v>
      </c>
      <c r="R787" s="40">
        <v>1633.7901234567901</v>
      </c>
      <c r="S787" s="40">
        <v>4374.7654320987604</v>
      </c>
      <c r="T787" s="40">
        <v>30000</v>
      </c>
      <c r="U787" s="40">
        <v>13595.176010430199</v>
      </c>
      <c r="V787" s="40">
        <v>0</v>
      </c>
      <c r="W787" s="45">
        <v>71079.990825244997</v>
      </c>
      <c r="X787" s="46">
        <v>1.73322340584143</v>
      </c>
    </row>
    <row r="788" spans="1:24" s="4" customFormat="1" ht="15" customHeight="1">
      <c r="A788" s="28" t="s">
        <v>2168</v>
      </c>
      <c r="B788" s="29">
        <v>3271.01</v>
      </c>
      <c r="C788" s="30" t="s">
        <v>2402</v>
      </c>
      <c r="D788" s="2">
        <v>4950722783</v>
      </c>
      <c r="E788" s="2" t="s">
        <v>14</v>
      </c>
      <c r="F788" s="78" t="s">
        <v>2403</v>
      </c>
      <c r="G788" s="28" t="s">
        <v>13</v>
      </c>
      <c r="H788" s="2" t="s">
        <v>23</v>
      </c>
      <c r="I788" s="2">
        <v>1</v>
      </c>
      <c r="J788" s="2"/>
      <c r="K788" s="2">
        <v>906.6</v>
      </c>
      <c r="L788" s="35">
        <v>2965497.6660000002</v>
      </c>
      <c r="M788" s="36">
        <v>20</v>
      </c>
      <c r="N788" s="40">
        <v>89894</v>
      </c>
      <c r="O788" s="40">
        <v>0</v>
      </c>
      <c r="P788" s="40">
        <v>0</v>
      </c>
      <c r="Q788" s="40">
        <v>0</v>
      </c>
      <c r="R788" s="40">
        <v>1859.5</v>
      </c>
      <c r="S788" s="40">
        <v>88589</v>
      </c>
      <c r="T788" s="40">
        <v>30000</v>
      </c>
      <c r="U788" s="40">
        <v>9041.4678899082592</v>
      </c>
      <c r="V788" s="40">
        <v>0</v>
      </c>
      <c r="W788" s="45">
        <v>219383.967889908</v>
      </c>
      <c r="X788" s="46">
        <v>7.3978803087652896</v>
      </c>
    </row>
    <row r="789" spans="1:24" s="4" customFormat="1" ht="15" customHeight="1">
      <c r="A789" s="28" t="s">
        <v>2168</v>
      </c>
      <c r="B789" s="29">
        <v>3271.01</v>
      </c>
      <c r="C789" s="30" t="s">
        <v>2402</v>
      </c>
      <c r="D789" s="2">
        <v>4950722783</v>
      </c>
      <c r="E789" s="2" t="s">
        <v>14</v>
      </c>
      <c r="F789" s="78" t="s">
        <v>2403</v>
      </c>
      <c r="G789" s="28" t="s">
        <v>13</v>
      </c>
      <c r="H789" s="2" t="s">
        <v>23</v>
      </c>
      <c r="I789" s="2">
        <v>1</v>
      </c>
      <c r="J789" s="2"/>
      <c r="K789" s="2">
        <v>8137.2</v>
      </c>
      <c r="L789" s="35">
        <v>26616862.572000001</v>
      </c>
      <c r="M789" s="36">
        <v>60</v>
      </c>
      <c r="N789" s="40">
        <v>269682</v>
      </c>
      <c r="O789" s="40">
        <v>0</v>
      </c>
      <c r="P789" s="40">
        <v>0</v>
      </c>
      <c r="Q789" s="40">
        <v>0</v>
      </c>
      <c r="R789" s="40">
        <v>5578.5</v>
      </c>
      <c r="S789" s="40">
        <v>265767</v>
      </c>
      <c r="T789" s="40">
        <v>30000</v>
      </c>
      <c r="U789" s="40">
        <v>27124.403669724801</v>
      </c>
      <c r="V789" s="40">
        <v>0</v>
      </c>
      <c r="W789" s="45">
        <v>598151.90366972506</v>
      </c>
      <c r="X789" s="46">
        <v>2.2472667544932898</v>
      </c>
    </row>
    <row r="790" spans="1:24" s="4" customFormat="1" ht="15" customHeight="1">
      <c r="A790" s="28" t="s">
        <v>2168</v>
      </c>
      <c r="B790" s="29">
        <v>3271.01</v>
      </c>
      <c r="C790" s="30" t="s">
        <v>2404</v>
      </c>
      <c r="D790" s="2">
        <v>4950722783</v>
      </c>
      <c r="E790" s="2" t="s">
        <v>14</v>
      </c>
      <c r="F790" s="78" t="s">
        <v>2405</v>
      </c>
      <c r="G790" s="28" t="s">
        <v>13</v>
      </c>
      <c r="H790" s="2" t="s">
        <v>23</v>
      </c>
      <c r="I790" s="2">
        <v>1</v>
      </c>
      <c r="J790" s="2"/>
      <c r="K790" s="2">
        <v>638</v>
      </c>
      <c r="L790" s="35">
        <v>2086904.38</v>
      </c>
      <c r="M790" s="36">
        <v>20</v>
      </c>
      <c r="N790" s="40">
        <v>319996</v>
      </c>
      <c r="O790" s="40">
        <v>0</v>
      </c>
      <c r="P790" s="40">
        <v>0</v>
      </c>
      <c r="Q790" s="40">
        <v>0</v>
      </c>
      <c r="R790" s="40">
        <v>1280</v>
      </c>
      <c r="S790" s="40">
        <v>354356</v>
      </c>
      <c r="T790" s="40">
        <v>30000</v>
      </c>
      <c r="U790" s="40">
        <v>9041.4678899082592</v>
      </c>
      <c r="V790" s="40">
        <v>0</v>
      </c>
      <c r="W790" s="45">
        <v>714673.467889908</v>
      </c>
      <c r="X790" s="46">
        <v>34.245625949086801</v>
      </c>
    </row>
    <row r="791" spans="1:24" s="4" customFormat="1" ht="15" customHeight="1">
      <c r="A791" s="28" t="s">
        <v>2168</v>
      </c>
      <c r="B791" s="29">
        <v>3271.01</v>
      </c>
      <c r="C791" s="30" t="s">
        <v>2406</v>
      </c>
      <c r="D791" s="2">
        <v>4950365710</v>
      </c>
      <c r="E791" s="2" t="s">
        <v>14</v>
      </c>
      <c r="F791" s="78" t="s">
        <v>2407</v>
      </c>
      <c r="G791" s="28" t="s">
        <v>13</v>
      </c>
      <c r="H791" s="2" t="s">
        <v>23</v>
      </c>
      <c r="I791" s="2">
        <v>1</v>
      </c>
      <c r="J791" s="2"/>
      <c r="K791" s="2">
        <v>1424.8</v>
      </c>
      <c r="L791" s="35">
        <v>4660535.0480000004</v>
      </c>
      <c r="M791" s="36">
        <v>40</v>
      </c>
      <c r="N791" s="40">
        <v>159246</v>
      </c>
      <c r="O791" s="40">
        <v>0</v>
      </c>
      <c r="P791" s="40">
        <v>0</v>
      </c>
      <c r="Q791" s="40">
        <v>0</v>
      </c>
      <c r="R791" s="40">
        <v>636.79999999999995</v>
      </c>
      <c r="S791" s="40">
        <v>141742.39999999999</v>
      </c>
      <c r="T791" s="40">
        <v>30000</v>
      </c>
      <c r="U791" s="40">
        <v>18082.9357798165</v>
      </c>
      <c r="V791" s="40">
        <v>0</v>
      </c>
      <c r="W791" s="45">
        <v>349708.13577981602</v>
      </c>
      <c r="X791" s="46">
        <v>7.5036048903846</v>
      </c>
    </row>
    <row r="792" spans="1:24" s="4" customFormat="1" ht="15" customHeight="1">
      <c r="A792" s="28" t="s">
        <v>2168</v>
      </c>
      <c r="B792" s="29">
        <v>3271.01</v>
      </c>
      <c r="C792" s="30" t="s">
        <v>2406</v>
      </c>
      <c r="D792" s="2">
        <v>4950365710</v>
      </c>
      <c r="E792" s="2" t="s">
        <v>14</v>
      </c>
      <c r="F792" s="78" t="s">
        <v>2407</v>
      </c>
      <c r="G792" s="28" t="s">
        <v>13</v>
      </c>
      <c r="H792" s="2" t="s">
        <v>23</v>
      </c>
      <c r="I792" s="2">
        <v>1</v>
      </c>
      <c r="J792" s="2"/>
      <c r="K792" s="2">
        <v>1123</v>
      </c>
      <c r="L792" s="35">
        <v>3673344.23</v>
      </c>
      <c r="M792" s="36">
        <v>20</v>
      </c>
      <c r="N792" s="40">
        <v>79623</v>
      </c>
      <c r="O792" s="40">
        <v>0</v>
      </c>
      <c r="P792" s="40">
        <v>0</v>
      </c>
      <c r="Q792" s="40">
        <v>0</v>
      </c>
      <c r="R792" s="40">
        <v>318.39999999999998</v>
      </c>
      <c r="S792" s="40">
        <v>70871.199999999997</v>
      </c>
      <c r="T792" s="40">
        <v>30000</v>
      </c>
      <c r="U792" s="40">
        <v>9041.4678899082592</v>
      </c>
      <c r="V792" s="40">
        <v>0</v>
      </c>
      <c r="W792" s="45">
        <v>189854.06788990801</v>
      </c>
      <c r="X792" s="46">
        <v>5.1684257178889101</v>
      </c>
    </row>
    <row r="793" spans="1:24" s="4" customFormat="1" ht="15" customHeight="1">
      <c r="A793" s="28" t="s">
        <v>2168</v>
      </c>
      <c r="B793" s="29">
        <v>3271.01</v>
      </c>
      <c r="C793" s="30" t="s">
        <v>2406</v>
      </c>
      <c r="D793" s="2">
        <v>4950365710</v>
      </c>
      <c r="E793" s="2" t="s">
        <v>14</v>
      </c>
      <c r="F793" s="78" t="s">
        <v>2407</v>
      </c>
      <c r="G793" s="28" t="s">
        <v>13</v>
      </c>
      <c r="H793" s="2" t="s">
        <v>23</v>
      </c>
      <c r="I793" s="2">
        <v>1</v>
      </c>
      <c r="J793" s="2"/>
      <c r="K793" s="2">
        <v>2714.4</v>
      </c>
      <c r="L793" s="35">
        <v>8878829.5439999998</v>
      </c>
      <c r="M793" s="36">
        <v>40</v>
      </c>
      <c r="N793" s="40">
        <v>159246</v>
      </c>
      <c r="O793" s="40">
        <v>0</v>
      </c>
      <c r="P793" s="40">
        <v>0</v>
      </c>
      <c r="Q793" s="40">
        <v>0</v>
      </c>
      <c r="R793" s="40">
        <v>636.79999999999995</v>
      </c>
      <c r="S793" s="40">
        <v>141742.39999999999</v>
      </c>
      <c r="T793" s="40">
        <v>30000</v>
      </c>
      <c r="U793" s="40">
        <v>18082.9357798165</v>
      </c>
      <c r="V793" s="40">
        <v>0</v>
      </c>
      <c r="W793" s="45">
        <v>349708.13577981602</v>
      </c>
      <c r="X793" s="46">
        <v>3.9386738313512999</v>
      </c>
    </row>
    <row r="794" spans="1:24" s="4" customFormat="1" ht="15" customHeight="1">
      <c r="A794" s="28" t="s">
        <v>2168</v>
      </c>
      <c r="B794" s="29">
        <v>3271.01</v>
      </c>
      <c r="C794" s="30" t="s">
        <v>2408</v>
      </c>
      <c r="D794" s="2">
        <v>4950722783</v>
      </c>
      <c r="E794" s="2" t="s">
        <v>14</v>
      </c>
      <c r="F794" s="2" t="s">
        <v>2409</v>
      </c>
      <c r="G794" s="28" t="s">
        <v>13</v>
      </c>
      <c r="H794" s="2" t="s">
        <v>23</v>
      </c>
      <c r="I794" s="2">
        <v>1</v>
      </c>
      <c r="J794" s="2"/>
      <c r="K794" s="2">
        <v>1123</v>
      </c>
      <c r="L794" s="35">
        <v>3673344.23</v>
      </c>
      <c r="M794" s="36">
        <v>20</v>
      </c>
      <c r="N794" s="40">
        <v>78998.122000000003</v>
      </c>
      <c r="O794" s="40">
        <v>0</v>
      </c>
      <c r="P794" s="40">
        <v>0</v>
      </c>
      <c r="Q794" s="40">
        <v>0</v>
      </c>
      <c r="R794" s="40">
        <v>2116</v>
      </c>
      <c r="S794" s="40">
        <v>70871.199999999997</v>
      </c>
      <c r="T794" s="40">
        <v>30000</v>
      </c>
      <c r="U794" s="40">
        <v>9041.4678899082592</v>
      </c>
      <c r="V794" s="40">
        <v>0</v>
      </c>
      <c r="W794" s="45">
        <v>191026.78988990799</v>
      </c>
      <c r="X794" s="46">
        <v>5.2003509044919598</v>
      </c>
    </row>
    <row r="795" spans="1:24" s="4" customFormat="1" ht="15" customHeight="1">
      <c r="A795" s="28" t="s">
        <v>2168</v>
      </c>
      <c r="B795" s="29">
        <v>3271.01</v>
      </c>
      <c r="C795" s="30" t="s">
        <v>2408</v>
      </c>
      <c r="D795" s="2">
        <v>4950585715</v>
      </c>
      <c r="E795" s="2" t="s">
        <v>14</v>
      </c>
      <c r="F795" s="2" t="s">
        <v>2409</v>
      </c>
      <c r="G795" s="28" t="s">
        <v>13</v>
      </c>
      <c r="H795" s="2" t="s">
        <v>23</v>
      </c>
      <c r="I795" s="2">
        <v>1</v>
      </c>
      <c r="J795" s="2"/>
      <c r="K795" s="2">
        <v>4177.8</v>
      </c>
      <c r="L795" s="35">
        <v>13665625.578</v>
      </c>
      <c r="M795" s="36">
        <v>60</v>
      </c>
      <c r="N795" s="40">
        <v>236994.36600000001</v>
      </c>
      <c r="O795" s="40">
        <v>0</v>
      </c>
      <c r="P795" s="40">
        <v>0</v>
      </c>
      <c r="Q795" s="40">
        <v>0</v>
      </c>
      <c r="R795" s="40">
        <v>6348</v>
      </c>
      <c r="S795" s="40">
        <v>212613.6</v>
      </c>
      <c r="T795" s="40">
        <v>30000</v>
      </c>
      <c r="U795" s="40">
        <v>27124.403669724801</v>
      </c>
      <c r="V795" s="40">
        <v>0</v>
      </c>
      <c r="W795" s="45">
        <v>513080.36966972501</v>
      </c>
      <c r="X795" s="46">
        <v>3.7545326171947999</v>
      </c>
    </row>
    <row r="796" spans="1:24" s="4" customFormat="1" ht="15" customHeight="1">
      <c r="A796" s="28" t="s">
        <v>2168</v>
      </c>
      <c r="B796" s="29">
        <v>3271.01</v>
      </c>
      <c r="C796" s="30" t="s">
        <v>2408</v>
      </c>
      <c r="D796" s="2">
        <v>4950642047</v>
      </c>
      <c r="E796" s="2" t="s">
        <v>14</v>
      </c>
      <c r="F796" s="2" t="s">
        <v>2409</v>
      </c>
      <c r="G796" s="28" t="s">
        <v>13</v>
      </c>
      <c r="H796" s="2" t="s">
        <v>23</v>
      </c>
      <c r="I796" s="2">
        <v>1</v>
      </c>
      <c r="J796" s="2"/>
      <c r="K796" s="2">
        <v>1293.2</v>
      </c>
      <c r="L796" s="35">
        <v>4230070.1320000002</v>
      </c>
      <c r="M796" s="36">
        <v>20</v>
      </c>
      <c r="N796" s="40">
        <v>78998.122000000003</v>
      </c>
      <c r="O796" s="40">
        <v>0</v>
      </c>
      <c r="P796" s="40">
        <v>0</v>
      </c>
      <c r="Q796" s="40">
        <v>0</v>
      </c>
      <c r="R796" s="40">
        <v>2116</v>
      </c>
      <c r="S796" s="40">
        <v>70871.199999999997</v>
      </c>
      <c r="T796" s="40">
        <v>30000</v>
      </c>
      <c r="U796" s="40">
        <v>9041.4678899082592</v>
      </c>
      <c r="V796" s="40">
        <v>0</v>
      </c>
      <c r="W796" s="45">
        <v>191026.78988990799</v>
      </c>
      <c r="X796" s="46">
        <v>4.5159248884507202</v>
      </c>
    </row>
    <row r="797" spans="1:24" s="4" customFormat="1" ht="15" customHeight="1">
      <c r="A797" s="28" t="s">
        <v>2168</v>
      </c>
      <c r="B797" s="29">
        <v>3271.01</v>
      </c>
      <c r="C797" s="30" t="s">
        <v>2410</v>
      </c>
      <c r="D797" s="2">
        <v>4950528086</v>
      </c>
      <c r="E797" s="2" t="s">
        <v>14</v>
      </c>
      <c r="F797" s="78" t="s">
        <v>2411</v>
      </c>
      <c r="G797" s="28" t="s">
        <v>13</v>
      </c>
      <c r="H797" s="2" t="s">
        <v>23</v>
      </c>
      <c r="I797" s="2">
        <v>2</v>
      </c>
      <c r="J797" s="2"/>
      <c r="K797" s="2">
        <v>13013</v>
      </c>
      <c r="L797" s="35">
        <v>42565653.130000003</v>
      </c>
      <c r="M797" s="36">
        <v>100</v>
      </c>
      <c r="N797" s="40">
        <v>263507.55555555603</v>
      </c>
      <c r="O797" s="40">
        <v>0</v>
      </c>
      <c r="P797" s="40">
        <v>0</v>
      </c>
      <c r="Q797" s="40">
        <v>0</v>
      </c>
      <c r="R797" s="40">
        <v>3720.8888888888901</v>
      </c>
      <c r="S797" s="40">
        <v>157491.555555556</v>
      </c>
      <c r="T797" s="40">
        <v>30000</v>
      </c>
      <c r="U797" s="40">
        <v>45207.339449541301</v>
      </c>
      <c r="V797" s="40">
        <v>0</v>
      </c>
      <c r="W797" s="45">
        <v>499927.33944954199</v>
      </c>
      <c r="X797" s="46">
        <v>1.1744853013830501</v>
      </c>
    </row>
    <row r="798" spans="1:24" s="4" customFormat="1" ht="15" customHeight="1">
      <c r="A798" s="28" t="s">
        <v>2168</v>
      </c>
      <c r="B798" s="29">
        <v>3271.01</v>
      </c>
      <c r="C798" s="30" t="s">
        <v>2410</v>
      </c>
      <c r="D798" s="2">
        <v>4950528086</v>
      </c>
      <c r="E798" s="2" t="s">
        <v>14</v>
      </c>
      <c r="F798" s="78" t="s">
        <v>2411</v>
      </c>
      <c r="G798" s="28" t="s">
        <v>13</v>
      </c>
      <c r="H798" s="2" t="s">
        <v>23</v>
      </c>
      <c r="I798" s="2">
        <v>2</v>
      </c>
      <c r="J798" s="2"/>
      <c r="K798" s="2">
        <v>11311.25</v>
      </c>
      <c r="L798" s="35">
        <v>36999211.862499997</v>
      </c>
      <c r="M798" s="36">
        <v>125</v>
      </c>
      <c r="N798" s="40">
        <v>329384.44444444397</v>
      </c>
      <c r="O798" s="40">
        <v>0</v>
      </c>
      <c r="P798" s="40">
        <v>0</v>
      </c>
      <c r="Q798" s="40">
        <v>0</v>
      </c>
      <c r="R798" s="40">
        <v>4651.1111111111104</v>
      </c>
      <c r="S798" s="40">
        <v>196864.444444444</v>
      </c>
      <c r="T798" s="40">
        <v>30000</v>
      </c>
      <c r="U798" s="40">
        <v>56509.174311926603</v>
      </c>
      <c r="V798" s="40">
        <v>0</v>
      </c>
      <c r="W798" s="45">
        <v>617409.17431192601</v>
      </c>
      <c r="X798" s="46">
        <v>1.6687089892790199</v>
      </c>
    </row>
    <row r="799" spans="1:24" s="4" customFormat="1" ht="15" customHeight="1">
      <c r="A799" s="28" t="s">
        <v>2168</v>
      </c>
      <c r="B799" s="29">
        <v>3271.01</v>
      </c>
      <c r="C799" s="30" t="s">
        <v>2412</v>
      </c>
      <c r="D799" s="2">
        <v>4950722782</v>
      </c>
      <c r="E799" s="2" t="s">
        <v>14</v>
      </c>
      <c r="F799" s="78" t="s">
        <v>2413</v>
      </c>
      <c r="G799" s="28" t="s">
        <v>13</v>
      </c>
      <c r="H799" s="2" t="s">
        <v>23</v>
      </c>
      <c r="I799" s="2">
        <v>1</v>
      </c>
      <c r="J799" s="2"/>
      <c r="K799" s="2">
        <v>703</v>
      </c>
      <c r="L799" s="35">
        <v>2299520.0299999998</v>
      </c>
      <c r="M799" s="36">
        <v>10</v>
      </c>
      <c r="N799" s="40">
        <v>150623.5</v>
      </c>
      <c r="O799" s="40">
        <v>0</v>
      </c>
      <c r="P799" s="40">
        <v>0</v>
      </c>
      <c r="Q799" s="40">
        <v>0</v>
      </c>
      <c r="R799" s="40">
        <v>602.5</v>
      </c>
      <c r="S799" s="40">
        <v>177178</v>
      </c>
      <c r="T799" s="40">
        <v>30000</v>
      </c>
      <c r="U799" s="40">
        <v>4520.7339449541296</v>
      </c>
      <c r="V799" s="40">
        <v>0</v>
      </c>
      <c r="W799" s="45">
        <v>362924.733944954</v>
      </c>
      <c r="X799" s="46">
        <v>15.782629818838901</v>
      </c>
    </row>
    <row r="800" spans="1:24" s="4" customFormat="1" ht="15" customHeight="1">
      <c r="A800" s="28" t="s">
        <v>2168</v>
      </c>
      <c r="B800" s="29">
        <v>3271.01</v>
      </c>
      <c r="C800" s="30" t="s">
        <v>2412</v>
      </c>
      <c r="D800" s="2">
        <v>4950365709</v>
      </c>
      <c r="E800" s="2" t="s">
        <v>14</v>
      </c>
      <c r="F800" s="78" t="s">
        <v>2413</v>
      </c>
      <c r="G800" s="28" t="s">
        <v>13</v>
      </c>
      <c r="H800" s="2" t="s">
        <v>23</v>
      </c>
      <c r="I800" s="2">
        <v>1</v>
      </c>
      <c r="J800" s="2"/>
      <c r="K800" s="2">
        <v>387.2</v>
      </c>
      <c r="L800" s="35">
        <v>1266535.0719999999</v>
      </c>
      <c r="M800" s="36">
        <v>10</v>
      </c>
      <c r="N800" s="40">
        <v>150623.5</v>
      </c>
      <c r="O800" s="40">
        <v>0</v>
      </c>
      <c r="P800" s="40">
        <v>0</v>
      </c>
      <c r="Q800" s="40">
        <v>0</v>
      </c>
      <c r="R800" s="40">
        <v>602.5</v>
      </c>
      <c r="S800" s="40">
        <v>177178</v>
      </c>
      <c r="T800" s="40">
        <v>30000</v>
      </c>
      <c r="U800" s="40">
        <v>4520.7339449541296</v>
      </c>
      <c r="V800" s="40">
        <v>0</v>
      </c>
      <c r="W800" s="45">
        <v>362924.733944954</v>
      </c>
      <c r="X800" s="46">
        <v>28.654929655588301</v>
      </c>
    </row>
    <row r="801" spans="1:24" s="4" customFormat="1" ht="15" customHeight="1">
      <c r="A801" s="28" t="s">
        <v>2168</v>
      </c>
      <c r="B801" s="29">
        <v>3271.01</v>
      </c>
      <c r="C801" s="30" t="s">
        <v>2421</v>
      </c>
      <c r="D801" s="2">
        <v>4950060157</v>
      </c>
      <c r="E801" s="2" t="s">
        <v>14</v>
      </c>
      <c r="F801" s="78" t="s">
        <v>2422</v>
      </c>
      <c r="G801" s="28" t="s">
        <v>9</v>
      </c>
      <c r="H801" s="2" t="s">
        <v>23</v>
      </c>
      <c r="I801" s="2">
        <v>2</v>
      </c>
      <c r="J801" s="2"/>
      <c r="K801" s="2">
        <v>5440</v>
      </c>
      <c r="L801" s="35">
        <v>17794294.399999999</v>
      </c>
      <c r="M801" s="36">
        <v>2000</v>
      </c>
      <c r="N801" s="40">
        <v>666437</v>
      </c>
      <c r="O801" s="40">
        <v>1361</v>
      </c>
      <c r="P801" s="40">
        <v>42571</v>
      </c>
      <c r="Q801" s="40">
        <v>33511</v>
      </c>
      <c r="R801" s="40">
        <v>124481</v>
      </c>
      <c r="S801" s="40">
        <v>354356</v>
      </c>
      <c r="T801" s="40">
        <v>30000</v>
      </c>
      <c r="U801" s="40">
        <v>1174929.5774647901</v>
      </c>
      <c r="V801" s="40">
        <v>0</v>
      </c>
      <c r="W801" s="45">
        <v>2427646.5774647901</v>
      </c>
      <c r="X801" s="46">
        <v>13.642836984111</v>
      </c>
    </row>
    <row r="802" spans="1:24" s="4" customFormat="1" ht="15" customHeight="1">
      <c r="A802" s="28" t="s">
        <v>2168</v>
      </c>
      <c r="B802" s="29">
        <v>3271.01</v>
      </c>
      <c r="C802" s="30" t="s">
        <v>2429</v>
      </c>
      <c r="D802" s="2">
        <v>4950059698</v>
      </c>
      <c r="E802" s="2" t="s">
        <v>14</v>
      </c>
      <c r="F802" s="2" t="s">
        <v>2430</v>
      </c>
      <c r="G802" s="28" t="s">
        <v>5</v>
      </c>
      <c r="H802" s="2" t="s">
        <v>20</v>
      </c>
      <c r="I802" s="2">
        <v>1</v>
      </c>
      <c r="J802" s="2" t="s">
        <v>2431</v>
      </c>
      <c r="K802" s="2">
        <v>5160</v>
      </c>
      <c r="L802" s="35">
        <v>16878411.600000001</v>
      </c>
      <c r="M802" s="36">
        <v>5160</v>
      </c>
      <c r="N802" s="40">
        <v>332741</v>
      </c>
      <c r="O802" s="40">
        <v>332655</v>
      </c>
      <c r="P802" s="40">
        <v>0</v>
      </c>
      <c r="Q802" s="40">
        <v>99309</v>
      </c>
      <c r="R802" s="40">
        <v>549042</v>
      </c>
      <c r="S802" s="40">
        <v>354356</v>
      </c>
      <c r="T802" s="40">
        <v>30000</v>
      </c>
      <c r="U802" s="40">
        <v>3220400</v>
      </c>
      <c r="V802" s="40">
        <v>0</v>
      </c>
      <c r="W802" s="45">
        <v>4918503</v>
      </c>
      <c r="X802" s="46">
        <v>29.140793082685601</v>
      </c>
    </row>
    <row r="803" spans="1:24" s="4" customFormat="1" ht="15" customHeight="1">
      <c r="A803" s="28" t="s">
        <v>2168</v>
      </c>
      <c r="B803" s="29">
        <v>3271.01</v>
      </c>
      <c r="C803" s="30" t="s">
        <v>2432</v>
      </c>
      <c r="D803" s="2">
        <v>4949868828</v>
      </c>
      <c r="E803" s="2" t="s">
        <v>14</v>
      </c>
      <c r="F803" s="2" t="s">
        <v>2433</v>
      </c>
      <c r="G803" s="28" t="s">
        <v>5</v>
      </c>
      <c r="H803" s="2" t="s">
        <v>20</v>
      </c>
      <c r="I803" s="2">
        <v>1</v>
      </c>
      <c r="J803" s="2" t="s">
        <v>2434</v>
      </c>
      <c r="K803" s="2">
        <v>20826</v>
      </c>
      <c r="L803" s="35">
        <v>68122054.260000005</v>
      </c>
      <c r="M803" s="36">
        <v>7800</v>
      </c>
      <c r="N803" s="40">
        <v>330274</v>
      </c>
      <c r="O803" s="40">
        <v>332655</v>
      </c>
      <c r="P803" s="40">
        <v>0</v>
      </c>
      <c r="Q803" s="40">
        <v>99309</v>
      </c>
      <c r="R803" s="40">
        <v>549533</v>
      </c>
      <c r="S803" s="40">
        <v>354356</v>
      </c>
      <c r="T803" s="40">
        <v>30000</v>
      </c>
      <c r="U803" s="40">
        <v>2900300</v>
      </c>
      <c r="V803" s="40">
        <v>0</v>
      </c>
      <c r="W803" s="45">
        <v>4596427</v>
      </c>
      <c r="X803" s="46">
        <v>6.7473405638310799</v>
      </c>
    </row>
    <row r="804" spans="1:24" s="4" customFormat="1" ht="15" customHeight="1">
      <c r="A804" s="28" t="s">
        <v>2168</v>
      </c>
      <c r="B804" s="29">
        <v>3271.01</v>
      </c>
      <c r="C804" s="30" t="s">
        <v>2435</v>
      </c>
      <c r="D804" s="2">
        <v>4949416096</v>
      </c>
      <c r="E804" s="2" t="s">
        <v>14</v>
      </c>
      <c r="F804" s="2" t="s">
        <v>2436</v>
      </c>
      <c r="G804" s="28" t="s">
        <v>5</v>
      </c>
      <c r="H804" s="2" t="s">
        <v>20</v>
      </c>
      <c r="I804" s="2">
        <v>1</v>
      </c>
      <c r="J804" s="2" t="s">
        <v>2437</v>
      </c>
      <c r="K804" s="2">
        <v>45320</v>
      </c>
      <c r="L804" s="35">
        <v>148242173.19999999</v>
      </c>
      <c r="M804" s="36">
        <v>5500</v>
      </c>
      <c r="N804" s="40">
        <v>258100.04854368899</v>
      </c>
      <c r="O804" s="40">
        <v>177631.31067961201</v>
      </c>
      <c r="P804" s="40">
        <v>62694.660194174801</v>
      </c>
      <c r="Q804" s="40">
        <v>53029.077669902901</v>
      </c>
      <c r="R804" s="40">
        <v>348043.62135922298</v>
      </c>
      <c r="S804" s="40">
        <v>189219.223300971</v>
      </c>
      <c r="T804" s="40">
        <v>30000</v>
      </c>
      <c r="U804" s="40">
        <v>2210110.5882352898</v>
      </c>
      <c r="V804" s="40">
        <v>0</v>
      </c>
      <c r="W804" s="45">
        <v>3328828.52998287</v>
      </c>
      <c r="X804" s="46">
        <v>2.2455340866406499</v>
      </c>
    </row>
    <row r="805" spans="1:24" s="4" customFormat="1" ht="15" customHeight="1">
      <c r="A805" s="28" t="s">
        <v>2168</v>
      </c>
      <c r="B805" s="29">
        <v>3271.01</v>
      </c>
      <c r="C805" s="30" t="s">
        <v>2435</v>
      </c>
      <c r="D805" s="2">
        <v>4949416096</v>
      </c>
      <c r="E805" s="2" t="s">
        <v>14</v>
      </c>
      <c r="F805" s="2" t="s">
        <v>2436</v>
      </c>
      <c r="G805" s="28" t="s">
        <v>5</v>
      </c>
      <c r="H805" s="2" t="s">
        <v>20</v>
      </c>
      <c r="I805" s="2">
        <v>1</v>
      </c>
      <c r="J805" s="2" t="s">
        <v>2437</v>
      </c>
      <c r="K805" s="2">
        <v>36384</v>
      </c>
      <c r="L805" s="35">
        <v>119012427.84</v>
      </c>
      <c r="M805" s="36">
        <v>4800</v>
      </c>
      <c r="N805" s="40">
        <v>225250.95145631101</v>
      </c>
      <c r="O805" s="40">
        <v>155023.68932038799</v>
      </c>
      <c r="P805" s="40">
        <v>54715.339805825199</v>
      </c>
      <c r="Q805" s="40">
        <v>46279.922330097099</v>
      </c>
      <c r="R805" s="40">
        <v>303747.37864077702</v>
      </c>
      <c r="S805" s="40">
        <v>165136.776699029</v>
      </c>
      <c r="T805" s="40">
        <v>30000</v>
      </c>
      <c r="U805" s="40">
        <v>2210110.5882352898</v>
      </c>
      <c r="V805" s="40">
        <v>0</v>
      </c>
      <c r="W805" s="45">
        <v>3190264.6464877198</v>
      </c>
      <c r="X805" s="46">
        <v>2.6806147092274299</v>
      </c>
    </row>
    <row r="806" spans="1:24" s="4" customFormat="1" ht="15" customHeight="1">
      <c r="A806" s="28" t="s">
        <v>2168</v>
      </c>
      <c r="B806" s="29">
        <v>3271.01</v>
      </c>
      <c r="C806" s="30" t="s">
        <v>2438</v>
      </c>
      <c r="D806" s="2">
        <v>4949662474</v>
      </c>
      <c r="E806" s="2" t="s">
        <v>14</v>
      </c>
      <c r="F806" s="2" t="s">
        <v>2439</v>
      </c>
      <c r="G806" s="28" t="s">
        <v>9</v>
      </c>
      <c r="H806" s="2" t="s">
        <v>23</v>
      </c>
      <c r="I806" s="2">
        <v>1</v>
      </c>
      <c r="J806" s="2"/>
      <c r="K806" s="2">
        <v>12090.75</v>
      </c>
      <c r="L806" s="35">
        <v>39548964.157499999</v>
      </c>
      <c r="M806" s="36">
        <v>525</v>
      </c>
      <c r="N806" s="40">
        <v>481529</v>
      </c>
      <c r="O806" s="40">
        <v>359</v>
      </c>
      <c r="P806" s="40">
        <v>30305</v>
      </c>
      <c r="Q806" s="40">
        <v>8764</v>
      </c>
      <c r="R806" s="40">
        <v>97718</v>
      </c>
      <c r="S806" s="40">
        <v>354356</v>
      </c>
      <c r="T806" s="40">
        <v>30000</v>
      </c>
      <c r="U806" s="40">
        <v>308419.01408450701</v>
      </c>
      <c r="V806" s="40">
        <v>0</v>
      </c>
      <c r="W806" s="45">
        <v>1311450.01408451</v>
      </c>
      <c r="X806" s="46">
        <v>3.3160160879606901</v>
      </c>
    </row>
    <row r="807" spans="1:24" s="4" customFormat="1" ht="15" customHeight="1">
      <c r="A807" s="28" t="s">
        <v>2168</v>
      </c>
      <c r="B807" s="29">
        <v>3271.01</v>
      </c>
      <c r="C807" s="30" t="s">
        <v>2440</v>
      </c>
      <c r="D807" s="2">
        <v>4950060160</v>
      </c>
      <c r="E807" s="2" t="s">
        <v>14</v>
      </c>
      <c r="F807" s="2" t="s">
        <v>2441</v>
      </c>
      <c r="G807" s="28" t="s">
        <v>9</v>
      </c>
      <c r="H807" s="2" t="s">
        <v>23</v>
      </c>
      <c r="I807" s="2">
        <v>1</v>
      </c>
      <c r="J807" s="2"/>
      <c r="K807" s="2">
        <v>3797.5</v>
      </c>
      <c r="L807" s="35">
        <v>12421660.475</v>
      </c>
      <c r="M807" s="36">
        <v>875</v>
      </c>
      <c r="N807" s="40">
        <v>593943</v>
      </c>
      <c r="O807" s="40">
        <v>582</v>
      </c>
      <c r="P807" s="40">
        <v>73561</v>
      </c>
      <c r="Q807" s="40">
        <v>14522</v>
      </c>
      <c r="R807" s="40">
        <v>101173</v>
      </c>
      <c r="S807" s="40">
        <v>354356</v>
      </c>
      <c r="T807" s="40">
        <v>30000</v>
      </c>
      <c r="U807" s="40">
        <v>514031.69014084502</v>
      </c>
      <c r="V807" s="40">
        <v>0</v>
      </c>
      <c r="W807" s="45">
        <v>1682168.6901408499</v>
      </c>
      <c r="X807" s="46">
        <v>13.5422208128004</v>
      </c>
    </row>
    <row r="808" spans="1:24" s="4" customFormat="1" ht="15" customHeight="1">
      <c r="A808" s="28" t="s">
        <v>2168</v>
      </c>
      <c r="B808" s="29">
        <v>3271.01</v>
      </c>
      <c r="C808" s="30" t="s">
        <v>2445</v>
      </c>
      <c r="D808" s="2">
        <v>4950274564</v>
      </c>
      <c r="E808" s="2" t="s">
        <v>14</v>
      </c>
      <c r="F808" s="2" t="s">
        <v>2446</v>
      </c>
      <c r="G808" s="28" t="s">
        <v>5</v>
      </c>
      <c r="H808" s="2" t="s">
        <v>20</v>
      </c>
      <c r="I808" s="2">
        <v>1</v>
      </c>
      <c r="J808" s="2" t="s">
        <v>2447</v>
      </c>
      <c r="K808" s="2">
        <v>28483.200000000001</v>
      </c>
      <c r="L808" s="35">
        <v>93168832.032000005</v>
      </c>
      <c r="M808" s="36">
        <v>11040</v>
      </c>
      <c r="N808" s="40">
        <v>311831.94352941198</v>
      </c>
      <c r="O808" s="40">
        <v>216030.07058823499</v>
      </c>
      <c r="P808" s="40">
        <v>264705.43058823497</v>
      </c>
      <c r="Q808" s="40">
        <v>64492.432941176499</v>
      </c>
      <c r="R808" s="40">
        <v>603797.378823529</v>
      </c>
      <c r="S808" s="40">
        <v>230122.955294118</v>
      </c>
      <c r="T808" s="40">
        <v>30000</v>
      </c>
      <c r="U808" s="40">
        <v>4420221.1764705898</v>
      </c>
      <c r="V808" s="40">
        <v>0</v>
      </c>
      <c r="W808" s="45">
        <v>6141201.3882352998</v>
      </c>
      <c r="X808" s="46">
        <v>6.5914761989567703</v>
      </c>
    </row>
    <row r="809" spans="1:24" s="4" customFormat="1" ht="15" customHeight="1">
      <c r="A809" s="28" t="s">
        <v>2168</v>
      </c>
      <c r="B809" s="29">
        <v>3271.01</v>
      </c>
      <c r="C809" s="30" t="s">
        <v>2453</v>
      </c>
      <c r="D809" s="2">
        <v>4950215951</v>
      </c>
      <c r="E809" s="2" t="s">
        <v>14</v>
      </c>
      <c r="F809" s="2" t="s">
        <v>2454</v>
      </c>
      <c r="G809" s="28" t="s">
        <v>5</v>
      </c>
      <c r="H809" s="2" t="s">
        <v>20</v>
      </c>
      <c r="I809" s="2">
        <v>1</v>
      </c>
      <c r="J809" s="2" t="s">
        <v>2455</v>
      </c>
      <c r="K809" s="2">
        <v>26100</v>
      </c>
      <c r="L809" s="35">
        <v>85373361</v>
      </c>
      <c r="M809" s="36">
        <v>18000</v>
      </c>
      <c r="N809" s="40">
        <v>481881</v>
      </c>
      <c r="O809" s="40">
        <v>332655</v>
      </c>
      <c r="P809" s="40">
        <v>0</v>
      </c>
      <c r="Q809" s="40">
        <v>99309</v>
      </c>
      <c r="R809" s="40">
        <v>635431</v>
      </c>
      <c r="S809" s="40">
        <v>354356</v>
      </c>
      <c r="T809" s="40">
        <v>30000</v>
      </c>
      <c r="U809" s="40">
        <v>5014900</v>
      </c>
      <c r="V809" s="40">
        <v>0</v>
      </c>
      <c r="W809" s="45">
        <v>6948532</v>
      </c>
      <c r="X809" s="46">
        <v>8.1389931456487901</v>
      </c>
    </row>
    <row r="810" spans="1:24" s="4" customFormat="1" ht="15" customHeight="1">
      <c r="A810" s="28" t="s">
        <v>2168</v>
      </c>
      <c r="B810" s="29">
        <v>3271.01</v>
      </c>
      <c r="C810" s="30" t="s">
        <v>2456</v>
      </c>
      <c r="D810" s="2">
        <v>4950365714</v>
      </c>
      <c r="E810" s="2" t="s">
        <v>14</v>
      </c>
      <c r="F810" s="2" t="s">
        <v>2457</v>
      </c>
      <c r="G810" s="28" t="s">
        <v>5</v>
      </c>
      <c r="H810" s="2" t="s">
        <v>20</v>
      </c>
      <c r="I810" s="2">
        <v>2</v>
      </c>
      <c r="J810" s="2" t="s">
        <v>2458</v>
      </c>
      <c r="K810" s="2">
        <v>49552</v>
      </c>
      <c r="L810" s="35">
        <v>162085087.52000001</v>
      </c>
      <c r="M810" s="36">
        <v>30400</v>
      </c>
      <c r="N810" s="40">
        <v>960755</v>
      </c>
      <c r="O810" s="40">
        <v>332655</v>
      </c>
      <c r="P810" s="40">
        <v>434782</v>
      </c>
      <c r="Q810" s="40">
        <v>99309</v>
      </c>
      <c r="R810" s="40">
        <v>1272589</v>
      </c>
      <c r="S810" s="40">
        <v>354356</v>
      </c>
      <c r="T810" s="40">
        <v>30000</v>
      </c>
      <c r="U810" s="40">
        <v>7857000</v>
      </c>
      <c r="V810" s="40">
        <v>0</v>
      </c>
      <c r="W810" s="45">
        <v>11341446</v>
      </c>
      <c r="X810" s="46">
        <v>6.9972174328502303</v>
      </c>
    </row>
    <row r="811" spans="1:24" s="4" customFormat="1" ht="15" customHeight="1">
      <c r="A811" s="28" t="s">
        <v>2168</v>
      </c>
      <c r="B811" s="29">
        <v>3271.01</v>
      </c>
      <c r="C811" s="30" t="s">
        <v>2462</v>
      </c>
      <c r="D811" s="2">
        <v>4950057174</v>
      </c>
      <c r="E811" s="2" t="s">
        <v>14</v>
      </c>
      <c r="F811" s="78" t="s">
        <v>2463</v>
      </c>
      <c r="G811" s="28" t="s">
        <v>13</v>
      </c>
      <c r="H811" s="2" t="s">
        <v>23</v>
      </c>
      <c r="I811" s="2">
        <v>2</v>
      </c>
      <c r="J811" s="2"/>
      <c r="K811" s="2">
        <v>1868.2</v>
      </c>
      <c r="L811" s="35">
        <v>6110900.8820000002</v>
      </c>
      <c r="M811" s="36">
        <v>40</v>
      </c>
      <c r="N811" s="40">
        <v>1062704</v>
      </c>
      <c r="O811" s="40">
        <v>0</v>
      </c>
      <c r="P811" s="40">
        <v>0</v>
      </c>
      <c r="Q811" s="40">
        <v>0</v>
      </c>
      <c r="R811" s="40">
        <v>5697</v>
      </c>
      <c r="S811" s="40">
        <v>354356</v>
      </c>
      <c r="T811" s="40">
        <v>30000</v>
      </c>
      <c r="U811" s="40">
        <v>41063.333333333299</v>
      </c>
      <c r="V811" s="40">
        <v>0</v>
      </c>
      <c r="W811" s="45">
        <v>1493820.33333333</v>
      </c>
      <c r="X811" s="46">
        <v>24.445173668803299</v>
      </c>
    </row>
    <row r="812" spans="1:24" s="4" customFormat="1" ht="15" customHeight="1">
      <c r="A812" s="28" t="s">
        <v>2168</v>
      </c>
      <c r="B812" s="29">
        <v>3271.01</v>
      </c>
      <c r="C812" s="30" t="s">
        <v>2464</v>
      </c>
      <c r="D812" s="2">
        <v>4950722785</v>
      </c>
      <c r="E812" s="2" t="s">
        <v>14</v>
      </c>
      <c r="F812" s="78" t="s">
        <v>2465</v>
      </c>
      <c r="G812" s="28" t="s">
        <v>13</v>
      </c>
      <c r="H812" s="2" t="s">
        <v>23</v>
      </c>
      <c r="I812" s="2">
        <v>1</v>
      </c>
      <c r="J812" s="2"/>
      <c r="K812" s="2">
        <v>4293.5</v>
      </c>
      <c r="L812" s="35">
        <v>14044081.435000001</v>
      </c>
      <c r="M812" s="36">
        <v>50</v>
      </c>
      <c r="N812" s="40">
        <v>325015</v>
      </c>
      <c r="O812" s="40">
        <v>0</v>
      </c>
      <c r="P812" s="40">
        <v>0</v>
      </c>
      <c r="Q812" s="40">
        <v>0</v>
      </c>
      <c r="R812" s="40">
        <v>1300</v>
      </c>
      <c r="S812" s="40">
        <v>354356</v>
      </c>
      <c r="T812" s="40">
        <v>30000</v>
      </c>
      <c r="U812" s="40">
        <v>246380</v>
      </c>
      <c r="V812" s="40">
        <v>0</v>
      </c>
      <c r="W812" s="45">
        <v>957051</v>
      </c>
      <c r="X812" s="46">
        <v>6.81462155022031</v>
      </c>
    </row>
    <row r="813" spans="1:24" s="4" customFormat="1" ht="15" customHeight="1">
      <c r="A813" s="28" t="s">
        <v>2168</v>
      </c>
      <c r="B813" s="29">
        <v>3271.01</v>
      </c>
      <c r="C813" s="30" t="s">
        <v>2466</v>
      </c>
      <c r="D813" s="2">
        <v>4950722783</v>
      </c>
      <c r="E813" s="2" t="s">
        <v>14</v>
      </c>
      <c r="F813" s="78" t="s">
        <v>2467</v>
      </c>
      <c r="G813" s="28" t="s">
        <v>13</v>
      </c>
      <c r="H813" s="2" t="s">
        <v>23</v>
      </c>
      <c r="I813" s="2">
        <v>1</v>
      </c>
      <c r="J813" s="2"/>
      <c r="K813" s="2">
        <v>2354.4</v>
      </c>
      <c r="L813" s="35">
        <v>7701265.9440000001</v>
      </c>
      <c r="M813" s="36">
        <v>30</v>
      </c>
      <c r="N813" s="40">
        <v>322197</v>
      </c>
      <c r="O813" s="40">
        <v>0</v>
      </c>
      <c r="P813" s="40">
        <v>0</v>
      </c>
      <c r="Q813" s="40">
        <v>0</v>
      </c>
      <c r="R813" s="40">
        <v>133</v>
      </c>
      <c r="S813" s="40">
        <v>354356</v>
      </c>
      <c r="T813" s="40">
        <v>30000</v>
      </c>
      <c r="U813" s="40">
        <v>30797.5</v>
      </c>
      <c r="V813" s="40">
        <v>0</v>
      </c>
      <c r="W813" s="45">
        <v>737483.5</v>
      </c>
      <c r="X813" s="46">
        <v>9.5761333962836108</v>
      </c>
    </row>
    <row r="814" spans="1:24" s="4" customFormat="1" ht="15" customHeight="1">
      <c r="A814" s="28" t="s">
        <v>2168</v>
      </c>
      <c r="B814" s="29">
        <v>3271.01</v>
      </c>
      <c r="C814" s="30" t="s">
        <v>2468</v>
      </c>
      <c r="D814" s="2">
        <v>4950365710</v>
      </c>
      <c r="E814" s="2" t="s">
        <v>14</v>
      </c>
      <c r="F814" s="78" t="s">
        <v>2469</v>
      </c>
      <c r="G814" s="28" t="s">
        <v>13</v>
      </c>
      <c r="H814" s="2" t="s">
        <v>23</v>
      </c>
      <c r="I814" s="2">
        <v>1</v>
      </c>
      <c r="J814" s="2"/>
      <c r="K814" s="2">
        <v>6107.4</v>
      </c>
      <c r="L814" s="35">
        <v>19977366.473999999</v>
      </c>
      <c r="M814" s="36">
        <v>90</v>
      </c>
      <c r="N814" s="40">
        <v>390000</v>
      </c>
      <c r="O814" s="40">
        <v>0</v>
      </c>
      <c r="P814" s="40">
        <v>0</v>
      </c>
      <c r="Q814" s="40">
        <v>0</v>
      </c>
      <c r="R814" s="40">
        <v>1560</v>
      </c>
      <c r="S814" s="40">
        <v>354356</v>
      </c>
      <c r="T814" s="40">
        <v>30000</v>
      </c>
      <c r="U814" s="40">
        <v>184785</v>
      </c>
      <c r="V814" s="40">
        <v>0</v>
      </c>
      <c r="W814" s="45">
        <v>960701</v>
      </c>
      <c r="X814" s="46">
        <v>4.8089471715419903</v>
      </c>
    </row>
    <row r="815" spans="1:24" s="4" customFormat="1" ht="15" customHeight="1">
      <c r="A815" s="28" t="s">
        <v>2168</v>
      </c>
      <c r="B815" s="29">
        <v>3271.01</v>
      </c>
      <c r="C815" s="30" t="s">
        <v>2470</v>
      </c>
      <c r="D815" s="2">
        <v>4950930532</v>
      </c>
      <c r="E815" s="2" t="s">
        <v>14</v>
      </c>
      <c r="F815" s="78" t="s">
        <v>2471</v>
      </c>
      <c r="G815" s="28" t="s">
        <v>13</v>
      </c>
      <c r="H815" s="2" t="s">
        <v>23</v>
      </c>
      <c r="I815" s="2">
        <v>2</v>
      </c>
      <c r="J815" s="2"/>
      <c r="K815" s="2">
        <v>8617.19</v>
      </c>
      <c r="L815" s="35">
        <v>28186914.661899999</v>
      </c>
      <c r="M815" s="36">
        <v>1500</v>
      </c>
      <c r="N815" s="40">
        <v>874574</v>
      </c>
      <c r="O815" s="40">
        <v>0</v>
      </c>
      <c r="P815" s="40">
        <v>0</v>
      </c>
      <c r="Q815" s="40">
        <v>0</v>
      </c>
      <c r="R815" s="40">
        <v>45240</v>
      </c>
      <c r="S815" s="40">
        <v>354356</v>
      </c>
      <c r="T815" s="40">
        <v>30000</v>
      </c>
      <c r="U815" s="40">
        <v>0</v>
      </c>
      <c r="V815" s="40">
        <v>0</v>
      </c>
      <c r="W815" s="45">
        <v>1304170</v>
      </c>
      <c r="X815" s="46">
        <v>4.6268632648994199</v>
      </c>
    </row>
    <row r="816" spans="1:24" s="4" customFormat="1" ht="15" customHeight="1">
      <c r="A816" s="28" t="s">
        <v>2168</v>
      </c>
      <c r="B816" s="29">
        <v>3271.01</v>
      </c>
      <c r="C816" s="30" t="s">
        <v>2472</v>
      </c>
      <c r="D816" s="2">
        <v>4950722784</v>
      </c>
      <c r="E816" s="2" t="s">
        <v>14</v>
      </c>
      <c r="F816" s="78" t="s">
        <v>2473</v>
      </c>
      <c r="G816" s="28" t="s">
        <v>13</v>
      </c>
      <c r="H816" s="2" t="s">
        <v>23</v>
      </c>
      <c r="I816" s="2">
        <v>1</v>
      </c>
      <c r="J816" s="2"/>
      <c r="K816" s="2">
        <v>2634.4</v>
      </c>
      <c r="L816" s="35">
        <v>8617148.7440000009</v>
      </c>
      <c r="M816" s="36">
        <v>40</v>
      </c>
      <c r="N816" s="40">
        <v>180240.815</v>
      </c>
      <c r="O816" s="40">
        <v>0</v>
      </c>
      <c r="P816" s="40">
        <v>0</v>
      </c>
      <c r="Q816" s="40">
        <v>0</v>
      </c>
      <c r="R816" s="40">
        <v>721</v>
      </c>
      <c r="S816" s="40">
        <v>177178</v>
      </c>
      <c r="T816" s="40">
        <v>30000</v>
      </c>
      <c r="U816" s="40">
        <v>41063.333333333299</v>
      </c>
      <c r="V816" s="40">
        <v>0</v>
      </c>
      <c r="W816" s="45">
        <v>429203.14833333303</v>
      </c>
      <c r="X816" s="46">
        <v>4.9808023638002199</v>
      </c>
    </row>
    <row r="817" spans="1:24" s="4" customFormat="1" ht="15" customHeight="1">
      <c r="A817" s="28" t="s">
        <v>2168</v>
      </c>
      <c r="B817" s="29">
        <v>3271.01</v>
      </c>
      <c r="C817" s="30" t="s">
        <v>2472</v>
      </c>
      <c r="D817" s="2">
        <v>4950722784</v>
      </c>
      <c r="E817" s="2" t="s">
        <v>14</v>
      </c>
      <c r="F817" s="78" t="s">
        <v>2473</v>
      </c>
      <c r="G817" s="28" t="s">
        <v>13</v>
      </c>
      <c r="H817" s="2" t="s">
        <v>23</v>
      </c>
      <c r="I817" s="2">
        <v>1</v>
      </c>
      <c r="J817" s="2"/>
      <c r="K817" s="2">
        <v>1823.6</v>
      </c>
      <c r="L817" s="35">
        <v>5965013.8360000001</v>
      </c>
      <c r="M817" s="36">
        <v>40</v>
      </c>
      <c r="N817" s="40">
        <v>180240.815</v>
      </c>
      <c r="O817" s="40">
        <v>0</v>
      </c>
      <c r="P817" s="40">
        <v>0</v>
      </c>
      <c r="Q817" s="40">
        <v>0</v>
      </c>
      <c r="R817" s="40">
        <v>721</v>
      </c>
      <c r="S817" s="40">
        <v>177178</v>
      </c>
      <c r="T817" s="40">
        <v>30000</v>
      </c>
      <c r="U817" s="40">
        <v>41063.333333333299</v>
      </c>
      <c r="V817" s="40">
        <v>0</v>
      </c>
      <c r="W817" s="45">
        <v>429203.14833333303</v>
      </c>
      <c r="X817" s="46">
        <v>7.1953420416732303</v>
      </c>
    </row>
    <row r="818" spans="1:24" s="4" customFormat="1" ht="15" customHeight="1">
      <c r="A818" s="28" t="s">
        <v>2168</v>
      </c>
      <c r="B818" s="29">
        <v>3271.01</v>
      </c>
      <c r="C818" s="30" t="s">
        <v>2499</v>
      </c>
      <c r="D818" s="2">
        <v>4950210629</v>
      </c>
      <c r="E818" s="2" t="s">
        <v>14</v>
      </c>
      <c r="F818" s="2" t="s">
        <v>2500</v>
      </c>
      <c r="G818" s="28" t="s">
        <v>5</v>
      </c>
      <c r="H818" s="2" t="s">
        <v>17</v>
      </c>
      <c r="I818" s="2">
        <v>1</v>
      </c>
      <c r="J818" s="2" t="s">
        <v>2501</v>
      </c>
      <c r="K818" s="2">
        <v>297.60000000000002</v>
      </c>
      <c r="L818" s="35">
        <v>973452.576</v>
      </c>
      <c r="M818" s="36">
        <v>40</v>
      </c>
      <c r="N818" s="40">
        <v>821.58271604938295</v>
      </c>
      <c r="O818" s="40">
        <v>1076.44444444444</v>
      </c>
      <c r="P818" s="40">
        <v>0</v>
      </c>
      <c r="Q818" s="40">
        <v>245.207407407407</v>
      </c>
      <c r="R818" s="40">
        <v>1649.4395061728401</v>
      </c>
      <c r="S818" s="40">
        <v>874.95308641975305</v>
      </c>
      <c r="T818" s="40">
        <v>30000</v>
      </c>
      <c r="U818" s="40">
        <v>13448.2716049383</v>
      </c>
      <c r="V818" s="40">
        <v>0</v>
      </c>
      <c r="W818" s="45">
        <v>48115.898765432103</v>
      </c>
      <c r="X818" s="46">
        <v>4.9428087152580602</v>
      </c>
    </row>
    <row r="819" spans="1:24" s="4" customFormat="1" ht="15" customHeight="1">
      <c r="A819" s="28" t="s">
        <v>2168</v>
      </c>
      <c r="B819" s="29">
        <v>3271.01</v>
      </c>
      <c r="C819" s="30" t="s">
        <v>2499</v>
      </c>
      <c r="D819" s="2">
        <v>4949532997</v>
      </c>
      <c r="E819" s="2" t="s">
        <v>14</v>
      </c>
      <c r="F819" s="2" t="s">
        <v>2500</v>
      </c>
      <c r="G819" s="28" t="s">
        <v>5</v>
      </c>
      <c r="H819" s="2" t="s">
        <v>17</v>
      </c>
      <c r="I819" s="2">
        <v>1</v>
      </c>
      <c r="J819" s="2" t="s">
        <v>2501</v>
      </c>
      <c r="K819" s="2">
        <v>2145.5</v>
      </c>
      <c r="L819" s="35">
        <v>7017951.9550000001</v>
      </c>
      <c r="M819" s="36">
        <v>350</v>
      </c>
      <c r="N819" s="40">
        <v>7188.8487654320998</v>
      </c>
      <c r="O819" s="40">
        <v>9418.8888888888905</v>
      </c>
      <c r="P819" s="40">
        <v>0</v>
      </c>
      <c r="Q819" s="40">
        <v>2145.5648148148098</v>
      </c>
      <c r="R819" s="40">
        <v>14429.5956790123</v>
      </c>
      <c r="S819" s="40">
        <v>7655.8395061728397</v>
      </c>
      <c r="T819" s="40">
        <v>30000</v>
      </c>
      <c r="U819" s="40">
        <v>117672.37654321</v>
      </c>
      <c r="V819" s="40">
        <v>0</v>
      </c>
      <c r="W819" s="45">
        <v>188511.11419753099</v>
      </c>
      <c r="X819" s="46">
        <v>2.6861271693834401</v>
      </c>
    </row>
    <row r="820" spans="1:24" s="4" customFormat="1" ht="15" customHeight="1">
      <c r="A820" s="28" t="s">
        <v>2168</v>
      </c>
      <c r="B820" s="29">
        <v>3271.01</v>
      </c>
      <c r="C820" s="30" t="s">
        <v>2499</v>
      </c>
      <c r="D820" s="2">
        <v>4950058287</v>
      </c>
      <c r="E820" s="2" t="s">
        <v>14</v>
      </c>
      <c r="F820" s="2" t="s">
        <v>2500</v>
      </c>
      <c r="G820" s="28" t="s">
        <v>5</v>
      </c>
      <c r="H820" s="2" t="s">
        <v>17</v>
      </c>
      <c r="I820" s="2">
        <v>1</v>
      </c>
      <c r="J820" s="2" t="s">
        <v>2501</v>
      </c>
      <c r="K820" s="2">
        <v>2115.6</v>
      </c>
      <c r="L820" s="35">
        <v>6920148.7560000001</v>
      </c>
      <c r="M820" s="36">
        <v>410</v>
      </c>
      <c r="N820" s="40">
        <v>8421.2228395061702</v>
      </c>
      <c r="O820" s="40">
        <v>11033.5555555556</v>
      </c>
      <c r="P820" s="40">
        <v>0</v>
      </c>
      <c r="Q820" s="40">
        <v>2513.37592592593</v>
      </c>
      <c r="R820" s="40">
        <v>16902.754938271599</v>
      </c>
      <c r="S820" s="40">
        <v>8968.2691358024695</v>
      </c>
      <c r="T820" s="40">
        <v>30000</v>
      </c>
      <c r="U820" s="40">
        <v>137844.78395061701</v>
      </c>
      <c r="V820" s="40">
        <v>0</v>
      </c>
      <c r="W820" s="45">
        <v>215683.962345679</v>
      </c>
      <c r="X820" s="46">
        <v>3.1167532657253001</v>
      </c>
    </row>
    <row r="821" spans="1:24" s="4" customFormat="1" ht="15" customHeight="1">
      <c r="A821" s="28" t="s">
        <v>2168</v>
      </c>
      <c r="B821" s="29">
        <v>3271.01</v>
      </c>
      <c r="C821" s="30" t="s">
        <v>2499</v>
      </c>
      <c r="D821" s="2">
        <v>4950058287</v>
      </c>
      <c r="E821" s="2" t="s">
        <v>14</v>
      </c>
      <c r="F821" s="2" t="s">
        <v>2500</v>
      </c>
      <c r="G821" s="28" t="s">
        <v>5</v>
      </c>
      <c r="H821" s="2" t="s">
        <v>17</v>
      </c>
      <c r="I821" s="2">
        <v>1</v>
      </c>
      <c r="J821" s="2" t="s">
        <v>2501</v>
      </c>
      <c r="K821" s="2">
        <v>16216.2</v>
      </c>
      <c r="L821" s="35">
        <v>53043352.362000003</v>
      </c>
      <c r="M821" s="36">
        <v>4620</v>
      </c>
      <c r="N821" s="40">
        <v>94892.803703703699</v>
      </c>
      <c r="O821" s="40">
        <v>124329.33333333299</v>
      </c>
      <c r="P821" s="40">
        <v>0</v>
      </c>
      <c r="Q821" s="40">
        <v>28321.4555555556</v>
      </c>
      <c r="R821" s="40">
        <v>190464.262962963</v>
      </c>
      <c r="S821" s="40">
        <v>101057.081481481</v>
      </c>
      <c r="T821" s="40">
        <v>30000</v>
      </c>
      <c r="U821" s="40">
        <v>1553275.3703703701</v>
      </c>
      <c r="V821" s="40">
        <v>0</v>
      </c>
      <c r="W821" s="45">
        <v>2122340.3074074099</v>
      </c>
      <c r="X821" s="46">
        <v>4.0011428631495001</v>
      </c>
    </row>
    <row r="822" spans="1:24" s="4" customFormat="1" ht="15" customHeight="1">
      <c r="A822" s="28" t="s">
        <v>2168</v>
      </c>
      <c r="B822" s="29">
        <v>3271.01</v>
      </c>
      <c r="C822" s="30" t="s">
        <v>2499</v>
      </c>
      <c r="D822" s="2">
        <v>4950210629</v>
      </c>
      <c r="E822" s="2" t="s">
        <v>14</v>
      </c>
      <c r="F822" s="2" t="s">
        <v>2500</v>
      </c>
      <c r="G822" s="28" t="s">
        <v>5</v>
      </c>
      <c r="H822" s="2" t="s">
        <v>17</v>
      </c>
      <c r="I822" s="2">
        <v>1</v>
      </c>
      <c r="J822" s="2" t="s">
        <v>2501</v>
      </c>
      <c r="K822" s="2">
        <v>25401.599999999999</v>
      </c>
      <c r="L822" s="35">
        <v>83088887.615999997</v>
      </c>
      <c r="M822" s="36">
        <v>10080</v>
      </c>
      <c r="N822" s="40">
        <v>207038.844444444</v>
      </c>
      <c r="O822" s="40">
        <v>271264</v>
      </c>
      <c r="P822" s="40">
        <v>0</v>
      </c>
      <c r="Q822" s="40">
        <v>61792.266666666699</v>
      </c>
      <c r="R822" s="40">
        <v>415558.75555555598</v>
      </c>
      <c r="S822" s="40">
        <v>220488.17777777801</v>
      </c>
      <c r="T822" s="40">
        <v>30000</v>
      </c>
      <c r="U822" s="40">
        <v>3388964.4444444398</v>
      </c>
      <c r="V822" s="40">
        <v>0</v>
      </c>
      <c r="W822" s="45">
        <v>4595106.4888888802</v>
      </c>
      <c r="X822" s="46">
        <v>5.5303502318209299</v>
      </c>
    </row>
    <row r="823" spans="1:24" s="4" customFormat="1" ht="15" customHeight="1">
      <c r="A823" s="28" t="s">
        <v>2168</v>
      </c>
      <c r="B823" s="29">
        <v>3271.01</v>
      </c>
      <c r="C823" s="30" t="s">
        <v>2499</v>
      </c>
      <c r="D823" s="2">
        <v>4950363247</v>
      </c>
      <c r="E823" s="2" t="s">
        <v>14</v>
      </c>
      <c r="F823" s="2" t="s">
        <v>2500</v>
      </c>
      <c r="G823" s="28" t="s">
        <v>5</v>
      </c>
      <c r="H823" s="2" t="s">
        <v>17</v>
      </c>
      <c r="I823" s="2">
        <v>1</v>
      </c>
      <c r="J823" s="2" t="s">
        <v>2501</v>
      </c>
      <c r="K823" s="2">
        <v>2492.6999999999998</v>
      </c>
      <c r="L823" s="35">
        <v>8153646.6270000003</v>
      </c>
      <c r="M823" s="36">
        <v>700</v>
      </c>
      <c r="N823" s="40">
        <v>14377.6975308642</v>
      </c>
      <c r="O823" s="40">
        <v>18837.777777777799</v>
      </c>
      <c r="P823" s="40">
        <v>0</v>
      </c>
      <c r="Q823" s="40">
        <v>4291.1296296296296</v>
      </c>
      <c r="R823" s="40">
        <v>28858.191358024698</v>
      </c>
      <c r="S823" s="40">
        <v>15311.679012345699</v>
      </c>
      <c r="T823" s="40">
        <v>30000</v>
      </c>
      <c r="U823" s="40">
        <v>235344.75308642001</v>
      </c>
      <c r="V823" s="40">
        <v>0</v>
      </c>
      <c r="W823" s="45">
        <v>347021.22839506197</v>
      </c>
      <c r="X823" s="46">
        <v>4.2560248716928104</v>
      </c>
    </row>
    <row r="824" spans="1:24" s="4" customFormat="1" ht="15" customHeight="1">
      <c r="A824" s="28" t="s">
        <v>2168</v>
      </c>
      <c r="B824" s="29">
        <v>3271.01</v>
      </c>
      <c r="C824" s="30" t="s">
        <v>2505</v>
      </c>
      <c r="D824" s="2">
        <v>4949662468</v>
      </c>
      <c r="E824" s="2" t="s">
        <v>14</v>
      </c>
      <c r="F824" s="2" t="s">
        <v>2506</v>
      </c>
      <c r="G824" s="28" t="s">
        <v>5</v>
      </c>
      <c r="H824" s="2" t="s">
        <v>17</v>
      </c>
      <c r="I824" s="2">
        <v>1</v>
      </c>
      <c r="J824" s="2" t="s">
        <v>2507</v>
      </c>
      <c r="K824" s="2">
        <v>2427.1999999999998</v>
      </c>
      <c r="L824" s="35">
        <v>7939395.4720000001</v>
      </c>
      <c r="M824" s="36">
        <v>820</v>
      </c>
      <c r="N824" s="40">
        <v>12533.1933853927</v>
      </c>
      <c r="O824" s="40">
        <v>16421.0932475884</v>
      </c>
      <c r="P824" s="40">
        <v>0</v>
      </c>
      <c r="Q824" s="40">
        <v>3740.6237942122202</v>
      </c>
      <c r="R824" s="40">
        <v>25433.695452457501</v>
      </c>
      <c r="S824" s="40">
        <v>13347.3550757924</v>
      </c>
      <c r="T824" s="40">
        <v>30000</v>
      </c>
      <c r="U824" s="40">
        <v>214286.678915939</v>
      </c>
      <c r="V824" s="40">
        <v>0</v>
      </c>
      <c r="W824" s="45">
        <v>315762.63987138198</v>
      </c>
      <c r="X824" s="46">
        <v>3.9771622535366502</v>
      </c>
    </row>
    <row r="825" spans="1:24" s="4" customFormat="1" ht="15" customHeight="1">
      <c r="A825" s="28" t="s">
        <v>2168</v>
      </c>
      <c r="B825" s="29">
        <v>3271.01</v>
      </c>
      <c r="C825" s="30" t="s">
        <v>2505</v>
      </c>
      <c r="D825" s="2">
        <v>4949662468</v>
      </c>
      <c r="E825" s="2" t="s">
        <v>14</v>
      </c>
      <c r="F825" s="2" t="s">
        <v>2506</v>
      </c>
      <c r="G825" s="28" t="s">
        <v>5</v>
      </c>
      <c r="H825" s="2" t="s">
        <v>17</v>
      </c>
      <c r="I825" s="2">
        <v>1</v>
      </c>
      <c r="J825" s="2" t="s">
        <v>2507</v>
      </c>
      <c r="K825" s="2">
        <v>14742</v>
      </c>
      <c r="L825" s="35">
        <v>48221229.420000002</v>
      </c>
      <c r="M825" s="36">
        <v>6300</v>
      </c>
      <c r="N825" s="40">
        <v>96291.607717041799</v>
      </c>
      <c r="O825" s="40">
        <v>126162.057877814</v>
      </c>
      <c r="P825" s="40">
        <v>0</v>
      </c>
      <c r="Q825" s="40">
        <v>28738.938906752399</v>
      </c>
      <c r="R825" s="40">
        <v>192329.85530546599</v>
      </c>
      <c r="S825" s="40">
        <v>102546.752411576</v>
      </c>
      <c r="T825" s="40">
        <v>30000</v>
      </c>
      <c r="U825" s="40">
        <v>1646348.87459807</v>
      </c>
      <c r="V825" s="40">
        <v>0</v>
      </c>
      <c r="W825" s="45">
        <v>2222418.0868167202</v>
      </c>
      <c r="X825" s="46">
        <v>4.6087959878828002</v>
      </c>
    </row>
    <row r="826" spans="1:24" s="4" customFormat="1" ht="15" customHeight="1">
      <c r="A826" s="28" t="s">
        <v>2168</v>
      </c>
      <c r="B826" s="29">
        <v>3271.01</v>
      </c>
      <c r="C826" s="30" t="s">
        <v>2505</v>
      </c>
      <c r="D826" s="2">
        <v>4949662468</v>
      </c>
      <c r="E826" s="2" t="s">
        <v>14</v>
      </c>
      <c r="F826" s="2" t="s">
        <v>2506</v>
      </c>
      <c r="G826" s="28" t="s">
        <v>5</v>
      </c>
      <c r="H826" s="2" t="s">
        <v>17</v>
      </c>
      <c r="I826" s="2">
        <v>1</v>
      </c>
      <c r="J826" s="2" t="s">
        <v>2507</v>
      </c>
      <c r="K826" s="2">
        <v>2115.6</v>
      </c>
      <c r="L826" s="35">
        <v>6920148.7560000001</v>
      </c>
      <c r="M826" s="36">
        <v>410</v>
      </c>
      <c r="N826" s="40">
        <v>6266.5966926963702</v>
      </c>
      <c r="O826" s="40">
        <v>8210.5466237942092</v>
      </c>
      <c r="P826" s="40">
        <v>0</v>
      </c>
      <c r="Q826" s="40">
        <v>1870.3118971061101</v>
      </c>
      <c r="R826" s="40">
        <v>12516.3477262288</v>
      </c>
      <c r="S826" s="40">
        <v>6673.6775378961902</v>
      </c>
      <c r="T826" s="40">
        <v>30000</v>
      </c>
      <c r="U826" s="40">
        <v>107143.33945797</v>
      </c>
      <c r="V826" s="40">
        <v>0</v>
      </c>
      <c r="W826" s="45">
        <v>172680.81993569201</v>
      </c>
      <c r="X826" s="46">
        <v>2.4953339302998598</v>
      </c>
    </row>
    <row r="827" spans="1:24" s="4" customFormat="1" ht="15" customHeight="1">
      <c r="A827" s="28" t="s">
        <v>2168</v>
      </c>
      <c r="B827" s="29">
        <v>3271.01</v>
      </c>
      <c r="C827" s="30" t="s">
        <v>2505</v>
      </c>
      <c r="D827" s="2">
        <v>4949661423</v>
      </c>
      <c r="E827" s="2" t="s">
        <v>14</v>
      </c>
      <c r="F827" s="2" t="s">
        <v>2506</v>
      </c>
      <c r="G827" s="28" t="s">
        <v>5</v>
      </c>
      <c r="H827" s="2" t="s">
        <v>17</v>
      </c>
      <c r="I827" s="2">
        <v>1</v>
      </c>
      <c r="J827" s="2" t="s">
        <v>2507</v>
      </c>
      <c r="K827" s="2">
        <v>12355.2</v>
      </c>
      <c r="L827" s="35">
        <v>40413982.751999997</v>
      </c>
      <c r="M827" s="36">
        <v>6240</v>
      </c>
      <c r="N827" s="40">
        <v>95374.544786403305</v>
      </c>
      <c r="O827" s="40">
        <v>124960.514469453</v>
      </c>
      <c r="P827" s="40">
        <v>0</v>
      </c>
      <c r="Q827" s="40">
        <v>28465.234726688101</v>
      </c>
      <c r="R827" s="40">
        <v>190498.999540652</v>
      </c>
      <c r="S827" s="40">
        <v>101570.11667432199</v>
      </c>
      <c r="T827" s="40">
        <v>30000</v>
      </c>
      <c r="U827" s="40">
        <v>1630669.36150666</v>
      </c>
      <c r="V827" s="40">
        <v>0</v>
      </c>
      <c r="W827" s="45">
        <v>2201538.7717041802</v>
      </c>
      <c r="X827" s="46">
        <v>5.4474679845683598</v>
      </c>
    </row>
    <row r="828" spans="1:24" s="4" customFormat="1" ht="15" customHeight="1">
      <c r="A828" s="28" t="s">
        <v>2168</v>
      </c>
      <c r="B828" s="29">
        <v>3271.01</v>
      </c>
      <c r="C828" s="30" t="s">
        <v>2505</v>
      </c>
      <c r="D828" s="2">
        <v>4949681912</v>
      </c>
      <c r="E828" s="2" t="s">
        <v>14</v>
      </c>
      <c r="F828" s="2" t="s">
        <v>2506</v>
      </c>
      <c r="G828" s="28" t="s">
        <v>5</v>
      </c>
      <c r="H828" s="2" t="s">
        <v>17</v>
      </c>
      <c r="I828" s="2">
        <v>1</v>
      </c>
      <c r="J828" s="2" t="s">
        <v>2507</v>
      </c>
      <c r="K828" s="2">
        <v>12160</v>
      </c>
      <c r="L828" s="35">
        <v>39775481.600000001</v>
      </c>
      <c r="M828" s="36">
        <v>8000</v>
      </c>
      <c r="N828" s="40">
        <v>122275.05741846601</v>
      </c>
      <c r="O828" s="40">
        <v>160205.78778134999</v>
      </c>
      <c r="P828" s="40">
        <v>0</v>
      </c>
      <c r="Q828" s="40">
        <v>36493.8906752412</v>
      </c>
      <c r="R828" s="40">
        <v>244229.10197519499</v>
      </c>
      <c r="S828" s="40">
        <v>130218.098300413</v>
      </c>
      <c r="T828" s="40">
        <v>30000</v>
      </c>
      <c r="U828" s="40">
        <v>2090601.7455213601</v>
      </c>
      <c r="V828" s="40">
        <v>0</v>
      </c>
      <c r="W828" s="45">
        <v>2814023.6816720301</v>
      </c>
      <c r="X828" s="46">
        <v>7.0747696029707496</v>
      </c>
    </row>
    <row r="829" spans="1:24" s="4" customFormat="1" ht="15" customHeight="1">
      <c r="A829" s="28" t="s">
        <v>2168</v>
      </c>
      <c r="B829" s="29">
        <v>3271.01</v>
      </c>
      <c r="C829" s="30" t="s">
        <v>2511</v>
      </c>
      <c r="D829" s="2">
        <v>4948282178</v>
      </c>
      <c r="E829" s="2" t="s">
        <v>14</v>
      </c>
      <c r="F829" s="2" t="s">
        <v>2512</v>
      </c>
      <c r="G829" s="28" t="s">
        <v>9</v>
      </c>
      <c r="H829" s="2" t="s">
        <v>23</v>
      </c>
      <c r="I829" s="2">
        <v>4</v>
      </c>
      <c r="J829" s="2"/>
      <c r="K829" s="2">
        <v>61300.800000000003</v>
      </c>
      <c r="L829" s="35">
        <v>200515529.808</v>
      </c>
      <c r="M829" s="36">
        <v>1440</v>
      </c>
      <c r="N829" s="40">
        <v>923135</v>
      </c>
      <c r="O829" s="40">
        <v>1179</v>
      </c>
      <c r="P829" s="40">
        <v>0</v>
      </c>
      <c r="Q829" s="40">
        <v>28680</v>
      </c>
      <c r="R829" s="40">
        <v>120304</v>
      </c>
      <c r="S829" s="40">
        <v>354356</v>
      </c>
      <c r="T829" s="40">
        <v>30000</v>
      </c>
      <c r="U829" s="40">
        <v>1367700</v>
      </c>
      <c r="V829" s="40">
        <v>0</v>
      </c>
      <c r="W829" s="45">
        <v>2825354</v>
      </c>
      <c r="X829" s="46">
        <v>1.40904497656883</v>
      </c>
    </row>
    <row r="830" spans="1:24" s="4" customFormat="1" ht="15" customHeight="1">
      <c r="A830" s="28" t="s">
        <v>2168</v>
      </c>
      <c r="B830" s="29">
        <v>3271.01</v>
      </c>
      <c r="C830" s="30" t="s">
        <v>2515</v>
      </c>
      <c r="D830" s="2">
        <v>4950272173</v>
      </c>
      <c r="E830" s="2" t="s">
        <v>14</v>
      </c>
      <c r="F830" s="2" t="s">
        <v>2516</v>
      </c>
      <c r="G830" s="28" t="s">
        <v>9</v>
      </c>
      <c r="H830" s="2" t="s">
        <v>23</v>
      </c>
      <c r="I830" s="2">
        <v>1</v>
      </c>
      <c r="J830" s="2"/>
      <c r="K830" s="2">
        <v>8224.92</v>
      </c>
      <c r="L830" s="35">
        <v>26903795.569200002</v>
      </c>
      <c r="M830" s="36">
        <v>396</v>
      </c>
      <c r="N830" s="40">
        <v>619662</v>
      </c>
      <c r="O830" s="40">
        <v>297</v>
      </c>
      <c r="P830" s="40">
        <v>0</v>
      </c>
      <c r="Q830" s="40">
        <v>9024</v>
      </c>
      <c r="R830" s="40">
        <v>95475.13</v>
      </c>
      <c r="S830" s="40">
        <v>354356</v>
      </c>
      <c r="T830" s="40">
        <v>30000</v>
      </c>
      <c r="U830" s="40">
        <v>339354.13533834601</v>
      </c>
      <c r="V830" s="40">
        <v>0</v>
      </c>
      <c r="W830" s="45">
        <v>1448168.2653383501</v>
      </c>
      <c r="X830" s="46">
        <v>5.3827656458861801</v>
      </c>
    </row>
    <row r="831" spans="1:24" s="4" customFormat="1" ht="15" customHeight="1">
      <c r="A831" s="28" t="s">
        <v>2168</v>
      </c>
      <c r="B831" s="29">
        <v>3271.01</v>
      </c>
      <c r="C831" s="30" t="s">
        <v>2535</v>
      </c>
      <c r="D831" s="2">
        <v>4949922793</v>
      </c>
      <c r="E831" s="2" t="s">
        <v>14</v>
      </c>
      <c r="F831" s="2" t="s">
        <v>2536</v>
      </c>
      <c r="G831" s="28" t="s">
        <v>5</v>
      </c>
      <c r="H831" s="2" t="s">
        <v>17</v>
      </c>
      <c r="I831" s="2">
        <v>1</v>
      </c>
      <c r="J831" s="2" t="s">
        <v>2537</v>
      </c>
      <c r="K831" s="2">
        <v>427.6</v>
      </c>
      <c r="L831" s="35">
        <v>1398683.8759999999</v>
      </c>
      <c r="M831" s="36">
        <v>840</v>
      </c>
      <c r="N831" s="40">
        <v>16797.45</v>
      </c>
      <c r="O831" s="40">
        <v>21798</v>
      </c>
      <c r="P831" s="40">
        <v>42133.599999999999</v>
      </c>
      <c r="Q831" s="40">
        <v>4965.45</v>
      </c>
      <c r="R831" s="40">
        <v>60999.95</v>
      </c>
      <c r="S831" s="40">
        <v>17717.8</v>
      </c>
      <c r="T831" s="40">
        <v>30000</v>
      </c>
      <c r="U831" s="40">
        <v>272327.5</v>
      </c>
      <c r="V831" s="40">
        <v>67750</v>
      </c>
      <c r="W831" s="45">
        <v>534489.75</v>
      </c>
      <c r="X831" s="46">
        <v>38.213763608153599</v>
      </c>
    </row>
    <row r="832" spans="1:24" s="4" customFormat="1" ht="15" customHeight="1">
      <c r="A832" s="28" t="s">
        <v>2168</v>
      </c>
      <c r="B832" s="29">
        <v>3271.01</v>
      </c>
      <c r="C832" s="30" t="s">
        <v>2535</v>
      </c>
      <c r="D832" s="2">
        <v>4950210605</v>
      </c>
      <c r="E832" s="2" t="s">
        <v>14</v>
      </c>
      <c r="F832" s="2" t="s">
        <v>2536</v>
      </c>
      <c r="G832" s="28" t="s">
        <v>5</v>
      </c>
      <c r="H832" s="2" t="s">
        <v>17</v>
      </c>
      <c r="I832" s="2">
        <v>1</v>
      </c>
      <c r="J832" s="2" t="s">
        <v>2537</v>
      </c>
      <c r="K832" s="2">
        <v>8250</v>
      </c>
      <c r="L832" s="35">
        <v>26985832.5</v>
      </c>
      <c r="M832" s="36">
        <v>2200</v>
      </c>
      <c r="N832" s="40">
        <v>43993.321428571398</v>
      </c>
      <c r="O832" s="40">
        <v>57090</v>
      </c>
      <c r="P832" s="40">
        <v>110349.904761905</v>
      </c>
      <c r="Q832" s="40">
        <v>13004.75</v>
      </c>
      <c r="R832" s="40">
        <v>159762.63095238101</v>
      </c>
      <c r="S832" s="40">
        <v>46403.761904761901</v>
      </c>
      <c r="T832" s="40">
        <v>30000</v>
      </c>
      <c r="U832" s="40">
        <v>713238.690476191</v>
      </c>
      <c r="V832" s="40">
        <v>177440.47619047601</v>
      </c>
      <c r="W832" s="45">
        <v>1351283.5357142901</v>
      </c>
      <c r="X832" s="46">
        <v>5.0073813202327004</v>
      </c>
    </row>
    <row r="833" spans="1:24" s="4" customFormat="1" ht="15" customHeight="1">
      <c r="A833" s="28" t="s">
        <v>2168</v>
      </c>
      <c r="B833" s="29">
        <v>3271.01</v>
      </c>
      <c r="C833" s="30" t="s">
        <v>2535</v>
      </c>
      <c r="D833" s="2">
        <v>4950210634</v>
      </c>
      <c r="E833" s="2" t="s">
        <v>14</v>
      </c>
      <c r="F833" s="2" t="s">
        <v>2536</v>
      </c>
      <c r="G833" s="28" t="s">
        <v>5</v>
      </c>
      <c r="H833" s="2" t="s">
        <v>17</v>
      </c>
      <c r="I833" s="2">
        <v>1</v>
      </c>
      <c r="J833" s="2" t="s">
        <v>2537</v>
      </c>
      <c r="K833" s="2">
        <v>14394</v>
      </c>
      <c r="L833" s="35">
        <v>47082917.939999998</v>
      </c>
      <c r="M833" s="36">
        <v>300</v>
      </c>
      <c r="N833" s="40">
        <v>5999.0892857142899</v>
      </c>
      <c r="O833" s="40">
        <v>7785</v>
      </c>
      <c r="P833" s="40">
        <v>15047.714285714301</v>
      </c>
      <c r="Q833" s="40">
        <v>1773.375</v>
      </c>
      <c r="R833" s="40">
        <v>21786.267857142899</v>
      </c>
      <c r="S833" s="40">
        <v>6327.7857142857101</v>
      </c>
      <c r="T833" s="40">
        <v>30000</v>
      </c>
      <c r="U833" s="40">
        <v>97259.821428571406</v>
      </c>
      <c r="V833" s="40">
        <v>24196.428571428602</v>
      </c>
      <c r="W833" s="45">
        <v>210175.48214285701</v>
      </c>
      <c r="X833" s="46">
        <v>0.44639434287121699</v>
      </c>
    </row>
    <row r="834" spans="1:24" s="4" customFormat="1" ht="15" customHeight="1">
      <c r="A834" s="28" t="s">
        <v>2168</v>
      </c>
      <c r="B834" s="29">
        <v>3271.01</v>
      </c>
      <c r="C834" s="30" t="s">
        <v>2535</v>
      </c>
      <c r="D834" s="2">
        <v>4950274555</v>
      </c>
      <c r="E834" s="2" t="s">
        <v>14</v>
      </c>
      <c r="F834" s="2" t="s">
        <v>2536</v>
      </c>
      <c r="G834" s="28" t="s">
        <v>5</v>
      </c>
      <c r="H834" s="2" t="s">
        <v>17</v>
      </c>
      <c r="I834" s="2">
        <v>1</v>
      </c>
      <c r="J834" s="2" t="s">
        <v>2537</v>
      </c>
      <c r="K834" s="2">
        <v>3268.75</v>
      </c>
      <c r="L834" s="35">
        <v>10692113.9375</v>
      </c>
      <c r="M834" s="36">
        <v>625</v>
      </c>
      <c r="N834" s="40">
        <v>12498.1026785714</v>
      </c>
      <c r="O834" s="40">
        <v>16218.75</v>
      </c>
      <c r="P834" s="40">
        <v>31349.4047619048</v>
      </c>
      <c r="Q834" s="40">
        <v>3694.53125</v>
      </c>
      <c r="R834" s="40">
        <v>45387.474702380998</v>
      </c>
      <c r="S834" s="40">
        <v>13182.886904761899</v>
      </c>
      <c r="T834" s="40">
        <v>30000</v>
      </c>
      <c r="U834" s="40">
        <v>202624.62797619001</v>
      </c>
      <c r="V834" s="40">
        <v>50409.226190476198</v>
      </c>
      <c r="W834" s="45">
        <v>405365.00446428498</v>
      </c>
      <c r="X834" s="46">
        <v>3.7912521960934802</v>
      </c>
    </row>
    <row r="835" spans="1:24" s="4" customFormat="1" ht="15" customHeight="1">
      <c r="A835" s="28" t="s">
        <v>2168</v>
      </c>
      <c r="B835" s="29">
        <v>3271.01</v>
      </c>
      <c r="C835" s="30" t="s">
        <v>2535</v>
      </c>
      <c r="D835" s="2">
        <v>4950210605</v>
      </c>
      <c r="E835" s="2" t="s">
        <v>14</v>
      </c>
      <c r="F835" s="2" t="s">
        <v>2536</v>
      </c>
      <c r="G835" s="28" t="s">
        <v>5</v>
      </c>
      <c r="H835" s="2" t="s">
        <v>17</v>
      </c>
      <c r="I835" s="2">
        <v>1</v>
      </c>
      <c r="J835" s="2" t="s">
        <v>2537</v>
      </c>
      <c r="K835" s="2">
        <v>2059.6</v>
      </c>
      <c r="L835" s="35">
        <v>6736972.1960000005</v>
      </c>
      <c r="M835" s="36">
        <v>760</v>
      </c>
      <c r="N835" s="40">
        <v>15197.6928571429</v>
      </c>
      <c r="O835" s="40">
        <v>19722</v>
      </c>
      <c r="P835" s="40">
        <v>38120.8761904762</v>
      </c>
      <c r="Q835" s="40">
        <v>4492.55</v>
      </c>
      <c r="R835" s="40">
        <v>55191.145238095203</v>
      </c>
      <c r="S835" s="40">
        <v>16030.3904761905</v>
      </c>
      <c r="T835" s="40">
        <v>30000</v>
      </c>
      <c r="U835" s="40">
        <v>246391.54761904801</v>
      </c>
      <c r="V835" s="40">
        <v>61297.619047619002</v>
      </c>
      <c r="W835" s="45">
        <v>486443.821428572</v>
      </c>
      <c r="X835" s="46">
        <v>7.2205110437800597</v>
      </c>
    </row>
    <row r="836" spans="1:24" s="4" customFormat="1" ht="15" customHeight="1">
      <c r="A836" s="28" t="s">
        <v>2168</v>
      </c>
      <c r="B836" s="29">
        <v>3271.01</v>
      </c>
      <c r="C836" s="30" t="s">
        <v>2538</v>
      </c>
      <c r="D836" s="2">
        <v>4951047696</v>
      </c>
      <c r="E836" s="2" t="s">
        <v>14</v>
      </c>
      <c r="F836" s="78" t="s">
        <v>2539</v>
      </c>
      <c r="G836" s="28" t="s">
        <v>13</v>
      </c>
      <c r="H836" s="2" t="s">
        <v>23</v>
      </c>
      <c r="I836" s="2">
        <v>1</v>
      </c>
      <c r="J836" s="2"/>
      <c r="K836" s="2">
        <v>928.4</v>
      </c>
      <c r="L836" s="35">
        <v>3036805.6839999999</v>
      </c>
      <c r="M836" s="36">
        <v>10</v>
      </c>
      <c r="N836" s="40">
        <v>323923.53000000003</v>
      </c>
      <c r="O836" s="40">
        <v>0</v>
      </c>
      <c r="P836" s="40">
        <v>0</v>
      </c>
      <c r="Q836" s="40">
        <v>0</v>
      </c>
      <c r="R836" s="40">
        <v>1296</v>
      </c>
      <c r="S836" s="40">
        <v>354356</v>
      </c>
      <c r="T836" s="40">
        <v>30000</v>
      </c>
      <c r="U836" s="40">
        <v>10265.833333333299</v>
      </c>
      <c r="V836" s="40">
        <v>0</v>
      </c>
      <c r="W836" s="45">
        <v>719841.36333333305</v>
      </c>
      <c r="X836" s="46">
        <v>23.703899367877099</v>
      </c>
    </row>
    <row r="837" spans="1:24" s="4" customFormat="1" ht="15" customHeight="1">
      <c r="A837" s="28" t="s">
        <v>2168</v>
      </c>
      <c r="B837" s="29">
        <v>3271.01</v>
      </c>
      <c r="C837" s="30" t="s">
        <v>2540</v>
      </c>
      <c r="D837" s="2">
        <v>4949591590</v>
      </c>
      <c r="E837" s="2" t="s">
        <v>14</v>
      </c>
      <c r="F837" s="78" t="s">
        <v>2541</v>
      </c>
      <c r="G837" s="28" t="s">
        <v>13</v>
      </c>
      <c r="H837" s="2" t="s">
        <v>23</v>
      </c>
      <c r="I837" s="2">
        <v>1</v>
      </c>
      <c r="J837" s="2"/>
      <c r="K837" s="2">
        <v>582.29999999999995</v>
      </c>
      <c r="L837" s="35">
        <v>1904709.1229999999</v>
      </c>
      <c r="M837" s="36">
        <v>10</v>
      </c>
      <c r="N837" s="40">
        <v>324471.34000000003</v>
      </c>
      <c r="O837" s="40">
        <v>0</v>
      </c>
      <c r="P837" s="40">
        <v>0</v>
      </c>
      <c r="Q837" s="40">
        <v>0</v>
      </c>
      <c r="R837" s="40">
        <v>1298</v>
      </c>
      <c r="S837" s="40">
        <v>354356</v>
      </c>
      <c r="T837" s="40">
        <v>30000</v>
      </c>
      <c r="U837" s="40">
        <v>10265.833333333299</v>
      </c>
      <c r="V837" s="40">
        <v>0</v>
      </c>
      <c r="W837" s="45">
        <v>720391.17333333299</v>
      </c>
      <c r="X837" s="46">
        <v>37.821584652184903</v>
      </c>
    </row>
    <row r="838" spans="1:24" s="4" customFormat="1" ht="15" customHeight="1">
      <c r="A838" s="28" t="s">
        <v>2168</v>
      </c>
      <c r="B838" s="29">
        <v>3271.01</v>
      </c>
      <c r="C838" s="30" t="s">
        <v>2542</v>
      </c>
      <c r="D838" s="2">
        <v>4951179419</v>
      </c>
      <c r="E838" s="2" t="s">
        <v>14</v>
      </c>
      <c r="F838" s="78" t="s">
        <v>2543</v>
      </c>
      <c r="G838" s="28" t="s">
        <v>13</v>
      </c>
      <c r="H838" s="2" t="s">
        <v>23</v>
      </c>
      <c r="I838" s="2">
        <v>1</v>
      </c>
      <c r="J838" s="2"/>
      <c r="K838" s="2">
        <v>1288.8</v>
      </c>
      <c r="L838" s="35">
        <v>4215677.6880000001</v>
      </c>
      <c r="M838" s="36">
        <v>30</v>
      </c>
      <c r="N838" s="40">
        <v>306458.03999999998</v>
      </c>
      <c r="O838" s="40">
        <v>0</v>
      </c>
      <c r="P838" s="40">
        <v>0</v>
      </c>
      <c r="Q838" s="40">
        <v>0</v>
      </c>
      <c r="R838" s="40">
        <v>1226</v>
      </c>
      <c r="S838" s="40">
        <v>354356</v>
      </c>
      <c r="T838" s="40">
        <v>30000</v>
      </c>
      <c r="U838" s="40">
        <v>41063.333333333299</v>
      </c>
      <c r="V838" s="40">
        <v>0</v>
      </c>
      <c r="W838" s="45">
        <v>733103.37333333294</v>
      </c>
      <c r="X838" s="46">
        <v>17.389929391901202</v>
      </c>
    </row>
    <row r="839" spans="1:24" s="4" customFormat="1" ht="15" customHeight="1">
      <c r="A839" s="28" t="s">
        <v>2168</v>
      </c>
      <c r="B839" s="29">
        <v>3271.01</v>
      </c>
      <c r="C839" s="30" t="s">
        <v>2544</v>
      </c>
      <c r="D839" s="2">
        <v>4950216815</v>
      </c>
      <c r="E839" s="2" t="s">
        <v>14</v>
      </c>
      <c r="F839" s="78" t="s">
        <v>2545</v>
      </c>
      <c r="G839" s="28" t="s">
        <v>9</v>
      </c>
      <c r="H839" s="2" t="s">
        <v>23</v>
      </c>
      <c r="I839" s="2">
        <v>5</v>
      </c>
      <c r="J839" s="2"/>
      <c r="K839" s="2">
        <v>5520</v>
      </c>
      <c r="L839" s="35">
        <v>18055975.199999999</v>
      </c>
      <c r="M839" s="36">
        <v>6000</v>
      </c>
      <c r="N839" s="40">
        <v>906385</v>
      </c>
      <c r="O839" s="40">
        <v>0</v>
      </c>
      <c r="P839" s="40">
        <v>392355</v>
      </c>
      <c r="Q839" s="40">
        <v>46115</v>
      </c>
      <c r="R839" s="40">
        <v>290636</v>
      </c>
      <c r="S839" s="40">
        <v>354356</v>
      </c>
      <c r="T839" s="40">
        <v>30000</v>
      </c>
      <c r="U839" s="40">
        <v>897250</v>
      </c>
      <c r="V839" s="40">
        <v>0</v>
      </c>
      <c r="W839" s="45">
        <v>2917097</v>
      </c>
      <c r="X839" s="46">
        <v>16.155854046587301</v>
      </c>
    </row>
    <row r="840" spans="1:24" s="4" customFormat="1" ht="15" customHeight="1">
      <c r="A840" s="28" t="s">
        <v>2168</v>
      </c>
      <c r="B840" s="29">
        <v>3271.01</v>
      </c>
      <c r="C840" s="30" t="s">
        <v>2552</v>
      </c>
      <c r="D840" s="2">
        <v>4950874847</v>
      </c>
      <c r="E840" s="2" t="s">
        <v>14</v>
      </c>
      <c r="F840" s="78" t="s">
        <v>2553</v>
      </c>
      <c r="G840" s="28" t="s">
        <v>13</v>
      </c>
      <c r="H840" s="2" t="s">
        <v>23</v>
      </c>
      <c r="I840" s="2">
        <v>1</v>
      </c>
      <c r="J840" s="2"/>
      <c r="K840" s="2">
        <v>638</v>
      </c>
      <c r="L840" s="35">
        <v>2086904.38</v>
      </c>
      <c r="M840" s="36">
        <v>20</v>
      </c>
      <c r="N840" s="40">
        <v>322910.7</v>
      </c>
      <c r="O840" s="40">
        <v>0</v>
      </c>
      <c r="P840" s="40">
        <v>0</v>
      </c>
      <c r="Q840" s="40">
        <v>0</v>
      </c>
      <c r="R840" s="40">
        <v>1292</v>
      </c>
      <c r="S840" s="40">
        <v>354356</v>
      </c>
      <c r="T840" s="40">
        <v>30000</v>
      </c>
      <c r="U840" s="40">
        <v>27375.555555555598</v>
      </c>
      <c r="V840" s="40">
        <v>0</v>
      </c>
      <c r="W840" s="45">
        <v>735934.25555555604</v>
      </c>
      <c r="X840" s="46">
        <v>35.2643974783145</v>
      </c>
    </row>
    <row r="841" spans="1:24" s="4" customFormat="1" ht="15" customHeight="1">
      <c r="A841" s="28" t="s">
        <v>2168</v>
      </c>
      <c r="B841" s="29">
        <v>3271.01</v>
      </c>
      <c r="C841" s="30" t="s">
        <v>2554</v>
      </c>
      <c r="D841" s="2">
        <v>4950879132</v>
      </c>
      <c r="E841" s="2" t="s">
        <v>14</v>
      </c>
      <c r="F841" s="78" t="s">
        <v>2555</v>
      </c>
      <c r="G841" s="28" t="s">
        <v>13</v>
      </c>
      <c r="H841" s="2" t="s">
        <v>23</v>
      </c>
      <c r="I841" s="2">
        <v>1</v>
      </c>
      <c r="J841" s="2"/>
      <c r="K841" s="2">
        <v>763.59</v>
      </c>
      <c r="L841" s="35">
        <v>2497710.5258999998</v>
      </c>
      <c r="M841" s="36">
        <v>120</v>
      </c>
      <c r="N841" s="40">
        <v>516790</v>
      </c>
      <c r="O841" s="40">
        <v>0</v>
      </c>
      <c r="P841" s="40">
        <v>0</v>
      </c>
      <c r="Q841" s="40">
        <v>0</v>
      </c>
      <c r="R841" s="40">
        <v>3362</v>
      </c>
      <c r="S841" s="40">
        <v>354356</v>
      </c>
      <c r="T841" s="40">
        <v>30000</v>
      </c>
      <c r="U841" s="40">
        <v>164253.33333333299</v>
      </c>
      <c r="V841" s="40">
        <v>0</v>
      </c>
      <c r="W841" s="45">
        <v>1068761.33333333</v>
      </c>
      <c r="X841" s="46">
        <v>42.789639642016802</v>
      </c>
    </row>
    <row r="842" spans="1:24" s="4" customFormat="1" ht="15" customHeight="1">
      <c r="A842" s="28" t="s">
        <v>2168</v>
      </c>
      <c r="B842" s="29">
        <v>3271.01</v>
      </c>
      <c r="C842" s="30" t="s">
        <v>2556</v>
      </c>
      <c r="D842" s="2">
        <v>4951008889</v>
      </c>
      <c r="E842" s="2" t="s">
        <v>14</v>
      </c>
      <c r="F842" s="78" t="s">
        <v>2557</v>
      </c>
      <c r="G842" s="28" t="s">
        <v>13</v>
      </c>
      <c r="H842" s="2" t="s">
        <v>23</v>
      </c>
      <c r="I842" s="2">
        <v>1</v>
      </c>
      <c r="J842" s="2"/>
      <c r="K842" s="2">
        <v>816.2</v>
      </c>
      <c r="L842" s="35">
        <v>2669798.3620000002</v>
      </c>
      <c r="M842" s="36">
        <v>220</v>
      </c>
      <c r="N842" s="40">
        <v>530034.99</v>
      </c>
      <c r="O842" s="40">
        <v>0</v>
      </c>
      <c r="P842" s="40">
        <v>0</v>
      </c>
      <c r="Q842" s="40">
        <v>0</v>
      </c>
      <c r="R842" s="40">
        <v>2120</v>
      </c>
      <c r="S842" s="40">
        <v>354356</v>
      </c>
      <c r="T842" s="40">
        <v>30000</v>
      </c>
      <c r="U842" s="40">
        <v>225848.33333333299</v>
      </c>
      <c r="V842" s="40">
        <v>0</v>
      </c>
      <c r="W842" s="45">
        <v>1142359.32333333</v>
      </c>
      <c r="X842" s="46">
        <v>42.788224743593297</v>
      </c>
    </row>
    <row r="843" spans="1:24" s="4" customFormat="1" ht="15" customHeight="1">
      <c r="A843" s="28" t="s">
        <v>2168</v>
      </c>
      <c r="B843" s="29">
        <v>3271.01</v>
      </c>
      <c r="C843" s="30" t="s">
        <v>2558</v>
      </c>
      <c r="D843" s="2">
        <v>4951047699</v>
      </c>
      <c r="E843" s="2" t="s">
        <v>14</v>
      </c>
      <c r="F843" s="78" t="s">
        <v>2559</v>
      </c>
      <c r="G843" s="28" t="s">
        <v>13</v>
      </c>
      <c r="H843" s="2" t="s">
        <v>23</v>
      </c>
      <c r="I843" s="2">
        <v>1</v>
      </c>
      <c r="J843" s="2"/>
      <c r="K843" s="2">
        <v>859.5</v>
      </c>
      <c r="L843" s="35">
        <v>2811433.0950000002</v>
      </c>
      <c r="M843" s="36">
        <v>10</v>
      </c>
      <c r="N843" s="40">
        <v>306943</v>
      </c>
      <c r="O843" s="40">
        <v>0</v>
      </c>
      <c r="P843" s="40">
        <v>0</v>
      </c>
      <c r="Q843" s="40">
        <v>0</v>
      </c>
      <c r="R843" s="40">
        <v>1228</v>
      </c>
      <c r="S843" s="40">
        <v>354356</v>
      </c>
      <c r="T843" s="40">
        <v>30000</v>
      </c>
      <c r="U843" s="40">
        <v>13687.777777777799</v>
      </c>
      <c r="V843" s="40">
        <v>0</v>
      </c>
      <c r="W843" s="45">
        <v>706214.77777777798</v>
      </c>
      <c r="X843" s="46">
        <v>25.1193876544225</v>
      </c>
    </row>
    <row r="844" spans="1:24" s="4" customFormat="1" ht="15" customHeight="1">
      <c r="A844" s="28" t="s">
        <v>2168</v>
      </c>
      <c r="B844" s="29">
        <v>3271.01</v>
      </c>
      <c r="C844" s="30" t="s">
        <v>2562</v>
      </c>
      <c r="D844" s="2">
        <v>4950090413</v>
      </c>
      <c r="E844" s="2" t="s">
        <v>14</v>
      </c>
      <c r="F844" s="78" t="s">
        <v>2563</v>
      </c>
      <c r="G844" s="28" t="s">
        <v>5</v>
      </c>
      <c r="H844" s="2" t="s">
        <v>17</v>
      </c>
      <c r="I844" s="2">
        <v>1</v>
      </c>
      <c r="J844" s="2" t="s">
        <v>2564</v>
      </c>
      <c r="K844" s="2">
        <v>1416</v>
      </c>
      <c r="L844" s="35">
        <v>4631750.16</v>
      </c>
      <c r="M844" s="36">
        <v>1200</v>
      </c>
      <c r="N844" s="40">
        <v>0</v>
      </c>
      <c r="O844" s="40">
        <v>25751.538461538501</v>
      </c>
      <c r="P844" s="40">
        <v>106381.211538462</v>
      </c>
      <c r="Q844" s="40">
        <v>5729.3653846153802</v>
      </c>
      <c r="R844" s="40">
        <v>51048.3461538462</v>
      </c>
      <c r="S844" s="40">
        <v>20443.615384615401</v>
      </c>
      <c r="T844" s="40">
        <v>30000</v>
      </c>
      <c r="U844" s="40">
        <v>328214.42307692301</v>
      </c>
      <c r="V844" s="40">
        <v>0</v>
      </c>
      <c r="W844" s="45">
        <v>567568.5</v>
      </c>
      <c r="X844" s="46">
        <v>12.253866905463701</v>
      </c>
    </row>
    <row r="845" spans="1:24" s="4" customFormat="1" ht="15" customHeight="1">
      <c r="A845" s="28" t="s">
        <v>2168</v>
      </c>
      <c r="B845" s="29">
        <v>3271.01</v>
      </c>
      <c r="C845" s="30" t="s">
        <v>2562</v>
      </c>
      <c r="D845" s="2">
        <v>4950090414</v>
      </c>
      <c r="E845" s="2" t="s">
        <v>14</v>
      </c>
      <c r="F845" s="78" t="s">
        <v>2563</v>
      </c>
      <c r="G845" s="28" t="s">
        <v>5</v>
      </c>
      <c r="H845" s="2" t="s">
        <v>17</v>
      </c>
      <c r="I845" s="2">
        <v>1</v>
      </c>
      <c r="J845" s="2" t="s">
        <v>2564</v>
      </c>
      <c r="K845" s="2">
        <v>2360</v>
      </c>
      <c r="L845" s="35">
        <v>7719583.5999999996</v>
      </c>
      <c r="M845" s="36">
        <v>2000</v>
      </c>
      <c r="N845" s="40">
        <v>0</v>
      </c>
      <c r="O845" s="40">
        <v>42919.230769230802</v>
      </c>
      <c r="P845" s="40">
        <v>177302.01923076899</v>
      </c>
      <c r="Q845" s="40">
        <v>9548.9423076923104</v>
      </c>
      <c r="R845" s="40">
        <v>85081.576923076893</v>
      </c>
      <c r="S845" s="40">
        <v>34072.692307692298</v>
      </c>
      <c r="T845" s="40">
        <v>30000</v>
      </c>
      <c r="U845" s="40">
        <v>547024.03846153803</v>
      </c>
      <c r="V845" s="40">
        <v>0</v>
      </c>
      <c r="W845" s="45">
        <v>925948.49999999895</v>
      </c>
      <c r="X845" s="46">
        <v>11.994798527734</v>
      </c>
    </row>
    <row r="846" spans="1:24" s="4" customFormat="1" ht="15" customHeight="1">
      <c r="A846" s="28" t="s">
        <v>2168</v>
      </c>
      <c r="B846" s="29">
        <v>3271.01</v>
      </c>
      <c r="C846" s="30" t="s">
        <v>2562</v>
      </c>
      <c r="D846" s="2">
        <v>4950216818</v>
      </c>
      <c r="E846" s="2" t="s">
        <v>14</v>
      </c>
      <c r="F846" s="78" t="s">
        <v>2563</v>
      </c>
      <c r="G846" s="28" t="s">
        <v>5</v>
      </c>
      <c r="H846" s="2" t="s">
        <v>17</v>
      </c>
      <c r="I846" s="2">
        <v>1</v>
      </c>
      <c r="J846" s="2" t="s">
        <v>2564</v>
      </c>
      <c r="K846" s="2">
        <v>4656</v>
      </c>
      <c r="L846" s="35">
        <v>15229822.560000001</v>
      </c>
      <c r="M846" s="36">
        <v>1600</v>
      </c>
      <c r="N846" s="40">
        <v>0</v>
      </c>
      <c r="O846" s="40">
        <v>34335.384615384603</v>
      </c>
      <c r="P846" s="40">
        <v>141841.615384615</v>
      </c>
      <c r="Q846" s="40">
        <v>7639.1538461538503</v>
      </c>
      <c r="R846" s="40">
        <v>68065.461538461503</v>
      </c>
      <c r="S846" s="40">
        <v>27258.1538461538</v>
      </c>
      <c r="T846" s="40">
        <v>30000</v>
      </c>
      <c r="U846" s="40">
        <v>437619.23076923098</v>
      </c>
      <c r="V846" s="40">
        <v>0</v>
      </c>
      <c r="W846" s="45">
        <v>746759</v>
      </c>
      <c r="X846" s="46">
        <v>4.9032678946720401</v>
      </c>
    </row>
    <row r="847" spans="1:24" s="4" customFormat="1" ht="15" customHeight="1">
      <c r="A847" s="28" t="s">
        <v>2168</v>
      </c>
      <c r="B847" s="29">
        <v>3271.01</v>
      </c>
      <c r="C847" s="30" t="s">
        <v>2562</v>
      </c>
      <c r="D847" s="2">
        <v>4950216825</v>
      </c>
      <c r="E847" s="2" t="s">
        <v>14</v>
      </c>
      <c r="F847" s="78" t="s">
        <v>2563</v>
      </c>
      <c r="G847" s="28" t="s">
        <v>5</v>
      </c>
      <c r="H847" s="2" t="s">
        <v>17</v>
      </c>
      <c r="I847" s="2">
        <v>1</v>
      </c>
      <c r="J847" s="2" t="s">
        <v>2564</v>
      </c>
      <c r="K847" s="2">
        <v>21920</v>
      </c>
      <c r="L847" s="35">
        <v>71700539.200000003</v>
      </c>
      <c r="M847" s="36">
        <v>16000</v>
      </c>
      <c r="N847" s="40">
        <v>0</v>
      </c>
      <c r="O847" s="40">
        <v>343353.84615384601</v>
      </c>
      <c r="P847" s="40">
        <v>1418416.15384615</v>
      </c>
      <c r="Q847" s="40">
        <v>76391.538461538497</v>
      </c>
      <c r="R847" s="40">
        <v>680650.61538461503</v>
      </c>
      <c r="S847" s="40">
        <v>272581.53846153797</v>
      </c>
      <c r="T847" s="40">
        <v>30000</v>
      </c>
      <c r="U847" s="40">
        <v>4376192.3076923098</v>
      </c>
      <c r="V847" s="40">
        <v>0</v>
      </c>
      <c r="W847" s="45">
        <v>7197586</v>
      </c>
      <c r="X847" s="46">
        <v>10.038398707049</v>
      </c>
    </row>
    <row r="848" spans="1:24" s="4" customFormat="1" ht="15" customHeight="1">
      <c r="A848" s="28" t="s">
        <v>2168</v>
      </c>
      <c r="B848" s="29">
        <v>3271.01</v>
      </c>
      <c r="C848" s="30" t="s">
        <v>2565</v>
      </c>
      <c r="D848" s="2">
        <v>4950215953</v>
      </c>
      <c r="E848" s="2" t="s">
        <v>14</v>
      </c>
      <c r="F848" s="2" t="s">
        <v>2566</v>
      </c>
      <c r="G848" s="28" t="s">
        <v>9</v>
      </c>
      <c r="H848" s="2" t="s">
        <v>23</v>
      </c>
      <c r="I848" s="2">
        <v>3</v>
      </c>
      <c r="J848" s="2"/>
      <c r="K848" s="2">
        <v>7696.8</v>
      </c>
      <c r="L848" s="35">
        <v>25176309.767999999</v>
      </c>
      <c r="M848" s="36">
        <v>180</v>
      </c>
      <c r="N848" s="40">
        <v>164675.02247190999</v>
      </c>
      <c r="O848" s="40">
        <v>133.078651685393</v>
      </c>
      <c r="P848" s="40">
        <v>0</v>
      </c>
      <c r="Q848" s="40">
        <v>4050.4044943820199</v>
      </c>
      <c r="R848" s="40">
        <v>12596.157303370799</v>
      </c>
      <c r="S848" s="40">
        <v>35833.7528089888</v>
      </c>
      <c r="T848" s="40">
        <v>30000</v>
      </c>
      <c r="U848" s="40">
        <v>102705.882352941</v>
      </c>
      <c r="V848" s="40">
        <v>0</v>
      </c>
      <c r="W848" s="45">
        <v>349994.298083278</v>
      </c>
      <c r="X848" s="46">
        <v>1.39017314812409</v>
      </c>
    </row>
    <row r="849" spans="1:24" s="4" customFormat="1" ht="15" customHeight="1">
      <c r="A849" s="28" t="s">
        <v>2168</v>
      </c>
      <c r="B849" s="29">
        <v>3271.01</v>
      </c>
      <c r="C849" s="30" t="s">
        <v>2565</v>
      </c>
      <c r="D849" s="2">
        <v>4950726671</v>
      </c>
      <c r="E849" s="2" t="s">
        <v>14</v>
      </c>
      <c r="F849" s="2" t="s">
        <v>2566</v>
      </c>
      <c r="G849" s="28" t="s">
        <v>9</v>
      </c>
      <c r="H849" s="2" t="s">
        <v>23</v>
      </c>
      <c r="I849" s="2">
        <v>3</v>
      </c>
      <c r="J849" s="2"/>
      <c r="K849" s="2">
        <v>3033.6</v>
      </c>
      <c r="L849" s="35">
        <v>9922935.9360000007</v>
      </c>
      <c r="M849" s="36">
        <v>1600</v>
      </c>
      <c r="N849" s="40">
        <v>1463777.9775280899</v>
      </c>
      <c r="O849" s="40">
        <v>1182.92134831461</v>
      </c>
      <c r="P849" s="40">
        <v>0</v>
      </c>
      <c r="Q849" s="40">
        <v>36003.595505618003</v>
      </c>
      <c r="R849" s="40">
        <v>111965.842696629</v>
      </c>
      <c r="S849" s="40">
        <v>318522.24719101097</v>
      </c>
      <c r="T849" s="40">
        <v>30000</v>
      </c>
      <c r="U849" s="40">
        <v>912941.17647058796</v>
      </c>
      <c r="V849" s="40">
        <v>0</v>
      </c>
      <c r="W849" s="45">
        <v>2874393.7607402499</v>
      </c>
      <c r="X849" s="46">
        <v>28.967170394722299</v>
      </c>
    </row>
    <row r="850" spans="1:24" s="4" customFormat="1" ht="15" customHeight="1">
      <c r="A850" s="28" t="s">
        <v>2168</v>
      </c>
      <c r="B850" s="29">
        <v>3271.01</v>
      </c>
      <c r="C850" s="30" t="s">
        <v>2567</v>
      </c>
      <c r="D850" s="2">
        <v>4949590098</v>
      </c>
      <c r="E850" s="2" t="s">
        <v>14</v>
      </c>
      <c r="F850" s="2" t="s">
        <v>2568</v>
      </c>
      <c r="G850" s="28" t="s">
        <v>9</v>
      </c>
      <c r="H850" s="2" t="s">
        <v>23</v>
      </c>
      <c r="I850" s="2">
        <v>6</v>
      </c>
      <c r="J850" s="2"/>
      <c r="K850" s="2">
        <v>10508.4</v>
      </c>
      <c r="L850" s="35">
        <v>34373081.483999997</v>
      </c>
      <c r="M850" s="36">
        <v>2520</v>
      </c>
      <c r="N850" s="40">
        <v>1573522.5</v>
      </c>
      <c r="O850" s="40">
        <v>1760.5</v>
      </c>
      <c r="P850" s="40">
        <v>0</v>
      </c>
      <c r="Q850" s="40">
        <v>53541.5</v>
      </c>
      <c r="R850" s="40">
        <v>106633.5</v>
      </c>
      <c r="S850" s="40">
        <v>177178</v>
      </c>
      <c r="T850" s="40">
        <v>30000</v>
      </c>
      <c r="U850" s="40">
        <v>1042750</v>
      </c>
      <c r="V850" s="40">
        <v>0</v>
      </c>
      <c r="W850" s="45">
        <v>2985386</v>
      </c>
      <c r="X850" s="46">
        <v>8.6852440081336297</v>
      </c>
    </row>
    <row r="851" spans="1:24" s="4" customFormat="1" ht="15" customHeight="1">
      <c r="A851" s="28" t="s">
        <v>2168</v>
      </c>
      <c r="B851" s="29">
        <v>3271.01</v>
      </c>
      <c r="C851" s="30" t="s">
        <v>2567</v>
      </c>
      <c r="D851" s="2">
        <v>4950058291</v>
      </c>
      <c r="E851" s="2" t="s">
        <v>14</v>
      </c>
      <c r="F851" s="2" t="s">
        <v>2568</v>
      </c>
      <c r="G851" s="28" t="s">
        <v>9</v>
      </c>
      <c r="H851" s="2" t="s">
        <v>23</v>
      </c>
      <c r="I851" s="2">
        <v>6</v>
      </c>
      <c r="J851" s="2"/>
      <c r="K851" s="2">
        <v>10508.4</v>
      </c>
      <c r="L851" s="35">
        <v>34373081.483999997</v>
      </c>
      <c r="M851" s="36">
        <v>2520</v>
      </c>
      <c r="N851" s="40">
        <v>1573522.5</v>
      </c>
      <c r="O851" s="40">
        <v>1760.5</v>
      </c>
      <c r="P851" s="40">
        <v>0</v>
      </c>
      <c r="Q851" s="40">
        <v>53541.5</v>
      </c>
      <c r="R851" s="40">
        <v>106633.5</v>
      </c>
      <c r="S851" s="40">
        <v>177178</v>
      </c>
      <c r="T851" s="40">
        <v>30000</v>
      </c>
      <c r="U851" s="40">
        <v>1042750</v>
      </c>
      <c r="V851" s="40">
        <v>0</v>
      </c>
      <c r="W851" s="45">
        <v>2985386</v>
      </c>
      <c r="X851" s="46">
        <v>8.6852440081336297</v>
      </c>
    </row>
    <row r="852" spans="1:24" s="4" customFormat="1" ht="15" customHeight="1">
      <c r="A852" s="28" t="s">
        <v>2168</v>
      </c>
      <c r="B852" s="29">
        <v>3271.01</v>
      </c>
      <c r="C852" s="30" t="s">
        <v>2572</v>
      </c>
      <c r="D852" s="2">
        <v>4950365718</v>
      </c>
      <c r="E852" s="2" t="s">
        <v>14</v>
      </c>
      <c r="F852" s="2" t="s">
        <v>2573</v>
      </c>
      <c r="G852" s="28" t="s">
        <v>9</v>
      </c>
      <c r="H852" s="2" t="s">
        <v>23</v>
      </c>
      <c r="I852" s="2">
        <v>9</v>
      </c>
      <c r="J852" s="2"/>
      <c r="K852" s="2">
        <v>2507.5</v>
      </c>
      <c r="L852" s="35">
        <v>8202057.5750000002</v>
      </c>
      <c r="M852" s="36">
        <v>50</v>
      </c>
      <c r="N852" s="40">
        <v>29993.6538461538</v>
      </c>
      <c r="O852" s="40">
        <v>35.75</v>
      </c>
      <c r="P852" s="40">
        <v>0</v>
      </c>
      <c r="Q852" s="40">
        <v>860.336538461538</v>
      </c>
      <c r="R852" s="40">
        <v>1836.5673076923099</v>
      </c>
      <c r="S852" s="40">
        <v>3407.26923076923</v>
      </c>
      <c r="T852" s="40">
        <v>30000</v>
      </c>
      <c r="U852" s="40">
        <v>20052.884615384599</v>
      </c>
      <c r="V852" s="40">
        <v>0</v>
      </c>
      <c r="W852" s="45">
        <v>86186.461538461503</v>
      </c>
      <c r="X852" s="46">
        <v>1.0507907406204899</v>
      </c>
    </row>
    <row r="853" spans="1:24" s="4" customFormat="1" ht="15" customHeight="1">
      <c r="A853" s="28" t="s">
        <v>2168</v>
      </c>
      <c r="B853" s="29">
        <v>3271.01</v>
      </c>
      <c r="C853" s="30" t="s">
        <v>2572</v>
      </c>
      <c r="D853" s="2">
        <v>4950215953</v>
      </c>
      <c r="E853" s="2" t="s">
        <v>14</v>
      </c>
      <c r="F853" s="2" t="s">
        <v>2573</v>
      </c>
      <c r="G853" s="28" t="s">
        <v>9</v>
      </c>
      <c r="H853" s="2" t="s">
        <v>23</v>
      </c>
      <c r="I853" s="2">
        <v>9</v>
      </c>
      <c r="J853" s="2"/>
      <c r="K853" s="2">
        <v>2507.5</v>
      </c>
      <c r="L853" s="35">
        <v>8202057.5750000002</v>
      </c>
      <c r="M853" s="36">
        <v>50</v>
      </c>
      <c r="N853" s="40">
        <v>29993.6538461538</v>
      </c>
      <c r="O853" s="40">
        <v>35.75</v>
      </c>
      <c r="P853" s="40">
        <v>0</v>
      </c>
      <c r="Q853" s="40">
        <v>860.336538461538</v>
      </c>
      <c r="R853" s="40">
        <v>1836.5673076923099</v>
      </c>
      <c r="S853" s="40">
        <v>3407.26923076923</v>
      </c>
      <c r="T853" s="40">
        <v>30000</v>
      </c>
      <c r="U853" s="40">
        <v>20052.884615384599</v>
      </c>
      <c r="V853" s="40">
        <v>0</v>
      </c>
      <c r="W853" s="45">
        <v>86186.461538461503</v>
      </c>
      <c r="X853" s="46">
        <v>1.0507907406204899</v>
      </c>
    </row>
    <row r="854" spans="1:24" s="4" customFormat="1" ht="15" customHeight="1">
      <c r="A854" s="28" t="s">
        <v>2168</v>
      </c>
      <c r="B854" s="29">
        <v>3271.01</v>
      </c>
      <c r="C854" s="30" t="s">
        <v>2572</v>
      </c>
      <c r="D854" s="2">
        <v>4949818312</v>
      </c>
      <c r="E854" s="2" t="s">
        <v>14</v>
      </c>
      <c r="F854" s="2" t="s">
        <v>2573</v>
      </c>
      <c r="G854" s="28" t="s">
        <v>9</v>
      </c>
      <c r="H854" s="2" t="s">
        <v>23</v>
      </c>
      <c r="I854" s="2">
        <v>9</v>
      </c>
      <c r="J854" s="2"/>
      <c r="K854" s="2">
        <v>3708</v>
      </c>
      <c r="L854" s="35">
        <v>12128905.08</v>
      </c>
      <c r="M854" s="36">
        <v>3600</v>
      </c>
      <c r="N854" s="40">
        <v>2159543.0769230798</v>
      </c>
      <c r="O854" s="40">
        <v>2574</v>
      </c>
      <c r="P854" s="40">
        <v>0</v>
      </c>
      <c r="Q854" s="40">
        <v>61944.230769230802</v>
      </c>
      <c r="R854" s="40">
        <v>132232.84615384601</v>
      </c>
      <c r="S854" s="40">
        <v>245323.384615385</v>
      </c>
      <c r="T854" s="40">
        <v>30000</v>
      </c>
      <c r="U854" s="40">
        <v>1443807.6923076899</v>
      </c>
      <c r="V854" s="40">
        <v>0</v>
      </c>
      <c r="W854" s="45">
        <v>4075425.2307692301</v>
      </c>
      <c r="X854" s="46">
        <v>33.600932680142897</v>
      </c>
    </row>
    <row r="855" spans="1:24" s="4" customFormat="1" ht="15" customHeight="1">
      <c r="A855" s="28" t="s">
        <v>2168</v>
      </c>
      <c r="B855" s="29">
        <v>3271.01</v>
      </c>
      <c r="C855" s="30" t="s">
        <v>2572</v>
      </c>
      <c r="D855" s="2">
        <v>4950365718</v>
      </c>
      <c r="E855" s="2" t="s">
        <v>14</v>
      </c>
      <c r="F855" s="2" t="s">
        <v>2573</v>
      </c>
      <c r="G855" s="28" t="s">
        <v>9</v>
      </c>
      <c r="H855" s="2" t="s">
        <v>23</v>
      </c>
      <c r="I855" s="2">
        <v>9</v>
      </c>
      <c r="J855" s="2"/>
      <c r="K855" s="2">
        <v>25656</v>
      </c>
      <c r="L855" s="35">
        <v>83921032.560000002</v>
      </c>
      <c r="M855" s="36">
        <v>600</v>
      </c>
      <c r="N855" s="40">
        <v>359923.84615384601</v>
      </c>
      <c r="O855" s="40">
        <v>429</v>
      </c>
      <c r="P855" s="40">
        <v>0</v>
      </c>
      <c r="Q855" s="40">
        <v>10324.038461538499</v>
      </c>
      <c r="R855" s="40">
        <v>22038.807692307699</v>
      </c>
      <c r="S855" s="40">
        <v>40887.230769230802</v>
      </c>
      <c r="T855" s="40">
        <v>30000</v>
      </c>
      <c r="U855" s="40">
        <v>240634.615384615</v>
      </c>
      <c r="V855" s="40">
        <v>0</v>
      </c>
      <c r="W855" s="45">
        <v>704237.53846153803</v>
      </c>
      <c r="X855" s="46">
        <v>0.83916691320264403</v>
      </c>
    </row>
    <row r="856" spans="1:24" s="4" customFormat="1" ht="15" customHeight="1">
      <c r="A856" s="28" t="s">
        <v>2168</v>
      </c>
      <c r="B856" s="29">
        <v>3271.01</v>
      </c>
      <c r="C856" s="30" t="s">
        <v>2572</v>
      </c>
      <c r="D856" s="2">
        <v>4950058292</v>
      </c>
      <c r="E856" s="2" t="s">
        <v>14</v>
      </c>
      <c r="F856" s="2" t="s">
        <v>2573</v>
      </c>
      <c r="G856" s="28" t="s">
        <v>9</v>
      </c>
      <c r="H856" s="2" t="s">
        <v>23</v>
      </c>
      <c r="I856" s="2">
        <v>9</v>
      </c>
      <c r="J856" s="2"/>
      <c r="K856" s="2">
        <v>19404</v>
      </c>
      <c r="L856" s="35">
        <v>63470678.039999999</v>
      </c>
      <c r="M856" s="36">
        <v>900</v>
      </c>
      <c r="N856" s="40">
        <v>539885.76923076902</v>
      </c>
      <c r="O856" s="40">
        <v>643.5</v>
      </c>
      <c r="P856" s="40">
        <v>0</v>
      </c>
      <c r="Q856" s="40">
        <v>15486.057692307701</v>
      </c>
      <c r="R856" s="40">
        <v>33058.211538461503</v>
      </c>
      <c r="S856" s="40">
        <v>61330.846153846098</v>
      </c>
      <c r="T856" s="40">
        <v>30000</v>
      </c>
      <c r="U856" s="40">
        <v>360951.92307692301</v>
      </c>
      <c r="V856" s="40">
        <v>0</v>
      </c>
      <c r="W856" s="45">
        <v>1041356.30769231</v>
      </c>
      <c r="X856" s="46">
        <v>1.6406888028453599</v>
      </c>
    </row>
    <row r="857" spans="1:24" s="4" customFormat="1" ht="15" customHeight="1">
      <c r="A857" s="28" t="s">
        <v>2168</v>
      </c>
      <c r="B857" s="29">
        <v>3271.01</v>
      </c>
      <c r="C857" s="30" t="s">
        <v>2584</v>
      </c>
      <c r="D857" s="2">
        <v>4948495883</v>
      </c>
      <c r="E857" s="2" t="s">
        <v>14</v>
      </c>
      <c r="F857" s="78" t="s">
        <v>2585</v>
      </c>
      <c r="G857" s="28" t="s">
        <v>5</v>
      </c>
      <c r="H857" s="2" t="s">
        <v>26</v>
      </c>
      <c r="I857" s="2">
        <v>1</v>
      </c>
      <c r="J857" s="2" t="s">
        <v>2586</v>
      </c>
      <c r="K857" s="2">
        <v>34939.199999999997</v>
      </c>
      <c r="L857" s="35">
        <v>114286472.59199999</v>
      </c>
      <c r="M857" s="36">
        <v>20080</v>
      </c>
      <c r="N857" s="40">
        <v>310751</v>
      </c>
      <c r="O857" s="40">
        <v>416041</v>
      </c>
      <c r="P857" s="40">
        <v>1171854</v>
      </c>
      <c r="Q857" s="40">
        <v>99309</v>
      </c>
      <c r="R857" s="40">
        <v>690209</v>
      </c>
      <c r="S857" s="40">
        <v>354356</v>
      </c>
      <c r="T857" s="40">
        <v>30000</v>
      </c>
      <c r="U857" s="40">
        <v>0</v>
      </c>
      <c r="V857" s="40">
        <v>0</v>
      </c>
      <c r="W857" s="45">
        <v>3072520</v>
      </c>
      <c r="X857" s="46">
        <v>2.6884371617355098</v>
      </c>
    </row>
    <row r="858" spans="1:24" s="4" customFormat="1" ht="15" customHeight="1">
      <c r="A858" s="28" t="s">
        <v>2168</v>
      </c>
      <c r="B858" s="29">
        <v>3271.01</v>
      </c>
      <c r="C858" s="30" t="s">
        <v>2587</v>
      </c>
      <c r="D858" s="2">
        <v>4949417130</v>
      </c>
      <c r="E858" s="2" t="s">
        <v>14</v>
      </c>
      <c r="F858" s="2" t="s">
        <v>2268</v>
      </c>
      <c r="G858" s="28" t="s">
        <v>9</v>
      </c>
      <c r="H858" s="2" t="s">
        <v>23</v>
      </c>
      <c r="I858" s="2">
        <v>1</v>
      </c>
      <c r="J858" s="2"/>
      <c r="K858" s="2">
        <v>5740</v>
      </c>
      <c r="L858" s="35">
        <v>18775597.399999999</v>
      </c>
      <c r="M858" s="36">
        <v>1000</v>
      </c>
      <c r="N858" s="40">
        <v>761725.75</v>
      </c>
      <c r="O858" s="40">
        <v>0</v>
      </c>
      <c r="P858" s="40">
        <v>57118.25</v>
      </c>
      <c r="Q858" s="40">
        <v>0</v>
      </c>
      <c r="R858" s="40">
        <v>45108.5</v>
      </c>
      <c r="S858" s="40">
        <v>88589</v>
      </c>
      <c r="T858" s="40">
        <v>30000</v>
      </c>
      <c r="U858" s="40">
        <v>814580.25</v>
      </c>
      <c r="V858" s="40">
        <v>0</v>
      </c>
      <c r="W858" s="45">
        <v>1797121.75</v>
      </c>
      <c r="X858" s="46">
        <v>9.5715822602800404</v>
      </c>
    </row>
    <row r="859" spans="1:24" s="4" customFormat="1" ht="15" customHeight="1">
      <c r="A859" s="28" t="s">
        <v>2168</v>
      </c>
      <c r="B859" s="29">
        <v>3271.01</v>
      </c>
      <c r="C859" s="30" t="s">
        <v>2591</v>
      </c>
      <c r="D859" s="2">
        <v>4950216840</v>
      </c>
      <c r="E859" s="2" t="s">
        <v>14</v>
      </c>
      <c r="F859" s="2" t="s">
        <v>2592</v>
      </c>
      <c r="G859" s="28" t="s">
        <v>5</v>
      </c>
      <c r="H859" s="2" t="s">
        <v>17</v>
      </c>
      <c r="I859" s="2">
        <v>1</v>
      </c>
      <c r="J859" s="2" t="s">
        <v>2593</v>
      </c>
      <c r="K859" s="2">
        <v>21800</v>
      </c>
      <c r="L859" s="35">
        <v>71308018</v>
      </c>
      <c r="M859" s="36">
        <v>5000</v>
      </c>
      <c r="N859" s="40">
        <v>132372</v>
      </c>
      <c r="O859" s="40">
        <v>178544</v>
      </c>
      <c r="P859" s="40">
        <v>0</v>
      </c>
      <c r="Q859" s="40">
        <v>39723.599999999999</v>
      </c>
      <c r="R859" s="40">
        <v>298072</v>
      </c>
      <c r="S859" s="40">
        <v>141742.39999999999</v>
      </c>
      <c r="T859" s="40">
        <v>30000</v>
      </c>
      <c r="U859" s="40">
        <v>2180560</v>
      </c>
      <c r="V859" s="40">
        <v>0</v>
      </c>
      <c r="W859" s="45">
        <v>3001014</v>
      </c>
      <c r="X859" s="46">
        <v>4.2085225254753302</v>
      </c>
    </row>
    <row r="860" spans="1:24" s="4" customFormat="1" ht="15" customHeight="1">
      <c r="A860" s="28" t="s">
        <v>2168</v>
      </c>
      <c r="B860" s="29">
        <v>3271.01</v>
      </c>
      <c r="C860" s="30" t="s">
        <v>2591</v>
      </c>
      <c r="D860" s="2">
        <v>4950216839</v>
      </c>
      <c r="E860" s="2" t="s">
        <v>14</v>
      </c>
      <c r="F860" s="2" t="s">
        <v>2592</v>
      </c>
      <c r="G860" s="28" t="s">
        <v>5</v>
      </c>
      <c r="H860" s="2" t="s">
        <v>17</v>
      </c>
      <c r="I860" s="2">
        <v>1</v>
      </c>
      <c r="J860" s="2" t="s">
        <v>2593</v>
      </c>
      <c r="K860" s="2">
        <v>32700</v>
      </c>
      <c r="L860" s="35">
        <v>106962027</v>
      </c>
      <c r="M860" s="36">
        <v>7500</v>
      </c>
      <c r="N860" s="40">
        <v>198558</v>
      </c>
      <c r="O860" s="40">
        <v>267816</v>
      </c>
      <c r="P860" s="40">
        <v>0</v>
      </c>
      <c r="Q860" s="40">
        <v>59585.4</v>
      </c>
      <c r="R860" s="40">
        <v>447108</v>
      </c>
      <c r="S860" s="40">
        <v>212613.6</v>
      </c>
      <c r="T860" s="40">
        <v>30000</v>
      </c>
      <c r="U860" s="40">
        <v>3270840</v>
      </c>
      <c r="V860" s="40">
        <v>0</v>
      </c>
      <c r="W860" s="45">
        <v>4486521</v>
      </c>
      <c r="X860" s="46">
        <v>4.1944988570569999</v>
      </c>
    </row>
    <row r="861" spans="1:24" s="4" customFormat="1" ht="15" customHeight="1">
      <c r="A861" s="28" t="s">
        <v>2168</v>
      </c>
      <c r="B861" s="29">
        <v>3271.01</v>
      </c>
      <c r="C861" s="30" t="s">
        <v>2594</v>
      </c>
      <c r="D861" s="2">
        <v>4950060156</v>
      </c>
      <c r="E861" s="2" t="s">
        <v>14</v>
      </c>
      <c r="F861" s="2" t="s">
        <v>2595</v>
      </c>
      <c r="G861" s="28" t="s">
        <v>5</v>
      </c>
      <c r="H861" s="2" t="s">
        <v>17</v>
      </c>
      <c r="I861" s="2">
        <v>1</v>
      </c>
      <c r="J861" s="2" t="s">
        <v>2596</v>
      </c>
      <c r="K861" s="2">
        <v>24200.400000000001</v>
      </c>
      <c r="L861" s="35">
        <v>79159750.403999999</v>
      </c>
      <c r="M861" s="36">
        <v>18060</v>
      </c>
      <c r="N861" s="40">
        <v>0</v>
      </c>
      <c r="O861" s="40">
        <v>446360</v>
      </c>
      <c r="P861" s="40">
        <v>156776</v>
      </c>
      <c r="Q861" s="40">
        <v>99309</v>
      </c>
      <c r="R861" s="40">
        <v>741483</v>
      </c>
      <c r="S861" s="40">
        <v>354356</v>
      </c>
      <c r="T861" s="40">
        <v>30000</v>
      </c>
      <c r="U861" s="40">
        <v>0</v>
      </c>
      <c r="V861" s="40">
        <v>0</v>
      </c>
      <c r="W861" s="45">
        <v>1828284</v>
      </c>
      <c r="X861" s="46">
        <v>2.30961314388836</v>
      </c>
    </row>
    <row r="862" spans="1:24" s="4" customFormat="1" ht="15" customHeight="1">
      <c r="A862" s="28" t="s">
        <v>2168</v>
      </c>
      <c r="B862" s="29">
        <v>3271.01</v>
      </c>
      <c r="C862" s="30" t="s">
        <v>2597</v>
      </c>
      <c r="D862" s="2">
        <v>4950365736</v>
      </c>
      <c r="E862" s="2" t="s">
        <v>14</v>
      </c>
      <c r="F862" s="2" t="s">
        <v>2598</v>
      </c>
      <c r="G862" s="28" t="s">
        <v>9</v>
      </c>
      <c r="H862" s="2" t="s">
        <v>23</v>
      </c>
      <c r="I862" s="2">
        <v>1</v>
      </c>
      <c r="J862" s="2"/>
      <c r="K862" s="2">
        <v>674</v>
      </c>
      <c r="L862" s="35">
        <v>2204660.7400000002</v>
      </c>
      <c r="M862" s="36">
        <v>40</v>
      </c>
      <c r="N862" s="40">
        <v>464422</v>
      </c>
      <c r="O862" s="40">
        <v>33</v>
      </c>
      <c r="P862" s="40">
        <v>0</v>
      </c>
      <c r="Q862" s="40">
        <v>1046</v>
      </c>
      <c r="R862" s="40">
        <v>86574</v>
      </c>
      <c r="S862" s="40">
        <v>354356</v>
      </c>
      <c r="T862" s="40">
        <v>30000</v>
      </c>
      <c r="U862" s="40">
        <v>52603.8461538462</v>
      </c>
      <c r="V862" s="40">
        <v>0</v>
      </c>
      <c r="W862" s="45">
        <v>989034.84615384601</v>
      </c>
      <c r="X862" s="46">
        <v>44.861090335098297</v>
      </c>
    </row>
    <row r="863" spans="1:24" s="4" customFormat="1" ht="15" customHeight="1">
      <c r="A863" s="28" t="s">
        <v>2168</v>
      </c>
      <c r="B863" s="29">
        <v>3271.01</v>
      </c>
      <c r="C863" s="30" t="s">
        <v>2604</v>
      </c>
      <c r="D863" s="2">
        <v>4949718149</v>
      </c>
      <c r="E863" s="2" t="s">
        <v>14</v>
      </c>
      <c r="F863" s="2" t="s">
        <v>2605</v>
      </c>
      <c r="G863" s="28" t="s">
        <v>5</v>
      </c>
      <c r="H863" s="2" t="s">
        <v>17</v>
      </c>
      <c r="I863" s="2">
        <v>1</v>
      </c>
      <c r="J863" s="2" t="s">
        <v>2606</v>
      </c>
      <c r="K863" s="2">
        <v>3855.6</v>
      </c>
      <c r="L863" s="35">
        <v>12611706.155999999</v>
      </c>
      <c r="M863" s="36">
        <v>840</v>
      </c>
      <c r="N863" s="40">
        <v>30382.0134831461</v>
      </c>
      <c r="O863" s="40">
        <v>28085.5730337079</v>
      </c>
      <c r="P863" s="40">
        <v>0</v>
      </c>
      <c r="Q863" s="40">
        <v>6248.6561797752802</v>
      </c>
      <c r="R863" s="40">
        <v>47869.474157303397</v>
      </c>
      <c r="S863" s="40">
        <v>22296.557303370799</v>
      </c>
      <c r="T863" s="40">
        <v>30000</v>
      </c>
      <c r="U863" s="40">
        <v>342704.26966292103</v>
      </c>
      <c r="V863" s="40">
        <v>0</v>
      </c>
      <c r="W863" s="45">
        <v>507586.543820224</v>
      </c>
      <c r="X863" s="46">
        <v>4.0247254220931996</v>
      </c>
    </row>
    <row r="864" spans="1:24" s="4" customFormat="1" ht="15" customHeight="1">
      <c r="A864" s="28" t="s">
        <v>2168</v>
      </c>
      <c r="B864" s="29">
        <v>3271.01</v>
      </c>
      <c r="C864" s="30" t="s">
        <v>2604</v>
      </c>
      <c r="D864" s="2">
        <v>4949718149</v>
      </c>
      <c r="E864" s="2" t="s">
        <v>14</v>
      </c>
      <c r="F864" s="2" t="s">
        <v>2605</v>
      </c>
      <c r="G864" s="28" t="s">
        <v>5</v>
      </c>
      <c r="H864" s="2" t="s">
        <v>17</v>
      </c>
      <c r="I864" s="2">
        <v>1</v>
      </c>
      <c r="J864" s="2" t="s">
        <v>2606</v>
      </c>
      <c r="K864" s="2">
        <v>10290</v>
      </c>
      <c r="L864" s="35">
        <v>33658692.899999999</v>
      </c>
      <c r="M864" s="36">
        <v>3500</v>
      </c>
      <c r="N864" s="40">
        <v>126591.722846442</v>
      </c>
      <c r="O864" s="40">
        <v>117023.220973783</v>
      </c>
      <c r="P864" s="40">
        <v>0</v>
      </c>
      <c r="Q864" s="40">
        <v>26036.0674157303</v>
      </c>
      <c r="R864" s="40">
        <v>199456.80898876401</v>
      </c>
      <c r="S864" s="40">
        <v>92902.322097378303</v>
      </c>
      <c r="T864" s="40">
        <v>30000</v>
      </c>
      <c r="U864" s="40">
        <v>1427934.4569288399</v>
      </c>
      <c r="V864" s="40">
        <v>0</v>
      </c>
      <c r="W864" s="45">
        <v>2019944.5992509399</v>
      </c>
      <c r="X864" s="46">
        <v>6.0012568083145501</v>
      </c>
    </row>
    <row r="865" spans="1:24" s="4" customFormat="1" ht="15" customHeight="1">
      <c r="A865" s="28" t="s">
        <v>2168</v>
      </c>
      <c r="B865" s="29">
        <v>3271.01</v>
      </c>
      <c r="C865" s="30" t="s">
        <v>2604</v>
      </c>
      <c r="D865" s="2">
        <v>4950365724</v>
      </c>
      <c r="E865" s="2" t="s">
        <v>14</v>
      </c>
      <c r="F865" s="2" t="s">
        <v>2605</v>
      </c>
      <c r="G865" s="28" t="s">
        <v>5</v>
      </c>
      <c r="H865" s="2" t="s">
        <v>17</v>
      </c>
      <c r="I865" s="2">
        <v>1</v>
      </c>
      <c r="J865" s="2" t="s">
        <v>2606</v>
      </c>
      <c r="K865" s="2">
        <v>6201</v>
      </c>
      <c r="L865" s="35">
        <v>20283533.010000002</v>
      </c>
      <c r="M865" s="36">
        <v>1325</v>
      </c>
      <c r="N865" s="40">
        <v>47924.009363295903</v>
      </c>
      <c r="O865" s="40">
        <v>44301.647940074901</v>
      </c>
      <c r="P865" s="40">
        <v>0</v>
      </c>
      <c r="Q865" s="40">
        <v>9856.5112359550603</v>
      </c>
      <c r="R865" s="40">
        <v>75508.634831460702</v>
      </c>
      <c r="S865" s="40">
        <v>35170.164794007498</v>
      </c>
      <c r="T865" s="40">
        <v>30000</v>
      </c>
      <c r="U865" s="40">
        <v>540575.18726591801</v>
      </c>
      <c r="V865" s="40">
        <v>0</v>
      </c>
      <c r="W865" s="45">
        <v>783336.15543071204</v>
      </c>
      <c r="X865" s="46">
        <v>3.8619315236873102</v>
      </c>
    </row>
    <row r="866" spans="1:24" s="4" customFormat="1" ht="15" customHeight="1">
      <c r="A866" s="28" t="s">
        <v>2168</v>
      </c>
      <c r="B866" s="29">
        <v>3271.01</v>
      </c>
      <c r="C866" s="30" t="s">
        <v>2604</v>
      </c>
      <c r="D866" s="2">
        <v>4950365724</v>
      </c>
      <c r="E866" s="2" t="s">
        <v>14</v>
      </c>
      <c r="F866" s="2" t="s">
        <v>2605</v>
      </c>
      <c r="G866" s="28" t="s">
        <v>5</v>
      </c>
      <c r="H866" s="2" t="s">
        <v>17</v>
      </c>
      <c r="I866" s="2">
        <v>1</v>
      </c>
      <c r="J866" s="2" t="s">
        <v>2606</v>
      </c>
      <c r="K866" s="2">
        <v>1659</v>
      </c>
      <c r="L866" s="35">
        <v>5426605.5899999999</v>
      </c>
      <c r="M866" s="36">
        <v>175</v>
      </c>
      <c r="N866" s="40">
        <v>6329.5861423221004</v>
      </c>
      <c r="O866" s="40">
        <v>5851.1610486891404</v>
      </c>
      <c r="P866" s="40">
        <v>0</v>
      </c>
      <c r="Q866" s="40">
        <v>1301.80337078652</v>
      </c>
      <c r="R866" s="40">
        <v>9973.1404494382004</v>
      </c>
      <c r="S866" s="40">
        <v>4645.11610486891</v>
      </c>
      <c r="T866" s="40">
        <v>30000</v>
      </c>
      <c r="U866" s="40">
        <v>71396.722846441902</v>
      </c>
      <c r="V866" s="40">
        <v>0</v>
      </c>
      <c r="W866" s="45">
        <v>129497.52996254701</v>
      </c>
      <c r="X866" s="46">
        <v>2.38634497781046</v>
      </c>
    </row>
    <row r="867" spans="1:24" s="4" customFormat="1" ht="15" customHeight="1">
      <c r="A867" s="28" t="s">
        <v>2168</v>
      </c>
      <c r="B867" s="29">
        <v>3271.01</v>
      </c>
      <c r="C867" s="30" t="s">
        <v>2604</v>
      </c>
      <c r="D867" s="2">
        <v>4949590100</v>
      </c>
      <c r="E867" s="2" t="s">
        <v>14</v>
      </c>
      <c r="F867" s="2" t="s">
        <v>2605</v>
      </c>
      <c r="G867" s="28" t="s">
        <v>5</v>
      </c>
      <c r="H867" s="2" t="s">
        <v>17</v>
      </c>
      <c r="I867" s="2">
        <v>1</v>
      </c>
      <c r="J867" s="2" t="s">
        <v>2606</v>
      </c>
      <c r="K867" s="2">
        <v>3165.2</v>
      </c>
      <c r="L867" s="35">
        <v>10353400.852</v>
      </c>
      <c r="M867" s="36">
        <v>820</v>
      </c>
      <c r="N867" s="40">
        <v>29658.6322097378</v>
      </c>
      <c r="O867" s="40">
        <v>27416.868913857699</v>
      </c>
      <c r="P867" s="40">
        <v>0</v>
      </c>
      <c r="Q867" s="40">
        <v>6099.8786516853897</v>
      </c>
      <c r="R867" s="40">
        <v>46730.343820224698</v>
      </c>
      <c r="S867" s="40">
        <v>21765.686891385802</v>
      </c>
      <c r="T867" s="40">
        <v>30000</v>
      </c>
      <c r="U867" s="40">
        <v>334544.64419475698</v>
      </c>
      <c r="V867" s="40">
        <v>0</v>
      </c>
      <c r="W867" s="45">
        <v>496216.05468164798</v>
      </c>
      <c r="X867" s="46">
        <v>4.7927831808597698</v>
      </c>
    </row>
    <row r="868" spans="1:24" s="4" customFormat="1" ht="15" customHeight="1">
      <c r="A868" s="28" t="s">
        <v>2168</v>
      </c>
      <c r="B868" s="29">
        <v>3271.01</v>
      </c>
      <c r="C868" s="30" t="s">
        <v>2604</v>
      </c>
      <c r="D868" s="2">
        <v>4949662471</v>
      </c>
      <c r="E868" s="2" t="s">
        <v>14</v>
      </c>
      <c r="F868" s="2" t="s">
        <v>2605</v>
      </c>
      <c r="G868" s="28" t="s">
        <v>5</v>
      </c>
      <c r="H868" s="2" t="s">
        <v>17</v>
      </c>
      <c r="I868" s="2">
        <v>1</v>
      </c>
      <c r="J868" s="2" t="s">
        <v>2606</v>
      </c>
      <c r="K868" s="2">
        <v>13689</v>
      </c>
      <c r="L868" s="35">
        <v>44776855.890000001</v>
      </c>
      <c r="M868" s="36">
        <v>5850</v>
      </c>
      <c r="N868" s="40">
        <v>211589.02247190999</v>
      </c>
      <c r="O868" s="40">
        <v>195595.95505618001</v>
      </c>
      <c r="P868" s="40">
        <v>0</v>
      </c>
      <c r="Q868" s="40">
        <v>43517.4269662921</v>
      </c>
      <c r="R868" s="40">
        <v>333378.12359550601</v>
      </c>
      <c r="S868" s="40">
        <v>155279.595505618</v>
      </c>
      <c r="T868" s="40">
        <v>30000</v>
      </c>
      <c r="U868" s="40">
        <v>2386690.4494381999</v>
      </c>
      <c r="V868" s="40">
        <v>0</v>
      </c>
      <c r="W868" s="45">
        <v>3356050.57303371</v>
      </c>
      <c r="X868" s="46">
        <v>7.4950563328480904</v>
      </c>
    </row>
    <row r="869" spans="1:24" s="4" customFormat="1" ht="15" customHeight="1">
      <c r="A869" s="28" t="s">
        <v>2168</v>
      </c>
      <c r="B869" s="29">
        <v>3271.01</v>
      </c>
      <c r="C869" s="30" t="s">
        <v>2604</v>
      </c>
      <c r="D869" s="2">
        <v>4950058264</v>
      </c>
      <c r="E869" s="2" t="s">
        <v>14</v>
      </c>
      <c r="F869" s="2" t="s">
        <v>2605</v>
      </c>
      <c r="G869" s="28" t="s">
        <v>5</v>
      </c>
      <c r="H869" s="2" t="s">
        <v>17</v>
      </c>
      <c r="I869" s="2">
        <v>1</v>
      </c>
      <c r="J869" s="2" t="s">
        <v>2606</v>
      </c>
      <c r="K869" s="2">
        <v>3645.6</v>
      </c>
      <c r="L869" s="35">
        <v>11924794.056</v>
      </c>
      <c r="M869" s="36">
        <v>840</v>
      </c>
      <c r="N869" s="40">
        <v>30382.0134831461</v>
      </c>
      <c r="O869" s="40">
        <v>28085.5730337079</v>
      </c>
      <c r="P869" s="40">
        <v>0</v>
      </c>
      <c r="Q869" s="40">
        <v>6248.6561797752802</v>
      </c>
      <c r="R869" s="40">
        <v>47869.474157303397</v>
      </c>
      <c r="S869" s="40">
        <v>22296.557303370799</v>
      </c>
      <c r="T869" s="40">
        <v>30000</v>
      </c>
      <c r="U869" s="40">
        <v>342704.26966292103</v>
      </c>
      <c r="V869" s="40">
        <v>0</v>
      </c>
      <c r="W869" s="45">
        <v>507586.543820224</v>
      </c>
      <c r="X869" s="46">
        <v>4.2565644441031703</v>
      </c>
    </row>
    <row r="870" spans="1:24" s="4" customFormat="1" ht="15" customHeight="1">
      <c r="A870" s="28" t="s">
        <v>2168</v>
      </c>
      <c r="B870" s="29">
        <v>3271.01</v>
      </c>
      <c r="C870" s="30" t="s">
        <v>2615</v>
      </c>
      <c r="D870" s="2">
        <v>4950585737</v>
      </c>
      <c r="E870" s="2" t="s">
        <v>14</v>
      </c>
      <c r="F870" s="78" t="s">
        <v>2616</v>
      </c>
      <c r="G870" s="28" t="s">
        <v>9</v>
      </c>
      <c r="H870" s="2" t="s">
        <v>23</v>
      </c>
      <c r="I870" s="2">
        <v>3</v>
      </c>
      <c r="J870" s="2"/>
      <c r="K870" s="2">
        <v>6372.6</v>
      </c>
      <c r="L870" s="35">
        <v>20844838.326000001</v>
      </c>
      <c r="M870" s="36">
        <v>2580</v>
      </c>
      <c r="N870" s="40">
        <v>803977</v>
      </c>
      <c r="O870" s="40">
        <v>1872</v>
      </c>
      <c r="P870" s="40">
        <v>0</v>
      </c>
      <c r="Q870" s="40">
        <v>44487</v>
      </c>
      <c r="R870" s="40">
        <v>136394</v>
      </c>
      <c r="S870" s="40">
        <v>354356</v>
      </c>
      <c r="T870" s="40">
        <v>30000</v>
      </c>
      <c r="U870" s="40">
        <v>1552839.82683983</v>
      </c>
      <c r="V870" s="40">
        <v>0</v>
      </c>
      <c r="W870" s="45">
        <v>2923925.8268398298</v>
      </c>
      <c r="X870" s="46">
        <v>14.027097649362799</v>
      </c>
    </row>
    <row r="871" spans="1:24" s="4" customFormat="1" ht="15" customHeight="1">
      <c r="A871" s="28" t="s">
        <v>2168</v>
      </c>
      <c r="B871" s="29">
        <v>3271.01</v>
      </c>
      <c r="C871" s="30" t="s">
        <v>2630</v>
      </c>
      <c r="D871" s="2">
        <v>4950443831</v>
      </c>
      <c r="E871" s="2" t="s">
        <v>14</v>
      </c>
      <c r="F871" s="78" t="s">
        <v>2631</v>
      </c>
      <c r="G871" s="28" t="s">
        <v>9</v>
      </c>
      <c r="H871" s="2" t="s">
        <v>23</v>
      </c>
      <c r="I871" s="2">
        <v>22</v>
      </c>
      <c r="J871" s="2"/>
      <c r="K871" s="2">
        <v>2529.6</v>
      </c>
      <c r="L871" s="35">
        <v>8274346.8959999997</v>
      </c>
      <c r="M871" s="36">
        <v>340</v>
      </c>
      <c r="N871" s="40">
        <v>87594.398058252395</v>
      </c>
      <c r="O871" s="40">
        <v>245.881067961165</v>
      </c>
      <c r="P871" s="40">
        <v>37815.550970873803</v>
      </c>
      <c r="Q871" s="40">
        <v>7487.3859223300997</v>
      </c>
      <c r="R871" s="40">
        <v>14163.3519417476</v>
      </c>
      <c r="S871" s="40">
        <v>14621.485436893199</v>
      </c>
      <c r="T871" s="40">
        <v>30000</v>
      </c>
      <c r="U871" s="40">
        <v>220133.49514563099</v>
      </c>
      <c r="V871" s="40">
        <v>0</v>
      </c>
      <c r="W871" s="45">
        <v>412061.54854368902</v>
      </c>
      <c r="X871" s="46">
        <v>4.97998879818405</v>
      </c>
    </row>
    <row r="872" spans="1:24" s="4" customFormat="1" ht="15" customHeight="1">
      <c r="A872" s="28" t="s">
        <v>2168</v>
      </c>
      <c r="B872" s="29">
        <v>3271.01</v>
      </c>
      <c r="C872" s="30" t="s">
        <v>2630</v>
      </c>
      <c r="D872" s="2">
        <v>4950210632</v>
      </c>
      <c r="E872" s="2" t="s">
        <v>14</v>
      </c>
      <c r="F872" s="78" t="s">
        <v>2631</v>
      </c>
      <c r="G872" s="28" t="s">
        <v>9</v>
      </c>
      <c r="H872" s="2" t="s">
        <v>23</v>
      </c>
      <c r="I872" s="2">
        <v>22</v>
      </c>
      <c r="J872" s="2"/>
      <c r="K872" s="2">
        <v>1117.2</v>
      </c>
      <c r="L872" s="35">
        <v>3654372.372</v>
      </c>
      <c r="M872" s="36">
        <v>420</v>
      </c>
      <c r="N872" s="40">
        <v>108204.84466019399</v>
      </c>
      <c r="O872" s="40">
        <v>303.735436893204</v>
      </c>
      <c r="P872" s="40">
        <v>46713.327669902901</v>
      </c>
      <c r="Q872" s="40">
        <v>9249.1237864077702</v>
      </c>
      <c r="R872" s="40">
        <v>17495.905339805799</v>
      </c>
      <c r="S872" s="40">
        <v>18061.834951456301</v>
      </c>
      <c r="T872" s="40">
        <v>30000</v>
      </c>
      <c r="U872" s="40">
        <v>271929.61165048502</v>
      </c>
      <c r="V872" s="40">
        <v>0</v>
      </c>
      <c r="W872" s="45">
        <v>501958.38349514501</v>
      </c>
      <c r="X872" s="46">
        <v>13.7358301890956</v>
      </c>
    </row>
    <row r="873" spans="1:24" s="4" customFormat="1" ht="15" customHeight="1">
      <c r="A873" s="28" t="s">
        <v>2168</v>
      </c>
      <c r="B873" s="29">
        <v>3271.01</v>
      </c>
      <c r="C873" s="30" t="s">
        <v>2630</v>
      </c>
      <c r="D873" s="2">
        <v>4949781209</v>
      </c>
      <c r="E873" s="2" t="s">
        <v>14</v>
      </c>
      <c r="F873" s="78" t="s">
        <v>2631</v>
      </c>
      <c r="G873" s="28" t="s">
        <v>9</v>
      </c>
      <c r="H873" s="2" t="s">
        <v>23</v>
      </c>
      <c r="I873" s="2">
        <v>22</v>
      </c>
      <c r="J873" s="2"/>
      <c r="K873" s="2">
        <v>1426</v>
      </c>
      <c r="L873" s="35">
        <v>4664460.26</v>
      </c>
      <c r="M873" s="36">
        <v>100</v>
      </c>
      <c r="N873" s="40">
        <v>25763.058252427199</v>
      </c>
      <c r="O873" s="40">
        <v>72.317961165048501</v>
      </c>
      <c r="P873" s="40">
        <v>11122.2208737864</v>
      </c>
      <c r="Q873" s="40">
        <v>2202.1723300970898</v>
      </c>
      <c r="R873" s="40">
        <v>4165.6917475728196</v>
      </c>
      <c r="S873" s="40">
        <v>4300.4368932038797</v>
      </c>
      <c r="T873" s="40">
        <v>30000</v>
      </c>
      <c r="U873" s="40">
        <v>64745.145631068001</v>
      </c>
      <c r="V873" s="40">
        <v>0</v>
      </c>
      <c r="W873" s="45">
        <v>142371.04368932001</v>
      </c>
      <c r="X873" s="46">
        <v>3.0522511877788099</v>
      </c>
    </row>
    <row r="874" spans="1:24" s="4" customFormat="1" ht="15" customHeight="1">
      <c r="A874" s="28" t="s">
        <v>2168</v>
      </c>
      <c r="B874" s="29">
        <v>3271.01</v>
      </c>
      <c r="C874" s="30" t="s">
        <v>2630</v>
      </c>
      <c r="D874" s="2">
        <v>4950058257</v>
      </c>
      <c r="E874" s="2" t="s">
        <v>14</v>
      </c>
      <c r="F874" s="78" t="s">
        <v>2631</v>
      </c>
      <c r="G874" s="28" t="s">
        <v>9</v>
      </c>
      <c r="H874" s="2" t="s">
        <v>23</v>
      </c>
      <c r="I874" s="2">
        <v>22</v>
      </c>
      <c r="J874" s="2"/>
      <c r="K874" s="2">
        <v>3122</v>
      </c>
      <c r="L874" s="35">
        <v>10212093.220000001</v>
      </c>
      <c r="M874" s="36">
        <v>700</v>
      </c>
      <c r="N874" s="40">
        <v>180341.40776699001</v>
      </c>
      <c r="O874" s="40">
        <v>506.22572815533999</v>
      </c>
      <c r="P874" s="40">
        <v>77855.546116504906</v>
      </c>
      <c r="Q874" s="40">
        <v>15415.206310679599</v>
      </c>
      <c r="R874" s="40">
        <v>29159.842233009698</v>
      </c>
      <c r="S874" s="40">
        <v>30103.058252427199</v>
      </c>
      <c r="T874" s="40">
        <v>30000</v>
      </c>
      <c r="U874" s="40">
        <v>453216.01941747603</v>
      </c>
      <c r="V874" s="40">
        <v>0</v>
      </c>
      <c r="W874" s="45">
        <v>816597.30582524301</v>
      </c>
      <c r="X874" s="46">
        <v>7.9963753584423598</v>
      </c>
    </row>
    <row r="875" spans="1:24" s="4" customFormat="1" ht="15" customHeight="1">
      <c r="A875" s="28" t="s">
        <v>2168</v>
      </c>
      <c r="B875" s="29">
        <v>3271.01</v>
      </c>
      <c r="C875" s="30" t="s">
        <v>2630</v>
      </c>
      <c r="D875" s="2">
        <v>4950443831</v>
      </c>
      <c r="E875" s="2" t="s">
        <v>14</v>
      </c>
      <c r="F875" s="78" t="s">
        <v>2631</v>
      </c>
      <c r="G875" s="28" t="s">
        <v>9</v>
      </c>
      <c r="H875" s="2" t="s">
        <v>23</v>
      </c>
      <c r="I875" s="2">
        <v>22</v>
      </c>
      <c r="J875" s="2"/>
      <c r="K875" s="2">
        <v>15722</v>
      </c>
      <c r="L875" s="35">
        <v>51426819.219999999</v>
      </c>
      <c r="M875" s="36">
        <v>1400</v>
      </c>
      <c r="N875" s="40">
        <v>360682.81553398102</v>
      </c>
      <c r="O875" s="40">
        <v>1012.45145631068</v>
      </c>
      <c r="P875" s="40">
        <v>155711.09223300999</v>
      </c>
      <c r="Q875" s="40">
        <v>30830.412621359199</v>
      </c>
      <c r="R875" s="40">
        <v>58319.684466019396</v>
      </c>
      <c r="S875" s="40">
        <v>60206.116504854399</v>
      </c>
      <c r="T875" s="40">
        <v>30000</v>
      </c>
      <c r="U875" s="40">
        <v>906432.038834951</v>
      </c>
      <c r="V875" s="40">
        <v>0</v>
      </c>
      <c r="W875" s="45">
        <v>1603194.61165049</v>
      </c>
      <c r="X875" s="46">
        <v>3.11742906904691</v>
      </c>
    </row>
    <row r="876" spans="1:24" s="4" customFormat="1" ht="15" customHeight="1">
      <c r="A876" s="28" t="s">
        <v>2168</v>
      </c>
      <c r="B876" s="29">
        <v>3271.01</v>
      </c>
      <c r="C876" s="30" t="s">
        <v>2630</v>
      </c>
      <c r="D876" s="2">
        <v>4950210634</v>
      </c>
      <c r="E876" s="2" t="s">
        <v>14</v>
      </c>
      <c r="F876" s="78" t="s">
        <v>2631</v>
      </c>
      <c r="G876" s="28" t="s">
        <v>9</v>
      </c>
      <c r="H876" s="2" t="s">
        <v>23</v>
      </c>
      <c r="I876" s="2">
        <v>22</v>
      </c>
      <c r="J876" s="2"/>
      <c r="K876" s="2">
        <v>302.60000000000002</v>
      </c>
      <c r="L876" s="35">
        <v>989807.62600000005</v>
      </c>
      <c r="M876" s="36">
        <v>20</v>
      </c>
      <c r="N876" s="40">
        <v>5152.6116504854399</v>
      </c>
      <c r="O876" s="40">
        <v>14.463592233009701</v>
      </c>
      <c r="P876" s="40">
        <v>2224.4441747572801</v>
      </c>
      <c r="Q876" s="40">
        <v>440.43446601941702</v>
      </c>
      <c r="R876" s="40">
        <v>833.13834951456295</v>
      </c>
      <c r="S876" s="40">
        <v>860.08737864077705</v>
      </c>
      <c r="T876" s="40">
        <v>30000</v>
      </c>
      <c r="U876" s="40">
        <v>12949.0291262136</v>
      </c>
      <c r="V876" s="40">
        <v>0</v>
      </c>
      <c r="W876" s="45">
        <v>52474.208737864101</v>
      </c>
      <c r="X876" s="46">
        <v>5.3014552888344904</v>
      </c>
    </row>
    <row r="877" spans="1:24" s="4" customFormat="1" ht="15" customHeight="1">
      <c r="A877" s="28" t="s">
        <v>2168</v>
      </c>
      <c r="B877" s="29">
        <v>3271.01</v>
      </c>
      <c r="C877" s="30" t="s">
        <v>2630</v>
      </c>
      <c r="D877" s="2">
        <v>4950365721</v>
      </c>
      <c r="E877" s="2" t="s">
        <v>14</v>
      </c>
      <c r="F877" s="78" t="s">
        <v>2631</v>
      </c>
      <c r="G877" s="28" t="s">
        <v>9</v>
      </c>
      <c r="H877" s="2" t="s">
        <v>23</v>
      </c>
      <c r="I877" s="2">
        <v>22</v>
      </c>
      <c r="J877" s="2"/>
      <c r="K877" s="2">
        <v>6696</v>
      </c>
      <c r="L877" s="35">
        <v>21902682.960000001</v>
      </c>
      <c r="M877" s="36">
        <v>1440</v>
      </c>
      <c r="N877" s="40">
        <v>370988.038834951</v>
      </c>
      <c r="O877" s="40">
        <v>1041.3786407767</v>
      </c>
      <c r="P877" s="40">
        <v>160159.980582524</v>
      </c>
      <c r="Q877" s="40">
        <v>31711.281553398101</v>
      </c>
      <c r="R877" s="40">
        <v>59985.961165048502</v>
      </c>
      <c r="S877" s="40">
        <v>61926.291262135899</v>
      </c>
      <c r="T877" s="40">
        <v>30000</v>
      </c>
      <c r="U877" s="40">
        <v>932330.09708737896</v>
      </c>
      <c r="V877" s="40">
        <v>0</v>
      </c>
      <c r="W877" s="45">
        <v>1648143.0291262099</v>
      </c>
      <c r="X877" s="46">
        <v>7.5248453905676804</v>
      </c>
    </row>
    <row r="878" spans="1:24" s="4" customFormat="1" ht="15" customHeight="1">
      <c r="A878" s="28" t="s">
        <v>2168</v>
      </c>
      <c r="B878" s="29">
        <v>3271.01</v>
      </c>
      <c r="C878" s="30" t="s">
        <v>2630</v>
      </c>
      <c r="D878" s="2">
        <v>4950210634</v>
      </c>
      <c r="E878" s="2" t="s">
        <v>14</v>
      </c>
      <c r="F878" s="78" t="s">
        <v>2631</v>
      </c>
      <c r="G878" s="28" t="s">
        <v>9</v>
      </c>
      <c r="H878" s="2" t="s">
        <v>23</v>
      </c>
      <c r="I878" s="2">
        <v>22</v>
      </c>
      <c r="J878" s="2"/>
      <c r="K878" s="2">
        <v>271.8</v>
      </c>
      <c r="L878" s="35">
        <v>889060.51800000004</v>
      </c>
      <c r="M878" s="36">
        <v>20</v>
      </c>
      <c r="N878" s="40">
        <v>5152.6116504854399</v>
      </c>
      <c r="O878" s="40">
        <v>14.463592233009701</v>
      </c>
      <c r="P878" s="40">
        <v>2224.4441747572801</v>
      </c>
      <c r="Q878" s="40">
        <v>440.43446601941702</v>
      </c>
      <c r="R878" s="40">
        <v>833.13834951456295</v>
      </c>
      <c r="S878" s="40">
        <v>860.08737864077705</v>
      </c>
      <c r="T878" s="40">
        <v>30000</v>
      </c>
      <c r="U878" s="40">
        <v>12949.0291262136</v>
      </c>
      <c r="V878" s="40">
        <v>0</v>
      </c>
      <c r="W878" s="45">
        <v>52474.208737864101</v>
      </c>
      <c r="X878" s="46">
        <v>5.9022088682903497</v>
      </c>
    </row>
    <row r="879" spans="1:24" s="4" customFormat="1" ht="15" customHeight="1">
      <c r="A879" s="28" t="s">
        <v>2168</v>
      </c>
      <c r="B879" s="29">
        <v>3271.01</v>
      </c>
      <c r="C879" s="30" t="s">
        <v>2630</v>
      </c>
      <c r="D879" s="2">
        <v>4950443832</v>
      </c>
      <c r="E879" s="2" t="s">
        <v>14</v>
      </c>
      <c r="F879" s="78" t="s">
        <v>2631</v>
      </c>
      <c r="G879" s="28" t="s">
        <v>9</v>
      </c>
      <c r="H879" s="2" t="s">
        <v>23</v>
      </c>
      <c r="I879" s="2">
        <v>22</v>
      </c>
      <c r="J879" s="2"/>
      <c r="K879" s="2">
        <v>1882</v>
      </c>
      <c r="L879" s="35">
        <v>6156040.8200000003</v>
      </c>
      <c r="M879" s="36">
        <v>50</v>
      </c>
      <c r="N879" s="40">
        <v>12881.5291262136</v>
      </c>
      <c r="O879" s="40">
        <v>36.1589805825243</v>
      </c>
      <c r="P879" s="40">
        <v>5561.1104368932001</v>
      </c>
      <c r="Q879" s="40">
        <v>1101.0861650485399</v>
      </c>
      <c r="R879" s="40">
        <v>2082.8458737864098</v>
      </c>
      <c r="S879" s="40">
        <v>2150.2184466019398</v>
      </c>
      <c r="T879" s="40">
        <v>30000</v>
      </c>
      <c r="U879" s="40">
        <v>32372.572815534</v>
      </c>
      <c r="V879" s="40">
        <v>0</v>
      </c>
      <c r="W879" s="45">
        <v>86185.521844660194</v>
      </c>
      <c r="X879" s="46">
        <v>1.40001543792005</v>
      </c>
    </row>
    <row r="880" spans="1:24" s="4" customFormat="1" ht="15" customHeight="1">
      <c r="A880" s="28" t="s">
        <v>2168</v>
      </c>
      <c r="B880" s="29">
        <v>3271.01</v>
      </c>
      <c r="C880" s="30" t="s">
        <v>2630</v>
      </c>
      <c r="D880" s="2">
        <v>4950443833</v>
      </c>
      <c r="E880" s="2" t="s">
        <v>14</v>
      </c>
      <c r="F880" s="78" t="s">
        <v>2631</v>
      </c>
      <c r="G880" s="28" t="s">
        <v>9</v>
      </c>
      <c r="H880" s="2" t="s">
        <v>23</v>
      </c>
      <c r="I880" s="2">
        <v>22</v>
      </c>
      <c r="J880" s="2"/>
      <c r="K880" s="2">
        <v>14315</v>
      </c>
      <c r="L880" s="35">
        <v>46824508.149999999</v>
      </c>
      <c r="M880" s="36">
        <v>3500</v>
      </c>
      <c r="N880" s="40">
        <v>901707.038834951</v>
      </c>
      <c r="O880" s="40">
        <v>2531.1286407767002</v>
      </c>
      <c r="P880" s="40">
        <v>389277.73058252397</v>
      </c>
      <c r="Q880" s="40">
        <v>77076.031553398105</v>
      </c>
      <c r="R880" s="40">
        <v>145799.211165049</v>
      </c>
      <c r="S880" s="40">
        <v>150515.29126213599</v>
      </c>
      <c r="T880" s="40">
        <v>30000</v>
      </c>
      <c r="U880" s="40">
        <v>2266080.09708738</v>
      </c>
      <c r="V880" s="40">
        <v>0</v>
      </c>
      <c r="W880" s="45">
        <v>3962986.5291262101</v>
      </c>
      <c r="X880" s="46">
        <v>8.4634877881279191</v>
      </c>
    </row>
    <row r="881" spans="1:24" s="4" customFormat="1" ht="15" customHeight="1">
      <c r="A881" s="28" t="s">
        <v>2168</v>
      </c>
      <c r="B881" s="29">
        <v>3271.01</v>
      </c>
      <c r="C881" s="30" t="s">
        <v>2630</v>
      </c>
      <c r="D881" s="2">
        <v>4949922778</v>
      </c>
      <c r="E881" s="2" t="s">
        <v>14</v>
      </c>
      <c r="F881" s="78" t="s">
        <v>2631</v>
      </c>
      <c r="G881" s="28" t="s">
        <v>9</v>
      </c>
      <c r="H881" s="2" t="s">
        <v>23</v>
      </c>
      <c r="I881" s="2">
        <v>22</v>
      </c>
      <c r="J881" s="2"/>
      <c r="K881" s="2">
        <v>7540</v>
      </c>
      <c r="L881" s="35">
        <v>24663415.399999999</v>
      </c>
      <c r="M881" s="36">
        <v>250</v>
      </c>
      <c r="N881" s="40">
        <v>64407.645631068001</v>
      </c>
      <c r="O881" s="40">
        <v>180.79490291262101</v>
      </c>
      <c r="P881" s="40">
        <v>27805.552184466</v>
      </c>
      <c r="Q881" s="40">
        <v>5505.4308252427199</v>
      </c>
      <c r="R881" s="40">
        <v>10414.229368931999</v>
      </c>
      <c r="S881" s="40">
        <v>10751.0922330097</v>
      </c>
      <c r="T881" s="40">
        <v>30000</v>
      </c>
      <c r="U881" s="40">
        <v>161862.86407767</v>
      </c>
      <c r="V881" s="40">
        <v>0</v>
      </c>
      <c r="W881" s="45">
        <v>310927.609223301</v>
      </c>
      <c r="X881" s="46">
        <v>1.26068350299651</v>
      </c>
    </row>
    <row r="882" spans="1:24" s="4" customFormat="1" ht="15" customHeight="1">
      <c r="A882" s="28" t="s">
        <v>2168</v>
      </c>
      <c r="B882" s="29">
        <v>3271.01</v>
      </c>
      <c r="C882" s="30" t="s">
        <v>2632</v>
      </c>
      <c r="D882" s="2">
        <v>4950722772</v>
      </c>
      <c r="E882" s="2" t="s">
        <v>14</v>
      </c>
      <c r="F882" s="2" t="s">
        <v>2633</v>
      </c>
      <c r="G882" s="28" t="s">
        <v>5</v>
      </c>
      <c r="H882" s="2" t="s">
        <v>20</v>
      </c>
      <c r="I882" s="2">
        <v>1</v>
      </c>
      <c r="J882" s="2" t="s">
        <v>2634</v>
      </c>
      <c r="K882" s="2">
        <v>138.80000000000001</v>
      </c>
      <c r="L882" s="35">
        <v>454016.18800000002</v>
      </c>
      <c r="M882" s="36">
        <v>40</v>
      </c>
      <c r="N882" s="40">
        <v>2499.0447761194</v>
      </c>
      <c r="O882" s="40">
        <v>2539.13432835821</v>
      </c>
      <c r="P882" s="40">
        <v>0</v>
      </c>
      <c r="Q882" s="40">
        <v>741.11194029850697</v>
      </c>
      <c r="R882" s="40">
        <v>5667.4701492537297</v>
      </c>
      <c r="S882" s="40">
        <v>2644.4477611940301</v>
      </c>
      <c r="T882" s="40">
        <v>30000</v>
      </c>
      <c r="U882" s="40">
        <v>19544.776119402999</v>
      </c>
      <c r="V882" s="40">
        <v>0</v>
      </c>
      <c r="W882" s="45">
        <v>63635.9850746269</v>
      </c>
      <c r="X882" s="46">
        <v>14.016237032197401</v>
      </c>
    </row>
    <row r="883" spans="1:24" s="4" customFormat="1" ht="15" customHeight="1">
      <c r="A883" s="28" t="s">
        <v>2168</v>
      </c>
      <c r="B883" s="29">
        <v>3271.01</v>
      </c>
      <c r="C883" s="30" t="s">
        <v>2632</v>
      </c>
      <c r="D883" s="2">
        <v>4950722772</v>
      </c>
      <c r="E883" s="2" t="s">
        <v>14</v>
      </c>
      <c r="F883" s="2" t="s">
        <v>2633</v>
      </c>
      <c r="G883" s="28" t="s">
        <v>5</v>
      </c>
      <c r="H883" s="2" t="s">
        <v>20</v>
      </c>
      <c r="I883" s="2">
        <v>1</v>
      </c>
      <c r="J883" s="2" t="s">
        <v>2634</v>
      </c>
      <c r="K883" s="2">
        <v>24832</v>
      </c>
      <c r="L883" s="35">
        <v>81225720.319999993</v>
      </c>
      <c r="M883" s="36">
        <v>320</v>
      </c>
      <c r="N883" s="40">
        <v>19992.3582089552</v>
      </c>
      <c r="O883" s="40">
        <v>20313.074626865699</v>
      </c>
      <c r="P883" s="40">
        <v>0</v>
      </c>
      <c r="Q883" s="40">
        <v>5928.8955223880603</v>
      </c>
      <c r="R883" s="40">
        <v>45335.761194029903</v>
      </c>
      <c r="S883" s="40">
        <v>21155.582089552201</v>
      </c>
      <c r="T883" s="40">
        <v>30000</v>
      </c>
      <c r="U883" s="40">
        <v>156358.20895522399</v>
      </c>
      <c r="V883" s="40">
        <v>0</v>
      </c>
      <c r="W883" s="45">
        <v>299083.88059701503</v>
      </c>
      <c r="X883" s="46">
        <v>0.36821326966228501</v>
      </c>
    </row>
    <row r="884" spans="1:24" s="4" customFormat="1" ht="15" customHeight="1">
      <c r="A884" s="28" t="s">
        <v>2168</v>
      </c>
      <c r="B884" s="29">
        <v>3271.01</v>
      </c>
      <c r="C884" s="30" t="s">
        <v>2632</v>
      </c>
      <c r="D884" s="2">
        <v>4949923352</v>
      </c>
      <c r="E884" s="2" t="s">
        <v>14</v>
      </c>
      <c r="F884" s="2" t="s">
        <v>2633</v>
      </c>
      <c r="G884" s="28" t="s">
        <v>5</v>
      </c>
      <c r="H884" s="2" t="s">
        <v>20</v>
      </c>
      <c r="I884" s="2">
        <v>1</v>
      </c>
      <c r="J884" s="2" t="s">
        <v>2634</v>
      </c>
      <c r="K884" s="2">
        <v>30834</v>
      </c>
      <c r="L884" s="35">
        <v>100858322.34</v>
      </c>
      <c r="M884" s="36">
        <v>1800</v>
      </c>
      <c r="N884" s="40">
        <v>112457.01492537301</v>
      </c>
      <c r="O884" s="40">
        <v>114261.044776119</v>
      </c>
      <c r="P884" s="40">
        <v>0</v>
      </c>
      <c r="Q884" s="40">
        <v>33350.037313432797</v>
      </c>
      <c r="R884" s="40">
        <v>255015.15671641799</v>
      </c>
      <c r="S884" s="40">
        <v>119000.149253731</v>
      </c>
      <c r="T884" s="40">
        <v>30000</v>
      </c>
      <c r="U884" s="40">
        <v>879514.92537313397</v>
      </c>
      <c r="V884" s="40">
        <v>0</v>
      </c>
      <c r="W884" s="45">
        <v>1543598.3283582099</v>
      </c>
      <c r="X884" s="46">
        <v>1.5304620308422701</v>
      </c>
    </row>
    <row r="885" spans="1:24" s="4" customFormat="1" ht="15" customHeight="1">
      <c r="A885" s="28" t="s">
        <v>2168</v>
      </c>
      <c r="B885" s="29">
        <v>3271.01</v>
      </c>
      <c r="C885" s="30" t="s">
        <v>2632</v>
      </c>
      <c r="D885" s="2">
        <v>4950215957</v>
      </c>
      <c r="E885" s="2" t="s">
        <v>14</v>
      </c>
      <c r="F885" s="2" t="s">
        <v>2633</v>
      </c>
      <c r="G885" s="28" t="s">
        <v>5</v>
      </c>
      <c r="H885" s="2" t="s">
        <v>20</v>
      </c>
      <c r="I885" s="2">
        <v>1</v>
      </c>
      <c r="J885" s="2" t="s">
        <v>2634</v>
      </c>
      <c r="K885" s="2">
        <v>51390</v>
      </c>
      <c r="L885" s="35">
        <v>168097203.90000001</v>
      </c>
      <c r="M885" s="36">
        <v>3000</v>
      </c>
      <c r="N885" s="40">
        <v>187428.358208955</v>
      </c>
      <c r="O885" s="40">
        <v>190435.074626866</v>
      </c>
      <c r="P885" s="40">
        <v>0</v>
      </c>
      <c r="Q885" s="40">
        <v>55583.395522388098</v>
      </c>
      <c r="R885" s="40">
        <v>425025.26119403</v>
      </c>
      <c r="S885" s="40">
        <v>198333.58208955199</v>
      </c>
      <c r="T885" s="40">
        <v>30000</v>
      </c>
      <c r="U885" s="40">
        <v>1465858.2089552199</v>
      </c>
      <c r="V885" s="40">
        <v>0</v>
      </c>
      <c r="W885" s="45">
        <v>2552663.8805970098</v>
      </c>
      <c r="X885" s="46">
        <v>1.5185641529859</v>
      </c>
    </row>
    <row r="886" spans="1:24" s="4" customFormat="1" ht="15" customHeight="1">
      <c r="A886" s="28" t="s">
        <v>2168</v>
      </c>
      <c r="B886" s="29">
        <v>3271.01</v>
      </c>
      <c r="C886" s="30" t="s">
        <v>2632</v>
      </c>
      <c r="D886" s="2">
        <v>4950722772</v>
      </c>
      <c r="E886" s="2" t="s">
        <v>14</v>
      </c>
      <c r="F886" s="2" t="s">
        <v>2633</v>
      </c>
      <c r="G886" s="28" t="s">
        <v>5</v>
      </c>
      <c r="H886" s="2" t="s">
        <v>20</v>
      </c>
      <c r="I886" s="2">
        <v>1</v>
      </c>
      <c r="J886" s="2" t="s">
        <v>2634</v>
      </c>
      <c r="K886" s="2">
        <v>8211.2000000000007</v>
      </c>
      <c r="L886" s="35">
        <v>26858917.311999999</v>
      </c>
      <c r="M886" s="36">
        <v>160</v>
      </c>
      <c r="N886" s="40">
        <v>9996.1791044776091</v>
      </c>
      <c r="O886" s="40">
        <v>10156.5373134328</v>
      </c>
      <c r="P886" s="40">
        <v>0</v>
      </c>
      <c r="Q886" s="40">
        <v>2964.4477611940301</v>
      </c>
      <c r="R886" s="40">
        <v>22667.880597014901</v>
      </c>
      <c r="S886" s="40">
        <v>10577.791044776101</v>
      </c>
      <c r="T886" s="40">
        <v>30000</v>
      </c>
      <c r="U886" s="40">
        <v>78179.104477611894</v>
      </c>
      <c r="V886" s="40">
        <v>0</v>
      </c>
      <c r="W886" s="45">
        <v>164541.94029850699</v>
      </c>
      <c r="X886" s="46">
        <v>0.612615685089411</v>
      </c>
    </row>
    <row r="887" spans="1:24" s="4" customFormat="1" ht="15" customHeight="1">
      <c r="A887" s="28" t="s">
        <v>2168</v>
      </c>
      <c r="B887" s="29">
        <v>3271.01</v>
      </c>
      <c r="C887" s="30" t="s">
        <v>2632</v>
      </c>
      <c r="D887" s="2">
        <v>4950722772</v>
      </c>
      <c r="E887" s="2" t="s">
        <v>14</v>
      </c>
      <c r="F887" s="2" t="s">
        <v>2633</v>
      </c>
      <c r="G887" s="28" t="s">
        <v>5</v>
      </c>
      <c r="H887" s="2" t="s">
        <v>20</v>
      </c>
      <c r="I887" s="2">
        <v>1</v>
      </c>
      <c r="J887" s="2" t="s">
        <v>2634</v>
      </c>
      <c r="K887" s="2">
        <v>674</v>
      </c>
      <c r="L887" s="35">
        <v>2204660.7400000002</v>
      </c>
      <c r="M887" s="36">
        <v>40</v>
      </c>
      <c r="N887" s="40">
        <v>2499.0447761194</v>
      </c>
      <c r="O887" s="40">
        <v>2539.13432835821</v>
      </c>
      <c r="P887" s="40">
        <v>0</v>
      </c>
      <c r="Q887" s="40">
        <v>741.11194029850697</v>
      </c>
      <c r="R887" s="40">
        <v>5667.4701492537297</v>
      </c>
      <c r="S887" s="40">
        <v>2644.4477611940301</v>
      </c>
      <c r="T887" s="40">
        <v>30000</v>
      </c>
      <c r="U887" s="40">
        <v>19544.776119402999</v>
      </c>
      <c r="V887" s="40">
        <v>0</v>
      </c>
      <c r="W887" s="45">
        <v>63635.9850746269</v>
      </c>
      <c r="X887" s="46">
        <v>2.88642982206082</v>
      </c>
    </row>
    <row r="888" spans="1:24" s="4" customFormat="1" ht="15" customHeight="1">
      <c r="A888" s="28" t="s">
        <v>2168</v>
      </c>
      <c r="B888" s="29">
        <v>3271.01</v>
      </c>
      <c r="C888" s="30" t="s">
        <v>2641</v>
      </c>
      <c r="D888" s="2">
        <v>4950757120</v>
      </c>
      <c r="E888" s="2" t="s">
        <v>14</v>
      </c>
      <c r="F888" s="2" t="s">
        <v>2642</v>
      </c>
      <c r="G888" s="28" t="s">
        <v>9</v>
      </c>
      <c r="H888" s="2" t="s">
        <v>23</v>
      </c>
      <c r="I888" s="2">
        <v>1</v>
      </c>
      <c r="J888" s="2"/>
      <c r="K888" s="2">
        <v>1406</v>
      </c>
      <c r="L888" s="35">
        <v>4599040.0599999996</v>
      </c>
      <c r="M888" s="36">
        <v>950</v>
      </c>
      <c r="N888" s="40">
        <v>492652</v>
      </c>
      <c r="O888" s="40">
        <v>668</v>
      </c>
      <c r="P888" s="40">
        <v>0</v>
      </c>
      <c r="Q888" s="40">
        <v>15990</v>
      </c>
      <c r="R888" s="40">
        <v>102328</v>
      </c>
      <c r="S888" s="40">
        <v>354356</v>
      </c>
      <c r="T888" s="40">
        <v>30000</v>
      </c>
      <c r="U888" s="40">
        <v>896079.31034482794</v>
      </c>
      <c r="V888" s="40">
        <v>0</v>
      </c>
      <c r="W888" s="45">
        <v>1892073.3103448299</v>
      </c>
      <c r="X888" s="46">
        <v>41.140613816371697</v>
      </c>
    </row>
    <row r="889" spans="1:24" s="4" customFormat="1" ht="15" customHeight="1">
      <c r="A889" s="28" t="s">
        <v>2168</v>
      </c>
      <c r="B889" s="29">
        <v>3271.01</v>
      </c>
      <c r="C889" s="30" t="s">
        <v>2647</v>
      </c>
      <c r="D889" s="2">
        <v>4950365730</v>
      </c>
      <c r="E889" s="2" t="s">
        <v>14</v>
      </c>
      <c r="F889" s="78" t="s">
        <v>2648</v>
      </c>
      <c r="G889" s="28" t="s">
        <v>9</v>
      </c>
      <c r="H889" s="2" t="s">
        <v>23</v>
      </c>
      <c r="I889" s="2">
        <v>1</v>
      </c>
      <c r="J889" s="2"/>
      <c r="K889" s="2">
        <v>771.2</v>
      </c>
      <c r="L889" s="35">
        <v>2522602.912</v>
      </c>
      <c r="M889" s="36">
        <v>160</v>
      </c>
      <c r="N889" s="40">
        <v>483318</v>
      </c>
      <c r="O889" s="40">
        <v>134</v>
      </c>
      <c r="P889" s="40">
        <v>0</v>
      </c>
      <c r="Q889" s="40">
        <v>2945</v>
      </c>
      <c r="R889" s="40">
        <v>88658</v>
      </c>
      <c r="S889" s="40">
        <v>354356</v>
      </c>
      <c r="T889" s="40">
        <v>30000</v>
      </c>
      <c r="U889" s="40">
        <v>150918.62068965501</v>
      </c>
      <c r="V889" s="40">
        <v>0</v>
      </c>
      <c r="W889" s="45">
        <v>1110329.6206896501</v>
      </c>
      <c r="X889" s="46">
        <v>44.015235826765498</v>
      </c>
    </row>
    <row r="890" spans="1:24" s="4" customFormat="1" ht="15" customHeight="1">
      <c r="A890" s="28" t="s">
        <v>2168</v>
      </c>
      <c r="B890" s="29">
        <v>3271.01</v>
      </c>
      <c r="C890" s="30" t="s">
        <v>2649</v>
      </c>
      <c r="D890" s="2">
        <v>4950365738</v>
      </c>
      <c r="E890" s="2" t="s">
        <v>14</v>
      </c>
      <c r="F890" s="2" t="s">
        <v>2650</v>
      </c>
      <c r="G890" s="28" t="s">
        <v>9</v>
      </c>
      <c r="H890" s="2" t="s">
        <v>23</v>
      </c>
      <c r="I890" s="2">
        <v>1</v>
      </c>
      <c r="J890" s="2"/>
      <c r="K890" s="2">
        <v>674</v>
      </c>
      <c r="L890" s="35">
        <v>2204660.7400000002</v>
      </c>
      <c r="M890" s="36">
        <v>40</v>
      </c>
      <c r="N890" s="40">
        <v>464422</v>
      </c>
      <c r="O890" s="40">
        <v>33</v>
      </c>
      <c r="P890" s="40">
        <v>0</v>
      </c>
      <c r="Q890" s="40">
        <v>1045</v>
      </c>
      <c r="R890" s="40">
        <v>86573</v>
      </c>
      <c r="S890" s="40">
        <v>354356</v>
      </c>
      <c r="T890" s="40">
        <v>30000</v>
      </c>
      <c r="U890" s="40">
        <v>37729.655172413797</v>
      </c>
      <c r="V890" s="40">
        <v>0</v>
      </c>
      <c r="W890" s="45">
        <v>974158.65517241403</v>
      </c>
      <c r="X890" s="46">
        <v>44.186329329401197</v>
      </c>
    </row>
    <row r="891" spans="1:24" s="4" customFormat="1" ht="15" customHeight="1">
      <c r="A891" s="28" t="s">
        <v>2168</v>
      </c>
      <c r="B891" s="29">
        <v>3271.01</v>
      </c>
      <c r="C891" s="30" t="s">
        <v>2654</v>
      </c>
      <c r="D891" s="2">
        <v>4950585740</v>
      </c>
      <c r="E891" s="2" t="s">
        <v>14</v>
      </c>
      <c r="F891" s="2" t="s">
        <v>2655</v>
      </c>
      <c r="G891" s="28" t="s">
        <v>9</v>
      </c>
      <c r="H891" s="2" t="s">
        <v>23</v>
      </c>
      <c r="I891" s="2">
        <v>1</v>
      </c>
      <c r="J891" s="2"/>
      <c r="K891" s="2">
        <v>8946</v>
      </c>
      <c r="L891" s="35">
        <v>29262455.460000001</v>
      </c>
      <c r="M891" s="36">
        <v>300</v>
      </c>
      <c r="N891" s="40">
        <v>500516</v>
      </c>
      <c r="O891" s="40">
        <v>234</v>
      </c>
      <c r="P891" s="40">
        <v>0</v>
      </c>
      <c r="Q891" s="40">
        <v>5525</v>
      </c>
      <c r="R891" s="40">
        <v>94417</v>
      </c>
      <c r="S891" s="40">
        <v>354356</v>
      </c>
      <c r="T891" s="40">
        <v>30000</v>
      </c>
      <c r="U891" s="40">
        <v>282972.41379310301</v>
      </c>
      <c r="V891" s="40">
        <v>0</v>
      </c>
      <c r="W891" s="45">
        <v>1268020.4137931</v>
      </c>
      <c r="X891" s="46">
        <v>4.3332673005736302</v>
      </c>
    </row>
    <row r="892" spans="1:24" s="4" customFormat="1" ht="15" customHeight="1">
      <c r="A892" s="28" t="s">
        <v>2168</v>
      </c>
      <c r="B892" s="29">
        <v>3271.01</v>
      </c>
      <c r="C892" s="30" t="s">
        <v>2669</v>
      </c>
      <c r="D892" s="2">
        <v>4950251299</v>
      </c>
      <c r="E892" s="2" t="s">
        <v>14</v>
      </c>
      <c r="F892" s="2" t="s">
        <v>2670</v>
      </c>
      <c r="G892" s="28" t="s">
        <v>9</v>
      </c>
      <c r="H892" s="2" t="s">
        <v>23</v>
      </c>
      <c r="I892" s="2">
        <v>1</v>
      </c>
      <c r="J892" s="2"/>
      <c r="K892" s="2">
        <v>4340</v>
      </c>
      <c r="L892" s="35">
        <v>14196183.4</v>
      </c>
      <c r="M892" s="36">
        <v>1000</v>
      </c>
      <c r="N892" s="40">
        <v>616366</v>
      </c>
      <c r="O892" s="40">
        <v>692</v>
      </c>
      <c r="P892" s="40">
        <v>10495</v>
      </c>
      <c r="Q892" s="40">
        <v>16395</v>
      </c>
      <c r="R892" s="40">
        <v>103254</v>
      </c>
      <c r="S892" s="40">
        <v>354356</v>
      </c>
      <c r="T892" s="40">
        <v>30000</v>
      </c>
      <c r="U892" s="40">
        <v>1315096.15384615</v>
      </c>
      <c r="V892" s="40">
        <v>0</v>
      </c>
      <c r="W892" s="45">
        <v>2446654.1538461498</v>
      </c>
      <c r="X892" s="46">
        <v>17.234591051043701</v>
      </c>
    </row>
    <row r="893" spans="1:24" s="4" customFormat="1" ht="15" customHeight="1">
      <c r="A893" s="28" t="s">
        <v>2168</v>
      </c>
      <c r="B893" s="29">
        <v>3271.01</v>
      </c>
      <c r="C893" s="30" t="s">
        <v>2677</v>
      </c>
      <c r="D893" s="2">
        <v>4950280459</v>
      </c>
      <c r="E893" s="2" t="s">
        <v>14</v>
      </c>
      <c r="F893" s="2" t="s">
        <v>2678</v>
      </c>
      <c r="G893" s="28" t="s">
        <v>9</v>
      </c>
      <c r="H893" s="2" t="s">
        <v>23</v>
      </c>
      <c r="I893" s="2">
        <v>6</v>
      </c>
      <c r="J893" s="2"/>
      <c r="K893" s="2">
        <v>18192</v>
      </c>
      <c r="L893" s="35">
        <v>59506213.920000002</v>
      </c>
      <c r="M893" s="36">
        <v>2400</v>
      </c>
      <c r="N893" s="40">
        <v>1669078.59649123</v>
      </c>
      <c r="O893" s="40">
        <v>1767.7192982456099</v>
      </c>
      <c r="P893" s="40">
        <v>0</v>
      </c>
      <c r="Q893" s="40">
        <v>41397.8947368421</v>
      </c>
      <c r="R893" s="40">
        <v>108703.859649123</v>
      </c>
      <c r="S893" s="40">
        <v>248670.87719298201</v>
      </c>
      <c r="T893" s="40">
        <v>30000</v>
      </c>
      <c r="U893" s="40">
        <v>1463508.7719298201</v>
      </c>
      <c r="V893" s="40">
        <v>0</v>
      </c>
      <c r="W893" s="45">
        <v>3563127.7192982398</v>
      </c>
      <c r="X893" s="46">
        <v>5.9878246061638203</v>
      </c>
    </row>
    <row r="894" spans="1:24" s="4" customFormat="1" ht="15" customHeight="1">
      <c r="A894" s="28" t="s">
        <v>2168</v>
      </c>
      <c r="B894" s="29">
        <v>3271.01</v>
      </c>
      <c r="C894" s="30" t="s">
        <v>2677</v>
      </c>
      <c r="D894" s="2">
        <v>4950280459</v>
      </c>
      <c r="E894" s="2" t="s">
        <v>14</v>
      </c>
      <c r="F894" s="2" t="s">
        <v>2678</v>
      </c>
      <c r="G894" s="28" t="s">
        <v>9</v>
      </c>
      <c r="H894" s="2" t="s">
        <v>23</v>
      </c>
      <c r="I894" s="2">
        <v>6</v>
      </c>
      <c r="J894" s="2"/>
      <c r="K894" s="2">
        <v>12828</v>
      </c>
      <c r="L894" s="35">
        <v>41960516.280000001</v>
      </c>
      <c r="M894" s="36">
        <v>300</v>
      </c>
      <c r="N894" s="40">
        <v>208634.82456140401</v>
      </c>
      <c r="O894" s="40">
        <v>220.96491228070201</v>
      </c>
      <c r="P894" s="40">
        <v>0</v>
      </c>
      <c r="Q894" s="40">
        <v>5174.7368421052597</v>
      </c>
      <c r="R894" s="40">
        <v>13587.9824561403</v>
      </c>
      <c r="S894" s="40">
        <v>31083.859649122802</v>
      </c>
      <c r="T894" s="40">
        <v>30000</v>
      </c>
      <c r="U894" s="40">
        <v>182938.596491228</v>
      </c>
      <c r="V894" s="40">
        <v>0</v>
      </c>
      <c r="W894" s="45">
        <v>471640.96491228102</v>
      </c>
      <c r="X894" s="46">
        <v>1.1240113485855301</v>
      </c>
    </row>
    <row r="895" spans="1:24" s="4" customFormat="1" ht="15" customHeight="1">
      <c r="A895" s="28" t="s">
        <v>2168</v>
      </c>
      <c r="B895" s="29">
        <v>3271.01</v>
      </c>
      <c r="C895" s="30" t="s">
        <v>2677</v>
      </c>
      <c r="D895" s="2">
        <v>4950280460</v>
      </c>
      <c r="E895" s="2" t="s">
        <v>14</v>
      </c>
      <c r="F895" s="2" t="s">
        <v>2678</v>
      </c>
      <c r="G895" s="28" t="s">
        <v>9</v>
      </c>
      <c r="H895" s="2" t="s">
        <v>23</v>
      </c>
      <c r="I895" s="2">
        <v>6</v>
      </c>
      <c r="J895" s="2"/>
      <c r="K895" s="2">
        <v>28504.799999999999</v>
      </c>
      <c r="L895" s="35">
        <v>93239485.848000005</v>
      </c>
      <c r="M895" s="36">
        <v>720</v>
      </c>
      <c r="N895" s="40">
        <v>500723.57894736802</v>
      </c>
      <c r="O895" s="40">
        <v>530.31578947368405</v>
      </c>
      <c r="P895" s="40">
        <v>0</v>
      </c>
      <c r="Q895" s="40">
        <v>12419.368421052601</v>
      </c>
      <c r="R895" s="40">
        <v>32611.1578947368</v>
      </c>
      <c r="S895" s="40">
        <v>74601.263157894704</v>
      </c>
      <c r="T895" s="40">
        <v>30000</v>
      </c>
      <c r="U895" s="40">
        <v>439052.63157894701</v>
      </c>
      <c r="V895" s="40">
        <v>0</v>
      </c>
      <c r="W895" s="45">
        <v>1089938.31578947</v>
      </c>
      <c r="X895" s="46">
        <v>1.1689664586592701</v>
      </c>
    </row>
    <row r="897" spans="1:24" ht="15" customHeight="1">
      <c r="A897" s="31" t="s">
        <v>2168</v>
      </c>
      <c r="B897" s="31"/>
      <c r="C897" s="31"/>
      <c r="D897" s="31"/>
      <c r="E897" s="31"/>
      <c r="F897" s="32">
        <v>98</v>
      </c>
      <c r="G897" s="31"/>
      <c r="H897" s="31"/>
      <c r="I897" s="38"/>
      <c r="J897" s="31"/>
      <c r="K897" s="39">
        <f>+SUM(K664:K895)</f>
        <v>2273082.3000000003</v>
      </c>
      <c r="L897" s="39">
        <f>+SUM(L664:L895)</f>
        <v>7435274934.1230001</v>
      </c>
      <c r="M897" s="31"/>
      <c r="N897" s="39"/>
      <c r="O897" s="39"/>
      <c r="P897" s="39"/>
      <c r="Q897" s="39"/>
      <c r="R897" s="39"/>
      <c r="S897" s="39"/>
      <c r="T897" s="39"/>
      <c r="U897" s="39"/>
      <c r="V897" s="31"/>
      <c r="W897" s="39">
        <f>+SUM(W664:W895)</f>
        <v>358644427.11881691</v>
      </c>
      <c r="X897" s="47">
        <f>(W897/L897)*100</f>
        <v>4.8235529996728959</v>
      </c>
    </row>
    <row r="899" spans="1:24" s="4" customFormat="1" ht="15" customHeight="1">
      <c r="A899" s="28" t="s">
        <v>2682</v>
      </c>
      <c r="B899" s="29">
        <v>3278.81</v>
      </c>
      <c r="C899" s="30" t="s">
        <v>2683</v>
      </c>
      <c r="D899" s="2">
        <v>4950058298</v>
      </c>
      <c r="E899" s="2" t="s">
        <v>14</v>
      </c>
      <c r="F899" s="2" t="s">
        <v>2684</v>
      </c>
      <c r="G899" s="28" t="s">
        <v>5</v>
      </c>
      <c r="H899" s="2" t="s">
        <v>20</v>
      </c>
      <c r="I899" s="2">
        <v>1</v>
      </c>
      <c r="J899" s="2" t="s">
        <v>2685</v>
      </c>
      <c r="K899" s="2">
        <v>20731.5</v>
      </c>
      <c r="L899" s="35">
        <v>67974649.515000001</v>
      </c>
      <c r="M899" s="36">
        <v>7650</v>
      </c>
      <c r="N899" s="40">
        <v>306913.292307692</v>
      </c>
      <c r="O899" s="40">
        <v>260629.615384615</v>
      </c>
      <c r="P899" s="40">
        <v>0</v>
      </c>
      <c r="Q899" s="40">
        <v>86307.692307692298</v>
      </c>
      <c r="R899" s="40">
        <v>502873.26153846201</v>
      </c>
      <c r="S899" s="40">
        <v>278033.16923076898</v>
      </c>
      <c r="T899" s="40">
        <v>30000</v>
      </c>
      <c r="U899" s="40">
        <v>2549607.6923076902</v>
      </c>
      <c r="V899" s="40">
        <v>0</v>
      </c>
      <c r="W899" s="45">
        <v>4014364.72307692</v>
      </c>
      <c r="X899" s="46">
        <v>5.9056791785165004</v>
      </c>
    </row>
    <row r="900" spans="1:24" s="4" customFormat="1" ht="15" customHeight="1">
      <c r="A900" s="28" t="s">
        <v>2682</v>
      </c>
      <c r="B900" s="29">
        <v>3278.81</v>
      </c>
      <c r="C900" s="30" t="s">
        <v>2683</v>
      </c>
      <c r="D900" s="2">
        <v>4950443835</v>
      </c>
      <c r="E900" s="2" t="s">
        <v>14</v>
      </c>
      <c r="F900" s="2" t="s">
        <v>2684</v>
      </c>
      <c r="G900" s="28" t="s">
        <v>5</v>
      </c>
      <c r="H900" s="2" t="s">
        <v>20</v>
      </c>
      <c r="I900" s="2">
        <v>1</v>
      </c>
      <c r="J900" s="2" t="s">
        <v>2685</v>
      </c>
      <c r="K900" s="2">
        <v>9366</v>
      </c>
      <c r="L900" s="35">
        <v>30709334.460000001</v>
      </c>
      <c r="M900" s="36">
        <v>2100</v>
      </c>
      <c r="N900" s="40">
        <v>84250.707692307697</v>
      </c>
      <c r="O900" s="40">
        <v>71545.384615384595</v>
      </c>
      <c r="P900" s="40">
        <v>0</v>
      </c>
      <c r="Q900" s="40">
        <v>23692.307692307699</v>
      </c>
      <c r="R900" s="40">
        <v>138043.738461539</v>
      </c>
      <c r="S900" s="40">
        <v>76322.830769230801</v>
      </c>
      <c r="T900" s="40">
        <v>30000</v>
      </c>
      <c r="U900" s="40">
        <v>699892.30769230798</v>
      </c>
      <c r="V900" s="40">
        <v>0</v>
      </c>
      <c r="W900" s="45">
        <v>1123747.27692308</v>
      </c>
      <c r="X900" s="46">
        <v>3.6593019571518202</v>
      </c>
    </row>
    <row r="901" spans="1:24" s="4" customFormat="1" ht="15" customHeight="1">
      <c r="A901" s="28" t="s">
        <v>2682</v>
      </c>
      <c r="B901" s="29">
        <v>3278.81</v>
      </c>
      <c r="C901" s="30" t="s">
        <v>2686</v>
      </c>
      <c r="D901" s="2">
        <v>4949868829</v>
      </c>
      <c r="E901" s="2" t="s">
        <v>14</v>
      </c>
      <c r="F901" s="2" t="s">
        <v>2687</v>
      </c>
      <c r="G901" s="28" t="s">
        <v>5</v>
      </c>
      <c r="H901" s="2" t="s">
        <v>20</v>
      </c>
      <c r="I901" s="2">
        <v>1</v>
      </c>
      <c r="J901" s="2" t="s">
        <v>2688</v>
      </c>
      <c r="K901" s="2">
        <v>11214</v>
      </c>
      <c r="L901" s="35">
        <v>36768575.340000004</v>
      </c>
      <c r="M901" s="36">
        <v>4200</v>
      </c>
      <c r="N901" s="40">
        <v>151558.448275862</v>
      </c>
      <c r="O901" s="40">
        <v>150337.823275862</v>
      </c>
      <c r="P901" s="40">
        <v>0</v>
      </c>
      <c r="Q901" s="40">
        <v>49784.482758620703</v>
      </c>
      <c r="R901" s="40">
        <v>339610.94396551698</v>
      </c>
      <c r="S901" s="40">
        <v>160376.637931034</v>
      </c>
      <c r="T901" s="40">
        <v>30000</v>
      </c>
      <c r="U901" s="40">
        <v>1470678.8793103399</v>
      </c>
      <c r="V901" s="40">
        <v>0</v>
      </c>
      <c r="W901" s="45">
        <v>2352347.2155172401</v>
      </c>
      <c r="X901" s="46">
        <v>6.39771107192764</v>
      </c>
    </row>
    <row r="902" spans="1:24" s="4" customFormat="1" ht="15" customHeight="1">
      <c r="A902" s="28" t="s">
        <v>2682</v>
      </c>
      <c r="B902" s="29">
        <v>3278.81</v>
      </c>
      <c r="C902" s="30" t="s">
        <v>2686</v>
      </c>
      <c r="D902" s="2">
        <v>4950697618</v>
      </c>
      <c r="E902" s="2" t="s">
        <v>14</v>
      </c>
      <c r="F902" s="2" t="s">
        <v>2687</v>
      </c>
      <c r="G902" s="28" t="s">
        <v>5</v>
      </c>
      <c r="H902" s="2" t="s">
        <v>20</v>
      </c>
      <c r="I902" s="2">
        <v>1</v>
      </c>
      <c r="J902" s="2" t="s">
        <v>2688</v>
      </c>
      <c r="K902" s="2">
        <v>4280</v>
      </c>
      <c r="L902" s="35">
        <v>14033306.800000001</v>
      </c>
      <c r="M902" s="36">
        <v>4000</v>
      </c>
      <c r="N902" s="40">
        <v>144341.37931034499</v>
      </c>
      <c r="O902" s="40">
        <v>143178.87931034499</v>
      </c>
      <c r="P902" s="40">
        <v>0</v>
      </c>
      <c r="Q902" s="40">
        <v>47413.793103448297</v>
      </c>
      <c r="R902" s="40">
        <v>323439.32758620701</v>
      </c>
      <c r="S902" s="40">
        <v>152739.655172414</v>
      </c>
      <c r="T902" s="40">
        <v>30000</v>
      </c>
      <c r="U902" s="40">
        <v>1400646.5517241401</v>
      </c>
      <c r="V902" s="40">
        <v>0</v>
      </c>
      <c r="W902" s="45">
        <v>2241759.5862069</v>
      </c>
      <c r="X902" s="46">
        <v>15.974564072146601</v>
      </c>
    </row>
    <row r="903" spans="1:24" s="4" customFormat="1" ht="15" customHeight="1">
      <c r="A903" s="28" t="s">
        <v>2682</v>
      </c>
      <c r="B903" s="29">
        <v>3278.81</v>
      </c>
      <c r="C903" s="30" t="s">
        <v>2686</v>
      </c>
      <c r="D903" s="2">
        <v>4950722780</v>
      </c>
      <c r="E903" s="2" t="s">
        <v>14</v>
      </c>
      <c r="F903" s="2" t="s">
        <v>2687</v>
      </c>
      <c r="G903" s="28" t="s">
        <v>5</v>
      </c>
      <c r="H903" s="2" t="s">
        <v>20</v>
      </c>
      <c r="I903" s="2">
        <v>1</v>
      </c>
      <c r="J903" s="2" t="s">
        <v>2688</v>
      </c>
      <c r="K903" s="2">
        <v>3888</v>
      </c>
      <c r="L903" s="35">
        <v>12748013.279999999</v>
      </c>
      <c r="M903" s="36">
        <v>1080</v>
      </c>
      <c r="N903" s="40">
        <v>38972.172413793101</v>
      </c>
      <c r="O903" s="40">
        <v>38658.297413793101</v>
      </c>
      <c r="P903" s="40">
        <v>0</v>
      </c>
      <c r="Q903" s="40">
        <v>12801.724137931</v>
      </c>
      <c r="R903" s="40">
        <v>87328.728448275899</v>
      </c>
      <c r="S903" s="40">
        <v>41239.706896551703</v>
      </c>
      <c r="T903" s="40">
        <v>30000</v>
      </c>
      <c r="U903" s="40">
        <v>378174.56896551698</v>
      </c>
      <c r="V903" s="40">
        <v>0</v>
      </c>
      <c r="W903" s="45">
        <v>627175.19827586203</v>
      </c>
      <c r="X903" s="46">
        <v>4.9197877700662502</v>
      </c>
    </row>
    <row r="904" spans="1:24" s="4" customFormat="1" ht="15" customHeight="1">
      <c r="A904" s="28" t="s">
        <v>2682</v>
      </c>
      <c r="B904" s="29">
        <v>3278.81</v>
      </c>
      <c r="C904" s="30" t="s">
        <v>2689</v>
      </c>
      <c r="D904" s="2">
        <v>4950759912</v>
      </c>
      <c r="E904" s="2" t="s">
        <v>14</v>
      </c>
      <c r="F904" s="2" t="s">
        <v>2690</v>
      </c>
      <c r="G904" s="28" t="s">
        <v>5</v>
      </c>
      <c r="H904" s="2" t="s">
        <v>17</v>
      </c>
      <c r="I904" s="2">
        <v>2</v>
      </c>
      <c r="J904" s="2" t="s">
        <v>2691</v>
      </c>
      <c r="K904" s="2">
        <v>113100</v>
      </c>
      <c r="L904" s="35">
        <v>370833411</v>
      </c>
      <c r="M904" s="36">
        <v>30000</v>
      </c>
      <c r="N904" s="40">
        <v>671215</v>
      </c>
      <c r="O904" s="40">
        <v>871502</v>
      </c>
      <c r="P904" s="40">
        <v>0</v>
      </c>
      <c r="Q904" s="40">
        <v>198619</v>
      </c>
      <c r="R904" s="40">
        <v>1198666</v>
      </c>
      <c r="S904" s="40">
        <v>354356</v>
      </c>
      <c r="T904" s="40">
        <v>30000</v>
      </c>
      <c r="U904" s="40">
        <v>9563100</v>
      </c>
      <c r="V904" s="40">
        <v>0</v>
      </c>
      <c r="W904" s="45">
        <v>12887458</v>
      </c>
      <c r="X904" s="46">
        <v>3.4752688451796501</v>
      </c>
    </row>
    <row r="905" spans="1:24" s="4" customFormat="1" ht="15" customHeight="1">
      <c r="A905" s="28" t="s">
        <v>2682</v>
      </c>
      <c r="B905" s="29">
        <v>3278.81</v>
      </c>
      <c r="C905" s="30" t="s">
        <v>2697</v>
      </c>
      <c r="D905" s="2">
        <v>4950722770</v>
      </c>
      <c r="E905" s="2" t="s">
        <v>14</v>
      </c>
      <c r="F905" s="2" t="s">
        <v>2698</v>
      </c>
      <c r="G905" s="28" t="s">
        <v>9</v>
      </c>
      <c r="H905" s="2" t="s">
        <v>23</v>
      </c>
      <c r="I905" s="2">
        <v>6</v>
      </c>
      <c r="J905" s="2"/>
      <c r="K905" s="2">
        <v>13600</v>
      </c>
      <c r="L905" s="35">
        <v>44591816</v>
      </c>
      <c r="M905" s="36">
        <v>5000</v>
      </c>
      <c r="N905" s="40">
        <v>914182.75862068997</v>
      </c>
      <c r="O905" s="40">
        <v>3561.2068965517201</v>
      </c>
      <c r="P905" s="40">
        <v>0</v>
      </c>
      <c r="Q905" s="40">
        <v>83807.758620689696</v>
      </c>
      <c r="R905" s="40">
        <v>168644.82758620699</v>
      </c>
      <c r="S905" s="40">
        <v>305479.310344828</v>
      </c>
      <c r="T905" s="40">
        <v>30000</v>
      </c>
      <c r="U905" s="40">
        <v>1797844.8275862101</v>
      </c>
      <c r="V905" s="40">
        <v>0</v>
      </c>
      <c r="W905" s="45">
        <v>3303520.6896551801</v>
      </c>
      <c r="X905" s="46">
        <v>7.4083564788103198</v>
      </c>
    </row>
    <row r="906" spans="1:24" s="4" customFormat="1" ht="15" customHeight="1">
      <c r="A906" s="28" t="s">
        <v>2682</v>
      </c>
      <c r="B906" s="29">
        <v>3278.81</v>
      </c>
      <c r="C906" s="30" t="s">
        <v>2697</v>
      </c>
      <c r="D906" s="2">
        <v>4950721198</v>
      </c>
      <c r="E906" s="2" t="s">
        <v>14</v>
      </c>
      <c r="F906" s="2" t="s">
        <v>2698</v>
      </c>
      <c r="G906" s="28" t="s">
        <v>9</v>
      </c>
      <c r="H906" s="2" t="s">
        <v>23</v>
      </c>
      <c r="I906" s="2">
        <v>6</v>
      </c>
      <c r="J906" s="2"/>
      <c r="K906" s="2">
        <v>1928</v>
      </c>
      <c r="L906" s="35">
        <v>6321545.6799999997</v>
      </c>
      <c r="M906" s="36">
        <v>800</v>
      </c>
      <c r="N906" s="40">
        <v>146269.24137931</v>
      </c>
      <c r="O906" s="40">
        <v>569.79310344827604</v>
      </c>
      <c r="P906" s="40">
        <v>0</v>
      </c>
      <c r="Q906" s="40">
        <v>13409.241379310301</v>
      </c>
      <c r="R906" s="40">
        <v>26983.172413793101</v>
      </c>
      <c r="S906" s="40">
        <v>48876.689655172398</v>
      </c>
      <c r="T906" s="40">
        <v>30000</v>
      </c>
      <c r="U906" s="40">
        <v>287655.17241379299</v>
      </c>
      <c r="V906" s="40">
        <v>0</v>
      </c>
      <c r="W906" s="45">
        <v>553763.31034482701</v>
      </c>
      <c r="X906" s="46">
        <v>8.7599352812843598</v>
      </c>
    </row>
    <row r="907" spans="1:24" s="4" customFormat="1" ht="15" customHeight="1">
      <c r="A907" s="28" t="s">
        <v>2682</v>
      </c>
      <c r="B907" s="29">
        <v>3278.81</v>
      </c>
      <c r="C907" s="30" t="s">
        <v>2699</v>
      </c>
      <c r="D907" s="2">
        <v>4950498655</v>
      </c>
      <c r="E907" s="2" t="s">
        <v>14</v>
      </c>
      <c r="F907" s="2" t="s">
        <v>2700</v>
      </c>
      <c r="G907" s="28" t="s">
        <v>9</v>
      </c>
      <c r="H907" s="2" t="s">
        <v>23</v>
      </c>
      <c r="I907" s="2">
        <v>3</v>
      </c>
      <c r="J907" s="2"/>
      <c r="K907" s="2">
        <v>8984.16</v>
      </c>
      <c r="L907" s="35">
        <v>29457353.649599999</v>
      </c>
      <c r="M907" s="36">
        <v>2428</v>
      </c>
      <c r="N907" s="40">
        <v>900679</v>
      </c>
      <c r="O907" s="40">
        <v>3683</v>
      </c>
      <c r="P907" s="40">
        <v>367358</v>
      </c>
      <c r="Q907" s="40">
        <v>44059</v>
      </c>
      <c r="R907" s="40">
        <v>489201</v>
      </c>
      <c r="S907" s="40">
        <v>354356</v>
      </c>
      <c r="T907" s="40">
        <v>30000</v>
      </c>
      <c r="U907" s="40">
        <v>0</v>
      </c>
      <c r="V907" s="40">
        <v>0</v>
      </c>
      <c r="W907" s="45">
        <v>2189336</v>
      </c>
      <c r="X907" s="46">
        <v>7.4322222764560104</v>
      </c>
    </row>
    <row r="908" spans="1:24" s="4" customFormat="1" ht="15" customHeight="1">
      <c r="A908" s="28" t="s">
        <v>2682</v>
      </c>
      <c r="B908" s="29">
        <v>3278.81</v>
      </c>
      <c r="C908" s="30" t="s">
        <v>2704</v>
      </c>
      <c r="D908" s="2">
        <v>4950812440</v>
      </c>
      <c r="E908" s="2" t="s">
        <v>14</v>
      </c>
      <c r="F908" s="2" t="s">
        <v>2705</v>
      </c>
      <c r="G908" s="28" t="s">
        <v>9</v>
      </c>
      <c r="H908" s="2" t="s">
        <v>23</v>
      </c>
      <c r="I908" s="2">
        <v>3</v>
      </c>
      <c r="J908" s="2"/>
      <c r="K908" s="2">
        <v>7343.98</v>
      </c>
      <c r="L908" s="35">
        <v>24079515.0638</v>
      </c>
      <c r="M908" s="36">
        <v>2721</v>
      </c>
      <c r="N908" s="40">
        <v>799777</v>
      </c>
      <c r="O908" s="40">
        <v>1883</v>
      </c>
      <c r="P908" s="40">
        <v>0</v>
      </c>
      <c r="Q908" s="40">
        <v>44254</v>
      </c>
      <c r="R908" s="40">
        <v>136154</v>
      </c>
      <c r="S908" s="40">
        <v>354356</v>
      </c>
      <c r="T908" s="40">
        <v>30000</v>
      </c>
      <c r="U908" s="40">
        <v>252200</v>
      </c>
      <c r="V908" s="40">
        <v>0</v>
      </c>
      <c r="W908" s="45">
        <v>1618624</v>
      </c>
      <c r="X908" s="46">
        <v>6.7219958363420798</v>
      </c>
    </row>
    <row r="909" spans="1:24" s="4" customFormat="1" ht="15" customHeight="1">
      <c r="A909" s="28" t="s">
        <v>2682</v>
      </c>
      <c r="B909" s="29">
        <v>3278.81</v>
      </c>
      <c r="C909" s="30" t="s">
        <v>2706</v>
      </c>
      <c r="D909" s="2">
        <v>4950272170</v>
      </c>
      <c r="E909" s="2" t="s">
        <v>14</v>
      </c>
      <c r="F909" s="2" t="s">
        <v>2707</v>
      </c>
      <c r="G909" s="28" t="s">
        <v>9</v>
      </c>
      <c r="H909" s="2" t="s">
        <v>23</v>
      </c>
      <c r="I909" s="2">
        <v>1</v>
      </c>
      <c r="J909" s="2"/>
      <c r="K909" s="2">
        <v>2485.29</v>
      </c>
      <c r="L909" s="35">
        <v>8148793.7049000002</v>
      </c>
      <c r="M909" s="36">
        <v>764</v>
      </c>
      <c r="N909" s="40">
        <v>621435</v>
      </c>
      <c r="O909" s="40">
        <v>572</v>
      </c>
      <c r="P909" s="40">
        <v>0</v>
      </c>
      <c r="Q909" s="40">
        <v>13675</v>
      </c>
      <c r="R909" s="40">
        <v>100423</v>
      </c>
      <c r="S909" s="40">
        <v>354356</v>
      </c>
      <c r="T909" s="40">
        <v>30000</v>
      </c>
      <c r="U909" s="40">
        <v>325899.36592350202</v>
      </c>
      <c r="V909" s="40">
        <v>0</v>
      </c>
      <c r="W909" s="45">
        <v>1446360.3659234999</v>
      </c>
      <c r="X909" s="46">
        <v>17.7493800714796</v>
      </c>
    </row>
    <row r="910" spans="1:24" s="4" customFormat="1" ht="15" customHeight="1">
      <c r="A910" s="28" t="s">
        <v>2682</v>
      </c>
      <c r="B910" s="29">
        <v>3278.81</v>
      </c>
      <c r="C910" s="30" t="s">
        <v>2708</v>
      </c>
      <c r="D910" s="2">
        <v>4950365717</v>
      </c>
      <c r="E910" s="2" t="s">
        <v>14</v>
      </c>
      <c r="F910" s="2" t="s">
        <v>2709</v>
      </c>
      <c r="G910" s="28" t="s">
        <v>9</v>
      </c>
      <c r="H910" s="2" t="s">
        <v>23</v>
      </c>
      <c r="I910" s="2">
        <v>4</v>
      </c>
      <c r="J910" s="2"/>
      <c r="K910" s="2">
        <v>6381.75</v>
      </c>
      <c r="L910" s="35">
        <v>20924545.717500001</v>
      </c>
      <c r="M910" s="36">
        <v>3175</v>
      </c>
      <c r="N910" s="40">
        <v>809007</v>
      </c>
      <c r="O910" s="40">
        <v>2152</v>
      </c>
      <c r="P910" s="40">
        <v>0</v>
      </c>
      <c r="Q910" s="40">
        <v>64008</v>
      </c>
      <c r="R910" s="40">
        <v>156293</v>
      </c>
      <c r="S910" s="40">
        <v>354356</v>
      </c>
      <c r="T910" s="40">
        <v>30000</v>
      </c>
      <c r="U910" s="40">
        <v>1354359.2759255499</v>
      </c>
      <c r="V910" s="40">
        <v>0</v>
      </c>
      <c r="W910" s="45">
        <v>2770175.2759255501</v>
      </c>
      <c r="X910" s="46">
        <v>13.2388789382832</v>
      </c>
    </row>
    <row r="911" spans="1:24" s="4" customFormat="1" ht="15" customHeight="1">
      <c r="A911" s="28" t="s">
        <v>2682</v>
      </c>
      <c r="B911" s="29">
        <v>3278.81</v>
      </c>
      <c r="C911" s="30" t="s">
        <v>2710</v>
      </c>
      <c r="D911" s="2">
        <v>4949532980</v>
      </c>
      <c r="E911" s="2" t="s">
        <v>14</v>
      </c>
      <c r="F911" s="2" t="s">
        <v>2711</v>
      </c>
      <c r="G911" s="28" t="s">
        <v>9</v>
      </c>
      <c r="H911" s="2" t="s">
        <v>23</v>
      </c>
      <c r="I911" s="2">
        <v>3</v>
      </c>
      <c r="J911" s="2"/>
      <c r="K911" s="2">
        <v>7605</v>
      </c>
      <c r="L911" s="35">
        <v>24935350.050000001</v>
      </c>
      <c r="M911" s="36">
        <v>1170</v>
      </c>
      <c r="N911" s="40">
        <v>914281</v>
      </c>
      <c r="O911" s="40">
        <v>908</v>
      </c>
      <c r="P911" s="40">
        <v>0</v>
      </c>
      <c r="Q911" s="40">
        <v>21256</v>
      </c>
      <c r="R911" s="40">
        <v>112543</v>
      </c>
      <c r="S911" s="40">
        <v>354356</v>
      </c>
      <c r="T911" s="40">
        <v>30000</v>
      </c>
      <c r="U911" s="40">
        <v>1367700</v>
      </c>
      <c r="V911" s="40">
        <v>0</v>
      </c>
      <c r="W911" s="45">
        <v>2801044</v>
      </c>
      <c r="X911" s="46">
        <v>11.233225097636</v>
      </c>
    </row>
    <row r="912" spans="1:24" s="4" customFormat="1" ht="15" customHeight="1">
      <c r="A912" s="28" t="s">
        <v>2682</v>
      </c>
      <c r="B912" s="29">
        <v>3278.81</v>
      </c>
      <c r="C912" s="30" t="s">
        <v>2727</v>
      </c>
      <c r="D912" s="2">
        <v>4950585744</v>
      </c>
      <c r="E912" s="2" t="s">
        <v>14</v>
      </c>
      <c r="F912" s="78" t="s">
        <v>2728</v>
      </c>
      <c r="G912" s="28" t="s">
        <v>9</v>
      </c>
      <c r="H912" s="2" t="s">
        <v>23</v>
      </c>
      <c r="I912" s="2">
        <v>2</v>
      </c>
      <c r="J912" s="2"/>
      <c r="K912" s="2">
        <v>1132.5</v>
      </c>
      <c r="L912" s="35">
        <v>3713252.3250000002</v>
      </c>
      <c r="M912" s="36">
        <v>750</v>
      </c>
      <c r="N912" s="40">
        <v>433095.78947368398</v>
      </c>
      <c r="O912" s="40">
        <v>556.57894736842104</v>
      </c>
      <c r="P912" s="40">
        <v>0</v>
      </c>
      <c r="Q912" s="40">
        <v>12858.1578947368</v>
      </c>
      <c r="R912" s="40">
        <v>81227.368421052597</v>
      </c>
      <c r="S912" s="40">
        <v>279754.73684210499</v>
      </c>
      <c r="T912" s="40">
        <v>30000</v>
      </c>
      <c r="U912" s="40">
        <v>319927.38801390899</v>
      </c>
      <c r="V912" s="40">
        <v>0</v>
      </c>
      <c r="W912" s="45">
        <v>1157420.01959286</v>
      </c>
      <c r="X912" s="46">
        <v>31.169980337731399</v>
      </c>
    </row>
    <row r="913" spans="1:24" s="4" customFormat="1" ht="15" customHeight="1">
      <c r="A913" s="28" t="s">
        <v>2682</v>
      </c>
      <c r="B913" s="29">
        <v>3278.81</v>
      </c>
      <c r="C913" s="30" t="s">
        <v>2727</v>
      </c>
      <c r="D913" s="2">
        <v>4950902084</v>
      </c>
      <c r="E913" s="2" t="s">
        <v>14</v>
      </c>
      <c r="F913" s="78" t="s">
        <v>2728</v>
      </c>
      <c r="G913" s="28" t="s">
        <v>9</v>
      </c>
      <c r="H913" s="2" t="s">
        <v>23</v>
      </c>
      <c r="I913" s="2">
        <v>2</v>
      </c>
      <c r="J913" s="2"/>
      <c r="K913" s="2">
        <v>964</v>
      </c>
      <c r="L913" s="35">
        <v>3160772.84</v>
      </c>
      <c r="M913" s="36">
        <v>200</v>
      </c>
      <c r="N913" s="40">
        <v>115492.210526316</v>
      </c>
      <c r="O913" s="40">
        <v>148.42105263157899</v>
      </c>
      <c r="P913" s="40">
        <v>0</v>
      </c>
      <c r="Q913" s="40">
        <v>3428.8421052631602</v>
      </c>
      <c r="R913" s="40">
        <v>21660.631578947399</v>
      </c>
      <c r="S913" s="40">
        <v>74601.263157894704</v>
      </c>
      <c r="T913" s="40">
        <v>30000</v>
      </c>
      <c r="U913" s="40">
        <v>85313.970137042299</v>
      </c>
      <c r="V913" s="40">
        <v>0</v>
      </c>
      <c r="W913" s="45">
        <v>330645.33855809498</v>
      </c>
      <c r="X913" s="46">
        <v>10.4609016622053</v>
      </c>
    </row>
    <row r="914" spans="1:24" s="4" customFormat="1" ht="15" customHeight="1">
      <c r="A914" s="28" t="s">
        <v>2682</v>
      </c>
      <c r="B914" s="29">
        <v>3278.81</v>
      </c>
      <c r="C914" s="30" t="s">
        <v>2729</v>
      </c>
      <c r="D914" s="2">
        <v>4950722786</v>
      </c>
      <c r="E914" s="2" t="s">
        <v>14</v>
      </c>
      <c r="F914" s="78" t="s">
        <v>2730</v>
      </c>
      <c r="G914" s="28" t="s">
        <v>13</v>
      </c>
      <c r="H914" s="2" t="s">
        <v>23</v>
      </c>
      <c r="I914" s="2">
        <v>1</v>
      </c>
      <c r="J914" s="2"/>
      <c r="K914" s="2">
        <v>582.29999999999995</v>
      </c>
      <c r="L914" s="35">
        <v>1909251.0630000001</v>
      </c>
      <c r="M914" s="36">
        <v>10</v>
      </c>
      <c r="N914" s="40">
        <v>321456.58</v>
      </c>
      <c r="O914" s="40">
        <v>0</v>
      </c>
      <c r="P914" s="40">
        <v>0</v>
      </c>
      <c r="Q914" s="40">
        <v>0</v>
      </c>
      <c r="R914" s="40">
        <v>1286</v>
      </c>
      <c r="S914" s="40">
        <v>354356</v>
      </c>
      <c r="T914" s="40">
        <v>30000</v>
      </c>
      <c r="U914" s="40">
        <v>80780.327868852502</v>
      </c>
      <c r="V914" s="40">
        <v>0</v>
      </c>
      <c r="W914" s="45">
        <v>787878.90786885296</v>
      </c>
      <c r="X914" s="46">
        <v>41.266385712042599</v>
      </c>
    </row>
    <row r="915" spans="1:24" s="4" customFormat="1" ht="15" customHeight="1">
      <c r="A915" s="28" t="s">
        <v>2682</v>
      </c>
      <c r="B915" s="29">
        <v>3278.81</v>
      </c>
      <c r="C915" s="30" t="s">
        <v>2731</v>
      </c>
      <c r="D915" s="2">
        <v>4951047699</v>
      </c>
      <c r="E915" s="2" t="s">
        <v>14</v>
      </c>
      <c r="F915" s="78" t="s">
        <v>2732</v>
      </c>
      <c r="G915" s="28" t="s">
        <v>13</v>
      </c>
      <c r="H915" s="2" t="s">
        <v>23</v>
      </c>
      <c r="I915" s="2">
        <v>1</v>
      </c>
      <c r="J915" s="2"/>
      <c r="K915" s="2">
        <v>1164.5999999999999</v>
      </c>
      <c r="L915" s="35">
        <v>3818502.1260000002</v>
      </c>
      <c r="M915" s="36">
        <v>20</v>
      </c>
      <c r="N915" s="40">
        <v>312804.19</v>
      </c>
      <c r="O915" s="40">
        <v>0</v>
      </c>
      <c r="P915" s="40">
        <v>0</v>
      </c>
      <c r="Q915" s="40">
        <v>0</v>
      </c>
      <c r="R915" s="40">
        <v>1251</v>
      </c>
      <c r="S915" s="40">
        <v>354356</v>
      </c>
      <c r="T915" s="40">
        <v>30000</v>
      </c>
      <c r="U915" s="40">
        <v>161560.655737705</v>
      </c>
      <c r="V915" s="40">
        <v>0</v>
      </c>
      <c r="W915" s="45">
        <v>859971.84573770501</v>
      </c>
      <c r="X915" s="46">
        <v>22.521182845026999</v>
      </c>
    </row>
    <row r="916" spans="1:24" s="4" customFormat="1" ht="15" customHeight="1">
      <c r="A916" s="28" t="s">
        <v>2682</v>
      </c>
      <c r="B916" s="29">
        <v>3278.81</v>
      </c>
      <c r="C916" s="30" t="s">
        <v>2733</v>
      </c>
      <c r="D916" s="2">
        <v>4951235267</v>
      </c>
      <c r="E916" s="2" t="s">
        <v>14</v>
      </c>
      <c r="F916" s="2" t="s">
        <v>2734</v>
      </c>
      <c r="G916" s="28" t="s">
        <v>13</v>
      </c>
      <c r="H916" s="2" t="s">
        <v>23</v>
      </c>
      <c r="I916" s="2">
        <v>2</v>
      </c>
      <c r="J916" s="2"/>
      <c r="K916" s="2">
        <v>9333.52</v>
      </c>
      <c r="L916" s="35">
        <v>30602838.711199999</v>
      </c>
      <c r="M916" s="36">
        <v>2000</v>
      </c>
      <c r="N916" s="40">
        <v>1971700</v>
      </c>
      <c r="O916" s="40">
        <v>0</v>
      </c>
      <c r="P916" s="40">
        <v>0</v>
      </c>
      <c r="Q916" s="40">
        <v>0</v>
      </c>
      <c r="R916" s="40">
        <v>87932</v>
      </c>
      <c r="S916" s="40">
        <v>354356</v>
      </c>
      <c r="T916" s="40">
        <v>30000</v>
      </c>
      <c r="U916" s="40">
        <v>241549.01960784299</v>
      </c>
      <c r="V916" s="40">
        <v>0</v>
      </c>
      <c r="W916" s="45">
        <v>2685537.0196078401</v>
      </c>
      <c r="X916" s="46">
        <v>8.7754506859685293</v>
      </c>
    </row>
    <row r="917" spans="1:24" s="4" customFormat="1" ht="15" customHeight="1">
      <c r="A917" s="28" t="s">
        <v>2682</v>
      </c>
      <c r="B917" s="29">
        <v>3278.81</v>
      </c>
      <c r="C917" s="30" t="s">
        <v>2735</v>
      </c>
      <c r="D917" s="2">
        <v>4950874848</v>
      </c>
      <c r="E917" s="2" t="s">
        <v>14</v>
      </c>
      <c r="F917" s="2" t="s">
        <v>2736</v>
      </c>
      <c r="G917" s="28" t="s">
        <v>13</v>
      </c>
      <c r="H917" s="2" t="s">
        <v>23</v>
      </c>
      <c r="I917" s="2">
        <v>2</v>
      </c>
      <c r="J917" s="2"/>
      <c r="K917" s="2">
        <v>1868.2</v>
      </c>
      <c r="L917" s="35">
        <v>6125472.8420000002</v>
      </c>
      <c r="M917" s="36">
        <v>40</v>
      </c>
      <c r="N917" s="40">
        <v>1129870</v>
      </c>
      <c r="O917" s="40">
        <v>0</v>
      </c>
      <c r="P917" s="40">
        <v>0</v>
      </c>
      <c r="Q917" s="40">
        <v>0</v>
      </c>
      <c r="R917" s="40">
        <v>5966</v>
      </c>
      <c r="S917" s="40">
        <v>354356</v>
      </c>
      <c r="T917" s="40">
        <v>30000</v>
      </c>
      <c r="U917" s="40">
        <v>4830.98039215686</v>
      </c>
      <c r="V917" s="40">
        <v>0</v>
      </c>
      <c r="W917" s="45">
        <v>1525022.9803921599</v>
      </c>
      <c r="X917" s="46">
        <v>24.8964124032297</v>
      </c>
    </row>
    <row r="918" spans="1:24" s="4" customFormat="1" ht="15" customHeight="1">
      <c r="A918" s="28" t="s">
        <v>2682</v>
      </c>
      <c r="B918" s="29">
        <v>3278.81</v>
      </c>
      <c r="C918" s="30" t="s">
        <v>2737</v>
      </c>
      <c r="D918" s="2">
        <v>4951179419</v>
      </c>
      <c r="E918" s="2" t="s">
        <v>14</v>
      </c>
      <c r="F918" s="2" t="s">
        <v>2738</v>
      </c>
      <c r="G918" s="28" t="s">
        <v>13</v>
      </c>
      <c r="H918" s="2" t="s">
        <v>23</v>
      </c>
      <c r="I918" s="2">
        <v>1</v>
      </c>
      <c r="J918" s="2"/>
      <c r="K918" s="2">
        <v>415.84</v>
      </c>
      <c r="L918" s="35">
        <v>1363460.3504000001</v>
      </c>
      <c r="M918" s="36">
        <v>0.5</v>
      </c>
      <c r="N918" s="40">
        <v>312804</v>
      </c>
      <c r="O918" s="40">
        <v>0</v>
      </c>
      <c r="P918" s="40">
        <v>0</v>
      </c>
      <c r="Q918" s="40">
        <v>0</v>
      </c>
      <c r="R918" s="40">
        <v>1251</v>
      </c>
      <c r="S918" s="40">
        <v>354356</v>
      </c>
      <c r="T918" s="40">
        <v>30000</v>
      </c>
      <c r="U918" s="40">
        <v>4039.01639344262</v>
      </c>
      <c r="V918" s="40">
        <v>0</v>
      </c>
      <c r="W918" s="45">
        <v>702450.01639344299</v>
      </c>
      <c r="X918" s="46">
        <v>51.519651171914497</v>
      </c>
    </row>
    <row r="919" spans="1:24" s="4" customFormat="1" ht="15" customHeight="1">
      <c r="A919" s="28" t="s">
        <v>2682</v>
      </c>
      <c r="B919" s="29">
        <v>3278.81</v>
      </c>
      <c r="C919" s="30" t="s">
        <v>2739</v>
      </c>
      <c r="D919" s="2">
        <v>4951079973</v>
      </c>
      <c r="E919" s="2" t="s">
        <v>14</v>
      </c>
      <c r="F919" s="78" t="s">
        <v>2740</v>
      </c>
      <c r="G919" s="28" t="s">
        <v>13</v>
      </c>
      <c r="H919" s="2" t="s">
        <v>23</v>
      </c>
      <c r="I919" s="2">
        <v>1</v>
      </c>
      <c r="J919" s="2"/>
      <c r="K919" s="2">
        <v>7416.75</v>
      </c>
      <c r="L919" s="35">
        <v>24318114.067499999</v>
      </c>
      <c r="M919" s="36">
        <v>25</v>
      </c>
      <c r="N919" s="40">
        <v>1123847</v>
      </c>
      <c r="O919" s="40">
        <v>0</v>
      </c>
      <c r="P919" s="40">
        <v>0</v>
      </c>
      <c r="Q919" s="40">
        <v>0</v>
      </c>
      <c r="R919" s="40">
        <v>5393</v>
      </c>
      <c r="S919" s="40">
        <v>354356</v>
      </c>
      <c r="T919" s="40">
        <v>30000</v>
      </c>
      <c r="U919" s="40">
        <v>246380</v>
      </c>
      <c r="V919" s="40">
        <v>0</v>
      </c>
      <c r="W919" s="45">
        <v>1759976</v>
      </c>
      <c r="X919" s="46">
        <v>7.2373046491797002</v>
      </c>
    </row>
    <row r="920" spans="1:24" s="4" customFormat="1" ht="15" customHeight="1">
      <c r="A920" s="28" t="s">
        <v>2682</v>
      </c>
      <c r="B920" s="29">
        <v>3278.81</v>
      </c>
      <c r="C920" s="30" t="s">
        <v>2745</v>
      </c>
      <c r="D920" s="2">
        <v>4950896342</v>
      </c>
      <c r="E920" s="2" t="s">
        <v>14</v>
      </c>
      <c r="F920" s="2" t="s">
        <v>2746</v>
      </c>
      <c r="G920" s="28" t="s">
        <v>5</v>
      </c>
      <c r="H920" s="2" t="s">
        <v>20</v>
      </c>
      <c r="I920" s="2">
        <v>1</v>
      </c>
      <c r="J920" s="2" t="s">
        <v>2747</v>
      </c>
      <c r="K920" s="2">
        <v>8040</v>
      </c>
      <c r="L920" s="35">
        <v>26361632.399999999</v>
      </c>
      <c r="M920" s="36">
        <v>4000</v>
      </c>
      <c r="N920" s="40">
        <v>497434</v>
      </c>
      <c r="O920" s="40">
        <v>332157</v>
      </c>
      <c r="P920" s="40">
        <v>0</v>
      </c>
      <c r="Q920" s="40">
        <v>110000</v>
      </c>
      <c r="R920" s="40">
        <v>554939</v>
      </c>
      <c r="S920" s="40">
        <v>354356</v>
      </c>
      <c r="T920" s="40">
        <v>30000</v>
      </c>
      <c r="U920" s="40">
        <v>2619000</v>
      </c>
      <c r="V920" s="40">
        <v>0</v>
      </c>
      <c r="W920" s="45">
        <v>4497886</v>
      </c>
      <c r="X920" s="46">
        <v>17.062243838890598</v>
      </c>
    </row>
    <row r="921" spans="1:24" s="4" customFormat="1" ht="15" customHeight="1">
      <c r="A921" s="28" t="s">
        <v>2682</v>
      </c>
      <c r="B921" s="29">
        <v>3278.81</v>
      </c>
      <c r="C921" s="30" t="s">
        <v>2751</v>
      </c>
      <c r="D921" s="2">
        <v>4950272192</v>
      </c>
      <c r="E921" s="2" t="s">
        <v>14</v>
      </c>
      <c r="F921" s="2" t="s">
        <v>2752</v>
      </c>
      <c r="G921" s="28" t="s">
        <v>5</v>
      </c>
      <c r="H921" s="2" t="s">
        <v>20</v>
      </c>
      <c r="I921" s="2">
        <v>1</v>
      </c>
      <c r="J921" s="2" t="s">
        <v>2753</v>
      </c>
      <c r="K921" s="2">
        <v>11721.6</v>
      </c>
      <c r="L921" s="35">
        <v>38432899.295999996</v>
      </c>
      <c r="M921" s="36">
        <v>7920</v>
      </c>
      <c r="N921" s="40">
        <v>399316</v>
      </c>
      <c r="O921" s="40">
        <v>332157</v>
      </c>
      <c r="P921" s="40">
        <v>0</v>
      </c>
      <c r="Q921" s="40">
        <v>110000</v>
      </c>
      <c r="R921" s="40">
        <v>625828</v>
      </c>
      <c r="S921" s="40">
        <v>354356</v>
      </c>
      <c r="T921" s="40">
        <v>30000</v>
      </c>
      <c r="U921" s="40">
        <v>2900300</v>
      </c>
      <c r="V921" s="40">
        <v>0</v>
      </c>
      <c r="W921" s="45">
        <v>4751957</v>
      </c>
      <c r="X921" s="46">
        <v>12.3642948802839</v>
      </c>
    </row>
    <row r="922" spans="1:24" s="4" customFormat="1" ht="15" customHeight="1">
      <c r="A922" s="28" t="s">
        <v>2682</v>
      </c>
      <c r="B922" s="29">
        <v>3278.81</v>
      </c>
      <c r="C922" s="30" t="s">
        <v>2760</v>
      </c>
      <c r="D922" s="2">
        <v>4949532982</v>
      </c>
      <c r="E922" s="2" t="s">
        <v>14</v>
      </c>
      <c r="F922" s="2" t="s">
        <v>2761</v>
      </c>
      <c r="G922" s="28" t="s">
        <v>5</v>
      </c>
      <c r="H922" s="2" t="s">
        <v>17</v>
      </c>
      <c r="I922" s="2">
        <v>1</v>
      </c>
      <c r="J922" s="2" t="s">
        <v>2762</v>
      </c>
      <c r="K922" s="2">
        <v>1488</v>
      </c>
      <c r="L922" s="35">
        <v>4878869.28</v>
      </c>
      <c r="M922" s="36">
        <v>200</v>
      </c>
      <c r="N922" s="40">
        <v>4803.8015037593996</v>
      </c>
      <c r="O922" s="40">
        <v>5242.1172932330801</v>
      </c>
      <c r="P922" s="40">
        <v>0</v>
      </c>
      <c r="Q922" s="40">
        <v>1323.30827067669</v>
      </c>
      <c r="R922" s="40">
        <v>7115.1639097744401</v>
      </c>
      <c r="S922" s="40">
        <v>4262.9293233082699</v>
      </c>
      <c r="T922" s="40">
        <v>30000</v>
      </c>
      <c r="U922" s="40">
        <v>65522.406015037603</v>
      </c>
      <c r="V922" s="40">
        <v>0</v>
      </c>
      <c r="W922" s="45">
        <v>118269.726315789</v>
      </c>
      <c r="X922" s="46">
        <v>2.42412164639487</v>
      </c>
    </row>
    <row r="923" spans="1:24" s="4" customFormat="1" ht="15" customHeight="1">
      <c r="A923" s="28" t="s">
        <v>2682</v>
      </c>
      <c r="B923" s="29">
        <v>3278.81</v>
      </c>
      <c r="C923" s="30" t="s">
        <v>2760</v>
      </c>
      <c r="D923" s="2">
        <v>4950585741</v>
      </c>
      <c r="E923" s="2" t="s">
        <v>14</v>
      </c>
      <c r="F923" s="2" t="s">
        <v>2761</v>
      </c>
      <c r="G923" s="28" t="s">
        <v>5</v>
      </c>
      <c r="H923" s="2" t="s">
        <v>17</v>
      </c>
      <c r="I923" s="2">
        <v>1</v>
      </c>
      <c r="J923" s="2" t="s">
        <v>2762</v>
      </c>
      <c r="K923" s="2">
        <v>150</v>
      </c>
      <c r="L923" s="35">
        <v>491821.5</v>
      </c>
      <c r="M923" s="36">
        <v>150</v>
      </c>
      <c r="N923" s="40">
        <v>3602.8511278195501</v>
      </c>
      <c r="O923" s="40">
        <v>3931.5879699248098</v>
      </c>
      <c r="P923" s="40">
        <v>0</v>
      </c>
      <c r="Q923" s="40">
        <v>992.48120300751896</v>
      </c>
      <c r="R923" s="40">
        <v>5336.3729323308298</v>
      </c>
      <c r="S923" s="40">
        <v>3197.1969924812001</v>
      </c>
      <c r="T923" s="40">
        <v>30000</v>
      </c>
      <c r="U923" s="40">
        <v>49141.804511278198</v>
      </c>
      <c r="V923" s="40">
        <v>0</v>
      </c>
      <c r="W923" s="45">
        <v>96202.294736842101</v>
      </c>
      <c r="X923" s="46">
        <v>19.560408550021101</v>
      </c>
    </row>
    <row r="924" spans="1:24" s="4" customFormat="1" ht="15" customHeight="1">
      <c r="A924" s="28" t="s">
        <v>2682</v>
      </c>
      <c r="B924" s="29">
        <v>3278.81</v>
      </c>
      <c r="C924" s="30" t="s">
        <v>2760</v>
      </c>
      <c r="D924" s="2">
        <v>4950585741</v>
      </c>
      <c r="E924" s="2" t="s">
        <v>14</v>
      </c>
      <c r="F924" s="2" t="s">
        <v>2761</v>
      </c>
      <c r="G924" s="28" t="s">
        <v>5</v>
      </c>
      <c r="H924" s="2" t="s">
        <v>17</v>
      </c>
      <c r="I924" s="2">
        <v>1</v>
      </c>
      <c r="J924" s="2" t="s">
        <v>2762</v>
      </c>
      <c r="K924" s="2">
        <v>7096</v>
      </c>
      <c r="L924" s="35">
        <v>23266435.760000002</v>
      </c>
      <c r="M924" s="36">
        <v>800</v>
      </c>
      <c r="N924" s="40">
        <v>19215.206015037598</v>
      </c>
      <c r="O924" s="40">
        <v>20968.469172932299</v>
      </c>
      <c r="P924" s="40">
        <v>0</v>
      </c>
      <c r="Q924" s="40">
        <v>5293.2330827067699</v>
      </c>
      <c r="R924" s="40">
        <v>28460.655639097698</v>
      </c>
      <c r="S924" s="40">
        <v>17051.717293233101</v>
      </c>
      <c r="T924" s="40">
        <v>30000</v>
      </c>
      <c r="U924" s="40">
        <v>262089.62406015</v>
      </c>
      <c r="V924" s="40">
        <v>0</v>
      </c>
      <c r="W924" s="45">
        <v>383078.90526315698</v>
      </c>
      <c r="X924" s="46">
        <v>1.64648727985123</v>
      </c>
    </row>
    <row r="925" spans="1:24" s="4" customFormat="1" ht="15" customHeight="1">
      <c r="A925" s="28" t="s">
        <v>2682</v>
      </c>
      <c r="B925" s="29">
        <v>3278.81</v>
      </c>
      <c r="C925" s="30" t="s">
        <v>2760</v>
      </c>
      <c r="D925" s="2">
        <v>4950722780</v>
      </c>
      <c r="E925" s="2" t="s">
        <v>14</v>
      </c>
      <c r="F925" s="2" t="s">
        <v>2761</v>
      </c>
      <c r="G925" s="28" t="s">
        <v>5</v>
      </c>
      <c r="H925" s="2" t="s">
        <v>17</v>
      </c>
      <c r="I925" s="2">
        <v>1</v>
      </c>
      <c r="J925" s="2" t="s">
        <v>2762</v>
      </c>
      <c r="K925" s="2">
        <v>2158.8000000000002</v>
      </c>
      <c r="L925" s="35">
        <v>7078295.0279999999</v>
      </c>
      <c r="M925" s="36">
        <v>420</v>
      </c>
      <c r="N925" s="40">
        <v>10087.9831578947</v>
      </c>
      <c r="O925" s="40">
        <v>11008.446315789501</v>
      </c>
      <c r="P925" s="40">
        <v>0</v>
      </c>
      <c r="Q925" s="40">
        <v>2778.9473684210502</v>
      </c>
      <c r="R925" s="40">
        <v>14941.8442105263</v>
      </c>
      <c r="S925" s="40">
        <v>8952.1515789473706</v>
      </c>
      <c r="T925" s="40">
        <v>30000</v>
      </c>
      <c r="U925" s="40">
        <v>137597.05263157899</v>
      </c>
      <c r="V925" s="40">
        <v>0</v>
      </c>
      <c r="W925" s="45">
        <v>215366.42526315799</v>
      </c>
      <c r="X925" s="46">
        <v>3.0426313739568802</v>
      </c>
    </row>
    <row r="926" spans="1:24" s="4" customFormat="1" ht="15" customHeight="1">
      <c r="A926" s="28" t="s">
        <v>2682</v>
      </c>
      <c r="B926" s="29">
        <v>3278.81</v>
      </c>
      <c r="C926" s="30" t="s">
        <v>2760</v>
      </c>
      <c r="D926" s="2">
        <v>4950726654</v>
      </c>
      <c r="E926" s="2" t="s">
        <v>14</v>
      </c>
      <c r="F926" s="2" t="s">
        <v>2761</v>
      </c>
      <c r="G926" s="28" t="s">
        <v>5</v>
      </c>
      <c r="H926" s="2" t="s">
        <v>17</v>
      </c>
      <c r="I926" s="2">
        <v>1</v>
      </c>
      <c r="J926" s="2" t="s">
        <v>2762</v>
      </c>
      <c r="K926" s="2">
        <v>2492.6999999999998</v>
      </c>
      <c r="L926" s="35">
        <v>8173089.6869999999</v>
      </c>
      <c r="M926" s="36">
        <v>700</v>
      </c>
      <c r="N926" s="40">
        <v>16813.305263157901</v>
      </c>
      <c r="O926" s="40">
        <v>18347.410526315802</v>
      </c>
      <c r="P926" s="40">
        <v>0</v>
      </c>
      <c r="Q926" s="40">
        <v>4631.5789473684199</v>
      </c>
      <c r="R926" s="40">
        <v>24903.0736842105</v>
      </c>
      <c r="S926" s="40">
        <v>14920.2526315789</v>
      </c>
      <c r="T926" s="40">
        <v>30000</v>
      </c>
      <c r="U926" s="40">
        <v>229328.42105263201</v>
      </c>
      <c r="V926" s="40">
        <v>0</v>
      </c>
      <c r="W926" s="45">
        <v>338944.04210526397</v>
      </c>
      <c r="X926" s="46">
        <v>4.1470735680826198</v>
      </c>
    </row>
    <row r="927" spans="1:24" s="4" customFormat="1" ht="15" customHeight="1">
      <c r="A927" s="28" t="s">
        <v>2682</v>
      </c>
      <c r="B927" s="29">
        <v>3278.81</v>
      </c>
      <c r="C927" s="30" t="s">
        <v>2760</v>
      </c>
      <c r="D927" s="2">
        <v>4950058287</v>
      </c>
      <c r="E927" s="2" t="s">
        <v>14</v>
      </c>
      <c r="F927" s="2" t="s">
        <v>2761</v>
      </c>
      <c r="G927" s="28" t="s">
        <v>5</v>
      </c>
      <c r="H927" s="2" t="s">
        <v>17</v>
      </c>
      <c r="I927" s="2">
        <v>1</v>
      </c>
      <c r="J927" s="2" t="s">
        <v>2762</v>
      </c>
      <c r="K927" s="2">
        <v>904.8</v>
      </c>
      <c r="L927" s="35">
        <v>2966667.2880000002</v>
      </c>
      <c r="M927" s="36">
        <v>30</v>
      </c>
      <c r="N927" s="40">
        <v>720.57022556390996</v>
      </c>
      <c r="O927" s="40">
        <v>786.31759398496195</v>
      </c>
      <c r="P927" s="40">
        <v>0</v>
      </c>
      <c r="Q927" s="40">
        <v>198.49624060150401</v>
      </c>
      <c r="R927" s="40">
        <v>1067.2745864661699</v>
      </c>
      <c r="S927" s="40">
        <v>639.43939849624098</v>
      </c>
      <c r="T927" s="40">
        <v>30000</v>
      </c>
      <c r="U927" s="40">
        <v>9828.3609022556393</v>
      </c>
      <c r="V927" s="40">
        <v>0</v>
      </c>
      <c r="W927" s="45">
        <v>43240.458947368403</v>
      </c>
      <c r="X927" s="46">
        <v>1.4575432547584199</v>
      </c>
    </row>
    <row r="928" spans="1:24" s="4" customFormat="1" ht="15" customHeight="1">
      <c r="A928" s="28" t="s">
        <v>2682</v>
      </c>
      <c r="B928" s="29">
        <v>3278.81</v>
      </c>
      <c r="C928" s="30" t="s">
        <v>2760</v>
      </c>
      <c r="D928" s="2">
        <v>4950058296</v>
      </c>
      <c r="E928" s="2" t="s">
        <v>14</v>
      </c>
      <c r="F928" s="2" t="s">
        <v>2761</v>
      </c>
      <c r="G928" s="28" t="s">
        <v>5</v>
      </c>
      <c r="H928" s="2" t="s">
        <v>17</v>
      </c>
      <c r="I928" s="2">
        <v>1</v>
      </c>
      <c r="J928" s="2" t="s">
        <v>2762</v>
      </c>
      <c r="K928" s="2">
        <v>2427.1999999999998</v>
      </c>
      <c r="L928" s="35">
        <v>7958327.6320000002</v>
      </c>
      <c r="M928" s="36">
        <v>820</v>
      </c>
      <c r="N928" s="40">
        <v>19695.586165413501</v>
      </c>
      <c r="O928" s="40">
        <v>21492.680902255601</v>
      </c>
      <c r="P928" s="40">
        <v>0</v>
      </c>
      <c r="Q928" s="40">
        <v>5425.5639097744397</v>
      </c>
      <c r="R928" s="40">
        <v>29172.172030075199</v>
      </c>
      <c r="S928" s="40">
        <v>17478.010225563899</v>
      </c>
      <c r="T928" s="40">
        <v>30000</v>
      </c>
      <c r="U928" s="40">
        <v>268641.86466165399</v>
      </c>
      <c r="V928" s="40">
        <v>0</v>
      </c>
      <c r="W928" s="45">
        <v>391905.877894737</v>
      </c>
      <c r="X928" s="46">
        <v>4.9244752920061297</v>
      </c>
    </row>
    <row r="929" spans="1:24" s="4" customFormat="1" ht="15" customHeight="1">
      <c r="A929" s="28" t="s">
        <v>2682</v>
      </c>
      <c r="B929" s="29">
        <v>3278.81</v>
      </c>
      <c r="C929" s="30" t="s">
        <v>2760</v>
      </c>
      <c r="D929" s="2">
        <v>4950058296</v>
      </c>
      <c r="E929" s="2" t="s">
        <v>14</v>
      </c>
      <c r="F929" s="2" t="s">
        <v>2761</v>
      </c>
      <c r="G929" s="28" t="s">
        <v>5</v>
      </c>
      <c r="H929" s="2" t="s">
        <v>17</v>
      </c>
      <c r="I929" s="2">
        <v>1</v>
      </c>
      <c r="J929" s="2" t="s">
        <v>2762</v>
      </c>
      <c r="K929" s="2">
        <v>5953.5</v>
      </c>
      <c r="L929" s="35">
        <v>19520395.335000001</v>
      </c>
      <c r="M929" s="36">
        <v>1575</v>
      </c>
      <c r="N929" s="40">
        <v>37829.9368421053</v>
      </c>
      <c r="O929" s="40">
        <v>41281.673684210502</v>
      </c>
      <c r="P929" s="40">
        <v>0</v>
      </c>
      <c r="Q929" s="40">
        <v>10421.052631578899</v>
      </c>
      <c r="R929" s="40">
        <v>56031.9157894737</v>
      </c>
      <c r="S929" s="40">
        <v>33570.568421052601</v>
      </c>
      <c r="T929" s="40">
        <v>30000</v>
      </c>
      <c r="U929" s="40">
        <v>515988.94736842101</v>
      </c>
      <c r="V929" s="40">
        <v>0</v>
      </c>
      <c r="W929" s="45">
        <v>725124.09473684197</v>
      </c>
      <c r="X929" s="46">
        <v>3.7146998423576898</v>
      </c>
    </row>
    <row r="930" spans="1:24" s="4" customFormat="1" ht="15" customHeight="1">
      <c r="A930" s="28" t="s">
        <v>2682</v>
      </c>
      <c r="B930" s="29">
        <v>3278.81</v>
      </c>
      <c r="C930" s="30" t="s">
        <v>2760</v>
      </c>
      <c r="D930" s="2">
        <v>4950058296</v>
      </c>
      <c r="E930" s="2" t="s">
        <v>14</v>
      </c>
      <c r="F930" s="2" t="s">
        <v>2761</v>
      </c>
      <c r="G930" s="28" t="s">
        <v>5</v>
      </c>
      <c r="H930" s="2" t="s">
        <v>17</v>
      </c>
      <c r="I930" s="2">
        <v>1</v>
      </c>
      <c r="J930" s="2" t="s">
        <v>2762</v>
      </c>
      <c r="K930" s="2">
        <v>8844</v>
      </c>
      <c r="L930" s="35">
        <v>28997795.640000001</v>
      </c>
      <c r="M930" s="36">
        <v>2640</v>
      </c>
      <c r="N930" s="40">
        <v>63410.179849624103</v>
      </c>
      <c r="O930" s="40">
        <v>69195.948270676701</v>
      </c>
      <c r="P930" s="40">
        <v>0</v>
      </c>
      <c r="Q930" s="40">
        <v>17467.669172932299</v>
      </c>
      <c r="R930" s="40">
        <v>93920.163609022595</v>
      </c>
      <c r="S930" s="40">
        <v>56270.667067669201</v>
      </c>
      <c r="T930" s="40">
        <v>30000</v>
      </c>
      <c r="U930" s="40">
        <v>864895.75939849601</v>
      </c>
      <c r="V930" s="40">
        <v>0</v>
      </c>
      <c r="W930" s="45">
        <v>1195160.3873684199</v>
      </c>
      <c r="X930" s="46">
        <v>4.1215560044839998</v>
      </c>
    </row>
    <row r="931" spans="1:24" s="4" customFormat="1" ht="15" customHeight="1">
      <c r="A931" s="28" t="s">
        <v>2682</v>
      </c>
      <c r="B931" s="29">
        <v>3278.81</v>
      </c>
      <c r="C931" s="30" t="s">
        <v>2760</v>
      </c>
      <c r="D931" s="2">
        <v>4950585743</v>
      </c>
      <c r="E931" s="2" t="s">
        <v>14</v>
      </c>
      <c r="F931" s="2" t="s">
        <v>2761</v>
      </c>
      <c r="G931" s="28" t="s">
        <v>5</v>
      </c>
      <c r="H931" s="2" t="s">
        <v>17</v>
      </c>
      <c r="I931" s="2">
        <v>1</v>
      </c>
      <c r="J931" s="2" t="s">
        <v>2762</v>
      </c>
      <c r="K931" s="2">
        <v>3792</v>
      </c>
      <c r="L931" s="35">
        <v>12433247.52</v>
      </c>
      <c r="M931" s="36">
        <v>400</v>
      </c>
      <c r="N931" s="40">
        <v>9607.6030075187991</v>
      </c>
      <c r="O931" s="40">
        <v>10484.2345864662</v>
      </c>
      <c r="P931" s="40">
        <v>0</v>
      </c>
      <c r="Q931" s="40">
        <v>2646.6165413533799</v>
      </c>
      <c r="R931" s="40">
        <v>14230.3278195489</v>
      </c>
      <c r="S931" s="40">
        <v>8525.8586466165398</v>
      </c>
      <c r="T931" s="40">
        <v>30000</v>
      </c>
      <c r="U931" s="40">
        <v>131044.812030075</v>
      </c>
      <c r="V931" s="40">
        <v>0</v>
      </c>
      <c r="W931" s="45">
        <v>206539.45263157901</v>
      </c>
      <c r="X931" s="46">
        <v>1.6611866875435499</v>
      </c>
    </row>
    <row r="932" spans="1:24" s="4" customFormat="1" ht="15" customHeight="1">
      <c r="A932" s="28" t="s">
        <v>2682</v>
      </c>
      <c r="B932" s="29">
        <v>3278.81</v>
      </c>
      <c r="C932" s="30" t="s">
        <v>2760</v>
      </c>
      <c r="D932" s="2">
        <v>4950722780</v>
      </c>
      <c r="E932" s="2" t="s">
        <v>14</v>
      </c>
      <c r="F932" s="2" t="s">
        <v>2761</v>
      </c>
      <c r="G932" s="28" t="s">
        <v>5</v>
      </c>
      <c r="H932" s="2" t="s">
        <v>17</v>
      </c>
      <c r="I932" s="2">
        <v>1</v>
      </c>
      <c r="J932" s="2" t="s">
        <v>2762</v>
      </c>
      <c r="K932" s="2">
        <v>6384</v>
      </c>
      <c r="L932" s="35">
        <v>20931923.039999999</v>
      </c>
      <c r="M932" s="36">
        <v>2400</v>
      </c>
      <c r="N932" s="40">
        <v>57645.618045112802</v>
      </c>
      <c r="O932" s="40">
        <v>62905.407518797001</v>
      </c>
      <c r="P932" s="40">
        <v>0</v>
      </c>
      <c r="Q932" s="40">
        <v>15879.6992481203</v>
      </c>
      <c r="R932" s="40">
        <v>85381.966917293204</v>
      </c>
      <c r="S932" s="40">
        <v>51155.151879699297</v>
      </c>
      <c r="T932" s="40">
        <v>30000</v>
      </c>
      <c r="U932" s="40">
        <v>786268.87218045106</v>
      </c>
      <c r="V932" s="40">
        <v>0</v>
      </c>
      <c r="W932" s="45">
        <v>1089236.7157894699</v>
      </c>
      <c r="X932" s="46">
        <v>5.2037106849093098</v>
      </c>
    </row>
    <row r="933" spans="1:24" s="4" customFormat="1" ht="15" customHeight="1">
      <c r="A933" s="28" t="s">
        <v>2682</v>
      </c>
      <c r="B933" s="29">
        <v>3278.81</v>
      </c>
      <c r="C933" s="30" t="s">
        <v>2760</v>
      </c>
      <c r="D933" s="2">
        <v>4950722780</v>
      </c>
      <c r="E933" s="2" t="s">
        <v>14</v>
      </c>
      <c r="F933" s="2" t="s">
        <v>2761</v>
      </c>
      <c r="G933" s="28" t="s">
        <v>5</v>
      </c>
      <c r="H933" s="2" t="s">
        <v>17</v>
      </c>
      <c r="I933" s="2">
        <v>1</v>
      </c>
      <c r="J933" s="2" t="s">
        <v>2762</v>
      </c>
      <c r="K933" s="2">
        <v>1858.2</v>
      </c>
      <c r="L933" s="35">
        <v>6092684.7419999996</v>
      </c>
      <c r="M933" s="36">
        <v>190</v>
      </c>
      <c r="N933" s="40">
        <v>4563.6114285714302</v>
      </c>
      <c r="O933" s="40">
        <v>4980.0114285714299</v>
      </c>
      <c r="P933" s="40">
        <v>0</v>
      </c>
      <c r="Q933" s="40">
        <v>1257.1428571428601</v>
      </c>
      <c r="R933" s="40">
        <v>6759.40571428571</v>
      </c>
      <c r="S933" s="40">
        <v>4049.7828571428599</v>
      </c>
      <c r="T933" s="40">
        <v>30000</v>
      </c>
      <c r="U933" s="40">
        <v>62246.285714285703</v>
      </c>
      <c r="V933" s="40">
        <v>0</v>
      </c>
      <c r="W933" s="45">
        <v>113856.24</v>
      </c>
      <c r="X933" s="46">
        <v>1.86873676911478</v>
      </c>
    </row>
    <row r="934" spans="1:24" s="4" customFormat="1" ht="15" customHeight="1">
      <c r="A934" s="28" t="s">
        <v>2682</v>
      </c>
      <c r="B934" s="29">
        <v>3278.81</v>
      </c>
      <c r="C934" s="30" t="s">
        <v>2760</v>
      </c>
      <c r="D934" s="2">
        <v>4950058294</v>
      </c>
      <c r="E934" s="2" t="s">
        <v>14</v>
      </c>
      <c r="F934" s="2" t="s">
        <v>2761</v>
      </c>
      <c r="G934" s="28" t="s">
        <v>5</v>
      </c>
      <c r="H934" s="2" t="s">
        <v>17</v>
      </c>
      <c r="I934" s="2">
        <v>1</v>
      </c>
      <c r="J934" s="2" t="s">
        <v>2762</v>
      </c>
      <c r="K934" s="2">
        <v>8568</v>
      </c>
      <c r="L934" s="35">
        <v>28092844.079999998</v>
      </c>
      <c r="M934" s="36">
        <v>3600</v>
      </c>
      <c r="N934" s="40">
        <v>86468.427067669196</v>
      </c>
      <c r="O934" s="40">
        <v>94358.111278195502</v>
      </c>
      <c r="P934" s="40">
        <v>0</v>
      </c>
      <c r="Q934" s="40">
        <v>23819.548872180501</v>
      </c>
      <c r="R934" s="40">
        <v>128072.95037594</v>
      </c>
      <c r="S934" s="40">
        <v>76732.727819548905</v>
      </c>
      <c r="T934" s="40">
        <v>30000</v>
      </c>
      <c r="U934" s="40">
        <v>1179403.30827068</v>
      </c>
      <c r="V934" s="40">
        <v>0</v>
      </c>
      <c r="W934" s="45">
        <v>1618855.07368421</v>
      </c>
      <c r="X934" s="46">
        <v>5.7625175616758497</v>
      </c>
    </row>
    <row r="935" spans="1:24" s="4" customFormat="1" ht="15" customHeight="1">
      <c r="A935" s="28" t="s">
        <v>2682</v>
      </c>
      <c r="B935" s="29">
        <v>3278.81</v>
      </c>
      <c r="C935" s="30" t="s">
        <v>2760</v>
      </c>
      <c r="D935" s="2">
        <v>4950280461</v>
      </c>
      <c r="E935" s="2" t="s">
        <v>14</v>
      </c>
      <c r="F935" s="2" t="s">
        <v>2761</v>
      </c>
      <c r="G935" s="28" t="s">
        <v>5</v>
      </c>
      <c r="H935" s="2" t="s">
        <v>17</v>
      </c>
      <c r="I935" s="2">
        <v>1</v>
      </c>
      <c r="J935" s="2" t="s">
        <v>2762</v>
      </c>
      <c r="K935" s="2">
        <v>5913</v>
      </c>
      <c r="L935" s="35">
        <v>19387603.530000001</v>
      </c>
      <c r="M935" s="36">
        <v>2700</v>
      </c>
      <c r="N935" s="40">
        <v>64851.320300751897</v>
      </c>
      <c r="O935" s="40">
        <v>70768.583458646593</v>
      </c>
      <c r="P935" s="40">
        <v>0</v>
      </c>
      <c r="Q935" s="40">
        <v>17864.6616541353</v>
      </c>
      <c r="R935" s="40">
        <v>96054.712781954906</v>
      </c>
      <c r="S935" s="40">
        <v>57549.545864661697</v>
      </c>
      <c r="T935" s="40">
        <v>30000</v>
      </c>
      <c r="U935" s="40">
        <v>884552.48120300798</v>
      </c>
      <c r="V935" s="40">
        <v>0</v>
      </c>
      <c r="W935" s="45">
        <v>1221641.30526316</v>
      </c>
      <c r="X935" s="46">
        <v>6.3011465206249699</v>
      </c>
    </row>
    <row r="936" spans="1:24" s="4" customFormat="1" ht="15" customHeight="1">
      <c r="A936" s="28" t="s">
        <v>2682</v>
      </c>
      <c r="B936" s="29">
        <v>3278.81</v>
      </c>
      <c r="C936" s="30" t="s">
        <v>2770</v>
      </c>
      <c r="D936" s="2">
        <v>4950058299</v>
      </c>
      <c r="E936" s="2" t="s">
        <v>14</v>
      </c>
      <c r="F936" s="2" t="s">
        <v>2771</v>
      </c>
      <c r="G936" s="28" t="s">
        <v>5</v>
      </c>
      <c r="H936" s="2" t="s">
        <v>17</v>
      </c>
      <c r="I936" s="2">
        <v>1</v>
      </c>
      <c r="J936" s="2" t="s">
        <v>2772</v>
      </c>
      <c r="K936" s="2">
        <v>3645.6</v>
      </c>
      <c r="L936" s="35">
        <v>11953229.736</v>
      </c>
      <c r="M936" s="36">
        <v>840</v>
      </c>
      <c r="N936" s="40">
        <v>15324.3918237324</v>
      </c>
      <c r="O936" s="40">
        <v>19433.546057871001</v>
      </c>
      <c r="P936" s="40">
        <v>0</v>
      </c>
      <c r="Q936" s="40">
        <v>4905.7605521635296</v>
      </c>
      <c r="R936" s="40">
        <v>44995.445181842297</v>
      </c>
      <c r="S936" s="40">
        <v>15803.506238386</v>
      </c>
      <c r="T936" s="40">
        <v>30000</v>
      </c>
      <c r="U936" s="40">
        <v>279891.47863020998</v>
      </c>
      <c r="V936" s="40">
        <v>0</v>
      </c>
      <c r="W936" s="45">
        <v>410354.12848420499</v>
      </c>
      <c r="X936" s="46">
        <v>3.4329979222964799</v>
      </c>
    </row>
    <row r="937" spans="1:24" s="4" customFormat="1" ht="15" customHeight="1">
      <c r="A937" s="28" t="s">
        <v>2682</v>
      </c>
      <c r="B937" s="29">
        <v>3278.81</v>
      </c>
      <c r="C937" s="30" t="s">
        <v>2770</v>
      </c>
      <c r="D937" s="2">
        <v>4950058299</v>
      </c>
      <c r="E937" s="2" t="s">
        <v>14</v>
      </c>
      <c r="F937" s="2" t="s">
        <v>2771</v>
      </c>
      <c r="G937" s="28" t="s">
        <v>5</v>
      </c>
      <c r="H937" s="2" t="s">
        <v>17</v>
      </c>
      <c r="I937" s="2">
        <v>1</v>
      </c>
      <c r="J937" s="2" t="s">
        <v>2772</v>
      </c>
      <c r="K937" s="2">
        <v>2767.5</v>
      </c>
      <c r="L937" s="35">
        <v>9074106.6750000007</v>
      </c>
      <c r="M937" s="36">
        <v>675</v>
      </c>
      <c r="N937" s="40">
        <v>12314.243429785</v>
      </c>
      <c r="O937" s="40">
        <v>15616.242367932</v>
      </c>
      <c r="P937" s="40">
        <v>0</v>
      </c>
      <c r="Q937" s="40">
        <v>3942.1290151314001</v>
      </c>
      <c r="R937" s="40">
        <v>36156.518449694697</v>
      </c>
      <c r="S937" s="40">
        <v>12699.2460844173</v>
      </c>
      <c r="T937" s="40">
        <v>30000</v>
      </c>
      <c r="U937" s="40">
        <v>224912.79532784701</v>
      </c>
      <c r="V937" s="40">
        <v>0</v>
      </c>
      <c r="W937" s="45">
        <v>335641.174674807</v>
      </c>
      <c r="X937" s="46">
        <v>3.69888945211025</v>
      </c>
    </row>
    <row r="938" spans="1:24" s="4" customFormat="1" ht="15" customHeight="1">
      <c r="A938" s="28" t="s">
        <v>2682</v>
      </c>
      <c r="B938" s="29">
        <v>3278.81</v>
      </c>
      <c r="C938" s="30" t="s">
        <v>2770</v>
      </c>
      <c r="D938" s="2">
        <v>4950215955</v>
      </c>
      <c r="E938" s="2" t="s">
        <v>14</v>
      </c>
      <c r="F938" s="2" t="s">
        <v>2771</v>
      </c>
      <c r="G938" s="28" t="s">
        <v>5</v>
      </c>
      <c r="H938" s="2" t="s">
        <v>17</v>
      </c>
      <c r="I938" s="2">
        <v>1</v>
      </c>
      <c r="J938" s="2" t="s">
        <v>2772</v>
      </c>
      <c r="K938" s="2">
        <v>7524</v>
      </c>
      <c r="L938" s="35">
        <v>24669766.440000001</v>
      </c>
      <c r="M938" s="36">
        <v>400</v>
      </c>
      <c r="N938" s="40">
        <v>7297.3294398725802</v>
      </c>
      <c r="O938" s="40">
        <v>9254.0695513671399</v>
      </c>
      <c r="P938" s="40">
        <v>0</v>
      </c>
      <c r="Q938" s="40">
        <v>2336.0764534112</v>
      </c>
      <c r="R938" s="40">
        <v>21426.6405627821</v>
      </c>
      <c r="S938" s="40">
        <v>7525.4791611361798</v>
      </c>
      <c r="T938" s="40">
        <v>30000</v>
      </c>
      <c r="U938" s="40">
        <v>133281.65649057599</v>
      </c>
      <c r="V938" s="40">
        <v>0</v>
      </c>
      <c r="W938" s="45">
        <v>211121.251659145</v>
      </c>
      <c r="X938" s="46">
        <v>0.85578942213587095</v>
      </c>
    </row>
    <row r="939" spans="1:24" s="4" customFormat="1" ht="15" customHeight="1">
      <c r="A939" s="28" t="s">
        <v>2682</v>
      </c>
      <c r="B939" s="29">
        <v>3278.81</v>
      </c>
      <c r="C939" s="30" t="s">
        <v>2770</v>
      </c>
      <c r="D939" s="2">
        <v>4950215955</v>
      </c>
      <c r="E939" s="2" t="s">
        <v>14</v>
      </c>
      <c r="F939" s="2" t="s">
        <v>2771</v>
      </c>
      <c r="G939" s="28" t="s">
        <v>5</v>
      </c>
      <c r="H939" s="2" t="s">
        <v>17</v>
      </c>
      <c r="I939" s="2">
        <v>1</v>
      </c>
      <c r="J939" s="2" t="s">
        <v>2772</v>
      </c>
      <c r="K939" s="2">
        <v>1057.8</v>
      </c>
      <c r="L939" s="35">
        <v>3468325.2179999999</v>
      </c>
      <c r="M939" s="36">
        <v>205</v>
      </c>
      <c r="N939" s="40">
        <v>3739.8813379346998</v>
      </c>
      <c r="O939" s="40">
        <v>4742.7106450756601</v>
      </c>
      <c r="P939" s="40">
        <v>0</v>
      </c>
      <c r="Q939" s="40">
        <v>1197.2391823732401</v>
      </c>
      <c r="R939" s="40">
        <v>10981.090788425799</v>
      </c>
      <c r="S939" s="40">
        <v>3856.8080700822902</v>
      </c>
      <c r="T939" s="40">
        <v>30000</v>
      </c>
      <c r="U939" s="40">
        <v>68306.848951420194</v>
      </c>
      <c r="V939" s="40">
        <v>0</v>
      </c>
      <c r="W939" s="45">
        <v>122824.578975312</v>
      </c>
      <c r="X939" s="46">
        <v>3.54132243244878</v>
      </c>
    </row>
    <row r="940" spans="1:24" s="4" customFormat="1" ht="15" customHeight="1">
      <c r="A940" s="28" t="s">
        <v>2682</v>
      </c>
      <c r="B940" s="29">
        <v>3278.81</v>
      </c>
      <c r="C940" s="30" t="s">
        <v>2770</v>
      </c>
      <c r="D940" s="2">
        <v>4950215955</v>
      </c>
      <c r="E940" s="2" t="s">
        <v>14</v>
      </c>
      <c r="F940" s="2" t="s">
        <v>2771</v>
      </c>
      <c r="G940" s="28" t="s">
        <v>5</v>
      </c>
      <c r="H940" s="2" t="s">
        <v>17</v>
      </c>
      <c r="I940" s="2">
        <v>1</v>
      </c>
      <c r="J940" s="2" t="s">
        <v>2772</v>
      </c>
      <c r="K940" s="2">
        <v>17740</v>
      </c>
      <c r="L940" s="35">
        <v>58166089.399999999</v>
      </c>
      <c r="M940" s="36">
        <v>2000</v>
      </c>
      <c r="N940" s="40">
        <v>36486.647199362902</v>
      </c>
      <c r="O940" s="40">
        <v>46270.347756835698</v>
      </c>
      <c r="P940" s="40">
        <v>0</v>
      </c>
      <c r="Q940" s="40">
        <v>11680.382267056</v>
      </c>
      <c r="R940" s="40">
        <v>107140.20281391</v>
      </c>
      <c r="S940" s="40">
        <v>37627.395805680899</v>
      </c>
      <c r="T940" s="40">
        <v>30000</v>
      </c>
      <c r="U940" s="40">
        <v>666408.28245288006</v>
      </c>
      <c r="V940" s="40">
        <v>0</v>
      </c>
      <c r="W940" s="45">
        <v>935613.25829572603</v>
      </c>
      <c r="X940" s="46">
        <v>1.60852013251509</v>
      </c>
    </row>
    <row r="941" spans="1:24" s="4" customFormat="1" ht="15" customHeight="1">
      <c r="A941" s="28" t="s">
        <v>2682</v>
      </c>
      <c r="B941" s="29">
        <v>3278.81</v>
      </c>
      <c r="C941" s="30" t="s">
        <v>2770</v>
      </c>
      <c r="D941" s="2">
        <v>4950757112</v>
      </c>
      <c r="E941" s="2" t="s">
        <v>14</v>
      </c>
      <c r="F941" s="2" t="s">
        <v>2771</v>
      </c>
      <c r="G941" s="28" t="s">
        <v>5</v>
      </c>
      <c r="H941" s="2" t="s">
        <v>17</v>
      </c>
      <c r="I941" s="2">
        <v>1</v>
      </c>
      <c r="J941" s="2" t="s">
        <v>2772</v>
      </c>
      <c r="K941" s="2">
        <v>28630</v>
      </c>
      <c r="L941" s="35">
        <v>93872330.299999997</v>
      </c>
      <c r="M941" s="36">
        <v>7000</v>
      </c>
      <c r="N941" s="40">
        <v>127703.26519777</v>
      </c>
      <c r="O941" s="40">
        <v>161946.217148925</v>
      </c>
      <c r="P941" s="40">
        <v>0</v>
      </c>
      <c r="Q941" s="40">
        <v>40881.337934695999</v>
      </c>
      <c r="R941" s="40">
        <v>374958.709848686</v>
      </c>
      <c r="S941" s="40">
        <v>131695.885319883</v>
      </c>
      <c r="T941" s="40">
        <v>30000</v>
      </c>
      <c r="U941" s="40">
        <v>2332428.98858508</v>
      </c>
      <c r="V941" s="40">
        <v>0</v>
      </c>
      <c r="W941" s="45">
        <v>3199614.4040350402</v>
      </c>
      <c r="X941" s="46">
        <v>3.40847446080183</v>
      </c>
    </row>
    <row r="942" spans="1:24" s="4" customFormat="1" ht="15" customHeight="1">
      <c r="A942" s="28" t="s">
        <v>2682</v>
      </c>
      <c r="B942" s="29">
        <v>3278.81</v>
      </c>
      <c r="C942" s="30" t="s">
        <v>2770</v>
      </c>
      <c r="D942" s="2">
        <v>4950215955</v>
      </c>
      <c r="E942" s="2" t="s">
        <v>14</v>
      </c>
      <c r="F942" s="2" t="s">
        <v>2771</v>
      </c>
      <c r="G942" s="28" t="s">
        <v>5</v>
      </c>
      <c r="H942" s="2" t="s">
        <v>17</v>
      </c>
      <c r="I942" s="2">
        <v>1</v>
      </c>
      <c r="J942" s="2" t="s">
        <v>2772</v>
      </c>
      <c r="K942" s="2">
        <v>4200</v>
      </c>
      <c r="L942" s="35">
        <v>13771002</v>
      </c>
      <c r="M942" s="36">
        <v>400</v>
      </c>
      <c r="N942" s="40">
        <v>7297.3294398725802</v>
      </c>
      <c r="O942" s="40">
        <v>9254.0695513671399</v>
      </c>
      <c r="P942" s="40">
        <v>0</v>
      </c>
      <c r="Q942" s="40">
        <v>2336.0764534112</v>
      </c>
      <c r="R942" s="40">
        <v>21426.6405627821</v>
      </c>
      <c r="S942" s="40">
        <v>7525.4791611361798</v>
      </c>
      <c r="T942" s="40">
        <v>30000</v>
      </c>
      <c r="U942" s="40">
        <v>133281.65649057599</v>
      </c>
      <c r="V942" s="40">
        <v>0</v>
      </c>
      <c r="W942" s="45">
        <v>211121.251659145</v>
      </c>
      <c r="X942" s="46">
        <v>1.53308562194055</v>
      </c>
    </row>
    <row r="943" spans="1:24" s="4" customFormat="1" ht="15" customHeight="1">
      <c r="A943" s="28" t="s">
        <v>2682</v>
      </c>
      <c r="B943" s="29">
        <v>3278.81</v>
      </c>
      <c r="C943" s="30" t="s">
        <v>2770</v>
      </c>
      <c r="D943" s="2">
        <v>4950722781</v>
      </c>
      <c r="E943" s="2" t="s">
        <v>14</v>
      </c>
      <c r="F943" s="2" t="s">
        <v>2771</v>
      </c>
      <c r="G943" s="28" t="s">
        <v>5</v>
      </c>
      <c r="H943" s="2" t="s">
        <v>17</v>
      </c>
      <c r="I943" s="2">
        <v>1</v>
      </c>
      <c r="J943" s="2" t="s">
        <v>2772</v>
      </c>
      <c r="K943" s="2">
        <v>4392</v>
      </c>
      <c r="L943" s="35">
        <v>14400533.52</v>
      </c>
      <c r="M943" s="36">
        <v>900</v>
      </c>
      <c r="N943" s="40">
        <v>16418.991239713301</v>
      </c>
      <c r="O943" s="40">
        <v>20821.656490576101</v>
      </c>
      <c r="P943" s="40">
        <v>0</v>
      </c>
      <c r="Q943" s="40">
        <v>5256.1720201752096</v>
      </c>
      <c r="R943" s="40">
        <v>48208.691266259601</v>
      </c>
      <c r="S943" s="40">
        <v>16932.328112556399</v>
      </c>
      <c r="T943" s="40">
        <v>30000</v>
      </c>
      <c r="U943" s="40">
        <v>299883.72710379597</v>
      </c>
      <c r="V943" s="40">
        <v>0</v>
      </c>
      <c r="W943" s="45">
        <v>437521.56623307703</v>
      </c>
      <c r="X943" s="46">
        <v>3.0382316434695298</v>
      </c>
    </row>
    <row r="944" spans="1:24" s="4" customFormat="1" ht="15" customHeight="1">
      <c r="A944" s="28" t="s">
        <v>2682</v>
      </c>
      <c r="B944" s="29">
        <v>3278.81</v>
      </c>
      <c r="C944" s="30" t="s">
        <v>2770</v>
      </c>
      <c r="D944" s="2">
        <v>4950722781</v>
      </c>
      <c r="E944" s="2" t="s">
        <v>14</v>
      </c>
      <c r="F944" s="2" t="s">
        <v>2771</v>
      </c>
      <c r="G944" s="28" t="s">
        <v>5</v>
      </c>
      <c r="H944" s="2" t="s">
        <v>17</v>
      </c>
      <c r="I944" s="2">
        <v>1</v>
      </c>
      <c r="J944" s="2" t="s">
        <v>2772</v>
      </c>
      <c r="K944" s="2">
        <v>8457.75</v>
      </c>
      <c r="L944" s="35">
        <v>27731355.2775</v>
      </c>
      <c r="M944" s="36">
        <v>1575</v>
      </c>
      <c r="N944" s="40">
        <v>28733.234669498299</v>
      </c>
      <c r="O944" s="40">
        <v>36437.898858508102</v>
      </c>
      <c r="P944" s="40">
        <v>0</v>
      </c>
      <c r="Q944" s="40">
        <v>9198.3010353066093</v>
      </c>
      <c r="R944" s="40">
        <v>84366.209715954305</v>
      </c>
      <c r="S944" s="40">
        <v>29631.574196973699</v>
      </c>
      <c r="T944" s="40">
        <v>30000</v>
      </c>
      <c r="U944" s="40">
        <v>524796.52243164298</v>
      </c>
      <c r="V944" s="40">
        <v>0</v>
      </c>
      <c r="W944" s="45">
        <v>743163.74090788397</v>
      </c>
      <c r="X944" s="46">
        <v>2.67986808964528</v>
      </c>
    </row>
    <row r="945" spans="1:24" s="4" customFormat="1" ht="15" customHeight="1">
      <c r="A945" s="28" t="s">
        <v>2682</v>
      </c>
      <c r="B945" s="29">
        <v>3278.81</v>
      </c>
      <c r="C945" s="30" t="s">
        <v>2770</v>
      </c>
      <c r="D945" s="2">
        <v>4950722781</v>
      </c>
      <c r="E945" s="2" t="s">
        <v>14</v>
      </c>
      <c r="F945" s="2" t="s">
        <v>2771</v>
      </c>
      <c r="G945" s="28" t="s">
        <v>5</v>
      </c>
      <c r="H945" s="2" t="s">
        <v>17</v>
      </c>
      <c r="I945" s="2">
        <v>1</v>
      </c>
      <c r="J945" s="2" t="s">
        <v>2772</v>
      </c>
      <c r="K945" s="2">
        <v>1751.4</v>
      </c>
      <c r="L945" s="35">
        <v>5742507.8339999998</v>
      </c>
      <c r="M945" s="36">
        <v>420</v>
      </c>
      <c r="N945" s="40">
        <v>7662.1959118662098</v>
      </c>
      <c r="O945" s="40">
        <v>9716.7730289354895</v>
      </c>
      <c r="P945" s="40">
        <v>0</v>
      </c>
      <c r="Q945" s="40">
        <v>2452.8802760817598</v>
      </c>
      <c r="R945" s="40">
        <v>22497.722590921199</v>
      </c>
      <c r="S945" s="40">
        <v>7901.7531191929902</v>
      </c>
      <c r="T945" s="40">
        <v>30000</v>
      </c>
      <c r="U945" s="40">
        <v>139945.73931510499</v>
      </c>
      <c r="V945" s="40">
        <v>0</v>
      </c>
      <c r="W945" s="45">
        <v>220177.06424210299</v>
      </c>
      <c r="X945" s="46">
        <v>3.8341621919692899</v>
      </c>
    </row>
    <row r="946" spans="1:24" s="4" customFormat="1" ht="15" customHeight="1">
      <c r="A946" s="28" t="s">
        <v>2682</v>
      </c>
      <c r="B946" s="29">
        <v>3278.81</v>
      </c>
      <c r="C946" s="30" t="s">
        <v>2770</v>
      </c>
      <c r="D946" s="2">
        <v>4950757111</v>
      </c>
      <c r="E946" s="2" t="s">
        <v>14</v>
      </c>
      <c r="F946" s="2" t="s">
        <v>2771</v>
      </c>
      <c r="G946" s="28" t="s">
        <v>5</v>
      </c>
      <c r="H946" s="2" t="s">
        <v>17</v>
      </c>
      <c r="I946" s="2">
        <v>1</v>
      </c>
      <c r="J946" s="2" t="s">
        <v>2772</v>
      </c>
      <c r="K946" s="2">
        <v>7812</v>
      </c>
      <c r="L946" s="35">
        <v>25614063.719999999</v>
      </c>
      <c r="M946" s="36">
        <v>3600</v>
      </c>
      <c r="N946" s="40">
        <v>65675.964958853205</v>
      </c>
      <c r="O946" s="40">
        <v>83286.625962304199</v>
      </c>
      <c r="P946" s="40">
        <v>0</v>
      </c>
      <c r="Q946" s="40">
        <v>21024.688080700798</v>
      </c>
      <c r="R946" s="40">
        <v>192835.76506503799</v>
      </c>
      <c r="S946" s="40">
        <v>67729.312450225596</v>
      </c>
      <c r="T946" s="40">
        <v>30000</v>
      </c>
      <c r="U946" s="40">
        <v>1199534.9084151799</v>
      </c>
      <c r="V946" s="40">
        <v>0</v>
      </c>
      <c r="W946" s="45">
        <v>1660087.2649323</v>
      </c>
      <c r="X946" s="46">
        <v>6.4811553648008999</v>
      </c>
    </row>
    <row r="947" spans="1:24" s="4" customFormat="1" ht="15" customHeight="1">
      <c r="A947" s="28" t="s">
        <v>2682</v>
      </c>
      <c r="B947" s="29">
        <v>3278.81</v>
      </c>
      <c r="C947" s="30" t="s">
        <v>2770</v>
      </c>
      <c r="D947" s="2">
        <v>4950216841</v>
      </c>
      <c r="E947" s="2" t="s">
        <v>14</v>
      </c>
      <c r="F947" s="2" t="s">
        <v>2771</v>
      </c>
      <c r="G947" s="28" t="s">
        <v>5</v>
      </c>
      <c r="H947" s="2" t="s">
        <v>17</v>
      </c>
      <c r="I947" s="2">
        <v>1</v>
      </c>
      <c r="J947" s="2" t="s">
        <v>2772</v>
      </c>
      <c r="K947" s="2">
        <v>6584.6</v>
      </c>
      <c r="L947" s="35">
        <v>21589652.326000001</v>
      </c>
      <c r="M947" s="36">
        <v>820</v>
      </c>
      <c r="N947" s="40">
        <v>14959.525351738799</v>
      </c>
      <c r="O947" s="40">
        <v>18970.8425803026</v>
      </c>
      <c r="P947" s="40">
        <v>0</v>
      </c>
      <c r="Q947" s="40">
        <v>4788.9567294929702</v>
      </c>
      <c r="R947" s="40">
        <v>43923.363153703198</v>
      </c>
      <c r="S947" s="40">
        <v>15427.232280329201</v>
      </c>
      <c r="T947" s="40">
        <v>30000</v>
      </c>
      <c r="U947" s="40">
        <v>273227.39580568101</v>
      </c>
      <c r="V947" s="40">
        <v>0</v>
      </c>
      <c r="W947" s="45">
        <v>401297.31590124802</v>
      </c>
      <c r="X947" s="46">
        <v>1.85874839409977</v>
      </c>
    </row>
    <row r="948" spans="1:24" s="4" customFormat="1" ht="15" customHeight="1">
      <c r="A948" s="28" t="s">
        <v>2682</v>
      </c>
      <c r="B948" s="29">
        <v>3278.81</v>
      </c>
      <c r="C948" s="30" t="s">
        <v>2773</v>
      </c>
      <c r="D948" s="2">
        <v>4950058257</v>
      </c>
      <c r="E948" s="2" t="s">
        <v>14</v>
      </c>
      <c r="F948" s="2" t="s">
        <v>2774</v>
      </c>
      <c r="G948" s="28" t="s">
        <v>5</v>
      </c>
      <c r="H948" s="2" t="s">
        <v>17</v>
      </c>
      <c r="I948" s="2">
        <v>1</v>
      </c>
      <c r="J948" s="2" t="s">
        <v>2775</v>
      </c>
      <c r="K948" s="2">
        <v>3275.6</v>
      </c>
      <c r="L948" s="35">
        <v>10740070.036</v>
      </c>
      <c r="M948" s="36">
        <v>760</v>
      </c>
      <c r="N948" s="40">
        <v>13259.501396293501</v>
      </c>
      <c r="O948" s="40">
        <v>17714.402781492401</v>
      </c>
      <c r="P948" s="40">
        <v>0</v>
      </c>
      <c r="Q948" s="40">
        <v>4471.7838994383501</v>
      </c>
      <c r="R948" s="40">
        <v>38469.551408987099</v>
      </c>
      <c r="S948" s="40">
        <v>13674.057374968301</v>
      </c>
      <c r="T948" s="40">
        <v>30000</v>
      </c>
      <c r="U948" s="40">
        <v>217660.218329525</v>
      </c>
      <c r="V948" s="40">
        <v>0</v>
      </c>
      <c r="W948" s="45">
        <v>335249.51519070502</v>
      </c>
      <c r="X948" s="46">
        <v>3.12148351050757</v>
      </c>
    </row>
    <row r="949" spans="1:24" s="4" customFormat="1" ht="15" customHeight="1">
      <c r="A949" s="28" t="s">
        <v>2682</v>
      </c>
      <c r="B949" s="29">
        <v>3278.81</v>
      </c>
      <c r="C949" s="30" t="s">
        <v>2773</v>
      </c>
      <c r="D949" s="2">
        <v>4950058257</v>
      </c>
      <c r="E949" s="2" t="s">
        <v>14</v>
      </c>
      <c r="F949" s="2" t="s">
        <v>2774</v>
      </c>
      <c r="G949" s="28" t="s">
        <v>5</v>
      </c>
      <c r="H949" s="2" t="s">
        <v>17</v>
      </c>
      <c r="I949" s="2">
        <v>1</v>
      </c>
      <c r="J949" s="2" t="s">
        <v>2775</v>
      </c>
      <c r="K949" s="2">
        <v>4347</v>
      </c>
      <c r="L949" s="35">
        <v>14252987.07</v>
      </c>
      <c r="M949" s="36">
        <v>575</v>
      </c>
      <c r="N949" s="40">
        <v>27478.5719725819</v>
      </c>
      <c r="O949" s="40">
        <v>13402.3442096817</v>
      </c>
      <c r="P949" s="40">
        <v>0</v>
      </c>
      <c r="Q949" s="40">
        <v>3383.2575554961199</v>
      </c>
      <c r="R949" s="40">
        <v>79721.695354150797</v>
      </c>
      <c r="S949" s="40">
        <v>28337.684691546099</v>
      </c>
      <c r="T949" s="40">
        <v>30000</v>
      </c>
      <c r="U949" s="40">
        <v>451072.16298552899</v>
      </c>
      <c r="V949" s="40">
        <v>0</v>
      </c>
      <c r="W949" s="45">
        <v>633395.71676898596</v>
      </c>
      <c r="X949" s="46">
        <v>4.4439506866751497</v>
      </c>
    </row>
    <row r="950" spans="1:24" s="4" customFormat="1" ht="15" customHeight="1">
      <c r="A950" s="28" t="s">
        <v>2682</v>
      </c>
      <c r="B950" s="29">
        <v>3278.81</v>
      </c>
      <c r="C950" s="30" t="s">
        <v>2773</v>
      </c>
      <c r="D950" s="2">
        <v>4950090433</v>
      </c>
      <c r="E950" s="2" t="s">
        <v>14</v>
      </c>
      <c r="F950" s="2" t="s">
        <v>2774</v>
      </c>
      <c r="G950" s="28" t="s">
        <v>5</v>
      </c>
      <c r="H950" s="2" t="s">
        <v>17</v>
      </c>
      <c r="I950" s="2">
        <v>1</v>
      </c>
      <c r="J950" s="2" t="s">
        <v>2775</v>
      </c>
      <c r="K950" s="2">
        <v>3355.6</v>
      </c>
      <c r="L950" s="35">
        <v>11002374.835999999</v>
      </c>
      <c r="M950" s="36">
        <v>1260</v>
      </c>
      <c r="N950" s="40">
        <v>21982.857578065501</v>
      </c>
      <c r="O950" s="40">
        <v>29368.615137737401</v>
      </c>
      <c r="P950" s="40">
        <v>0</v>
      </c>
      <c r="Q950" s="40">
        <v>7413.74699117411</v>
      </c>
      <c r="R950" s="40">
        <v>63777.756283320603</v>
      </c>
      <c r="S950" s="40">
        <v>22670.147753236899</v>
      </c>
      <c r="T950" s="40">
        <v>30000</v>
      </c>
      <c r="U950" s="40">
        <v>360857.73038842302</v>
      </c>
      <c r="V950" s="40">
        <v>0</v>
      </c>
      <c r="W950" s="45">
        <v>536070.85413195798</v>
      </c>
      <c r="X950" s="46">
        <v>4.8723194957685196</v>
      </c>
    </row>
    <row r="951" spans="1:24" s="4" customFormat="1" ht="15" customHeight="1">
      <c r="A951" s="28" t="s">
        <v>2682</v>
      </c>
      <c r="B951" s="29">
        <v>3278.81</v>
      </c>
      <c r="C951" s="30" t="s">
        <v>2773</v>
      </c>
      <c r="D951" s="2">
        <v>4950585746</v>
      </c>
      <c r="E951" s="2" t="s">
        <v>14</v>
      </c>
      <c r="F951" s="2" t="s">
        <v>2774</v>
      </c>
      <c r="G951" s="28" t="s">
        <v>5</v>
      </c>
      <c r="H951" s="2" t="s">
        <v>17</v>
      </c>
      <c r="I951" s="2">
        <v>1</v>
      </c>
      <c r="J951" s="2" t="s">
        <v>2775</v>
      </c>
      <c r="K951" s="2">
        <v>9366</v>
      </c>
      <c r="L951" s="35">
        <v>30709334.460000001</v>
      </c>
      <c r="M951" s="36">
        <v>2100</v>
      </c>
      <c r="N951" s="40">
        <v>36638.095963442502</v>
      </c>
      <c r="O951" s="40">
        <v>48947.691896228898</v>
      </c>
      <c r="P951" s="40">
        <v>0</v>
      </c>
      <c r="Q951" s="40">
        <v>12356.244985290199</v>
      </c>
      <c r="R951" s="40">
        <v>106296.260472201</v>
      </c>
      <c r="S951" s="40">
        <v>37783.579588728098</v>
      </c>
      <c r="T951" s="40">
        <v>30000</v>
      </c>
      <c r="U951" s="40">
        <v>601429.55064737203</v>
      </c>
      <c r="V951" s="40">
        <v>0</v>
      </c>
      <c r="W951" s="45">
        <v>873451.42355326295</v>
      </c>
      <c r="X951" s="46">
        <v>2.8442538365361298</v>
      </c>
    </row>
    <row r="952" spans="1:24" s="4" customFormat="1" ht="15" customHeight="1">
      <c r="A952" s="28" t="s">
        <v>2682</v>
      </c>
      <c r="B952" s="29">
        <v>3278.81</v>
      </c>
      <c r="C952" s="30" t="s">
        <v>2773</v>
      </c>
      <c r="D952" s="2">
        <v>4949661227</v>
      </c>
      <c r="E952" s="2" t="s">
        <v>14</v>
      </c>
      <c r="F952" s="2" t="s">
        <v>2774</v>
      </c>
      <c r="G952" s="28" t="s">
        <v>5</v>
      </c>
      <c r="H952" s="2" t="s">
        <v>17</v>
      </c>
      <c r="I952" s="2">
        <v>1</v>
      </c>
      <c r="J952" s="2" t="s">
        <v>2775</v>
      </c>
      <c r="K952" s="2">
        <v>56218.5</v>
      </c>
      <c r="L952" s="35">
        <v>184329779.98500001</v>
      </c>
      <c r="M952" s="36">
        <v>13950</v>
      </c>
      <c r="N952" s="40">
        <v>243381.637471439</v>
      </c>
      <c r="O952" s="40">
        <v>325152.524739235</v>
      </c>
      <c r="P952" s="40">
        <v>0</v>
      </c>
      <c r="Q952" s="40">
        <v>82080.770259427605</v>
      </c>
      <c r="R952" s="40">
        <v>706111.015993907</v>
      </c>
      <c r="S952" s="40">
        <v>250990.921553694</v>
      </c>
      <c r="T952" s="40">
        <v>30000</v>
      </c>
      <c r="U952" s="40">
        <v>3995210.5864432598</v>
      </c>
      <c r="V952" s="40">
        <v>0</v>
      </c>
      <c r="W952" s="45">
        <v>5632927.4564609602</v>
      </c>
      <c r="X952" s="46">
        <v>3.0558965875830499</v>
      </c>
    </row>
    <row r="953" spans="1:24" s="4" customFormat="1" ht="15" customHeight="1">
      <c r="A953" s="28" t="s">
        <v>2682</v>
      </c>
      <c r="B953" s="29">
        <v>3278.81</v>
      </c>
      <c r="C953" s="30" t="s">
        <v>2773</v>
      </c>
      <c r="D953" s="2">
        <v>4950812435</v>
      </c>
      <c r="E953" s="2" t="s">
        <v>14</v>
      </c>
      <c r="F953" s="2" t="s">
        <v>2774</v>
      </c>
      <c r="G953" s="28" t="s">
        <v>5</v>
      </c>
      <c r="H953" s="2" t="s">
        <v>17</v>
      </c>
      <c r="I953" s="2">
        <v>1</v>
      </c>
      <c r="J953" s="2" t="s">
        <v>2775</v>
      </c>
      <c r="K953" s="2">
        <v>243.5</v>
      </c>
      <c r="L953" s="35">
        <v>798390.23499999999</v>
      </c>
      <c r="M953" s="36">
        <v>50</v>
      </c>
      <c r="N953" s="40">
        <v>872.33561817720204</v>
      </c>
      <c r="O953" s="40">
        <v>1165.4212356245</v>
      </c>
      <c r="P953" s="40">
        <v>0</v>
      </c>
      <c r="Q953" s="40">
        <v>294.19630917357603</v>
      </c>
      <c r="R953" s="40">
        <v>2530.7204874333602</v>
      </c>
      <c r="S953" s="40">
        <v>899.60903782686</v>
      </c>
      <c r="T953" s="40">
        <v>30000</v>
      </c>
      <c r="U953" s="40">
        <v>14319.751205889799</v>
      </c>
      <c r="V953" s="40">
        <v>0</v>
      </c>
      <c r="W953" s="45">
        <v>50082.033894125299</v>
      </c>
      <c r="X953" s="46">
        <v>6.27287655818151</v>
      </c>
    </row>
    <row r="954" spans="1:24" s="4" customFormat="1" ht="15" customHeight="1">
      <c r="A954" s="28" t="s">
        <v>2682</v>
      </c>
      <c r="B954" s="29">
        <v>3278.81</v>
      </c>
      <c r="C954" s="30" t="s">
        <v>2776</v>
      </c>
      <c r="D954" s="2">
        <v>4949224937</v>
      </c>
      <c r="E954" s="2" t="s">
        <v>14</v>
      </c>
      <c r="F954" s="2" t="s">
        <v>2777</v>
      </c>
      <c r="G954" s="28" t="s">
        <v>5</v>
      </c>
      <c r="H954" s="2" t="s">
        <v>26</v>
      </c>
      <c r="I954" s="2">
        <v>1</v>
      </c>
      <c r="J954" s="2" t="s">
        <v>2778</v>
      </c>
      <c r="K954" s="2">
        <v>34660.800000000003</v>
      </c>
      <c r="L954" s="35">
        <v>113646177.648</v>
      </c>
      <c r="M954" s="36">
        <v>19920</v>
      </c>
      <c r="N954" s="40">
        <v>320731</v>
      </c>
      <c r="O954" s="40">
        <v>417079</v>
      </c>
      <c r="P954" s="40">
        <v>1721255</v>
      </c>
      <c r="Q954" s="40">
        <v>109246</v>
      </c>
      <c r="R954" s="40">
        <v>610817</v>
      </c>
      <c r="S954" s="40">
        <v>354356</v>
      </c>
      <c r="T954" s="40">
        <v>30000</v>
      </c>
      <c r="U954" s="40">
        <v>0</v>
      </c>
      <c r="V954" s="40">
        <v>0</v>
      </c>
      <c r="W954" s="45">
        <v>3563484</v>
      </c>
      <c r="X954" s="46">
        <v>3.1355951196504801</v>
      </c>
    </row>
    <row r="955" spans="1:24" s="4" customFormat="1" ht="15" customHeight="1">
      <c r="A955" s="28" t="s">
        <v>2682</v>
      </c>
      <c r="B955" s="29">
        <v>3278.81</v>
      </c>
      <c r="C955" s="30" t="s">
        <v>2785</v>
      </c>
      <c r="D955" s="2">
        <v>4950645757</v>
      </c>
      <c r="E955" s="2" t="s">
        <v>14</v>
      </c>
      <c r="F955" s="2" t="s">
        <v>2786</v>
      </c>
      <c r="G955" s="28" t="s">
        <v>5</v>
      </c>
      <c r="H955" s="2" t="s">
        <v>17</v>
      </c>
      <c r="I955" s="2">
        <v>1</v>
      </c>
      <c r="J955" s="2" t="s">
        <v>2787</v>
      </c>
      <c r="K955" s="2">
        <v>8160</v>
      </c>
      <c r="L955" s="35">
        <v>26755089.600000001</v>
      </c>
      <c r="M955" s="36">
        <v>3000</v>
      </c>
      <c r="N955" s="40">
        <v>62691.781894077802</v>
      </c>
      <c r="O955" s="40">
        <v>68210.435690059996</v>
      </c>
      <c r="P955" s="40">
        <v>0</v>
      </c>
      <c r="Q955" s="40">
        <v>17218.888599008598</v>
      </c>
      <c r="R955" s="40">
        <v>119194.398904253</v>
      </c>
      <c r="S955" s="40">
        <v>55469.240803548098</v>
      </c>
      <c r="T955" s="40">
        <v>30000</v>
      </c>
      <c r="U955" s="40">
        <v>2498104.26540284</v>
      </c>
      <c r="V955" s="40">
        <v>0</v>
      </c>
      <c r="W955" s="45">
        <v>2850889.0112937898</v>
      </c>
      <c r="X955" s="46">
        <v>10.6555016406814</v>
      </c>
    </row>
    <row r="956" spans="1:24" s="4" customFormat="1" ht="15" customHeight="1">
      <c r="A956" s="28" t="s">
        <v>2682</v>
      </c>
      <c r="B956" s="29">
        <v>3278.81</v>
      </c>
      <c r="C956" s="30" t="s">
        <v>2785</v>
      </c>
      <c r="D956" s="2">
        <v>4950875606</v>
      </c>
      <c r="E956" s="2" t="s">
        <v>14</v>
      </c>
      <c r="F956" s="2" t="s">
        <v>2786</v>
      </c>
      <c r="G956" s="28" t="s">
        <v>5</v>
      </c>
      <c r="H956" s="2" t="s">
        <v>17</v>
      </c>
      <c r="I956" s="2">
        <v>1</v>
      </c>
      <c r="J956" s="2" t="s">
        <v>2787</v>
      </c>
      <c r="K956" s="2">
        <v>634.95000000000005</v>
      </c>
      <c r="L956" s="35">
        <v>2081880.4095000001</v>
      </c>
      <c r="M956" s="36">
        <v>45</v>
      </c>
      <c r="N956" s="40">
        <v>940.37672841116603</v>
      </c>
      <c r="O956" s="40">
        <v>1023.1565353509</v>
      </c>
      <c r="P956" s="40">
        <v>0</v>
      </c>
      <c r="Q956" s="40">
        <v>258.283328985129</v>
      </c>
      <c r="R956" s="40">
        <v>1788.3109835637899</v>
      </c>
      <c r="S956" s="40">
        <v>832.03861205322198</v>
      </c>
      <c r="T956" s="40">
        <v>30000</v>
      </c>
      <c r="U956" s="40">
        <v>37471.563981042702</v>
      </c>
      <c r="V956" s="40">
        <v>0</v>
      </c>
      <c r="W956" s="45">
        <v>72313.730169406903</v>
      </c>
      <c r="X956" s="46">
        <v>3.47348146605473</v>
      </c>
    </row>
    <row r="957" spans="1:24" s="4" customFormat="1" ht="15" customHeight="1">
      <c r="A957" s="28" t="s">
        <v>2682</v>
      </c>
      <c r="B957" s="29">
        <v>3278.81</v>
      </c>
      <c r="C957" s="30" t="s">
        <v>2785</v>
      </c>
      <c r="D957" s="2">
        <v>4950875643</v>
      </c>
      <c r="E957" s="2" t="s">
        <v>14</v>
      </c>
      <c r="F957" s="2" t="s">
        <v>2786</v>
      </c>
      <c r="G957" s="28" t="s">
        <v>5</v>
      </c>
      <c r="H957" s="2" t="s">
        <v>17</v>
      </c>
      <c r="I957" s="2">
        <v>1</v>
      </c>
      <c r="J957" s="2" t="s">
        <v>2787</v>
      </c>
      <c r="K957" s="2">
        <v>662.4</v>
      </c>
      <c r="L957" s="35">
        <v>2171883.7439999999</v>
      </c>
      <c r="M957" s="36">
        <v>120</v>
      </c>
      <c r="N957" s="40">
        <v>2507.6712757631099</v>
      </c>
      <c r="O957" s="40">
        <v>2728.4174276024</v>
      </c>
      <c r="P957" s="40">
        <v>0</v>
      </c>
      <c r="Q957" s="40">
        <v>688.75554396034397</v>
      </c>
      <c r="R957" s="40">
        <v>4767.4959561700998</v>
      </c>
      <c r="S957" s="40">
        <v>2218.7696321419298</v>
      </c>
      <c r="T957" s="40">
        <v>30000</v>
      </c>
      <c r="U957" s="40">
        <v>99924.170616113799</v>
      </c>
      <c r="V957" s="40">
        <v>0</v>
      </c>
      <c r="W957" s="45">
        <v>142835.28045175201</v>
      </c>
      <c r="X957" s="46">
        <v>6.5765619751216198</v>
      </c>
    </row>
    <row r="958" spans="1:24" s="4" customFormat="1" ht="15" customHeight="1">
      <c r="A958" s="28" t="s">
        <v>2682</v>
      </c>
      <c r="B958" s="29">
        <v>3278.81</v>
      </c>
      <c r="C958" s="30" t="s">
        <v>2785</v>
      </c>
      <c r="D958" s="2">
        <v>4950585750</v>
      </c>
      <c r="E958" s="2" t="s">
        <v>14</v>
      </c>
      <c r="F958" s="2" t="s">
        <v>2786</v>
      </c>
      <c r="G958" s="28" t="s">
        <v>5</v>
      </c>
      <c r="H958" s="2" t="s">
        <v>17</v>
      </c>
      <c r="I958" s="2">
        <v>1</v>
      </c>
      <c r="J958" s="2" t="s">
        <v>2787</v>
      </c>
      <c r="K958" s="2">
        <v>14720</v>
      </c>
      <c r="L958" s="35">
        <v>48264083.200000003</v>
      </c>
      <c r="M958" s="36">
        <v>16000</v>
      </c>
      <c r="N958" s="40">
        <v>334356.17010174802</v>
      </c>
      <c r="O958" s="40">
        <v>363788.99034698698</v>
      </c>
      <c r="P958" s="40">
        <v>0</v>
      </c>
      <c r="Q958" s="40">
        <v>91834.072528045901</v>
      </c>
      <c r="R958" s="40">
        <v>635703.79415601399</v>
      </c>
      <c r="S958" s="40">
        <v>295835.95095225697</v>
      </c>
      <c r="T958" s="40">
        <v>30000</v>
      </c>
      <c r="U958" s="40">
        <v>0</v>
      </c>
      <c r="V958" s="40">
        <v>0</v>
      </c>
      <c r="W958" s="45">
        <v>1751518.9780850499</v>
      </c>
      <c r="X958" s="46">
        <v>3.6290319052098998</v>
      </c>
    </row>
    <row r="959" spans="1:24" s="4" customFormat="1" ht="15" customHeight="1">
      <c r="A959" s="28" t="s">
        <v>2682</v>
      </c>
      <c r="B959" s="29">
        <v>3278.81</v>
      </c>
      <c r="C959" s="30" t="s">
        <v>2788</v>
      </c>
      <c r="D959" s="2">
        <v>4950129090</v>
      </c>
      <c r="E959" s="2" t="s">
        <v>14</v>
      </c>
      <c r="F959" s="2" t="s">
        <v>2789</v>
      </c>
      <c r="G959" s="28" t="s">
        <v>5</v>
      </c>
      <c r="H959" s="2" t="s">
        <v>20</v>
      </c>
      <c r="I959" s="2">
        <v>1</v>
      </c>
      <c r="J959" s="2" t="s">
        <v>2790</v>
      </c>
      <c r="K959" s="2">
        <v>22200</v>
      </c>
      <c r="L959" s="35">
        <v>72789582</v>
      </c>
      <c r="M959" s="36">
        <v>12000</v>
      </c>
      <c r="N959" s="40">
        <v>524798</v>
      </c>
      <c r="O959" s="40">
        <v>332157</v>
      </c>
      <c r="P959" s="40">
        <v>0</v>
      </c>
      <c r="Q959" s="40">
        <v>110000</v>
      </c>
      <c r="R959" s="40">
        <v>638452</v>
      </c>
      <c r="S959" s="40">
        <v>354356</v>
      </c>
      <c r="T959" s="40">
        <v>30000</v>
      </c>
      <c r="U959" s="40">
        <v>3288300</v>
      </c>
      <c r="V959" s="40">
        <v>0</v>
      </c>
      <c r="W959" s="45">
        <v>5278063</v>
      </c>
      <c r="X959" s="46">
        <v>7.2511242062085204</v>
      </c>
    </row>
    <row r="960" spans="1:24" s="4" customFormat="1" ht="15" customHeight="1">
      <c r="A960" s="28" t="s">
        <v>2682</v>
      </c>
      <c r="B960" s="29">
        <v>3278.81</v>
      </c>
      <c r="C960" s="30" t="s">
        <v>2791</v>
      </c>
      <c r="D960" s="2">
        <v>4950585749</v>
      </c>
      <c r="E960" s="2" t="s">
        <v>14</v>
      </c>
      <c r="F960" s="2" t="s">
        <v>2792</v>
      </c>
      <c r="G960" s="28" t="s">
        <v>9</v>
      </c>
      <c r="H960" s="2" t="s">
        <v>23</v>
      </c>
      <c r="I960" s="2">
        <v>2</v>
      </c>
      <c r="J960" s="2"/>
      <c r="K960" s="2">
        <v>12090.75</v>
      </c>
      <c r="L960" s="35">
        <v>39643272.0075</v>
      </c>
      <c r="M960" s="36">
        <v>525</v>
      </c>
      <c r="N960" s="40">
        <v>303169.44444444397</v>
      </c>
      <c r="O960" s="40">
        <v>373.33333333333297</v>
      </c>
      <c r="P960" s="40">
        <v>0</v>
      </c>
      <c r="Q960" s="40">
        <v>8766.6666666666697</v>
      </c>
      <c r="R960" s="40">
        <v>60185.555555555598</v>
      </c>
      <c r="S960" s="40">
        <v>196864.444444444</v>
      </c>
      <c r="T960" s="40">
        <v>30000</v>
      </c>
      <c r="U960" s="40">
        <v>759833.33333333302</v>
      </c>
      <c r="V960" s="40">
        <v>0</v>
      </c>
      <c r="W960" s="45">
        <v>1359192.7777777801</v>
      </c>
      <c r="X960" s="46">
        <v>3.4285585143442101</v>
      </c>
    </row>
    <row r="961" spans="1:24" s="4" customFormat="1" ht="15" customHeight="1">
      <c r="A961" s="28" t="s">
        <v>2682</v>
      </c>
      <c r="B961" s="29">
        <v>3278.81</v>
      </c>
      <c r="C961" s="30" t="s">
        <v>2791</v>
      </c>
      <c r="D961" s="2">
        <v>4950726658</v>
      </c>
      <c r="E961" s="2" t="s">
        <v>14</v>
      </c>
      <c r="F961" s="2" t="s">
        <v>2792</v>
      </c>
      <c r="G961" s="28" t="s">
        <v>9</v>
      </c>
      <c r="H961" s="2" t="s">
        <v>23</v>
      </c>
      <c r="I961" s="2">
        <v>2</v>
      </c>
      <c r="J961" s="2"/>
      <c r="K961" s="2">
        <v>2507.4</v>
      </c>
      <c r="L961" s="35">
        <v>8221288.1940000001</v>
      </c>
      <c r="M961" s="36">
        <v>420</v>
      </c>
      <c r="N961" s="40">
        <v>242535.555555556</v>
      </c>
      <c r="O961" s="40">
        <v>298.66666666666703</v>
      </c>
      <c r="P961" s="40">
        <v>0</v>
      </c>
      <c r="Q961" s="40">
        <v>7013.3333333333303</v>
      </c>
      <c r="R961" s="40">
        <v>48148.444444444402</v>
      </c>
      <c r="S961" s="40">
        <v>157491.555555556</v>
      </c>
      <c r="T961" s="40">
        <v>30000</v>
      </c>
      <c r="U961" s="40">
        <v>607866.66666666698</v>
      </c>
      <c r="V961" s="40">
        <v>0</v>
      </c>
      <c r="W961" s="45">
        <v>1093354.2222222199</v>
      </c>
      <c r="X961" s="46">
        <v>13.2990620985671</v>
      </c>
    </row>
    <row r="962" spans="1:24" s="4" customFormat="1" ht="15" customHeight="1">
      <c r="A962" s="28" t="s">
        <v>2682</v>
      </c>
      <c r="B962" s="29">
        <v>3278.81</v>
      </c>
      <c r="C962" s="30" t="s">
        <v>2795</v>
      </c>
      <c r="D962" s="2">
        <v>4951050360</v>
      </c>
      <c r="E962" s="2" t="s">
        <v>14</v>
      </c>
      <c r="F962" s="78" t="s">
        <v>2796</v>
      </c>
      <c r="G962" s="28" t="s">
        <v>13</v>
      </c>
      <c r="H962" s="2" t="s">
        <v>23</v>
      </c>
      <c r="I962" s="2">
        <v>1</v>
      </c>
      <c r="J962" s="2"/>
      <c r="K962" s="2">
        <v>7848</v>
      </c>
      <c r="L962" s="35">
        <v>25732100.879999999</v>
      </c>
      <c r="M962" s="36">
        <v>100</v>
      </c>
      <c r="N962" s="40">
        <v>393261.88</v>
      </c>
      <c r="O962" s="40">
        <v>0</v>
      </c>
      <c r="P962" s="40">
        <v>0</v>
      </c>
      <c r="Q962" s="40">
        <v>0</v>
      </c>
      <c r="R962" s="40">
        <v>4573</v>
      </c>
      <c r="S962" s="40">
        <v>354356</v>
      </c>
      <c r="T962" s="40">
        <v>30000</v>
      </c>
      <c r="U962" s="40">
        <v>117323.80952381001</v>
      </c>
      <c r="V962" s="40">
        <v>0</v>
      </c>
      <c r="W962" s="45">
        <v>899514.68952381006</v>
      </c>
      <c r="X962" s="46">
        <v>3.4956908249296799</v>
      </c>
    </row>
    <row r="963" spans="1:24" s="4" customFormat="1" ht="15" customHeight="1">
      <c r="A963" s="28" t="s">
        <v>2682</v>
      </c>
      <c r="B963" s="29">
        <v>3278.81</v>
      </c>
      <c r="C963" s="30" t="s">
        <v>2797</v>
      </c>
      <c r="D963" s="2">
        <v>4951351010</v>
      </c>
      <c r="E963" s="2" t="s">
        <v>14</v>
      </c>
      <c r="F963" s="78" t="s">
        <v>2798</v>
      </c>
      <c r="G963" s="28" t="s">
        <v>13</v>
      </c>
      <c r="H963" s="2" t="s">
        <v>23</v>
      </c>
      <c r="I963" s="2">
        <v>4</v>
      </c>
      <c r="J963" s="2"/>
      <c r="K963" s="2">
        <v>2849.41</v>
      </c>
      <c r="L963" s="35">
        <v>9342674.0021000002</v>
      </c>
      <c r="M963" s="36">
        <v>20</v>
      </c>
      <c r="N963" s="40">
        <v>317130</v>
      </c>
      <c r="O963" s="40">
        <v>0</v>
      </c>
      <c r="P963" s="40">
        <v>0</v>
      </c>
      <c r="Q963" s="40">
        <v>0</v>
      </c>
      <c r="R963" s="40">
        <v>4254</v>
      </c>
      <c r="S963" s="40">
        <v>354356</v>
      </c>
      <c r="T963" s="40">
        <v>30000</v>
      </c>
      <c r="U963" s="40">
        <v>23464.761904761901</v>
      </c>
      <c r="V963" s="40">
        <v>0</v>
      </c>
      <c r="W963" s="45">
        <v>729204.76190476201</v>
      </c>
      <c r="X963" s="46">
        <v>7.8050969320009997</v>
      </c>
    </row>
    <row r="964" spans="1:24" s="4" customFormat="1" ht="15" customHeight="1">
      <c r="A964" s="28" t="s">
        <v>2682</v>
      </c>
      <c r="B964" s="29">
        <v>3278.81</v>
      </c>
      <c r="C964" s="30" t="s">
        <v>2799</v>
      </c>
      <c r="D964" s="2">
        <v>4951050362</v>
      </c>
      <c r="E964" s="2" t="s">
        <v>14</v>
      </c>
      <c r="F964" s="78" t="s">
        <v>2800</v>
      </c>
      <c r="G964" s="28" t="s">
        <v>13</v>
      </c>
      <c r="H964" s="2" t="s">
        <v>23</v>
      </c>
      <c r="I964" s="2">
        <v>1</v>
      </c>
      <c r="J964" s="2"/>
      <c r="K964" s="2">
        <v>532.6</v>
      </c>
      <c r="L964" s="35">
        <v>1746294.206</v>
      </c>
      <c r="M964" s="36">
        <v>10</v>
      </c>
      <c r="N964" s="40">
        <v>42252.146666666697</v>
      </c>
      <c r="O964" s="40">
        <v>0</v>
      </c>
      <c r="P964" s="40">
        <v>0</v>
      </c>
      <c r="Q964" s="40">
        <v>0</v>
      </c>
      <c r="R964" s="40">
        <v>835.66666666666697</v>
      </c>
      <c r="S964" s="40">
        <v>39372.888888888898</v>
      </c>
      <c r="T964" s="40">
        <v>30000</v>
      </c>
      <c r="U964" s="40">
        <v>11732.380952381</v>
      </c>
      <c r="V964" s="40">
        <v>0</v>
      </c>
      <c r="W964" s="45">
        <v>124193.083174603</v>
      </c>
      <c r="X964" s="46">
        <v>7.1118075492603001</v>
      </c>
    </row>
    <row r="965" spans="1:24" s="4" customFormat="1" ht="15" customHeight="1">
      <c r="A965" s="28" t="s">
        <v>2682</v>
      </c>
      <c r="B965" s="29">
        <v>3278.81</v>
      </c>
      <c r="C965" s="30" t="s">
        <v>2799</v>
      </c>
      <c r="D965" s="2">
        <v>4951351013</v>
      </c>
      <c r="E965" s="2" t="s">
        <v>14</v>
      </c>
      <c r="F965" s="78" t="s">
        <v>2800</v>
      </c>
      <c r="G965" s="28" t="s">
        <v>13</v>
      </c>
      <c r="H965" s="2" t="s">
        <v>23</v>
      </c>
      <c r="I965" s="2">
        <v>1</v>
      </c>
      <c r="J965" s="2"/>
      <c r="K965" s="2">
        <v>10849.6</v>
      </c>
      <c r="L965" s="35">
        <v>35573776.976000004</v>
      </c>
      <c r="M965" s="36">
        <v>80</v>
      </c>
      <c r="N965" s="40">
        <v>338017.17333333299</v>
      </c>
      <c r="O965" s="40">
        <v>0</v>
      </c>
      <c r="P965" s="40">
        <v>0</v>
      </c>
      <c r="Q965" s="40">
        <v>0</v>
      </c>
      <c r="R965" s="40">
        <v>6685.3333333333303</v>
      </c>
      <c r="S965" s="40">
        <v>314983.11111111101</v>
      </c>
      <c r="T965" s="40">
        <v>30000</v>
      </c>
      <c r="U965" s="40">
        <v>93859.047619047604</v>
      </c>
      <c r="V965" s="40">
        <v>0</v>
      </c>
      <c r="W965" s="45">
        <v>783544.66539682494</v>
      </c>
      <c r="X965" s="46">
        <v>2.20259059341786</v>
      </c>
    </row>
    <row r="966" spans="1:24" s="4" customFormat="1" ht="15" customHeight="1">
      <c r="A966" s="28" t="s">
        <v>2682</v>
      </c>
      <c r="B966" s="29">
        <v>3278.81</v>
      </c>
      <c r="C966" s="30" t="s">
        <v>2803</v>
      </c>
      <c r="D966" s="2">
        <v>4951047459</v>
      </c>
      <c r="E966" s="2" t="s">
        <v>14</v>
      </c>
      <c r="F966" s="2" t="s">
        <v>2804</v>
      </c>
      <c r="G966" s="28" t="s">
        <v>9</v>
      </c>
      <c r="H966" s="2" t="s">
        <v>23</v>
      </c>
      <c r="I966" s="2">
        <v>5</v>
      </c>
      <c r="J966" s="2"/>
      <c r="K966" s="2">
        <v>22441.5</v>
      </c>
      <c r="L966" s="35">
        <v>73581414.614999995</v>
      </c>
      <c r="M966" s="36">
        <v>1500</v>
      </c>
      <c r="N966" s="40">
        <v>650242</v>
      </c>
      <c r="O966" s="40">
        <v>1157</v>
      </c>
      <c r="P966" s="40">
        <v>18300</v>
      </c>
      <c r="Q966" s="40">
        <v>27940</v>
      </c>
      <c r="R966" s="40">
        <v>115520</v>
      </c>
      <c r="S966" s="40">
        <v>354356</v>
      </c>
      <c r="T966" s="40">
        <v>30000</v>
      </c>
      <c r="U966" s="40">
        <v>1314390.7563025199</v>
      </c>
      <c r="V966" s="40">
        <v>0</v>
      </c>
      <c r="W966" s="45">
        <v>2511905.7563025202</v>
      </c>
      <c r="X966" s="46">
        <v>3.4137774728109802</v>
      </c>
    </row>
    <row r="967" spans="1:24" s="4" customFormat="1" ht="15" customHeight="1">
      <c r="A967" s="28" t="s">
        <v>2682</v>
      </c>
      <c r="B967" s="29">
        <v>3278.81</v>
      </c>
      <c r="C967" s="30" t="s">
        <v>2810</v>
      </c>
      <c r="D967" s="2">
        <v>4950978891</v>
      </c>
      <c r="E967" s="2" t="s">
        <v>14</v>
      </c>
      <c r="F967" s="2" t="s">
        <v>2811</v>
      </c>
      <c r="G967" s="28" t="s">
        <v>9</v>
      </c>
      <c r="H967" s="2" t="s">
        <v>23</v>
      </c>
      <c r="I967" s="2">
        <v>1</v>
      </c>
      <c r="J967" s="2"/>
      <c r="K967" s="2">
        <v>2816</v>
      </c>
      <c r="L967" s="35">
        <v>9233128.9600000009</v>
      </c>
      <c r="M967" s="36">
        <v>880</v>
      </c>
      <c r="N967" s="40">
        <v>621700</v>
      </c>
      <c r="O967" s="40">
        <v>675</v>
      </c>
      <c r="P967" s="40">
        <v>20381</v>
      </c>
      <c r="Q967" s="40">
        <v>15571</v>
      </c>
      <c r="R967" s="40">
        <v>102513</v>
      </c>
      <c r="S967" s="40">
        <v>354356</v>
      </c>
      <c r="T967" s="40">
        <v>30000</v>
      </c>
      <c r="U967" s="40">
        <v>771109.24369747902</v>
      </c>
      <c r="V967" s="40">
        <v>0</v>
      </c>
      <c r="W967" s="45">
        <v>1916305.2436974801</v>
      </c>
      <c r="X967" s="46">
        <v>20.754667805457299</v>
      </c>
    </row>
    <row r="968" spans="1:24" s="4" customFormat="1" ht="15" customHeight="1">
      <c r="A968" s="28" t="s">
        <v>2682</v>
      </c>
      <c r="B968" s="29">
        <v>3278.81</v>
      </c>
      <c r="C968" s="30" t="s">
        <v>2821</v>
      </c>
      <c r="D968" s="2">
        <v>4950443836</v>
      </c>
      <c r="E968" s="2" t="s">
        <v>14</v>
      </c>
      <c r="F968" s="2" t="s">
        <v>2822</v>
      </c>
      <c r="G968" s="28" t="s">
        <v>9</v>
      </c>
      <c r="H968" s="2" t="s">
        <v>23</v>
      </c>
      <c r="I968" s="2">
        <v>4</v>
      </c>
      <c r="J968" s="2"/>
      <c r="K968" s="2">
        <v>7493.6</v>
      </c>
      <c r="L968" s="35">
        <v>24570090.616</v>
      </c>
      <c r="M968" s="36">
        <v>1520</v>
      </c>
      <c r="N968" s="40">
        <v>421377.566666667</v>
      </c>
      <c r="O968" s="40">
        <v>1133.6666666666699</v>
      </c>
      <c r="P968" s="40">
        <v>17565.5</v>
      </c>
      <c r="Q968" s="40">
        <v>26769.1</v>
      </c>
      <c r="R968" s="40">
        <v>88367.733333333294</v>
      </c>
      <c r="S968" s="40">
        <v>224425.46666666699</v>
      </c>
      <c r="T968" s="40">
        <v>30000</v>
      </c>
      <c r="U968" s="40">
        <v>1016012.82051282</v>
      </c>
      <c r="V968" s="40">
        <v>0</v>
      </c>
      <c r="W968" s="45">
        <v>1825651.85384615</v>
      </c>
      <c r="X968" s="46">
        <v>7.4303830717551103</v>
      </c>
    </row>
    <row r="969" spans="1:24" s="4" customFormat="1" ht="15" customHeight="1">
      <c r="A969" s="28" t="s">
        <v>2682</v>
      </c>
      <c r="B969" s="29">
        <v>3278.81</v>
      </c>
      <c r="C969" s="30" t="s">
        <v>2821</v>
      </c>
      <c r="D969" s="2">
        <v>4951138769</v>
      </c>
      <c r="E969" s="2" t="s">
        <v>14</v>
      </c>
      <c r="F969" s="2" t="s">
        <v>2822</v>
      </c>
      <c r="G969" s="28" t="s">
        <v>9</v>
      </c>
      <c r="H969" s="2" t="s">
        <v>23</v>
      </c>
      <c r="I969" s="2">
        <v>4</v>
      </c>
      <c r="J969" s="2"/>
      <c r="K969" s="2">
        <v>416.8</v>
      </c>
      <c r="L969" s="35">
        <v>1366608.0079999999</v>
      </c>
      <c r="M969" s="36">
        <v>80</v>
      </c>
      <c r="N969" s="40">
        <v>22177.766666666699</v>
      </c>
      <c r="O969" s="40">
        <v>59.6666666666667</v>
      </c>
      <c r="P969" s="40">
        <v>924.5</v>
      </c>
      <c r="Q969" s="40">
        <v>1408.9</v>
      </c>
      <c r="R969" s="40">
        <v>4650.9333333333298</v>
      </c>
      <c r="S969" s="40">
        <v>11811.8666666667</v>
      </c>
      <c r="T969" s="40">
        <v>30000</v>
      </c>
      <c r="U969" s="40">
        <v>53474.358974358998</v>
      </c>
      <c r="V969" s="40">
        <v>0</v>
      </c>
      <c r="W969" s="45">
        <v>124507.99230769199</v>
      </c>
      <c r="X969" s="46">
        <v>9.1107319420663302</v>
      </c>
    </row>
    <row r="970" spans="1:24" s="4" customFormat="1" ht="15" customHeight="1">
      <c r="A970" s="28" t="s">
        <v>2682</v>
      </c>
      <c r="B970" s="29">
        <v>3278.81</v>
      </c>
      <c r="C970" s="30" t="s">
        <v>2821</v>
      </c>
      <c r="D970" s="2">
        <v>4950722771</v>
      </c>
      <c r="E970" s="2" t="s">
        <v>14</v>
      </c>
      <c r="F970" s="2" t="s">
        <v>2822</v>
      </c>
      <c r="G970" s="28" t="s">
        <v>9</v>
      </c>
      <c r="H970" s="2" t="s">
        <v>23</v>
      </c>
      <c r="I970" s="2">
        <v>4</v>
      </c>
      <c r="J970" s="2"/>
      <c r="K970" s="2">
        <v>2608</v>
      </c>
      <c r="L970" s="35">
        <v>8551136.4800000004</v>
      </c>
      <c r="M970" s="36">
        <v>800</v>
      </c>
      <c r="N970" s="40">
        <v>221777.66666666701</v>
      </c>
      <c r="O970" s="40">
        <v>596.66666666666697</v>
      </c>
      <c r="P970" s="40">
        <v>9245</v>
      </c>
      <c r="Q970" s="40">
        <v>14089</v>
      </c>
      <c r="R970" s="40">
        <v>46509.333333333299</v>
      </c>
      <c r="S970" s="40">
        <v>118118.66666666701</v>
      </c>
      <c r="T970" s="40">
        <v>30000</v>
      </c>
      <c r="U970" s="40">
        <v>534743.58974358998</v>
      </c>
      <c r="V970" s="40">
        <v>0</v>
      </c>
      <c r="W970" s="45">
        <v>975079.92307692405</v>
      </c>
      <c r="X970" s="46">
        <v>11.4029278489182</v>
      </c>
    </row>
    <row r="971" spans="1:24" s="4" customFormat="1" ht="15" customHeight="1">
      <c r="A971" s="28" t="s">
        <v>2682</v>
      </c>
      <c r="B971" s="29">
        <v>3278.81</v>
      </c>
      <c r="C971" s="30" t="s">
        <v>2823</v>
      </c>
      <c r="D971" s="2">
        <v>4950216820</v>
      </c>
      <c r="E971" s="2" t="s">
        <v>14</v>
      </c>
      <c r="F971" s="2" t="s">
        <v>2824</v>
      </c>
      <c r="G971" s="28" t="s">
        <v>5</v>
      </c>
      <c r="H971" s="2" t="s">
        <v>17</v>
      </c>
      <c r="I971" s="2">
        <v>1</v>
      </c>
      <c r="J971" s="2" t="s">
        <v>2825</v>
      </c>
      <c r="K971" s="2">
        <v>24200.400000000001</v>
      </c>
      <c r="L971" s="35">
        <v>79348513.524000004</v>
      </c>
      <c r="M971" s="36">
        <v>18060</v>
      </c>
      <c r="N971" s="40">
        <v>399194</v>
      </c>
      <c r="O971" s="40">
        <v>432840</v>
      </c>
      <c r="P971" s="40">
        <v>687278</v>
      </c>
      <c r="Q971" s="40">
        <v>110000</v>
      </c>
      <c r="R971" s="40">
        <v>753742</v>
      </c>
      <c r="S971" s="40">
        <v>354356</v>
      </c>
      <c r="T971" s="40">
        <v>30000</v>
      </c>
      <c r="U971" s="40">
        <v>6275900</v>
      </c>
      <c r="V971" s="40">
        <v>0</v>
      </c>
      <c r="W971" s="45">
        <v>9043310</v>
      </c>
      <c r="X971" s="46">
        <v>11.396949480679</v>
      </c>
    </row>
    <row r="972" spans="1:24" s="4" customFormat="1" ht="15" customHeight="1">
      <c r="A972" s="28" t="s">
        <v>2682</v>
      </c>
      <c r="B972" s="29">
        <v>3278.81</v>
      </c>
      <c r="C972" s="30" t="s">
        <v>2831</v>
      </c>
      <c r="D972" s="2">
        <v>4950058283</v>
      </c>
      <c r="E972" s="2" t="s">
        <v>14</v>
      </c>
      <c r="F972" s="2" t="s">
        <v>2832</v>
      </c>
      <c r="G972" s="28" t="s">
        <v>5</v>
      </c>
      <c r="H972" s="2" t="s">
        <v>20</v>
      </c>
      <c r="I972" s="2">
        <v>2</v>
      </c>
      <c r="J972" s="2" t="s">
        <v>2833</v>
      </c>
      <c r="K972" s="2">
        <v>30832</v>
      </c>
      <c r="L972" s="35">
        <v>101092269.92</v>
      </c>
      <c r="M972" s="36">
        <v>16400</v>
      </c>
      <c r="N972" s="40">
        <v>402360.95988538698</v>
      </c>
      <c r="O972" s="40">
        <v>387606.833810888</v>
      </c>
      <c r="P972" s="40">
        <v>164297.220630372</v>
      </c>
      <c r="Q972" s="40">
        <v>116667.320916905</v>
      </c>
      <c r="R972" s="40">
        <v>894197.38395415503</v>
      </c>
      <c r="S972" s="40">
        <v>208146.074498567</v>
      </c>
      <c r="T972" s="40">
        <v>30000</v>
      </c>
      <c r="U972" s="40">
        <v>4216303.7249283697</v>
      </c>
      <c r="V972" s="40">
        <v>0</v>
      </c>
      <c r="W972" s="45">
        <v>6419579.5186246401</v>
      </c>
      <c r="X972" s="46">
        <v>6.3502179975826198</v>
      </c>
    </row>
    <row r="973" spans="1:24" s="4" customFormat="1" ht="15" customHeight="1">
      <c r="A973" s="28" t="s">
        <v>2682</v>
      </c>
      <c r="B973" s="29">
        <v>3278.81</v>
      </c>
      <c r="C973" s="30" t="s">
        <v>2831</v>
      </c>
      <c r="D973" s="2">
        <v>4950585748</v>
      </c>
      <c r="E973" s="2" t="s">
        <v>14</v>
      </c>
      <c r="F973" s="2" t="s">
        <v>2832</v>
      </c>
      <c r="G973" s="28" t="s">
        <v>5</v>
      </c>
      <c r="H973" s="2" t="s">
        <v>20</v>
      </c>
      <c r="I973" s="2">
        <v>2</v>
      </c>
      <c r="J973" s="2" t="s">
        <v>2833</v>
      </c>
      <c r="K973" s="2">
        <v>13456.8</v>
      </c>
      <c r="L973" s="35">
        <v>44122290.408</v>
      </c>
      <c r="M973" s="36">
        <v>5040</v>
      </c>
      <c r="N973" s="40">
        <v>123652.39255014301</v>
      </c>
      <c r="O973" s="40">
        <v>119118.19770773601</v>
      </c>
      <c r="P973" s="40">
        <v>50491.340974211998</v>
      </c>
      <c r="Q973" s="40">
        <v>35853.859598853902</v>
      </c>
      <c r="R973" s="40">
        <v>274804.95702005702</v>
      </c>
      <c r="S973" s="40">
        <v>63966.8424068768</v>
      </c>
      <c r="T973" s="40">
        <v>30000</v>
      </c>
      <c r="U973" s="40">
        <v>1295742.12034384</v>
      </c>
      <c r="V973" s="40">
        <v>0</v>
      </c>
      <c r="W973" s="45">
        <v>1993629.71060172</v>
      </c>
      <c r="X973" s="46">
        <v>4.5184184505531597</v>
      </c>
    </row>
    <row r="974" spans="1:24" s="4" customFormat="1" ht="15" customHeight="1">
      <c r="A974" s="28" t="s">
        <v>2682</v>
      </c>
      <c r="B974" s="29">
        <v>3278.81</v>
      </c>
      <c r="C974" s="30" t="s">
        <v>2831</v>
      </c>
      <c r="D974" s="2">
        <v>4950721195</v>
      </c>
      <c r="E974" s="2" t="s">
        <v>14</v>
      </c>
      <c r="F974" s="2" t="s">
        <v>2832</v>
      </c>
      <c r="G974" s="28" t="s">
        <v>5</v>
      </c>
      <c r="H974" s="2" t="s">
        <v>20</v>
      </c>
      <c r="I974" s="2">
        <v>2</v>
      </c>
      <c r="J974" s="2" t="s">
        <v>2833</v>
      </c>
      <c r="K974" s="2">
        <v>1522.4</v>
      </c>
      <c r="L974" s="35">
        <v>4991660.3439999996</v>
      </c>
      <c r="M974" s="36">
        <v>880</v>
      </c>
      <c r="N974" s="40">
        <v>21590.100286533001</v>
      </c>
      <c r="O974" s="40">
        <v>20798.415472779401</v>
      </c>
      <c r="P974" s="40">
        <v>8815.9484240687707</v>
      </c>
      <c r="Q974" s="40">
        <v>6260.1977077363899</v>
      </c>
      <c r="R974" s="40">
        <v>47982.040114613199</v>
      </c>
      <c r="S974" s="40">
        <v>11168.8137535817</v>
      </c>
      <c r="T974" s="40">
        <v>30000</v>
      </c>
      <c r="U974" s="40">
        <v>226240.687679083</v>
      </c>
      <c r="V974" s="40">
        <v>0</v>
      </c>
      <c r="W974" s="45">
        <v>372856.20343839499</v>
      </c>
      <c r="X974" s="46">
        <v>7.46958281900271</v>
      </c>
    </row>
    <row r="975" spans="1:24" s="4" customFormat="1" ht="15" customHeight="1">
      <c r="A975" s="28" t="s">
        <v>2682</v>
      </c>
      <c r="B975" s="29">
        <v>3278.81</v>
      </c>
      <c r="C975" s="30" t="s">
        <v>2831</v>
      </c>
      <c r="D975" s="2">
        <v>4950585747</v>
      </c>
      <c r="E975" s="2" t="s">
        <v>14</v>
      </c>
      <c r="F975" s="2" t="s">
        <v>2832</v>
      </c>
      <c r="G975" s="28" t="s">
        <v>5</v>
      </c>
      <c r="H975" s="2" t="s">
        <v>20</v>
      </c>
      <c r="I975" s="2">
        <v>2</v>
      </c>
      <c r="J975" s="2" t="s">
        <v>2833</v>
      </c>
      <c r="K975" s="2">
        <v>12320</v>
      </c>
      <c r="L975" s="35">
        <v>40394939.200000003</v>
      </c>
      <c r="M975" s="36">
        <v>5600</v>
      </c>
      <c r="N975" s="40">
        <v>137391.547277937</v>
      </c>
      <c r="O975" s="40">
        <v>132353.55300859601</v>
      </c>
      <c r="P975" s="40">
        <v>56101.489971346702</v>
      </c>
      <c r="Q975" s="40">
        <v>39837.621776504297</v>
      </c>
      <c r="R975" s="40">
        <v>305339.618911175</v>
      </c>
      <c r="S975" s="40">
        <v>71074.269340974206</v>
      </c>
      <c r="T975" s="40">
        <v>30000</v>
      </c>
      <c r="U975" s="40">
        <v>1439713.46704871</v>
      </c>
      <c r="V975" s="40">
        <v>0</v>
      </c>
      <c r="W975" s="45">
        <v>2211811.5673352401</v>
      </c>
      <c r="X975" s="46">
        <v>5.4754670043797002</v>
      </c>
    </row>
    <row r="976" spans="1:24" s="4" customFormat="1" ht="15" customHeight="1">
      <c r="A976" s="28" t="s">
        <v>2682</v>
      </c>
      <c r="B976" s="29">
        <v>3278.81</v>
      </c>
      <c r="C976" s="30" t="s">
        <v>2834</v>
      </c>
      <c r="D976" s="2">
        <v>4950726666</v>
      </c>
      <c r="E976" s="2" t="s">
        <v>14</v>
      </c>
      <c r="F976" s="2" t="s">
        <v>2835</v>
      </c>
      <c r="G976" s="28" t="s">
        <v>5</v>
      </c>
      <c r="H976" s="2" t="s">
        <v>20</v>
      </c>
      <c r="I976" s="2">
        <v>1</v>
      </c>
      <c r="J976" s="2" t="s">
        <v>2836</v>
      </c>
      <c r="K976" s="2">
        <v>2196</v>
      </c>
      <c r="L976" s="35">
        <v>7200266.7599999998</v>
      </c>
      <c r="M976" s="36">
        <v>1200</v>
      </c>
      <c r="N976" s="40">
        <v>58380.340909090897</v>
      </c>
      <c r="O976" s="40">
        <v>56239.431818181802</v>
      </c>
      <c r="P976" s="40">
        <v>0</v>
      </c>
      <c r="Q976" s="40">
        <v>18750</v>
      </c>
      <c r="R976" s="40">
        <v>116647.16818181799</v>
      </c>
      <c r="S976" s="40">
        <v>60401.590909090897</v>
      </c>
      <c r="T976" s="40">
        <v>30000</v>
      </c>
      <c r="U976" s="40">
        <v>725352.27272727306</v>
      </c>
      <c r="V976" s="40">
        <v>0</v>
      </c>
      <c r="W976" s="45">
        <v>1065770.80454545</v>
      </c>
      <c r="X976" s="46">
        <v>14.801823877778901</v>
      </c>
    </row>
    <row r="977" spans="1:24" s="4" customFormat="1" ht="15" customHeight="1">
      <c r="A977" s="28" t="s">
        <v>2682</v>
      </c>
      <c r="B977" s="29">
        <v>3278.81</v>
      </c>
      <c r="C977" s="30" t="s">
        <v>2834</v>
      </c>
      <c r="D977" s="2">
        <v>4950930074</v>
      </c>
      <c r="E977" s="2" t="s">
        <v>14</v>
      </c>
      <c r="F977" s="2" t="s">
        <v>2835</v>
      </c>
      <c r="G977" s="28" t="s">
        <v>5</v>
      </c>
      <c r="H977" s="2" t="s">
        <v>20</v>
      </c>
      <c r="I977" s="2">
        <v>1</v>
      </c>
      <c r="J977" s="2" t="s">
        <v>2836</v>
      </c>
      <c r="K977" s="2">
        <v>23090.400000000001</v>
      </c>
      <c r="L977" s="35">
        <v>75709034.423999995</v>
      </c>
      <c r="M977" s="36">
        <v>540</v>
      </c>
      <c r="N977" s="40">
        <v>26271.153409090901</v>
      </c>
      <c r="O977" s="40">
        <v>25307.744318181802</v>
      </c>
      <c r="P977" s="40">
        <v>0</v>
      </c>
      <c r="Q977" s="40">
        <v>8437.5</v>
      </c>
      <c r="R977" s="40">
        <v>52491.275681818202</v>
      </c>
      <c r="S977" s="40">
        <v>27180.715909090901</v>
      </c>
      <c r="T977" s="40">
        <v>30000</v>
      </c>
      <c r="U977" s="40">
        <v>326408.522727273</v>
      </c>
      <c r="V977" s="40">
        <v>0</v>
      </c>
      <c r="W977" s="45">
        <v>496096.91204545501</v>
      </c>
      <c r="X977" s="46">
        <v>0.65526778385142204</v>
      </c>
    </row>
    <row r="978" spans="1:24" s="4" customFormat="1" ht="15" customHeight="1">
      <c r="A978" s="28" t="s">
        <v>2682</v>
      </c>
      <c r="B978" s="29">
        <v>3278.81</v>
      </c>
      <c r="C978" s="30" t="s">
        <v>2834</v>
      </c>
      <c r="D978" s="2">
        <v>4951046924</v>
      </c>
      <c r="E978" s="2" t="s">
        <v>14</v>
      </c>
      <c r="F978" s="2" t="s">
        <v>2835</v>
      </c>
      <c r="G978" s="28" t="s">
        <v>5</v>
      </c>
      <c r="H978" s="2" t="s">
        <v>20</v>
      </c>
      <c r="I978" s="2">
        <v>1</v>
      </c>
      <c r="J978" s="2" t="s">
        <v>2836</v>
      </c>
      <c r="K978" s="2">
        <v>27192</v>
      </c>
      <c r="L978" s="35">
        <v>89157401.519999996</v>
      </c>
      <c r="M978" s="36">
        <v>3300</v>
      </c>
      <c r="N978" s="40">
        <v>160545.9375</v>
      </c>
      <c r="O978" s="40">
        <v>154658.4375</v>
      </c>
      <c r="P978" s="40">
        <v>0</v>
      </c>
      <c r="Q978" s="40">
        <v>51562.5</v>
      </c>
      <c r="R978" s="40">
        <v>320770.46250000002</v>
      </c>
      <c r="S978" s="40">
        <v>166104.375</v>
      </c>
      <c r="T978" s="40">
        <v>30000</v>
      </c>
      <c r="U978" s="40">
        <v>1994718.75</v>
      </c>
      <c r="V978" s="40">
        <v>0</v>
      </c>
      <c r="W978" s="45">
        <v>2878360.4624999999</v>
      </c>
      <c r="X978" s="46">
        <v>3.2284032659412101</v>
      </c>
    </row>
    <row r="979" spans="1:24" s="4" customFormat="1" ht="15" customHeight="1">
      <c r="A979" s="28" t="s">
        <v>2682</v>
      </c>
      <c r="B979" s="29">
        <v>3278.81</v>
      </c>
      <c r="C979" s="30" t="s">
        <v>2834</v>
      </c>
      <c r="D979" s="2">
        <v>4950898141</v>
      </c>
      <c r="E979" s="2" t="s">
        <v>14</v>
      </c>
      <c r="F979" s="2" t="s">
        <v>2835</v>
      </c>
      <c r="G979" s="28" t="s">
        <v>5</v>
      </c>
      <c r="H979" s="2" t="s">
        <v>20</v>
      </c>
      <c r="I979" s="2">
        <v>1</v>
      </c>
      <c r="J979" s="2" t="s">
        <v>2836</v>
      </c>
      <c r="K979" s="2">
        <v>6140</v>
      </c>
      <c r="L979" s="35">
        <v>20131893.399999999</v>
      </c>
      <c r="M979" s="36">
        <v>1000</v>
      </c>
      <c r="N979" s="40">
        <v>48650.284090909103</v>
      </c>
      <c r="O979" s="40">
        <v>46866.193181818198</v>
      </c>
      <c r="P979" s="40">
        <v>0</v>
      </c>
      <c r="Q979" s="40">
        <v>15625</v>
      </c>
      <c r="R979" s="40">
        <v>97205.806818181794</v>
      </c>
      <c r="S979" s="40">
        <v>50334.659090909103</v>
      </c>
      <c r="T979" s="40">
        <v>30000</v>
      </c>
      <c r="U979" s="40">
        <v>604460.22727272694</v>
      </c>
      <c r="V979" s="40">
        <v>0</v>
      </c>
      <c r="W979" s="45">
        <v>893142.17045454495</v>
      </c>
      <c r="X979" s="46">
        <v>4.4364539028134597</v>
      </c>
    </row>
    <row r="980" spans="1:24" s="4" customFormat="1" ht="15" customHeight="1">
      <c r="A980" s="28" t="s">
        <v>2682</v>
      </c>
      <c r="B980" s="29">
        <v>3278.81</v>
      </c>
      <c r="C980" s="30" t="s">
        <v>2855</v>
      </c>
      <c r="D980" s="2">
        <v>4950812434</v>
      </c>
      <c r="E980" s="2" t="s">
        <v>14</v>
      </c>
      <c r="F980" s="2" t="s">
        <v>2856</v>
      </c>
      <c r="G980" s="28" t="s">
        <v>5</v>
      </c>
      <c r="H980" s="2" t="s">
        <v>17</v>
      </c>
      <c r="I980" s="2">
        <v>1</v>
      </c>
      <c r="J980" s="2" t="s">
        <v>2857</v>
      </c>
      <c r="K980" s="2">
        <v>2247</v>
      </c>
      <c r="L980" s="35">
        <v>7367486.0700000003</v>
      </c>
      <c r="M980" s="36">
        <v>700</v>
      </c>
      <c r="N980" s="40">
        <v>12668.3170409511</v>
      </c>
      <c r="O980" s="40">
        <v>16009.9339498019</v>
      </c>
      <c r="P980" s="40">
        <v>0</v>
      </c>
      <c r="Q980" s="40">
        <v>4068.6922060766201</v>
      </c>
      <c r="R980" s="40">
        <v>30999.2443857332</v>
      </c>
      <c r="S980" s="40">
        <v>13106.959048877099</v>
      </c>
      <c r="T980" s="40">
        <v>30000</v>
      </c>
      <c r="U980" s="40">
        <v>208633.28929986799</v>
      </c>
      <c r="V980" s="40">
        <v>0</v>
      </c>
      <c r="W980" s="45">
        <v>315486.43593130802</v>
      </c>
      <c r="X980" s="46">
        <v>4.2821449940156802</v>
      </c>
    </row>
    <row r="981" spans="1:24" s="4" customFormat="1" ht="15" customHeight="1">
      <c r="A981" s="28" t="s">
        <v>2682</v>
      </c>
      <c r="B981" s="29">
        <v>3278.81</v>
      </c>
      <c r="C981" s="30" t="s">
        <v>2855</v>
      </c>
      <c r="D981" s="2">
        <v>4950812439</v>
      </c>
      <c r="E981" s="2" t="s">
        <v>14</v>
      </c>
      <c r="F981" s="2" t="s">
        <v>2856</v>
      </c>
      <c r="G981" s="28" t="s">
        <v>5</v>
      </c>
      <c r="H981" s="2" t="s">
        <v>17</v>
      </c>
      <c r="I981" s="2">
        <v>1</v>
      </c>
      <c r="J981" s="2" t="s">
        <v>2857</v>
      </c>
      <c r="K981" s="2">
        <v>150</v>
      </c>
      <c r="L981" s="35">
        <v>491821.5</v>
      </c>
      <c r="M981" s="36">
        <v>150</v>
      </c>
      <c r="N981" s="40">
        <v>2714.6393659180999</v>
      </c>
      <c r="O981" s="40">
        <v>3430.7001321004</v>
      </c>
      <c r="P981" s="40">
        <v>0</v>
      </c>
      <c r="Q981" s="40">
        <v>871.86261558784702</v>
      </c>
      <c r="R981" s="40">
        <v>6642.4095112285304</v>
      </c>
      <c r="S981" s="40">
        <v>2808.6340819022498</v>
      </c>
      <c r="T981" s="40">
        <v>30000</v>
      </c>
      <c r="U981" s="40">
        <v>44707.1334214003</v>
      </c>
      <c r="V981" s="40">
        <v>0</v>
      </c>
      <c r="W981" s="45">
        <v>91175.3791281374</v>
      </c>
      <c r="X981" s="46">
        <v>18.538306911783501</v>
      </c>
    </row>
    <row r="982" spans="1:24" s="4" customFormat="1" ht="15" customHeight="1">
      <c r="A982" s="28" t="s">
        <v>2682</v>
      </c>
      <c r="B982" s="29">
        <v>3278.81</v>
      </c>
      <c r="C982" s="30" t="s">
        <v>2855</v>
      </c>
      <c r="D982" s="2">
        <v>4950898143</v>
      </c>
      <c r="E982" s="2" t="s">
        <v>14</v>
      </c>
      <c r="F982" s="2" t="s">
        <v>2856</v>
      </c>
      <c r="G982" s="28" t="s">
        <v>5</v>
      </c>
      <c r="H982" s="2" t="s">
        <v>17</v>
      </c>
      <c r="I982" s="2">
        <v>1</v>
      </c>
      <c r="J982" s="2" t="s">
        <v>2857</v>
      </c>
      <c r="K982" s="2">
        <v>4256</v>
      </c>
      <c r="L982" s="35">
        <v>13954615.359999999</v>
      </c>
      <c r="M982" s="36">
        <v>1600</v>
      </c>
      <c r="N982" s="40">
        <v>28956.153236459701</v>
      </c>
      <c r="O982" s="40">
        <v>36594.134742404203</v>
      </c>
      <c r="P982" s="40">
        <v>0</v>
      </c>
      <c r="Q982" s="40">
        <v>9299.8678996036997</v>
      </c>
      <c r="R982" s="40">
        <v>70855.701453104397</v>
      </c>
      <c r="S982" s="40">
        <v>29958.763540290602</v>
      </c>
      <c r="T982" s="40">
        <v>30000</v>
      </c>
      <c r="U982" s="40">
        <v>476876.08982826897</v>
      </c>
      <c r="V982" s="40">
        <v>0</v>
      </c>
      <c r="W982" s="45">
        <v>682540.71070013102</v>
      </c>
      <c r="X982" s="46">
        <v>4.8911467144883796</v>
      </c>
    </row>
    <row r="983" spans="1:24" s="4" customFormat="1" ht="15" customHeight="1">
      <c r="A983" s="28" t="s">
        <v>2682</v>
      </c>
      <c r="B983" s="29">
        <v>3278.81</v>
      </c>
      <c r="C983" s="30" t="s">
        <v>2855</v>
      </c>
      <c r="D983" s="2">
        <v>4950059651</v>
      </c>
      <c r="E983" s="2" t="s">
        <v>14</v>
      </c>
      <c r="F983" s="2" t="s">
        <v>2856</v>
      </c>
      <c r="G983" s="28" t="s">
        <v>5</v>
      </c>
      <c r="H983" s="2" t="s">
        <v>17</v>
      </c>
      <c r="I983" s="2">
        <v>1</v>
      </c>
      <c r="J983" s="2" t="s">
        <v>2857</v>
      </c>
      <c r="K983" s="2">
        <v>2823</v>
      </c>
      <c r="L983" s="35">
        <v>9256080.6300000008</v>
      </c>
      <c r="M983" s="36">
        <v>75</v>
      </c>
      <c r="N983" s="40">
        <v>1357.3196829590499</v>
      </c>
      <c r="O983" s="40">
        <v>1715.3500660502</v>
      </c>
      <c r="P983" s="40">
        <v>0</v>
      </c>
      <c r="Q983" s="40">
        <v>435.931307793923</v>
      </c>
      <c r="R983" s="40">
        <v>3321.2047556142702</v>
      </c>
      <c r="S983" s="40">
        <v>1404.3170409511199</v>
      </c>
      <c r="T983" s="40">
        <v>30000</v>
      </c>
      <c r="U983" s="40">
        <v>22353.566710700099</v>
      </c>
      <c r="V983" s="40">
        <v>0</v>
      </c>
      <c r="W983" s="45">
        <v>60587.6895640687</v>
      </c>
      <c r="X983" s="46">
        <v>0.65457175651319599</v>
      </c>
    </row>
    <row r="984" spans="1:24" s="4" customFormat="1" ht="15" customHeight="1">
      <c r="A984" s="28" t="s">
        <v>2682</v>
      </c>
      <c r="B984" s="29">
        <v>3278.81</v>
      </c>
      <c r="C984" s="30" t="s">
        <v>2855</v>
      </c>
      <c r="D984" s="2">
        <v>4950059651</v>
      </c>
      <c r="E984" s="2" t="s">
        <v>14</v>
      </c>
      <c r="F984" s="2" t="s">
        <v>2856</v>
      </c>
      <c r="G984" s="28" t="s">
        <v>5</v>
      </c>
      <c r="H984" s="2" t="s">
        <v>17</v>
      </c>
      <c r="I984" s="2">
        <v>1</v>
      </c>
      <c r="J984" s="2" t="s">
        <v>2857</v>
      </c>
      <c r="K984" s="2">
        <v>3165.2</v>
      </c>
      <c r="L984" s="35">
        <v>10378089.412</v>
      </c>
      <c r="M984" s="36">
        <v>820</v>
      </c>
      <c r="N984" s="40">
        <v>14840.0285336856</v>
      </c>
      <c r="O984" s="40">
        <v>18754.494055482199</v>
      </c>
      <c r="P984" s="40">
        <v>0</v>
      </c>
      <c r="Q984" s="40">
        <v>4766.1822985468998</v>
      </c>
      <c r="R984" s="40">
        <v>36313.371994715999</v>
      </c>
      <c r="S984" s="40">
        <v>15353.8663143989</v>
      </c>
      <c r="T984" s="40">
        <v>30000</v>
      </c>
      <c r="U984" s="40">
        <v>244398.99603698801</v>
      </c>
      <c r="V984" s="40">
        <v>0</v>
      </c>
      <c r="W984" s="45">
        <v>364426.93923381798</v>
      </c>
      <c r="X984" s="46">
        <v>3.5115031752611201</v>
      </c>
    </row>
    <row r="985" spans="1:24" s="4" customFormat="1" ht="15" customHeight="1">
      <c r="A985" s="28" t="s">
        <v>2682</v>
      </c>
      <c r="B985" s="29">
        <v>3278.81</v>
      </c>
      <c r="C985" s="30" t="s">
        <v>2855</v>
      </c>
      <c r="D985" s="2">
        <v>4950812428</v>
      </c>
      <c r="E985" s="2" t="s">
        <v>14</v>
      </c>
      <c r="F985" s="2" t="s">
        <v>2856</v>
      </c>
      <c r="G985" s="28" t="s">
        <v>5</v>
      </c>
      <c r="H985" s="2" t="s">
        <v>17</v>
      </c>
      <c r="I985" s="2">
        <v>1</v>
      </c>
      <c r="J985" s="2" t="s">
        <v>2857</v>
      </c>
      <c r="K985" s="2">
        <v>407.7</v>
      </c>
      <c r="L985" s="35">
        <v>1336770.8370000001</v>
      </c>
      <c r="M985" s="36">
        <v>30</v>
      </c>
      <c r="N985" s="40">
        <v>542.92787318362002</v>
      </c>
      <c r="O985" s="40">
        <v>686.14002642007904</v>
      </c>
      <c r="P985" s="40">
        <v>0</v>
      </c>
      <c r="Q985" s="40">
        <v>174.37252311756899</v>
      </c>
      <c r="R985" s="40">
        <v>1328.2819022457099</v>
      </c>
      <c r="S985" s="40">
        <v>561.72681638044901</v>
      </c>
      <c r="T985" s="40">
        <v>30000</v>
      </c>
      <c r="U985" s="40">
        <v>8941.4266842800498</v>
      </c>
      <c r="V985" s="40">
        <v>0</v>
      </c>
      <c r="W985" s="45">
        <v>42234.875825627503</v>
      </c>
      <c r="X985" s="46">
        <v>3.1594701692035398</v>
      </c>
    </row>
    <row r="986" spans="1:24" s="4" customFormat="1" ht="15" customHeight="1">
      <c r="A986" s="28" t="s">
        <v>2682</v>
      </c>
      <c r="B986" s="29">
        <v>3278.81</v>
      </c>
      <c r="C986" s="30" t="s">
        <v>2855</v>
      </c>
      <c r="D986" s="2">
        <v>4950978868</v>
      </c>
      <c r="E986" s="2" t="s">
        <v>14</v>
      </c>
      <c r="F986" s="2" t="s">
        <v>2856</v>
      </c>
      <c r="G986" s="28" t="s">
        <v>5</v>
      </c>
      <c r="H986" s="2" t="s">
        <v>17</v>
      </c>
      <c r="I986" s="2">
        <v>1</v>
      </c>
      <c r="J986" s="2" t="s">
        <v>2857</v>
      </c>
      <c r="K986" s="2">
        <v>1072.75</v>
      </c>
      <c r="L986" s="35">
        <v>3517343.4275000002</v>
      </c>
      <c r="M986" s="36">
        <v>175</v>
      </c>
      <c r="N986" s="40">
        <v>3167.0792602377801</v>
      </c>
      <c r="O986" s="40">
        <v>4002.48348745046</v>
      </c>
      <c r="P986" s="40">
        <v>0</v>
      </c>
      <c r="Q986" s="40">
        <v>1017.17305151915</v>
      </c>
      <c r="R986" s="40">
        <v>7749.81109643329</v>
      </c>
      <c r="S986" s="40">
        <v>3276.7397622192898</v>
      </c>
      <c r="T986" s="40">
        <v>30000</v>
      </c>
      <c r="U986" s="40">
        <v>52158.322324966997</v>
      </c>
      <c r="V986" s="40">
        <v>0</v>
      </c>
      <c r="W986" s="45">
        <v>101371.60898282701</v>
      </c>
      <c r="X986" s="46">
        <v>2.88205036193688</v>
      </c>
    </row>
    <row r="987" spans="1:24" s="4" customFormat="1" ht="15" customHeight="1">
      <c r="A987" s="28" t="s">
        <v>2682</v>
      </c>
      <c r="B987" s="29">
        <v>3278.81</v>
      </c>
      <c r="C987" s="30" t="s">
        <v>2855</v>
      </c>
      <c r="D987" s="2">
        <v>4950978889</v>
      </c>
      <c r="E987" s="2" t="s">
        <v>14</v>
      </c>
      <c r="F987" s="2" t="s">
        <v>2856</v>
      </c>
      <c r="G987" s="28" t="s">
        <v>5</v>
      </c>
      <c r="H987" s="2" t="s">
        <v>17</v>
      </c>
      <c r="I987" s="2">
        <v>1</v>
      </c>
      <c r="J987" s="2" t="s">
        <v>2857</v>
      </c>
      <c r="K987" s="2">
        <v>5166</v>
      </c>
      <c r="L987" s="35">
        <v>16938332.460000001</v>
      </c>
      <c r="M987" s="36">
        <v>1050</v>
      </c>
      <c r="N987" s="40">
        <v>19002.475561426701</v>
      </c>
      <c r="O987" s="40">
        <v>24014.900924702801</v>
      </c>
      <c r="P987" s="40">
        <v>0</v>
      </c>
      <c r="Q987" s="40">
        <v>6103.0383091149297</v>
      </c>
      <c r="R987" s="40">
        <v>46498.8665785997</v>
      </c>
      <c r="S987" s="40">
        <v>19660.4385733157</v>
      </c>
      <c r="T987" s="40">
        <v>30000</v>
      </c>
      <c r="U987" s="40">
        <v>312949.93394980201</v>
      </c>
      <c r="V987" s="40">
        <v>0</v>
      </c>
      <c r="W987" s="45">
        <v>458229.653896962</v>
      </c>
      <c r="X987" s="46">
        <v>2.7052819690431398</v>
      </c>
    </row>
    <row r="988" spans="1:24" s="4" customFormat="1" ht="15" customHeight="1">
      <c r="A988" s="28" t="s">
        <v>2682</v>
      </c>
      <c r="B988" s="29">
        <v>3278.81</v>
      </c>
      <c r="C988" s="30" t="s">
        <v>2855</v>
      </c>
      <c r="D988" s="2">
        <v>4950721185</v>
      </c>
      <c r="E988" s="2" t="s">
        <v>14</v>
      </c>
      <c r="F988" s="2" t="s">
        <v>2856</v>
      </c>
      <c r="G988" s="28" t="s">
        <v>5</v>
      </c>
      <c r="H988" s="2" t="s">
        <v>17</v>
      </c>
      <c r="I988" s="2">
        <v>1</v>
      </c>
      <c r="J988" s="2" t="s">
        <v>2857</v>
      </c>
      <c r="K988" s="2">
        <v>6350.4</v>
      </c>
      <c r="L988" s="35">
        <v>20821755.024</v>
      </c>
      <c r="M988" s="36">
        <v>2520</v>
      </c>
      <c r="N988" s="40">
        <v>45605.941347423999</v>
      </c>
      <c r="O988" s="40">
        <v>57635.762219286698</v>
      </c>
      <c r="P988" s="40">
        <v>0</v>
      </c>
      <c r="Q988" s="40">
        <v>14647.291941875799</v>
      </c>
      <c r="R988" s="40">
        <v>111597.679788639</v>
      </c>
      <c r="S988" s="40">
        <v>47185.052575957699</v>
      </c>
      <c r="T988" s="40">
        <v>30000</v>
      </c>
      <c r="U988" s="40">
        <v>751079.84147952404</v>
      </c>
      <c r="V988" s="40">
        <v>0</v>
      </c>
      <c r="W988" s="45">
        <v>1057751.5693527099</v>
      </c>
      <c r="X988" s="46">
        <v>5.0800308049609697</v>
      </c>
    </row>
    <row r="989" spans="1:24" s="4" customFormat="1" ht="15" customHeight="1">
      <c r="A989" s="28" t="s">
        <v>2682</v>
      </c>
      <c r="B989" s="29">
        <v>3278.81</v>
      </c>
      <c r="C989" s="30" t="s">
        <v>2855</v>
      </c>
      <c r="D989" s="2">
        <v>4950721190</v>
      </c>
      <c r="E989" s="2" t="s">
        <v>14</v>
      </c>
      <c r="F989" s="2" t="s">
        <v>2856</v>
      </c>
      <c r="G989" s="28" t="s">
        <v>5</v>
      </c>
      <c r="H989" s="2" t="s">
        <v>17</v>
      </c>
      <c r="I989" s="2">
        <v>1</v>
      </c>
      <c r="J989" s="2" t="s">
        <v>2857</v>
      </c>
      <c r="K989" s="2">
        <v>12700.8</v>
      </c>
      <c r="L989" s="35">
        <v>41643510.048</v>
      </c>
      <c r="M989" s="36">
        <v>5040</v>
      </c>
      <c r="N989" s="40">
        <v>91211.8826948481</v>
      </c>
      <c r="O989" s="40">
        <v>115271.524438573</v>
      </c>
      <c r="P989" s="40">
        <v>0</v>
      </c>
      <c r="Q989" s="40">
        <v>29294.583883751598</v>
      </c>
      <c r="R989" s="40">
        <v>223195.35957727901</v>
      </c>
      <c r="S989" s="40">
        <v>94370.105151915399</v>
      </c>
      <c r="T989" s="40">
        <v>30000</v>
      </c>
      <c r="U989" s="40">
        <v>1502159.6829590499</v>
      </c>
      <c r="V989" s="40">
        <v>0</v>
      </c>
      <c r="W989" s="45">
        <v>2085503.1387054201</v>
      </c>
      <c r="X989" s="46">
        <v>5.0079907680730598</v>
      </c>
    </row>
    <row r="990" spans="1:24" s="4" customFormat="1" ht="15" customHeight="1">
      <c r="A990" s="28" t="s">
        <v>2682</v>
      </c>
      <c r="B990" s="29">
        <v>3278.81</v>
      </c>
      <c r="C990" s="30" t="s">
        <v>2855</v>
      </c>
      <c r="D990" s="2">
        <v>4950443834</v>
      </c>
      <c r="E990" s="2" t="s">
        <v>14</v>
      </c>
      <c r="F990" s="2" t="s">
        <v>2856</v>
      </c>
      <c r="G990" s="28" t="s">
        <v>5</v>
      </c>
      <c r="H990" s="2" t="s">
        <v>17</v>
      </c>
      <c r="I990" s="2">
        <v>1</v>
      </c>
      <c r="J990" s="2" t="s">
        <v>2857</v>
      </c>
      <c r="K990" s="2">
        <v>4683</v>
      </c>
      <c r="L990" s="35">
        <v>15354667.23</v>
      </c>
      <c r="M990" s="36">
        <v>525</v>
      </c>
      <c r="N990" s="40">
        <v>9501.2377807133398</v>
      </c>
      <c r="O990" s="40">
        <v>12007.4504623514</v>
      </c>
      <c r="P990" s="40">
        <v>0</v>
      </c>
      <c r="Q990" s="40">
        <v>3051.5191545574598</v>
      </c>
      <c r="R990" s="40">
        <v>23249.433289299901</v>
      </c>
      <c r="S990" s="40">
        <v>9830.2192866578607</v>
      </c>
      <c r="T990" s="40">
        <v>30000</v>
      </c>
      <c r="U990" s="40">
        <v>156474.96697490101</v>
      </c>
      <c r="V990" s="40">
        <v>0</v>
      </c>
      <c r="W990" s="45">
        <v>244114.826948481</v>
      </c>
      <c r="X990" s="46">
        <v>1.5898412078350299</v>
      </c>
    </row>
    <row r="991" spans="1:24" s="4" customFormat="1" ht="15" customHeight="1">
      <c r="A991" s="28" t="s">
        <v>2682</v>
      </c>
      <c r="B991" s="29">
        <v>3278.81</v>
      </c>
      <c r="C991" s="30" t="s">
        <v>2855</v>
      </c>
      <c r="D991" s="2">
        <v>4951046907</v>
      </c>
      <c r="E991" s="2" t="s">
        <v>14</v>
      </c>
      <c r="F991" s="2" t="s">
        <v>2856</v>
      </c>
      <c r="G991" s="28" t="s">
        <v>5</v>
      </c>
      <c r="H991" s="2" t="s">
        <v>17</v>
      </c>
      <c r="I991" s="2">
        <v>1</v>
      </c>
      <c r="J991" s="2" t="s">
        <v>2857</v>
      </c>
      <c r="K991" s="2">
        <v>12355.2</v>
      </c>
      <c r="L991" s="35">
        <v>40510353.311999999</v>
      </c>
      <c r="M991" s="36">
        <v>6240</v>
      </c>
      <c r="N991" s="40">
        <v>112928.997622193</v>
      </c>
      <c r="O991" s="40">
        <v>142717.12549537601</v>
      </c>
      <c r="P991" s="40">
        <v>0</v>
      </c>
      <c r="Q991" s="40">
        <v>36269.484808454399</v>
      </c>
      <c r="R991" s="40">
        <v>276336.63566710701</v>
      </c>
      <c r="S991" s="40">
        <v>116839.177807133</v>
      </c>
      <c r="T991" s="40">
        <v>30000</v>
      </c>
      <c r="U991" s="40">
        <v>1859816.75033025</v>
      </c>
      <c r="V991" s="40">
        <v>0</v>
      </c>
      <c r="W991" s="45">
        <v>2574908.17173051</v>
      </c>
      <c r="X991" s="46">
        <v>6.35617307975384</v>
      </c>
    </row>
    <row r="992" spans="1:24" s="4" customFormat="1" ht="15" customHeight="1">
      <c r="A992" s="28" t="s">
        <v>2682</v>
      </c>
      <c r="B992" s="29">
        <v>3278.81</v>
      </c>
      <c r="C992" s="30" t="s">
        <v>2867</v>
      </c>
      <c r="D992" s="2">
        <v>4950898145</v>
      </c>
      <c r="E992" s="2" t="s">
        <v>14</v>
      </c>
      <c r="F992" s="2" t="s">
        <v>2868</v>
      </c>
      <c r="G992" s="28" t="s">
        <v>9</v>
      </c>
      <c r="H992" s="2" t="s">
        <v>23</v>
      </c>
      <c r="I992" s="2">
        <v>9</v>
      </c>
      <c r="J992" s="2"/>
      <c r="K992" s="2">
        <v>105084</v>
      </c>
      <c r="L992" s="35">
        <v>344550470.04000002</v>
      </c>
      <c r="M992" s="36">
        <v>5400</v>
      </c>
      <c r="N992" s="40">
        <v>938813</v>
      </c>
      <c r="O992" s="40">
        <v>3703</v>
      </c>
      <c r="P992" s="40">
        <v>0</v>
      </c>
      <c r="Q992" s="40">
        <v>88681</v>
      </c>
      <c r="R992" s="40">
        <v>183142</v>
      </c>
      <c r="S992" s="40">
        <v>354356</v>
      </c>
      <c r="T992" s="40">
        <v>30000</v>
      </c>
      <c r="U992" s="40">
        <v>2085500</v>
      </c>
      <c r="V992" s="40">
        <v>0</v>
      </c>
      <c r="W992" s="45">
        <v>3684195</v>
      </c>
      <c r="X992" s="46">
        <v>1.0692758595198799</v>
      </c>
    </row>
    <row r="993" spans="1:24" s="4" customFormat="1" ht="15" customHeight="1">
      <c r="A993" s="28" t="s">
        <v>2682</v>
      </c>
      <c r="B993" s="29">
        <v>3278.81</v>
      </c>
      <c r="C993" s="30" t="s">
        <v>2869</v>
      </c>
      <c r="D993" s="2">
        <v>4950661380</v>
      </c>
      <c r="E993" s="2" t="s">
        <v>14</v>
      </c>
      <c r="F993" s="78" t="s">
        <v>2870</v>
      </c>
      <c r="G993" s="28" t="s">
        <v>9</v>
      </c>
      <c r="H993" s="2" t="s">
        <v>23</v>
      </c>
      <c r="I993" s="2">
        <v>1</v>
      </c>
      <c r="J993" s="2"/>
      <c r="K993" s="2">
        <v>1327.5</v>
      </c>
      <c r="L993" s="35">
        <v>4352620.2750000004</v>
      </c>
      <c r="M993" s="36">
        <v>450</v>
      </c>
      <c r="N993" s="40">
        <v>705059</v>
      </c>
      <c r="O993" s="40">
        <v>326</v>
      </c>
      <c r="P993" s="40">
        <v>0</v>
      </c>
      <c r="Q993" s="40">
        <v>9547</v>
      </c>
      <c r="R993" s="40">
        <v>96366</v>
      </c>
      <c r="S993" s="40">
        <v>354356</v>
      </c>
      <c r="T993" s="40">
        <v>30000</v>
      </c>
      <c r="U993" s="40">
        <v>592656.338028169</v>
      </c>
      <c r="V993" s="40">
        <v>0</v>
      </c>
      <c r="W993" s="45">
        <v>1788310.3380281699</v>
      </c>
      <c r="X993" s="46">
        <v>41.085833935471598</v>
      </c>
    </row>
    <row r="994" spans="1:24" s="4" customFormat="1" ht="15" customHeight="1">
      <c r="A994" s="28" t="s">
        <v>2682</v>
      </c>
      <c r="B994" s="29">
        <v>3278.81</v>
      </c>
      <c r="C994" s="30" t="s">
        <v>2878</v>
      </c>
      <c r="D994" s="2">
        <v>4948828017</v>
      </c>
      <c r="E994" s="2" t="s">
        <v>14</v>
      </c>
      <c r="F994" s="2" t="s">
        <v>2879</v>
      </c>
      <c r="G994" s="28" t="s">
        <v>13</v>
      </c>
      <c r="H994" s="2" t="s">
        <v>23</v>
      </c>
      <c r="I994" s="2">
        <v>1</v>
      </c>
      <c r="J994" s="2"/>
      <c r="K994" s="2">
        <v>7830.16</v>
      </c>
      <c r="L994" s="35">
        <v>25673606.909600001</v>
      </c>
      <c r="M994" s="36">
        <v>450</v>
      </c>
      <c r="N994" s="40">
        <v>1032539</v>
      </c>
      <c r="O994" s="40">
        <v>0</v>
      </c>
      <c r="P994" s="40">
        <v>0</v>
      </c>
      <c r="Q994" s="40">
        <v>0</v>
      </c>
      <c r="R994" s="40">
        <v>17846</v>
      </c>
      <c r="S994" s="40">
        <v>354356</v>
      </c>
      <c r="T994" s="40">
        <v>30000</v>
      </c>
      <c r="U994" s="40">
        <v>246380</v>
      </c>
      <c r="V994" s="40">
        <v>0</v>
      </c>
      <c r="W994" s="45">
        <v>1681121</v>
      </c>
      <c r="X994" s="46">
        <v>6.5480514908537701</v>
      </c>
    </row>
    <row r="995" spans="1:24" s="4" customFormat="1" ht="15" customHeight="1">
      <c r="A995" s="28" t="s">
        <v>2682</v>
      </c>
      <c r="B995" s="29">
        <v>3278.81</v>
      </c>
      <c r="C995" s="30" t="s">
        <v>2880</v>
      </c>
      <c r="D995" s="2">
        <v>4950058261</v>
      </c>
      <c r="E995" s="2" t="s">
        <v>14</v>
      </c>
      <c r="F995" s="2" t="s">
        <v>2881</v>
      </c>
      <c r="G995" s="28" t="s">
        <v>5</v>
      </c>
      <c r="H995" s="2" t="s">
        <v>17</v>
      </c>
      <c r="I995" s="2">
        <v>1</v>
      </c>
      <c r="J995" s="2" t="s">
        <v>2882</v>
      </c>
      <c r="K995" s="2">
        <v>8430</v>
      </c>
      <c r="L995" s="35">
        <v>27640368.300000001</v>
      </c>
      <c r="M995" s="36">
        <v>600</v>
      </c>
      <c r="N995" s="40">
        <v>10606.3896774194</v>
      </c>
      <c r="O995" s="40">
        <v>13404.0774193548</v>
      </c>
      <c r="P995" s="40">
        <v>26604.3251612903</v>
      </c>
      <c r="Q995" s="40">
        <v>3406.4516129032299</v>
      </c>
      <c r="R995" s="40">
        <v>62146.370322580602</v>
      </c>
      <c r="S995" s="40">
        <v>10973.605161290299</v>
      </c>
      <c r="T995" s="40">
        <v>30000</v>
      </c>
      <c r="U995" s="40">
        <v>194350.45161290301</v>
      </c>
      <c r="V995" s="40">
        <v>0</v>
      </c>
      <c r="W995" s="45">
        <v>351491.67096774199</v>
      </c>
      <c r="X995" s="46">
        <v>1.27166059132339</v>
      </c>
    </row>
    <row r="996" spans="1:24" s="4" customFormat="1" ht="15" customHeight="1">
      <c r="A996" s="28" t="s">
        <v>2682</v>
      </c>
      <c r="B996" s="29">
        <v>3278.81</v>
      </c>
      <c r="C996" s="30" t="s">
        <v>2880</v>
      </c>
      <c r="D996" s="2">
        <v>4950585745</v>
      </c>
      <c r="E996" s="2" t="s">
        <v>14</v>
      </c>
      <c r="F996" s="2" t="s">
        <v>2881</v>
      </c>
      <c r="G996" s="28" t="s">
        <v>5</v>
      </c>
      <c r="H996" s="2" t="s">
        <v>17</v>
      </c>
      <c r="I996" s="2">
        <v>1</v>
      </c>
      <c r="J996" s="2" t="s">
        <v>2882</v>
      </c>
      <c r="K996" s="2">
        <v>3310</v>
      </c>
      <c r="L996" s="35">
        <v>10852861.1</v>
      </c>
      <c r="M996" s="36">
        <v>100</v>
      </c>
      <c r="N996" s="40">
        <v>1767.7316129032299</v>
      </c>
      <c r="O996" s="40">
        <v>2234.0129032258101</v>
      </c>
      <c r="P996" s="40">
        <v>4434.0541935483898</v>
      </c>
      <c r="Q996" s="40">
        <v>567.74193548387098</v>
      </c>
      <c r="R996" s="40">
        <v>10357.2283870968</v>
      </c>
      <c r="S996" s="40">
        <v>1828.9341935483901</v>
      </c>
      <c r="T996" s="40">
        <v>30000</v>
      </c>
      <c r="U996" s="40">
        <v>32391.7419354839</v>
      </c>
      <c r="V996" s="40">
        <v>0</v>
      </c>
      <c r="W996" s="45">
        <v>83581.445161290394</v>
      </c>
      <c r="X996" s="46">
        <v>0.77013281927371602</v>
      </c>
    </row>
    <row r="997" spans="1:24" s="4" customFormat="1" ht="15" customHeight="1">
      <c r="A997" s="28" t="s">
        <v>2682</v>
      </c>
      <c r="B997" s="29">
        <v>3278.81</v>
      </c>
      <c r="C997" s="30" t="s">
        <v>2880</v>
      </c>
      <c r="D997" s="2">
        <v>4950443837</v>
      </c>
      <c r="E997" s="2" t="s">
        <v>14</v>
      </c>
      <c r="F997" s="2" t="s">
        <v>2881</v>
      </c>
      <c r="G997" s="28" t="s">
        <v>5</v>
      </c>
      <c r="H997" s="2" t="s">
        <v>17</v>
      </c>
      <c r="I997" s="2">
        <v>1</v>
      </c>
      <c r="J997" s="2" t="s">
        <v>2882</v>
      </c>
      <c r="K997" s="2">
        <v>14336</v>
      </c>
      <c r="L997" s="35">
        <v>47005020.159999996</v>
      </c>
      <c r="M997" s="36">
        <v>1400</v>
      </c>
      <c r="N997" s="40">
        <v>24748.242580645201</v>
      </c>
      <c r="O997" s="40">
        <v>31276.180645161301</v>
      </c>
      <c r="P997" s="40">
        <v>62076.7587096774</v>
      </c>
      <c r="Q997" s="40">
        <v>7948.3870967741896</v>
      </c>
      <c r="R997" s="40">
        <v>145008.19741935501</v>
      </c>
      <c r="S997" s="40">
        <v>25605.0787096774</v>
      </c>
      <c r="T997" s="40">
        <v>30000</v>
      </c>
      <c r="U997" s="40">
        <v>453484.38709677401</v>
      </c>
      <c r="V997" s="40">
        <v>0</v>
      </c>
      <c r="W997" s="45">
        <v>780147.23225806397</v>
      </c>
      <c r="X997" s="46">
        <v>1.6597104513571701</v>
      </c>
    </row>
    <row r="998" spans="1:24" s="4" customFormat="1" ht="15" customHeight="1">
      <c r="A998" s="28" t="s">
        <v>2682</v>
      </c>
      <c r="B998" s="29">
        <v>3278.81</v>
      </c>
      <c r="C998" s="30" t="s">
        <v>2880</v>
      </c>
      <c r="D998" s="2">
        <v>4950365723</v>
      </c>
      <c r="E998" s="2" t="s">
        <v>14</v>
      </c>
      <c r="F998" s="2" t="s">
        <v>2881</v>
      </c>
      <c r="G998" s="28" t="s">
        <v>5</v>
      </c>
      <c r="H998" s="2" t="s">
        <v>17</v>
      </c>
      <c r="I998" s="2">
        <v>1</v>
      </c>
      <c r="J998" s="2" t="s">
        <v>2882</v>
      </c>
      <c r="K998" s="2">
        <v>12533.75</v>
      </c>
      <c r="L998" s="35">
        <v>41095784.837499999</v>
      </c>
      <c r="M998" s="36">
        <v>4625</v>
      </c>
      <c r="N998" s="40">
        <v>81757.587096774194</v>
      </c>
      <c r="O998" s="40">
        <v>103323.096774194</v>
      </c>
      <c r="P998" s="40">
        <v>205075.00645161301</v>
      </c>
      <c r="Q998" s="40">
        <v>26258.064516129001</v>
      </c>
      <c r="R998" s="40">
        <v>479043.812903226</v>
      </c>
      <c r="S998" s="40">
        <v>84588.206451612903</v>
      </c>
      <c r="T998" s="40">
        <v>30000</v>
      </c>
      <c r="U998" s="40">
        <v>1498118.0645161299</v>
      </c>
      <c r="V998" s="40">
        <v>0</v>
      </c>
      <c r="W998" s="45">
        <v>2508163.8387096799</v>
      </c>
      <c r="X998" s="46">
        <v>6.1032143530715004</v>
      </c>
    </row>
    <row r="999" spans="1:24" s="4" customFormat="1" ht="15" customHeight="1">
      <c r="A999" s="28" t="s">
        <v>2682</v>
      </c>
      <c r="B999" s="29">
        <v>3278.81</v>
      </c>
      <c r="C999" s="30" t="s">
        <v>2880</v>
      </c>
      <c r="D999" s="2">
        <v>4950443837</v>
      </c>
      <c r="E999" s="2" t="s">
        <v>14</v>
      </c>
      <c r="F999" s="2" t="s">
        <v>2881</v>
      </c>
      <c r="G999" s="28" t="s">
        <v>5</v>
      </c>
      <c r="H999" s="2" t="s">
        <v>17</v>
      </c>
      <c r="I999" s="2">
        <v>1</v>
      </c>
      <c r="J999" s="2" t="s">
        <v>2882</v>
      </c>
      <c r="K999" s="2">
        <v>1989</v>
      </c>
      <c r="L999" s="35">
        <v>6521553.0899999999</v>
      </c>
      <c r="M999" s="36">
        <v>450</v>
      </c>
      <c r="N999" s="40">
        <v>7954.79225806452</v>
      </c>
      <c r="O999" s="40">
        <v>10053.058064516101</v>
      </c>
      <c r="P999" s="40">
        <v>19953.243870967701</v>
      </c>
      <c r="Q999" s="40">
        <v>2554.83870967742</v>
      </c>
      <c r="R999" s="40">
        <v>46609.527741935497</v>
      </c>
      <c r="S999" s="40">
        <v>8230.2038709677399</v>
      </c>
      <c r="T999" s="40">
        <v>30000</v>
      </c>
      <c r="U999" s="40">
        <v>145762.83870967699</v>
      </c>
      <c r="V999" s="40">
        <v>0</v>
      </c>
      <c r="W999" s="45">
        <v>271118.50322580599</v>
      </c>
      <c r="X999" s="46">
        <v>4.15726897388189</v>
      </c>
    </row>
    <row r="1000" spans="1:24" s="4" customFormat="1" ht="15" customHeight="1">
      <c r="A1000" s="28" t="s">
        <v>2682</v>
      </c>
      <c r="B1000" s="29">
        <v>3278.81</v>
      </c>
      <c r="C1000" s="30" t="s">
        <v>2880</v>
      </c>
      <c r="D1000" s="2">
        <v>4950757106</v>
      </c>
      <c r="E1000" s="2" t="s">
        <v>14</v>
      </c>
      <c r="F1000" s="2" t="s">
        <v>2881</v>
      </c>
      <c r="G1000" s="28" t="s">
        <v>5</v>
      </c>
      <c r="H1000" s="2" t="s">
        <v>17</v>
      </c>
      <c r="I1000" s="2">
        <v>1</v>
      </c>
      <c r="J1000" s="2" t="s">
        <v>2882</v>
      </c>
      <c r="K1000" s="2">
        <v>9765</v>
      </c>
      <c r="L1000" s="35">
        <v>32017579.649999999</v>
      </c>
      <c r="M1000" s="36">
        <v>4500</v>
      </c>
      <c r="N1000" s="40">
        <v>79547.922580645201</v>
      </c>
      <c r="O1000" s="40">
        <v>100530.580645161</v>
      </c>
      <c r="P1000" s="40">
        <v>199532.43870967699</v>
      </c>
      <c r="Q1000" s="40">
        <v>25548.3870967742</v>
      </c>
      <c r="R1000" s="40">
        <v>466096.277419355</v>
      </c>
      <c r="S1000" s="40">
        <v>82302.038709677407</v>
      </c>
      <c r="T1000" s="40">
        <v>30000</v>
      </c>
      <c r="U1000" s="40">
        <v>1457628.3870967701</v>
      </c>
      <c r="V1000" s="40">
        <v>0</v>
      </c>
      <c r="W1000" s="45">
        <v>2441186.0322580598</v>
      </c>
      <c r="X1000" s="46">
        <v>7.6245177147800396</v>
      </c>
    </row>
    <row r="1001" spans="1:24" s="4" customFormat="1" ht="15" customHeight="1">
      <c r="A1001" s="28" t="s">
        <v>2682</v>
      </c>
      <c r="B1001" s="29">
        <v>3278.81</v>
      </c>
      <c r="C1001" s="30" t="s">
        <v>2880</v>
      </c>
      <c r="D1001" s="2">
        <v>4950645758</v>
      </c>
      <c r="E1001" s="2" t="s">
        <v>14</v>
      </c>
      <c r="F1001" s="2" t="s">
        <v>2881</v>
      </c>
      <c r="G1001" s="28" t="s">
        <v>5</v>
      </c>
      <c r="H1001" s="2" t="s">
        <v>17</v>
      </c>
      <c r="I1001" s="2">
        <v>1</v>
      </c>
      <c r="J1001" s="2" t="s">
        <v>2882</v>
      </c>
      <c r="K1001" s="2">
        <v>1360.4</v>
      </c>
      <c r="L1001" s="35">
        <v>4460493.1239999998</v>
      </c>
      <c r="M1001" s="36">
        <v>190</v>
      </c>
      <c r="N1001" s="40">
        <v>3358.69006451613</v>
      </c>
      <c r="O1001" s="40">
        <v>4244.6245161290299</v>
      </c>
      <c r="P1001" s="40">
        <v>8424.7029677419396</v>
      </c>
      <c r="Q1001" s="40">
        <v>1078.7096774193501</v>
      </c>
      <c r="R1001" s="40">
        <v>19679.533935483902</v>
      </c>
      <c r="S1001" s="40">
        <v>3474.97496774194</v>
      </c>
      <c r="T1001" s="40">
        <v>30000</v>
      </c>
      <c r="U1001" s="40">
        <v>61544.309677419398</v>
      </c>
      <c r="V1001" s="40">
        <v>0</v>
      </c>
      <c r="W1001" s="45">
        <v>131805.54580645199</v>
      </c>
      <c r="X1001" s="46">
        <v>2.9549545788393301</v>
      </c>
    </row>
    <row r="1002" spans="1:24" s="4" customFormat="1" ht="15" customHeight="1">
      <c r="A1002" s="28" t="s">
        <v>2682</v>
      </c>
      <c r="B1002" s="29">
        <v>3278.81</v>
      </c>
      <c r="C1002" s="30" t="s">
        <v>2880</v>
      </c>
      <c r="D1002" s="2">
        <v>4950721199</v>
      </c>
      <c r="E1002" s="2" t="s">
        <v>14</v>
      </c>
      <c r="F1002" s="2" t="s">
        <v>2881</v>
      </c>
      <c r="G1002" s="28" t="s">
        <v>5</v>
      </c>
      <c r="H1002" s="2" t="s">
        <v>17</v>
      </c>
      <c r="I1002" s="2">
        <v>1</v>
      </c>
      <c r="J1002" s="2" t="s">
        <v>2882</v>
      </c>
      <c r="K1002" s="2">
        <v>2492.6999999999998</v>
      </c>
      <c r="L1002" s="35">
        <v>8173089.6869999999</v>
      </c>
      <c r="M1002" s="36">
        <v>700</v>
      </c>
      <c r="N1002" s="40">
        <v>12374.121290322601</v>
      </c>
      <c r="O1002" s="40">
        <v>15638.0903225806</v>
      </c>
      <c r="P1002" s="40">
        <v>31038.3793548387</v>
      </c>
      <c r="Q1002" s="40">
        <v>3974.1935483870998</v>
      </c>
      <c r="R1002" s="40">
        <v>72503.598709677404</v>
      </c>
      <c r="S1002" s="40">
        <v>12802.5393548387</v>
      </c>
      <c r="T1002" s="40">
        <v>30000</v>
      </c>
      <c r="U1002" s="40">
        <v>226742.193548387</v>
      </c>
      <c r="V1002" s="40">
        <v>0</v>
      </c>
      <c r="W1002" s="45">
        <v>405073.11612903199</v>
      </c>
      <c r="X1002" s="46">
        <v>4.9561809749051902</v>
      </c>
    </row>
    <row r="1003" spans="1:24" s="4" customFormat="1" ht="15" customHeight="1">
      <c r="A1003" s="28" t="s">
        <v>2682</v>
      </c>
      <c r="B1003" s="29">
        <v>3278.81</v>
      </c>
      <c r="C1003" s="30" t="s">
        <v>2880</v>
      </c>
      <c r="D1003" s="2">
        <v>4950661372</v>
      </c>
      <c r="E1003" s="2" t="s">
        <v>14</v>
      </c>
      <c r="F1003" s="2" t="s">
        <v>2881</v>
      </c>
      <c r="G1003" s="28" t="s">
        <v>5</v>
      </c>
      <c r="H1003" s="2" t="s">
        <v>17</v>
      </c>
      <c r="I1003" s="2">
        <v>1</v>
      </c>
      <c r="J1003" s="2" t="s">
        <v>2882</v>
      </c>
      <c r="K1003" s="2">
        <v>2655</v>
      </c>
      <c r="L1003" s="35">
        <v>8705240.5500000007</v>
      </c>
      <c r="M1003" s="36">
        <v>900</v>
      </c>
      <c r="N1003" s="40">
        <v>15909.584516129</v>
      </c>
      <c r="O1003" s="40">
        <v>20106.1161290323</v>
      </c>
      <c r="P1003" s="40">
        <v>39906.487741935503</v>
      </c>
      <c r="Q1003" s="40">
        <v>5109.6774193548399</v>
      </c>
      <c r="R1003" s="40">
        <v>93219.055483870994</v>
      </c>
      <c r="S1003" s="40">
        <v>16460.407741935502</v>
      </c>
      <c r="T1003" s="40">
        <v>30000</v>
      </c>
      <c r="U1003" s="40">
        <v>291525.67741935502</v>
      </c>
      <c r="V1003" s="40">
        <v>0</v>
      </c>
      <c r="W1003" s="45">
        <v>512237.00645161298</v>
      </c>
      <c r="X1003" s="46">
        <v>5.88423724203248</v>
      </c>
    </row>
    <row r="1004" spans="1:24" s="4" customFormat="1" ht="15" customHeight="1">
      <c r="A1004" s="28" t="s">
        <v>2682</v>
      </c>
      <c r="B1004" s="29">
        <v>3278.81</v>
      </c>
      <c r="C1004" s="30" t="s">
        <v>2880</v>
      </c>
      <c r="D1004" s="2">
        <v>4950726652</v>
      </c>
      <c r="E1004" s="2" t="s">
        <v>14</v>
      </c>
      <c r="F1004" s="2" t="s">
        <v>2881</v>
      </c>
      <c r="G1004" s="28" t="s">
        <v>5</v>
      </c>
      <c r="H1004" s="2" t="s">
        <v>17</v>
      </c>
      <c r="I1004" s="2">
        <v>1</v>
      </c>
      <c r="J1004" s="2" t="s">
        <v>2882</v>
      </c>
      <c r="K1004" s="2">
        <v>2047.58</v>
      </c>
      <c r="L1004" s="35">
        <v>6713625.7797999997</v>
      </c>
      <c r="M1004" s="36">
        <v>700</v>
      </c>
      <c r="N1004" s="40">
        <v>12374.121290322601</v>
      </c>
      <c r="O1004" s="40">
        <v>15638.0903225806</v>
      </c>
      <c r="P1004" s="40">
        <v>31038.3793548387</v>
      </c>
      <c r="Q1004" s="40">
        <v>3974.1935483870998</v>
      </c>
      <c r="R1004" s="40">
        <v>72503.598709677404</v>
      </c>
      <c r="S1004" s="40">
        <v>12802.5393548387</v>
      </c>
      <c r="T1004" s="40">
        <v>30000</v>
      </c>
      <c r="U1004" s="40">
        <v>226742.193548387</v>
      </c>
      <c r="V1004" s="40">
        <v>0</v>
      </c>
      <c r="W1004" s="45">
        <v>405073.11612903199</v>
      </c>
      <c r="X1004" s="46">
        <v>6.0335968881050599</v>
      </c>
    </row>
    <row r="1005" spans="1:24" s="4" customFormat="1" ht="15" customHeight="1">
      <c r="A1005" s="28" t="s">
        <v>2682</v>
      </c>
      <c r="B1005" s="29">
        <v>3278.81</v>
      </c>
      <c r="C1005" s="30" t="s">
        <v>2880</v>
      </c>
      <c r="D1005" s="2">
        <v>4951019304</v>
      </c>
      <c r="E1005" s="2" t="s">
        <v>14</v>
      </c>
      <c r="F1005" s="2" t="s">
        <v>2881</v>
      </c>
      <c r="G1005" s="28" t="s">
        <v>5</v>
      </c>
      <c r="H1005" s="2" t="s">
        <v>17</v>
      </c>
      <c r="I1005" s="2">
        <v>1</v>
      </c>
      <c r="J1005" s="2" t="s">
        <v>2882</v>
      </c>
      <c r="K1005" s="2">
        <v>2928</v>
      </c>
      <c r="L1005" s="35">
        <v>9600355.6799999997</v>
      </c>
      <c r="M1005" s="36">
        <v>600</v>
      </c>
      <c r="N1005" s="40">
        <v>10606.3896774194</v>
      </c>
      <c r="O1005" s="40">
        <v>13404.0774193548</v>
      </c>
      <c r="P1005" s="40">
        <v>26604.3251612903</v>
      </c>
      <c r="Q1005" s="40">
        <v>3406.4516129032299</v>
      </c>
      <c r="R1005" s="40">
        <v>62146.370322580602</v>
      </c>
      <c r="S1005" s="40">
        <v>10973.605161290299</v>
      </c>
      <c r="T1005" s="40">
        <v>30000</v>
      </c>
      <c r="U1005" s="40">
        <v>194350.45161290301</v>
      </c>
      <c r="V1005" s="40">
        <v>0</v>
      </c>
      <c r="W1005" s="45">
        <v>351491.67096774199</v>
      </c>
      <c r="X1005" s="46">
        <v>3.6612359237896701</v>
      </c>
    </row>
    <row r="1006" spans="1:24" s="4" customFormat="1" ht="15" customHeight="1">
      <c r="A1006" s="28" t="s">
        <v>2682</v>
      </c>
      <c r="B1006" s="29">
        <v>3278.81</v>
      </c>
      <c r="C1006" s="30" t="s">
        <v>2880</v>
      </c>
      <c r="D1006" s="2">
        <v>4951019304</v>
      </c>
      <c r="E1006" s="2" t="s">
        <v>14</v>
      </c>
      <c r="F1006" s="2" t="s">
        <v>2881</v>
      </c>
      <c r="G1006" s="28" t="s">
        <v>5</v>
      </c>
      <c r="H1006" s="2" t="s">
        <v>17</v>
      </c>
      <c r="I1006" s="2">
        <v>1</v>
      </c>
      <c r="J1006" s="2" t="s">
        <v>2882</v>
      </c>
      <c r="K1006" s="2">
        <v>3502.8</v>
      </c>
      <c r="L1006" s="35">
        <v>11485015.668</v>
      </c>
      <c r="M1006" s="36">
        <v>840</v>
      </c>
      <c r="N1006" s="40">
        <v>14848.945548387101</v>
      </c>
      <c r="O1006" s="40">
        <v>18765.708387096802</v>
      </c>
      <c r="P1006" s="40">
        <v>37246.0552258065</v>
      </c>
      <c r="Q1006" s="40">
        <v>4769.0322580645197</v>
      </c>
      <c r="R1006" s="40">
        <v>87004.518451612894</v>
      </c>
      <c r="S1006" s="40">
        <v>15363.0472258065</v>
      </c>
      <c r="T1006" s="40">
        <v>30000</v>
      </c>
      <c r="U1006" s="40">
        <v>272090.63225806499</v>
      </c>
      <c r="V1006" s="40">
        <v>0</v>
      </c>
      <c r="W1006" s="45">
        <v>480087.93935483898</v>
      </c>
      <c r="X1006" s="46">
        <v>4.1801243745141701</v>
      </c>
    </row>
    <row r="1007" spans="1:24" s="4" customFormat="1" ht="15" customHeight="1">
      <c r="A1007" s="28" t="s">
        <v>2682</v>
      </c>
      <c r="B1007" s="29">
        <v>3278.81</v>
      </c>
      <c r="C1007" s="30" t="s">
        <v>2880</v>
      </c>
      <c r="D1007" s="2">
        <v>4951019304</v>
      </c>
      <c r="E1007" s="2" t="s">
        <v>14</v>
      </c>
      <c r="F1007" s="2" t="s">
        <v>2881</v>
      </c>
      <c r="G1007" s="28" t="s">
        <v>5</v>
      </c>
      <c r="H1007" s="2" t="s">
        <v>17</v>
      </c>
      <c r="I1007" s="2">
        <v>1</v>
      </c>
      <c r="J1007" s="2" t="s">
        <v>2882</v>
      </c>
      <c r="K1007" s="2">
        <v>13169.2</v>
      </c>
      <c r="L1007" s="35">
        <v>43179304.652000003</v>
      </c>
      <c r="M1007" s="36">
        <v>1640</v>
      </c>
      <c r="N1007" s="40">
        <v>28990.7984516129</v>
      </c>
      <c r="O1007" s="40">
        <v>36637.811612903199</v>
      </c>
      <c r="P1007" s="40">
        <v>72718.488774193596</v>
      </c>
      <c r="Q1007" s="40">
        <v>9310.9677419354794</v>
      </c>
      <c r="R1007" s="40">
        <v>169866.34554838701</v>
      </c>
      <c r="S1007" s="40">
        <v>29994.520774193501</v>
      </c>
      <c r="T1007" s="40">
        <v>30000</v>
      </c>
      <c r="U1007" s="40">
        <v>531224.56774193502</v>
      </c>
      <c r="V1007" s="40">
        <v>0</v>
      </c>
      <c r="W1007" s="45">
        <v>908743.50064516102</v>
      </c>
      <c r="X1007" s="46">
        <v>2.1045811366558702</v>
      </c>
    </row>
    <row r="1008" spans="1:24" s="4" customFormat="1" ht="15" customHeight="1">
      <c r="A1008" s="28" t="s">
        <v>2682</v>
      </c>
      <c r="B1008" s="29">
        <v>3278.81</v>
      </c>
      <c r="C1008" s="30" t="s">
        <v>2880</v>
      </c>
      <c r="D1008" s="2">
        <v>4950365727</v>
      </c>
      <c r="E1008" s="2" t="s">
        <v>14</v>
      </c>
      <c r="F1008" s="2" t="s">
        <v>2881</v>
      </c>
      <c r="G1008" s="28" t="s">
        <v>5</v>
      </c>
      <c r="H1008" s="2" t="s">
        <v>17</v>
      </c>
      <c r="I1008" s="2">
        <v>1</v>
      </c>
      <c r="J1008" s="2" t="s">
        <v>2882</v>
      </c>
      <c r="K1008" s="2">
        <v>1989</v>
      </c>
      <c r="L1008" s="35">
        <v>6521553.0899999999</v>
      </c>
      <c r="M1008" s="36">
        <v>450</v>
      </c>
      <c r="N1008" s="40">
        <v>7954.79225806452</v>
      </c>
      <c r="O1008" s="40">
        <v>10053.058064516101</v>
      </c>
      <c r="P1008" s="40">
        <v>19953.243870967701</v>
      </c>
      <c r="Q1008" s="40">
        <v>2554.83870967742</v>
      </c>
      <c r="R1008" s="40">
        <v>46609.527741935497</v>
      </c>
      <c r="S1008" s="40">
        <v>8230.2038709677399</v>
      </c>
      <c r="T1008" s="40">
        <v>30000</v>
      </c>
      <c r="U1008" s="40">
        <v>145762.83870967699</v>
      </c>
      <c r="V1008" s="40">
        <v>0</v>
      </c>
      <c r="W1008" s="45">
        <v>271118.50322580599</v>
      </c>
      <c r="X1008" s="46">
        <v>4.15726897388189</v>
      </c>
    </row>
    <row r="1009" spans="1:24" s="4" customFormat="1" ht="15" customHeight="1">
      <c r="A1009" s="28" t="s">
        <v>2682</v>
      </c>
      <c r="B1009" s="29">
        <v>3278.81</v>
      </c>
      <c r="C1009" s="30" t="s">
        <v>2880</v>
      </c>
      <c r="D1009" s="2">
        <v>4950721191</v>
      </c>
      <c r="E1009" s="2" t="s">
        <v>14</v>
      </c>
      <c r="F1009" s="2" t="s">
        <v>2881</v>
      </c>
      <c r="G1009" s="28" t="s">
        <v>5</v>
      </c>
      <c r="H1009" s="2" t="s">
        <v>17</v>
      </c>
      <c r="I1009" s="2">
        <v>1</v>
      </c>
      <c r="J1009" s="2" t="s">
        <v>2882</v>
      </c>
      <c r="K1009" s="2">
        <v>4468.8</v>
      </c>
      <c r="L1009" s="35">
        <v>14652346.128</v>
      </c>
      <c r="M1009" s="36">
        <v>1680</v>
      </c>
      <c r="N1009" s="40">
        <v>29697.891096774201</v>
      </c>
      <c r="O1009" s="40">
        <v>37531.416774193603</v>
      </c>
      <c r="P1009" s="40">
        <v>74492.110451612898</v>
      </c>
      <c r="Q1009" s="40">
        <v>9538.0645161290304</v>
      </c>
      <c r="R1009" s="40">
        <v>174009.03690322599</v>
      </c>
      <c r="S1009" s="40">
        <v>30726.094451612898</v>
      </c>
      <c r="T1009" s="40">
        <v>30000</v>
      </c>
      <c r="U1009" s="40">
        <v>544181.26451612904</v>
      </c>
      <c r="V1009" s="40">
        <v>0</v>
      </c>
      <c r="W1009" s="45">
        <v>930175.87870967796</v>
      </c>
      <c r="X1009" s="46">
        <v>6.3483067529516797</v>
      </c>
    </row>
    <row r="1010" spans="1:24" s="4" customFormat="1" ht="15" customHeight="1">
      <c r="A1010" s="28" t="s">
        <v>2682</v>
      </c>
      <c r="B1010" s="29">
        <v>3278.81</v>
      </c>
      <c r="C1010" s="30" t="s">
        <v>2885</v>
      </c>
      <c r="D1010" s="2">
        <v>4950898138</v>
      </c>
      <c r="E1010" s="2" t="s">
        <v>14</v>
      </c>
      <c r="F1010" s="2" t="s">
        <v>2886</v>
      </c>
      <c r="G1010" s="28" t="s">
        <v>5</v>
      </c>
      <c r="H1010" s="2" t="s">
        <v>17</v>
      </c>
      <c r="I1010" s="2">
        <v>3</v>
      </c>
      <c r="J1010" s="2" t="s">
        <v>2887</v>
      </c>
      <c r="K1010" s="2">
        <v>189000</v>
      </c>
      <c r="L1010" s="35">
        <v>619695090</v>
      </c>
      <c r="M1010" s="36">
        <v>50000</v>
      </c>
      <c r="N1010" s="40">
        <v>342497</v>
      </c>
      <c r="O1010" s="40">
        <v>432840</v>
      </c>
      <c r="P1010" s="40">
        <v>0</v>
      </c>
      <c r="Q1010" s="40">
        <v>110000</v>
      </c>
      <c r="R1010" s="40">
        <v>679023</v>
      </c>
      <c r="S1010" s="40">
        <v>127568.16</v>
      </c>
      <c r="T1010" s="40">
        <v>30000</v>
      </c>
      <c r="U1010" s="40">
        <v>5446550</v>
      </c>
      <c r="V1010" s="40">
        <v>0</v>
      </c>
      <c r="W1010" s="45">
        <v>7168478.1600000001</v>
      </c>
      <c r="X1010" s="46">
        <v>1.15677504561154</v>
      </c>
    </row>
    <row r="1011" spans="1:24" s="4" customFormat="1" ht="15" customHeight="1">
      <c r="A1011" s="28" t="s">
        <v>2682</v>
      </c>
      <c r="B1011" s="29">
        <v>3278.81</v>
      </c>
      <c r="C1011" s="30" t="s">
        <v>2891</v>
      </c>
      <c r="D1011" s="2">
        <v>4950947039</v>
      </c>
      <c r="E1011" s="2" t="s">
        <v>14</v>
      </c>
      <c r="F1011" s="2" t="s">
        <v>2892</v>
      </c>
      <c r="G1011" s="28" t="s">
        <v>9</v>
      </c>
      <c r="H1011" s="2" t="s">
        <v>23</v>
      </c>
      <c r="I1011" s="2">
        <v>4</v>
      </c>
      <c r="J1011" s="2"/>
      <c r="K1011" s="2">
        <v>6432</v>
      </c>
      <c r="L1011" s="35">
        <v>21089305.920000002</v>
      </c>
      <c r="M1011" s="36">
        <v>3200</v>
      </c>
      <c r="N1011" s="40">
        <v>894162</v>
      </c>
      <c r="O1011" s="40">
        <v>2117</v>
      </c>
      <c r="P1011" s="40">
        <v>0</v>
      </c>
      <c r="Q1011" s="40">
        <v>64575</v>
      </c>
      <c r="R1011" s="40">
        <v>157169</v>
      </c>
      <c r="S1011" s="40">
        <v>354356</v>
      </c>
      <c r="T1011" s="40">
        <v>30000</v>
      </c>
      <c r="U1011" s="40">
        <v>1813478.2608695701</v>
      </c>
      <c r="V1011" s="40">
        <v>0</v>
      </c>
      <c r="W1011" s="45">
        <v>3315857.2608695701</v>
      </c>
      <c r="X1011" s="46">
        <v>15.722932150768299</v>
      </c>
    </row>
    <row r="1012" spans="1:24" s="4" customFormat="1" ht="15" customHeight="1">
      <c r="A1012" s="28" t="s">
        <v>2682</v>
      </c>
      <c r="B1012" s="29">
        <v>3278.81</v>
      </c>
      <c r="C1012" s="30" t="s">
        <v>2895</v>
      </c>
      <c r="D1012" s="2">
        <v>4950726655</v>
      </c>
      <c r="E1012" s="2" t="s">
        <v>14</v>
      </c>
      <c r="F1012" s="2" t="s">
        <v>2896</v>
      </c>
      <c r="G1012" s="28" t="s">
        <v>9</v>
      </c>
      <c r="H1012" s="2" t="s">
        <v>23</v>
      </c>
      <c r="I1012" s="2">
        <v>19</v>
      </c>
      <c r="J1012" s="2"/>
      <c r="K1012" s="2">
        <v>2451</v>
      </c>
      <c r="L1012" s="35">
        <v>8036363.3099999996</v>
      </c>
      <c r="M1012" s="36">
        <v>950</v>
      </c>
      <c r="N1012" s="40">
        <v>247123.44874100701</v>
      </c>
      <c r="O1012" s="40">
        <v>319.25809352518002</v>
      </c>
      <c r="P1012" s="40">
        <v>0</v>
      </c>
      <c r="Q1012" s="40">
        <v>7783.5926258992804</v>
      </c>
      <c r="R1012" s="40">
        <v>23582.383093525201</v>
      </c>
      <c r="S1012" s="40">
        <v>30273.2194244604</v>
      </c>
      <c r="T1012" s="40">
        <v>30000</v>
      </c>
      <c r="U1012" s="40">
        <v>332978.99159663898</v>
      </c>
      <c r="V1012" s="40">
        <v>0</v>
      </c>
      <c r="W1012" s="45">
        <v>672060.89357505599</v>
      </c>
      <c r="X1012" s="46">
        <v>8.3627490153261395</v>
      </c>
    </row>
    <row r="1013" spans="1:24" s="4" customFormat="1" ht="15" customHeight="1">
      <c r="A1013" s="28" t="s">
        <v>2682</v>
      </c>
      <c r="B1013" s="29">
        <v>3278.81</v>
      </c>
      <c r="C1013" s="30" t="s">
        <v>2895</v>
      </c>
      <c r="D1013" s="2">
        <v>4950280452</v>
      </c>
      <c r="E1013" s="2" t="s">
        <v>14</v>
      </c>
      <c r="F1013" s="2" t="s">
        <v>2896</v>
      </c>
      <c r="G1013" s="28" t="s">
        <v>9</v>
      </c>
      <c r="H1013" s="2" t="s">
        <v>23</v>
      </c>
      <c r="I1013" s="2">
        <v>19</v>
      </c>
      <c r="J1013" s="2"/>
      <c r="K1013" s="2">
        <v>42600.800000000003</v>
      </c>
      <c r="L1013" s="35">
        <v>139679929.04800001</v>
      </c>
      <c r="M1013" s="36">
        <v>5170</v>
      </c>
      <c r="N1013" s="40">
        <v>1344871.8210431701</v>
      </c>
      <c r="O1013" s="40">
        <v>1737.43615107914</v>
      </c>
      <c r="P1013" s="40">
        <v>0</v>
      </c>
      <c r="Q1013" s="40">
        <v>42359.130395683504</v>
      </c>
      <c r="R1013" s="40">
        <v>128337.811151079</v>
      </c>
      <c r="S1013" s="40">
        <v>164750.04676259001</v>
      </c>
      <c r="T1013" s="40">
        <v>30000</v>
      </c>
      <c r="U1013" s="40">
        <v>2085500</v>
      </c>
      <c r="V1013" s="40">
        <v>0</v>
      </c>
      <c r="W1013" s="45">
        <v>3797556.2455036002</v>
      </c>
      <c r="X1013" s="46">
        <v>2.7187558523161899</v>
      </c>
    </row>
    <row r="1014" spans="1:24" s="4" customFormat="1" ht="15" customHeight="1">
      <c r="A1014" s="28" t="s">
        <v>2682</v>
      </c>
      <c r="B1014" s="29">
        <v>3278.81</v>
      </c>
      <c r="C1014" s="30" t="s">
        <v>2899</v>
      </c>
      <c r="D1014" s="2">
        <v>4949922756</v>
      </c>
      <c r="E1014" s="2" t="s">
        <v>14</v>
      </c>
      <c r="F1014" s="2" t="s">
        <v>2900</v>
      </c>
      <c r="G1014" s="28" t="s">
        <v>5</v>
      </c>
      <c r="H1014" s="2" t="s">
        <v>20</v>
      </c>
      <c r="I1014" s="2">
        <v>3</v>
      </c>
      <c r="J1014" s="2" t="s">
        <v>2901</v>
      </c>
      <c r="K1014" s="2">
        <v>29808</v>
      </c>
      <c r="L1014" s="35">
        <v>97734768.480000004</v>
      </c>
      <c r="M1014" s="36">
        <v>32400</v>
      </c>
      <c r="N1014" s="40">
        <v>888630.6</v>
      </c>
      <c r="O1014" s="40">
        <v>559437.6</v>
      </c>
      <c r="P1014" s="40">
        <v>1016656.8</v>
      </c>
      <c r="Q1014" s="40">
        <v>208301.4</v>
      </c>
      <c r="R1014" s="40">
        <v>1321976.2</v>
      </c>
      <c r="S1014" s="40">
        <v>212613.6</v>
      </c>
      <c r="T1014" s="40">
        <v>30000</v>
      </c>
      <c r="U1014" s="40">
        <v>4516320</v>
      </c>
      <c r="V1014" s="40">
        <v>0</v>
      </c>
      <c r="W1014" s="45">
        <v>8753936.1999999993</v>
      </c>
      <c r="X1014" s="46">
        <v>8.9568291163357703</v>
      </c>
    </row>
    <row r="1015" spans="1:24" s="4" customFormat="1" ht="15" customHeight="1">
      <c r="A1015" s="28" t="s">
        <v>2682</v>
      </c>
      <c r="B1015" s="29">
        <v>3278.81</v>
      </c>
      <c r="C1015" s="30" t="s">
        <v>2899</v>
      </c>
      <c r="D1015" s="2">
        <v>4949922759</v>
      </c>
      <c r="E1015" s="2" t="s">
        <v>14</v>
      </c>
      <c r="F1015" s="2" t="s">
        <v>2900</v>
      </c>
      <c r="G1015" s="28" t="s">
        <v>5</v>
      </c>
      <c r="H1015" s="2" t="s">
        <v>20</v>
      </c>
      <c r="I1015" s="2">
        <v>3</v>
      </c>
      <c r="J1015" s="2" t="s">
        <v>2901</v>
      </c>
      <c r="K1015" s="2">
        <v>19872</v>
      </c>
      <c r="L1015" s="35">
        <v>65156512.32</v>
      </c>
      <c r="M1015" s="36">
        <v>21600</v>
      </c>
      <c r="N1015" s="40">
        <v>592420.4</v>
      </c>
      <c r="O1015" s="40">
        <v>372958.4</v>
      </c>
      <c r="P1015" s="40">
        <v>677771.2</v>
      </c>
      <c r="Q1015" s="40">
        <v>138867.6</v>
      </c>
      <c r="R1015" s="40">
        <v>814650.8</v>
      </c>
      <c r="S1015" s="40">
        <v>141742.39999999999</v>
      </c>
      <c r="T1015" s="40">
        <v>30000</v>
      </c>
      <c r="U1015" s="40">
        <v>3010880</v>
      </c>
      <c r="V1015" s="40">
        <v>0</v>
      </c>
      <c r="W1015" s="45">
        <v>5779290.7999999998</v>
      </c>
      <c r="X1015" s="46">
        <v>8.8698590428174704</v>
      </c>
    </row>
    <row r="1016" spans="1:24" s="4" customFormat="1" ht="15" customHeight="1">
      <c r="A1016" s="28" t="s">
        <v>2682</v>
      </c>
      <c r="B1016" s="29">
        <v>3278.81</v>
      </c>
      <c r="C1016" s="30" t="s">
        <v>2902</v>
      </c>
      <c r="D1016" s="2">
        <v>4950722789</v>
      </c>
      <c r="E1016" s="2" t="s">
        <v>14</v>
      </c>
      <c r="F1016" s="2" t="s">
        <v>2903</v>
      </c>
      <c r="G1016" s="28" t="s">
        <v>13</v>
      </c>
      <c r="H1016" s="2" t="s">
        <v>23</v>
      </c>
      <c r="I1016" s="2">
        <v>2</v>
      </c>
      <c r="J1016" s="2"/>
      <c r="K1016" s="2">
        <v>1351.14</v>
      </c>
      <c r="L1016" s="35">
        <v>4430131.3433999997</v>
      </c>
      <c r="M1016" s="36">
        <v>10</v>
      </c>
      <c r="N1016" s="40">
        <v>759626</v>
      </c>
      <c r="O1016" s="40">
        <v>0</v>
      </c>
      <c r="P1016" s="40">
        <v>235620</v>
      </c>
      <c r="Q1016" s="40">
        <v>0</v>
      </c>
      <c r="R1016" s="40">
        <v>4628</v>
      </c>
      <c r="S1016" s="40">
        <v>354356</v>
      </c>
      <c r="T1016" s="40">
        <v>30000</v>
      </c>
      <c r="U1016" s="40">
        <v>246380</v>
      </c>
      <c r="V1016" s="40">
        <v>0</v>
      </c>
      <c r="W1016" s="45">
        <v>1630610</v>
      </c>
      <c r="X1016" s="46">
        <v>36.807260859867696</v>
      </c>
    </row>
    <row r="1017" spans="1:24" s="4" customFormat="1" ht="15" customHeight="1">
      <c r="A1017" s="28" t="s">
        <v>2682</v>
      </c>
      <c r="B1017" s="29">
        <v>3278.81</v>
      </c>
      <c r="C1017" s="30" t="s">
        <v>2904</v>
      </c>
      <c r="D1017" s="2">
        <v>4949660514</v>
      </c>
      <c r="E1017" s="2" t="s">
        <v>14</v>
      </c>
      <c r="F1017" s="2" t="s">
        <v>2905</v>
      </c>
      <c r="G1017" s="28" t="s">
        <v>5</v>
      </c>
      <c r="H1017" s="2" t="s">
        <v>20</v>
      </c>
      <c r="I1017" s="2">
        <v>1</v>
      </c>
      <c r="J1017" s="2" t="s">
        <v>2906</v>
      </c>
      <c r="K1017" s="2">
        <v>36270</v>
      </c>
      <c r="L1017" s="35">
        <v>118922438.7</v>
      </c>
      <c r="M1017" s="36">
        <v>9000</v>
      </c>
      <c r="N1017" s="40">
        <v>339384</v>
      </c>
      <c r="O1017" s="40">
        <v>322920</v>
      </c>
      <c r="P1017" s="40">
        <v>112247</v>
      </c>
      <c r="Q1017" s="40">
        <v>110000</v>
      </c>
      <c r="R1017" s="40">
        <v>649118</v>
      </c>
      <c r="S1017" s="40">
        <v>354356</v>
      </c>
      <c r="T1017" s="40">
        <v>30000</v>
      </c>
      <c r="U1017" s="40">
        <v>3501700</v>
      </c>
      <c r="V1017" s="40">
        <v>0</v>
      </c>
      <c r="W1017" s="45">
        <v>5419725</v>
      </c>
      <c r="X1017" s="46">
        <v>4.5573611332274204</v>
      </c>
    </row>
    <row r="1018" spans="1:24" s="4" customFormat="1" ht="15" customHeight="1">
      <c r="A1018" s="28" t="s">
        <v>2682</v>
      </c>
      <c r="B1018" s="29">
        <v>3278.81</v>
      </c>
      <c r="C1018" s="30" t="s">
        <v>2907</v>
      </c>
      <c r="D1018" s="2">
        <v>4950365733</v>
      </c>
      <c r="E1018" s="2" t="s">
        <v>14</v>
      </c>
      <c r="F1018" s="2" t="s">
        <v>2908</v>
      </c>
      <c r="G1018" s="28" t="s">
        <v>9</v>
      </c>
      <c r="H1018" s="2" t="s">
        <v>23</v>
      </c>
      <c r="I1018" s="2">
        <v>1</v>
      </c>
      <c r="J1018" s="2"/>
      <c r="K1018" s="2">
        <v>566.75</v>
      </c>
      <c r="L1018" s="35">
        <v>1858265.5674999999</v>
      </c>
      <c r="M1018" s="36">
        <v>25</v>
      </c>
      <c r="N1018" s="40">
        <v>1336288</v>
      </c>
      <c r="O1018" s="40">
        <v>33</v>
      </c>
      <c r="P1018" s="40">
        <v>624.85</v>
      </c>
      <c r="Q1018" s="40">
        <v>1039</v>
      </c>
      <c r="R1018" s="40">
        <v>89856.02</v>
      </c>
      <c r="S1018" s="40">
        <v>354356</v>
      </c>
      <c r="T1018" s="40">
        <v>30000</v>
      </c>
      <c r="U1018" s="40">
        <v>32925.352112676097</v>
      </c>
      <c r="V1018" s="40">
        <v>0</v>
      </c>
      <c r="W1018" s="45">
        <v>1845122.2221126801</v>
      </c>
      <c r="X1018" s="46">
        <v>99.292708985346707</v>
      </c>
    </row>
    <row r="1019" spans="1:24" s="4" customFormat="1" ht="15" customHeight="1">
      <c r="A1019" s="28" t="s">
        <v>2682</v>
      </c>
      <c r="B1019" s="29">
        <v>3278.81</v>
      </c>
      <c r="C1019" s="30" t="s">
        <v>2917</v>
      </c>
      <c r="D1019" s="2">
        <v>4951050358</v>
      </c>
      <c r="E1019" s="2" t="s">
        <v>14</v>
      </c>
      <c r="F1019" s="2">
        <v>1027089672</v>
      </c>
      <c r="G1019" s="28" t="s">
        <v>13</v>
      </c>
      <c r="H1019" s="2" t="s">
        <v>23</v>
      </c>
      <c r="I1019" s="2">
        <v>1</v>
      </c>
      <c r="J1019" s="2"/>
      <c r="K1019" s="2">
        <v>20820.8</v>
      </c>
      <c r="L1019" s="35">
        <v>68267447.247999996</v>
      </c>
      <c r="M1019" s="36">
        <v>160</v>
      </c>
      <c r="N1019" s="40">
        <v>492142.07</v>
      </c>
      <c r="O1019" s="40">
        <v>0</v>
      </c>
      <c r="P1019" s="40">
        <v>0</v>
      </c>
      <c r="Q1019" s="40">
        <v>0</v>
      </c>
      <c r="R1019" s="40">
        <v>4968</v>
      </c>
      <c r="S1019" s="40">
        <v>354356</v>
      </c>
      <c r="T1019" s="40">
        <v>30000</v>
      </c>
      <c r="U1019" s="40">
        <v>40390.1639344262</v>
      </c>
      <c r="V1019" s="40">
        <v>0</v>
      </c>
      <c r="W1019" s="45">
        <v>921856.23393442598</v>
      </c>
      <c r="X1019" s="46">
        <v>1.3503599022613699</v>
      </c>
    </row>
    <row r="1020" spans="1:24" s="4" customFormat="1" ht="15" customHeight="1">
      <c r="A1020" s="28" t="s">
        <v>2682</v>
      </c>
      <c r="B1020" s="29">
        <v>3278.81</v>
      </c>
      <c r="C1020" s="30" t="s">
        <v>2918</v>
      </c>
      <c r="D1020" s="2">
        <v>4950812427</v>
      </c>
      <c r="E1020" s="2" t="s">
        <v>14</v>
      </c>
      <c r="F1020" s="2" t="s">
        <v>2919</v>
      </c>
      <c r="G1020" s="28" t="s">
        <v>9</v>
      </c>
      <c r="H1020" s="2" t="s">
        <v>23</v>
      </c>
      <c r="I1020" s="2">
        <v>1</v>
      </c>
      <c r="J1020" s="2"/>
      <c r="K1020" s="2">
        <v>566.75</v>
      </c>
      <c r="L1020" s="35">
        <v>1858265.5674999999</v>
      </c>
      <c r="M1020" s="36">
        <v>25</v>
      </c>
      <c r="N1020" s="40">
        <v>1336288</v>
      </c>
      <c r="O1020" s="40">
        <v>33</v>
      </c>
      <c r="P1020" s="40">
        <v>624.85</v>
      </c>
      <c r="Q1020" s="40">
        <v>1039</v>
      </c>
      <c r="R1020" s="40">
        <v>89856.02</v>
      </c>
      <c r="S1020" s="40">
        <v>354356</v>
      </c>
      <c r="T1020" s="40">
        <v>30000</v>
      </c>
      <c r="U1020" s="40">
        <v>32925.352112676097</v>
      </c>
      <c r="V1020" s="40">
        <v>0</v>
      </c>
      <c r="W1020" s="45">
        <v>1845122.2221126801</v>
      </c>
      <c r="X1020" s="46">
        <v>99.292708985346707</v>
      </c>
    </row>
    <row r="1021" spans="1:24" s="4" customFormat="1" ht="15" customHeight="1">
      <c r="A1021" s="28" t="s">
        <v>2682</v>
      </c>
      <c r="B1021" s="29">
        <v>3278.81</v>
      </c>
      <c r="C1021" s="30" t="s">
        <v>2923</v>
      </c>
      <c r="D1021" s="2">
        <v>4950058299</v>
      </c>
      <c r="E1021" s="2" t="s">
        <v>14</v>
      </c>
      <c r="F1021" s="2" t="s">
        <v>2924</v>
      </c>
      <c r="G1021" s="28" t="s">
        <v>5</v>
      </c>
      <c r="H1021" s="2" t="s">
        <v>20</v>
      </c>
      <c r="I1021" s="2">
        <v>1</v>
      </c>
      <c r="J1021" s="2" t="s">
        <v>2925</v>
      </c>
      <c r="K1021" s="2">
        <v>30832</v>
      </c>
      <c r="L1021" s="35">
        <v>101092269.92</v>
      </c>
      <c r="M1021" s="36">
        <v>16400</v>
      </c>
      <c r="N1021" s="40">
        <v>335446</v>
      </c>
      <c r="O1021" s="40">
        <v>322920</v>
      </c>
      <c r="P1021" s="40">
        <v>0</v>
      </c>
      <c r="Q1021" s="40">
        <v>110000</v>
      </c>
      <c r="R1021" s="40">
        <v>563454</v>
      </c>
      <c r="S1021" s="40">
        <v>354356</v>
      </c>
      <c r="T1021" s="40">
        <v>30000</v>
      </c>
      <c r="U1021" s="40">
        <v>3928500</v>
      </c>
      <c r="V1021" s="40">
        <v>0</v>
      </c>
      <c r="W1021" s="45">
        <v>5644676</v>
      </c>
      <c r="X1021" s="46">
        <v>5.58368706575384</v>
      </c>
    </row>
    <row r="1022" spans="1:24" s="4" customFormat="1" ht="15" customHeight="1">
      <c r="A1022" s="28" t="s">
        <v>2682</v>
      </c>
      <c r="B1022" s="29">
        <v>3278.81</v>
      </c>
      <c r="C1022" s="30" t="s">
        <v>2937</v>
      </c>
      <c r="D1022" s="2">
        <v>4949416087</v>
      </c>
      <c r="E1022" s="2" t="s">
        <v>14</v>
      </c>
      <c r="F1022" s="2" t="s">
        <v>2938</v>
      </c>
      <c r="G1022" s="28" t="s">
        <v>5</v>
      </c>
      <c r="H1022" s="2" t="s">
        <v>20</v>
      </c>
      <c r="I1022" s="2">
        <v>1</v>
      </c>
      <c r="J1022" s="2" t="s">
        <v>2939</v>
      </c>
      <c r="K1022" s="2">
        <v>30832</v>
      </c>
      <c r="L1022" s="35">
        <v>101092269.92</v>
      </c>
      <c r="M1022" s="36">
        <v>16400</v>
      </c>
      <c r="N1022" s="40">
        <v>390975</v>
      </c>
      <c r="O1022" s="40">
        <v>322920</v>
      </c>
      <c r="P1022" s="40">
        <v>0</v>
      </c>
      <c r="Q1022" s="40">
        <v>110000</v>
      </c>
      <c r="R1022" s="40">
        <v>440755</v>
      </c>
      <c r="S1022" s="40">
        <v>354356</v>
      </c>
      <c r="T1022" s="40">
        <v>30000</v>
      </c>
      <c r="U1022" s="40">
        <v>3928500</v>
      </c>
      <c r="V1022" s="40">
        <v>0</v>
      </c>
      <c r="W1022" s="45">
        <v>5577506</v>
      </c>
      <c r="X1022" s="46">
        <v>5.51724281630415</v>
      </c>
    </row>
    <row r="1023" spans="1:24" s="4" customFormat="1" ht="15" customHeight="1">
      <c r="A1023" s="28" t="s">
        <v>2682</v>
      </c>
      <c r="B1023" s="29">
        <v>3278.81</v>
      </c>
      <c r="C1023" s="30" t="s">
        <v>2940</v>
      </c>
      <c r="D1023" s="2">
        <v>4950585738</v>
      </c>
      <c r="E1023" s="2" t="s">
        <v>14</v>
      </c>
      <c r="F1023" s="2" t="s">
        <v>2941</v>
      </c>
      <c r="G1023" s="28" t="s">
        <v>5</v>
      </c>
      <c r="H1023" s="2" t="s">
        <v>17</v>
      </c>
      <c r="I1023" s="2">
        <v>1</v>
      </c>
      <c r="J1023" s="2" t="s">
        <v>2942</v>
      </c>
      <c r="K1023" s="2">
        <v>14448</v>
      </c>
      <c r="L1023" s="35">
        <v>47372246.880000003</v>
      </c>
      <c r="M1023" s="36">
        <v>6880</v>
      </c>
      <c r="N1023" s="40">
        <v>272943.59999999998</v>
      </c>
      <c r="O1023" s="40">
        <v>169452.79999999999</v>
      </c>
      <c r="P1023" s="40">
        <v>0</v>
      </c>
      <c r="Q1023" s="40">
        <v>44000</v>
      </c>
      <c r="R1023" s="40">
        <v>218051.6</v>
      </c>
      <c r="S1023" s="40">
        <v>141742.39999999999</v>
      </c>
      <c r="T1023" s="40">
        <v>30000</v>
      </c>
      <c r="U1023" s="40">
        <v>2432760</v>
      </c>
      <c r="V1023" s="40">
        <v>0</v>
      </c>
      <c r="W1023" s="45">
        <v>3308950.4</v>
      </c>
      <c r="X1023" s="46">
        <v>6.9849977949789803</v>
      </c>
    </row>
    <row r="1024" spans="1:24" s="4" customFormat="1" ht="15" customHeight="1">
      <c r="A1024" s="28" t="s">
        <v>2682</v>
      </c>
      <c r="B1024" s="29">
        <v>3278.81</v>
      </c>
      <c r="C1024" s="30" t="s">
        <v>2940</v>
      </c>
      <c r="D1024" s="2">
        <v>4950585738</v>
      </c>
      <c r="E1024" s="2" t="s">
        <v>14</v>
      </c>
      <c r="F1024" s="2" t="s">
        <v>2941</v>
      </c>
      <c r="G1024" s="28" t="s">
        <v>5</v>
      </c>
      <c r="H1024" s="2" t="s">
        <v>17</v>
      </c>
      <c r="I1024" s="2">
        <v>1</v>
      </c>
      <c r="J1024" s="2" t="s">
        <v>2942</v>
      </c>
      <c r="K1024" s="2">
        <v>25490.400000000001</v>
      </c>
      <c r="L1024" s="35">
        <v>83578178.423999995</v>
      </c>
      <c r="M1024" s="36">
        <v>10320</v>
      </c>
      <c r="N1024" s="40">
        <v>409415.4</v>
      </c>
      <c r="O1024" s="40">
        <v>254179.20000000001</v>
      </c>
      <c r="P1024" s="40">
        <v>0</v>
      </c>
      <c r="Q1024" s="40">
        <v>66000</v>
      </c>
      <c r="R1024" s="40">
        <v>327077.40000000002</v>
      </c>
      <c r="S1024" s="40">
        <v>212613.6</v>
      </c>
      <c r="T1024" s="40">
        <v>30000</v>
      </c>
      <c r="U1024" s="40">
        <v>3649140</v>
      </c>
      <c r="V1024" s="40">
        <v>0</v>
      </c>
      <c r="W1024" s="45">
        <v>4948425.5999999996</v>
      </c>
      <c r="X1024" s="46">
        <v>5.9207148245037899</v>
      </c>
    </row>
    <row r="1025" spans="1:24" s="4" customFormat="1" ht="15" customHeight="1">
      <c r="A1025" s="28" t="s">
        <v>2682</v>
      </c>
      <c r="B1025" s="29">
        <v>3278.81</v>
      </c>
      <c r="C1025" s="30" t="s">
        <v>2943</v>
      </c>
      <c r="D1025" s="2">
        <v>4951046919</v>
      </c>
      <c r="E1025" s="2" t="s">
        <v>14</v>
      </c>
      <c r="F1025" s="2" t="s">
        <v>2944</v>
      </c>
      <c r="G1025" s="28" t="s">
        <v>9</v>
      </c>
      <c r="H1025" s="2" t="s">
        <v>23</v>
      </c>
      <c r="I1025" s="2">
        <v>3</v>
      </c>
      <c r="J1025" s="2"/>
      <c r="K1025" s="2">
        <v>24832</v>
      </c>
      <c r="L1025" s="35">
        <v>81419409.920000002</v>
      </c>
      <c r="M1025" s="36">
        <v>320</v>
      </c>
      <c r="N1025" s="40">
        <v>229170.036363636</v>
      </c>
      <c r="O1025" s="40">
        <v>227.78181818181801</v>
      </c>
      <c r="P1025" s="40">
        <v>0</v>
      </c>
      <c r="Q1025" s="40">
        <v>7088.2909090909097</v>
      </c>
      <c r="R1025" s="40">
        <v>35209.8909090909</v>
      </c>
      <c r="S1025" s="40">
        <v>103085.381818182</v>
      </c>
      <c r="T1025" s="40">
        <v>30000</v>
      </c>
      <c r="U1025" s="40">
        <v>171117.94871794901</v>
      </c>
      <c r="V1025" s="40">
        <v>0</v>
      </c>
      <c r="W1025" s="45">
        <v>575899.33053613105</v>
      </c>
      <c r="X1025" s="46">
        <v>0.70732437277792903</v>
      </c>
    </row>
    <row r="1026" spans="1:24" s="4" customFormat="1" ht="15" customHeight="1">
      <c r="A1026" s="28" t="s">
        <v>2682</v>
      </c>
      <c r="B1026" s="29">
        <v>3278.81</v>
      </c>
      <c r="C1026" s="30" t="s">
        <v>2943</v>
      </c>
      <c r="D1026" s="2">
        <v>4951213121</v>
      </c>
      <c r="E1026" s="2" t="s">
        <v>14</v>
      </c>
      <c r="F1026" s="2" t="s">
        <v>2944</v>
      </c>
      <c r="G1026" s="28" t="s">
        <v>9</v>
      </c>
      <c r="H1026" s="2" t="s">
        <v>23</v>
      </c>
      <c r="I1026" s="2">
        <v>3</v>
      </c>
      <c r="J1026" s="2"/>
      <c r="K1026" s="2">
        <v>34187.4</v>
      </c>
      <c r="L1026" s="35">
        <v>112093988.994</v>
      </c>
      <c r="M1026" s="36">
        <v>540</v>
      </c>
      <c r="N1026" s="40">
        <v>386724.43636363599</v>
      </c>
      <c r="O1026" s="40">
        <v>384.38181818181801</v>
      </c>
      <c r="P1026" s="40">
        <v>0</v>
      </c>
      <c r="Q1026" s="40">
        <v>11961.4909090909</v>
      </c>
      <c r="R1026" s="40">
        <v>59416.690909090903</v>
      </c>
      <c r="S1026" s="40">
        <v>173956.58181818199</v>
      </c>
      <c r="T1026" s="40">
        <v>30000</v>
      </c>
      <c r="U1026" s="40">
        <v>288761.53846153797</v>
      </c>
      <c r="V1026" s="40">
        <v>0</v>
      </c>
      <c r="W1026" s="45">
        <v>951205.12027972005</v>
      </c>
      <c r="X1026" s="46">
        <v>0.84857816981661205</v>
      </c>
    </row>
    <row r="1027" spans="1:24" s="4" customFormat="1" ht="15" customHeight="1">
      <c r="A1027" s="28" t="s">
        <v>2682</v>
      </c>
      <c r="B1027" s="29">
        <v>3278.81</v>
      </c>
      <c r="C1027" s="30" t="s">
        <v>2943</v>
      </c>
      <c r="D1027" s="2">
        <v>4951050407</v>
      </c>
      <c r="E1027" s="2" t="s">
        <v>14</v>
      </c>
      <c r="F1027" s="2" t="s">
        <v>2944</v>
      </c>
      <c r="G1027" s="28" t="s">
        <v>9</v>
      </c>
      <c r="H1027" s="2" t="s">
        <v>23</v>
      </c>
      <c r="I1027" s="2">
        <v>3</v>
      </c>
      <c r="J1027" s="2"/>
      <c r="K1027" s="2">
        <v>12316.8</v>
      </c>
      <c r="L1027" s="35">
        <v>40384447.008000001</v>
      </c>
      <c r="M1027" s="36">
        <v>240</v>
      </c>
      <c r="N1027" s="40">
        <v>171877.52727272699</v>
      </c>
      <c r="O1027" s="40">
        <v>170.83636363636401</v>
      </c>
      <c r="P1027" s="40">
        <v>0</v>
      </c>
      <c r="Q1027" s="40">
        <v>5316.2181818181798</v>
      </c>
      <c r="R1027" s="40">
        <v>26407.418181818201</v>
      </c>
      <c r="S1027" s="40">
        <v>77314.036363636405</v>
      </c>
      <c r="T1027" s="40">
        <v>30000</v>
      </c>
      <c r="U1027" s="40">
        <v>128338.461538462</v>
      </c>
      <c r="V1027" s="40">
        <v>0</v>
      </c>
      <c r="W1027" s="45">
        <v>439424.497902098</v>
      </c>
      <c r="X1027" s="46">
        <v>1.0881032933670001</v>
      </c>
    </row>
    <row r="1028" spans="1:24" s="4" customFormat="1" ht="15" customHeight="1">
      <c r="A1028" s="28" t="s">
        <v>2682</v>
      </c>
      <c r="B1028" s="29">
        <v>3278.81</v>
      </c>
      <c r="C1028" s="30" t="s">
        <v>2945</v>
      </c>
      <c r="D1028" s="2">
        <v>4949590097</v>
      </c>
      <c r="E1028" s="2" t="s">
        <v>14</v>
      </c>
      <c r="F1028" s="2" t="s">
        <v>2946</v>
      </c>
      <c r="G1028" s="28" t="s">
        <v>5</v>
      </c>
      <c r="H1028" s="2" t="s">
        <v>17</v>
      </c>
      <c r="I1028" s="2">
        <v>1</v>
      </c>
      <c r="J1028" s="2" t="s">
        <v>2947</v>
      </c>
      <c r="K1028" s="2">
        <v>68040</v>
      </c>
      <c r="L1028" s="35">
        <v>223090232.40000001</v>
      </c>
      <c r="M1028" s="36">
        <v>18000</v>
      </c>
      <c r="N1028" s="40">
        <v>387216</v>
      </c>
      <c r="O1028" s="40">
        <v>423632</v>
      </c>
      <c r="P1028" s="40">
        <v>0</v>
      </c>
      <c r="Q1028" s="40">
        <v>110000</v>
      </c>
      <c r="R1028" s="40">
        <v>752483</v>
      </c>
      <c r="S1028" s="40">
        <v>354356</v>
      </c>
      <c r="T1028" s="40">
        <v>30000</v>
      </c>
      <c r="U1028" s="40">
        <v>5446550</v>
      </c>
      <c r="V1028" s="40">
        <v>0</v>
      </c>
      <c r="W1028" s="45">
        <v>7504237</v>
      </c>
      <c r="X1028" s="46">
        <v>3.3637676196172199</v>
      </c>
    </row>
    <row r="1029" spans="1:24" s="4" customFormat="1" ht="15" customHeight="1">
      <c r="A1029" s="28" t="s">
        <v>2682</v>
      </c>
      <c r="B1029" s="29">
        <v>3278.81</v>
      </c>
      <c r="C1029" s="30" t="s">
        <v>2964</v>
      </c>
      <c r="D1029" s="2">
        <v>4950722790</v>
      </c>
      <c r="E1029" s="2" t="s">
        <v>14</v>
      </c>
      <c r="F1029" s="2" t="s">
        <v>2965</v>
      </c>
      <c r="G1029" s="28" t="s">
        <v>13</v>
      </c>
      <c r="H1029" s="2" t="s">
        <v>23</v>
      </c>
      <c r="I1029" s="2">
        <v>1</v>
      </c>
      <c r="J1029" s="2"/>
      <c r="K1029" s="2">
        <v>4915.4799999999996</v>
      </c>
      <c r="L1029" s="35">
        <v>16116924.978800001</v>
      </c>
      <c r="M1029" s="36">
        <v>816</v>
      </c>
      <c r="N1029" s="40">
        <v>1035386</v>
      </c>
      <c r="O1029" s="40">
        <v>0</v>
      </c>
      <c r="P1029" s="40">
        <v>0</v>
      </c>
      <c r="Q1029" s="40">
        <v>0</v>
      </c>
      <c r="R1029" s="40">
        <v>19747</v>
      </c>
      <c r="S1029" s="40">
        <v>354356</v>
      </c>
      <c r="T1029" s="40">
        <v>30000</v>
      </c>
      <c r="U1029" s="40">
        <v>205989.836065574</v>
      </c>
      <c r="V1029" s="40">
        <v>0</v>
      </c>
      <c r="W1029" s="45">
        <v>1645478.8360655699</v>
      </c>
      <c r="X1029" s="46">
        <v>10.2096326577807</v>
      </c>
    </row>
    <row r="1030" spans="1:24" s="4" customFormat="1" ht="15" customHeight="1">
      <c r="A1030" s="28" t="s">
        <v>2682</v>
      </c>
      <c r="B1030" s="29">
        <v>3278.81</v>
      </c>
      <c r="C1030" s="30" t="s">
        <v>2968</v>
      </c>
      <c r="D1030" s="2">
        <v>4950443827</v>
      </c>
      <c r="E1030" s="2" t="s">
        <v>14</v>
      </c>
      <c r="F1030" s="2" t="s">
        <v>2969</v>
      </c>
      <c r="G1030" s="28" t="s">
        <v>5</v>
      </c>
      <c r="H1030" s="2" t="s">
        <v>20</v>
      </c>
      <c r="I1030" s="2">
        <v>1</v>
      </c>
      <c r="J1030" s="2" t="s">
        <v>2970</v>
      </c>
      <c r="K1030" s="2">
        <v>21242</v>
      </c>
      <c r="L1030" s="35">
        <v>69648482.019999996</v>
      </c>
      <c r="M1030" s="36">
        <v>8600</v>
      </c>
      <c r="N1030" s="40">
        <v>489339</v>
      </c>
      <c r="O1030" s="40">
        <v>322920</v>
      </c>
      <c r="P1030" s="40">
        <v>0</v>
      </c>
      <c r="Q1030" s="40">
        <v>110000</v>
      </c>
      <c r="R1030" s="40">
        <v>655892</v>
      </c>
      <c r="S1030" s="40">
        <v>354356</v>
      </c>
      <c r="T1030" s="40">
        <v>30000</v>
      </c>
      <c r="U1030" s="40">
        <v>3501700</v>
      </c>
      <c r="V1030" s="40">
        <v>0</v>
      </c>
      <c r="W1030" s="45">
        <v>5464207</v>
      </c>
      <c r="X1030" s="46">
        <v>7.8454071668509897</v>
      </c>
    </row>
    <row r="1031" spans="1:24" s="4" customFormat="1" ht="15" customHeight="1">
      <c r="A1031" s="28" t="s">
        <v>2682</v>
      </c>
      <c r="B1031" s="29">
        <v>3278.81</v>
      </c>
      <c r="C1031" s="30" t="s">
        <v>2975</v>
      </c>
      <c r="D1031" s="2">
        <v>4950443837</v>
      </c>
      <c r="E1031" s="2" t="s">
        <v>14</v>
      </c>
      <c r="F1031" s="2" t="s">
        <v>2976</v>
      </c>
      <c r="G1031" s="28" t="s">
        <v>5</v>
      </c>
      <c r="H1031" s="2" t="s">
        <v>17</v>
      </c>
      <c r="I1031" s="2">
        <v>1</v>
      </c>
      <c r="J1031" s="2" t="s">
        <v>2977</v>
      </c>
      <c r="K1031" s="2">
        <v>4248</v>
      </c>
      <c r="L1031" s="35">
        <v>13928384.880000001</v>
      </c>
      <c r="M1031" s="36">
        <v>1200</v>
      </c>
      <c r="N1031" s="40">
        <v>18905.2482269504</v>
      </c>
      <c r="O1031" s="40">
        <v>24035.8581560284</v>
      </c>
      <c r="P1031" s="40">
        <v>0</v>
      </c>
      <c r="Q1031" s="40">
        <v>6241.1347517730501</v>
      </c>
      <c r="R1031" s="40">
        <v>55279.489361702101</v>
      </c>
      <c r="S1031" s="40">
        <v>20105.304964538998</v>
      </c>
      <c r="T1031" s="40">
        <v>30000</v>
      </c>
      <c r="U1031" s="40">
        <v>358831.20567375899</v>
      </c>
      <c r="V1031" s="40">
        <v>0</v>
      </c>
      <c r="W1031" s="45">
        <v>513398.241134752</v>
      </c>
      <c r="X1031" s="46">
        <v>3.6859854574520599</v>
      </c>
    </row>
    <row r="1032" spans="1:24" s="4" customFormat="1" ht="15" customHeight="1">
      <c r="A1032" s="28" t="s">
        <v>2682</v>
      </c>
      <c r="B1032" s="29">
        <v>3278.81</v>
      </c>
      <c r="C1032" s="30" t="s">
        <v>2975</v>
      </c>
      <c r="D1032" s="2">
        <v>4950895378</v>
      </c>
      <c r="E1032" s="2" t="s">
        <v>14</v>
      </c>
      <c r="F1032" s="2" t="s">
        <v>2976</v>
      </c>
      <c r="G1032" s="28" t="s">
        <v>5</v>
      </c>
      <c r="H1032" s="2" t="s">
        <v>17</v>
      </c>
      <c r="I1032" s="2">
        <v>1</v>
      </c>
      <c r="J1032" s="2" t="s">
        <v>2977</v>
      </c>
      <c r="K1032" s="2">
        <v>19530</v>
      </c>
      <c r="L1032" s="35">
        <v>64035159.299999997</v>
      </c>
      <c r="M1032" s="36">
        <v>9000</v>
      </c>
      <c r="N1032" s="40">
        <v>141789.36170212799</v>
      </c>
      <c r="O1032" s="40">
        <v>180268.93617021301</v>
      </c>
      <c r="P1032" s="40">
        <v>0</v>
      </c>
      <c r="Q1032" s="40">
        <v>46808.510638297899</v>
      </c>
      <c r="R1032" s="40">
        <v>414594.17021276598</v>
      </c>
      <c r="S1032" s="40">
        <v>150789.787234043</v>
      </c>
      <c r="T1032" s="40">
        <v>30000</v>
      </c>
      <c r="U1032" s="40">
        <v>2691234.0425531901</v>
      </c>
      <c r="V1032" s="40">
        <v>0</v>
      </c>
      <c r="W1032" s="45">
        <v>3655484.8085106402</v>
      </c>
      <c r="X1032" s="46">
        <v>5.7085589361696796</v>
      </c>
    </row>
    <row r="1033" spans="1:24" s="4" customFormat="1" ht="15" customHeight="1">
      <c r="A1033" s="28" t="s">
        <v>2682</v>
      </c>
      <c r="B1033" s="29">
        <v>3278.81</v>
      </c>
      <c r="C1033" s="30" t="s">
        <v>2975</v>
      </c>
      <c r="D1033" s="2">
        <v>4950978863</v>
      </c>
      <c r="E1033" s="2" t="s">
        <v>14</v>
      </c>
      <c r="F1033" s="2" t="s">
        <v>2976</v>
      </c>
      <c r="G1033" s="28" t="s">
        <v>5</v>
      </c>
      <c r="H1033" s="2" t="s">
        <v>17</v>
      </c>
      <c r="I1033" s="2">
        <v>1</v>
      </c>
      <c r="J1033" s="2" t="s">
        <v>2977</v>
      </c>
      <c r="K1033" s="2">
        <v>3024</v>
      </c>
      <c r="L1033" s="35">
        <v>9915121.4399999995</v>
      </c>
      <c r="M1033" s="36">
        <v>1260</v>
      </c>
      <c r="N1033" s="40">
        <v>19850.510638297899</v>
      </c>
      <c r="O1033" s="40">
        <v>25237.651063829799</v>
      </c>
      <c r="P1033" s="40">
        <v>0</v>
      </c>
      <c r="Q1033" s="40">
        <v>6553.1914893617004</v>
      </c>
      <c r="R1033" s="40">
        <v>58042.863829787202</v>
      </c>
      <c r="S1033" s="40">
        <v>21110.570212766001</v>
      </c>
      <c r="T1033" s="40">
        <v>30000</v>
      </c>
      <c r="U1033" s="40">
        <v>376772.765957447</v>
      </c>
      <c r="V1033" s="40">
        <v>0</v>
      </c>
      <c r="W1033" s="45">
        <v>537567.55319149001</v>
      </c>
      <c r="X1033" s="46">
        <v>5.4216940906322302</v>
      </c>
    </row>
    <row r="1034" spans="1:24" s="4" customFormat="1" ht="15" customHeight="1">
      <c r="A1034" s="28" t="s">
        <v>2682</v>
      </c>
      <c r="B1034" s="29">
        <v>3278.81</v>
      </c>
      <c r="C1034" s="30" t="s">
        <v>2975</v>
      </c>
      <c r="D1034" s="2">
        <v>4950443830</v>
      </c>
      <c r="E1034" s="2" t="s">
        <v>14</v>
      </c>
      <c r="F1034" s="2" t="s">
        <v>2976</v>
      </c>
      <c r="G1034" s="28" t="s">
        <v>5</v>
      </c>
      <c r="H1034" s="2" t="s">
        <v>17</v>
      </c>
      <c r="I1034" s="2">
        <v>1</v>
      </c>
      <c r="J1034" s="2" t="s">
        <v>2977</v>
      </c>
      <c r="K1034" s="2">
        <v>15456</v>
      </c>
      <c r="L1034" s="35">
        <v>50677287.359999999</v>
      </c>
      <c r="M1034" s="36">
        <v>2800</v>
      </c>
      <c r="N1034" s="40">
        <v>44112.2458628842</v>
      </c>
      <c r="O1034" s="40">
        <v>56083.669030732897</v>
      </c>
      <c r="P1034" s="40">
        <v>0</v>
      </c>
      <c r="Q1034" s="40">
        <v>14562.6477541371</v>
      </c>
      <c r="R1034" s="40">
        <v>128984.808510638</v>
      </c>
      <c r="S1034" s="40">
        <v>46912.378250590999</v>
      </c>
      <c r="T1034" s="40">
        <v>30000</v>
      </c>
      <c r="U1034" s="40">
        <v>837272.81323877105</v>
      </c>
      <c r="V1034" s="40">
        <v>0</v>
      </c>
      <c r="W1034" s="45">
        <v>1157928.5626477499</v>
      </c>
      <c r="X1034" s="46">
        <v>2.2849063613489999</v>
      </c>
    </row>
    <row r="1035" spans="1:24" s="4" customFormat="1" ht="15" customHeight="1">
      <c r="A1035" s="28" t="s">
        <v>2682</v>
      </c>
      <c r="B1035" s="29">
        <v>3278.81</v>
      </c>
      <c r="C1035" s="30" t="s">
        <v>2975</v>
      </c>
      <c r="D1035" s="2">
        <v>4950812436</v>
      </c>
      <c r="E1035" s="2" t="s">
        <v>14</v>
      </c>
      <c r="F1035" s="78" t="s">
        <v>2976</v>
      </c>
      <c r="G1035" s="28" t="s">
        <v>5</v>
      </c>
      <c r="H1035" s="2" t="s">
        <v>17</v>
      </c>
      <c r="I1035" s="2">
        <v>1</v>
      </c>
      <c r="J1035" s="2" t="s">
        <v>2977</v>
      </c>
      <c r="K1035" s="2">
        <v>1426</v>
      </c>
      <c r="L1035" s="35">
        <v>4675583.0599999996</v>
      </c>
      <c r="M1035" s="36">
        <v>100</v>
      </c>
      <c r="N1035" s="40">
        <v>1575.43735224586</v>
      </c>
      <c r="O1035" s="40">
        <v>2002.9881796690299</v>
      </c>
      <c r="P1035" s="40">
        <v>0</v>
      </c>
      <c r="Q1035" s="40">
        <v>520.09456264775395</v>
      </c>
      <c r="R1035" s="40">
        <v>4606.9574468085102</v>
      </c>
      <c r="S1035" s="40">
        <v>1675.44208037825</v>
      </c>
      <c r="T1035" s="40">
        <v>30000</v>
      </c>
      <c r="U1035" s="40">
        <v>29902.600472813199</v>
      </c>
      <c r="V1035" s="40">
        <v>0</v>
      </c>
      <c r="W1035" s="45">
        <v>70283.520094562598</v>
      </c>
      <c r="X1035" s="46">
        <v>1.5032033265721201</v>
      </c>
    </row>
    <row r="1036" spans="1:24" s="4" customFormat="1" ht="15" customHeight="1">
      <c r="A1036" s="28" t="s">
        <v>2682</v>
      </c>
      <c r="B1036" s="29">
        <v>3278.81</v>
      </c>
      <c r="C1036" s="30" t="s">
        <v>2975</v>
      </c>
      <c r="D1036" s="2">
        <v>4951046907</v>
      </c>
      <c r="E1036" s="2" t="s">
        <v>14</v>
      </c>
      <c r="F1036" s="78" t="s">
        <v>2976</v>
      </c>
      <c r="G1036" s="28" t="s">
        <v>5</v>
      </c>
      <c r="H1036" s="2" t="s">
        <v>17</v>
      </c>
      <c r="I1036" s="2">
        <v>1</v>
      </c>
      <c r="J1036" s="2" t="s">
        <v>2977</v>
      </c>
      <c r="K1036" s="2">
        <v>17690</v>
      </c>
      <c r="L1036" s="35">
        <v>58002148.899999999</v>
      </c>
      <c r="M1036" s="36">
        <v>5040</v>
      </c>
      <c r="N1036" s="40">
        <v>79402.042553191495</v>
      </c>
      <c r="O1036" s="40">
        <v>100950.60425531901</v>
      </c>
      <c r="P1036" s="40">
        <v>0</v>
      </c>
      <c r="Q1036" s="40">
        <v>26212.765957446802</v>
      </c>
      <c r="R1036" s="40">
        <v>232172.45531914901</v>
      </c>
      <c r="S1036" s="40">
        <v>84442.280851063799</v>
      </c>
      <c r="T1036" s="40">
        <v>30000</v>
      </c>
      <c r="U1036" s="40">
        <v>1507091.0638297901</v>
      </c>
      <c r="V1036" s="40">
        <v>0</v>
      </c>
      <c r="W1036" s="45">
        <v>2060271.21276596</v>
      </c>
      <c r="X1036" s="46">
        <v>3.5520601423199301</v>
      </c>
    </row>
    <row r="1037" spans="1:24" s="4" customFormat="1" ht="15" customHeight="1">
      <c r="A1037" s="28" t="s">
        <v>2682</v>
      </c>
      <c r="B1037" s="29">
        <v>3278.81</v>
      </c>
      <c r="C1037" s="30" t="s">
        <v>2975</v>
      </c>
      <c r="D1037" s="2">
        <v>4951268367</v>
      </c>
      <c r="E1037" s="2" t="s">
        <v>14</v>
      </c>
      <c r="F1037" s="2" t="s">
        <v>2976</v>
      </c>
      <c r="G1037" s="28" t="s">
        <v>5</v>
      </c>
      <c r="H1037" s="2" t="s">
        <v>17</v>
      </c>
      <c r="I1037" s="2">
        <v>1</v>
      </c>
      <c r="J1037" s="2" t="s">
        <v>2977</v>
      </c>
      <c r="K1037" s="2">
        <v>1822.8</v>
      </c>
      <c r="L1037" s="35">
        <v>5976614.8679999998</v>
      </c>
      <c r="M1037" s="36">
        <v>420</v>
      </c>
      <c r="N1037" s="40">
        <v>6616.8368794326198</v>
      </c>
      <c r="O1037" s="40">
        <v>8412.5503546099299</v>
      </c>
      <c r="P1037" s="40">
        <v>0</v>
      </c>
      <c r="Q1037" s="40">
        <v>2184.39716312057</v>
      </c>
      <c r="R1037" s="40">
        <v>19347.621276595699</v>
      </c>
      <c r="S1037" s="40">
        <v>7036.8567375886496</v>
      </c>
      <c r="T1037" s="40">
        <v>30000</v>
      </c>
      <c r="U1037" s="40">
        <v>125590.92198581601</v>
      </c>
      <c r="V1037" s="40">
        <v>0</v>
      </c>
      <c r="W1037" s="45">
        <v>199189.18439716299</v>
      </c>
      <c r="X1037" s="46">
        <v>3.3328094380593698</v>
      </c>
    </row>
    <row r="1038" spans="1:24" s="4" customFormat="1" ht="15" customHeight="1">
      <c r="A1038" s="28" t="s">
        <v>2682</v>
      </c>
      <c r="B1038" s="29">
        <v>3278.81</v>
      </c>
      <c r="C1038" s="30" t="s">
        <v>2975</v>
      </c>
      <c r="D1038" s="2">
        <v>4950661387</v>
      </c>
      <c r="E1038" s="2" t="s">
        <v>14</v>
      </c>
      <c r="F1038" s="78" t="s">
        <v>2976</v>
      </c>
      <c r="G1038" s="28" t="s">
        <v>5</v>
      </c>
      <c r="H1038" s="2" t="s">
        <v>17</v>
      </c>
      <c r="I1038" s="2">
        <v>1</v>
      </c>
      <c r="J1038" s="2" t="s">
        <v>2977</v>
      </c>
      <c r="K1038" s="2">
        <v>1327.5</v>
      </c>
      <c r="L1038" s="35">
        <v>4352620.2750000004</v>
      </c>
      <c r="M1038" s="36">
        <v>450</v>
      </c>
      <c r="N1038" s="40">
        <v>7089.4680851063804</v>
      </c>
      <c r="O1038" s="40">
        <v>9013.44680851064</v>
      </c>
      <c r="P1038" s="40">
        <v>0</v>
      </c>
      <c r="Q1038" s="40">
        <v>2340.4255319148901</v>
      </c>
      <c r="R1038" s="40">
        <v>20729.808510638301</v>
      </c>
      <c r="S1038" s="40">
        <v>7539.4893617021298</v>
      </c>
      <c r="T1038" s="40">
        <v>30000</v>
      </c>
      <c r="U1038" s="40">
        <v>134561.70212766001</v>
      </c>
      <c r="V1038" s="40">
        <v>0</v>
      </c>
      <c r="W1038" s="45">
        <v>211274.34042553199</v>
      </c>
      <c r="X1038" s="46">
        <v>4.8539575491807003</v>
      </c>
    </row>
    <row r="1039" spans="1:24" s="4" customFormat="1" ht="15" customHeight="1">
      <c r="A1039" s="28" t="s">
        <v>2682</v>
      </c>
      <c r="B1039" s="29">
        <v>3278.81</v>
      </c>
      <c r="C1039" s="30" t="s">
        <v>2981</v>
      </c>
      <c r="D1039" s="2">
        <v>4950930071</v>
      </c>
      <c r="E1039" s="2" t="s">
        <v>14</v>
      </c>
      <c r="F1039" s="2" t="s">
        <v>2982</v>
      </c>
      <c r="G1039" s="28" t="s">
        <v>5</v>
      </c>
      <c r="H1039" s="2" t="s">
        <v>20</v>
      </c>
      <c r="I1039" s="2">
        <v>1</v>
      </c>
      <c r="J1039" s="2" t="s">
        <v>2983</v>
      </c>
      <c r="K1039" s="2">
        <v>65000</v>
      </c>
      <c r="L1039" s="35">
        <v>213122650</v>
      </c>
      <c r="M1039" s="36">
        <v>10400</v>
      </c>
      <c r="N1039" s="40">
        <v>329427.61095373001</v>
      </c>
      <c r="O1039" s="40">
        <v>317126.34560906503</v>
      </c>
      <c r="P1039" s="40">
        <v>457355.467422096</v>
      </c>
      <c r="Q1039" s="40">
        <v>108026.440037771</v>
      </c>
      <c r="R1039" s="40">
        <v>548666.77242681803</v>
      </c>
      <c r="S1039" s="40">
        <v>347998.33805476897</v>
      </c>
      <c r="T1039" s="40">
        <v>30000</v>
      </c>
      <c r="U1039" s="40">
        <v>0</v>
      </c>
      <c r="V1039" s="40">
        <v>0</v>
      </c>
      <c r="W1039" s="45">
        <v>2138600.9745042501</v>
      </c>
      <c r="X1039" s="46">
        <v>1.0034602021438099</v>
      </c>
    </row>
    <row r="1040" spans="1:24" s="4" customFormat="1" ht="15" customHeight="1">
      <c r="A1040" s="28" t="s">
        <v>2682</v>
      </c>
      <c r="B1040" s="29">
        <v>3278.81</v>
      </c>
      <c r="C1040" s="30" t="s">
        <v>2981</v>
      </c>
      <c r="D1040" s="2">
        <v>4950898141</v>
      </c>
      <c r="E1040" s="2" t="s">
        <v>14</v>
      </c>
      <c r="F1040" s="2" t="s">
        <v>2982</v>
      </c>
      <c r="G1040" s="28" t="s">
        <v>5</v>
      </c>
      <c r="H1040" s="2" t="s">
        <v>20</v>
      </c>
      <c r="I1040" s="2">
        <v>1</v>
      </c>
      <c r="J1040" s="2" t="s">
        <v>2983</v>
      </c>
      <c r="K1040" s="2">
        <v>872.1</v>
      </c>
      <c r="L1040" s="35">
        <v>2859450.2009999999</v>
      </c>
      <c r="M1040" s="36">
        <v>190</v>
      </c>
      <c r="N1040" s="40">
        <v>6018.3890462700701</v>
      </c>
      <c r="O1040" s="40">
        <v>5793.6543909348402</v>
      </c>
      <c r="P1040" s="40">
        <v>8355.5325779036793</v>
      </c>
      <c r="Q1040" s="40">
        <v>1973.5599622285199</v>
      </c>
      <c r="R1040" s="40">
        <v>10023.227573182299</v>
      </c>
      <c r="S1040" s="40">
        <v>6357.6619452313498</v>
      </c>
      <c r="T1040" s="40">
        <v>30000</v>
      </c>
      <c r="U1040" s="40">
        <v>1367700</v>
      </c>
      <c r="V1040" s="40">
        <v>0</v>
      </c>
      <c r="W1040" s="45">
        <v>1436222.0254957499</v>
      </c>
      <c r="X1040" s="46">
        <v>50.227208887690303</v>
      </c>
    </row>
    <row r="1041" spans="1:24" s="4" customFormat="1" ht="15" customHeight="1">
      <c r="A1041" s="28" t="s">
        <v>2682</v>
      </c>
      <c r="B1041" s="29">
        <v>3278.81</v>
      </c>
      <c r="C1041" s="30" t="s">
        <v>3012</v>
      </c>
      <c r="D1041" s="2">
        <v>4950722769</v>
      </c>
      <c r="E1041" s="2" t="s">
        <v>14</v>
      </c>
      <c r="F1041" s="2" t="s">
        <v>3013</v>
      </c>
      <c r="G1041" s="28" t="s">
        <v>9</v>
      </c>
      <c r="H1041" s="2" t="s">
        <v>23</v>
      </c>
      <c r="I1041" s="2">
        <v>8</v>
      </c>
      <c r="J1041" s="2"/>
      <c r="K1041" s="2">
        <v>20060</v>
      </c>
      <c r="L1041" s="35">
        <v>65772928.600000001</v>
      </c>
      <c r="M1041" s="36">
        <v>400</v>
      </c>
      <c r="N1041" s="40">
        <v>87926.317792578498</v>
      </c>
      <c r="O1041" s="40">
        <v>277.83063748810702</v>
      </c>
      <c r="P1041" s="40">
        <v>45697.963843958103</v>
      </c>
      <c r="Q1041" s="40">
        <v>6906.4129400570901</v>
      </c>
      <c r="R1041" s="40">
        <v>14462.4167459562</v>
      </c>
      <c r="S1041" s="40">
        <v>26972.863939105599</v>
      </c>
      <c r="T1041" s="40">
        <v>30000</v>
      </c>
      <c r="U1041" s="40">
        <v>262850.61845861102</v>
      </c>
      <c r="V1041" s="40">
        <v>0</v>
      </c>
      <c r="W1041" s="45">
        <v>475094.42435775499</v>
      </c>
      <c r="X1041" s="46">
        <v>0.72232517917372296</v>
      </c>
    </row>
    <row r="1042" spans="1:24" s="4" customFormat="1" ht="15" customHeight="1">
      <c r="A1042" s="28" t="s">
        <v>2682</v>
      </c>
      <c r="B1042" s="29">
        <v>3278.81</v>
      </c>
      <c r="C1042" s="30" t="s">
        <v>3012</v>
      </c>
      <c r="D1042" s="2">
        <v>4950808376</v>
      </c>
      <c r="E1042" s="2" t="s">
        <v>14</v>
      </c>
      <c r="F1042" s="2" t="s">
        <v>3013</v>
      </c>
      <c r="G1042" s="28" t="s">
        <v>9</v>
      </c>
      <c r="H1042" s="2" t="s">
        <v>23</v>
      </c>
      <c r="I1042" s="2">
        <v>8</v>
      </c>
      <c r="J1042" s="2"/>
      <c r="K1042" s="2">
        <v>18806.25</v>
      </c>
      <c r="L1042" s="35">
        <v>61662120.5625</v>
      </c>
      <c r="M1042" s="36">
        <v>375</v>
      </c>
      <c r="N1042" s="40">
        <v>82430.922930542394</v>
      </c>
      <c r="O1042" s="40">
        <v>260.4662226451</v>
      </c>
      <c r="P1042" s="40">
        <v>42841.841103710802</v>
      </c>
      <c r="Q1042" s="40">
        <v>6474.7621313035197</v>
      </c>
      <c r="R1042" s="40">
        <v>13558.515699334001</v>
      </c>
      <c r="S1042" s="40">
        <v>25287.059942911499</v>
      </c>
      <c r="T1042" s="40">
        <v>30000</v>
      </c>
      <c r="U1042" s="40">
        <v>246422.45480494801</v>
      </c>
      <c r="V1042" s="40">
        <v>0</v>
      </c>
      <c r="W1042" s="45">
        <v>447276.02283539501</v>
      </c>
      <c r="X1042" s="46">
        <v>0.72536594388128695</v>
      </c>
    </row>
    <row r="1043" spans="1:24" s="4" customFormat="1" ht="15" customHeight="1">
      <c r="A1043" s="28" t="s">
        <v>2682</v>
      </c>
      <c r="B1043" s="29">
        <v>3278.81</v>
      </c>
      <c r="C1043" s="30" t="s">
        <v>3012</v>
      </c>
      <c r="D1043" s="2">
        <v>4950930080</v>
      </c>
      <c r="E1043" s="2" t="s">
        <v>14</v>
      </c>
      <c r="F1043" s="2" t="s">
        <v>3013</v>
      </c>
      <c r="G1043" s="28" t="s">
        <v>9</v>
      </c>
      <c r="H1043" s="2" t="s">
        <v>23</v>
      </c>
      <c r="I1043" s="2">
        <v>8</v>
      </c>
      <c r="J1043" s="2"/>
      <c r="K1043" s="2">
        <v>5124</v>
      </c>
      <c r="L1043" s="35">
        <v>16800622.440000001</v>
      </c>
      <c r="M1043" s="36">
        <v>1680</v>
      </c>
      <c r="N1043" s="40">
        <v>369290.53472882998</v>
      </c>
      <c r="O1043" s="40">
        <v>1166.88867745005</v>
      </c>
      <c r="P1043" s="40">
        <v>191931.44814462401</v>
      </c>
      <c r="Q1043" s="40">
        <v>29006.9343482398</v>
      </c>
      <c r="R1043" s="40">
        <v>60742.150333016201</v>
      </c>
      <c r="S1043" s="40">
        <v>113286.02854424401</v>
      </c>
      <c r="T1043" s="40">
        <v>30000</v>
      </c>
      <c r="U1043" s="40">
        <v>1103972.5975261701</v>
      </c>
      <c r="V1043" s="40">
        <v>0</v>
      </c>
      <c r="W1043" s="45">
        <v>1899396.5823025701</v>
      </c>
      <c r="X1043" s="46">
        <v>11.3055131682524</v>
      </c>
    </row>
    <row r="1044" spans="1:24" s="4" customFormat="1" ht="15" customHeight="1">
      <c r="A1044" s="28" t="s">
        <v>2682</v>
      </c>
      <c r="B1044" s="29">
        <v>3278.81</v>
      </c>
      <c r="C1044" s="30" t="s">
        <v>3012</v>
      </c>
      <c r="D1044" s="2">
        <v>4950365718</v>
      </c>
      <c r="E1044" s="2" t="s">
        <v>14</v>
      </c>
      <c r="F1044" s="2" t="s">
        <v>3013</v>
      </c>
      <c r="G1044" s="28" t="s">
        <v>9</v>
      </c>
      <c r="H1044" s="2" t="s">
        <v>23</v>
      </c>
      <c r="I1044" s="2">
        <v>8</v>
      </c>
      <c r="J1044" s="2"/>
      <c r="K1044" s="2">
        <v>21224</v>
      </c>
      <c r="L1044" s="35">
        <v>69589463.439999998</v>
      </c>
      <c r="M1044" s="36">
        <v>2800</v>
      </c>
      <c r="N1044" s="40">
        <v>615484</v>
      </c>
      <c r="O1044" s="40">
        <v>1944.8144624167501</v>
      </c>
      <c r="P1044" s="40">
        <v>319886</v>
      </c>
      <c r="Q1044" s="40">
        <v>48344.890580399602</v>
      </c>
      <c r="R1044" s="40">
        <v>101237</v>
      </c>
      <c r="S1044" s="40">
        <v>188810</v>
      </c>
      <c r="T1044" s="40">
        <v>30000</v>
      </c>
      <c r="U1044" s="40">
        <v>1839954</v>
      </c>
      <c r="V1044" s="40">
        <v>0</v>
      </c>
      <c r="W1044" s="45">
        <v>3145660.70504282</v>
      </c>
      <c r="X1044" s="46">
        <v>4.5203117678224398</v>
      </c>
    </row>
    <row r="1046" spans="1:24" ht="15" customHeight="1">
      <c r="A1046" s="31" t="s">
        <v>2682</v>
      </c>
      <c r="B1046" s="31"/>
      <c r="C1046" s="31"/>
      <c r="D1046" s="31"/>
      <c r="E1046" s="31"/>
      <c r="F1046" s="32">
        <v>58</v>
      </c>
      <c r="G1046" s="31"/>
      <c r="H1046" s="31"/>
      <c r="I1046" s="38"/>
      <c r="J1046" s="31"/>
      <c r="K1046" s="39">
        <f>+SUM(K899:K1044)</f>
        <v>1844469.76</v>
      </c>
      <c r="L1046" s="39">
        <f>+SUM(L899:L1044)</f>
        <v>6047665893.7855997</v>
      </c>
      <c r="M1046" s="31"/>
      <c r="N1046" s="39"/>
      <c r="O1046" s="39"/>
      <c r="P1046" s="39"/>
      <c r="Q1046" s="39"/>
      <c r="R1046" s="39"/>
      <c r="S1046" s="39"/>
      <c r="T1046" s="39"/>
      <c r="U1046" s="39"/>
      <c r="V1046" s="31"/>
      <c r="W1046" s="39">
        <f>+SUM(W899:W1044)</f>
        <v>254292397.60740221</v>
      </c>
      <c r="X1046" s="47">
        <f>(W1046/L1046)*100</f>
        <v>4.2048023497578706</v>
      </c>
    </row>
    <row r="1048" spans="1:24" s="4" customFormat="1" ht="15" customHeight="1">
      <c r="A1048" s="28" t="s">
        <v>3019</v>
      </c>
      <c r="B1048" s="29">
        <v>3196.165</v>
      </c>
      <c r="C1048" s="30" t="s">
        <v>3020</v>
      </c>
      <c r="D1048" s="2">
        <v>4951153729</v>
      </c>
      <c r="E1048" s="2" t="s">
        <v>14</v>
      </c>
      <c r="F1048" s="2" t="s">
        <v>3021</v>
      </c>
      <c r="G1048" s="28" t="s">
        <v>13</v>
      </c>
      <c r="H1048" s="2" t="s">
        <v>23</v>
      </c>
      <c r="I1048" s="2">
        <v>4</v>
      </c>
      <c r="J1048" s="2"/>
      <c r="K1048" s="2">
        <v>77980</v>
      </c>
      <c r="L1048" s="35">
        <v>249236946.69999999</v>
      </c>
      <c r="M1048" s="36">
        <v>2000</v>
      </c>
      <c r="N1048" s="40">
        <v>2580958.83</v>
      </c>
      <c r="O1048" s="40">
        <v>0</v>
      </c>
      <c r="P1048" s="40">
        <v>0</v>
      </c>
      <c r="Q1048" s="40">
        <v>0</v>
      </c>
      <c r="R1048" s="40">
        <v>13324</v>
      </c>
      <c r="S1048" s="40">
        <v>354356</v>
      </c>
      <c r="T1048" s="40">
        <v>30000</v>
      </c>
      <c r="U1048" s="40">
        <v>246380</v>
      </c>
      <c r="V1048" s="40">
        <v>0</v>
      </c>
      <c r="W1048" s="45">
        <v>3225018.83</v>
      </c>
      <c r="X1048" s="46">
        <v>1.2939569645273601</v>
      </c>
    </row>
    <row r="1049" spans="1:24" s="4" customFormat="1" ht="15" customHeight="1">
      <c r="A1049" s="28" t="s">
        <v>3019</v>
      </c>
      <c r="B1049" s="29">
        <v>3196.165</v>
      </c>
      <c r="C1049" s="30" t="s">
        <v>3022</v>
      </c>
      <c r="D1049" s="2">
        <v>4950812433</v>
      </c>
      <c r="E1049" s="2" t="s">
        <v>14</v>
      </c>
      <c r="F1049" s="2" t="s">
        <v>3023</v>
      </c>
      <c r="G1049" s="28" t="s">
        <v>5</v>
      </c>
      <c r="H1049" s="2" t="s">
        <v>20</v>
      </c>
      <c r="I1049" s="2">
        <v>1</v>
      </c>
      <c r="J1049" s="2" t="s">
        <v>3024</v>
      </c>
      <c r="K1049" s="2">
        <v>26100</v>
      </c>
      <c r="L1049" s="35">
        <v>83419906.5</v>
      </c>
      <c r="M1049" s="36">
        <v>18000</v>
      </c>
      <c r="N1049" s="40">
        <v>399194</v>
      </c>
      <c r="O1049" s="40">
        <v>323898</v>
      </c>
      <c r="P1049" s="40">
        <v>0</v>
      </c>
      <c r="Q1049" s="40">
        <v>110000</v>
      </c>
      <c r="R1049" s="40">
        <v>655532</v>
      </c>
      <c r="S1049" s="40">
        <v>354356</v>
      </c>
      <c r="T1049" s="40">
        <v>30000</v>
      </c>
      <c r="U1049" s="40">
        <v>5014900</v>
      </c>
      <c r="V1049" s="40">
        <v>0</v>
      </c>
      <c r="W1049" s="45">
        <v>6887880</v>
      </c>
      <c r="X1049" s="46">
        <v>8.2568781109818197</v>
      </c>
    </row>
    <row r="1050" spans="1:24" s="4" customFormat="1" ht="15" customHeight="1">
      <c r="A1050" s="28" t="s">
        <v>3019</v>
      </c>
      <c r="B1050" s="29">
        <v>3196.165</v>
      </c>
      <c r="C1050" s="30" t="s">
        <v>3030</v>
      </c>
      <c r="D1050" s="2">
        <v>4950785267</v>
      </c>
      <c r="E1050" s="2" t="s">
        <v>14</v>
      </c>
      <c r="F1050" s="2" t="s">
        <v>3031</v>
      </c>
      <c r="G1050" s="28" t="s">
        <v>5</v>
      </c>
      <c r="H1050" s="2" t="s">
        <v>17</v>
      </c>
      <c r="I1050" s="2">
        <v>1</v>
      </c>
      <c r="J1050" s="2" t="s">
        <v>3032</v>
      </c>
      <c r="K1050" s="2">
        <v>25193.8</v>
      </c>
      <c r="L1050" s="35">
        <v>80523541.776999995</v>
      </c>
      <c r="M1050" s="36">
        <v>11400</v>
      </c>
      <c r="N1050" s="40">
        <v>211174.59854014599</v>
      </c>
      <c r="O1050" s="40">
        <v>288518.55907780997</v>
      </c>
      <c r="P1050" s="40">
        <v>0</v>
      </c>
      <c r="Q1050" s="40">
        <v>75900.345821325594</v>
      </c>
      <c r="R1050" s="40">
        <v>488034.92700729897</v>
      </c>
      <c r="S1050" s="40">
        <v>196577.05109489101</v>
      </c>
      <c r="T1050" s="40">
        <v>30000</v>
      </c>
      <c r="U1050" s="40">
        <v>3155969.3430656898</v>
      </c>
      <c r="V1050" s="40">
        <v>0</v>
      </c>
      <c r="W1050" s="45">
        <v>4446174.8246071599</v>
      </c>
      <c r="X1050" s="46">
        <v>5.5215837834360197</v>
      </c>
    </row>
    <row r="1051" spans="1:24" s="4" customFormat="1" ht="15" customHeight="1">
      <c r="A1051" s="28" t="s">
        <v>3019</v>
      </c>
      <c r="B1051" s="29">
        <v>3196.165</v>
      </c>
      <c r="C1051" s="30" t="s">
        <v>3030</v>
      </c>
      <c r="D1051" s="2">
        <v>4950722780</v>
      </c>
      <c r="E1051" s="2" t="s">
        <v>14</v>
      </c>
      <c r="F1051" s="2" t="s">
        <v>3031</v>
      </c>
      <c r="G1051" s="28" t="s">
        <v>5</v>
      </c>
      <c r="H1051" s="2" t="s">
        <v>17</v>
      </c>
      <c r="I1051" s="2">
        <v>1</v>
      </c>
      <c r="J1051" s="2" t="s">
        <v>3032</v>
      </c>
      <c r="K1051" s="2">
        <v>14490</v>
      </c>
      <c r="L1051" s="35">
        <v>46312430.850000001</v>
      </c>
      <c r="M1051" s="36">
        <v>5520</v>
      </c>
      <c r="N1051" s="40">
        <v>97251.459854014596</v>
      </c>
      <c r="O1051" s="40">
        <v>139703.72334293899</v>
      </c>
      <c r="P1051" s="40">
        <v>0</v>
      </c>
      <c r="Q1051" s="40">
        <v>36751.7463976945</v>
      </c>
      <c r="R1051" s="40">
        <v>224752.99270073001</v>
      </c>
      <c r="S1051" s="40">
        <v>90528.905109489104</v>
      </c>
      <c r="T1051" s="40">
        <v>30000</v>
      </c>
      <c r="U1051" s="40">
        <v>1453406.9343065701</v>
      </c>
      <c r="V1051" s="40">
        <v>0</v>
      </c>
      <c r="W1051" s="45">
        <v>2072395.76171144</v>
      </c>
      <c r="X1051" s="46">
        <v>4.4748153436895999</v>
      </c>
    </row>
    <row r="1052" spans="1:24" s="4" customFormat="1" ht="15" customHeight="1">
      <c r="A1052" s="28" t="s">
        <v>3019</v>
      </c>
      <c r="B1052" s="29">
        <v>3196.165</v>
      </c>
      <c r="C1052" s="30" t="s">
        <v>3030</v>
      </c>
      <c r="D1052" s="2">
        <v>4951325259</v>
      </c>
      <c r="E1052" s="2" t="s">
        <v>14</v>
      </c>
      <c r="F1052" s="2" t="s">
        <v>3031</v>
      </c>
      <c r="G1052" s="28" t="s">
        <v>5</v>
      </c>
      <c r="H1052" s="2" t="s">
        <v>17</v>
      </c>
      <c r="I1052" s="2">
        <v>1</v>
      </c>
      <c r="J1052" s="2" t="s">
        <v>3032</v>
      </c>
      <c r="K1052" s="2">
        <v>7722</v>
      </c>
      <c r="L1052" s="35">
        <v>24680786.129999999</v>
      </c>
      <c r="M1052" s="36">
        <v>3900</v>
      </c>
      <c r="N1052" s="40">
        <v>72243.941605839398</v>
      </c>
      <c r="O1052" s="40">
        <v>98703.717579250704</v>
      </c>
      <c r="P1052" s="40">
        <v>0</v>
      </c>
      <c r="Q1052" s="40">
        <v>25965.9077809798</v>
      </c>
      <c r="R1052" s="40">
        <v>166959.08029197101</v>
      </c>
      <c r="S1052" s="40">
        <v>67250.043795620397</v>
      </c>
      <c r="T1052" s="40">
        <v>30000</v>
      </c>
      <c r="U1052" s="40">
        <v>1079673.7226277399</v>
      </c>
      <c r="V1052" s="40">
        <v>0</v>
      </c>
      <c r="W1052" s="45">
        <v>1540796.4136814</v>
      </c>
      <c r="X1052" s="46">
        <v>6.2428984456395904</v>
      </c>
    </row>
    <row r="1053" spans="1:24" s="4" customFormat="1" ht="15" customHeight="1">
      <c r="A1053" s="28" t="s">
        <v>3019</v>
      </c>
      <c r="B1053" s="29">
        <v>3196.165</v>
      </c>
      <c r="C1053" s="30" t="s">
        <v>3036</v>
      </c>
      <c r="D1053" s="2">
        <v>4951213131</v>
      </c>
      <c r="E1053" s="2" t="s">
        <v>14</v>
      </c>
      <c r="F1053" s="2" t="s">
        <v>3037</v>
      </c>
      <c r="G1053" s="28" t="s">
        <v>9</v>
      </c>
      <c r="H1053" s="2" t="s">
        <v>23</v>
      </c>
      <c r="I1053" s="2">
        <v>4</v>
      </c>
      <c r="J1053" s="2"/>
      <c r="K1053" s="2">
        <v>6816</v>
      </c>
      <c r="L1053" s="35">
        <v>21785060.640000001</v>
      </c>
      <c r="M1053" s="36">
        <v>2400</v>
      </c>
      <c r="N1053" s="40">
        <v>687122</v>
      </c>
      <c r="O1053" s="40">
        <v>1165</v>
      </c>
      <c r="P1053" s="40">
        <v>51520</v>
      </c>
      <c r="Q1053" s="40">
        <v>41283</v>
      </c>
      <c r="R1053" s="40">
        <v>132501</v>
      </c>
      <c r="S1053" s="40">
        <v>354356</v>
      </c>
      <c r="T1053" s="40">
        <v>30000</v>
      </c>
      <c r="U1053" s="40">
        <v>1076387.09677419</v>
      </c>
      <c r="V1053" s="40">
        <v>0</v>
      </c>
      <c r="W1053" s="45">
        <v>2374334.0967741902</v>
      </c>
      <c r="X1053" s="46">
        <v>10.8989097437472</v>
      </c>
    </row>
    <row r="1054" spans="1:24" s="4" customFormat="1" ht="15" customHeight="1">
      <c r="A1054" s="28" t="s">
        <v>3019</v>
      </c>
      <c r="B1054" s="29">
        <v>3196.165</v>
      </c>
      <c r="C1054" s="30" t="s">
        <v>3038</v>
      </c>
      <c r="D1054" s="2">
        <v>4951410240</v>
      </c>
      <c r="E1054" s="2" t="s">
        <v>14</v>
      </c>
      <c r="F1054" s="2" t="s">
        <v>3039</v>
      </c>
      <c r="G1054" s="28" t="s">
        <v>9</v>
      </c>
      <c r="H1054" s="2" t="s">
        <v>23</v>
      </c>
      <c r="I1054" s="2">
        <v>1</v>
      </c>
      <c r="J1054" s="2"/>
      <c r="K1054" s="2">
        <v>13255</v>
      </c>
      <c r="L1054" s="35">
        <v>42365167.075000003</v>
      </c>
      <c r="M1054" s="36">
        <v>250</v>
      </c>
      <c r="N1054" s="40">
        <v>462372</v>
      </c>
      <c r="O1054" s="40">
        <v>192</v>
      </c>
      <c r="P1054" s="40">
        <v>5763</v>
      </c>
      <c r="Q1054" s="40">
        <v>4679</v>
      </c>
      <c r="R1054" s="40">
        <v>93373</v>
      </c>
      <c r="S1054" s="40">
        <v>354356</v>
      </c>
      <c r="T1054" s="40">
        <v>30000</v>
      </c>
      <c r="U1054" s="40">
        <v>122187.71970939801</v>
      </c>
      <c r="V1054" s="40">
        <v>0</v>
      </c>
      <c r="W1054" s="45">
        <v>1072922.7197094001</v>
      </c>
      <c r="X1054" s="46">
        <v>2.5325586886273301</v>
      </c>
    </row>
    <row r="1055" spans="1:24" s="4" customFormat="1" ht="15" customHeight="1">
      <c r="A1055" s="28" t="s">
        <v>3019</v>
      </c>
      <c r="B1055" s="29">
        <v>3196.165</v>
      </c>
      <c r="C1055" s="30" t="s">
        <v>3040</v>
      </c>
      <c r="D1055" s="2">
        <v>4950978862</v>
      </c>
      <c r="E1055" s="2" t="s">
        <v>14</v>
      </c>
      <c r="F1055" s="2" t="s">
        <v>3041</v>
      </c>
      <c r="G1055" s="28" t="s">
        <v>9</v>
      </c>
      <c r="H1055" s="2" t="s">
        <v>23</v>
      </c>
      <c r="I1055" s="2">
        <v>1</v>
      </c>
      <c r="J1055" s="2"/>
      <c r="K1055" s="2">
        <v>8224.92</v>
      </c>
      <c r="L1055" s="35">
        <v>26288201.4318</v>
      </c>
      <c r="M1055" s="36">
        <v>396</v>
      </c>
      <c r="N1055" s="40">
        <v>564652</v>
      </c>
      <c r="O1055" s="40">
        <v>294</v>
      </c>
      <c r="P1055" s="40">
        <v>23054</v>
      </c>
      <c r="Q1055" s="40">
        <v>8788</v>
      </c>
      <c r="R1055" s="40">
        <v>98068</v>
      </c>
      <c r="S1055" s="40">
        <v>354356</v>
      </c>
      <c r="T1055" s="40">
        <v>30000</v>
      </c>
      <c r="U1055" s="40">
        <v>193545.348019686</v>
      </c>
      <c r="V1055" s="40">
        <v>0</v>
      </c>
      <c r="W1055" s="45">
        <v>1272757.34801969</v>
      </c>
      <c r="X1055" s="46">
        <v>4.8415535437889297</v>
      </c>
    </row>
    <row r="1056" spans="1:24" s="4" customFormat="1" ht="15" customHeight="1">
      <c r="A1056" s="28" t="s">
        <v>3019</v>
      </c>
      <c r="B1056" s="29">
        <v>3196.165</v>
      </c>
      <c r="C1056" s="30" t="s">
        <v>3045</v>
      </c>
      <c r="D1056" s="2">
        <v>4951412256</v>
      </c>
      <c r="E1056" s="2" t="s">
        <v>14</v>
      </c>
      <c r="F1056" s="78" t="s">
        <v>3046</v>
      </c>
      <c r="G1056" s="28" t="s">
        <v>13</v>
      </c>
      <c r="H1056" s="2" t="s">
        <v>23</v>
      </c>
      <c r="I1056" s="2">
        <v>1</v>
      </c>
      <c r="J1056" s="2"/>
      <c r="K1056" s="2">
        <v>3139.2</v>
      </c>
      <c r="L1056" s="35">
        <v>10033401.168</v>
      </c>
      <c r="M1056" s="36">
        <v>40</v>
      </c>
      <c r="N1056" s="40">
        <v>317286.96999999997</v>
      </c>
      <c r="O1056" s="40">
        <v>0</v>
      </c>
      <c r="P1056" s="40">
        <v>248710</v>
      </c>
      <c r="Q1056" s="40">
        <v>0</v>
      </c>
      <c r="R1056" s="40">
        <v>2529</v>
      </c>
      <c r="S1056" s="40">
        <v>354356</v>
      </c>
      <c r="T1056" s="40">
        <v>30000</v>
      </c>
      <c r="U1056" s="40">
        <v>246380</v>
      </c>
      <c r="V1056" s="40">
        <v>0</v>
      </c>
      <c r="W1056" s="45">
        <v>1199261.97</v>
      </c>
      <c r="X1056" s="46">
        <v>11.952696298288799</v>
      </c>
    </row>
    <row r="1057" spans="1:24" s="4" customFormat="1" ht="15" customHeight="1">
      <c r="A1057" s="28" t="s">
        <v>3019</v>
      </c>
      <c r="B1057" s="29">
        <v>3196.165</v>
      </c>
      <c r="C1057" s="30" t="s">
        <v>3049</v>
      </c>
      <c r="D1057" s="2">
        <v>4951771614</v>
      </c>
      <c r="E1057" s="2" t="s">
        <v>14</v>
      </c>
      <c r="F1057" s="2">
        <v>1027210249</v>
      </c>
      <c r="G1057" s="28" t="s">
        <v>13</v>
      </c>
      <c r="H1057" s="2" t="s">
        <v>23</v>
      </c>
      <c r="I1057" s="2">
        <v>1</v>
      </c>
      <c r="J1057" s="2"/>
      <c r="K1057" s="2">
        <v>3178.6</v>
      </c>
      <c r="L1057" s="35">
        <v>10159330.069</v>
      </c>
      <c r="M1057" s="36">
        <v>20</v>
      </c>
      <c r="N1057" s="40">
        <v>297286.34000000003</v>
      </c>
      <c r="O1057" s="40">
        <v>0</v>
      </c>
      <c r="P1057" s="40">
        <v>0</v>
      </c>
      <c r="Q1057" s="40">
        <v>0</v>
      </c>
      <c r="R1057" s="40">
        <v>1189</v>
      </c>
      <c r="S1057" s="40">
        <v>354356</v>
      </c>
      <c r="T1057" s="40">
        <v>30000</v>
      </c>
      <c r="U1057" s="40">
        <v>3154.6734955185698</v>
      </c>
      <c r="V1057" s="40">
        <v>0</v>
      </c>
      <c r="W1057" s="45">
        <v>685986.01349551894</v>
      </c>
      <c r="X1057" s="46">
        <v>6.7522760736825003</v>
      </c>
    </row>
    <row r="1058" spans="1:24" s="4" customFormat="1" ht="15" customHeight="1">
      <c r="A1058" s="28" t="s">
        <v>3019</v>
      </c>
      <c r="B1058" s="29">
        <v>3196.165</v>
      </c>
      <c r="C1058" s="30" t="s">
        <v>3052</v>
      </c>
      <c r="D1058" s="2">
        <v>4951050361</v>
      </c>
      <c r="E1058" s="2" t="s">
        <v>14</v>
      </c>
      <c r="F1058" s="78" t="s">
        <v>3053</v>
      </c>
      <c r="G1058" s="28" t="s">
        <v>13</v>
      </c>
      <c r="H1058" s="2" t="s">
        <v>23</v>
      </c>
      <c r="I1058" s="2">
        <v>1</v>
      </c>
      <c r="J1058" s="2"/>
      <c r="K1058" s="2">
        <v>854.36</v>
      </c>
      <c r="L1058" s="35">
        <v>2730675.5293999999</v>
      </c>
      <c r="M1058" s="36">
        <v>2</v>
      </c>
      <c r="N1058" s="40">
        <v>297286.34000000003</v>
      </c>
      <c r="O1058" s="40">
        <v>0</v>
      </c>
      <c r="P1058" s="40">
        <v>0</v>
      </c>
      <c r="Q1058" s="40">
        <v>0</v>
      </c>
      <c r="R1058" s="40">
        <v>1189</v>
      </c>
      <c r="S1058" s="40">
        <v>354356</v>
      </c>
      <c r="T1058" s="40">
        <v>30000</v>
      </c>
      <c r="U1058" s="40">
        <v>315.46734955185701</v>
      </c>
      <c r="V1058" s="40">
        <v>0</v>
      </c>
      <c r="W1058" s="45">
        <v>683146.80734955205</v>
      </c>
      <c r="X1058" s="46">
        <v>25.0175020794088</v>
      </c>
    </row>
    <row r="1059" spans="1:24" s="4" customFormat="1" ht="15" customHeight="1">
      <c r="A1059" s="28" t="s">
        <v>3019</v>
      </c>
      <c r="B1059" s="29">
        <v>3196.165</v>
      </c>
      <c r="C1059" s="30" t="s">
        <v>3054</v>
      </c>
      <c r="D1059" s="2">
        <v>4951516180</v>
      </c>
      <c r="E1059" s="2" t="s">
        <v>14</v>
      </c>
      <c r="F1059" s="2" t="s">
        <v>3055</v>
      </c>
      <c r="G1059" s="28" t="s">
        <v>13</v>
      </c>
      <c r="H1059" s="2" t="s">
        <v>23</v>
      </c>
      <c r="I1059" s="2">
        <v>1</v>
      </c>
      <c r="J1059" s="2"/>
      <c r="K1059" s="2">
        <v>4184.3999999999996</v>
      </c>
      <c r="L1059" s="35">
        <v>13374032.825999999</v>
      </c>
      <c r="M1059" s="36">
        <v>40</v>
      </c>
      <c r="N1059" s="40">
        <v>311676.86</v>
      </c>
      <c r="O1059" s="40">
        <v>0</v>
      </c>
      <c r="P1059" s="40">
        <v>0</v>
      </c>
      <c r="Q1059" s="40">
        <v>0</v>
      </c>
      <c r="R1059" s="40">
        <v>1246</v>
      </c>
      <c r="S1059" s="40">
        <v>354356</v>
      </c>
      <c r="T1059" s="40">
        <v>30000</v>
      </c>
      <c r="U1059" s="40">
        <v>6309.3469910371296</v>
      </c>
      <c r="V1059" s="40">
        <v>0</v>
      </c>
      <c r="W1059" s="45">
        <v>703588.206991037</v>
      </c>
      <c r="X1059" s="46">
        <v>5.2608529988293098</v>
      </c>
    </row>
    <row r="1060" spans="1:24" s="4" customFormat="1" ht="15" customHeight="1">
      <c r="A1060" s="28" t="s">
        <v>3019</v>
      </c>
      <c r="B1060" s="29">
        <v>3196.165</v>
      </c>
      <c r="C1060" s="30" t="s">
        <v>3058</v>
      </c>
      <c r="D1060" s="2">
        <v>4951647405</v>
      </c>
      <c r="E1060" s="2" t="s">
        <v>14</v>
      </c>
      <c r="F1060" s="78" t="s">
        <v>3059</v>
      </c>
      <c r="G1060" s="28" t="s">
        <v>13</v>
      </c>
      <c r="H1060" s="2" t="s">
        <v>23</v>
      </c>
      <c r="I1060" s="2">
        <v>1</v>
      </c>
      <c r="J1060" s="2"/>
      <c r="K1060" s="2">
        <v>5152.2</v>
      </c>
      <c r="L1060" s="35">
        <v>16467281.312999999</v>
      </c>
      <c r="M1060" s="36">
        <v>60</v>
      </c>
      <c r="N1060" s="40">
        <v>240677.19333333301</v>
      </c>
      <c r="O1060" s="40">
        <v>0</v>
      </c>
      <c r="P1060" s="40">
        <v>0</v>
      </c>
      <c r="Q1060" s="40">
        <v>0</v>
      </c>
      <c r="R1060" s="40">
        <v>4962.6666666666697</v>
      </c>
      <c r="S1060" s="40">
        <v>236237.33333333299</v>
      </c>
      <c r="T1060" s="40">
        <v>30000</v>
      </c>
      <c r="U1060" s="40">
        <v>54589.364844903997</v>
      </c>
      <c r="V1060" s="40">
        <v>0</v>
      </c>
      <c r="W1060" s="45">
        <v>566466.55817823706</v>
      </c>
      <c r="X1060" s="46">
        <v>3.43995191076892</v>
      </c>
    </row>
    <row r="1061" spans="1:24" s="4" customFormat="1" ht="15" customHeight="1">
      <c r="A1061" s="28" t="s">
        <v>3019</v>
      </c>
      <c r="B1061" s="29">
        <v>3196.165</v>
      </c>
      <c r="C1061" s="30" t="s">
        <v>3058</v>
      </c>
      <c r="D1061" s="2">
        <v>4951647405</v>
      </c>
      <c r="E1061" s="2" t="s">
        <v>14</v>
      </c>
      <c r="F1061" s="78" t="s">
        <v>3059</v>
      </c>
      <c r="G1061" s="28" t="s">
        <v>13</v>
      </c>
      <c r="H1061" s="2" t="s">
        <v>23</v>
      </c>
      <c r="I1061" s="2">
        <v>1</v>
      </c>
      <c r="J1061" s="2"/>
      <c r="K1061" s="2">
        <v>1359.9</v>
      </c>
      <c r="L1061" s="35">
        <v>4346464.7834999999</v>
      </c>
      <c r="M1061" s="36">
        <v>30</v>
      </c>
      <c r="N1061" s="40">
        <v>120338.596666667</v>
      </c>
      <c r="O1061" s="40">
        <v>0</v>
      </c>
      <c r="P1061" s="40">
        <v>0</v>
      </c>
      <c r="Q1061" s="40">
        <v>0</v>
      </c>
      <c r="R1061" s="40">
        <v>2481.3333333333298</v>
      </c>
      <c r="S1061" s="40">
        <v>118118.66666666701</v>
      </c>
      <c r="T1061" s="40">
        <v>30000</v>
      </c>
      <c r="U1061" s="40">
        <v>27294.682422451999</v>
      </c>
      <c r="V1061" s="40">
        <v>0</v>
      </c>
      <c r="W1061" s="45">
        <v>298233.27908911899</v>
      </c>
      <c r="X1061" s="46">
        <v>6.8615137576006404</v>
      </c>
    </row>
    <row r="1062" spans="1:24" s="4" customFormat="1" ht="15" customHeight="1">
      <c r="A1062" s="28" t="s">
        <v>3019</v>
      </c>
      <c r="B1062" s="29">
        <v>3196.165</v>
      </c>
      <c r="C1062" s="30" t="s">
        <v>3060</v>
      </c>
      <c r="D1062" s="2">
        <v>4951870882</v>
      </c>
      <c r="E1062" s="2" t="s">
        <v>14</v>
      </c>
      <c r="F1062" s="78" t="s">
        <v>3061</v>
      </c>
      <c r="G1062" s="28" t="s">
        <v>13</v>
      </c>
      <c r="H1062" s="2" t="s">
        <v>23</v>
      </c>
      <c r="I1062" s="2">
        <v>2</v>
      </c>
      <c r="J1062" s="2"/>
      <c r="K1062" s="2">
        <v>91.66</v>
      </c>
      <c r="L1062" s="35">
        <v>292960.48389999999</v>
      </c>
      <c r="M1062" s="36">
        <v>0.8</v>
      </c>
      <c r="N1062" s="40">
        <v>2180.2865929203499</v>
      </c>
      <c r="O1062" s="40">
        <v>0</v>
      </c>
      <c r="P1062" s="40">
        <v>0</v>
      </c>
      <c r="Q1062" s="40">
        <v>0</v>
      </c>
      <c r="R1062" s="40">
        <v>48.544247787610601</v>
      </c>
      <c r="S1062" s="40">
        <v>1567.94690265487</v>
      </c>
      <c r="T1062" s="40">
        <v>30000</v>
      </c>
      <c r="U1062" s="40">
        <v>727.85819793205303</v>
      </c>
      <c r="V1062" s="40">
        <v>0</v>
      </c>
      <c r="W1062" s="45">
        <v>34524.635941294902</v>
      </c>
      <c r="X1062" s="46">
        <v>11.784741573911299</v>
      </c>
    </row>
    <row r="1063" spans="1:24" s="4" customFormat="1" ht="15" customHeight="1">
      <c r="A1063" s="28" t="s">
        <v>3019</v>
      </c>
      <c r="B1063" s="29">
        <v>3196.165</v>
      </c>
      <c r="C1063" s="30" t="s">
        <v>3060</v>
      </c>
      <c r="D1063" s="2">
        <v>4949591577</v>
      </c>
      <c r="E1063" s="2" t="s">
        <v>14</v>
      </c>
      <c r="F1063" s="78" t="s">
        <v>3061</v>
      </c>
      <c r="G1063" s="28" t="s">
        <v>13</v>
      </c>
      <c r="H1063" s="2" t="s">
        <v>23</v>
      </c>
      <c r="I1063" s="2">
        <v>2</v>
      </c>
      <c r="J1063" s="2"/>
      <c r="K1063" s="2">
        <v>1816</v>
      </c>
      <c r="L1063" s="35">
        <v>5804235.6399999997</v>
      </c>
      <c r="M1063" s="36">
        <v>100</v>
      </c>
      <c r="N1063" s="40">
        <v>272535.82411504397</v>
      </c>
      <c r="O1063" s="40">
        <v>0</v>
      </c>
      <c r="P1063" s="40">
        <v>0</v>
      </c>
      <c r="Q1063" s="40">
        <v>0</v>
      </c>
      <c r="R1063" s="40">
        <v>6068.0309734513303</v>
      </c>
      <c r="S1063" s="40">
        <v>195993.36283185799</v>
      </c>
      <c r="T1063" s="40">
        <v>30000</v>
      </c>
      <c r="U1063" s="40">
        <v>90982.274741506597</v>
      </c>
      <c r="V1063" s="40">
        <v>0</v>
      </c>
      <c r="W1063" s="45">
        <v>595579.49266185996</v>
      </c>
      <c r="X1063" s="46">
        <v>10.2611184245762</v>
      </c>
    </row>
    <row r="1064" spans="1:24" s="4" customFormat="1" ht="15" customHeight="1">
      <c r="A1064" s="28" t="s">
        <v>3019</v>
      </c>
      <c r="B1064" s="29">
        <v>3196.165</v>
      </c>
      <c r="C1064" s="30" t="s">
        <v>3060</v>
      </c>
      <c r="D1064" s="2">
        <v>4951516179</v>
      </c>
      <c r="E1064" s="2" t="s">
        <v>14</v>
      </c>
      <c r="F1064" s="78" t="s">
        <v>3061</v>
      </c>
      <c r="G1064" s="28" t="s">
        <v>13</v>
      </c>
      <c r="H1064" s="2" t="s">
        <v>23</v>
      </c>
      <c r="I1064" s="2">
        <v>2</v>
      </c>
      <c r="J1064" s="2"/>
      <c r="K1064" s="2">
        <v>4492</v>
      </c>
      <c r="L1064" s="35">
        <v>14357173.18</v>
      </c>
      <c r="M1064" s="36">
        <v>80</v>
      </c>
      <c r="N1064" s="40">
        <v>218028.65929203501</v>
      </c>
      <c r="O1064" s="40">
        <v>0</v>
      </c>
      <c r="P1064" s="40">
        <v>0</v>
      </c>
      <c r="Q1064" s="40">
        <v>0</v>
      </c>
      <c r="R1064" s="40">
        <v>4854.4247787610602</v>
      </c>
      <c r="S1064" s="40">
        <v>156794.69026548701</v>
      </c>
      <c r="T1064" s="40">
        <v>30000</v>
      </c>
      <c r="U1064" s="40">
        <v>72785.819793205301</v>
      </c>
      <c r="V1064" s="40">
        <v>0</v>
      </c>
      <c r="W1064" s="45">
        <v>482463.59412948799</v>
      </c>
      <c r="X1064" s="46">
        <v>3.3604358468112299</v>
      </c>
    </row>
    <row r="1065" spans="1:24" s="4" customFormat="1" ht="15" customHeight="1">
      <c r="A1065" s="28" t="s">
        <v>3019</v>
      </c>
      <c r="B1065" s="29">
        <v>3196.165</v>
      </c>
      <c r="C1065" s="30" t="s">
        <v>3064</v>
      </c>
      <c r="D1065" s="2">
        <v>4951609223</v>
      </c>
      <c r="E1065" s="2" t="s">
        <v>14</v>
      </c>
      <c r="F1065" s="78" t="s">
        <v>3065</v>
      </c>
      <c r="G1065" s="28" t="s">
        <v>13</v>
      </c>
      <c r="H1065" s="2" t="s">
        <v>23</v>
      </c>
      <c r="I1065" s="2">
        <v>1</v>
      </c>
      <c r="J1065" s="2"/>
      <c r="K1065" s="2">
        <v>571</v>
      </c>
      <c r="L1065" s="35">
        <v>1825010.2150000001</v>
      </c>
      <c r="M1065" s="36">
        <v>5</v>
      </c>
      <c r="N1065" s="40">
        <v>304278.49</v>
      </c>
      <c r="O1065" s="40">
        <v>0</v>
      </c>
      <c r="P1065" s="40">
        <v>0</v>
      </c>
      <c r="Q1065" s="40">
        <v>0</v>
      </c>
      <c r="R1065" s="40">
        <v>1217</v>
      </c>
      <c r="S1065" s="40">
        <v>354356</v>
      </c>
      <c r="T1065" s="40">
        <v>30000</v>
      </c>
      <c r="U1065" s="40">
        <v>246380</v>
      </c>
      <c r="V1065" s="40">
        <v>0</v>
      </c>
      <c r="W1065" s="45">
        <v>936231.49</v>
      </c>
      <c r="X1065" s="46">
        <v>51.300068476603002</v>
      </c>
    </row>
    <row r="1066" spans="1:24" s="4" customFormat="1" ht="15" customHeight="1">
      <c r="A1066" s="28" t="s">
        <v>3019</v>
      </c>
      <c r="B1066" s="29">
        <v>3196.165</v>
      </c>
      <c r="C1066" s="30" t="s">
        <v>3073</v>
      </c>
      <c r="D1066" s="2">
        <v>4951796904</v>
      </c>
      <c r="E1066" s="2" t="s">
        <v>14</v>
      </c>
      <c r="F1066" s="78" t="s">
        <v>3074</v>
      </c>
      <c r="G1066" s="28" t="s">
        <v>13</v>
      </c>
      <c r="H1066" s="2" t="s">
        <v>23</v>
      </c>
      <c r="I1066" s="2">
        <v>1</v>
      </c>
      <c r="J1066" s="2"/>
      <c r="K1066" s="2">
        <v>1458.7</v>
      </c>
      <c r="L1066" s="35">
        <v>4662245.8854999999</v>
      </c>
      <c r="M1066" s="36">
        <v>10</v>
      </c>
      <c r="N1066" s="40">
        <v>62344.1</v>
      </c>
      <c r="O1066" s="40">
        <v>0</v>
      </c>
      <c r="P1066" s="40">
        <v>331517</v>
      </c>
      <c r="Q1066" s="40">
        <v>0</v>
      </c>
      <c r="R1066" s="40">
        <v>249</v>
      </c>
      <c r="S1066" s="40">
        <v>354356</v>
      </c>
      <c r="T1066" s="40">
        <v>30000</v>
      </c>
      <c r="U1066" s="40">
        <v>246380</v>
      </c>
      <c r="V1066" s="40">
        <v>0</v>
      </c>
      <c r="W1066" s="45">
        <v>1024846.1</v>
      </c>
      <c r="X1066" s="46">
        <v>21.981811452445299</v>
      </c>
    </row>
    <row r="1067" spans="1:24" s="4" customFormat="1" ht="15" customHeight="1">
      <c r="A1067" s="28" t="s">
        <v>3019</v>
      </c>
      <c r="B1067" s="29">
        <v>3196.165</v>
      </c>
      <c r="C1067" s="30" t="s">
        <v>3075</v>
      </c>
      <c r="D1067" s="2">
        <v>4950722791</v>
      </c>
      <c r="E1067" s="2" t="s">
        <v>14</v>
      </c>
      <c r="F1067" s="78" t="s">
        <v>3076</v>
      </c>
      <c r="G1067" s="28" t="s">
        <v>13</v>
      </c>
      <c r="H1067" s="2" t="s">
        <v>23</v>
      </c>
      <c r="I1067" s="2">
        <v>1</v>
      </c>
      <c r="J1067" s="2"/>
      <c r="K1067" s="2">
        <v>4895.4799999999996</v>
      </c>
      <c r="L1067" s="35">
        <v>15646761.8342</v>
      </c>
      <c r="M1067" s="36">
        <v>816</v>
      </c>
      <c r="N1067" s="40">
        <v>1018850</v>
      </c>
      <c r="O1067" s="40">
        <v>0</v>
      </c>
      <c r="P1067" s="40">
        <v>0</v>
      </c>
      <c r="Q1067" s="40">
        <v>0</v>
      </c>
      <c r="R1067" s="40">
        <v>19432</v>
      </c>
      <c r="S1067" s="40">
        <v>354356</v>
      </c>
      <c r="T1067" s="40">
        <v>30000</v>
      </c>
      <c r="U1067" s="40">
        <v>246380</v>
      </c>
      <c r="V1067" s="40">
        <v>0</v>
      </c>
      <c r="W1067" s="45">
        <v>1669018</v>
      </c>
      <c r="X1067" s="46">
        <v>10.6668588535165</v>
      </c>
    </row>
    <row r="1068" spans="1:24" s="4" customFormat="1" ht="15" customHeight="1">
      <c r="A1068" s="28" t="s">
        <v>3019</v>
      </c>
      <c r="B1068" s="29">
        <v>3196.165</v>
      </c>
      <c r="C1068" s="30" t="s">
        <v>3079</v>
      </c>
      <c r="D1068" s="2">
        <v>4952026916</v>
      </c>
      <c r="E1068" s="2" t="s">
        <v>14</v>
      </c>
      <c r="F1068" s="78" t="s">
        <v>3080</v>
      </c>
      <c r="G1068" s="28" t="s">
        <v>13</v>
      </c>
      <c r="H1068" s="2" t="s">
        <v>23</v>
      </c>
      <c r="I1068" s="2">
        <v>1</v>
      </c>
      <c r="J1068" s="2"/>
      <c r="K1068" s="2">
        <v>370.05</v>
      </c>
      <c r="L1068" s="35">
        <v>1182740.85825</v>
      </c>
      <c r="M1068" s="36">
        <v>5</v>
      </c>
      <c r="N1068" s="40">
        <v>411753</v>
      </c>
      <c r="O1068" s="40">
        <v>0</v>
      </c>
      <c r="P1068" s="40">
        <v>0</v>
      </c>
      <c r="Q1068" s="40">
        <v>0</v>
      </c>
      <c r="R1068" s="40">
        <v>1647</v>
      </c>
      <c r="S1068" s="40">
        <v>354356</v>
      </c>
      <c r="T1068" s="40">
        <v>30000</v>
      </c>
      <c r="U1068" s="40">
        <v>246380</v>
      </c>
      <c r="V1068" s="40">
        <v>0</v>
      </c>
      <c r="W1068" s="45">
        <v>1044136</v>
      </c>
      <c r="X1068" s="46">
        <v>88.281045904249694</v>
      </c>
    </row>
    <row r="1069" spans="1:24" s="4" customFormat="1" ht="15" customHeight="1">
      <c r="A1069" s="28" t="s">
        <v>3019</v>
      </c>
      <c r="B1069" s="29">
        <v>3196.165</v>
      </c>
      <c r="C1069" s="30" t="s">
        <v>3089</v>
      </c>
      <c r="D1069" s="2">
        <v>4951046398</v>
      </c>
      <c r="E1069" s="2" t="s">
        <v>14</v>
      </c>
      <c r="F1069" s="2" t="s">
        <v>3090</v>
      </c>
      <c r="G1069" s="28" t="s">
        <v>9</v>
      </c>
      <c r="H1069" s="2" t="s">
        <v>23</v>
      </c>
      <c r="I1069" s="2">
        <v>15</v>
      </c>
      <c r="J1069" s="2"/>
      <c r="K1069" s="2">
        <v>19404</v>
      </c>
      <c r="L1069" s="35">
        <v>62018385.659999996</v>
      </c>
      <c r="M1069" s="36">
        <v>900</v>
      </c>
      <c r="N1069" s="40">
        <v>143387.01980198</v>
      </c>
      <c r="O1069" s="48">
        <v>605.58415841584201</v>
      </c>
      <c r="P1069" s="40">
        <v>28696.009900990099</v>
      </c>
      <c r="Q1069" s="48">
        <v>15007.8118811881</v>
      </c>
      <c r="R1069" s="40">
        <v>23078.227722772299</v>
      </c>
      <c r="S1069" s="40">
        <v>31576.2772277228</v>
      </c>
      <c r="T1069" s="40">
        <v>30000</v>
      </c>
      <c r="U1069" s="40">
        <v>475396.03960396</v>
      </c>
      <c r="V1069" s="40">
        <v>0</v>
      </c>
      <c r="W1069" s="45">
        <v>747746.97029702901</v>
      </c>
      <c r="X1069" s="46">
        <v>1.2056859628632699</v>
      </c>
    </row>
    <row r="1070" spans="1:24" s="4" customFormat="1" ht="15" customHeight="1">
      <c r="A1070" s="28" t="s">
        <v>3019</v>
      </c>
      <c r="B1070" s="29">
        <v>3196.165</v>
      </c>
      <c r="C1070" s="30" t="s">
        <v>3089</v>
      </c>
      <c r="D1070" s="2">
        <v>4951325259</v>
      </c>
      <c r="E1070" s="2" t="s">
        <v>14</v>
      </c>
      <c r="F1070" s="2" t="s">
        <v>3090</v>
      </c>
      <c r="G1070" s="28" t="s">
        <v>9</v>
      </c>
      <c r="H1070" s="2" t="s">
        <v>23</v>
      </c>
      <c r="I1070" s="2">
        <v>15</v>
      </c>
      <c r="J1070" s="2"/>
      <c r="K1070" s="2">
        <v>31248</v>
      </c>
      <c r="L1070" s="35">
        <v>99873763.920000002</v>
      </c>
      <c r="M1070" s="36">
        <v>4200</v>
      </c>
      <c r="N1070" s="40">
        <v>669139.42574257404</v>
      </c>
      <c r="O1070" s="48">
        <v>2826.0594059405898</v>
      </c>
      <c r="P1070" s="40">
        <v>133914.71287128699</v>
      </c>
      <c r="Q1070" s="48">
        <v>70036.455445544503</v>
      </c>
      <c r="R1070" s="40">
        <v>107698.39603960401</v>
      </c>
      <c r="S1070" s="40">
        <v>147355.96039604</v>
      </c>
      <c r="T1070" s="40">
        <v>30000</v>
      </c>
      <c r="U1070" s="40">
        <v>2218514.8514851499</v>
      </c>
      <c r="V1070" s="40">
        <v>0</v>
      </c>
      <c r="W1070" s="45">
        <v>3379485.8613861399</v>
      </c>
      <c r="X1070" s="46">
        <v>3.3837573840644901</v>
      </c>
    </row>
    <row r="1071" spans="1:24" s="4" customFormat="1" ht="15" customHeight="1">
      <c r="A1071" s="28" t="s">
        <v>3019</v>
      </c>
      <c r="B1071" s="29">
        <v>3196.165</v>
      </c>
      <c r="C1071" s="30" t="s">
        <v>3089</v>
      </c>
      <c r="D1071" s="2">
        <v>4950930067</v>
      </c>
      <c r="E1071" s="2" t="s">
        <v>14</v>
      </c>
      <c r="F1071" s="2" t="s">
        <v>3090</v>
      </c>
      <c r="G1071" s="28" t="s">
        <v>9</v>
      </c>
      <c r="H1071" s="2" t="s">
        <v>23</v>
      </c>
      <c r="I1071" s="2">
        <v>15</v>
      </c>
      <c r="J1071" s="2"/>
      <c r="K1071" s="2">
        <v>6050</v>
      </c>
      <c r="L1071" s="35">
        <v>19336798.25</v>
      </c>
      <c r="M1071" s="36">
        <v>1000</v>
      </c>
      <c r="N1071" s="40">
        <v>159318.91089108901</v>
      </c>
      <c r="O1071" s="48">
        <v>672.87128712871299</v>
      </c>
      <c r="P1071" s="40">
        <v>31884.455445544601</v>
      </c>
      <c r="Q1071" s="48">
        <v>16675.346534653501</v>
      </c>
      <c r="R1071" s="40">
        <v>25642.475247524799</v>
      </c>
      <c r="S1071" s="40">
        <v>35084.7524752475</v>
      </c>
      <c r="T1071" s="40">
        <v>30000</v>
      </c>
      <c r="U1071" s="40">
        <v>528217.82178217801</v>
      </c>
      <c r="V1071" s="40">
        <v>0</v>
      </c>
      <c r="W1071" s="45">
        <v>827496.63366336597</v>
      </c>
      <c r="X1071" s="46">
        <v>4.27938805051848</v>
      </c>
    </row>
    <row r="1072" spans="1:24" s="4" customFormat="1" ht="15" customHeight="1">
      <c r="A1072" s="28" t="s">
        <v>3019</v>
      </c>
      <c r="B1072" s="29">
        <v>3196.165</v>
      </c>
      <c r="C1072" s="30" t="s">
        <v>3094</v>
      </c>
      <c r="D1072" s="2">
        <v>4950930069</v>
      </c>
      <c r="E1072" s="2" t="s">
        <v>14</v>
      </c>
      <c r="F1072" s="2" t="s">
        <v>3095</v>
      </c>
      <c r="G1072" s="28" t="s">
        <v>5</v>
      </c>
      <c r="H1072" s="2" t="s">
        <v>17</v>
      </c>
      <c r="I1072" s="2">
        <v>1</v>
      </c>
      <c r="J1072" s="2" t="s">
        <v>3096</v>
      </c>
      <c r="K1072" s="2">
        <v>18400</v>
      </c>
      <c r="L1072" s="35">
        <v>58809436</v>
      </c>
      <c r="M1072" s="36">
        <v>20000</v>
      </c>
      <c r="N1072" s="40">
        <v>380671</v>
      </c>
      <c r="O1072" s="40">
        <v>425734</v>
      </c>
      <c r="P1072" s="40">
        <v>1051668</v>
      </c>
      <c r="Q1072" s="40">
        <v>110000</v>
      </c>
      <c r="R1072" s="40">
        <v>742145</v>
      </c>
      <c r="S1072" s="40">
        <v>354356</v>
      </c>
      <c r="T1072" s="40">
        <v>30000</v>
      </c>
      <c r="U1072" s="40">
        <v>0</v>
      </c>
      <c r="V1072" s="40">
        <v>0</v>
      </c>
      <c r="W1072" s="45">
        <v>3094574</v>
      </c>
      <c r="X1072" s="46">
        <v>5.2620365208059496</v>
      </c>
    </row>
    <row r="1073" spans="1:24" s="4" customFormat="1" ht="15" customHeight="1">
      <c r="A1073" s="28" t="s">
        <v>3019</v>
      </c>
      <c r="B1073" s="29">
        <v>3196.165</v>
      </c>
      <c r="C1073" s="30" t="s">
        <v>3109</v>
      </c>
      <c r="D1073" s="2">
        <v>4951148384</v>
      </c>
      <c r="E1073" s="2" t="s">
        <v>14</v>
      </c>
      <c r="F1073" s="2" t="s">
        <v>3110</v>
      </c>
      <c r="G1073" s="28" t="s">
        <v>5</v>
      </c>
      <c r="H1073" s="2" t="s">
        <v>17</v>
      </c>
      <c r="I1073" s="2">
        <v>1</v>
      </c>
      <c r="J1073" s="2" t="s">
        <v>3111</v>
      </c>
      <c r="K1073" s="2">
        <v>1041.5999999999999</v>
      </c>
      <c r="L1073" s="35">
        <v>3329125.4640000002</v>
      </c>
      <c r="M1073" s="36">
        <v>140</v>
      </c>
      <c r="N1073" s="40">
        <v>2908.85264483627</v>
      </c>
      <c r="O1073" s="48">
        <v>3753.3224181360201</v>
      </c>
      <c r="P1073" s="40">
        <v>0</v>
      </c>
      <c r="Q1073" s="48">
        <v>969.77329974811096</v>
      </c>
      <c r="R1073" s="40">
        <v>7870.9408060453397</v>
      </c>
      <c r="S1073" s="40">
        <v>3124.0453400503802</v>
      </c>
      <c r="T1073" s="40">
        <v>30000</v>
      </c>
      <c r="U1073" s="40">
        <v>48017.443324936998</v>
      </c>
      <c r="V1073" s="40">
        <v>0</v>
      </c>
      <c r="W1073" s="45">
        <v>96644.377833753097</v>
      </c>
      <c r="X1073" s="46">
        <v>2.9029959633192499</v>
      </c>
    </row>
    <row r="1074" spans="1:24" s="4" customFormat="1" ht="15" customHeight="1">
      <c r="A1074" s="28" t="s">
        <v>3019</v>
      </c>
      <c r="B1074" s="29">
        <v>3196.165</v>
      </c>
      <c r="C1074" s="30" t="s">
        <v>3109</v>
      </c>
      <c r="D1074" s="2">
        <v>4950059659</v>
      </c>
      <c r="E1074" s="2" t="s">
        <v>14</v>
      </c>
      <c r="F1074" s="2" t="s">
        <v>3110</v>
      </c>
      <c r="G1074" s="28" t="s">
        <v>5</v>
      </c>
      <c r="H1074" s="2" t="s">
        <v>17</v>
      </c>
      <c r="I1074" s="2">
        <v>1</v>
      </c>
      <c r="J1074" s="2" t="s">
        <v>3111</v>
      </c>
      <c r="K1074" s="2">
        <v>4954.5</v>
      </c>
      <c r="L1074" s="35">
        <v>15835399.4925</v>
      </c>
      <c r="M1074" s="36">
        <v>1350</v>
      </c>
      <c r="N1074" s="40">
        <v>28049.650503778299</v>
      </c>
      <c r="O1074" s="48">
        <v>36192.751889168801</v>
      </c>
      <c r="P1074" s="40">
        <v>0</v>
      </c>
      <c r="Q1074" s="48">
        <v>9351.3853904282096</v>
      </c>
      <c r="R1074" s="40">
        <v>75901.000629722897</v>
      </c>
      <c r="S1074" s="40">
        <v>30124.722921914399</v>
      </c>
      <c r="T1074" s="40">
        <v>30000</v>
      </c>
      <c r="U1074" s="40">
        <v>463025.34634760697</v>
      </c>
      <c r="V1074" s="40">
        <v>0</v>
      </c>
      <c r="W1074" s="45">
        <v>672644.85768261901</v>
      </c>
      <c r="X1074" s="46">
        <v>4.2477290074127803</v>
      </c>
    </row>
    <row r="1075" spans="1:24" s="4" customFormat="1" ht="15" customHeight="1">
      <c r="A1075" s="28" t="s">
        <v>3019</v>
      </c>
      <c r="B1075" s="29">
        <v>3196.165</v>
      </c>
      <c r="C1075" s="30" t="s">
        <v>3109</v>
      </c>
      <c r="D1075" s="2">
        <v>4950722775</v>
      </c>
      <c r="E1075" s="2" t="s">
        <v>14</v>
      </c>
      <c r="F1075" s="2" t="s">
        <v>3110</v>
      </c>
      <c r="G1075" s="28" t="s">
        <v>5</v>
      </c>
      <c r="H1075" s="2" t="s">
        <v>17</v>
      </c>
      <c r="I1075" s="2">
        <v>1</v>
      </c>
      <c r="J1075" s="2" t="s">
        <v>3111</v>
      </c>
      <c r="K1075" s="2">
        <v>7005.6</v>
      </c>
      <c r="L1075" s="35">
        <v>22391053.524</v>
      </c>
      <c r="M1075" s="36">
        <v>1680</v>
      </c>
      <c r="N1075" s="40">
        <v>34906.231738035298</v>
      </c>
      <c r="O1075" s="48">
        <v>45039.869017632198</v>
      </c>
      <c r="P1075" s="40">
        <v>0</v>
      </c>
      <c r="Q1075" s="48">
        <v>11637.2795969773</v>
      </c>
      <c r="R1075" s="40">
        <v>94454.289672544095</v>
      </c>
      <c r="S1075" s="40">
        <v>37488.544080604501</v>
      </c>
      <c r="T1075" s="40">
        <v>30000</v>
      </c>
      <c r="U1075" s="40">
        <v>576209.319899244</v>
      </c>
      <c r="V1075" s="40">
        <v>0</v>
      </c>
      <c r="W1075" s="45">
        <v>829735.53400503797</v>
      </c>
      <c r="X1075" s="46">
        <v>3.7056565164103601</v>
      </c>
    </row>
    <row r="1076" spans="1:24" s="4" customFormat="1" ht="15" customHeight="1">
      <c r="A1076" s="28" t="s">
        <v>3019</v>
      </c>
      <c r="B1076" s="29">
        <v>3196.165</v>
      </c>
      <c r="C1076" s="30" t="s">
        <v>3109</v>
      </c>
      <c r="D1076" s="2">
        <v>4950978864</v>
      </c>
      <c r="E1076" s="2" t="s">
        <v>14</v>
      </c>
      <c r="F1076" s="2" t="s">
        <v>3110</v>
      </c>
      <c r="G1076" s="28" t="s">
        <v>5</v>
      </c>
      <c r="H1076" s="2" t="s">
        <v>17</v>
      </c>
      <c r="I1076" s="2">
        <v>1</v>
      </c>
      <c r="J1076" s="2" t="s">
        <v>3111</v>
      </c>
      <c r="K1076" s="2">
        <v>5040</v>
      </c>
      <c r="L1076" s="35">
        <v>16108671.6</v>
      </c>
      <c r="M1076" s="36">
        <v>2100</v>
      </c>
      <c r="N1076" s="40">
        <v>43632.789672544102</v>
      </c>
      <c r="O1076" s="48">
        <v>56299.836272040302</v>
      </c>
      <c r="P1076" s="40">
        <v>0</v>
      </c>
      <c r="Q1076" s="48">
        <v>14546.599496221699</v>
      </c>
      <c r="R1076" s="40">
        <v>118067.11209068001</v>
      </c>
      <c r="S1076" s="40">
        <v>46860.680100755701</v>
      </c>
      <c r="T1076" s="40">
        <v>30000</v>
      </c>
      <c r="U1076" s="40">
        <v>720261.64987405494</v>
      </c>
      <c r="V1076" s="40">
        <v>0</v>
      </c>
      <c r="W1076" s="45">
        <v>1029668.6675063</v>
      </c>
      <c r="X1076" s="46">
        <v>6.3920147674144401</v>
      </c>
    </row>
    <row r="1077" spans="1:24" s="4" customFormat="1" ht="15" customHeight="1">
      <c r="A1077" s="28" t="s">
        <v>3019</v>
      </c>
      <c r="B1077" s="29">
        <v>3196.165</v>
      </c>
      <c r="C1077" s="30" t="s">
        <v>3109</v>
      </c>
      <c r="D1077" s="2">
        <v>4951148384</v>
      </c>
      <c r="E1077" s="2" t="s">
        <v>14</v>
      </c>
      <c r="F1077" s="2" t="s">
        <v>3110</v>
      </c>
      <c r="G1077" s="28" t="s">
        <v>5</v>
      </c>
      <c r="H1077" s="2" t="s">
        <v>17</v>
      </c>
      <c r="I1077" s="2">
        <v>1</v>
      </c>
      <c r="J1077" s="2" t="s">
        <v>3111</v>
      </c>
      <c r="K1077" s="2">
        <v>9930</v>
      </c>
      <c r="L1077" s="35">
        <v>31737918.449999999</v>
      </c>
      <c r="M1077" s="36">
        <v>300</v>
      </c>
      <c r="N1077" s="40">
        <v>6233.2556675062997</v>
      </c>
      <c r="O1077" s="48">
        <v>8042.8337531486104</v>
      </c>
      <c r="P1077" s="40">
        <v>0</v>
      </c>
      <c r="Q1077" s="48">
        <v>2078.08564231738</v>
      </c>
      <c r="R1077" s="40">
        <v>16866.444584382902</v>
      </c>
      <c r="S1077" s="40">
        <v>6694.3828715365198</v>
      </c>
      <c r="T1077" s="40">
        <v>30000</v>
      </c>
      <c r="U1077" s="40">
        <v>102894.52141057899</v>
      </c>
      <c r="V1077" s="40">
        <v>0</v>
      </c>
      <c r="W1077" s="45">
        <v>172809.523929471</v>
      </c>
      <c r="X1077" s="46">
        <v>0.54448915483135796</v>
      </c>
    </row>
    <row r="1078" spans="1:24" s="4" customFormat="1" ht="15" customHeight="1">
      <c r="A1078" s="28" t="s">
        <v>3019</v>
      </c>
      <c r="B1078" s="29">
        <v>3196.165</v>
      </c>
      <c r="C1078" s="30" t="s">
        <v>3109</v>
      </c>
      <c r="D1078" s="2">
        <v>4951149025</v>
      </c>
      <c r="E1078" s="2" t="s">
        <v>14</v>
      </c>
      <c r="F1078" s="2" t="s">
        <v>3110</v>
      </c>
      <c r="G1078" s="28" t="s">
        <v>5</v>
      </c>
      <c r="H1078" s="2" t="s">
        <v>17</v>
      </c>
      <c r="I1078" s="2">
        <v>1</v>
      </c>
      <c r="J1078" s="2" t="s">
        <v>3111</v>
      </c>
      <c r="K1078" s="2">
        <v>5670</v>
      </c>
      <c r="L1078" s="35">
        <v>18122255.550000001</v>
      </c>
      <c r="M1078" s="36">
        <v>1050</v>
      </c>
      <c r="N1078" s="40">
        <v>21816.394836272</v>
      </c>
      <c r="O1078" s="48">
        <v>28149.918136020198</v>
      </c>
      <c r="P1078" s="40">
        <v>0</v>
      </c>
      <c r="Q1078" s="48">
        <v>7273.2997481108296</v>
      </c>
      <c r="R1078" s="40">
        <v>59033.556045340098</v>
      </c>
      <c r="S1078" s="40">
        <v>23430.340050377799</v>
      </c>
      <c r="T1078" s="40">
        <v>30000</v>
      </c>
      <c r="U1078" s="40">
        <v>360130.824937028</v>
      </c>
      <c r="V1078" s="40">
        <v>0</v>
      </c>
      <c r="W1078" s="45">
        <v>529834.33375314903</v>
      </c>
      <c r="X1078" s="46">
        <v>2.9236666059107002</v>
      </c>
    </row>
    <row r="1079" spans="1:24" s="4" customFormat="1" ht="15" customHeight="1">
      <c r="A1079" s="28" t="s">
        <v>3019</v>
      </c>
      <c r="B1079" s="29">
        <v>3196.165</v>
      </c>
      <c r="C1079" s="30" t="s">
        <v>3109</v>
      </c>
      <c r="D1079" s="2">
        <v>4951294588</v>
      </c>
      <c r="E1079" s="2" t="s">
        <v>14</v>
      </c>
      <c r="F1079" s="2" t="s">
        <v>3110</v>
      </c>
      <c r="G1079" s="28" t="s">
        <v>5</v>
      </c>
      <c r="H1079" s="2" t="s">
        <v>17</v>
      </c>
      <c r="I1079" s="2">
        <v>1</v>
      </c>
      <c r="J1079" s="2" t="s">
        <v>3111</v>
      </c>
      <c r="K1079" s="2">
        <v>11583</v>
      </c>
      <c r="L1079" s="35">
        <v>37021179.195</v>
      </c>
      <c r="M1079" s="36">
        <v>4950</v>
      </c>
      <c r="N1079" s="40">
        <v>102848.71851385399</v>
      </c>
      <c r="O1079" s="48">
        <v>132706.75692695199</v>
      </c>
      <c r="P1079" s="40">
        <v>0</v>
      </c>
      <c r="Q1079" s="48">
        <v>34288.413098236801</v>
      </c>
      <c r="R1079" s="40">
        <v>278302.33564231702</v>
      </c>
      <c r="S1079" s="40">
        <v>110457.31738035299</v>
      </c>
      <c r="T1079" s="40">
        <v>30000</v>
      </c>
      <c r="U1079" s="40">
        <v>1697759.6032745601</v>
      </c>
      <c r="V1079" s="40">
        <v>0</v>
      </c>
      <c r="W1079" s="45">
        <v>2386363.1448362698</v>
      </c>
      <c r="X1079" s="46">
        <v>6.4459403960816299</v>
      </c>
    </row>
    <row r="1080" spans="1:24" s="4" customFormat="1" ht="15" customHeight="1">
      <c r="A1080" s="28" t="s">
        <v>3019</v>
      </c>
      <c r="B1080" s="29">
        <v>3196.165</v>
      </c>
      <c r="C1080" s="30" t="s">
        <v>3109</v>
      </c>
      <c r="D1080" s="2">
        <v>4951268367</v>
      </c>
      <c r="E1080" s="2" t="s">
        <v>14</v>
      </c>
      <c r="F1080" s="2" t="s">
        <v>3110</v>
      </c>
      <c r="G1080" s="28" t="s">
        <v>5</v>
      </c>
      <c r="H1080" s="2" t="s">
        <v>17</v>
      </c>
      <c r="I1080" s="2">
        <v>1</v>
      </c>
      <c r="J1080" s="2" t="s">
        <v>3111</v>
      </c>
      <c r="K1080" s="2">
        <v>7005.6</v>
      </c>
      <c r="L1080" s="35">
        <v>22391053.524</v>
      </c>
      <c r="M1080" s="36">
        <v>1680</v>
      </c>
      <c r="N1080" s="40">
        <v>34906.231738035298</v>
      </c>
      <c r="O1080" s="48">
        <v>45039.869017632198</v>
      </c>
      <c r="P1080" s="40">
        <v>0</v>
      </c>
      <c r="Q1080" s="48">
        <v>11637.2795969773</v>
      </c>
      <c r="R1080" s="40">
        <v>94454.289672544095</v>
      </c>
      <c r="S1080" s="40">
        <v>37488.544080604501</v>
      </c>
      <c r="T1080" s="40">
        <v>30000</v>
      </c>
      <c r="U1080" s="40">
        <v>576209.319899244</v>
      </c>
      <c r="V1080" s="40">
        <v>0</v>
      </c>
      <c r="W1080" s="45">
        <v>829735.53400503797</v>
      </c>
      <c r="X1080" s="46">
        <v>3.7056565164103601</v>
      </c>
    </row>
    <row r="1081" spans="1:24" s="4" customFormat="1" ht="15" customHeight="1">
      <c r="A1081" s="28" t="s">
        <v>3019</v>
      </c>
      <c r="B1081" s="29">
        <v>3196.165</v>
      </c>
      <c r="C1081" s="30" t="s">
        <v>3109</v>
      </c>
      <c r="D1081" s="2">
        <v>4951379745</v>
      </c>
      <c r="E1081" s="2" t="s">
        <v>14</v>
      </c>
      <c r="F1081" s="2" t="s">
        <v>3110</v>
      </c>
      <c r="G1081" s="28" t="s">
        <v>5</v>
      </c>
      <c r="H1081" s="2" t="s">
        <v>17</v>
      </c>
      <c r="I1081" s="2">
        <v>1</v>
      </c>
      <c r="J1081" s="2" t="s">
        <v>3111</v>
      </c>
      <c r="K1081" s="2">
        <v>1882</v>
      </c>
      <c r="L1081" s="35">
        <v>6015182.5300000003</v>
      </c>
      <c r="M1081" s="36">
        <v>50</v>
      </c>
      <c r="N1081" s="40">
        <v>1038.87594458438</v>
      </c>
      <c r="O1081" s="48">
        <v>1340.4722921914399</v>
      </c>
      <c r="P1081" s="40">
        <v>0</v>
      </c>
      <c r="Q1081" s="48">
        <v>346.34760705289699</v>
      </c>
      <c r="R1081" s="40">
        <v>2811.40743073048</v>
      </c>
      <c r="S1081" s="40">
        <v>1115.73047858942</v>
      </c>
      <c r="T1081" s="40">
        <v>30000</v>
      </c>
      <c r="U1081" s="40">
        <v>17149.086901763199</v>
      </c>
      <c r="V1081" s="40">
        <v>0</v>
      </c>
      <c r="W1081" s="45">
        <v>53801.920654911803</v>
      </c>
      <c r="X1081" s="46">
        <v>0.894435378919612</v>
      </c>
    </row>
    <row r="1082" spans="1:24" s="4" customFormat="1" ht="15" customHeight="1">
      <c r="A1082" s="28" t="s">
        <v>3019</v>
      </c>
      <c r="B1082" s="29">
        <v>3196.165</v>
      </c>
      <c r="C1082" s="30" t="s">
        <v>3109</v>
      </c>
      <c r="D1082" s="2">
        <v>4951268367</v>
      </c>
      <c r="E1082" s="2" t="s">
        <v>14</v>
      </c>
      <c r="F1082" s="2" t="s">
        <v>3110</v>
      </c>
      <c r="G1082" s="28" t="s">
        <v>5</v>
      </c>
      <c r="H1082" s="2" t="s">
        <v>17</v>
      </c>
      <c r="I1082" s="2">
        <v>1</v>
      </c>
      <c r="J1082" s="2" t="s">
        <v>3111</v>
      </c>
      <c r="K1082" s="2">
        <v>5510.4</v>
      </c>
      <c r="L1082" s="35">
        <v>17612147.616</v>
      </c>
      <c r="M1082" s="36">
        <v>1680</v>
      </c>
      <c r="N1082" s="40">
        <v>34906.231738035298</v>
      </c>
      <c r="O1082" s="48">
        <v>45039.869017632198</v>
      </c>
      <c r="P1082" s="40">
        <v>0</v>
      </c>
      <c r="Q1082" s="48">
        <v>11637.2795969773</v>
      </c>
      <c r="R1082" s="40">
        <v>94454.289672544095</v>
      </c>
      <c r="S1082" s="40">
        <v>37488.544080604501</v>
      </c>
      <c r="T1082" s="40">
        <v>30000</v>
      </c>
      <c r="U1082" s="40">
        <v>576209.319899244</v>
      </c>
      <c r="V1082" s="40">
        <v>0</v>
      </c>
      <c r="W1082" s="45">
        <v>829735.53400503797</v>
      </c>
      <c r="X1082" s="46">
        <v>4.7111547784851204</v>
      </c>
    </row>
    <row r="1083" spans="1:24" s="4" customFormat="1" ht="15" customHeight="1">
      <c r="A1083" s="28" t="s">
        <v>3019</v>
      </c>
      <c r="B1083" s="29">
        <v>3196.165</v>
      </c>
      <c r="C1083" s="30" t="s">
        <v>3109</v>
      </c>
      <c r="D1083" s="2">
        <v>4951268367</v>
      </c>
      <c r="E1083" s="2" t="s">
        <v>14</v>
      </c>
      <c r="F1083" s="2" t="s">
        <v>3110</v>
      </c>
      <c r="G1083" s="28" t="s">
        <v>5</v>
      </c>
      <c r="H1083" s="2" t="s">
        <v>17</v>
      </c>
      <c r="I1083" s="2">
        <v>1</v>
      </c>
      <c r="J1083" s="2" t="s">
        <v>3111</v>
      </c>
      <c r="K1083" s="2">
        <v>4392</v>
      </c>
      <c r="L1083" s="35">
        <v>14037556.68</v>
      </c>
      <c r="M1083" s="36">
        <v>900</v>
      </c>
      <c r="N1083" s="40">
        <v>18699.7670025189</v>
      </c>
      <c r="O1083" s="48">
        <v>24128.501259445798</v>
      </c>
      <c r="P1083" s="40">
        <v>0</v>
      </c>
      <c r="Q1083" s="48">
        <v>6234.25692695214</v>
      </c>
      <c r="R1083" s="40">
        <v>50600.333753148603</v>
      </c>
      <c r="S1083" s="40">
        <v>20083.148614609599</v>
      </c>
      <c r="T1083" s="40">
        <v>30000</v>
      </c>
      <c r="U1083" s="40">
        <v>308683.56423173798</v>
      </c>
      <c r="V1083" s="40">
        <v>0</v>
      </c>
      <c r="W1083" s="45">
        <v>458429.57178841298</v>
      </c>
      <c r="X1083" s="46">
        <v>3.2657362120685902</v>
      </c>
    </row>
    <row r="1084" spans="1:24" s="4" customFormat="1" ht="15" customHeight="1">
      <c r="A1084" s="28" t="s">
        <v>3019</v>
      </c>
      <c r="B1084" s="29">
        <v>3196.165</v>
      </c>
      <c r="C1084" s="30" t="s">
        <v>3114</v>
      </c>
      <c r="D1084" s="2">
        <v>4951150649</v>
      </c>
      <c r="E1084" s="2" t="s">
        <v>14</v>
      </c>
      <c r="F1084" s="2" t="s">
        <v>3115</v>
      </c>
      <c r="G1084" s="28" t="s">
        <v>9</v>
      </c>
      <c r="H1084" s="2" t="s">
        <v>23</v>
      </c>
      <c r="I1084" s="2">
        <v>1</v>
      </c>
      <c r="J1084" s="2"/>
      <c r="K1084" s="2">
        <v>4473</v>
      </c>
      <c r="L1084" s="35">
        <v>14296446.045</v>
      </c>
      <c r="M1084" s="36">
        <v>150</v>
      </c>
      <c r="N1084" s="40">
        <v>454237</v>
      </c>
      <c r="O1084" s="40">
        <v>127</v>
      </c>
      <c r="P1084" s="40">
        <v>0</v>
      </c>
      <c r="Q1084" s="40">
        <v>2967</v>
      </c>
      <c r="R1084" s="40">
        <v>88138</v>
      </c>
      <c r="S1084" s="40">
        <v>354356</v>
      </c>
      <c r="T1084" s="40">
        <v>30000</v>
      </c>
      <c r="U1084" s="40">
        <v>1367700</v>
      </c>
      <c r="V1084" s="40">
        <v>0</v>
      </c>
      <c r="W1084" s="45">
        <v>2297525</v>
      </c>
      <c r="X1084" s="46">
        <v>16.0706023914491</v>
      </c>
    </row>
    <row r="1085" spans="1:24" s="4" customFormat="1" ht="15" customHeight="1">
      <c r="A1085" s="28" t="s">
        <v>3019</v>
      </c>
      <c r="B1085" s="29">
        <v>3196.165</v>
      </c>
      <c r="C1085" s="30" t="s">
        <v>3116</v>
      </c>
      <c r="D1085" s="2">
        <v>4950697623</v>
      </c>
      <c r="E1085" s="2" t="s">
        <v>14</v>
      </c>
      <c r="F1085" s="2" t="s">
        <v>3117</v>
      </c>
      <c r="G1085" s="28" t="s">
        <v>9</v>
      </c>
      <c r="H1085" s="2" t="s">
        <v>23</v>
      </c>
      <c r="I1085" s="2">
        <v>7</v>
      </c>
      <c r="J1085" s="2"/>
      <c r="K1085" s="2">
        <v>3924</v>
      </c>
      <c r="L1085" s="35">
        <v>12541751.460000001</v>
      </c>
      <c r="M1085" s="36">
        <v>3600</v>
      </c>
      <c r="N1085" s="40">
        <v>568714.93238434196</v>
      </c>
      <c r="O1085" s="48">
        <v>2394.19217081851</v>
      </c>
      <c r="P1085" s="40">
        <v>0</v>
      </c>
      <c r="Q1085" s="48">
        <v>75506.220640569401</v>
      </c>
      <c r="R1085" s="40">
        <v>129494.43416370099</v>
      </c>
      <c r="S1085" s="40">
        <v>181591.68683274</v>
      </c>
      <c r="T1085" s="40">
        <v>30000</v>
      </c>
      <c r="U1085" s="40">
        <v>1246107.8838174299</v>
      </c>
      <c r="V1085" s="40">
        <v>0</v>
      </c>
      <c r="W1085" s="45">
        <v>2233809.3500096002</v>
      </c>
      <c r="X1085" s="46">
        <v>17.8109840330834</v>
      </c>
    </row>
    <row r="1086" spans="1:24" s="4" customFormat="1" ht="15" customHeight="1">
      <c r="A1086" s="28" t="s">
        <v>3019</v>
      </c>
      <c r="B1086" s="29">
        <v>3196.165</v>
      </c>
      <c r="C1086" s="30" t="s">
        <v>3116</v>
      </c>
      <c r="D1086" s="2">
        <v>4951215052</v>
      </c>
      <c r="E1086" s="2" t="s">
        <v>14</v>
      </c>
      <c r="F1086" s="2" t="s">
        <v>3117</v>
      </c>
      <c r="G1086" s="28" t="s">
        <v>9</v>
      </c>
      <c r="H1086" s="2" t="s">
        <v>23</v>
      </c>
      <c r="I1086" s="2">
        <v>7</v>
      </c>
      <c r="J1086" s="2"/>
      <c r="K1086" s="2">
        <v>2616</v>
      </c>
      <c r="L1086" s="35">
        <v>8361167.6399999997</v>
      </c>
      <c r="M1086" s="36">
        <v>2400</v>
      </c>
      <c r="N1086" s="40">
        <v>379143.28825622803</v>
      </c>
      <c r="O1086" s="48">
        <v>1596.128113879</v>
      </c>
      <c r="P1086" s="40">
        <v>0</v>
      </c>
      <c r="Q1086" s="48">
        <v>50337.480427046299</v>
      </c>
      <c r="R1086" s="40">
        <v>86329.622775800701</v>
      </c>
      <c r="S1086" s="40">
        <v>121061.12455516</v>
      </c>
      <c r="T1086" s="40">
        <v>30000</v>
      </c>
      <c r="U1086" s="40">
        <v>830738.58921161795</v>
      </c>
      <c r="V1086" s="40">
        <v>0</v>
      </c>
      <c r="W1086" s="45">
        <v>1499206.23333973</v>
      </c>
      <c r="X1086" s="46">
        <v>17.9305845533762</v>
      </c>
    </row>
    <row r="1087" spans="1:24" s="4" customFormat="1" ht="15" customHeight="1">
      <c r="A1087" s="28" t="s">
        <v>3019</v>
      </c>
      <c r="B1087" s="29">
        <v>3196.165</v>
      </c>
      <c r="C1087" s="30" t="s">
        <v>3116</v>
      </c>
      <c r="D1087" s="2">
        <v>4950978890</v>
      </c>
      <c r="E1087" s="2" t="s">
        <v>14</v>
      </c>
      <c r="F1087" s="2" t="s">
        <v>3117</v>
      </c>
      <c r="G1087" s="28" t="s">
        <v>9</v>
      </c>
      <c r="H1087" s="2" t="s">
        <v>23</v>
      </c>
      <c r="I1087" s="2">
        <v>7</v>
      </c>
      <c r="J1087" s="2"/>
      <c r="K1087" s="2">
        <v>168.25</v>
      </c>
      <c r="L1087" s="35">
        <v>537754.76124999998</v>
      </c>
      <c r="M1087" s="36">
        <v>25</v>
      </c>
      <c r="N1087" s="40">
        <v>3949.4092526690401</v>
      </c>
      <c r="O1087" s="48">
        <v>16.626334519573</v>
      </c>
      <c r="P1087" s="40">
        <v>0</v>
      </c>
      <c r="Q1087" s="48">
        <v>524.34875444839804</v>
      </c>
      <c r="R1087" s="40">
        <v>899.26690391459101</v>
      </c>
      <c r="S1087" s="40">
        <v>1261.0533807829199</v>
      </c>
      <c r="T1087" s="40">
        <v>30000</v>
      </c>
      <c r="U1087" s="40">
        <v>8653.5269709543609</v>
      </c>
      <c r="V1087" s="40">
        <v>0</v>
      </c>
      <c r="W1087" s="45">
        <v>45304.231597288897</v>
      </c>
      <c r="X1087" s="46">
        <v>8.4247011578252007</v>
      </c>
    </row>
    <row r="1088" spans="1:24" s="4" customFormat="1" ht="15" customHeight="1">
      <c r="A1088" s="28" t="s">
        <v>3019</v>
      </c>
      <c r="B1088" s="29">
        <v>3196.165</v>
      </c>
      <c r="C1088" s="30" t="s">
        <v>3123</v>
      </c>
      <c r="D1088" s="2">
        <v>4950898144</v>
      </c>
      <c r="E1088" s="2" t="s">
        <v>14</v>
      </c>
      <c r="F1088" s="2" t="s">
        <v>3124</v>
      </c>
      <c r="G1088" s="28" t="s">
        <v>9</v>
      </c>
      <c r="H1088" s="2" t="s">
        <v>23</v>
      </c>
      <c r="I1088" s="2">
        <v>10</v>
      </c>
      <c r="J1088" s="2"/>
      <c r="K1088" s="2">
        <v>116760</v>
      </c>
      <c r="L1088" s="35">
        <v>373184225.39999998</v>
      </c>
      <c r="M1088" s="36">
        <v>6000</v>
      </c>
      <c r="N1088" s="40">
        <v>968190</v>
      </c>
      <c r="O1088" s="40">
        <v>4029</v>
      </c>
      <c r="P1088" s="40">
        <v>336531</v>
      </c>
      <c r="Q1088" s="40">
        <v>98604</v>
      </c>
      <c r="R1088" s="40">
        <v>193549</v>
      </c>
      <c r="S1088" s="40">
        <v>354356</v>
      </c>
      <c r="T1088" s="40">
        <v>30000</v>
      </c>
      <c r="U1088" s="40">
        <v>3453200</v>
      </c>
      <c r="V1088" s="40">
        <v>0</v>
      </c>
      <c r="W1088" s="45">
        <v>5438459</v>
      </c>
      <c r="X1088" s="46">
        <v>1.4573121342872299</v>
      </c>
    </row>
    <row r="1089" spans="1:24" s="4" customFormat="1" ht="15" customHeight="1">
      <c r="A1089" s="28" t="s">
        <v>3019</v>
      </c>
      <c r="B1089" s="29">
        <v>3196.165</v>
      </c>
      <c r="C1089" s="30" t="s">
        <v>3128</v>
      </c>
      <c r="D1089" s="2">
        <v>4950895371</v>
      </c>
      <c r="E1089" s="2" t="s">
        <v>14</v>
      </c>
      <c r="F1089" s="2" t="s">
        <v>3129</v>
      </c>
      <c r="G1089" s="28" t="s">
        <v>9</v>
      </c>
      <c r="H1089" s="2" t="s">
        <v>23</v>
      </c>
      <c r="I1089" s="2">
        <v>5</v>
      </c>
      <c r="J1089" s="2"/>
      <c r="K1089" s="2">
        <v>2299.35</v>
      </c>
      <c r="L1089" s="35">
        <v>7349101.9927500002</v>
      </c>
      <c r="M1089" s="36">
        <v>3621</v>
      </c>
      <c r="N1089" s="40">
        <v>991645</v>
      </c>
      <c r="O1089" s="40">
        <v>2645</v>
      </c>
      <c r="P1089" s="40">
        <v>80626</v>
      </c>
      <c r="Q1089" s="40">
        <v>64497</v>
      </c>
      <c r="R1089" s="40">
        <v>158010</v>
      </c>
      <c r="S1089" s="40">
        <v>354356</v>
      </c>
      <c r="T1089" s="40">
        <v>30000</v>
      </c>
      <c r="U1089" s="40">
        <v>1769766.9322709199</v>
      </c>
      <c r="V1089" s="40">
        <v>0</v>
      </c>
      <c r="W1089" s="45">
        <v>3451545.9322709199</v>
      </c>
      <c r="X1089" s="46">
        <v>46.965546752187201</v>
      </c>
    </row>
    <row r="1090" spans="1:24" s="4" customFormat="1" ht="15" customHeight="1">
      <c r="A1090" s="28" t="s">
        <v>3019</v>
      </c>
      <c r="B1090" s="29">
        <v>3196.165</v>
      </c>
      <c r="C1090" s="30" t="s">
        <v>3133</v>
      </c>
      <c r="D1090" s="2">
        <v>4951107963</v>
      </c>
      <c r="E1090" s="2" t="s">
        <v>14</v>
      </c>
      <c r="F1090" s="2" t="s">
        <v>3134</v>
      </c>
      <c r="G1090" s="28" t="s">
        <v>9</v>
      </c>
      <c r="H1090" s="2" t="s">
        <v>23</v>
      </c>
      <c r="I1090" s="2">
        <v>9</v>
      </c>
      <c r="J1090" s="2"/>
      <c r="K1090" s="2">
        <v>2236</v>
      </c>
      <c r="L1090" s="35">
        <v>7146624.9400000004</v>
      </c>
      <c r="M1090" s="36">
        <v>325</v>
      </c>
      <c r="N1090" s="40">
        <v>187830.42750929401</v>
      </c>
      <c r="O1090" s="48">
        <v>227.66914498141301</v>
      </c>
      <c r="P1090" s="40">
        <v>23697.453531598501</v>
      </c>
      <c r="Q1090" s="40">
        <v>6997.7695167286201</v>
      </c>
      <c r="R1090" s="40">
        <v>12047.375464684001</v>
      </c>
      <c r="S1090" s="40">
        <v>17125.011152416399</v>
      </c>
      <c r="T1090" s="40">
        <v>30000</v>
      </c>
      <c r="U1090" s="40">
        <v>166883.271375465</v>
      </c>
      <c r="V1090" s="40">
        <v>0</v>
      </c>
      <c r="W1090" s="45">
        <v>444808.977695168</v>
      </c>
      <c r="X1090" s="46">
        <v>6.2240425575651903</v>
      </c>
    </row>
    <row r="1091" spans="1:24" s="4" customFormat="1" ht="15" customHeight="1">
      <c r="A1091" s="28" t="s">
        <v>3019</v>
      </c>
      <c r="B1091" s="29">
        <v>3196.165</v>
      </c>
      <c r="C1091" s="30" t="s">
        <v>3133</v>
      </c>
      <c r="D1091" s="2">
        <v>4951239046</v>
      </c>
      <c r="E1091" s="2" t="s">
        <v>14</v>
      </c>
      <c r="F1091" s="2" t="s">
        <v>3134</v>
      </c>
      <c r="G1091" s="28" t="s">
        <v>9</v>
      </c>
      <c r="H1091" s="2" t="s">
        <v>23</v>
      </c>
      <c r="I1091" s="2">
        <v>9</v>
      </c>
      <c r="J1091" s="2"/>
      <c r="K1091" s="2">
        <v>4644</v>
      </c>
      <c r="L1091" s="35">
        <v>14842990.26</v>
      </c>
      <c r="M1091" s="36">
        <v>1200</v>
      </c>
      <c r="N1091" s="40">
        <v>693527.73234200699</v>
      </c>
      <c r="O1091" s="48">
        <v>840.62453531598499</v>
      </c>
      <c r="P1091" s="40">
        <v>87498.289962825307</v>
      </c>
      <c r="Q1091" s="40">
        <v>25837.918215613401</v>
      </c>
      <c r="R1091" s="40">
        <v>44482.617100371703</v>
      </c>
      <c r="S1091" s="40">
        <v>63230.810408921898</v>
      </c>
      <c r="T1091" s="40">
        <v>30000</v>
      </c>
      <c r="U1091" s="40">
        <v>616184.38661709998</v>
      </c>
      <c r="V1091" s="40">
        <v>0</v>
      </c>
      <c r="W1091" s="45">
        <v>1561602.3791821599</v>
      </c>
      <c r="X1091" s="46">
        <v>10.5208071407988</v>
      </c>
    </row>
    <row r="1092" spans="1:24" s="4" customFormat="1" ht="15" customHeight="1">
      <c r="A1092" s="28" t="s">
        <v>3019</v>
      </c>
      <c r="B1092" s="29">
        <v>3196.165</v>
      </c>
      <c r="C1092" s="30" t="s">
        <v>3133</v>
      </c>
      <c r="D1092" s="2">
        <v>4950930077</v>
      </c>
      <c r="E1092" s="2" t="s">
        <v>14</v>
      </c>
      <c r="F1092" s="2" t="s">
        <v>3134</v>
      </c>
      <c r="G1092" s="28" t="s">
        <v>9</v>
      </c>
      <c r="H1092" s="2" t="s">
        <v>23</v>
      </c>
      <c r="I1092" s="2">
        <v>9</v>
      </c>
      <c r="J1092" s="2"/>
      <c r="K1092" s="2">
        <v>2562</v>
      </c>
      <c r="L1092" s="35">
        <v>8188574.7300000004</v>
      </c>
      <c r="M1092" s="36">
        <v>840</v>
      </c>
      <c r="N1092" s="40">
        <v>485469.412639405</v>
      </c>
      <c r="O1092" s="48">
        <v>588.43717472118999</v>
      </c>
      <c r="P1092" s="40">
        <v>61248.802973977698</v>
      </c>
      <c r="Q1092" s="40">
        <v>18086.542750929399</v>
      </c>
      <c r="R1092" s="40">
        <v>31137.831970260198</v>
      </c>
      <c r="S1092" s="40">
        <v>44261.567286245401</v>
      </c>
      <c r="T1092" s="40">
        <v>30000</v>
      </c>
      <c r="U1092" s="40">
        <v>431329.07063197001</v>
      </c>
      <c r="V1092" s="40">
        <v>0</v>
      </c>
      <c r="W1092" s="45">
        <v>1102121.6654275099</v>
      </c>
      <c r="X1092" s="46">
        <v>13.4592612483554</v>
      </c>
    </row>
    <row r="1093" spans="1:24" s="4" customFormat="1" ht="15" customHeight="1">
      <c r="A1093" s="28" t="s">
        <v>3019</v>
      </c>
      <c r="B1093" s="29">
        <v>3196.165</v>
      </c>
      <c r="C1093" s="30" t="s">
        <v>3133</v>
      </c>
      <c r="D1093" s="2">
        <v>4950059654</v>
      </c>
      <c r="E1093" s="2" t="s">
        <v>14</v>
      </c>
      <c r="F1093" s="2" t="s">
        <v>3134</v>
      </c>
      <c r="G1093" s="28" t="s">
        <v>9</v>
      </c>
      <c r="H1093" s="2" t="s">
        <v>23</v>
      </c>
      <c r="I1093" s="2">
        <v>9</v>
      </c>
      <c r="J1093" s="2"/>
      <c r="K1093" s="2">
        <v>10508.4</v>
      </c>
      <c r="L1093" s="35">
        <v>33586580.285999998</v>
      </c>
      <c r="M1093" s="36">
        <v>2520</v>
      </c>
      <c r="N1093" s="40">
        <v>1456408.23791822</v>
      </c>
      <c r="O1093" s="48">
        <v>1765.3115241635701</v>
      </c>
      <c r="P1093" s="40">
        <v>183746.40892193301</v>
      </c>
      <c r="Q1093" s="40">
        <v>54259.628252788098</v>
      </c>
      <c r="R1093" s="40">
        <v>93413.495910780694</v>
      </c>
      <c r="S1093" s="40">
        <v>132784.70185873599</v>
      </c>
      <c r="T1093" s="40">
        <v>30000</v>
      </c>
      <c r="U1093" s="40">
        <v>1293987.2118959101</v>
      </c>
      <c r="V1093" s="40">
        <v>0</v>
      </c>
      <c r="W1093" s="45">
        <v>3246364.99628253</v>
      </c>
      <c r="X1093" s="46">
        <v>9.6656610129365408</v>
      </c>
    </row>
    <row r="1094" spans="1:24" s="4" customFormat="1" ht="15" customHeight="1">
      <c r="A1094" s="28" t="s">
        <v>3019</v>
      </c>
      <c r="B1094" s="29">
        <v>3196.165</v>
      </c>
      <c r="C1094" s="30" t="s">
        <v>3135</v>
      </c>
      <c r="D1094" s="2">
        <v>4951348216</v>
      </c>
      <c r="E1094" s="2" t="s">
        <v>14</v>
      </c>
      <c r="F1094" s="2" t="s">
        <v>3136</v>
      </c>
      <c r="G1094" s="28" t="s">
        <v>9</v>
      </c>
      <c r="H1094" s="2" t="s">
        <v>23</v>
      </c>
      <c r="I1094" s="2">
        <v>3</v>
      </c>
      <c r="J1094" s="2"/>
      <c r="K1094" s="2">
        <v>8088</v>
      </c>
      <c r="L1094" s="35">
        <v>25850582.52</v>
      </c>
      <c r="M1094" s="36">
        <v>480</v>
      </c>
      <c r="N1094" s="40">
        <v>463750.82926829299</v>
      </c>
      <c r="O1094" s="48">
        <v>334.82926829268303</v>
      </c>
      <c r="P1094" s="40">
        <v>0</v>
      </c>
      <c r="Q1094" s="40">
        <v>10811.7073170732</v>
      </c>
      <c r="R1094" s="40">
        <v>65584.975609756104</v>
      </c>
      <c r="S1094" s="40">
        <v>207427.90243902401</v>
      </c>
      <c r="T1094" s="40">
        <v>30000</v>
      </c>
      <c r="U1094" s="40">
        <v>800604.87804878002</v>
      </c>
      <c r="V1094" s="40">
        <v>0</v>
      </c>
      <c r="W1094" s="45">
        <v>1578515.1219512201</v>
      </c>
      <c r="X1094" s="46">
        <v>6.1063038743129203</v>
      </c>
    </row>
    <row r="1095" spans="1:24" s="4" customFormat="1" ht="15" customHeight="1">
      <c r="A1095" s="28" t="s">
        <v>3019</v>
      </c>
      <c r="B1095" s="29">
        <v>3196.165</v>
      </c>
      <c r="C1095" s="30" t="s">
        <v>3135</v>
      </c>
      <c r="D1095" s="2">
        <v>4951348204</v>
      </c>
      <c r="E1095" s="2" t="s">
        <v>14</v>
      </c>
      <c r="F1095" s="2" t="s">
        <v>3136</v>
      </c>
      <c r="G1095" s="28" t="s">
        <v>9</v>
      </c>
      <c r="H1095" s="2" t="s">
        <v>23</v>
      </c>
      <c r="I1095" s="2">
        <v>3</v>
      </c>
      <c r="J1095" s="2"/>
      <c r="K1095" s="2">
        <v>15396</v>
      </c>
      <c r="L1095" s="35">
        <v>49208156.340000004</v>
      </c>
      <c r="M1095" s="36">
        <v>300</v>
      </c>
      <c r="N1095" s="40">
        <v>289844.268292683</v>
      </c>
      <c r="O1095" s="48">
        <v>209.26829268292701</v>
      </c>
      <c r="P1095" s="40">
        <v>0</v>
      </c>
      <c r="Q1095" s="40">
        <v>6757.3170731707296</v>
      </c>
      <c r="R1095" s="40">
        <v>40990.609756097598</v>
      </c>
      <c r="S1095" s="40">
        <v>129642.43902439</v>
      </c>
      <c r="T1095" s="40">
        <v>30000</v>
      </c>
      <c r="U1095" s="40">
        <v>500378.04878048802</v>
      </c>
      <c r="V1095" s="40">
        <v>0</v>
      </c>
      <c r="W1095" s="45">
        <v>997821.95121951203</v>
      </c>
      <c r="X1095" s="46">
        <v>2.0277572366766599</v>
      </c>
    </row>
    <row r="1096" spans="1:24" s="4" customFormat="1" ht="15" customHeight="1">
      <c r="A1096" s="28" t="s">
        <v>3019</v>
      </c>
      <c r="B1096" s="29">
        <v>3196.165</v>
      </c>
      <c r="C1096" s="30" t="s">
        <v>3135</v>
      </c>
      <c r="D1096" s="2">
        <v>4951521351</v>
      </c>
      <c r="E1096" s="2" t="s">
        <v>14</v>
      </c>
      <c r="F1096" s="2" t="s">
        <v>3136</v>
      </c>
      <c r="G1096" s="28" t="s">
        <v>9</v>
      </c>
      <c r="H1096" s="2" t="s">
        <v>23</v>
      </c>
      <c r="I1096" s="2">
        <v>3</v>
      </c>
      <c r="J1096" s="2"/>
      <c r="K1096" s="2">
        <v>138.80000000000001</v>
      </c>
      <c r="L1096" s="35">
        <v>443627.70199999999</v>
      </c>
      <c r="M1096" s="36">
        <v>40</v>
      </c>
      <c r="N1096" s="40">
        <v>38645.902439024401</v>
      </c>
      <c r="O1096" s="48">
        <v>27.902439024390201</v>
      </c>
      <c r="P1096" s="40">
        <v>0</v>
      </c>
      <c r="Q1096" s="40">
        <v>900.97560975609804</v>
      </c>
      <c r="R1096" s="40">
        <v>5465.4146341463402</v>
      </c>
      <c r="S1096" s="40">
        <v>17285.658536585401</v>
      </c>
      <c r="T1096" s="40">
        <v>30000</v>
      </c>
      <c r="U1096" s="40">
        <v>66717.073170731703</v>
      </c>
      <c r="V1096" s="40">
        <v>0</v>
      </c>
      <c r="W1096" s="45">
        <v>159042.92682926799</v>
      </c>
      <c r="X1096" s="46">
        <v>35.850540016382503</v>
      </c>
    </row>
    <row r="1097" spans="1:24" s="4" customFormat="1" ht="15" customHeight="1">
      <c r="A1097" s="28" t="s">
        <v>3019</v>
      </c>
      <c r="B1097" s="29">
        <v>3196.165</v>
      </c>
      <c r="C1097" s="30" t="s">
        <v>3139</v>
      </c>
      <c r="D1097" s="2">
        <v>4951149025</v>
      </c>
      <c r="E1097" s="2" t="s">
        <v>14</v>
      </c>
      <c r="F1097" s="2" t="s">
        <v>3140</v>
      </c>
      <c r="G1097" s="28" t="s">
        <v>5</v>
      </c>
      <c r="H1097" s="2" t="s">
        <v>17</v>
      </c>
      <c r="I1097" s="2">
        <v>1</v>
      </c>
      <c r="J1097" s="2" t="s">
        <v>3141</v>
      </c>
      <c r="K1097" s="2">
        <v>8430</v>
      </c>
      <c r="L1097" s="35">
        <v>26943670.949999999</v>
      </c>
      <c r="M1097" s="36">
        <v>600</v>
      </c>
      <c r="N1097" s="40">
        <v>9962.0039551746904</v>
      </c>
      <c r="O1097" s="48">
        <v>11225.6822676335</v>
      </c>
      <c r="P1097" s="40">
        <v>0</v>
      </c>
      <c r="Q1097" s="40">
        <v>2900.4614370467998</v>
      </c>
      <c r="R1097" s="40">
        <v>20485.9709953856</v>
      </c>
      <c r="S1097" s="40">
        <v>9343.5992089650608</v>
      </c>
      <c r="T1097" s="40">
        <v>30000</v>
      </c>
      <c r="U1097" s="40">
        <v>150007.910349374</v>
      </c>
      <c r="V1097" s="40">
        <v>0</v>
      </c>
      <c r="W1097" s="45">
        <v>233925.62821358</v>
      </c>
      <c r="X1097" s="46">
        <v>0.86820251274475901</v>
      </c>
    </row>
    <row r="1098" spans="1:24" s="4" customFormat="1" ht="15" customHeight="1">
      <c r="A1098" s="28" t="s">
        <v>3019</v>
      </c>
      <c r="B1098" s="29">
        <v>3196.165</v>
      </c>
      <c r="C1098" s="30" t="s">
        <v>3139</v>
      </c>
      <c r="D1098" s="2">
        <v>4951379745</v>
      </c>
      <c r="E1098" s="2" t="s">
        <v>14</v>
      </c>
      <c r="F1098" s="2" t="s">
        <v>3140</v>
      </c>
      <c r="G1098" s="28" t="s">
        <v>5</v>
      </c>
      <c r="H1098" s="2" t="s">
        <v>17</v>
      </c>
      <c r="I1098" s="2">
        <v>1</v>
      </c>
      <c r="J1098" s="2" t="s">
        <v>3141</v>
      </c>
      <c r="K1098" s="2">
        <v>7113.6</v>
      </c>
      <c r="L1098" s="35">
        <v>22736239.344000001</v>
      </c>
      <c r="M1098" s="36">
        <v>1520</v>
      </c>
      <c r="N1098" s="40">
        <v>25237.076686442499</v>
      </c>
      <c r="O1098" s="48">
        <v>28438.3950780048</v>
      </c>
      <c r="P1098" s="40">
        <v>0</v>
      </c>
      <c r="Q1098" s="40">
        <v>7347.8356405185696</v>
      </c>
      <c r="R1098" s="40">
        <v>51896.993188310298</v>
      </c>
      <c r="S1098" s="40">
        <v>23670.4513293782</v>
      </c>
      <c r="T1098" s="40">
        <v>30000</v>
      </c>
      <c r="U1098" s="40">
        <v>380020.03955174697</v>
      </c>
      <c r="V1098" s="40">
        <v>0</v>
      </c>
      <c r="W1098" s="45">
        <v>546610.79147440102</v>
      </c>
      <c r="X1098" s="46">
        <v>2.4041389748065298</v>
      </c>
    </row>
    <row r="1099" spans="1:24" s="4" customFormat="1" ht="15" customHeight="1">
      <c r="A1099" s="28" t="s">
        <v>3019</v>
      </c>
      <c r="B1099" s="29">
        <v>3196.165</v>
      </c>
      <c r="C1099" s="30" t="s">
        <v>3139</v>
      </c>
      <c r="D1099" s="2">
        <v>4950722775</v>
      </c>
      <c r="E1099" s="2" t="s">
        <v>14</v>
      </c>
      <c r="F1099" s="2" t="s">
        <v>3140</v>
      </c>
      <c r="G1099" s="28" t="s">
        <v>5</v>
      </c>
      <c r="H1099" s="2" t="s">
        <v>17</v>
      </c>
      <c r="I1099" s="2">
        <v>1</v>
      </c>
      <c r="J1099" s="2" t="s">
        <v>3141</v>
      </c>
      <c r="K1099" s="2">
        <v>2115.6</v>
      </c>
      <c r="L1099" s="35">
        <v>6761806.6739999996</v>
      </c>
      <c r="M1099" s="36">
        <v>410</v>
      </c>
      <c r="N1099" s="40">
        <v>6807.3693693693704</v>
      </c>
      <c r="O1099" s="48">
        <v>7670.88288288288</v>
      </c>
      <c r="P1099" s="40">
        <v>0</v>
      </c>
      <c r="Q1099" s="40">
        <v>1981.98198198198</v>
      </c>
      <c r="R1099" s="40">
        <v>13998.8468468468</v>
      </c>
      <c r="S1099" s="40">
        <v>6384.7927927927904</v>
      </c>
      <c r="T1099" s="40">
        <v>30000</v>
      </c>
      <c r="U1099" s="40">
        <v>102505.40540540501</v>
      </c>
      <c r="V1099" s="40">
        <v>0</v>
      </c>
      <c r="W1099" s="45">
        <v>169349.279279279</v>
      </c>
      <c r="X1099" s="46">
        <v>2.5044975025749898</v>
      </c>
    </row>
    <row r="1100" spans="1:24" s="4" customFormat="1" ht="15" customHeight="1">
      <c r="A1100" s="28" t="s">
        <v>3019</v>
      </c>
      <c r="B1100" s="29">
        <v>3196.165</v>
      </c>
      <c r="C1100" s="30" t="s">
        <v>3139</v>
      </c>
      <c r="D1100" s="2">
        <v>4950722778</v>
      </c>
      <c r="E1100" s="2" t="s">
        <v>14</v>
      </c>
      <c r="F1100" s="2" t="s">
        <v>3140</v>
      </c>
      <c r="G1100" s="28" t="s">
        <v>5</v>
      </c>
      <c r="H1100" s="2" t="s">
        <v>17</v>
      </c>
      <c r="I1100" s="2">
        <v>1</v>
      </c>
      <c r="J1100" s="2" t="s">
        <v>3141</v>
      </c>
      <c r="K1100" s="2">
        <v>23584</v>
      </c>
      <c r="L1100" s="35">
        <v>75378355.359999999</v>
      </c>
      <c r="M1100" s="36">
        <v>7040</v>
      </c>
      <c r="N1100" s="40">
        <v>116887.51307405</v>
      </c>
      <c r="O1100" s="48">
        <v>131714.67194023301</v>
      </c>
      <c r="P1100" s="40">
        <v>0</v>
      </c>
      <c r="Q1100" s="40">
        <v>34032.080861349197</v>
      </c>
      <c r="R1100" s="40">
        <v>240364.12634585801</v>
      </c>
      <c r="S1100" s="40">
        <v>109631.564051857</v>
      </c>
      <c r="T1100" s="40">
        <v>30000</v>
      </c>
      <c r="U1100" s="40">
        <v>1760092.81476599</v>
      </c>
      <c r="V1100" s="40">
        <v>0</v>
      </c>
      <c r="W1100" s="45">
        <v>2422722.7710393402</v>
      </c>
      <c r="X1100" s="46">
        <v>3.2140828218772302</v>
      </c>
    </row>
    <row r="1101" spans="1:24" s="4" customFormat="1" ht="15" customHeight="1">
      <c r="A1101" s="28" t="s">
        <v>3019</v>
      </c>
      <c r="B1101" s="29">
        <v>3196.165</v>
      </c>
      <c r="C1101" s="30" t="s">
        <v>3139</v>
      </c>
      <c r="D1101" s="2">
        <v>4950722775</v>
      </c>
      <c r="E1101" s="2" t="s">
        <v>14</v>
      </c>
      <c r="F1101" s="2" t="s">
        <v>3140</v>
      </c>
      <c r="G1101" s="28" t="s">
        <v>5</v>
      </c>
      <c r="H1101" s="2" t="s">
        <v>17</v>
      </c>
      <c r="I1101" s="2">
        <v>1</v>
      </c>
      <c r="J1101" s="2" t="s">
        <v>3141</v>
      </c>
      <c r="K1101" s="2">
        <v>9266.4</v>
      </c>
      <c r="L1101" s="35">
        <v>29616943.355999999</v>
      </c>
      <c r="M1101" s="36">
        <v>4680</v>
      </c>
      <c r="N1101" s="40">
        <v>77703.630850362606</v>
      </c>
      <c r="O1101" s="48">
        <v>87560.321687541204</v>
      </c>
      <c r="P1101" s="40">
        <v>0</v>
      </c>
      <c r="Q1101" s="40">
        <v>22623.599208965101</v>
      </c>
      <c r="R1101" s="40">
        <v>159787.37376400799</v>
      </c>
      <c r="S1101" s="40">
        <v>72880.073829927496</v>
      </c>
      <c r="T1101" s="40">
        <v>30000</v>
      </c>
      <c r="U1101" s="40">
        <v>1170061.70072512</v>
      </c>
      <c r="V1101" s="40">
        <v>0</v>
      </c>
      <c r="W1101" s="45">
        <v>1620616.7000659199</v>
      </c>
      <c r="X1101" s="46">
        <v>5.4719242312951604</v>
      </c>
    </row>
    <row r="1102" spans="1:24" s="4" customFormat="1" ht="15" customHeight="1">
      <c r="A1102" s="28" t="s">
        <v>3019</v>
      </c>
      <c r="B1102" s="29">
        <v>3196.165</v>
      </c>
      <c r="C1102" s="30" t="s">
        <v>3139</v>
      </c>
      <c r="D1102" s="2">
        <v>4951046400</v>
      </c>
      <c r="E1102" s="2" t="s">
        <v>14</v>
      </c>
      <c r="F1102" s="2" t="s">
        <v>3140</v>
      </c>
      <c r="G1102" s="28" t="s">
        <v>5</v>
      </c>
      <c r="H1102" s="2" t="s">
        <v>17</v>
      </c>
      <c r="I1102" s="2">
        <v>1</v>
      </c>
      <c r="J1102" s="2" t="s">
        <v>3141</v>
      </c>
      <c r="K1102" s="2">
        <v>3088.8</v>
      </c>
      <c r="L1102" s="35">
        <v>9872314.4519999996</v>
      </c>
      <c r="M1102" s="36">
        <v>1560</v>
      </c>
      <c r="N1102" s="40">
        <v>25901.210283454198</v>
      </c>
      <c r="O1102" s="48">
        <v>29186.773895847102</v>
      </c>
      <c r="P1102" s="40">
        <v>0</v>
      </c>
      <c r="Q1102" s="40">
        <v>7541.1997363216897</v>
      </c>
      <c r="R1102" s="40">
        <v>53262.124588002604</v>
      </c>
      <c r="S1102" s="40">
        <v>24293.357943309202</v>
      </c>
      <c r="T1102" s="40">
        <v>30000</v>
      </c>
      <c r="U1102" s="40">
        <v>390020.56690837198</v>
      </c>
      <c r="V1102" s="40">
        <v>0</v>
      </c>
      <c r="W1102" s="45">
        <v>560205.23335530702</v>
      </c>
      <c r="X1102" s="46">
        <v>5.67450759473952</v>
      </c>
    </row>
    <row r="1103" spans="1:24" s="4" customFormat="1" ht="15" customHeight="1">
      <c r="A1103" s="28" t="s">
        <v>3019</v>
      </c>
      <c r="B1103" s="29">
        <v>3196.165</v>
      </c>
      <c r="C1103" s="30" t="s">
        <v>3139</v>
      </c>
      <c r="D1103" s="2">
        <v>4951149025</v>
      </c>
      <c r="E1103" s="2" t="s">
        <v>14</v>
      </c>
      <c r="F1103" s="2" t="s">
        <v>3140</v>
      </c>
      <c r="G1103" s="28" t="s">
        <v>5</v>
      </c>
      <c r="H1103" s="2" t="s">
        <v>17</v>
      </c>
      <c r="I1103" s="2">
        <v>1</v>
      </c>
      <c r="J1103" s="2" t="s">
        <v>3141</v>
      </c>
      <c r="K1103" s="2">
        <v>14336</v>
      </c>
      <c r="L1103" s="35">
        <v>45820221.439999998</v>
      </c>
      <c r="M1103" s="36">
        <v>1400</v>
      </c>
      <c r="N1103" s="40">
        <v>23244.675895407599</v>
      </c>
      <c r="O1103" s="48">
        <v>26193.258624478101</v>
      </c>
      <c r="P1103" s="40">
        <v>0</v>
      </c>
      <c r="Q1103" s="40">
        <v>6767.7433531092101</v>
      </c>
      <c r="R1103" s="40">
        <v>47799.598989233098</v>
      </c>
      <c r="S1103" s="40">
        <v>21801.731487585101</v>
      </c>
      <c r="T1103" s="40">
        <v>30000</v>
      </c>
      <c r="U1103" s="40">
        <v>350018.457481872</v>
      </c>
      <c r="V1103" s="40">
        <v>0</v>
      </c>
      <c r="W1103" s="45">
        <v>505825.465831685</v>
      </c>
      <c r="X1103" s="46">
        <v>1.1039350093365401</v>
      </c>
    </row>
    <row r="1104" spans="1:24" s="4" customFormat="1" ht="15" customHeight="1">
      <c r="A1104" s="28" t="s">
        <v>3019</v>
      </c>
      <c r="B1104" s="29">
        <v>3196.165</v>
      </c>
      <c r="C1104" s="30" t="s">
        <v>3139</v>
      </c>
      <c r="D1104" s="2">
        <v>4951149025</v>
      </c>
      <c r="E1104" s="2" t="s">
        <v>14</v>
      </c>
      <c r="F1104" s="2" t="s">
        <v>3140</v>
      </c>
      <c r="G1104" s="28" t="s">
        <v>5</v>
      </c>
      <c r="H1104" s="2" t="s">
        <v>17</v>
      </c>
      <c r="I1104" s="2">
        <v>1</v>
      </c>
      <c r="J1104" s="2" t="s">
        <v>3141</v>
      </c>
      <c r="K1104" s="2">
        <v>10644</v>
      </c>
      <c r="L1104" s="35">
        <v>34019980.259999998</v>
      </c>
      <c r="M1104" s="36">
        <v>1200</v>
      </c>
      <c r="N1104" s="40">
        <v>19924.007910349399</v>
      </c>
      <c r="O1104" s="48">
        <v>22451.364535266999</v>
      </c>
      <c r="P1104" s="40">
        <v>0</v>
      </c>
      <c r="Q1104" s="40">
        <v>5800.9228740936096</v>
      </c>
      <c r="R1104" s="40">
        <v>40970.941990771302</v>
      </c>
      <c r="S1104" s="40">
        <v>18687.1984179301</v>
      </c>
      <c r="T1104" s="40">
        <v>30000</v>
      </c>
      <c r="U1104" s="40">
        <v>300015.82069874799</v>
      </c>
      <c r="V1104" s="40">
        <v>0</v>
      </c>
      <c r="W1104" s="45">
        <v>437850.25642715901</v>
      </c>
      <c r="X1104" s="46">
        <v>1.28703853759132</v>
      </c>
    </row>
    <row r="1105" spans="1:24" s="4" customFormat="1" ht="15" customHeight="1">
      <c r="A1105" s="28" t="s">
        <v>3019</v>
      </c>
      <c r="B1105" s="29">
        <v>3196.165</v>
      </c>
      <c r="C1105" s="30" t="s">
        <v>3139</v>
      </c>
      <c r="D1105" s="2">
        <v>4951268367</v>
      </c>
      <c r="E1105" s="2" t="s">
        <v>14</v>
      </c>
      <c r="F1105" s="2" t="s">
        <v>3140</v>
      </c>
      <c r="G1105" s="28" t="s">
        <v>5</v>
      </c>
      <c r="H1105" s="2" t="s">
        <v>17</v>
      </c>
      <c r="I1105" s="2">
        <v>1</v>
      </c>
      <c r="J1105" s="2" t="s">
        <v>3141</v>
      </c>
      <c r="K1105" s="2">
        <v>1984.5</v>
      </c>
      <c r="L1105" s="35">
        <v>6342789.4424999999</v>
      </c>
      <c r="M1105" s="36">
        <v>525</v>
      </c>
      <c r="N1105" s="40">
        <v>8716.7534607778507</v>
      </c>
      <c r="O1105" s="48">
        <v>9822.4719841792994</v>
      </c>
      <c r="P1105" s="40">
        <v>0</v>
      </c>
      <c r="Q1105" s="40">
        <v>2537.9037574159502</v>
      </c>
      <c r="R1105" s="40">
        <v>17924.474620962399</v>
      </c>
      <c r="S1105" s="40">
        <v>8175.64930784443</v>
      </c>
      <c r="T1105" s="40">
        <v>30000</v>
      </c>
      <c r="U1105" s="40">
        <v>131256.92155570199</v>
      </c>
      <c r="V1105" s="40">
        <v>0</v>
      </c>
      <c r="W1105" s="45">
        <v>208434.174686882</v>
      </c>
      <c r="X1105" s="46">
        <v>3.2861594504503699</v>
      </c>
    </row>
    <row r="1106" spans="1:24" s="4" customFormat="1" ht="15" customHeight="1">
      <c r="A1106" s="28" t="s">
        <v>3019</v>
      </c>
      <c r="B1106" s="29">
        <v>3196.165</v>
      </c>
      <c r="C1106" s="30" t="s">
        <v>3139</v>
      </c>
      <c r="D1106" s="2">
        <v>4951268367</v>
      </c>
      <c r="E1106" s="2" t="s">
        <v>14</v>
      </c>
      <c r="F1106" s="2" t="s">
        <v>3140</v>
      </c>
      <c r="G1106" s="28" t="s">
        <v>5</v>
      </c>
      <c r="H1106" s="2" t="s">
        <v>17</v>
      </c>
      <c r="I1106" s="2">
        <v>1</v>
      </c>
      <c r="J1106" s="2" t="s">
        <v>3141</v>
      </c>
      <c r="K1106" s="2">
        <v>2427.1999999999998</v>
      </c>
      <c r="L1106" s="35">
        <v>7757731.6880000001</v>
      </c>
      <c r="M1106" s="36">
        <v>820</v>
      </c>
      <c r="N1106" s="40">
        <v>13614.738738738701</v>
      </c>
      <c r="O1106" s="48">
        <v>15341.7657657658</v>
      </c>
      <c r="P1106" s="40">
        <v>0</v>
      </c>
      <c r="Q1106" s="40">
        <v>3963.9639639639599</v>
      </c>
      <c r="R1106" s="40">
        <v>27996.693693693702</v>
      </c>
      <c r="S1106" s="40">
        <v>12769.585585585601</v>
      </c>
      <c r="T1106" s="40">
        <v>30000</v>
      </c>
      <c r="U1106" s="40">
        <v>205010.810810811</v>
      </c>
      <c r="V1106" s="40">
        <v>0</v>
      </c>
      <c r="W1106" s="45">
        <v>308697.55855855899</v>
      </c>
      <c r="X1106" s="46">
        <v>3.97922448176528</v>
      </c>
    </row>
    <row r="1107" spans="1:24" s="4" customFormat="1" ht="15" customHeight="1">
      <c r="A1107" s="28" t="s">
        <v>3019</v>
      </c>
      <c r="B1107" s="29">
        <v>3196.165</v>
      </c>
      <c r="C1107" s="30" t="s">
        <v>3139</v>
      </c>
      <c r="D1107" s="2">
        <v>4951379745</v>
      </c>
      <c r="E1107" s="2" t="s">
        <v>14</v>
      </c>
      <c r="F1107" s="2" t="s">
        <v>3140</v>
      </c>
      <c r="G1107" s="28" t="s">
        <v>5</v>
      </c>
      <c r="H1107" s="2" t="s">
        <v>17</v>
      </c>
      <c r="I1107" s="2">
        <v>1</v>
      </c>
      <c r="J1107" s="2" t="s">
        <v>3141</v>
      </c>
      <c r="K1107" s="2">
        <v>2205</v>
      </c>
      <c r="L1107" s="35">
        <v>7047543.8250000002</v>
      </c>
      <c r="M1107" s="36">
        <v>900</v>
      </c>
      <c r="N1107" s="40">
        <v>14943.005932762</v>
      </c>
      <c r="O1107" s="48">
        <v>16838.523401450198</v>
      </c>
      <c r="P1107" s="40">
        <v>0</v>
      </c>
      <c r="Q1107" s="40">
        <v>4350.6921555702002</v>
      </c>
      <c r="R1107" s="40">
        <v>30727.9564930784</v>
      </c>
      <c r="S1107" s="40">
        <v>14015.3988134476</v>
      </c>
      <c r="T1107" s="40">
        <v>30000</v>
      </c>
      <c r="U1107" s="40">
        <v>225011.865524061</v>
      </c>
      <c r="V1107" s="40">
        <v>0</v>
      </c>
      <c r="W1107" s="45">
        <v>335887.44232036901</v>
      </c>
      <c r="X1107" s="46">
        <v>4.76602133538871</v>
      </c>
    </row>
    <row r="1108" spans="1:24" s="4" customFormat="1" ht="15" customHeight="1">
      <c r="A1108" s="28" t="s">
        <v>3019</v>
      </c>
      <c r="B1108" s="29">
        <v>3196.165</v>
      </c>
      <c r="C1108" s="30" t="s">
        <v>3139</v>
      </c>
      <c r="D1108" s="2">
        <v>4951379745</v>
      </c>
      <c r="E1108" s="2" t="s">
        <v>14</v>
      </c>
      <c r="F1108" s="2" t="s">
        <v>3140</v>
      </c>
      <c r="G1108" s="28" t="s">
        <v>5</v>
      </c>
      <c r="H1108" s="2" t="s">
        <v>17</v>
      </c>
      <c r="I1108" s="2">
        <v>1</v>
      </c>
      <c r="J1108" s="2" t="s">
        <v>3141</v>
      </c>
      <c r="K1108" s="2">
        <v>2145.5</v>
      </c>
      <c r="L1108" s="35">
        <v>6857372.0075000003</v>
      </c>
      <c r="M1108" s="36">
        <v>350</v>
      </c>
      <c r="N1108" s="40">
        <v>5811.1689738518999</v>
      </c>
      <c r="O1108" s="48">
        <v>6548.3146561195299</v>
      </c>
      <c r="P1108" s="40">
        <v>0</v>
      </c>
      <c r="Q1108" s="40">
        <v>1691.9358382773</v>
      </c>
      <c r="R1108" s="40">
        <v>11949.6497473083</v>
      </c>
      <c r="S1108" s="40">
        <v>5450.4328718962897</v>
      </c>
      <c r="T1108" s="40">
        <v>30000</v>
      </c>
      <c r="U1108" s="40">
        <v>87504.614370468</v>
      </c>
      <c r="V1108" s="40">
        <v>0</v>
      </c>
      <c r="W1108" s="45">
        <v>148956.11645792099</v>
      </c>
      <c r="X1108" s="46">
        <v>2.17220410814822</v>
      </c>
    </row>
    <row r="1109" spans="1:24" s="4" customFormat="1" ht="15" customHeight="1">
      <c r="A1109" s="28" t="s">
        <v>3019</v>
      </c>
      <c r="B1109" s="29">
        <v>3196.165</v>
      </c>
      <c r="C1109" s="30" t="s">
        <v>3139</v>
      </c>
      <c r="D1109" s="2">
        <v>4951379745</v>
      </c>
      <c r="E1109" s="2" t="s">
        <v>14</v>
      </c>
      <c r="F1109" s="2" t="s">
        <v>3140</v>
      </c>
      <c r="G1109" s="28" t="s">
        <v>5</v>
      </c>
      <c r="H1109" s="2" t="s">
        <v>17</v>
      </c>
      <c r="I1109" s="2">
        <v>1</v>
      </c>
      <c r="J1109" s="2" t="s">
        <v>3141</v>
      </c>
      <c r="K1109" s="2">
        <v>5617.5</v>
      </c>
      <c r="L1109" s="35">
        <v>17954456.887499999</v>
      </c>
      <c r="M1109" s="36">
        <v>1750</v>
      </c>
      <c r="N1109" s="40">
        <v>29055.844869259501</v>
      </c>
      <c r="O1109" s="48">
        <v>32741.573280597699</v>
      </c>
      <c r="P1109" s="40">
        <v>0</v>
      </c>
      <c r="Q1109" s="40">
        <v>8459.6791913865109</v>
      </c>
      <c r="R1109" s="40">
        <v>59749.248736541398</v>
      </c>
      <c r="S1109" s="40">
        <v>27252.164359481401</v>
      </c>
      <c r="T1109" s="40">
        <v>30000</v>
      </c>
      <c r="U1109" s="40">
        <v>437523.07185234001</v>
      </c>
      <c r="V1109" s="40">
        <v>0</v>
      </c>
      <c r="W1109" s="45">
        <v>624781.58228960598</v>
      </c>
      <c r="X1109" s="46">
        <v>3.4798133199149199</v>
      </c>
    </row>
    <row r="1110" spans="1:24" s="4" customFormat="1" ht="15" customHeight="1">
      <c r="A1110" s="28" t="s">
        <v>3019</v>
      </c>
      <c r="B1110" s="29">
        <v>3196.165</v>
      </c>
      <c r="C1110" s="30" t="s">
        <v>3145</v>
      </c>
      <c r="D1110" s="2">
        <v>4950812430</v>
      </c>
      <c r="E1110" s="2" t="s">
        <v>14</v>
      </c>
      <c r="F1110" s="2" t="s">
        <v>3146</v>
      </c>
      <c r="G1110" s="28" t="s">
        <v>5</v>
      </c>
      <c r="H1110" s="2" t="s">
        <v>17</v>
      </c>
      <c r="I1110" s="2">
        <v>3</v>
      </c>
      <c r="J1110" s="2" t="s">
        <v>3147</v>
      </c>
      <c r="K1110" s="2">
        <v>24200.400000000001</v>
      </c>
      <c r="L1110" s="35">
        <v>77348471.466000006</v>
      </c>
      <c r="M1110" s="36">
        <v>16000</v>
      </c>
      <c r="N1110" s="40">
        <v>388773.77401340299</v>
      </c>
      <c r="O1110" s="48">
        <v>380402.97840655199</v>
      </c>
      <c r="P1110" s="40">
        <v>155495.5</v>
      </c>
      <c r="Q1110" s="40">
        <v>88735.070737155605</v>
      </c>
      <c r="R1110" s="40">
        <v>741713</v>
      </c>
      <c r="S1110" s="40">
        <v>119130.107222636</v>
      </c>
      <c r="T1110" s="40">
        <v>30000</v>
      </c>
      <c r="U1110" s="40">
        <v>6275900</v>
      </c>
      <c r="V1110" s="40">
        <v>0</v>
      </c>
      <c r="W1110" s="45">
        <v>8180150.4303797502</v>
      </c>
      <c r="X1110" s="46">
        <v>10.575710515463101</v>
      </c>
    </row>
    <row r="1111" spans="1:24" s="4" customFormat="1" ht="15" customHeight="1">
      <c r="A1111" s="28" t="s">
        <v>3019</v>
      </c>
      <c r="B1111" s="29">
        <v>3196.165</v>
      </c>
      <c r="C1111" s="30" t="s">
        <v>3145</v>
      </c>
      <c r="D1111" s="2">
        <v>4950896345</v>
      </c>
      <c r="E1111" s="2" t="s">
        <v>14</v>
      </c>
      <c r="F1111" s="2" t="s">
        <v>3146</v>
      </c>
      <c r="G1111" s="28" t="s">
        <v>5</v>
      </c>
      <c r="H1111" s="2" t="s">
        <v>17</v>
      </c>
      <c r="I1111" s="2">
        <v>3</v>
      </c>
      <c r="J1111" s="2" t="s">
        <v>3147</v>
      </c>
      <c r="K1111" s="2">
        <v>24200.400000000001</v>
      </c>
      <c r="L1111" s="35">
        <v>77348471.466000006</v>
      </c>
      <c r="M1111" s="36">
        <v>18060</v>
      </c>
      <c r="N1111" s="40">
        <v>388773.77401340299</v>
      </c>
      <c r="O1111" s="48">
        <v>429379.861876396</v>
      </c>
      <c r="P1111" s="40">
        <v>155495.5</v>
      </c>
      <c r="Q1111" s="40">
        <v>100159.711094564</v>
      </c>
      <c r="R1111" s="40">
        <v>741713</v>
      </c>
      <c r="S1111" s="40">
        <v>119130.107222636</v>
      </c>
      <c r="T1111" s="40">
        <v>30000</v>
      </c>
      <c r="U1111" s="40">
        <v>6275900</v>
      </c>
      <c r="V1111" s="40">
        <v>0</v>
      </c>
      <c r="W1111" s="45">
        <v>8240551.9542070003</v>
      </c>
      <c r="X1111" s="46">
        <v>10.6538006479279</v>
      </c>
    </row>
    <row r="1112" spans="1:24" s="4" customFormat="1" ht="15" customHeight="1">
      <c r="A1112" s="28" t="s">
        <v>3019</v>
      </c>
      <c r="B1112" s="29">
        <v>3196.165</v>
      </c>
      <c r="C1112" s="30" t="s">
        <v>3145</v>
      </c>
      <c r="D1112" s="2">
        <v>4951215092</v>
      </c>
      <c r="E1112" s="2" t="s">
        <v>14</v>
      </c>
      <c r="F1112" s="2" t="s">
        <v>3146</v>
      </c>
      <c r="G1112" s="28" t="s">
        <v>5</v>
      </c>
      <c r="H1112" s="2" t="s">
        <v>17</v>
      </c>
      <c r="I1112" s="2">
        <v>3</v>
      </c>
      <c r="J1112" s="2" t="s">
        <v>3147</v>
      </c>
      <c r="K1112" s="2">
        <v>4896</v>
      </c>
      <c r="L1112" s="35">
        <v>15648423.84</v>
      </c>
      <c r="M1112" s="36">
        <v>18060</v>
      </c>
      <c r="N1112" s="40">
        <v>34442.859270290399</v>
      </c>
      <c r="O1112" s="48">
        <v>429379.861876396</v>
      </c>
      <c r="P1112" s="40">
        <v>98951.909090909103</v>
      </c>
      <c r="Q1112" s="40">
        <v>100159.711094564</v>
      </c>
      <c r="R1112" s="40">
        <v>79826.909090909103</v>
      </c>
      <c r="S1112" s="40">
        <v>10554.162323157099</v>
      </c>
      <c r="T1112" s="40">
        <v>30000</v>
      </c>
      <c r="U1112" s="40">
        <v>2085500</v>
      </c>
      <c r="V1112" s="40">
        <v>0</v>
      </c>
      <c r="W1112" s="45">
        <v>2868815.4127462301</v>
      </c>
      <c r="X1112" s="46">
        <v>18.332935266062101</v>
      </c>
    </row>
    <row r="1113" spans="1:24" s="4" customFormat="1" ht="15" customHeight="1">
      <c r="A1113" s="28" t="s">
        <v>3019</v>
      </c>
      <c r="B1113" s="29">
        <v>3196.165</v>
      </c>
      <c r="C1113" s="30" t="s">
        <v>3145</v>
      </c>
      <c r="D1113" s="2">
        <v>4950585750</v>
      </c>
      <c r="E1113" s="2" t="s">
        <v>14</v>
      </c>
      <c r="F1113" s="2" t="s">
        <v>3146</v>
      </c>
      <c r="G1113" s="28" t="s">
        <v>5</v>
      </c>
      <c r="H1113" s="2" t="s">
        <v>17</v>
      </c>
      <c r="I1113" s="2">
        <v>3</v>
      </c>
      <c r="J1113" s="2" t="s">
        <v>3147</v>
      </c>
      <c r="K1113" s="2">
        <v>14720</v>
      </c>
      <c r="L1113" s="35">
        <v>47047548.799999997</v>
      </c>
      <c r="M1113" s="36">
        <v>1600</v>
      </c>
      <c r="N1113" s="40">
        <v>344428.59270290402</v>
      </c>
      <c r="O1113" s="48">
        <v>38040.297840655301</v>
      </c>
      <c r="P1113" s="40">
        <v>989519.09090909106</v>
      </c>
      <c r="Q1113" s="40">
        <v>8873.5070737155602</v>
      </c>
      <c r="R1113" s="40">
        <v>798267.09090909106</v>
      </c>
      <c r="S1113" s="40">
        <v>105541.62323157099</v>
      </c>
      <c r="T1113" s="40">
        <v>30000</v>
      </c>
      <c r="U1113" s="40">
        <v>0</v>
      </c>
      <c r="V1113" s="40">
        <v>0</v>
      </c>
      <c r="W1113" s="45">
        <v>2314670.20266703</v>
      </c>
      <c r="X1113" s="46">
        <v>4.9198529183884503</v>
      </c>
    </row>
    <row r="1114" spans="1:24" s="4" customFormat="1" ht="15" customHeight="1">
      <c r="A1114" s="28" t="s">
        <v>3019</v>
      </c>
      <c r="B1114" s="29">
        <v>3196.165</v>
      </c>
      <c r="C1114" s="30" t="s">
        <v>3148</v>
      </c>
      <c r="D1114" s="2">
        <v>4952076846</v>
      </c>
      <c r="E1114" s="2" t="s">
        <v>14</v>
      </c>
      <c r="F1114" s="2" t="s">
        <v>3149</v>
      </c>
      <c r="G1114" s="28" t="s">
        <v>5</v>
      </c>
      <c r="H1114" s="2" t="s">
        <v>20</v>
      </c>
      <c r="I1114" s="2">
        <v>1</v>
      </c>
      <c r="J1114" s="2" t="s">
        <v>3150</v>
      </c>
      <c r="K1114" s="2">
        <v>12722.4</v>
      </c>
      <c r="L1114" s="35">
        <v>40662889.596000001</v>
      </c>
      <c r="M1114" s="36">
        <v>2160</v>
      </c>
      <c r="N1114" s="40">
        <v>128644.42175360701</v>
      </c>
      <c r="O1114" s="40">
        <v>77798.836847946703</v>
      </c>
      <c r="P1114" s="40">
        <v>383262.15316315199</v>
      </c>
      <c r="Q1114" s="40">
        <v>26370.699223085499</v>
      </c>
      <c r="R1114" s="40">
        <v>277476.61376248603</v>
      </c>
      <c r="S1114" s="40">
        <v>84951.0499445061</v>
      </c>
      <c r="T1114" s="40">
        <v>30000</v>
      </c>
      <c r="U1114" s="40">
        <v>779014.42841287504</v>
      </c>
      <c r="V1114" s="40">
        <v>0</v>
      </c>
      <c r="W1114" s="45">
        <v>1787518.2031076599</v>
      </c>
      <c r="X1114" s="46">
        <v>4.3959448550441804</v>
      </c>
    </row>
    <row r="1115" spans="1:24" s="4" customFormat="1" ht="15" customHeight="1">
      <c r="A1115" s="28" t="s">
        <v>3019</v>
      </c>
      <c r="B1115" s="29">
        <v>3196.165</v>
      </c>
      <c r="C1115" s="30" t="s">
        <v>3148</v>
      </c>
      <c r="D1115" s="2">
        <v>4950722773</v>
      </c>
      <c r="E1115" s="2" t="s">
        <v>14</v>
      </c>
      <c r="F1115" s="2" t="s">
        <v>3149</v>
      </c>
      <c r="G1115" s="28" t="s">
        <v>5</v>
      </c>
      <c r="H1115" s="2" t="s">
        <v>20</v>
      </c>
      <c r="I1115" s="2">
        <v>1</v>
      </c>
      <c r="J1115" s="2" t="s">
        <v>3150</v>
      </c>
      <c r="K1115" s="2">
        <v>9702</v>
      </c>
      <c r="L1115" s="35">
        <v>31009192.829999998</v>
      </c>
      <c r="M1115" s="36">
        <v>450</v>
      </c>
      <c r="N1115" s="40">
        <v>26800.9211986681</v>
      </c>
      <c r="O1115" s="40">
        <v>16208.091009988901</v>
      </c>
      <c r="P1115" s="40">
        <v>79846.28190899</v>
      </c>
      <c r="Q1115" s="40">
        <v>5493.8956714761398</v>
      </c>
      <c r="R1115" s="40">
        <v>57807.419533851302</v>
      </c>
      <c r="S1115" s="40">
        <v>17698.1354051054</v>
      </c>
      <c r="T1115" s="40">
        <v>30000</v>
      </c>
      <c r="U1115" s="40">
        <v>162294.67258601601</v>
      </c>
      <c r="V1115" s="40">
        <v>0</v>
      </c>
      <c r="W1115" s="45">
        <v>396149.417314096</v>
      </c>
      <c r="X1115" s="46">
        <v>1.27752250594165</v>
      </c>
    </row>
    <row r="1116" spans="1:24" s="4" customFormat="1" ht="15" customHeight="1">
      <c r="A1116" s="28" t="s">
        <v>3019</v>
      </c>
      <c r="B1116" s="29">
        <v>3196.165</v>
      </c>
      <c r="C1116" s="30" t="s">
        <v>3148</v>
      </c>
      <c r="D1116" s="2">
        <v>4950930054</v>
      </c>
      <c r="E1116" s="2" t="s">
        <v>14</v>
      </c>
      <c r="F1116" s="2" t="s">
        <v>3149</v>
      </c>
      <c r="G1116" s="28" t="s">
        <v>5</v>
      </c>
      <c r="H1116" s="2" t="s">
        <v>20</v>
      </c>
      <c r="I1116" s="2">
        <v>1</v>
      </c>
      <c r="J1116" s="2" t="s">
        <v>3150</v>
      </c>
      <c r="K1116" s="2">
        <v>4392</v>
      </c>
      <c r="L1116" s="35">
        <v>14037556.68</v>
      </c>
      <c r="M1116" s="36">
        <v>3600</v>
      </c>
      <c r="N1116" s="40">
        <v>214407.36958934501</v>
      </c>
      <c r="O1116" s="40">
        <v>129664.728079911</v>
      </c>
      <c r="P1116" s="40">
        <v>638770.25527192</v>
      </c>
      <c r="Q1116" s="48">
        <v>43951.165371809097</v>
      </c>
      <c r="R1116" s="40">
        <v>462460.35627081001</v>
      </c>
      <c r="S1116" s="40">
        <v>141585.08324084399</v>
      </c>
      <c r="T1116" s="40">
        <v>30000</v>
      </c>
      <c r="U1116" s="40">
        <v>1298357.3806881199</v>
      </c>
      <c r="V1116" s="40">
        <v>0</v>
      </c>
      <c r="W1116" s="45">
        <v>2959196.3385127601</v>
      </c>
      <c r="X1116" s="46">
        <v>21.080565556888299</v>
      </c>
    </row>
    <row r="1117" spans="1:24" s="4" customFormat="1" ht="15" customHeight="1">
      <c r="A1117" s="28" t="s">
        <v>3019</v>
      </c>
      <c r="B1117" s="29">
        <v>3196.165</v>
      </c>
      <c r="C1117" s="30" t="s">
        <v>3148</v>
      </c>
      <c r="D1117" s="2">
        <v>4950930063</v>
      </c>
      <c r="E1117" s="2" t="s">
        <v>14</v>
      </c>
      <c r="F1117" s="2" t="s">
        <v>3149</v>
      </c>
      <c r="G1117" s="28" t="s">
        <v>5</v>
      </c>
      <c r="H1117" s="2" t="s">
        <v>20</v>
      </c>
      <c r="I1117" s="2">
        <v>1</v>
      </c>
      <c r="J1117" s="2" t="s">
        <v>3150</v>
      </c>
      <c r="K1117" s="2">
        <v>2568</v>
      </c>
      <c r="L1117" s="35">
        <v>8207751.7199999997</v>
      </c>
      <c r="M1117" s="36">
        <v>400</v>
      </c>
      <c r="N1117" s="40">
        <v>23823.041065482801</v>
      </c>
      <c r="O1117" s="40">
        <v>14407.192008878999</v>
      </c>
      <c r="P1117" s="40">
        <v>70974.4728079911</v>
      </c>
      <c r="Q1117" s="48">
        <v>4883.4628190899002</v>
      </c>
      <c r="R1117" s="40">
        <v>51384.372918978901</v>
      </c>
      <c r="S1117" s="40">
        <v>15731.675915649301</v>
      </c>
      <c r="T1117" s="40">
        <v>30000</v>
      </c>
      <c r="U1117" s="40">
        <v>144261.93118756899</v>
      </c>
      <c r="V1117" s="40">
        <v>0</v>
      </c>
      <c r="W1117" s="45">
        <v>355466.14872364001</v>
      </c>
      <c r="X1117" s="46">
        <v>4.3308589349439996</v>
      </c>
    </row>
    <row r="1118" spans="1:24" s="4" customFormat="1" ht="15" customHeight="1">
      <c r="A1118" s="28" t="s">
        <v>3019</v>
      </c>
      <c r="B1118" s="29">
        <v>3196.165</v>
      </c>
      <c r="C1118" s="30" t="s">
        <v>3148</v>
      </c>
      <c r="D1118" s="2">
        <v>4951900902</v>
      </c>
      <c r="E1118" s="2" t="s">
        <v>14</v>
      </c>
      <c r="F1118" s="2" t="s">
        <v>3149</v>
      </c>
      <c r="G1118" s="28" t="s">
        <v>5</v>
      </c>
      <c r="H1118" s="2" t="s">
        <v>20</v>
      </c>
      <c r="I1118" s="2">
        <v>1</v>
      </c>
      <c r="J1118" s="2" t="s">
        <v>3150</v>
      </c>
      <c r="K1118" s="2">
        <v>7801.2</v>
      </c>
      <c r="L1118" s="35">
        <v>24933922.397999998</v>
      </c>
      <c r="M1118" s="36">
        <v>360</v>
      </c>
      <c r="N1118" s="40">
        <v>21440.7369589345</v>
      </c>
      <c r="O1118" s="40">
        <v>12966.4728079911</v>
      </c>
      <c r="P1118" s="40">
        <v>63877.025527192003</v>
      </c>
      <c r="Q1118" s="48">
        <v>4395.1165371809102</v>
      </c>
      <c r="R1118" s="40">
        <v>46245.935627081002</v>
      </c>
      <c r="S1118" s="40">
        <v>14158.5083240844</v>
      </c>
      <c r="T1118" s="40">
        <v>30000</v>
      </c>
      <c r="U1118" s="40">
        <v>129835.738068812</v>
      </c>
      <c r="V1118" s="40">
        <v>0</v>
      </c>
      <c r="W1118" s="45">
        <v>322919.53385127598</v>
      </c>
      <c r="X1118" s="46">
        <v>1.29510122273092</v>
      </c>
    </row>
    <row r="1119" spans="1:24" s="4" customFormat="1" ht="15" customHeight="1">
      <c r="A1119" s="28" t="s">
        <v>3019</v>
      </c>
      <c r="B1119" s="29">
        <v>3196.165</v>
      </c>
      <c r="C1119" s="30" t="s">
        <v>3148</v>
      </c>
      <c r="D1119" s="2">
        <v>4951900902</v>
      </c>
      <c r="E1119" s="2" t="s">
        <v>14</v>
      </c>
      <c r="F1119" s="2" t="s">
        <v>3149</v>
      </c>
      <c r="G1119" s="28" t="s">
        <v>5</v>
      </c>
      <c r="H1119" s="2" t="s">
        <v>20</v>
      </c>
      <c r="I1119" s="2">
        <v>1</v>
      </c>
      <c r="J1119" s="2" t="s">
        <v>3150</v>
      </c>
      <c r="K1119" s="2">
        <v>18645.599999999999</v>
      </c>
      <c r="L1119" s="35">
        <v>59594414.123999998</v>
      </c>
      <c r="M1119" s="36">
        <v>2040</v>
      </c>
      <c r="N1119" s="40">
        <v>121497.509433962</v>
      </c>
      <c r="O1119" s="40">
        <v>73476.679245282998</v>
      </c>
      <c r="P1119" s="40">
        <v>361969.81132075499</v>
      </c>
      <c r="Q1119" s="48">
        <v>24905.660377358501</v>
      </c>
      <c r="R1119" s="40">
        <v>262061.301886792</v>
      </c>
      <c r="S1119" s="40">
        <v>80231.547169811296</v>
      </c>
      <c r="T1119" s="40">
        <v>30000</v>
      </c>
      <c r="U1119" s="40">
        <v>735735.84905660397</v>
      </c>
      <c r="V1119" s="40">
        <v>0</v>
      </c>
      <c r="W1119" s="45">
        <v>1689878.35849057</v>
      </c>
      <c r="X1119" s="46">
        <v>2.8356321365529</v>
      </c>
    </row>
    <row r="1120" spans="1:24" s="4" customFormat="1" ht="15" customHeight="1">
      <c r="A1120" s="28" t="s">
        <v>3019</v>
      </c>
      <c r="B1120" s="29">
        <v>3196.165</v>
      </c>
      <c r="C1120" s="30" t="s">
        <v>3151</v>
      </c>
      <c r="D1120" s="2">
        <v>4951213131</v>
      </c>
      <c r="E1120" s="2" t="s">
        <v>14</v>
      </c>
      <c r="F1120" s="2" t="s">
        <v>3152</v>
      </c>
      <c r="G1120" s="28" t="s">
        <v>5</v>
      </c>
      <c r="H1120" s="2" t="s">
        <v>17</v>
      </c>
      <c r="I1120" s="2">
        <v>1</v>
      </c>
      <c r="J1120" s="2" t="s">
        <v>3153</v>
      </c>
      <c r="K1120" s="2">
        <v>12780</v>
      </c>
      <c r="L1120" s="35">
        <v>40846988.700000003</v>
      </c>
      <c r="M1120" s="36">
        <v>4500</v>
      </c>
      <c r="N1120" s="40">
        <v>83378.899975663197</v>
      </c>
      <c r="O1120" s="40">
        <v>93249.111706011201</v>
      </c>
      <c r="P1120" s="40">
        <v>0</v>
      </c>
      <c r="Q1120" s="48">
        <v>24093.453394986602</v>
      </c>
      <c r="R1120" s="40">
        <v>151514.31005110699</v>
      </c>
      <c r="S1120" s="40">
        <v>77615.088829398897</v>
      </c>
      <c r="T1120" s="40">
        <v>30000</v>
      </c>
      <c r="U1120" s="40">
        <v>1246080.5548795301</v>
      </c>
      <c r="V1120" s="40">
        <v>0</v>
      </c>
      <c r="W1120" s="45">
        <v>1705931.4188367</v>
      </c>
      <c r="X1120" s="46">
        <v>4.1763945718639901</v>
      </c>
    </row>
    <row r="1121" spans="1:24" s="4" customFormat="1" ht="15" customHeight="1">
      <c r="A1121" s="28" t="s">
        <v>3019</v>
      </c>
      <c r="B1121" s="29">
        <v>3196.165</v>
      </c>
      <c r="C1121" s="30" t="s">
        <v>3151</v>
      </c>
      <c r="D1121" s="2">
        <v>4951046395</v>
      </c>
      <c r="E1121" s="2" t="s">
        <v>14</v>
      </c>
      <c r="F1121" s="2" t="s">
        <v>3152</v>
      </c>
      <c r="G1121" s="28" t="s">
        <v>5</v>
      </c>
      <c r="H1121" s="2" t="s">
        <v>17</v>
      </c>
      <c r="I1121" s="2">
        <v>1</v>
      </c>
      <c r="J1121" s="2" t="s">
        <v>3153</v>
      </c>
      <c r="K1121" s="2">
        <v>11792</v>
      </c>
      <c r="L1121" s="35">
        <v>37689177.68</v>
      </c>
      <c r="M1121" s="36">
        <v>3520</v>
      </c>
      <c r="N1121" s="40">
        <v>65220.828425407599</v>
      </c>
      <c r="O1121" s="40">
        <v>72941.527378924293</v>
      </c>
      <c r="P1121" s="40">
        <v>0</v>
      </c>
      <c r="Q1121" s="48">
        <v>18846.434655633999</v>
      </c>
      <c r="R1121" s="40">
        <v>118517.860306644</v>
      </c>
      <c r="S1121" s="40">
        <v>60712.247262107601</v>
      </c>
      <c r="T1121" s="40">
        <v>30000</v>
      </c>
      <c r="U1121" s="40">
        <v>974711.90070576803</v>
      </c>
      <c r="V1121" s="40">
        <v>0</v>
      </c>
      <c r="W1121" s="45">
        <v>1340950.7987344901</v>
      </c>
      <c r="X1121" s="46">
        <v>3.5579200218158902</v>
      </c>
    </row>
    <row r="1122" spans="1:24" s="4" customFormat="1" ht="15" customHeight="1">
      <c r="A1122" s="28" t="s">
        <v>3019</v>
      </c>
      <c r="B1122" s="29">
        <v>3196.165</v>
      </c>
      <c r="C1122" s="30" t="s">
        <v>3151</v>
      </c>
      <c r="D1122" s="2">
        <v>4951046395</v>
      </c>
      <c r="E1122" s="2" t="s">
        <v>14</v>
      </c>
      <c r="F1122" s="2" t="s">
        <v>3152</v>
      </c>
      <c r="G1122" s="28" t="s">
        <v>5</v>
      </c>
      <c r="H1122" s="2" t="s">
        <v>17</v>
      </c>
      <c r="I1122" s="2">
        <v>1</v>
      </c>
      <c r="J1122" s="2" t="s">
        <v>3153</v>
      </c>
      <c r="K1122" s="2">
        <v>2457</v>
      </c>
      <c r="L1122" s="35">
        <v>7852977.4050000003</v>
      </c>
      <c r="M1122" s="36">
        <v>525</v>
      </c>
      <c r="N1122" s="40">
        <v>9727.5383304940406</v>
      </c>
      <c r="O1122" s="40">
        <v>10879.063032368</v>
      </c>
      <c r="P1122" s="40">
        <v>0</v>
      </c>
      <c r="Q1122" s="48">
        <v>2810.90289608177</v>
      </c>
      <c r="R1122" s="40">
        <v>17676.669505962502</v>
      </c>
      <c r="S1122" s="40">
        <v>9055.0936967632006</v>
      </c>
      <c r="T1122" s="40">
        <v>30000</v>
      </c>
      <c r="U1122" s="40">
        <v>145376.06473594499</v>
      </c>
      <c r="V1122" s="40">
        <v>0</v>
      </c>
      <c r="W1122" s="45">
        <v>225525.33219761401</v>
      </c>
      <c r="X1122" s="46">
        <v>2.8718449139306301</v>
      </c>
    </row>
    <row r="1123" spans="1:24" s="4" customFormat="1" ht="15" customHeight="1">
      <c r="A1123" s="28" t="s">
        <v>3019</v>
      </c>
      <c r="B1123" s="29">
        <v>3196.165</v>
      </c>
      <c r="C1123" s="30" t="s">
        <v>3151</v>
      </c>
      <c r="D1123" s="2">
        <v>4950902083</v>
      </c>
      <c r="E1123" s="2" t="s">
        <v>14</v>
      </c>
      <c r="F1123" s="2" t="s">
        <v>3152</v>
      </c>
      <c r="G1123" s="28" t="s">
        <v>5</v>
      </c>
      <c r="H1123" s="2" t="s">
        <v>17</v>
      </c>
      <c r="I1123" s="2">
        <v>1</v>
      </c>
      <c r="J1123" s="2" t="s">
        <v>3153</v>
      </c>
      <c r="K1123" s="2">
        <v>3555</v>
      </c>
      <c r="L1123" s="35">
        <v>11362366.574999999</v>
      </c>
      <c r="M1123" s="36">
        <v>1125</v>
      </c>
      <c r="N1123" s="40">
        <v>20844.724993915799</v>
      </c>
      <c r="O1123" s="40">
        <v>23312.2779265028</v>
      </c>
      <c r="P1123" s="40">
        <v>0</v>
      </c>
      <c r="Q1123" s="48">
        <v>6023.3633487466504</v>
      </c>
      <c r="R1123" s="40">
        <v>37878.577512776799</v>
      </c>
      <c r="S1123" s="40">
        <v>19403.772207349699</v>
      </c>
      <c r="T1123" s="40">
        <v>30000</v>
      </c>
      <c r="U1123" s="40">
        <v>311520.13871988299</v>
      </c>
      <c r="V1123" s="40">
        <v>0</v>
      </c>
      <c r="W1123" s="45">
        <v>448982.85470917501</v>
      </c>
      <c r="X1123" s="46">
        <v>3.9514906665398999</v>
      </c>
    </row>
    <row r="1124" spans="1:24" s="4" customFormat="1" ht="15" customHeight="1">
      <c r="A1124" s="28" t="s">
        <v>3019</v>
      </c>
      <c r="B1124" s="29">
        <v>3196.165</v>
      </c>
      <c r="C1124" s="30" t="s">
        <v>3151</v>
      </c>
      <c r="D1124" s="2">
        <v>4950215958</v>
      </c>
      <c r="E1124" s="2" t="s">
        <v>14</v>
      </c>
      <c r="F1124" s="2" t="s">
        <v>3152</v>
      </c>
      <c r="G1124" s="28" t="s">
        <v>5</v>
      </c>
      <c r="H1124" s="2" t="s">
        <v>17</v>
      </c>
      <c r="I1124" s="2">
        <v>1</v>
      </c>
      <c r="J1124" s="2" t="s">
        <v>3153</v>
      </c>
      <c r="K1124" s="2">
        <v>9424</v>
      </c>
      <c r="L1124" s="35">
        <v>30120658.960000001</v>
      </c>
      <c r="M1124" s="36">
        <v>6200</v>
      </c>
      <c r="N1124" s="40">
        <v>114877.595522025</v>
      </c>
      <c r="O1124" s="40">
        <v>128476.55390606</v>
      </c>
      <c r="P1124" s="40">
        <v>0</v>
      </c>
      <c r="Q1124" s="48">
        <v>33195.424677537099</v>
      </c>
      <c r="R1124" s="40">
        <v>208753.04940374801</v>
      </c>
      <c r="S1124" s="40">
        <v>106936.344609394</v>
      </c>
      <c r="T1124" s="40">
        <v>30000</v>
      </c>
      <c r="U1124" s="40">
        <v>1716822.0978340199</v>
      </c>
      <c r="V1124" s="40">
        <v>0</v>
      </c>
      <c r="W1124" s="45">
        <v>2339061.0659527802</v>
      </c>
      <c r="X1124" s="46">
        <v>7.7656370966486401</v>
      </c>
    </row>
    <row r="1125" spans="1:24" s="4" customFormat="1" ht="15" customHeight="1">
      <c r="A1125" s="28" t="s">
        <v>3019</v>
      </c>
      <c r="B1125" s="29">
        <v>3196.165</v>
      </c>
      <c r="C1125" s="30" t="s">
        <v>3151</v>
      </c>
      <c r="D1125" s="2">
        <v>4950365725</v>
      </c>
      <c r="E1125" s="2" t="s">
        <v>14</v>
      </c>
      <c r="F1125" s="2" t="s">
        <v>3152</v>
      </c>
      <c r="G1125" s="28" t="s">
        <v>5</v>
      </c>
      <c r="H1125" s="2" t="s">
        <v>17</v>
      </c>
      <c r="I1125" s="2">
        <v>1</v>
      </c>
      <c r="J1125" s="2" t="s">
        <v>3153</v>
      </c>
      <c r="K1125" s="2">
        <v>3555</v>
      </c>
      <c r="L1125" s="35">
        <v>11362366.574999999</v>
      </c>
      <c r="M1125" s="36">
        <v>1125</v>
      </c>
      <c r="N1125" s="40">
        <v>20844.724993915799</v>
      </c>
      <c r="O1125" s="40">
        <v>23312.2779265028</v>
      </c>
      <c r="P1125" s="40">
        <v>0</v>
      </c>
      <c r="Q1125" s="48">
        <v>6023.3633487466504</v>
      </c>
      <c r="R1125" s="40">
        <v>37878.577512776799</v>
      </c>
      <c r="S1125" s="40">
        <v>19403.772207349699</v>
      </c>
      <c r="T1125" s="40">
        <v>30000</v>
      </c>
      <c r="U1125" s="40">
        <v>311520.13871988299</v>
      </c>
      <c r="V1125" s="40">
        <v>0</v>
      </c>
      <c r="W1125" s="45">
        <v>448982.85470917501</v>
      </c>
      <c r="X1125" s="46">
        <v>3.9514906665398999</v>
      </c>
    </row>
    <row r="1126" spans="1:24" s="4" customFormat="1" ht="15" customHeight="1">
      <c r="A1126" s="28" t="s">
        <v>3019</v>
      </c>
      <c r="B1126" s="29">
        <v>3196.165</v>
      </c>
      <c r="C1126" s="30" t="s">
        <v>3151</v>
      </c>
      <c r="D1126" s="2">
        <v>4951157621</v>
      </c>
      <c r="E1126" s="2" t="s">
        <v>14</v>
      </c>
      <c r="F1126" s="2" t="s">
        <v>3152</v>
      </c>
      <c r="G1126" s="28" t="s">
        <v>5</v>
      </c>
      <c r="H1126" s="2" t="s">
        <v>17</v>
      </c>
      <c r="I1126" s="2">
        <v>1</v>
      </c>
      <c r="J1126" s="2" t="s">
        <v>3153</v>
      </c>
      <c r="K1126" s="2">
        <v>3792</v>
      </c>
      <c r="L1126" s="35">
        <v>12119857.68</v>
      </c>
      <c r="M1126" s="36">
        <v>400</v>
      </c>
      <c r="N1126" s="40">
        <v>7411.45777561451</v>
      </c>
      <c r="O1126" s="40">
        <v>8288.8099294232197</v>
      </c>
      <c r="P1126" s="40">
        <v>0</v>
      </c>
      <c r="Q1126" s="48">
        <v>2141.6403017765901</v>
      </c>
      <c r="R1126" s="40">
        <v>13467.9386712095</v>
      </c>
      <c r="S1126" s="40">
        <v>6899.1190070576804</v>
      </c>
      <c r="T1126" s="40">
        <v>30000</v>
      </c>
      <c r="U1126" s="40">
        <v>110762.715989292</v>
      </c>
      <c r="V1126" s="40">
        <v>0</v>
      </c>
      <c r="W1126" s="45">
        <v>178971.68167437401</v>
      </c>
      <c r="X1126" s="46">
        <v>1.47668138025837</v>
      </c>
    </row>
    <row r="1127" spans="1:24" s="4" customFormat="1" ht="15" customHeight="1">
      <c r="A1127" s="28" t="s">
        <v>3019</v>
      </c>
      <c r="B1127" s="29">
        <v>3196.165</v>
      </c>
      <c r="C1127" s="30" t="s">
        <v>3151</v>
      </c>
      <c r="D1127" s="2">
        <v>4951325253</v>
      </c>
      <c r="E1127" s="2" t="s">
        <v>14</v>
      </c>
      <c r="F1127" s="2" t="s">
        <v>3152</v>
      </c>
      <c r="G1127" s="28" t="s">
        <v>5</v>
      </c>
      <c r="H1127" s="2" t="s">
        <v>17</v>
      </c>
      <c r="I1127" s="2">
        <v>1</v>
      </c>
      <c r="J1127" s="2" t="s">
        <v>3153</v>
      </c>
      <c r="K1127" s="2">
        <v>7371</v>
      </c>
      <c r="L1127" s="35">
        <v>23558932.215</v>
      </c>
      <c r="M1127" s="36">
        <v>3150</v>
      </c>
      <c r="N1127" s="40">
        <v>58365.2299829642</v>
      </c>
      <c r="O1127" s="40">
        <v>65274.378194207799</v>
      </c>
      <c r="P1127" s="40">
        <v>0</v>
      </c>
      <c r="Q1127" s="48">
        <v>16865.417376490601</v>
      </c>
      <c r="R1127" s="40">
        <v>106060.017035775</v>
      </c>
      <c r="S1127" s="40">
        <v>54330.562180579203</v>
      </c>
      <c r="T1127" s="40">
        <v>30000</v>
      </c>
      <c r="U1127" s="40">
        <v>872256.38841567305</v>
      </c>
      <c r="V1127" s="40">
        <v>0</v>
      </c>
      <c r="W1127" s="45">
        <v>1203151.9931856899</v>
      </c>
      <c r="X1127" s="46">
        <v>5.1069886453497304</v>
      </c>
    </row>
    <row r="1128" spans="1:24" s="4" customFormat="1" ht="15" customHeight="1">
      <c r="A1128" s="28" t="s">
        <v>3019</v>
      </c>
      <c r="B1128" s="29">
        <v>3196.165</v>
      </c>
      <c r="C1128" s="30" t="s">
        <v>3174</v>
      </c>
      <c r="D1128" s="2">
        <v>4951356841</v>
      </c>
      <c r="E1128" s="2" t="s">
        <v>14</v>
      </c>
      <c r="F1128" s="2" t="s">
        <v>3175</v>
      </c>
      <c r="G1128" s="28" t="s">
        <v>5</v>
      </c>
      <c r="H1128" s="2" t="s">
        <v>20</v>
      </c>
      <c r="I1128" s="2">
        <v>1</v>
      </c>
      <c r="J1128" s="2" t="s">
        <v>3176</v>
      </c>
      <c r="K1128" s="2">
        <v>1928</v>
      </c>
      <c r="L1128" s="35">
        <v>6162206.1200000001</v>
      </c>
      <c r="M1128" s="36">
        <v>800</v>
      </c>
      <c r="N1128" s="40">
        <v>19245.721518987299</v>
      </c>
      <c r="O1128" s="40">
        <v>16431.493670886099</v>
      </c>
      <c r="P1128" s="40">
        <v>5394.0253164556998</v>
      </c>
      <c r="Q1128" s="48">
        <v>5569.6202531645604</v>
      </c>
      <c r="R1128" s="40">
        <v>32536.6075949367</v>
      </c>
      <c r="S1128" s="40">
        <v>17942.075949367099</v>
      </c>
      <c r="T1128" s="40">
        <v>30000</v>
      </c>
      <c r="U1128" s="40">
        <v>198911.392405063</v>
      </c>
      <c r="V1128" s="40">
        <v>0</v>
      </c>
      <c r="W1128" s="45">
        <v>326030.93670885998</v>
      </c>
      <c r="X1128" s="46">
        <v>5.2908151781988799</v>
      </c>
    </row>
    <row r="1129" spans="1:24" s="4" customFormat="1" ht="15" customHeight="1">
      <c r="A1129" s="28" t="s">
        <v>3019</v>
      </c>
      <c r="B1129" s="29">
        <v>3196.165</v>
      </c>
      <c r="C1129" s="30" t="s">
        <v>3174</v>
      </c>
      <c r="D1129" s="2">
        <v>4951356836</v>
      </c>
      <c r="E1129" s="2" t="s">
        <v>14</v>
      </c>
      <c r="F1129" s="2" t="s">
        <v>3175</v>
      </c>
      <c r="G1129" s="28" t="s">
        <v>5</v>
      </c>
      <c r="H1129" s="2" t="s">
        <v>20</v>
      </c>
      <c r="I1129" s="2">
        <v>1</v>
      </c>
      <c r="J1129" s="2" t="s">
        <v>3176</v>
      </c>
      <c r="K1129" s="2">
        <v>40800</v>
      </c>
      <c r="L1129" s="35">
        <v>130403532</v>
      </c>
      <c r="M1129" s="36">
        <v>15000</v>
      </c>
      <c r="N1129" s="40">
        <v>360857.27848101303</v>
      </c>
      <c r="O1129" s="40">
        <v>308090.50632911402</v>
      </c>
      <c r="P1129" s="40">
        <v>101137.974683544</v>
      </c>
      <c r="Q1129" s="48">
        <v>104430.37974683499</v>
      </c>
      <c r="R1129" s="40">
        <v>610061.39240506303</v>
      </c>
      <c r="S1129" s="40">
        <v>336413.92405063298</v>
      </c>
      <c r="T1129" s="40">
        <v>30000</v>
      </c>
      <c r="U1129" s="40">
        <v>3729588.6075949399</v>
      </c>
      <c r="V1129" s="40">
        <v>0</v>
      </c>
      <c r="W1129" s="45">
        <v>5580580.0632911399</v>
      </c>
      <c r="X1129" s="46">
        <v>4.2794700248541897</v>
      </c>
    </row>
    <row r="1130" spans="1:24" s="4" customFormat="1" ht="15" customHeight="1">
      <c r="A1130" s="28" t="s">
        <v>3019</v>
      </c>
      <c r="B1130" s="29">
        <v>3196.165</v>
      </c>
      <c r="C1130" s="30" t="s">
        <v>3180</v>
      </c>
      <c r="D1130" s="2">
        <v>4951215089</v>
      </c>
      <c r="E1130" s="2" t="s">
        <v>14</v>
      </c>
      <c r="F1130" s="2" t="s">
        <v>3181</v>
      </c>
      <c r="G1130" s="28" t="s">
        <v>5</v>
      </c>
      <c r="H1130" s="2" t="s">
        <v>20</v>
      </c>
      <c r="I1130" s="2">
        <v>1</v>
      </c>
      <c r="J1130" s="2" t="s">
        <v>3182</v>
      </c>
      <c r="K1130" s="2">
        <v>32450.400000000001</v>
      </c>
      <c r="L1130" s="35">
        <v>103716832.71600001</v>
      </c>
      <c r="M1130" s="36">
        <v>720</v>
      </c>
      <c r="N1130" s="40">
        <v>32142.948665297699</v>
      </c>
      <c r="O1130" s="40">
        <v>31985.741273100601</v>
      </c>
      <c r="P1130" s="48">
        <v>44625.117043121201</v>
      </c>
      <c r="Q1130" s="40">
        <v>10841.8891170431</v>
      </c>
      <c r="R1130" s="40">
        <v>55772.905544147798</v>
      </c>
      <c r="S1130" s="40">
        <v>34926.258726899403</v>
      </c>
      <c r="T1130" s="40">
        <v>30000</v>
      </c>
      <c r="U1130" s="40">
        <v>285861.19096509198</v>
      </c>
      <c r="V1130" s="40">
        <v>0</v>
      </c>
      <c r="W1130" s="45">
        <v>526156.05133470194</v>
      </c>
      <c r="X1130" s="46">
        <v>0.50730053893511695</v>
      </c>
    </row>
    <row r="1131" spans="1:24" s="4" customFormat="1" ht="15" customHeight="1">
      <c r="A1131" s="28" t="s">
        <v>3019</v>
      </c>
      <c r="B1131" s="29">
        <v>3196.165</v>
      </c>
      <c r="C1131" s="30" t="s">
        <v>3180</v>
      </c>
      <c r="D1131" s="2">
        <v>4951215090</v>
      </c>
      <c r="E1131" s="2" t="s">
        <v>14</v>
      </c>
      <c r="F1131" s="2" t="s">
        <v>3181</v>
      </c>
      <c r="G1131" s="28" t="s">
        <v>5</v>
      </c>
      <c r="H1131" s="2" t="s">
        <v>20</v>
      </c>
      <c r="I1131" s="2">
        <v>1</v>
      </c>
      <c r="J1131" s="2" t="s">
        <v>3182</v>
      </c>
      <c r="K1131" s="2">
        <v>3668.75</v>
      </c>
      <c r="L1131" s="35">
        <v>11725930.34375</v>
      </c>
      <c r="M1131" s="36">
        <v>625</v>
      </c>
      <c r="N1131" s="40">
        <v>27901.865160848702</v>
      </c>
      <c r="O1131" s="40">
        <v>27765.400410677601</v>
      </c>
      <c r="P1131" s="48">
        <v>38737.080766598199</v>
      </c>
      <c r="Q1131" s="40">
        <v>9411.3620807665993</v>
      </c>
      <c r="R1131" s="40">
        <v>48413.765229295001</v>
      </c>
      <c r="S1131" s="40">
        <v>30317.932922655698</v>
      </c>
      <c r="T1131" s="40">
        <v>30000</v>
      </c>
      <c r="U1131" s="40">
        <v>248143.39493497601</v>
      </c>
      <c r="V1131" s="40">
        <v>0</v>
      </c>
      <c r="W1131" s="45">
        <v>460690.80150581797</v>
      </c>
      <c r="X1131" s="46">
        <v>3.9288208952338599</v>
      </c>
    </row>
    <row r="1132" spans="1:24" s="4" customFormat="1" ht="15" customHeight="1">
      <c r="A1132" s="28" t="s">
        <v>3019</v>
      </c>
      <c r="B1132" s="29">
        <v>3196.165</v>
      </c>
      <c r="C1132" s="30" t="s">
        <v>3180</v>
      </c>
      <c r="D1132" s="2">
        <v>4951268367</v>
      </c>
      <c r="E1132" s="2" t="s">
        <v>14</v>
      </c>
      <c r="F1132" s="2" t="s">
        <v>3181</v>
      </c>
      <c r="G1132" s="28" t="s">
        <v>5</v>
      </c>
      <c r="H1132" s="2" t="s">
        <v>20</v>
      </c>
      <c r="I1132" s="2">
        <v>1</v>
      </c>
      <c r="J1132" s="2" t="s">
        <v>3182</v>
      </c>
      <c r="K1132" s="2">
        <v>26144</v>
      </c>
      <c r="L1132" s="35">
        <v>83560537.760000005</v>
      </c>
      <c r="M1132" s="36">
        <v>3800</v>
      </c>
      <c r="N1132" s="40">
        <v>169643.34017796</v>
      </c>
      <c r="O1132" s="40">
        <v>168813.63449692001</v>
      </c>
      <c r="P1132" s="48">
        <v>235521.451060917</v>
      </c>
      <c r="Q1132" s="40">
        <v>57221.081451060898</v>
      </c>
      <c r="R1132" s="40">
        <v>294355.61259411398</v>
      </c>
      <c r="S1132" s="40">
        <v>184333.03216974699</v>
      </c>
      <c r="T1132" s="40">
        <v>30000</v>
      </c>
      <c r="U1132" s="40">
        <v>1508711.84120465</v>
      </c>
      <c r="V1132" s="40">
        <v>0</v>
      </c>
      <c r="W1132" s="45">
        <v>2648599.99315537</v>
      </c>
      <c r="X1132" s="46">
        <v>3.1696780132777498</v>
      </c>
    </row>
    <row r="1133" spans="1:24" s="4" customFormat="1" ht="15" customHeight="1">
      <c r="A1133" s="28" t="s">
        <v>3019</v>
      </c>
      <c r="B1133" s="29">
        <v>3196.165</v>
      </c>
      <c r="C1133" s="30" t="s">
        <v>3180</v>
      </c>
      <c r="D1133" s="2">
        <v>4951215064</v>
      </c>
      <c r="E1133" s="2" t="s">
        <v>14</v>
      </c>
      <c r="F1133" s="2" t="s">
        <v>3181</v>
      </c>
      <c r="G1133" s="28" t="s">
        <v>5</v>
      </c>
      <c r="H1133" s="2" t="s">
        <v>20</v>
      </c>
      <c r="I1133" s="2">
        <v>1</v>
      </c>
      <c r="J1133" s="2" t="s">
        <v>3182</v>
      </c>
      <c r="K1133" s="2">
        <v>20524.8</v>
      </c>
      <c r="L1133" s="35">
        <v>65600647.391999997</v>
      </c>
      <c r="M1133" s="36">
        <v>480</v>
      </c>
      <c r="N1133" s="40">
        <v>21428.632443531798</v>
      </c>
      <c r="O1133" s="40">
        <v>21323.8275154004</v>
      </c>
      <c r="P1133" s="48">
        <v>29750.078028747401</v>
      </c>
      <c r="Q1133" s="40">
        <v>7227.9260780287505</v>
      </c>
      <c r="R1133" s="40">
        <v>37181.603696098602</v>
      </c>
      <c r="S1133" s="40">
        <v>23284.1724845996</v>
      </c>
      <c r="T1133" s="40">
        <v>30000</v>
      </c>
      <c r="U1133" s="40">
        <v>190574.127310062</v>
      </c>
      <c r="V1133" s="40">
        <v>0</v>
      </c>
      <c r="W1133" s="45">
        <v>360770.36755646899</v>
      </c>
      <c r="X1133" s="46">
        <v>0.549949401262257</v>
      </c>
    </row>
    <row r="1134" spans="1:24" s="4" customFormat="1" ht="15" customHeight="1">
      <c r="A1134" s="28" t="s">
        <v>3019</v>
      </c>
      <c r="B1134" s="29">
        <v>3196.165</v>
      </c>
      <c r="C1134" s="30" t="s">
        <v>3180</v>
      </c>
      <c r="D1134" s="2">
        <v>4950722774</v>
      </c>
      <c r="E1134" s="2" t="s">
        <v>14</v>
      </c>
      <c r="F1134" s="2" t="s">
        <v>3181</v>
      </c>
      <c r="G1134" s="28" t="s">
        <v>5</v>
      </c>
      <c r="H1134" s="2" t="s">
        <v>20</v>
      </c>
      <c r="I1134" s="2">
        <v>1</v>
      </c>
      <c r="J1134" s="2" t="s">
        <v>3182</v>
      </c>
      <c r="K1134" s="2">
        <v>8988</v>
      </c>
      <c r="L1134" s="35">
        <v>28727131.02</v>
      </c>
      <c r="M1134" s="36">
        <v>1680</v>
      </c>
      <c r="N1134" s="40">
        <v>75000.213552361398</v>
      </c>
      <c r="O1134" s="40">
        <v>74633.396303901405</v>
      </c>
      <c r="P1134" s="48">
        <v>104125.273100616</v>
      </c>
      <c r="Q1134" s="40">
        <v>25297.741273100601</v>
      </c>
      <c r="R1134" s="40">
        <v>130136.112936345</v>
      </c>
      <c r="S1134" s="40">
        <v>81494.603696098595</v>
      </c>
      <c r="T1134" s="40">
        <v>30000</v>
      </c>
      <c r="U1134" s="40">
        <v>667009.44558521605</v>
      </c>
      <c r="V1134" s="40">
        <v>0</v>
      </c>
      <c r="W1134" s="45">
        <v>1187696.78644764</v>
      </c>
      <c r="X1134" s="46">
        <v>4.1344079421671402</v>
      </c>
    </row>
    <row r="1135" spans="1:24" s="4" customFormat="1" ht="15" customHeight="1">
      <c r="A1135" s="28" t="s">
        <v>3019</v>
      </c>
      <c r="B1135" s="29">
        <v>3196.165</v>
      </c>
      <c r="C1135" s="30" t="s">
        <v>3183</v>
      </c>
      <c r="D1135" s="2">
        <v>4951148391</v>
      </c>
      <c r="E1135" s="2" t="s">
        <v>14</v>
      </c>
      <c r="F1135" s="78" t="s">
        <v>3184</v>
      </c>
      <c r="G1135" s="28" t="s">
        <v>9</v>
      </c>
      <c r="H1135" s="2" t="s">
        <v>23</v>
      </c>
      <c r="I1135" s="2">
        <v>1</v>
      </c>
      <c r="J1135" s="2"/>
      <c r="K1135" s="2">
        <v>5066.6000000000004</v>
      </c>
      <c r="L1135" s="35">
        <v>16193689.589</v>
      </c>
      <c r="M1135" s="36">
        <v>940</v>
      </c>
      <c r="N1135" s="40">
        <v>483121</v>
      </c>
      <c r="O1135" s="40">
        <v>637</v>
      </c>
      <c r="P1135" s="40">
        <v>0</v>
      </c>
      <c r="Q1135" s="48">
        <v>15720</v>
      </c>
      <c r="R1135" s="40">
        <v>101988</v>
      </c>
      <c r="S1135" s="40">
        <v>354356</v>
      </c>
      <c r="T1135" s="40">
        <v>30000</v>
      </c>
      <c r="U1135" s="40">
        <v>1367700</v>
      </c>
      <c r="V1135" s="40">
        <v>0</v>
      </c>
      <c r="W1135" s="45">
        <v>2353522</v>
      </c>
      <c r="X1135" s="46">
        <v>14.5335748660929</v>
      </c>
    </row>
    <row r="1136" spans="1:24" s="4" customFormat="1" ht="15" customHeight="1">
      <c r="A1136" s="28" t="s">
        <v>3019</v>
      </c>
      <c r="B1136" s="29">
        <v>3196.165</v>
      </c>
      <c r="C1136" s="30" t="s">
        <v>3185</v>
      </c>
      <c r="D1136" s="2">
        <v>4951157623</v>
      </c>
      <c r="E1136" s="2" t="s">
        <v>14</v>
      </c>
      <c r="F1136" s="2" t="s">
        <v>3186</v>
      </c>
      <c r="G1136" s="28" t="s">
        <v>9</v>
      </c>
      <c r="H1136" s="2" t="s">
        <v>23</v>
      </c>
      <c r="I1136" s="2">
        <v>1</v>
      </c>
      <c r="J1136" s="2"/>
      <c r="K1136" s="2">
        <v>566.75</v>
      </c>
      <c r="L1136" s="35">
        <v>1811426.5137499999</v>
      </c>
      <c r="M1136" s="36">
        <v>25</v>
      </c>
      <c r="N1136" s="40">
        <v>1521037</v>
      </c>
      <c r="O1136" s="40">
        <v>32</v>
      </c>
      <c r="P1136" s="40">
        <v>2621</v>
      </c>
      <c r="Q1136" s="48">
        <v>1039</v>
      </c>
      <c r="R1136" s="40">
        <v>90803</v>
      </c>
      <c r="S1136" s="40">
        <v>354356</v>
      </c>
      <c r="T1136" s="40">
        <v>30000</v>
      </c>
      <c r="U1136" s="40">
        <v>51327.629911280099</v>
      </c>
      <c r="V1136" s="40">
        <v>0</v>
      </c>
      <c r="W1136" s="45">
        <v>2051215.62991128</v>
      </c>
      <c r="X1136" s="46">
        <v>113.23758454130601</v>
      </c>
    </row>
    <row r="1137" spans="1:24" s="4" customFormat="1" ht="15" customHeight="1">
      <c r="A1137" s="28" t="s">
        <v>3019</v>
      </c>
      <c r="B1137" s="29">
        <v>3196.165</v>
      </c>
      <c r="C1137" s="30" t="s">
        <v>3187</v>
      </c>
      <c r="D1137" s="2">
        <v>4949590097</v>
      </c>
      <c r="E1137" s="2" t="s">
        <v>14</v>
      </c>
      <c r="F1137" s="2" t="s">
        <v>3188</v>
      </c>
      <c r="G1137" s="28" t="s">
        <v>5</v>
      </c>
      <c r="H1137" s="2" t="s">
        <v>17</v>
      </c>
      <c r="I1137" s="2">
        <v>1</v>
      </c>
      <c r="J1137" s="2" t="s">
        <v>3189</v>
      </c>
      <c r="K1137" s="2">
        <v>68040</v>
      </c>
      <c r="L1137" s="35">
        <v>217467066.59999999</v>
      </c>
      <c r="M1137" s="36">
        <v>18000</v>
      </c>
      <c r="N1137" s="40">
        <v>326117</v>
      </c>
      <c r="O1137" s="40">
        <v>425734</v>
      </c>
      <c r="P1137" s="40">
        <v>0</v>
      </c>
      <c r="Q1137" s="48">
        <v>110000</v>
      </c>
      <c r="R1137" s="40">
        <v>651974</v>
      </c>
      <c r="S1137" s="40">
        <v>354356</v>
      </c>
      <c r="T1137" s="40">
        <v>30000</v>
      </c>
      <c r="U1137" s="40">
        <v>5446550</v>
      </c>
      <c r="V1137" s="40">
        <v>0</v>
      </c>
      <c r="W1137" s="45">
        <v>7344731</v>
      </c>
      <c r="X1137" s="46">
        <v>3.3773992148933498</v>
      </c>
    </row>
    <row r="1138" spans="1:24" s="4" customFormat="1" ht="15" customHeight="1">
      <c r="A1138" s="28" t="s">
        <v>3019</v>
      </c>
      <c r="B1138" s="29">
        <v>3196.165</v>
      </c>
      <c r="C1138" s="30" t="s">
        <v>3195</v>
      </c>
      <c r="D1138" s="2">
        <v>4951268365</v>
      </c>
      <c r="E1138" s="2" t="s">
        <v>14</v>
      </c>
      <c r="F1138" s="2" t="s">
        <v>3196</v>
      </c>
      <c r="G1138" s="28" t="s">
        <v>9</v>
      </c>
      <c r="H1138" s="2" t="s">
        <v>23</v>
      </c>
      <c r="I1138" s="2">
        <v>1</v>
      </c>
      <c r="J1138" s="2"/>
      <c r="K1138" s="2">
        <v>2507.4</v>
      </c>
      <c r="L1138" s="35">
        <v>8014064.1210000003</v>
      </c>
      <c r="M1138" s="36">
        <v>420</v>
      </c>
      <c r="N1138" s="40">
        <v>457631</v>
      </c>
      <c r="O1138" s="40">
        <v>286</v>
      </c>
      <c r="P1138" s="40">
        <v>0</v>
      </c>
      <c r="Q1138" s="48">
        <v>7044</v>
      </c>
      <c r="R1138" s="40">
        <v>91683.18</v>
      </c>
      <c r="S1138" s="40">
        <v>354356</v>
      </c>
      <c r="T1138" s="40">
        <v>30000</v>
      </c>
      <c r="U1138" s="40">
        <v>1367700</v>
      </c>
      <c r="V1138" s="40">
        <v>0</v>
      </c>
      <c r="W1138" s="45">
        <v>2308700.1800000002</v>
      </c>
      <c r="X1138" s="46">
        <v>28.808107161886799</v>
      </c>
    </row>
    <row r="1139" spans="1:24" s="4" customFormat="1" ht="15" customHeight="1">
      <c r="A1139" s="28" t="s">
        <v>3019</v>
      </c>
      <c r="B1139" s="29">
        <v>3196.165</v>
      </c>
      <c r="C1139" s="30" t="s">
        <v>3197</v>
      </c>
      <c r="D1139" s="2">
        <v>4950272172</v>
      </c>
      <c r="E1139" s="2" t="s">
        <v>14</v>
      </c>
      <c r="F1139" s="2" t="s">
        <v>3198</v>
      </c>
      <c r="G1139" s="28" t="s">
        <v>9</v>
      </c>
      <c r="H1139" s="2" t="s">
        <v>23</v>
      </c>
      <c r="I1139" s="2">
        <v>1</v>
      </c>
      <c r="J1139" s="2"/>
      <c r="K1139" s="2">
        <v>2485.29</v>
      </c>
      <c r="L1139" s="35">
        <v>7943396.91285</v>
      </c>
      <c r="M1139" s="36">
        <v>764</v>
      </c>
      <c r="N1139" s="40">
        <v>589793</v>
      </c>
      <c r="O1139" s="40">
        <v>547</v>
      </c>
      <c r="P1139" s="40">
        <v>36000</v>
      </c>
      <c r="Q1139" s="48">
        <v>13700</v>
      </c>
      <c r="R1139" s="40">
        <v>98273</v>
      </c>
      <c r="S1139" s="40">
        <v>354356</v>
      </c>
      <c r="T1139" s="40">
        <v>30000</v>
      </c>
      <c r="U1139" s="40">
        <v>1568572.37008872</v>
      </c>
      <c r="V1139" s="40">
        <v>0</v>
      </c>
      <c r="W1139" s="45">
        <v>2691241.3700887202</v>
      </c>
      <c r="X1139" s="46">
        <v>33.880232847676403</v>
      </c>
    </row>
    <row r="1140" spans="1:24" s="4" customFormat="1" ht="15" customHeight="1">
      <c r="A1140" s="28" t="s">
        <v>3019</v>
      </c>
      <c r="B1140" s="29">
        <v>3196.165</v>
      </c>
      <c r="C1140" s="30" t="s">
        <v>3212</v>
      </c>
      <c r="D1140" s="2">
        <v>4951148391</v>
      </c>
      <c r="E1140" s="2" t="s">
        <v>14</v>
      </c>
      <c r="F1140" s="2" t="s">
        <v>3213</v>
      </c>
      <c r="G1140" s="28" t="s">
        <v>5</v>
      </c>
      <c r="H1140" s="2" t="s">
        <v>20</v>
      </c>
      <c r="I1140" s="2">
        <v>1</v>
      </c>
      <c r="J1140" s="2" t="s">
        <v>3214</v>
      </c>
      <c r="K1140" s="2">
        <v>2396.6</v>
      </c>
      <c r="L1140" s="35">
        <v>7659929.0389999999</v>
      </c>
      <c r="M1140" s="36">
        <v>460</v>
      </c>
      <c r="N1140" s="40">
        <v>21758.913151364799</v>
      </c>
      <c r="O1140" s="40">
        <v>18521.106699751901</v>
      </c>
      <c r="P1140" s="40">
        <v>0</v>
      </c>
      <c r="Q1140" s="48">
        <v>6277.9156327543396</v>
      </c>
      <c r="R1140" s="40">
        <v>37505.987593052101</v>
      </c>
      <c r="S1140" s="40">
        <v>20223.791563275401</v>
      </c>
      <c r="T1140" s="40">
        <v>30000</v>
      </c>
      <c r="U1140" s="40">
        <v>165525.806451613</v>
      </c>
      <c r="V1140" s="40">
        <v>0</v>
      </c>
      <c r="W1140" s="45">
        <v>299813.52109181101</v>
      </c>
      <c r="X1140" s="46">
        <v>3.9140508947972199</v>
      </c>
    </row>
    <row r="1141" spans="1:24" s="4" customFormat="1" ht="15" customHeight="1">
      <c r="A1141" s="28" t="s">
        <v>3019</v>
      </c>
      <c r="B1141" s="29">
        <v>3196.165</v>
      </c>
      <c r="C1141" s="30" t="s">
        <v>3212</v>
      </c>
      <c r="D1141" s="2">
        <v>4951157622</v>
      </c>
      <c r="E1141" s="2" t="s">
        <v>14</v>
      </c>
      <c r="F1141" s="2" t="s">
        <v>3213</v>
      </c>
      <c r="G1141" s="28" t="s">
        <v>5</v>
      </c>
      <c r="H1141" s="2" t="s">
        <v>20</v>
      </c>
      <c r="I1141" s="2">
        <v>1</v>
      </c>
      <c r="J1141" s="2" t="s">
        <v>3214</v>
      </c>
      <c r="K1141" s="2">
        <v>3397.5</v>
      </c>
      <c r="L1141" s="35">
        <v>10858970.5875</v>
      </c>
      <c r="M1141" s="36">
        <v>2250</v>
      </c>
      <c r="N1141" s="40">
        <v>106429.466501241</v>
      </c>
      <c r="O1141" s="40">
        <v>90592.369727047204</v>
      </c>
      <c r="P1141" s="40">
        <v>0</v>
      </c>
      <c r="Q1141" s="48">
        <v>30707.1960297767</v>
      </c>
      <c r="R1141" s="40">
        <v>183454.85235731999</v>
      </c>
      <c r="S1141" s="40">
        <v>98920.719602977697</v>
      </c>
      <c r="T1141" s="40">
        <v>30000</v>
      </c>
      <c r="U1141" s="40">
        <v>809637.09677419404</v>
      </c>
      <c r="V1141" s="40">
        <v>0</v>
      </c>
      <c r="W1141" s="45">
        <v>1349741.70099256</v>
      </c>
      <c r="X1141" s="46">
        <v>12.429738989681701</v>
      </c>
    </row>
    <row r="1142" spans="1:24" s="4" customFormat="1" ht="15" customHeight="1">
      <c r="A1142" s="28" t="s">
        <v>3019</v>
      </c>
      <c r="B1142" s="29">
        <v>3196.165</v>
      </c>
      <c r="C1142" s="30" t="s">
        <v>3212</v>
      </c>
      <c r="D1142" s="2">
        <v>4951275454</v>
      </c>
      <c r="E1142" s="2" t="s">
        <v>14</v>
      </c>
      <c r="F1142" s="2" t="s">
        <v>3213</v>
      </c>
      <c r="G1142" s="28" t="s">
        <v>5</v>
      </c>
      <c r="H1142" s="2" t="s">
        <v>20</v>
      </c>
      <c r="I1142" s="2">
        <v>1</v>
      </c>
      <c r="J1142" s="2" t="s">
        <v>3214</v>
      </c>
      <c r="K1142" s="2">
        <v>5216</v>
      </c>
      <c r="L1142" s="35">
        <v>16671196.640000001</v>
      </c>
      <c r="M1142" s="36">
        <v>1600</v>
      </c>
      <c r="N1142" s="40">
        <v>75683.176178660098</v>
      </c>
      <c r="O1142" s="40">
        <v>64421.2406947891</v>
      </c>
      <c r="P1142" s="40">
        <v>0</v>
      </c>
      <c r="Q1142" s="48">
        <v>21836.228287841201</v>
      </c>
      <c r="R1142" s="40">
        <v>130456.739454094</v>
      </c>
      <c r="S1142" s="40">
        <v>70343.622828784093</v>
      </c>
      <c r="T1142" s="40">
        <v>30000</v>
      </c>
      <c r="U1142" s="40">
        <v>575741.93548387103</v>
      </c>
      <c r="V1142" s="40">
        <v>0</v>
      </c>
      <c r="W1142" s="45">
        <v>968482.942928039</v>
      </c>
      <c r="X1142" s="46">
        <v>5.8093186940421102</v>
      </c>
    </row>
    <row r="1143" spans="1:24" s="4" customFormat="1" ht="15" customHeight="1">
      <c r="A1143" s="28" t="s">
        <v>3019</v>
      </c>
      <c r="B1143" s="29">
        <v>3196.165</v>
      </c>
      <c r="C1143" s="30" t="s">
        <v>3212</v>
      </c>
      <c r="D1143" s="2">
        <v>4951348206</v>
      </c>
      <c r="E1143" s="2" t="s">
        <v>14</v>
      </c>
      <c r="F1143" s="2" t="s">
        <v>3213</v>
      </c>
      <c r="G1143" s="28" t="s">
        <v>5</v>
      </c>
      <c r="H1143" s="2" t="s">
        <v>20</v>
      </c>
      <c r="I1143" s="2">
        <v>1</v>
      </c>
      <c r="J1143" s="2" t="s">
        <v>3214</v>
      </c>
      <c r="K1143" s="2">
        <v>3397.5</v>
      </c>
      <c r="L1143" s="35">
        <v>10858970.5875</v>
      </c>
      <c r="M1143" s="36">
        <v>2250</v>
      </c>
      <c r="N1143" s="40">
        <v>106429.466501241</v>
      </c>
      <c r="O1143" s="40">
        <v>90592.369727047204</v>
      </c>
      <c r="P1143" s="40">
        <v>0</v>
      </c>
      <c r="Q1143" s="48">
        <v>30707.1960297767</v>
      </c>
      <c r="R1143" s="40">
        <v>183454.85235731999</v>
      </c>
      <c r="S1143" s="40">
        <v>98920.719602977697</v>
      </c>
      <c r="T1143" s="40">
        <v>30000</v>
      </c>
      <c r="U1143" s="40">
        <v>809637.09677419404</v>
      </c>
      <c r="V1143" s="40">
        <v>0</v>
      </c>
      <c r="W1143" s="45">
        <v>1349741.70099256</v>
      </c>
      <c r="X1143" s="46">
        <v>12.429738989681701</v>
      </c>
    </row>
    <row r="1144" spans="1:24" s="4" customFormat="1" ht="15" customHeight="1">
      <c r="A1144" s="28" t="s">
        <v>3019</v>
      </c>
      <c r="B1144" s="29">
        <v>3196.165</v>
      </c>
      <c r="C1144" s="30" t="s">
        <v>3212</v>
      </c>
      <c r="D1144" s="2">
        <v>4951411351</v>
      </c>
      <c r="E1144" s="2" t="s">
        <v>14</v>
      </c>
      <c r="F1144" s="2" t="s">
        <v>3213</v>
      </c>
      <c r="G1144" s="28" t="s">
        <v>5</v>
      </c>
      <c r="H1144" s="2" t="s">
        <v>20</v>
      </c>
      <c r="I1144" s="2">
        <v>1</v>
      </c>
      <c r="J1144" s="2" t="s">
        <v>3214</v>
      </c>
      <c r="K1144" s="2">
        <v>2699.2</v>
      </c>
      <c r="L1144" s="35">
        <v>8627088.568</v>
      </c>
      <c r="M1144" s="36">
        <v>560</v>
      </c>
      <c r="N1144" s="40">
        <v>26489.111662530999</v>
      </c>
      <c r="O1144" s="40">
        <v>22547.434243176202</v>
      </c>
      <c r="P1144" s="40">
        <v>0</v>
      </c>
      <c r="Q1144" s="48">
        <v>7642.6799007444197</v>
      </c>
      <c r="R1144" s="40">
        <v>45660.158808933003</v>
      </c>
      <c r="S1144" s="40">
        <v>24620.267990074401</v>
      </c>
      <c r="T1144" s="40">
        <v>30000</v>
      </c>
      <c r="U1144" s="40">
        <v>201509.67741935499</v>
      </c>
      <c r="V1144" s="40">
        <v>0</v>
      </c>
      <c r="W1144" s="45">
        <v>358469.330024814</v>
      </c>
      <c r="X1144" s="46">
        <v>4.1551599615479198</v>
      </c>
    </row>
    <row r="1145" spans="1:24" s="4" customFormat="1" ht="15" customHeight="1">
      <c r="A1145" s="28" t="s">
        <v>3019</v>
      </c>
      <c r="B1145" s="29">
        <v>3196.165</v>
      </c>
      <c r="C1145" s="30" t="s">
        <v>3212</v>
      </c>
      <c r="D1145" s="2">
        <v>4951325265</v>
      </c>
      <c r="E1145" s="2" t="s">
        <v>14</v>
      </c>
      <c r="F1145" s="2" t="s">
        <v>3213</v>
      </c>
      <c r="G1145" s="28" t="s">
        <v>5</v>
      </c>
      <c r="H1145" s="2" t="s">
        <v>20</v>
      </c>
      <c r="I1145" s="2">
        <v>1</v>
      </c>
      <c r="J1145" s="2" t="s">
        <v>3214</v>
      </c>
      <c r="K1145" s="2">
        <v>2133.6</v>
      </c>
      <c r="L1145" s="35">
        <v>6819337.6440000003</v>
      </c>
      <c r="M1145" s="36">
        <v>840</v>
      </c>
      <c r="N1145" s="40">
        <v>39733.6674937965</v>
      </c>
      <c r="O1145" s="40">
        <v>33821.151364764301</v>
      </c>
      <c r="P1145" s="40">
        <v>0</v>
      </c>
      <c r="Q1145" s="48">
        <v>11464.0198511166</v>
      </c>
      <c r="R1145" s="40">
        <v>68490.238213399498</v>
      </c>
      <c r="S1145" s="40">
        <v>36930.401985111697</v>
      </c>
      <c r="T1145" s="40">
        <v>30000</v>
      </c>
      <c r="U1145" s="40">
        <v>302264.51612903201</v>
      </c>
      <c r="V1145" s="40">
        <v>0</v>
      </c>
      <c r="W1145" s="45">
        <v>522703.995037221</v>
      </c>
      <c r="X1145" s="46">
        <v>7.6650258767744397</v>
      </c>
    </row>
    <row r="1146" spans="1:24" s="4" customFormat="1" ht="15" customHeight="1">
      <c r="A1146" s="28" t="s">
        <v>3019</v>
      </c>
      <c r="B1146" s="29">
        <v>3196.165</v>
      </c>
      <c r="C1146" s="30" t="s">
        <v>3212</v>
      </c>
      <c r="D1146" s="2">
        <v>4951647402</v>
      </c>
      <c r="E1146" s="2" t="s">
        <v>14</v>
      </c>
      <c r="F1146" s="2" t="s">
        <v>3213</v>
      </c>
      <c r="G1146" s="28" t="s">
        <v>5</v>
      </c>
      <c r="H1146" s="2" t="s">
        <v>20</v>
      </c>
      <c r="I1146" s="2">
        <v>1</v>
      </c>
      <c r="J1146" s="2" t="s">
        <v>3214</v>
      </c>
      <c r="K1146" s="2">
        <v>482</v>
      </c>
      <c r="L1146" s="35">
        <v>1540551.53</v>
      </c>
      <c r="M1146" s="36">
        <v>100</v>
      </c>
      <c r="N1146" s="40">
        <v>4730.1985111662498</v>
      </c>
      <c r="O1146" s="48">
        <v>4026.3275434243201</v>
      </c>
      <c r="P1146" s="40">
        <v>0</v>
      </c>
      <c r="Q1146" s="48">
        <v>1364.76426799007</v>
      </c>
      <c r="R1146" s="40">
        <v>8153.1712158808896</v>
      </c>
      <c r="S1146" s="40">
        <v>4396.4764267990104</v>
      </c>
      <c r="T1146" s="40">
        <v>30000</v>
      </c>
      <c r="U1146" s="40">
        <v>35983.870967741903</v>
      </c>
      <c r="V1146" s="40">
        <v>0</v>
      </c>
      <c r="W1146" s="45">
        <v>88654.808933002394</v>
      </c>
      <c r="X1146" s="46">
        <v>5.7547447914970098</v>
      </c>
    </row>
    <row r="1147" spans="1:24" s="4" customFormat="1" ht="15" customHeight="1">
      <c r="A1147" s="28" t="s">
        <v>3019</v>
      </c>
      <c r="B1147" s="29">
        <v>3196.165</v>
      </c>
      <c r="C1147" s="30" t="s">
        <v>3215</v>
      </c>
      <c r="D1147" s="2">
        <v>4951268367</v>
      </c>
      <c r="E1147" s="2" t="s">
        <v>14</v>
      </c>
      <c r="F1147" s="2" t="s">
        <v>3216</v>
      </c>
      <c r="G1147" s="28" t="s">
        <v>5</v>
      </c>
      <c r="H1147" s="2" t="s">
        <v>17</v>
      </c>
      <c r="I1147" s="2">
        <v>1</v>
      </c>
      <c r="J1147" s="2" t="s">
        <v>3217</v>
      </c>
      <c r="K1147" s="2">
        <v>34770.75</v>
      </c>
      <c r="L1147" s="35">
        <v>111133054.17375</v>
      </c>
      <c r="M1147" s="36">
        <v>6475</v>
      </c>
      <c r="N1147" s="40">
        <v>122346.25031257801</v>
      </c>
      <c r="O1147" s="48">
        <v>137865.848962241</v>
      </c>
      <c r="P1147" s="40">
        <v>0</v>
      </c>
      <c r="Q1147" s="48">
        <v>35621.405351337802</v>
      </c>
      <c r="R1147" s="40">
        <v>219818.205551388</v>
      </c>
      <c r="S1147" s="40">
        <v>114751.442860715</v>
      </c>
      <c r="T1147" s="40">
        <v>30000</v>
      </c>
      <c r="U1147" s="40">
        <v>2032330.7076769201</v>
      </c>
      <c r="V1147" s="40">
        <v>0</v>
      </c>
      <c r="W1147" s="45">
        <v>2692733.8607151802</v>
      </c>
      <c r="X1147" s="46">
        <v>2.4229819658382201</v>
      </c>
    </row>
    <row r="1148" spans="1:24" s="4" customFormat="1" ht="15" customHeight="1">
      <c r="A1148" s="28" t="s">
        <v>3019</v>
      </c>
      <c r="B1148" s="29">
        <v>3196.165</v>
      </c>
      <c r="C1148" s="30" t="s">
        <v>3215</v>
      </c>
      <c r="D1148" s="2">
        <v>4951149025</v>
      </c>
      <c r="E1148" s="2" t="s">
        <v>14</v>
      </c>
      <c r="F1148" s="2" t="s">
        <v>3216</v>
      </c>
      <c r="G1148" s="28" t="s">
        <v>5</v>
      </c>
      <c r="H1148" s="2" t="s">
        <v>17</v>
      </c>
      <c r="I1148" s="2">
        <v>1</v>
      </c>
      <c r="J1148" s="2" t="s">
        <v>3217</v>
      </c>
      <c r="K1148" s="2">
        <v>3978</v>
      </c>
      <c r="L1148" s="35">
        <v>12714344.369999999</v>
      </c>
      <c r="M1148" s="36">
        <v>900</v>
      </c>
      <c r="N1148" s="40">
        <v>17005.656414103501</v>
      </c>
      <c r="O1148" s="48">
        <v>19162.820705176298</v>
      </c>
      <c r="P1148" s="40">
        <v>0</v>
      </c>
      <c r="Q1148" s="48">
        <v>4951.2378094523601</v>
      </c>
      <c r="R1148" s="40">
        <v>30553.657914478601</v>
      </c>
      <c r="S1148" s="40">
        <v>15950.0075018755</v>
      </c>
      <c r="T1148" s="40">
        <v>30000</v>
      </c>
      <c r="U1148" s="40">
        <v>282486.12153038301</v>
      </c>
      <c r="V1148" s="40">
        <v>0</v>
      </c>
      <c r="W1148" s="45">
        <v>400109.501875469</v>
      </c>
      <c r="X1148" s="46">
        <v>3.1469141485544698</v>
      </c>
    </row>
    <row r="1149" spans="1:24" s="4" customFormat="1" ht="15" customHeight="1">
      <c r="A1149" s="28" t="s">
        <v>3019</v>
      </c>
      <c r="B1149" s="29">
        <v>3196.165</v>
      </c>
      <c r="C1149" s="30" t="s">
        <v>3215</v>
      </c>
      <c r="D1149" s="2">
        <v>4951325027</v>
      </c>
      <c r="E1149" s="2" t="s">
        <v>14</v>
      </c>
      <c r="F1149" s="2" t="s">
        <v>3216</v>
      </c>
      <c r="G1149" s="28" t="s">
        <v>5</v>
      </c>
      <c r="H1149" s="2" t="s">
        <v>17</v>
      </c>
      <c r="I1149" s="2">
        <v>1</v>
      </c>
      <c r="J1149" s="2" t="s">
        <v>3217</v>
      </c>
      <c r="K1149" s="2">
        <v>2856.6</v>
      </c>
      <c r="L1149" s="35">
        <v>9130164.9389999993</v>
      </c>
      <c r="M1149" s="36">
        <v>540</v>
      </c>
      <c r="N1149" s="40">
        <v>10203.393848462099</v>
      </c>
      <c r="O1149" s="48">
        <v>11497.6924231058</v>
      </c>
      <c r="P1149" s="40">
        <v>0</v>
      </c>
      <c r="Q1149" s="48">
        <v>2970.7426856714201</v>
      </c>
      <c r="R1149" s="40">
        <v>18331.994748687201</v>
      </c>
      <c r="S1149" s="40">
        <v>9570.0045011252805</v>
      </c>
      <c r="T1149" s="40">
        <v>30000</v>
      </c>
      <c r="U1149" s="40">
        <v>169491.67291823</v>
      </c>
      <c r="V1149" s="40">
        <v>0</v>
      </c>
      <c r="W1149" s="45">
        <v>252065.501125282</v>
      </c>
      <c r="X1149" s="46">
        <v>2.76079898675839</v>
      </c>
    </row>
    <row r="1150" spans="1:24" s="4" customFormat="1" ht="15" customHeight="1">
      <c r="A1150" s="28" t="s">
        <v>3019</v>
      </c>
      <c r="B1150" s="29">
        <v>3196.165</v>
      </c>
      <c r="C1150" s="30" t="s">
        <v>3215</v>
      </c>
      <c r="D1150" s="2">
        <v>4951325027</v>
      </c>
      <c r="E1150" s="2" t="s">
        <v>14</v>
      </c>
      <c r="F1150" s="2" t="s">
        <v>3216</v>
      </c>
      <c r="G1150" s="28" t="s">
        <v>5</v>
      </c>
      <c r="H1150" s="2" t="s">
        <v>17</v>
      </c>
      <c r="I1150" s="2">
        <v>1</v>
      </c>
      <c r="J1150" s="2" t="s">
        <v>3217</v>
      </c>
      <c r="K1150" s="2">
        <v>7812</v>
      </c>
      <c r="L1150" s="35">
        <v>24968440.98</v>
      </c>
      <c r="M1150" s="36">
        <v>3600</v>
      </c>
      <c r="N1150" s="40">
        <v>68022.625656414093</v>
      </c>
      <c r="O1150" s="48">
        <v>76651.282820705193</v>
      </c>
      <c r="P1150" s="40">
        <v>0</v>
      </c>
      <c r="Q1150" s="48">
        <v>19804.951237809499</v>
      </c>
      <c r="R1150" s="40">
        <v>122215.631657915</v>
      </c>
      <c r="S1150" s="40">
        <v>63800.030007501897</v>
      </c>
      <c r="T1150" s="40">
        <v>30000</v>
      </c>
      <c r="U1150" s="40">
        <v>1129944.4861215299</v>
      </c>
      <c r="V1150" s="40">
        <v>0</v>
      </c>
      <c r="W1150" s="45">
        <v>1510439.0075018799</v>
      </c>
      <c r="X1150" s="46">
        <v>6.0493925460214104</v>
      </c>
    </row>
    <row r="1151" spans="1:24" s="4" customFormat="1" ht="15" customHeight="1">
      <c r="A1151" s="28" t="s">
        <v>3019</v>
      </c>
      <c r="B1151" s="29">
        <v>3196.165</v>
      </c>
      <c r="C1151" s="30" t="s">
        <v>3215</v>
      </c>
      <c r="D1151" s="2">
        <v>4951325027</v>
      </c>
      <c r="E1151" s="2" t="s">
        <v>14</v>
      </c>
      <c r="F1151" s="2" t="s">
        <v>3216</v>
      </c>
      <c r="G1151" s="28" t="s">
        <v>5</v>
      </c>
      <c r="H1151" s="2" t="s">
        <v>17</v>
      </c>
      <c r="I1151" s="2">
        <v>1</v>
      </c>
      <c r="J1151" s="2" t="s">
        <v>3217</v>
      </c>
      <c r="K1151" s="2">
        <v>21168</v>
      </c>
      <c r="L1151" s="35">
        <v>67656420.719999999</v>
      </c>
      <c r="M1151" s="36">
        <v>8400</v>
      </c>
      <c r="N1151" s="40">
        <v>158719.45986496599</v>
      </c>
      <c r="O1151" s="48">
        <v>178852.99324831201</v>
      </c>
      <c r="P1151" s="40">
        <v>0</v>
      </c>
      <c r="Q1151" s="48">
        <v>46211.552888222097</v>
      </c>
      <c r="R1151" s="40">
        <v>285149.80720179999</v>
      </c>
      <c r="S1151" s="40">
        <v>148866.73668417099</v>
      </c>
      <c r="T1151" s="40">
        <v>30000</v>
      </c>
      <c r="U1151" s="40">
        <v>2636537.1342835701</v>
      </c>
      <c r="V1151" s="40">
        <v>0</v>
      </c>
      <c r="W1151" s="45">
        <v>3484337.6841710401</v>
      </c>
      <c r="X1151" s="46">
        <v>5.1500473230636503</v>
      </c>
    </row>
    <row r="1152" spans="1:24" s="4" customFormat="1" ht="15" customHeight="1">
      <c r="A1152" s="28" t="s">
        <v>3019</v>
      </c>
      <c r="B1152" s="29">
        <v>3196.165</v>
      </c>
      <c r="C1152" s="30" t="s">
        <v>3215</v>
      </c>
      <c r="D1152" s="2">
        <v>4950365723</v>
      </c>
      <c r="E1152" s="2" t="s">
        <v>14</v>
      </c>
      <c r="F1152" s="2" t="s">
        <v>3216</v>
      </c>
      <c r="G1152" s="28" t="s">
        <v>5</v>
      </c>
      <c r="H1152" s="2" t="s">
        <v>17</v>
      </c>
      <c r="I1152" s="2">
        <v>1</v>
      </c>
      <c r="J1152" s="2" t="s">
        <v>3217</v>
      </c>
      <c r="K1152" s="2">
        <v>2412.8000000000002</v>
      </c>
      <c r="L1152" s="35">
        <v>7711706.9119999995</v>
      </c>
      <c r="M1152" s="36">
        <v>80</v>
      </c>
      <c r="N1152" s="40">
        <v>1511.6139034758701</v>
      </c>
      <c r="O1152" s="48">
        <v>1703.36184046012</v>
      </c>
      <c r="P1152" s="40">
        <v>0</v>
      </c>
      <c r="Q1152" s="48">
        <v>440.11002750687697</v>
      </c>
      <c r="R1152" s="40">
        <v>2715.7029257314298</v>
      </c>
      <c r="S1152" s="40">
        <v>1417.77844461115</v>
      </c>
      <c r="T1152" s="40">
        <v>30000</v>
      </c>
      <c r="U1152" s="40">
        <v>25109.8774693673</v>
      </c>
      <c r="V1152" s="40">
        <v>0</v>
      </c>
      <c r="W1152" s="45">
        <v>62898.4446111527</v>
      </c>
      <c r="X1152" s="46">
        <v>0.81562286182424804</v>
      </c>
    </row>
    <row r="1153" spans="1:24" s="4" customFormat="1" ht="15" customHeight="1">
      <c r="A1153" s="28" t="s">
        <v>3019</v>
      </c>
      <c r="B1153" s="29">
        <v>3196.165</v>
      </c>
      <c r="C1153" s="30" t="s">
        <v>3223</v>
      </c>
      <c r="D1153" s="2">
        <v>4950274558</v>
      </c>
      <c r="E1153" s="2" t="s">
        <v>14</v>
      </c>
      <c r="F1153" s="2" t="s">
        <v>3224</v>
      </c>
      <c r="G1153" s="28" t="s">
        <v>5</v>
      </c>
      <c r="H1153" s="2" t="s">
        <v>26</v>
      </c>
      <c r="I1153" s="2">
        <v>2</v>
      </c>
      <c r="J1153" s="2" t="s">
        <v>3225</v>
      </c>
      <c r="K1153" s="2">
        <v>69808.800000000003</v>
      </c>
      <c r="L1153" s="35">
        <v>223120443.252</v>
      </c>
      <c r="M1153" s="36">
        <v>40120</v>
      </c>
      <c r="N1153" s="40">
        <v>665483</v>
      </c>
      <c r="O1153" s="40">
        <v>793633</v>
      </c>
      <c r="P1153" s="40">
        <v>3105585</v>
      </c>
      <c r="Q1153" s="48">
        <v>198619</v>
      </c>
      <c r="R1153" s="40">
        <v>1257827</v>
      </c>
      <c r="S1153" s="40">
        <v>354356</v>
      </c>
      <c r="T1153" s="40">
        <v>30000</v>
      </c>
      <c r="U1153" s="40">
        <v>0</v>
      </c>
      <c r="V1153" s="40">
        <v>0</v>
      </c>
      <c r="W1153" s="45">
        <v>6405503</v>
      </c>
      <c r="X1153" s="46">
        <v>2.87087229957024</v>
      </c>
    </row>
    <row r="1154" spans="1:24" s="4" customFormat="1" ht="15" customHeight="1">
      <c r="A1154" s="28" t="s">
        <v>3019</v>
      </c>
      <c r="B1154" s="29">
        <v>3196.165</v>
      </c>
      <c r="C1154" s="30" t="s">
        <v>3226</v>
      </c>
      <c r="D1154" s="2">
        <v>4949868821</v>
      </c>
      <c r="E1154" s="2" t="s">
        <v>14</v>
      </c>
      <c r="F1154" s="2" t="s">
        <v>3227</v>
      </c>
      <c r="G1154" s="28" t="s">
        <v>5</v>
      </c>
      <c r="H1154" s="2" t="s">
        <v>26</v>
      </c>
      <c r="I1154" s="2">
        <v>5</v>
      </c>
      <c r="J1154" s="2" t="s">
        <v>3228</v>
      </c>
      <c r="K1154" s="2">
        <v>174974.4</v>
      </c>
      <c r="L1154" s="35">
        <v>559247053.176</v>
      </c>
      <c r="M1154" s="36">
        <v>100560</v>
      </c>
      <c r="N1154" s="40">
        <v>1627379</v>
      </c>
      <c r="O1154" s="40">
        <v>2472086</v>
      </c>
      <c r="P1154" s="40">
        <v>6075548</v>
      </c>
      <c r="Q1154" s="48">
        <v>620685</v>
      </c>
      <c r="R1154" s="40">
        <v>3081046</v>
      </c>
      <c r="S1154" s="40">
        <v>354356</v>
      </c>
      <c r="T1154" s="40">
        <v>30000</v>
      </c>
      <c r="U1154" s="40">
        <v>0</v>
      </c>
      <c r="V1154" s="40">
        <v>0</v>
      </c>
      <c r="W1154" s="45">
        <v>14261100</v>
      </c>
      <c r="X1154" s="46">
        <v>2.5500536693059499</v>
      </c>
    </row>
    <row r="1155" spans="1:24" s="4" customFormat="1" ht="15" customHeight="1">
      <c r="A1155" s="28" t="s">
        <v>3019</v>
      </c>
      <c r="B1155" s="29">
        <v>3196.165</v>
      </c>
      <c r="C1155" s="30" t="s">
        <v>3238</v>
      </c>
      <c r="D1155" s="2">
        <v>4950365716</v>
      </c>
      <c r="E1155" s="2" t="s">
        <v>14</v>
      </c>
      <c r="F1155" s="2" t="s">
        <v>3239</v>
      </c>
      <c r="G1155" s="28" t="s">
        <v>9</v>
      </c>
      <c r="H1155" s="2" t="s">
        <v>23</v>
      </c>
      <c r="I1155" s="2">
        <v>12</v>
      </c>
      <c r="J1155" s="2"/>
      <c r="K1155" s="2">
        <v>29250</v>
      </c>
      <c r="L1155" s="35">
        <v>93487826.25</v>
      </c>
      <c r="M1155" s="36">
        <v>4500</v>
      </c>
      <c r="N1155" s="40">
        <v>1696482</v>
      </c>
      <c r="O1155" s="40">
        <v>3335</v>
      </c>
      <c r="P1155" s="40">
        <v>0</v>
      </c>
      <c r="Q1155" s="48">
        <v>82227</v>
      </c>
      <c r="R1155" s="40">
        <v>179323</v>
      </c>
      <c r="S1155" s="40">
        <v>354356</v>
      </c>
      <c r="T1155" s="40">
        <v>30000</v>
      </c>
      <c r="U1155" s="40">
        <v>4171000</v>
      </c>
      <c r="V1155" s="40">
        <v>0</v>
      </c>
      <c r="W1155" s="45">
        <v>6516723</v>
      </c>
      <c r="X1155" s="46">
        <v>6.9706648035363896</v>
      </c>
    </row>
    <row r="1156" spans="1:24" s="4" customFormat="1" ht="15" customHeight="1">
      <c r="A1156" s="28" t="s">
        <v>3019</v>
      </c>
      <c r="B1156" s="29">
        <v>3196.165</v>
      </c>
      <c r="C1156" s="30" t="s">
        <v>3245</v>
      </c>
      <c r="D1156" s="2">
        <v>4951348208</v>
      </c>
      <c r="E1156" s="2" t="s">
        <v>14</v>
      </c>
      <c r="F1156" s="2" t="s">
        <v>3246</v>
      </c>
      <c r="G1156" s="28" t="s">
        <v>5</v>
      </c>
      <c r="H1156" s="2" t="s">
        <v>17</v>
      </c>
      <c r="I1156" s="2">
        <v>1</v>
      </c>
      <c r="J1156" s="2" t="s">
        <v>3247</v>
      </c>
      <c r="K1156" s="2">
        <v>6244</v>
      </c>
      <c r="L1156" s="35">
        <v>19956854.260000002</v>
      </c>
      <c r="M1156" s="36">
        <v>1400</v>
      </c>
      <c r="N1156" s="40">
        <v>19533.565441650499</v>
      </c>
      <c r="O1156" s="48">
        <v>26769.710307657799</v>
      </c>
      <c r="P1156" s="40">
        <v>18371.682785299799</v>
      </c>
      <c r="Q1156" s="48">
        <v>6916.6853806422596</v>
      </c>
      <c r="R1156" s="40">
        <v>46851.462497313601</v>
      </c>
      <c r="S1156" s="40">
        <v>21323.8082957232</v>
      </c>
      <c r="T1156" s="40">
        <v>30000</v>
      </c>
      <c r="U1156" s="40">
        <v>342345.58349451999</v>
      </c>
      <c r="V1156" s="40">
        <v>0</v>
      </c>
      <c r="W1156" s="45">
        <v>512112.49820280698</v>
      </c>
      <c r="X1156" s="46">
        <v>2.56609830152063</v>
      </c>
    </row>
    <row r="1157" spans="1:24" s="4" customFormat="1" ht="15" customHeight="1">
      <c r="A1157" s="28" t="s">
        <v>3019</v>
      </c>
      <c r="B1157" s="29">
        <v>3196.165</v>
      </c>
      <c r="C1157" s="30" t="s">
        <v>3245</v>
      </c>
      <c r="D1157" s="2">
        <v>4950812431</v>
      </c>
      <c r="E1157" s="2" t="s">
        <v>14</v>
      </c>
      <c r="F1157" s="2" t="s">
        <v>3246</v>
      </c>
      <c r="G1157" s="28" t="s">
        <v>5</v>
      </c>
      <c r="H1157" s="2" t="s">
        <v>17</v>
      </c>
      <c r="I1157" s="2">
        <v>1</v>
      </c>
      <c r="J1157" s="2" t="s">
        <v>3247</v>
      </c>
      <c r="K1157" s="2">
        <v>302.60000000000002</v>
      </c>
      <c r="L1157" s="35">
        <v>967159.52899999998</v>
      </c>
      <c r="M1157" s="36">
        <v>20</v>
      </c>
      <c r="N1157" s="40">
        <v>279.05093488072202</v>
      </c>
      <c r="O1157" s="48">
        <v>382.42443296653897</v>
      </c>
      <c r="P1157" s="40">
        <v>262.45261121856902</v>
      </c>
      <c r="Q1157" s="48">
        <v>98.809791152032304</v>
      </c>
      <c r="R1157" s="40">
        <v>669.378035675908</v>
      </c>
      <c r="S1157" s="40">
        <v>304.62583279604598</v>
      </c>
      <c r="T1157" s="40">
        <v>30000</v>
      </c>
      <c r="U1157" s="40">
        <v>4890.6511927788497</v>
      </c>
      <c r="V1157" s="40">
        <v>0</v>
      </c>
      <c r="W1157" s="45">
        <v>36887.3928314687</v>
      </c>
      <c r="X1157" s="46">
        <v>3.8139925964032599</v>
      </c>
    </row>
    <row r="1158" spans="1:24" s="4" customFormat="1" ht="15" customHeight="1">
      <c r="A1158" s="28" t="s">
        <v>3019</v>
      </c>
      <c r="B1158" s="29">
        <v>3196.165</v>
      </c>
      <c r="C1158" s="30" t="s">
        <v>3245</v>
      </c>
      <c r="D1158" s="2">
        <v>4950902090</v>
      </c>
      <c r="E1158" s="2" t="s">
        <v>14</v>
      </c>
      <c r="F1158" s="2" t="s">
        <v>3246</v>
      </c>
      <c r="G1158" s="28" t="s">
        <v>5</v>
      </c>
      <c r="H1158" s="2" t="s">
        <v>17</v>
      </c>
      <c r="I1158" s="2">
        <v>1</v>
      </c>
      <c r="J1158" s="2" t="s">
        <v>3247</v>
      </c>
      <c r="K1158" s="2">
        <v>10881</v>
      </c>
      <c r="L1158" s="35">
        <v>34777471.365000002</v>
      </c>
      <c r="M1158" s="36">
        <v>2700</v>
      </c>
      <c r="N1158" s="40">
        <v>37671.876208897498</v>
      </c>
      <c r="O1158" s="48">
        <v>51627.298450482798</v>
      </c>
      <c r="P1158" s="40">
        <v>35431.102514506798</v>
      </c>
      <c r="Q1158" s="48">
        <v>13339.3218055244</v>
      </c>
      <c r="R1158" s="40">
        <v>90357.0348162476</v>
      </c>
      <c r="S1158" s="40">
        <v>41124.487427466098</v>
      </c>
      <c r="T1158" s="40">
        <v>30000</v>
      </c>
      <c r="U1158" s="40">
        <v>660237.91102514497</v>
      </c>
      <c r="V1158" s="40">
        <v>0</v>
      </c>
      <c r="W1158" s="45">
        <v>959789.03224827</v>
      </c>
      <c r="X1158" s="46">
        <v>2.7598010855216999</v>
      </c>
    </row>
    <row r="1159" spans="1:24" s="4" customFormat="1" ht="15" customHeight="1">
      <c r="A1159" s="28" t="s">
        <v>3019</v>
      </c>
      <c r="B1159" s="29">
        <v>3196.165</v>
      </c>
      <c r="C1159" s="30" t="s">
        <v>3245</v>
      </c>
      <c r="D1159" s="2">
        <v>4950722777</v>
      </c>
      <c r="E1159" s="2" t="s">
        <v>14</v>
      </c>
      <c r="F1159" s="2" t="s">
        <v>3246</v>
      </c>
      <c r="G1159" s="28" t="s">
        <v>5</v>
      </c>
      <c r="H1159" s="2" t="s">
        <v>17</v>
      </c>
      <c r="I1159" s="2">
        <v>1</v>
      </c>
      <c r="J1159" s="2" t="s">
        <v>3247</v>
      </c>
      <c r="K1159" s="2">
        <v>7245</v>
      </c>
      <c r="L1159" s="35">
        <v>23156215.425000001</v>
      </c>
      <c r="M1159" s="36">
        <v>2625</v>
      </c>
      <c r="N1159" s="40">
        <v>36625.435203094799</v>
      </c>
      <c r="O1159" s="48">
        <v>50193.206826858303</v>
      </c>
      <c r="P1159" s="40">
        <v>34446.905222437097</v>
      </c>
      <c r="Q1159" s="48">
        <v>12968.7850887042</v>
      </c>
      <c r="R1159" s="40">
        <v>87846.867182462898</v>
      </c>
      <c r="S1159" s="40">
        <v>39982.140554480997</v>
      </c>
      <c r="T1159" s="40">
        <v>30000</v>
      </c>
      <c r="U1159" s="40">
        <v>641897.96905222395</v>
      </c>
      <c r="V1159" s="40">
        <v>0</v>
      </c>
      <c r="W1159" s="45">
        <v>933961.309130262</v>
      </c>
      <c r="X1159" s="46">
        <v>4.0333072222239501</v>
      </c>
    </row>
    <row r="1160" spans="1:24" s="4" customFormat="1" ht="15" customHeight="1">
      <c r="A1160" s="28" t="s">
        <v>3019</v>
      </c>
      <c r="B1160" s="29">
        <v>3196.165</v>
      </c>
      <c r="C1160" s="30" t="s">
        <v>3245</v>
      </c>
      <c r="D1160" s="2">
        <v>4951046392</v>
      </c>
      <c r="E1160" s="2" t="s">
        <v>14</v>
      </c>
      <c r="F1160" s="2" t="s">
        <v>3246</v>
      </c>
      <c r="G1160" s="28" t="s">
        <v>5</v>
      </c>
      <c r="H1160" s="2" t="s">
        <v>17</v>
      </c>
      <c r="I1160" s="2">
        <v>1</v>
      </c>
      <c r="J1160" s="2" t="s">
        <v>3247</v>
      </c>
      <c r="K1160" s="2">
        <v>2898</v>
      </c>
      <c r="L1160" s="35">
        <v>9262486.1699999999</v>
      </c>
      <c r="M1160" s="36">
        <v>1050</v>
      </c>
      <c r="N1160" s="40">
        <v>14650.174081237899</v>
      </c>
      <c r="O1160" s="48">
        <v>20077.2827307433</v>
      </c>
      <c r="P1160" s="40">
        <v>13778.7620889749</v>
      </c>
      <c r="Q1160" s="48">
        <v>5187.5140354817004</v>
      </c>
      <c r="R1160" s="40">
        <v>35138.346872985203</v>
      </c>
      <c r="S1160" s="40">
        <v>15992.856221792401</v>
      </c>
      <c r="T1160" s="40">
        <v>30000</v>
      </c>
      <c r="U1160" s="40">
        <v>256759.18762089001</v>
      </c>
      <c r="V1160" s="40">
        <v>0</v>
      </c>
      <c r="W1160" s="45">
        <v>391584.12365210499</v>
      </c>
      <c r="X1160" s="46">
        <v>4.2276351776955501</v>
      </c>
    </row>
    <row r="1161" spans="1:24" s="4" customFormat="1" ht="15" customHeight="1">
      <c r="A1161" s="28" t="s">
        <v>3019</v>
      </c>
      <c r="B1161" s="29">
        <v>3196.165</v>
      </c>
      <c r="C1161" s="30" t="s">
        <v>3245</v>
      </c>
      <c r="D1161" s="2">
        <v>4951294588</v>
      </c>
      <c r="E1161" s="2" t="s">
        <v>14</v>
      </c>
      <c r="F1161" s="2" t="s">
        <v>3246</v>
      </c>
      <c r="G1161" s="28" t="s">
        <v>5</v>
      </c>
      <c r="H1161" s="2" t="s">
        <v>17</v>
      </c>
      <c r="I1161" s="2">
        <v>1</v>
      </c>
      <c r="J1161" s="2" t="s">
        <v>3247</v>
      </c>
      <c r="K1161" s="2">
        <v>4347</v>
      </c>
      <c r="L1161" s="35">
        <v>13893729.255000001</v>
      </c>
      <c r="M1161" s="36">
        <v>575</v>
      </c>
      <c r="N1161" s="40">
        <v>21975.2611218569</v>
      </c>
      <c r="O1161" s="48">
        <v>10994.702447788</v>
      </c>
      <c r="P1161" s="40">
        <v>20668.143133462301</v>
      </c>
      <c r="Q1161" s="48">
        <v>2840.7814956209299</v>
      </c>
      <c r="R1161" s="40">
        <v>52708.520309477797</v>
      </c>
      <c r="S1161" s="40">
        <v>23989.2843326886</v>
      </c>
      <c r="T1161" s="40">
        <v>30000</v>
      </c>
      <c r="U1161" s="40">
        <v>385138.78143133502</v>
      </c>
      <c r="V1161" s="40">
        <v>0</v>
      </c>
      <c r="W1161" s="45">
        <v>548315.47427223006</v>
      </c>
      <c r="X1161" s="46">
        <v>3.9464960357918701</v>
      </c>
    </row>
    <row r="1162" spans="1:24" s="4" customFormat="1" ht="15" customHeight="1">
      <c r="A1162" s="28" t="s">
        <v>3019</v>
      </c>
      <c r="B1162" s="29">
        <v>3196.165</v>
      </c>
      <c r="C1162" s="30" t="s">
        <v>3245</v>
      </c>
      <c r="D1162" s="2">
        <v>4951517146</v>
      </c>
      <c r="E1162" s="2" t="s">
        <v>14</v>
      </c>
      <c r="F1162" s="2" t="s">
        <v>3246</v>
      </c>
      <c r="G1162" s="28" t="s">
        <v>5</v>
      </c>
      <c r="H1162" s="2" t="s">
        <v>17</v>
      </c>
      <c r="I1162" s="2">
        <v>1</v>
      </c>
      <c r="J1162" s="2" t="s">
        <v>3247</v>
      </c>
      <c r="K1162" s="2">
        <v>4410</v>
      </c>
      <c r="L1162" s="35">
        <v>14095087.65</v>
      </c>
      <c r="M1162" s="36">
        <v>1800</v>
      </c>
      <c r="N1162" s="40">
        <v>25114.584139265</v>
      </c>
      <c r="O1162" s="48">
        <v>34418.198966988501</v>
      </c>
      <c r="P1162" s="40">
        <v>23620.7350096712</v>
      </c>
      <c r="Q1162" s="48">
        <v>8892.8812036829095</v>
      </c>
      <c r="R1162" s="40">
        <v>60238.0232108317</v>
      </c>
      <c r="S1162" s="40">
        <v>27416.324951644099</v>
      </c>
      <c r="T1162" s="40">
        <v>30000</v>
      </c>
      <c r="U1162" s="40">
        <v>440158.60735009698</v>
      </c>
      <c r="V1162" s="40">
        <v>0</v>
      </c>
      <c r="W1162" s="45">
        <v>649859.35483217996</v>
      </c>
      <c r="X1162" s="46">
        <v>4.6105378765216898</v>
      </c>
    </row>
    <row r="1163" spans="1:24" s="4" customFormat="1" ht="15" customHeight="1">
      <c r="A1163" s="28" t="s">
        <v>3019</v>
      </c>
      <c r="B1163" s="29">
        <v>3196.165</v>
      </c>
      <c r="C1163" s="30" t="s">
        <v>3245</v>
      </c>
      <c r="D1163" s="2">
        <v>4951215084</v>
      </c>
      <c r="E1163" s="2" t="s">
        <v>14</v>
      </c>
      <c r="F1163" s="2" t="s">
        <v>3246</v>
      </c>
      <c r="G1163" s="28" t="s">
        <v>5</v>
      </c>
      <c r="H1163" s="2" t="s">
        <v>17</v>
      </c>
      <c r="I1163" s="2">
        <v>1</v>
      </c>
      <c r="J1163" s="2" t="s">
        <v>3247</v>
      </c>
      <c r="K1163" s="2">
        <v>3088.8</v>
      </c>
      <c r="L1163" s="35">
        <v>9872314.4519999996</v>
      </c>
      <c r="M1163" s="36">
        <v>1560</v>
      </c>
      <c r="N1163" s="40">
        <v>21765.972920696298</v>
      </c>
      <c r="O1163" s="48">
        <v>29829.105771390099</v>
      </c>
      <c r="P1163" s="40">
        <v>20471.303675048399</v>
      </c>
      <c r="Q1163" s="48">
        <v>7707.1637098585197</v>
      </c>
      <c r="R1163" s="40">
        <v>52206.4867827208</v>
      </c>
      <c r="S1163" s="40">
        <v>23760.8149580916</v>
      </c>
      <c r="T1163" s="40">
        <v>30000</v>
      </c>
      <c r="U1163" s="40">
        <v>381470.79303675098</v>
      </c>
      <c r="V1163" s="40">
        <v>0</v>
      </c>
      <c r="W1163" s="45">
        <v>567211.64085455704</v>
      </c>
      <c r="X1163" s="46">
        <v>5.7454778574202203</v>
      </c>
    </row>
    <row r="1164" spans="1:24" s="4" customFormat="1" ht="15" customHeight="1">
      <c r="A1164" s="28" t="s">
        <v>3019</v>
      </c>
      <c r="B1164" s="29">
        <v>3196.165</v>
      </c>
      <c r="C1164" s="30" t="s">
        <v>3245</v>
      </c>
      <c r="D1164" s="2">
        <v>4951325256</v>
      </c>
      <c r="E1164" s="2" t="s">
        <v>14</v>
      </c>
      <c r="F1164" s="2" t="s">
        <v>3246</v>
      </c>
      <c r="G1164" s="28" t="s">
        <v>5</v>
      </c>
      <c r="H1164" s="2" t="s">
        <v>17</v>
      </c>
      <c r="I1164" s="2">
        <v>1</v>
      </c>
      <c r="J1164" s="2" t="s">
        <v>3247</v>
      </c>
      <c r="K1164" s="2">
        <v>8844</v>
      </c>
      <c r="L1164" s="35">
        <v>28266883.260000002</v>
      </c>
      <c r="M1164" s="36">
        <v>2640</v>
      </c>
      <c r="N1164" s="40">
        <v>36834.723404255303</v>
      </c>
      <c r="O1164" s="48">
        <v>50480.025151583199</v>
      </c>
      <c r="P1164" s="40">
        <v>34643.744680851101</v>
      </c>
      <c r="Q1164" s="48">
        <v>13042.8924320683</v>
      </c>
      <c r="R1164" s="40">
        <v>88348.900709219903</v>
      </c>
      <c r="S1164" s="40">
        <v>40210.609929077997</v>
      </c>
      <c r="T1164" s="40">
        <v>30000</v>
      </c>
      <c r="U1164" s="40">
        <v>645565.957446808</v>
      </c>
      <c r="V1164" s="40">
        <v>0</v>
      </c>
      <c r="W1164" s="45">
        <v>939126.85375386395</v>
      </c>
      <c r="X1164" s="46">
        <v>3.3223572797741299</v>
      </c>
    </row>
    <row r="1165" spans="1:24" s="4" customFormat="1" ht="15" customHeight="1">
      <c r="A1165" s="28" t="s">
        <v>3019</v>
      </c>
      <c r="B1165" s="29">
        <v>3196.165</v>
      </c>
      <c r="C1165" s="30" t="s">
        <v>3245</v>
      </c>
      <c r="D1165" s="2">
        <v>4951517148</v>
      </c>
      <c r="E1165" s="2" t="s">
        <v>14</v>
      </c>
      <c r="F1165" s="2" t="s">
        <v>3246</v>
      </c>
      <c r="G1165" s="28" t="s">
        <v>5</v>
      </c>
      <c r="H1165" s="2" t="s">
        <v>17</v>
      </c>
      <c r="I1165" s="2">
        <v>1</v>
      </c>
      <c r="J1165" s="2" t="s">
        <v>3247</v>
      </c>
      <c r="K1165" s="2">
        <v>4369.2</v>
      </c>
      <c r="L1165" s="35">
        <v>13964684.118000001</v>
      </c>
      <c r="M1165" s="36">
        <v>660</v>
      </c>
      <c r="N1165" s="40">
        <v>9208.6808510638293</v>
      </c>
      <c r="O1165" s="48">
        <v>12620.0062878958</v>
      </c>
      <c r="P1165" s="40">
        <v>8660.9361702127699</v>
      </c>
      <c r="Q1165" s="48">
        <v>3260.72310801707</v>
      </c>
      <c r="R1165" s="40">
        <v>22087.475177305001</v>
      </c>
      <c r="S1165" s="40">
        <v>10052.652482269499</v>
      </c>
      <c r="T1165" s="40">
        <v>30000</v>
      </c>
      <c r="U1165" s="40">
        <v>161391.489361702</v>
      </c>
      <c r="V1165" s="40">
        <v>0</v>
      </c>
      <c r="W1165" s="45">
        <v>257281.96343846599</v>
      </c>
      <c r="X1165" s="46">
        <v>1.8423758193487401</v>
      </c>
    </row>
    <row r="1166" spans="1:24" s="4" customFormat="1" ht="15" customHeight="1">
      <c r="A1166" s="28" t="s">
        <v>3019</v>
      </c>
      <c r="B1166" s="29">
        <v>3196.165</v>
      </c>
      <c r="C1166" s="30" t="s">
        <v>3245</v>
      </c>
      <c r="D1166" s="2">
        <v>4951517149</v>
      </c>
      <c r="E1166" s="2" t="s">
        <v>14</v>
      </c>
      <c r="F1166" s="2" t="s">
        <v>3246</v>
      </c>
      <c r="G1166" s="28" t="s">
        <v>5</v>
      </c>
      <c r="H1166" s="2" t="s">
        <v>17</v>
      </c>
      <c r="I1166" s="2">
        <v>1</v>
      </c>
      <c r="J1166" s="2" t="s">
        <v>3247</v>
      </c>
      <c r="K1166" s="2">
        <v>11897.6</v>
      </c>
      <c r="L1166" s="35">
        <v>38026692.704000004</v>
      </c>
      <c r="M1166" s="36">
        <v>5720</v>
      </c>
      <c r="N1166" s="40">
        <v>79808.567375886501</v>
      </c>
      <c r="O1166" s="48">
        <v>109373.38782843</v>
      </c>
      <c r="P1166" s="40">
        <v>75061.446808510605</v>
      </c>
      <c r="Q1166" s="48">
        <v>28259.600269481201</v>
      </c>
      <c r="R1166" s="40">
        <v>191423.11820331</v>
      </c>
      <c r="S1166" s="40">
        <v>87122.988179669002</v>
      </c>
      <c r="T1166" s="40">
        <v>30000</v>
      </c>
      <c r="U1166" s="40">
        <v>1398726.24113475</v>
      </c>
      <c r="V1166" s="40">
        <v>0</v>
      </c>
      <c r="W1166" s="45">
        <v>1999775.34980004</v>
      </c>
      <c r="X1166" s="46">
        <v>5.2588726696962604</v>
      </c>
    </row>
    <row r="1167" spans="1:24" s="4" customFormat="1" ht="15" customHeight="1">
      <c r="A1167" s="28" t="s">
        <v>3019</v>
      </c>
      <c r="B1167" s="29">
        <v>3196.165</v>
      </c>
      <c r="C1167" s="30" t="s">
        <v>3245</v>
      </c>
      <c r="D1167" s="2">
        <v>4951268367</v>
      </c>
      <c r="E1167" s="2" t="s">
        <v>14</v>
      </c>
      <c r="F1167" s="2" t="s">
        <v>3246</v>
      </c>
      <c r="G1167" s="28" t="s">
        <v>5</v>
      </c>
      <c r="H1167" s="2" t="s">
        <v>17</v>
      </c>
      <c r="I1167" s="2">
        <v>1</v>
      </c>
      <c r="J1167" s="2" t="s">
        <v>3247</v>
      </c>
      <c r="K1167" s="2">
        <v>2767.5</v>
      </c>
      <c r="L1167" s="35">
        <v>8845386.6374999993</v>
      </c>
      <c r="M1167" s="36">
        <v>675</v>
      </c>
      <c r="N1167" s="40">
        <v>9417.9690522243709</v>
      </c>
      <c r="O1167" s="48">
        <v>12906.8246126207</v>
      </c>
      <c r="P1167" s="40">
        <v>8857.7756286266904</v>
      </c>
      <c r="Q1167" s="48">
        <v>3334.8304513810899</v>
      </c>
      <c r="R1167" s="40">
        <v>22589.5087040619</v>
      </c>
      <c r="S1167" s="40">
        <v>10281.121856866501</v>
      </c>
      <c r="T1167" s="40">
        <v>30000</v>
      </c>
      <c r="U1167" s="40">
        <v>165059.47775628601</v>
      </c>
      <c r="V1167" s="40">
        <v>0</v>
      </c>
      <c r="W1167" s="45">
        <v>262447.50806206698</v>
      </c>
      <c r="X1167" s="46">
        <v>2.9670552437970499</v>
      </c>
    </row>
    <row r="1168" spans="1:24" s="4" customFormat="1" ht="15" customHeight="1">
      <c r="A1168" s="28" t="s">
        <v>3019</v>
      </c>
      <c r="B1168" s="29">
        <v>3196.165</v>
      </c>
      <c r="C1168" s="30" t="s">
        <v>3245</v>
      </c>
      <c r="D1168" s="2">
        <v>4951215078</v>
      </c>
      <c r="E1168" s="2" t="s">
        <v>14</v>
      </c>
      <c r="F1168" s="2" t="s">
        <v>3246</v>
      </c>
      <c r="G1168" s="28" t="s">
        <v>5</v>
      </c>
      <c r="H1168" s="2" t="s">
        <v>17</v>
      </c>
      <c r="I1168" s="2">
        <v>1</v>
      </c>
      <c r="J1168" s="2" t="s">
        <v>3247</v>
      </c>
      <c r="K1168" s="2">
        <v>2234.4</v>
      </c>
      <c r="L1168" s="35">
        <v>7141511.0760000004</v>
      </c>
      <c r="M1168" s="36">
        <v>840</v>
      </c>
      <c r="N1168" s="40">
        <v>11720.139264990299</v>
      </c>
      <c r="O1168" s="48">
        <v>16061.8261845947</v>
      </c>
      <c r="P1168" s="40">
        <v>11023.0096711799</v>
      </c>
      <c r="Q1168" s="48">
        <v>4150.0112283853596</v>
      </c>
      <c r="R1168" s="40">
        <v>28110.877498388101</v>
      </c>
      <c r="S1168" s="40">
        <v>12794.284977433899</v>
      </c>
      <c r="T1168" s="40">
        <v>30000</v>
      </c>
      <c r="U1168" s="40">
        <v>205407.35009671201</v>
      </c>
      <c r="V1168" s="40">
        <v>0</v>
      </c>
      <c r="W1168" s="45">
        <v>319267.49892168399</v>
      </c>
      <c r="X1168" s="46">
        <v>4.4705874642500403</v>
      </c>
    </row>
    <row r="1169" spans="1:24" s="4" customFormat="1" ht="15" customHeight="1">
      <c r="A1169" s="28" t="s">
        <v>3019</v>
      </c>
      <c r="B1169" s="29">
        <v>3196.165</v>
      </c>
      <c r="C1169" s="30" t="s">
        <v>3248</v>
      </c>
      <c r="D1169" s="2">
        <v>4951325255</v>
      </c>
      <c r="E1169" s="2" t="s">
        <v>14</v>
      </c>
      <c r="F1169" s="2" t="s">
        <v>3249</v>
      </c>
      <c r="G1169" s="28" t="s">
        <v>5</v>
      </c>
      <c r="H1169" s="2" t="s">
        <v>20</v>
      </c>
      <c r="I1169" s="2">
        <v>2</v>
      </c>
      <c r="J1169" s="2" t="s">
        <v>3250</v>
      </c>
      <c r="K1169" s="2">
        <v>39744</v>
      </c>
      <c r="L1169" s="35">
        <v>127028381.76000001</v>
      </c>
      <c r="M1169" s="36">
        <v>43200</v>
      </c>
      <c r="N1169" s="40">
        <v>957211</v>
      </c>
      <c r="O1169" s="40">
        <v>597453</v>
      </c>
      <c r="P1169" s="40">
        <v>491627</v>
      </c>
      <c r="Q1169" s="48">
        <v>491627</v>
      </c>
      <c r="R1169" s="40">
        <v>1388145</v>
      </c>
      <c r="S1169" s="40">
        <v>354356</v>
      </c>
      <c r="T1169" s="40">
        <v>30000</v>
      </c>
      <c r="U1169" s="40">
        <v>5179800</v>
      </c>
      <c r="V1169" s="40">
        <v>0</v>
      </c>
      <c r="W1169" s="45">
        <v>9490219</v>
      </c>
      <c r="X1169" s="46">
        <v>7.4709437910736103</v>
      </c>
    </row>
    <row r="1170" spans="1:24" s="4" customFormat="1" ht="15" customHeight="1">
      <c r="A1170" s="28" t="s">
        <v>3019</v>
      </c>
      <c r="B1170" s="29">
        <v>3196.165</v>
      </c>
      <c r="C1170" s="30" t="s">
        <v>3257</v>
      </c>
      <c r="D1170" s="2">
        <v>4951411362</v>
      </c>
      <c r="E1170" s="2" t="s">
        <v>14</v>
      </c>
      <c r="F1170" s="2" t="s">
        <v>3258</v>
      </c>
      <c r="G1170" s="28" t="s">
        <v>9</v>
      </c>
      <c r="H1170" s="2" t="s">
        <v>23</v>
      </c>
      <c r="I1170" s="2">
        <v>5</v>
      </c>
      <c r="J1170" s="2"/>
      <c r="K1170" s="2">
        <v>106740.75</v>
      </c>
      <c r="L1170" s="35">
        <v>341161049.22375</v>
      </c>
      <c r="M1170" s="36">
        <v>2325</v>
      </c>
      <c r="N1170" s="40">
        <v>215345</v>
      </c>
      <c r="O1170" s="40">
        <v>1621</v>
      </c>
      <c r="P1170" s="40">
        <v>230705</v>
      </c>
      <c r="Q1170" s="40">
        <v>40327</v>
      </c>
      <c r="R1170" s="40">
        <v>130533</v>
      </c>
      <c r="S1170" s="40">
        <v>354356</v>
      </c>
      <c r="T1170" s="40">
        <v>30000</v>
      </c>
      <c r="U1170" s="40">
        <v>2085500</v>
      </c>
      <c r="V1170" s="40">
        <v>0</v>
      </c>
      <c r="W1170" s="45">
        <v>3088387</v>
      </c>
      <c r="X1170" s="46">
        <v>0.90525779746165702</v>
      </c>
    </row>
    <row r="1171" spans="1:24" s="4" customFormat="1" ht="15" customHeight="1">
      <c r="A1171" s="28" t="s">
        <v>3019</v>
      </c>
      <c r="B1171" s="29">
        <v>3196.165</v>
      </c>
      <c r="C1171" s="30" t="s">
        <v>3259</v>
      </c>
      <c r="D1171" s="2">
        <v>4951152052</v>
      </c>
      <c r="E1171" s="2" t="s">
        <v>14</v>
      </c>
      <c r="F1171" s="2" t="s">
        <v>3260</v>
      </c>
      <c r="G1171" s="28" t="s">
        <v>5</v>
      </c>
      <c r="H1171" s="2" t="s">
        <v>20</v>
      </c>
      <c r="I1171" s="2">
        <v>2</v>
      </c>
      <c r="J1171" s="2" t="s">
        <v>3261</v>
      </c>
      <c r="K1171" s="2">
        <v>5280</v>
      </c>
      <c r="L1171" s="35">
        <v>16875751.199999999</v>
      </c>
      <c r="M1171" s="36">
        <v>2400</v>
      </c>
      <c r="N1171" s="40">
        <v>69808.186152965907</v>
      </c>
      <c r="O1171" s="48">
        <v>59420.392904825501</v>
      </c>
      <c r="P1171" s="40">
        <v>0</v>
      </c>
      <c r="Q1171" s="48">
        <v>18183.696357047502</v>
      </c>
      <c r="R1171" s="40">
        <v>115343.204272363</v>
      </c>
      <c r="S1171" s="40">
        <v>32441.518214762498</v>
      </c>
      <c r="T1171" s="40">
        <v>30000</v>
      </c>
      <c r="U1171" s="40">
        <v>657150.48636276904</v>
      </c>
      <c r="V1171" s="40">
        <v>0</v>
      </c>
      <c r="W1171" s="45">
        <v>982347.48426473304</v>
      </c>
      <c r="X1171" s="46">
        <v>5.8210592975839397</v>
      </c>
    </row>
    <row r="1172" spans="1:24" s="4" customFormat="1" ht="15" customHeight="1">
      <c r="A1172" s="28" t="s">
        <v>3019</v>
      </c>
      <c r="B1172" s="29">
        <v>3196.165</v>
      </c>
      <c r="C1172" s="30" t="s">
        <v>3259</v>
      </c>
      <c r="D1172" s="2">
        <v>4951152052</v>
      </c>
      <c r="E1172" s="2" t="s">
        <v>14</v>
      </c>
      <c r="F1172" s="2" t="s">
        <v>3260</v>
      </c>
      <c r="G1172" s="28" t="s">
        <v>5</v>
      </c>
      <c r="H1172" s="2" t="s">
        <v>20</v>
      </c>
      <c r="I1172" s="2">
        <v>2</v>
      </c>
      <c r="J1172" s="2" t="s">
        <v>3261</v>
      </c>
      <c r="K1172" s="2">
        <v>26913.599999999999</v>
      </c>
      <c r="L1172" s="35">
        <v>86020306.343999997</v>
      </c>
      <c r="M1172" s="36">
        <v>10080</v>
      </c>
      <c r="N1172" s="40">
        <v>293194.38184245699</v>
      </c>
      <c r="O1172" s="48">
        <v>249565.650200267</v>
      </c>
      <c r="P1172" s="40">
        <v>0</v>
      </c>
      <c r="Q1172" s="48">
        <v>76371.524699599497</v>
      </c>
      <c r="R1172" s="40">
        <v>484442.45794392499</v>
      </c>
      <c r="S1172" s="40">
        <v>136254.376502003</v>
      </c>
      <c r="T1172" s="40">
        <v>30000</v>
      </c>
      <c r="U1172" s="40">
        <v>2760032.0427236301</v>
      </c>
      <c r="V1172" s="40">
        <v>0</v>
      </c>
      <c r="W1172" s="45">
        <v>4029860.43391188</v>
      </c>
      <c r="X1172" s="46">
        <v>4.6847780543773503</v>
      </c>
    </row>
    <row r="1173" spans="1:24" s="4" customFormat="1" ht="15" customHeight="1">
      <c r="A1173" s="28" t="s">
        <v>3019</v>
      </c>
      <c r="B1173" s="29">
        <v>3196.165</v>
      </c>
      <c r="C1173" s="30" t="s">
        <v>3259</v>
      </c>
      <c r="D1173" s="2">
        <v>4950722777</v>
      </c>
      <c r="E1173" s="2" t="s">
        <v>14</v>
      </c>
      <c r="F1173" s="2" t="s">
        <v>3260</v>
      </c>
      <c r="G1173" s="28" t="s">
        <v>5</v>
      </c>
      <c r="H1173" s="2" t="s">
        <v>20</v>
      </c>
      <c r="I1173" s="2">
        <v>2</v>
      </c>
      <c r="J1173" s="2" t="s">
        <v>3261</v>
      </c>
      <c r="K1173" s="2">
        <v>25821.8</v>
      </c>
      <c r="L1173" s="35">
        <v>82530733.397</v>
      </c>
      <c r="M1173" s="36">
        <v>13735</v>
      </c>
      <c r="N1173" s="40">
        <v>399506.43200457701</v>
      </c>
      <c r="O1173" s="48">
        <v>340057.95689490699</v>
      </c>
      <c r="P1173" s="40">
        <v>0</v>
      </c>
      <c r="Q1173" s="48">
        <v>104063.778943353</v>
      </c>
      <c r="R1173" s="40">
        <v>660101.33778371196</v>
      </c>
      <c r="S1173" s="40">
        <v>185660.105283235</v>
      </c>
      <c r="T1173" s="40">
        <v>30000</v>
      </c>
      <c r="U1173" s="40">
        <v>3760817.4709136002</v>
      </c>
      <c r="V1173" s="40">
        <v>0</v>
      </c>
      <c r="W1173" s="45">
        <v>5480207.0818233797</v>
      </c>
      <c r="X1173" s="46">
        <v>6.6402016027917599</v>
      </c>
    </row>
    <row r="1174" spans="1:24" s="4" customFormat="1" ht="15" customHeight="1">
      <c r="A1174" s="28" t="s">
        <v>3019</v>
      </c>
      <c r="B1174" s="29">
        <v>3196.165</v>
      </c>
      <c r="C1174" s="30" t="s">
        <v>3274</v>
      </c>
      <c r="D1174" s="2">
        <v>4951180950</v>
      </c>
      <c r="E1174" s="2" t="s">
        <v>14</v>
      </c>
      <c r="F1174" s="2" t="s">
        <v>3275</v>
      </c>
      <c r="G1174" s="28" t="s">
        <v>5</v>
      </c>
      <c r="H1174" s="2" t="s">
        <v>20</v>
      </c>
      <c r="I1174" s="2">
        <v>1</v>
      </c>
      <c r="J1174" s="2" t="s">
        <v>3276</v>
      </c>
      <c r="K1174" s="2">
        <v>14720</v>
      </c>
      <c r="L1174" s="35">
        <v>47047548.799999997</v>
      </c>
      <c r="M1174" s="36">
        <v>16000</v>
      </c>
      <c r="N1174" s="40">
        <v>380103</v>
      </c>
      <c r="O1174" s="40">
        <v>324522</v>
      </c>
      <c r="P1174" s="40">
        <v>585924</v>
      </c>
      <c r="Q1174" s="40">
        <v>110000</v>
      </c>
      <c r="R1174" s="40">
        <v>641516</v>
      </c>
      <c r="S1174" s="40">
        <v>354356</v>
      </c>
      <c r="T1174" s="40">
        <v>30000</v>
      </c>
      <c r="U1174" s="40">
        <v>0</v>
      </c>
      <c r="V1174" s="40">
        <v>0</v>
      </c>
      <c r="W1174" s="45">
        <v>2426421</v>
      </c>
      <c r="X1174" s="46">
        <v>5.1573802714244703</v>
      </c>
    </row>
    <row r="1175" spans="1:24" s="4" customFormat="1" ht="15" customHeight="1">
      <c r="A1175" s="28" t="s">
        <v>3019</v>
      </c>
      <c r="B1175" s="29">
        <v>3196.165</v>
      </c>
      <c r="C1175" s="30" t="s">
        <v>3279</v>
      </c>
      <c r="D1175" s="2">
        <v>4951726548</v>
      </c>
      <c r="E1175" s="2" t="s">
        <v>14</v>
      </c>
      <c r="F1175" s="2" t="s">
        <v>3280</v>
      </c>
      <c r="G1175" s="28" t="s">
        <v>9</v>
      </c>
      <c r="H1175" s="2" t="s">
        <v>23</v>
      </c>
      <c r="I1175" s="2">
        <v>1</v>
      </c>
      <c r="J1175" s="2"/>
      <c r="K1175" s="2">
        <v>5049.75</v>
      </c>
      <c r="L1175" s="35">
        <v>16139834.20875</v>
      </c>
      <c r="M1175" s="36">
        <v>750</v>
      </c>
      <c r="N1175" s="40">
        <v>495936</v>
      </c>
      <c r="O1175" s="40">
        <v>516</v>
      </c>
      <c r="P1175" s="40">
        <v>0</v>
      </c>
      <c r="Q1175" s="40">
        <v>12732</v>
      </c>
      <c r="R1175" s="40">
        <v>100902</v>
      </c>
      <c r="S1175" s="40">
        <v>354356</v>
      </c>
      <c r="T1175" s="40">
        <v>30000</v>
      </c>
      <c r="U1175" s="40">
        <v>305195.12195121998</v>
      </c>
      <c r="V1175" s="40">
        <v>0</v>
      </c>
      <c r="W1175" s="45">
        <v>1299637.1219512201</v>
      </c>
      <c r="X1175" s="46">
        <v>8.0523573237613508</v>
      </c>
    </row>
    <row r="1176" spans="1:24" s="4" customFormat="1" ht="15" customHeight="1">
      <c r="A1176" s="28" t="s">
        <v>3019</v>
      </c>
      <c r="B1176" s="29">
        <v>3196.165</v>
      </c>
      <c r="C1176" s="30" t="s">
        <v>3281</v>
      </c>
      <c r="D1176" s="2">
        <v>4951726548</v>
      </c>
      <c r="E1176" s="2" t="s">
        <v>14</v>
      </c>
      <c r="F1176" s="2" t="s">
        <v>3280</v>
      </c>
      <c r="G1176" s="28" t="s">
        <v>9</v>
      </c>
      <c r="H1176" s="2" t="s">
        <v>23</v>
      </c>
      <c r="I1176" s="2">
        <v>1</v>
      </c>
      <c r="J1176" s="2"/>
      <c r="K1176" s="2">
        <v>5049.75</v>
      </c>
      <c r="L1176" s="35">
        <v>16139834.20875</v>
      </c>
      <c r="M1176" s="36">
        <v>750</v>
      </c>
      <c r="N1176" s="40">
        <v>23317.128309572301</v>
      </c>
      <c r="O1176" s="40">
        <v>37817</v>
      </c>
      <c r="P1176" s="40">
        <v>0</v>
      </c>
      <c r="Q1176" s="40">
        <v>9878</v>
      </c>
      <c r="R1176" s="40">
        <v>69307.403258655802</v>
      </c>
      <c r="S1176" s="40">
        <v>354356</v>
      </c>
      <c r="T1176" s="40">
        <v>30000</v>
      </c>
      <c r="U1176" s="40">
        <v>343302.953156823</v>
      </c>
      <c r="V1176" s="40">
        <v>0</v>
      </c>
      <c r="W1176" s="45">
        <v>867978.48472505098</v>
      </c>
      <c r="X1176" s="46">
        <v>5.37786493652139</v>
      </c>
    </row>
    <row r="1177" spans="1:24" s="4" customFormat="1" ht="15" customHeight="1">
      <c r="A1177" s="28" t="s">
        <v>3019</v>
      </c>
      <c r="B1177" s="29">
        <v>3196.165</v>
      </c>
      <c r="C1177" s="30" t="s">
        <v>3285</v>
      </c>
      <c r="D1177" s="2">
        <v>4951046399</v>
      </c>
      <c r="E1177" s="2" t="s">
        <v>14</v>
      </c>
      <c r="F1177" s="2" t="s">
        <v>3286</v>
      </c>
      <c r="G1177" s="28" t="s">
        <v>9</v>
      </c>
      <c r="H1177" s="2" t="s">
        <v>23</v>
      </c>
      <c r="I1177" s="2">
        <v>8</v>
      </c>
      <c r="J1177" s="2"/>
      <c r="K1177" s="2">
        <v>7776</v>
      </c>
      <c r="L1177" s="35">
        <v>24853379.039999999</v>
      </c>
      <c r="M1177" s="36">
        <v>2160</v>
      </c>
      <c r="N1177" s="40">
        <v>664368.338028169</v>
      </c>
      <c r="O1177" s="48">
        <v>1517.0704225352099</v>
      </c>
      <c r="P1177" s="40">
        <v>58618.647887323903</v>
      </c>
      <c r="Q1177" s="48">
        <v>47243.154929577497</v>
      </c>
      <c r="R1177" s="40">
        <v>113664.67605633799</v>
      </c>
      <c r="S1177" s="40">
        <v>179673.464788732</v>
      </c>
      <c r="T1177" s="40">
        <v>30000</v>
      </c>
      <c r="U1177" s="40">
        <v>882834.82077542099</v>
      </c>
      <c r="V1177" s="40">
        <v>0</v>
      </c>
      <c r="W1177" s="45">
        <v>1977920.1728880999</v>
      </c>
      <c r="X1177" s="46">
        <v>7.9583551584867198</v>
      </c>
    </row>
    <row r="1178" spans="1:24" s="4" customFormat="1" ht="15" customHeight="1">
      <c r="A1178" s="28" t="s">
        <v>3019</v>
      </c>
      <c r="B1178" s="29">
        <v>3196.165</v>
      </c>
      <c r="C1178" s="30" t="s">
        <v>3285</v>
      </c>
      <c r="D1178" s="2">
        <v>4951619248</v>
      </c>
      <c r="E1178" s="2" t="s">
        <v>14</v>
      </c>
      <c r="F1178" s="2" t="s">
        <v>3286</v>
      </c>
      <c r="G1178" s="28" t="s">
        <v>9</v>
      </c>
      <c r="H1178" s="2" t="s">
        <v>23</v>
      </c>
      <c r="I1178" s="2">
        <v>8</v>
      </c>
      <c r="J1178" s="2"/>
      <c r="K1178" s="2">
        <v>37755</v>
      </c>
      <c r="L1178" s="35">
        <v>120671209.575</v>
      </c>
      <c r="M1178" s="36">
        <v>900</v>
      </c>
      <c r="N1178" s="40">
        <v>276820.14084507001</v>
      </c>
      <c r="O1178" s="48">
        <v>632.11267605633805</v>
      </c>
      <c r="P1178" s="40">
        <v>24424.436619718301</v>
      </c>
      <c r="Q1178" s="48">
        <v>19684.647887323899</v>
      </c>
      <c r="R1178" s="40">
        <v>47360.2816901408</v>
      </c>
      <c r="S1178" s="40">
        <v>74863.943661971804</v>
      </c>
      <c r="T1178" s="40">
        <v>30000</v>
      </c>
      <c r="U1178" s="40">
        <v>367847.84198975901</v>
      </c>
      <c r="V1178" s="40">
        <v>0</v>
      </c>
      <c r="W1178" s="45">
        <v>841633.40537003998</v>
      </c>
      <c r="X1178" s="46">
        <v>0.69745998928347996</v>
      </c>
    </row>
    <row r="1179" spans="1:24" s="4" customFormat="1" ht="15" customHeight="1">
      <c r="A1179" s="28" t="s">
        <v>3019</v>
      </c>
      <c r="B1179" s="29">
        <v>3196.165</v>
      </c>
      <c r="C1179" s="30" t="s">
        <v>3285</v>
      </c>
      <c r="D1179" s="2">
        <v>4951647411</v>
      </c>
      <c r="E1179" s="2" t="s">
        <v>14</v>
      </c>
      <c r="F1179" s="2" t="s">
        <v>3286</v>
      </c>
      <c r="G1179" s="28" t="s">
        <v>9</v>
      </c>
      <c r="H1179" s="2" t="s">
        <v>23</v>
      </c>
      <c r="I1179" s="2">
        <v>8</v>
      </c>
      <c r="J1179" s="2"/>
      <c r="K1179" s="2">
        <v>3312</v>
      </c>
      <c r="L1179" s="35">
        <v>10585698.48</v>
      </c>
      <c r="M1179" s="36">
        <v>600</v>
      </c>
      <c r="N1179" s="40">
        <v>184546.76056338</v>
      </c>
      <c r="O1179" s="48">
        <v>421.408450704225</v>
      </c>
      <c r="P1179" s="40">
        <v>16282.9577464789</v>
      </c>
      <c r="Q1179" s="48">
        <v>13123.0985915493</v>
      </c>
      <c r="R1179" s="40">
        <v>31573.521126760599</v>
      </c>
      <c r="S1179" s="40">
        <v>49909.295774647901</v>
      </c>
      <c r="T1179" s="40">
        <v>30000</v>
      </c>
      <c r="U1179" s="40">
        <v>245231.89465983899</v>
      </c>
      <c r="V1179" s="40">
        <v>0</v>
      </c>
      <c r="W1179" s="45">
        <v>571088.93691336003</v>
      </c>
      <c r="X1179" s="46">
        <v>5.3949102932824102</v>
      </c>
    </row>
    <row r="1180" spans="1:24" s="4" customFormat="1" ht="15" customHeight="1">
      <c r="A1180" s="28" t="s">
        <v>3019</v>
      </c>
      <c r="B1180" s="29">
        <v>3196.165</v>
      </c>
      <c r="C1180" s="30" t="s">
        <v>3285</v>
      </c>
      <c r="D1180" s="2">
        <v>4951647411</v>
      </c>
      <c r="E1180" s="2" t="s">
        <v>14</v>
      </c>
      <c r="F1180" s="2" t="s">
        <v>3286</v>
      </c>
      <c r="G1180" s="28" t="s">
        <v>9</v>
      </c>
      <c r="H1180" s="2" t="s">
        <v>23</v>
      </c>
      <c r="I1180" s="2">
        <v>8</v>
      </c>
      <c r="J1180" s="2"/>
      <c r="K1180" s="2">
        <v>3348</v>
      </c>
      <c r="L1180" s="35">
        <v>10700760.42</v>
      </c>
      <c r="M1180" s="36">
        <v>600</v>
      </c>
      <c r="N1180" s="40">
        <v>184546.76056338</v>
      </c>
      <c r="O1180" s="48">
        <v>421.408450704225</v>
      </c>
      <c r="P1180" s="40">
        <v>16282.9577464789</v>
      </c>
      <c r="Q1180" s="48">
        <v>13123.0985915493</v>
      </c>
      <c r="R1180" s="40">
        <v>31573.521126760599</v>
      </c>
      <c r="S1180" s="40">
        <v>49909.295774647901</v>
      </c>
      <c r="T1180" s="40">
        <v>30000</v>
      </c>
      <c r="U1180" s="40">
        <v>245231.89465983899</v>
      </c>
      <c r="V1180" s="40">
        <v>0</v>
      </c>
      <c r="W1180" s="45">
        <v>571088.93691336003</v>
      </c>
      <c r="X1180" s="46">
        <v>5.3369005051825997</v>
      </c>
    </row>
    <row r="1181" spans="1:24" s="4" customFormat="1" ht="15" customHeight="1">
      <c r="A1181" s="28" t="s">
        <v>3019</v>
      </c>
      <c r="B1181" s="29">
        <v>3196.165</v>
      </c>
      <c r="C1181" s="30" t="s">
        <v>3304</v>
      </c>
      <c r="D1181" s="2">
        <v>4951796905</v>
      </c>
      <c r="E1181" s="2" t="s">
        <v>14</v>
      </c>
      <c r="F1181" s="78" t="s">
        <v>3305</v>
      </c>
      <c r="G1181" s="28" t="s">
        <v>13</v>
      </c>
      <c r="H1181" s="2" t="s">
        <v>23</v>
      </c>
      <c r="I1181" s="2">
        <v>1</v>
      </c>
      <c r="J1181" s="2"/>
      <c r="K1181" s="2">
        <v>996.2</v>
      </c>
      <c r="L1181" s="35">
        <v>3184019.5729999999</v>
      </c>
      <c r="M1181" s="36">
        <v>20</v>
      </c>
      <c r="N1181" s="40">
        <v>297194.59000000003</v>
      </c>
      <c r="O1181" s="40">
        <v>0</v>
      </c>
      <c r="P1181" s="40">
        <v>0</v>
      </c>
      <c r="Q1181" s="40">
        <v>0</v>
      </c>
      <c r="R1181" s="40">
        <v>1189</v>
      </c>
      <c r="S1181" s="40">
        <v>354356</v>
      </c>
      <c r="T1181" s="40">
        <v>30000</v>
      </c>
      <c r="U1181" s="40">
        <v>246380</v>
      </c>
      <c r="V1181" s="40">
        <v>0</v>
      </c>
      <c r="W1181" s="45">
        <v>929119.59</v>
      </c>
      <c r="X1181" s="46">
        <v>29.1807122631655</v>
      </c>
    </row>
    <row r="1182" spans="1:24" s="4" customFormat="1" ht="15" customHeight="1">
      <c r="A1182" s="28" t="s">
        <v>3019</v>
      </c>
      <c r="B1182" s="29">
        <v>3196.165</v>
      </c>
      <c r="C1182" s="30" t="s">
        <v>3309</v>
      </c>
      <c r="D1182" s="2">
        <v>4951517142</v>
      </c>
      <c r="E1182" s="2" t="s">
        <v>14</v>
      </c>
      <c r="F1182" s="2" t="s">
        <v>3310</v>
      </c>
      <c r="G1182" s="28" t="s">
        <v>9</v>
      </c>
      <c r="H1182" s="2" t="s">
        <v>23</v>
      </c>
      <c r="I1182" s="2">
        <v>3</v>
      </c>
      <c r="J1182" s="2"/>
      <c r="K1182" s="2">
        <v>5175.75</v>
      </c>
      <c r="L1182" s="35">
        <v>16542550.998749999</v>
      </c>
      <c r="M1182" s="36">
        <v>2575</v>
      </c>
      <c r="N1182" s="40">
        <v>819079</v>
      </c>
      <c r="O1182" s="40">
        <v>1668</v>
      </c>
      <c r="P1182" s="40">
        <v>0</v>
      </c>
      <c r="Q1182" s="40">
        <v>51977</v>
      </c>
      <c r="R1182" s="40">
        <v>140769</v>
      </c>
      <c r="S1182" s="40">
        <v>354356</v>
      </c>
      <c r="T1182" s="40">
        <v>30000</v>
      </c>
      <c r="U1182" s="40">
        <v>1047836.58536585</v>
      </c>
      <c r="V1182" s="40">
        <v>0</v>
      </c>
      <c r="W1182" s="45">
        <v>2445685.58536585</v>
      </c>
      <c r="X1182" s="46">
        <v>14.784210642909001</v>
      </c>
    </row>
    <row r="1183" spans="1:24" s="4" customFormat="1" ht="15" customHeight="1">
      <c r="A1183" s="28" t="s">
        <v>3019</v>
      </c>
      <c r="B1183" s="29">
        <v>3196.165</v>
      </c>
      <c r="C1183" s="30" t="s">
        <v>3318</v>
      </c>
      <c r="D1183" s="2">
        <v>4951647416</v>
      </c>
      <c r="E1183" s="2" t="s">
        <v>14</v>
      </c>
      <c r="F1183" s="2" t="s">
        <v>3319</v>
      </c>
      <c r="G1183" s="28" t="s">
        <v>13</v>
      </c>
      <c r="H1183" s="2" t="s">
        <v>23</v>
      </c>
      <c r="I1183" s="2">
        <v>1</v>
      </c>
      <c r="J1183" s="2"/>
      <c r="K1183" s="2">
        <v>443.1</v>
      </c>
      <c r="L1183" s="35">
        <v>1416220.7115</v>
      </c>
      <c r="M1183" s="36">
        <v>10</v>
      </c>
      <c r="N1183" s="40">
        <v>323655</v>
      </c>
      <c r="O1183" s="40">
        <v>0</v>
      </c>
      <c r="P1183" s="40">
        <v>0</v>
      </c>
      <c r="Q1183" s="40">
        <v>0</v>
      </c>
      <c r="R1183" s="40">
        <v>1292</v>
      </c>
      <c r="S1183" s="40">
        <v>354356</v>
      </c>
      <c r="T1183" s="40">
        <v>30000</v>
      </c>
      <c r="U1183" s="40">
        <v>17598.571428571398</v>
      </c>
      <c r="V1183" s="40">
        <v>0</v>
      </c>
      <c r="W1183" s="45">
        <v>726901.57142857101</v>
      </c>
      <c r="X1183" s="46">
        <v>51.326856437417099</v>
      </c>
    </row>
    <row r="1184" spans="1:24" s="4" customFormat="1" ht="15" customHeight="1">
      <c r="A1184" s="28" t="s">
        <v>3019</v>
      </c>
      <c r="B1184" s="29">
        <v>3196.165</v>
      </c>
      <c r="C1184" s="30" t="s">
        <v>3320</v>
      </c>
      <c r="D1184" s="2">
        <v>4951796024</v>
      </c>
      <c r="E1184" s="2" t="s">
        <v>14</v>
      </c>
      <c r="F1184" s="2" t="s">
        <v>3321</v>
      </c>
      <c r="G1184" s="28" t="s">
        <v>13</v>
      </c>
      <c r="H1184" s="2" t="s">
        <v>23</v>
      </c>
      <c r="I1184" s="2">
        <v>1</v>
      </c>
      <c r="J1184" s="2"/>
      <c r="K1184" s="2">
        <v>886.2</v>
      </c>
      <c r="L1184" s="35">
        <v>2832441.423</v>
      </c>
      <c r="M1184" s="36">
        <v>20</v>
      </c>
      <c r="N1184" s="40">
        <v>323008</v>
      </c>
      <c r="O1184" s="40">
        <v>0</v>
      </c>
      <c r="P1184" s="40">
        <v>0</v>
      </c>
      <c r="Q1184" s="40">
        <v>0</v>
      </c>
      <c r="R1184" s="40">
        <v>1292</v>
      </c>
      <c r="S1184" s="40">
        <v>354356</v>
      </c>
      <c r="T1184" s="40">
        <v>30000</v>
      </c>
      <c r="U1184" s="40">
        <v>35197.142857142899</v>
      </c>
      <c r="V1184" s="40">
        <v>0</v>
      </c>
      <c r="W1184" s="45">
        <v>743853.14285714296</v>
      </c>
      <c r="X1184" s="46">
        <v>26.261907371390102</v>
      </c>
    </row>
    <row r="1185" spans="1:24" s="4" customFormat="1" ht="15" customHeight="1">
      <c r="A1185" s="28" t="s">
        <v>3019</v>
      </c>
      <c r="B1185" s="29">
        <v>3196.165</v>
      </c>
      <c r="C1185" s="30" t="s">
        <v>3322</v>
      </c>
      <c r="D1185" s="2">
        <v>4951516178</v>
      </c>
      <c r="E1185" s="2" t="s">
        <v>14</v>
      </c>
      <c r="F1185" s="2" t="s">
        <v>3323</v>
      </c>
      <c r="G1185" s="28" t="s">
        <v>13</v>
      </c>
      <c r="H1185" s="2" t="s">
        <v>23</v>
      </c>
      <c r="I1185" s="2">
        <v>1</v>
      </c>
      <c r="J1185" s="2"/>
      <c r="K1185" s="2">
        <v>6138</v>
      </c>
      <c r="L1185" s="35">
        <v>19618060.77</v>
      </c>
      <c r="M1185" s="36">
        <v>110</v>
      </c>
      <c r="N1185" s="40">
        <v>421774</v>
      </c>
      <c r="O1185" s="40">
        <v>0</v>
      </c>
      <c r="P1185" s="40">
        <v>0</v>
      </c>
      <c r="Q1185" s="40">
        <v>0</v>
      </c>
      <c r="R1185" s="40">
        <v>4687</v>
      </c>
      <c r="S1185" s="40">
        <v>354356</v>
      </c>
      <c r="T1185" s="40">
        <v>30000</v>
      </c>
      <c r="U1185" s="40">
        <v>193584.285714286</v>
      </c>
      <c r="V1185" s="40">
        <v>0</v>
      </c>
      <c r="W1185" s="45">
        <v>1004401.28571429</v>
      </c>
      <c r="X1185" s="46">
        <v>5.1197786442287896</v>
      </c>
    </row>
    <row r="1186" spans="1:24" s="4" customFormat="1" ht="15" customHeight="1">
      <c r="A1186" s="28" t="s">
        <v>3019</v>
      </c>
      <c r="B1186" s="29">
        <v>3196.165</v>
      </c>
      <c r="C1186" s="30" t="s">
        <v>3324</v>
      </c>
      <c r="D1186" s="2">
        <v>4949590097</v>
      </c>
      <c r="E1186" s="2" t="s">
        <v>14</v>
      </c>
      <c r="F1186" s="2" t="s">
        <v>3325</v>
      </c>
      <c r="G1186" s="28" t="s">
        <v>5</v>
      </c>
      <c r="H1186" s="2" t="s">
        <v>20</v>
      </c>
      <c r="I1186" s="2">
        <v>1</v>
      </c>
      <c r="J1186" s="2" t="s">
        <v>3326</v>
      </c>
      <c r="K1186" s="2">
        <v>34020</v>
      </c>
      <c r="L1186" s="35">
        <v>108733533.3</v>
      </c>
      <c r="M1186" s="36">
        <v>9000</v>
      </c>
      <c r="N1186" s="40">
        <v>327106</v>
      </c>
      <c r="O1186" s="40">
        <v>324522</v>
      </c>
      <c r="P1186" s="40">
        <v>213709</v>
      </c>
      <c r="Q1186" s="40">
        <v>110000</v>
      </c>
      <c r="R1186" s="40">
        <v>556039</v>
      </c>
      <c r="S1186" s="40">
        <v>354356</v>
      </c>
      <c r="T1186" s="40">
        <v>30000</v>
      </c>
      <c r="U1186" s="40">
        <v>2900300</v>
      </c>
      <c r="V1186" s="40">
        <v>0</v>
      </c>
      <c r="W1186" s="45">
        <v>4816032</v>
      </c>
      <c r="X1186" s="46">
        <v>4.4292058335972397</v>
      </c>
    </row>
    <row r="1187" spans="1:24" s="4" customFormat="1" ht="15" customHeight="1">
      <c r="A1187" s="28" t="s">
        <v>3019</v>
      </c>
      <c r="B1187" s="29">
        <v>3196.165</v>
      </c>
      <c r="C1187" s="30" t="s">
        <v>3337</v>
      </c>
      <c r="D1187" s="2">
        <v>4951325262</v>
      </c>
      <c r="E1187" s="2" t="s">
        <v>14</v>
      </c>
      <c r="F1187" s="2" t="s">
        <v>3338</v>
      </c>
      <c r="G1187" s="28" t="s">
        <v>5</v>
      </c>
      <c r="H1187" s="2" t="s">
        <v>32</v>
      </c>
      <c r="I1187" s="2">
        <v>1</v>
      </c>
      <c r="J1187" s="2" t="s">
        <v>3339</v>
      </c>
      <c r="K1187" s="2">
        <v>3969</v>
      </c>
      <c r="L1187" s="35">
        <v>12685578.885</v>
      </c>
      <c r="M1187" s="36">
        <v>1050</v>
      </c>
      <c r="N1187" s="40">
        <v>61814.485559566798</v>
      </c>
      <c r="O1187" s="48">
        <v>61506.877256317697</v>
      </c>
      <c r="P1187" s="40">
        <v>0</v>
      </c>
      <c r="Q1187" s="48">
        <v>20848.375451263499</v>
      </c>
      <c r="R1187" s="40">
        <v>216670.77436823101</v>
      </c>
      <c r="S1187" s="40">
        <v>67161.335740072202</v>
      </c>
      <c r="T1187" s="40">
        <v>30000</v>
      </c>
      <c r="U1187" s="40">
        <v>758729.24187725596</v>
      </c>
      <c r="V1187" s="40">
        <v>0</v>
      </c>
      <c r="W1187" s="45">
        <v>1216731.09025271</v>
      </c>
      <c r="X1187" s="46">
        <v>9.5914510585829493</v>
      </c>
    </row>
    <row r="1188" spans="1:24" s="4" customFormat="1" ht="15" customHeight="1">
      <c r="A1188" s="28" t="s">
        <v>3019</v>
      </c>
      <c r="B1188" s="29">
        <v>3196.165</v>
      </c>
      <c r="C1188" s="30" t="s">
        <v>3337</v>
      </c>
      <c r="D1188" s="2">
        <v>4951650358</v>
      </c>
      <c r="E1188" s="2" t="s">
        <v>14</v>
      </c>
      <c r="F1188" s="2" t="s">
        <v>3338</v>
      </c>
      <c r="G1188" s="28" t="s">
        <v>5</v>
      </c>
      <c r="H1188" s="2" t="s">
        <v>32</v>
      </c>
      <c r="I1188" s="2">
        <v>1</v>
      </c>
      <c r="J1188" s="2" t="s">
        <v>3339</v>
      </c>
      <c r="K1188" s="2">
        <v>5468.4</v>
      </c>
      <c r="L1188" s="35">
        <v>17477908.686000001</v>
      </c>
      <c r="M1188" s="36">
        <v>1260</v>
      </c>
      <c r="N1188" s="40">
        <v>74177.382671480198</v>
      </c>
      <c r="O1188" s="48">
        <v>73808.252707581196</v>
      </c>
      <c r="P1188" s="40">
        <v>0</v>
      </c>
      <c r="Q1188" s="48">
        <v>25018.050541516201</v>
      </c>
      <c r="R1188" s="40">
        <v>260004.72924187701</v>
      </c>
      <c r="S1188" s="40">
        <v>80593.602888086694</v>
      </c>
      <c r="T1188" s="40">
        <v>30000</v>
      </c>
      <c r="U1188" s="40">
        <v>910475.09025270795</v>
      </c>
      <c r="V1188" s="40">
        <v>0</v>
      </c>
      <c r="W1188" s="45">
        <v>1454077.10830325</v>
      </c>
      <c r="X1188" s="46">
        <v>8.3195142761443908</v>
      </c>
    </row>
    <row r="1189" spans="1:24" s="4" customFormat="1" ht="15" customHeight="1">
      <c r="A1189" s="28" t="s">
        <v>3019</v>
      </c>
      <c r="B1189" s="29">
        <v>3196.165</v>
      </c>
      <c r="C1189" s="30" t="s">
        <v>3337</v>
      </c>
      <c r="D1189" s="2">
        <v>4951726527</v>
      </c>
      <c r="E1189" s="2" t="s">
        <v>14</v>
      </c>
      <c r="F1189" s="2" t="s">
        <v>3338</v>
      </c>
      <c r="G1189" s="28" t="s">
        <v>5</v>
      </c>
      <c r="H1189" s="2" t="s">
        <v>32</v>
      </c>
      <c r="I1189" s="2">
        <v>1</v>
      </c>
      <c r="J1189" s="2" t="s">
        <v>3339</v>
      </c>
      <c r="K1189" s="2">
        <v>652.5</v>
      </c>
      <c r="L1189" s="35">
        <v>2085497.6625000001</v>
      </c>
      <c r="M1189" s="36">
        <v>450</v>
      </c>
      <c r="N1189" s="40">
        <v>11185.4783393502</v>
      </c>
      <c r="O1189" s="48">
        <v>26360.0902527076</v>
      </c>
      <c r="P1189" s="40">
        <v>0</v>
      </c>
      <c r="Q1189" s="48">
        <v>8935.0180505415192</v>
      </c>
      <c r="R1189" s="40">
        <v>39206.911552346603</v>
      </c>
      <c r="S1189" s="40">
        <v>12153.003610108301</v>
      </c>
      <c r="T1189" s="40">
        <v>30000</v>
      </c>
      <c r="U1189" s="40">
        <v>137293.862815884</v>
      </c>
      <c r="V1189" s="40">
        <v>0</v>
      </c>
      <c r="W1189" s="45">
        <v>265134.36462093802</v>
      </c>
      <c r="X1189" s="46">
        <v>12.713241994388399</v>
      </c>
    </row>
    <row r="1190" spans="1:24" s="4" customFormat="1" ht="15" customHeight="1">
      <c r="A1190" s="28" t="s">
        <v>3019</v>
      </c>
      <c r="B1190" s="29">
        <v>3196.165</v>
      </c>
      <c r="C1190" s="30" t="s">
        <v>3337</v>
      </c>
      <c r="D1190" s="2">
        <v>4951798403</v>
      </c>
      <c r="E1190" s="2" t="s">
        <v>14</v>
      </c>
      <c r="F1190" s="2" t="s">
        <v>3338</v>
      </c>
      <c r="G1190" s="28" t="s">
        <v>5</v>
      </c>
      <c r="H1190" s="2" t="s">
        <v>32</v>
      </c>
      <c r="I1190" s="2">
        <v>1</v>
      </c>
      <c r="J1190" s="2" t="s">
        <v>3339</v>
      </c>
      <c r="K1190" s="2">
        <v>1360.4</v>
      </c>
      <c r="L1190" s="35">
        <v>4348062.8660000004</v>
      </c>
      <c r="M1190" s="36">
        <v>190</v>
      </c>
      <c r="N1190" s="40">
        <v>141290.25270758101</v>
      </c>
      <c r="O1190" s="48">
        <v>11129.8158844765</v>
      </c>
      <c r="P1190" s="40">
        <v>0</v>
      </c>
      <c r="Q1190" s="48">
        <v>3772.5631768953099</v>
      </c>
      <c r="R1190" s="40">
        <v>495247.198555957</v>
      </c>
      <c r="S1190" s="40">
        <v>153511.624548736</v>
      </c>
      <c r="T1190" s="40">
        <v>30000</v>
      </c>
      <c r="U1190" s="40">
        <v>1734238.26714801</v>
      </c>
      <c r="V1190" s="40">
        <v>0</v>
      </c>
      <c r="W1190" s="45">
        <v>2569189.7220216598</v>
      </c>
      <c r="X1190" s="46">
        <v>59.088145714534797</v>
      </c>
    </row>
    <row r="1191" spans="1:24" s="4" customFormat="1" ht="15" customHeight="1">
      <c r="A1191" s="28" t="s">
        <v>3019</v>
      </c>
      <c r="B1191" s="29">
        <v>3196.165</v>
      </c>
      <c r="C1191" s="30" t="s">
        <v>3337</v>
      </c>
      <c r="D1191" s="2">
        <v>4951798405</v>
      </c>
      <c r="E1191" s="2" t="s">
        <v>14</v>
      </c>
      <c r="F1191" s="2" t="s">
        <v>3338</v>
      </c>
      <c r="G1191" s="28" t="s">
        <v>5</v>
      </c>
      <c r="H1191" s="2" t="s">
        <v>32</v>
      </c>
      <c r="I1191" s="2">
        <v>1</v>
      </c>
      <c r="J1191" s="2" t="s">
        <v>3339</v>
      </c>
      <c r="K1191" s="2">
        <v>6384</v>
      </c>
      <c r="L1191" s="35">
        <v>20404317.359999999</v>
      </c>
      <c r="M1191" s="36">
        <v>2400</v>
      </c>
      <c r="N1191" s="40">
        <v>11185.4783393502</v>
      </c>
      <c r="O1191" s="48">
        <v>140587.14801444</v>
      </c>
      <c r="P1191" s="40">
        <v>0</v>
      </c>
      <c r="Q1191" s="48">
        <v>47653.4296028881</v>
      </c>
      <c r="R1191" s="40">
        <v>39206.911552346603</v>
      </c>
      <c r="S1191" s="40">
        <v>12153.003610108301</v>
      </c>
      <c r="T1191" s="40">
        <v>30000</v>
      </c>
      <c r="U1191" s="40">
        <v>137293.862815884</v>
      </c>
      <c r="V1191" s="40">
        <v>0</v>
      </c>
      <c r="W1191" s="45">
        <v>418079.83393501799</v>
      </c>
      <c r="X1191" s="46">
        <v>2.0489773147452</v>
      </c>
    </row>
    <row r="1192" spans="1:24" s="4" customFormat="1" ht="15" customHeight="1">
      <c r="A1192" s="28" t="s">
        <v>3019</v>
      </c>
      <c r="B1192" s="29">
        <v>3196.165</v>
      </c>
      <c r="C1192" s="30" t="s">
        <v>3337</v>
      </c>
      <c r="D1192" s="2">
        <v>4951046400</v>
      </c>
      <c r="E1192" s="2" t="s">
        <v>14</v>
      </c>
      <c r="F1192" s="2" t="s">
        <v>3338</v>
      </c>
      <c r="G1192" s="28" t="s">
        <v>5</v>
      </c>
      <c r="H1192" s="2" t="s">
        <v>32</v>
      </c>
      <c r="I1192" s="2">
        <v>1</v>
      </c>
      <c r="J1192" s="2" t="s">
        <v>3339</v>
      </c>
      <c r="K1192" s="2">
        <v>1858.2</v>
      </c>
      <c r="L1192" s="35">
        <v>5939113.8030000003</v>
      </c>
      <c r="M1192" s="36">
        <v>190</v>
      </c>
      <c r="N1192" s="40">
        <v>26491.922382671499</v>
      </c>
      <c r="O1192" s="48">
        <v>11129.8158844765</v>
      </c>
      <c r="P1192" s="40">
        <v>0</v>
      </c>
      <c r="Q1192" s="48">
        <v>3772.5631768953099</v>
      </c>
      <c r="R1192" s="40">
        <v>92858.474729241905</v>
      </c>
      <c r="S1192" s="40">
        <v>28783.4296028881</v>
      </c>
      <c r="T1192" s="40">
        <v>30000</v>
      </c>
      <c r="U1192" s="40">
        <v>325169.675090253</v>
      </c>
      <c r="V1192" s="40">
        <v>0</v>
      </c>
      <c r="W1192" s="45">
        <v>518205.88086642599</v>
      </c>
      <c r="X1192" s="46">
        <v>8.7253064692019695</v>
      </c>
    </row>
    <row r="1193" spans="1:24" s="4" customFormat="1" ht="15" customHeight="1">
      <c r="A1193" s="28" t="s">
        <v>3019</v>
      </c>
      <c r="B1193" s="29">
        <v>3196.165</v>
      </c>
      <c r="C1193" s="30" t="s">
        <v>3346</v>
      </c>
      <c r="D1193" s="2">
        <v>4950215955</v>
      </c>
      <c r="E1193" s="2" t="s">
        <v>14</v>
      </c>
      <c r="F1193" s="2" t="s">
        <v>3347</v>
      </c>
      <c r="G1193" s="28" t="s">
        <v>5</v>
      </c>
      <c r="H1193" s="2" t="s">
        <v>17</v>
      </c>
      <c r="I1193" s="2">
        <v>1</v>
      </c>
      <c r="J1193" s="2" t="s">
        <v>3348</v>
      </c>
      <c r="K1193" s="2">
        <v>6551.2</v>
      </c>
      <c r="L1193" s="35">
        <v>20938716.147999998</v>
      </c>
      <c r="M1193" s="36">
        <v>1520</v>
      </c>
      <c r="N1193" s="40">
        <v>21743</v>
      </c>
      <c r="O1193" s="48">
        <v>28382.266666666699</v>
      </c>
      <c r="P1193" s="40">
        <v>12683.4</v>
      </c>
      <c r="Q1193" s="48">
        <v>7333.3333333333303</v>
      </c>
      <c r="R1193" s="40">
        <v>63898.666666666701</v>
      </c>
      <c r="S1193" s="40">
        <v>23623.733333333301</v>
      </c>
      <c r="T1193" s="40">
        <v>30000</v>
      </c>
      <c r="U1193" s="40">
        <v>379270</v>
      </c>
      <c r="V1193" s="40">
        <v>0</v>
      </c>
      <c r="W1193" s="45">
        <v>566934.4</v>
      </c>
      <c r="X1193" s="46">
        <v>2.7075891186105601</v>
      </c>
    </row>
    <row r="1194" spans="1:24" s="4" customFormat="1" ht="15" customHeight="1">
      <c r="A1194" s="28" t="s">
        <v>3019</v>
      </c>
      <c r="B1194" s="29">
        <v>3196.165</v>
      </c>
      <c r="C1194" s="30" t="s">
        <v>3346</v>
      </c>
      <c r="D1194" s="2">
        <v>4951215078</v>
      </c>
      <c r="E1194" s="2" t="s">
        <v>14</v>
      </c>
      <c r="F1194" s="2" t="s">
        <v>3347</v>
      </c>
      <c r="G1194" s="28" t="s">
        <v>5</v>
      </c>
      <c r="H1194" s="2" t="s">
        <v>17</v>
      </c>
      <c r="I1194" s="2">
        <v>1</v>
      </c>
      <c r="J1194" s="2" t="s">
        <v>3348</v>
      </c>
      <c r="K1194" s="2">
        <v>13406.4</v>
      </c>
      <c r="L1194" s="35">
        <v>42849066.456</v>
      </c>
      <c r="M1194" s="36">
        <v>5040</v>
      </c>
      <c r="N1194" s="40">
        <v>18023.802631578899</v>
      </c>
      <c r="O1194" s="48">
        <v>94109.621052631599</v>
      </c>
      <c r="P1194" s="40">
        <v>10513.871052631601</v>
      </c>
      <c r="Q1194" s="48">
        <v>24315.789473684199</v>
      </c>
      <c r="R1194" s="40">
        <v>52975.315789473803</v>
      </c>
      <c r="S1194" s="40">
        <v>19582.8315789474</v>
      </c>
      <c r="T1194" s="40">
        <v>30000</v>
      </c>
      <c r="U1194" s="40">
        <v>314394.86842105299</v>
      </c>
      <c r="V1194" s="40">
        <v>0</v>
      </c>
      <c r="W1194" s="45">
        <v>563916.1</v>
      </c>
      <c r="X1194" s="46">
        <v>1.31605224253617</v>
      </c>
    </row>
    <row r="1195" spans="1:24" s="4" customFormat="1" ht="15" customHeight="1">
      <c r="A1195" s="28" t="s">
        <v>3019</v>
      </c>
      <c r="B1195" s="29">
        <v>3196.165</v>
      </c>
      <c r="C1195" s="30" t="s">
        <v>3346</v>
      </c>
      <c r="D1195" s="2">
        <v>4951356838</v>
      </c>
      <c r="E1195" s="2" t="s">
        <v>14</v>
      </c>
      <c r="F1195" s="2" t="s">
        <v>3347</v>
      </c>
      <c r="G1195" s="28" t="s">
        <v>5</v>
      </c>
      <c r="H1195" s="2" t="s">
        <v>17</v>
      </c>
      <c r="I1195" s="2">
        <v>1</v>
      </c>
      <c r="J1195" s="2" t="s">
        <v>3348</v>
      </c>
      <c r="K1195" s="2">
        <v>20041</v>
      </c>
      <c r="L1195" s="35">
        <v>64054342.765000001</v>
      </c>
      <c r="M1195" s="36">
        <v>4900</v>
      </c>
      <c r="N1195" s="40">
        <v>54071.407894736803</v>
      </c>
      <c r="O1195" s="48">
        <v>91495.464912280702</v>
      </c>
      <c r="P1195" s="40">
        <v>31541.613157894699</v>
      </c>
      <c r="Q1195" s="48">
        <v>23640.350877192999</v>
      </c>
      <c r="R1195" s="40">
        <v>158925.94736842101</v>
      </c>
      <c r="S1195" s="40">
        <v>58748.494736842098</v>
      </c>
      <c r="T1195" s="40">
        <v>30000</v>
      </c>
      <c r="U1195" s="40">
        <v>943184.60526315798</v>
      </c>
      <c r="V1195" s="40">
        <v>0</v>
      </c>
      <c r="W1195" s="45">
        <v>1391607.88421053</v>
      </c>
      <c r="X1195" s="46">
        <v>2.17254260076635</v>
      </c>
    </row>
    <row r="1196" spans="1:24" s="4" customFormat="1" ht="15" customHeight="1">
      <c r="A1196" s="28" t="s">
        <v>3019</v>
      </c>
      <c r="B1196" s="29">
        <v>3196.165</v>
      </c>
      <c r="C1196" s="30" t="s">
        <v>3346</v>
      </c>
      <c r="D1196" s="2">
        <v>4951348225</v>
      </c>
      <c r="E1196" s="2" t="s">
        <v>14</v>
      </c>
      <c r="F1196" s="2" t="s">
        <v>3347</v>
      </c>
      <c r="G1196" s="28" t="s">
        <v>5</v>
      </c>
      <c r="H1196" s="2" t="s">
        <v>17</v>
      </c>
      <c r="I1196" s="2">
        <v>1</v>
      </c>
      <c r="J1196" s="2" t="s">
        <v>3348</v>
      </c>
      <c r="K1196" s="2">
        <v>7668</v>
      </c>
      <c r="L1196" s="35">
        <v>24508193.219999999</v>
      </c>
      <c r="M1196" s="36">
        <v>2700</v>
      </c>
      <c r="N1196" s="40">
        <v>70092.565789473694</v>
      </c>
      <c r="O1196" s="48">
        <v>50415.868421052597</v>
      </c>
      <c r="P1196" s="40">
        <v>40887.276315789502</v>
      </c>
      <c r="Q1196" s="48">
        <v>13026.3157894737</v>
      </c>
      <c r="R1196" s="40">
        <v>206015.97807017501</v>
      </c>
      <c r="S1196" s="40">
        <v>76155.4561403509</v>
      </c>
      <c r="T1196" s="40">
        <v>30000</v>
      </c>
      <c r="U1196" s="40">
        <v>1222646.7105263199</v>
      </c>
      <c r="V1196" s="40">
        <v>0</v>
      </c>
      <c r="W1196" s="45">
        <v>1709240.1710526401</v>
      </c>
      <c r="X1196" s="46">
        <v>6.9741582160279503</v>
      </c>
    </row>
    <row r="1197" spans="1:24" s="4" customFormat="1" ht="15" customHeight="1">
      <c r="A1197" s="28" t="s">
        <v>3019</v>
      </c>
      <c r="B1197" s="29">
        <v>3196.165</v>
      </c>
      <c r="C1197" s="30" t="s">
        <v>3346</v>
      </c>
      <c r="D1197" s="2">
        <v>4951647403</v>
      </c>
      <c r="E1197" s="2" t="s">
        <v>14</v>
      </c>
      <c r="F1197" s="2" t="s">
        <v>3347</v>
      </c>
      <c r="G1197" s="28" t="s">
        <v>5</v>
      </c>
      <c r="H1197" s="2" t="s">
        <v>17</v>
      </c>
      <c r="I1197" s="2">
        <v>1</v>
      </c>
      <c r="J1197" s="2" t="s">
        <v>3348</v>
      </c>
      <c r="K1197" s="2">
        <v>407.7</v>
      </c>
      <c r="L1197" s="35">
        <v>1303076.4705000001</v>
      </c>
      <c r="M1197" s="36">
        <v>30</v>
      </c>
      <c r="N1197" s="40">
        <v>38622.434210526299</v>
      </c>
      <c r="O1197" s="48">
        <v>560.17631578947396</v>
      </c>
      <c r="P1197" s="40">
        <v>22529.723684210501</v>
      </c>
      <c r="Q1197" s="48">
        <v>144.73684210526301</v>
      </c>
      <c r="R1197" s="40">
        <v>113518.355263158</v>
      </c>
      <c r="S1197" s="40">
        <v>41963.210526315801</v>
      </c>
      <c r="T1197" s="40">
        <v>30000</v>
      </c>
      <c r="U1197" s="40">
        <v>673703.28947368404</v>
      </c>
      <c r="V1197" s="40">
        <v>0</v>
      </c>
      <c r="W1197" s="45">
        <v>921041.92631578899</v>
      </c>
      <c r="X1197" s="46">
        <v>70.682108622710302</v>
      </c>
    </row>
    <row r="1198" spans="1:24" s="4" customFormat="1" ht="15" customHeight="1">
      <c r="A1198" s="28" t="s">
        <v>3019</v>
      </c>
      <c r="B1198" s="29">
        <v>3196.165</v>
      </c>
      <c r="C1198" s="30" t="s">
        <v>3346</v>
      </c>
      <c r="D1198" s="2">
        <v>4950757116</v>
      </c>
      <c r="E1198" s="2" t="s">
        <v>14</v>
      </c>
      <c r="F1198" s="2" t="s">
        <v>3347</v>
      </c>
      <c r="G1198" s="28" t="s">
        <v>5</v>
      </c>
      <c r="H1198" s="2" t="s">
        <v>17</v>
      </c>
      <c r="I1198" s="2">
        <v>1</v>
      </c>
      <c r="J1198" s="2" t="s">
        <v>3348</v>
      </c>
      <c r="K1198" s="2">
        <v>5310</v>
      </c>
      <c r="L1198" s="35">
        <v>16971636.149999999</v>
      </c>
      <c r="M1198" s="36">
        <v>1800</v>
      </c>
      <c r="N1198" s="40">
        <v>429.13815789473699</v>
      </c>
      <c r="O1198" s="48">
        <v>33610.578947368398</v>
      </c>
      <c r="P1198" s="40">
        <v>250.33026315789499</v>
      </c>
      <c r="Q1198" s="48">
        <v>8684.21052631579</v>
      </c>
      <c r="R1198" s="40">
        <v>1261.7039473684199</v>
      </c>
      <c r="S1198" s="40">
        <v>466.25789473684199</v>
      </c>
      <c r="T1198" s="40">
        <v>30000</v>
      </c>
      <c r="U1198" s="40">
        <v>7485.5921052631602</v>
      </c>
      <c r="V1198" s="40">
        <v>0</v>
      </c>
      <c r="W1198" s="45">
        <v>82187.811842105293</v>
      </c>
      <c r="X1198" s="46">
        <v>0.484265695515192</v>
      </c>
    </row>
    <row r="1199" spans="1:24" s="4" customFormat="1" ht="15" customHeight="1">
      <c r="A1199" s="28" t="s">
        <v>3019</v>
      </c>
      <c r="B1199" s="29">
        <v>3196.165</v>
      </c>
      <c r="C1199" s="30" t="s">
        <v>3346</v>
      </c>
      <c r="D1199" s="2">
        <v>4951050405</v>
      </c>
      <c r="E1199" s="2" t="s">
        <v>14</v>
      </c>
      <c r="F1199" s="2" t="s">
        <v>3347</v>
      </c>
      <c r="G1199" s="28" t="s">
        <v>5</v>
      </c>
      <c r="H1199" s="2" t="s">
        <v>17</v>
      </c>
      <c r="I1199" s="2">
        <v>1</v>
      </c>
      <c r="J1199" s="2" t="s">
        <v>3348</v>
      </c>
      <c r="K1199" s="2">
        <v>2115.6</v>
      </c>
      <c r="L1199" s="35">
        <v>6761806.6739999996</v>
      </c>
      <c r="M1199" s="36">
        <v>410</v>
      </c>
      <c r="N1199" s="40">
        <v>25748.289473684199</v>
      </c>
      <c r="O1199" s="48">
        <v>7655.7429824561405</v>
      </c>
      <c r="P1199" s="40">
        <v>15019.8157894737</v>
      </c>
      <c r="Q1199" s="48">
        <v>1978.0701754386</v>
      </c>
      <c r="R1199" s="40">
        <v>75649.236842105296</v>
      </c>
      <c r="S1199" s="40">
        <v>27975.473684210501</v>
      </c>
      <c r="T1199" s="40">
        <v>30000</v>
      </c>
      <c r="U1199" s="40">
        <v>449135.52631578897</v>
      </c>
      <c r="V1199" s="40">
        <v>0</v>
      </c>
      <c r="W1199" s="45">
        <v>633162.15526315698</v>
      </c>
      <c r="X1199" s="46">
        <v>9.3638015073359906</v>
      </c>
    </row>
    <row r="1200" spans="1:24" s="4" customFormat="1" ht="15" customHeight="1">
      <c r="A1200" s="28" t="s">
        <v>3019</v>
      </c>
      <c r="B1200" s="29">
        <v>3196.165</v>
      </c>
      <c r="C1200" s="30" t="s">
        <v>3346</v>
      </c>
      <c r="D1200" s="2">
        <v>4951438973</v>
      </c>
      <c r="E1200" s="2" t="s">
        <v>14</v>
      </c>
      <c r="F1200" s="2" t="s">
        <v>3347</v>
      </c>
      <c r="G1200" s="28" t="s">
        <v>5</v>
      </c>
      <c r="H1200" s="2" t="s">
        <v>17</v>
      </c>
      <c r="I1200" s="2">
        <v>1</v>
      </c>
      <c r="J1200" s="2" t="s">
        <v>3348</v>
      </c>
      <c r="K1200" s="2">
        <v>18432</v>
      </c>
      <c r="L1200" s="35">
        <v>58911713.280000001</v>
      </c>
      <c r="M1200" s="36">
        <v>6400</v>
      </c>
      <c r="N1200" s="40">
        <v>5864.8881578947403</v>
      </c>
      <c r="O1200" s="48">
        <v>119504.280701754</v>
      </c>
      <c r="P1200" s="40">
        <v>3421.1802631578898</v>
      </c>
      <c r="Q1200" s="48">
        <v>30877.192982456101</v>
      </c>
      <c r="R1200" s="40">
        <v>17237.620614035099</v>
      </c>
      <c r="S1200" s="40">
        <v>6372.1912280701799</v>
      </c>
      <c r="T1200" s="40">
        <v>30000</v>
      </c>
      <c r="U1200" s="40">
        <v>102303.092105263</v>
      </c>
      <c r="V1200" s="40">
        <v>0</v>
      </c>
      <c r="W1200" s="45">
        <v>315580.44605263101</v>
      </c>
      <c r="X1200" s="46">
        <v>0.53568370105401097</v>
      </c>
    </row>
    <row r="1201" spans="1:24" s="4" customFormat="1" ht="15" customHeight="1">
      <c r="A1201" s="28" t="s">
        <v>3019</v>
      </c>
      <c r="B1201" s="29">
        <v>3196.165</v>
      </c>
      <c r="C1201" s="30" t="s">
        <v>3362</v>
      </c>
      <c r="D1201" s="2">
        <v>4951460381</v>
      </c>
      <c r="E1201" s="2" t="s">
        <v>14</v>
      </c>
      <c r="F1201" s="2" t="s">
        <v>3363</v>
      </c>
      <c r="G1201" s="28" t="s">
        <v>9</v>
      </c>
      <c r="H1201" s="2" t="s">
        <v>23</v>
      </c>
      <c r="I1201" s="2">
        <v>2</v>
      </c>
      <c r="J1201" s="2"/>
      <c r="K1201" s="2">
        <v>5290.9</v>
      </c>
      <c r="L1201" s="35">
        <v>16910589.398499999</v>
      </c>
      <c r="M1201" s="36">
        <v>1632</v>
      </c>
      <c r="N1201" s="40">
        <v>685096</v>
      </c>
      <c r="O1201" s="40">
        <v>1181</v>
      </c>
      <c r="P1201" s="40">
        <v>0</v>
      </c>
      <c r="Q1201" s="40">
        <v>29043</v>
      </c>
      <c r="R1201" s="40">
        <v>119718</v>
      </c>
      <c r="S1201" s="40">
        <v>354356</v>
      </c>
      <c r="T1201" s="40">
        <v>30000</v>
      </c>
      <c r="U1201" s="40">
        <v>252200</v>
      </c>
      <c r="V1201" s="40">
        <v>0</v>
      </c>
      <c r="W1201" s="45">
        <v>1471594</v>
      </c>
      <c r="X1201" s="46">
        <v>8.7022040765210296</v>
      </c>
    </row>
    <row r="1202" spans="1:24" s="4" customFormat="1" ht="15" customHeight="1">
      <c r="A1202" s="28" t="s">
        <v>3019</v>
      </c>
      <c r="B1202" s="29">
        <v>3196.165</v>
      </c>
      <c r="C1202" s="30" t="s">
        <v>3366</v>
      </c>
      <c r="D1202" s="2">
        <v>4951595834</v>
      </c>
      <c r="E1202" s="2" t="s">
        <v>14</v>
      </c>
      <c r="F1202" s="2" t="s">
        <v>3367</v>
      </c>
      <c r="G1202" s="28" t="s">
        <v>5</v>
      </c>
      <c r="H1202" s="2" t="s">
        <v>20</v>
      </c>
      <c r="I1202" s="2">
        <v>1</v>
      </c>
      <c r="J1202" s="2" t="s">
        <v>3368</v>
      </c>
      <c r="K1202" s="2">
        <v>49060.800000000003</v>
      </c>
      <c r="L1202" s="35">
        <v>156806411.83199999</v>
      </c>
      <c r="M1202" s="36">
        <v>480</v>
      </c>
      <c r="N1202" s="40">
        <v>381967</v>
      </c>
      <c r="O1202" s="40">
        <v>324522</v>
      </c>
      <c r="P1202" s="40">
        <v>213081</v>
      </c>
      <c r="Q1202" s="40">
        <v>110000</v>
      </c>
      <c r="R1202" s="40">
        <v>629325</v>
      </c>
      <c r="S1202" s="40">
        <v>354356</v>
      </c>
      <c r="T1202" s="40">
        <v>30000</v>
      </c>
      <c r="U1202" s="40">
        <v>2619000</v>
      </c>
      <c r="V1202" s="40">
        <v>0</v>
      </c>
      <c r="W1202" s="45">
        <v>4662251</v>
      </c>
      <c r="X1202" s="46">
        <v>2.9732527806293199</v>
      </c>
    </row>
    <row r="1203" spans="1:24" s="4" customFormat="1" ht="15" customHeight="1">
      <c r="A1203" s="28" t="s">
        <v>3019</v>
      </c>
      <c r="B1203" s="29">
        <v>3196.165</v>
      </c>
      <c r="C1203" s="30" t="s">
        <v>3372</v>
      </c>
      <c r="D1203" s="2">
        <v>4951726527</v>
      </c>
      <c r="E1203" s="2" t="s">
        <v>14</v>
      </c>
      <c r="F1203" s="2" t="s">
        <v>3373</v>
      </c>
      <c r="G1203" s="28" t="s">
        <v>5</v>
      </c>
      <c r="H1203" s="2" t="s">
        <v>20</v>
      </c>
      <c r="I1203" s="2">
        <v>1</v>
      </c>
      <c r="J1203" s="2" t="s">
        <v>3374</v>
      </c>
      <c r="K1203" s="2">
        <v>25447.5</v>
      </c>
      <c r="L1203" s="35">
        <v>81334408.837500006</v>
      </c>
      <c r="M1203" s="36">
        <v>17750</v>
      </c>
      <c r="N1203" s="40">
        <v>326145</v>
      </c>
      <c r="O1203" s="40">
        <v>324522</v>
      </c>
      <c r="P1203" s="40">
        <v>213081</v>
      </c>
      <c r="Q1203" s="40">
        <v>110000</v>
      </c>
      <c r="R1203" s="40">
        <v>551747</v>
      </c>
      <c r="S1203" s="40">
        <v>354356</v>
      </c>
      <c r="T1203" s="40">
        <v>30000</v>
      </c>
      <c r="U1203" s="40">
        <v>6404400</v>
      </c>
      <c r="V1203" s="40">
        <v>0</v>
      </c>
      <c r="W1203" s="45">
        <v>8314251</v>
      </c>
      <c r="X1203" s="46">
        <v>10.2223045803545</v>
      </c>
    </row>
    <row r="1204" spans="1:24" s="4" customFormat="1" ht="15" customHeight="1">
      <c r="A1204" s="28" t="s">
        <v>3019</v>
      </c>
      <c r="B1204" s="29">
        <v>3196.165</v>
      </c>
      <c r="C1204" s="30" t="s">
        <v>3379</v>
      </c>
      <c r="D1204" s="2">
        <v>4952024019</v>
      </c>
      <c r="E1204" s="2" t="s">
        <v>14</v>
      </c>
      <c r="F1204" s="78" t="s">
        <v>3380</v>
      </c>
      <c r="G1204" s="28" t="s">
        <v>13</v>
      </c>
      <c r="H1204" s="2" t="s">
        <v>23</v>
      </c>
      <c r="I1204" s="2">
        <v>1</v>
      </c>
      <c r="J1204" s="2"/>
      <c r="K1204" s="2">
        <v>773.4</v>
      </c>
      <c r="L1204" s="35">
        <v>2471914.0109999999</v>
      </c>
      <c r="M1204" s="36">
        <v>20</v>
      </c>
      <c r="N1204" s="40">
        <v>127974</v>
      </c>
      <c r="O1204" s="40">
        <v>0</v>
      </c>
      <c r="P1204" s="40">
        <v>0</v>
      </c>
      <c r="Q1204" s="40">
        <v>0</v>
      </c>
      <c r="R1204" s="40">
        <v>512</v>
      </c>
      <c r="S1204" s="40">
        <v>354356</v>
      </c>
      <c r="T1204" s="40">
        <v>30000</v>
      </c>
      <c r="U1204" s="40">
        <v>6194.3431803896901</v>
      </c>
      <c r="V1204" s="40">
        <v>0</v>
      </c>
      <c r="W1204" s="45">
        <v>519036.34318039002</v>
      </c>
      <c r="X1204" s="46">
        <v>20.997346221214901</v>
      </c>
    </row>
    <row r="1205" spans="1:24" s="4" customFormat="1" ht="15" customHeight="1">
      <c r="A1205" s="28" t="s">
        <v>3019</v>
      </c>
      <c r="B1205" s="29">
        <v>3196.165</v>
      </c>
      <c r="C1205" s="30" t="s">
        <v>3381</v>
      </c>
      <c r="D1205" s="2">
        <v>4951650351</v>
      </c>
      <c r="E1205" s="2" t="s">
        <v>14</v>
      </c>
      <c r="F1205" s="78" t="s">
        <v>3382</v>
      </c>
      <c r="G1205" s="28" t="s">
        <v>13</v>
      </c>
      <c r="H1205" s="2" t="s">
        <v>23</v>
      </c>
      <c r="I1205" s="2">
        <v>1</v>
      </c>
      <c r="J1205" s="2"/>
      <c r="K1205" s="2">
        <v>458.3</v>
      </c>
      <c r="L1205" s="35">
        <v>1464802.4195000001</v>
      </c>
      <c r="M1205" s="36">
        <v>10</v>
      </c>
      <c r="N1205" s="40">
        <v>295281</v>
      </c>
      <c r="O1205" s="40">
        <v>0</v>
      </c>
      <c r="P1205" s="40">
        <v>0</v>
      </c>
      <c r="Q1205" s="40">
        <v>0</v>
      </c>
      <c r="R1205" s="40">
        <v>1181</v>
      </c>
      <c r="S1205" s="40">
        <v>354356</v>
      </c>
      <c r="T1205" s="40">
        <v>30000</v>
      </c>
      <c r="U1205" s="40">
        <v>246380</v>
      </c>
      <c r="V1205" s="40">
        <v>0</v>
      </c>
      <c r="W1205" s="45">
        <v>927198</v>
      </c>
      <c r="X1205" s="46">
        <v>63.298502764386001</v>
      </c>
    </row>
    <row r="1206" spans="1:24" s="4" customFormat="1" ht="15" customHeight="1">
      <c r="A1206" s="28" t="s">
        <v>3019</v>
      </c>
      <c r="B1206" s="29">
        <v>3196.165</v>
      </c>
      <c r="C1206" s="30" t="s">
        <v>3383</v>
      </c>
      <c r="D1206" s="2">
        <v>4952026917</v>
      </c>
      <c r="E1206" s="2" t="s">
        <v>14</v>
      </c>
      <c r="F1206" s="78" t="s">
        <v>3384</v>
      </c>
      <c r="G1206" s="28" t="s">
        <v>13</v>
      </c>
      <c r="H1206" s="2" t="s">
        <v>23</v>
      </c>
      <c r="I1206" s="2">
        <v>4</v>
      </c>
      <c r="J1206" s="2"/>
      <c r="K1206" s="2">
        <v>14846.4</v>
      </c>
      <c r="L1206" s="35">
        <v>47451544.056000002</v>
      </c>
      <c r="M1206" s="36">
        <v>120</v>
      </c>
      <c r="N1206" s="40">
        <v>477990.933333333</v>
      </c>
      <c r="O1206" s="40">
        <v>0</v>
      </c>
      <c r="P1206" s="40">
        <v>0</v>
      </c>
      <c r="Q1206" s="40">
        <v>0</v>
      </c>
      <c r="R1206" s="40">
        <v>15021.2511671335</v>
      </c>
      <c r="S1206" s="40">
        <v>172049.59850606901</v>
      </c>
      <c r="T1206" s="40">
        <v>30000</v>
      </c>
      <c r="U1206" s="40">
        <v>80526.461345065996</v>
      </c>
      <c r="V1206" s="40">
        <v>0</v>
      </c>
      <c r="W1206" s="45">
        <v>775588.244351601</v>
      </c>
      <c r="X1206" s="46">
        <v>1.6344847354941501</v>
      </c>
    </row>
    <row r="1207" spans="1:24" s="4" customFormat="1" ht="15" customHeight="1">
      <c r="A1207" s="28" t="s">
        <v>3019</v>
      </c>
      <c r="B1207" s="29">
        <v>3196.165</v>
      </c>
      <c r="C1207" s="30" t="s">
        <v>3383</v>
      </c>
      <c r="D1207" s="2">
        <v>4952026918</v>
      </c>
      <c r="E1207" s="2" t="s">
        <v>14</v>
      </c>
      <c r="F1207" s="78" t="s">
        <v>3384</v>
      </c>
      <c r="G1207" s="28" t="s">
        <v>13</v>
      </c>
      <c r="H1207" s="2" t="s">
        <v>23</v>
      </c>
      <c r="I1207" s="2">
        <v>4</v>
      </c>
      <c r="J1207" s="2"/>
      <c r="K1207" s="2">
        <v>318.13</v>
      </c>
      <c r="L1207" s="35">
        <v>1016795.97145</v>
      </c>
      <c r="M1207" s="36">
        <v>0.5</v>
      </c>
      <c r="N1207" s="40">
        <v>919.21333333333303</v>
      </c>
      <c r="O1207" s="40">
        <v>0</v>
      </c>
      <c r="P1207" s="40">
        <v>0</v>
      </c>
      <c r="Q1207" s="40">
        <v>0</v>
      </c>
      <c r="R1207" s="40">
        <v>28.887021475256802</v>
      </c>
      <c r="S1207" s="40">
        <v>330.864612511671</v>
      </c>
      <c r="T1207" s="40">
        <v>30000</v>
      </c>
      <c r="U1207" s="40">
        <v>154.85857950974199</v>
      </c>
      <c r="V1207" s="40">
        <v>0</v>
      </c>
      <c r="W1207" s="45">
        <v>31433.823546830001</v>
      </c>
      <c r="X1207" s="46">
        <v>3.0914583091830998</v>
      </c>
    </row>
    <row r="1208" spans="1:24" s="4" customFormat="1" ht="15" customHeight="1">
      <c r="A1208" s="28" t="s">
        <v>3019</v>
      </c>
      <c r="B1208" s="29">
        <v>3196.165</v>
      </c>
      <c r="C1208" s="30" t="s">
        <v>3383</v>
      </c>
      <c r="D1208" s="2">
        <v>4952026919</v>
      </c>
      <c r="E1208" s="2" t="s">
        <v>14</v>
      </c>
      <c r="F1208" s="78" t="s">
        <v>3384</v>
      </c>
      <c r="G1208" s="28" t="s">
        <v>13</v>
      </c>
      <c r="H1208" s="2" t="s">
        <v>23</v>
      </c>
      <c r="I1208" s="2">
        <v>4</v>
      </c>
      <c r="J1208" s="2"/>
      <c r="K1208" s="2">
        <v>1510.4</v>
      </c>
      <c r="L1208" s="35">
        <v>4827487.6160000004</v>
      </c>
      <c r="M1208" s="36">
        <v>20</v>
      </c>
      <c r="N1208" s="40">
        <v>36768.533333333296</v>
      </c>
      <c r="O1208" s="40">
        <v>0</v>
      </c>
      <c r="P1208" s="40">
        <v>0</v>
      </c>
      <c r="Q1208" s="40">
        <v>0</v>
      </c>
      <c r="R1208" s="40">
        <v>1155.48085901027</v>
      </c>
      <c r="S1208" s="40">
        <v>13234.584500466901</v>
      </c>
      <c r="T1208" s="40">
        <v>30000</v>
      </c>
      <c r="U1208" s="40">
        <v>6194.3431803896901</v>
      </c>
      <c r="V1208" s="40">
        <v>0</v>
      </c>
      <c r="W1208" s="45">
        <v>87352.941873200194</v>
      </c>
      <c r="X1208" s="46">
        <v>1.80949075008876</v>
      </c>
    </row>
    <row r="1209" spans="1:24" s="4" customFormat="1" ht="15" customHeight="1">
      <c r="A1209" s="28" t="s">
        <v>3019</v>
      </c>
      <c r="B1209" s="29">
        <v>3196.165</v>
      </c>
      <c r="C1209" s="30" t="s">
        <v>3383</v>
      </c>
      <c r="D1209" s="2">
        <v>4952026920</v>
      </c>
      <c r="E1209" s="2" t="s">
        <v>14</v>
      </c>
      <c r="F1209" s="78" t="s">
        <v>3384</v>
      </c>
      <c r="G1209" s="28" t="s">
        <v>13</v>
      </c>
      <c r="H1209" s="2" t="s">
        <v>23</v>
      </c>
      <c r="I1209" s="2">
        <v>4</v>
      </c>
      <c r="J1209" s="2"/>
      <c r="K1209" s="2">
        <v>6940.8</v>
      </c>
      <c r="L1209" s="35">
        <v>22183942.032000002</v>
      </c>
      <c r="M1209" s="36">
        <v>90</v>
      </c>
      <c r="N1209" s="40">
        <v>165458.4</v>
      </c>
      <c r="O1209" s="40">
        <v>0</v>
      </c>
      <c r="P1209" s="40">
        <v>0</v>
      </c>
      <c r="Q1209" s="40">
        <v>0</v>
      </c>
      <c r="R1209" s="40">
        <v>5199.6638655462202</v>
      </c>
      <c r="S1209" s="40">
        <v>59555.630252100796</v>
      </c>
      <c r="T1209" s="40">
        <v>30000</v>
      </c>
      <c r="U1209" s="40">
        <v>27874.544311753602</v>
      </c>
      <c r="V1209" s="40">
        <v>0</v>
      </c>
      <c r="W1209" s="45">
        <v>288088.23842940101</v>
      </c>
      <c r="X1209" s="46">
        <v>1.29863411116851</v>
      </c>
    </row>
    <row r="1210" spans="1:24" s="4" customFormat="1" ht="15" customHeight="1">
      <c r="A1210" s="28" t="s">
        <v>3019</v>
      </c>
      <c r="B1210" s="29">
        <v>3196.165</v>
      </c>
      <c r="C1210" s="30" t="s">
        <v>3383</v>
      </c>
      <c r="D1210" s="2">
        <v>4952026921</v>
      </c>
      <c r="E1210" s="2" t="s">
        <v>14</v>
      </c>
      <c r="F1210" s="78" t="s">
        <v>3384</v>
      </c>
      <c r="G1210" s="28" t="s">
        <v>13</v>
      </c>
      <c r="H1210" s="2" t="s">
        <v>23</v>
      </c>
      <c r="I1210" s="2">
        <v>4</v>
      </c>
      <c r="J1210" s="2"/>
      <c r="K1210" s="2">
        <v>1939.05</v>
      </c>
      <c r="L1210" s="35">
        <v>6197523.7432500003</v>
      </c>
      <c r="M1210" s="36">
        <v>15</v>
      </c>
      <c r="N1210" s="40">
        <v>27576.400000000001</v>
      </c>
      <c r="O1210" s="40">
        <v>0</v>
      </c>
      <c r="P1210" s="40">
        <v>0</v>
      </c>
      <c r="Q1210" s="40">
        <v>0</v>
      </c>
      <c r="R1210" s="40">
        <v>866.61064425770303</v>
      </c>
      <c r="S1210" s="40">
        <v>9925.9383753501406</v>
      </c>
      <c r="T1210" s="40">
        <v>30000</v>
      </c>
      <c r="U1210" s="40">
        <v>4645.7573852922696</v>
      </c>
      <c r="V1210" s="40">
        <v>0</v>
      </c>
      <c r="W1210" s="45">
        <v>73014.706404900106</v>
      </c>
      <c r="X1210" s="46">
        <v>1.1781270944613</v>
      </c>
    </row>
    <row r="1211" spans="1:24" s="4" customFormat="1" ht="15" customHeight="1">
      <c r="A1211" s="28" t="s">
        <v>3019</v>
      </c>
      <c r="B1211" s="29">
        <v>3196.165</v>
      </c>
      <c r="C1211" s="30" t="s">
        <v>3383</v>
      </c>
      <c r="D1211" s="2">
        <v>4952026922</v>
      </c>
      <c r="E1211" s="2" t="s">
        <v>14</v>
      </c>
      <c r="F1211" s="78" t="s">
        <v>3384</v>
      </c>
      <c r="G1211" s="28" t="s">
        <v>13</v>
      </c>
      <c r="H1211" s="2" t="s">
        <v>23</v>
      </c>
      <c r="I1211" s="2">
        <v>4</v>
      </c>
      <c r="J1211" s="2"/>
      <c r="K1211" s="2">
        <v>7609.2</v>
      </c>
      <c r="L1211" s="35">
        <v>24320258.717999998</v>
      </c>
      <c r="M1211" s="36">
        <v>60</v>
      </c>
      <c r="N1211" s="40">
        <v>110305.60000000001</v>
      </c>
      <c r="O1211" s="40">
        <v>0</v>
      </c>
      <c r="P1211" s="40">
        <v>0</v>
      </c>
      <c r="Q1211" s="40">
        <v>0</v>
      </c>
      <c r="R1211" s="40">
        <v>3466.4425770308098</v>
      </c>
      <c r="S1211" s="40">
        <v>39703.753501400599</v>
      </c>
      <c r="T1211" s="40">
        <v>30000</v>
      </c>
      <c r="U1211" s="40">
        <v>18583.0295411691</v>
      </c>
      <c r="V1211" s="40">
        <v>0</v>
      </c>
      <c r="W1211" s="45">
        <v>202058.825619601</v>
      </c>
      <c r="X1211" s="46">
        <v>0.83082514854191103</v>
      </c>
    </row>
    <row r="1212" spans="1:24" s="4" customFormat="1" ht="15" customHeight="1">
      <c r="A1212" s="28" t="s">
        <v>3019</v>
      </c>
      <c r="B1212" s="29">
        <v>3196.165</v>
      </c>
      <c r="C1212" s="30" t="s">
        <v>3383</v>
      </c>
      <c r="D1212" s="2">
        <v>4952026924</v>
      </c>
      <c r="E1212" s="2" t="s">
        <v>14</v>
      </c>
      <c r="F1212" s="78" t="s">
        <v>3384</v>
      </c>
      <c r="G1212" s="28" t="s">
        <v>13</v>
      </c>
      <c r="H1212" s="2" t="s">
        <v>23</v>
      </c>
      <c r="I1212" s="2">
        <v>4</v>
      </c>
      <c r="J1212" s="2"/>
      <c r="K1212" s="2">
        <v>411.4</v>
      </c>
      <c r="L1212" s="35">
        <v>1314902.281</v>
      </c>
      <c r="M1212" s="36">
        <v>10</v>
      </c>
      <c r="N1212" s="40">
        <v>18384.266666666699</v>
      </c>
      <c r="O1212" s="40">
        <v>0</v>
      </c>
      <c r="P1212" s="40">
        <v>0</v>
      </c>
      <c r="Q1212" s="40">
        <v>0</v>
      </c>
      <c r="R1212" s="40">
        <v>577.74042950513501</v>
      </c>
      <c r="S1212" s="40">
        <v>6617.2922502334304</v>
      </c>
      <c r="T1212" s="40">
        <v>30000</v>
      </c>
      <c r="U1212" s="40">
        <v>3097.1715901948501</v>
      </c>
      <c r="V1212" s="40">
        <v>0</v>
      </c>
      <c r="W1212" s="45">
        <v>58676.470936600097</v>
      </c>
      <c r="X1212" s="46">
        <v>4.4624206516681904</v>
      </c>
    </row>
    <row r="1213" spans="1:24" s="4" customFormat="1" ht="15" customHeight="1">
      <c r="A1213" s="28" t="s">
        <v>3019</v>
      </c>
      <c r="B1213" s="29">
        <v>3196.165</v>
      </c>
      <c r="C1213" s="30" t="s">
        <v>3383</v>
      </c>
      <c r="D1213" s="2">
        <v>4952026929</v>
      </c>
      <c r="E1213" s="2" t="s">
        <v>14</v>
      </c>
      <c r="F1213" s="78" t="s">
        <v>3384</v>
      </c>
      <c r="G1213" s="28" t="s">
        <v>13</v>
      </c>
      <c r="H1213" s="2" t="s">
        <v>23</v>
      </c>
      <c r="I1213" s="2">
        <v>4</v>
      </c>
      <c r="J1213" s="2"/>
      <c r="K1213" s="2">
        <v>1551.3</v>
      </c>
      <c r="L1213" s="35">
        <v>4958210.7644999996</v>
      </c>
      <c r="M1213" s="36">
        <v>30</v>
      </c>
      <c r="N1213" s="40">
        <v>55152.800000000003</v>
      </c>
      <c r="O1213" s="40">
        <v>0</v>
      </c>
      <c r="P1213" s="40">
        <v>0</v>
      </c>
      <c r="Q1213" s="40">
        <v>0</v>
      </c>
      <c r="R1213" s="40">
        <v>1733.2212885154099</v>
      </c>
      <c r="S1213" s="40">
        <v>19851.876750700299</v>
      </c>
      <c r="T1213" s="40">
        <v>30000</v>
      </c>
      <c r="U1213" s="40">
        <v>9291.5147705845393</v>
      </c>
      <c r="V1213" s="40">
        <v>0</v>
      </c>
      <c r="W1213" s="45">
        <v>116029.41280979999</v>
      </c>
      <c r="X1213" s="46">
        <v>2.3401468457241101</v>
      </c>
    </row>
    <row r="1214" spans="1:24" s="4" customFormat="1" ht="15" customHeight="1">
      <c r="A1214" s="28" t="s">
        <v>3019</v>
      </c>
      <c r="B1214" s="29">
        <v>3196.165</v>
      </c>
      <c r="C1214" s="30" t="s">
        <v>3383</v>
      </c>
      <c r="D1214" s="2">
        <v>4952026930</v>
      </c>
      <c r="E1214" s="2" t="s">
        <v>14</v>
      </c>
      <c r="F1214" s="78" t="s">
        <v>3384</v>
      </c>
      <c r="G1214" s="28" t="s">
        <v>13</v>
      </c>
      <c r="H1214" s="2" t="s">
        <v>23</v>
      </c>
      <c r="I1214" s="2">
        <v>4</v>
      </c>
      <c r="J1214" s="2"/>
      <c r="K1214" s="2">
        <v>1786</v>
      </c>
      <c r="L1214" s="35">
        <v>5708350.6900000004</v>
      </c>
      <c r="M1214" s="36">
        <v>50</v>
      </c>
      <c r="N1214" s="40">
        <v>91921.333333333299</v>
      </c>
      <c r="O1214" s="40">
        <v>0</v>
      </c>
      <c r="P1214" s="40">
        <v>0</v>
      </c>
      <c r="Q1214" s="40">
        <v>0</v>
      </c>
      <c r="R1214" s="40">
        <v>2888.7021475256802</v>
      </c>
      <c r="S1214" s="40">
        <v>33086.4612511671</v>
      </c>
      <c r="T1214" s="40">
        <v>30000</v>
      </c>
      <c r="U1214" s="40">
        <v>15485.857950974199</v>
      </c>
      <c r="V1214" s="40">
        <v>0</v>
      </c>
      <c r="W1214" s="45">
        <v>173382.35468300001</v>
      </c>
      <c r="X1214" s="46">
        <v>3.03734588322919</v>
      </c>
    </row>
    <row r="1215" spans="1:24" s="4" customFormat="1" ht="15" customHeight="1">
      <c r="A1215" s="28" t="s">
        <v>3019</v>
      </c>
      <c r="B1215" s="29">
        <v>3196.165</v>
      </c>
      <c r="C1215" s="30" t="s">
        <v>3387</v>
      </c>
      <c r="D1215" s="2">
        <v>4951516178</v>
      </c>
      <c r="E1215" s="2" t="s">
        <v>14</v>
      </c>
      <c r="F1215" s="78" t="s">
        <v>3388</v>
      </c>
      <c r="G1215" s="28" t="s">
        <v>13</v>
      </c>
      <c r="H1215" s="2" t="s">
        <v>23</v>
      </c>
      <c r="I1215" s="2">
        <v>1</v>
      </c>
      <c r="J1215" s="2"/>
      <c r="K1215" s="2">
        <v>3396</v>
      </c>
      <c r="L1215" s="35">
        <v>10854176.34</v>
      </c>
      <c r="M1215" s="36">
        <v>200</v>
      </c>
      <c r="N1215" s="40">
        <v>480056.82</v>
      </c>
      <c r="O1215" s="40">
        <v>0</v>
      </c>
      <c r="P1215" s="40">
        <v>0</v>
      </c>
      <c r="Q1215" s="40">
        <v>0</v>
      </c>
      <c r="R1215" s="40">
        <v>1920</v>
      </c>
      <c r="S1215" s="40">
        <v>354356</v>
      </c>
      <c r="T1215" s="40">
        <v>30000</v>
      </c>
      <c r="U1215" s="40">
        <v>61943.4318038969</v>
      </c>
      <c r="V1215" s="40">
        <v>0</v>
      </c>
      <c r="W1215" s="45">
        <v>928276.25180389697</v>
      </c>
      <c r="X1215" s="46">
        <v>8.5522495924724993</v>
      </c>
    </row>
    <row r="1216" spans="1:24" s="4" customFormat="1" ht="15" customHeight="1">
      <c r="A1216" s="28" t="s">
        <v>3019</v>
      </c>
      <c r="B1216" s="29">
        <v>3196.165</v>
      </c>
      <c r="C1216" s="30" t="s">
        <v>3389</v>
      </c>
      <c r="D1216" s="2">
        <v>4952026923</v>
      </c>
      <c r="E1216" s="2" t="s">
        <v>14</v>
      </c>
      <c r="F1216" s="78" t="s">
        <v>3390</v>
      </c>
      <c r="G1216" s="28" t="s">
        <v>13</v>
      </c>
      <c r="H1216" s="2" t="s">
        <v>23</v>
      </c>
      <c r="I1216" s="2">
        <v>1</v>
      </c>
      <c r="J1216" s="2"/>
      <c r="K1216" s="2">
        <v>1178.8</v>
      </c>
      <c r="L1216" s="35">
        <v>3767639.3020000001</v>
      </c>
      <c r="M1216" s="36">
        <v>40</v>
      </c>
      <c r="N1216" s="40">
        <v>309414.57</v>
      </c>
      <c r="O1216" s="40">
        <v>0</v>
      </c>
      <c r="P1216" s="40">
        <v>0</v>
      </c>
      <c r="Q1216" s="40">
        <v>0</v>
      </c>
      <c r="R1216" s="40">
        <v>1238</v>
      </c>
      <c r="S1216" s="40">
        <v>354356</v>
      </c>
      <c r="T1216" s="40">
        <v>30000</v>
      </c>
      <c r="U1216" s="40">
        <v>12388.6863607794</v>
      </c>
      <c r="V1216" s="40">
        <v>0</v>
      </c>
      <c r="W1216" s="45">
        <v>707397.25636077998</v>
      </c>
      <c r="X1216" s="46">
        <v>18.775609862262201</v>
      </c>
    </row>
    <row r="1217" spans="1:24" s="4" customFormat="1" ht="15" customHeight="1">
      <c r="A1217" s="28" t="s">
        <v>3019</v>
      </c>
      <c r="B1217" s="29">
        <v>3196.165</v>
      </c>
      <c r="C1217" s="30" t="s">
        <v>3391</v>
      </c>
      <c r="D1217" s="2">
        <v>4950898139</v>
      </c>
      <c r="E1217" s="2" t="s">
        <v>14</v>
      </c>
      <c r="F1217" s="2" t="s">
        <v>3392</v>
      </c>
      <c r="G1217" s="28" t="s">
        <v>5</v>
      </c>
      <c r="H1217" s="2" t="s">
        <v>17</v>
      </c>
      <c r="I1217" s="2">
        <v>2</v>
      </c>
      <c r="J1217" s="2" t="s">
        <v>3393</v>
      </c>
      <c r="K1217" s="2">
        <v>136080</v>
      </c>
      <c r="L1217" s="35">
        <v>434934133.19999999</v>
      </c>
      <c r="M1217" s="36">
        <v>36000</v>
      </c>
      <c r="N1217" s="40">
        <v>652290</v>
      </c>
      <c r="O1217" s="40">
        <v>851469</v>
      </c>
      <c r="P1217" s="40">
        <v>0</v>
      </c>
      <c r="Q1217" s="40">
        <v>198619</v>
      </c>
      <c r="R1217" s="40">
        <v>1282574</v>
      </c>
      <c r="S1217" s="40">
        <v>354356</v>
      </c>
      <c r="T1217" s="40">
        <v>30000</v>
      </c>
      <c r="U1217" s="40">
        <v>10893100</v>
      </c>
      <c r="V1217" s="40">
        <v>0</v>
      </c>
      <c r="W1217" s="45">
        <v>14262408</v>
      </c>
      <c r="X1217" s="46">
        <v>3.2792110141058002</v>
      </c>
    </row>
    <row r="1218" spans="1:24" s="4" customFormat="1" ht="15" customHeight="1">
      <c r="A1218" s="28" t="s">
        <v>3019</v>
      </c>
      <c r="B1218" s="29">
        <v>3196.165</v>
      </c>
      <c r="C1218" s="30" t="s">
        <v>3396</v>
      </c>
      <c r="D1218" s="2">
        <v>4951798410</v>
      </c>
      <c r="E1218" s="2" t="s">
        <v>14</v>
      </c>
      <c r="F1218" s="2" t="s">
        <v>3397</v>
      </c>
      <c r="G1218" s="28" t="s">
        <v>5</v>
      </c>
      <c r="H1218" s="2" t="s">
        <v>35</v>
      </c>
      <c r="I1218" s="2">
        <v>1</v>
      </c>
      <c r="J1218" s="2" t="s">
        <v>3398</v>
      </c>
      <c r="K1218" s="2">
        <v>7113.6</v>
      </c>
      <c r="L1218" s="35">
        <v>22736239.344000001</v>
      </c>
      <c r="M1218" s="36">
        <v>1520</v>
      </c>
      <c r="N1218" s="40">
        <v>32191.378995433799</v>
      </c>
      <c r="O1218" s="48">
        <v>42212.373124592297</v>
      </c>
      <c r="P1218" s="40">
        <v>0</v>
      </c>
      <c r="Q1218" s="48">
        <v>10906.718851924301</v>
      </c>
      <c r="R1218" s="40">
        <v>153933.29810828401</v>
      </c>
      <c r="S1218" s="40">
        <v>35135.102413568202</v>
      </c>
      <c r="T1218" s="40">
        <v>30000</v>
      </c>
      <c r="U1218" s="40">
        <v>854729.81082844106</v>
      </c>
      <c r="V1218" s="40">
        <v>0</v>
      </c>
      <c r="W1218" s="45">
        <v>1159108.68232224</v>
      </c>
      <c r="X1218" s="46">
        <v>5.09806685610973</v>
      </c>
    </row>
    <row r="1219" spans="1:24" s="4" customFormat="1" ht="15" customHeight="1">
      <c r="A1219" s="28" t="s">
        <v>3019</v>
      </c>
      <c r="B1219" s="29">
        <v>3196.165</v>
      </c>
      <c r="C1219" s="30" t="s">
        <v>3396</v>
      </c>
      <c r="D1219" s="2">
        <v>4951798410</v>
      </c>
      <c r="E1219" s="2" t="s">
        <v>14</v>
      </c>
      <c r="F1219" s="2" t="s">
        <v>3397</v>
      </c>
      <c r="G1219" s="28" t="s">
        <v>5</v>
      </c>
      <c r="H1219" s="2" t="s">
        <v>35</v>
      </c>
      <c r="I1219" s="2">
        <v>1</v>
      </c>
      <c r="J1219" s="2" t="s">
        <v>3398</v>
      </c>
      <c r="K1219" s="2">
        <v>5871</v>
      </c>
      <c r="L1219" s="35">
        <v>18764684.715</v>
      </c>
      <c r="M1219" s="36">
        <v>300</v>
      </c>
      <c r="N1219" s="40">
        <v>6353.5616438356201</v>
      </c>
      <c r="O1219" s="48">
        <v>8331.3894324853209</v>
      </c>
      <c r="P1219" s="40">
        <v>0</v>
      </c>
      <c r="Q1219" s="48">
        <v>2152.6418786692798</v>
      </c>
      <c r="R1219" s="40">
        <v>30381.966731898199</v>
      </c>
      <c r="S1219" s="40">
        <v>6934.5596868884504</v>
      </c>
      <c r="T1219" s="40">
        <v>30000</v>
      </c>
      <c r="U1219" s="40">
        <v>168696.67318982401</v>
      </c>
      <c r="V1219" s="40">
        <v>0</v>
      </c>
      <c r="W1219" s="45">
        <v>252850.79256360099</v>
      </c>
      <c r="X1219" s="46">
        <v>1.3474822327362601</v>
      </c>
    </row>
    <row r="1220" spans="1:24" s="4" customFormat="1" ht="15" customHeight="1">
      <c r="A1220" s="28" t="s">
        <v>3019</v>
      </c>
      <c r="B1220" s="29">
        <v>3196.165</v>
      </c>
      <c r="C1220" s="30" t="s">
        <v>3396</v>
      </c>
      <c r="D1220" s="2">
        <v>4951798410</v>
      </c>
      <c r="E1220" s="2" t="s">
        <v>14</v>
      </c>
      <c r="F1220" s="2" t="s">
        <v>3397</v>
      </c>
      <c r="G1220" s="28" t="s">
        <v>5</v>
      </c>
      <c r="H1220" s="2" t="s">
        <v>35</v>
      </c>
      <c r="I1220" s="2">
        <v>1</v>
      </c>
      <c r="J1220" s="2" t="s">
        <v>3398</v>
      </c>
      <c r="K1220" s="2">
        <v>9930</v>
      </c>
      <c r="L1220" s="35">
        <v>31737918.449999999</v>
      </c>
      <c r="M1220" s="36">
        <v>300</v>
      </c>
      <c r="N1220" s="40">
        <v>6353.5616438356201</v>
      </c>
      <c r="O1220" s="48">
        <v>8331.3894324853209</v>
      </c>
      <c r="P1220" s="40">
        <v>0</v>
      </c>
      <c r="Q1220" s="48">
        <v>2152.6418786692798</v>
      </c>
      <c r="R1220" s="40">
        <v>30381.966731898199</v>
      </c>
      <c r="S1220" s="40">
        <v>6934.5596868884504</v>
      </c>
      <c r="T1220" s="40">
        <v>30000</v>
      </c>
      <c r="U1220" s="40">
        <v>168696.67318982401</v>
      </c>
      <c r="V1220" s="40">
        <v>0</v>
      </c>
      <c r="W1220" s="45">
        <v>252850.79256360099</v>
      </c>
      <c r="X1220" s="46">
        <v>0.79668360406793104</v>
      </c>
    </row>
    <row r="1221" spans="1:24" s="4" customFormat="1" ht="15" customHeight="1">
      <c r="A1221" s="28" t="s">
        <v>3019</v>
      </c>
      <c r="B1221" s="29">
        <v>3196.165</v>
      </c>
      <c r="C1221" s="30" t="s">
        <v>3396</v>
      </c>
      <c r="D1221" s="2">
        <v>4951874475</v>
      </c>
      <c r="E1221" s="2" t="s">
        <v>14</v>
      </c>
      <c r="F1221" s="2" t="s">
        <v>3397</v>
      </c>
      <c r="G1221" s="28" t="s">
        <v>5</v>
      </c>
      <c r="H1221" s="2" t="s">
        <v>35</v>
      </c>
      <c r="I1221" s="2">
        <v>1</v>
      </c>
      <c r="J1221" s="2" t="s">
        <v>3398</v>
      </c>
      <c r="K1221" s="2">
        <v>2755.2</v>
      </c>
      <c r="L1221" s="35">
        <v>8806073.8080000002</v>
      </c>
      <c r="M1221" s="36">
        <v>840</v>
      </c>
      <c r="N1221" s="40">
        <v>17789.972602739701</v>
      </c>
      <c r="O1221" s="48">
        <v>23327.890410958898</v>
      </c>
      <c r="P1221" s="40">
        <v>0</v>
      </c>
      <c r="Q1221" s="48">
        <v>6027.3972602739696</v>
      </c>
      <c r="R1221" s="40">
        <v>85068.506849315105</v>
      </c>
      <c r="S1221" s="40">
        <v>19416.7671232877</v>
      </c>
      <c r="T1221" s="40">
        <v>30000</v>
      </c>
      <c r="U1221" s="40">
        <v>472350.68493150698</v>
      </c>
      <c r="V1221" s="40">
        <v>0</v>
      </c>
      <c r="W1221" s="45">
        <v>653981.21917808196</v>
      </c>
      <c r="X1221" s="46">
        <v>7.4264789670961404</v>
      </c>
    </row>
    <row r="1222" spans="1:24" s="4" customFormat="1" ht="15" customHeight="1">
      <c r="A1222" s="28" t="s">
        <v>3019</v>
      </c>
      <c r="B1222" s="29">
        <v>3196.165</v>
      </c>
      <c r="C1222" s="30" t="s">
        <v>3396</v>
      </c>
      <c r="D1222" s="2">
        <v>4951874475</v>
      </c>
      <c r="E1222" s="2" t="s">
        <v>14</v>
      </c>
      <c r="F1222" s="2" t="s">
        <v>3397</v>
      </c>
      <c r="G1222" s="28" t="s">
        <v>5</v>
      </c>
      <c r="H1222" s="2" t="s">
        <v>35</v>
      </c>
      <c r="I1222" s="2">
        <v>1</v>
      </c>
      <c r="J1222" s="2" t="s">
        <v>3398</v>
      </c>
      <c r="K1222" s="2">
        <v>21504</v>
      </c>
      <c r="L1222" s="35">
        <v>68730332.159999996</v>
      </c>
      <c r="M1222" s="36">
        <v>2100</v>
      </c>
      <c r="N1222" s="40">
        <v>44474.931506849302</v>
      </c>
      <c r="O1222" s="48">
        <v>58319.726027397301</v>
      </c>
      <c r="P1222" s="40">
        <v>0</v>
      </c>
      <c r="Q1222" s="48">
        <v>15068.493150684901</v>
      </c>
      <c r="R1222" s="40">
        <v>212670.76712328801</v>
      </c>
      <c r="S1222" s="40">
        <v>48541.917808219201</v>
      </c>
      <c r="T1222" s="40">
        <v>30000</v>
      </c>
      <c r="U1222" s="40">
        <v>1180876.71232877</v>
      </c>
      <c r="V1222" s="40">
        <v>0</v>
      </c>
      <c r="W1222" s="45">
        <v>1589952.54794521</v>
      </c>
      <c r="X1222" s="46">
        <v>2.3133200407702001</v>
      </c>
    </row>
    <row r="1223" spans="1:24" s="4" customFormat="1" ht="15" customHeight="1">
      <c r="A1223" s="28" t="s">
        <v>3019</v>
      </c>
      <c r="B1223" s="29">
        <v>3196.165</v>
      </c>
      <c r="C1223" s="30" t="s">
        <v>3396</v>
      </c>
      <c r="D1223" s="2">
        <v>4951798442</v>
      </c>
      <c r="E1223" s="2" t="s">
        <v>14</v>
      </c>
      <c r="F1223" s="2" t="s">
        <v>3397</v>
      </c>
      <c r="G1223" s="28" t="s">
        <v>5</v>
      </c>
      <c r="H1223" s="2" t="s">
        <v>35</v>
      </c>
      <c r="I1223" s="2">
        <v>1</v>
      </c>
      <c r="J1223" s="2" t="s">
        <v>3398</v>
      </c>
      <c r="K1223" s="2">
        <v>693</v>
      </c>
      <c r="L1223" s="35">
        <v>2214942.3450000002</v>
      </c>
      <c r="M1223" s="36">
        <v>75</v>
      </c>
      <c r="N1223" s="40">
        <v>1588.3904109589</v>
      </c>
      <c r="O1223" s="48">
        <v>2082.8473581213302</v>
      </c>
      <c r="P1223" s="40">
        <v>0</v>
      </c>
      <c r="Q1223" s="48">
        <v>538.16046966731903</v>
      </c>
      <c r="R1223" s="40">
        <v>7595.7416829745598</v>
      </c>
      <c r="S1223" s="40">
        <v>1733.6399217221101</v>
      </c>
      <c r="T1223" s="40">
        <v>30000</v>
      </c>
      <c r="U1223" s="40">
        <v>42174.168297456003</v>
      </c>
      <c r="V1223" s="40">
        <v>0</v>
      </c>
      <c r="W1223" s="45">
        <v>85712.948140900204</v>
      </c>
      <c r="X1223" s="46">
        <v>3.8697597855938901</v>
      </c>
    </row>
    <row r="1224" spans="1:24" s="4" customFormat="1" ht="15" customHeight="1">
      <c r="A1224" s="28" t="s">
        <v>3019</v>
      </c>
      <c r="B1224" s="29">
        <v>3196.165</v>
      </c>
      <c r="C1224" s="30" t="s">
        <v>3396</v>
      </c>
      <c r="D1224" s="2">
        <v>4951517148</v>
      </c>
      <c r="E1224" s="2" t="s">
        <v>14</v>
      </c>
      <c r="F1224" s="2" t="s">
        <v>3397</v>
      </c>
      <c r="G1224" s="28" t="s">
        <v>5</v>
      </c>
      <c r="H1224" s="2" t="s">
        <v>35</v>
      </c>
      <c r="I1224" s="2">
        <v>1</v>
      </c>
      <c r="J1224" s="2" t="s">
        <v>3398</v>
      </c>
      <c r="K1224" s="2">
        <v>1782.5</v>
      </c>
      <c r="L1224" s="35">
        <v>5697164.1124999998</v>
      </c>
      <c r="M1224" s="36">
        <v>125</v>
      </c>
      <c r="N1224" s="40">
        <v>2647.3173515981698</v>
      </c>
      <c r="O1224" s="48">
        <v>3471.4122635355502</v>
      </c>
      <c r="P1224" s="40">
        <v>0</v>
      </c>
      <c r="Q1224" s="48">
        <v>896.93411611219801</v>
      </c>
      <c r="R1224" s="40">
        <v>12658.902804957601</v>
      </c>
      <c r="S1224" s="40">
        <v>2889.39986953686</v>
      </c>
      <c r="T1224" s="40">
        <v>30000</v>
      </c>
      <c r="U1224" s="40">
        <v>70290.2804957599</v>
      </c>
      <c r="V1224" s="40">
        <v>0</v>
      </c>
      <c r="W1224" s="45">
        <v>122854.2469015</v>
      </c>
      <c r="X1224" s="46">
        <v>2.15641053119655</v>
      </c>
    </row>
    <row r="1225" spans="1:24" s="4" customFormat="1" ht="15" customHeight="1">
      <c r="A1225" s="28" t="s">
        <v>3019</v>
      </c>
      <c r="B1225" s="29">
        <v>3196.165</v>
      </c>
      <c r="C1225" s="30" t="s">
        <v>3396</v>
      </c>
      <c r="D1225" s="2">
        <v>4951798410</v>
      </c>
      <c r="E1225" s="2" t="s">
        <v>14</v>
      </c>
      <c r="F1225" s="2" t="s">
        <v>3397</v>
      </c>
      <c r="G1225" s="28" t="s">
        <v>5</v>
      </c>
      <c r="H1225" s="2" t="s">
        <v>35</v>
      </c>
      <c r="I1225" s="2">
        <v>1</v>
      </c>
      <c r="J1225" s="2" t="s">
        <v>3398</v>
      </c>
      <c r="K1225" s="2">
        <v>3840</v>
      </c>
      <c r="L1225" s="35">
        <v>12273273.6</v>
      </c>
      <c r="M1225" s="36">
        <v>400</v>
      </c>
      <c r="N1225" s="40">
        <v>8471.4155251141492</v>
      </c>
      <c r="O1225" s="48">
        <v>11108.5192433138</v>
      </c>
      <c r="P1225" s="40">
        <v>0</v>
      </c>
      <c r="Q1225" s="48">
        <v>2870.18917155903</v>
      </c>
      <c r="R1225" s="40">
        <v>40508.2889758643</v>
      </c>
      <c r="S1225" s="40">
        <v>9246.0795825179393</v>
      </c>
      <c r="T1225" s="40">
        <v>30000</v>
      </c>
      <c r="U1225" s="40">
        <v>224928.89758643199</v>
      </c>
      <c r="V1225" s="40">
        <v>0</v>
      </c>
      <c r="W1225" s="45">
        <v>327133.39008480101</v>
      </c>
      <c r="X1225" s="46">
        <v>2.6654126742909199</v>
      </c>
    </row>
    <row r="1226" spans="1:24" s="4" customFormat="1" ht="15" customHeight="1">
      <c r="A1226" s="28" t="s">
        <v>3019</v>
      </c>
      <c r="B1226" s="29">
        <v>3196.165</v>
      </c>
      <c r="C1226" s="30" t="s">
        <v>3396</v>
      </c>
      <c r="D1226" s="2">
        <v>4951925599</v>
      </c>
      <c r="E1226" s="2" t="s">
        <v>14</v>
      </c>
      <c r="F1226" s="2" t="s">
        <v>3397</v>
      </c>
      <c r="G1226" s="28" t="s">
        <v>5</v>
      </c>
      <c r="H1226" s="2" t="s">
        <v>35</v>
      </c>
      <c r="I1226" s="2">
        <v>1</v>
      </c>
      <c r="J1226" s="2" t="s">
        <v>3398</v>
      </c>
      <c r="K1226" s="2">
        <v>238.8</v>
      </c>
      <c r="L1226" s="35">
        <v>763244.20200000005</v>
      </c>
      <c r="M1226" s="36">
        <v>20</v>
      </c>
      <c r="N1226" s="40">
        <v>423.57077625570798</v>
      </c>
      <c r="O1226" s="48">
        <v>555.42596216568802</v>
      </c>
      <c r="P1226" s="40">
        <v>0</v>
      </c>
      <c r="Q1226" s="48">
        <v>143.50945857795199</v>
      </c>
      <c r="R1226" s="40">
        <v>2025.4644487932201</v>
      </c>
      <c r="S1226" s="40">
        <v>462.303979125897</v>
      </c>
      <c r="T1226" s="40">
        <v>30000</v>
      </c>
      <c r="U1226" s="40">
        <v>11246.4448793216</v>
      </c>
      <c r="V1226" s="40">
        <v>0</v>
      </c>
      <c r="W1226" s="45">
        <v>44856.7195042401</v>
      </c>
      <c r="X1226" s="46">
        <v>5.8771123824718003</v>
      </c>
    </row>
    <row r="1227" spans="1:24" s="4" customFormat="1" ht="15" customHeight="1">
      <c r="A1227" s="28" t="s">
        <v>3019</v>
      </c>
      <c r="B1227" s="29">
        <v>3196.165</v>
      </c>
      <c r="C1227" s="30" t="s">
        <v>3396</v>
      </c>
      <c r="D1227" s="2">
        <v>4951928351</v>
      </c>
      <c r="E1227" s="2" t="s">
        <v>14</v>
      </c>
      <c r="F1227" s="2" t="s">
        <v>3397</v>
      </c>
      <c r="G1227" s="28" t="s">
        <v>5</v>
      </c>
      <c r="H1227" s="2" t="s">
        <v>35</v>
      </c>
      <c r="I1227" s="2">
        <v>1</v>
      </c>
      <c r="J1227" s="2" t="s">
        <v>3398</v>
      </c>
      <c r="K1227" s="2">
        <v>13174</v>
      </c>
      <c r="L1227" s="35">
        <v>42106277.710000001</v>
      </c>
      <c r="M1227" s="36">
        <v>350</v>
      </c>
      <c r="N1227" s="40">
        <v>7412.4885844748896</v>
      </c>
      <c r="O1227" s="48">
        <v>9719.9543378995404</v>
      </c>
      <c r="P1227" s="40">
        <v>0</v>
      </c>
      <c r="Q1227" s="48">
        <v>2511.4155251141601</v>
      </c>
      <c r="R1227" s="40">
        <v>29445.127853881299</v>
      </c>
      <c r="S1227" s="40">
        <v>8090.3196347031999</v>
      </c>
      <c r="T1227" s="40">
        <v>30000</v>
      </c>
      <c r="U1227" s="40">
        <v>196812.78538812799</v>
      </c>
      <c r="V1227" s="40">
        <v>0</v>
      </c>
      <c r="W1227" s="45">
        <v>283992.09132420103</v>
      </c>
      <c r="X1227" s="46">
        <v>0.67446496524852995</v>
      </c>
    </row>
    <row r="1228" spans="1:24" s="4" customFormat="1" ht="15" customHeight="1">
      <c r="A1228" s="28" t="s">
        <v>3019</v>
      </c>
      <c r="B1228" s="29">
        <v>3196.165</v>
      </c>
      <c r="C1228" s="30" t="s">
        <v>3396</v>
      </c>
      <c r="D1228" s="2">
        <v>4951928351</v>
      </c>
      <c r="E1228" s="2" t="s">
        <v>14</v>
      </c>
      <c r="F1228" s="2" t="s">
        <v>3397</v>
      </c>
      <c r="G1228" s="28" t="s">
        <v>5</v>
      </c>
      <c r="H1228" s="2" t="s">
        <v>35</v>
      </c>
      <c r="I1228" s="2">
        <v>1</v>
      </c>
      <c r="J1228" s="2" t="s">
        <v>3398</v>
      </c>
      <c r="K1228" s="2">
        <v>1087.2</v>
      </c>
      <c r="L1228" s="35">
        <v>3474870.588</v>
      </c>
      <c r="M1228" s="36">
        <v>80</v>
      </c>
      <c r="N1228" s="40">
        <v>1694.2831050228299</v>
      </c>
      <c r="O1228" s="48">
        <v>2221.7038486627498</v>
      </c>
      <c r="P1228" s="40">
        <v>0</v>
      </c>
      <c r="Q1228" s="48">
        <v>574.03783431180705</v>
      </c>
      <c r="R1228" s="40">
        <v>8101.8577951728603</v>
      </c>
      <c r="S1228" s="40">
        <v>1849.2159165035901</v>
      </c>
      <c r="T1228" s="40">
        <v>30000</v>
      </c>
      <c r="U1228" s="40">
        <v>44985.779517286399</v>
      </c>
      <c r="V1228" s="40">
        <v>0</v>
      </c>
      <c r="W1228" s="45">
        <v>89426.878016960196</v>
      </c>
      <c r="X1228" s="46">
        <v>2.5735311791404301</v>
      </c>
    </row>
    <row r="1229" spans="1:24" s="4" customFormat="1" ht="15" customHeight="1">
      <c r="A1229" s="28" t="s">
        <v>3019</v>
      </c>
      <c r="B1229" s="29">
        <v>3196.165</v>
      </c>
      <c r="C1229" s="30" t="s">
        <v>3396</v>
      </c>
      <c r="D1229" s="2">
        <v>4951928351</v>
      </c>
      <c r="E1229" s="2" t="s">
        <v>14</v>
      </c>
      <c r="F1229" s="2" t="s">
        <v>3397</v>
      </c>
      <c r="G1229" s="28" t="s">
        <v>5</v>
      </c>
      <c r="H1229" s="2" t="s">
        <v>35</v>
      </c>
      <c r="I1229" s="2">
        <v>1</v>
      </c>
      <c r="J1229" s="2" t="s">
        <v>3398</v>
      </c>
      <c r="K1229" s="2">
        <v>618</v>
      </c>
      <c r="L1229" s="35">
        <v>1975229.97</v>
      </c>
      <c r="M1229" s="36">
        <v>100</v>
      </c>
      <c r="N1229" s="40">
        <v>2117.85388127854</v>
      </c>
      <c r="O1229" s="48">
        <v>2777.12981082844</v>
      </c>
      <c r="P1229" s="40">
        <v>0</v>
      </c>
      <c r="Q1229" s="48">
        <v>717.54729288975898</v>
      </c>
      <c r="R1229" s="40">
        <v>9827.3222439660804</v>
      </c>
      <c r="S1229" s="40">
        <v>2311.5198956294798</v>
      </c>
      <c r="T1229" s="40">
        <v>30000</v>
      </c>
      <c r="U1229" s="40">
        <v>56232.224396607999</v>
      </c>
      <c r="V1229" s="40">
        <v>0</v>
      </c>
      <c r="W1229" s="45">
        <v>103983.5975212</v>
      </c>
      <c r="X1229" s="46">
        <v>5.2643792925641097</v>
      </c>
    </row>
    <row r="1230" spans="1:24" s="4" customFormat="1" ht="15" customHeight="1">
      <c r="A1230" s="28" t="s">
        <v>3019</v>
      </c>
      <c r="B1230" s="29">
        <v>3196.165</v>
      </c>
      <c r="C1230" s="30" t="s">
        <v>3396</v>
      </c>
      <c r="D1230" s="2">
        <v>4951726543</v>
      </c>
      <c r="E1230" s="2" t="s">
        <v>14</v>
      </c>
      <c r="F1230" s="2" t="s">
        <v>3397</v>
      </c>
      <c r="G1230" s="28" t="s">
        <v>5</v>
      </c>
      <c r="H1230" s="2" t="s">
        <v>35</v>
      </c>
      <c r="I1230" s="2">
        <v>1</v>
      </c>
      <c r="J1230" s="2" t="s">
        <v>3398</v>
      </c>
      <c r="K1230" s="2">
        <v>3432</v>
      </c>
      <c r="L1230" s="35">
        <v>10969238.279999999</v>
      </c>
      <c r="M1230" s="36">
        <v>880</v>
      </c>
      <c r="N1230" s="40">
        <v>18637.1141552511</v>
      </c>
      <c r="O1230" s="48">
        <v>24438.742335290299</v>
      </c>
      <c r="P1230" s="40">
        <v>0</v>
      </c>
      <c r="Q1230" s="48">
        <v>6314.41617742988</v>
      </c>
      <c r="R1230" s="40">
        <v>89119.435746901494</v>
      </c>
      <c r="S1230" s="40">
        <v>20341.3750815395</v>
      </c>
      <c r="T1230" s="40">
        <v>30000</v>
      </c>
      <c r="U1230" s="40">
        <v>494843.57469014998</v>
      </c>
      <c r="V1230" s="40">
        <v>0</v>
      </c>
      <c r="W1230" s="45">
        <v>683694.65818656201</v>
      </c>
      <c r="X1230" s="46">
        <v>6.2328362347012698</v>
      </c>
    </row>
    <row r="1231" spans="1:24" s="4" customFormat="1" ht="15" customHeight="1">
      <c r="A1231" s="28" t="s">
        <v>3019</v>
      </c>
      <c r="B1231" s="29">
        <v>3196.165</v>
      </c>
      <c r="C1231" s="30" t="s">
        <v>3396</v>
      </c>
      <c r="D1231" s="2">
        <v>4951325262</v>
      </c>
      <c r="E1231" s="2" t="s">
        <v>14</v>
      </c>
      <c r="F1231" s="2" t="s">
        <v>3397</v>
      </c>
      <c r="G1231" s="28" t="s">
        <v>5</v>
      </c>
      <c r="H1231" s="2" t="s">
        <v>35</v>
      </c>
      <c r="I1231" s="2">
        <v>1</v>
      </c>
      <c r="J1231" s="2" t="s">
        <v>3398</v>
      </c>
      <c r="K1231" s="2">
        <v>3165.2</v>
      </c>
      <c r="L1231" s="35">
        <v>10116501.458000001</v>
      </c>
      <c r="M1231" s="36">
        <v>820</v>
      </c>
      <c r="N1231" s="40">
        <v>17366.401826484002</v>
      </c>
      <c r="O1231" s="48">
        <v>22772.464448793198</v>
      </c>
      <c r="P1231" s="40">
        <v>0</v>
      </c>
      <c r="Q1231" s="48">
        <v>5883.8878016960198</v>
      </c>
      <c r="R1231" s="40">
        <v>83043.042400521896</v>
      </c>
      <c r="S1231" s="40">
        <v>18954.4631441618</v>
      </c>
      <c r="T1231" s="40">
        <v>30000</v>
      </c>
      <c r="U1231" s="40">
        <v>461104.24005218502</v>
      </c>
      <c r="V1231" s="40">
        <v>0</v>
      </c>
      <c r="W1231" s="45">
        <v>639124.49967384199</v>
      </c>
      <c r="X1231" s="46">
        <v>6.31764352851875</v>
      </c>
    </row>
    <row r="1232" spans="1:24" s="4" customFormat="1" ht="15" customHeight="1">
      <c r="A1232" s="28" t="s">
        <v>3019</v>
      </c>
      <c r="B1232" s="29">
        <v>3196.165</v>
      </c>
      <c r="C1232" s="30" t="s">
        <v>3396</v>
      </c>
      <c r="D1232" s="2">
        <v>4951356840</v>
      </c>
      <c r="E1232" s="2" t="s">
        <v>14</v>
      </c>
      <c r="F1232" s="2" t="s">
        <v>3397</v>
      </c>
      <c r="G1232" s="28" t="s">
        <v>5</v>
      </c>
      <c r="H1232" s="2" t="s">
        <v>35</v>
      </c>
      <c r="I1232" s="2">
        <v>1</v>
      </c>
      <c r="J1232" s="2" t="s">
        <v>3398</v>
      </c>
      <c r="K1232" s="2">
        <v>3024</v>
      </c>
      <c r="L1232" s="35">
        <v>9665202.9600000009</v>
      </c>
      <c r="M1232" s="36">
        <v>1260</v>
      </c>
      <c r="N1232" s="40">
        <v>26684.958904109601</v>
      </c>
      <c r="O1232" s="48">
        <v>34991.835616438402</v>
      </c>
      <c r="P1232" s="40">
        <v>0</v>
      </c>
      <c r="Q1232" s="48">
        <v>9041.0958904109593</v>
      </c>
      <c r="R1232" s="40">
        <v>127602.26027397301</v>
      </c>
      <c r="S1232" s="40">
        <v>29125.150684931501</v>
      </c>
      <c r="T1232" s="40">
        <v>30000</v>
      </c>
      <c r="U1232" s="40">
        <v>708526.02739725995</v>
      </c>
      <c r="V1232" s="40">
        <v>0</v>
      </c>
      <c r="W1232" s="45">
        <v>965971.32876712305</v>
      </c>
      <c r="X1232" s="46">
        <v>9.9943201685971008</v>
      </c>
    </row>
    <row r="1233" spans="1:24" s="4" customFormat="1" ht="15" customHeight="1">
      <c r="A1233" s="28" t="s">
        <v>3019</v>
      </c>
      <c r="B1233" s="29">
        <v>3196.165</v>
      </c>
      <c r="C1233" s="30" t="s">
        <v>3396</v>
      </c>
      <c r="D1233" s="2">
        <v>4951542148</v>
      </c>
      <c r="E1233" s="2" t="s">
        <v>14</v>
      </c>
      <c r="F1233" s="2" t="s">
        <v>3397</v>
      </c>
      <c r="G1233" s="28" t="s">
        <v>5</v>
      </c>
      <c r="H1233" s="2" t="s">
        <v>35</v>
      </c>
      <c r="I1233" s="2">
        <v>1</v>
      </c>
      <c r="J1233" s="2" t="s">
        <v>3398</v>
      </c>
      <c r="K1233" s="2">
        <v>5896</v>
      </c>
      <c r="L1233" s="35">
        <v>18844588.84</v>
      </c>
      <c r="M1233" s="36">
        <v>1760</v>
      </c>
      <c r="N1233" s="40">
        <v>37274.228310502302</v>
      </c>
      <c r="O1233" s="48">
        <v>48877.484670580598</v>
      </c>
      <c r="P1233" s="40">
        <v>0</v>
      </c>
      <c r="Q1233" s="48">
        <v>12628.8323548598</v>
      </c>
      <c r="R1233" s="40">
        <v>178778.87149380299</v>
      </c>
      <c r="S1233" s="40">
        <v>40682.750163078897</v>
      </c>
      <c r="T1233" s="40">
        <v>30000</v>
      </c>
      <c r="U1233" s="40">
        <v>989687.14938029996</v>
      </c>
      <c r="V1233" s="40">
        <v>0</v>
      </c>
      <c r="W1233" s="45">
        <v>1337929.3163731201</v>
      </c>
      <c r="X1233" s="46">
        <v>7.0998063567892897</v>
      </c>
    </row>
    <row r="1234" spans="1:24" s="4" customFormat="1" ht="15" customHeight="1">
      <c r="A1234" s="28" t="s">
        <v>3019</v>
      </c>
      <c r="B1234" s="29">
        <v>3196.165</v>
      </c>
      <c r="C1234" s="30" t="s">
        <v>3396</v>
      </c>
      <c r="D1234" s="2">
        <v>4951726531</v>
      </c>
      <c r="E1234" s="2" t="s">
        <v>14</v>
      </c>
      <c r="F1234" s="2" t="s">
        <v>3397</v>
      </c>
      <c r="G1234" s="28" t="s">
        <v>5</v>
      </c>
      <c r="H1234" s="2" t="s">
        <v>35</v>
      </c>
      <c r="I1234" s="2">
        <v>1</v>
      </c>
      <c r="J1234" s="2" t="s">
        <v>3398</v>
      </c>
      <c r="K1234" s="2">
        <v>14740</v>
      </c>
      <c r="L1234" s="35">
        <v>47111472.100000001</v>
      </c>
      <c r="M1234" s="36">
        <v>4400</v>
      </c>
      <c r="N1234" s="40">
        <v>93185.570776255699</v>
      </c>
      <c r="O1234" s="48">
        <v>122193.711676451</v>
      </c>
      <c r="P1234" s="40">
        <v>0</v>
      </c>
      <c r="Q1234" s="48">
        <v>31572.080887149401</v>
      </c>
      <c r="R1234" s="40">
        <v>445596.178734507</v>
      </c>
      <c r="S1234" s="40">
        <v>101706.87540769701</v>
      </c>
      <c r="T1234" s="40">
        <v>30000</v>
      </c>
      <c r="U1234" s="40">
        <v>2474217.87345075</v>
      </c>
      <c r="V1234" s="40">
        <v>0</v>
      </c>
      <c r="W1234" s="45">
        <v>3298472.2909328099</v>
      </c>
      <c r="X1234" s="46">
        <v>7.00142055406672</v>
      </c>
    </row>
    <row r="1235" spans="1:24" s="4" customFormat="1" ht="15" customHeight="1">
      <c r="A1235" s="28" t="s">
        <v>3019</v>
      </c>
      <c r="B1235" s="29">
        <v>3196.165</v>
      </c>
      <c r="C1235" s="30" t="s">
        <v>3399</v>
      </c>
      <c r="D1235" s="2">
        <v>4951356843</v>
      </c>
      <c r="E1235" s="2" t="s">
        <v>14</v>
      </c>
      <c r="F1235" s="2" t="s">
        <v>3400</v>
      </c>
      <c r="G1235" s="28" t="s">
        <v>5</v>
      </c>
      <c r="H1235" s="2" t="s">
        <v>17</v>
      </c>
      <c r="I1235" s="2">
        <v>1</v>
      </c>
      <c r="J1235" s="2" t="s">
        <v>3401</v>
      </c>
      <c r="K1235" s="2">
        <v>17073</v>
      </c>
      <c r="L1235" s="35">
        <v>54568125.045000002</v>
      </c>
      <c r="M1235" s="36">
        <v>6300</v>
      </c>
      <c r="N1235" s="40">
        <v>164790.52776819601</v>
      </c>
      <c r="O1235" s="48">
        <v>185037.888927216</v>
      </c>
      <c r="P1235" s="40">
        <v>0</v>
      </c>
      <c r="Q1235" s="48">
        <v>47809.589513625397</v>
      </c>
      <c r="R1235" s="40">
        <v>326982.86064160097</v>
      </c>
      <c r="S1235" s="40">
        <v>154014.680924457</v>
      </c>
      <c r="T1235" s="40">
        <v>30000</v>
      </c>
      <c r="U1235" s="40">
        <v>2367248.3615039699</v>
      </c>
      <c r="V1235" s="40">
        <v>0</v>
      </c>
      <c r="W1235" s="45">
        <v>3275883.9092790699</v>
      </c>
      <c r="X1235" s="46">
        <v>6.0032920438032003</v>
      </c>
    </row>
    <row r="1236" spans="1:24" s="4" customFormat="1" ht="15" customHeight="1">
      <c r="A1236" s="28" t="s">
        <v>3019</v>
      </c>
      <c r="B1236" s="29">
        <v>3196.165</v>
      </c>
      <c r="C1236" s="30" t="s">
        <v>3399</v>
      </c>
      <c r="D1236" s="2">
        <v>4951438975</v>
      </c>
      <c r="E1236" s="2" t="s">
        <v>14</v>
      </c>
      <c r="F1236" s="2" t="s">
        <v>3400</v>
      </c>
      <c r="G1236" s="28" t="s">
        <v>5</v>
      </c>
      <c r="H1236" s="2" t="s">
        <v>17</v>
      </c>
      <c r="I1236" s="2">
        <v>1</v>
      </c>
      <c r="J1236" s="2" t="s">
        <v>3401</v>
      </c>
      <c r="K1236" s="2">
        <v>9728</v>
      </c>
      <c r="L1236" s="35">
        <v>31092293.120000001</v>
      </c>
      <c r="M1236" s="36">
        <v>6400</v>
      </c>
      <c r="N1236" s="40">
        <v>167406.250431183</v>
      </c>
      <c r="O1236" s="48">
        <v>187974.99827526699</v>
      </c>
      <c r="P1236" s="40">
        <v>0</v>
      </c>
      <c r="Q1236" s="48">
        <v>48568.4718868575</v>
      </c>
      <c r="R1236" s="40">
        <v>332172.27112797502</v>
      </c>
      <c r="S1236" s="40">
        <v>156459.35839944801</v>
      </c>
      <c r="T1236" s="40">
        <v>30000</v>
      </c>
      <c r="U1236" s="40">
        <v>2404823.7323214901</v>
      </c>
      <c r="V1236" s="40">
        <v>0</v>
      </c>
      <c r="W1236" s="45">
        <v>3327405.0824422198</v>
      </c>
      <c r="X1236" s="46">
        <v>10.701703697440999</v>
      </c>
    </row>
    <row r="1237" spans="1:24" s="4" customFormat="1" ht="15" customHeight="1">
      <c r="A1237" s="28" t="s">
        <v>3019</v>
      </c>
      <c r="B1237" s="29">
        <v>3196.165</v>
      </c>
      <c r="C1237" s="30" t="s">
        <v>3399</v>
      </c>
      <c r="D1237" s="2">
        <v>4951438975</v>
      </c>
      <c r="E1237" s="2" t="s">
        <v>14</v>
      </c>
      <c r="F1237" s="2" t="s">
        <v>3400</v>
      </c>
      <c r="G1237" s="28" t="s">
        <v>5</v>
      </c>
      <c r="H1237" s="2" t="s">
        <v>17</v>
      </c>
      <c r="I1237" s="2">
        <v>1</v>
      </c>
      <c r="J1237" s="2" t="s">
        <v>3401</v>
      </c>
      <c r="K1237" s="2">
        <v>6584.6</v>
      </c>
      <c r="L1237" s="35">
        <v>21045468.059</v>
      </c>
      <c r="M1237" s="36">
        <v>820</v>
      </c>
      <c r="N1237" s="40">
        <v>21448.925836495298</v>
      </c>
      <c r="O1237" s="48">
        <v>24084.296654018599</v>
      </c>
      <c r="P1237" s="40">
        <v>0</v>
      </c>
      <c r="Q1237" s="48">
        <v>6222.8354605036202</v>
      </c>
      <c r="R1237" s="40">
        <v>42559.365988271798</v>
      </c>
      <c r="S1237" s="40">
        <v>20046.355294929301</v>
      </c>
      <c r="T1237" s="40">
        <v>30000</v>
      </c>
      <c r="U1237" s="40">
        <v>308118.04070369102</v>
      </c>
      <c r="V1237" s="40">
        <v>0</v>
      </c>
      <c r="W1237" s="45">
        <v>452479.81993791001</v>
      </c>
      <c r="X1237" s="46">
        <v>2.1500107228283198</v>
      </c>
    </row>
    <row r="1238" spans="1:24" s="4" customFormat="1" ht="15" customHeight="1">
      <c r="A1238" s="28" t="s">
        <v>3019</v>
      </c>
      <c r="B1238" s="29">
        <v>3196.165</v>
      </c>
      <c r="C1238" s="30" t="s">
        <v>3399</v>
      </c>
      <c r="D1238" s="2">
        <v>4951438975</v>
      </c>
      <c r="E1238" s="2" t="s">
        <v>14</v>
      </c>
      <c r="F1238" s="2" t="s">
        <v>3400</v>
      </c>
      <c r="G1238" s="28" t="s">
        <v>5</v>
      </c>
      <c r="H1238" s="2" t="s">
        <v>17</v>
      </c>
      <c r="I1238" s="2">
        <v>1</v>
      </c>
      <c r="J1238" s="2" t="s">
        <v>3401</v>
      </c>
      <c r="K1238" s="2">
        <v>2457</v>
      </c>
      <c r="L1238" s="35">
        <v>7852977.4050000003</v>
      </c>
      <c r="M1238" s="36">
        <v>525</v>
      </c>
      <c r="N1238" s="40">
        <v>13732.543980683</v>
      </c>
      <c r="O1238" s="48">
        <v>15419.824077268</v>
      </c>
      <c r="P1238" s="40">
        <v>0</v>
      </c>
      <c r="Q1238" s="48">
        <v>3984.1324594687799</v>
      </c>
      <c r="R1238" s="40">
        <v>27248.6550534667</v>
      </c>
      <c r="S1238" s="40">
        <v>12834.556743704699</v>
      </c>
      <c r="T1238" s="40">
        <v>30000</v>
      </c>
      <c r="U1238" s="40">
        <v>197270.696791997</v>
      </c>
      <c r="V1238" s="40">
        <v>0</v>
      </c>
      <c r="W1238" s="45">
        <v>300490.40910658799</v>
      </c>
      <c r="X1238" s="46">
        <v>3.8264519762309002</v>
      </c>
    </row>
    <row r="1239" spans="1:24" s="4" customFormat="1" ht="15" customHeight="1">
      <c r="A1239" s="28" t="s">
        <v>3019</v>
      </c>
      <c r="B1239" s="29">
        <v>3196.165</v>
      </c>
      <c r="C1239" s="30" t="s">
        <v>3399</v>
      </c>
      <c r="D1239" s="2">
        <v>4951241942</v>
      </c>
      <c r="E1239" s="2" t="s">
        <v>14</v>
      </c>
      <c r="F1239" s="2" t="s">
        <v>3400</v>
      </c>
      <c r="G1239" s="28" t="s">
        <v>5</v>
      </c>
      <c r="H1239" s="2" t="s">
        <v>17</v>
      </c>
      <c r="I1239" s="2">
        <v>1</v>
      </c>
      <c r="J1239" s="2" t="s">
        <v>3401</v>
      </c>
      <c r="K1239" s="2">
        <v>2043</v>
      </c>
      <c r="L1239" s="35">
        <v>6529765.0949999997</v>
      </c>
      <c r="M1239" s="36">
        <v>450</v>
      </c>
      <c r="N1239" s="40">
        <v>11770.7519834426</v>
      </c>
      <c r="O1239" s="48">
        <v>13216.992066229701</v>
      </c>
      <c r="P1239" s="40">
        <v>0</v>
      </c>
      <c r="Q1239" s="48">
        <v>3414.97067954467</v>
      </c>
      <c r="R1239" s="40">
        <v>23355.847188685799</v>
      </c>
      <c r="S1239" s="40">
        <v>11001.048637461199</v>
      </c>
      <c r="T1239" s="40">
        <v>30000</v>
      </c>
      <c r="U1239" s="40">
        <v>169089.168678855</v>
      </c>
      <c r="V1239" s="40">
        <v>0</v>
      </c>
      <c r="W1239" s="45">
        <v>261848.77923421899</v>
      </c>
      <c r="X1239" s="46">
        <v>4.0100796188629104</v>
      </c>
    </row>
    <row r="1240" spans="1:24" s="4" customFormat="1" ht="15" customHeight="1">
      <c r="A1240" s="28" t="s">
        <v>3019</v>
      </c>
      <c r="B1240" s="29">
        <v>3196.165</v>
      </c>
      <c r="C1240" s="30" t="s">
        <v>3405</v>
      </c>
      <c r="D1240" s="2">
        <v>4951726527</v>
      </c>
      <c r="E1240" s="2" t="s">
        <v>14</v>
      </c>
      <c r="F1240" s="2" t="s">
        <v>3406</v>
      </c>
      <c r="G1240" s="28" t="s">
        <v>5</v>
      </c>
      <c r="H1240" s="2" t="s">
        <v>20</v>
      </c>
      <c r="I1240" s="2">
        <v>1</v>
      </c>
      <c r="J1240" s="2" t="s">
        <v>3407</v>
      </c>
      <c r="K1240" s="2">
        <v>26100</v>
      </c>
      <c r="L1240" s="35">
        <v>83419906.5</v>
      </c>
      <c r="M1240" s="36">
        <v>18000</v>
      </c>
      <c r="N1240" s="40">
        <v>326145</v>
      </c>
      <c r="O1240" s="40">
        <v>324522</v>
      </c>
      <c r="P1240" s="40">
        <v>213081</v>
      </c>
      <c r="Q1240" s="40">
        <v>110000</v>
      </c>
      <c r="R1240" s="40">
        <v>551747</v>
      </c>
      <c r="S1240" s="40">
        <v>354356</v>
      </c>
      <c r="T1240" s="40">
        <v>30000</v>
      </c>
      <c r="U1240" s="40">
        <v>6404400</v>
      </c>
      <c r="V1240" s="40">
        <v>0</v>
      </c>
      <c r="W1240" s="45">
        <v>8314251</v>
      </c>
      <c r="X1240" s="46">
        <v>9.9667469658456191</v>
      </c>
    </row>
    <row r="1241" spans="1:24" s="4" customFormat="1" ht="15" customHeight="1">
      <c r="A1241" s="28" t="s">
        <v>3019</v>
      </c>
      <c r="B1241" s="29">
        <v>3196.165</v>
      </c>
      <c r="C1241" s="30" t="s">
        <v>3408</v>
      </c>
      <c r="D1241" s="2">
        <v>4951754680</v>
      </c>
      <c r="E1241" s="2" t="s">
        <v>14</v>
      </c>
      <c r="F1241" s="2" t="s">
        <v>3409</v>
      </c>
      <c r="G1241" s="28" t="s">
        <v>5</v>
      </c>
      <c r="H1241" s="2" t="s">
        <v>20</v>
      </c>
      <c r="I1241" s="2">
        <v>1</v>
      </c>
      <c r="J1241" s="2" t="s">
        <v>3410</v>
      </c>
      <c r="K1241" s="2">
        <v>26100</v>
      </c>
      <c r="L1241" s="35">
        <v>83419906.5</v>
      </c>
      <c r="M1241" s="36">
        <v>18000</v>
      </c>
      <c r="N1241" s="40">
        <v>326145</v>
      </c>
      <c r="O1241" s="40">
        <v>324522</v>
      </c>
      <c r="P1241" s="40">
        <v>213081</v>
      </c>
      <c r="Q1241" s="40">
        <v>110000</v>
      </c>
      <c r="R1241" s="40">
        <v>551747</v>
      </c>
      <c r="S1241" s="40">
        <v>354356</v>
      </c>
      <c r="T1241" s="40">
        <v>30000</v>
      </c>
      <c r="U1241" s="40">
        <v>6404400</v>
      </c>
      <c r="V1241" s="40">
        <v>0</v>
      </c>
      <c r="W1241" s="45">
        <v>8314251</v>
      </c>
      <c r="X1241" s="46">
        <v>9.9667469658456191</v>
      </c>
    </row>
    <row r="1242" spans="1:24" s="4" customFormat="1" ht="15" customHeight="1">
      <c r="A1242" s="28" t="s">
        <v>3019</v>
      </c>
      <c r="B1242" s="29">
        <v>3196.165</v>
      </c>
      <c r="C1242" s="30" t="s">
        <v>3413</v>
      </c>
      <c r="D1242" s="2">
        <v>4950898139</v>
      </c>
      <c r="E1242" s="2" t="s">
        <v>14</v>
      </c>
      <c r="F1242" s="2" t="s">
        <v>3414</v>
      </c>
      <c r="G1242" s="28" t="s">
        <v>5</v>
      </c>
      <c r="H1242" s="2" t="s">
        <v>17</v>
      </c>
      <c r="I1242" s="2">
        <v>1</v>
      </c>
      <c r="J1242" s="2" t="s">
        <v>3415</v>
      </c>
      <c r="K1242" s="2">
        <v>68040</v>
      </c>
      <c r="L1242" s="35">
        <v>217467066.59999999</v>
      </c>
      <c r="M1242" s="36">
        <v>18000</v>
      </c>
      <c r="N1242" s="40">
        <v>326145</v>
      </c>
      <c r="O1242" s="40">
        <v>425734</v>
      </c>
      <c r="P1242" s="40">
        <v>0</v>
      </c>
      <c r="Q1242" s="40">
        <v>110000</v>
      </c>
      <c r="R1242" s="40">
        <v>641285</v>
      </c>
      <c r="S1242" s="40">
        <v>354356</v>
      </c>
      <c r="T1242" s="40">
        <v>30000</v>
      </c>
      <c r="U1242" s="40">
        <v>5446550</v>
      </c>
      <c r="V1242" s="40">
        <v>0</v>
      </c>
      <c r="W1242" s="45">
        <v>7334070</v>
      </c>
      <c r="X1242" s="46">
        <v>3.37249686339403</v>
      </c>
    </row>
    <row r="1243" spans="1:24" s="4" customFormat="1" ht="15" customHeight="1">
      <c r="A1243" s="28" t="s">
        <v>3019</v>
      </c>
      <c r="B1243" s="29">
        <v>3196.165</v>
      </c>
      <c r="C1243" s="30" t="s">
        <v>3416</v>
      </c>
      <c r="D1243" s="2">
        <v>4951275459</v>
      </c>
      <c r="E1243" s="2" t="s">
        <v>14</v>
      </c>
      <c r="F1243" s="2" t="s">
        <v>3417</v>
      </c>
      <c r="G1243" s="28" t="s">
        <v>9</v>
      </c>
      <c r="H1243" s="2" t="s">
        <v>23</v>
      </c>
      <c r="I1243" s="2">
        <v>2</v>
      </c>
      <c r="J1243" s="2"/>
      <c r="K1243" s="2">
        <v>49664</v>
      </c>
      <c r="L1243" s="35">
        <v>158734338.56</v>
      </c>
      <c r="M1243" s="36">
        <v>640</v>
      </c>
      <c r="N1243" s="40">
        <v>520963</v>
      </c>
      <c r="O1243" s="40">
        <v>446</v>
      </c>
      <c r="P1243" s="40">
        <v>0</v>
      </c>
      <c r="Q1243" s="40">
        <v>11357</v>
      </c>
      <c r="R1243" s="40">
        <v>100567</v>
      </c>
      <c r="S1243" s="40">
        <v>354356</v>
      </c>
      <c r="T1243" s="40">
        <v>30000</v>
      </c>
      <c r="U1243" s="40">
        <v>287655.17241379299</v>
      </c>
      <c r="V1243" s="40">
        <v>0</v>
      </c>
      <c r="W1243" s="45">
        <v>1305344.1724137899</v>
      </c>
      <c r="X1243" s="46">
        <v>0.82234517386443495</v>
      </c>
    </row>
    <row r="1244" spans="1:24" s="4" customFormat="1" ht="15" customHeight="1">
      <c r="A1244" s="28" t="s">
        <v>3019</v>
      </c>
      <c r="B1244" s="29">
        <v>3196.165</v>
      </c>
      <c r="C1244" s="30" t="s">
        <v>3418</v>
      </c>
      <c r="D1244" s="2">
        <v>4950059662</v>
      </c>
      <c r="E1244" s="2" t="s">
        <v>14</v>
      </c>
      <c r="F1244" s="2" t="s">
        <v>3419</v>
      </c>
      <c r="G1244" s="28" t="s">
        <v>5</v>
      </c>
      <c r="H1244" s="2" t="s">
        <v>20</v>
      </c>
      <c r="I1244" s="2">
        <v>1</v>
      </c>
      <c r="J1244" s="2" t="s">
        <v>3420</v>
      </c>
      <c r="K1244" s="2">
        <v>32508</v>
      </c>
      <c r="L1244" s="35">
        <v>103900931.81999999</v>
      </c>
      <c r="M1244" s="36">
        <v>15480</v>
      </c>
      <c r="N1244" s="40">
        <v>324266</v>
      </c>
      <c r="O1244" s="40">
        <v>324522</v>
      </c>
      <c r="P1244" s="40">
        <v>0</v>
      </c>
      <c r="Q1244" s="40">
        <v>110000</v>
      </c>
      <c r="R1244" s="40">
        <v>638976</v>
      </c>
      <c r="S1244" s="40">
        <v>354356</v>
      </c>
      <c r="T1244" s="40">
        <v>30000</v>
      </c>
      <c r="U1244" s="40">
        <v>6404400</v>
      </c>
      <c r="V1244" s="40">
        <v>0</v>
      </c>
      <c r="W1244" s="45">
        <v>8186520</v>
      </c>
      <c r="X1244" s="46">
        <v>7.8791593651753598</v>
      </c>
    </row>
    <row r="1245" spans="1:24" s="4" customFormat="1" ht="15" customHeight="1">
      <c r="A1245" s="28" t="s">
        <v>3019</v>
      </c>
      <c r="B1245" s="29">
        <v>3196.165</v>
      </c>
      <c r="C1245" s="30" t="s">
        <v>3436</v>
      </c>
      <c r="D1245" s="2">
        <v>4950898139</v>
      </c>
      <c r="E1245" s="2" t="s">
        <v>14</v>
      </c>
      <c r="F1245" s="2" t="s">
        <v>3437</v>
      </c>
      <c r="G1245" s="28" t="s">
        <v>5</v>
      </c>
      <c r="H1245" s="2" t="s">
        <v>17</v>
      </c>
      <c r="I1245" s="2">
        <v>1</v>
      </c>
      <c r="J1245" s="2" t="s">
        <v>3438</v>
      </c>
      <c r="K1245" s="2">
        <v>68040</v>
      </c>
      <c r="L1245" s="35">
        <v>217467066.59999999</v>
      </c>
      <c r="M1245" s="36">
        <v>18000</v>
      </c>
      <c r="N1245" s="40">
        <v>326145</v>
      </c>
      <c r="O1245" s="40">
        <v>425734</v>
      </c>
      <c r="P1245" s="40">
        <v>0</v>
      </c>
      <c r="Q1245" s="40">
        <v>110000</v>
      </c>
      <c r="R1245" s="40">
        <v>641285</v>
      </c>
      <c r="S1245" s="40">
        <v>354356</v>
      </c>
      <c r="T1245" s="40">
        <v>30000</v>
      </c>
      <c r="U1245" s="40">
        <v>5446550</v>
      </c>
      <c r="V1245" s="40">
        <v>0</v>
      </c>
      <c r="W1245" s="45">
        <v>7334070</v>
      </c>
      <c r="X1245" s="46">
        <v>3.37249686339403</v>
      </c>
    </row>
    <row r="1246" spans="1:24" s="4" customFormat="1" ht="15" customHeight="1">
      <c r="A1246" s="28" t="s">
        <v>3019</v>
      </c>
      <c r="B1246" s="29">
        <v>3196.165</v>
      </c>
      <c r="C1246" s="30" t="s">
        <v>3439</v>
      </c>
      <c r="D1246" s="2">
        <v>4951574746</v>
      </c>
      <c r="E1246" s="2" t="s">
        <v>14</v>
      </c>
      <c r="F1246" s="2" t="s">
        <v>3440</v>
      </c>
      <c r="G1246" s="28" t="s">
        <v>9</v>
      </c>
      <c r="H1246" s="2" t="s">
        <v>23</v>
      </c>
      <c r="I1246" s="2">
        <v>4</v>
      </c>
      <c r="J1246" s="2"/>
      <c r="K1246" s="2">
        <v>8928</v>
      </c>
      <c r="L1246" s="35">
        <v>28535361.120000001</v>
      </c>
      <c r="M1246" s="36">
        <v>1200</v>
      </c>
      <c r="N1246" s="40">
        <v>346554.6</v>
      </c>
      <c r="O1246" s="48">
        <v>825.6</v>
      </c>
      <c r="P1246" s="40">
        <v>85807.2</v>
      </c>
      <c r="Q1246" s="48">
        <v>20602.2</v>
      </c>
      <c r="R1246" s="40">
        <v>76716.600000000006</v>
      </c>
      <c r="S1246" s="40">
        <v>212613.6</v>
      </c>
      <c r="T1246" s="40">
        <v>30000</v>
      </c>
      <c r="U1246" s="40">
        <v>820620</v>
      </c>
      <c r="V1246" s="40">
        <v>0</v>
      </c>
      <c r="W1246" s="45">
        <v>1593739.8</v>
      </c>
      <c r="X1246" s="46">
        <v>5.5851397614974303</v>
      </c>
    </row>
    <row r="1247" spans="1:24" s="4" customFormat="1" ht="15" customHeight="1">
      <c r="A1247" s="28" t="s">
        <v>3019</v>
      </c>
      <c r="B1247" s="29">
        <v>3196.165</v>
      </c>
      <c r="C1247" s="30" t="s">
        <v>3439</v>
      </c>
      <c r="D1247" s="2">
        <v>4951698056</v>
      </c>
      <c r="E1247" s="2" t="s">
        <v>14</v>
      </c>
      <c r="F1247" s="2" t="s">
        <v>3440</v>
      </c>
      <c r="G1247" s="28" t="s">
        <v>9</v>
      </c>
      <c r="H1247" s="2" t="s">
        <v>23</v>
      </c>
      <c r="I1247" s="2">
        <v>4</v>
      </c>
      <c r="J1247" s="2"/>
      <c r="K1247" s="2">
        <v>5136</v>
      </c>
      <c r="L1247" s="35">
        <v>16415503.439999999</v>
      </c>
      <c r="M1247" s="36">
        <v>800</v>
      </c>
      <c r="N1247" s="40">
        <v>231036.4</v>
      </c>
      <c r="O1247" s="48">
        <v>550.4</v>
      </c>
      <c r="P1247" s="40">
        <v>57204.800000000003</v>
      </c>
      <c r="Q1247" s="48">
        <v>13734.8</v>
      </c>
      <c r="R1247" s="40">
        <v>51144.4</v>
      </c>
      <c r="S1247" s="40">
        <v>141742.39999999999</v>
      </c>
      <c r="T1247" s="40">
        <v>30000</v>
      </c>
      <c r="U1247" s="40">
        <v>547080</v>
      </c>
      <c r="V1247" s="40">
        <v>0</v>
      </c>
      <c r="W1247" s="45">
        <v>1072493.2</v>
      </c>
      <c r="X1247" s="46">
        <v>6.5334164372116303</v>
      </c>
    </row>
    <row r="1248" spans="1:24" s="4" customFormat="1" ht="15" customHeight="1">
      <c r="A1248" s="28" t="s">
        <v>3019</v>
      </c>
      <c r="B1248" s="29">
        <v>3196.165</v>
      </c>
      <c r="C1248" s="30" t="s">
        <v>3441</v>
      </c>
      <c r="D1248" s="2">
        <v>4951138773</v>
      </c>
      <c r="E1248" s="2" t="s">
        <v>14</v>
      </c>
      <c r="F1248" s="2" t="s">
        <v>3442</v>
      </c>
      <c r="G1248" s="28" t="s">
        <v>5</v>
      </c>
      <c r="H1248" s="2" t="s">
        <v>20</v>
      </c>
      <c r="I1248" s="2">
        <v>2</v>
      </c>
      <c r="J1248" s="2" t="s">
        <v>3443</v>
      </c>
      <c r="K1248" s="2">
        <v>65016</v>
      </c>
      <c r="L1248" s="35">
        <v>207801863.63999999</v>
      </c>
      <c r="M1248" s="36">
        <v>30960</v>
      </c>
      <c r="N1248" s="40">
        <v>648532</v>
      </c>
      <c r="O1248" s="40">
        <v>649044</v>
      </c>
      <c r="P1248" s="40">
        <v>0</v>
      </c>
      <c r="Q1248" s="40">
        <v>198619</v>
      </c>
      <c r="R1248" s="40">
        <v>1256486</v>
      </c>
      <c r="S1248" s="40">
        <v>354356</v>
      </c>
      <c r="T1248" s="40">
        <v>30000</v>
      </c>
      <c r="U1248" s="40">
        <v>12808800</v>
      </c>
      <c r="V1248" s="40">
        <v>0</v>
      </c>
      <c r="W1248" s="45">
        <v>15945837</v>
      </c>
      <c r="X1248" s="46">
        <v>7.6735774745624399</v>
      </c>
    </row>
    <row r="1249" spans="1:24" s="4" customFormat="1" ht="15" customHeight="1">
      <c r="A1249" s="28" t="s">
        <v>3019</v>
      </c>
      <c r="B1249" s="29">
        <v>3196.165</v>
      </c>
      <c r="C1249" s="30" t="s">
        <v>3450</v>
      </c>
      <c r="D1249" s="2">
        <v>4950722779</v>
      </c>
      <c r="E1249" s="2" t="s">
        <v>14</v>
      </c>
      <c r="F1249" s="2" t="s">
        <v>3451</v>
      </c>
      <c r="G1249" s="28" t="s">
        <v>5</v>
      </c>
      <c r="H1249" s="2" t="s">
        <v>20</v>
      </c>
      <c r="I1249" s="2">
        <v>2</v>
      </c>
      <c r="J1249" s="2" t="s">
        <v>3452</v>
      </c>
      <c r="K1249" s="2">
        <v>30832</v>
      </c>
      <c r="L1249" s="35">
        <v>98544159.280000001</v>
      </c>
      <c r="M1249" s="36">
        <v>16400</v>
      </c>
      <c r="N1249" s="40">
        <v>355695.96009975101</v>
      </c>
      <c r="O1249" s="40">
        <v>353925.905236908</v>
      </c>
      <c r="P1249" s="40">
        <v>0</v>
      </c>
      <c r="Q1249" s="40">
        <v>353925.905236908</v>
      </c>
      <c r="R1249" s="40">
        <v>795031.27514547005</v>
      </c>
      <c r="S1249" s="40">
        <v>193231.53449709099</v>
      </c>
      <c r="T1249" s="40">
        <v>30000</v>
      </c>
      <c r="U1249" s="40">
        <v>4284448.87780549</v>
      </c>
      <c r="V1249" s="40">
        <v>0</v>
      </c>
      <c r="W1249" s="45">
        <v>6366259.4580216203</v>
      </c>
      <c r="X1249" s="46">
        <v>6.4603113005741397</v>
      </c>
    </row>
    <row r="1250" spans="1:24" s="4" customFormat="1" ht="15" customHeight="1">
      <c r="A1250" s="28" t="s">
        <v>3019</v>
      </c>
      <c r="B1250" s="29">
        <v>3196.165</v>
      </c>
      <c r="C1250" s="30" t="s">
        <v>3450</v>
      </c>
      <c r="D1250" s="2">
        <v>4950722775</v>
      </c>
      <c r="E1250" s="2" t="s">
        <v>14</v>
      </c>
      <c r="F1250" s="2" t="s">
        <v>3451</v>
      </c>
      <c r="G1250" s="28" t="s">
        <v>5</v>
      </c>
      <c r="H1250" s="2" t="s">
        <v>20</v>
      </c>
      <c r="I1250" s="2">
        <v>2</v>
      </c>
      <c r="J1250" s="2" t="s">
        <v>3452</v>
      </c>
      <c r="K1250" s="2">
        <v>18499.2</v>
      </c>
      <c r="L1250" s="35">
        <v>59126495.568000004</v>
      </c>
      <c r="M1250" s="36">
        <v>11275</v>
      </c>
      <c r="N1250" s="40">
        <v>244540.97256857899</v>
      </c>
      <c r="O1250" s="48">
        <v>243324.059850374</v>
      </c>
      <c r="P1250" s="40">
        <v>0</v>
      </c>
      <c r="Q1250" s="48">
        <v>243324.059850374</v>
      </c>
      <c r="R1250" s="40">
        <v>546582.00166250998</v>
      </c>
      <c r="S1250" s="40">
        <v>132846.67996675</v>
      </c>
      <c r="T1250" s="40">
        <v>30000</v>
      </c>
      <c r="U1250" s="40">
        <v>2945558.60349127</v>
      </c>
      <c r="V1250" s="40">
        <v>0</v>
      </c>
      <c r="W1250" s="45">
        <v>4386176.3773898603</v>
      </c>
      <c r="X1250" s="46">
        <v>7.4182924850423797</v>
      </c>
    </row>
    <row r="1251" spans="1:24" s="4" customFormat="1" ht="15" customHeight="1">
      <c r="A1251" s="28" t="s">
        <v>3019</v>
      </c>
      <c r="B1251" s="29">
        <v>3196.165</v>
      </c>
      <c r="C1251" s="30" t="s">
        <v>3450</v>
      </c>
      <c r="D1251" s="2">
        <v>4951438972</v>
      </c>
      <c r="E1251" s="2" t="s">
        <v>14</v>
      </c>
      <c r="F1251" s="2" t="s">
        <v>3451</v>
      </c>
      <c r="G1251" s="28" t="s">
        <v>5</v>
      </c>
      <c r="H1251" s="2" t="s">
        <v>20</v>
      </c>
      <c r="I1251" s="2">
        <v>2</v>
      </c>
      <c r="J1251" s="2" t="s">
        <v>3452</v>
      </c>
      <c r="K1251" s="2">
        <v>5280</v>
      </c>
      <c r="L1251" s="35">
        <v>16875751.199999999</v>
      </c>
      <c r="M1251" s="36">
        <v>2400</v>
      </c>
      <c r="N1251" s="40">
        <v>52053.067331670798</v>
      </c>
      <c r="O1251" s="48">
        <v>51794.034912718198</v>
      </c>
      <c r="P1251" s="40">
        <v>0</v>
      </c>
      <c r="Q1251" s="48">
        <v>51794.034912718198</v>
      </c>
      <c r="R1251" s="40">
        <v>116345.72319202</v>
      </c>
      <c r="S1251" s="40">
        <v>28277.785536159601</v>
      </c>
      <c r="T1251" s="40">
        <v>30000</v>
      </c>
      <c r="U1251" s="40">
        <v>626992.51870324195</v>
      </c>
      <c r="V1251" s="40">
        <v>0</v>
      </c>
      <c r="W1251" s="45">
        <v>957257.16458852903</v>
      </c>
      <c r="X1251" s="46">
        <v>5.6723825401534</v>
      </c>
    </row>
    <row r="1253" spans="1:24" ht="15" customHeight="1">
      <c r="A1253" s="31" t="s">
        <v>3019</v>
      </c>
      <c r="B1253" s="31"/>
      <c r="C1253" s="31"/>
      <c r="D1253" s="31"/>
      <c r="E1253" s="31"/>
      <c r="F1253" s="32">
        <v>76</v>
      </c>
      <c r="G1253" s="31"/>
      <c r="H1253" s="31"/>
      <c r="I1253" s="38"/>
      <c r="J1253" s="31"/>
      <c r="K1253" s="39">
        <f>+SUM(K1048:K1251)</f>
        <v>2667546.6900000004</v>
      </c>
      <c r="L1253" s="39">
        <f>+SUM(L1048:L1251)</f>
        <v>8525919366.4438505</v>
      </c>
      <c r="M1253" s="31"/>
      <c r="N1253" s="39"/>
      <c r="O1253" s="39"/>
      <c r="P1253" s="39"/>
      <c r="Q1253" s="39"/>
      <c r="R1253" s="39"/>
      <c r="S1253" s="39"/>
      <c r="T1253" s="39"/>
      <c r="U1253" s="39"/>
      <c r="V1253" s="31"/>
      <c r="W1253" s="39">
        <f>+SUM(W1048:W1251)</f>
        <v>373818587.72476852</v>
      </c>
      <c r="X1253" s="47">
        <f>(W1253/L1253)*100</f>
        <v>4.3844959312662111</v>
      </c>
    </row>
    <row r="1255" spans="1:24" s="4" customFormat="1" ht="15" customHeight="1">
      <c r="A1255" s="28" t="s">
        <v>3483</v>
      </c>
      <c r="B1255" s="29">
        <v>3387.15</v>
      </c>
      <c r="C1255" s="30" t="s">
        <v>3484</v>
      </c>
      <c r="D1255" s="2">
        <v>4952399706</v>
      </c>
      <c r="E1255" s="2" t="s">
        <v>14</v>
      </c>
      <c r="F1255" s="2">
        <v>1027987184</v>
      </c>
      <c r="G1255" s="28" t="s">
        <v>13</v>
      </c>
      <c r="H1255" s="2" t="s">
        <v>23</v>
      </c>
      <c r="I1255" s="2">
        <v>1</v>
      </c>
      <c r="J1255" s="2"/>
      <c r="K1255" s="2">
        <v>904.9</v>
      </c>
      <c r="L1255" s="35">
        <v>3065032.0350000001</v>
      </c>
      <c r="M1255" s="36">
        <v>10</v>
      </c>
      <c r="N1255" s="40">
        <v>214871.066666667</v>
      </c>
      <c r="O1255" s="40">
        <v>0</v>
      </c>
      <c r="P1255" s="40">
        <v>153333.33333333299</v>
      </c>
      <c r="Q1255" s="40">
        <v>0</v>
      </c>
      <c r="R1255" s="40">
        <v>1472.6666666666699</v>
      </c>
      <c r="S1255" s="40">
        <v>236237.33333333299</v>
      </c>
      <c r="T1255" s="40">
        <v>30000</v>
      </c>
      <c r="U1255" s="40">
        <v>54751.111111111102</v>
      </c>
      <c r="V1255" s="40">
        <v>0</v>
      </c>
      <c r="W1255" s="45">
        <v>690665.51111111103</v>
      </c>
      <c r="X1255" s="46">
        <v>22.5337126406612</v>
      </c>
    </row>
    <row r="1256" spans="1:24" s="4" customFormat="1" ht="15" customHeight="1">
      <c r="A1256" s="28" t="s">
        <v>3483</v>
      </c>
      <c r="B1256" s="29">
        <v>3387.15</v>
      </c>
      <c r="C1256" s="30" t="s">
        <v>3484</v>
      </c>
      <c r="D1256" s="2">
        <v>4952026931</v>
      </c>
      <c r="E1256" s="2" t="s">
        <v>14</v>
      </c>
      <c r="F1256" s="2">
        <v>1027987184</v>
      </c>
      <c r="G1256" s="28" t="s">
        <v>13</v>
      </c>
      <c r="H1256" s="2" t="s">
        <v>23</v>
      </c>
      <c r="I1256" s="2">
        <v>1</v>
      </c>
      <c r="J1256" s="2"/>
      <c r="K1256" s="2">
        <v>902.75</v>
      </c>
      <c r="L1256" s="35">
        <v>3057749.6625000001</v>
      </c>
      <c r="M1256" s="36">
        <v>5</v>
      </c>
      <c r="N1256" s="40">
        <v>107435.53333333301</v>
      </c>
      <c r="O1256" s="40">
        <v>0</v>
      </c>
      <c r="P1256" s="40">
        <v>76666.666666666701</v>
      </c>
      <c r="Q1256" s="40">
        <v>0</v>
      </c>
      <c r="R1256" s="40">
        <v>736.33333333333303</v>
      </c>
      <c r="S1256" s="40">
        <v>118118.66666666701</v>
      </c>
      <c r="T1256" s="40">
        <v>30000</v>
      </c>
      <c r="U1256" s="40">
        <v>27375.555555555598</v>
      </c>
      <c r="V1256" s="40">
        <v>0</v>
      </c>
      <c r="W1256" s="45">
        <v>360332.75555555598</v>
      </c>
      <c r="X1256" s="46">
        <v>11.784246433730299</v>
      </c>
    </row>
    <row r="1257" spans="1:24" s="4" customFormat="1" ht="15" customHeight="1">
      <c r="A1257" s="28" t="s">
        <v>3483</v>
      </c>
      <c r="B1257" s="29">
        <v>3387.15</v>
      </c>
      <c r="C1257" s="30" t="s">
        <v>3489</v>
      </c>
      <c r="D1257" s="2">
        <v>4951516178</v>
      </c>
      <c r="E1257" s="2" t="s">
        <v>14</v>
      </c>
      <c r="F1257" s="2" t="s">
        <v>3490</v>
      </c>
      <c r="G1257" s="28" t="s">
        <v>13</v>
      </c>
      <c r="H1257" s="2" t="s">
        <v>23</v>
      </c>
      <c r="I1257" s="2">
        <v>5</v>
      </c>
      <c r="J1257" s="2"/>
      <c r="K1257" s="2">
        <v>5094</v>
      </c>
      <c r="L1257" s="35">
        <v>17254142.100000001</v>
      </c>
      <c r="M1257" s="36">
        <v>300</v>
      </c>
      <c r="N1257" s="40">
        <v>462637.2</v>
      </c>
      <c r="O1257" s="40">
        <v>0</v>
      </c>
      <c r="P1257" s="40">
        <v>0</v>
      </c>
      <c r="Q1257" s="40">
        <v>0</v>
      </c>
      <c r="R1257" s="40">
        <v>8909.1176470588198</v>
      </c>
      <c r="S1257" s="40">
        <v>104222.352941176</v>
      </c>
      <c r="T1257" s="40">
        <v>30000</v>
      </c>
      <c r="U1257" s="40">
        <v>70394.285714285696</v>
      </c>
      <c r="V1257" s="40">
        <v>0</v>
      </c>
      <c r="W1257" s="45">
        <v>676162.95630252</v>
      </c>
      <c r="X1257" s="46">
        <v>3.91884425422995</v>
      </c>
    </row>
    <row r="1258" spans="1:24" s="4" customFormat="1" ht="15" customHeight="1">
      <c r="A1258" s="28" t="s">
        <v>3483</v>
      </c>
      <c r="B1258" s="29">
        <v>3387.15</v>
      </c>
      <c r="C1258" s="30" t="s">
        <v>3489</v>
      </c>
      <c r="D1258" s="2">
        <v>4951796911</v>
      </c>
      <c r="E1258" s="2" t="s">
        <v>14</v>
      </c>
      <c r="F1258" s="2" t="s">
        <v>3490</v>
      </c>
      <c r="G1258" s="28" t="s">
        <v>13</v>
      </c>
      <c r="H1258" s="2" t="s">
        <v>23</v>
      </c>
      <c r="I1258" s="2">
        <v>5</v>
      </c>
      <c r="J1258" s="2"/>
      <c r="K1258" s="2">
        <v>6792</v>
      </c>
      <c r="L1258" s="35">
        <v>23005522.800000001</v>
      </c>
      <c r="M1258" s="36">
        <v>400</v>
      </c>
      <c r="N1258" s="40">
        <v>616849.6</v>
      </c>
      <c r="O1258" s="40">
        <v>0</v>
      </c>
      <c r="P1258" s="40">
        <v>0</v>
      </c>
      <c r="Q1258" s="40">
        <v>0</v>
      </c>
      <c r="R1258" s="40">
        <v>11878.8235294118</v>
      </c>
      <c r="S1258" s="40">
        <v>138963.13725490199</v>
      </c>
      <c r="T1258" s="40">
        <v>30000</v>
      </c>
      <c r="U1258" s="40">
        <v>93859.047619047604</v>
      </c>
      <c r="V1258" s="40">
        <v>0</v>
      </c>
      <c r="W1258" s="45">
        <v>891550.60840336105</v>
      </c>
      <c r="X1258" s="46">
        <v>3.8753764309297098</v>
      </c>
    </row>
    <row r="1259" spans="1:24" s="4" customFormat="1" ht="15" customHeight="1">
      <c r="A1259" s="28" t="s">
        <v>3483</v>
      </c>
      <c r="B1259" s="29">
        <v>3387.15</v>
      </c>
      <c r="C1259" s="30" t="s">
        <v>3489</v>
      </c>
      <c r="D1259" s="2">
        <v>4952287261</v>
      </c>
      <c r="E1259" s="2" t="s">
        <v>14</v>
      </c>
      <c r="F1259" s="2" t="s">
        <v>3490</v>
      </c>
      <c r="G1259" s="28" t="s">
        <v>13</v>
      </c>
      <c r="H1259" s="2" t="s">
        <v>23</v>
      </c>
      <c r="I1259" s="2">
        <v>5</v>
      </c>
      <c r="J1259" s="2"/>
      <c r="K1259" s="2">
        <v>7423.2</v>
      </c>
      <c r="L1259" s="35">
        <v>25143491.879999999</v>
      </c>
      <c r="M1259" s="36">
        <v>60</v>
      </c>
      <c r="N1259" s="40">
        <v>92527.44</v>
      </c>
      <c r="O1259" s="40">
        <v>0</v>
      </c>
      <c r="P1259" s="40">
        <v>0</v>
      </c>
      <c r="Q1259" s="40">
        <v>0</v>
      </c>
      <c r="R1259" s="40">
        <v>1781.8235294117601</v>
      </c>
      <c r="S1259" s="40">
        <v>20844.470588235301</v>
      </c>
      <c r="T1259" s="40">
        <v>30000</v>
      </c>
      <c r="U1259" s="40">
        <v>14078.857142857099</v>
      </c>
      <c r="V1259" s="40">
        <v>0</v>
      </c>
      <c r="W1259" s="45">
        <v>159232.59126050401</v>
      </c>
      <c r="X1259" s="46">
        <v>0.63329545482568095</v>
      </c>
    </row>
    <row r="1260" spans="1:24" s="4" customFormat="1" ht="15" customHeight="1">
      <c r="A1260" s="28" t="s">
        <v>3483</v>
      </c>
      <c r="B1260" s="29">
        <v>3387.15</v>
      </c>
      <c r="C1260" s="30" t="s">
        <v>3489</v>
      </c>
      <c r="D1260" s="2">
        <v>4952287262</v>
      </c>
      <c r="E1260" s="2" t="s">
        <v>14</v>
      </c>
      <c r="F1260" s="2" t="s">
        <v>3490</v>
      </c>
      <c r="G1260" s="28" t="s">
        <v>13</v>
      </c>
      <c r="H1260" s="2" t="s">
        <v>23</v>
      </c>
      <c r="I1260" s="2">
        <v>5</v>
      </c>
      <c r="J1260" s="2"/>
      <c r="K1260" s="2">
        <v>2585.5</v>
      </c>
      <c r="L1260" s="35">
        <v>8757476.3249999993</v>
      </c>
      <c r="M1260" s="36">
        <v>50</v>
      </c>
      <c r="N1260" s="40">
        <v>77106.2</v>
      </c>
      <c r="O1260" s="40">
        <v>0</v>
      </c>
      <c r="P1260" s="40">
        <v>0</v>
      </c>
      <c r="Q1260" s="40">
        <v>0</v>
      </c>
      <c r="R1260" s="40">
        <v>1484.85294117647</v>
      </c>
      <c r="S1260" s="40">
        <v>17370.392156862701</v>
      </c>
      <c r="T1260" s="40">
        <v>30000</v>
      </c>
      <c r="U1260" s="40">
        <v>11732.380952381</v>
      </c>
      <c r="V1260" s="40">
        <v>0</v>
      </c>
      <c r="W1260" s="45">
        <v>137693.82605042</v>
      </c>
      <c r="X1260" s="46">
        <v>1.57230029451915</v>
      </c>
    </row>
    <row r="1261" spans="1:24" s="4" customFormat="1" ht="15" customHeight="1">
      <c r="A1261" s="28" t="s">
        <v>3483</v>
      </c>
      <c r="B1261" s="29">
        <v>3387.15</v>
      </c>
      <c r="C1261" s="30" t="s">
        <v>3489</v>
      </c>
      <c r="D1261" s="2">
        <v>4952287290</v>
      </c>
      <c r="E1261" s="2" t="s">
        <v>14</v>
      </c>
      <c r="F1261" s="2" t="s">
        <v>3490</v>
      </c>
      <c r="G1261" s="28" t="s">
        <v>13</v>
      </c>
      <c r="H1261" s="2" t="s">
        <v>23</v>
      </c>
      <c r="I1261" s="2">
        <v>5</v>
      </c>
      <c r="J1261" s="2"/>
      <c r="K1261" s="2">
        <v>6216</v>
      </c>
      <c r="L1261" s="35">
        <v>21054524.399999999</v>
      </c>
      <c r="M1261" s="36">
        <v>100</v>
      </c>
      <c r="N1261" s="40">
        <v>154212.4</v>
      </c>
      <c r="O1261" s="40">
        <v>0</v>
      </c>
      <c r="P1261" s="40">
        <v>0</v>
      </c>
      <c r="Q1261" s="40">
        <v>0</v>
      </c>
      <c r="R1261" s="40">
        <v>2969.7058823529401</v>
      </c>
      <c r="S1261" s="40">
        <v>34740.784313725497</v>
      </c>
      <c r="T1261" s="40">
        <v>30000</v>
      </c>
      <c r="U1261" s="40">
        <v>23464.761904761901</v>
      </c>
      <c r="V1261" s="40">
        <v>0</v>
      </c>
      <c r="W1261" s="45">
        <v>245387.65210084</v>
      </c>
      <c r="X1261" s="46">
        <v>1.1654865597478901</v>
      </c>
    </row>
    <row r="1262" spans="1:24" s="4" customFormat="1" ht="15" customHeight="1">
      <c r="A1262" s="28" t="s">
        <v>3483</v>
      </c>
      <c r="B1262" s="29">
        <v>3387.15</v>
      </c>
      <c r="C1262" s="30" t="s">
        <v>3489</v>
      </c>
      <c r="D1262" s="2">
        <v>4952287294</v>
      </c>
      <c r="E1262" s="2" t="s">
        <v>14</v>
      </c>
      <c r="F1262" s="2" t="s">
        <v>3490</v>
      </c>
      <c r="G1262" s="28" t="s">
        <v>13</v>
      </c>
      <c r="H1262" s="2" t="s">
        <v>23</v>
      </c>
      <c r="I1262" s="2">
        <v>5</v>
      </c>
      <c r="J1262" s="2"/>
      <c r="K1262" s="2">
        <v>2490.5</v>
      </c>
      <c r="L1262" s="35">
        <v>8435697.0749999993</v>
      </c>
      <c r="M1262" s="36">
        <v>50</v>
      </c>
      <c r="N1262" s="40">
        <v>77106.2</v>
      </c>
      <c r="O1262" s="40">
        <v>0</v>
      </c>
      <c r="P1262" s="40">
        <v>0</v>
      </c>
      <c r="Q1262" s="40">
        <v>0</v>
      </c>
      <c r="R1262" s="40">
        <v>1484.85294117647</v>
      </c>
      <c r="S1262" s="40">
        <v>17370.392156862701</v>
      </c>
      <c r="T1262" s="40">
        <v>30000</v>
      </c>
      <c r="U1262" s="40">
        <v>11732.380952381</v>
      </c>
      <c r="V1262" s="40">
        <v>0</v>
      </c>
      <c r="W1262" s="45">
        <v>137693.82605042</v>
      </c>
      <c r="X1262" s="46">
        <v>1.6322756119169901</v>
      </c>
    </row>
    <row r="1263" spans="1:24" s="4" customFormat="1" ht="15" customHeight="1">
      <c r="A1263" s="28" t="s">
        <v>3483</v>
      </c>
      <c r="B1263" s="29">
        <v>3387.15</v>
      </c>
      <c r="C1263" s="30" t="s">
        <v>3489</v>
      </c>
      <c r="D1263" s="2">
        <v>4952461105</v>
      </c>
      <c r="E1263" s="2" t="s">
        <v>14</v>
      </c>
      <c r="F1263" s="2" t="s">
        <v>3490</v>
      </c>
      <c r="G1263" s="28" t="s">
        <v>13</v>
      </c>
      <c r="H1263" s="2" t="s">
        <v>23</v>
      </c>
      <c r="I1263" s="2">
        <v>5</v>
      </c>
      <c r="J1263" s="2"/>
      <c r="K1263" s="2">
        <v>2856.4</v>
      </c>
      <c r="L1263" s="35">
        <v>9675055.2599999998</v>
      </c>
      <c r="M1263" s="36">
        <v>20</v>
      </c>
      <c r="N1263" s="40">
        <v>30842.48</v>
      </c>
      <c r="O1263" s="40">
        <v>0</v>
      </c>
      <c r="P1263" s="40">
        <v>0</v>
      </c>
      <c r="Q1263" s="40">
        <v>0</v>
      </c>
      <c r="R1263" s="40">
        <v>593.94117647058795</v>
      </c>
      <c r="S1263" s="40">
        <v>6948.1568627450997</v>
      </c>
      <c r="T1263" s="40">
        <v>30000</v>
      </c>
      <c r="U1263" s="40">
        <v>4692.9523809523798</v>
      </c>
      <c r="V1263" s="40">
        <v>0</v>
      </c>
      <c r="W1263" s="45">
        <v>73077.530420168099</v>
      </c>
      <c r="X1263" s="46">
        <v>0.75531899773529598</v>
      </c>
    </row>
    <row r="1264" spans="1:24" s="4" customFormat="1" ht="15" customHeight="1">
      <c r="A1264" s="28" t="s">
        <v>3483</v>
      </c>
      <c r="B1264" s="29">
        <v>3387.15</v>
      </c>
      <c r="C1264" s="30" t="s">
        <v>3489</v>
      </c>
      <c r="D1264" s="2">
        <v>4952287297</v>
      </c>
      <c r="E1264" s="2" t="s">
        <v>14</v>
      </c>
      <c r="F1264" s="2" t="s">
        <v>3490</v>
      </c>
      <c r="G1264" s="28" t="s">
        <v>13</v>
      </c>
      <c r="H1264" s="2" t="s">
        <v>23</v>
      </c>
      <c r="I1264" s="2">
        <v>5</v>
      </c>
      <c r="J1264" s="2"/>
      <c r="K1264" s="2">
        <v>1167.2</v>
      </c>
      <c r="L1264" s="35">
        <v>3953481.48</v>
      </c>
      <c r="M1264" s="36">
        <v>40</v>
      </c>
      <c r="N1264" s="40">
        <v>61684.959999999999</v>
      </c>
      <c r="O1264" s="40">
        <v>0</v>
      </c>
      <c r="P1264" s="40">
        <v>0</v>
      </c>
      <c r="Q1264" s="40">
        <v>0</v>
      </c>
      <c r="R1264" s="40">
        <v>1187.88235294118</v>
      </c>
      <c r="S1264" s="40">
        <v>13896.313725490199</v>
      </c>
      <c r="T1264" s="40">
        <v>30000</v>
      </c>
      <c r="U1264" s="40">
        <v>9385.9047619047597</v>
      </c>
      <c r="V1264" s="40">
        <v>0</v>
      </c>
      <c r="W1264" s="45">
        <v>116155.06084033599</v>
      </c>
      <c r="X1264" s="46">
        <v>2.9380448960731198</v>
      </c>
    </row>
    <row r="1265" spans="1:24" s="4" customFormat="1" ht="15" customHeight="1">
      <c r="A1265" s="28" t="s">
        <v>3483</v>
      </c>
      <c r="B1265" s="29">
        <v>3387.15</v>
      </c>
      <c r="C1265" s="30" t="s">
        <v>3491</v>
      </c>
      <c r="D1265" s="2">
        <v>4951516177</v>
      </c>
      <c r="E1265" s="2" t="s">
        <v>14</v>
      </c>
      <c r="F1265" s="2" t="s">
        <v>3492</v>
      </c>
      <c r="G1265" s="28" t="s">
        <v>13</v>
      </c>
      <c r="H1265" s="2" t="s">
        <v>23</v>
      </c>
      <c r="I1265" s="2">
        <v>6</v>
      </c>
      <c r="J1265" s="2"/>
      <c r="K1265" s="2">
        <v>3433.2</v>
      </c>
      <c r="L1265" s="35">
        <v>11628763.380000001</v>
      </c>
      <c r="M1265" s="36">
        <v>30</v>
      </c>
      <c r="N1265" s="40">
        <v>751368</v>
      </c>
      <c r="O1265" s="40">
        <v>0</v>
      </c>
      <c r="P1265" s="40">
        <v>230000</v>
      </c>
      <c r="Q1265" s="40">
        <v>0</v>
      </c>
      <c r="R1265" s="40">
        <v>5620</v>
      </c>
      <c r="S1265" s="40">
        <v>354356</v>
      </c>
      <c r="T1265" s="40">
        <v>30000</v>
      </c>
      <c r="U1265" s="40">
        <v>164253.33333333299</v>
      </c>
      <c r="V1265" s="40">
        <v>0</v>
      </c>
      <c r="W1265" s="45">
        <v>1535597.33333333</v>
      </c>
      <c r="X1265" s="46">
        <v>13.205164497321899</v>
      </c>
    </row>
    <row r="1266" spans="1:24" s="4" customFormat="1" ht="15" customHeight="1">
      <c r="A1266" s="28" t="s">
        <v>3483</v>
      </c>
      <c r="B1266" s="29">
        <v>3387.15</v>
      </c>
      <c r="C1266" s="30" t="s">
        <v>3493</v>
      </c>
      <c r="D1266" s="2">
        <v>4952577853</v>
      </c>
      <c r="E1266" s="2" t="s">
        <v>14</v>
      </c>
      <c r="F1266" s="2" t="s">
        <v>3494</v>
      </c>
      <c r="G1266" s="28" t="s">
        <v>13</v>
      </c>
      <c r="H1266" s="2" t="s">
        <v>23</v>
      </c>
      <c r="I1266" s="2">
        <v>1</v>
      </c>
      <c r="J1266" s="2"/>
      <c r="K1266" s="2">
        <v>587.79999999999995</v>
      </c>
      <c r="L1266" s="35">
        <v>1990966.77</v>
      </c>
      <c r="M1266" s="36">
        <v>10</v>
      </c>
      <c r="N1266" s="40">
        <v>68962</v>
      </c>
      <c r="O1266" s="40">
        <v>0</v>
      </c>
      <c r="P1266" s="40">
        <v>0</v>
      </c>
      <c r="Q1266" s="40">
        <v>0</v>
      </c>
      <c r="R1266" s="40">
        <v>275.8</v>
      </c>
      <c r="S1266" s="40">
        <v>70871.199999999997</v>
      </c>
      <c r="T1266" s="40">
        <v>30000</v>
      </c>
      <c r="U1266" s="40">
        <v>49276</v>
      </c>
      <c r="V1266" s="40">
        <v>0</v>
      </c>
      <c r="W1266" s="45">
        <v>219385</v>
      </c>
      <c r="X1266" s="46">
        <v>11.0190186649876</v>
      </c>
    </row>
    <row r="1267" spans="1:24" s="4" customFormat="1" ht="15" customHeight="1">
      <c r="A1267" s="28" t="s">
        <v>3483</v>
      </c>
      <c r="B1267" s="29">
        <v>3387.15</v>
      </c>
      <c r="C1267" s="30" t="s">
        <v>3493</v>
      </c>
      <c r="D1267" s="2">
        <v>4952287292</v>
      </c>
      <c r="E1267" s="2" t="s">
        <v>14</v>
      </c>
      <c r="F1267" s="2" t="s">
        <v>3494</v>
      </c>
      <c r="G1267" s="28" t="s">
        <v>13</v>
      </c>
      <c r="H1267" s="2" t="s">
        <v>23</v>
      </c>
      <c r="I1267" s="2">
        <v>1</v>
      </c>
      <c r="J1267" s="2"/>
      <c r="K1267" s="2">
        <v>2351.1999999999998</v>
      </c>
      <c r="L1267" s="35">
        <v>7963867.0800000001</v>
      </c>
      <c r="M1267" s="36">
        <v>40</v>
      </c>
      <c r="N1267" s="40">
        <v>275848</v>
      </c>
      <c r="O1267" s="40">
        <v>0</v>
      </c>
      <c r="P1267" s="40">
        <v>0</v>
      </c>
      <c r="Q1267" s="40">
        <v>0</v>
      </c>
      <c r="R1267" s="40">
        <v>1103.2</v>
      </c>
      <c r="S1267" s="40">
        <v>283484.79999999999</v>
      </c>
      <c r="T1267" s="40">
        <v>30000</v>
      </c>
      <c r="U1267" s="40">
        <v>197104</v>
      </c>
      <c r="V1267" s="40">
        <v>0</v>
      </c>
      <c r="W1267" s="45">
        <v>787540</v>
      </c>
      <c r="X1267" s="46">
        <v>9.8889144191994696</v>
      </c>
    </row>
    <row r="1268" spans="1:24" s="4" customFormat="1" ht="15" customHeight="1">
      <c r="A1268" s="28" t="s">
        <v>3483</v>
      </c>
      <c r="B1268" s="29">
        <v>3387.15</v>
      </c>
      <c r="C1268" s="30" t="s">
        <v>3495</v>
      </c>
      <c r="D1268" s="2">
        <v>4952698988</v>
      </c>
      <c r="E1268" s="2" t="s">
        <v>14</v>
      </c>
      <c r="F1268" s="2" t="s">
        <v>3496</v>
      </c>
      <c r="G1268" s="28" t="s">
        <v>13</v>
      </c>
      <c r="H1268" s="2" t="s">
        <v>23</v>
      </c>
      <c r="I1268" s="2">
        <v>1</v>
      </c>
      <c r="J1268" s="2"/>
      <c r="K1268" s="2">
        <v>148.24</v>
      </c>
      <c r="L1268" s="35">
        <v>502111.11599999998</v>
      </c>
      <c r="M1268" s="36">
        <v>10</v>
      </c>
      <c r="N1268" s="40">
        <v>1120106</v>
      </c>
      <c r="O1268" s="40">
        <v>0</v>
      </c>
      <c r="P1268" s="40">
        <v>0</v>
      </c>
      <c r="Q1268" s="40">
        <v>0</v>
      </c>
      <c r="R1268" s="40">
        <v>4834</v>
      </c>
      <c r="S1268" s="40">
        <v>354356</v>
      </c>
      <c r="T1268" s="40">
        <v>30000</v>
      </c>
      <c r="U1268" s="40">
        <v>2346.4761904761899</v>
      </c>
      <c r="V1268" s="40">
        <v>0</v>
      </c>
      <c r="W1268" s="45">
        <v>1511642.4761904799</v>
      </c>
      <c r="X1268" s="46">
        <v>301.05736121374298</v>
      </c>
    </row>
    <row r="1269" spans="1:24" s="4" customFormat="1" ht="15" customHeight="1">
      <c r="A1269" s="28" t="s">
        <v>3483</v>
      </c>
      <c r="B1269" s="29">
        <v>3387.15</v>
      </c>
      <c r="C1269" s="30" t="s">
        <v>3501</v>
      </c>
      <c r="D1269" s="2">
        <v>4952577854</v>
      </c>
      <c r="E1269" s="2" t="s">
        <v>14</v>
      </c>
      <c r="F1269" s="2" t="s">
        <v>3502</v>
      </c>
      <c r="G1269" s="28" t="s">
        <v>13</v>
      </c>
      <c r="H1269" s="2" t="s">
        <v>23</v>
      </c>
      <c r="I1269" s="2">
        <v>8</v>
      </c>
      <c r="J1269" s="2"/>
      <c r="K1269" s="2">
        <v>4577.6000000000004</v>
      </c>
      <c r="L1269" s="35">
        <v>15505017.84</v>
      </c>
      <c r="M1269" s="36">
        <v>40</v>
      </c>
      <c r="N1269" s="40">
        <v>774944</v>
      </c>
      <c r="O1269" s="40">
        <v>0</v>
      </c>
      <c r="P1269" s="40">
        <v>300000</v>
      </c>
      <c r="Q1269" s="40">
        <v>0</v>
      </c>
      <c r="R1269" s="40">
        <v>9571</v>
      </c>
      <c r="S1269" s="40">
        <v>354356</v>
      </c>
      <c r="T1269" s="40">
        <v>30000</v>
      </c>
      <c r="U1269" s="40">
        <v>98552</v>
      </c>
      <c r="V1269" s="40">
        <v>0</v>
      </c>
      <c r="W1269" s="45">
        <v>1567423</v>
      </c>
      <c r="X1269" s="46">
        <v>10.109133805420999</v>
      </c>
    </row>
    <row r="1270" spans="1:24" s="4" customFormat="1" ht="15" customHeight="1">
      <c r="A1270" s="28" t="s">
        <v>3483</v>
      </c>
      <c r="B1270" s="29">
        <v>3387.15</v>
      </c>
      <c r="C1270" s="30" t="s">
        <v>3503</v>
      </c>
      <c r="D1270" s="2">
        <v>4952899034</v>
      </c>
      <c r="E1270" s="2" t="s">
        <v>14</v>
      </c>
      <c r="F1270" s="2" t="s">
        <v>3504</v>
      </c>
      <c r="G1270" s="28" t="s">
        <v>13</v>
      </c>
      <c r="H1270" s="2" t="s">
        <v>23</v>
      </c>
      <c r="I1270" s="2">
        <v>4</v>
      </c>
      <c r="J1270" s="2"/>
      <c r="K1270" s="2">
        <v>5036.6000000000004</v>
      </c>
      <c r="L1270" s="35">
        <v>17059719.690000001</v>
      </c>
      <c r="M1270" s="36">
        <v>20</v>
      </c>
      <c r="N1270" s="40">
        <v>447465</v>
      </c>
      <c r="O1270" s="40">
        <v>0</v>
      </c>
      <c r="P1270" s="40">
        <v>0</v>
      </c>
      <c r="Q1270" s="40">
        <v>0</v>
      </c>
      <c r="R1270" s="40">
        <v>1790</v>
      </c>
      <c r="S1270" s="40">
        <v>354356</v>
      </c>
      <c r="T1270" s="40">
        <v>30000</v>
      </c>
      <c r="U1270" s="40">
        <v>246380</v>
      </c>
      <c r="V1270" s="40">
        <v>0</v>
      </c>
      <c r="W1270" s="45">
        <v>1079991</v>
      </c>
      <c r="X1270" s="46">
        <v>6.33064915265322</v>
      </c>
    </row>
    <row r="1271" spans="1:24" s="4" customFormat="1" ht="15" customHeight="1">
      <c r="A1271" s="28" t="s">
        <v>3483</v>
      </c>
      <c r="B1271" s="29">
        <v>3387.15</v>
      </c>
      <c r="C1271" s="30" t="s">
        <v>3505</v>
      </c>
      <c r="D1271" s="2">
        <v>4951796947</v>
      </c>
      <c r="E1271" s="2" t="s">
        <v>14</v>
      </c>
      <c r="F1271" s="2" t="s">
        <v>3506</v>
      </c>
      <c r="G1271" s="28" t="s">
        <v>13</v>
      </c>
      <c r="H1271" s="2" t="s">
        <v>23</v>
      </c>
      <c r="I1271" s="2">
        <v>2</v>
      </c>
      <c r="J1271" s="2"/>
      <c r="K1271" s="2">
        <v>1641.6</v>
      </c>
      <c r="L1271" s="35">
        <v>5560345.4400000004</v>
      </c>
      <c r="M1271" s="36">
        <v>40</v>
      </c>
      <c r="N1271" s="40">
        <v>1081806</v>
      </c>
      <c r="O1271" s="40">
        <v>0</v>
      </c>
      <c r="P1271" s="40">
        <v>0</v>
      </c>
      <c r="Q1271" s="40">
        <v>0</v>
      </c>
      <c r="R1271" s="40">
        <v>5740</v>
      </c>
      <c r="S1271" s="40">
        <v>354356</v>
      </c>
      <c r="T1271" s="40">
        <v>30000</v>
      </c>
      <c r="U1271" s="40">
        <v>246380</v>
      </c>
      <c r="V1271" s="40">
        <v>0</v>
      </c>
      <c r="W1271" s="45">
        <v>1718282</v>
      </c>
      <c r="X1271" s="46">
        <v>30.902432565412699</v>
      </c>
    </row>
    <row r="1272" spans="1:24" s="4" customFormat="1" ht="15" customHeight="1">
      <c r="A1272" s="28" t="s">
        <v>3483</v>
      </c>
      <c r="B1272" s="29">
        <v>3387.15</v>
      </c>
      <c r="C1272" s="30" t="s">
        <v>3507</v>
      </c>
      <c r="D1272" s="2">
        <v>4952701157</v>
      </c>
      <c r="E1272" s="2" t="s">
        <v>14</v>
      </c>
      <c r="F1272" s="2" t="s">
        <v>3508</v>
      </c>
      <c r="G1272" s="28" t="s">
        <v>13</v>
      </c>
      <c r="H1272" s="2" t="s">
        <v>23</v>
      </c>
      <c r="I1272" s="2">
        <v>1</v>
      </c>
      <c r="J1272" s="2"/>
      <c r="K1272" s="2">
        <v>1964.6</v>
      </c>
      <c r="L1272" s="35">
        <v>6654394.8899999997</v>
      </c>
      <c r="M1272" s="36">
        <v>20</v>
      </c>
      <c r="N1272" s="40">
        <v>316131</v>
      </c>
      <c r="O1272" s="40">
        <v>0</v>
      </c>
      <c r="P1272" s="40">
        <v>0</v>
      </c>
      <c r="Q1272" s="40">
        <v>0</v>
      </c>
      <c r="R1272" s="40">
        <v>1265</v>
      </c>
      <c r="S1272" s="40">
        <v>354356</v>
      </c>
      <c r="T1272" s="40">
        <v>30000</v>
      </c>
      <c r="U1272" s="40">
        <v>32850.666666666701</v>
      </c>
      <c r="V1272" s="40">
        <v>0</v>
      </c>
      <c r="W1272" s="45">
        <v>734602.66666666698</v>
      </c>
      <c r="X1272" s="46">
        <v>11.0393608856998</v>
      </c>
    </row>
    <row r="1273" spans="1:24" s="4" customFormat="1" ht="15" customHeight="1">
      <c r="A1273" s="28" t="s">
        <v>3483</v>
      </c>
      <c r="B1273" s="29">
        <v>3387.15</v>
      </c>
      <c r="C1273" s="30" t="s">
        <v>3509</v>
      </c>
      <c r="D1273" s="2">
        <v>4952571599</v>
      </c>
      <c r="E1273" s="2" t="s">
        <v>14</v>
      </c>
      <c r="F1273" s="2" t="s">
        <v>3510</v>
      </c>
      <c r="G1273" s="28" t="s">
        <v>13</v>
      </c>
      <c r="H1273" s="2" t="s">
        <v>23</v>
      </c>
      <c r="I1273" s="2">
        <v>1</v>
      </c>
      <c r="J1273" s="2"/>
      <c r="K1273" s="2">
        <v>583.6</v>
      </c>
      <c r="L1273" s="35">
        <v>1976740.74</v>
      </c>
      <c r="M1273" s="36">
        <v>20</v>
      </c>
      <c r="N1273" s="40">
        <v>318640.37</v>
      </c>
      <c r="O1273" s="40">
        <v>0</v>
      </c>
      <c r="P1273" s="40">
        <v>0</v>
      </c>
      <c r="Q1273" s="40">
        <v>0</v>
      </c>
      <c r="R1273" s="40">
        <v>1275</v>
      </c>
      <c r="S1273" s="40">
        <v>354356</v>
      </c>
      <c r="T1273" s="40">
        <v>30000</v>
      </c>
      <c r="U1273" s="40">
        <v>4692.9523809523798</v>
      </c>
      <c r="V1273" s="40">
        <v>0</v>
      </c>
      <c r="W1273" s="45">
        <v>708964.32238095195</v>
      </c>
      <c r="X1273" s="46">
        <v>35.865316479537498</v>
      </c>
    </row>
    <row r="1274" spans="1:24" s="4" customFormat="1" ht="15" customHeight="1">
      <c r="A1274" s="28" t="s">
        <v>3483</v>
      </c>
      <c r="B1274" s="29">
        <v>3387.15</v>
      </c>
      <c r="C1274" s="30" t="s">
        <v>3511</v>
      </c>
      <c r="D1274" s="2">
        <v>4952243401</v>
      </c>
      <c r="E1274" s="2" t="s">
        <v>14</v>
      </c>
      <c r="F1274" s="2" t="s">
        <v>3512</v>
      </c>
      <c r="G1274" s="28" t="s">
        <v>13</v>
      </c>
      <c r="H1274" s="2" t="s">
        <v>23</v>
      </c>
      <c r="I1274" s="2">
        <v>12</v>
      </c>
      <c r="J1274" s="2"/>
      <c r="K1274" s="2">
        <v>6866.4</v>
      </c>
      <c r="L1274" s="35">
        <v>23257526.760000002</v>
      </c>
      <c r="M1274" s="36">
        <v>60</v>
      </c>
      <c r="N1274" s="40">
        <v>841573</v>
      </c>
      <c r="O1274" s="40">
        <v>0</v>
      </c>
      <c r="P1274" s="40">
        <v>300000</v>
      </c>
      <c r="Q1274" s="40">
        <v>0</v>
      </c>
      <c r="R1274" s="40">
        <v>10961</v>
      </c>
      <c r="S1274" s="40">
        <v>354356</v>
      </c>
      <c r="T1274" s="40">
        <v>30000</v>
      </c>
      <c r="U1274" s="40">
        <v>147828</v>
      </c>
      <c r="V1274" s="40">
        <v>0</v>
      </c>
      <c r="W1274" s="45">
        <v>1684718</v>
      </c>
      <c r="X1274" s="46">
        <v>7.2437538926000604</v>
      </c>
    </row>
    <row r="1275" spans="1:24" s="4" customFormat="1" ht="15" customHeight="1">
      <c r="A1275" s="28" t="s">
        <v>3483</v>
      </c>
      <c r="B1275" s="29">
        <v>3387.15</v>
      </c>
      <c r="C1275" s="30" t="s">
        <v>3515</v>
      </c>
      <c r="D1275" s="2">
        <v>4952571599</v>
      </c>
      <c r="E1275" s="2" t="s">
        <v>14</v>
      </c>
      <c r="F1275" s="2" t="s">
        <v>3516</v>
      </c>
      <c r="G1275" s="28" t="s">
        <v>13</v>
      </c>
      <c r="H1275" s="2" t="s">
        <v>23</v>
      </c>
      <c r="I1275" s="2">
        <v>3</v>
      </c>
      <c r="J1275" s="2"/>
      <c r="K1275" s="2">
        <v>1920.9</v>
      </c>
      <c r="L1275" s="35">
        <v>6506376.4349999996</v>
      </c>
      <c r="M1275" s="36">
        <v>30</v>
      </c>
      <c r="N1275" s="40">
        <v>108261.461538462</v>
      </c>
      <c r="O1275" s="40">
        <v>0</v>
      </c>
      <c r="P1275" s="40">
        <v>0</v>
      </c>
      <c r="Q1275" s="40">
        <v>0</v>
      </c>
      <c r="R1275" s="40">
        <v>3202.1538461538498</v>
      </c>
      <c r="S1275" s="40">
        <v>81774.461538461503</v>
      </c>
      <c r="T1275" s="40">
        <v>30000</v>
      </c>
      <c r="U1275" s="40">
        <v>49276</v>
      </c>
      <c r="V1275" s="40">
        <v>0</v>
      </c>
      <c r="W1275" s="45">
        <v>272514.07692307699</v>
      </c>
      <c r="X1275" s="46">
        <v>4.18841546666639</v>
      </c>
    </row>
    <row r="1276" spans="1:24" s="4" customFormat="1" ht="15" customHeight="1">
      <c r="A1276" s="28" t="s">
        <v>3483</v>
      </c>
      <c r="B1276" s="29">
        <v>3387.15</v>
      </c>
      <c r="C1276" s="30" t="s">
        <v>3515</v>
      </c>
      <c r="D1276" s="2">
        <v>4952571599</v>
      </c>
      <c r="E1276" s="2" t="s">
        <v>14</v>
      </c>
      <c r="F1276" s="2" t="s">
        <v>3516</v>
      </c>
      <c r="G1276" s="28" t="s">
        <v>13</v>
      </c>
      <c r="H1276" s="2" t="s">
        <v>23</v>
      </c>
      <c r="I1276" s="2">
        <v>3</v>
      </c>
      <c r="J1276" s="2"/>
      <c r="K1276" s="2">
        <v>1768.2</v>
      </c>
      <c r="L1276" s="35">
        <v>5989158.6299999999</v>
      </c>
      <c r="M1276" s="36">
        <v>60</v>
      </c>
      <c r="N1276" s="40">
        <v>216522.92307692301</v>
      </c>
      <c r="O1276" s="40">
        <v>0</v>
      </c>
      <c r="P1276" s="40">
        <v>0</v>
      </c>
      <c r="Q1276" s="40">
        <v>0</v>
      </c>
      <c r="R1276" s="40">
        <v>6404.3076923076896</v>
      </c>
      <c r="S1276" s="40">
        <v>163548.92307692301</v>
      </c>
      <c r="T1276" s="40">
        <v>30000</v>
      </c>
      <c r="U1276" s="40">
        <v>98552</v>
      </c>
      <c r="V1276" s="40">
        <v>0</v>
      </c>
      <c r="W1276" s="45">
        <v>515028.15384615399</v>
      </c>
      <c r="X1276" s="46">
        <v>8.59934066976205</v>
      </c>
    </row>
    <row r="1277" spans="1:24" s="4" customFormat="1" ht="15" customHeight="1">
      <c r="A1277" s="28" t="s">
        <v>3483</v>
      </c>
      <c r="B1277" s="29">
        <v>3387.15</v>
      </c>
      <c r="C1277" s="30" t="s">
        <v>3515</v>
      </c>
      <c r="D1277" s="2">
        <v>4952287295</v>
      </c>
      <c r="E1277" s="2" t="s">
        <v>14</v>
      </c>
      <c r="F1277" s="2" t="s">
        <v>3516</v>
      </c>
      <c r="G1277" s="28" t="s">
        <v>13</v>
      </c>
      <c r="H1277" s="2" t="s">
        <v>23</v>
      </c>
      <c r="I1277" s="2">
        <v>3</v>
      </c>
      <c r="J1277" s="2"/>
      <c r="K1277" s="2">
        <v>1964.6</v>
      </c>
      <c r="L1277" s="35">
        <v>6654394.8899999997</v>
      </c>
      <c r="M1277" s="36">
        <v>20</v>
      </c>
      <c r="N1277" s="40">
        <v>72174.307692307702</v>
      </c>
      <c r="O1277" s="40">
        <v>0</v>
      </c>
      <c r="P1277" s="40">
        <v>0</v>
      </c>
      <c r="Q1277" s="40">
        <v>0</v>
      </c>
      <c r="R1277" s="40">
        <v>2134.76923076923</v>
      </c>
      <c r="S1277" s="40">
        <v>54516.307692307702</v>
      </c>
      <c r="T1277" s="40">
        <v>30000</v>
      </c>
      <c r="U1277" s="40">
        <v>32850.666666666701</v>
      </c>
      <c r="V1277" s="40">
        <v>0</v>
      </c>
      <c r="W1277" s="45">
        <v>191676.05128205099</v>
      </c>
      <c r="X1277" s="46">
        <v>2.88044299219596</v>
      </c>
    </row>
    <row r="1278" spans="1:24" s="4" customFormat="1" ht="15" customHeight="1">
      <c r="A1278" s="28" t="s">
        <v>3483</v>
      </c>
      <c r="B1278" s="29">
        <v>3387.15</v>
      </c>
      <c r="C1278" s="30" t="s">
        <v>3515</v>
      </c>
      <c r="D1278" s="2">
        <v>4951796910</v>
      </c>
      <c r="E1278" s="2" t="s">
        <v>14</v>
      </c>
      <c r="F1278" s="2" t="s">
        <v>3516</v>
      </c>
      <c r="G1278" s="28" t="s">
        <v>13</v>
      </c>
      <c r="H1278" s="2" t="s">
        <v>23</v>
      </c>
      <c r="I1278" s="2">
        <v>3</v>
      </c>
      <c r="J1278" s="2"/>
      <c r="K1278" s="2">
        <v>1964.6</v>
      </c>
      <c r="L1278" s="35">
        <v>6654394.8899999997</v>
      </c>
      <c r="M1278" s="36">
        <v>20</v>
      </c>
      <c r="N1278" s="40">
        <v>72174.307692307702</v>
      </c>
      <c r="O1278" s="40">
        <v>0</v>
      </c>
      <c r="P1278" s="40">
        <v>0</v>
      </c>
      <c r="Q1278" s="40">
        <v>0</v>
      </c>
      <c r="R1278" s="40">
        <v>2134.76923076923</v>
      </c>
      <c r="S1278" s="40">
        <v>54516.307692307702</v>
      </c>
      <c r="T1278" s="40">
        <v>30000</v>
      </c>
      <c r="U1278" s="40">
        <v>32850.666666666701</v>
      </c>
      <c r="V1278" s="40">
        <v>0</v>
      </c>
      <c r="W1278" s="45">
        <v>191676.05128205099</v>
      </c>
      <c r="X1278" s="46">
        <v>2.88044299219596</v>
      </c>
    </row>
    <row r="1279" spans="1:24" s="4" customFormat="1" ht="15" customHeight="1">
      <c r="A1279" s="28" t="s">
        <v>3483</v>
      </c>
      <c r="B1279" s="29">
        <v>3387.15</v>
      </c>
      <c r="C1279" s="30" t="s">
        <v>3517</v>
      </c>
      <c r="D1279" s="2">
        <v>4952162026</v>
      </c>
      <c r="E1279" s="2" t="s">
        <v>14</v>
      </c>
      <c r="F1279" s="2" t="s">
        <v>3518</v>
      </c>
      <c r="G1279" s="28" t="s">
        <v>13</v>
      </c>
      <c r="H1279" s="2" t="s">
        <v>23</v>
      </c>
      <c r="I1279" s="2">
        <v>1</v>
      </c>
      <c r="J1279" s="2"/>
      <c r="K1279" s="2">
        <v>773.4</v>
      </c>
      <c r="L1279" s="35">
        <v>2619621.81</v>
      </c>
      <c r="M1279" s="36">
        <v>20</v>
      </c>
      <c r="N1279" s="40">
        <v>118567.43</v>
      </c>
      <c r="O1279" s="40">
        <v>0</v>
      </c>
      <c r="P1279" s="40">
        <v>320000</v>
      </c>
      <c r="Q1279" s="40">
        <v>0</v>
      </c>
      <c r="R1279" s="40">
        <v>1754</v>
      </c>
      <c r="S1279" s="40">
        <v>354356</v>
      </c>
      <c r="T1279" s="40">
        <v>30000</v>
      </c>
      <c r="U1279" s="40">
        <v>246380</v>
      </c>
      <c r="V1279" s="40">
        <v>0</v>
      </c>
      <c r="W1279" s="45">
        <v>1071057.43</v>
      </c>
      <c r="X1279" s="46">
        <v>40.885956358715802</v>
      </c>
    </row>
    <row r="1280" spans="1:24" s="4" customFormat="1" ht="15" customHeight="1">
      <c r="A1280" s="28" t="s">
        <v>3483</v>
      </c>
      <c r="B1280" s="29">
        <v>3387.15</v>
      </c>
      <c r="C1280" s="30" t="s">
        <v>3519</v>
      </c>
      <c r="D1280" s="2">
        <v>4951796943</v>
      </c>
      <c r="E1280" s="2" t="s">
        <v>14</v>
      </c>
      <c r="F1280" s="2" t="s">
        <v>3520</v>
      </c>
      <c r="G1280" s="28" t="s">
        <v>13</v>
      </c>
      <c r="H1280" s="2" t="s">
        <v>23</v>
      </c>
      <c r="I1280" s="2">
        <v>4</v>
      </c>
      <c r="J1280" s="2"/>
      <c r="K1280" s="2">
        <v>2288.8000000000002</v>
      </c>
      <c r="L1280" s="35">
        <v>7752508.9199999999</v>
      </c>
      <c r="M1280" s="36">
        <v>20</v>
      </c>
      <c r="N1280" s="40">
        <v>597215</v>
      </c>
      <c r="O1280" s="40">
        <v>0</v>
      </c>
      <c r="P1280" s="40">
        <v>300000</v>
      </c>
      <c r="Q1280" s="40">
        <v>0</v>
      </c>
      <c r="R1280" s="40">
        <v>4000</v>
      </c>
      <c r="S1280" s="40">
        <v>354356</v>
      </c>
      <c r="T1280" s="40">
        <v>30000</v>
      </c>
      <c r="U1280" s="40">
        <v>75809.230769230795</v>
      </c>
      <c r="V1280" s="40">
        <v>0</v>
      </c>
      <c r="W1280" s="45">
        <v>1361380.2307692301</v>
      </c>
      <c r="X1280" s="46">
        <v>17.560511633300099</v>
      </c>
    </row>
    <row r="1281" spans="1:24" s="4" customFormat="1" ht="15" customHeight="1">
      <c r="A1281" s="28" t="s">
        <v>3483</v>
      </c>
      <c r="B1281" s="29">
        <v>3387.15</v>
      </c>
      <c r="C1281" s="30" t="s">
        <v>3521</v>
      </c>
      <c r="D1281" s="2">
        <v>4952701157</v>
      </c>
      <c r="E1281" s="2" t="s">
        <v>14</v>
      </c>
      <c r="F1281" s="2">
        <v>1028229024</v>
      </c>
      <c r="G1281" s="28" t="s">
        <v>13</v>
      </c>
      <c r="H1281" s="2" t="s">
        <v>23</v>
      </c>
      <c r="I1281" s="2">
        <v>1</v>
      </c>
      <c r="J1281" s="2"/>
      <c r="K1281" s="2">
        <v>997.68</v>
      </c>
      <c r="L1281" s="35">
        <v>3379291.8119999999</v>
      </c>
      <c r="M1281" s="36">
        <v>2500</v>
      </c>
      <c r="N1281" s="40">
        <v>153541</v>
      </c>
      <c r="O1281" s="40">
        <v>0</v>
      </c>
      <c r="P1281" s="40">
        <v>0</v>
      </c>
      <c r="Q1281" s="40">
        <v>0</v>
      </c>
      <c r="R1281" s="40">
        <v>514</v>
      </c>
      <c r="S1281" s="40">
        <v>354356</v>
      </c>
      <c r="T1281" s="40">
        <v>30000</v>
      </c>
      <c r="U1281" s="40">
        <v>3677.3134328358201</v>
      </c>
      <c r="V1281" s="40">
        <v>0</v>
      </c>
      <c r="W1281" s="45">
        <v>542088.31343283597</v>
      </c>
      <c r="X1281" s="46">
        <v>16.041476841622799</v>
      </c>
    </row>
    <row r="1282" spans="1:24" s="4" customFormat="1" ht="15" customHeight="1">
      <c r="A1282" s="28" t="s">
        <v>3483</v>
      </c>
      <c r="B1282" s="29">
        <v>3387.15</v>
      </c>
      <c r="C1282" s="30" t="s">
        <v>3522</v>
      </c>
      <c r="D1282" s="2">
        <v>4952287266</v>
      </c>
      <c r="E1282" s="2" t="s">
        <v>14</v>
      </c>
      <c r="F1282" s="2">
        <v>1028228906</v>
      </c>
      <c r="G1282" s="28" t="s">
        <v>13</v>
      </c>
      <c r="H1282" s="2" t="s">
        <v>23</v>
      </c>
      <c r="I1282" s="2">
        <v>1</v>
      </c>
      <c r="J1282" s="2"/>
      <c r="K1282" s="2">
        <v>3856</v>
      </c>
      <c r="L1282" s="35">
        <v>13060850.4</v>
      </c>
      <c r="M1282" s="36">
        <v>50</v>
      </c>
      <c r="N1282" s="40">
        <v>123605.72500000001</v>
      </c>
      <c r="O1282" s="40">
        <v>0</v>
      </c>
      <c r="P1282" s="40">
        <v>0</v>
      </c>
      <c r="Q1282" s="40">
        <v>0</v>
      </c>
      <c r="R1282" s="40">
        <v>3494</v>
      </c>
      <c r="S1282" s="40">
        <v>177178</v>
      </c>
      <c r="T1282" s="40">
        <v>30000</v>
      </c>
      <c r="U1282" s="40">
        <v>73546.268656716406</v>
      </c>
      <c r="V1282" s="40">
        <v>0</v>
      </c>
      <c r="W1282" s="45">
        <v>407823.99365671602</v>
      </c>
      <c r="X1282" s="46">
        <v>3.1224918835048898</v>
      </c>
    </row>
    <row r="1283" spans="1:24" s="4" customFormat="1" ht="15" customHeight="1">
      <c r="A1283" s="28" t="s">
        <v>3483</v>
      </c>
      <c r="B1283" s="29">
        <v>3387.15</v>
      </c>
      <c r="C1283" s="30" t="s">
        <v>3522</v>
      </c>
      <c r="D1283" s="2">
        <v>4952287268</v>
      </c>
      <c r="E1283" s="2" t="s">
        <v>14</v>
      </c>
      <c r="F1283" s="2">
        <v>1028228906</v>
      </c>
      <c r="G1283" s="28" t="s">
        <v>13</v>
      </c>
      <c r="H1283" s="2" t="s">
        <v>23</v>
      </c>
      <c r="I1283" s="2">
        <v>1</v>
      </c>
      <c r="J1283" s="2"/>
      <c r="K1283" s="2">
        <v>3856</v>
      </c>
      <c r="L1283" s="35">
        <v>13060850.4</v>
      </c>
      <c r="M1283" s="36">
        <v>50</v>
      </c>
      <c r="N1283" s="40">
        <v>123605.72500000001</v>
      </c>
      <c r="O1283" s="40">
        <v>0</v>
      </c>
      <c r="P1283" s="40">
        <v>0</v>
      </c>
      <c r="Q1283" s="40">
        <v>0</v>
      </c>
      <c r="R1283" s="40">
        <v>3494</v>
      </c>
      <c r="S1283" s="40">
        <v>177178</v>
      </c>
      <c r="T1283" s="40">
        <v>30000</v>
      </c>
      <c r="U1283" s="40">
        <v>73546.268656716406</v>
      </c>
      <c r="V1283" s="40">
        <v>0</v>
      </c>
      <c r="W1283" s="45">
        <v>407823.99365671602</v>
      </c>
      <c r="X1283" s="46">
        <v>3.1224918835048898</v>
      </c>
    </row>
    <row r="1284" spans="1:24" s="4" customFormat="1" ht="15" customHeight="1">
      <c r="A1284" s="28" t="s">
        <v>3483</v>
      </c>
      <c r="B1284" s="29">
        <v>3387.15</v>
      </c>
      <c r="C1284" s="30" t="s">
        <v>3525</v>
      </c>
      <c r="D1284" s="2">
        <v>4952701157</v>
      </c>
      <c r="E1284" s="2" t="s">
        <v>14</v>
      </c>
      <c r="F1284" s="2">
        <v>1028229076</v>
      </c>
      <c r="G1284" s="28" t="s">
        <v>13</v>
      </c>
      <c r="H1284" s="2" t="s">
        <v>23</v>
      </c>
      <c r="I1284" s="2">
        <v>1</v>
      </c>
      <c r="J1284" s="2"/>
      <c r="K1284" s="2">
        <v>5712.8</v>
      </c>
      <c r="L1284" s="35">
        <v>19350110.52</v>
      </c>
      <c r="M1284" s="36">
        <v>40</v>
      </c>
      <c r="N1284" s="40">
        <v>153541.35999999999</v>
      </c>
      <c r="O1284" s="40">
        <v>0</v>
      </c>
      <c r="P1284" s="40">
        <v>0</v>
      </c>
      <c r="Q1284" s="40">
        <v>0</v>
      </c>
      <c r="R1284" s="40">
        <v>3614</v>
      </c>
      <c r="S1284" s="40">
        <v>354356</v>
      </c>
      <c r="T1284" s="40">
        <v>30000</v>
      </c>
      <c r="U1284" s="40">
        <v>58837.0149253731</v>
      </c>
      <c r="V1284" s="40">
        <v>0</v>
      </c>
      <c r="W1284" s="45">
        <v>600348.37492537301</v>
      </c>
      <c r="X1284" s="46">
        <v>3.1025578603536199</v>
      </c>
    </row>
    <row r="1285" spans="1:24" s="4" customFormat="1" ht="15" customHeight="1">
      <c r="A1285" s="28" t="s">
        <v>3483</v>
      </c>
      <c r="B1285" s="29">
        <v>3387.15</v>
      </c>
      <c r="C1285" s="30" t="s">
        <v>3526</v>
      </c>
      <c r="D1285" s="2">
        <v>4952860092</v>
      </c>
      <c r="E1285" s="2" t="s">
        <v>14</v>
      </c>
      <c r="F1285" s="2" t="s">
        <v>3527</v>
      </c>
      <c r="G1285" s="28" t="s">
        <v>13</v>
      </c>
      <c r="H1285" s="2" t="s">
        <v>23</v>
      </c>
      <c r="I1285" s="2">
        <v>1</v>
      </c>
      <c r="J1285" s="2"/>
      <c r="K1285" s="2">
        <v>556.5</v>
      </c>
      <c r="L1285" s="35">
        <v>1884948.9750000001</v>
      </c>
      <c r="M1285" s="36">
        <v>25</v>
      </c>
      <c r="N1285" s="40">
        <v>1151121</v>
      </c>
      <c r="O1285" s="40">
        <v>0</v>
      </c>
      <c r="P1285" s="40">
        <v>0</v>
      </c>
      <c r="Q1285" s="40">
        <v>0</v>
      </c>
      <c r="R1285" s="40">
        <v>5529</v>
      </c>
      <c r="S1285" s="40">
        <v>354356</v>
      </c>
      <c r="T1285" s="40">
        <v>30000</v>
      </c>
      <c r="U1285" s="40">
        <v>36773.134328358203</v>
      </c>
      <c r="V1285" s="40">
        <v>0</v>
      </c>
      <c r="W1285" s="45">
        <v>1577779.13432836</v>
      </c>
      <c r="X1285" s="46">
        <v>83.704076622464399</v>
      </c>
    </row>
    <row r="1286" spans="1:24" s="4" customFormat="1" ht="15" customHeight="1">
      <c r="A1286" s="28" t="s">
        <v>3483</v>
      </c>
      <c r="B1286" s="29">
        <v>3387.15</v>
      </c>
      <c r="C1286" s="30" t="s">
        <v>3528</v>
      </c>
      <c r="D1286" s="2">
        <v>4952292350</v>
      </c>
      <c r="E1286" s="2" t="s">
        <v>14</v>
      </c>
      <c r="F1286" s="2" t="s">
        <v>3529</v>
      </c>
      <c r="G1286" s="28" t="s">
        <v>13</v>
      </c>
      <c r="H1286" s="2" t="s">
        <v>23</v>
      </c>
      <c r="I1286" s="2">
        <v>1</v>
      </c>
      <c r="J1286" s="2"/>
      <c r="K1286" s="2">
        <v>5753.7</v>
      </c>
      <c r="L1286" s="35">
        <v>19488644.954999998</v>
      </c>
      <c r="M1286" s="36">
        <v>45</v>
      </c>
      <c r="N1286" s="40">
        <v>456476</v>
      </c>
      <c r="O1286" s="40">
        <v>0</v>
      </c>
      <c r="P1286" s="40">
        <v>0</v>
      </c>
      <c r="Q1286" s="40">
        <v>0</v>
      </c>
      <c r="R1286" s="40">
        <v>6350</v>
      </c>
      <c r="S1286" s="40">
        <v>354356</v>
      </c>
      <c r="T1286" s="40">
        <v>30000</v>
      </c>
      <c r="U1286" s="40">
        <v>170570.76923076899</v>
      </c>
      <c r="V1286" s="40">
        <v>0</v>
      </c>
      <c r="W1286" s="45">
        <v>1017752.7692307699</v>
      </c>
      <c r="X1286" s="46">
        <v>5.22228595975142</v>
      </c>
    </row>
    <row r="1287" spans="1:24" s="4" customFormat="1" ht="15" customHeight="1">
      <c r="A1287" s="28" t="s">
        <v>3483</v>
      </c>
      <c r="B1287" s="29">
        <v>3387.15</v>
      </c>
      <c r="C1287" s="30" t="s">
        <v>3541</v>
      </c>
      <c r="D1287" s="2">
        <v>4951152073</v>
      </c>
      <c r="E1287" s="2" t="s">
        <v>14</v>
      </c>
      <c r="F1287" s="2" t="s">
        <v>3542</v>
      </c>
      <c r="G1287" s="28" t="s">
        <v>5</v>
      </c>
      <c r="H1287" s="2" t="s">
        <v>20</v>
      </c>
      <c r="I1287" s="2">
        <v>2</v>
      </c>
      <c r="J1287" s="2" t="s">
        <v>3543</v>
      </c>
      <c r="K1287" s="2">
        <v>65016</v>
      </c>
      <c r="L1287" s="35">
        <v>220218944.40000001</v>
      </c>
      <c r="M1287" s="36">
        <v>31680</v>
      </c>
      <c r="N1287" s="40">
        <v>644842</v>
      </c>
      <c r="O1287" s="40">
        <v>699758</v>
      </c>
      <c r="P1287" s="40">
        <v>910011</v>
      </c>
      <c r="Q1287" s="40">
        <v>198619</v>
      </c>
      <c r="R1287" s="40">
        <v>1263273</v>
      </c>
      <c r="S1287" s="40">
        <v>354356</v>
      </c>
      <c r="T1287" s="40">
        <v>30000</v>
      </c>
      <c r="U1287" s="40">
        <v>12208800</v>
      </c>
      <c r="V1287" s="40">
        <v>0</v>
      </c>
      <c r="W1287" s="45">
        <v>16309659</v>
      </c>
      <c r="X1287" s="46">
        <v>7.4061107887137796</v>
      </c>
    </row>
    <row r="1288" spans="1:24" s="4" customFormat="1" ht="15" customHeight="1">
      <c r="A1288" s="28" t="s">
        <v>3483</v>
      </c>
      <c r="B1288" s="29">
        <v>3387.15</v>
      </c>
      <c r="C1288" s="30" t="s">
        <v>3553</v>
      </c>
      <c r="D1288" s="2">
        <v>4951748538</v>
      </c>
      <c r="E1288" s="2" t="s">
        <v>14</v>
      </c>
      <c r="F1288" s="2" t="s">
        <v>3554</v>
      </c>
      <c r="G1288" s="28" t="s">
        <v>9</v>
      </c>
      <c r="H1288" s="2" t="s">
        <v>23</v>
      </c>
      <c r="I1288" s="2">
        <v>1</v>
      </c>
      <c r="J1288" s="2"/>
      <c r="K1288" s="2">
        <v>1388.4</v>
      </c>
      <c r="L1288" s="35">
        <v>4702719.0599999996</v>
      </c>
      <c r="M1288" s="36">
        <v>1068</v>
      </c>
      <c r="N1288" s="40">
        <v>587224</v>
      </c>
      <c r="O1288" s="40">
        <v>750</v>
      </c>
      <c r="P1288" s="40">
        <v>0</v>
      </c>
      <c r="Q1288" s="40">
        <v>22609</v>
      </c>
      <c r="R1288" s="40">
        <v>105927</v>
      </c>
      <c r="S1288" s="40">
        <v>354356</v>
      </c>
      <c r="T1288" s="40">
        <v>30000</v>
      </c>
      <c r="U1288" s="40">
        <v>1367700</v>
      </c>
      <c r="V1288" s="40">
        <v>0</v>
      </c>
      <c r="W1288" s="45">
        <v>2468566</v>
      </c>
      <c r="X1288" s="46">
        <v>52.492312819554201</v>
      </c>
    </row>
    <row r="1289" spans="1:24" s="4" customFormat="1" ht="15" customHeight="1">
      <c r="A1289" s="28" t="s">
        <v>3483</v>
      </c>
      <c r="B1289" s="29">
        <v>3387.15</v>
      </c>
      <c r="C1289" s="30" t="s">
        <v>3564</v>
      </c>
      <c r="D1289" s="2">
        <v>4951815963</v>
      </c>
      <c r="E1289" s="2" t="s">
        <v>14</v>
      </c>
      <c r="F1289" s="2" t="s">
        <v>3565</v>
      </c>
      <c r="G1289" s="28" t="s">
        <v>5</v>
      </c>
      <c r="H1289" s="2" t="s">
        <v>17</v>
      </c>
      <c r="I1289" s="2">
        <v>1</v>
      </c>
      <c r="J1289" s="2" t="s">
        <v>3566</v>
      </c>
      <c r="K1289" s="2">
        <v>23200</v>
      </c>
      <c r="L1289" s="35">
        <v>78581880</v>
      </c>
      <c r="M1289" s="36">
        <v>8000</v>
      </c>
      <c r="N1289" s="40">
        <v>420000</v>
      </c>
      <c r="O1289" s="40">
        <v>458999</v>
      </c>
      <c r="P1289" s="40">
        <v>382357</v>
      </c>
      <c r="Q1289" s="40">
        <v>110000</v>
      </c>
      <c r="R1289" s="40">
        <v>863542</v>
      </c>
      <c r="S1289" s="40">
        <v>354356</v>
      </c>
      <c r="T1289" s="40">
        <v>30000</v>
      </c>
      <c r="U1289" s="40">
        <v>4719050</v>
      </c>
      <c r="V1289" s="40">
        <v>0</v>
      </c>
      <c r="W1289" s="45">
        <v>7338304</v>
      </c>
      <c r="X1289" s="46">
        <v>9.3384174570524401</v>
      </c>
    </row>
    <row r="1290" spans="1:24" s="4" customFormat="1" ht="15" customHeight="1">
      <c r="A1290" s="28" t="s">
        <v>3483</v>
      </c>
      <c r="B1290" s="29">
        <v>3387.15</v>
      </c>
      <c r="C1290" s="30" t="s">
        <v>3569</v>
      </c>
      <c r="D1290" s="2">
        <v>4951268367</v>
      </c>
      <c r="E1290" s="2" t="s">
        <v>14</v>
      </c>
      <c r="F1290" s="2" t="s">
        <v>3570</v>
      </c>
      <c r="G1290" s="28" t="s">
        <v>5</v>
      </c>
      <c r="H1290" s="2" t="s">
        <v>17</v>
      </c>
      <c r="I1290" s="2">
        <v>1</v>
      </c>
      <c r="J1290" s="2" t="s">
        <v>3571</v>
      </c>
      <c r="K1290" s="2">
        <v>11520</v>
      </c>
      <c r="L1290" s="35">
        <v>39019968</v>
      </c>
      <c r="M1290" s="36">
        <v>4000</v>
      </c>
      <c r="N1290" s="40">
        <v>54725.109580463402</v>
      </c>
      <c r="O1290" s="40">
        <v>41727.181818181802</v>
      </c>
      <c r="P1290" s="40">
        <v>63845.877687330401</v>
      </c>
      <c r="Q1290" s="40">
        <v>10000</v>
      </c>
      <c r="R1290" s="40">
        <v>162478.647463995</v>
      </c>
      <c r="S1290" s="40">
        <v>59170.277603840499</v>
      </c>
      <c r="T1290" s="40">
        <v>30000</v>
      </c>
      <c r="U1290" s="40">
        <v>949956.16781465197</v>
      </c>
      <c r="V1290" s="40">
        <v>0</v>
      </c>
      <c r="W1290" s="45">
        <v>1371903.2619684599</v>
      </c>
      <c r="X1290" s="46">
        <v>3.5159005306423201</v>
      </c>
    </row>
    <row r="1291" spans="1:24" s="4" customFormat="1" ht="15" customHeight="1">
      <c r="A1291" s="28" t="s">
        <v>3483</v>
      </c>
      <c r="B1291" s="29">
        <v>3387.15</v>
      </c>
      <c r="C1291" s="30" t="s">
        <v>3569</v>
      </c>
      <c r="D1291" s="2">
        <v>4951215085</v>
      </c>
      <c r="E1291" s="2" t="s">
        <v>14</v>
      </c>
      <c r="F1291" s="2" t="s">
        <v>3570</v>
      </c>
      <c r="G1291" s="28" t="s">
        <v>5</v>
      </c>
      <c r="H1291" s="2" t="s">
        <v>17</v>
      </c>
      <c r="I1291" s="2">
        <v>1</v>
      </c>
      <c r="J1291" s="2" t="s">
        <v>3571</v>
      </c>
      <c r="K1291" s="2">
        <v>1845</v>
      </c>
      <c r="L1291" s="35">
        <v>6249291.75</v>
      </c>
      <c r="M1291" s="36">
        <v>900</v>
      </c>
      <c r="N1291" s="40">
        <v>12313.1496556043</v>
      </c>
      <c r="O1291" s="40">
        <v>41727.181818181802</v>
      </c>
      <c r="P1291" s="40">
        <v>14365.3224796493</v>
      </c>
      <c r="Q1291" s="40">
        <v>10000</v>
      </c>
      <c r="R1291" s="40">
        <v>36557.695679398901</v>
      </c>
      <c r="S1291" s="40">
        <v>13313.312460864099</v>
      </c>
      <c r="T1291" s="40">
        <v>30000</v>
      </c>
      <c r="U1291" s="40">
        <v>213740.137758297</v>
      </c>
      <c r="V1291" s="40">
        <v>0</v>
      </c>
      <c r="W1291" s="45">
        <v>372016.79985199502</v>
      </c>
      <c r="X1291" s="46">
        <v>5.9529433851763303</v>
      </c>
    </row>
    <row r="1292" spans="1:24" s="4" customFormat="1" ht="15" customHeight="1">
      <c r="A1292" s="28" t="s">
        <v>3483</v>
      </c>
      <c r="B1292" s="29">
        <v>3387.15</v>
      </c>
      <c r="C1292" s="30" t="s">
        <v>3569</v>
      </c>
      <c r="D1292" s="2">
        <v>4951726543</v>
      </c>
      <c r="E1292" s="2" t="s">
        <v>14</v>
      </c>
      <c r="F1292" s="2" t="s">
        <v>3570</v>
      </c>
      <c r="G1292" s="28" t="s">
        <v>5</v>
      </c>
      <c r="H1292" s="2" t="s">
        <v>17</v>
      </c>
      <c r="I1292" s="2">
        <v>1</v>
      </c>
      <c r="J1292" s="2" t="s">
        <v>3571</v>
      </c>
      <c r="K1292" s="2">
        <v>3690</v>
      </c>
      <c r="L1292" s="35">
        <v>12498583.5</v>
      </c>
      <c r="M1292" s="36">
        <v>1800</v>
      </c>
      <c r="N1292" s="40">
        <v>24626.299311208499</v>
      </c>
      <c r="O1292" s="40">
        <v>41727.181818181802</v>
      </c>
      <c r="P1292" s="40">
        <v>28730.644959298701</v>
      </c>
      <c r="Q1292" s="40">
        <v>10000</v>
      </c>
      <c r="R1292" s="40">
        <v>73115.3913587977</v>
      </c>
      <c r="S1292" s="40">
        <v>26626.624921728198</v>
      </c>
      <c r="T1292" s="40">
        <v>30000</v>
      </c>
      <c r="U1292" s="40">
        <v>427480.275516594</v>
      </c>
      <c r="V1292" s="40">
        <v>0</v>
      </c>
      <c r="W1292" s="45">
        <v>662306.41788580897</v>
      </c>
      <c r="X1292" s="46">
        <v>5.2990518316400301</v>
      </c>
    </row>
    <row r="1293" spans="1:24" s="4" customFormat="1" ht="15" customHeight="1">
      <c r="A1293" s="28" t="s">
        <v>3483</v>
      </c>
      <c r="B1293" s="29">
        <v>3387.15</v>
      </c>
      <c r="C1293" s="30" t="s">
        <v>3569</v>
      </c>
      <c r="D1293" s="2">
        <v>4951726543</v>
      </c>
      <c r="E1293" s="2" t="s">
        <v>14</v>
      </c>
      <c r="F1293" s="2" t="s">
        <v>3570</v>
      </c>
      <c r="G1293" s="28" t="s">
        <v>5</v>
      </c>
      <c r="H1293" s="2" t="s">
        <v>17</v>
      </c>
      <c r="I1293" s="2">
        <v>1</v>
      </c>
      <c r="J1293" s="2" t="s">
        <v>3571</v>
      </c>
      <c r="K1293" s="2">
        <v>10224</v>
      </c>
      <c r="L1293" s="35">
        <v>34630221.600000001</v>
      </c>
      <c r="M1293" s="36">
        <v>3600</v>
      </c>
      <c r="N1293" s="40">
        <v>49252.598622416997</v>
      </c>
      <c r="O1293" s="40">
        <v>41727.181818181802</v>
      </c>
      <c r="P1293" s="40">
        <v>57461.289918597402</v>
      </c>
      <c r="Q1293" s="40">
        <v>10000</v>
      </c>
      <c r="R1293" s="40">
        <v>146230.78271759499</v>
      </c>
      <c r="S1293" s="40">
        <v>53253.249843456499</v>
      </c>
      <c r="T1293" s="40">
        <v>30000</v>
      </c>
      <c r="U1293" s="40">
        <v>854960.55103318696</v>
      </c>
      <c r="V1293" s="40">
        <v>0</v>
      </c>
      <c r="W1293" s="45">
        <v>1242885.65395343</v>
      </c>
      <c r="X1293" s="46">
        <v>3.5890202156645601</v>
      </c>
    </row>
    <row r="1294" spans="1:24" s="4" customFormat="1" ht="15" customHeight="1">
      <c r="A1294" s="28" t="s">
        <v>3483</v>
      </c>
      <c r="B1294" s="29">
        <v>3387.15</v>
      </c>
      <c r="C1294" s="30" t="s">
        <v>3569</v>
      </c>
      <c r="D1294" s="2">
        <v>4951215087</v>
      </c>
      <c r="E1294" s="2" t="s">
        <v>14</v>
      </c>
      <c r="F1294" s="2" t="s">
        <v>3570</v>
      </c>
      <c r="G1294" s="28" t="s">
        <v>5</v>
      </c>
      <c r="H1294" s="2" t="s">
        <v>17</v>
      </c>
      <c r="I1294" s="2">
        <v>1</v>
      </c>
      <c r="J1294" s="2" t="s">
        <v>3571</v>
      </c>
      <c r="K1294" s="2">
        <v>10810.8</v>
      </c>
      <c r="L1294" s="35">
        <v>36617801.219999999</v>
      </c>
      <c r="M1294" s="36">
        <v>5460</v>
      </c>
      <c r="N1294" s="40">
        <v>74699.7745773325</v>
      </c>
      <c r="O1294" s="40">
        <v>41727.181818181802</v>
      </c>
      <c r="P1294" s="40">
        <v>87149.623043205997</v>
      </c>
      <c r="Q1294" s="40">
        <v>10000</v>
      </c>
      <c r="R1294" s="40">
        <v>221783.35378835301</v>
      </c>
      <c r="S1294" s="40">
        <v>80767.428929242305</v>
      </c>
      <c r="T1294" s="40">
        <v>30000</v>
      </c>
      <c r="U1294" s="40">
        <v>1296690.169067</v>
      </c>
      <c r="V1294" s="40">
        <v>0</v>
      </c>
      <c r="W1294" s="45">
        <v>1842817.5312233199</v>
      </c>
      <c r="X1294" s="46">
        <v>5.0325728739190403</v>
      </c>
    </row>
    <row r="1295" spans="1:24" s="4" customFormat="1" ht="15" customHeight="1">
      <c r="A1295" s="28" t="s">
        <v>3483</v>
      </c>
      <c r="B1295" s="29">
        <v>3387.15</v>
      </c>
      <c r="C1295" s="30" t="s">
        <v>3569</v>
      </c>
      <c r="D1295" s="2" t="s">
        <v>3572</v>
      </c>
      <c r="E1295" s="2" t="s">
        <v>14</v>
      </c>
      <c r="F1295" s="2" t="s">
        <v>3570</v>
      </c>
      <c r="G1295" s="28" t="s">
        <v>5</v>
      </c>
      <c r="H1295" s="2" t="s">
        <v>17</v>
      </c>
      <c r="I1295" s="2">
        <v>1</v>
      </c>
      <c r="J1295" s="2" t="s">
        <v>3571</v>
      </c>
      <c r="K1295" s="2">
        <v>16378</v>
      </c>
      <c r="L1295" s="35">
        <v>55474742.700000003</v>
      </c>
      <c r="M1295" s="36">
        <v>3800</v>
      </c>
      <c r="N1295" s="40">
        <v>51988.8541014402</v>
      </c>
      <c r="O1295" s="40">
        <v>41727.181818181802</v>
      </c>
      <c r="P1295" s="40">
        <v>60653.583802963898</v>
      </c>
      <c r="Q1295" s="40">
        <v>10000</v>
      </c>
      <c r="R1295" s="40">
        <v>154354.71509079501</v>
      </c>
      <c r="S1295" s="40">
        <v>56211.763723648502</v>
      </c>
      <c r="T1295" s="40">
        <v>30000</v>
      </c>
      <c r="U1295" s="40">
        <v>902458.35942392005</v>
      </c>
      <c r="V1295" s="40">
        <v>0</v>
      </c>
      <c r="W1295" s="45">
        <v>1307394.45796095</v>
      </c>
      <c r="X1295" s="46">
        <v>2.35673820973116</v>
      </c>
    </row>
    <row r="1296" spans="1:24" s="4" customFormat="1" ht="15" customHeight="1">
      <c r="A1296" s="28" t="s">
        <v>3483</v>
      </c>
      <c r="B1296" s="29">
        <v>3387.15</v>
      </c>
      <c r="C1296" s="30" t="s">
        <v>3569</v>
      </c>
      <c r="D1296" s="2">
        <v>4951275456</v>
      </c>
      <c r="E1296" s="2" t="s">
        <v>14</v>
      </c>
      <c r="F1296" s="2" t="s">
        <v>3570</v>
      </c>
      <c r="G1296" s="28" t="s">
        <v>5</v>
      </c>
      <c r="H1296" s="2" t="s">
        <v>17</v>
      </c>
      <c r="I1296" s="2">
        <v>1</v>
      </c>
      <c r="J1296" s="2" t="s">
        <v>3571</v>
      </c>
      <c r="K1296" s="2">
        <v>2115.6</v>
      </c>
      <c r="L1296" s="35">
        <v>7165854.54</v>
      </c>
      <c r="M1296" s="36">
        <v>410</v>
      </c>
      <c r="N1296" s="40">
        <v>5609.3237319974996</v>
      </c>
      <c r="O1296" s="40">
        <v>41727.181818181802</v>
      </c>
      <c r="P1296" s="40">
        <v>6544.2024629513699</v>
      </c>
      <c r="Q1296" s="40">
        <v>10000</v>
      </c>
      <c r="R1296" s="40">
        <v>16654.061365059501</v>
      </c>
      <c r="S1296" s="40">
        <v>6064.9534543936497</v>
      </c>
      <c r="T1296" s="40">
        <v>30000</v>
      </c>
      <c r="U1296" s="40">
        <v>97370.507201001907</v>
      </c>
      <c r="V1296" s="40">
        <v>0</v>
      </c>
      <c r="W1296" s="45">
        <v>213970.23003358601</v>
      </c>
      <c r="X1296" s="46">
        <v>2.98596948680995</v>
      </c>
    </row>
    <row r="1297" spans="1:24" s="4" customFormat="1" ht="15" customHeight="1">
      <c r="A1297" s="28" t="s">
        <v>3483</v>
      </c>
      <c r="B1297" s="29">
        <v>3387.15</v>
      </c>
      <c r="C1297" s="30" t="s">
        <v>3569</v>
      </c>
      <c r="D1297" s="2">
        <v>4951294589</v>
      </c>
      <c r="E1297" s="2" t="s">
        <v>14</v>
      </c>
      <c r="F1297" s="2" t="s">
        <v>3570</v>
      </c>
      <c r="G1297" s="28" t="s">
        <v>5</v>
      </c>
      <c r="H1297" s="2" t="s">
        <v>17</v>
      </c>
      <c r="I1297" s="2">
        <v>1</v>
      </c>
      <c r="J1297" s="2" t="s">
        <v>3571</v>
      </c>
      <c r="K1297" s="2">
        <v>3275.6</v>
      </c>
      <c r="L1297" s="35">
        <v>11094948.539999999</v>
      </c>
      <c r="M1297" s="36">
        <v>760</v>
      </c>
      <c r="N1297" s="40">
        <v>10397.770820288</v>
      </c>
      <c r="O1297" s="40">
        <v>41727.181818181802</v>
      </c>
      <c r="P1297" s="40">
        <v>12130.716760592801</v>
      </c>
      <c r="Q1297" s="40">
        <v>10000</v>
      </c>
      <c r="R1297" s="40">
        <v>30870.943018159</v>
      </c>
      <c r="S1297" s="40">
        <v>11242.3527447297</v>
      </c>
      <c r="T1297" s="40">
        <v>30000</v>
      </c>
      <c r="U1297" s="40">
        <v>180491.67188478401</v>
      </c>
      <c r="V1297" s="40">
        <v>0</v>
      </c>
      <c r="W1297" s="45">
        <v>326860.63704673498</v>
      </c>
      <c r="X1297" s="46">
        <v>2.94603112279722</v>
      </c>
    </row>
    <row r="1298" spans="1:24" s="4" customFormat="1" ht="15" customHeight="1">
      <c r="A1298" s="28" t="s">
        <v>3483</v>
      </c>
      <c r="B1298" s="29">
        <v>3387.15</v>
      </c>
      <c r="C1298" s="30" t="s">
        <v>3569</v>
      </c>
      <c r="D1298" s="2">
        <v>4951411353</v>
      </c>
      <c r="E1298" s="2" t="s">
        <v>14</v>
      </c>
      <c r="F1298" s="2" t="s">
        <v>3570</v>
      </c>
      <c r="G1298" s="28" t="s">
        <v>5</v>
      </c>
      <c r="H1298" s="2" t="s">
        <v>17</v>
      </c>
      <c r="I1298" s="2">
        <v>1</v>
      </c>
      <c r="J1298" s="2" t="s">
        <v>3571</v>
      </c>
      <c r="K1298" s="2">
        <v>2928</v>
      </c>
      <c r="L1298" s="35">
        <v>9917575.1999999993</v>
      </c>
      <c r="M1298" s="36">
        <v>600</v>
      </c>
      <c r="N1298" s="40">
        <v>8208.7664370695093</v>
      </c>
      <c r="O1298" s="40">
        <v>41727.181818181802</v>
      </c>
      <c r="P1298" s="40">
        <v>9576.8816530995591</v>
      </c>
      <c r="Q1298" s="40">
        <v>10000</v>
      </c>
      <c r="R1298" s="40">
        <v>24371.7971195992</v>
      </c>
      <c r="S1298" s="40">
        <v>8875.5416405760807</v>
      </c>
      <c r="T1298" s="40">
        <v>30000</v>
      </c>
      <c r="U1298" s="40">
        <v>142493.42517219801</v>
      </c>
      <c r="V1298" s="40">
        <v>0</v>
      </c>
      <c r="W1298" s="45">
        <v>275253.59384072397</v>
      </c>
      <c r="X1298" s="46">
        <v>2.77541221810674</v>
      </c>
    </row>
    <row r="1299" spans="1:24" s="4" customFormat="1" ht="15" customHeight="1">
      <c r="A1299" s="28" t="s">
        <v>3483</v>
      </c>
      <c r="B1299" s="29">
        <v>3387.15</v>
      </c>
      <c r="C1299" s="30" t="s">
        <v>3569</v>
      </c>
      <c r="D1299" s="2">
        <v>4951275457</v>
      </c>
      <c r="E1299" s="2" t="s">
        <v>14</v>
      </c>
      <c r="F1299" s="2" t="s">
        <v>3570</v>
      </c>
      <c r="G1299" s="28" t="s">
        <v>5</v>
      </c>
      <c r="H1299" s="2" t="s">
        <v>17</v>
      </c>
      <c r="I1299" s="2">
        <v>1</v>
      </c>
      <c r="J1299" s="2" t="s">
        <v>3571</v>
      </c>
      <c r="K1299" s="2">
        <v>4347</v>
      </c>
      <c r="L1299" s="35">
        <v>14723941.050000001</v>
      </c>
      <c r="M1299" s="36">
        <v>1575</v>
      </c>
      <c r="N1299" s="40">
        <v>21548.0118973075</v>
      </c>
      <c r="O1299" s="40">
        <v>41727.181818181802</v>
      </c>
      <c r="P1299" s="40">
        <v>25139.314339386401</v>
      </c>
      <c r="Q1299" s="40">
        <v>10000</v>
      </c>
      <c r="R1299" s="40">
        <v>63975.967438947999</v>
      </c>
      <c r="S1299" s="40">
        <v>23298.2968065122</v>
      </c>
      <c r="T1299" s="40">
        <v>30000</v>
      </c>
      <c r="U1299" s="40">
        <v>374045.24107701902</v>
      </c>
      <c r="V1299" s="40">
        <v>0</v>
      </c>
      <c r="W1299" s="45">
        <v>589734.01337735495</v>
      </c>
      <c r="X1299" s="46">
        <v>4.0052728503511297</v>
      </c>
    </row>
    <row r="1300" spans="1:24" s="4" customFormat="1" ht="15" customHeight="1">
      <c r="A1300" s="28" t="s">
        <v>3483</v>
      </c>
      <c r="B1300" s="29">
        <v>3387.15</v>
      </c>
      <c r="C1300" s="30" t="s">
        <v>3569</v>
      </c>
      <c r="D1300" s="2">
        <v>4952024021</v>
      </c>
      <c r="E1300" s="2" t="s">
        <v>14</v>
      </c>
      <c r="F1300" s="2" t="s">
        <v>3570</v>
      </c>
      <c r="G1300" s="28" t="s">
        <v>5</v>
      </c>
      <c r="H1300" s="2" t="s">
        <v>17</v>
      </c>
      <c r="I1300" s="2">
        <v>1</v>
      </c>
      <c r="J1300" s="2" t="s">
        <v>3571</v>
      </c>
      <c r="K1300" s="2">
        <v>3853.5</v>
      </c>
      <c r="L1300" s="35">
        <v>13052382.525</v>
      </c>
      <c r="M1300" s="36">
        <v>1050</v>
      </c>
      <c r="N1300" s="40">
        <v>14365.3412648716</v>
      </c>
      <c r="O1300" s="40">
        <v>41727.181818181802</v>
      </c>
      <c r="P1300" s="40">
        <v>16759.542892924201</v>
      </c>
      <c r="Q1300" s="40">
        <v>10000</v>
      </c>
      <c r="R1300" s="40">
        <v>42650.644959298697</v>
      </c>
      <c r="S1300" s="40">
        <v>15532.1978710081</v>
      </c>
      <c r="T1300" s="40">
        <v>30000</v>
      </c>
      <c r="U1300" s="40">
        <v>249363.494051346</v>
      </c>
      <c r="V1300" s="40">
        <v>0</v>
      </c>
      <c r="W1300" s="45">
        <v>420398.40285762999</v>
      </c>
      <c r="X1300" s="46">
        <v>3.2208556717703898</v>
      </c>
    </row>
    <row r="1301" spans="1:24" s="4" customFormat="1" ht="15" customHeight="1">
      <c r="A1301" s="28" t="s">
        <v>3483</v>
      </c>
      <c r="B1301" s="29">
        <v>3387.15</v>
      </c>
      <c r="C1301" s="30" t="s">
        <v>3573</v>
      </c>
      <c r="D1301" s="2">
        <v>4951726544</v>
      </c>
      <c r="E1301" s="2" t="s">
        <v>14</v>
      </c>
      <c r="F1301" s="2" t="s">
        <v>3574</v>
      </c>
      <c r="G1301" s="28" t="s">
        <v>9</v>
      </c>
      <c r="H1301" s="2" t="s">
        <v>23</v>
      </c>
      <c r="I1301" s="2">
        <v>1</v>
      </c>
      <c r="J1301" s="2"/>
      <c r="K1301" s="2">
        <v>1091.2</v>
      </c>
      <c r="L1301" s="35">
        <v>3696058.08</v>
      </c>
      <c r="M1301" s="36">
        <v>880</v>
      </c>
      <c r="N1301" s="40">
        <v>517789</v>
      </c>
      <c r="O1301" s="40">
        <v>606</v>
      </c>
      <c r="P1301" s="40">
        <v>51056</v>
      </c>
      <c r="Q1301" s="40">
        <v>14879</v>
      </c>
      <c r="R1301" s="40">
        <v>401743</v>
      </c>
      <c r="S1301" s="40">
        <v>354356</v>
      </c>
      <c r="T1301" s="40">
        <v>30000</v>
      </c>
      <c r="U1301" s="40">
        <v>444368.03874092002</v>
      </c>
      <c r="V1301" s="40">
        <v>0</v>
      </c>
      <c r="W1301" s="45">
        <v>1814797.0387409199</v>
      </c>
      <c r="X1301" s="46">
        <v>49.100879895829998</v>
      </c>
    </row>
    <row r="1302" spans="1:24" s="4" customFormat="1" ht="15" customHeight="1">
      <c r="A1302" s="28" t="s">
        <v>3483</v>
      </c>
      <c r="B1302" s="29">
        <v>3387.15</v>
      </c>
      <c r="C1302" s="30" t="s">
        <v>3588</v>
      </c>
      <c r="D1302" s="2">
        <v>4950058251</v>
      </c>
      <c r="E1302" s="2" t="s">
        <v>14</v>
      </c>
      <c r="F1302" s="2" t="s">
        <v>3589</v>
      </c>
      <c r="G1302" s="28" t="s">
        <v>5</v>
      </c>
      <c r="H1302" s="2" t="s">
        <v>20</v>
      </c>
      <c r="I1302" s="2">
        <v>3</v>
      </c>
      <c r="J1302" s="2" t="s">
        <v>3590</v>
      </c>
      <c r="K1302" s="2">
        <v>28665.15</v>
      </c>
      <c r="L1302" s="35">
        <v>97093162.822500005</v>
      </c>
      <c r="M1302" s="36">
        <v>16195</v>
      </c>
      <c r="N1302" s="40">
        <v>483005.01009349799</v>
      </c>
      <c r="O1302" s="40">
        <v>174939.5</v>
      </c>
      <c r="P1302" s="40">
        <v>0</v>
      </c>
      <c r="Q1302" s="40">
        <v>49821.333333333299</v>
      </c>
      <c r="R1302" s="40">
        <v>802990.00754356105</v>
      </c>
      <c r="S1302" s="40">
        <v>149355.105397365</v>
      </c>
      <c r="T1302" s="40">
        <v>30000</v>
      </c>
      <c r="U1302" s="40">
        <v>4681203.3042923901</v>
      </c>
      <c r="V1302" s="40">
        <v>0</v>
      </c>
      <c r="W1302" s="45">
        <v>6371314.2606601501</v>
      </c>
      <c r="X1302" s="46">
        <v>6.56206273999726</v>
      </c>
    </row>
    <row r="1303" spans="1:24" s="4" customFormat="1" ht="15" customHeight="1">
      <c r="A1303" s="28" t="s">
        <v>3483</v>
      </c>
      <c r="B1303" s="29">
        <v>3387.15</v>
      </c>
      <c r="C1303" s="30" t="s">
        <v>3588</v>
      </c>
      <c r="D1303" s="2">
        <v>4950722775</v>
      </c>
      <c r="E1303" s="2" t="s">
        <v>14</v>
      </c>
      <c r="F1303" s="2" t="s">
        <v>3589</v>
      </c>
      <c r="G1303" s="28" t="s">
        <v>5</v>
      </c>
      <c r="H1303" s="2" t="s">
        <v>20</v>
      </c>
      <c r="I1303" s="2">
        <v>3</v>
      </c>
      <c r="J1303" s="2" t="s">
        <v>3590</v>
      </c>
      <c r="K1303" s="2">
        <v>9071.25</v>
      </c>
      <c r="L1303" s="35">
        <v>30725684.4375</v>
      </c>
      <c r="M1303" s="36">
        <v>5125</v>
      </c>
      <c r="N1303" s="40">
        <v>124799.63079048001</v>
      </c>
      <c r="O1303" s="40">
        <v>174939.5</v>
      </c>
      <c r="P1303" s="40">
        <v>0</v>
      </c>
      <c r="Q1303" s="40">
        <v>49821.333333333299</v>
      </c>
      <c r="R1303" s="40">
        <v>207477.88195920101</v>
      </c>
      <c r="S1303" s="40">
        <v>38590.618359540997</v>
      </c>
      <c r="T1303" s="40">
        <v>30000</v>
      </c>
      <c r="U1303" s="40">
        <v>1209537.02719932</v>
      </c>
      <c r="V1303" s="40">
        <v>0</v>
      </c>
      <c r="W1303" s="45">
        <v>1835165.99164188</v>
      </c>
      <c r="X1303" s="46">
        <v>5.9727424310916204</v>
      </c>
    </row>
    <row r="1304" spans="1:24" s="4" customFormat="1" ht="15" customHeight="1">
      <c r="A1304" s="28" t="s">
        <v>3483</v>
      </c>
      <c r="B1304" s="29">
        <v>3387.15</v>
      </c>
      <c r="C1304" s="30" t="s">
        <v>3588</v>
      </c>
      <c r="D1304" s="2">
        <v>4950722777</v>
      </c>
      <c r="E1304" s="2" t="s">
        <v>14</v>
      </c>
      <c r="F1304" s="2" t="s">
        <v>3589</v>
      </c>
      <c r="G1304" s="28" t="s">
        <v>5</v>
      </c>
      <c r="H1304" s="2" t="s">
        <v>20</v>
      </c>
      <c r="I1304" s="2">
        <v>3</v>
      </c>
      <c r="J1304" s="2" t="s">
        <v>3590</v>
      </c>
      <c r="K1304" s="2">
        <v>4717.05</v>
      </c>
      <c r="L1304" s="35">
        <v>15977355.907500001</v>
      </c>
      <c r="M1304" s="36">
        <v>2665</v>
      </c>
      <c r="N1304" s="40">
        <v>64895.808011049703</v>
      </c>
      <c r="O1304" s="40">
        <v>174939.5</v>
      </c>
      <c r="P1304" s="40">
        <v>0</v>
      </c>
      <c r="Q1304" s="40">
        <v>49821.333333333299</v>
      </c>
      <c r="R1304" s="40">
        <v>107888.498618785</v>
      </c>
      <c r="S1304" s="40">
        <v>20067.121546961302</v>
      </c>
      <c r="T1304" s="40">
        <v>30000</v>
      </c>
      <c r="U1304" s="40">
        <v>628959.25414364599</v>
      </c>
      <c r="V1304" s="40">
        <v>0</v>
      </c>
      <c r="W1304" s="45">
        <v>1076571.51565378</v>
      </c>
      <c r="X1304" s="46">
        <v>6.7381081193066299</v>
      </c>
    </row>
    <row r="1305" spans="1:24" s="4" customFormat="1" ht="15" customHeight="1">
      <c r="A1305" s="28" t="s">
        <v>3483</v>
      </c>
      <c r="B1305" s="29">
        <v>3387.15</v>
      </c>
      <c r="C1305" s="30" t="s">
        <v>3588</v>
      </c>
      <c r="D1305" s="2">
        <v>4951411353</v>
      </c>
      <c r="E1305" s="2" t="s">
        <v>14</v>
      </c>
      <c r="F1305" s="2" t="s">
        <v>3589</v>
      </c>
      <c r="G1305" s="28" t="s">
        <v>5</v>
      </c>
      <c r="H1305" s="2" t="s">
        <v>20</v>
      </c>
      <c r="I1305" s="2">
        <v>3</v>
      </c>
      <c r="J1305" s="2" t="s">
        <v>3590</v>
      </c>
      <c r="K1305" s="2">
        <v>15602.55</v>
      </c>
      <c r="L1305" s="35">
        <v>52848177.232500002</v>
      </c>
      <c r="M1305" s="36">
        <v>8815</v>
      </c>
      <c r="N1305" s="40">
        <v>214655.36495962599</v>
      </c>
      <c r="O1305" s="40">
        <v>174939.5</v>
      </c>
      <c r="P1305" s="40">
        <v>0</v>
      </c>
      <c r="Q1305" s="40">
        <v>49821.333333333299</v>
      </c>
      <c r="R1305" s="40">
        <v>356861.95696982602</v>
      </c>
      <c r="S1305" s="40">
        <v>66375.863578410499</v>
      </c>
      <c r="T1305" s="40">
        <v>30000</v>
      </c>
      <c r="U1305" s="40">
        <v>2080403.6867828299</v>
      </c>
      <c r="V1305" s="40">
        <v>0</v>
      </c>
      <c r="W1305" s="45">
        <v>2973057.70562403</v>
      </c>
      <c r="X1305" s="46">
        <v>5.62565799108713</v>
      </c>
    </row>
    <row r="1306" spans="1:24" s="4" customFormat="1" ht="15" customHeight="1">
      <c r="A1306" s="28" t="s">
        <v>3483</v>
      </c>
      <c r="B1306" s="29">
        <v>3387.15</v>
      </c>
      <c r="C1306" s="30" t="s">
        <v>3588</v>
      </c>
      <c r="D1306" s="2">
        <v>4951356842</v>
      </c>
      <c r="E1306" s="2" t="s">
        <v>14</v>
      </c>
      <c r="F1306" s="2" t="s">
        <v>3589</v>
      </c>
      <c r="G1306" s="28" t="s">
        <v>5</v>
      </c>
      <c r="H1306" s="2" t="s">
        <v>20</v>
      </c>
      <c r="I1306" s="2">
        <v>3</v>
      </c>
      <c r="J1306" s="2" t="s">
        <v>3590</v>
      </c>
      <c r="K1306" s="2">
        <v>3036</v>
      </c>
      <c r="L1306" s="35">
        <v>10283387.4</v>
      </c>
      <c r="M1306" s="36">
        <v>2640</v>
      </c>
      <c r="N1306" s="40">
        <v>64287.029324266899</v>
      </c>
      <c r="O1306" s="40">
        <v>174939.5</v>
      </c>
      <c r="P1306" s="40">
        <v>0</v>
      </c>
      <c r="Q1306" s="40">
        <v>49821.333333333299</v>
      </c>
      <c r="R1306" s="40">
        <v>106876.41138971499</v>
      </c>
      <c r="S1306" s="40">
        <v>19878.874628134301</v>
      </c>
      <c r="T1306" s="40">
        <v>30000</v>
      </c>
      <c r="U1306" s="40">
        <v>623059.07352316205</v>
      </c>
      <c r="V1306" s="40">
        <v>0</v>
      </c>
      <c r="W1306" s="45">
        <v>1068862.22219861</v>
      </c>
      <c r="X1306" s="46">
        <v>10.394067447061399</v>
      </c>
    </row>
    <row r="1307" spans="1:24" s="4" customFormat="1" ht="15" customHeight="1">
      <c r="A1307" s="28" t="s">
        <v>3483</v>
      </c>
      <c r="B1307" s="29">
        <v>3387.15</v>
      </c>
      <c r="C1307" s="30" t="s">
        <v>3588</v>
      </c>
      <c r="D1307" s="2">
        <v>4951798443</v>
      </c>
      <c r="E1307" s="2" t="s">
        <v>14</v>
      </c>
      <c r="F1307" s="2" t="s">
        <v>3589</v>
      </c>
      <c r="G1307" s="28" t="s">
        <v>5</v>
      </c>
      <c r="H1307" s="2" t="s">
        <v>20</v>
      </c>
      <c r="I1307" s="2">
        <v>3</v>
      </c>
      <c r="J1307" s="2" t="s">
        <v>3590</v>
      </c>
      <c r="K1307" s="2">
        <v>19710.599999999999</v>
      </c>
      <c r="L1307" s="35">
        <v>66762758.789999999</v>
      </c>
      <c r="M1307" s="36">
        <v>7980</v>
      </c>
      <c r="N1307" s="40">
        <v>194322.156821079</v>
      </c>
      <c r="O1307" s="40">
        <v>174939.5</v>
      </c>
      <c r="P1307" s="40">
        <v>0</v>
      </c>
      <c r="Q1307" s="40">
        <v>49821.333333333299</v>
      </c>
      <c r="R1307" s="40">
        <v>323058.243518912</v>
      </c>
      <c r="S1307" s="40">
        <v>60088.416489587798</v>
      </c>
      <c r="T1307" s="40">
        <v>30000</v>
      </c>
      <c r="U1307" s="40">
        <v>1883337.6540586499</v>
      </c>
      <c r="V1307" s="40">
        <v>0</v>
      </c>
      <c r="W1307" s="45">
        <v>2715567.3042215598</v>
      </c>
      <c r="X1307" s="46">
        <v>4.0674881527339002</v>
      </c>
    </row>
    <row r="1308" spans="1:24" s="4" customFormat="1" ht="15" customHeight="1">
      <c r="A1308" s="28" t="s">
        <v>3483</v>
      </c>
      <c r="B1308" s="29">
        <v>3387.15</v>
      </c>
      <c r="C1308" s="30" t="s">
        <v>3591</v>
      </c>
      <c r="D1308" s="2">
        <v>4952165856</v>
      </c>
      <c r="E1308" s="2" t="s">
        <v>14</v>
      </c>
      <c r="F1308" s="2" t="s">
        <v>3592</v>
      </c>
      <c r="G1308" s="28" t="s">
        <v>9</v>
      </c>
      <c r="H1308" s="2" t="s">
        <v>23</v>
      </c>
      <c r="I1308" s="2">
        <v>1</v>
      </c>
      <c r="J1308" s="2"/>
      <c r="K1308" s="2">
        <v>22534.400000000001</v>
      </c>
      <c r="L1308" s="35">
        <v>76327392.959999993</v>
      </c>
      <c r="M1308" s="36">
        <v>320</v>
      </c>
      <c r="N1308" s="40">
        <v>486400</v>
      </c>
      <c r="O1308" s="40">
        <v>233</v>
      </c>
      <c r="P1308" s="40">
        <v>7424</v>
      </c>
      <c r="Q1308" s="40">
        <v>5669</v>
      </c>
      <c r="R1308" s="40">
        <v>100885</v>
      </c>
      <c r="S1308" s="40">
        <v>354356</v>
      </c>
      <c r="T1308" s="40">
        <v>30000</v>
      </c>
      <c r="U1308" s="40">
        <v>234985.91549295801</v>
      </c>
      <c r="V1308" s="40">
        <v>0</v>
      </c>
      <c r="W1308" s="45">
        <v>1219952.91549296</v>
      </c>
      <c r="X1308" s="46">
        <v>1.59831597567113</v>
      </c>
    </row>
    <row r="1309" spans="1:24" s="4" customFormat="1" ht="15" customHeight="1">
      <c r="A1309" s="28" t="s">
        <v>3483</v>
      </c>
      <c r="B1309" s="29">
        <v>3387.15</v>
      </c>
      <c r="C1309" s="30" t="s">
        <v>3599</v>
      </c>
      <c r="D1309" s="2">
        <v>4951798440</v>
      </c>
      <c r="E1309" s="2" t="s">
        <v>14</v>
      </c>
      <c r="F1309" s="2" t="s">
        <v>3600</v>
      </c>
      <c r="G1309" s="28" t="s">
        <v>9</v>
      </c>
      <c r="H1309" s="2" t="s">
        <v>23</v>
      </c>
      <c r="I1309" s="2">
        <v>3</v>
      </c>
      <c r="J1309" s="2"/>
      <c r="K1309" s="2">
        <v>24181.5</v>
      </c>
      <c r="L1309" s="35">
        <v>81906367.724999994</v>
      </c>
      <c r="M1309" s="36">
        <v>1050</v>
      </c>
      <c r="N1309" s="40">
        <v>518500.04347826098</v>
      </c>
      <c r="O1309" s="40">
        <v>399.5</v>
      </c>
      <c r="P1309" s="40">
        <v>0</v>
      </c>
      <c r="Q1309" s="40">
        <v>9826</v>
      </c>
      <c r="R1309" s="40">
        <v>26299.304347826099</v>
      </c>
      <c r="S1309" s="40">
        <v>323542.43478260899</v>
      </c>
      <c r="T1309" s="40">
        <v>30000</v>
      </c>
      <c r="U1309" s="40">
        <v>530211.86440677999</v>
      </c>
      <c r="V1309" s="40">
        <v>0</v>
      </c>
      <c r="W1309" s="45">
        <v>1438779.1470154801</v>
      </c>
      <c r="X1309" s="46">
        <v>1.7566145184781801</v>
      </c>
    </row>
    <row r="1310" spans="1:24" s="4" customFormat="1" ht="15" customHeight="1">
      <c r="A1310" s="28" t="s">
        <v>3483</v>
      </c>
      <c r="B1310" s="29">
        <v>3387.15</v>
      </c>
      <c r="C1310" s="30" t="s">
        <v>3599</v>
      </c>
      <c r="D1310" s="2">
        <v>4951798440</v>
      </c>
      <c r="E1310" s="2" t="s">
        <v>14</v>
      </c>
      <c r="F1310" s="2" t="s">
        <v>3600</v>
      </c>
      <c r="G1310" s="28" t="s">
        <v>9</v>
      </c>
      <c r="H1310" s="2" t="s">
        <v>23</v>
      </c>
      <c r="I1310" s="2">
        <v>3</v>
      </c>
      <c r="J1310" s="2"/>
      <c r="K1310" s="2">
        <v>2982</v>
      </c>
      <c r="L1310" s="35">
        <v>10100481.300000001</v>
      </c>
      <c r="M1310" s="36">
        <v>100</v>
      </c>
      <c r="N1310" s="40">
        <v>49380.956521739099</v>
      </c>
      <c r="O1310" s="40">
        <v>399.5</v>
      </c>
      <c r="P1310" s="40">
        <v>0</v>
      </c>
      <c r="Q1310" s="40">
        <v>9826</v>
      </c>
      <c r="R1310" s="40">
        <v>2504.6956521739098</v>
      </c>
      <c r="S1310" s="40">
        <v>30813.5652173913</v>
      </c>
      <c r="T1310" s="40">
        <v>30000</v>
      </c>
      <c r="U1310" s="40">
        <v>50496.368038740897</v>
      </c>
      <c r="V1310" s="40">
        <v>0</v>
      </c>
      <c r="W1310" s="45">
        <v>173421.085430045</v>
      </c>
      <c r="X1310" s="46">
        <v>1.7169586307738101</v>
      </c>
    </row>
    <row r="1311" spans="1:24" s="4" customFormat="1" ht="15" customHeight="1">
      <c r="A1311" s="28" t="s">
        <v>3483</v>
      </c>
      <c r="B1311" s="29">
        <v>3387.15</v>
      </c>
      <c r="C1311" s="30" t="s">
        <v>3601</v>
      </c>
      <c r="D1311" s="2">
        <v>4951874483</v>
      </c>
      <c r="E1311" s="2" t="s">
        <v>14</v>
      </c>
      <c r="F1311" s="2" t="s">
        <v>3602</v>
      </c>
      <c r="G1311" s="28" t="s">
        <v>9</v>
      </c>
      <c r="H1311" s="2" t="s">
        <v>23</v>
      </c>
      <c r="I1311" s="2">
        <v>4</v>
      </c>
      <c r="J1311" s="2"/>
      <c r="K1311" s="2">
        <v>443</v>
      </c>
      <c r="L1311" s="35">
        <v>1500507.45</v>
      </c>
      <c r="M1311" s="36">
        <v>100</v>
      </c>
      <c r="N1311" s="40">
        <v>26919</v>
      </c>
      <c r="O1311" s="40">
        <v>571.33333333333303</v>
      </c>
      <c r="P1311" s="40">
        <v>0</v>
      </c>
      <c r="Q1311" s="40">
        <v>13644</v>
      </c>
      <c r="R1311" s="40">
        <v>5751.4166666666697</v>
      </c>
      <c r="S1311" s="40">
        <v>14764.833333333299</v>
      </c>
      <c r="T1311" s="40">
        <v>30000</v>
      </c>
      <c r="U1311" s="40">
        <v>47183.257918552001</v>
      </c>
      <c r="V1311" s="40">
        <v>0</v>
      </c>
      <c r="W1311" s="45">
        <v>138833.84125188499</v>
      </c>
      <c r="X1311" s="46">
        <v>9.2524593098078505</v>
      </c>
    </row>
    <row r="1312" spans="1:24" s="4" customFormat="1" ht="15" customHeight="1">
      <c r="A1312" s="28" t="s">
        <v>3483</v>
      </c>
      <c r="B1312" s="29">
        <v>3387.15</v>
      </c>
      <c r="C1312" s="30" t="s">
        <v>3601</v>
      </c>
      <c r="D1312" s="2">
        <v>4951798437</v>
      </c>
      <c r="E1312" s="2" t="s">
        <v>14</v>
      </c>
      <c r="F1312" s="2" t="s">
        <v>3602</v>
      </c>
      <c r="G1312" s="28" t="s">
        <v>9</v>
      </c>
      <c r="H1312" s="2" t="s">
        <v>23</v>
      </c>
      <c r="I1312" s="2">
        <v>4</v>
      </c>
      <c r="J1312" s="2"/>
      <c r="K1312" s="2">
        <v>2130</v>
      </c>
      <c r="L1312" s="35">
        <v>7214629.5</v>
      </c>
      <c r="M1312" s="36">
        <v>3000</v>
      </c>
      <c r="N1312" s="40">
        <v>403785</v>
      </c>
      <c r="O1312" s="40">
        <v>571.33333333333303</v>
      </c>
      <c r="P1312" s="40">
        <v>0</v>
      </c>
      <c r="Q1312" s="40">
        <v>13644</v>
      </c>
      <c r="R1312" s="40">
        <v>86271.25</v>
      </c>
      <c r="S1312" s="40">
        <v>221472.5</v>
      </c>
      <c r="T1312" s="40">
        <v>30000</v>
      </c>
      <c r="U1312" s="40">
        <v>707748.86877828103</v>
      </c>
      <c r="V1312" s="40">
        <v>0</v>
      </c>
      <c r="W1312" s="45">
        <v>1463492.95211161</v>
      </c>
      <c r="X1312" s="46">
        <v>20.285074266275402</v>
      </c>
    </row>
    <row r="1313" spans="1:24" s="4" customFormat="1" ht="15" customHeight="1">
      <c r="A1313" s="28" t="s">
        <v>3483</v>
      </c>
      <c r="B1313" s="29">
        <v>3387.15</v>
      </c>
      <c r="C1313" s="30" t="s">
        <v>3601</v>
      </c>
      <c r="D1313" s="2">
        <v>4951874483</v>
      </c>
      <c r="E1313" s="2" t="s">
        <v>14</v>
      </c>
      <c r="F1313" s="2" t="s">
        <v>3602</v>
      </c>
      <c r="G1313" s="28" t="s">
        <v>9</v>
      </c>
      <c r="H1313" s="2" t="s">
        <v>23</v>
      </c>
      <c r="I1313" s="2">
        <v>4</v>
      </c>
      <c r="J1313" s="2"/>
      <c r="K1313" s="2">
        <v>2400</v>
      </c>
      <c r="L1313" s="35">
        <v>8129160</v>
      </c>
      <c r="M1313" s="36">
        <v>800</v>
      </c>
      <c r="N1313" s="40">
        <v>215352</v>
      </c>
      <c r="O1313" s="40">
        <v>571.33333333333303</v>
      </c>
      <c r="P1313" s="40">
        <v>0</v>
      </c>
      <c r="Q1313" s="40">
        <v>13644</v>
      </c>
      <c r="R1313" s="40">
        <v>46011.333333333299</v>
      </c>
      <c r="S1313" s="40">
        <v>118118.66666666701</v>
      </c>
      <c r="T1313" s="40">
        <v>30000</v>
      </c>
      <c r="U1313" s="40">
        <v>377466.06334841601</v>
      </c>
      <c r="V1313" s="40">
        <v>0</v>
      </c>
      <c r="W1313" s="45">
        <v>801163.39668174996</v>
      </c>
      <c r="X1313" s="46">
        <v>9.8554265961273906</v>
      </c>
    </row>
    <row r="1314" spans="1:24" s="4" customFormat="1" ht="15" customHeight="1">
      <c r="A1314" s="28" t="s">
        <v>3483</v>
      </c>
      <c r="B1314" s="29">
        <v>3387.15</v>
      </c>
      <c r="C1314" s="30" t="s">
        <v>3606</v>
      </c>
      <c r="D1314" s="2">
        <v>4950875632</v>
      </c>
      <c r="E1314" s="2" t="s">
        <v>14</v>
      </c>
      <c r="F1314" s="2" t="s">
        <v>3607</v>
      </c>
      <c r="G1314" s="28" t="s">
        <v>9</v>
      </c>
      <c r="H1314" s="2" t="s">
        <v>23</v>
      </c>
      <c r="I1314" s="2">
        <v>9</v>
      </c>
      <c r="J1314" s="2"/>
      <c r="K1314" s="2">
        <v>20568.599999999999</v>
      </c>
      <c r="L1314" s="35">
        <v>69668933.489999995</v>
      </c>
      <c r="M1314" s="36">
        <v>3510</v>
      </c>
      <c r="N1314" s="40">
        <v>1664605</v>
      </c>
      <c r="O1314" s="40">
        <v>2643</v>
      </c>
      <c r="P1314" s="40">
        <v>0</v>
      </c>
      <c r="Q1314" s="40">
        <v>64040</v>
      </c>
      <c r="R1314" s="40">
        <v>150362</v>
      </c>
      <c r="S1314" s="40">
        <v>354356</v>
      </c>
      <c r="T1314" s="40">
        <v>30000</v>
      </c>
      <c r="U1314" s="40">
        <v>2085500</v>
      </c>
      <c r="V1314" s="40">
        <v>0</v>
      </c>
      <c r="W1314" s="45">
        <v>4351506</v>
      </c>
      <c r="X1314" s="46">
        <v>6.2459776287871502</v>
      </c>
    </row>
    <row r="1315" spans="1:24" s="4" customFormat="1" ht="15" customHeight="1">
      <c r="A1315" s="28" t="s">
        <v>3483</v>
      </c>
      <c r="B1315" s="29">
        <v>3387.15</v>
      </c>
      <c r="C1315" s="30" t="s">
        <v>3608</v>
      </c>
      <c r="D1315" s="2">
        <v>4951874485</v>
      </c>
      <c r="E1315" s="2" t="s">
        <v>14</v>
      </c>
      <c r="F1315" s="2" t="s">
        <v>3609</v>
      </c>
      <c r="G1315" s="28" t="s">
        <v>9</v>
      </c>
      <c r="H1315" s="2" t="s">
        <v>23</v>
      </c>
      <c r="I1315" s="2">
        <v>2</v>
      </c>
      <c r="J1315" s="2"/>
      <c r="K1315" s="2">
        <v>5695.2</v>
      </c>
      <c r="L1315" s="35">
        <v>19290496.68</v>
      </c>
      <c r="M1315" s="36">
        <v>360</v>
      </c>
      <c r="N1315" s="40">
        <v>529032.46153846197</v>
      </c>
      <c r="O1315" s="40">
        <v>200</v>
      </c>
      <c r="P1315" s="40">
        <v>10509.9230769231</v>
      </c>
      <c r="Q1315" s="40">
        <v>5848</v>
      </c>
      <c r="R1315" s="40">
        <v>69321.724615384606</v>
      </c>
      <c r="S1315" s="40">
        <v>245323.384615385</v>
      </c>
      <c r="T1315" s="40">
        <v>30000</v>
      </c>
      <c r="U1315" s="40">
        <v>264359.15492957702</v>
      </c>
      <c r="V1315" s="40">
        <v>0</v>
      </c>
      <c r="W1315" s="45">
        <v>1154594.64877573</v>
      </c>
      <c r="X1315" s="46">
        <v>5.98530285626493</v>
      </c>
    </row>
    <row r="1316" spans="1:24" s="4" customFormat="1" ht="15" customHeight="1">
      <c r="A1316" s="28" t="s">
        <v>3483</v>
      </c>
      <c r="B1316" s="29">
        <v>3387.15</v>
      </c>
      <c r="C1316" s="30" t="s">
        <v>3608</v>
      </c>
      <c r="D1316" s="2">
        <v>4951542655</v>
      </c>
      <c r="E1316" s="2" t="s">
        <v>14</v>
      </c>
      <c r="F1316" s="2" t="s">
        <v>3609</v>
      </c>
      <c r="G1316" s="28" t="s">
        <v>9</v>
      </c>
      <c r="H1316" s="2" t="s">
        <v>23</v>
      </c>
      <c r="I1316" s="2">
        <v>2</v>
      </c>
      <c r="J1316" s="2"/>
      <c r="K1316" s="2">
        <v>7912</v>
      </c>
      <c r="L1316" s="35">
        <v>26799130.800000001</v>
      </c>
      <c r="M1316" s="36">
        <v>160</v>
      </c>
      <c r="N1316" s="40">
        <v>235125.538461538</v>
      </c>
      <c r="O1316" s="40">
        <v>200</v>
      </c>
      <c r="P1316" s="40">
        <v>4671.0769230769201</v>
      </c>
      <c r="Q1316" s="40">
        <v>5848</v>
      </c>
      <c r="R1316" s="40">
        <v>30809.655384615398</v>
      </c>
      <c r="S1316" s="40">
        <v>109032.615384615</v>
      </c>
      <c r="T1316" s="40">
        <v>30000</v>
      </c>
      <c r="U1316" s="40">
        <v>117492.95774647901</v>
      </c>
      <c r="V1316" s="40">
        <v>0</v>
      </c>
      <c r="W1316" s="45">
        <v>533179.84390032396</v>
      </c>
      <c r="X1316" s="46">
        <v>1.9895415559534699</v>
      </c>
    </row>
    <row r="1317" spans="1:24" s="4" customFormat="1" ht="15" customHeight="1">
      <c r="A1317" s="28" t="s">
        <v>3483</v>
      </c>
      <c r="B1317" s="29">
        <v>3387.15</v>
      </c>
      <c r="C1317" s="30" t="s">
        <v>3621</v>
      </c>
      <c r="D1317" s="2">
        <v>4951348228</v>
      </c>
      <c r="E1317" s="2" t="s">
        <v>14</v>
      </c>
      <c r="F1317" s="2" t="s">
        <v>3622</v>
      </c>
      <c r="G1317" s="28" t="s">
        <v>5</v>
      </c>
      <c r="H1317" s="2" t="s">
        <v>20</v>
      </c>
      <c r="I1317" s="2">
        <v>1</v>
      </c>
      <c r="J1317" s="2" t="s">
        <v>3623</v>
      </c>
      <c r="K1317" s="2">
        <v>26100</v>
      </c>
      <c r="L1317" s="35">
        <v>88404615</v>
      </c>
      <c r="M1317" s="36">
        <v>18000</v>
      </c>
      <c r="N1317" s="40">
        <v>324606</v>
      </c>
      <c r="O1317" s="40">
        <v>349879</v>
      </c>
      <c r="P1317" s="40">
        <v>0</v>
      </c>
      <c r="Q1317" s="40">
        <v>110000</v>
      </c>
      <c r="R1317" s="40">
        <v>638977</v>
      </c>
      <c r="S1317" s="40">
        <v>354356</v>
      </c>
      <c r="T1317" s="40">
        <v>30000</v>
      </c>
      <c r="U1317" s="40">
        <v>6404400</v>
      </c>
      <c r="V1317" s="40">
        <v>0</v>
      </c>
      <c r="W1317" s="45">
        <v>8212218</v>
      </c>
      <c r="X1317" s="46">
        <v>9.2893544075724996</v>
      </c>
    </row>
    <row r="1318" spans="1:24" s="4" customFormat="1" ht="15" customHeight="1">
      <c r="A1318" s="28" t="s">
        <v>3483</v>
      </c>
      <c r="B1318" s="29">
        <v>3387.15</v>
      </c>
      <c r="C1318" s="30" t="s">
        <v>3626</v>
      </c>
      <c r="D1318" s="2">
        <v>4951574745</v>
      </c>
      <c r="E1318" s="2" t="s">
        <v>14</v>
      </c>
      <c r="F1318" s="2" t="s">
        <v>3627</v>
      </c>
      <c r="G1318" s="28" t="s">
        <v>9</v>
      </c>
      <c r="H1318" s="2" t="s">
        <v>23</v>
      </c>
      <c r="I1318" s="2">
        <v>4</v>
      </c>
      <c r="J1318" s="2"/>
      <c r="K1318" s="2">
        <v>25075</v>
      </c>
      <c r="L1318" s="35">
        <v>84932786.25</v>
      </c>
      <c r="M1318" s="36">
        <v>500</v>
      </c>
      <c r="N1318" s="40">
        <v>249680.555555556</v>
      </c>
      <c r="O1318" s="40">
        <v>446.33333333333297</v>
      </c>
      <c r="P1318" s="40">
        <v>24075.833333333299</v>
      </c>
      <c r="Q1318" s="40">
        <v>13831</v>
      </c>
      <c r="R1318" s="40">
        <v>38771.666666666701</v>
      </c>
      <c r="S1318" s="40">
        <v>98432.222222222204</v>
      </c>
      <c r="T1318" s="40">
        <v>30000</v>
      </c>
      <c r="U1318" s="40">
        <v>959222.22222222202</v>
      </c>
      <c r="V1318" s="40">
        <v>0</v>
      </c>
      <c r="W1318" s="45">
        <v>1414459.83333333</v>
      </c>
      <c r="X1318" s="46">
        <v>1.66538729716209</v>
      </c>
    </row>
    <row r="1319" spans="1:24" s="4" customFormat="1" ht="15" customHeight="1">
      <c r="A1319" s="28" t="s">
        <v>3483</v>
      </c>
      <c r="B1319" s="29">
        <v>3387.15</v>
      </c>
      <c r="C1319" s="30" t="s">
        <v>3626</v>
      </c>
      <c r="D1319" s="2">
        <v>4951271214</v>
      </c>
      <c r="E1319" s="2" t="s">
        <v>14</v>
      </c>
      <c r="F1319" s="2" t="s">
        <v>3627</v>
      </c>
      <c r="G1319" s="28" t="s">
        <v>9</v>
      </c>
      <c r="H1319" s="2" t="s">
        <v>23</v>
      </c>
      <c r="I1319" s="2">
        <v>4</v>
      </c>
      <c r="J1319" s="2"/>
      <c r="K1319" s="2">
        <v>12585</v>
      </c>
      <c r="L1319" s="35">
        <v>42627282.75</v>
      </c>
      <c r="M1319" s="36">
        <v>300</v>
      </c>
      <c r="N1319" s="40">
        <v>149808.33333333299</v>
      </c>
      <c r="O1319" s="40">
        <v>446.33333333333297</v>
      </c>
      <c r="P1319" s="40">
        <v>14445.5</v>
      </c>
      <c r="Q1319" s="40">
        <v>13831</v>
      </c>
      <c r="R1319" s="40">
        <v>23263</v>
      </c>
      <c r="S1319" s="40">
        <v>59059.333333333299</v>
      </c>
      <c r="T1319" s="40">
        <v>30000</v>
      </c>
      <c r="U1319" s="40">
        <v>575533.33333333302</v>
      </c>
      <c r="V1319" s="40">
        <v>0</v>
      </c>
      <c r="W1319" s="45">
        <v>866386.83333333302</v>
      </c>
      <c r="X1319" s="46">
        <v>2.0324702337104301</v>
      </c>
    </row>
    <row r="1320" spans="1:24" s="4" customFormat="1" ht="15" customHeight="1">
      <c r="A1320" s="28" t="s">
        <v>3483</v>
      </c>
      <c r="B1320" s="29">
        <v>3387.15</v>
      </c>
      <c r="C1320" s="30" t="s">
        <v>3626</v>
      </c>
      <c r="D1320" s="2">
        <v>4951411356</v>
      </c>
      <c r="E1320" s="2" t="s">
        <v>14</v>
      </c>
      <c r="F1320" s="2" t="s">
        <v>3627</v>
      </c>
      <c r="G1320" s="28" t="s">
        <v>9</v>
      </c>
      <c r="H1320" s="2" t="s">
        <v>23</v>
      </c>
      <c r="I1320" s="2">
        <v>4</v>
      </c>
      <c r="J1320" s="2"/>
      <c r="K1320" s="2">
        <v>6140</v>
      </c>
      <c r="L1320" s="35">
        <v>20797101</v>
      </c>
      <c r="M1320" s="36">
        <v>1000</v>
      </c>
      <c r="N1320" s="40">
        <v>499361.11111111101</v>
      </c>
      <c r="O1320" s="40">
        <v>446.33333333333297</v>
      </c>
      <c r="P1320" s="40">
        <v>48151.666666666701</v>
      </c>
      <c r="Q1320" s="40">
        <v>13831</v>
      </c>
      <c r="R1320" s="40">
        <v>77543.333333333299</v>
      </c>
      <c r="S1320" s="40">
        <v>196864.444444444</v>
      </c>
      <c r="T1320" s="40">
        <v>30000</v>
      </c>
      <c r="U1320" s="40">
        <v>1918444.4444444401</v>
      </c>
      <c r="V1320" s="40">
        <v>0</v>
      </c>
      <c r="W1320" s="45">
        <v>2784642.3333333302</v>
      </c>
      <c r="X1320" s="46">
        <v>13.3895696969175</v>
      </c>
    </row>
    <row r="1321" spans="1:24" s="4" customFormat="1" ht="15" customHeight="1">
      <c r="A1321" s="28" t="s">
        <v>3483</v>
      </c>
      <c r="B1321" s="29">
        <v>3387.15</v>
      </c>
      <c r="C1321" s="30" t="s">
        <v>3630</v>
      </c>
      <c r="D1321" s="2">
        <v>4951647412</v>
      </c>
      <c r="E1321" s="2" t="s">
        <v>14</v>
      </c>
      <c r="F1321" s="2" t="s">
        <v>3631</v>
      </c>
      <c r="G1321" s="28" t="s">
        <v>9</v>
      </c>
      <c r="H1321" s="2" t="s">
        <v>23</v>
      </c>
      <c r="I1321" s="2">
        <v>12</v>
      </c>
      <c r="J1321" s="2"/>
      <c r="K1321" s="2">
        <v>1160.9000000000001</v>
      </c>
      <c r="L1321" s="35">
        <v>3932142.4350000001</v>
      </c>
      <c r="M1321" s="36">
        <v>235</v>
      </c>
      <c r="N1321" s="40">
        <v>500883</v>
      </c>
      <c r="O1321" s="40">
        <v>165</v>
      </c>
      <c r="P1321" s="40">
        <v>0</v>
      </c>
      <c r="Q1321" s="40">
        <v>4229</v>
      </c>
      <c r="R1321" s="40">
        <v>90048</v>
      </c>
      <c r="S1321" s="40">
        <v>354356</v>
      </c>
      <c r="T1321" s="40">
        <v>30000</v>
      </c>
      <c r="U1321" s="40">
        <v>1367700</v>
      </c>
      <c r="V1321" s="40">
        <v>0</v>
      </c>
      <c r="W1321" s="45">
        <v>2347381</v>
      </c>
      <c r="X1321" s="46">
        <v>59.697252548787702</v>
      </c>
    </row>
    <row r="1322" spans="1:24" s="4" customFormat="1" ht="15" customHeight="1">
      <c r="A1322" s="28" t="s">
        <v>3483</v>
      </c>
      <c r="B1322" s="29">
        <v>3387.15</v>
      </c>
      <c r="C1322" s="30" t="s">
        <v>3634</v>
      </c>
      <c r="D1322" s="2">
        <v>4951647419</v>
      </c>
      <c r="E1322" s="2" t="s">
        <v>14</v>
      </c>
      <c r="F1322" s="2" t="s">
        <v>3635</v>
      </c>
      <c r="G1322" s="28" t="s">
        <v>9</v>
      </c>
      <c r="H1322" s="2" t="s">
        <v>23</v>
      </c>
      <c r="I1322" s="2">
        <v>1</v>
      </c>
      <c r="J1322" s="2"/>
      <c r="K1322" s="2">
        <v>2693</v>
      </c>
      <c r="L1322" s="35">
        <v>9121594.9499999993</v>
      </c>
      <c r="M1322" s="36">
        <v>100</v>
      </c>
      <c r="N1322" s="40">
        <v>458492</v>
      </c>
      <c r="O1322" s="40">
        <v>96</v>
      </c>
      <c r="P1322" s="40">
        <v>0</v>
      </c>
      <c r="Q1322" s="40">
        <v>2062</v>
      </c>
      <c r="R1322" s="40">
        <v>87633</v>
      </c>
      <c r="S1322" s="40">
        <v>354356</v>
      </c>
      <c r="T1322" s="40">
        <v>30000</v>
      </c>
      <c r="U1322" s="40">
        <v>50496.368038740897</v>
      </c>
      <c r="V1322" s="40">
        <v>0</v>
      </c>
      <c r="W1322" s="45">
        <v>983135.36803874106</v>
      </c>
      <c r="X1322" s="46">
        <v>10.778108142575901</v>
      </c>
    </row>
    <row r="1323" spans="1:24" s="4" customFormat="1" ht="15" customHeight="1">
      <c r="A1323" s="28" t="s">
        <v>3483</v>
      </c>
      <c r="B1323" s="29">
        <v>3387.15</v>
      </c>
      <c r="C1323" s="30" t="s">
        <v>3660</v>
      </c>
      <c r="D1323" s="2" t="s">
        <v>3661</v>
      </c>
      <c r="E1323" s="2" t="s">
        <v>14</v>
      </c>
      <c r="F1323" s="2" t="s">
        <v>3662</v>
      </c>
      <c r="G1323" s="28" t="s">
        <v>9</v>
      </c>
      <c r="H1323" s="2" t="s">
        <v>23</v>
      </c>
      <c r="I1323" s="2">
        <v>7</v>
      </c>
      <c r="J1323" s="2"/>
      <c r="K1323" s="2">
        <v>15337</v>
      </c>
      <c r="L1323" s="35">
        <v>51948719.549999997</v>
      </c>
      <c r="M1323" s="36">
        <v>4900</v>
      </c>
      <c r="N1323" s="40">
        <v>2492882.8641975299</v>
      </c>
      <c r="O1323" s="40">
        <v>3157</v>
      </c>
      <c r="P1323" s="40">
        <v>57216.876543209903</v>
      </c>
      <c r="Q1323" s="40">
        <v>72585</v>
      </c>
      <c r="R1323" s="40">
        <v>143000.148148148</v>
      </c>
      <c r="S1323" s="40">
        <v>214363.50617283999</v>
      </c>
      <c r="T1323" s="40">
        <v>30000</v>
      </c>
      <c r="U1323" s="40">
        <v>2088972.83950617</v>
      </c>
      <c r="V1323" s="40">
        <v>0</v>
      </c>
      <c r="W1323" s="45">
        <v>5102178.2345679002</v>
      </c>
      <c r="X1323" s="46">
        <v>9.8215668812724299</v>
      </c>
    </row>
    <row r="1324" spans="1:24" s="4" customFormat="1" ht="15" customHeight="1">
      <c r="A1324" s="28" t="s">
        <v>3483</v>
      </c>
      <c r="B1324" s="29">
        <v>3387.15</v>
      </c>
      <c r="C1324" s="30" t="s">
        <v>3660</v>
      </c>
      <c r="D1324" s="2">
        <v>4951798407</v>
      </c>
      <c r="E1324" s="2" t="s">
        <v>14</v>
      </c>
      <c r="F1324" s="2" t="s">
        <v>3662</v>
      </c>
      <c r="G1324" s="28" t="s">
        <v>9</v>
      </c>
      <c r="H1324" s="2" t="s">
        <v>23</v>
      </c>
      <c r="I1324" s="2">
        <v>7</v>
      </c>
      <c r="J1324" s="2"/>
      <c r="K1324" s="2">
        <v>7904</v>
      </c>
      <c r="L1324" s="35">
        <v>26772033.600000001</v>
      </c>
      <c r="M1324" s="36">
        <v>3200</v>
      </c>
      <c r="N1324" s="40">
        <v>1628005.1358024699</v>
      </c>
      <c r="O1324" s="40">
        <v>3157</v>
      </c>
      <c r="P1324" s="40">
        <v>37366.123456790097</v>
      </c>
      <c r="Q1324" s="40">
        <v>72585</v>
      </c>
      <c r="R1324" s="40">
        <v>93387.851851851796</v>
      </c>
      <c r="S1324" s="40">
        <v>139992.49382716001</v>
      </c>
      <c r="T1324" s="40">
        <v>30000</v>
      </c>
      <c r="U1324" s="40">
        <v>1364227.16049383</v>
      </c>
      <c r="V1324" s="40">
        <v>0</v>
      </c>
      <c r="W1324" s="45">
        <v>3368720.7654320998</v>
      </c>
      <c r="X1324" s="46">
        <v>12.582984228109201</v>
      </c>
    </row>
    <row r="1325" spans="1:24" s="4" customFormat="1" ht="15" customHeight="1">
      <c r="A1325" s="28" t="s">
        <v>3483</v>
      </c>
      <c r="B1325" s="29">
        <v>3387.15</v>
      </c>
      <c r="C1325" s="30" t="s">
        <v>3663</v>
      </c>
      <c r="D1325" s="2">
        <v>4950902085</v>
      </c>
      <c r="E1325" s="2" t="s">
        <v>14</v>
      </c>
      <c r="F1325" s="2" t="s">
        <v>3664</v>
      </c>
      <c r="G1325" s="28" t="s">
        <v>5</v>
      </c>
      <c r="H1325" s="2" t="s">
        <v>17</v>
      </c>
      <c r="I1325" s="2">
        <v>1</v>
      </c>
      <c r="J1325" s="2" t="s">
        <v>3665</v>
      </c>
      <c r="K1325" s="2">
        <v>30090</v>
      </c>
      <c r="L1325" s="35">
        <v>101919343.5</v>
      </c>
      <c r="M1325" s="36">
        <v>600</v>
      </c>
      <c r="N1325" s="40">
        <v>12710.6619309009</v>
      </c>
      <c r="O1325" s="40">
        <v>76499.833333333299</v>
      </c>
      <c r="P1325" s="40">
        <v>17778.327413626099</v>
      </c>
      <c r="Q1325" s="40">
        <v>18333.333333333299</v>
      </c>
      <c r="R1325" s="40">
        <v>26018.069099128199</v>
      </c>
      <c r="S1325" s="40">
        <v>13730.293832741399</v>
      </c>
      <c r="T1325" s="40">
        <v>30000</v>
      </c>
      <c r="U1325" s="40">
        <v>211038.424281563</v>
      </c>
      <c r="V1325" s="40">
        <v>0</v>
      </c>
      <c r="W1325" s="45">
        <v>406108.94322462601</v>
      </c>
      <c r="X1325" s="46">
        <v>0.39846110588872302</v>
      </c>
    </row>
    <row r="1326" spans="1:24" s="4" customFormat="1" ht="15" customHeight="1">
      <c r="A1326" s="28" t="s">
        <v>3483</v>
      </c>
      <c r="B1326" s="29">
        <v>3387.15</v>
      </c>
      <c r="C1326" s="30" t="s">
        <v>3663</v>
      </c>
      <c r="D1326" s="2">
        <v>4951275458</v>
      </c>
      <c r="E1326" s="2" t="s">
        <v>14</v>
      </c>
      <c r="F1326" s="2" t="s">
        <v>3664</v>
      </c>
      <c r="G1326" s="28" t="s">
        <v>5</v>
      </c>
      <c r="H1326" s="2" t="s">
        <v>17</v>
      </c>
      <c r="I1326" s="2">
        <v>1</v>
      </c>
      <c r="J1326" s="2" t="s">
        <v>3665</v>
      </c>
      <c r="K1326" s="2">
        <v>1944</v>
      </c>
      <c r="L1326" s="35">
        <v>6584619.5999999996</v>
      </c>
      <c r="M1326" s="36">
        <v>540</v>
      </c>
      <c r="N1326" s="40">
        <v>11439.5957378108</v>
      </c>
      <c r="O1326" s="40">
        <v>76499.833333333299</v>
      </c>
      <c r="P1326" s="40">
        <v>16000.4946722635</v>
      </c>
      <c r="Q1326" s="40">
        <v>18333.333333333299</v>
      </c>
      <c r="R1326" s="40">
        <v>23416.262189215398</v>
      </c>
      <c r="S1326" s="40">
        <v>12357.2644494672</v>
      </c>
      <c r="T1326" s="40">
        <v>30000</v>
      </c>
      <c r="U1326" s="40">
        <v>189934.581853407</v>
      </c>
      <c r="V1326" s="40">
        <v>0</v>
      </c>
      <c r="W1326" s="45">
        <v>377981.36556883098</v>
      </c>
      <c r="X1326" s="46">
        <v>5.7403675311604996</v>
      </c>
    </row>
    <row r="1327" spans="1:24" s="4" customFormat="1" ht="15" customHeight="1">
      <c r="A1327" s="28" t="s">
        <v>3483</v>
      </c>
      <c r="B1327" s="29">
        <v>3387.15</v>
      </c>
      <c r="C1327" s="30" t="s">
        <v>3663</v>
      </c>
      <c r="D1327" s="2">
        <v>4951325264</v>
      </c>
      <c r="E1327" s="2" t="s">
        <v>14</v>
      </c>
      <c r="F1327" s="2" t="s">
        <v>3664</v>
      </c>
      <c r="G1327" s="28" t="s">
        <v>5</v>
      </c>
      <c r="H1327" s="2" t="s">
        <v>17</v>
      </c>
      <c r="I1327" s="2">
        <v>1</v>
      </c>
      <c r="J1327" s="2" t="s">
        <v>3665</v>
      </c>
      <c r="K1327" s="2">
        <v>46116</v>
      </c>
      <c r="L1327" s="35">
        <v>156201809.40000001</v>
      </c>
      <c r="M1327" s="36">
        <v>12200</v>
      </c>
      <c r="N1327" s="40">
        <v>258450.12592831801</v>
      </c>
      <c r="O1327" s="40">
        <v>76499.833333333299</v>
      </c>
      <c r="P1327" s="40">
        <v>361492.65741039702</v>
      </c>
      <c r="Q1327" s="40">
        <v>18333.333333333299</v>
      </c>
      <c r="R1327" s="40">
        <v>529034.07168227294</v>
      </c>
      <c r="S1327" s="40">
        <v>279182.64126574103</v>
      </c>
      <c r="T1327" s="40">
        <v>30000</v>
      </c>
      <c r="U1327" s="40">
        <v>4291114.6270584399</v>
      </c>
      <c r="V1327" s="40">
        <v>0</v>
      </c>
      <c r="W1327" s="45">
        <v>5844107.2900118399</v>
      </c>
      <c r="X1327" s="46">
        <v>3.74138258222496</v>
      </c>
    </row>
    <row r="1328" spans="1:24" s="4" customFormat="1" ht="15" customHeight="1">
      <c r="A1328" s="28" t="s">
        <v>3483</v>
      </c>
      <c r="B1328" s="29">
        <v>3387.15</v>
      </c>
      <c r="C1328" s="30" t="s">
        <v>3663</v>
      </c>
      <c r="D1328" s="2">
        <v>4951798427</v>
      </c>
      <c r="E1328" s="2" t="s">
        <v>14</v>
      </c>
      <c r="F1328" s="2" t="s">
        <v>3664</v>
      </c>
      <c r="G1328" s="28" t="s">
        <v>5</v>
      </c>
      <c r="H1328" s="2" t="s">
        <v>17</v>
      </c>
      <c r="I1328" s="2">
        <v>1</v>
      </c>
      <c r="J1328" s="2" t="s">
        <v>3665</v>
      </c>
      <c r="K1328" s="2">
        <v>5136</v>
      </c>
      <c r="L1328" s="35">
        <v>17396402.399999999</v>
      </c>
      <c r="M1328" s="36">
        <v>800</v>
      </c>
      <c r="N1328" s="40">
        <v>142333.43317109699</v>
      </c>
      <c r="O1328" s="40">
        <v>76499.833333333299</v>
      </c>
      <c r="P1328" s="40">
        <v>0</v>
      </c>
      <c r="Q1328" s="40">
        <v>18333.333333333299</v>
      </c>
      <c r="R1328" s="40">
        <v>585521.61737177102</v>
      </c>
      <c r="S1328" s="40">
        <v>153894.78098090601</v>
      </c>
      <c r="T1328" s="40">
        <v>30000</v>
      </c>
      <c r="U1328" s="40">
        <v>2555821.7895919099</v>
      </c>
      <c r="V1328" s="40">
        <v>0</v>
      </c>
      <c r="W1328" s="45">
        <v>3562404.7877823501</v>
      </c>
      <c r="X1328" s="46">
        <v>20.477824701171301</v>
      </c>
    </row>
    <row r="1329" spans="1:24" s="4" customFormat="1" ht="15" customHeight="1">
      <c r="A1329" s="28" t="s">
        <v>3483</v>
      </c>
      <c r="B1329" s="29">
        <v>3387.15</v>
      </c>
      <c r="C1329" s="30" t="s">
        <v>3663</v>
      </c>
      <c r="D1329" s="2">
        <v>4951890230</v>
      </c>
      <c r="E1329" s="2" t="s">
        <v>14</v>
      </c>
      <c r="F1329" s="2" t="s">
        <v>3664</v>
      </c>
      <c r="G1329" s="28" t="s">
        <v>5</v>
      </c>
      <c r="H1329" s="2" t="s">
        <v>17</v>
      </c>
      <c r="I1329" s="2">
        <v>1</v>
      </c>
      <c r="J1329" s="2" t="s">
        <v>3665</v>
      </c>
      <c r="K1329" s="2">
        <v>32450.400000000001</v>
      </c>
      <c r="L1329" s="35">
        <v>109914372.36</v>
      </c>
      <c r="M1329" s="36">
        <v>720</v>
      </c>
      <c r="N1329" s="40">
        <v>16947.549241201199</v>
      </c>
      <c r="O1329" s="40">
        <v>76499.833333333299</v>
      </c>
      <c r="P1329" s="40">
        <v>23704.436551501502</v>
      </c>
      <c r="Q1329" s="40">
        <v>18333.333333333299</v>
      </c>
      <c r="R1329" s="40">
        <v>34690.758798837604</v>
      </c>
      <c r="S1329" s="40">
        <v>18307.058443655202</v>
      </c>
      <c r="T1329" s="40">
        <v>30000</v>
      </c>
      <c r="U1329" s="40">
        <v>281384.56570874999</v>
      </c>
      <c r="V1329" s="40">
        <v>0</v>
      </c>
      <c r="W1329" s="45">
        <v>499867.53541061201</v>
      </c>
      <c r="X1329" s="46">
        <v>0.45477904725089802</v>
      </c>
    </row>
    <row r="1330" spans="1:24" s="4" customFormat="1" ht="15" customHeight="1">
      <c r="A1330" s="28" t="s">
        <v>3483</v>
      </c>
      <c r="B1330" s="29">
        <v>3387.15</v>
      </c>
      <c r="C1330" s="30" t="s">
        <v>3663</v>
      </c>
      <c r="D1330" s="2">
        <v>4952024013</v>
      </c>
      <c r="E1330" s="2" t="s">
        <v>14</v>
      </c>
      <c r="F1330" s="2" t="s">
        <v>3664</v>
      </c>
      <c r="G1330" s="28" t="s">
        <v>5</v>
      </c>
      <c r="H1330" s="2" t="s">
        <v>17</v>
      </c>
      <c r="I1330" s="2">
        <v>1</v>
      </c>
      <c r="J1330" s="2" t="s">
        <v>3665</v>
      </c>
      <c r="K1330" s="2">
        <v>3931.25</v>
      </c>
      <c r="L1330" s="35">
        <v>13315733.4375</v>
      </c>
      <c r="M1330" s="36">
        <v>626</v>
      </c>
      <c r="N1330" s="40">
        <v>15252.794317080999</v>
      </c>
      <c r="O1330" s="40">
        <v>76499.833333333299</v>
      </c>
      <c r="P1330" s="40">
        <v>21333.992896351301</v>
      </c>
      <c r="Q1330" s="40">
        <v>18333.333333333299</v>
      </c>
      <c r="R1330" s="40">
        <v>31221.6829189538</v>
      </c>
      <c r="S1330" s="40">
        <v>16476.352599289599</v>
      </c>
      <c r="T1330" s="40">
        <v>30000</v>
      </c>
      <c r="U1330" s="40">
        <v>253246.109137875</v>
      </c>
      <c r="V1330" s="40">
        <v>0</v>
      </c>
      <c r="W1330" s="45">
        <v>462364.098536217</v>
      </c>
      <c r="X1330" s="46">
        <v>3.4723141665940802</v>
      </c>
    </row>
    <row r="1331" spans="1:24" s="4" customFormat="1" ht="15" customHeight="1">
      <c r="A1331" s="28" t="s">
        <v>3483</v>
      </c>
      <c r="B1331" s="29">
        <v>3387.15</v>
      </c>
      <c r="C1331" s="30" t="s">
        <v>3666</v>
      </c>
      <c r="D1331" s="2">
        <v>4951152067</v>
      </c>
      <c r="E1331" s="2" t="s">
        <v>14</v>
      </c>
      <c r="F1331" s="2" t="s">
        <v>3667</v>
      </c>
      <c r="G1331" s="28" t="s">
        <v>5</v>
      </c>
      <c r="H1331" s="2" t="s">
        <v>17</v>
      </c>
      <c r="I1331" s="2">
        <v>1</v>
      </c>
      <c r="J1331" s="2" t="s">
        <v>3668</v>
      </c>
      <c r="K1331" s="2">
        <v>63735</v>
      </c>
      <c r="L1331" s="35">
        <v>215880005.25</v>
      </c>
      <c r="M1331" s="36">
        <v>10500</v>
      </c>
      <c r="N1331" s="40">
        <v>189598.76033057799</v>
      </c>
      <c r="O1331" s="40">
        <v>114749.75</v>
      </c>
      <c r="P1331" s="40">
        <v>331797.685950413</v>
      </c>
      <c r="Q1331" s="40">
        <v>27500</v>
      </c>
      <c r="R1331" s="40">
        <v>549475.70247933897</v>
      </c>
      <c r="S1331" s="40">
        <v>204999.338842975</v>
      </c>
      <c r="T1331" s="40">
        <v>30000</v>
      </c>
      <c r="U1331" s="40">
        <v>3263128.09917355</v>
      </c>
      <c r="V1331" s="40">
        <v>0</v>
      </c>
      <c r="W1331" s="45">
        <v>4711249.3367768498</v>
      </c>
      <c r="X1331" s="46">
        <v>2.1823463137871402</v>
      </c>
    </row>
    <row r="1332" spans="1:24" s="4" customFormat="1" ht="15" customHeight="1">
      <c r="A1332" s="28" t="s">
        <v>3483</v>
      </c>
      <c r="B1332" s="29">
        <v>3387.15</v>
      </c>
      <c r="C1332" s="30" t="s">
        <v>3666</v>
      </c>
      <c r="D1332" s="2">
        <v>4951874476</v>
      </c>
      <c r="E1332" s="2" t="s">
        <v>14</v>
      </c>
      <c r="F1332" s="2" t="s">
        <v>3667</v>
      </c>
      <c r="G1332" s="28" t="s">
        <v>5</v>
      </c>
      <c r="H1332" s="2" t="s">
        <v>17</v>
      </c>
      <c r="I1332" s="2">
        <v>1</v>
      </c>
      <c r="J1332" s="2" t="s">
        <v>3668</v>
      </c>
      <c r="K1332" s="2">
        <v>5355</v>
      </c>
      <c r="L1332" s="35">
        <v>18138188.25</v>
      </c>
      <c r="M1332" s="36">
        <v>1260</v>
      </c>
      <c r="N1332" s="40">
        <v>22751.851239669399</v>
      </c>
      <c r="O1332" s="40">
        <v>114749.75</v>
      </c>
      <c r="P1332" s="40">
        <v>39815.722314049599</v>
      </c>
      <c r="Q1332" s="40">
        <v>27500</v>
      </c>
      <c r="R1332" s="40">
        <v>65937.084297520705</v>
      </c>
      <c r="S1332" s="40">
        <v>24599.920661157001</v>
      </c>
      <c r="T1332" s="40">
        <v>30000</v>
      </c>
      <c r="U1332" s="40">
        <v>391575.37190082599</v>
      </c>
      <c r="V1332" s="40">
        <v>0</v>
      </c>
      <c r="W1332" s="45">
        <v>716929.70041322301</v>
      </c>
      <c r="X1332" s="46">
        <v>3.9525981896963902</v>
      </c>
    </row>
    <row r="1333" spans="1:24" s="4" customFormat="1" ht="15" customHeight="1">
      <c r="A1333" s="28" t="s">
        <v>3483</v>
      </c>
      <c r="B1333" s="29">
        <v>3387.15</v>
      </c>
      <c r="C1333" s="30" t="s">
        <v>3666</v>
      </c>
      <c r="D1333" s="2">
        <v>4951874490</v>
      </c>
      <c r="E1333" s="2" t="s">
        <v>14</v>
      </c>
      <c r="F1333" s="2" t="s">
        <v>3667</v>
      </c>
      <c r="G1333" s="28" t="s">
        <v>5</v>
      </c>
      <c r="H1333" s="2" t="s">
        <v>17</v>
      </c>
      <c r="I1333" s="2">
        <v>1</v>
      </c>
      <c r="J1333" s="2" t="s">
        <v>3668</v>
      </c>
      <c r="K1333" s="2">
        <v>13204.8</v>
      </c>
      <c r="L1333" s="35">
        <v>44726638.32</v>
      </c>
      <c r="M1333" s="36">
        <v>5040</v>
      </c>
      <c r="N1333" s="40">
        <v>91007.404958677696</v>
      </c>
      <c r="O1333" s="40">
        <v>114749.75</v>
      </c>
      <c r="P1333" s="40">
        <v>159262.88925619799</v>
      </c>
      <c r="Q1333" s="40">
        <v>27500</v>
      </c>
      <c r="R1333" s="40">
        <v>263748.337190083</v>
      </c>
      <c r="S1333" s="40">
        <v>98399.682644628105</v>
      </c>
      <c r="T1333" s="40">
        <v>30000</v>
      </c>
      <c r="U1333" s="40">
        <v>1566301.48760331</v>
      </c>
      <c r="V1333" s="40">
        <v>0</v>
      </c>
      <c r="W1333" s="45">
        <v>2350969.5516528999</v>
      </c>
      <c r="X1333" s="46">
        <v>5.2563072923851601</v>
      </c>
    </row>
    <row r="1334" spans="1:24" s="4" customFormat="1" ht="15" customHeight="1">
      <c r="A1334" s="28" t="s">
        <v>3483</v>
      </c>
      <c r="B1334" s="29">
        <v>3387.15</v>
      </c>
      <c r="C1334" s="30" t="s">
        <v>3666</v>
      </c>
      <c r="D1334" s="2">
        <v>4951726539</v>
      </c>
      <c r="E1334" s="2" t="s">
        <v>14</v>
      </c>
      <c r="F1334" s="2" t="s">
        <v>3667</v>
      </c>
      <c r="G1334" s="28" t="s">
        <v>5</v>
      </c>
      <c r="H1334" s="2" t="s">
        <v>17</v>
      </c>
      <c r="I1334" s="2">
        <v>1</v>
      </c>
      <c r="J1334" s="2" t="s">
        <v>3668</v>
      </c>
      <c r="K1334" s="2">
        <v>3874.5</v>
      </c>
      <c r="L1334" s="35">
        <v>13123512.675000001</v>
      </c>
      <c r="M1334" s="36">
        <v>1350</v>
      </c>
      <c r="N1334" s="40">
        <v>24376.9834710744</v>
      </c>
      <c r="O1334" s="40">
        <v>114749.75</v>
      </c>
      <c r="P1334" s="40">
        <v>42659.702479338797</v>
      </c>
      <c r="Q1334" s="40">
        <v>27500</v>
      </c>
      <c r="R1334" s="40">
        <v>70646.876033057895</v>
      </c>
      <c r="S1334" s="40">
        <v>26357.057851239701</v>
      </c>
      <c r="T1334" s="40">
        <v>30000</v>
      </c>
      <c r="U1334" s="40">
        <v>419545.04132231401</v>
      </c>
      <c r="V1334" s="40">
        <v>0</v>
      </c>
      <c r="W1334" s="45">
        <v>755835.41115702502</v>
      </c>
      <c r="X1334" s="46">
        <v>5.7593986448222401</v>
      </c>
    </row>
    <row r="1335" spans="1:24" s="4" customFormat="1" ht="15" customHeight="1">
      <c r="A1335" s="28" t="s">
        <v>3483</v>
      </c>
      <c r="B1335" s="29">
        <v>3387.15</v>
      </c>
      <c r="C1335" s="30" t="s">
        <v>3679</v>
      </c>
      <c r="D1335" s="2">
        <v>4951840954</v>
      </c>
      <c r="E1335" s="2" t="s">
        <v>14</v>
      </c>
      <c r="F1335" s="2" t="s">
        <v>3680</v>
      </c>
      <c r="G1335" s="28" t="s">
        <v>5</v>
      </c>
      <c r="H1335" s="2" t="s">
        <v>20</v>
      </c>
      <c r="I1335" s="2">
        <v>1</v>
      </c>
      <c r="J1335" s="2" t="s">
        <v>3681</v>
      </c>
      <c r="K1335" s="2">
        <v>10248</v>
      </c>
      <c r="L1335" s="35">
        <v>34711513.200000003</v>
      </c>
      <c r="M1335" s="36">
        <v>2400</v>
      </c>
      <c r="N1335" s="40">
        <v>163873.235294118</v>
      </c>
      <c r="O1335" s="40">
        <v>69975.8</v>
      </c>
      <c r="P1335" s="40">
        <v>0</v>
      </c>
      <c r="Q1335" s="40">
        <v>22000</v>
      </c>
      <c r="R1335" s="40">
        <v>219860</v>
      </c>
      <c r="S1335" s="40">
        <v>104222.352941176</v>
      </c>
      <c r="T1335" s="40">
        <v>30000</v>
      </c>
      <c r="U1335" s="40">
        <v>853029.41176470602</v>
      </c>
      <c r="V1335" s="40">
        <v>0</v>
      </c>
      <c r="W1335" s="45">
        <v>1462960.8</v>
      </c>
      <c r="X1335" s="46">
        <v>4.2146269785783899</v>
      </c>
    </row>
    <row r="1336" spans="1:24" s="4" customFormat="1" ht="15" customHeight="1">
      <c r="A1336" s="28" t="s">
        <v>3483</v>
      </c>
      <c r="B1336" s="29">
        <v>3387.15</v>
      </c>
      <c r="C1336" s="30" t="s">
        <v>3679</v>
      </c>
      <c r="D1336" s="2">
        <v>4951874476</v>
      </c>
      <c r="E1336" s="2" t="s">
        <v>14</v>
      </c>
      <c r="F1336" s="2" t="s">
        <v>3680</v>
      </c>
      <c r="G1336" s="28" t="s">
        <v>5</v>
      </c>
      <c r="H1336" s="2" t="s">
        <v>20</v>
      </c>
      <c r="I1336" s="2">
        <v>1</v>
      </c>
      <c r="J1336" s="2" t="s">
        <v>3681</v>
      </c>
      <c r="K1336" s="2">
        <v>7584</v>
      </c>
      <c r="L1336" s="35">
        <v>25688145.600000001</v>
      </c>
      <c r="M1336" s="36">
        <v>1200</v>
      </c>
      <c r="N1336" s="40">
        <v>81936.617647058796</v>
      </c>
      <c r="O1336" s="40">
        <v>69975.8</v>
      </c>
      <c r="P1336" s="40">
        <v>0</v>
      </c>
      <c r="Q1336" s="40">
        <v>22000</v>
      </c>
      <c r="R1336" s="40">
        <v>109930</v>
      </c>
      <c r="S1336" s="40">
        <v>52111.176470588201</v>
      </c>
      <c r="T1336" s="40">
        <v>30000</v>
      </c>
      <c r="U1336" s="40">
        <v>426514.70588235301</v>
      </c>
      <c r="V1336" s="40">
        <v>0</v>
      </c>
      <c r="W1336" s="45">
        <v>792468.3</v>
      </c>
      <c r="X1336" s="46">
        <v>3.0849572107688501</v>
      </c>
    </row>
    <row r="1337" spans="1:24" s="4" customFormat="1" ht="15" customHeight="1">
      <c r="A1337" s="28" t="s">
        <v>3483</v>
      </c>
      <c r="B1337" s="29">
        <v>3387.15</v>
      </c>
      <c r="C1337" s="30" t="s">
        <v>3679</v>
      </c>
      <c r="D1337" s="2">
        <v>4951874476</v>
      </c>
      <c r="E1337" s="2" t="s">
        <v>14</v>
      </c>
      <c r="F1337" s="2" t="s">
        <v>3680</v>
      </c>
      <c r="G1337" s="28" t="s">
        <v>5</v>
      </c>
      <c r="H1337" s="2" t="s">
        <v>20</v>
      </c>
      <c r="I1337" s="2">
        <v>1</v>
      </c>
      <c r="J1337" s="2" t="s">
        <v>3681</v>
      </c>
      <c r="K1337" s="2">
        <v>10008</v>
      </c>
      <c r="L1337" s="35">
        <v>33898597.200000003</v>
      </c>
      <c r="M1337" s="36">
        <v>1200</v>
      </c>
      <c r="N1337" s="40">
        <v>81936.617647058796</v>
      </c>
      <c r="O1337" s="40">
        <v>69975.8</v>
      </c>
      <c r="P1337" s="40">
        <v>0</v>
      </c>
      <c r="Q1337" s="40">
        <v>22000</v>
      </c>
      <c r="R1337" s="40">
        <v>109930</v>
      </c>
      <c r="S1337" s="40">
        <v>52111.176470588201</v>
      </c>
      <c r="T1337" s="40">
        <v>30000</v>
      </c>
      <c r="U1337" s="40">
        <v>426514.70588235301</v>
      </c>
      <c r="V1337" s="40">
        <v>0</v>
      </c>
      <c r="W1337" s="45">
        <v>792468.3</v>
      </c>
      <c r="X1337" s="46">
        <v>2.33776133957543</v>
      </c>
    </row>
    <row r="1338" spans="1:24" s="4" customFormat="1" ht="15" customHeight="1">
      <c r="A1338" s="28" t="s">
        <v>3483</v>
      </c>
      <c r="B1338" s="29">
        <v>3387.15</v>
      </c>
      <c r="C1338" s="30" t="s">
        <v>3679</v>
      </c>
      <c r="D1338" s="2">
        <v>4951517150</v>
      </c>
      <c r="E1338" s="2" t="s">
        <v>14</v>
      </c>
      <c r="F1338" s="2" t="s">
        <v>3680</v>
      </c>
      <c r="G1338" s="28" t="s">
        <v>5</v>
      </c>
      <c r="H1338" s="2" t="s">
        <v>20</v>
      </c>
      <c r="I1338" s="2">
        <v>1</v>
      </c>
      <c r="J1338" s="2" t="s">
        <v>3681</v>
      </c>
      <c r="K1338" s="2">
        <v>2486.4</v>
      </c>
      <c r="L1338" s="35">
        <v>8421809.7599999998</v>
      </c>
      <c r="M1338" s="36">
        <v>840</v>
      </c>
      <c r="N1338" s="40">
        <v>57355.632352941197</v>
      </c>
      <c r="O1338" s="40">
        <v>69975.8</v>
      </c>
      <c r="P1338" s="40">
        <v>0</v>
      </c>
      <c r="Q1338" s="40">
        <v>22000</v>
      </c>
      <c r="R1338" s="40">
        <v>76951</v>
      </c>
      <c r="S1338" s="40">
        <v>36477.823529411799</v>
      </c>
      <c r="T1338" s="40">
        <v>30000</v>
      </c>
      <c r="U1338" s="40">
        <v>298560.29411764699</v>
      </c>
      <c r="V1338" s="40">
        <v>0</v>
      </c>
      <c r="W1338" s="45">
        <v>591320.55000000005</v>
      </c>
      <c r="X1338" s="46">
        <v>7.0213002531655402</v>
      </c>
    </row>
    <row r="1339" spans="1:24" s="4" customFormat="1" ht="15" customHeight="1">
      <c r="A1339" s="28" t="s">
        <v>3483</v>
      </c>
      <c r="B1339" s="29">
        <v>3387.15</v>
      </c>
      <c r="C1339" s="30" t="s">
        <v>3679</v>
      </c>
      <c r="D1339" s="2">
        <v>4951325261</v>
      </c>
      <c r="E1339" s="2" t="s">
        <v>14</v>
      </c>
      <c r="F1339" s="2" t="s">
        <v>3680</v>
      </c>
      <c r="G1339" s="28" t="s">
        <v>5</v>
      </c>
      <c r="H1339" s="2" t="s">
        <v>20</v>
      </c>
      <c r="I1339" s="2">
        <v>1</v>
      </c>
      <c r="J1339" s="2" t="s">
        <v>3681</v>
      </c>
      <c r="K1339" s="2">
        <v>10508.4</v>
      </c>
      <c r="L1339" s="35">
        <v>35593527.060000002</v>
      </c>
      <c r="M1339" s="36">
        <v>2520</v>
      </c>
      <c r="N1339" s="40">
        <v>172066.89705882399</v>
      </c>
      <c r="O1339" s="40">
        <v>69975.8</v>
      </c>
      <c r="P1339" s="40">
        <v>0</v>
      </c>
      <c r="Q1339" s="40">
        <v>22000</v>
      </c>
      <c r="R1339" s="40">
        <v>230853</v>
      </c>
      <c r="S1339" s="40">
        <v>109433.470588235</v>
      </c>
      <c r="T1339" s="40">
        <v>30000</v>
      </c>
      <c r="U1339" s="40">
        <v>895680.88235294097</v>
      </c>
      <c r="V1339" s="40">
        <v>0</v>
      </c>
      <c r="W1339" s="45">
        <v>1530010.05</v>
      </c>
      <c r="X1339" s="46">
        <v>4.29856262185218</v>
      </c>
    </row>
    <row r="1340" spans="1:24" s="4" customFormat="1" ht="15" customHeight="1">
      <c r="A1340" s="28" t="s">
        <v>3483</v>
      </c>
      <c r="B1340" s="29">
        <v>3387.15</v>
      </c>
      <c r="C1340" s="30" t="s">
        <v>3691</v>
      </c>
      <c r="D1340" s="2">
        <v>4952131126</v>
      </c>
      <c r="E1340" s="2" t="s">
        <v>14</v>
      </c>
      <c r="F1340" s="2" t="s">
        <v>3692</v>
      </c>
      <c r="G1340" s="28" t="s">
        <v>9</v>
      </c>
      <c r="H1340" s="2" t="s">
        <v>23</v>
      </c>
      <c r="I1340" s="2">
        <v>1</v>
      </c>
      <c r="J1340" s="2"/>
      <c r="K1340" s="2">
        <v>1856.4</v>
      </c>
      <c r="L1340" s="35">
        <v>6287905.2599999998</v>
      </c>
      <c r="M1340" s="36">
        <v>420</v>
      </c>
      <c r="N1340" s="40">
        <v>500174</v>
      </c>
      <c r="O1340" s="40">
        <v>309</v>
      </c>
      <c r="P1340" s="40">
        <v>0</v>
      </c>
      <c r="Q1340" s="40">
        <v>7069</v>
      </c>
      <c r="R1340" s="40">
        <v>93041</v>
      </c>
      <c r="S1340" s="40">
        <v>354356</v>
      </c>
      <c r="T1340" s="40">
        <v>30000</v>
      </c>
      <c r="U1340" s="40">
        <v>1367700</v>
      </c>
      <c r="V1340" s="40">
        <v>0</v>
      </c>
      <c r="W1340" s="45">
        <v>2352649</v>
      </c>
      <c r="X1340" s="46">
        <v>37.415465130592601</v>
      </c>
    </row>
    <row r="1341" spans="1:24" s="4" customFormat="1" ht="15" customHeight="1">
      <c r="A1341" s="28" t="s">
        <v>3483</v>
      </c>
      <c r="B1341" s="29">
        <v>3387.15</v>
      </c>
      <c r="C1341" s="30" t="s">
        <v>3712</v>
      </c>
      <c r="D1341" s="2">
        <v>4951411353</v>
      </c>
      <c r="E1341" s="2" t="s">
        <v>14</v>
      </c>
      <c r="F1341" s="2" t="s">
        <v>3713</v>
      </c>
      <c r="G1341" s="28" t="s">
        <v>5</v>
      </c>
      <c r="H1341" s="2" t="s">
        <v>20</v>
      </c>
      <c r="I1341" s="2">
        <v>1</v>
      </c>
      <c r="J1341" s="2" t="s">
        <v>3714</v>
      </c>
      <c r="K1341" s="2">
        <v>13425.45</v>
      </c>
      <c r="L1341" s="35">
        <v>45474012.967500001</v>
      </c>
      <c r="M1341" s="36">
        <v>7585</v>
      </c>
      <c r="N1341" s="40">
        <v>379144</v>
      </c>
      <c r="O1341" s="40">
        <v>349879</v>
      </c>
      <c r="P1341" s="40">
        <v>0</v>
      </c>
      <c r="Q1341" s="40">
        <v>110000</v>
      </c>
      <c r="R1341" s="40">
        <v>641776</v>
      </c>
      <c r="S1341" s="40">
        <v>354356</v>
      </c>
      <c r="T1341" s="40">
        <v>30000</v>
      </c>
      <c r="U1341" s="40">
        <v>2900300</v>
      </c>
      <c r="V1341" s="40">
        <v>0</v>
      </c>
      <c r="W1341" s="45">
        <v>4765455</v>
      </c>
      <c r="X1341" s="46">
        <v>10.4795127788828</v>
      </c>
    </row>
    <row r="1342" spans="1:24" s="4" customFormat="1" ht="15" customHeight="1">
      <c r="A1342" s="28" t="s">
        <v>3483</v>
      </c>
      <c r="B1342" s="29">
        <v>3387.15</v>
      </c>
      <c r="C1342" s="30" t="s">
        <v>3735</v>
      </c>
      <c r="D1342" s="2">
        <v>4951726543</v>
      </c>
      <c r="E1342" s="2" t="s">
        <v>14</v>
      </c>
      <c r="F1342" s="2" t="s">
        <v>3736</v>
      </c>
      <c r="G1342" s="28" t="s">
        <v>5</v>
      </c>
      <c r="H1342" s="2" t="s">
        <v>20</v>
      </c>
      <c r="I1342" s="2">
        <v>1</v>
      </c>
      <c r="J1342" s="2" t="s">
        <v>3737</v>
      </c>
      <c r="K1342" s="2">
        <v>16449.599999999999</v>
      </c>
      <c r="L1342" s="35">
        <v>55717262.640000001</v>
      </c>
      <c r="M1342" s="36">
        <v>5520</v>
      </c>
      <c r="N1342" s="40">
        <v>187465.827956989</v>
      </c>
      <c r="O1342" s="40">
        <v>116626.33333333299</v>
      </c>
      <c r="P1342" s="40">
        <v>0</v>
      </c>
      <c r="Q1342" s="40">
        <v>36666.666666666701</v>
      </c>
      <c r="R1342" s="40">
        <v>318402.870967742</v>
      </c>
      <c r="S1342" s="40">
        <v>175272.86021505401</v>
      </c>
      <c r="T1342" s="40">
        <v>30000</v>
      </c>
      <c r="U1342" s="40">
        <v>1384698.9247311801</v>
      </c>
      <c r="V1342" s="40">
        <v>0</v>
      </c>
      <c r="W1342" s="45">
        <v>2249133.4838709598</v>
      </c>
      <c r="X1342" s="46">
        <v>4.0366905646514804</v>
      </c>
    </row>
    <row r="1343" spans="1:24" s="4" customFormat="1" ht="15" customHeight="1">
      <c r="A1343" s="28" t="s">
        <v>3483</v>
      </c>
      <c r="B1343" s="29">
        <v>3387.15</v>
      </c>
      <c r="C1343" s="30" t="s">
        <v>3735</v>
      </c>
      <c r="D1343" s="2">
        <v>4951726543</v>
      </c>
      <c r="E1343" s="2" t="s">
        <v>14</v>
      </c>
      <c r="F1343" s="2" t="s">
        <v>3736</v>
      </c>
      <c r="G1343" s="28" t="s">
        <v>5</v>
      </c>
      <c r="H1343" s="2" t="s">
        <v>20</v>
      </c>
      <c r="I1343" s="2">
        <v>1</v>
      </c>
      <c r="J1343" s="2" t="s">
        <v>3737</v>
      </c>
      <c r="K1343" s="2">
        <v>13632</v>
      </c>
      <c r="L1343" s="35">
        <v>46173628.799999997</v>
      </c>
      <c r="M1343" s="36">
        <v>4800</v>
      </c>
      <c r="N1343" s="40">
        <v>163013.76344086</v>
      </c>
      <c r="O1343" s="40">
        <v>116626.33333333299</v>
      </c>
      <c r="P1343" s="40">
        <v>0</v>
      </c>
      <c r="Q1343" s="40">
        <v>36666.666666666701</v>
      </c>
      <c r="R1343" s="40">
        <v>276872.32258064498</v>
      </c>
      <c r="S1343" s="40">
        <v>152411.18279569899</v>
      </c>
      <c r="T1343" s="40">
        <v>30000</v>
      </c>
      <c r="U1343" s="40">
        <v>1204086.02150538</v>
      </c>
      <c r="V1343" s="40">
        <v>0</v>
      </c>
      <c r="W1343" s="45">
        <v>1979676.2903225799</v>
      </c>
      <c r="X1343" s="46">
        <v>4.2874609203827303</v>
      </c>
    </row>
    <row r="1344" spans="1:24" s="4" customFormat="1" ht="15" customHeight="1">
      <c r="A1344" s="28" t="s">
        <v>3483</v>
      </c>
      <c r="B1344" s="29">
        <v>3387.15</v>
      </c>
      <c r="C1344" s="30" t="s">
        <v>3735</v>
      </c>
      <c r="D1344" s="2">
        <v>4951517150</v>
      </c>
      <c r="E1344" s="2" t="s">
        <v>14</v>
      </c>
      <c r="F1344" s="2" t="s">
        <v>3736</v>
      </c>
      <c r="G1344" s="28" t="s">
        <v>5</v>
      </c>
      <c r="H1344" s="2" t="s">
        <v>20</v>
      </c>
      <c r="I1344" s="2">
        <v>1</v>
      </c>
      <c r="J1344" s="2" t="s">
        <v>3737</v>
      </c>
      <c r="K1344" s="2">
        <v>2562</v>
      </c>
      <c r="L1344" s="35">
        <v>8677878.3000000007</v>
      </c>
      <c r="M1344" s="36">
        <v>840</v>
      </c>
      <c r="N1344" s="40">
        <v>28527.408602150499</v>
      </c>
      <c r="O1344" s="40">
        <v>116626.33333333299</v>
      </c>
      <c r="P1344" s="40">
        <v>0</v>
      </c>
      <c r="Q1344" s="40">
        <v>36666.666666666701</v>
      </c>
      <c r="R1344" s="40">
        <v>48452.806451612902</v>
      </c>
      <c r="S1344" s="40">
        <v>26671.956989247301</v>
      </c>
      <c r="T1344" s="40">
        <v>30000</v>
      </c>
      <c r="U1344" s="40">
        <v>210715.05376344101</v>
      </c>
      <c r="V1344" s="40">
        <v>0</v>
      </c>
      <c r="W1344" s="45">
        <v>497660.22580645198</v>
      </c>
      <c r="X1344" s="46">
        <v>5.7348145318706703</v>
      </c>
    </row>
    <row r="1345" spans="1:24" s="4" customFormat="1" ht="15" customHeight="1">
      <c r="A1345" s="28" t="s">
        <v>3483</v>
      </c>
      <c r="B1345" s="29">
        <v>3387.15</v>
      </c>
      <c r="C1345" s="30" t="s">
        <v>3738</v>
      </c>
      <c r="D1345" s="2" t="s">
        <v>3739</v>
      </c>
      <c r="E1345" s="2" t="s">
        <v>14</v>
      </c>
      <c r="F1345" s="2" t="s">
        <v>3740</v>
      </c>
      <c r="G1345" s="28" t="s">
        <v>5</v>
      </c>
      <c r="H1345" s="2" t="s">
        <v>17</v>
      </c>
      <c r="I1345" s="2">
        <v>1</v>
      </c>
      <c r="J1345" s="2" t="s">
        <v>3741</v>
      </c>
      <c r="K1345" s="2">
        <v>14742</v>
      </c>
      <c r="L1345" s="35">
        <v>49933365.299999997</v>
      </c>
      <c r="M1345" s="36">
        <v>6300</v>
      </c>
      <c r="N1345" s="40">
        <v>100718.56097561</v>
      </c>
      <c r="O1345" s="40">
        <v>76499.833333333299</v>
      </c>
      <c r="P1345" s="40">
        <v>141005.98536585399</v>
      </c>
      <c r="Q1345" s="40">
        <v>18333.333333333299</v>
      </c>
      <c r="R1345" s="40">
        <v>207279.526829268</v>
      </c>
      <c r="S1345" s="40">
        <v>108899.648780488</v>
      </c>
      <c r="T1345" s="40">
        <v>30000</v>
      </c>
      <c r="U1345" s="40">
        <v>1943596.0975609799</v>
      </c>
      <c r="V1345" s="40">
        <v>0</v>
      </c>
      <c r="W1345" s="45">
        <v>2626332.9861788698</v>
      </c>
      <c r="X1345" s="46">
        <v>5.2596755103523298</v>
      </c>
    </row>
    <row r="1346" spans="1:24" s="4" customFormat="1" ht="15" customHeight="1">
      <c r="A1346" s="28" t="s">
        <v>3483</v>
      </c>
      <c r="B1346" s="29">
        <v>3387.15</v>
      </c>
      <c r="C1346" s="30" t="s">
        <v>3738</v>
      </c>
      <c r="D1346" s="2">
        <v>4951798404</v>
      </c>
      <c r="E1346" s="2" t="s">
        <v>14</v>
      </c>
      <c r="F1346" s="2" t="s">
        <v>3740</v>
      </c>
      <c r="G1346" s="28" t="s">
        <v>5</v>
      </c>
      <c r="H1346" s="2" t="s">
        <v>17</v>
      </c>
      <c r="I1346" s="2">
        <v>1</v>
      </c>
      <c r="J1346" s="2" t="s">
        <v>3741</v>
      </c>
      <c r="K1346" s="2">
        <v>15624</v>
      </c>
      <c r="L1346" s="35">
        <v>52920831.600000001</v>
      </c>
      <c r="M1346" s="36">
        <v>3825</v>
      </c>
      <c r="N1346" s="40">
        <v>115106.92682926801</v>
      </c>
      <c r="O1346" s="40">
        <v>76499.833333333299</v>
      </c>
      <c r="P1346" s="40">
        <v>161149.697560976</v>
      </c>
      <c r="Q1346" s="40">
        <v>18333.333333333299</v>
      </c>
      <c r="R1346" s="40">
        <v>236890.887804878</v>
      </c>
      <c r="S1346" s="40">
        <v>124456.741463415</v>
      </c>
      <c r="T1346" s="40">
        <v>30000</v>
      </c>
      <c r="U1346" s="40">
        <v>2221252.6829268299</v>
      </c>
      <c r="V1346" s="40">
        <v>0</v>
      </c>
      <c r="W1346" s="45">
        <v>2983690.10325203</v>
      </c>
      <c r="X1346" s="46">
        <v>5.6380257321051497</v>
      </c>
    </row>
    <row r="1347" spans="1:24" s="4" customFormat="1" ht="15" customHeight="1">
      <c r="A1347" s="28" t="s">
        <v>3483</v>
      </c>
      <c r="B1347" s="29">
        <v>3387.15</v>
      </c>
      <c r="C1347" s="30" t="s">
        <v>3738</v>
      </c>
      <c r="D1347" s="2">
        <v>4951152059</v>
      </c>
      <c r="E1347" s="2" t="s">
        <v>14</v>
      </c>
      <c r="F1347" s="2" t="s">
        <v>3740</v>
      </c>
      <c r="G1347" s="28" t="s">
        <v>5</v>
      </c>
      <c r="H1347" s="2" t="s">
        <v>17</v>
      </c>
      <c r="I1347" s="2">
        <v>1</v>
      </c>
      <c r="J1347" s="2" t="s">
        <v>3741</v>
      </c>
      <c r="K1347" s="2">
        <v>1989</v>
      </c>
      <c r="L1347" s="35">
        <v>6737041.3499999996</v>
      </c>
      <c r="M1347" s="36">
        <v>450</v>
      </c>
      <c r="N1347" s="40">
        <v>7194.1829268292704</v>
      </c>
      <c r="O1347" s="40">
        <v>76499.833333333299</v>
      </c>
      <c r="P1347" s="40">
        <v>10071.856097561</v>
      </c>
      <c r="Q1347" s="40">
        <v>18333.333333333299</v>
      </c>
      <c r="R1347" s="40">
        <v>14805.680487804901</v>
      </c>
      <c r="S1347" s="40">
        <v>7778.5463414634096</v>
      </c>
      <c r="T1347" s="40">
        <v>30000</v>
      </c>
      <c r="U1347" s="40">
        <v>138828.29268292701</v>
      </c>
      <c r="V1347" s="40">
        <v>0</v>
      </c>
      <c r="W1347" s="45">
        <v>303511.72520325199</v>
      </c>
      <c r="X1347" s="46">
        <v>4.5051189303335999</v>
      </c>
    </row>
    <row r="1348" spans="1:24" s="4" customFormat="1" ht="15" customHeight="1">
      <c r="A1348" s="28" t="s">
        <v>3483</v>
      </c>
      <c r="B1348" s="29">
        <v>3387.15</v>
      </c>
      <c r="C1348" s="30" t="s">
        <v>3738</v>
      </c>
      <c r="D1348" s="2">
        <v>4951411354</v>
      </c>
      <c r="E1348" s="2" t="s">
        <v>14</v>
      </c>
      <c r="F1348" s="2" t="s">
        <v>3740</v>
      </c>
      <c r="G1348" s="28" t="s">
        <v>5</v>
      </c>
      <c r="H1348" s="2" t="s">
        <v>17</v>
      </c>
      <c r="I1348" s="2">
        <v>1</v>
      </c>
      <c r="J1348" s="2" t="s">
        <v>3741</v>
      </c>
      <c r="K1348" s="2">
        <v>28672</v>
      </c>
      <c r="L1348" s="35">
        <v>97116364.799999997</v>
      </c>
      <c r="M1348" s="36">
        <v>2800</v>
      </c>
      <c r="N1348" s="40">
        <v>44763.804878048802</v>
      </c>
      <c r="O1348" s="40">
        <v>76499.833333333299</v>
      </c>
      <c r="P1348" s="40">
        <v>62669.326829268299</v>
      </c>
      <c r="Q1348" s="40">
        <v>18333.333333333299</v>
      </c>
      <c r="R1348" s="40">
        <v>92124.234146341507</v>
      </c>
      <c r="S1348" s="40">
        <v>48399.843902439003</v>
      </c>
      <c r="T1348" s="40">
        <v>30000</v>
      </c>
      <c r="U1348" s="40">
        <v>863820.48780487804</v>
      </c>
      <c r="V1348" s="40">
        <v>0</v>
      </c>
      <c r="W1348" s="45">
        <v>1236610.86422764</v>
      </c>
      <c r="X1348" s="46">
        <v>1.2733290282995</v>
      </c>
    </row>
    <row r="1349" spans="1:24" s="4" customFormat="1" ht="15" customHeight="1">
      <c r="A1349" s="28" t="s">
        <v>3483</v>
      </c>
      <c r="B1349" s="29">
        <v>3387.15</v>
      </c>
      <c r="C1349" s="30" t="s">
        <v>3738</v>
      </c>
      <c r="D1349" s="2">
        <v>4951348211</v>
      </c>
      <c r="E1349" s="2" t="s">
        <v>14</v>
      </c>
      <c r="F1349" s="2" t="s">
        <v>3740</v>
      </c>
      <c r="G1349" s="28" t="s">
        <v>5</v>
      </c>
      <c r="H1349" s="2" t="s">
        <v>17</v>
      </c>
      <c r="I1349" s="2">
        <v>1</v>
      </c>
      <c r="J1349" s="2" t="s">
        <v>3741</v>
      </c>
      <c r="K1349" s="2">
        <v>6244</v>
      </c>
      <c r="L1349" s="35">
        <v>21149364.600000001</v>
      </c>
      <c r="M1349" s="36">
        <v>1400</v>
      </c>
      <c r="N1349" s="40">
        <v>22381.902439024401</v>
      </c>
      <c r="O1349" s="40">
        <v>76499.833333333299</v>
      </c>
      <c r="P1349" s="40">
        <v>31334.663414634098</v>
      </c>
      <c r="Q1349" s="40">
        <v>18333.333333333299</v>
      </c>
      <c r="R1349" s="40">
        <v>46062.117073170702</v>
      </c>
      <c r="S1349" s="40">
        <v>24199.921951219501</v>
      </c>
      <c r="T1349" s="40">
        <v>30000</v>
      </c>
      <c r="U1349" s="40">
        <v>431910.24390243902</v>
      </c>
      <c r="V1349" s="40">
        <v>0</v>
      </c>
      <c r="W1349" s="45">
        <v>680722.01544715394</v>
      </c>
      <c r="X1349" s="46">
        <v>3.2186405044393398</v>
      </c>
    </row>
    <row r="1350" spans="1:24" s="4" customFormat="1" ht="15" customHeight="1">
      <c r="A1350" s="28" t="s">
        <v>3483</v>
      </c>
      <c r="B1350" s="29">
        <v>3387.15</v>
      </c>
      <c r="C1350" s="30" t="s">
        <v>3738</v>
      </c>
      <c r="D1350" s="2">
        <v>4951152059</v>
      </c>
      <c r="E1350" s="2" t="s">
        <v>14</v>
      </c>
      <c r="F1350" s="2" t="s">
        <v>3740</v>
      </c>
      <c r="G1350" s="28" t="s">
        <v>5</v>
      </c>
      <c r="H1350" s="2" t="s">
        <v>17</v>
      </c>
      <c r="I1350" s="2">
        <v>1</v>
      </c>
      <c r="J1350" s="2" t="s">
        <v>3741</v>
      </c>
      <c r="K1350" s="2">
        <v>9470.5</v>
      </c>
      <c r="L1350" s="35">
        <v>32078004.074999999</v>
      </c>
      <c r="M1350" s="36">
        <v>2350</v>
      </c>
      <c r="N1350" s="40">
        <v>37569.621951219502</v>
      </c>
      <c r="O1350" s="40">
        <v>76499.833333333299</v>
      </c>
      <c r="P1350" s="40">
        <v>52597.470731707297</v>
      </c>
      <c r="Q1350" s="40">
        <v>18333.333333333299</v>
      </c>
      <c r="R1350" s="40">
        <v>77318.553658536606</v>
      </c>
      <c r="S1350" s="40">
        <v>40621.297560975603</v>
      </c>
      <c r="T1350" s="40">
        <v>30000</v>
      </c>
      <c r="U1350" s="40">
        <v>724992.19512195105</v>
      </c>
      <c r="V1350" s="40">
        <v>0</v>
      </c>
      <c r="W1350" s="45">
        <v>1057932.3056910599</v>
      </c>
      <c r="X1350" s="46">
        <v>3.2979991623467502</v>
      </c>
    </row>
    <row r="1351" spans="1:24" s="4" customFormat="1" ht="15" customHeight="1">
      <c r="A1351" s="28" t="s">
        <v>3483</v>
      </c>
      <c r="B1351" s="29">
        <v>3387.15</v>
      </c>
      <c r="C1351" s="30" t="s">
        <v>3744</v>
      </c>
      <c r="D1351" s="2">
        <v>4951895936</v>
      </c>
      <c r="E1351" s="2" t="s">
        <v>14</v>
      </c>
      <c r="F1351" s="2" t="s">
        <v>3745</v>
      </c>
      <c r="G1351" s="28" t="s">
        <v>5</v>
      </c>
      <c r="H1351" s="2" t="s">
        <v>35</v>
      </c>
      <c r="I1351" s="2">
        <v>1</v>
      </c>
      <c r="J1351" s="2" t="s">
        <v>3746</v>
      </c>
      <c r="K1351" s="2">
        <v>554.78</v>
      </c>
      <c r="L1351" s="35">
        <v>1879123.077</v>
      </c>
      <c r="M1351" s="36">
        <v>75</v>
      </c>
      <c r="N1351" s="40">
        <v>1863.5424564063701</v>
      </c>
      <c r="O1351" s="40">
        <v>30599.933333333302</v>
      </c>
      <c r="P1351" s="40">
        <v>2174.1300227444999</v>
      </c>
      <c r="Q1351" s="40">
        <v>7333.3333333333303</v>
      </c>
      <c r="R1351" s="40">
        <v>11215.507581501101</v>
      </c>
      <c r="S1351" s="40">
        <v>2014.9128127369199</v>
      </c>
      <c r="T1351" s="40">
        <v>30000</v>
      </c>
      <c r="U1351" s="40">
        <v>45321.266110689903</v>
      </c>
      <c r="V1351" s="40">
        <v>0</v>
      </c>
      <c r="W1351" s="45">
        <v>130522.625650745</v>
      </c>
      <c r="X1351" s="46">
        <v>6.9459327730210996</v>
      </c>
    </row>
    <row r="1352" spans="1:24" s="4" customFormat="1" ht="15" customHeight="1">
      <c r="A1352" s="28" t="s">
        <v>3483</v>
      </c>
      <c r="B1352" s="29">
        <v>3387.15</v>
      </c>
      <c r="C1352" s="30" t="s">
        <v>3744</v>
      </c>
      <c r="D1352" s="2">
        <v>4951152059</v>
      </c>
      <c r="E1352" s="2" t="s">
        <v>14</v>
      </c>
      <c r="F1352" s="2" t="s">
        <v>3745</v>
      </c>
      <c r="G1352" s="28" t="s">
        <v>5</v>
      </c>
      <c r="H1352" s="2" t="s">
        <v>35</v>
      </c>
      <c r="I1352" s="2">
        <v>1</v>
      </c>
      <c r="J1352" s="2" t="s">
        <v>3746</v>
      </c>
      <c r="K1352" s="2">
        <v>4382</v>
      </c>
      <c r="L1352" s="35">
        <v>14842491.300000001</v>
      </c>
      <c r="M1352" s="36">
        <v>1400</v>
      </c>
      <c r="N1352" s="40">
        <v>34786.1258529189</v>
      </c>
      <c r="O1352" s="40">
        <v>30599.933333333302</v>
      </c>
      <c r="P1352" s="40">
        <v>40583.760424564098</v>
      </c>
      <c r="Q1352" s="40">
        <v>7333.3333333333303</v>
      </c>
      <c r="R1352" s="40">
        <v>209364.80818802101</v>
      </c>
      <c r="S1352" s="40">
        <v>37611.705837755901</v>
      </c>
      <c r="T1352" s="40">
        <v>30000</v>
      </c>
      <c r="U1352" s="40">
        <v>845996.96739954501</v>
      </c>
      <c r="V1352" s="40">
        <v>0</v>
      </c>
      <c r="W1352" s="45">
        <v>1236276.6343694699</v>
      </c>
      <c r="X1352" s="46">
        <v>8.3293067813317307</v>
      </c>
    </row>
    <row r="1353" spans="1:24" s="4" customFormat="1" ht="15" customHeight="1">
      <c r="A1353" s="28" t="s">
        <v>3483</v>
      </c>
      <c r="B1353" s="29">
        <v>3387.15</v>
      </c>
      <c r="C1353" s="30" t="s">
        <v>3744</v>
      </c>
      <c r="D1353" s="2">
        <v>4951152067</v>
      </c>
      <c r="E1353" s="2" t="s">
        <v>14</v>
      </c>
      <c r="F1353" s="2" t="s">
        <v>3745</v>
      </c>
      <c r="G1353" s="28" t="s">
        <v>5</v>
      </c>
      <c r="H1353" s="2" t="s">
        <v>35</v>
      </c>
      <c r="I1353" s="2">
        <v>1</v>
      </c>
      <c r="J1353" s="2" t="s">
        <v>3746</v>
      </c>
      <c r="K1353" s="2">
        <v>7700</v>
      </c>
      <c r="L1353" s="35">
        <v>26081055</v>
      </c>
      <c r="M1353" s="36">
        <v>1400</v>
      </c>
      <c r="N1353" s="40">
        <v>34786.1258529189</v>
      </c>
      <c r="O1353" s="40">
        <v>30599.933333333302</v>
      </c>
      <c r="P1353" s="40">
        <v>40583.760424564098</v>
      </c>
      <c r="Q1353" s="40">
        <v>7333.3333333333303</v>
      </c>
      <c r="R1353" s="40">
        <v>209364.80818802101</v>
      </c>
      <c r="S1353" s="40">
        <v>37611.705837755901</v>
      </c>
      <c r="T1353" s="40">
        <v>30000</v>
      </c>
      <c r="U1353" s="40">
        <v>845996.96739954501</v>
      </c>
      <c r="V1353" s="40">
        <v>0</v>
      </c>
      <c r="W1353" s="45">
        <v>1236276.6343694699</v>
      </c>
      <c r="X1353" s="46">
        <v>4.7401327682851502</v>
      </c>
    </row>
    <row r="1354" spans="1:24" s="4" customFormat="1" ht="15" customHeight="1">
      <c r="A1354" s="28" t="s">
        <v>3483</v>
      </c>
      <c r="B1354" s="29">
        <v>3387.15</v>
      </c>
      <c r="C1354" s="30" t="s">
        <v>3744</v>
      </c>
      <c r="D1354" s="2">
        <v>4951798427</v>
      </c>
      <c r="E1354" s="2" t="s">
        <v>14</v>
      </c>
      <c r="F1354" s="2" t="s">
        <v>3745</v>
      </c>
      <c r="G1354" s="28" t="s">
        <v>5</v>
      </c>
      <c r="H1354" s="2" t="s">
        <v>35</v>
      </c>
      <c r="I1354" s="2">
        <v>1</v>
      </c>
      <c r="J1354" s="2" t="s">
        <v>3746</v>
      </c>
      <c r="K1354" s="2">
        <v>5912.2</v>
      </c>
      <c r="L1354" s="35">
        <v>20025508.23</v>
      </c>
      <c r="M1354" s="36">
        <v>820</v>
      </c>
      <c r="N1354" s="40">
        <v>20374.730856709601</v>
      </c>
      <c r="O1354" s="40">
        <v>30599.933333333302</v>
      </c>
      <c r="P1354" s="40">
        <v>23770.488248673199</v>
      </c>
      <c r="Q1354" s="40">
        <v>7333.3333333333303</v>
      </c>
      <c r="R1354" s="40">
        <v>122622.41622441199</v>
      </c>
      <c r="S1354" s="40">
        <v>22029.713419257001</v>
      </c>
      <c r="T1354" s="40">
        <v>30000</v>
      </c>
      <c r="U1354" s="40">
        <v>495512.509476876</v>
      </c>
      <c r="V1354" s="40">
        <v>0</v>
      </c>
      <c r="W1354" s="45">
        <v>752243.12489259394</v>
      </c>
      <c r="X1354" s="46">
        <v>3.7564246372816998</v>
      </c>
    </row>
    <row r="1355" spans="1:24" s="4" customFormat="1" ht="15" customHeight="1">
      <c r="A1355" s="28" t="s">
        <v>3483</v>
      </c>
      <c r="B1355" s="29">
        <v>3387.15</v>
      </c>
      <c r="C1355" s="30" t="s">
        <v>3744</v>
      </c>
      <c r="D1355" s="2">
        <v>4951874476</v>
      </c>
      <c r="E1355" s="2" t="s">
        <v>14</v>
      </c>
      <c r="F1355" s="2" t="s">
        <v>3745</v>
      </c>
      <c r="G1355" s="28" t="s">
        <v>5</v>
      </c>
      <c r="H1355" s="2" t="s">
        <v>35</v>
      </c>
      <c r="I1355" s="2">
        <v>1</v>
      </c>
      <c r="J1355" s="2" t="s">
        <v>3746</v>
      </c>
      <c r="K1355" s="2">
        <v>2415</v>
      </c>
      <c r="L1355" s="35">
        <v>8179967.25</v>
      </c>
      <c r="M1355" s="36">
        <v>525</v>
      </c>
      <c r="N1355" s="40">
        <v>13044.797194844599</v>
      </c>
      <c r="O1355" s="40">
        <v>30599.933333333302</v>
      </c>
      <c r="P1355" s="40">
        <v>15218.9101592115</v>
      </c>
      <c r="Q1355" s="40">
        <v>7333.3333333333303</v>
      </c>
      <c r="R1355" s="40">
        <v>78508.553070508002</v>
      </c>
      <c r="S1355" s="40">
        <v>14104.389689158499</v>
      </c>
      <c r="T1355" s="40">
        <v>30000</v>
      </c>
      <c r="U1355" s="40">
        <v>317248.86277482897</v>
      </c>
      <c r="V1355" s="40">
        <v>0</v>
      </c>
      <c r="W1355" s="45">
        <v>506058.779555218</v>
      </c>
      <c r="X1355" s="46">
        <v>6.1865624163130803</v>
      </c>
    </row>
    <row r="1356" spans="1:24" s="4" customFormat="1" ht="15" customHeight="1">
      <c r="A1356" s="28" t="s">
        <v>3483</v>
      </c>
      <c r="B1356" s="29">
        <v>3387.15</v>
      </c>
      <c r="C1356" s="30" t="s">
        <v>3744</v>
      </c>
      <c r="D1356" s="2">
        <v>4951874476</v>
      </c>
      <c r="E1356" s="2" t="s">
        <v>14</v>
      </c>
      <c r="F1356" s="2" t="s">
        <v>3745</v>
      </c>
      <c r="G1356" s="28" t="s">
        <v>5</v>
      </c>
      <c r="H1356" s="2" t="s">
        <v>35</v>
      </c>
      <c r="I1356" s="2">
        <v>1</v>
      </c>
      <c r="J1356" s="2" t="s">
        <v>3746</v>
      </c>
      <c r="K1356" s="2">
        <v>2057.6999999999998</v>
      </c>
      <c r="L1356" s="35">
        <v>6969738.5549999997</v>
      </c>
      <c r="M1356" s="36">
        <v>190</v>
      </c>
      <c r="N1356" s="40">
        <v>4720.9742228961304</v>
      </c>
      <c r="O1356" s="40">
        <v>30599.933333333302</v>
      </c>
      <c r="P1356" s="40">
        <v>5507.79605761941</v>
      </c>
      <c r="Q1356" s="40">
        <v>7333.3333333333303</v>
      </c>
      <c r="R1356" s="40">
        <v>28412.352539802901</v>
      </c>
      <c r="S1356" s="40">
        <v>5104.4457922668698</v>
      </c>
      <c r="T1356" s="40">
        <v>30000</v>
      </c>
      <c r="U1356" s="40">
        <v>114813.87414708101</v>
      </c>
      <c r="V1356" s="40">
        <v>0</v>
      </c>
      <c r="W1356" s="45">
        <v>226492.70942633299</v>
      </c>
      <c r="X1356" s="46">
        <v>3.2496586154418998</v>
      </c>
    </row>
    <row r="1357" spans="1:24" s="4" customFormat="1" ht="15" customHeight="1">
      <c r="A1357" s="28" t="s">
        <v>3483</v>
      </c>
      <c r="B1357" s="29">
        <v>3387.15</v>
      </c>
      <c r="C1357" s="30" t="s">
        <v>3744</v>
      </c>
      <c r="D1357" s="2">
        <v>4951798412</v>
      </c>
      <c r="E1357" s="2" t="s">
        <v>14</v>
      </c>
      <c r="F1357" s="2" t="s">
        <v>3745</v>
      </c>
      <c r="G1357" s="28" t="s">
        <v>5</v>
      </c>
      <c r="H1357" s="2" t="s">
        <v>35</v>
      </c>
      <c r="I1357" s="2">
        <v>1</v>
      </c>
      <c r="J1357" s="2" t="s">
        <v>3746</v>
      </c>
      <c r="K1357" s="2">
        <v>7411.5</v>
      </c>
      <c r="L1357" s="35">
        <v>25103862.225000001</v>
      </c>
      <c r="M1357" s="36">
        <v>2025</v>
      </c>
      <c r="N1357" s="40">
        <v>50315.646322972003</v>
      </c>
      <c r="O1357" s="40">
        <v>30599.933333333302</v>
      </c>
      <c r="P1357" s="40">
        <v>58701.5106141016</v>
      </c>
      <c r="Q1357" s="40">
        <v>7333.3333333333303</v>
      </c>
      <c r="R1357" s="40">
        <v>302817.70470053097</v>
      </c>
      <c r="S1357" s="40">
        <v>54402.645943896903</v>
      </c>
      <c r="T1357" s="40">
        <v>30000</v>
      </c>
      <c r="U1357" s="40">
        <v>1223674.18498863</v>
      </c>
      <c r="V1357" s="40">
        <v>0</v>
      </c>
      <c r="W1357" s="45">
        <v>1757844.9592368</v>
      </c>
      <c r="X1357" s="46">
        <v>7.0022889047177204</v>
      </c>
    </row>
    <row r="1358" spans="1:24" s="4" customFormat="1" ht="15" customHeight="1">
      <c r="A1358" s="28" t="s">
        <v>3483</v>
      </c>
      <c r="B1358" s="29">
        <v>3387.15</v>
      </c>
      <c r="C1358" s="30" t="s">
        <v>3744</v>
      </c>
      <c r="D1358" s="2">
        <v>4951798412</v>
      </c>
      <c r="E1358" s="2" t="s">
        <v>14</v>
      </c>
      <c r="F1358" s="2" t="s">
        <v>3745</v>
      </c>
      <c r="G1358" s="28" t="s">
        <v>5</v>
      </c>
      <c r="H1358" s="2" t="s">
        <v>35</v>
      </c>
      <c r="I1358" s="2">
        <v>1</v>
      </c>
      <c r="J1358" s="2" t="s">
        <v>3746</v>
      </c>
      <c r="K1358" s="2">
        <v>2107.4</v>
      </c>
      <c r="L1358" s="35">
        <v>7138079.9100000001</v>
      </c>
      <c r="M1358" s="36">
        <v>820</v>
      </c>
      <c r="N1358" s="40">
        <v>20374.730856709601</v>
      </c>
      <c r="O1358" s="40">
        <v>30599.933333333302</v>
      </c>
      <c r="P1358" s="40">
        <v>23770.488248673199</v>
      </c>
      <c r="Q1358" s="40">
        <v>7333.3333333333303</v>
      </c>
      <c r="R1358" s="40">
        <v>122622.41622441199</v>
      </c>
      <c r="S1358" s="40">
        <v>22029.713419257001</v>
      </c>
      <c r="T1358" s="40">
        <v>30000</v>
      </c>
      <c r="U1358" s="40">
        <v>495512.509476876</v>
      </c>
      <c r="V1358" s="40">
        <v>0</v>
      </c>
      <c r="W1358" s="45">
        <v>752243.12489259394</v>
      </c>
      <c r="X1358" s="46">
        <v>10.5384519979771</v>
      </c>
    </row>
    <row r="1359" spans="1:24" s="4" customFormat="1" ht="15" customHeight="1">
      <c r="A1359" s="28" t="s">
        <v>3483</v>
      </c>
      <c r="B1359" s="29">
        <v>3387.15</v>
      </c>
      <c r="C1359" s="30" t="s">
        <v>3744</v>
      </c>
      <c r="D1359" s="2">
        <v>4951798412</v>
      </c>
      <c r="E1359" s="2" t="s">
        <v>14</v>
      </c>
      <c r="F1359" s="2" t="s">
        <v>3745</v>
      </c>
      <c r="G1359" s="28" t="s">
        <v>5</v>
      </c>
      <c r="H1359" s="2" t="s">
        <v>35</v>
      </c>
      <c r="I1359" s="2">
        <v>1</v>
      </c>
      <c r="J1359" s="2" t="s">
        <v>3746</v>
      </c>
      <c r="K1359" s="2">
        <v>9226.7999999999993</v>
      </c>
      <c r="L1359" s="35">
        <v>31252555.620000001</v>
      </c>
      <c r="M1359" s="36">
        <v>1320</v>
      </c>
      <c r="N1359" s="40">
        <v>32798.347232752101</v>
      </c>
      <c r="O1359" s="40">
        <v>30599.933333333302</v>
      </c>
      <c r="P1359" s="40">
        <v>38264.688400303297</v>
      </c>
      <c r="Q1359" s="40">
        <v>7333.3333333333303</v>
      </c>
      <c r="R1359" s="40">
        <v>197392.13343441999</v>
      </c>
      <c r="S1359" s="40">
        <v>35462.465504169799</v>
      </c>
      <c r="T1359" s="40">
        <v>30000</v>
      </c>
      <c r="U1359" s="40">
        <v>797654.28354814299</v>
      </c>
      <c r="V1359" s="40">
        <v>0</v>
      </c>
      <c r="W1359" s="45">
        <v>1169505.1847864499</v>
      </c>
      <c r="X1359" s="46">
        <v>3.7421105621136199</v>
      </c>
    </row>
    <row r="1360" spans="1:24" s="4" customFormat="1" ht="15" customHeight="1">
      <c r="A1360" s="28" t="s">
        <v>3483</v>
      </c>
      <c r="B1360" s="29">
        <v>3387.15</v>
      </c>
      <c r="C1360" s="30" t="s">
        <v>3744</v>
      </c>
      <c r="D1360" s="2">
        <v>4951574747</v>
      </c>
      <c r="E1360" s="2" t="s">
        <v>14</v>
      </c>
      <c r="F1360" s="2" t="s">
        <v>3745</v>
      </c>
      <c r="G1360" s="28" t="s">
        <v>5</v>
      </c>
      <c r="H1360" s="2" t="s">
        <v>35</v>
      </c>
      <c r="I1360" s="2">
        <v>1</v>
      </c>
      <c r="J1360" s="2" t="s">
        <v>3746</v>
      </c>
      <c r="K1360" s="2">
        <v>2462.25</v>
      </c>
      <c r="L1360" s="35">
        <v>8340010.0875000004</v>
      </c>
      <c r="M1360" s="36">
        <v>525</v>
      </c>
      <c r="N1360" s="40">
        <v>13044.797194844599</v>
      </c>
      <c r="O1360" s="40">
        <v>30599.933333333302</v>
      </c>
      <c r="P1360" s="40">
        <v>15218.9101592115</v>
      </c>
      <c r="Q1360" s="40">
        <v>7333.3333333333303</v>
      </c>
      <c r="R1360" s="40">
        <v>78508.553070508002</v>
      </c>
      <c r="S1360" s="40">
        <v>14104.389689158499</v>
      </c>
      <c r="T1360" s="40">
        <v>30000</v>
      </c>
      <c r="U1360" s="40">
        <v>317248.86277482897</v>
      </c>
      <c r="V1360" s="40">
        <v>0</v>
      </c>
      <c r="W1360" s="45">
        <v>506058.779555218</v>
      </c>
      <c r="X1360" s="46">
        <v>6.0678437345501397</v>
      </c>
    </row>
    <row r="1361" spans="1:24" s="4" customFormat="1" ht="15" customHeight="1">
      <c r="A1361" s="28" t="s">
        <v>3483</v>
      </c>
      <c r="B1361" s="29">
        <v>3387.15</v>
      </c>
      <c r="C1361" s="30" t="s">
        <v>3744</v>
      </c>
      <c r="D1361" s="2">
        <v>4951798412</v>
      </c>
      <c r="E1361" s="2" t="s">
        <v>14</v>
      </c>
      <c r="F1361" s="2" t="s">
        <v>3745</v>
      </c>
      <c r="G1361" s="28" t="s">
        <v>5</v>
      </c>
      <c r="H1361" s="2" t="s">
        <v>35</v>
      </c>
      <c r="I1361" s="2">
        <v>1</v>
      </c>
      <c r="J1361" s="2" t="s">
        <v>3746</v>
      </c>
      <c r="K1361" s="2">
        <v>3465</v>
      </c>
      <c r="L1361" s="35">
        <v>11736474.75</v>
      </c>
      <c r="M1361" s="36">
        <v>700</v>
      </c>
      <c r="N1361" s="40">
        <v>17393.062926459399</v>
      </c>
      <c r="O1361" s="40">
        <v>30599.933333333302</v>
      </c>
      <c r="P1361" s="40">
        <v>20291.880212282002</v>
      </c>
      <c r="Q1361" s="40">
        <v>7333.3333333333303</v>
      </c>
      <c r="R1361" s="40">
        <v>104677.404094011</v>
      </c>
      <c r="S1361" s="40">
        <v>18805.852918877899</v>
      </c>
      <c r="T1361" s="40">
        <v>30000</v>
      </c>
      <c r="U1361" s="40">
        <v>422998.48369977297</v>
      </c>
      <c r="V1361" s="40">
        <v>0</v>
      </c>
      <c r="W1361" s="45">
        <v>652099.95051807002</v>
      </c>
      <c r="X1361" s="46">
        <v>5.5561824517883398</v>
      </c>
    </row>
    <row r="1362" spans="1:24" s="4" customFormat="1" ht="15" customHeight="1">
      <c r="A1362" s="28" t="s">
        <v>3483</v>
      </c>
      <c r="B1362" s="29">
        <v>3387.15</v>
      </c>
      <c r="C1362" s="30" t="s">
        <v>3744</v>
      </c>
      <c r="D1362" s="2" t="s">
        <v>3747</v>
      </c>
      <c r="E1362" s="2" t="s">
        <v>14</v>
      </c>
      <c r="F1362" s="2" t="s">
        <v>3745</v>
      </c>
      <c r="G1362" s="28" t="s">
        <v>5</v>
      </c>
      <c r="H1362" s="2" t="s">
        <v>35</v>
      </c>
      <c r="I1362" s="2">
        <v>1</v>
      </c>
      <c r="J1362" s="2" t="s">
        <v>3746</v>
      </c>
      <c r="K1362" s="2">
        <v>5724</v>
      </c>
      <c r="L1362" s="35">
        <v>19388046.600000001</v>
      </c>
      <c r="M1362" s="36">
        <v>1080</v>
      </c>
      <c r="N1362" s="40">
        <v>26835.011372251702</v>
      </c>
      <c r="O1362" s="40">
        <v>30599.933333333302</v>
      </c>
      <c r="P1362" s="40">
        <v>31307.472327520802</v>
      </c>
      <c r="Q1362" s="40">
        <v>7333.3333333333303</v>
      </c>
      <c r="R1362" s="40">
        <v>161503.10917361599</v>
      </c>
      <c r="S1362" s="40">
        <v>29014.744503411701</v>
      </c>
      <c r="T1362" s="40">
        <v>30000</v>
      </c>
      <c r="U1362" s="40">
        <v>652626.23199393495</v>
      </c>
      <c r="V1362" s="40">
        <v>0</v>
      </c>
      <c r="W1362" s="45">
        <v>969219.83603740204</v>
      </c>
      <c r="X1362" s="46">
        <v>4.99905872950296</v>
      </c>
    </row>
    <row r="1363" spans="1:24" s="4" customFormat="1" ht="15" customHeight="1">
      <c r="A1363" s="28" t="s">
        <v>3483</v>
      </c>
      <c r="B1363" s="29">
        <v>3387.15</v>
      </c>
      <c r="C1363" s="30" t="s">
        <v>3744</v>
      </c>
      <c r="D1363" s="2">
        <v>4951348240</v>
      </c>
      <c r="E1363" s="2" t="s">
        <v>14</v>
      </c>
      <c r="F1363" s="2" t="s">
        <v>3745</v>
      </c>
      <c r="G1363" s="28" t="s">
        <v>5</v>
      </c>
      <c r="H1363" s="2" t="s">
        <v>35</v>
      </c>
      <c r="I1363" s="2">
        <v>1</v>
      </c>
      <c r="J1363" s="2" t="s">
        <v>3746</v>
      </c>
      <c r="K1363" s="2">
        <v>5166</v>
      </c>
      <c r="L1363" s="35">
        <v>17498016.899999999</v>
      </c>
      <c r="M1363" s="36">
        <v>2100</v>
      </c>
      <c r="N1363" s="40">
        <v>52179.188779378303</v>
      </c>
      <c r="O1363" s="40">
        <v>30599.933333333302</v>
      </c>
      <c r="P1363" s="40">
        <v>60875.640636846103</v>
      </c>
      <c r="Q1363" s="40">
        <v>7333.3333333333303</v>
      </c>
      <c r="R1363" s="40">
        <v>314033.21228203201</v>
      </c>
      <c r="S1363" s="40">
        <v>56417.5587566338</v>
      </c>
      <c r="T1363" s="40">
        <v>30000</v>
      </c>
      <c r="U1363" s="40">
        <v>1268995.4510993201</v>
      </c>
      <c r="V1363" s="40">
        <v>0</v>
      </c>
      <c r="W1363" s="45">
        <v>1820434.3182208801</v>
      </c>
      <c r="X1363" s="46">
        <v>10.4036607612425</v>
      </c>
    </row>
    <row r="1364" spans="1:24" s="4" customFormat="1" ht="15" customHeight="1">
      <c r="A1364" s="28" t="s">
        <v>3483</v>
      </c>
      <c r="B1364" s="29">
        <v>3387.15</v>
      </c>
      <c r="C1364" s="30" t="s">
        <v>3744</v>
      </c>
      <c r="D1364" s="2">
        <v>4951798410</v>
      </c>
      <c r="E1364" s="2" t="s">
        <v>14</v>
      </c>
      <c r="F1364" s="2" t="s">
        <v>3745</v>
      </c>
      <c r="G1364" s="28" t="s">
        <v>5</v>
      </c>
      <c r="H1364" s="2" t="s">
        <v>35</v>
      </c>
      <c r="I1364" s="2">
        <v>1</v>
      </c>
      <c r="J1364" s="2" t="s">
        <v>3746</v>
      </c>
      <c r="K1364" s="2">
        <v>1658</v>
      </c>
      <c r="L1364" s="35">
        <v>5615894.7000000002</v>
      </c>
      <c r="M1364" s="36">
        <v>200</v>
      </c>
      <c r="N1364" s="40">
        <v>4969.4465504169802</v>
      </c>
      <c r="O1364" s="40">
        <v>30599.933333333302</v>
      </c>
      <c r="P1364" s="40">
        <v>5797.6800606520101</v>
      </c>
      <c r="Q1364" s="40">
        <v>7333.3333333333303</v>
      </c>
      <c r="R1364" s="40">
        <v>29907.686884003</v>
      </c>
      <c r="S1364" s="40">
        <v>5373.1008339651298</v>
      </c>
      <c r="T1364" s="40">
        <v>30000</v>
      </c>
      <c r="U1364" s="40">
        <v>120856.709628506</v>
      </c>
      <c r="V1364" s="40">
        <v>0</v>
      </c>
      <c r="W1364" s="45">
        <v>234837.89062421001</v>
      </c>
      <c r="X1364" s="46">
        <v>4.1816647777282903</v>
      </c>
    </row>
    <row r="1365" spans="1:24" s="4" customFormat="1" ht="15" customHeight="1">
      <c r="A1365" s="28" t="s">
        <v>3483</v>
      </c>
      <c r="B1365" s="29">
        <v>3387.15</v>
      </c>
      <c r="C1365" s="30" t="s">
        <v>3744</v>
      </c>
      <c r="D1365" s="2">
        <v>4952083915</v>
      </c>
      <c r="E1365" s="2" t="s">
        <v>14</v>
      </c>
      <c r="F1365" s="2" t="s">
        <v>3745</v>
      </c>
      <c r="G1365" s="28" t="s">
        <v>5</v>
      </c>
      <c r="H1365" s="2" t="s">
        <v>35</v>
      </c>
      <c r="I1365" s="2">
        <v>1</v>
      </c>
      <c r="J1365" s="2" t="s">
        <v>3746</v>
      </c>
      <c r="K1365" s="2">
        <v>148.24</v>
      </c>
      <c r="L1365" s="35">
        <v>502111.11599999998</v>
      </c>
      <c r="M1365" s="36">
        <v>10</v>
      </c>
      <c r="N1365" s="40">
        <v>248.47232752084901</v>
      </c>
      <c r="O1365" s="40">
        <v>30599.933333333302</v>
      </c>
      <c r="P1365" s="40">
        <v>289.88400303259999</v>
      </c>
      <c r="Q1365" s="40">
        <v>7333.3333333333303</v>
      </c>
      <c r="R1365" s="40">
        <v>1495.3343442001501</v>
      </c>
      <c r="S1365" s="40">
        <v>268.65504169825601</v>
      </c>
      <c r="T1365" s="40">
        <v>30000</v>
      </c>
      <c r="U1365" s="40">
        <v>6042.8354814253198</v>
      </c>
      <c r="V1365" s="40">
        <v>0</v>
      </c>
      <c r="W1365" s="45">
        <v>76278.447864543894</v>
      </c>
      <c r="X1365" s="46">
        <v>15.1915473356188</v>
      </c>
    </row>
    <row r="1366" spans="1:24" s="4" customFormat="1" ht="15" customHeight="1">
      <c r="A1366" s="28" t="s">
        <v>3483</v>
      </c>
      <c r="B1366" s="29">
        <v>3387.15</v>
      </c>
      <c r="C1366" s="30" t="s">
        <v>3756</v>
      </c>
      <c r="D1366" s="2">
        <v>4951890230</v>
      </c>
      <c r="E1366" s="2" t="s">
        <v>14</v>
      </c>
      <c r="F1366" s="2" t="s">
        <v>3757</v>
      </c>
      <c r="G1366" s="28" t="s">
        <v>9</v>
      </c>
      <c r="H1366" s="2" t="s">
        <v>23</v>
      </c>
      <c r="I1366" s="2">
        <v>6</v>
      </c>
      <c r="J1366" s="2"/>
      <c r="K1366" s="2">
        <v>33280.199999999997</v>
      </c>
      <c r="L1366" s="35">
        <v>112725029.43000001</v>
      </c>
      <c r="M1366" s="36">
        <v>540</v>
      </c>
      <c r="N1366" s="40">
        <v>135502.98675496699</v>
      </c>
      <c r="O1366" s="40">
        <v>732</v>
      </c>
      <c r="P1366" s="40">
        <v>0</v>
      </c>
      <c r="Q1366" s="40">
        <v>16815.333333333299</v>
      </c>
      <c r="R1366" s="40">
        <v>26556.019867549701</v>
      </c>
      <c r="S1366" s="40">
        <v>63361.668874172203</v>
      </c>
      <c r="T1366" s="40">
        <v>30000</v>
      </c>
      <c r="U1366" s="40">
        <v>372903.97350993397</v>
      </c>
      <c r="V1366" s="40">
        <v>0</v>
      </c>
      <c r="W1366" s="45">
        <v>645871.98233995598</v>
      </c>
      <c r="X1366" s="46">
        <v>0.57296235415137298</v>
      </c>
    </row>
    <row r="1367" spans="1:24" s="4" customFormat="1" ht="15" customHeight="1">
      <c r="A1367" s="28" t="s">
        <v>3483</v>
      </c>
      <c r="B1367" s="29">
        <v>3387.15</v>
      </c>
      <c r="C1367" s="30" t="s">
        <v>3756</v>
      </c>
      <c r="D1367" s="2">
        <v>4951798444</v>
      </c>
      <c r="E1367" s="2" t="s">
        <v>14</v>
      </c>
      <c r="F1367" s="2" t="s">
        <v>3757</v>
      </c>
      <c r="G1367" s="28" t="s">
        <v>9</v>
      </c>
      <c r="H1367" s="2" t="s">
        <v>23</v>
      </c>
      <c r="I1367" s="2">
        <v>6</v>
      </c>
      <c r="J1367" s="2"/>
      <c r="K1367" s="2">
        <v>277.60000000000002</v>
      </c>
      <c r="L1367" s="35">
        <v>940272.84</v>
      </c>
      <c r="M1367" s="36">
        <v>80</v>
      </c>
      <c r="N1367" s="40">
        <v>20074.516556291401</v>
      </c>
      <c r="O1367" s="40">
        <v>732</v>
      </c>
      <c r="P1367" s="40">
        <v>0</v>
      </c>
      <c r="Q1367" s="40">
        <v>16815.333333333299</v>
      </c>
      <c r="R1367" s="40">
        <v>3934.2251655629102</v>
      </c>
      <c r="S1367" s="40">
        <v>9386.9139072847702</v>
      </c>
      <c r="T1367" s="40">
        <v>30000</v>
      </c>
      <c r="U1367" s="40">
        <v>55245.033112582802</v>
      </c>
      <c r="V1367" s="40">
        <v>0</v>
      </c>
      <c r="W1367" s="45">
        <v>136188.02207505499</v>
      </c>
      <c r="X1367" s="46">
        <v>14.483883430585401</v>
      </c>
    </row>
    <row r="1368" spans="1:24" s="4" customFormat="1" ht="15" customHeight="1">
      <c r="A1368" s="28" t="s">
        <v>3483</v>
      </c>
      <c r="B1368" s="29">
        <v>3387.15</v>
      </c>
      <c r="C1368" s="30" t="s">
        <v>3756</v>
      </c>
      <c r="D1368" s="2">
        <v>4952024017</v>
      </c>
      <c r="E1368" s="2" t="s">
        <v>14</v>
      </c>
      <c r="F1368" s="2" t="s">
        <v>3757</v>
      </c>
      <c r="G1368" s="28" t="s">
        <v>9</v>
      </c>
      <c r="H1368" s="2" t="s">
        <v>23</v>
      </c>
      <c r="I1368" s="2">
        <v>6</v>
      </c>
      <c r="J1368" s="2"/>
      <c r="K1368" s="2">
        <v>52992</v>
      </c>
      <c r="L1368" s="35">
        <v>179491852.80000001</v>
      </c>
      <c r="M1368" s="36">
        <v>2400</v>
      </c>
      <c r="N1368" s="40">
        <v>602235.49668874196</v>
      </c>
      <c r="O1368" s="40">
        <v>732</v>
      </c>
      <c r="P1368" s="40">
        <v>0</v>
      </c>
      <c r="Q1368" s="40">
        <v>16815.333333333299</v>
      </c>
      <c r="R1368" s="40">
        <v>118026.75496688701</v>
      </c>
      <c r="S1368" s="40">
        <v>281607.41721854301</v>
      </c>
      <c r="T1368" s="40">
        <v>30000</v>
      </c>
      <c r="U1368" s="40">
        <v>1657350.99337748</v>
      </c>
      <c r="V1368" s="40">
        <v>0</v>
      </c>
      <c r="W1368" s="45">
        <v>2706767.9955849899</v>
      </c>
      <c r="X1368" s="46">
        <v>1.5080171903963899</v>
      </c>
    </row>
    <row r="1369" spans="1:24" s="4" customFormat="1" ht="15" customHeight="1">
      <c r="A1369" s="28" t="s">
        <v>3483</v>
      </c>
      <c r="B1369" s="29">
        <v>3387.15</v>
      </c>
      <c r="C1369" s="30" t="s">
        <v>3764</v>
      </c>
      <c r="D1369" s="2">
        <v>4952110335</v>
      </c>
      <c r="E1369" s="2" t="s">
        <v>14</v>
      </c>
      <c r="F1369" s="2" t="s">
        <v>3765</v>
      </c>
      <c r="G1369" s="28" t="s">
        <v>9</v>
      </c>
      <c r="H1369" s="2" t="s">
        <v>23</v>
      </c>
      <c r="I1369" s="2">
        <v>3</v>
      </c>
      <c r="J1369" s="2"/>
      <c r="K1369" s="2">
        <v>3840</v>
      </c>
      <c r="L1369" s="35">
        <v>13006656</v>
      </c>
      <c r="M1369" s="36">
        <v>1600</v>
      </c>
      <c r="N1369" s="40">
        <v>282821.29032258102</v>
      </c>
      <c r="O1369" s="40">
        <v>909.5</v>
      </c>
      <c r="P1369" s="40">
        <v>22447.7419354839</v>
      </c>
      <c r="Q1369" s="40">
        <v>26419</v>
      </c>
      <c r="R1369" s="40">
        <v>89004.516129032301</v>
      </c>
      <c r="S1369" s="40">
        <v>228616.77419354799</v>
      </c>
      <c r="T1369" s="40">
        <v>30000</v>
      </c>
      <c r="U1369" s="40">
        <v>744821.42857142899</v>
      </c>
      <c r="V1369" s="40">
        <v>0</v>
      </c>
      <c r="W1369" s="45">
        <v>1425040.25115207</v>
      </c>
      <c r="X1369" s="46">
        <v>10.9562384916774</v>
      </c>
    </row>
    <row r="1370" spans="1:24" s="4" customFormat="1" ht="15" customHeight="1">
      <c r="A1370" s="28" t="s">
        <v>3483</v>
      </c>
      <c r="B1370" s="29">
        <v>3387.15</v>
      </c>
      <c r="C1370" s="30" t="s">
        <v>3764</v>
      </c>
      <c r="D1370" s="2">
        <v>4951890236</v>
      </c>
      <c r="E1370" s="2" t="s">
        <v>14</v>
      </c>
      <c r="F1370" s="2" t="s">
        <v>3765</v>
      </c>
      <c r="G1370" s="28" t="s">
        <v>9</v>
      </c>
      <c r="H1370" s="2" t="s">
        <v>23</v>
      </c>
      <c r="I1370" s="2">
        <v>3</v>
      </c>
      <c r="J1370" s="2"/>
      <c r="K1370" s="2">
        <v>1012</v>
      </c>
      <c r="L1370" s="35">
        <v>3427795.8</v>
      </c>
      <c r="M1370" s="36">
        <v>880</v>
      </c>
      <c r="N1370" s="40">
        <v>155551.70967741901</v>
      </c>
      <c r="O1370" s="40">
        <v>909.5</v>
      </c>
      <c r="P1370" s="40">
        <v>12346.2580645161</v>
      </c>
      <c r="Q1370" s="40">
        <v>26419</v>
      </c>
      <c r="R1370" s="40">
        <v>48952.483870967699</v>
      </c>
      <c r="S1370" s="40">
        <v>125739.225806452</v>
      </c>
      <c r="T1370" s="40">
        <v>30000</v>
      </c>
      <c r="U1370" s="40">
        <v>409651.78571428597</v>
      </c>
      <c r="V1370" s="40">
        <v>0</v>
      </c>
      <c r="W1370" s="45">
        <v>809569.96313364105</v>
      </c>
      <c r="X1370" s="46">
        <v>23.617800194913599</v>
      </c>
    </row>
    <row r="1371" spans="1:24" s="4" customFormat="1" ht="15" customHeight="1">
      <c r="A1371" s="28" t="s">
        <v>3483</v>
      </c>
      <c r="B1371" s="29">
        <v>3387.15</v>
      </c>
      <c r="C1371" s="30" t="s">
        <v>3772</v>
      </c>
      <c r="D1371" s="2">
        <v>4951542139</v>
      </c>
      <c r="E1371" s="2" t="s">
        <v>14</v>
      </c>
      <c r="F1371" s="2" t="s">
        <v>3773</v>
      </c>
      <c r="G1371" s="28" t="s">
        <v>9</v>
      </c>
      <c r="H1371" s="2" t="s">
        <v>23</v>
      </c>
      <c r="I1371" s="2">
        <v>3</v>
      </c>
      <c r="J1371" s="2"/>
      <c r="K1371" s="2">
        <v>3520</v>
      </c>
      <c r="L1371" s="35">
        <v>11922768</v>
      </c>
      <c r="M1371" s="36">
        <v>1600</v>
      </c>
      <c r="N1371" s="40">
        <v>511727.52475247497</v>
      </c>
      <c r="O1371" s="40">
        <v>725.5</v>
      </c>
      <c r="P1371" s="40">
        <v>0</v>
      </c>
      <c r="Q1371" s="40">
        <v>21722.5</v>
      </c>
      <c r="R1371" s="40">
        <v>102205.148514851</v>
      </c>
      <c r="S1371" s="40">
        <v>280678.01980198</v>
      </c>
      <c r="T1371" s="40">
        <v>30000</v>
      </c>
      <c r="U1371" s="40">
        <v>754932.12669683294</v>
      </c>
      <c r="V1371" s="40">
        <v>0</v>
      </c>
      <c r="W1371" s="45">
        <v>1701990.8197661401</v>
      </c>
      <c r="X1371" s="46">
        <v>14.275131578221901</v>
      </c>
    </row>
    <row r="1372" spans="1:24" s="4" customFormat="1" ht="15" customHeight="1">
      <c r="A1372" s="28" t="s">
        <v>3483</v>
      </c>
      <c r="B1372" s="29">
        <v>3387.15</v>
      </c>
      <c r="C1372" s="30" t="s">
        <v>3772</v>
      </c>
      <c r="D1372" s="2">
        <v>4951798443</v>
      </c>
      <c r="E1372" s="2" t="s">
        <v>14</v>
      </c>
      <c r="F1372" s="2" t="s">
        <v>3773</v>
      </c>
      <c r="G1372" s="28" t="s">
        <v>9</v>
      </c>
      <c r="H1372" s="2" t="s">
        <v>23</v>
      </c>
      <c r="I1372" s="2">
        <v>3</v>
      </c>
      <c r="J1372" s="2"/>
      <c r="K1372" s="2">
        <v>1121.4000000000001</v>
      </c>
      <c r="L1372" s="35">
        <v>3798350.01</v>
      </c>
      <c r="M1372" s="36">
        <v>420</v>
      </c>
      <c r="N1372" s="40">
        <v>134328.475247525</v>
      </c>
      <c r="O1372" s="40">
        <v>725.5</v>
      </c>
      <c r="P1372" s="40">
        <v>0</v>
      </c>
      <c r="Q1372" s="40">
        <v>21722.5</v>
      </c>
      <c r="R1372" s="40">
        <v>26828.851485148502</v>
      </c>
      <c r="S1372" s="40">
        <v>73677.980198019795</v>
      </c>
      <c r="T1372" s="40">
        <v>30000</v>
      </c>
      <c r="U1372" s="40">
        <v>198169.68325791901</v>
      </c>
      <c r="V1372" s="40">
        <v>0</v>
      </c>
      <c r="W1372" s="45">
        <v>485452.99018861202</v>
      </c>
      <c r="X1372" s="46">
        <v>12.780628138811601</v>
      </c>
    </row>
    <row r="1373" spans="1:24" s="4" customFormat="1" ht="15" customHeight="1">
      <c r="A1373" s="28" t="s">
        <v>3483</v>
      </c>
      <c r="B1373" s="29">
        <v>3387.15</v>
      </c>
      <c r="C1373" s="30" t="s">
        <v>3774</v>
      </c>
      <c r="D1373" s="2">
        <v>4951874485</v>
      </c>
      <c r="E1373" s="2" t="s">
        <v>14</v>
      </c>
      <c r="F1373" s="2" t="s">
        <v>3775</v>
      </c>
      <c r="G1373" s="28" t="s">
        <v>5</v>
      </c>
      <c r="H1373" s="2" t="s">
        <v>20</v>
      </c>
      <c r="I1373" s="2">
        <v>1</v>
      </c>
      <c r="J1373" s="2" t="s">
        <v>3776</v>
      </c>
      <c r="K1373" s="2">
        <v>145695</v>
      </c>
      <c r="L1373" s="35">
        <v>493490819.25</v>
      </c>
      <c r="M1373" s="36">
        <v>3300</v>
      </c>
      <c r="N1373" s="40">
        <v>391345</v>
      </c>
      <c r="O1373" s="40">
        <v>349879</v>
      </c>
      <c r="P1373" s="40">
        <v>0</v>
      </c>
      <c r="Q1373" s="40">
        <v>110000</v>
      </c>
      <c r="R1373" s="40">
        <v>734861</v>
      </c>
      <c r="S1373" s="40">
        <v>354356</v>
      </c>
      <c r="T1373" s="40">
        <v>30000</v>
      </c>
      <c r="U1373" s="40">
        <v>2619000</v>
      </c>
      <c r="V1373" s="40">
        <v>0</v>
      </c>
      <c r="W1373" s="45">
        <v>4589441</v>
      </c>
      <c r="X1373" s="46">
        <v>0.92999521388765904</v>
      </c>
    </row>
    <row r="1374" spans="1:24" s="4" customFormat="1" ht="15" customHeight="1">
      <c r="A1374" s="28" t="s">
        <v>3483</v>
      </c>
      <c r="B1374" s="29">
        <v>3387.15</v>
      </c>
      <c r="C1374" s="30" t="s">
        <v>3777</v>
      </c>
      <c r="D1374" s="2">
        <v>4951650368</v>
      </c>
      <c r="E1374" s="2" t="s">
        <v>14</v>
      </c>
      <c r="F1374" s="2" t="s">
        <v>3778</v>
      </c>
      <c r="G1374" s="28" t="s">
        <v>5</v>
      </c>
      <c r="H1374" s="2" t="s">
        <v>20</v>
      </c>
      <c r="I1374" s="2">
        <v>1</v>
      </c>
      <c r="J1374" s="2" t="s">
        <v>3779</v>
      </c>
      <c r="K1374" s="2">
        <v>62504</v>
      </c>
      <c r="L1374" s="35">
        <v>211710423.59999999</v>
      </c>
      <c r="M1374" s="36">
        <v>10400</v>
      </c>
      <c r="N1374" s="40">
        <v>339581</v>
      </c>
      <c r="O1374" s="40">
        <v>349879</v>
      </c>
      <c r="P1374" s="40">
        <v>110929</v>
      </c>
      <c r="Q1374" s="40">
        <v>110000</v>
      </c>
      <c r="R1374" s="40">
        <v>568918</v>
      </c>
      <c r="S1374" s="40">
        <v>354356</v>
      </c>
      <c r="T1374" s="40">
        <v>30000</v>
      </c>
      <c r="U1374" s="40">
        <v>0</v>
      </c>
      <c r="V1374" s="40">
        <v>0</v>
      </c>
      <c r="W1374" s="45">
        <v>1863663</v>
      </c>
      <c r="X1374" s="46">
        <v>0.88028873038445898</v>
      </c>
    </row>
    <row r="1375" spans="1:24" s="4" customFormat="1" ht="15" customHeight="1">
      <c r="A1375" s="28" t="s">
        <v>3483</v>
      </c>
      <c r="B1375" s="29">
        <v>3387.15</v>
      </c>
      <c r="C1375" s="30" t="s">
        <v>3783</v>
      </c>
      <c r="D1375" s="2">
        <v>4952024021</v>
      </c>
      <c r="E1375" s="2" t="s">
        <v>14</v>
      </c>
      <c r="F1375" s="2" t="s">
        <v>3784</v>
      </c>
      <c r="G1375" s="28" t="s">
        <v>5</v>
      </c>
      <c r="H1375" s="2" t="s">
        <v>17</v>
      </c>
      <c r="I1375" s="2">
        <v>1</v>
      </c>
      <c r="J1375" s="2" t="s">
        <v>3785</v>
      </c>
      <c r="K1375" s="2">
        <v>20384</v>
      </c>
      <c r="L1375" s="35">
        <v>69043665.599999994</v>
      </c>
      <c r="M1375" s="36">
        <v>4900</v>
      </c>
      <c r="N1375" s="40">
        <v>99254.166666666701</v>
      </c>
      <c r="O1375" s="40">
        <v>65571.285714285696</v>
      </c>
      <c r="P1375" s="40">
        <v>120576.014492754</v>
      </c>
      <c r="Q1375" s="40">
        <v>15714.285714285699</v>
      </c>
      <c r="R1375" s="40">
        <v>198027.46376811599</v>
      </c>
      <c r="S1375" s="40">
        <v>89872.898550724596</v>
      </c>
      <c r="T1375" s="40">
        <v>30000</v>
      </c>
      <c r="U1375" s="40">
        <v>1430574.27536232</v>
      </c>
      <c r="V1375" s="40">
        <v>0</v>
      </c>
      <c r="W1375" s="45">
        <v>2049590.39026915</v>
      </c>
      <c r="X1375" s="46">
        <v>2.9685422586676098</v>
      </c>
    </row>
    <row r="1376" spans="1:24" s="4" customFormat="1" ht="15" customHeight="1">
      <c r="A1376" s="28" t="s">
        <v>3483</v>
      </c>
      <c r="B1376" s="29">
        <v>3387.15</v>
      </c>
      <c r="C1376" s="30" t="s">
        <v>3783</v>
      </c>
      <c r="D1376" s="2">
        <v>4951798412</v>
      </c>
      <c r="E1376" s="2" t="s">
        <v>14</v>
      </c>
      <c r="F1376" s="2" t="s">
        <v>3784</v>
      </c>
      <c r="G1376" s="28" t="s">
        <v>5</v>
      </c>
      <c r="H1376" s="2" t="s">
        <v>17</v>
      </c>
      <c r="I1376" s="2">
        <v>1</v>
      </c>
      <c r="J1376" s="2" t="s">
        <v>3785</v>
      </c>
      <c r="K1376" s="2">
        <v>6825</v>
      </c>
      <c r="L1376" s="35">
        <v>23117298.75</v>
      </c>
      <c r="M1376" s="36">
        <v>2100</v>
      </c>
      <c r="N1376" s="40">
        <v>42537.5</v>
      </c>
      <c r="O1376" s="40">
        <v>65571.285714285696</v>
      </c>
      <c r="P1376" s="40">
        <v>51675.434782608703</v>
      </c>
      <c r="Q1376" s="40">
        <v>15714.285714285699</v>
      </c>
      <c r="R1376" s="40">
        <v>84868.9130434783</v>
      </c>
      <c r="S1376" s="40">
        <v>38516.956521739099</v>
      </c>
      <c r="T1376" s="40">
        <v>30000</v>
      </c>
      <c r="U1376" s="40">
        <v>613103.26086956495</v>
      </c>
      <c r="V1376" s="40">
        <v>0</v>
      </c>
      <c r="W1376" s="45">
        <v>941987.63664596202</v>
      </c>
      <c r="X1376" s="46">
        <v>4.0748170745769396</v>
      </c>
    </row>
    <row r="1377" spans="1:24" s="4" customFormat="1" ht="15" customHeight="1">
      <c r="A1377" s="28" t="s">
        <v>3483</v>
      </c>
      <c r="B1377" s="29">
        <v>3387.15</v>
      </c>
      <c r="C1377" s="30" t="s">
        <v>3783</v>
      </c>
      <c r="D1377" s="2">
        <v>4951798412</v>
      </c>
      <c r="E1377" s="2" t="s">
        <v>14</v>
      </c>
      <c r="F1377" s="2" t="s">
        <v>3784</v>
      </c>
      <c r="G1377" s="28" t="s">
        <v>5</v>
      </c>
      <c r="H1377" s="2" t="s">
        <v>17</v>
      </c>
      <c r="I1377" s="2">
        <v>1</v>
      </c>
      <c r="J1377" s="2" t="s">
        <v>3785</v>
      </c>
      <c r="K1377" s="2">
        <v>10080</v>
      </c>
      <c r="L1377" s="35">
        <v>34142472</v>
      </c>
      <c r="M1377" s="36">
        <v>4500</v>
      </c>
      <c r="N1377" s="40">
        <v>91151.785714285696</v>
      </c>
      <c r="O1377" s="40">
        <v>65571.285714285696</v>
      </c>
      <c r="P1377" s="40">
        <v>110733.074534161</v>
      </c>
      <c r="Q1377" s="40">
        <v>15714.285714285699</v>
      </c>
      <c r="R1377" s="40">
        <v>181861.95652173899</v>
      </c>
      <c r="S1377" s="40">
        <v>82536.335403726698</v>
      </c>
      <c r="T1377" s="40">
        <v>30000</v>
      </c>
      <c r="U1377" s="40">
        <v>1313792.7018633501</v>
      </c>
      <c r="V1377" s="40">
        <v>0</v>
      </c>
      <c r="W1377" s="45">
        <v>1891361.4254658299</v>
      </c>
      <c r="X1377" s="46">
        <v>5.53961478086834</v>
      </c>
    </row>
    <row r="1378" spans="1:24" s="4" customFormat="1" ht="15" customHeight="1">
      <c r="A1378" s="28" t="s">
        <v>3483</v>
      </c>
      <c r="B1378" s="29">
        <v>3387.15</v>
      </c>
      <c r="C1378" s="30" t="s">
        <v>3783</v>
      </c>
      <c r="D1378" s="2">
        <v>4951798412</v>
      </c>
      <c r="E1378" s="2" t="s">
        <v>14</v>
      </c>
      <c r="F1378" s="2" t="s">
        <v>3784</v>
      </c>
      <c r="G1378" s="28" t="s">
        <v>5</v>
      </c>
      <c r="H1378" s="2" t="s">
        <v>17</v>
      </c>
      <c r="I1378" s="2">
        <v>1</v>
      </c>
      <c r="J1378" s="2" t="s">
        <v>3785</v>
      </c>
      <c r="K1378" s="2">
        <v>4026.2</v>
      </c>
      <c r="L1378" s="35">
        <v>13637343.33</v>
      </c>
      <c r="M1378" s="36">
        <v>820</v>
      </c>
      <c r="N1378" s="40">
        <v>16609.880952381001</v>
      </c>
      <c r="O1378" s="40">
        <v>65571.285714285696</v>
      </c>
      <c r="P1378" s="40">
        <v>20178.0269151139</v>
      </c>
      <c r="Q1378" s="40">
        <v>15714.285714285699</v>
      </c>
      <c r="R1378" s="40">
        <v>33139.2898550725</v>
      </c>
      <c r="S1378" s="40">
        <v>15039.9544513458</v>
      </c>
      <c r="T1378" s="40">
        <v>30000</v>
      </c>
      <c r="U1378" s="40">
        <v>239402.225672878</v>
      </c>
      <c r="V1378" s="40">
        <v>0</v>
      </c>
      <c r="W1378" s="45">
        <v>435654.949275363</v>
      </c>
      <c r="X1378" s="46">
        <v>3.1945734497788201</v>
      </c>
    </row>
    <row r="1379" spans="1:24" s="4" customFormat="1" ht="15" customHeight="1">
      <c r="A1379" s="28" t="s">
        <v>3483</v>
      </c>
      <c r="B1379" s="29">
        <v>3387.15</v>
      </c>
      <c r="C1379" s="30" t="s">
        <v>3783</v>
      </c>
      <c r="D1379" s="2">
        <v>4951798412</v>
      </c>
      <c r="E1379" s="2" t="s">
        <v>14</v>
      </c>
      <c r="F1379" s="2" t="s">
        <v>3784</v>
      </c>
      <c r="G1379" s="28" t="s">
        <v>5</v>
      </c>
      <c r="H1379" s="2" t="s">
        <v>17</v>
      </c>
      <c r="I1379" s="2">
        <v>1</v>
      </c>
      <c r="J1379" s="2" t="s">
        <v>3785</v>
      </c>
      <c r="K1379" s="2">
        <v>2061</v>
      </c>
      <c r="L1379" s="35">
        <v>6980916.1500000004</v>
      </c>
      <c r="M1379" s="36">
        <v>900</v>
      </c>
      <c r="N1379" s="40">
        <v>18230.357142857101</v>
      </c>
      <c r="O1379" s="40">
        <v>65571.285714285696</v>
      </c>
      <c r="P1379" s="40">
        <v>22146.614906832299</v>
      </c>
      <c r="Q1379" s="40">
        <v>15714.285714285699</v>
      </c>
      <c r="R1379" s="40">
        <v>36372.391304347802</v>
      </c>
      <c r="S1379" s="40">
        <v>16507.2670807453</v>
      </c>
      <c r="T1379" s="40">
        <v>30000</v>
      </c>
      <c r="U1379" s="40">
        <v>262758.54037267098</v>
      </c>
      <c r="V1379" s="40">
        <v>0</v>
      </c>
      <c r="W1379" s="45">
        <v>467300.74223602499</v>
      </c>
      <c r="X1379" s="46">
        <v>6.6939744325109096</v>
      </c>
    </row>
    <row r="1380" spans="1:24" s="4" customFormat="1" ht="15" customHeight="1">
      <c r="A1380" s="28" t="s">
        <v>3483</v>
      </c>
      <c r="B1380" s="29">
        <v>3387.15</v>
      </c>
      <c r="C1380" s="30" t="s">
        <v>3783</v>
      </c>
      <c r="D1380" s="2">
        <v>4951798412</v>
      </c>
      <c r="E1380" s="2" t="s">
        <v>14</v>
      </c>
      <c r="F1380" s="2" t="s">
        <v>3784</v>
      </c>
      <c r="G1380" s="28" t="s">
        <v>5</v>
      </c>
      <c r="H1380" s="2" t="s">
        <v>17</v>
      </c>
      <c r="I1380" s="2">
        <v>1</v>
      </c>
      <c r="J1380" s="2" t="s">
        <v>3785</v>
      </c>
      <c r="K1380" s="2">
        <v>9768</v>
      </c>
      <c r="L1380" s="35">
        <v>33085681.199999999</v>
      </c>
      <c r="M1380" s="36">
        <v>1200</v>
      </c>
      <c r="N1380" s="40">
        <v>24307.142857142899</v>
      </c>
      <c r="O1380" s="40">
        <v>65571.285714285696</v>
      </c>
      <c r="P1380" s="40">
        <v>29528.8198757764</v>
      </c>
      <c r="Q1380" s="40">
        <v>15714.285714285699</v>
      </c>
      <c r="R1380" s="40">
        <v>48496.521739130403</v>
      </c>
      <c r="S1380" s="40">
        <v>22009.6894409938</v>
      </c>
      <c r="T1380" s="40">
        <v>30000</v>
      </c>
      <c r="U1380" s="40">
        <v>350344.72049689398</v>
      </c>
      <c r="V1380" s="40">
        <v>0</v>
      </c>
      <c r="W1380" s="45">
        <v>585972.46583850903</v>
      </c>
      <c r="X1380" s="46">
        <v>1.77107571791059</v>
      </c>
    </row>
    <row r="1381" spans="1:24" s="4" customFormat="1" ht="15" customHeight="1">
      <c r="A1381" s="28" t="s">
        <v>3483</v>
      </c>
      <c r="B1381" s="29">
        <v>3387.15</v>
      </c>
      <c r="C1381" s="30" t="s">
        <v>3783</v>
      </c>
      <c r="D1381" s="2">
        <v>4951348235</v>
      </c>
      <c r="E1381" s="2" t="s">
        <v>14</v>
      </c>
      <c r="F1381" s="2" t="s">
        <v>3784</v>
      </c>
      <c r="G1381" s="28" t="s">
        <v>5</v>
      </c>
      <c r="H1381" s="2" t="s">
        <v>17</v>
      </c>
      <c r="I1381" s="2">
        <v>1</v>
      </c>
      <c r="J1381" s="2" t="s">
        <v>3785</v>
      </c>
      <c r="K1381" s="2">
        <v>16660</v>
      </c>
      <c r="L1381" s="35">
        <v>56429919</v>
      </c>
      <c r="M1381" s="36">
        <v>4900</v>
      </c>
      <c r="N1381" s="40">
        <v>99254.166666666701</v>
      </c>
      <c r="O1381" s="40">
        <v>65571.285714285696</v>
      </c>
      <c r="P1381" s="40">
        <v>120576.014492754</v>
      </c>
      <c r="Q1381" s="40">
        <v>15714.285714285699</v>
      </c>
      <c r="R1381" s="40">
        <v>198027.46376811599</v>
      </c>
      <c r="S1381" s="40">
        <v>89872.898550724596</v>
      </c>
      <c r="T1381" s="40">
        <v>30000</v>
      </c>
      <c r="U1381" s="40">
        <v>1430574.27536232</v>
      </c>
      <c r="V1381" s="40">
        <v>0</v>
      </c>
      <c r="W1381" s="45">
        <v>2049590.39026915</v>
      </c>
      <c r="X1381" s="46">
        <v>3.6320987635462498</v>
      </c>
    </row>
    <row r="1382" spans="1:24" s="4" customFormat="1" ht="15" customHeight="1">
      <c r="A1382" s="28" t="s">
        <v>3483</v>
      </c>
      <c r="B1382" s="29">
        <v>3387.15</v>
      </c>
      <c r="C1382" s="30" t="s">
        <v>3800</v>
      </c>
      <c r="D1382" s="2">
        <v>4952360229</v>
      </c>
      <c r="E1382" s="2" t="s">
        <v>14</v>
      </c>
      <c r="F1382" s="2" t="s">
        <v>3801</v>
      </c>
      <c r="G1382" s="28" t="s">
        <v>9</v>
      </c>
      <c r="H1382" s="2" t="s">
        <v>23</v>
      </c>
      <c r="I1382" s="2">
        <v>1</v>
      </c>
      <c r="J1382" s="2"/>
      <c r="K1382" s="2">
        <v>5049.75</v>
      </c>
      <c r="L1382" s="35">
        <v>17104260.712499999</v>
      </c>
      <c r="M1382" s="36">
        <v>750</v>
      </c>
      <c r="N1382" s="40">
        <v>529499</v>
      </c>
      <c r="O1382" s="40">
        <v>545</v>
      </c>
      <c r="P1382" s="40">
        <v>0</v>
      </c>
      <c r="Q1382" s="40">
        <v>12702</v>
      </c>
      <c r="R1382" s="40">
        <v>99051</v>
      </c>
      <c r="S1382" s="40">
        <v>354356</v>
      </c>
      <c r="T1382" s="40">
        <v>30000</v>
      </c>
      <c r="U1382" s="40">
        <v>586157.14285714296</v>
      </c>
      <c r="V1382" s="40">
        <v>0</v>
      </c>
      <c r="W1382" s="45">
        <v>1612310.1428571399</v>
      </c>
      <c r="X1382" s="46">
        <v>9.4263655702982092</v>
      </c>
    </row>
    <row r="1383" spans="1:24" s="4" customFormat="1" ht="15" customHeight="1">
      <c r="A1383" s="28" t="s">
        <v>3483</v>
      </c>
      <c r="B1383" s="29">
        <v>3387.15</v>
      </c>
      <c r="C1383" s="30" t="s">
        <v>3802</v>
      </c>
      <c r="D1383" s="2">
        <v>4951874477</v>
      </c>
      <c r="E1383" s="2" t="s">
        <v>14</v>
      </c>
      <c r="F1383" s="2" t="s">
        <v>3803</v>
      </c>
      <c r="G1383" s="28" t="s">
        <v>5</v>
      </c>
      <c r="H1383" s="2" t="s">
        <v>35</v>
      </c>
      <c r="I1383" s="2">
        <v>1</v>
      </c>
      <c r="J1383" s="2" t="s">
        <v>3804</v>
      </c>
      <c r="K1383" s="2">
        <v>5755.2</v>
      </c>
      <c r="L1383" s="35">
        <v>19493725.68</v>
      </c>
      <c r="M1383" s="36">
        <v>1760</v>
      </c>
      <c r="N1383" s="40">
        <v>38182.957393483703</v>
      </c>
      <c r="O1383" s="40">
        <v>76499.833333333299</v>
      </c>
      <c r="P1383" s="40">
        <v>0</v>
      </c>
      <c r="Q1383" s="40">
        <v>18333.333333333299</v>
      </c>
      <c r="R1383" s="40">
        <v>222803.20802004999</v>
      </c>
      <c r="S1383" s="40">
        <v>39076.852130325802</v>
      </c>
      <c r="T1383" s="40">
        <v>30000</v>
      </c>
      <c r="U1383" s="40">
        <v>750591.47869674198</v>
      </c>
      <c r="V1383" s="40">
        <v>0</v>
      </c>
      <c r="W1383" s="45">
        <v>1175487.66290727</v>
      </c>
      <c r="X1383" s="46">
        <v>6.0300821002795004</v>
      </c>
    </row>
    <row r="1384" spans="1:24" s="4" customFormat="1" ht="15" customHeight="1">
      <c r="A1384" s="28" t="s">
        <v>3483</v>
      </c>
      <c r="B1384" s="29">
        <v>3387.15</v>
      </c>
      <c r="C1384" s="30" t="s">
        <v>3802</v>
      </c>
      <c r="D1384" s="2">
        <v>4952165854</v>
      </c>
      <c r="E1384" s="2" t="s">
        <v>14</v>
      </c>
      <c r="F1384" s="2" t="s">
        <v>3803</v>
      </c>
      <c r="G1384" s="28" t="s">
        <v>5</v>
      </c>
      <c r="H1384" s="2" t="s">
        <v>35</v>
      </c>
      <c r="I1384" s="2">
        <v>1</v>
      </c>
      <c r="J1384" s="2" t="s">
        <v>3804</v>
      </c>
      <c r="K1384" s="2">
        <v>4032</v>
      </c>
      <c r="L1384" s="35">
        <v>13656988.800000001</v>
      </c>
      <c r="M1384" s="36">
        <v>1800</v>
      </c>
      <c r="N1384" s="40">
        <v>165965.69548872201</v>
      </c>
      <c r="O1384" s="40">
        <v>76499.833333333299</v>
      </c>
      <c r="P1384" s="40">
        <v>0</v>
      </c>
      <c r="Q1384" s="40">
        <v>18333.333333333299</v>
      </c>
      <c r="R1384" s="40">
        <v>968434.39849624096</v>
      </c>
      <c r="S1384" s="40">
        <v>169851.090225564</v>
      </c>
      <c r="T1384" s="40">
        <v>30000</v>
      </c>
      <c r="U1384" s="40">
        <v>3262514.0977443601</v>
      </c>
      <c r="V1384" s="40">
        <v>0</v>
      </c>
      <c r="W1384" s="45">
        <v>4691598.4486215496</v>
      </c>
      <c r="X1384" s="46">
        <v>34.353095820226201</v>
      </c>
    </row>
    <row r="1385" spans="1:24" s="4" customFormat="1" ht="15" customHeight="1">
      <c r="A1385" s="28" t="s">
        <v>3483</v>
      </c>
      <c r="B1385" s="29">
        <v>3387.15</v>
      </c>
      <c r="C1385" s="30" t="s">
        <v>3802</v>
      </c>
      <c r="D1385" s="2">
        <v>4951647403</v>
      </c>
      <c r="E1385" s="2" t="s">
        <v>14</v>
      </c>
      <c r="F1385" s="2" t="s">
        <v>3803</v>
      </c>
      <c r="G1385" s="28" t="s">
        <v>5</v>
      </c>
      <c r="H1385" s="2" t="s">
        <v>35</v>
      </c>
      <c r="I1385" s="2">
        <v>1</v>
      </c>
      <c r="J1385" s="2" t="s">
        <v>3804</v>
      </c>
      <c r="K1385" s="2">
        <v>7203</v>
      </c>
      <c r="L1385" s="35">
        <v>24397641.449999999</v>
      </c>
      <c r="M1385" s="36">
        <v>700</v>
      </c>
      <c r="N1385" s="40">
        <v>15186.4035087719</v>
      </c>
      <c r="O1385" s="40">
        <v>76499.833333333299</v>
      </c>
      <c r="P1385" s="40">
        <v>0</v>
      </c>
      <c r="Q1385" s="40">
        <v>18333.333333333299</v>
      </c>
      <c r="R1385" s="40">
        <v>88614.912280701799</v>
      </c>
      <c r="S1385" s="40">
        <v>15541.929824561401</v>
      </c>
      <c r="T1385" s="40">
        <v>30000</v>
      </c>
      <c r="U1385" s="40">
        <v>298530.70175438601</v>
      </c>
      <c r="V1385" s="40">
        <v>0</v>
      </c>
      <c r="W1385" s="45">
        <v>542707.11403508799</v>
      </c>
      <c r="X1385" s="46">
        <v>2.2244245008162</v>
      </c>
    </row>
    <row r="1386" spans="1:24" s="4" customFormat="1" ht="15" customHeight="1">
      <c r="A1386" s="28" t="s">
        <v>3483</v>
      </c>
      <c r="B1386" s="29">
        <v>3387.15</v>
      </c>
      <c r="C1386" s="30" t="s">
        <v>3802</v>
      </c>
      <c r="D1386" s="2">
        <v>4951798430</v>
      </c>
      <c r="E1386" s="2" t="s">
        <v>14</v>
      </c>
      <c r="F1386" s="2" t="s">
        <v>3803</v>
      </c>
      <c r="G1386" s="28" t="s">
        <v>5</v>
      </c>
      <c r="H1386" s="2" t="s">
        <v>35</v>
      </c>
      <c r="I1386" s="2">
        <v>1</v>
      </c>
      <c r="J1386" s="2" t="s">
        <v>3804</v>
      </c>
      <c r="K1386" s="2">
        <v>12240</v>
      </c>
      <c r="L1386" s="35">
        <v>41458716</v>
      </c>
      <c r="M1386" s="36">
        <v>4800</v>
      </c>
      <c r="N1386" s="40">
        <v>104135.33834586501</v>
      </c>
      <c r="O1386" s="40">
        <v>76499.833333333299</v>
      </c>
      <c r="P1386" s="40">
        <v>0</v>
      </c>
      <c r="Q1386" s="40">
        <v>18333.333333333299</v>
      </c>
      <c r="R1386" s="40">
        <v>607645.11278195505</v>
      </c>
      <c r="S1386" s="40">
        <v>106573.233082707</v>
      </c>
      <c r="T1386" s="40">
        <v>30000</v>
      </c>
      <c r="U1386" s="40">
        <v>2047067.6691729301</v>
      </c>
      <c r="V1386" s="40">
        <v>0</v>
      </c>
      <c r="W1386" s="45">
        <v>2990254.5200501299</v>
      </c>
      <c r="X1386" s="46">
        <v>7.21260764576048</v>
      </c>
    </row>
    <row r="1387" spans="1:24" s="4" customFormat="1" ht="15" customHeight="1">
      <c r="A1387" s="28" t="s">
        <v>3483</v>
      </c>
      <c r="B1387" s="29">
        <v>3387.15</v>
      </c>
      <c r="C1387" s="30" t="s">
        <v>3802</v>
      </c>
      <c r="D1387" s="2">
        <v>4952270615</v>
      </c>
      <c r="E1387" s="2" t="s">
        <v>14</v>
      </c>
      <c r="F1387" s="2" t="s">
        <v>3803</v>
      </c>
      <c r="G1387" s="28" t="s">
        <v>5</v>
      </c>
      <c r="H1387" s="2" t="s">
        <v>35</v>
      </c>
      <c r="I1387" s="2">
        <v>1</v>
      </c>
      <c r="J1387" s="2" t="s">
        <v>3804</v>
      </c>
      <c r="K1387" s="2">
        <v>2858.4</v>
      </c>
      <c r="L1387" s="35">
        <v>9681829.5600000005</v>
      </c>
      <c r="M1387" s="36">
        <v>450</v>
      </c>
      <c r="N1387" s="40">
        <v>9762.6879699248093</v>
      </c>
      <c r="O1387" s="40">
        <v>76499.833333333299</v>
      </c>
      <c r="P1387" s="40">
        <v>0</v>
      </c>
      <c r="Q1387" s="40">
        <v>18333.333333333299</v>
      </c>
      <c r="R1387" s="40">
        <v>56966.729323308296</v>
      </c>
      <c r="S1387" s="40">
        <v>9991.2406015037595</v>
      </c>
      <c r="T1387" s="40">
        <v>30000</v>
      </c>
      <c r="U1387" s="40">
        <v>191912.593984962</v>
      </c>
      <c r="V1387" s="40">
        <v>0</v>
      </c>
      <c r="W1387" s="45">
        <v>393466.41854636598</v>
      </c>
      <c r="X1387" s="46">
        <v>4.0639676221109404</v>
      </c>
    </row>
    <row r="1388" spans="1:24" s="4" customFormat="1" ht="15" customHeight="1">
      <c r="A1388" s="28" t="s">
        <v>3483</v>
      </c>
      <c r="B1388" s="29">
        <v>3387.15</v>
      </c>
      <c r="C1388" s="30" t="s">
        <v>3802</v>
      </c>
      <c r="D1388" s="2">
        <v>4951798430</v>
      </c>
      <c r="E1388" s="2" t="s">
        <v>14</v>
      </c>
      <c r="F1388" s="2" t="s">
        <v>3803</v>
      </c>
      <c r="G1388" s="28" t="s">
        <v>5</v>
      </c>
      <c r="H1388" s="2" t="s">
        <v>35</v>
      </c>
      <c r="I1388" s="2">
        <v>1</v>
      </c>
      <c r="J1388" s="2" t="s">
        <v>3804</v>
      </c>
      <c r="K1388" s="2">
        <v>2850</v>
      </c>
      <c r="L1388" s="35">
        <v>9653377.5</v>
      </c>
      <c r="M1388" s="36">
        <v>600</v>
      </c>
      <c r="N1388" s="40">
        <v>13016.9172932331</v>
      </c>
      <c r="O1388" s="40">
        <v>76499.833333333299</v>
      </c>
      <c r="P1388" s="40">
        <v>0</v>
      </c>
      <c r="Q1388" s="40">
        <v>18333.333333333299</v>
      </c>
      <c r="R1388" s="40">
        <v>75955.639097744395</v>
      </c>
      <c r="S1388" s="40">
        <v>13321.6541353383</v>
      </c>
      <c r="T1388" s="40">
        <v>30000</v>
      </c>
      <c r="U1388" s="40">
        <v>255883.45864661699</v>
      </c>
      <c r="V1388" s="40">
        <v>0</v>
      </c>
      <c r="W1388" s="45">
        <v>483010.83583959902</v>
      </c>
      <c r="X1388" s="46">
        <v>5.0035423958049803</v>
      </c>
    </row>
    <row r="1389" spans="1:24" s="4" customFormat="1" ht="15" customHeight="1">
      <c r="A1389" s="28" t="s">
        <v>3483</v>
      </c>
      <c r="B1389" s="29">
        <v>3387.15</v>
      </c>
      <c r="C1389" s="30" t="s">
        <v>3805</v>
      </c>
      <c r="D1389" s="2">
        <v>4951874494</v>
      </c>
      <c r="E1389" s="2" t="s">
        <v>14</v>
      </c>
      <c r="F1389" s="2" t="s">
        <v>3806</v>
      </c>
      <c r="G1389" s="28" t="s">
        <v>5</v>
      </c>
      <c r="H1389" s="2" t="s">
        <v>35</v>
      </c>
      <c r="I1389" s="2">
        <v>1</v>
      </c>
      <c r="J1389" s="2" t="s">
        <v>3807</v>
      </c>
      <c r="K1389" s="2">
        <v>10980</v>
      </c>
      <c r="L1389" s="35">
        <v>37190907</v>
      </c>
      <c r="M1389" s="36">
        <v>6000</v>
      </c>
      <c r="N1389" s="40">
        <v>152563.53425683299</v>
      </c>
      <c r="O1389" s="40">
        <v>91799.8</v>
      </c>
      <c r="P1389" s="40">
        <v>0</v>
      </c>
      <c r="Q1389" s="40">
        <v>22000</v>
      </c>
      <c r="R1389" s="40">
        <v>693981.87944589998</v>
      </c>
      <c r="S1389" s="40">
        <v>159201.497566454</v>
      </c>
      <c r="T1389" s="40">
        <v>30000</v>
      </c>
      <c r="U1389" s="40">
        <v>2643953.5754399099</v>
      </c>
      <c r="V1389" s="40">
        <v>0</v>
      </c>
      <c r="W1389" s="45">
        <v>3793500.2867091</v>
      </c>
      <c r="X1389" s="46">
        <v>10.2000746760736</v>
      </c>
    </row>
    <row r="1390" spans="1:24" s="4" customFormat="1" ht="15" customHeight="1">
      <c r="A1390" s="28" t="s">
        <v>3483</v>
      </c>
      <c r="B1390" s="29">
        <v>3387.15</v>
      </c>
      <c r="C1390" s="30" t="s">
        <v>3805</v>
      </c>
      <c r="D1390" s="2">
        <v>4951874461</v>
      </c>
      <c r="E1390" s="2" t="s">
        <v>14</v>
      </c>
      <c r="F1390" s="2" t="s">
        <v>3806</v>
      </c>
      <c r="G1390" s="28" t="s">
        <v>5</v>
      </c>
      <c r="H1390" s="2" t="s">
        <v>35</v>
      </c>
      <c r="I1390" s="2">
        <v>1</v>
      </c>
      <c r="J1390" s="2" t="s">
        <v>3807</v>
      </c>
      <c r="K1390" s="2">
        <v>4958.75</v>
      </c>
      <c r="L1390" s="35">
        <v>16796030.0625</v>
      </c>
      <c r="M1390" s="36">
        <v>125</v>
      </c>
      <c r="N1390" s="40">
        <v>3178.40696368401</v>
      </c>
      <c r="O1390" s="40">
        <v>91799.8</v>
      </c>
      <c r="P1390" s="40">
        <v>0</v>
      </c>
      <c r="Q1390" s="40">
        <v>22000</v>
      </c>
      <c r="R1390" s="40">
        <v>14457.955821789599</v>
      </c>
      <c r="S1390" s="40">
        <v>3316.6978659678002</v>
      </c>
      <c r="T1390" s="40">
        <v>30000</v>
      </c>
      <c r="U1390" s="40">
        <v>55082.366154998097</v>
      </c>
      <c r="V1390" s="40">
        <v>0</v>
      </c>
      <c r="W1390" s="45">
        <v>219835.22680644001</v>
      </c>
      <c r="X1390" s="46">
        <v>1.30885230610095</v>
      </c>
    </row>
    <row r="1391" spans="1:24" s="4" customFormat="1" ht="15" customHeight="1">
      <c r="A1391" s="28" t="s">
        <v>3483</v>
      </c>
      <c r="B1391" s="29">
        <v>3387.15</v>
      </c>
      <c r="C1391" s="30" t="s">
        <v>3805</v>
      </c>
      <c r="D1391" s="2">
        <v>4951874467</v>
      </c>
      <c r="E1391" s="2" t="s">
        <v>14</v>
      </c>
      <c r="F1391" s="2" t="s">
        <v>3806</v>
      </c>
      <c r="G1391" s="28" t="s">
        <v>5</v>
      </c>
      <c r="H1391" s="2" t="s">
        <v>35</v>
      </c>
      <c r="I1391" s="2">
        <v>1</v>
      </c>
      <c r="J1391" s="2" t="s">
        <v>3807</v>
      </c>
      <c r="K1391" s="2">
        <v>1839.2</v>
      </c>
      <c r="L1391" s="35">
        <v>6229646.2800000003</v>
      </c>
      <c r="M1391" s="36">
        <v>880</v>
      </c>
      <c r="N1391" s="40">
        <v>22375.985024335499</v>
      </c>
      <c r="O1391" s="40">
        <v>91799.8</v>
      </c>
      <c r="P1391" s="40">
        <v>0</v>
      </c>
      <c r="Q1391" s="40">
        <v>22000</v>
      </c>
      <c r="R1391" s="40">
        <v>101784.00898539901</v>
      </c>
      <c r="S1391" s="40">
        <v>23349.552976413299</v>
      </c>
      <c r="T1391" s="40">
        <v>30000</v>
      </c>
      <c r="U1391" s="40">
        <v>387779.85773118702</v>
      </c>
      <c r="V1391" s="40">
        <v>0</v>
      </c>
      <c r="W1391" s="45">
        <v>679089.20471733494</v>
      </c>
      <c r="X1391" s="46">
        <v>10.900927182615799</v>
      </c>
    </row>
    <row r="1392" spans="1:24" s="4" customFormat="1" ht="15" customHeight="1">
      <c r="A1392" s="28" t="s">
        <v>3483</v>
      </c>
      <c r="B1392" s="29">
        <v>3387.15</v>
      </c>
      <c r="C1392" s="30" t="s">
        <v>3805</v>
      </c>
      <c r="D1392" s="2">
        <v>4951574748</v>
      </c>
      <c r="E1392" s="2" t="s">
        <v>14</v>
      </c>
      <c r="F1392" s="2" t="s">
        <v>3806</v>
      </c>
      <c r="G1392" s="28" t="s">
        <v>5</v>
      </c>
      <c r="H1392" s="2" t="s">
        <v>35</v>
      </c>
      <c r="I1392" s="2">
        <v>1</v>
      </c>
      <c r="J1392" s="2" t="s">
        <v>3807</v>
      </c>
      <c r="K1392" s="2">
        <v>1925</v>
      </c>
      <c r="L1392" s="35">
        <v>6520263.75</v>
      </c>
      <c r="M1392" s="36">
        <v>550</v>
      </c>
      <c r="N1392" s="40">
        <v>13984.9906402097</v>
      </c>
      <c r="O1392" s="40">
        <v>91799.8</v>
      </c>
      <c r="P1392" s="40">
        <v>0</v>
      </c>
      <c r="Q1392" s="40">
        <v>22000</v>
      </c>
      <c r="R1392" s="40">
        <v>63615.005615874201</v>
      </c>
      <c r="S1392" s="40">
        <v>14593.4706102583</v>
      </c>
      <c r="T1392" s="40">
        <v>30000</v>
      </c>
      <c r="U1392" s="40">
        <v>242362.411081992</v>
      </c>
      <c r="V1392" s="40">
        <v>0</v>
      </c>
      <c r="W1392" s="45">
        <v>478355.67794833402</v>
      </c>
      <c r="X1392" s="46">
        <v>7.3364467495403698</v>
      </c>
    </row>
    <row r="1393" spans="1:24" s="4" customFormat="1" ht="15" customHeight="1">
      <c r="A1393" s="28" t="s">
        <v>3483</v>
      </c>
      <c r="B1393" s="29">
        <v>3387.15</v>
      </c>
      <c r="C1393" s="30" t="s">
        <v>3805</v>
      </c>
      <c r="D1393" s="2">
        <v>4951325264</v>
      </c>
      <c r="E1393" s="2" t="s">
        <v>14</v>
      </c>
      <c r="F1393" s="2" t="s">
        <v>3806</v>
      </c>
      <c r="G1393" s="28" t="s">
        <v>5</v>
      </c>
      <c r="H1393" s="2" t="s">
        <v>35</v>
      </c>
      <c r="I1393" s="2">
        <v>1</v>
      </c>
      <c r="J1393" s="2" t="s">
        <v>3807</v>
      </c>
      <c r="K1393" s="2">
        <v>21228</v>
      </c>
      <c r="L1393" s="35">
        <v>71902420.200000003</v>
      </c>
      <c r="M1393" s="36">
        <v>5800</v>
      </c>
      <c r="N1393" s="40">
        <v>147478.083114938</v>
      </c>
      <c r="O1393" s="40">
        <v>91799.8</v>
      </c>
      <c r="P1393" s="40">
        <v>0</v>
      </c>
      <c r="Q1393" s="40">
        <v>22000</v>
      </c>
      <c r="R1393" s="40">
        <v>670849.15013103699</v>
      </c>
      <c r="S1393" s="40">
        <v>153894.78098090601</v>
      </c>
      <c r="T1393" s="40">
        <v>30000</v>
      </c>
      <c r="U1393" s="40">
        <v>2555821.7895919099</v>
      </c>
      <c r="V1393" s="40">
        <v>0</v>
      </c>
      <c r="W1393" s="45">
        <v>3671843.6038187901</v>
      </c>
      <c r="X1393" s="46">
        <v>5.1067037710349403</v>
      </c>
    </row>
    <row r="1394" spans="1:24" s="4" customFormat="1" ht="15" customHeight="1">
      <c r="A1394" s="28" t="s">
        <v>3483</v>
      </c>
      <c r="B1394" s="29">
        <v>3387.15</v>
      </c>
      <c r="C1394" s="30" t="s">
        <v>3810</v>
      </c>
      <c r="D1394" s="2">
        <v>4952461126</v>
      </c>
      <c r="E1394" s="2" t="s">
        <v>14</v>
      </c>
      <c r="F1394" s="2" t="s">
        <v>3811</v>
      </c>
      <c r="G1394" s="28" t="s">
        <v>9</v>
      </c>
      <c r="H1394" s="2" t="s">
        <v>23</v>
      </c>
      <c r="I1394" s="2">
        <v>3</v>
      </c>
      <c r="J1394" s="2"/>
      <c r="K1394" s="2">
        <v>12676.8</v>
      </c>
      <c r="L1394" s="35">
        <v>42938223.119999997</v>
      </c>
      <c r="M1394" s="36">
        <v>2280</v>
      </c>
      <c r="N1394" s="40">
        <v>653717</v>
      </c>
      <c r="O1394" s="40">
        <v>869</v>
      </c>
      <c r="P1394" s="40">
        <v>0</v>
      </c>
      <c r="Q1394" s="40">
        <v>20287</v>
      </c>
      <c r="R1394" s="40">
        <v>904941</v>
      </c>
      <c r="S1394" s="40">
        <v>354356</v>
      </c>
      <c r="T1394" s="40">
        <v>30000</v>
      </c>
      <c r="U1394" s="40">
        <v>1283274.07407407</v>
      </c>
      <c r="V1394" s="40">
        <v>0</v>
      </c>
      <c r="W1394" s="45">
        <v>3247444.07407407</v>
      </c>
      <c r="X1394" s="46">
        <v>7.5630611564861496</v>
      </c>
    </row>
    <row r="1395" spans="1:24" s="4" customFormat="1" ht="15" customHeight="1">
      <c r="A1395" s="28" t="s">
        <v>3483</v>
      </c>
      <c r="B1395" s="29">
        <v>3387.15</v>
      </c>
      <c r="C1395" s="30" t="s">
        <v>3812</v>
      </c>
      <c r="D1395" s="2" t="s">
        <v>3813</v>
      </c>
      <c r="E1395" s="2" t="s">
        <v>14</v>
      </c>
      <c r="F1395" s="2" t="s">
        <v>3814</v>
      </c>
      <c r="G1395" s="28" t="s">
        <v>9</v>
      </c>
      <c r="H1395" s="2" t="s">
        <v>23</v>
      </c>
      <c r="I1395" s="2">
        <v>3</v>
      </c>
      <c r="J1395" s="2"/>
      <c r="K1395" s="2">
        <v>3195</v>
      </c>
      <c r="L1395" s="35">
        <v>10821944.25</v>
      </c>
      <c r="M1395" s="36">
        <v>2250</v>
      </c>
      <c r="N1395" s="40">
        <v>669028</v>
      </c>
      <c r="O1395" s="40">
        <v>869</v>
      </c>
      <c r="P1395" s="40">
        <v>0</v>
      </c>
      <c r="Q1395" s="40">
        <v>20287</v>
      </c>
      <c r="R1395" s="40">
        <v>126195</v>
      </c>
      <c r="S1395" s="40">
        <v>354356</v>
      </c>
      <c r="T1395" s="40">
        <v>30000</v>
      </c>
      <c r="U1395" s="40">
        <v>1206266.06683805</v>
      </c>
      <c r="V1395" s="40">
        <v>0</v>
      </c>
      <c r="W1395" s="45">
        <v>2407001.0668380498</v>
      </c>
      <c r="X1395" s="46">
        <v>22.241854247567801</v>
      </c>
    </row>
    <row r="1396" spans="1:24" s="4" customFormat="1" ht="15" customHeight="1">
      <c r="A1396" s="28" t="s">
        <v>3483</v>
      </c>
      <c r="B1396" s="29">
        <v>3387.15</v>
      </c>
      <c r="C1396" s="30" t="s">
        <v>3815</v>
      </c>
      <c r="D1396" s="2">
        <v>4952547959</v>
      </c>
      <c r="E1396" s="2" t="s">
        <v>14</v>
      </c>
      <c r="F1396" s="2" t="s">
        <v>3816</v>
      </c>
      <c r="G1396" s="28" t="s">
        <v>9</v>
      </c>
      <c r="H1396" s="2" t="s">
        <v>23</v>
      </c>
      <c r="I1396" s="2">
        <v>1</v>
      </c>
      <c r="J1396" s="2"/>
      <c r="K1396" s="2">
        <v>4946.3999999999996</v>
      </c>
      <c r="L1396" s="35">
        <v>16754198.76</v>
      </c>
      <c r="M1396" s="36">
        <v>720</v>
      </c>
      <c r="N1396" s="40">
        <v>762472</v>
      </c>
      <c r="O1396" s="40">
        <v>552</v>
      </c>
      <c r="P1396" s="40">
        <v>0</v>
      </c>
      <c r="Q1396" s="40">
        <v>16287</v>
      </c>
      <c r="R1396" s="40">
        <v>103589</v>
      </c>
      <c r="S1396" s="40">
        <v>354356</v>
      </c>
      <c r="T1396" s="40">
        <v>30000</v>
      </c>
      <c r="U1396" s="40">
        <v>386005.14138817502</v>
      </c>
      <c r="V1396" s="40">
        <v>0</v>
      </c>
      <c r="W1396" s="45">
        <v>1653261.14138817</v>
      </c>
      <c r="X1396" s="46">
        <v>9.8677422004522892</v>
      </c>
    </row>
    <row r="1397" spans="1:24" s="4" customFormat="1" ht="15" customHeight="1">
      <c r="A1397" s="28" t="s">
        <v>3483</v>
      </c>
      <c r="B1397" s="29">
        <v>3387.15</v>
      </c>
      <c r="C1397" s="30" t="s">
        <v>3822</v>
      </c>
      <c r="D1397" s="2" t="s">
        <v>3823</v>
      </c>
      <c r="E1397" s="2" t="s">
        <v>14</v>
      </c>
      <c r="F1397" s="2" t="s">
        <v>3824</v>
      </c>
      <c r="G1397" s="28" t="s">
        <v>5</v>
      </c>
      <c r="H1397" s="2" t="s">
        <v>20</v>
      </c>
      <c r="I1397" s="2">
        <v>1</v>
      </c>
      <c r="J1397" s="2" t="s">
        <v>3825</v>
      </c>
      <c r="K1397" s="2">
        <v>32640</v>
      </c>
      <c r="L1397" s="35">
        <v>110556576</v>
      </c>
      <c r="M1397" s="36">
        <v>6000</v>
      </c>
      <c r="N1397" s="40">
        <v>349447</v>
      </c>
      <c r="O1397" s="40">
        <v>349879</v>
      </c>
      <c r="P1397" s="40">
        <v>763481</v>
      </c>
      <c r="Q1397" s="40">
        <v>110000</v>
      </c>
      <c r="R1397" s="40">
        <v>662118</v>
      </c>
      <c r="S1397" s="40">
        <v>354356</v>
      </c>
      <c r="T1397" s="40">
        <v>30000</v>
      </c>
      <c r="U1397" s="40">
        <v>3501700</v>
      </c>
      <c r="V1397" s="40">
        <v>0</v>
      </c>
      <c r="W1397" s="45">
        <v>6120981</v>
      </c>
      <c r="X1397" s="46">
        <v>5.5365146257785698</v>
      </c>
    </row>
    <row r="1398" spans="1:24" s="4" customFormat="1" ht="15" customHeight="1">
      <c r="A1398" s="28" t="s">
        <v>3483</v>
      </c>
      <c r="B1398" s="29">
        <v>3387.15</v>
      </c>
      <c r="C1398" s="30" t="s">
        <v>3826</v>
      </c>
      <c r="D1398" s="2">
        <v>4952577875</v>
      </c>
      <c r="E1398" s="2" t="s">
        <v>14</v>
      </c>
      <c r="F1398" s="2" t="s">
        <v>3827</v>
      </c>
      <c r="G1398" s="28" t="s">
        <v>9</v>
      </c>
      <c r="H1398" s="2" t="s">
        <v>23</v>
      </c>
      <c r="I1398" s="2">
        <v>1</v>
      </c>
      <c r="J1398" s="2"/>
      <c r="K1398" s="2">
        <v>3967.5</v>
      </c>
      <c r="L1398" s="35">
        <v>13438517.625</v>
      </c>
      <c r="M1398" s="36">
        <v>150</v>
      </c>
      <c r="N1398" s="40">
        <v>496838</v>
      </c>
      <c r="O1398" s="40">
        <v>136</v>
      </c>
      <c r="P1398" s="40">
        <v>0</v>
      </c>
      <c r="Q1398" s="40">
        <v>2895</v>
      </c>
      <c r="R1398" s="40">
        <v>88663</v>
      </c>
      <c r="S1398" s="40">
        <v>354356</v>
      </c>
      <c r="T1398" s="40">
        <v>30000</v>
      </c>
      <c r="U1398" s="40">
        <v>84425.925925925898</v>
      </c>
      <c r="V1398" s="40">
        <v>0</v>
      </c>
      <c r="W1398" s="45">
        <v>1057313.92592593</v>
      </c>
      <c r="X1398" s="46">
        <v>7.8677868752352502</v>
      </c>
    </row>
    <row r="1399" spans="1:24" s="4" customFormat="1" ht="15" customHeight="1">
      <c r="A1399" s="28" t="s">
        <v>3483</v>
      </c>
      <c r="B1399" s="29">
        <v>3387.15</v>
      </c>
      <c r="C1399" s="30" t="s">
        <v>3828</v>
      </c>
      <c r="D1399" s="2">
        <v>4952024018</v>
      </c>
      <c r="E1399" s="2" t="s">
        <v>14</v>
      </c>
      <c r="F1399" s="2" t="s">
        <v>3829</v>
      </c>
      <c r="G1399" s="28" t="s">
        <v>9</v>
      </c>
      <c r="H1399" s="2" t="s">
        <v>23</v>
      </c>
      <c r="I1399" s="2">
        <v>1</v>
      </c>
      <c r="J1399" s="2"/>
      <c r="K1399" s="2">
        <v>2870</v>
      </c>
      <c r="L1399" s="35">
        <v>9721120.5</v>
      </c>
      <c r="M1399" s="36">
        <v>1000</v>
      </c>
      <c r="N1399" s="40">
        <v>649559</v>
      </c>
      <c r="O1399" s="40">
        <v>722</v>
      </c>
      <c r="P1399" s="40">
        <v>0</v>
      </c>
      <c r="Q1399" s="40">
        <v>16366</v>
      </c>
      <c r="R1399" s="40">
        <v>103333</v>
      </c>
      <c r="S1399" s="40">
        <v>354356</v>
      </c>
      <c r="T1399" s="40">
        <v>30000</v>
      </c>
      <c r="U1399" s="40">
        <v>781542.85714285704</v>
      </c>
      <c r="V1399" s="40">
        <v>0</v>
      </c>
      <c r="W1399" s="45">
        <v>1935878.8571428601</v>
      </c>
      <c r="X1399" s="46">
        <v>19.914153488199801</v>
      </c>
    </row>
    <row r="1400" spans="1:24" s="4" customFormat="1" ht="15" customHeight="1">
      <c r="A1400" s="28" t="s">
        <v>3483</v>
      </c>
      <c r="B1400" s="29">
        <v>3387.15</v>
      </c>
      <c r="C1400" s="30" t="s">
        <v>3830</v>
      </c>
      <c r="D1400" s="2">
        <v>4951874487</v>
      </c>
      <c r="E1400" s="2" t="s">
        <v>14</v>
      </c>
      <c r="F1400" s="2" t="s">
        <v>3831</v>
      </c>
      <c r="G1400" s="28" t="s">
        <v>5</v>
      </c>
      <c r="H1400" s="2" t="s">
        <v>20</v>
      </c>
      <c r="I1400" s="2">
        <v>7</v>
      </c>
      <c r="J1400" s="2" t="s">
        <v>3832</v>
      </c>
      <c r="K1400" s="2">
        <v>1792</v>
      </c>
      <c r="L1400" s="35">
        <v>6069772.7999999998</v>
      </c>
      <c r="M1400" s="36">
        <v>800</v>
      </c>
      <c r="N1400" s="40">
        <v>410359.676000926</v>
      </c>
      <c r="O1400" s="40">
        <v>816384.33333333302</v>
      </c>
      <c r="P1400" s="40">
        <v>471452</v>
      </c>
      <c r="Q1400" s="40">
        <v>53474.307692307702</v>
      </c>
      <c r="R1400" s="40">
        <v>642189.5</v>
      </c>
      <c r="S1400" s="40">
        <v>52485.035871326101</v>
      </c>
      <c r="T1400" s="40">
        <v>30000</v>
      </c>
      <c r="U1400" s="40">
        <v>0</v>
      </c>
      <c r="V1400" s="40">
        <v>0</v>
      </c>
      <c r="W1400" s="45">
        <v>2476344.8528978899</v>
      </c>
      <c r="X1400" s="46">
        <v>40.797982634504798</v>
      </c>
    </row>
    <row r="1401" spans="1:24" s="4" customFormat="1" ht="15" customHeight="1">
      <c r="A1401" s="28" t="s">
        <v>3483</v>
      </c>
      <c r="B1401" s="29">
        <v>3387.15</v>
      </c>
      <c r="C1401" s="30" t="s">
        <v>3830</v>
      </c>
      <c r="D1401" s="2">
        <v>4951325268</v>
      </c>
      <c r="E1401" s="2" t="s">
        <v>14</v>
      </c>
      <c r="F1401" s="2" t="s">
        <v>3831</v>
      </c>
      <c r="G1401" s="28" t="s">
        <v>5</v>
      </c>
      <c r="H1401" s="2" t="s">
        <v>20</v>
      </c>
      <c r="I1401" s="2">
        <v>7</v>
      </c>
      <c r="J1401" s="2" t="s">
        <v>3832</v>
      </c>
      <c r="K1401" s="2">
        <v>3360</v>
      </c>
      <c r="L1401" s="35">
        <v>11380824</v>
      </c>
      <c r="M1401" s="36">
        <v>4000</v>
      </c>
      <c r="N1401" s="40">
        <v>410359.676000926</v>
      </c>
      <c r="O1401" s="40">
        <v>816384.33333333302</v>
      </c>
      <c r="P1401" s="40">
        <v>471452</v>
      </c>
      <c r="Q1401" s="40">
        <v>53474.307692307702</v>
      </c>
      <c r="R1401" s="40">
        <v>642189.5</v>
      </c>
      <c r="S1401" s="40">
        <v>52485.035871326101</v>
      </c>
      <c r="T1401" s="40">
        <v>30000</v>
      </c>
      <c r="U1401" s="40">
        <v>0</v>
      </c>
      <c r="V1401" s="40">
        <v>0</v>
      </c>
      <c r="W1401" s="45">
        <v>2476344.8528978899</v>
      </c>
      <c r="X1401" s="46">
        <v>21.758924071735901</v>
      </c>
    </row>
    <row r="1402" spans="1:24" s="4" customFormat="1" ht="15" customHeight="1">
      <c r="A1402" s="28" t="s">
        <v>3483</v>
      </c>
      <c r="B1402" s="29">
        <v>3387.15</v>
      </c>
      <c r="C1402" s="30" t="s">
        <v>3830</v>
      </c>
      <c r="D1402" s="2">
        <v>4951726518</v>
      </c>
      <c r="E1402" s="2" t="s">
        <v>14</v>
      </c>
      <c r="F1402" s="2" t="s">
        <v>3831</v>
      </c>
      <c r="G1402" s="28" t="s">
        <v>5</v>
      </c>
      <c r="H1402" s="2" t="s">
        <v>20</v>
      </c>
      <c r="I1402" s="2">
        <v>7</v>
      </c>
      <c r="J1402" s="2" t="s">
        <v>3832</v>
      </c>
      <c r="K1402" s="2">
        <v>13440</v>
      </c>
      <c r="L1402" s="35">
        <v>45523296</v>
      </c>
      <c r="M1402" s="36">
        <v>16000</v>
      </c>
      <c r="N1402" s="40">
        <v>1292632.97940292</v>
      </c>
      <c r="O1402" s="40">
        <v>816384.33333333302</v>
      </c>
      <c r="P1402" s="40">
        <v>919247.60539296304</v>
      </c>
      <c r="Q1402" s="40">
        <v>53474.307692307702</v>
      </c>
      <c r="R1402" s="40">
        <v>2482004.9299572501</v>
      </c>
      <c r="S1402" s="40">
        <v>165327.86299467701</v>
      </c>
      <c r="T1402" s="40">
        <v>30000</v>
      </c>
      <c r="U1402" s="40">
        <v>1557900</v>
      </c>
      <c r="V1402" s="40">
        <v>0</v>
      </c>
      <c r="W1402" s="45">
        <v>7316972.0187734496</v>
      </c>
      <c r="X1402" s="46">
        <v>16.073027793887</v>
      </c>
    </row>
    <row r="1403" spans="1:24" s="4" customFormat="1" ht="15" customHeight="1">
      <c r="A1403" s="28" t="s">
        <v>3483</v>
      </c>
      <c r="B1403" s="29">
        <v>3387.15</v>
      </c>
      <c r="C1403" s="30" t="s">
        <v>3830</v>
      </c>
      <c r="D1403" s="2">
        <v>4951411359</v>
      </c>
      <c r="E1403" s="2" t="s">
        <v>14</v>
      </c>
      <c r="F1403" s="2" t="s">
        <v>3831</v>
      </c>
      <c r="G1403" s="28" t="s">
        <v>5</v>
      </c>
      <c r="H1403" s="2" t="s">
        <v>20</v>
      </c>
      <c r="I1403" s="2">
        <v>7</v>
      </c>
      <c r="J1403" s="2" t="s">
        <v>3832</v>
      </c>
      <c r="K1403" s="2">
        <v>3360</v>
      </c>
      <c r="L1403" s="35">
        <v>11380824</v>
      </c>
      <c r="M1403" s="36">
        <v>4000</v>
      </c>
      <c r="N1403" s="40">
        <v>20517.983800046299</v>
      </c>
      <c r="O1403" s="40">
        <v>816384.33333333302</v>
      </c>
      <c r="P1403" s="40">
        <v>14591.231831634301</v>
      </c>
      <c r="Q1403" s="40">
        <v>53474.307692307702</v>
      </c>
      <c r="R1403" s="40">
        <v>39396.903650115099</v>
      </c>
      <c r="S1403" s="40">
        <v>2624.2517935663</v>
      </c>
      <c r="T1403" s="40">
        <v>30000</v>
      </c>
      <c r="U1403" s="40">
        <v>224093.65853658499</v>
      </c>
      <c r="V1403" s="40">
        <v>0</v>
      </c>
      <c r="W1403" s="45">
        <v>1201082.6706375901</v>
      </c>
      <c r="X1403" s="46">
        <v>10.5535651077425</v>
      </c>
    </row>
    <row r="1404" spans="1:24" s="4" customFormat="1" ht="15" customHeight="1">
      <c r="A1404" s="28" t="s">
        <v>3483</v>
      </c>
      <c r="B1404" s="29">
        <v>3387.15</v>
      </c>
      <c r="C1404" s="30" t="s">
        <v>3830</v>
      </c>
      <c r="D1404" s="2">
        <v>4951874488</v>
      </c>
      <c r="E1404" s="2" t="s">
        <v>14</v>
      </c>
      <c r="F1404" s="2" t="s">
        <v>3831</v>
      </c>
      <c r="G1404" s="28" t="s">
        <v>5</v>
      </c>
      <c r="H1404" s="2" t="s">
        <v>20</v>
      </c>
      <c r="I1404" s="2">
        <v>7</v>
      </c>
      <c r="J1404" s="2" t="s">
        <v>3832</v>
      </c>
      <c r="K1404" s="2">
        <v>13440</v>
      </c>
      <c r="L1404" s="35">
        <v>45523296</v>
      </c>
      <c r="M1404" s="36">
        <v>16000</v>
      </c>
      <c r="N1404" s="40">
        <v>46165.463550104098</v>
      </c>
      <c r="O1404" s="40">
        <v>816384.33333333302</v>
      </c>
      <c r="P1404" s="40">
        <v>32830.271621177199</v>
      </c>
      <c r="Q1404" s="40">
        <v>53474.307692307702</v>
      </c>
      <c r="R1404" s="40">
        <v>88643.033212758906</v>
      </c>
      <c r="S1404" s="40">
        <v>5904.5665355241799</v>
      </c>
      <c r="T1404" s="40">
        <v>30000</v>
      </c>
      <c r="U1404" s="40">
        <v>504210.731707317</v>
      </c>
      <c r="V1404" s="40">
        <v>0</v>
      </c>
      <c r="W1404" s="45">
        <v>1577612.7076525199</v>
      </c>
      <c r="X1404" s="46">
        <v>3.4655063369148902</v>
      </c>
    </row>
    <row r="1405" spans="1:24" s="4" customFormat="1" ht="15" customHeight="1">
      <c r="A1405" s="28" t="s">
        <v>3483</v>
      </c>
      <c r="B1405" s="29">
        <v>3387.15</v>
      </c>
      <c r="C1405" s="30" t="s">
        <v>3830</v>
      </c>
      <c r="D1405" s="2">
        <v>4951874487</v>
      </c>
      <c r="E1405" s="2" t="s">
        <v>14</v>
      </c>
      <c r="F1405" s="2" t="s">
        <v>3831</v>
      </c>
      <c r="G1405" s="28" t="s">
        <v>5</v>
      </c>
      <c r="H1405" s="2" t="s">
        <v>20</v>
      </c>
      <c r="I1405" s="2">
        <v>7</v>
      </c>
      <c r="J1405" s="2" t="s">
        <v>3832</v>
      </c>
      <c r="K1405" s="2">
        <v>1792</v>
      </c>
      <c r="L1405" s="35">
        <v>6069772.7999999998</v>
      </c>
      <c r="M1405" s="36">
        <v>800</v>
      </c>
      <c r="N1405" s="40">
        <v>256474.79750057901</v>
      </c>
      <c r="O1405" s="40">
        <v>816384.33333333302</v>
      </c>
      <c r="P1405" s="40">
        <v>182390.39789542899</v>
      </c>
      <c r="Q1405" s="40">
        <v>53474.307692307702</v>
      </c>
      <c r="R1405" s="40">
        <v>492461.29562643898</v>
      </c>
      <c r="S1405" s="40">
        <v>32803.147419578803</v>
      </c>
      <c r="T1405" s="40">
        <v>30000</v>
      </c>
      <c r="U1405" s="40">
        <v>2801170.7317073201</v>
      </c>
      <c r="V1405" s="40">
        <v>0</v>
      </c>
      <c r="W1405" s="45">
        <v>4665159.0111749899</v>
      </c>
      <c r="X1405" s="46">
        <v>76.858873715586</v>
      </c>
    </row>
    <row r="1406" spans="1:24" s="4" customFormat="1" ht="15" customHeight="1">
      <c r="A1406" s="28" t="s">
        <v>3483</v>
      </c>
      <c r="B1406" s="29">
        <v>3387.15</v>
      </c>
      <c r="C1406" s="30" t="s">
        <v>3830</v>
      </c>
      <c r="D1406" s="2">
        <v>4951814728</v>
      </c>
      <c r="E1406" s="2" t="s">
        <v>14</v>
      </c>
      <c r="F1406" s="2" t="s">
        <v>3831</v>
      </c>
      <c r="G1406" s="28" t="s">
        <v>5</v>
      </c>
      <c r="H1406" s="2" t="s">
        <v>20</v>
      </c>
      <c r="I1406" s="2">
        <v>7</v>
      </c>
      <c r="J1406" s="2" t="s">
        <v>3832</v>
      </c>
      <c r="K1406" s="2">
        <v>71232</v>
      </c>
      <c r="L1406" s="35">
        <v>241273468.80000001</v>
      </c>
      <c r="M1406" s="36">
        <v>33600</v>
      </c>
      <c r="N1406" s="40">
        <v>102589.91900023101</v>
      </c>
      <c r="O1406" s="40">
        <v>816384.33333333302</v>
      </c>
      <c r="P1406" s="40">
        <v>72956.159158171606</v>
      </c>
      <c r="Q1406" s="40">
        <v>53474.307692307702</v>
      </c>
      <c r="R1406" s="40">
        <v>196984.518250575</v>
      </c>
      <c r="S1406" s="40">
        <v>13121.2589678315</v>
      </c>
      <c r="T1406" s="40">
        <v>30000</v>
      </c>
      <c r="U1406" s="40">
        <v>1120468.2926829299</v>
      </c>
      <c r="V1406" s="40">
        <v>0</v>
      </c>
      <c r="W1406" s="45">
        <v>2405978.7890853798</v>
      </c>
      <c r="X1406" s="46">
        <v>0.99719989978665202</v>
      </c>
    </row>
    <row r="1407" spans="1:24" s="4" customFormat="1" ht="15" customHeight="1">
      <c r="A1407" s="28" t="s">
        <v>3483</v>
      </c>
      <c r="B1407" s="29">
        <v>3387.15</v>
      </c>
      <c r="C1407" s="30" t="s">
        <v>3830</v>
      </c>
      <c r="D1407" s="2">
        <v>4951873560</v>
      </c>
      <c r="E1407" s="2" t="s">
        <v>14</v>
      </c>
      <c r="F1407" s="2" t="s">
        <v>3831</v>
      </c>
      <c r="G1407" s="28" t="s">
        <v>5</v>
      </c>
      <c r="H1407" s="2" t="s">
        <v>20</v>
      </c>
      <c r="I1407" s="2">
        <v>7</v>
      </c>
      <c r="J1407" s="2" t="s">
        <v>3832</v>
      </c>
      <c r="K1407" s="2">
        <v>17647.7</v>
      </c>
      <c r="L1407" s="35">
        <v>59775407.055</v>
      </c>
      <c r="M1407" s="36">
        <v>1200</v>
      </c>
      <c r="N1407" s="40">
        <v>102589.91900023101</v>
      </c>
      <c r="O1407" s="40">
        <v>816384.33333333302</v>
      </c>
      <c r="P1407" s="40">
        <v>72956.159158171606</v>
      </c>
      <c r="Q1407" s="40">
        <v>53474.307692307702</v>
      </c>
      <c r="R1407" s="40">
        <v>196984.518250575</v>
      </c>
      <c r="S1407" s="40">
        <v>13121.2589678315</v>
      </c>
      <c r="T1407" s="40">
        <v>30000</v>
      </c>
      <c r="U1407" s="40">
        <v>1120468.2926829299</v>
      </c>
      <c r="V1407" s="40">
        <v>0</v>
      </c>
      <c r="W1407" s="45">
        <v>2405978.7890853798</v>
      </c>
      <c r="X1407" s="46">
        <v>4.0250312086902396</v>
      </c>
    </row>
    <row r="1408" spans="1:24" s="4" customFormat="1" ht="15" customHeight="1">
      <c r="A1408" s="28" t="s">
        <v>3483</v>
      </c>
      <c r="B1408" s="29">
        <v>3387.15</v>
      </c>
      <c r="C1408" s="30" t="s">
        <v>3830</v>
      </c>
      <c r="D1408" s="2">
        <v>4951873560</v>
      </c>
      <c r="E1408" s="2" t="s">
        <v>14</v>
      </c>
      <c r="F1408" s="2" t="s">
        <v>3831</v>
      </c>
      <c r="G1408" s="28" t="s">
        <v>5</v>
      </c>
      <c r="H1408" s="2" t="s">
        <v>20</v>
      </c>
      <c r="I1408" s="2">
        <v>7</v>
      </c>
      <c r="J1408" s="2" t="s">
        <v>3832</v>
      </c>
      <c r="K1408" s="2">
        <v>6662.7</v>
      </c>
      <c r="L1408" s="35">
        <v>22567564.305</v>
      </c>
      <c r="M1408" s="36">
        <v>825</v>
      </c>
      <c r="N1408" s="40">
        <v>30776.975700069401</v>
      </c>
      <c r="O1408" s="40">
        <v>816384.33333333302</v>
      </c>
      <c r="P1408" s="40">
        <v>21886.847747451498</v>
      </c>
      <c r="Q1408" s="40">
        <v>53474.307692307702</v>
      </c>
      <c r="R1408" s="40">
        <v>59095.355475172597</v>
      </c>
      <c r="S1408" s="40">
        <v>3936.37769034946</v>
      </c>
      <c r="T1408" s="40">
        <v>30000</v>
      </c>
      <c r="U1408" s="40">
        <v>336140.48780487798</v>
      </c>
      <c r="V1408" s="40">
        <v>0</v>
      </c>
      <c r="W1408" s="45">
        <v>1351694.6854435599</v>
      </c>
      <c r="X1408" s="46">
        <v>5.9895461786458002</v>
      </c>
    </row>
    <row r="1409" spans="1:24" s="4" customFormat="1" ht="15" customHeight="1">
      <c r="A1409" s="28" t="s">
        <v>3483</v>
      </c>
      <c r="B1409" s="29">
        <v>3387.15</v>
      </c>
      <c r="C1409" s="30" t="s">
        <v>3830</v>
      </c>
      <c r="D1409" s="2">
        <v>4951873560</v>
      </c>
      <c r="E1409" s="2" t="s">
        <v>14</v>
      </c>
      <c r="F1409" s="2" t="s">
        <v>3831</v>
      </c>
      <c r="G1409" s="28" t="s">
        <v>5</v>
      </c>
      <c r="H1409" s="2" t="s">
        <v>20</v>
      </c>
      <c r="I1409" s="2">
        <v>7</v>
      </c>
      <c r="J1409" s="2" t="s">
        <v>3832</v>
      </c>
      <c r="K1409" s="2">
        <v>4292</v>
      </c>
      <c r="L1409" s="35">
        <v>14537647.800000001</v>
      </c>
      <c r="M1409" s="36">
        <v>1000</v>
      </c>
      <c r="N1409" s="40">
        <v>21159.170793797701</v>
      </c>
      <c r="O1409" s="40">
        <v>816384.33333333302</v>
      </c>
      <c r="P1409" s="40">
        <v>15047.2078263729</v>
      </c>
      <c r="Q1409" s="40">
        <v>53474.307692307702</v>
      </c>
      <c r="R1409" s="40">
        <v>40628.0568891812</v>
      </c>
      <c r="S1409" s="40">
        <v>2706.2596621152502</v>
      </c>
      <c r="T1409" s="40">
        <v>30000</v>
      </c>
      <c r="U1409" s="40">
        <v>231096.585365854</v>
      </c>
      <c r="V1409" s="40">
        <v>0</v>
      </c>
      <c r="W1409" s="45">
        <v>1210495.9215629599</v>
      </c>
      <c r="X1409" s="46">
        <v>8.3266284767399696</v>
      </c>
    </row>
    <row r="1410" spans="1:24" s="4" customFormat="1" ht="15" customHeight="1">
      <c r="A1410" s="28" t="s">
        <v>3483</v>
      </c>
      <c r="B1410" s="29">
        <v>3387.15</v>
      </c>
      <c r="C1410" s="30" t="s">
        <v>3830</v>
      </c>
      <c r="D1410" s="2">
        <v>4951873560</v>
      </c>
      <c r="E1410" s="2" t="s">
        <v>14</v>
      </c>
      <c r="F1410" s="2" t="s">
        <v>3831</v>
      </c>
      <c r="G1410" s="28" t="s">
        <v>5</v>
      </c>
      <c r="H1410" s="2" t="s">
        <v>20</v>
      </c>
      <c r="I1410" s="2">
        <v>7</v>
      </c>
      <c r="J1410" s="2" t="s">
        <v>3832</v>
      </c>
      <c r="K1410" s="2">
        <v>2838</v>
      </c>
      <c r="L1410" s="35">
        <v>9612731.6999999993</v>
      </c>
      <c r="M1410" s="36">
        <v>1000</v>
      </c>
      <c r="N1410" s="40">
        <v>25647.479750057901</v>
      </c>
      <c r="O1410" s="40">
        <v>816384.33333333302</v>
      </c>
      <c r="P1410" s="40">
        <v>18239.039789542901</v>
      </c>
      <c r="Q1410" s="40">
        <v>53474.307692307702</v>
      </c>
      <c r="R1410" s="40">
        <v>49246.129562643902</v>
      </c>
      <c r="S1410" s="40">
        <v>3280.31474195788</v>
      </c>
      <c r="T1410" s="40">
        <v>30000</v>
      </c>
      <c r="U1410" s="40">
        <v>280117.07317073201</v>
      </c>
      <c r="V1410" s="40">
        <v>0</v>
      </c>
      <c r="W1410" s="45">
        <v>1276388.6780405799</v>
      </c>
      <c r="X1410" s="46">
        <v>13.278105723481</v>
      </c>
    </row>
    <row r="1411" spans="1:24" s="4" customFormat="1" ht="15" customHeight="1">
      <c r="A1411" s="28" t="s">
        <v>3483</v>
      </c>
      <c r="B1411" s="29">
        <v>3387.15</v>
      </c>
      <c r="C1411" s="30" t="s">
        <v>3830</v>
      </c>
      <c r="D1411" s="2">
        <v>4951873560</v>
      </c>
      <c r="E1411" s="2" t="s">
        <v>14</v>
      </c>
      <c r="F1411" s="2" t="s">
        <v>3831</v>
      </c>
      <c r="G1411" s="28" t="s">
        <v>5</v>
      </c>
      <c r="H1411" s="2" t="s">
        <v>20</v>
      </c>
      <c r="I1411" s="2">
        <v>7</v>
      </c>
      <c r="J1411" s="2" t="s">
        <v>3832</v>
      </c>
      <c r="K1411" s="2">
        <v>3855</v>
      </c>
      <c r="L1411" s="35">
        <v>13057463.25</v>
      </c>
      <c r="M1411" s="36">
        <v>1000</v>
      </c>
      <c r="N1411" s="40">
        <v>25647.479750057901</v>
      </c>
      <c r="O1411" s="40">
        <v>816384.33333333302</v>
      </c>
      <c r="P1411" s="40">
        <v>18239.039789542901</v>
      </c>
      <c r="Q1411" s="40">
        <v>53474.307692307702</v>
      </c>
      <c r="R1411" s="40">
        <v>49246.129562643902</v>
      </c>
      <c r="S1411" s="40">
        <v>3280.31474195788</v>
      </c>
      <c r="T1411" s="40">
        <v>30000</v>
      </c>
      <c r="U1411" s="40">
        <v>280117.07317073201</v>
      </c>
      <c r="V1411" s="40">
        <v>0</v>
      </c>
      <c r="W1411" s="45">
        <v>1276388.6780405799</v>
      </c>
      <c r="X1411" s="46">
        <v>9.7751657699712506</v>
      </c>
    </row>
    <row r="1412" spans="1:24" s="4" customFormat="1" ht="15" customHeight="1">
      <c r="A1412" s="28" t="s">
        <v>3483</v>
      </c>
      <c r="B1412" s="29">
        <v>3387.15</v>
      </c>
      <c r="C1412" s="30" t="s">
        <v>3830</v>
      </c>
      <c r="D1412" s="2">
        <v>4951874489</v>
      </c>
      <c r="E1412" s="2" t="s">
        <v>14</v>
      </c>
      <c r="F1412" s="2" t="s">
        <v>3831</v>
      </c>
      <c r="G1412" s="28" t="s">
        <v>5</v>
      </c>
      <c r="H1412" s="2" t="s">
        <v>20</v>
      </c>
      <c r="I1412" s="2">
        <v>7</v>
      </c>
      <c r="J1412" s="2" t="s">
        <v>3832</v>
      </c>
      <c r="K1412" s="2">
        <v>5877</v>
      </c>
      <c r="L1412" s="35">
        <v>19906280.550000001</v>
      </c>
      <c r="M1412" s="36">
        <v>1800</v>
      </c>
      <c r="N1412" s="40">
        <v>25647.479750057901</v>
      </c>
      <c r="O1412" s="40">
        <v>816384.33333333302</v>
      </c>
      <c r="P1412" s="40">
        <v>18239.039789542901</v>
      </c>
      <c r="Q1412" s="40">
        <v>53474.307692307702</v>
      </c>
      <c r="R1412" s="40">
        <v>49246.129562643902</v>
      </c>
      <c r="S1412" s="40">
        <v>3280.31474195788</v>
      </c>
      <c r="T1412" s="40">
        <v>30000</v>
      </c>
      <c r="U1412" s="40">
        <v>280117.07317073201</v>
      </c>
      <c r="V1412" s="40">
        <v>0</v>
      </c>
      <c r="W1412" s="45">
        <v>1276388.6780405799</v>
      </c>
      <c r="X1412" s="46">
        <v>6.4119897980668998</v>
      </c>
    </row>
    <row r="1413" spans="1:24" s="4" customFormat="1" ht="15" customHeight="1">
      <c r="A1413" s="28" t="s">
        <v>3483</v>
      </c>
      <c r="B1413" s="29">
        <v>3387.15</v>
      </c>
      <c r="C1413" s="30" t="s">
        <v>3833</v>
      </c>
      <c r="D1413" s="2">
        <v>4952083921</v>
      </c>
      <c r="E1413" s="2" t="s">
        <v>14</v>
      </c>
      <c r="F1413" s="2" t="s">
        <v>3831</v>
      </c>
      <c r="G1413" s="28" t="s">
        <v>5</v>
      </c>
      <c r="H1413" s="2" t="s">
        <v>20</v>
      </c>
      <c r="I1413" s="2">
        <v>1</v>
      </c>
      <c r="J1413" s="2" t="s">
        <v>3832</v>
      </c>
      <c r="K1413" s="2">
        <v>25400</v>
      </c>
      <c r="L1413" s="35">
        <v>86033610</v>
      </c>
      <c r="M1413" s="36">
        <v>10000</v>
      </c>
      <c r="N1413" s="40">
        <v>200221.169677117</v>
      </c>
      <c r="O1413" s="40">
        <v>349879</v>
      </c>
      <c r="P1413" s="40">
        <v>0</v>
      </c>
      <c r="Q1413" s="40">
        <v>110000</v>
      </c>
      <c r="R1413" s="40">
        <v>573732.18530650402</v>
      </c>
      <c r="S1413" s="40">
        <v>208932.40992044899</v>
      </c>
      <c r="T1413" s="40">
        <v>30000</v>
      </c>
      <c r="U1413" s="40">
        <v>2839598.9705194202</v>
      </c>
      <c r="V1413" s="40">
        <v>0</v>
      </c>
      <c r="W1413" s="45">
        <v>4312363.7354234904</v>
      </c>
      <c r="X1413" s="46">
        <v>5.0124175138338298</v>
      </c>
    </row>
    <row r="1414" spans="1:24" s="4" customFormat="1" ht="15" customHeight="1">
      <c r="A1414" s="28" t="s">
        <v>3483</v>
      </c>
      <c r="B1414" s="29">
        <v>3387.15</v>
      </c>
      <c r="C1414" s="30" t="s">
        <v>3834</v>
      </c>
      <c r="D1414" s="2">
        <v>4952110327</v>
      </c>
      <c r="E1414" s="2" t="s">
        <v>14</v>
      </c>
      <c r="F1414" s="2" t="s">
        <v>3835</v>
      </c>
      <c r="G1414" s="28" t="s">
        <v>9</v>
      </c>
      <c r="H1414" s="2" t="s">
        <v>23</v>
      </c>
      <c r="I1414" s="2">
        <v>2</v>
      </c>
      <c r="J1414" s="2"/>
      <c r="K1414" s="2">
        <v>3511.2</v>
      </c>
      <c r="L1414" s="35">
        <v>11892961.08</v>
      </c>
      <c r="M1414" s="36">
        <v>1520</v>
      </c>
      <c r="N1414" s="40">
        <v>580444</v>
      </c>
      <c r="O1414" s="40">
        <v>1167</v>
      </c>
      <c r="P1414" s="40">
        <v>35914</v>
      </c>
      <c r="Q1414" s="40">
        <v>27105</v>
      </c>
      <c r="R1414" s="40">
        <v>114483</v>
      </c>
      <c r="S1414" s="40">
        <v>354356</v>
      </c>
      <c r="T1414" s="40">
        <v>30000</v>
      </c>
      <c r="U1414" s="40">
        <v>1267624.3902439</v>
      </c>
      <c r="V1414" s="40">
        <v>0</v>
      </c>
      <c r="W1414" s="45">
        <v>2411093.3902439</v>
      </c>
      <c r="X1414" s="46">
        <v>20.273280758469401</v>
      </c>
    </row>
    <row r="1415" spans="1:24" s="4" customFormat="1" ht="15" customHeight="1">
      <c r="A1415" s="28" t="s">
        <v>3483</v>
      </c>
      <c r="B1415" s="29">
        <v>3387.15</v>
      </c>
      <c r="C1415" s="30" t="s">
        <v>3839</v>
      </c>
      <c r="D1415" s="2">
        <v>4952250001</v>
      </c>
      <c r="E1415" s="2" t="s">
        <v>14</v>
      </c>
      <c r="F1415" s="2" t="s">
        <v>3840</v>
      </c>
      <c r="G1415" s="28" t="s">
        <v>9</v>
      </c>
      <c r="H1415" s="2" t="s">
        <v>23</v>
      </c>
      <c r="I1415" s="2">
        <v>1</v>
      </c>
      <c r="J1415" s="2"/>
      <c r="K1415" s="2">
        <v>5394</v>
      </c>
      <c r="L1415" s="35">
        <v>18270287.100000001</v>
      </c>
      <c r="M1415" s="36">
        <v>120</v>
      </c>
      <c r="N1415" s="40">
        <v>460479</v>
      </c>
      <c r="O1415" s="40">
        <v>103</v>
      </c>
      <c r="P1415" s="40">
        <v>2953</v>
      </c>
      <c r="Q1415" s="40">
        <v>2246</v>
      </c>
      <c r="R1415" s="40">
        <v>90845</v>
      </c>
      <c r="S1415" s="40">
        <v>354356</v>
      </c>
      <c r="T1415" s="40">
        <v>30000</v>
      </c>
      <c r="U1415" s="40">
        <v>100075.609756098</v>
      </c>
      <c r="V1415" s="40">
        <v>0</v>
      </c>
      <c r="W1415" s="45">
        <v>1041057.6097561</v>
      </c>
      <c r="X1415" s="46">
        <v>5.6980911359411399</v>
      </c>
    </row>
    <row r="1416" spans="1:24" s="4" customFormat="1" ht="15" customHeight="1">
      <c r="A1416" s="28" t="s">
        <v>3483</v>
      </c>
      <c r="B1416" s="29">
        <v>3387.15</v>
      </c>
      <c r="C1416" s="30" t="s">
        <v>3861</v>
      </c>
      <c r="D1416" s="2">
        <v>4952346178</v>
      </c>
      <c r="E1416" s="2" t="s">
        <v>14</v>
      </c>
      <c r="F1416" s="2" t="s">
        <v>3862</v>
      </c>
      <c r="G1416" s="28" t="s">
        <v>5</v>
      </c>
      <c r="H1416" s="2" t="s">
        <v>20</v>
      </c>
      <c r="I1416" s="2">
        <v>1</v>
      </c>
      <c r="J1416" s="2" t="s">
        <v>3863</v>
      </c>
      <c r="K1416" s="2">
        <v>27000</v>
      </c>
      <c r="L1416" s="35">
        <v>91453050</v>
      </c>
      <c r="M1416" s="36">
        <v>18000</v>
      </c>
      <c r="N1416" s="40">
        <v>403568</v>
      </c>
      <c r="O1416" s="40">
        <v>349879</v>
      </c>
      <c r="P1416" s="40">
        <v>226216</v>
      </c>
      <c r="Q1416" s="40">
        <v>110000</v>
      </c>
      <c r="R1416" s="40">
        <v>659281</v>
      </c>
      <c r="S1416" s="40">
        <v>354356</v>
      </c>
      <c r="T1416" s="40">
        <v>30000</v>
      </c>
      <c r="U1416" s="40">
        <v>0</v>
      </c>
      <c r="V1416" s="40">
        <v>0</v>
      </c>
      <c r="W1416" s="45">
        <v>2133300</v>
      </c>
      <c r="X1416" s="46">
        <v>2.3326723384293899</v>
      </c>
    </row>
    <row r="1417" spans="1:24" s="4" customFormat="1" ht="15" customHeight="1">
      <c r="A1417" s="28" t="s">
        <v>3483</v>
      </c>
      <c r="B1417" s="29">
        <v>3387.15</v>
      </c>
      <c r="C1417" s="30" t="s">
        <v>3864</v>
      </c>
      <c r="D1417" s="2">
        <v>4952244844</v>
      </c>
      <c r="E1417" s="2" t="s">
        <v>14</v>
      </c>
      <c r="F1417" s="2" t="s">
        <v>3865</v>
      </c>
      <c r="G1417" s="28" t="s">
        <v>5</v>
      </c>
      <c r="H1417" s="2" t="s">
        <v>20</v>
      </c>
      <c r="I1417" s="2">
        <v>1</v>
      </c>
      <c r="J1417" s="2" t="s">
        <v>3866</v>
      </c>
      <c r="K1417" s="2">
        <v>1926.25</v>
      </c>
      <c r="L1417" s="35">
        <v>6524497.6875</v>
      </c>
      <c r="M1417" s="36">
        <v>125</v>
      </c>
      <c r="N1417" s="40">
        <v>11007.210446631299</v>
      </c>
      <c r="O1417" s="40">
        <v>49982.714285714297</v>
      </c>
      <c r="P1417" s="40">
        <v>0</v>
      </c>
      <c r="Q1417" s="40">
        <v>15714.285714285699</v>
      </c>
      <c r="R1417" s="40">
        <v>14696.0635881908</v>
      </c>
      <c r="S1417" s="40">
        <v>6706.2074186222599</v>
      </c>
      <c r="T1417" s="40">
        <v>30000</v>
      </c>
      <c r="U1417" s="40">
        <v>54888.342165026501</v>
      </c>
      <c r="V1417" s="40">
        <v>0</v>
      </c>
      <c r="W1417" s="45">
        <v>182994.82361847101</v>
      </c>
      <c r="X1417" s="46">
        <v>2.8047342858142601</v>
      </c>
    </row>
    <row r="1418" spans="1:24" s="4" customFormat="1" ht="15" customHeight="1">
      <c r="A1418" s="28" t="s">
        <v>3483</v>
      </c>
      <c r="B1418" s="29">
        <v>3387.15</v>
      </c>
      <c r="C1418" s="30" t="s">
        <v>3864</v>
      </c>
      <c r="D1418" s="2">
        <v>4952270617</v>
      </c>
      <c r="E1418" s="2" t="s">
        <v>14</v>
      </c>
      <c r="F1418" s="2" t="s">
        <v>3865</v>
      </c>
      <c r="G1418" s="28" t="s">
        <v>5</v>
      </c>
      <c r="H1418" s="2" t="s">
        <v>20</v>
      </c>
      <c r="I1418" s="2">
        <v>1</v>
      </c>
      <c r="J1418" s="2" t="s">
        <v>3866</v>
      </c>
      <c r="K1418" s="2">
        <v>4560</v>
      </c>
      <c r="L1418" s="35">
        <v>15445404</v>
      </c>
      <c r="M1418" s="36">
        <v>1500</v>
      </c>
      <c r="N1418" s="40">
        <v>132086.52535957599</v>
      </c>
      <c r="O1418" s="40">
        <v>49982.714285714297</v>
      </c>
      <c r="P1418" s="40">
        <v>0</v>
      </c>
      <c r="Q1418" s="40">
        <v>15714.285714285699</v>
      </c>
      <c r="R1418" s="40">
        <v>176352.76305828901</v>
      </c>
      <c r="S1418" s="40">
        <v>80474.489023467104</v>
      </c>
      <c r="T1418" s="40">
        <v>30000</v>
      </c>
      <c r="U1418" s="40">
        <v>658660.10598031804</v>
      </c>
      <c r="V1418" s="40">
        <v>0</v>
      </c>
      <c r="W1418" s="45">
        <v>1143270.8834216499</v>
      </c>
      <c r="X1418" s="46">
        <v>7.4020134625267797</v>
      </c>
    </row>
    <row r="1419" spans="1:24" s="4" customFormat="1" ht="15" customHeight="1">
      <c r="A1419" s="28" t="s">
        <v>3483</v>
      </c>
      <c r="B1419" s="29">
        <v>3387.15</v>
      </c>
      <c r="C1419" s="30" t="s">
        <v>3864</v>
      </c>
      <c r="D1419" s="2">
        <v>4952461126</v>
      </c>
      <c r="E1419" s="2" t="s">
        <v>14</v>
      </c>
      <c r="F1419" s="2" t="s">
        <v>3865</v>
      </c>
      <c r="G1419" s="28" t="s">
        <v>5</v>
      </c>
      <c r="H1419" s="2" t="s">
        <v>20</v>
      </c>
      <c r="I1419" s="2">
        <v>1</v>
      </c>
      <c r="J1419" s="2" t="s">
        <v>3866</v>
      </c>
      <c r="K1419" s="2">
        <v>4382</v>
      </c>
      <c r="L1419" s="35">
        <v>14842491.300000001</v>
      </c>
      <c r="M1419" s="36">
        <v>1400</v>
      </c>
      <c r="N1419" s="40">
        <v>123280.757002271</v>
      </c>
      <c r="O1419" s="40">
        <v>49982.714285714297</v>
      </c>
      <c r="P1419" s="40">
        <v>0</v>
      </c>
      <c r="Q1419" s="40">
        <v>15714.285714285699</v>
      </c>
      <c r="R1419" s="40">
        <v>164595.91218773701</v>
      </c>
      <c r="S1419" s="40">
        <v>75109.523088569302</v>
      </c>
      <c r="T1419" s="40">
        <v>30000</v>
      </c>
      <c r="U1419" s="40">
        <v>614749.43224829703</v>
      </c>
      <c r="V1419" s="40">
        <v>0</v>
      </c>
      <c r="W1419" s="45">
        <v>1073432.62452687</v>
      </c>
      <c r="X1419" s="46">
        <v>7.2321593648289602</v>
      </c>
    </row>
    <row r="1420" spans="1:24" s="4" customFormat="1" ht="15" customHeight="1">
      <c r="A1420" s="28" t="s">
        <v>3483</v>
      </c>
      <c r="B1420" s="29">
        <v>3387.15</v>
      </c>
      <c r="C1420" s="30" t="s">
        <v>3864</v>
      </c>
      <c r="D1420" s="2">
        <v>4952461126</v>
      </c>
      <c r="E1420" s="2" t="s">
        <v>14</v>
      </c>
      <c r="F1420" s="2" t="s">
        <v>3865</v>
      </c>
      <c r="G1420" s="28" t="s">
        <v>5</v>
      </c>
      <c r="H1420" s="2" t="s">
        <v>20</v>
      </c>
      <c r="I1420" s="2">
        <v>1</v>
      </c>
      <c r="J1420" s="2" t="s">
        <v>3866</v>
      </c>
      <c r="K1420" s="2">
        <v>13840.2</v>
      </c>
      <c r="L1420" s="35">
        <v>46878833.43</v>
      </c>
      <c r="M1420" s="36">
        <v>1980</v>
      </c>
      <c r="N1420" s="40">
        <v>174354.21347464001</v>
      </c>
      <c r="O1420" s="40">
        <v>49982.714285714297</v>
      </c>
      <c r="P1420" s="40">
        <v>0</v>
      </c>
      <c r="Q1420" s="40">
        <v>15714.285714285699</v>
      </c>
      <c r="R1420" s="40">
        <v>232785.64723694199</v>
      </c>
      <c r="S1420" s="40">
        <v>106226.325510977</v>
      </c>
      <c r="T1420" s="40">
        <v>30000</v>
      </c>
      <c r="U1420" s="40">
        <v>869431.33989402</v>
      </c>
      <c r="V1420" s="40">
        <v>0</v>
      </c>
      <c r="W1420" s="45">
        <v>1478494.52611658</v>
      </c>
      <c r="X1420" s="46">
        <v>3.1538637332438801</v>
      </c>
    </row>
    <row r="1421" spans="1:24" s="4" customFormat="1" ht="15" customHeight="1">
      <c r="A1421" s="28" t="s">
        <v>3483</v>
      </c>
      <c r="B1421" s="29">
        <v>3387.15</v>
      </c>
      <c r="C1421" s="30" t="s">
        <v>3864</v>
      </c>
      <c r="D1421" s="2">
        <v>4952461126</v>
      </c>
      <c r="E1421" s="2" t="s">
        <v>14</v>
      </c>
      <c r="F1421" s="2" t="s">
        <v>3865</v>
      </c>
      <c r="G1421" s="28" t="s">
        <v>5</v>
      </c>
      <c r="H1421" s="2" t="s">
        <v>20</v>
      </c>
      <c r="I1421" s="2">
        <v>1</v>
      </c>
      <c r="J1421" s="2" t="s">
        <v>3866</v>
      </c>
      <c r="K1421" s="2">
        <v>1925</v>
      </c>
      <c r="L1421" s="35">
        <v>6520263.75</v>
      </c>
      <c r="M1421" s="36">
        <v>350</v>
      </c>
      <c r="N1421" s="40">
        <v>30820.189250567699</v>
      </c>
      <c r="O1421" s="40">
        <v>49982.714285714297</v>
      </c>
      <c r="P1421" s="40">
        <v>0</v>
      </c>
      <c r="Q1421" s="40">
        <v>15714.285714285699</v>
      </c>
      <c r="R1421" s="40">
        <v>41148.978046934099</v>
      </c>
      <c r="S1421" s="40">
        <v>18777.3807721423</v>
      </c>
      <c r="T1421" s="40">
        <v>30000</v>
      </c>
      <c r="U1421" s="40">
        <v>153687.358062074</v>
      </c>
      <c r="V1421" s="40">
        <v>0</v>
      </c>
      <c r="W1421" s="45">
        <v>340130.90613171802</v>
      </c>
      <c r="X1421" s="46">
        <v>5.2165206680744802</v>
      </c>
    </row>
    <row r="1422" spans="1:24" s="4" customFormat="1" ht="15" customHeight="1">
      <c r="A1422" s="28" t="s">
        <v>3483</v>
      </c>
      <c r="B1422" s="29">
        <v>3387.15</v>
      </c>
      <c r="C1422" s="30" t="s">
        <v>3864</v>
      </c>
      <c r="D1422" s="2">
        <v>4952461126</v>
      </c>
      <c r="E1422" s="2" t="s">
        <v>14</v>
      </c>
      <c r="F1422" s="2" t="s">
        <v>3865</v>
      </c>
      <c r="G1422" s="28" t="s">
        <v>5</v>
      </c>
      <c r="H1422" s="2" t="s">
        <v>20</v>
      </c>
      <c r="I1422" s="2">
        <v>1</v>
      </c>
      <c r="J1422" s="2" t="s">
        <v>3866</v>
      </c>
      <c r="K1422" s="2">
        <v>2919</v>
      </c>
      <c r="L1422" s="35">
        <v>9887090.8499999996</v>
      </c>
      <c r="M1422" s="36">
        <v>350</v>
      </c>
      <c r="N1422" s="40">
        <v>30820.189250567699</v>
      </c>
      <c r="O1422" s="40">
        <v>49982.714285714297</v>
      </c>
      <c r="P1422" s="40">
        <v>0</v>
      </c>
      <c r="Q1422" s="40">
        <v>15714.285714285699</v>
      </c>
      <c r="R1422" s="40">
        <v>41148.978046934099</v>
      </c>
      <c r="S1422" s="40">
        <v>18777.3807721423</v>
      </c>
      <c r="T1422" s="40">
        <v>30000</v>
      </c>
      <c r="U1422" s="40">
        <v>153687.358062074</v>
      </c>
      <c r="V1422" s="40">
        <v>0</v>
      </c>
      <c r="W1422" s="45">
        <v>340130.90613171802</v>
      </c>
      <c r="X1422" s="46">
        <v>3.4401515197133898</v>
      </c>
    </row>
    <row r="1423" spans="1:24" s="4" customFormat="1" ht="15" customHeight="1">
      <c r="A1423" s="28" t="s">
        <v>3483</v>
      </c>
      <c r="B1423" s="29">
        <v>3387.15</v>
      </c>
      <c r="C1423" s="30" t="s">
        <v>3864</v>
      </c>
      <c r="D1423" s="2">
        <v>4951798434</v>
      </c>
      <c r="E1423" s="2" t="s">
        <v>14</v>
      </c>
      <c r="F1423" s="2" t="s">
        <v>3865</v>
      </c>
      <c r="G1423" s="28" t="s">
        <v>5</v>
      </c>
      <c r="H1423" s="2" t="s">
        <v>20</v>
      </c>
      <c r="I1423" s="2">
        <v>1</v>
      </c>
      <c r="J1423" s="2" t="s">
        <v>3866</v>
      </c>
      <c r="K1423" s="2">
        <v>3681</v>
      </c>
      <c r="L1423" s="35">
        <v>12468099.15</v>
      </c>
      <c r="M1423" s="36">
        <v>900</v>
      </c>
      <c r="N1423" s="40">
        <v>79251.915215745597</v>
      </c>
      <c r="O1423" s="40">
        <v>49982.714285714297</v>
      </c>
      <c r="P1423" s="40">
        <v>0</v>
      </c>
      <c r="Q1423" s="40">
        <v>15714.285714285699</v>
      </c>
      <c r="R1423" s="40">
        <v>105811.657834973</v>
      </c>
      <c r="S1423" s="40">
        <v>48284.693414080197</v>
      </c>
      <c r="T1423" s="40">
        <v>30000</v>
      </c>
      <c r="U1423" s="40">
        <v>395196.063588191</v>
      </c>
      <c r="V1423" s="40">
        <v>0</v>
      </c>
      <c r="W1423" s="45">
        <v>724241.33005299</v>
      </c>
      <c r="X1423" s="46">
        <v>5.8087549781234298</v>
      </c>
    </row>
    <row r="1424" spans="1:24" s="4" customFormat="1" ht="15" customHeight="1">
      <c r="A1424" s="28" t="s">
        <v>3483</v>
      </c>
      <c r="B1424" s="29">
        <v>3387.15</v>
      </c>
      <c r="C1424" s="30" t="s">
        <v>3867</v>
      </c>
      <c r="D1424" s="2">
        <v>4952102835</v>
      </c>
      <c r="E1424" s="2" t="s">
        <v>14</v>
      </c>
      <c r="F1424" s="2" t="s">
        <v>3868</v>
      </c>
      <c r="G1424" s="28" t="s">
        <v>5</v>
      </c>
      <c r="H1424" s="2" t="s">
        <v>26</v>
      </c>
      <c r="I1424" s="2">
        <v>1</v>
      </c>
      <c r="J1424" s="2" t="s">
        <v>3869</v>
      </c>
      <c r="K1424" s="2">
        <v>31858</v>
      </c>
      <c r="L1424" s="35">
        <v>107907824.7</v>
      </c>
      <c r="M1424" s="36">
        <v>18740</v>
      </c>
      <c r="N1424" s="40">
        <v>341597</v>
      </c>
      <c r="O1424" s="40">
        <v>387991</v>
      </c>
      <c r="P1424" s="40">
        <v>1822420</v>
      </c>
      <c r="Q1424" s="40">
        <v>113164</v>
      </c>
      <c r="R1424" s="40">
        <v>734899</v>
      </c>
      <c r="S1424" s="40">
        <v>354356</v>
      </c>
      <c r="T1424" s="40">
        <v>30000</v>
      </c>
      <c r="U1424" s="40">
        <v>0</v>
      </c>
      <c r="V1424" s="40">
        <v>0</v>
      </c>
      <c r="W1424" s="45">
        <v>3784427</v>
      </c>
      <c r="X1424" s="46">
        <v>3.5070922896660002</v>
      </c>
    </row>
    <row r="1425" spans="1:24" s="4" customFormat="1" ht="15" customHeight="1">
      <c r="A1425" s="28" t="s">
        <v>3483</v>
      </c>
      <c r="B1425" s="29">
        <v>3387.15</v>
      </c>
      <c r="C1425" s="30" t="s">
        <v>3870</v>
      </c>
      <c r="D1425" s="2">
        <v>4951798410</v>
      </c>
      <c r="E1425" s="2" t="s">
        <v>14</v>
      </c>
      <c r="F1425" s="2" t="s">
        <v>3871</v>
      </c>
      <c r="G1425" s="28" t="s">
        <v>5</v>
      </c>
      <c r="H1425" s="2" t="s">
        <v>20</v>
      </c>
      <c r="I1425" s="2">
        <v>1</v>
      </c>
      <c r="J1425" s="2" t="s">
        <v>3872</v>
      </c>
      <c r="K1425" s="2">
        <v>21128</v>
      </c>
      <c r="L1425" s="35">
        <v>71563705.200000003</v>
      </c>
      <c r="M1425" s="36">
        <v>3800</v>
      </c>
      <c r="N1425" s="40">
        <v>247321.42857142899</v>
      </c>
      <c r="O1425" s="40">
        <v>116626.33333333299</v>
      </c>
      <c r="P1425" s="40">
        <v>80791.428571428594</v>
      </c>
      <c r="Q1425" s="40">
        <v>36666.666666666701</v>
      </c>
      <c r="R1425" s="40">
        <v>339427.85714285698</v>
      </c>
      <c r="S1425" s="40">
        <v>253111.42857142899</v>
      </c>
      <c r="T1425" s="40">
        <v>30000</v>
      </c>
      <c r="U1425" s="40">
        <v>2071642.8571428601</v>
      </c>
      <c r="V1425" s="40">
        <v>0</v>
      </c>
      <c r="W1425" s="45">
        <v>3175588</v>
      </c>
      <c r="X1425" s="46">
        <v>4.4374281503803399</v>
      </c>
    </row>
    <row r="1426" spans="1:24" s="4" customFormat="1" ht="15" customHeight="1">
      <c r="A1426" s="28" t="s">
        <v>3483</v>
      </c>
      <c r="B1426" s="29">
        <v>3387.15</v>
      </c>
      <c r="C1426" s="30" t="s">
        <v>3870</v>
      </c>
      <c r="D1426" s="2">
        <v>4951798439</v>
      </c>
      <c r="E1426" s="2" t="s">
        <v>14</v>
      </c>
      <c r="F1426" s="2" t="s">
        <v>3871</v>
      </c>
      <c r="G1426" s="28" t="s">
        <v>5</v>
      </c>
      <c r="H1426" s="2" t="s">
        <v>20</v>
      </c>
      <c r="I1426" s="2">
        <v>1</v>
      </c>
      <c r="J1426" s="2" t="s">
        <v>3872</v>
      </c>
      <c r="K1426" s="2">
        <v>3376.8</v>
      </c>
      <c r="L1426" s="35">
        <v>11437728.119999999</v>
      </c>
      <c r="M1426" s="36">
        <v>720</v>
      </c>
      <c r="N1426" s="40">
        <v>46860.902255639099</v>
      </c>
      <c r="O1426" s="40">
        <v>116626.33333333299</v>
      </c>
      <c r="P1426" s="40">
        <v>15307.8496240601</v>
      </c>
      <c r="Q1426" s="40">
        <v>36666.666666666701</v>
      </c>
      <c r="R1426" s="40">
        <v>64312.646616541402</v>
      </c>
      <c r="S1426" s="40">
        <v>47957.954887218002</v>
      </c>
      <c r="T1426" s="40">
        <v>30000</v>
      </c>
      <c r="U1426" s="40">
        <v>392521.80451127799</v>
      </c>
      <c r="V1426" s="40">
        <v>0</v>
      </c>
      <c r="W1426" s="45">
        <v>750254.15789473697</v>
      </c>
      <c r="X1426" s="46">
        <v>6.5594683666491704</v>
      </c>
    </row>
    <row r="1427" spans="1:24" s="4" customFormat="1" ht="15" customHeight="1">
      <c r="A1427" s="28" t="s">
        <v>3483</v>
      </c>
      <c r="B1427" s="29">
        <v>3387.15</v>
      </c>
      <c r="C1427" s="30" t="s">
        <v>3870</v>
      </c>
      <c r="D1427" s="2">
        <v>4951925575</v>
      </c>
      <c r="E1427" s="2" t="s">
        <v>14</v>
      </c>
      <c r="F1427" s="2" t="s">
        <v>3871</v>
      </c>
      <c r="G1427" s="28" t="s">
        <v>5</v>
      </c>
      <c r="H1427" s="2" t="s">
        <v>20</v>
      </c>
      <c r="I1427" s="2">
        <v>1</v>
      </c>
      <c r="J1427" s="2" t="s">
        <v>3872</v>
      </c>
      <c r="K1427" s="2">
        <v>3544</v>
      </c>
      <c r="L1427" s="35">
        <v>12004059.6</v>
      </c>
      <c r="M1427" s="36">
        <v>800</v>
      </c>
      <c r="N1427" s="40">
        <v>52067.669172932299</v>
      </c>
      <c r="O1427" s="40">
        <v>116626.33333333299</v>
      </c>
      <c r="P1427" s="40">
        <v>17008.7218045113</v>
      </c>
      <c r="Q1427" s="40">
        <v>36666.666666666701</v>
      </c>
      <c r="R1427" s="40">
        <v>71458.496240601497</v>
      </c>
      <c r="S1427" s="40">
        <v>53286.616541353404</v>
      </c>
      <c r="T1427" s="40">
        <v>30000</v>
      </c>
      <c r="U1427" s="40">
        <v>436135.33834586502</v>
      </c>
      <c r="V1427" s="40">
        <v>0</v>
      </c>
      <c r="W1427" s="45">
        <v>813249.84210526303</v>
      </c>
      <c r="X1427" s="46">
        <v>6.7747901060509799</v>
      </c>
    </row>
    <row r="1428" spans="1:24" s="4" customFormat="1" ht="15" customHeight="1">
      <c r="A1428" s="28" t="s">
        <v>3483</v>
      </c>
      <c r="B1428" s="29">
        <v>3387.15</v>
      </c>
      <c r="C1428" s="30" t="s">
        <v>3873</v>
      </c>
      <c r="D1428" s="2">
        <v>4951874477</v>
      </c>
      <c r="E1428" s="2" t="s">
        <v>14</v>
      </c>
      <c r="F1428" s="2" t="s">
        <v>3874</v>
      </c>
      <c r="G1428" s="28" t="s">
        <v>5</v>
      </c>
      <c r="H1428" s="2" t="s">
        <v>20</v>
      </c>
      <c r="I1428" s="2">
        <v>1</v>
      </c>
      <c r="J1428" s="2" t="s">
        <v>3875</v>
      </c>
      <c r="K1428" s="2">
        <v>3009.6</v>
      </c>
      <c r="L1428" s="35">
        <v>10193966.640000001</v>
      </c>
      <c r="M1428" s="36">
        <v>760</v>
      </c>
      <c r="N1428" s="40">
        <v>24605.1206349206</v>
      </c>
      <c r="O1428" s="40">
        <v>116626.33333333299</v>
      </c>
      <c r="P1428" s="40">
        <v>37523.250793650797</v>
      </c>
      <c r="Q1428" s="40">
        <v>36666.666666666701</v>
      </c>
      <c r="R1428" s="40">
        <v>57681.466666666704</v>
      </c>
      <c r="S1428" s="40">
        <v>21373.853968253999</v>
      </c>
      <c r="T1428" s="40">
        <v>30000</v>
      </c>
      <c r="U1428" s="40">
        <v>196001.58730158699</v>
      </c>
      <c r="V1428" s="40">
        <v>0</v>
      </c>
      <c r="W1428" s="45">
        <v>520478.27936507901</v>
      </c>
      <c r="X1428" s="46">
        <v>5.1057483092281304</v>
      </c>
    </row>
    <row r="1429" spans="1:24" s="4" customFormat="1" ht="15" customHeight="1">
      <c r="A1429" s="28" t="s">
        <v>3483</v>
      </c>
      <c r="B1429" s="29">
        <v>3387.15</v>
      </c>
      <c r="C1429" s="30" t="s">
        <v>3873</v>
      </c>
      <c r="D1429" s="2">
        <v>4951874491</v>
      </c>
      <c r="E1429" s="2" t="s">
        <v>14</v>
      </c>
      <c r="F1429" s="2" t="s">
        <v>3874</v>
      </c>
      <c r="G1429" s="28" t="s">
        <v>5</v>
      </c>
      <c r="H1429" s="2" t="s">
        <v>20</v>
      </c>
      <c r="I1429" s="2">
        <v>1</v>
      </c>
      <c r="J1429" s="2" t="s">
        <v>3875</v>
      </c>
      <c r="K1429" s="2">
        <v>18540</v>
      </c>
      <c r="L1429" s="35">
        <v>62797761</v>
      </c>
      <c r="M1429" s="36">
        <v>5600</v>
      </c>
      <c r="N1429" s="40">
        <v>181300.88888888899</v>
      </c>
      <c r="O1429" s="40">
        <v>116626.33333333299</v>
      </c>
      <c r="P1429" s="40">
        <v>276487.11111111101</v>
      </c>
      <c r="Q1429" s="40">
        <v>36666.666666666701</v>
      </c>
      <c r="R1429" s="40">
        <v>425021.33333333302</v>
      </c>
      <c r="S1429" s="40">
        <v>157491.555555556</v>
      </c>
      <c r="T1429" s="40">
        <v>30000</v>
      </c>
      <c r="U1429" s="40">
        <v>1444222.2222222199</v>
      </c>
      <c r="V1429" s="40">
        <v>0</v>
      </c>
      <c r="W1429" s="45">
        <v>2667816.1111111101</v>
      </c>
      <c r="X1429" s="46">
        <v>4.2482662894798304</v>
      </c>
    </row>
    <row r="1430" spans="1:24" s="4" customFormat="1" ht="15" customHeight="1">
      <c r="A1430" s="28" t="s">
        <v>3483</v>
      </c>
      <c r="B1430" s="29">
        <v>3387.15</v>
      </c>
      <c r="C1430" s="30" t="s">
        <v>3873</v>
      </c>
      <c r="D1430" s="2">
        <v>4951874477</v>
      </c>
      <c r="E1430" s="2" t="s">
        <v>14</v>
      </c>
      <c r="F1430" s="2" t="s">
        <v>3874</v>
      </c>
      <c r="G1430" s="28" t="s">
        <v>5</v>
      </c>
      <c r="H1430" s="2" t="s">
        <v>20</v>
      </c>
      <c r="I1430" s="2">
        <v>1</v>
      </c>
      <c r="J1430" s="2" t="s">
        <v>3875</v>
      </c>
      <c r="K1430" s="2">
        <v>11356.8</v>
      </c>
      <c r="L1430" s="35">
        <v>38467185.119999997</v>
      </c>
      <c r="M1430" s="36">
        <v>6240</v>
      </c>
      <c r="N1430" s="40">
        <v>202020.99047619</v>
      </c>
      <c r="O1430" s="40">
        <v>116626.33333333299</v>
      </c>
      <c r="P1430" s="40">
        <v>308085.63809523801</v>
      </c>
      <c r="Q1430" s="40">
        <v>36666.666666666701</v>
      </c>
      <c r="R1430" s="40">
        <v>473595.2</v>
      </c>
      <c r="S1430" s="40">
        <v>175490.59047619</v>
      </c>
      <c r="T1430" s="40">
        <v>30000</v>
      </c>
      <c r="U1430" s="40">
        <v>1609276.1904761901</v>
      </c>
      <c r="V1430" s="40">
        <v>0</v>
      </c>
      <c r="W1430" s="45">
        <v>2951761.60952381</v>
      </c>
      <c r="X1430" s="46">
        <v>7.6734536210946196</v>
      </c>
    </row>
    <row r="1431" spans="1:24" s="4" customFormat="1" ht="15" customHeight="1">
      <c r="A1431" s="28" t="s">
        <v>3483</v>
      </c>
      <c r="B1431" s="29">
        <v>3387.15</v>
      </c>
      <c r="C1431" s="30" t="s">
        <v>3886</v>
      </c>
      <c r="D1431" s="2">
        <v>4951798432</v>
      </c>
      <c r="E1431" s="2" t="s">
        <v>14</v>
      </c>
      <c r="F1431" s="2" t="s">
        <v>3887</v>
      </c>
      <c r="G1431" s="28" t="s">
        <v>5</v>
      </c>
      <c r="H1431" s="2" t="s">
        <v>17</v>
      </c>
      <c r="I1431" s="2">
        <v>1</v>
      </c>
      <c r="J1431" s="2" t="s">
        <v>3888</v>
      </c>
      <c r="K1431" s="2">
        <v>13650</v>
      </c>
      <c r="L1431" s="35">
        <v>46234597.5</v>
      </c>
      <c r="M1431" s="36">
        <v>4200</v>
      </c>
      <c r="N1431" s="40">
        <v>112601.62601625999</v>
      </c>
      <c r="O1431" s="40">
        <v>65571.285714285696</v>
      </c>
      <c r="P1431" s="40">
        <v>131368.455284553</v>
      </c>
      <c r="Q1431" s="40">
        <v>15714.285714285699</v>
      </c>
      <c r="R1431" s="40">
        <v>321293.33333333302</v>
      </c>
      <c r="S1431" s="40">
        <v>115237.723577236</v>
      </c>
      <c r="T1431" s="40">
        <v>30000</v>
      </c>
      <c r="U1431" s="40">
        <v>1771235.77235772</v>
      </c>
      <c r="V1431" s="40">
        <v>0</v>
      </c>
      <c r="W1431" s="45">
        <v>2563022.4819976701</v>
      </c>
      <c r="X1431" s="46">
        <v>5.5435163721230003</v>
      </c>
    </row>
    <row r="1432" spans="1:24" s="4" customFormat="1" ht="15" customHeight="1">
      <c r="A1432" s="28" t="s">
        <v>3483</v>
      </c>
      <c r="B1432" s="29">
        <v>3387.15</v>
      </c>
      <c r="C1432" s="30" t="s">
        <v>3886</v>
      </c>
      <c r="D1432" s="2">
        <v>4952110333</v>
      </c>
      <c r="E1432" s="2" t="s">
        <v>14</v>
      </c>
      <c r="F1432" s="2" t="s">
        <v>3887</v>
      </c>
      <c r="G1432" s="28" t="s">
        <v>5</v>
      </c>
      <c r="H1432" s="2" t="s">
        <v>17</v>
      </c>
      <c r="I1432" s="2">
        <v>1</v>
      </c>
      <c r="J1432" s="2" t="s">
        <v>3888</v>
      </c>
      <c r="K1432" s="2">
        <v>19425</v>
      </c>
      <c r="L1432" s="35">
        <v>65795388.75</v>
      </c>
      <c r="M1432" s="36">
        <v>2100</v>
      </c>
      <c r="N1432" s="40">
        <v>56300.813008130099</v>
      </c>
      <c r="O1432" s="40">
        <v>65571.285714285696</v>
      </c>
      <c r="P1432" s="40">
        <v>65684.227642276397</v>
      </c>
      <c r="Q1432" s="40">
        <v>15714.285714285699</v>
      </c>
      <c r="R1432" s="40">
        <v>160646.66666666701</v>
      </c>
      <c r="S1432" s="40">
        <v>57618.861788617898</v>
      </c>
      <c r="T1432" s="40">
        <v>30000</v>
      </c>
      <c r="U1432" s="40">
        <v>885617.88617886195</v>
      </c>
      <c r="V1432" s="40">
        <v>0</v>
      </c>
      <c r="W1432" s="45">
        <v>1337154.0267131201</v>
      </c>
      <c r="X1432" s="46">
        <v>2.0322913993165299</v>
      </c>
    </row>
    <row r="1433" spans="1:24" s="4" customFormat="1" ht="15" customHeight="1">
      <c r="A1433" s="28" t="s">
        <v>3483</v>
      </c>
      <c r="B1433" s="29">
        <v>3387.15</v>
      </c>
      <c r="C1433" s="30" t="s">
        <v>3886</v>
      </c>
      <c r="D1433" s="2">
        <v>4952162030</v>
      </c>
      <c r="E1433" s="2" t="s">
        <v>14</v>
      </c>
      <c r="F1433" s="2" t="s">
        <v>3887</v>
      </c>
      <c r="G1433" s="28" t="s">
        <v>5</v>
      </c>
      <c r="H1433" s="2" t="s">
        <v>17</v>
      </c>
      <c r="I1433" s="2">
        <v>1</v>
      </c>
      <c r="J1433" s="2" t="s">
        <v>3888</v>
      </c>
      <c r="K1433" s="2">
        <v>6019.2</v>
      </c>
      <c r="L1433" s="35">
        <v>20387933.280000001</v>
      </c>
      <c r="M1433" s="36">
        <v>1520</v>
      </c>
      <c r="N1433" s="40">
        <v>40751.064653503701</v>
      </c>
      <c r="O1433" s="40">
        <v>65571.285714285696</v>
      </c>
      <c r="P1433" s="40">
        <v>47542.869531552496</v>
      </c>
      <c r="Q1433" s="40">
        <v>15714.285714285699</v>
      </c>
      <c r="R1433" s="40">
        <v>116277.587301587</v>
      </c>
      <c r="S1433" s="40">
        <v>41705.080913666301</v>
      </c>
      <c r="T1433" s="40">
        <v>30000</v>
      </c>
      <c r="U1433" s="40">
        <v>641018.660472319</v>
      </c>
      <c r="V1433" s="40">
        <v>0</v>
      </c>
      <c r="W1433" s="45">
        <v>998580.8343012</v>
      </c>
      <c r="X1433" s="46">
        <v>4.8979012270987798</v>
      </c>
    </row>
    <row r="1434" spans="1:24" s="4" customFormat="1" ht="15" customHeight="1">
      <c r="A1434" s="28" t="s">
        <v>3483</v>
      </c>
      <c r="B1434" s="29">
        <v>3387.15</v>
      </c>
      <c r="C1434" s="30" t="s">
        <v>3886</v>
      </c>
      <c r="D1434" s="2">
        <v>4952360224</v>
      </c>
      <c r="E1434" s="2" t="s">
        <v>14</v>
      </c>
      <c r="F1434" s="2" t="s">
        <v>3887</v>
      </c>
      <c r="G1434" s="28" t="s">
        <v>5</v>
      </c>
      <c r="H1434" s="2" t="s">
        <v>17</v>
      </c>
      <c r="I1434" s="2">
        <v>1</v>
      </c>
      <c r="J1434" s="2" t="s">
        <v>3888</v>
      </c>
      <c r="K1434" s="2">
        <v>6683.25</v>
      </c>
      <c r="L1434" s="35">
        <v>22637170.237500001</v>
      </c>
      <c r="M1434" s="36">
        <v>1425</v>
      </c>
      <c r="N1434" s="40">
        <v>38204.123112659698</v>
      </c>
      <c r="O1434" s="40">
        <v>65571.285714285696</v>
      </c>
      <c r="P1434" s="40">
        <v>44571.440185830397</v>
      </c>
      <c r="Q1434" s="40">
        <v>15714.285714285699</v>
      </c>
      <c r="R1434" s="40">
        <v>109010.238095238</v>
      </c>
      <c r="S1434" s="40">
        <v>39098.5133565621</v>
      </c>
      <c r="T1434" s="40">
        <v>30000</v>
      </c>
      <c r="U1434" s="40">
        <v>600954.99419279897</v>
      </c>
      <c r="V1434" s="40">
        <v>0</v>
      </c>
      <c r="W1434" s="45">
        <v>943124.88037166104</v>
      </c>
      <c r="X1434" s="46">
        <v>4.1662666776667603</v>
      </c>
    </row>
    <row r="1435" spans="1:24" s="4" customFormat="1" ht="15" customHeight="1">
      <c r="A1435" s="28" t="s">
        <v>3483</v>
      </c>
      <c r="B1435" s="29">
        <v>3387.15</v>
      </c>
      <c r="C1435" s="30" t="s">
        <v>3886</v>
      </c>
      <c r="D1435" s="2">
        <v>4952162044</v>
      </c>
      <c r="E1435" s="2" t="s">
        <v>14</v>
      </c>
      <c r="F1435" s="2" t="s">
        <v>3887</v>
      </c>
      <c r="G1435" s="28" t="s">
        <v>5</v>
      </c>
      <c r="H1435" s="2" t="s">
        <v>17</v>
      </c>
      <c r="I1435" s="2">
        <v>1</v>
      </c>
      <c r="J1435" s="2" t="s">
        <v>3888</v>
      </c>
      <c r="K1435" s="2">
        <v>5912.2</v>
      </c>
      <c r="L1435" s="35">
        <v>20025508.23</v>
      </c>
      <c r="M1435" s="36">
        <v>820</v>
      </c>
      <c r="N1435" s="40">
        <v>21984.126984127</v>
      </c>
      <c r="O1435" s="40">
        <v>65571.285714285696</v>
      </c>
      <c r="P1435" s="40">
        <v>25648.126984127</v>
      </c>
      <c r="Q1435" s="40">
        <v>15714.285714285699</v>
      </c>
      <c r="R1435" s="40">
        <v>62728.698412698403</v>
      </c>
      <c r="S1435" s="40">
        <v>22498.793650793701</v>
      </c>
      <c r="T1435" s="40">
        <v>30000</v>
      </c>
      <c r="U1435" s="40">
        <v>345812.698412698</v>
      </c>
      <c r="V1435" s="40">
        <v>0</v>
      </c>
      <c r="W1435" s="45">
        <v>589958.01587301597</v>
      </c>
      <c r="X1435" s="46">
        <v>2.9460326754114798</v>
      </c>
    </row>
    <row r="1436" spans="1:24" s="4" customFormat="1" ht="15" customHeight="1">
      <c r="A1436" s="28" t="s">
        <v>3483</v>
      </c>
      <c r="B1436" s="29">
        <v>3387.15</v>
      </c>
      <c r="C1436" s="30" t="s">
        <v>3886</v>
      </c>
      <c r="D1436" s="2">
        <v>4951874492</v>
      </c>
      <c r="E1436" s="2" t="s">
        <v>14</v>
      </c>
      <c r="F1436" s="2" t="s">
        <v>3887</v>
      </c>
      <c r="G1436" s="28" t="s">
        <v>5</v>
      </c>
      <c r="H1436" s="2" t="s">
        <v>17</v>
      </c>
      <c r="I1436" s="2">
        <v>1</v>
      </c>
      <c r="J1436" s="2" t="s">
        <v>3888</v>
      </c>
      <c r="K1436" s="2">
        <v>7155</v>
      </c>
      <c r="L1436" s="35">
        <v>24235058.25</v>
      </c>
      <c r="M1436" s="36">
        <v>1350</v>
      </c>
      <c r="N1436" s="40">
        <v>36193.379790940802</v>
      </c>
      <c r="O1436" s="40">
        <v>65571.285714285696</v>
      </c>
      <c r="P1436" s="40">
        <v>42225.574912892</v>
      </c>
      <c r="Q1436" s="40">
        <v>15714.285714285699</v>
      </c>
      <c r="R1436" s="40">
        <v>103272.857142857</v>
      </c>
      <c r="S1436" s="40">
        <v>37040.696864111502</v>
      </c>
      <c r="T1436" s="40">
        <v>30000</v>
      </c>
      <c r="U1436" s="40">
        <v>569325.78397212503</v>
      </c>
      <c r="V1436" s="40">
        <v>0</v>
      </c>
      <c r="W1436" s="45">
        <v>899343.864111498</v>
      </c>
      <c r="X1436" s="46">
        <v>3.7109209923664901</v>
      </c>
    </row>
    <row r="1437" spans="1:24" s="4" customFormat="1" ht="15" customHeight="1">
      <c r="A1437" s="28" t="s">
        <v>3483</v>
      </c>
      <c r="B1437" s="29">
        <v>3387.15</v>
      </c>
      <c r="C1437" s="30" t="s">
        <v>3886</v>
      </c>
      <c r="D1437" s="2">
        <v>4952839961</v>
      </c>
      <c r="E1437" s="2" t="s">
        <v>14</v>
      </c>
      <c r="F1437" s="2" t="s">
        <v>3887</v>
      </c>
      <c r="G1437" s="28" t="s">
        <v>5</v>
      </c>
      <c r="H1437" s="2" t="s">
        <v>17</v>
      </c>
      <c r="I1437" s="2">
        <v>1</v>
      </c>
      <c r="J1437" s="2" t="s">
        <v>3888</v>
      </c>
      <c r="K1437" s="2">
        <v>4560</v>
      </c>
      <c r="L1437" s="35">
        <v>15445404</v>
      </c>
      <c r="M1437" s="36">
        <v>1500</v>
      </c>
      <c r="N1437" s="40">
        <v>40214.8664343786</v>
      </c>
      <c r="O1437" s="40">
        <v>65571.285714285696</v>
      </c>
      <c r="P1437" s="40">
        <v>46917.305458768897</v>
      </c>
      <c r="Q1437" s="40">
        <v>15714.285714285699</v>
      </c>
      <c r="R1437" s="40">
        <v>114747.61904761899</v>
      </c>
      <c r="S1437" s="40">
        <v>41156.3298490128</v>
      </c>
      <c r="T1437" s="40">
        <v>30000</v>
      </c>
      <c r="U1437" s="40">
        <v>632584.20441347302</v>
      </c>
      <c r="V1437" s="40">
        <v>0</v>
      </c>
      <c r="W1437" s="45">
        <v>986905.89663182397</v>
      </c>
      <c r="X1437" s="46">
        <v>6.3896411944409097</v>
      </c>
    </row>
    <row r="1438" spans="1:24" s="4" customFormat="1" ht="15" customHeight="1">
      <c r="A1438" s="28" t="s">
        <v>3483</v>
      </c>
      <c r="B1438" s="29">
        <v>3387.15</v>
      </c>
      <c r="C1438" s="30" t="s">
        <v>3926</v>
      </c>
      <c r="D1438" s="2">
        <v>4952162047</v>
      </c>
      <c r="E1438" s="2" t="s">
        <v>14</v>
      </c>
      <c r="F1438" s="2" t="s">
        <v>3927</v>
      </c>
      <c r="G1438" s="28" t="s">
        <v>5</v>
      </c>
      <c r="H1438" s="2" t="s">
        <v>20</v>
      </c>
      <c r="I1438" s="2">
        <v>1</v>
      </c>
      <c r="J1438" s="2" t="s">
        <v>3928</v>
      </c>
      <c r="K1438" s="2">
        <v>3952</v>
      </c>
      <c r="L1438" s="35">
        <v>13386016.800000001</v>
      </c>
      <c r="M1438" s="36">
        <v>1600</v>
      </c>
      <c r="N1438" s="40">
        <v>95692.789115646301</v>
      </c>
      <c r="O1438" s="40">
        <v>87469.75</v>
      </c>
      <c r="P1438" s="40">
        <v>367301.22448979598</v>
      </c>
      <c r="Q1438" s="40">
        <v>27500</v>
      </c>
      <c r="R1438" s="40">
        <v>309694.69387755101</v>
      </c>
      <c r="S1438" s="40">
        <v>96423.401360544201</v>
      </c>
      <c r="T1438" s="40">
        <v>30000</v>
      </c>
      <c r="U1438" s="55">
        <v>789197.27891156496</v>
      </c>
      <c r="V1438" s="55">
        <v>0</v>
      </c>
      <c r="W1438" s="45">
        <v>1803279.1377550999</v>
      </c>
      <c r="X1438" s="46">
        <v>13.471364668802</v>
      </c>
    </row>
    <row r="1439" spans="1:24" s="4" customFormat="1" ht="15" customHeight="1">
      <c r="A1439" s="28" t="s">
        <v>3483</v>
      </c>
      <c r="B1439" s="29">
        <v>3387.15</v>
      </c>
      <c r="C1439" s="30" t="s">
        <v>3926</v>
      </c>
      <c r="D1439" s="2">
        <v>4952244148</v>
      </c>
      <c r="E1439" s="2" t="s">
        <v>14</v>
      </c>
      <c r="F1439" s="2" t="s">
        <v>3927</v>
      </c>
      <c r="G1439" s="28" t="s">
        <v>5</v>
      </c>
      <c r="H1439" s="2" t="s">
        <v>20</v>
      </c>
      <c r="I1439" s="2">
        <v>1</v>
      </c>
      <c r="J1439" s="2" t="s">
        <v>3928</v>
      </c>
      <c r="K1439" s="2">
        <v>14464</v>
      </c>
      <c r="L1439" s="35">
        <v>48991737.600000001</v>
      </c>
      <c r="M1439" s="36">
        <v>3200</v>
      </c>
      <c r="N1439" s="40">
        <v>191385.57823129301</v>
      </c>
      <c r="O1439" s="40">
        <v>87469.75</v>
      </c>
      <c r="P1439" s="40">
        <v>734602.44897959195</v>
      </c>
      <c r="Q1439" s="40">
        <v>27500</v>
      </c>
      <c r="R1439" s="40">
        <v>619389.38775510201</v>
      </c>
      <c r="S1439" s="40">
        <v>192846.802721088</v>
      </c>
      <c r="T1439" s="40">
        <v>30000</v>
      </c>
      <c r="U1439" s="55">
        <v>1578394.5578231299</v>
      </c>
      <c r="V1439" s="55">
        <v>0</v>
      </c>
      <c r="W1439" s="45">
        <v>3461588.5255101998</v>
      </c>
      <c r="X1439" s="46">
        <v>7.0656577926931998</v>
      </c>
    </row>
    <row r="1440" spans="1:24" s="4" customFormat="1" ht="15" customHeight="1">
      <c r="A1440" s="28" t="s">
        <v>3483</v>
      </c>
      <c r="B1440" s="29">
        <v>3387.15</v>
      </c>
      <c r="C1440" s="30" t="s">
        <v>3926</v>
      </c>
      <c r="D1440" s="2">
        <v>4952292307</v>
      </c>
      <c r="E1440" s="2" t="s">
        <v>14</v>
      </c>
      <c r="F1440" s="2" t="s">
        <v>3927</v>
      </c>
      <c r="G1440" s="28" t="s">
        <v>5</v>
      </c>
      <c r="H1440" s="2" t="s">
        <v>20</v>
      </c>
      <c r="I1440" s="2">
        <v>1</v>
      </c>
      <c r="J1440" s="2" t="s">
        <v>3928</v>
      </c>
      <c r="K1440" s="2">
        <v>3112.2</v>
      </c>
      <c r="L1440" s="35">
        <v>10541488.23</v>
      </c>
      <c r="M1440" s="36">
        <v>380</v>
      </c>
      <c r="N1440" s="40">
        <v>22727.037414965998</v>
      </c>
      <c r="O1440" s="40">
        <v>87469.75</v>
      </c>
      <c r="P1440" s="40">
        <v>87234.040816326495</v>
      </c>
      <c r="Q1440" s="40">
        <v>27500</v>
      </c>
      <c r="R1440" s="40">
        <v>73552.489795918402</v>
      </c>
      <c r="S1440" s="40">
        <v>22900.5578231293</v>
      </c>
      <c r="T1440" s="40">
        <v>30000</v>
      </c>
      <c r="U1440" s="55">
        <v>187434.35374149701</v>
      </c>
      <c r="V1440" s="55">
        <v>0</v>
      </c>
      <c r="W1440" s="45">
        <v>538818.22959183704</v>
      </c>
      <c r="X1440" s="46">
        <v>5.1114056937275203</v>
      </c>
    </row>
    <row r="1441" spans="1:24" s="4" customFormat="1" ht="15" customHeight="1">
      <c r="A1441" s="28" t="s">
        <v>3483</v>
      </c>
      <c r="B1441" s="29">
        <v>3387.15</v>
      </c>
      <c r="C1441" s="30" t="s">
        <v>3926</v>
      </c>
      <c r="D1441" s="2">
        <v>4952294389</v>
      </c>
      <c r="E1441" s="2" t="s">
        <v>14</v>
      </c>
      <c r="F1441" s="2" t="s">
        <v>3927</v>
      </c>
      <c r="G1441" s="28" t="s">
        <v>5</v>
      </c>
      <c r="H1441" s="2" t="s">
        <v>20</v>
      </c>
      <c r="I1441" s="2">
        <v>1</v>
      </c>
      <c r="J1441" s="2" t="s">
        <v>3928</v>
      </c>
      <c r="K1441" s="2">
        <v>3220</v>
      </c>
      <c r="L1441" s="35">
        <v>10906623</v>
      </c>
      <c r="M1441" s="36">
        <v>700</v>
      </c>
      <c r="N1441" s="40">
        <v>41865.5952380952</v>
      </c>
      <c r="O1441" s="40">
        <v>87469.75</v>
      </c>
      <c r="P1441" s="40">
        <v>160694.285714286</v>
      </c>
      <c r="Q1441" s="40">
        <v>27500</v>
      </c>
      <c r="R1441" s="40">
        <v>135491.42857142899</v>
      </c>
      <c r="S1441" s="40">
        <v>42185.238095238099</v>
      </c>
      <c r="T1441" s="40">
        <v>30000</v>
      </c>
      <c r="U1441" s="55">
        <v>345273.80952380999</v>
      </c>
      <c r="V1441" s="55">
        <v>0</v>
      </c>
      <c r="W1441" s="45">
        <v>870480.10714285704</v>
      </c>
      <c r="X1441" s="46">
        <v>7.9812065305902404</v>
      </c>
    </row>
    <row r="1442" spans="1:24" s="4" customFormat="1" ht="15" customHeight="1">
      <c r="A1442" s="28" t="s">
        <v>3483</v>
      </c>
      <c r="B1442" s="29">
        <v>3387.15</v>
      </c>
      <c r="C1442" s="30" t="s">
        <v>3934</v>
      </c>
      <c r="D1442" s="2">
        <v>4949922761</v>
      </c>
      <c r="E1442" s="2" t="s">
        <v>14</v>
      </c>
      <c r="F1442" s="2" t="s">
        <v>3935</v>
      </c>
      <c r="G1442" s="28" t="s">
        <v>5</v>
      </c>
      <c r="H1442" s="2" t="s">
        <v>17</v>
      </c>
      <c r="I1442" s="2">
        <v>1</v>
      </c>
      <c r="J1442" s="2" t="s">
        <v>3936</v>
      </c>
      <c r="K1442" s="2">
        <v>56028</v>
      </c>
      <c r="L1442" s="35">
        <v>189775240.19999999</v>
      </c>
      <c r="M1442" s="36">
        <v>9200</v>
      </c>
      <c r="N1442" s="40">
        <v>345599</v>
      </c>
      <c r="O1442" s="40">
        <v>458999</v>
      </c>
      <c r="P1442" s="40">
        <v>0</v>
      </c>
      <c r="Q1442" s="40">
        <v>110000</v>
      </c>
      <c r="R1442" s="40">
        <v>562743</v>
      </c>
      <c r="S1442" s="40">
        <v>354356</v>
      </c>
      <c r="T1442" s="40">
        <v>30000</v>
      </c>
      <c r="U1442" s="40">
        <v>5354400</v>
      </c>
      <c r="V1442" s="40">
        <v>0</v>
      </c>
      <c r="W1442" s="45">
        <v>7216097</v>
      </c>
      <c r="X1442" s="46">
        <v>3.8024438764483199</v>
      </c>
    </row>
    <row r="1443" spans="1:24" s="4" customFormat="1" ht="15" customHeight="1">
      <c r="A1443" s="28" t="s">
        <v>3483</v>
      </c>
      <c r="B1443" s="29">
        <v>3387.15</v>
      </c>
      <c r="C1443" s="30" t="s">
        <v>3937</v>
      </c>
      <c r="D1443" s="2">
        <v>4951325264</v>
      </c>
      <c r="E1443" s="2" t="s">
        <v>14</v>
      </c>
      <c r="F1443" s="2" t="s">
        <v>3938</v>
      </c>
      <c r="G1443" s="28" t="s">
        <v>5</v>
      </c>
      <c r="H1443" s="2" t="s">
        <v>17</v>
      </c>
      <c r="I1443" s="2">
        <v>3</v>
      </c>
      <c r="J1443" s="2" t="s">
        <v>3939</v>
      </c>
      <c r="K1443" s="2">
        <v>199800</v>
      </c>
      <c r="L1443" s="35">
        <v>676752570</v>
      </c>
      <c r="M1443" s="36">
        <v>54000</v>
      </c>
      <c r="N1443" s="40">
        <v>1041378</v>
      </c>
      <c r="O1443" s="40">
        <v>1376999</v>
      </c>
      <c r="P1443" s="40">
        <v>0</v>
      </c>
      <c r="Q1443" s="40">
        <v>297928</v>
      </c>
      <c r="R1443" s="40">
        <v>2267039</v>
      </c>
      <c r="S1443" s="40">
        <v>354356</v>
      </c>
      <c r="T1443" s="40">
        <v>30000</v>
      </c>
      <c r="U1443" s="40">
        <v>16339650</v>
      </c>
      <c r="V1443" s="40">
        <v>0</v>
      </c>
      <c r="W1443" s="45">
        <v>21707350</v>
      </c>
      <c r="X1443" s="46">
        <v>3.2075755545339102</v>
      </c>
    </row>
    <row r="1444" spans="1:24" s="4" customFormat="1" ht="15" customHeight="1">
      <c r="A1444" s="28" t="s">
        <v>3483</v>
      </c>
      <c r="B1444" s="29">
        <v>3387.15</v>
      </c>
      <c r="C1444" s="30" t="s">
        <v>3942</v>
      </c>
      <c r="D1444" s="2">
        <v>4951726546</v>
      </c>
      <c r="E1444" s="2" t="s">
        <v>14</v>
      </c>
      <c r="F1444" s="2" t="s">
        <v>3943</v>
      </c>
      <c r="G1444" s="28" t="s">
        <v>5</v>
      </c>
      <c r="H1444" s="2" t="s">
        <v>20</v>
      </c>
      <c r="I1444" s="2">
        <v>1</v>
      </c>
      <c r="J1444" s="2" t="s">
        <v>3944</v>
      </c>
      <c r="K1444" s="2">
        <v>38080</v>
      </c>
      <c r="L1444" s="35">
        <v>128982672</v>
      </c>
      <c r="M1444" s="36">
        <v>7000</v>
      </c>
      <c r="N1444" s="40">
        <v>345599</v>
      </c>
      <c r="O1444" s="40">
        <v>349879</v>
      </c>
      <c r="P1444" s="40">
        <v>0</v>
      </c>
      <c r="Q1444" s="40">
        <v>110000</v>
      </c>
      <c r="R1444" s="40">
        <v>453704</v>
      </c>
      <c r="S1444" s="40">
        <v>354356</v>
      </c>
      <c r="T1444" s="40">
        <v>30000</v>
      </c>
      <c r="U1444" s="40">
        <v>3501700</v>
      </c>
      <c r="V1444" s="40">
        <v>0</v>
      </c>
      <c r="W1444" s="45">
        <v>5145238</v>
      </c>
      <c r="X1444" s="46">
        <v>3.9890924263066898</v>
      </c>
    </row>
    <row r="1445" spans="1:24" s="4" customFormat="1" ht="15" customHeight="1">
      <c r="A1445" s="28" t="s">
        <v>3483</v>
      </c>
      <c r="B1445" s="29">
        <v>3387.15</v>
      </c>
      <c r="C1445" s="30" t="s">
        <v>3945</v>
      </c>
      <c r="D1445" s="2" t="s">
        <v>3946</v>
      </c>
      <c r="E1445" s="2" t="s">
        <v>14</v>
      </c>
      <c r="F1445" s="2" t="s">
        <v>3947</v>
      </c>
      <c r="G1445" s="28" t="s">
        <v>5</v>
      </c>
      <c r="H1445" s="2" t="s">
        <v>20</v>
      </c>
      <c r="I1445" s="2">
        <v>1</v>
      </c>
      <c r="J1445" s="2" t="s">
        <v>3948</v>
      </c>
      <c r="K1445" s="2">
        <v>33753.599999999999</v>
      </c>
      <c r="L1445" s="35">
        <v>114328506.23999999</v>
      </c>
      <c r="M1445" s="36">
        <v>5760</v>
      </c>
      <c r="N1445" s="40">
        <v>344776</v>
      </c>
      <c r="O1445" s="40">
        <v>349879</v>
      </c>
      <c r="P1445" s="40">
        <v>488237</v>
      </c>
      <c r="Q1445" s="40">
        <v>110000</v>
      </c>
      <c r="R1445" s="40">
        <v>561973</v>
      </c>
      <c r="S1445" s="40">
        <v>354356</v>
      </c>
      <c r="T1445" s="40">
        <v>30000</v>
      </c>
      <c r="U1445" s="40">
        <v>3501700</v>
      </c>
      <c r="V1445" s="40">
        <v>0</v>
      </c>
      <c r="W1445" s="45">
        <v>5740921</v>
      </c>
      <c r="X1445" s="46">
        <v>5.0214257045819997</v>
      </c>
    </row>
    <row r="1447" spans="1:24" ht="15" customHeight="1">
      <c r="A1447" s="31" t="s">
        <v>3483</v>
      </c>
      <c r="B1447" s="31"/>
      <c r="C1447" s="31"/>
      <c r="D1447" s="31"/>
      <c r="E1447" s="31"/>
      <c r="F1447" s="32">
        <v>72</v>
      </c>
      <c r="G1447" s="31"/>
      <c r="H1447" s="31"/>
      <c r="I1447" s="38"/>
      <c r="J1447" s="31"/>
      <c r="K1447" s="39">
        <f>+SUM(K1255:K1445)</f>
        <v>2223109.44</v>
      </c>
      <c r="L1447" s="39">
        <f>+SUM(L1255:L1445)</f>
        <v>7530005139.696002</v>
      </c>
      <c r="M1447" s="31"/>
      <c r="N1447" s="39"/>
      <c r="O1447" s="39"/>
      <c r="P1447" s="39"/>
      <c r="Q1447" s="39"/>
      <c r="R1447" s="39"/>
      <c r="S1447" s="39"/>
      <c r="T1447" s="39"/>
      <c r="U1447" s="39"/>
      <c r="V1447" s="31"/>
      <c r="W1447" s="39">
        <f>+SUM(W1255:W1445)</f>
        <v>345262873.24919748</v>
      </c>
      <c r="X1447" s="47">
        <f>(W1447/L1447)*100</f>
        <v>4.5851611897191384</v>
      </c>
    </row>
    <row r="1449" spans="1:24" s="4" customFormat="1" ht="15" customHeight="1">
      <c r="A1449" s="79" t="s">
        <v>3955</v>
      </c>
      <c r="B1449" s="80">
        <v>3394.61</v>
      </c>
      <c r="C1449" s="81" t="s">
        <v>3958</v>
      </c>
      <c r="D1449" s="82">
        <v>4952287298</v>
      </c>
      <c r="E1449" s="82" t="s">
        <v>14</v>
      </c>
      <c r="F1449" s="83" t="s">
        <v>3959</v>
      </c>
      <c r="G1449" s="79" t="s">
        <v>13</v>
      </c>
      <c r="H1449" s="2" t="s">
        <v>23</v>
      </c>
      <c r="I1449" s="2">
        <v>1</v>
      </c>
      <c r="J1449" s="2"/>
      <c r="K1449" s="2">
        <v>2490.5</v>
      </c>
      <c r="L1449" s="35">
        <v>8454276.2050000001</v>
      </c>
      <c r="M1449" s="36">
        <v>50</v>
      </c>
      <c r="N1449" s="40">
        <v>106891.688461538</v>
      </c>
      <c r="O1449" s="40">
        <v>0</v>
      </c>
      <c r="P1449" s="40">
        <v>0</v>
      </c>
      <c r="Q1449" s="40">
        <v>0</v>
      </c>
      <c r="R1449" s="40">
        <v>2735</v>
      </c>
      <c r="S1449" s="40">
        <v>136290.76923076899</v>
      </c>
      <c r="T1449" s="40">
        <v>30000</v>
      </c>
      <c r="U1449" s="55">
        <v>21424.347826087</v>
      </c>
      <c r="V1449" s="55">
        <v>0</v>
      </c>
      <c r="W1449" s="45">
        <v>297341.80551839393</v>
      </c>
      <c r="X1449" s="46">
        <v>3.517058093542544</v>
      </c>
    </row>
    <row r="1450" spans="1:24" s="4" customFormat="1" ht="15" customHeight="1">
      <c r="A1450" s="79" t="s">
        <v>3955</v>
      </c>
      <c r="B1450" s="80">
        <v>3394.61</v>
      </c>
      <c r="C1450" s="81" t="s">
        <v>3958</v>
      </c>
      <c r="D1450" s="82">
        <v>4952287288</v>
      </c>
      <c r="E1450" s="82" t="s">
        <v>14</v>
      </c>
      <c r="F1450" s="83" t="s">
        <v>3959</v>
      </c>
      <c r="G1450" s="79" t="s">
        <v>13</v>
      </c>
      <c r="H1450" s="2" t="s">
        <v>23</v>
      </c>
      <c r="I1450" s="2">
        <v>1</v>
      </c>
      <c r="J1450" s="2"/>
      <c r="K1450" s="2">
        <v>3437.6</v>
      </c>
      <c r="L1450" s="35">
        <v>11669311.336000001</v>
      </c>
      <c r="M1450" s="36">
        <v>80</v>
      </c>
      <c r="N1450" s="40">
        <v>171026.70153846199</v>
      </c>
      <c r="O1450" s="40">
        <v>0</v>
      </c>
      <c r="P1450" s="40">
        <v>0</v>
      </c>
      <c r="Q1450" s="40">
        <v>0</v>
      </c>
      <c r="R1450" s="40">
        <v>4376</v>
      </c>
      <c r="S1450" s="40">
        <v>218065.23076923101</v>
      </c>
      <c r="T1450" s="40">
        <v>30000</v>
      </c>
      <c r="U1450" s="55">
        <v>34278.956521739099</v>
      </c>
      <c r="V1450" s="55">
        <v>0</v>
      </c>
      <c r="W1450" s="45">
        <v>457746.88882943208</v>
      </c>
      <c r="X1450" s="46">
        <v>3.9226555505231575</v>
      </c>
    </row>
    <row r="1451" spans="1:24" s="4" customFormat="1" ht="15" customHeight="1">
      <c r="A1451" s="79" t="s">
        <v>3955</v>
      </c>
      <c r="B1451" s="80">
        <v>3394.61</v>
      </c>
      <c r="C1451" s="81" t="s">
        <v>3960</v>
      </c>
      <c r="D1451" s="82">
        <v>4953003882</v>
      </c>
      <c r="E1451" s="82" t="s">
        <v>14</v>
      </c>
      <c r="F1451" s="82">
        <v>1028352092</v>
      </c>
      <c r="G1451" s="79" t="s">
        <v>13</v>
      </c>
      <c r="H1451" s="2" t="s">
        <v>23</v>
      </c>
      <c r="I1451" s="2">
        <v>3</v>
      </c>
      <c r="J1451" s="2"/>
      <c r="K1451" s="2">
        <v>49488</v>
      </c>
      <c r="L1451" s="35">
        <v>167992459.68000001</v>
      </c>
      <c r="M1451" s="36">
        <v>400</v>
      </c>
      <c r="N1451" s="40">
        <v>692122</v>
      </c>
      <c r="O1451" s="40">
        <v>0</v>
      </c>
      <c r="P1451" s="40">
        <v>0</v>
      </c>
      <c r="Q1451" s="40">
        <v>0</v>
      </c>
      <c r="R1451" s="40">
        <v>5768</v>
      </c>
      <c r="S1451" s="40">
        <v>354356</v>
      </c>
      <c r="T1451" s="40">
        <v>30000</v>
      </c>
      <c r="U1451" s="40">
        <v>171394.782608696</v>
      </c>
      <c r="V1451" s="40">
        <v>0</v>
      </c>
      <c r="W1451" s="45">
        <v>1253640.782608696</v>
      </c>
      <c r="X1451" s="46">
        <v>0.7462482453061825</v>
      </c>
    </row>
    <row r="1452" spans="1:24" s="4" customFormat="1" ht="15" customHeight="1">
      <c r="A1452" s="79" t="s">
        <v>3955</v>
      </c>
      <c r="B1452" s="80">
        <v>3394.61</v>
      </c>
      <c r="C1452" s="81" t="s">
        <v>3961</v>
      </c>
      <c r="D1452" s="82" t="s">
        <v>3962</v>
      </c>
      <c r="E1452" s="82" t="s">
        <v>14</v>
      </c>
      <c r="F1452" s="82" t="s">
        <v>3963</v>
      </c>
      <c r="G1452" s="79" t="s">
        <v>13</v>
      </c>
      <c r="H1452" s="2" t="s">
        <v>23</v>
      </c>
      <c r="I1452" s="2">
        <v>1</v>
      </c>
      <c r="J1452" s="2"/>
      <c r="K1452" s="2">
        <v>983.3</v>
      </c>
      <c r="L1452" s="35">
        <v>3337920.0129999998</v>
      </c>
      <c r="M1452" s="36">
        <v>5</v>
      </c>
      <c r="N1452" s="40">
        <v>88760.5</v>
      </c>
      <c r="O1452" s="40">
        <v>0</v>
      </c>
      <c r="P1452" s="40">
        <v>0</v>
      </c>
      <c r="Q1452" s="40">
        <v>0</v>
      </c>
      <c r="R1452" s="40">
        <v>355</v>
      </c>
      <c r="S1452" s="40">
        <v>354356</v>
      </c>
      <c r="T1452" s="40">
        <v>30000</v>
      </c>
      <c r="U1452" s="40">
        <v>2142.4347826087001</v>
      </c>
      <c r="V1452" s="40">
        <v>0</v>
      </c>
      <c r="W1452" s="45">
        <v>475613.9347826087</v>
      </c>
      <c r="X1452" s="46">
        <v>14.248811623114491</v>
      </c>
    </row>
    <row r="1453" spans="1:24" s="4" customFormat="1" ht="15" customHeight="1">
      <c r="A1453" s="79" t="s">
        <v>3955</v>
      </c>
      <c r="B1453" s="80">
        <v>3394.61</v>
      </c>
      <c r="C1453" s="81" t="s">
        <v>3980</v>
      </c>
      <c r="D1453" s="82">
        <v>4951814799</v>
      </c>
      <c r="E1453" s="82" t="s">
        <v>14</v>
      </c>
      <c r="F1453" s="82" t="s">
        <v>3981</v>
      </c>
      <c r="G1453" s="79" t="s">
        <v>5</v>
      </c>
      <c r="H1453" s="2" t="s">
        <v>20</v>
      </c>
      <c r="I1453" s="2">
        <v>1</v>
      </c>
      <c r="J1453" s="2" t="s">
        <v>3982</v>
      </c>
      <c r="K1453" s="2">
        <v>30822.400000000001</v>
      </c>
      <c r="L1453" s="35">
        <v>104630027.26400001</v>
      </c>
      <c r="M1453" s="36">
        <v>13760</v>
      </c>
      <c r="N1453" s="40">
        <v>446205</v>
      </c>
      <c r="O1453" s="40">
        <v>346986</v>
      </c>
      <c r="P1453" s="40">
        <v>0</v>
      </c>
      <c r="Q1453" s="40">
        <v>99309</v>
      </c>
      <c r="R1453" s="40">
        <v>446930</v>
      </c>
      <c r="S1453" s="40">
        <v>354356</v>
      </c>
      <c r="T1453" s="40">
        <v>30000</v>
      </c>
      <c r="U1453" s="40">
        <v>4529900</v>
      </c>
      <c r="V1453" s="40">
        <v>0</v>
      </c>
      <c r="W1453" s="45">
        <v>6253686</v>
      </c>
      <c r="X1453" s="46">
        <v>5.9769515152861876</v>
      </c>
    </row>
    <row r="1454" spans="1:24" s="4" customFormat="1" ht="15" customHeight="1">
      <c r="A1454" s="79" t="s">
        <v>3955</v>
      </c>
      <c r="B1454" s="80">
        <v>3394.61</v>
      </c>
      <c r="C1454" s="81" t="s">
        <v>3983</v>
      </c>
      <c r="D1454" s="82" t="s">
        <v>3984</v>
      </c>
      <c r="E1454" s="82" t="s">
        <v>14</v>
      </c>
      <c r="F1454" s="82" t="s">
        <v>3985</v>
      </c>
      <c r="G1454" s="79" t="s">
        <v>9</v>
      </c>
      <c r="H1454" s="2" t="s">
        <v>23</v>
      </c>
      <c r="I1454" s="2">
        <v>3</v>
      </c>
      <c r="J1454" s="2"/>
      <c r="K1454" s="2">
        <v>10013.280000000001</v>
      </c>
      <c r="L1454" s="35">
        <v>33991180.4208</v>
      </c>
      <c r="M1454" s="36">
        <v>2721</v>
      </c>
      <c r="N1454" s="40">
        <v>828341</v>
      </c>
      <c r="O1454" s="40">
        <v>1947</v>
      </c>
      <c r="P1454" s="40">
        <v>0</v>
      </c>
      <c r="Q1454" s="40">
        <v>44189</v>
      </c>
      <c r="R1454" s="40">
        <v>129436</v>
      </c>
      <c r="S1454" s="40">
        <v>354356</v>
      </c>
      <c r="T1454" s="40">
        <v>30000</v>
      </c>
      <c r="U1454" s="40">
        <v>252200</v>
      </c>
      <c r="V1454" s="40">
        <v>0</v>
      </c>
      <c r="W1454" s="45">
        <v>1640469</v>
      </c>
      <c r="X1454" s="46">
        <v>4.8261607266694355</v>
      </c>
    </row>
    <row r="1455" spans="1:24" s="4" customFormat="1" ht="15" customHeight="1">
      <c r="A1455" s="79" t="s">
        <v>3955</v>
      </c>
      <c r="B1455" s="80">
        <v>3394.61</v>
      </c>
      <c r="C1455" s="81" t="s">
        <v>3994</v>
      </c>
      <c r="D1455" s="82">
        <v>4952579158</v>
      </c>
      <c r="E1455" s="82" t="s">
        <v>14</v>
      </c>
      <c r="F1455" s="82" t="s">
        <v>3995</v>
      </c>
      <c r="G1455" s="79" t="s">
        <v>5</v>
      </c>
      <c r="H1455" s="2" t="s">
        <v>20</v>
      </c>
      <c r="I1455" s="2">
        <v>1</v>
      </c>
      <c r="J1455" s="2" t="s">
        <v>3996</v>
      </c>
      <c r="K1455" s="2">
        <v>85.5</v>
      </c>
      <c r="L1455" s="35">
        <v>290239.15500000003</v>
      </c>
      <c r="M1455" s="36">
        <v>50</v>
      </c>
      <c r="N1455" s="40">
        <v>1907.0747663551399</v>
      </c>
      <c r="O1455" s="40">
        <v>49569.428571428602</v>
      </c>
      <c r="P1455" s="40">
        <v>0</v>
      </c>
      <c r="Q1455" s="40">
        <v>14187</v>
      </c>
      <c r="R1455" s="40">
        <v>2073.7242990654199</v>
      </c>
      <c r="S1455" s="40">
        <v>1655.8691588785</v>
      </c>
      <c r="T1455" s="40">
        <v>30000</v>
      </c>
      <c r="U1455" s="62">
        <v>15184.5794392523</v>
      </c>
      <c r="V1455" s="62">
        <v>0</v>
      </c>
      <c r="W1455" s="45">
        <v>114577.67623497995</v>
      </c>
      <c r="X1455" s="46">
        <v>39.476987946364417</v>
      </c>
    </row>
    <row r="1456" spans="1:24" s="4" customFormat="1" ht="15" customHeight="1">
      <c r="A1456" s="79" t="s">
        <v>3955</v>
      </c>
      <c r="B1456" s="80">
        <v>3394.61</v>
      </c>
      <c r="C1456" s="81" t="s">
        <v>3994</v>
      </c>
      <c r="D1456" s="82">
        <v>4952579158</v>
      </c>
      <c r="E1456" s="82" t="s">
        <v>14</v>
      </c>
      <c r="F1456" s="82" t="s">
        <v>3995</v>
      </c>
      <c r="G1456" s="79" t="s">
        <v>5</v>
      </c>
      <c r="H1456" s="2" t="s">
        <v>20</v>
      </c>
      <c r="I1456" s="2">
        <v>1</v>
      </c>
      <c r="J1456" s="2" t="s">
        <v>3996</v>
      </c>
      <c r="K1456" s="2">
        <v>288</v>
      </c>
      <c r="L1456" s="35">
        <v>977647.68</v>
      </c>
      <c r="M1456" s="36">
        <v>150</v>
      </c>
      <c r="N1456" s="40">
        <v>5721.2242990654204</v>
      </c>
      <c r="O1456" s="40">
        <v>49569.428571428602</v>
      </c>
      <c r="P1456" s="40">
        <v>0</v>
      </c>
      <c r="Q1456" s="40">
        <v>14187</v>
      </c>
      <c r="R1456" s="40">
        <v>6221.1728971962602</v>
      </c>
      <c r="S1456" s="40">
        <v>4967.6074766355096</v>
      </c>
      <c r="T1456" s="40">
        <v>30000</v>
      </c>
      <c r="U1456" s="62">
        <v>45553.738317757001</v>
      </c>
      <c r="V1456" s="62">
        <v>0</v>
      </c>
      <c r="W1456" s="45">
        <v>156220.1715620828</v>
      </c>
      <c r="X1456" s="46">
        <v>15.97918910441058</v>
      </c>
    </row>
    <row r="1457" spans="1:24" s="4" customFormat="1" ht="15" customHeight="1">
      <c r="A1457" s="79" t="s">
        <v>3955</v>
      </c>
      <c r="B1457" s="80">
        <v>3394.61</v>
      </c>
      <c r="C1457" s="81" t="s">
        <v>3994</v>
      </c>
      <c r="D1457" s="82">
        <v>4952579158</v>
      </c>
      <c r="E1457" s="82" t="s">
        <v>14</v>
      </c>
      <c r="F1457" s="82" t="s">
        <v>3995</v>
      </c>
      <c r="G1457" s="79" t="s">
        <v>5</v>
      </c>
      <c r="H1457" s="2" t="s">
        <v>20</v>
      </c>
      <c r="I1457" s="2">
        <v>1</v>
      </c>
      <c r="J1457" s="2" t="s">
        <v>3996</v>
      </c>
      <c r="K1457" s="2">
        <v>94</v>
      </c>
      <c r="L1457" s="35">
        <v>319093.34000000003</v>
      </c>
      <c r="M1457" s="36">
        <v>50</v>
      </c>
      <c r="N1457" s="40">
        <v>1907.0747663551399</v>
      </c>
      <c r="O1457" s="40">
        <v>49569.428571428602</v>
      </c>
      <c r="P1457" s="40">
        <v>0</v>
      </c>
      <c r="Q1457" s="40">
        <v>14187</v>
      </c>
      <c r="R1457" s="40">
        <v>2073.7242990654199</v>
      </c>
      <c r="S1457" s="40">
        <v>1655.8691588785</v>
      </c>
      <c r="T1457" s="40">
        <v>30000</v>
      </c>
      <c r="U1457" s="62">
        <v>15184.5794392523</v>
      </c>
      <c r="V1457" s="62">
        <v>0</v>
      </c>
      <c r="W1457" s="45">
        <v>114577.67623497995</v>
      </c>
      <c r="X1457" s="46">
        <v>35.90726031291657</v>
      </c>
    </row>
    <row r="1458" spans="1:24" s="4" customFormat="1" ht="15" customHeight="1">
      <c r="A1458" s="79" t="s">
        <v>3955</v>
      </c>
      <c r="B1458" s="80">
        <v>3394.61</v>
      </c>
      <c r="C1458" s="81" t="s">
        <v>3994</v>
      </c>
      <c r="D1458" s="82">
        <v>4952579158</v>
      </c>
      <c r="E1458" s="82" t="s">
        <v>14</v>
      </c>
      <c r="F1458" s="82" t="s">
        <v>3995</v>
      </c>
      <c r="G1458" s="79" t="s">
        <v>5</v>
      </c>
      <c r="H1458" s="2" t="s">
        <v>20</v>
      </c>
      <c r="I1458" s="2">
        <v>1</v>
      </c>
      <c r="J1458" s="2" t="s">
        <v>3996</v>
      </c>
      <c r="K1458" s="2">
        <v>397.5</v>
      </c>
      <c r="L1458" s="35">
        <v>1349357.4750000001</v>
      </c>
      <c r="M1458" s="36">
        <v>150</v>
      </c>
      <c r="N1458" s="40">
        <v>5721.2242990654204</v>
      </c>
      <c r="O1458" s="40">
        <v>49569.428571428602</v>
      </c>
      <c r="P1458" s="40">
        <v>0</v>
      </c>
      <c r="Q1458" s="40">
        <v>14187</v>
      </c>
      <c r="R1458" s="40">
        <v>6221.1728971962602</v>
      </c>
      <c r="S1458" s="40">
        <v>4967.6074766355096</v>
      </c>
      <c r="T1458" s="40">
        <v>30000</v>
      </c>
      <c r="U1458" s="62">
        <v>45553.738317757001</v>
      </c>
      <c r="V1458" s="62">
        <v>0</v>
      </c>
      <c r="W1458" s="45">
        <v>156220.1715620828</v>
      </c>
      <c r="X1458" s="46">
        <v>11.577374747346532</v>
      </c>
    </row>
    <row r="1459" spans="1:24" s="4" customFormat="1" ht="15" customHeight="1">
      <c r="A1459" s="79" t="s">
        <v>3955</v>
      </c>
      <c r="B1459" s="80">
        <v>3394.61</v>
      </c>
      <c r="C1459" s="81" t="s">
        <v>3994</v>
      </c>
      <c r="D1459" s="82">
        <v>4952579158</v>
      </c>
      <c r="E1459" s="82" t="s">
        <v>14</v>
      </c>
      <c r="F1459" s="82" t="s">
        <v>3995</v>
      </c>
      <c r="G1459" s="79" t="s">
        <v>5</v>
      </c>
      <c r="H1459" s="2" t="s">
        <v>20</v>
      </c>
      <c r="I1459" s="2">
        <v>1</v>
      </c>
      <c r="J1459" s="2" t="s">
        <v>3996</v>
      </c>
      <c r="K1459" s="2">
        <v>372</v>
      </c>
      <c r="L1459" s="35">
        <v>1262794.9200000002</v>
      </c>
      <c r="M1459" s="36">
        <v>150</v>
      </c>
      <c r="N1459" s="40">
        <v>5721.2242990654204</v>
      </c>
      <c r="O1459" s="40">
        <v>49569.428571428602</v>
      </c>
      <c r="P1459" s="40">
        <v>0</v>
      </c>
      <c r="Q1459" s="40">
        <v>14187</v>
      </c>
      <c r="R1459" s="40">
        <v>6221.1728971962602</v>
      </c>
      <c r="S1459" s="40">
        <v>4967.6074766355096</v>
      </c>
      <c r="T1459" s="40">
        <v>30000</v>
      </c>
      <c r="U1459" s="62">
        <v>45553.738317757001</v>
      </c>
      <c r="V1459" s="62">
        <v>0</v>
      </c>
      <c r="W1459" s="45">
        <v>156220.1715620828</v>
      </c>
      <c r="X1459" s="46">
        <v>12.370985113092059</v>
      </c>
    </row>
    <row r="1460" spans="1:24" s="4" customFormat="1" ht="15" customHeight="1">
      <c r="A1460" s="79" t="s">
        <v>3955</v>
      </c>
      <c r="B1460" s="80">
        <v>3394.61</v>
      </c>
      <c r="C1460" s="81" t="s">
        <v>3994</v>
      </c>
      <c r="D1460" s="82">
        <v>4952579158</v>
      </c>
      <c r="E1460" s="82" t="s">
        <v>14</v>
      </c>
      <c r="F1460" s="82" t="s">
        <v>3995</v>
      </c>
      <c r="G1460" s="79" t="s">
        <v>5</v>
      </c>
      <c r="H1460" s="2" t="s">
        <v>20</v>
      </c>
      <c r="I1460" s="2">
        <v>1</v>
      </c>
      <c r="J1460" s="2" t="s">
        <v>3996</v>
      </c>
      <c r="K1460" s="2">
        <v>499.5</v>
      </c>
      <c r="L1460" s="35">
        <v>1695607.6950000001</v>
      </c>
      <c r="M1460" s="36">
        <v>150</v>
      </c>
      <c r="N1460" s="40">
        <v>5721.2242990654204</v>
      </c>
      <c r="O1460" s="40">
        <v>49569.428571428602</v>
      </c>
      <c r="P1460" s="40">
        <v>0</v>
      </c>
      <c r="Q1460" s="40">
        <v>14187</v>
      </c>
      <c r="R1460" s="40">
        <v>6221.1728971962602</v>
      </c>
      <c r="S1460" s="40">
        <v>4967.6074766355096</v>
      </c>
      <c r="T1460" s="40">
        <v>30000</v>
      </c>
      <c r="U1460" s="62">
        <v>45553.738317757001</v>
      </c>
      <c r="V1460" s="62">
        <v>0</v>
      </c>
      <c r="W1460" s="45">
        <v>156220.1715620828</v>
      </c>
      <c r="X1460" s="46">
        <v>9.2132261502907831</v>
      </c>
    </row>
    <row r="1461" spans="1:24" s="4" customFormat="1" ht="15" customHeight="1">
      <c r="A1461" s="79" t="s">
        <v>3955</v>
      </c>
      <c r="B1461" s="80">
        <v>3394.61</v>
      </c>
      <c r="C1461" s="81" t="s">
        <v>3994</v>
      </c>
      <c r="D1461" s="82">
        <v>4952083922</v>
      </c>
      <c r="E1461" s="82" t="s">
        <v>14</v>
      </c>
      <c r="F1461" s="82" t="s">
        <v>3995</v>
      </c>
      <c r="G1461" s="79" t="s">
        <v>5</v>
      </c>
      <c r="H1461" s="2" t="s">
        <v>20</v>
      </c>
      <c r="I1461" s="2">
        <v>1</v>
      </c>
      <c r="J1461" s="2" t="s">
        <v>3996</v>
      </c>
      <c r="K1461" s="2">
        <v>25400</v>
      </c>
      <c r="L1461" s="35">
        <v>86223094</v>
      </c>
      <c r="M1461" s="36">
        <v>10000</v>
      </c>
      <c r="N1461" s="40">
        <v>381414.953271028</v>
      </c>
      <c r="O1461" s="40">
        <v>49569.428571428602</v>
      </c>
      <c r="P1461" s="40">
        <v>0</v>
      </c>
      <c r="Q1461" s="40">
        <v>14187</v>
      </c>
      <c r="R1461" s="40">
        <v>414744.85981308401</v>
      </c>
      <c r="S1461" s="40">
        <v>331173.83177570102</v>
      </c>
      <c r="T1461" s="40">
        <v>30000</v>
      </c>
      <c r="U1461" s="62">
        <v>3036915.8878504699</v>
      </c>
      <c r="V1461" s="62">
        <v>0</v>
      </c>
      <c r="W1461" s="45">
        <v>4258005.9612817112</v>
      </c>
      <c r="X1461" s="46">
        <v>4.9383590448305084</v>
      </c>
    </row>
    <row r="1462" spans="1:24" s="4" customFormat="1" ht="15" customHeight="1">
      <c r="A1462" s="79" t="s">
        <v>3955</v>
      </c>
      <c r="B1462" s="80">
        <v>3394.61</v>
      </c>
      <c r="C1462" s="81" t="s">
        <v>4000</v>
      </c>
      <c r="D1462" s="82">
        <v>4952102839</v>
      </c>
      <c r="E1462" s="82" t="s">
        <v>14</v>
      </c>
      <c r="F1462" s="82" t="s">
        <v>4001</v>
      </c>
      <c r="G1462" s="79" t="s">
        <v>5</v>
      </c>
      <c r="H1462" s="2" t="s">
        <v>26</v>
      </c>
      <c r="I1462" s="2">
        <v>1</v>
      </c>
      <c r="J1462" s="2" t="s">
        <v>4002</v>
      </c>
      <c r="K1462" s="2">
        <v>31824</v>
      </c>
      <c r="L1462" s="35">
        <v>108030068.64</v>
      </c>
      <c r="M1462" s="36">
        <v>18720</v>
      </c>
      <c r="N1462" s="40">
        <v>356072</v>
      </c>
      <c r="O1462" s="40">
        <v>424285</v>
      </c>
      <c r="P1462" s="40">
        <v>807917</v>
      </c>
      <c r="Q1462" s="40">
        <v>99309</v>
      </c>
      <c r="R1462" s="40">
        <v>739007</v>
      </c>
      <c r="S1462" s="40">
        <v>354356</v>
      </c>
      <c r="T1462" s="40">
        <v>30000</v>
      </c>
      <c r="U1462" s="40">
        <v>0</v>
      </c>
      <c r="V1462" s="40">
        <v>0</v>
      </c>
      <c r="W1462" s="45">
        <v>2810946</v>
      </c>
      <c r="X1462" s="46">
        <v>2.6020033453530536</v>
      </c>
    </row>
    <row r="1463" spans="1:24" s="4" customFormat="1" ht="15" customHeight="1">
      <c r="A1463" s="79" t="s">
        <v>3955</v>
      </c>
      <c r="B1463" s="80">
        <v>3394.61</v>
      </c>
      <c r="C1463" s="81" t="s">
        <v>4003</v>
      </c>
      <c r="D1463" s="82">
        <v>4952292335</v>
      </c>
      <c r="E1463" s="82" t="s">
        <v>14</v>
      </c>
      <c r="F1463" s="82" t="s">
        <v>4004</v>
      </c>
      <c r="G1463" s="79" t="s">
        <v>5</v>
      </c>
      <c r="H1463" s="2" t="s">
        <v>17</v>
      </c>
      <c r="I1463" s="2">
        <v>1</v>
      </c>
      <c r="J1463" s="2" t="s">
        <v>4005</v>
      </c>
      <c r="K1463" s="2">
        <v>15420</v>
      </c>
      <c r="L1463" s="35">
        <v>52344886.200000003</v>
      </c>
      <c r="M1463" s="36">
        <v>1200</v>
      </c>
      <c r="N1463" s="40">
        <v>25564.330392943099</v>
      </c>
      <c r="O1463" s="40">
        <v>41382.272727272699</v>
      </c>
      <c r="P1463" s="40">
        <v>0</v>
      </c>
      <c r="Q1463" s="40">
        <v>9028.0909090909099</v>
      </c>
      <c r="R1463" s="40">
        <v>46710.505212509997</v>
      </c>
      <c r="S1463" s="40">
        <v>22733.344025661601</v>
      </c>
      <c r="T1463" s="40">
        <v>30000</v>
      </c>
      <c r="U1463" s="40">
        <v>361863.672814755</v>
      </c>
      <c r="V1463" s="40">
        <v>0</v>
      </c>
      <c r="W1463" s="45">
        <v>537282.21608223324</v>
      </c>
      <c r="X1463" s="46">
        <v>1.0264273266912427</v>
      </c>
    </row>
    <row r="1464" spans="1:24" s="4" customFormat="1" ht="15" customHeight="1">
      <c r="A1464" s="79" t="s">
        <v>3955</v>
      </c>
      <c r="B1464" s="80">
        <v>3394.61</v>
      </c>
      <c r="C1464" s="81" t="s">
        <v>4003</v>
      </c>
      <c r="D1464" s="82">
        <v>4951874493</v>
      </c>
      <c r="E1464" s="82" t="s">
        <v>14</v>
      </c>
      <c r="F1464" s="82" t="s">
        <v>4004</v>
      </c>
      <c r="G1464" s="79" t="s">
        <v>5</v>
      </c>
      <c r="H1464" s="2" t="s">
        <v>17</v>
      </c>
      <c r="I1464" s="2">
        <v>1</v>
      </c>
      <c r="J1464" s="2" t="s">
        <v>4005</v>
      </c>
      <c r="K1464" s="2">
        <v>6602.4</v>
      </c>
      <c r="L1464" s="35">
        <v>22412573.063999999</v>
      </c>
      <c r="M1464" s="36">
        <v>2520</v>
      </c>
      <c r="N1464" s="40">
        <v>53685.093825180396</v>
      </c>
      <c r="O1464" s="40">
        <v>41382.272727272699</v>
      </c>
      <c r="P1464" s="40">
        <v>0</v>
      </c>
      <c r="Q1464" s="40">
        <v>9028.0909090909099</v>
      </c>
      <c r="R1464" s="40">
        <v>98092.0609462711</v>
      </c>
      <c r="S1464" s="40">
        <v>47740.022453889302</v>
      </c>
      <c r="T1464" s="40">
        <v>30000</v>
      </c>
      <c r="U1464" s="40">
        <v>759913.71291098604</v>
      </c>
      <c r="V1464" s="40">
        <v>0</v>
      </c>
      <c r="W1464" s="45">
        <v>1039841.2537726904</v>
      </c>
      <c r="X1464" s="46">
        <v>4.6395442897314023</v>
      </c>
    </row>
    <row r="1465" spans="1:24" s="4" customFormat="1" ht="15" customHeight="1">
      <c r="A1465" s="79" t="s">
        <v>3955</v>
      </c>
      <c r="B1465" s="80">
        <v>3394.61</v>
      </c>
      <c r="C1465" s="81" t="s">
        <v>4003</v>
      </c>
      <c r="D1465" s="82">
        <v>4951726540</v>
      </c>
      <c r="E1465" s="82" t="s">
        <v>14</v>
      </c>
      <c r="F1465" s="82" t="s">
        <v>4004</v>
      </c>
      <c r="G1465" s="79" t="s">
        <v>5</v>
      </c>
      <c r="H1465" s="2" t="s">
        <v>17</v>
      </c>
      <c r="I1465" s="2">
        <v>1</v>
      </c>
      <c r="J1465" s="2" t="s">
        <v>4005</v>
      </c>
      <c r="K1465" s="2">
        <v>5166</v>
      </c>
      <c r="L1465" s="35">
        <v>17536555.260000002</v>
      </c>
      <c r="M1465" s="36">
        <v>1800</v>
      </c>
      <c r="N1465" s="40">
        <v>38346.495589414597</v>
      </c>
      <c r="O1465" s="40">
        <v>41382.272727272699</v>
      </c>
      <c r="P1465" s="40">
        <v>0</v>
      </c>
      <c r="Q1465" s="40">
        <v>9028.0909090909099</v>
      </c>
      <c r="R1465" s="40">
        <v>70065.757818765007</v>
      </c>
      <c r="S1465" s="40">
        <v>34100.016038492402</v>
      </c>
      <c r="T1465" s="40">
        <v>30000</v>
      </c>
      <c r="U1465" s="40">
        <v>542795.50922213297</v>
      </c>
      <c r="V1465" s="40">
        <v>0</v>
      </c>
      <c r="W1465" s="45">
        <v>765718.14230516856</v>
      </c>
      <c r="X1465" s="46">
        <v>4.3664113672981886</v>
      </c>
    </row>
    <row r="1466" spans="1:24" s="4" customFormat="1" ht="15" customHeight="1">
      <c r="A1466" s="79" t="s">
        <v>3955</v>
      </c>
      <c r="B1466" s="80">
        <v>3394.61</v>
      </c>
      <c r="C1466" s="81" t="s">
        <v>4003</v>
      </c>
      <c r="D1466" s="82">
        <v>4952461137</v>
      </c>
      <c r="E1466" s="82" t="s">
        <v>14</v>
      </c>
      <c r="F1466" s="82" t="s">
        <v>4004</v>
      </c>
      <c r="G1466" s="79" t="s">
        <v>5</v>
      </c>
      <c r="H1466" s="2" t="s">
        <v>17</v>
      </c>
      <c r="I1466" s="2">
        <v>1</v>
      </c>
      <c r="J1466" s="2" t="s">
        <v>4005</v>
      </c>
      <c r="K1466" s="2">
        <v>329.7</v>
      </c>
      <c r="L1466" s="35">
        <v>1119202.9169999999</v>
      </c>
      <c r="M1466" s="36">
        <v>30</v>
      </c>
      <c r="N1466" s="40">
        <v>639.10825982357699</v>
      </c>
      <c r="O1466" s="40">
        <v>41382.272727272699</v>
      </c>
      <c r="P1466" s="40">
        <v>0</v>
      </c>
      <c r="Q1466" s="40">
        <v>9028.0909090909099</v>
      </c>
      <c r="R1466" s="40">
        <v>1167.7626303127499</v>
      </c>
      <c r="S1466" s="40">
        <v>568.33360064153999</v>
      </c>
      <c r="T1466" s="40">
        <v>30000</v>
      </c>
      <c r="U1466" s="40">
        <v>9046.5918203688907</v>
      </c>
      <c r="V1466" s="40">
        <v>0</v>
      </c>
      <c r="W1466" s="45">
        <v>91832.159947510372</v>
      </c>
      <c r="X1466" s="46">
        <v>8.2051394392059454</v>
      </c>
    </row>
    <row r="1467" spans="1:24" s="4" customFormat="1" ht="15" customHeight="1">
      <c r="A1467" s="79" t="s">
        <v>3955</v>
      </c>
      <c r="B1467" s="80">
        <v>3394.61</v>
      </c>
      <c r="C1467" s="81" t="s">
        <v>4003</v>
      </c>
      <c r="D1467" s="82">
        <v>4952461137</v>
      </c>
      <c r="E1467" s="82" t="s">
        <v>14</v>
      </c>
      <c r="F1467" s="82" t="s">
        <v>4004</v>
      </c>
      <c r="G1467" s="79" t="s">
        <v>5</v>
      </c>
      <c r="H1467" s="2" t="s">
        <v>17</v>
      </c>
      <c r="I1467" s="2">
        <v>1</v>
      </c>
      <c r="J1467" s="2" t="s">
        <v>4005</v>
      </c>
      <c r="K1467" s="2">
        <v>3500</v>
      </c>
      <c r="L1467" s="35">
        <v>11881135</v>
      </c>
      <c r="M1467" s="36">
        <v>1600</v>
      </c>
      <c r="N1467" s="40">
        <v>34085.773857257402</v>
      </c>
      <c r="O1467" s="40">
        <v>41382.272727272699</v>
      </c>
      <c r="P1467" s="40">
        <v>0</v>
      </c>
      <c r="Q1467" s="40">
        <v>9028.0909090909099</v>
      </c>
      <c r="R1467" s="40">
        <v>62280.673616679996</v>
      </c>
      <c r="S1467" s="40">
        <v>30311.125367548801</v>
      </c>
      <c r="T1467" s="40">
        <v>30000</v>
      </c>
      <c r="U1467" s="40">
        <v>482484.89708634099</v>
      </c>
      <c r="V1467" s="40">
        <v>0</v>
      </c>
      <c r="W1467" s="45">
        <v>689572.83356419078</v>
      </c>
      <c r="X1467" s="46">
        <v>5.8039306309051346</v>
      </c>
    </row>
    <row r="1468" spans="1:24" s="4" customFormat="1" ht="15" customHeight="1">
      <c r="A1468" s="79" t="s">
        <v>3955</v>
      </c>
      <c r="B1468" s="80">
        <v>3394.61</v>
      </c>
      <c r="C1468" s="81" t="s">
        <v>4003</v>
      </c>
      <c r="D1468" s="82">
        <v>4952628210</v>
      </c>
      <c r="E1468" s="82" t="s">
        <v>14</v>
      </c>
      <c r="F1468" s="82" t="s">
        <v>4004</v>
      </c>
      <c r="G1468" s="79" t="s">
        <v>5</v>
      </c>
      <c r="H1468" s="2" t="s">
        <v>17</v>
      </c>
      <c r="I1468" s="2">
        <v>1</v>
      </c>
      <c r="J1468" s="2" t="s">
        <v>4005</v>
      </c>
      <c r="K1468" s="2">
        <v>3952</v>
      </c>
      <c r="L1468" s="35">
        <v>13415498.720000001</v>
      </c>
      <c r="M1468" s="36">
        <v>1600</v>
      </c>
      <c r="N1468" s="40">
        <v>34085.773857257402</v>
      </c>
      <c r="O1468" s="40">
        <v>41382.272727272699</v>
      </c>
      <c r="P1468" s="40">
        <v>0</v>
      </c>
      <c r="Q1468" s="40">
        <v>9028.0909090909099</v>
      </c>
      <c r="R1468" s="40">
        <v>62280.673616679996</v>
      </c>
      <c r="S1468" s="40">
        <v>30311.125367548801</v>
      </c>
      <c r="T1468" s="40">
        <v>30000</v>
      </c>
      <c r="U1468" s="40">
        <v>482484.89708634099</v>
      </c>
      <c r="V1468" s="40">
        <v>0</v>
      </c>
      <c r="W1468" s="45">
        <v>689572.83356419078</v>
      </c>
      <c r="X1468" s="46">
        <v>5.1401207510546483</v>
      </c>
    </row>
    <row r="1469" spans="1:24" s="4" customFormat="1" ht="15" customHeight="1">
      <c r="A1469" s="79" t="s">
        <v>3955</v>
      </c>
      <c r="B1469" s="80">
        <v>3394.61</v>
      </c>
      <c r="C1469" s="81" t="s">
        <v>4003</v>
      </c>
      <c r="D1469" s="82">
        <v>4952701160</v>
      </c>
      <c r="E1469" s="82" t="s">
        <v>14</v>
      </c>
      <c r="F1469" s="82" t="s">
        <v>4004</v>
      </c>
      <c r="G1469" s="79" t="s">
        <v>5</v>
      </c>
      <c r="H1469" s="2" t="s">
        <v>17</v>
      </c>
      <c r="I1469" s="2">
        <v>1</v>
      </c>
      <c r="J1469" s="2" t="s">
        <v>4005</v>
      </c>
      <c r="K1469" s="2">
        <v>4242</v>
      </c>
      <c r="L1469" s="35">
        <v>14399935.620000001</v>
      </c>
      <c r="M1469" s="36">
        <v>1400</v>
      </c>
      <c r="N1469" s="40">
        <v>29825.052125100199</v>
      </c>
      <c r="O1469" s="40">
        <v>41382.272727272699</v>
      </c>
      <c r="P1469" s="40">
        <v>0</v>
      </c>
      <c r="Q1469" s="40">
        <v>9028.0909090909099</v>
      </c>
      <c r="R1469" s="40">
        <v>54495.589414595001</v>
      </c>
      <c r="S1469" s="40">
        <v>26522.234696605199</v>
      </c>
      <c r="T1469" s="40">
        <v>30000</v>
      </c>
      <c r="U1469" s="40">
        <v>422174.28495054803</v>
      </c>
      <c r="V1469" s="40">
        <v>0</v>
      </c>
      <c r="W1469" s="45">
        <v>613427.52482321206</v>
      </c>
      <c r="X1469" s="46">
        <v>4.2599324122756874</v>
      </c>
    </row>
    <row r="1470" spans="1:24" s="4" customFormat="1" ht="15" customHeight="1">
      <c r="A1470" s="79" t="s">
        <v>3955</v>
      </c>
      <c r="B1470" s="80">
        <v>3394.61</v>
      </c>
      <c r="C1470" s="81" t="s">
        <v>4003</v>
      </c>
      <c r="D1470" s="82">
        <v>4952701160</v>
      </c>
      <c r="E1470" s="82" t="s">
        <v>14</v>
      </c>
      <c r="F1470" s="82" t="s">
        <v>4004</v>
      </c>
      <c r="G1470" s="79" t="s">
        <v>5</v>
      </c>
      <c r="H1470" s="2" t="s">
        <v>17</v>
      </c>
      <c r="I1470" s="2">
        <v>1</v>
      </c>
      <c r="J1470" s="2" t="s">
        <v>4005</v>
      </c>
      <c r="K1470" s="2">
        <v>2736</v>
      </c>
      <c r="L1470" s="35">
        <v>9287652.9600000009</v>
      </c>
      <c r="M1470" s="36">
        <v>800</v>
      </c>
      <c r="N1470" s="40">
        <v>17042.886928628701</v>
      </c>
      <c r="O1470" s="40">
        <v>41382.272727272699</v>
      </c>
      <c r="P1470" s="40">
        <v>0</v>
      </c>
      <c r="Q1470" s="40">
        <v>9028.0909090909099</v>
      </c>
      <c r="R1470" s="40">
        <v>31140.336808339998</v>
      </c>
      <c r="S1470" s="40">
        <v>15155.5626837744</v>
      </c>
      <c r="T1470" s="40">
        <v>30000</v>
      </c>
      <c r="U1470" s="40">
        <v>241242.44854317</v>
      </c>
      <c r="V1470" s="40">
        <v>0</v>
      </c>
      <c r="W1470" s="45">
        <v>384991.59860027675</v>
      </c>
      <c r="X1470" s="46">
        <v>4.1451979338413683</v>
      </c>
    </row>
    <row r="1471" spans="1:24" s="4" customFormat="1" ht="15" customHeight="1">
      <c r="A1471" s="79" t="s">
        <v>3955</v>
      </c>
      <c r="B1471" s="80">
        <v>3394.61</v>
      </c>
      <c r="C1471" s="81" t="s">
        <v>4003</v>
      </c>
      <c r="D1471" s="82">
        <v>4952701160</v>
      </c>
      <c r="E1471" s="82" t="s">
        <v>14</v>
      </c>
      <c r="F1471" s="82" t="s">
        <v>4004</v>
      </c>
      <c r="G1471" s="79" t="s">
        <v>5</v>
      </c>
      <c r="H1471" s="2" t="s">
        <v>17</v>
      </c>
      <c r="I1471" s="2">
        <v>1</v>
      </c>
      <c r="J1471" s="2" t="s">
        <v>4005</v>
      </c>
      <c r="K1471" s="2">
        <v>7119</v>
      </c>
      <c r="L1471" s="35">
        <v>24166228.59</v>
      </c>
      <c r="M1471" s="36">
        <v>1575</v>
      </c>
      <c r="N1471" s="40">
        <v>33553.1836407378</v>
      </c>
      <c r="O1471" s="40">
        <v>41382.272727272699</v>
      </c>
      <c r="P1471" s="40">
        <v>0</v>
      </c>
      <c r="Q1471" s="40">
        <v>9028.0909090909099</v>
      </c>
      <c r="R1471" s="40">
        <v>61307.538091419403</v>
      </c>
      <c r="S1471" s="40">
        <v>29837.5140336808</v>
      </c>
      <c r="T1471" s="40">
        <v>30000</v>
      </c>
      <c r="U1471" s="40">
        <v>474946.07056936598</v>
      </c>
      <c r="V1471" s="40">
        <v>0</v>
      </c>
      <c r="W1471" s="45">
        <v>680054.66997156758</v>
      </c>
      <c r="X1471" s="46">
        <v>2.8140703355465844</v>
      </c>
    </row>
    <row r="1472" spans="1:24" s="4" customFormat="1" ht="15" customHeight="1">
      <c r="A1472" s="79" t="s">
        <v>3955</v>
      </c>
      <c r="B1472" s="80">
        <v>3394.61</v>
      </c>
      <c r="C1472" s="81" t="s">
        <v>4003</v>
      </c>
      <c r="D1472" s="82">
        <v>4951874493</v>
      </c>
      <c r="E1472" s="82" t="s">
        <v>14</v>
      </c>
      <c r="F1472" s="82" t="s">
        <v>4004</v>
      </c>
      <c r="G1472" s="79" t="s">
        <v>5</v>
      </c>
      <c r="H1472" s="2" t="s">
        <v>17</v>
      </c>
      <c r="I1472" s="2">
        <v>1</v>
      </c>
      <c r="J1472" s="2" t="s">
        <v>4005</v>
      </c>
      <c r="K1472" s="2">
        <v>2500</v>
      </c>
      <c r="L1472" s="35">
        <v>8486525</v>
      </c>
      <c r="M1472" s="36">
        <v>1680</v>
      </c>
      <c r="N1472" s="40">
        <v>17895.031275060101</v>
      </c>
      <c r="O1472" s="40">
        <v>41382.272727272699</v>
      </c>
      <c r="P1472" s="40">
        <v>0</v>
      </c>
      <c r="Q1472" s="40">
        <v>9028.0909090909099</v>
      </c>
      <c r="R1472" s="40">
        <v>32697.353648757002</v>
      </c>
      <c r="S1472" s="40">
        <v>15913.340817963101</v>
      </c>
      <c r="T1472" s="40">
        <v>30000</v>
      </c>
      <c r="U1472" s="40">
        <v>253304.57097032899</v>
      </c>
      <c r="V1472" s="40">
        <v>0</v>
      </c>
      <c r="W1472" s="45">
        <v>400220.66034847277</v>
      </c>
      <c r="X1472" s="46">
        <v>4.7159545320195573</v>
      </c>
    </row>
    <row r="1473" spans="1:24" s="4" customFormat="1" ht="15" customHeight="1">
      <c r="A1473" s="79" t="s">
        <v>3955</v>
      </c>
      <c r="B1473" s="80">
        <v>3394.61</v>
      </c>
      <c r="C1473" s="81" t="s">
        <v>4003</v>
      </c>
      <c r="D1473" s="82">
        <v>4952351996</v>
      </c>
      <c r="E1473" s="82" t="s">
        <v>14</v>
      </c>
      <c r="F1473" s="82" t="s">
        <v>4004</v>
      </c>
      <c r="G1473" s="79" t="s">
        <v>5</v>
      </c>
      <c r="H1473" s="2" t="s">
        <v>17</v>
      </c>
      <c r="I1473" s="2">
        <v>1</v>
      </c>
      <c r="J1473" s="2" t="s">
        <v>4005</v>
      </c>
      <c r="K1473" s="2">
        <v>12195</v>
      </c>
      <c r="L1473" s="35">
        <v>41397268.950000003</v>
      </c>
      <c r="M1473" s="36">
        <v>4500</v>
      </c>
      <c r="N1473" s="40">
        <v>17895.031275060101</v>
      </c>
      <c r="O1473" s="40">
        <v>41382.272727272699</v>
      </c>
      <c r="P1473" s="40">
        <v>0</v>
      </c>
      <c r="Q1473" s="40">
        <v>9028.0909090909099</v>
      </c>
      <c r="R1473" s="40">
        <v>32697.353648757002</v>
      </c>
      <c r="S1473" s="40">
        <v>15913.340817963101</v>
      </c>
      <c r="T1473" s="40">
        <v>30000</v>
      </c>
      <c r="U1473" s="40">
        <v>253304.57097032899</v>
      </c>
      <c r="V1473" s="40">
        <v>0</v>
      </c>
      <c r="W1473" s="45">
        <v>400220.66034847277</v>
      </c>
      <c r="X1473" s="46">
        <v>0.96678034686747782</v>
      </c>
    </row>
    <row r="1474" spans="1:24" s="4" customFormat="1" ht="15" customHeight="1">
      <c r="A1474" s="79" t="s">
        <v>3955</v>
      </c>
      <c r="B1474" s="80">
        <v>3394.61</v>
      </c>
      <c r="C1474" s="81" t="s">
        <v>4012</v>
      </c>
      <c r="D1474" s="82">
        <v>4952462835</v>
      </c>
      <c r="E1474" s="82" t="s">
        <v>14</v>
      </c>
      <c r="F1474" s="82" t="s">
        <v>4013</v>
      </c>
      <c r="G1474" s="79" t="s">
        <v>9</v>
      </c>
      <c r="H1474" s="2" t="s">
        <v>23</v>
      </c>
      <c r="I1474" s="2">
        <v>1</v>
      </c>
      <c r="J1474" s="2"/>
      <c r="K1474" s="2">
        <v>24181.5</v>
      </c>
      <c r="L1474" s="35">
        <v>82086761.715000004</v>
      </c>
      <c r="M1474" s="36">
        <v>1050</v>
      </c>
      <c r="N1474" s="40">
        <v>551800</v>
      </c>
      <c r="O1474" s="40">
        <v>759</v>
      </c>
      <c r="P1474" s="40">
        <v>120423</v>
      </c>
      <c r="Q1474" s="40">
        <v>17486</v>
      </c>
      <c r="R1474" s="40">
        <v>107640</v>
      </c>
      <c r="S1474" s="40">
        <v>354356</v>
      </c>
      <c r="T1474" s="40">
        <v>30000</v>
      </c>
      <c r="U1474" s="40">
        <v>501092.67734553799</v>
      </c>
      <c r="V1474" s="40">
        <v>0</v>
      </c>
      <c r="W1474" s="45">
        <v>1683556.677345538</v>
      </c>
      <c r="X1474" s="46">
        <v>2.0509478534318841</v>
      </c>
    </row>
    <row r="1475" spans="1:24" s="4" customFormat="1" ht="15" customHeight="1">
      <c r="A1475" s="79" t="s">
        <v>3955</v>
      </c>
      <c r="B1475" s="80">
        <v>3394.61</v>
      </c>
      <c r="C1475" s="81" t="s">
        <v>4014</v>
      </c>
      <c r="D1475" s="82">
        <v>4952701189</v>
      </c>
      <c r="E1475" s="82" t="s">
        <v>14</v>
      </c>
      <c r="F1475" s="82" t="s">
        <v>4015</v>
      </c>
      <c r="G1475" s="79" t="s">
        <v>9</v>
      </c>
      <c r="H1475" s="2" t="s">
        <v>23</v>
      </c>
      <c r="I1475" s="2">
        <v>1</v>
      </c>
      <c r="J1475" s="2"/>
      <c r="K1475" s="2">
        <v>2967</v>
      </c>
      <c r="L1475" s="35">
        <v>10071807.870000001</v>
      </c>
      <c r="M1475" s="36">
        <v>60</v>
      </c>
      <c r="N1475" s="40">
        <v>457919</v>
      </c>
      <c r="O1475" s="40">
        <v>69</v>
      </c>
      <c r="P1475" s="40">
        <v>0</v>
      </c>
      <c r="Q1475" s="40">
        <v>1249</v>
      </c>
      <c r="R1475" s="40">
        <v>89788</v>
      </c>
      <c r="S1475" s="40">
        <v>354356</v>
      </c>
      <c r="T1475" s="40">
        <v>30000</v>
      </c>
      <c r="U1475" s="40">
        <v>48688.715953307401</v>
      </c>
      <c r="V1475" s="40">
        <v>0</v>
      </c>
      <c r="W1475" s="45">
        <v>982069.71595330746</v>
      </c>
      <c r="X1475" s="46">
        <v>9.7506796061758809</v>
      </c>
    </row>
    <row r="1476" spans="1:24" s="4" customFormat="1" ht="15" customHeight="1">
      <c r="A1476" s="79" t="s">
        <v>3955</v>
      </c>
      <c r="B1476" s="80">
        <v>3394.61</v>
      </c>
      <c r="C1476" s="81" t="s">
        <v>4016</v>
      </c>
      <c r="D1476" s="82" t="s">
        <v>4017</v>
      </c>
      <c r="E1476" s="82" t="s">
        <v>14</v>
      </c>
      <c r="F1476" s="82" t="s">
        <v>4018</v>
      </c>
      <c r="G1476" s="79" t="s">
        <v>9</v>
      </c>
      <c r="H1476" s="2" t="s">
        <v>23</v>
      </c>
      <c r="I1476" s="2">
        <v>1</v>
      </c>
      <c r="J1476" s="2"/>
      <c r="K1476" s="2">
        <v>1792</v>
      </c>
      <c r="L1476" s="35">
        <v>6083141.1200000001</v>
      </c>
      <c r="M1476" s="36">
        <v>800</v>
      </c>
      <c r="N1476" s="40">
        <v>700535</v>
      </c>
      <c r="O1476" s="40">
        <v>591</v>
      </c>
      <c r="P1476" s="40">
        <v>0</v>
      </c>
      <c r="Q1476" s="40">
        <v>13544</v>
      </c>
      <c r="R1476" s="40">
        <v>98603</v>
      </c>
      <c r="S1476" s="40">
        <v>354356</v>
      </c>
      <c r="T1476" s="40">
        <v>30000</v>
      </c>
      <c r="U1476" s="40">
        <v>542075.36231884104</v>
      </c>
      <c r="V1476" s="40">
        <v>0</v>
      </c>
      <c r="W1476" s="45">
        <v>1739704.362318841</v>
      </c>
      <c r="X1476" s="46">
        <v>28.598783556065865</v>
      </c>
    </row>
    <row r="1477" spans="1:24" s="4" customFormat="1" ht="15" customHeight="1">
      <c r="A1477" s="79" t="s">
        <v>3955</v>
      </c>
      <c r="B1477" s="80">
        <v>3394.61</v>
      </c>
      <c r="C1477" s="81" t="s">
        <v>4019</v>
      </c>
      <c r="D1477" s="82">
        <v>4952628212</v>
      </c>
      <c r="E1477" s="82" t="s">
        <v>14</v>
      </c>
      <c r="F1477" s="82" t="s">
        <v>4020</v>
      </c>
      <c r="G1477" s="79" t="s">
        <v>9</v>
      </c>
      <c r="H1477" s="2" t="s">
        <v>23</v>
      </c>
      <c r="I1477" s="2">
        <v>1</v>
      </c>
      <c r="J1477" s="2"/>
      <c r="K1477" s="2">
        <v>22534.400000000001</v>
      </c>
      <c r="L1477" s="35">
        <v>76495499.584000006</v>
      </c>
      <c r="M1477" s="36">
        <v>320</v>
      </c>
      <c r="N1477" s="40">
        <v>493378</v>
      </c>
      <c r="O1477" s="40">
        <v>242</v>
      </c>
      <c r="P1477" s="40">
        <v>0</v>
      </c>
      <c r="Q1477" s="40">
        <v>0</v>
      </c>
      <c r="R1477" s="40">
        <v>94531</v>
      </c>
      <c r="S1477" s="40">
        <v>354356</v>
      </c>
      <c r="T1477" s="40">
        <v>30000</v>
      </c>
      <c r="U1477" s="40">
        <v>259673.15175097299</v>
      </c>
      <c r="V1477" s="40">
        <v>0</v>
      </c>
      <c r="W1477" s="45">
        <v>1232180.151750973</v>
      </c>
      <c r="X1477" s="46">
        <v>1.6107877698058708</v>
      </c>
    </row>
    <row r="1478" spans="1:24" s="4" customFormat="1" ht="15" customHeight="1">
      <c r="A1478" s="79" t="s">
        <v>3955</v>
      </c>
      <c r="B1478" s="80">
        <v>3394.61</v>
      </c>
      <c r="C1478" s="81" t="s">
        <v>4021</v>
      </c>
      <c r="D1478" s="82">
        <v>4952973675</v>
      </c>
      <c r="E1478" s="82" t="s">
        <v>14</v>
      </c>
      <c r="F1478" s="82">
        <v>1028606076</v>
      </c>
      <c r="G1478" s="79" t="s">
        <v>13</v>
      </c>
      <c r="H1478" s="2" t="s">
        <v>23</v>
      </c>
      <c r="I1478" s="2">
        <v>1</v>
      </c>
      <c r="J1478" s="2"/>
      <c r="K1478" s="2">
        <v>318.13</v>
      </c>
      <c r="L1478" s="35">
        <v>1079927.2793000001</v>
      </c>
      <c r="M1478" s="36">
        <v>0.5</v>
      </c>
      <c r="N1478" s="40">
        <v>148293</v>
      </c>
      <c r="O1478" s="40">
        <v>0</v>
      </c>
      <c r="P1478" s="40">
        <v>0</v>
      </c>
      <c r="Q1478" s="40">
        <v>0</v>
      </c>
      <c r="R1478" s="40">
        <v>593</v>
      </c>
      <c r="S1478" s="40">
        <v>354356</v>
      </c>
      <c r="T1478" s="40">
        <v>30000</v>
      </c>
      <c r="U1478" s="40">
        <v>1530.31055900621</v>
      </c>
      <c r="V1478" s="40">
        <v>0</v>
      </c>
      <c r="W1478" s="45">
        <v>534772.31055900618</v>
      </c>
      <c r="X1478" s="46">
        <v>49.51928901227879</v>
      </c>
    </row>
    <row r="1479" spans="1:24" s="4" customFormat="1" ht="15" customHeight="1">
      <c r="A1479" s="79" t="s">
        <v>3955</v>
      </c>
      <c r="B1479" s="80">
        <v>3394.61</v>
      </c>
      <c r="C1479" s="81" t="s">
        <v>4022</v>
      </c>
      <c r="D1479" s="82">
        <v>4953236326</v>
      </c>
      <c r="E1479" s="82" t="s">
        <v>14</v>
      </c>
      <c r="F1479" s="82">
        <v>1028606146</v>
      </c>
      <c r="G1479" s="79" t="s">
        <v>13</v>
      </c>
      <c r="H1479" s="2" t="s">
        <v>23</v>
      </c>
      <c r="I1479" s="2">
        <v>1</v>
      </c>
      <c r="J1479" s="2"/>
      <c r="K1479" s="2">
        <v>657.3</v>
      </c>
      <c r="L1479" s="35">
        <v>2231277.1529999999</v>
      </c>
      <c r="M1479" s="36">
        <v>10</v>
      </c>
      <c r="N1479" s="40">
        <v>148293</v>
      </c>
      <c r="O1479" s="40">
        <v>0</v>
      </c>
      <c r="P1479" s="40">
        <v>0</v>
      </c>
      <c r="Q1479" s="40">
        <v>0</v>
      </c>
      <c r="R1479" s="40">
        <v>593</v>
      </c>
      <c r="S1479" s="40">
        <v>354356</v>
      </c>
      <c r="T1479" s="40">
        <v>30000</v>
      </c>
      <c r="U1479" s="40">
        <v>30606.211180124199</v>
      </c>
      <c r="V1479" s="40">
        <v>0</v>
      </c>
      <c r="W1479" s="45">
        <v>563848.2111801242</v>
      </c>
      <c r="X1479" s="46">
        <v>25.270200540619449</v>
      </c>
    </row>
    <row r="1480" spans="1:24" s="4" customFormat="1" ht="15" customHeight="1">
      <c r="A1480" s="79" t="s">
        <v>3955</v>
      </c>
      <c r="B1480" s="80">
        <v>3394.61</v>
      </c>
      <c r="C1480" s="81" t="s">
        <v>4023</v>
      </c>
      <c r="D1480" s="82">
        <v>4953293410</v>
      </c>
      <c r="E1480" s="82" t="s">
        <v>14</v>
      </c>
      <c r="F1480" s="82">
        <v>1028629613</v>
      </c>
      <c r="G1480" s="79" t="s">
        <v>13</v>
      </c>
      <c r="H1480" s="2" t="s">
        <v>23</v>
      </c>
      <c r="I1480" s="2">
        <v>1</v>
      </c>
      <c r="J1480" s="2"/>
      <c r="K1480" s="2">
        <v>402.2</v>
      </c>
      <c r="L1480" s="35">
        <v>1365312.142</v>
      </c>
      <c r="M1480" s="36">
        <v>10</v>
      </c>
      <c r="N1480" s="40">
        <v>148293</v>
      </c>
      <c r="O1480" s="40">
        <v>0</v>
      </c>
      <c r="P1480" s="40">
        <v>0</v>
      </c>
      <c r="Q1480" s="40">
        <v>0</v>
      </c>
      <c r="R1480" s="40">
        <v>593</v>
      </c>
      <c r="S1480" s="40">
        <v>354356</v>
      </c>
      <c r="T1480" s="40">
        <v>30000</v>
      </c>
      <c r="U1480" s="40">
        <v>30606.211180124199</v>
      </c>
      <c r="V1480" s="40">
        <v>0</v>
      </c>
      <c r="W1480" s="45">
        <v>563848.2111801242</v>
      </c>
      <c r="X1480" s="46">
        <v>41.298117392712982</v>
      </c>
    </row>
    <row r="1481" spans="1:24" s="4" customFormat="1" ht="15" customHeight="1">
      <c r="A1481" s="79" t="s">
        <v>3955</v>
      </c>
      <c r="B1481" s="80">
        <v>3394.61</v>
      </c>
      <c r="C1481" s="81" t="s">
        <v>4024</v>
      </c>
      <c r="D1481" s="82">
        <v>4952465115</v>
      </c>
      <c r="E1481" s="82" t="s">
        <v>14</v>
      </c>
      <c r="F1481" s="82" t="s">
        <v>4025</v>
      </c>
      <c r="G1481" s="79" t="s">
        <v>13</v>
      </c>
      <c r="H1481" s="2" t="s">
        <v>23</v>
      </c>
      <c r="I1481" s="2">
        <v>3</v>
      </c>
      <c r="J1481" s="2"/>
      <c r="K1481" s="2">
        <v>2462.4</v>
      </c>
      <c r="L1481" s="35">
        <v>8358887.6640000008</v>
      </c>
      <c r="M1481" s="36">
        <v>60</v>
      </c>
      <c r="N1481" s="40">
        <v>1177731</v>
      </c>
      <c r="O1481" s="40">
        <v>0</v>
      </c>
      <c r="P1481" s="40">
        <v>0</v>
      </c>
      <c r="Q1481" s="40">
        <v>0</v>
      </c>
      <c r="R1481" s="40">
        <v>6966</v>
      </c>
      <c r="S1481" s="40">
        <v>354356</v>
      </c>
      <c r="T1481" s="40">
        <v>30000</v>
      </c>
      <c r="U1481" s="40">
        <v>183637.26708074499</v>
      </c>
      <c r="V1481" s="40">
        <v>0</v>
      </c>
      <c r="W1481" s="45">
        <v>1752690.267080745</v>
      </c>
      <c r="X1481" s="46">
        <v>20.967984467948039</v>
      </c>
    </row>
    <row r="1482" spans="1:24" s="4" customFormat="1" ht="15" customHeight="1">
      <c r="A1482" s="79" t="s">
        <v>3955</v>
      </c>
      <c r="B1482" s="80">
        <v>3394.61</v>
      </c>
      <c r="C1482" s="81" t="s">
        <v>4026</v>
      </c>
      <c r="D1482" s="82">
        <v>4953184150</v>
      </c>
      <c r="E1482" s="82" t="s">
        <v>14</v>
      </c>
      <c r="F1482" s="82" t="s">
        <v>4027</v>
      </c>
      <c r="G1482" s="79" t="s">
        <v>13</v>
      </c>
      <c r="H1482" s="2" t="s">
        <v>23</v>
      </c>
      <c r="I1482" s="2">
        <v>2</v>
      </c>
      <c r="J1482" s="2"/>
      <c r="K1482" s="2">
        <v>5124</v>
      </c>
      <c r="L1482" s="35">
        <v>17393981.640000001</v>
      </c>
      <c r="M1482" s="36">
        <v>1200</v>
      </c>
      <c r="N1482" s="40">
        <v>835618</v>
      </c>
      <c r="O1482" s="40">
        <v>0</v>
      </c>
      <c r="P1482" s="40">
        <v>0</v>
      </c>
      <c r="Q1482" s="40">
        <v>0</v>
      </c>
      <c r="R1482" s="40">
        <v>37323</v>
      </c>
      <c r="S1482" s="40">
        <v>354356</v>
      </c>
      <c r="T1482" s="40">
        <v>30000</v>
      </c>
      <c r="U1482" s="40">
        <v>243338.271604938</v>
      </c>
      <c r="V1482" s="40">
        <v>0</v>
      </c>
      <c r="W1482" s="45">
        <v>1500635.271604938</v>
      </c>
      <c r="X1482" s="46">
        <v>8.6273246842690003</v>
      </c>
    </row>
    <row r="1483" spans="1:24" s="4" customFormat="1" ht="15" customHeight="1">
      <c r="A1483" s="79" t="s">
        <v>3955</v>
      </c>
      <c r="B1483" s="80">
        <v>3394.61</v>
      </c>
      <c r="C1483" s="81" t="s">
        <v>4028</v>
      </c>
      <c r="D1483" s="82">
        <v>4952973689</v>
      </c>
      <c r="E1483" s="82" t="s">
        <v>14</v>
      </c>
      <c r="F1483" s="82" t="s">
        <v>4029</v>
      </c>
      <c r="G1483" s="79" t="s">
        <v>13</v>
      </c>
      <c r="H1483" s="2" t="s">
        <v>23</v>
      </c>
      <c r="I1483" s="2">
        <v>1</v>
      </c>
      <c r="J1483" s="2"/>
      <c r="K1483" s="2">
        <v>1546.8</v>
      </c>
      <c r="L1483" s="35">
        <v>5250782.7479999997</v>
      </c>
      <c r="M1483" s="36">
        <v>40</v>
      </c>
      <c r="N1483" s="40">
        <v>87373.61</v>
      </c>
      <c r="O1483" s="40">
        <v>0</v>
      </c>
      <c r="P1483" s="40">
        <v>0</v>
      </c>
      <c r="Q1483" s="40">
        <v>0</v>
      </c>
      <c r="R1483" s="40">
        <v>349.49</v>
      </c>
      <c r="S1483" s="40">
        <v>354356</v>
      </c>
      <c r="T1483" s="40">
        <v>30000</v>
      </c>
      <c r="U1483" s="40">
        <v>17139.4782608696</v>
      </c>
      <c r="V1483" s="40">
        <v>0</v>
      </c>
      <c r="W1483" s="45">
        <v>489218.5782608696</v>
      </c>
      <c r="X1483" s="46">
        <v>9.317059984003544</v>
      </c>
    </row>
    <row r="1484" spans="1:24" s="4" customFormat="1" ht="15" customHeight="1">
      <c r="A1484" s="79" t="s">
        <v>3955</v>
      </c>
      <c r="B1484" s="80">
        <v>3394.61</v>
      </c>
      <c r="C1484" s="81" t="s">
        <v>4030</v>
      </c>
      <c r="D1484" s="82">
        <v>4952973684</v>
      </c>
      <c r="E1484" s="82" t="s">
        <v>14</v>
      </c>
      <c r="F1484" s="82" t="s">
        <v>4031</v>
      </c>
      <c r="G1484" s="79" t="s">
        <v>13</v>
      </c>
      <c r="H1484" s="2" t="s">
        <v>23</v>
      </c>
      <c r="I1484" s="2">
        <v>1</v>
      </c>
      <c r="J1484" s="2"/>
      <c r="K1484" s="2">
        <v>869.85</v>
      </c>
      <c r="L1484" s="35">
        <v>2952801.5085</v>
      </c>
      <c r="M1484" s="36">
        <v>15</v>
      </c>
      <c r="N1484" s="40">
        <v>76165</v>
      </c>
      <c r="O1484" s="40">
        <v>0</v>
      </c>
      <c r="P1484" s="40">
        <v>0</v>
      </c>
      <c r="Q1484" s="40">
        <v>0</v>
      </c>
      <c r="R1484" s="40">
        <v>304</v>
      </c>
      <c r="S1484" s="40">
        <v>354356</v>
      </c>
      <c r="T1484" s="40">
        <v>30000</v>
      </c>
      <c r="U1484" s="40">
        <v>3041.7283950617302</v>
      </c>
      <c r="V1484" s="40">
        <v>0</v>
      </c>
      <c r="W1484" s="45">
        <v>463866.72839506174</v>
      </c>
      <c r="X1484" s="46">
        <v>15.709377249360132</v>
      </c>
    </row>
    <row r="1485" spans="1:24" s="4" customFormat="1" ht="15" customHeight="1">
      <c r="A1485" s="79" t="s">
        <v>3955</v>
      </c>
      <c r="B1485" s="80">
        <v>3394.61</v>
      </c>
      <c r="C1485" s="81" t="s">
        <v>4032</v>
      </c>
      <c r="D1485" s="82">
        <v>4952292321</v>
      </c>
      <c r="E1485" s="82" t="s">
        <v>14</v>
      </c>
      <c r="F1485" s="83" t="s">
        <v>4033</v>
      </c>
      <c r="G1485" s="79" t="s">
        <v>13</v>
      </c>
      <c r="H1485" s="2" t="s">
        <v>23</v>
      </c>
      <c r="I1485" s="2">
        <v>2</v>
      </c>
      <c r="J1485" s="2"/>
      <c r="K1485" s="2">
        <v>1096.8</v>
      </c>
      <c r="L1485" s="35">
        <v>3723208.2480000001</v>
      </c>
      <c r="M1485" s="36">
        <v>20</v>
      </c>
      <c r="N1485" s="40">
        <v>35570.818181818198</v>
      </c>
      <c r="O1485" s="40">
        <v>0</v>
      </c>
      <c r="P1485" s="40">
        <v>0</v>
      </c>
      <c r="Q1485" s="40">
        <v>0</v>
      </c>
      <c r="R1485" s="40">
        <v>2051.3636363636401</v>
      </c>
      <c r="S1485" s="63">
        <v>32214.181818181802</v>
      </c>
      <c r="T1485" s="40">
        <v>30000</v>
      </c>
      <c r="U1485" s="55">
        <v>22398.181818181802</v>
      </c>
      <c r="V1485" s="40">
        <v>0</v>
      </c>
      <c r="W1485" s="45">
        <v>122234.54545454544</v>
      </c>
      <c r="X1485" s="46">
        <v>3.2830434752127093</v>
      </c>
    </row>
    <row r="1486" spans="1:24" s="4" customFormat="1" ht="15" customHeight="1">
      <c r="A1486" s="79" t="s">
        <v>3955</v>
      </c>
      <c r="B1486" s="80">
        <v>3394.61</v>
      </c>
      <c r="C1486" s="81" t="s">
        <v>4032</v>
      </c>
      <c r="D1486" s="82">
        <v>4953101413</v>
      </c>
      <c r="E1486" s="82" t="s">
        <v>14</v>
      </c>
      <c r="F1486" s="83" t="s">
        <v>4033</v>
      </c>
      <c r="G1486" s="79" t="s">
        <v>13</v>
      </c>
      <c r="H1486" s="2" t="s">
        <v>23</v>
      </c>
      <c r="I1486" s="2">
        <v>2</v>
      </c>
      <c r="J1486" s="2"/>
      <c r="K1486" s="2">
        <v>2232</v>
      </c>
      <c r="L1486" s="35">
        <v>7576769.5200000005</v>
      </c>
      <c r="M1486" s="36">
        <v>40</v>
      </c>
      <c r="N1486" s="40">
        <v>71141.636363636397</v>
      </c>
      <c r="O1486" s="40">
        <v>0</v>
      </c>
      <c r="P1486" s="40">
        <v>0</v>
      </c>
      <c r="Q1486" s="40">
        <v>0</v>
      </c>
      <c r="R1486" s="40">
        <v>4102.7272727272702</v>
      </c>
      <c r="S1486" s="40">
        <v>64428.363636363603</v>
      </c>
      <c r="T1486" s="40">
        <v>30000</v>
      </c>
      <c r="U1486" s="55">
        <v>44796.363636363603</v>
      </c>
      <c r="V1486" s="40">
        <v>0</v>
      </c>
      <c r="W1486" s="45">
        <v>214469.09090909088</v>
      </c>
      <c r="X1486" s="46">
        <v>2.8306138961066205</v>
      </c>
    </row>
    <row r="1487" spans="1:24" s="4" customFormat="1" ht="15" customHeight="1">
      <c r="A1487" s="79" t="s">
        <v>3955</v>
      </c>
      <c r="B1487" s="80">
        <v>3394.61</v>
      </c>
      <c r="C1487" s="81" t="s">
        <v>4032</v>
      </c>
      <c r="D1487" s="82">
        <v>4953066105</v>
      </c>
      <c r="E1487" s="82" t="s">
        <v>14</v>
      </c>
      <c r="F1487" s="83" t="s">
        <v>4033</v>
      </c>
      <c r="G1487" s="79" t="s">
        <v>13</v>
      </c>
      <c r="H1487" s="2" t="s">
        <v>23</v>
      </c>
      <c r="I1487" s="2">
        <v>2</v>
      </c>
      <c r="J1487" s="2"/>
      <c r="K1487" s="2">
        <v>402.2</v>
      </c>
      <c r="L1487" s="35">
        <v>1365312.142</v>
      </c>
      <c r="M1487" s="36">
        <v>10</v>
      </c>
      <c r="N1487" s="40">
        <v>17785.409090909099</v>
      </c>
      <c r="O1487" s="40">
        <v>0</v>
      </c>
      <c r="P1487" s="40">
        <v>0</v>
      </c>
      <c r="Q1487" s="40">
        <v>0</v>
      </c>
      <c r="R1487" s="40">
        <v>1025.6818181818201</v>
      </c>
      <c r="S1487" s="40">
        <v>16107.090909090901</v>
      </c>
      <c r="T1487" s="40">
        <v>30000</v>
      </c>
      <c r="U1487" s="55">
        <v>11199.090909090901</v>
      </c>
      <c r="V1487" s="40">
        <v>0</v>
      </c>
      <c r="W1487" s="45">
        <v>76117.272727272721</v>
      </c>
      <c r="X1487" s="46">
        <v>5.5750820919069159</v>
      </c>
    </row>
    <row r="1488" spans="1:24" s="4" customFormat="1" ht="15" customHeight="1">
      <c r="A1488" s="79" t="s">
        <v>3955</v>
      </c>
      <c r="B1488" s="80">
        <v>3394.61</v>
      </c>
      <c r="C1488" s="81" t="s">
        <v>4032</v>
      </c>
      <c r="D1488" s="82">
        <v>4952888194</v>
      </c>
      <c r="E1488" s="82" t="s">
        <v>14</v>
      </c>
      <c r="F1488" s="83" t="s">
        <v>4033</v>
      </c>
      <c r="G1488" s="79" t="s">
        <v>13</v>
      </c>
      <c r="H1488" s="2" t="s">
        <v>23</v>
      </c>
      <c r="I1488" s="2">
        <v>2</v>
      </c>
      <c r="J1488" s="2"/>
      <c r="K1488" s="2">
        <v>7609.2</v>
      </c>
      <c r="L1488" s="35">
        <v>25830266.412</v>
      </c>
      <c r="M1488" s="36">
        <v>60</v>
      </c>
      <c r="N1488" s="40">
        <v>106712.454545455</v>
      </c>
      <c r="O1488" s="40">
        <v>0</v>
      </c>
      <c r="P1488" s="40">
        <v>0</v>
      </c>
      <c r="Q1488" s="40">
        <v>0</v>
      </c>
      <c r="R1488" s="40">
        <v>6154.0909090909099</v>
      </c>
      <c r="S1488" s="40">
        <v>96642.5454545455</v>
      </c>
      <c r="T1488" s="40">
        <v>30000</v>
      </c>
      <c r="U1488" s="55">
        <v>67194.5454545455</v>
      </c>
      <c r="V1488" s="40">
        <v>0</v>
      </c>
      <c r="W1488" s="45">
        <v>306703.63636363694</v>
      </c>
      <c r="X1488" s="46">
        <v>1.1873808480006665</v>
      </c>
    </row>
    <row r="1489" spans="1:24" s="4" customFormat="1" ht="15" customHeight="1">
      <c r="A1489" s="79" t="s">
        <v>3955</v>
      </c>
      <c r="B1489" s="80">
        <v>3394.61</v>
      </c>
      <c r="C1489" s="81" t="s">
        <v>4032</v>
      </c>
      <c r="D1489" s="82">
        <v>4952888194</v>
      </c>
      <c r="E1489" s="82" t="s">
        <v>14</v>
      </c>
      <c r="F1489" s="83" t="s">
        <v>4033</v>
      </c>
      <c r="G1489" s="79" t="s">
        <v>13</v>
      </c>
      <c r="H1489" s="2" t="s">
        <v>23</v>
      </c>
      <c r="I1489" s="2">
        <v>2</v>
      </c>
      <c r="J1489" s="2"/>
      <c r="K1489" s="2">
        <v>548.4</v>
      </c>
      <c r="L1489" s="35">
        <v>1861604.1240000001</v>
      </c>
      <c r="M1489" s="36">
        <v>10</v>
      </c>
      <c r="N1489" s="40">
        <v>35570.818181818198</v>
      </c>
      <c r="O1489" s="40">
        <v>0</v>
      </c>
      <c r="P1489" s="40">
        <v>0</v>
      </c>
      <c r="Q1489" s="40">
        <v>0</v>
      </c>
      <c r="R1489" s="40">
        <v>2051.3636363636401</v>
      </c>
      <c r="S1489" s="40">
        <v>32214.181818181802</v>
      </c>
      <c r="T1489" s="40">
        <v>30000</v>
      </c>
      <c r="U1489" s="55">
        <v>22398.181818181802</v>
      </c>
      <c r="V1489" s="40">
        <v>0</v>
      </c>
      <c r="W1489" s="45">
        <v>122234.54545454544</v>
      </c>
      <c r="X1489" s="46">
        <v>6.5660869504254187</v>
      </c>
    </row>
    <row r="1490" spans="1:24" s="4" customFormat="1" ht="15" customHeight="1">
      <c r="A1490" s="79" t="s">
        <v>3955</v>
      </c>
      <c r="B1490" s="80">
        <v>3394.61</v>
      </c>
      <c r="C1490" s="81" t="s">
        <v>4032</v>
      </c>
      <c r="D1490" s="82">
        <v>4952888194</v>
      </c>
      <c r="E1490" s="82" t="s">
        <v>14</v>
      </c>
      <c r="F1490" s="83" t="s">
        <v>4033</v>
      </c>
      <c r="G1490" s="79" t="s">
        <v>13</v>
      </c>
      <c r="H1490" s="2" t="s">
        <v>23</v>
      </c>
      <c r="I1490" s="2">
        <v>2</v>
      </c>
      <c r="J1490" s="2"/>
      <c r="K1490" s="2">
        <v>2536.4</v>
      </c>
      <c r="L1490" s="35">
        <v>8610088.8040000014</v>
      </c>
      <c r="M1490" s="36">
        <v>20</v>
      </c>
      <c r="N1490" s="40">
        <v>17785.409090909099</v>
      </c>
      <c r="O1490" s="40">
        <v>0</v>
      </c>
      <c r="P1490" s="40">
        <v>0</v>
      </c>
      <c r="Q1490" s="40">
        <v>0</v>
      </c>
      <c r="R1490" s="40">
        <v>1025.6818181818201</v>
      </c>
      <c r="S1490" s="40">
        <v>16107.090909090901</v>
      </c>
      <c r="T1490" s="40">
        <v>30000</v>
      </c>
      <c r="U1490" s="55">
        <v>11199.090909090901</v>
      </c>
      <c r="V1490" s="40">
        <v>0</v>
      </c>
      <c r="W1490" s="45">
        <v>76117.272727272721</v>
      </c>
      <c r="X1490" s="46">
        <v>0.88404747569979547</v>
      </c>
    </row>
    <row r="1491" spans="1:24" s="4" customFormat="1" ht="15" customHeight="1">
      <c r="A1491" s="79" t="s">
        <v>3955</v>
      </c>
      <c r="B1491" s="80">
        <v>3394.61</v>
      </c>
      <c r="C1491" s="81" t="s">
        <v>4032</v>
      </c>
      <c r="D1491" s="82">
        <v>4952888194</v>
      </c>
      <c r="E1491" s="82" t="s">
        <v>14</v>
      </c>
      <c r="F1491" s="83" t="s">
        <v>4033</v>
      </c>
      <c r="G1491" s="79" t="s">
        <v>13</v>
      </c>
      <c r="H1491" s="2" t="s">
        <v>23</v>
      </c>
      <c r="I1491" s="2">
        <v>2</v>
      </c>
      <c r="J1491" s="2"/>
      <c r="K1491" s="2">
        <v>1234.2</v>
      </c>
      <c r="L1491" s="35">
        <v>4189627.6620000005</v>
      </c>
      <c r="M1491" s="36">
        <v>30</v>
      </c>
      <c r="N1491" s="40">
        <v>53356.227272727301</v>
      </c>
      <c r="O1491" s="40">
        <v>0</v>
      </c>
      <c r="P1491" s="40">
        <v>0</v>
      </c>
      <c r="Q1491" s="40">
        <v>0</v>
      </c>
      <c r="R1491" s="40">
        <v>3077.04545454545</v>
      </c>
      <c r="S1491" s="40">
        <v>48321.272727272699</v>
      </c>
      <c r="T1491" s="40">
        <v>30000</v>
      </c>
      <c r="U1491" s="55">
        <v>33597.272727272699</v>
      </c>
      <c r="V1491" s="40">
        <v>0</v>
      </c>
      <c r="W1491" s="45">
        <v>168351.81818181815</v>
      </c>
      <c r="X1491" s="46">
        <v>4.0183002348579144</v>
      </c>
    </row>
    <row r="1492" spans="1:24" s="4" customFormat="1" ht="15" customHeight="1">
      <c r="A1492" s="79" t="s">
        <v>3955</v>
      </c>
      <c r="B1492" s="80">
        <v>3394.61</v>
      </c>
      <c r="C1492" s="81" t="s">
        <v>4032</v>
      </c>
      <c r="D1492" s="82">
        <v>4952888194</v>
      </c>
      <c r="E1492" s="82" t="s">
        <v>14</v>
      </c>
      <c r="F1492" s="83" t="s">
        <v>4033</v>
      </c>
      <c r="G1492" s="79" t="s">
        <v>13</v>
      </c>
      <c r="H1492" s="2" t="s">
        <v>23</v>
      </c>
      <c r="I1492" s="2">
        <v>2</v>
      </c>
      <c r="J1492" s="2"/>
      <c r="K1492" s="2">
        <v>657.3</v>
      </c>
      <c r="L1492" s="35">
        <v>2231277.1529999999</v>
      </c>
      <c r="M1492" s="36">
        <v>10</v>
      </c>
      <c r="N1492" s="40">
        <v>17785.409090909099</v>
      </c>
      <c r="O1492" s="40">
        <v>0</v>
      </c>
      <c r="P1492" s="40">
        <v>0</v>
      </c>
      <c r="Q1492" s="40">
        <v>0</v>
      </c>
      <c r="R1492" s="40">
        <v>1025.6818181818201</v>
      </c>
      <c r="S1492" s="40">
        <v>16107.090909090901</v>
      </c>
      <c r="T1492" s="40">
        <v>30000</v>
      </c>
      <c r="U1492" s="55">
        <v>11199.090909090901</v>
      </c>
      <c r="V1492" s="40">
        <v>0</v>
      </c>
      <c r="W1492" s="45">
        <v>76117.272727272721</v>
      </c>
      <c r="X1492" s="46">
        <v>3.4113768710862038</v>
      </c>
    </row>
    <row r="1493" spans="1:24" s="4" customFormat="1" ht="15" customHeight="1">
      <c r="A1493" s="79" t="s">
        <v>3955</v>
      </c>
      <c r="B1493" s="80">
        <v>3394.61</v>
      </c>
      <c r="C1493" s="81" t="s">
        <v>4034</v>
      </c>
      <c r="D1493" s="82">
        <v>4953142735</v>
      </c>
      <c r="E1493" s="82" t="s">
        <v>14</v>
      </c>
      <c r="F1493" s="82">
        <v>1028502187</v>
      </c>
      <c r="G1493" s="79" t="s">
        <v>13</v>
      </c>
      <c r="H1493" s="2" t="s">
        <v>23</v>
      </c>
      <c r="I1493" s="2">
        <v>1</v>
      </c>
      <c r="J1493" s="2"/>
      <c r="K1493" s="2">
        <v>1512.2</v>
      </c>
      <c r="L1493" s="35">
        <v>5133329.2420000006</v>
      </c>
      <c r="M1493" s="36">
        <v>20</v>
      </c>
      <c r="N1493" s="40">
        <v>470743</v>
      </c>
      <c r="O1493" s="40">
        <v>0</v>
      </c>
      <c r="P1493" s="40">
        <v>0</v>
      </c>
      <c r="Q1493" s="40">
        <v>0</v>
      </c>
      <c r="R1493" s="40">
        <v>1882</v>
      </c>
      <c r="S1493" s="40">
        <v>354356</v>
      </c>
      <c r="T1493" s="40">
        <v>30000</v>
      </c>
      <c r="U1493" s="40">
        <v>22398.181818181802</v>
      </c>
      <c r="V1493" s="40">
        <v>0</v>
      </c>
      <c r="W1493" s="45">
        <v>879379.18181818177</v>
      </c>
      <c r="X1493" s="46">
        <v>17.130776935624066</v>
      </c>
    </row>
    <row r="1494" spans="1:24" s="4" customFormat="1" ht="15" customHeight="1">
      <c r="A1494" s="79" t="s">
        <v>3955</v>
      </c>
      <c r="B1494" s="80">
        <v>3394.61</v>
      </c>
      <c r="C1494" s="81" t="s">
        <v>4035</v>
      </c>
      <c r="D1494" s="82">
        <v>4952973697</v>
      </c>
      <c r="E1494" s="82" t="s">
        <v>14</v>
      </c>
      <c r="F1494" s="82" t="s">
        <v>4036</v>
      </c>
      <c r="G1494" s="79" t="s">
        <v>13</v>
      </c>
      <c r="H1494" s="2" t="s">
        <v>23</v>
      </c>
      <c r="I1494" s="2">
        <v>1</v>
      </c>
      <c r="J1494" s="2"/>
      <c r="K1494" s="2">
        <v>5753.7</v>
      </c>
      <c r="L1494" s="35">
        <v>19531567.557</v>
      </c>
      <c r="M1494" s="36">
        <v>45</v>
      </c>
      <c r="N1494" s="40">
        <v>414104</v>
      </c>
      <c r="O1494" s="40">
        <v>0</v>
      </c>
      <c r="P1494" s="40">
        <v>0</v>
      </c>
      <c r="Q1494" s="40">
        <v>0</v>
      </c>
      <c r="R1494" s="40">
        <v>6091</v>
      </c>
      <c r="S1494" s="40">
        <v>354356</v>
      </c>
      <c r="T1494" s="40">
        <v>30000</v>
      </c>
      <c r="U1494" s="40">
        <v>246380</v>
      </c>
      <c r="V1494" s="40">
        <v>0</v>
      </c>
      <c r="W1494" s="45">
        <v>1050931</v>
      </c>
      <c r="X1494" s="46">
        <v>5.3806792359753652</v>
      </c>
    </row>
    <row r="1495" spans="1:24" s="4" customFormat="1" ht="15" customHeight="1">
      <c r="A1495" s="79" t="s">
        <v>3955</v>
      </c>
      <c r="B1495" s="80">
        <v>3394.61</v>
      </c>
      <c r="C1495" s="81" t="s">
        <v>4041</v>
      </c>
      <c r="D1495" s="82">
        <v>4951815953</v>
      </c>
      <c r="E1495" s="82" t="s">
        <v>14</v>
      </c>
      <c r="F1495" s="82" t="s">
        <v>4042</v>
      </c>
      <c r="G1495" s="79" t="s">
        <v>5</v>
      </c>
      <c r="H1495" s="2" t="s">
        <v>20</v>
      </c>
      <c r="I1495" s="2">
        <v>1</v>
      </c>
      <c r="J1495" s="2" t="s">
        <v>4043</v>
      </c>
      <c r="K1495" s="2">
        <v>31235.200000000001</v>
      </c>
      <c r="L1495" s="35">
        <v>106031322.272</v>
      </c>
      <c r="M1495" s="36">
        <v>13760</v>
      </c>
      <c r="N1495" s="40">
        <v>542667.18309859198</v>
      </c>
      <c r="O1495" s="40">
        <v>346986</v>
      </c>
      <c r="P1495" s="40">
        <v>0</v>
      </c>
      <c r="Q1495" s="40">
        <v>99309</v>
      </c>
      <c r="R1495" s="40">
        <v>71682.042253521096</v>
      </c>
      <c r="S1495" s="40">
        <v>274501.126760563</v>
      </c>
      <c r="T1495" s="40">
        <v>30000</v>
      </c>
      <c r="U1495" s="40">
        <v>195366.19718309899</v>
      </c>
      <c r="V1495" s="40">
        <v>0</v>
      </c>
      <c r="W1495" s="45">
        <v>1560511.5492957751</v>
      </c>
      <c r="X1495" s="46">
        <v>1.4717458161019876</v>
      </c>
    </row>
    <row r="1496" spans="1:24" s="4" customFormat="1" ht="15" customHeight="1">
      <c r="A1496" s="79" t="s">
        <v>3955</v>
      </c>
      <c r="B1496" s="80">
        <v>3394.61</v>
      </c>
      <c r="C1496" s="81" t="s">
        <v>4055</v>
      </c>
      <c r="D1496" s="82">
        <v>4952244146</v>
      </c>
      <c r="E1496" s="82" t="s">
        <v>14</v>
      </c>
      <c r="F1496" s="82" t="s">
        <v>4056</v>
      </c>
      <c r="G1496" s="79" t="s">
        <v>9</v>
      </c>
      <c r="H1496" s="2" t="s">
        <v>23</v>
      </c>
      <c r="I1496" s="2">
        <v>4</v>
      </c>
      <c r="J1496" s="2"/>
      <c r="K1496" s="2">
        <v>138.80000000000001</v>
      </c>
      <c r="L1496" s="35">
        <v>471171.86800000007</v>
      </c>
      <c r="M1496" s="36">
        <v>40</v>
      </c>
      <c r="N1496" s="40">
        <v>14353.9130434783</v>
      </c>
      <c r="O1496" s="40">
        <v>658.5</v>
      </c>
      <c r="P1496" s="40">
        <v>877.28260869565202</v>
      </c>
      <c r="Q1496" s="40">
        <v>15286.5</v>
      </c>
      <c r="R1496" s="40">
        <v>2705.5</v>
      </c>
      <c r="S1496" s="40">
        <v>7703.3913043478296</v>
      </c>
      <c r="T1496" s="40">
        <v>30000</v>
      </c>
      <c r="U1496" s="40">
        <v>19089.244851258602</v>
      </c>
      <c r="V1496" s="40">
        <v>0</v>
      </c>
      <c r="W1496" s="45">
        <v>90674.331807780385</v>
      </c>
      <c r="X1496" s="46">
        <v>19.244428194040729</v>
      </c>
    </row>
    <row r="1497" spans="1:24" s="4" customFormat="1" ht="15" customHeight="1">
      <c r="A1497" s="79" t="s">
        <v>3955</v>
      </c>
      <c r="B1497" s="80">
        <v>3394.61</v>
      </c>
      <c r="C1497" s="81" t="s">
        <v>4055</v>
      </c>
      <c r="D1497" s="82">
        <v>4952352303</v>
      </c>
      <c r="E1497" s="82" t="s">
        <v>14</v>
      </c>
      <c r="F1497" s="82" t="s">
        <v>4056</v>
      </c>
      <c r="G1497" s="79" t="s">
        <v>9</v>
      </c>
      <c r="H1497" s="2" t="s">
        <v>23</v>
      </c>
      <c r="I1497" s="2">
        <v>4</v>
      </c>
      <c r="J1497" s="2"/>
      <c r="K1497" s="2">
        <v>39744</v>
      </c>
      <c r="L1497" s="35">
        <v>134915379.84</v>
      </c>
      <c r="M1497" s="36">
        <v>1800</v>
      </c>
      <c r="N1497" s="40">
        <v>645926.08695652196</v>
      </c>
      <c r="O1497" s="40">
        <v>658.5</v>
      </c>
      <c r="P1497" s="40">
        <v>39477.717391304403</v>
      </c>
      <c r="Q1497" s="40">
        <v>15286.5</v>
      </c>
      <c r="R1497" s="40">
        <v>121747.5</v>
      </c>
      <c r="S1497" s="40">
        <v>346652.60869565199</v>
      </c>
      <c r="T1497" s="40">
        <v>30000</v>
      </c>
      <c r="U1497" s="40">
        <v>859016.01830663602</v>
      </c>
      <c r="V1497" s="40">
        <v>0</v>
      </c>
      <c r="W1497" s="45">
        <v>2058764.9313501145</v>
      </c>
      <c r="X1497" s="46">
        <v>1.5259675611421488</v>
      </c>
    </row>
    <row r="1498" spans="1:24" s="4" customFormat="1" ht="15" customHeight="1">
      <c r="A1498" s="79" t="s">
        <v>3955</v>
      </c>
      <c r="B1498" s="80">
        <v>3394.61</v>
      </c>
      <c r="C1498" s="81" t="s">
        <v>4060</v>
      </c>
      <c r="D1498" s="82">
        <v>4952461137</v>
      </c>
      <c r="E1498" s="82" t="s">
        <v>14</v>
      </c>
      <c r="F1498" s="82" t="s">
        <v>4061</v>
      </c>
      <c r="G1498" s="79" t="s">
        <v>9</v>
      </c>
      <c r="H1498" s="2" t="s">
        <v>23</v>
      </c>
      <c r="I1498" s="2">
        <v>1</v>
      </c>
      <c r="J1498" s="2"/>
      <c r="K1498" s="2">
        <v>3418.8</v>
      </c>
      <c r="L1498" s="35">
        <v>11605492.668000001</v>
      </c>
      <c r="M1498" s="36">
        <v>280</v>
      </c>
      <c r="N1498" s="40">
        <v>513322</v>
      </c>
      <c r="O1498" s="40">
        <v>242</v>
      </c>
      <c r="P1498" s="40">
        <v>0</v>
      </c>
      <c r="Q1498" s="40">
        <v>5359</v>
      </c>
      <c r="R1498" s="40">
        <v>88901</v>
      </c>
      <c r="S1498" s="40">
        <v>354356</v>
      </c>
      <c r="T1498" s="40">
        <v>30000</v>
      </c>
      <c r="U1498" s="40">
        <v>250298.039215686</v>
      </c>
      <c r="V1498" s="40">
        <v>0</v>
      </c>
      <c r="W1498" s="45">
        <v>1242478.039215686</v>
      </c>
      <c r="X1498" s="46">
        <v>10.705948250190096</v>
      </c>
    </row>
    <row r="1499" spans="1:24" s="4" customFormat="1" ht="15" customHeight="1">
      <c r="A1499" s="79" t="s">
        <v>3955</v>
      </c>
      <c r="B1499" s="80">
        <v>3394.61</v>
      </c>
      <c r="C1499" s="81" t="s">
        <v>4062</v>
      </c>
      <c r="D1499" s="82">
        <v>4952771713</v>
      </c>
      <c r="E1499" s="82" t="s">
        <v>14</v>
      </c>
      <c r="F1499" s="82" t="s">
        <v>4063</v>
      </c>
      <c r="G1499" s="79" t="s">
        <v>5</v>
      </c>
      <c r="H1499" s="2" t="s">
        <v>17</v>
      </c>
      <c r="I1499" s="2">
        <v>1</v>
      </c>
      <c r="J1499" s="2" t="s">
        <v>4064</v>
      </c>
      <c r="K1499" s="2">
        <v>4560</v>
      </c>
      <c r="L1499" s="35">
        <v>15479421.600000001</v>
      </c>
      <c r="M1499" s="36">
        <v>1500</v>
      </c>
      <c r="N1499" s="40">
        <v>36942.274412855397</v>
      </c>
      <c r="O1499" s="40">
        <v>56900.625</v>
      </c>
      <c r="P1499" s="40">
        <v>0</v>
      </c>
      <c r="Q1499" s="40">
        <v>12413.625</v>
      </c>
      <c r="R1499" s="40">
        <v>65831.273176761402</v>
      </c>
      <c r="S1499" s="40">
        <v>32851.297898640303</v>
      </c>
      <c r="T1499" s="40">
        <v>30000</v>
      </c>
      <c r="U1499" s="40">
        <v>504933.55995055602</v>
      </c>
      <c r="V1499" s="40">
        <v>0</v>
      </c>
      <c r="W1499" s="45">
        <v>739872.65543881315</v>
      </c>
      <c r="X1499" s="46">
        <v>4.7797177088245535</v>
      </c>
    </row>
    <row r="1500" spans="1:24" s="4" customFormat="1" ht="15" customHeight="1">
      <c r="A1500" s="79" t="s">
        <v>3955</v>
      </c>
      <c r="B1500" s="80">
        <v>3394.61</v>
      </c>
      <c r="C1500" s="81" t="s">
        <v>4062</v>
      </c>
      <c r="D1500" s="82">
        <v>4952270619</v>
      </c>
      <c r="E1500" s="82" t="s">
        <v>14</v>
      </c>
      <c r="F1500" s="82" t="s">
        <v>4063</v>
      </c>
      <c r="G1500" s="79" t="s">
        <v>5</v>
      </c>
      <c r="H1500" s="2" t="s">
        <v>17</v>
      </c>
      <c r="I1500" s="2">
        <v>1</v>
      </c>
      <c r="J1500" s="2" t="s">
        <v>4064</v>
      </c>
      <c r="K1500" s="2">
        <v>3420</v>
      </c>
      <c r="L1500" s="35">
        <v>11609566.200000001</v>
      </c>
      <c r="M1500" s="36">
        <v>1125</v>
      </c>
      <c r="N1500" s="40">
        <v>27706.705809641498</v>
      </c>
      <c r="O1500" s="40">
        <v>56900.625</v>
      </c>
      <c r="P1500" s="40">
        <v>0</v>
      </c>
      <c r="Q1500" s="40">
        <v>12413.625</v>
      </c>
      <c r="R1500" s="40">
        <v>49373.454882571103</v>
      </c>
      <c r="S1500" s="40">
        <v>24638.473423980198</v>
      </c>
      <c r="T1500" s="40">
        <v>30000</v>
      </c>
      <c r="U1500" s="40">
        <v>378700.16996291699</v>
      </c>
      <c r="V1500" s="40">
        <v>0</v>
      </c>
      <c r="W1500" s="45">
        <v>579733.0540791098</v>
      </c>
      <c r="X1500" s="46">
        <v>4.99358067383353</v>
      </c>
    </row>
    <row r="1501" spans="1:24" s="4" customFormat="1" ht="15" customHeight="1">
      <c r="A1501" s="79" t="s">
        <v>3955</v>
      </c>
      <c r="B1501" s="80">
        <v>3394.61</v>
      </c>
      <c r="C1501" s="81" t="s">
        <v>4062</v>
      </c>
      <c r="D1501" s="82">
        <v>4952577855</v>
      </c>
      <c r="E1501" s="82" t="s">
        <v>14</v>
      </c>
      <c r="F1501" s="82" t="s">
        <v>4063</v>
      </c>
      <c r="G1501" s="79" t="s">
        <v>5</v>
      </c>
      <c r="H1501" s="2" t="s">
        <v>17</v>
      </c>
      <c r="I1501" s="2">
        <v>1</v>
      </c>
      <c r="J1501" s="2" t="s">
        <v>4064</v>
      </c>
      <c r="K1501" s="2">
        <v>1140</v>
      </c>
      <c r="L1501" s="35">
        <v>3869855.4000000004</v>
      </c>
      <c r="M1501" s="36">
        <v>375</v>
      </c>
      <c r="N1501" s="40">
        <v>9235.5686032138401</v>
      </c>
      <c r="O1501" s="40">
        <v>56900.625</v>
      </c>
      <c r="P1501" s="40">
        <v>0</v>
      </c>
      <c r="Q1501" s="40">
        <v>12413.625</v>
      </c>
      <c r="R1501" s="40">
        <v>16457.818294190402</v>
      </c>
      <c r="S1501" s="40">
        <v>8212.8244746600703</v>
      </c>
      <c r="T1501" s="40">
        <v>30000</v>
      </c>
      <c r="U1501" s="40">
        <v>126233.38998763901</v>
      </c>
      <c r="V1501" s="40">
        <v>0</v>
      </c>
      <c r="W1501" s="45">
        <v>259453.85135970332</v>
      </c>
      <c r="X1501" s="46">
        <v>6.7044843939053456</v>
      </c>
    </row>
    <row r="1502" spans="1:24" s="4" customFormat="1" ht="15" customHeight="1">
      <c r="A1502" s="79" t="s">
        <v>3955</v>
      </c>
      <c r="B1502" s="80">
        <v>3394.61</v>
      </c>
      <c r="C1502" s="81" t="s">
        <v>4062</v>
      </c>
      <c r="D1502" s="82">
        <v>4952628211</v>
      </c>
      <c r="E1502" s="82" t="s">
        <v>14</v>
      </c>
      <c r="F1502" s="82" t="s">
        <v>4063</v>
      </c>
      <c r="G1502" s="79" t="s">
        <v>5</v>
      </c>
      <c r="H1502" s="2" t="s">
        <v>17</v>
      </c>
      <c r="I1502" s="2">
        <v>1</v>
      </c>
      <c r="J1502" s="2" t="s">
        <v>4064</v>
      </c>
      <c r="K1502" s="2">
        <v>38850</v>
      </c>
      <c r="L1502" s="35">
        <v>131880598.5</v>
      </c>
      <c r="M1502" s="36">
        <v>4200</v>
      </c>
      <c r="N1502" s="40">
        <v>103438.368355995</v>
      </c>
      <c r="O1502" s="40">
        <v>56900.625</v>
      </c>
      <c r="P1502" s="40">
        <v>0</v>
      </c>
      <c r="Q1502" s="40">
        <v>12413.625</v>
      </c>
      <c r="R1502" s="40">
        <v>184327.564894932</v>
      </c>
      <c r="S1502" s="40">
        <v>91983.634116192799</v>
      </c>
      <c r="T1502" s="40">
        <v>30000</v>
      </c>
      <c r="U1502" s="40">
        <v>1413813.9678615599</v>
      </c>
      <c r="V1502" s="40">
        <v>0</v>
      </c>
      <c r="W1502" s="45">
        <v>1892877.7852286799</v>
      </c>
      <c r="X1502" s="46">
        <v>1.4352966294952627</v>
      </c>
    </row>
    <row r="1503" spans="1:24" s="4" customFormat="1" ht="15" customHeight="1">
      <c r="A1503" s="79" t="s">
        <v>3955</v>
      </c>
      <c r="B1503" s="80">
        <v>3394.61</v>
      </c>
      <c r="C1503" s="81" t="s">
        <v>4062</v>
      </c>
      <c r="D1503" s="82">
        <v>4952628211</v>
      </c>
      <c r="E1503" s="82" t="s">
        <v>14</v>
      </c>
      <c r="F1503" s="82" t="s">
        <v>4063</v>
      </c>
      <c r="G1503" s="79" t="s">
        <v>5</v>
      </c>
      <c r="H1503" s="2" t="s">
        <v>17</v>
      </c>
      <c r="I1503" s="2">
        <v>1</v>
      </c>
      <c r="J1503" s="2" t="s">
        <v>4064</v>
      </c>
      <c r="K1503" s="2">
        <v>13146</v>
      </c>
      <c r="L1503" s="35">
        <v>44625543.060000002</v>
      </c>
      <c r="M1503" s="36">
        <v>4200</v>
      </c>
      <c r="N1503" s="40">
        <v>103438.368355995</v>
      </c>
      <c r="O1503" s="40">
        <v>56900.625</v>
      </c>
      <c r="P1503" s="40">
        <v>0</v>
      </c>
      <c r="Q1503" s="40">
        <v>12413.625</v>
      </c>
      <c r="R1503" s="40">
        <v>184327.564894932</v>
      </c>
      <c r="S1503" s="40">
        <v>91983.634116192799</v>
      </c>
      <c r="T1503" s="40">
        <v>30000</v>
      </c>
      <c r="U1503" s="40">
        <v>1413813.9678615599</v>
      </c>
      <c r="V1503" s="40">
        <v>0</v>
      </c>
      <c r="W1503" s="45">
        <v>1892877.7852286799</v>
      </c>
      <c r="X1503" s="46">
        <v>4.2416913171984589</v>
      </c>
    </row>
    <row r="1504" spans="1:24" s="4" customFormat="1" ht="15" customHeight="1">
      <c r="A1504" s="79" t="s">
        <v>3955</v>
      </c>
      <c r="B1504" s="80">
        <v>3394.61</v>
      </c>
      <c r="C1504" s="81" t="s">
        <v>4062</v>
      </c>
      <c r="D1504" s="82">
        <v>4952701172</v>
      </c>
      <c r="E1504" s="82" t="s">
        <v>14</v>
      </c>
      <c r="F1504" s="82" t="s">
        <v>4063</v>
      </c>
      <c r="G1504" s="79" t="s">
        <v>5</v>
      </c>
      <c r="H1504" s="2" t="s">
        <v>17</v>
      </c>
      <c r="I1504" s="2">
        <v>1</v>
      </c>
      <c r="J1504" s="2" t="s">
        <v>4064</v>
      </c>
      <c r="K1504" s="2">
        <v>439.6</v>
      </c>
      <c r="L1504" s="35">
        <v>1492270.5560000001</v>
      </c>
      <c r="M1504" s="36">
        <v>40</v>
      </c>
      <c r="N1504" s="40">
        <v>985.12731767614298</v>
      </c>
      <c r="O1504" s="40">
        <v>56900.625</v>
      </c>
      <c r="P1504" s="40">
        <v>0</v>
      </c>
      <c r="Q1504" s="40">
        <v>12413.625</v>
      </c>
      <c r="R1504" s="40">
        <v>1755.50061804697</v>
      </c>
      <c r="S1504" s="40">
        <v>876.034610630408</v>
      </c>
      <c r="T1504" s="40">
        <v>30000</v>
      </c>
      <c r="U1504" s="40">
        <v>13464.8949320148</v>
      </c>
      <c r="V1504" s="40">
        <v>0</v>
      </c>
      <c r="W1504" s="45">
        <v>116395.80747836831</v>
      </c>
      <c r="X1504" s="46">
        <v>7.7999131598739595</v>
      </c>
    </row>
    <row r="1505" spans="1:24" s="4" customFormat="1" ht="15" customHeight="1">
      <c r="A1505" s="79" t="s">
        <v>3955</v>
      </c>
      <c r="B1505" s="80">
        <v>3394.61</v>
      </c>
      <c r="C1505" s="81" t="s">
        <v>4062</v>
      </c>
      <c r="D1505" s="82">
        <v>4952701172</v>
      </c>
      <c r="E1505" s="82" t="s">
        <v>14</v>
      </c>
      <c r="F1505" s="82" t="s">
        <v>4063</v>
      </c>
      <c r="G1505" s="79" t="s">
        <v>5</v>
      </c>
      <c r="H1505" s="2" t="s">
        <v>17</v>
      </c>
      <c r="I1505" s="2">
        <v>1</v>
      </c>
      <c r="J1505" s="2" t="s">
        <v>4064</v>
      </c>
      <c r="K1505" s="2">
        <v>7098</v>
      </c>
      <c r="L1505" s="35">
        <v>24094941.780000001</v>
      </c>
      <c r="M1505" s="36">
        <v>3900</v>
      </c>
      <c r="N1505" s="40">
        <v>96049.913473424007</v>
      </c>
      <c r="O1505" s="40">
        <v>56900.625</v>
      </c>
      <c r="P1505" s="40">
        <v>0</v>
      </c>
      <c r="Q1505" s="40">
        <v>12413.625</v>
      </c>
      <c r="R1505" s="40">
        <v>171161.31025958</v>
      </c>
      <c r="S1505" s="40">
        <v>85413.374536464806</v>
      </c>
      <c r="T1505" s="40">
        <v>30000</v>
      </c>
      <c r="U1505" s="40">
        <v>1312827.2558714501</v>
      </c>
      <c r="V1505" s="40">
        <v>0</v>
      </c>
      <c r="W1505" s="45">
        <v>1764766.1041409189</v>
      </c>
      <c r="X1505" s="46">
        <v>7.3242181709928955</v>
      </c>
    </row>
    <row r="1506" spans="1:24" s="4" customFormat="1" ht="15" customHeight="1">
      <c r="A1506" s="79" t="s">
        <v>3955</v>
      </c>
      <c r="B1506" s="80">
        <v>3394.61</v>
      </c>
      <c r="C1506" s="81" t="s">
        <v>4062</v>
      </c>
      <c r="D1506" s="82">
        <v>4952701172</v>
      </c>
      <c r="E1506" s="82" t="s">
        <v>14</v>
      </c>
      <c r="F1506" s="82" t="s">
        <v>4063</v>
      </c>
      <c r="G1506" s="79" t="s">
        <v>5</v>
      </c>
      <c r="H1506" s="2" t="s">
        <v>17</v>
      </c>
      <c r="I1506" s="2">
        <v>1</v>
      </c>
      <c r="J1506" s="2" t="s">
        <v>4064</v>
      </c>
      <c r="K1506" s="2">
        <v>3570</v>
      </c>
      <c r="L1506" s="35">
        <v>12118757.700000001</v>
      </c>
      <c r="M1506" s="36">
        <v>840</v>
      </c>
      <c r="N1506" s="40">
        <v>20687.673671199002</v>
      </c>
      <c r="O1506" s="40">
        <v>56900.625</v>
      </c>
      <c r="P1506" s="40">
        <v>0</v>
      </c>
      <c r="Q1506" s="40">
        <v>12413.625</v>
      </c>
      <c r="R1506" s="40">
        <v>36865.5129789864</v>
      </c>
      <c r="S1506" s="40">
        <v>18396.726823238601</v>
      </c>
      <c r="T1506" s="40">
        <v>30000</v>
      </c>
      <c r="U1506" s="40">
        <v>282762.793572311</v>
      </c>
      <c r="V1506" s="40">
        <v>0</v>
      </c>
      <c r="W1506" s="45">
        <v>458026.95704573498</v>
      </c>
      <c r="X1506" s="46">
        <v>3.7794877031474514</v>
      </c>
    </row>
    <row r="1507" spans="1:24" s="4" customFormat="1" ht="15" customHeight="1">
      <c r="A1507" s="79" t="s">
        <v>3955</v>
      </c>
      <c r="B1507" s="80">
        <v>3394.61</v>
      </c>
      <c r="C1507" s="81" t="s">
        <v>4065</v>
      </c>
      <c r="D1507" s="82">
        <v>4952461109</v>
      </c>
      <c r="E1507" s="82" t="s">
        <v>14</v>
      </c>
      <c r="F1507" s="83" t="s">
        <v>4066</v>
      </c>
      <c r="G1507" s="79" t="s">
        <v>9</v>
      </c>
      <c r="H1507" s="2" t="s">
        <v>23</v>
      </c>
      <c r="I1507" s="2">
        <v>1</v>
      </c>
      <c r="J1507" s="2"/>
      <c r="K1507" s="2">
        <v>813.2</v>
      </c>
      <c r="L1507" s="35">
        <v>2760496.8520000004</v>
      </c>
      <c r="M1507" s="36">
        <v>190</v>
      </c>
      <c r="N1507" s="40">
        <v>514468</v>
      </c>
      <c r="O1507" s="40">
        <v>169</v>
      </c>
      <c r="P1507" s="40">
        <v>0</v>
      </c>
      <c r="Q1507" s="40">
        <v>3687</v>
      </c>
      <c r="R1507" s="40">
        <v>89562</v>
      </c>
      <c r="S1507" s="40">
        <v>354356</v>
      </c>
      <c r="T1507" s="40">
        <v>30000</v>
      </c>
      <c r="U1507" s="40">
        <v>195385.714285714</v>
      </c>
      <c r="V1507" s="40">
        <v>0</v>
      </c>
      <c r="W1507" s="45">
        <v>1187627.7142857141</v>
      </c>
      <c r="X1507" s="46">
        <v>43.022244833399071</v>
      </c>
    </row>
    <row r="1508" spans="1:24" s="4" customFormat="1" ht="15" customHeight="1">
      <c r="A1508" s="79" t="s">
        <v>3955</v>
      </c>
      <c r="B1508" s="80">
        <v>3394.61</v>
      </c>
      <c r="C1508" s="81" t="s">
        <v>4067</v>
      </c>
      <c r="D1508" s="82">
        <v>4952367451</v>
      </c>
      <c r="E1508" s="82" t="s">
        <v>14</v>
      </c>
      <c r="F1508" s="82" t="s">
        <v>4068</v>
      </c>
      <c r="G1508" s="79" t="s">
        <v>5</v>
      </c>
      <c r="H1508" s="2" t="s">
        <v>17</v>
      </c>
      <c r="I1508" s="2">
        <v>1</v>
      </c>
      <c r="J1508" s="2" t="s">
        <v>4069</v>
      </c>
      <c r="K1508" s="2">
        <v>6780</v>
      </c>
      <c r="L1508" s="35">
        <v>23015455.800000001</v>
      </c>
      <c r="M1508" s="36">
        <v>1500</v>
      </c>
      <c r="N1508" s="40">
        <v>28649.432432432401</v>
      </c>
      <c r="O1508" s="40">
        <v>113801.25</v>
      </c>
      <c r="P1508" s="40">
        <v>0</v>
      </c>
      <c r="Q1508" s="40">
        <v>24827.25</v>
      </c>
      <c r="R1508" s="40">
        <v>47407.054054054097</v>
      </c>
      <c r="S1508" s="40">
        <v>28731.567567567599</v>
      </c>
      <c r="T1508" s="40">
        <v>30000</v>
      </c>
      <c r="U1508" s="40">
        <v>457341.89189189201</v>
      </c>
      <c r="V1508" s="40">
        <v>0</v>
      </c>
      <c r="W1508" s="45">
        <v>730758.44594594603</v>
      </c>
      <c r="X1508" s="46">
        <v>3.175077010405964</v>
      </c>
    </row>
    <row r="1509" spans="1:24" s="4" customFormat="1" ht="15" customHeight="1">
      <c r="A1509" s="79" t="s">
        <v>3955</v>
      </c>
      <c r="B1509" s="80">
        <v>3394.61</v>
      </c>
      <c r="C1509" s="81" t="s">
        <v>4067</v>
      </c>
      <c r="D1509" s="82">
        <v>4952367451</v>
      </c>
      <c r="E1509" s="82" t="s">
        <v>14</v>
      </c>
      <c r="F1509" s="82" t="s">
        <v>4068</v>
      </c>
      <c r="G1509" s="79" t="s">
        <v>5</v>
      </c>
      <c r="H1509" s="2" t="s">
        <v>17</v>
      </c>
      <c r="I1509" s="2">
        <v>1</v>
      </c>
      <c r="J1509" s="2" t="s">
        <v>4069</v>
      </c>
      <c r="K1509" s="2">
        <v>3952</v>
      </c>
      <c r="L1509" s="35">
        <v>13415498.720000001</v>
      </c>
      <c r="M1509" s="36">
        <v>1600</v>
      </c>
      <c r="N1509" s="40">
        <v>30559.3945945946</v>
      </c>
      <c r="O1509" s="40">
        <v>113801.25</v>
      </c>
      <c r="P1509" s="40">
        <v>0</v>
      </c>
      <c r="Q1509" s="40">
        <v>24827.25</v>
      </c>
      <c r="R1509" s="40">
        <v>50567.524324324302</v>
      </c>
      <c r="S1509" s="40">
        <v>30647.005405405402</v>
      </c>
      <c r="T1509" s="40">
        <v>30000</v>
      </c>
      <c r="U1509" s="40">
        <v>487831.35135135101</v>
      </c>
      <c r="V1509" s="40">
        <v>0</v>
      </c>
      <c r="W1509" s="45">
        <v>768233.77567567537</v>
      </c>
      <c r="X1509" s="46">
        <v>5.7264645296442271</v>
      </c>
    </row>
    <row r="1510" spans="1:24" s="4" customFormat="1" ht="15" customHeight="1">
      <c r="A1510" s="79" t="s">
        <v>3955</v>
      </c>
      <c r="B1510" s="80">
        <v>3394.61</v>
      </c>
      <c r="C1510" s="81" t="s">
        <v>4067</v>
      </c>
      <c r="D1510" s="82">
        <v>4952461137</v>
      </c>
      <c r="E1510" s="82" t="s">
        <v>14</v>
      </c>
      <c r="F1510" s="82" t="s">
        <v>4068</v>
      </c>
      <c r="G1510" s="79" t="s">
        <v>5</v>
      </c>
      <c r="H1510" s="2" t="s">
        <v>17</v>
      </c>
      <c r="I1510" s="2">
        <v>1</v>
      </c>
      <c r="J1510" s="2" t="s">
        <v>4069</v>
      </c>
      <c r="K1510" s="2">
        <v>25900</v>
      </c>
      <c r="L1510" s="35">
        <v>87920399</v>
      </c>
      <c r="M1510" s="36">
        <v>2800</v>
      </c>
      <c r="N1510" s="40">
        <v>53478.940540540498</v>
      </c>
      <c r="O1510" s="40">
        <v>113801.25</v>
      </c>
      <c r="P1510" s="40">
        <v>0</v>
      </c>
      <c r="Q1510" s="40">
        <v>24827.25</v>
      </c>
      <c r="R1510" s="40">
        <v>88493.167567567594</v>
      </c>
      <c r="S1510" s="40">
        <v>53632.259459459499</v>
      </c>
      <c r="T1510" s="40">
        <v>30000</v>
      </c>
      <c r="U1510" s="40">
        <v>853704.86486486497</v>
      </c>
      <c r="V1510" s="40">
        <v>0</v>
      </c>
      <c r="W1510" s="45">
        <v>1217937.7324324325</v>
      </c>
      <c r="X1510" s="46">
        <v>1.3852732088174811</v>
      </c>
    </row>
    <row r="1511" spans="1:24" s="4" customFormat="1" ht="15" customHeight="1">
      <c r="A1511" s="79" t="s">
        <v>3955</v>
      </c>
      <c r="B1511" s="80">
        <v>3394.61</v>
      </c>
      <c r="C1511" s="81" t="s">
        <v>4067</v>
      </c>
      <c r="D1511" s="82">
        <v>4951798435</v>
      </c>
      <c r="E1511" s="82" t="s">
        <v>14</v>
      </c>
      <c r="F1511" s="82" t="s">
        <v>4068</v>
      </c>
      <c r="G1511" s="79" t="s">
        <v>5</v>
      </c>
      <c r="H1511" s="2" t="s">
        <v>17</v>
      </c>
      <c r="I1511" s="2">
        <v>1</v>
      </c>
      <c r="J1511" s="2" t="s">
        <v>4069</v>
      </c>
      <c r="K1511" s="2">
        <v>45217</v>
      </c>
      <c r="L1511" s="35">
        <v>153494080.37</v>
      </c>
      <c r="M1511" s="36">
        <v>10975</v>
      </c>
      <c r="N1511" s="40">
        <v>240655.23243243201</v>
      </c>
      <c r="O1511" s="40">
        <v>113801.25</v>
      </c>
      <c r="P1511" s="40">
        <v>0</v>
      </c>
      <c r="Q1511" s="40">
        <v>24827.25</v>
      </c>
      <c r="R1511" s="40">
        <v>398219.25405405398</v>
      </c>
      <c r="S1511" s="40">
        <v>241345.16756756799</v>
      </c>
      <c r="T1511" s="40">
        <v>30000</v>
      </c>
      <c r="U1511" s="40">
        <v>3841671.8918918902</v>
      </c>
      <c r="V1511" s="40">
        <v>0</v>
      </c>
      <c r="W1511" s="45">
        <v>4890520.0459459443</v>
      </c>
      <c r="X1511" s="46">
        <v>3.186129415647343</v>
      </c>
    </row>
    <row r="1512" spans="1:24" s="4" customFormat="1" ht="15" customHeight="1">
      <c r="A1512" s="79" t="s">
        <v>3955</v>
      </c>
      <c r="B1512" s="80">
        <v>3394.61</v>
      </c>
      <c r="C1512" s="81" t="s">
        <v>4070</v>
      </c>
      <c r="D1512" s="82">
        <v>4952577856</v>
      </c>
      <c r="E1512" s="82" t="s">
        <v>14</v>
      </c>
      <c r="F1512" s="82" t="s">
        <v>4071</v>
      </c>
      <c r="G1512" s="79" t="s">
        <v>5</v>
      </c>
      <c r="H1512" s="2" t="s">
        <v>20</v>
      </c>
      <c r="I1512" s="2">
        <v>1</v>
      </c>
      <c r="J1512" s="2" t="s">
        <v>4072</v>
      </c>
      <c r="K1512" s="2">
        <v>37686.5</v>
      </c>
      <c r="L1512" s="35">
        <v>127930969.765</v>
      </c>
      <c r="M1512" s="36">
        <v>950</v>
      </c>
      <c r="N1512" s="40">
        <v>113788.423728814</v>
      </c>
      <c r="O1512" s="40">
        <v>86746.5</v>
      </c>
      <c r="P1512" s="40">
        <v>0</v>
      </c>
      <c r="Q1512" s="40">
        <v>24827.25</v>
      </c>
      <c r="R1512" s="40">
        <v>153008.288135593</v>
      </c>
      <c r="S1512" s="40">
        <v>114114.64406779699</v>
      </c>
      <c r="T1512" s="40">
        <v>30000</v>
      </c>
      <c r="U1512" s="40">
        <v>843406.779661017</v>
      </c>
      <c r="V1512" s="40">
        <v>0</v>
      </c>
      <c r="W1512" s="45">
        <v>1365891.8855932211</v>
      </c>
      <c r="X1512" s="46">
        <v>1.0676788334382725</v>
      </c>
    </row>
    <row r="1513" spans="1:24" s="4" customFormat="1" ht="15" customHeight="1">
      <c r="A1513" s="79" t="s">
        <v>3955</v>
      </c>
      <c r="B1513" s="80">
        <v>3394.61</v>
      </c>
      <c r="C1513" s="81" t="s">
        <v>4070</v>
      </c>
      <c r="D1513" s="82">
        <v>4952864218</v>
      </c>
      <c r="E1513" s="82" t="s">
        <v>14</v>
      </c>
      <c r="F1513" s="82" t="s">
        <v>4071</v>
      </c>
      <c r="G1513" s="79" t="s">
        <v>5</v>
      </c>
      <c r="H1513" s="2" t="s">
        <v>20</v>
      </c>
      <c r="I1513" s="2">
        <v>1</v>
      </c>
      <c r="J1513" s="2" t="s">
        <v>4072</v>
      </c>
      <c r="K1513" s="2">
        <v>2384.5</v>
      </c>
      <c r="L1513" s="35">
        <v>8094447.5449999999</v>
      </c>
      <c r="M1513" s="36">
        <v>950</v>
      </c>
      <c r="N1513" s="40">
        <v>113788.423728814</v>
      </c>
      <c r="O1513" s="40">
        <v>86746.5</v>
      </c>
      <c r="P1513" s="40">
        <v>0</v>
      </c>
      <c r="Q1513" s="40">
        <v>24827.25</v>
      </c>
      <c r="R1513" s="40">
        <v>153008.288135593</v>
      </c>
      <c r="S1513" s="40">
        <v>114114.64406779699</v>
      </c>
      <c r="T1513" s="40">
        <v>30000</v>
      </c>
      <c r="U1513" s="40">
        <v>843406.779661017</v>
      </c>
      <c r="V1513" s="40">
        <v>0</v>
      </c>
      <c r="W1513" s="45">
        <v>1365891.8855932211</v>
      </c>
      <c r="X1513" s="46">
        <v>16.874430008962658</v>
      </c>
    </row>
    <row r="1514" spans="1:24" s="4" customFormat="1" ht="15" customHeight="1">
      <c r="A1514" s="79" t="s">
        <v>3955</v>
      </c>
      <c r="B1514" s="80">
        <v>3394.61</v>
      </c>
      <c r="C1514" s="81" t="s">
        <v>4070</v>
      </c>
      <c r="D1514" s="82">
        <v>4952701172</v>
      </c>
      <c r="E1514" s="82" t="s">
        <v>14</v>
      </c>
      <c r="F1514" s="82" t="s">
        <v>4071</v>
      </c>
      <c r="G1514" s="79" t="s">
        <v>5</v>
      </c>
      <c r="H1514" s="2" t="s">
        <v>20</v>
      </c>
      <c r="I1514" s="2">
        <v>1</v>
      </c>
      <c r="J1514" s="2" t="s">
        <v>4072</v>
      </c>
      <c r="K1514" s="2">
        <v>3792</v>
      </c>
      <c r="L1514" s="35">
        <v>12872361.120000001</v>
      </c>
      <c r="M1514" s="36">
        <v>600</v>
      </c>
      <c r="N1514" s="40">
        <v>71866.372881355899</v>
      </c>
      <c r="O1514" s="40">
        <v>86746.5</v>
      </c>
      <c r="P1514" s="40">
        <v>0</v>
      </c>
      <c r="Q1514" s="40">
        <v>24827.25</v>
      </c>
      <c r="R1514" s="40">
        <v>96636.813559322007</v>
      </c>
      <c r="S1514" s="40">
        <v>72072.406779661003</v>
      </c>
      <c r="T1514" s="40">
        <v>30000</v>
      </c>
      <c r="U1514" s="40">
        <v>532677.96610169497</v>
      </c>
      <c r="V1514" s="40">
        <v>0</v>
      </c>
      <c r="W1514" s="45">
        <v>914827.30932203389</v>
      </c>
      <c r="X1514" s="46">
        <v>7.1069114733011292</v>
      </c>
    </row>
    <row r="1515" spans="1:24" s="4" customFormat="1" ht="15" customHeight="1">
      <c r="A1515" s="79" t="s">
        <v>3955</v>
      </c>
      <c r="B1515" s="80">
        <v>3394.61</v>
      </c>
      <c r="C1515" s="81" t="s">
        <v>4070</v>
      </c>
      <c r="D1515" s="82">
        <v>4952701172</v>
      </c>
      <c r="E1515" s="82" t="s">
        <v>14</v>
      </c>
      <c r="F1515" s="82" t="s">
        <v>4071</v>
      </c>
      <c r="G1515" s="79" t="s">
        <v>5</v>
      </c>
      <c r="H1515" s="2" t="s">
        <v>20</v>
      </c>
      <c r="I1515" s="2">
        <v>1</v>
      </c>
      <c r="J1515" s="2" t="s">
        <v>4072</v>
      </c>
      <c r="K1515" s="2">
        <v>9927</v>
      </c>
      <c r="L1515" s="35">
        <v>33698293.469999999</v>
      </c>
      <c r="M1515" s="36">
        <v>450</v>
      </c>
      <c r="N1515" s="40">
        <v>53899.779661016997</v>
      </c>
      <c r="O1515" s="40">
        <v>86746.5</v>
      </c>
      <c r="P1515" s="40">
        <v>0</v>
      </c>
      <c r="Q1515" s="40">
        <v>24827.25</v>
      </c>
      <c r="R1515" s="40">
        <v>72477.610169491498</v>
      </c>
      <c r="S1515" s="40">
        <v>54054.3050847458</v>
      </c>
      <c r="T1515" s="40">
        <v>30000</v>
      </c>
      <c r="U1515" s="40">
        <v>399508.47457627102</v>
      </c>
      <c r="V1515" s="40">
        <v>0</v>
      </c>
      <c r="W1515" s="45">
        <v>721513.91949152527</v>
      </c>
      <c r="X1515" s="46">
        <v>2.1410992818786361</v>
      </c>
    </row>
    <row r="1516" spans="1:24" s="4" customFormat="1" ht="15" customHeight="1">
      <c r="A1516" s="79" t="s">
        <v>3955</v>
      </c>
      <c r="B1516" s="80">
        <v>3394.61</v>
      </c>
      <c r="C1516" s="81" t="s">
        <v>4090</v>
      </c>
      <c r="D1516" s="82">
        <v>4952461137</v>
      </c>
      <c r="E1516" s="82" t="s">
        <v>14</v>
      </c>
      <c r="F1516" s="82" t="s">
        <v>4091</v>
      </c>
      <c r="G1516" s="79" t="s">
        <v>5</v>
      </c>
      <c r="H1516" s="2" t="s">
        <v>17</v>
      </c>
      <c r="I1516" s="2">
        <v>1</v>
      </c>
      <c r="J1516" s="2" t="s">
        <v>4092</v>
      </c>
      <c r="K1516" s="2">
        <v>6372</v>
      </c>
      <c r="L1516" s="35">
        <v>21630454.920000002</v>
      </c>
      <c r="M1516" s="36">
        <v>1800</v>
      </c>
      <c r="N1516" s="40">
        <v>34974.836403629401</v>
      </c>
      <c r="O1516" s="40">
        <v>26776.7647058824</v>
      </c>
      <c r="P1516" s="40">
        <v>0</v>
      </c>
      <c r="Q1516" s="40">
        <v>5841.7058823529396</v>
      </c>
      <c r="R1516" s="40">
        <v>74372.614792411303</v>
      </c>
      <c r="S1516" s="40">
        <v>35075.1058564751</v>
      </c>
      <c r="T1516" s="40">
        <v>30000</v>
      </c>
      <c r="U1516" s="40">
        <v>540499.86252405797</v>
      </c>
      <c r="V1516" s="40">
        <v>0</v>
      </c>
      <c r="W1516" s="45">
        <v>747540.89016480907</v>
      </c>
      <c r="X1516" s="46">
        <v>3.4559647170139547</v>
      </c>
    </row>
    <row r="1517" spans="1:24" s="4" customFormat="1" ht="15" customHeight="1">
      <c r="A1517" s="79" t="s">
        <v>3955</v>
      </c>
      <c r="B1517" s="80">
        <v>3394.61</v>
      </c>
      <c r="C1517" s="81" t="s">
        <v>4090</v>
      </c>
      <c r="D1517" s="82">
        <v>4951798435</v>
      </c>
      <c r="E1517" s="82" t="s">
        <v>14</v>
      </c>
      <c r="F1517" s="82" t="s">
        <v>4091</v>
      </c>
      <c r="G1517" s="79" t="s">
        <v>5</v>
      </c>
      <c r="H1517" s="2" t="s">
        <v>17</v>
      </c>
      <c r="I1517" s="2">
        <v>1</v>
      </c>
      <c r="J1517" s="2" t="s">
        <v>4092</v>
      </c>
      <c r="K1517" s="2">
        <v>5824</v>
      </c>
      <c r="L1517" s="35">
        <v>19770208.640000001</v>
      </c>
      <c r="M1517" s="36">
        <v>1400</v>
      </c>
      <c r="N1517" s="40">
        <v>27202.650536156201</v>
      </c>
      <c r="O1517" s="40">
        <v>26776.7647058824</v>
      </c>
      <c r="P1517" s="40">
        <v>0</v>
      </c>
      <c r="Q1517" s="40">
        <v>5841.7058823529396</v>
      </c>
      <c r="R1517" s="40">
        <v>57845.367060764402</v>
      </c>
      <c r="S1517" s="40">
        <v>27280.6378883695</v>
      </c>
      <c r="T1517" s="40">
        <v>30000</v>
      </c>
      <c r="U1517" s="40">
        <v>420388.78196315601</v>
      </c>
      <c r="V1517" s="40">
        <v>0</v>
      </c>
      <c r="W1517" s="45">
        <v>595335.90803668147</v>
      </c>
      <c r="X1517" s="46">
        <v>3.0112778214801956</v>
      </c>
    </row>
    <row r="1518" spans="1:24" s="4" customFormat="1" ht="15" customHeight="1">
      <c r="A1518" s="79" t="s">
        <v>3955</v>
      </c>
      <c r="B1518" s="80">
        <v>3394.61</v>
      </c>
      <c r="C1518" s="81" t="s">
        <v>4090</v>
      </c>
      <c r="D1518" s="82">
        <v>4951929798</v>
      </c>
      <c r="E1518" s="82" t="s">
        <v>14</v>
      </c>
      <c r="F1518" s="82" t="s">
        <v>4091</v>
      </c>
      <c r="G1518" s="79" t="s">
        <v>5</v>
      </c>
      <c r="H1518" s="2" t="s">
        <v>17</v>
      </c>
      <c r="I1518" s="2">
        <v>1</v>
      </c>
      <c r="J1518" s="2" t="s">
        <v>4092</v>
      </c>
      <c r="K1518" s="2">
        <v>7203</v>
      </c>
      <c r="L1518" s="35">
        <v>24451375.830000002</v>
      </c>
      <c r="M1518" s="36">
        <v>700</v>
      </c>
      <c r="N1518" s="40">
        <v>13601.325268078101</v>
      </c>
      <c r="O1518" s="40">
        <v>26776.7647058824</v>
      </c>
      <c r="P1518" s="40">
        <v>0</v>
      </c>
      <c r="Q1518" s="40">
        <v>5841.7058823529396</v>
      </c>
      <c r="R1518" s="40">
        <v>28922.683530382201</v>
      </c>
      <c r="S1518" s="40">
        <v>13640.318944184801</v>
      </c>
      <c r="T1518" s="40">
        <v>30000</v>
      </c>
      <c r="U1518" s="40">
        <v>210194.39098157801</v>
      </c>
      <c r="V1518" s="40">
        <v>0</v>
      </c>
      <c r="W1518" s="45">
        <v>328977.18931245845</v>
      </c>
      <c r="X1518" s="46">
        <v>1.3454342675835367</v>
      </c>
    </row>
    <row r="1519" spans="1:24" s="4" customFormat="1" ht="15" customHeight="1">
      <c r="A1519" s="79" t="s">
        <v>3955</v>
      </c>
      <c r="B1519" s="80">
        <v>3394.61</v>
      </c>
      <c r="C1519" s="81" t="s">
        <v>4090</v>
      </c>
      <c r="D1519" s="82">
        <v>4952165892</v>
      </c>
      <c r="E1519" s="82" t="s">
        <v>14</v>
      </c>
      <c r="F1519" s="82" t="s">
        <v>4091</v>
      </c>
      <c r="G1519" s="79" t="s">
        <v>5</v>
      </c>
      <c r="H1519" s="2" t="s">
        <v>17</v>
      </c>
      <c r="I1519" s="2">
        <v>1</v>
      </c>
      <c r="J1519" s="2" t="s">
        <v>4092</v>
      </c>
      <c r="K1519" s="2">
        <v>1219.75</v>
      </c>
      <c r="L1519" s="35">
        <v>4140575.5475000003</v>
      </c>
      <c r="M1519" s="36">
        <v>175</v>
      </c>
      <c r="N1519" s="40">
        <v>3400.3313170195202</v>
      </c>
      <c r="O1519" s="40">
        <v>26776.7647058824</v>
      </c>
      <c r="P1519" s="40">
        <v>0</v>
      </c>
      <c r="Q1519" s="40">
        <v>5841.7058823529396</v>
      </c>
      <c r="R1519" s="40">
        <v>7230.6708825955502</v>
      </c>
      <c r="S1519" s="40">
        <v>3410.0797360461902</v>
      </c>
      <c r="T1519" s="40">
        <v>30000</v>
      </c>
      <c r="U1519" s="40">
        <v>52548.597745394603</v>
      </c>
      <c r="V1519" s="40">
        <v>0</v>
      </c>
      <c r="W1519" s="45">
        <v>129208.15026929119</v>
      </c>
      <c r="X1519" s="46">
        <v>3.1205359928115448</v>
      </c>
    </row>
    <row r="1520" spans="1:24" s="4" customFormat="1" ht="15" customHeight="1">
      <c r="A1520" s="79" t="s">
        <v>3955</v>
      </c>
      <c r="B1520" s="80">
        <v>3394.61</v>
      </c>
      <c r="C1520" s="81" t="s">
        <v>4090</v>
      </c>
      <c r="D1520" s="82">
        <v>4952165892</v>
      </c>
      <c r="E1520" s="82" t="s">
        <v>14</v>
      </c>
      <c r="F1520" s="82" t="s">
        <v>4091</v>
      </c>
      <c r="G1520" s="79" t="s">
        <v>5</v>
      </c>
      <c r="H1520" s="2" t="s">
        <v>17</v>
      </c>
      <c r="I1520" s="2">
        <v>1</v>
      </c>
      <c r="J1520" s="2" t="s">
        <v>4092</v>
      </c>
      <c r="K1520" s="2">
        <v>1102.5</v>
      </c>
      <c r="L1520" s="35">
        <v>3742557.5250000004</v>
      </c>
      <c r="M1520" s="36">
        <v>175</v>
      </c>
      <c r="N1520" s="40">
        <v>3400.3313170195202</v>
      </c>
      <c r="O1520" s="40">
        <v>26776.7647058824</v>
      </c>
      <c r="P1520" s="40">
        <v>0</v>
      </c>
      <c r="Q1520" s="40">
        <v>5841.7058823529396</v>
      </c>
      <c r="R1520" s="40">
        <v>7230.6708825955502</v>
      </c>
      <c r="S1520" s="40">
        <v>3410.0797360461902</v>
      </c>
      <c r="T1520" s="40">
        <v>30000</v>
      </c>
      <c r="U1520" s="40">
        <v>52548.597745394603</v>
      </c>
      <c r="V1520" s="40">
        <v>0</v>
      </c>
      <c r="W1520" s="45">
        <v>129208.15026929119</v>
      </c>
      <c r="X1520" s="46">
        <v>3.4524025190311849</v>
      </c>
    </row>
    <row r="1521" spans="1:24" s="4" customFormat="1" ht="15" customHeight="1">
      <c r="A1521" s="79" t="s">
        <v>3955</v>
      </c>
      <c r="B1521" s="80">
        <v>3394.61</v>
      </c>
      <c r="C1521" s="81" t="s">
        <v>4090</v>
      </c>
      <c r="D1521" s="82">
        <v>4952351981</v>
      </c>
      <c r="E1521" s="82" t="s">
        <v>14</v>
      </c>
      <c r="F1521" s="82" t="s">
        <v>4091</v>
      </c>
      <c r="G1521" s="79" t="s">
        <v>5</v>
      </c>
      <c r="H1521" s="2" t="s">
        <v>17</v>
      </c>
      <c r="I1521" s="2">
        <v>1</v>
      </c>
      <c r="J1521" s="2" t="s">
        <v>4092</v>
      </c>
      <c r="K1521" s="2">
        <v>10348.799999999999</v>
      </c>
      <c r="L1521" s="35">
        <v>35130139.968000002</v>
      </c>
      <c r="M1521" s="36">
        <v>5280</v>
      </c>
      <c r="N1521" s="40">
        <v>102592.853450646</v>
      </c>
      <c r="O1521" s="40">
        <v>26776.7647058824</v>
      </c>
      <c r="P1521" s="40">
        <v>0</v>
      </c>
      <c r="Q1521" s="40">
        <v>5841.7058823529396</v>
      </c>
      <c r="R1521" s="40">
        <v>218159.67005774</v>
      </c>
      <c r="S1521" s="40">
        <v>102886.977178994</v>
      </c>
      <c r="T1521" s="40">
        <v>30000</v>
      </c>
      <c r="U1521" s="40">
        <v>1585466.2634039</v>
      </c>
      <c r="V1521" s="40">
        <v>0</v>
      </c>
      <c r="W1521" s="45">
        <v>2071724.2346795152</v>
      </c>
      <c r="X1521" s="46">
        <v>5.8972843164491975</v>
      </c>
    </row>
    <row r="1522" spans="1:24" s="4" customFormat="1" ht="15" customHeight="1">
      <c r="A1522" s="79" t="s">
        <v>3955</v>
      </c>
      <c r="B1522" s="80">
        <v>3394.61</v>
      </c>
      <c r="C1522" s="81" t="s">
        <v>4090</v>
      </c>
      <c r="D1522" s="82">
        <v>4952461137</v>
      </c>
      <c r="E1522" s="82" t="s">
        <v>14</v>
      </c>
      <c r="F1522" s="82" t="s">
        <v>4091</v>
      </c>
      <c r="G1522" s="79" t="s">
        <v>5</v>
      </c>
      <c r="H1522" s="2" t="s">
        <v>17</v>
      </c>
      <c r="I1522" s="2">
        <v>1</v>
      </c>
      <c r="J1522" s="2" t="s">
        <v>4092</v>
      </c>
      <c r="K1522" s="2">
        <v>1840.5</v>
      </c>
      <c r="L1522" s="35">
        <v>6247779.7050000001</v>
      </c>
      <c r="M1522" s="36">
        <v>450</v>
      </c>
      <c r="N1522" s="40">
        <v>8743.7091009073392</v>
      </c>
      <c r="O1522" s="40">
        <v>26776.7647058824</v>
      </c>
      <c r="P1522" s="40">
        <v>0</v>
      </c>
      <c r="Q1522" s="40">
        <v>5841.7058823529396</v>
      </c>
      <c r="R1522" s="40">
        <v>18593.1536981028</v>
      </c>
      <c r="S1522" s="40">
        <v>8768.7764641187805</v>
      </c>
      <c r="T1522" s="40">
        <v>30000</v>
      </c>
      <c r="U1522" s="40">
        <v>135124.96563101499</v>
      </c>
      <c r="V1522" s="40">
        <v>0</v>
      </c>
      <c r="W1522" s="45">
        <v>233849.07548237924</v>
      </c>
      <c r="X1522" s="46">
        <v>3.7429148677446724</v>
      </c>
    </row>
    <row r="1523" spans="1:24" s="4" customFormat="1" ht="15" customHeight="1">
      <c r="A1523" s="79" t="s">
        <v>3955</v>
      </c>
      <c r="B1523" s="80">
        <v>3394.61</v>
      </c>
      <c r="C1523" s="81" t="s">
        <v>4090</v>
      </c>
      <c r="D1523" s="82">
        <v>4952367451</v>
      </c>
      <c r="E1523" s="82" t="s">
        <v>14</v>
      </c>
      <c r="F1523" s="82" t="s">
        <v>4091</v>
      </c>
      <c r="G1523" s="79" t="s">
        <v>5</v>
      </c>
      <c r="H1523" s="2" t="s">
        <v>17</v>
      </c>
      <c r="I1523" s="2">
        <v>1</v>
      </c>
      <c r="J1523" s="2" t="s">
        <v>4092</v>
      </c>
      <c r="K1523" s="2">
        <v>1785</v>
      </c>
      <c r="L1523" s="35">
        <v>6059378.8500000006</v>
      </c>
      <c r="M1523" s="36">
        <v>420</v>
      </c>
      <c r="N1523" s="40">
        <v>8160.7951608468502</v>
      </c>
      <c r="O1523" s="40">
        <v>26776.7647058824</v>
      </c>
      <c r="P1523" s="40">
        <v>0</v>
      </c>
      <c r="Q1523" s="40">
        <v>5841.7058823529396</v>
      </c>
      <c r="R1523" s="40">
        <v>17353.610118229299</v>
      </c>
      <c r="S1523" s="40">
        <v>8184.1913665108596</v>
      </c>
      <c r="T1523" s="40">
        <v>30000</v>
      </c>
      <c r="U1523" s="40">
        <v>126116.634588947</v>
      </c>
      <c r="V1523" s="40">
        <v>0</v>
      </c>
      <c r="W1523" s="45">
        <v>222433.70182276936</v>
      </c>
      <c r="X1523" s="46">
        <v>3.6708993995773898</v>
      </c>
    </row>
    <row r="1524" spans="1:24" s="4" customFormat="1" ht="15" customHeight="1">
      <c r="A1524" s="79" t="s">
        <v>3955</v>
      </c>
      <c r="B1524" s="80">
        <v>3394.61</v>
      </c>
      <c r="C1524" s="81" t="s">
        <v>4090</v>
      </c>
      <c r="D1524" s="82">
        <v>4952461137</v>
      </c>
      <c r="E1524" s="82" t="s">
        <v>14</v>
      </c>
      <c r="F1524" s="82" t="s">
        <v>4091</v>
      </c>
      <c r="G1524" s="79" t="s">
        <v>5</v>
      </c>
      <c r="H1524" s="2" t="s">
        <v>17</v>
      </c>
      <c r="I1524" s="2">
        <v>1</v>
      </c>
      <c r="J1524" s="2" t="s">
        <v>4092</v>
      </c>
      <c r="K1524" s="2">
        <v>11124</v>
      </c>
      <c r="L1524" s="35">
        <v>37761641.640000001</v>
      </c>
      <c r="M1524" s="36">
        <v>2700</v>
      </c>
      <c r="N1524" s="40">
        <v>52462.254605444003</v>
      </c>
      <c r="O1524" s="40">
        <v>26776.7647058824</v>
      </c>
      <c r="P1524" s="40">
        <v>0</v>
      </c>
      <c r="Q1524" s="40">
        <v>5841.7058823529396</v>
      </c>
      <c r="R1524" s="40">
        <v>111558.922188617</v>
      </c>
      <c r="S1524" s="40">
        <v>52612.658784712701</v>
      </c>
      <c r="T1524" s="40">
        <v>30000</v>
      </c>
      <c r="U1524" s="40">
        <v>810749.79378608696</v>
      </c>
      <c r="V1524" s="40">
        <v>0</v>
      </c>
      <c r="W1524" s="45">
        <v>1090002.0999530959</v>
      </c>
      <c r="X1524" s="46">
        <v>2.886532609849469</v>
      </c>
    </row>
    <row r="1525" spans="1:24" s="4" customFormat="1" ht="15" customHeight="1">
      <c r="A1525" s="79" t="s">
        <v>3955</v>
      </c>
      <c r="B1525" s="80">
        <v>3394.61</v>
      </c>
      <c r="C1525" s="81" t="s">
        <v>4090</v>
      </c>
      <c r="D1525" s="82">
        <v>4952367451</v>
      </c>
      <c r="E1525" s="82" t="s">
        <v>14</v>
      </c>
      <c r="F1525" s="82" t="s">
        <v>4091</v>
      </c>
      <c r="G1525" s="79" t="s">
        <v>5</v>
      </c>
      <c r="H1525" s="2" t="s">
        <v>17</v>
      </c>
      <c r="I1525" s="2">
        <v>1</v>
      </c>
      <c r="J1525" s="2" t="s">
        <v>4092</v>
      </c>
      <c r="K1525" s="2">
        <v>1285.2</v>
      </c>
      <c r="L1525" s="35">
        <v>4362752.7719999999</v>
      </c>
      <c r="M1525" s="36">
        <v>420</v>
      </c>
      <c r="N1525" s="40">
        <v>8160.7951608468502</v>
      </c>
      <c r="O1525" s="40">
        <v>26776.7647058824</v>
      </c>
      <c r="P1525" s="40">
        <v>0</v>
      </c>
      <c r="Q1525" s="40">
        <v>5841.7058823529396</v>
      </c>
      <c r="R1525" s="40">
        <v>17353.610118229299</v>
      </c>
      <c r="S1525" s="40">
        <v>8184.1913665108596</v>
      </c>
      <c r="T1525" s="40">
        <v>30000</v>
      </c>
      <c r="U1525" s="40">
        <v>126116.634588947</v>
      </c>
      <c r="V1525" s="40">
        <v>0</v>
      </c>
      <c r="W1525" s="45">
        <v>222433.70182276936</v>
      </c>
      <c r="X1525" s="46">
        <v>5.0984713883019301</v>
      </c>
    </row>
    <row r="1526" spans="1:24" s="4" customFormat="1" ht="15" customHeight="1">
      <c r="A1526" s="79" t="s">
        <v>3955</v>
      </c>
      <c r="B1526" s="80">
        <v>3394.61</v>
      </c>
      <c r="C1526" s="81" t="s">
        <v>4090</v>
      </c>
      <c r="D1526" s="82">
        <v>4952367451</v>
      </c>
      <c r="E1526" s="82" t="s">
        <v>14</v>
      </c>
      <c r="F1526" s="82" t="s">
        <v>4091</v>
      </c>
      <c r="G1526" s="79" t="s">
        <v>5</v>
      </c>
      <c r="H1526" s="2" t="s">
        <v>17</v>
      </c>
      <c r="I1526" s="2">
        <v>1</v>
      </c>
      <c r="J1526" s="2" t="s">
        <v>4092</v>
      </c>
      <c r="K1526" s="2">
        <v>3099.6</v>
      </c>
      <c r="L1526" s="35">
        <v>10521933.155999999</v>
      </c>
      <c r="M1526" s="36">
        <v>820</v>
      </c>
      <c r="N1526" s="40">
        <v>15932.98102832</v>
      </c>
      <c r="O1526" s="40">
        <v>26776.7647058824</v>
      </c>
      <c r="P1526" s="40">
        <v>0</v>
      </c>
      <c r="Q1526" s="40">
        <v>5841.7058823529396</v>
      </c>
      <c r="R1526" s="40">
        <v>33880.857849876302</v>
      </c>
      <c r="S1526" s="40">
        <v>15978.659334616401</v>
      </c>
      <c r="T1526" s="40">
        <v>30000</v>
      </c>
      <c r="U1526" s="40">
        <v>246227.71514984901</v>
      </c>
      <c r="V1526" s="40">
        <v>0</v>
      </c>
      <c r="W1526" s="45">
        <v>374638.68395089707</v>
      </c>
      <c r="X1526" s="46">
        <v>3.5605499331390837</v>
      </c>
    </row>
    <row r="1527" spans="1:24" s="4" customFormat="1" ht="15" customHeight="1">
      <c r="A1527" s="79" t="s">
        <v>3955</v>
      </c>
      <c r="B1527" s="80">
        <v>3394.61</v>
      </c>
      <c r="C1527" s="81" t="s">
        <v>4090</v>
      </c>
      <c r="D1527" s="82">
        <v>4952461137</v>
      </c>
      <c r="E1527" s="82" t="s">
        <v>14</v>
      </c>
      <c r="F1527" s="82" t="s">
        <v>4091</v>
      </c>
      <c r="G1527" s="79" t="s">
        <v>5</v>
      </c>
      <c r="H1527" s="2" t="s">
        <v>17</v>
      </c>
      <c r="I1527" s="2">
        <v>1</v>
      </c>
      <c r="J1527" s="2" t="s">
        <v>4092</v>
      </c>
      <c r="K1527" s="2">
        <v>3792</v>
      </c>
      <c r="L1527" s="35">
        <v>12872361.120000001</v>
      </c>
      <c r="M1527" s="36">
        <v>400</v>
      </c>
      <c r="N1527" s="40">
        <v>7772.1858674731902</v>
      </c>
      <c r="O1527" s="40">
        <v>26776.7647058824</v>
      </c>
      <c r="P1527" s="40">
        <v>0</v>
      </c>
      <c r="Q1527" s="40">
        <v>5841.7058823529396</v>
      </c>
      <c r="R1527" s="40">
        <v>16527.247731646999</v>
      </c>
      <c r="S1527" s="40">
        <v>7794.4679681055804</v>
      </c>
      <c r="T1527" s="40">
        <v>30000</v>
      </c>
      <c r="U1527" s="40">
        <v>120111.080560902</v>
      </c>
      <c r="V1527" s="40">
        <v>0</v>
      </c>
      <c r="W1527" s="45">
        <v>214823.45271636313</v>
      </c>
      <c r="X1527" s="46">
        <v>1.6688737265348186</v>
      </c>
    </row>
    <row r="1528" spans="1:24" s="4" customFormat="1" ht="15" customHeight="1">
      <c r="A1528" s="79" t="s">
        <v>3955</v>
      </c>
      <c r="B1528" s="80">
        <v>3394.61</v>
      </c>
      <c r="C1528" s="81" t="s">
        <v>4090</v>
      </c>
      <c r="D1528" s="82">
        <v>4952698981</v>
      </c>
      <c r="E1528" s="82" t="s">
        <v>14</v>
      </c>
      <c r="F1528" s="82" t="s">
        <v>4091</v>
      </c>
      <c r="G1528" s="79" t="s">
        <v>5</v>
      </c>
      <c r="H1528" s="2" t="s">
        <v>17</v>
      </c>
      <c r="I1528" s="2">
        <v>1</v>
      </c>
      <c r="J1528" s="2" t="s">
        <v>4092</v>
      </c>
      <c r="K1528" s="2">
        <v>6019.2</v>
      </c>
      <c r="L1528" s="35">
        <v>20432836.512000002</v>
      </c>
      <c r="M1528" s="36">
        <v>1520</v>
      </c>
      <c r="N1528" s="40">
        <v>29534.306296398099</v>
      </c>
      <c r="O1528" s="40">
        <v>26776.7647058824</v>
      </c>
      <c r="P1528" s="40">
        <v>0</v>
      </c>
      <c r="Q1528" s="40">
        <v>5841.7058823529396</v>
      </c>
      <c r="R1528" s="40">
        <v>62803.541380258503</v>
      </c>
      <c r="S1528" s="40">
        <v>29618.978278801202</v>
      </c>
      <c r="T1528" s="40">
        <v>30000</v>
      </c>
      <c r="U1528" s="40">
        <v>456422.10613142699</v>
      </c>
      <c r="V1528" s="40">
        <v>0</v>
      </c>
      <c r="W1528" s="45">
        <v>640997.40267512016</v>
      </c>
      <c r="X1528" s="46">
        <v>3.1370945600170037</v>
      </c>
    </row>
    <row r="1529" spans="1:24" s="4" customFormat="1" ht="15" customHeight="1">
      <c r="A1529" s="79" t="s">
        <v>3955</v>
      </c>
      <c r="B1529" s="80">
        <v>3394.61</v>
      </c>
      <c r="C1529" s="81" t="s">
        <v>4090</v>
      </c>
      <c r="D1529" s="82">
        <v>4952270618</v>
      </c>
      <c r="E1529" s="82" t="s">
        <v>14</v>
      </c>
      <c r="F1529" s="82" t="s">
        <v>4091</v>
      </c>
      <c r="G1529" s="79" t="s">
        <v>5</v>
      </c>
      <c r="H1529" s="2" t="s">
        <v>17</v>
      </c>
      <c r="I1529" s="2">
        <v>1</v>
      </c>
      <c r="J1529" s="2" t="s">
        <v>4092</v>
      </c>
      <c r="K1529" s="2">
        <v>3420</v>
      </c>
      <c r="L1529" s="35">
        <v>11609566.200000001</v>
      </c>
      <c r="M1529" s="36">
        <v>1125</v>
      </c>
      <c r="N1529" s="40">
        <v>21859.2727522684</v>
      </c>
      <c r="O1529" s="40">
        <v>26776.7647058824</v>
      </c>
      <c r="P1529" s="40">
        <v>0</v>
      </c>
      <c r="Q1529" s="40">
        <v>5841.7058823529396</v>
      </c>
      <c r="R1529" s="40">
        <v>46482.884245257097</v>
      </c>
      <c r="S1529" s="40">
        <v>21921.941160296901</v>
      </c>
      <c r="T1529" s="40">
        <v>30000</v>
      </c>
      <c r="U1529" s="40">
        <v>337812.41407753603</v>
      </c>
      <c r="V1529" s="40">
        <v>0</v>
      </c>
      <c r="W1529" s="45">
        <v>490694.98282359377</v>
      </c>
      <c r="X1529" s="46">
        <v>4.2266435659206092</v>
      </c>
    </row>
    <row r="1530" spans="1:24" s="4" customFormat="1" ht="15" customHeight="1">
      <c r="A1530" s="79" t="s">
        <v>3955</v>
      </c>
      <c r="B1530" s="80">
        <v>3394.61</v>
      </c>
      <c r="C1530" s="81" t="s">
        <v>4090</v>
      </c>
      <c r="D1530" s="82">
        <v>4952461137</v>
      </c>
      <c r="E1530" s="82" t="s">
        <v>14</v>
      </c>
      <c r="F1530" s="82" t="s">
        <v>4091</v>
      </c>
      <c r="G1530" s="79" t="s">
        <v>5</v>
      </c>
      <c r="H1530" s="2" t="s">
        <v>17</v>
      </c>
      <c r="I1530" s="2">
        <v>1</v>
      </c>
      <c r="J1530" s="2" t="s">
        <v>4092</v>
      </c>
      <c r="K1530" s="2">
        <v>4896</v>
      </c>
      <c r="L1530" s="35">
        <v>16620010.560000001</v>
      </c>
      <c r="M1530" s="36">
        <v>300</v>
      </c>
      <c r="N1530" s="40">
        <v>5829.1394006048904</v>
      </c>
      <c r="O1530" s="40">
        <v>26776.7647058824</v>
      </c>
      <c r="P1530" s="40">
        <v>0</v>
      </c>
      <c r="Q1530" s="40">
        <v>5841.7058823529396</v>
      </c>
      <c r="R1530" s="40">
        <v>12395.4357987352</v>
      </c>
      <c r="S1530" s="40">
        <v>5845.8509760791903</v>
      </c>
      <c r="T1530" s="40">
        <v>30000</v>
      </c>
      <c r="U1530" s="40">
        <v>90083.310420676396</v>
      </c>
      <c r="V1530" s="40">
        <v>0</v>
      </c>
      <c r="W1530" s="45">
        <v>176772.20718433103</v>
      </c>
      <c r="X1530" s="46">
        <v>1.0636106791037503</v>
      </c>
    </row>
    <row r="1531" spans="1:24" s="4" customFormat="1" ht="15" customHeight="1">
      <c r="A1531" s="79" t="s">
        <v>3955</v>
      </c>
      <c r="B1531" s="80">
        <v>3394.61</v>
      </c>
      <c r="C1531" s="81" t="s">
        <v>4090</v>
      </c>
      <c r="D1531" s="82">
        <v>4952461137</v>
      </c>
      <c r="E1531" s="82" t="s">
        <v>14</v>
      </c>
      <c r="F1531" s="82" t="s">
        <v>4091</v>
      </c>
      <c r="G1531" s="79" t="s">
        <v>5</v>
      </c>
      <c r="H1531" s="2" t="s">
        <v>17</v>
      </c>
      <c r="I1531" s="2">
        <v>1</v>
      </c>
      <c r="J1531" s="2" t="s">
        <v>4092</v>
      </c>
      <c r="K1531" s="2">
        <v>3736</v>
      </c>
      <c r="L1531" s="35">
        <v>12682262.960000001</v>
      </c>
      <c r="M1531" s="36">
        <v>400</v>
      </c>
      <c r="N1531" s="40">
        <v>7772.1858674731902</v>
      </c>
      <c r="O1531" s="40">
        <v>26776.7647058824</v>
      </c>
      <c r="P1531" s="40">
        <v>0</v>
      </c>
      <c r="Q1531" s="40">
        <v>5841.7058823529396</v>
      </c>
      <c r="R1531" s="40">
        <v>16527.247731646999</v>
      </c>
      <c r="S1531" s="40">
        <v>7794.4679681055804</v>
      </c>
      <c r="T1531" s="40">
        <v>30000</v>
      </c>
      <c r="U1531" s="40">
        <v>120111.080560902</v>
      </c>
      <c r="V1531" s="40">
        <v>0</v>
      </c>
      <c r="W1531" s="45">
        <v>214823.45271636313</v>
      </c>
      <c r="X1531" s="46">
        <v>1.6938889644057902</v>
      </c>
    </row>
    <row r="1532" spans="1:24" s="4" customFormat="1" ht="15" customHeight="1">
      <c r="A1532" s="79" t="s">
        <v>3955</v>
      </c>
      <c r="B1532" s="80">
        <v>3394.61</v>
      </c>
      <c r="C1532" s="81" t="s">
        <v>4090</v>
      </c>
      <c r="D1532" s="82">
        <v>4952701160</v>
      </c>
      <c r="E1532" s="82" t="s">
        <v>14</v>
      </c>
      <c r="F1532" s="82" t="s">
        <v>4091</v>
      </c>
      <c r="G1532" s="79" t="s">
        <v>5</v>
      </c>
      <c r="H1532" s="2" t="s">
        <v>17</v>
      </c>
      <c r="I1532" s="2">
        <v>1</v>
      </c>
      <c r="J1532" s="2" t="s">
        <v>4092</v>
      </c>
      <c r="K1532" s="2">
        <v>395</v>
      </c>
      <c r="L1532" s="35">
        <v>1340870.95</v>
      </c>
      <c r="M1532" s="36">
        <v>100</v>
      </c>
      <c r="N1532" s="40">
        <v>1943.0464668683001</v>
      </c>
      <c r="O1532" s="40">
        <v>26776.7647058824</v>
      </c>
      <c r="P1532" s="40">
        <v>0</v>
      </c>
      <c r="Q1532" s="40">
        <v>5841.7058823529396</v>
      </c>
      <c r="R1532" s="40">
        <v>4131.8119329117399</v>
      </c>
      <c r="S1532" s="40">
        <v>1948.6169920264001</v>
      </c>
      <c r="T1532" s="40">
        <v>30000</v>
      </c>
      <c r="U1532" s="40">
        <v>30027.770140225501</v>
      </c>
      <c r="V1532" s="40">
        <v>0</v>
      </c>
      <c r="W1532" s="45">
        <v>100669.71612026729</v>
      </c>
      <c r="X1532" s="46">
        <v>7.5077856016097062</v>
      </c>
    </row>
    <row r="1533" spans="1:24" s="4" customFormat="1" ht="15" customHeight="1">
      <c r="A1533" s="79" t="s">
        <v>3955</v>
      </c>
      <c r="B1533" s="80">
        <v>3394.61</v>
      </c>
      <c r="C1533" s="81" t="s">
        <v>4093</v>
      </c>
      <c r="D1533" s="82">
        <v>4950898136</v>
      </c>
      <c r="E1533" s="82" t="s">
        <v>14</v>
      </c>
      <c r="F1533" s="82" t="s">
        <v>4094</v>
      </c>
      <c r="G1533" s="79" t="s">
        <v>5</v>
      </c>
      <c r="H1533" s="2" t="s">
        <v>17</v>
      </c>
      <c r="I1533" s="2">
        <v>1</v>
      </c>
      <c r="J1533" s="2" t="s">
        <v>4095</v>
      </c>
      <c r="K1533" s="2">
        <v>131760</v>
      </c>
      <c r="L1533" s="35">
        <v>447273813.60000002</v>
      </c>
      <c r="M1533" s="36">
        <v>36000</v>
      </c>
      <c r="N1533" s="40">
        <v>706686</v>
      </c>
      <c r="O1533" s="40">
        <v>455205</v>
      </c>
      <c r="P1533" s="40">
        <v>0</v>
      </c>
      <c r="Q1533" s="40">
        <v>99309</v>
      </c>
      <c r="R1533" s="40">
        <v>1130391</v>
      </c>
      <c r="S1533" s="40">
        <v>354356</v>
      </c>
      <c r="T1533" s="40">
        <v>30000</v>
      </c>
      <c r="U1533" s="40">
        <v>10893100</v>
      </c>
      <c r="V1533" s="40">
        <v>0</v>
      </c>
      <c r="W1533" s="45">
        <v>13669047</v>
      </c>
      <c r="X1533" s="46">
        <v>3.0560803213541852</v>
      </c>
    </row>
    <row r="1534" spans="1:24" s="4" customFormat="1" ht="15" customHeight="1">
      <c r="A1534" s="79" t="s">
        <v>3955</v>
      </c>
      <c r="B1534" s="80">
        <v>3394.61</v>
      </c>
      <c r="C1534" s="81" t="s">
        <v>4096</v>
      </c>
      <c r="D1534" s="82">
        <v>4952462809</v>
      </c>
      <c r="E1534" s="82" t="s">
        <v>14</v>
      </c>
      <c r="F1534" s="82" t="s">
        <v>4097</v>
      </c>
      <c r="G1534" s="79" t="s">
        <v>5</v>
      </c>
      <c r="H1534" s="2" t="s">
        <v>20</v>
      </c>
      <c r="I1534" s="2">
        <v>1</v>
      </c>
      <c r="J1534" s="2" t="s">
        <v>4098</v>
      </c>
      <c r="K1534" s="2">
        <v>34675.199999999997</v>
      </c>
      <c r="L1534" s="35">
        <v>117708780.67199999</v>
      </c>
      <c r="M1534" s="36">
        <v>15480</v>
      </c>
      <c r="N1534" s="40">
        <v>449072</v>
      </c>
      <c r="O1534" s="40">
        <v>346986</v>
      </c>
      <c r="P1534" s="40">
        <v>0</v>
      </c>
      <c r="Q1534" s="40">
        <v>99309</v>
      </c>
      <c r="R1534" s="40">
        <v>446941</v>
      </c>
      <c r="S1534" s="40">
        <v>354356</v>
      </c>
      <c r="T1534" s="40">
        <v>30000</v>
      </c>
      <c r="U1534" s="40">
        <v>6404400</v>
      </c>
      <c r="V1534" s="40">
        <v>0</v>
      </c>
      <c r="W1534" s="45">
        <v>8131064</v>
      </c>
      <c r="X1534" s="46">
        <v>6.9077803317473148</v>
      </c>
    </row>
    <row r="1535" spans="1:24" s="4" customFormat="1" ht="15" customHeight="1">
      <c r="A1535" s="79" t="s">
        <v>3955</v>
      </c>
      <c r="B1535" s="80">
        <v>3394.61</v>
      </c>
      <c r="C1535" s="81" t="s">
        <v>4099</v>
      </c>
      <c r="D1535" s="82">
        <v>4950898114</v>
      </c>
      <c r="E1535" s="82" t="s">
        <v>14</v>
      </c>
      <c r="F1535" s="82" t="s">
        <v>4100</v>
      </c>
      <c r="G1535" s="79" t="s">
        <v>5</v>
      </c>
      <c r="H1535" s="2" t="s">
        <v>17</v>
      </c>
      <c r="I1535" s="2">
        <v>1</v>
      </c>
      <c r="J1535" s="2" t="s">
        <v>4101</v>
      </c>
      <c r="K1535" s="2">
        <v>131760</v>
      </c>
      <c r="L1535" s="35">
        <v>447273813.60000002</v>
      </c>
      <c r="M1535" s="36">
        <v>36000</v>
      </c>
      <c r="N1535" s="40">
        <v>706688</v>
      </c>
      <c r="O1535" s="40">
        <v>455205</v>
      </c>
      <c r="P1535" s="40">
        <v>0</v>
      </c>
      <c r="Q1535" s="40">
        <v>99309</v>
      </c>
      <c r="R1535" s="40">
        <v>1129911</v>
      </c>
      <c r="S1535" s="40">
        <v>354356</v>
      </c>
      <c r="T1535" s="40">
        <v>30000</v>
      </c>
      <c r="U1535" s="40">
        <v>10893100</v>
      </c>
      <c r="V1535" s="40">
        <v>0</v>
      </c>
      <c r="W1535" s="45">
        <v>13668569</v>
      </c>
      <c r="X1535" s="46">
        <v>3.0559734516950492</v>
      </c>
    </row>
    <row r="1536" spans="1:24" s="4" customFormat="1" ht="15" customHeight="1">
      <c r="A1536" s="79" t="s">
        <v>3955</v>
      </c>
      <c r="B1536" s="80">
        <v>3394.61</v>
      </c>
      <c r="C1536" s="81" t="s">
        <v>4108</v>
      </c>
      <c r="D1536" s="82">
        <v>4952462834</v>
      </c>
      <c r="E1536" s="82" t="s">
        <v>14</v>
      </c>
      <c r="F1536" s="82" t="s">
        <v>4109</v>
      </c>
      <c r="G1536" s="79" t="s">
        <v>9</v>
      </c>
      <c r="H1536" s="2" t="s">
        <v>23</v>
      </c>
      <c r="I1536" s="2">
        <v>1</v>
      </c>
      <c r="J1536" s="2"/>
      <c r="K1536" s="2">
        <v>1920</v>
      </c>
      <c r="L1536" s="35">
        <v>6517651.2000000002</v>
      </c>
      <c r="M1536" s="36">
        <v>800</v>
      </c>
      <c r="N1536" s="40">
        <v>291058</v>
      </c>
      <c r="O1536" s="40">
        <v>591</v>
      </c>
      <c r="P1536" s="40">
        <v>0</v>
      </c>
      <c r="Q1536" s="40">
        <v>17080</v>
      </c>
      <c r="R1536" s="40">
        <v>100380</v>
      </c>
      <c r="S1536" s="40">
        <v>354356</v>
      </c>
      <c r="T1536" s="40">
        <v>30000</v>
      </c>
      <c r="U1536" s="40">
        <v>1367700</v>
      </c>
      <c r="V1536" s="40">
        <v>0</v>
      </c>
      <c r="W1536" s="45">
        <v>2161165</v>
      </c>
      <c r="X1536" s="46">
        <v>33.158647704252722</v>
      </c>
    </row>
    <row r="1537" spans="1:24" s="4" customFormat="1" ht="15" customHeight="1">
      <c r="A1537" s="79" t="s">
        <v>3955</v>
      </c>
      <c r="B1537" s="80">
        <v>3394.61</v>
      </c>
      <c r="C1537" s="81" t="s">
        <v>4112</v>
      </c>
      <c r="D1537" s="82">
        <v>4952165895</v>
      </c>
      <c r="E1537" s="82" t="s">
        <v>14</v>
      </c>
      <c r="F1537" s="82" t="s">
        <v>4113</v>
      </c>
      <c r="G1537" s="79" t="s">
        <v>9</v>
      </c>
      <c r="H1537" s="2" t="s">
        <v>23</v>
      </c>
      <c r="I1537" s="2">
        <v>2</v>
      </c>
      <c r="J1537" s="2"/>
      <c r="K1537" s="2">
        <v>1644</v>
      </c>
      <c r="L1537" s="35">
        <v>5580738.8399999999</v>
      </c>
      <c r="M1537" s="36">
        <v>75</v>
      </c>
      <c r="N1537" s="37">
        <v>300000</v>
      </c>
      <c r="O1537" s="40">
        <v>69</v>
      </c>
      <c r="P1537" s="40">
        <v>0</v>
      </c>
      <c r="Q1537" s="40">
        <v>1794.5</v>
      </c>
      <c r="R1537" s="37">
        <v>53280</v>
      </c>
      <c r="S1537" s="37">
        <v>212613.6</v>
      </c>
      <c r="T1537" s="40">
        <v>30000</v>
      </c>
      <c r="U1537" s="64">
        <v>820620</v>
      </c>
      <c r="V1537" s="64">
        <v>0</v>
      </c>
      <c r="W1537" s="45">
        <v>1418377.1</v>
      </c>
      <c r="X1537" s="46">
        <v>25.415579203129312</v>
      </c>
    </row>
    <row r="1538" spans="1:24" s="4" customFormat="1" ht="15" customHeight="1">
      <c r="A1538" s="79" t="s">
        <v>3955</v>
      </c>
      <c r="B1538" s="80">
        <v>3394.61</v>
      </c>
      <c r="C1538" s="81" t="s">
        <v>4112</v>
      </c>
      <c r="D1538" s="82">
        <v>4952465111</v>
      </c>
      <c r="E1538" s="82" t="s">
        <v>14</v>
      </c>
      <c r="F1538" s="82" t="s">
        <v>4113</v>
      </c>
      <c r="G1538" s="79" t="s">
        <v>9</v>
      </c>
      <c r="H1538" s="2" t="s">
        <v>23</v>
      </c>
      <c r="I1538" s="2">
        <v>2</v>
      </c>
      <c r="J1538" s="2"/>
      <c r="K1538" s="2">
        <v>1096</v>
      </c>
      <c r="L1538" s="35">
        <v>3720492.56</v>
      </c>
      <c r="M1538" s="36">
        <v>50</v>
      </c>
      <c r="N1538" s="37">
        <v>200000</v>
      </c>
      <c r="O1538" s="40">
        <v>69</v>
      </c>
      <c r="P1538" s="40">
        <v>0</v>
      </c>
      <c r="Q1538" s="40">
        <v>1794.5</v>
      </c>
      <c r="R1538" s="37">
        <v>35520</v>
      </c>
      <c r="S1538" s="37">
        <v>141742.39999999999</v>
      </c>
      <c r="T1538" s="40">
        <v>30000</v>
      </c>
      <c r="U1538" s="64">
        <v>547080</v>
      </c>
      <c r="V1538" s="64">
        <v>0</v>
      </c>
      <c r="W1538" s="45">
        <v>956205.9</v>
      </c>
      <c r="X1538" s="46">
        <v>25.701056636436331</v>
      </c>
    </row>
    <row r="1539" spans="1:24" s="4" customFormat="1" ht="15" customHeight="1">
      <c r="A1539" s="79" t="s">
        <v>3955</v>
      </c>
      <c r="B1539" s="80">
        <v>3394.61</v>
      </c>
      <c r="C1539" s="81" t="s">
        <v>4116</v>
      </c>
      <c r="D1539" s="82">
        <v>4951814799</v>
      </c>
      <c r="E1539" s="82" t="s">
        <v>14</v>
      </c>
      <c r="F1539" s="82" t="s">
        <v>4117</v>
      </c>
      <c r="G1539" s="79" t="s">
        <v>5</v>
      </c>
      <c r="H1539" s="2" t="s">
        <v>20</v>
      </c>
      <c r="I1539" s="2">
        <v>1</v>
      </c>
      <c r="J1539" s="2" t="s">
        <v>4118</v>
      </c>
      <c r="K1539" s="2">
        <v>34675.199999999997</v>
      </c>
      <c r="L1539" s="35">
        <v>117708780.67199999</v>
      </c>
      <c r="M1539" s="36">
        <v>15480</v>
      </c>
      <c r="N1539" s="40">
        <v>449072</v>
      </c>
      <c r="O1539" s="40">
        <v>346986</v>
      </c>
      <c r="P1539" s="40">
        <v>0</v>
      </c>
      <c r="Q1539" s="40">
        <v>99309</v>
      </c>
      <c r="R1539" s="40">
        <v>446941</v>
      </c>
      <c r="S1539" s="40">
        <v>354356</v>
      </c>
      <c r="T1539" s="40">
        <v>30000</v>
      </c>
      <c r="U1539" s="40">
        <v>6404400</v>
      </c>
      <c r="V1539" s="40">
        <v>0</v>
      </c>
      <c r="W1539" s="45">
        <v>8131064</v>
      </c>
      <c r="X1539" s="46">
        <v>6.9077803317473148</v>
      </c>
    </row>
    <row r="1540" spans="1:24" s="4" customFormat="1" ht="15" customHeight="1">
      <c r="A1540" s="79" t="s">
        <v>3955</v>
      </c>
      <c r="B1540" s="80">
        <v>3394.61</v>
      </c>
      <c r="C1540" s="81" t="s">
        <v>4119</v>
      </c>
      <c r="D1540" s="82">
        <v>4952352310</v>
      </c>
      <c r="E1540" s="82" t="s">
        <v>14</v>
      </c>
      <c r="F1540" s="82" t="s">
        <v>4120</v>
      </c>
      <c r="G1540" s="79" t="s">
        <v>9</v>
      </c>
      <c r="H1540" s="2" t="s">
        <v>23</v>
      </c>
      <c r="I1540" s="2">
        <v>1</v>
      </c>
      <c r="J1540" s="2"/>
      <c r="K1540" s="2">
        <v>1755.6</v>
      </c>
      <c r="L1540" s="35">
        <v>5959577.3159999996</v>
      </c>
      <c r="M1540" s="36">
        <v>760</v>
      </c>
      <c r="N1540" s="40">
        <v>746821</v>
      </c>
      <c r="O1540" s="40">
        <v>346</v>
      </c>
      <c r="P1540" s="40">
        <v>0</v>
      </c>
      <c r="Q1540" s="40">
        <v>9508</v>
      </c>
      <c r="R1540" s="40">
        <v>103813</v>
      </c>
      <c r="S1540" s="40">
        <v>354356</v>
      </c>
      <c r="T1540" s="40">
        <v>30000</v>
      </c>
      <c r="U1540" s="40">
        <v>1367700</v>
      </c>
      <c r="V1540" s="40">
        <v>0</v>
      </c>
      <c r="W1540" s="45">
        <v>2612544</v>
      </c>
      <c r="X1540" s="46">
        <v>43.837739850877711</v>
      </c>
    </row>
    <row r="1541" spans="1:24" s="4" customFormat="1" ht="15" customHeight="1">
      <c r="A1541" s="79" t="s">
        <v>3955</v>
      </c>
      <c r="B1541" s="80">
        <v>3394.61</v>
      </c>
      <c r="C1541" s="81" t="s">
        <v>4123</v>
      </c>
      <c r="D1541" s="82">
        <v>4951411361</v>
      </c>
      <c r="E1541" s="82" t="s">
        <v>14</v>
      </c>
      <c r="F1541" s="82" t="s">
        <v>4124</v>
      </c>
      <c r="G1541" s="79" t="s">
        <v>5</v>
      </c>
      <c r="H1541" s="2" t="s">
        <v>20</v>
      </c>
      <c r="I1541" s="2">
        <v>1</v>
      </c>
      <c r="J1541" s="2" t="s">
        <v>4125</v>
      </c>
      <c r="K1541" s="2">
        <v>145017.60000000001</v>
      </c>
      <c r="L1541" s="35">
        <v>492278195.13600004</v>
      </c>
      <c r="M1541" s="36">
        <v>1280</v>
      </c>
      <c r="N1541" s="40">
        <v>170778.85714285701</v>
      </c>
      <c r="O1541" s="40">
        <v>173493</v>
      </c>
      <c r="P1541" s="40">
        <v>0</v>
      </c>
      <c r="Q1541" s="40">
        <v>49654.5</v>
      </c>
      <c r="R1541" s="40">
        <v>192745.285714286</v>
      </c>
      <c r="S1541" s="40">
        <v>151866.85714285701</v>
      </c>
      <c r="T1541" s="40">
        <v>30000</v>
      </c>
      <c r="U1541" s="40">
        <v>1122428.57142857</v>
      </c>
      <c r="V1541" s="40">
        <v>572142.85714285704</v>
      </c>
      <c r="W1541" s="45">
        <v>2463109.9285714272</v>
      </c>
      <c r="X1541" s="46">
        <v>0.50034918322777877</v>
      </c>
    </row>
    <row r="1542" spans="1:24" s="4" customFormat="1" ht="15" customHeight="1">
      <c r="A1542" s="79" t="s">
        <v>3955</v>
      </c>
      <c r="B1542" s="80">
        <v>3394.61</v>
      </c>
      <c r="C1542" s="81" t="s">
        <v>4123</v>
      </c>
      <c r="D1542" s="82">
        <v>4951574749</v>
      </c>
      <c r="E1542" s="82" t="s">
        <v>14</v>
      </c>
      <c r="F1542" s="82" t="s">
        <v>4124</v>
      </c>
      <c r="G1542" s="79" t="s">
        <v>5</v>
      </c>
      <c r="H1542" s="2" t="s">
        <v>20</v>
      </c>
      <c r="I1542" s="2">
        <v>1</v>
      </c>
      <c r="J1542" s="2" t="s">
        <v>4125</v>
      </c>
      <c r="K1542" s="2">
        <v>108763.2</v>
      </c>
      <c r="L1542" s="35">
        <v>369208646.352</v>
      </c>
      <c r="M1542" s="36">
        <v>960</v>
      </c>
      <c r="N1542" s="40">
        <v>227705.14285714299</v>
      </c>
      <c r="O1542" s="40">
        <v>173493</v>
      </c>
      <c r="P1542" s="40">
        <v>0</v>
      </c>
      <c r="Q1542" s="40">
        <v>49654.5</v>
      </c>
      <c r="R1542" s="40">
        <v>256993.714285714</v>
      </c>
      <c r="S1542" s="40">
        <v>202489.14285714299</v>
      </c>
      <c r="T1542" s="40">
        <v>30000</v>
      </c>
      <c r="U1542" s="40">
        <v>1496571.42857143</v>
      </c>
      <c r="V1542" s="40">
        <v>762857.14285714296</v>
      </c>
      <c r="W1542" s="45">
        <v>3199764.0714285728</v>
      </c>
      <c r="X1542" s="46">
        <v>0.86665469594066558</v>
      </c>
    </row>
    <row r="1543" spans="1:24" s="4" customFormat="1" ht="15" customHeight="1">
      <c r="A1543" s="79" t="s">
        <v>3955</v>
      </c>
      <c r="B1543" s="80">
        <v>3394.61</v>
      </c>
      <c r="C1543" s="81" t="s">
        <v>4129</v>
      </c>
      <c r="D1543" s="82" t="s">
        <v>4130</v>
      </c>
      <c r="E1543" s="82" t="s">
        <v>14</v>
      </c>
      <c r="F1543" s="82" t="s">
        <v>4131</v>
      </c>
      <c r="G1543" s="79" t="s">
        <v>9</v>
      </c>
      <c r="H1543" s="2" t="s">
        <v>23</v>
      </c>
      <c r="I1543" s="2">
        <v>6</v>
      </c>
      <c r="J1543" s="2"/>
      <c r="K1543" s="2">
        <v>12448.8</v>
      </c>
      <c r="L1543" s="35">
        <v>42258820.968000002</v>
      </c>
      <c r="M1543" s="36">
        <v>5040</v>
      </c>
      <c r="N1543" s="40">
        <v>0</v>
      </c>
      <c r="O1543" s="40">
        <v>24500</v>
      </c>
      <c r="P1543" s="40">
        <v>173969</v>
      </c>
      <c r="Q1543" s="40">
        <v>250</v>
      </c>
      <c r="R1543" s="40">
        <v>176944</v>
      </c>
      <c r="S1543" s="40">
        <v>354356</v>
      </c>
      <c r="T1543" s="40">
        <v>30000</v>
      </c>
      <c r="U1543" s="40">
        <v>2085500</v>
      </c>
      <c r="V1543" s="40">
        <v>0</v>
      </c>
      <c r="W1543" s="45">
        <v>2845519</v>
      </c>
      <c r="X1543" s="46">
        <v>6.7335503802974914</v>
      </c>
    </row>
    <row r="1544" spans="1:24" s="4" customFormat="1" ht="15" customHeight="1">
      <c r="A1544" s="79" t="s">
        <v>3955</v>
      </c>
      <c r="B1544" s="80">
        <v>3394.61</v>
      </c>
      <c r="C1544" s="81" t="s">
        <v>4135</v>
      </c>
      <c r="D1544" s="82">
        <v>4952461126</v>
      </c>
      <c r="E1544" s="82" t="s">
        <v>14</v>
      </c>
      <c r="F1544" s="82" t="s">
        <v>4136</v>
      </c>
      <c r="G1544" s="79" t="s">
        <v>5</v>
      </c>
      <c r="H1544" s="2" t="s">
        <v>35</v>
      </c>
      <c r="I1544" s="2">
        <v>1</v>
      </c>
      <c r="J1544" s="2" t="s">
        <v>4137</v>
      </c>
      <c r="K1544" s="2">
        <v>5344.5</v>
      </c>
      <c r="L1544" s="35">
        <v>18142493.145</v>
      </c>
      <c r="M1544" s="36">
        <v>1050</v>
      </c>
      <c r="N1544" s="40">
        <v>18276.3620689655</v>
      </c>
      <c r="O1544" s="40">
        <v>227602.5</v>
      </c>
      <c r="P1544" s="40">
        <v>0</v>
      </c>
      <c r="Q1544" s="40">
        <v>49654.5</v>
      </c>
      <c r="R1544" s="40">
        <v>104755.706896552</v>
      </c>
      <c r="S1544" s="40">
        <v>18328.758620689699</v>
      </c>
      <c r="T1544" s="40">
        <v>30000</v>
      </c>
      <c r="U1544" s="40">
        <v>412267.24137931003</v>
      </c>
      <c r="V1544" s="40">
        <v>0</v>
      </c>
      <c r="W1544" s="45">
        <v>860885.06896551722</v>
      </c>
      <c r="X1544" s="46">
        <v>4.7451310141614895</v>
      </c>
    </row>
    <row r="1545" spans="1:24" s="4" customFormat="1" ht="15" customHeight="1">
      <c r="A1545" s="79" t="s">
        <v>3955</v>
      </c>
      <c r="B1545" s="80">
        <v>3394.61</v>
      </c>
      <c r="C1545" s="81" t="s">
        <v>4135</v>
      </c>
      <c r="D1545" s="82">
        <v>4951929645</v>
      </c>
      <c r="E1545" s="82" t="s">
        <v>14</v>
      </c>
      <c r="F1545" s="82" t="s">
        <v>4136</v>
      </c>
      <c r="G1545" s="79" t="s">
        <v>5</v>
      </c>
      <c r="H1545" s="2" t="s">
        <v>35</v>
      </c>
      <c r="I1545" s="2">
        <v>1</v>
      </c>
      <c r="J1545" s="2" t="s">
        <v>4137</v>
      </c>
      <c r="K1545" s="2">
        <v>10489.5</v>
      </c>
      <c r="L1545" s="35">
        <v>35607761.594999999</v>
      </c>
      <c r="M1545" s="36">
        <v>4050</v>
      </c>
      <c r="N1545" s="40">
        <v>70494.539408867</v>
      </c>
      <c r="O1545" s="40">
        <v>227602.5</v>
      </c>
      <c r="P1545" s="40">
        <v>0</v>
      </c>
      <c r="Q1545" s="40">
        <v>49654.5</v>
      </c>
      <c r="R1545" s="40">
        <v>404057.72660098498</v>
      </c>
      <c r="S1545" s="40">
        <v>70696.640394088696</v>
      </c>
      <c r="T1545" s="40">
        <v>30000</v>
      </c>
      <c r="U1545" s="40">
        <v>1590173.6453201999</v>
      </c>
      <c r="V1545" s="40">
        <v>0</v>
      </c>
      <c r="W1545" s="45">
        <v>2442679.5517241405</v>
      </c>
      <c r="X1545" s="46">
        <v>6.8599637896562937</v>
      </c>
    </row>
    <row r="1546" spans="1:24" s="4" customFormat="1" ht="15" customHeight="1">
      <c r="A1546" s="79" t="s">
        <v>3955</v>
      </c>
      <c r="B1546" s="80">
        <v>3394.61</v>
      </c>
      <c r="C1546" s="81" t="s">
        <v>4138</v>
      </c>
      <c r="D1546" s="82">
        <v>4952351998</v>
      </c>
      <c r="E1546" s="82" t="s">
        <v>14</v>
      </c>
      <c r="F1546" s="82" t="s">
        <v>4139</v>
      </c>
      <c r="G1546" s="79" t="s">
        <v>5</v>
      </c>
      <c r="H1546" s="2" t="s">
        <v>35</v>
      </c>
      <c r="I1546" s="2">
        <v>1</v>
      </c>
      <c r="J1546" s="2" t="s">
        <v>4140</v>
      </c>
      <c r="K1546" s="2">
        <v>6660</v>
      </c>
      <c r="L1546" s="35">
        <v>22608102.600000001</v>
      </c>
      <c r="M1546" s="36">
        <v>3600</v>
      </c>
      <c r="N1546" s="40">
        <v>107799.55932203399</v>
      </c>
      <c r="O1546" s="40">
        <v>91041</v>
      </c>
      <c r="P1546" s="40">
        <v>0</v>
      </c>
      <c r="Q1546" s="40">
        <v>19861.8</v>
      </c>
      <c r="R1546" s="40">
        <v>484379.38983050903</v>
      </c>
      <c r="S1546" s="40">
        <v>108108.61016949201</v>
      </c>
      <c r="T1546" s="40">
        <v>30000</v>
      </c>
      <c r="U1546" s="40">
        <v>1552759.3220339001</v>
      </c>
      <c r="V1546" s="40">
        <v>0</v>
      </c>
      <c r="W1546" s="45">
        <v>2393949.6813559351</v>
      </c>
      <c r="X1546" s="46">
        <v>10.588901349713154</v>
      </c>
    </row>
    <row r="1547" spans="1:24" s="4" customFormat="1" ht="15" customHeight="1">
      <c r="A1547" s="79" t="s">
        <v>3955</v>
      </c>
      <c r="B1547" s="80">
        <v>3394.61</v>
      </c>
      <c r="C1547" s="81" t="s">
        <v>4138</v>
      </c>
      <c r="D1547" s="82">
        <v>4950978879</v>
      </c>
      <c r="E1547" s="82" t="s">
        <v>14</v>
      </c>
      <c r="F1547" s="82" t="s">
        <v>4139</v>
      </c>
      <c r="G1547" s="79" t="s">
        <v>5</v>
      </c>
      <c r="H1547" s="2" t="s">
        <v>35</v>
      </c>
      <c r="I1547" s="2">
        <v>1</v>
      </c>
      <c r="J1547" s="2" t="s">
        <v>4140</v>
      </c>
      <c r="K1547" s="2">
        <v>7428</v>
      </c>
      <c r="L1547" s="35">
        <v>25215163.080000002</v>
      </c>
      <c r="M1547" s="36">
        <v>1200</v>
      </c>
      <c r="N1547" s="40">
        <v>35933.186440678001</v>
      </c>
      <c r="O1547" s="40">
        <v>91041</v>
      </c>
      <c r="P1547" s="40">
        <v>0</v>
      </c>
      <c r="Q1547" s="40">
        <v>19861.8</v>
      </c>
      <c r="R1547" s="40">
        <v>161459.796610169</v>
      </c>
      <c r="S1547" s="40">
        <v>36036.203389830502</v>
      </c>
      <c r="T1547" s="40">
        <v>30000</v>
      </c>
      <c r="U1547" s="40">
        <v>517586.44067796599</v>
      </c>
      <c r="V1547" s="40">
        <v>0</v>
      </c>
      <c r="W1547" s="45">
        <v>891918.42711864342</v>
      </c>
      <c r="X1547" s="46">
        <v>3.5372304525212033</v>
      </c>
    </row>
    <row r="1548" spans="1:24" s="4" customFormat="1" ht="15" customHeight="1">
      <c r="A1548" s="79" t="s">
        <v>3955</v>
      </c>
      <c r="B1548" s="80">
        <v>3394.61</v>
      </c>
      <c r="C1548" s="81" t="s">
        <v>4138</v>
      </c>
      <c r="D1548" s="82">
        <v>4952351996</v>
      </c>
      <c r="E1548" s="82" t="s">
        <v>14</v>
      </c>
      <c r="F1548" s="82" t="s">
        <v>4139</v>
      </c>
      <c r="G1548" s="79" t="s">
        <v>5</v>
      </c>
      <c r="H1548" s="2" t="s">
        <v>35</v>
      </c>
      <c r="I1548" s="2">
        <v>1</v>
      </c>
      <c r="J1548" s="2" t="s">
        <v>4140</v>
      </c>
      <c r="K1548" s="2">
        <v>6552</v>
      </c>
      <c r="L1548" s="35">
        <v>22241484.720000003</v>
      </c>
      <c r="M1548" s="36">
        <v>2400</v>
      </c>
      <c r="N1548" s="40">
        <v>71866.372881355899</v>
      </c>
      <c r="O1548" s="40">
        <v>91041</v>
      </c>
      <c r="P1548" s="40">
        <v>0</v>
      </c>
      <c r="Q1548" s="40">
        <v>19861.8</v>
      </c>
      <c r="R1548" s="40">
        <v>322919.59322033898</v>
      </c>
      <c r="S1548" s="40">
        <v>72072.406779661003</v>
      </c>
      <c r="T1548" s="40">
        <v>30000</v>
      </c>
      <c r="U1548" s="40">
        <v>1035172.88135593</v>
      </c>
      <c r="V1548" s="40">
        <v>0</v>
      </c>
      <c r="W1548" s="45">
        <v>1642934.0542372859</v>
      </c>
      <c r="X1548" s="46">
        <v>7.3868002739939636</v>
      </c>
    </row>
    <row r="1549" spans="1:24" s="4" customFormat="1" ht="15" customHeight="1">
      <c r="A1549" s="79" t="s">
        <v>3955</v>
      </c>
      <c r="B1549" s="80">
        <v>3394.61</v>
      </c>
      <c r="C1549" s="81" t="s">
        <v>4141</v>
      </c>
      <c r="D1549" s="82" t="s">
        <v>4142</v>
      </c>
      <c r="E1549" s="82" t="s">
        <v>14</v>
      </c>
      <c r="F1549" s="82" t="s">
        <v>4143</v>
      </c>
      <c r="G1549" s="79" t="s">
        <v>5</v>
      </c>
      <c r="H1549" s="2" t="s">
        <v>17</v>
      </c>
      <c r="I1549" s="2">
        <v>1</v>
      </c>
      <c r="J1549" s="2" t="s">
        <v>4144</v>
      </c>
      <c r="K1549" s="2">
        <v>18720</v>
      </c>
      <c r="L1549" s="35">
        <v>63547099.200000003</v>
      </c>
      <c r="M1549" s="36">
        <v>9000</v>
      </c>
      <c r="N1549" s="40">
        <v>353343</v>
      </c>
      <c r="O1549" s="40">
        <v>455205</v>
      </c>
      <c r="P1549" s="40">
        <v>164893</v>
      </c>
      <c r="Q1549" s="40">
        <v>99309</v>
      </c>
      <c r="R1549" s="40">
        <v>576347</v>
      </c>
      <c r="S1549" s="40">
        <v>354356</v>
      </c>
      <c r="T1549" s="40">
        <v>30000</v>
      </c>
      <c r="U1549" s="40">
        <v>5354400</v>
      </c>
      <c r="V1549" s="40">
        <v>0</v>
      </c>
      <c r="W1549" s="45">
        <v>7387853</v>
      </c>
      <c r="X1549" s="46">
        <v>11.625791095118942</v>
      </c>
    </row>
    <row r="1550" spans="1:24" s="4" customFormat="1" ht="15" customHeight="1">
      <c r="A1550" s="79" t="s">
        <v>3955</v>
      </c>
      <c r="B1550" s="80">
        <v>3394.61</v>
      </c>
      <c r="C1550" s="81" t="s">
        <v>4145</v>
      </c>
      <c r="D1550" s="82">
        <v>4952283444</v>
      </c>
      <c r="E1550" s="82" t="s">
        <v>14</v>
      </c>
      <c r="F1550" s="82" t="s">
        <v>4146</v>
      </c>
      <c r="G1550" s="79" t="s">
        <v>5</v>
      </c>
      <c r="H1550" s="2" t="s">
        <v>17</v>
      </c>
      <c r="I1550" s="2">
        <v>1</v>
      </c>
      <c r="J1550" s="2" t="s">
        <v>4147</v>
      </c>
      <c r="K1550" s="2">
        <v>13440</v>
      </c>
      <c r="L1550" s="35">
        <v>45623558.399999999</v>
      </c>
      <c r="M1550" s="36">
        <v>16000</v>
      </c>
      <c r="N1550" s="40">
        <v>395902.17917675502</v>
      </c>
      <c r="O1550" s="40">
        <v>227602.5</v>
      </c>
      <c r="P1550" s="40">
        <v>319406.29539951601</v>
      </c>
      <c r="Q1550" s="40">
        <v>49654.5</v>
      </c>
      <c r="R1550" s="40">
        <v>550291.52542372898</v>
      </c>
      <c r="S1550" s="40">
        <v>343201.93704600498</v>
      </c>
      <c r="T1550" s="40">
        <v>30000</v>
      </c>
      <c r="U1550" s="55">
        <v>0</v>
      </c>
      <c r="V1550" s="55">
        <v>0</v>
      </c>
      <c r="W1550" s="45">
        <v>1916058.9370460049</v>
      </c>
      <c r="X1550" s="46">
        <v>4.1997139290345338</v>
      </c>
    </row>
    <row r="1551" spans="1:24" s="4" customFormat="1" ht="15" customHeight="1">
      <c r="A1551" s="79" t="s">
        <v>3955</v>
      </c>
      <c r="B1551" s="80">
        <v>3394.61</v>
      </c>
      <c r="C1551" s="81" t="s">
        <v>4145</v>
      </c>
      <c r="D1551" s="82">
        <v>4952864216</v>
      </c>
      <c r="E1551" s="82" t="s">
        <v>14</v>
      </c>
      <c r="F1551" s="82" t="s">
        <v>4146</v>
      </c>
      <c r="G1551" s="79" t="s">
        <v>5</v>
      </c>
      <c r="H1551" s="2" t="s">
        <v>17</v>
      </c>
      <c r="I1551" s="2">
        <v>1</v>
      </c>
      <c r="J1551" s="2" t="s">
        <v>4147</v>
      </c>
      <c r="K1551" s="2">
        <v>613.6</v>
      </c>
      <c r="L1551" s="35">
        <v>2082932.6960000002</v>
      </c>
      <c r="M1551" s="36">
        <v>564</v>
      </c>
      <c r="N1551" s="40">
        <v>12866.8208232446</v>
      </c>
      <c r="O1551" s="40">
        <v>227602.5</v>
      </c>
      <c r="P1551" s="40">
        <v>10380.7046004843</v>
      </c>
      <c r="Q1551" s="40">
        <v>49654.5</v>
      </c>
      <c r="R1551" s="40">
        <v>17884.474576271201</v>
      </c>
      <c r="S1551" s="40">
        <v>11154.062953995201</v>
      </c>
      <c r="T1551" s="40">
        <v>30000</v>
      </c>
      <c r="U1551" s="55">
        <v>1917700</v>
      </c>
      <c r="V1551" s="55">
        <v>0</v>
      </c>
      <c r="W1551" s="45">
        <v>2277243.0629539955</v>
      </c>
      <c r="X1551" s="46">
        <v>109.32869157640776</v>
      </c>
    </row>
    <row r="1552" spans="1:24" s="4" customFormat="1" ht="15" customHeight="1">
      <c r="A1552" s="79" t="s">
        <v>3955</v>
      </c>
      <c r="B1552" s="80">
        <v>3394.61</v>
      </c>
      <c r="C1552" s="81" t="s">
        <v>4148</v>
      </c>
      <c r="D1552" s="82" t="s">
        <v>4142</v>
      </c>
      <c r="E1552" s="82" t="s">
        <v>14</v>
      </c>
      <c r="F1552" s="82" t="s">
        <v>4149</v>
      </c>
      <c r="G1552" s="79" t="s">
        <v>5</v>
      </c>
      <c r="H1552" s="2" t="s">
        <v>20</v>
      </c>
      <c r="I1552" s="2">
        <v>2</v>
      </c>
      <c r="J1552" s="2" t="s">
        <v>4150</v>
      </c>
      <c r="K1552" s="2">
        <v>45686.25</v>
      </c>
      <c r="L1552" s="35">
        <v>155087001.11250001</v>
      </c>
      <c r="M1552" s="36">
        <v>34875</v>
      </c>
      <c r="N1552" s="40">
        <v>341945.32258064498</v>
      </c>
      <c r="O1552" s="40">
        <v>693973</v>
      </c>
      <c r="P1552" s="40">
        <v>0</v>
      </c>
      <c r="Q1552" s="40">
        <v>198619</v>
      </c>
      <c r="R1552" s="40">
        <v>440708.22580645198</v>
      </c>
      <c r="S1552" s="40">
        <v>171462.58064516101</v>
      </c>
      <c r="T1552" s="40">
        <v>30000</v>
      </c>
      <c r="U1552" s="40">
        <v>6197806.4516129</v>
      </c>
      <c r="V1552" s="40">
        <v>0</v>
      </c>
      <c r="W1552" s="45">
        <v>8074514.580645158</v>
      </c>
      <c r="X1552" s="46">
        <v>5.20644188276483</v>
      </c>
    </row>
    <row r="1553" spans="1:24" s="4" customFormat="1" ht="15" customHeight="1">
      <c r="A1553" s="79" t="s">
        <v>3955</v>
      </c>
      <c r="B1553" s="80">
        <v>3394.61</v>
      </c>
      <c r="C1553" s="81" t="s">
        <v>4154</v>
      </c>
      <c r="D1553" s="82">
        <v>4951874476</v>
      </c>
      <c r="E1553" s="82" t="s">
        <v>14</v>
      </c>
      <c r="F1553" s="82" t="s">
        <v>4155</v>
      </c>
      <c r="G1553" s="79" t="s">
        <v>5</v>
      </c>
      <c r="H1553" s="2" t="s">
        <v>35</v>
      </c>
      <c r="I1553" s="2">
        <v>1</v>
      </c>
      <c r="J1553" s="2" t="s">
        <v>4156</v>
      </c>
      <c r="K1553" s="2">
        <v>679.8</v>
      </c>
      <c r="L1553" s="35">
        <v>2307655.878</v>
      </c>
      <c r="M1553" s="36">
        <v>110</v>
      </c>
      <c r="N1553" s="40">
        <v>5288.1265306122496</v>
      </c>
      <c r="O1553" s="40">
        <v>113801.25</v>
      </c>
      <c r="P1553" s="40">
        <v>0</v>
      </c>
      <c r="Q1553" s="40">
        <v>24827.25</v>
      </c>
      <c r="R1553" s="40">
        <v>24046.568707482998</v>
      </c>
      <c r="S1553" s="40">
        <v>5303.2870748299301</v>
      </c>
      <c r="T1553" s="40">
        <v>30000</v>
      </c>
      <c r="U1553" s="40">
        <v>101865.986394558</v>
      </c>
      <c r="V1553" s="40">
        <v>0</v>
      </c>
      <c r="W1553" s="45">
        <v>305132.46870748315</v>
      </c>
      <c r="X1553" s="46">
        <v>13.222615712180424</v>
      </c>
    </row>
    <row r="1554" spans="1:24" s="4" customFormat="1" ht="15" customHeight="1">
      <c r="A1554" s="79" t="s">
        <v>3955</v>
      </c>
      <c r="B1554" s="80">
        <v>3394.61</v>
      </c>
      <c r="C1554" s="81" t="s">
        <v>4154</v>
      </c>
      <c r="D1554" s="82">
        <v>4951215086</v>
      </c>
      <c r="E1554" s="82" t="s">
        <v>14</v>
      </c>
      <c r="F1554" s="82" t="s">
        <v>4155</v>
      </c>
      <c r="G1554" s="79" t="s">
        <v>5</v>
      </c>
      <c r="H1554" s="2" t="s">
        <v>35</v>
      </c>
      <c r="I1554" s="2">
        <v>1</v>
      </c>
      <c r="J1554" s="2" t="s">
        <v>4156</v>
      </c>
      <c r="K1554" s="2">
        <v>6274</v>
      </c>
      <c r="L1554" s="35">
        <v>21297783.140000001</v>
      </c>
      <c r="M1554" s="36">
        <v>3390</v>
      </c>
      <c r="N1554" s="40">
        <v>161528.228571429</v>
      </c>
      <c r="O1554" s="40">
        <v>113801.25</v>
      </c>
      <c r="P1554" s="40">
        <v>0</v>
      </c>
      <c r="Q1554" s="40">
        <v>24827.25</v>
      </c>
      <c r="R1554" s="40">
        <v>734513.37142857094</v>
      </c>
      <c r="S1554" s="40">
        <v>161991.314285714</v>
      </c>
      <c r="T1554" s="40">
        <v>30000</v>
      </c>
      <c r="U1554" s="40">
        <v>3111542.8571428601</v>
      </c>
      <c r="V1554" s="40">
        <v>0</v>
      </c>
      <c r="W1554" s="45">
        <v>4338204.2714285739</v>
      </c>
      <c r="X1554" s="46">
        <v>20.369276196079127</v>
      </c>
    </row>
    <row r="1555" spans="1:24" s="4" customFormat="1" ht="15" customHeight="1">
      <c r="A1555" s="79" t="s">
        <v>3955</v>
      </c>
      <c r="B1555" s="80">
        <v>3394.61</v>
      </c>
      <c r="C1555" s="81" t="s">
        <v>4154</v>
      </c>
      <c r="D1555" s="82">
        <v>4952367463</v>
      </c>
      <c r="E1555" s="82" t="s">
        <v>14</v>
      </c>
      <c r="F1555" s="82" t="s">
        <v>4155</v>
      </c>
      <c r="G1555" s="79" t="s">
        <v>5</v>
      </c>
      <c r="H1555" s="2" t="s">
        <v>35</v>
      </c>
      <c r="I1555" s="2">
        <v>1</v>
      </c>
      <c r="J1555" s="2" t="s">
        <v>4156</v>
      </c>
      <c r="K1555" s="2">
        <v>4760</v>
      </c>
      <c r="L1555" s="35">
        <v>16158343.600000001</v>
      </c>
      <c r="M1555" s="36">
        <v>1400</v>
      </c>
      <c r="N1555" s="40">
        <v>67303.428571428594</v>
      </c>
      <c r="O1555" s="40">
        <v>113801.25</v>
      </c>
      <c r="P1555" s="40">
        <v>0</v>
      </c>
      <c r="Q1555" s="40">
        <v>24827.25</v>
      </c>
      <c r="R1555" s="40">
        <v>306047.23809523799</v>
      </c>
      <c r="S1555" s="40">
        <v>67496.380952380903</v>
      </c>
      <c r="T1555" s="40">
        <v>30000</v>
      </c>
      <c r="U1555" s="40">
        <v>1296476.1904761901</v>
      </c>
      <c r="V1555" s="40">
        <v>0</v>
      </c>
      <c r="W1555" s="45">
        <v>1905951.7380952374</v>
      </c>
      <c r="X1555" s="46">
        <v>11.795464840190904</v>
      </c>
    </row>
    <row r="1556" spans="1:24" s="4" customFormat="1" ht="15" customHeight="1">
      <c r="A1556" s="79" t="s">
        <v>3955</v>
      </c>
      <c r="B1556" s="80">
        <v>3394.61</v>
      </c>
      <c r="C1556" s="81" t="s">
        <v>4154</v>
      </c>
      <c r="D1556" s="82">
        <v>4952367463</v>
      </c>
      <c r="E1556" s="82" t="s">
        <v>14</v>
      </c>
      <c r="F1556" s="82" t="s">
        <v>4155</v>
      </c>
      <c r="G1556" s="79" t="s">
        <v>5</v>
      </c>
      <c r="H1556" s="2" t="s">
        <v>35</v>
      </c>
      <c r="I1556" s="2">
        <v>1</v>
      </c>
      <c r="J1556" s="2" t="s">
        <v>4156</v>
      </c>
      <c r="K1556" s="2">
        <v>6100.8</v>
      </c>
      <c r="L1556" s="35">
        <v>20709836.688000001</v>
      </c>
      <c r="M1556" s="36">
        <v>2480</v>
      </c>
      <c r="N1556" s="40">
        <v>119223.21632653099</v>
      </c>
      <c r="O1556" s="40">
        <v>113801.25</v>
      </c>
      <c r="P1556" s="40">
        <v>0</v>
      </c>
      <c r="Q1556" s="40">
        <v>24827.25</v>
      </c>
      <c r="R1556" s="40">
        <v>542140.82176870701</v>
      </c>
      <c r="S1556" s="40">
        <v>119565.017687075</v>
      </c>
      <c r="T1556" s="40">
        <v>30000</v>
      </c>
      <c r="U1556" s="40">
        <v>2296614.9659863901</v>
      </c>
      <c r="V1556" s="40">
        <v>0</v>
      </c>
      <c r="W1556" s="45">
        <v>3246172.5217687031</v>
      </c>
      <c r="X1556" s="46">
        <v>15.674544278997857</v>
      </c>
    </row>
    <row r="1557" spans="1:24" s="4" customFormat="1" ht="15" customHeight="1">
      <c r="A1557" s="79" t="s">
        <v>3955</v>
      </c>
      <c r="B1557" s="80">
        <v>3394.61</v>
      </c>
      <c r="C1557" s="81" t="s">
        <v>4159</v>
      </c>
      <c r="D1557" s="82">
        <v>4952703262</v>
      </c>
      <c r="E1557" s="82" t="s">
        <v>14</v>
      </c>
      <c r="F1557" s="82" t="s">
        <v>4160</v>
      </c>
      <c r="G1557" s="79" t="s">
        <v>5</v>
      </c>
      <c r="H1557" s="2" t="s">
        <v>20</v>
      </c>
      <c r="I1557" s="2">
        <v>1</v>
      </c>
      <c r="J1557" s="2" t="s">
        <v>4161</v>
      </c>
      <c r="K1557" s="2">
        <v>23580</v>
      </c>
      <c r="L1557" s="35">
        <v>80044903.799999997</v>
      </c>
      <c r="M1557" s="36">
        <v>18000</v>
      </c>
      <c r="N1557" s="40">
        <v>404333</v>
      </c>
      <c r="O1557" s="40">
        <v>346986</v>
      </c>
      <c r="P1557" s="40">
        <v>0</v>
      </c>
      <c r="Q1557" s="40">
        <v>99309</v>
      </c>
      <c r="R1557" s="40">
        <v>455602</v>
      </c>
      <c r="S1557" s="40">
        <v>354356</v>
      </c>
      <c r="T1557" s="40">
        <v>30000</v>
      </c>
      <c r="U1557" s="40">
        <v>6404400</v>
      </c>
      <c r="V1557" s="40">
        <v>0</v>
      </c>
      <c r="W1557" s="45">
        <v>8094986</v>
      </c>
      <c r="X1557" s="46">
        <v>10.113056066912282</v>
      </c>
    </row>
    <row r="1558" spans="1:24" s="4" customFormat="1" ht="15" customHeight="1">
      <c r="A1558" s="79" t="s">
        <v>3955</v>
      </c>
      <c r="B1558" s="80">
        <v>3394.61</v>
      </c>
      <c r="C1558" s="81" t="s">
        <v>4162</v>
      </c>
      <c r="D1558" s="82">
        <v>4952462829</v>
      </c>
      <c r="E1558" s="82" t="s">
        <v>14</v>
      </c>
      <c r="F1558" s="83" t="s">
        <v>4163</v>
      </c>
      <c r="G1558" s="79" t="s">
        <v>9</v>
      </c>
      <c r="H1558" s="2" t="s">
        <v>23</v>
      </c>
      <c r="I1558" s="2">
        <v>3</v>
      </c>
      <c r="J1558" s="2"/>
      <c r="K1558" s="2">
        <v>3100</v>
      </c>
      <c r="L1558" s="35">
        <v>10523291</v>
      </c>
      <c r="M1558" s="36">
        <v>700</v>
      </c>
      <c r="N1558" s="40">
        <v>363412.5</v>
      </c>
      <c r="O1558" s="40">
        <v>346</v>
      </c>
      <c r="P1558" s="40">
        <v>19778.75</v>
      </c>
      <c r="Q1558" s="40">
        <v>9508</v>
      </c>
      <c r="R1558" s="40">
        <v>66287.5</v>
      </c>
      <c r="S1558" s="40">
        <v>221472.5</v>
      </c>
      <c r="T1558" s="40">
        <v>30000</v>
      </c>
      <c r="U1558" s="55">
        <v>347583.33333333302</v>
      </c>
      <c r="V1558" s="55">
        <v>0</v>
      </c>
      <c r="W1558" s="45">
        <v>1058388.583333333</v>
      </c>
      <c r="X1558" s="46">
        <v>10.057581638038263</v>
      </c>
    </row>
    <row r="1559" spans="1:24" s="4" customFormat="1" ht="15" customHeight="1">
      <c r="A1559" s="79" t="s">
        <v>3955</v>
      </c>
      <c r="B1559" s="80">
        <v>3394.61</v>
      </c>
      <c r="C1559" s="81" t="s">
        <v>4162</v>
      </c>
      <c r="D1559" s="82">
        <v>4952462829</v>
      </c>
      <c r="E1559" s="82" t="s">
        <v>14</v>
      </c>
      <c r="F1559" s="83" t="s">
        <v>4163</v>
      </c>
      <c r="G1559" s="79" t="s">
        <v>9</v>
      </c>
      <c r="H1559" s="2" t="s">
        <v>23</v>
      </c>
      <c r="I1559" s="2">
        <v>3</v>
      </c>
      <c r="J1559" s="2"/>
      <c r="K1559" s="2">
        <v>1969.8</v>
      </c>
      <c r="L1559" s="35">
        <v>6686702.7779999999</v>
      </c>
      <c r="M1559" s="36">
        <v>420</v>
      </c>
      <c r="N1559" s="40">
        <v>218047.5</v>
      </c>
      <c r="O1559" s="40">
        <v>1371</v>
      </c>
      <c r="P1559" s="40">
        <v>11867.25</v>
      </c>
      <c r="Q1559" s="40">
        <v>908</v>
      </c>
      <c r="R1559" s="40">
        <v>39772.5</v>
      </c>
      <c r="S1559" s="40">
        <v>132883.5</v>
      </c>
      <c r="T1559" s="40">
        <v>30000</v>
      </c>
      <c r="U1559" s="55">
        <v>208550</v>
      </c>
      <c r="V1559" s="55">
        <v>0</v>
      </c>
      <c r="W1559" s="45">
        <v>643399.75</v>
      </c>
      <c r="X1559" s="46">
        <v>9.6220778964014535</v>
      </c>
    </row>
    <row r="1560" spans="1:24" s="4" customFormat="1" ht="15" customHeight="1">
      <c r="A1560" s="79" t="s">
        <v>3955</v>
      </c>
      <c r="B1560" s="80">
        <v>3394.61</v>
      </c>
      <c r="C1560" s="81" t="s">
        <v>4175</v>
      </c>
      <c r="D1560" s="82">
        <v>4952925652</v>
      </c>
      <c r="E1560" s="82" t="s">
        <v>14</v>
      </c>
      <c r="F1560" s="83" t="s">
        <v>4176</v>
      </c>
      <c r="G1560" s="79" t="s">
        <v>9</v>
      </c>
      <c r="H1560" s="2" t="s">
        <v>23</v>
      </c>
      <c r="I1560" s="2">
        <v>1</v>
      </c>
      <c r="J1560" s="2"/>
      <c r="K1560" s="2">
        <v>1610.4</v>
      </c>
      <c r="L1560" s="35">
        <v>5466679.9440000001</v>
      </c>
      <c r="M1560" s="36">
        <v>880</v>
      </c>
      <c r="N1560" s="40">
        <v>517720</v>
      </c>
      <c r="O1560" s="40">
        <v>346</v>
      </c>
      <c r="P1560" s="40">
        <v>0</v>
      </c>
      <c r="Q1560" s="40">
        <v>9089</v>
      </c>
      <c r="R1560" s="40">
        <v>101187</v>
      </c>
      <c r="S1560" s="40">
        <v>354356</v>
      </c>
      <c r="T1560" s="40">
        <v>30000</v>
      </c>
      <c r="U1560" s="40">
        <v>310006.75675675698</v>
      </c>
      <c r="V1560" s="40">
        <v>0</v>
      </c>
      <c r="W1560" s="45">
        <v>1322704.7567567569</v>
      </c>
      <c r="X1560" s="46">
        <v>24.195759954970519</v>
      </c>
    </row>
    <row r="1561" spans="1:24" s="4" customFormat="1" ht="15" customHeight="1">
      <c r="A1561" s="79" t="s">
        <v>3955</v>
      </c>
      <c r="B1561" s="80">
        <v>3394.61</v>
      </c>
      <c r="C1561" s="81" t="s">
        <v>4182</v>
      </c>
      <c r="D1561" s="82" t="s">
        <v>4183</v>
      </c>
      <c r="E1561" s="82" t="s">
        <v>14</v>
      </c>
      <c r="F1561" s="82" t="s">
        <v>4184</v>
      </c>
      <c r="G1561" s="79" t="s">
        <v>9</v>
      </c>
      <c r="H1561" s="2" t="s">
        <v>23</v>
      </c>
      <c r="I1561" s="2">
        <v>4</v>
      </c>
      <c r="J1561" s="2"/>
      <c r="K1561" s="2">
        <v>72920</v>
      </c>
      <c r="L1561" s="35">
        <v>247534961.20000002</v>
      </c>
      <c r="M1561" s="36">
        <v>2000</v>
      </c>
      <c r="N1561" s="40">
        <v>631530</v>
      </c>
      <c r="O1561" s="40">
        <v>1374</v>
      </c>
      <c r="P1561" s="40">
        <v>0</v>
      </c>
      <c r="Q1561" s="40">
        <v>26852</v>
      </c>
      <c r="R1561" s="40">
        <v>125667</v>
      </c>
      <c r="S1561" s="40">
        <v>354356</v>
      </c>
      <c r="T1561" s="40">
        <v>30000</v>
      </c>
      <c r="U1561" s="40">
        <v>2085500</v>
      </c>
      <c r="V1561" s="40">
        <v>0</v>
      </c>
      <c r="W1561" s="45">
        <v>3255279</v>
      </c>
      <c r="X1561" s="46">
        <v>1.3150784778921967</v>
      </c>
    </row>
    <row r="1562" spans="1:24" s="4" customFormat="1" ht="15" customHeight="1">
      <c r="A1562" s="79" t="s">
        <v>3955</v>
      </c>
      <c r="B1562" s="80">
        <v>3394.61</v>
      </c>
      <c r="C1562" s="81" t="s">
        <v>4185</v>
      </c>
      <c r="D1562" s="82" t="s">
        <v>4186</v>
      </c>
      <c r="E1562" s="82" t="s">
        <v>14</v>
      </c>
      <c r="F1562" s="82" t="s">
        <v>4187</v>
      </c>
      <c r="G1562" s="79" t="s">
        <v>9</v>
      </c>
      <c r="H1562" s="2" t="s">
        <v>23</v>
      </c>
      <c r="I1562" s="2">
        <v>1</v>
      </c>
      <c r="J1562" s="2"/>
      <c r="K1562" s="2">
        <v>2631.2</v>
      </c>
      <c r="L1562" s="35">
        <v>8931897.8320000004</v>
      </c>
      <c r="M1562" s="36">
        <v>880</v>
      </c>
      <c r="N1562" s="40">
        <v>625323</v>
      </c>
      <c r="O1562" s="40">
        <v>618</v>
      </c>
      <c r="P1562" s="40">
        <v>0</v>
      </c>
      <c r="Q1562" s="40">
        <v>11814</v>
      </c>
      <c r="R1562" s="40">
        <v>102446</v>
      </c>
      <c r="S1562" s="40">
        <v>354356</v>
      </c>
      <c r="T1562" s="40">
        <v>30000</v>
      </c>
      <c r="U1562" s="40">
        <v>436961.90476190503</v>
      </c>
      <c r="V1562" s="40">
        <v>0</v>
      </c>
      <c r="W1562" s="45">
        <v>1561518.9047619051</v>
      </c>
      <c r="X1562" s="46">
        <v>17.482498502921803</v>
      </c>
    </row>
    <row r="1563" spans="1:24" s="4" customFormat="1" ht="15" customHeight="1">
      <c r="A1563" s="79" t="s">
        <v>3955</v>
      </c>
      <c r="B1563" s="80">
        <v>3394.61</v>
      </c>
      <c r="C1563" s="81" t="s">
        <v>4192</v>
      </c>
      <c r="D1563" s="82">
        <v>4952162021</v>
      </c>
      <c r="E1563" s="82" t="s">
        <v>14</v>
      </c>
      <c r="F1563" s="82" t="s">
        <v>4193</v>
      </c>
      <c r="G1563" s="79" t="s">
        <v>5</v>
      </c>
      <c r="H1563" s="2" t="s">
        <v>35</v>
      </c>
      <c r="I1563" s="2">
        <v>1</v>
      </c>
      <c r="J1563" s="2" t="s">
        <v>4194</v>
      </c>
      <c r="K1563" s="2">
        <v>6660</v>
      </c>
      <c r="L1563" s="35">
        <v>22608102.600000001</v>
      </c>
      <c r="M1563" s="36">
        <v>3600</v>
      </c>
      <c r="N1563" s="40">
        <v>133197.361256545</v>
      </c>
      <c r="O1563" s="40">
        <v>65029.285714285703</v>
      </c>
      <c r="P1563" s="40">
        <v>0</v>
      </c>
      <c r="Q1563" s="40">
        <v>14187</v>
      </c>
      <c r="R1563" s="40">
        <v>600030.659685864</v>
      </c>
      <c r="S1563" s="40">
        <v>133579.22513089</v>
      </c>
      <c r="T1563" s="40">
        <v>30000</v>
      </c>
      <c r="U1563" s="40">
        <v>1779643.97905759</v>
      </c>
      <c r="V1563" s="40">
        <v>0</v>
      </c>
      <c r="W1563" s="45">
        <v>2755667.510845175</v>
      </c>
      <c r="X1563" s="46">
        <v>12.188849102468135</v>
      </c>
    </row>
    <row r="1564" spans="1:24" s="4" customFormat="1" ht="15" customHeight="1">
      <c r="A1564" s="79" t="s">
        <v>3955</v>
      </c>
      <c r="B1564" s="80">
        <v>3394.61</v>
      </c>
      <c r="C1564" s="81" t="s">
        <v>4192</v>
      </c>
      <c r="D1564" s="82">
        <v>4952083924</v>
      </c>
      <c r="E1564" s="82" t="s">
        <v>14</v>
      </c>
      <c r="F1564" s="82" t="s">
        <v>4193</v>
      </c>
      <c r="G1564" s="79" t="s">
        <v>5</v>
      </c>
      <c r="H1564" s="2" t="s">
        <v>35</v>
      </c>
      <c r="I1564" s="2">
        <v>1</v>
      </c>
      <c r="J1564" s="2" t="s">
        <v>4194</v>
      </c>
      <c r="K1564" s="2">
        <v>23272</v>
      </c>
      <c r="L1564" s="35">
        <v>78999363.920000002</v>
      </c>
      <c r="M1564" s="36">
        <v>800</v>
      </c>
      <c r="N1564" s="40">
        <v>29599.4136125654</v>
      </c>
      <c r="O1564" s="40">
        <v>65029.285714285703</v>
      </c>
      <c r="P1564" s="40">
        <v>0</v>
      </c>
      <c r="Q1564" s="40">
        <v>14187</v>
      </c>
      <c r="R1564" s="40">
        <v>133340.14659685901</v>
      </c>
      <c r="S1564" s="40">
        <v>29684.272251308899</v>
      </c>
      <c r="T1564" s="40">
        <v>30000</v>
      </c>
      <c r="U1564" s="40">
        <v>395476.439790576</v>
      </c>
      <c r="V1564" s="40">
        <v>0</v>
      </c>
      <c r="W1564" s="45">
        <v>697316.55796559504</v>
      </c>
      <c r="X1564" s="46">
        <v>0.88268629437541302</v>
      </c>
    </row>
    <row r="1565" spans="1:24" s="4" customFormat="1" ht="15" customHeight="1">
      <c r="A1565" s="79" t="s">
        <v>3955</v>
      </c>
      <c r="B1565" s="80">
        <v>3394.61</v>
      </c>
      <c r="C1565" s="81" t="s">
        <v>4192</v>
      </c>
      <c r="D1565" s="82">
        <v>4952182482</v>
      </c>
      <c r="E1565" s="82" t="s">
        <v>14</v>
      </c>
      <c r="F1565" s="82" t="s">
        <v>4193</v>
      </c>
      <c r="G1565" s="79" t="s">
        <v>5</v>
      </c>
      <c r="H1565" s="2" t="s">
        <v>35</v>
      </c>
      <c r="I1565" s="2">
        <v>1</v>
      </c>
      <c r="J1565" s="2" t="s">
        <v>4194</v>
      </c>
      <c r="K1565" s="2">
        <v>8967</v>
      </c>
      <c r="L1565" s="35">
        <v>30439467.870000001</v>
      </c>
      <c r="M1565" s="36">
        <v>2100</v>
      </c>
      <c r="N1565" s="40">
        <v>77698.460732984298</v>
      </c>
      <c r="O1565" s="40">
        <v>65029.285714285703</v>
      </c>
      <c r="P1565" s="40">
        <v>0</v>
      </c>
      <c r="Q1565" s="40">
        <v>14187</v>
      </c>
      <c r="R1565" s="40">
        <v>350017.88481675403</v>
      </c>
      <c r="S1565" s="40">
        <v>77921.214659685895</v>
      </c>
      <c r="T1565" s="40">
        <v>30000</v>
      </c>
      <c r="U1565" s="40">
        <v>1038125.65445026</v>
      </c>
      <c r="V1565" s="40">
        <v>0</v>
      </c>
      <c r="W1565" s="45">
        <v>1652979.5003739698</v>
      </c>
      <c r="X1565" s="46">
        <v>5.4303823819570916</v>
      </c>
    </row>
    <row r="1566" spans="1:24" s="4" customFormat="1" ht="15" customHeight="1">
      <c r="A1566" s="79" t="s">
        <v>3955</v>
      </c>
      <c r="B1566" s="80">
        <v>3394.61</v>
      </c>
      <c r="C1566" s="81" t="s">
        <v>4192</v>
      </c>
      <c r="D1566" s="82">
        <v>4952360224</v>
      </c>
      <c r="E1566" s="82" t="s">
        <v>14</v>
      </c>
      <c r="F1566" s="82" t="s">
        <v>4193</v>
      </c>
      <c r="G1566" s="79" t="s">
        <v>5</v>
      </c>
      <c r="H1566" s="2" t="s">
        <v>35</v>
      </c>
      <c r="I1566" s="2">
        <v>1</v>
      </c>
      <c r="J1566" s="2" t="s">
        <v>4194</v>
      </c>
      <c r="K1566" s="2">
        <v>10008</v>
      </c>
      <c r="L1566" s="35">
        <v>33973256.880000003</v>
      </c>
      <c r="M1566" s="36">
        <v>1200</v>
      </c>
      <c r="N1566" s="40">
        <v>44399.120418848201</v>
      </c>
      <c r="O1566" s="40">
        <v>65029.285714285703</v>
      </c>
      <c r="P1566" s="40">
        <v>0</v>
      </c>
      <c r="Q1566" s="40">
        <v>14187</v>
      </c>
      <c r="R1566" s="40">
        <v>200010.219895288</v>
      </c>
      <c r="S1566" s="40">
        <v>44526.408376963402</v>
      </c>
      <c r="T1566" s="40">
        <v>30000</v>
      </c>
      <c r="U1566" s="40">
        <v>593214.659685864</v>
      </c>
      <c r="V1566" s="40">
        <v>0</v>
      </c>
      <c r="W1566" s="45">
        <v>991366.69409124926</v>
      </c>
      <c r="X1566" s="46">
        <v>2.9180796459784375</v>
      </c>
    </row>
    <row r="1567" spans="1:24" s="4" customFormat="1" ht="15" customHeight="1">
      <c r="A1567" s="79" t="s">
        <v>3955</v>
      </c>
      <c r="B1567" s="80">
        <v>3394.61</v>
      </c>
      <c r="C1567" s="81" t="s">
        <v>4192</v>
      </c>
      <c r="D1567" s="82">
        <v>4952131121</v>
      </c>
      <c r="E1567" s="82" t="s">
        <v>14</v>
      </c>
      <c r="F1567" s="82" t="s">
        <v>4193</v>
      </c>
      <c r="G1567" s="79" t="s">
        <v>5</v>
      </c>
      <c r="H1567" s="2" t="s">
        <v>35</v>
      </c>
      <c r="I1567" s="2">
        <v>1</v>
      </c>
      <c r="J1567" s="2" t="s">
        <v>4194</v>
      </c>
      <c r="K1567" s="2">
        <v>5004</v>
      </c>
      <c r="L1567" s="35">
        <v>16986628.440000001</v>
      </c>
      <c r="M1567" s="36">
        <v>600</v>
      </c>
      <c r="N1567" s="40">
        <v>22199.5602094241</v>
      </c>
      <c r="O1567" s="40">
        <v>65029.285714285703</v>
      </c>
      <c r="P1567" s="40">
        <v>0</v>
      </c>
      <c r="Q1567" s="40">
        <v>14187</v>
      </c>
      <c r="R1567" s="40">
        <v>100005.109947644</v>
      </c>
      <c r="S1567" s="40">
        <v>22263.204188481701</v>
      </c>
      <c r="T1567" s="40">
        <v>30000</v>
      </c>
      <c r="U1567" s="40">
        <v>296607.329842932</v>
      </c>
      <c r="V1567" s="40">
        <v>0</v>
      </c>
      <c r="W1567" s="45">
        <v>550291.48990276747</v>
      </c>
      <c r="X1567" s="46">
        <v>3.2395568776140684</v>
      </c>
    </row>
    <row r="1568" spans="1:24" s="4" customFormat="1" ht="15" customHeight="1">
      <c r="A1568" s="79" t="s">
        <v>3955</v>
      </c>
      <c r="B1568" s="80">
        <v>3394.61</v>
      </c>
      <c r="C1568" s="81" t="s">
        <v>4192</v>
      </c>
      <c r="D1568" s="82">
        <v>4951215064</v>
      </c>
      <c r="E1568" s="82" t="s">
        <v>14</v>
      </c>
      <c r="F1568" s="82" t="s">
        <v>4193</v>
      </c>
      <c r="G1568" s="79" t="s">
        <v>5</v>
      </c>
      <c r="H1568" s="2" t="s">
        <v>35</v>
      </c>
      <c r="I1568" s="2">
        <v>1</v>
      </c>
      <c r="J1568" s="2" t="s">
        <v>4194</v>
      </c>
      <c r="K1568" s="2">
        <v>41384</v>
      </c>
      <c r="L1568" s="35">
        <v>140482540.24000001</v>
      </c>
      <c r="M1568" s="36">
        <v>800</v>
      </c>
      <c r="N1568" s="40">
        <v>29599.4136125654</v>
      </c>
      <c r="O1568" s="40">
        <v>65029.285714285703</v>
      </c>
      <c r="P1568" s="40">
        <v>0</v>
      </c>
      <c r="Q1568" s="40">
        <v>14187</v>
      </c>
      <c r="R1568" s="40">
        <v>133340.14659685901</v>
      </c>
      <c r="S1568" s="40">
        <v>29684.272251308899</v>
      </c>
      <c r="T1568" s="40">
        <v>30000</v>
      </c>
      <c r="U1568" s="40">
        <v>395476.439790576</v>
      </c>
      <c r="V1568" s="40">
        <v>0</v>
      </c>
      <c r="W1568" s="45">
        <v>697316.55796559504</v>
      </c>
      <c r="X1568" s="46">
        <v>0.49637240099324892</v>
      </c>
    </row>
    <row r="1569" spans="1:24" s="4" customFormat="1" ht="15" customHeight="1">
      <c r="A1569" s="79" t="s">
        <v>3955</v>
      </c>
      <c r="B1569" s="80">
        <v>3394.61</v>
      </c>
      <c r="C1569" s="81" t="s">
        <v>4192</v>
      </c>
      <c r="D1569" s="82">
        <v>4952162041</v>
      </c>
      <c r="E1569" s="82" t="s">
        <v>14</v>
      </c>
      <c r="F1569" s="82" t="s">
        <v>4193</v>
      </c>
      <c r="G1569" s="79" t="s">
        <v>5</v>
      </c>
      <c r="H1569" s="2" t="s">
        <v>35</v>
      </c>
      <c r="I1569" s="2">
        <v>1</v>
      </c>
      <c r="J1569" s="2" t="s">
        <v>4194</v>
      </c>
      <c r="K1569" s="2">
        <v>9927</v>
      </c>
      <c r="L1569" s="35">
        <v>33698293.469999999</v>
      </c>
      <c r="M1569" s="36">
        <v>450</v>
      </c>
      <c r="N1569" s="40">
        <v>16649.6701570681</v>
      </c>
      <c r="O1569" s="40">
        <v>65029.285714285703</v>
      </c>
      <c r="P1569" s="40">
        <v>0</v>
      </c>
      <c r="Q1569" s="40">
        <v>14187</v>
      </c>
      <c r="R1569" s="40">
        <v>75003.832460733</v>
      </c>
      <c r="S1569" s="40">
        <v>16697.403141361301</v>
      </c>
      <c r="T1569" s="40">
        <v>30000</v>
      </c>
      <c r="U1569" s="40">
        <v>222455.49738219901</v>
      </c>
      <c r="V1569" s="40">
        <v>0</v>
      </c>
      <c r="W1569" s="45">
        <v>440022.68885564711</v>
      </c>
      <c r="X1569" s="46">
        <v>1.3057714309698756</v>
      </c>
    </row>
    <row r="1570" spans="1:24" s="4" customFormat="1" ht="15" customHeight="1">
      <c r="A1570" s="79" t="s">
        <v>3955</v>
      </c>
      <c r="B1570" s="80">
        <v>3394.61</v>
      </c>
      <c r="C1570" s="81" t="s">
        <v>4195</v>
      </c>
      <c r="D1570" s="82">
        <v>4952701160</v>
      </c>
      <c r="E1570" s="82" t="s">
        <v>14</v>
      </c>
      <c r="F1570" s="82" t="s">
        <v>4196</v>
      </c>
      <c r="G1570" s="79" t="s">
        <v>5</v>
      </c>
      <c r="H1570" s="2" t="s">
        <v>20</v>
      </c>
      <c r="I1570" s="2">
        <v>1</v>
      </c>
      <c r="J1570" s="2" t="s">
        <v>4197</v>
      </c>
      <c r="K1570" s="2">
        <v>3499.2</v>
      </c>
      <c r="L1570" s="35">
        <v>11878419.311999999</v>
      </c>
      <c r="M1570" s="36">
        <v>1080</v>
      </c>
      <c r="N1570" s="40">
        <v>38546.509090909101</v>
      </c>
      <c r="O1570" s="40">
        <v>115662</v>
      </c>
      <c r="P1570" s="40">
        <v>0</v>
      </c>
      <c r="Q1570" s="40">
        <v>33103</v>
      </c>
      <c r="R1570" s="40">
        <v>51505.309090909097</v>
      </c>
      <c r="S1570" s="40">
        <v>38657.018181818203</v>
      </c>
      <c r="T1570" s="40">
        <v>30000</v>
      </c>
      <c r="U1570" s="40">
        <v>1358716.36363636</v>
      </c>
      <c r="V1570" s="40">
        <v>0</v>
      </c>
      <c r="W1570" s="45">
        <v>1666190.1999999965</v>
      </c>
      <c r="X1570" s="46">
        <v>14.027036394621566</v>
      </c>
    </row>
    <row r="1571" spans="1:24" s="4" customFormat="1" ht="15" customHeight="1">
      <c r="A1571" s="79" t="s">
        <v>3955</v>
      </c>
      <c r="B1571" s="80">
        <v>3394.61</v>
      </c>
      <c r="C1571" s="81" t="s">
        <v>4195</v>
      </c>
      <c r="D1571" s="82">
        <v>4951874474</v>
      </c>
      <c r="E1571" s="82" t="s">
        <v>14</v>
      </c>
      <c r="F1571" s="82" t="s">
        <v>4196</v>
      </c>
      <c r="G1571" s="79" t="s">
        <v>5</v>
      </c>
      <c r="H1571" s="2" t="s">
        <v>20</v>
      </c>
      <c r="I1571" s="2">
        <v>1</v>
      </c>
      <c r="J1571" s="2" t="s">
        <v>4197</v>
      </c>
      <c r="K1571" s="2">
        <v>52855</v>
      </c>
      <c r="L1571" s="35">
        <v>179422111.55000001</v>
      </c>
      <c r="M1571" s="36">
        <v>6820</v>
      </c>
      <c r="N1571" s="40">
        <v>243414.066666667</v>
      </c>
      <c r="O1571" s="40">
        <v>115662</v>
      </c>
      <c r="P1571" s="40">
        <v>0</v>
      </c>
      <c r="Q1571" s="40">
        <v>33103</v>
      </c>
      <c r="R1571" s="40">
        <v>325246.48888888903</v>
      </c>
      <c r="S1571" s="40">
        <v>244111.911111111</v>
      </c>
      <c r="T1571" s="40">
        <v>30000</v>
      </c>
      <c r="U1571" s="40">
        <v>8580042.2222222202</v>
      </c>
      <c r="V1571" s="40">
        <v>0</v>
      </c>
      <c r="W1571" s="45">
        <v>9571579.6888888869</v>
      </c>
      <c r="X1571" s="46">
        <v>5.3346711875150072</v>
      </c>
    </row>
    <row r="1572" spans="1:24" s="4" customFormat="1" ht="15" customHeight="1">
      <c r="A1572" s="79" t="s">
        <v>3955</v>
      </c>
      <c r="B1572" s="80">
        <v>3394.61</v>
      </c>
      <c r="C1572" s="81" t="s">
        <v>4195</v>
      </c>
      <c r="D1572" s="82">
        <v>4952577882</v>
      </c>
      <c r="E1572" s="82" t="s">
        <v>14</v>
      </c>
      <c r="F1572" s="82" t="s">
        <v>4196</v>
      </c>
      <c r="G1572" s="79" t="s">
        <v>5</v>
      </c>
      <c r="H1572" s="2" t="s">
        <v>20</v>
      </c>
      <c r="I1572" s="2">
        <v>1</v>
      </c>
      <c r="J1572" s="2" t="s">
        <v>4197</v>
      </c>
      <c r="K1572" s="2">
        <v>3980</v>
      </c>
      <c r="L1572" s="35">
        <v>13510547.800000001</v>
      </c>
      <c r="M1572" s="36">
        <v>2000</v>
      </c>
      <c r="N1572" s="40">
        <v>71382.424242424197</v>
      </c>
      <c r="O1572" s="40">
        <v>115662</v>
      </c>
      <c r="P1572" s="40">
        <v>0</v>
      </c>
      <c r="Q1572" s="40">
        <v>33103</v>
      </c>
      <c r="R1572" s="40">
        <v>95380.202020202007</v>
      </c>
      <c r="S1572" s="40">
        <v>71587.070707070699</v>
      </c>
      <c r="T1572" s="40">
        <v>30000</v>
      </c>
      <c r="U1572" s="40">
        <v>2516141.41414141</v>
      </c>
      <c r="V1572" s="40">
        <v>0</v>
      </c>
      <c r="W1572" s="45">
        <v>2933256.1111111068</v>
      </c>
      <c r="X1572" s="46">
        <v>21.710859948336857</v>
      </c>
    </row>
    <row r="1573" spans="1:24" s="4" customFormat="1" ht="15" customHeight="1">
      <c r="A1573" s="79" t="s">
        <v>3955</v>
      </c>
      <c r="B1573" s="80">
        <v>3394.61</v>
      </c>
      <c r="C1573" s="81" t="s">
        <v>4206</v>
      </c>
      <c r="D1573" s="82">
        <v>4952601863</v>
      </c>
      <c r="E1573" s="82" t="s">
        <v>14</v>
      </c>
      <c r="F1573" s="83" t="s">
        <v>4207</v>
      </c>
      <c r="G1573" s="79" t="s">
        <v>5</v>
      </c>
      <c r="H1573" s="2" t="s">
        <v>20</v>
      </c>
      <c r="I1573" s="2">
        <v>1</v>
      </c>
      <c r="J1573" s="2" t="s">
        <v>4208</v>
      </c>
      <c r="K1573" s="2">
        <v>1041</v>
      </c>
      <c r="L1573" s="35">
        <v>3533789.0100000002</v>
      </c>
      <c r="M1573" s="36">
        <v>840</v>
      </c>
      <c r="N1573" s="40">
        <v>21134.272727272699</v>
      </c>
      <c r="O1573" s="40">
        <v>173493</v>
      </c>
      <c r="P1573" s="40">
        <v>0</v>
      </c>
      <c r="Q1573" s="40">
        <v>49654.5</v>
      </c>
      <c r="R1573" s="40">
        <v>23529.333333333299</v>
      </c>
      <c r="S1573" s="40">
        <v>18791.6060606061</v>
      </c>
      <c r="T1573" s="40">
        <v>30000</v>
      </c>
      <c r="U1573" s="55">
        <v>339627.272727273</v>
      </c>
      <c r="V1573" s="55">
        <v>0</v>
      </c>
      <c r="W1573" s="45">
        <v>656229.9848484851</v>
      </c>
      <c r="X1573" s="46">
        <v>18.570151839610961</v>
      </c>
    </row>
    <row r="1574" spans="1:24" s="4" customFormat="1" ht="15" customHeight="1">
      <c r="A1574" s="79" t="s">
        <v>3955</v>
      </c>
      <c r="B1574" s="80">
        <v>3394.61</v>
      </c>
      <c r="C1574" s="81" t="s">
        <v>4206</v>
      </c>
      <c r="D1574" s="82">
        <v>4952601863</v>
      </c>
      <c r="E1574" s="82" t="s">
        <v>14</v>
      </c>
      <c r="F1574" s="83" t="s">
        <v>4207</v>
      </c>
      <c r="G1574" s="79" t="s">
        <v>5</v>
      </c>
      <c r="H1574" s="2" t="s">
        <v>20</v>
      </c>
      <c r="I1574" s="2">
        <v>1</v>
      </c>
      <c r="J1574" s="2" t="s">
        <v>4208</v>
      </c>
      <c r="K1574" s="2">
        <v>12600</v>
      </c>
      <c r="L1574" s="35">
        <v>42772086</v>
      </c>
      <c r="M1574" s="36">
        <v>15000</v>
      </c>
      <c r="N1574" s="40">
        <v>377397.727272727</v>
      </c>
      <c r="O1574" s="40">
        <v>173493</v>
      </c>
      <c r="P1574" s="40">
        <v>0</v>
      </c>
      <c r="Q1574" s="40">
        <v>49654.5</v>
      </c>
      <c r="R1574" s="40">
        <v>423167</v>
      </c>
      <c r="S1574" s="40">
        <v>335564.39393939398</v>
      </c>
      <c r="T1574" s="40">
        <v>30000</v>
      </c>
      <c r="U1574" s="55">
        <v>6064772.7272727303</v>
      </c>
      <c r="V1574" s="55">
        <v>0</v>
      </c>
      <c r="W1574" s="45">
        <v>7454049.3484848514</v>
      </c>
      <c r="X1574" s="46">
        <v>17.427369215718986</v>
      </c>
    </row>
    <row r="1575" spans="1:24" s="4" customFormat="1" ht="15" customHeight="1">
      <c r="A1575" s="79" t="s">
        <v>3955</v>
      </c>
      <c r="B1575" s="80">
        <v>3394.61</v>
      </c>
      <c r="C1575" s="81" t="s">
        <v>4212</v>
      </c>
      <c r="D1575" s="82">
        <v>4952862315</v>
      </c>
      <c r="E1575" s="82" t="s">
        <v>14</v>
      </c>
      <c r="F1575" s="82" t="s">
        <v>4213</v>
      </c>
      <c r="G1575" s="79" t="s">
        <v>9</v>
      </c>
      <c r="H1575" s="2" t="s">
        <v>23</v>
      </c>
      <c r="I1575" s="2">
        <v>3</v>
      </c>
      <c r="J1575" s="2"/>
      <c r="K1575" s="2">
        <v>4668.3</v>
      </c>
      <c r="L1575" s="35">
        <v>15847057.863000002</v>
      </c>
      <c r="M1575" s="36">
        <v>1890</v>
      </c>
      <c r="N1575" s="40">
        <v>469108</v>
      </c>
      <c r="O1575" s="40">
        <v>1374</v>
      </c>
      <c r="P1575" s="40">
        <v>0</v>
      </c>
      <c r="Q1575" s="40">
        <v>26583</v>
      </c>
      <c r="R1575" s="40">
        <v>117077</v>
      </c>
      <c r="S1575" s="40">
        <v>354356</v>
      </c>
      <c r="T1575" s="40">
        <v>30000</v>
      </c>
      <c r="U1575" s="40">
        <v>1367700</v>
      </c>
      <c r="V1575" s="40">
        <v>0</v>
      </c>
      <c r="W1575" s="45">
        <v>2366198</v>
      </c>
      <c r="X1575" s="46">
        <v>14.931465641484417</v>
      </c>
    </row>
    <row r="1576" spans="1:24" s="4" customFormat="1" ht="15" customHeight="1">
      <c r="A1576" s="79" t="s">
        <v>3955</v>
      </c>
      <c r="B1576" s="80">
        <v>3394.61</v>
      </c>
      <c r="C1576" s="81" t="s">
        <v>4217</v>
      </c>
      <c r="D1576" s="82">
        <v>4952283445</v>
      </c>
      <c r="E1576" s="82" t="s">
        <v>14</v>
      </c>
      <c r="F1576" s="83" t="s">
        <v>4218</v>
      </c>
      <c r="G1576" s="79" t="s">
        <v>9</v>
      </c>
      <c r="H1576" s="2" t="s">
        <v>23</v>
      </c>
      <c r="I1576" s="2">
        <v>1</v>
      </c>
      <c r="J1576" s="2"/>
      <c r="K1576" s="2">
        <v>1596</v>
      </c>
      <c r="L1576" s="35">
        <v>5417797.5600000005</v>
      </c>
      <c r="M1576" s="36">
        <v>840</v>
      </c>
      <c r="N1576" s="40">
        <v>517720</v>
      </c>
      <c r="O1576" s="40">
        <v>584</v>
      </c>
      <c r="P1576" s="40">
        <v>0</v>
      </c>
      <c r="Q1576" s="40">
        <v>11277</v>
      </c>
      <c r="R1576" s="40">
        <v>100518</v>
      </c>
      <c r="S1576" s="40">
        <v>354356</v>
      </c>
      <c r="T1576" s="40">
        <v>30000</v>
      </c>
      <c r="U1576" s="40">
        <v>295915.540540541</v>
      </c>
      <c r="V1576" s="40">
        <v>0</v>
      </c>
      <c r="W1576" s="45">
        <v>1310370.5405405411</v>
      </c>
      <c r="X1576" s="46">
        <v>24.186406487667675</v>
      </c>
    </row>
    <row r="1577" spans="1:24" s="4" customFormat="1" ht="15" customHeight="1">
      <c r="A1577" s="79" t="s">
        <v>3955</v>
      </c>
      <c r="B1577" s="80">
        <v>3394.61</v>
      </c>
      <c r="C1577" s="81" t="s">
        <v>4228</v>
      </c>
      <c r="D1577" s="82">
        <v>4952465124</v>
      </c>
      <c r="E1577" s="82" t="s">
        <v>14</v>
      </c>
      <c r="F1577" s="83" t="s">
        <v>4229</v>
      </c>
      <c r="G1577" s="79" t="s">
        <v>9</v>
      </c>
      <c r="H1577" s="2" t="s">
        <v>23</v>
      </c>
      <c r="I1577" s="2">
        <v>6</v>
      </c>
      <c r="J1577" s="2"/>
      <c r="K1577" s="2">
        <v>12448.8</v>
      </c>
      <c r="L1577" s="35">
        <v>42258820.968000002</v>
      </c>
      <c r="M1577" s="36">
        <v>5040</v>
      </c>
      <c r="N1577" s="40">
        <v>364492</v>
      </c>
      <c r="O1577" s="40">
        <v>3469</v>
      </c>
      <c r="P1577" s="40">
        <v>0</v>
      </c>
      <c r="Q1577" s="40">
        <v>67667</v>
      </c>
      <c r="R1577" s="40">
        <v>177706</v>
      </c>
      <c r="S1577" s="40">
        <v>354356</v>
      </c>
      <c r="T1577" s="40">
        <v>30000</v>
      </c>
      <c r="U1577" s="40">
        <v>2085500</v>
      </c>
      <c r="V1577" s="40">
        <v>0</v>
      </c>
      <c r="W1577" s="45">
        <v>3083190</v>
      </c>
      <c r="X1577" s="46">
        <v>7.295967869843575</v>
      </c>
    </row>
    <row r="1578" spans="1:24" s="4" customFormat="1" ht="15" customHeight="1">
      <c r="A1578" s="79" t="s">
        <v>3955</v>
      </c>
      <c r="B1578" s="80">
        <v>3394.61</v>
      </c>
      <c r="C1578" s="81" t="s">
        <v>4233</v>
      </c>
      <c r="D1578" s="82">
        <v>4952864213</v>
      </c>
      <c r="E1578" s="82" t="s">
        <v>14</v>
      </c>
      <c r="F1578" s="82" t="s">
        <v>4234</v>
      </c>
      <c r="G1578" s="79" t="s">
        <v>5</v>
      </c>
      <c r="H1578" s="2" t="s">
        <v>20</v>
      </c>
      <c r="I1578" s="2">
        <v>1</v>
      </c>
      <c r="J1578" s="2" t="s">
        <v>4235</v>
      </c>
      <c r="K1578" s="2">
        <v>11713</v>
      </c>
      <c r="L1578" s="35">
        <v>39761066.93</v>
      </c>
      <c r="M1578" s="36">
        <v>5160</v>
      </c>
      <c r="N1578" s="40">
        <v>346415</v>
      </c>
      <c r="O1578" s="40">
        <v>346986</v>
      </c>
      <c r="P1578" s="40">
        <v>0</v>
      </c>
      <c r="Q1578" s="40">
        <v>99309</v>
      </c>
      <c r="R1578" s="40">
        <v>455370</v>
      </c>
      <c r="S1578" s="40">
        <v>354356</v>
      </c>
      <c r="T1578" s="40">
        <v>30000</v>
      </c>
      <c r="U1578" s="40">
        <v>3501700</v>
      </c>
      <c r="V1578" s="40">
        <v>0</v>
      </c>
      <c r="W1578" s="45">
        <v>5134136</v>
      </c>
      <c r="X1578" s="46">
        <v>12.912470404878039</v>
      </c>
    </row>
    <row r="1579" spans="1:24" s="4" customFormat="1" ht="15" customHeight="1">
      <c r="A1579" s="79" t="s">
        <v>3955</v>
      </c>
      <c r="B1579" s="80">
        <v>3394.61</v>
      </c>
      <c r="C1579" s="81" t="s">
        <v>4251</v>
      </c>
      <c r="D1579" s="82">
        <v>4952889958</v>
      </c>
      <c r="E1579" s="82" t="s">
        <v>14</v>
      </c>
      <c r="F1579" s="82">
        <v>1028721247</v>
      </c>
      <c r="G1579" s="79" t="s">
        <v>13</v>
      </c>
      <c r="H1579" s="2" t="s">
        <v>23</v>
      </c>
      <c r="I1579" s="2">
        <v>3</v>
      </c>
      <c r="J1579" s="2"/>
      <c r="K1579" s="2">
        <v>2561.1999999999998</v>
      </c>
      <c r="L1579" s="35">
        <v>8694275.1319999993</v>
      </c>
      <c r="M1579" s="36">
        <v>40</v>
      </c>
      <c r="N1579" s="40">
        <v>167142.285714286</v>
      </c>
      <c r="O1579" s="40">
        <v>0</v>
      </c>
      <c r="P1579" s="40">
        <v>0</v>
      </c>
      <c r="Q1579" s="40">
        <v>0</v>
      </c>
      <c r="R1579" s="40">
        <v>668</v>
      </c>
      <c r="S1579" s="40">
        <v>202489.14285714299</v>
      </c>
      <c r="T1579" s="40">
        <v>30000</v>
      </c>
      <c r="U1579" s="55">
        <v>140788.57142857101</v>
      </c>
      <c r="V1579" s="55">
        <v>0</v>
      </c>
      <c r="W1579" s="45">
        <v>541088</v>
      </c>
      <c r="X1579" s="46">
        <v>6.2234975519520983</v>
      </c>
    </row>
    <row r="1580" spans="1:24" s="4" customFormat="1" ht="15" customHeight="1">
      <c r="A1580" s="79" t="s">
        <v>3955</v>
      </c>
      <c r="B1580" s="80">
        <v>3394.61</v>
      </c>
      <c r="C1580" s="81" t="s">
        <v>4251</v>
      </c>
      <c r="D1580" s="82">
        <v>4953089718</v>
      </c>
      <c r="E1580" s="82" t="s">
        <v>14</v>
      </c>
      <c r="F1580" s="82">
        <v>1028721247</v>
      </c>
      <c r="G1580" s="79" t="s">
        <v>13</v>
      </c>
      <c r="H1580" s="2" t="s">
        <v>23</v>
      </c>
      <c r="I1580" s="2">
        <v>3</v>
      </c>
      <c r="J1580" s="2"/>
      <c r="K1580" s="2">
        <v>1280.5999999999999</v>
      </c>
      <c r="L1580" s="35">
        <v>4347137.5659999996</v>
      </c>
      <c r="M1580" s="36">
        <v>20</v>
      </c>
      <c r="N1580" s="40">
        <v>83571.142857142899</v>
      </c>
      <c r="O1580" s="40">
        <v>0</v>
      </c>
      <c r="P1580" s="40">
        <v>0</v>
      </c>
      <c r="Q1580" s="40">
        <v>0</v>
      </c>
      <c r="R1580" s="40">
        <v>334</v>
      </c>
      <c r="S1580" s="40">
        <v>101244.571428571</v>
      </c>
      <c r="T1580" s="40">
        <v>30000</v>
      </c>
      <c r="U1580" s="55">
        <v>70394.285714285696</v>
      </c>
      <c r="V1580" s="55">
        <v>0</v>
      </c>
      <c r="W1580" s="45">
        <v>285543.99999999959</v>
      </c>
      <c r="X1580" s="46">
        <v>6.5685521947432113</v>
      </c>
    </row>
    <row r="1581" spans="1:24" s="4" customFormat="1" ht="15" customHeight="1">
      <c r="A1581" s="79" t="s">
        <v>3955</v>
      </c>
      <c r="B1581" s="80">
        <v>3394.61</v>
      </c>
      <c r="C1581" s="81" t="s">
        <v>4251</v>
      </c>
      <c r="D1581" s="82">
        <v>4952973688</v>
      </c>
      <c r="E1581" s="82" t="s">
        <v>14</v>
      </c>
      <c r="F1581" s="82">
        <v>1028721247</v>
      </c>
      <c r="G1581" s="79" t="s">
        <v>13</v>
      </c>
      <c r="H1581" s="2" t="s">
        <v>23</v>
      </c>
      <c r="I1581" s="2">
        <v>3</v>
      </c>
      <c r="J1581" s="2"/>
      <c r="K1581" s="2">
        <v>825.1</v>
      </c>
      <c r="L1581" s="35">
        <v>2800892.7110000001</v>
      </c>
      <c r="M1581" s="36">
        <v>10</v>
      </c>
      <c r="N1581" s="40">
        <v>41785.571428571398</v>
      </c>
      <c r="O1581" s="40">
        <v>0</v>
      </c>
      <c r="P1581" s="40">
        <v>0</v>
      </c>
      <c r="Q1581" s="40">
        <v>0</v>
      </c>
      <c r="R1581" s="40">
        <v>167</v>
      </c>
      <c r="S1581" s="40">
        <v>50622.285714285703</v>
      </c>
      <c r="T1581" s="40">
        <v>30000</v>
      </c>
      <c r="U1581" s="55">
        <v>35197.142857142899</v>
      </c>
      <c r="V1581" s="55">
        <v>0</v>
      </c>
      <c r="W1581" s="45">
        <v>157772</v>
      </c>
      <c r="X1581" s="46">
        <v>5.6329183685036908</v>
      </c>
    </row>
    <row r="1582" spans="1:24" s="4" customFormat="1" ht="15" customHeight="1">
      <c r="A1582" s="79" t="s">
        <v>3955</v>
      </c>
      <c r="B1582" s="80">
        <v>3394.61</v>
      </c>
      <c r="C1582" s="81" t="s">
        <v>4263</v>
      </c>
      <c r="D1582" s="82">
        <v>4952833591</v>
      </c>
      <c r="E1582" s="82" t="s">
        <v>14</v>
      </c>
      <c r="F1582" s="82" t="s">
        <v>4264</v>
      </c>
      <c r="G1582" s="79" t="s">
        <v>5</v>
      </c>
      <c r="H1582" s="2" t="s">
        <v>20</v>
      </c>
      <c r="I1582" s="2">
        <v>1</v>
      </c>
      <c r="J1582" s="2" t="s">
        <v>4265</v>
      </c>
      <c r="K1582" s="2">
        <v>652.5</v>
      </c>
      <c r="L1582" s="35">
        <v>2214983.0249999999</v>
      </c>
      <c r="M1582" s="36">
        <v>750</v>
      </c>
      <c r="N1582" s="62">
        <v>31624.204406364701</v>
      </c>
      <c r="O1582" s="40">
        <v>69397.2</v>
      </c>
      <c r="P1582" s="40">
        <v>0</v>
      </c>
      <c r="Q1582" s="40">
        <v>19861.8</v>
      </c>
      <c r="R1582" s="62">
        <v>42095.838433292498</v>
      </c>
      <c r="S1582" s="62">
        <v>32529.6205630355</v>
      </c>
      <c r="T1582" s="40">
        <v>30000</v>
      </c>
      <c r="U1582" s="55">
        <v>266245.41003671999</v>
      </c>
      <c r="V1582" s="55">
        <v>0</v>
      </c>
      <c r="W1582" s="45">
        <v>491754.07343941269</v>
      </c>
      <c r="X1582" s="46">
        <v>22.20125697980971</v>
      </c>
    </row>
    <row r="1583" spans="1:24" s="4" customFormat="1" ht="15" customHeight="1">
      <c r="A1583" s="79" t="s">
        <v>3955</v>
      </c>
      <c r="B1583" s="80">
        <v>3394.61</v>
      </c>
      <c r="C1583" s="81" t="s">
        <v>4263</v>
      </c>
      <c r="D1583" s="82">
        <v>4952889984</v>
      </c>
      <c r="E1583" s="82" t="s">
        <v>14</v>
      </c>
      <c r="F1583" s="82" t="s">
        <v>4264</v>
      </c>
      <c r="G1583" s="79" t="s">
        <v>5</v>
      </c>
      <c r="H1583" s="2" t="s">
        <v>20</v>
      </c>
      <c r="I1583" s="2">
        <v>1</v>
      </c>
      <c r="J1583" s="2" t="s">
        <v>4265</v>
      </c>
      <c r="K1583" s="2">
        <v>2201.7199999999998</v>
      </c>
      <c r="L1583" s="35">
        <v>7473980.7291999999</v>
      </c>
      <c r="M1583" s="36">
        <v>760</v>
      </c>
      <c r="N1583" s="62">
        <v>32045.8604651163</v>
      </c>
      <c r="O1583" s="40">
        <v>69397.2</v>
      </c>
      <c r="P1583" s="40">
        <v>0</v>
      </c>
      <c r="Q1583" s="40">
        <v>19861.8</v>
      </c>
      <c r="R1583" s="62">
        <v>42657.1162790698</v>
      </c>
      <c r="S1583" s="62">
        <v>32963.348837209298</v>
      </c>
      <c r="T1583" s="40">
        <v>30000</v>
      </c>
      <c r="U1583" s="55">
        <v>269795.34883720899</v>
      </c>
      <c r="V1583" s="55">
        <v>0</v>
      </c>
      <c r="W1583" s="45">
        <v>496720.67441860441</v>
      </c>
      <c r="X1583" s="46">
        <v>6.6459988648080506</v>
      </c>
    </row>
    <row r="1584" spans="1:24" s="4" customFormat="1" ht="15" customHeight="1">
      <c r="A1584" s="79" t="s">
        <v>3955</v>
      </c>
      <c r="B1584" s="80">
        <v>3394.61</v>
      </c>
      <c r="C1584" s="81" t="s">
        <v>4263</v>
      </c>
      <c r="D1584" s="82">
        <v>4952862303</v>
      </c>
      <c r="E1584" s="82" t="s">
        <v>14</v>
      </c>
      <c r="F1584" s="82" t="s">
        <v>4264</v>
      </c>
      <c r="G1584" s="79" t="s">
        <v>5</v>
      </c>
      <c r="H1584" s="2" t="s">
        <v>20</v>
      </c>
      <c r="I1584" s="2">
        <v>1</v>
      </c>
      <c r="J1584" s="2" t="s">
        <v>4265</v>
      </c>
      <c r="K1584" s="2">
        <v>6550</v>
      </c>
      <c r="L1584" s="35">
        <v>22234695.5</v>
      </c>
      <c r="M1584" s="36">
        <v>5000</v>
      </c>
      <c r="N1584" s="62">
        <v>210828.02937576501</v>
      </c>
      <c r="O1584" s="40">
        <v>69397.2</v>
      </c>
      <c r="P1584" s="40">
        <v>0</v>
      </c>
      <c r="Q1584" s="40">
        <v>19861.8</v>
      </c>
      <c r="R1584" s="62">
        <v>280638.92288861697</v>
      </c>
      <c r="S1584" s="62">
        <v>216864.13708690301</v>
      </c>
      <c r="T1584" s="40">
        <v>30000</v>
      </c>
      <c r="U1584" s="55">
        <v>1774969.4002447999</v>
      </c>
      <c r="V1584" s="55">
        <v>0</v>
      </c>
      <c r="W1584" s="45">
        <v>2602559.4895960847</v>
      </c>
      <c r="X1584" s="46">
        <v>11.704947745275328</v>
      </c>
    </row>
    <row r="1585" spans="1:24" s="4" customFormat="1" ht="15" customHeight="1">
      <c r="A1585" s="79" t="s">
        <v>3955</v>
      </c>
      <c r="B1585" s="80">
        <v>3394.61</v>
      </c>
      <c r="C1585" s="81" t="s">
        <v>4263</v>
      </c>
      <c r="D1585" s="82">
        <v>4952703264</v>
      </c>
      <c r="E1585" s="82" t="s">
        <v>14</v>
      </c>
      <c r="F1585" s="82" t="s">
        <v>4264</v>
      </c>
      <c r="G1585" s="79" t="s">
        <v>5</v>
      </c>
      <c r="H1585" s="2" t="s">
        <v>20</v>
      </c>
      <c r="I1585" s="2">
        <v>1</v>
      </c>
      <c r="J1585" s="2" t="s">
        <v>4265</v>
      </c>
      <c r="K1585" s="2">
        <v>2125.1999999999998</v>
      </c>
      <c r="L1585" s="35">
        <v>7214225.1719999993</v>
      </c>
      <c r="M1585" s="36">
        <v>920</v>
      </c>
      <c r="N1585" s="62">
        <v>38792.3574051408</v>
      </c>
      <c r="O1585" s="40">
        <v>69397.2</v>
      </c>
      <c r="P1585" s="40">
        <v>0</v>
      </c>
      <c r="Q1585" s="40">
        <v>19861.8</v>
      </c>
      <c r="R1585" s="62">
        <v>51637.561811505497</v>
      </c>
      <c r="S1585" s="62">
        <v>39903.001223990199</v>
      </c>
      <c r="T1585" s="40">
        <v>30000</v>
      </c>
      <c r="U1585" s="55">
        <v>326594.36964504299</v>
      </c>
      <c r="V1585" s="55">
        <v>0</v>
      </c>
      <c r="W1585" s="45">
        <v>576186.2900856795</v>
      </c>
      <c r="X1585" s="46">
        <v>7.9868076799430341</v>
      </c>
    </row>
    <row r="1586" spans="1:24" s="4" customFormat="1" ht="15" customHeight="1">
      <c r="A1586" s="79" t="s">
        <v>3955</v>
      </c>
      <c r="B1586" s="80">
        <v>3394.61</v>
      </c>
      <c r="C1586" s="81" t="s">
        <v>4263</v>
      </c>
      <c r="D1586" s="82">
        <v>4952703265</v>
      </c>
      <c r="E1586" s="82" t="s">
        <v>14</v>
      </c>
      <c r="F1586" s="82" t="s">
        <v>4264</v>
      </c>
      <c r="G1586" s="79" t="s">
        <v>5</v>
      </c>
      <c r="H1586" s="2" t="s">
        <v>20</v>
      </c>
      <c r="I1586" s="2">
        <v>1</v>
      </c>
      <c r="J1586" s="2" t="s">
        <v>4265</v>
      </c>
      <c r="K1586" s="2">
        <v>3819.14</v>
      </c>
      <c r="L1586" s="35">
        <v>12964490.8354</v>
      </c>
      <c r="M1586" s="36">
        <v>740</v>
      </c>
      <c r="N1586" s="62">
        <v>31202.548347613199</v>
      </c>
      <c r="O1586" s="40">
        <v>69397.2</v>
      </c>
      <c r="P1586" s="40">
        <v>0</v>
      </c>
      <c r="Q1586" s="40">
        <v>19861.8</v>
      </c>
      <c r="R1586" s="62">
        <v>41534.560587515298</v>
      </c>
      <c r="S1586" s="62">
        <v>32095.892288861702</v>
      </c>
      <c r="T1586" s="40">
        <v>30000</v>
      </c>
      <c r="U1586" s="55">
        <v>262695.47123622999</v>
      </c>
      <c r="V1586" s="55">
        <v>0</v>
      </c>
      <c r="W1586" s="45">
        <v>486787.47246022022</v>
      </c>
      <c r="X1586" s="46">
        <v>3.7547750902104835</v>
      </c>
    </row>
    <row r="1587" spans="1:24" s="4" customFormat="1" ht="15" customHeight="1">
      <c r="A1587" s="79" t="s">
        <v>3955</v>
      </c>
      <c r="B1587" s="80">
        <v>3394.61</v>
      </c>
      <c r="C1587" s="81" t="s">
        <v>4266</v>
      </c>
      <c r="D1587" s="82">
        <v>4952864205</v>
      </c>
      <c r="E1587" s="82" t="s">
        <v>14</v>
      </c>
      <c r="F1587" s="83" t="s">
        <v>4267</v>
      </c>
      <c r="G1587" s="79" t="s">
        <v>5</v>
      </c>
      <c r="H1587" s="2" t="s">
        <v>32</v>
      </c>
      <c r="I1587" s="2">
        <v>1</v>
      </c>
      <c r="J1587" s="2" t="s">
        <v>4268</v>
      </c>
      <c r="K1587" s="2">
        <v>1537.2</v>
      </c>
      <c r="L1587" s="35">
        <v>5218194.4920000006</v>
      </c>
      <c r="M1587" s="36">
        <v>420</v>
      </c>
      <c r="N1587" s="62">
        <v>17973.547826087</v>
      </c>
      <c r="O1587" s="40">
        <v>86746.5</v>
      </c>
      <c r="P1587" s="40">
        <v>0</v>
      </c>
      <c r="Q1587" s="40">
        <v>24827.25</v>
      </c>
      <c r="R1587" s="62">
        <v>29341.460869565199</v>
      </c>
      <c r="S1587" s="62">
        <v>18488.1391304348</v>
      </c>
      <c r="T1587" s="40">
        <v>30000</v>
      </c>
      <c r="U1587" s="55">
        <v>307043.47826086998</v>
      </c>
      <c r="V1587" s="55">
        <v>0</v>
      </c>
      <c r="W1587" s="45">
        <v>514420.37608695694</v>
      </c>
      <c r="X1587" s="46">
        <v>9.8582062603380045</v>
      </c>
    </row>
    <row r="1588" spans="1:24" s="4" customFormat="1" ht="15" customHeight="1">
      <c r="A1588" s="79" t="s">
        <v>3955</v>
      </c>
      <c r="B1588" s="80">
        <v>3394.61</v>
      </c>
      <c r="C1588" s="81" t="s">
        <v>4266</v>
      </c>
      <c r="D1588" s="82">
        <v>4952973677</v>
      </c>
      <c r="E1588" s="82" t="s">
        <v>14</v>
      </c>
      <c r="F1588" s="83" t="s">
        <v>4267</v>
      </c>
      <c r="G1588" s="79" t="s">
        <v>5</v>
      </c>
      <c r="H1588" s="2" t="s">
        <v>32</v>
      </c>
      <c r="I1588" s="2">
        <v>1</v>
      </c>
      <c r="J1588" s="2" t="s">
        <v>4268</v>
      </c>
      <c r="K1588" s="2">
        <v>10080</v>
      </c>
      <c r="L1588" s="35">
        <v>34217668.800000004</v>
      </c>
      <c r="M1588" s="36">
        <v>4500</v>
      </c>
      <c r="N1588" s="62">
        <v>192573.726708075</v>
      </c>
      <c r="O1588" s="40">
        <v>86746.5</v>
      </c>
      <c r="P1588" s="40">
        <v>0</v>
      </c>
      <c r="Q1588" s="40">
        <v>24827.25</v>
      </c>
      <c r="R1588" s="62">
        <v>314372.79503105598</v>
      </c>
      <c r="S1588" s="62">
        <v>198087.20496894399</v>
      </c>
      <c r="T1588" s="40">
        <v>30000</v>
      </c>
      <c r="U1588" s="55">
        <v>3289751.5527950302</v>
      </c>
      <c r="V1588" s="55">
        <v>0</v>
      </c>
      <c r="W1588" s="45">
        <v>4136359.0295031052</v>
      </c>
      <c r="X1588" s="46">
        <v>12.088371810715243</v>
      </c>
    </row>
    <row r="1589" spans="1:24" s="4" customFormat="1" ht="15" customHeight="1">
      <c r="A1589" s="79" t="s">
        <v>3955</v>
      </c>
      <c r="B1589" s="80">
        <v>3394.61</v>
      </c>
      <c r="C1589" s="81" t="s">
        <v>4266</v>
      </c>
      <c r="D1589" s="82">
        <v>4953003801</v>
      </c>
      <c r="E1589" s="82" t="s">
        <v>14</v>
      </c>
      <c r="F1589" s="83" t="s">
        <v>4267</v>
      </c>
      <c r="G1589" s="79" t="s">
        <v>5</v>
      </c>
      <c r="H1589" s="2" t="s">
        <v>32</v>
      </c>
      <c r="I1589" s="2">
        <v>1</v>
      </c>
      <c r="J1589" s="2" t="s">
        <v>4268</v>
      </c>
      <c r="K1589" s="2">
        <v>9555</v>
      </c>
      <c r="L1589" s="35">
        <v>32435498.550000001</v>
      </c>
      <c r="M1589" s="36">
        <v>2940</v>
      </c>
      <c r="N1589" s="62">
        <v>125814.834782609</v>
      </c>
      <c r="O1589" s="40">
        <v>86746.5</v>
      </c>
      <c r="P1589" s="40">
        <v>0</v>
      </c>
      <c r="Q1589" s="40">
        <v>24827.25</v>
      </c>
      <c r="R1589" s="62">
        <v>205390.226086957</v>
      </c>
      <c r="S1589" s="62">
        <v>129416.973913043</v>
      </c>
      <c r="T1589" s="40">
        <v>30000</v>
      </c>
      <c r="U1589" s="55">
        <v>2149304.3478260902</v>
      </c>
      <c r="V1589" s="55">
        <v>0</v>
      </c>
      <c r="W1589" s="45">
        <v>2751500.1326086991</v>
      </c>
      <c r="X1589" s="46">
        <v>8.4829901053230437</v>
      </c>
    </row>
    <row r="1590" spans="1:24" s="4" customFormat="1" ht="15" customHeight="1">
      <c r="A1590" s="79" t="s">
        <v>3955</v>
      </c>
      <c r="B1590" s="80">
        <v>3394.61</v>
      </c>
      <c r="C1590" s="81" t="s">
        <v>4266</v>
      </c>
      <c r="D1590" s="82">
        <v>4953101428</v>
      </c>
      <c r="E1590" s="82" t="s">
        <v>14</v>
      </c>
      <c r="F1590" s="83" t="s">
        <v>4267</v>
      </c>
      <c r="G1590" s="79" t="s">
        <v>5</v>
      </c>
      <c r="H1590" s="2" t="s">
        <v>32</v>
      </c>
      <c r="I1590" s="2">
        <v>1</v>
      </c>
      <c r="J1590" s="2" t="s">
        <v>4268</v>
      </c>
      <c r="K1590" s="2">
        <v>2057.6999999999998</v>
      </c>
      <c r="L1590" s="35">
        <v>6985088.9969999995</v>
      </c>
      <c r="M1590" s="36">
        <v>190</v>
      </c>
      <c r="N1590" s="62">
        <v>8130.8906832298098</v>
      </c>
      <c r="O1590" s="40">
        <v>86746.5</v>
      </c>
      <c r="P1590" s="40">
        <v>0</v>
      </c>
      <c r="Q1590" s="40">
        <v>24827.25</v>
      </c>
      <c r="R1590" s="62">
        <v>13273.518012422401</v>
      </c>
      <c r="S1590" s="62">
        <v>8363.68198757764</v>
      </c>
      <c r="T1590" s="40">
        <v>30000</v>
      </c>
      <c r="U1590" s="55">
        <v>138900.621118012</v>
      </c>
      <c r="V1590" s="55">
        <v>0</v>
      </c>
      <c r="W1590" s="45">
        <v>310242.46180124185</v>
      </c>
      <c r="X1590" s="46">
        <v>4.4414961918808302</v>
      </c>
    </row>
    <row r="1591" spans="1:24" s="4" customFormat="1" ht="15" customHeight="1">
      <c r="A1591" s="79" t="s">
        <v>3955</v>
      </c>
      <c r="B1591" s="80">
        <v>3394.61</v>
      </c>
      <c r="C1591" s="81" t="s">
        <v>4269</v>
      </c>
      <c r="D1591" s="82">
        <v>4952577878</v>
      </c>
      <c r="E1591" s="82" t="s">
        <v>14</v>
      </c>
      <c r="F1591" s="83" t="s">
        <v>4270</v>
      </c>
      <c r="G1591" s="79" t="s">
        <v>9</v>
      </c>
      <c r="H1591" s="2" t="s">
        <v>23</v>
      </c>
      <c r="I1591" s="2">
        <v>1</v>
      </c>
      <c r="J1591" s="2"/>
      <c r="K1591" s="2">
        <v>7593.6</v>
      </c>
      <c r="L1591" s="35">
        <v>25777310.496000003</v>
      </c>
      <c r="M1591" s="36">
        <v>480</v>
      </c>
      <c r="N1591" s="40">
        <v>510154</v>
      </c>
      <c r="O1591" s="40">
        <v>343</v>
      </c>
      <c r="P1591" s="40">
        <v>0</v>
      </c>
      <c r="Q1591" s="40">
        <v>6444</v>
      </c>
      <c r="R1591" s="40">
        <v>97387</v>
      </c>
      <c r="S1591" s="40">
        <v>354356</v>
      </c>
      <c r="T1591" s="40">
        <v>30000</v>
      </c>
      <c r="U1591" s="40">
        <v>218832</v>
      </c>
      <c r="V1591" s="40">
        <v>0</v>
      </c>
      <c r="W1591" s="45">
        <v>1217516</v>
      </c>
      <c r="X1591" s="46">
        <v>4.7232080328509376</v>
      </c>
    </row>
    <row r="1592" spans="1:24" s="4" customFormat="1" ht="15" customHeight="1">
      <c r="A1592" s="79" t="s">
        <v>3955</v>
      </c>
      <c r="B1592" s="80">
        <v>3394.61</v>
      </c>
      <c r="C1592" s="81" t="s">
        <v>4271</v>
      </c>
      <c r="D1592" s="82">
        <v>4952240546</v>
      </c>
      <c r="E1592" s="82" t="s">
        <v>14</v>
      </c>
      <c r="F1592" s="83" t="s">
        <v>4272</v>
      </c>
      <c r="G1592" s="79" t="s">
        <v>9</v>
      </c>
      <c r="H1592" s="2" t="s">
        <v>23</v>
      </c>
      <c r="I1592" s="2">
        <v>3</v>
      </c>
      <c r="J1592" s="2"/>
      <c r="K1592" s="2">
        <v>10130.4</v>
      </c>
      <c r="L1592" s="35">
        <v>34388757.144000001</v>
      </c>
      <c r="M1592" s="36">
        <v>2520</v>
      </c>
      <c r="N1592" s="40">
        <v>890347</v>
      </c>
      <c r="O1592" s="40">
        <v>1717</v>
      </c>
      <c r="P1592" s="40">
        <v>0</v>
      </c>
      <c r="Q1592" s="40">
        <v>33833</v>
      </c>
      <c r="R1592" s="40">
        <v>145723</v>
      </c>
      <c r="S1592" s="40">
        <v>354356</v>
      </c>
      <c r="T1592" s="40">
        <v>30000</v>
      </c>
      <c r="U1592" s="40">
        <v>1148868</v>
      </c>
      <c r="V1592" s="40">
        <v>0</v>
      </c>
      <c r="W1592" s="45">
        <v>2604844</v>
      </c>
      <c r="X1592" s="46">
        <v>7.5746965471663801</v>
      </c>
    </row>
    <row r="1593" spans="1:24" s="4" customFormat="1" ht="15" customHeight="1">
      <c r="A1593" s="79" t="s">
        <v>3955</v>
      </c>
      <c r="B1593" s="80">
        <v>3394.61</v>
      </c>
      <c r="C1593" s="81" t="s">
        <v>4273</v>
      </c>
      <c r="D1593" s="82">
        <v>4952771722</v>
      </c>
      <c r="E1593" s="82" t="s">
        <v>14</v>
      </c>
      <c r="F1593" s="83" t="s">
        <v>4274</v>
      </c>
      <c r="G1593" s="79" t="s">
        <v>5</v>
      </c>
      <c r="H1593" s="2" t="s">
        <v>20</v>
      </c>
      <c r="I1593" s="2">
        <v>1</v>
      </c>
      <c r="J1593" s="2" t="s">
        <v>4275</v>
      </c>
      <c r="K1593" s="2">
        <v>6630</v>
      </c>
      <c r="L1593" s="35">
        <v>22506264.300000001</v>
      </c>
      <c r="M1593" s="36">
        <v>2600</v>
      </c>
      <c r="N1593" s="62">
        <v>99884.892086330903</v>
      </c>
      <c r="O1593" s="40">
        <v>86746.5</v>
      </c>
      <c r="P1593" s="40">
        <v>0</v>
      </c>
      <c r="Q1593" s="40">
        <v>24827.25</v>
      </c>
      <c r="R1593" s="62">
        <v>113673.745803357</v>
      </c>
      <c r="S1593" s="62">
        <v>88376.556354916102</v>
      </c>
      <c r="T1593" s="40">
        <v>30000</v>
      </c>
      <c r="U1593" s="55">
        <v>810426.85851318901</v>
      </c>
      <c r="V1593" s="55">
        <v>0</v>
      </c>
      <c r="W1593" s="45">
        <v>1253935.8027577931</v>
      </c>
      <c r="X1593" s="46">
        <v>5.5714968332518566</v>
      </c>
    </row>
    <row r="1594" spans="1:24" s="4" customFormat="1" ht="15" customHeight="1">
      <c r="A1594" s="79" t="s">
        <v>3955</v>
      </c>
      <c r="B1594" s="80">
        <v>3394.61</v>
      </c>
      <c r="C1594" s="81" t="s">
        <v>4273</v>
      </c>
      <c r="D1594" s="82">
        <v>4952862330</v>
      </c>
      <c r="E1594" s="82" t="s">
        <v>14</v>
      </c>
      <c r="F1594" s="83" t="s">
        <v>4274</v>
      </c>
      <c r="G1594" s="79" t="s">
        <v>5</v>
      </c>
      <c r="H1594" s="2" t="s">
        <v>20</v>
      </c>
      <c r="I1594" s="2">
        <v>1</v>
      </c>
      <c r="J1594" s="2" t="s">
        <v>4275</v>
      </c>
      <c r="K1594" s="2">
        <v>38241</v>
      </c>
      <c r="L1594" s="35">
        <v>129813281.01000001</v>
      </c>
      <c r="M1594" s="36">
        <v>6300</v>
      </c>
      <c r="N1594" s="62">
        <v>242028.77697841701</v>
      </c>
      <c r="O1594" s="40">
        <v>86746.5</v>
      </c>
      <c r="P1594" s="40">
        <v>0</v>
      </c>
      <c r="Q1594" s="40">
        <v>24827.25</v>
      </c>
      <c r="R1594" s="62">
        <v>275440.230215827</v>
      </c>
      <c r="S1594" s="62">
        <v>214143.194244604</v>
      </c>
      <c r="T1594" s="40">
        <v>30000</v>
      </c>
      <c r="U1594" s="55">
        <v>1963726.6187050401</v>
      </c>
      <c r="V1594" s="55">
        <v>0</v>
      </c>
      <c r="W1594" s="45">
        <v>2836912.5701438882</v>
      </c>
      <c r="X1594" s="46">
        <v>2.1853792986908251</v>
      </c>
    </row>
    <row r="1595" spans="1:24" s="4" customFormat="1" ht="15" customHeight="1">
      <c r="A1595" s="79" t="s">
        <v>3955</v>
      </c>
      <c r="B1595" s="80">
        <v>3394.61</v>
      </c>
      <c r="C1595" s="81" t="s">
        <v>4273</v>
      </c>
      <c r="D1595" s="82">
        <v>4952889984</v>
      </c>
      <c r="E1595" s="82" t="s">
        <v>14</v>
      </c>
      <c r="F1595" s="83" t="s">
        <v>4274</v>
      </c>
      <c r="G1595" s="79" t="s">
        <v>5</v>
      </c>
      <c r="H1595" s="2" t="s">
        <v>20</v>
      </c>
      <c r="I1595" s="2">
        <v>1</v>
      </c>
      <c r="J1595" s="2" t="s">
        <v>4275</v>
      </c>
      <c r="K1595" s="2">
        <v>1102.5</v>
      </c>
      <c r="L1595" s="35">
        <v>3742557.5250000004</v>
      </c>
      <c r="M1595" s="36">
        <v>175</v>
      </c>
      <c r="N1595" s="62">
        <v>6723.0215827338097</v>
      </c>
      <c r="O1595" s="40">
        <v>86746.5</v>
      </c>
      <c r="P1595" s="40">
        <v>0</v>
      </c>
      <c r="Q1595" s="40">
        <v>24827.25</v>
      </c>
      <c r="R1595" s="62">
        <v>7651.1175059952002</v>
      </c>
      <c r="S1595" s="62">
        <v>5948.4220623501196</v>
      </c>
      <c r="T1595" s="40">
        <v>30000</v>
      </c>
      <c r="U1595" s="55">
        <v>54547.961630695398</v>
      </c>
      <c r="V1595" s="55">
        <v>0</v>
      </c>
      <c r="W1595" s="45">
        <v>216444.27278177452</v>
      </c>
      <c r="X1595" s="46">
        <v>5.7833252083887343</v>
      </c>
    </row>
    <row r="1596" spans="1:24" s="4" customFormat="1" ht="15" customHeight="1">
      <c r="A1596" s="79" t="s">
        <v>3955</v>
      </c>
      <c r="B1596" s="80">
        <v>3394.61</v>
      </c>
      <c r="C1596" s="81" t="s">
        <v>4273</v>
      </c>
      <c r="D1596" s="82">
        <v>4953089734</v>
      </c>
      <c r="E1596" s="82" t="s">
        <v>14</v>
      </c>
      <c r="F1596" s="83" t="s">
        <v>4274</v>
      </c>
      <c r="G1596" s="79" t="s">
        <v>5</v>
      </c>
      <c r="H1596" s="2" t="s">
        <v>20</v>
      </c>
      <c r="I1596" s="2">
        <v>1</v>
      </c>
      <c r="J1596" s="2" t="s">
        <v>4275</v>
      </c>
      <c r="K1596" s="2">
        <v>4941</v>
      </c>
      <c r="L1596" s="35">
        <v>16772768.01</v>
      </c>
      <c r="M1596" s="36">
        <v>1350</v>
      </c>
      <c r="N1596" s="62">
        <v>51863.309352518001</v>
      </c>
      <c r="O1596" s="40">
        <v>86746.5</v>
      </c>
      <c r="P1596" s="40">
        <v>0</v>
      </c>
      <c r="Q1596" s="40">
        <v>24827.25</v>
      </c>
      <c r="R1596" s="62">
        <v>59022.906474820098</v>
      </c>
      <c r="S1596" s="62">
        <v>45887.8273381295</v>
      </c>
      <c r="T1596" s="40">
        <v>30000</v>
      </c>
      <c r="U1596" s="55">
        <v>420798.56115107902</v>
      </c>
      <c r="V1596" s="55">
        <v>0</v>
      </c>
      <c r="W1596" s="45">
        <v>719146.35431654658</v>
      </c>
      <c r="X1596" s="46">
        <v>4.2875830267716593</v>
      </c>
    </row>
    <row r="1597" spans="1:24" s="4" customFormat="1" ht="15" customHeight="1">
      <c r="A1597" s="79" t="s">
        <v>3955</v>
      </c>
      <c r="B1597" s="80">
        <v>3394.61</v>
      </c>
      <c r="C1597" s="81" t="s">
        <v>4283</v>
      </c>
      <c r="D1597" s="82">
        <v>4953341790</v>
      </c>
      <c r="E1597" s="82" t="s">
        <v>14</v>
      </c>
      <c r="F1597" s="82">
        <v>1028749122</v>
      </c>
      <c r="G1597" s="79" t="s">
        <v>13</v>
      </c>
      <c r="H1597" s="2" t="s">
        <v>23</v>
      </c>
      <c r="I1597" s="2">
        <v>1</v>
      </c>
      <c r="J1597" s="2"/>
      <c r="K1597" s="2">
        <v>3329.6</v>
      </c>
      <c r="L1597" s="35">
        <v>11302693.456</v>
      </c>
      <c r="M1597" s="36">
        <v>80</v>
      </c>
      <c r="N1597" s="40">
        <v>200642</v>
      </c>
      <c r="O1597" s="40">
        <v>0</v>
      </c>
      <c r="P1597" s="40">
        <v>0</v>
      </c>
      <c r="Q1597" s="40">
        <v>0</v>
      </c>
      <c r="R1597" s="40">
        <v>802</v>
      </c>
      <c r="S1597" s="40">
        <v>354356</v>
      </c>
      <c r="T1597" s="40">
        <v>30000</v>
      </c>
      <c r="U1597" s="40">
        <v>246380</v>
      </c>
      <c r="V1597" s="40">
        <v>0</v>
      </c>
      <c r="W1597" s="45">
        <v>832180</v>
      </c>
      <c r="X1597" s="46">
        <v>7.3626698206013881</v>
      </c>
    </row>
    <row r="1598" spans="1:24" s="4" customFormat="1" ht="15" customHeight="1">
      <c r="A1598" s="79" t="s">
        <v>3955</v>
      </c>
      <c r="B1598" s="80">
        <v>3394.61</v>
      </c>
      <c r="C1598" s="81" t="s">
        <v>4288</v>
      </c>
      <c r="D1598" s="82">
        <v>4952862315</v>
      </c>
      <c r="E1598" s="82" t="s">
        <v>14</v>
      </c>
      <c r="F1598" s="82" t="s">
        <v>4289</v>
      </c>
      <c r="G1598" s="79" t="s">
        <v>5</v>
      </c>
      <c r="H1598" s="2" t="s">
        <v>20</v>
      </c>
      <c r="I1598" s="2">
        <v>1</v>
      </c>
      <c r="J1598" s="2" t="s">
        <v>4290</v>
      </c>
      <c r="K1598" s="2">
        <v>18154.5</v>
      </c>
      <c r="L1598" s="35">
        <v>61627447.245000005</v>
      </c>
      <c r="M1598" s="36">
        <v>7350</v>
      </c>
      <c r="N1598" s="40">
        <v>400500</v>
      </c>
      <c r="O1598" s="40">
        <v>346986</v>
      </c>
      <c r="P1598" s="40">
        <v>0</v>
      </c>
      <c r="Q1598" s="40">
        <v>99309</v>
      </c>
      <c r="R1598" s="40">
        <v>446788</v>
      </c>
      <c r="S1598" s="40">
        <v>354356</v>
      </c>
      <c r="T1598" s="40">
        <v>30000</v>
      </c>
      <c r="U1598" s="40">
        <v>2900300</v>
      </c>
      <c r="V1598" s="40">
        <v>0</v>
      </c>
      <c r="W1598" s="45">
        <v>4578239</v>
      </c>
      <c r="X1598" s="46">
        <v>7.4288960595742415</v>
      </c>
    </row>
    <row r="1599" spans="1:24" s="4" customFormat="1" ht="15" customHeight="1">
      <c r="A1599" s="79" t="s">
        <v>3955</v>
      </c>
      <c r="B1599" s="80">
        <v>3394.61</v>
      </c>
      <c r="C1599" s="81" t="s">
        <v>4291</v>
      </c>
      <c r="D1599" s="82">
        <v>4952771728</v>
      </c>
      <c r="E1599" s="82" t="s">
        <v>14</v>
      </c>
      <c r="F1599" s="82" t="s">
        <v>4292</v>
      </c>
      <c r="G1599" s="79" t="s">
        <v>9</v>
      </c>
      <c r="H1599" s="2" t="s">
        <v>23</v>
      </c>
      <c r="I1599" s="2">
        <v>6</v>
      </c>
      <c r="J1599" s="2"/>
      <c r="K1599" s="2">
        <v>5325</v>
      </c>
      <c r="L1599" s="35">
        <v>18076298.25</v>
      </c>
      <c r="M1599" s="36">
        <v>3750</v>
      </c>
      <c r="N1599" s="62">
        <v>152443.77049180301</v>
      </c>
      <c r="O1599" s="40">
        <v>1408.5</v>
      </c>
      <c r="P1599" s="40">
        <v>0</v>
      </c>
      <c r="Q1599" s="40">
        <v>27590</v>
      </c>
      <c r="R1599" s="62">
        <v>29925.9508196721</v>
      </c>
      <c r="S1599" s="62">
        <v>63900.262295082</v>
      </c>
      <c r="T1599" s="40">
        <v>30000</v>
      </c>
      <c r="U1599" s="55">
        <v>376073.77049180301</v>
      </c>
      <c r="V1599" s="55">
        <v>0</v>
      </c>
      <c r="W1599" s="45">
        <v>681342.25409836008</v>
      </c>
      <c r="X1599" s="46">
        <v>3.7692576470868975</v>
      </c>
    </row>
    <row r="1600" spans="1:24" s="4" customFormat="1" ht="15" customHeight="1">
      <c r="A1600" s="79" t="s">
        <v>3955</v>
      </c>
      <c r="B1600" s="80">
        <v>3394.61</v>
      </c>
      <c r="C1600" s="81" t="s">
        <v>4291</v>
      </c>
      <c r="D1600" s="82">
        <v>4952862307</v>
      </c>
      <c r="E1600" s="82" t="s">
        <v>14</v>
      </c>
      <c r="F1600" s="82" t="s">
        <v>4292</v>
      </c>
      <c r="G1600" s="79" t="s">
        <v>9</v>
      </c>
      <c r="H1600" s="2" t="s">
        <v>23</v>
      </c>
      <c r="I1600" s="2">
        <v>6</v>
      </c>
      <c r="J1600" s="2"/>
      <c r="K1600" s="2">
        <v>1688.4</v>
      </c>
      <c r="L1600" s="35">
        <v>5731459.5240000002</v>
      </c>
      <c r="M1600" s="36">
        <v>360</v>
      </c>
      <c r="N1600" s="62">
        <v>692926.22950819705</v>
      </c>
      <c r="O1600" s="40">
        <v>1408.5</v>
      </c>
      <c r="P1600" s="40">
        <v>0</v>
      </c>
      <c r="Q1600" s="40">
        <v>27590</v>
      </c>
      <c r="R1600" s="62">
        <v>136027.049180328</v>
      </c>
      <c r="S1600" s="62">
        <v>290455.73770491802</v>
      </c>
      <c r="T1600" s="40">
        <v>30000</v>
      </c>
      <c r="U1600" s="55">
        <v>1709426.2295082</v>
      </c>
      <c r="V1600" s="55">
        <v>0</v>
      </c>
      <c r="W1600" s="45">
        <v>2887833.7459016433</v>
      </c>
      <c r="X1600" s="46">
        <v>50.385660647328748</v>
      </c>
    </row>
    <row r="1601" spans="1:24" s="4" customFormat="1" ht="15" customHeight="1">
      <c r="A1601" s="79" t="s">
        <v>3955</v>
      </c>
      <c r="B1601" s="80">
        <v>3394.61</v>
      </c>
      <c r="C1601" s="81" t="s">
        <v>4293</v>
      </c>
      <c r="D1601" s="82">
        <v>4952104504</v>
      </c>
      <c r="E1601" s="82" t="s">
        <v>14</v>
      </c>
      <c r="F1601" s="82" t="s">
        <v>4294</v>
      </c>
      <c r="G1601" s="79" t="s">
        <v>5</v>
      </c>
      <c r="H1601" s="2" t="s">
        <v>26</v>
      </c>
      <c r="I1601" s="2">
        <v>1</v>
      </c>
      <c r="J1601" s="2" t="s">
        <v>4295</v>
      </c>
      <c r="K1601" s="2">
        <v>31960</v>
      </c>
      <c r="L1601" s="35">
        <v>108491735.60000001</v>
      </c>
      <c r="M1601" s="36">
        <v>18800</v>
      </c>
      <c r="N1601" s="40">
        <v>356589</v>
      </c>
      <c r="O1601" s="40">
        <v>125000</v>
      </c>
      <c r="P1601" s="40">
        <v>1848564</v>
      </c>
      <c r="Q1601" s="40">
        <v>99309</v>
      </c>
      <c r="R1601" s="40">
        <v>530253</v>
      </c>
      <c r="S1601" s="40">
        <v>354356</v>
      </c>
      <c r="T1601" s="40">
        <v>30000</v>
      </c>
      <c r="U1601" s="40">
        <v>0</v>
      </c>
      <c r="V1601" s="40">
        <v>0</v>
      </c>
      <c r="W1601" s="45">
        <v>3344071</v>
      </c>
      <c r="X1601" s="46">
        <v>3.0823278671928627</v>
      </c>
    </row>
    <row r="1602" spans="1:24" s="4" customFormat="1" ht="15" customHeight="1">
      <c r="A1602" s="79" t="s">
        <v>3955</v>
      </c>
      <c r="B1602" s="80">
        <v>3394.61</v>
      </c>
      <c r="C1602" s="81" t="s">
        <v>4299</v>
      </c>
      <c r="D1602" s="82">
        <v>4952351984</v>
      </c>
      <c r="E1602" s="82" t="s">
        <v>14</v>
      </c>
      <c r="F1602" s="82" t="s">
        <v>4300</v>
      </c>
      <c r="G1602" s="79" t="s">
        <v>5</v>
      </c>
      <c r="H1602" s="2" t="s">
        <v>20</v>
      </c>
      <c r="I1602" s="2">
        <v>1</v>
      </c>
      <c r="J1602" s="2" t="s">
        <v>4301</v>
      </c>
      <c r="K1602" s="2">
        <v>3082</v>
      </c>
      <c r="L1602" s="35">
        <v>10462188.02</v>
      </c>
      <c r="M1602" s="36">
        <v>200</v>
      </c>
      <c r="N1602" s="40">
        <v>57402.292418772602</v>
      </c>
      <c r="O1602" s="40">
        <v>115662</v>
      </c>
      <c r="P1602" s="40">
        <v>0</v>
      </c>
      <c r="Q1602" s="40">
        <v>33103</v>
      </c>
      <c r="R1602" s="40">
        <v>76699.981949458495</v>
      </c>
      <c r="S1602" s="40">
        <v>57566.8592057762</v>
      </c>
      <c r="T1602" s="40">
        <v>30000</v>
      </c>
      <c r="U1602" s="40">
        <v>638203.97111913399</v>
      </c>
      <c r="V1602" s="40">
        <v>0</v>
      </c>
      <c r="W1602" s="45">
        <v>1008638.1046931413</v>
      </c>
      <c r="X1602" s="46">
        <v>9.6407950494197046</v>
      </c>
    </row>
    <row r="1603" spans="1:24" s="4" customFormat="1" ht="15" customHeight="1">
      <c r="A1603" s="79" t="s">
        <v>3955</v>
      </c>
      <c r="B1603" s="80">
        <v>3394.61</v>
      </c>
      <c r="C1603" s="81" t="s">
        <v>4299</v>
      </c>
      <c r="D1603" s="82">
        <v>4951929645</v>
      </c>
      <c r="E1603" s="82" t="s">
        <v>14</v>
      </c>
      <c r="F1603" s="82" t="s">
        <v>4300</v>
      </c>
      <c r="G1603" s="79" t="s">
        <v>5</v>
      </c>
      <c r="H1603" s="2" t="s">
        <v>20</v>
      </c>
      <c r="I1603" s="2">
        <v>1</v>
      </c>
      <c r="J1603" s="2" t="s">
        <v>4301</v>
      </c>
      <c r="K1603" s="2">
        <v>5827.5</v>
      </c>
      <c r="L1603" s="35">
        <v>19782089.775000002</v>
      </c>
      <c r="M1603" s="36">
        <v>2250</v>
      </c>
      <c r="N1603" s="40">
        <v>103071.28158844799</v>
      </c>
      <c r="O1603" s="40">
        <v>115662</v>
      </c>
      <c r="P1603" s="40">
        <v>22852.202166064999</v>
      </c>
      <c r="Q1603" s="40">
        <v>33103</v>
      </c>
      <c r="R1603" s="40">
        <v>197502.563176895</v>
      </c>
      <c r="S1603" s="40">
        <v>57566.8592057762</v>
      </c>
      <c r="T1603" s="40">
        <v>30000</v>
      </c>
      <c r="U1603" s="55">
        <v>1040425.9927797799</v>
      </c>
      <c r="V1603" s="55">
        <v>0</v>
      </c>
      <c r="W1603" s="45">
        <v>1600183.8989169642</v>
      </c>
      <c r="X1603" s="46">
        <v>8.0890538720495933</v>
      </c>
    </row>
    <row r="1604" spans="1:24" s="4" customFormat="1" ht="15" customHeight="1">
      <c r="A1604" s="79" t="s">
        <v>3955</v>
      </c>
      <c r="B1604" s="80">
        <v>3394.61</v>
      </c>
      <c r="C1604" s="81" t="s">
        <v>4299</v>
      </c>
      <c r="D1604" s="82">
        <v>4952367497</v>
      </c>
      <c r="E1604" s="82" t="s">
        <v>14</v>
      </c>
      <c r="F1604" s="82" t="s">
        <v>4300</v>
      </c>
      <c r="G1604" s="79" t="s">
        <v>5</v>
      </c>
      <c r="H1604" s="2" t="s">
        <v>20</v>
      </c>
      <c r="I1604" s="2">
        <v>1</v>
      </c>
      <c r="J1604" s="2" t="s">
        <v>4301</v>
      </c>
      <c r="K1604" s="2">
        <v>23256</v>
      </c>
      <c r="L1604" s="35">
        <v>78945050.159999996</v>
      </c>
      <c r="M1604" s="36">
        <v>11400</v>
      </c>
      <c r="N1604" s="40">
        <v>9161.8916967508994</v>
      </c>
      <c r="O1604" s="40">
        <v>115662</v>
      </c>
      <c r="P1604" s="40">
        <v>2031.30685920578</v>
      </c>
      <c r="Q1604" s="40">
        <v>33103</v>
      </c>
      <c r="R1604" s="40">
        <v>17555.783393501799</v>
      </c>
      <c r="S1604" s="40">
        <v>5117.0541516245503</v>
      </c>
      <c r="T1604" s="40">
        <v>30000</v>
      </c>
      <c r="U1604" s="55">
        <v>92482.310469314107</v>
      </c>
      <c r="V1604" s="55">
        <v>0</v>
      </c>
      <c r="W1604" s="45">
        <v>305113.34657039715</v>
      </c>
      <c r="X1604" s="46">
        <v>0.38648825474430121</v>
      </c>
    </row>
    <row r="1605" spans="1:24" s="4" customFormat="1" ht="15" customHeight="1">
      <c r="A1605" s="79" t="s">
        <v>3955</v>
      </c>
      <c r="B1605" s="80">
        <v>3394.61</v>
      </c>
      <c r="C1605" s="81" t="s">
        <v>4302</v>
      </c>
      <c r="D1605" s="82">
        <v>4952104505</v>
      </c>
      <c r="E1605" s="82" t="s">
        <v>14</v>
      </c>
      <c r="F1605" s="82" t="s">
        <v>4303</v>
      </c>
      <c r="G1605" s="79" t="s">
        <v>5</v>
      </c>
      <c r="H1605" s="2" t="s">
        <v>26</v>
      </c>
      <c r="I1605" s="2">
        <v>1</v>
      </c>
      <c r="J1605" s="2" t="s">
        <v>4304</v>
      </c>
      <c r="K1605" s="2">
        <v>32198</v>
      </c>
      <c r="L1605" s="35">
        <v>109299652.78</v>
      </c>
      <c r="M1605" s="36">
        <v>18940</v>
      </c>
      <c r="N1605" s="40">
        <v>344452</v>
      </c>
      <c r="O1605" s="40">
        <v>125000</v>
      </c>
      <c r="P1605" s="40">
        <v>2089681</v>
      </c>
      <c r="Q1605" s="40">
        <v>99309</v>
      </c>
      <c r="R1605" s="40">
        <v>531169</v>
      </c>
      <c r="S1605" s="40">
        <v>354356</v>
      </c>
      <c r="T1605" s="40">
        <v>30000</v>
      </c>
      <c r="U1605" s="40">
        <v>0</v>
      </c>
      <c r="V1605" s="40">
        <v>0</v>
      </c>
      <c r="W1605" s="45">
        <v>3573967</v>
      </c>
      <c r="X1605" s="46">
        <v>3.2698795550556188</v>
      </c>
    </row>
    <row r="1606" spans="1:24" s="4" customFormat="1" ht="15" customHeight="1">
      <c r="A1606" s="79" t="s">
        <v>3955</v>
      </c>
      <c r="B1606" s="80">
        <v>3394.61</v>
      </c>
      <c r="C1606" s="81" t="s">
        <v>4305</v>
      </c>
      <c r="D1606" s="82" t="s">
        <v>4306</v>
      </c>
      <c r="E1606" s="82" t="s">
        <v>14</v>
      </c>
      <c r="F1606" s="82" t="s">
        <v>4307</v>
      </c>
      <c r="G1606" s="79" t="s">
        <v>5</v>
      </c>
      <c r="H1606" s="2" t="s">
        <v>20</v>
      </c>
      <c r="I1606" s="2">
        <v>1</v>
      </c>
      <c r="J1606" s="2" t="s">
        <v>4308</v>
      </c>
      <c r="K1606" s="2">
        <v>23580</v>
      </c>
      <c r="L1606" s="35">
        <v>80044903.799999997</v>
      </c>
      <c r="M1606" s="36">
        <v>18000</v>
      </c>
      <c r="N1606" s="40">
        <v>398532</v>
      </c>
      <c r="O1606" s="40">
        <v>346986</v>
      </c>
      <c r="P1606" s="40">
        <v>0</v>
      </c>
      <c r="Q1606" s="40">
        <v>99309</v>
      </c>
      <c r="R1606" s="40">
        <v>440425</v>
      </c>
      <c r="S1606" s="40">
        <v>354356</v>
      </c>
      <c r="T1606" s="40">
        <v>30000</v>
      </c>
      <c r="U1606" s="40">
        <v>6404400</v>
      </c>
      <c r="V1606" s="40">
        <v>0</v>
      </c>
      <c r="W1606" s="45">
        <v>8074008</v>
      </c>
      <c r="X1606" s="46">
        <v>10.086848277279085</v>
      </c>
    </row>
    <row r="1607" spans="1:24" s="4" customFormat="1" ht="15" customHeight="1">
      <c r="A1607" s="79" t="s">
        <v>3955</v>
      </c>
      <c r="B1607" s="80">
        <v>3394.61</v>
      </c>
      <c r="C1607" s="81" t="s">
        <v>4309</v>
      </c>
      <c r="D1607" s="82">
        <v>4952973700</v>
      </c>
      <c r="E1607" s="82" t="s">
        <v>14</v>
      </c>
      <c r="F1607" s="82" t="s">
        <v>4310</v>
      </c>
      <c r="G1607" s="79" t="s">
        <v>9</v>
      </c>
      <c r="H1607" s="2" t="s">
        <v>23</v>
      </c>
      <c r="I1607" s="2">
        <v>2</v>
      </c>
      <c r="J1607" s="2"/>
      <c r="K1607" s="2">
        <v>3712.8</v>
      </c>
      <c r="L1607" s="35">
        <v>12603508.008000001</v>
      </c>
      <c r="M1607" s="36">
        <v>840</v>
      </c>
      <c r="N1607" s="40">
        <v>533093</v>
      </c>
      <c r="O1607" s="40">
        <v>584</v>
      </c>
      <c r="P1607" s="40">
        <v>0</v>
      </c>
      <c r="Q1607" s="40">
        <v>11277</v>
      </c>
      <c r="R1607" s="40">
        <v>100579</v>
      </c>
      <c r="S1607" s="40">
        <v>354356</v>
      </c>
      <c r="T1607" s="40">
        <v>30000</v>
      </c>
      <c r="U1607" s="40">
        <v>700529.26829268294</v>
      </c>
      <c r="V1607" s="40">
        <v>0</v>
      </c>
      <c r="W1607" s="45">
        <v>1730418.2682926829</v>
      </c>
      <c r="X1607" s="46">
        <v>13.729655800546247</v>
      </c>
    </row>
    <row r="1608" spans="1:24" s="4" customFormat="1" ht="15" customHeight="1">
      <c r="A1608" s="79" t="s">
        <v>3955</v>
      </c>
      <c r="B1608" s="80">
        <v>3394.61</v>
      </c>
      <c r="C1608" s="81" t="s">
        <v>4319</v>
      </c>
      <c r="D1608" s="82">
        <v>4951348212</v>
      </c>
      <c r="E1608" s="82" t="s">
        <v>14</v>
      </c>
      <c r="F1608" s="82" t="s">
        <v>4320</v>
      </c>
      <c r="G1608" s="79" t="s">
        <v>5</v>
      </c>
      <c r="H1608" s="2" t="s">
        <v>17</v>
      </c>
      <c r="I1608" s="2">
        <v>1</v>
      </c>
      <c r="J1608" s="2" t="s">
        <v>4321</v>
      </c>
      <c r="K1608" s="2">
        <v>6296.4</v>
      </c>
      <c r="L1608" s="35">
        <v>21373822.403999999</v>
      </c>
      <c r="M1608" s="36">
        <v>220</v>
      </c>
      <c r="N1608" s="40">
        <v>6113.6814785686202</v>
      </c>
      <c r="O1608" s="40">
        <v>45520.5</v>
      </c>
      <c r="P1608" s="40">
        <v>8487.8301219032601</v>
      </c>
      <c r="Q1608" s="40">
        <v>9930.9</v>
      </c>
      <c r="R1608" s="40">
        <v>8432.4970507274902</v>
      </c>
      <c r="S1608" s="40">
        <v>6131.2088084939096</v>
      </c>
      <c r="T1608" s="40">
        <v>30000</v>
      </c>
      <c r="U1608" s="40">
        <v>103841.211167912</v>
      </c>
      <c r="V1608" s="40">
        <v>0</v>
      </c>
      <c r="W1608" s="45">
        <v>218457.82862760528</v>
      </c>
      <c r="X1608" s="46">
        <v>1.0220812379666917</v>
      </c>
    </row>
    <row r="1609" spans="1:24" s="4" customFormat="1" ht="15" customHeight="1">
      <c r="A1609" s="79" t="s">
        <v>3955</v>
      </c>
      <c r="B1609" s="80">
        <v>3394.61</v>
      </c>
      <c r="C1609" s="81" t="s">
        <v>4319</v>
      </c>
      <c r="D1609" s="82">
        <v>4952547961</v>
      </c>
      <c r="E1609" s="82" t="s">
        <v>14</v>
      </c>
      <c r="F1609" s="82" t="s">
        <v>4320</v>
      </c>
      <c r="G1609" s="79" t="s">
        <v>5</v>
      </c>
      <c r="H1609" s="2" t="s">
        <v>17</v>
      </c>
      <c r="I1609" s="2">
        <v>1</v>
      </c>
      <c r="J1609" s="2" t="s">
        <v>4321</v>
      </c>
      <c r="K1609" s="2">
        <v>800</v>
      </c>
      <c r="L1609" s="35">
        <v>2715688</v>
      </c>
      <c r="M1609" s="36">
        <v>1000</v>
      </c>
      <c r="N1609" s="40">
        <v>27789.461266220998</v>
      </c>
      <c r="O1609" s="40">
        <v>45520.5</v>
      </c>
      <c r="P1609" s="40">
        <v>38581.046008651203</v>
      </c>
      <c r="Q1609" s="40">
        <v>9930.9</v>
      </c>
      <c r="R1609" s="40">
        <v>38329.532048761299</v>
      </c>
      <c r="S1609" s="40">
        <v>27869.130947699599</v>
      </c>
      <c r="T1609" s="40">
        <v>30000</v>
      </c>
      <c r="U1609" s="55">
        <v>472005.505308691</v>
      </c>
      <c r="V1609" s="55">
        <v>0</v>
      </c>
      <c r="W1609" s="45">
        <v>690026.07558002416</v>
      </c>
      <c r="X1609" s="46">
        <v>25.408886277805998</v>
      </c>
    </row>
    <row r="1610" spans="1:24" s="4" customFormat="1" ht="15" customHeight="1">
      <c r="A1610" s="79" t="s">
        <v>3955</v>
      </c>
      <c r="B1610" s="80">
        <v>3394.61</v>
      </c>
      <c r="C1610" s="81" t="s">
        <v>4319</v>
      </c>
      <c r="D1610" s="82">
        <v>4952698978</v>
      </c>
      <c r="E1610" s="82" t="s">
        <v>14</v>
      </c>
      <c r="F1610" s="82" t="s">
        <v>4320</v>
      </c>
      <c r="G1610" s="79" t="s">
        <v>5</v>
      </c>
      <c r="H1610" s="2" t="s">
        <v>17</v>
      </c>
      <c r="I1610" s="2">
        <v>1</v>
      </c>
      <c r="J1610" s="2" t="s">
        <v>4321</v>
      </c>
      <c r="K1610" s="2">
        <v>1719</v>
      </c>
      <c r="L1610" s="35">
        <v>5835334.5899999999</v>
      </c>
      <c r="M1610" s="36">
        <v>900</v>
      </c>
      <c r="N1610" s="40">
        <v>25010.515139598901</v>
      </c>
      <c r="O1610" s="40">
        <v>45520.5</v>
      </c>
      <c r="P1610" s="40">
        <v>34722.9414077861</v>
      </c>
      <c r="Q1610" s="40">
        <v>9930.9</v>
      </c>
      <c r="R1610" s="40">
        <v>34496.578843885203</v>
      </c>
      <c r="S1610" s="40">
        <v>25082.2178529296</v>
      </c>
      <c r="T1610" s="40">
        <v>30000</v>
      </c>
      <c r="U1610" s="55">
        <v>424804.95477782103</v>
      </c>
      <c r="V1610" s="55">
        <v>0</v>
      </c>
      <c r="W1610" s="45">
        <v>629568.6080220209</v>
      </c>
      <c r="X1610" s="46">
        <v>10.788903332139878</v>
      </c>
    </row>
    <row r="1611" spans="1:24" s="4" customFormat="1" ht="15" customHeight="1">
      <c r="A1611" s="79" t="s">
        <v>3955</v>
      </c>
      <c r="B1611" s="80">
        <v>3394.61</v>
      </c>
      <c r="C1611" s="81" t="s">
        <v>4319</v>
      </c>
      <c r="D1611" s="82">
        <v>4951102534</v>
      </c>
      <c r="E1611" s="82" t="s">
        <v>14</v>
      </c>
      <c r="F1611" s="82" t="s">
        <v>4320</v>
      </c>
      <c r="G1611" s="79" t="s">
        <v>5</v>
      </c>
      <c r="H1611" s="2" t="s">
        <v>17</v>
      </c>
      <c r="I1611" s="2">
        <v>1</v>
      </c>
      <c r="J1611" s="2" t="s">
        <v>4321</v>
      </c>
      <c r="K1611" s="2">
        <v>6520</v>
      </c>
      <c r="L1611" s="35">
        <v>22132857.199999999</v>
      </c>
      <c r="M1611" s="36">
        <v>3200</v>
      </c>
      <c r="N1611" s="40">
        <v>111157.84506488399</v>
      </c>
      <c r="O1611" s="40">
        <v>45520.5</v>
      </c>
      <c r="P1611" s="40">
        <v>154324.18403460499</v>
      </c>
      <c r="Q1611" s="40">
        <v>9930.9</v>
      </c>
      <c r="R1611" s="40">
        <v>153318.12819504499</v>
      </c>
      <c r="S1611" s="40">
        <v>111476.523790798</v>
      </c>
      <c r="T1611" s="40">
        <v>30000</v>
      </c>
      <c r="U1611" s="55">
        <v>1888022.0212347601</v>
      </c>
      <c r="V1611" s="55">
        <v>0</v>
      </c>
      <c r="W1611" s="45">
        <v>2503750.1023200918</v>
      </c>
      <c r="X1611" s="46">
        <v>11.312367308456189</v>
      </c>
    </row>
    <row r="1612" spans="1:24" s="4" customFormat="1" ht="15" customHeight="1">
      <c r="A1612" s="79" t="s">
        <v>3955</v>
      </c>
      <c r="B1612" s="80">
        <v>3394.61</v>
      </c>
      <c r="C1612" s="81" t="s">
        <v>4319</v>
      </c>
      <c r="D1612" s="82">
        <v>4952244149</v>
      </c>
      <c r="E1612" s="82" t="s">
        <v>14</v>
      </c>
      <c r="F1612" s="82" t="s">
        <v>4320</v>
      </c>
      <c r="G1612" s="79" t="s">
        <v>5</v>
      </c>
      <c r="H1612" s="2" t="s">
        <v>17</v>
      </c>
      <c r="I1612" s="2">
        <v>1</v>
      </c>
      <c r="J1612" s="2" t="s">
        <v>4321</v>
      </c>
      <c r="K1612" s="2">
        <v>6120</v>
      </c>
      <c r="L1612" s="35">
        <v>20775013.199999999</v>
      </c>
      <c r="M1612" s="36">
        <v>2400</v>
      </c>
      <c r="N1612" s="40">
        <v>66694.707038930399</v>
      </c>
      <c r="O1612" s="40">
        <v>45520.5</v>
      </c>
      <c r="P1612" s="40">
        <v>92594.510420762905</v>
      </c>
      <c r="Q1612" s="40">
        <v>9930.9</v>
      </c>
      <c r="R1612" s="40">
        <v>91990.876917027097</v>
      </c>
      <c r="S1612" s="40">
        <v>66885.914274479001</v>
      </c>
      <c r="T1612" s="40">
        <v>30000</v>
      </c>
      <c r="U1612" s="55">
        <v>1132813.2127408599</v>
      </c>
      <c r="V1612" s="55">
        <v>0</v>
      </c>
      <c r="W1612" s="45">
        <v>1536430.6213920594</v>
      </c>
      <c r="X1612" s="46">
        <v>7.3955698925479361</v>
      </c>
    </row>
    <row r="1613" spans="1:24" s="4" customFormat="1" ht="15" customHeight="1">
      <c r="A1613" s="79" t="s">
        <v>3955</v>
      </c>
      <c r="B1613" s="80">
        <v>3394.61</v>
      </c>
      <c r="C1613" s="81" t="s">
        <v>4319</v>
      </c>
      <c r="D1613" s="82">
        <v>4952351998</v>
      </c>
      <c r="E1613" s="82" t="s">
        <v>14</v>
      </c>
      <c r="F1613" s="82" t="s">
        <v>4320</v>
      </c>
      <c r="G1613" s="79" t="s">
        <v>5</v>
      </c>
      <c r="H1613" s="2" t="s">
        <v>17</v>
      </c>
      <c r="I1613" s="2">
        <v>1</v>
      </c>
      <c r="J1613" s="2" t="s">
        <v>4321</v>
      </c>
      <c r="K1613" s="2">
        <v>3582</v>
      </c>
      <c r="L1613" s="35">
        <v>12159493.02</v>
      </c>
      <c r="M1613" s="36">
        <v>1800</v>
      </c>
      <c r="N1613" s="40">
        <v>50021.030279197803</v>
      </c>
      <c r="O1613" s="40">
        <v>45520.5</v>
      </c>
      <c r="P1613" s="40">
        <v>69445.8828155722</v>
      </c>
      <c r="Q1613" s="40">
        <v>9930.9</v>
      </c>
      <c r="R1613" s="40">
        <v>68993.157687770305</v>
      </c>
      <c r="S1613" s="40">
        <v>50164.4357058592</v>
      </c>
      <c r="T1613" s="40">
        <v>30000</v>
      </c>
      <c r="U1613" s="55">
        <v>849609.90955564298</v>
      </c>
      <c r="V1613" s="55">
        <v>0</v>
      </c>
      <c r="W1613" s="45">
        <v>1173685.8160440424</v>
      </c>
      <c r="X1613" s="46">
        <v>9.6524239465704493</v>
      </c>
    </row>
    <row r="1614" spans="1:24" s="4" customFormat="1" ht="15" customHeight="1">
      <c r="A1614" s="79" t="s">
        <v>3955</v>
      </c>
      <c r="B1614" s="80">
        <v>3394.61</v>
      </c>
      <c r="C1614" s="81" t="s">
        <v>4319</v>
      </c>
      <c r="D1614" s="82">
        <v>4952701172</v>
      </c>
      <c r="E1614" s="82" t="s">
        <v>14</v>
      </c>
      <c r="F1614" s="82" t="s">
        <v>4320</v>
      </c>
      <c r="G1614" s="79" t="s">
        <v>5</v>
      </c>
      <c r="H1614" s="2" t="s">
        <v>17</v>
      </c>
      <c r="I1614" s="2">
        <v>1</v>
      </c>
      <c r="J1614" s="2" t="s">
        <v>4321</v>
      </c>
      <c r="K1614" s="2">
        <v>531.20000000000005</v>
      </c>
      <c r="L1614" s="35">
        <v>1803216.8320000002</v>
      </c>
      <c r="M1614" s="36">
        <v>40</v>
      </c>
      <c r="N1614" s="40">
        <v>1111.5784506488401</v>
      </c>
      <c r="O1614" s="40">
        <v>45520.5</v>
      </c>
      <c r="P1614" s="40">
        <v>1543.2418403460499</v>
      </c>
      <c r="Q1614" s="40">
        <v>9930.9</v>
      </c>
      <c r="R1614" s="40">
        <v>1533.1812819504501</v>
      </c>
      <c r="S1614" s="40">
        <v>1114.76523790798</v>
      </c>
      <c r="T1614" s="40">
        <v>30000</v>
      </c>
      <c r="U1614" s="55">
        <v>18880.220212347602</v>
      </c>
      <c r="V1614" s="55">
        <v>0</v>
      </c>
      <c r="W1614" s="45">
        <v>109634.38702320092</v>
      </c>
      <c r="X1614" s="46">
        <v>6.0799336539911417</v>
      </c>
    </row>
    <row r="1615" spans="1:24" s="4" customFormat="1" ht="15" customHeight="1">
      <c r="A1615" s="79" t="s">
        <v>3955</v>
      </c>
      <c r="B1615" s="80">
        <v>3394.61</v>
      </c>
      <c r="C1615" s="81" t="s">
        <v>4319</v>
      </c>
      <c r="D1615" s="82">
        <v>4952701172</v>
      </c>
      <c r="E1615" s="82" t="s">
        <v>14</v>
      </c>
      <c r="F1615" s="82" t="s">
        <v>4320</v>
      </c>
      <c r="G1615" s="79" t="s">
        <v>5</v>
      </c>
      <c r="H1615" s="2" t="s">
        <v>17</v>
      </c>
      <c r="I1615" s="2">
        <v>1</v>
      </c>
      <c r="J1615" s="2" t="s">
        <v>4321</v>
      </c>
      <c r="K1615" s="2">
        <v>12747</v>
      </c>
      <c r="L1615" s="35">
        <v>43271093.670000002</v>
      </c>
      <c r="M1615" s="36">
        <v>2100</v>
      </c>
      <c r="N1615" s="40">
        <v>58357.868659064101</v>
      </c>
      <c r="O1615" s="40">
        <v>45520.5</v>
      </c>
      <c r="P1615" s="40">
        <v>81020.196618167494</v>
      </c>
      <c r="Q1615" s="40">
        <v>9930.9</v>
      </c>
      <c r="R1615" s="40">
        <v>80492.017302398701</v>
      </c>
      <c r="S1615" s="40">
        <v>58525.1749901691</v>
      </c>
      <c r="T1615" s="40">
        <v>30000</v>
      </c>
      <c r="U1615" s="55">
        <v>991211.56114825001</v>
      </c>
      <c r="V1615" s="55">
        <v>0</v>
      </c>
      <c r="W1615" s="45">
        <v>1355058.2187180493</v>
      </c>
      <c r="X1615" s="46">
        <v>3.1315552804192603</v>
      </c>
    </row>
    <row r="1616" spans="1:24" s="4" customFormat="1" ht="15" customHeight="1">
      <c r="A1616" s="79" t="s">
        <v>3955</v>
      </c>
      <c r="B1616" s="80">
        <v>3394.61</v>
      </c>
      <c r="C1616" s="81" t="s">
        <v>4319</v>
      </c>
      <c r="D1616" s="82">
        <v>4952701172</v>
      </c>
      <c r="E1616" s="82" t="s">
        <v>14</v>
      </c>
      <c r="F1616" s="82" t="s">
        <v>4320</v>
      </c>
      <c r="G1616" s="79" t="s">
        <v>5</v>
      </c>
      <c r="H1616" s="2" t="s">
        <v>17</v>
      </c>
      <c r="I1616" s="2">
        <v>1</v>
      </c>
      <c r="J1616" s="2" t="s">
        <v>4321</v>
      </c>
      <c r="K1616" s="2">
        <v>724</v>
      </c>
      <c r="L1616" s="35">
        <v>2457697.64</v>
      </c>
      <c r="M1616" s="36">
        <v>80</v>
      </c>
      <c r="N1616" s="40">
        <v>2223.1569012976802</v>
      </c>
      <c r="O1616" s="40">
        <v>45520.5</v>
      </c>
      <c r="P1616" s="40">
        <v>3086.4836806920998</v>
      </c>
      <c r="Q1616" s="40">
        <v>9930.9</v>
      </c>
      <c r="R1616" s="40">
        <v>3066.3625639009001</v>
      </c>
      <c r="S1616" s="40">
        <v>2229.53047581597</v>
      </c>
      <c r="T1616" s="40">
        <v>30000</v>
      </c>
      <c r="U1616" s="55">
        <v>37760.440424695204</v>
      </c>
      <c r="V1616" s="55">
        <v>0</v>
      </c>
      <c r="W1616" s="45">
        <v>133817.37404640188</v>
      </c>
      <c r="X1616" s="46">
        <v>5.4448265672909173</v>
      </c>
    </row>
    <row r="1617" spans="1:24" s="4" customFormat="1" ht="15" customHeight="1">
      <c r="A1617" s="79" t="s">
        <v>3955</v>
      </c>
      <c r="B1617" s="80">
        <v>3394.61</v>
      </c>
      <c r="C1617" s="81" t="s">
        <v>4319</v>
      </c>
      <c r="D1617" s="82">
        <v>4952244845</v>
      </c>
      <c r="E1617" s="82" t="s">
        <v>14</v>
      </c>
      <c r="F1617" s="82" t="s">
        <v>4320</v>
      </c>
      <c r="G1617" s="79" t="s">
        <v>5</v>
      </c>
      <c r="H1617" s="2" t="s">
        <v>17</v>
      </c>
      <c r="I1617" s="2">
        <v>1</v>
      </c>
      <c r="J1617" s="2" t="s">
        <v>4321</v>
      </c>
      <c r="K1617" s="2">
        <v>2696.75</v>
      </c>
      <c r="L1617" s="35">
        <v>9154414.5175000001</v>
      </c>
      <c r="M1617" s="36">
        <v>175</v>
      </c>
      <c r="N1617" s="40">
        <v>4863.1557215886796</v>
      </c>
      <c r="O1617" s="40">
        <v>45520.5</v>
      </c>
      <c r="P1617" s="40">
        <v>6751.68305151396</v>
      </c>
      <c r="Q1617" s="40">
        <v>9930.9</v>
      </c>
      <c r="R1617" s="40">
        <v>6707.6681085332302</v>
      </c>
      <c r="S1617" s="40">
        <v>4877.0979158474202</v>
      </c>
      <c r="T1617" s="40">
        <v>30000</v>
      </c>
      <c r="U1617" s="55">
        <v>82600.963429020805</v>
      </c>
      <c r="V1617" s="55">
        <v>0</v>
      </c>
      <c r="W1617" s="45">
        <v>191251.9682265041</v>
      </c>
      <c r="X1617" s="46">
        <v>2.089177498581674</v>
      </c>
    </row>
    <row r="1618" spans="1:24" s="4" customFormat="1" ht="15" customHeight="1">
      <c r="A1618" s="79" t="s">
        <v>3955</v>
      </c>
      <c r="B1618" s="80">
        <v>3394.61</v>
      </c>
      <c r="C1618" s="81" t="s">
        <v>4324</v>
      </c>
      <c r="D1618" s="82">
        <v>4953089723</v>
      </c>
      <c r="E1618" s="82" t="s">
        <v>14</v>
      </c>
      <c r="F1618" s="83" t="s">
        <v>4325</v>
      </c>
      <c r="G1618" s="79" t="s">
        <v>9</v>
      </c>
      <c r="H1618" s="2" t="s">
        <v>23</v>
      </c>
      <c r="I1618" s="2">
        <v>1</v>
      </c>
      <c r="J1618" s="2"/>
      <c r="K1618" s="2">
        <v>2400</v>
      </c>
      <c r="L1618" s="35">
        <v>8147064</v>
      </c>
      <c r="M1618" s="36">
        <v>800</v>
      </c>
      <c r="N1618" s="40">
        <v>507269</v>
      </c>
      <c r="O1618" s="40">
        <v>549</v>
      </c>
      <c r="P1618" s="40">
        <v>0</v>
      </c>
      <c r="Q1618" s="40">
        <v>10740</v>
      </c>
      <c r="R1618" s="40">
        <v>99807</v>
      </c>
      <c r="S1618" s="40">
        <v>354356</v>
      </c>
      <c r="T1618" s="40">
        <v>30000</v>
      </c>
      <c r="U1618" s="40">
        <v>667170.73170731706</v>
      </c>
      <c r="V1618" s="40">
        <v>0</v>
      </c>
      <c r="W1618" s="45">
        <v>1669891.7317073171</v>
      </c>
      <c r="X1618" s="46">
        <v>20.496852997685018</v>
      </c>
    </row>
    <row r="1619" spans="1:24" s="4" customFormat="1" ht="15" customHeight="1">
      <c r="A1619" s="79" t="s">
        <v>3955</v>
      </c>
      <c r="B1619" s="80">
        <v>3394.61</v>
      </c>
      <c r="C1619" s="81" t="s">
        <v>4326</v>
      </c>
      <c r="D1619" s="82">
        <v>4952701172</v>
      </c>
      <c r="E1619" s="82" t="s">
        <v>14</v>
      </c>
      <c r="F1619" s="82" t="s">
        <v>4327</v>
      </c>
      <c r="G1619" s="79" t="s">
        <v>5</v>
      </c>
      <c r="H1619" s="2" t="s">
        <v>35</v>
      </c>
      <c r="I1619" s="2">
        <v>1</v>
      </c>
      <c r="J1619" s="2" t="s">
        <v>4328</v>
      </c>
      <c r="K1619" s="2">
        <v>5755.2</v>
      </c>
      <c r="L1619" s="35">
        <v>19536659.471999999</v>
      </c>
      <c r="M1619" s="36">
        <v>1760</v>
      </c>
      <c r="N1619" s="40">
        <v>79731.614730878195</v>
      </c>
      <c r="O1619" s="40">
        <v>75867.5</v>
      </c>
      <c r="P1619" s="40">
        <v>0</v>
      </c>
      <c r="Q1619" s="40">
        <v>16551.5</v>
      </c>
      <c r="R1619" s="40">
        <v>90019.138810198303</v>
      </c>
      <c r="S1619" s="40">
        <v>44169.019830028301</v>
      </c>
      <c r="T1619" s="40">
        <v>30000</v>
      </c>
      <c r="U1619" s="55">
        <v>733541.07648725202</v>
      </c>
      <c r="V1619" s="55">
        <v>0</v>
      </c>
      <c r="W1619" s="45">
        <v>1069879.8498583569</v>
      </c>
      <c r="X1619" s="46">
        <v>5.4762680968653417</v>
      </c>
    </row>
    <row r="1620" spans="1:24" s="4" customFormat="1" ht="15" customHeight="1">
      <c r="A1620" s="79" t="s">
        <v>3955</v>
      </c>
      <c r="B1620" s="80">
        <v>3394.61</v>
      </c>
      <c r="C1620" s="81" t="s">
        <v>4326</v>
      </c>
      <c r="D1620" s="82">
        <v>4952701172</v>
      </c>
      <c r="E1620" s="82" t="s">
        <v>14</v>
      </c>
      <c r="F1620" s="82" t="s">
        <v>4327</v>
      </c>
      <c r="G1620" s="79" t="s">
        <v>5</v>
      </c>
      <c r="H1620" s="2" t="s">
        <v>35</v>
      </c>
      <c r="I1620" s="2">
        <v>1</v>
      </c>
      <c r="J1620" s="2" t="s">
        <v>4328</v>
      </c>
      <c r="K1620" s="2">
        <v>2107.4</v>
      </c>
      <c r="L1620" s="35">
        <v>7153801.114000001</v>
      </c>
      <c r="M1620" s="36">
        <v>820</v>
      </c>
      <c r="N1620" s="40">
        <v>37147.684135977303</v>
      </c>
      <c r="O1620" s="40">
        <v>75867.5</v>
      </c>
      <c r="P1620" s="40">
        <v>0</v>
      </c>
      <c r="Q1620" s="40">
        <v>16551.5</v>
      </c>
      <c r="R1620" s="40">
        <v>41940.735127478802</v>
      </c>
      <c r="S1620" s="40">
        <v>20578.7478753541</v>
      </c>
      <c r="T1620" s="40">
        <v>30000</v>
      </c>
      <c r="U1620" s="55">
        <v>341763.45609065198</v>
      </c>
      <c r="V1620" s="55">
        <v>0</v>
      </c>
      <c r="W1620" s="45">
        <v>563849.62322946219</v>
      </c>
      <c r="X1620" s="46">
        <v>7.8818185499455327</v>
      </c>
    </row>
    <row r="1621" spans="1:24" s="4" customFormat="1" ht="15" customHeight="1">
      <c r="A1621" s="79" t="s">
        <v>3955</v>
      </c>
      <c r="B1621" s="80">
        <v>3394.61</v>
      </c>
      <c r="C1621" s="81" t="s">
        <v>4326</v>
      </c>
      <c r="D1621" s="82">
        <v>4952577862</v>
      </c>
      <c r="E1621" s="82" t="s">
        <v>14</v>
      </c>
      <c r="F1621" s="82" t="s">
        <v>4327</v>
      </c>
      <c r="G1621" s="79" t="s">
        <v>5</v>
      </c>
      <c r="H1621" s="2" t="s">
        <v>35</v>
      </c>
      <c r="I1621" s="2">
        <v>1</v>
      </c>
      <c r="J1621" s="2" t="s">
        <v>4328</v>
      </c>
      <c r="K1621" s="2">
        <v>7155</v>
      </c>
      <c r="L1621" s="35">
        <v>24288434.550000001</v>
      </c>
      <c r="M1621" s="36">
        <v>250</v>
      </c>
      <c r="N1621" s="40">
        <v>11325.513456090701</v>
      </c>
      <c r="O1621" s="40">
        <v>75867.5</v>
      </c>
      <c r="P1621" s="40">
        <v>0</v>
      </c>
      <c r="Q1621" s="40">
        <v>16551.5</v>
      </c>
      <c r="R1621" s="40">
        <v>12786.809490084999</v>
      </c>
      <c r="S1621" s="40">
        <v>6274.0084985835701</v>
      </c>
      <c r="T1621" s="40">
        <v>30000</v>
      </c>
      <c r="U1621" s="55">
        <v>104196.175637394</v>
      </c>
      <c r="V1621" s="55">
        <v>0</v>
      </c>
      <c r="W1621" s="45">
        <v>257001.50708215329</v>
      </c>
      <c r="X1621" s="46">
        <v>1.0581229784615875</v>
      </c>
    </row>
    <row r="1622" spans="1:24" s="4" customFormat="1" ht="15" customHeight="1">
      <c r="A1622" s="79" t="s">
        <v>3955</v>
      </c>
      <c r="B1622" s="80">
        <v>3394.61</v>
      </c>
      <c r="C1622" s="81" t="s">
        <v>4326</v>
      </c>
      <c r="D1622" s="82">
        <v>4952889968</v>
      </c>
      <c r="E1622" s="82" t="s">
        <v>14</v>
      </c>
      <c r="F1622" s="82" t="s">
        <v>4327</v>
      </c>
      <c r="G1622" s="79" t="s">
        <v>5</v>
      </c>
      <c r="H1622" s="2" t="s">
        <v>35</v>
      </c>
      <c r="I1622" s="2">
        <v>1</v>
      </c>
      <c r="J1622" s="2" t="s">
        <v>4328</v>
      </c>
      <c r="K1622" s="2">
        <v>1195.0999999999999</v>
      </c>
      <c r="L1622" s="35">
        <v>4056898.4109999998</v>
      </c>
      <c r="M1622" s="36">
        <v>170</v>
      </c>
      <c r="N1622" s="40">
        <v>7701.3491501416402</v>
      </c>
      <c r="O1622" s="40">
        <v>75867.5</v>
      </c>
      <c r="P1622" s="40">
        <v>0</v>
      </c>
      <c r="Q1622" s="40">
        <v>16551.5</v>
      </c>
      <c r="R1622" s="40">
        <v>8695.0304532577902</v>
      </c>
      <c r="S1622" s="40">
        <v>4266.3257790368298</v>
      </c>
      <c r="T1622" s="40">
        <v>30000</v>
      </c>
      <c r="U1622" s="55">
        <v>70853.399433427796</v>
      </c>
      <c r="V1622" s="55">
        <v>0</v>
      </c>
      <c r="W1622" s="45">
        <v>213935.10481586406</v>
      </c>
      <c r="X1622" s="46">
        <v>5.273366082714662</v>
      </c>
    </row>
    <row r="1623" spans="1:24" s="4" customFormat="1" ht="15" customHeight="1">
      <c r="A1623" s="79" t="s">
        <v>3955</v>
      </c>
      <c r="B1623" s="80">
        <v>3394.61</v>
      </c>
      <c r="C1623" s="81" t="s">
        <v>4326</v>
      </c>
      <c r="D1623" s="82">
        <v>4952351981</v>
      </c>
      <c r="E1623" s="82" t="s">
        <v>14</v>
      </c>
      <c r="F1623" s="82" t="s">
        <v>4327</v>
      </c>
      <c r="G1623" s="79" t="s">
        <v>5</v>
      </c>
      <c r="H1623" s="2" t="s">
        <v>35</v>
      </c>
      <c r="I1623" s="2">
        <v>1</v>
      </c>
      <c r="J1623" s="2" t="s">
        <v>4328</v>
      </c>
      <c r="K1623" s="2">
        <v>18972.8</v>
      </c>
      <c r="L1623" s="35">
        <v>64405256.608000003</v>
      </c>
      <c r="M1623" s="36">
        <v>9680</v>
      </c>
      <c r="N1623" s="40">
        <v>438523.88101983001</v>
      </c>
      <c r="O1623" s="40">
        <v>75867.5</v>
      </c>
      <c r="P1623" s="40">
        <v>0</v>
      </c>
      <c r="Q1623" s="40">
        <v>16551.5</v>
      </c>
      <c r="R1623" s="40">
        <v>495105.26345609099</v>
      </c>
      <c r="S1623" s="40">
        <v>242929.60906515599</v>
      </c>
      <c r="T1623" s="40">
        <v>30000</v>
      </c>
      <c r="U1623" s="55">
        <v>4034475.9206798901</v>
      </c>
      <c r="V1623" s="55">
        <v>0</v>
      </c>
      <c r="W1623" s="45">
        <v>5333453.6742209671</v>
      </c>
      <c r="X1623" s="46">
        <v>8.2810844255816232</v>
      </c>
    </row>
    <row r="1624" spans="1:24" s="4" customFormat="1" ht="15" customHeight="1">
      <c r="A1624" s="79" t="s">
        <v>3955</v>
      </c>
      <c r="B1624" s="80">
        <v>3394.61</v>
      </c>
      <c r="C1624" s="81" t="s">
        <v>4326</v>
      </c>
      <c r="D1624" s="82">
        <v>4952577855</v>
      </c>
      <c r="E1624" s="82" t="s">
        <v>14</v>
      </c>
      <c r="F1624" s="82" t="s">
        <v>4327</v>
      </c>
      <c r="G1624" s="79" t="s">
        <v>5</v>
      </c>
      <c r="H1624" s="2" t="s">
        <v>35</v>
      </c>
      <c r="I1624" s="2">
        <v>1</v>
      </c>
      <c r="J1624" s="2" t="s">
        <v>4328</v>
      </c>
      <c r="K1624" s="2">
        <v>6494.4</v>
      </c>
      <c r="L1624" s="35">
        <v>22045955.184</v>
      </c>
      <c r="M1624" s="36">
        <v>1440</v>
      </c>
      <c r="N1624" s="40">
        <v>65234.957507082203</v>
      </c>
      <c r="O1624" s="40">
        <v>75867.5</v>
      </c>
      <c r="P1624" s="40">
        <v>0</v>
      </c>
      <c r="Q1624" s="40">
        <v>16551.5</v>
      </c>
      <c r="R1624" s="40">
        <v>73652.022662889503</v>
      </c>
      <c r="S1624" s="40">
        <v>36138.288951841401</v>
      </c>
      <c r="T1624" s="40">
        <v>30000</v>
      </c>
      <c r="U1624" s="55">
        <v>600169.97167138802</v>
      </c>
      <c r="V1624" s="55">
        <v>0</v>
      </c>
      <c r="W1624" s="45">
        <v>897614.24079320114</v>
      </c>
      <c r="X1624" s="46">
        <v>4.0715597636914858</v>
      </c>
    </row>
    <row r="1625" spans="1:24" s="4" customFormat="1" ht="15" customHeight="1">
      <c r="A1625" s="79" t="s">
        <v>3955</v>
      </c>
      <c r="B1625" s="80">
        <v>3394.61</v>
      </c>
      <c r="C1625" s="81" t="s">
        <v>4337</v>
      </c>
      <c r="D1625" s="82">
        <v>4952352313</v>
      </c>
      <c r="E1625" s="82" t="s">
        <v>14</v>
      </c>
      <c r="F1625" s="83" t="s">
        <v>4338</v>
      </c>
      <c r="G1625" s="79" t="s">
        <v>5</v>
      </c>
      <c r="H1625" s="2" t="s">
        <v>17</v>
      </c>
      <c r="I1625" s="2">
        <v>1</v>
      </c>
      <c r="J1625" s="2" t="s">
        <v>4339</v>
      </c>
      <c r="K1625" s="2">
        <v>39690</v>
      </c>
      <c r="L1625" s="35">
        <v>134732070.90000001</v>
      </c>
      <c r="M1625" s="36">
        <v>7000</v>
      </c>
      <c r="N1625" s="40">
        <v>346229</v>
      </c>
      <c r="O1625" s="40">
        <v>455205</v>
      </c>
      <c r="P1625" s="40">
        <v>0</v>
      </c>
      <c r="Q1625" s="40">
        <v>99309</v>
      </c>
      <c r="R1625" s="40">
        <v>553385</v>
      </c>
      <c r="S1625" s="40">
        <v>354356</v>
      </c>
      <c r="T1625" s="40">
        <v>30000</v>
      </c>
      <c r="U1625" s="40">
        <v>5354400</v>
      </c>
      <c r="V1625" s="40">
        <v>0</v>
      </c>
      <c r="W1625" s="45">
        <v>7192884</v>
      </c>
      <c r="X1625" s="46">
        <v>5.3386576424989842</v>
      </c>
    </row>
    <row r="1626" spans="1:24" s="4" customFormat="1" ht="15" customHeight="1">
      <c r="A1626" s="79" t="s">
        <v>3955</v>
      </c>
      <c r="B1626" s="80">
        <v>3394.61</v>
      </c>
      <c r="C1626" s="81" t="s">
        <v>4340</v>
      </c>
      <c r="D1626" s="82">
        <v>4953101420</v>
      </c>
      <c r="E1626" s="82" t="s">
        <v>14</v>
      </c>
      <c r="F1626" s="82">
        <v>1028805186</v>
      </c>
      <c r="G1626" s="79" t="s">
        <v>13</v>
      </c>
      <c r="H1626" s="2" t="s">
        <v>23</v>
      </c>
      <c r="I1626" s="2">
        <v>1</v>
      </c>
      <c r="J1626" s="2"/>
      <c r="K1626" s="2">
        <v>2939</v>
      </c>
      <c r="L1626" s="35">
        <v>9976758.790000001</v>
      </c>
      <c r="M1626" s="36">
        <v>50</v>
      </c>
      <c r="N1626" s="40">
        <v>165086</v>
      </c>
      <c r="O1626" s="40">
        <v>0</v>
      </c>
      <c r="P1626" s="40">
        <v>0</v>
      </c>
      <c r="Q1626" s="40">
        <v>0</v>
      </c>
      <c r="R1626" s="40">
        <v>660</v>
      </c>
      <c r="S1626" s="40">
        <v>354356</v>
      </c>
      <c r="T1626" s="40">
        <v>30000</v>
      </c>
      <c r="U1626" s="40">
        <v>47380.769230769198</v>
      </c>
      <c r="V1626" s="40">
        <v>0</v>
      </c>
      <c r="W1626" s="45">
        <v>597482.76923076925</v>
      </c>
      <c r="X1626" s="46">
        <v>5.9887462632618096</v>
      </c>
    </row>
    <row r="1627" spans="1:24" s="4" customFormat="1" ht="15" customHeight="1">
      <c r="A1627" s="79" t="s">
        <v>3955</v>
      </c>
      <c r="B1627" s="80">
        <v>3394.61</v>
      </c>
      <c r="C1627" s="81" t="s">
        <v>4341</v>
      </c>
      <c r="D1627" s="82">
        <v>4953101417</v>
      </c>
      <c r="E1627" s="82" t="s">
        <v>14</v>
      </c>
      <c r="F1627" s="83" t="s">
        <v>4342</v>
      </c>
      <c r="G1627" s="79" t="s">
        <v>13</v>
      </c>
      <c r="H1627" s="2" t="s">
        <v>23</v>
      </c>
      <c r="I1627" s="2">
        <v>1</v>
      </c>
      <c r="J1627" s="2"/>
      <c r="K1627" s="2">
        <v>3929.2</v>
      </c>
      <c r="L1627" s="35">
        <v>13338101.612</v>
      </c>
      <c r="M1627" s="36">
        <v>40</v>
      </c>
      <c r="N1627" s="40">
        <v>159232</v>
      </c>
      <c r="O1627" s="40">
        <v>0</v>
      </c>
      <c r="P1627" s="40">
        <v>0</v>
      </c>
      <c r="Q1627" s="40">
        <v>0</v>
      </c>
      <c r="R1627" s="40">
        <v>636</v>
      </c>
      <c r="S1627" s="40">
        <v>354356</v>
      </c>
      <c r="T1627" s="40">
        <v>30000</v>
      </c>
      <c r="U1627" s="40">
        <v>37904.615384615397</v>
      </c>
      <c r="V1627" s="40">
        <v>0</v>
      </c>
      <c r="W1627" s="45">
        <v>582128.61538461538</v>
      </c>
      <c r="X1627" s="46">
        <v>4.3644038133649161</v>
      </c>
    </row>
    <row r="1628" spans="1:24" s="4" customFormat="1" ht="15" customHeight="1">
      <c r="A1628" s="79" t="s">
        <v>3955</v>
      </c>
      <c r="B1628" s="80">
        <v>3394.61</v>
      </c>
      <c r="C1628" s="81" t="s">
        <v>4343</v>
      </c>
      <c r="D1628" s="82">
        <v>4952973691</v>
      </c>
      <c r="E1628" s="82" t="s">
        <v>14</v>
      </c>
      <c r="F1628" s="82">
        <v>1028729946</v>
      </c>
      <c r="G1628" s="79" t="s">
        <v>13</v>
      </c>
      <c r="H1628" s="2" t="s">
        <v>23</v>
      </c>
      <c r="I1628" s="2">
        <v>1</v>
      </c>
      <c r="J1628" s="2"/>
      <c r="K1628" s="2">
        <v>2351.1999999999998</v>
      </c>
      <c r="L1628" s="35">
        <v>7981407.0319999997</v>
      </c>
      <c r="M1628" s="36">
        <v>40</v>
      </c>
      <c r="N1628" s="62">
        <v>118574.66666666701</v>
      </c>
      <c r="O1628" s="40">
        <v>0</v>
      </c>
      <c r="P1628" s="40">
        <v>0</v>
      </c>
      <c r="Q1628" s="40">
        <v>0</v>
      </c>
      <c r="R1628" s="62">
        <v>474</v>
      </c>
      <c r="S1628" s="62">
        <v>236237.33333333299</v>
      </c>
      <c r="T1628" s="40">
        <v>30000</v>
      </c>
      <c r="U1628" s="55">
        <v>37904.615384615397</v>
      </c>
      <c r="V1628" s="55">
        <v>0</v>
      </c>
      <c r="W1628" s="45">
        <v>423190.61538461538</v>
      </c>
      <c r="X1628" s="46">
        <v>5.3022056598280169</v>
      </c>
    </row>
    <row r="1629" spans="1:24" s="4" customFormat="1" ht="15" customHeight="1">
      <c r="A1629" s="79" t="s">
        <v>3955</v>
      </c>
      <c r="B1629" s="80">
        <v>3394.61</v>
      </c>
      <c r="C1629" s="81" t="s">
        <v>4343</v>
      </c>
      <c r="D1629" s="82">
        <v>4953142742</v>
      </c>
      <c r="E1629" s="82" t="s">
        <v>14</v>
      </c>
      <c r="F1629" s="82">
        <v>1028729946</v>
      </c>
      <c r="G1629" s="79" t="s">
        <v>13</v>
      </c>
      <c r="H1629" s="2" t="s">
        <v>23</v>
      </c>
      <c r="I1629" s="2">
        <v>1</v>
      </c>
      <c r="J1629" s="2"/>
      <c r="K1629" s="2">
        <v>2018.8</v>
      </c>
      <c r="L1629" s="35">
        <v>6853038.6680000005</v>
      </c>
      <c r="M1629" s="36">
        <v>20</v>
      </c>
      <c r="N1629" s="62">
        <v>59287.333333333299</v>
      </c>
      <c r="O1629" s="40">
        <v>0</v>
      </c>
      <c r="P1629" s="40">
        <v>0</v>
      </c>
      <c r="Q1629" s="40">
        <v>0</v>
      </c>
      <c r="R1629" s="62">
        <v>237</v>
      </c>
      <c r="S1629" s="62">
        <v>118118.66666666701</v>
      </c>
      <c r="T1629" s="40">
        <v>30000</v>
      </c>
      <c r="U1629" s="55">
        <v>18952.307692307699</v>
      </c>
      <c r="V1629" s="55">
        <v>0</v>
      </c>
      <c r="W1629" s="45">
        <v>226595.30769230798</v>
      </c>
      <c r="X1629" s="46">
        <v>3.3064939316683852</v>
      </c>
    </row>
    <row r="1630" spans="1:24" s="4" customFormat="1" ht="15" customHeight="1">
      <c r="A1630" s="79" t="s">
        <v>3955</v>
      </c>
      <c r="B1630" s="80">
        <v>3394.61</v>
      </c>
      <c r="C1630" s="81" t="s">
        <v>4344</v>
      </c>
      <c r="D1630" s="82">
        <v>4952287288</v>
      </c>
      <c r="E1630" s="82" t="s">
        <v>14</v>
      </c>
      <c r="F1630" s="82">
        <v>1028805265</v>
      </c>
      <c r="G1630" s="79" t="s">
        <v>13</v>
      </c>
      <c r="H1630" s="2" t="s">
        <v>23</v>
      </c>
      <c r="I1630" s="2">
        <v>1</v>
      </c>
      <c r="J1630" s="2"/>
      <c r="K1630" s="2">
        <v>859.4</v>
      </c>
      <c r="L1630" s="35">
        <v>2917327.8340000003</v>
      </c>
      <c r="M1630" s="36">
        <v>20</v>
      </c>
      <c r="N1630" s="40">
        <v>153137</v>
      </c>
      <c r="O1630" s="40">
        <v>0</v>
      </c>
      <c r="P1630" s="40">
        <v>0</v>
      </c>
      <c r="Q1630" s="40">
        <v>0</v>
      </c>
      <c r="R1630" s="40">
        <v>612</v>
      </c>
      <c r="S1630" s="40">
        <v>354356</v>
      </c>
      <c r="T1630" s="40">
        <v>30000</v>
      </c>
      <c r="U1630" s="40">
        <v>18952.307692307699</v>
      </c>
      <c r="V1630" s="40">
        <v>0</v>
      </c>
      <c r="W1630" s="45">
        <v>557057.30769230775</v>
      </c>
      <c r="X1630" s="46">
        <v>19.09477917428692</v>
      </c>
    </row>
    <row r="1631" spans="1:24" s="4" customFormat="1" ht="15" customHeight="1">
      <c r="A1631" s="79" t="s">
        <v>3955</v>
      </c>
      <c r="B1631" s="80">
        <v>3394.61</v>
      </c>
      <c r="C1631" s="81" t="s">
        <v>4345</v>
      </c>
      <c r="D1631" s="82">
        <v>4953236330</v>
      </c>
      <c r="E1631" s="82" t="s">
        <v>14</v>
      </c>
      <c r="F1631" s="82">
        <v>1028832673</v>
      </c>
      <c r="G1631" s="79" t="s">
        <v>13</v>
      </c>
      <c r="H1631" s="2" t="s">
        <v>23</v>
      </c>
      <c r="I1631" s="2">
        <v>1</v>
      </c>
      <c r="J1631" s="2"/>
      <c r="K1631" s="2">
        <v>1231.8</v>
      </c>
      <c r="L1631" s="35">
        <v>4181480.5980000002</v>
      </c>
      <c r="M1631" s="36">
        <v>20</v>
      </c>
      <c r="N1631" s="62">
        <v>59798.153846153902</v>
      </c>
      <c r="O1631" s="40">
        <v>0</v>
      </c>
      <c r="P1631" s="40">
        <v>0</v>
      </c>
      <c r="Q1631" s="40">
        <v>0</v>
      </c>
      <c r="R1631" s="62">
        <v>239.07692307692301</v>
      </c>
      <c r="S1631" s="62">
        <v>109032.615384615</v>
      </c>
      <c r="T1631" s="40">
        <v>30000</v>
      </c>
      <c r="U1631" s="55">
        <v>18952.307692307699</v>
      </c>
      <c r="V1631" s="55">
        <v>0</v>
      </c>
      <c r="W1631" s="45">
        <v>218022.15384615352</v>
      </c>
      <c r="X1631" s="46">
        <v>5.2139941519861024</v>
      </c>
    </row>
    <row r="1632" spans="1:24" s="4" customFormat="1" ht="15" customHeight="1">
      <c r="A1632" s="79" t="s">
        <v>3955</v>
      </c>
      <c r="B1632" s="80">
        <v>3394.61</v>
      </c>
      <c r="C1632" s="81" t="s">
        <v>4345</v>
      </c>
      <c r="D1632" s="82">
        <v>4953236330</v>
      </c>
      <c r="E1632" s="82" t="s">
        <v>14</v>
      </c>
      <c r="F1632" s="82">
        <v>1028832673</v>
      </c>
      <c r="G1632" s="79" t="s">
        <v>13</v>
      </c>
      <c r="H1632" s="2" t="s">
        <v>23</v>
      </c>
      <c r="I1632" s="2">
        <v>1</v>
      </c>
      <c r="J1632" s="2"/>
      <c r="K1632" s="2">
        <v>902.75</v>
      </c>
      <c r="L1632" s="35">
        <v>3064484.1775000002</v>
      </c>
      <c r="M1632" s="36">
        <v>5</v>
      </c>
      <c r="N1632" s="62">
        <v>14949.538461538499</v>
      </c>
      <c r="O1632" s="40">
        <v>0</v>
      </c>
      <c r="P1632" s="40">
        <v>0</v>
      </c>
      <c r="Q1632" s="40">
        <v>0</v>
      </c>
      <c r="R1632" s="62">
        <v>59.769230769230802</v>
      </c>
      <c r="S1632" s="62">
        <v>27258.1538461538</v>
      </c>
      <c r="T1632" s="40">
        <v>30000</v>
      </c>
      <c r="U1632" s="55">
        <v>4738.0769230769201</v>
      </c>
      <c r="V1632" s="55">
        <v>0</v>
      </c>
      <c r="W1632" s="45">
        <v>77005.538461538454</v>
      </c>
      <c r="X1632" s="46">
        <v>2.5128385072739849</v>
      </c>
    </row>
    <row r="1633" spans="1:24" s="4" customFormat="1" ht="15" customHeight="1">
      <c r="A1633" s="79" t="s">
        <v>3955</v>
      </c>
      <c r="B1633" s="80">
        <v>3394.61</v>
      </c>
      <c r="C1633" s="81" t="s">
        <v>4345</v>
      </c>
      <c r="D1633" s="82">
        <v>4953395776</v>
      </c>
      <c r="E1633" s="82" t="s">
        <v>14</v>
      </c>
      <c r="F1633" s="82">
        <v>1028832673</v>
      </c>
      <c r="G1633" s="79" t="s">
        <v>13</v>
      </c>
      <c r="H1633" s="2" t="s">
        <v>23</v>
      </c>
      <c r="I1633" s="2">
        <v>1</v>
      </c>
      <c r="J1633" s="2"/>
      <c r="K1633" s="2">
        <v>2068.4</v>
      </c>
      <c r="L1633" s="35">
        <v>7021411.324000001</v>
      </c>
      <c r="M1633" s="36">
        <v>40</v>
      </c>
      <c r="N1633" s="62">
        <v>119596.30769230799</v>
      </c>
      <c r="O1633" s="40">
        <v>0</v>
      </c>
      <c r="P1633" s="40">
        <v>0</v>
      </c>
      <c r="Q1633" s="40">
        <v>0</v>
      </c>
      <c r="R1633" s="62">
        <v>478.15384615384602</v>
      </c>
      <c r="S1633" s="62">
        <v>218065.23076923101</v>
      </c>
      <c r="T1633" s="40">
        <v>30000</v>
      </c>
      <c r="U1633" s="55">
        <v>37904.615384615397</v>
      </c>
      <c r="V1633" s="55">
        <v>0</v>
      </c>
      <c r="W1633" s="45">
        <v>406044.30769230821</v>
      </c>
      <c r="X1633" s="46">
        <v>5.7829443249450652</v>
      </c>
    </row>
    <row r="1634" spans="1:24" s="4" customFormat="1" ht="15" customHeight="1">
      <c r="A1634" s="79" t="s">
        <v>3955</v>
      </c>
      <c r="B1634" s="80">
        <v>3394.61</v>
      </c>
      <c r="C1634" s="81" t="s">
        <v>4346</v>
      </c>
      <c r="D1634" s="82">
        <v>4953619601</v>
      </c>
      <c r="E1634" s="82" t="s">
        <v>14</v>
      </c>
      <c r="F1634" s="82" t="s">
        <v>4347</v>
      </c>
      <c r="G1634" s="79" t="s">
        <v>13</v>
      </c>
      <c r="H1634" s="2" t="s">
        <v>23</v>
      </c>
      <c r="I1634" s="2">
        <v>4</v>
      </c>
      <c r="J1634" s="2"/>
      <c r="K1634" s="2">
        <v>2486.4</v>
      </c>
      <c r="L1634" s="35">
        <v>8440358.3040000014</v>
      </c>
      <c r="M1634" s="36">
        <v>840</v>
      </c>
      <c r="N1634" s="40">
        <v>707082</v>
      </c>
      <c r="O1634" s="40">
        <v>0</v>
      </c>
      <c r="P1634" s="40">
        <v>0</v>
      </c>
      <c r="Q1634" s="40">
        <v>0</v>
      </c>
      <c r="R1634" s="40">
        <v>2828</v>
      </c>
      <c r="S1634" s="40">
        <v>354356</v>
      </c>
      <c r="T1634" s="40">
        <v>30000</v>
      </c>
      <c r="U1634" s="40">
        <v>246680</v>
      </c>
      <c r="V1634" s="40">
        <v>0</v>
      </c>
      <c r="W1634" s="45">
        <v>1340946</v>
      </c>
      <c r="X1634" s="46">
        <v>15.887311316683173</v>
      </c>
    </row>
    <row r="1635" spans="1:24" s="4" customFormat="1" ht="15" customHeight="1">
      <c r="A1635" s="79" t="s">
        <v>3955</v>
      </c>
      <c r="B1635" s="80">
        <v>3394.61</v>
      </c>
      <c r="C1635" s="81" t="s">
        <v>4348</v>
      </c>
      <c r="D1635" s="82">
        <v>4953663236</v>
      </c>
      <c r="E1635" s="82" t="s">
        <v>14</v>
      </c>
      <c r="F1635" s="82" t="s">
        <v>4349</v>
      </c>
      <c r="G1635" s="79" t="s">
        <v>13</v>
      </c>
      <c r="H1635" s="2" t="s">
        <v>23</v>
      </c>
      <c r="I1635" s="2">
        <v>1</v>
      </c>
      <c r="J1635" s="2"/>
      <c r="K1635" s="2">
        <v>1966.6</v>
      </c>
      <c r="L1635" s="35">
        <v>6675840.0259999996</v>
      </c>
      <c r="M1635" s="36">
        <v>10</v>
      </c>
      <c r="N1635" s="40">
        <v>55935</v>
      </c>
      <c r="O1635" s="40">
        <v>0</v>
      </c>
      <c r="P1635" s="40">
        <v>0</v>
      </c>
      <c r="Q1635" s="40">
        <v>0</v>
      </c>
      <c r="R1635" s="40">
        <v>223</v>
      </c>
      <c r="S1635" s="40">
        <v>354356</v>
      </c>
      <c r="T1635" s="40">
        <v>30000</v>
      </c>
      <c r="U1635" s="40">
        <v>35197.142857142899</v>
      </c>
      <c r="V1635" s="40">
        <v>0</v>
      </c>
      <c r="W1635" s="45">
        <v>475711.1428571429</v>
      </c>
      <c r="X1635" s="46">
        <v>7.1258619290519079</v>
      </c>
    </row>
    <row r="1636" spans="1:24" s="4" customFormat="1" ht="15" customHeight="1">
      <c r="A1636" s="79" t="s">
        <v>3955</v>
      </c>
      <c r="B1636" s="80">
        <v>3394.61</v>
      </c>
      <c r="C1636" s="81" t="s">
        <v>4350</v>
      </c>
      <c r="D1636" s="82">
        <v>4952889964</v>
      </c>
      <c r="E1636" s="82" t="s">
        <v>14</v>
      </c>
      <c r="F1636" s="82">
        <v>1028449929</v>
      </c>
      <c r="G1636" s="79" t="s">
        <v>13</v>
      </c>
      <c r="H1636" s="2" t="s">
        <v>23</v>
      </c>
      <c r="I1636" s="2">
        <v>5</v>
      </c>
      <c r="J1636" s="2"/>
      <c r="K1636" s="2">
        <v>2861</v>
      </c>
      <c r="L1636" s="35">
        <v>9711979.2100000009</v>
      </c>
      <c r="M1636" s="36">
        <v>25</v>
      </c>
      <c r="N1636" s="40">
        <v>548177</v>
      </c>
      <c r="O1636" s="40">
        <v>0</v>
      </c>
      <c r="P1636" s="40">
        <v>250000</v>
      </c>
      <c r="Q1636" s="40">
        <v>0</v>
      </c>
      <c r="R1636" s="40">
        <v>5173</v>
      </c>
      <c r="S1636" s="40">
        <v>354356</v>
      </c>
      <c r="T1636" s="40">
        <v>30000</v>
      </c>
      <c r="U1636" s="40">
        <v>246380</v>
      </c>
      <c r="V1636" s="40">
        <v>0</v>
      </c>
      <c r="W1636" s="45">
        <v>1434086</v>
      </c>
      <c r="X1636" s="46">
        <v>14.766155991390347</v>
      </c>
    </row>
    <row r="1637" spans="1:24" s="4" customFormat="1" ht="15" customHeight="1">
      <c r="A1637" s="79" t="s">
        <v>3955</v>
      </c>
      <c r="B1637" s="80">
        <v>3394.61</v>
      </c>
      <c r="C1637" s="81" t="s">
        <v>4358</v>
      </c>
      <c r="D1637" s="82">
        <v>4952899038</v>
      </c>
      <c r="E1637" s="82" t="s">
        <v>14</v>
      </c>
      <c r="F1637" s="82" t="s">
        <v>4359</v>
      </c>
      <c r="G1637" s="79" t="s">
        <v>5</v>
      </c>
      <c r="H1637" s="2" t="s">
        <v>20</v>
      </c>
      <c r="I1637" s="2">
        <v>1</v>
      </c>
      <c r="J1637" s="2" t="s">
        <v>4360</v>
      </c>
      <c r="K1637" s="2">
        <v>7917.75</v>
      </c>
      <c r="L1637" s="35">
        <v>26877673.327500001</v>
      </c>
      <c r="M1637" s="36">
        <v>150</v>
      </c>
      <c r="N1637" s="62">
        <v>21051.578947368402</v>
      </c>
      <c r="O1637" s="40">
        <v>173493</v>
      </c>
      <c r="P1637" s="40">
        <v>0</v>
      </c>
      <c r="Q1637" s="40">
        <v>49654.5</v>
      </c>
      <c r="R1637" s="62">
        <v>23733.789473684199</v>
      </c>
      <c r="S1637" s="62">
        <v>18650.315789473701</v>
      </c>
      <c r="T1637" s="40">
        <v>30000</v>
      </c>
      <c r="U1637" s="55">
        <v>7254.8476454293605</v>
      </c>
      <c r="V1637" s="55">
        <v>70263.157894736796</v>
      </c>
      <c r="W1637" s="45">
        <v>394101.18975069246</v>
      </c>
      <c r="X1637" s="46">
        <v>1.4662771771523329</v>
      </c>
    </row>
    <row r="1638" spans="1:24" s="4" customFormat="1" ht="15" customHeight="1">
      <c r="A1638" s="79" t="s">
        <v>3955</v>
      </c>
      <c r="B1638" s="80">
        <v>3394.61</v>
      </c>
      <c r="C1638" s="81" t="s">
        <v>4358</v>
      </c>
      <c r="D1638" s="82">
        <v>4952899040</v>
      </c>
      <c r="E1638" s="82" t="s">
        <v>14</v>
      </c>
      <c r="F1638" s="82" t="s">
        <v>4359</v>
      </c>
      <c r="G1638" s="79" t="s">
        <v>5</v>
      </c>
      <c r="H1638" s="2" t="s">
        <v>20</v>
      </c>
      <c r="I1638" s="2">
        <v>1</v>
      </c>
      <c r="J1638" s="2" t="s">
        <v>4360</v>
      </c>
      <c r="K1638" s="2">
        <v>119205</v>
      </c>
      <c r="L1638" s="35">
        <v>404654485.05000001</v>
      </c>
      <c r="M1638" s="36">
        <v>2700</v>
      </c>
      <c r="N1638" s="62">
        <v>378928.42105263198</v>
      </c>
      <c r="O1638" s="40">
        <v>173493</v>
      </c>
      <c r="P1638" s="40">
        <v>0</v>
      </c>
      <c r="Q1638" s="40">
        <v>49654.5</v>
      </c>
      <c r="R1638" s="62">
        <v>427208.21052631602</v>
      </c>
      <c r="S1638" s="62">
        <v>335705.684210526</v>
      </c>
      <c r="T1638" s="40">
        <v>30000</v>
      </c>
      <c r="U1638" s="55">
        <v>130587.257617729</v>
      </c>
      <c r="V1638" s="55">
        <v>1264736.8421052599</v>
      </c>
      <c r="W1638" s="45">
        <v>2790313.9155124631</v>
      </c>
      <c r="X1638" s="46">
        <v>0.68955467407402782</v>
      </c>
    </row>
    <row r="1639" spans="1:24" s="4" customFormat="1" ht="15" customHeight="1">
      <c r="A1639" s="79" t="s">
        <v>3955</v>
      </c>
      <c r="B1639" s="80">
        <v>3394.61</v>
      </c>
      <c r="C1639" s="81" t="s">
        <v>4361</v>
      </c>
      <c r="D1639" s="82">
        <v>4952703267</v>
      </c>
      <c r="E1639" s="82" t="s">
        <v>14</v>
      </c>
      <c r="F1639" s="82" t="s">
        <v>4362</v>
      </c>
      <c r="G1639" s="79" t="s">
        <v>5</v>
      </c>
      <c r="H1639" s="2" t="s">
        <v>35</v>
      </c>
      <c r="I1639" s="2">
        <v>1</v>
      </c>
      <c r="J1639" s="2" t="s">
        <v>4363</v>
      </c>
      <c r="K1639" s="2">
        <v>9044</v>
      </c>
      <c r="L1639" s="35">
        <v>30700852.84</v>
      </c>
      <c r="M1639" s="36">
        <v>1400</v>
      </c>
      <c r="N1639" s="62">
        <v>23252.2152205526</v>
      </c>
      <c r="O1639" s="40">
        <v>50578.333333333299</v>
      </c>
      <c r="P1639" s="40">
        <v>0</v>
      </c>
      <c r="Q1639" s="40">
        <v>11034.333333333299</v>
      </c>
      <c r="R1639" s="62">
        <v>31604.3044110519</v>
      </c>
      <c r="S1639" s="62">
        <v>24047.426078526401</v>
      </c>
      <c r="T1639" s="40">
        <v>30000</v>
      </c>
      <c r="U1639" s="55">
        <v>682423.65487154596</v>
      </c>
      <c r="V1639" s="55">
        <v>0</v>
      </c>
      <c r="W1639" s="45">
        <v>852940.26724834344</v>
      </c>
      <c r="X1639" s="46">
        <v>2.7782298807577472</v>
      </c>
    </row>
    <row r="1640" spans="1:24" s="4" customFormat="1" ht="15" customHeight="1">
      <c r="A1640" s="79" t="s">
        <v>3955</v>
      </c>
      <c r="B1640" s="80">
        <v>3394.61</v>
      </c>
      <c r="C1640" s="81" t="s">
        <v>4361</v>
      </c>
      <c r="D1640" s="82">
        <v>4952899041</v>
      </c>
      <c r="E1640" s="82" t="s">
        <v>14</v>
      </c>
      <c r="F1640" s="82" t="s">
        <v>4362</v>
      </c>
      <c r="G1640" s="79" t="s">
        <v>5</v>
      </c>
      <c r="H1640" s="2" t="s">
        <v>35</v>
      </c>
      <c r="I1640" s="2">
        <v>1</v>
      </c>
      <c r="J1640" s="2" t="s">
        <v>4363</v>
      </c>
      <c r="K1640" s="2">
        <v>2696.75</v>
      </c>
      <c r="L1640" s="35">
        <v>9154414.5175000001</v>
      </c>
      <c r="M1640" s="36">
        <v>575</v>
      </c>
      <c r="N1640" s="62">
        <v>9550.0169655841</v>
      </c>
      <c r="O1640" s="40">
        <v>50578.333333333299</v>
      </c>
      <c r="P1640" s="40">
        <v>0</v>
      </c>
      <c r="Q1640" s="40">
        <v>11034.333333333299</v>
      </c>
      <c r="R1640" s="62">
        <v>12980.339311682001</v>
      </c>
      <c r="S1640" s="62">
        <v>9876.6214251090605</v>
      </c>
      <c r="T1640" s="40">
        <v>30000</v>
      </c>
      <c r="U1640" s="55">
        <v>280281.14396509901</v>
      </c>
      <c r="V1640" s="55">
        <v>0</v>
      </c>
      <c r="W1640" s="45">
        <v>404300.78833414079</v>
      </c>
      <c r="X1640" s="46">
        <v>4.4164570826595275</v>
      </c>
    </row>
    <row r="1641" spans="1:24" s="4" customFormat="1" ht="15" customHeight="1">
      <c r="A1641" s="79" t="s">
        <v>3955</v>
      </c>
      <c r="B1641" s="80">
        <v>3394.61</v>
      </c>
      <c r="C1641" s="81" t="s">
        <v>4361</v>
      </c>
      <c r="D1641" s="82">
        <v>4952973670</v>
      </c>
      <c r="E1641" s="82" t="s">
        <v>14</v>
      </c>
      <c r="F1641" s="82" t="s">
        <v>4362</v>
      </c>
      <c r="G1641" s="79" t="s">
        <v>5</v>
      </c>
      <c r="H1641" s="2" t="s">
        <v>35</v>
      </c>
      <c r="I1641" s="2">
        <v>1</v>
      </c>
      <c r="J1641" s="2" t="s">
        <v>4363</v>
      </c>
      <c r="K1641" s="2">
        <v>2135.37</v>
      </c>
      <c r="L1641" s="35">
        <v>7248748.3557000002</v>
      </c>
      <c r="M1641" s="36">
        <v>4725</v>
      </c>
      <c r="N1641" s="62">
        <v>78476.226369365002</v>
      </c>
      <c r="O1641" s="40">
        <v>50578.333333333299</v>
      </c>
      <c r="P1641" s="40">
        <v>0</v>
      </c>
      <c r="Q1641" s="40">
        <v>11034.333333333299</v>
      </c>
      <c r="R1641" s="62">
        <v>106664.5273873</v>
      </c>
      <c r="S1641" s="62">
        <v>81160.063015026695</v>
      </c>
      <c r="T1641" s="40">
        <v>30000</v>
      </c>
      <c r="U1641" s="55">
        <v>2303179.8351914701</v>
      </c>
      <c r="V1641" s="55">
        <v>0</v>
      </c>
      <c r="W1641" s="45">
        <v>2661093.3186298283</v>
      </c>
      <c r="X1641" s="46">
        <v>36.711073250836428</v>
      </c>
    </row>
    <row r="1642" spans="1:24" s="4" customFormat="1" ht="15" customHeight="1">
      <c r="A1642" s="79" t="s">
        <v>3955</v>
      </c>
      <c r="B1642" s="80">
        <v>3394.61</v>
      </c>
      <c r="C1642" s="81" t="s">
        <v>4361</v>
      </c>
      <c r="D1642" s="82">
        <v>4952978702</v>
      </c>
      <c r="E1642" s="82" t="s">
        <v>14</v>
      </c>
      <c r="F1642" s="82" t="s">
        <v>4362</v>
      </c>
      <c r="G1642" s="79" t="s">
        <v>5</v>
      </c>
      <c r="H1642" s="2" t="s">
        <v>35</v>
      </c>
      <c r="I1642" s="2">
        <v>1</v>
      </c>
      <c r="J1642" s="2" t="s">
        <v>4363</v>
      </c>
      <c r="K1642" s="2">
        <v>1915.8</v>
      </c>
      <c r="L1642" s="35">
        <v>6503393.8380000005</v>
      </c>
      <c r="M1642" s="36">
        <v>310</v>
      </c>
      <c r="N1642" s="62">
        <v>5148.7047988366503</v>
      </c>
      <c r="O1642" s="40">
        <v>50578.333333333299</v>
      </c>
      <c r="P1642" s="40">
        <v>0</v>
      </c>
      <c r="Q1642" s="40">
        <v>11034.333333333299</v>
      </c>
      <c r="R1642" s="62">
        <v>6998.0959767329095</v>
      </c>
      <c r="S1642" s="62">
        <v>5324.7872031022798</v>
      </c>
      <c r="T1642" s="40">
        <v>30000</v>
      </c>
      <c r="U1642" s="55">
        <v>151108.09500727101</v>
      </c>
      <c r="V1642" s="55">
        <v>0</v>
      </c>
      <c r="W1642" s="45">
        <v>260192.34965260944</v>
      </c>
      <c r="X1642" s="46">
        <v>4.0008702553469648</v>
      </c>
    </row>
    <row r="1643" spans="1:24" s="4" customFormat="1" ht="15" customHeight="1">
      <c r="A1643" s="79" t="s">
        <v>3955</v>
      </c>
      <c r="B1643" s="80">
        <v>3394.61</v>
      </c>
      <c r="C1643" s="81" t="s">
        <v>4361</v>
      </c>
      <c r="D1643" s="82">
        <v>4953003879</v>
      </c>
      <c r="E1643" s="82" t="s">
        <v>14</v>
      </c>
      <c r="F1643" s="82" t="s">
        <v>4362</v>
      </c>
      <c r="G1643" s="79" t="s">
        <v>5</v>
      </c>
      <c r="H1643" s="2" t="s">
        <v>35</v>
      </c>
      <c r="I1643" s="2">
        <v>1</v>
      </c>
      <c r="J1643" s="2" t="s">
        <v>4363</v>
      </c>
      <c r="K1643" s="2">
        <v>8190</v>
      </c>
      <c r="L1643" s="35">
        <v>27801855.900000002</v>
      </c>
      <c r="M1643" s="36">
        <v>2520</v>
      </c>
      <c r="N1643" s="62">
        <v>41853.9873969947</v>
      </c>
      <c r="O1643" s="40">
        <v>50578.333333333299</v>
      </c>
      <c r="P1643" s="40">
        <v>0</v>
      </c>
      <c r="Q1643" s="40">
        <v>11034.333333333299</v>
      </c>
      <c r="R1643" s="62">
        <v>56887.747939893401</v>
      </c>
      <c r="S1643" s="62">
        <v>43285.366941347602</v>
      </c>
      <c r="T1643" s="40">
        <v>30000</v>
      </c>
      <c r="U1643" s="55">
        <v>1228362.57876878</v>
      </c>
      <c r="V1643" s="55">
        <v>0</v>
      </c>
      <c r="W1643" s="45">
        <v>1462002.3477136823</v>
      </c>
      <c r="X1643" s="46">
        <v>5.2586501885785335</v>
      </c>
    </row>
    <row r="1644" spans="1:24" s="4" customFormat="1" ht="15" customHeight="1">
      <c r="A1644" s="79" t="s">
        <v>3955</v>
      </c>
      <c r="B1644" s="80">
        <v>3394.61</v>
      </c>
      <c r="C1644" s="81" t="s">
        <v>4361</v>
      </c>
      <c r="D1644" s="82">
        <v>4953096187</v>
      </c>
      <c r="E1644" s="82" t="s">
        <v>14</v>
      </c>
      <c r="F1644" s="82" t="s">
        <v>4362</v>
      </c>
      <c r="G1644" s="79" t="s">
        <v>5</v>
      </c>
      <c r="H1644" s="2" t="s">
        <v>35</v>
      </c>
      <c r="I1644" s="2">
        <v>1</v>
      </c>
      <c r="J1644" s="2" t="s">
        <v>4363</v>
      </c>
      <c r="K1644" s="2">
        <v>17265.599999999999</v>
      </c>
      <c r="L1644" s="35">
        <v>58609978.415999994</v>
      </c>
      <c r="M1644" s="36">
        <v>5280</v>
      </c>
      <c r="N1644" s="62">
        <v>87694.068831798402</v>
      </c>
      <c r="O1644" s="40">
        <v>50578.333333333299</v>
      </c>
      <c r="P1644" s="40">
        <v>0</v>
      </c>
      <c r="Q1644" s="40">
        <v>11034.333333333299</v>
      </c>
      <c r="R1644" s="62">
        <v>119193.376635967</v>
      </c>
      <c r="S1644" s="62">
        <v>90693.149781871107</v>
      </c>
      <c r="T1644" s="40">
        <v>30000</v>
      </c>
      <c r="U1644" s="55">
        <v>2573712.0698012598</v>
      </c>
      <c r="V1644" s="55">
        <v>0</v>
      </c>
      <c r="W1644" s="45">
        <v>2962905.3317175629</v>
      </c>
      <c r="X1644" s="46">
        <v>5.055291627455567</v>
      </c>
    </row>
    <row r="1645" spans="1:24" s="4" customFormat="1" ht="15" customHeight="1">
      <c r="A1645" s="79" t="s">
        <v>3955</v>
      </c>
      <c r="B1645" s="80">
        <v>3394.61</v>
      </c>
      <c r="C1645" s="81" t="s">
        <v>4361</v>
      </c>
      <c r="D1645" s="82">
        <v>4953091267</v>
      </c>
      <c r="E1645" s="82" t="s">
        <v>14</v>
      </c>
      <c r="F1645" s="82" t="s">
        <v>4362</v>
      </c>
      <c r="G1645" s="79" t="s">
        <v>5</v>
      </c>
      <c r="H1645" s="2" t="s">
        <v>35</v>
      </c>
      <c r="I1645" s="2">
        <v>1</v>
      </c>
      <c r="J1645" s="2" t="s">
        <v>4363</v>
      </c>
      <c r="K1645" s="2">
        <v>14388</v>
      </c>
      <c r="L1645" s="35">
        <v>48841648.68</v>
      </c>
      <c r="M1645" s="36">
        <v>4400</v>
      </c>
      <c r="N1645" s="62">
        <v>73078.390693165304</v>
      </c>
      <c r="O1645" s="40">
        <v>50578.333333333299</v>
      </c>
      <c r="P1645" s="40">
        <v>0</v>
      </c>
      <c r="Q1645" s="40">
        <v>11034.333333333299</v>
      </c>
      <c r="R1645" s="62">
        <v>99327.813863305899</v>
      </c>
      <c r="S1645" s="62">
        <v>75577.624818225901</v>
      </c>
      <c r="T1645" s="40">
        <v>30000</v>
      </c>
      <c r="U1645" s="55">
        <v>2144760.0581677202</v>
      </c>
      <c r="V1645" s="55">
        <v>0</v>
      </c>
      <c r="W1645" s="45">
        <v>2484356.5542090838</v>
      </c>
      <c r="X1645" s="46">
        <v>5.0865534259215011</v>
      </c>
    </row>
    <row r="1646" spans="1:24" s="4" customFormat="1" ht="15" customHeight="1">
      <c r="A1646" s="79" t="s">
        <v>3955</v>
      </c>
      <c r="B1646" s="80">
        <v>3394.61</v>
      </c>
      <c r="C1646" s="81" t="s">
        <v>4361</v>
      </c>
      <c r="D1646" s="82">
        <v>4953091267</v>
      </c>
      <c r="E1646" s="82" t="s">
        <v>14</v>
      </c>
      <c r="F1646" s="82" t="s">
        <v>4362</v>
      </c>
      <c r="G1646" s="79" t="s">
        <v>5</v>
      </c>
      <c r="H1646" s="2" t="s">
        <v>35</v>
      </c>
      <c r="I1646" s="2">
        <v>1</v>
      </c>
      <c r="J1646" s="2" t="s">
        <v>4363</v>
      </c>
      <c r="K1646" s="2">
        <v>3161.1</v>
      </c>
      <c r="L1646" s="35">
        <v>10730701.671</v>
      </c>
      <c r="M1646" s="36">
        <v>1230</v>
      </c>
      <c r="N1646" s="62">
        <v>20428.731943771199</v>
      </c>
      <c r="O1646" s="40">
        <v>50578.333333333299</v>
      </c>
      <c r="P1646" s="40">
        <v>0</v>
      </c>
      <c r="Q1646" s="40">
        <v>11034.333333333299</v>
      </c>
      <c r="R1646" s="62">
        <v>27766.638875424102</v>
      </c>
      <c r="S1646" s="62">
        <v>21127.3814832768</v>
      </c>
      <c r="T1646" s="40">
        <v>30000</v>
      </c>
      <c r="U1646" s="55">
        <v>599557.92535142996</v>
      </c>
      <c r="V1646" s="55">
        <v>0</v>
      </c>
      <c r="W1646" s="45">
        <v>760493.34432056872</v>
      </c>
      <c r="X1646" s="46">
        <v>7.0870793694304419</v>
      </c>
    </row>
    <row r="1647" spans="1:24" s="4" customFormat="1" ht="15" customHeight="1">
      <c r="A1647" s="79" t="s">
        <v>3955</v>
      </c>
      <c r="B1647" s="80">
        <v>3394.61</v>
      </c>
      <c r="C1647" s="81" t="s">
        <v>4361</v>
      </c>
      <c r="D1647" s="82">
        <v>4953003887</v>
      </c>
      <c r="E1647" s="82" t="s">
        <v>14</v>
      </c>
      <c r="F1647" s="82" t="s">
        <v>4362</v>
      </c>
      <c r="G1647" s="79" t="s">
        <v>5</v>
      </c>
      <c r="H1647" s="2" t="s">
        <v>35</v>
      </c>
      <c r="I1647" s="2">
        <v>1</v>
      </c>
      <c r="J1647" s="2" t="s">
        <v>4363</v>
      </c>
      <c r="K1647" s="2">
        <v>2057.6999999999998</v>
      </c>
      <c r="L1647" s="35">
        <v>6985088.9969999995</v>
      </c>
      <c r="M1647" s="36">
        <v>190</v>
      </c>
      <c r="N1647" s="62">
        <v>3155.6577799321399</v>
      </c>
      <c r="O1647" s="40">
        <v>50578.333333333299</v>
      </c>
      <c r="P1647" s="40">
        <v>0</v>
      </c>
      <c r="Q1647" s="40">
        <v>11034.333333333299</v>
      </c>
      <c r="R1647" s="62">
        <v>4289.1555986427502</v>
      </c>
      <c r="S1647" s="62">
        <v>3263.5792535143</v>
      </c>
      <c r="T1647" s="40">
        <v>30000</v>
      </c>
      <c r="U1647" s="55">
        <v>92614.638875424105</v>
      </c>
      <c r="V1647" s="55">
        <v>0</v>
      </c>
      <c r="W1647" s="45">
        <v>194935.69817417988</v>
      </c>
      <c r="X1647" s="46">
        <v>2.7907403650533604</v>
      </c>
    </row>
    <row r="1648" spans="1:24" s="4" customFormat="1" ht="15" customHeight="1">
      <c r="A1648" s="79" t="s">
        <v>3955</v>
      </c>
      <c r="B1648" s="80">
        <v>3394.61</v>
      </c>
      <c r="C1648" s="81" t="s">
        <v>4364</v>
      </c>
      <c r="D1648" s="82" t="s">
        <v>4365</v>
      </c>
      <c r="E1648" s="82" t="s">
        <v>14</v>
      </c>
      <c r="F1648" s="82" t="s">
        <v>4366</v>
      </c>
      <c r="G1648" s="79" t="s">
        <v>5</v>
      </c>
      <c r="H1648" s="2" t="s">
        <v>20</v>
      </c>
      <c r="I1648" s="2">
        <v>1</v>
      </c>
      <c r="J1648" s="2" t="s">
        <v>4367</v>
      </c>
      <c r="K1648" s="2">
        <v>25036.65</v>
      </c>
      <c r="L1648" s="35">
        <v>84989662.456500009</v>
      </c>
      <c r="M1648" s="36">
        <v>14145</v>
      </c>
      <c r="N1648" s="40">
        <v>342638</v>
      </c>
      <c r="O1648" s="40">
        <v>346986</v>
      </c>
      <c r="P1648" s="40">
        <v>223857</v>
      </c>
      <c r="Q1648" s="40">
        <v>99309</v>
      </c>
      <c r="R1648" s="40">
        <v>445608</v>
      </c>
      <c r="S1648" s="40">
        <v>354356</v>
      </c>
      <c r="T1648" s="40">
        <v>30000</v>
      </c>
      <c r="U1648" s="40">
        <v>3928500</v>
      </c>
      <c r="V1648" s="40">
        <v>0</v>
      </c>
      <c r="W1648" s="45">
        <v>5771254</v>
      </c>
      <c r="X1648" s="46">
        <v>6.7905364407746447</v>
      </c>
    </row>
    <row r="1649" spans="1:24" s="4" customFormat="1" ht="15" customHeight="1">
      <c r="A1649" s="79" t="s">
        <v>3955</v>
      </c>
      <c r="B1649" s="80">
        <v>3394.61</v>
      </c>
      <c r="C1649" s="81" t="s">
        <v>4379</v>
      </c>
      <c r="D1649" s="82">
        <v>4952461126</v>
      </c>
      <c r="E1649" s="82" t="s">
        <v>14</v>
      </c>
      <c r="F1649" s="82" t="s">
        <v>4380</v>
      </c>
      <c r="G1649" s="79" t="s">
        <v>5</v>
      </c>
      <c r="H1649" s="2" t="s">
        <v>20</v>
      </c>
      <c r="I1649" s="2">
        <v>1</v>
      </c>
      <c r="J1649" s="2" t="s">
        <v>4381</v>
      </c>
      <c r="K1649" s="2">
        <v>13860</v>
      </c>
      <c r="L1649" s="35">
        <v>47049294.600000001</v>
      </c>
      <c r="M1649" s="36">
        <v>2800</v>
      </c>
      <c r="N1649" s="62">
        <v>176357.79411764699</v>
      </c>
      <c r="O1649" s="40">
        <v>115662</v>
      </c>
      <c r="P1649" s="40">
        <v>144025.514705882</v>
      </c>
      <c r="Q1649" s="40">
        <v>33103</v>
      </c>
      <c r="R1649" s="62">
        <v>288354.70588235301</v>
      </c>
      <c r="S1649" s="62">
        <v>182389.117647059</v>
      </c>
      <c r="T1649" s="40">
        <v>30000</v>
      </c>
      <c r="U1649" s="55">
        <v>1597647.0588235301</v>
      </c>
      <c r="V1649" s="55">
        <v>0</v>
      </c>
      <c r="W1649" s="45">
        <v>2567539.1911764713</v>
      </c>
      <c r="X1649" s="46">
        <v>5.4571257932876023</v>
      </c>
    </row>
    <row r="1650" spans="1:24" s="4" customFormat="1" ht="15" customHeight="1">
      <c r="A1650" s="79" t="s">
        <v>3955</v>
      </c>
      <c r="B1650" s="80">
        <v>3394.61</v>
      </c>
      <c r="C1650" s="81" t="s">
        <v>4379</v>
      </c>
      <c r="D1650" s="82">
        <v>4951726541</v>
      </c>
      <c r="E1650" s="82" t="s">
        <v>14</v>
      </c>
      <c r="F1650" s="82" t="s">
        <v>4380</v>
      </c>
      <c r="G1650" s="79" t="s">
        <v>5</v>
      </c>
      <c r="H1650" s="2" t="s">
        <v>20</v>
      </c>
      <c r="I1650" s="2">
        <v>1</v>
      </c>
      <c r="J1650" s="2" t="s">
        <v>4381</v>
      </c>
      <c r="K1650" s="2">
        <v>2091.6</v>
      </c>
      <c r="L1650" s="35">
        <v>7100166.2759999996</v>
      </c>
      <c r="M1650" s="36">
        <v>840</v>
      </c>
      <c r="N1650" s="62">
        <v>52907.338235294097</v>
      </c>
      <c r="O1650" s="40">
        <v>115662</v>
      </c>
      <c r="P1650" s="40">
        <v>43207.654411764699</v>
      </c>
      <c r="Q1650" s="40">
        <v>33103</v>
      </c>
      <c r="R1650" s="62">
        <v>86506.411764705903</v>
      </c>
      <c r="S1650" s="62">
        <v>54716.735294117701</v>
      </c>
      <c r="T1650" s="40">
        <v>30000</v>
      </c>
      <c r="U1650" s="55">
        <v>479294.11764705903</v>
      </c>
      <c r="V1650" s="55">
        <v>0</v>
      </c>
      <c r="W1650" s="45">
        <v>895397.25735294144</v>
      </c>
      <c r="X1650" s="46">
        <v>12.610933639393284</v>
      </c>
    </row>
    <row r="1651" spans="1:24" s="4" customFormat="1" ht="15" customHeight="1">
      <c r="A1651" s="79" t="s">
        <v>3955</v>
      </c>
      <c r="B1651" s="80">
        <v>3394.61</v>
      </c>
      <c r="C1651" s="81" t="s">
        <v>4379</v>
      </c>
      <c r="D1651" s="82">
        <v>4952461126</v>
      </c>
      <c r="E1651" s="82" t="s">
        <v>14</v>
      </c>
      <c r="F1651" s="82" t="s">
        <v>4380</v>
      </c>
      <c r="G1651" s="79" t="s">
        <v>5</v>
      </c>
      <c r="H1651" s="2" t="s">
        <v>20</v>
      </c>
      <c r="I1651" s="2">
        <v>1</v>
      </c>
      <c r="J1651" s="2" t="s">
        <v>4381</v>
      </c>
      <c r="K1651" s="2">
        <v>4122</v>
      </c>
      <c r="L1651" s="35">
        <v>13992582.42</v>
      </c>
      <c r="M1651" s="36">
        <v>1800</v>
      </c>
      <c r="N1651" s="62">
        <v>113372.867647059</v>
      </c>
      <c r="O1651" s="40">
        <v>115662</v>
      </c>
      <c r="P1651" s="40">
        <v>92587.830882352893</v>
      </c>
      <c r="Q1651" s="40">
        <v>33103</v>
      </c>
      <c r="R1651" s="62">
        <v>185370.882352941</v>
      </c>
      <c r="S1651" s="62">
        <v>117250.147058824</v>
      </c>
      <c r="T1651" s="40">
        <v>30000</v>
      </c>
      <c r="U1651" s="55">
        <v>1027058.8235294099</v>
      </c>
      <c r="V1651" s="55">
        <v>0</v>
      </c>
      <c r="W1651" s="45">
        <v>1714405.5514705868</v>
      </c>
      <c r="X1651" s="46">
        <v>12.252245511308461</v>
      </c>
    </row>
    <row r="1652" spans="1:24" s="4" customFormat="1" ht="15" customHeight="1">
      <c r="A1652" s="79" t="s">
        <v>3955</v>
      </c>
      <c r="B1652" s="80">
        <v>3394.61</v>
      </c>
      <c r="C1652" s="81" t="s">
        <v>4382</v>
      </c>
      <c r="D1652" s="82">
        <v>4952628213</v>
      </c>
      <c r="E1652" s="82" t="s">
        <v>14</v>
      </c>
      <c r="F1652" s="82" t="s">
        <v>4383</v>
      </c>
      <c r="G1652" s="79" t="s">
        <v>5</v>
      </c>
      <c r="H1652" s="2" t="s">
        <v>17</v>
      </c>
      <c r="I1652" s="2">
        <v>1</v>
      </c>
      <c r="J1652" s="2" t="s">
        <v>4384</v>
      </c>
      <c r="K1652" s="2">
        <v>7980</v>
      </c>
      <c r="L1652" s="35">
        <v>27088987.800000001</v>
      </c>
      <c r="M1652" s="36">
        <v>2625</v>
      </c>
      <c r="N1652" s="62">
        <v>41358.066544706198</v>
      </c>
      <c r="O1652" s="40">
        <v>113801.25</v>
      </c>
      <c r="P1652" s="40">
        <v>0</v>
      </c>
      <c r="Q1652" s="40">
        <v>24827.25</v>
      </c>
      <c r="R1652" s="62">
        <v>83792.305053738906</v>
      </c>
      <c r="S1652" s="62">
        <v>42542.167848159203</v>
      </c>
      <c r="T1652" s="40">
        <v>30000</v>
      </c>
      <c r="U1652" s="55">
        <v>759275.09718728601</v>
      </c>
      <c r="V1652" s="55">
        <v>0</v>
      </c>
      <c r="W1652" s="45">
        <v>1095596.1366338902</v>
      </c>
      <c r="X1652" s="46">
        <v>4.0444336448550882</v>
      </c>
    </row>
    <row r="1653" spans="1:24" s="4" customFormat="1" ht="15" customHeight="1">
      <c r="A1653" s="79" t="s">
        <v>3955</v>
      </c>
      <c r="B1653" s="80">
        <v>3394.61</v>
      </c>
      <c r="C1653" s="81" t="s">
        <v>4382</v>
      </c>
      <c r="D1653" s="82">
        <v>4952862312</v>
      </c>
      <c r="E1653" s="82" t="s">
        <v>14</v>
      </c>
      <c r="F1653" s="82" t="s">
        <v>4383</v>
      </c>
      <c r="G1653" s="79" t="s">
        <v>5</v>
      </c>
      <c r="H1653" s="2" t="s">
        <v>17</v>
      </c>
      <c r="I1653" s="2">
        <v>1</v>
      </c>
      <c r="J1653" s="2" t="s">
        <v>4384</v>
      </c>
      <c r="K1653" s="2">
        <v>3736</v>
      </c>
      <c r="L1653" s="35">
        <v>12682262.960000001</v>
      </c>
      <c r="M1653" s="36">
        <v>400</v>
      </c>
      <c r="N1653" s="62">
        <v>6302.1815687171302</v>
      </c>
      <c r="O1653" s="40">
        <v>113801.25</v>
      </c>
      <c r="P1653" s="40">
        <v>0</v>
      </c>
      <c r="Q1653" s="40">
        <v>24827.25</v>
      </c>
      <c r="R1653" s="62">
        <v>12768.351246284001</v>
      </c>
      <c r="S1653" s="62">
        <v>6482.6160530528196</v>
      </c>
      <c r="T1653" s="40">
        <v>30000</v>
      </c>
      <c r="U1653" s="55">
        <v>115699.06242853899</v>
      </c>
      <c r="V1653" s="55">
        <v>0</v>
      </c>
      <c r="W1653" s="45">
        <v>309880.71129659296</v>
      </c>
      <c r="X1653" s="46">
        <v>2.4434181208350605</v>
      </c>
    </row>
    <row r="1654" spans="1:24" s="4" customFormat="1" ht="15" customHeight="1">
      <c r="A1654" s="79" t="s">
        <v>3955</v>
      </c>
      <c r="B1654" s="80">
        <v>3394.61</v>
      </c>
      <c r="C1654" s="81" t="s">
        <v>4382</v>
      </c>
      <c r="D1654" s="82">
        <v>4952771714</v>
      </c>
      <c r="E1654" s="82" t="s">
        <v>14</v>
      </c>
      <c r="F1654" s="82" t="s">
        <v>4383</v>
      </c>
      <c r="G1654" s="79" t="s">
        <v>5</v>
      </c>
      <c r="H1654" s="2" t="s">
        <v>17</v>
      </c>
      <c r="I1654" s="2">
        <v>1</v>
      </c>
      <c r="J1654" s="2" t="s">
        <v>4384</v>
      </c>
      <c r="K1654" s="2">
        <v>2066.4</v>
      </c>
      <c r="L1654" s="35">
        <v>7014622.1040000003</v>
      </c>
      <c r="M1654" s="36">
        <v>840</v>
      </c>
      <c r="N1654" s="62">
        <v>13234.581294305999</v>
      </c>
      <c r="O1654" s="40">
        <v>113801.25</v>
      </c>
      <c r="P1654" s="40">
        <v>0</v>
      </c>
      <c r="Q1654" s="40">
        <v>24827.25</v>
      </c>
      <c r="R1654" s="62">
        <v>26813.537617196402</v>
      </c>
      <c r="S1654" s="62">
        <v>13613.4937114109</v>
      </c>
      <c r="T1654" s="40">
        <v>30000</v>
      </c>
      <c r="U1654" s="55">
        <v>242968.03109993099</v>
      </c>
      <c r="V1654" s="55">
        <v>0</v>
      </c>
      <c r="W1654" s="45">
        <v>465258.14372284431</v>
      </c>
      <c r="X1654" s="46">
        <v>6.6326900697549585</v>
      </c>
    </row>
    <row r="1655" spans="1:24" s="4" customFormat="1" ht="15" customHeight="1">
      <c r="A1655" s="79" t="s">
        <v>3955</v>
      </c>
      <c r="B1655" s="80">
        <v>3394.61</v>
      </c>
      <c r="C1655" s="81" t="s">
        <v>4382</v>
      </c>
      <c r="D1655" s="82">
        <v>4952771715</v>
      </c>
      <c r="E1655" s="82" t="s">
        <v>14</v>
      </c>
      <c r="F1655" s="82" t="s">
        <v>4383</v>
      </c>
      <c r="G1655" s="79" t="s">
        <v>5</v>
      </c>
      <c r="H1655" s="2" t="s">
        <v>17</v>
      </c>
      <c r="I1655" s="2">
        <v>1</v>
      </c>
      <c r="J1655" s="2" t="s">
        <v>4384</v>
      </c>
      <c r="K1655" s="2">
        <v>23580</v>
      </c>
      <c r="L1655" s="35">
        <v>80044903.799999997</v>
      </c>
      <c r="M1655" s="36">
        <v>18000</v>
      </c>
      <c r="N1655" s="62">
        <v>283598.17059227102</v>
      </c>
      <c r="O1655" s="40">
        <v>113801.25</v>
      </c>
      <c r="P1655" s="40">
        <v>0</v>
      </c>
      <c r="Q1655" s="40">
        <v>24827.25</v>
      </c>
      <c r="R1655" s="62">
        <v>574575.80608278106</v>
      </c>
      <c r="S1655" s="62">
        <v>291717.722387377</v>
      </c>
      <c r="T1655" s="40">
        <v>30000</v>
      </c>
      <c r="U1655" s="55">
        <v>5206457.80928424</v>
      </c>
      <c r="V1655" s="55">
        <v>0</v>
      </c>
      <c r="W1655" s="45">
        <v>6524978.0083466694</v>
      </c>
      <c r="X1655" s="46">
        <v>8.1516470113449877</v>
      </c>
    </row>
    <row r="1657" spans="1:24" ht="15" customHeight="1">
      <c r="A1657" s="87" t="s">
        <v>3955</v>
      </c>
      <c r="B1657" s="31"/>
      <c r="C1657" s="31"/>
      <c r="D1657" s="31"/>
      <c r="E1657" s="31"/>
      <c r="F1657" s="32">
        <v>88</v>
      </c>
      <c r="G1657" s="31"/>
      <c r="H1657" s="31"/>
      <c r="I1657" s="38"/>
      <c r="J1657" s="31"/>
      <c r="K1657" s="39">
        <f>+SUM(K1449:K1655)</f>
        <v>2400337.7399999998</v>
      </c>
      <c r="L1657" s="39">
        <f>+SUM(L1449:L1655)</f>
        <v>8148210495.5814056</v>
      </c>
      <c r="M1657" s="31"/>
      <c r="N1657" s="39"/>
      <c r="O1657" s="39"/>
      <c r="P1657" s="39"/>
      <c r="Q1657" s="39"/>
      <c r="R1657" s="39"/>
      <c r="S1657" s="39"/>
      <c r="T1657" s="39"/>
      <c r="U1657" s="39"/>
      <c r="V1657" s="31"/>
      <c r="W1657" s="39">
        <f>+SUM(W1449:W1655)</f>
        <v>345299532.09947324</v>
      </c>
      <c r="X1657" s="47">
        <f>(W1657/L1657)*100</f>
        <v>4.2377345588546289</v>
      </c>
    </row>
  </sheetData>
  <conditionalFormatting sqref="C2">
    <cfRule type="duplicateValues" dxfId="345" priority="171"/>
  </conditionalFormatting>
  <conditionalFormatting sqref="C3">
    <cfRule type="duplicateValues" dxfId="344" priority="170"/>
  </conditionalFormatting>
  <conditionalFormatting sqref="C4">
    <cfRule type="duplicateValues" dxfId="343" priority="169"/>
  </conditionalFormatting>
  <conditionalFormatting sqref="C5">
    <cfRule type="duplicateValues" dxfId="342" priority="168"/>
  </conditionalFormatting>
  <conditionalFormatting sqref="C6">
    <cfRule type="duplicateValues" dxfId="341" priority="167"/>
  </conditionalFormatting>
  <conditionalFormatting sqref="C7">
    <cfRule type="duplicateValues" dxfId="340" priority="166"/>
  </conditionalFormatting>
  <conditionalFormatting sqref="C8">
    <cfRule type="duplicateValues" dxfId="339" priority="165"/>
  </conditionalFormatting>
  <conditionalFormatting sqref="C9">
    <cfRule type="duplicateValues" dxfId="338" priority="164"/>
  </conditionalFormatting>
  <conditionalFormatting sqref="C10">
    <cfRule type="duplicateValues" dxfId="337" priority="163"/>
  </conditionalFormatting>
  <conditionalFormatting sqref="C11">
    <cfRule type="duplicateValues" dxfId="336" priority="162"/>
  </conditionalFormatting>
  <conditionalFormatting sqref="C12">
    <cfRule type="duplicateValues" dxfId="335" priority="161"/>
  </conditionalFormatting>
  <conditionalFormatting sqref="C13">
    <cfRule type="duplicateValues" dxfId="334" priority="160"/>
  </conditionalFormatting>
  <conditionalFormatting sqref="C14">
    <cfRule type="duplicateValues" dxfId="333" priority="159"/>
  </conditionalFormatting>
  <conditionalFormatting sqref="C15">
    <cfRule type="duplicateValues" dxfId="332" priority="158"/>
  </conditionalFormatting>
  <conditionalFormatting sqref="C16">
    <cfRule type="duplicateValues" dxfId="331" priority="157"/>
  </conditionalFormatting>
  <conditionalFormatting sqref="C17">
    <cfRule type="duplicateValues" dxfId="330" priority="156"/>
  </conditionalFormatting>
  <conditionalFormatting sqref="C18">
    <cfRule type="duplicateValues" dxfId="329" priority="155"/>
  </conditionalFormatting>
  <conditionalFormatting sqref="C19">
    <cfRule type="duplicateValues" dxfId="328" priority="154"/>
  </conditionalFormatting>
  <conditionalFormatting sqref="C20">
    <cfRule type="duplicateValues" dxfId="327" priority="153"/>
  </conditionalFormatting>
  <conditionalFormatting sqref="C21">
    <cfRule type="duplicateValues" dxfId="326" priority="152"/>
  </conditionalFormatting>
  <conditionalFormatting sqref="C22">
    <cfRule type="duplicateValues" dxfId="325" priority="151"/>
  </conditionalFormatting>
  <conditionalFormatting sqref="C23">
    <cfRule type="duplicateValues" dxfId="324" priority="150"/>
  </conditionalFormatting>
  <conditionalFormatting sqref="C24">
    <cfRule type="duplicateValues" dxfId="323" priority="149"/>
  </conditionalFormatting>
  <conditionalFormatting sqref="C25">
    <cfRule type="duplicateValues" dxfId="322" priority="148"/>
  </conditionalFormatting>
  <conditionalFormatting sqref="C26">
    <cfRule type="duplicateValues" dxfId="321" priority="147"/>
  </conditionalFormatting>
  <conditionalFormatting sqref="C27">
    <cfRule type="duplicateValues" dxfId="320" priority="146"/>
  </conditionalFormatting>
  <conditionalFormatting sqref="C28">
    <cfRule type="duplicateValues" dxfId="319" priority="145"/>
  </conditionalFormatting>
  <conditionalFormatting sqref="C29">
    <cfRule type="duplicateValues" dxfId="318" priority="144"/>
  </conditionalFormatting>
  <conditionalFormatting sqref="C30">
    <cfRule type="duplicateValues" dxfId="317" priority="143"/>
  </conditionalFormatting>
  <conditionalFormatting sqref="C31">
    <cfRule type="duplicateValues" dxfId="316" priority="142"/>
  </conditionalFormatting>
  <conditionalFormatting sqref="C32">
    <cfRule type="duplicateValues" dxfId="315" priority="141"/>
  </conditionalFormatting>
  <conditionalFormatting sqref="C33">
    <cfRule type="duplicateValues" dxfId="314" priority="140"/>
  </conditionalFormatting>
  <conditionalFormatting sqref="C34">
    <cfRule type="duplicateValues" dxfId="313" priority="139"/>
  </conditionalFormatting>
  <conditionalFormatting sqref="C35">
    <cfRule type="duplicateValues" dxfId="312" priority="138"/>
  </conditionalFormatting>
  <conditionalFormatting sqref="C36">
    <cfRule type="duplicateValues" dxfId="311" priority="137"/>
  </conditionalFormatting>
  <conditionalFormatting sqref="C37">
    <cfRule type="duplicateValues" dxfId="310" priority="136"/>
  </conditionalFormatting>
  <conditionalFormatting sqref="C38">
    <cfRule type="duplicateValues" dxfId="309" priority="135"/>
  </conditionalFormatting>
  <conditionalFormatting sqref="C39">
    <cfRule type="duplicateValues" dxfId="308" priority="134"/>
  </conditionalFormatting>
  <conditionalFormatting sqref="C40">
    <cfRule type="duplicateValues" dxfId="307" priority="133"/>
  </conditionalFormatting>
  <conditionalFormatting sqref="C41">
    <cfRule type="duplicateValues" dxfId="306" priority="132"/>
  </conditionalFormatting>
  <conditionalFormatting sqref="C42">
    <cfRule type="duplicateValues" dxfId="305" priority="131"/>
  </conditionalFormatting>
  <conditionalFormatting sqref="C43">
    <cfRule type="duplicateValues" dxfId="304" priority="130"/>
  </conditionalFormatting>
  <conditionalFormatting sqref="C44">
    <cfRule type="duplicateValues" dxfId="303" priority="129"/>
  </conditionalFormatting>
  <conditionalFormatting sqref="C45">
    <cfRule type="duplicateValues" dxfId="302" priority="128"/>
  </conditionalFormatting>
  <conditionalFormatting sqref="C46">
    <cfRule type="duplicateValues" dxfId="301" priority="127"/>
  </conditionalFormatting>
  <conditionalFormatting sqref="C47">
    <cfRule type="duplicateValues" dxfId="300" priority="126"/>
  </conditionalFormatting>
  <conditionalFormatting sqref="C48">
    <cfRule type="duplicateValues" dxfId="299" priority="125"/>
  </conditionalFormatting>
  <conditionalFormatting sqref="C49">
    <cfRule type="duplicateValues" dxfId="298" priority="124"/>
  </conditionalFormatting>
  <conditionalFormatting sqref="C50">
    <cfRule type="duplicateValues" dxfId="297" priority="123"/>
  </conditionalFormatting>
  <conditionalFormatting sqref="C51">
    <cfRule type="duplicateValues" dxfId="296" priority="122"/>
  </conditionalFormatting>
  <conditionalFormatting sqref="C52">
    <cfRule type="duplicateValues" dxfId="295" priority="121"/>
  </conditionalFormatting>
  <conditionalFormatting sqref="C53">
    <cfRule type="duplicateValues" dxfId="294" priority="120"/>
  </conditionalFormatting>
  <conditionalFormatting sqref="C54">
    <cfRule type="duplicateValues" dxfId="293" priority="119"/>
  </conditionalFormatting>
  <conditionalFormatting sqref="C55">
    <cfRule type="duplicateValues" dxfId="292" priority="118"/>
  </conditionalFormatting>
  <conditionalFormatting sqref="C56">
    <cfRule type="duplicateValues" dxfId="291" priority="117"/>
  </conditionalFormatting>
  <conditionalFormatting sqref="C57">
    <cfRule type="duplicateValues" dxfId="290" priority="116"/>
  </conditionalFormatting>
  <conditionalFormatting sqref="C58">
    <cfRule type="duplicateValues" dxfId="289" priority="115"/>
  </conditionalFormatting>
  <conditionalFormatting sqref="C59">
    <cfRule type="duplicateValues" dxfId="288" priority="114"/>
  </conditionalFormatting>
  <conditionalFormatting sqref="C60">
    <cfRule type="duplicateValues" dxfId="287" priority="113"/>
  </conditionalFormatting>
  <conditionalFormatting sqref="C61">
    <cfRule type="duplicateValues" dxfId="286" priority="112"/>
  </conditionalFormatting>
  <conditionalFormatting sqref="C62">
    <cfRule type="duplicateValues" dxfId="285" priority="111"/>
  </conditionalFormatting>
  <conditionalFormatting sqref="C63">
    <cfRule type="duplicateValues" dxfId="284" priority="110"/>
  </conditionalFormatting>
  <conditionalFormatting sqref="C64">
    <cfRule type="duplicateValues" dxfId="283" priority="109"/>
  </conditionalFormatting>
  <conditionalFormatting sqref="C65">
    <cfRule type="duplicateValues" dxfId="282" priority="108"/>
  </conditionalFormatting>
  <conditionalFormatting sqref="C66">
    <cfRule type="duplicateValues" dxfId="281" priority="107"/>
  </conditionalFormatting>
  <conditionalFormatting sqref="C67">
    <cfRule type="duplicateValues" dxfId="280" priority="106"/>
  </conditionalFormatting>
  <conditionalFormatting sqref="C68">
    <cfRule type="duplicateValues" dxfId="279" priority="105"/>
  </conditionalFormatting>
  <conditionalFormatting sqref="C69">
    <cfRule type="duplicateValues" dxfId="278" priority="104"/>
  </conditionalFormatting>
  <conditionalFormatting sqref="C70">
    <cfRule type="duplicateValues" dxfId="277" priority="103"/>
  </conditionalFormatting>
  <conditionalFormatting sqref="C71">
    <cfRule type="duplicateValues" dxfId="276" priority="102"/>
  </conditionalFormatting>
  <conditionalFormatting sqref="C72">
    <cfRule type="duplicateValues" dxfId="275" priority="101"/>
  </conditionalFormatting>
  <conditionalFormatting sqref="C73">
    <cfRule type="duplicateValues" dxfId="274" priority="100"/>
  </conditionalFormatting>
  <conditionalFormatting sqref="C74">
    <cfRule type="duplicateValues" dxfId="273" priority="99"/>
  </conditionalFormatting>
  <conditionalFormatting sqref="C75">
    <cfRule type="duplicateValues" dxfId="272" priority="98"/>
  </conditionalFormatting>
  <conditionalFormatting sqref="C76">
    <cfRule type="duplicateValues" dxfId="271" priority="97"/>
  </conditionalFormatting>
  <conditionalFormatting sqref="C77">
    <cfRule type="duplicateValues" dxfId="270" priority="96"/>
  </conditionalFormatting>
  <conditionalFormatting sqref="C78">
    <cfRule type="duplicateValues" dxfId="269" priority="95"/>
  </conditionalFormatting>
  <conditionalFormatting sqref="C79">
    <cfRule type="duplicateValues" dxfId="268" priority="94"/>
  </conditionalFormatting>
  <conditionalFormatting sqref="C80">
    <cfRule type="duplicateValues" dxfId="267" priority="93"/>
  </conditionalFormatting>
  <conditionalFormatting sqref="C81">
    <cfRule type="duplicateValues" dxfId="266" priority="92"/>
  </conditionalFormatting>
  <conditionalFormatting sqref="C82">
    <cfRule type="duplicateValues" dxfId="265" priority="91"/>
  </conditionalFormatting>
  <conditionalFormatting sqref="C83">
    <cfRule type="duplicateValues" dxfId="264" priority="90"/>
  </conditionalFormatting>
  <conditionalFormatting sqref="C84">
    <cfRule type="duplicateValues" dxfId="263" priority="89"/>
  </conditionalFormatting>
  <conditionalFormatting sqref="C85">
    <cfRule type="duplicateValues" dxfId="262" priority="88"/>
  </conditionalFormatting>
  <conditionalFormatting sqref="C86">
    <cfRule type="duplicateValues" dxfId="261" priority="87"/>
  </conditionalFormatting>
  <conditionalFormatting sqref="C87">
    <cfRule type="duplicateValues" dxfId="260" priority="86"/>
  </conditionalFormatting>
  <conditionalFormatting sqref="C88">
    <cfRule type="duplicateValues" dxfId="259" priority="85"/>
  </conditionalFormatting>
  <conditionalFormatting sqref="C89">
    <cfRule type="duplicateValues" dxfId="258" priority="84"/>
  </conditionalFormatting>
  <conditionalFormatting sqref="C90">
    <cfRule type="duplicateValues" dxfId="257" priority="83"/>
  </conditionalFormatting>
  <conditionalFormatting sqref="C91">
    <cfRule type="duplicateValues" dxfId="256" priority="82"/>
  </conditionalFormatting>
  <conditionalFormatting sqref="C92">
    <cfRule type="duplicateValues" dxfId="255" priority="81"/>
  </conditionalFormatting>
  <conditionalFormatting sqref="C93">
    <cfRule type="duplicateValues" dxfId="254" priority="80"/>
  </conditionalFormatting>
  <conditionalFormatting sqref="C94">
    <cfRule type="duplicateValues" dxfId="253" priority="79"/>
  </conditionalFormatting>
  <conditionalFormatting sqref="C95">
    <cfRule type="duplicateValues" dxfId="252" priority="78"/>
  </conditionalFormatting>
  <conditionalFormatting sqref="C96">
    <cfRule type="duplicateValues" dxfId="251" priority="77"/>
  </conditionalFormatting>
  <conditionalFormatting sqref="C97">
    <cfRule type="duplicateValues" dxfId="250" priority="76"/>
  </conditionalFormatting>
  <conditionalFormatting sqref="C98">
    <cfRule type="duplicateValues" dxfId="249" priority="75"/>
  </conditionalFormatting>
  <conditionalFormatting sqref="C99">
    <cfRule type="duplicateValues" dxfId="248" priority="74"/>
  </conditionalFormatting>
  <conditionalFormatting sqref="C100">
    <cfRule type="duplicateValues" dxfId="247" priority="73"/>
  </conditionalFormatting>
  <conditionalFormatting sqref="C101">
    <cfRule type="duplicateValues" dxfId="246" priority="72"/>
  </conditionalFormatting>
  <conditionalFormatting sqref="C102">
    <cfRule type="duplicateValues" dxfId="245" priority="71"/>
  </conditionalFormatting>
  <conditionalFormatting sqref="C103">
    <cfRule type="duplicateValues" dxfId="244" priority="70"/>
  </conditionalFormatting>
  <conditionalFormatting sqref="C104">
    <cfRule type="duplicateValues" dxfId="243" priority="69"/>
  </conditionalFormatting>
  <conditionalFormatting sqref="C105">
    <cfRule type="duplicateValues" dxfId="242" priority="68"/>
  </conditionalFormatting>
  <conditionalFormatting sqref="C106">
    <cfRule type="duplicateValues" dxfId="241" priority="67"/>
  </conditionalFormatting>
  <conditionalFormatting sqref="C107">
    <cfRule type="duplicateValues" dxfId="240" priority="66"/>
  </conditionalFormatting>
  <conditionalFormatting sqref="C108">
    <cfRule type="duplicateValues" dxfId="239" priority="65"/>
  </conditionalFormatting>
  <conditionalFormatting sqref="C109">
    <cfRule type="duplicateValues" dxfId="238" priority="64"/>
  </conditionalFormatting>
  <conditionalFormatting sqref="C110">
    <cfRule type="duplicateValues" dxfId="237" priority="63"/>
  </conditionalFormatting>
  <conditionalFormatting sqref="C111">
    <cfRule type="duplicateValues" dxfId="236" priority="62"/>
  </conditionalFormatting>
  <conditionalFormatting sqref="C112">
    <cfRule type="duplicateValues" dxfId="235" priority="61"/>
  </conditionalFormatting>
  <conditionalFormatting sqref="C113">
    <cfRule type="duplicateValues" dxfId="234" priority="60"/>
  </conditionalFormatting>
  <conditionalFormatting sqref="C114">
    <cfRule type="duplicateValues" dxfId="233" priority="59"/>
  </conditionalFormatting>
  <conditionalFormatting sqref="C115">
    <cfRule type="duplicateValues" dxfId="232" priority="58"/>
  </conditionalFormatting>
  <conditionalFormatting sqref="C116">
    <cfRule type="duplicateValues" dxfId="231" priority="57"/>
  </conditionalFormatting>
  <conditionalFormatting sqref="C117">
    <cfRule type="duplicateValues" dxfId="230" priority="56"/>
  </conditionalFormatting>
  <conditionalFormatting sqref="C118">
    <cfRule type="duplicateValues" dxfId="229" priority="55"/>
  </conditionalFormatting>
  <conditionalFormatting sqref="C119">
    <cfRule type="duplicateValues" dxfId="228" priority="54"/>
  </conditionalFormatting>
  <conditionalFormatting sqref="C120">
    <cfRule type="duplicateValues" dxfId="227" priority="53"/>
  </conditionalFormatting>
  <conditionalFormatting sqref="C121">
    <cfRule type="duplicateValues" dxfId="226" priority="52"/>
  </conditionalFormatting>
  <conditionalFormatting sqref="C122">
    <cfRule type="duplicateValues" dxfId="225" priority="51"/>
  </conditionalFormatting>
  <conditionalFormatting sqref="C123">
    <cfRule type="duplicateValues" dxfId="224" priority="50"/>
  </conditionalFormatting>
  <conditionalFormatting sqref="C124">
    <cfRule type="duplicateValues" dxfId="223" priority="49"/>
  </conditionalFormatting>
  <conditionalFormatting sqref="C125">
    <cfRule type="duplicateValues" dxfId="222" priority="48"/>
  </conditionalFormatting>
  <conditionalFormatting sqref="C126">
    <cfRule type="duplicateValues" dxfId="221" priority="47"/>
  </conditionalFormatting>
  <conditionalFormatting sqref="C127">
    <cfRule type="duplicateValues" dxfId="220" priority="46"/>
  </conditionalFormatting>
  <conditionalFormatting sqref="C128">
    <cfRule type="duplicateValues" dxfId="219" priority="45"/>
  </conditionalFormatting>
  <conditionalFormatting sqref="C129">
    <cfRule type="duplicateValues" dxfId="218" priority="44"/>
  </conditionalFormatting>
  <conditionalFormatting sqref="C130">
    <cfRule type="duplicateValues" dxfId="217" priority="43"/>
  </conditionalFormatting>
  <conditionalFormatting sqref="C131">
    <cfRule type="duplicateValues" dxfId="216" priority="42"/>
  </conditionalFormatting>
  <conditionalFormatting sqref="C132">
    <cfRule type="duplicateValues" dxfId="215" priority="41"/>
  </conditionalFormatting>
  <conditionalFormatting sqref="C133">
    <cfRule type="duplicateValues" dxfId="214" priority="40"/>
  </conditionalFormatting>
  <conditionalFormatting sqref="C134">
    <cfRule type="duplicateValues" dxfId="213" priority="39"/>
  </conditionalFormatting>
  <conditionalFormatting sqref="C135">
    <cfRule type="duplicateValues" dxfId="212" priority="38"/>
  </conditionalFormatting>
  <conditionalFormatting sqref="C136">
    <cfRule type="duplicateValues" dxfId="211" priority="37"/>
  </conditionalFormatting>
  <conditionalFormatting sqref="C137">
    <cfRule type="duplicateValues" dxfId="210" priority="36"/>
  </conditionalFormatting>
  <conditionalFormatting sqref="C138">
    <cfRule type="duplicateValues" dxfId="209" priority="35"/>
  </conditionalFormatting>
  <conditionalFormatting sqref="C139">
    <cfRule type="duplicateValues" dxfId="208" priority="34"/>
  </conditionalFormatting>
  <conditionalFormatting sqref="C140">
    <cfRule type="duplicateValues" dxfId="207" priority="33"/>
  </conditionalFormatting>
  <conditionalFormatting sqref="C141">
    <cfRule type="duplicateValues" dxfId="206" priority="32"/>
  </conditionalFormatting>
  <conditionalFormatting sqref="C142">
    <cfRule type="duplicateValues" dxfId="205" priority="31"/>
  </conditionalFormatting>
  <conditionalFormatting sqref="C143">
    <cfRule type="duplicateValues" dxfId="204" priority="30"/>
  </conditionalFormatting>
  <conditionalFormatting sqref="C144">
    <cfRule type="duplicateValues" dxfId="203" priority="29"/>
  </conditionalFormatting>
  <conditionalFormatting sqref="C145">
    <cfRule type="duplicateValues" dxfId="202" priority="28"/>
  </conditionalFormatting>
  <conditionalFormatting sqref="C146">
    <cfRule type="duplicateValues" dxfId="201" priority="27"/>
  </conditionalFormatting>
  <conditionalFormatting sqref="C147">
    <cfRule type="duplicateValues" dxfId="200" priority="26"/>
  </conditionalFormatting>
  <conditionalFormatting sqref="C148">
    <cfRule type="duplicateValues" dxfId="199" priority="25"/>
  </conditionalFormatting>
  <conditionalFormatting sqref="C149">
    <cfRule type="duplicateValues" dxfId="198" priority="24"/>
  </conditionalFormatting>
  <conditionalFormatting sqref="C150">
    <cfRule type="duplicateValues" dxfId="197" priority="23"/>
  </conditionalFormatting>
  <conditionalFormatting sqref="C151">
    <cfRule type="duplicateValues" dxfId="196" priority="22"/>
  </conditionalFormatting>
  <conditionalFormatting sqref="C152">
    <cfRule type="duplicateValues" dxfId="195" priority="21"/>
  </conditionalFormatting>
  <conditionalFormatting sqref="C153">
    <cfRule type="duplicateValues" dxfId="194" priority="20"/>
  </conditionalFormatting>
  <conditionalFormatting sqref="C154">
    <cfRule type="duplicateValues" dxfId="193" priority="19"/>
  </conditionalFormatting>
  <conditionalFormatting sqref="C155">
    <cfRule type="duplicateValues" dxfId="192" priority="18"/>
  </conditionalFormatting>
  <conditionalFormatting sqref="C156">
    <cfRule type="duplicateValues" dxfId="191" priority="17"/>
  </conditionalFormatting>
  <conditionalFormatting sqref="C157">
    <cfRule type="duplicateValues" dxfId="190" priority="16"/>
  </conditionalFormatting>
  <conditionalFormatting sqref="C158">
    <cfRule type="duplicateValues" dxfId="189" priority="15"/>
  </conditionalFormatting>
  <conditionalFormatting sqref="C159">
    <cfRule type="duplicateValues" dxfId="188" priority="14"/>
  </conditionalFormatting>
  <conditionalFormatting sqref="C160">
    <cfRule type="duplicateValues" dxfId="187" priority="13"/>
  </conditionalFormatting>
  <conditionalFormatting sqref="C161">
    <cfRule type="duplicateValues" dxfId="186" priority="12"/>
  </conditionalFormatting>
  <conditionalFormatting sqref="C162">
    <cfRule type="duplicateValues" dxfId="185" priority="11"/>
  </conditionalFormatting>
  <conditionalFormatting sqref="C163">
    <cfRule type="duplicateValues" dxfId="184" priority="10"/>
  </conditionalFormatting>
  <conditionalFormatting sqref="C164">
    <cfRule type="duplicateValues" dxfId="183" priority="9"/>
  </conditionalFormatting>
  <conditionalFormatting sqref="C165">
    <cfRule type="duplicateValues" dxfId="182" priority="8"/>
  </conditionalFormatting>
  <conditionalFormatting sqref="C166">
    <cfRule type="duplicateValues" dxfId="181" priority="7"/>
  </conditionalFormatting>
  <conditionalFormatting sqref="C167">
    <cfRule type="duplicateValues" dxfId="180" priority="6"/>
  </conditionalFormatting>
  <conditionalFormatting sqref="C168">
    <cfRule type="duplicateValues" dxfId="179" priority="5"/>
  </conditionalFormatting>
  <conditionalFormatting sqref="C169">
    <cfRule type="duplicateValues" dxfId="178" priority="4"/>
  </conditionalFormatting>
  <conditionalFormatting sqref="C170">
    <cfRule type="duplicateValues" dxfId="177" priority="3"/>
  </conditionalFormatting>
  <conditionalFormatting sqref="C171">
    <cfRule type="duplicateValues" dxfId="176" priority="2"/>
  </conditionalFormatting>
  <conditionalFormatting sqref="C172">
    <cfRule type="duplicateValues" dxfId="175" priority="1"/>
  </conditionalFormatting>
  <pageMargins left="0.69930555555555596" right="0.69930555555555596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09"/>
  <sheetViews>
    <sheetView showGridLines="0" topLeftCell="I1" zoomScale="80" zoomScaleNormal="80" workbookViewId="0">
      <pane ySplit="1" topLeftCell="A291" activePane="bottomLeft" state="frozen"/>
      <selection pane="bottomLeft" activeCell="J275" sqref="J275"/>
    </sheetView>
  </sheetViews>
  <sheetFormatPr baseColWidth="10" defaultColWidth="11.42578125" defaultRowHeight="15"/>
  <cols>
    <col min="1" max="1" width="12.5703125" customWidth="1"/>
    <col min="4" max="4" width="12.28515625" customWidth="1"/>
    <col min="5" max="5" width="6" customWidth="1"/>
    <col min="6" max="6" width="23" customWidth="1"/>
    <col min="7" max="7" width="14.7109375" customWidth="1"/>
    <col min="8" max="8" width="10.5703125" customWidth="1"/>
    <col min="9" max="9" width="7.7109375" customWidth="1"/>
    <col min="10" max="10" width="15.28515625" customWidth="1"/>
    <col min="11" max="11" width="14" customWidth="1"/>
    <col min="12" max="12" width="16.28515625" customWidth="1"/>
    <col min="13" max="13" width="12.28515625" customWidth="1"/>
    <col min="14" max="14" width="20.140625" customWidth="1"/>
    <col min="15" max="15" width="15.140625" customWidth="1"/>
    <col min="16" max="16" width="10.42578125" customWidth="1"/>
    <col min="19" max="20" width="16.140625" customWidth="1"/>
    <col min="21" max="21" width="14.85546875" customWidth="1"/>
    <col min="23" max="23" width="12.7109375" customWidth="1"/>
  </cols>
  <sheetData>
    <row r="1" spans="1:24" ht="40.5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97</v>
      </c>
      <c r="D2" s="2">
        <v>4947616624</v>
      </c>
      <c r="E2" s="2" t="s">
        <v>18</v>
      </c>
      <c r="F2" s="78" t="s">
        <v>98</v>
      </c>
      <c r="G2" s="28" t="s">
        <v>9</v>
      </c>
      <c r="H2" s="2" t="s">
        <v>23</v>
      </c>
      <c r="I2" s="2">
        <v>4</v>
      </c>
      <c r="J2" s="2"/>
      <c r="K2" s="2">
        <v>15240</v>
      </c>
      <c r="L2" s="35">
        <v>48304704</v>
      </c>
      <c r="M2" s="36">
        <v>4000</v>
      </c>
      <c r="N2" s="37">
        <v>967898</v>
      </c>
      <c r="O2" s="37">
        <v>2599</v>
      </c>
      <c r="P2" s="37">
        <v>0</v>
      </c>
      <c r="Q2" s="37">
        <v>79711</v>
      </c>
      <c r="R2" s="37">
        <v>167170</v>
      </c>
      <c r="S2" s="37">
        <v>343435</v>
      </c>
      <c r="T2" s="40">
        <v>30000</v>
      </c>
      <c r="U2" s="37">
        <v>1367700</v>
      </c>
      <c r="V2" s="37">
        <v>0</v>
      </c>
      <c r="W2" s="45">
        <v>2958513</v>
      </c>
      <c r="X2" s="46">
        <v>6.1246892228135801</v>
      </c>
    </row>
    <row r="3" spans="1:24">
      <c r="A3" s="28" t="s">
        <v>63</v>
      </c>
      <c r="B3" s="29">
        <v>3169.6</v>
      </c>
      <c r="C3" s="30" t="s">
        <v>107</v>
      </c>
      <c r="D3" s="2">
        <v>4947413827</v>
      </c>
      <c r="E3" s="2" t="s">
        <v>18</v>
      </c>
      <c r="F3" s="2" t="s">
        <v>108</v>
      </c>
      <c r="G3" s="28" t="s">
        <v>9</v>
      </c>
      <c r="H3" s="2" t="s">
        <v>23</v>
      </c>
      <c r="I3" s="2">
        <v>1</v>
      </c>
      <c r="J3" s="2"/>
      <c r="K3" s="2">
        <v>478</v>
      </c>
      <c r="L3" s="35">
        <v>1515068.8</v>
      </c>
      <c r="M3" s="36">
        <v>200</v>
      </c>
      <c r="N3" s="37">
        <v>444388</v>
      </c>
      <c r="O3" s="37">
        <v>318</v>
      </c>
      <c r="P3" s="37">
        <v>6790</v>
      </c>
      <c r="Q3" s="37">
        <v>3472</v>
      </c>
      <c r="R3" s="37">
        <v>214082</v>
      </c>
      <c r="S3" s="37">
        <v>343435</v>
      </c>
      <c r="T3" s="40">
        <v>30000</v>
      </c>
      <c r="U3" s="37">
        <v>166792.682926829</v>
      </c>
      <c r="V3" s="37">
        <v>0</v>
      </c>
      <c r="W3" s="45">
        <v>1209277.6829268299</v>
      </c>
      <c r="X3" s="46">
        <v>79.816684425606894</v>
      </c>
    </row>
    <row r="4" spans="1:24">
      <c r="A4" s="28" t="s">
        <v>63</v>
      </c>
      <c r="B4" s="29">
        <v>3169.6</v>
      </c>
      <c r="C4" s="30" t="s">
        <v>136</v>
      </c>
      <c r="D4" s="2">
        <v>4947614500</v>
      </c>
      <c r="E4" s="2" t="s">
        <v>18</v>
      </c>
      <c r="F4" s="78" t="s">
        <v>137</v>
      </c>
      <c r="G4" s="28" t="s">
        <v>5</v>
      </c>
      <c r="H4" s="2" t="s">
        <v>35</v>
      </c>
      <c r="I4" s="2">
        <v>1</v>
      </c>
      <c r="J4" s="2" t="s">
        <v>138</v>
      </c>
      <c r="K4" s="2">
        <v>22556</v>
      </c>
      <c r="L4" s="35">
        <v>71493497.599999994</v>
      </c>
      <c r="M4" s="36">
        <v>400</v>
      </c>
      <c r="N4" s="37">
        <v>13671.9873484449</v>
      </c>
      <c r="O4" s="37">
        <v>17660.221402214</v>
      </c>
      <c r="P4" s="37">
        <v>0</v>
      </c>
      <c r="Q4" s="37">
        <v>4188.0442804428003</v>
      </c>
      <c r="R4" s="37">
        <v>73771.774380600997</v>
      </c>
      <c r="S4" s="37">
        <v>14483.289404322601</v>
      </c>
      <c r="T4" s="40">
        <v>30000</v>
      </c>
      <c r="U4" s="37">
        <v>170966.78966789701</v>
      </c>
      <c r="V4" s="37">
        <v>53200.716921454899</v>
      </c>
      <c r="W4" s="45">
        <v>377942.82340537698</v>
      </c>
      <c r="X4" s="46">
        <v>0.52863943728132501</v>
      </c>
    </row>
    <row r="5" spans="1:24">
      <c r="A5" s="28" t="s">
        <v>63</v>
      </c>
      <c r="B5" s="29">
        <v>3169.6</v>
      </c>
      <c r="C5" s="30" t="s">
        <v>136</v>
      </c>
      <c r="D5" s="2">
        <v>4947413838</v>
      </c>
      <c r="E5" s="2" t="s">
        <v>18</v>
      </c>
      <c r="F5" s="78" t="s">
        <v>137</v>
      </c>
      <c r="G5" s="28" t="s">
        <v>5</v>
      </c>
      <c r="H5" s="2" t="s">
        <v>35</v>
      </c>
      <c r="I5" s="2">
        <v>1</v>
      </c>
      <c r="J5" s="2" t="s">
        <v>138</v>
      </c>
      <c r="K5" s="2">
        <v>13154.4</v>
      </c>
      <c r="L5" s="35">
        <v>41694186.240000002</v>
      </c>
      <c r="M5" s="36">
        <v>240</v>
      </c>
      <c r="N5" s="37">
        <v>8203.1924090669509</v>
      </c>
      <c r="O5" s="37">
        <v>10596.132841328401</v>
      </c>
      <c r="P5" s="37">
        <v>0</v>
      </c>
      <c r="Q5" s="37">
        <v>2512.8265682656802</v>
      </c>
      <c r="R5" s="37">
        <v>44263.264628360601</v>
      </c>
      <c r="S5" s="37">
        <v>8689.9736425935698</v>
      </c>
      <c r="T5" s="40">
        <v>30000</v>
      </c>
      <c r="U5" s="37">
        <v>102580.073800738</v>
      </c>
      <c r="V5" s="37">
        <v>31920.430152872999</v>
      </c>
      <c r="W5" s="45">
        <v>238765.894043226</v>
      </c>
      <c r="X5" s="46">
        <v>0.57265992114306397</v>
      </c>
    </row>
    <row r="6" spans="1:24">
      <c r="A6" s="28" t="s">
        <v>63</v>
      </c>
      <c r="B6" s="29">
        <v>3169.6</v>
      </c>
      <c r="C6" s="30" t="s">
        <v>136</v>
      </c>
      <c r="D6" s="2">
        <v>4947307742</v>
      </c>
      <c r="E6" s="2" t="s">
        <v>18</v>
      </c>
      <c r="F6" s="78" t="s">
        <v>137</v>
      </c>
      <c r="G6" s="28" t="s">
        <v>5</v>
      </c>
      <c r="H6" s="2" t="s">
        <v>35</v>
      </c>
      <c r="I6" s="2">
        <v>1</v>
      </c>
      <c r="J6" s="2" t="s">
        <v>138</v>
      </c>
      <c r="K6" s="2">
        <v>7737.5</v>
      </c>
      <c r="L6" s="35">
        <v>24524780</v>
      </c>
      <c r="M6" s="36">
        <v>1250</v>
      </c>
      <c r="N6" s="37">
        <v>42724.960463890398</v>
      </c>
      <c r="O6" s="37">
        <v>55188.191881918799</v>
      </c>
      <c r="P6" s="37">
        <v>0</v>
      </c>
      <c r="Q6" s="37">
        <v>13087.6383763838</v>
      </c>
      <c r="R6" s="37">
        <v>230536.79493937801</v>
      </c>
      <c r="S6" s="37">
        <v>45260.279388508199</v>
      </c>
      <c r="T6" s="40">
        <v>30000</v>
      </c>
      <c r="U6" s="37">
        <v>534271.21771217696</v>
      </c>
      <c r="V6" s="37">
        <v>166252.240379547</v>
      </c>
      <c r="W6" s="45">
        <v>1117321.3231418</v>
      </c>
      <c r="X6" s="46">
        <v>4.5558872419724201</v>
      </c>
    </row>
    <row r="7" spans="1:24">
      <c r="A7" s="28" t="s">
        <v>63</v>
      </c>
      <c r="B7" s="29">
        <v>3169.6</v>
      </c>
      <c r="C7" s="30" t="s">
        <v>136</v>
      </c>
      <c r="D7" s="2">
        <v>4947307744</v>
      </c>
      <c r="E7" s="2" t="s">
        <v>18</v>
      </c>
      <c r="F7" s="78" t="s">
        <v>137</v>
      </c>
      <c r="G7" s="28" t="s">
        <v>5</v>
      </c>
      <c r="H7" s="2" t="s">
        <v>35</v>
      </c>
      <c r="I7" s="2">
        <v>1</v>
      </c>
      <c r="J7" s="2" t="s">
        <v>138</v>
      </c>
      <c r="K7" s="2">
        <v>41960</v>
      </c>
      <c r="L7" s="35">
        <v>132996416</v>
      </c>
      <c r="M7" s="36">
        <v>4000</v>
      </c>
      <c r="N7" s="37">
        <v>136719.873484449</v>
      </c>
      <c r="O7" s="37">
        <v>176602.21402213999</v>
      </c>
      <c r="P7" s="37">
        <v>0</v>
      </c>
      <c r="Q7" s="37">
        <v>41880.442804427999</v>
      </c>
      <c r="R7" s="37">
        <v>737717.74380601</v>
      </c>
      <c r="S7" s="37">
        <v>144832.894043226</v>
      </c>
      <c r="T7" s="40">
        <v>30000</v>
      </c>
      <c r="U7" s="37">
        <v>1709667.89667897</v>
      </c>
      <c r="V7" s="37">
        <v>532007.16921454901</v>
      </c>
      <c r="W7" s="45">
        <v>3509428.2340537701</v>
      </c>
      <c r="X7" s="46">
        <v>2.6387389522239202</v>
      </c>
    </row>
    <row r="8" spans="1:24">
      <c r="A8" s="28" t="s">
        <v>63</v>
      </c>
      <c r="B8" s="29">
        <v>3169.6</v>
      </c>
      <c r="C8" s="30" t="s">
        <v>136</v>
      </c>
      <c r="D8" s="2">
        <v>4947737190</v>
      </c>
      <c r="E8" s="2" t="s">
        <v>18</v>
      </c>
      <c r="F8" s="78" t="s">
        <v>137</v>
      </c>
      <c r="G8" s="28" t="s">
        <v>5</v>
      </c>
      <c r="H8" s="2" t="s">
        <v>35</v>
      </c>
      <c r="I8" s="2">
        <v>1</v>
      </c>
      <c r="J8" s="2" t="s">
        <v>138</v>
      </c>
      <c r="K8" s="2">
        <v>10846</v>
      </c>
      <c r="L8" s="35">
        <v>34377481.600000001</v>
      </c>
      <c r="M8" s="36">
        <v>1100</v>
      </c>
      <c r="N8" s="37">
        <v>37597.965208223497</v>
      </c>
      <c r="O8" s="37">
        <v>48565.608856088598</v>
      </c>
      <c r="P8" s="37">
        <v>0</v>
      </c>
      <c r="Q8" s="37">
        <v>11517.1217712177</v>
      </c>
      <c r="R8" s="37">
        <v>202872.37954665301</v>
      </c>
      <c r="S8" s="37">
        <v>39829.0458618872</v>
      </c>
      <c r="T8" s="40">
        <v>30000</v>
      </c>
      <c r="U8" s="37">
        <v>470158.67158671602</v>
      </c>
      <c r="V8" s="37">
        <v>146301.971534001</v>
      </c>
      <c r="W8" s="45">
        <v>986842.76436478703</v>
      </c>
      <c r="X8" s="46">
        <v>2.8706080795772602</v>
      </c>
    </row>
    <row r="9" spans="1:24">
      <c r="A9" s="28" t="s">
        <v>63</v>
      </c>
      <c r="B9" s="29">
        <v>3169.6</v>
      </c>
      <c r="C9" s="30" t="s">
        <v>136</v>
      </c>
      <c r="D9" s="2">
        <v>4947307747</v>
      </c>
      <c r="E9" s="2" t="s">
        <v>18</v>
      </c>
      <c r="F9" s="78" t="s">
        <v>137</v>
      </c>
      <c r="G9" s="28" t="s">
        <v>5</v>
      </c>
      <c r="H9" s="2" t="s">
        <v>35</v>
      </c>
      <c r="I9" s="2">
        <v>1</v>
      </c>
      <c r="J9" s="2" t="s">
        <v>138</v>
      </c>
      <c r="K9" s="2">
        <v>42006.25</v>
      </c>
      <c r="L9" s="35">
        <v>133143010</v>
      </c>
      <c r="M9" s="36">
        <v>625</v>
      </c>
      <c r="N9" s="37">
        <v>21362.480231945199</v>
      </c>
      <c r="O9" s="37">
        <v>27594.0959409594</v>
      </c>
      <c r="P9" s="37">
        <v>0</v>
      </c>
      <c r="Q9" s="37">
        <v>6543.8191881918801</v>
      </c>
      <c r="R9" s="37">
        <v>115268.39746968901</v>
      </c>
      <c r="S9" s="37">
        <v>22630.1396942541</v>
      </c>
      <c r="T9" s="40">
        <v>30000</v>
      </c>
      <c r="U9" s="37">
        <v>267135.60885608901</v>
      </c>
      <c r="V9" s="37">
        <v>83126.120189773297</v>
      </c>
      <c r="W9" s="45">
        <v>573660.66157090198</v>
      </c>
      <c r="X9" s="46">
        <v>0.43086051725201502</v>
      </c>
    </row>
    <row r="10" spans="1:24">
      <c r="A10" s="28" t="s">
        <v>63</v>
      </c>
      <c r="B10" s="29">
        <v>3169.6</v>
      </c>
      <c r="C10" s="30" t="s">
        <v>156</v>
      </c>
      <c r="D10" s="2">
        <v>4947307740</v>
      </c>
      <c r="E10" s="2" t="s">
        <v>18</v>
      </c>
      <c r="F10" s="2" t="s">
        <v>157</v>
      </c>
      <c r="G10" s="28" t="s">
        <v>5</v>
      </c>
      <c r="H10" s="2" t="s">
        <v>20</v>
      </c>
      <c r="I10" s="2">
        <v>1</v>
      </c>
      <c r="J10" s="2" t="s">
        <v>158</v>
      </c>
      <c r="K10" s="2">
        <v>23562</v>
      </c>
      <c r="L10" s="35">
        <v>74682115.200000003</v>
      </c>
      <c r="M10" s="36">
        <v>19800</v>
      </c>
      <c r="N10" s="37">
        <v>324197</v>
      </c>
      <c r="O10" s="37">
        <v>158579.5</v>
      </c>
      <c r="P10" s="37">
        <v>0</v>
      </c>
      <c r="Q10" s="37">
        <v>49654.5</v>
      </c>
      <c r="R10" s="37">
        <v>539366.5</v>
      </c>
      <c r="S10" s="37">
        <v>171717.5</v>
      </c>
      <c r="T10" s="40">
        <v>30000</v>
      </c>
      <c r="U10" s="37">
        <v>3913500</v>
      </c>
      <c r="V10" s="37">
        <v>0</v>
      </c>
      <c r="W10" s="45">
        <v>5187015</v>
      </c>
      <c r="X10" s="46">
        <v>6.9454580740102001</v>
      </c>
    </row>
    <row r="11" spans="1:24">
      <c r="A11" s="28" t="s">
        <v>63</v>
      </c>
      <c r="B11" s="29">
        <v>3169.6</v>
      </c>
      <c r="C11" s="30" t="s">
        <v>156</v>
      </c>
      <c r="D11" s="2">
        <v>4947307741</v>
      </c>
      <c r="E11" s="2" t="s">
        <v>18</v>
      </c>
      <c r="F11" s="2" t="s">
        <v>157</v>
      </c>
      <c r="G11" s="28" t="s">
        <v>5</v>
      </c>
      <c r="H11" s="2" t="s">
        <v>20</v>
      </c>
      <c r="I11" s="2">
        <v>1</v>
      </c>
      <c r="J11" s="2" t="s">
        <v>159</v>
      </c>
      <c r="K11" s="2">
        <v>23562</v>
      </c>
      <c r="L11" s="35">
        <v>74682115.200000003</v>
      </c>
      <c r="M11" s="36">
        <v>19800</v>
      </c>
      <c r="N11" s="37">
        <v>324197</v>
      </c>
      <c r="O11" s="37">
        <v>158579.5</v>
      </c>
      <c r="P11" s="37">
        <v>0</v>
      </c>
      <c r="Q11" s="37">
        <v>49654.5</v>
      </c>
      <c r="R11" s="37">
        <v>539366.5</v>
      </c>
      <c r="S11" s="37">
        <v>171717.5</v>
      </c>
      <c r="T11" s="40">
        <v>30000</v>
      </c>
      <c r="U11" s="37">
        <v>0</v>
      </c>
      <c r="V11" s="37">
        <v>0</v>
      </c>
      <c r="W11" s="45">
        <v>1273515</v>
      </c>
      <c r="X11" s="46">
        <v>1.70524763069378</v>
      </c>
    </row>
    <row r="12" spans="1:24">
      <c r="A12" s="28" t="s">
        <v>63</v>
      </c>
      <c r="B12" s="29">
        <v>3169.6</v>
      </c>
      <c r="C12" s="30" t="s">
        <v>210</v>
      </c>
      <c r="D12" s="2">
        <v>4947306178</v>
      </c>
      <c r="E12" s="2" t="s">
        <v>18</v>
      </c>
      <c r="F12" s="2" t="s">
        <v>211</v>
      </c>
      <c r="G12" s="28" t="s">
        <v>5</v>
      </c>
      <c r="H12" s="2" t="s">
        <v>17</v>
      </c>
      <c r="I12" s="2">
        <v>1</v>
      </c>
      <c r="J12" s="2" t="s">
        <v>212</v>
      </c>
      <c r="K12" s="2">
        <v>25800</v>
      </c>
      <c r="L12" s="35">
        <v>81775680</v>
      </c>
      <c r="M12" s="36">
        <v>6000</v>
      </c>
      <c r="N12" s="37">
        <v>122056.14250614301</v>
      </c>
      <c r="O12" s="37">
        <v>154337.10073710099</v>
      </c>
      <c r="P12" s="37">
        <v>0</v>
      </c>
      <c r="Q12" s="37">
        <v>36600.368550368497</v>
      </c>
      <c r="R12" s="37">
        <v>305934.49140049098</v>
      </c>
      <c r="S12" s="37">
        <v>126573.095823096</v>
      </c>
      <c r="T12" s="40">
        <v>30000</v>
      </c>
      <c r="U12" s="37">
        <v>1762242.01474201</v>
      </c>
      <c r="V12" s="37">
        <v>464934.39803439798</v>
      </c>
      <c r="W12" s="45">
        <v>3002677.6117936098</v>
      </c>
      <c r="X12" s="46">
        <v>3.6718467052718</v>
      </c>
    </row>
    <row r="13" spans="1:24">
      <c r="A13" s="28" t="s">
        <v>63</v>
      </c>
      <c r="B13" s="29">
        <v>3169.6</v>
      </c>
      <c r="C13" s="30" t="s">
        <v>210</v>
      </c>
      <c r="D13" s="2">
        <v>4947307726</v>
      </c>
      <c r="E13" s="2" t="s">
        <v>18</v>
      </c>
      <c r="F13" s="2" t="s">
        <v>211</v>
      </c>
      <c r="G13" s="28" t="s">
        <v>5</v>
      </c>
      <c r="H13" s="2" t="s">
        <v>17</v>
      </c>
      <c r="I13" s="2">
        <v>1</v>
      </c>
      <c r="J13" s="2" t="s">
        <v>212</v>
      </c>
      <c r="K13" s="2">
        <v>118693</v>
      </c>
      <c r="L13" s="35">
        <v>376209332.80000001</v>
      </c>
      <c r="M13" s="36">
        <v>1900</v>
      </c>
      <c r="N13" s="37">
        <v>38651.111793611803</v>
      </c>
      <c r="O13" s="37">
        <v>48873.415233415202</v>
      </c>
      <c r="P13" s="37">
        <v>0</v>
      </c>
      <c r="Q13" s="37">
        <v>11590.1167076167</v>
      </c>
      <c r="R13" s="37">
        <v>96878.988943488905</v>
      </c>
      <c r="S13" s="37">
        <v>40081.4803439803</v>
      </c>
      <c r="T13" s="40">
        <v>30000</v>
      </c>
      <c r="U13" s="37">
        <v>558043.30466830498</v>
      </c>
      <c r="V13" s="37">
        <v>147229.226044226</v>
      </c>
      <c r="W13" s="45">
        <v>971347.64373464405</v>
      </c>
      <c r="X13" s="46">
        <v>0.25819339368995198</v>
      </c>
    </row>
    <row r="14" spans="1:24">
      <c r="A14" s="28" t="s">
        <v>63</v>
      </c>
      <c r="B14" s="29">
        <v>3169.6</v>
      </c>
      <c r="C14" s="30" t="s">
        <v>213</v>
      </c>
      <c r="D14" s="2">
        <v>4947306172</v>
      </c>
      <c r="E14" s="2" t="s">
        <v>18</v>
      </c>
      <c r="F14" s="78" t="s">
        <v>214</v>
      </c>
      <c r="G14" s="28" t="s">
        <v>5</v>
      </c>
      <c r="H14" s="2" t="s">
        <v>20</v>
      </c>
      <c r="I14" s="2">
        <v>1</v>
      </c>
      <c r="J14" s="2" t="s">
        <v>215</v>
      </c>
      <c r="K14" s="2">
        <v>19323</v>
      </c>
      <c r="L14" s="35">
        <v>61246180.799999997</v>
      </c>
      <c r="M14" s="36">
        <v>17100</v>
      </c>
      <c r="N14" s="37">
        <v>325162</v>
      </c>
      <c r="O14" s="37">
        <v>317159</v>
      </c>
      <c r="P14" s="37">
        <v>0</v>
      </c>
      <c r="Q14" s="37">
        <v>99309</v>
      </c>
      <c r="R14" s="37">
        <v>642965</v>
      </c>
      <c r="S14" s="37">
        <v>343435</v>
      </c>
      <c r="T14" s="40">
        <v>30000</v>
      </c>
      <c r="U14" s="37">
        <v>3428500</v>
      </c>
      <c r="V14" s="37">
        <v>0</v>
      </c>
      <c r="W14" s="45">
        <v>5186530</v>
      </c>
      <c r="X14" s="46">
        <v>8.4683321184330893</v>
      </c>
    </row>
    <row r="15" spans="1:24">
      <c r="A15" s="28" t="s">
        <v>63</v>
      </c>
      <c r="B15" s="29">
        <v>3169.6</v>
      </c>
      <c r="C15" s="30" t="s">
        <v>232</v>
      </c>
      <c r="D15" s="2">
        <v>4947306175</v>
      </c>
      <c r="E15" s="2" t="s">
        <v>18</v>
      </c>
      <c r="F15" s="2" t="s">
        <v>233</v>
      </c>
      <c r="G15" s="28" t="s">
        <v>5</v>
      </c>
      <c r="H15" s="2" t="s">
        <v>17</v>
      </c>
      <c r="I15" s="2">
        <v>1</v>
      </c>
      <c r="J15" s="2" t="s">
        <v>234</v>
      </c>
      <c r="K15" s="2">
        <v>68800</v>
      </c>
      <c r="L15" s="35">
        <v>218068480</v>
      </c>
      <c r="M15" s="36">
        <v>16000</v>
      </c>
      <c r="N15" s="37">
        <v>334051</v>
      </c>
      <c r="O15" s="37">
        <v>418768</v>
      </c>
      <c r="P15" s="37">
        <v>0</v>
      </c>
      <c r="Q15" s="37">
        <v>99309</v>
      </c>
      <c r="R15" s="37">
        <v>655893</v>
      </c>
      <c r="S15" s="37">
        <v>343435</v>
      </c>
      <c r="T15" s="40">
        <v>30000</v>
      </c>
      <c r="U15" s="37">
        <v>4781550</v>
      </c>
      <c r="V15" s="37">
        <v>0</v>
      </c>
      <c r="W15" s="45">
        <v>6663006</v>
      </c>
      <c r="X15" s="46">
        <v>3.05546496219903</v>
      </c>
    </row>
    <row r="16" spans="1:24">
      <c r="A16" s="28" t="s">
        <v>63</v>
      </c>
      <c r="B16" s="29">
        <v>3169.6</v>
      </c>
      <c r="C16" s="30" t="s">
        <v>237</v>
      </c>
      <c r="D16" s="2">
        <v>4947413840</v>
      </c>
      <c r="E16" s="2" t="s">
        <v>18</v>
      </c>
      <c r="F16" s="2" t="s">
        <v>238</v>
      </c>
      <c r="G16" s="28" t="s">
        <v>9</v>
      </c>
      <c r="H16" s="2" t="s">
        <v>23</v>
      </c>
      <c r="I16" s="2">
        <v>2</v>
      </c>
      <c r="J16" s="2"/>
      <c r="K16" s="2">
        <v>2390</v>
      </c>
      <c r="L16" s="35">
        <v>7575344</v>
      </c>
      <c r="M16" s="36">
        <v>1000</v>
      </c>
      <c r="N16" s="37">
        <v>556817</v>
      </c>
      <c r="O16" s="37">
        <v>682</v>
      </c>
      <c r="P16" s="37">
        <v>21484</v>
      </c>
      <c r="Q16" s="37">
        <v>16286</v>
      </c>
      <c r="R16" s="37">
        <v>227736</v>
      </c>
      <c r="S16" s="37">
        <v>343435</v>
      </c>
      <c r="T16" s="40">
        <v>30000</v>
      </c>
      <c r="U16" s="37">
        <v>677110.38961038995</v>
      </c>
      <c r="V16" s="37">
        <v>0</v>
      </c>
      <c r="W16" s="45">
        <v>1873550.3896103899</v>
      </c>
      <c r="X16" s="46">
        <v>24.732215323956101</v>
      </c>
    </row>
    <row r="17" spans="1:24">
      <c r="A17" s="28" t="s">
        <v>63</v>
      </c>
      <c r="B17" s="29">
        <v>3169.6</v>
      </c>
      <c r="C17" s="30" t="s">
        <v>239</v>
      </c>
      <c r="D17" s="2">
        <v>4947307718</v>
      </c>
      <c r="E17" s="2" t="s">
        <v>18</v>
      </c>
      <c r="F17" s="2" t="s">
        <v>240</v>
      </c>
      <c r="G17" s="28" t="s">
        <v>5</v>
      </c>
      <c r="H17" s="2" t="s">
        <v>17</v>
      </c>
      <c r="I17" s="2">
        <v>1</v>
      </c>
      <c r="J17" s="2" t="s">
        <v>241</v>
      </c>
      <c r="K17" s="2">
        <v>34200</v>
      </c>
      <c r="L17" s="35">
        <v>108400320</v>
      </c>
      <c r="M17" s="36">
        <v>10000</v>
      </c>
      <c r="N17" s="37">
        <v>220786</v>
      </c>
      <c r="O17" s="37">
        <v>418768</v>
      </c>
      <c r="P17" s="37">
        <v>0</v>
      </c>
      <c r="Q17" s="37">
        <v>99309</v>
      </c>
      <c r="R17" s="37">
        <v>572234.33333333302</v>
      </c>
      <c r="S17" s="37">
        <v>343435</v>
      </c>
      <c r="T17" s="40">
        <v>30000</v>
      </c>
      <c r="U17" s="37">
        <v>2702700</v>
      </c>
      <c r="V17" s="37">
        <v>0</v>
      </c>
      <c r="W17" s="45">
        <v>4387232.3333333302</v>
      </c>
      <c r="X17" s="46">
        <v>4.0472503525204804</v>
      </c>
    </row>
    <row r="18" spans="1:24">
      <c r="A18" s="28" t="s">
        <v>63</v>
      </c>
      <c r="B18" s="29">
        <v>3169.6</v>
      </c>
      <c r="C18" s="30" t="s">
        <v>242</v>
      </c>
      <c r="D18" s="2">
        <v>4947413835</v>
      </c>
      <c r="E18" s="2" t="s">
        <v>18</v>
      </c>
      <c r="F18" s="2" t="s">
        <v>243</v>
      </c>
      <c r="G18" s="28" t="s">
        <v>9</v>
      </c>
      <c r="H18" s="2" t="s">
        <v>23</v>
      </c>
      <c r="I18" s="2">
        <v>2</v>
      </c>
      <c r="J18" s="2"/>
      <c r="K18" s="2">
        <v>1312.5</v>
      </c>
      <c r="L18" s="35">
        <v>4160100</v>
      </c>
      <c r="M18" s="36">
        <v>750</v>
      </c>
      <c r="N18" s="37">
        <v>484223.73417721502</v>
      </c>
      <c r="O18" s="37">
        <v>1061.39240506329</v>
      </c>
      <c r="P18" s="37">
        <v>84181.329113924003</v>
      </c>
      <c r="Q18" s="37">
        <v>12322.784810126601</v>
      </c>
      <c r="R18" s="37">
        <v>213014.24050632899</v>
      </c>
      <c r="S18" s="37">
        <v>326045.88607594901</v>
      </c>
      <c r="T18" s="40">
        <v>30000</v>
      </c>
      <c r="U18" s="37">
        <v>936601.79640718596</v>
      </c>
      <c r="V18" s="37">
        <v>0</v>
      </c>
      <c r="W18" s="45">
        <v>2087451.16349579</v>
      </c>
      <c r="X18" s="46">
        <v>50.177908307391498</v>
      </c>
    </row>
    <row r="19" spans="1:24">
      <c r="A19" s="28" t="s">
        <v>63</v>
      </c>
      <c r="B19" s="29">
        <v>3169.6</v>
      </c>
      <c r="C19" s="30" t="s">
        <v>242</v>
      </c>
      <c r="D19" s="2">
        <v>4947413835</v>
      </c>
      <c r="E19" s="2" t="s">
        <v>18</v>
      </c>
      <c r="F19" s="2" t="s">
        <v>243</v>
      </c>
      <c r="G19" s="28" t="s">
        <v>9</v>
      </c>
      <c r="H19" s="2" t="s">
        <v>23</v>
      </c>
      <c r="I19" s="2">
        <v>2</v>
      </c>
      <c r="J19" s="2"/>
      <c r="K19" s="2">
        <v>98.8</v>
      </c>
      <c r="L19" s="35">
        <v>313156.47999999998</v>
      </c>
      <c r="M19" s="36">
        <v>40</v>
      </c>
      <c r="N19" s="37">
        <v>25825.265822784801</v>
      </c>
      <c r="O19" s="37">
        <v>56.6075949367089</v>
      </c>
      <c r="P19" s="37">
        <v>4489.67088607595</v>
      </c>
      <c r="Q19" s="37">
        <v>657.21518987341801</v>
      </c>
      <c r="R19" s="37">
        <v>11360.759493670899</v>
      </c>
      <c r="S19" s="37">
        <v>17389.113924050602</v>
      </c>
      <c r="T19" s="40">
        <v>30000</v>
      </c>
      <c r="U19" s="37">
        <v>49952.095808383201</v>
      </c>
      <c r="V19" s="37">
        <v>0</v>
      </c>
      <c r="W19" s="45">
        <v>139730.728719776</v>
      </c>
      <c r="X19" s="46">
        <v>44.6200981438339</v>
      </c>
    </row>
    <row r="20" spans="1:24">
      <c r="A20" s="28" t="s">
        <v>63</v>
      </c>
      <c r="B20" s="29">
        <v>3169.6</v>
      </c>
      <c r="C20" s="30" t="s">
        <v>244</v>
      </c>
      <c r="D20" s="2">
        <v>4947307719</v>
      </c>
      <c r="E20" s="2" t="s">
        <v>18</v>
      </c>
      <c r="F20" s="2" t="s">
        <v>245</v>
      </c>
      <c r="G20" s="28" t="s">
        <v>5</v>
      </c>
      <c r="H20" s="2" t="s">
        <v>17</v>
      </c>
      <c r="I20" s="2">
        <v>1</v>
      </c>
      <c r="J20" s="2" t="s">
        <v>241</v>
      </c>
      <c r="K20" s="2">
        <v>19050</v>
      </c>
      <c r="L20" s="35">
        <v>60380880</v>
      </c>
      <c r="M20" s="36">
        <v>5000</v>
      </c>
      <c r="N20" s="37">
        <v>110393</v>
      </c>
      <c r="O20" s="37">
        <v>418768</v>
      </c>
      <c r="P20" s="37">
        <v>0</v>
      </c>
      <c r="Q20" s="37">
        <v>99309</v>
      </c>
      <c r="R20" s="37">
        <v>286117.66666666698</v>
      </c>
      <c r="S20" s="37">
        <v>343435</v>
      </c>
      <c r="T20" s="40">
        <v>30000</v>
      </c>
      <c r="U20" s="37">
        <v>1351350</v>
      </c>
      <c r="V20" s="37">
        <v>0</v>
      </c>
      <c r="W20" s="45">
        <v>2639372.6666666698</v>
      </c>
      <c r="X20" s="46">
        <v>4.3712060285750498</v>
      </c>
    </row>
    <row r="21" spans="1:24">
      <c r="A21" s="28" t="s">
        <v>63</v>
      </c>
      <c r="B21" s="29">
        <v>3169.6</v>
      </c>
      <c r="C21" s="30" t="s">
        <v>257</v>
      </c>
      <c r="D21" s="2">
        <v>4947307746</v>
      </c>
      <c r="E21" s="2" t="s">
        <v>18</v>
      </c>
      <c r="F21" s="78" t="s">
        <v>258</v>
      </c>
      <c r="G21" s="28" t="s">
        <v>9</v>
      </c>
      <c r="H21" s="2" t="s">
        <v>23</v>
      </c>
      <c r="I21" s="2">
        <v>11</v>
      </c>
      <c r="J21" s="2"/>
      <c r="K21" s="2">
        <v>56390</v>
      </c>
      <c r="L21" s="35">
        <v>178733744</v>
      </c>
      <c r="M21" s="36">
        <v>1000</v>
      </c>
      <c r="N21" s="37">
        <v>356730.41775456897</v>
      </c>
      <c r="O21" s="37">
        <v>1348.1723237597901</v>
      </c>
      <c r="P21" s="37">
        <v>10385.7702349869</v>
      </c>
      <c r="Q21" s="37">
        <v>16228.8511749347</v>
      </c>
      <c r="R21" s="37">
        <v>73701.566579634498</v>
      </c>
      <c r="S21" s="37">
        <v>44834.856396866802</v>
      </c>
      <c r="T21" s="40">
        <v>30000</v>
      </c>
      <c r="U21" s="37">
        <v>272258.48563968699</v>
      </c>
      <c r="V21" s="37">
        <v>164689.55613576999</v>
      </c>
      <c r="W21" s="45">
        <v>970177.67624020902</v>
      </c>
      <c r="X21" s="46">
        <v>0.54280610618228198</v>
      </c>
    </row>
    <row r="22" spans="1:24">
      <c r="A22" s="28" t="s">
        <v>63</v>
      </c>
      <c r="B22" s="29">
        <v>3169.6</v>
      </c>
      <c r="C22" s="30" t="s">
        <v>257</v>
      </c>
      <c r="D22" s="2">
        <v>4947306168</v>
      </c>
      <c r="E22" s="2" t="s">
        <v>18</v>
      </c>
      <c r="F22" s="78" t="s">
        <v>258</v>
      </c>
      <c r="G22" s="28" t="s">
        <v>9</v>
      </c>
      <c r="H22" s="2" t="s">
        <v>23</v>
      </c>
      <c r="I22" s="2">
        <v>11</v>
      </c>
      <c r="J22" s="2"/>
      <c r="K22" s="2">
        <v>2863.2</v>
      </c>
      <c r="L22" s="35">
        <v>9075198.7200000007</v>
      </c>
      <c r="M22" s="36">
        <v>240</v>
      </c>
      <c r="N22" s="37">
        <v>85615.300261096607</v>
      </c>
      <c r="O22" s="37">
        <v>323.56135770234999</v>
      </c>
      <c r="P22" s="37">
        <v>2492.5848563968698</v>
      </c>
      <c r="Q22" s="37">
        <v>3894.9242819843298</v>
      </c>
      <c r="R22" s="37">
        <v>17688.375979112301</v>
      </c>
      <c r="S22" s="37">
        <v>10760.365535248</v>
      </c>
      <c r="T22" s="40">
        <v>30000</v>
      </c>
      <c r="U22" s="37">
        <v>65342.036553524798</v>
      </c>
      <c r="V22" s="37">
        <v>39525.493472584902</v>
      </c>
      <c r="W22" s="45">
        <v>255642.64229764999</v>
      </c>
      <c r="X22" s="46">
        <v>2.8169371292582599</v>
      </c>
    </row>
    <row r="23" spans="1:24">
      <c r="A23" s="28" t="s">
        <v>63</v>
      </c>
      <c r="B23" s="29">
        <v>3169.6</v>
      </c>
      <c r="C23" s="30" t="s">
        <v>257</v>
      </c>
      <c r="D23" s="2">
        <v>4947306170</v>
      </c>
      <c r="E23" s="2" t="s">
        <v>18</v>
      </c>
      <c r="F23" s="78" t="s">
        <v>258</v>
      </c>
      <c r="G23" s="28" t="s">
        <v>9</v>
      </c>
      <c r="H23" s="2" t="s">
        <v>23</v>
      </c>
      <c r="I23" s="2">
        <v>11</v>
      </c>
      <c r="J23" s="2"/>
      <c r="K23" s="2">
        <v>28594</v>
      </c>
      <c r="L23" s="35">
        <v>90631542.400000006</v>
      </c>
      <c r="M23" s="36">
        <v>2900</v>
      </c>
      <c r="N23" s="37">
        <v>1034518.2114882499</v>
      </c>
      <c r="O23" s="37">
        <v>3909.69973890339</v>
      </c>
      <c r="P23" s="37">
        <v>30118.733681462101</v>
      </c>
      <c r="Q23" s="37">
        <v>47063.668407310703</v>
      </c>
      <c r="R23" s="37">
        <v>213734.54308094</v>
      </c>
      <c r="S23" s="37">
        <v>130021.083550914</v>
      </c>
      <c r="T23" s="40">
        <v>30000</v>
      </c>
      <c r="U23" s="37">
        <v>789549.60835509095</v>
      </c>
      <c r="V23" s="37">
        <v>477599.71279373398</v>
      </c>
      <c r="W23" s="45">
        <v>2756515.2610966102</v>
      </c>
      <c r="X23" s="46">
        <v>3.0414524437097099</v>
      </c>
    </row>
    <row r="24" spans="1:24">
      <c r="A24" s="28" t="s">
        <v>63</v>
      </c>
      <c r="B24" s="29">
        <v>3169.6</v>
      </c>
      <c r="C24" s="30" t="s">
        <v>285</v>
      </c>
      <c r="D24" s="2">
        <v>4947307720</v>
      </c>
      <c r="E24" s="2" t="s">
        <v>18</v>
      </c>
      <c r="F24" s="2" t="s">
        <v>286</v>
      </c>
      <c r="G24" s="28" t="s">
        <v>5</v>
      </c>
      <c r="H24" s="2" t="s">
        <v>17</v>
      </c>
      <c r="I24" s="2">
        <v>1</v>
      </c>
      <c r="J24" s="2" t="s">
        <v>287</v>
      </c>
      <c r="K24" s="2">
        <v>12000</v>
      </c>
      <c r="L24" s="35">
        <v>38035200</v>
      </c>
      <c r="M24" s="36">
        <v>20000</v>
      </c>
      <c r="N24" s="37">
        <v>304892</v>
      </c>
      <c r="O24" s="37">
        <v>418768</v>
      </c>
      <c r="P24" s="37">
        <v>451545</v>
      </c>
      <c r="Q24" s="37">
        <v>99309</v>
      </c>
      <c r="R24" s="37">
        <v>861370</v>
      </c>
      <c r="S24" s="37">
        <v>343435</v>
      </c>
      <c r="T24" s="40">
        <v>30000</v>
      </c>
      <c r="U24" s="37">
        <v>4975550</v>
      </c>
      <c r="V24" s="37">
        <v>0</v>
      </c>
      <c r="W24" s="45">
        <v>7484869</v>
      </c>
      <c r="X24" s="46">
        <v>19.6787949057715</v>
      </c>
    </row>
    <row r="25" spans="1:24">
      <c r="A25" s="28" t="s">
        <v>63</v>
      </c>
      <c r="B25" s="29">
        <v>3169.6</v>
      </c>
      <c r="C25" s="30" t="s">
        <v>301</v>
      </c>
      <c r="D25" s="2">
        <v>4947306177</v>
      </c>
      <c r="E25" s="2" t="s">
        <v>18</v>
      </c>
      <c r="F25" s="78" t="s">
        <v>302</v>
      </c>
      <c r="G25" s="28" t="s">
        <v>5</v>
      </c>
      <c r="H25" s="2" t="s">
        <v>17</v>
      </c>
      <c r="I25" s="2">
        <v>1</v>
      </c>
      <c r="J25" s="2" t="s">
        <v>303</v>
      </c>
      <c r="K25" s="2">
        <v>68800</v>
      </c>
      <c r="L25" s="35">
        <v>218068480</v>
      </c>
      <c r="M25" s="36">
        <v>16000</v>
      </c>
      <c r="N25" s="37">
        <v>324197</v>
      </c>
      <c r="O25" s="37">
        <v>418768</v>
      </c>
      <c r="P25" s="37">
        <v>0</v>
      </c>
      <c r="Q25" s="37">
        <v>99309</v>
      </c>
      <c r="R25" s="37">
        <v>645887</v>
      </c>
      <c r="S25" s="37">
        <v>343435</v>
      </c>
      <c r="T25" s="40">
        <v>30000</v>
      </c>
      <c r="U25" s="37">
        <v>4781550</v>
      </c>
      <c r="V25" s="37">
        <v>1261522</v>
      </c>
      <c r="W25" s="45">
        <v>7904668</v>
      </c>
      <c r="X25" s="46">
        <v>3.6248558251059499</v>
      </c>
    </row>
    <row r="26" spans="1:24">
      <c r="A26" s="28" t="s">
        <v>63</v>
      </c>
      <c r="B26" s="29">
        <v>3169.6</v>
      </c>
      <c r="C26" s="30" t="s">
        <v>344</v>
      </c>
      <c r="D26" s="2">
        <v>4947512971</v>
      </c>
      <c r="E26" s="2" t="s">
        <v>18</v>
      </c>
      <c r="F26" s="78" t="s">
        <v>345</v>
      </c>
      <c r="G26" s="28" t="s">
        <v>5</v>
      </c>
      <c r="H26" s="2" t="s">
        <v>20</v>
      </c>
      <c r="I26" s="2">
        <v>1</v>
      </c>
      <c r="J26" s="2" t="s">
        <v>346</v>
      </c>
      <c r="K26" s="2">
        <v>19323</v>
      </c>
      <c r="L26" s="35">
        <v>61246180.799999997</v>
      </c>
      <c r="M26" s="36">
        <v>17100</v>
      </c>
      <c r="N26" s="37">
        <v>471500</v>
      </c>
      <c r="O26" s="37">
        <v>159606</v>
      </c>
      <c r="P26" s="37">
        <v>0</v>
      </c>
      <c r="Q26" s="37">
        <v>49654.5</v>
      </c>
      <c r="R26" s="37">
        <v>731996.5</v>
      </c>
      <c r="S26" s="37">
        <v>171717.5</v>
      </c>
      <c r="T26" s="40">
        <v>30000</v>
      </c>
      <c r="U26" s="37">
        <v>1956750</v>
      </c>
      <c r="V26" s="37">
        <v>0</v>
      </c>
      <c r="W26" s="45">
        <v>3571224.5</v>
      </c>
      <c r="X26" s="46">
        <v>5.8309341959817402</v>
      </c>
    </row>
    <row r="27" spans="1:24">
      <c r="A27" s="28" t="s">
        <v>63</v>
      </c>
      <c r="B27" s="29">
        <v>3169.6</v>
      </c>
      <c r="C27" s="30" t="s">
        <v>344</v>
      </c>
      <c r="D27" s="2">
        <v>4947512969</v>
      </c>
      <c r="E27" s="2" t="s">
        <v>18</v>
      </c>
      <c r="F27" s="78" t="s">
        <v>345</v>
      </c>
      <c r="G27" s="28" t="s">
        <v>5</v>
      </c>
      <c r="H27" s="2" t="s">
        <v>20</v>
      </c>
      <c r="I27" s="2">
        <v>1</v>
      </c>
      <c r="J27" s="2" t="s">
        <v>347</v>
      </c>
      <c r="K27" s="2">
        <v>19323</v>
      </c>
      <c r="L27" s="35">
        <v>61246180.799999997</v>
      </c>
      <c r="M27" s="36">
        <v>17100</v>
      </c>
      <c r="N27" s="37">
        <v>471500</v>
      </c>
      <c r="O27" s="37">
        <v>159606</v>
      </c>
      <c r="P27" s="37">
        <v>0</v>
      </c>
      <c r="Q27" s="37">
        <v>49654.5</v>
      </c>
      <c r="R27" s="37">
        <v>731996.5</v>
      </c>
      <c r="S27" s="37">
        <v>171717.5</v>
      </c>
      <c r="T27" s="40">
        <v>30000</v>
      </c>
      <c r="U27" s="37">
        <v>1956750</v>
      </c>
      <c r="V27" s="37">
        <v>0</v>
      </c>
      <c r="W27" s="45">
        <v>3571224.5</v>
      </c>
      <c r="X27" s="46">
        <v>5.8309341959817402</v>
      </c>
    </row>
    <row r="28" spans="1:24">
      <c r="A28" s="28" t="s">
        <v>63</v>
      </c>
      <c r="B28" s="29">
        <v>3169.6</v>
      </c>
      <c r="C28" s="30" t="s">
        <v>367</v>
      </c>
      <c r="D28" s="2">
        <v>4947994890</v>
      </c>
      <c r="E28" s="2" t="s">
        <v>18</v>
      </c>
      <c r="F28" s="2" t="s">
        <v>368</v>
      </c>
      <c r="G28" s="28" t="s">
        <v>5</v>
      </c>
      <c r="H28" s="2" t="s">
        <v>20</v>
      </c>
      <c r="I28" s="2">
        <v>1</v>
      </c>
      <c r="J28" s="2" t="s">
        <v>369</v>
      </c>
      <c r="K28" s="2">
        <v>22572</v>
      </c>
      <c r="L28" s="35">
        <v>71544211.200000003</v>
      </c>
      <c r="M28" s="36">
        <v>19800</v>
      </c>
      <c r="N28" s="37">
        <v>478283</v>
      </c>
      <c r="O28" s="37">
        <v>319212</v>
      </c>
      <c r="P28" s="37">
        <v>215993</v>
      </c>
      <c r="Q28" s="37">
        <v>99309</v>
      </c>
      <c r="R28" s="37">
        <v>634154</v>
      </c>
      <c r="S28" s="37">
        <v>343435</v>
      </c>
      <c r="T28" s="40">
        <v>30000</v>
      </c>
      <c r="U28" s="37">
        <v>4311200</v>
      </c>
      <c r="V28" s="37">
        <v>0</v>
      </c>
      <c r="W28" s="45">
        <v>6431586</v>
      </c>
      <c r="X28" s="46">
        <v>8.9896665182605293</v>
      </c>
    </row>
    <row r="29" spans="1:24">
      <c r="A29" s="28" t="s">
        <v>63</v>
      </c>
      <c r="B29" s="29">
        <v>3169.6</v>
      </c>
      <c r="C29" s="30" t="s">
        <v>376</v>
      </c>
      <c r="D29" s="2">
        <v>4947307717</v>
      </c>
      <c r="E29" s="2" t="s">
        <v>18</v>
      </c>
      <c r="F29" s="2" t="s">
        <v>377</v>
      </c>
      <c r="G29" s="28" t="s">
        <v>5</v>
      </c>
      <c r="H29" s="2" t="s">
        <v>20</v>
      </c>
      <c r="I29" s="2">
        <v>1</v>
      </c>
      <c r="J29" s="2" t="s">
        <v>378</v>
      </c>
      <c r="K29" s="2">
        <v>19980</v>
      </c>
      <c r="L29" s="35">
        <v>63328608</v>
      </c>
      <c r="M29" s="36">
        <v>18000</v>
      </c>
      <c r="N29" s="37">
        <v>471500</v>
      </c>
      <c r="O29" s="37">
        <v>319212</v>
      </c>
      <c r="P29" s="37">
        <v>0</v>
      </c>
      <c r="Q29" s="37">
        <v>99309</v>
      </c>
      <c r="R29" s="37">
        <v>627853</v>
      </c>
      <c r="S29" s="37">
        <v>343435</v>
      </c>
      <c r="T29" s="40">
        <v>30000</v>
      </c>
      <c r="U29" s="37">
        <v>3913500</v>
      </c>
      <c r="V29" s="37">
        <v>0</v>
      </c>
      <c r="W29" s="45">
        <v>5804809</v>
      </c>
      <c r="X29" s="46">
        <v>9.1661717876382198</v>
      </c>
    </row>
    <row r="30" spans="1:24">
      <c r="A30" s="28" t="s">
        <v>63</v>
      </c>
      <c r="B30" s="29">
        <v>3169.6</v>
      </c>
      <c r="C30" s="30" t="s">
        <v>379</v>
      </c>
      <c r="D30" s="2">
        <v>4947002299</v>
      </c>
      <c r="E30" s="2" t="s">
        <v>18</v>
      </c>
      <c r="F30" s="78" t="s">
        <v>380</v>
      </c>
      <c r="G30" s="28" t="s">
        <v>9</v>
      </c>
      <c r="H30" s="2" t="s">
        <v>23</v>
      </c>
      <c r="I30" s="2">
        <v>7</v>
      </c>
      <c r="J30" s="2"/>
      <c r="K30" s="2">
        <v>6041.6</v>
      </c>
      <c r="L30" s="35">
        <v>19149455.359999999</v>
      </c>
      <c r="M30" s="36">
        <v>128</v>
      </c>
      <c r="N30" s="37">
        <v>42365.293636512397</v>
      </c>
      <c r="O30" s="37">
        <v>91.136921315229898</v>
      </c>
      <c r="P30" s="37">
        <v>16235.511205627399</v>
      </c>
      <c r="Q30" s="37">
        <v>2171.8959594307198</v>
      </c>
      <c r="R30" s="37">
        <v>14687.413708490099</v>
      </c>
      <c r="S30" s="37">
        <v>8988.9743170292804</v>
      </c>
      <c r="T30" s="40">
        <v>30000</v>
      </c>
      <c r="U30" s="37">
        <v>54585.309995092401</v>
      </c>
      <c r="V30" s="37">
        <v>0</v>
      </c>
      <c r="W30" s="45">
        <v>169125.53574349801</v>
      </c>
      <c r="X30" s="46">
        <v>0.88318718503489402</v>
      </c>
    </row>
    <row r="31" spans="1:24">
      <c r="A31" s="28" t="s">
        <v>63</v>
      </c>
      <c r="B31" s="29">
        <v>3169.6</v>
      </c>
      <c r="C31" s="30" t="s">
        <v>384</v>
      </c>
      <c r="D31" s="2">
        <v>4947306176</v>
      </c>
      <c r="E31" s="2" t="s">
        <v>18</v>
      </c>
      <c r="F31" s="2" t="s">
        <v>385</v>
      </c>
      <c r="G31" s="28" t="s">
        <v>5</v>
      </c>
      <c r="H31" s="2" t="s">
        <v>17</v>
      </c>
      <c r="I31" s="2">
        <v>1</v>
      </c>
      <c r="J31" s="2" t="s">
        <v>386</v>
      </c>
      <c r="K31" s="2">
        <v>68800</v>
      </c>
      <c r="L31" s="35">
        <v>218068480</v>
      </c>
      <c r="M31" s="36">
        <v>16000</v>
      </c>
      <c r="N31" s="37">
        <v>477563</v>
      </c>
      <c r="O31" s="37">
        <v>418768</v>
      </c>
      <c r="P31" s="37">
        <v>663408</v>
      </c>
      <c r="Q31" s="37">
        <v>99309</v>
      </c>
      <c r="R31" s="37">
        <v>738447</v>
      </c>
      <c r="S31" s="37">
        <v>343435</v>
      </c>
      <c r="T31" s="40">
        <v>30000</v>
      </c>
      <c r="U31" s="37">
        <v>4781550</v>
      </c>
      <c r="V31" s="37">
        <v>0</v>
      </c>
      <c r="W31" s="45">
        <v>7552480</v>
      </c>
      <c r="X31" s="46">
        <v>3.4633524294753602</v>
      </c>
    </row>
    <row r="32" spans="1:24">
      <c r="A32" s="28" t="s">
        <v>63</v>
      </c>
      <c r="B32" s="29">
        <v>3169.6</v>
      </c>
      <c r="C32" s="30" t="s">
        <v>395</v>
      </c>
      <c r="D32" s="2">
        <v>4947978375</v>
      </c>
      <c r="E32" s="2" t="s">
        <v>18</v>
      </c>
      <c r="F32" s="2" t="s">
        <v>396</v>
      </c>
      <c r="G32" s="28" t="s">
        <v>5</v>
      </c>
      <c r="H32" s="2" t="s">
        <v>17</v>
      </c>
      <c r="I32" s="2">
        <v>1</v>
      </c>
      <c r="J32" s="2" t="s">
        <v>397</v>
      </c>
      <c r="K32" s="2">
        <v>18981</v>
      </c>
      <c r="L32" s="35">
        <v>60162177.600000001</v>
      </c>
      <c r="M32" s="36">
        <v>17100</v>
      </c>
      <c r="N32" s="37">
        <v>330602</v>
      </c>
      <c r="O32" s="37">
        <v>418768</v>
      </c>
      <c r="P32" s="37">
        <v>0</v>
      </c>
      <c r="Q32" s="37">
        <v>99309</v>
      </c>
      <c r="R32" s="37">
        <v>651656</v>
      </c>
      <c r="S32" s="37">
        <v>343435</v>
      </c>
      <c r="T32" s="40">
        <v>30000</v>
      </c>
      <c r="U32" s="37">
        <v>3913500</v>
      </c>
      <c r="V32" s="37">
        <v>0</v>
      </c>
      <c r="W32" s="45">
        <v>5787270</v>
      </c>
      <c r="X32" s="46">
        <v>9.6194490140928703</v>
      </c>
    </row>
    <row r="33" spans="1:24">
      <c r="A33" s="28" t="s">
        <v>63</v>
      </c>
      <c r="B33" s="29">
        <v>3169.6</v>
      </c>
      <c r="C33" s="30" t="s">
        <v>398</v>
      </c>
      <c r="D33" s="2">
        <v>4948269547</v>
      </c>
      <c r="E33" s="2" t="s">
        <v>18</v>
      </c>
      <c r="F33" s="2" t="s">
        <v>399</v>
      </c>
      <c r="G33" s="28" t="s">
        <v>5</v>
      </c>
      <c r="H33" s="2" t="s">
        <v>20</v>
      </c>
      <c r="I33" s="2">
        <v>1</v>
      </c>
      <c r="J33" s="2" t="s">
        <v>400</v>
      </c>
      <c r="K33" s="2">
        <v>22572</v>
      </c>
      <c r="L33" s="35">
        <v>71544211.200000003</v>
      </c>
      <c r="M33" s="36">
        <v>19800</v>
      </c>
      <c r="N33" s="37">
        <v>330602</v>
      </c>
      <c r="O33" s="37">
        <v>319212</v>
      </c>
      <c r="P33" s="37">
        <v>0</v>
      </c>
      <c r="Q33" s="37">
        <v>99309</v>
      </c>
      <c r="R33" s="37">
        <v>546189</v>
      </c>
      <c r="S33" s="37">
        <v>343435</v>
      </c>
      <c r="T33" s="40">
        <v>30000</v>
      </c>
      <c r="U33" s="37">
        <v>4311200</v>
      </c>
      <c r="V33" s="37">
        <v>0</v>
      </c>
      <c r="W33" s="45">
        <v>5979947</v>
      </c>
      <c r="X33" s="46">
        <v>8.3583939213239908</v>
      </c>
    </row>
    <row r="34" spans="1:24">
      <c r="A34" s="28" t="s">
        <v>63</v>
      </c>
      <c r="B34" s="29">
        <v>3169.6</v>
      </c>
      <c r="C34" s="30" t="s">
        <v>406</v>
      </c>
      <c r="D34" s="2">
        <v>4947978391</v>
      </c>
      <c r="E34" s="2" t="s">
        <v>18</v>
      </c>
      <c r="F34" s="2" t="s">
        <v>407</v>
      </c>
      <c r="G34" s="28" t="s">
        <v>5</v>
      </c>
      <c r="H34" s="2" t="s">
        <v>17</v>
      </c>
      <c r="I34" s="2">
        <v>1</v>
      </c>
      <c r="J34" s="2" t="s">
        <v>408</v>
      </c>
      <c r="K34" s="2">
        <v>18950</v>
      </c>
      <c r="L34" s="35">
        <v>60063920</v>
      </c>
      <c r="M34" s="36">
        <v>5000</v>
      </c>
      <c r="N34" s="40">
        <v>110200.66666666701</v>
      </c>
      <c r="O34" s="37">
        <v>139922.66666666701</v>
      </c>
      <c r="P34" s="37">
        <v>192851.33333333299</v>
      </c>
      <c r="Q34" s="37">
        <v>33103</v>
      </c>
      <c r="R34" s="40">
        <v>261706.66666666701</v>
      </c>
      <c r="S34" s="40">
        <v>114478.33333333299</v>
      </c>
      <c r="T34" s="40">
        <v>30000</v>
      </c>
      <c r="U34" s="40">
        <v>1383683.33333333</v>
      </c>
      <c r="V34" s="40">
        <v>0</v>
      </c>
      <c r="W34" s="45">
        <v>2265946</v>
      </c>
      <c r="X34" s="46">
        <v>3.7725576352658901</v>
      </c>
    </row>
    <row r="35" spans="1:24">
      <c r="A35" s="28" t="s">
        <v>63</v>
      </c>
      <c r="B35" s="29">
        <v>3169.6</v>
      </c>
      <c r="C35" s="30" t="s">
        <v>406</v>
      </c>
      <c r="D35" s="2">
        <v>4947978386</v>
      </c>
      <c r="E35" s="2" t="s">
        <v>18</v>
      </c>
      <c r="F35" s="2" t="s">
        <v>407</v>
      </c>
      <c r="G35" s="28" t="s">
        <v>5</v>
      </c>
      <c r="H35" s="2" t="s">
        <v>17</v>
      </c>
      <c r="I35" s="2">
        <v>1</v>
      </c>
      <c r="J35" s="2" t="s">
        <v>408</v>
      </c>
      <c r="K35" s="2">
        <v>33200</v>
      </c>
      <c r="L35" s="35">
        <v>105230720</v>
      </c>
      <c r="M35" s="36">
        <v>10000</v>
      </c>
      <c r="N35" s="40">
        <v>220401.33333333299</v>
      </c>
      <c r="O35" s="37">
        <v>279845.33333333302</v>
      </c>
      <c r="P35" s="37">
        <v>385702.66666666698</v>
      </c>
      <c r="Q35" s="37">
        <v>66206</v>
      </c>
      <c r="R35" s="40">
        <v>523413.33333333302</v>
      </c>
      <c r="S35" s="40">
        <v>228956.66666666701</v>
      </c>
      <c r="T35" s="40">
        <v>30000</v>
      </c>
      <c r="U35" s="40">
        <v>2767366.6666666698</v>
      </c>
      <c r="V35" s="40">
        <v>0</v>
      </c>
      <c r="W35" s="45">
        <v>4501892</v>
      </c>
      <c r="X35" s="46">
        <v>4.27811574414772</v>
      </c>
    </row>
    <row r="36" spans="1:24">
      <c r="A36" s="28" t="s">
        <v>63</v>
      </c>
      <c r="B36" s="29">
        <v>3169.6</v>
      </c>
      <c r="C36" s="30" t="s">
        <v>412</v>
      </c>
      <c r="D36" s="2">
        <v>4947978394</v>
      </c>
      <c r="E36" s="2" t="s">
        <v>18</v>
      </c>
      <c r="F36" s="2" t="s">
        <v>413</v>
      </c>
      <c r="G36" s="28" t="s">
        <v>5</v>
      </c>
      <c r="H36" s="2" t="s">
        <v>35</v>
      </c>
      <c r="I36" s="2">
        <v>1</v>
      </c>
      <c r="J36" s="2" t="s">
        <v>414</v>
      </c>
      <c r="K36" s="2">
        <v>8683.2000000000007</v>
      </c>
      <c r="L36" s="35">
        <v>27522270.719999999</v>
      </c>
      <c r="M36" s="36">
        <v>1440</v>
      </c>
      <c r="N36" s="40">
        <v>52662.265486725701</v>
      </c>
      <c r="O36" s="37">
        <v>65760.530973451299</v>
      </c>
      <c r="P36" s="37">
        <v>0</v>
      </c>
      <c r="Q36" s="37">
        <v>15819.132743362799</v>
      </c>
      <c r="R36" s="40">
        <v>196246.93805309699</v>
      </c>
      <c r="S36" s="40">
        <v>54706.460176991197</v>
      </c>
      <c r="T36" s="40">
        <v>30000</v>
      </c>
      <c r="U36" s="40">
        <v>784361.94690265495</v>
      </c>
      <c r="V36" s="40">
        <v>200950.40707964599</v>
      </c>
      <c r="W36" s="45">
        <v>1400507.6814159299</v>
      </c>
      <c r="X36" s="46">
        <v>5.0886342034205896</v>
      </c>
    </row>
    <row r="37" spans="1:24">
      <c r="A37" s="28" t="s">
        <v>63</v>
      </c>
      <c r="B37" s="29">
        <v>3169.6</v>
      </c>
      <c r="C37" s="30" t="s">
        <v>412</v>
      </c>
      <c r="D37" s="2">
        <v>4946267790</v>
      </c>
      <c r="E37" s="2" t="s">
        <v>18</v>
      </c>
      <c r="F37" s="2" t="s">
        <v>413</v>
      </c>
      <c r="G37" s="28" t="s">
        <v>5</v>
      </c>
      <c r="H37" s="2" t="s">
        <v>35</v>
      </c>
      <c r="I37" s="2">
        <v>1</v>
      </c>
      <c r="J37" s="2" t="s">
        <v>414</v>
      </c>
      <c r="K37" s="2">
        <v>48320</v>
      </c>
      <c r="L37" s="35">
        <v>153155072</v>
      </c>
      <c r="M37" s="36">
        <v>4000</v>
      </c>
      <c r="N37" s="40">
        <v>146284.07079646</v>
      </c>
      <c r="O37" s="37">
        <v>182668.14159292</v>
      </c>
      <c r="P37" s="37">
        <v>0</v>
      </c>
      <c r="Q37" s="37">
        <v>43942.035398230102</v>
      </c>
      <c r="R37" s="40">
        <v>545130.71681415895</v>
      </c>
      <c r="S37" s="40">
        <v>151962.38938053101</v>
      </c>
      <c r="T37" s="40">
        <v>30000</v>
      </c>
      <c r="U37" s="40">
        <v>2178783.1858407101</v>
      </c>
      <c r="V37" s="40">
        <v>558195.57522123901</v>
      </c>
      <c r="W37" s="45">
        <v>3836966.1150442502</v>
      </c>
      <c r="X37" s="46">
        <v>2.50528178070671</v>
      </c>
    </row>
    <row r="38" spans="1:24">
      <c r="A38" s="28" t="s">
        <v>63</v>
      </c>
      <c r="B38" s="29">
        <v>3169.6</v>
      </c>
      <c r="C38" s="30" t="s">
        <v>419</v>
      </c>
      <c r="D38" s="2">
        <v>4947898561</v>
      </c>
      <c r="E38" s="2" t="s">
        <v>18</v>
      </c>
      <c r="F38" s="2" t="s">
        <v>420</v>
      </c>
      <c r="G38" s="28" t="s">
        <v>9</v>
      </c>
      <c r="H38" s="2" t="s">
        <v>23</v>
      </c>
      <c r="I38" s="2">
        <v>1</v>
      </c>
      <c r="J38" s="2"/>
      <c r="K38" s="2">
        <v>315</v>
      </c>
      <c r="L38" s="35">
        <v>998424</v>
      </c>
      <c r="M38" s="36">
        <v>150</v>
      </c>
      <c r="N38" s="37">
        <v>438405</v>
      </c>
      <c r="O38" s="37">
        <v>128</v>
      </c>
      <c r="P38" s="37">
        <v>7649</v>
      </c>
      <c r="Q38" s="37">
        <v>2688</v>
      </c>
      <c r="R38" s="37">
        <v>220843</v>
      </c>
      <c r="S38" s="37">
        <v>343435</v>
      </c>
      <c r="T38" s="40">
        <v>30000</v>
      </c>
      <c r="U38" s="37">
        <v>248672.727272727</v>
      </c>
      <c r="V38" s="37">
        <v>0</v>
      </c>
      <c r="W38" s="45">
        <v>1291820.7272727301</v>
      </c>
      <c r="X38" s="46">
        <v>129.38598503969499</v>
      </c>
    </row>
    <row r="39" spans="1:24">
      <c r="A39" s="28" t="s">
        <v>63</v>
      </c>
      <c r="B39" s="29">
        <v>3169.6</v>
      </c>
      <c r="C39" s="30" t="s">
        <v>430</v>
      </c>
      <c r="D39" s="2">
        <v>4948283273</v>
      </c>
      <c r="E39" s="2" t="s">
        <v>18</v>
      </c>
      <c r="F39" s="2" t="s">
        <v>431</v>
      </c>
      <c r="G39" s="28" t="s">
        <v>13</v>
      </c>
      <c r="H39" s="2" t="s">
        <v>23</v>
      </c>
      <c r="I39" s="2">
        <v>1</v>
      </c>
      <c r="J39" s="2"/>
      <c r="K39" s="2">
        <v>469.75</v>
      </c>
      <c r="L39" s="35">
        <v>1488919.6</v>
      </c>
      <c r="M39" s="36">
        <v>25</v>
      </c>
      <c r="N39" s="37">
        <v>1008013.13</v>
      </c>
      <c r="O39" s="37">
        <v>0</v>
      </c>
      <c r="P39" s="37">
        <v>0</v>
      </c>
      <c r="Q39" s="37">
        <v>0</v>
      </c>
      <c r="R39" s="37">
        <v>4705</v>
      </c>
      <c r="S39" s="37">
        <v>343435</v>
      </c>
      <c r="T39" s="40">
        <v>30000</v>
      </c>
      <c r="U39" s="37">
        <v>136877.77777777801</v>
      </c>
      <c r="V39" s="37">
        <v>0</v>
      </c>
      <c r="W39" s="45">
        <v>1523030.90777778</v>
      </c>
      <c r="X39" s="46">
        <v>102.29101072870399</v>
      </c>
    </row>
    <row r="40" spans="1:24">
      <c r="A40" s="28" t="s">
        <v>63</v>
      </c>
      <c r="B40" s="29">
        <v>3169.6</v>
      </c>
      <c r="C40" s="30" t="s">
        <v>450</v>
      </c>
      <c r="D40" s="2">
        <v>4947917201</v>
      </c>
      <c r="E40" s="2" t="s">
        <v>18</v>
      </c>
      <c r="F40" s="2" t="s">
        <v>451</v>
      </c>
      <c r="G40" s="28" t="s">
        <v>5</v>
      </c>
      <c r="H40" s="2" t="s">
        <v>17</v>
      </c>
      <c r="I40" s="2">
        <v>1</v>
      </c>
      <c r="J40" s="2" t="s">
        <v>452</v>
      </c>
      <c r="K40" s="2">
        <v>68480</v>
      </c>
      <c r="L40" s="35">
        <v>217054208</v>
      </c>
      <c r="M40" s="36">
        <v>16000</v>
      </c>
      <c r="N40" s="40">
        <v>310333.35288940999</v>
      </c>
      <c r="O40" s="37">
        <v>393094.04517453798</v>
      </c>
      <c r="P40" s="37">
        <v>0</v>
      </c>
      <c r="Q40" s="37">
        <v>93220.533880903502</v>
      </c>
      <c r="R40" s="40">
        <v>614556.64065708395</v>
      </c>
      <c r="S40" s="40">
        <v>322379.58345555898</v>
      </c>
      <c r="T40" s="40">
        <v>30000</v>
      </c>
      <c r="U40" s="40">
        <v>4488401.2907010904</v>
      </c>
      <c r="V40" s="40">
        <v>1184180.2288061001</v>
      </c>
      <c r="W40" s="45">
        <v>7436165.6755646802</v>
      </c>
      <c r="X40" s="46">
        <v>3.4259486347137198</v>
      </c>
    </row>
    <row r="41" spans="1:24">
      <c r="A41" s="28" t="s">
        <v>63</v>
      </c>
      <c r="B41" s="29">
        <v>3169.6</v>
      </c>
      <c r="C41" s="30" t="s">
        <v>499</v>
      </c>
      <c r="D41" s="2">
        <v>4947972250</v>
      </c>
      <c r="E41" s="2" t="s">
        <v>18</v>
      </c>
      <c r="F41" s="78" t="s">
        <v>500</v>
      </c>
      <c r="G41" s="28" t="s">
        <v>9</v>
      </c>
      <c r="H41" s="2" t="s">
        <v>23</v>
      </c>
      <c r="I41" s="2">
        <v>1</v>
      </c>
      <c r="J41" s="2"/>
      <c r="K41" s="2">
        <v>6960</v>
      </c>
      <c r="L41" s="35">
        <v>22060416</v>
      </c>
      <c r="M41" s="36">
        <v>250</v>
      </c>
      <c r="N41" s="37">
        <v>447379</v>
      </c>
      <c r="O41" s="37">
        <v>314</v>
      </c>
      <c r="P41" s="37">
        <v>9817</v>
      </c>
      <c r="Q41" s="37">
        <v>5134</v>
      </c>
      <c r="R41" s="37">
        <v>353871</v>
      </c>
      <c r="S41" s="37">
        <v>343435</v>
      </c>
      <c r="T41" s="40">
        <v>30000</v>
      </c>
      <c r="U41" s="37">
        <v>134548.38709677401</v>
      </c>
      <c r="V41" s="37">
        <v>0</v>
      </c>
      <c r="W41" s="45">
        <v>1324498.3870967701</v>
      </c>
      <c r="X41" s="46">
        <v>6.0039592503458401</v>
      </c>
    </row>
    <row r="42" spans="1:24">
      <c r="A42" s="28" t="s">
        <v>63</v>
      </c>
      <c r="B42" s="29">
        <v>3169.6</v>
      </c>
      <c r="C42" s="30" t="s">
        <v>530</v>
      </c>
      <c r="D42" s="2">
        <v>4947994890</v>
      </c>
      <c r="E42" s="2" t="s">
        <v>18</v>
      </c>
      <c r="F42" s="2" t="s">
        <v>368</v>
      </c>
      <c r="G42" s="28" t="s">
        <v>5</v>
      </c>
      <c r="H42" s="2" t="s">
        <v>20</v>
      </c>
      <c r="I42" s="2">
        <v>1</v>
      </c>
      <c r="J42" s="2" t="s">
        <v>369</v>
      </c>
      <c r="K42" s="2">
        <v>22572</v>
      </c>
      <c r="L42" s="35">
        <v>71544211.200000003</v>
      </c>
      <c r="M42" s="36">
        <v>19800</v>
      </c>
      <c r="N42" s="37">
        <v>478283</v>
      </c>
      <c r="O42" s="37">
        <v>319212</v>
      </c>
      <c r="P42" s="37">
        <v>215993</v>
      </c>
      <c r="Q42" s="37">
        <v>99309</v>
      </c>
      <c r="R42" s="37">
        <v>634154</v>
      </c>
      <c r="S42" s="37">
        <v>343435</v>
      </c>
      <c r="T42" s="40">
        <v>30000</v>
      </c>
      <c r="U42" s="37">
        <v>4311200</v>
      </c>
      <c r="V42" s="37">
        <v>0</v>
      </c>
      <c r="W42" s="45">
        <v>6431586</v>
      </c>
      <c r="X42" s="46">
        <v>8.9896665182605293</v>
      </c>
    </row>
    <row r="43" spans="1:24">
      <c r="A43" s="28" t="s">
        <v>63</v>
      </c>
      <c r="B43" s="29">
        <v>3169.6</v>
      </c>
      <c r="C43" s="30" t="s">
        <v>553</v>
      </c>
      <c r="D43" s="2">
        <v>4947974770</v>
      </c>
      <c r="E43" s="2" t="s">
        <v>18</v>
      </c>
      <c r="F43" s="2" t="s">
        <v>554</v>
      </c>
      <c r="G43" s="28" t="s">
        <v>9</v>
      </c>
      <c r="H43" s="2" t="s">
        <v>23</v>
      </c>
      <c r="I43" s="2">
        <v>5</v>
      </c>
      <c r="J43" s="2"/>
      <c r="K43" s="2">
        <v>23964.5</v>
      </c>
      <c r="L43" s="35">
        <v>75957879.200000003</v>
      </c>
      <c r="M43" s="36">
        <v>1025</v>
      </c>
      <c r="N43" s="37">
        <v>829442</v>
      </c>
      <c r="O43" s="37">
        <v>1382</v>
      </c>
      <c r="P43" s="37">
        <v>57774</v>
      </c>
      <c r="Q43" s="37">
        <v>16710</v>
      </c>
      <c r="R43" s="37">
        <v>398683</v>
      </c>
      <c r="S43" s="37">
        <v>343435</v>
      </c>
      <c r="T43" s="40">
        <v>30000</v>
      </c>
      <c r="U43" s="37">
        <v>1315469.2307692301</v>
      </c>
      <c r="V43" s="37">
        <v>0</v>
      </c>
      <c r="W43" s="45">
        <v>2992895.2307692301</v>
      </c>
      <c r="X43" s="46">
        <v>3.9402037843747899</v>
      </c>
    </row>
    <row r="44" spans="1:24">
      <c r="A44" s="28" t="s">
        <v>63</v>
      </c>
      <c r="B44" s="29">
        <v>3169.6</v>
      </c>
      <c r="C44" s="30" t="s">
        <v>568</v>
      </c>
      <c r="D44" s="2">
        <v>4947413831</v>
      </c>
      <c r="E44" s="2" t="s">
        <v>18</v>
      </c>
      <c r="F44" s="2" t="s">
        <v>569</v>
      </c>
      <c r="G44" s="28" t="s">
        <v>9</v>
      </c>
      <c r="H44" s="2" t="s">
        <v>23</v>
      </c>
      <c r="I44" s="2">
        <v>2</v>
      </c>
      <c r="J44" s="2"/>
      <c r="K44" s="2">
        <v>11136</v>
      </c>
      <c r="L44" s="35">
        <v>35296665.600000001</v>
      </c>
      <c r="M44" s="36">
        <v>400</v>
      </c>
      <c r="N44" s="40">
        <v>435572.44444444397</v>
      </c>
      <c r="O44" s="37">
        <v>576.88888888888903</v>
      </c>
      <c r="P44" s="37">
        <v>42380.444444444402</v>
      </c>
      <c r="Q44" s="37">
        <v>8204.4444444444398</v>
      </c>
      <c r="R44" s="40">
        <v>337723.55555555603</v>
      </c>
      <c r="S44" s="40">
        <v>305275.55555555603</v>
      </c>
      <c r="T44" s="40">
        <v>30000</v>
      </c>
      <c r="U44" s="40">
        <v>430771.65354330698</v>
      </c>
      <c r="V44" s="40">
        <v>0</v>
      </c>
      <c r="W44" s="45">
        <v>1590504.98687664</v>
      </c>
      <c r="X44" s="46">
        <v>4.5061054913828498</v>
      </c>
    </row>
    <row r="45" spans="1:24">
      <c r="A45" s="28" t="s">
        <v>63</v>
      </c>
      <c r="B45" s="29">
        <v>3169.6</v>
      </c>
      <c r="C45" s="30" t="s">
        <v>568</v>
      </c>
      <c r="D45" s="2">
        <v>4947413837</v>
      </c>
      <c r="E45" s="2" t="s">
        <v>18</v>
      </c>
      <c r="F45" s="2" t="s">
        <v>569</v>
      </c>
      <c r="G45" s="28" t="s">
        <v>9</v>
      </c>
      <c r="H45" s="2" t="s">
        <v>23</v>
      </c>
      <c r="I45" s="2">
        <v>2</v>
      </c>
      <c r="J45" s="2"/>
      <c r="K45" s="2">
        <v>1169</v>
      </c>
      <c r="L45" s="35">
        <v>3705262.4</v>
      </c>
      <c r="M45" s="36">
        <v>50</v>
      </c>
      <c r="N45" s="40">
        <v>54446.555555555598</v>
      </c>
      <c r="O45" s="37">
        <v>72.1111111111111</v>
      </c>
      <c r="P45" s="37">
        <v>5297.5555555555602</v>
      </c>
      <c r="Q45" s="37">
        <v>1025.55555555556</v>
      </c>
      <c r="R45" s="40">
        <v>42215.444444444402</v>
      </c>
      <c r="S45" s="40">
        <v>38159.444444444402</v>
      </c>
      <c r="T45" s="40">
        <v>30000</v>
      </c>
      <c r="U45" s="40">
        <v>53846.456692913402</v>
      </c>
      <c r="V45" s="40">
        <v>0</v>
      </c>
      <c r="W45" s="45">
        <v>225063.12335958</v>
      </c>
      <c r="X45" s="46">
        <v>6.0741480376553101</v>
      </c>
    </row>
    <row r="46" spans="1:24">
      <c r="A46" s="28" t="s">
        <v>63</v>
      </c>
      <c r="B46" s="29">
        <v>3169.6</v>
      </c>
      <c r="C46" s="30" t="s">
        <v>570</v>
      </c>
      <c r="D46" s="2">
        <v>4946628174</v>
      </c>
      <c r="E46" s="2" t="s">
        <v>18</v>
      </c>
      <c r="F46" s="78" t="s">
        <v>571</v>
      </c>
      <c r="G46" s="28" t="s">
        <v>5</v>
      </c>
      <c r="H46" s="2" t="s">
        <v>17</v>
      </c>
      <c r="I46" s="2">
        <v>1</v>
      </c>
      <c r="J46" s="2" t="s">
        <v>572</v>
      </c>
      <c r="K46" s="2">
        <v>12200</v>
      </c>
      <c r="L46" s="35">
        <v>38669120</v>
      </c>
      <c r="M46" s="36">
        <v>20000</v>
      </c>
      <c r="N46" s="37">
        <v>305708</v>
      </c>
      <c r="O46" s="37">
        <v>418768</v>
      </c>
      <c r="P46" s="37">
        <v>597333</v>
      </c>
      <c r="Q46" s="37">
        <v>99309</v>
      </c>
      <c r="R46" s="37">
        <v>933496</v>
      </c>
      <c r="S46" s="37">
        <v>343435</v>
      </c>
      <c r="T46" s="40">
        <v>30000</v>
      </c>
      <c r="U46" s="37">
        <v>4975550</v>
      </c>
      <c r="V46" s="37">
        <v>0</v>
      </c>
      <c r="W46" s="45">
        <v>7703599</v>
      </c>
      <c r="X46" s="46">
        <v>19.921836855868499</v>
      </c>
    </row>
    <row r="47" spans="1:24">
      <c r="A47" s="28" t="s">
        <v>63</v>
      </c>
      <c r="B47" s="29">
        <v>3169.6</v>
      </c>
      <c r="C47" s="30" t="s">
        <v>589</v>
      </c>
      <c r="D47" s="2">
        <v>4947413842</v>
      </c>
      <c r="E47" s="2" t="s">
        <v>18</v>
      </c>
      <c r="F47" s="78" t="s">
        <v>590</v>
      </c>
      <c r="G47" s="28" t="s">
        <v>9</v>
      </c>
      <c r="H47" s="2" t="s">
        <v>23</v>
      </c>
      <c r="I47" s="2">
        <v>1</v>
      </c>
      <c r="J47" s="2"/>
      <c r="K47" s="2">
        <v>1458</v>
      </c>
      <c r="L47" s="35">
        <v>4621276.8</v>
      </c>
      <c r="M47" s="36">
        <v>600</v>
      </c>
      <c r="N47" s="37">
        <v>485968</v>
      </c>
      <c r="O47" s="37">
        <v>819</v>
      </c>
      <c r="P47" s="37">
        <v>33403</v>
      </c>
      <c r="Q47" s="37">
        <v>9698</v>
      </c>
      <c r="R47" s="37">
        <v>386977</v>
      </c>
      <c r="S47" s="37">
        <v>343435</v>
      </c>
      <c r="T47" s="40">
        <v>30000</v>
      </c>
      <c r="U47" s="37">
        <v>770030.76923076902</v>
      </c>
      <c r="V47" s="37">
        <v>0</v>
      </c>
      <c r="W47" s="45">
        <v>2060330.7692307699</v>
      </c>
      <c r="X47" s="46">
        <v>44.583582814835303</v>
      </c>
    </row>
    <row r="48" spans="1:24">
      <c r="A48" s="28" t="s">
        <v>63</v>
      </c>
      <c r="B48" s="29">
        <v>3169.6</v>
      </c>
      <c r="C48" s="30" t="s">
        <v>616</v>
      </c>
      <c r="D48" s="2">
        <v>4947978373</v>
      </c>
      <c r="E48" s="2" t="s">
        <v>18</v>
      </c>
      <c r="F48" s="2" t="s">
        <v>617</v>
      </c>
      <c r="G48" s="28" t="s">
        <v>5</v>
      </c>
      <c r="H48" s="2" t="s">
        <v>20</v>
      </c>
      <c r="I48" s="2">
        <v>1</v>
      </c>
      <c r="J48" s="2" t="s">
        <v>618</v>
      </c>
      <c r="K48" s="2">
        <v>28478</v>
      </c>
      <c r="L48" s="35">
        <v>90263868.799999997</v>
      </c>
      <c r="M48" s="36">
        <v>2900</v>
      </c>
      <c r="N48" s="40">
        <v>282204.31413612602</v>
      </c>
      <c r="O48" s="50">
        <v>193866.97382198999</v>
      </c>
      <c r="P48" s="53">
        <v>0</v>
      </c>
      <c r="Q48" s="50">
        <v>60313.319371727703</v>
      </c>
      <c r="R48" s="40">
        <v>381777.89528795797</v>
      </c>
      <c r="S48" s="40">
        <v>208578.32460733</v>
      </c>
      <c r="T48" s="40">
        <v>30000</v>
      </c>
      <c r="U48" s="40">
        <v>1286931.93717277</v>
      </c>
      <c r="V48" s="40">
        <v>0</v>
      </c>
      <c r="W48" s="45">
        <v>2443672.7643979001</v>
      </c>
      <c r="X48" s="46">
        <v>2.7072546267791902</v>
      </c>
    </row>
    <row r="49" spans="1:24">
      <c r="A49" s="28" t="s">
        <v>63</v>
      </c>
      <c r="B49" s="29">
        <v>3169.6</v>
      </c>
      <c r="C49" s="30" t="s">
        <v>626</v>
      </c>
      <c r="D49" s="2">
        <v>4946659445</v>
      </c>
      <c r="E49" s="2" t="s">
        <v>18</v>
      </c>
      <c r="F49" s="2" t="s">
        <v>627</v>
      </c>
      <c r="G49" s="28" t="s">
        <v>9</v>
      </c>
      <c r="H49" s="2" t="s">
        <v>23</v>
      </c>
      <c r="I49" s="2">
        <v>10</v>
      </c>
      <c r="J49" s="2"/>
      <c r="K49" s="2">
        <v>15050</v>
      </c>
      <c r="L49" s="35">
        <v>47702480</v>
      </c>
      <c r="M49" s="36">
        <v>625</v>
      </c>
      <c r="N49" s="40">
        <v>339234.28571428597</v>
      </c>
      <c r="O49" s="37">
        <v>405.32467532467501</v>
      </c>
      <c r="P49" s="40">
        <v>40553.246753246698</v>
      </c>
      <c r="Q49" s="37">
        <v>9952.3376623376607</v>
      </c>
      <c r="R49" s="40">
        <v>17740.259740259698</v>
      </c>
      <c r="S49" s="40">
        <v>22300.974025973999</v>
      </c>
      <c r="T49" s="40">
        <v>30000</v>
      </c>
      <c r="U49" s="40">
        <v>174346.405228758</v>
      </c>
      <c r="V49" s="40">
        <v>0</v>
      </c>
      <c r="W49" s="45">
        <v>634532.83380018699</v>
      </c>
      <c r="X49" s="46">
        <v>1.3301883545681199</v>
      </c>
    </row>
    <row r="50" spans="1:24">
      <c r="A50" s="28" t="s">
        <v>63</v>
      </c>
      <c r="B50" s="29">
        <v>3169.6</v>
      </c>
      <c r="C50" s="30" t="s">
        <v>626</v>
      </c>
      <c r="D50" s="2">
        <v>4947978388</v>
      </c>
      <c r="E50" s="2" t="s">
        <v>18</v>
      </c>
      <c r="F50" s="2" t="s">
        <v>627</v>
      </c>
      <c r="G50" s="28" t="s">
        <v>9</v>
      </c>
      <c r="H50" s="2" t="s">
        <v>23</v>
      </c>
      <c r="I50" s="2">
        <v>10</v>
      </c>
      <c r="J50" s="2"/>
      <c r="K50" s="2">
        <v>14706.25</v>
      </c>
      <c r="L50" s="35">
        <v>46612930</v>
      </c>
      <c r="M50" s="36">
        <v>3000</v>
      </c>
      <c r="N50" s="40">
        <v>1628324.57142857</v>
      </c>
      <c r="O50" s="37">
        <v>1945.5584415584401</v>
      </c>
      <c r="P50" s="40">
        <v>194655.58441558399</v>
      </c>
      <c r="Q50" s="37">
        <v>47771.220779220799</v>
      </c>
      <c r="R50" s="40">
        <v>85153.2467532468</v>
      </c>
      <c r="S50" s="40">
        <v>107044.675324675</v>
      </c>
      <c r="T50" s="40">
        <v>30000</v>
      </c>
      <c r="U50" s="40">
        <v>836862.74509803904</v>
      </c>
      <c r="V50" s="40">
        <v>0</v>
      </c>
      <c r="W50" s="45">
        <v>2931757.6022408898</v>
      </c>
      <c r="X50" s="46">
        <v>6.2895801706541397</v>
      </c>
    </row>
    <row r="51" spans="1:24">
      <c r="A51" s="28" t="s">
        <v>63</v>
      </c>
      <c r="B51" s="29">
        <v>3169.6</v>
      </c>
      <c r="C51" s="30" t="s">
        <v>628</v>
      </c>
      <c r="D51" s="2">
        <v>4947978379</v>
      </c>
      <c r="E51" s="2" t="s">
        <v>18</v>
      </c>
      <c r="F51" s="2" t="s">
        <v>629</v>
      </c>
      <c r="G51" s="28" t="s">
        <v>9</v>
      </c>
      <c r="H51" s="2" t="s">
        <v>23</v>
      </c>
      <c r="I51" s="2">
        <v>10</v>
      </c>
      <c r="J51" s="2"/>
      <c r="K51" s="2">
        <v>10545</v>
      </c>
      <c r="L51" s="35">
        <v>33423432</v>
      </c>
      <c r="M51" s="36">
        <v>9500</v>
      </c>
      <c r="N51" s="37">
        <v>4425438</v>
      </c>
      <c r="O51" s="37">
        <v>6366</v>
      </c>
      <c r="P51" s="37">
        <v>1273786</v>
      </c>
      <c r="Q51" s="37">
        <v>195634</v>
      </c>
      <c r="R51" s="37">
        <v>306264</v>
      </c>
      <c r="S51" s="37">
        <v>343435</v>
      </c>
      <c r="T51" s="40">
        <v>30000</v>
      </c>
      <c r="U51" s="37">
        <v>2650065.35947712</v>
      </c>
      <c r="V51" s="37">
        <v>0</v>
      </c>
      <c r="W51" s="45">
        <v>9230988.3594771195</v>
      </c>
      <c r="X51" s="46">
        <v>27.618313880744299</v>
      </c>
    </row>
    <row r="52" spans="1:24">
      <c r="A52" s="28" t="s">
        <v>63</v>
      </c>
      <c r="B52" s="29">
        <v>3169.6</v>
      </c>
      <c r="C52" s="30" t="s">
        <v>634</v>
      </c>
      <c r="D52" s="2">
        <v>4947996116</v>
      </c>
      <c r="E52" s="2" t="s">
        <v>18</v>
      </c>
      <c r="F52" s="2" t="s">
        <v>635</v>
      </c>
      <c r="G52" s="28" t="s">
        <v>5</v>
      </c>
      <c r="H52" s="2" t="s">
        <v>35</v>
      </c>
      <c r="I52" s="2">
        <v>1</v>
      </c>
      <c r="J52" s="2" t="s">
        <v>636</v>
      </c>
      <c r="K52" s="2">
        <v>125493.75</v>
      </c>
      <c r="L52" s="35">
        <v>397764990</v>
      </c>
      <c r="M52" s="36">
        <v>1875</v>
      </c>
      <c r="N52" s="40">
        <v>42070.796847635698</v>
      </c>
      <c r="O52" s="37">
        <v>54224.605954465798</v>
      </c>
      <c r="P52" s="40">
        <v>0</v>
      </c>
      <c r="Q52" s="37">
        <v>13044.0893169877</v>
      </c>
      <c r="R52" s="40">
        <v>190512.69527145399</v>
      </c>
      <c r="S52" s="40">
        <v>45109.676007005299</v>
      </c>
      <c r="T52" s="40">
        <v>30000</v>
      </c>
      <c r="U52" s="40">
        <v>742322.67950963206</v>
      </c>
      <c r="V52" s="40">
        <v>165699.03677758301</v>
      </c>
      <c r="W52" s="45">
        <v>1282983.57968476</v>
      </c>
      <c r="X52" s="46">
        <v>0.32254814072117399</v>
      </c>
    </row>
    <row r="53" spans="1:24">
      <c r="A53" s="28" t="s">
        <v>63</v>
      </c>
      <c r="B53" s="29">
        <v>3169.6</v>
      </c>
      <c r="C53" s="30" t="s">
        <v>634</v>
      </c>
      <c r="D53" s="2">
        <v>4947994886</v>
      </c>
      <c r="E53" s="2" t="s">
        <v>18</v>
      </c>
      <c r="F53" s="2" t="s">
        <v>635</v>
      </c>
      <c r="G53" s="28" t="s">
        <v>5</v>
      </c>
      <c r="H53" s="2" t="s">
        <v>35</v>
      </c>
      <c r="I53" s="2">
        <v>1</v>
      </c>
      <c r="J53" s="2" t="s">
        <v>636</v>
      </c>
      <c r="K53" s="2">
        <v>55872</v>
      </c>
      <c r="L53" s="35">
        <v>177091891.19999999</v>
      </c>
      <c r="M53" s="36">
        <v>3200</v>
      </c>
      <c r="N53" s="40">
        <v>71800.826619964995</v>
      </c>
      <c r="O53" s="37">
        <v>92543.327495621706</v>
      </c>
      <c r="P53" s="40">
        <v>0</v>
      </c>
      <c r="Q53" s="37">
        <v>22261.912434325699</v>
      </c>
      <c r="R53" s="40">
        <v>325142.23992994701</v>
      </c>
      <c r="S53" s="40">
        <v>76987.180385289001</v>
      </c>
      <c r="T53" s="40">
        <v>30000</v>
      </c>
      <c r="U53" s="40">
        <v>1266897.3730297701</v>
      </c>
      <c r="V53" s="40">
        <v>282793.02276707499</v>
      </c>
      <c r="W53" s="45">
        <v>2168425.8826619899</v>
      </c>
      <c r="X53" s="46">
        <v>1.22446367700318</v>
      </c>
    </row>
    <row r="54" spans="1:24">
      <c r="A54" s="28" t="s">
        <v>63</v>
      </c>
      <c r="B54" s="29">
        <v>3169.6</v>
      </c>
      <c r="C54" s="30" t="s">
        <v>634</v>
      </c>
      <c r="D54" s="2">
        <v>4947994869</v>
      </c>
      <c r="E54" s="2" t="s">
        <v>18</v>
      </c>
      <c r="F54" s="78" t="s">
        <v>635</v>
      </c>
      <c r="G54" s="28" t="s">
        <v>5</v>
      </c>
      <c r="H54" s="2" t="s">
        <v>35</v>
      </c>
      <c r="I54" s="2">
        <v>1</v>
      </c>
      <c r="J54" s="2" t="s">
        <v>636</v>
      </c>
      <c r="K54" s="2">
        <v>96640</v>
      </c>
      <c r="L54" s="35">
        <v>306310144</v>
      </c>
      <c r="M54" s="36">
        <v>8000</v>
      </c>
      <c r="N54" s="40">
        <v>179502.06654991201</v>
      </c>
      <c r="O54" s="37">
        <v>231358.318739054</v>
      </c>
      <c r="P54" s="40">
        <v>0</v>
      </c>
      <c r="Q54" s="37">
        <v>55654.7810858144</v>
      </c>
      <c r="R54" s="40">
        <v>812855.09982486896</v>
      </c>
      <c r="S54" s="40">
        <v>192467.95096322201</v>
      </c>
      <c r="T54" s="40">
        <v>30000</v>
      </c>
      <c r="U54" s="40">
        <v>3167243.43257443</v>
      </c>
      <c r="V54" s="40">
        <v>706982.55691768799</v>
      </c>
      <c r="W54" s="45">
        <v>5376064.2066549901</v>
      </c>
      <c r="X54" s="46">
        <v>1.7551048543318899</v>
      </c>
    </row>
    <row r="56" spans="1:24" ht="15" customHeight="1">
      <c r="A56" s="31" t="s">
        <v>63</v>
      </c>
      <c r="B56" s="31"/>
      <c r="C56" s="31"/>
      <c r="D56" s="31"/>
      <c r="E56" s="31"/>
      <c r="F56" s="32">
        <v>35</v>
      </c>
      <c r="G56" s="31"/>
      <c r="H56" s="31"/>
      <c r="I56" s="38"/>
      <c r="J56" s="31"/>
      <c r="K56" s="39">
        <f>+SUM(K2:K54)</f>
        <v>1461671.6999999997</v>
      </c>
      <c r="L56" s="39">
        <f>+SUM(L2:L54)</f>
        <v>4632914620.3199997</v>
      </c>
      <c r="M56" s="31"/>
      <c r="N56" s="39"/>
      <c r="O56" s="39"/>
      <c r="P56" s="39"/>
      <c r="Q56" s="39"/>
      <c r="R56" s="39"/>
      <c r="S56" s="39"/>
      <c r="T56" s="39"/>
      <c r="U56" s="39"/>
      <c r="V56" s="31"/>
      <c r="W56" s="39">
        <f>+SUM(W2:W54)</f>
        <v>171275951.86956513</v>
      </c>
      <c r="X56" s="47">
        <f>(W56/L56)*100</f>
        <v>3.6969373689372009</v>
      </c>
    </row>
    <row r="58" spans="1:24" s="4" customFormat="1" ht="15" customHeight="1">
      <c r="A58" s="28" t="s">
        <v>647</v>
      </c>
      <c r="B58" s="29">
        <v>3125.21</v>
      </c>
      <c r="C58" s="30" t="s">
        <v>791</v>
      </c>
      <c r="D58" s="2">
        <v>4947994900</v>
      </c>
      <c r="E58" s="2" t="s">
        <v>18</v>
      </c>
      <c r="F58" s="2" t="s">
        <v>792</v>
      </c>
      <c r="G58" s="28" t="s">
        <v>5</v>
      </c>
      <c r="H58" s="2" t="s">
        <v>35</v>
      </c>
      <c r="I58" s="2">
        <v>1</v>
      </c>
      <c r="J58" s="2" t="s">
        <v>793</v>
      </c>
      <c r="K58" s="2">
        <v>81760</v>
      </c>
      <c r="L58" s="35">
        <v>255517169.59999999</v>
      </c>
      <c r="M58" s="36">
        <v>8000</v>
      </c>
      <c r="N58" s="40">
        <v>261162.936708861</v>
      </c>
      <c r="O58" s="40">
        <v>338692.05063291098</v>
      </c>
      <c r="P58" s="40">
        <v>0</v>
      </c>
      <c r="Q58" s="40">
        <v>80452.860759493706</v>
      </c>
      <c r="R58" s="40">
        <v>1019335.0886075899</v>
      </c>
      <c r="S58" s="40">
        <v>278225.82278480998</v>
      </c>
      <c r="T58" s="37">
        <v>30000</v>
      </c>
      <c r="U58" s="40">
        <v>4067686.0759493699</v>
      </c>
      <c r="V58" s="40">
        <v>1055305.7215189899</v>
      </c>
      <c r="W58" s="45">
        <v>7130860.5569620198</v>
      </c>
      <c r="X58" s="46">
        <v>2.7907559277230001</v>
      </c>
    </row>
    <row r="59" spans="1:24" s="4" customFormat="1" ht="15" customHeight="1">
      <c r="A59" s="28" t="s">
        <v>647</v>
      </c>
      <c r="B59" s="29">
        <v>3125.21</v>
      </c>
      <c r="C59" s="30" t="s">
        <v>791</v>
      </c>
      <c r="D59" s="2">
        <v>4947994895</v>
      </c>
      <c r="E59" s="2" t="s">
        <v>18</v>
      </c>
      <c r="F59" s="2" t="s">
        <v>792</v>
      </c>
      <c r="G59" s="28" t="s">
        <v>5</v>
      </c>
      <c r="H59" s="2" t="s">
        <v>35</v>
      </c>
      <c r="I59" s="2">
        <v>1</v>
      </c>
      <c r="J59" s="2" t="s">
        <v>793</v>
      </c>
      <c r="K59" s="2">
        <v>8000</v>
      </c>
      <c r="L59" s="35">
        <v>25001680</v>
      </c>
      <c r="M59" s="36">
        <v>1250</v>
      </c>
      <c r="N59" s="40">
        <v>40806.7088607595</v>
      </c>
      <c r="O59" s="40">
        <v>52920.6329113924</v>
      </c>
      <c r="P59" s="40">
        <v>0</v>
      </c>
      <c r="Q59" s="40">
        <v>12570.759493670899</v>
      </c>
      <c r="R59" s="40">
        <v>159271.607594937</v>
      </c>
      <c r="S59" s="40">
        <v>43472.784810126599</v>
      </c>
      <c r="T59" s="37">
        <v>30000</v>
      </c>
      <c r="U59" s="40">
        <v>635575.94936708896</v>
      </c>
      <c r="V59" s="40">
        <v>164891.51898734199</v>
      </c>
      <c r="W59" s="45">
        <v>1139509.9620253199</v>
      </c>
      <c r="X59" s="46">
        <v>4.5577335684054701</v>
      </c>
    </row>
    <row r="60" spans="1:24" s="4" customFormat="1" ht="15" customHeight="1">
      <c r="A60" s="28" t="s">
        <v>647</v>
      </c>
      <c r="B60" s="29">
        <v>3125.21</v>
      </c>
      <c r="C60" s="30" t="s">
        <v>809</v>
      </c>
      <c r="D60" s="2">
        <v>4947974796</v>
      </c>
      <c r="E60" s="2" t="s">
        <v>18</v>
      </c>
      <c r="F60" s="2" t="s">
        <v>810</v>
      </c>
      <c r="G60" s="28" t="s">
        <v>9</v>
      </c>
      <c r="H60" s="2" t="s">
        <v>23</v>
      </c>
      <c r="I60" s="2">
        <v>3</v>
      </c>
      <c r="J60" s="2"/>
      <c r="K60" s="2">
        <v>5040</v>
      </c>
      <c r="L60" s="35">
        <v>15751058.4</v>
      </c>
      <c r="M60" s="36">
        <v>1800</v>
      </c>
      <c r="N60" s="37">
        <v>625103</v>
      </c>
      <c r="O60" s="37">
        <v>2363</v>
      </c>
      <c r="P60" s="37">
        <v>18320</v>
      </c>
      <c r="Q60" s="37">
        <v>29170</v>
      </c>
      <c r="R60" s="37">
        <v>376791</v>
      </c>
      <c r="S60" s="37">
        <v>354356</v>
      </c>
      <c r="T60" s="37">
        <v>30000</v>
      </c>
      <c r="U60" s="37">
        <v>1367700</v>
      </c>
      <c r="V60" s="37">
        <v>0</v>
      </c>
      <c r="W60" s="45">
        <v>2803803</v>
      </c>
      <c r="X60" s="46">
        <v>17.800727600628999</v>
      </c>
    </row>
    <row r="61" spans="1:24" s="4" customFormat="1" ht="15" customHeight="1">
      <c r="A61" s="28" t="s">
        <v>647</v>
      </c>
      <c r="B61" s="29">
        <v>3125.21</v>
      </c>
      <c r="C61" s="30" t="s">
        <v>838</v>
      </c>
      <c r="D61" s="2">
        <v>4947994876</v>
      </c>
      <c r="E61" s="2" t="s">
        <v>18</v>
      </c>
      <c r="F61" s="2" t="s">
        <v>839</v>
      </c>
      <c r="G61" s="28" t="s">
        <v>5</v>
      </c>
      <c r="H61" s="2" t="s">
        <v>32</v>
      </c>
      <c r="I61" s="2">
        <v>1</v>
      </c>
      <c r="J61" s="2" t="s">
        <v>840</v>
      </c>
      <c r="K61" s="2">
        <v>132220</v>
      </c>
      <c r="L61" s="35">
        <v>413215266.19999999</v>
      </c>
      <c r="M61" s="36">
        <v>2000</v>
      </c>
      <c r="N61" s="40">
        <v>119924.905660377</v>
      </c>
      <c r="O61" s="40">
        <v>120257.358490566</v>
      </c>
      <c r="P61" s="40">
        <v>0</v>
      </c>
      <c r="Q61" s="40">
        <v>37475.094339622599</v>
      </c>
      <c r="R61" s="40">
        <v>370176.905660377</v>
      </c>
      <c r="S61" s="40">
        <v>133719.245283019</v>
      </c>
      <c r="T61" s="37">
        <v>30000</v>
      </c>
      <c r="U61" s="40">
        <v>1510641.5094339601</v>
      </c>
      <c r="V61" s="40">
        <v>503773.58490566001</v>
      </c>
      <c r="W61" s="45">
        <v>2825968.6037735799</v>
      </c>
      <c r="X61" s="46">
        <v>0.68389743432320005</v>
      </c>
    </row>
    <row r="62" spans="1:24" s="4" customFormat="1" ht="15" customHeight="1">
      <c r="A62" s="28" t="s">
        <v>647</v>
      </c>
      <c r="B62" s="29">
        <v>3125.21</v>
      </c>
      <c r="C62" s="30" t="s">
        <v>848</v>
      </c>
      <c r="D62" s="2">
        <v>4948243646</v>
      </c>
      <c r="E62" s="2" t="s">
        <v>18</v>
      </c>
      <c r="F62" s="2" t="s">
        <v>849</v>
      </c>
      <c r="G62" s="28" t="s">
        <v>9</v>
      </c>
      <c r="H62" s="2" t="s">
        <v>23</v>
      </c>
      <c r="I62" s="2">
        <v>15</v>
      </c>
      <c r="J62" s="2"/>
      <c r="K62" s="2">
        <v>14706.25</v>
      </c>
      <c r="L62" s="35">
        <v>45960119.5625</v>
      </c>
      <c r="M62" s="36">
        <v>625</v>
      </c>
      <c r="N62" s="40">
        <v>412087.05080545199</v>
      </c>
      <c r="O62" s="40">
        <v>431.22676579925599</v>
      </c>
      <c r="P62" s="40">
        <v>19733.658612143699</v>
      </c>
      <c r="Q62" s="40">
        <v>10484.123296158599</v>
      </c>
      <c r="R62" s="40">
        <v>20327.214993804198</v>
      </c>
      <c r="S62" s="40">
        <v>27443.928128872401</v>
      </c>
      <c r="T62" s="37">
        <v>30000</v>
      </c>
      <c r="U62" s="40">
        <v>373365.86121437402</v>
      </c>
      <c r="V62" s="40">
        <v>103392.19330855001</v>
      </c>
      <c r="W62" s="45">
        <v>997265.25712515402</v>
      </c>
      <c r="X62" s="46">
        <v>2.1698491357686698</v>
      </c>
    </row>
    <row r="63" spans="1:24" s="4" customFormat="1" ht="15" customHeight="1">
      <c r="A63" s="28" t="s">
        <v>647</v>
      </c>
      <c r="B63" s="29">
        <v>3125.21</v>
      </c>
      <c r="C63" s="30" t="s">
        <v>848</v>
      </c>
      <c r="D63" s="2">
        <v>4946267782</v>
      </c>
      <c r="E63" s="2" t="s">
        <v>18</v>
      </c>
      <c r="F63" s="2" t="s">
        <v>849</v>
      </c>
      <c r="G63" s="28" t="s">
        <v>9</v>
      </c>
      <c r="H63" s="2" t="s">
        <v>23</v>
      </c>
      <c r="I63" s="2">
        <v>15</v>
      </c>
      <c r="J63" s="2"/>
      <c r="K63" s="2">
        <v>62190.75</v>
      </c>
      <c r="L63" s="35">
        <v>194359153.8075</v>
      </c>
      <c r="M63" s="36">
        <v>2525</v>
      </c>
      <c r="N63" s="40">
        <v>1664831.6852540299</v>
      </c>
      <c r="O63" s="40">
        <v>1742.1561338290001</v>
      </c>
      <c r="P63" s="40">
        <v>79723.980793060706</v>
      </c>
      <c r="Q63" s="40">
        <v>42355.858116480798</v>
      </c>
      <c r="R63" s="40">
        <v>82121.948574969007</v>
      </c>
      <c r="S63" s="40">
        <v>110873.46964064401</v>
      </c>
      <c r="T63" s="37">
        <v>30000</v>
      </c>
      <c r="U63" s="40">
        <v>1508398.07930607</v>
      </c>
      <c r="V63" s="40">
        <v>417704.460966543</v>
      </c>
      <c r="W63" s="45">
        <v>3937751.63878563</v>
      </c>
      <c r="X63" s="46">
        <v>2.0260181018722201</v>
      </c>
    </row>
    <row r="64" spans="1:24" s="4" customFormat="1" ht="15" customHeight="1">
      <c r="A64" s="28" t="s">
        <v>647</v>
      </c>
      <c r="B64" s="29">
        <v>3125.21</v>
      </c>
      <c r="C64" s="30" t="s">
        <v>848</v>
      </c>
      <c r="D64" s="2">
        <v>4947978384</v>
      </c>
      <c r="E64" s="2" t="s">
        <v>18</v>
      </c>
      <c r="F64" s="2" t="s">
        <v>849</v>
      </c>
      <c r="G64" s="28" t="s">
        <v>9</v>
      </c>
      <c r="H64" s="2" t="s">
        <v>23</v>
      </c>
      <c r="I64" s="2">
        <v>15</v>
      </c>
      <c r="J64" s="2"/>
      <c r="K64" s="2">
        <v>51340</v>
      </c>
      <c r="L64" s="35">
        <v>160448281.40000001</v>
      </c>
      <c r="M64" s="36">
        <v>1000</v>
      </c>
      <c r="N64" s="40">
        <v>659339.28128872404</v>
      </c>
      <c r="O64" s="40">
        <v>689.96282527880999</v>
      </c>
      <c r="P64" s="40">
        <v>31573.853779429999</v>
      </c>
      <c r="Q64" s="40">
        <v>16774.5972738538</v>
      </c>
      <c r="R64" s="40">
        <v>32523.543990086699</v>
      </c>
      <c r="S64" s="40">
        <v>43910.285006195802</v>
      </c>
      <c r="T64" s="37">
        <v>30000</v>
      </c>
      <c r="U64" s="40">
        <v>597385.37794299901</v>
      </c>
      <c r="V64" s="40">
        <v>165427.50929367999</v>
      </c>
      <c r="W64" s="45">
        <v>1577624.4114002499</v>
      </c>
      <c r="X64" s="46">
        <v>0.98326039869957005</v>
      </c>
    </row>
    <row r="65" spans="1:24" s="4" customFormat="1" ht="15" customHeight="1">
      <c r="A65" s="28" t="s">
        <v>647</v>
      </c>
      <c r="B65" s="29">
        <v>3125.21</v>
      </c>
      <c r="C65" s="30" t="s">
        <v>890</v>
      </c>
      <c r="D65" s="2">
        <v>4947974771</v>
      </c>
      <c r="E65" s="2" t="s">
        <v>18</v>
      </c>
      <c r="F65" s="2" t="s">
        <v>891</v>
      </c>
      <c r="G65" s="28" t="s">
        <v>9</v>
      </c>
      <c r="H65" s="2" t="s">
        <v>23</v>
      </c>
      <c r="I65" s="2">
        <v>5</v>
      </c>
      <c r="J65" s="2"/>
      <c r="K65" s="2" t="s">
        <v>892</v>
      </c>
      <c r="L65" s="35">
        <v>21470192.699999999</v>
      </c>
      <c r="M65" s="36">
        <v>3000</v>
      </c>
      <c r="N65" s="37">
        <v>774874</v>
      </c>
      <c r="O65" s="37">
        <v>3956</v>
      </c>
      <c r="P65" s="37">
        <v>30471</v>
      </c>
      <c r="Q65" s="37">
        <v>48530</v>
      </c>
      <c r="R65" s="37">
        <v>400681</v>
      </c>
      <c r="S65" s="37">
        <v>354356</v>
      </c>
      <c r="T65" s="37">
        <v>30000</v>
      </c>
      <c r="U65" s="37">
        <v>1518567.96116505</v>
      </c>
      <c r="V65" s="37">
        <v>0</v>
      </c>
      <c r="W65" s="45">
        <v>3161435.96116505</v>
      </c>
      <c r="X65" s="46">
        <v>14.7247675199722</v>
      </c>
    </row>
    <row r="66" spans="1:24" s="4" customFormat="1" ht="15" customHeight="1">
      <c r="A66" s="28" t="s">
        <v>647</v>
      </c>
      <c r="B66" s="29">
        <v>3125.21</v>
      </c>
      <c r="C66" s="30" t="s">
        <v>895</v>
      </c>
      <c r="D66" s="2">
        <v>4947974774</v>
      </c>
      <c r="E66" s="2" t="s">
        <v>18</v>
      </c>
      <c r="F66" s="78" t="s">
        <v>896</v>
      </c>
      <c r="G66" s="28" t="s">
        <v>9</v>
      </c>
      <c r="H66" s="2" t="s">
        <v>23</v>
      </c>
      <c r="I66" s="2">
        <v>5</v>
      </c>
      <c r="J66" s="2"/>
      <c r="K66" s="2" t="s">
        <v>897</v>
      </c>
      <c r="L66" s="35">
        <v>43994831.254000001</v>
      </c>
      <c r="M66" s="36">
        <v>1180</v>
      </c>
      <c r="N66" s="40">
        <v>311115.12145749002</v>
      </c>
      <c r="O66" s="40">
        <v>818.51551956815103</v>
      </c>
      <c r="P66" s="40">
        <v>12428.616734143099</v>
      </c>
      <c r="Q66" s="40">
        <v>19827.901484480401</v>
      </c>
      <c r="R66" s="40">
        <v>112884.67611335999</v>
      </c>
      <c r="S66" s="40">
        <v>141072.90148448001</v>
      </c>
      <c r="T66" s="37">
        <v>30000</v>
      </c>
      <c r="U66" s="40">
        <v>718717.87383177597</v>
      </c>
      <c r="V66" s="40">
        <v>0</v>
      </c>
      <c r="W66" s="45">
        <v>1346865.6066252999</v>
      </c>
      <c r="X66" s="46">
        <v>3.0614178262198499</v>
      </c>
    </row>
    <row r="67" spans="1:24" s="4" customFormat="1" ht="15" customHeight="1">
      <c r="A67" s="28" t="s">
        <v>647</v>
      </c>
      <c r="B67" s="29">
        <v>3125.21</v>
      </c>
      <c r="C67" s="30" t="s">
        <v>895</v>
      </c>
      <c r="D67" s="2">
        <v>4947978372</v>
      </c>
      <c r="E67" s="2" t="s">
        <v>18</v>
      </c>
      <c r="F67" s="78" t="s">
        <v>896</v>
      </c>
      <c r="G67" s="28" t="s">
        <v>9</v>
      </c>
      <c r="H67" s="2" t="s">
        <v>23</v>
      </c>
      <c r="I67" s="2">
        <v>5</v>
      </c>
      <c r="J67" s="2"/>
      <c r="K67" s="2">
        <v>7892.64</v>
      </c>
      <c r="L67" s="35">
        <v>24666157.454399999</v>
      </c>
      <c r="M67" s="36">
        <v>144</v>
      </c>
      <c r="N67" s="40">
        <v>37966.5910931174</v>
      </c>
      <c r="O67" s="40">
        <v>99.886639676113404</v>
      </c>
      <c r="P67" s="40">
        <v>1516.71255060729</v>
      </c>
      <c r="Q67" s="40">
        <v>2419.67611336032</v>
      </c>
      <c r="R67" s="40">
        <v>13775.757085020199</v>
      </c>
      <c r="S67" s="40">
        <v>17215.676113360299</v>
      </c>
      <c r="T67" s="37">
        <v>30000</v>
      </c>
      <c r="U67" s="40">
        <v>87707.943925233601</v>
      </c>
      <c r="V67" s="40">
        <v>0</v>
      </c>
      <c r="W67" s="45">
        <v>190702.24352037499</v>
      </c>
      <c r="X67" s="46">
        <v>0.77313316382141795</v>
      </c>
    </row>
    <row r="68" spans="1:24" s="4" customFormat="1" ht="15" customHeight="1">
      <c r="A68" s="28" t="s">
        <v>647</v>
      </c>
      <c r="B68" s="29">
        <v>3125.21</v>
      </c>
      <c r="C68" s="30" t="s">
        <v>1001</v>
      </c>
      <c r="D68" s="2">
        <v>4948618682</v>
      </c>
      <c r="E68" s="2" t="s">
        <v>18</v>
      </c>
      <c r="F68" s="2" t="s">
        <v>1002</v>
      </c>
      <c r="G68" s="28" t="s">
        <v>9</v>
      </c>
      <c r="H68" s="2" t="s">
        <v>23</v>
      </c>
      <c r="I68" s="2">
        <v>13</v>
      </c>
      <c r="J68" s="2"/>
      <c r="K68" s="2">
        <v>12840</v>
      </c>
      <c r="L68" s="35">
        <v>40127696.399999999</v>
      </c>
      <c r="M68" s="36">
        <v>4000</v>
      </c>
      <c r="N68" s="40">
        <v>2236094.4055944099</v>
      </c>
      <c r="O68" s="40">
        <v>2597.5524475524498</v>
      </c>
      <c r="P68" s="40">
        <v>170270.27972028</v>
      </c>
      <c r="Q68" s="40">
        <v>64293.006993007002</v>
      </c>
      <c r="R68" s="40">
        <v>108132.867132867</v>
      </c>
      <c r="S68" s="40">
        <v>123900.69930069899</v>
      </c>
      <c r="T68" s="37">
        <v>30000</v>
      </c>
      <c r="U68" s="40">
        <v>1458391.60839161</v>
      </c>
      <c r="V68" s="40">
        <v>466783.21678321698</v>
      </c>
      <c r="W68" s="45">
        <v>4660463.6363636404</v>
      </c>
      <c r="X68" s="46">
        <v>11.614082178820601</v>
      </c>
    </row>
    <row r="69" spans="1:24" s="4" customFormat="1" ht="15" customHeight="1">
      <c r="A69" s="28" t="s">
        <v>647</v>
      </c>
      <c r="B69" s="29">
        <v>3125.21</v>
      </c>
      <c r="C69" s="30" t="s">
        <v>1001</v>
      </c>
      <c r="D69" s="2">
        <v>4947978385</v>
      </c>
      <c r="E69" s="2" t="s">
        <v>18</v>
      </c>
      <c r="F69" s="2" t="s">
        <v>1002</v>
      </c>
      <c r="G69" s="28" t="s">
        <v>9</v>
      </c>
      <c r="H69" s="2" t="s">
        <v>23</v>
      </c>
      <c r="I69" s="2">
        <v>13</v>
      </c>
      <c r="J69" s="2"/>
      <c r="K69" s="2">
        <v>78206.399999999994</v>
      </c>
      <c r="L69" s="35">
        <v>244411423.34400001</v>
      </c>
      <c r="M69" s="36">
        <v>1440</v>
      </c>
      <c r="N69" s="40">
        <v>804993.98601398605</v>
      </c>
      <c r="O69" s="40">
        <v>935.11888111888095</v>
      </c>
      <c r="P69" s="40">
        <v>61297.3006993007</v>
      </c>
      <c r="Q69" s="40">
        <v>23145.482517482498</v>
      </c>
      <c r="R69" s="40">
        <v>38927.832167832203</v>
      </c>
      <c r="S69" s="40">
        <v>44604.251748251801</v>
      </c>
      <c r="T69" s="37">
        <v>30000</v>
      </c>
      <c r="U69" s="40">
        <v>525020.97902097902</v>
      </c>
      <c r="V69" s="40">
        <v>168041.95804195799</v>
      </c>
      <c r="W69" s="45">
        <v>1696966.9090909101</v>
      </c>
      <c r="X69" s="46">
        <v>0.69430752698595899</v>
      </c>
    </row>
    <row r="70" spans="1:24" s="4" customFormat="1" ht="15" customHeight="1">
      <c r="A70" s="28" t="s">
        <v>647</v>
      </c>
      <c r="B70" s="29">
        <v>3125.21</v>
      </c>
      <c r="C70" s="30" t="s">
        <v>1001</v>
      </c>
      <c r="D70" s="2">
        <v>4948605868</v>
      </c>
      <c r="E70" s="2" t="s">
        <v>18</v>
      </c>
      <c r="F70" s="2" t="s">
        <v>1002</v>
      </c>
      <c r="G70" s="28" t="s">
        <v>9</v>
      </c>
      <c r="H70" s="2" t="s">
        <v>23</v>
      </c>
      <c r="I70" s="2">
        <v>13</v>
      </c>
      <c r="J70" s="2"/>
      <c r="K70" s="2">
        <v>45800</v>
      </c>
      <c r="L70" s="35">
        <v>143134618</v>
      </c>
      <c r="M70" s="36">
        <v>5000</v>
      </c>
      <c r="N70" s="40">
        <v>2795118.0069930102</v>
      </c>
      <c r="O70" s="40">
        <v>3246.9405594405598</v>
      </c>
      <c r="P70" s="40">
        <v>212837.84965034999</v>
      </c>
      <c r="Q70" s="40">
        <v>80366.258741258702</v>
      </c>
      <c r="R70" s="40">
        <v>135166.083916084</v>
      </c>
      <c r="S70" s="40">
        <v>154875.87412587399</v>
      </c>
      <c r="T70" s="37">
        <v>30000</v>
      </c>
      <c r="U70" s="40">
        <v>1822989.5104895099</v>
      </c>
      <c r="V70" s="40">
        <v>583479.02097902098</v>
      </c>
      <c r="W70" s="45">
        <v>5818079.5454545496</v>
      </c>
      <c r="X70" s="46">
        <v>4.0647605916372704</v>
      </c>
    </row>
    <row r="71" spans="1:24" s="4" customFormat="1" ht="15" customHeight="1">
      <c r="A71" s="28" t="s">
        <v>647</v>
      </c>
      <c r="B71" s="29">
        <v>3125.21</v>
      </c>
      <c r="C71" s="30" t="s">
        <v>1001</v>
      </c>
      <c r="D71" s="2">
        <v>4948242174</v>
      </c>
      <c r="E71" s="2" t="s">
        <v>18</v>
      </c>
      <c r="F71" s="2" t="s">
        <v>1002</v>
      </c>
      <c r="G71" s="28" t="s">
        <v>9</v>
      </c>
      <c r="H71" s="2" t="s">
        <v>23</v>
      </c>
      <c r="I71" s="2">
        <v>13</v>
      </c>
      <c r="J71" s="2"/>
      <c r="K71" s="2">
        <v>3810</v>
      </c>
      <c r="L71" s="35">
        <v>11907050.1</v>
      </c>
      <c r="M71" s="36">
        <v>1000</v>
      </c>
      <c r="N71" s="40">
        <v>559023.60139860096</v>
      </c>
      <c r="O71" s="40">
        <v>649.38811188811201</v>
      </c>
      <c r="P71" s="40">
        <v>42567.569930069898</v>
      </c>
      <c r="Q71" s="40">
        <v>16073.2517482517</v>
      </c>
      <c r="R71" s="40">
        <v>27033.216783216802</v>
      </c>
      <c r="S71" s="40">
        <v>30975.174825174799</v>
      </c>
      <c r="T71" s="37">
        <v>30000</v>
      </c>
      <c r="U71" s="40">
        <v>364597.90209790203</v>
      </c>
      <c r="V71" s="40">
        <v>116695.804195804</v>
      </c>
      <c r="W71" s="45">
        <v>1187615.9090909101</v>
      </c>
      <c r="X71" s="46">
        <v>9.9740565389147804</v>
      </c>
    </row>
    <row r="72" spans="1:24" s="4" customFormat="1" ht="15" customHeight="1">
      <c r="A72" s="28" t="s">
        <v>647</v>
      </c>
      <c r="B72" s="29">
        <v>3125.21</v>
      </c>
      <c r="C72" s="30" t="s">
        <v>1009</v>
      </c>
      <c r="D72" s="2">
        <v>4948536571</v>
      </c>
      <c r="E72" s="2" t="s">
        <v>18</v>
      </c>
      <c r="F72" s="2" t="s">
        <v>1010</v>
      </c>
      <c r="G72" s="28" t="s">
        <v>5</v>
      </c>
      <c r="H72" s="2" t="s">
        <v>32</v>
      </c>
      <c r="I72" s="2">
        <v>1</v>
      </c>
      <c r="J72" s="2" t="s">
        <v>1011</v>
      </c>
      <c r="K72" s="2">
        <v>3345</v>
      </c>
      <c r="L72" s="35">
        <v>10453827.449999999</v>
      </c>
      <c r="M72" s="36">
        <v>1500</v>
      </c>
      <c r="N72" s="40">
        <v>105755.66666666701</v>
      </c>
      <c r="O72" s="40">
        <v>105020.33333333299</v>
      </c>
      <c r="P72" s="40">
        <v>0</v>
      </c>
      <c r="Q72" s="40">
        <v>33103</v>
      </c>
      <c r="R72" s="40">
        <v>415984.66666666698</v>
      </c>
      <c r="S72" s="40">
        <v>118118.66666666701</v>
      </c>
      <c r="T72" s="37">
        <v>30000</v>
      </c>
      <c r="U72" s="40">
        <v>709994.61206896603</v>
      </c>
      <c r="V72" s="40">
        <v>0</v>
      </c>
      <c r="W72" s="45">
        <v>1517976.9454023</v>
      </c>
      <c r="X72" s="46">
        <v>14.5207767457679</v>
      </c>
    </row>
    <row r="73" spans="1:24" s="4" customFormat="1" ht="15" customHeight="1">
      <c r="A73" s="28" t="s">
        <v>647</v>
      </c>
      <c r="B73" s="29">
        <v>3125.21</v>
      </c>
      <c r="C73" s="30" t="s">
        <v>1009</v>
      </c>
      <c r="D73" s="2">
        <v>4948536575</v>
      </c>
      <c r="E73" s="2" t="s">
        <v>18</v>
      </c>
      <c r="F73" s="2" t="s">
        <v>1010</v>
      </c>
      <c r="G73" s="28" t="s">
        <v>5</v>
      </c>
      <c r="H73" s="2" t="s">
        <v>32</v>
      </c>
      <c r="I73" s="2">
        <v>1</v>
      </c>
      <c r="J73" s="2" t="s">
        <v>1011</v>
      </c>
      <c r="K73" s="2">
        <v>7740</v>
      </c>
      <c r="L73" s="35">
        <v>24189125.399999999</v>
      </c>
      <c r="M73" s="36">
        <v>3000</v>
      </c>
      <c r="N73" s="40">
        <v>211511.33333333299</v>
      </c>
      <c r="O73" s="40">
        <v>210040.66666666701</v>
      </c>
      <c r="P73" s="40">
        <v>0</v>
      </c>
      <c r="Q73" s="40">
        <v>66206</v>
      </c>
      <c r="R73" s="40">
        <v>831970.33333333302</v>
      </c>
      <c r="S73" s="40">
        <v>236237.33333333299</v>
      </c>
      <c r="T73" s="37">
        <v>30000</v>
      </c>
      <c r="U73" s="40">
        <v>1419989.22413793</v>
      </c>
      <c r="V73" s="40">
        <v>0</v>
      </c>
      <c r="W73" s="45">
        <v>3005954.8908046</v>
      </c>
      <c r="X73" s="46">
        <v>12.426885392080299</v>
      </c>
    </row>
    <row r="74" spans="1:24" s="4" customFormat="1" ht="15" customHeight="1">
      <c r="A74" s="28" t="s">
        <v>647</v>
      </c>
      <c r="B74" s="29">
        <v>3125.21</v>
      </c>
      <c r="C74" s="30" t="s">
        <v>1056</v>
      </c>
      <c r="D74" s="2">
        <v>4948867701</v>
      </c>
      <c r="E74" s="2" t="s">
        <v>18</v>
      </c>
      <c r="F74" s="78" t="s">
        <v>1057</v>
      </c>
      <c r="G74" s="28" t="s">
        <v>13</v>
      </c>
      <c r="H74" s="2" t="s">
        <v>23</v>
      </c>
      <c r="I74" s="2">
        <v>2</v>
      </c>
      <c r="J74" s="2"/>
      <c r="K74" s="2">
        <v>105776</v>
      </c>
      <c r="L74" s="35">
        <v>330572212.95999998</v>
      </c>
      <c r="M74" s="36">
        <v>1600</v>
      </c>
      <c r="N74" s="37">
        <v>862800</v>
      </c>
      <c r="O74" s="37">
        <v>0</v>
      </c>
      <c r="P74" s="37">
        <v>0</v>
      </c>
      <c r="Q74" s="37">
        <v>0</v>
      </c>
      <c r="R74" s="37">
        <v>6452</v>
      </c>
      <c r="S74" s="37">
        <v>354356</v>
      </c>
      <c r="T74" s="37">
        <v>30000</v>
      </c>
      <c r="U74" s="37">
        <v>179185.454545455</v>
      </c>
      <c r="V74" s="37">
        <v>170238</v>
      </c>
      <c r="W74" s="45">
        <v>1603031.4545454599</v>
      </c>
      <c r="X74" s="46">
        <v>0.484926255655803</v>
      </c>
    </row>
    <row r="75" spans="1:24" s="4" customFormat="1" ht="15" customHeight="1">
      <c r="A75" s="28" t="s">
        <v>647</v>
      </c>
      <c r="B75" s="29">
        <v>3125.21</v>
      </c>
      <c r="C75" s="30" t="s">
        <v>1077</v>
      </c>
      <c r="D75" s="2">
        <v>4948620867</v>
      </c>
      <c r="E75" s="2" t="s">
        <v>18</v>
      </c>
      <c r="F75" s="78" t="s">
        <v>1078</v>
      </c>
      <c r="G75" s="28" t="s">
        <v>5</v>
      </c>
      <c r="H75" s="2" t="s">
        <v>20</v>
      </c>
      <c r="I75" s="2">
        <v>1</v>
      </c>
      <c r="J75" s="2" t="s">
        <v>1079</v>
      </c>
      <c r="K75" s="2">
        <v>21780</v>
      </c>
      <c r="L75" s="35">
        <v>68067073.799999997</v>
      </c>
      <c r="M75" s="36">
        <v>19800</v>
      </c>
      <c r="N75" s="40">
        <v>462361</v>
      </c>
      <c r="O75" s="40">
        <v>315061</v>
      </c>
      <c r="P75" s="40">
        <v>0</v>
      </c>
      <c r="Q75" s="40">
        <v>99309</v>
      </c>
      <c r="R75" s="40">
        <v>619968</v>
      </c>
      <c r="S75" s="40">
        <v>354356</v>
      </c>
      <c r="T75" s="37">
        <v>30000</v>
      </c>
      <c r="U75" s="40">
        <v>4311200</v>
      </c>
      <c r="V75" s="40">
        <v>0</v>
      </c>
      <c r="W75" s="45">
        <v>6192255</v>
      </c>
      <c r="X75" s="46">
        <v>9.0972839793210003</v>
      </c>
    </row>
    <row r="76" spans="1:24" s="4" customFormat="1" ht="15" customHeight="1">
      <c r="A76" s="28" t="s">
        <v>647</v>
      </c>
      <c r="B76" s="29">
        <v>3125.21</v>
      </c>
      <c r="C76" s="30" t="s">
        <v>1087</v>
      </c>
      <c r="D76" s="2">
        <v>4948536589</v>
      </c>
      <c r="E76" s="2" t="s">
        <v>18</v>
      </c>
      <c r="F76" s="2" t="s">
        <v>1088</v>
      </c>
      <c r="G76" s="28" t="s">
        <v>9</v>
      </c>
      <c r="H76" s="2" t="s">
        <v>23</v>
      </c>
      <c r="I76" s="2">
        <v>1</v>
      </c>
      <c r="J76" s="2"/>
      <c r="K76" s="2">
        <v>1958.25</v>
      </c>
      <c r="L76" s="35">
        <v>6119942.4824999999</v>
      </c>
      <c r="M76" s="36">
        <v>75</v>
      </c>
      <c r="N76" s="40">
        <v>1656233.88</v>
      </c>
      <c r="O76" s="40">
        <v>126</v>
      </c>
      <c r="P76" s="40">
        <v>788</v>
      </c>
      <c r="Q76" s="40">
        <v>1230</v>
      </c>
      <c r="R76" s="40">
        <v>351679</v>
      </c>
      <c r="S76" s="40">
        <v>354356</v>
      </c>
      <c r="T76" s="37">
        <v>30000</v>
      </c>
      <c r="U76" s="40">
        <v>35751.428571428602</v>
      </c>
      <c r="V76" s="40">
        <v>0</v>
      </c>
      <c r="W76" s="45">
        <v>2430164.3085714299</v>
      </c>
      <c r="X76" s="46">
        <v>39.708940329431101</v>
      </c>
    </row>
    <row r="78" spans="1:24" ht="15" customHeight="1">
      <c r="A78" s="31" t="s">
        <v>647</v>
      </c>
      <c r="B78" s="31"/>
      <c r="C78" s="31"/>
      <c r="D78" s="31"/>
      <c r="E78" s="31"/>
      <c r="F78" s="32">
        <v>11</v>
      </c>
      <c r="G78" s="31"/>
      <c r="H78" s="31"/>
      <c r="I78" s="38"/>
      <c r="J78" s="31"/>
      <c r="K78" s="39">
        <f>+SUM(K58:K76)</f>
        <v>644405.29</v>
      </c>
      <c r="L78" s="39">
        <f>+SUM(L58:L76)</f>
        <v>2079366880.3149004</v>
      </c>
      <c r="M78" s="31"/>
      <c r="N78" s="39"/>
      <c r="O78" s="39"/>
      <c r="P78" s="39"/>
      <c r="Q78" s="39"/>
      <c r="R78" s="39"/>
      <c r="S78" s="39"/>
      <c r="T78" s="39"/>
      <c r="U78" s="39"/>
      <c r="V78" s="31"/>
      <c r="W78" s="39">
        <f>+SUM(W58:W76)</f>
        <v>53224295.840706475</v>
      </c>
      <c r="X78" s="47">
        <f>(W78/L78)*100</f>
        <v>2.5596394914516556</v>
      </c>
    </row>
    <row r="80" spans="1:24" s="4" customFormat="1" ht="15" customHeight="1">
      <c r="A80" s="28" t="s">
        <v>1109</v>
      </c>
      <c r="B80" s="29">
        <v>3106.0650000000001</v>
      </c>
      <c r="C80" s="30" t="s">
        <v>1122</v>
      </c>
      <c r="D80" s="2">
        <v>4947978380</v>
      </c>
      <c r="E80" s="2" t="s">
        <v>18</v>
      </c>
      <c r="F80" s="78" t="s">
        <v>1123</v>
      </c>
      <c r="G80" s="28" t="s">
        <v>5</v>
      </c>
      <c r="H80" s="2" t="s">
        <v>17</v>
      </c>
      <c r="I80" s="2">
        <v>2</v>
      </c>
      <c r="J80" s="2" t="s">
        <v>1124</v>
      </c>
      <c r="K80" s="2">
        <v>65120</v>
      </c>
      <c r="L80" s="35">
        <v>202266952.80000001</v>
      </c>
      <c r="M80" s="36">
        <v>16000</v>
      </c>
      <c r="N80" s="40">
        <v>465789</v>
      </c>
      <c r="O80" s="40">
        <v>413405</v>
      </c>
      <c r="P80" s="40">
        <v>0</v>
      </c>
      <c r="Q80" s="40">
        <v>99309.5</v>
      </c>
      <c r="R80" s="40">
        <v>724314.5</v>
      </c>
      <c r="S80" s="40">
        <v>177178</v>
      </c>
      <c r="T80" s="37">
        <v>30000</v>
      </c>
      <c r="U80" s="40">
        <v>4781550</v>
      </c>
      <c r="V80" s="40">
        <v>0</v>
      </c>
      <c r="W80" s="45">
        <v>6691546</v>
      </c>
      <c r="X80" s="46">
        <v>3.3082744894152598</v>
      </c>
    </row>
    <row r="81" spans="1:24" s="4" customFormat="1" ht="15" customHeight="1">
      <c r="A81" s="28" t="s">
        <v>1109</v>
      </c>
      <c r="B81" s="29">
        <v>3106.0650000000001</v>
      </c>
      <c r="C81" s="30" t="s">
        <v>1122</v>
      </c>
      <c r="D81" s="2">
        <v>4948605872</v>
      </c>
      <c r="E81" s="2" t="s">
        <v>18</v>
      </c>
      <c r="F81" s="78" t="s">
        <v>1123</v>
      </c>
      <c r="G81" s="28" t="s">
        <v>5</v>
      </c>
      <c r="H81" s="2" t="s">
        <v>17</v>
      </c>
      <c r="I81" s="2">
        <v>2</v>
      </c>
      <c r="J81" s="2" t="s">
        <v>1124</v>
      </c>
      <c r="K81" s="2">
        <v>65120</v>
      </c>
      <c r="L81" s="35">
        <v>202266952.80000001</v>
      </c>
      <c r="M81" s="36">
        <v>16000</v>
      </c>
      <c r="N81" s="40">
        <v>465789</v>
      </c>
      <c r="O81" s="40">
        <v>413405</v>
      </c>
      <c r="P81" s="40">
        <v>0</v>
      </c>
      <c r="Q81" s="40">
        <v>99309.5</v>
      </c>
      <c r="R81" s="40">
        <v>724314.5</v>
      </c>
      <c r="S81" s="40">
        <v>177178</v>
      </c>
      <c r="T81" s="37">
        <v>30000</v>
      </c>
      <c r="U81" s="40">
        <v>4781550</v>
      </c>
      <c r="V81" s="40">
        <v>0</v>
      </c>
      <c r="W81" s="45">
        <v>6691546</v>
      </c>
      <c r="X81" s="46">
        <v>3.3082744894152598</v>
      </c>
    </row>
    <row r="82" spans="1:24" s="4" customFormat="1" ht="15" customHeight="1">
      <c r="A82" s="28" t="s">
        <v>1109</v>
      </c>
      <c r="B82" s="29">
        <v>3106.0650000000001</v>
      </c>
      <c r="C82" s="30" t="s">
        <v>1135</v>
      </c>
      <c r="D82" s="2">
        <v>4948618688</v>
      </c>
      <c r="E82" s="2" t="s">
        <v>18</v>
      </c>
      <c r="F82" s="2" t="s">
        <v>1136</v>
      </c>
      <c r="G82" s="28" t="s">
        <v>9</v>
      </c>
      <c r="H82" s="2" t="s">
        <v>23</v>
      </c>
      <c r="I82" s="2">
        <v>4</v>
      </c>
      <c r="J82" s="2"/>
      <c r="K82" s="2">
        <v>14760</v>
      </c>
      <c r="L82" s="35">
        <v>45845519.399999999</v>
      </c>
      <c r="M82" s="36">
        <v>4000</v>
      </c>
      <c r="N82" s="40">
        <v>958003</v>
      </c>
      <c r="O82" s="40">
        <v>2558</v>
      </c>
      <c r="P82" s="40">
        <v>0</v>
      </c>
      <c r="Q82" s="40">
        <v>79752</v>
      </c>
      <c r="R82" s="40">
        <v>167131</v>
      </c>
      <c r="S82" s="40">
        <v>354356</v>
      </c>
      <c r="T82" s="37">
        <v>30000</v>
      </c>
      <c r="U82" s="40">
        <v>1367700</v>
      </c>
      <c r="V82" s="40">
        <v>0</v>
      </c>
      <c r="W82" s="45">
        <v>2959500</v>
      </c>
      <c r="X82" s="46">
        <v>6.45537456818517</v>
      </c>
    </row>
    <row r="83" spans="1:24" s="4" customFormat="1" ht="15" customHeight="1">
      <c r="A83" s="28" t="s">
        <v>1109</v>
      </c>
      <c r="B83" s="29">
        <v>3106.0650000000001</v>
      </c>
      <c r="C83" s="30" t="s">
        <v>1137</v>
      </c>
      <c r="D83" s="2">
        <v>4948620874</v>
      </c>
      <c r="E83" s="2" t="s">
        <v>18</v>
      </c>
      <c r="F83" s="78" t="s">
        <v>1138</v>
      </c>
      <c r="G83" s="28" t="s">
        <v>5</v>
      </c>
      <c r="H83" s="2" t="s">
        <v>35</v>
      </c>
      <c r="I83" s="2">
        <v>1</v>
      </c>
      <c r="J83" s="2" t="s">
        <v>1139</v>
      </c>
      <c r="K83" s="2">
        <v>19525</v>
      </c>
      <c r="L83" s="35">
        <v>60645919.125</v>
      </c>
      <c r="M83" s="36">
        <v>625</v>
      </c>
      <c r="N83" s="40">
        <v>25127.888819487802</v>
      </c>
      <c r="O83" s="40">
        <v>32277.092442223598</v>
      </c>
      <c r="P83" s="40">
        <v>0</v>
      </c>
      <c r="Q83" s="40">
        <v>7753.6695815115499</v>
      </c>
      <c r="R83" s="40">
        <v>114141.865708932</v>
      </c>
      <c r="S83" s="40">
        <v>27666.770768269798</v>
      </c>
      <c r="T83" s="37">
        <v>30000</v>
      </c>
      <c r="U83" s="40">
        <v>384451.12429731397</v>
      </c>
      <c r="V83" s="40">
        <v>104231.73016864499</v>
      </c>
      <c r="W83" s="45">
        <v>725650.14178638405</v>
      </c>
      <c r="X83" s="46">
        <v>1.1965358135486599</v>
      </c>
    </row>
    <row r="84" spans="1:24" s="4" customFormat="1" ht="15" customHeight="1">
      <c r="A84" s="28" t="s">
        <v>1109</v>
      </c>
      <c r="B84" s="29">
        <v>3106.0650000000001</v>
      </c>
      <c r="C84" s="30" t="s">
        <v>1137</v>
      </c>
      <c r="D84" s="2">
        <v>4948620853</v>
      </c>
      <c r="E84" s="2" t="s">
        <v>18</v>
      </c>
      <c r="F84" s="78" t="s">
        <v>1138</v>
      </c>
      <c r="G84" s="28" t="s">
        <v>5</v>
      </c>
      <c r="H84" s="2" t="s">
        <v>35</v>
      </c>
      <c r="I84" s="2">
        <v>1</v>
      </c>
      <c r="J84" s="2" t="s">
        <v>1139</v>
      </c>
      <c r="K84" s="2">
        <v>48120</v>
      </c>
      <c r="L84" s="35">
        <v>149463847.80000001</v>
      </c>
      <c r="M84" s="36">
        <v>4000</v>
      </c>
      <c r="N84" s="40">
        <v>160818.488444722</v>
      </c>
      <c r="O84" s="40">
        <v>206573.391630231</v>
      </c>
      <c r="P84" s="40">
        <v>0</v>
      </c>
      <c r="Q84" s="40">
        <v>49623.485321674001</v>
      </c>
      <c r="R84" s="40">
        <v>730510.14053716406</v>
      </c>
      <c r="S84" s="40">
        <v>177067.332916927</v>
      </c>
      <c r="T84" s="37">
        <v>30000</v>
      </c>
      <c r="U84" s="40">
        <v>2460487.1955028102</v>
      </c>
      <c r="V84" s="40">
        <v>667083.07307932503</v>
      </c>
      <c r="W84" s="45">
        <v>4482163.1074328497</v>
      </c>
      <c r="X84" s="46">
        <v>2.9988275916932801</v>
      </c>
    </row>
    <row r="85" spans="1:24" s="4" customFormat="1" ht="15" customHeight="1">
      <c r="A85" s="28" t="s">
        <v>1109</v>
      </c>
      <c r="B85" s="29">
        <v>3106.0650000000001</v>
      </c>
      <c r="C85" s="30" t="s">
        <v>1137</v>
      </c>
      <c r="D85" s="2">
        <v>4947994888</v>
      </c>
      <c r="E85" s="2" t="s">
        <v>18</v>
      </c>
      <c r="F85" s="78" t="s">
        <v>1138</v>
      </c>
      <c r="G85" s="28" t="s">
        <v>5</v>
      </c>
      <c r="H85" s="2" t="s">
        <v>35</v>
      </c>
      <c r="I85" s="2">
        <v>1</v>
      </c>
      <c r="J85" s="2" t="s">
        <v>1139</v>
      </c>
      <c r="K85" s="2">
        <v>283852.40000000002</v>
      </c>
      <c r="L85" s="35">
        <v>881664004.80599999</v>
      </c>
      <c r="M85" s="36">
        <v>3380</v>
      </c>
      <c r="N85" s="40">
        <v>135891.62273579001</v>
      </c>
      <c r="O85" s="40">
        <v>174554.515927545</v>
      </c>
      <c r="P85" s="40">
        <v>0</v>
      </c>
      <c r="Q85" s="40">
        <v>41931.845096814497</v>
      </c>
      <c r="R85" s="40">
        <v>617280.99375390401</v>
      </c>
      <c r="S85" s="40">
        <v>149621.89631480299</v>
      </c>
      <c r="T85" s="37">
        <v>30000</v>
      </c>
      <c r="U85" s="40">
        <v>2079111.6801998799</v>
      </c>
      <c r="V85" s="40">
        <v>563685.19675203005</v>
      </c>
      <c r="W85" s="45">
        <v>3792077.7507807701</v>
      </c>
      <c r="X85" s="46">
        <v>0.430104635111555</v>
      </c>
    </row>
    <row r="86" spans="1:24" s="4" customFormat="1" ht="15" customHeight="1">
      <c r="A86" s="28" t="s">
        <v>1109</v>
      </c>
      <c r="B86" s="29">
        <v>3106.0650000000001</v>
      </c>
      <c r="C86" s="30" t="s">
        <v>1146</v>
      </c>
      <c r="D86" s="2">
        <v>4948536574</v>
      </c>
      <c r="E86" s="2" t="s">
        <v>18</v>
      </c>
      <c r="F86" s="78" t="s">
        <v>1147</v>
      </c>
      <c r="G86" s="28" t="s">
        <v>9</v>
      </c>
      <c r="H86" s="2" t="s">
        <v>23</v>
      </c>
      <c r="I86" s="2">
        <v>1</v>
      </c>
      <c r="J86" s="2"/>
      <c r="K86" s="2">
        <v>560</v>
      </c>
      <c r="L86" s="35">
        <v>1739396.4</v>
      </c>
      <c r="M86" s="36">
        <v>200</v>
      </c>
      <c r="N86" s="40">
        <v>434847</v>
      </c>
      <c r="O86" s="40">
        <v>156</v>
      </c>
      <c r="P86" s="40">
        <v>4460</v>
      </c>
      <c r="Q86" s="40">
        <v>3475</v>
      </c>
      <c r="R86" s="40">
        <v>233062</v>
      </c>
      <c r="S86" s="40">
        <v>354356</v>
      </c>
      <c r="T86" s="37">
        <v>30000</v>
      </c>
      <c r="U86" s="40">
        <v>402264.70588235301</v>
      </c>
      <c r="V86" s="40">
        <v>0</v>
      </c>
      <c r="W86" s="45">
        <v>1462620.70588235</v>
      </c>
      <c r="X86" s="46">
        <v>84.087831036234903</v>
      </c>
    </row>
    <row r="87" spans="1:24" s="4" customFormat="1" ht="15" customHeight="1">
      <c r="A87" s="28" t="s">
        <v>1109</v>
      </c>
      <c r="B87" s="29">
        <v>3106.0650000000001</v>
      </c>
      <c r="C87" s="30" t="s">
        <v>1162</v>
      </c>
      <c r="D87" s="2">
        <v>4949336188</v>
      </c>
      <c r="E87" s="2" t="s">
        <v>18</v>
      </c>
      <c r="F87" s="78" t="s">
        <v>1163</v>
      </c>
      <c r="G87" s="28" t="s">
        <v>13</v>
      </c>
      <c r="H87" s="2" t="s">
        <v>23</v>
      </c>
      <c r="I87" s="2">
        <v>1</v>
      </c>
      <c r="J87" s="2"/>
      <c r="K87" s="2">
        <v>4002</v>
      </c>
      <c r="L87" s="35">
        <v>12430472.130000001</v>
      </c>
      <c r="M87" s="36">
        <v>200</v>
      </c>
      <c r="N87" s="40">
        <v>1004831.24</v>
      </c>
      <c r="O87" s="40">
        <v>0</v>
      </c>
      <c r="P87" s="40">
        <v>198730</v>
      </c>
      <c r="Q87" s="40">
        <v>0</v>
      </c>
      <c r="R87" s="40">
        <v>4019</v>
      </c>
      <c r="S87" s="40">
        <v>354356</v>
      </c>
      <c r="T87" s="37">
        <v>30000</v>
      </c>
      <c r="U87" s="40">
        <v>246380</v>
      </c>
      <c r="V87" s="40">
        <v>0</v>
      </c>
      <c r="W87" s="45">
        <v>1838316.24</v>
      </c>
      <c r="X87" s="46">
        <v>14.7887885574625</v>
      </c>
    </row>
    <row r="88" spans="1:24" s="4" customFormat="1" ht="15" customHeight="1">
      <c r="A88" s="28" t="s">
        <v>1109</v>
      </c>
      <c r="B88" s="29">
        <v>3106.0650000000001</v>
      </c>
      <c r="C88" s="30" t="s">
        <v>1191</v>
      </c>
      <c r="D88" s="2">
        <v>4948605870</v>
      </c>
      <c r="E88" s="2" t="s">
        <v>18</v>
      </c>
      <c r="F88" s="2" t="s">
        <v>1192</v>
      </c>
      <c r="G88" s="28" t="s">
        <v>5</v>
      </c>
      <c r="H88" s="2" t="s">
        <v>20</v>
      </c>
      <c r="I88" s="2">
        <v>1</v>
      </c>
      <c r="J88" s="2" t="s">
        <v>1193</v>
      </c>
      <c r="K88" s="2">
        <v>18639</v>
      </c>
      <c r="L88" s="35">
        <v>57893945.534999996</v>
      </c>
      <c r="M88" s="36">
        <v>17100</v>
      </c>
      <c r="N88" s="40">
        <v>321838</v>
      </c>
      <c r="O88" s="40">
        <v>315124</v>
      </c>
      <c r="P88" s="40">
        <v>0</v>
      </c>
      <c r="Q88" s="40">
        <v>99309</v>
      </c>
      <c r="R88" s="40">
        <v>638422</v>
      </c>
      <c r="S88" s="40">
        <v>354356</v>
      </c>
      <c r="T88" s="37">
        <v>30000</v>
      </c>
      <c r="U88" s="40">
        <v>3913500</v>
      </c>
      <c r="V88" s="40">
        <v>0</v>
      </c>
      <c r="W88" s="45">
        <v>5672549</v>
      </c>
      <c r="X88" s="46">
        <v>9.79817310355992</v>
      </c>
    </row>
    <row r="89" spans="1:24" s="4" customFormat="1" ht="15" customHeight="1">
      <c r="A89" s="28" t="s">
        <v>1109</v>
      </c>
      <c r="B89" s="29">
        <v>3106.0650000000001</v>
      </c>
      <c r="C89" s="30" t="s">
        <v>1211</v>
      </c>
      <c r="D89" s="2">
        <v>4948536570</v>
      </c>
      <c r="E89" s="2" t="s">
        <v>18</v>
      </c>
      <c r="F89" s="78" t="s">
        <v>1212</v>
      </c>
      <c r="G89" s="28" t="s">
        <v>9</v>
      </c>
      <c r="H89" s="2" t="s">
        <v>23</v>
      </c>
      <c r="I89" s="2">
        <v>1</v>
      </c>
      <c r="J89" s="2"/>
      <c r="K89" s="2">
        <v>3221</v>
      </c>
      <c r="L89" s="35">
        <v>10004635.365</v>
      </c>
      <c r="M89" s="36">
        <v>100</v>
      </c>
      <c r="N89" s="40">
        <v>399505</v>
      </c>
      <c r="O89" s="40">
        <v>124</v>
      </c>
      <c r="P89" s="40">
        <v>2121</v>
      </c>
      <c r="Q89" s="40">
        <v>2054</v>
      </c>
      <c r="R89" s="40">
        <v>181390</v>
      </c>
      <c r="S89" s="40">
        <v>354356</v>
      </c>
      <c r="T89" s="37">
        <v>30000</v>
      </c>
      <c r="U89" s="40">
        <v>201132.35294117601</v>
      </c>
      <c r="V89" s="40">
        <v>0</v>
      </c>
      <c r="W89" s="45">
        <v>1170682.3529411801</v>
      </c>
      <c r="X89" s="46">
        <v>11.701399503640699</v>
      </c>
    </row>
    <row r="90" spans="1:24" s="4" customFormat="1" ht="15" customHeight="1">
      <c r="A90" s="28" t="s">
        <v>1109</v>
      </c>
      <c r="B90" s="29">
        <v>3106.0650000000001</v>
      </c>
      <c r="C90" s="30" t="s">
        <v>1215</v>
      </c>
      <c r="D90" s="2">
        <v>4949162876</v>
      </c>
      <c r="E90" s="2" t="s">
        <v>18</v>
      </c>
      <c r="F90" s="78" t="s">
        <v>1216</v>
      </c>
      <c r="G90" s="28" t="s">
        <v>9</v>
      </c>
      <c r="H90" s="2" t="s">
        <v>23</v>
      </c>
      <c r="I90" s="2">
        <v>3</v>
      </c>
      <c r="J90" s="2"/>
      <c r="K90" s="2">
        <v>44050</v>
      </c>
      <c r="L90" s="35">
        <v>136822163.25</v>
      </c>
      <c r="M90" s="36">
        <v>500</v>
      </c>
      <c r="N90" s="40">
        <v>570202</v>
      </c>
      <c r="O90" s="40">
        <v>399</v>
      </c>
      <c r="P90" s="40">
        <v>0</v>
      </c>
      <c r="Q90" s="40">
        <v>10370</v>
      </c>
      <c r="R90" s="40">
        <v>92373</v>
      </c>
      <c r="S90" s="40">
        <v>354356</v>
      </c>
      <c r="T90" s="37">
        <v>30000</v>
      </c>
      <c r="U90" s="40">
        <v>252787.87878787899</v>
      </c>
      <c r="V90" s="40">
        <v>0</v>
      </c>
      <c r="W90" s="45">
        <v>1310487.8787878801</v>
      </c>
      <c r="X90" s="46">
        <v>0.95780379995408305</v>
      </c>
    </row>
    <row r="91" spans="1:24" s="4" customFormat="1" ht="15" customHeight="1">
      <c r="A91" s="28" t="s">
        <v>1109</v>
      </c>
      <c r="B91" s="29">
        <v>3106.0650000000001</v>
      </c>
      <c r="C91" s="30" t="s">
        <v>1217</v>
      </c>
      <c r="D91" s="2">
        <v>4948617084</v>
      </c>
      <c r="E91" s="2" t="s">
        <v>18</v>
      </c>
      <c r="F91" s="2" t="s">
        <v>1218</v>
      </c>
      <c r="G91" s="28" t="s">
        <v>5</v>
      </c>
      <c r="H91" s="2" t="s">
        <v>20</v>
      </c>
      <c r="I91" s="2">
        <v>1</v>
      </c>
      <c r="J91" s="2" t="s">
        <v>1219</v>
      </c>
      <c r="K91" s="2">
        <v>19440</v>
      </c>
      <c r="L91" s="35">
        <v>60381903.600000001</v>
      </c>
      <c r="M91" s="36">
        <v>18000</v>
      </c>
      <c r="N91" s="40">
        <v>321838</v>
      </c>
      <c r="O91" s="40">
        <v>315124</v>
      </c>
      <c r="P91" s="40">
        <v>0</v>
      </c>
      <c r="Q91" s="40">
        <v>99309</v>
      </c>
      <c r="R91" s="40">
        <v>535089</v>
      </c>
      <c r="S91" s="40">
        <v>354356</v>
      </c>
      <c r="T91" s="37">
        <v>30000</v>
      </c>
      <c r="U91" s="40">
        <v>3913500</v>
      </c>
      <c r="V91" s="40">
        <v>0</v>
      </c>
      <c r="W91" s="45">
        <v>5569216</v>
      </c>
      <c r="X91" s="46">
        <v>9.2233196834821207</v>
      </c>
    </row>
    <row r="92" spans="1:24" s="4" customFormat="1" ht="15" customHeight="1">
      <c r="A92" s="28" t="s">
        <v>1109</v>
      </c>
      <c r="B92" s="29">
        <v>3106.0650000000001</v>
      </c>
      <c r="C92" s="30" t="s">
        <v>1224</v>
      </c>
      <c r="D92" s="2">
        <v>4948605874</v>
      </c>
      <c r="E92" s="2" t="s">
        <v>18</v>
      </c>
      <c r="F92" s="78" t="s">
        <v>1225</v>
      </c>
      <c r="G92" s="28" t="s">
        <v>5</v>
      </c>
      <c r="H92" s="2" t="s">
        <v>20</v>
      </c>
      <c r="I92" s="2">
        <v>1</v>
      </c>
      <c r="J92" s="2" t="s">
        <v>1226</v>
      </c>
      <c r="K92" s="2">
        <v>32560</v>
      </c>
      <c r="L92" s="35">
        <v>101133476.40000001</v>
      </c>
      <c r="M92" s="36">
        <v>8000</v>
      </c>
      <c r="N92" s="40">
        <v>318181</v>
      </c>
      <c r="O92" s="40">
        <v>315124</v>
      </c>
      <c r="P92" s="40">
        <v>0</v>
      </c>
      <c r="Q92" s="40">
        <v>99309</v>
      </c>
      <c r="R92" s="40">
        <v>530350</v>
      </c>
      <c r="S92" s="40">
        <v>354356</v>
      </c>
      <c r="T92" s="37">
        <v>30000</v>
      </c>
      <c r="U92" s="40">
        <v>2900300</v>
      </c>
      <c r="V92" s="40">
        <v>0</v>
      </c>
      <c r="W92" s="45">
        <v>4547620</v>
      </c>
      <c r="X92" s="46">
        <v>4.4966515162727996</v>
      </c>
    </row>
    <row r="93" spans="1:24" s="4" customFormat="1" ht="15" customHeight="1">
      <c r="A93" s="28" t="s">
        <v>1109</v>
      </c>
      <c r="B93" s="29">
        <v>3106.0650000000001</v>
      </c>
      <c r="C93" s="30" t="s">
        <v>1262</v>
      </c>
      <c r="D93" s="2">
        <v>4948618695</v>
      </c>
      <c r="E93" s="2" t="s">
        <v>18</v>
      </c>
      <c r="F93" s="78" t="s">
        <v>1263</v>
      </c>
      <c r="G93" s="28" t="s">
        <v>5</v>
      </c>
      <c r="H93" s="2" t="s">
        <v>35</v>
      </c>
      <c r="I93" s="2">
        <v>1</v>
      </c>
      <c r="J93" s="2" t="s">
        <v>1264</v>
      </c>
      <c r="K93" s="2">
        <v>5481.6</v>
      </c>
      <c r="L93" s="35">
        <v>17026205.903999999</v>
      </c>
      <c r="M93" s="36">
        <v>960</v>
      </c>
      <c r="N93" s="40">
        <v>22778.0581655481</v>
      </c>
      <c r="O93" s="40">
        <v>29594.988814317701</v>
      </c>
      <c r="P93" s="40">
        <v>0</v>
      </c>
      <c r="Q93" s="40">
        <v>7109.3691275167803</v>
      </c>
      <c r="R93" s="40">
        <v>87001.400447427295</v>
      </c>
      <c r="S93" s="40">
        <v>25367.7673378076</v>
      </c>
      <c r="T93" s="37">
        <v>30000</v>
      </c>
      <c r="U93" s="40">
        <v>590714.98881431797</v>
      </c>
      <c r="V93" s="40">
        <v>95570.469798657694</v>
      </c>
      <c r="W93" s="45">
        <v>888137.04250559304</v>
      </c>
      <c r="X93" s="46">
        <v>5.2162945022116798</v>
      </c>
    </row>
    <row r="94" spans="1:24" s="4" customFormat="1" ht="15" customHeight="1">
      <c r="A94" s="28" t="s">
        <v>1109</v>
      </c>
      <c r="B94" s="29">
        <v>3106.0650000000001</v>
      </c>
      <c r="C94" s="30" t="s">
        <v>1262</v>
      </c>
      <c r="D94" s="2">
        <v>4948620862</v>
      </c>
      <c r="E94" s="2" t="s">
        <v>18</v>
      </c>
      <c r="F94" s="78" t="s">
        <v>1263</v>
      </c>
      <c r="G94" s="28" t="s">
        <v>5</v>
      </c>
      <c r="H94" s="2" t="s">
        <v>35</v>
      </c>
      <c r="I94" s="2">
        <v>1</v>
      </c>
      <c r="J94" s="2" t="s">
        <v>1264</v>
      </c>
      <c r="K94" s="2">
        <v>54720</v>
      </c>
      <c r="L94" s="35">
        <v>169963876.80000001</v>
      </c>
      <c r="M94" s="36">
        <v>3200</v>
      </c>
      <c r="N94" s="40">
        <v>75926.860551827005</v>
      </c>
      <c r="O94" s="40">
        <v>98649.962714392197</v>
      </c>
      <c r="P94" s="40">
        <v>0</v>
      </c>
      <c r="Q94" s="40">
        <v>23697.8970917226</v>
      </c>
      <c r="R94" s="40">
        <v>290005.66815809102</v>
      </c>
      <c r="S94" s="40">
        <v>84559.224459358695</v>
      </c>
      <c r="T94" s="37">
        <v>30000</v>
      </c>
      <c r="U94" s="40">
        <v>1969049.9627143899</v>
      </c>
      <c r="V94" s="40">
        <v>318568.23266219202</v>
      </c>
      <c r="W94" s="45">
        <v>2890457.8083519698</v>
      </c>
      <c r="X94" s="46">
        <v>1.7006306650402201</v>
      </c>
    </row>
    <row r="95" spans="1:24" s="4" customFormat="1" ht="15" customHeight="1">
      <c r="A95" s="28" t="s">
        <v>1109</v>
      </c>
      <c r="B95" s="29">
        <v>3106.0650000000001</v>
      </c>
      <c r="C95" s="30" t="s">
        <v>1262</v>
      </c>
      <c r="D95" s="2">
        <v>4948620869</v>
      </c>
      <c r="E95" s="2" t="s">
        <v>18</v>
      </c>
      <c r="F95" s="78" t="s">
        <v>1263</v>
      </c>
      <c r="G95" s="28" t="s">
        <v>5</v>
      </c>
      <c r="H95" s="2" t="s">
        <v>35</v>
      </c>
      <c r="I95" s="2">
        <v>1</v>
      </c>
      <c r="J95" s="2" t="s">
        <v>1264</v>
      </c>
      <c r="K95" s="2">
        <v>8000</v>
      </c>
      <c r="L95" s="35">
        <v>24848520</v>
      </c>
      <c r="M95" s="36">
        <v>1250</v>
      </c>
      <c r="N95" s="40">
        <v>29658.9299030574</v>
      </c>
      <c r="O95" s="40">
        <v>38535.1416853095</v>
      </c>
      <c r="P95" s="40">
        <v>0</v>
      </c>
      <c r="Q95" s="40">
        <v>9256.9910514541407</v>
      </c>
      <c r="R95" s="40">
        <v>113283.26099925399</v>
      </c>
      <c r="S95" s="40">
        <v>33030.947054436998</v>
      </c>
      <c r="T95" s="37">
        <v>30000</v>
      </c>
      <c r="U95" s="40">
        <v>769160.141685309</v>
      </c>
      <c r="V95" s="40">
        <v>124440.71588366901</v>
      </c>
      <c r="W95" s="45">
        <v>1147366.12826249</v>
      </c>
      <c r="X95" s="46">
        <v>4.6174425207718199</v>
      </c>
    </row>
    <row r="96" spans="1:24" s="4" customFormat="1" ht="15" customHeight="1">
      <c r="A96" s="28" t="s">
        <v>1109</v>
      </c>
      <c r="B96" s="29">
        <v>3106.0650000000001</v>
      </c>
      <c r="C96" s="30" t="s">
        <v>1262</v>
      </c>
      <c r="D96" s="2">
        <v>4948618698</v>
      </c>
      <c r="E96" s="2" t="s">
        <v>18</v>
      </c>
      <c r="F96" s="78" t="s">
        <v>1263</v>
      </c>
      <c r="G96" s="28" t="s">
        <v>5</v>
      </c>
      <c r="H96" s="2" t="s">
        <v>35</v>
      </c>
      <c r="I96" s="2">
        <v>1</v>
      </c>
      <c r="J96" s="2" t="s">
        <v>1264</v>
      </c>
      <c r="K96" s="2">
        <v>96240</v>
      </c>
      <c r="L96" s="35">
        <v>298927695.60000002</v>
      </c>
      <c r="M96" s="36">
        <v>8000</v>
      </c>
      <c r="N96" s="40">
        <v>189817.15137956801</v>
      </c>
      <c r="O96" s="40">
        <v>246624.906785981</v>
      </c>
      <c r="P96" s="40">
        <v>0</v>
      </c>
      <c r="Q96" s="40">
        <v>59244.742729306497</v>
      </c>
      <c r="R96" s="40">
        <v>725013.67039522703</v>
      </c>
      <c r="S96" s="40">
        <v>211398.06114839701</v>
      </c>
      <c r="T96" s="37">
        <v>30000</v>
      </c>
      <c r="U96" s="40">
        <v>4922624.9067859799</v>
      </c>
      <c r="V96" s="40">
        <v>796420.58165548102</v>
      </c>
      <c r="W96" s="45">
        <v>7181144.0208799401</v>
      </c>
      <c r="X96" s="46">
        <v>2.4023013345973601</v>
      </c>
    </row>
    <row r="97" spans="1:24" s="4" customFormat="1" ht="15" customHeight="1">
      <c r="A97" s="28" t="s">
        <v>1109</v>
      </c>
      <c r="B97" s="29">
        <v>3106.0650000000001</v>
      </c>
      <c r="C97" s="30" t="s">
        <v>1309</v>
      </c>
      <c r="D97" s="2">
        <v>4948536587</v>
      </c>
      <c r="E97" s="2" t="s">
        <v>18</v>
      </c>
      <c r="F97" s="2" t="s">
        <v>1310</v>
      </c>
      <c r="G97" s="28" t="s">
        <v>9</v>
      </c>
      <c r="H97" s="2" t="s">
        <v>23</v>
      </c>
      <c r="I97" s="2">
        <v>1</v>
      </c>
      <c r="J97" s="2"/>
      <c r="K97" s="2">
        <v>3221</v>
      </c>
      <c r="L97" s="35">
        <v>10004635.365</v>
      </c>
      <c r="M97" s="36">
        <v>100</v>
      </c>
      <c r="N97" s="40">
        <v>391394</v>
      </c>
      <c r="O97" s="40">
        <v>61</v>
      </c>
      <c r="P97" s="40">
        <v>0</v>
      </c>
      <c r="Q97" s="40">
        <v>2055</v>
      </c>
      <c r="R97" s="40">
        <v>219341.39</v>
      </c>
      <c r="S97" s="40">
        <v>354356</v>
      </c>
      <c r="T97" s="37">
        <v>30000</v>
      </c>
      <c r="U97" s="40">
        <v>58091.922005571003</v>
      </c>
      <c r="V97" s="40">
        <v>37186.629526462399</v>
      </c>
      <c r="W97" s="45">
        <v>1092485.94153203</v>
      </c>
      <c r="X97" s="46">
        <v>10.9197976905182</v>
      </c>
    </row>
    <row r="98" spans="1:24" s="4" customFormat="1" ht="15" customHeight="1">
      <c r="A98" s="28" t="s">
        <v>1109</v>
      </c>
      <c r="B98" s="29">
        <v>3106.0650000000001</v>
      </c>
      <c r="C98" s="30" t="s">
        <v>1317</v>
      </c>
      <c r="D98" s="2">
        <v>4948620871</v>
      </c>
      <c r="E98" s="2" t="s">
        <v>18</v>
      </c>
      <c r="F98" s="2" t="s">
        <v>1318</v>
      </c>
      <c r="G98" s="28" t="s">
        <v>9</v>
      </c>
      <c r="H98" s="2" t="s">
        <v>23</v>
      </c>
      <c r="I98" s="2">
        <v>3</v>
      </c>
      <c r="J98" s="2"/>
      <c r="K98" s="2">
        <v>94925</v>
      </c>
      <c r="L98" s="35">
        <v>294843220.125</v>
      </c>
      <c r="M98" s="36">
        <v>1250</v>
      </c>
      <c r="N98" s="40">
        <v>533931.89655172406</v>
      </c>
      <c r="O98" s="40">
        <v>847.41379310344803</v>
      </c>
      <c r="P98" s="40">
        <v>0</v>
      </c>
      <c r="Q98" s="40">
        <v>21512.931034482801</v>
      </c>
      <c r="R98" s="40">
        <v>93944.827586206899</v>
      </c>
      <c r="S98" s="40">
        <v>305479.310344828</v>
      </c>
      <c r="T98" s="37">
        <v>30000</v>
      </c>
      <c r="U98" s="40">
        <v>726149.02506963804</v>
      </c>
      <c r="V98" s="40">
        <v>464832.86908078002</v>
      </c>
      <c r="W98" s="45">
        <v>2176698.2734607598</v>
      </c>
      <c r="X98" s="46">
        <v>0.73825617307324998</v>
      </c>
    </row>
    <row r="99" spans="1:24" s="4" customFormat="1" ht="15" customHeight="1">
      <c r="A99" s="28" t="s">
        <v>1109</v>
      </c>
      <c r="B99" s="29">
        <v>3106.0650000000001</v>
      </c>
      <c r="C99" s="30" t="s">
        <v>1317</v>
      </c>
      <c r="D99" s="2">
        <v>4948898907</v>
      </c>
      <c r="E99" s="2" t="s">
        <v>18</v>
      </c>
      <c r="F99" s="2" t="s">
        <v>1318</v>
      </c>
      <c r="G99" s="28" t="s">
        <v>9</v>
      </c>
      <c r="H99" s="2" t="s">
        <v>23</v>
      </c>
      <c r="I99" s="2">
        <v>3</v>
      </c>
      <c r="J99" s="2"/>
      <c r="K99" s="2">
        <v>2764</v>
      </c>
      <c r="L99" s="35">
        <v>8585163.6600000001</v>
      </c>
      <c r="M99" s="36">
        <v>200</v>
      </c>
      <c r="N99" s="40">
        <v>85429.103448275899</v>
      </c>
      <c r="O99" s="40">
        <v>135.586206896552</v>
      </c>
      <c r="P99" s="40">
        <v>0</v>
      </c>
      <c r="Q99" s="40">
        <v>3442.06896551724</v>
      </c>
      <c r="R99" s="40">
        <v>15031.1724137931</v>
      </c>
      <c r="S99" s="40">
        <v>48876.689655172398</v>
      </c>
      <c r="T99" s="37">
        <v>30000</v>
      </c>
      <c r="U99" s="40">
        <v>116183.84401114201</v>
      </c>
      <c r="V99" s="40">
        <v>74373.259052924797</v>
      </c>
      <c r="W99" s="45">
        <v>373471.72375372198</v>
      </c>
      <c r="X99" s="46">
        <v>4.3501992337525497</v>
      </c>
    </row>
    <row r="100" spans="1:24" s="4" customFormat="1" ht="15" customHeight="1">
      <c r="A100" s="28" t="s">
        <v>1109</v>
      </c>
      <c r="B100" s="29">
        <v>3106.0650000000001</v>
      </c>
      <c r="C100" s="30" t="s">
        <v>1327</v>
      </c>
      <c r="D100" s="2">
        <v>4949075520</v>
      </c>
      <c r="E100" s="2" t="s">
        <v>18</v>
      </c>
      <c r="F100" s="78" t="s">
        <v>1328</v>
      </c>
      <c r="G100" s="28" t="s">
        <v>5</v>
      </c>
      <c r="H100" s="2" t="s">
        <v>20</v>
      </c>
      <c r="I100" s="2">
        <v>1</v>
      </c>
      <c r="J100" s="2" t="s">
        <v>1329</v>
      </c>
      <c r="K100" s="2">
        <v>209640</v>
      </c>
      <c r="L100" s="35">
        <v>651155466.60000002</v>
      </c>
      <c r="M100" s="36">
        <v>4000</v>
      </c>
      <c r="N100" s="40">
        <v>464266</v>
      </c>
      <c r="O100" s="40">
        <v>315124</v>
      </c>
      <c r="P100" s="40">
        <v>0</v>
      </c>
      <c r="Q100" s="40">
        <v>99309</v>
      </c>
      <c r="R100" s="40">
        <v>620885</v>
      </c>
      <c r="S100" s="40">
        <v>354356</v>
      </c>
      <c r="T100" s="37">
        <v>30000</v>
      </c>
      <c r="U100" s="40">
        <v>2619000</v>
      </c>
      <c r="V100" s="40">
        <v>1335000</v>
      </c>
      <c r="W100" s="45">
        <v>5837940</v>
      </c>
      <c r="X100" s="46">
        <v>0.89655086986871702</v>
      </c>
    </row>
    <row r="101" spans="1:24" s="4" customFormat="1" ht="15" customHeight="1">
      <c r="A101" s="28" t="s">
        <v>1109</v>
      </c>
      <c r="B101" s="29">
        <v>3106.0650000000001</v>
      </c>
      <c r="C101" s="30" t="s">
        <v>1336</v>
      </c>
      <c r="D101" s="2">
        <v>4948605869</v>
      </c>
      <c r="E101" s="2" t="s">
        <v>18</v>
      </c>
      <c r="F101" s="2" t="s">
        <v>1337</v>
      </c>
      <c r="G101" s="28" t="s">
        <v>5</v>
      </c>
      <c r="H101" s="2" t="s">
        <v>20</v>
      </c>
      <c r="I101" s="2">
        <v>1</v>
      </c>
      <c r="J101" s="2" t="s">
        <v>1338</v>
      </c>
      <c r="K101" s="2">
        <v>18639</v>
      </c>
      <c r="L101" s="35">
        <v>57893945.534999996</v>
      </c>
      <c r="M101" s="36">
        <v>17100</v>
      </c>
      <c r="N101" s="40">
        <v>465788</v>
      </c>
      <c r="O101" s="40">
        <v>311327</v>
      </c>
      <c r="P101" s="40">
        <v>0</v>
      </c>
      <c r="Q101" s="40">
        <v>99309</v>
      </c>
      <c r="R101" s="40">
        <v>727859</v>
      </c>
      <c r="S101" s="40">
        <v>354356</v>
      </c>
      <c r="T101" s="37">
        <v>30000</v>
      </c>
      <c r="U101" s="40">
        <v>3913500</v>
      </c>
      <c r="V101" s="40">
        <v>0</v>
      </c>
      <c r="W101" s="45">
        <v>5902139</v>
      </c>
      <c r="X101" s="46">
        <v>10.1947430693454</v>
      </c>
    </row>
    <row r="102" spans="1:24" s="4" customFormat="1" ht="15" customHeight="1">
      <c r="A102" s="28" t="s">
        <v>1109</v>
      </c>
      <c r="B102" s="29">
        <v>3106.0650000000001</v>
      </c>
      <c r="C102" s="30" t="s">
        <v>1385</v>
      </c>
      <c r="D102" s="2">
        <v>4948773130</v>
      </c>
      <c r="E102" s="2" t="s">
        <v>18</v>
      </c>
      <c r="F102" s="2" t="s">
        <v>1386</v>
      </c>
      <c r="G102" s="28" t="s">
        <v>5</v>
      </c>
      <c r="H102" s="2" t="s">
        <v>17</v>
      </c>
      <c r="I102" s="2">
        <v>1</v>
      </c>
      <c r="J102" s="2" t="s">
        <v>1387</v>
      </c>
      <c r="K102" s="2">
        <v>11800</v>
      </c>
      <c r="L102" s="35">
        <v>36651567</v>
      </c>
      <c r="M102" s="36">
        <v>20000</v>
      </c>
      <c r="N102" s="40">
        <v>297003</v>
      </c>
      <c r="O102" s="40">
        <v>408424</v>
      </c>
      <c r="P102" s="40">
        <v>99801</v>
      </c>
      <c r="Q102" s="40">
        <v>99309</v>
      </c>
      <c r="R102" s="40">
        <v>847755</v>
      </c>
      <c r="S102" s="40">
        <v>354356</v>
      </c>
      <c r="T102" s="37">
        <v>30000</v>
      </c>
      <c r="U102" s="40">
        <v>5640550</v>
      </c>
      <c r="V102" s="40">
        <v>0</v>
      </c>
      <c r="W102" s="45">
        <v>7777198</v>
      </c>
      <c r="X102" s="46">
        <v>21.219278291703102</v>
      </c>
    </row>
    <row r="103" spans="1:24" s="4" customFormat="1" ht="15" customHeight="1">
      <c r="A103" s="28" t="s">
        <v>1109</v>
      </c>
      <c r="B103" s="29">
        <v>3106.0650000000001</v>
      </c>
      <c r="C103" s="30" t="s">
        <v>1464</v>
      </c>
      <c r="D103" s="2">
        <v>4949163509</v>
      </c>
      <c r="E103" s="2" t="s">
        <v>18</v>
      </c>
      <c r="F103" s="2" t="s">
        <v>1465</v>
      </c>
      <c r="G103" s="28" t="s">
        <v>9</v>
      </c>
      <c r="H103" s="2" t="s">
        <v>23</v>
      </c>
      <c r="I103" s="2">
        <v>1</v>
      </c>
      <c r="J103" s="2"/>
      <c r="K103" s="2">
        <v>12006</v>
      </c>
      <c r="L103" s="35">
        <v>37291416.390000001</v>
      </c>
      <c r="M103" s="36">
        <v>600</v>
      </c>
      <c r="N103" s="40">
        <v>473196</v>
      </c>
      <c r="O103" s="40">
        <v>815</v>
      </c>
      <c r="P103" s="40">
        <v>12355</v>
      </c>
      <c r="Q103" s="40">
        <v>9781</v>
      </c>
      <c r="R103" s="40">
        <v>358916</v>
      </c>
      <c r="S103" s="40">
        <v>354356</v>
      </c>
      <c r="T103" s="37">
        <v>30000</v>
      </c>
      <c r="U103" s="40">
        <v>1052076.92307692</v>
      </c>
      <c r="V103" s="40">
        <v>0</v>
      </c>
      <c r="W103" s="45">
        <v>2291495.9230769202</v>
      </c>
      <c r="X103" s="46">
        <v>6.14483477675416</v>
      </c>
    </row>
    <row r="104" spans="1:24" s="4" customFormat="1" ht="15" customHeight="1">
      <c r="A104" s="28" t="s">
        <v>1109</v>
      </c>
      <c r="B104" s="29">
        <v>3106.0650000000001</v>
      </c>
      <c r="C104" s="30" t="s">
        <v>1486</v>
      </c>
      <c r="D104" s="2">
        <v>4948618679</v>
      </c>
      <c r="E104" s="2" t="s">
        <v>18</v>
      </c>
      <c r="F104" s="78" t="s">
        <v>1487</v>
      </c>
      <c r="G104" s="28" t="s">
        <v>9</v>
      </c>
      <c r="H104" s="2" t="s">
        <v>23</v>
      </c>
      <c r="I104" s="2">
        <v>1</v>
      </c>
      <c r="J104" s="2"/>
      <c r="K104" s="2">
        <v>5460</v>
      </c>
      <c r="L104" s="35">
        <v>16959114.899999999</v>
      </c>
      <c r="M104" s="36">
        <v>1000</v>
      </c>
      <c r="N104" s="40">
        <v>710167</v>
      </c>
      <c r="O104" s="40">
        <v>660</v>
      </c>
      <c r="P104" s="40">
        <v>0</v>
      </c>
      <c r="Q104" s="40">
        <v>19933</v>
      </c>
      <c r="R104" s="40">
        <v>101674.55</v>
      </c>
      <c r="S104" s="40">
        <v>354356</v>
      </c>
      <c r="T104" s="37">
        <v>30000</v>
      </c>
      <c r="U104" s="40">
        <v>469495.72264745599</v>
      </c>
      <c r="V104" s="40">
        <v>0</v>
      </c>
      <c r="W104" s="45">
        <v>1686286.27264746</v>
      </c>
      <c r="X104" s="46">
        <v>9.9432445772712796</v>
      </c>
    </row>
    <row r="105" spans="1:24" s="4" customFormat="1" ht="15" customHeight="1">
      <c r="A105" s="28" t="s">
        <v>1109</v>
      </c>
      <c r="B105" s="29">
        <v>3106.0650000000001</v>
      </c>
      <c r="C105" s="30" t="s">
        <v>1490</v>
      </c>
      <c r="D105" s="2">
        <v>4948984290</v>
      </c>
      <c r="E105" s="2" t="s">
        <v>18</v>
      </c>
      <c r="F105" s="2" t="s">
        <v>1491</v>
      </c>
      <c r="G105" s="28" t="s">
        <v>5</v>
      </c>
      <c r="H105" s="2" t="s">
        <v>20</v>
      </c>
      <c r="I105" s="2">
        <v>1</v>
      </c>
      <c r="J105" s="2" t="s">
        <v>1492</v>
      </c>
      <c r="K105" s="2">
        <v>19525</v>
      </c>
      <c r="L105" s="35">
        <v>60645919.125</v>
      </c>
      <c r="M105" s="36">
        <v>625</v>
      </c>
      <c r="N105" s="40">
        <v>41668.411552346603</v>
      </c>
      <c r="O105" s="40">
        <v>28098.104693140798</v>
      </c>
      <c r="P105" s="40">
        <v>9382.58122743682</v>
      </c>
      <c r="Q105" s="40">
        <v>8962.9061371841199</v>
      </c>
      <c r="R105" s="40">
        <v>57162.281588447702</v>
      </c>
      <c r="S105" s="40">
        <v>31981.588447653401</v>
      </c>
      <c r="T105" s="37">
        <v>30000</v>
      </c>
      <c r="U105" s="40">
        <v>261759.92779783401</v>
      </c>
      <c r="V105" s="40">
        <v>0</v>
      </c>
      <c r="W105" s="45">
        <v>469015.801444043</v>
      </c>
      <c r="X105" s="46">
        <v>0.77336745524020201</v>
      </c>
    </row>
    <row r="106" spans="1:24" s="4" customFormat="1" ht="15" customHeight="1">
      <c r="A106" s="28" t="s">
        <v>1109</v>
      </c>
      <c r="B106" s="29">
        <v>3106.0650000000001</v>
      </c>
      <c r="C106" s="30" t="s">
        <v>1490</v>
      </c>
      <c r="D106" s="2">
        <v>4948618663</v>
      </c>
      <c r="E106" s="2" t="s">
        <v>18</v>
      </c>
      <c r="F106" s="2" t="s">
        <v>1491</v>
      </c>
      <c r="G106" s="28" t="s">
        <v>5</v>
      </c>
      <c r="H106" s="2" t="s">
        <v>20</v>
      </c>
      <c r="I106" s="2">
        <v>1</v>
      </c>
      <c r="J106" s="2" t="s">
        <v>1492</v>
      </c>
      <c r="K106" s="2">
        <v>77010</v>
      </c>
      <c r="L106" s="35">
        <v>239198065.65000001</v>
      </c>
      <c r="M106" s="36">
        <v>1500</v>
      </c>
      <c r="N106" s="40">
        <v>100004.187725632</v>
      </c>
      <c r="O106" s="40">
        <v>67435.451263537907</v>
      </c>
      <c r="P106" s="40">
        <v>22518.194945848401</v>
      </c>
      <c r="Q106" s="40">
        <v>21510.974729241902</v>
      </c>
      <c r="R106" s="40">
        <v>137188.07581227401</v>
      </c>
      <c r="S106" s="40">
        <v>76755.812274368203</v>
      </c>
      <c r="T106" s="37">
        <v>30000</v>
      </c>
      <c r="U106" s="40">
        <v>628223.82671480102</v>
      </c>
      <c r="V106" s="40">
        <v>0</v>
      </c>
      <c r="W106" s="45">
        <v>1083636.5234657</v>
      </c>
      <c r="X106" s="46">
        <v>0.45302896598307102</v>
      </c>
    </row>
    <row r="107" spans="1:24" s="4" customFormat="1" ht="15" customHeight="1">
      <c r="A107" s="28" t="s">
        <v>1109</v>
      </c>
      <c r="B107" s="29">
        <v>3106.0650000000001</v>
      </c>
      <c r="C107" s="30" t="s">
        <v>1498</v>
      </c>
      <c r="D107" s="2">
        <v>4949336177</v>
      </c>
      <c r="E107" s="2" t="s">
        <v>18</v>
      </c>
      <c r="F107" s="2" t="s">
        <v>1499</v>
      </c>
      <c r="G107" s="28" t="s">
        <v>9</v>
      </c>
      <c r="H107" s="2" t="s">
        <v>23</v>
      </c>
      <c r="I107" s="2">
        <v>7</v>
      </c>
      <c r="J107" s="2"/>
      <c r="K107" s="2">
        <v>6420</v>
      </c>
      <c r="L107" s="35">
        <v>19940937.300000001</v>
      </c>
      <c r="M107" s="36">
        <v>2000</v>
      </c>
      <c r="N107" s="40">
        <v>1371732.8695652201</v>
      </c>
      <c r="O107" s="40">
        <v>1325.21739130435</v>
      </c>
      <c r="P107" s="40">
        <v>0</v>
      </c>
      <c r="Q107" s="40">
        <v>32506.2801932367</v>
      </c>
      <c r="R107" s="40">
        <v>82859.130434782594</v>
      </c>
      <c r="S107" s="40">
        <v>164339.01449275401</v>
      </c>
      <c r="T107" s="37">
        <v>30000</v>
      </c>
      <c r="U107" s="40">
        <v>1250468.57142857</v>
      </c>
      <c r="V107" s="40">
        <v>0</v>
      </c>
      <c r="W107" s="45">
        <v>2933231.0835058698</v>
      </c>
      <c r="X107" s="46">
        <v>14.709594836877899</v>
      </c>
    </row>
    <row r="108" spans="1:24" s="4" customFormat="1" ht="15" customHeight="1">
      <c r="A108" s="28" t="s">
        <v>1109</v>
      </c>
      <c r="B108" s="29">
        <v>3106.0650000000001</v>
      </c>
      <c r="C108" s="30" t="s">
        <v>1529</v>
      </c>
      <c r="D108" s="2">
        <v>4949336171</v>
      </c>
      <c r="E108" s="2" t="s">
        <v>18</v>
      </c>
      <c r="F108" s="78" t="s">
        <v>1530</v>
      </c>
      <c r="G108" s="28" t="s">
        <v>5</v>
      </c>
      <c r="H108" s="2" t="s">
        <v>20</v>
      </c>
      <c r="I108" s="2">
        <v>2</v>
      </c>
      <c r="J108" s="2" t="s">
        <v>1531</v>
      </c>
      <c r="K108" s="2">
        <v>18639</v>
      </c>
      <c r="L108" s="35">
        <v>57893945.534999996</v>
      </c>
      <c r="M108" s="36">
        <v>17100</v>
      </c>
      <c r="N108" s="40">
        <v>463784</v>
      </c>
      <c r="O108" s="40">
        <v>311327</v>
      </c>
      <c r="P108" s="40">
        <v>0</v>
      </c>
      <c r="Q108" s="40">
        <v>99309.5</v>
      </c>
      <c r="R108" s="40">
        <v>723403</v>
      </c>
      <c r="S108" s="40">
        <v>177178</v>
      </c>
      <c r="T108" s="37">
        <v>30000</v>
      </c>
      <c r="U108" s="40">
        <v>4413500</v>
      </c>
      <c r="V108" s="40">
        <v>0</v>
      </c>
      <c r="W108" s="45">
        <v>6218501.5</v>
      </c>
      <c r="X108" s="46">
        <v>10.741194856447599</v>
      </c>
    </row>
    <row r="109" spans="1:24" s="4" customFormat="1" ht="15" customHeight="1">
      <c r="A109" s="28" t="s">
        <v>1109</v>
      </c>
      <c r="B109" s="29">
        <v>3106.0650000000001</v>
      </c>
      <c r="C109" s="30" t="s">
        <v>1529</v>
      </c>
      <c r="D109" s="2">
        <v>4949336175</v>
      </c>
      <c r="E109" s="2" t="s">
        <v>18</v>
      </c>
      <c r="F109" s="78" t="s">
        <v>1530</v>
      </c>
      <c r="G109" s="28" t="s">
        <v>5</v>
      </c>
      <c r="H109" s="2" t="s">
        <v>20</v>
      </c>
      <c r="I109" s="2">
        <v>2</v>
      </c>
      <c r="J109" s="2" t="s">
        <v>1531</v>
      </c>
      <c r="K109" s="2">
        <v>18639</v>
      </c>
      <c r="L109" s="35">
        <v>57893945.534999996</v>
      </c>
      <c r="M109" s="36">
        <v>17100</v>
      </c>
      <c r="N109" s="40">
        <v>463784</v>
      </c>
      <c r="O109" s="40">
        <v>311327</v>
      </c>
      <c r="P109" s="40">
        <v>0</v>
      </c>
      <c r="Q109" s="40">
        <v>99309.5</v>
      </c>
      <c r="R109" s="40">
        <v>723403</v>
      </c>
      <c r="S109" s="40">
        <v>177178</v>
      </c>
      <c r="T109" s="37">
        <v>30000</v>
      </c>
      <c r="U109" s="40">
        <v>4413500</v>
      </c>
      <c r="V109" s="40">
        <v>0</v>
      </c>
      <c r="W109" s="45">
        <v>6218501.5</v>
      </c>
      <c r="X109" s="46">
        <v>10.741194856447599</v>
      </c>
    </row>
    <row r="111" spans="1:24" ht="15" customHeight="1">
      <c r="A111" s="31" t="s">
        <v>1109</v>
      </c>
      <c r="B111" s="31"/>
      <c r="C111" s="31"/>
      <c r="D111" s="31"/>
      <c r="E111" s="31"/>
      <c r="F111" s="32">
        <v>21</v>
      </c>
      <c r="G111" s="31"/>
      <c r="H111" s="31"/>
      <c r="I111" s="38"/>
      <c r="J111" s="31"/>
      <c r="K111" s="39">
        <f>+SUM(K80:K109)</f>
        <v>1282099</v>
      </c>
      <c r="L111" s="39">
        <f>+SUM(L80:L109)</f>
        <v>3982282830.4349995</v>
      </c>
      <c r="M111" s="31"/>
      <c r="N111" s="39"/>
      <c r="O111" s="39"/>
      <c r="P111" s="39"/>
      <c r="Q111" s="39"/>
      <c r="R111" s="39"/>
      <c r="S111" s="39"/>
      <c r="T111" s="39"/>
      <c r="U111" s="39"/>
      <c r="V111" s="31"/>
      <c r="W111" s="39">
        <f>+SUM(W80:W109)</f>
        <v>103081681.72049791</v>
      </c>
      <c r="X111" s="47">
        <f>(W111/L111)*100</f>
        <v>2.5885072986952538</v>
      </c>
    </row>
    <row r="113" spans="1:24" s="4" customFormat="1" ht="15" customHeight="1">
      <c r="A113" s="28" t="s">
        <v>1603</v>
      </c>
      <c r="B113" s="29">
        <v>3149.63</v>
      </c>
      <c r="C113" s="30" t="s">
        <v>1634</v>
      </c>
      <c r="D113" s="2">
        <v>4948993026</v>
      </c>
      <c r="E113" s="2" t="s">
        <v>18</v>
      </c>
      <c r="F113" s="2" t="s">
        <v>1635</v>
      </c>
      <c r="G113" s="28" t="s">
        <v>9</v>
      </c>
      <c r="H113" s="2" t="s">
        <v>23</v>
      </c>
      <c r="I113" s="2">
        <v>1</v>
      </c>
      <c r="J113" s="2"/>
      <c r="K113" s="2">
        <v>989.8</v>
      </c>
      <c r="L113" s="35">
        <v>3117503.7740000002</v>
      </c>
      <c r="M113" s="36">
        <v>20</v>
      </c>
      <c r="N113" s="40">
        <v>1021528</v>
      </c>
      <c r="O113" s="40">
        <v>62</v>
      </c>
      <c r="P113" s="40">
        <v>1635</v>
      </c>
      <c r="Q113" s="40">
        <v>630</v>
      </c>
      <c r="R113" s="40">
        <v>348495</v>
      </c>
      <c r="S113" s="40">
        <v>354356</v>
      </c>
      <c r="T113" s="40">
        <v>30000</v>
      </c>
      <c r="U113" s="40">
        <v>14336.4779874214</v>
      </c>
      <c r="V113" s="40">
        <v>0</v>
      </c>
      <c r="W113" s="45">
        <v>1771042.47798742</v>
      </c>
      <c r="X113" s="46">
        <v>56.8096338088802</v>
      </c>
    </row>
    <row r="114" spans="1:24" s="4" customFormat="1" ht="15" customHeight="1">
      <c r="A114" s="28" t="s">
        <v>1603</v>
      </c>
      <c r="B114" s="29">
        <v>3149.63</v>
      </c>
      <c r="C114" s="30" t="s">
        <v>1646</v>
      </c>
      <c r="D114" s="2">
        <v>4949336180</v>
      </c>
      <c r="E114" s="2" t="s">
        <v>18</v>
      </c>
      <c r="F114" s="2" t="s">
        <v>1647</v>
      </c>
      <c r="G114" s="28" t="s">
        <v>5</v>
      </c>
      <c r="H114" s="2" t="s">
        <v>20</v>
      </c>
      <c r="I114" s="2">
        <v>2</v>
      </c>
      <c r="J114" s="2" t="s">
        <v>1648</v>
      </c>
      <c r="K114" s="2">
        <v>21780</v>
      </c>
      <c r="L114" s="35">
        <v>68598941.400000006</v>
      </c>
      <c r="M114" s="36">
        <v>19800</v>
      </c>
      <c r="N114" s="40">
        <v>320731</v>
      </c>
      <c r="O114" s="40">
        <v>327035.5</v>
      </c>
      <c r="P114" s="40">
        <v>0</v>
      </c>
      <c r="Q114" s="40">
        <v>99309.5</v>
      </c>
      <c r="R114" s="40">
        <v>533351</v>
      </c>
      <c r="S114" s="40">
        <v>177178</v>
      </c>
      <c r="T114" s="40">
        <v>30000</v>
      </c>
      <c r="U114" s="40">
        <v>0</v>
      </c>
      <c r="V114" s="40">
        <v>0</v>
      </c>
      <c r="W114" s="45">
        <v>1487605</v>
      </c>
      <c r="X114" s="46">
        <v>2.1685538721738902</v>
      </c>
    </row>
    <row r="115" spans="1:24" s="4" customFormat="1" ht="15" customHeight="1">
      <c r="A115" s="28" t="s">
        <v>1603</v>
      </c>
      <c r="B115" s="29">
        <v>3149.63</v>
      </c>
      <c r="C115" s="30" t="s">
        <v>1646</v>
      </c>
      <c r="D115" s="2">
        <v>4949336178</v>
      </c>
      <c r="E115" s="2" t="s">
        <v>18</v>
      </c>
      <c r="F115" s="2" t="s">
        <v>1647</v>
      </c>
      <c r="G115" s="28" t="s">
        <v>5</v>
      </c>
      <c r="H115" s="2" t="s">
        <v>20</v>
      </c>
      <c r="I115" s="2">
        <v>2</v>
      </c>
      <c r="J115" s="2" t="s">
        <v>1648</v>
      </c>
      <c r="K115" s="2">
        <v>21780</v>
      </c>
      <c r="L115" s="35">
        <v>68598941.400000006</v>
      </c>
      <c r="M115" s="36">
        <v>19800</v>
      </c>
      <c r="N115" s="40">
        <v>320731</v>
      </c>
      <c r="O115" s="40">
        <v>327035.5</v>
      </c>
      <c r="P115" s="40">
        <v>0</v>
      </c>
      <c r="Q115" s="40">
        <v>99309.5</v>
      </c>
      <c r="R115" s="40">
        <v>533351</v>
      </c>
      <c r="S115" s="40">
        <v>177178</v>
      </c>
      <c r="T115" s="40">
        <v>30000</v>
      </c>
      <c r="U115" s="40">
        <v>4811200</v>
      </c>
      <c r="V115" s="40">
        <v>0</v>
      </c>
      <c r="W115" s="45">
        <v>6298805</v>
      </c>
      <c r="X115" s="46">
        <v>9.1820731799222806</v>
      </c>
    </row>
    <row r="116" spans="1:24" s="4" customFormat="1" ht="15" customHeight="1">
      <c r="A116" s="28" t="s">
        <v>1603</v>
      </c>
      <c r="B116" s="29">
        <v>3149.63</v>
      </c>
      <c r="C116" s="30" t="s">
        <v>1654</v>
      </c>
      <c r="D116" s="2">
        <v>4948992868</v>
      </c>
      <c r="E116" s="2" t="s">
        <v>18</v>
      </c>
      <c r="F116" s="2" t="s">
        <v>1655</v>
      </c>
      <c r="G116" s="28" t="s">
        <v>5</v>
      </c>
      <c r="H116" s="2" t="s">
        <v>20</v>
      </c>
      <c r="I116" s="2">
        <v>1</v>
      </c>
      <c r="J116" s="2" t="s">
        <v>1656</v>
      </c>
      <c r="K116" s="2">
        <v>2764</v>
      </c>
      <c r="L116" s="35">
        <v>8705577.3200000003</v>
      </c>
      <c r="M116" s="36">
        <v>200</v>
      </c>
      <c r="N116" s="40">
        <v>6492.5303643724701</v>
      </c>
      <c r="O116" s="40">
        <v>6501.7296222663999</v>
      </c>
      <c r="P116" s="40">
        <v>0</v>
      </c>
      <c r="Q116" s="40">
        <v>1974.33399602386</v>
      </c>
      <c r="R116" s="40">
        <v>14116.8785425101</v>
      </c>
      <c r="S116" s="40">
        <v>7173.1983805667996</v>
      </c>
      <c r="T116" s="40">
        <v>30000</v>
      </c>
      <c r="U116" s="40">
        <v>65779.352226720599</v>
      </c>
      <c r="V116" s="40">
        <v>0</v>
      </c>
      <c r="W116" s="45">
        <v>132038.02313245999</v>
      </c>
      <c r="X116" s="46">
        <v>1.51670611010621</v>
      </c>
    </row>
    <row r="117" spans="1:24" s="4" customFormat="1" ht="15" customHeight="1">
      <c r="A117" s="28" t="s">
        <v>1603</v>
      </c>
      <c r="B117" s="29">
        <v>3149.63</v>
      </c>
      <c r="C117" s="30" t="s">
        <v>1654</v>
      </c>
      <c r="D117" s="2">
        <v>4949451292</v>
      </c>
      <c r="E117" s="2" t="s">
        <v>18</v>
      </c>
      <c r="F117" s="2" t="s">
        <v>1655</v>
      </c>
      <c r="G117" s="28" t="s">
        <v>5</v>
      </c>
      <c r="H117" s="2" t="s">
        <v>20</v>
      </c>
      <c r="I117" s="2">
        <v>1</v>
      </c>
      <c r="J117" s="2" t="s">
        <v>1656</v>
      </c>
      <c r="K117" s="2">
        <v>102680</v>
      </c>
      <c r="L117" s="35">
        <v>323404008.39999998</v>
      </c>
      <c r="M117" s="36">
        <v>2000</v>
      </c>
      <c r="N117" s="40">
        <v>64925.303643724699</v>
      </c>
      <c r="O117" s="40">
        <v>65017.296222664001</v>
      </c>
      <c r="P117" s="40">
        <v>0</v>
      </c>
      <c r="Q117" s="40">
        <v>19743.339960238602</v>
      </c>
      <c r="R117" s="40">
        <v>141167.785425101</v>
      </c>
      <c r="S117" s="40">
        <v>71731.983805668002</v>
      </c>
      <c r="T117" s="40">
        <v>30000</v>
      </c>
      <c r="U117" s="40">
        <v>657793.52226720599</v>
      </c>
      <c r="V117" s="40">
        <v>0</v>
      </c>
      <c r="W117" s="45">
        <v>1050379.2313246001</v>
      </c>
      <c r="X117" s="46">
        <v>0.32478856292512198</v>
      </c>
    </row>
    <row r="118" spans="1:24" s="4" customFormat="1" ht="15" customHeight="1">
      <c r="A118" s="28" t="s">
        <v>1603</v>
      </c>
      <c r="B118" s="29">
        <v>3149.63</v>
      </c>
      <c r="C118" s="30" t="s">
        <v>1705</v>
      </c>
      <c r="D118" s="2">
        <v>4947996109</v>
      </c>
      <c r="E118" s="2" t="s">
        <v>18</v>
      </c>
      <c r="F118" s="2" t="s">
        <v>1706</v>
      </c>
      <c r="G118" s="28" t="s">
        <v>9</v>
      </c>
      <c r="H118" s="2" t="s">
        <v>23</v>
      </c>
      <c r="I118" s="2">
        <v>10</v>
      </c>
      <c r="J118" s="2"/>
      <c r="K118" s="2">
        <v>80968.75</v>
      </c>
      <c r="L118" s="35">
        <v>255021604.0625</v>
      </c>
      <c r="M118" s="36">
        <v>3125</v>
      </c>
      <c r="N118" s="40">
        <v>1621857.7810871201</v>
      </c>
      <c r="O118" s="40">
        <v>2080.23082650782</v>
      </c>
      <c r="P118" s="40">
        <v>80063.756515264293</v>
      </c>
      <c r="Q118" s="40">
        <v>65228.034251675403</v>
      </c>
      <c r="R118" s="40">
        <v>107625.65152643299</v>
      </c>
      <c r="S118" s="40">
        <v>164908.78629933001</v>
      </c>
      <c r="T118" s="40">
        <v>30000</v>
      </c>
      <c r="U118" s="40">
        <v>970541.697691735</v>
      </c>
      <c r="V118" s="40">
        <v>630584.51228592696</v>
      </c>
      <c r="W118" s="45">
        <v>3672890.4504839899</v>
      </c>
      <c r="X118" s="46">
        <v>1.4402271776095701</v>
      </c>
    </row>
    <row r="119" spans="1:24" s="4" customFormat="1" ht="15" customHeight="1">
      <c r="A119" s="28" t="s">
        <v>1603</v>
      </c>
      <c r="B119" s="29">
        <v>3149.63</v>
      </c>
      <c r="C119" s="30" t="s">
        <v>1705</v>
      </c>
      <c r="D119" s="2">
        <v>4948984296</v>
      </c>
      <c r="E119" s="2" t="s">
        <v>18</v>
      </c>
      <c r="F119" s="2" t="s">
        <v>1706</v>
      </c>
      <c r="G119" s="28" t="s">
        <v>9</v>
      </c>
      <c r="H119" s="2" t="s">
        <v>23</v>
      </c>
      <c r="I119" s="2">
        <v>10</v>
      </c>
      <c r="J119" s="2"/>
      <c r="K119" s="2">
        <v>39050</v>
      </c>
      <c r="L119" s="35">
        <v>122993051.5</v>
      </c>
      <c r="M119" s="36">
        <v>1250</v>
      </c>
      <c r="N119" s="40">
        <v>648743.11243484705</v>
      </c>
      <c r="O119" s="40">
        <v>832.09233060312704</v>
      </c>
      <c r="P119" s="40">
        <v>32025.5026061057</v>
      </c>
      <c r="Q119" s="40">
        <v>26091.213700670101</v>
      </c>
      <c r="R119" s="40">
        <v>43050.260610573299</v>
      </c>
      <c r="S119" s="40">
        <v>65963.514519731994</v>
      </c>
      <c r="T119" s="40">
        <v>30000</v>
      </c>
      <c r="U119" s="40">
        <v>388216.67907669401</v>
      </c>
      <c r="V119" s="40">
        <v>252233.80491437099</v>
      </c>
      <c r="W119" s="45">
        <v>1487156.1801936</v>
      </c>
      <c r="X119" s="46">
        <v>1.2091383716856501</v>
      </c>
    </row>
    <row r="120" spans="1:24" s="4" customFormat="1" ht="15" customHeight="1">
      <c r="A120" s="28" t="s">
        <v>1603</v>
      </c>
      <c r="B120" s="29">
        <v>3149.63</v>
      </c>
      <c r="C120" s="30" t="s">
        <v>1705</v>
      </c>
      <c r="D120" s="2">
        <v>4949336187</v>
      </c>
      <c r="E120" s="2" t="s">
        <v>18</v>
      </c>
      <c r="F120" s="2" t="s">
        <v>1706</v>
      </c>
      <c r="G120" s="28" t="s">
        <v>9</v>
      </c>
      <c r="H120" s="2" t="s">
        <v>23</v>
      </c>
      <c r="I120" s="2">
        <v>10</v>
      </c>
      <c r="J120" s="2"/>
      <c r="K120" s="2">
        <v>134368</v>
      </c>
      <c r="L120" s="35">
        <v>423209483.83999997</v>
      </c>
      <c r="M120" s="36">
        <v>1600</v>
      </c>
      <c r="N120" s="40">
        <v>830391.18391660496</v>
      </c>
      <c r="O120" s="40">
        <v>1065.0781831720001</v>
      </c>
      <c r="P120" s="40">
        <v>40992.643335815301</v>
      </c>
      <c r="Q120" s="40">
        <v>33396.753536857803</v>
      </c>
      <c r="R120" s="40">
        <v>55104.333581533901</v>
      </c>
      <c r="S120" s="40">
        <v>84433.298585256896</v>
      </c>
      <c r="T120" s="40">
        <v>30000</v>
      </c>
      <c r="U120" s="40">
        <v>496917.349218168</v>
      </c>
      <c r="V120" s="40">
        <v>322859.27029039501</v>
      </c>
      <c r="W120" s="45">
        <v>1895159.9106478</v>
      </c>
      <c r="X120" s="46">
        <v>0.44780657877796898</v>
      </c>
    </row>
    <row r="121" spans="1:24" s="4" customFormat="1" ht="15" customHeight="1">
      <c r="A121" s="28" t="s">
        <v>1603</v>
      </c>
      <c r="B121" s="29">
        <v>3149.63</v>
      </c>
      <c r="C121" s="30" t="s">
        <v>1749</v>
      </c>
      <c r="D121" s="2">
        <v>4949654721</v>
      </c>
      <c r="E121" s="2" t="s">
        <v>18</v>
      </c>
      <c r="F121" s="2" t="s">
        <v>1750</v>
      </c>
      <c r="G121" s="28" t="s">
        <v>5</v>
      </c>
      <c r="H121" s="2" t="s">
        <v>20</v>
      </c>
      <c r="I121" s="2">
        <v>1</v>
      </c>
      <c r="J121" s="2" t="s">
        <v>1751</v>
      </c>
      <c r="K121" s="2">
        <v>18639</v>
      </c>
      <c r="L121" s="35">
        <v>58705953.57</v>
      </c>
      <c r="M121" s="36">
        <v>17100</v>
      </c>
      <c r="N121" s="40">
        <v>325475.88</v>
      </c>
      <c r="O121" s="40">
        <v>327035</v>
      </c>
      <c r="P121" s="40">
        <v>0</v>
      </c>
      <c r="Q121" s="40">
        <v>99309</v>
      </c>
      <c r="R121" s="40">
        <v>644515</v>
      </c>
      <c r="S121" s="40">
        <v>354356</v>
      </c>
      <c r="T121" s="40">
        <v>30000</v>
      </c>
      <c r="U121" s="40">
        <v>4413500</v>
      </c>
      <c r="V121" s="40">
        <v>0</v>
      </c>
      <c r="W121" s="45">
        <v>6194190.8799999999</v>
      </c>
      <c r="X121" s="46">
        <v>10.551214150050599</v>
      </c>
    </row>
    <row r="122" spans="1:24" s="4" customFormat="1" ht="15" customHeight="1">
      <c r="A122" s="28" t="s">
        <v>1603</v>
      </c>
      <c r="B122" s="29">
        <v>3149.63</v>
      </c>
      <c r="C122" s="30" t="s">
        <v>1772</v>
      </c>
      <c r="D122" s="2">
        <v>4949590819</v>
      </c>
      <c r="E122" s="2" t="s">
        <v>18</v>
      </c>
      <c r="F122" s="2" t="s">
        <v>1773</v>
      </c>
      <c r="G122" s="28" t="s">
        <v>9</v>
      </c>
      <c r="H122" s="2" t="s">
        <v>23</v>
      </c>
      <c r="I122" s="2">
        <v>1</v>
      </c>
      <c r="J122" s="2"/>
      <c r="K122" s="2">
        <v>779</v>
      </c>
      <c r="L122" s="35">
        <v>2453561.77</v>
      </c>
      <c r="M122" s="36">
        <v>475</v>
      </c>
      <c r="N122" s="40">
        <v>462423</v>
      </c>
      <c r="O122" s="40">
        <v>317</v>
      </c>
      <c r="P122" s="40">
        <v>4945</v>
      </c>
      <c r="Q122" s="40">
        <v>7729</v>
      </c>
      <c r="R122" s="40">
        <v>128977</v>
      </c>
      <c r="S122" s="40">
        <v>354356</v>
      </c>
      <c r="T122" s="40">
        <v>30000</v>
      </c>
      <c r="U122" s="40">
        <v>248897.61306532699</v>
      </c>
      <c r="V122" s="40">
        <v>0</v>
      </c>
      <c r="W122" s="45">
        <v>1237644.6130653301</v>
      </c>
      <c r="X122" s="46">
        <v>50.4427737747694</v>
      </c>
    </row>
    <row r="123" spans="1:24" s="4" customFormat="1" ht="15" customHeight="1">
      <c r="A123" s="28" t="s">
        <v>1603</v>
      </c>
      <c r="B123" s="29">
        <v>3149.63</v>
      </c>
      <c r="C123" s="30" t="s">
        <v>1776</v>
      </c>
      <c r="D123" s="2">
        <v>4949681273</v>
      </c>
      <c r="E123" s="2" t="s">
        <v>18</v>
      </c>
      <c r="F123" s="2" t="s">
        <v>1777</v>
      </c>
      <c r="G123" s="28" t="s">
        <v>5</v>
      </c>
      <c r="H123" s="2" t="s">
        <v>32</v>
      </c>
      <c r="I123" s="2">
        <v>1</v>
      </c>
      <c r="J123" s="2" t="s">
        <v>1778</v>
      </c>
      <c r="K123" s="2">
        <v>67600</v>
      </c>
      <c r="L123" s="35">
        <v>212914988</v>
      </c>
      <c r="M123" s="36">
        <v>4000</v>
      </c>
      <c r="N123" s="40">
        <v>202788.785046729</v>
      </c>
      <c r="O123" s="40">
        <v>203760.124610592</v>
      </c>
      <c r="P123" s="40">
        <v>0</v>
      </c>
      <c r="Q123" s="40">
        <v>61874.7663551402</v>
      </c>
      <c r="R123" s="40">
        <v>843291.78816199396</v>
      </c>
      <c r="S123" s="40">
        <v>220782.55451713401</v>
      </c>
      <c r="T123" s="40">
        <v>30000</v>
      </c>
      <c r="U123" s="40">
        <v>3267902.18068536</v>
      </c>
      <c r="V123" s="40">
        <v>0</v>
      </c>
      <c r="W123" s="45">
        <v>4830400.19937695</v>
      </c>
      <c r="X123" s="46">
        <v>2.2686989980136798</v>
      </c>
    </row>
    <row r="124" spans="1:24" s="4" customFormat="1" ht="15" customHeight="1">
      <c r="A124" s="28" t="s">
        <v>1603</v>
      </c>
      <c r="B124" s="29">
        <v>3149.63</v>
      </c>
      <c r="C124" s="30" t="s">
        <v>1779</v>
      </c>
      <c r="D124" s="2">
        <v>4949682942</v>
      </c>
      <c r="E124" s="2" t="s">
        <v>18</v>
      </c>
      <c r="F124" s="2" t="s">
        <v>1780</v>
      </c>
      <c r="G124" s="28" t="s">
        <v>9</v>
      </c>
      <c r="H124" s="2" t="s">
        <v>23</v>
      </c>
      <c r="I124" s="2">
        <v>1</v>
      </c>
      <c r="J124" s="2"/>
      <c r="K124" s="2">
        <v>3138</v>
      </c>
      <c r="L124" s="35">
        <v>9883538.9399999995</v>
      </c>
      <c r="M124" s="36">
        <v>200</v>
      </c>
      <c r="N124" s="40">
        <v>443114</v>
      </c>
      <c r="O124" s="40">
        <v>350</v>
      </c>
      <c r="P124" s="40">
        <v>2265</v>
      </c>
      <c r="Q124" s="40">
        <v>3473</v>
      </c>
      <c r="R124" s="40">
        <v>221660</v>
      </c>
      <c r="S124" s="40">
        <v>354356</v>
      </c>
      <c r="T124" s="40">
        <v>30000</v>
      </c>
      <c r="U124" s="40">
        <v>104798.994974874</v>
      </c>
      <c r="V124" s="40">
        <v>0</v>
      </c>
      <c r="W124" s="45">
        <v>1160016.99497487</v>
      </c>
      <c r="X124" s="46">
        <v>11.736858649689999</v>
      </c>
    </row>
    <row r="125" spans="1:24" s="4" customFormat="1" ht="15" customHeight="1">
      <c r="A125" s="28" t="s">
        <v>1603</v>
      </c>
      <c r="B125" s="29">
        <v>3149.63</v>
      </c>
      <c r="C125" s="30" t="s">
        <v>1875</v>
      </c>
      <c r="D125" s="2">
        <v>4948618678</v>
      </c>
      <c r="E125" s="2" t="s">
        <v>18</v>
      </c>
      <c r="F125" s="2" t="s">
        <v>1876</v>
      </c>
      <c r="G125" s="28" t="s">
        <v>5</v>
      </c>
      <c r="H125" s="2" t="s">
        <v>32</v>
      </c>
      <c r="I125" s="2">
        <v>1</v>
      </c>
      <c r="J125" s="2" t="s">
        <v>1877</v>
      </c>
      <c r="K125" s="2">
        <v>104275</v>
      </c>
      <c r="L125" s="35">
        <v>328427668.25</v>
      </c>
      <c r="M125" s="36">
        <v>1920</v>
      </c>
      <c r="N125" s="40">
        <v>221600.68085106401</v>
      </c>
      <c r="O125" s="40">
        <v>222662.12765957401</v>
      </c>
      <c r="P125" s="40">
        <v>0</v>
      </c>
      <c r="Q125" s="40">
        <v>67614.638297872298</v>
      </c>
      <c r="R125" s="40">
        <v>981651.531914894</v>
      </c>
      <c r="S125" s="40">
        <v>241263.65957446801</v>
      </c>
      <c r="T125" s="40">
        <v>30000</v>
      </c>
      <c r="U125" s="40">
        <v>3717708.2553191502</v>
      </c>
      <c r="V125" s="40">
        <v>0</v>
      </c>
      <c r="W125" s="45">
        <v>5482500.89361702</v>
      </c>
      <c r="X125" s="46">
        <v>1.6693176073837099</v>
      </c>
    </row>
    <row r="126" spans="1:24" s="4" customFormat="1" ht="15" customHeight="1">
      <c r="A126" s="28" t="s">
        <v>1603</v>
      </c>
      <c r="B126" s="29">
        <v>3149.63</v>
      </c>
      <c r="C126" s="30" t="s">
        <v>1875</v>
      </c>
      <c r="D126" s="2">
        <v>4949536400</v>
      </c>
      <c r="E126" s="2" t="s">
        <v>18</v>
      </c>
      <c r="F126" s="2" t="s">
        <v>1876</v>
      </c>
      <c r="G126" s="28" t="s">
        <v>5</v>
      </c>
      <c r="H126" s="2" t="s">
        <v>32</v>
      </c>
      <c r="I126" s="2">
        <v>1</v>
      </c>
      <c r="J126" s="2" t="s">
        <v>1877</v>
      </c>
      <c r="K126" s="2">
        <v>23044.799999999999</v>
      </c>
      <c r="L126" s="35">
        <v>72582593.423999995</v>
      </c>
      <c r="M126" s="36">
        <v>480</v>
      </c>
      <c r="N126" s="40">
        <v>55400.170212766003</v>
      </c>
      <c r="O126" s="40">
        <v>55665.531914893603</v>
      </c>
      <c r="P126" s="40">
        <v>0</v>
      </c>
      <c r="Q126" s="40">
        <v>16903.6595744681</v>
      </c>
      <c r="R126" s="40">
        <v>245413.38297872301</v>
      </c>
      <c r="S126" s="40">
        <v>60315.914893617002</v>
      </c>
      <c r="T126" s="40">
        <v>30000</v>
      </c>
      <c r="U126" s="40">
        <v>929427.06382978696</v>
      </c>
      <c r="V126" s="40">
        <v>0</v>
      </c>
      <c r="W126" s="45">
        <v>1393125.7234042501</v>
      </c>
      <c r="X126" s="46">
        <v>1.91936614232856</v>
      </c>
    </row>
    <row r="127" spans="1:24" s="4" customFormat="1" ht="15" customHeight="1">
      <c r="A127" s="28" t="s">
        <v>1603</v>
      </c>
      <c r="B127" s="29">
        <v>3149.63</v>
      </c>
      <c r="C127" s="30" t="s">
        <v>1881</v>
      </c>
      <c r="D127" s="2">
        <v>4948992945</v>
      </c>
      <c r="E127" s="2" t="s">
        <v>18</v>
      </c>
      <c r="F127" s="2" t="s">
        <v>1882</v>
      </c>
      <c r="G127" s="28" t="s">
        <v>9</v>
      </c>
      <c r="H127" s="2" t="s">
        <v>23</v>
      </c>
      <c r="I127" s="2">
        <v>3</v>
      </c>
      <c r="J127" s="2"/>
      <c r="K127" s="2">
        <v>33293</v>
      </c>
      <c r="L127" s="35">
        <v>104860631.59</v>
      </c>
      <c r="M127" s="36">
        <v>1300</v>
      </c>
      <c r="N127" s="40">
        <v>504082</v>
      </c>
      <c r="O127" s="40">
        <v>1760</v>
      </c>
      <c r="P127" s="40">
        <v>13625</v>
      </c>
      <c r="Q127" s="40">
        <v>21871</v>
      </c>
      <c r="R127" s="40">
        <v>252772</v>
      </c>
      <c r="S127" s="40">
        <v>354356</v>
      </c>
      <c r="T127" s="40">
        <v>30000</v>
      </c>
      <c r="U127" s="40">
        <v>744560.30150753795</v>
      </c>
      <c r="V127" s="40">
        <v>0</v>
      </c>
      <c r="W127" s="45">
        <v>1923026.30150754</v>
      </c>
      <c r="X127" s="46">
        <v>1.8338877730838801</v>
      </c>
    </row>
    <row r="128" spans="1:24" s="4" customFormat="1" ht="15" customHeight="1">
      <c r="A128" s="28" t="s">
        <v>1603</v>
      </c>
      <c r="B128" s="29">
        <v>3149.63</v>
      </c>
      <c r="C128" s="30" t="s">
        <v>1883</v>
      </c>
      <c r="D128" s="2">
        <v>4948985827</v>
      </c>
      <c r="E128" s="2" t="s">
        <v>18</v>
      </c>
      <c r="F128" s="2" t="s">
        <v>1884</v>
      </c>
      <c r="G128" s="28" t="s">
        <v>9</v>
      </c>
      <c r="H128" s="2" t="s">
        <v>23</v>
      </c>
      <c r="I128" s="2">
        <v>1</v>
      </c>
      <c r="J128" s="2"/>
      <c r="K128" s="2">
        <v>7247.25</v>
      </c>
      <c r="L128" s="35">
        <v>22826156.017499998</v>
      </c>
      <c r="M128" s="36">
        <v>225</v>
      </c>
      <c r="N128" s="40">
        <v>362872</v>
      </c>
      <c r="O128" s="40">
        <v>314</v>
      </c>
      <c r="P128" s="40">
        <v>2361</v>
      </c>
      <c r="Q128" s="40">
        <v>4779</v>
      </c>
      <c r="R128" s="40">
        <v>368588</v>
      </c>
      <c r="S128" s="40">
        <v>354356</v>
      </c>
      <c r="T128" s="40">
        <v>30000</v>
      </c>
      <c r="U128" s="40">
        <v>142842.465753425</v>
      </c>
      <c r="V128" s="40">
        <v>0</v>
      </c>
      <c r="W128" s="45">
        <v>1266112.46575342</v>
      </c>
      <c r="X128" s="46">
        <v>5.54676163951014</v>
      </c>
    </row>
    <row r="129" spans="1:24" s="4" customFormat="1" ht="15" customHeight="1">
      <c r="A129" s="28" t="s">
        <v>1603</v>
      </c>
      <c r="B129" s="29">
        <v>3149.63</v>
      </c>
      <c r="C129" s="30" t="s">
        <v>1922</v>
      </c>
      <c r="D129" s="2">
        <v>4949682946</v>
      </c>
      <c r="E129" s="2" t="s">
        <v>18</v>
      </c>
      <c r="F129" s="2" t="s">
        <v>1923</v>
      </c>
      <c r="G129" s="28" t="s">
        <v>9</v>
      </c>
      <c r="H129" s="2" t="s">
        <v>23</v>
      </c>
      <c r="I129" s="2">
        <v>1</v>
      </c>
      <c r="J129" s="2"/>
      <c r="K129" s="2">
        <v>1680</v>
      </c>
      <c r="L129" s="35">
        <v>5291378.4000000004</v>
      </c>
      <c r="M129" s="36">
        <v>600</v>
      </c>
      <c r="N129" s="40">
        <v>482936</v>
      </c>
      <c r="O129" s="40">
        <v>413</v>
      </c>
      <c r="P129" s="40">
        <v>6222</v>
      </c>
      <c r="Q129" s="40">
        <v>9711</v>
      </c>
      <c r="R129" s="40">
        <v>89781</v>
      </c>
      <c r="S129" s="40">
        <v>354356</v>
      </c>
      <c r="T129" s="40">
        <v>30000</v>
      </c>
      <c r="U129" s="40">
        <v>314396.98492462299</v>
      </c>
      <c r="V129" s="40">
        <v>0</v>
      </c>
      <c r="W129" s="45">
        <v>1287815.98492462</v>
      </c>
      <c r="X129" s="46">
        <v>24.338005857313501</v>
      </c>
    </row>
    <row r="130" spans="1:24" s="4" customFormat="1" ht="15" customHeight="1">
      <c r="A130" s="28" t="s">
        <v>1603</v>
      </c>
      <c r="B130" s="29">
        <v>3149.63</v>
      </c>
      <c r="C130" s="30" t="s">
        <v>1968</v>
      </c>
      <c r="D130" s="2">
        <v>4949742135</v>
      </c>
      <c r="E130" s="2" t="s">
        <v>18</v>
      </c>
      <c r="F130" s="2" t="s">
        <v>1969</v>
      </c>
      <c r="G130" s="28" t="s">
        <v>9</v>
      </c>
      <c r="H130" s="2" t="s">
        <v>23</v>
      </c>
      <c r="I130" s="2">
        <v>4</v>
      </c>
      <c r="J130" s="2"/>
      <c r="K130" s="2">
        <v>4512</v>
      </c>
      <c r="L130" s="35">
        <v>14211130.560000001</v>
      </c>
      <c r="M130" s="36">
        <v>4800</v>
      </c>
      <c r="N130" s="40">
        <v>681544</v>
      </c>
      <c r="O130" s="40">
        <v>3164</v>
      </c>
      <c r="P130" s="40">
        <v>0</v>
      </c>
      <c r="Q130" s="40">
        <v>79939</v>
      </c>
      <c r="R130" s="40">
        <v>151248</v>
      </c>
      <c r="S130" s="40">
        <v>354356</v>
      </c>
      <c r="T130" s="40">
        <v>30000</v>
      </c>
      <c r="U130" s="40">
        <v>1906742.8571428601</v>
      </c>
      <c r="V130" s="40">
        <v>0</v>
      </c>
      <c r="W130" s="45">
        <v>3206993.8571428601</v>
      </c>
      <c r="X130" s="46">
        <v>22.566774990932601</v>
      </c>
    </row>
    <row r="131" spans="1:24" s="4" customFormat="1" ht="15" customHeight="1">
      <c r="A131" s="28" t="s">
        <v>1603</v>
      </c>
      <c r="B131" s="29">
        <v>3149.63</v>
      </c>
      <c r="C131" s="30" t="s">
        <v>2000</v>
      </c>
      <c r="D131" s="2">
        <v>4948605871</v>
      </c>
      <c r="E131" s="2" t="s">
        <v>18</v>
      </c>
      <c r="F131" s="2" t="s">
        <v>2001</v>
      </c>
      <c r="G131" s="28" t="s">
        <v>5</v>
      </c>
      <c r="H131" s="2" t="s">
        <v>17</v>
      </c>
      <c r="I131" s="2">
        <v>1</v>
      </c>
      <c r="J131" s="2" t="s">
        <v>2002</v>
      </c>
      <c r="K131" s="2">
        <v>68640</v>
      </c>
      <c r="L131" s="35">
        <v>216190603.19999999</v>
      </c>
      <c r="M131" s="36">
        <v>16000</v>
      </c>
      <c r="N131" s="40">
        <v>433592.47058823501</v>
      </c>
      <c r="O131" s="40">
        <v>403794.82352941198</v>
      </c>
      <c r="P131" s="40">
        <v>0</v>
      </c>
      <c r="Q131" s="40">
        <v>93467.294117647107</v>
      </c>
      <c r="R131" s="40">
        <v>688802</v>
      </c>
      <c r="S131" s="40">
        <v>333511.52941176499</v>
      </c>
      <c r="T131" s="40">
        <v>30000</v>
      </c>
      <c r="U131" s="40">
        <v>5446550</v>
      </c>
      <c r="V131" s="40">
        <v>0</v>
      </c>
      <c r="W131" s="45">
        <v>7429718.1176470602</v>
      </c>
      <c r="X131" s="46">
        <v>3.4366517358637201</v>
      </c>
    </row>
    <row r="132" spans="1:24" s="4" customFormat="1" ht="15" customHeight="1">
      <c r="A132" s="28" t="s">
        <v>1603</v>
      </c>
      <c r="B132" s="29">
        <v>3149.63</v>
      </c>
      <c r="C132" s="30" t="s">
        <v>2060</v>
      </c>
      <c r="D132" s="2">
        <v>4949845519</v>
      </c>
      <c r="E132" s="2" t="s">
        <v>18</v>
      </c>
      <c r="F132" s="2" t="s">
        <v>2061</v>
      </c>
      <c r="G132" s="28" t="s">
        <v>5</v>
      </c>
      <c r="H132" s="2" t="s">
        <v>32</v>
      </c>
      <c r="I132" s="2">
        <v>1</v>
      </c>
      <c r="J132" s="2" t="s">
        <v>2062</v>
      </c>
      <c r="K132" s="2">
        <v>4512</v>
      </c>
      <c r="L132" s="35">
        <v>14211130.560000001</v>
      </c>
      <c r="M132" s="36">
        <v>4800</v>
      </c>
      <c r="N132" s="40">
        <v>288038.76056338003</v>
      </c>
      <c r="O132" s="40">
        <v>294792.11267605599</v>
      </c>
      <c r="P132" s="40">
        <v>188185.23943662</v>
      </c>
      <c r="Q132" s="40">
        <v>89517.971830985902</v>
      </c>
      <c r="R132" s="40">
        <v>2516950</v>
      </c>
      <c r="S132" s="40">
        <v>319419.49295774603</v>
      </c>
      <c r="T132" s="40">
        <v>30000</v>
      </c>
      <c r="U132" s="40">
        <v>2557926.7605633801</v>
      </c>
      <c r="V132" s="40">
        <v>0</v>
      </c>
      <c r="W132" s="45">
        <v>6284830.3380281702</v>
      </c>
      <c r="X132" s="46">
        <v>44.224703386499399</v>
      </c>
    </row>
    <row r="133" spans="1:24" s="4" customFormat="1" ht="15" customHeight="1">
      <c r="A133" s="28" t="s">
        <v>1603</v>
      </c>
      <c r="B133" s="29">
        <v>3149.63</v>
      </c>
      <c r="C133" s="30" t="s">
        <v>2060</v>
      </c>
      <c r="D133" s="2">
        <v>4949876195</v>
      </c>
      <c r="E133" s="2" t="s">
        <v>18</v>
      </c>
      <c r="F133" s="2" t="s">
        <v>2061</v>
      </c>
      <c r="G133" s="28" t="s">
        <v>5</v>
      </c>
      <c r="H133" s="2" t="s">
        <v>32</v>
      </c>
      <c r="I133" s="2">
        <v>1</v>
      </c>
      <c r="J133" s="2" t="s">
        <v>2062</v>
      </c>
      <c r="K133" s="2">
        <v>5365</v>
      </c>
      <c r="L133" s="35">
        <v>16897764.949999999</v>
      </c>
      <c r="M133" s="36">
        <v>500</v>
      </c>
      <c r="N133" s="40">
        <v>30004.037558685399</v>
      </c>
      <c r="O133" s="40">
        <v>30707.5117370892</v>
      </c>
      <c r="P133" s="40">
        <v>19602.6291079812</v>
      </c>
      <c r="Q133" s="40">
        <v>9324.7887323943705</v>
      </c>
      <c r="R133" s="40">
        <v>262183</v>
      </c>
      <c r="S133" s="40">
        <v>33272.863849765301</v>
      </c>
      <c r="T133" s="40">
        <v>30000</v>
      </c>
      <c r="U133" s="40">
        <v>266450.70422535198</v>
      </c>
      <c r="V133" s="40">
        <v>0</v>
      </c>
      <c r="W133" s="45">
        <v>681545.53521126695</v>
      </c>
      <c r="X133" s="46">
        <v>4.0333472339563299</v>
      </c>
    </row>
    <row r="134" spans="1:24" s="4" customFormat="1" ht="15" customHeight="1">
      <c r="A134" s="28" t="s">
        <v>1603</v>
      </c>
      <c r="B134" s="29">
        <v>3149.63</v>
      </c>
      <c r="C134" s="30" t="s">
        <v>2081</v>
      </c>
      <c r="D134" s="2">
        <v>4949662491</v>
      </c>
      <c r="E134" s="2" t="s">
        <v>18</v>
      </c>
      <c r="F134" s="2" t="s">
        <v>2082</v>
      </c>
      <c r="G134" s="28" t="s">
        <v>5</v>
      </c>
      <c r="H134" s="2" t="s">
        <v>20</v>
      </c>
      <c r="I134" s="2">
        <v>1</v>
      </c>
      <c r="J134" s="2" t="s">
        <v>2083</v>
      </c>
      <c r="K134" s="2">
        <v>17100</v>
      </c>
      <c r="L134" s="35">
        <v>53858673</v>
      </c>
      <c r="M134" s="36">
        <v>17100</v>
      </c>
      <c r="N134" s="40">
        <v>460692</v>
      </c>
      <c r="O134" s="40">
        <v>327035</v>
      </c>
      <c r="P134" s="40">
        <v>0</v>
      </c>
      <c r="Q134" s="40">
        <v>99309</v>
      </c>
      <c r="R134" s="40">
        <v>726469</v>
      </c>
      <c r="S134" s="40">
        <v>354356</v>
      </c>
      <c r="T134" s="40">
        <v>30000</v>
      </c>
      <c r="U134" s="40">
        <v>4413500</v>
      </c>
      <c r="V134" s="40">
        <v>0</v>
      </c>
      <c r="W134" s="45">
        <v>6411361</v>
      </c>
      <c r="X134" s="46">
        <v>11.904045612115199</v>
      </c>
    </row>
    <row r="135" spans="1:24" s="4" customFormat="1" ht="15" customHeight="1">
      <c r="A135" s="28" t="s">
        <v>1603</v>
      </c>
      <c r="B135" s="29">
        <v>3149.63</v>
      </c>
      <c r="C135" s="30" t="s">
        <v>2086</v>
      </c>
      <c r="D135" s="2">
        <v>4949681278</v>
      </c>
      <c r="E135" s="2" t="s">
        <v>18</v>
      </c>
      <c r="F135" s="2" t="s">
        <v>2087</v>
      </c>
      <c r="G135" s="28" t="s">
        <v>5</v>
      </c>
      <c r="H135" s="2" t="s">
        <v>20</v>
      </c>
      <c r="I135" s="2">
        <v>1</v>
      </c>
      <c r="J135" s="2" t="s">
        <v>2088</v>
      </c>
      <c r="K135" s="2">
        <v>23652</v>
      </c>
      <c r="L135" s="35">
        <v>74495048.760000005</v>
      </c>
      <c r="M135" s="36">
        <v>19800</v>
      </c>
      <c r="N135" s="40">
        <v>460692</v>
      </c>
      <c r="O135" s="40">
        <v>327035</v>
      </c>
      <c r="P135" s="40">
        <v>0</v>
      </c>
      <c r="Q135" s="40">
        <v>99309</v>
      </c>
      <c r="R135" s="40">
        <v>726469</v>
      </c>
      <c r="S135" s="40">
        <v>354356</v>
      </c>
      <c r="T135" s="40">
        <v>30000</v>
      </c>
      <c r="U135" s="40">
        <v>0</v>
      </c>
      <c r="V135" s="40">
        <v>0</v>
      </c>
      <c r="W135" s="45">
        <v>1997861</v>
      </c>
      <c r="X135" s="46">
        <v>2.68187085350664</v>
      </c>
    </row>
    <row r="137" spans="1:24" ht="15" customHeight="1">
      <c r="A137" s="31" t="s">
        <v>1603</v>
      </c>
      <c r="B137" s="31"/>
      <c r="C137" s="31"/>
      <c r="D137" s="31"/>
      <c r="E137" s="31"/>
      <c r="F137" s="32">
        <v>16</v>
      </c>
      <c r="G137" s="31"/>
      <c r="H137" s="31"/>
      <c r="I137" s="38"/>
      <c r="J137" s="31"/>
      <c r="K137" s="39">
        <f>+SUM(K113:K135)</f>
        <v>787857.60000000009</v>
      </c>
      <c r="L137" s="39">
        <f>+SUM(L113:L135)</f>
        <v>2481459932.6879997</v>
      </c>
      <c r="M137" s="31"/>
      <c r="N137" s="39"/>
      <c r="O137" s="39"/>
      <c r="P137" s="39"/>
      <c r="Q137" s="39"/>
      <c r="R137" s="39"/>
      <c r="S137" s="39"/>
      <c r="T137" s="39"/>
      <c r="U137" s="39"/>
      <c r="V137" s="31"/>
      <c r="W137" s="39">
        <f>+SUM(W113:W135)</f>
        <v>68582220.178423226</v>
      </c>
      <c r="X137" s="47">
        <f>(W137/L137)*100</f>
        <v>2.7637851119414485</v>
      </c>
    </row>
    <row r="139" spans="1:24" s="4" customFormat="1" ht="15" customHeight="1">
      <c r="A139" s="28" t="s">
        <v>2168</v>
      </c>
      <c r="B139" s="29">
        <v>3271.01</v>
      </c>
      <c r="C139" s="30" t="s">
        <v>2178</v>
      </c>
      <c r="D139" s="2">
        <v>4949681277</v>
      </c>
      <c r="E139" s="2" t="s">
        <v>18</v>
      </c>
      <c r="F139" s="2" t="s">
        <v>2179</v>
      </c>
      <c r="G139" s="28" t="s">
        <v>5</v>
      </c>
      <c r="H139" s="2" t="s">
        <v>32</v>
      </c>
      <c r="I139" s="2">
        <v>1</v>
      </c>
      <c r="J139" s="2" t="s">
        <v>2180</v>
      </c>
      <c r="K139" s="2">
        <v>246720</v>
      </c>
      <c r="L139" s="35">
        <v>807023587.20000005</v>
      </c>
      <c r="M139" s="36">
        <v>2400</v>
      </c>
      <c r="N139" s="40">
        <v>124803.483870968</v>
      </c>
      <c r="O139" s="40">
        <v>127540.25806451601</v>
      </c>
      <c r="P139" s="40">
        <v>0</v>
      </c>
      <c r="Q139" s="40">
        <v>38442.193548387098</v>
      </c>
      <c r="R139" s="40">
        <v>561685</v>
      </c>
      <c r="S139" s="40">
        <v>137170.064516129</v>
      </c>
      <c r="T139" s="40">
        <v>30000</v>
      </c>
      <c r="U139" s="40">
        <v>1020193.5483871</v>
      </c>
      <c r="V139" s="40">
        <v>516774.19354838697</v>
      </c>
      <c r="W139" s="45">
        <v>2556608.7419354902</v>
      </c>
      <c r="X139" s="46">
        <v>0.31679479788264198</v>
      </c>
    </row>
    <row r="140" spans="1:24" s="4" customFormat="1" ht="15" customHeight="1">
      <c r="A140" s="28" t="s">
        <v>2168</v>
      </c>
      <c r="B140" s="29">
        <v>3271.01</v>
      </c>
      <c r="C140" s="30" t="s">
        <v>2178</v>
      </c>
      <c r="D140" s="2">
        <v>4949662492</v>
      </c>
      <c r="E140" s="2" t="s">
        <v>18</v>
      </c>
      <c r="F140" s="2" t="s">
        <v>2179</v>
      </c>
      <c r="G140" s="28" t="s">
        <v>5</v>
      </c>
      <c r="H140" s="2" t="s">
        <v>32</v>
      </c>
      <c r="I140" s="2">
        <v>1</v>
      </c>
      <c r="J140" s="2" t="s">
        <v>2180</v>
      </c>
      <c r="K140" s="2">
        <v>4674</v>
      </c>
      <c r="L140" s="35">
        <v>15288700.74</v>
      </c>
      <c r="M140" s="36">
        <v>3800</v>
      </c>
      <c r="N140" s="40">
        <v>197605.51612903201</v>
      </c>
      <c r="O140" s="40">
        <v>201938.74193548399</v>
      </c>
      <c r="P140" s="40">
        <v>0</v>
      </c>
      <c r="Q140" s="40">
        <v>60866.806451612902</v>
      </c>
      <c r="R140" s="40">
        <v>889334</v>
      </c>
      <c r="S140" s="40">
        <v>217185.935483871</v>
      </c>
      <c r="T140" s="40">
        <v>30000</v>
      </c>
      <c r="U140" s="40">
        <v>1615306.4516129</v>
      </c>
      <c r="V140" s="40">
        <v>818225.80645161297</v>
      </c>
      <c r="W140" s="45">
        <v>4030463.2580645098</v>
      </c>
      <c r="X140" s="46">
        <v>26.362366080719799</v>
      </c>
    </row>
    <row r="141" spans="1:24" s="4" customFormat="1" ht="15" customHeight="1">
      <c r="A141" s="28" t="s">
        <v>2168</v>
      </c>
      <c r="B141" s="29">
        <v>3271.01</v>
      </c>
      <c r="C141" s="30" t="s">
        <v>2203</v>
      </c>
      <c r="D141" s="2">
        <v>4950133489</v>
      </c>
      <c r="E141" s="2" t="s">
        <v>18</v>
      </c>
      <c r="F141" s="2" t="s">
        <v>2204</v>
      </c>
      <c r="G141" s="28" t="s">
        <v>9</v>
      </c>
      <c r="H141" s="2" t="s">
        <v>23</v>
      </c>
      <c r="I141" s="2">
        <v>3</v>
      </c>
      <c r="J141" s="2"/>
      <c r="K141" s="2">
        <v>44050</v>
      </c>
      <c r="L141" s="35">
        <v>144087990.5</v>
      </c>
      <c r="M141" s="36">
        <v>500</v>
      </c>
      <c r="N141" s="40">
        <v>1521300</v>
      </c>
      <c r="O141" s="40">
        <v>421</v>
      </c>
      <c r="P141" s="40">
        <v>6707</v>
      </c>
      <c r="Q141" s="40">
        <v>10685</v>
      </c>
      <c r="R141" s="40">
        <v>99195.94</v>
      </c>
      <c r="S141" s="40">
        <v>354356</v>
      </c>
      <c r="T141" s="40">
        <v>30000</v>
      </c>
      <c r="U141" s="40">
        <v>1367700</v>
      </c>
      <c r="V141" s="40">
        <v>0</v>
      </c>
      <c r="W141" s="45">
        <v>3390364.94</v>
      </c>
      <c r="X141" s="46">
        <v>2.3529823188144201</v>
      </c>
    </row>
    <row r="142" spans="1:24" s="4" customFormat="1" ht="15" customHeight="1">
      <c r="A142" s="28" t="s">
        <v>2168</v>
      </c>
      <c r="B142" s="29">
        <v>3271.01</v>
      </c>
      <c r="C142" s="30" t="s">
        <v>2258</v>
      </c>
      <c r="D142" s="2">
        <v>4949681264</v>
      </c>
      <c r="E142" s="2" t="s">
        <v>18</v>
      </c>
      <c r="F142" s="2" t="s">
        <v>2259</v>
      </c>
      <c r="G142" s="28" t="s">
        <v>5</v>
      </c>
      <c r="H142" s="2" t="s">
        <v>17</v>
      </c>
      <c r="I142" s="2">
        <v>2</v>
      </c>
      <c r="J142" s="2" t="s">
        <v>2260</v>
      </c>
      <c r="K142" s="2">
        <v>68640</v>
      </c>
      <c r="L142" s="35">
        <v>224522126.40000001</v>
      </c>
      <c r="M142" s="36">
        <v>16000</v>
      </c>
      <c r="N142" s="40">
        <v>475992</v>
      </c>
      <c r="O142" s="40">
        <v>432237.5</v>
      </c>
      <c r="P142" s="40">
        <v>154127.5</v>
      </c>
      <c r="Q142" s="40">
        <v>99309.5</v>
      </c>
      <c r="R142" s="40">
        <v>735975.5</v>
      </c>
      <c r="S142" s="40">
        <v>177178</v>
      </c>
      <c r="T142" s="40">
        <v>30000</v>
      </c>
      <c r="U142" s="40">
        <v>5446550</v>
      </c>
      <c r="V142" s="40">
        <v>0</v>
      </c>
      <c r="W142" s="45">
        <v>7551370</v>
      </c>
      <c r="X142" s="46">
        <v>3.36330771540386</v>
      </c>
    </row>
    <row r="143" spans="1:24" s="4" customFormat="1" ht="15" customHeight="1">
      <c r="A143" s="28" t="s">
        <v>2168</v>
      </c>
      <c r="B143" s="29">
        <v>3271.01</v>
      </c>
      <c r="C143" s="30" t="s">
        <v>2258</v>
      </c>
      <c r="D143" s="2">
        <v>4949681267</v>
      </c>
      <c r="E143" s="2" t="s">
        <v>18</v>
      </c>
      <c r="F143" s="2" t="s">
        <v>2259</v>
      </c>
      <c r="G143" s="28" t="s">
        <v>5</v>
      </c>
      <c r="H143" s="2" t="s">
        <v>17</v>
      </c>
      <c r="I143" s="2">
        <v>2</v>
      </c>
      <c r="J143" s="2" t="s">
        <v>2260</v>
      </c>
      <c r="K143" s="2">
        <v>68640</v>
      </c>
      <c r="L143" s="35">
        <v>224522126.40000001</v>
      </c>
      <c r="M143" s="36">
        <v>16000</v>
      </c>
      <c r="N143" s="40">
        <v>475992</v>
      </c>
      <c r="O143" s="40">
        <v>432237.5</v>
      </c>
      <c r="P143" s="40">
        <v>154127.5</v>
      </c>
      <c r="Q143" s="40">
        <v>99309.5</v>
      </c>
      <c r="R143" s="40">
        <v>735975.5</v>
      </c>
      <c r="S143" s="40">
        <v>177178</v>
      </c>
      <c r="T143" s="40">
        <v>30000</v>
      </c>
      <c r="U143" s="40">
        <v>5446550</v>
      </c>
      <c r="V143" s="40">
        <v>0</v>
      </c>
      <c r="W143" s="45">
        <v>7551370</v>
      </c>
      <c r="X143" s="46">
        <v>3.36330771540386</v>
      </c>
    </row>
    <row r="144" spans="1:24" s="4" customFormat="1" ht="15" customHeight="1">
      <c r="A144" s="28" t="s">
        <v>2168</v>
      </c>
      <c r="B144" s="29">
        <v>3271.01</v>
      </c>
      <c r="C144" s="30" t="s">
        <v>2264</v>
      </c>
      <c r="D144" s="2">
        <v>4949682939</v>
      </c>
      <c r="E144" s="2" t="s">
        <v>18</v>
      </c>
      <c r="F144" s="2" t="s">
        <v>2265</v>
      </c>
      <c r="G144" s="28" t="s">
        <v>5</v>
      </c>
      <c r="H144" s="2" t="s">
        <v>32</v>
      </c>
      <c r="I144" s="2">
        <v>1</v>
      </c>
      <c r="J144" s="2" t="s">
        <v>2266</v>
      </c>
      <c r="K144" s="2">
        <v>12610.8</v>
      </c>
      <c r="L144" s="35">
        <v>41250052.908</v>
      </c>
      <c r="M144" s="36">
        <v>4520</v>
      </c>
      <c r="N144" s="40">
        <v>251319.60942760899</v>
      </c>
      <c r="O144" s="48">
        <v>250714.65993266</v>
      </c>
      <c r="P144" s="40">
        <v>0</v>
      </c>
      <c r="Q144" s="40">
        <v>75568.464646464694</v>
      </c>
      <c r="R144" s="40">
        <v>1138618.9292929301</v>
      </c>
      <c r="S144" s="40">
        <v>269644.63299663301</v>
      </c>
      <c r="T144" s="40">
        <v>30000</v>
      </c>
      <c r="U144" s="40">
        <v>2005464.6464646501</v>
      </c>
      <c r="V144" s="40">
        <v>0</v>
      </c>
      <c r="W144" s="45">
        <v>4021330.94276095</v>
      </c>
      <c r="X144" s="46">
        <v>9.7486685695403192</v>
      </c>
    </row>
    <row r="145" spans="1:24" s="4" customFormat="1" ht="15" customHeight="1">
      <c r="A145" s="28" t="s">
        <v>2168</v>
      </c>
      <c r="B145" s="29">
        <v>3271.01</v>
      </c>
      <c r="C145" s="30" t="s">
        <v>2264</v>
      </c>
      <c r="D145" s="2">
        <v>4948990393</v>
      </c>
      <c r="E145" s="2" t="s">
        <v>18</v>
      </c>
      <c r="F145" s="2" t="s">
        <v>2265</v>
      </c>
      <c r="G145" s="28" t="s">
        <v>5</v>
      </c>
      <c r="H145" s="2" t="s">
        <v>32</v>
      </c>
      <c r="I145" s="2">
        <v>1</v>
      </c>
      <c r="J145" s="2" t="s">
        <v>2266</v>
      </c>
      <c r="K145" s="2">
        <v>3961.8</v>
      </c>
      <c r="L145" s="35">
        <v>12959087.418</v>
      </c>
      <c r="M145" s="36">
        <v>1420</v>
      </c>
      <c r="N145" s="40">
        <v>78954.390572390606</v>
      </c>
      <c r="O145" s="48">
        <v>78764.340067340105</v>
      </c>
      <c r="P145" s="40">
        <v>0</v>
      </c>
      <c r="Q145" s="40">
        <v>23740.535353535401</v>
      </c>
      <c r="R145" s="40">
        <v>357707.07070707099</v>
      </c>
      <c r="S145" s="40">
        <v>84711.367003367006</v>
      </c>
      <c r="T145" s="40">
        <v>30000</v>
      </c>
      <c r="U145" s="40">
        <v>630035.35353535402</v>
      </c>
      <c r="V145" s="40">
        <v>0</v>
      </c>
      <c r="W145" s="45">
        <v>1283913.0572390601</v>
      </c>
      <c r="X145" s="46">
        <v>9.9074341875008898</v>
      </c>
    </row>
    <row r="146" spans="1:24" s="4" customFormat="1" ht="15" customHeight="1">
      <c r="A146" s="28" t="s">
        <v>2168</v>
      </c>
      <c r="B146" s="29">
        <v>3271.01</v>
      </c>
      <c r="C146" s="30" t="s">
        <v>2272</v>
      </c>
      <c r="D146" s="2">
        <v>4949681270</v>
      </c>
      <c r="E146" s="2" t="s">
        <v>18</v>
      </c>
      <c r="F146" s="2" t="s">
        <v>2273</v>
      </c>
      <c r="G146" s="28" t="s">
        <v>5</v>
      </c>
      <c r="H146" s="2" t="s">
        <v>35</v>
      </c>
      <c r="I146" s="2">
        <v>1</v>
      </c>
      <c r="J146" s="2" t="s">
        <v>2274</v>
      </c>
      <c r="K146" s="2">
        <v>34320</v>
      </c>
      <c r="L146" s="35">
        <v>112261063.2</v>
      </c>
      <c r="M146" s="36">
        <v>8000</v>
      </c>
      <c r="N146" s="40">
        <v>153392.39477503599</v>
      </c>
      <c r="O146" s="40">
        <v>208306.98795180701</v>
      </c>
      <c r="P146" s="40">
        <v>917173.79390420904</v>
      </c>
      <c r="Q146" s="40">
        <v>47859.759036144598</v>
      </c>
      <c r="R146" s="40">
        <v>1169952.97532656</v>
      </c>
      <c r="S146" s="40">
        <v>164577.53265602299</v>
      </c>
      <c r="T146" s="40">
        <v>30000</v>
      </c>
      <c r="U146" s="40">
        <v>2827843.2510885298</v>
      </c>
      <c r="V146" s="40">
        <v>0</v>
      </c>
      <c r="W146" s="45">
        <v>5519106.6947383098</v>
      </c>
      <c r="X146" s="46">
        <v>4.9163142922543699</v>
      </c>
    </row>
    <row r="147" spans="1:24" s="4" customFormat="1" ht="15" customHeight="1">
      <c r="A147" s="28" t="s">
        <v>2168</v>
      </c>
      <c r="B147" s="29">
        <v>3271.01</v>
      </c>
      <c r="C147" s="30" t="s">
        <v>2272</v>
      </c>
      <c r="D147" s="2">
        <v>4949662490</v>
      </c>
      <c r="E147" s="2" t="s">
        <v>18</v>
      </c>
      <c r="F147" s="2" t="s">
        <v>2273</v>
      </c>
      <c r="G147" s="28" t="s">
        <v>5</v>
      </c>
      <c r="H147" s="2" t="s">
        <v>35</v>
      </c>
      <c r="I147" s="2">
        <v>1</v>
      </c>
      <c r="J147" s="2" t="s">
        <v>2274</v>
      </c>
      <c r="K147" s="2">
        <v>89400</v>
      </c>
      <c r="L147" s="35">
        <v>292428294</v>
      </c>
      <c r="M147" s="36">
        <v>5000</v>
      </c>
      <c r="N147" s="40">
        <v>95870.246734397704</v>
      </c>
      <c r="O147" s="40">
        <v>130191.86746988</v>
      </c>
      <c r="P147" s="40">
        <v>573283.62119013094</v>
      </c>
      <c r="Q147" s="40">
        <v>29912.349397590398</v>
      </c>
      <c r="R147" s="40">
        <v>731220.60957910004</v>
      </c>
      <c r="S147" s="40">
        <v>102860.957910015</v>
      </c>
      <c r="T147" s="40">
        <v>30000</v>
      </c>
      <c r="U147" s="40">
        <v>1767402.03193033</v>
      </c>
      <c r="V147" s="40">
        <v>0</v>
      </c>
      <c r="W147" s="45">
        <v>3460741.6842114399</v>
      </c>
      <c r="X147" s="46">
        <v>1.1834496713274401</v>
      </c>
    </row>
    <row r="148" spans="1:24" s="4" customFormat="1" ht="15" customHeight="1">
      <c r="A148" s="28" t="s">
        <v>2168</v>
      </c>
      <c r="B148" s="29">
        <v>3271.01</v>
      </c>
      <c r="C148" s="30" t="s">
        <v>2323</v>
      </c>
      <c r="D148" s="2">
        <v>4949685076</v>
      </c>
      <c r="E148" s="2" t="s">
        <v>18</v>
      </c>
      <c r="F148" s="2" t="s">
        <v>2324</v>
      </c>
      <c r="G148" s="28" t="s">
        <v>9</v>
      </c>
      <c r="H148" s="2" t="s">
        <v>23</v>
      </c>
      <c r="I148" s="2">
        <v>5</v>
      </c>
      <c r="J148" s="2"/>
      <c r="K148" s="2">
        <v>8130</v>
      </c>
      <c r="L148" s="35">
        <v>26593311.300000001</v>
      </c>
      <c r="M148" s="36">
        <v>3000</v>
      </c>
      <c r="N148" s="40">
        <v>828696</v>
      </c>
      <c r="O148" s="40">
        <v>2024</v>
      </c>
      <c r="P148" s="40">
        <v>94969</v>
      </c>
      <c r="Q148" s="40">
        <v>50062</v>
      </c>
      <c r="R148" s="40">
        <v>278194</v>
      </c>
      <c r="S148" s="40">
        <v>354356</v>
      </c>
      <c r="T148" s="40">
        <v>30000</v>
      </c>
      <c r="U148" s="40">
        <v>2085500</v>
      </c>
      <c r="V148" s="40">
        <v>0</v>
      </c>
      <c r="W148" s="45">
        <v>3723801</v>
      </c>
      <c r="X148" s="46">
        <v>14.002772945390999</v>
      </c>
    </row>
    <row r="149" spans="1:24" s="4" customFormat="1" ht="15" customHeight="1">
      <c r="A149" s="28" t="s">
        <v>2168</v>
      </c>
      <c r="B149" s="29">
        <v>3271.01</v>
      </c>
      <c r="C149" s="30" t="s">
        <v>2341</v>
      </c>
      <c r="D149" s="2">
        <v>4950342621</v>
      </c>
      <c r="E149" s="2" t="s">
        <v>18</v>
      </c>
      <c r="F149" s="2" t="s">
        <v>2342</v>
      </c>
      <c r="G149" s="28" t="s">
        <v>9</v>
      </c>
      <c r="H149" s="2" t="s">
        <v>23</v>
      </c>
      <c r="I149" s="2">
        <v>1</v>
      </c>
      <c r="J149" s="2"/>
      <c r="K149" s="2">
        <v>3561.6</v>
      </c>
      <c r="L149" s="35">
        <v>11650029.216</v>
      </c>
      <c r="M149" s="36">
        <v>240</v>
      </c>
      <c r="N149" s="40">
        <v>446517</v>
      </c>
      <c r="O149" s="40">
        <v>387</v>
      </c>
      <c r="P149" s="40">
        <v>8710</v>
      </c>
      <c r="Q149" s="40">
        <v>4551</v>
      </c>
      <c r="R149" s="40">
        <v>253064</v>
      </c>
      <c r="S149" s="40">
        <v>354356</v>
      </c>
      <c r="T149" s="40">
        <v>30000</v>
      </c>
      <c r="U149" s="40">
        <v>92551.775147929002</v>
      </c>
      <c r="V149" s="40">
        <v>0</v>
      </c>
      <c r="W149" s="45">
        <v>1190136.77514793</v>
      </c>
      <c r="X149" s="46">
        <v>10.215740691134201</v>
      </c>
    </row>
    <row r="150" spans="1:24" s="4" customFormat="1" ht="15" customHeight="1">
      <c r="A150" s="28" t="s">
        <v>2168</v>
      </c>
      <c r="B150" s="29">
        <v>3271.01</v>
      </c>
      <c r="C150" s="30" t="s">
        <v>2364</v>
      </c>
      <c r="D150" s="2">
        <v>4949685086</v>
      </c>
      <c r="E150" s="2" t="s">
        <v>18</v>
      </c>
      <c r="F150" s="2" t="s">
        <v>2365</v>
      </c>
      <c r="G150" s="28" t="s">
        <v>9</v>
      </c>
      <c r="H150" s="2" t="s">
        <v>23</v>
      </c>
      <c r="I150" s="2">
        <v>6</v>
      </c>
      <c r="J150" s="2"/>
      <c r="K150" s="2">
        <v>24072</v>
      </c>
      <c r="L150" s="35">
        <v>78739752.719999999</v>
      </c>
      <c r="M150" s="36">
        <v>800</v>
      </c>
      <c r="N150" s="40">
        <v>588669.957446808</v>
      </c>
      <c r="O150" s="40">
        <v>1078.4680851063799</v>
      </c>
      <c r="P150" s="40">
        <v>24964.085106383001</v>
      </c>
      <c r="Q150" s="40">
        <v>13461.1063829787</v>
      </c>
      <c r="R150" s="40">
        <v>269861.44680851098</v>
      </c>
      <c r="S150" s="40">
        <v>241263.65957446801</v>
      </c>
      <c r="T150" s="40">
        <v>30000</v>
      </c>
      <c r="U150" s="40">
        <v>702484.21052631596</v>
      </c>
      <c r="V150" s="40">
        <v>0</v>
      </c>
      <c r="W150" s="45">
        <v>1871782.93393057</v>
      </c>
      <c r="X150" s="46">
        <v>2.3771765458632599</v>
      </c>
    </row>
    <row r="151" spans="1:24" s="4" customFormat="1" ht="15" customHeight="1">
      <c r="A151" s="28" t="s">
        <v>2168</v>
      </c>
      <c r="B151" s="29">
        <v>3271.01</v>
      </c>
      <c r="C151" s="30" t="s">
        <v>2364</v>
      </c>
      <c r="D151" s="2">
        <v>4948992569</v>
      </c>
      <c r="E151" s="2" t="s">
        <v>18</v>
      </c>
      <c r="F151" s="2" t="s">
        <v>2365</v>
      </c>
      <c r="G151" s="28" t="s">
        <v>9</v>
      </c>
      <c r="H151" s="2" t="s">
        <v>23</v>
      </c>
      <c r="I151" s="2">
        <v>6</v>
      </c>
      <c r="J151" s="2"/>
      <c r="K151" s="2">
        <v>9791.25</v>
      </c>
      <c r="L151" s="35">
        <v>32027276.662500001</v>
      </c>
      <c r="M151" s="36">
        <v>375</v>
      </c>
      <c r="N151" s="40">
        <v>275939.04255319102</v>
      </c>
      <c r="O151" s="40">
        <v>505.531914893617</v>
      </c>
      <c r="P151" s="40">
        <v>11701.914893617</v>
      </c>
      <c r="Q151" s="40">
        <v>6309.8936170212801</v>
      </c>
      <c r="R151" s="40">
        <v>126497.553191489</v>
      </c>
      <c r="S151" s="40">
        <v>113092.34042553201</v>
      </c>
      <c r="T151" s="40">
        <v>30000</v>
      </c>
      <c r="U151" s="40">
        <v>329289.47368421103</v>
      </c>
      <c r="V151" s="40">
        <v>0</v>
      </c>
      <c r="W151" s="45">
        <v>893335.75027995498</v>
      </c>
      <c r="X151" s="46">
        <v>2.7892966351583102</v>
      </c>
    </row>
    <row r="152" spans="1:24" s="4" customFormat="1" ht="15" customHeight="1">
      <c r="A152" s="28" t="s">
        <v>2168</v>
      </c>
      <c r="B152" s="29">
        <v>3271.01</v>
      </c>
      <c r="C152" s="30" t="s">
        <v>2372</v>
      </c>
      <c r="D152" s="2">
        <v>4950285310</v>
      </c>
      <c r="E152" s="2" t="s">
        <v>18</v>
      </c>
      <c r="F152" s="2" t="s">
        <v>2373</v>
      </c>
      <c r="G152" s="28" t="s">
        <v>5</v>
      </c>
      <c r="H152" s="2" t="s">
        <v>20</v>
      </c>
      <c r="I152" s="2">
        <v>2</v>
      </c>
      <c r="J152" s="2" t="s">
        <v>2374</v>
      </c>
      <c r="K152" s="2">
        <v>46728</v>
      </c>
      <c r="L152" s="35">
        <v>152847755.28</v>
      </c>
      <c r="M152" s="36">
        <v>39600</v>
      </c>
      <c r="N152" s="40">
        <v>927002</v>
      </c>
      <c r="O152" s="40">
        <v>665311</v>
      </c>
      <c r="P152" s="40">
        <v>0</v>
      </c>
      <c r="Q152" s="40">
        <v>198619</v>
      </c>
      <c r="R152" s="40">
        <v>1250171</v>
      </c>
      <c r="S152" s="40">
        <v>354356</v>
      </c>
      <c r="T152" s="40">
        <v>30000</v>
      </c>
      <c r="U152" s="40">
        <v>9622400</v>
      </c>
      <c r="V152" s="40">
        <v>0</v>
      </c>
      <c r="W152" s="45">
        <v>13047859</v>
      </c>
      <c r="X152" s="46">
        <v>8.5365067848708591</v>
      </c>
    </row>
    <row r="153" spans="1:24" s="4" customFormat="1" ht="15" customHeight="1">
      <c r="A153" s="28" t="s">
        <v>2168</v>
      </c>
      <c r="B153" s="29">
        <v>3271.01</v>
      </c>
      <c r="C153" s="30" t="s">
        <v>2380</v>
      </c>
      <c r="D153" s="2">
        <v>4950195006</v>
      </c>
      <c r="E153" s="2" t="s">
        <v>18</v>
      </c>
      <c r="F153" s="2" t="s">
        <v>2381</v>
      </c>
      <c r="G153" s="28" t="s">
        <v>9</v>
      </c>
      <c r="H153" s="2" t="s">
        <v>23</v>
      </c>
      <c r="I153" s="2">
        <v>6</v>
      </c>
      <c r="J153" s="2"/>
      <c r="K153" s="2">
        <v>103520</v>
      </c>
      <c r="L153" s="35">
        <v>338614955.19999999</v>
      </c>
      <c r="M153" s="36">
        <v>2000</v>
      </c>
      <c r="N153" s="40">
        <v>2246300.9230769202</v>
      </c>
      <c r="O153" s="40">
        <v>1474.4615384615399</v>
      </c>
      <c r="P153" s="40">
        <v>22695.384615384599</v>
      </c>
      <c r="Q153" s="40">
        <v>35919.384615384603</v>
      </c>
      <c r="R153" s="40">
        <v>96678.769230769205</v>
      </c>
      <c r="S153" s="40">
        <v>218065.23076923101</v>
      </c>
      <c r="T153" s="40">
        <v>30000</v>
      </c>
      <c r="U153" s="40">
        <v>1283384.6153846199</v>
      </c>
      <c r="V153" s="40">
        <v>0</v>
      </c>
      <c r="W153" s="45">
        <v>3934518.7692307699</v>
      </c>
      <c r="X153" s="46">
        <v>1.16194477202192</v>
      </c>
    </row>
    <row r="154" spans="1:24" s="4" customFormat="1" ht="15" customHeight="1">
      <c r="A154" s="28" t="s">
        <v>2168</v>
      </c>
      <c r="B154" s="29">
        <v>3271.01</v>
      </c>
      <c r="C154" s="30" t="s">
        <v>2380</v>
      </c>
      <c r="D154" s="2">
        <v>4949681290</v>
      </c>
      <c r="E154" s="2" t="s">
        <v>18</v>
      </c>
      <c r="F154" s="2" t="s">
        <v>2381</v>
      </c>
      <c r="G154" s="28" t="s">
        <v>9</v>
      </c>
      <c r="H154" s="2" t="s">
        <v>23</v>
      </c>
      <c r="I154" s="2">
        <v>6</v>
      </c>
      <c r="J154" s="2"/>
      <c r="K154" s="2">
        <v>53175</v>
      </c>
      <c r="L154" s="35">
        <v>173935956.75</v>
      </c>
      <c r="M154" s="36">
        <v>1250</v>
      </c>
      <c r="N154" s="40">
        <v>1403938.07692308</v>
      </c>
      <c r="O154" s="40">
        <v>921.538461538462</v>
      </c>
      <c r="P154" s="40">
        <v>14184.615384615399</v>
      </c>
      <c r="Q154" s="40">
        <v>22449.615384615401</v>
      </c>
      <c r="R154" s="40">
        <v>60424.230769230802</v>
      </c>
      <c r="S154" s="40">
        <v>136290.76923076899</v>
      </c>
      <c r="T154" s="40">
        <v>30000</v>
      </c>
      <c r="U154" s="40">
        <v>802115.38461538497</v>
      </c>
      <c r="V154" s="40">
        <v>0</v>
      </c>
      <c r="W154" s="45">
        <v>2470324.2307692301</v>
      </c>
      <c r="X154" s="46">
        <v>1.4202493129812499</v>
      </c>
    </row>
    <row r="155" spans="1:24" s="4" customFormat="1" ht="15" customHeight="1">
      <c r="A155" s="28" t="s">
        <v>2168</v>
      </c>
      <c r="B155" s="29">
        <v>3271.01</v>
      </c>
      <c r="C155" s="30" t="s">
        <v>2388</v>
      </c>
      <c r="D155" s="2">
        <v>4949682940</v>
      </c>
      <c r="E155" s="2" t="s">
        <v>18</v>
      </c>
      <c r="F155" s="78" t="s">
        <v>2389</v>
      </c>
      <c r="G155" s="28" t="s">
        <v>9</v>
      </c>
      <c r="H155" s="2" t="s">
        <v>23</v>
      </c>
      <c r="I155" s="2">
        <v>1</v>
      </c>
      <c r="J155" s="2"/>
      <c r="K155" s="2">
        <v>5842.5</v>
      </c>
      <c r="L155" s="35">
        <v>19110875.925000001</v>
      </c>
      <c r="M155" s="36">
        <v>150</v>
      </c>
      <c r="N155" s="40">
        <v>405505</v>
      </c>
      <c r="O155" s="40">
        <v>194</v>
      </c>
      <c r="P155" s="40">
        <v>8807</v>
      </c>
      <c r="Q155" s="40">
        <v>2521</v>
      </c>
      <c r="R155" s="40">
        <v>368932</v>
      </c>
      <c r="S155" s="40">
        <v>354356</v>
      </c>
      <c r="T155" s="40">
        <v>30000</v>
      </c>
      <c r="U155" s="40">
        <v>86847.584675180406</v>
      </c>
      <c r="V155" s="40">
        <v>0</v>
      </c>
      <c r="W155" s="45">
        <v>1257162.58467518</v>
      </c>
      <c r="X155" s="46">
        <v>6.5782572688393399</v>
      </c>
    </row>
    <row r="156" spans="1:24" s="4" customFormat="1" ht="15" customHeight="1">
      <c r="A156" s="28" t="s">
        <v>2168</v>
      </c>
      <c r="B156" s="29">
        <v>3271.01</v>
      </c>
      <c r="C156" s="30" t="s">
        <v>2448</v>
      </c>
      <c r="D156" s="2">
        <v>4949662493</v>
      </c>
      <c r="E156" s="2" t="s">
        <v>18</v>
      </c>
      <c r="F156" s="2" t="s">
        <v>2449</v>
      </c>
      <c r="G156" s="28" t="s">
        <v>5</v>
      </c>
      <c r="H156" s="2" t="s">
        <v>17</v>
      </c>
      <c r="I156" s="2">
        <v>1</v>
      </c>
      <c r="J156" s="2" t="s">
        <v>2450</v>
      </c>
      <c r="K156" s="2">
        <v>68160</v>
      </c>
      <c r="L156" s="35">
        <v>222952041.59999999</v>
      </c>
      <c r="M156" s="36">
        <v>16000</v>
      </c>
      <c r="N156" s="40">
        <v>481881</v>
      </c>
      <c r="O156" s="40">
        <v>436404</v>
      </c>
      <c r="P156" s="40">
        <v>0</v>
      </c>
      <c r="Q156" s="40">
        <v>99309</v>
      </c>
      <c r="R156" s="40">
        <v>738600</v>
      </c>
      <c r="S156" s="40">
        <v>354356</v>
      </c>
      <c r="T156" s="40">
        <v>30000</v>
      </c>
      <c r="U156" s="40">
        <v>5446550</v>
      </c>
      <c r="V156" s="40">
        <v>0</v>
      </c>
      <c r="W156" s="45">
        <v>7587100</v>
      </c>
      <c r="X156" s="46">
        <v>3.4030188490545799</v>
      </c>
    </row>
    <row r="157" spans="1:24" s="4" customFormat="1" ht="15" customHeight="1">
      <c r="A157" s="28" t="s">
        <v>2168</v>
      </c>
      <c r="B157" s="29">
        <v>3271.01</v>
      </c>
      <c r="C157" s="30" t="s">
        <v>2451</v>
      </c>
      <c r="D157" s="2">
        <v>4950282857</v>
      </c>
      <c r="E157" s="2" t="s">
        <v>18</v>
      </c>
      <c r="F157" s="2" t="s">
        <v>2452</v>
      </c>
      <c r="G157" s="28" t="s">
        <v>9</v>
      </c>
      <c r="H157" s="2" t="s">
        <v>23</v>
      </c>
      <c r="I157" s="2">
        <v>1</v>
      </c>
      <c r="J157" s="2"/>
      <c r="K157" s="2">
        <v>5842.5</v>
      </c>
      <c r="L157" s="35">
        <v>19110875.925000001</v>
      </c>
      <c r="M157" s="36">
        <v>150</v>
      </c>
      <c r="N157" s="40">
        <v>419561.95</v>
      </c>
      <c r="O157" s="40">
        <v>198</v>
      </c>
      <c r="P157" s="40">
        <v>8807</v>
      </c>
      <c r="Q157" s="40">
        <v>2519</v>
      </c>
      <c r="R157" s="40">
        <v>367101</v>
      </c>
      <c r="S157" s="40">
        <v>354356</v>
      </c>
      <c r="T157" s="40">
        <v>30000</v>
      </c>
      <c r="U157" s="40">
        <v>88119.718309859105</v>
      </c>
      <c r="V157" s="40">
        <v>0</v>
      </c>
      <c r="W157" s="45">
        <v>1270662.6683098599</v>
      </c>
      <c r="X157" s="46">
        <v>6.6488981106702401</v>
      </c>
    </row>
    <row r="158" spans="1:24" s="4" customFormat="1" ht="15" customHeight="1">
      <c r="A158" s="28" t="s">
        <v>2168</v>
      </c>
      <c r="B158" s="29">
        <v>3271.01</v>
      </c>
      <c r="C158" s="30" t="s">
        <v>2535</v>
      </c>
      <c r="D158" s="2">
        <v>4949681280</v>
      </c>
      <c r="E158" s="2" t="s">
        <v>18</v>
      </c>
      <c r="F158" s="2" t="s">
        <v>2536</v>
      </c>
      <c r="G158" s="28" t="s">
        <v>5</v>
      </c>
      <c r="H158" s="2" t="s">
        <v>17</v>
      </c>
      <c r="I158" s="2">
        <v>1</v>
      </c>
      <c r="J158" s="2" t="s">
        <v>2537</v>
      </c>
      <c r="K158" s="2">
        <v>49906.25</v>
      </c>
      <c r="L158" s="35">
        <v>163243842.8125</v>
      </c>
      <c r="M158" s="36">
        <v>3125</v>
      </c>
      <c r="N158" s="40">
        <v>62490.513392857101</v>
      </c>
      <c r="O158" s="40">
        <v>81093.75</v>
      </c>
      <c r="P158" s="40">
        <v>156747.02380952399</v>
      </c>
      <c r="Q158" s="40">
        <v>18472.65625</v>
      </c>
      <c r="R158" s="40">
        <v>226935.373511905</v>
      </c>
      <c r="S158" s="40">
        <v>65914.434523809497</v>
      </c>
      <c r="T158" s="40">
        <v>30000</v>
      </c>
      <c r="U158" s="40">
        <v>1013123.13988095</v>
      </c>
      <c r="V158" s="40">
        <v>252046.13095238101</v>
      </c>
      <c r="W158" s="45">
        <v>1906823.02232143</v>
      </c>
      <c r="X158" s="46">
        <v>1.1680826605580401</v>
      </c>
    </row>
    <row r="159" spans="1:24" s="4" customFormat="1" ht="15" customHeight="1">
      <c r="A159" s="28" t="s">
        <v>2168</v>
      </c>
      <c r="B159" s="29">
        <v>3271.01</v>
      </c>
      <c r="C159" s="30" t="s">
        <v>2535</v>
      </c>
      <c r="D159" s="2">
        <v>4950282861</v>
      </c>
      <c r="E159" s="2" t="s">
        <v>18</v>
      </c>
      <c r="F159" s="2" t="s">
        <v>2536</v>
      </c>
      <c r="G159" s="28" t="s">
        <v>5</v>
      </c>
      <c r="H159" s="2" t="s">
        <v>17</v>
      </c>
      <c r="I159" s="2">
        <v>1</v>
      </c>
      <c r="J159" s="2" t="s">
        <v>2537</v>
      </c>
      <c r="K159" s="2">
        <v>97790</v>
      </c>
      <c r="L159" s="35">
        <v>319872067.89999998</v>
      </c>
      <c r="M159" s="36">
        <v>1000</v>
      </c>
      <c r="N159" s="40">
        <v>19996.964285714301</v>
      </c>
      <c r="O159" s="40">
        <v>25950</v>
      </c>
      <c r="P159" s="40">
        <v>50159.047619047597</v>
      </c>
      <c r="Q159" s="40">
        <v>5911.25</v>
      </c>
      <c r="R159" s="40">
        <v>72609.559523809497</v>
      </c>
      <c r="S159" s="40">
        <v>21092.619047618999</v>
      </c>
      <c r="T159" s="40">
        <v>30000</v>
      </c>
      <c r="U159" s="40">
        <v>324199.40476190503</v>
      </c>
      <c r="V159" s="40">
        <v>80654.761904761894</v>
      </c>
      <c r="W159" s="45">
        <v>630573.60714285704</v>
      </c>
      <c r="X159" s="46">
        <v>0.19713306362842201</v>
      </c>
    </row>
    <row r="160" spans="1:24" s="4" customFormat="1" ht="15" customHeight="1">
      <c r="A160" s="28" t="s">
        <v>2168</v>
      </c>
      <c r="B160" s="29">
        <v>3271.01</v>
      </c>
      <c r="C160" s="30" t="s">
        <v>2535</v>
      </c>
      <c r="D160" s="2">
        <v>4950060354</v>
      </c>
      <c r="E160" s="2" t="s">
        <v>18</v>
      </c>
      <c r="F160" s="2" t="s">
        <v>2536</v>
      </c>
      <c r="G160" s="28" t="s">
        <v>5</v>
      </c>
      <c r="H160" s="2" t="s">
        <v>17</v>
      </c>
      <c r="I160" s="2">
        <v>1</v>
      </c>
      <c r="J160" s="2" t="s">
        <v>2537</v>
      </c>
      <c r="K160" s="2">
        <v>83378</v>
      </c>
      <c r="L160" s="35">
        <v>272730271.77999997</v>
      </c>
      <c r="M160" s="36">
        <v>4700</v>
      </c>
      <c r="N160" s="40">
        <v>93985.732142857101</v>
      </c>
      <c r="O160" s="40">
        <v>121965</v>
      </c>
      <c r="P160" s="40">
        <v>235747.52380952399</v>
      </c>
      <c r="Q160" s="40">
        <v>27782.875</v>
      </c>
      <c r="R160" s="40">
        <v>341310.52976190503</v>
      </c>
      <c r="S160" s="40">
        <v>99135.309523809497</v>
      </c>
      <c r="T160" s="40">
        <v>30000</v>
      </c>
      <c r="U160" s="40">
        <v>1523737.2023809501</v>
      </c>
      <c r="V160" s="40">
        <v>379077.38095238101</v>
      </c>
      <c r="W160" s="45">
        <v>2852741.55357143</v>
      </c>
      <c r="X160" s="46">
        <v>1.04599373401153</v>
      </c>
    </row>
    <row r="161" spans="1:24" s="4" customFormat="1" ht="15" customHeight="1">
      <c r="A161" s="28" t="s">
        <v>2168</v>
      </c>
      <c r="B161" s="29">
        <v>3271.01</v>
      </c>
      <c r="C161" s="30" t="s">
        <v>2549</v>
      </c>
      <c r="D161" s="2">
        <v>4950372291</v>
      </c>
      <c r="E161" s="2" t="s">
        <v>18</v>
      </c>
      <c r="F161" s="2" t="s">
        <v>2550</v>
      </c>
      <c r="G161" s="28" t="s">
        <v>5</v>
      </c>
      <c r="H161" s="2" t="s">
        <v>32</v>
      </c>
      <c r="I161" s="2">
        <v>1</v>
      </c>
      <c r="J161" s="2" t="s">
        <v>2551</v>
      </c>
      <c r="K161" s="2">
        <v>21892.799999999999</v>
      </c>
      <c r="L161" s="35">
        <v>71611567.728</v>
      </c>
      <c r="M161" s="36">
        <v>480</v>
      </c>
      <c r="N161" s="40">
        <v>55991.5</v>
      </c>
      <c r="O161" s="40">
        <v>56707.333333333299</v>
      </c>
      <c r="P161" s="40">
        <v>0</v>
      </c>
      <c r="Q161" s="40">
        <v>16551.5</v>
      </c>
      <c r="R161" s="40">
        <v>168100</v>
      </c>
      <c r="S161" s="40">
        <v>59059.333333333299</v>
      </c>
      <c r="T161" s="40">
        <v>30000</v>
      </c>
      <c r="U161" s="40">
        <v>827114</v>
      </c>
      <c r="V161" s="40">
        <v>222500</v>
      </c>
      <c r="W161" s="45">
        <v>1436023.66666667</v>
      </c>
      <c r="X161" s="46">
        <v>2.0052956697178699</v>
      </c>
    </row>
    <row r="162" spans="1:24" s="4" customFormat="1" ht="15" customHeight="1">
      <c r="A162" s="28" t="s">
        <v>2168</v>
      </c>
      <c r="B162" s="29">
        <v>3271.01</v>
      </c>
      <c r="C162" s="30" t="s">
        <v>2549</v>
      </c>
      <c r="D162" s="2">
        <v>4950285297</v>
      </c>
      <c r="E162" s="2" t="s">
        <v>18</v>
      </c>
      <c r="F162" s="2" t="s">
        <v>2550</v>
      </c>
      <c r="G162" s="28" t="s">
        <v>5</v>
      </c>
      <c r="H162" s="2" t="s">
        <v>32</v>
      </c>
      <c r="I162" s="2">
        <v>1</v>
      </c>
      <c r="J162" s="2" t="s">
        <v>2551</v>
      </c>
      <c r="K162" s="2">
        <v>223584</v>
      </c>
      <c r="L162" s="35">
        <v>731345499.84000003</v>
      </c>
      <c r="M162" s="36">
        <v>2400</v>
      </c>
      <c r="N162" s="40">
        <v>279957.5</v>
      </c>
      <c r="O162" s="40">
        <v>283536.66666666698</v>
      </c>
      <c r="P162" s="40">
        <v>0</v>
      </c>
      <c r="Q162" s="40">
        <v>82757.5</v>
      </c>
      <c r="R162" s="40">
        <v>840498</v>
      </c>
      <c r="S162" s="40">
        <v>295296.66666666698</v>
      </c>
      <c r="T162" s="40">
        <v>30000</v>
      </c>
      <c r="U162" s="40">
        <v>4135570</v>
      </c>
      <c r="V162" s="40">
        <v>1112500</v>
      </c>
      <c r="W162" s="45">
        <v>7060116.3333333302</v>
      </c>
      <c r="X162" s="46">
        <v>0.96535992015783401</v>
      </c>
    </row>
    <row r="163" spans="1:24" s="4" customFormat="1" ht="15" customHeight="1">
      <c r="A163" s="28" t="s">
        <v>2168</v>
      </c>
      <c r="B163" s="29">
        <v>3271.01</v>
      </c>
      <c r="C163" s="30" t="s">
        <v>2569</v>
      </c>
      <c r="D163" s="2">
        <v>4950285325</v>
      </c>
      <c r="E163" s="2" t="s">
        <v>18</v>
      </c>
      <c r="F163" s="2" t="s">
        <v>2570</v>
      </c>
      <c r="G163" s="28" t="s">
        <v>5</v>
      </c>
      <c r="H163" s="2" t="s">
        <v>20</v>
      </c>
      <c r="I163" s="2">
        <v>1</v>
      </c>
      <c r="J163" s="2" t="s">
        <v>2571</v>
      </c>
      <c r="K163" s="2">
        <v>23364</v>
      </c>
      <c r="L163" s="35">
        <v>76423877.640000001</v>
      </c>
      <c r="M163" s="36">
        <v>19800</v>
      </c>
      <c r="N163" s="40">
        <v>335949</v>
      </c>
      <c r="O163" s="40">
        <v>340244</v>
      </c>
      <c r="P163" s="40">
        <v>0</v>
      </c>
      <c r="Q163" s="40">
        <v>99309</v>
      </c>
      <c r="R163" s="40">
        <v>553827</v>
      </c>
      <c r="S163" s="40">
        <v>354356</v>
      </c>
      <c r="T163" s="40">
        <v>30000</v>
      </c>
      <c r="U163" s="40">
        <v>4811200</v>
      </c>
      <c r="V163" s="40">
        <v>0</v>
      </c>
      <c r="W163" s="45">
        <v>6524885</v>
      </c>
      <c r="X163" s="46">
        <v>8.5377570485705103</v>
      </c>
    </row>
    <row r="164" spans="1:24" s="4" customFormat="1" ht="15" customHeight="1">
      <c r="A164" s="28" t="s">
        <v>2168</v>
      </c>
      <c r="B164" s="29">
        <v>3271.01</v>
      </c>
      <c r="C164" s="30" t="s">
        <v>2574</v>
      </c>
      <c r="D164" s="2">
        <v>4950282870</v>
      </c>
      <c r="E164" s="2" t="s">
        <v>18</v>
      </c>
      <c r="F164" s="2" t="s">
        <v>2575</v>
      </c>
      <c r="G164" s="28" t="s">
        <v>5</v>
      </c>
      <c r="H164" s="2" t="s">
        <v>17</v>
      </c>
      <c r="I164" s="2">
        <v>1</v>
      </c>
      <c r="J164" s="2" t="s">
        <v>2576</v>
      </c>
      <c r="K164" s="2">
        <v>338065</v>
      </c>
      <c r="L164" s="35">
        <v>1105813995.6500001</v>
      </c>
      <c r="M164" s="36">
        <v>6500</v>
      </c>
      <c r="N164" s="40">
        <v>272958.5625</v>
      </c>
      <c r="O164" s="40">
        <v>362667.5</v>
      </c>
      <c r="P164" s="40">
        <v>0</v>
      </c>
      <c r="Q164" s="40">
        <v>80688.5625</v>
      </c>
      <c r="R164" s="40">
        <v>539492.5</v>
      </c>
      <c r="S164" s="40">
        <v>287914.25</v>
      </c>
      <c r="T164" s="40">
        <v>30000</v>
      </c>
      <c r="U164" s="40">
        <v>3834228.125</v>
      </c>
      <c r="V164" s="40">
        <v>1084687.5</v>
      </c>
      <c r="W164" s="45">
        <v>6492637</v>
      </c>
      <c r="X164" s="46">
        <v>0.587136446594132</v>
      </c>
    </row>
    <row r="165" spans="1:24" s="4" customFormat="1" ht="15" customHeight="1">
      <c r="A165" s="28" t="s">
        <v>2168</v>
      </c>
      <c r="B165" s="29">
        <v>3271.01</v>
      </c>
      <c r="C165" s="30" t="s">
        <v>2574</v>
      </c>
      <c r="D165" s="2">
        <v>4950282871</v>
      </c>
      <c r="E165" s="2" t="s">
        <v>18</v>
      </c>
      <c r="F165" s="2" t="s">
        <v>2575</v>
      </c>
      <c r="G165" s="28" t="s">
        <v>5</v>
      </c>
      <c r="H165" s="2" t="s">
        <v>17</v>
      </c>
      <c r="I165" s="2">
        <v>1</v>
      </c>
      <c r="J165" s="2" t="s">
        <v>2576</v>
      </c>
      <c r="K165" s="2">
        <v>84720</v>
      </c>
      <c r="L165" s="35">
        <v>277119967.19999999</v>
      </c>
      <c r="M165" s="36">
        <v>1500</v>
      </c>
      <c r="N165" s="40">
        <v>62990.4375</v>
      </c>
      <c r="O165" s="40">
        <v>83692.5</v>
      </c>
      <c r="P165" s="40">
        <v>0</v>
      </c>
      <c r="Q165" s="40">
        <v>18620.4375</v>
      </c>
      <c r="R165" s="40">
        <v>124498.5</v>
      </c>
      <c r="S165" s="40">
        <v>66441.75</v>
      </c>
      <c r="T165" s="40">
        <v>30000</v>
      </c>
      <c r="U165" s="40">
        <v>884821.875</v>
      </c>
      <c r="V165" s="40">
        <v>250312.5</v>
      </c>
      <c r="W165" s="45">
        <v>1521378</v>
      </c>
      <c r="X165" s="46">
        <v>0.54899616775070104</v>
      </c>
    </row>
    <row r="166" spans="1:24" s="4" customFormat="1" ht="15" customHeight="1">
      <c r="A166" s="28" t="s">
        <v>2168</v>
      </c>
      <c r="B166" s="29">
        <v>3271.01</v>
      </c>
      <c r="C166" s="30" t="s">
        <v>2599</v>
      </c>
      <c r="D166" s="2">
        <v>4950664711</v>
      </c>
      <c r="E166" s="2" t="s">
        <v>18</v>
      </c>
      <c r="F166" s="2" t="s">
        <v>2600</v>
      </c>
      <c r="G166" s="28" t="s">
        <v>9</v>
      </c>
      <c r="H166" s="2" t="s">
        <v>23</v>
      </c>
      <c r="I166" s="2">
        <v>3</v>
      </c>
      <c r="J166" s="2"/>
      <c r="K166" s="2">
        <v>124762.5</v>
      </c>
      <c r="L166" s="35">
        <v>408099385.125</v>
      </c>
      <c r="M166" s="36">
        <v>1875</v>
      </c>
      <c r="N166" s="40">
        <v>2118933</v>
      </c>
      <c r="O166" s="40">
        <v>1349</v>
      </c>
      <c r="P166" s="40">
        <v>0</v>
      </c>
      <c r="Q166" s="40">
        <v>32793</v>
      </c>
      <c r="R166" s="40">
        <v>124365</v>
      </c>
      <c r="S166" s="40">
        <v>354356</v>
      </c>
      <c r="T166" s="40">
        <v>30000</v>
      </c>
      <c r="U166" s="40">
        <v>1069852.9411764699</v>
      </c>
      <c r="V166" s="40">
        <v>0</v>
      </c>
      <c r="W166" s="45">
        <v>3731648.9411764699</v>
      </c>
      <c r="X166" s="46">
        <v>0.91439709962647298</v>
      </c>
    </row>
    <row r="167" spans="1:24" s="4" customFormat="1" ht="15" customHeight="1">
      <c r="A167" s="28" t="s">
        <v>2168</v>
      </c>
      <c r="B167" s="29">
        <v>3271.01</v>
      </c>
      <c r="C167" s="30" t="s">
        <v>2601</v>
      </c>
      <c r="D167" s="2">
        <v>4950282862</v>
      </c>
      <c r="E167" s="2" t="s">
        <v>18</v>
      </c>
      <c r="F167" s="2" t="s">
        <v>2602</v>
      </c>
      <c r="G167" s="28" t="s">
        <v>5</v>
      </c>
      <c r="H167" s="2" t="s">
        <v>17</v>
      </c>
      <c r="I167" s="2">
        <v>1</v>
      </c>
      <c r="J167" s="2" t="s">
        <v>2603</v>
      </c>
      <c r="K167" s="2">
        <v>49672</v>
      </c>
      <c r="L167" s="35">
        <v>162477608.72</v>
      </c>
      <c r="M167" s="36">
        <v>2800</v>
      </c>
      <c r="N167" s="40">
        <v>47628.212658227902</v>
      </c>
      <c r="O167" s="40">
        <v>63281.417721518999</v>
      </c>
      <c r="P167" s="40">
        <v>0</v>
      </c>
      <c r="Q167" s="40">
        <v>14079.2506329114</v>
      </c>
      <c r="R167" s="40">
        <v>94135.493670886106</v>
      </c>
      <c r="S167" s="40">
        <v>50237.812658227798</v>
      </c>
      <c r="T167" s="40">
        <v>30000</v>
      </c>
      <c r="U167" s="40">
        <v>799672.91139240505</v>
      </c>
      <c r="V167" s="40">
        <v>0</v>
      </c>
      <c r="W167" s="45">
        <v>1099035.09873418</v>
      </c>
      <c r="X167" s="46">
        <v>0.67642249747050398</v>
      </c>
    </row>
    <row r="168" spans="1:24" s="4" customFormat="1" ht="15" customHeight="1">
      <c r="A168" s="28" t="s">
        <v>2168</v>
      </c>
      <c r="B168" s="29">
        <v>3271.01</v>
      </c>
      <c r="C168" s="30" t="s">
        <v>2601</v>
      </c>
      <c r="D168" s="2">
        <v>4950528079</v>
      </c>
      <c r="E168" s="2" t="s">
        <v>18</v>
      </c>
      <c r="F168" s="2" t="s">
        <v>2602</v>
      </c>
      <c r="G168" s="28" t="s">
        <v>5</v>
      </c>
      <c r="H168" s="2" t="s">
        <v>17</v>
      </c>
      <c r="I168" s="2">
        <v>1</v>
      </c>
      <c r="J168" s="2" t="s">
        <v>2603</v>
      </c>
      <c r="K168" s="2">
        <v>8928</v>
      </c>
      <c r="L168" s="35">
        <v>29203577.280000001</v>
      </c>
      <c r="M168" s="36">
        <v>9600</v>
      </c>
      <c r="N168" s="40">
        <v>163296.729113924</v>
      </c>
      <c r="O168" s="40">
        <v>216964.86075949401</v>
      </c>
      <c r="P168" s="40">
        <v>0</v>
      </c>
      <c r="Q168" s="40">
        <v>48271.716455696202</v>
      </c>
      <c r="R168" s="40">
        <v>322749.83544303803</v>
      </c>
      <c r="S168" s="40">
        <v>172243.92911392401</v>
      </c>
      <c r="T168" s="40">
        <v>30000</v>
      </c>
      <c r="U168" s="40">
        <v>2741735.6962025301</v>
      </c>
      <c r="V168" s="40">
        <v>0</v>
      </c>
      <c r="W168" s="45">
        <v>3695262.7670886102</v>
      </c>
      <c r="X168" s="46">
        <v>12.6534593062313</v>
      </c>
    </row>
    <row r="169" spans="1:24" s="4" customFormat="1" ht="15" customHeight="1">
      <c r="A169" s="28" t="s">
        <v>2168</v>
      </c>
      <c r="B169" s="29">
        <v>3271.01</v>
      </c>
      <c r="C169" s="30" t="s">
        <v>2601</v>
      </c>
      <c r="D169" s="2">
        <v>4950282865</v>
      </c>
      <c r="E169" s="2" t="s">
        <v>18</v>
      </c>
      <c r="F169" s="2" t="s">
        <v>2602</v>
      </c>
      <c r="G169" s="28" t="s">
        <v>5</v>
      </c>
      <c r="H169" s="2" t="s">
        <v>17</v>
      </c>
      <c r="I169" s="2">
        <v>1</v>
      </c>
      <c r="J169" s="2" t="s">
        <v>2603</v>
      </c>
      <c r="K169" s="2">
        <v>31311</v>
      </c>
      <c r="L169" s="35">
        <v>102418594.11</v>
      </c>
      <c r="M169" s="36">
        <v>7350</v>
      </c>
      <c r="N169" s="40">
        <v>125024.058227848</v>
      </c>
      <c r="O169" s="40">
        <v>166113.721518987</v>
      </c>
      <c r="P169" s="40">
        <v>0</v>
      </c>
      <c r="Q169" s="40">
        <v>36958.032911392402</v>
      </c>
      <c r="R169" s="40">
        <v>247915.670886076</v>
      </c>
      <c r="S169" s="40">
        <v>131874.25822784801</v>
      </c>
      <c r="T169" s="40">
        <v>30000</v>
      </c>
      <c r="U169" s="40">
        <v>2099141.3924050601</v>
      </c>
      <c r="V169" s="40">
        <v>0</v>
      </c>
      <c r="W169" s="45">
        <v>2837027.1341772098</v>
      </c>
      <c r="X169" s="46">
        <v>2.7700313198306299</v>
      </c>
    </row>
    <row r="170" spans="1:24" s="4" customFormat="1" ht="15" customHeight="1">
      <c r="A170" s="28" t="s">
        <v>2168</v>
      </c>
      <c r="B170" s="29">
        <v>3271.01</v>
      </c>
      <c r="C170" s="30" t="s">
        <v>2610</v>
      </c>
      <c r="D170" s="2">
        <v>4950133490</v>
      </c>
      <c r="E170" s="2" t="s">
        <v>18</v>
      </c>
      <c r="F170" s="2" t="s">
        <v>2611</v>
      </c>
      <c r="G170" s="28" t="s">
        <v>9</v>
      </c>
      <c r="H170" s="2" t="s">
        <v>23</v>
      </c>
      <c r="I170" s="2">
        <v>3</v>
      </c>
      <c r="J170" s="2"/>
      <c r="K170" s="2">
        <v>12138</v>
      </c>
      <c r="L170" s="35">
        <v>39703519.380000003</v>
      </c>
      <c r="M170" s="36">
        <v>600</v>
      </c>
      <c r="N170" s="40">
        <v>294364.13500000001</v>
      </c>
      <c r="O170" s="40">
        <v>821</v>
      </c>
      <c r="P170" s="40">
        <v>67206</v>
      </c>
      <c r="Q170" s="40">
        <v>10077.5</v>
      </c>
      <c r="R170" s="40">
        <v>191147</v>
      </c>
      <c r="S170" s="40">
        <v>177178</v>
      </c>
      <c r="T170" s="40">
        <v>30000</v>
      </c>
      <c r="U170" s="40">
        <v>514172.932330827</v>
      </c>
      <c r="V170" s="40">
        <v>0</v>
      </c>
      <c r="W170" s="45">
        <v>1284966.56733083</v>
      </c>
      <c r="X170" s="46">
        <v>3.23640470012869</v>
      </c>
    </row>
    <row r="171" spans="1:24" s="4" customFormat="1" ht="15" customHeight="1">
      <c r="A171" s="28" t="s">
        <v>2168</v>
      </c>
      <c r="B171" s="29">
        <v>3271.01</v>
      </c>
      <c r="C171" s="30" t="s">
        <v>2610</v>
      </c>
      <c r="D171" s="2">
        <v>4950282858</v>
      </c>
      <c r="E171" s="2" t="s">
        <v>18</v>
      </c>
      <c r="F171" s="2" t="s">
        <v>2611</v>
      </c>
      <c r="G171" s="28" t="s">
        <v>9</v>
      </c>
      <c r="H171" s="2" t="s">
        <v>23</v>
      </c>
      <c r="I171" s="2">
        <v>3</v>
      </c>
      <c r="J171" s="2"/>
      <c r="K171" s="2">
        <v>3679</v>
      </c>
      <c r="L171" s="35">
        <v>12034045.789999999</v>
      </c>
      <c r="M171" s="36">
        <v>100</v>
      </c>
      <c r="N171" s="40">
        <v>49060.6891666667</v>
      </c>
      <c r="O171" s="40">
        <v>136.833333333333</v>
      </c>
      <c r="P171" s="40">
        <v>11201</v>
      </c>
      <c r="Q171" s="40">
        <v>1679.5833333333301</v>
      </c>
      <c r="R171" s="40">
        <v>31857.833333333299</v>
      </c>
      <c r="S171" s="40">
        <v>29529.666666666701</v>
      </c>
      <c r="T171" s="40">
        <v>30000</v>
      </c>
      <c r="U171" s="40">
        <v>85695.488721804504</v>
      </c>
      <c r="V171" s="40">
        <v>0</v>
      </c>
      <c r="W171" s="45">
        <v>239161.094555138</v>
      </c>
      <c r="X171" s="46">
        <v>1.9873706542971199</v>
      </c>
    </row>
    <row r="172" spans="1:24" s="4" customFormat="1" ht="15" customHeight="1">
      <c r="A172" s="28" t="s">
        <v>2168</v>
      </c>
      <c r="B172" s="29">
        <v>3271.01</v>
      </c>
      <c r="C172" s="30" t="s">
        <v>2610</v>
      </c>
      <c r="D172" s="2">
        <v>4950285785</v>
      </c>
      <c r="E172" s="2" t="s">
        <v>18</v>
      </c>
      <c r="F172" s="2" t="s">
        <v>2611</v>
      </c>
      <c r="G172" s="28" t="s">
        <v>9</v>
      </c>
      <c r="H172" s="2" t="s">
        <v>23</v>
      </c>
      <c r="I172" s="2">
        <v>3</v>
      </c>
      <c r="J172" s="2"/>
      <c r="K172" s="2">
        <v>12435</v>
      </c>
      <c r="L172" s="35">
        <v>40675009.350000001</v>
      </c>
      <c r="M172" s="36">
        <v>500</v>
      </c>
      <c r="N172" s="40">
        <v>245303.44583333301</v>
      </c>
      <c r="O172" s="40">
        <v>684.16666666666697</v>
      </c>
      <c r="P172" s="40">
        <v>56005</v>
      </c>
      <c r="Q172" s="40">
        <v>8397.9166666666697</v>
      </c>
      <c r="R172" s="40">
        <v>159289.16666666701</v>
      </c>
      <c r="S172" s="40">
        <v>147648.33333333299</v>
      </c>
      <c r="T172" s="40">
        <v>30000</v>
      </c>
      <c r="U172" s="40">
        <v>428477.443609023</v>
      </c>
      <c r="V172" s="40">
        <v>0</v>
      </c>
      <c r="W172" s="45">
        <v>1075805.47277569</v>
      </c>
      <c r="X172" s="46">
        <v>2.6448807018545599</v>
      </c>
    </row>
    <row r="173" spans="1:24" s="4" customFormat="1" ht="15" customHeight="1">
      <c r="A173" s="28" t="s">
        <v>2168</v>
      </c>
      <c r="B173" s="29">
        <v>3271.01</v>
      </c>
      <c r="C173" s="30" t="s">
        <v>2643</v>
      </c>
      <c r="D173" s="2">
        <v>4950282872</v>
      </c>
      <c r="E173" s="2" t="s">
        <v>18</v>
      </c>
      <c r="F173" s="2" t="s">
        <v>2644</v>
      </c>
      <c r="G173" s="28" t="s">
        <v>9</v>
      </c>
      <c r="H173" s="2" t="s">
        <v>23</v>
      </c>
      <c r="I173" s="2">
        <v>2</v>
      </c>
      <c r="J173" s="2"/>
      <c r="K173" s="2">
        <v>7560</v>
      </c>
      <c r="L173" s="35">
        <v>24728835.600000001</v>
      </c>
      <c r="M173" s="36">
        <v>2000</v>
      </c>
      <c r="N173" s="40">
        <v>828376</v>
      </c>
      <c r="O173" s="40">
        <v>1370</v>
      </c>
      <c r="P173" s="40">
        <v>0</v>
      </c>
      <c r="Q173" s="40">
        <v>41071</v>
      </c>
      <c r="R173" s="40">
        <v>132557</v>
      </c>
      <c r="S173" s="40">
        <v>354356</v>
      </c>
      <c r="T173" s="40">
        <v>30000</v>
      </c>
      <c r="U173" s="40">
        <v>834200</v>
      </c>
      <c r="V173" s="40">
        <v>0</v>
      </c>
      <c r="W173" s="45">
        <v>2221930</v>
      </c>
      <c r="X173" s="46">
        <v>8.9851784206127405</v>
      </c>
    </row>
    <row r="174" spans="1:24" s="4" customFormat="1" ht="15" customHeight="1">
      <c r="A174" s="28" t="s">
        <v>2168</v>
      </c>
      <c r="B174" s="29">
        <v>3271.01</v>
      </c>
      <c r="C174" s="30" t="s">
        <v>2645</v>
      </c>
      <c r="D174" s="2">
        <v>4950282859</v>
      </c>
      <c r="E174" s="2" t="s">
        <v>18</v>
      </c>
      <c r="F174" s="2" t="s">
        <v>2646</v>
      </c>
      <c r="G174" s="28" t="s">
        <v>9</v>
      </c>
      <c r="H174" s="2" t="s">
        <v>23</v>
      </c>
      <c r="I174" s="2">
        <v>5</v>
      </c>
      <c r="J174" s="2"/>
      <c r="K174" s="2">
        <v>9030</v>
      </c>
      <c r="L174" s="35">
        <v>29537220.300000001</v>
      </c>
      <c r="M174" s="36">
        <v>3000</v>
      </c>
      <c r="N174" s="40">
        <v>842079</v>
      </c>
      <c r="O174" s="40">
        <v>2105</v>
      </c>
      <c r="P174" s="40">
        <v>0</v>
      </c>
      <c r="Q174" s="40">
        <v>49981</v>
      </c>
      <c r="R174" s="40">
        <v>280867</v>
      </c>
      <c r="S174" s="40">
        <v>354356</v>
      </c>
      <c r="T174" s="40">
        <v>30000</v>
      </c>
      <c r="U174" s="40">
        <v>1251300</v>
      </c>
      <c r="V174" s="40">
        <v>0</v>
      </c>
      <c r="W174" s="45">
        <v>2810688</v>
      </c>
      <c r="X174" s="46">
        <v>9.51574986221706</v>
      </c>
    </row>
    <row r="175" spans="1:24" s="4" customFormat="1" ht="15" customHeight="1">
      <c r="A175" s="28" t="s">
        <v>2168</v>
      </c>
      <c r="B175" s="29">
        <v>3271.01</v>
      </c>
      <c r="C175" s="30" t="s">
        <v>2671</v>
      </c>
      <c r="D175" s="2">
        <v>4950342622</v>
      </c>
      <c r="E175" s="2" t="s">
        <v>18</v>
      </c>
      <c r="F175" s="2" t="s">
        <v>2672</v>
      </c>
      <c r="G175" s="28" t="s">
        <v>9</v>
      </c>
      <c r="H175" s="2" t="s">
        <v>23</v>
      </c>
      <c r="I175" s="2">
        <v>1</v>
      </c>
      <c r="J175" s="2"/>
      <c r="K175" s="2">
        <v>3858.4</v>
      </c>
      <c r="L175" s="35">
        <v>12620864.983999999</v>
      </c>
      <c r="M175" s="36">
        <v>260</v>
      </c>
      <c r="N175" s="40">
        <v>453728</v>
      </c>
      <c r="O175" s="40">
        <v>396</v>
      </c>
      <c r="P175" s="40">
        <v>122134</v>
      </c>
      <c r="Q175" s="40">
        <v>4895</v>
      </c>
      <c r="R175" s="40">
        <v>369693</v>
      </c>
      <c r="S175" s="40">
        <v>354356</v>
      </c>
      <c r="T175" s="40">
        <v>30000</v>
      </c>
      <c r="U175" s="40">
        <v>156487.734487735</v>
      </c>
      <c r="V175" s="40">
        <v>0</v>
      </c>
      <c r="W175" s="45">
        <v>1491689.7344877301</v>
      </c>
      <c r="X175" s="46">
        <v>11.8192353406744</v>
      </c>
    </row>
    <row r="176" spans="1:24" s="4" customFormat="1" ht="15" customHeight="1">
      <c r="A176" s="28" t="s">
        <v>2168</v>
      </c>
      <c r="B176" s="29">
        <v>3271.01</v>
      </c>
      <c r="C176" s="30" t="s">
        <v>2673</v>
      </c>
      <c r="D176" s="2">
        <v>4949980089</v>
      </c>
      <c r="E176" s="2" t="s">
        <v>18</v>
      </c>
      <c r="F176" s="2" t="s">
        <v>2273</v>
      </c>
      <c r="G176" s="28" t="s">
        <v>9</v>
      </c>
      <c r="H176" s="2" t="s">
        <v>23</v>
      </c>
      <c r="I176" s="2">
        <v>1</v>
      </c>
      <c r="J176" s="2"/>
      <c r="K176" s="2">
        <v>4187.5</v>
      </c>
      <c r="L176" s="35">
        <v>13697354.375</v>
      </c>
      <c r="M176" s="36">
        <v>625</v>
      </c>
      <c r="N176" s="40">
        <v>11984</v>
      </c>
      <c r="O176" s="40">
        <v>434</v>
      </c>
      <c r="P176" s="40">
        <v>308890</v>
      </c>
      <c r="Q176" s="40">
        <v>10655</v>
      </c>
      <c r="R176" s="40">
        <v>96766</v>
      </c>
      <c r="S176" s="40">
        <v>354356</v>
      </c>
      <c r="T176" s="40">
        <v>30000</v>
      </c>
      <c r="U176" s="40">
        <v>376172.43867243902</v>
      </c>
      <c r="V176" s="40">
        <v>0</v>
      </c>
      <c r="W176" s="45">
        <v>1189257.4386724399</v>
      </c>
      <c r="X176" s="46">
        <v>8.6823878985202896</v>
      </c>
    </row>
    <row r="178" spans="1:24" ht="15" customHeight="1">
      <c r="A178" s="31" t="s">
        <v>2168</v>
      </c>
      <c r="B178" s="31"/>
      <c r="C178" s="31"/>
      <c r="D178" s="31"/>
      <c r="E178" s="31"/>
      <c r="F178" s="32">
        <v>23</v>
      </c>
      <c r="G178" s="31"/>
      <c r="H178" s="31"/>
      <c r="I178" s="38"/>
      <c r="J178" s="31"/>
      <c r="K178" s="39">
        <f>+SUM(K139:K176)</f>
        <v>2092100.9</v>
      </c>
      <c r="L178" s="39">
        <f>+SUM(L139:L176)</f>
        <v>6843282964.9090023</v>
      </c>
      <c r="M178" s="31"/>
      <c r="N178" s="39"/>
      <c r="O178" s="39"/>
      <c r="P178" s="39"/>
      <c r="Q178" s="39"/>
      <c r="R178" s="39"/>
      <c r="S178" s="39"/>
      <c r="T178" s="39"/>
      <c r="U178" s="39"/>
      <c r="V178" s="31"/>
      <c r="W178" s="39">
        <f>+SUM(W139:W176)</f>
        <v>126713603.46332726</v>
      </c>
      <c r="X178" s="47">
        <f>(W178/L178)*100</f>
        <v>1.8516493342901279</v>
      </c>
    </row>
    <row r="180" spans="1:24" s="4" customFormat="1" ht="15" customHeight="1">
      <c r="A180" s="28" t="s">
        <v>2682</v>
      </c>
      <c r="B180" s="29">
        <v>3278.81</v>
      </c>
      <c r="C180" s="30" t="s">
        <v>2692</v>
      </c>
      <c r="D180" s="2">
        <v>4950285373</v>
      </c>
      <c r="E180" s="2" t="s">
        <v>18</v>
      </c>
      <c r="F180" s="2" t="s">
        <v>2693</v>
      </c>
      <c r="G180" s="28" t="s">
        <v>5</v>
      </c>
      <c r="H180" s="2" t="s">
        <v>35</v>
      </c>
      <c r="I180" s="2">
        <v>1</v>
      </c>
      <c r="J180" s="2" t="s">
        <v>2694</v>
      </c>
      <c r="K180" s="2">
        <v>49906.25</v>
      </c>
      <c r="L180" s="35">
        <v>163633111.5625</v>
      </c>
      <c r="M180" s="36">
        <v>3125</v>
      </c>
      <c r="N180" s="40">
        <v>73987.654320987698</v>
      </c>
      <c r="O180" s="40">
        <v>98114.417989417998</v>
      </c>
      <c r="P180" s="40">
        <v>0</v>
      </c>
      <c r="Q180" s="40">
        <v>24092.151675485002</v>
      </c>
      <c r="R180" s="40">
        <v>2067.6161501998999</v>
      </c>
      <c r="S180" s="40">
        <v>78120.811287477904</v>
      </c>
      <c r="T180" s="40">
        <v>30000</v>
      </c>
      <c r="U180" s="40">
        <v>1819124.7795414501</v>
      </c>
      <c r="V180" s="40">
        <v>0</v>
      </c>
      <c r="W180" s="45">
        <v>2125507.4309650199</v>
      </c>
      <c r="X180" s="46">
        <v>1.29894702280545</v>
      </c>
    </row>
    <row r="181" spans="1:24" s="4" customFormat="1" ht="15" customHeight="1">
      <c r="A181" s="28" t="s">
        <v>2682</v>
      </c>
      <c r="B181" s="29">
        <v>3278.81</v>
      </c>
      <c r="C181" s="30" t="s">
        <v>2692</v>
      </c>
      <c r="D181" s="2">
        <v>4950721714</v>
      </c>
      <c r="E181" s="2" t="s">
        <v>18</v>
      </c>
      <c r="F181" s="2" t="s">
        <v>2693</v>
      </c>
      <c r="G181" s="28" t="s">
        <v>5</v>
      </c>
      <c r="H181" s="2" t="s">
        <v>35</v>
      </c>
      <c r="I181" s="2">
        <v>1</v>
      </c>
      <c r="J181" s="2" t="s">
        <v>2694</v>
      </c>
      <c r="K181" s="2">
        <v>41448</v>
      </c>
      <c r="L181" s="35">
        <v>135900116.88</v>
      </c>
      <c r="M181" s="36">
        <v>2400</v>
      </c>
      <c r="N181" s="40">
        <v>56822.518518518496</v>
      </c>
      <c r="O181" s="40">
        <v>75351.873015873003</v>
      </c>
      <c r="P181" s="40">
        <v>0</v>
      </c>
      <c r="Q181" s="40">
        <v>18502.772486772501</v>
      </c>
      <c r="R181" s="40">
        <v>470634</v>
      </c>
      <c r="S181" s="40">
        <v>59996.783068783101</v>
      </c>
      <c r="T181" s="40">
        <v>30000</v>
      </c>
      <c r="U181" s="40">
        <v>1397087.83068783</v>
      </c>
      <c r="V181" s="40">
        <v>0</v>
      </c>
      <c r="W181" s="45">
        <v>2108395.7777777798</v>
      </c>
      <c r="X181" s="46">
        <v>1.5514304374289001</v>
      </c>
    </row>
    <row r="182" spans="1:24" s="4" customFormat="1" ht="15" customHeight="1">
      <c r="A182" s="28" t="s">
        <v>2682</v>
      </c>
      <c r="B182" s="29">
        <v>3278.81</v>
      </c>
      <c r="C182" s="30" t="s">
        <v>2692</v>
      </c>
      <c r="D182" s="2">
        <v>4950282865</v>
      </c>
      <c r="E182" s="2" t="s">
        <v>18</v>
      </c>
      <c r="F182" s="2" t="s">
        <v>2693</v>
      </c>
      <c r="G182" s="28" t="s">
        <v>5</v>
      </c>
      <c r="H182" s="2" t="s">
        <v>35</v>
      </c>
      <c r="I182" s="2">
        <v>1</v>
      </c>
      <c r="J182" s="2" t="s">
        <v>2694</v>
      </c>
      <c r="K182" s="2">
        <v>36849</v>
      </c>
      <c r="L182" s="35">
        <v>120820869.69</v>
      </c>
      <c r="M182" s="36">
        <v>8650</v>
      </c>
      <c r="N182" s="40">
        <v>204797.82716049399</v>
      </c>
      <c r="O182" s="40">
        <v>271580.70899470901</v>
      </c>
      <c r="P182" s="40">
        <v>0</v>
      </c>
      <c r="Q182" s="40">
        <v>66687.075837742494</v>
      </c>
      <c r="R182" s="40">
        <v>650208.21507734398</v>
      </c>
      <c r="S182" s="40">
        <v>216238.40564373901</v>
      </c>
      <c r="T182" s="40">
        <v>30000</v>
      </c>
      <c r="U182" s="40">
        <v>5035337.3897707202</v>
      </c>
      <c r="V182" s="40">
        <v>0</v>
      </c>
      <c r="W182" s="45">
        <v>6474849.6224847501</v>
      </c>
      <c r="X182" s="46">
        <v>5.3590490112327496</v>
      </c>
    </row>
    <row r="183" spans="1:24" s="4" customFormat="1" ht="15" customHeight="1">
      <c r="A183" s="28" t="s">
        <v>2682</v>
      </c>
      <c r="B183" s="29">
        <v>3278.81</v>
      </c>
      <c r="C183" s="30" t="s">
        <v>2748</v>
      </c>
      <c r="D183" s="2">
        <v>4950758959</v>
      </c>
      <c r="E183" s="2" t="s">
        <v>18</v>
      </c>
      <c r="F183" s="2" t="s">
        <v>2749</v>
      </c>
      <c r="G183" s="28" t="s">
        <v>5</v>
      </c>
      <c r="H183" s="2" t="s">
        <v>17</v>
      </c>
      <c r="I183" s="2">
        <v>1</v>
      </c>
      <c r="J183" s="2" t="s">
        <v>2750</v>
      </c>
      <c r="K183" s="2">
        <v>68160</v>
      </c>
      <c r="L183" s="35">
        <v>223483689.59999999</v>
      </c>
      <c r="M183" s="36">
        <v>16000</v>
      </c>
      <c r="N183" s="40">
        <v>335608</v>
      </c>
      <c r="O183" s="40">
        <v>435751</v>
      </c>
      <c r="P183" s="40">
        <v>0</v>
      </c>
      <c r="Q183" s="40">
        <v>110000</v>
      </c>
      <c r="R183" s="40">
        <v>656912</v>
      </c>
      <c r="S183" s="40">
        <v>354356</v>
      </c>
      <c r="T183" s="40">
        <v>30000</v>
      </c>
      <c r="U183" s="40">
        <v>5446550</v>
      </c>
      <c r="V183" s="40">
        <v>0</v>
      </c>
      <c r="W183" s="45">
        <v>7369177</v>
      </c>
      <c r="X183" s="46">
        <v>3.2974115530263699</v>
      </c>
    </row>
    <row r="184" spans="1:24" s="4" customFormat="1" ht="15" customHeight="1">
      <c r="A184" s="28" t="s">
        <v>2682</v>
      </c>
      <c r="B184" s="29">
        <v>3278.81</v>
      </c>
      <c r="C184" s="30" t="s">
        <v>2754</v>
      </c>
      <c r="D184" s="2">
        <v>4950282867</v>
      </c>
      <c r="E184" s="2" t="s">
        <v>18</v>
      </c>
      <c r="F184" s="2" t="s">
        <v>2755</v>
      </c>
      <c r="G184" s="28" t="s">
        <v>5</v>
      </c>
      <c r="H184" s="2" t="s">
        <v>17</v>
      </c>
      <c r="I184" s="2">
        <v>1</v>
      </c>
      <c r="J184" s="2" t="s">
        <v>2756</v>
      </c>
      <c r="K184" s="2">
        <v>68160</v>
      </c>
      <c r="L184" s="35">
        <v>223483689.59999999</v>
      </c>
      <c r="M184" s="36">
        <v>16000</v>
      </c>
      <c r="N184" s="40">
        <v>399316</v>
      </c>
      <c r="O184" s="40">
        <v>435751</v>
      </c>
      <c r="P184" s="40">
        <v>0</v>
      </c>
      <c r="Q184" s="40">
        <v>110000</v>
      </c>
      <c r="R184" s="40">
        <v>752448</v>
      </c>
      <c r="S184" s="40">
        <v>354356</v>
      </c>
      <c r="T184" s="40">
        <v>30000</v>
      </c>
      <c r="U184" s="40">
        <v>5446550</v>
      </c>
      <c r="V184" s="40">
        <v>0</v>
      </c>
      <c r="W184" s="45">
        <v>7528421</v>
      </c>
      <c r="X184" s="46">
        <v>3.3686668648949998</v>
      </c>
    </row>
    <row r="185" spans="1:24" s="4" customFormat="1" ht="15" customHeight="1">
      <c r="A185" s="28" t="s">
        <v>2682</v>
      </c>
      <c r="B185" s="29">
        <v>3278.81</v>
      </c>
      <c r="C185" s="30" t="s">
        <v>2767</v>
      </c>
      <c r="D185" s="2">
        <v>4950282869</v>
      </c>
      <c r="E185" s="2" t="s">
        <v>18</v>
      </c>
      <c r="F185" s="2" t="s">
        <v>2768</v>
      </c>
      <c r="G185" s="28" t="s">
        <v>5</v>
      </c>
      <c r="H185" s="2" t="s">
        <v>17</v>
      </c>
      <c r="I185" s="2">
        <v>1</v>
      </c>
      <c r="J185" s="2" t="s">
        <v>2769</v>
      </c>
      <c r="K185" s="2">
        <v>11000</v>
      </c>
      <c r="L185" s="35">
        <v>36066910</v>
      </c>
      <c r="M185" s="36">
        <v>10000</v>
      </c>
      <c r="N185" s="40">
        <v>221841.11111111101</v>
      </c>
      <c r="O185" s="40">
        <v>242083.88888888899</v>
      </c>
      <c r="P185" s="40">
        <v>0</v>
      </c>
      <c r="Q185" s="40">
        <v>61111.111111111102</v>
      </c>
      <c r="R185" s="40">
        <v>419693.22222222202</v>
      </c>
      <c r="S185" s="40">
        <v>196864.444444444</v>
      </c>
      <c r="T185" s="40">
        <v>30000</v>
      </c>
      <c r="U185" s="40">
        <v>3025861.1111111101</v>
      </c>
      <c r="V185" s="40">
        <v>0</v>
      </c>
      <c r="W185" s="45">
        <v>4197454.8888888899</v>
      </c>
      <c r="X185" s="46">
        <v>11.6379664598073</v>
      </c>
    </row>
    <row r="186" spans="1:24" s="4" customFormat="1" ht="15" customHeight="1">
      <c r="A186" s="28" t="s">
        <v>2682</v>
      </c>
      <c r="B186" s="29">
        <v>3278.81</v>
      </c>
      <c r="C186" s="30" t="s">
        <v>2767</v>
      </c>
      <c r="D186" s="2">
        <v>4950282868</v>
      </c>
      <c r="E186" s="2" t="s">
        <v>18</v>
      </c>
      <c r="F186" s="2" t="s">
        <v>2768</v>
      </c>
      <c r="G186" s="28" t="s">
        <v>5</v>
      </c>
      <c r="H186" s="2" t="s">
        <v>17</v>
      </c>
      <c r="I186" s="2">
        <v>1</v>
      </c>
      <c r="J186" s="2" t="s">
        <v>2769</v>
      </c>
      <c r="K186" s="2">
        <v>34880</v>
      </c>
      <c r="L186" s="35">
        <v>114364892.8</v>
      </c>
      <c r="M186" s="36">
        <v>8000</v>
      </c>
      <c r="N186" s="40">
        <v>177472.88888888899</v>
      </c>
      <c r="O186" s="40">
        <v>193667.11111111101</v>
      </c>
      <c r="P186" s="40">
        <v>0</v>
      </c>
      <c r="Q186" s="40">
        <v>48888.888888888898</v>
      </c>
      <c r="R186" s="40">
        <v>335754.77777777798</v>
      </c>
      <c r="S186" s="40">
        <v>157491.555555556</v>
      </c>
      <c r="T186" s="40">
        <v>30000</v>
      </c>
      <c r="U186" s="40">
        <v>2420688.8888888899</v>
      </c>
      <c r="V186" s="40">
        <v>0</v>
      </c>
      <c r="W186" s="45">
        <v>3363964.1111111101</v>
      </c>
      <c r="X186" s="46">
        <v>2.94143073870928</v>
      </c>
    </row>
    <row r="187" spans="1:24" s="4" customFormat="1" ht="15" customHeight="1">
      <c r="A187" s="28" t="s">
        <v>2682</v>
      </c>
      <c r="B187" s="29">
        <v>3278.81</v>
      </c>
      <c r="C187" s="30" t="s">
        <v>2782</v>
      </c>
      <c r="D187" s="2">
        <v>4950282866</v>
      </c>
      <c r="E187" s="2" t="s">
        <v>18</v>
      </c>
      <c r="F187" s="2" t="s">
        <v>2783</v>
      </c>
      <c r="G187" s="28" t="s">
        <v>5</v>
      </c>
      <c r="H187" s="2" t="s">
        <v>17</v>
      </c>
      <c r="I187" s="2">
        <v>1</v>
      </c>
      <c r="J187" s="2" t="s">
        <v>2784</v>
      </c>
      <c r="K187" s="2">
        <v>69760</v>
      </c>
      <c r="L187" s="35">
        <v>228729785.59999999</v>
      </c>
      <c r="M187" s="36">
        <v>16000</v>
      </c>
      <c r="N187" s="40">
        <v>339384</v>
      </c>
      <c r="O187" s="40">
        <v>435751</v>
      </c>
      <c r="P187" s="40">
        <v>0</v>
      </c>
      <c r="Q187" s="40">
        <v>110000</v>
      </c>
      <c r="R187" s="40">
        <v>752209</v>
      </c>
      <c r="S187" s="40">
        <v>354356</v>
      </c>
      <c r="T187" s="40">
        <v>30000</v>
      </c>
      <c r="U187" s="40">
        <v>5446550</v>
      </c>
      <c r="V187" s="40">
        <v>0</v>
      </c>
      <c r="W187" s="45">
        <v>7468250</v>
      </c>
      <c r="X187" s="46">
        <v>3.26509727642572</v>
      </c>
    </row>
    <row r="188" spans="1:24" s="4" customFormat="1" ht="15" customHeight="1">
      <c r="A188" s="28" t="s">
        <v>2682</v>
      </c>
      <c r="B188" s="29">
        <v>3278.81</v>
      </c>
      <c r="C188" s="30" t="s">
        <v>2909</v>
      </c>
      <c r="D188" s="2">
        <v>4950899752</v>
      </c>
      <c r="E188" s="2" t="s">
        <v>18</v>
      </c>
      <c r="F188" s="2" t="s">
        <v>2910</v>
      </c>
      <c r="G188" s="28" t="s">
        <v>9</v>
      </c>
      <c r="H188" s="2" t="s">
        <v>23</v>
      </c>
      <c r="I188" s="2">
        <v>1</v>
      </c>
      <c r="J188" s="2"/>
      <c r="K188" s="2">
        <v>3787</v>
      </c>
      <c r="L188" s="35">
        <v>12416853.470000001</v>
      </c>
      <c r="M188" s="36">
        <v>100</v>
      </c>
      <c r="N188" s="40">
        <v>60075.6</v>
      </c>
      <c r="O188" s="40">
        <v>138.1</v>
      </c>
      <c r="P188" s="40">
        <v>2157.3000000000002</v>
      </c>
      <c r="Q188" s="40">
        <v>1679.3</v>
      </c>
      <c r="R188" s="40">
        <v>38280.800000000003</v>
      </c>
      <c r="S188" s="40">
        <v>35435.599999999999</v>
      </c>
      <c r="T188" s="40">
        <v>30000</v>
      </c>
      <c r="U188" s="40">
        <v>131701.40845070401</v>
      </c>
      <c r="V188" s="40">
        <v>0</v>
      </c>
      <c r="W188" s="45">
        <v>299468.10845070402</v>
      </c>
      <c r="X188" s="46">
        <v>2.411787407931</v>
      </c>
    </row>
    <row r="189" spans="1:24" s="4" customFormat="1" ht="15" customHeight="1">
      <c r="A189" s="28" t="s">
        <v>2682</v>
      </c>
      <c r="B189" s="29">
        <v>3278.81</v>
      </c>
      <c r="C189" s="30" t="s">
        <v>2909</v>
      </c>
      <c r="D189" s="2">
        <v>4950899759</v>
      </c>
      <c r="E189" s="2" t="s">
        <v>18</v>
      </c>
      <c r="F189" s="2" t="s">
        <v>2910</v>
      </c>
      <c r="G189" s="28" t="s">
        <v>9</v>
      </c>
      <c r="H189" s="2" t="s">
        <v>23</v>
      </c>
      <c r="I189" s="2">
        <v>1</v>
      </c>
      <c r="J189" s="2"/>
      <c r="K189" s="2">
        <v>25587</v>
      </c>
      <c r="L189" s="35">
        <v>83894911.469999999</v>
      </c>
      <c r="M189" s="36">
        <v>900</v>
      </c>
      <c r="N189" s="40">
        <v>540680.4</v>
      </c>
      <c r="O189" s="40">
        <v>1242.9000000000001</v>
      </c>
      <c r="P189" s="40">
        <v>19415.7</v>
      </c>
      <c r="Q189" s="40">
        <v>15113.7</v>
      </c>
      <c r="R189" s="40">
        <v>344527.2</v>
      </c>
      <c r="S189" s="40">
        <v>318920.40000000002</v>
      </c>
      <c r="T189" s="40">
        <v>30000</v>
      </c>
      <c r="U189" s="40">
        <v>1185312.6760563401</v>
      </c>
      <c r="V189" s="40">
        <v>0</v>
      </c>
      <c r="W189" s="45">
        <v>2455212.9760563402</v>
      </c>
      <c r="X189" s="46">
        <v>2.92653384220365</v>
      </c>
    </row>
    <row r="190" spans="1:24" s="4" customFormat="1" ht="15" customHeight="1">
      <c r="A190" s="28" t="s">
        <v>2682</v>
      </c>
      <c r="B190" s="29">
        <v>3278.81</v>
      </c>
      <c r="C190" s="30" t="s">
        <v>2913</v>
      </c>
      <c r="D190" s="2">
        <v>4950899240</v>
      </c>
      <c r="E190" s="2" t="s">
        <v>18</v>
      </c>
      <c r="F190" s="2" t="s">
        <v>2914</v>
      </c>
      <c r="G190" s="28" t="s">
        <v>9</v>
      </c>
      <c r="H190" s="2" t="s">
        <v>23</v>
      </c>
      <c r="I190" s="2">
        <v>1</v>
      </c>
      <c r="J190" s="2"/>
      <c r="K190" s="2">
        <v>14124</v>
      </c>
      <c r="L190" s="35">
        <v>46309912.439999998</v>
      </c>
      <c r="M190" s="36">
        <v>275</v>
      </c>
      <c r="N190" s="40">
        <v>470562</v>
      </c>
      <c r="O190" s="40">
        <v>395</v>
      </c>
      <c r="P190" s="40">
        <v>5919</v>
      </c>
      <c r="Q190" s="40">
        <v>5830</v>
      </c>
      <c r="R190" s="40">
        <v>373723</v>
      </c>
      <c r="S190" s="40">
        <v>354356</v>
      </c>
      <c r="T190" s="40">
        <v>30000</v>
      </c>
      <c r="U190" s="40">
        <v>362178.873239437</v>
      </c>
      <c r="V190" s="40">
        <v>0</v>
      </c>
      <c r="W190" s="45">
        <v>1602963.8732394399</v>
      </c>
      <c r="X190" s="46">
        <v>3.4613839430516502</v>
      </c>
    </row>
    <row r="191" spans="1:24" s="4" customFormat="1" ht="15" customHeight="1">
      <c r="A191" s="28" t="s">
        <v>2682</v>
      </c>
      <c r="B191" s="29">
        <v>3278.81</v>
      </c>
      <c r="C191" s="30" t="s">
        <v>2948</v>
      </c>
      <c r="D191" s="2">
        <v>4950899447</v>
      </c>
      <c r="E191" s="2" t="s">
        <v>18</v>
      </c>
      <c r="F191" s="2" t="s">
        <v>2949</v>
      </c>
      <c r="G191" s="28" t="s">
        <v>9</v>
      </c>
      <c r="H191" s="2" t="s">
        <v>23</v>
      </c>
      <c r="I191" s="2">
        <v>3</v>
      </c>
      <c r="J191" s="2"/>
      <c r="K191" s="2">
        <v>5490</v>
      </c>
      <c r="L191" s="35">
        <v>18000666.899999999</v>
      </c>
      <c r="M191" s="36">
        <v>1800</v>
      </c>
      <c r="N191" s="40">
        <v>659810</v>
      </c>
      <c r="O191" s="40">
        <v>1235</v>
      </c>
      <c r="P191" s="40">
        <v>0</v>
      </c>
      <c r="Q191" s="40">
        <v>300686</v>
      </c>
      <c r="R191" s="40">
        <v>259272</v>
      </c>
      <c r="S191" s="40">
        <v>354356</v>
      </c>
      <c r="T191" s="40">
        <v>30000</v>
      </c>
      <c r="U191" s="40">
        <v>962538.46153846197</v>
      </c>
      <c r="V191" s="40">
        <v>0</v>
      </c>
      <c r="W191" s="45">
        <v>2567897.4615384601</v>
      </c>
      <c r="X191" s="46">
        <v>14.2655684692352</v>
      </c>
    </row>
    <row r="192" spans="1:24" s="4" customFormat="1" ht="15" customHeight="1">
      <c r="A192" s="28" t="s">
        <v>2682</v>
      </c>
      <c r="B192" s="29">
        <v>3278.81</v>
      </c>
      <c r="C192" s="30" t="s">
        <v>2950</v>
      </c>
      <c r="D192" s="2">
        <v>4950372293</v>
      </c>
      <c r="E192" s="2" t="s">
        <v>18</v>
      </c>
      <c r="F192" s="2" t="s">
        <v>2951</v>
      </c>
      <c r="G192" s="28" t="s">
        <v>5</v>
      </c>
      <c r="H192" s="2" t="s">
        <v>35</v>
      </c>
      <c r="I192" s="2">
        <v>1</v>
      </c>
      <c r="J192" s="2" t="s">
        <v>2952</v>
      </c>
      <c r="K192" s="2">
        <v>25536</v>
      </c>
      <c r="L192" s="35">
        <v>83727692.159999996</v>
      </c>
      <c r="M192" s="36">
        <v>2400</v>
      </c>
      <c r="N192" s="40">
        <v>60990.181818181802</v>
      </c>
      <c r="O192" s="40">
        <v>77024</v>
      </c>
      <c r="P192" s="40">
        <v>0</v>
      </c>
      <c r="Q192" s="40">
        <v>20000</v>
      </c>
      <c r="R192" s="40">
        <v>633990.90909090894</v>
      </c>
      <c r="S192" s="40">
        <v>64428.363636363603</v>
      </c>
      <c r="T192" s="40">
        <v>30000</v>
      </c>
      <c r="U192" s="40">
        <v>1500281.81818182</v>
      </c>
      <c r="V192" s="40">
        <v>0</v>
      </c>
      <c r="W192" s="45">
        <v>2386715.2727272701</v>
      </c>
      <c r="X192" s="46">
        <v>2.8505685647782601</v>
      </c>
    </row>
    <row r="193" spans="1:24" s="4" customFormat="1" ht="15" customHeight="1">
      <c r="A193" s="28" t="s">
        <v>2682</v>
      </c>
      <c r="B193" s="29">
        <v>3278.81</v>
      </c>
      <c r="C193" s="30" t="s">
        <v>2950</v>
      </c>
      <c r="D193" s="2">
        <v>4951017915</v>
      </c>
      <c r="E193" s="2" t="s">
        <v>18</v>
      </c>
      <c r="F193" s="2" t="s">
        <v>2951</v>
      </c>
      <c r="G193" s="28" t="s">
        <v>5</v>
      </c>
      <c r="H193" s="2" t="s">
        <v>35</v>
      </c>
      <c r="I193" s="2">
        <v>1</v>
      </c>
      <c r="J193" s="2" t="s">
        <v>2952</v>
      </c>
      <c r="K193" s="2">
        <v>12312</v>
      </c>
      <c r="L193" s="35">
        <v>40368708.719999999</v>
      </c>
      <c r="M193" s="36">
        <v>10800</v>
      </c>
      <c r="N193" s="40">
        <v>274455.818181818</v>
      </c>
      <c r="O193" s="40">
        <v>346608</v>
      </c>
      <c r="P193" s="40">
        <v>0</v>
      </c>
      <c r="Q193" s="40">
        <v>90000</v>
      </c>
      <c r="R193" s="40">
        <v>782958.09090909106</v>
      </c>
      <c r="S193" s="40">
        <v>289927.636363636</v>
      </c>
      <c r="T193" s="40">
        <v>30000</v>
      </c>
      <c r="U193" s="40">
        <v>6751268.1818181798</v>
      </c>
      <c r="V193" s="40">
        <v>0</v>
      </c>
      <c r="W193" s="45">
        <v>8565217.7272727191</v>
      </c>
      <c r="X193" s="46">
        <v>21.217467684393</v>
      </c>
    </row>
    <row r="194" spans="1:24" s="4" customFormat="1" ht="15" customHeight="1">
      <c r="A194" s="28" t="s">
        <v>2682</v>
      </c>
      <c r="B194" s="29">
        <v>3278.81</v>
      </c>
      <c r="C194" s="30" t="s">
        <v>2953</v>
      </c>
      <c r="D194" s="2">
        <v>4951080648</v>
      </c>
      <c r="E194" s="2" t="s">
        <v>18</v>
      </c>
      <c r="F194" s="2" t="s">
        <v>2954</v>
      </c>
      <c r="G194" s="28" t="s">
        <v>9</v>
      </c>
      <c r="H194" s="2" t="s">
        <v>23</v>
      </c>
      <c r="I194" s="2">
        <v>1</v>
      </c>
      <c r="J194" s="2"/>
      <c r="K194" s="2">
        <v>5640</v>
      </c>
      <c r="L194" s="35">
        <v>18492488.399999999</v>
      </c>
      <c r="M194" s="36">
        <v>1000</v>
      </c>
      <c r="N194" s="40">
        <v>742750</v>
      </c>
      <c r="O194" s="40">
        <v>686</v>
      </c>
      <c r="P194" s="40">
        <v>0</v>
      </c>
      <c r="Q194" s="40">
        <v>20551</v>
      </c>
      <c r="R194" s="40">
        <v>110926</v>
      </c>
      <c r="S194" s="40">
        <v>354356</v>
      </c>
      <c r="T194" s="40">
        <v>30000</v>
      </c>
      <c r="U194" s="40">
        <v>534743.58974358998</v>
      </c>
      <c r="V194" s="40">
        <v>0</v>
      </c>
      <c r="W194" s="45">
        <v>1794012.58974359</v>
      </c>
      <c r="X194" s="46">
        <v>9.7013043941862893</v>
      </c>
    </row>
    <row r="195" spans="1:24" s="4" customFormat="1" ht="15" customHeight="1">
      <c r="A195" s="28" t="s">
        <v>2682</v>
      </c>
      <c r="B195" s="29">
        <v>3278.81</v>
      </c>
      <c r="C195" s="30" t="s">
        <v>2955</v>
      </c>
      <c r="D195" s="2">
        <v>4951017920</v>
      </c>
      <c r="E195" s="2" t="s">
        <v>18</v>
      </c>
      <c r="F195" s="2" t="s">
        <v>2956</v>
      </c>
      <c r="G195" s="28" t="s">
        <v>5</v>
      </c>
      <c r="H195" s="2" t="s">
        <v>17</v>
      </c>
      <c r="I195" s="2">
        <v>1</v>
      </c>
      <c r="J195" s="2" t="s">
        <v>2957</v>
      </c>
      <c r="K195" s="2">
        <v>69760</v>
      </c>
      <c r="L195" s="35">
        <v>228729785.59999999</v>
      </c>
      <c r="M195" s="36">
        <v>16000</v>
      </c>
      <c r="N195" s="40">
        <v>341216</v>
      </c>
      <c r="O195" s="40">
        <v>423632</v>
      </c>
      <c r="P195" s="40">
        <v>0</v>
      </c>
      <c r="Q195" s="40">
        <v>110000</v>
      </c>
      <c r="R195" s="40">
        <v>752298</v>
      </c>
      <c r="S195" s="40">
        <v>354356</v>
      </c>
      <c r="T195" s="40">
        <v>30000</v>
      </c>
      <c r="U195" s="40">
        <v>5446550</v>
      </c>
      <c r="V195" s="40">
        <v>0</v>
      </c>
      <c r="W195" s="45">
        <v>7458052</v>
      </c>
      <c r="X195" s="46">
        <v>3.2606387403530199</v>
      </c>
    </row>
    <row r="196" spans="1:24" s="4" customFormat="1" ht="15" customHeight="1">
      <c r="A196" s="28" t="s">
        <v>2682</v>
      </c>
      <c r="B196" s="29">
        <v>3278.81</v>
      </c>
      <c r="C196" s="30" t="s">
        <v>2978</v>
      </c>
      <c r="D196" s="2">
        <v>4950282863</v>
      </c>
      <c r="E196" s="2" t="s">
        <v>18</v>
      </c>
      <c r="F196" s="2" t="s">
        <v>2979</v>
      </c>
      <c r="G196" s="28" t="s">
        <v>5</v>
      </c>
      <c r="H196" s="2" t="s">
        <v>20</v>
      </c>
      <c r="I196" s="2">
        <v>2</v>
      </c>
      <c r="J196" s="2" t="s">
        <v>2980</v>
      </c>
      <c r="K196" s="2">
        <v>20691</v>
      </c>
      <c r="L196" s="35">
        <v>67841857.709999993</v>
      </c>
      <c r="M196" s="36">
        <v>17100</v>
      </c>
      <c r="N196" s="40">
        <v>335446.5</v>
      </c>
      <c r="O196" s="40">
        <v>322920</v>
      </c>
      <c r="P196" s="40">
        <v>0</v>
      </c>
      <c r="Q196" s="40">
        <v>99309.5</v>
      </c>
      <c r="R196" s="40">
        <v>823922</v>
      </c>
      <c r="S196" s="40">
        <v>177178</v>
      </c>
      <c r="T196" s="40">
        <v>30000</v>
      </c>
      <c r="U196" s="40">
        <v>4413500</v>
      </c>
      <c r="V196" s="40">
        <v>0</v>
      </c>
      <c r="W196" s="45">
        <v>6202276</v>
      </c>
      <c r="X196" s="46">
        <v>9.1422555474712102</v>
      </c>
    </row>
    <row r="197" spans="1:24" s="4" customFormat="1" ht="15" customHeight="1">
      <c r="A197" s="28" t="s">
        <v>2682</v>
      </c>
      <c r="B197" s="29">
        <v>3278.81</v>
      </c>
      <c r="C197" s="30" t="s">
        <v>2978</v>
      </c>
      <c r="D197" s="2">
        <v>4950282864</v>
      </c>
      <c r="E197" s="2" t="s">
        <v>18</v>
      </c>
      <c r="F197" s="2" t="s">
        <v>2979</v>
      </c>
      <c r="G197" s="28" t="s">
        <v>5</v>
      </c>
      <c r="H197" s="2" t="s">
        <v>20</v>
      </c>
      <c r="I197" s="2">
        <v>2</v>
      </c>
      <c r="J197" s="2" t="s">
        <v>2980</v>
      </c>
      <c r="K197" s="2">
        <v>20691</v>
      </c>
      <c r="L197" s="35">
        <v>67841857.709999993</v>
      </c>
      <c r="M197" s="36">
        <v>17100</v>
      </c>
      <c r="N197" s="40">
        <v>335446.5</v>
      </c>
      <c r="O197" s="40">
        <v>322920</v>
      </c>
      <c r="P197" s="40">
        <v>0</v>
      </c>
      <c r="Q197" s="40">
        <v>99309.5</v>
      </c>
      <c r="R197" s="40">
        <v>823922</v>
      </c>
      <c r="S197" s="40">
        <v>177178</v>
      </c>
      <c r="T197" s="40">
        <v>30000</v>
      </c>
      <c r="U197" s="40">
        <v>4413500</v>
      </c>
      <c r="V197" s="40">
        <v>0</v>
      </c>
      <c r="W197" s="45">
        <v>6202276</v>
      </c>
      <c r="X197" s="46">
        <v>9.1422555474712102</v>
      </c>
    </row>
    <row r="198" spans="1:24" s="4" customFormat="1" ht="15" customHeight="1">
      <c r="A198" s="28" t="s">
        <v>2682</v>
      </c>
      <c r="B198" s="29">
        <v>3278.81</v>
      </c>
      <c r="C198" s="30" t="s">
        <v>3003</v>
      </c>
      <c r="D198" s="2">
        <v>4951019254</v>
      </c>
      <c r="E198" s="2" t="s">
        <v>18</v>
      </c>
      <c r="F198" s="2" t="s">
        <v>3004</v>
      </c>
      <c r="G198" s="28" t="s">
        <v>5</v>
      </c>
      <c r="H198" s="2" t="s">
        <v>17</v>
      </c>
      <c r="I198" s="2">
        <v>1</v>
      </c>
      <c r="J198" s="2" t="s">
        <v>3005</v>
      </c>
      <c r="K198" s="2">
        <v>69760</v>
      </c>
      <c r="L198" s="35">
        <v>228729785.59999999</v>
      </c>
      <c r="M198" s="36">
        <v>16000</v>
      </c>
      <c r="N198" s="40">
        <v>341216</v>
      </c>
      <c r="O198" s="40">
        <v>423632</v>
      </c>
      <c r="P198" s="40">
        <v>0</v>
      </c>
      <c r="Q198" s="40">
        <v>110000</v>
      </c>
      <c r="R198" s="40">
        <v>752298</v>
      </c>
      <c r="S198" s="40">
        <v>354356</v>
      </c>
      <c r="T198" s="40">
        <v>30000</v>
      </c>
      <c r="U198" s="40">
        <v>5446550</v>
      </c>
      <c r="V198" s="40">
        <v>0</v>
      </c>
      <c r="W198" s="45">
        <v>7458052</v>
      </c>
      <c r="X198" s="46">
        <v>3.2606387403530199</v>
      </c>
    </row>
    <row r="200" spans="1:24" ht="15" customHeight="1">
      <c r="A200" s="31" t="s">
        <v>2682</v>
      </c>
      <c r="B200" s="31"/>
      <c r="C200" s="31"/>
      <c r="D200" s="31"/>
      <c r="E200" s="31"/>
      <c r="F200" s="32">
        <v>13</v>
      </c>
      <c r="G200" s="31"/>
      <c r="H200" s="31"/>
      <c r="I200" s="38"/>
      <c r="J200" s="31"/>
      <c r="K200" s="39">
        <f>+SUM(K180:K198)</f>
        <v>653541.25</v>
      </c>
      <c r="L200" s="39">
        <f>+SUM(L180:L198)</f>
        <v>2142837585.9125001</v>
      </c>
      <c r="M200" s="31"/>
      <c r="N200" s="39"/>
      <c r="O200" s="39"/>
      <c r="P200" s="39"/>
      <c r="Q200" s="39"/>
      <c r="R200" s="39"/>
      <c r="S200" s="39"/>
      <c r="T200" s="39"/>
      <c r="U200" s="39"/>
      <c r="V200" s="31"/>
      <c r="W200" s="39">
        <f>+SUM(W180:W198)</f>
        <v>87628163.84025608</v>
      </c>
      <c r="X200" s="47">
        <f>(W200/L200)*100</f>
        <v>4.0893516343162677</v>
      </c>
    </row>
    <row r="202" spans="1:24" s="4" customFormat="1" ht="15" customHeight="1">
      <c r="A202" s="28" t="s">
        <v>3019</v>
      </c>
      <c r="B202" s="29">
        <v>3196.165</v>
      </c>
      <c r="C202" s="30" t="s">
        <v>3047</v>
      </c>
      <c r="D202" s="2">
        <v>4951756764</v>
      </c>
      <c r="E202" s="2" t="s">
        <v>18</v>
      </c>
      <c r="F202" s="2" t="s">
        <v>3048</v>
      </c>
      <c r="G202" s="28" t="s">
        <v>13</v>
      </c>
      <c r="H202" s="2" t="s">
        <v>23</v>
      </c>
      <c r="I202" s="2">
        <v>2</v>
      </c>
      <c r="J202" s="2"/>
      <c r="K202" s="2">
        <v>5640</v>
      </c>
      <c r="L202" s="35">
        <v>18026370.600000001</v>
      </c>
      <c r="M202" s="36">
        <v>1500</v>
      </c>
      <c r="N202" s="40">
        <v>848841</v>
      </c>
      <c r="O202" s="40">
        <v>0</v>
      </c>
      <c r="P202" s="40">
        <v>0</v>
      </c>
      <c r="Q202" s="40">
        <v>0</v>
      </c>
      <c r="R202" s="40">
        <v>3395</v>
      </c>
      <c r="S202" s="40">
        <v>354356</v>
      </c>
      <c r="T202" s="40">
        <v>30000</v>
      </c>
      <c r="U202" s="40">
        <v>236600.51216389201</v>
      </c>
      <c r="V202" s="40">
        <v>0</v>
      </c>
      <c r="W202" s="45">
        <v>1473192.5121638901</v>
      </c>
      <c r="X202" s="46">
        <v>8.1724299630447597</v>
      </c>
    </row>
    <row r="203" spans="1:24" s="4" customFormat="1" ht="15" customHeight="1">
      <c r="A203" s="28" t="s">
        <v>3019</v>
      </c>
      <c r="B203" s="29">
        <v>3196.165</v>
      </c>
      <c r="C203" s="30" t="s">
        <v>3056</v>
      </c>
      <c r="D203" s="2">
        <v>4951432296</v>
      </c>
      <c r="E203" s="2" t="s">
        <v>18</v>
      </c>
      <c r="F203" s="2" t="s">
        <v>3057</v>
      </c>
      <c r="G203" s="28" t="s">
        <v>13</v>
      </c>
      <c r="H203" s="2" t="s">
        <v>23</v>
      </c>
      <c r="I203" s="2">
        <v>2</v>
      </c>
      <c r="J203" s="2"/>
      <c r="K203" s="2">
        <v>988.14</v>
      </c>
      <c r="L203" s="35">
        <v>3158258.4830999998</v>
      </c>
      <c r="M203" s="36">
        <v>30</v>
      </c>
      <c r="N203" s="40">
        <v>122089</v>
      </c>
      <c r="O203" s="40">
        <v>0</v>
      </c>
      <c r="P203" s="40">
        <v>0</v>
      </c>
      <c r="Q203" s="40">
        <v>0</v>
      </c>
      <c r="R203" s="40">
        <v>488</v>
      </c>
      <c r="S203" s="40">
        <v>354356</v>
      </c>
      <c r="T203" s="40">
        <v>30000</v>
      </c>
      <c r="U203" s="40">
        <v>8905.3012048192795</v>
      </c>
      <c r="V203" s="40">
        <v>0</v>
      </c>
      <c r="W203" s="45">
        <v>515838.301204819</v>
      </c>
      <c r="X203" s="46">
        <v>16.332998200277</v>
      </c>
    </row>
    <row r="204" spans="1:24" s="4" customFormat="1" ht="15" customHeight="1">
      <c r="A204" s="28" t="s">
        <v>3019</v>
      </c>
      <c r="B204" s="29">
        <v>3196.165</v>
      </c>
      <c r="C204" s="30" t="s">
        <v>3069</v>
      </c>
      <c r="D204" s="2">
        <v>4951544287</v>
      </c>
      <c r="E204" s="2" t="s">
        <v>18</v>
      </c>
      <c r="F204" s="78" t="s">
        <v>3070</v>
      </c>
      <c r="G204" s="28" t="s">
        <v>13</v>
      </c>
      <c r="H204" s="2" t="s">
        <v>23</v>
      </c>
      <c r="I204" s="2">
        <v>2</v>
      </c>
      <c r="J204" s="2"/>
      <c r="K204" s="2">
        <v>20572</v>
      </c>
      <c r="L204" s="35">
        <v>65751506.380000003</v>
      </c>
      <c r="M204" s="36">
        <v>800</v>
      </c>
      <c r="N204" s="40">
        <v>1090275.92</v>
      </c>
      <c r="O204" s="40">
        <v>0</v>
      </c>
      <c r="P204" s="40">
        <v>0</v>
      </c>
      <c r="Q204" s="40">
        <v>0</v>
      </c>
      <c r="R204" s="40">
        <v>7361</v>
      </c>
      <c r="S204" s="40">
        <v>354356</v>
      </c>
      <c r="T204" s="40">
        <v>30000</v>
      </c>
      <c r="U204" s="40">
        <v>237474.698795181</v>
      </c>
      <c r="V204" s="40">
        <v>0</v>
      </c>
      <c r="W204" s="45">
        <v>1719467.61879518</v>
      </c>
      <c r="X204" s="46">
        <v>2.6150999626651901</v>
      </c>
    </row>
    <row r="205" spans="1:24" s="4" customFormat="1" ht="15" customHeight="1">
      <c r="A205" s="28" t="s">
        <v>3019</v>
      </c>
      <c r="B205" s="29">
        <v>3196.165</v>
      </c>
      <c r="C205" s="30" t="s">
        <v>3089</v>
      </c>
      <c r="D205" s="2">
        <v>4951017914</v>
      </c>
      <c r="E205" s="2" t="s">
        <v>18</v>
      </c>
      <c r="F205" s="2" t="s">
        <v>3090</v>
      </c>
      <c r="G205" s="28" t="s">
        <v>9</v>
      </c>
      <c r="H205" s="2" t="s">
        <v>23</v>
      </c>
      <c r="I205" s="2">
        <v>15</v>
      </c>
      <c r="J205" s="2"/>
      <c r="K205" s="2">
        <v>35620</v>
      </c>
      <c r="L205" s="35">
        <v>113847397.3</v>
      </c>
      <c r="M205" s="36">
        <v>2000</v>
      </c>
      <c r="N205" s="40">
        <v>318637.82178217801</v>
      </c>
      <c r="O205" s="48">
        <v>1345.7425742574301</v>
      </c>
      <c r="P205" s="40">
        <v>63768.910891089101</v>
      </c>
      <c r="Q205" s="48">
        <v>33350.693069306901</v>
      </c>
      <c r="R205" s="40">
        <v>51284.950495049503</v>
      </c>
      <c r="S205" s="40">
        <v>70169.504950495102</v>
      </c>
      <c r="T205" s="40">
        <v>30000</v>
      </c>
      <c r="U205" s="40">
        <v>1056435.64356436</v>
      </c>
      <c r="V205" s="40">
        <v>0</v>
      </c>
      <c r="W205" s="45">
        <v>1624993.2673267401</v>
      </c>
      <c r="X205" s="46">
        <v>1.4273433612581501</v>
      </c>
    </row>
    <row r="206" spans="1:24" s="4" customFormat="1" ht="15" customHeight="1">
      <c r="A206" s="28" t="s">
        <v>3019</v>
      </c>
      <c r="B206" s="29">
        <v>3196.165</v>
      </c>
      <c r="C206" s="30" t="s">
        <v>3089</v>
      </c>
      <c r="D206" s="2">
        <v>4951019255</v>
      </c>
      <c r="E206" s="2" t="s">
        <v>18</v>
      </c>
      <c r="F206" s="2" t="s">
        <v>3090</v>
      </c>
      <c r="G206" s="28" t="s">
        <v>9</v>
      </c>
      <c r="H206" s="2" t="s">
        <v>23</v>
      </c>
      <c r="I206" s="2">
        <v>15</v>
      </c>
      <c r="J206" s="2"/>
      <c r="K206" s="2">
        <v>8720</v>
      </c>
      <c r="L206" s="35">
        <v>27870558.800000001</v>
      </c>
      <c r="M206" s="36">
        <v>2000</v>
      </c>
      <c r="N206" s="40">
        <v>318637.82178217801</v>
      </c>
      <c r="O206" s="48">
        <v>1345.7425742574301</v>
      </c>
      <c r="P206" s="40">
        <v>63768.910891089101</v>
      </c>
      <c r="Q206" s="48">
        <v>33350.693069306901</v>
      </c>
      <c r="R206" s="40">
        <v>51284.950495049503</v>
      </c>
      <c r="S206" s="40">
        <v>70169.504950495102</v>
      </c>
      <c r="T206" s="40">
        <v>30000</v>
      </c>
      <c r="U206" s="40">
        <v>1056435.64356436</v>
      </c>
      <c r="V206" s="40">
        <v>0</v>
      </c>
      <c r="W206" s="45">
        <v>1624993.2673267401</v>
      </c>
      <c r="X206" s="46">
        <v>5.8305012073411904</v>
      </c>
    </row>
    <row r="207" spans="1:24" s="4" customFormat="1" ht="15" customHeight="1">
      <c r="A207" s="28" t="s">
        <v>3019</v>
      </c>
      <c r="B207" s="29">
        <v>3196.165</v>
      </c>
      <c r="C207" s="30" t="s">
        <v>3103</v>
      </c>
      <c r="D207" s="2">
        <v>4951082654</v>
      </c>
      <c r="E207" s="2" t="s">
        <v>18</v>
      </c>
      <c r="F207" s="2" t="s">
        <v>3104</v>
      </c>
      <c r="G207" s="28" t="s">
        <v>5</v>
      </c>
      <c r="H207" s="2" t="s">
        <v>17</v>
      </c>
      <c r="I207" s="2">
        <v>1</v>
      </c>
      <c r="J207" s="2" t="s">
        <v>3105</v>
      </c>
      <c r="K207" s="2">
        <v>80200</v>
      </c>
      <c r="L207" s="35">
        <v>256332433</v>
      </c>
      <c r="M207" s="36">
        <v>5000</v>
      </c>
      <c r="N207" s="40">
        <v>125617.30769230799</v>
      </c>
      <c r="O207" s="48">
        <v>163743.84615384601</v>
      </c>
      <c r="P207" s="40">
        <v>0</v>
      </c>
      <c r="Q207" s="48">
        <v>42307.692307692298</v>
      </c>
      <c r="R207" s="40">
        <v>249183.384615385</v>
      </c>
      <c r="S207" s="40">
        <v>136290.76923076899</v>
      </c>
      <c r="T207" s="40">
        <v>30000</v>
      </c>
      <c r="U207" s="40">
        <v>1852326.92307692</v>
      </c>
      <c r="V207" s="40">
        <v>0</v>
      </c>
      <c r="W207" s="45">
        <v>2599469.9230769202</v>
      </c>
      <c r="X207" s="46">
        <v>1.0141010611313901</v>
      </c>
    </row>
    <row r="208" spans="1:24" s="4" customFormat="1" ht="15" customHeight="1">
      <c r="A208" s="28" t="s">
        <v>3019</v>
      </c>
      <c r="B208" s="29">
        <v>3196.165</v>
      </c>
      <c r="C208" s="30" t="s">
        <v>3103</v>
      </c>
      <c r="D208" s="2">
        <v>4951019257</v>
      </c>
      <c r="E208" s="2" t="s">
        <v>18</v>
      </c>
      <c r="F208" s="2" t="s">
        <v>3104</v>
      </c>
      <c r="G208" s="28" t="s">
        <v>5</v>
      </c>
      <c r="H208" s="2" t="s">
        <v>17</v>
      </c>
      <c r="I208" s="2">
        <v>1</v>
      </c>
      <c r="J208" s="2" t="s">
        <v>3105</v>
      </c>
      <c r="K208" s="2">
        <v>34880</v>
      </c>
      <c r="L208" s="35">
        <v>111482235.2</v>
      </c>
      <c r="M208" s="36">
        <v>8000</v>
      </c>
      <c r="N208" s="40">
        <v>200987.69230769199</v>
      </c>
      <c r="O208" s="48">
        <v>261990.15384615399</v>
      </c>
      <c r="P208" s="40">
        <v>0</v>
      </c>
      <c r="Q208" s="48">
        <v>67692.307692307702</v>
      </c>
      <c r="R208" s="40">
        <v>398693.61538461503</v>
      </c>
      <c r="S208" s="40">
        <v>218065.23076923101</v>
      </c>
      <c r="T208" s="40">
        <v>30000</v>
      </c>
      <c r="U208" s="40">
        <v>2963723.0769230798</v>
      </c>
      <c r="V208" s="40">
        <v>0</v>
      </c>
      <c r="W208" s="45">
        <v>4141152.0769230798</v>
      </c>
      <c r="X208" s="46">
        <v>3.7146295725895899</v>
      </c>
    </row>
    <row r="209" spans="1:24" s="4" customFormat="1" ht="15" customHeight="1">
      <c r="A209" s="28" t="s">
        <v>3019</v>
      </c>
      <c r="B209" s="29">
        <v>3196.165</v>
      </c>
      <c r="C209" s="30" t="s">
        <v>3130</v>
      </c>
      <c r="D209" s="2">
        <v>4951082678</v>
      </c>
      <c r="E209" s="2" t="s">
        <v>18</v>
      </c>
      <c r="F209" s="2" t="s">
        <v>3131</v>
      </c>
      <c r="G209" s="28" t="s">
        <v>5</v>
      </c>
      <c r="H209" s="2" t="s">
        <v>20</v>
      </c>
      <c r="I209" s="2">
        <v>2</v>
      </c>
      <c r="J209" s="2" t="s">
        <v>3132</v>
      </c>
      <c r="K209" s="2">
        <v>23562</v>
      </c>
      <c r="L209" s="35">
        <v>75308039.730000004</v>
      </c>
      <c r="M209" s="36">
        <v>19800</v>
      </c>
      <c r="N209" s="40">
        <v>333205.33333333302</v>
      </c>
      <c r="O209" s="40">
        <v>108174</v>
      </c>
      <c r="P209" s="40">
        <v>217694</v>
      </c>
      <c r="Q209" s="40">
        <v>55000</v>
      </c>
      <c r="R209" s="40">
        <v>550775</v>
      </c>
      <c r="S209" s="40">
        <v>118118.66666666701</v>
      </c>
      <c r="T209" s="40">
        <v>30000</v>
      </c>
      <c r="U209" s="40">
        <v>4811200</v>
      </c>
      <c r="V209" s="40">
        <v>0</v>
      </c>
      <c r="W209" s="45">
        <v>6224167</v>
      </c>
      <c r="X209" s="46">
        <v>8.2649435867874796</v>
      </c>
    </row>
    <row r="210" spans="1:24" s="4" customFormat="1" ht="15" customHeight="1">
      <c r="A210" s="28" t="s">
        <v>3019</v>
      </c>
      <c r="B210" s="29">
        <v>3196.165</v>
      </c>
      <c r="C210" s="30" t="s">
        <v>3130</v>
      </c>
      <c r="D210" s="2">
        <v>4951082680</v>
      </c>
      <c r="E210" s="2" t="s">
        <v>18</v>
      </c>
      <c r="F210" s="2" t="s">
        <v>3131</v>
      </c>
      <c r="G210" s="28" t="s">
        <v>5</v>
      </c>
      <c r="H210" s="2" t="s">
        <v>20</v>
      </c>
      <c r="I210" s="2">
        <v>2</v>
      </c>
      <c r="J210" s="2" t="s">
        <v>3132</v>
      </c>
      <c r="K210" s="2">
        <v>23562</v>
      </c>
      <c r="L210" s="35">
        <v>75308039.730000004</v>
      </c>
      <c r="M210" s="36">
        <v>19800</v>
      </c>
      <c r="N210" s="40">
        <v>333205.33333333302</v>
      </c>
      <c r="O210" s="40">
        <v>108174</v>
      </c>
      <c r="P210" s="40">
        <v>0</v>
      </c>
      <c r="Q210" s="40">
        <v>55000</v>
      </c>
      <c r="R210" s="40">
        <v>550775</v>
      </c>
      <c r="S210" s="40">
        <v>118118.66666666701</v>
      </c>
      <c r="T210" s="40">
        <v>30000</v>
      </c>
      <c r="U210" s="40">
        <v>4811200</v>
      </c>
      <c r="V210" s="40">
        <v>0</v>
      </c>
      <c r="W210" s="45">
        <v>6006473</v>
      </c>
      <c r="X210" s="46">
        <v>7.9758721931082697</v>
      </c>
    </row>
    <row r="211" spans="1:24" s="4" customFormat="1" ht="15" customHeight="1">
      <c r="A211" s="28" t="s">
        <v>3019</v>
      </c>
      <c r="B211" s="29">
        <v>3196.165</v>
      </c>
      <c r="C211" s="30" t="s">
        <v>3130</v>
      </c>
      <c r="D211" s="2">
        <v>4951082681</v>
      </c>
      <c r="E211" s="2" t="s">
        <v>18</v>
      </c>
      <c r="F211" s="2" t="s">
        <v>3131</v>
      </c>
      <c r="G211" s="28" t="s">
        <v>5</v>
      </c>
      <c r="H211" s="2" t="s">
        <v>20</v>
      </c>
      <c r="I211" s="2">
        <v>2</v>
      </c>
      <c r="J211" s="2" t="s">
        <v>3132</v>
      </c>
      <c r="K211" s="2">
        <v>23562</v>
      </c>
      <c r="L211" s="35">
        <v>75308039.730000004</v>
      </c>
      <c r="M211" s="36">
        <v>19800</v>
      </c>
      <c r="N211" s="40">
        <v>333205.33333333302</v>
      </c>
      <c r="O211" s="40">
        <v>108174</v>
      </c>
      <c r="P211" s="40">
        <v>0</v>
      </c>
      <c r="Q211" s="40">
        <v>55000</v>
      </c>
      <c r="R211" s="40">
        <v>550775</v>
      </c>
      <c r="S211" s="40">
        <v>118118.66666666701</v>
      </c>
      <c r="T211" s="40">
        <v>30000</v>
      </c>
      <c r="U211" s="40">
        <v>4811200</v>
      </c>
      <c r="V211" s="40">
        <v>0</v>
      </c>
      <c r="W211" s="45">
        <v>6006473</v>
      </c>
      <c r="X211" s="46">
        <v>7.9758721931082697</v>
      </c>
    </row>
    <row r="212" spans="1:24" s="4" customFormat="1" ht="15" customHeight="1">
      <c r="A212" s="28" t="s">
        <v>3019</v>
      </c>
      <c r="B212" s="29">
        <v>3196.165</v>
      </c>
      <c r="C212" s="30" t="s">
        <v>3137</v>
      </c>
      <c r="D212" s="2">
        <v>4951047322</v>
      </c>
      <c r="E212" s="2" t="s">
        <v>18</v>
      </c>
      <c r="F212" s="2" t="s">
        <v>3138</v>
      </c>
      <c r="G212" s="28" t="s">
        <v>9</v>
      </c>
      <c r="H212" s="2" t="s">
        <v>23</v>
      </c>
      <c r="I212" s="2">
        <v>2</v>
      </c>
      <c r="J212" s="2"/>
      <c r="K212" s="2">
        <v>83512.5</v>
      </c>
      <c r="L212" s="35">
        <v>266919729.5625</v>
      </c>
      <c r="M212" s="36">
        <v>1250</v>
      </c>
      <c r="N212" s="40">
        <v>617965</v>
      </c>
      <c r="O212" s="40">
        <v>910</v>
      </c>
      <c r="P212" s="40">
        <v>27345</v>
      </c>
      <c r="Q212" s="40">
        <v>21873</v>
      </c>
      <c r="R212" s="40">
        <v>111979</v>
      </c>
      <c r="S212" s="40">
        <v>354356</v>
      </c>
      <c r="T212" s="40">
        <v>30000</v>
      </c>
      <c r="U212" s="40">
        <v>560618.27956989198</v>
      </c>
      <c r="V212" s="40">
        <v>0</v>
      </c>
      <c r="W212" s="45">
        <v>1725046.2795698899</v>
      </c>
      <c r="X212" s="46">
        <v>0.64627904516363899</v>
      </c>
    </row>
    <row r="213" spans="1:24" s="4" customFormat="1" ht="15" customHeight="1">
      <c r="A213" s="28" t="s">
        <v>3019</v>
      </c>
      <c r="B213" s="29">
        <v>3196.165</v>
      </c>
      <c r="C213" s="30" t="s">
        <v>3172</v>
      </c>
      <c r="D213" s="2">
        <v>4951080650</v>
      </c>
      <c r="E213" s="2" t="s">
        <v>18</v>
      </c>
      <c r="F213" s="2" t="s">
        <v>3173</v>
      </c>
      <c r="G213" s="28" t="s">
        <v>9</v>
      </c>
      <c r="H213" s="2" t="s">
        <v>23</v>
      </c>
      <c r="I213" s="2">
        <v>1</v>
      </c>
      <c r="J213" s="2"/>
      <c r="K213" s="2">
        <v>3260</v>
      </c>
      <c r="L213" s="35">
        <v>10419497.9</v>
      </c>
      <c r="M213" s="36">
        <v>1000</v>
      </c>
      <c r="N213" s="40">
        <v>504544</v>
      </c>
      <c r="O213" s="40">
        <v>672</v>
      </c>
      <c r="P213" s="40">
        <v>20428</v>
      </c>
      <c r="Q213" s="48">
        <v>16320</v>
      </c>
      <c r="R213" s="40">
        <v>102711</v>
      </c>
      <c r="S213" s="40">
        <v>354356</v>
      </c>
      <c r="T213" s="40">
        <v>30000</v>
      </c>
      <c r="U213" s="40">
        <v>448494.62365591398</v>
      </c>
      <c r="V213" s="40">
        <v>0</v>
      </c>
      <c r="W213" s="45">
        <v>1477525.6236559099</v>
      </c>
      <c r="X213" s="46">
        <v>14.1803917792998</v>
      </c>
    </row>
    <row r="214" spans="1:24" s="4" customFormat="1" ht="15" customHeight="1">
      <c r="A214" s="28" t="s">
        <v>3019</v>
      </c>
      <c r="B214" s="29">
        <v>3196.165</v>
      </c>
      <c r="C214" s="30" t="s">
        <v>3218</v>
      </c>
      <c r="D214" s="2">
        <v>4951408242</v>
      </c>
      <c r="E214" s="2" t="s">
        <v>18</v>
      </c>
      <c r="F214" s="2" t="s">
        <v>3219</v>
      </c>
      <c r="G214" s="28" t="s">
        <v>9</v>
      </c>
      <c r="H214" s="2" t="s">
        <v>23</v>
      </c>
      <c r="I214" s="2">
        <v>2</v>
      </c>
      <c r="J214" s="2"/>
      <c r="K214" s="2">
        <v>6400</v>
      </c>
      <c r="L214" s="35">
        <v>20455456</v>
      </c>
      <c r="M214" s="36">
        <v>2000</v>
      </c>
      <c r="N214" s="40">
        <v>577546</v>
      </c>
      <c r="O214" s="40">
        <v>1303</v>
      </c>
      <c r="P214" s="40">
        <v>0</v>
      </c>
      <c r="Q214" s="48">
        <v>32649</v>
      </c>
      <c r="R214" s="40">
        <v>118028</v>
      </c>
      <c r="S214" s="40">
        <v>354356</v>
      </c>
      <c r="T214" s="40">
        <v>30000</v>
      </c>
      <c r="U214" s="40">
        <v>1367700</v>
      </c>
      <c r="V214" s="40">
        <v>0</v>
      </c>
      <c r="W214" s="45">
        <v>2481582</v>
      </c>
      <c r="X214" s="46">
        <v>12.1316386200337</v>
      </c>
    </row>
    <row r="215" spans="1:24" s="4" customFormat="1" ht="15" customHeight="1">
      <c r="A215" s="28" t="s">
        <v>3019</v>
      </c>
      <c r="B215" s="29">
        <v>3196.165</v>
      </c>
      <c r="C215" s="30" t="s">
        <v>3229</v>
      </c>
      <c r="D215" s="2">
        <v>4950285338</v>
      </c>
      <c r="E215" s="2" t="s">
        <v>18</v>
      </c>
      <c r="F215" s="2" t="s">
        <v>3230</v>
      </c>
      <c r="G215" s="28" t="s">
        <v>5</v>
      </c>
      <c r="H215" s="2" t="s">
        <v>35</v>
      </c>
      <c r="I215" s="2">
        <v>1</v>
      </c>
      <c r="J215" s="2" t="s">
        <v>3231</v>
      </c>
      <c r="K215" s="2">
        <v>15422.4</v>
      </c>
      <c r="L215" s="35">
        <v>49292535.096000001</v>
      </c>
      <c r="M215" s="36">
        <v>1440</v>
      </c>
      <c r="N215" s="40">
        <v>27098.0080784766</v>
      </c>
      <c r="O215" s="48">
        <v>37087.535390199599</v>
      </c>
      <c r="P215" s="40">
        <v>0</v>
      </c>
      <c r="Q215" s="48">
        <v>9582.5771324863908</v>
      </c>
      <c r="R215" s="40">
        <v>293383.34506635898</v>
      </c>
      <c r="S215" s="40">
        <v>30869.488203266799</v>
      </c>
      <c r="T215" s="40">
        <v>30000</v>
      </c>
      <c r="U215" s="40">
        <v>254383.04431599201</v>
      </c>
      <c r="V215" s="40">
        <v>0</v>
      </c>
      <c r="W215" s="45">
        <v>682403.99818678002</v>
      </c>
      <c r="X215" s="46">
        <v>1.3843962313112099</v>
      </c>
    </row>
    <row r="216" spans="1:24" s="4" customFormat="1" ht="15" customHeight="1">
      <c r="A216" s="28" t="s">
        <v>3019</v>
      </c>
      <c r="B216" s="29">
        <v>3196.165</v>
      </c>
      <c r="C216" s="30" t="s">
        <v>3229</v>
      </c>
      <c r="D216" s="2">
        <v>4951082664</v>
      </c>
      <c r="E216" s="2" t="s">
        <v>18</v>
      </c>
      <c r="F216" s="2" t="s">
        <v>3230</v>
      </c>
      <c r="G216" s="28" t="s">
        <v>5</v>
      </c>
      <c r="H216" s="2" t="s">
        <v>35</v>
      </c>
      <c r="I216" s="2">
        <v>1</v>
      </c>
      <c r="J216" s="2" t="s">
        <v>3231</v>
      </c>
      <c r="K216" s="2">
        <v>9259.2000000000007</v>
      </c>
      <c r="L216" s="35">
        <v>29593930.967999998</v>
      </c>
      <c r="M216" s="36">
        <v>1440</v>
      </c>
      <c r="N216" s="40">
        <v>27098.0080784766</v>
      </c>
      <c r="O216" s="48">
        <v>37087.535390199599</v>
      </c>
      <c r="P216" s="40">
        <v>0</v>
      </c>
      <c r="Q216" s="48">
        <v>9582.5771324863908</v>
      </c>
      <c r="R216" s="40">
        <v>293383.34506635898</v>
      </c>
      <c r="S216" s="40">
        <v>30869.488203266799</v>
      </c>
      <c r="T216" s="40">
        <v>30000</v>
      </c>
      <c r="U216" s="40">
        <v>763149.13294797705</v>
      </c>
      <c r="V216" s="40">
        <v>0</v>
      </c>
      <c r="W216" s="45">
        <v>1191170.08681877</v>
      </c>
      <c r="X216" s="46">
        <v>4.0250485415634101</v>
      </c>
    </row>
    <row r="217" spans="1:24" s="4" customFormat="1" ht="15" customHeight="1">
      <c r="A217" s="28" t="s">
        <v>3019</v>
      </c>
      <c r="B217" s="29">
        <v>3196.165</v>
      </c>
      <c r="C217" s="30" t="s">
        <v>3229</v>
      </c>
      <c r="D217" s="2">
        <v>4951082659</v>
      </c>
      <c r="E217" s="2" t="s">
        <v>18</v>
      </c>
      <c r="F217" s="2" t="s">
        <v>3230</v>
      </c>
      <c r="G217" s="28" t="s">
        <v>5</v>
      </c>
      <c r="H217" s="2" t="s">
        <v>35</v>
      </c>
      <c r="I217" s="2">
        <v>1</v>
      </c>
      <c r="J217" s="2" t="s">
        <v>3231</v>
      </c>
      <c r="K217" s="2">
        <v>8650</v>
      </c>
      <c r="L217" s="35">
        <v>27646827.25</v>
      </c>
      <c r="M217" s="36">
        <v>1250</v>
      </c>
      <c r="N217" s="40">
        <v>23522.576457011</v>
      </c>
      <c r="O217" s="48">
        <v>32194.041137326101</v>
      </c>
      <c r="P217" s="40">
        <v>0</v>
      </c>
      <c r="Q217" s="48">
        <v>8318.2093163944301</v>
      </c>
      <c r="R217" s="40">
        <v>254673.48009232499</v>
      </c>
      <c r="S217" s="40">
        <v>26796.430732002402</v>
      </c>
      <c r="T217" s="40">
        <v>30000</v>
      </c>
      <c r="U217" s="40">
        <v>662455.84457289695</v>
      </c>
      <c r="V217" s="40">
        <v>0</v>
      </c>
      <c r="W217" s="45">
        <v>1037960.58230796</v>
      </c>
      <c r="X217" s="46">
        <v>3.7543569572091</v>
      </c>
    </row>
    <row r="218" spans="1:24" s="4" customFormat="1" ht="15" customHeight="1">
      <c r="A218" s="28" t="s">
        <v>3019</v>
      </c>
      <c r="B218" s="29">
        <v>3196.165</v>
      </c>
      <c r="C218" s="30" t="s">
        <v>3229</v>
      </c>
      <c r="D218" s="2">
        <v>4951047314</v>
      </c>
      <c r="E218" s="2" t="s">
        <v>18</v>
      </c>
      <c r="F218" s="2" t="s">
        <v>3230</v>
      </c>
      <c r="G218" s="28" t="s">
        <v>5</v>
      </c>
      <c r="H218" s="2" t="s">
        <v>35</v>
      </c>
      <c r="I218" s="2">
        <v>1</v>
      </c>
      <c r="J218" s="2" t="s">
        <v>3231</v>
      </c>
      <c r="K218" s="2">
        <v>11200</v>
      </c>
      <c r="L218" s="35">
        <v>35797048</v>
      </c>
      <c r="M218" s="36">
        <v>10000</v>
      </c>
      <c r="N218" s="40">
        <v>188180.611656088</v>
      </c>
      <c r="O218" s="48">
        <v>257552.32909860901</v>
      </c>
      <c r="P218" s="40">
        <v>0</v>
      </c>
      <c r="Q218" s="48">
        <v>66545.674531155499</v>
      </c>
      <c r="R218" s="40">
        <v>2037383.8407385999</v>
      </c>
      <c r="S218" s="40">
        <v>214371.44585601901</v>
      </c>
      <c r="T218" s="40">
        <v>30000</v>
      </c>
      <c r="U218" s="40">
        <v>5299646.75658317</v>
      </c>
      <c r="V218" s="40">
        <v>0</v>
      </c>
      <c r="W218" s="45">
        <v>8093680.6584636401</v>
      </c>
      <c r="X218" s="46">
        <v>22.6099109023281</v>
      </c>
    </row>
    <row r="219" spans="1:24" s="4" customFormat="1" ht="15" customHeight="1">
      <c r="A219" s="28" t="s">
        <v>3019</v>
      </c>
      <c r="B219" s="29">
        <v>3196.165</v>
      </c>
      <c r="C219" s="30" t="s">
        <v>3229</v>
      </c>
      <c r="D219" s="2">
        <v>4951082675</v>
      </c>
      <c r="E219" s="2" t="s">
        <v>18</v>
      </c>
      <c r="F219" s="2" t="s">
        <v>3230</v>
      </c>
      <c r="G219" s="28" t="s">
        <v>5</v>
      </c>
      <c r="H219" s="2" t="s">
        <v>35</v>
      </c>
      <c r="I219" s="2">
        <v>1</v>
      </c>
      <c r="J219" s="2" t="s">
        <v>3231</v>
      </c>
      <c r="K219" s="2">
        <v>218088</v>
      </c>
      <c r="L219" s="35">
        <v>697045232.51999998</v>
      </c>
      <c r="M219" s="36">
        <v>2400</v>
      </c>
      <c r="N219" s="40">
        <v>45163.346797461003</v>
      </c>
      <c r="O219" s="48">
        <v>61812.558983666102</v>
      </c>
      <c r="P219" s="40">
        <v>0</v>
      </c>
      <c r="Q219" s="48">
        <v>15970.9618874773</v>
      </c>
      <c r="R219" s="40">
        <v>488972.24177726498</v>
      </c>
      <c r="S219" s="40">
        <v>51449.147005444604</v>
      </c>
      <c r="T219" s="40">
        <v>30000</v>
      </c>
      <c r="U219" s="40">
        <v>1271915.2215799601</v>
      </c>
      <c r="V219" s="40">
        <v>0</v>
      </c>
      <c r="W219" s="45">
        <v>1965283.47803127</v>
      </c>
      <c r="X219" s="46">
        <v>0.28194489917480098</v>
      </c>
    </row>
    <row r="220" spans="1:24" s="4" customFormat="1" ht="15" customHeight="1">
      <c r="A220" s="28" t="s">
        <v>3019</v>
      </c>
      <c r="B220" s="29">
        <v>3196.165</v>
      </c>
      <c r="C220" s="30" t="s">
        <v>3264</v>
      </c>
      <c r="D220" s="2">
        <v>4951408240</v>
      </c>
      <c r="E220" s="2" t="s">
        <v>18</v>
      </c>
      <c r="F220" s="2" t="s">
        <v>3265</v>
      </c>
      <c r="G220" s="28" t="s">
        <v>9</v>
      </c>
      <c r="H220" s="2" t="s">
        <v>23</v>
      </c>
      <c r="I220" s="2">
        <v>1</v>
      </c>
      <c r="J220" s="2"/>
      <c r="K220" s="2">
        <v>6714.4</v>
      </c>
      <c r="L220" s="35">
        <v>21460330.276000001</v>
      </c>
      <c r="M220" s="36">
        <v>440</v>
      </c>
      <c r="N220" s="40">
        <v>442234</v>
      </c>
      <c r="O220" s="40">
        <v>643</v>
      </c>
      <c r="P220" s="40">
        <v>15200</v>
      </c>
      <c r="Q220" s="40">
        <v>8088</v>
      </c>
      <c r="R220" s="40">
        <v>373038</v>
      </c>
      <c r="S220" s="40">
        <v>354356</v>
      </c>
      <c r="T220" s="40">
        <v>30000</v>
      </c>
      <c r="U220" s="40">
        <v>179836.722750549</v>
      </c>
      <c r="V220" s="40">
        <v>0</v>
      </c>
      <c r="W220" s="45">
        <v>1403395.7227505499</v>
      </c>
      <c r="X220" s="46">
        <v>6.5394879980949101</v>
      </c>
    </row>
    <row r="221" spans="1:24" s="4" customFormat="1" ht="15" customHeight="1">
      <c r="A221" s="28" t="s">
        <v>3019</v>
      </c>
      <c r="B221" s="29">
        <v>3196.165</v>
      </c>
      <c r="C221" s="30" t="s">
        <v>3293</v>
      </c>
      <c r="D221" s="2">
        <v>4951490845</v>
      </c>
      <c r="E221" s="2" t="s">
        <v>18</v>
      </c>
      <c r="F221" s="2" t="s">
        <v>3294</v>
      </c>
      <c r="G221" s="28" t="s">
        <v>9</v>
      </c>
      <c r="H221" s="2" t="s">
        <v>23</v>
      </c>
      <c r="I221" s="2">
        <v>1</v>
      </c>
      <c r="J221" s="2"/>
      <c r="K221" s="2">
        <v>3420</v>
      </c>
      <c r="L221" s="35">
        <v>10930884.300000001</v>
      </c>
      <c r="M221" s="36">
        <v>760</v>
      </c>
      <c r="N221" s="40">
        <v>1408719</v>
      </c>
      <c r="O221" s="40">
        <v>0</v>
      </c>
      <c r="P221" s="40">
        <v>110798</v>
      </c>
      <c r="Q221" s="40">
        <v>48104</v>
      </c>
      <c r="R221" s="40">
        <v>77456</v>
      </c>
      <c r="S221" s="40">
        <v>354356</v>
      </c>
      <c r="T221" s="40">
        <v>30000</v>
      </c>
      <c r="U221" s="40">
        <v>1299800</v>
      </c>
      <c r="V221" s="40">
        <v>0</v>
      </c>
      <c r="W221" s="45">
        <v>3329233</v>
      </c>
      <c r="X221" s="46">
        <v>30.457124132216801</v>
      </c>
    </row>
    <row r="222" spans="1:24" s="4" customFormat="1" ht="15" customHeight="1">
      <c r="A222" s="28" t="s">
        <v>3019</v>
      </c>
      <c r="B222" s="29">
        <v>3196.165</v>
      </c>
      <c r="C222" s="30" t="s">
        <v>3330</v>
      </c>
      <c r="D222" s="2">
        <v>4951082670</v>
      </c>
      <c r="E222" s="2" t="s">
        <v>18</v>
      </c>
      <c r="F222" s="2" t="s">
        <v>3230</v>
      </c>
      <c r="G222" s="28" t="s">
        <v>9</v>
      </c>
      <c r="H222" s="2" t="s">
        <v>23</v>
      </c>
      <c r="I222" s="2">
        <v>1</v>
      </c>
      <c r="J222" s="2"/>
      <c r="K222" s="2">
        <v>63432</v>
      </c>
      <c r="L222" s="35">
        <v>202739138.28</v>
      </c>
      <c r="M222" s="36">
        <v>800</v>
      </c>
      <c r="N222" s="40">
        <v>15054</v>
      </c>
      <c r="O222" s="40">
        <v>1086</v>
      </c>
      <c r="P222" s="40">
        <v>0</v>
      </c>
      <c r="Q222" s="40">
        <v>16629</v>
      </c>
      <c r="R222" s="40">
        <v>0</v>
      </c>
      <c r="S222" s="40">
        <v>354356</v>
      </c>
      <c r="T222" s="40">
        <v>30000</v>
      </c>
      <c r="U222" s="40">
        <v>325541.463414634</v>
      </c>
      <c r="V222" s="40">
        <v>0</v>
      </c>
      <c r="W222" s="45">
        <v>742666.463414634</v>
      </c>
      <c r="X222" s="46">
        <v>0.36631627702242098</v>
      </c>
    </row>
    <row r="223" spans="1:24" s="4" customFormat="1" ht="15" customHeight="1">
      <c r="A223" s="28" t="s">
        <v>3019</v>
      </c>
      <c r="B223" s="29">
        <v>3196.165</v>
      </c>
      <c r="C223" s="30" t="s">
        <v>3343</v>
      </c>
      <c r="D223" s="2">
        <v>4951082674</v>
      </c>
      <c r="E223" s="2" t="s">
        <v>18</v>
      </c>
      <c r="F223" s="2" t="s">
        <v>3344</v>
      </c>
      <c r="G223" s="28" t="s">
        <v>5</v>
      </c>
      <c r="H223" s="2" t="s">
        <v>35</v>
      </c>
      <c r="I223" s="2">
        <v>1</v>
      </c>
      <c r="J223" s="2" t="s">
        <v>3345</v>
      </c>
      <c r="K223" s="2">
        <v>40272</v>
      </c>
      <c r="L223" s="35">
        <v>128715956.88</v>
      </c>
      <c r="M223" s="36">
        <v>2400</v>
      </c>
      <c r="N223" s="40">
        <v>39137.4</v>
      </c>
      <c r="O223" s="48">
        <v>51088.08</v>
      </c>
      <c r="P223" s="40">
        <v>22830.12</v>
      </c>
      <c r="Q223" s="48">
        <v>13200</v>
      </c>
      <c r="R223" s="40">
        <v>223262.96</v>
      </c>
      <c r="S223" s="40">
        <v>42522.720000000001</v>
      </c>
      <c r="T223" s="40">
        <v>30000</v>
      </c>
      <c r="U223" s="40">
        <v>1013466</v>
      </c>
      <c r="V223" s="40">
        <v>0</v>
      </c>
      <c r="W223" s="45">
        <v>1435507.28</v>
      </c>
      <c r="X223" s="46">
        <v>1.11525199734039</v>
      </c>
    </row>
    <row r="224" spans="1:24" s="4" customFormat="1" ht="15" customHeight="1">
      <c r="A224" s="28" t="s">
        <v>3019</v>
      </c>
      <c r="B224" s="29">
        <v>3196.165</v>
      </c>
      <c r="C224" s="30" t="s">
        <v>3343</v>
      </c>
      <c r="D224" s="2">
        <v>4951551802</v>
      </c>
      <c r="E224" s="2" t="s">
        <v>18</v>
      </c>
      <c r="F224" s="2" t="s">
        <v>3344</v>
      </c>
      <c r="G224" s="28" t="s">
        <v>5</v>
      </c>
      <c r="H224" s="2" t="s">
        <v>35</v>
      </c>
      <c r="I224" s="2">
        <v>1</v>
      </c>
      <c r="J224" s="2" t="s">
        <v>3345</v>
      </c>
      <c r="K224" s="2">
        <v>101520</v>
      </c>
      <c r="L224" s="35">
        <v>324474670.80000001</v>
      </c>
      <c r="M224" s="36">
        <v>8000</v>
      </c>
      <c r="N224" s="40">
        <v>130458</v>
      </c>
      <c r="O224" s="48">
        <v>170293.6</v>
      </c>
      <c r="P224" s="40">
        <v>76100.399999999994</v>
      </c>
      <c r="Q224" s="48">
        <v>44000</v>
      </c>
      <c r="R224" s="40">
        <v>744208.2</v>
      </c>
      <c r="S224" s="40">
        <v>141742.39999999999</v>
      </c>
      <c r="T224" s="40">
        <v>30000</v>
      </c>
      <c r="U224" s="40">
        <v>3378220</v>
      </c>
      <c r="V224" s="40">
        <v>0</v>
      </c>
      <c r="W224" s="45">
        <v>4715022.5999999996</v>
      </c>
      <c r="X224" s="46">
        <v>1.4531250123083601</v>
      </c>
    </row>
    <row r="225" spans="1:24" s="4" customFormat="1" ht="15" customHeight="1">
      <c r="A225" s="28" t="s">
        <v>3019</v>
      </c>
      <c r="B225" s="29">
        <v>3196.165</v>
      </c>
      <c r="C225" s="30" t="s">
        <v>3343</v>
      </c>
      <c r="D225" s="2">
        <v>4951551803</v>
      </c>
      <c r="E225" s="2" t="s">
        <v>18</v>
      </c>
      <c r="F225" s="2" t="s">
        <v>3344</v>
      </c>
      <c r="G225" s="28" t="s">
        <v>5</v>
      </c>
      <c r="H225" s="2" t="s">
        <v>35</v>
      </c>
      <c r="I225" s="2">
        <v>1</v>
      </c>
      <c r="J225" s="2" t="s">
        <v>3345</v>
      </c>
      <c r="K225" s="2">
        <v>7104</v>
      </c>
      <c r="L225" s="35">
        <v>22705556.16</v>
      </c>
      <c r="M225" s="36">
        <v>9600</v>
      </c>
      <c r="N225" s="40">
        <v>156549.6</v>
      </c>
      <c r="O225" s="48">
        <v>204352.32</v>
      </c>
      <c r="P225" s="40">
        <v>91320.48</v>
      </c>
      <c r="Q225" s="48">
        <v>52800</v>
      </c>
      <c r="R225" s="40">
        <v>893049.84</v>
      </c>
      <c r="S225" s="40">
        <v>170090.88</v>
      </c>
      <c r="T225" s="40">
        <v>30000</v>
      </c>
      <c r="U225" s="40">
        <v>4053864</v>
      </c>
      <c r="V225" s="40">
        <v>0</v>
      </c>
      <c r="W225" s="45">
        <v>5652027.1200000001</v>
      </c>
      <c r="X225" s="46">
        <v>24.8927050285475</v>
      </c>
    </row>
    <row r="226" spans="1:24" s="4" customFormat="1" ht="15" customHeight="1">
      <c r="A226" s="28" t="s">
        <v>3019</v>
      </c>
      <c r="B226" s="29">
        <v>3196.165</v>
      </c>
      <c r="C226" s="30" t="s">
        <v>3355</v>
      </c>
      <c r="D226" s="2">
        <v>4950899543</v>
      </c>
      <c r="E226" s="2" t="s">
        <v>18</v>
      </c>
      <c r="F226" s="2" t="s">
        <v>3356</v>
      </c>
      <c r="G226" s="28" t="s">
        <v>5</v>
      </c>
      <c r="H226" s="2" t="s">
        <v>20</v>
      </c>
      <c r="I226" s="2">
        <v>1</v>
      </c>
      <c r="J226" s="2" t="s">
        <v>3357</v>
      </c>
      <c r="K226" s="2">
        <v>9090</v>
      </c>
      <c r="L226" s="35">
        <v>29053139.850000001</v>
      </c>
      <c r="M226" s="36">
        <v>3000</v>
      </c>
      <c r="N226" s="40">
        <v>147548.181818182</v>
      </c>
      <c r="O226" s="40">
        <v>324522</v>
      </c>
      <c r="P226" s="40">
        <v>0</v>
      </c>
      <c r="Q226" s="40">
        <v>110000</v>
      </c>
      <c r="R226" s="40">
        <v>263885</v>
      </c>
      <c r="S226" s="40">
        <v>161070.909090909</v>
      </c>
      <c r="T226" s="40">
        <v>30000</v>
      </c>
      <c r="U226" s="40">
        <v>2635500</v>
      </c>
      <c r="V226" s="40">
        <v>0</v>
      </c>
      <c r="W226" s="45">
        <v>3672526.0909090899</v>
      </c>
      <c r="X226" s="46">
        <v>12.6407201076034</v>
      </c>
    </row>
    <row r="227" spans="1:24" s="4" customFormat="1" ht="15" customHeight="1">
      <c r="A227" s="28" t="s">
        <v>3019</v>
      </c>
      <c r="B227" s="29">
        <v>3196.165</v>
      </c>
      <c r="C227" s="30" t="s">
        <v>3355</v>
      </c>
      <c r="D227" s="2">
        <v>4951748777</v>
      </c>
      <c r="E227" s="2" t="s">
        <v>18</v>
      </c>
      <c r="F227" s="2" t="s">
        <v>3356</v>
      </c>
      <c r="G227" s="28" t="s">
        <v>5</v>
      </c>
      <c r="H227" s="2" t="s">
        <v>20</v>
      </c>
      <c r="I227" s="2">
        <v>1</v>
      </c>
      <c r="J227" s="2" t="s">
        <v>3357</v>
      </c>
      <c r="K227" s="2">
        <v>10260</v>
      </c>
      <c r="L227" s="35">
        <v>32792652.899999999</v>
      </c>
      <c r="M227" s="36">
        <v>3600</v>
      </c>
      <c r="N227" s="40">
        <v>177057.818181818</v>
      </c>
      <c r="O227" s="40">
        <v>324522</v>
      </c>
      <c r="P227" s="40">
        <v>0</v>
      </c>
      <c r="Q227" s="40">
        <v>110000</v>
      </c>
      <c r="R227" s="40">
        <v>316662</v>
      </c>
      <c r="S227" s="40">
        <v>193285.090909091</v>
      </c>
      <c r="T227" s="40">
        <v>30000</v>
      </c>
      <c r="U227" s="40">
        <v>0</v>
      </c>
      <c r="V227" s="40">
        <v>0</v>
      </c>
      <c r="W227" s="45">
        <v>1151526.9090909101</v>
      </c>
      <c r="X227" s="46">
        <v>3.5115393457261499</v>
      </c>
    </row>
    <row r="228" spans="1:24" s="4" customFormat="1" ht="15" customHeight="1">
      <c r="A228" s="28" t="s">
        <v>3019</v>
      </c>
      <c r="B228" s="29">
        <v>3196.165</v>
      </c>
      <c r="C228" s="30" t="s">
        <v>3360</v>
      </c>
      <c r="D228" s="2">
        <v>4951817781</v>
      </c>
      <c r="E228" s="2" t="s">
        <v>18</v>
      </c>
      <c r="F228" s="2" t="s">
        <v>3361</v>
      </c>
      <c r="G228" s="28" t="s">
        <v>9</v>
      </c>
      <c r="H228" s="2" t="s">
        <v>23</v>
      </c>
      <c r="I228" s="2">
        <v>2</v>
      </c>
      <c r="J228" s="2"/>
      <c r="K228" s="2">
        <v>7329</v>
      </c>
      <c r="L228" s="35">
        <v>23424693.285</v>
      </c>
      <c r="M228" s="36">
        <v>700</v>
      </c>
      <c r="N228" s="40">
        <v>527715</v>
      </c>
      <c r="O228" s="40">
        <v>1022</v>
      </c>
      <c r="P228" s="40">
        <v>7737</v>
      </c>
      <c r="Q228" s="40">
        <v>12403</v>
      </c>
      <c r="R228" s="40">
        <v>240314</v>
      </c>
      <c r="S228" s="40">
        <v>354356</v>
      </c>
      <c r="T228" s="40">
        <v>30000</v>
      </c>
      <c r="U228" s="40">
        <v>0</v>
      </c>
      <c r="V228" s="40">
        <v>0</v>
      </c>
      <c r="W228" s="45">
        <v>1173547</v>
      </c>
      <c r="X228" s="46">
        <v>5.0098713597734896</v>
      </c>
    </row>
    <row r="229" spans="1:24" s="4" customFormat="1" ht="15" customHeight="1">
      <c r="A229" s="28" t="s">
        <v>3019</v>
      </c>
      <c r="B229" s="29">
        <v>3196.165</v>
      </c>
      <c r="C229" s="30" t="s">
        <v>3394</v>
      </c>
      <c r="D229" s="2">
        <v>4950899242</v>
      </c>
      <c r="E229" s="2" t="s">
        <v>18</v>
      </c>
      <c r="F229" s="2" t="s">
        <v>3395</v>
      </c>
      <c r="G229" s="28" t="s">
        <v>9</v>
      </c>
      <c r="H229" s="2" t="s">
        <v>23</v>
      </c>
      <c r="I229" s="2">
        <v>1</v>
      </c>
      <c r="J229" s="2"/>
      <c r="K229" s="2">
        <v>5010</v>
      </c>
      <c r="L229" s="35">
        <v>16012786.65</v>
      </c>
      <c r="M229" s="36">
        <v>200</v>
      </c>
      <c r="N229" s="40">
        <v>359499.76</v>
      </c>
      <c r="O229" s="40">
        <v>255</v>
      </c>
      <c r="P229" s="40">
        <v>11299</v>
      </c>
      <c r="Q229" s="40">
        <v>3364</v>
      </c>
      <c r="R229" s="40">
        <v>364241</v>
      </c>
      <c r="S229" s="40">
        <v>354356</v>
      </c>
      <c r="T229" s="40">
        <v>30000</v>
      </c>
      <c r="U229" s="40">
        <v>252200</v>
      </c>
      <c r="V229" s="40">
        <v>0</v>
      </c>
      <c r="W229" s="45">
        <v>1375214.76</v>
      </c>
      <c r="X229" s="46">
        <v>8.58822883273724</v>
      </c>
    </row>
    <row r="230" spans="1:24" s="4" customFormat="1" ht="15" customHeight="1">
      <c r="A230" s="28" t="s">
        <v>3019</v>
      </c>
      <c r="B230" s="29">
        <v>3196.165</v>
      </c>
      <c r="C230" s="30" t="s">
        <v>3402</v>
      </c>
      <c r="D230" s="2">
        <v>4951609998</v>
      </c>
      <c r="E230" s="2" t="s">
        <v>18</v>
      </c>
      <c r="F230" s="2" t="s">
        <v>3403</v>
      </c>
      <c r="G230" s="28" t="s">
        <v>5</v>
      </c>
      <c r="H230" s="2" t="s">
        <v>35</v>
      </c>
      <c r="I230" s="2">
        <v>1</v>
      </c>
      <c r="J230" s="2" t="s">
        <v>3404</v>
      </c>
      <c r="K230" s="2">
        <v>114320</v>
      </c>
      <c r="L230" s="35">
        <v>365385582.80000001</v>
      </c>
      <c r="M230" s="36">
        <v>1600</v>
      </c>
      <c r="N230" s="40">
        <v>81536.25</v>
      </c>
      <c r="O230" s="48">
        <v>106433.5</v>
      </c>
      <c r="P230" s="40">
        <v>0</v>
      </c>
      <c r="Q230" s="48">
        <v>27500</v>
      </c>
      <c r="R230" s="40">
        <v>233460.25</v>
      </c>
      <c r="S230" s="40">
        <v>88589</v>
      </c>
      <c r="T230" s="40">
        <v>30000</v>
      </c>
      <c r="U230" s="40">
        <v>658875</v>
      </c>
      <c r="V230" s="40">
        <v>333750</v>
      </c>
      <c r="W230" s="45">
        <v>1560144</v>
      </c>
      <c r="X230" s="46">
        <v>0.42698564843319797</v>
      </c>
    </row>
    <row r="231" spans="1:24" s="4" customFormat="1" ht="15" customHeight="1">
      <c r="A231" s="28" t="s">
        <v>3019</v>
      </c>
      <c r="B231" s="29">
        <v>3196.165</v>
      </c>
      <c r="C231" s="30" t="s">
        <v>3402</v>
      </c>
      <c r="D231" s="2">
        <v>4951574732</v>
      </c>
      <c r="E231" s="2" t="s">
        <v>18</v>
      </c>
      <c r="F231" s="2" t="s">
        <v>3403</v>
      </c>
      <c r="G231" s="28" t="s">
        <v>5</v>
      </c>
      <c r="H231" s="2" t="s">
        <v>35</v>
      </c>
      <c r="I231" s="2">
        <v>1</v>
      </c>
      <c r="J231" s="2" t="s">
        <v>3404</v>
      </c>
      <c r="K231" s="2">
        <v>407280</v>
      </c>
      <c r="L231" s="35">
        <v>1301734081.2</v>
      </c>
      <c r="M231" s="36">
        <v>4800</v>
      </c>
      <c r="N231" s="40">
        <v>244608.75</v>
      </c>
      <c r="O231" s="48">
        <v>319300.5</v>
      </c>
      <c r="P231" s="40">
        <v>0</v>
      </c>
      <c r="Q231" s="48">
        <v>82500</v>
      </c>
      <c r="R231" s="40">
        <v>700379.75</v>
      </c>
      <c r="S231" s="40">
        <v>265767</v>
      </c>
      <c r="T231" s="40">
        <v>30000</v>
      </c>
      <c r="U231" s="40">
        <v>1976625</v>
      </c>
      <c r="V231" s="40">
        <v>1001250</v>
      </c>
      <c r="W231" s="45">
        <v>4620431</v>
      </c>
      <c r="X231" s="46">
        <v>0.35494430596306298</v>
      </c>
    </row>
    <row r="232" spans="1:24" s="4" customFormat="1" ht="15" customHeight="1">
      <c r="A232" s="28" t="s">
        <v>3019</v>
      </c>
      <c r="B232" s="29">
        <v>3196.165</v>
      </c>
      <c r="C232" s="30" t="s">
        <v>3411</v>
      </c>
      <c r="D232" s="2">
        <v>4951574713</v>
      </c>
      <c r="E232" s="2" t="s">
        <v>18</v>
      </c>
      <c r="F232" s="2" t="s">
        <v>3412</v>
      </c>
      <c r="G232" s="28" t="s">
        <v>9</v>
      </c>
      <c r="H232" s="2" t="s">
        <v>23</v>
      </c>
      <c r="I232" s="2">
        <v>4</v>
      </c>
      <c r="J232" s="2"/>
      <c r="K232" s="2">
        <v>14560</v>
      </c>
      <c r="L232" s="35">
        <v>46536162.399999999</v>
      </c>
      <c r="M232" s="36">
        <v>4000</v>
      </c>
      <c r="N232" s="40">
        <v>966425</v>
      </c>
      <c r="O232" s="40">
        <v>2615</v>
      </c>
      <c r="P232" s="40">
        <v>0</v>
      </c>
      <c r="Q232" s="40">
        <v>82267</v>
      </c>
      <c r="R232" s="40">
        <v>218182</v>
      </c>
      <c r="S232" s="40">
        <v>354356</v>
      </c>
      <c r="T232" s="40">
        <v>30000</v>
      </c>
      <c r="U232" s="40">
        <v>1797844.8275862101</v>
      </c>
      <c r="V232" s="40">
        <v>0</v>
      </c>
      <c r="W232" s="45">
        <v>3451689.8275862099</v>
      </c>
      <c r="X232" s="46">
        <v>7.4172206077444196</v>
      </c>
    </row>
    <row r="234" spans="1:24" ht="15" customHeight="1">
      <c r="A234" s="31" t="s">
        <v>3019</v>
      </c>
      <c r="B234" s="31"/>
      <c r="C234" s="31"/>
      <c r="D234" s="31"/>
      <c r="E234" s="31"/>
      <c r="F234" s="32">
        <v>18</v>
      </c>
      <c r="G234" s="31"/>
      <c r="H234" s="31"/>
      <c r="I234" s="38"/>
      <c r="J234" s="31"/>
      <c r="K234" s="39">
        <f>+SUM(K202:K232)</f>
        <v>1403409.6400000001</v>
      </c>
      <c r="L234" s="39">
        <f>+SUM(L202:L232)</f>
        <v>4485528772.0306005</v>
      </c>
      <c r="M234" s="31"/>
      <c r="N234" s="39"/>
      <c r="O234" s="39"/>
      <c r="P234" s="39"/>
      <c r="Q234" s="39"/>
      <c r="R234" s="39"/>
      <c r="S234" s="39"/>
      <c r="T234" s="39"/>
      <c r="U234" s="39"/>
      <c r="V234" s="31"/>
      <c r="W234" s="39">
        <f>+SUM(W202:W232)</f>
        <v>84873804.447602987</v>
      </c>
      <c r="X234" s="47">
        <f>(W234/L234)*100</f>
        <v>1.8921694355597811</v>
      </c>
    </row>
    <row r="236" spans="1:24" s="4" customFormat="1" ht="15" customHeight="1">
      <c r="A236" s="28" t="s">
        <v>3483</v>
      </c>
      <c r="B236" s="29">
        <v>3387.15</v>
      </c>
      <c r="C236" s="30" t="s">
        <v>3497</v>
      </c>
      <c r="D236" s="2">
        <v>4952572453</v>
      </c>
      <c r="E236" s="2" t="s">
        <v>18</v>
      </c>
      <c r="F236" s="2" t="s">
        <v>3498</v>
      </c>
      <c r="G236" s="28" t="s">
        <v>13</v>
      </c>
      <c r="H236" s="2" t="s">
        <v>23</v>
      </c>
      <c r="I236" s="2">
        <v>1</v>
      </c>
      <c r="J236" s="2"/>
      <c r="K236" s="2">
        <v>3610</v>
      </c>
      <c r="L236" s="35">
        <v>12227611.5</v>
      </c>
      <c r="M236" s="36">
        <v>1000</v>
      </c>
      <c r="N236" s="40">
        <v>722327</v>
      </c>
      <c r="O236" s="40">
        <v>0</v>
      </c>
      <c r="P236" s="40">
        <v>0</v>
      </c>
      <c r="Q236" s="40">
        <v>0</v>
      </c>
      <c r="R236" s="40">
        <v>2889</v>
      </c>
      <c r="S236" s="40">
        <v>354356</v>
      </c>
      <c r="T236" s="40">
        <v>30000</v>
      </c>
      <c r="U236" s="40">
        <v>246380</v>
      </c>
      <c r="V236" s="40">
        <v>0</v>
      </c>
      <c r="W236" s="45">
        <v>1355952</v>
      </c>
      <c r="X236" s="46">
        <v>11.0892630175566</v>
      </c>
    </row>
    <row r="237" spans="1:24" s="4" customFormat="1" ht="15" customHeight="1">
      <c r="A237" s="28" t="s">
        <v>3483</v>
      </c>
      <c r="B237" s="29">
        <v>3387.15</v>
      </c>
      <c r="C237" s="30" t="s">
        <v>3536</v>
      </c>
      <c r="D237" s="2">
        <v>4951017917</v>
      </c>
      <c r="E237" s="2" t="s">
        <v>18</v>
      </c>
      <c r="F237" s="2" t="s">
        <v>3537</v>
      </c>
      <c r="G237" s="28" t="s">
        <v>5</v>
      </c>
      <c r="H237" s="2" t="s">
        <v>20</v>
      </c>
      <c r="I237" s="2">
        <v>1</v>
      </c>
      <c r="J237" s="2" t="s">
        <v>3538</v>
      </c>
      <c r="K237" s="2">
        <v>21375</v>
      </c>
      <c r="L237" s="35">
        <v>72400331.25</v>
      </c>
      <c r="M237" s="36">
        <v>17100</v>
      </c>
      <c r="N237" s="40">
        <v>324606</v>
      </c>
      <c r="O237" s="40">
        <v>435616</v>
      </c>
      <c r="P237" s="40">
        <v>715890</v>
      </c>
      <c r="Q237" s="40">
        <v>124137</v>
      </c>
      <c r="R237" s="40">
        <v>637508</v>
      </c>
      <c r="S237" s="40">
        <v>354356</v>
      </c>
      <c r="T237" s="40">
        <v>30000</v>
      </c>
      <c r="U237" s="40">
        <v>4413500</v>
      </c>
      <c r="V237" s="40">
        <v>0</v>
      </c>
      <c r="W237" s="45">
        <v>7035613</v>
      </c>
      <c r="X237" s="46">
        <v>9.7176530528649998</v>
      </c>
    </row>
    <row r="238" spans="1:24" s="4" customFormat="1" ht="15" customHeight="1">
      <c r="A238" s="28" t="s">
        <v>3483</v>
      </c>
      <c r="B238" s="29">
        <v>3387.15</v>
      </c>
      <c r="C238" s="30" t="s">
        <v>3539</v>
      </c>
      <c r="D238" s="2">
        <v>4951408235</v>
      </c>
      <c r="E238" s="2" t="s">
        <v>18</v>
      </c>
      <c r="F238" s="2" t="s">
        <v>3540</v>
      </c>
      <c r="G238" s="28" t="s">
        <v>9</v>
      </c>
      <c r="H238" s="2" t="s">
        <v>23</v>
      </c>
      <c r="I238" s="2">
        <v>3</v>
      </c>
      <c r="J238" s="2"/>
      <c r="K238" s="2">
        <v>53844</v>
      </c>
      <c r="L238" s="35">
        <v>182377704.59999999</v>
      </c>
      <c r="M238" s="36">
        <v>1050</v>
      </c>
      <c r="N238" s="40">
        <v>498623</v>
      </c>
      <c r="O238" s="40">
        <v>707</v>
      </c>
      <c r="P238" s="40">
        <v>32816</v>
      </c>
      <c r="Q238" s="40">
        <v>22240</v>
      </c>
      <c r="R238" s="40">
        <v>242992</v>
      </c>
      <c r="S238" s="40">
        <v>354356</v>
      </c>
      <c r="T238" s="40">
        <v>30000</v>
      </c>
      <c r="U238" s="40">
        <v>995352.27272727306</v>
      </c>
      <c r="V238" s="40">
        <v>0</v>
      </c>
      <c r="W238" s="45">
        <v>2177086.2727272701</v>
      </c>
      <c r="X238" s="46">
        <v>1.19372391351353</v>
      </c>
    </row>
    <row r="239" spans="1:24" s="4" customFormat="1" ht="15" customHeight="1">
      <c r="A239" s="28" t="s">
        <v>3483</v>
      </c>
      <c r="B239" s="29">
        <v>3387.15</v>
      </c>
      <c r="C239" s="30" t="s">
        <v>3544</v>
      </c>
      <c r="D239" s="2">
        <v>4951574742</v>
      </c>
      <c r="E239" s="2" t="s">
        <v>18</v>
      </c>
      <c r="F239" s="2" t="s">
        <v>3545</v>
      </c>
      <c r="G239" s="28" t="s">
        <v>5</v>
      </c>
      <c r="H239" s="2" t="s">
        <v>17</v>
      </c>
      <c r="I239" s="2">
        <v>1</v>
      </c>
      <c r="J239" s="2" t="s">
        <v>3546</v>
      </c>
      <c r="K239" s="2">
        <v>80750</v>
      </c>
      <c r="L239" s="35">
        <v>273512362.5</v>
      </c>
      <c r="M239" s="36">
        <v>5000</v>
      </c>
      <c r="N239" s="40">
        <v>192785.29411764699</v>
      </c>
      <c r="O239" s="40">
        <v>152999.66666666701</v>
      </c>
      <c r="P239" s="40">
        <v>236161.764705882</v>
      </c>
      <c r="Q239" s="40">
        <v>36666.666666666701</v>
      </c>
      <c r="R239" s="40">
        <v>484754.70588235301</v>
      </c>
      <c r="S239" s="40">
        <v>208444.70588235301</v>
      </c>
      <c r="T239" s="40">
        <v>30000</v>
      </c>
      <c r="U239" s="40">
        <v>2775911.7647058801</v>
      </c>
      <c r="V239" s="40">
        <v>0</v>
      </c>
      <c r="W239" s="45">
        <v>4117724.5686274501</v>
      </c>
      <c r="X239" s="46">
        <v>1.5054985196976101</v>
      </c>
    </row>
    <row r="240" spans="1:24" s="4" customFormat="1" ht="15" customHeight="1">
      <c r="A240" s="28" t="s">
        <v>3483</v>
      </c>
      <c r="B240" s="29">
        <v>3387.15</v>
      </c>
      <c r="C240" s="30" t="s">
        <v>3544</v>
      </c>
      <c r="D240" s="2">
        <v>4951574706</v>
      </c>
      <c r="E240" s="2" t="s">
        <v>18</v>
      </c>
      <c r="F240" s="2" t="s">
        <v>3545</v>
      </c>
      <c r="G240" s="28" t="s">
        <v>5</v>
      </c>
      <c r="H240" s="2" t="s">
        <v>17</v>
      </c>
      <c r="I240" s="2">
        <v>1</v>
      </c>
      <c r="J240" s="2" t="s">
        <v>3546</v>
      </c>
      <c r="K240" s="2">
        <v>69990</v>
      </c>
      <c r="L240" s="35">
        <v>237066628.5</v>
      </c>
      <c r="M240" s="36">
        <v>3000</v>
      </c>
      <c r="N240" s="40">
        <v>115671.17647058801</v>
      </c>
      <c r="O240" s="40">
        <v>152999.66666666701</v>
      </c>
      <c r="P240" s="40">
        <v>141697.05882352899</v>
      </c>
      <c r="Q240" s="40">
        <v>36666.666666666701</v>
      </c>
      <c r="R240" s="40">
        <v>290852.82352941198</v>
      </c>
      <c r="S240" s="40">
        <v>125066.82352941199</v>
      </c>
      <c r="T240" s="40">
        <v>30000</v>
      </c>
      <c r="U240" s="40">
        <v>1665547.0588235301</v>
      </c>
      <c r="V240" s="40">
        <v>0</v>
      </c>
      <c r="W240" s="45">
        <v>2558501.2745098001</v>
      </c>
      <c r="X240" s="46">
        <v>1.0792329948328401</v>
      </c>
    </row>
    <row r="241" spans="1:24" s="4" customFormat="1" ht="15" customHeight="1">
      <c r="A241" s="28" t="s">
        <v>3483</v>
      </c>
      <c r="B241" s="29">
        <v>3387.15</v>
      </c>
      <c r="C241" s="30" t="s">
        <v>3544</v>
      </c>
      <c r="D241" s="2">
        <v>4951574715</v>
      </c>
      <c r="E241" s="2" t="s">
        <v>18</v>
      </c>
      <c r="F241" s="2" t="s">
        <v>3545</v>
      </c>
      <c r="G241" s="28" t="s">
        <v>5</v>
      </c>
      <c r="H241" s="2" t="s">
        <v>17</v>
      </c>
      <c r="I241" s="2">
        <v>1</v>
      </c>
      <c r="J241" s="2" t="s">
        <v>3546</v>
      </c>
      <c r="K241" s="2">
        <v>2685</v>
      </c>
      <c r="L241" s="35">
        <v>9094497.75</v>
      </c>
      <c r="M241" s="36">
        <v>500</v>
      </c>
      <c r="N241" s="40">
        <v>19278.529411764699</v>
      </c>
      <c r="O241" s="40">
        <v>152999.66666666701</v>
      </c>
      <c r="P241" s="40">
        <v>23616.176470588201</v>
      </c>
      <c r="Q241" s="40">
        <v>36666.666666666701</v>
      </c>
      <c r="R241" s="40">
        <v>48475.470588235301</v>
      </c>
      <c r="S241" s="40">
        <v>20844.470588235301</v>
      </c>
      <c r="T241" s="40">
        <v>30000</v>
      </c>
      <c r="U241" s="40">
        <v>277591.17647058802</v>
      </c>
      <c r="V241" s="40">
        <v>0</v>
      </c>
      <c r="W241" s="45">
        <v>609472.15686274495</v>
      </c>
      <c r="X241" s="46">
        <v>6.7015482725557298</v>
      </c>
    </row>
    <row r="242" spans="1:24" s="4" customFormat="1" ht="15" customHeight="1">
      <c r="A242" s="28" t="s">
        <v>3483</v>
      </c>
      <c r="B242" s="29">
        <v>3387.15</v>
      </c>
      <c r="C242" s="30" t="s">
        <v>3547</v>
      </c>
      <c r="D242" s="2">
        <v>4951574734</v>
      </c>
      <c r="E242" s="2" t="s">
        <v>18</v>
      </c>
      <c r="F242" s="2" t="s">
        <v>3548</v>
      </c>
      <c r="G242" s="28" t="s">
        <v>5</v>
      </c>
      <c r="H242" s="2" t="s">
        <v>20</v>
      </c>
      <c r="I242" s="2">
        <v>1</v>
      </c>
      <c r="J242" s="2" t="s">
        <v>3549</v>
      </c>
      <c r="K242" s="2">
        <v>22572</v>
      </c>
      <c r="L242" s="35">
        <v>76454749.799999997</v>
      </c>
      <c r="M242" s="36">
        <v>19800</v>
      </c>
      <c r="N242" s="40">
        <v>379007</v>
      </c>
      <c r="O242" s="40">
        <v>435616</v>
      </c>
      <c r="P242" s="40">
        <v>455005</v>
      </c>
      <c r="Q242" s="40">
        <v>124137</v>
      </c>
      <c r="R242" s="40">
        <v>642596</v>
      </c>
      <c r="S242" s="40">
        <v>354356</v>
      </c>
      <c r="T242" s="40">
        <v>30000</v>
      </c>
      <c r="U242" s="40">
        <v>4811200</v>
      </c>
      <c r="V242" s="40">
        <v>0</v>
      </c>
      <c r="W242" s="45">
        <v>7231917</v>
      </c>
      <c r="X242" s="46">
        <v>9.4590813767858304</v>
      </c>
    </row>
    <row r="243" spans="1:24" s="4" customFormat="1" ht="15" customHeight="1">
      <c r="A243" s="28" t="s">
        <v>3483</v>
      </c>
      <c r="B243" s="29">
        <v>3387.15</v>
      </c>
      <c r="C243" s="30" t="s">
        <v>3575</v>
      </c>
      <c r="D243" s="2">
        <v>4951756763</v>
      </c>
      <c r="E243" s="2" t="s">
        <v>18</v>
      </c>
      <c r="F243" s="2" t="s">
        <v>3576</v>
      </c>
      <c r="G243" s="28" t="s">
        <v>5</v>
      </c>
      <c r="H243" s="2" t="s">
        <v>32</v>
      </c>
      <c r="I243" s="2">
        <v>1</v>
      </c>
      <c r="J243" s="2" t="s">
        <v>3577</v>
      </c>
      <c r="K243" s="2">
        <v>668.5</v>
      </c>
      <c r="L243" s="35">
        <v>2264309.7749999999</v>
      </c>
      <c r="M243" s="36">
        <v>350</v>
      </c>
      <c r="N243" s="40">
        <v>327735</v>
      </c>
      <c r="O243" s="40">
        <v>349879</v>
      </c>
      <c r="P243" s="40">
        <v>455005</v>
      </c>
      <c r="Q243" s="40">
        <v>110000</v>
      </c>
      <c r="R243" s="40">
        <v>1821909</v>
      </c>
      <c r="S243" s="40">
        <v>354356</v>
      </c>
      <c r="T243" s="40">
        <v>30000</v>
      </c>
      <c r="U243" s="40">
        <v>1917700</v>
      </c>
      <c r="V243" s="40">
        <v>0</v>
      </c>
      <c r="W243" s="45">
        <v>5366584</v>
      </c>
      <c r="X243" s="46">
        <v>237.007500442381</v>
      </c>
    </row>
    <row r="244" spans="1:24" s="4" customFormat="1" ht="15" customHeight="1">
      <c r="A244" s="28" t="s">
        <v>3483</v>
      </c>
      <c r="B244" s="29">
        <v>3387.15</v>
      </c>
      <c r="C244" s="30" t="s">
        <v>3578</v>
      </c>
      <c r="D244" s="2">
        <v>4951408238</v>
      </c>
      <c r="E244" s="2" t="s">
        <v>18</v>
      </c>
      <c r="F244" s="2" t="s">
        <v>3579</v>
      </c>
      <c r="G244" s="28" t="s">
        <v>9</v>
      </c>
      <c r="H244" s="2" t="s">
        <v>23</v>
      </c>
      <c r="I244" s="2">
        <v>3</v>
      </c>
      <c r="J244" s="2"/>
      <c r="K244" s="2">
        <v>14189</v>
      </c>
      <c r="L244" s="35">
        <v>48060271.350000001</v>
      </c>
      <c r="M244" s="36">
        <v>350</v>
      </c>
      <c r="N244" s="40">
        <v>154164.04347826101</v>
      </c>
      <c r="O244" s="40">
        <v>380.5</v>
      </c>
      <c r="P244" s="40">
        <v>10975.695652173899</v>
      </c>
      <c r="Q244" s="40">
        <v>9665</v>
      </c>
      <c r="R244" s="40">
        <v>75352.260869565202</v>
      </c>
      <c r="S244" s="40">
        <v>107847.47826087</v>
      </c>
      <c r="T244" s="40">
        <v>30000</v>
      </c>
      <c r="U244" s="40">
        <v>331784.090909091</v>
      </c>
      <c r="V244" s="40">
        <v>0</v>
      </c>
      <c r="W244" s="45">
        <v>720169.06916996103</v>
      </c>
      <c r="X244" s="46">
        <v>1.4984706680603499</v>
      </c>
    </row>
    <row r="245" spans="1:24" s="4" customFormat="1" ht="15" customHeight="1">
      <c r="A245" s="28" t="s">
        <v>3483</v>
      </c>
      <c r="B245" s="29">
        <v>3387.15</v>
      </c>
      <c r="C245" s="30" t="s">
        <v>3578</v>
      </c>
      <c r="D245" s="2">
        <v>4951432912</v>
      </c>
      <c r="E245" s="2" t="s">
        <v>18</v>
      </c>
      <c r="F245" s="2" t="s">
        <v>3579</v>
      </c>
      <c r="G245" s="28" t="s">
        <v>9</v>
      </c>
      <c r="H245" s="2" t="s">
        <v>23</v>
      </c>
      <c r="I245" s="2">
        <v>3</v>
      </c>
      <c r="J245" s="2"/>
      <c r="K245" s="2">
        <v>20572</v>
      </c>
      <c r="L245" s="35">
        <v>69680449.799999997</v>
      </c>
      <c r="M245" s="36">
        <v>800</v>
      </c>
      <c r="N245" s="40">
        <v>352374.95652173902</v>
      </c>
      <c r="O245" s="40">
        <v>380.5</v>
      </c>
      <c r="P245" s="40">
        <v>25087.304347826099</v>
      </c>
      <c r="Q245" s="40">
        <v>9665</v>
      </c>
      <c r="R245" s="40">
        <v>172233.73913043499</v>
      </c>
      <c r="S245" s="40">
        <v>246508.52173913</v>
      </c>
      <c r="T245" s="40">
        <v>30000</v>
      </c>
      <c r="U245" s="40">
        <v>758363.636363636</v>
      </c>
      <c r="V245" s="40">
        <v>0</v>
      </c>
      <c r="W245" s="45">
        <v>1594613.6581027701</v>
      </c>
      <c r="X245" s="46">
        <v>2.28846636707957</v>
      </c>
    </row>
    <row r="246" spans="1:24" s="4" customFormat="1" ht="15" customHeight="1">
      <c r="A246" s="28" t="s">
        <v>3483</v>
      </c>
      <c r="B246" s="29">
        <v>3387.15</v>
      </c>
      <c r="C246" s="30" t="s">
        <v>3580</v>
      </c>
      <c r="D246" s="2">
        <v>4951574707</v>
      </c>
      <c r="E246" s="2" t="s">
        <v>18</v>
      </c>
      <c r="F246" s="2" t="s">
        <v>3581</v>
      </c>
      <c r="G246" s="28" t="s">
        <v>5</v>
      </c>
      <c r="H246" s="2" t="s">
        <v>20</v>
      </c>
      <c r="I246" s="2">
        <v>1</v>
      </c>
      <c r="J246" s="2" t="s">
        <v>3582</v>
      </c>
      <c r="K246" s="2">
        <v>21375</v>
      </c>
      <c r="L246" s="35">
        <v>72400331.25</v>
      </c>
      <c r="M246" s="36">
        <v>17100</v>
      </c>
      <c r="N246" s="40">
        <v>324667</v>
      </c>
      <c r="O246" s="40">
        <v>349879</v>
      </c>
      <c r="P246" s="40">
        <v>132572</v>
      </c>
      <c r="Q246" s="40">
        <v>110000</v>
      </c>
      <c r="R246" s="40">
        <v>804773</v>
      </c>
      <c r="S246" s="40">
        <v>354356</v>
      </c>
      <c r="T246" s="40">
        <v>30000</v>
      </c>
      <c r="U246" s="40">
        <v>4413500</v>
      </c>
      <c r="V246" s="40">
        <v>0</v>
      </c>
      <c r="W246" s="45">
        <v>6519747</v>
      </c>
      <c r="X246" s="46">
        <v>9.0051342133880095</v>
      </c>
    </row>
    <row r="247" spans="1:24" s="4" customFormat="1" ht="15" customHeight="1">
      <c r="A247" s="28" t="s">
        <v>3483</v>
      </c>
      <c r="B247" s="29">
        <v>3387.15</v>
      </c>
      <c r="C247" s="30" t="s">
        <v>3583</v>
      </c>
      <c r="D247" s="2">
        <v>4951574710</v>
      </c>
      <c r="E247" s="2" t="s">
        <v>18</v>
      </c>
      <c r="F247" s="2" t="s">
        <v>3584</v>
      </c>
      <c r="G247" s="28" t="s">
        <v>5</v>
      </c>
      <c r="H247" s="2" t="s">
        <v>17</v>
      </c>
      <c r="I247" s="2">
        <v>2</v>
      </c>
      <c r="J247" s="2" t="s">
        <v>3585</v>
      </c>
      <c r="K247" s="2">
        <v>43700</v>
      </c>
      <c r="L247" s="35">
        <v>148018455</v>
      </c>
      <c r="M247" s="36">
        <v>10000</v>
      </c>
      <c r="N247" s="40">
        <v>291543.46153846203</v>
      </c>
      <c r="O247" s="40">
        <v>458999.5</v>
      </c>
      <c r="P247" s="40">
        <v>0</v>
      </c>
      <c r="Q247" s="40">
        <v>99309.5</v>
      </c>
      <c r="R247" s="40">
        <v>285733.38461538497</v>
      </c>
      <c r="S247" s="40">
        <v>136290.76923076899</v>
      </c>
      <c r="T247" s="40">
        <v>30000</v>
      </c>
      <c r="U247" s="40">
        <v>3909846.1538461498</v>
      </c>
      <c r="V247" s="40">
        <v>0</v>
      </c>
      <c r="W247" s="45">
        <v>5211722.7692307699</v>
      </c>
      <c r="X247" s="46">
        <v>3.5209952497009702</v>
      </c>
    </row>
    <row r="248" spans="1:24" s="4" customFormat="1" ht="15" customHeight="1">
      <c r="A248" s="28" t="s">
        <v>3483</v>
      </c>
      <c r="B248" s="29">
        <v>3387.15</v>
      </c>
      <c r="C248" s="30" t="s">
        <v>3583</v>
      </c>
      <c r="D248" s="2">
        <v>4951574708</v>
      </c>
      <c r="E248" s="2" t="s">
        <v>18</v>
      </c>
      <c r="F248" s="2" t="s">
        <v>3584</v>
      </c>
      <c r="G248" s="28" t="s">
        <v>5</v>
      </c>
      <c r="H248" s="2" t="s">
        <v>17</v>
      </c>
      <c r="I248" s="2">
        <v>2</v>
      </c>
      <c r="J248" s="2" t="s">
        <v>3585</v>
      </c>
      <c r="K248" s="2">
        <v>69920</v>
      </c>
      <c r="L248" s="35">
        <v>236829528</v>
      </c>
      <c r="M248" s="36">
        <v>16000</v>
      </c>
      <c r="N248" s="40">
        <v>466469.53846153797</v>
      </c>
      <c r="O248" s="40">
        <v>458999.5</v>
      </c>
      <c r="P248" s="40">
        <v>0</v>
      </c>
      <c r="Q248" s="40">
        <v>99309.5</v>
      </c>
      <c r="R248" s="40">
        <v>457173.61538461503</v>
      </c>
      <c r="S248" s="40">
        <v>218065.23076923101</v>
      </c>
      <c r="T248" s="40">
        <v>30000</v>
      </c>
      <c r="U248" s="40">
        <v>6255753.8461538497</v>
      </c>
      <c r="V248" s="40">
        <v>0</v>
      </c>
      <c r="W248" s="45">
        <v>7985771.2307692301</v>
      </c>
      <c r="X248" s="46">
        <v>3.3719491392007601</v>
      </c>
    </row>
    <row r="249" spans="1:24" s="4" customFormat="1" ht="15" customHeight="1">
      <c r="A249" s="28" t="s">
        <v>3483</v>
      </c>
      <c r="B249" s="29">
        <v>3387.15</v>
      </c>
      <c r="C249" s="30" t="s">
        <v>3593</v>
      </c>
      <c r="D249" s="2">
        <v>4951574717</v>
      </c>
      <c r="E249" s="2" t="s">
        <v>18</v>
      </c>
      <c r="F249" s="2" t="s">
        <v>3594</v>
      </c>
      <c r="G249" s="28" t="s">
        <v>9</v>
      </c>
      <c r="H249" s="2" t="s">
        <v>23</v>
      </c>
      <c r="I249" s="2">
        <v>2</v>
      </c>
      <c r="J249" s="2"/>
      <c r="K249" s="2">
        <v>6400</v>
      </c>
      <c r="L249" s="35">
        <v>21677760</v>
      </c>
      <c r="M249" s="36">
        <v>2000</v>
      </c>
      <c r="N249" s="40">
        <v>579545</v>
      </c>
      <c r="O249" s="40">
        <v>1310</v>
      </c>
      <c r="P249" s="40">
        <v>0</v>
      </c>
      <c r="Q249" s="40">
        <v>32642</v>
      </c>
      <c r="R249" s="40">
        <v>123039</v>
      </c>
      <c r="S249" s="40">
        <v>354356</v>
      </c>
      <c r="T249" s="40">
        <v>30000</v>
      </c>
      <c r="U249" s="40">
        <v>1009927.36077482</v>
      </c>
      <c r="V249" s="40">
        <v>0</v>
      </c>
      <c r="W249" s="45">
        <v>2130819.3607748202</v>
      </c>
      <c r="X249" s="46">
        <v>9.8295181825743096</v>
      </c>
    </row>
    <row r="250" spans="1:24" s="4" customFormat="1" ht="15" customHeight="1">
      <c r="A250" s="28" t="s">
        <v>3483</v>
      </c>
      <c r="B250" s="29">
        <v>3387.15</v>
      </c>
      <c r="C250" s="30" t="s">
        <v>3595</v>
      </c>
      <c r="D250" s="2" t="s">
        <v>3596</v>
      </c>
      <c r="E250" s="2" t="s">
        <v>18</v>
      </c>
      <c r="F250" s="2" t="s">
        <v>3597</v>
      </c>
      <c r="G250" s="28" t="s">
        <v>5</v>
      </c>
      <c r="H250" s="2" t="s">
        <v>17</v>
      </c>
      <c r="I250" s="2">
        <v>1</v>
      </c>
      <c r="J250" s="2" t="s">
        <v>3598</v>
      </c>
      <c r="K250" s="2">
        <v>11400</v>
      </c>
      <c r="L250" s="35">
        <v>38613510</v>
      </c>
      <c r="M250" s="36">
        <v>20000</v>
      </c>
      <c r="N250" s="40">
        <v>447153</v>
      </c>
      <c r="O250" s="40">
        <v>458999</v>
      </c>
      <c r="P250" s="40">
        <v>0</v>
      </c>
      <c r="Q250" s="40">
        <v>110000</v>
      </c>
      <c r="R250" s="40">
        <v>742666</v>
      </c>
      <c r="S250" s="40">
        <v>354356</v>
      </c>
      <c r="T250" s="40">
        <v>30000</v>
      </c>
      <c r="U250" s="40">
        <v>5640550</v>
      </c>
      <c r="V250" s="40">
        <v>0</v>
      </c>
      <c r="W250" s="45">
        <v>7783724</v>
      </c>
      <c r="X250" s="46">
        <v>20.1580327714316</v>
      </c>
    </row>
    <row r="251" spans="1:24" s="4" customFormat="1" ht="15" customHeight="1">
      <c r="A251" s="28" t="s">
        <v>3483</v>
      </c>
      <c r="B251" s="29">
        <v>3387.15</v>
      </c>
      <c r="C251" s="30" t="s">
        <v>3642</v>
      </c>
      <c r="D251" s="2">
        <v>4951574739</v>
      </c>
      <c r="E251" s="2" t="s">
        <v>18</v>
      </c>
      <c r="F251" s="2" t="s">
        <v>3643</v>
      </c>
      <c r="G251" s="28" t="s">
        <v>5</v>
      </c>
      <c r="H251" s="2" t="s">
        <v>20</v>
      </c>
      <c r="I251" s="2">
        <v>1</v>
      </c>
      <c r="J251" s="2" t="s">
        <v>3644</v>
      </c>
      <c r="K251" s="2">
        <v>23562</v>
      </c>
      <c r="L251" s="35">
        <v>79808028.299999997</v>
      </c>
      <c r="M251" s="36">
        <v>19800</v>
      </c>
      <c r="N251" s="40">
        <v>327735</v>
      </c>
      <c r="O251" s="40">
        <v>349879</v>
      </c>
      <c r="P251" s="40">
        <v>1124131</v>
      </c>
      <c r="Q251" s="40">
        <v>110000</v>
      </c>
      <c r="R251" s="40">
        <v>557525</v>
      </c>
      <c r="S251" s="40">
        <v>354356</v>
      </c>
      <c r="T251" s="40">
        <v>30000</v>
      </c>
      <c r="U251" s="40">
        <v>4811200</v>
      </c>
      <c r="V251" s="40">
        <v>0</v>
      </c>
      <c r="W251" s="45">
        <v>7664826</v>
      </c>
      <c r="X251" s="46">
        <v>9.6040788918976503</v>
      </c>
    </row>
    <row r="252" spans="1:24" s="4" customFormat="1" ht="15" customHeight="1">
      <c r="A252" s="28" t="s">
        <v>3483</v>
      </c>
      <c r="B252" s="29">
        <v>3387.15</v>
      </c>
      <c r="C252" s="30" t="s">
        <v>3705</v>
      </c>
      <c r="D252" s="2">
        <v>4952077932</v>
      </c>
      <c r="E252" s="2" t="s">
        <v>18</v>
      </c>
      <c r="F252" s="2" t="s">
        <v>3706</v>
      </c>
      <c r="G252" s="28" t="s">
        <v>5</v>
      </c>
      <c r="H252" s="2" t="s">
        <v>35</v>
      </c>
      <c r="I252" s="2">
        <v>1</v>
      </c>
      <c r="J252" s="2" t="s">
        <v>3707</v>
      </c>
      <c r="K252" s="2">
        <v>67456</v>
      </c>
      <c r="L252" s="35">
        <v>228483590.40000001</v>
      </c>
      <c r="M252" s="36">
        <v>6800</v>
      </c>
      <c r="N252" s="40">
        <v>339581</v>
      </c>
      <c r="O252" s="40">
        <v>458999</v>
      </c>
      <c r="P252" s="40">
        <v>0</v>
      </c>
      <c r="Q252" s="40">
        <v>110000</v>
      </c>
      <c r="R252" s="40">
        <v>1020588</v>
      </c>
      <c r="S252" s="40">
        <v>354356</v>
      </c>
      <c r="T252" s="40">
        <v>30000</v>
      </c>
      <c r="U252" s="40">
        <v>7149050</v>
      </c>
      <c r="V252" s="40">
        <v>0</v>
      </c>
      <c r="W252" s="45">
        <v>9462574</v>
      </c>
      <c r="X252" s="46">
        <v>4.1414676578891898</v>
      </c>
    </row>
    <row r="253" spans="1:24" s="4" customFormat="1" ht="15" customHeight="1">
      <c r="A253" s="28" t="s">
        <v>3483</v>
      </c>
      <c r="B253" s="29">
        <v>3387.15</v>
      </c>
      <c r="C253" s="30" t="s">
        <v>3720</v>
      </c>
      <c r="D253" s="2">
        <v>4951574718</v>
      </c>
      <c r="E253" s="2" t="s">
        <v>18</v>
      </c>
      <c r="F253" s="2" t="s">
        <v>3721</v>
      </c>
      <c r="G253" s="28" t="s">
        <v>5</v>
      </c>
      <c r="H253" s="2" t="s">
        <v>20</v>
      </c>
      <c r="I253" s="2">
        <v>1</v>
      </c>
      <c r="J253" s="2" t="s">
        <v>3722</v>
      </c>
      <c r="K253" s="2">
        <v>26320</v>
      </c>
      <c r="L253" s="35">
        <v>89149788</v>
      </c>
      <c r="M253" s="36">
        <v>7000</v>
      </c>
      <c r="N253" s="40">
        <v>580778</v>
      </c>
      <c r="O253" s="40">
        <v>349879</v>
      </c>
      <c r="P253" s="40">
        <v>0</v>
      </c>
      <c r="Q253" s="40">
        <v>110000</v>
      </c>
      <c r="R253" s="40">
        <v>758536</v>
      </c>
      <c r="S253" s="40">
        <v>354356</v>
      </c>
      <c r="T253" s="40">
        <v>30000</v>
      </c>
      <c r="U253" s="40">
        <v>2900300</v>
      </c>
      <c r="V253" s="40">
        <v>0</v>
      </c>
      <c r="W253" s="45">
        <v>5083849</v>
      </c>
      <c r="X253" s="46">
        <v>5.7025923606234503</v>
      </c>
    </row>
    <row r="254" spans="1:24" s="4" customFormat="1" ht="15" customHeight="1">
      <c r="A254" s="28" t="s">
        <v>3483</v>
      </c>
      <c r="B254" s="29">
        <v>3387.15</v>
      </c>
      <c r="C254" s="30" t="s">
        <v>3751</v>
      </c>
      <c r="D254" s="2">
        <v>4952077935</v>
      </c>
      <c r="E254" s="2" t="s">
        <v>18</v>
      </c>
      <c r="F254" s="2" t="s">
        <v>3752</v>
      </c>
      <c r="G254" s="28" t="s">
        <v>9</v>
      </c>
      <c r="H254" s="2" t="s">
        <v>23</v>
      </c>
      <c r="I254" s="2">
        <v>2</v>
      </c>
      <c r="J254" s="2"/>
      <c r="K254" s="2">
        <v>6100</v>
      </c>
      <c r="L254" s="35">
        <v>20661615</v>
      </c>
      <c r="M254" s="36">
        <v>2000</v>
      </c>
      <c r="N254" s="40">
        <v>612285</v>
      </c>
      <c r="O254" s="40">
        <v>1407</v>
      </c>
      <c r="P254" s="40">
        <v>0</v>
      </c>
      <c r="Q254" s="40">
        <v>32545</v>
      </c>
      <c r="R254" s="40">
        <v>123170</v>
      </c>
      <c r="S254" s="40">
        <v>354356</v>
      </c>
      <c r="T254" s="40">
        <v>30000</v>
      </c>
      <c r="U254" s="40">
        <v>931026.78571428603</v>
      </c>
      <c r="V254" s="40">
        <v>0</v>
      </c>
      <c r="W254" s="45">
        <v>2084789.7857142901</v>
      </c>
      <c r="X254" s="46">
        <v>10.090158904394899</v>
      </c>
    </row>
    <row r="255" spans="1:24" s="4" customFormat="1" ht="15" customHeight="1">
      <c r="A255" s="28" t="s">
        <v>3483</v>
      </c>
      <c r="B255" s="29">
        <v>3387.15</v>
      </c>
      <c r="C255" s="30" t="s">
        <v>3761</v>
      </c>
      <c r="D255" s="2">
        <v>4951017918</v>
      </c>
      <c r="E255" s="2" t="s">
        <v>18</v>
      </c>
      <c r="F255" s="2" t="s">
        <v>3762</v>
      </c>
      <c r="G255" s="28" t="s">
        <v>5</v>
      </c>
      <c r="H255" s="2" t="s">
        <v>17</v>
      </c>
      <c r="I255" s="2">
        <v>1</v>
      </c>
      <c r="J255" s="2" t="s">
        <v>3763</v>
      </c>
      <c r="K255" s="2">
        <v>69920</v>
      </c>
      <c r="L255" s="35">
        <v>236829528</v>
      </c>
      <c r="M255" s="36">
        <v>16000</v>
      </c>
      <c r="N255" s="40">
        <v>391345</v>
      </c>
      <c r="O255" s="40">
        <v>458999</v>
      </c>
      <c r="P255" s="40">
        <v>0</v>
      </c>
      <c r="Q255" s="40">
        <v>110000</v>
      </c>
      <c r="R255" s="40">
        <v>742442</v>
      </c>
      <c r="S255" s="40">
        <v>354356</v>
      </c>
      <c r="T255" s="40">
        <v>30000</v>
      </c>
      <c r="U255" s="40">
        <v>5446550</v>
      </c>
      <c r="V255" s="40">
        <v>0</v>
      </c>
      <c r="W255" s="45">
        <v>7533692</v>
      </c>
      <c r="X255" s="46">
        <v>3.1810611048466901</v>
      </c>
    </row>
    <row r="256" spans="1:24" s="4" customFormat="1" ht="15" customHeight="1">
      <c r="A256" s="28" t="s">
        <v>3483</v>
      </c>
      <c r="B256" s="29">
        <v>3387.15</v>
      </c>
      <c r="C256" s="30" t="s">
        <v>3786</v>
      </c>
      <c r="D256" s="2">
        <v>4952080515</v>
      </c>
      <c r="E256" s="2" t="s">
        <v>18</v>
      </c>
      <c r="F256" s="2" t="s">
        <v>3787</v>
      </c>
      <c r="G256" s="28" t="s">
        <v>9</v>
      </c>
      <c r="H256" s="2" t="s">
        <v>23</v>
      </c>
      <c r="I256" s="2">
        <v>2</v>
      </c>
      <c r="J256" s="2"/>
      <c r="K256" s="2">
        <v>6100</v>
      </c>
      <c r="L256" s="35">
        <v>20661615</v>
      </c>
      <c r="M256" s="36">
        <v>2000</v>
      </c>
      <c r="N256" s="40">
        <v>600493</v>
      </c>
      <c r="O256" s="40">
        <v>1365</v>
      </c>
      <c r="P256" s="40">
        <v>42414</v>
      </c>
      <c r="Q256" s="40">
        <v>32587</v>
      </c>
      <c r="R256" s="40">
        <v>149252</v>
      </c>
      <c r="S256" s="40">
        <v>354356</v>
      </c>
      <c r="T256" s="40">
        <v>30000</v>
      </c>
      <c r="U256" s="40">
        <v>1468661.9718309899</v>
      </c>
      <c r="V256" s="40">
        <v>0</v>
      </c>
      <c r="W256" s="45">
        <v>2679128.9718309902</v>
      </c>
      <c r="X256" s="46">
        <v>12.9666968038606</v>
      </c>
    </row>
    <row r="257" spans="1:24" s="4" customFormat="1" ht="15" customHeight="1">
      <c r="A257" s="28" t="s">
        <v>3483</v>
      </c>
      <c r="B257" s="29">
        <v>3387.15</v>
      </c>
      <c r="C257" s="30" t="s">
        <v>3819</v>
      </c>
      <c r="D257" s="2">
        <v>4951574729</v>
      </c>
      <c r="E257" s="2" t="s">
        <v>18</v>
      </c>
      <c r="F257" s="2" t="s">
        <v>3820</v>
      </c>
      <c r="G257" s="28" t="s">
        <v>5</v>
      </c>
      <c r="H257" s="2" t="s">
        <v>32</v>
      </c>
      <c r="I257" s="2">
        <v>1</v>
      </c>
      <c r="J257" s="2" t="s">
        <v>3821</v>
      </c>
      <c r="K257" s="2">
        <v>40272</v>
      </c>
      <c r="L257" s="35">
        <v>136407304.80000001</v>
      </c>
      <c r="M257" s="36">
        <v>2400</v>
      </c>
      <c r="N257" s="40">
        <v>127342.875</v>
      </c>
      <c r="O257" s="40">
        <v>174939.5</v>
      </c>
      <c r="P257" s="40">
        <v>0</v>
      </c>
      <c r="Q257" s="40">
        <v>55000</v>
      </c>
      <c r="R257" s="40">
        <v>485181.75</v>
      </c>
      <c r="S257" s="40">
        <v>132883.5</v>
      </c>
      <c r="T257" s="40">
        <v>30000</v>
      </c>
      <c r="U257" s="40">
        <v>1966868.625</v>
      </c>
      <c r="V257" s="40">
        <v>0</v>
      </c>
      <c r="W257" s="45">
        <v>2972216.25</v>
      </c>
      <c r="X257" s="46">
        <v>2.1789274807224199</v>
      </c>
    </row>
    <row r="258" spans="1:24" s="4" customFormat="1" ht="15" customHeight="1">
      <c r="A258" s="28" t="s">
        <v>3483</v>
      </c>
      <c r="B258" s="29">
        <v>3387.15</v>
      </c>
      <c r="C258" s="30" t="s">
        <v>3819</v>
      </c>
      <c r="D258" s="2">
        <v>4951574726</v>
      </c>
      <c r="E258" s="2" t="s">
        <v>18</v>
      </c>
      <c r="F258" s="2" t="s">
        <v>3820</v>
      </c>
      <c r="G258" s="28" t="s">
        <v>5</v>
      </c>
      <c r="H258" s="2" t="s">
        <v>32</v>
      </c>
      <c r="I258" s="2">
        <v>1</v>
      </c>
      <c r="J258" s="2" t="s">
        <v>3821</v>
      </c>
      <c r="K258" s="2">
        <v>50760</v>
      </c>
      <c r="L258" s="35">
        <v>171931734</v>
      </c>
      <c r="M258" s="36">
        <v>4000</v>
      </c>
      <c r="N258" s="40">
        <v>212238.125</v>
      </c>
      <c r="O258" s="40">
        <v>174939.5</v>
      </c>
      <c r="P258" s="40">
        <v>0</v>
      </c>
      <c r="Q258" s="40">
        <v>55000</v>
      </c>
      <c r="R258" s="40">
        <v>808636.25</v>
      </c>
      <c r="S258" s="40">
        <v>221472.5</v>
      </c>
      <c r="T258" s="40">
        <v>30000</v>
      </c>
      <c r="U258" s="40">
        <v>3278114.375</v>
      </c>
      <c r="V258" s="40">
        <v>0</v>
      </c>
      <c r="W258" s="45">
        <v>4780400.75</v>
      </c>
      <c r="X258" s="46">
        <v>2.7804062919530601</v>
      </c>
    </row>
    <row r="259" spans="1:24" s="4" customFormat="1" ht="15" customHeight="1">
      <c r="A259" s="28" t="s">
        <v>3483</v>
      </c>
      <c r="B259" s="29">
        <v>3387.15</v>
      </c>
      <c r="C259" s="30" t="s">
        <v>3850</v>
      </c>
      <c r="D259" s="2">
        <v>4951574724</v>
      </c>
      <c r="E259" s="2" t="s">
        <v>18</v>
      </c>
      <c r="F259" s="2" t="s">
        <v>3851</v>
      </c>
      <c r="G259" s="28" t="s">
        <v>5</v>
      </c>
      <c r="H259" s="2" t="s">
        <v>35</v>
      </c>
      <c r="I259" s="2">
        <v>1</v>
      </c>
      <c r="J259" s="2" t="s">
        <v>3852</v>
      </c>
      <c r="K259" s="2">
        <v>3177.6</v>
      </c>
      <c r="L259" s="35">
        <v>10763007.84</v>
      </c>
      <c r="M259" s="36">
        <v>480</v>
      </c>
      <c r="N259" s="40">
        <v>8037.4201183431996</v>
      </c>
      <c r="O259" s="40">
        <v>229499.5</v>
      </c>
      <c r="P259" s="40">
        <v>0</v>
      </c>
      <c r="Q259" s="40">
        <v>55000</v>
      </c>
      <c r="R259" s="40">
        <v>33944.733727810599</v>
      </c>
      <c r="S259" s="40">
        <v>8387.1242603550309</v>
      </c>
      <c r="T259" s="40">
        <v>30000</v>
      </c>
      <c r="U259" s="40">
        <v>201042.60355029599</v>
      </c>
      <c r="V259" s="40">
        <v>0</v>
      </c>
      <c r="W259" s="45">
        <v>565911.38165680505</v>
      </c>
      <c r="X259" s="46">
        <v>5.2579296612015201</v>
      </c>
    </row>
    <row r="260" spans="1:24" s="4" customFormat="1" ht="15" customHeight="1">
      <c r="A260" s="28" t="s">
        <v>3483</v>
      </c>
      <c r="B260" s="29">
        <v>3387.15</v>
      </c>
      <c r="C260" s="30" t="s">
        <v>3850</v>
      </c>
      <c r="D260" s="2">
        <v>4951574740</v>
      </c>
      <c r="E260" s="2" t="s">
        <v>18</v>
      </c>
      <c r="F260" s="2" t="s">
        <v>3851</v>
      </c>
      <c r="G260" s="28" t="s">
        <v>5</v>
      </c>
      <c r="H260" s="2" t="s">
        <v>35</v>
      </c>
      <c r="I260" s="2">
        <v>1</v>
      </c>
      <c r="J260" s="2" t="s">
        <v>3852</v>
      </c>
      <c r="K260" s="2">
        <v>23562</v>
      </c>
      <c r="L260" s="35">
        <v>79808028.299999997</v>
      </c>
      <c r="M260" s="36">
        <v>19800</v>
      </c>
      <c r="N260" s="40">
        <v>331543.57988165697</v>
      </c>
      <c r="O260" s="40">
        <v>229499.5</v>
      </c>
      <c r="P260" s="40">
        <v>0</v>
      </c>
      <c r="Q260" s="40">
        <v>55000</v>
      </c>
      <c r="R260" s="40">
        <v>1400220.26627219</v>
      </c>
      <c r="S260" s="40">
        <v>345968.87573964498</v>
      </c>
      <c r="T260" s="40">
        <v>30000</v>
      </c>
      <c r="U260" s="40">
        <v>8293007.3964497</v>
      </c>
      <c r="V260" s="40">
        <v>0</v>
      </c>
      <c r="W260" s="45">
        <v>10685239.618343201</v>
      </c>
      <c r="X260" s="46">
        <v>13.3886776129554</v>
      </c>
    </row>
    <row r="261" spans="1:24" s="4" customFormat="1" ht="15" customHeight="1">
      <c r="A261" s="28" t="s">
        <v>3483</v>
      </c>
      <c r="B261" s="29">
        <v>3387.15</v>
      </c>
      <c r="C261" s="30" t="s">
        <v>3853</v>
      </c>
      <c r="D261" s="2" t="s">
        <v>3854</v>
      </c>
      <c r="E261" s="2" t="s">
        <v>18</v>
      </c>
      <c r="F261" s="2" t="s">
        <v>3855</v>
      </c>
      <c r="G261" s="28" t="s">
        <v>9</v>
      </c>
      <c r="H261" s="2" t="s">
        <v>23</v>
      </c>
      <c r="I261" s="2">
        <v>6</v>
      </c>
      <c r="J261" s="2"/>
      <c r="K261" s="2">
        <v>12375</v>
      </c>
      <c r="L261" s="35">
        <v>41915981.25</v>
      </c>
      <c r="M261" s="36">
        <v>2000</v>
      </c>
      <c r="N261" s="40">
        <v>596420.80000000005</v>
      </c>
      <c r="O261" s="40">
        <v>903</v>
      </c>
      <c r="P261" s="40">
        <v>123512</v>
      </c>
      <c r="Q261" s="40">
        <v>20950.5</v>
      </c>
      <c r="R261" s="40">
        <v>297891.20000000001</v>
      </c>
      <c r="S261" s="40">
        <v>283484.79999999999</v>
      </c>
      <c r="T261" s="40">
        <v>30000</v>
      </c>
      <c r="U261" s="40">
        <v>1668400</v>
      </c>
      <c r="V261" s="40">
        <v>0</v>
      </c>
      <c r="W261" s="45">
        <v>3021562.3</v>
      </c>
      <c r="X261" s="46">
        <v>7.20861640331991</v>
      </c>
    </row>
    <row r="262" spans="1:24" s="4" customFormat="1" ht="15" customHeight="1">
      <c r="A262" s="28" t="s">
        <v>3483</v>
      </c>
      <c r="B262" s="29">
        <v>3387.15</v>
      </c>
      <c r="C262" s="30" t="s">
        <v>3853</v>
      </c>
      <c r="D262" s="2">
        <v>4952170441</v>
      </c>
      <c r="E262" s="2" t="s">
        <v>18</v>
      </c>
      <c r="F262" s="2" t="s">
        <v>3855</v>
      </c>
      <c r="G262" s="28" t="s">
        <v>9</v>
      </c>
      <c r="H262" s="2" t="s">
        <v>23</v>
      </c>
      <c r="I262" s="2">
        <v>6</v>
      </c>
      <c r="J262" s="2"/>
      <c r="K262" s="2">
        <v>12375</v>
      </c>
      <c r="L262" s="35">
        <v>41915981.25</v>
      </c>
      <c r="M262" s="36">
        <v>500</v>
      </c>
      <c r="N262" s="40">
        <v>149105.20000000001</v>
      </c>
      <c r="O262" s="40">
        <v>903</v>
      </c>
      <c r="P262" s="40">
        <v>30878</v>
      </c>
      <c r="Q262" s="40">
        <v>20950.5</v>
      </c>
      <c r="R262" s="40">
        <v>74472.800000000003</v>
      </c>
      <c r="S262" s="40">
        <v>70871.199999999997</v>
      </c>
      <c r="T262" s="40">
        <v>30000</v>
      </c>
      <c r="U262" s="40">
        <v>417100</v>
      </c>
      <c r="V262" s="40">
        <v>0</v>
      </c>
      <c r="W262" s="45">
        <v>794280.7</v>
      </c>
      <c r="X262" s="46">
        <v>1.89493524024324</v>
      </c>
    </row>
    <row r="263" spans="1:24" s="4" customFormat="1" ht="15" customHeight="1">
      <c r="A263" s="28" t="s">
        <v>3483</v>
      </c>
      <c r="B263" s="29">
        <v>3387.15</v>
      </c>
      <c r="C263" s="30" t="s">
        <v>3931</v>
      </c>
      <c r="D263" s="2">
        <v>4952172252</v>
      </c>
      <c r="E263" s="2" t="s">
        <v>18</v>
      </c>
      <c r="F263" s="2" t="s">
        <v>3932</v>
      </c>
      <c r="G263" s="28" t="s">
        <v>5</v>
      </c>
      <c r="H263" s="2" t="s">
        <v>17</v>
      </c>
      <c r="I263" s="2">
        <v>1</v>
      </c>
      <c r="J263" s="2" t="s">
        <v>3933</v>
      </c>
      <c r="K263" s="2">
        <v>21996</v>
      </c>
      <c r="L263" s="35">
        <v>74503751.400000006</v>
      </c>
      <c r="M263" s="36">
        <v>7800</v>
      </c>
      <c r="N263" s="40">
        <v>406705</v>
      </c>
      <c r="O263" s="40">
        <v>458999</v>
      </c>
      <c r="P263" s="40">
        <v>0</v>
      </c>
      <c r="Q263" s="40">
        <v>110000</v>
      </c>
      <c r="R263" s="40">
        <v>701560</v>
      </c>
      <c r="S263" s="40">
        <v>354356</v>
      </c>
      <c r="T263" s="40">
        <v>30000</v>
      </c>
      <c r="U263" s="40">
        <v>4719050</v>
      </c>
      <c r="V263" s="40">
        <v>0</v>
      </c>
      <c r="W263" s="45">
        <v>6780670</v>
      </c>
      <c r="X263" s="46">
        <v>9.1011121890970994</v>
      </c>
    </row>
    <row r="264" spans="1:24" s="4" customFormat="1" ht="15" customHeight="1">
      <c r="A264" s="28" t="s">
        <v>3483</v>
      </c>
      <c r="B264" s="29">
        <v>3387.15</v>
      </c>
      <c r="C264" s="30" t="s">
        <v>3949</v>
      </c>
      <c r="D264" s="2">
        <v>4952077913</v>
      </c>
      <c r="E264" s="2" t="s">
        <v>18</v>
      </c>
      <c r="F264" s="2" t="s">
        <v>3950</v>
      </c>
      <c r="G264" s="28" t="s">
        <v>5</v>
      </c>
      <c r="H264" s="2" t="s">
        <v>35</v>
      </c>
      <c r="I264" s="2">
        <v>1</v>
      </c>
      <c r="J264" s="2" t="s">
        <v>3951</v>
      </c>
      <c r="K264" s="2">
        <v>18230.400000000001</v>
      </c>
      <c r="L264" s="35">
        <v>61749099.359999999</v>
      </c>
      <c r="M264" s="36">
        <v>480</v>
      </c>
      <c r="N264" s="40">
        <v>11759.0386740331</v>
      </c>
      <c r="O264" s="40">
        <v>152999.66666666701</v>
      </c>
      <c r="P264" s="40">
        <v>5440.2099447513801</v>
      </c>
      <c r="Q264" s="40">
        <v>36666.666666666701</v>
      </c>
      <c r="R264" s="40">
        <v>57461.436464088401</v>
      </c>
      <c r="S264" s="40">
        <v>11746.607734806599</v>
      </c>
      <c r="T264" s="40">
        <v>30000</v>
      </c>
      <c r="U264" s="40">
        <v>273532.04419889499</v>
      </c>
      <c r="V264" s="40">
        <v>0</v>
      </c>
      <c r="W264" s="45">
        <v>579605.67034990794</v>
      </c>
      <c r="X264" s="46">
        <v>0.93864635493836202</v>
      </c>
    </row>
    <row r="265" spans="1:24" s="4" customFormat="1" ht="15" customHeight="1">
      <c r="A265" s="28" t="s">
        <v>3483</v>
      </c>
      <c r="B265" s="29">
        <v>3387.15</v>
      </c>
      <c r="C265" s="30" t="s">
        <v>3949</v>
      </c>
      <c r="D265" s="2">
        <v>4952077928</v>
      </c>
      <c r="E265" s="2" t="s">
        <v>18</v>
      </c>
      <c r="F265" s="2" t="s">
        <v>3950</v>
      </c>
      <c r="G265" s="28" t="s">
        <v>5</v>
      </c>
      <c r="H265" s="2" t="s">
        <v>35</v>
      </c>
      <c r="I265" s="2">
        <v>1</v>
      </c>
      <c r="J265" s="2" t="s">
        <v>3951</v>
      </c>
      <c r="K265" s="2">
        <v>10700</v>
      </c>
      <c r="L265" s="35">
        <v>36242505</v>
      </c>
      <c r="M265" s="36">
        <v>10000</v>
      </c>
      <c r="N265" s="40">
        <v>244979.972375691</v>
      </c>
      <c r="O265" s="40">
        <v>152999.66666666701</v>
      </c>
      <c r="P265" s="40">
        <v>113337.70718231999</v>
      </c>
      <c r="Q265" s="40">
        <v>36666.666666666701</v>
      </c>
      <c r="R265" s="40">
        <v>1197113.2596685099</v>
      </c>
      <c r="S265" s="40">
        <v>244720.994475138</v>
      </c>
      <c r="T265" s="40">
        <v>30000</v>
      </c>
      <c r="U265" s="40">
        <v>5698584.2541436497</v>
      </c>
      <c r="V265" s="40">
        <v>0</v>
      </c>
      <c r="W265" s="45">
        <v>7718402.5211786404</v>
      </c>
      <c r="X265" s="46">
        <v>21.296548130927</v>
      </c>
    </row>
    <row r="266" spans="1:24" s="4" customFormat="1" ht="15" customHeight="1">
      <c r="A266" s="28" t="s">
        <v>3483</v>
      </c>
      <c r="B266" s="29">
        <v>3387.15</v>
      </c>
      <c r="C266" s="30" t="s">
        <v>3949</v>
      </c>
      <c r="D266" s="2">
        <v>4952077906</v>
      </c>
      <c r="E266" s="2" t="s">
        <v>18</v>
      </c>
      <c r="F266" s="2" t="s">
        <v>3950</v>
      </c>
      <c r="G266" s="28" t="s">
        <v>5</v>
      </c>
      <c r="H266" s="2" t="s">
        <v>35</v>
      </c>
      <c r="I266" s="2">
        <v>1</v>
      </c>
      <c r="J266" s="2" t="s">
        <v>3951</v>
      </c>
      <c r="K266" s="2">
        <v>93320</v>
      </c>
      <c r="L266" s="35">
        <v>316088838</v>
      </c>
      <c r="M266" s="36">
        <v>4000</v>
      </c>
      <c r="N266" s="40">
        <v>97991.988950276296</v>
      </c>
      <c r="O266" s="40">
        <v>152999.66666666701</v>
      </c>
      <c r="P266" s="40">
        <v>45335.0828729282</v>
      </c>
      <c r="Q266" s="40">
        <v>36666.666666666701</v>
      </c>
      <c r="R266" s="40">
        <v>478845.30386740301</v>
      </c>
      <c r="S266" s="40">
        <v>97888.3977900553</v>
      </c>
      <c r="T266" s="40">
        <v>30000</v>
      </c>
      <c r="U266" s="40">
        <v>2279433.7016574601</v>
      </c>
      <c r="V266" s="40">
        <v>0</v>
      </c>
      <c r="W266" s="45">
        <v>3219160.8084714599</v>
      </c>
      <c r="X266" s="46">
        <v>1.0184354591070599</v>
      </c>
    </row>
    <row r="267" spans="1:24" s="4" customFormat="1" ht="15" customHeight="1">
      <c r="A267" s="28" t="s">
        <v>3483</v>
      </c>
      <c r="B267" s="29">
        <v>3387.15</v>
      </c>
      <c r="C267" s="30" t="s">
        <v>3952</v>
      </c>
      <c r="D267" s="2">
        <v>4952077920</v>
      </c>
      <c r="E267" s="2" t="s">
        <v>18</v>
      </c>
      <c r="F267" s="2" t="s">
        <v>3953</v>
      </c>
      <c r="G267" s="28" t="s">
        <v>5</v>
      </c>
      <c r="H267" s="2" t="s">
        <v>17</v>
      </c>
      <c r="I267" s="2">
        <v>2</v>
      </c>
      <c r="J267" s="2" t="s">
        <v>3954</v>
      </c>
      <c r="K267" s="2">
        <v>73120</v>
      </c>
      <c r="L267" s="35">
        <v>247668408</v>
      </c>
      <c r="M267" s="36">
        <v>16000</v>
      </c>
      <c r="N267" s="40">
        <v>351671.5</v>
      </c>
      <c r="O267" s="40">
        <v>458999.5</v>
      </c>
      <c r="P267" s="40">
        <v>164113</v>
      </c>
      <c r="Q267" s="40">
        <v>99309.5</v>
      </c>
      <c r="R267" s="40">
        <v>563274.5</v>
      </c>
      <c r="S267" s="40">
        <v>177178</v>
      </c>
      <c r="T267" s="40">
        <v>30000</v>
      </c>
      <c r="U267" s="40">
        <v>5446550</v>
      </c>
      <c r="V267" s="40">
        <v>0</v>
      </c>
      <c r="W267" s="45">
        <v>7291096</v>
      </c>
      <c r="X267" s="46">
        <v>2.9438942410450699</v>
      </c>
    </row>
    <row r="268" spans="1:24" s="4" customFormat="1" ht="15" customHeight="1">
      <c r="A268" s="28" t="s">
        <v>3483</v>
      </c>
      <c r="B268" s="29">
        <v>3387.15</v>
      </c>
      <c r="C268" s="30" t="s">
        <v>3952</v>
      </c>
      <c r="D268" s="2">
        <v>4952077922</v>
      </c>
      <c r="E268" s="2" t="s">
        <v>18</v>
      </c>
      <c r="F268" s="2" t="s">
        <v>3953</v>
      </c>
      <c r="G268" s="28" t="s">
        <v>5</v>
      </c>
      <c r="H268" s="2" t="s">
        <v>17</v>
      </c>
      <c r="I268" s="2">
        <v>2</v>
      </c>
      <c r="J268" s="2" t="s">
        <v>3954</v>
      </c>
      <c r="K268" s="2">
        <v>73120</v>
      </c>
      <c r="L268" s="35">
        <v>247668408</v>
      </c>
      <c r="M268" s="36">
        <v>16000</v>
      </c>
      <c r="N268" s="40">
        <v>351671.5</v>
      </c>
      <c r="O268" s="40">
        <v>458999.5</v>
      </c>
      <c r="P268" s="40">
        <v>164113</v>
      </c>
      <c r="Q268" s="40">
        <v>99309.5</v>
      </c>
      <c r="R268" s="40">
        <v>563274.5</v>
      </c>
      <c r="S268" s="40">
        <v>177178</v>
      </c>
      <c r="T268" s="40">
        <v>30000</v>
      </c>
      <c r="U268" s="40">
        <v>5446550</v>
      </c>
      <c r="V268" s="40">
        <v>0</v>
      </c>
      <c r="W268" s="45">
        <v>7291096</v>
      </c>
      <c r="X268" s="46">
        <v>2.9438942410450699</v>
      </c>
    </row>
    <row r="270" spans="1:24" ht="15" customHeight="1">
      <c r="A270" s="87" t="s">
        <v>3483</v>
      </c>
      <c r="B270" s="31"/>
      <c r="C270" s="31"/>
      <c r="D270" s="31"/>
      <c r="E270" s="31"/>
      <c r="F270" s="32">
        <v>23</v>
      </c>
      <c r="G270" s="31"/>
      <c r="H270" s="31"/>
      <c r="I270" s="38"/>
      <c r="J270" s="31"/>
      <c r="K270" s="39">
        <f>+SUM(K236:K268)</f>
        <v>1075516.5</v>
      </c>
      <c r="L270" s="39">
        <f>+SUM(L236:L268)</f>
        <v>3642935712.9750004</v>
      </c>
      <c r="M270" s="31"/>
      <c r="N270" s="39"/>
      <c r="O270" s="39"/>
      <c r="P270" s="39"/>
      <c r="Q270" s="39"/>
      <c r="R270" s="39"/>
      <c r="S270" s="39"/>
      <c r="T270" s="39"/>
      <c r="U270" s="39"/>
      <c r="V270" s="31"/>
      <c r="W270" s="39">
        <f>+SUM(W236:W268)</f>
        <v>152607919.11832014</v>
      </c>
      <c r="X270" s="47">
        <f>(W270/L270)*100</f>
        <v>4.1891466427688622</v>
      </c>
    </row>
    <row r="272" spans="1:24" s="4" customFormat="1" ht="15" customHeight="1">
      <c r="A272" s="79" t="s">
        <v>3955</v>
      </c>
      <c r="B272" s="80">
        <v>3394.61</v>
      </c>
      <c r="C272" s="81" t="s">
        <v>3956</v>
      </c>
      <c r="D272" s="82">
        <v>4952702851</v>
      </c>
      <c r="E272" s="82" t="s">
        <v>18</v>
      </c>
      <c r="F272" s="82" t="s">
        <v>3957</v>
      </c>
      <c r="G272" s="79" t="s">
        <v>13</v>
      </c>
      <c r="H272" s="2" t="s">
        <v>23</v>
      </c>
      <c r="I272" s="2">
        <v>1</v>
      </c>
      <c r="J272" s="2"/>
      <c r="K272" s="2">
        <v>6756.75</v>
      </c>
      <c r="L272" s="35">
        <v>22936531.1175</v>
      </c>
      <c r="M272" s="36">
        <v>25</v>
      </c>
      <c r="N272" s="40">
        <v>942620</v>
      </c>
      <c r="O272" s="40">
        <v>0</v>
      </c>
      <c r="P272" s="40">
        <v>230000</v>
      </c>
      <c r="Q272" s="40">
        <v>0</v>
      </c>
      <c r="R272" s="40">
        <v>7690</v>
      </c>
      <c r="S272" s="40">
        <v>354356</v>
      </c>
      <c r="T272" s="40">
        <v>30000</v>
      </c>
      <c r="U272" s="40">
        <v>246380</v>
      </c>
      <c r="V272" s="40">
        <v>0</v>
      </c>
      <c r="W272" s="45">
        <v>1811046</v>
      </c>
      <c r="X272" s="46">
        <v>7.8959019161280981</v>
      </c>
    </row>
    <row r="273" spans="1:24" s="4" customFormat="1" ht="15" customHeight="1">
      <c r="A273" s="79" t="s">
        <v>3955</v>
      </c>
      <c r="B273" s="80">
        <v>3394.61</v>
      </c>
      <c r="C273" s="81" t="s">
        <v>3972</v>
      </c>
      <c r="D273" s="82">
        <v>4952077933</v>
      </c>
      <c r="E273" s="82" t="s">
        <v>18</v>
      </c>
      <c r="F273" s="82" t="s">
        <v>3973</v>
      </c>
      <c r="G273" s="79" t="s">
        <v>9</v>
      </c>
      <c r="H273" s="2" t="s">
        <v>23</v>
      </c>
      <c r="I273" s="2">
        <v>1</v>
      </c>
      <c r="J273" s="2"/>
      <c r="K273" s="2">
        <v>5370</v>
      </c>
      <c r="L273" s="35">
        <v>18229055.699999999</v>
      </c>
      <c r="M273" s="36">
        <v>1000</v>
      </c>
      <c r="N273" s="40">
        <v>778676</v>
      </c>
      <c r="O273" s="40">
        <v>709</v>
      </c>
      <c r="P273" s="40">
        <v>26914</v>
      </c>
      <c r="Q273" s="40">
        <v>20528</v>
      </c>
      <c r="R273" s="40">
        <v>111177</v>
      </c>
      <c r="S273" s="40">
        <v>354356</v>
      </c>
      <c r="T273" s="40">
        <v>30000</v>
      </c>
      <c r="U273" s="40">
        <v>477231.12128146499</v>
      </c>
      <c r="V273" s="40">
        <v>0</v>
      </c>
      <c r="W273" s="45">
        <v>1799591.121281465</v>
      </c>
      <c r="X273" s="46">
        <v>9.8721028170508323</v>
      </c>
    </row>
    <row r="274" spans="1:24" s="4" customFormat="1" ht="15" customHeight="1">
      <c r="A274" s="79" t="s">
        <v>3955</v>
      </c>
      <c r="B274" s="80">
        <v>3394.61</v>
      </c>
      <c r="C274" s="81" t="s">
        <v>4006</v>
      </c>
      <c r="D274" s="82">
        <v>4952809792</v>
      </c>
      <c r="E274" s="82" t="s">
        <v>18</v>
      </c>
      <c r="F274" s="82" t="s">
        <v>4007</v>
      </c>
      <c r="G274" s="79" t="s">
        <v>5</v>
      </c>
      <c r="H274" s="2" t="s">
        <v>17</v>
      </c>
      <c r="I274" s="2">
        <v>1</v>
      </c>
      <c r="J274" s="2" t="s">
        <v>4008</v>
      </c>
      <c r="K274" s="2">
        <v>9390</v>
      </c>
      <c r="L274" s="35">
        <v>31875387.900000002</v>
      </c>
      <c r="M274" s="36">
        <v>3000</v>
      </c>
      <c r="N274" s="40">
        <v>86113</v>
      </c>
      <c r="O274" s="40">
        <v>151735</v>
      </c>
      <c r="P274" s="40">
        <v>0</v>
      </c>
      <c r="Q274" s="40">
        <v>33103</v>
      </c>
      <c r="R274" s="40">
        <v>172797.25</v>
      </c>
      <c r="S274" s="40">
        <v>88589</v>
      </c>
      <c r="T274" s="40">
        <v>30000</v>
      </c>
      <c r="U274" s="40">
        <v>1204012.5</v>
      </c>
      <c r="V274" s="40">
        <v>0</v>
      </c>
      <c r="W274" s="45">
        <v>1766349.75</v>
      </c>
      <c r="X274" s="46">
        <v>5.5414219759189187</v>
      </c>
    </row>
    <row r="275" spans="1:24" s="4" customFormat="1" ht="15" customHeight="1">
      <c r="A275" s="79" t="s">
        <v>3955</v>
      </c>
      <c r="B275" s="80">
        <v>3394.61</v>
      </c>
      <c r="C275" s="81" t="s">
        <v>4006</v>
      </c>
      <c r="D275" s="82">
        <v>4952809799</v>
      </c>
      <c r="E275" s="82" t="s">
        <v>18</v>
      </c>
      <c r="F275" s="82" t="s">
        <v>4007</v>
      </c>
      <c r="G275" s="79" t="s">
        <v>5</v>
      </c>
      <c r="H275" s="2" t="s">
        <v>17</v>
      </c>
      <c r="I275" s="2">
        <v>1</v>
      </c>
      <c r="J275" s="2" t="s">
        <v>4008</v>
      </c>
      <c r="K275" s="2">
        <v>7400</v>
      </c>
      <c r="L275" s="35">
        <v>25120114</v>
      </c>
      <c r="M275" s="36">
        <v>2000</v>
      </c>
      <c r="N275" s="40">
        <v>57408.666666666701</v>
      </c>
      <c r="O275" s="40">
        <v>151735</v>
      </c>
      <c r="P275" s="40">
        <v>0</v>
      </c>
      <c r="Q275" s="40">
        <v>33103</v>
      </c>
      <c r="R275" s="40">
        <v>115198.16666666701</v>
      </c>
      <c r="S275" s="40">
        <v>59059.333333333299</v>
      </c>
      <c r="T275" s="40">
        <v>30000</v>
      </c>
      <c r="U275" s="40">
        <v>802675</v>
      </c>
      <c r="V275" s="40">
        <v>0</v>
      </c>
      <c r="W275" s="45">
        <v>1249179.166666667</v>
      </c>
      <c r="X275" s="46">
        <v>4.9728244333073768</v>
      </c>
    </row>
    <row r="276" spans="1:24" s="4" customFormat="1" ht="15" customHeight="1">
      <c r="A276" s="79" t="s">
        <v>3955</v>
      </c>
      <c r="B276" s="80">
        <v>3394.61</v>
      </c>
      <c r="C276" s="81" t="s">
        <v>4006</v>
      </c>
      <c r="D276" s="82">
        <v>4952809791</v>
      </c>
      <c r="E276" s="82" t="s">
        <v>18</v>
      </c>
      <c r="F276" s="82" t="s">
        <v>4007</v>
      </c>
      <c r="G276" s="79" t="s">
        <v>5</v>
      </c>
      <c r="H276" s="2" t="s">
        <v>17</v>
      </c>
      <c r="I276" s="2">
        <v>1</v>
      </c>
      <c r="J276" s="2" t="s">
        <v>4008</v>
      </c>
      <c r="K276" s="2">
        <v>24710</v>
      </c>
      <c r="L276" s="35">
        <v>83880813.100000009</v>
      </c>
      <c r="M276" s="36">
        <v>7000</v>
      </c>
      <c r="N276" s="40">
        <v>200930.33333333299</v>
      </c>
      <c r="O276" s="40">
        <v>151735</v>
      </c>
      <c r="P276" s="40">
        <v>0</v>
      </c>
      <c r="Q276" s="40">
        <v>33103</v>
      </c>
      <c r="R276" s="40">
        <v>403193.58333333302</v>
      </c>
      <c r="S276" s="40">
        <v>206707.66666666701</v>
      </c>
      <c r="T276" s="40">
        <v>30000</v>
      </c>
      <c r="U276" s="40">
        <v>2809362.5</v>
      </c>
      <c r="V276" s="40">
        <v>0</v>
      </c>
      <c r="W276" s="45">
        <v>3835032.083333333</v>
      </c>
      <c r="X276" s="46">
        <v>4.5720015598338692</v>
      </c>
    </row>
    <row r="277" spans="1:24" s="4" customFormat="1" ht="15" customHeight="1">
      <c r="A277" s="79" t="s">
        <v>3955</v>
      </c>
      <c r="B277" s="80">
        <v>3394.61</v>
      </c>
      <c r="C277" s="81" t="s">
        <v>4037</v>
      </c>
      <c r="D277" s="82">
        <v>4952077929</v>
      </c>
      <c r="E277" s="82" t="s">
        <v>18</v>
      </c>
      <c r="F277" s="82" t="s">
        <v>4038</v>
      </c>
      <c r="G277" s="79" t="s">
        <v>9</v>
      </c>
      <c r="H277" s="2" t="s">
        <v>23</v>
      </c>
      <c r="I277" s="2">
        <v>5</v>
      </c>
      <c r="J277" s="2"/>
      <c r="K277" s="2">
        <v>120654.5</v>
      </c>
      <c r="L277" s="35">
        <v>409574972.245</v>
      </c>
      <c r="M277" s="36">
        <v>2650</v>
      </c>
      <c r="N277" s="40">
        <v>775054</v>
      </c>
      <c r="O277" s="40">
        <v>1992</v>
      </c>
      <c r="P277" s="40">
        <v>92158</v>
      </c>
      <c r="Q277" s="40">
        <v>46461</v>
      </c>
      <c r="R277" s="40">
        <v>138748</v>
      </c>
      <c r="S277" s="40">
        <v>354356</v>
      </c>
      <c r="T277" s="40">
        <v>30000</v>
      </c>
      <c r="U277" s="40">
        <v>1795624.6376811599</v>
      </c>
      <c r="V277" s="40">
        <v>0</v>
      </c>
      <c r="W277" s="45">
        <v>3234393.6376811601</v>
      </c>
      <c r="X277" s="46">
        <v>0.78969513687628523</v>
      </c>
    </row>
    <row r="278" spans="1:24" s="4" customFormat="1" ht="15" customHeight="1">
      <c r="A278" s="79" t="s">
        <v>3955</v>
      </c>
      <c r="B278" s="80">
        <v>3394.61</v>
      </c>
      <c r="C278" s="81" t="s">
        <v>4049</v>
      </c>
      <c r="D278" s="82">
        <v>4952705666</v>
      </c>
      <c r="E278" s="82" t="s">
        <v>18</v>
      </c>
      <c r="F278" s="82" t="s">
        <v>4050</v>
      </c>
      <c r="G278" s="79" t="s">
        <v>9</v>
      </c>
      <c r="H278" s="2" t="s">
        <v>23</v>
      </c>
      <c r="I278" s="2">
        <v>3</v>
      </c>
      <c r="J278" s="2"/>
      <c r="K278" s="2">
        <v>84437.5</v>
      </c>
      <c r="L278" s="35">
        <v>286632381.875</v>
      </c>
      <c r="M278" s="36">
        <v>1250</v>
      </c>
      <c r="N278" s="40">
        <v>498004</v>
      </c>
      <c r="O278" s="40">
        <v>970</v>
      </c>
      <c r="P278" s="40">
        <v>0</v>
      </c>
      <c r="Q278" s="40">
        <v>22083</v>
      </c>
      <c r="R278" s="40">
        <v>111770</v>
      </c>
      <c r="S278" s="40">
        <v>354356</v>
      </c>
      <c r="T278" s="40">
        <v>30000</v>
      </c>
      <c r="U278" s="40">
        <v>1117401.96078431</v>
      </c>
      <c r="V278" s="40">
        <v>0</v>
      </c>
      <c r="W278" s="45">
        <v>2134584.96078431</v>
      </c>
      <c r="X278" s="46">
        <v>0.74471172685408571</v>
      </c>
    </row>
    <row r="279" spans="1:24" s="4" customFormat="1" ht="15" customHeight="1">
      <c r="A279" s="79" t="s">
        <v>3955</v>
      </c>
      <c r="B279" s="80">
        <v>3394.61</v>
      </c>
      <c r="C279" s="81" t="s">
        <v>4057</v>
      </c>
      <c r="D279" s="82">
        <v>4952077931</v>
      </c>
      <c r="E279" s="82" t="s">
        <v>18</v>
      </c>
      <c r="F279" s="82" t="s">
        <v>4058</v>
      </c>
      <c r="G279" s="79" t="s">
        <v>5</v>
      </c>
      <c r="H279" s="2" t="s">
        <v>17</v>
      </c>
      <c r="I279" s="2">
        <v>1</v>
      </c>
      <c r="J279" s="2" t="s">
        <v>4059</v>
      </c>
      <c r="K279" s="2">
        <v>111031.25</v>
      </c>
      <c r="L279" s="35">
        <v>376907791.5625</v>
      </c>
      <c r="M279" s="36">
        <v>6875</v>
      </c>
      <c r="N279" s="40">
        <v>319553.92857142899</v>
      </c>
      <c r="O279" s="40">
        <v>227602.5</v>
      </c>
      <c r="P279" s="40">
        <v>0</v>
      </c>
      <c r="Q279" s="40">
        <v>49654.5</v>
      </c>
      <c r="R279" s="40">
        <v>444704.85714285698</v>
      </c>
      <c r="S279" s="40">
        <v>278422.57142857101</v>
      </c>
      <c r="T279" s="40">
        <v>30000</v>
      </c>
      <c r="U279" s="40">
        <v>3707825</v>
      </c>
      <c r="V279" s="40">
        <v>1048928.57142857</v>
      </c>
      <c r="W279" s="45">
        <v>6106691.9285714263</v>
      </c>
      <c r="X279" s="46">
        <v>1.6202084608693466</v>
      </c>
    </row>
    <row r="280" spans="1:24" s="4" customFormat="1" ht="15" customHeight="1">
      <c r="A280" s="79" t="s">
        <v>3955</v>
      </c>
      <c r="B280" s="80">
        <v>3394.61</v>
      </c>
      <c r="C280" s="81" t="s">
        <v>4057</v>
      </c>
      <c r="D280" s="82">
        <v>4952077915</v>
      </c>
      <c r="E280" s="82" t="s">
        <v>18</v>
      </c>
      <c r="F280" s="82" t="s">
        <v>4058</v>
      </c>
      <c r="G280" s="79" t="s">
        <v>5</v>
      </c>
      <c r="H280" s="2" t="s">
        <v>17</v>
      </c>
      <c r="I280" s="2">
        <v>1</v>
      </c>
      <c r="J280" s="2" t="s">
        <v>4059</v>
      </c>
      <c r="K280" s="2">
        <v>101625</v>
      </c>
      <c r="L280" s="35">
        <v>344977241.25</v>
      </c>
      <c r="M280" s="36">
        <v>1875</v>
      </c>
      <c r="N280" s="40">
        <v>319553.92857142899</v>
      </c>
      <c r="O280" s="40">
        <v>227602.5</v>
      </c>
      <c r="P280" s="40">
        <v>0</v>
      </c>
      <c r="Q280" s="40">
        <v>49654.5</v>
      </c>
      <c r="R280" s="40">
        <v>444704.85714285698</v>
      </c>
      <c r="S280" s="40">
        <v>278422.57142857101</v>
      </c>
      <c r="T280" s="40">
        <v>30000</v>
      </c>
      <c r="U280" s="40">
        <v>3707825</v>
      </c>
      <c r="V280" s="40">
        <v>1048928.57142857</v>
      </c>
      <c r="W280" s="45">
        <v>6106691.9285714263</v>
      </c>
      <c r="X280" s="46">
        <v>1.770172405125704</v>
      </c>
    </row>
    <row r="281" spans="1:24" s="4" customFormat="1" ht="15" customHeight="1">
      <c r="A281" s="79" t="s">
        <v>3955</v>
      </c>
      <c r="B281" s="80">
        <v>3394.61</v>
      </c>
      <c r="C281" s="81" t="s">
        <v>4102</v>
      </c>
      <c r="D281" s="82">
        <v>4952077924</v>
      </c>
      <c r="E281" s="82" t="s">
        <v>18</v>
      </c>
      <c r="F281" s="82" t="s">
        <v>4103</v>
      </c>
      <c r="G281" s="79" t="s">
        <v>5</v>
      </c>
      <c r="H281" s="2" t="s">
        <v>20</v>
      </c>
      <c r="I281" s="2">
        <v>1</v>
      </c>
      <c r="J281" s="2" t="s">
        <v>4104</v>
      </c>
      <c r="K281" s="2">
        <v>36800</v>
      </c>
      <c r="L281" s="35">
        <v>124921648</v>
      </c>
      <c r="M281" s="36">
        <v>8000</v>
      </c>
      <c r="N281" s="40">
        <v>411835</v>
      </c>
      <c r="O281" s="40">
        <v>346986</v>
      </c>
      <c r="P281" s="40">
        <v>0</v>
      </c>
      <c r="Q281" s="40">
        <v>99309</v>
      </c>
      <c r="R281" s="40">
        <v>446792</v>
      </c>
      <c r="S281" s="40">
        <v>354356</v>
      </c>
      <c r="T281" s="40">
        <v>30000</v>
      </c>
      <c r="U281" s="40">
        <v>3249500</v>
      </c>
      <c r="V281" s="40">
        <v>0</v>
      </c>
      <c r="W281" s="45">
        <v>4938778</v>
      </c>
      <c r="X281" s="46">
        <v>3.9535005173803026</v>
      </c>
    </row>
    <row r="282" spans="1:24" s="4" customFormat="1" ht="15" customHeight="1">
      <c r="A282" s="79" t="s">
        <v>3955</v>
      </c>
      <c r="B282" s="80">
        <v>3394.61</v>
      </c>
      <c r="C282" s="81" t="s">
        <v>4121</v>
      </c>
      <c r="D282" s="82">
        <v>4952602540</v>
      </c>
      <c r="E282" s="82" t="s">
        <v>18</v>
      </c>
      <c r="F282" s="82" t="s">
        <v>4122</v>
      </c>
      <c r="G282" s="79" t="s">
        <v>9</v>
      </c>
      <c r="H282" s="2" t="s">
        <v>23</v>
      </c>
      <c r="I282" s="2">
        <v>1</v>
      </c>
      <c r="J282" s="2"/>
      <c r="K282" s="2">
        <v>2408</v>
      </c>
      <c r="L282" s="35">
        <v>8174220.8799999999</v>
      </c>
      <c r="M282" s="36">
        <v>160</v>
      </c>
      <c r="N282" s="40">
        <v>1125398</v>
      </c>
      <c r="O282" s="40">
        <v>1371</v>
      </c>
      <c r="P282" s="40">
        <v>2147</v>
      </c>
      <c r="Q282" s="40">
        <v>9508</v>
      </c>
      <c r="R282" s="40">
        <v>370541</v>
      </c>
      <c r="S282" s="40">
        <v>354356</v>
      </c>
      <c r="T282" s="40">
        <v>30000</v>
      </c>
      <c r="U282" s="40">
        <v>1367700</v>
      </c>
      <c r="V282" s="40">
        <v>0</v>
      </c>
      <c r="W282" s="45">
        <v>3261021</v>
      </c>
      <c r="X282" s="46">
        <v>39.893967240092486</v>
      </c>
    </row>
    <row r="283" spans="1:24" s="4" customFormat="1" ht="15" customHeight="1">
      <c r="A283" s="79" t="s">
        <v>3955</v>
      </c>
      <c r="B283" s="80">
        <v>3394.61</v>
      </c>
      <c r="C283" s="81" t="s">
        <v>4126</v>
      </c>
      <c r="D283" s="82">
        <v>4952462700</v>
      </c>
      <c r="E283" s="82" t="s">
        <v>18</v>
      </c>
      <c r="F283" s="82" t="s">
        <v>4127</v>
      </c>
      <c r="G283" s="79" t="s">
        <v>5</v>
      </c>
      <c r="H283" s="2" t="s">
        <v>35</v>
      </c>
      <c r="I283" s="2">
        <v>1</v>
      </c>
      <c r="J283" s="2" t="s">
        <v>4128</v>
      </c>
      <c r="K283" s="2">
        <v>53840</v>
      </c>
      <c r="L283" s="35">
        <v>182765802.40000001</v>
      </c>
      <c r="M283" s="36">
        <v>800</v>
      </c>
      <c r="N283" s="40">
        <v>19405.7464788732</v>
      </c>
      <c r="O283" s="40">
        <v>151735</v>
      </c>
      <c r="P283" s="40">
        <v>0</v>
      </c>
      <c r="Q283" s="40">
        <v>33103</v>
      </c>
      <c r="R283" s="40">
        <v>31626.1971830986</v>
      </c>
      <c r="S283" s="40">
        <v>19963.7183098592</v>
      </c>
      <c r="T283" s="40">
        <v>30000</v>
      </c>
      <c r="U283" s="40">
        <v>331549.29577464802</v>
      </c>
      <c r="V283" s="40">
        <v>75211.267605633795</v>
      </c>
      <c r="W283" s="45">
        <v>692594.22535211279</v>
      </c>
      <c r="X283" s="46">
        <v>0.3789517602621883</v>
      </c>
    </row>
    <row r="284" spans="1:24" s="4" customFormat="1" ht="15" customHeight="1">
      <c r="A284" s="79" t="s">
        <v>3955</v>
      </c>
      <c r="B284" s="80">
        <v>3394.61</v>
      </c>
      <c r="C284" s="81" t="s">
        <v>4126</v>
      </c>
      <c r="D284" s="82">
        <v>4952077940</v>
      </c>
      <c r="E284" s="82" t="s">
        <v>18</v>
      </c>
      <c r="F284" s="82" t="s">
        <v>4127</v>
      </c>
      <c r="G284" s="79" t="s">
        <v>5</v>
      </c>
      <c r="H284" s="2" t="s">
        <v>35</v>
      </c>
      <c r="I284" s="2">
        <v>1</v>
      </c>
      <c r="J284" s="2" t="s">
        <v>4128</v>
      </c>
      <c r="K284" s="2">
        <v>12540</v>
      </c>
      <c r="L284" s="35">
        <v>42568409.399999999</v>
      </c>
      <c r="M284" s="36">
        <v>11000</v>
      </c>
      <c r="N284" s="40">
        <v>58217.239436619697</v>
      </c>
      <c r="O284" s="40">
        <v>151735</v>
      </c>
      <c r="P284" s="40">
        <v>0</v>
      </c>
      <c r="Q284" s="40">
        <v>33103</v>
      </c>
      <c r="R284" s="40">
        <v>94878.591549295801</v>
      </c>
      <c r="S284" s="40">
        <v>59891.154929577497</v>
      </c>
      <c r="T284" s="40">
        <v>30000</v>
      </c>
      <c r="U284" s="40">
        <v>994647.88732394401</v>
      </c>
      <c r="V284" s="40">
        <v>225633.80281690101</v>
      </c>
      <c r="W284" s="45">
        <v>1648106.676056338</v>
      </c>
      <c r="X284" s="46">
        <v>3.8716661000172072</v>
      </c>
    </row>
    <row r="285" spans="1:24" s="4" customFormat="1" ht="15" customHeight="1">
      <c r="A285" s="79" t="s">
        <v>3955</v>
      </c>
      <c r="B285" s="80">
        <v>3394.61</v>
      </c>
      <c r="C285" s="81" t="s">
        <v>4126</v>
      </c>
      <c r="D285" s="82">
        <v>4952467952</v>
      </c>
      <c r="E285" s="82" t="s">
        <v>18</v>
      </c>
      <c r="F285" s="82" t="s">
        <v>4127</v>
      </c>
      <c r="G285" s="79" t="s">
        <v>5</v>
      </c>
      <c r="H285" s="2" t="s">
        <v>35</v>
      </c>
      <c r="I285" s="2">
        <v>1</v>
      </c>
      <c r="J285" s="2" t="s">
        <v>4128</v>
      </c>
      <c r="K285" s="2">
        <v>200280</v>
      </c>
      <c r="L285" s="35">
        <v>679872490.80000007</v>
      </c>
      <c r="M285" s="36">
        <v>2400</v>
      </c>
      <c r="N285" s="40">
        <v>266829.01408450701</v>
      </c>
      <c r="O285" s="40">
        <v>151735</v>
      </c>
      <c r="P285" s="40">
        <v>0</v>
      </c>
      <c r="Q285" s="40">
        <v>33103</v>
      </c>
      <c r="R285" s="40">
        <v>434860.21126760601</v>
      </c>
      <c r="S285" s="40">
        <v>274501.126760563</v>
      </c>
      <c r="T285" s="40">
        <v>30000</v>
      </c>
      <c r="U285" s="40">
        <v>4558802.81690141</v>
      </c>
      <c r="V285" s="40">
        <v>1034154.92957746</v>
      </c>
      <c r="W285" s="45">
        <v>6783986.0985915456</v>
      </c>
      <c r="X285" s="46">
        <v>0.99783212152162359</v>
      </c>
    </row>
    <row r="286" spans="1:24" s="4" customFormat="1" ht="15" customHeight="1">
      <c r="A286" s="79" t="s">
        <v>3955</v>
      </c>
      <c r="B286" s="80">
        <v>3394.61</v>
      </c>
      <c r="C286" s="81" t="s">
        <v>4151</v>
      </c>
      <c r="D286" s="82" t="s">
        <v>4152</v>
      </c>
      <c r="E286" s="82" t="s">
        <v>18</v>
      </c>
      <c r="F286" s="82" t="s">
        <v>4153</v>
      </c>
      <c r="G286" s="79" t="s">
        <v>9</v>
      </c>
      <c r="H286" s="2" t="s">
        <v>23</v>
      </c>
      <c r="I286" s="2">
        <v>4</v>
      </c>
      <c r="J286" s="2"/>
      <c r="K286" s="2">
        <v>31110</v>
      </c>
      <c r="L286" s="35">
        <v>105606317.10000001</v>
      </c>
      <c r="M286" s="36">
        <v>1500</v>
      </c>
      <c r="N286" s="40">
        <v>700191</v>
      </c>
      <c r="O286" s="40">
        <v>1371</v>
      </c>
      <c r="P286" s="40">
        <v>88994</v>
      </c>
      <c r="Q286" s="40">
        <v>39680</v>
      </c>
      <c r="R286" s="40">
        <v>256171</v>
      </c>
      <c r="S286" s="40">
        <v>354356</v>
      </c>
      <c r="T286" s="40">
        <v>30000</v>
      </c>
      <c r="U286" s="40">
        <v>1367700</v>
      </c>
      <c r="V286" s="40">
        <v>0</v>
      </c>
      <c r="W286" s="45">
        <v>2838463</v>
      </c>
      <c r="X286" s="46">
        <v>2.6877776613611308</v>
      </c>
    </row>
    <row r="287" spans="1:24" s="4" customFormat="1" ht="15" customHeight="1">
      <c r="A287" s="79" t="s">
        <v>3955</v>
      </c>
      <c r="B287" s="80">
        <v>3394.61</v>
      </c>
      <c r="C287" s="81" t="s">
        <v>4230</v>
      </c>
      <c r="D287" s="82">
        <v>4952077939</v>
      </c>
      <c r="E287" s="82" t="s">
        <v>18</v>
      </c>
      <c r="F287" s="82" t="s">
        <v>4231</v>
      </c>
      <c r="G287" s="79" t="s">
        <v>5</v>
      </c>
      <c r="H287" s="2" t="s">
        <v>20</v>
      </c>
      <c r="I287" s="2">
        <v>1</v>
      </c>
      <c r="J287" s="2" t="s">
        <v>4232</v>
      </c>
      <c r="K287" s="2">
        <v>23166</v>
      </c>
      <c r="L287" s="35">
        <v>78639535.260000005</v>
      </c>
      <c r="M287" s="36">
        <v>19800</v>
      </c>
      <c r="N287" s="40">
        <v>408769</v>
      </c>
      <c r="O287" s="40">
        <v>346986</v>
      </c>
      <c r="P287" s="40">
        <v>923403</v>
      </c>
      <c r="Q287" s="40">
        <v>99309</v>
      </c>
      <c r="R287" s="40">
        <v>459313</v>
      </c>
      <c r="S287" s="40">
        <v>354356</v>
      </c>
      <c r="T287" s="40">
        <v>30000</v>
      </c>
      <c r="U287" s="40">
        <v>4811200</v>
      </c>
      <c r="V287" s="40">
        <v>0</v>
      </c>
      <c r="W287" s="45">
        <v>7433336</v>
      </c>
      <c r="X287" s="46">
        <v>9.4524159831612913</v>
      </c>
    </row>
    <row r="288" spans="1:24" s="4" customFormat="1" ht="15" customHeight="1">
      <c r="A288" s="79" t="s">
        <v>3955</v>
      </c>
      <c r="B288" s="80">
        <v>3394.61</v>
      </c>
      <c r="C288" s="81" t="s">
        <v>4252</v>
      </c>
      <c r="D288" s="82">
        <v>4952077940</v>
      </c>
      <c r="E288" s="82" t="s">
        <v>18</v>
      </c>
      <c r="F288" s="82" t="s">
        <v>4253</v>
      </c>
      <c r="G288" s="79" t="s">
        <v>5</v>
      </c>
      <c r="H288" s="2" t="s">
        <v>20</v>
      </c>
      <c r="I288" s="2">
        <v>1</v>
      </c>
      <c r="J288" s="2" t="s">
        <v>4254</v>
      </c>
      <c r="K288" s="2">
        <v>10296</v>
      </c>
      <c r="L288" s="35">
        <v>34950904.560000002</v>
      </c>
      <c r="M288" s="36">
        <v>8800</v>
      </c>
      <c r="N288" s="40">
        <v>353343</v>
      </c>
      <c r="O288" s="40">
        <v>346986</v>
      </c>
      <c r="P288" s="40">
        <v>0</v>
      </c>
      <c r="Q288" s="40">
        <v>99309</v>
      </c>
      <c r="R288" s="40">
        <v>466131</v>
      </c>
      <c r="S288" s="40">
        <v>354356</v>
      </c>
      <c r="T288" s="40">
        <v>30000</v>
      </c>
      <c r="U288" s="40">
        <v>2900300</v>
      </c>
      <c r="V288" s="40">
        <v>0</v>
      </c>
      <c r="W288" s="45">
        <v>4550425</v>
      </c>
      <c r="X288" s="46">
        <v>13.019477055846476</v>
      </c>
    </row>
    <row r="289" spans="1:24" s="4" customFormat="1" ht="15" customHeight="1">
      <c r="A289" s="79" t="s">
        <v>3955</v>
      </c>
      <c r="B289" s="80">
        <v>3394.61</v>
      </c>
      <c r="C289" s="81" t="s">
        <v>4255</v>
      </c>
      <c r="D289" s="82" t="s">
        <v>4256</v>
      </c>
      <c r="E289" s="82" t="s">
        <v>18</v>
      </c>
      <c r="F289" s="82" t="s">
        <v>4257</v>
      </c>
      <c r="G289" s="79" t="s">
        <v>5</v>
      </c>
      <c r="H289" s="2" t="s">
        <v>35</v>
      </c>
      <c r="I289" s="2">
        <v>1</v>
      </c>
      <c r="J289" s="2" t="s">
        <v>4258</v>
      </c>
      <c r="K289" s="2">
        <v>103008</v>
      </c>
      <c r="L289" s="35">
        <v>349671986.88</v>
      </c>
      <c r="M289" s="36">
        <v>9600</v>
      </c>
      <c r="N289" s="62">
        <v>285097.65517241397</v>
      </c>
      <c r="O289" s="40">
        <v>227602.5</v>
      </c>
      <c r="P289" s="40">
        <v>0</v>
      </c>
      <c r="Q289" s="40">
        <v>49654.5</v>
      </c>
      <c r="R289" s="62">
        <v>460450.75862068997</v>
      </c>
      <c r="S289" s="62">
        <v>293260.13793103403</v>
      </c>
      <c r="T289" s="40">
        <v>30000</v>
      </c>
      <c r="U289" s="55">
        <v>6307075.8620689698</v>
      </c>
      <c r="V289" s="55">
        <v>0</v>
      </c>
      <c r="W289" s="45">
        <v>7653141.4137931075</v>
      </c>
      <c r="X289" s="46">
        <v>2.1886630044572324</v>
      </c>
    </row>
    <row r="290" spans="1:24" s="4" customFormat="1" ht="15" customHeight="1">
      <c r="A290" s="79" t="s">
        <v>3955</v>
      </c>
      <c r="B290" s="80">
        <v>3394.61</v>
      </c>
      <c r="C290" s="81" t="s">
        <v>4255</v>
      </c>
      <c r="D290" s="82" t="s">
        <v>4259</v>
      </c>
      <c r="E290" s="82" t="s">
        <v>18</v>
      </c>
      <c r="F290" s="82" t="s">
        <v>4257</v>
      </c>
      <c r="G290" s="79" t="s">
        <v>5</v>
      </c>
      <c r="H290" s="2" t="s">
        <v>35</v>
      </c>
      <c r="I290" s="2">
        <v>1</v>
      </c>
      <c r="J290" s="2" t="s">
        <v>4258</v>
      </c>
      <c r="K290" s="2">
        <v>25200</v>
      </c>
      <c r="L290" s="35">
        <v>85544172</v>
      </c>
      <c r="M290" s="36">
        <v>2000</v>
      </c>
      <c r="N290" s="62">
        <v>59395.344827586203</v>
      </c>
      <c r="O290" s="40">
        <v>227602.5</v>
      </c>
      <c r="P290" s="40">
        <v>0</v>
      </c>
      <c r="Q290" s="40">
        <v>49654.5</v>
      </c>
      <c r="R290" s="62">
        <v>95927.241379310304</v>
      </c>
      <c r="S290" s="62">
        <v>61095.8620689655</v>
      </c>
      <c r="T290" s="40">
        <v>30000</v>
      </c>
      <c r="U290" s="55">
        <v>1313974.13793103</v>
      </c>
      <c r="V290" s="55">
        <v>0</v>
      </c>
      <c r="W290" s="45">
        <v>1837649.586206892</v>
      </c>
      <c r="X290" s="46">
        <v>2.1481879399182122</v>
      </c>
    </row>
    <row r="291" spans="1:24" s="4" customFormat="1" ht="15" customHeight="1">
      <c r="A291" s="79" t="s">
        <v>3955</v>
      </c>
      <c r="B291" s="80">
        <v>3394.61</v>
      </c>
      <c r="C291" s="81" t="s">
        <v>4281</v>
      </c>
      <c r="D291" s="82">
        <v>4953287973</v>
      </c>
      <c r="E291" s="82" t="s">
        <v>18</v>
      </c>
      <c r="F291" s="83" t="s">
        <v>4282</v>
      </c>
      <c r="G291" s="79" t="s">
        <v>13</v>
      </c>
      <c r="H291" s="2" t="s">
        <v>23</v>
      </c>
      <c r="I291" s="2">
        <v>3</v>
      </c>
      <c r="J291" s="2"/>
      <c r="K291" s="2">
        <v>52250</v>
      </c>
      <c r="L291" s="35">
        <v>177368372.5</v>
      </c>
      <c r="M291" s="36">
        <v>500</v>
      </c>
      <c r="N291" s="40">
        <v>570643</v>
      </c>
      <c r="O291" s="40">
        <v>0</v>
      </c>
      <c r="P291" s="40">
        <v>0</v>
      </c>
      <c r="Q291" s="40">
        <v>0</v>
      </c>
      <c r="R291" s="40">
        <v>5285</v>
      </c>
      <c r="S291" s="40">
        <v>354356</v>
      </c>
      <c r="T291" s="40">
        <v>30000</v>
      </c>
      <c r="U291" s="40">
        <v>246380</v>
      </c>
      <c r="V291" s="40">
        <v>0</v>
      </c>
      <c r="W291" s="45">
        <v>1206664</v>
      </c>
      <c r="X291" s="46">
        <v>0.68031520106551124</v>
      </c>
    </row>
    <row r="292" spans="1:24" s="4" customFormat="1" ht="15" customHeight="1">
      <c r="A292" s="79" t="s">
        <v>3955</v>
      </c>
      <c r="B292" s="80">
        <v>3394.61</v>
      </c>
      <c r="C292" s="81" t="s">
        <v>4311</v>
      </c>
      <c r="D292" s="82">
        <v>4952602534</v>
      </c>
      <c r="E292" s="82" t="s">
        <v>18</v>
      </c>
      <c r="F292" s="83" t="s">
        <v>4312</v>
      </c>
      <c r="G292" s="79" t="s">
        <v>5</v>
      </c>
      <c r="H292" s="2" t="s">
        <v>32</v>
      </c>
      <c r="I292" s="2">
        <v>1</v>
      </c>
      <c r="J292" s="2" t="s">
        <v>4313</v>
      </c>
      <c r="K292" s="2">
        <v>1960</v>
      </c>
      <c r="L292" s="35">
        <v>6653435.6000000006</v>
      </c>
      <c r="M292" s="36">
        <v>1000</v>
      </c>
      <c r="N292" s="62">
        <v>83774.5721271394</v>
      </c>
      <c r="O292" s="40">
        <v>69397.2</v>
      </c>
      <c r="P292" s="40">
        <v>0</v>
      </c>
      <c r="Q292" s="40">
        <v>19861.8</v>
      </c>
      <c r="R292" s="62">
        <v>179427.139364303</v>
      </c>
      <c r="S292" s="62">
        <v>86639.608801955997</v>
      </c>
      <c r="T292" s="40">
        <v>30000</v>
      </c>
      <c r="U292" s="55">
        <v>644376.52811735903</v>
      </c>
      <c r="V292" s="55">
        <v>0</v>
      </c>
      <c r="W292" s="45">
        <v>1113476.8484107575</v>
      </c>
      <c r="X292" s="46">
        <v>16.735366739113811</v>
      </c>
    </row>
    <row r="293" spans="1:24" s="4" customFormat="1" ht="15" customHeight="1">
      <c r="A293" s="79" t="s">
        <v>3955</v>
      </c>
      <c r="B293" s="80">
        <v>3394.61</v>
      </c>
      <c r="C293" s="81" t="s">
        <v>4311</v>
      </c>
      <c r="D293" s="82">
        <v>4952839958</v>
      </c>
      <c r="E293" s="82" t="s">
        <v>18</v>
      </c>
      <c r="F293" s="83" t="s">
        <v>4312</v>
      </c>
      <c r="G293" s="79" t="s">
        <v>5</v>
      </c>
      <c r="H293" s="2" t="s">
        <v>32</v>
      </c>
      <c r="I293" s="2">
        <v>1</v>
      </c>
      <c r="J293" s="2" t="s">
        <v>4313</v>
      </c>
      <c r="K293" s="2">
        <v>586</v>
      </c>
      <c r="L293" s="35">
        <v>1989241.46</v>
      </c>
      <c r="M293" s="36">
        <v>200</v>
      </c>
      <c r="N293" s="62">
        <v>16754.914425427902</v>
      </c>
      <c r="O293" s="40">
        <v>69397.2</v>
      </c>
      <c r="P293" s="40">
        <v>0</v>
      </c>
      <c r="Q293" s="40">
        <v>19861.8</v>
      </c>
      <c r="R293" s="62">
        <v>35885.4278728606</v>
      </c>
      <c r="S293" s="62">
        <v>17327.9217603912</v>
      </c>
      <c r="T293" s="40">
        <v>30000</v>
      </c>
      <c r="U293" s="55">
        <v>128875.305623472</v>
      </c>
      <c r="V293" s="55">
        <v>0</v>
      </c>
      <c r="W293" s="45">
        <v>318102.56968215166</v>
      </c>
      <c r="X293" s="46">
        <v>15.991149193228241</v>
      </c>
    </row>
    <row r="294" spans="1:24" s="4" customFormat="1" ht="15" customHeight="1">
      <c r="A294" s="79" t="s">
        <v>3955</v>
      </c>
      <c r="B294" s="80">
        <v>3394.61</v>
      </c>
      <c r="C294" s="81" t="s">
        <v>4311</v>
      </c>
      <c r="D294" s="82">
        <v>4952839959</v>
      </c>
      <c r="E294" s="82" t="s">
        <v>18</v>
      </c>
      <c r="F294" s="83" t="s">
        <v>4312</v>
      </c>
      <c r="G294" s="79" t="s">
        <v>5</v>
      </c>
      <c r="H294" s="2" t="s">
        <v>32</v>
      </c>
      <c r="I294" s="2">
        <v>1</v>
      </c>
      <c r="J294" s="2" t="s">
        <v>4313</v>
      </c>
      <c r="K294" s="2">
        <v>564</v>
      </c>
      <c r="L294" s="35">
        <v>1914560.04</v>
      </c>
      <c r="M294" s="36">
        <v>200</v>
      </c>
      <c r="N294" s="62">
        <v>16754.914425427902</v>
      </c>
      <c r="O294" s="40">
        <v>69397.2</v>
      </c>
      <c r="P294" s="40">
        <v>0</v>
      </c>
      <c r="Q294" s="40">
        <v>19861.8</v>
      </c>
      <c r="R294" s="62">
        <v>35885.4278728606</v>
      </c>
      <c r="S294" s="62">
        <v>17327.9217603912</v>
      </c>
      <c r="T294" s="40">
        <v>30000</v>
      </c>
      <c r="U294" s="55">
        <v>128875.305623472</v>
      </c>
      <c r="V294" s="55">
        <v>0</v>
      </c>
      <c r="W294" s="45">
        <v>318102.56968215166</v>
      </c>
      <c r="X294" s="46">
        <v>16.614917424169768</v>
      </c>
    </row>
    <row r="295" spans="1:24" s="4" customFormat="1" ht="15" customHeight="1">
      <c r="A295" s="79" t="s">
        <v>3955</v>
      </c>
      <c r="B295" s="80">
        <v>3394.61</v>
      </c>
      <c r="C295" s="81" t="s">
        <v>4311</v>
      </c>
      <c r="D295" s="82">
        <v>4952839965</v>
      </c>
      <c r="E295" s="82" t="s">
        <v>18</v>
      </c>
      <c r="F295" s="83" t="s">
        <v>4312</v>
      </c>
      <c r="G295" s="79" t="s">
        <v>5</v>
      </c>
      <c r="H295" s="2" t="s">
        <v>32</v>
      </c>
      <c r="I295" s="2">
        <v>1</v>
      </c>
      <c r="J295" s="2" t="s">
        <v>4313</v>
      </c>
      <c r="K295" s="2">
        <v>3077.1</v>
      </c>
      <c r="L295" s="35">
        <v>10445554.431</v>
      </c>
      <c r="M295" s="36">
        <v>90</v>
      </c>
      <c r="N295" s="62">
        <v>7539.7114914425401</v>
      </c>
      <c r="O295" s="40">
        <v>69397.2</v>
      </c>
      <c r="P295" s="40">
        <v>0</v>
      </c>
      <c r="Q295" s="40">
        <v>19861.8</v>
      </c>
      <c r="R295" s="62">
        <v>16148.442542787299</v>
      </c>
      <c r="S295" s="62">
        <v>7797.5647921760401</v>
      </c>
      <c r="T295" s="40">
        <v>30000</v>
      </c>
      <c r="U295" s="55">
        <v>57993.887530562402</v>
      </c>
      <c r="V295" s="55">
        <v>0</v>
      </c>
      <c r="W295" s="45">
        <v>208738.60635696829</v>
      </c>
      <c r="X295" s="46">
        <v>1.9983487495645054</v>
      </c>
    </row>
    <row r="296" spans="1:24" s="4" customFormat="1" ht="15" customHeight="1">
      <c r="A296" s="79" t="s">
        <v>3955</v>
      </c>
      <c r="B296" s="80">
        <v>3394.61</v>
      </c>
      <c r="C296" s="81" t="s">
        <v>4311</v>
      </c>
      <c r="D296" s="82" t="s">
        <v>4314</v>
      </c>
      <c r="E296" s="82" t="s">
        <v>18</v>
      </c>
      <c r="F296" s="83" t="s">
        <v>4312</v>
      </c>
      <c r="G296" s="79" t="s">
        <v>5</v>
      </c>
      <c r="H296" s="2" t="s">
        <v>32</v>
      </c>
      <c r="I296" s="2">
        <v>1</v>
      </c>
      <c r="J296" s="2" t="s">
        <v>4313</v>
      </c>
      <c r="K296" s="2">
        <v>8580</v>
      </c>
      <c r="L296" s="35">
        <v>29125753.800000001</v>
      </c>
      <c r="M296" s="36">
        <v>2600</v>
      </c>
      <c r="N296" s="62">
        <v>217813.887530562</v>
      </c>
      <c r="O296" s="40">
        <v>69397.2</v>
      </c>
      <c r="P296" s="40">
        <v>0</v>
      </c>
      <c r="Q296" s="40">
        <v>19861.8</v>
      </c>
      <c r="R296" s="62">
        <v>466510.56234718801</v>
      </c>
      <c r="S296" s="62">
        <v>225262.98288508601</v>
      </c>
      <c r="T296" s="40">
        <v>30000</v>
      </c>
      <c r="U296" s="55">
        <v>1675378.97310513</v>
      </c>
      <c r="V296" s="55">
        <v>0</v>
      </c>
      <c r="W296" s="45">
        <v>2704225.4058679659</v>
      </c>
      <c r="X296" s="46">
        <v>9.2846537962151068</v>
      </c>
    </row>
    <row r="297" spans="1:24" s="4" customFormat="1" ht="15" customHeight="1">
      <c r="A297" s="79" t="s">
        <v>3955</v>
      </c>
      <c r="B297" s="80">
        <v>3394.61</v>
      </c>
      <c r="C297" s="81" t="s">
        <v>4332</v>
      </c>
      <c r="D297" s="82">
        <v>4952809800</v>
      </c>
      <c r="E297" s="82" t="s">
        <v>18</v>
      </c>
      <c r="F297" s="82" t="s">
        <v>4333</v>
      </c>
      <c r="G297" s="79" t="s">
        <v>5</v>
      </c>
      <c r="H297" s="2" t="s">
        <v>32</v>
      </c>
      <c r="I297" s="2">
        <v>1</v>
      </c>
      <c r="J297" s="2" t="s">
        <v>4334</v>
      </c>
      <c r="K297" s="2">
        <v>3139.2</v>
      </c>
      <c r="L297" s="35">
        <v>10656359.711999999</v>
      </c>
      <c r="M297" s="36">
        <v>480</v>
      </c>
      <c r="N297" s="62">
        <v>44092.825737265397</v>
      </c>
      <c r="O297" s="40">
        <v>115662</v>
      </c>
      <c r="P297" s="40">
        <v>14403.603217158199</v>
      </c>
      <c r="Q297" s="40">
        <v>33103</v>
      </c>
      <c r="R297" s="62">
        <v>57881.823056300302</v>
      </c>
      <c r="S297" s="62">
        <v>45600.7721179625</v>
      </c>
      <c r="T297" s="40">
        <v>30000</v>
      </c>
      <c r="U297" s="55">
        <v>339152.81501340499</v>
      </c>
      <c r="V297" s="55">
        <v>0</v>
      </c>
      <c r="W297" s="45">
        <v>679896.83914209134</v>
      </c>
      <c r="X297" s="46">
        <v>6.3801979054485898</v>
      </c>
    </row>
    <row r="298" spans="1:24" s="4" customFormat="1" ht="15" customHeight="1">
      <c r="A298" s="79" t="s">
        <v>3955</v>
      </c>
      <c r="B298" s="80">
        <v>3394.61</v>
      </c>
      <c r="C298" s="81" t="s">
        <v>4332</v>
      </c>
      <c r="D298" s="82">
        <v>4952814106</v>
      </c>
      <c r="E298" s="82" t="s">
        <v>18</v>
      </c>
      <c r="F298" s="83" t="s">
        <v>4333</v>
      </c>
      <c r="G298" s="79" t="s">
        <v>5</v>
      </c>
      <c r="H298" s="2" t="s">
        <v>32</v>
      </c>
      <c r="I298" s="2">
        <v>1</v>
      </c>
      <c r="J298" s="2" t="s">
        <v>4334</v>
      </c>
      <c r="K298" s="2">
        <v>7387.5</v>
      </c>
      <c r="L298" s="35">
        <v>25077681.375</v>
      </c>
      <c r="M298" s="36">
        <v>1250</v>
      </c>
      <c r="N298" s="62">
        <v>114825.06702412901</v>
      </c>
      <c r="O298" s="40">
        <v>115662</v>
      </c>
      <c r="P298" s="40">
        <v>37509.3833780161</v>
      </c>
      <c r="Q298" s="40">
        <v>33103</v>
      </c>
      <c r="R298" s="62">
        <v>150733.914209115</v>
      </c>
      <c r="S298" s="62">
        <v>118752.01072386101</v>
      </c>
      <c r="T298" s="40">
        <v>30000</v>
      </c>
      <c r="U298" s="55">
        <v>883210.45576407504</v>
      </c>
      <c r="V298" s="55">
        <v>0</v>
      </c>
      <c r="W298" s="45">
        <v>1483795.8310991963</v>
      </c>
      <c r="X298" s="46">
        <v>5.9167983232229586</v>
      </c>
    </row>
    <row r="299" spans="1:24" s="4" customFormat="1" ht="15" customHeight="1">
      <c r="A299" s="79" t="s">
        <v>3955</v>
      </c>
      <c r="B299" s="80">
        <v>3394.61</v>
      </c>
      <c r="C299" s="81" t="s">
        <v>4332</v>
      </c>
      <c r="D299" s="82">
        <v>4952809790</v>
      </c>
      <c r="E299" s="82" t="s">
        <v>18</v>
      </c>
      <c r="F299" s="83" t="s">
        <v>4333</v>
      </c>
      <c r="G299" s="79" t="s">
        <v>5</v>
      </c>
      <c r="H299" s="2" t="s">
        <v>32</v>
      </c>
      <c r="I299" s="2">
        <v>1</v>
      </c>
      <c r="J299" s="2" t="s">
        <v>4334</v>
      </c>
      <c r="K299" s="2">
        <v>13462</v>
      </c>
      <c r="L299" s="35">
        <v>45698239.82</v>
      </c>
      <c r="M299" s="36">
        <v>2000</v>
      </c>
      <c r="N299" s="62">
        <v>183720.107238606</v>
      </c>
      <c r="O299" s="40">
        <v>115662</v>
      </c>
      <c r="P299" s="40">
        <v>60015.013404825702</v>
      </c>
      <c r="Q299" s="40">
        <v>33103</v>
      </c>
      <c r="R299" s="62">
        <v>241174.26273458399</v>
      </c>
      <c r="S299" s="62">
        <v>190003.21715817699</v>
      </c>
      <c r="T299" s="40">
        <v>30000</v>
      </c>
      <c r="U299" s="55">
        <v>1413136.72922252</v>
      </c>
      <c r="V299" s="55">
        <v>0</v>
      </c>
      <c r="W299" s="45">
        <v>2266814.3297587126</v>
      </c>
      <c r="X299" s="46">
        <v>4.960397465389101</v>
      </c>
    </row>
    <row r="300" spans="1:24" s="4" customFormat="1" ht="15" customHeight="1">
      <c r="A300" s="79" t="s">
        <v>3955</v>
      </c>
      <c r="B300" s="80">
        <v>3394.61</v>
      </c>
      <c r="C300" s="81" t="s">
        <v>4351</v>
      </c>
      <c r="D300" s="82">
        <v>4952845420</v>
      </c>
      <c r="E300" s="82" t="s">
        <v>18</v>
      </c>
      <c r="F300" s="82" t="s">
        <v>4352</v>
      </c>
      <c r="G300" s="79" t="s">
        <v>5</v>
      </c>
      <c r="H300" s="2" t="s">
        <v>17</v>
      </c>
      <c r="I300" s="2">
        <v>1</v>
      </c>
      <c r="J300" s="2" t="s">
        <v>4353</v>
      </c>
      <c r="K300" s="2">
        <v>73600</v>
      </c>
      <c r="L300" s="35">
        <v>249843296</v>
      </c>
      <c r="M300" s="36">
        <v>16000</v>
      </c>
      <c r="N300" s="40">
        <v>401941</v>
      </c>
      <c r="O300" s="40">
        <v>455205</v>
      </c>
      <c r="P300" s="40">
        <v>0</v>
      </c>
      <c r="Q300" s="40">
        <v>99309</v>
      </c>
      <c r="R300" s="40">
        <v>551188</v>
      </c>
      <c r="S300" s="40">
        <v>354356</v>
      </c>
      <c r="T300" s="40">
        <v>30000</v>
      </c>
      <c r="U300" s="40">
        <v>5446550</v>
      </c>
      <c r="V300" s="40">
        <v>0</v>
      </c>
      <c r="W300" s="45">
        <v>7338549</v>
      </c>
      <c r="X300" s="46">
        <v>2.9372607220167315</v>
      </c>
    </row>
    <row r="301" spans="1:24" s="4" customFormat="1" ht="15" customHeight="1">
      <c r="A301" s="79" t="s">
        <v>3955</v>
      </c>
      <c r="B301" s="80">
        <v>3394.61</v>
      </c>
      <c r="C301" s="81" t="s">
        <v>4368</v>
      </c>
      <c r="D301" s="82">
        <v>4952788649</v>
      </c>
      <c r="E301" s="82" t="s">
        <v>18</v>
      </c>
      <c r="F301" s="82" t="s">
        <v>4369</v>
      </c>
      <c r="G301" s="79" t="s">
        <v>9</v>
      </c>
      <c r="H301" s="2" t="s">
        <v>23</v>
      </c>
      <c r="I301" s="2">
        <v>4</v>
      </c>
      <c r="J301" s="2"/>
      <c r="K301" s="2">
        <v>2715.75</v>
      </c>
      <c r="L301" s="35">
        <v>9218912.1074999999</v>
      </c>
      <c r="M301" s="36">
        <v>225</v>
      </c>
      <c r="N301" s="62">
        <v>87262.043478260894</v>
      </c>
      <c r="O301" s="40">
        <v>601</v>
      </c>
      <c r="P301" s="40">
        <v>5235.9130434782601</v>
      </c>
      <c r="Q301" s="40">
        <v>11613</v>
      </c>
      <c r="R301" s="62">
        <v>37732.173913043502</v>
      </c>
      <c r="S301" s="62">
        <v>46220.347826087003</v>
      </c>
      <c r="T301" s="40">
        <v>30000</v>
      </c>
      <c r="U301" s="55">
        <v>178395.652173913</v>
      </c>
      <c r="V301" s="55">
        <v>0</v>
      </c>
      <c r="W301" s="45">
        <v>397060.13043478265</v>
      </c>
      <c r="X301" s="46">
        <v>4.3070172033829932</v>
      </c>
    </row>
    <row r="302" spans="1:24" s="4" customFormat="1" ht="15" customHeight="1">
      <c r="A302" s="79" t="s">
        <v>3955</v>
      </c>
      <c r="B302" s="80">
        <v>3394.61</v>
      </c>
      <c r="C302" s="81" t="s">
        <v>4368</v>
      </c>
      <c r="D302" s="82">
        <v>4952860290</v>
      </c>
      <c r="E302" s="82" t="s">
        <v>18</v>
      </c>
      <c r="F302" s="82" t="s">
        <v>4369</v>
      </c>
      <c r="G302" s="79" t="s">
        <v>9</v>
      </c>
      <c r="H302" s="2" t="s">
        <v>23</v>
      </c>
      <c r="I302" s="2">
        <v>4</v>
      </c>
      <c r="J302" s="2"/>
      <c r="K302" s="2">
        <v>68205</v>
      </c>
      <c r="L302" s="35">
        <v>231529375.05000001</v>
      </c>
      <c r="M302" s="36">
        <v>1500</v>
      </c>
      <c r="N302" s="62">
        <v>581746.95652173902</v>
      </c>
      <c r="O302" s="40">
        <v>601</v>
      </c>
      <c r="P302" s="40">
        <v>34906.0869565217</v>
      </c>
      <c r="Q302" s="40">
        <v>11613</v>
      </c>
      <c r="R302" s="62">
        <v>251547.82608695701</v>
      </c>
      <c r="S302" s="62">
        <v>308135.65217391303</v>
      </c>
      <c r="T302" s="40">
        <v>30000</v>
      </c>
      <c r="U302" s="55">
        <v>1189304.3478260899</v>
      </c>
      <c r="V302" s="55">
        <v>0</v>
      </c>
      <c r="W302" s="45">
        <v>2407854.8695652205</v>
      </c>
      <c r="X302" s="46">
        <v>1.0399781319520391</v>
      </c>
    </row>
    <row r="303" spans="1:24" s="4" customFormat="1" ht="15" customHeight="1">
      <c r="A303" s="79" t="s">
        <v>3955</v>
      </c>
      <c r="B303" s="80">
        <v>3394.61</v>
      </c>
      <c r="C303" s="81" t="s">
        <v>4399</v>
      </c>
      <c r="D303" s="82">
        <v>4952809784</v>
      </c>
      <c r="E303" s="82" t="s">
        <v>18</v>
      </c>
      <c r="F303" s="83" t="s">
        <v>4400</v>
      </c>
      <c r="G303" s="79" t="s">
        <v>9</v>
      </c>
      <c r="H303" s="2" t="s">
        <v>23</v>
      </c>
      <c r="I303" s="2">
        <v>9</v>
      </c>
      <c r="J303" s="2"/>
      <c r="K303" s="2">
        <v>31110</v>
      </c>
      <c r="L303" s="35">
        <v>105606317.10000001</v>
      </c>
      <c r="M303" s="36">
        <v>1500</v>
      </c>
      <c r="N303" s="62">
        <v>467680.98591549299</v>
      </c>
      <c r="O303" s="65">
        <v>487.8</v>
      </c>
      <c r="P303" s="62">
        <v>151583.23943662</v>
      </c>
      <c r="Q303" s="65">
        <v>9532.4</v>
      </c>
      <c r="R303" s="62">
        <v>469035.21126760601</v>
      </c>
      <c r="S303" s="62">
        <v>149727.88732394401</v>
      </c>
      <c r="T303" s="40">
        <v>30000</v>
      </c>
      <c r="U303" s="55">
        <v>881197.18309859198</v>
      </c>
      <c r="V303" s="55">
        <v>0</v>
      </c>
      <c r="W303" s="45">
        <v>2159244.707042255</v>
      </c>
      <c r="X303" s="46">
        <v>2.0446169948315096</v>
      </c>
    </row>
    <row r="304" spans="1:24" s="4" customFormat="1" ht="15" customHeight="1">
      <c r="A304" s="79" t="s">
        <v>3955</v>
      </c>
      <c r="B304" s="80">
        <v>3394.61</v>
      </c>
      <c r="C304" s="81" t="s">
        <v>4399</v>
      </c>
      <c r="D304" s="82">
        <v>4952838316</v>
      </c>
      <c r="E304" s="82" t="s">
        <v>18</v>
      </c>
      <c r="F304" s="82" t="s">
        <v>4400</v>
      </c>
      <c r="G304" s="79" t="s">
        <v>9</v>
      </c>
      <c r="H304" s="2" t="s">
        <v>23</v>
      </c>
      <c r="I304" s="2">
        <v>9</v>
      </c>
      <c r="J304" s="2"/>
      <c r="K304" s="2">
        <v>3728</v>
      </c>
      <c r="L304" s="35">
        <v>12655106.08</v>
      </c>
      <c r="M304" s="36">
        <v>100</v>
      </c>
      <c r="N304" s="62">
        <v>31178.732394366201</v>
      </c>
      <c r="O304" s="65">
        <v>487.8</v>
      </c>
      <c r="P304" s="62">
        <v>10105.549295774599</v>
      </c>
      <c r="Q304" s="65">
        <v>9532.4</v>
      </c>
      <c r="R304" s="62">
        <v>31269.014084506998</v>
      </c>
      <c r="S304" s="62">
        <v>9981.8591549295797</v>
      </c>
      <c r="T304" s="40">
        <v>30000</v>
      </c>
      <c r="U304" s="55">
        <v>58746.478873239401</v>
      </c>
      <c r="V304" s="55">
        <v>0</v>
      </c>
      <c r="W304" s="45">
        <v>181301.83380281678</v>
      </c>
      <c r="X304" s="46">
        <v>1.4326378037189618</v>
      </c>
    </row>
    <row r="305" spans="1:24" s="4" customFormat="1" ht="15" customHeight="1">
      <c r="A305" s="79" t="s">
        <v>3955</v>
      </c>
      <c r="B305" s="80">
        <v>3394.61</v>
      </c>
      <c r="C305" s="81" t="s">
        <v>4399</v>
      </c>
      <c r="D305" s="82">
        <v>4952364616</v>
      </c>
      <c r="E305" s="82" t="s">
        <v>18</v>
      </c>
      <c r="F305" s="82" t="s">
        <v>4400</v>
      </c>
      <c r="G305" s="79" t="s">
        <v>9</v>
      </c>
      <c r="H305" s="2" t="s">
        <v>23</v>
      </c>
      <c r="I305" s="2">
        <v>9</v>
      </c>
      <c r="J305" s="2"/>
      <c r="K305" s="2">
        <v>26690</v>
      </c>
      <c r="L305" s="35">
        <v>90602140.900000006</v>
      </c>
      <c r="M305" s="36">
        <v>1000</v>
      </c>
      <c r="N305" s="62">
        <v>311787.32394366199</v>
      </c>
      <c r="O305" s="65">
        <v>487.8</v>
      </c>
      <c r="P305" s="62">
        <v>101055.492957746</v>
      </c>
      <c r="Q305" s="65">
        <v>9532.4</v>
      </c>
      <c r="R305" s="62">
        <v>312690.14084507001</v>
      </c>
      <c r="S305" s="62">
        <v>99818.591549295801</v>
      </c>
      <c r="T305" s="40">
        <v>30000</v>
      </c>
      <c r="U305" s="55">
        <v>587464.78873239399</v>
      </c>
      <c r="V305" s="55">
        <v>0</v>
      </c>
      <c r="W305" s="45">
        <v>1452836.5380281678</v>
      </c>
      <c r="X305" s="46">
        <v>1.6035344458710994</v>
      </c>
    </row>
    <row r="306" spans="1:24" s="4" customFormat="1" ht="15" customHeight="1">
      <c r="A306" s="79" t="s">
        <v>3955</v>
      </c>
      <c r="B306" s="80">
        <v>3394.61</v>
      </c>
      <c r="C306" s="81" t="s">
        <v>4399</v>
      </c>
      <c r="D306" s="82">
        <v>4952172253</v>
      </c>
      <c r="E306" s="82" t="s">
        <v>18</v>
      </c>
      <c r="F306" s="82" t="s">
        <v>4400</v>
      </c>
      <c r="G306" s="79" t="s">
        <v>9</v>
      </c>
      <c r="H306" s="2" t="s">
        <v>23</v>
      </c>
      <c r="I306" s="2">
        <v>9</v>
      </c>
      <c r="J306" s="2"/>
      <c r="K306" s="2">
        <v>9443</v>
      </c>
      <c r="L306" s="35">
        <v>32055302.23</v>
      </c>
      <c r="M306" s="36">
        <v>350</v>
      </c>
      <c r="N306" s="62">
        <v>109125.56338028199</v>
      </c>
      <c r="O306" s="65">
        <v>487.8</v>
      </c>
      <c r="P306" s="62">
        <v>35369.422535211299</v>
      </c>
      <c r="Q306" s="65">
        <v>9532.4</v>
      </c>
      <c r="R306" s="62">
        <v>109441.549295775</v>
      </c>
      <c r="S306" s="62">
        <v>34936.507042253499</v>
      </c>
      <c r="T306" s="40">
        <v>30000</v>
      </c>
      <c r="U306" s="55">
        <v>205612.67605633801</v>
      </c>
      <c r="V306" s="55">
        <v>0</v>
      </c>
      <c r="W306" s="45">
        <v>534505.91830985982</v>
      </c>
      <c r="X306" s="46">
        <v>1.6674493176658465</v>
      </c>
    </row>
    <row r="307" spans="1:24" s="4" customFormat="1" ht="15" customHeight="1">
      <c r="A307" s="79" t="s">
        <v>3955</v>
      </c>
      <c r="B307" s="80">
        <v>3394.61</v>
      </c>
      <c r="C307" s="81" t="s">
        <v>4399</v>
      </c>
      <c r="D307" s="82">
        <v>4952165900</v>
      </c>
      <c r="E307" s="82" t="s">
        <v>18</v>
      </c>
      <c r="F307" s="82" t="s">
        <v>4400</v>
      </c>
      <c r="G307" s="79" t="s">
        <v>9</v>
      </c>
      <c r="H307" s="2" t="s">
        <v>23</v>
      </c>
      <c r="I307" s="2">
        <v>9</v>
      </c>
      <c r="J307" s="2"/>
      <c r="K307" s="2">
        <v>24024</v>
      </c>
      <c r="L307" s="35">
        <v>81552110.640000001</v>
      </c>
      <c r="M307" s="36">
        <v>600</v>
      </c>
      <c r="N307" s="62">
        <v>187072.394366197</v>
      </c>
      <c r="O307" s="65">
        <v>487.8</v>
      </c>
      <c r="P307" s="62">
        <v>60633.295774647901</v>
      </c>
      <c r="Q307" s="65">
        <v>9532.4</v>
      </c>
      <c r="R307" s="62">
        <v>187614.08450704199</v>
      </c>
      <c r="S307" s="62">
        <v>59891.154929577497</v>
      </c>
      <c r="T307" s="40">
        <v>30000</v>
      </c>
      <c r="U307" s="55">
        <v>352478.873239437</v>
      </c>
      <c r="V307" s="55">
        <v>0</v>
      </c>
      <c r="W307" s="45">
        <v>887710.00281690143</v>
      </c>
      <c r="X307" s="46">
        <v>1.0885187346475542</v>
      </c>
    </row>
    <row r="309" spans="1:24" ht="15" customHeight="1">
      <c r="A309" s="87" t="s">
        <v>3955</v>
      </c>
      <c r="B309" s="31"/>
      <c r="C309" s="31"/>
      <c r="D309" s="31"/>
      <c r="E309" s="31"/>
      <c r="F309" s="32">
        <v>19</v>
      </c>
      <c r="G309" s="31"/>
      <c r="H309" s="31"/>
      <c r="I309" s="38"/>
      <c r="J309" s="31"/>
      <c r="K309" s="39">
        <f>+SUM(K272:K307)</f>
        <v>1300544.5499999998</v>
      </c>
      <c r="L309" s="39">
        <f>+SUM(L272:L307)</f>
        <v>4414841534.8755007</v>
      </c>
      <c r="M309" s="31"/>
      <c r="N309" s="39"/>
      <c r="O309" s="39"/>
      <c r="P309" s="39"/>
      <c r="Q309" s="39"/>
      <c r="R309" s="39"/>
      <c r="S309" s="39"/>
      <c r="T309" s="39"/>
      <c r="U309" s="39"/>
      <c r="V309" s="31"/>
      <c r="W309" s="39">
        <f>+SUM(W272:W307)</f>
        <v>95339941.576889768</v>
      </c>
      <c r="X309" s="47">
        <f>(W309/L309)*100</f>
        <v>2.1595325862489507</v>
      </c>
    </row>
  </sheetData>
  <conditionalFormatting sqref="C2">
    <cfRule type="duplicateValues" dxfId="174" priority="53"/>
  </conditionalFormatting>
  <conditionalFormatting sqref="C3">
    <cfRule type="duplicateValues" dxfId="173" priority="52"/>
  </conditionalFormatting>
  <conditionalFormatting sqref="C4">
    <cfRule type="duplicateValues" dxfId="172" priority="51"/>
  </conditionalFormatting>
  <conditionalFormatting sqref="C5">
    <cfRule type="duplicateValues" dxfId="171" priority="50"/>
  </conditionalFormatting>
  <conditionalFormatting sqref="C6">
    <cfRule type="duplicateValues" dxfId="170" priority="49"/>
  </conditionalFormatting>
  <conditionalFormatting sqref="C7">
    <cfRule type="duplicateValues" dxfId="169" priority="48"/>
  </conditionalFormatting>
  <conditionalFormatting sqref="C8">
    <cfRule type="duplicateValues" dxfId="168" priority="47"/>
  </conditionalFormatting>
  <conditionalFormatting sqref="C9">
    <cfRule type="duplicateValues" dxfId="167" priority="46"/>
  </conditionalFormatting>
  <conditionalFormatting sqref="C10">
    <cfRule type="duplicateValues" dxfId="166" priority="45"/>
  </conditionalFormatting>
  <conditionalFormatting sqref="C11">
    <cfRule type="duplicateValues" dxfId="165" priority="44"/>
  </conditionalFormatting>
  <conditionalFormatting sqref="C12">
    <cfRule type="duplicateValues" dxfId="164" priority="43"/>
  </conditionalFormatting>
  <conditionalFormatting sqref="C13">
    <cfRule type="duplicateValues" dxfId="163" priority="42"/>
  </conditionalFormatting>
  <conditionalFormatting sqref="C14">
    <cfRule type="duplicateValues" dxfId="162" priority="41"/>
  </conditionalFormatting>
  <conditionalFormatting sqref="C15">
    <cfRule type="duplicateValues" dxfId="161" priority="40"/>
  </conditionalFormatting>
  <conditionalFormatting sqref="C16">
    <cfRule type="duplicateValues" dxfId="160" priority="39"/>
  </conditionalFormatting>
  <conditionalFormatting sqref="C17">
    <cfRule type="duplicateValues" dxfId="159" priority="38"/>
  </conditionalFormatting>
  <conditionalFormatting sqref="C18">
    <cfRule type="duplicateValues" dxfId="158" priority="37"/>
  </conditionalFormatting>
  <conditionalFormatting sqref="C19">
    <cfRule type="duplicateValues" dxfId="157" priority="36"/>
  </conditionalFormatting>
  <conditionalFormatting sqref="C20">
    <cfRule type="duplicateValues" dxfId="156" priority="35"/>
  </conditionalFormatting>
  <conditionalFormatting sqref="C21">
    <cfRule type="duplicateValues" dxfId="155" priority="34"/>
  </conditionalFormatting>
  <conditionalFormatting sqref="C22">
    <cfRule type="duplicateValues" dxfId="154" priority="33"/>
  </conditionalFormatting>
  <conditionalFormatting sqref="C23">
    <cfRule type="duplicateValues" dxfId="153" priority="32"/>
  </conditionalFormatting>
  <conditionalFormatting sqref="C24">
    <cfRule type="duplicateValues" dxfId="152" priority="31"/>
  </conditionalFormatting>
  <conditionalFormatting sqref="C25">
    <cfRule type="duplicateValues" dxfId="151" priority="30"/>
  </conditionalFormatting>
  <conditionalFormatting sqref="C26">
    <cfRule type="duplicateValues" dxfId="150" priority="29"/>
  </conditionalFormatting>
  <conditionalFormatting sqref="C27">
    <cfRule type="duplicateValues" dxfId="149" priority="28"/>
  </conditionalFormatting>
  <conditionalFormatting sqref="C28">
    <cfRule type="duplicateValues" dxfId="148" priority="27"/>
  </conditionalFormatting>
  <conditionalFormatting sqref="C29">
    <cfRule type="duplicateValues" dxfId="147" priority="26"/>
  </conditionalFormatting>
  <conditionalFormatting sqref="C30">
    <cfRule type="duplicateValues" dxfId="146" priority="25"/>
  </conditionalFormatting>
  <conditionalFormatting sqref="C31">
    <cfRule type="duplicateValues" dxfId="145" priority="24"/>
  </conditionalFormatting>
  <conditionalFormatting sqref="C32">
    <cfRule type="duplicateValues" dxfId="144" priority="23"/>
  </conditionalFormatting>
  <conditionalFormatting sqref="C33">
    <cfRule type="duplicateValues" dxfId="143" priority="22"/>
  </conditionalFormatting>
  <conditionalFormatting sqref="C34">
    <cfRule type="duplicateValues" dxfId="142" priority="21"/>
  </conditionalFormatting>
  <conditionalFormatting sqref="C35">
    <cfRule type="duplicateValues" dxfId="141" priority="20"/>
  </conditionalFormatting>
  <conditionalFormatting sqref="C36">
    <cfRule type="duplicateValues" dxfId="140" priority="19"/>
  </conditionalFormatting>
  <conditionalFormatting sqref="C37">
    <cfRule type="duplicateValues" dxfId="139" priority="18"/>
  </conditionalFormatting>
  <conditionalFormatting sqref="C38">
    <cfRule type="duplicateValues" dxfId="138" priority="17"/>
  </conditionalFormatting>
  <conditionalFormatting sqref="C39">
    <cfRule type="duplicateValues" dxfId="137" priority="16"/>
  </conditionalFormatting>
  <conditionalFormatting sqref="C40">
    <cfRule type="duplicateValues" dxfId="136" priority="15"/>
  </conditionalFormatting>
  <conditionalFormatting sqref="C41">
    <cfRule type="duplicateValues" dxfId="135" priority="14"/>
  </conditionalFormatting>
  <conditionalFormatting sqref="C42">
    <cfRule type="duplicateValues" dxfId="134" priority="13"/>
  </conditionalFormatting>
  <conditionalFormatting sqref="C43">
    <cfRule type="duplicateValues" dxfId="133" priority="12"/>
  </conditionalFormatting>
  <conditionalFormatting sqref="C44">
    <cfRule type="duplicateValues" dxfId="132" priority="11"/>
  </conditionalFormatting>
  <conditionalFormatting sqref="C45">
    <cfRule type="duplicateValues" dxfId="131" priority="10"/>
  </conditionalFormatting>
  <conditionalFormatting sqref="C46">
    <cfRule type="duplicateValues" dxfId="130" priority="9"/>
  </conditionalFormatting>
  <conditionalFormatting sqref="C47">
    <cfRule type="duplicateValues" dxfId="129" priority="8"/>
  </conditionalFormatting>
  <conditionalFormatting sqref="C48">
    <cfRule type="duplicateValues" dxfId="128" priority="7"/>
  </conditionalFormatting>
  <conditionalFormatting sqref="C49">
    <cfRule type="duplicateValues" dxfId="127" priority="6"/>
  </conditionalFormatting>
  <conditionalFormatting sqref="C50">
    <cfRule type="duplicateValues" dxfId="126" priority="5"/>
  </conditionalFormatting>
  <conditionalFormatting sqref="C51">
    <cfRule type="duplicateValues" dxfId="125" priority="4"/>
  </conditionalFormatting>
  <conditionalFormatting sqref="C52">
    <cfRule type="duplicateValues" dxfId="124" priority="3"/>
  </conditionalFormatting>
  <conditionalFormatting sqref="C53">
    <cfRule type="duplicateValues" dxfId="123" priority="2"/>
  </conditionalFormatting>
  <conditionalFormatting sqref="C54">
    <cfRule type="duplicateValues" dxfId="122" priority="1"/>
  </conditionalFormatting>
  <pageMargins left="0.69930555555555596" right="0.69930555555555596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95"/>
  <sheetViews>
    <sheetView showGridLines="0" topLeftCell="I1" zoomScale="80" zoomScaleNormal="80" workbookViewId="0">
      <pane ySplit="1" topLeftCell="A77" activePane="bottomLeft" state="frozen"/>
      <selection pane="bottomLeft" activeCell="J92" sqref="J92"/>
    </sheetView>
  </sheetViews>
  <sheetFormatPr baseColWidth="10" defaultColWidth="11.42578125" defaultRowHeight="15"/>
  <cols>
    <col min="1" max="1" width="14.42578125" customWidth="1"/>
    <col min="4" max="4" width="12.5703125" customWidth="1"/>
    <col min="5" max="5" width="6.7109375" customWidth="1"/>
    <col min="6" max="6" width="22.140625" customWidth="1"/>
    <col min="7" max="7" width="13.7109375" customWidth="1"/>
    <col min="8" max="8" width="8.140625" customWidth="1"/>
    <col min="9" max="9" width="6.5703125" customWidth="1"/>
    <col min="10" max="10" width="14.7109375" customWidth="1"/>
    <col min="11" max="11" width="13.28515625" customWidth="1"/>
    <col min="12" max="12" width="13.85546875" customWidth="1"/>
    <col min="13" max="13" width="12.28515625" customWidth="1"/>
    <col min="14" max="14" width="16.7109375" customWidth="1"/>
    <col min="15" max="15" width="15.42578125" customWidth="1"/>
    <col min="16" max="16" width="10.42578125" customWidth="1"/>
    <col min="17" max="17" width="12.7109375" customWidth="1"/>
    <col min="19" max="20" width="17.140625" customWidth="1"/>
    <col min="21" max="21" width="14.5703125" customWidth="1"/>
    <col min="23" max="23" width="12.7109375" customWidth="1"/>
  </cols>
  <sheetData>
    <row r="1" spans="1:24" ht="58.5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81</v>
      </c>
      <c r="D2" s="2">
        <v>4947172548</v>
      </c>
      <c r="E2" s="2" t="s">
        <v>21</v>
      </c>
      <c r="F2" s="2" t="s">
        <v>82</v>
      </c>
      <c r="G2" s="28" t="s">
        <v>9</v>
      </c>
      <c r="H2" s="2" t="s">
        <v>23</v>
      </c>
      <c r="I2" s="2">
        <v>1</v>
      </c>
      <c r="J2" s="2"/>
      <c r="K2" s="2">
        <v>3498</v>
      </c>
      <c r="L2" s="35">
        <v>11087260.800000001</v>
      </c>
      <c r="M2" s="36">
        <v>600</v>
      </c>
      <c r="N2" s="37">
        <v>114522</v>
      </c>
      <c r="O2" s="37">
        <v>0</v>
      </c>
      <c r="P2" s="37">
        <v>55321</v>
      </c>
      <c r="Q2" s="37">
        <v>15812</v>
      </c>
      <c r="R2" s="37">
        <v>26970</v>
      </c>
      <c r="S2" s="37">
        <v>343435</v>
      </c>
      <c r="T2" s="40"/>
      <c r="U2" s="37">
        <v>1299800</v>
      </c>
      <c r="V2" s="37">
        <v>0</v>
      </c>
      <c r="W2" s="45">
        <v>1855860</v>
      </c>
      <c r="X2" s="46">
        <v>16.738670023889</v>
      </c>
    </row>
    <row r="3" spans="1:24">
      <c r="A3" s="28" t="s">
        <v>63</v>
      </c>
      <c r="B3" s="29">
        <v>3169.6</v>
      </c>
      <c r="C3" s="30" t="s">
        <v>109</v>
      </c>
      <c r="D3" s="2">
        <v>4947081288</v>
      </c>
      <c r="E3" s="2" t="s">
        <v>21</v>
      </c>
      <c r="F3" s="78" t="s">
        <v>110</v>
      </c>
      <c r="G3" s="28" t="s">
        <v>5</v>
      </c>
      <c r="H3" s="2" t="s">
        <v>17</v>
      </c>
      <c r="I3" s="2">
        <v>1</v>
      </c>
      <c r="J3" s="2" t="s">
        <v>111</v>
      </c>
      <c r="K3" s="2">
        <v>26127.360000000001</v>
      </c>
      <c r="L3" s="35">
        <v>82813280.255999997</v>
      </c>
      <c r="M3" s="36">
        <v>18144</v>
      </c>
      <c r="N3" s="37">
        <v>471497</v>
      </c>
      <c r="O3" s="37">
        <v>418768</v>
      </c>
      <c r="P3" s="37">
        <v>455226</v>
      </c>
      <c r="Q3" s="37">
        <v>99309</v>
      </c>
      <c r="R3" s="37">
        <v>730494</v>
      </c>
      <c r="S3" s="37">
        <v>343435</v>
      </c>
      <c r="T3" s="40"/>
      <c r="U3" s="37">
        <v>529000</v>
      </c>
      <c r="V3" s="37">
        <v>0</v>
      </c>
      <c r="W3" s="45">
        <v>3047729</v>
      </c>
      <c r="X3" s="46">
        <v>3.68024185321313</v>
      </c>
    </row>
    <row r="4" spans="1:24">
      <c r="A4" s="28" t="s">
        <v>63</v>
      </c>
      <c r="B4" s="29">
        <v>3169.6</v>
      </c>
      <c r="C4" s="30" t="s">
        <v>265</v>
      </c>
      <c r="D4" s="2">
        <v>4947081300</v>
      </c>
      <c r="E4" s="2" t="s">
        <v>21</v>
      </c>
      <c r="F4" s="78" t="s">
        <v>266</v>
      </c>
      <c r="G4" s="28" t="s">
        <v>5</v>
      </c>
      <c r="H4" s="2" t="s">
        <v>17</v>
      </c>
      <c r="I4" s="2">
        <v>1</v>
      </c>
      <c r="J4" s="2" t="s">
        <v>267</v>
      </c>
      <c r="K4" s="2">
        <v>26127.360000000001</v>
      </c>
      <c r="L4" s="35">
        <v>82813280.255999997</v>
      </c>
      <c r="M4" s="36">
        <v>18144</v>
      </c>
      <c r="N4" s="37">
        <v>325162</v>
      </c>
      <c r="O4" s="37">
        <v>418768</v>
      </c>
      <c r="P4" s="37">
        <v>0</v>
      </c>
      <c r="Q4" s="37">
        <v>99309</v>
      </c>
      <c r="R4" s="37">
        <v>639642</v>
      </c>
      <c r="S4" s="37">
        <v>343435</v>
      </c>
      <c r="T4" s="40"/>
      <c r="U4" s="37">
        <v>529000</v>
      </c>
      <c r="V4" s="37">
        <v>0</v>
      </c>
      <c r="W4" s="45">
        <v>2355316</v>
      </c>
      <c r="X4" s="46">
        <v>2.8441283725497102</v>
      </c>
    </row>
    <row r="5" spans="1:24">
      <c r="A5" s="28" t="s">
        <v>63</v>
      </c>
      <c r="B5" s="29">
        <v>3169.6</v>
      </c>
      <c r="C5" s="30" t="s">
        <v>379</v>
      </c>
      <c r="D5" s="2">
        <v>4946394063</v>
      </c>
      <c r="E5" s="2" t="s">
        <v>21</v>
      </c>
      <c r="F5" s="78" t="s">
        <v>380</v>
      </c>
      <c r="G5" s="28" t="s">
        <v>9</v>
      </c>
      <c r="H5" s="2" t="s">
        <v>23</v>
      </c>
      <c r="I5" s="2">
        <v>7</v>
      </c>
      <c r="J5" s="2"/>
      <c r="K5" s="2">
        <v>8238.9500000000007</v>
      </c>
      <c r="L5" s="35">
        <v>26114175.920000002</v>
      </c>
      <c r="M5" s="36">
        <v>4762.3999999999996</v>
      </c>
      <c r="N5" s="37">
        <v>1576253.7063634901</v>
      </c>
      <c r="O5" s="37">
        <v>3390.8630786847698</v>
      </c>
      <c r="P5" s="37">
        <v>604062.488794373</v>
      </c>
      <c r="Q5" s="37">
        <v>80808.104040569306</v>
      </c>
      <c r="R5" s="37">
        <v>546463.58629151003</v>
      </c>
      <c r="S5" s="37">
        <v>334446.025682971</v>
      </c>
      <c r="T5" s="40"/>
      <c r="U5" s="37">
        <v>2030914.6900049101</v>
      </c>
      <c r="V5" s="37">
        <v>0</v>
      </c>
      <c r="W5" s="45">
        <v>5176339.4642565101</v>
      </c>
      <c r="X5" s="46">
        <v>19.821952184568499</v>
      </c>
    </row>
    <row r="6" spans="1:24">
      <c r="A6" s="28" t="s">
        <v>63</v>
      </c>
      <c r="B6" s="29">
        <v>3169.6</v>
      </c>
      <c r="C6" s="30" t="s">
        <v>422</v>
      </c>
      <c r="D6" s="2">
        <v>4947976014</v>
      </c>
      <c r="E6" s="2" t="s">
        <v>21</v>
      </c>
      <c r="F6" s="2">
        <v>1023728104</v>
      </c>
      <c r="G6" s="28" t="s">
        <v>13</v>
      </c>
      <c r="H6" s="2" t="s">
        <v>23</v>
      </c>
      <c r="I6" s="2">
        <v>1</v>
      </c>
      <c r="J6" s="2"/>
      <c r="K6" s="2">
        <v>595.08000000000004</v>
      </c>
      <c r="L6" s="35">
        <v>1886165.568</v>
      </c>
      <c r="M6" s="36">
        <v>226.631</v>
      </c>
      <c r="N6" s="37">
        <v>334892</v>
      </c>
      <c r="O6" s="37">
        <v>0</v>
      </c>
      <c r="P6" s="37">
        <v>0</v>
      </c>
      <c r="Q6" s="37">
        <v>0</v>
      </c>
      <c r="R6" s="37">
        <v>2676</v>
      </c>
      <c r="S6" s="37">
        <v>343435</v>
      </c>
      <c r="T6" s="37"/>
      <c r="U6" s="37">
        <v>1455000</v>
      </c>
      <c r="V6" s="37">
        <v>0</v>
      </c>
      <c r="W6" s="45">
        <v>2136003</v>
      </c>
      <c r="X6" s="46">
        <v>113.245784794222</v>
      </c>
    </row>
    <row r="7" spans="1:24">
      <c r="A7" s="28" t="s">
        <v>63</v>
      </c>
      <c r="B7" s="29">
        <v>3169.6</v>
      </c>
      <c r="C7" s="30" t="s">
        <v>468</v>
      </c>
      <c r="D7" s="2">
        <v>4948062391</v>
      </c>
      <c r="E7" s="2" t="s">
        <v>21</v>
      </c>
      <c r="F7" s="78" t="s">
        <v>469</v>
      </c>
      <c r="G7" s="28" t="s">
        <v>13</v>
      </c>
      <c r="H7" s="2" t="s">
        <v>23</v>
      </c>
      <c r="I7" s="2">
        <v>3</v>
      </c>
      <c r="J7" s="2"/>
      <c r="K7" s="2">
        <v>175.8</v>
      </c>
      <c r="L7" s="35">
        <v>557215.68000000005</v>
      </c>
      <c r="M7" s="36">
        <v>60</v>
      </c>
      <c r="N7" s="37">
        <v>433909</v>
      </c>
      <c r="O7" s="37">
        <v>0</v>
      </c>
      <c r="P7" s="37">
        <v>0</v>
      </c>
      <c r="Q7" s="37">
        <v>0</v>
      </c>
      <c r="R7" s="37">
        <v>1736</v>
      </c>
      <c r="S7" s="37">
        <v>343435</v>
      </c>
      <c r="T7" s="37"/>
      <c r="U7" s="37">
        <v>727500</v>
      </c>
      <c r="V7" s="37">
        <v>0</v>
      </c>
      <c r="W7" s="45">
        <v>1506580</v>
      </c>
      <c r="X7" s="46">
        <v>270.376454589361</v>
      </c>
    </row>
    <row r="8" spans="1:24">
      <c r="A8" s="28" t="s">
        <v>63</v>
      </c>
      <c r="B8" s="29">
        <v>3169.6</v>
      </c>
      <c r="C8" s="30" t="s">
        <v>473</v>
      </c>
      <c r="D8" s="2">
        <v>4948062391</v>
      </c>
      <c r="E8" s="2" t="s">
        <v>21</v>
      </c>
      <c r="F8" s="78" t="s">
        <v>474</v>
      </c>
      <c r="G8" s="28" t="s">
        <v>13</v>
      </c>
      <c r="H8" s="2" t="s">
        <v>23</v>
      </c>
      <c r="I8" s="2">
        <v>3</v>
      </c>
      <c r="J8" s="2"/>
      <c r="K8" s="2">
        <v>160.80000000000001</v>
      </c>
      <c r="L8" s="35">
        <v>509671.67999999999</v>
      </c>
      <c r="M8" s="36">
        <v>60</v>
      </c>
      <c r="N8" s="37">
        <v>433909</v>
      </c>
      <c r="O8" s="37">
        <v>0</v>
      </c>
      <c r="P8" s="37">
        <v>0</v>
      </c>
      <c r="Q8" s="37">
        <v>0</v>
      </c>
      <c r="R8" s="37">
        <v>1736</v>
      </c>
      <c r="S8" s="37">
        <v>343435</v>
      </c>
      <c r="T8" s="37"/>
      <c r="U8" s="37">
        <v>727500</v>
      </c>
      <c r="V8" s="37">
        <v>0</v>
      </c>
      <c r="W8" s="45">
        <v>1506580</v>
      </c>
      <c r="X8" s="46">
        <v>295.59813878612999</v>
      </c>
    </row>
    <row r="9" spans="1:24">
      <c r="A9" s="28" t="s">
        <v>63</v>
      </c>
      <c r="B9" s="29">
        <v>3169.6</v>
      </c>
      <c r="C9" s="30" t="s">
        <v>527</v>
      </c>
      <c r="D9" s="2">
        <v>4947919634</v>
      </c>
      <c r="E9" s="2" t="s">
        <v>21</v>
      </c>
      <c r="F9" s="2" t="s">
        <v>528</v>
      </c>
      <c r="G9" s="28" t="s">
        <v>9</v>
      </c>
      <c r="H9" s="2" t="s">
        <v>23</v>
      </c>
      <c r="I9" s="2">
        <v>3</v>
      </c>
      <c r="J9" s="2"/>
      <c r="K9" s="2">
        <v>4239</v>
      </c>
      <c r="L9" s="35">
        <v>13435934.4</v>
      </c>
      <c r="M9" s="36">
        <v>2700</v>
      </c>
      <c r="N9" s="37">
        <v>1165072</v>
      </c>
      <c r="O9" s="37">
        <v>1756</v>
      </c>
      <c r="P9" s="37">
        <v>81517</v>
      </c>
      <c r="Q9" s="37">
        <v>43090</v>
      </c>
      <c r="R9" s="37">
        <v>127671</v>
      </c>
      <c r="S9" s="37">
        <v>343435</v>
      </c>
      <c r="T9" s="37"/>
      <c r="U9" s="37">
        <v>1173093.75</v>
      </c>
      <c r="V9" s="37">
        <v>0</v>
      </c>
      <c r="W9" s="45">
        <v>2935634.75</v>
      </c>
      <c r="X9" s="46">
        <v>21.849129823081</v>
      </c>
    </row>
    <row r="10" spans="1:24">
      <c r="A10" s="28" t="s">
        <v>63</v>
      </c>
      <c r="B10" s="29">
        <v>3169.6</v>
      </c>
      <c r="C10" s="30" t="s">
        <v>531</v>
      </c>
      <c r="D10" s="2">
        <v>4947648340</v>
      </c>
      <c r="E10" s="2" t="s">
        <v>21</v>
      </c>
      <c r="F10" s="78" t="s">
        <v>532</v>
      </c>
      <c r="G10" s="28" t="s">
        <v>5</v>
      </c>
      <c r="H10" s="2" t="s">
        <v>17</v>
      </c>
      <c r="I10" s="2">
        <v>1</v>
      </c>
      <c r="J10" s="2" t="s">
        <v>533</v>
      </c>
      <c r="K10" s="2">
        <v>26127.360000000001</v>
      </c>
      <c r="L10" s="35">
        <v>82813280.255999997</v>
      </c>
      <c r="M10" s="36">
        <v>18144</v>
      </c>
      <c r="N10" s="37">
        <v>464664</v>
      </c>
      <c r="O10" s="37">
        <v>418768</v>
      </c>
      <c r="P10" s="37">
        <v>0</v>
      </c>
      <c r="Q10" s="37">
        <v>99309</v>
      </c>
      <c r="R10" s="37">
        <v>721811</v>
      </c>
      <c r="S10" s="37">
        <v>343435</v>
      </c>
      <c r="T10" s="37"/>
      <c r="U10" s="37">
        <v>529000</v>
      </c>
      <c r="V10" s="37">
        <v>0</v>
      </c>
      <c r="W10" s="45">
        <v>2576987</v>
      </c>
      <c r="X10" s="46">
        <v>3.1118040391997299</v>
      </c>
    </row>
    <row r="11" spans="1:24">
      <c r="A11" s="28" t="s">
        <v>63</v>
      </c>
      <c r="B11" s="29">
        <v>3169.6</v>
      </c>
      <c r="C11" s="30" t="s">
        <v>576</v>
      </c>
      <c r="D11" s="2">
        <v>4947914557</v>
      </c>
      <c r="E11" s="2" t="s">
        <v>21</v>
      </c>
      <c r="F11" s="78" t="s">
        <v>577</v>
      </c>
      <c r="G11" s="28" t="s">
        <v>5</v>
      </c>
      <c r="H11" s="2" t="s">
        <v>20</v>
      </c>
      <c r="I11" s="2">
        <v>4</v>
      </c>
      <c r="J11" s="2" t="s">
        <v>578</v>
      </c>
      <c r="K11" s="2">
        <v>89208</v>
      </c>
      <c r="L11" s="35">
        <v>282753676.80000001</v>
      </c>
      <c r="M11" s="36">
        <v>75600</v>
      </c>
      <c r="N11" s="37">
        <v>2131243</v>
      </c>
      <c r="O11" s="50">
        <v>1181851</v>
      </c>
      <c r="P11" s="50">
        <v>271556</v>
      </c>
      <c r="Q11" s="50">
        <v>414905</v>
      </c>
      <c r="R11" s="37">
        <v>1884067</v>
      </c>
      <c r="S11" s="37">
        <v>343435</v>
      </c>
      <c r="T11" s="37"/>
      <c r="U11" s="37">
        <v>9165600</v>
      </c>
      <c r="V11" s="37">
        <v>0</v>
      </c>
      <c r="W11" s="45">
        <v>15392657</v>
      </c>
      <c r="X11" s="46">
        <v>5.4438397315298896</v>
      </c>
    </row>
    <row r="12" spans="1:24">
      <c r="A12" s="28" t="s">
        <v>63</v>
      </c>
      <c r="B12" s="29">
        <v>3169.6</v>
      </c>
      <c r="C12" s="30" t="s">
        <v>598</v>
      </c>
      <c r="D12" s="2">
        <v>4947914150</v>
      </c>
      <c r="E12" s="2" t="s">
        <v>21</v>
      </c>
      <c r="F12" s="78" t="s">
        <v>599</v>
      </c>
      <c r="G12" s="28" t="s">
        <v>5</v>
      </c>
      <c r="H12" s="2" t="s">
        <v>20</v>
      </c>
      <c r="I12" s="2">
        <v>4</v>
      </c>
      <c r="J12" s="2" t="s">
        <v>600</v>
      </c>
      <c r="K12" s="2">
        <v>89208</v>
      </c>
      <c r="L12" s="35">
        <v>282753676.80000001</v>
      </c>
      <c r="M12" s="36">
        <v>75600</v>
      </c>
      <c r="N12" s="37">
        <v>1909074</v>
      </c>
      <c r="O12" s="50">
        <v>1189946</v>
      </c>
      <c r="P12" s="50">
        <v>869959</v>
      </c>
      <c r="Q12" s="50">
        <v>417747</v>
      </c>
      <c r="R12" s="37">
        <v>2715481</v>
      </c>
      <c r="S12" s="37">
        <v>343435</v>
      </c>
      <c r="T12" s="37"/>
      <c r="U12" s="37">
        <v>9165600</v>
      </c>
      <c r="V12" s="37">
        <v>0</v>
      </c>
      <c r="W12" s="45">
        <v>16611242</v>
      </c>
      <c r="X12" s="46">
        <v>5.8748102546336201</v>
      </c>
    </row>
    <row r="13" spans="1:24">
      <c r="A13" s="28" t="s">
        <v>63</v>
      </c>
      <c r="B13" s="29">
        <v>3169.6</v>
      </c>
      <c r="C13" s="30" t="s">
        <v>611</v>
      </c>
      <c r="D13" s="2">
        <v>4948390630</v>
      </c>
      <c r="E13" s="2" t="s">
        <v>21</v>
      </c>
      <c r="F13" s="78" t="s">
        <v>612</v>
      </c>
      <c r="G13" s="28" t="s">
        <v>5</v>
      </c>
      <c r="H13" s="2" t="s">
        <v>20</v>
      </c>
      <c r="I13" s="2">
        <v>1</v>
      </c>
      <c r="J13" s="2" t="s">
        <v>613</v>
      </c>
      <c r="K13" s="2">
        <v>24570</v>
      </c>
      <c r="L13" s="35">
        <v>77877072</v>
      </c>
      <c r="M13" s="36">
        <v>12600</v>
      </c>
      <c r="N13" s="37">
        <v>464922</v>
      </c>
      <c r="O13" s="50">
        <v>295463</v>
      </c>
      <c r="P13" s="50">
        <v>135778</v>
      </c>
      <c r="Q13" s="50">
        <v>103726</v>
      </c>
      <c r="R13" s="37">
        <v>673786</v>
      </c>
      <c r="S13" s="37">
        <v>343435</v>
      </c>
      <c r="T13" s="37"/>
      <c r="U13" s="37">
        <v>2097400</v>
      </c>
      <c r="V13" s="37">
        <v>0</v>
      </c>
      <c r="W13" s="45">
        <v>4114510</v>
      </c>
      <c r="X13" s="46">
        <v>5.2833393633494596</v>
      </c>
    </row>
    <row r="15" spans="1:24" ht="15" customHeight="1">
      <c r="A15" s="31" t="s">
        <v>63</v>
      </c>
      <c r="B15" s="31"/>
      <c r="C15" s="31"/>
      <c r="D15" s="31"/>
      <c r="E15" s="31"/>
      <c r="F15" s="32">
        <v>12</v>
      </c>
      <c r="G15" s="31"/>
      <c r="H15" s="31"/>
      <c r="I15" s="38"/>
      <c r="J15" s="31"/>
      <c r="K15" s="39">
        <f>+SUM(K2:K13)</f>
        <v>298275.71000000002</v>
      </c>
      <c r="L15" s="39">
        <f>+SUM(L2:L13)</f>
        <v>945414690.41599989</v>
      </c>
      <c r="M15" s="31"/>
      <c r="N15" s="39"/>
      <c r="O15" s="39"/>
      <c r="P15" s="39"/>
      <c r="Q15" s="39"/>
      <c r="R15" s="39"/>
      <c r="S15" s="39"/>
      <c r="T15" s="39"/>
      <c r="U15" s="39"/>
      <c r="V15" s="31"/>
      <c r="W15" s="39">
        <f>+SUM(W2:W13)</f>
        <v>59215438.21425651</v>
      </c>
      <c r="X15" s="47">
        <f>(W15/L15)*100</f>
        <v>6.2634353807428811</v>
      </c>
    </row>
    <row r="17" spans="1:24" s="4" customFormat="1" ht="15" customHeight="1">
      <c r="A17" s="28" t="s">
        <v>647</v>
      </c>
      <c r="B17" s="29">
        <v>3125.21</v>
      </c>
      <c r="C17" s="30" t="s">
        <v>652</v>
      </c>
      <c r="D17" s="2">
        <v>4948493983</v>
      </c>
      <c r="E17" s="2" t="s">
        <v>21</v>
      </c>
      <c r="F17" s="78" t="s">
        <v>653</v>
      </c>
      <c r="G17" s="28" t="s">
        <v>13</v>
      </c>
      <c r="H17" s="2" t="s">
        <v>23</v>
      </c>
      <c r="I17" s="2">
        <v>1</v>
      </c>
      <c r="J17" s="2"/>
      <c r="K17" s="2">
        <v>1683.34</v>
      </c>
      <c r="L17" s="35">
        <v>5260791.0014000004</v>
      </c>
      <c r="M17" s="36">
        <v>589.67999999999995</v>
      </c>
      <c r="N17" s="37">
        <v>731847.09</v>
      </c>
      <c r="O17" s="37">
        <v>0</v>
      </c>
      <c r="P17" s="37">
        <v>0</v>
      </c>
      <c r="Q17" s="37">
        <v>0</v>
      </c>
      <c r="R17" s="37">
        <v>6346</v>
      </c>
      <c r="S17" s="37">
        <v>343435</v>
      </c>
      <c r="T17" s="37"/>
      <c r="U17" s="37">
        <v>246380</v>
      </c>
      <c r="V17" s="37">
        <v>0</v>
      </c>
      <c r="W17" s="45">
        <v>1328008.0900000001</v>
      </c>
      <c r="X17" s="46">
        <v>25.243505960350699</v>
      </c>
    </row>
    <row r="18" spans="1:24" s="4" customFormat="1" ht="15" customHeight="1">
      <c r="A18" s="28" t="s">
        <v>647</v>
      </c>
      <c r="B18" s="29">
        <v>3125.21</v>
      </c>
      <c r="C18" s="30" t="s">
        <v>710</v>
      </c>
      <c r="D18" s="2">
        <v>4947914565</v>
      </c>
      <c r="E18" s="2" t="s">
        <v>21</v>
      </c>
      <c r="F18" s="78" t="s">
        <v>711</v>
      </c>
      <c r="G18" s="28" t="s">
        <v>5</v>
      </c>
      <c r="H18" s="2" t="s">
        <v>20</v>
      </c>
      <c r="I18" s="2">
        <v>1</v>
      </c>
      <c r="J18" s="2" t="s">
        <v>712</v>
      </c>
      <c r="K18" s="2">
        <v>9460.08</v>
      </c>
      <c r="L18" s="35">
        <v>29564736.616799999</v>
      </c>
      <c r="M18" s="36">
        <v>3991.6</v>
      </c>
      <c r="N18" s="37">
        <v>316307</v>
      </c>
      <c r="O18" s="37">
        <v>366666</v>
      </c>
      <c r="P18" s="37">
        <v>283152</v>
      </c>
      <c r="Q18" s="37">
        <v>206737</v>
      </c>
      <c r="R18" s="37">
        <v>781094</v>
      </c>
      <c r="S18" s="37">
        <v>343435</v>
      </c>
      <c r="T18" s="37"/>
      <c r="U18" s="37">
        <v>1728800</v>
      </c>
      <c r="V18" s="37">
        <v>0</v>
      </c>
      <c r="W18" s="45">
        <v>4026191</v>
      </c>
      <c r="X18" s="46">
        <v>13.6182204231515</v>
      </c>
    </row>
    <row r="19" spans="1:24" s="4" customFormat="1" ht="15" customHeight="1">
      <c r="A19" s="28" t="s">
        <v>647</v>
      </c>
      <c r="B19" s="29">
        <v>3125.21</v>
      </c>
      <c r="C19" s="30" t="s">
        <v>811</v>
      </c>
      <c r="D19" s="2">
        <v>4947917322</v>
      </c>
      <c r="E19" s="2" t="s">
        <v>21</v>
      </c>
      <c r="F19" s="2" t="s">
        <v>812</v>
      </c>
      <c r="G19" s="28" t="s">
        <v>5</v>
      </c>
      <c r="H19" s="2" t="s">
        <v>20</v>
      </c>
      <c r="I19" s="2">
        <v>1</v>
      </c>
      <c r="J19" s="2" t="s">
        <v>813</v>
      </c>
      <c r="K19" s="2">
        <v>23438.400000000001</v>
      </c>
      <c r="L19" s="35">
        <v>73249922.063999996</v>
      </c>
      <c r="M19" s="36">
        <v>4560</v>
      </c>
      <c r="N19" s="37">
        <v>296664</v>
      </c>
      <c r="O19" s="37">
        <v>318682</v>
      </c>
      <c r="P19" s="37">
        <v>420901</v>
      </c>
      <c r="Q19" s="37">
        <v>99309</v>
      </c>
      <c r="R19" s="37">
        <v>739488</v>
      </c>
      <c r="S19" s="37">
        <v>354356</v>
      </c>
      <c r="T19" s="37"/>
      <c r="U19" s="37">
        <v>499900</v>
      </c>
      <c r="V19" s="37">
        <v>0</v>
      </c>
      <c r="W19" s="45">
        <v>2729300</v>
      </c>
      <c r="X19" s="46">
        <v>3.7260107903123099</v>
      </c>
    </row>
    <row r="20" spans="1:24" s="4" customFormat="1" ht="15" customHeight="1">
      <c r="A20" s="28" t="s">
        <v>647</v>
      </c>
      <c r="B20" s="29">
        <v>3125.21</v>
      </c>
      <c r="C20" s="30" t="s">
        <v>841</v>
      </c>
      <c r="D20" s="2">
        <v>4948180150</v>
      </c>
      <c r="E20" s="2" t="s">
        <v>21</v>
      </c>
      <c r="F20" s="2" t="s">
        <v>842</v>
      </c>
      <c r="G20" s="28" t="s">
        <v>5</v>
      </c>
      <c r="H20" s="2" t="s">
        <v>17</v>
      </c>
      <c r="I20" s="2">
        <v>1</v>
      </c>
      <c r="J20" s="2" t="s">
        <v>843</v>
      </c>
      <c r="K20" s="2">
        <v>26127.360000000001</v>
      </c>
      <c r="L20" s="35">
        <v>81653486.7456</v>
      </c>
      <c r="M20" s="36">
        <v>18144</v>
      </c>
      <c r="N20" s="37">
        <v>317801</v>
      </c>
      <c r="O20" s="37">
        <v>418073</v>
      </c>
      <c r="P20" s="37">
        <v>0</v>
      </c>
      <c r="Q20" s="37">
        <v>99309</v>
      </c>
      <c r="R20" s="37">
        <v>627777</v>
      </c>
      <c r="S20" s="37">
        <v>354356</v>
      </c>
      <c r="T20" s="37"/>
      <c r="U20" s="37">
        <v>4781550</v>
      </c>
      <c r="V20" s="37">
        <v>0</v>
      </c>
      <c r="W20" s="45">
        <v>6598866</v>
      </c>
      <c r="X20" s="46">
        <v>8.08154833676541</v>
      </c>
    </row>
    <row r="21" spans="1:24" s="4" customFormat="1" ht="15" customHeight="1">
      <c r="A21" s="28" t="s">
        <v>647</v>
      </c>
      <c r="B21" s="29">
        <v>3125.21</v>
      </c>
      <c r="C21" s="30" t="s">
        <v>1019</v>
      </c>
      <c r="D21" s="2">
        <v>4948181156</v>
      </c>
      <c r="E21" s="2" t="s">
        <v>21</v>
      </c>
      <c r="F21" s="78" t="s">
        <v>1020</v>
      </c>
      <c r="G21" s="28" t="s">
        <v>5</v>
      </c>
      <c r="H21" s="2" t="s">
        <v>20</v>
      </c>
      <c r="I21" s="2">
        <v>1</v>
      </c>
      <c r="J21" s="2" t="s">
        <v>1021</v>
      </c>
      <c r="K21" s="2">
        <v>15676.42</v>
      </c>
      <c r="L21" s="35">
        <v>48992104.548199996</v>
      </c>
      <c r="M21" s="36">
        <v>10886.4</v>
      </c>
      <c r="N21" s="37">
        <v>317267</v>
      </c>
      <c r="O21" s="37">
        <v>315061</v>
      </c>
      <c r="P21" s="37">
        <v>0</v>
      </c>
      <c r="Q21" s="37">
        <v>99309</v>
      </c>
      <c r="R21" s="37">
        <v>529637</v>
      </c>
      <c r="S21" s="37">
        <v>354356</v>
      </c>
      <c r="T21" s="37"/>
      <c r="U21" s="37">
        <v>2749500</v>
      </c>
      <c r="V21" s="37">
        <v>0</v>
      </c>
      <c r="W21" s="45">
        <v>4365130</v>
      </c>
      <c r="X21" s="46">
        <v>8.9098642327264095</v>
      </c>
    </row>
    <row r="22" spans="1:24" s="4" customFormat="1" ht="15" customHeight="1">
      <c r="A22" s="28" t="s">
        <v>647</v>
      </c>
      <c r="B22" s="29">
        <v>3125.21</v>
      </c>
      <c r="C22" s="30" t="s">
        <v>1028</v>
      </c>
      <c r="D22" s="2">
        <v>4948413249</v>
      </c>
      <c r="E22" s="2" t="s">
        <v>21</v>
      </c>
      <c r="F22" s="78" t="s">
        <v>1029</v>
      </c>
      <c r="G22" s="28" t="s">
        <v>5</v>
      </c>
      <c r="H22" s="2" t="s">
        <v>17</v>
      </c>
      <c r="I22" s="2">
        <v>1</v>
      </c>
      <c r="J22" s="2" t="s">
        <v>1030</v>
      </c>
      <c r="K22" s="2">
        <v>158760</v>
      </c>
      <c r="L22" s="35">
        <v>496158339.60000002</v>
      </c>
      <c r="M22" s="36">
        <v>12700</v>
      </c>
      <c r="N22" s="37">
        <v>462361</v>
      </c>
      <c r="O22" s="37">
        <v>413323</v>
      </c>
      <c r="P22" s="37">
        <v>0</v>
      </c>
      <c r="Q22" s="37">
        <v>99309</v>
      </c>
      <c r="R22" s="37">
        <v>718339</v>
      </c>
      <c r="S22" s="37">
        <v>354356</v>
      </c>
      <c r="T22" s="37"/>
      <c r="U22" s="37">
        <v>4151050</v>
      </c>
      <c r="V22" s="37">
        <v>1335000</v>
      </c>
      <c r="W22" s="45">
        <v>7533738</v>
      </c>
      <c r="X22" s="46">
        <v>1.51841406234825</v>
      </c>
    </row>
    <row r="23" spans="1:24" s="4" customFormat="1" ht="15" customHeight="1">
      <c r="A23" s="28" t="s">
        <v>647</v>
      </c>
      <c r="B23" s="29">
        <v>3125.21</v>
      </c>
      <c r="C23" s="30" t="s">
        <v>1033</v>
      </c>
      <c r="D23" s="2">
        <v>4948649447</v>
      </c>
      <c r="E23" s="2" t="s">
        <v>21</v>
      </c>
      <c r="F23" s="2" t="s">
        <v>1034</v>
      </c>
      <c r="G23" s="28" t="s">
        <v>9</v>
      </c>
      <c r="H23" s="2" t="s">
        <v>23</v>
      </c>
      <c r="I23" s="2">
        <v>1</v>
      </c>
      <c r="J23" s="2"/>
      <c r="K23" s="2">
        <v>3643.2</v>
      </c>
      <c r="L23" s="35">
        <v>11385765.072000001</v>
      </c>
      <c r="M23" s="36">
        <v>720</v>
      </c>
      <c r="N23" s="37">
        <v>473953</v>
      </c>
      <c r="O23" s="37">
        <v>505</v>
      </c>
      <c r="P23" s="37">
        <v>0</v>
      </c>
      <c r="Q23" s="37">
        <v>12449</v>
      </c>
      <c r="R23" s="37">
        <v>92561</v>
      </c>
      <c r="S23" s="37">
        <v>354356</v>
      </c>
      <c r="T23" s="37"/>
      <c r="U23" s="37">
        <v>252200</v>
      </c>
      <c r="V23" s="37">
        <v>0</v>
      </c>
      <c r="W23" s="45">
        <v>1186024</v>
      </c>
      <c r="X23" s="46">
        <v>10.4167264342796</v>
      </c>
    </row>
    <row r="24" spans="1:24" s="4" customFormat="1" ht="15" customHeight="1">
      <c r="A24" s="28" t="s">
        <v>647</v>
      </c>
      <c r="B24" s="29">
        <v>3125.21</v>
      </c>
      <c r="C24" s="30" t="s">
        <v>1051</v>
      </c>
      <c r="D24" s="2">
        <v>4947193867</v>
      </c>
      <c r="E24" s="2" t="s">
        <v>21</v>
      </c>
      <c r="F24" s="78" t="s">
        <v>1052</v>
      </c>
      <c r="G24" s="28" t="s">
        <v>5</v>
      </c>
      <c r="H24" s="2" t="s">
        <v>20</v>
      </c>
      <c r="I24" s="2">
        <v>1</v>
      </c>
      <c r="J24" s="2" t="s">
        <v>1053</v>
      </c>
      <c r="K24" s="2">
        <v>34200</v>
      </c>
      <c r="L24" s="35">
        <v>106882182</v>
      </c>
      <c r="M24" s="36">
        <v>18000</v>
      </c>
      <c r="N24" s="37">
        <v>462361</v>
      </c>
      <c r="O24" s="37">
        <v>315061</v>
      </c>
      <c r="P24" s="37">
        <v>103640</v>
      </c>
      <c r="Q24" s="37">
        <v>99309</v>
      </c>
      <c r="R24" s="37">
        <v>620383</v>
      </c>
      <c r="S24" s="37">
        <v>354356</v>
      </c>
      <c r="T24" s="37"/>
      <c r="U24" s="37">
        <v>0</v>
      </c>
      <c r="V24" s="37">
        <v>0</v>
      </c>
      <c r="W24" s="45">
        <v>1955110</v>
      </c>
      <c r="X24" s="46">
        <v>1.8292197664901699</v>
      </c>
    </row>
    <row r="26" spans="1:24" ht="15" customHeight="1">
      <c r="A26" s="31" t="s">
        <v>647</v>
      </c>
      <c r="B26" s="31"/>
      <c r="C26" s="31"/>
      <c r="D26" s="31"/>
      <c r="E26" s="31"/>
      <c r="F26" s="32">
        <v>8</v>
      </c>
      <c r="G26" s="31"/>
      <c r="H26" s="31"/>
      <c r="I26" s="38"/>
      <c r="J26" s="31"/>
      <c r="K26" s="39">
        <f>+SUM(K17:K24)</f>
        <v>272988.80000000005</v>
      </c>
      <c r="L26" s="39">
        <f>+SUM(L17:L24)</f>
        <v>853147327.648</v>
      </c>
      <c r="M26" s="31"/>
      <c r="N26" s="39"/>
      <c r="O26" s="39"/>
      <c r="P26" s="39"/>
      <c r="Q26" s="39"/>
      <c r="R26" s="39"/>
      <c r="S26" s="39"/>
      <c r="T26" s="39"/>
      <c r="U26" s="39"/>
      <c r="V26" s="31"/>
      <c r="W26" s="39">
        <f>+SUM(W17:W24)</f>
        <v>29722367.09</v>
      </c>
      <c r="X26" s="47">
        <f>(W26/L26)*100</f>
        <v>3.4838492868447624</v>
      </c>
    </row>
    <row r="28" spans="1:24" s="4" customFormat="1" ht="15" customHeight="1">
      <c r="A28" s="28" t="s">
        <v>1109</v>
      </c>
      <c r="B28" s="29">
        <v>3106.0650000000001</v>
      </c>
      <c r="C28" s="30" t="s">
        <v>1143</v>
      </c>
      <c r="D28" s="2">
        <v>4948711429</v>
      </c>
      <c r="E28" s="2" t="s">
        <v>21</v>
      </c>
      <c r="F28" s="2" t="s">
        <v>1144</v>
      </c>
      <c r="G28" s="28" t="s">
        <v>5</v>
      </c>
      <c r="H28" s="2" t="s">
        <v>20</v>
      </c>
      <c r="I28" s="2">
        <v>3</v>
      </c>
      <c r="J28" s="2" t="s">
        <v>1145</v>
      </c>
      <c r="K28" s="2">
        <v>66906</v>
      </c>
      <c r="L28" s="35">
        <v>207814384.88999999</v>
      </c>
      <c r="M28" s="36">
        <v>56700</v>
      </c>
      <c r="N28" s="40">
        <v>1399515</v>
      </c>
      <c r="O28" s="40">
        <v>885875</v>
      </c>
      <c r="P28" s="40">
        <v>1128768</v>
      </c>
      <c r="Q28" s="40">
        <v>925220</v>
      </c>
      <c r="R28" s="40">
        <v>2026449</v>
      </c>
      <c r="S28" s="40">
        <v>354356</v>
      </c>
      <c r="T28" s="40"/>
      <c r="U28" s="40">
        <v>0</v>
      </c>
      <c r="V28" s="40">
        <v>0</v>
      </c>
      <c r="W28" s="45">
        <v>6720183</v>
      </c>
      <c r="X28" s="46">
        <v>3.2337429401516702</v>
      </c>
    </row>
    <row r="29" spans="1:24" s="4" customFormat="1" ht="15" customHeight="1">
      <c r="A29" s="28" t="s">
        <v>1109</v>
      </c>
      <c r="B29" s="29">
        <v>3106.0650000000001</v>
      </c>
      <c r="C29" s="30" t="s">
        <v>1168</v>
      </c>
      <c r="D29" s="2">
        <v>4945646683</v>
      </c>
      <c r="E29" s="2" t="s">
        <v>21</v>
      </c>
      <c r="F29" s="2" t="s">
        <v>1169</v>
      </c>
      <c r="G29" s="28" t="s">
        <v>5</v>
      </c>
      <c r="H29" s="2" t="s">
        <v>20</v>
      </c>
      <c r="I29" s="2">
        <v>1</v>
      </c>
      <c r="J29" s="2" t="s">
        <v>1170</v>
      </c>
      <c r="K29" s="2">
        <v>5648.11</v>
      </c>
      <c r="L29" s="35">
        <v>17543396.787149999</v>
      </c>
      <c r="M29" s="36">
        <v>997.9</v>
      </c>
      <c r="N29" s="40">
        <v>319027</v>
      </c>
      <c r="O29" s="40">
        <v>369115</v>
      </c>
      <c r="P29" s="40">
        <v>88785</v>
      </c>
      <c r="Q29" s="40">
        <v>215966</v>
      </c>
      <c r="R29" s="40">
        <v>792053</v>
      </c>
      <c r="S29" s="40">
        <v>354356</v>
      </c>
      <c r="T29" s="40"/>
      <c r="U29" s="40">
        <v>0</v>
      </c>
      <c r="V29" s="40">
        <v>0</v>
      </c>
      <c r="W29" s="45">
        <v>2139302</v>
      </c>
      <c r="X29" s="46">
        <v>12.1943431249698</v>
      </c>
    </row>
    <row r="30" spans="1:24" s="4" customFormat="1" ht="15" customHeight="1">
      <c r="A30" s="28" t="s">
        <v>1109</v>
      </c>
      <c r="B30" s="29">
        <v>3106.0650000000001</v>
      </c>
      <c r="C30" s="30" t="s">
        <v>1171</v>
      </c>
      <c r="D30" s="2">
        <v>4948711426</v>
      </c>
      <c r="E30" s="2" t="s">
        <v>21</v>
      </c>
      <c r="F30" s="2" t="s">
        <v>1172</v>
      </c>
      <c r="G30" s="28" t="s">
        <v>5</v>
      </c>
      <c r="H30" s="2" t="s">
        <v>20</v>
      </c>
      <c r="I30" s="2">
        <v>1</v>
      </c>
      <c r="J30" s="2" t="s">
        <v>1173</v>
      </c>
      <c r="K30" s="2">
        <v>22302</v>
      </c>
      <c r="L30" s="35">
        <v>69271461.629999995</v>
      </c>
      <c r="M30" s="36">
        <v>18900</v>
      </c>
      <c r="N30" s="40">
        <v>466505</v>
      </c>
      <c r="O30" s="40">
        <v>295292</v>
      </c>
      <c r="P30" s="40">
        <v>376255</v>
      </c>
      <c r="Q30" s="40">
        <v>103666</v>
      </c>
      <c r="R30" s="40">
        <v>677483</v>
      </c>
      <c r="S30" s="40">
        <v>354356</v>
      </c>
      <c r="T30" s="40"/>
      <c r="U30" s="40">
        <v>0</v>
      </c>
      <c r="V30" s="40">
        <v>0</v>
      </c>
      <c r="W30" s="45">
        <v>2273557</v>
      </c>
      <c r="X30" s="46">
        <v>3.2820976293870601</v>
      </c>
    </row>
    <row r="31" spans="1:24" s="4" customFormat="1" ht="15" customHeight="1">
      <c r="A31" s="28" t="s">
        <v>1109</v>
      </c>
      <c r="B31" s="29">
        <v>3106.0650000000001</v>
      </c>
      <c r="C31" s="30" t="s">
        <v>1209</v>
      </c>
      <c r="D31" s="2">
        <v>4948957243</v>
      </c>
      <c r="E31" s="2" t="s">
        <v>21</v>
      </c>
      <c r="F31" s="78" t="s">
        <v>1210</v>
      </c>
      <c r="G31" s="28" t="s">
        <v>9</v>
      </c>
      <c r="H31" s="2" t="s">
        <v>23</v>
      </c>
      <c r="I31" s="2">
        <v>4</v>
      </c>
      <c r="J31" s="2"/>
      <c r="K31" s="2">
        <v>4757.6000000000004</v>
      </c>
      <c r="L31" s="35">
        <v>14777414.844000001</v>
      </c>
      <c r="M31" s="36">
        <v>760</v>
      </c>
      <c r="N31" s="40">
        <v>240237</v>
      </c>
      <c r="O31" s="40">
        <v>526</v>
      </c>
      <c r="P31" s="40">
        <v>16408</v>
      </c>
      <c r="Q31" s="40">
        <v>13151</v>
      </c>
      <c r="R31" s="40">
        <v>90676</v>
      </c>
      <c r="S31" s="40">
        <v>354356</v>
      </c>
      <c r="T31" s="40"/>
      <c r="U31" s="40">
        <v>522337.68844221102</v>
      </c>
      <c r="V31" s="40">
        <v>0</v>
      </c>
      <c r="W31" s="45">
        <v>1237691.68844221</v>
      </c>
      <c r="X31" s="46">
        <v>8.3755629892514296</v>
      </c>
    </row>
    <row r="32" spans="1:24" s="4" customFormat="1" ht="15" customHeight="1">
      <c r="A32" s="28" t="s">
        <v>1109</v>
      </c>
      <c r="B32" s="29">
        <v>3106.0650000000001</v>
      </c>
      <c r="C32" s="30" t="s">
        <v>1232</v>
      </c>
      <c r="D32" s="2">
        <v>4948734652</v>
      </c>
      <c r="E32" s="2" t="s">
        <v>21</v>
      </c>
      <c r="F32" s="2" t="s">
        <v>1233</v>
      </c>
      <c r="G32" s="28" t="s">
        <v>9</v>
      </c>
      <c r="H32" s="2" t="s">
        <v>23</v>
      </c>
      <c r="I32" s="2">
        <v>1</v>
      </c>
      <c r="J32" s="2"/>
      <c r="K32" s="2">
        <v>2682</v>
      </c>
      <c r="L32" s="35">
        <v>8330466.3300000001</v>
      </c>
      <c r="M32" s="36">
        <v>900</v>
      </c>
      <c r="N32" s="40">
        <v>1140911</v>
      </c>
      <c r="O32" s="40">
        <v>560</v>
      </c>
      <c r="P32" s="40">
        <v>17953</v>
      </c>
      <c r="Q32" s="40">
        <v>14209</v>
      </c>
      <c r="R32" s="40">
        <v>95264</v>
      </c>
      <c r="S32" s="40">
        <v>354356</v>
      </c>
      <c r="T32" s="40"/>
      <c r="U32" s="40">
        <v>0</v>
      </c>
      <c r="V32" s="40">
        <v>0</v>
      </c>
      <c r="W32" s="45">
        <v>1623253</v>
      </c>
      <c r="X32" s="46">
        <v>19.4857398817432</v>
      </c>
    </row>
    <row r="33" spans="1:24" s="4" customFormat="1" ht="15" customHeight="1">
      <c r="A33" s="28" t="s">
        <v>1109</v>
      </c>
      <c r="B33" s="29">
        <v>3106.0650000000001</v>
      </c>
      <c r="C33" s="30" t="s">
        <v>1313</v>
      </c>
      <c r="D33" s="2">
        <v>4948472952</v>
      </c>
      <c r="E33" s="2" t="s">
        <v>21</v>
      </c>
      <c r="F33" s="2" t="s">
        <v>1314</v>
      </c>
      <c r="G33" s="28" t="s">
        <v>9</v>
      </c>
      <c r="H33" s="2" t="s">
        <v>23</v>
      </c>
      <c r="I33" s="2">
        <v>4</v>
      </c>
      <c r="J33" s="2"/>
      <c r="K33" s="2">
        <v>10670.4</v>
      </c>
      <c r="L33" s="35">
        <v>33142955.976</v>
      </c>
      <c r="M33" s="36">
        <v>3040</v>
      </c>
      <c r="N33" s="40">
        <v>455772</v>
      </c>
      <c r="O33" s="40">
        <v>2093</v>
      </c>
      <c r="P33" s="40">
        <v>0</v>
      </c>
      <c r="Q33" s="40">
        <v>52584</v>
      </c>
      <c r="R33" s="40">
        <v>130711</v>
      </c>
      <c r="S33" s="40">
        <v>354356</v>
      </c>
      <c r="T33" s="40"/>
      <c r="U33" s="40">
        <v>252200</v>
      </c>
      <c r="V33" s="40">
        <v>0</v>
      </c>
      <c r="W33" s="45">
        <v>1247716</v>
      </c>
      <c r="X33" s="46">
        <v>3.7646491185140998</v>
      </c>
    </row>
    <row r="34" spans="1:24" s="4" customFormat="1" ht="15" customHeight="1">
      <c r="A34" s="28" t="s">
        <v>1109</v>
      </c>
      <c r="B34" s="29">
        <v>3106.0650000000001</v>
      </c>
      <c r="C34" s="30" t="s">
        <v>1382</v>
      </c>
      <c r="D34" s="2">
        <v>4948985834</v>
      </c>
      <c r="E34" s="2" t="s">
        <v>21</v>
      </c>
      <c r="F34" s="2" t="s">
        <v>1383</v>
      </c>
      <c r="G34" s="28" t="s">
        <v>5</v>
      </c>
      <c r="H34" s="2" t="s">
        <v>17</v>
      </c>
      <c r="I34" s="2">
        <v>1</v>
      </c>
      <c r="J34" s="2" t="s">
        <v>1384</v>
      </c>
      <c r="K34" s="2">
        <v>15676.41</v>
      </c>
      <c r="L34" s="35">
        <v>48691948.426650003</v>
      </c>
      <c r="M34" s="36">
        <v>10886.4</v>
      </c>
      <c r="N34" s="40">
        <v>313889</v>
      </c>
      <c r="O34" s="40">
        <v>408424</v>
      </c>
      <c r="P34" s="40">
        <v>0</v>
      </c>
      <c r="Q34" s="40">
        <v>99309</v>
      </c>
      <c r="R34" s="40">
        <v>621048</v>
      </c>
      <c r="S34" s="40">
        <v>354356</v>
      </c>
      <c r="T34" s="40"/>
      <c r="U34" s="40">
        <v>4816050</v>
      </c>
      <c r="V34" s="40">
        <v>0</v>
      </c>
      <c r="W34" s="45">
        <v>6613076</v>
      </c>
      <c r="X34" s="46">
        <v>13.5814569219016</v>
      </c>
    </row>
    <row r="35" spans="1:24" s="4" customFormat="1" ht="15" customHeight="1">
      <c r="A35" s="28" t="s">
        <v>1109</v>
      </c>
      <c r="B35" s="29">
        <v>3106.0650000000001</v>
      </c>
      <c r="C35" s="30" t="s">
        <v>1589</v>
      </c>
      <c r="D35" s="2">
        <v>4948950535</v>
      </c>
      <c r="E35" s="2" t="s">
        <v>21</v>
      </c>
      <c r="F35" s="2" t="s">
        <v>1590</v>
      </c>
      <c r="G35" s="28" t="s">
        <v>9</v>
      </c>
      <c r="H35" s="2" t="s">
        <v>23</v>
      </c>
      <c r="I35" s="2">
        <v>1</v>
      </c>
      <c r="J35" s="2"/>
      <c r="K35" s="2">
        <v>2600</v>
      </c>
      <c r="L35" s="35">
        <v>8075769</v>
      </c>
      <c r="M35" s="36">
        <v>800</v>
      </c>
      <c r="N35" s="40">
        <v>310954</v>
      </c>
      <c r="O35" s="40">
        <v>558</v>
      </c>
      <c r="P35" s="40">
        <v>8647</v>
      </c>
      <c r="Q35" s="40">
        <v>13642</v>
      </c>
      <c r="R35" s="40">
        <v>93195</v>
      </c>
      <c r="S35" s="40">
        <v>354356</v>
      </c>
      <c r="T35" s="40"/>
      <c r="U35" s="40">
        <v>573459.11949685495</v>
      </c>
      <c r="V35" s="40">
        <v>0</v>
      </c>
      <c r="W35" s="45">
        <v>1354811.1194968501</v>
      </c>
      <c r="X35" s="46">
        <v>16.7762490420027</v>
      </c>
    </row>
    <row r="37" spans="1:24" ht="15" customHeight="1">
      <c r="A37" s="31" t="s">
        <v>1109</v>
      </c>
      <c r="B37" s="31"/>
      <c r="C37" s="31"/>
      <c r="D37" s="31"/>
      <c r="E37" s="31"/>
      <c r="F37" s="32">
        <v>8</v>
      </c>
      <c r="G37" s="31"/>
      <c r="H37" s="31"/>
      <c r="I37" s="38"/>
      <c r="J37" s="31"/>
      <c r="K37" s="39">
        <f>+SUM(K28:K35)</f>
        <v>131242.52000000002</v>
      </c>
      <c r="L37" s="39">
        <f>+SUM(L28:L35)</f>
        <v>407647797.88379997</v>
      </c>
      <c r="M37" s="31"/>
      <c r="N37" s="39"/>
      <c r="O37" s="39"/>
      <c r="P37" s="39"/>
      <c r="Q37" s="39"/>
      <c r="R37" s="39"/>
      <c r="S37" s="39"/>
      <c r="T37" s="39"/>
      <c r="U37" s="39"/>
      <c r="V37" s="31"/>
      <c r="W37" s="39">
        <f>+SUM(W28:W35)</f>
        <v>23209589.807939056</v>
      </c>
      <c r="X37" s="47">
        <f>(W37/L37)*100</f>
        <v>5.6935398470016887</v>
      </c>
    </row>
    <row r="39" spans="1:24" s="4" customFormat="1" ht="15" customHeight="1">
      <c r="A39" s="28" t="s">
        <v>1603</v>
      </c>
      <c r="B39" s="29">
        <v>3149.63</v>
      </c>
      <c r="C39" s="30" t="s">
        <v>1831</v>
      </c>
      <c r="D39" s="2">
        <v>4949652740</v>
      </c>
      <c r="E39" s="2" t="s">
        <v>21</v>
      </c>
      <c r="F39" s="2" t="s">
        <v>1832</v>
      </c>
      <c r="G39" s="28" t="s">
        <v>5</v>
      </c>
      <c r="H39" s="2" t="s">
        <v>20</v>
      </c>
      <c r="I39" s="2">
        <v>1</v>
      </c>
      <c r="J39" s="2" t="s">
        <v>1833</v>
      </c>
      <c r="K39" s="2">
        <v>71124.479999999996</v>
      </c>
      <c r="L39" s="35">
        <v>224015795.94240001</v>
      </c>
      <c r="M39" s="36">
        <v>6350.4</v>
      </c>
      <c r="N39" s="40">
        <v>467148</v>
      </c>
      <c r="O39" s="40">
        <v>327035</v>
      </c>
      <c r="P39" s="40">
        <v>0</v>
      </c>
      <c r="Q39" s="40">
        <v>99309</v>
      </c>
      <c r="R39" s="40">
        <v>658268</v>
      </c>
      <c r="S39" s="40">
        <v>354356</v>
      </c>
      <c r="T39" s="40"/>
      <c r="U39" s="40">
        <v>4719050</v>
      </c>
      <c r="V39" s="40">
        <v>0</v>
      </c>
      <c r="W39" s="45">
        <v>6625166</v>
      </c>
      <c r="X39" s="46">
        <v>2.9574548402396998</v>
      </c>
    </row>
    <row r="40" spans="1:24" s="4" customFormat="1" ht="15" customHeight="1">
      <c r="A40" s="28" t="s">
        <v>1603</v>
      </c>
      <c r="B40" s="29">
        <v>3149.63</v>
      </c>
      <c r="C40" s="30" t="s">
        <v>1847</v>
      </c>
      <c r="D40" s="2">
        <v>4949484779</v>
      </c>
      <c r="E40" s="2" t="s">
        <v>21</v>
      </c>
      <c r="F40" s="2" t="s">
        <v>1848</v>
      </c>
      <c r="G40" s="28" t="s">
        <v>5</v>
      </c>
      <c r="H40" s="2" t="s">
        <v>17</v>
      </c>
      <c r="I40" s="2">
        <v>1</v>
      </c>
      <c r="J40" s="2" t="s">
        <v>1849</v>
      </c>
      <c r="K40" s="2">
        <v>106686.72</v>
      </c>
      <c r="L40" s="35">
        <v>336023693.91360003</v>
      </c>
      <c r="M40" s="36">
        <v>9525.6</v>
      </c>
      <c r="N40" s="40">
        <v>389290</v>
      </c>
      <c r="O40" s="40">
        <v>357526.66666666698</v>
      </c>
      <c r="P40" s="40">
        <v>0</v>
      </c>
      <c r="Q40" s="40">
        <v>82757.5</v>
      </c>
      <c r="R40" s="40">
        <v>460055.33333333302</v>
      </c>
      <c r="S40" s="40">
        <v>295296.66666666698</v>
      </c>
      <c r="T40" s="40"/>
      <c r="U40" s="40">
        <v>4013375</v>
      </c>
      <c r="V40" s="40">
        <v>0</v>
      </c>
      <c r="W40" s="45">
        <v>5598301.1666666698</v>
      </c>
      <c r="X40" s="46">
        <v>1.66604357611345</v>
      </c>
    </row>
    <row r="41" spans="1:24" s="4" customFormat="1" ht="15" customHeight="1">
      <c r="A41" s="28" t="s">
        <v>1603</v>
      </c>
      <c r="B41" s="29">
        <v>3149.63</v>
      </c>
      <c r="C41" s="30" t="s">
        <v>1847</v>
      </c>
      <c r="D41" s="2">
        <v>4949387377</v>
      </c>
      <c r="E41" s="2" t="s">
        <v>21</v>
      </c>
      <c r="F41" s="2" t="s">
        <v>1848</v>
      </c>
      <c r="G41" s="28" t="s">
        <v>5</v>
      </c>
      <c r="H41" s="2" t="s">
        <v>17</v>
      </c>
      <c r="I41" s="2">
        <v>1</v>
      </c>
      <c r="J41" s="2" t="s">
        <v>1849</v>
      </c>
      <c r="K41" s="2">
        <v>15642.94</v>
      </c>
      <c r="L41" s="35">
        <v>49269473.112199999</v>
      </c>
      <c r="M41" s="36">
        <v>1905.12</v>
      </c>
      <c r="N41" s="40">
        <v>77858</v>
      </c>
      <c r="O41" s="40">
        <v>71505.333333333299</v>
      </c>
      <c r="P41" s="40">
        <v>0</v>
      </c>
      <c r="Q41" s="40">
        <v>16551.5</v>
      </c>
      <c r="R41" s="40">
        <v>122010.66666666701</v>
      </c>
      <c r="S41" s="40">
        <v>59059.333333333299</v>
      </c>
      <c r="T41" s="40"/>
      <c r="U41" s="40">
        <v>802675</v>
      </c>
      <c r="V41" s="40">
        <v>0</v>
      </c>
      <c r="W41" s="45">
        <v>1149659.83333333</v>
      </c>
      <c r="X41" s="46">
        <v>2.3334120718426301</v>
      </c>
    </row>
    <row r="42" spans="1:24" s="4" customFormat="1" ht="15" customHeight="1">
      <c r="A42" s="28" t="s">
        <v>1603</v>
      </c>
      <c r="B42" s="29">
        <v>3149.63</v>
      </c>
      <c r="C42" s="30" t="s">
        <v>1889</v>
      </c>
      <c r="D42" s="2">
        <v>4949651596</v>
      </c>
      <c r="E42" s="2" t="s">
        <v>21</v>
      </c>
      <c r="F42" s="2" t="s">
        <v>1890</v>
      </c>
      <c r="G42" s="28" t="s">
        <v>5</v>
      </c>
      <c r="H42" s="2" t="s">
        <v>17</v>
      </c>
      <c r="I42" s="2">
        <v>1</v>
      </c>
      <c r="J42" s="2" t="s">
        <v>1891</v>
      </c>
      <c r="K42" s="2">
        <v>82555.199999999997</v>
      </c>
      <c r="L42" s="35">
        <v>260018334.57600001</v>
      </c>
      <c r="M42" s="36">
        <v>12700.8</v>
      </c>
      <c r="N42" s="40">
        <v>467148</v>
      </c>
      <c r="O42" s="40">
        <v>429032</v>
      </c>
      <c r="P42" s="40">
        <v>0</v>
      </c>
      <c r="Q42" s="40">
        <v>99309</v>
      </c>
      <c r="R42" s="40">
        <v>732066</v>
      </c>
      <c r="S42" s="40">
        <v>354356</v>
      </c>
      <c r="T42" s="40"/>
      <c r="U42" s="40">
        <v>4816050</v>
      </c>
      <c r="V42" s="40">
        <v>0</v>
      </c>
      <c r="W42" s="45">
        <v>6897961</v>
      </c>
      <c r="X42" s="46">
        <v>2.65287484870949</v>
      </c>
    </row>
    <row r="43" spans="1:24" s="4" customFormat="1" ht="15" customHeight="1">
      <c r="A43" s="28" t="s">
        <v>1603</v>
      </c>
      <c r="B43" s="29">
        <v>3149.63</v>
      </c>
      <c r="C43" s="30" t="s">
        <v>2152</v>
      </c>
      <c r="D43" s="2">
        <v>4949627409</v>
      </c>
      <c r="E43" s="2" t="s">
        <v>21</v>
      </c>
      <c r="F43" s="2" t="s">
        <v>2153</v>
      </c>
      <c r="G43" s="28" t="s">
        <v>5</v>
      </c>
      <c r="H43" s="2" t="s">
        <v>20</v>
      </c>
      <c r="I43" s="2">
        <v>2</v>
      </c>
      <c r="J43" s="2" t="s">
        <v>2154</v>
      </c>
      <c r="K43" s="2">
        <v>14696.64</v>
      </c>
      <c r="L43" s="35">
        <v>46288978.243199997</v>
      </c>
      <c r="M43" s="36">
        <v>10886.4</v>
      </c>
      <c r="N43" s="40">
        <v>460692</v>
      </c>
      <c r="O43" s="40">
        <v>327035.5</v>
      </c>
      <c r="P43" s="40">
        <v>0</v>
      </c>
      <c r="Q43" s="40">
        <v>99309.5</v>
      </c>
      <c r="R43" s="40">
        <v>620313</v>
      </c>
      <c r="S43" s="40">
        <v>177178</v>
      </c>
      <c r="T43" s="40"/>
      <c r="U43" s="40">
        <v>3249500</v>
      </c>
      <c r="V43" s="40">
        <v>0</v>
      </c>
      <c r="W43" s="45">
        <v>4934028</v>
      </c>
      <c r="X43" s="46">
        <v>10.659185376866301</v>
      </c>
    </row>
    <row r="44" spans="1:24" s="4" customFormat="1" ht="15" customHeight="1">
      <c r="A44" s="28" t="s">
        <v>1603</v>
      </c>
      <c r="B44" s="29">
        <v>3149.63</v>
      </c>
      <c r="C44" s="30" t="s">
        <v>2152</v>
      </c>
      <c r="D44" s="2">
        <v>4949653304</v>
      </c>
      <c r="E44" s="2" t="s">
        <v>21</v>
      </c>
      <c r="F44" s="2" t="s">
        <v>2153</v>
      </c>
      <c r="G44" s="28" t="s">
        <v>5</v>
      </c>
      <c r="H44" s="2" t="s">
        <v>20</v>
      </c>
      <c r="I44" s="2">
        <v>2</v>
      </c>
      <c r="J44" s="2" t="s">
        <v>2154</v>
      </c>
      <c r="K44" s="2">
        <v>14696.64</v>
      </c>
      <c r="L44" s="35">
        <v>46288978.243199997</v>
      </c>
      <c r="M44" s="36">
        <v>10886.4</v>
      </c>
      <c r="N44" s="40">
        <v>460692</v>
      </c>
      <c r="O44" s="40">
        <v>327035.5</v>
      </c>
      <c r="P44" s="40">
        <v>0</v>
      </c>
      <c r="Q44" s="40">
        <v>99309.5</v>
      </c>
      <c r="R44" s="40">
        <v>620313</v>
      </c>
      <c r="S44" s="40">
        <v>177178</v>
      </c>
      <c r="T44" s="40"/>
      <c r="U44" s="40">
        <v>3249500</v>
      </c>
      <c r="V44" s="40">
        <v>0</v>
      </c>
      <c r="W44" s="45">
        <v>4934028</v>
      </c>
      <c r="X44" s="46">
        <v>10.659185376866301</v>
      </c>
    </row>
    <row r="46" spans="1:24" ht="15" customHeight="1">
      <c r="A46" s="31" t="s">
        <v>1603</v>
      </c>
      <c r="B46" s="31"/>
      <c r="C46" s="31"/>
      <c r="D46" s="31"/>
      <c r="E46" s="31"/>
      <c r="F46" s="32">
        <v>4</v>
      </c>
      <c r="G46" s="31"/>
      <c r="H46" s="31"/>
      <c r="I46" s="38"/>
      <c r="J46" s="31"/>
      <c r="K46" s="39">
        <f>+SUM(K39:K44)</f>
        <v>305402.62000000005</v>
      </c>
      <c r="L46" s="39">
        <f>+SUM(L39:L44)</f>
        <v>961905254.03059995</v>
      </c>
      <c r="M46" s="31"/>
      <c r="N46" s="39"/>
      <c r="O46" s="39"/>
      <c r="P46" s="39"/>
      <c r="Q46" s="39"/>
      <c r="R46" s="39"/>
      <c r="S46" s="39"/>
      <c r="T46" s="39"/>
      <c r="U46" s="39"/>
      <c r="V46" s="31"/>
      <c r="W46" s="39">
        <f>+SUM(W39:W44)</f>
        <v>30139144</v>
      </c>
      <c r="X46" s="47">
        <f>(W46/L46)*100</f>
        <v>3.1332757435007434</v>
      </c>
    </row>
    <row r="48" spans="1:24" s="4" customFormat="1" ht="15" customHeight="1">
      <c r="A48" s="28" t="s">
        <v>2168</v>
      </c>
      <c r="B48" s="29">
        <v>3271.01</v>
      </c>
      <c r="C48" s="30" t="s">
        <v>2325</v>
      </c>
      <c r="D48" s="2">
        <v>4950062292</v>
      </c>
      <c r="E48" s="2" t="s">
        <v>21</v>
      </c>
      <c r="F48" s="2" t="s">
        <v>2326</v>
      </c>
      <c r="G48" s="28" t="s">
        <v>5</v>
      </c>
      <c r="H48" s="2" t="s">
        <v>20</v>
      </c>
      <c r="I48" s="2">
        <v>1</v>
      </c>
      <c r="J48" s="2" t="s">
        <v>2327</v>
      </c>
      <c r="K48" s="2">
        <v>31050</v>
      </c>
      <c r="L48" s="35">
        <v>101564860.5</v>
      </c>
      <c r="M48" s="36">
        <v>9000</v>
      </c>
      <c r="N48" s="40">
        <v>463501</v>
      </c>
      <c r="O48" s="40">
        <v>332655</v>
      </c>
      <c r="P48" s="40">
        <v>0</v>
      </c>
      <c r="Q48" s="40">
        <v>99309</v>
      </c>
      <c r="R48" s="40">
        <v>625085</v>
      </c>
      <c r="S48" s="40">
        <v>354356</v>
      </c>
      <c r="T48" s="40"/>
      <c r="U48" s="40">
        <v>2900300</v>
      </c>
      <c r="V48" s="40">
        <v>0</v>
      </c>
      <c r="W48" s="45">
        <v>4775206</v>
      </c>
      <c r="X48" s="46">
        <v>4.7016320176996604</v>
      </c>
    </row>
    <row r="49" spans="1:24" s="4" customFormat="1" ht="15" customHeight="1">
      <c r="A49" s="28" t="s">
        <v>2168</v>
      </c>
      <c r="B49" s="29">
        <v>3271.01</v>
      </c>
      <c r="C49" s="30" t="s">
        <v>2399</v>
      </c>
      <c r="D49" s="2">
        <v>4949653308</v>
      </c>
      <c r="E49" s="2" t="s">
        <v>21</v>
      </c>
      <c r="F49" s="2" t="s">
        <v>2400</v>
      </c>
      <c r="G49" s="28" t="s">
        <v>5</v>
      </c>
      <c r="H49" s="2" t="s">
        <v>20</v>
      </c>
      <c r="I49" s="2">
        <v>1</v>
      </c>
      <c r="J49" s="2" t="s">
        <v>2401</v>
      </c>
      <c r="K49" s="2">
        <v>16336.32</v>
      </c>
      <c r="L49" s="35">
        <v>53436266.0832</v>
      </c>
      <c r="M49" s="36">
        <v>3536</v>
      </c>
      <c r="N49" s="40">
        <v>310538</v>
      </c>
      <c r="O49" s="40">
        <v>332655</v>
      </c>
      <c r="P49" s="40">
        <v>440586</v>
      </c>
      <c r="Q49" s="40">
        <v>99309</v>
      </c>
      <c r="R49" s="40">
        <v>756943</v>
      </c>
      <c r="S49" s="40">
        <v>354356</v>
      </c>
      <c r="T49" s="40"/>
      <c r="U49" s="40">
        <v>499900</v>
      </c>
      <c r="V49" s="40">
        <v>0</v>
      </c>
      <c r="W49" s="45">
        <v>2794287</v>
      </c>
      <c r="X49" s="46">
        <v>5.2291958342473004</v>
      </c>
    </row>
    <row r="50" spans="1:24" s="4" customFormat="1" ht="15" customHeight="1">
      <c r="A50" s="28" t="s">
        <v>2168</v>
      </c>
      <c r="B50" s="29">
        <v>3271.01</v>
      </c>
      <c r="C50" s="30" t="s">
        <v>2445</v>
      </c>
      <c r="D50" s="2">
        <v>4950371604</v>
      </c>
      <c r="E50" s="2" t="s">
        <v>21</v>
      </c>
      <c r="F50" s="2" t="s">
        <v>2446</v>
      </c>
      <c r="G50" s="28" t="s">
        <v>5</v>
      </c>
      <c r="H50" s="2" t="s">
        <v>20</v>
      </c>
      <c r="I50" s="2">
        <v>1</v>
      </c>
      <c r="J50" s="2" t="s">
        <v>2447</v>
      </c>
      <c r="K50" s="2">
        <v>8265.6</v>
      </c>
      <c r="L50" s="35">
        <v>27036860.256000001</v>
      </c>
      <c r="M50" s="36">
        <v>5040</v>
      </c>
      <c r="N50" s="40">
        <v>142358.061176471</v>
      </c>
      <c r="O50" s="40">
        <v>98622.423529411797</v>
      </c>
      <c r="P50" s="40">
        <v>120843.783529412</v>
      </c>
      <c r="Q50" s="40">
        <v>29442.197647058802</v>
      </c>
      <c r="R50" s="40">
        <v>275646.67294117599</v>
      </c>
      <c r="S50" s="40">
        <v>105056.13176470601</v>
      </c>
      <c r="T50" s="48"/>
      <c r="U50" s="40">
        <v>2017927.0588235301</v>
      </c>
      <c r="V50" s="40">
        <v>0</v>
      </c>
      <c r="W50" s="45">
        <v>2789896.3294117702</v>
      </c>
      <c r="X50" s="46">
        <v>10.3188621126694</v>
      </c>
    </row>
    <row r="51" spans="1:24" s="4" customFormat="1" ht="15" customHeight="1">
      <c r="A51" s="28" t="s">
        <v>2168</v>
      </c>
      <c r="B51" s="29">
        <v>3271.01</v>
      </c>
      <c r="C51" s="30" t="s">
        <v>2497</v>
      </c>
      <c r="D51" s="2">
        <v>4950130443</v>
      </c>
      <c r="E51" s="2" t="s">
        <v>21</v>
      </c>
      <c r="F51" s="2" t="s">
        <v>2498</v>
      </c>
      <c r="G51" s="28" t="s">
        <v>9</v>
      </c>
      <c r="H51" s="2" t="s">
        <v>23</v>
      </c>
      <c r="I51" s="2">
        <v>2</v>
      </c>
      <c r="J51" s="2"/>
      <c r="K51" s="2">
        <v>8177.6</v>
      </c>
      <c r="L51" s="35">
        <v>26749011.375999998</v>
      </c>
      <c r="M51" s="36">
        <v>1520</v>
      </c>
      <c r="N51" s="40">
        <v>334719</v>
      </c>
      <c r="O51" s="40">
        <v>1117</v>
      </c>
      <c r="P51" s="40">
        <v>17289</v>
      </c>
      <c r="Q51" s="40">
        <v>27076</v>
      </c>
      <c r="R51" s="40">
        <v>112204</v>
      </c>
      <c r="S51" s="40">
        <v>354356</v>
      </c>
      <c r="T51" s="48"/>
      <c r="U51" s="40">
        <v>252200</v>
      </c>
      <c r="V51" s="40">
        <v>0</v>
      </c>
      <c r="W51" s="45">
        <v>1098961</v>
      </c>
      <c r="X51" s="46">
        <v>4.1084172590618397</v>
      </c>
    </row>
    <row r="52" spans="1:24" s="4" customFormat="1" ht="15" customHeight="1">
      <c r="A52" s="28" t="s">
        <v>2168</v>
      </c>
      <c r="B52" s="29">
        <v>3271.01</v>
      </c>
      <c r="C52" s="30" t="s">
        <v>2577</v>
      </c>
      <c r="D52" s="2">
        <v>4949484777</v>
      </c>
      <c r="E52" s="2" t="s">
        <v>21</v>
      </c>
      <c r="F52" s="2" t="s">
        <v>2578</v>
      </c>
      <c r="G52" s="28" t="s">
        <v>5</v>
      </c>
      <c r="H52" s="2" t="s">
        <v>20</v>
      </c>
      <c r="I52" s="2">
        <v>1</v>
      </c>
      <c r="J52" s="2" t="s">
        <v>2579</v>
      </c>
      <c r="K52" s="2">
        <v>25132.799999999999</v>
      </c>
      <c r="L52" s="35">
        <v>82209640.128000006</v>
      </c>
      <c r="M52" s="36">
        <v>5440</v>
      </c>
      <c r="N52" s="40">
        <v>309842</v>
      </c>
      <c r="O52" s="40">
        <v>340244</v>
      </c>
      <c r="P52" s="40">
        <v>1068146</v>
      </c>
      <c r="Q52" s="40">
        <v>99309</v>
      </c>
      <c r="R52" s="40">
        <v>758633</v>
      </c>
      <c r="S52" s="40">
        <v>354356</v>
      </c>
      <c r="T52" s="48"/>
      <c r="U52" s="40">
        <v>499900</v>
      </c>
      <c r="V52" s="40">
        <v>0</v>
      </c>
      <c r="W52" s="45">
        <v>3430430</v>
      </c>
      <c r="X52" s="46">
        <v>4.1727831366964203</v>
      </c>
    </row>
    <row r="53" spans="1:24" s="4" customFormat="1" ht="15" customHeight="1">
      <c r="A53" s="28" t="s">
        <v>2168</v>
      </c>
      <c r="B53" s="29">
        <v>3271.01</v>
      </c>
      <c r="C53" s="30" t="s">
        <v>2580</v>
      </c>
      <c r="D53" s="2">
        <v>4949484777</v>
      </c>
      <c r="E53" s="2" t="s">
        <v>21</v>
      </c>
      <c r="F53" s="2" t="s">
        <v>2578</v>
      </c>
      <c r="G53" s="28" t="s">
        <v>5</v>
      </c>
      <c r="H53" s="2" t="s">
        <v>20</v>
      </c>
      <c r="I53" s="2">
        <v>1</v>
      </c>
      <c r="J53" s="2" t="s">
        <v>2579</v>
      </c>
      <c r="K53" s="2">
        <v>25132.799999999999</v>
      </c>
      <c r="L53" s="35">
        <v>82209640.128000006</v>
      </c>
      <c r="M53" s="36">
        <v>5440</v>
      </c>
      <c r="N53" s="40">
        <v>929528</v>
      </c>
      <c r="O53" s="40">
        <v>340244</v>
      </c>
      <c r="P53" s="40">
        <v>694101</v>
      </c>
      <c r="Q53" s="40">
        <v>99309</v>
      </c>
      <c r="R53" s="40">
        <v>2619738</v>
      </c>
      <c r="S53" s="40">
        <v>354356</v>
      </c>
      <c r="T53" s="48"/>
      <c r="U53" s="40">
        <v>1557900</v>
      </c>
      <c r="V53" s="40">
        <v>0</v>
      </c>
      <c r="W53" s="45">
        <v>6595176</v>
      </c>
      <c r="X53" s="46">
        <v>8.0223876296397201</v>
      </c>
    </row>
    <row r="54" spans="1:24" s="4" customFormat="1" ht="15" customHeight="1">
      <c r="A54" s="28" t="s">
        <v>2168</v>
      </c>
      <c r="B54" s="29">
        <v>3271.01</v>
      </c>
      <c r="C54" s="30" t="s">
        <v>2620</v>
      </c>
      <c r="D54" s="2">
        <v>4950130444</v>
      </c>
      <c r="E54" s="2" t="s">
        <v>21</v>
      </c>
      <c r="F54" s="2" t="s">
        <v>2621</v>
      </c>
      <c r="G54" s="28" t="s">
        <v>9</v>
      </c>
      <c r="H54" s="2" t="s">
        <v>23</v>
      </c>
      <c r="I54" s="2">
        <v>4</v>
      </c>
      <c r="J54" s="2"/>
      <c r="K54" s="2">
        <v>16112</v>
      </c>
      <c r="L54" s="35">
        <v>52702513.119999997</v>
      </c>
      <c r="M54" s="36">
        <v>3040</v>
      </c>
      <c r="N54" s="40">
        <v>883184</v>
      </c>
      <c r="O54" s="40">
        <v>2234</v>
      </c>
      <c r="P54" s="40">
        <v>0</v>
      </c>
      <c r="Q54" s="40">
        <v>54025</v>
      </c>
      <c r="R54" s="40">
        <v>138379</v>
      </c>
      <c r="S54" s="40">
        <v>354356</v>
      </c>
      <c r="T54" s="48"/>
      <c r="U54" s="40">
        <v>252200</v>
      </c>
      <c r="V54" s="40">
        <v>0</v>
      </c>
      <c r="W54" s="45">
        <v>1684378</v>
      </c>
      <c r="X54" s="46">
        <v>3.1960107787740299</v>
      </c>
    </row>
    <row r="56" spans="1:24" ht="15" customHeight="1">
      <c r="A56" s="31" t="s">
        <v>2168</v>
      </c>
      <c r="B56" s="31"/>
      <c r="C56" s="31"/>
      <c r="D56" s="31"/>
      <c r="E56" s="31"/>
      <c r="F56" s="32">
        <v>6</v>
      </c>
      <c r="G56" s="31"/>
      <c r="H56" s="31"/>
      <c r="I56" s="38"/>
      <c r="J56" s="31"/>
      <c r="K56" s="39">
        <f>+SUM(K48:K54)</f>
        <v>130207.12</v>
      </c>
      <c r="L56" s="39">
        <f>+SUM(L48:L54)</f>
        <v>425908791.59120005</v>
      </c>
      <c r="M56" s="31"/>
      <c r="N56" s="39"/>
      <c r="O56" s="39"/>
      <c r="P56" s="39"/>
      <c r="Q56" s="39"/>
      <c r="R56" s="39"/>
      <c r="S56" s="39"/>
      <c r="T56" s="39"/>
      <c r="U56" s="39"/>
      <c r="V56" s="31"/>
      <c r="W56" s="39">
        <f>+SUM(W48:W54)</f>
        <v>23168334.329411771</v>
      </c>
      <c r="X56" s="47">
        <f>(W56/L56)*100</f>
        <v>5.4397408052683334</v>
      </c>
    </row>
    <row r="58" spans="1:24" s="4" customFormat="1" ht="15" customHeight="1">
      <c r="A58" s="28" t="s">
        <v>2682</v>
      </c>
      <c r="B58" s="29">
        <v>3278.81</v>
      </c>
      <c r="C58" s="30" t="s">
        <v>2695</v>
      </c>
      <c r="D58" s="2">
        <v>4950130442</v>
      </c>
      <c r="E58" s="2" t="s">
        <v>21</v>
      </c>
      <c r="F58" s="2" t="s">
        <v>2696</v>
      </c>
      <c r="G58" s="28" t="s">
        <v>9</v>
      </c>
      <c r="H58" s="2" t="s">
        <v>23</v>
      </c>
      <c r="I58" s="2">
        <v>1</v>
      </c>
      <c r="J58" s="2"/>
      <c r="K58" s="2">
        <v>4305.6000000000004</v>
      </c>
      <c r="L58" s="35">
        <v>14117244.335999999</v>
      </c>
      <c r="M58" s="36">
        <v>720</v>
      </c>
      <c r="N58" s="40">
        <v>494231</v>
      </c>
      <c r="O58" s="40">
        <v>535</v>
      </c>
      <c r="P58" s="40">
        <v>0</v>
      </c>
      <c r="Q58" s="40">
        <v>12824</v>
      </c>
      <c r="R58" s="40">
        <v>99022</v>
      </c>
      <c r="S58" s="40">
        <v>354356</v>
      </c>
      <c r="T58" s="40"/>
      <c r="U58" s="40">
        <v>252200</v>
      </c>
      <c r="V58" s="40">
        <v>0</v>
      </c>
      <c r="W58" s="45">
        <v>1213168</v>
      </c>
      <c r="X58" s="46">
        <v>8.5935184737600192</v>
      </c>
    </row>
    <row r="59" spans="1:24" s="4" customFormat="1" ht="15" customHeight="1">
      <c r="A59" s="28" t="s">
        <v>2682</v>
      </c>
      <c r="B59" s="29">
        <v>3278.81</v>
      </c>
      <c r="C59" s="30" t="s">
        <v>2715</v>
      </c>
      <c r="D59" s="2">
        <v>4950406822</v>
      </c>
      <c r="E59" s="2" t="s">
        <v>21</v>
      </c>
      <c r="F59" s="2" t="s">
        <v>2716</v>
      </c>
      <c r="G59" s="28" t="s">
        <v>5</v>
      </c>
      <c r="H59" s="2" t="s">
        <v>17</v>
      </c>
      <c r="I59" s="2">
        <v>1</v>
      </c>
      <c r="J59" s="2" t="s">
        <v>2717</v>
      </c>
      <c r="K59" s="2">
        <v>106686.72</v>
      </c>
      <c r="L59" s="35">
        <v>349805484.40319997</v>
      </c>
      <c r="M59" s="36">
        <v>9525.6</v>
      </c>
      <c r="N59" s="40">
        <v>482518</v>
      </c>
      <c r="O59" s="40">
        <v>435751</v>
      </c>
      <c r="P59" s="40">
        <v>0</v>
      </c>
      <c r="Q59" s="40">
        <v>110000</v>
      </c>
      <c r="R59" s="40">
        <v>742340</v>
      </c>
      <c r="S59" s="40">
        <v>354356</v>
      </c>
      <c r="T59" s="40"/>
      <c r="U59" s="40">
        <v>4719050</v>
      </c>
      <c r="V59" s="40">
        <v>0</v>
      </c>
      <c r="W59" s="45">
        <v>6844015</v>
      </c>
      <c r="X59" s="46">
        <v>1.9565202105611701</v>
      </c>
    </row>
    <row r="60" spans="1:24" s="4" customFormat="1" ht="15" customHeight="1">
      <c r="A60" s="28" t="s">
        <v>2682</v>
      </c>
      <c r="B60" s="29">
        <v>3278.81</v>
      </c>
      <c r="C60" s="30" t="s">
        <v>2715</v>
      </c>
      <c r="D60" s="2">
        <v>4950406822</v>
      </c>
      <c r="E60" s="2" t="s">
        <v>21</v>
      </c>
      <c r="F60" s="2" t="s">
        <v>2716</v>
      </c>
      <c r="G60" s="28" t="s">
        <v>5</v>
      </c>
      <c r="H60" s="2" t="s">
        <v>17</v>
      </c>
      <c r="I60" s="2">
        <v>1</v>
      </c>
      <c r="J60" s="2" t="s">
        <v>2717</v>
      </c>
      <c r="K60" s="2">
        <v>106686.72</v>
      </c>
      <c r="L60" s="35">
        <v>349805484.40319997</v>
      </c>
      <c r="M60" s="36">
        <v>9525.6</v>
      </c>
      <c r="N60" s="40">
        <v>482518</v>
      </c>
      <c r="O60" s="40">
        <v>432840</v>
      </c>
      <c r="P60" s="40">
        <v>0</v>
      </c>
      <c r="Q60" s="40">
        <v>110000</v>
      </c>
      <c r="R60" s="40">
        <v>742340</v>
      </c>
      <c r="S60" s="40">
        <v>354356</v>
      </c>
      <c r="T60" s="40"/>
      <c r="U60" s="40">
        <v>4719050</v>
      </c>
      <c r="V60" s="40">
        <v>0</v>
      </c>
      <c r="W60" s="45">
        <v>6841104</v>
      </c>
      <c r="X60" s="46">
        <v>1.95568803378585</v>
      </c>
    </row>
    <row r="61" spans="1:24" s="4" customFormat="1" ht="15" customHeight="1">
      <c r="A61" s="28" t="s">
        <v>2682</v>
      </c>
      <c r="B61" s="29">
        <v>3278.81</v>
      </c>
      <c r="C61" s="30" t="s">
        <v>2915</v>
      </c>
      <c r="D61" s="2">
        <v>4951551811</v>
      </c>
      <c r="E61" s="2" t="s">
        <v>21</v>
      </c>
      <c r="F61" s="2" t="s">
        <v>2916</v>
      </c>
      <c r="G61" s="28" t="s">
        <v>13</v>
      </c>
      <c r="H61" s="2" t="s">
        <v>23</v>
      </c>
      <c r="I61" s="2">
        <v>1</v>
      </c>
      <c r="J61" s="2"/>
      <c r="K61" s="2">
        <v>2699.6</v>
      </c>
      <c r="L61" s="35">
        <v>8851475.4759999998</v>
      </c>
      <c r="M61" s="36">
        <v>680</v>
      </c>
      <c r="N61" s="40">
        <v>1067029</v>
      </c>
      <c r="O61" s="40">
        <v>0</v>
      </c>
      <c r="P61" s="40">
        <v>0</v>
      </c>
      <c r="Q61" s="40">
        <v>0</v>
      </c>
      <c r="R61" s="40">
        <v>4268</v>
      </c>
      <c r="S61" s="40">
        <v>354356</v>
      </c>
      <c r="T61" s="40"/>
      <c r="U61" s="40">
        <v>246380</v>
      </c>
      <c r="V61" s="40">
        <v>0</v>
      </c>
      <c r="W61" s="45">
        <v>1672033</v>
      </c>
      <c r="X61" s="46">
        <v>18.889878919436299</v>
      </c>
    </row>
    <row r="62" spans="1:24" s="4" customFormat="1" ht="15" customHeight="1">
      <c r="A62" s="28" t="s">
        <v>2682</v>
      </c>
      <c r="B62" s="29">
        <v>3278.81</v>
      </c>
      <c r="C62" s="30" t="s">
        <v>2958</v>
      </c>
      <c r="D62" s="2">
        <v>4951088053</v>
      </c>
      <c r="E62" s="2" t="s">
        <v>21</v>
      </c>
      <c r="F62" s="2" t="s">
        <v>2959</v>
      </c>
      <c r="G62" s="28" t="s">
        <v>5</v>
      </c>
      <c r="H62" s="2" t="s">
        <v>20</v>
      </c>
      <c r="I62" s="2">
        <v>1</v>
      </c>
      <c r="J62" s="2" t="s">
        <v>2960</v>
      </c>
      <c r="K62" s="2">
        <v>26928</v>
      </c>
      <c r="L62" s="35">
        <v>88291795.680000007</v>
      </c>
      <c r="M62" s="36">
        <v>8160</v>
      </c>
      <c r="N62" s="40">
        <v>333187</v>
      </c>
      <c r="O62" s="40">
        <v>322920</v>
      </c>
      <c r="P62" s="40">
        <v>0</v>
      </c>
      <c r="Q62" s="40">
        <v>110000</v>
      </c>
      <c r="R62" s="40">
        <v>637525</v>
      </c>
      <c r="S62" s="40">
        <v>354356</v>
      </c>
      <c r="T62" s="40"/>
      <c r="U62" s="40">
        <v>2900300</v>
      </c>
      <c r="V62" s="40">
        <v>0</v>
      </c>
      <c r="W62" s="45">
        <v>4658288</v>
      </c>
      <c r="X62" s="46">
        <v>5.2760145652527504</v>
      </c>
    </row>
    <row r="63" spans="1:24" s="4" customFormat="1" ht="15" customHeight="1">
      <c r="A63" s="28" t="s">
        <v>2682</v>
      </c>
      <c r="B63" s="29">
        <v>3278.81</v>
      </c>
      <c r="C63" s="30" t="s">
        <v>2966</v>
      </c>
      <c r="D63" s="2">
        <v>4950130443</v>
      </c>
      <c r="E63" s="2" t="s">
        <v>21</v>
      </c>
      <c r="F63" s="2" t="s">
        <v>2967</v>
      </c>
      <c r="G63" s="28" t="s">
        <v>9</v>
      </c>
      <c r="H63" s="2" t="s">
        <v>23</v>
      </c>
      <c r="I63" s="2">
        <v>1</v>
      </c>
      <c r="J63" s="2"/>
      <c r="K63" s="2">
        <v>4088.8</v>
      </c>
      <c r="L63" s="35">
        <v>13406398.328</v>
      </c>
      <c r="M63" s="36">
        <v>760</v>
      </c>
      <c r="N63" s="40">
        <v>259968</v>
      </c>
      <c r="O63" s="40">
        <v>555</v>
      </c>
      <c r="P63" s="40">
        <v>8649</v>
      </c>
      <c r="Q63" s="40">
        <v>13549</v>
      </c>
      <c r="R63" s="40">
        <v>96724</v>
      </c>
      <c r="S63" s="40">
        <v>354356</v>
      </c>
      <c r="T63" s="40"/>
      <c r="U63" s="40">
        <v>252200</v>
      </c>
      <c r="V63" s="40">
        <v>0</v>
      </c>
      <c r="W63" s="45">
        <v>986001</v>
      </c>
      <c r="X63" s="46">
        <v>7.3547046408481096</v>
      </c>
    </row>
    <row r="64" spans="1:24" s="4" customFormat="1" ht="15" customHeight="1">
      <c r="A64" s="28" t="s">
        <v>2682</v>
      </c>
      <c r="B64" s="29">
        <v>3278.81</v>
      </c>
      <c r="C64" s="30" t="s">
        <v>3009</v>
      </c>
      <c r="D64" s="2">
        <v>4951102206</v>
      </c>
      <c r="E64" s="2" t="s">
        <v>21</v>
      </c>
      <c r="F64" s="2" t="s">
        <v>3010</v>
      </c>
      <c r="G64" s="28" t="s">
        <v>5</v>
      </c>
      <c r="H64" s="2" t="s">
        <v>20</v>
      </c>
      <c r="I64" s="2">
        <v>1</v>
      </c>
      <c r="J64" s="2" t="s">
        <v>3011</v>
      </c>
      <c r="K64" s="2">
        <v>41277.599999999999</v>
      </c>
      <c r="L64" s="35">
        <v>135341407.65599999</v>
      </c>
      <c r="M64" s="36">
        <v>6350.4</v>
      </c>
      <c r="N64" s="40">
        <v>387216</v>
      </c>
      <c r="O64" s="40">
        <v>322920</v>
      </c>
      <c r="P64" s="40">
        <v>0</v>
      </c>
      <c r="Q64" s="40">
        <v>110000</v>
      </c>
      <c r="R64" s="40">
        <v>648474</v>
      </c>
      <c r="S64" s="40">
        <v>354356</v>
      </c>
      <c r="T64" s="40"/>
      <c r="U64" s="40">
        <v>2900300</v>
      </c>
      <c r="V64" s="40">
        <v>0</v>
      </c>
      <c r="W64" s="45">
        <v>4723266</v>
      </c>
      <c r="X64" s="46">
        <v>3.4898898140657901</v>
      </c>
    </row>
    <row r="66" spans="1:24" ht="15" customHeight="1">
      <c r="A66" s="31" t="s">
        <v>2682</v>
      </c>
      <c r="B66" s="31"/>
      <c r="C66" s="31"/>
      <c r="D66" s="31"/>
      <c r="E66" s="31"/>
      <c r="F66" s="32">
        <v>6</v>
      </c>
      <c r="G66" s="31"/>
      <c r="H66" s="31"/>
      <c r="I66" s="38"/>
      <c r="J66" s="31"/>
      <c r="K66" s="39">
        <f>+SUM(K58:K64)</f>
        <v>292673.03999999998</v>
      </c>
      <c r="L66" s="39">
        <f>+SUM(L58:L64)</f>
        <v>959619290.28239989</v>
      </c>
      <c r="M66" s="31"/>
      <c r="N66" s="39"/>
      <c r="O66" s="39"/>
      <c r="P66" s="39"/>
      <c r="Q66" s="39"/>
      <c r="R66" s="39"/>
      <c r="S66" s="39"/>
      <c r="T66" s="39"/>
      <c r="U66" s="39"/>
      <c r="V66" s="31"/>
      <c r="W66" s="39">
        <f>+SUM(W58:W64)</f>
        <v>26937875</v>
      </c>
      <c r="X66" s="47">
        <f>(W66/L66)*100</f>
        <v>2.8071418814509901</v>
      </c>
    </row>
    <row r="68" spans="1:24" s="4" customFormat="1" ht="15" customHeight="1">
      <c r="A68" s="28" t="s">
        <v>3019</v>
      </c>
      <c r="B68" s="29">
        <v>3196.165</v>
      </c>
      <c r="C68" s="30" t="s">
        <v>3118</v>
      </c>
      <c r="D68" s="2">
        <v>4950216811</v>
      </c>
      <c r="E68" s="2" t="s">
        <v>21</v>
      </c>
      <c r="F68" s="2" t="s">
        <v>3119</v>
      </c>
      <c r="G68" s="28" t="s">
        <v>5</v>
      </c>
      <c r="H68" s="2" t="s">
        <v>20</v>
      </c>
      <c r="I68" s="2">
        <v>1</v>
      </c>
      <c r="J68" s="2" t="s">
        <v>3120</v>
      </c>
      <c r="K68" s="2">
        <v>15079.68</v>
      </c>
      <c r="L68" s="35">
        <v>48197145.427199997</v>
      </c>
      <c r="M68" s="36">
        <v>3264</v>
      </c>
      <c r="N68" s="40">
        <v>329998</v>
      </c>
      <c r="O68" s="40">
        <v>324522</v>
      </c>
      <c r="P68" s="40">
        <v>0</v>
      </c>
      <c r="Q68" s="40">
        <v>110000</v>
      </c>
      <c r="R68" s="40">
        <v>639457</v>
      </c>
      <c r="S68" s="40">
        <v>354356</v>
      </c>
      <c r="T68" s="40"/>
      <c r="U68" s="40">
        <v>499900</v>
      </c>
      <c r="V68" s="40">
        <v>0</v>
      </c>
      <c r="W68" s="45">
        <v>2258233</v>
      </c>
      <c r="X68" s="46">
        <v>4.6854081916759496</v>
      </c>
    </row>
    <row r="69" spans="1:24" s="4" customFormat="1" ht="15" customHeight="1">
      <c r="A69" s="28" t="s">
        <v>3019</v>
      </c>
      <c r="B69" s="29">
        <v>3196.165</v>
      </c>
      <c r="C69" s="30" t="s">
        <v>3121</v>
      </c>
      <c r="D69" s="2">
        <v>4950962141</v>
      </c>
      <c r="E69" s="2" t="s">
        <v>21</v>
      </c>
      <c r="F69" s="2" t="s">
        <v>3122</v>
      </c>
      <c r="G69" s="28" t="s">
        <v>9</v>
      </c>
      <c r="H69" s="2" t="s">
        <v>23</v>
      </c>
      <c r="I69" s="2">
        <v>3</v>
      </c>
      <c r="J69" s="2"/>
      <c r="K69" s="2">
        <v>12266.4</v>
      </c>
      <c r="L69" s="35">
        <v>39205438.355999999</v>
      </c>
      <c r="M69" s="36">
        <v>2280</v>
      </c>
      <c r="N69" s="40">
        <v>2332977</v>
      </c>
      <c r="O69" s="40">
        <v>1621</v>
      </c>
      <c r="P69" s="40">
        <v>51744</v>
      </c>
      <c r="Q69" s="40">
        <v>40676</v>
      </c>
      <c r="R69" s="40">
        <v>129352</v>
      </c>
      <c r="S69" s="40">
        <v>354356</v>
      </c>
      <c r="T69" s="40"/>
      <c r="U69" s="40">
        <v>252200</v>
      </c>
      <c r="V69" s="40">
        <v>0</v>
      </c>
      <c r="W69" s="45">
        <v>3162926</v>
      </c>
      <c r="X69" s="46">
        <v>8.0675695327761705</v>
      </c>
    </row>
    <row r="70" spans="1:24" s="4" customFormat="1" ht="15" customHeight="1">
      <c r="A70" s="28" t="s">
        <v>3019</v>
      </c>
      <c r="B70" s="29">
        <v>3196.165</v>
      </c>
      <c r="C70" s="30" t="s">
        <v>3125</v>
      </c>
      <c r="D70" s="2">
        <v>4951104000</v>
      </c>
      <c r="E70" s="2" t="s">
        <v>21</v>
      </c>
      <c r="F70" s="2" t="s">
        <v>3126</v>
      </c>
      <c r="G70" s="28" t="s">
        <v>5</v>
      </c>
      <c r="H70" s="2" t="s">
        <v>20</v>
      </c>
      <c r="I70" s="2">
        <v>1</v>
      </c>
      <c r="J70" s="2" t="s">
        <v>3127</v>
      </c>
      <c r="K70" s="2">
        <v>31050</v>
      </c>
      <c r="L70" s="35">
        <v>99240923.25</v>
      </c>
      <c r="M70" s="36">
        <v>9000</v>
      </c>
      <c r="N70" s="40">
        <v>324606</v>
      </c>
      <c r="O70" s="40">
        <v>324522</v>
      </c>
      <c r="P70" s="40">
        <v>0</v>
      </c>
      <c r="Q70" s="40">
        <v>110000</v>
      </c>
      <c r="R70" s="40">
        <v>638950</v>
      </c>
      <c r="S70" s="40">
        <v>354356</v>
      </c>
      <c r="T70" s="40"/>
      <c r="U70" s="40">
        <v>2900300</v>
      </c>
      <c r="V70" s="40">
        <v>0</v>
      </c>
      <c r="W70" s="45">
        <v>4652734</v>
      </c>
      <c r="X70" s="46">
        <v>4.6883219619785201</v>
      </c>
    </row>
    <row r="71" spans="1:24" s="4" customFormat="1" ht="15" customHeight="1">
      <c r="A71" s="28" t="s">
        <v>3019</v>
      </c>
      <c r="B71" s="29">
        <v>3196.165</v>
      </c>
      <c r="C71" s="30" t="s">
        <v>3349</v>
      </c>
      <c r="D71" s="2">
        <v>4951459682</v>
      </c>
      <c r="E71" s="2" t="s">
        <v>21</v>
      </c>
      <c r="F71" s="2" t="s">
        <v>3350</v>
      </c>
      <c r="G71" s="28" t="s">
        <v>5</v>
      </c>
      <c r="H71" s="2" t="s">
        <v>2765</v>
      </c>
      <c r="I71" s="2">
        <v>2</v>
      </c>
      <c r="J71" s="2" t="s">
        <v>3351</v>
      </c>
      <c r="K71" s="2">
        <v>71124.479999999996</v>
      </c>
      <c r="L71" s="35">
        <v>227325573.61919999</v>
      </c>
      <c r="M71" s="36">
        <v>6350.4</v>
      </c>
      <c r="N71" s="40">
        <v>254644.66666666701</v>
      </c>
      <c r="O71" s="48">
        <v>375128</v>
      </c>
      <c r="P71" s="40">
        <v>213081</v>
      </c>
      <c r="Q71" s="48">
        <v>110000</v>
      </c>
      <c r="R71" s="40">
        <v>639550</v>
      </c>
      <c r="S71" s="40">
        <v>118118.66666666701</v>
      </c>
      <c r="T71" s="48"/>
      <c r="U71" s="40">
        <v>2572116.6666666698</v>
      </c>
      <c r="V71" s="40">
        <v>0</v>
      </c>
      <c r="W71" s="45">
        <v>4282639</v>
      </c>
      <c r="X71" s="46">
        <v>1.88392310280672</v>
      </c>
    </row>
    <row r="72" spans="1:24" s="4" customFormat="1" ht="15" customHeight="1">
      <c r="A72" s="28" t="s">
        <v>3019</v>
      </c>
      <c r="B72" s="29">
        <v>3196.165</v>
      </c>
      <c r="C72" s="30" t="s">
        <v>3349</v>
      </c>
      <c r="D72" s="2">
        <v>4951459652</v>
      </c>
      <c r="E72" s="2" t="s">
        <v>21</v>
      </c>
      <c r="F72" s="2" t="s">
        <v>3350</v>
      </c>
      <c r="G72" s="28" t="s">
        <v>5</v>
      </c>
      <c r="H72" s="2" t="s">
        <v>2765</v>
      </c>
      <c r="I72" s="2">
        <v>2</v>
      </c>
      <c r="J72" s="2" t="s">
        <v>3351</v>
      </c>
      <c r="K72" s="2">
        <v>82555.199999999997</v>
      </c>
      <c r="L72" s="35">
        <v>263860040.808</v>
      </c>
      <c r="M72" s="36">
        <v>12700.8</v>
      </c>
      <c r="N72" s="40">
        <v>509289.33333333302</v>
      </c>
      <c r="O72" s="48">
        <v>375128</v>
      </c>
      <c r="P72" s="40">
        <v>304402</v>
      </c>
      <c r="Q72" s="48">
        <v>110000</v>
      </c>
      <c r="R72" s="40">
        <v>742057</v>
      </c>
      <c r="S72" s="40">
        <v>236237.33333333299</v>
      </c>
      <c r="T72" s="48"/>
      <c r="U72" s="40">
        <v>5144233.3333333302</v>
      </c>
      <c r="V72" s="40">
        <v>0</v>
      </c>
      <c r="W72" s="45">
        <v>7421347</v>
      </c>
      <c r="X72" s="46">
        <v>2.8126073873384301</v>
      </c>
    </row>
    <row r="73" spans="1:24" s="4" customFormat="1" ht="15" customHeight="1">
      <c r="A73" s="28" t="s">
        <v>3019</v>
      </c>
      <c r="B73" s="29">
        <v>3196.165</v>
      </c>
      <c r="C73" s="30" t="s">
        <v>3352</v>
      </c>
      <c r="D73" s="2">
        <v>4951458571</v>
      </c>
      <c r="E73" s="2" t="s">
        <v>21</v>
      </c>
      <c r="F73" s="2" t="s">
        <v>3353</v>
      </c>
      <c r="G73" s="28" t="s">
        <v>5</v>
      </c>
      <c r="H73" s="2" t="s">
        <v>20</v>
      </c>
      <c r="I73" s="2">
        <v>1</v>
      </c>
      <c r="J73" s="2" t="s">
        <v>3354</v>
      </c>
      <c r="K73" s="2">
        <v>20140</v>
      </c>
      <c r="L73" s="35">
        <v>64370763.100000001</v>
      </c>
      <c r="M73" s="36">
        <v>3800</v>
      </c>
      <c r="N73" s="40">
        <v>305052</v>
      </c>
      <c r="O73" s="40">
        <v>324522</v>
      </c>
      <c r="P73" s="40">
        <v>330295</v>
      </c>
      <c r="Q73" s="40">
        <v>110000</v>
      </c>
      <c r="R73" s="40">
        <v>1080912</v>
      </c>
      <c r="S73" s="40">
        <v>354356</v>
      </c>
      <c r="T73" s="40"/>
      <c r="U73" s="40">
        <v>4999000</v>
      </c>
      <c r="V73" s="40">
        <v>0</v>
      </c>
      <c r="W73" s="45">
        <v>7504137</v>
      </c>
      <c r="X73" s="46">
        <v>11.657679105562799</v>
      </c>
    </row>
    <row r="74" spans="1:24" s="4" customFormat="1" ht="15" customHeight="1">
      <c r="A74" s="28" t="s">
        <v>3019</v>
      </c>
      <c r="B74" s="29">
        <v>3196.165</v>
      </c>
      <c r="C74" s="30" t="s">
        <v>3358</v>
      </c>
      <c r="D74" s="2">
        <v>4950962136</v>
      </c>
      <c r="E74" s="2" t="s">
        <v>21</v>
      </c>
      <c r="F74" s="2" t="s">
        <v>3359</v>
      </c>
      <c r="G74" s="28" t="s">
        <v>9</v>
      </c>
      <c r="H74" s="2" t="s">
        <v>23</v>
      </c>
      <c r="I74" s="2">
        <v>4</v>
      </c>
      <c r="J74" s="2"/>
      <c r="K74" s="2">
        <v>16112</v>
      </c>
      <c r="L74" s="35">
        <v>51496610.479999997</v>
      </c>
      <c r="M74" s="36">
        <v>3040</v>
      </c>
      <c r="N74" s="40">
        <v>857410</v>
      </c>
      <c r="O74" s="40">
        <v>2164</v>
      </c>
      <c r="P74" s="40">
        <v>0</v>
      </c>
      <c r="Q74" s="40">
        <v>54094</v>
      </c>
      <c r="R74" s="40">
        <v>138210</v>
      </c>
      <c r="S74" s="40">
        <v>354356</v>
      </c>
      <c r="T74" s="40"/>
      <c r="U74" s="40">
        <v>252200</v>
      </c>
      <c r="V74" s="40">
        <v>0</v>
      </c>
      <c r="W74" s="45">
        <v>1658434</v>
      </c>
      <c r="X74" s="46">
        <v>3.2204721525198101</v>
      </c>
    </row>
    <row r="75" spans="1:24" s="4" customFormat="1" ht="15" customHeight="1">
      <c r="A75" s="28" t="s">
        <v>3019</v>
      </c>
      <c r="B75" s="29">
        <v>3196.165</v>
      </c>
      <c r="C75" s="30" t="s">
        <v>3472</v>
      </c>
      <c r="D75" s="2">
        <v>4951458585</v>
      </c>
      <c r="E75" s="2" t="s">
        <v>21</v>
      </c>
      <c r="F75" s="2" t="s">
        <v>3473</v>
      </c>
      <c r="G75" s="28" t="s">
        <v>9</v>
      </c>
      <c r="H75" s="2" t="s">
        <v>23</v>
      </c>
      <c r="I75" s="2">
        <v>3</v>
      </c>
      <c r="J75" s="2"/>
      <c r="K75" s="2">
        <v>12266.4</v>
      </c>
      <c r="L75" s="35">
        <v>39205438.355999999</v>
      </c>
      <c r="M75" s="36">
        <v>2280</v>
      </c>
      <c r="N75" s="40">
        <v>446864</v>
      </c>
      <c r="O75" s="40">
        <v>1627</v>
      </c>
      <c r="P75" s="40">
        <v>0</v>
      </c>
      <c r="Q75" s="40">
        <v>40670</v>
      </c>
      <c r="R75" s="40">
        <v>124565</v>
      </c>
      <c r="S75" s="40">
        <v>354356</v>
      </c>
      <c r="T75" s="40"/>
      <c r="U75" s="40">
        <v>252200</v>
      </c>
      <c r="V75" s="40">
        <v>0</v>
      </c>
      <c r="W75" s="45">
        <v>1220282</v>
      </c>
      <c r="X75" s="46">
        <v>3.1125324729681201</v>
      </c>
    </row>
    <row r="77" spans="1:24" ht="15" customHeight="1">
      <c r="A77" s="31" t="s">
        <v>3019</v>
      </c>
      <c r="B77" s="31"/>
      <c r="C77" s="31"/>
      <c r="D77" s="31"/>
      <c r="E77" s="31"/>
      <c r="F77" s="32">
        <v>7</v>
      </c>
      <c r="G77" s="31"/>
      <c r="H77" s="31"/>
      <c r="I77" s="38"/>
      <c r="J77" s="31"/>
      <c r="K77" s="39">
        <f>+SUM(K68:K75)</f>
        <v>260594.16</v>
      </c>
      <c r="L77" s="39">
        <f>+SUM(L68:L75)</f>
        <v>832901933.39639997</v>
      </c>
      <c r="M77" s="31"/>
      <c r="N77" s="39"/>
      <c r="O77" s="39"/>
      <c r="P77" s="39"/>
      <c r="Q77" s="39"/>
      <c r="R77" s="39"/>
      <c r="S77" s="39"/>
      <c r="T77" s="39"/>
      <c r="U77" s="39"/>
      <c r="V77" s="31"/>
      <c r="W77" s="39">
        <f>+SUM(W68:W75)</f>
        <v>32160732</v>
      </c>
      <c r="X77" s="47">
        <f>(W77/L77)*100</f>
        <v>3.8612867506328454</v>
      </c>
    </row>
    <row r="79" spans="1:24" s="4" customFormat="1" ht="15" customHeight="1">
      <c r="A79" s="28" t="s">
        <v>3483</v>
      </c>
      <c r="B79" s="29">
        <v>3387.15</v>
      </c>
      <c r="C79" s="30" t="s">
        <v>3619</v>
      </c>
      <c r="D79" s="2">
        <v>4952135968</v>
      </c>
      <c r="E79" s="2" t="s">
        <v>21</v>
      </c>
      <c r="F79" s="2" t="s">
        <v>3620</v>
      </c>
      <c r="G79" s="28" t="s">
        <v>9</v>
      </c>
      <c r="H79" s="2" t="s">
        <v>23</v>
      </c>
      <c r="I79" s="2">
        <v>1</v>
      </c>
      <c r="J79" s="2"/>
      <c r="K79" s="2">
        <v>1431</v>
      </c>
      <c r="L79" s="35">
        <v>4847011.6500000004</v>
      </c>
      <c r="M79" s="36">
        <v>675</v>
      </c>
      <c r="N79" s="40">
        <v>593811</v>
      </c>
      <c r="O79" s="40">
        <v>489</v>
      </c>
      <c r="P79" s="40">
        <v>0</v>
      </c>
      <c r="Q79" s="40">
        <v>11901</v>
      </c>
      <c r="R79" s="40">
        <v>96267</v>
      </c>
      <c r="S79" s="40">
        <v>354356</v>
      </c>
      <c r="T79" s="40"/>
      <c r="U79" s="40">
        <v>1367700</v>
      </c>
      <c r="V79" s="40">
        <v>0</v>
      </c>
      <c r="W79" s="45">
        <v>2424524</v>
      </c>
      <c r="X79" s="46">
        <v>50.021006242062597</v>
      </c>
    </row>
    <row r="80" spans="1:24" s="4" customFormat="1" ht="15" customHeight="1">
      <c r="A80" s="28" t="s">
        <v>3483</v>
      </c>
      <c r="B80" s="29">
        <v>3387.15</v>
      </c>
      <c r="C80" s="30" t="s">
        <v>3628</v>
      </c>
      <c r="D80" s="2">
        <v>4951846703</v>
      </c>
      <c r="E80" s="2" t="s">
        <v>21</v>
      </c>
      <c r="F80" s="2" t="s">
        <v>3629</v>
      </c>
      <c r="G80" s="28" t="s">
        <v>9</v>
      </c>
      <c r="H80" s="2" t="s">
        <v>23</v>
      </c>
      <c r="I80" s="2">
        <v>6</v>
      </c>
      <c r="J80" s="2"/>
      <c r="K80" s="2">
        <v>6888</v>
      </c>
      <c r="L80" s="35">
        <v>23330689.199999999</v>
      </c>
      <c r="M80" s="36">
        <v>4200</v>
      </c>
      <c r="N80" s="40">
        <v>685463.52</v>
      </c>
      <c r="O80" s="40">
        <v>1770</v>
      </c>
      <c r="P80" s="40">
        <v>91494.48</v>
      </c>
      <c r="Q80" s="40">
        <v>43843</v>
      </c>
      <c r="R80" s="40">
        <v>589876.56000000006</v>
      </c>
      <c r="S80" s="40">
        <v>297659.03999999998</v>
      </c>
      <c r="T80" s="40"/>
      <c r="U80" s="40">
        <v>1751820</v>
      </c>
      <c r="V80" s="40">
        <v>0</v>
      </c>
      <c r="W80" s="45">
        <v>3461926.6</v>
      </c>
      <c r="X80" s="46">
        <v>14.8385097856432</v>
      </c>
    </row>
    <row r="81" spans="1:24" s="4" customFormat="1" ht="15" customHeight="1">
      <c r="A81" s="28" t="s">
        <v>3483</v>
      </c>
      <c r="B81" s="29">
        <v>3387.15</v>
      </c>
      <c r="C81" s="30" t="s">
        <v>3628</v>
      </c>
      <c r="D81" s="2">
        <v>4951726526</v>
      </c>
      <c r="E81" s="2" t="s">
        <v>21</v>
      </c>
      <c r="F81" s="2" t="s">
        <v>3629</v>
      </c>
      <c r="G81" s="28" t="s">
        <v>9</v>
      </c>
      <c r="H81" s="2" t="s">
        <v>23</v>
      </c>
      <c r="I81" s="2">
        <v>6</v>
      </c>
      <c r="J81" s="2"/>
      <c r="K81" s="2">
        <v>2856</v>
      </c>
      <c r="L81" s="35">
        <v>9673700.4000000004</v>
      </c>
      <c r="M81" s="36">
        <v>800</v>
      </c>
      <c r="N81" s="40">
        <v>130564.48</v>
      </c>
      <c r="O81" s="40">
        <v>1770</v>
      </c>
      <c r="P81" s="40">
        <v>17427.52</v>
      </c>
      <c r="Q81" s="40">
        <v>43843</v>
      </c>
      <c r="R81" s="40">
        <v>112357.44</v>
      </c>
      <c r="S81" s="40">
        <v>56696.959999999999</v>
      </c>
      <c r="T81" s="40"/>
      <c r="U81" s="40">
        <v>333680</v>
      </c>
      <c r="V81" s="40">
        <v>0</v>
      </c>
      <c r="W81" s="45">
        <v>696339.4</v>
      </c>
      <c r="X81" s="46">
        <v>7.1982733722040804</v>
      </c>
    </row>
    <row r="82" spans="1:24" s="4" customFormat="1" ht="15" customHeight="1">
      <c r="A82" s="28" t="s">
        <v>3483</v>
      </c>
      <c r="B82" s="29">
        <v>3387.15</v>
      </c>
      <c r="C82" s="30" t="s">
        <v>3742</v>
      </c>
      <c r="D82" s="2">
        <v>4951817783</v>
      </c>
      <c r="E82" s="2" t="s">
        <v>21</v>
      </c>
      <c r="F82" s="2" t="s">
        <v>3743</v>
      </c>
      <c r="G82" s="28" t="s">
        <v>9</v>
      </c>
      <c r="H82" s="2" t="s">
        <v>23</v>
      </c>
      <c r="I82" s="2">
        <v>6</v>
      </c>
      <c r="J82" s="2"/>
      <c r="K82" s="2">
        <v>1637.6</v>
      </c>
      <c r="L82" s="35">
        <v>5546796.8399999999</v>
      </c>
      <c r="M82" s="36">
        <v>920</v>
      </c>
      <c r="N82" s="40">
        <v>148177.3203125</v>
      </c>
      <c r="O82" s="40">
        <v>1805</v>
      </c>
      <c r="P82" s="40">
        <v>0</v>
      </c>
      <c r="Q82" s="40">
        <v>44712.5</v>
      </c>
      <c r="R82" s="40">
        <v>65955.9140625</v>
      </c>
      <c r="S82" s="40">
        <v>63673.34375</v>
      </c>
      <c r="T82" s="40"/>
      <c r="U82" s="40">
        <v>374738.28125</v>
      </c>
      <c r="V82" s="40">
        <v>0</v>
      </c>
      <c r="W82" s="45">
        <v>699062.359375</v>
      </c>
      <c r="X82" s="46">
        <v>12.6029919526492</v>
      </c>
    </row>
    <row r="83" spans="1:24" s="4" customFormat="1" ht="15" customHeight="1">
      <c r="A83" s="28" t="s">
        <v>3483</v>
      </c>
      <c r="B83" s="29">
        <v>3387.15</v>
      </c>
      <c r="C83" s="30" t="s">
        <v>3742</v>
      </c>
      <c r="D83" s="2">
        <v>4951846704</v>
      </c>
      <c r="E83" s="2" t="s">
        <v>21</v>
      </c>
      <c r="F83" s="2" t="s">
        <v>3743</v>
      </c>
      <c r="G83" s="28" t="s">
        <v>9</v>
      </c>
      <c r="H83" s="2" t="s">
        <v>23</v>
      </c>
      <c r="I83" s="2">
        <v>6</v>
      </c>
      <c r="J83" s="2"/>
      <c r="K83" s="2">
        <v>6888</v>
      </c>
      <c r="L83" s="35">
        <v>23330689.199999999</v>
      </c>
      <c r="M83" s="36">
        <v>4200</v>
      </c>
      <c r="N83" s="40">
        <v>676461.6796875</v>
      </c>
      <c r="O83" s="40">
        <v>1805</v>
      </c>
      <c r="P83" s="40">
        <v>0</v>
      </c>
      <c r="Q83" s="40">
        <v>44712.5</v>
      </c>
      <c r="R83" s="40">
        <v>301103.0859375</v>
      </c>
      <c r="S83" s="40">
        <v>290682.65625</v>
      </c>
      <c r="T83" s="40"/>
      <c r="U83" s="40">
        <v>1710761.71875</v>
      </c>
      <c r="V83" s="40">
        <v>0</v>
      </c>
      <c r="W83" s="45">
        <v>3025526.640625</v>
      </c>
      <c r="X83" s="46">
        <v>12.9680122806874</v>
      </c>
    </row>
    <row r="84" spans="1:24" s="4" customFormat="1" ht="15" customHeight="1">
      <c r="A84" s="28" t="s">
        <v>3483</v>
      </c>
      <c r="B84" s="29">
        <v>3387.15</v>
      </c>
      <c r="C84" s="30" t="s">
        <v>3808</v>
      </c>
      <c r="D84" s="2">
        <v>4952423578</v>
      </c>
      <c r="E84" s="2" t="s">
        <v>21</v>
      </c>
      <c r="F84" s="2" t="s">
        <v>3809</v>
      </c>
      <c r="G84" s="28" t="s">
        <v>9</v>
      </c>
      <c r="H84" s="2" t="s">
        <v>23</v>
      </c>
      <c r="I84" s="2">
        <v>1</v>
      </c>
      <c r="J84" s="2"/>
      <c r="K84" s="2">
        <v>1637.6</v>
      </c>
      <c r="L84" s="35">
        <v>5546796.8399999999</v>
      </c>
      <c r="M84" s="36">
        <v>920</v>
      </c>
      <c r="N84" s="40">
        <v>147478.083114938</v>
      </c>
      <c r="O84" s="40">
        <v>690</v>
      </c>
      <c r="P84" s="40">
        <v>0</v>
      </c>
      <c r="Q84" s="40">
        <v>15921</v>
      </c>
      <c r="R84" s="40">
        <v>670849.15013103699</v>
      </c>
      <c r="S84" s="40">
        <v>153894.78098090601</v>
      </c>
      <c r="T84" s="40"/>
      <c r="U84" s="40">
        <v>2555821.7895919099</v>
      </c>
      <c r="V84" s="40">
        <v>0</v>
      </c>
      <c r="W84" s="45">
        <v>3544654.8038187898</v>
      </c>
      <c r="X84" s="46">
        <v>63.904536366952797</v>
      </c>
    </row>
    <row r="85" spans="1:24" s="4" customFormat="1" ht="15" customHeight="1">
      <c r="A85" s="28" t="s">
        <v>3483</v>
      </c>
      <c r="B85" s="29">
        <v>3387.15</v>
      </c>
      <c r="C85" s="30" t="s">
        <v>3897</v>
      </c>
      <c r="D85" s="2">
        <v>4951102212</v>
      </c>
      <c r="E85" s="2" t="s">
        <v>21</v>
      </c>
      <c r="F85" s="2" t="s">
        <v>3898</v>
      </c>
      <c r="G85" s="28" t="s">
        <v>5</v>
      </c>
      <c r="H85" s="2" t="s">
        <v>17</v>
      </c>
      <c r="I85" s="2">
        <v>1</v>
      </c>
      <c r="J85" s="2" t="s">
        <v>3899</v>
      </c>
      <c r="K85" s="2">
        <v>32705.279999999999</v>
      </c>
      <c r="L85" s="35">
        <v>110777689.152</v>
      </c>
      <c r="M85" s="36">
        <v>6528</v>
      </c>
      <c r="N85" s="40">
        <v>345599</v>
      </c>
      <c r="O85" s="40">
        <v>458999</v>
      </c>
      <c r="P85" s="40">
        <v>0</v>
      </c>
      <c r="Q85" s="40">
        <v>110000</v>
      </c>
      <c r="R85" s="40">
        <v>773477</v>
      </c>
      <c r="S85" s="40">
        <v>354356</v>
      </c>
      <c r="T85" s="40"/>
      <c r="U85" s="40">
        <v>529000</v>
      </c>
      <c r="V85" s="40">
        <v>0</v>
      </c>
      <c r="W85" s="45">
        <v>2571431</v>
      </c>
      <c r="X85" s="46">
        <v>2.32125351204221</v>
      </c>
    </row>
    <row r="87" spans="1:24" ht="15" customHeight="1">
      <c r="A87" s="31" t="s">
        <v>3483</v>
      </c>
      <c r="B87" s="31"/>
      <c r="C87" s="31"/>
      <c r="D87" s="31"/>
      <c r="E87" s="31"/>
      <c r="F87" s="32">
        <v>5</v>
      </c>
      <c r="G87" s="31"/>
      <c r="H87" s="31"/>
      <c r="I87" s="38"/>
      <c r="J87" s="31"/>
      <c r="K87" s="39">
        <f>+SUM(K79:K85)</f>
        <v>54043.479999999996</v>
      </c>
      <c r="L87" s="39">
        <f>+SUM(L79:L85)</f>
        <v>183053373.28200001</v>
      </c>
      <c r="M87" s="31"/>
      <c r="N87" s="39"/>
      <c r="O87" s="39"/>
      <c r="P87" s="39"/>
      <c r="Q87" s="39"/>
      <c r="R87" s="39"/>
      <c r="S87" s="39"/>
      <c r="T87" s="39"/>
      <c r="U87" s="39"/>
      <c r="V87" s="31"/>
      <c r="W87" s="39">
        <f>+SUM(W79:W85)</f>
        <v>16423464.80381879</v>
      </c>
      <c r="X87" s="47">
        <f>(W87/L87)*100</f>
        <v>8.9719541953033985</v>
      </c>
    </row>
    <row r="89" spans="1:24" s="4" customFormat="1" ht="15" customHeight="1">
      <c r="A89" s="79" t="s">
        <v>3955</v>
      </c>
      <c r="B89" s="80">
        <v>3394.61</v>
      </c>
      <c r="C89" s="81" t="s">
        <v>4188</v>
      </c>
      <c r="D89" s="82">
        <v>4951955540</v>
      </c>
      <c r="E89" s="82" t="s">
        <v>21</v>
      </c>
      <c r="F89" s="82" t="s">
        <v>4189</v>
      </c>
      <c r="G89" s="79" t="s">
        <v>9</v>
      </c>
      <c r="H89" s="2" t="s">
        <v>23</v>
      </c>
      <c r="I89" s="2">
        <v>5</v>
      </c>
      <c r="J89" s="2"/>
      <c r="K89" s="2">
        <v>9114</v>
      </c>
      <c r="L89" s="35">
        <v>30938475.540000003</v>
      </c>
      <c r="M89" s="36">
        <v>4200</v>
      </c>
      <c r="N89" s="40">
        <v>794699</v>
      </c>
      <c r="O89" s="40">
        <v>2885</v>
      </c>
      <c r="P89" s="40">
        <v>0</v>
      </c>
      <c r="Q89" s="40">
        <v>56389</v>
      </c>
      <c r="R89" s="40">
        <v>454111</v>
      </c>
      <c r="S89" s="40">
        <v>354356</v>
      </c>
      <c r="T89" s="40"/>
      <c r="U89" s="40">
        <v>1479577.7027026999</v>
      </c>
      <c r="V89" s="40">
        <v>0</v>
      </c>
      <c r="W89" s="45">
        <v>3142017.7027027002</v>
      </c>
      <c r="X89" s="46">
        <v>10.15569658123724</v>
      </c>
    </row>
    <row r="90" spans="1:24" s="4" customFormat="1" ht="15" customHeight="1">
      <c r="A90" s="79" t="s">
        <v>3955</v>
      </c>
      <c r="B90" s="80">
        <v>3394.61</v>
      </c>
      <c r="C90" s="81" t="s">
        <v>4279</v>
      </c>
      <c r="D90" s="82">
        <v>4952535404</v>
      </c>
      <c r="E90" s="82" t="s">
        <v>21</v>
      </c>
      <c r="F90" s="82" t="s">
        <v>4280</v>
      </c>
      <c r="G90" s="79" t="s">
        <v>9</v>
      </c>
      <c r="H90" s="2" t="s">
        <v>23</v>
      </c>
      <c r="I90" s="2">
        <v>4</v>
      </c>
      <c r="J90" s="2"/>
      <c r="K90" s="2">
        <v>16112</v>
      </c>
      <c r="L90" s="35">
        <v>54693956.32</v>
      </c>
      <c r="M90" s="36">
        <v>315</v>
      </c>
      <c r="N90" s="40">
        <v>905647</v>
      </c>
      <c r="O90" s="40">
        <v>206</v>
      </c>
      <c r="P90" s="40">
        <v>0</v>
      </c>
      <c r="Q90" s="40">
        <v>4296</v>
      </c>
      <c r="R90" s="40">
        <v>138391</v>
      </c>
      <c r="S90" s="40">
        <v>354356</v>
      </c>
      <c r="T90" s="40"/>
      <c r="U90" s="40">
        <v>252200</v>
      </c>
      <c r="V90" s="40">
        <v>0</v>
      </c>
      <c r="W90" s="45">
        <v>1655096</v>
      </c>
      <c r="X90" s="46">
        <v>3.0261040000772064</v>
      </c>
    </row>
    <row r="91" spans="1:24" s="4" customFormat="1" ht="15" customHeight="1">
      <c r="A91" s="79" t="s">
        <v>3955</v>
      </c>
      <c r="B91" s="80">
        <v>3394.61</v>
      </c>
      <c r="C91" s="81" t="s">
        <v>4322</v>
      </c>
      <c r="D91" s="82">
        <v>4952534326</v>
      </c>
      <c r="E91" s="82" t="s">
        <v>21</v>
      </c>
      <c r="F91" s="83" t="s">
        <v>4323</v>
      </c>
      <c r="G91" s="79" t="s">
        <v>9</v>
      </c>
      <c r="H91" s="2" t="s">
        <v>23</v>
      </c>
      <c r="I91" s="2">
        <v>3</v>
      </c>
      <c r="J91" s="2"/>
      <c r="K91" s="2">
        <v>12266.4</v>
      </c>
      <c r="L91" s="35">
        <v>41639644.104000002</v>
      </c>
      <c r="M91" s="36">
        <v>2280</v>
      </c>
      <c r="N91" s="40">
        <v>845428</v>
      </c>
      <c r="O91" s="40">
        <v>1580</v>
      </c>
      <c r="P91" s="40">
        <v>0</v>
      </c>
      <c r="Q91" s="40">
        <v>30611</v>
      </c>
      <c r="R91" s="40">
        <v>36092</v>
      </c>
      <c r="S91" s="40">
        <v>354356</v>
      </c>
      <c r="T91" s="40"/>
      <c r="U91" s="40">
        <v>252200</v>
      </c>
      <c r="V91" s="40">
        <v>0</v>
      </c>
      <c r="W91" s="45">
        <v>1520267</v>
      </c>
      <c r="X91" s="46">
        <v>3.6510086306284246</v>
      </c>
    </row>
    <row r="92" spans="1:24" s="4" customFormat="1" ht="15" customHeight="1">
      <c r="A92" s="79" t="s">
        <v>3955</v>
      </c>
      <c r="B92" s="80">
        <v>3394.61</v>
      </c>
      <c r="C92" s="81" t="s">
        <v>4377</v>
      </c>
      <c r="D92" s="82">
        <v>4952790675</v>
      </c>
      <c r="E92" s="82" t="s">
        <v>21</v>
      </c>
      <c r="F92" s="82" t="s">
        <v>4378</v>
      </c>
      <c r="G92" s="79" t="s">
        <v>9</v>
      </c>
      <c r="H92" s="2" t="s">
        <v>23</v>
      </c>
      <c r="I92" s="2">
        <v>3</v>
      </c>
      <c r="J92" s="2"/>
      <c r="K92" s="2">
        <v>3930.24</v>
      </c>
      <c r="L92" s="35">
        <v>13341632.0064</v>
      </c>
      <c r="M92" s="36">
        <v>1840</v>
      </c>
      <c r="N92" s="62">
        <v>431186.66666666698</v>
      </c>
      <c r="O92" s="40">
        <v>944.5</v>
      </c>
      <c r="P92" s="40">
        <v>0</v>
      </c>
      <c r="Q92" s="40">
        <v>18527.5</v>
      </c>
      <c r="R92" s="62">
        <v>94920.666666666701</v>
      </c>
      <c r="S92" s="62">
        <v>236237.33333333299</v>
      </c>
      <c r="T92" s="65"/>
      <c r="U92" s="55">
        <v>911800</v>
      </c>
      <c r="V92" s="55">
        <v>0</v>
      </c>
      <c r="W92" s="45">
        <v>1693616.6666666667</v>
      </c>
      <c r="X92" s="46">
        <v>12.694224108821443</v>
      </c>
    </row>
    <row r="93" spans="1:24" s="4" customFormat="1" ht="15" customHeight="1">
      <c r="A93" s="79" t="s">
        <v>3955</v>
      </c>
      <c r="B93" s="80">
        <v>3394.61</v>
      </c>
      <c r="C93" s="81" t="s">
        <v>4377</v>
      </c>
      <c r="D93" s="82">
        <v>4953155997</v>
      </c>
      <c r="E93" s="82" t="s">
        <v>21</v>
      </c>
      <c r="F93" s="82" t="s">
        <v>4378</v>
      </c>
      <c r="G93" s="79" t="s">
        <v>9</v>
      </c>
      <c r="H93" s="2" t="s">
        <v>23</v>
      </c>
      <c r="I93" s="2">
        <v>3</v>
      </c>
      <c r="J93" s="2"/>
      <c r="K93" s="2">
        <v>2097.6</v>
      </c>
      <c r="L93" s="35">
        <v>7120533.9359999998</v>
      </c>
      <c r="M93" s="36">
        <v>920</v>
      </c>
      <c r="N93" s="62">
        <v>215593.33333333299</v>
      </c>
      <c r="O93" s="40">
        <v>944.5</v>
      </c>
      <c r="P93" s="40">
        <v>0</v>
      </c>
      <c r="Q93" s="40">
        <v>18527.5</v>
      </c>
      <c r="R93" s="62">
        <v>47460.333333333299</v>
      </c>
      <c r="S93" s="62">
        <v>118118.66666666701</v>
      </c>
      <c r="T93" s="65"/>
      <c r="U93" s="55">
        <v>455900</v>
      </c>
      <c r="V93" s="55">
        <v>0</v>
      </c>
      <c r="W93" s="45">
        <v>856544.33333333326</v>
      </c>
      <c r="X93" s="46">
        <v>12.029214958204411</v>
      </c>
    </row>
    <row r="95" spans="1:24" ht="15" customHeight="1">
      <c r="A95" s="87" t="s">
        <v>3955</v>
      </c>
      <c r="B95" s="31"/>
      <c r="C95" s="31"/>
      <c r="D95" s="31"/>
      <c r="E95" s="31"/>
      <c r="F95" s="32">
        <v>4</v>
      </c>
      <c r="G95" s="31"/>
      <c r="H95" s="31"/>
      <c r="I95" s="38"/>
      <c r="J95" s="31"/>
      <c r="K95" s="39">
        <f>+SUM(K89:K93)</f>
        <v>43520.24</v>
      </c>
      <c r="L95" s="39">
        <f>+SUM(L89:L93)</f>
        <v>147734241.9064</v>
      </c>
      <c r="M95" s="31"/>
      <c r="N95" s="39"/>
      <c r="O95" s="39"/>
      <c r="P95" s="39"/>
      <c r="Q95" s="39"/>
      <c r="R95" s="39"/>
      <c r="S95" s="39"/>
      <c r="T95" s="39"/>
      <c r="U95" s="39"/>
      <c r="V95" s="31"/>
      <c r="W95" s="39">
        <f>+SUM(W89:W93)</f>
        <v>8867541.7027027011</v>
      </c>
      <c r="X95" s="47">
        <f>(W95/L95)*100</f>
        <v>6.0023604468901057</v>
      </c>
    </row>
  </sheetData>
  <conditionalFormatting sqref="C2">
    <cfRule type="duplicateValues" dxfId="121" priority="12"/>
  </conditionalFormatting>
  <conditionalFormatting sqref="C3">
    <cfRule type="duplicateValues" dxfId="120" priority="11"/>
  </conditionalFormatting>
  <conditionalFormatting sqref="C4">
    <cfRule type="duplicateValues" dxfId="119" priority="10"/>
  </conditionalFormatting>
  <conditionalFormatting sqref="C5">
    <cfRule type="duplicateValues" dxfId="118" priority="9"/>
  </conditionalFormatting>
  <conditionalFormatting sqref="C6">
    <cfRule type="duplicateValues" dxfId="117" priority="8"/>
  </conditionalFormatting>
  <conditionalFormatting sqref="C7">
    <cfRule type="duplicateValues" dxfId="116" priority="7"/>
  </conditionalFormatting>
  <conditionalFormatting sqref="C8">
    <cfRule type="duplicateValues" dxfId="115" priority="6"/>
  </conditionalFormatting>
  <conditionalFormatting sqref="C9">
    <cfRule type="duplicateValues" dxfId="114" priority="5"/>
  </conditionalFormatting>
  <conditionalFormatting sqref="C10">
    <cfRule type="duplicateValues" dxfId="113" priority="4"/>
  </conditionalFormatting>
  <conditionalFormatting sqref="C11">
    <cfRule type="duplicateValues" dxfId="112" priority="3"/>
  </conditionalFormatting>
  <conditionalFormatting sqref="C12">
    <cfRule type="duplicateValues" dxfId="111" priority="2"/>
  </conditionalFormatting>
  <conditionalFormatting sqref="C13">
    <cfRule type="duplicateValues" dxfId="110" priority="1"/>
  </conditionalFormatting>
  <pageMargins left="0.69930555555555596" right="0.69930555555555596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29"/>
  <sheetViews>
    <sheetView showGridLines="0" topLeftCell="I1" zoomScale="80" zoomScaleNormal="80" workbookViewId="0">
      <pane ySplit="1" topLeftCell="A207" activePane="bottomLeft" state="frozen"/>
      <selection pane="bottomLeft" activeCell="J196" sqref="J196"/>
    </sheetView>
  </sheetViews>
  <sheetFormatPr baseColWidth="10" defaultColWidth="11.42578125" defaultRowHeight="15" customHeight="1"/>
  <cols>
    <col min="1" max="1" width="12.28515625" customWidth="1"/>
    <col min="4" max="4" width="12.5703125" customWidth="1"/>
    <col min="5" max="5" width="7.5703125" customWidth="1"/>
    <col min="6" max="6" width="23.140625" customWidth="1"/>
    <col min="7" max="7" width="14.140625" customWidth="1"/>
    <col min="8" max="8" width="10.5703125" customWidth="1"/>
    <col min="9" max="9" width="6.5703125" customWidth="1"/>
    <col min="10" max="10" width="17.5703125" customWidth="1"/>
    <col min="11" max="11" width="14.28515625" customWidth="1"/>
    <col min="12" max="12" width="15.7109375" customWidth="1"/>
    <col min="13" max="13" width="12.28515625" customWidth="1"/>
    <col min="14" max="14" width="17" customWidth="1"/>
    <col min="15" max="15" width="15" customWidth="1"/>
    <col min="16" max="16" width="12" customWidth="1"/>
    <col min="19" max="20" width="18.140625" customWidth="1"/>
    <col min="21" max="21" width="12.28515625" customWidth="1"/>
    <col min="23" max="23" width="14.42578125" customWidth="1"/>
  </cols>
  <sheetData>
    <row r="1" spans="1:24" ht="53.25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 ht="15" customHeight="1">
      <c r="A2" s="28" t="s">
        <v>63</v>
      </c>
      <c r="B2" s="29">
        <v>3169.6</v>
      </c>
      <c r="C2" s="30" t="s">
        <v>78</v>
      </c>
      <c r="D2" s="2">
        <v>4947435969</v>
      </c>
      <c r="E2" s="2" t="s">
        <v>24</v>
      </c>
      <c r="F2" s="78" t="s">
        <v>79</v>
      </c>
      <c r="G2" s="28" t="s">
        <v>5</v>
      </c>
      <c r="H2" s="2" t="s">
        <v>26</v>
      </c>
      <c r="I2" s="2">
        <v>1</v>
      </c>
      <c r="J2" s="2" t="s">
        <v>80</v>
      </c>
      <c r="K2" s="2">
        <v>35303.800000000003</v>
      </c>
      <c r="L2" s="35">
        <v>111898924.48</v>
      </c>
      <c r="M2" s="36">
        <v>23380</v>
      </c>
      <c r="N2" s="37">
        <v>315585</v>
      </c>
      <c r="O2" s="37">
        <v>383556</v>
      </c>
      <c r="P2" s="37">
        <v>69035</v>
      </c>
      <c r="Q2" s="37">
        <v>105478</v>
      </c>
      <c r="R2" s="37">
        <v>764266</v>
      </c>
      <c r="S2" s="37">
        <v>343435</v>
      </c>
      <c r="T2" s="40"/>
      <c r="U2" s="37">
        <v>0</v>
      </c>
      <c r="V2" s="37">
        <v>0</v>
      </c>
      <c r="W2" s="45">
        <v>1981355</v>
      </c>
      <c r="X2" s="46">
        <v>1.77066491854811</v>
      </c>
    </row>
    <row r="3" spans="1:24" ht="15" customHeight="1">
      <c r="A3" s="28" t="s">
        <v>63</v>
      </c>
      <c r="B3" s="29">
        <v>3169.6</v>
      </c>
      <c r="C3" s="30" t="s">
        <v>86</v>
      </c>
      <c r="D3" s="2">
        <v>4947434694</v>
      </c>
      <c r="E3" s="2" t="s">
        <v>24</v>
      </c>
      <c r="F3" s="2" t="s">
        <v>87</v>
      </c>
      <c r="G3" s="28" t="s">
        <v>9</v>
      </c>
      <c r="H3" s="2" t="s">
        <v>23</v>
      </c>
      <c r="I3" s="2">
        <v>1</v>
      </c>
      <c r="J3" s="2"/>
      <c r="K3" s="2">
        <v>2148</v>
      </c>
      <c r="L3" s="35">
        <v>6808300.7999999998</v>
      </c>
      <c r="M3" s="36">
        <v>120</v>
      </c>
      <c r="N3" s="37">
        <v>890943</v>
      </c>
      <c r="O3" s="37">
        <v>0</v>
      </c>
      <c r="P3" s="37">
        <v>5929</v>
      </c>
      <c r="Q3" s="37">
        <v>47642</v>
      </c>
      <c r="R3" s="37">
        <v>62079</v>
      </c>
      <c r="S3" s="37">
        <v>343435</v>
      </c>
      <c r="T3" s="40"/>
      <c r="U3" s="37">
        <v>557750</v>
      </c>
      <c r="V3" s="37">
        <v>0</v>
      </c>
      <c r="W3" s="45">
        <v>1907778</v>
      </c>
      <c r="X3" s="46">
        <v>28.0213529930992</v>
      </c>
    </row>
    <row r="4" spans="1:24" ht="15" customHeight="1">
      <c r="A4" s="28" t="s">
        <v>63</v>
      </c>
      <c r="B4" s="29">
        <v>3169.6</v>
      </c>
      <c r="C4" s="30" t="s">
        <v>94</v>
      </c>
      <c r="D4" s="2">
        <v>4947512955</v>
      </c>
      <c r="E4" s="2" t="s">
        <v>24</v>
      </c>
      <c r="F4" s="78" t="s">
        <v>95</v>
      </c>
      <c r="G4" s="28" t="s">
        <v>5</v>
      </c>
      <c r="H4" s="2" t="s">
        <v>20</v>
      </c>
      <c r="I4" s="2">
        <v>1</v>
      </c>
      <c r="J4" s="2" t="s">
        <v>96</v>
      </c>
      <c r="K4" s="2">
        <v>14560</v>
      </c>
      <c r="L4" s="35">
        <v>46149376</v>
      </c>
      <c r="M4" s="36">
        <v>16000</v>
      </c>
      <c r="N4" s="37">
        <v>471499</v>
      </c>
      <c r="O4" s="37">
        <v>317159</v>
      </c>
      <c r="P4" s="37">
        <v>0</v>
      </c>
      <c r="Q4" s="37">
        <v>99309</v>
      </c>
      <c r="R4" s="37">
        <v>627853</v>
      </c>
      <c r="S4" s="37">
        <v>343435</v>
      </c>
      <c r="T4" s="40"/>
      <c r="U4" s="37">
        <v>3428500</v>
      </c>
      <c r="V4" s="37">
        <v>0</v>
      </c>
      <c r="W4" s="45">
        <v>5287755</v>
      </c>
      <c r="X4" s="46">
        <v>11.4579122369932</v>
      </c>
    </row>
    <row r="5" spans="1:24" ht="15" customHeight="1">
      <c r="A5" s="28" t="s">
        <v>63</v>
      </c>
      <c r="B5" s="29">
        <v>3169.6</v>
      </c>
      <c r="C5" s="30" t="s">
        <v>123</v>
      </c>
      <c r="D5" s="2">
        <v>4947892343</v>
      </c>
      <c r="E5" s="2" t="s">
        <v>24</v>
      </c>
      <c r="F5" s="2" t="s">
        <v>124</v>
      </c>
      <c r="G5" s="28" t="s">
        <v>5</v>
      </c>
      <c r="H5" s="2" t="s">
        <v>17</v>
      </c>
      <c r="I5" s="2">
        <v>1</v>
      </c>
      <c r="J5" s="2" t="s">
        <v>125</v>
      </c>
      <c r="K5" s="2">
        <v>21600</v>
      </c>
      <c r="L5" s="35">
        <v>68463360</v>
      </c>
      <c r="M5" s="36">
        <v>24000</v>
      </c>
      <c r="N5" s="37">
        <v>470165</v>
      </c>
      <c r="O5" s="37">
        <v>365254</v>
      </c>
      <c r="P5" s="37">
        <v>244728</v>
      </c>
      <c r="Q5" s="37">
        <v>104812</v>
      </c>
      <c r="R5" s="37">
        <v>746110</v>
      </c>
      <c r="S5" s="37">
        <v>343435</v>
      </c>
      <c r="T5" s="40"/>
      <c r="U5" s="37">
        <v>0</v>
      </c>
      <c r="V5" s="37">
        <v>0</v>
      </c>
      <c r="W5" s="45">
        <v>2274504</v>
      </c>
      <c r="X5" s="46">
        <v>3.32222082001234</v>
      </c>
    </row>
    <row r="6" spans="1:24" ht="15" customHeight="1">
      <c r="A6" s="28" t="s">
        <v>63</v>
      </c>
      <c r="B6" s="29">
        <v>3169.6</v>
      </c>
      <c r="C6" s="30" t="s">
        <v>133</v>
      </c>
      <c r="D6" s="2">
        <v>4947648341</v>
      </c>
      <c r="E6" s="2" t="s">
        <v>24</v>
      </c>
      <c r="F6" s="78" t="s">
        <v>134</v>
      </c>
      <c r="G6" s="28" t="s">
        <v>5</v>
      </c>
      <c r="H6" s="2" t="s">
        <v>17</v>
      </c>
      <c r="I6" s="2">
        <v>1</v>
      </c>
      <c r="J6" s="2" t="s">
        <v>135</v>
      </c>
      <c r="K6" s="2">
        <v>6900</v>
      </c>
      <c r="L6" s="35">
        <v>21870240</v>
      </c>
      <c r="M6" s="36">
        <v>3000</v>
      </c>
      <c r="N6" s="37">
        <v>58770.625</v>
      </c>
      <c r="O6" s="37">
        <v>45656.75</v>
      </c>
      <c r="P6" s="37">
        <v>30591</v>
      </c>
      <c r="Q6" s="37">
        <v>13101.5</v>
      </c>
      <c r="R6" s="37">
        <v>93638.75</v>
      </c>
      <c r="S6" s="37">
        <v>42929.375</v>
      </c>
      <c r="T6" s="40"/>
      <c r="U6" s="37">
        <v>312612.5</v>
      </c>
      <c r="V6" s="37">
        <v>0</v>
      </c>
      <c r="W6" s="45">
        <v>597300.5</v>
      </c>
      <c r="X6" s="46">
        <v>2.7311108611519601</v>
      </c>
    </row>
    <row r="7" spans="1:24" ht="15" customHeight="1">
      <c r="A7" s="28" t="s">
        <v>63</v>
      </c>
      <c r="B7" s="29">
        <v>3169.6</v>
      </c>
      <c r="C7" s="30" t="s">
        <v>133</v>
      </c>
      <c r="D7" s="2">
        <v>4947435958</v>
      </c>
      <c r="E7" s="2" t="s">
        <v>24</v>
      </c>
      <c r="F7" s="78" t="s">
        <v>134</v>
      </c>
      <c r="G7" s="28" t="s">
        <v>5</v>
      </c>
      <c r="H7" s="2" t="s">
        <v>17</v>
      </c>
      <c r="I7" s="2">
        <v>1</v>
      </c>
      <c r="J7" s="2" t="s">
        <v>135</v>
      </c>
      <c r="K7" s="2">
        <v>36540</v>
      </c>
      <c r="L7" s="35">
        <v>115817184</v>
      </c>
      <c r="M7" s="36">
        <v>21000</v>
      </c>
      <c r="N7" s="37">
        <v>411394.375</v>
      </c>
      <c r="O7" s="37">
        <v>319597.25</v>
      </c>
      <c r="P7" s="37">
        <v>214137</v>
      </c>
      <c r="Q7" s="37">
        <v>91710.5</v>
      </c>
      <c r="R7" s="37">
        <v>555471.25</v>
      </c>
      <c r="S7" s="37">
        <v>300505.625</v>
      </c>
      <c r="T7" s="40"/>
      <c r="U7" s="37">
        <v>2188287.5</v>
      </c>
      <c r="V7" s="37">
        <v>0</v>
      </c>
      <c r="W7" s="45">
        <v>4081103.5</v>
      </c>
      <c r="X7" s="46">
        <v>3.5237460962615001</v>
      </c>
    </row>
    <row r="8" spans="1:24" ht="15" customHeight="1">
      <c r="A8" s="28" t="s">
        <v>63</v>
      </c>
      <c r="B8" s="29">
        <v>3169.6</v>
      </c>
      <c r="C8" s="30" t="s">
        <v>136</v>
      </c>
      <c r="D8" s="2">
        <v>4947193883</v>
      </c>
      <c r="E8" s="2" t="s">
        <v>24</v>
      </c>
      <c r="F8" s="78" t="s">
        <v>137</v>
      </c>
      <c r="G8" s="28" t="s">
        <v>5</v>
      </c>
      <c r="H8" s="2" t="s">
        <v>35</v>
      </c>
      <c r="I8" s="2">
        <v>1</v>
      </c>
      <c r="J8" s="2" t="s">
        <v>138</v>
      </c>
      <c r="K8" s="2">
        <v>290</v>
      </c>
      <c r="L8" s="35">
        <v>919184</v>
      </c>
      <c r="M8" s="36">
        <v>250</v>
      </c>
      <c r="N8" s="37">
        <v>8544.9920927780695</v>
      </c>
      <c r="O8" s="37">
        <v>11037.6383763838</v>
      </c>
      <c r="P8" s="37">
        <v>0</v>
      </c>
      <c r="Q8" s="37">
        <v>2617.52767527675</v>
      </c>
      <c r="R8" s="37">
        <v>46107.358987875603</v>
      </c>
      <c r="S8" s="37">
        <v>9052.0558777016304</v>
      </c>
      <c r="T8" s="40"/>
      <c r="U8" s="37">
        <v>106854.243542435</v>
      </c>
      <c r="V8" s="37">
        <v>33250.448075909298</v>
      </c>
      <c r="W8" s="45">
        <v>217464.26462835999</v>
      </c>
      <c r="X8" s="46">
        <v>23.658404044060799</v>
      </c>
    </row>
    <row r="9" spans="1:24" ht="15" customHeight="1">
      <c r="A9" s="28" t="s">
        <v>63</v>
      </c>
      <c r="B9" s="29">
        <v>3169.6</v>
      </c>
      <c r="C9" s="30" t="s">
        <v>210</v>
      </c>
      <c r="D9" s="2">
        <v>4947823580</v>
      </c>
      <c r="E9" s="2" t="s">
        <v>24</v>
      </c>
      <c r="F9" s="2" t="s">
        <v>211</v>
      </c>
      <c r="G9" s="28" t="s">
        <v>5</v>
      </c>
      <c r="H9" s="2" t="s">
        <v>17</v>
      </c>
      <c r="I9" s="2">
        <v>1</v>
      </c>
      <c r="J9" s="2" t="s">
        <v>212</v>
      </c>
      <c r="K9" s="2">
        <v>14168</v>
      </c>
      <c r="L9" s="35">
        <v>44906892.799999997</v>
      </c>
      <c r="M9" s="36">
        <v>3680</v>
      </c>
      <c r="N9" s="37">
        <v>74861.1007371007</v>
      </c>
      <c r="O9" s="37">
        <v>94660.088452088501</v>
      </c>
      <c r="P9" s="37">
        <v>0</v>
      </c>
      <c r="Q9" s="37">
        <v>22448.226044226001</v>
      </c>
      <c r="R9" s="37">
        <v>187639.96805896799</v>
      </c>
      <c r="S9" s="37">
        <v>77631.498771498795</v>
      </c>
      <c r="T9" s="40"/>
      <c r="U9" s="37">
        <v>1080841.7690417699</v>
      </c>
      <c r="V9" s="37">
        <v>285159.76412776398</v>
      </c>
      <c r="W9" s="45">
        <v>1823242.41523342</v>
      </c>
      <c r="X9" s="46">
        <v>4.0600502540968897</v>
      </c>
    </row>
    <row r="10" spans="1:24" ht="15" customHeight="1">
      <c r="A10" s="28" t="s">
        <v>63</v>
      </c>
      <c r="B10" s="29">
        <v>3169.6</v>
      </c>
      <c r="C10" s="30" t="s">
        <v>246</v>
      </c>
      <c r="D10" s="2">
        <v>4947648338</v>
      </c>
      <c r="E10" s="2" t="s">
        <v>24</v>
      </c>
      <c r="F10" s="2" t="s">
        <v>247</v>
      </c>
      <c r="G10" s="28" t="s">
        <v>5</v>
      </c>
      <c r="H10" s="2" t="s">
        <v>20</v>
      </c>
      <c r="I10" s="2">
        <v>1</v>
      </c>
      <c r="J10" s="2" t="s">
        <v>248</v>
      </c>
      <c r="K10" s="2">
        <v>51840</v>
      </c>
      <c r="L10" s="35">
        <v>164312064</v>
      </c>
      <c r="M10" s="36">
        <v>16000</v>
      </c>
      <c r="N10" s="37">
        <v>331179</v>
      </c>
      <c r="O10" s="37">
        <v>317159</v>
      </c>
      <c r="P10" s="37">
        <v>0</v>
      </c>
      <c r="Q10" s="37">
        <v>99309</v>
      </c>
      <c r="R10" s="37">
        <v>814866</v>
      </c>
      <c r="S10" s="37">
        <v>343435</v>
      </c>
      <c r="T10" s="40"/>
      <c r="U10" s="37">
        <v>529000</v>
      </c>
      <c r="V10" s="37">
        <v>0</v>
      </c>
      <c r="W10" s="45">
        <v>2434948</v>
      </c>
      <c r="X10" s="46">
        <v>1.4819045788384699</v>
      </c>
    </row>
    <row r="11" spans="1:24" ht="15" customHeight="1">
      <c r="A11" s="28" t="s">
        <v>63</v>
      </c>
      <c r="B11" s="29">
        <v>3169.6</v>
      </c>
      <c r="C11" s="30" t="s">
        <v>328</v>
      </c>
      <c r="D11" s="2">
        <v>4946364245</v>
      </c>
      <c r="E11" s="2" t="s">
        <v>24</v>
      </c>
      <c r="F11" s="78" t="s">
        <v>329</v>
      </c>
      <c r="G11" s="28" t="s">
        <v>9</v>
      </c>
      <c r="H11" s="2" t="s">
        <v>23</v>
      </c>
      <c r="I11" s="2">
        <v>2</v>
      </c>
      <c r="J11" s="2"/>
      <c r="K11" s="2">
        <v>4996.8</v>
      </c>
      <c r="L11" s="35">
        <v>15837857.279999999</v>
      </c>
      <c r="M11" s="36">
        <v>1440</v>
      </c>
      <c r="N11" s="37">
        <v>653759</v>
      </c>
      <c r="O11" s="37">
        <v>1009</v>
      </c>
      <c r="P11" s="37">
        <v>0</v>
      </c>
      <c r="Q11" s="37">
        <v>30952</v>
      </c>
      <c r="R11" s="37">
        <v>112363</v>
      </c>
      <c r="S11" s="37">
        <v>343435</v>
      </c>
      <c r="T11" s="40"/>
      <c r="U11" s="37">
        <v>1200907.3170731701</v>
      </c>
      <c r="V11" s="37">
        <v>0</v>
      </c>
      <c r="W11" s="45">
        <v>2342425.3170731701</v>
      </c>
      <c r="X11" s="46">
        <v>14.7900393068397</v>
      </c>
    </row>
    <row r="12" spans="1:24" ht="15" customHeight="1">
      <c r="A12" s="28" t="s">
        <v>63</v>
      </c>
      <c r="B12" s="29">
        <v>3169.6</v>
      </c>
      <c r="C12" s="30" t="s">
        <v>332</v>
      </c>
      <c r="D12" s="2">
        <v>4947823568</v>
      </c>
      <c r="E12" s="2" t="s">
        <v>24</v>
      </c>
      <c r="F12" s="78" t="s">
        <v>333</v>
      </c>
      <c r="G12" s="28" t="s">
        <v>5</v>
      </c>
      <c r="H12" s="2" t="s">
        <v>334</v>
      </c>
      <c r="I12" s="2">
        <v>2</v>
      </c>
      <c r="J12" s="2" t="s">
        <v>335</v>
      </c>
      <c r="K12" s="2">
        <v>81600</v>
      </c>
      <c r="L12" s="35">
        <v>258639360</v>
      </c>
      <c r="M12" s="36">
        <v>48000</v>
      </c>
      <c r="N12" s="37">
        <v>960454</v>
      </c>
      <c r="O12" s="37">
        <v>1133442</v>
      </c>
      <c r="P12" s="37">
        <v>506288</v>
      </c>
      <c r="Q12" s="37">
        <v>325249</v>
      </c>
      <c r="R12" s="37">
        <v>2088353</v>
      </c>
      <c r="S12" s="37">
        <v>343435</v>
      </c>
      <c r="T12" s="40"/>
      <c r="U12" s="37">
        <v>2500900</v>
      </c>
      <c r="V12" s="37">
        <v>0</v>
      </c>
      <c r="W12" s="45">
        <v>7858121</v>
      </c>
      <c r="X12" s="46">
        <v>3.0382541156922098</v>
      </c>
    </row>
    <row r="13" spans="1:24" ht="15" customHeight="1">
      <c r="A13" s="28" t="s">
        <v>63</v>
      </c>
      <c r="B13" s="29">
        <v>3169.6</v>
      </c>
      <c r="C13" s="30" t="s">
        <v>339</v>
      </c>
      <c r="D13" s="2">
        <v>4947435991</v>
      </c>
      <c r="E13" s="2" t="s">
        <v>24</v>
      </c>
      <c r="F13" s="2" t="s">
        <v>340</v>
      </c>
      <c r="G13" s="28" t="s">
        <v>5</v>
      </c>
      <c r="H13" s="2" t="s">
        <v>20</v>
      </c>
      <c r="I13" s="2">
        <v>1</v>
      </c>
      <c r="J13" s="2" t="s">
        <v>341</v>
      </c>
      <c r="K13" s="2">
        <v>66906</v>
      </c>
      <c r="L13" s="35">
        <v>212065257.59999999</v>
      </c>
      <c r="M13" s="36">
        <v>56700</v>
      </c>
      <c r="N13" s="37">
        <v>1110228</v>
      </c>
      <c r="O13" s="37">
        <v>916430</v>
      </c>
      <c r="P13" s="37">
        <v>1416558</v>
      </c>
      <c r="Q13" s="37">
        <v>321725</v>
      </c>
      <c r="R13" s="37">
        <v>2071881</v>
      </c>
      <c r="S13" s="37">
        <v>343435</v>
      </c>
      <c r="T13" s="40"/>
      <c r="U13" s="37">
        <v>6874200</v>
      </c>
      <c r="V13" s="37">
        <v>0</v>
      </c>
      <c r="W13" s="45">
        <v>13054457</v>
      </c>
      <c r="X13" s="46">
        <v>6.15586784357835</v>
      </c>
    </row>
    <row r="14" spans="1:24" ht="15" customHeight="1">
      <c r="A14" s="28" t="s">
        <v>63</v>
      </c>
      <c r="B14" s="29">
        <v>3169.6</v>
      </c>
      <c r="C14" s="30" t="s">
        <v>342</v>
      </c>
      <c r="D14" s="2">
        <v>4947815544</v>
      </c>
      <c r="E14" s="2" t="s">
        <v>24</v>
      </c>
      <c r="F14" s="2" t="s">
        <v>343</v>
      </c>
      <c r="G14" s="28" t="s">
        <v>9</v>
      </c>
      <c r="H14" s="2" t="s">
        <v>23</v>
      </c>
      <c r="I14" s="2">
        <v>5</v>
      </c>
      <c r="J14" s="2"/>
      <c r="K14" s="2">
        <v>8000</v>
      </c>
      <c r="L14" s="35">
        <v>25356800</v>
      </c>
      <c r="M14" s="36">
        <v>5000</v>
      </c>
      <c r="N14" s="37">
        <v>1892822</v>
      </c>
      <c r="O14" s="37">
        <v>0</v>
      </c>
      <c r="P14" s="37">
        <v>255117</v>
      </c>
      <c r="Q14" s="37">
        <v>49345</v>
      </c>
      <c r="R14" s="37">
        <v>120602</v>
      </c>
      <c r="S14" s="37">
        <v>343435</v>
      </c>
      <c r="T14" s="40"/>
      <c r="U14" s="37">
        <v>1940000</v>
      </c>
      <c r="V14" s="37">
        <v>0</v>
      </c>
      <c r="W14" s="45">
        <v>4601321</v>
      </c>
      <c r="X14" s="46">
        <v>18.1463000063099</v>
      </c>
    </row>
    <row r="15" spans="1:24" ht="15" customHeight="1">
      <c r="A15" s="28" t="s">
        <v>63</v>
      </c>
      <c r="B15" s="29">
        <v>3169.6</v>
      </c>
      <c r="C15" s="30" t="s">
        <v>348</v>
      </c>
      <c r="D15" s="2">
        <v>4947433927</v>
      </c>
      <c r="E15" s="2" t="s">
        <v>24</v>
      </c>
      <c r="F15" s="78" t="s">
        <v>349</v>
      </c>
      <c r="G15" s="28" t="s">
        <v>5</v>
      </c>
      <c r="H15" s="2" t="s">
        <v>20</v>
      </c>
      <c r="I15" s="2">
        <v>1</v>
      </c>
      <c r="J15" s="2" t="s">
        <v>350</v>
      </c>
      <c r="K15" s="2">
        <v>4668</v>
      </c>
      <c r="L15" s="35">
        <v>14795692.800000001</v>
      </c>
      <c r="M15" s="36">
        <v>1200</v>
      </c>
      <c r="N15" s="37">
        <v>72538</v>
      </c>
      <c r="O15" s="37">
        <v>49109.538461538497</v>
      </c>
      <c r="P15" s="37">
        <v>89878</v>
      </c>
      <c r="Q15" s="37">
        <v>15278.307692307701</v>
      </c>
      <c r="R15" s="37">
        <v>97413.615384615405</v>
      </c>
      <c r="S15" s="37">
        <v>52836.153846153902</v>
      </c>
      <c r="T15" s="40"/>
      <c r="U15" s="37">
        <v>326000</v>
      </c>
      <c r="V15" s="37">
        <v>0</v>
      </c>
      <c r="W15" s="45">
        <v>703053.61538461503</v>
      </c>
      <c r="X15" s="46">
        <v>4.7517451523771497</v>
      </c>
    </row>
    <row r="16" spans="1:24" ht="15" customHeight="1">
      <c r="A16" s="28" t="s">
        <v>63</v>
      </c>
      <c r="B16" s="29">
        <v>3169.6</v>
      </c>
      <c r="C16" s="30" t="s">
        <v>372</v>
      </c>
      <c r="D16" s="2">
        <v>4947648343</v>
      </c>
      <c r="E16" s="2" t="s">
        <v>24</v>
      </c>
      <c r="F16" s="78" t="s">
        <v>373</v>
      </c>
      <c r="G16" s="28" t="s">
        <v>9</v>
      </c>
      <c r="H16" s="2" t="s">
        <v>23</v>
      </c>
      <c r="I16" s="2">
        <v>4</v>
      </c>
      <c r="J16" s="2"/>
      <c r="K16" s="2">
        <v>3264</v>
      </c>
      <c r="L16" s="35">
        <v>10345574.4</v>
      </c>
      <c r="M16" s="36">
        <v>1200</v>
      </c>
      <c r="N16" s="37">
        <v>769781</v>
      </c>
      <c r="O16" s="37">
        <v>855</v>
      </c>
      <c r="P16" s="37">
        <v>88736</v>
      </c>
      <c r="Q16" s="37">
        <v>20236</v>
      </c>
      <c r="R16" s="37">
        <v>99734</v>
      </c>
      <c r="S16" s="37">
        <v>343435</v>
      </c>
      <c r="T16" s="40"/>
      <c r="U16" s="37">
        <v>2085500</v>
      </c>
      <c r="V16" s="37">
        <v>0</v>
      </c>
      <c r="W16" s="45">
        <v>3408277</v>
      </c>
      <c r="X16" s="46">
        <v>32.944299351807899</v>
      </c>
    </row>
    <row r="17" spans="1:24" ht="15" customHeight="1">
      <c r="A17" s="28" t="s">
        <v>63</v>
      </c>
      <c r="B17" s="29">
        <v>3169.6</v>
      </c>
      <c r="C17" s="30" t="s">
        <v>387</v>
      </c>
      <c r="D17" s="2">
        <v>4947435981</v>
      </c>
      <c r="E17" s="2" t="s">
        <v>24</v>
      </c>
      <c r="F17" s="2" t="s">
        <v>388</v>
      </c>
      <c r="G17" s="28" t="s">
        <v>5</v>
      </c>
      <c r="H17" s="2" t="s">
        <v>17</v>
      </c>
      <c r="I17" s="2">
        <v>1</v>
      </c>
      <c r="J17" s="2" t="s">
        <v>389</v>
      </c>
      <c r="K17" s="2">
        <v>30480.400000000001</v>
      </c>
      <c r="L17" s="35">
        <v>96610675.840000004</v>
      </c>
      <c r="M17" s="36">
        <v>7240</v>
      </c>
      <c r="N17" s="37">
        <v>477563</v>
      </c>
      <c r="O17" s="37">
        <v>418768</v>
      </c>
      <c r="P17" s="37">
        <v>0</v>
      </c>
      <c r="Q17" s="37">
        <v>99309</v>
      </c>
      <c r="R17" s="37">
        <v>633287</v>
      </c>
      <c r="S17" s="37">
        <v>343435</v>
      </c>
      <c r="T17" s="40"/>
      <c r="U17" s="37">
        <v>2400300</v>
      </c>
      <c r="V17" s="37">
        <v>0</v>
      </c>
      <c r="W17" s="45">
        <v>4372662</v>
      </c>
      <c r="X17" s="46">
        <v>4.5260650150524802</v>
      </c>
    </row>
    <row r="18" spans="1:24" ht="15" customHeight="1">
      <c r="A18" s="28" t="s">
        <v>63</v>
      </c>
      <c r="B18" s="29">
        <v>3169.6</v>
      </c>
      <c r="C18" s="30" t="s">
        <v>393</v>
      </c>
      <c r="D18" s="2">
        <v>4948041060</v>
      </c>
      <c r="E18" s="2" t="s">
        <v>24</v>
      </c>
      <c r="F18" s="2" t="s">
        <v>394</v>
      </c>
      <c r="G18" s="28" t="s">
        <v>9</v>
      </c>
      <c r="H18" s="2" t="s">
        <v>23</v>
      </c>
      <c r="I18" s="2">
        <v>3</v>
      </c>
      <c r="J18" s="2"/>
      <c r="K18" s="2">
        <v>22536.799999999999</v>
      </c>
      <c r="L18" s="35">
        <v>71432641.280000001</v>
      </c>
      <c r="M18" s="36">
        <v>880</v>
      </c>
      <c r="N18" s="37">
        <v>532626</v>
      </c>
      <c r="O18" s="37">
        <v>1260</v>
      </c>
      <c r="P18" s="37">
        <v>55294</v>
      </c>
      <c r="Q18" s="37">
        <v>15459</v>
      </c>
      <c r="R18" s="37">
        <v>99167</v>
      </c>
      <c r="S18" s="37">
        <v>343435</v>
      </c>
      <c r="T18" s="40"/>
      <c r="U18" s="37">
        <v>681477</v>
      </c>
      <c r="V18" s="37">
        <v>0</v>
      </c>
      <c r="W18" s="45">
        <v>1728718</v>
      </c>
      <c r="X18" s="46">
        <v>2.4200673095984402</v>
      </c>
    </row>
    <row r="19" spans="1:24" ht="15" customHeight="1">
      <c r="A19" s="28" t="s">
        <v>63</v>
      </c>
      <c r="B19" s="29">
        <v>3169.6</v>
      </c>
      <c r="C19" s="30" t="s">
        <v>423</v>
      </c>
      <c r="D19" s="2">
        <v>4946203345</v>
      </c>
      <c r="E19" s="2" t="s">
        <v>24</v>
      </c>
      <c r="F19" s="78" t="s">
        <v>424</v>
      </c>
      <c r="G19" s="28" t="s">
        <v>13</v>
      </c>
      <c r="H19" s="2" t="s">
        <v>23</v>
      </c>
      <c r="I19" s="2">
        <v>4</v>
      </c>
      <c r="J19" s="2"/>
      <c r="K19" s="2">
        <v>27660.04</v>
      </c>
      <c r="L19" s="35">
        <v>87671262.783999994</v>
      </c>
      <c r="M19" s="36">
        <v>266</v>
      </c>
      <c r="N19" s="37">
        <v>558119</v>
      </c>
      <c r="O19" s="37">
        <v>0</v>
      </c>
      <c r="P19" s="37">
        <v>0</v>
      </c>
      <c r="Q19" s="37">
        <v>0</v>
      </c>
      <c r="R19" s="37">
        <v>8232</v>
      </c>
      <c r="S19" s="37">
        <v>343435</v>
      </c>
      <c r="T19" s="37"/>
      <c r="U19" s="37">
        <v>246380</v>
      </c>
      <c r="V19" s="37">
        <v>0</v>
      </c>
      <c r="W19" s="45">
        <v>1156166</v>
      </c>
      <c r="X19" s="46">
        <v>1.31875139388434</v>
      </c>
    </row>
    <row r="20" spans="1:24" ht="15" customHeight="1">
      <c r="A20" s="28" t="s">
        <v>63</v>
      </c>
      <c r="B20" s="29">
        <v>3169.6</v>
      </c>
      <c r="C20" s="30" t="s">
        <v>529</v>
      </c>
      <c r="D20" s="2">
        <v>4947435981</v>
      </c>
      <c r="E20" s="2" t="s">
        <v>24</v>
      </c>
      <c r="F20" s="2" t="s">
        <v>388</v>
      </c>
      <c r="G20" s="28" t="s">
        <v>5</v>
      </c>
      <c r="H20" s="2" t="s">
        <v>17</v>
      </c>
      <c r="I20" s="2">
        <v>1</v>
      </c>
      <c r="J20" s="2" t="s">
        <v>389</v>
      </c>
      <c r="K20" s="2">
        <v>30480.400000000001</v>
      </c>
      <c r="L20" s="35">
        <v>96610675.840000004</v>
      </c>
      <c r="M20" s="36">
        <v>7240</v>
      </c>
      <c r="N20" s="37">
        <v>477563</v>
      </c>
      <c r="O20" s="37">
        <v>418768</v>
      </c>
      <c r="P20" s="37">
        <v>0</v>
      </c>
      <c r="Q20" s="37">
        <v>99309</v>
      </c>
      <c r="R20" s="37">
        <v>633287</v>
      </c>
      <c r="S20" s="37">
        <v>343435</v>
      </c>
      <c r="T20" s="37"/>
      <c r="U20" s="37">
        <v>2400300</v>
      </c>
      <c r="V20" s="37">
        <v>0</v>
      </c>
      <c r="W20" s="45">
        <v>4372662</v>
      </c>
      <c r="X20" s="46">
        <v>4.5260650150524802</v>
      </c>
    </row>
    <row r="21" spans="1:24" ht="15" customHeight="1">
      <c r="A21" s="28" t="s">
        <v>63</v>
      </c>
      <c r="B21" s="29">
        <v>3169.6</v>
      </c>
      <c r="C21" s="30" t="s">
        <v>539</v>
      </c>
      <c r="D21" s="2">
        <v>4947735347</v>
      </c>
      <c r="E21" s="2" t="s">
        <v>24</v>
      </c>
      <c r="F21" s="2" t="s">
        <v>540</v>
      </c>
      <c r="G21" s="28" t="s">
        <v>9</v>
      </c>
      <c r="H21" s="2" t="s">
        <v>23</v>
      </c>
      <c r="I21" s="2">
        <v>2</v>
      </c>
      <c r="J21" s="2"/>
      <c r="K21" s="2">
        <v>5169.6000000000004</v>
      </c>
      <c r="L21" s="35">
        <v>16385564.16</v>
      </c>
      <c r="M21" s="36">
        <v>1440</v>
      </c>
      <c r="N21" s="37">
        <v>647464</v>
      </c>
      <c r="O21" s="37">
        <v>1008</v>
      </c>
      <c r="P21" s="37">
        <v>0</v>
      </c>
      <c r="Q21" s="37">
        <v>24561</v>
      </c>
      <c r="R21" s="37">
        <v>108921</v>
      </c>
      <c r="S21" s="37">
        <v>343435</v>
      </c>
      <c r="T21" s="37"/>
      <c r="U21" s="37">
        <v>774998.70967741904</v>
      </c>
      <c r="V21" s="37">
        <v>0</v>
      </c>
      <c r="W21" s="45">
        <v>1900387.7096774201</v>
      </c>
      <c r="X21" s="46">
        <v>11.597938838850601</v>
      </c>
    </row>
    <row r="22" spans="1:24" ht="15" customHeight="1">
      <c r="A22" s="28" t="s">
        <v>63</v>
      </c>
      <c r="B22" s="29">
        <v>3169.6</v>
      </c>
      <c r="C22" s="30" t="s">
        <v>563</v>
      </c>
      <c r="D22" s="2">
        <v>4947737184</v>
      </c>
      <c r="E22" s="2" t="s">
        <v>24</v>
      </c>
      <c r="F22" s="2" t="s">
        <v>564</v>
      </c>
      <c r="G22" s="28" t="s">
        <v>9</v>
      </c>
      <c r="H22" s="2" t="s">
        <v>23</v>
      </c>
      <c r="I22" s="2">
        <v>1</v>
      </c>
      <c r="J22" s="2"/>
      <c r="K22" s="2">
        <v>23443.8</v>
      </c>
      <c r="L22" s="35">
        <v>74307468.480000004</v>
      </c>
      <c r="M22" s="36">
        <v>820</v>
      </c>
      <c r="N22" s="37">
        <v>611841</v>
      </c>
      <c r="O22" s="37">
        <v>578</v>
      </c>
      <c r="P22" s="37">
        <v>23077</v>
      </c>
      <c r="Q22" s="37">
        <v>17868</v>
      </c>
      <c r="R22" s="37">
        <v>101719</v>
      </c>
      <c r="S22" s="37">
        <v>343435</v>
      </c>
      <c r="T22" s="37"/>
      <c r="U22" s="37">
        <v>883081.88976377901</v>
      </c>
      <c r="V22" s="37">
        <v>0</v>
      </c>
      <c r="W22" s="45">
        <v>1981599.8897637799</v>
      </c>
      <c r="X22" s="46">
        <v>2.6667573667876101</v>
      </c>
    </row>
    <row r="23" spans="1:24" ht="15" customHeight="1">
      <c r="A23" s="28" t="s">
        <v>63</v>
      </c>
      <c r="B23" s="29">
        <v>3169.6</v>
      </c>
      <c r="C23" s="30" t="s">
        <v>573</v>
      </c>
      <c r="D23" s="2">
        <v>4947815545</v>
      </c>
      <c r="E23" s="2" t="s">
        <v>24</v>
      </c>
      <c r="F23" s="78" t="s">
        <v>574</v>
      </c>
      <c r="G23" s="28" t="s">
        <v>5</v>
      </c>
      <c r="H23" s="2" t="s">
        <v>32</v>
      </c>
      <c r="I23" s="2">
        <v>1</v>
      </c>
      <c r="J23" s="2" t="s">
        <v>575</v>
      </c>
      <c r="K23" s="2">
        <v>24948</v>
      </c>
      <c r="L23" s="35">
        <v>79075180.799999997</v>
      </c>
      <c r="M23" s="36">
        <v>5400</v>
      </c>
      <c r="N23" s="37">
        <v>464922</v>
      </c>
      <c r="O23" s="37">
        <v>319212</v>
      </c>
      <c r="P23" s="37">
        <v>67888</v>
      </c>
      <c r="Q23" s="37">
        <v>99309</v>
      </c>
      <c r="R23" s="37">
        <v>1239152</v>
      </c>
      <c r="S23" s="37">
        <v>343435</v>
      </c>
      <c r="T23" s="37"/>
      <c r="U23" s="37">
        <v>1497250</v>
      </c>
      <c r="V23" s="37">
        <v>0</v>
      </c>
      <c r="W23" s="45">
        <v>4031168</v>
      </c>
      <c r="X23" s="46">
        <v>5.0978928650138498</v>
      </c>
    </row>
    <row r="24" spans="1:24" ht="15" customHeight="1">
      <c r="A24" s="28" t="s">
        <v>63</v>
      </c>
      <c r="B24" s="29">
        <v>3169.6</v>
      </c>
      <c r="C24" s="30" t="s">
        <v>579</v>
      </c>
      <c r="D24" s="2">
        <v>4947815549</v>
      </c>
      <c r="E24" s="2" t="s">
        <v>24</v>
      </c>
      <c r="F24" s="2" t="s">
        <v>580</v>
      </c>
      <c r="G24" s="28" t="s">
        <v>9</v>
      </c>
      <c r="H24" s="2" t="s">
        <v>23</v>
      </c>
      <c r="I24" s="2">
        <v>1</v>
      </c>
      <c r="J24" s="2"/>
      <c r="K24" s="2">
        <v>3420</v>
      </c>
      <c r="L24" s="35">
        <v>10840032</v>
      </c>
      <c r="M24" s="36">
        <v>240</v>
      </c>
      <c r="N24" s="37">
        <v>876586</v>
      </c>
      <c r="O24" s="37">
        <v>0</v>
      </c>
      <c r="P24" s="37">
        <v>6402</v>
      </c>
      <c r="Q24" s="37">
        <v>47272</v>
      </c>
      <c r="R24" s="37">
        <v>33745</v>
      </c>
      <c r="S24" s="37">
        <v>343435</v>
      </c>
      <c r="T24" s="37"/>
      <c r="U24" s="37">
        <v>557750</v>
      </c>
      <c r="V24" s="37">
        <v>0</v>
      </c>
      <c r="W24" s="45">
        <v>1865190</v>
      </c>
      <c r="X24" s="46">
        <v>17.206499021405101</v>
      </c>
    </row>
    <row r="25" spans="1:24" ht="15" customHeight="1">
      <c r="A25" s="28" t="s">
        <v>63</v>
      </c>
      <c r="B25" s="29">
        <v>3169.6</v>
      </c>
      <c r="C25" s="30" t="s">
        <v>581</v>
      </c>
      <c r="D25" s="2">
        <v>4948283265</v>
      </c>
      <c r="E25" s="2" t="s">
        <v>24</v>
      </c>
      <c r="F25" s="78" t="s">
        <v>582</v>
      </c>
      <c r="G25" s="28" t="s">
        <v>5</v>
      </c>
      <c r="H25" s="2" t="s">
        <v>26</v>
      </c>
      <c r="I25" s="2">
        <v>1</v>
      </c>
      <c r="J25" s="2" t="s">
        <v>583</v>
      </c>
      <c r="K25" s="2">
        <v>31288.25</v>
      </c>
      <c r="L25" s="35">
        <v>99171237.200000003</v>
      </c>
      <c r="M25" s="36">
        <v>23525</v>
      </c>
      <c r="N25" s="37">
        <v>327296</v>
      </c>
      <c r="O25" s="37">
        <v>379770</v>
      </c>
      <c r="P25" s="37">
        <v>710088</v>
      </c>
      <c r="Q25" s="37">
        <v>104437</v>
      </c>
      <c r="R25" s="37">
        <v>761355</v>
      </c>
      <c r="S25" s="37">
        <v>343435</v>
      </c>
      <c r="T25" s="37"/>
      <c r="U25" s="37">
        <v>0</v>
      </c>
      <c r="V25" s="37">
        <v>0</v>
      </c>
      <c r="W25" s="45">
        <v>2626381</v>
      </c>
      <c r="X25" s="46">
        <v>2.6483293686286702</v>
      </c>
    </row>
    <row r="26" spans="1:24" ht="15" customHeight="1">
      <c r="A26" s="28" t="s">
        <v>63</v>
      </c>
      <c r="B26" s="29">
        <v>3169.6</v>
      </c>
      <c r="C26" s="30" t="s">
        <v>584</v>
      </c>
      <c r="D26" s="2">
        <v>4947823567</v>
      </c>
      <c r="E26" s="2" t="s">
        <v>24</v>
      </c>
      <c r="F26" s="2" t="s">
        <v>585</v>
      </c>
      <c r="G26" s="28" t="s">
        <v>9</v>
      </c>
      <c r="H26" s="2" t="s">
        <v>23</v>
      </c>
      <c r="I26" s="2">
        <v>2</v>
      </c>
      <c r="J26" s="2"/>
      <c r="K26" s="2">
        <v>14340</v>
      </c>
      <c r="L26" s="35">
        <v>45452064</v>
      </c>
      <c r="M26" s="36">
        <v>600</v>
      </c>
      <c r="N26" s="37">
        <v>815268</v>
      </c>
      <c r="O26" s="37">
        <v>0</v>
      </c>
      <c r="P26" s="37">
        <v>8870</v>
      </c>
      <c r="Q26" s="37">
        <v>47272</v>
      </c>
      <c r="R26" s="37">
        <v>34047</v>
      </c>
      <c r="S26" s="37">
        <v>343435</v>
      </c>
      <c r="T26" s="37"/>
      <c r="U26" s="37">
        <v>557750</v>
      </c>
      <c r="V26" s="37">
        <v>0</v>
      </c>
      <c r="W26" s="45">
        <v>1806642</v>
      </c>
      <c r="X26" s="46">
        <v>3.97482939388627</v>
      </c>
    </row>
    <row r="27" spans="1:24" ht="15" customHeight="1">
      <c r="A27" s="28" t="s">
        <v>63</v>
      </c>
      <c r="B27" s="29">
        <v>3169.6</v>
      </c>
      <c r="C27" s="30" t="s">
        <v>593</v>
      </c>
      <c r="D27" s="2">
        <v>4948116656</v>
      </c>
      <c r="E27" s="2" t="s">
        <v>24</v>
      </c>
      <c r="F27" s="2" t="s">
        <v>594</v>
      </c>
      <c r="G27" s="28" t="s">
        <v>9</v>
      </c>
      <c r="H27" s="2" t="s">
        <v>23</v>
      </c>
      <c r="I27" s="2">
        <v>6</v>
      </c>
      <c r="J27" s="2"/>
      <c r="K27" s="2">
        <v>24343.200000000001</v>
      </c>
      <c r="L27" s="35">
        <v>77158206.719999999</v>
      </c>
      <c r="M27" s="36">
        <v>5520</v>
      </c>
      <c r="N27" s="37">
        <v>1088111</v>
      </c>
      <c r="O27" s="37">
        <v>3813</v>
      </c>
      <c r="P27" s="37">
        <v>400153</v>
      </c>
      <c r="Q27" s="37">
        <v>117090</v>
      </c>
      <c r="R27" s="37">
        <v>207999</v>
      </c>
      <c r="S27" s="37">
        <v>343435</v>
      </c>
      <c r="T27" s="37"/>
      <c r="U27" s="37">
        <v>368600</v>
      </c>
      <c r="V27" s="37">
        <v>0</v>
      </c>
      <c r="W27" s="45">
        <v>2529201</v>
      </c>
      <c r="X27" s="46">
        <v>3.27794165716971</v>
      </c>
    </row>
    <row r="28" spans="1:24" ht="15" customHeight="1">
      <c r="A28" s="28" t="s">
        <v>63</v>
      </c>
      <c r="B28" s="29">
        <v>3169.6</v>
      </c>
      <c r="C28" s="30" t="s">
        <v>601</v>
      </c>
      <c r="D28" s="2">
        <v>4947823570</v>
      </c>
      <c r="E28" s="2" t="s">
        <v>24</v>
      </c>
      <c r="F28" s="78" t="s">
        <v>602</v>
      </c>
      <c r="G28" s="28" t="s">
        <v>5</v>
      </c>
      <c r="H28" s="2" t="s">
        <v>26</v>
      </c>
      <c r="I28" s="2">
        <v>2</v>
      </c>
      <c r="J28" s="2" t="s">
        <v>603</v>
      </c>
      <c r="K28" s="2">
        <v>71392.800000000003</v>
      </c>
      <c r="L28" s="35">
        <v>226286618.88</v>
      </c>
      <c r="M28" s="36">
        <v>47280</v>
      </c>
      <c r="N28" s="37">
        <v>320895.88324873103</v>
      </c>
      <c r="O28" s="37">
        <v>786002</v>
      </c>
      <c r="P28" s="37">
        <v>1077317.13959391</v>
      </c>
      <c r="Q28" s="37">
        <v>216151</v>
      </c>
      <c r="R28" s="37">
        <v>577714.904822335</v>
      </c>
      <c r="S28" s="37">
        <v>170410.006345178</v>
      </c>
      <c r="T28" s="37"/>
      <c r="U28" s="37">
        <v>0</v>
      </c>
      <c r="V28" s="37">
        <v>0</v>
      </c>
      <c r="W28" s="45">
        <v>3148490.9340101499</v>
      </c>
      <c r="X28" s="46">
        <v>1.3913730072036701</v>
      </c>
    </row>
    <row r="29" spans="1:24" ht="15" customHeight="1">
      <c r="A29" s="28" t="s">
        <v>63</v>
      </c>
      <c r="B29" s="29">
        <v>3169.6</v>
      </c>
      <c r="C29" s="30" t="s">
        <v>604</v>
      </c>
      <c r="D29" s="2">
        <v>4947974427</v>
      </c>
      <c r="E29" s="2" t="s">
        <v>24</v>
      </c>
      <c r="F29" s="78" t="s">
        <v>605</v>
      </c>
      <c r="G29" s="28" t="s">
        <v>5</v>
      </c>
      <c r="H29" s="2" t="s">
        <v>26</v>
      </c>
      <c r="I29" s="2">
        <v>1</v>
      </c>
      <c r="J29" s="2" t="s">
        <v>606</v>
      </c>
      <c r="K29" s="2">
        <v>33043.85</v>
      </c>
      <c r="L29" s="35">
        <v>104735786.95999999</v>
      </c>
      <c r="M29" s="36">
        <v>24845</v>
      </c>
      <c r="N29" s="40">
        <v>0</v>
      </c>
      <c r="O29" s="37">
        <v>394797.16424828698</v>
      </c>
      <c r="P29" s="37">
        <v>226095.508464329</v>
      </c>
      <c r="Q29" s="37">
        <v>108568.944780331</v>
      </c>
      <c r="R29" s="40">
        <v>780041.12374042696</v>
      </c>
      <c r="S29" s="40">
        <v>171959.74556630399</v>
      </c>
      <c r="T29" s="51"/>
      <c r="U29" s="40">
        <v>0</v>
      </c>
      <c r="V29" s="40">
        <v>0</v>
      </c>
      <c r="W29" s="45">
        <v>1681462.4867996799</v>
      </c>
      <c r="X29" s="46">
        <v>1.6054326182146801</v>
      </c>
    </row>
    <row r="30" spans="1:24" ht="15" customHeight="1">
      <c r="A30" s="28" t="s">
        <v>63</v>
      </c>
      <c r="B30" s="29">
        <v>3169.6</v>
      </c>
      <c r="C30" s="30" t="s">
        <v>604</v>
      </c>
      <c r="D30" s="2">
        <v>4947976009</v>
      </c>
      <c r="E30" s="2" t="s">
        <v>24</v>
      </c>
      <c r="F30" s="78" t="s">
        <v>605</v>
      </c>
      <c r="G30" s="28" t="s">
        <v>5</v>
      </c>
      <c r="H30" s="2" t="s">
        <v>26</v>
      </c>
      <c r="I30" s="2">
        <v>1</v>
      </c>
      <c r="J30" s="2" t="s">
        <v>607</v>
      </c>
      <c r="K30" s="2">
        <v>32950.75</v>
      </c>
      <c r="L30" s="35">
        <v>104440697.2</v>
      </c>
      <c r="M30" s="36">
        <v>24775</v>
      </c>
      <c r="N30" s="40">
        <v>0</v>
      </c>
      <c r="O30" s="37">
        <v>393684.83575171302</v>
      </c>
      <c r="P30" s="37">
        <v>225458.491535671</v>
      </c>
      <c r="Q30" s="37">
        <v>108263.055219669</v>
      </c>
      <c r="R30" s="40">
        <v>778406.87625957304</v>
      </c>
      <c r="S30" s="40">
        <v>171475.25443369601</v>
      </c>
      <c r="T30" s="51"/>
      <c r="U30" s="40">
        <v>0</v>
      </c>
      <c r="V30" s="40">
        <v>0</v>
      </c>
      <c r="W30" s="45">
        <v>1677288.5132003201</v>
      </c>
      <c r="X30" s="46">
        <v>1.60597215277908</v>
      </c>
    </row>
    <row r="31" spans="1:24" ht="15" customHeight="1">
      <c r="A31" s="28" t="s">
        <v>63</v>
      </c>
      <c r="B31" s="29">
        <v>3169.6</v>
      </c>
      <c r="C31" s="30" t="s">
        <v>614</v>
      </c>
      <c r="D31" s="2">
        <v>4947199109</v>
      </c>
      <c r="E31" s="2" t="s">
        <v>24</v>
      </c>
      <c r="F31" s="2" t="s">
        <v>615</v>
      </c>
      <c r="G31" s="28" t="s">
        <v>9</v>
      </c>
      <c r="H31" s="2" t="s">
        <v>23</v>
      </c>
      <c r="I31" s="2">
        <v>4</v>
      </c>
      <c r="J31" s="2"/>
      <c r="K31" s="2">
        <v>7803.23</v>
      </c>
      <c r="L31" s="35">
        <v>24733117.807999998</v>
      </c>
      <c r="M31" s="36">
        <v>3483.5839999999998</v>
      </c>
      <c r="N31" s="37">
        <v>878819</v>
      </c>
      <c r="O31" s="37">
        <v>0</v>
      </c>
      <c r="P31" s="37">
        <v>182502</v>
      </c>
      <c r="Q31" s="37">
        <v>91444</v>
      </c>
      <c r="R31" s="37">
        <v>149341</v>
      </c>
      <c r="S31" s="37">
        <v>343435</v>
      </c>
      <c r="T31" s="37"/>
      <c r="U31" s="37">
        <v>557750</v>
      </c>
      <c r="V31" s="37">
        <v>0</v>
      </c>
      <c r="W31" s="45">
        <v>2203291</v>
      </c>
      <c r="X31" s="46">
        <v>8.9082622623797896</v>
      </c>
    </row>
    <row r="33" spans="1:24" ht="15" customHeight="1">
      <c r="A33" s="31" t="s">
        <v>63</v>
      </c>
      <c r="B33" s="31"/>
      <c r="C33" s="31"/>
      <c r="D33" s="31"/>
      <c r="E33" s="31"/>
      <c r="F33" s="32">
        <v>28</v>
      </c>
      <c r="G33" s="31"/>
      <c r="H33" s="31"/>
      <c r="I33" s="38"/>
      <c r="J33" s="31"/>
      <c r="K33" s="39">
        <f>+SUM(K2:K31)</f>
        <v>736085.71999999986</v>
      </c>
      <c r="L33" s="39">
        <f>+SUM(L2:L31)</f>
        <v>2333097298.112</v>
      </c>
      <c r="M33" s="31"/>
      <c r="N33" s="39"/>
      <c r="O33" s="39"/>
      <c r="P33" s="39"/>
      <c r="Q33" s="39"/>
      <c r="R33" s="39"/>
      <c r="S33" s="39"/>
      <c r="T33" s="39"/>
      <c r="U33" s="39"/>
      <c r="V33" s="31"/>
      <c r="W33" s="39">
        <f>+SUM(W2:W31)</f>
        <v>89654416.145770907</v>
      </c>
      <c r="X33" s="47">
        <f>(W33/L33)*100</f>
        <v>3.8427208423035539</v>
      </c>
    </row>
    <row r="35" spans="1:24" s="4" customFormat="1" ht="15" customHeight="1">
      <c r="A35" s="28" t="s">
        <v>647</v>
      </c>
      <c r="B35" s="29">
        <v>3125.21</v>
      </c>
      <c r="C35" s="30" t="s">
        <v>679</v>
      </c>
      <c r="D35" s="2">
        <v>4948180148</v>
      </c>
      <c r="E35" s="2" t="s">
        <v>24</v>
      </c>
      <c r="F35" s="2" t="s">
        <v>680</v>
      </c>
      <c r="G35" s="28" t="s">
        <v>5</v>
      </c>
      <c r="H35" s="2" t="s">
        <v>20</v>
      </c>
      <c r="I35" s="2">
        <v>1</v>
      </c>
      <c r="J35" s="2" t="s">
        <v>681</v>
      </c>
      <c r="K35" s="2">
        <v>15840</v>
      </c>
      <c r="L35" s="35">
        <v>49503326.399999999</v>
      </c>
      <c r="M35" s="36">
        <v>16000</v>
      </c>
      <c r="N35" s="37">
        <v>469416</v>
      </c>
      <c r="O35" s="37">
        <v>318682</v>
      </c>
      <c r="P35" s="37">
        <v>0</v>
      </c>
      <c r="Q35" s="37">
        <v>99309</v>
      </c>
      <c r="R35" s="37">
        <v>624472</v>
      </c>
      <c r="S35" s="37">
        <v>343435</v>
      </c>
      <c r="T35" s="37"/>
      <c r="U35" s="37">
        <v>3913500</v>
      </c>
      <c r="V35" s="37">
        <v>0</v>
      </c>
      <c r="W35" s="45">
        <v>5768814</v>
      </c>
      <c r="X35" s="46">
        <v>11.6533865893909</v>
      </c>
    </row>
    <row r="36" spans="1:24" s="4" customFormat="1" ht="15" customHeight="1">
      <c r="A36" s="28" t="s">
        <v>647</v>
      </c>
      <c r="B36" s="29">
        <v>3125.21</v>
      </c>
      <c r="C36" s="30" t="s">
        <v>684</v>
      </c>
      <c r="D36" s="2">
        <v>4948281188</v>
      </c>
      <c r="E36" s="2" t="s">
        <v>24</v>
      </c>
      <c r="F36" s="2" t="s">
        <v>685</v>
      </c>
      <c r="G36" s="28" t="s">
        <v>5</v>
      </c>
      <c r="H36" s="2" t="s">
        <v>20</v>
      </c>
      <c r="I36" s="2">
        <v>1</v>
      </c>
      <c r="J36" s="2" t="s">
        <v>686</v>
      </c>
      <c r="K36" s="2">
        <v>17760</v>
      </c>
      <c r="L36" s="35">
        <v>55503729.600000001</v>
      </c>
      <c r="M36" s="36">
        <v>12000</v>
      </c>
      <c r="N36" s="37">
        <v>467629</v>
      </c>
      <c r="O36" s="37">
        <v>318682</v>
      </c>
      <c r="P36" s="37">
        <v>0</v>
      </c>
      <c r="Q36" s="37">
        <v>99309</v>
      </c>
      <c r="R36" s="37">
        <v>625065</v>
      </c>
      <c r="S36" s="37">
        <v>343435</v>
      </c>
      <c r="T36" s="37"/>
      <c r="U36" s="37">
        <v>499900</v>
      </c>
      <c r="V36" s="37">
        <v>0</v>
      </c>
      <c r="W36" s="45">
        <v>2354020</v>
      </c>
      <c r="X36" s="46">
        <v>4.2411924693435399</v>
      </c>
    </row>
    <row r="37" spans="1:24" s="4" customFormat="1" ht="15" customHeight="1">
      <c r="A37" s="28" t="s">
        <v>647</v>
      </c>
      <c r="B37" s="29">
        <v>3125.21</v>
      </c>
      <c r="C37" s="30" t="s">
        <v>704</v>
      </c>
      <c r="D37" s="2">
        <v>4948116671</v>
      </c>
      <c r="E37" s="2" t="s">
        <v>24</v>
      </c>
      <c r="F37" s="2" t="s">
        <v>705</v>
      </c>
      <c r="G37" s="28" t="s">
        <v>5</v>
      </c>
      <c r="H37" s="2" t="s">
        <v>26</v>
      </c>
      <c r="I37" s="2">
        <v>1</v>
      </c>
      <c r="J37" s="2" t="s">
        <v>706</v>
      </c>
      <c r="K37" s="2">
        <v>26865.599999999999</v>
      </c>
      <c r="L37" s="35">
        <v>83960641.775999993</v>
      </c>
      <c r="M37" s="36">
        <v>23160</v>
      </c>
      <c r="N37" s="37">
        <v>308109</v>
      </c>
      <c r="O37" s="37">
        <v>374467</v>
      </c>
      <c r="P37" s="37">
        <v>134798</v>
      </c>
      <c r="Q37" s="37">
        <v>102978</v>
      </c>
      <c r="R37" s="37">
        <v>751236</v>
      </c>
      <c r="S37" s="37">
        <v>343435</v>
      </c>
      <c r="T37" s="37"/>
      <c r="U37" s="37">
        <v>2419294</v>
      </c>
      <c r="V37" s="37">
        <v>0</v>
      </c>
      <c r="W37" s="45">
        <v>4434317</v>
      </c>
      <c r="X37" s="46">
        <v>5.2814234219771601</v>
      </c>
    </row>
    <row r="38" spans="1:24" s="4" customFormat="1" ht="15" customHeight="1">
      <c r="A38" s="28" t="s">
        <v>647</v>
      </c>
      <c r="B38" s="29">
        <v>3125.21</v>
      </c>
      <c r="C38" s="30" t="s">
        <v>707</v>
      </c>
      <c r="D38" s="2">
        <v>4947823572</v>
      </c>
      <c r="E38" s="2" t="s">
        <v>24</v>
      </c>
      <c r="F38" s="78" t="s">
        <v>708</v>
      </c>
      <c r="G38" s="28" t="s">
        <v>5</v>
      </c>
      <c r="H38" s="2" t="s">
        <v>26</v>
      </c>
      <c r="I38" s="2">
        <v>1</v>
      </c>
      <c r="J38" s="2" t="s">
        <v>709</v>
      </c>
      <c r="K38" s="2">
        <v>27608</v>
      </c>
      <c r="L38" s="35">
        <v>86280797.680000007</v>
      </c>
      <c r="M38" s="36">
        <v>23800</v>
      </c>
      <c r="N38" s="37">
        <v>310047</v>
      </c>
      <c r="O38" s="37">
        <v>374467</v>
      </c>
      <c r="P38" s="37">
        <v>1368598</v>
      </c>
      <c r="Q38" s="37">
        <v>102978</v>
      </c>
      <c r="R38" s="37">
        <v>756179</v>
      </c>
      <c r="S38" s="37">
        <v>343435</v>
      </c>
      <c r="T38" s="37"/>
      <c r="U38" s="37">
        <v>2419294</v>
      </c>
      <c r="V38" s="37">
        <v>0</v>
      </c>
      <c r="W38" s="45">
        <v>5674998</v>
      </c>
      <c r="X38" s="46">
        <v>6.5773592184990601</v>
      </c>
    </row>
    <row r="39" spans="1:24" s="4" customFormat="1" ht="15" customHeight="1">
      <c r="A39" s="28" t="s">
        <v>647</v>
      </c>
      <c r="B39" s="29">
        <v>3125.21</v>
      </c>
      <c r="C39" s="30" t="s">
        <v>713</v>
      </c>
      <c r="D39" s="2" t="s">
        <v>714</v>
      </c>
      <c r="E39" s="2" t="s">
        <v>24</v>
      </c>
      <c r="F39" s="2" t="s">
        <v>715</v>
      </c>
      <c r="G39" s="28" t="s">
        <v>5</v>
      </c>
      <c r="H39" s="2" t="s">
        <v>17</v>
      </c>
      <c r="I39" s="2">
        <v>1</v>
      </c>
      <c r="J39" s="2" t="s">
        <v>716</v>
      </c>
      <c r="K39" s="2">
        <v>22800</v>
      </c>
      <c r="L39" s="35">
        <v>71254788</v>
      </c>
      <c r="M39" s="36">
        <v>24000</v>
      </c>
      <c r="N39" s="37">
        <v>464334</v>
      </c>
      <c r="O39" s="37">
        <v>358864</v>
      </c>
      <c r="P39" s="37">
        <v>151138</v>
      </c>
      <c r="Q39" s="37">
        <v>102978</v>
      </c>
      <c r="R39" s="37">
        <v>733261</v>
      </c>
      <c r="S39" s="37">
        <v>343435</v>
      </c>
      <c r="T39" s="37"/>
      <c r="U39" s="37">
        <v>4154500</v>
      </c>
      <c r="V39" s="37">
        <v>0</v>
      </c>
      <c r="W39" s="45">
        <v>6308510</v>
      </c>
      <c r="X39" s="46">
        <v>8.8534541706867493</v>
      </c>
    </row>
    <row r="40" spans="1:24" s="4" customFormat="1" ht="15" customHeight="1">
      <c r="A40" s="28" t="s">
        <v>647</v>
      </c>
      <c r="B40" s="29">
        <v>3125.21</v>
      </c>
      <c r="C40" s="30" t="s">
        <v>736</v>
      </c>
      <c r="D40" s="2">
        <v>4948471429</v>
      </c>
      <c r="E40" s="2" t="s">
        <v>24</v>
      </c>
      <c r="F40" s="2" t="s">
        <v>737</v>
      </c>
      <c r="G40" s="28" t="s">
        <v>5</v>
      </c>
      <c r="H40" s="2" t="s">
        <v>17</v>
      </c>
      <c r="I40" s="2">
        <v>1</v>
      </c>
      <c r="J40" s="2" t="s">
        <v>738</v>
      </c>
      <c r="K40" s="2">
        <v>40800</v>
      </c>
      <c r="L40" s="35">
        <v>127508568</v>
      </c>
      <c r="M40" s="36">
        <v>24000</v>
      </c>
      <c r="N40" s="37">
        <v>467321</v>
      </c>
      <c r="O40" s="37">
        <v>362317</v>
      </c>
      <c r="P40" s="37">
        <v>152593</v>
      </c>
      <c r="Q40" s="37">
        <v>103969</v>
      </c>
      <c r="R40" s="37">
        <v>741384</v>
      </c>
      <c r="S40" s="37">
        <v>343435</v>
      </c>
      <c r="T40" s="37"/>
      <c r="U40" s="37">
        <v>2500900</v>
      </c>
      <c r="V40" s="37">
        <v>0</v>
      </c>
      <c r="W40" s="45">
        <v>4671919</v>
      </c>
      <c r="X40" s="46">
        <v>3.66400397501131</v>
      </c>
    </row>
    <row r="41" spans="1:24" s="4" customFormat="1" ht="15" customHeight="1">
      <c r="A41" s="28" t="s">
        <v>647</v>
      </c>
      <c r="B41" s="29">
        <v>3125.21</v>
      </c>
      <c r="C41" s="30" t="s">
        <v>773</v>
      </c>
      <c r="D41" s="2">
        <v>4948492689</v>
      </c>
      <c r="E41" s="2" t="s">
        <v>24</v>
      </c>
      <c r="F41" s="2" t="s">
        <v>774</v>
      </c>
      <c r="G41" s="28" t="s">
        <v>9</v>
      </c>
      <c r="H41" s="2" t="s">
        <v>23</v>
      </c>
      <c r="I41" s="2">
        <v>1</v>
      </c>
      <c r="J41" s="2"/>
      <c r="K41" s="2">
        <v>4269.6000000000004</v>
      </c>
      <c r="L41" s="35">
        <v>13343396.616</v>
      </c>
      <c r="M41" s="36">
        <v>720</v>
      </c>
      <c r="N41" s="37">
        <v>689162</v>
      </c>
      <c r="O41" s="37">
        <v>499</v>
      </c>
      <c r="P41" s="37">
        <v>0</v>
      </c>
      <c r="Q41" s="37">
        <v>15734</v>
      </c>
      <c r="R41" s="37">
        <v>96714</v>
      </c>
      <c r="S41" s="37">
        <v>354356</v>
      </c>
      <c r="T41" s="37"/>
      <c r="U41" s="37">
        <v>1200907.3170731701</v>
      </c>
      <c r="V41" s="37">
        <v>0</v>
      </c>
      <c r="W41" s="45">
        <v>2357372.3170731701</v>
      </c>
      <c r="X41" s="46">
        <v>17.666958308400002</v>
      </c>
    </row>
    <row r="42" spans="1:24" s="4" customFormat="1" ht="15" customHeight="1">
      <c r="A42" s="28" t="s">
        <v>647</v>
      </c>
      <c r="B42" s="29">
        <v>3125.21</v>
      </c>
      <c r="C42" s="30" t="s">
        <v>844</v>
      </c>
      <c r="D42" s="2">
        <v>4948243647</v>
      </c>
      <c r="E42" s="2" t="s">
        <v>24</v>
      </c>
      <c r="F42" s="78" t="s">
        <v>845</v>
      </c>
      <c r="G42" s="28" t="s">
        <v>9</v>
      </c>
      <c r="H42" s="2" t="s">
        <v>23</v>
      </c>
      <c r="I42" s="2">
        <v>2</v>
      </c>
      <c r="J42" s="2"/>
      <c r="K42" s="2">
        <v>3663.2</v>
      </c>
      <c r="L42" s="35">
        <v>11448269.272</v>
      </c>
      <c r="M42" s="36">
        <v>760</v>
      </c>
      <c r="N42" s="40">
        <v>508238.46428571403</v>
      </c>
      <c r="O42" s="40">
        <v>528.607142857143</v>
      </c>
      <c r="P42" s="40">
        <v>10317</v>
      </c>
      <c r="Q42" s="40">
        <v>16527.964285714301</v>
      </c>
      <c r="R42" s="40">
        <v>75968.107142857101</v>
      </c>
      <c r="S42" s="40">
        <v>240455.85714285701</v>
      </c>
      <c r="T42" s="40"/>
      <c r="U42" s="40">
        <v>384703.883495146</v>
      </c>
      <c r="V42" s="40">
        <v>0</v>
      </c>
      <c r="W42" s="45">
        <v>1236739.8834951499</v>
      </c>
      <c r="X42" s="46">
        <v>10.8028545984671</v>
      </c>
    </row>
    <row r="43" spans="1:24" s="4" customFormat="1" ht="15" customHeight="1">
      <c r="A43" s="28" t="s">
        <v>647</v>
      </c>
      <c r="B43" s="29">
        <v>3125.21</v>
      </c>
      <c r="C43" s="30" t="s">
        <v>844</v>
      </c>
      <c r="D43" s="2">
        <v>4948312277</v>
      </c>
      <c r="E43" s="2" t="s">
        <v>24</v>
      </c>
      <c r="F43" s="78" t="s">
        <v>845</v>
      </c>
      <c r="G43" s="28" t="s">
        <v>9</v>
      </c>
      <c r="H43" s="2" t="s">
        <v>23</v>
      </c>
      <c r="I43" s="2">
        <v>2</v>
      </c>
      <c r="J43" s="2"/>
      <c r="K43" s="2">
        <v>2617.1999999999998</v>
      </c>
      <c r="L43" s="35">
        <v>8179299.6119999997</v>
      </c>
      <c r="M43" s="36">
        <v>360</v>
      </c>
      <c r="N43" s="40">
        <v>240744.535714286</v>
      </c>
      <c r="O43" s="40">
        <v>250.392857142857</v>
      </c>
      <c r="P43" s="40">
        <v>4887</v>
      </c>
      <c r="Q43" s="40">
        <v>7829.0357142857101</v>
      </c>
      <c r="R43" s="40">
        <v>35984.892857142899</v>
      </c>
      <c r="S43" s="40">
        <v>113900.142857143</v>
      </c>
      <c r="T43" s="40"/>
      <c r="U43" s="40">
        <v>182228.15533980599</v>
      </c>
      <c r="V43" s="40">
        <v>0</v>
      </c>
      <c r="W43" s="45">
        <v>585824.15533980704</v>
      </c>
      <c r="X43" s="46">
        <v>7.1622777392863002</v>
      </c>
    </row>
    <row r="44" spans="1:24" s="4" customFormat="1" ht="15" customHeight="1">
      <c r="A44" s="28" t="s">
        <v>647</v>
      </c>
      <c r="B44" s="29">
        <v>3125.21</v>
      </c>
      <c r="C44" s="30" t="s">
        <v>858</v>
      </c>
      <c r="D44" s="2">
        <v>4948561426</v>
      </c>
      <c r="E44" s="2" t="s">
        <v>24</v>
      </c>
      <c r="F44" s="78" t="s">
        <v>859</v>
      </c>
      <c r="G44" s="28" t="s">
        <v>9</v>
      </c>
      <c r="H44" s="2" t="s">
        <v>23</v>
      </c>
      <c r="I44" s="2">
        <v>1</v>
      </c>
      <c r="J44" s="2"/>
      <c r="K44" s="2">
        <v>3564.4</v>
      </c>
      <c r="L44" s="35">
        <v>11139498.524</v>
      </c>
      <c r="M44" s="36">
        <v>760</v>
      </c>
      <c r="N44" s="37">
        <v>707808</v>
      </c>
      <c r="O44" s="37">
        <v>1024389</v>
      </c>
      <c r="P44" s="37">
        <v>0</v>
      </c>
      <c r="Q44" s="37">
        <v>360615</v>
      </c>
      <c r="R44" s="37">
        <v>97596</v>
      </c>
      <c r="S44" s="37">
        <v>354356</v>
      </c>
      <c r="T44" s="37"/>
      <c r="U44" s="37">
        <v>408500</v>
      </c>
      <c r="V44" s="37">
        <v>0</v>
      </c>
      <c r="W44" s="45">
        <v>2953264</v>
      </c>
      <c r="X44" s="46">
        <v>26.5116422757919</v>
      </c>
    </row>
    <row r="45" spans="1:24" s="4" customFormat="1" ht="15" customHeight="1">
      <c r="A45" s="28" t="s">
        <v>647</v>
      </c>
      <c r="B45" s="29">
        <v>3125.21</v>
      </c>
      <c r="C45" s="30" t="s">
        <v>872</v>
      </c>
      <c r="D45" s="2">
        <v>4947325455</v>
      </c>
      <c r="E45" s="2" t="s">
        <v>24</v>
      </c>
      <c r="F45" s="2">
        <v>195100017</v>
      </c>
      <c r="G45" s="28" t="s">
        <v>13</v>
      </c>
      <c r="H45" s="2" t="s">
        <v>23</v>
      </c>
      <c r="I45" s="2">
        <v>6</v>
      </c>
      <c r="J45" s="2"/>
      <c r="K45" s="2">
        <v>15947.79</v>
      </c>
      <c r="L45" s="35">
        <v>49840192.785899997</v>
      </c>
      <c r="M45" s="36">
        <v>7</v>
      </c>
      <c r="N45" s="37">
        <v>377169</v>
      </c>
      <c r="O45" s="37">
        <v>0</v>
      </c>
      <c r="P45" s="37">
        <v>0</v>
      </c>
      <c r="Q45" s="37">
        <v>0</v>
      </c>
      <c r="R45" s="37">
        <v>3403</v>
      </c>
      <c r="S45" s="37">
        <v>343435</v>
      </c>
      <c r="T45" s="37"/>
      <c r="U45" s="37">
        <v>246380</v>
      </c>
      <c r="V45" s="37">
        <v>0</v>
      </c>
      <c r="W45" s="45">
        <v>970387</v>
      </c>
      <c r="X45" s="46">
        <v>1.9469968829545301</v>
      </c>
    </row>
    <row r="46" spans="1:24" s="4" customFormat="1" ht="15" customHeight="1">
      <c r="A46" s="28" t="s">
        <v>647</v>
      </c>
      <c r="B46" s="29">
        <v>3125.21</v>
      </c>
      <c r="C46" s="30" t="s">
        <v>913</v>
      </c>
      <c r="D46" s="2">
        <v>4947466172</v>
      </c>
      <c r="E46" s="2" t="s">
        <v>24</v>
      </c>
      <c r="F46" s="2">
        <v>1024631091</v>
      </c>
      <c r="G46" s="28" t="s">
        <v>13</v>
      </c>
      <c r="H46" s="2" t="s">
        <v>23</v>
      </c>
      <c r="I46" s="2">
        <v>2</v>
      </c>
      <c r="J46" s="2"/>
      <c r="K46" s="2">
        <v>28533.15</v>
      </c>
      <c r="L46" s="35">
        <v>89172085.711500004</v>
      </c>
      <c r="M46" s="36">
        <v>60.79</v>
      </c>
      <c r="N46" s="37">
        <v>703656.59</v>
      </c>
      <c r="O46" s="37">
        <v>0</v>
      </c>
      <c r="P46" s="37">
        <v>460584</v>
      </c>
      <c r="Q46" s="37">
        <v>0</v>
      </c>
      <c r="R46" s="37">
        <v>39100</v>
      </c>
      <c r="S46" s="37">
        <v>354356</v>
      </c>
      <c r="T46" s="37"/>
      <c r="U46" s="37">
        <v>246380</v>
      </c>
      <c r="V46" s="37">
        <v>0</v>
      </c>
      <c r="W46" s="45">
        <v>1804076.59</v>
      </c>
      <c r="X46" s="46">
        <v>2.0231405104022802</v>
      </c>
    </row>
    <row r="47" spans="1:24" s="4" customFormat="1" ht="15" customHeight="1">
      <c r="A47" s="28" t="s">
        <v>647</v>
      </c>
      <c r="B47" s="29">
        <v>3125.21</v>
      </c>
      <c r="C47" s="30" t="s">
        <v>914</v>
      </c>
      <c r="D47" s="2">
        <v>4948116683</v>
      </c>
      <c r="E47" s="2" t="s">
        <v>24</v>
      </c>
      <c r="F47" s="2" t="s">
        <v>915</v>
      </c>
      <c r="G47" s="28" t="s">
        <v>5</v>
      </c>
      <c r="H47" s="2" t="s">
        <v>26</v>
      </c>
      <c r="I47" s="2">
        <v>2</v>
      </c>
      <c r="J47" s="2" t="s">
        <v>916</v>
      </c>
      <c r="K47" s="2">
        <v>55656.800000000003</v>
      </c>
      <c r="L47" s="35">
        <v>173939187.928</v>
      </c>
      <c r="M47" s="36">
        <v>47980</v>
      </c>
      <c r="N47" s="37">
        <v>612672</v>
      </c>
      <c r="O47" s="37">
        <v>741456</v>
      </c>
      <c r="P47" s="37">
        <v>424622</v>
      </c>
      <c r="Q47" s="37">
        <v>203900</v>
      </c>
      <c r="R47" s="37">
        <v>1492165</v>
      </c>
      <c r="S47" s="37">
        <v>354356</v>
      </c>
      <c r="T47" s="37"/>
      <c r="U47" s="37">
        <v>4838588</v>
      </c>
      <c r="V47" s="37">
        <v>0</v>
      </c>
      <c r="W47" s="45">
        <v>8667759</v>
      </c>
      <c r="X47" s="46">
        <v>4.9832122957754104</v>
      </c>
    </row>
    <row r="48" spans="1:24" s="4" customFormat="1" ht="15" customHeight="1">
      <c r="A48" s="28" t="s">
        <v>647</v>
      </c>
      <c r="B48" s="29">
        <v>3125.21</v>
      </c>
      <c r="C48" s="30" t="s">
        <v>917</v>
      </c>
      <c r="D48" s="2">
        <v>4948561421</v>
      </c>
      <c r="E48" s="2" t="s">
        <v>24</v>
      </c>
      <c r="F48" s="2" t="s">
        <v>918</v>
      </c>
      <c r="G48" s="28" t="s">
        <v>9</v>
      </c>
      <c r="H48" s="2" t="s">
        <v>23</v>
      </c>
      <c r="I48" s="2">
        <v>3</v>
      </c>
      <c r="J48" s="2"/>
      <c r="K48" s="2">
        <v>4590</v>
      </c>
      <c r="L48" s="35">
        <v>14344713.9</v>
      </c>
      <c r="M48" s="36">
        <v>3000</v>
      </c>
      <c r="N48" s="37">
        <v>600302</v>
      </c>
      <c r="O48" s="37">
        <v>0</v>
      </c>
      <c r="P48" s="37">
        <v>82756</v>
      </c>
      <c r="Q48" s="37">
        <v>46411</v>
      </c>
      <c r="R48" s="37">
        <v>151592</v>
      </c>
      <c r="S48" s="37">
        <v>354356</v>
      </c>
      <c r="T48" s="37"/>
      <c r="U48" s="37">
        <v>557750</v>
      </c>
      <c r="V48" s="37">
        <v>0</v>
      </c>
      <c r="W48" s="45">
        <v>1793167</v>
      </c>
      <c r="X48" s="46">
        <v>12.5005420986472</v>
      </c>
    </row>
    <row r="49" spans="1:24" s="4" customFormat="1" ht="15" customHeight="1">
      <c r="A49" s="28" t="s">
        <v>647</v>
      </c>
      <c r="B49" s="29">
        <v>3125.21</v>
      </c>
      <c r="C49" s="30" t="s">
        <v>942</v>
      </c>
      <c r="D49" s="2">
        <v>4948561422</v>
      </c>
      <c r="E49" s="2" t="s">
        <v>24</v>
      </c>
      <c r="F49" s="2" t="s">
        <v>943</v>
      </c>
      <c r="G49" s="28" t="s">
        <v>9</v>
      </c>
      <c r="H49" s="2" t="s">
        <v>23</v>
      </c>
      <c r="I49" s="2">
        <v>2</v>
      </c>
      <c r="J49" s="2"/>
      <c r="K49" s="2">
        <v>3978</v>
      </c>
      <c r="L49" s="35">
        <v>12432085.380000001</v>
      </c>
      <c r="M49" s="36">
        <v>1020</v>
      </c>
      <c r="N49" s="37">
        <v>640778</v>
      </c>
      <c r="O49" s="37">
        <v>717</v>
      </c>
      <c r="P49" s="37">
        <v>0</v>
      </c>
      <c r="Q49" s="37">
        <v>17345</v>
      </c>
      <c r="R49" s="37">
        <v>98356</v>
      </c>
      <c r="S49" s="37">
        <v>354356</v>
      </c>
      <c r="T49" s="37"/>
      <c r="U49" s="37">
        <v>1367700</v>
      </c>
      <c r="V49" s="37">
        <v>0</v>
      </c>
      <c r="W49" s="45">
        <v>2479252</v>
      </c>
      <c r="X49" s="46">
        <v>19.942366258105601</v>
      </c>
    </row>
    <row r="50" spans="1:24" s="4" customFormat="1" ht="15" customHeight="1">
      <c r="A50" s="28" t="s">
        <v>647</v>
      </c>
      <c r="B50" s="29">
        <v>3125.21</v>
      </c>
      <c r="C50" s="30" t="s">
        <v>1003</v>
      </c>
      <c r="D50" s="2">
        <v>4948796532</v>
      </c>
      <c r="E50" s="2" t="s">
        <v>24</v>
      </c>
      <c r="F50" s="2" t="s">
        <v>1004</v>
      </c>
      <c r="G50" s="28" t="s">
        <v>5</v>
      </c>
      <c r="H50" s="2" t="s">
        <v>26</v>
      </c>
      <c r="I50" s="2">
        <v>1</v>
      </c>
      <c r="J50" s="2" t="s">
        <v>1005</v>
      </c>
      <c r="K50" s="2">
        <v>32498.55</v>
      </c>
      <c r="L50" s="35">
        <v>101564793.4455</v>
      </c>
      <c r="M50" s="36">
        <v>24435</v>
      </c>
      <c r="N50" s="37">
        <v>0</v>
      </c>
      <c r="O50" s="37">
        <v>372313</v>
      </c>
      <c r="P50" s="37">
        <v>213219</v>
      </c>
      <c r="Q50" s="37">
        <v>102386</v>
      </c>
      <c r="R50" s="37">
        <v>747175</v>
      </c>
      <c r="S50" s="37">
        <v>354356</v>
      </c>
      <c r="T50" s="37"/>
      <c r="U50" s="37">
        <v>0</v>
      </c>
      <c r="V50" s="37">
        <v>0</v>
      </c>
      <c r="W50" s="45">
        <v>1789449</v>
      </c>
      <c r="X50" s="46">
        <v>1.76187922930225</v>
      </c>
    </row>
    <row r="51" spans="1:24" s="4" customFormat="1" ht="15" customHeight="1">
      <c r="A51" s="28" t="s">
        <v>647</v>
      </c>
      <c r="B51" s="29">
        <v>3125.21</v>
      </c>
      <c r="C51" s="30" t="s">
        <v>1048</v>
      </c>
      <c r="D51" s="2">
        <v>4948561429</v>
      </c>
      <c r="E51" s="2" t="s">
        <v>24</v>
      </c>
      <c r="F51" s="2" t="s">
        <v>1049</v>
      </c>
      <c r="G51" s="28" t="s">
        <v>5</v>
      </c>
      <c r="H51" s="2" t="s">
        <v>20</v>
      </c>
      <c r="I51" s="2">
        <v>3</v>
      </c>
      <c r="J51" s="2" t="s">
        <v>1050</v>
      </c>
      <c r="K51" s="2">
        <v>31680</v>
      </c>
      <c r="L51" s="35">
        <v>99006652.799999997</v>
      </c>
      <c r="M51" s="36">
        <v>32000</v>
      </c>
      <c r="N51" s="40">
        <v>1067511.4975845399</v>
      </c>
      <c r="O51" s="40">
        <v>730549.17874396103</v>
      </c>
      <c r="P51" s="40">
        <v>1622199.03381643</v>
      </c>
      <c r="Q51" s="40">
        <v>230282.51207729499</v>
      </c>
      <c r="R51" s="40">
        <v>1923863.8454106301</v>
      </c>
      <c r="S51" s="40">
        <v>273898.357487923</v>
      </c>
      <c r="T51" s="40"/>
      <c r="U51" s="40">
        <v>7425314.0096618403</v>
      </c>
      <c r="V51" s="40">
        <v>0</v>
      </c>
      <c r="W51" s="45">
        <v>13273618.4347826</v>
      </c>
      <c r="X51" s="46">
        <v>13.406794452082099</v>
      </c>
    </row>
    <row r="52" spans="1:24" s="4" customFormat="1" ht="15" customHeight="1">
      <c r="A52" s="28" t="s">
        <v>647</v>
      </c>
      <c r="B52" s="29">
        <v>3125.21</v>
      </c>
      <c r="C52" s="30" t="s">
        <v>1048</v>
      </c>
      <c r="D52" s="2">
        <v>4948523520</v>
      </c>
      <c r="E52" s="2" t="s">
        <v>24</v>
      </c>
      <c r="F52" s="2" t="s">
        <v>1049</v>
      </c>
      <c r="G52" s="28" t="s">
        <v>5</v>
      </c>
      <c r="H52" s="2" t="s">
        <v>20</v>
      </c>
      <c r="I52" s="2">
        <v>3</v>
      </c>
      <c r="J52" s="2" t="s">
        <v>1050</v>
      </c>
      <c r="K52" s="2">
        <v>2743.2</v>
      </c>
      <c r="L52" s="35">
        <v>8573076.0720000006</v>
      </c>
      <c r="M52" s="36">
        <v>2160</v>
      </c>
      <c r="N52" s="40">
        <v>72057.026086956495</v>
      </c>
      <c r="O52" s="40">
        <v>49312.069565217404</v>
      </c>
      <c r="P52" s="40">
        <v>109498.43478260899</v>
      </c>
      <c r="Q52" s="40">
        <v>15544.0695652174</v>
      </c>
      <c r="R52" s="40">
        <v>129860.469565217</v>
      </c>
      <c r="S52" s="40">
        <v>18488.1391304348</v>
      </c>
      <c r="T52" s="40"/>
      <c r="U52" s="40">
        <v>501208.69565217401</v>
      </c>
      <c r="V52" s="40">
        <v>0</v>
      </c>
      <c r="W52" s="45">
        <v>895968.90434782603</v>
      </c>
      <c r="X52" s="46">
        <v>10.4509617880809</v>
      </c>
    </row>
    <row r="53" spans="1:24" s="4" customFormat="1" ht="15" customHeight="1">
      <c r="A53" s="28" t="s">
        <v>647</v>
      </c>
      <c r="B53" s="29">
        <v>3125.21</v>
      </c>
      <c r="C53" s="30" t="s">
        <v>1048</v>
      </c>
      <c r="D53" s="2">
        <v>4948561298</v>
      </c>
      <c r="E53" s="2" t="s">
        <v>24</v>
      </c>
      <c r="F53" s="2" t="s">
        <v>1049</v>
      </c>
      <c r="G53" s="28" t="s">
        <v>5</v>
      </c>
      <c r="H53" s="2" t="s">
        <v>20</v>
      </c>
      <c r="I53" s="2">
        <v>3</v>
      </c>
      <c r="J53" s="2" t="s">
        <v>1050</v>
      </c>
      <c r="K53" s="2">
        <v>29756.400000000001</v>
      </c>
      <c r="L53" s="35">
        <v>92994998.843999997</v>
      </c>
      <c r="M53" s="36">
        <v>7240</v>
      </c>
      <c r="N53" s="40">
        <v>241524.476328502</v>
      </c>
      <c r="O53" s="40">
        <v>165286.75169082099</v>
      </c>
      <c r="P53" s="40">
        <v>367022.53140096599</v>
      </c>
      <c r="Q53" s="40">
        <v>52101.418357487899</v>
      </c>
      <c r="R53" s="40">
        <v>435274.68502415501</v>
      </c>
      <c r="S53" s="40">
        <v>61969.503381642498</v>
      </c>
      <c r="T53" s="40"/>
      <c r="U53" s="40">
        <v>1679977.2946859901</v>
      </c>
      <c r="V53" s="40">
        <v>0</v>
      </c>
      <c r="W53" s="45">
        <v>3003156.6608695602</v>
      </c>
      <c r="X53" s="46">
        <v>3.2293743730320199</v>
      </c>
    </row>
    <row r="54" spans="1:24" s="4" customFormat="1" ht="15" customHeight="1">
      <c r="A54" s="28" t="s">
        <v>647</v>
      </c>
      <c r="B54" s="29">
        <v>3125.21</v>
      </c>
      <c r="C54" s="30" t="s">
        <v>1061</v>
      </c>
      <c r="D54" s="2">
        <v>4948561424</v>
      </c>
      <c r="E54" s="2" t="s">
        <v>24</v>
      </c>
      <c r="F54" s="2" t="s">
        <v>1062</v>
      </c>
      <c r="G54" s="28" t="s">
        <v>5</v>
      </c>
      <c r="H54" s="2" t="s">
        <v>17</v>
      </c>
      <c r="I54" s="2">
        <v>1</v>
      </c>
      <c r="J54" s="2" t="s">
        <v>1063</v>
      </c>
      <c r="K54" s="2">
        <v>40800</v>
      </c>
      <c r="L54" s="35">
        <v>127508568</v>
      </c>
      <c r="M54" s="36">
        <v>24000</v>
      </c>
      <c r="N54" s="37">
        <v>461707</v>
      </c>
      <c r="O54" s="37">
        <v>69081</v>
      </c>
      <c r="P54" s="37">
        <v>151721</v>
      </c>
      <c r="Q54" s="37">
        <v>151721</v>
      </c>
      <c r="R54" s="37">
        <v>445970</v>
      </c>
      <c r="S54" s="37">
        <v>354356</v>
      </c>
      <c r="T54" s="37"/>
      <c r="U54" s="37">
        <v>2500900</v>
      </c>
      <c r="V54" s="37">
        <v>0</v>
      </c>
      <c r="W54" s="45">
        <v>4135456</v>
      </c>
      <c r="X54" s="46">
        <v>3.2432769537494899</v>
      </c>
    </row>
    <row r="55" spans="1:24" s="4" customFormat="1" ht="15" customHeight="1">
      <c r="A55" s="28" t="s">
        <v>647</v>
      </c>
      <c r="B55" s="29">
        <v>3125.21</v>
      </c>
      <c r="C55" s="30" t="s">
        <v>1067</v>
      </c>
      <c r="D55" s="2">
        <v>4948560117</v>
      </c>
      <c r="E55" s="2" t="s">
        <v>24</v>
      </c>
      <c r="F55" s="78" t="s">
        <v>1068</v>
      </c>
      <c r="G55" s="28" t="s">
        <v>9</v>
      </c>
      <c r="H55" s="2" t="s">
        <v>23</v>
      </c>
      <c r="I55" s="2">
        <v>2</v>
      </c>
      <c r="J55" s="2"/>
      <c r="K55" s="2">
        <v>3400</v>
      </c>
      <c r="L55" s="35">
        <v>10625714</v>
      </c>
      <c r="M55" s="36">
        <v>2500</v>
      </c>
      <c r="N55" s="40">
        <v>1023853</v>
      </c>
      <c r="O55" s="40">
        <v>1672</v>
      </c>
      <c r="P55" s="40">
        <v>77020</v>
      </c>
      <c r="Q55" s="40">
        <v>40405</v>
      </c>
      <c r="R55" s="40">
        <v>124308</v>
      </c>
      <c r="S55" s="40">
        <v>354356</v>
      </c>
      <c r="T55" s="40"/>
      <c r="U55" s="40">
        <v>1191714.2857142901</v>
      </c>
      <c r="V55" s="40">
        <v>0</v>
      </c>
      <c r="W55" s="45">
        <v>2813328.2857142901</v>
      </c>
      <c r="X55" s="46">
        <v>26.476604637714601</v>
      </c>
    </row>
    <row r="56" spans="1:24" s="4" customFormat="1" ht="15" customHeight="1">
      <c r="A56" s="28" t="s">
        <v>647</v>
      </c>
      <c r="B56" s="29">
        <v>3125.21</v>
      </c>
      <c r="C56" s="30" t="s">
        <v>1072</v>
      </c>
      <c r="D56" s="2">
        <v>4948560114</v>
      </c>
      <c r="E56" s="2" t="s">
        <v>24</v>
      </c>
      <c r="F56" s="2" t="s">
        <v>1073</v>
      </c>
      <c r="G56" s="28" t="s">
        <v>9</v>
      </c>
      <c r="H56" s="2" t="s">
        <v>23</v>
      </c>
      <c r="I56" s="2">
        <v>2</v>
      </c>
      <c r="J56" s="2"/>
      <c r="K56" s="2">
        <v>10135.200000000001</v>
      </c>
      <c r="L56" s="35">
        <v>31674628.392000001</v>
      </c>
      <c r="M56" s="36">
        <v>1640</v>
      </c>
      <c r="N56" s="40">
        <v>678351</v>
      </c>
      <c r="O56" s="40">
        <v>1131</v>
      </c>
      <c r="P56" s="40">
        <v>0</v>
      </c>
      <c r="Q56" s="40">
        <v>27946</v>
      </c>
      <c r="R56" s="40">
        <v>112566</v>
      </c>
      <c r="S56" s="40">
        <v>354356</v>
      </c>
      <c r="T56" s="40"/>
      <c r="U56" s="40">
        <v>1367700</v>
      </c>
      <c r="V56" s="40">
        <v>0</v>
      </c>
      <c r="W56" s="45">
        <v>2542050</v>
      </c>
      <c r="X56" s="46">
        <v>8.0255085191213809</v>
      </c>
    </row>
    <row r="58" spans="1:24" ht="15" customHeight="1">
      <c r="A58" s="31" t="s">
        <v>647</v>
      </c>
      <c r="B58" s="31"/>
      <c r="C58" s="31"/>
      <c r="D58" s="31"/>
      <c r="E58" s="31"/>
      <c r="F58" s="32">
        <v>19</v>
      </c>
      <c r="G58" s="31"/>
      <c r="H58" s="31"/>
      <c r="I58" s="38"/>
      <c r="J58" s="31"/>
      <c r="K58" s="39">
        <f>+SUM(K35:K56)</f>
        <v>425507.09000000008</v>
      </c>
      <c r="L58" s="39">
        <f>+SUM(L35:L56)</f>
        <v>1329799012.7388999</v>
      </c>
      <c r="M58" s="31"/>
      <c r="N58" s="39"/>
      <c r="O58" s="39"/>
      <c r="P58" s="39"/>
      <c r="Q58" s="39"/>
      <c r="R58" s="39"/>
      <c r="S58" s="39"/>
      <c r="T58" s="39"/>
      <c r="U58" s="39"/>
      <c r="V58" s="31"/>
      <c r="W58" s="39">
        <f>+SUM(W35:W56)</f>
        <v>80513447.231622383</v>
      </c>
      <c r="X58" s="47">
        <f>(W58/L58)*100</f>
        <v>6.054557603091772</v>
      </c>
    </row>
    <row r="60" spans="1:24" s="4" customFormat="1" ht="15" customHeight="1">
      <c r="A60" s="28" t="s">
        <v>1109</v>
      </c>
      <c r="B60" s="29">
        <v>3106.0650000000001</v>
      </c>
      <c r="C60" s="30" t="s">
        <v>1133</v>
      </c>
      <c r="D60" s="2">
        <v>4948559176</v>
      </c>
      <c r="E60" s="2" t="s">
        <v>24</v>
      </c>
      <c r="F60" s="78" t="s">
        <v>1134</v>
      </c>
      <c r="G60" s="28" t="s">
        <v>9</v>
      </c>
      <c r="H60" s="2" t="s">
        <v>23</v>
      </c>
      <c r="I60" s="2">
        <v>1</v>
      </c>
      <c r="J60" s="2"/>
      <c r="K60" s="2">
        <v>11268.4</v>
      </c>
      <c r="L60" s="35">
        <v>35000382.846000001</v>
      </c>
      <c r="M60" s="36">
        <v>440</v>
      </c>
      <c r="N60" s="40">
        <v>40149.5</v>
      </c>
      <c r="O60" s="40">
        <v>314.41666666666703</v>
      </c>
      <c r="P60" s="40">
        <v>0</v>
      </c>
      <c r="Q60" s="40">
        <v>7512.0833333333303</v>
      </c>
      <c r="R60" s="40">
        <v>7346.5833333333303</v>
      </c>
      <c r="S60" s="40">
        <v>29529.666666666701</v>
      </c>
      <c r="T60" s="40"/>
      <c r="U60" s="40">
        <v>173791.66666666701</v>
      </c>
      <c r="V60" s="40">
        <v>0</v>
      </c>
      <c r="W60" s="45">
        <v>258643.91666666701</v>
      </c>
      <c r="X60" s="46">
        <v>0.73897453580633099</v>
      </c>
    </row>
    <row r="61" spans="1:24" s="4" customFormat="1" ht="15" customHeight="1">
      <c r="A61" s="28" t="s">
        <v>1109</v>
      </c>
      <c r="B61" s="29">
        <v>3106.0650000000001</v>
      </c>
      <c r="C61" s="30" t="s">
        <v>1133</v>
      </c>
      <c r="D61" s="2">
        <v>4948734663</v>
      </c>
      <c r="E61" s="2" t="s">
        <v>24</v>
      </c>
      <c r="F61" s="78" t="s">
        <v>1134</v>
      </c>
      <c r="G61" s="28" t="s">
        <v>9</v>
      </c>
      <c r="H61" s="2" t="s">
        <v>23</v>
      </c>
      <c r="I61" s="2">
        <v>1</v>
      </c>
      <c r="J61" s="2"/>
      <c r="K61" s="2">
        <v>704</v>
      </c>
      <c r="L61" s="35">
        <v>2186669.7599999998</v>
      </c>
      <c r="M61" s="36">
        <v>40</v>
      </c>
      <c r="N61" s="40">
        <v>441644.5</v>
      </c>
      <c r="O61" s="40">
        <v>28.5833333333333</v>
      </c>
      <c r="P61" s="40">
        <v>0</v>
      </c>
      <c r="Q61" s="40">
        <v>682.91666666666697</v>
      </c>
      <c r="R61" s="40">
        <v>80812.416666666701</v>
      </c>
      <c r="S61" s="40">
        <v>324826.33333333302</v>
      </c>
      <c r="T61" s="40"/>
      <c r="U61" s="40">
        <v>1911708.33333333</v>
      </c>
      <c r="V61" s="40">
        <v>0</v>
      </c>
      <c r="W61" s="45">
        <v>2759703.0833333302</v>
      </c>
      <c r="X61" s="46">
        <v>126.205755154054</v>
      </c>
    </row>
    <row r="62" spans="1:24" s="4" customFormat="1" ht="15" customHeight="1">
      <c r="A62" s="28" t="s">
        <v>1109</v>
      </c>
      <c r="B62" s="29">
        <v>3106.0650000000001</v>
      </c>
      <c r="C62" s="30" t="s">
        <v>1150</v>
      </c>
      <c r="D62" s="2">
        <v>4949470462</v>
      </c>
      <c r="E62" s="2" t="s">
        <v>24</v>
      </c>
      <c r="F62" s="78" t="s">
        <v>1151</v>
      </c>
      <c r="G62" s="28" t="s">
        <v>13</v>
      </c>
      <c r="H62" s="2" t="s">
        <v>23</v>
      </c>
      <c r="I62" s="2">
        <v>1</v>
      </c>
      <c r="J62" s="2"/>
      <c r="K62" s="2">
        <v>760.85</v>
      </c>
      <c r="L62" s="35">
        <v>2363249.5552500002</v>
      </c>
      <c r="M62" s="36">
        <v>217.72</v>
      </c>
      <c r="N62" s="40">
        <v>533155</v>
      </c>
      <c r="O62" s="40">
        <v>0</v>
      </c>
      <c r="P62" s="40">
        <v>0</v>
      </c>
      <c r="Q62" s="40">
        <v>0</v>
      </c>
      <c r="R62" s="40">
        <v>6390</v>
      </c>
      <c r="S62" s="40">
        <v>354356</v>
      </c>
      <c r="T62" s="40"/>
      <c r="U62" s="40">
        <v>246380</v>
      </c>
      <c r="V62" s="40">
        <v>0</v>
      </c>
      <c r="W62" s="45">
        <v>1140281</v>
      </c>
      <c r="X62" s="46">
        <v>48.250553881068001</v>
      </c>
    </row>
    <row r="63" spans="1:24" s="4" customFormat="1" ht="15" customHeight="1">
      <c r="A63" s="28" t="s">
        <v>1109</v>
      </c>
      <c r="B63" s="29">
        <v>3106.0650000000001</v>
      </c>
      <c r="C63" s="30" t="s">
        <v>1181</v>
      </c>
      <c r="D63" s="2">
        <v>4949100395</v>
      </c>
      <c r="E63" s="2" t="s">
        <v>24</v>
      </c>
      <c r="F63" s="78" t="s">
        <v>1182</v>
      </c>
      <c r="G63" s="28" t="s">
        <v>9</v>
      </c>
      <c r="H63" s="2" t="s">
        <v>23</v>
      </c>
      <c r="I63" s="2">
        <v>2</v>
      </c>
      <c r="J63" s="2"/>
      <c r="K63" s="2">
        <v>7601.4</v>
      </c>
      <c r="L63" s="35">
        <v>23610442.491</v>
      </c>
      <c r="M63" s="36">
        <v>1230</v>
      </c>
      <c r="N63" s="40">
        <v>670644</v>
      </c>
      <c r="O63" s="40">
        <v>867</v>
      </c>
      <c r="P63" s="40">
        <v>0</v>
      </c>
      <c r="Q63" s="40">
        <v>21364</v>
      </c>
      <c r="R63" s="40">
        <v>105661</v>
      </c>
      <c r="S63" s="40">
        <v>354356</v>
      </c>
      <c r="T63" s="40"/>
      <c r="U63" s="40">
        <v>845362.31155778898</v>
      </c>
      <c r="V63" s="40">
        <v>0</v>
      </c>
      <c r="W63" s="45">
        <v>1998254.31155779</v>
      </c>
      <c r="X63" s="46">
        <v>8.46343439907786</v>
      </c>
    </row>
    <row r="64" spans="1:24" s="4" customFormat="1" ht="15" customHeight="1">
      <c r="A64" s="28" t="s">
        <v>1109</v>
      </c>
      <c r="B64" s="29">
        <v>3106.0650000000001</v>
      </c>
      <c r="C64" s="30" t="s">
        <v>1200</v>
      </c>
      <c r="D64" s="2">
        <v>4949100872</v>
      </c>
      <c r="E64" s="2" t="s">
        <v>24</v>
      </c>
      <c r="F64" s="2" t="s">
        <v>1201</v>
      </c>
      <c r="G64" s="28" t="s">
        <v>5</v>
      </c>
      <c r="H64" s="2" t="s">
        <v>17</v>
      </c>
      <c r="I64" s="2">
        <v>2</v>
      </c>
      <c r="J64" s="2" t="s">
        <v>1202</v>
      </c>
      <c r="K64" s="2">
        <v>81600</v>
      </c>
      <c r="L64" s="35">
        <v>253454904</v>
      </c>
      <c r="M64" s="36">
        <v>48000</v>
      </c>
      <c r="N64" s="40">
        <v>923836</v>
      </c>
      <c r="O64" s="40">
        <v>715367</v>
      </c>
      <c r="P64" s="40">
        <v>301282</v>
      </c>
      <c r="Q64" s="40">
        <v>205279</v>
      </c>
      <c r="R64" s="40">
        <v>1469006</v>
      </c>
      <c r="S64" s="40">
        <v>354356</v>
      </c>
      <c r="T64" s="40"/>
      <c r="U64" s="40">
        <v>5001800</v>
      </c>
      <c r="V64" s="40">
        <v>0</v>
      </c>
      <c r="W64" s="45">
        <v>8970926</v>
      </c>
      <c r="X64" s="46">
        <v>3.5394564707258498</v>
      </c>
    </row>
    <row r="65" spans="1:24" s="4" customFormat="1" ht="15" customHeight="1">
      <c r="A65" s="28" t="s">
        <v>1109</v>
      </c>
      <c r="B65" s="29">
        <v>3106.0650000000001</v>
      </c>
      <c r="C65" s="30" t="s">
        <v>1203</v>
      </c>
      <c r="D65" s="2">
        <v>4948559155</v>
      </c>
      <c r="E65" s="2" t="s">
        <v>24</v>
      </c>
      <c r="F65" s="2" t="s">
        <v>1204</v>
      </c>
      <c r="G65" s="28" t="s">
        <v>5</v>
      </c>
      <c r="H65" s="2" t="s">
        <v>26</v>
      </c>
      <c r="I65" s="2">
        <v>2</v>
      </c>
      <c r="J65" s="2" t="s">
        <v>1205</v>
      </c>
      <c r="K65" s="2">
        <v>54891.199999999997</v>
      </c>
      <c r="L65" s="35">
        <v>170495635.12799999</v>
      </c>
      <c r="M65" s="36">
        <v>47320</v>
      </c>
      <c r="N65" s="40">
        <v>623071</v>
      </c>
      <c r="O65" s="40">
        <v>672260</v>
      </c>
      <c r="P65" s="40">
        <v>0</v>
      </c>
      <c r="Q65" s="40">
        <v>207332</v>
      </c>
      <c r="R65" s="40">
        <v>1426699</v>
      </c>
      <c r="S65" s="40">
        <v>354356</v>
      </c>
      <c r="T65" s="40"/>
      <c r="U65" s="40">
        <v>4838588</v>
      </c>
      <c r="V65" s="40">
        <v>0</v>
      </c>
      <c r="W65" s="45">
        <v>8122306</v>
      </c>
      <c r="X65" s="46">
        <v>4.7639377945964201</v>
      </c>
    </row>
    <row r="66" spans="1:24" s="4" customFormat="1" ht="15" customHeight="1">
      <c r="A66" s="28" t="s">
        <v>1109</v>
      </c>
      <c r="B66" s="29">
        <v>3106.0650000000001</v>
      </c>
      <c r="C66" s="30" t="s">
        <v>1242</v>
      </c>
      <c r="D66" s="2">
        <v>4948561419</v>
      </c>
      <c r="E66" s="2" t="s">
        <v>24</v>
      </c>
      <c r="F66" s="2" t="s">
        <v>1243</v>
      </c>
      <c r="G66" s="28" t="s">
        <v>9</v>
      </c>
      <c r="H66" s="2" t="s">
        <v>23</v>
      </c>
      <c r="I66" s="2">
        <v>4</v>
      </c>
      <c r="J66" s="2"/>
      <c r="K66" s="2">
        <v>5600</v>
      </c>
      <c r="L66" s="35">
        <v>17393964</v>
      </c>
      <c r="M66" s="36">
        <v>3200</v>
      </c>
      <c r="N66" s="40">
        <v>684630</v>
      </c>
      <c r="O66" s="40">
        <v>293126</v>
      </c>
      <c r="P66" s="40">
        <v>354794</v>
      </c>
      <c r="Q66" s="40">
        <v>149681</v>
      </c>
      <c r="R66" s="40">
        <v>523887</v>
      </c>
      <c r="S66" s="40">
        <v>354356</v>
      </c>
      <c r="T66" s="40"/>
      <c r="U66" s="40">
        <v>557750</v>
      </c>
      <c r="V66" s="40">
        <v>0</v>
      </c>
      <c r="W66" s="45">
        <v>2918224</v>
      </c>
      <c r="X66" s="46">
        <v>16.777222259399899</v>
      </c>
    </row>
    <row r="67" spans="1:24" s="4" customFormat="1" ht="15" customHeight="1">
      <c r="A67" s="28" t="s">
        <v>1109</v>
      </c>
      <c r="B67" s="29">
        <v>3106.0650000000001</v>
      </c>
      <c r="C67" s="30" t="s">
        <v>1306</v>
      </c>
      <c r="D67" s="2">
        <v>4948559160</v>
      </c>
      <c r="E67" s="2" t="s">
        <v>24</v>
      </c>
      <c r="F67" s="78" t="s">
        <v>1307</v>
      </c>
      <c r="G67" s="28" t="s">
        <v>5</v>
      </c>
      <c r="H67" s="2" t="s">
        <v>20</v>
      </c>
      <c r="I67" s="2">
        <v>1</v>
      </c>
      <c r="J67" s="2" t="s">
        <v>1308</v>
      </c>
      <c r="K67" s="2">
        <v>1680</v>
      </c>
      <c r="L67" s="35">
        <v>5218189.2</v>
      </c>
      <c r="M67" s="36">
        <v>375</v>
      </c>
      <c r="N67" s="40">
        <v>48428.303198887297</v>
      </c>
      <c r="O67" s="40">
        <v>32871.070931849797</v>
      </c>
      <c r="P67" s="40">
        <v>0</v>
      </c>
      <c r="Q67" s="40">
        <v>10359.0751043115</v>
      </c>
      <c r="R67" s="40">
        <v>76076.916550764901</v>
      </c>
      <c r="S67" s="40">
        <v>36963.421418637001</v>
      </c>
      <c r="T67" s="40"/>
      <c r="U67" s="40">
        <v>273191.93324061198</v>
      </c>
      <c r="V67" s="40">
        <v>0</v>
      </c>
      <c r="W67" s="45">
        <v>477890.72044506198</v>
      </c>
      <c r="X67" s="46">
        <v>9.1581715826835595</v>
      </c>
    </row>
    <row r="68" spans="1:24" s="4" customFormat="1" ht="15" customHeight="1">
      <c r="A68" s="28" t="s">
        <v>1109</v>
      </c>
      <c r="B68" s="29">
        <v>3106.0650000000001</v>
      </c>
      <c r="C68" s="30" t="s">
        <v>1376</v>
      </c>
      <c r="D68" s="2">
        <v>4949627406</v>
      </c>
      <c r="E68" s="2" t="s">
        <v>24</v>
      </c>
      <c r="F68" s="78" t="s">
        <v>1377</v>
      </c>
      <c r="G68" s="28" t="s">
        <v>13</v>
      </c>
      <c r="H68" s="2" t="s">
        <v>23</v>
      </c>
      <c r="I68" s="2">
        <v>1</v>
      </c>
      <c r="J68" s="2"/>
      <c r="K68" s="2">
        <v>592.38</v>
      </c>
      <c r="L68" s="35">
        <v>1839970.7847</v>
      </c>
      <c r="M68" s="36">
        <v>217.72399999999999</v>
      </c>
      <c r="N68" s="40">
        <v>556635</v>
      </c>
      <c r="O68" s="40">
        <v>0</v>
      </c>
      <c r="P68" s="40">
        <v>0</v>
      </c>
      <c r="Q68" s="40">
        <v>0</v>
      </c>
      <c r="R68" s="40">
        <v>6712</v>
      </c>
      <c r="S68" s="40">
        <v>354356</v>
      </c>
      <c r="T68" s="40"/>
      <c r="U68" s="40">
        <v>75795.305488046099</v>
      </c>
      <c r="V68" s="40">
        <v>0</v>
      </c>
      <c r="W68" s="45">
        <v>993498.30548804603</v>
      </c>
      <c r="X68" s="46">
        <v>53.995330455751301</v>
      </c>
    </row>
    <row r="69" spans="1:24" s="4" customFormat="1" ht="15" customHeight="1">
      <c r="A69" s="28" t="s">
        <v>1109</v>
      </c>
      <c r="B69" s="29">
        <v>3106.0650000000001</v>
      </c>
      <c r="C69" s="30" t="s">
        <v>1394</v>
      </c>
      <c r="D69" s="2">
        <v>4949099751</v>
      </c>
      <c r="E69" s="2" t="s">
        <v>24</v>
      </c>
      <c r="F69" s="2" t="s">
        <v>1395</v>
      </c>
      <c r="G69" s="28" t="s">
        <v>9</v>
      </c>
      <c r="H69" s="2" t="s">
        <v>23</v>
      </c>
      <c r="I69" s="2">
        <v>3</v>
      </c>
      <c r="J69" s="2"/>
      <c r="K69" s="2">
        <v>9859.85</v>
      </c>
      <c r="L69" s="35">
        <v>30625334.990249999</v>
      </c>
      <c r="M69" s="36">
        <v>385</v>
      </c>
      <c r="N69" s="40">
        <v>204418.29491525399</v>
      </c>
      <c r="O69" s="40">
        <v>268.84745762711901</v>
      </c>
      <c r="P69" s="40">
        <v>0</v>
      </c>
      <c r="Q69" s="40">
        <v>8390.3898305084695</v>
      </c>
      <c r="R69" s="40">
        <v>32131.186440678001</v>
      </c>
      <c r="S69" s="40">
        <v>92492.9220338983</v>
      </c>
      <c r="T69" s="40"/>
      <c r="U69" s="40">
        <v>340941.61358811002</v>
      </c>
      <c r="V69" s="40">
        <v>0</v>
      </c>
      <c r="W69" s="45">
        <v>678643.25426607602</v>
      </c>
      <c r="X69" s="46">
        <v>2.21595373399877</v>
      </c>
    </row>
    <row r="70" spans="1:24" s="4" customFormat="1" ht="15" customHeight="1">
      <c r="A70" s="28" t="s">
        <v>1109</v>
      </c>
      <c r="B70" s="29">
        <v>3106.0650000000001</v>
      </c>
      <c r="C70" s="30" t="s">
        <v>1394</v>
      </c>
      <c r="D70" s="2">
        <v>4949100876</v>
      </c>
      <c r="E70" s="2" t="s">
        <v>24</v>
      </c>
      <c r="F70" s="2" t="s">
        <v>1395</v>
      </c>
      <c r="G70" s="28" t="s">
        <v>9</v>
      </c>
      <c r="H70" s="2" t="s">
        <v>23</v>
      </c>
      <c r="I70" s="2">
        <v>3</v>
      </c>
      <c r="J70" s="2"/>
      <c r="K70" s="2">
        <v>8451.2999999999993</v>
      </c>
      <c r="L70" s="35">
        <v>26250287.134500001</v>
      </c>
      <c r="M70" s="36">
        <v>330</v>
      </c>
      <c r="N70" s="40">
        <v>175215.681355932</v>
      </c>
      <c r="O70" s="40">
        <v>230.44067796610199</v>
      </c>
      <c r="P70" s="40">
        <v>0</v>
      </c>
      <c r="Q70" s="40">
        <v>7191.7627118644104</v>
      </c>
      <c r="R70" s="40">
        <v>27541.016949152501</v>
      </c>
      <c r="S70" s="40">
        <v>79279.647457627099</v>
      </c>
      <c r="T70" s="40"/>
      <c r="U70" s="40">
        <v>292235.66878980899</v>
      </c>
      <c r="V70" s="40">
        <v>0</v>
      </c>
      <c r="W70" s="45">
        <v>581694.21794235101</v>
      </c>
      <c r="X70" s="46">
        <v>2.21595373399877</v>
      </c>
    </row>
    <row r="71" spans="1:24" s="4" customFormat="1" ht="15" customHeight="1">
      <c r="A71" s="28" t="s">
        <v>1109</v>
      </c>
      <c r="B71" s="29">
        <v>3106.0650000000001</v>
      </c>
      <c r="C71" s="30" t="s">
        <v>1394</v>
      </c>
      <c r="D71" s="2">
        <v>4949100400</v>
      </c>
      <c r="E71" s="2" t="s">
        <v>24</v>
      </c>
      <c r="F71" s="2" t="s">
        <v>1395</v>
      </c>
      <c r="G71" s="28" t="s">
        <v>9</v>
      </c>
      <c r="H71" s="2" t="s">
        <v>23</v>
      </c>
      <c r="I71" s="2">
        <v>3</v>
      </c>
      <c r="J71" s="2"/>
      <c r="K71" s="2">
        <v>3564.4</v>
      </c>
      <c r="L71" s="35">
        <v>11071258.085999999</v>
      </c>
      <c r="M71" s="36">
        <v>760</v>
      </c>
      <c r="N71" s="40">
        <v>403527.02372881398</v>
      </c>
      <c r="O71" s="40">
        <v>530.71186440678002</v>
      </c>
      <c r="P71" s="40">
        <v>0</v>
      </c>
      <c r="Q71" s="40">
        <v>16562.8474576271</v>
      </c>
      <c r="R71" s="40">
        <v>63427.796610169498</v>
      </c>
      <c r="S71" s="40">
        <v>182583.43050847499</v>
      </c>
      <c r="T71" s="40"/>
      <c r="U71" s="40">
        <v>673027.60084925697</v>
      </c>
      <c r="V71" s="40">
        <v>0</v>
      </c>
      <c r="W71" s="45">
        <v>1339659.4110187499</v>
      </c>
      <c r="X71" s="46">
        <v>12.1003358481255</v>
      </c>
    </row>
    <row r="72" spans="1:24" s="4" customFormat="1" ht="15" customHeight="1">
      <c r="A72" s="28" t="s">
        <v>1109</v>
      </c>
      <c r="B72" s="29">
        <v>3106.0650000000001</v>
      </c>
      <c r="C72" s="30" t="s">
        <v>1422</v>
      </c>
      <c r="D72" s="2">
        <v>4949100380</v>
      </c>
      <c r="E72" s="2" t="s">
        <v>24</v>
      </c>
      <c r="F72" s="78" t="s">
        <v>1423</v>
      </c>
      <c r="G72" s="28" t="s">
        <v>5</v>
      </c>
      <c r="H72" s="2" t="s">
        <v>32</v>
      </c>
      <c r="I72" s="2">
        <v>1</v>
      </c>
      <c r="J72" s="2" t="s">
        <v>1424</v>
      </c>
      <c r="K72" s="2">
        <v>4590</v>
      </c>
      <c r="L72" s="35">
        <v>14256838.35</v>
      </c>
      <c r="M72" s="36">
        <v>3000</v>
      </c>
      <c r="N72" s="40">
        <v>130787.08333333299</v>
      </c>
      <c r="O72" s="40">
        <v>129719.58333333299</v>
      </c>
      <c r="P72" s="40">
        <v>0</v>
      </c>
      <c r="Q72" s="40">
        <v>41378.75</v>
      </c>
      <c r="R72" s="40">
        <v>460010.08333333302</v>
      </c>
      <c r="S72" s="40">
        <v>147648.33333333299</v>
      </c>
      <c r="T72" s="40"/>
      <c r="U72" s="40">
        <v>1203208.33333333</v>
      </c>
      <c r="V72" s="40">
        <v>0</v>
      </c>
      <c r="W72" s="45">
        <v>2112752.16666666</v>
      </c>
      <c r="X72" s="46">
        <v>14.819219484709</v>
      </c>
    </row>
    <row r="73" spans="1:24" s="4" customFormat="1" ht="15" customHeight="1">
      <c r="A73" s="28" t="s">
        <v>1109</v>
      </c>
      <c r="B73" s="29">
        <v>3106.0650000000001</v>
      </c>
      <c r="C73" s="30" t="s">
        <v>1431</v>
      </c>
      <c r="D73" s="2">
        <v>4948561297</v>
      </c>
      <c r="E73" s="2" t="s">
        <v>24</v>
      </c>
      <c r="F73" s="2" t="s">
        <v>1432</v>
      </c>
      <c r="G73" s="28" t="s">
        <v>9</v>
      </c>
      <c r="H73" s="2" t="s">
        <v>23</v>
      </c>
      <c r="I73" s="2">
        <v>1</v>
      </c>
      <c r="J73" s="2"/>
      <c r="K73" s="2">
        <v>615.6</v>
      </c>
      <c r="L73" s="35">
        <v>1912093.6140000001</v>
      </c>
      <c r="M73" s="36">
        <v>180</v>
      </c>
      <c r="N73" s="40">
        <v>645823</v>
      </c>
      <c r="O73" s="40">
        <v>126</v>
      </c>
      <c r="P73" s="40">
        <v>0</v>
      </c>
      <c r="Q73" s="40">
        <v>4300</v>
      </c>
      <c r="R73" s="40">
        <v>84686</v>
      </c>
      <c r="S73" s="40">
        <v>354356</v>
      </c>
      <c r="T73" s="40"/>
      <c r="U73" s="40">
        <v>315623.07692307699</v>
      </c>
      <c r="V73" s="40">
        <v>0</v>
      </c>
      <c r="W73" s="45">
        <v>1404914.07692308</v>
      </c>
      <c r="X73" s="46">
        <v>73.475172273813001</v>
      </c>
    </row>
    <row r="74" spans="1:24" s="4" customFormat="1" ht="15" customHeight="1">
      <c r="A74" s="28" t="s">
        <v>1109</v>
      </c>
      <c r="B74" s="29">
        <v>3106.0650000000001</v>
      </c>
      <c r="C74" s="30" t="s">
        <v>1436</v>
      </c>
      <c r="D74" s="2">
        <v>4947648342</v>
      </c>
      <c r="E74" s="2" t="s">
        <v>24</v>
      </c>
      <c r="F74" s="2" t="s">
        <v>1437</v>
      </c>
      <c r="G74" s="28" t="s">
        <v>9</v>
      </c>
      <c r="H74" s="2" t="s">
        <v>23</v>
      </c>
      <c r="I74" s="2">
        <v>3</v>
      </c>
      <c r="J74" s="2"/>
      <c r="K74" s="2">
        <v>3382.4</v>
      </c>
      <c r="L74" s="35">
        <v>10505954.255999999</v>
      </c>
      <c r="M74" s="36">
        <v>1120</v>
      </c>
      <c r="N74" s="40">
        <v>716939</v>
      </c>
      <c r="O74" s="40">
        <v>791</v>
      </c>
      <c r="P74" s="40">
        <v>0</v>
      </c>
      <c r="Q74" s="40">
        <v>18902</v>
      </c>
      <c r="R74" s="40">
        <v>100299</v>
      </c>
      <c r="S74" s="40">
        <v>354356</v>
      </c>
      <c r="T74" s="40"/>
      <c r="U74" s="40">
        <v>858735.29411764699</v>
      </c>
      <c r="V74" s="40">
        <v>0</v>
      </c>
      <c r="W74" s="45">
        <v>2050022.29411765</v>
      </c>
      <c r="X74" s="46">
        <v>19.512956597415901</v>
      </c>
    </row>
    <row r="75" spans="1:24" s="4" customFormat="1" ht="15" customHeight="1">
      <c r="A75" s="28" t="s">
        <v>1109</v>
      </c>
      <c r="B75" s="29">
        <v>3106.0650000000001</v>
      </c>
      <c r="C75" s="30" t="s">
        <v>1577</v>
      </c>
      <c r="D75" s="2">
        <v>4949251496</v>
      </c>
      <c r="E75" s="2" t="s">
        <v>24</v>
      </c>
      <c r="F75" s="2" t="s">
        <v>1578</v>
      </c>
      <c r="G75" s="28" t="s">
        <v>9</v>
      </c>
      <c r="H75" s="2" t="s">
        <v>23</v>
      </c>
      <c r="I75" s="2">
        <v>2</v>
      </c>
      <c r="J75" s="2"/>
      <c r="K75" s="2">
        <v>11697.7</v>
      </c>
      <c r="L75" s="35">
        <v>36333816.550499998</v>
      </c>
      <c r="M75" s="36">
        <v>1190</v>
      </c>
      <c r="N75" s="40">
        <v>662228.15107913699</v>
      </c>
      <c r="O75" s="40">
        <v>861.25179856115096</v>
      </c>
      <c r="P75" s="40">
        <v>16474.2230215827</v>
      </c>
      <c r="Q75" s="40">
        <v>26169.726618705001</v>
      </c>
      <c r="R75" s="40">
        <v>101409.402877698</v>
      </c>
      <c r="S75" s="40">
        <v>303369.52517985599</v>
      </c>
      <c r="T75" s="40"/>
      <c r="U75" s="40">
        <v>1170908.6330935301</v>
      </c>
      <c r="V75" s="40">
        <v>0</v>
      </c>
      <c r="W75" s="45">
        <v>2281420.9136690702</v>
      </c>
      <c r="X75" s="46">
        <v>6.2790566207052496</v>
      </c>
    </row>
    <row r="76" spans="1:24" s="4" customFormat="1" ht="15" customHeight="1">
      <c r="A76" s="28" t="s">
        <v>1109</v>
      </c>
      <c r="B76" s="29">
        <v>3106.0650000000001</v>
      </c>
      <c r="C76" s="30" t="s">
        <v>1577</v>
      </c>
      <c r="D76" s="2">
        <v>4949098588</v>
      </c>
      <c r="E76" s="2" t="s">
        <v>24</v>
      </c>
      <c r="F76" s="2" t="s">
        <v>1578</v>
      </c>
      <c r="G76" s="28" t="s">
        <v>9</v>
      </c>
      <c r="H76" s="2" t="s">
        <v>23</v>
      </c>
      <c r="I76" s="2">
        <v>2</v>
      </c>
      <c r="J76" s="2"/>
      <c r="K76" s="2">
        <v>3422</v>
      </c>
      <c r="L76" s="35">
        <v>10628954.43</v>
      </c>
      <c r="M76" s="36">
        <v>200</v>
      </c>
      <c r="N76" s="40">
        <v>111298.84892086301</v>
      </c>
      <c r="O76" s="40">
        <v>144.74820143884901</v>
      </c>
      <c r="P76" s="40">
        <v>2768.7769784172701</v>
      </c>
      <c r="Q76" s="40">
        <v>4398.27338129496</v>
      </c>
      <c r="R76" s="40">
        <v>17043.597122302199</v>
      </c>
      <c r="S76" s="40">
        <v>50986.4748201439</v>
      </c>
      <c r="T76" s="40"/>
      <c r="U76" s="40">
        <v>196791.36690647501</v>
      </c>
      <c r="V76" s="40">
        <v>0</v>
      </c>
      <c r="W76" s="45">
        <v>383432.08633093501</v>
      </c>
      <c r="X76" s="46">
        <v>3.6074299580089102</v>
      </c>
    </row>
    <row r="78" spans="1:24" ht="15" customHeight="1">
      <c r="A78" s="31" t="s">
        <v>1109</v>
      </c>
      <c r="B78" s="31"/>
      <c r="C78" s="31"/>
      <c r="D78" s="31"/>
      <c r="E78" s="31"/>
      <c r="F78" s="32">
        <v>13</v>
      </c>
      <c r="G78" s="31"/>
      <c r="H78" s="31"/>
      <c r="I78" s="38"/>
      <c r="J78" s="31"/>
      <c r="K78" s="39">
        <f>+SUM(K60:K76)</f>
        <v>210281.47999999998</v>
      </c>
      <c r="L78" s="39">
        <f>+SUM(L60:L76)</f>
        <v>653147945.17619991</v>
      </c>
      <c r="M78" s="31"/>
      <c r="N78" s="39"/>
      <c r="O78" s="39"/>
      <c r="P78" s="39"/>
      <c r="Q78" s="39"/>
      <c r="R78" s="39"/>
      <c r="S78" s="39"/>
      <c r="T78" s="39"/>
      <c r="U78" s="39"/>
      <c r="V78" s="31"/>
      <c r="W78" s="39">
        <f>+SUM(W60:W76)</f>
        <v>38472265.758425474</v>
      </c>
      <c r="X78" s="47">
        <f>(W78/L78)*100</f>
        <v>5.8902835173196175</v>
      </c>
    </row>
    <row r="80" spans="1:24" s="4" customFormat="1" ht="15" customHeight="1">
      <c r="A80" s="28" t="s">
        <v>1603</v>
      </c>
      <c r="B80" s="29">
        <v>3149.63</v>
      </c>
      <c r="C80" s="30" t="s">
        <v>1608</v>
      </c>
      <c r="D80" s="2">
        <v>4949355681</v>
      </c>
      <c r="E80" s="2" t="s">
        <v>24</v>
      </c>
      <c r="F80" s="2" t="s">
        <v>1609</v>
      </c>
      <c r="G80" s="28" t="s">
        <v>5</v>
      </c>
      <c r="H80" s="2" t="s">
        <v>26</v>
      </c>
      <c r="I80" s="2">
        <v>2</v>
      </c>
      <c r="J80" s="2" t="s">
        <v>1610</v>
      </c>
      <c r="K80" s="2">
        <v>63148.4</v>
      </c>
      <c r="L80" s="35">
        <v>198894095.09200001</v>
      </c>
      <c r="M80" s="36">
        <v>47480</v>
      </c>
      <c r="N80" s="40">
        <v>0</v>
      </c>
      <c r="O80" s="40">
        <v>749587</v>
      </c>
      <c r="P80" s="40">
        <v>269832</v>
      </c>
      <c r="Q80" s="40">
        <v>218630</v>
      </c>
      <c r="R80" s="40">
        <v>1528392</v>
      </c>
      <c r="S80" s="40">
        <v>354356</v>
      </c>
      <c r="T80" s="40"/>
      <c r="U80" s="40">
        <v>0</v>
      </c>
      <c r="V80" s="40">
        <v>0</v>
      </c>
      <c r="W80" s="45">
        <v>3120797</v>
      </c>
      <c r="X80" s="46">
        <v>1.5690747372648</v>
      </c>
    </row>
    <row r="81" spans="1:24" s="4" customFormat="1" ht="15" customHeight="1">
      <c r="A81" s="28" t="s">
        <v>1603</v>
      </c>
      <c r="B81" s="29">
        <v>3149.63</v>
      </c>
      <c r="C81" s="30" t="s">
        <v>1611</v>
      </c>
      <c r="D81" s="2">
        <v>4949816212</v>
      </c>
      <c r="E81" s="2" t="s">
        <v>24</v>
      </c>
      <c r="F81" s="2" t="s">
        <v>1612</v>
      </c>
      <c r="G81" s="28" t="s">
        <v>5</v>
      </c>
      <c r="H81" s="2" t="s">
        <v>26</v>
      </c>
      <c r="I81" s="2">
        <v>1</v>
      </c>
      <c r="J81" s="2" t="s">
        <v>1613</v>
      </c>
      <c r="K81" s="2">
        <v>32199.3</v>
      </c>
      <c r="L81" s="35">
        <v>101415881.259</v>
      </c>
      <c r="M81" s="36">
        <v>24210</v>
      </c>
      <c r="N81" s="40">
        <v>0</v>
      </c>
      <c r="O81" s="40">
        <v>374794</v>
      </c>
      <c r="P81" s="40">
        <v>134916</v>
      </c>
      <c r="Q81" s="40">
        <v>109315</v>
      </c>
      <c r="R81" s="40">
        <v>764217</v>
      </c>
      <c r="S81" s="40">
        <v>354356</v>
      </c>
      <c r="T81" s="40"/>
      <c r="U81" s="40">
        <v>0</v>
      </c>
      <c r="V81" s="40">
        <v>0</v>
      </c>
      <c r="W81" s="45">
        <v>1737598</v>
      </c>
      <c r="X81" s="46">
        <v>1.71333915204311</v>
      </c>
    </row>
    <row r="82" spans="1:24" s="4" customFormat="1" ht="15" customHeight="1">
      <c r="A82" s="28" t="s">
        <v>1603</v>
      </c>
      <c r="B82" s="29">
        <v>3149.63</v>
      </c>
      <c r="C82" s="30" t="s">
        <v>1614</v>
      </c>
      <c r="D82" s="2">
        <v>4949599812</v>
      </c>
      <c r="E82" s="2" t="s">
        <v>24</v>
      </c>
      <c r="F82" s="2" t="s">
        <v>1615</v>
      </c>
      <c r="G82" s="28" t="s">
        <v>5</v>
      </c>
      <c r="H82" s="2" t="s">
        <v>26</v>
      </c>
      <c r="I82" s="2">
        <v>2</v>
      </c>
      <c r="J82" s="2" t="s">
        <v>1616</v>
      </c>
      <c r="K82" s="2">
        <v>64465.1</v>
      </c>
      <c r="L82" s="35">
        <v>203041212.91299999</v>
      </c>
      <c r="M82" s="36">
        <v>48470</v>
      </c>
      <c r="N82" s="40">
        <v>0</v>
      </c>
      <c r="O82" s="40">
        <v>749587</v>
      </c>
      <c r="P82" s="40">
        <v>269833</v>
      </c>
      <c r="Q82" s="40">
        <v>218630</v>
      </c>
      <c r="R82" s="40">
        <v>1522432</v>
      </c>
      <c r="S82" s="40">
        <v>354356</v>
      </c>
      <c r="T82" s="40"/>
      <c r="U82" s="40">
        <v>0</v>
      </c>
      <c r="V82" s="40">
        <v>0</v>
      </c>
      <c r="W82" s="45">
        <v>3114838</v>
      </c>
      <c r="X82" s="46">
        <v>1.5340915055184701</v>
      </c>
    </row>
    <row r="83" spans="1:24" s="4" customFormat="1" ht="15" customHeight="1">
      <c r="A83" s="28" t="s">
        <v>1603</v>
      </c>
      <c r="B83" s="29">
        <v>3149.63</v>
      </c>
      <c r="C83" s="30" t="s">
        <v>1662</v>
      </c>
      <c r="D83" s="2">
        <v>4949627408</v>
      </c>
      <c r="E83" s="2" t="s">
        <v>24</v>
      </c>
      <c r="F83" s="2" t="s">
        <v>1663</v>
      </c>
      <c r="G83" s="28" t="s">
        <v>9</v>
      </c>
      <c r="H83" s="2" t="s">
        <v>23</v>
      </c>
      <c r="I83" s="2">
        <v>3</v>
      </c>
      <c r="J83" s="2"/>
      <c r="K83" s="2">
        <v>17119.439999999999</v>
      </c>
      <c r="L83" s="35">
        <v>53919901.8072</v>
      </c>
      <c r="M83" s="36">
        <v>2232</v>
      </c>
      <c r="N83" s="40">
        <v>754091</v>
      </c>
      <c r="O83" s="40">
        <v>1604</v>
      </c>
      <c r="P83" s="40">
        <v>0</v>
      </c>
      <c r="Q83" s="40">
        <v>39396</v>
      </c>
      <c r="R83" s="40">
        <v>124833</v>
      </c>
      <c r="S83" s="40">
        <v>354356</v>
      </c>
      <c r="T83" s="40"/>
      <c r="U83" s="40">
        <v>888157.98511734395</v>
      </c>
      <c r="V83" s="40">
        <v>0</v>
      </c>
      <c r="W83" s="45">
        <v>2162437.98511734</v>
      </c>
      <c r="X83" s="46">
        <v>4.0104635072399004</v>
      </c>
    </row>
    <row r="84" spans="1:24" s="4" customFormat="1" ht="15" customHeight="1">
      <c r="A84" s="28" t="s">
        <v>1603</v>
      </c>
      <c r="B84" s="29">
        <v>3149.63</v>
      </c>
      <c r="C84" s="30" t="s">
        <v>1728</v>
      </c>
      <c r="D84" s="2">
        <v>4949590156</v>
      </c>
      <c r="E84" s="2" t="s">
        <v>24</v>
      </c>
      <c r="F84" s="2" t="s">
        <v>1729</v>
      </c>
      <c r="G84" s="28" t="s">
        <v>9</v>
      </c>
      <c r="H84" s="2" t="s">
        <v>23</v>
      </c>
      <c r="I84" s="2">
        <v>2</v>
      </c>
      <c r="J84" s="2"/>
      <c r="K84" s="2">
        <v>7601.4</v>
      </c>
      <c r="L84" s="35">
        <v>23941597.482000001</v>
      </c>
      <c r="M84" s="36">
        <v>1230</v>
      </c>
      <c r="N84" s="40">
        <v>662396</v>
      </c>
      <c r="O84" s="40">
        <v>881</v>
      </c>
      <c r="P84" s="40">
        <v>0</v>
      </c>
      <c r="Q84" s="40">
        <v>21350</v>
      </c>
      <c r="R84" s="40">
        <v>105629</v>
      </c>
      <c r="S84" s="40">
        <v>354356</v>
      </c>
      <c r="T84" s="40"/>
      <c r="U84" s="40">
        <v>489441.90040068701</v>
      </c>
      <c r="V84" s="40">
        <v>0</v>
      </c>
      <c r="W84" s="45">
        <v>1634053.90040069</v>
      </c>
      <c r="X84" s="46">
        <v>6.8251665396564203</v>
      </c>
    </row>
    <row r="85" spans="1:24" s="4" customFormat="1" ht="15" customHeight="1">
      <c r="A85" s="28" t="s">
        <v>1603</v>
      </c>
      <c r="B85" s="29">
        <v>3149.63</v>
      </c>
      <c r="C85" s="30" t="s">
        <v>1730</v>
      </c>
      <c r="D85" s="2">
        <v>4949570841</v>
      </c>
      <c r="E85" s="2" t="s">
        <v>24</v>
      </c>
      <c r="F85" s="2" t="s">
        <v>1731</v>
      </c>
      <c r="G85" s="28" t="s">
        <v>5</v>
      </c>
      <c r="H85" s="2" t="s">
        <v>17</v>
      </c>
      <c r="I85" s="2">
        <v>1</v>
      </c>
      <c r="J85" s="2" t="s">
        <v>1732</v>
      </c>
      <c r="K85" s="2">
        <v>15840</v>
      </c>
      <c r="L85" s="35">
        <v>49890139.200000003</v>
      </c>
      <c r="M85" s="36">
        <v>16000</v>
      </c>
      <c r="N85" s="40">
        <v>314409</v>
      </c>
      <c r="O85" s="40">
        <v>429032</v>
      </c>
      <c r="P85" s="40">
        <v>0</v>
      </c>
      <c r="Q85" s="40">
        <v>99309</v>
      </c>
      <c r="R85" s="40">
        <v>621908</v>
      </c>
      <c r="S85" s="40">
        <v>354356</v>
      </c>
      <c r="T85" s="40"/>
      <c r="U85" s="40">
        <v>5446550</v>
      </c>
      <c r="V85" s="40">
        <v>0</v>
      </c>
      <c r="W85" s="45">
        <v>7265564</v>
      </c>
      <c r="X85" s="46">
        <v>14.5631263341915</v>
      </c>
    </row>
    <row r="86" spans="1:24" s="4" customFormat="1" ht="15" customHeight="1">
      <c r="A86" s="28" t="s">
        <v>1603</v>
      </c>
      <c r="B86" s="29">
        <v>3149.63</v>
      </c>
      <c r="C86" s="30" t="s">
        <v>1736</v>
      </c>
      <c r="D86" s="2">
        <v>4949724157</v>
      </c>
      <c r="E86" s="2" t="s">
        <v>24</v>
      </c>
      <c r="F86" s="2" t="s">
        <v>1737</v>
      </c>
      <c r="G86" s="28" t="s">
        <v>5</v>
      </c>
      <c r="H86" s="2" t="s">
        <v>20</v>
      </c>
      <c r="I86" s="2">
        <v>1</v>
      </c>
      <c r="J86" s="2" t="s">
        <v>1738</v>
      </c>
      <c r="K86" s="2">
        <v>2177.2800000000002</v>
      </c>
      <c r="L86" s="35">
        <v>6857626.4063999997</v>
      </c>
      <c r="M86" s="36">
        <v>3402</v>
      </c>
      <c r="N86" s="40">
        <v>119270.625</v>
      </c>
      <c r="O86" s="40">
        <v>122638.125</v>
      </c>
      <c r="P86" s="40">
        <v>0</v>
      </c>
      <c r="Q86" s="40">
        <v>37240.875</v>
      </c>
      <c r="R86" s="40">
        <v>232331.25</v>
      </c>
      <c r="S86" s="40">
        <v>132883.5</v>
      </c>
      <c r="T86" s="40"/>
      <c r="U86" s="52">
        <v>1087612.5</v>
      </c>
      <c r="V86" s="52">
        <v>0</v>
      </c>
      <c r="W86" s="45">
        <v>1731976.875</v>
      </c>
      <c r="X86" s="46">
        <v>25.256215086076999</v>
      </c>
    </row>
    <row r="87" spans="1:24" s="4" customFormat="1" ht="15" customHeight="1">
      <c r="A87" s="28" t="s">
        <v>1603</v>
      </c>
      <c r="B87" s="29">
        <v>3149.63</v>
      </c>
      <c r="C87" s="30" t="s">
        <v>1736</v>
      </c>
      <c r="D87" s="2">
        <v>4949662475</v>
      </c>
      <c r="E87" s="2" t="s">
        <v>24</v>
      </c>
      <c r="F87" s="2" t="s">
        <v>1737</v>
      </c>
      <c r="G87" s="28" t="s">
        <v>5</v>
      </c>
      <c r="H87" s="2" t="s">
        <v>20</v>
      </c>
      <c r="I87" s="2">
        <v>1</v>
      </c>
      <c r="J87" s="2" t="s">
        <v>1738</v>
      </c>
      <c r="K87" s="2">
        <v>4422.6000000000004</v>
      </c>
      <c r="L87" s="35">
        <v>13929553.638</v>
      </c>
      <c r="M87" s="36">
        <v>5670</v>
      </c>
      <c r="N87" s="40">
        <v>198784.375</v>
      </c>
      <c r="O87" s="40">
        <v>204396.875</v>
      </c>
      <c r="P87" s="40">
        <v>0</v>
      </c>
      <c r="Q87" s="40">
        <v>62068.125</v>
      </c>
      <c r="R87" s="40">
        <v>387218.75</v>
      </c>
      <c r="S87" s="40">
        <v>221472.5</v>
      </c>
      <c r="T87" s="40"/>
      <c r="U87" s="52">
        <v>1812687.5</v>
      </c>
      <c r="V87" s="52">
        <v>0</v>
      </c>
      <c r="W87" s="45">
        <v>2886628.125</v>
      </c>
      <c r="X87" s="46">
        <v>20.723048275755499</v>
      </c>
    </row>
    <row r="88" spans="1:24" s="4" customFormat="1" ht="15" customHeight="1">
      <c r="A88" s="28" t="s">
        <v>1603</v>
      </c>
      <c r="B88" s="29">
        <v>3149.63</v>
      </c>
      <c r="C88" s="30" t="s">
        <v>1742</v>
      </c>
      <c r="D88" s="2">
        <v>4948561423</v>
      </c>
      <c r="E88" s="2" t="s">
        <v>24</v>
      </c>
      <c r="F88" s="2" t="s">
        <v>1743</v>
      </c>
      <c r="G88" s="28" t="s">
        <v>9</v>
      </c>
      <c r="H88" s="2" t="s">
        <v>23</v>
      </c>
      <c r="I88" s="2">
        <v>2</v>
      </c>
      <c r="J88" s="2"/>
      <c r="K88" s="2">
        <v>3483.58</v>
      </c>
      <c r="L88" s="35">
        <v>10971988.0754</v>
      </c>
      <c r="M88" s="36">
        <v>1741.7919999999999</v>
      </c>
      <c r="N88" s="40">
        <v>693690</v>
      </c>
      <c r="O88" s="40">
        <v>0</v>
      </c>
      <c r="P88" s="40">
        <v>63876</v>
      </c>
      <c r="Q88" s="40">
        <v>88414</v>
      </c>
      <c r="R88" s="40">
        <v>189462</v>
      </c>
      <c r="S88" s="40">
        <v>354356</v>
      </c>
      <c r="T88" s="40"/>
      <c r="U88" s="40">
        <v>557750</v>
      </c>
      <c r="V88" s="40">
        <v>0</v>
      </c>
      <c r="W88" s="45">
        <v>1947548</v>
      </c>
      <c r="X88" s="46">
        <v>17.750183345227502</v>
      </c>
    </row>
    <row r="89" spans="1:24" s="4" customFormat="1" ht="15" customHeight="1">
      <c r="A89" s="28" t="s">
        <v>1603</v>
      </c>
      <c r="B89" s="29">
        <v>3149.63</v>
      </c>
      <c r="C89" s="30" t="s">
        <v>1746</v>
      </c>
      <c r="D89" s="2">
        <v>4949100373</v>
      </c>
      <c r="E89" s="2" t="s">
        <v>24</v>
      </c>
      <c r="F89" s="78" t="s">
        <v>1747</v>
      </c>
      <c r="G89" s="28" t="s">
        <v>5</v>
      </c>
      <c r="H89" s="2" t="s">
        <v>26</v>
      </c>
      <c r="I89" s="2">
        <v>1</v>
      </c>
      <c r="J89" s="2" t="s">
        <v>1748</v>
      </c>
      <c r="K89" s="2">
        <v>26610.400000000001</v>
      </c>
      <c r="L89" s="35">
        <v>83812914.151999995</v>
      </c>
      <c r="M89" s="36">
        <v>22940</v>
      </c>
      <c r="N89" s="40">
        <v>308665</v>
      </c>
      <c r="O89" s="40">
        <v>377466</v>
      </c>
      <c r="P89" s="40">
        <v>135878</v>
      </c>
      <c r="Q89" s="40">
        <v>110094</v>
      </c>
      <c r="R89" s="40">
        <v>769482</v>
      </c>
      <c r="S89" s="40">
        <v>354356</v>
      </c>
      <c r="T89" s="40"/>
      <c r="U89" s="40">
        <v>2419294</v>
      </c>
      <c r="V89" s="40">
        <v>0</v>
      </c>
      <c r="W89" s="45">
        <v>4475235</v>
      </c>
      <c r="X89" s="46">
        <v>5.3395530334190298</v>
      </c>
    </row>
    <row r="90" spans="1:24" s="4" customFormat="1" ht="15" customHeight="1">
      <c r="A90" s="28" t="s">
        <v>1603</v>
      </c>
      <c r="B90" s="29">
        <v>3149.63</v>
      </c>
      <c r="C90" s="30" t="s">
        <v>1752</v>
      </c>
      <c r="D90" s="2">
        <v>4949100334</v>
      </c>
      <c r="E90" s="2" t="s">
        <v>24</v>
      </c>
      <c r="F90" s="2" t="s">
        <v>1753</v>
      </c>
      <c r="G90" s="28" t="s">
        <v>5</v>
      </c>
      <c r="H90" s="2" t="s">
        <v>26</v>
      </c>
      <c r="I90" s="2">
        <v>1</v>
      </c>
      <c r="J90" s="2" t="s">
        <v>1754</v>
      </c>
      <c r="K90" s="2">
        <v>27515.200000000001</v>
      </c>
      <c r="L90" s="35">
        <v>86662699.376000002</v>
      </c>
      <c r="M90" s="36">
        <v>23720</v>
      </c>
      <c r="N90" s="40">
        <v>308664</v>
      </c>
      <c r="O90" s="40">
        <v>377466</v>
      </c>
      <c r="P90" s="40">
        <v>135878</v>
      </c>
      <c r="Q90" s="40">
        <v>110094</v>
      </c>
      <c r="R90" s="40">
        <v>769452</v>
      </c>
      <c r="S90" s="40">
        <v>354356</v>
      </c>
      <c r="T90" s="40"/>
      <c r="U90" s="40">
        <v>2419294</v>
      </c>
      <c r="V90" s="40">
        <v>0</v>
      </c>
      <c r="W90" s="45">
        <v>4475204</v>
      </c>
      <c r="X90" s="46">
        <v>5.1639333095125597</v>
      </c>
    </row>
    <row r="91" spans="1:24" s="4" customFormat="1" ht="15" customHeight="1">
      <c r="A91" s="28" t="s">
        <v>1603</v>
      </c>
      <c r="B91" s="29">
        <v>3149.63</v>
      </c>
      <c r="C91" s="30" t="s">
        <v>1758</v>
      </c>
      <c r="D91" s="2">
        <v>4948561427</v>
      </c>
      <c r="E91" s="2" t="s">
        <v>24</v>
      </c>
      <c r="F91" s="2" t="s">
        <v>1759</v>
      </c>
      <c r="G91" s="28" t="s">
        <v>9</v>
      </c>
      <c r="H91" s="2" t="s">
        <v>23</v>
      </c>
      <c r="I91" s="2">
        <v>4</v>
      </c>
      <c r="J91" s="2"/>
      <c r="K91" s="2">
        <v>6653.65</v>
      </c>
      <c r="L91" s="35">
        <v>20956535.649500001</v>
      </c>
      <c r="M91" s="36">
        <v>3483.5839999999998</v>
      </c>
      <c r="N91" s="40">
        <v>852578</v>
      </c>
      <c r="O91" s="40">
        <v>0</v>
      </c>
      <c r="P91" s="40">
        <v>127720</v>
      </c>
      <c r="Q91" s="40">
        <v>88414</v>
      </c>
      <c r="R91" s="40">
        <v>192917</v>
      </c>
      <c r="S91" s="40">
        <v>354356</v>
      </c>
      <c r="T91" s="40"/>
      <c r="U91" s="40">
        <v>557750</v>
      </c>
      <c r="V91" s="40">
        <v>0</v>
      </c>
      <c r="W91" s="45">
        <v>2173735</v>
      </c>
      <c r="X91" s="46">
        <v>10.372587513298599</v>
      </c>
    </row>
    <row r="92" spans="1:24" s="4" customFormat="1" ht="15" customHeight="1">
      <c r="A92" s="28" t="s">
        <v>1603</v>
      </c>
      <c r="B92" s="29">
        <v>3149.63</v>
      </c>
      <c r="C92" s="30" t="s">
        <v>1853</v>
      </c>
      <c r="D92" s="2">
        <v>4949570839</v>
      </c>
      <c r="E92" s="2" t="s">
        <v>24</v>
      </c>
      <c r="F92" s="2" t="s">
        <v>1854</v>
      </c>
      <c r="G92" s="28" t="s">
        <v>9</v>
      </c>
      <c r="H92" s="2" t="s">
        <v>23</v>
      </c>
      <c r="I92" s="2">
        <v>1</v>
      </c>
      <c r="J92" s="2"/>
      <c r="K92" s="2">
        <v>663</v>
      </c>
      <c r="L92" s="35">
        <v>2088204.69</v>
      </c>
      <c r="M92" s="36">
        <v>170</v>
      </c>
      <c r="N92" s="40">
        <v>648329</v>
      </c>
      <c r="O92" s="40">
        <v>127</v>
      </c>
      <c r="P92" s="40">
        <v>1978</v>
      </c>
      <c r="Q92" s="40">
        <v>3150</v>
      </c>
      <c r="R92" s="40">
        <v>82727</v>
      </c>
      <c r="S92" s="40">
        <v>354356</v>
      </c>
      <c r="T92" s="40"/>
      <c r="U92" s="40">
        <v>89079.145728643198</v>
      </c>
      <c r="V92" s="40">
        <v>0</v>
      </c>
      <c r="W92" s="45">
        <v>1179746.14572864</v>
      </c>
      <c r="X92" s="46">
        <v>56.495713824330302</v>
      </c>
    </row>
    <row r="93" spans="1:24" s="4" customFormat="1" ht="15" customHeight="1">
      <c r="A93" s="28" t="s">
        <v>1603</v>
      </c>
      <c r="B93" s="29">
        <v>3149.63</v>
      </c>
      <c r="C93" s="30" t="s">
        <v>1861</v>
      </c>
      <c r="D93" s="2">
        <v>4949098585</v>
      </c>
      <c r="E93" s="2" t="s">
        <v>24</v>
      </c>
      <c r="F93" s="2" t="s">
        <v>1862</v>
      </c>
      <c r="G93" s="28" t="s">
        <v>9</v>
      </c>
      <c r="H93" s="2" t="s">
        <v>23</v>
      </c>
      <c r="I93" s="2">
        <v>1</v>
      </c>
      <c r="J93" s="2"/>
      <c r="K93" s="2">
        <v>576</v>
      </c>
      <c r="L93" s="35">
        <v>1814186.88</v>
      </c>
      <c r="M93" s="36">
        <v>320</v>
      </c>
      <c r="N93" s="40">
        <v>648329</v>
      </c>
      <c r="O93" s="40">
        <v>222</v>
      </c>
      <c r="P93" s="40">
        <v>3574</v>
      </c>
      <c r="Q93" s="40">
        <v>5593</v>
      </c>
      <c r="R93" s="40">
        <v>85365</v>
      </c>
      <c r="S93" s="40">
        <v>354356</v>
      </c>
      <c r="T93" s="40"/>
      <c r="U93" s="40">
        <v>167678.39195979899</v>
      </c>
      <c r="V93" s="40">
        <v>0</v>
      </c>
      <c r="W93" s="45">
        <v>1265117.3919597999</v>
      </c>
      <c r="X93" s="46">
        <v>69.734678709604594</v>
      </c>
    </row>
    <row r="94" spans="1:24" s="4" customFormat="1" ht="15" customHeight="1">
      <c r="A94" s="28" t="s">
        <v>1603</v>
      </c>
      <c r="B94" s="29">
        <v>3149.63</v>
      </c>
      <c r="C94" s="30" t="s">
        <v>1887</v>
      </c>
      <c r="D94" s="2">
        <v>4949570840</v>
      </c>
      <c r="E94" s="2" t="s">
        <v>24</v>
      </c>
      <c r="F94" s="2" t="s">
        <v>1888</v>
      </c>
      <c r="G94" s="28" t="s">
        <v>9</v>
      </c>
      <c r="H94" s="2" t="s">
        <v>23</v>
      </c>
      <c r="I94" s="2">
        <v>3</v>
      </c>
      <c r="J94" s="2"/>
      <c r="K94" s="2">
        <v>8911</v>
      </c>
      <c r="L94" s="35">
        <v>28066352.93</v>
      </c>
      <c r="M94" s="36">
        <v>1900</v>
      </c>
      <c r="N94" s="40">
        <v>731257.24604966096</v>
      </c>
      <c r="O94" s="40">
        <v>1361.30925507901</v>
      </c>
      <c r="P94" s="40">
        <v>26249.164785552999</v>
      </c>
      <c r="Q94" s="40">
        <v>41178.961625282202</v>
      </c>
      <c r="R94" s="40">
        <v>120075.711060948</v>
      </c>
      <c r="S94" s="40">
        <v>303962.257336343</v>
      </c>
      <c r="T94" s="40"/>
      <c r="U94" s="40">
        <v>995590.45226130704</v>
      </c>
      <c r="V94" s="40">
        <v>0</v>
      </c>
      <c r="W94" s="45">
        <v>2219675.10237417</v>
      </c>
      <c r="X94" s="46">
        <v>7.9086695300605703</v>
      </c>
    </row>
    <row r="95" spans="1:24" s="4" customFormat="1" ht="15" customHeight="1">
      <c r="A95" s="28" t="s">
        <v>1603</v>
      </c>
      <c r="B95" s="29">
        <v>3149.63</v>
      </c>
      <c r="C95" s="30" t="s">
        <v>1887</v>
      </c>
      <c r="D95" s="2">
        <v>4949627016</v>
      </c>
      <c r="E95" s="2" t="s">
        <v>24</v>
      </c>
      <c r="F95" s="2" t="s">
        <v>1888</v>
      </c>
      <c r="G95" s="28" t="s">
        <v>9</v>
      </c>
      <c r="H95" s="2" t="s">
        <v>23</v>
      </c>
      <c r="I95" s="2">
        <v>3</v>
      </c>
      <c r="J95" s="2"/>
      <c r="K95" s="2">
        <v>1108.8</v>
      </c>
      <c r="L95" s="35">
        <v>3492309.7439999999</v>
      </c>
      <c r="M95" s="36">
        <v>180</v>
      </c>
      <c r="N95" s="40">
        <v>69277.002257336295</v>
      </c>
      <c r="O95" s="40">
        <v>128.96613995485299</v>
      </c>
      <c r="P95" s="40">
        <v>2486.7629796839701</v>
      </c>
      <c r="Q95" s="40">
        <v>3901.16478555305</v>
      </c>
      <c r="R95" s="40">
        <v>11375.593679458199</v>
      </c>
      <c r="S95" s="40">
        <v>28796.4243792325</v>
      </c>
      <c r="T95" s="40"/>
      <c r="U95" s="40">
        <v>94319.095477386902</v>
      </c>
      <c r="V95" s="40">
        <v>0</v>
      </c>
      <c r="W95" s="45">
        <v>210285.00969860601</v>
      </c>
      <c r="X95" s="46">
        <v>6.0213733922052102</v>
      </c>
    </row>
    <row r="96" spans="1:24" s="4" customFormat="1" ht="15" customHeight="1">
      <c r="A96" s="28" t="s">
        <v>1603</v>
      </c>
      <c r="B96" s="29">
        <v>3149.63</v>
      </c>
      <c r="C96" s="30" t="s">
        <v>1887</v>
      </c>
      <c r="D96" s="2">
        <v>4949596127</v>
      </c>
      <c r="E96" s="2" t="s">
        <v>24</v>
      </c>
      <c r="F96" s="2" t="s">
        <v>1888</v>
      </c>
      <c r="G96" s="28" t="s">
        <v>9</v>
      </c>
      <c r="H96" s="2" t="s">
        <v>23</v>
      </c>
      <c r="I96" s="2">
        <v>3</v>
      </c>
      <c r="J96" s="2"/>
      <c r="K96" s="2">
        <v>1166.4000000000001</v>
      </c>
      <c r="L96" s="35">
        <v>3673728.432</v>
      </c>
      <c r="M96" s="36">
        <v>135</v>
      </c>
      <c r="N96" s="40">
        <v>51957.751693002298</v>
      </c>
      <c r="O96" s="40">
        <v>96.724604966140006</v>
      </c>
      <c r="P96" s="40">
        <v>1865.0722347629801</v>
      </c>
      <c r="Q96" s="40">
        <v>2925.8735891647898</v>
      </c>
      <c r="R96" s="40">
        <v>8531.69525959368</v>
      </c>
      <c r="S96" s="40">
        <v>21597.3182844244</v>
      </c>
      <c r="T96" s="40"/>
      <c r="U96" s="40">
        <v>70739.321608040205</v>
      </c>
      <c r="V96" s="40">
        <v>0</v>
      </c>
      <c r="W96" s="45">
        <v>157713.75727395501</v>
      </c>
      <c r="X96" s="46">
        <v>4.2930162148129796</v>
      </c>
    </row>
    <row r="97" spans="1:24" s="4" customFormat="1" ht="15" customHeight="1">
      <c r="A97" s="28" t="s">
        <v>1603</v>
      </c>
      <c r="B97" s="29">
        <v>3149.63</v>
      </c>
      <c r="C97" s="30" t="s">
        <v>1898</v>
      </c>
      <c r="D97" s="2">
        <v>4949570838</v>
      </c>
      <c r="E97" s="2" t="s">
        <v>24</v>
      </c>
      <c r="F97" s="2" t="s">
        <v>1899</v>
      </c>
      <c r="G97" s="28" t="s">
        <v>9</v>
      </c>
      <c r="H97" s="2" t="s">
        <v>23</v>
      </c>
      <c r="I97" s="2">
        <v>4</v>
      </c>
      <c r="J97" s="2"/>
      <c r="K97" s="2">
        <v>10414.74</v>
      </c>
      <c r="L97" s="35">
        <v>32802577.5462</v>
      </c>
      <c r="M97" s="36">
        <v>2534</v>
      </c>
      <c r="N97" s="40">
        <v>495997</v>
      </c>
      <c r="O97" s="40">
        <v>1795</v>
      </c>
      <c r="P97" s="40">
        <v>0</v>
      </c>
      <c r="Q97" s="40">
        <v>46213</v>
      </c>
      <c r="R97" s="40">
        <v>123699</v>
      </c>
      <c r="S97" s="40">
        <v>354356</v>
      </c>
      <c r="T97" s="40"/>
      <c r="U97" s="40">
        <v>1367700</v>
      </c>
      <c r="V97" s="40">
        <v>0</v>
      </c>
      <c r="W97" s="45">
        <v>2389760</v>
      </c>
      <c r="X97" s="46">
        <v>7.2852811540013898</v>
      </c>
    </row>
    <row r="98" spans="1:24" s="4" customFormat="1" ht="15" customHeight="1">
      <c r="A98" s="28" t="s">
        <v>1603</v>
      </c>
      <c r="B98" s="29">
        <v>3149.63</v>
      </c>
      <c r="C98" s="30" t="s">
        <v>1930</v>
      </c>
      <c r="D98" s="2">
        <v>4949622339</v>
      </c>
      <c r="E98" s="2" t="s">
        <v>24</v>
      </c>
      <c r="F98" s="2" t="s">
        <v>1931</v>
      </c>
      <c r="G98" s="28" t="s">
        <v>9</v>
      </c>
      <c r="H98" s="2" t="s">
        <v>23</v>
      </c>
      <c r="I98" s="2">
        <v>2</v>
      </c>
      <c r="J98" s="2"/>
      <c r="K98" s="2">
        <v>2264</v>
      </c>
      <c r="L98" s="35">
        <v>7130762.3200000003</v>
      </c>
      <c r="M98" s="36">
        <v>400</v>
      </c>
      <c r="N98" s="40">
        <v>263615</v>
      </c>
      <c r="O98" s="40">
        <v>282</v>
      </c>
      <c r="P98" s="40">
        <v>0</v>
      </c>
      <c r="Q98" s="40">
        <v>9219</v>
      </c>
      <c r="R98" s="40">
        <v>86847</v>
      </c>
      <c r="S98" s="40">
        <v>354356</v>
      </c>
      <c r="T98" s="40"/>
      <c r="U98" s="40">
        <v>158895.23809523799</v>
      </c>
      <c r="V98" s="40">
        <v>0</v>
      </c>
      <c r="W98" s="45">
        <v>873214.23809523799</v>
      </c>
      <c r="X98" s="46">
        <v>12.2457347322612</v>
      </c>
    </row>
    <row r="99" spans="1:24" s="4" customFormat="1" ht="15" customHeight="1">
      <c r="A99" s="28" t="s">
        <v>1603</v>
      </c>
      <c r="B99" s="29">
        <v>3149.63</v>
      </c>
      <c r="C99" s="30" t="s">
        <v>2031</v>
      </c>
      <c r="D99" s="2">
        <v>4949570836</v>
      </c>
      <c r="E99" s="2" t="s">
        <v>24</v>
      </c>
      <c r="F99" s="2" t="s">
        <v>2032</v>
      </c>
      <c r="G99" s="28" t="s">
        <v>9</v>
      </c>
      <c r="H99" s="2" t="s">
        <v>23</v>
      </c>
      <c r="I99" s="2">
        <v>5</v>
      </c>
      <c r="J99" s="2"/>
      <c r="K99" s="2">
        <v>14200.2</v>
      </c>
      <c r="L99" s="35">
        <v>44725375.925999999</v>
      </c>
      <c r="M99" s="36">
        <v>3220</v>
      </c>
      <c r="N99" s="40">
        <v>2473283.4884437602</v>
      </c>
      <c r="O99" s="40">
        <v>2211.8274268104801</v>
      </c>
      <c r="P99" s="40">
        <v>0</v>
      </c>
      <c r="Q99" s="40">
        <v>71108.912172573197</v>
      </c>
      <c r="R99" s="40">
        <v>155584.049306626</v>
      </c>
      <c r="S99" s="40">
        <v>351625.98459168</v>
      </c>
      <c r="T99" s="40"/>
      <c r="U99" s="40">
        <v>1562579</v>
      </c>
      <c r="V99" s="40">
        <v>0</v>
      </c>
      <c r="W99" s="45">
        <v>4616393.2619414497</v>
      </c>
      <c r="X99" s="46">
        <v>10.3216421692675</v>
      </c>
    </row>
    <row r="100" spans="1:24" s="4" customFormat="1" ht="15" customHeight="1">
      <c r="A100" s="28" t="s">
        <v>1603</v>
      </c>
      <c r="B100" s="29">
        <v>3149.63</v>
      </c>
      <c r="C100" s="30" t="s">
        <v>2095</v>
      </c>
      <c r="D100" s="2">
        <v>4949597522</v>
      </c>
      <c r="E100" s="2" t="s">
        <v>24</v>
      </c>
      <c r="F100" s="2" t="s">
        <v>2096</v>
      </c>
      <c r="G100" s="28" t="s">
        <v>5</v>
      </c>
      <c r="H100" s="2" t="s">
        <v>17</v>
      </c>
      <c r="I100" s="2">
        <v>1</v>
      </c>
      <c r="J100" s="2" t="s">
        <v>2097</v>
      </c>
      <c r="K100" s="2">
        <v>17766</v>
      </c>
      <c r="L100" s="35">
        <v>55956326.579999998</v>
      </c>
      <c r="M100" s="36">
        <v>18900</v>
      </c>
      <c r="N100" s="40">
        <v>460167</v>
      </c>
      <c r="O100" s="40">
        <v>357572</v>
      </c>
      <c r="P100" s="40">
        <v>239580.32</v>
      </c>
      <c r="Q100" s="40">
        <v>108826</v>
      </c>
      <c r="R100" s="40">
        <v>1554310</v>
      </c>
      <c r="S100" s="40">
        <v>354356</v>
      </c>
      <c r="T100" s="40"/>
      <c r="U100" s="40">
        <v>2880900</v>
      </c>
      <c r="V100" s="40">
        <v>0</v>
      </c>
      <c r="W100" s="45">
        <v>5955711.3200000003</v>
      </c>
      <c r="X100" s="46">
        <v>10.6434994646856</v>
      </c>
    </row>
    <row r="101" spans="1:24" s="4" customFormat="1" ht="15" customHeight="1">
      <c r="A101" s="28" t="s">
        <v>1603</v>
      </c>
      <c r="B101" s="29">
        <v>3149.63</v>
      </c>
      <c r="C101" s="30" t="s">
        <v>2155</v>
      </c>
      <c r="D101" s="2">
        <v>4949570841</v>
      </c>
      <c r="E101" s="2" t="s">
        <v>24</v>
      </c>
      <c r="F101" s="2" t="s">
        <v>2156</v>
      </c>
      <c r="G101" s="28" t="s">
        <v>5</v>
      </c>
      <c r="H101" s="2" t="s">
        <v>17</v>
      </c>
      <c r="I101" s="2">
        <v>1</v>
      </c>
      <c r="J101" s="2" t="s">
        <v>2157</v>
      </c>
      <c r="K101" s="2">
        <v>14850</v>
      </c>
      <c r="L101" s="35">
        <v>46772005.5</v>
      </c>
      <c r="M101" s="36">
        <v>15000</v>
      </c>
      <c r="N101" s="40">
        <v>319544</v>
      </c>
      <c r="O101" s="40">
        <v>429032</v>
      </c>
      <c r="P101" s="40">
        <v>444666</v>
      </c>
      <c r="Q101" s="40">
        <v>99309</v>
      </c>
      <c r="R101" s="40">
        <v>1281805</v>
      </c>
      <c r="S101" s="40">
        <v>354356</v>
      </c>
      <c r="T101" s="40"/>
      <c r="U101" s="40">
        <v>5446550</v>
      </c>
      <c r="V101" s="40">
        <v>0</v>
      </c>
      <c r="W101" s="45">
        <v>8375262</v>
      </c>
      <c r="X101" s="46">
        <v>17.9065702025542</v>
      </c>
    </row>
    <row r="102" spans="1:24" s="4" customFormat="1" ht="15" customHeight="1">
      <c r="A102" s="28" t="s">
        <v>1603</v>
      </c>
      <c r="B102" s="29">
        <v>3149.63</v>
      </c>
      <c r="C102" s="30" t="s">
        <v>2163</v>
      </c>
      <c r="D102" s="2">
        <v>4949484774</v>
      </c>
      <c r="E102" s="2" t="s">
        <v>24</v>
      </c>
      <c r="F102" s="2" t="s">
        <v>2164</v>
      </c>
      <c r="G102" s="28" t="s">
        <v>9</v>
      </c>
      <c r="H102" s="2" t="s">
        <v>23</v>
      </c>
      <c r="I102" s="2">
        <v>4</v>
      </c>
      <c r="J102" s="2"/>
      <c r="K102" s="2">
        <v>5100</v>
      </c>
      <c r="L102" s="35">
        <v>16063113</v>
      </c>
      <c r="M102" s="36">
        <v>3750</v>
      </c>
      <c r="N102" s="40">
        <v>1213590.1960784299</v>
      </c>
      <c r="O102" s="40">
        <v>2509.8039215686299</v>
      </c>
      <c r="P102" s="40">
        <v>47593.137254902002</v>
      </c>
      <c r="Q102" s="40">
        <v>79030.392156862697</v>
      </c>
      <c r="R102" s="40">
        <v>153439.21568627501</v>
      </c>
      <c r="S102" s="40">
        <v>347407.843137255</v>
      </c>
      <c r="T102" s="40"/>
      <c r="U102" s="40">
        <v>1340882.3529411801</v>
      </c>
      <c r="V102" s="40">
        <v>0</v>
      </c>
      <c r="W102" s="45">
        <v>3184452.9411764699</v>
      </c>
      <c r="X102" s="46">
        <v>19.824631384816101</v>
      </c>
    </row>
    <row r="104" spans="1:24" ht="15" customHeight="1">
      <c r="A104" s="31" t="s">
        <v>1603</v>
      </c>
      <c r="B104" s="31"/>
      <c r="C104" s="31"/>
      <c r="D104" s="31"/>
      <c r="E104" s="31"/>
      <c r="F104" s="32">
        <v>20</v>
      </c>
      <c r="G104" s="31"/>
      <c r="H104" s="31"/>
      <c r="I104" s="38"/>
      <c r="J104" s="31"/>
      <c r="K104" s="39">
        <f>+SUM(K80:K102)</f>
        <v>348256.49</v>
      </c>
      <c r="L104" s="39">
        <f>+SUM(L80:L102)</f>
        <v>1096879088.5987</v>
      </c>
      <c r="M104" s="31"/>
      <c r="N104" s="39"/>
      <c r="O104" s="39"/>
      <c r="P104" s="39"/>
      <c r="Q104" s="39"/>
      <c r="R104" s="39"/>
      <c r="S104" s="39"/>
      <c r="T104" s="39"/>
      <c r="U104" s="39"/>
      <c r="V104" s="31"/>
      <c r="W104" s="39">
        <f>+SUM(W80:W102)</f>
        <v>67152947.05376637</v>
      </c>
      <c r="X104" s="47">
        <f>(W104/L104)*100</f>
        <v>6.1221831787819498</v>
      </c>
    </row>
    <row r="106" spans="1:24" s="4" customFormat="1" ht="15" customHeight="1">
      <c r="A106" s="28" t="s">
        <v>2168</v>
      </c>
      <c r="B106" s="29">
        <v>3271.01</v>
      </c>
      <c r="C106" s="30" t="s">
        <v>2171</v>
      </c>
      <c r="D106" s="2">
        <v>4950250825</v>
      </c>
      <c r="E106" s="2" t="s">
        <v>24</v>
      </c>
      <c r="F106" s="2" t="s">
        <v>2172</v>
      </c>
      <c r="G106" s="28" t="s">
        <v>9</v>
      </c>
      <c r="H106" s="2" t="s">
        <v>23</v>
      </c>
      <c r="I106" s="2">
        <v>1</v>
      </c>
      <c r="J106" s="2"/>
      <c r="K106" s="2">
        <v>23443.8</v>
      </c>
      <c r="L106" s="35">
        <v>76684904.238000005</v>
      </c>
      <c r="M106" s="36">
        <v>820</v>
      </c>
      <c r="N106" s="40">
        <v>596307</v>
      </c>
      <c r="O106" s="40">
        <v>569</v>
      </c>
      <c r="P106" s="40">
        <v>0</v>
      </c>
      <c r="Q106" s="40">
        <v>18453</v>
      </c>
      <c r="R106" s="40">
        <v>101655</v>
      </c>
      <c r="S106" s="40">
        <v>354356</v>
      </c>
      <c r="T106" s="40"/>
      <c r="U106" s="40">
        <v>555755.20317145705</v>
      </c>
      <c r="V106" s="40">
        <v>0</v>
      </c>
      <c r="W106" s="45">
        <v>1627095.20317146</v>
      </c>
      <c r="X106" s="46">
        <v>2.12179335599297</v>
      </c>
    </row>
    <row r="107" spans="1:24" s="4" customFormat="1" ht="15" customHeight="1">
      <c r="A107" s="28" t="s">
        <v>2168</v>
      </c>
      <c r="B107" s="29">
        <v>3271.01</v>
      </c>
      <c r="C107" s="30" t="s">
        <v>2210</v>
      </c>
      <c r="D107" s="2">
        <v>4950090237</v>
      </c>
      <c r="E107" s="2" t="s">
        <v>24</v>
      </c>
      <c r="F107" s="2" t="s">
        <v>2211</v>
      </c>
      <c r="G107" s="28" t="s">
        <v>5</v>
      </c>
      <c r="H107" s="2" t="s">
        <v>20</v>
      </c>
      <c r="I107" s="2">
        <v>1</v>
      </c>
      <c r="J107" s="2" t="s">
        <v>2212</v>
      </c>
      <c r="K107" s="2">
        <v>40098.239999999998</v>
      </c>
      <c r="L107" s="35">
        <v>131161744.02240001</v>
      </c>
      <c r="M107" s="36">
        <v>15422.4</v>
      </c>
      <c r="N107" s="40">
        <v>512061</v>
      </c>
      <c r="O107" s="40">
        <v>329479</v>
      </c>
      <c r="P107" s="40">
        <v>0</v>
      </c>
      <c r="Q107" s="40">
        <v>99309</v>
      </c>
      <c r="R107" s="40">
        <v>625279</v>
      </c>
      <c r="S107" s="40">
        <v>354356</v>
      </c>
      <c r="T107" s="40"/>
      <c r="U107" s="40">
        <v>0</v>
      </c>
      <c r="V107" s="40">
        <v>0</v>
      </c>
      <c r="W107" s="45">
        <v>1920484</v>
      </c>
      <c r="X107" s="46">
        <v>1.46421047868349</v>
      </c>
    </row>
    <row r="108" spans="1:24" s="4" customFormat="1" ht="15" customHeight="1">
      <c r="A108" s="28" t="s">
        <v>2168</v>
      </c>
      <c r="B108" s="29">
        <v>3271.01</v>
      </c>
      <c r="C108" s="30" t="s">
        <v>2232</v>
      </c>
      <c r="D108" s="2">
        <v>4950130496</v>
      </c>
      <c r="E108" s="2" t="s">
        <v>24</v>
      </c>
      <c r="F108" s="2" t="s">
        <v>2233</v>
      </c>
      <c r="G108" s="28" t="s">
        <v>5</v>
      </c>
      <c r="H108" s="2" t="s">
        <v>26</v>
      </c>
      <c r="I108" s="2">
        <v>2</v>
      </c>
      <c r="J108" s="2" t="s">
        <v>2234</v>
      </c>
      <c r="K108" s="2">
        <v>39353.629999999997</v>
      </c>
      <c r="L108" s="35">
        <v>128726117.26629999</v>
      </c>
      <c r="M108" s="36">
        <v>38963.983</v>
      </c>
      <c r="N108" s="40">
        <v>660548</v>
      </c>
      <c r="O108" s="40">
        <v>779453</v>
      </c>
      <c r="P108" s="40">
        <v>446382</v>
      </c>
      <c r="Q108" s="40">
        <v>227340</v>
      </c>
      <c r="R108" s="40">
        <v>1400117</v>
      </c>
      <c r="S108" s="40">
        <v>354356</v>
      </c>
      <c r="T108" s="40"/>
      <c r="U108" s="40">
        <v>4838588</v>
      </c>
      <c r="V108" s="40">
        <v>0</v>
      </c>
      <c r="W108" s="45">
        <v>8706784</v>
      </c>
      <c r="X108" s="46">
        <v>6.7638053449464204</v>
      </c>
    </row>
    <row r="109" spans="1:24" s="4" customFormat="1" ht="15" customHeight="1">
      <c r="A109" s="28" t="s">
        <v>2168</v>
      </c>
      <c r="B109" s="29">
        <v>3271.01</v>
      </c>
      <c r="C109" s="30" t="s">
        <v>2235</v>
      </c>
      <c r="D109" s="2">
        <v>4949955739</v>
      </c>
      <c r="E109" s="2" t="s">
        <v>24</v>
      </c>
      <c r="F109" s="2" t="s">
        <v>2236</v>
      </c>
      <c r="G109" s="28" t="s">
        <v>5</v>
      </c>
      <c r="H109" s="2" t="s">
        <v>20</v>
      </c>
      <c r="I109" s="2">
        <v>1</v>
      </c>
      <c r="J109" s="2" t="s">
        <v>2237</v>
      </c>
      <c r="K109" s="2">
        <v>18100</v>
      </c>
      <c r="L109" s="35">
        <v>59205281</v>
      </c>
      <c r="M109" s="36">
        <v>10000</v>
      </c>
      <c r="N109" s="40">
        <v>478161</v>
      </c>
      <c r="O109" s="40">
        <v>303993</v>
      </c>
      <c r="P109" s="40">
        <v>222247</v>
      </c>
      <c r="Q109" s="40">
        <v>113189</v>
      </c>
      <c r="R109" s="40">
        <v>700800</v>
      </c>
      <c r="S109" s="40">
        <v>354356</v>
      </c>
      <c r="T109" s="40"/>
      <c r="U109" s="40">
        <v>2347400</v>
      </c>
      <c r="V109" s="40">
        <v>0</v>
      </c>
      <c r="W109" s="45">
        <v>4520146</v>
      </c>
      <c r="X109" s="46">
        <v>7.6347006950275302</v>
      </c>
    </row>
    <row r="110" spans="1:24" s="4" customFormat="1" ht="15" customHeight="1">
      <c r="A110" s="28" t="s">
        <v>2168</v>
      </c>
      <c r="B110" s="29">
        <v>3271.01</v>
      </c>
      <c r="C110" s="30" t="s">
        <v>2246</v>
      </c>
      <c r="D110" s="2">
        <v>4950216809</v>
      </c>
      <c r="E110" s="2" t="s">
        <v>24</v>
      </c>
      <c r="F110" s="2" t="s">
        <v>2247</v>
      </c>
      <c r="G110" s="28" t="s">
        <v>5</v>
      </c>
      <c r="H110" s="2" t="s">
        <v>20</v>
      </c>
      <c r="I110" s="2">
        <v>1</v>
      </c>
      <c r="J110" s="2" t="s">
        <v>2248</v>
      </c>
      <c r="K110" s="2">
        <v>7896</v>
      </c>
      <c r="L110" s="35">
        <v>25827894.960000001</v>
      </c>
      <c r="M110" s="36">
        <v>8400</v>
      </c>
      <c r="N110" s="40">
        <v>672090</v>
      </c>
      <c r="O110" s="40">
        <v>0</v>
      </c>
      <c r="P110" s="40">
        <v>117255</v>
      </c>
      <c r="Q110" s="40">
        <v>0</v>
      </c>
      <c r="R110" s="40">
        <v>0</v>
      </c>
      <c r="S110" s="40">
        <v>354356</v>
      </c>
      <c r="T110" s="40"/>
      <c r="U110" s="40">
        <v>2347400</v>
      </c>
      <c r="V110" s="40">
        <v>0</v>
      </c>
      <c r="W110" s="45">
        <v>3491101</v>
      </c>
      <c r="X110" s="46">
        <v>13.5167848769972</v>
      </c>
    </row>
    <row r="111" spans="1:24" s="4" customFormat="1" ht="15" customHeight="1">
      <c r="A111" s="28" t="s">
        <v>2168</v>
      </c>
      <c r="B111" s="29">
        <v>3271.01</v>
      </c>
      <c r="C111" s="30" t="s">
        <v>2252</v>
      </c>
      <c r="D111" s="2">
        <v>4950529280</v>
      </c>
      <c r="E111" s="2" t="s">
        <v>24</v>
      </c>
      <c r="F111" s="2" t="s">
        <v>2253</v>
      </c>
      <c r="G111" s="28" t="s">
        <v>5</v>
      </c>
      <c r="H111" s="2" t="s">
        <v>17</v>
      </c>
      <c r="I111" s="2">
        <v>1</v>
      </c>
      <c r="J111" s="2" t="s">
        <v>2254</v>
      </c>
      <c r="K111" s="2">
        <v>35700</v>
      </c>
      <c r="L111" s="35">
        <v>116775057</v>
      </c>
      <c r="M111" s="36">
        <v>21000</v>
      </c>
      <c r="N111" s="40">
        <v>406505.75</v>
      </c>
      <c r="O111" s="40">
        <v>149161.35294117601</v>
      </c>
      <c r="P111" s="40">
        <v>370140.42625000002</v>
      </c>
      <c r="Q111" s="40">
        <v>45397.058823529398</v>
      </c>
      <c r="R111" s="40">
        <v>951571</v>
      </c>
      <c r="S111" s="40">
        <v>310061.5</v>
      </c>
      <c r="T111" s="40"/>
      <c r="U111" s="40">
        <v>2520787.5</v>
      </c>
      <c r="V111" s="40">
        <v>0</v>
      </c>
      <c r="W111" s="45">
        <v>4753624.5880147098</v>
      </c>
      <c r="X111" s="46">
        <v>4.0707533870137196</v>
      </c>
    </row>
    <row r="112" spans="1:24" s="4" customFormat="1" ht="15" customHeight="1">
      <c r="A112" s="28" t="s">
        <v>2168</v>
      </c>
      <c r="B112" s="29">
        <v>3271.01</v>
      </c>
      <c r="C112" s="30" t="s">
        <v>2252</v>
      </c>
      <c r="D112" s="2">
        <v>4950133767</v>
      </c>
      <c r="E112" s="2" t="s">
        <v>24</v>
      </c>
      <c r="F112" s="2" t="s">
        <v>2253</v>
      </c>
      <c r="G112" s="28" t="s">
        <v>5</v>
      </c>
      <c r="H112" s="2" t="s">
        <v>17</v>
      </c>
      <c r="I112" s="2">
        <v>1</v>
      </c>
      <c r="J112" s="2" t="s">
        <v>2254</v>
      </c>
      <c r="K112" s="2">
        <v>6690</v>
      </c>
      <c r="L112" s="35">
        <v>21883056.899999999</v>
      </c>
      <c r="M112" s="36">
        <v>30000</v>
      </c>
      <c r="N112" s="40">
        <v>58072.25</v>
      </c>
      <c r="O112" s="40">
        <v>213087.64705882399</v>
      </c>
      <c r="P112" s="40">
        <v>52877.203750000001</v>
      </c>
      <c r="Q112" s="40">
        <v>64852.941176470602</v>
      </c>
      <c r="R112" s="40">
        <v>135939</v>
      </c>
      <c r="S112" s="40">
        <v>44294.5</v>
      </c>
      <c r="T112" s="40"/>
      <c r="U112" s="40">
        <v>360112.5</v>
      </c>
      <c r="V112" s="40">
        <v>0</v>
      </c>
      <c r="W112" s="45">
        <v>929236.04198529501</v>
      </c>
      <c r="X112" s="46">
        <v>4.2463721875406497</v>
      </c>
    </row>
    <row r="113" spans="1:24" s="4" customFormat="1" ht="15" customHeight="1">
      <c r="A113" s="28" t="s">
        <v>2168</v>
      </c>
      <c r="B113" s="29">
        <v>3271.01</v>
      </c>
      <c r="C113" s="30" t="s">
        <v>2298</v>
      </c>
      <c r="D113" s="2">
        <v>4949590183</v>
      </c>
      <c r="E113" s="2" t="s">
        <v>24</v>
      </c>
      <c r="F113" s="2" t="s">
        <v>2299</v>
      </c>
      <c r="G113" s="28" t="s">
        <v>9</v>
      </c>
      <c r="H113" s="2" t="s">
        <v>23</v>
      </c>
      <c r="I113" s="2">
        <v>2</v>
      </c>
      <c r="J113" s="2"/>
      <c r="K113" s="2">
        <v>1166.4000000000001</v>
      </c>
      <c r="L113" s="35">
        <v>3815306.0639999998</v>
      </c>
      <c r="M113" s="36">
        <v>135</v>
      </c>
      <c r="N113" s="40">
        <v>188923.15384615399</v>
      </c>
      <c r="O113" s="40">
        <v>100.471153846154</v>
      </c>
      <c r="P113" s="40">
        <v>5850.6923076923104</v>
      </c>
      <c r="Q113" s="40">
        <v>3117.4615384615399</v>
      </c>
      <c r="R113" s="40">
        <v>27280.125</v>
      </c>
      <c r="S113" s="40">
        <v>91996.269230769205</v>
      </c>
      <c r="T113" s="48"/>
      <c r="U113" s="40">
        <v>355075.96153846203</v>
      </c>
      <c r="V113" s="40">
        <v>0</v>
      </c>
      <c r="W113" s="45">
        <v>672344.13461538497</v>
      </c>
      <c r="X113" s="46">
        <v>17.6222856918193</v>
      </c>
    </row>
    <row r="114" spans="1:24" s="4" customFormat="1" ht="15" customHeight="1">
      <c r="A114" s="28" t="s">
        <v>2168</v>
      </c>
      <c r="B114" s="29">
        <v>3271.01</v>
      </c>
      <c r="C114" s="30" t="s">
        <v>2298</v>
      </c>
      <c r="D114" s="2">
        <v>4950215969</v>
      </c>
      <c r="E114" s="2" t="s">
        <v>24</v>
      </c>
      <c r="F114" s="2" t="s">
        <v>2299</v>
      </c>
      <c r="G114" s="28" t="s">
        <v>9</v>
      </c>
      <c r="H114" s="2" t="s">
        <v>23</v>
      </c>
      <c r="I114" s="2">
        <v>2</v>
      </c>
      <c r="J114" s="2"/>
      <c r="K114" s="2">
        <v>9859.85</v>
      </c>
      <c r="L114" s="35">
        <v>32251667.9485</v>
      </c>
      <c r="M114" s="36">
        <v>385</v>
      </c>
      <c r="N114" s="40">
        <v>538780.84615384601</v>
      </c>
      <c r="O114" s="40">
        <v>286.52884615384602</v>
      </c>
      <c r="P114" s="40">
        <v>16685.307692307699</v>
      </c>
      <c r="Q114" s="40">
        <v>8890.5384615384592</v>
      </c>
      <c r="R114" s="40">
        <v>77798.875</v>
      </c>
      <c r="S114" s="40">
        <v>262359.73076923098</v>
      </c>
      <c r="T114" s="48"/>
      <c r="U114" s="40">
        <v>1012624.03846154</v>
      </c>
      <c r="V114" s="40">
        <v>0</v>
      </c>
      <c r="W114" s="45">
        <v>1917425.8653846199</v>
      </c>
      <c r="X114" s="46">
        <v>5.9451990775993204</v>
      </c>
    </row>
    <row r="115" spans="1:24" s="4" customFormat="1" ht="15" customHeight="1">
      <c r="A115" s="28" t="s">
        <v>2168</v>
      </c>
      <c r="B115" s="29">
        <v>3271.01</v>
      </c>
      <c r="C115" s="30" t="s">
        <v>2308</v>
      </c>
      <c r="D115" s="2">
        <v>4950090223</v>
      </c>
      <c r="E115" s="2" t="s">
        <v>24</v>
      </c>
      <c r="F115" s="2" t="s">
        <v>2309</v>
      </c>
      <c r="G115" s="28" t="s">
        <v>9</v>
      </c>
      <c r="H115" s="2" t="s">
        <v>23</v>
      </c>
      <c r="I115" s="2">
        <v>1</v>
      </c>
      <c r="J115" s="2"/>
      <c r="K115" s="2">
        <v>4248.24</v>
      </c>
      <c r="L115" s="35">
        <v>13896035.522399999</v>
      </c>
      <c r="M115" s="36">
        <v>372</v>
      </c>
      <c r="N115" s="40">
        <v>602457</v>
      </c>
      <c r="O115" s="40">
        <v>291</v>
      </c>
      <c r="P115" s="40">
        <v>0</v>
      </c>
      <c r="Q115" s="40">
        <v>7055</v>
      </c>
      <c r="R115" s="40">
        <v>93418</v>
      </c>
      <c r="S115" s="40">
        <v>354356</v>
      </c>
      <c r="T115" s="40"/>
      <c r="U115" s="40">
        <v>215382.00999444799</v>
      </c>
      <c r="V115" s="40">
        <v>0</v>
      </c>
      <c r="W115" s="45">
        <v>1272959.00999445</v>
      </c>
      <c r="X115" s="46">
        <v>9.1605912200100192</v>
      </c>
    </row>
    <row r="116" spans="1:24" s="4" customFormat="1" ht="15" customHeight="1">
      <c r="A116" s="28" t="s">
        <v>2168</v>
      </c>
      <c r="B116" s="29">
        <v>3271.01</v>
      </c>
      <c r="C116" s="30" t="s">
        <v>2312</v>
      </c>
      <c r="D116" s="2">
        <v>4950133768</v>
      </c>
      <c r="E116" s="2" t="s">
        <v>24</v>
      </c>
      <c r="F116" s="2" t="s">
        <v>2313</v>
      </c>
      <c r="G116" s="28" t="s">
        <v>9</v>
      </c>
      <c r="H116" s="2" t="s">
        <v>23</v>
      </c>
      <c r="I116" s="2">
        <v>1</v>
      </c>
      <c r="J116" s="2"/>
      <c r="K116" s="2">
        <v>1242</v>
      </c>
      <c r="L116" s="35">
        <v>4062594.42</v>
      </c>
      <c r="M116" s="36">
        <v>360</v>
      </c>
      <c r="N116" s="40">
        <v>666011</v>
      </c>
      <c r="O116" s="40">
        <v>259</v>
      </c>
      <c r="P116" s="40">
        <v>7894</v>
      </c>
      <c r="Q116" s="40">
        <v>6198</v>
      </c>
      <c r="R116" s="40">
        <v>92812</v>
      </c>
      <c r="S116" s="40">
        <v>354356</v>
      </c>
      <c r="T116" s="40"/>
      <c r="U116" s="40">
        <v>252200</v>
      </c>
      <c r="V116" s="40">
        <v>0</v>
      </c>
      <c r="W116" s="45">
        <v>1379730</v>
      </c>
      <c r="X116" s="46">
        <v>33.961795280563599</v>
      </c>
    </row>
    <row r="117" spans="1:24" s="4" customFormat="1" ht="15" customHeight="1">
      <c r="A117" s="28" t="s">
        <v>2168</v>
      </c>
      <c r="B117" s="29">
        <v>3271.01</v>
      </c>
      <c r="C117" s="30" t="s">
        <v>2317</v>
      </c>
      <c r="D117" s="2">
        <v>4950167675</v>
      </c>
      <c r="E117" s="2" t="s">
        <v>24</v>
      </c>
      <c r="F117" s="2" t="s">
        <v>2318</v>
      </c>
      <c r="G117" s="28" t="s">
        <v>9</v>
      </c>
      <c r="H117" s="2" t="s">
        <v>23</v>
      </c>
      <c r="I117" s="2">
        <v>2</v>
      </c>
      <c r="J117" s="2"/>
      <c r="K117" s="2">
        <v>5346.6</v>
      </c>
      <c r="L117" s="35">
        <v>17488782.066</v>
      </c>
      <c r="M117" s="36">
        <v>1140</v>
      </c>
      <c r="N117" s="40">
        <v>781422</v>
      </c>
      <c r="O117" s="40">
        <v>839</v>
      </c>
      <c r="P117" s="40">
        <v>48472</v>
      </c>
      <c r="Q117" s="40">
        <v>25813</v>
      </c>
      <c r="R117" s="40">
        <v>116708</v>
      </c>
      <c r="S117" s="40">
        <v>354356</v>
      </c>
      <c r="T117" s="40"/>
      <c r="U117" s="40">
        <v>1367700</v>
      </c>
      <c r="V117" s="40">
        <v>0</v>
      </c>
      <c r="W117" s="45">
        <v>2695310</v>
      </c>
      <c r="X117" s="46">
        <v>15.411650678865501</v>
      </c>
    </row>
    <row r="118" spans="1:24" s="4" customFormat="1" ht="15" customHeight="1">
      <c r="A118" s="28" t="s">
        <v>2168</v>
      </c>
      <c r="B118" s="29">
        <v>3271.01</v>
      </c>
      <c r="C118" s="30" t="s">
        <v>2328</v>
      </c>
      <c r="D118" s="2">
        <v>4949570837</v>
      </c>
      <c r="E118" s="2" t="s">
        <v>24</v>
      </c>
      <c r="F118" s="2" t="s">
        <v>2329</v>
      </c>
      <c r="G118" s="28" t="s">
        <v>5</v>
      </c>
      <c r="H118" s="2" t="s">
        <v>20</v>
      </c>
      <c r="I118" s="2">
        <v>1</v>
      </c>
      <c r="J118" s="2" t="s">
        <v>2330</v>
      </c>
      <c r="K118" s="2">
        <v>3410</v>
      </c>
      <c r="L118" s="35">
        <v>11154144.1</v>
      </c>
      <c r="M118" s="36">
        <v>2750</v>
      </c>
      <c r="N118" s="40">
        <v>132086.856710394</v>
      </c>
      <c r="O118" s="40">
        <v>92310.923309788093</v>
      </c>
      <c r="P118" s="40">
        <v>0</v>
      </c>
      <c r="Q118" s="40">
        <v>27557.996972754801</v>
      </c>
      <c r="R118" s="40">
        <v>178139.842583249</v>
      </c>
      <c r="S118" s="40">
        <v>98332.896064581204</v>
      </c>
      <c r="T118" s="48"/>
      <c r="U118" s="40">
        <v>901728.05247224995</v>
      </c>
      <c r="V118" s="40">
        <v>0</v>
      </c>
      <c r="W118" s="45">
        <v>1430156.5681130199</v>
      </c>
      <c r="X118" s="46">
        <v>12.8217508693743</v>
      </c>
    </row>
    <row r="119" spans="1:24" s="4" customFormat="1" ht="15" customHeight="1">
      <c r="A119" s="28" t="s">
        <v>2168</v>
      </c>
      <c r="B119" s="29">
        <v>3271.01</v>
      </c>
      <c r="C119" s="30" t="s">
        <v>2392</v>
      </c>
      <c r="D119" s="2">
        <v>4949599818</v>
      </c>
      <c r="E119" s="2" t="s">
        <v>24</v>
      </c>
      <c r="F119" s="2" t="s">
        <v>2393</v>
      </c>
      <c r="G119" s="28" t="s">
        <v>5</v>
      </c>
      <c r="H119" s="2" t="s">
        <v>26</v>
      </c>
      <c r="I119" s="2">
        <v>2</v>
      </c>
      <c r="J119" s="2" t="s">
        <v>2394</v>
      </c>
      <c r="K119" s="2">
        <v>63434.35</v>
      </c>
      <c r="L119" s="35">
        <v>207494393.19350001</v>
      </c>
      <c r="M119" s="36">
        <v>47695</v>
      </c>
      <c r="N119" s="40">
        <v>0</v>
      </c>
      <c r="O119" s="40">
        <v>747653</v>
      </c>
      <c r="P119" s="40">
        <v>905277.03</v>
      </c>
      <c r="Q119" s="40">
        <v>218085</v>
      </c>
      <c r="R119" s="40">
        <v>1997875</v>
      </c>
      <c r="S119" s="40">
        <v>354356</v>
      </c>
      <c r="T119" s="40"/>
      <c r="U119" s="40">
        <v>0</v>
      </c>
      <c r="V119" s="40">
        <v>0</v>
      </c>
      <c r="W119" s="45">
        <v>4223246.03</v>
      </c>
      <c r="X119" s="46">
        <v>2.0353542883742399</v>
      </c>
    </row>
    <row r="120" spans="1:24" s="4" customFormat="1" ht="15" customHeight="1">
      <c r="A120" s="28" t="s">
        <v>2168</v>
      </c>
      <c r="B120" s="29">
        <v>3271.01</v>
      </c>
      <c r="C120" s="30" t="s">
        <v>2397</v>
      </c>
      <c r="D120" s="2">
        <v>4950640946</v>
      </c>
      <c r="E120" s="2" t="s">
        <v>24</v>
      </c>
      <c r="F120" s="2" t="s">
        <v>2398</v>
      </c>
      <c r="G120" s="28" t="s">
        <v>9</v>
      </c>
      <c r="H120" s="2" t="s">
        <v>23</v>
      </c>
      <c r="I120" s="2">
        <v>3</v>
      </c>
      <c r="J120" s="2"/>
      <c r="K120" s="2">
        <v>7493.4</v>
      </c>
      <c r="L120" s="35">
        <v>24510986.333999999</v>
      </c>
      <c r="M120" s="36">
        <v>1810</v>
      </c>
      <c r="N120" s="40">
        <v>1772533</v>
      </c>
      <c r="O120" s="40">
        <v>1382</v>
      </c>
      <c r="P120" s="40">
        <v>0</v>
      </c>
      <c r="Q120" s="40">
        <v>33110</v>
      </c>
      <c r="R120" s="40">
        <v>128220</v>
      </c>
      <c r="S120" s="40">
        <v>354356</v>
      </c>
      <c r="T120" s="40"/>
      <c r="U120" s="40">
        <v>984290.74315514998</v>
      </c>
      <c r="V120" s="40">
        <v>0</v>
      </c>
      <c r="W120" s="45">
        <v>3273891.7431551502</v>
      </c>
      <c r="X120" s="46">
        <v>13.3568339459838</v>
      </c>
    </row>
    <row r="121" spans="1:24" s="4" customFormat="1" ht="15" customHeight="1">
      <c r="A121" s="28" t="s">
        <v>2168</v>
      </c>
      <c r="B121" s="29">
        <v>3271.01</v>
      </c>
      <c r="C121" s="30" t="s">
        <v>2414</v>
      </c>
      <c r="D121" s="2">
        <v>4950215976</v>
      </c>
      <c r="E121" s="2" t="s">
        <v>24</v>
      </c>
      <c r="F121" s="78" t="s">
        <v>2415</v>
      </c>
      <c r="G121" s="28" t="s">
        <v>5</v>
      </c>
      <c r="H121" s="2" t="s">
        <v>26</v>
      </c>
      <c r="I121" s="2">
        <v>1</v>
      </c>
      <c r="J121" s="2" t="s">
        <v>2416</v>
      </c>
      <c r="K121" s="2">
        <v>24963.200000000001</v>
      </c>
      <c r="L121" s="35">
        <v>81654876.832000002</v>
      </c>
      <c r="M121" s="36">
        <v>2152</v>
      </c>
      <c r="N121" s="40">
        <v>316465.061685491</v>
      </c>
      <c r="O121" s="40">
        <v>20507.417516496698</v>
      </c>
      <c r="P121" s="40">
        <v>0</v>
      </c>
      <c r="Q121" s="40">
        <v>0</v>
      </c>
      <c r="R121" s="40">
        <v>323349.23718505597</v>
      </c>
      <c r="S121" s="40">
        <v>165632.95221546499</v>
      </c>
      <c r="T121" s="48"/>
      <c r="U121" s="40">
        <v>2261651.03735882</v>
      </c>
      <c r="V121" s="40">
        <v>0</v>
      </c>
      <c r="W121" s="45">
        <v>3087605.7059613299</v>
      </c>
      <c r="X121" s="46">
        <v>3.78128756756794</v>
      </c>
    </row>
    <row r="122" spans="1:24" s="4" customFormat="1" ht="15" customHeight="1">
      <c r="A122" s="28" t="s">
        <v>2168</v>
      </c>
      <c r="B122" s="29">
        <v>3271.01</v>
      </c>
      <c r="C122" s="30" t="s">
        <v>2414</v>
      </c>
      <c r="D122" s="2">
        <v>4950248064</v>
      </c>
      <c r="E122" s="2" t="s">
        <v>24</v>
      </c>
      <c r="F122" s="78" t="s">
        <v>2415</v>
      </c>
      <c r="G122" s="28" t="s">
        <v>5</v>
      </c>
      <c r="H122" s="2" t="s">
        <v>26</v>
      </c>
      <c r="I122" s="2">
        <v>1</v>
      </c>
      <c r="J122" s="2" t="s">
        <v>2417</v>
      </c>
      <c r="K122" s="2">
        <v>28443.200000000001</v>
      </c>
      <c r="L122" s="35">
        <v>93037991.631999999</v>
      </c>
      <c r="M122" s="36">
        <v>24520</v>
      </c>
      <c r="N122" s="40">
        <v>360581.938314509</v>
      </c>
      <c r="O122" s="40">
        <v>233662.58248350301</v>
      </c>
      <c r="P122" s="40">
        <v>0</v>
      </c>
      <c r="Q122" s="40">
        <v>0</v>
      </c>
      <c r="R122" s="40">
        <v>340544.76281494403</v>
      </c>
      <c r="S122" s="40">
        <v>188723.04778453501</v>
      </c>
      <c r="T122" s="48"/>
      <c r="U122" s="40">
        <v>2576936.96264118</v>
      </c>
      <c r="V122" s="40">
        <v>0</v>
      </c>
      <c r="W122" s="45">
        <v>3700449.2940386701</v>
      </c>
      <c r="X122" s="46">
        <v>3.9773529384375901</v>
      </c>
    </row>
    <row r="123" spans="1:24" s="4" customFormat="1" ht="15" customHeight="1">
      <c r="A123" s="28" t="s">
        <v>2168</v>
      </c>
      <c r="B123" s="29">
        <v>3271.01</v>
      </c>
      <c r="C123" s="30" t="s">
        <v>2418</v>
      </c>
      <c r="D123" s="2">
        <v>4950216832</v>
      </c>
      <c r="E123" s="2" t="s">
        <v>24</v>
      </c>
      <c r="F123" s="78" t="s">
        <v>2419</v>
      </c>
      <c r="G123" s="28" t="s">
        <v>5</v>
      </c>
      <c r="H123" s="2" t="s">
        <v>26</v>
      </c>
      <c r="I123" s="2">
        <v>2</v>
      </c>
      <c r="J123" s="2" t="s">
        <v>2420</v>
      </c>
      <c r="K123" s="2">
        <v>41396.69</v>
      </c>
      <c r="L123" s="35">
        <v>135408986.9569</v>
      </c>
      <c r="M123" s="36">
        <v>40986.826000000001</v>
      </c>
      <c r="N123" s="40">
        <v>665483</v>
      </c>
      <c r="O123" s="40">
        <v>780967</v>
      </c>
      <c r="P123" s="40">
        <v>447251</v>
      </c>
      <c r="Q123" s="40">
        <v>227782</v>
      </c>
      <c r="R123" s="40">
        <v>1404098</v>
      </c>
      <c r="S123" s="40">
        <v>354356</v>
      </c>
      <c r="T123" s="40"/>
      <c r="U123" s="40">
        <v>4838588</v>
      </c>
      <c r="V123" s="40">
        <v>0</v>
      </c>
      <c r="W123" s="45">
        <v>8718525</v>
      </c>
      <c r="X123" s="46">
        <v>6.4386605320185</v>
      </c>
    </row>
    <row r="124" spans="1:24" s="4" customFormat="1" ht="15" customHeight="1">
      <c r="A124" s="28" t="s">
        <v>2168</v>
      </c>
      <c r="B124" s="29">
        <v>3271.01</v>
      </c>
      <c r="C124" s="30" t="s">
        <v>2445</v>
      </c>
      <c r="D124" s="2">
        <v>4950133764</v>
      </c>
      <c r="E124" s="2" t="s">
        <v>24</v>
      </c>
      <c r="F124" s="2" t="s">
        <v>2446</v>
      </c>
      <c r="G124" s="28" t="s">
        <v>5</v>
      </c>
      <c r="H124" s="2" t="s">
        <v>20</v>
      </c>
      <c r="I124" s="2">
        <v>1</v>
      </c>
      <c r="J124" s="2" t="s">
        <v>2447</v>
      </c>
      <c r="K124" s="2">
        <v>4296.3999999999996</v>
      </c>
      <c r="L124" s="35">
        <v>14053567.364</v>
      </c>
      <c r="M124" s="36">
        <v>920</v>
      </c>
      <c r="N124" s="40">
        <v>25985.995294117602</v>
      </c>
      <c r="O124" s="40">
        <v>18002.5058823529</v>
      </c>
      <c r="P124" s="40">
        <v>22058.785882352899</v>
      </c>
      <c r="Q124" s="40">
        <v>5374.3694117647101</v>
      </c>
      <c r="R124" s="40">
        <v>50316.948235294098</v>
      </c>
      <c r="S124" s="40">
        <v>19176.912941176499</v>
      </c>
      <c r="T124" s="48"/>
      <c r="U124" s="40">
        <v>368351.764705882</v>
      </c>
      <c r="V124" s="40">
        <v>0</v>
      </c>
      <c r="W124" s="45">
        <v>509267.28235294099</v>
      </c>
      <c r="X124" s="46">
        <v>3.6237580762411499</v>
      </c>
    </row>
    <row r="125" spans="1:24" s="4" customFormat="1" ht="15" customHeight="1">
      <c r="A125" s="28" t="s">
        <v>2168</v>
      </c>
      <c r="B125" s="29">
        <v>3271.01</v>
      </c>
      <c r="C125" s="30" t="s">
        <v>2513</v>
      </c>
      <c r="D125" s="2">
        <v>4949099760</v>
      </c>
      <c r="E125" s="2" t="s">
        <v>24</v>
      </c>
      <c r="F125" s="78" t="s">
        <v>2514</v>
      </c>
      <c r="G125" s="28" t="s">
        <v>9</v>
      </c>
      <c r="H125" s="2" t="s">
        <v>23</v>
      </c>
      <c r="I125" s="2">
        <v>4</v>
      </c>
      <c r="J125" s="2"/>
      <c r="K125" s="2">
        <v>5600</v>
      </c>
      <c r="L125" s="35">
        <v>18317656</v>
      </c>
      <c r="M125" s="36">
        <v>3200</v>
      </c>
      <c r="N125" s="40">
        <v>707826</v>
      </c>
      <c r="O125" s="40">
        <v>0</v>
      </c>
      <c r="P125" s="40">
        <v>109005</v>
      </c>
      <c r="Q125" s="40">
        <v>49332</v>
      </c>
      <c r="R125" s="40">
        <v>87911</v>
      </c>
      <c r="S125" s="40">
        <v>354356</v>
      </c>
      <c r="T125" s="48"/>
      <c r="U125" s="40">
        <v>557750</v>
      </c>
      <c r="V125" s="40">
        <v>0</v>
      </c>
      <c r="W125" s="45">
        <v>1866180</v>
      </c>
      <c r="X125" s="46">
        <v>10.187875566611799</v>
      </c>
    </row>
    <row r="126" spans="1:24" s="4" customFormat="1" ht="15" customHeight="1">
      <c r="A126" s="28" t="s">
        <v>2168</v>
      </c>
      <c r="B126" s="29">
        <v>3271.01</v>
      </c>
      <c r="C126" s="30" t="s">
        <v>2529</v>
      </c>
      <c r="D126" s="2">
        <v>4950223952</v>
      </c>
      <c r="E126" s="2" t="s">
        <v>24</v>
      </c>
      <c r="F126" s="2" t="s">
        <v>2530</v>
      </c>
      <c r="G126" s="28" t="s">
        <v>5</v>
      </c>
      <c r="H126" s="2" t="s">
        <v>20</v>
      </c>
      <c r="I126" s="2">
        <v>1</v>
      </c>
      <c r="J126" s="2" t="s">
        <v>2531</v>
      </c>
      <c r="K126" s="2">
        <v>31680</v>
      </c>
      <c r="L126" s="35">
        <v>103625596.8</v>
      </c>
      <c r="M126" s="36">
        <v>8000</v>
      </c>
      <c r="N126" s="40">
        <v>335949</v>
      </c>
      <c r="O126" s="40">
        <v>332317</v>
      </c>
      <c r="P126" s="40">
        <v>0</v>
      </c>
      <c r="Q126" s="40">
        <v>99309</v>
      </c>
      <c r="R126" s="40">
        <v>660597</v>
      </c>
      <c r="S126" s="40">
        <v>354356</v>
      </c>
      <c r="T126" s="48"/>
      <c r="U126" s="40">
        <v>2900300</v>
      </c>
      <c r="V126" s="40">
        <v>0</v>
      </c>
      <c r="W126" s="45">
        <v>4682828</v>
      </c>
      <c r="X126" s="46">
        <v>4.5189877256272597</v>
      </c>
    </row>
    <row r="127" spans="1:24" s="4" customFormat="1" ht="15" customHeight="1">
      <c r="A127" s="28" t="s">
        <v>2168</v>
      </c>
      <c r="B127" s="29">
        <v>3271.01</v>
      </c>
      <c r="C127" s="30" t="s">
        <v>2535</v>
      </c>
      <c r="D127" s="2">
        <v>4949570837</v>
      </c>
      <c r="E127" s="2" t="s">
        <v>24</v>
      </c>
      <c r="F127" s="2" t="s">
        <v>2536</v>
      </c>
      <c r="G127" s="28" t="s">
        <v>5</v>
      </c>
      <c r="H127" s="2" t="s">
        <v>17</v>
      </c>
      <c r="I127" s="2">
        <v>1</v>
      </c>
      <c r="J127" s="2" t="s">
        <v>2537</v>
      </c>
      <c r="K127" s="2">
        <v>2970</v>
      </c>
      <c r="L127" s="35">
        <v>9714899.6999999993</v>
      </c>
      <c r="M127" s="36">
        <v>2250</v>
      </c>
      <c r="N127" s="40">
        <v>44993.169642857101</v>
      </c>
      <c r="O127" s="40">
        <v>58387.5</v>
      </c>
      <c r="P127" s="40">
        <v>112857.857142857</v>
      </c>
      <c r="Q127" s="40">
        <v>13300.3125</v>
      </c>
      <c r="R127" s="40">
        <v>163393.50892857101</v>
      </c>
      <c r="S127" s="40">
        <v>47458.392857142899</v>
      </c>
      <c r="T127" s="48"/>
      <c r="U127" s="40">
        <v>729448.66071428603</v>
      </c>
      <c r="V127" s="40">
        <v>181473.214285714</v>
      </c>
      <c r="W127" s="45">
        <v>1351312.61607143</v>
      </c>
      <c r="X127" s="46">
        <v>13.909691893900099</v>
      </c>
    </row>
    <row r="128" spans="1:24" s="4" customFormat="1" ht="15" customHeight="1">
      <c r="A128" s="28" t="s">
        <v>2168</v>
      </c>
      <c r="B128" s="29">
        <v>3271.01</v>
      </c>
      <c r="C128" s="30" t="s">
        <v>2560</v>
      </c>
      <c r="D128" s="2">
        <v>4950816757</v>
      </c>
      <c r="E128" s="2" t="s">
        <v>24</v>
      </c>
      <c r="F128" s="2" t="s">
        <v>2561</v>
      </c>
      <c r="G128" s="28" t="s">
        <v>13</v>
      </c>
      <c r="H128" s="2" t="s">
        <v>23</v>
      </c>
      <c r="I128" s="2">
        <v>3</v>
      </c>
      <c r="J128" s="2"/>
      <c r="K128" s="2">
        <v>753.6</v>
      </c>
      <c r="L128" s="35">
        <v>2465033.1359999999</v>
      </c>
      <c r="M128" s="36">
        <v>60</v>
      </c>
      <c r="N128" s="40">
        <v>73033.48</v>
      </c>
      <c r="O128" s="40">
        <v>0</v>
      </c>
      <c r="P128" s="40">
        <v>0</v>
      </c>
      <c r="Q128" s="40">
        <v>0</v>
      </c>
      <c r="R128" s="40">
        <v>292</v>
      </c>
      <c r="S128" s="40">
        <v>354356</v>
      </c>
      <c r="T128" s="48"/>
      <c r="U128" s="40">
        <v>246380</v>
      </c>
      <c r="V128" s="40">
        <v>0</v>
      </c>
      <c r="W128" s="45">
        <v>674061.48</v>
      </c>
      <c r="X128" s="46">
        <v>27.3449257194894</v>
      </c>
    </row>
    <row r="129" spans="1:24" s="4" customFormat="1" ht="15" customHeight="1">
      <c r="A129" s="28" t="s">
        <v>2168</v>
      </c>
      <c r="B129" s="29">
        <v>3271.01</v>
      </c>
      <c r="C129" s="30" t="s">
        <v>2617</v>
      </c>
      <c r="D129" s="2">
        <v>4950223951</v>
      </c>
      <c r="E129" s="2" t="s">
        <v>24</v>
      </c>
      <c r="F129" s="2" t="s">
        <v>2618</v>
      </c>
      <c r="G129" s="28" t="s">
        <v>5</v>
      </c>
      <c r="H129" s="2" t="s">
        <v>20</v>
      </c>
      <c r="I129" s="2">
        <v>1</v>
      </c>
      <c r="J129" s="2" t="s">
        <v>2619</v>
      </c>
      <c r="K129" s="2">
        <v>34237.730000000003</v>
      </c>
      <c r="L129" s="35">
        <v>111991957.20730001</v>
      </c>
      <c r="M129" s="36">
        <v>15422.4</v>
      </c>
      <c r="N129" s="40">
        <v>335949</v>
      </c>
      <c r="O129" s="40">
        <v>340244</v>
      </c>
      <c r="P129" s="40">
        <v>0</v>
      </c>
      <c r="Q129" s="40">
        <v>99309</v>
      </c>
      <c r="R129" s="40">
        <v>553313</v>
      </c>
      <c r="S129" s="40">
        <v>354356</v>
      </c>
      <c r="T129" s="48"/>
      <c r="U129" s="40">
        <v>519300</v>
      </c>
      <c r="V129" s="40">
        <v>0</v>
      </c>
      <c r="W129" s="45">
        <v>2202471</v>
      </c>
      <c r="X129" s="46">
        <v>1.96663318949161</v>
      </c>
    </row>
    <row r="131" spans="1:24" ht="15" customHeight="1">
      <c r="A131" s="31" t="s">
        <v>2168</v>
      </c>
      <c r="B131" s="31"/>
      <c r="C131" s="31"/>
      <c r="D131" s="31"/>
      <c r="E131" s="31"/>
      <c r="F131" s="32">
        <v>21</v>
      </c>
      <c r="G131" s="31"/>
      <c r="H131" s="31"/>
      <c r="I131" s="38"/>
      <c r="J131" s="31"/>
      <c r="K131" s="39">
        <f>+SUM(K106:K129)</f>
        <v>441823.33</v>
      </c>
      <c r="L131" s="39">
        <f>+SUM(L106:L129)</f>
        <v>1445208530.6633</v>
      </c>
      <c r="M131" s="31"/>
      <c r="N131" s="39"/>
      <c r="O131" s="39"/>
      <c r="P131" s="39"/>
      <c r="Q131" s="39"/>
      <c r="R131" s="39"/>
      <c r="S131" s="39"/>
      <c r="T131" s="39"/>
      <c r="U131" s="39"/>
      <c r="V131" s="31"/>
      <c r="W131" s="39">
        <f>+SUM(W106:W129)</f>
        <v>69606234.562858462</v>
      </c>
      <c r="X131" s="47">
        <f>(W131/L131)*100</f>
        <v>4.8163453983288935</v>
      </c>
    </row>
    <row r="133" spans="1:24" s="4" customFormat="1" ht="15" customHeight="1">
      <c r="A133" s="28" t="s">
        <v>2682</v>
      </c>
      <c r="B133" s="29">
        <v>3278.81</v>
      </c>
      <c r="C133" s="30" t="s">
        <v>2712</v>
      </c>
      <c r="D133" s="2">
        <v>4950583110</v>
      </c>
      <c r="E133" s="2" t="s">
        <v>24</v>
      </c>
      <c r="F133" s="2" t="s">
        <v>2713</v>
      </c>
      <c r="G133" s="28" t="s">
        <v>5</v>
      </c>
      <c r="H133" s="2" t="s">
        <v>26</v>
      </c>
      <c r="I133" s="2">
        <v>2</v>
      </c>
      <c r="J133" s="2" t="s">
        <v>2714</v>
      </c>
      <c r="K133" s="2">
        <v>55285.599999999999</v>
      </c>
      <c r="L133" s="35">
        <v>181270978.13600001</v>
      </c>
      <c r="M133" s="36">
        <v>47660</v>
      </c>
      <c r="N133" s="40">
        <v>680354</v>
      </c>
      <c r="O133" s="40">
        <v>806122</v>
      </c>
      <c r="P133" s="40">
        <v>145092</v>
      </c>
      <c r="Q133" s="40">
        <v>235119</v>
      </c>
      <c r="R133" s="40">
        <v>1615228</v>
      </c>
      <c r="S133" s="40">
        <v>354356</v>
      </c>
      <c r="T133" s="40"/>
      <c r="U133" s="40">
        <v>4838588</v>
      </c>
      <c r="V133" s="40">
        <v>0</v>
      </c>
      <c r="W133" s="45">
        <v>8674859</v>
      </c>
      <c r="X133" s="46">
        <v>4.7855752140817698</v>
      </c>
    </row>
    <row r="134" spans="1:24" s="4" customFormat="1" ht="15" customHeight="1">
      <c r="A134" s="28" t="s">
        <v>2682</v>
      </c>
      <c r="B134" s="29">
        <v>3278.81</v>
      </c>
      <c r="C134" s="30" t="s">
        <v>2743</v>
      </c>
      <c r="D134" s="2">
        <v>4950133763</v>
      </c>
      <c r="E134" s="2" t="s">
        <v>24</v>
      </c>
      <c r="F134" s="2" t="s">
        <v>2744</v>
      </c>
      <c r="G134" s="28" t="s">
        <v>9</v>
      </c>
      <c r="H134" s="2" t="s">
        <v>23</v>
      </c>
      <c r="I134" s="2">
        <v>4</v>
      </c>
      <c r="J134" s="2"/>
      <c r="K134" s="2">
        <v>6208</v>
      </c>
      <c r="L134" s="35">
        <v>20354852.48</v>
      </c>
      <c r="M134" s="36">
        <v>3200</v>
      </c>
      <c r="N134" s="40">
        <v>730954</v>
      </c>
      <c r="O134" s="40">
        <v>0</v>
      </c>
      <c r="P134" s="40">
        <v>60468</v>
      </c>
      <c r="Q134" s="40">
        <v>50383</v>
      </c>
      <c r="R134" s="40">
        <v>62232</v>
      </c>
      <c r="S134" s="40">
        <v>354356</v>
      </c>
      <c r="T134" s="40"/>
      <c r="U134" s="40">
        <v>557750</v>
      </c>
      <c r="V134" s="40">
        <v>0</v>
      </c>
      <c r="W134" s="45">
        <v>1816143</v>
      </c>
      <c r="X134" s="46">
        <v>8.9224080684666305</v>
      </c>
    </row>
    <row r="135" spans="1:24" s="4" customFormat="1" ht="15" customHeight="1">
      <c r="A135" s="28" t="s">
        <v>2682</v>
      </c>
      <c r="B135" s="29">
        <v>3278.81</v>
      </c>
      <c r="C135" s="30" t="s">
        <v>2757</v>
      </c>
      <c r="D135" s="2">
        <v>4950949740</v>
      </c>
      <c r="E135" s="2" t="s">
        <v>24</v>
      </c>
      <c r="F135" s="2" t="s">
        <v>2758</v>
      </c>
      <c r="G135" s="28" t="s">
        <v>5</v>
      </c>
      <c r="H135" s="2" t="s">
        <v>20</v>
      </c>
      <c r="I135" s="2">
        <v>1</v>
      </c>
      <c r="J135" s="2" t="s">
        <v>2759</v>
      </c>
      <c r="K135" s="2">
        <v>12378.78</v>
      </c>
      <c r="L135" s="35">
        <v>40587667.651799999</v>
      </c>
      <c r="M135" s="36">
        <v>3077</v>
      </c>
      <c r="N135" s="40">
        <v>343614</v>
      </c>
      <c r="O135" s="40">
        <v>332157</v>
      </c>
      <c r="P135" s="40">
        <v>0</v>
      </c>
      <c r="Q135" s="40">
        <v>110000</v>
      </c>
      <c r="R135" s="40">
        <v>564435</v>
      </c>
      <c r="S135" s="40">
        <v>354356</v>
      </c>
      <c r="T135" s="40"/>
      <c r="U135" s="40">
        <v>2619000</v>
      </c>
      <c r="V135" s="40">
        <v>0</v>
      </c>
      <c r="W135" s="45">
        <v>4323562</v>
      </c>
      <c r="X135" s="46">
        <v>10.6524031809161</v>
      </c>
    </row>
    <row r="136" spans="1:24" s="4" customFormat="1" ht="15" customHeight="1">
      <c r="A136" s="28" t="s">
        <v>2682</v>
      </c>
      <c r="B136" s="29">
        <v>3278.81</v>
      </c>
      <c r="C136" s="30" t="s">
        <v>2805</v>
      </c>
      <c r="D136" s="2">
        <v>4951017748</v>
      </c>
      <c r="E136" s="2" t="s">
        <v>24</v>
      </c>
      <c r="F136" s="2" t="s">
        <v>2806</v>
      </c>
      <c r="G136" s="28" t="s">
        <v>9</v>
      </c>
      <c r="H136" s="2" t="s">
        <v>23</v>
      </c>
      <c r="I136" s="2">
        <v>1</v>
      </c>
      <c r="J136" s="2"/>
      <c r="K136" s="2">
        <v>12009.6</v>
      </c>
      <c r="L136" s="35">
        <v>39377196.575999998</v>
      </c>
      <c r="M136" s="36">
        <v>720</v>
      </c>
      <c r="N136" s="40">
        <v>503102</v>
      </c>
      <c r="O136" s="40">
        <v>529</v>
      </c>
      <c r="P136" s="40">
        <v>0</v>
      </c>
      <c r="Q136" s="40">
        <v>12861</v>
      </c>
      <c r="R136" s="40">
        <v>101756</v>
      </c>
      <c r="S136" s="40">
        <v>354356</v>
      </c>
      <c r="T136" s="40"/>
      <c r="U136" s="40">
        <v>481269.23076923098</v>
      </c>
      <c r="V136" s="40">
        <v>0</v>
      </c>
      <c r="W136" s="45">
        <v>1453873.2307692301</v>
      </c>
      <c r="X136" s="46">
        <v>3.69217048746266</v>
      </c>
    </row>
    <row r="137" spans="1:24" s="4" customFormat="1" ht="15" customHeight="1">
      <c r="A137" s="28" t="s">
        <v>2682</v>
      </c>
      <c r="B137" s="29">
        <v>3278.81</v>
      </c>
      <c r="C137" s="30" t="s">
        <v>2840</v>
      </c>
      <c r="D137" s="2">
        <v>4951241946</v>
      </c>
      <c r="E137" s="2" t="s">
        <v>24</v>
      </c>
      <c r="F137" s="2" t="s">
        <v>2841</v>
      </c>
      <c r="G137" s="28" t="s">
        <v>5</v>
      </c>
      <c r="H137" s="2" t="s">
        <v>20</v>
      </c>
      <c r="I137" s="2">
        <v>1</v>
      </c>
      <c r="J137" s="2" t="s">
        <v>2842</v>
      </c>
      <c r="K137" s="2">
        <v>13488.12</v>
      </c>
      <c r="L137" s="35">
        <v>44224982.737199999</v>
      </c>
      <c r="M137" s="36">
        <v>3258</v>
      </c>
      <c r="N137" s="40">
        <v>342497</v>
      </c>
      <c r="O137" s="40">
        <v>329938</v>
      </c>
      <c r="P137" s="40">
        <v>0</v>
      </c>
      <c r="Q137" s="40">
        <v>110000</v>
      </c>
      <c r="R137" s="40">
        <v>563962</v>
      </c>
      <c r="S137" s="40">
        <v>354356</v>
      </c>
      <c r="T137" s="40"/>
      <c r="U137" s="40">
        <v>2619000</v>
      </c>
      <c r="V137" s="40">
        <v>0</v>
      </c>
      <c r="W137" s="45">
        <v>4319753</v>
      </c>
      <c r="X137" s="46">
        <v>9.7676759438651501</v>
      </c>
    </row>
    <row r="138" spans="1:24" s="4" customFormat="1" ht="15" customHeight="1">
      <c r="A138" s="28" t="s">
        <v>2682</v>
      </c>
      <c r="B138" s="29">
        <v>3278.81</v>
      </c>
      <c r="C138" s="30" t="s">
        <v>2874</v>
      </c>
      <c r="D138" s="2">
        <v>4950949705</v>
      </c>
      <c r="E138" s="2" t="s">
        <v>24</v>
      </c>
      <c r="F138" s="2" t="s">
        <v>2875</v>
      </c>
      <c r="G138" s="28" t="s">
        <v>9</v>
      </c>
      <c r="H138" s="2" t="s">
        <v>23</v>
      </c>
      <c r="I138" s="2">
        <v>2</v>
      </c>
      <c r="J138" s="2"/>
      <c r="K138" s="2">
        <v>5608.8</v>
      </c>
      <c r="L138" s="35">
        <v>18390189.528000001</v>
      </c>
      <c r="M138" s="36">
        <v>1140</v>
      </c>
      <c r="N138" s="40">
        <v>810342</v>
      </c>
      <c r="O138" s="40">
        <v>874</v>
      </c>
      <c r="P138" s="40">
        <v>16755</v>
      </c>
      <c r="Q138" s="40">
        <v>25779</v>
      </c>
      <c r="R138" s="40">
        <v>116634</v>
      </c>
      <c r="S138" s="40">
        <v>354356</v>
      </c>
      <c r="T138" s="40"/>
      <c r="U138" s="40">
        <v>560855.39568345295</v>
      </c>
      <c r="V138" s="40">
        <v>0</v>
      </c>
      <c r="W138" s="45">
        <v>1885595.3956834499</v>
      </c>
      <c r="X138" s="46">
        <v>10.2532678785748</v>
      </c>
    </row>
    <row r="139" spans="1:24" s="4" customFormat="1" ht="15" customHeight="1">
      <c r="A139" s="28" t="s">
        <v>2682</v>
      </c>
      <c r="B139" s="29">
        <v>3278.81</v>
      </c>
      <c r="C139" s="30" t="s">
        <v>2876</v>
      </c>
      <c r="D139" s="2">
        <v>4950645601</v>
      </c>
      <c r="E139" s="2" t="s">
        <v>24</v>
      </c>
      <c r="F139" s="2" t="s">
        <v>2877</v>
      </c>
      <c r="G139" s="28" t="s">
        <v>9</v>
      </c>
      <c r="H139" s="2" t="s">
        <v>23</v>
      </c>
      <c r="I139" s="2">
        <v>2</v>
      </c>
      <c r="J139" s="2"/>
      <c r="K139" s="2">
        <v>9938.4</v>
      </c>
      <c r="L139" s="35">
        <v>32586125.304000001</v>
      </c>
      <c r="M139" s="36">
        <v>1640</v>
      </c>
      <c r="N139" s="40">
        <v>712563</v>
      </c>
      <c r="O139" s="40">
        <v>2486</v>
      </c>
      <c r="P139" s="40">
        <v>58291</v>
      </c>
      <c r="Q139" s="40">
        <v>29582</v>
      </c>
      <c r="R139" s="40">
        <v>401539</v>
      </c>
      <c r="S139" s="40">
        <v>354356</v>
      </c>
      <c r="T139" s="40"/>
      <c r="U139" s="40">
        <v>806844.60431654705</v>
      </c>
      <c r="V139" s="40">
        <v>0</v>
      </c>
      <c r="W139" s="45">
        <v>2365661.6043165498</v>
      </c>
      <c r="X139" s="46">
        <v>7.2597204553993402</v>
      </c>
    </row>
    <row r="140" spans="1:24" s="4" customFormat="1" ht="15" customHeight="1">
      <c r="A140" s="28" t="s">
        <v>2682</v>
      </c>
      <c r="B140" s="29">
        <v>3278.81</v>
      </c>
      <c r="C140" s="30" t="s">
        <v>2895</v>
      </c>
      <c r="D140" s="2">
        <v>4950215964</v>
      </c>
      <c r="E140" s="2" t="s">
        <v>24</v>
      </c>
      <c r="F140" s="2" t="s">
        <v>2896</v>
      </c>
      <c r="G140" s="28" t="s">
        <v>9</v>
      </c>
      <c r="H140" s="2" t="s">
        <v>23</v>
      </c>
      <c r="I140" s="2">
        <v>19</v>
      </c>
      <c r="J140" s="2"/>
      <c r="K140" s="2">
        <v>6600</v>
      </c>
      <c r="L140" s="35">
        <v>21640146</v>
      </c>
      <c r="M140" s="36">
        <v>5000</v>
      </c>
      <c r="N140" s="40">
        <v>1300649.73021583</v>
      </c>
      <c r="O140" s="40">
        <v>1680.3057553956801</v>
      </c>
      <c r="P140" s="40">
        <v>0</v>
      </c>
      <c r="Q140" s="40">
        <v>40966.2769784173</v>
      </c>
      <c r="R140" s="40">
        <v>124117.805755396</v>
      </c>
      <c r="S140" s="40">
        <v>159332.73381295</v>
      </c>
      <c r="T140" s="40"/>
      <c r="U140" s="40">
        <v>1752521.0084033599</v>
      </c>
      <c r="V140" s="40">
        <v>0</v>
      </c>
      <c r="W140" s="45">
        <v>3379267.8609213498</v>
      </c>
      <c r="X140" s="46">
        <v>15.6157350367292</v>
      </c>
    </row>
    <row r="141" spans="1:24" s="4" customFormat="1" ht="15" customHeight="1">
      <c r="A141" s="28" t="s">
        <v>2682</v>
      </c>
      <c r="B141" s="29">
        <v>3278.81</v>
      </c>
      <c r="C141" s="30" t="s">
        <v>2897</v>
      </c>
      <c r="D141" s="2">
        <v>4951017743</v>
      </c>
      <c r="E141" s="2" t="s">
        <v>24</v>
      </c>
      <c r="F141" s="2" t="s">
        <v>2898</v>
      </c>
      <c r="G141" s="28" t="s">
        <v>9</v>
      </c>
      <c r="H141" s="2" t="s">
        <v>23</v>
      </c>
      <c r="I141" s="2">
        <v>1</v>
      </c>
      <c r="J141" s="2"/>
      <c r="K141" s="2">
        <v>576</v>
      </c>
      <c r="L141" s="35">
        <v>1888594.56</v>
      </c>
      <c r="M141" s="36">
        <v>480</v>
      </c>
      <c r="N141" s="40">
        <v>674948</v>
      </c>
      <c r="O141" s="40">
        <v>359</v>
      </c>
      <c r="P141" s="40">
        <v>10786</v>
      </c>
      <c r="Q141" s="40">
        <v>8463</v>
      </c>
      <c r="R141" s="40">
        <v>95232</v>
      </c>
      <c r="S141" s="40">
        <v>354356</v>
      </c>
      <c r="T141" s="40"/>
      <c r="U141" s="40">
        <v>272021.73913043499</v>
      </c>
      <c r="V141" s="40">
        <v>0</v>
      </c>
      <c r="W141" s="45">
        <v>1416165.7391304399</v>
      </c>
      <c r="X141" s="46">
        <v>74.985164583468602</v>
      </c>
    </row>
    <row r="142" spans="1:24" s="4" customFormat="1" ht="15" customHeight="1">
      <c r="A142" s="28" t="s">
        <v>2682</v>
      </c>
      <c r="B142" s="29">
        <v>3278.81</v>
      </c>
      <c r="C142" s="30" t="s">
        <v>2911</v>
      </c>
      <c r="D142" s="2">
        <v>4951146099</v>
      </c>
      <c r="E142" s="2" t="s">
        <v>24</v>
      </c>
      <c r="F142" s="2" t="s">
        <v>2912</v>
      </c>
      <c r="G142" s="28" t="s">
        <v>9</v>
      </c>
      <c r="H142" s="2" t="s">
        <v>23</v>
      </c>
      <c r="I142" s="2">
        <v>3</v>
      </c>
      <c r="J142" s="2"/>
      <c r="K142" s="2">
        <v>3422</v>
      </c>
      <c r="L142" s="35">
        <v>11220087.82</v>
      </c>
      <c r="M142" s="36">
        <v>200</v>
      </c>
      <c r="N142" s="40">
        <v>100165.812917595</v>
      </c>
      <c r="O142" s="40">
        <v>252.123552123552</v>
      </c>
      <c r="P142" s="40">
        <v>0</v>
      </c>
      <c r="Q142" s="40">
        <v>7788.4169884169896</v>
      </c>
      <c r="R142" s="40">
        <v>15706.9042316258</v>
      </c>
      <c r="S142" s="40">
        <v>39460.579064587997</v>
      </c>
      <c r="T142" s="40"/>
      <c r="U142" s="40">
        <v>152305.122494432</v>
      </c>
      <c r="V142" s="40">
        <v>0</v>
      </c>
      <c r="W142" s="45">
        <v>315678.95924878097</v>
      </c>
      <c r="X142" s="46">
        <v>2.8135159395640201</v>
      </c>
    </row>
    <row r="143" spans="1:24" s="4" customFormat="1" ht="15" customHeight="1">
      <c r="A143" s="28" t="s">
        <v>2682</v>
      </c>
      <c r="B143" s="29">
        <v>3278.81</v>
      </c>
      <c r="C143" s="30" t="s">
        <v>2911</v>
      </c>
      <c r="D143" s="2">
        <v>4951241945</v>
      </c>
      <c r="E143" s="2" t="s">
        <v>24</v>
      </c>
      <c r="F143" s="2" t="s">
        <v>2912</v>
      </c>
      <c r="G143" s="28" t="s">
        <v>9</v>
      </c>
      <c r="H143" s="2" t="s">
        <v>23</v>
      </c>
      <c r="I143" s="2">
        <v>3</v>
      </c>
      <c r="J143" s="2"/>
      <c r="K143" s="2">
        <v>5608.8</v>
      </c>
      <c r="L143" s="35">
        <v>18390189.528000001</v>
      </c>
      <c r="M143" s="36">
        <v>380</v>
      </c>
      <c r="N143" s="40">
        <v>570945.13363029005</v>
      </c>
      <c r="O143" s="40">
        <v>479.03474903474898</v>
      </c>
      <c r="P143" s="40">
        <v>0</v>
      </c>
      <c r="Q143" s="40">
        <v>14797.9922779923</v>
      </c>
      <c r="R143" s="40">
        <v>89529.354120267293</v>
      </c>
      <c r="S143" s="40">
        <v>224925.300668151</v>
      </c>
      <c r="T143" s="40"/>
      <c r="U143" s="40">
        <v>868139.19821826299</v>
      </c>
      <c r="V143" s="40">
        <v>0</v>
      </c>
      <c r="W143" s="45">
        <v>1768816.013664</v>
      </c>
      <c r="X143" s="46">
        <v>9.6182587513352509</v>
      </c>
    </row>
    <row r="144" spans="1:24" s="4" customFormat="1" ht="15" customHeight="1">
      <c r="A144" s="28" t="s">
        <v>2682</v>
      </c>
      <c r="B144" s="29">
        <v>3278.81</v>
      </c>
      <c r="C144" s="30" t="s">
        <v>2911</v>
      </c>
      <c r="D144" s="2">
        <v>4951213102</v>
      </c>
      <c r="E144" s="2" t="s">
        <v>24</v>
      </c>
      <c r="F144" s="2" t="s">
        <v>2912</v>
      </c>
      <c r="G144" s="28" t="s">
        <v>9</v>
      </c>
      <c r="H144" s="2" t="s">
        <v>23</v>
      </c>
      <c r="I144" s="2">
        <v>3</v>
      </c>
      <c r="J144" s="2"/>
      <c r="K144" s="2">
        <v>955.08</v>
      </c>
      <c r="L144" s="35">
        <v>3131525.8547999999</v>
      </c>
      <c r="M144" s="36">
        <v>126</v>
      </c>
      <c r="N144" s="40">
        <v>63104.4621380846</v>
      </c>
      <c r="O144" s="40">
        <v>158.83783783783801</v>
      </c>
      <c r="P144" s="40">
        <v>0</v>
      </c>
      <c r="Q144" s="40">
        <v>4906.7027027026998</v>
      </c>
      <c r="R144" s="40">
        <v>9895.3496659242792</v>
      </c>
      <c r="S144" s="40">
        <v>24860.164810690399</v>
      </c>
      <c r="T144" s="40"/>
      <c r="U144" s="40">
        <v>95952.227171492195</v>
      </c>
      <c r="V144" s="40">
        <v>0</v>
      </c>
      <c r="W144" s="45">
        <v>198877.744326732</v>
      </c>
      <c r="X144" s="46">
        <v>6.3508255575119197</v>
      </c>
    </row>
    <row r="145" spans="1:24" s="4" customFormat="1" ht="15" customHeight="1">
      <c r="A145" s="28" t="s">
        <v>2682</v>
      </c>
      <c r="B145" s="29">
        <v>3278.81</v>
      </c>
      <c r="C145" s="30" t="s">
        <v>2911</v>
      </c>
      <c r="D145" s="2">
        <v>4951241944</v>
      </c>
      <c r="E145" s="2" t="s">
        <v>24</v>
      </c>
      <c r="F145" s="2" t="s">
        <v>2912</v>
      </c>
      <c r="G145" s="28" t="s">
        <v>9</v>
      </c>
      <c r="H145" s="2" t="s">
        <v>23</v>
      </c>
      <c r="I145" s="2">
        <v>3</v>
      </c>
      <c r="J145" s="2"/>
      <c r="K145" s="2">
        <v>8972.7000000000007</v>
      </c>
      <c r="L145" s="35">
        <v>29419778.487</v>
      </c>
      <c r="M145" s="36">
        <v>330</v>
      </c>
      <c r="N145" s="40">
        <v>165273.59131403099</v>
      </c>
      <c r="O145" s="40">
        <v>416.003861003861</v>
      </c>
      <c r="P145" s="40">
        <v>0</v>
      </c>
      <c r="Q145" s="40">
        <v>12850.888030888</v>
      </c>
      <c r="R145" s="40">
        <v>25916.391982182598</v>
      </c>
      <c r="S145" s="40">
        <v>65109.955456570198</v>
      </c>
      <c r="T145" s="40"/>
      <c r="U145" s="40">
        <v>251303.45211581301</v>
      </c>
      <c r="V145" s="40">
        <v>0</v>
      </c>
      <c r="W145" s="45">
        <v>520870.28276048898</v>
      </c>
      <c r="X145" s="46">
        <v>1.77047656218979</v>
      </c>
    </row>
    <row r="146" spans="1:24" s="4" customFormat="1" ht="15" customHeight="1">
      <c r="A146" s="28" t="s">
        <v>2682</v>
      </c>
      <c r="B146" s="29">
        <v>3278.81</v>
      </c>
      <c r="C146" s="30" t="s">
        <v>2975</v>
      </c>
      <c r="D146" s="2">
        <v>4951213101</v>
      </c>
      <c r="E146" s="2" t="s">
        <v>24</v>
      </c>
      <c r="F146" s="2" t="s">
        <v>2976</v>
      </c>
      <c r="G146" s="28" t="s">
        <v>5</v>
      </c>
      <c r="H146" s="2" t="s">
        <v>17</v>
      </c>
      <c r="I146" s="2">
        <v>1</v>
      </c>
      <c r="J146" s="2" t="s">
        <v>2977</v>
      </c>
      <c r="K146" s="2">
        <v>2596</v>
      </c>
      <c r="L146" s="35">
        <v>8511790.7599999998</v>
      </c>
      <c r="M146" s="36">
        <v>880</v>
      </c>
      <c r="N146" s="40">
        <v>13863.848699763599</v>
      </c>
      <c r="O146" s="40">
        <v>17626.2959810875</v>
      </c>
      <c r="P146" s="40">
        <v>0</v>
      </c>
      <c r="Q146" s="40">
        <v>4576.8321513002402</v>
      </c>
      <c r="R146" s="40">
        <v>40537.825531914903</v>
      </c>
      <c r="S146" s="40">
        <v>14743.8903073286</v>
      </c>
      <c r="T146" s="40"/>
      <c r="U146" s="40">
        <v>263142.88416075602</v>
      </c>
      <c r="V146" s="40">
        <v>0</v>
      </c>
      <c r="W146" s="45">
        <v>354491.57683215098</v>
      </c>
      <c r="X146" s="46">
        <v>4.1647120662086197</v>
      </c>
    </row>
    <row r="148" spans="1:24" ht="15" customHeight="1">
      <c r="A148" s="31" t="s">
        <v>2682</v>
      </c>
      <c r="B148" s="31"/>
      <c r="C148" s="31"/>
      <c r="D148" s="31"/>
      <c r="E148" s="31"/>
      <c r="F148" s="32">
        <v>11</v>
      </c>
      <c r="G148" s="31"/>
      <c r="H148" s="31"/>
      <c r="I148" s="38"/>
      <c r="J148" s="31"/>
      <c r="K148" s="39">
        <f>+SUM(K133:K146)</f>
        <v>143647.88</v>
      </c>
      <c r="L148" s="39">
        <f>+SUM(L133:L146)</f>
        <v>470994105.4228</v>
      </c>
      <c r="M148" s="31"/>
      <c r="N148" s="39"/>
      <c r="O148" s="39"/>
      <c r="P148" s="39"/>
      <c r="Q148" s="39"/>
      <c r="R148" s="39"/>
      <c r="S148" s="39"/>
      <c r="T148" s="39"/>
      <c r="U148" s="39"/>
      <c r="V148" s="31"/>
      <c r="W148" s="39">
        <f>+SUM(W133:W146)</f>
        <v>32793615.407653175</v>
      </c>
      <c r="X148" s="47">
        <f>(W148/L148)*100</f>
        <v>6.962638179561746</v>
      </c>
    </row>
    <row r="150" spans="1:24" s="4" customFormat="1" ht="15" customHeight="1">
      <c r="A150" s="28" t="s">
        <v>3019</v>
      </c>
      <c r="B150" s="29">
        <v>3196.165</v>
      </c>
      <c r="C150" s="30" t="s">
        <v>3033</v>
      </c>
      <c r="D150" s="2">
        <v>4951566902</v>
      </c>
      <c r="E150" s="2" t="s">
        <v>24</v>
      </c>
      <c r="F150" s="2" t="s">
        <v>3034</v>
      </c>
      <c r="G150" s="28" t="s">
        <v>5</v>
      </c>
      <c r="H150" s="2" t="s">
        <v>17</v>
      </c>
      <c r="I150" s="2">
        <v>1</v>
      </c>
      <c r="J150" s="2" t="s">
        <v>3035</v>
      </c>
      <c r="K150" s="2">
        <v>15717.24</v>
      </c>
      <c r="L150" s="35">
        <v>50234892.384599999</v>
      </c>
      <c r="M150" s="36">
        <v>20412</v>
      </c>
      <c r="N150" s="40">
        <v>328456</v>
      </c>
      <c r="O150" s="40">
        <v>422830</v>
      </c>
      <c r="P150" s="40">
        <v>310991</v>
      </c>
      <c r="Q150" s="40">
        <v>109618</v>
      </c>
      <c r="R150" s="40">
        <v>750569</v>
      </c>
      <c r="S150" s="40">
        <v>354356</v>
      </c>
      <c r="T150" s="40"/>
      <c r="U150" s="40">
        <v>5640550</v>
      </c>
      <c r="V150" s="40">
        <v>0</v>
      </c>
      <c r="W150" s="45">
        <v>7917370</v>
      </c>
      <c r="X150" s="46">
        <v>15.7606986382779</v>
      </c>
    </row>
    <row r="151" spans="1:24" s="4" customFormat="1" ht="15" customHeight="1">
      <c r="A151" s="28" t="s">
        <v>3019</v>
      </c>
      <c r="B151" s="29">
        <v>3196.165</v>
      </c>
      <c r="C151" s="30" t="s">
        <v>3071</v>
      </c>
      <c r="D151" s="2">
        <v>4951318746</v>
      </c>
      <c r="E151" s="2" t="s">
        <v>24</v>
      </c>
      <c r="F151" s="78" t="s">
        <v>3072</v>
      </c>
      <c r="G151" s="28" t="s">
        <v>13</v>
      </c>
      <c r="H151" s="2" t="s">
        <v>23</v>
      </c>
      <c r="I151" s="2">
        <v>1</v>
      </c>
      <c r="J151" s="2"/>
      <c r="K151" s="2">
        <v>557.19000000000005</v>
      </c>
      <c r="L151" s="35">
        <v>1780871.1763500001</v>
      </c>
      <c r="M151" s="36">
        <v>204.1</v>
      </c>
      <c r="N151" s="40">
        <v>251220.12</v>
      </c>
      <c r="O151" s="40">
        <v>0</v>
      </c>
      <c r="P151" s="40">
        <v>0</v>
      </c>
      <c r="Q151" s="40">
        <v>0</v>
      </c>
      <c r="R151" s="40">
        <v>1004</v>
      </c>
      <c r="S151" s="40">
        <v>354356</v>
      </c>
      <c r="T151" s="40"/>
      <c r="U151" s="40">
        <v>0</v>
      </c>
      <c r="V151" s="40">
        <v>0</v>
      </c>
      <c r="W151" s="45">
        <v>606580.12</v>
      </c>
      <c r="X151" s="46">
        <v>34.0608645956762</v>
      </c>
    </row>
    <row r="152" spans="1:24" s="4" customFormat="1" ht="15" customHeight="1">
      <c r="A152" s="28" t="s">
        <v>3019</v>
      </c>
      <c r="B152" s="29">
        <v>3196.165</v>
      </c>
      <c r="C152" s="30" t="s">
        <v>3112</v>
      </c>
      <c r="D152" s="2">
        <v>4948561425</v>
      </c>
      <c r="E152" s="2" t="s">
        <v>24</v>
      </c>
      <c r="F152" s="2" t="s">
        <v>3113</v>
      </c>
      <c r="G152" s="28" t="s">
        <v>9</v>
      </c>
      <c r="H152" s="2" t="s">
        <v>23</v>
      </c>
      <c r="I152" s="2">
        <v>1</v>
      </c>
      <c r="J152" s="2"/>
      <c r="K152" s="2">
        <v>520</v>
      </c>
      <c r="L152" s="35">
        <v>1662005.8</v>
      </c>
      <c r="M152" s="36">
        <v>200</v>
      </c>
      <c r="N152" s="40">
        <v>604605</v>
      </c>
      <c r="O152" s="40">
        <v>0</v>
      </c>
      <c r="P152" s="40">
        <v>46201</v>
      </c>
      <c r="Q152" s="40">
        <v>92592</v>
      </c>
      <c r="R152" s="40">
        <v>120480</v>
      </c>
      <c r="S152" s="40">
        <v>354356</v>
      </c>
      <c r="T152" s="40"/>
      <c r="U152" s="40">
        <v>557750</v>
      </c>
      <c r="V152" s="40">
        <v>0</v>
      </c>
      <c r="W152" s="45">
        <v>1775984</v>
      </c>
      <c r="X152" s="46">
        <v>106.85787017109099</v>
      </c>
    </row>
    <row r="153" spans="1:24" s="4" customFormat="1" ht="15" customHeight="1">
      <c r="A153" s="28" t="s">
        <v>3019</v>
      </c>
      <c r="B153" s="29">
        <v>3196.165</v>
      </c>
      <c r="C153" s="30" t="s">
        <v>3133</v>
      </c>
      <c r="D153" s="2">
        <v>4950133765</v>
      </c>
      <c r="E153" s="2" t="s">
        <v>24</v>
      </c>
      <c r="F153" s="2" t="s">
        <v>3134</v>
      </c>
      <c r="G153" s="28" t="s">
        <v>9</v>
      </c>
      <c r="H153" s="2" t="s">
        <v>23</v>
      </c>
      <c r="I153" s="2">
        <v>9</v>
      </c>
      <c r="J153" s="2"/>
      <c r="K153" s="2">
        <v>8592.7999999999993</v>
      </c>
      <c r="L153" s="35">
        <v>27464006.612</v>
      </c>
      <c r="M153" s="36">
        <v>1840</v>
      </c>
      <c r="N153" s="40">
        <v>1063409.18959108</v>
      </c>
      <c r="O153" s="48">
        <v>1288.9576208178401</v>
      </c>
      <c r="P153" s="40">
        <v>134164.044609665</v>
      </c>
      <c r="Q153" s="40">
        <v>39618.141263940503</v>
      </c>
      <c r="R153" s="40">
        <v>68206.679553903305</v>
      </c>
      <c r="S153" s="40">
        <v>96953.909293680306</v>
      </c>
      <c r="T153" s="48"/>
      <c r="U153" s="40">
        <v>944816.05947955395</v>
      </c>
      <c r="V153" s="40">
        <v>0</v>
      </c>
      <c r="W153" s="45">
        <v>2348456.9814126398</v>
      </c>
      <c r="X153" s="46">
        <v>8.5510355957550495</v>
      </c>
    </row>
    <row r="154" spans="1:24" s="4" customFormat="1" ht="15" customHeight="1">
      <c r="A154" s="28" t="s">
        <v>3019</v>
      </c>
      <c r="B154" s="29">
        <v>3196.165</v>
      </c>
      <c r="C154" s="30" t="s">
        <v>3166</v>
      </c>
      <c r="D154" s="2">
        <v>4951650233</v>
      </c>
      <c r="E154" s="2" t="s">
        <v>24</v>
      </c>
      <c r="F154" s="2" t="s">
        <v>3167</v>
      </c>
      <c r="G154" s="28" t="s">
        <v>5</v>
      </c>
      <c r="H154" s="2" t="s">
        <v>17</v>
      </c>
      <c r="I154" s="2">
        <v>1</v>
      </c>
      <c r="J154" s="2" t="s">
        <v>3168</v>
      </c>
      <c r="K154" s="2">
        <v>5486.4</v>
      </c>
      <c r="L154" s="35">
        <v>17535439.655999999</v>
      </c>
      <c r="M154" s="36">
        <v>4320</v>
      </c>
      <c r="N154" s="40">
        <v>177433.93450881599</v>
      </c>
      <c r="O154" s="40">
        <v>231633.61209067999</v>
      </c>
      <c r="P154" s="40">
        <v>0</v>
      </c>
      <c r="Q154" s="48">
        <v>59848.866498740601</v>
      </c>
      <c r="R154" s="40">
        <v>356358.649874055</v>
      </c>
      <c r="S154" s="40">
        <v>192798.22670025201</v>
      </c>
      <c r="T154" s="48"/>
      <c r="U154" s="40">
        <v>2567543.5768261999</v>
      </c>
      <c r="V154" s="40">
        <v>0</v>
      </c>
      <c r="W154" s="45">
        <v>3585616.8664987399</v>
      </c>
      <c r="X154" s="46">
        <v>20.447829862491499</v>
      </c>
    </row>
    <row r="155" spans="1:24" s="4" customFormat="1" ht="15" customHeight="1">
      <c r="A155" s="28" t="s">
        <v>3019</v>
      </c>
      <c r="B155" s="29">
        <v>3196.165</v>
      </c>
      <c r="C155" s="30" t="s">
        <v>3166</v>
      </c>
      <c r="D155" s="2">
        <v>4951650233</v>
      </c>
      <c r="E155" s="2" t="s">
        <v>24</v>
      </c>
      <c r="F155" s="2" t="s">
        <v>3167</v>
      </c>
      <c r="G155" s="28" t="s">
        <v>5</v>
      </c>
      <c r="H155" s="2" t="s">
        <v>17</v>
      </c>
      <c r="I155" s="2">
        <v>1</v>
      </c>
      <c r="J155" s="2" t="s">
        <v>3168</v>
      </c>
      <c r="K155" s="2">
        <v>14986.8</v>
      </c>
      <c r="L155" s="35">
        <v>47900285.622000001</v>
      </c>
      <c r="M155" s="36">
        <v>3620</v>
      </c>
      <c r="N155" s="40">
        <v>148683.06549118401</v>
      </c>
      <c r="O155" s="40">
        <v>194100.38790932001</v>
      </c>
      <c r="P155" s="40">
        <v>0</v>
      </c>
      <c r="Q155" s="48">
        <v>50151.133501259399</v>
      </c>
      <c r="R155" s="40">
        <v>298615.350125945</v>
      </c>
      <c r="S155" s="40">
        <v>161557.77329974799</v>
      </c>
      <c r="T155" s="48"/>
      <c r="U155" s="40">
        <v>2151506.4231738001</v>
      </c>
      <c r="V155" s="40">
        <v>0</v>
      </c>
      <c r="W155" s="45">
        <v>3004614.1335012601</v>
      </c>
      <c r="X155" s="46">
        <v>6.2726434602328904</v>
      </c>
    </row>
    <row r="156" spans="1:24" s="4" customFormat="1" ht="15" customHeight="1">
      <c r="A156" s="28" t="s">
        <v>3019</v>
      </c>
      <c r="B156" s="29">
        <v>3196.165</v>
      </c>
      <c r="C156" s="30" t="s">
        <v>3232</v>
      </c>
      <c r="D156" s="2">
        <v>4951375932</v>
      </c>
      <c r="E156" s="2" t="s">
        <v>24</v>
      </c>
      <c r="F156" s="2" t="s">
        <v>3233</v>
      </c>
      <c r="G156" s="28" t="s">
        <v>5</v>
      </c>
      <c r="H156" s="2" t="s">
        <v>26</v>
      </c>
      <c r="I156" s="2">
        <v>1</v>
      </c>
      <c r="J156" s="2" t="s">
        <v>3234</v>
      </c>
      <c r="K156" s="2">
        <v>32718</v>
      </c>
      <c r="L156" s="35">
        <v>104572126.47</v>
      </c>
      <c r="M156" s="36">
        <v>24600</v>
      </c>
      <c r="N156" s="40">
        <v>332281</v>
      </c>
      <c r="O156" s="40">
        <v>392940</v>
      </c>
      <c r="P156" s="40">
        <v>350000</v>
      </c>
      <c r="Q156" s="48">
        <v>111691</v>
      </c>
      <c r="R156" s="40">
        <v>778591</v>
      </c>
      <c r="S156" s="40">
        <v>354356</v>
      </c>
      <c r="T156" s="40"/>
      <c r="U156" s="40">
        <v>0</v>
      </c>
      <c r="V156" s="40">
        <v>0</v>
      </c>
      <c r="W156" s="45">
        <v>2319859</v>
      </c>
      <c r="X156" s="46">
        <v>2.21842959334439</v>
      </c>
    </row>
    <row r="157" spans="1:24" s="4" customFormat="1" ht="15" customHeight="1">
      <c r="A157" s="28" t="s">
        <v>3019</v>
      </c>
      <c r="B157" s="29">
        <v>3196.165</v>
      </c>
      <c r="C157" s="30" t="s">
        <v>3235</v>
      </c>
      <c r="D157" s="2">
        <v>4950216837</v>
      </c>
      <c r="E157" s="2" t="s">
        <v>24</v>
      </c>
      <c r="F157" s="2" t="s">
        <v>3236</v>
      </c>
      <c r="G157" s="28" t="s">
        <v>5</v>
      </c>
      <c r="H157" s="2" t="s">
        <v>26</v>
      </c>
      <c r="I157" s="2">
        <v>4</v>
      </c>
      <c r="J157" s="2" t="s">
        <v>3237</v>
      </c>
      <c r="K157" s="2">
        <v>111174</v>
      </c>
      <c r="L157" s="35">
        <v>355330447.70999998</v>
      </c>
      <c r="M157" s="36">
        <v>95840</v>
      </c>
      <c r="N157" s="40">
        <v>1291425</v>
      </c>
      <c r="O157" s="40">
        <v>1541309</v>
      </c>
      <c r="P157" s="40">
        <v>1293567</v>
      </c>
      <c r="Q157" s="48">
        <v>449548</v>
      </c>
      <c r="R157" s="40">
        <v>3128076</v>
      </c>
      <c r="S157" s="40">
        <v>354356</v>
      </c>
      <c r="T157" s="40"/>
      <c r="U157" s="40">
        <v>9677176</v>
      </c>
      <c r="V157" s="40">
        <v>0</v>
      </c>
      <c r="W157" s="45">
        <v>17735457</v>
      </c>
      <c r="X157" s="46">
        <v>4.9912573252024401</v>
      </c>
    </row>
    <row r="158" spans="1:24" s="4" customFormat="1" ht="15" customHeight="1">
      <c r="A158" s="28" t="s">
        <v>3019</v>
      </c>
      <c r="B158" s="29">
        <v>3196.165</v>
      </c>
      <c r="C158" s="30" t="s">
        <v>3240</v>
      </c>
      <c r="D158" s="2">
        <v>4950216850</v>
      </c>
      <c r="E158" s="2" t="s">
        <v>24</v>
      </c>
      <c r="F158" s="2" t="s">
        <v>3241</v>
      </c>
      <c r="G158" s="28" t="s">
        <v>9</v>
      </c>
      <c r="H158" s="2" t="s">
        <v>23</v>
      </c>
      <c r="I158" s="2">
        <v>4</v>
      </c>
      <c r="J158" s="2"/>
      <c r="K158" s="2">
        <v>6208</v>
      </c>
      <c r="L158" s="35">
        <v>19841792.32</v>
      </c>
      <c r="M158" s="36">
        <v>3200</v>
      </c>
      <c r="N158" s="40">
        <v>694772</v>
      </c>
      <c r="O158" s="40">
        <v>0</v>
      </c>
      <c r="P158" s="40">
        <v>57212</v>
      </c>
      <c r="Q158" s="48">
        <v>47669</v>
      </c>
      <c r="R158" s="40">
        <v>59054</v>
      </c>
      <c r="S158" s="40">
        <v>354356</v>
      </c>
      <c r="T158" s="40"/>
      <c r="U158" s="40">
        <v>557750</v>
      </c>
      <c r="V158" s="40">
        <v>0</v>
      </c>
      <c r="W158" s="45">
        <v>1770813</v>
      </c>
      <c r="X158" s="46">
        <v>8.9246625075047703</v>
      </c>
    </row>
    <row r="159" spans="1:24" s="4" customFormat="1" ht="15" customHeight="1">
      <c r="A159" s="28" t="s">
        <v>3019</v>
      </c>
      <c r="B159" s="29">
        <v>3196.165</v>
      </c>
      <c r="C159" s="30" t="s">
        <v>3272</v>
      </c>
      <c r="D159" s="2">
        <v>4950808384</v>
      </c>
      <c r="E159" s="2" t="s">
        <v>24</v>
      </c>
      <c r="F159" s="2" t="s">
        <v>3273</v>
      </c>
      <c r="G159" s="28" t="s">
        <v>9</v>
      </c>
      <c r="H159" s="2" t="s">
        <v>23</v>
      </c>
      <c r="I159" s="2">
        <v>3</v>
      </c>
      <c r="J159" s="2"/>
      <c r="K159" s="2">
        <v>5200.8</v>
      </c>
      <c r="L159" s="35">
        <v>16622614.932</v>
      </c>
      <c r="M159" s="36">
        <v>2640</v>
      </c>
      <c r="N159" s="40">
        <v>1269030</v>
      </c>
      <c r="O159" s="40">
        <v>1791</v>
      </c>
      <c r="P159" s="40">
        <v>83347</v>
      </c>
      <c r="Q159" s="40">
        <v>44441</v>
      </c>
      <c r="R159" s="40">
        <v>131387</v>
      </c>
      <c r="S159" s="40">
        <v>354356</v>
      </c>
      <c r="T159" s="40"/>
      <c r="U159" s="40">
        <v>1079020.3365032901</v>
      </c>
      <c r="V159" s="40">
        <v>0</v>
      </c>
      <c r="W159" s="45">
        <v>2963372.3365032901</v>
      </c>
      <c r="X159" s="46">
        <v>17.827353569976101</v>
      </c>
    </row>
    <row r="160" spans="1:24" s="4" customFormat="1" ht="15" customHeight="1">
      <c r="A160" s="28" t="s">
        <v>3019</v>
      </c>
      <c r="B160" s="29">
        <v>3196.165</v>
      </c>
      <c r="C160" s="30" t="s">
        <v>3277</v>
      </c>
      <c r="D160" s="2">
        <v>4951489699</v>
      </c>
      <c r="E160" s="2" t="s">
        <v>24</v>
      </c>
      <c r="F160" s="2" t="s">
        <v>3278</v>
      </c>
      <c r="G160" s="28" t="s">
        <v>9</v>
      </c>
      <c r="H160" s="2" t="s">
        <v>23</v>
      </c>
      <c r="I160" s="2">
        <v>2</v>
      </c>
      <c r="J160" s="2"/>
      <c r="K160" s="2">
        <v>5643</v>
      </c>
      <c r="L160" s="35">
        <v>18035959.094999999</v>
      </c>
      <c r="M160" s="36">
        <v>1100</v>
      </c>
      <c r="N160" s="40">
        <v>384821</v>
      </c>
      <c r="O160" s="40">
        <v>774</v>
      </c>
      <c r="P160" s="40">
        <v>0</v>
      </c>
      <c r="Q160" s="40">
        <v>19328</v>
      </c>
      <c r="R160" s="40">
        <v>594625</v>
      </c>
      <c r="S160" s="40">
        <v>354356</v>
      </c>
      <c r="T160" s="40"/>
      <c r="U160" s="40">
        <v>1367700</v>
      </c>
      <c r="V160" s="40">
        <v>0</v>
      </c>
      <c r="W160" s="45">
        <v>2721604</v>
      </c>
      <c r="X160" s="46">
        <v>15.0898767604463</v>
      </c>
    </row>
    <row r="161" spans="1:24" s="4" customFormat="1" ht="15" customHeight="1">
      <c r="A161" s="28" t="s">
        <v>3019</v>
      </c>
      <c r="B161" s="29">
        <v>3196.165</v>
      </c>
      <c r="C161" s="30" t="s">
        <v>3311</v>
      </c>
      <c r="D161" s="2">
        <v>4951241943</v>
      </c>
      <c r="E161" s="2" t="s">
        <v>24</v>
      </c>
      <c r="F161" s="2" t="s">
        <v>3312</v>
      </c>
      <c r="G161" s="28" t="s">
        <v>9</v>
      </c>
      <c r="H161" s="2" t="s">
        <v>23</v>
      </c>
      <c r="I161" s="2">
        <v>6</v>
      </c>
      <c r="J161" s="2"/>
      <c r="K161" s="2">
        <v>3860</v>
      </c>
      <c r="L161" s="35">
        <v>12337196.9</v>
      </c>
      <c r="M161" s="36">
        <v>6000</v>
      </c>
      <c r="N161" s="40">
        <v>820138</v>
      </c>
      <c r="O161" s="40">
        <v>4073</v>
      </c>
      <c r="P161" s="40">
        <v>189336</v>
      </c>
      <c r="Q161" s="40">
        <v>100861</v>
      </c>
      <c r="R161" s="40">
        <v>193025</v>
      </c>
      <c r="S161" s="40">
        <v>354356</v>
      </c>
      <c r="T161" s="40"/>
      <c r="U161" s="40">
        <v>2452318.9465983901</v>
      </c>
      <c r="V161" s="40">
        <v>0</v>
      </c>
      <c r="W161" s="45">
        <v>4114107.9465983901</v>
      </c>
      <c r="X161" s="46">
        <v>33.347185587987099</v>
      </c>
    </row>
    <row r="162" spans="1:24" s="4" customFormat="1" ht="15" customHeight="1">
      <c r="A162" s="28" t="s">
        <v>3019</v>
      </c>
      <c r="B162" s="29">
        <v>3196.165</v>
      </c>
      <c r="C162" s="30" t="s">
        <v>3364</v>
      </c>
      <c r="D162" s="2">
        <v>4951650235</v>
      </c>
      <c r="E162" s="2" t="s">
        <v>24</v>
      </c>
      <c r="F162" s="2" t="s">
        <v>3365</v>
      </c>
      <c r="G162" s="28" t="s">
        <v>9</v>
      </c>
      <c r="H162" s="2" t="s">
        <v>23</v>
      </c>
      <c r="I162" s="2">
        <v>1</v>
      </c>
      <c r="J162" s="2"/>
      <c r="K162" s="2">
        <v>5340</v>
      </c>
      <c r="L162" s="35">
        <v>17067521.100000001</v>
      </c>
      <c r="M162" s="36">
        <v>1000</v>
      </c>
      <c r="N162" s="40">
        <v>481262</v>
      </c>
      <c r="O162" s="40">
        <v>670</v>
      </c>
      <c r="P162" s="40">
        <v>0</v>
      </c>
      <c r="Q162" s="40">
        <v>16798</v>
      </c>
      <c r="R162" s="40">
        <v>103522</v>
      </c>
      <c r="S162" s="40">
        <v>354356</v>
      </c>
      <c r="T162" s="40"/>
      <c r="U162" s="40">
        <v>406926.82926829299</v>
      </c>
      <c r="V162" s="40">
        <v>0</v>
      </c>
      <c r="W162" s="45">
        <v>1363534.82926829</v>
      </c>
      <c r="X162" s="46">
        <v>7.9890619222277897</v>
      </c>
    </row>
    <row r="163" spans="1:24" s="4" customFormat="1" ht="15" customHeight="1">
      <c r="A163" s="28" t="s">
        <v>3019</v>
      </c>
      <c r="B163" s="29">
        <v>3196.165</v>
      </c>
      <c r="C163" s="30" t="s">
        <v>3459</v>
      </c>
      <c r="D163" s="2">
        <v>4951574750</v>
      </c>
      <c r="E163" s="2" t="s">
        <v>24</v>
      </c>
      <c r="F163" s="2" t="s">
        <v>3460</v>
      </c>
      <c r="G163" s="28" t="s">
        <v>5</v>
      </c>
      <c r="H163" s="2" t="s">
        <v>20</v>
      </c>
      <c r="I163" s="2">
        <v>1</v>
      </c>
      <c r="J163" s="2" t="s">
        <v>3461</v>
      </c>
      <c r="K163" s="2">
        <v>18300</v>
      </c>
      <c r="L163" s="35">
        <v>58489819.5</v>
      </c>
      <c r="M163" s="36">
        <v>10000</v>
      </c>
      <c r="N163" s="40">
        <v>421288</v>
      </c>
      <c r="O163" s="40">
        <v>211829</v>
      </c>
      <c r="P163" s="40">
        <v>0</v>
      </c>
      <c r="Q163" s="40">
        <v>0</v>
      </c>
      <c r="R163" s="40">
        <v>417361</v>
      </c>
      <c r="S163" s="40">
        <v>354356</v>
      </c>
      <c r="T163" s="40"/>
      <c r="U163" s="40">
        <v>2347400</v>
      </c>
      <c r="V163" s="40">
        <v>0</v>
      </c>
      <c r="W163" s="45">
        <v>3752234</v>
      </c>
      <c r="X163" s="46">
        <v>6.4151916215094502</v>
      </c>
    </row>
    <row r="164" spans="1:24" s="4" customFormat="1" ht="15" customHeight="1">
      <c r="A164" s="28" t="s">
        <v>3019</v>
      </c>
      <c r="B164" s="29">
        <v>3196.165</v>
      </c>
      <c r="C164" s="30" t="s">
        <v>3465</v>
      </c>
      <c r="D164" s="2">
        <v>4950223954</v>
      </c>
      <c r="E164" s="2" t="s">
        <v>24</v>
      </c>
      <c r="F164" s="2" t="s">
        <v>3466</v>
      </c>
      <c r="G164" s="28" t="s">
        <v>9</v>
      </c>
      <c r="H164" s="2" t="s">
        <v>23</v>
      </c>
      <c r="I164" s="2">
        <v>2</v>
      </c>
      <c r="J164" s="2"/>
      <c r="K164" s="2">
        <v>3849.36</v>
      </c>
      <c r="L164" s="35">
        <v>12303189.704399999</v>
      </c>
      <c r="M164" s="36">
        <v>1741.7919999999999</v>
      </c>
      <c r="N164" s="40">
        <v>707479</v>
      </c>
      <c r="O164" s="40">
        <v>0</v>
      </c>
      <c r="P164" s="40">
        <v>66143</v>
      </c>
      <c r="Q164" s="40">
        <v>91564</v>
      </c>
      <c r="R164" s="40">
        <v>113909</v>
      </c>
      <c r="S164" s="40">
        <v>354356</v>
      </c>
      <c r="T164" s="40"/>
      <c r="U164" s="40">
        <v>557750</v>
      </c>
      <c r="V164" s="40">
        <v>0</v>
      </c>
      <c r="W164" s="45">
        <v>1891201</v>
      </c>
      <c r="X164" s="46">
        <v>15.371631629183501</v>
      </c>
    </row>
    <row r="165" spans="1:24" s="4" customFormat="1" ht="15" customHeight="1">
      <c r="A165" s="28" t="s">
        <v>3019</v>
      </c>
      <c r="B165" s="29">
        <v>3196.165</v>
      </c>
      <c r="C165" s="30" t="s">
        <v>3470</v>
      </c>
      <c r="D165" s="2">
        <v>4950250828</v>
      </c>
      <c r="E165" s="2" t="s">
        <v>24</v>
      </c>
      <c r="F165" s="2" t="s">
        <v>3471</v>
      </c>
      <c r="G165" s="28" t="s">
        <v>9</v>
      </c>
      <c r="H165" s="2" t="s">
        <v>23</v>
      </c>
      <c r="I165" s="2">
        <v>1</v>
      </c>
      <c r="J165" s="2"/>
      <c r="K165" s="2">
        <v>2547.6</v>
      </c>
      <c r="L165" s="35">
        <v>8142549.9539999999</v>
      </c>
      <c r="M165" s="36">
        <v>120</v>
      </c>
      <c r="N165" s="40">
        <v>701161</v>
      </c>
      <c r="O165" s="40">
        <v>0</v>
      </c>
      <c r="P165" s="40">
        <v>2557</v>
      </c>
      <c r="Q165" s="40">
        <v>48194</v>
      </c>
      <c r="R165" s="40">
        <v>56454</v>
      </c>
      <c r="S165" s="40">
        <v>354356</v>
      </c>
      <c r="T165" s="40"/>
      <c r="U165" s="40">
        <v>557750</v>
      </c>
      <c r="V165" s="40">
        <v>0</v>
      </c>
      <c r="W165" s="45">
        <v>1720472</v>
      </c>
      <c r="X165" s="46">
        <v>21.129400614298</v>
      </c>
    </row>
    <row r="167" spans="1:24" ht="15" customHeight="1">
      <c r="A167" s="31" t="s">
        <v>3019</v>
      </c>
      <c r="B167" s="31"/>
      <c r="C167" s="31"/>
      <c r="D167" s="31"/>
      <c r="E167" s="31"/>
      <c r="F167" s="32">
        <v>15</v>
      </c>
      <c r="G167" s="31"/>
      <c r="H167" s="31"/>
      <c r="I167" s="38"/>
      <c r="J167" s="31"/>
      <c r="K167" s="39">
        <f>+SUM(K150:K165)</f>
        <v>240701.18999999997</v>
      </c>
      <c r="L167" s="39">
        <f>+SUM(L150:L165)</f>
        <v>769320718.93634999</v>
      </c>
      <c r="M167" s="31"/>
      <c r="N167" s="39"/>
      <c r="O167" s="39"/>
      <c r="P167" s="39"/>
      <c r="Q167" s="39"/>
      <c r="R167" s="39"/>
      <c r="S167" s="39"/>
      <c r="T167" s="39"/>
      <c r="U167" s="39"/>
      <c r="V167" s="31"/>
      <c r="W167" s="39">
        <f>+SUM(W150:W165)</f>
        <v>59591277.213782609</v>
      </c>
      <c r="X167" s="47">
        <f>(W167/L167)*100</f>
        <v>7.7459602668926584</v>
      </c>
    </row>
    <row r="169" spans="1:24" s="4" customFormat="1" ht="15" customHeight="1">
      <c r="A169" s="28" t="s">
        <v>3483</v>
      </c>
      <c r="B169" s="29">
        <v>3387.15</v>
      </c>
      <c r="C169" s="30" t="s">
        <v>3513</v>
      </c>
      <c r="D169" s="2">
        <v>4950195011</v>
      </c>
      <c r="E169" s="2" t="s">
        <v>24</v>
      </c>
      <c r="F169" s="2" t="s">
        <v>3514</v>
      </c>
      <c r="G169" s="28" t="s">
        <v>13</v>
      </c>
      <c r="H169" s="2" t="s">
        <v>23</v>
      </c>
      <c r="I169" s="2">
        <v>12</v>
      </c>
      <c r="J169" s="2"/>
      <c r="K169" s="2">
        <v>2320</v>
      </c>
      <c r="L169" s="35">
        <v>7858188</v>
      </c>
      <c r="M169" s="36">
        <v>6.5</v>
      </c>
      <c r="N169" s="40">
        <v>102585</v>
      </c>
      <c r="O169" s="40">
        <v>0</v>
      </c>
      <c r="P169" s="40">
        <v>187318</v>
      </c>
      <c r="Q169" s="40">
        <v>0</v>
      </c>
      <c r="R169" s="40">
        <v>2701</v>
      </c>
      <c r="S169" s="40">
        <v>354356</v>
      </c>
      <c r="T169" s="40"/>
      <c r="U169" s="40">
        <v>246380</v>
      </c>
      <c r="V169" s="40">
        <v>0</v>
      </c>
      <c r="W169" s="45">
        <v>893340</v>
      </c>
      <c r="X169" s="46">
        <v>11.368269631624999</v>
      </c>
    </row>
    <row r="170" spans="1:24" s="4" customFormat="1" ht="15" customHeight="1">
      <c r="A170" s="28" t="s">
        <v>3483</v>
      </c>
      <c r="B170" s="29">
        <v>3387.15</v>
      </c>
      <c r="C170" s="30" t="s">
        <v>3533</v>
      </c>
      <c r="D170" s="2">
        <v>4951377854</v>
      </c>
      <c r="E170" s="2" t="s">
        <v>24</v>
      </c>
      <c r="F170" s="2" t="s">
        <v>3534</v>
      </c>
      <c r="G170" s="28" t="s">
        <v>5</v>
      </c>
      <c r="H170" s="2" t="s">
        <v>26</v>
      </c>
      <c r="I170" s="2">
        <v>1</v>
      </c>
      <c r="J170" s="2" t="s">
        <v>3535</v>
      </c>
      <c r="K170" s="2">
        <v>32804.449999999997</v>
      </c>
      <c r="L170" s="35">
        <v>111113592.8175</v>
      </c>
      <c r="M170" s="36">
        <v>24665</v>
      </c>
      <c r="N170" s="40">
        <v>380134</v>
      </c>
      <c r="O170" s="40">
        <v>382879</v>
      </c>
      <c r="P170" s="40">
        <v>545043</v>
      </c>
      <c r="Q170" s="40">
        <v>111673</v>
      </c>
      <c r="R170" s="40">
        <v>779472</v>
      </c>
      <c r="S170" s="40">
        <v>354356</v>
      </c>
      <c r="T170" s="40"/>
      <c r="U170" s="40">
        <v>0</v>
      </c>
      <c r="V170" s="40">
        <v>0</v>
      </c>
      <c r="W170" s="45">
        <v>2553557</v>
      </c>
      <c r="X170" s="46">
        <v>2.2981499699988301</v>
      </c>
    </row>
    <row r="171" spans="1:24" s="4" customFormat="1" ht="15" customHeight="1">
      <c r="A171" s="28" t="s">
        <v>3483</v>
      </c>
      <c r="B171" s="29">
        <v>3387.15</v>
      </c>
      <c r="C171" s="30" t="s">
        <v>3557</v>
      </c>
      <c r="D171" s="2">
        <v>4952085016</v>
      </c>
      <c r="E171" s="2" t="s">
        <v>24</v>
      </c>
      <c r="F171" s="2" t="s">
        <v>3558</v>
      </c>
      <c r="G171" s="28" t="s">
        <v>9</v>
      </c>
      <c r="H171" s="2" t="s">
        <v>23</v>
      </c>
      <c r="I171" s="2">
        <v>4</v>
      </c>
      <c r="J171" s="2"/>
      <c r="K171" s="2">
        <v>3072</v>
      </c>
      <c r="L171" s="35">
        <v>10405324.800000001</v>
      </c>
      <c r="M171" s="36">
        <v>2560</v>
      </c>
      <c r="N171" s="40">
        <v>865585</v>
      </c>
      <c r="O171" s="40">
        <v>1898</v>
      </c>
      <c r="P171" s="40">
        <v>25479</v>
      </c>
      <c r="Q171" s="40">
        <v>45191</v>
      </c>
      <c r="R171" s="40">
        <v>123247</v>
      </c>
      <c r="S171" s="40">
        <v>354356</v>
      </c>
      <c r="T171" s="40"/>
      <c r="U171" s="40">
        <v>1367700</v>
      </c>
      <c r="V171" s="40">
        <v>0</v>
      </c>
      <c r="W171" s="45">
        <v>2783456</v>
      </c>
      <c r="X171" s="46">
        <v>26.750303844431599</v>
      </c>
    </row>
    <row r="172" spans="1:24" s="4" customFormat="1" ht="15" customHeight="1">
      <c r="A172" s="28" t="s">
        <v>3483</v>
      </c>
      <c r="B172" s="29">
        <v>3387.15</v>
      </c>
      <c r="C172" s="30" t="s">
        <v>3586</v>
      </c>
      <c r="D172" s="2">
        <v>4951841981</v>
      </c>
      <c r="E172" s="2" t="s">
        <v>24</v>
      </c>
      <c r="F172" s="2" t="s">
        <v>3587</v>
      </c>
      <c r="G172" s="28" t="s">
        <v>9</v>
      </c>
      <c r="H172" s="2" t="s">
        <v>23</v>
      </c>
      <c r="I172" s="2">
        <v>1</v>
      </c>
      <c r="J172" s="2"/>
      <c r="K172" s="2">
        <v>5074</v>
      </c>
      <c r="L172" s="35">
        <v>17186399.100000001</v>
      </c>
      <c r="M172" s="36">
        <v>200</v>
      </c>
      <c r="N172" s="40">
        <v>443234</v>
      </c>
      <c r="O172" s="40">
        <v>0</v>
      </c>
      <c r="P172" s="40">
        <v>11848</v>
      </c>
      <c r="Q172" s="40">
        <v>48196</v>
      </c>
      <c r="R172" s="40">
        <v>63903</v>
      </c>
      <c r="S172" s="40">
        <v>354356</v>
      </c>
      <c r="T172" s="40"/>
      <c r="U172" s="40">
        <v>557750</v>
      </c>
      <c r="V172" s="40">
        <v>0</v>
      </c>
      <c r="W172" s="45">
        <v>1479287</v>
      </c>
      <c r="X172" s="46">
        <v>8.6073120459538295</v>
      </c>
    </row>
    <row r="173" spans="1:24" s="4" customFormat="1" ht="15" customHeight="1">
      <c r="A173" s="28" t="s">
        <v>3483</v>
      </c>
      <c r="B173" s="29">
        <v>3387.15</v>
      </c>
      <c r="C173" s="30" t="s">
        <v>3632</v>
      </c>
      <c r="D173" s="2">
        <v>4951846955</v>
      </c>
      <c r="E173" s="2" t="s">
        <v>24</v>
      </c>
      <c r="F173" s="2" t="s">
        <v>3633</v>
      </c>
      <c r="G173" s="28" t="s">
        <v>9</v>
      </c>
      <c r="H173" s="2" t="s">
        <v>23</v>
      </c>
      <c r="I173" s="2">
        <v>2</v>
      </c>
      <c r="J173" s="2"/>
      <c r="K173" s="2">
        <v>5443.2</v>
      </c>
      <c r="L173" s="35">
        <v>18436934.879999999</v>
      </c>
      <c r="M173" s="36">
        <v>1080</v>
      </c>
      <c r="N173" s="40">
        <v>656844</v>
      </c>
      <c r="O173" s="40">
        <v>808</v>
      </c>
      <c r="P173" s="40">
        <v>30302</v>
      </c>
      <c r="Q173" s="40">
        <v>24593</v>
      </c>
      <c r="R173" s="40">
        <v>111096.73</v>
      </c>
      <c r="S173" s="40">
        <v>354356</v>
      </c>
      <c r="T173" s="40"/>
      <c r="U173" s="40">
        <v>1367700</v>
      </c>
      <c r="V173" s="40">
        <v>0</v>
      </c>
      <c r="W173" s="45">
        <v>2545699.73</v>
      </c>
      <c r="X173" s="46">
        <v>13.807608187419101</v>
      </c>
    </row>
    <row r="174" spans="1:24" s="4" customFormat="1" ht="15" customHeight="1">
      <c r="A174" s="28" t="s">
        <v>3483</v>
      </c>
      <c r="B174" s="29">
        <v>3387.15</v>
      </c>
      <c r="C174" s="30" t="s">
        <v>3672</v>
      </c>
      <c r="D174" s="2">
        <v>4951846958</v>
      </c>
      <c r="E174" s="2" t="s">
        <v>24</v>
      </c>
      <c r="F174" s="2" t="s">
        <v>3673</v>
      </c>
      <c r="G174" s="28" t="s">
        <v>9</v>
      </c>
      <c r="H174" s="2" t="s">
        <v>23</v>
      </c>
      <c r="I174" s="2">
        <v>3</v>
      </c>
      <c r="J174" s="2"/>
      <c r="K174" s="2">
        <v>2990.9</v>
      </c>
      <c r="L174" s="35">
        <v>10130626.935000001</v>
      </c>
      <c r="M174" s="36">
        <v>110</v>
      </c>
      <c r="N174" s="40">
        <v>74862.090909090897</v>
      </c>
      <c r="O174" s="40">
        <v>298.33333333333297</v>
      </c>
      <c r="P174" s="40">
        <v>6642.2727272727298</v>
      </c>
      <c r="Q174" s="40">
        <v>9280.3333333333303</v>
      </c>
      <c r="R174" s="40">
        <v>11370</v>
      </c>
      <c r="S174" s="40">
        <v>32214.181818181802</v>
      </c>
      <c r="T174" s="40"/>
      <c r="U174" s="40">
        <v>124336.363636364</v>
      </c>
      <c r="V174" s="40">
        <v>0</v>
      </c>
      <c r="W174" s="45">
        <v>259003.57575757601</v>
      </c>
      <c r="X174" s="46">
        <v>2.55663916378909</v>
      </c>
    </row>
    <row r="175" spans="1:24" s="4" customFormat="1" ht="15" customHeight="1">
      <c r="A175" s="28" t="s">
        <v>3483</v>
      </c>
      <c r="B175" s="29">
        <v>3387.15</v>
      </c>
      <c r="C175" s="30" t="s">
        <v>3672</v>
      </c>
      <c r="D175" s="2">
        <v>4951899600</v>
      </c>
      <c r="E175" s="2" t="s">
        <v>24</v>
      </c>
      <c r="F175" s="2" t="s">
        <v>3673</v>
      </c>
      <c r="G175" s="28" t="s">
        <v>9</v>
      </c>
      <c r="H175" s="2" t="s">
        <v>23</v>
      </c>
      <c r="I175" s="2">
        <v>3</v>
      </c>
      <c r="J175" s="2"/>
      <c r="K175" s="2">
        <v>4263.6000000000004</v>
      </c>
      <c r="L175" s="35">
        <v>14441452.74</v>
      </c>
      <c r="M175" s="36">
        <v>760</v>
      </c>
      <c r="N175" s="40">
        <v>517228.99173553701</v>
      </c>
      <c r="O175" s="40">
        <v>298.33333333333297</v>
      </c>
      <c r="P175" s="40">
        <v>45892.066115702502</v>
      </c>
      <c r="Q175" s="40">
        <v>9280.3333333333303</v>
      </c>
      <c r="R175" s="40">
        <v>78556.363636363603</v>
      </c>
      <c r="S175" s="40">
        <v>222570.71074380199</v>
      </c>
      <c r="T175" s="40"/>
      <c r="U175" s="40">
        <v>859051.23966942099</v>
      </c>
      <c r="V175" s="40">
        <v>0</v>
      </c>
      <c r="W175" s="45">
        <v>1732878.0385674899</v>
      </c>
      <c r="X175" s="46">
        <v>11.999333237214801</v>
      </c>
    </row>
    <row r="176" spans="1:24" s="4" customFormat="1" ht="15" customHeight="1">
      <c r="A176" s="28" t="s">
        <v>3483</v>
      </c>
      <c r="B176" s="29">
        <v>3387.15</v>
      </c>
      <c r="C176" s="30" t="s">
        <v>3672</v>
      </c>
      <c r="D176" s="2">
        <v>4951576351</v>
      </c>
      <c r="E176" s="2" t="s">
        <v>24</v>
      </c>
      <c r="F176" s="2" t="s">
        <v>3673</v>
      </c>
      <c r="G176" s="28" t="s">
        <v>9</v>
      </c>
      <c r="H176" s="2" t="s">
        <v>23</v>
      </c>
      <c r="I176" s="2">
        <v>3</v>
      </c>
      <c r="J176" s="2"/>
      <c r="K176" s="2">
        <v>3519</v>
      </c>
      <c r="L176" s="35">
        <v>11919380.85</v>
      </c>
      <c r="M176" s="36">
        <v>340</v>
      </c>
      <c r="N176" s="40">
        <v>231391.91735537199</v>
      </c>
      <c r="O176" s="40">
        <v>298.33333333333297</v>
      </c>
      <c r="P176" s="40">
        <v>20530.661157024799</v>
      </c>
      <c r="Q176" s="40">
        <v>9280.3333333333303</v>
      </c>
      <c r="R176" s="40">
        <v>35143.636363636397</v>
      </c>
      <c r="S176" s="40">
        <v>99571.107438016494</v>
      </c>
      <c r="T176" s="40"/>
      <c r="U176" s="40">
        <v>384312.39669421501</v>
      </c>
      <c r="V176" s="40">
        <v>0</v>
      </c>
      <c r="W176" s="45">
        <v>780528.38567493099</v>
      </c>
      <c r="X176" s="46">
        <v>6.5483970643905698</v>
      </c>
    </row>
    <row r="177" spans="1:24" s="4" customFormat="1" ht="15" customHeight="1">
      <c r="A177" s="28" t="s">
        <v>3483</v>
      </c>
      <c r="B177" s="29">
        <v>3387.15</v>
      </c>
      <c r="C177" s="30" t="s">
        <v>3682</v>
      </c>
      <c r="D177" s="2">
        <v>4951846959</v>
      </c>
      <c r="E177" s="2" t="s">
        <v>24</v>
      </c>
      <c r="F177" s="2" t="s">
        <v>3683</v>
      </c>
      <c r="G177" s="28" t="s">
        <v>5</v>
      </c>
      <c r="H177" s="2" t="s">
        <v>17</v>
      </c>
      <c r="I177" s="2">
        <v>1</v>
      </c>
      <c r="J177" s="2" t="s">
        <v>3684</v>
      </c>
      <c r="K177" s="2">
        <v>11180</v>
      </c>
      <c r="L177" s="35">
        <v>37868337</v>
      </c>
      <c r="M177" s="36">
        <v>13000</v>
      </c>
      <c r="N177" s="40">
        <v>327735</v>
      </c>
      <c r="O177" s="40">
        <v>458999</v>
      </c>
      <c r="P177" s="40">
        <v>0</v>
      </c>
      <c r="Q177" s="40">
        <v>110000</v>
      </c>
      <c r="R177" s="40">
        <v>654645</v>
      </c>
      <c r="S177" s="40">
        <v>354356</v>
      </c>
      <c r="T177" s="40"/>
      <c r="U177" s="40">
        <v>5446550</v>
      </c>
      <c r="V177" s="40">
        <v>0</v>
      </c>
      <c r="W177" s="45">
        <v>7352285</v>
      </c>
      <c r="X177" s="46">
        <v>19.415389168000701</v>
      </c>
    </row>
    <row r="178" spans="1:24" s="4" customFormat="1" ht="15" customHeight="1">
      <c r="A178" s="28" t="s">
        <v>3483</v>
      </c>
      <c r="B178" s="29">
        <v>3387.15</v>
      </c>
      <c r="C178" s="30" t="s">
        <v>3685</v>
      </c>
      <c r="D178" s="2">
        <v>4951946707</v>
      </c>
      <c r="E178" s="2" t="s">
        <v>24</v>
      </c>
      <c r="F178" s="2" t="s">
        <v>3686</v>
      </c>
      <c r="G178" s="28" t="s">
        <v>5</v>
      </c>
      <c r="H178" s="2" t="s">
        <v>26</v>
      </c>
      <c r="I178" s="2">
        <v>1</v>
      </c>
      <c r="J178" s="2" t="s">
        <v>3687</v>
      </c>
      <c r="K178" s="2">
        <v>29016</v>
      </c>
      <c r="L178" s="35">
        <v>98281544.400000006</v>
      </c>
      <c r="M178" s="36">
        <v>24180</v>
      </c>
      <c r="N178" s="40">
        <v>381988</v>
      </c>
      <c r="O178" s="40">
        <v>387991</v>
      </c>
      <c r="P178" s="40">
        <v>469789</v>
      </c>
      <c r="Q178" s="40">
        <v>113164</v>
      </c>
      <c r="R178" s="40">
        <v>783418</v>
      </c>
      <c r="S178" s="40">
        <v>354356</v>
      </c>
      <c r="T178" s="40"/>
      <c r="U178" s="40">
        <v>0</v>
      </c>
      <c r="V178" s="40">
        <v>0</v>
      </c>
      <c r="W178" s="45">
        <v>2490706</v>
      </c>
      <c r="X178" s="46">
        <v>2.5342560652720101</v>
      </c>
    </row>
    <row r="179" spans="1:24" s="4" customFormat="1" ht="15" customHeight="1">
      <c r="A179" s="28" t="s">
        <v>3483</v>
      </c>
      <c r="B179" s="29">
        <v>3387.15</v>
      </c>
      <c r="C179" s="30" t="s">
        <v>3693</v>
      </c>
      <c r="D179" s="2">
        <v>4951946711</v>
      </c>
      <c r="E179" s="2" t="s">
        <v>24</v>
      </c>
      <c r="F179" s="2" t="s">
        <v>3694</v>
      </c>
      <c r="G179" s="28" t="s">
        <v>5</v>
      </c>
      <c r="H179" s="2" t="s">
        <v>26</v>
      </c>
      <c r="I179" s="2">
        <v>1</v>
      </c>
      <c r="J179" s="2" t="s">
        <v>3695</v>
      </c>
      <c r="K179" s="2">
        <v>29286</v>
      </c>
      <c r="L179" s="35">
        <v>99196074.900000006</v>
      </c>
      <c r="M179" s="36">
        <v>24405</v>
      </c>
      <c r="N179" s="40">
        <v>330309</v>
      </c>
      <c r="O179" s="40">
        <v>381331</v>
      </c>
      <c r="P179" s="40">
        <v>461726</v>
      </c>
      <c r="Q179" s="40">
        <v>111222</v>
      </c>
      <c r="R179" s="40">
        <v>768183</v>
      </c>
      <c r="S179" s="40">
        <v>354356</v>
      </c>
      <c r="T179" s="40"/>
      <c r="U179" s="40">
        <v>0</v>
      </c>
      <c r="V179" s="40">
        <v>0</v>
      </c>
      <c r="W179" s="45">
        <v>2407127</v>
      </c>
      <c r="X179" s="46">
        <v>2.4266353305074202</v>
      </c>
    </row>
    <row r="180" spans="1:24" s="4" customFormat="1" ht="15" customHeight="1">
      <c r="A180" s="28" t="s">
        <v>3483</v>
      </c>
      <c r="B180" s="29">
        <v>3387.15</v>
      </c>
      <c r="C180" s="30" t="s">
        <v>3699</v>
      </c>
      <c r="D180" s="2">
        <v>4951211698</v>
      </c>
      <c r="E180" s="2" t="s">
        <v>24</v>
      </c>
      <c r="F180" s="2" t="s">
        <v>3700</v>
      </c>
      <c r="G180" s="28" t="s">
        <v>5</v>
      </c>
      <c r="H180" s="2" t="s">
        <v>20</v>
      </c>
      <c r="I180" s="2">
        <v>1</v>
      </c>
      <c r="J180" s="2" t="s">
        <v>3701</v>
      </c>
      <c r="K180" s="2">
        <v>27982.5</v>
      </c>
      <c r="L180" s="35">
        <v>94780924.875</v>
      </c>
      <c r="M180" s="36">
        <v>13650</v>
      </c>
      <c r="N180" s="40">
        <v>424932</v>
      </c>
      <c r="O180" s="40">
        <v>309428</v>
      </c>
      <c r="P180" s="40">
        <v>394270</v>
      </c>
      <c r="Q180" s="40">
        <v>115213</v>
      </c>
      <c r="R180" s="40">
        <v>709697</v>
      </c>
      <c r="S180" s="40">
        <v>354356</v>
      </c>
      <c r="T180" s="40"/>
      <c r="U180" s="40">
        <v>2541400</v>
      </c>
      <c r="V180" s="40">
        <v>0</v>
      </c>
      <c r="W180" s="45">
        <v>4849296</v>
      </c>
      <c r="X180" s="46">
        <v>5.1163206166171102</v>
      </c>
    </row>
    <row r="181" spans="1:24" s="4" customFormat="1" ht="15" customHeight="1">
      <c r="A181" s="28" t="s">
        <v>3483</v>
      </c>
      <c r="B181" s="29">
        <v>3387.15</v>
      </c>
      <c r="C181" s="30" t="s">
        <v>3702</v>
      </c>
      <c r="D181" s="2">
        <v>4951017745</v>
      </c>
      <c r="E181" s="2" t="s">
        <v>24</v>
      </c>
      <c r="F181" s="2" t="s">
        <v>3703</v>
      </c>
      <c r="G181" s="28" t="s">
        <v>5</v>
      </c>
      <c r="H181" s="2" t="s">
        <v>17</v>
      </c>
      <c r="I181" s="2">
        <v>3</v>
      </c>
      <c r="J181" s="2" t="s">
        <v>3704</v>
      </c>
      <c r="K181" s="2">
        <v>21120</v>
      </c>
      <c r="L181" s="35">
        <v>71536608</v>
      </c>
      <c r="M181" s="36">
        <v>24000</v>
      </c>
      <c r="N181" s="40">
        <v>274526.33333333302</v>
      </c>
      <c r="O181" s="40">
        <v>365442.33333333302</v>
      </c>
      <c r="P181" s="40">
        <v>517692</v>
      </c>
      <c r="Q181" s="40">
        <v>111121.66666666701</v>
      </c>
      <c r="R181" s="40">
        <v>757294</v>
      </c>
      <c r="S181" s="40">
        <v>118118.66666666701</v>
      </c>
      <c r="T181" s="40"/>
      <c r="U181" s="40">
        <v>0</v>
      </c>
      <c r="V181" s="40">
        <v>0</v>
      </c>
      <c r="W181" s="45">
        <v>2144195</v>
      </c>
      <c r="X181" s="46">
        <v>2.9973394880562401</v>
      </c>
    </row>
    <row r="182" spans="1:24" s="4" customFormat="1" ht="15" customHeight="1">
      <c r="A182" s="28" t="s">
        <v>3483</v>
      </c>
      <c r="B182" s="29">
        <v>3387.15</v>
      </c>
      <c r="C182" s="30" t="s">
        <v>3702</v>
      </c>
      <c r="D182" s="2">
        <v>4951864849</v>
      </c>
      <c r="E182" s="2" t="s">
        <v>24</v>
      </c>
      <c r="F182" s="2" t="s">
        <v>3703</v>
      </c>
      <c r="G182" s="28" t="s">
        <v>5</v>
      </c>
      <c r="H182" s="2" t="s">
        <v>17</v>
      </c>
      <c r="I182" s="2">
        <v>3</v>
      </c>
      <c r="J182" s="2" t="s">
        <v>3704</v>
      </c>
      <c r="K182" s="2">
        <v>33600</v>
      </c>
      <c r="L182" s="35">
        <v>113808240</v>
      </c>
      <c r="M182" s="36">
        <v>24000</v>
      </c>
      <c r="N182" s="40">
        <v>274526.33333333302</v>
      </c>
      <c r="O182" s="40">
        <v>365442.33333333302</v>
      </c>
      <c r="P182" s="40">
        <v>517692</v>
      </c>
      <c r="Q182" s="40">
        <v>111121.66666666701</v>
      </c>
      <c r="R182" s="40">
        <v>757294</v>
      </c>
      <c r="S182" s="40">
        <v>118118.66666666701</v>
      </c>
      <c r="T182" s="40"/>
      <c r="U182" s="40">
        <v>0</v>
      </c>
      <c r="V182" s="40">
        <v>0</v>
      </c>
      <c r="W182" s="45">
        <v>2144195</v>
      </c>
      <c r="X182" s="46">
        <v>1.8840419639210699</v>
      </c>
    </row>
    <row r="183" spans="1:24" s="4" customFormat="1" ht="15" customHeight="1">
      <c r="A183" s="28" t="s">
        <v>3483</v>
      </c>
      <c r="B183" s="29">
        <v>3387.15</v>
      </c>
      <c r="C183" s="30" t="s">
        <v>3702</v>
      </c>
      <c r="D183" s="2">
        <v>4951864844</v>
      </c>
      <c r="E183" s="2" t="s">
        <v>24</v>
      </c>
      <c r="F183" s="2" t="s">
        <v>3703</v>
      </c>
      <c r="G183" s="28" t="s">
        <v>5</v>
      </c>
      <c r="H183" s="2" t="s">
        <v>17</v>
      </c>
      <c r="I183" s="2">
        <v>3</v>
      </c>
      <c r="J183" s="2" t="s">
        <v>3704</v>
      </c>
      <c r="K183" s="2">
        <v>33600</v>
      </c>
      <c r="L183" s="35">
        <v>113808240</v>
      </c>
      <c r="M183" s="36">
        <v>24000</v>
      </c>
      <c r="N183" s="40">
        <v>274526.33333333302</v>
      </c>
      <c r="O183" s="40">
        <v>365442.33333333302</v>
      </c>
      <c r="P183" s="40">
        <v>517692</v>
      </c>
      <c r="Q183" s="40">
        <v>111121.66666666701</v>
      </c>
      <c r="R183" s="40">
        <v>757294</v>
      </c>
      <c r="S183" s="40">
        <v>118118.66666666701</v>
      </c>
      <c r="T183" s="40"/>
      <c r="U183" s="40">
        <v>2880900</v>
      </c>
      <c r="V183" s="40">
        <v>0</v>
      </c>
      <c r="W183" s="45">
        <v>5025095</v>
      </c>
      <c r="X183" s="46">
        <v>4.4154052465796898</v>
      </c>
    </row>
    <row r="184" spans="1:24" s="4" customFormat="1" ht="15" customHeight="1">
      <c r="A184" s="28" t="s">
        <v>3483</v>
      </c>
      <c r="B184" s="29">
        <v>3387.15</v>
      </c>
      <c r="C184" s="30" t="s">
        <v>3758</v>
      </c>
      <c r="D184" s="2">
        <v>4951846957</v>
      </c>
      <c r="E184" s="2" t="s">
        <v>24</v>
      </c>
      <c r="F184" s="2" t="s">
        <v>3759</v>
      </c>
      <c r="G184" s="28" t="s">
        <v>5</v>
      </c>
      <c r="H184" s="2" t="s">
        <v>20</v>
      </c>
      <c r="I184" s="2">
        <v>1</v>
      </c>
      <c r="J184" s="2" t="s">
        <v>3760</v>
      </c>
      <c r="K184" s="2">
        <v>14045.6</v>
      </c>
      <c r="L184" s="35">
        <v>47574554.039999999</v>
      </c>
      <c r="M184" s="36">
        <v>3620</v>
      </c>
      <c r="N184" s="40">
        <v>339581</v>
      </c>
      <c r="O184" s="40">
        <v>349879</v>
      </c>
      <c r="P184" s="40">
        <v>332789</v>
      </c>
      <c r="Q184" s="40">
        <v>110000</v>
      </c>
      <c r="R184" s="40">
        <v>453726</v>
      </c>
      <c r="S184" s="40">
        <v>354356</v>
      </c>
      <c r="T184" s="40"/>
      <c r="U184" s="40">
        <v>2619000</v>
      </c>
      <c r="V184" s="40">
        <v>0</v>
      </c>
      <c r="W184" s="45">
        <v>4559331</v>
      </c>
      <c r="X184" s="46">
        <v>9.5835496348879694</v>
      </c>
    </row>
    <row r="185" spans="1:24" s="4" customFormat="1" ht="15" customHeight="1">
      <c r="A185" s="28" t="s">
        <v>3483</v>
      </c>
      <c r="B185" s="29">
        <v>3387.15</v>
      </c>
      <c r="C185" s="30" t="s">
        <v>3766</v>
      </c>
      <c r="D185" s="2">
        <v>4951842940</v>
      </c>
      <c r="E185" s="2" t="s">
        <v>24</v>
      </c>
      <c r="F185" s="2" t="s">
        <v>3767</v>
      </c>
      <c r="G185" s="28" t="s">
        <v>5</v>
      </c>
      <c r="H185" s="2" t="s">
        <v>20</v>
      </c>
      <c r="I185" s="2">
        <v>1</v>
      </c>
      <c r="J185" s="2" t="s">
        <v>3768</v>
      </c>
      <c r="K185" s="2">
        <v>12460</v>
      </c>
      <c r="L185" s="35">
        <v>42203889</v>
      </c>
      <c r="M185" s="36">
        <v>14000</v>
      </c>
      <c r="N185" s="40">
        <v>286953.156565657</v>
      </c>
      <c r="O185" s="40">
        <v>174939.5</v>
      </c>
      <c r="P185" s="40">
        <v>118279.67171717199</v>
      </c>
      <c r="Q185" s="40">
        <v>55000</v>
      </c>
      <c r="R185" s="40">
        <v>717006.06565656594</v>
      </c>
      <c r="S185" s="40">
        <v>313193.434343434</v>
      </c>
      <c r="T185" s="40"/>
      <c r="U185" s="40">
        <v>3472159.0909090899</v>
      </c>
      <c r="V185" s="40">
        <v>0</v>
      </c>
      <c r="W185" s="45">
        <v>5137530.9191919202</v>
      </c>
      <c r="X185" s="46">
        <v>12.173122053258901</v>
      </c>
    </row>
    <row r="186" spans="1:24" s="4" customFormat="1" ht="15" customHeight="1">
      <c r="A186" s="28" t="s">
        <v>3483</v>
      </c>
      <c r="B186" s="29">
        <v>3387.15</v>
      </c>
      <c r="C186" s="30" t="s">
        <v>3766</v>
      </c>
      <c r="D186" s="2">
        <v>4950133766</v>
      </c>
      <c r="E186" s="2" t="s">
        <v>24</v>
      </c>
      <c r="F186" s="2" t="s">
        <v>3767</v>
      </c>
      <c r="G186" s="28" t="s">
        <v>5</v>
      </c>
      <c r="H186" s="2" t="s">
        <v>20</v>
      </c>
      <c r="I186" s="2">
        <v>1</v>
      </c>
      <c r="J186" s="2" t="s">
        <v>3768</v>
      </c>
      <c r="K186" s="2">
        <v>8592.7999999999993</v>
      </c>
      <c r="L186" s="35">
        <v>29105102.52</v>
      </c>
      <c r="M186" s="36">
        <v>1840</v>
      </c>
      <c r="N186" s="40">
        <v>37713.843434343398</v>
      </c>
      <c r="O186" s="40">
        <v>174939.5</v>
      </c>
      <c r="P186" s="40">
        <v>15545.328282828301</v>
      </c>
      <c r="Q186" s="40">
        <v>55000</v>
      </c>
      <c r="R186" s="40">
        <v>94234.934343434303</v>
      </c>
      <c r="S186" s="40">
        <v>41162.565656565697</v>
      </c>
      <c r="T186" s="40"/>
      <c r="U186" s="40">
        <v>456340.909090909</v>
      </c>
      <c r="V186" s="40">
        <v>0</v>
      </c>
      <c r="W186" s="45">
        <v>874937.08080808097</v>
      </c>
      <c r="X186" s="46">
        <v>3.0061295273117699</v>
      </c>
    </row>
    <row r="187" spans="1:24" s="4" customFormat="1" ht="15" customHeight="1">
      <c r="A187" s="28" t="s">
        <v>3483</v>
      </c>
      <c r="B187" s="29">
        <v>3387.15</v>
      </c>
      <c r="C187" s="30" t="s">
        <v>3780</v>
      </c>
      <c r="D187" s="2">
        <v>4951864847</v>
      </c>
      <c r="E187" s="2" t="s">
        <v>24</v>
      </c>
      <c r="F187" s="2" t="s">
        <v>3781</v>
      </c>
      <c r="G187" s="28" t="s">
        <v>5</v>
      </c>
      <c r="H187" s="2" t="s">
        <v>17</v>
      </c>
      <c r="I187" s="2">
        <v>2</v>
      </c>
      <c r="J187" s="2" t="s">
        <v>3782</v>
      </c>
      <c r="K187" s="2">
        <v>33600</v>
      </c>
      <c r="L187" s="35">
        <v>113808240</v>
      </c>
      <c r="M187" s="36">
        <v>24000</v>
      </c>
      <c r="N187" s="40">
        <v>282352</v>
      </c>
      <c r="O187" s="40">
        <v>390597</v>
      </c>
      <c r="P187" s="40">
        <v>460792</v>
      </c>
      <c r="Q187" s="40">
        <v>120095</v>
      </c>
      <c r="R187" s="40">
        <v>1193980.5</v>
      </c>
      <c r="S187" s="40">
        <v>177178</v>
      </c>
      <c r="T187" s="40"/>
      <c r="U187" s="40">
        <v>2880900</v>
      </c>
      <c r="V187" s="40">
        <v>0</v>
      </c>
      <c r="W187" s="45">
        <v>5505894.5</v>
      </c>
      <c r="X187" s="46">
        <v>4.8378698238370097</v>
      </c>
    </row>
    <row r="188" spans="1:24" s="4" customFormat="1" ht="15" customHeight="1">
      <c r="A188" s="28" t="s">
        <v>3483</v>
      </c>
      <c r="B188" s="29">
        <v>3387.15</v>
      </c>
      <c r="C188" s="30" t="s">
        <v>3780</v>
      </c>
      <c r="D188" s="2">
        <v>4951864848</v>
      </c>
      <c r="E188" s="2" t="s">
        <v>24</v>
      </c>
      <c r="F188" s="2" t="s">
        <v>3781</v>
      </c>
      <c r="G188" s="28" t="s">
        <v>5</v>
      </c>
      <c r="H188" s="2" t="s">
        <v>17</v>
      </c>
      <c r="I188" s="2">
        <v>2</v>
      </c>
      <c r="J188" s="2" t="s">
        <v>3782</v>
      </c>
      <c r="K188" s="2">
        <v>33600</v>
      </c>
      <c r="L188" s="35">
        <v>113808240</v>
      </c>
      <c r="M188" s="36">
        <v>24000</v>
      </c>
      <c r="N188" s="40">
        <v>282352</v>
      </c>
      <c r="O188" s="40">
        <v>390597</v>
      </c>
      <c r="P188" s="40">
        <v>460792</v>
      </c>
      <c r="Q188" s="40">
        <v>120095</v>
      </c>
      <c r="R188" s="40">
        <v>1193980.5</v>
      </c>
      <c r="S188" s="40">
        <v>177178</v>
      </c>
      <c r="T188" s="40"/>
      <c r="U188" s="40">
        <v>2880900</v>
      </c>
      <c r="V188" s="40">
        <v>0</v>
      </c>
      <c r="W188" s="45">
        <v>5505894.5</v>
      </c>
      <c r="X188" s="46">
        <v>4.8378698238370097</v>
      </c>
    </row>
    <row r="189" spans="1:24" s="4" customFormat="1" ht="15" customHeight="1">
      <c r="A189" s="28" t="s">
        <v>3483</v>
      </c>
      <c r="B189" s="29">
        <v>3387.15</v>
      </c>
      <c r="C189" s="30" t="s">
        <v>3876</v>
      </c>
      <c r="D189" s="2" t="s">
        <v>3877</v>
      </c>
      <c r="E189" s="2" t="s">
        <v>24</v>
      </c>
      <c r="F189" s="2" t="s">
        <v>3878</v>
      </c>
      <c r="G189" s="28" t="s">
        <v>5</v>
      </c>
      <c r="H189" s="2" t="s">
        <v>17</v>
      </c>
      <c r="I189" s="2">
        <v>1</v>
      </c>
      <c r="J189" s="2" t="s">
        <v>3879</v>
      </c>
      <c r="K189" s="2">
        <v>15717.24</v>
      </c>
      <c r="L189" s="35">
        <v>53236649.465999998</v>
      </c>
      <c r="M189" s="36">
        <v>20412</v>
      </c>
      <c r="N189" s="40">
        <v>448683</v>
      </c>
      <c r="O189" s="40">
        <v>458999</v>
      </c>
      <c r="P189" s="40">
        <v>0</v>
      </c>
      <c r="Q189" s="40">
        <v>110000</v>
      </c>
      <c r="R189" s="40">
        <v>766819</v>
      </c>
      <c r="S189" s="40">
        <v>354356</v>
      </c>
      <c r="T189" s="40"/>
      <c r="U189" s="40">
        <v>5640550</v>
      </c>
      <c r="V189" s="40">
        <v>0</v>
      </c>
      <c r="W189" s="45">
        <v>7779407</v>
      </c>
      <c r="X189" s="46">
        <v>14.6128786804443</v>
      </c>
    </row>
    <row r="190" spans="1:24" s="4" customFormat="1" ht="15" customHeight="1">
      <c r="A190" s="28" t="s">
        <v>3483</v>
      </c>
      <c r="B190" s="29">
        <v>3387.15</v>
      </c>
      <c r="C190" s="30" t="s">
        <v>3900</v>
      </c>
      <c r="D190" s="2">
        <v>4952431663</v>
      </c>
      <c r="E190" s="2" t="s">
        <v>24</v>
      </c>
      <c r="F190" s="2" t="s">
        <v>3901</v>
      </c>
      <c r="G190" s="28" t="s">
        <v>9</v>
      </c>
      <c r="H190" s="2" t="s">
        <v>23</v>
      </c>
      <c r="I190" s="2">
        <v>3</v>
      </c>
      <c r="J190" s="2"/>
      <c r="K190" s="2">
        <v>13910.4</v>
      </c>
      <c r="L190" s="35">
        <v>47116611.359999999</v>
      </c>
      <c r="M190" s="36">
        <v>2760</v>
      </c>
      <c r="N190" s="40">
        <v>909691</v>
      </c>
      <c r="O190" s="40">
        <v>2026</v>
      </c>
      <c r="P190" s="40">
        <v>0</v>
      </c>
      <c r="Q190" s="40">
        <v>60268</v>
      </c>
      <c r="R190" s="40">
        <v>49381</v>
      </c>
      <c r="S190" s="40">
        <v>354356</v>
      </c>
      <c r="T190" s="40"/>
      <c r="U190" s="40">
        <v>1367700</v>
      </c>
      <c r="V190" s="40">
        <v>0</v>
      </c>
      <c r="W190" s="45">
        <v>2743422</v>
      </c>
      <c r="X190" s="46">
        <v>5.8226216207243002</v>
      </c>
    </row>
    <row r="191" spans="1:24" s="4" customFormat="1" ht="15" customHeight="1">
      <c r="A191" s="28" t="s">
        <v>3483</v>
      </c>
      <c r="B191" s="29">
        <v>3387.15</v>
      </c>
      <c r="C191" s="30" t="s">
        <v>3929</v>
      </c>
      <c r="D191" s="2">
        <v>4952397439</v>
      </c>
      <c r="E191" s="2" t="s">
        <v>24</v>
      </c>
      <c r="F191" s="2" t="s">
        <v>3930</v>
      </c>
      <c r="G191" s="28" t="s">
        <v>9</v>
      </c>
      <c r="H191" s="2" t="s">
        <v>23</v>
      </c>
      <c r="I191" s="2">
        <v>3</v>
      </c>
      <c r="J191" s="2"/>
      <c r="K191" s="2">
        <v>4536</v>
      </c>
      <c r="L191" s="35">
        <v>15364112.4</v>
      </c>
      <c r="M191" s="36">
        <v>1200</v>
      </c>
      <c r="N191" s="40">
        <v>808068</v>
      </c>
      <c r="O191" s="40">
        <v>884</v>
      </c>
      <c r="P191" s="40">
        <v>27513</v>
      </c>
      <c r="Q191" s="40">
        <v>20471</v>
      </c>
      <c r="R191" s="40">
        <v>105263</v>
      </c>
      <c r="S191" s="40">
        <v>354356</v>
      </c>
      <c r="T191" s="40"/>
      <c r="U191" s="40">
        <v>1367700</v>
      </c>
      <c r="V191" s="40">
        <v>0</v>
      </c>
      <c r="W191" s="45">
        <v>2684255</v>
      </c>
      <c r="X191" s="46">
        <v>17.470940918136002</v>
      </c>
    </row>
    <row r="192" spans="1:24" s="4" customFormat="1" ht="15" customHeight="1">
      <c r="A192" s="28" t="s">
        <v>3483</v>
      </c>
      <c r="B192" s="29">
        <v>3387.15</v>
      </c>
      <c r="C192" s="30" t="s">
        <v>3940</v>
      </c>
      <c r="D192" s="2">
        <v>4951901101</v>
      </c>
      <c r="E192" s="2" t="s">
        <v>24</v>
      </c>
      <c r="F192" s="2" t="s">
        <v>3941</v>
      </c>
      <c r="G192" s="28" t="s">
        <v>9</v>
      </c>
      <c r="H192" s="2" t="s">
        <v>23</v>
      </c>
      <c r="I192" s="2">
        <v>2</v>
      </c>
      <c r="J192" s="2"/>
      <c r="K192" s="2">
        <v>1550.4</v>
      </c>
      <c r="L192" s="35">
        <v>5251437.3600000003</v>
      </c>
      <c r="M192" s="36">
        <v>1140</v>
      </c>
      <c r="N192" s="40">
        <v>709903</v>
      </c>
      <c r="O192" s="40">
        <v>850</v>
      </c>
      <c r="P192" s="40">
        <v>26478</v>
      </c>
      <c r="Q192" s="40">
        <v>19680</v>
      </c>
      <c r="R192" s="40">
        <v>104157</v>
      </c>
      <c r="S192" s="40">
        <v>354356</v>
      </c>
      <c r="T192" s="40"/>
      <c r="U192" s="40">
        <v>1172314.2857142901</v>
      </c>
      <c r="V192" s="40">
        <v>0</v>
      </c>
      <c r="W192" s="45">
        <v>2387738.2857142901</v>
      </c>
      <c r="X192" s="46">
        <v>45.468280815869498</v>
      </c>
    </row>
    <row r="194" spans="1:24" ht="15" customHeight="1">
      <c r="A194" s="31" t="s">
        <v>3483</v>
      </c>
      <c r="B194" s="31"/>
      <c r="C194" s="31"/>
      <c r="D194" s="31"/>
      <c r="E194" s="31"/>
      <c r="F194" s="32">
        <v>18</v>
      </c>
      <c r="G194" s="31"/>
      <c r="H194" s="31"/>
      <c r="I194" s="38"/>
      <c r="J194" s="31"/>
      <c r="K194" s="39">
        <f>+SUM(K169:K192)</f>
        <v>383284.09</v>
      </c>
      <c r="L194" s="39">
        <f>+SUM(L169:L192)</f>
        <v>1298240705.4435</v>
      </c>
      <c r="M194" s="31"/>
      <c r="N194" s="39"/>
      <c r="O194" s="39"/>
      <c r="P194" s="39"/>
      <c r="Q194" s="39"/>
      <c r="R194" s="39"/>
      <c r="S194" s="39"/>
      <c r="T194" s="39"/>
      <c r="U194" s="39"/>
      <c r="V194" s="31"/>
      <c r="W194" s="39">
        <f>+SUM(W169:W192)</f>
        <v>76619059.015714273</v>
      </c>
      <c r="X194" s="47">
        <f>(W194/L194)*100</f>
        <v>5.9017606438044909</v>
      </c>
    </row>
    <row r="196" spans="1:24" s="4" customFormat="1" ht="15" customHeight="1">
      <c r="A196" s="79" t="s">
        <v>3955</v>
      </c>
      <c r="B196" s="80">
        <v>3394.61</v>
      </c>
      <c r="C196" s="81" t="s">
        <v>3969</v>
      </c>
      <c r="D196" s="82">
        <v>4952602532</v>
      </c>
      <c r="E196" s="82" t="s">
        <v>24</v>
      </c>
      <c r="F196" s="82" t="s">
        <v>3970</v>
      </c>
      <c r="G196" s="79" t="s">
        <v>5</v>
      </c>
      <c r="H196" s="2" t="s">
        <v>17</v>
      </c>
      <c r="I196" s="2">
        <v>1</v>
      </c>
      <c r="J196" s="2" t="s">
        <v>3971</v>
      </c>
      <c r="K196" s="2">
        <v>24420</v>
      </c>
      <c r="L196" s="35">
        <v>82896376.200000003</v>
      </c>
      <c r="M196" s="36">
        <v>22000</v>
      </c>
      <c r="N196" s="40">
        <v>267859.16666666698</v>
      </c>
      <c r="O196" s="48">
        <v>227602.5</v>
      </c>
      <c r="P196" s="40">
        <v>0</v>
      </c>
      <c r="Q196" s="48">
        <v>49654.5</v>
      </c>
      <c r="R196" s="40">
        <v>66607.75</v>
      </c>
      <c r="S196" s="40">
        <v>324826.33333333302</v>
      </c>
      <c r="T196" s="48"/>
      <c r="U196" s="40">
        <v>2640825</v>
      </c>
      <c r="V196" s="40">
        <v>0</v>
      </c>
      <c r="W196" s="45">
        <v>3577375.25</v>
      </c>
      <c r="X196" s="46">
        <v>4.315478449104992</v>
      </c>
    </row>
    <row r="197" spans="1:24" s="4" customFormat="1" ht="15" customHeight="1">
      <c r="A197" s="79" t="s">
        <v>3955</v>
      </c>
      <c r="B197" s="80">
        <v>3394.61</v>
      </c>
      <c r="C197" s="81" t="s">
        <v>3969</v>
      </c>
      <c r="D197" s="82">
        <v>4952809782</v>
      </c>
      <c r="E197" s="82" t="s">
        <v>24</v>
      </c>
      <c r="F197" s="82" t="s">
        <v>3970</v>
      </c>
      <c r="G197" s="79" t="s">
        <v>5</v>
      </c>
      <c r="H197" s="2" t="s">
        <v>17</v>
      </c>
      <c r="I197" s="2">
        <v>1</v>
      </c>
      <c r="J197" s="2" t="s">
        <v>3971</v>
      </c>
      <c r="K197" s="2">
        <v>3180</v>
      </c>
      <c r="L197" s="35">
        <v>10794859.800000001</v>
      </c>
      <c r="M197" s="36">
        <v>2000</v>
      </c>
      <c r="N197" s="40">
        <v>24350.833333333299</v>
      </c>
      <c r="O197" s="48">
        <v>227602.5</v>
      </c>
      <c r="P197" s="40">
        <v>0</v>
      </c>
      <c r="Q197" s="48">
        <v>49654.5</v>
      </c>
      <c r="R197" s="40">
        <v>6055.25</v>
      </c>
      <c r="S197" s="40">
        <v>29529.666666666701</v>
      </c>
      <c r="T197" s="48"/>
      <c r="U197" s="40">
        <v>240075</v>
      </c>
      <c r="V197" s="40">
        <v>0</v>
      </c>
      <c r="W197" s="45">
        <v>577267.75</v>
      </c>
      <c r="X197" s="46">
        <v>5.3476169278270751</v>
      </c>
    </row>
    <row r="198" spans="1:24" s="4" customFormat="1" ht="15" customHeight="1">
      <c r="A198" s="79" t="s">
        <v>3955</v>
      </c>
      <c r="B198" s="80">
        <v>3394.61</v>
      </c>
      <c r="C198" s="81" t="s">
        <v>3974</v>
      </c>
      <c r="D198" s="82">
        <v>4952221321</v>
      </c>
      <c r="E198" s="82" t="s">
        <v>24</v>
      </c>
      <c r="F198" s="82" t="s">
        <v>3975</v>
      </c>
      <c r="G198" s="79" t="s">
        <v>9</v>
      </c>
      <c r="H198" s="2" t="s">
        <v>23</v>
      </c>
      <c r="I198" s="2">
        <v>1</v>
      </c>
      <c r="J198" s="2"/>
      <c r="K198" s="2">
        <v>5980.8</v>
      </c>
      <c r="L198" s="35">
        <v>20302483.488000002</v>
      </c>
      <c r="M198" s="36">
        <v>480</v>
      </c>
      <c r="N198" s="40">
        <v>510229</v>
      </c>
      <c r="O198" s="40">
        <v>371</v>
      </c>
      <c r="P198" s="40">
        <v>0</v>
      </c>
      <c r="Q198" s="40">
        <v>8308</v>
      </c>
      <c r="R198" s="40">
        <v>97387</v>
      </c>
      <c r="S198" s="40">
        <v>354356</v>
      </c>
      <c r="T198" s="40"/>
      <c r="U198" s="40">
        <v>229070.938215103</v>
      </c>
      <c r="V198" s="40">
        <v>0</v>
      </c>
      <c r="W198" s="45">
        <v>1199721.938215103</v>
      </c>
      <c r="X198" s="46">
        <v>5.9092373547512613</v>
      </c>
    </row>
    <row r="199" spans="1:24" s="4" customFormat="1" ht="15" customHeight="1">
      <c r="A199" s="79" t="s">
        <v>3955</v>
      </c>
      <c r="B199" s="80">
        <v>3394.61</v>
      </c>
      <c r="C199" s="81" t="s">
        <v>4044</v>
      </c>
      <c r="D199" s="82">
        <v>4952085014</v>
      </c>
      <c r="E199" s="82" t="s">
        <v>24</v>
      </c>
      <c r="F199" s="82" t="s">
        <v>4045</v>
      </c>
      <c r="G199" s="79" t="s">
        <v>9</v>
      </c>
      <c r="H199" s="2" t="s">
        <v>23</v>
      </c>
      <c r="I199" s="2">
        <v>3</v>
      </c>
      <c r="J199" s="2"/>
      <c r="K199" s="2">
        <v>7037.6</v>
      </c>
      <c r="L199" s="35">
        <v>23889907.336000003</v>
      </c>
      <c r="M199" s="36">
        <v>1520</v>
      </c>
      <c r="N199" s="40">
        <v>734869.881081081</v>
      </c>
      <c r="O199" s="40">
        <v>727.5</v>
      </c>
      <c r="P199" s="40">
        <v>0</v>
      </c>
      <c r="Q199" s="40">
        <v>20779.5</v>
      </c>
      <c r="R199" s="40">
        <v>112065.902702703</v>
      </c>
      <c r="S199" s="40">
        <v>291146.55135135102</v>
      </c>
      <c r="T199" s="48"/>
      <c r="U199" s="55">
        <v>1233447.47081712</v>
      </c>
      <c r="V199" s="55">
        <v>0</v>
      </c>
      <c r="W199" s="45">
        <v>2393036.8059522551</v>
      </c>
      <c r="X199" s="46">
        <v>10.0169363250152</v>
      </c>
    </row>
    <row r="200" spans="1:24" s="4" customFormat="1" ht="15" customHeight="1">
      <c r="A200" s="79" t="s">
        <v>3955</v>
      </c>
      <c r="B200" s="80">
        <v>3394.61</v>
      </c>
      <c r="C200" s="81" t="s">
        <v>4044</v>
      </c>
      <c r="D200" s="82">
        <v>4952085015</v>
      </c>
      <c r="E200" s="82" t="s">
        <v>24</v>
      </c>
      <c r="F200" s="82" t="s">
        <v>4045</v>
      </c>
      <c r="G200" s="79" t="s">
        <v>9</v>
      </c>
      <c r="H200" s="2" t="s">
        <v>23</v>
      </c>
      <c r="I200" s="2">
        <v>3</v>
      </c>
      <c r="J200" s="2"/>
      <c r="K200" s="2">
        <v>8972.7000000000007</v>
      </c>
      <c r="L200" s="35">
        <v>30458817.147000004</v>
      </c>
      <c r="M200" s="36">
        <v>330</v>
      </c>
      <c r="N200" s="40">
        <v>159544.118918919</v>
      </c>
      <c r="O200" s="40">
        <v>727.5</v>
      </c>
      <c r="P200" s="40">
        <v>0</v>
      </c>
      <c r="Q200" s="40">
        <v>20779.5</v>
      </c>
      <c r="R200" s="40">
        <v>24330.0972972973</v>
      </c>
      <c r="S200" s="40">
        <v>63209.448648648598</v>
      </c>
      <c r="T200" s="48"/>
      <c r="U200" s="55">
        <v>267787.93774319103</v>
      </c>
      <c r="V200" s="55">
        <v>0</v>
      </c>
      <c r="W200" s="45">
        <v>536378.60260805592</v>
      </c>
      <c r="X200" s="46">
        <v>1.7609961674460026</v>
      </c>
    </row>
    <row r="201" spans="1:24" s="4" customFormat="1" ht="15" customHeight="1">
      <c r="A201" s="79" t="s">
        <v>3955</v>
      </c>
      <c r="B201" s="80">
        <v>3394.61</v>
      </c>
      <c r="C201" s="81" t="s">
        <v>4053</v>
      </c>
      <c r="D201" s="82">
        <v>4951841984</v>
      </c>
      <c r="E201" s="82" t="s">
        <v>24</v>
      </c>
      <c r="F201" s="82" t="s">
        <v>4054</v>
      </c>
      <c r="G201" s="79" t="s">
        <v>9</v>
      </c>
      <c r="H201" s="2" t="s">
        <v>23</v>
      </c>
      <c r="I201" s="2">
        <v>1</v>
      </c>
      <c r="J201" s="2"/>
      <c r="K201" s="2">
        <v>3335.4</v>
      </c>
      <c r="L201" s="35">
        <v>11322382.194</v>
      </c>
      <c r="M201" s="36">
        <v>340</v>
      </c>
      <c r="N201" s="40">
        <v>502327</v>
      </c>
      <c r="O201" s="40">
        <v>277</v>
      </c>
      <c r="P201" s="40">
        <v>0</v>
      </c>
      <c r="Q201" s="40">
        <v>6323</v>
      </c>
      <c r="R201" s="40">
        <v>95268</v>
      </c>
      <c r="S201" s="40">
        <v>354356</v>
      </c>
      <c r="T201" s="40"/>
      <c r="U201" s="40">
        <v>275902.72373540897</v>
      </c>
      <c r="V201" s="40">
        <v>0</v>
      </c>
      <c r="W201" s="45">
        <v>1234453.7237354089</v>
      </c>
      <c r="X201" s="46">
        <v>10.902773838438128</v>
      </c>
    </row>
    <row r="202" spans="1:24" s="4" customFormat="1" ht="15" customHeight="1">
      <c r="A202" s="79" t="s">
        <v>3955</v>
      </c>
      <c r="B202" s="80">
        <v>3394.61</v>
      </c>
      <c r="C202" s="81" t="s">
        <v>4079</v>
      </c>
      <c r="D202" s="82">
        <v>4952221341</v>
      </c>
      <c r="E202" s="82" t="s">
        <v>24</v>
      </c>
      <c r="F202" s="82" t="s">
        <v>4080</v>
      </c>
      <c r="G202" s="79" t="s">
        <v>5</v>
      </c>
      <c r="H202" s="2" t="s">
        <v>26</v>
      </c>
      <c r="I202" s="2">
        <v>1</v>
      </c>
      <c r="J202" s="2" t="s">
        <v>4081</v>
      </c>
      <c r="K202" s="2">
        <v>19006</v>
      </c>
      <c r="L202" s="35">
        <v>64517957.660000004</v>
      </c>
      <c r="M202" s="36">
        <v>22360</v>
      </c>
      <c r="N202" s="40">
        <v>337699</v>
      </c>
      <c r="O202" s="40">
        <v>125000</v>
      </c>
      <c r="P202" s="40">
        <v>364135</v>
      </c>
      <c r="Q202" s="40">
        <v>99309</v>
      </c>
      <c r="R202" s="40">
        <v>528080</v>
      </c>
      <c r="S202" s="40">
        <v>354356</v>
      </c>
      <c r="T202" s="40"/>
      <c r="U202" s="40">
        <v>0</v>
      </c>
      <c r="V202" s="40">
        <v>0</v>
      </c>
      <c r="W202" s="45">
        <v>1808579</v>
      </c>
      <c r="X202" s="46">
        <v>2.80321799634598</v>
      </c>
    </row>
    <row r="203" spans="1:24" s="4" customFormat="1" ht="15" customHeight="1">
      <c r="A203" s="79" t="s">
        <v>3955</v>
      </c>
      <c r="B203" s="80">
        <v>3394.61</v>
      </c>
      <c r="C203" s="81" t="s">
        <v>4086</v>
      </c>
      <c r="D203" s="82">
        <v>4952218200</v>
      </c>
      <c r="E203" s="82" t="s">
        <v>24</v>
      </c>
      <c r="F203" s="82" t="s">
        <v>4087</v>
      </c>
      <c r="G203" s="79" t="s">
        <v>9</v>
      </c>
      <c r="H203" s="2" t="s">
        <v>23</v>
      </c>
      <c r="I203" s="2">
        <v>4</v>
      </c>
      <c r="J203" s="2"/>
      <c r="K203" s="2">
        <v>6272</v>
      </c>
      <c r="L203" s="35">
        <v>21290993.920000002</v>
      </c>
      <c r="M203" s="36">
        <v>3200</v>
      </c>
      <c r="N203" s="40">
        <v>732739</v>
      </c>
      <c r="O203" s="40">
        <v>0</v>
      </c>
      <c r="P203" s="40">
        <v>83166</v>
      </c>
      <c r="Q203" s="40">
        <v>50655</v>
      </c>
      <c r="R203" s="40">
        <v>62632</v>
      </c>
      <c r="S203" s="40">
        <v>354356</v>
      </c>
      <c r="T203" s="40"/>
      <c r="U203" s="40">
        <v>557750</v>
      </c>
      <c r="V203" s="40">
        <v>0</v>
      </c>
      <c r="W203" s="45">
        <v>1841298</v>
      </c>
      <c r="X203" s="46">
        <v>8.6482482072870734</v>
      </c>
    </row>
    <row r="204" spans="1:24" s="4" customFormat="1" ht="15" customHeight="1">
      <c r="A204" s="79" t="s">
        <v>3955</v>
      </c>
      <c r="B204" s="80">
        <v>3394.61</v>
      </c>
      <c r="C204" s="81" t="s">
        <v>4088</v>
      </c>
      <c r="D204" s="82">
        <v>4950216812</v>
      </c>
      <c r="E204" s="82" t="s">
        <v>24</v>
      </c>
      <c r="F204" s="82" t="s">
        <v>4089</v>
      </c>
      <c r="G204" s="79" t="s">
        <v>9</v>
      </c>
      <c r="H204" s="2" t="s">
        <v>23</v>
      </c>
      <c r="I204" s="2">
        <v>4</v>
      </c>
      <c r="J204" s="2"/>
      <c r="K204" s="2">
        <v>6272</v>
      </c>
      <c r="L204" s="35">
        <v>21290993.920000002</v>
      </c>
      <c r="M204" s="36">
        <v>3200</v>
      </c>
      <c r="N204" s="40">
        <v>732739</v>
      </c>
      <c r="O204" s="40">
        <v>0</v>
      </c>
      <c r="P204" s="40">
        <v>83166</v>
      </c>
      <c r="Q204" s="40">
        <v>50655</v>
      </c>
      <c r="R204" s="40">
        <v>62632</v>
      </c>
      <c r="S204" s="40">
        <v>354356</v>
      </c>
      <c r="T204" s="40"/>
      <c r="U204" s="40">
        <v>557750</v>
      </c>
      <c r="V204" s="40">
        <v>0</v>
      </c>
      <c r="W204" s="45">
        <v>1841298</v>
      </c>
      <c r="X204" s="46">
        <v>8.6482482072870734</v>
      </c>
    </row>
    <row r="205" spans="1:24" s="4" customFormat="1" ht="15" customHeight="1">
      <c r="A205" s="79" t="s">
        <v>3955</v>
      </c>
      <c r="B205" s="80">
        <v>3394.61</v>
      </c>
      <c r="C205" s="81" t="s">
        <v>4138</v>
      </c>
      <c r="D205" s="82">
        <v>4952459852</v>
      </c>
      <c r="E205" s="82" t="s">
        <v>24</v>
      </c>
      <c r="F205" s="82" t="s">
        <v>4139</v>
      </c>
      <c r="G205" s="79" t="s">
        <v>5</v>
      </c>
      <c r="H205" s="2" t="s">
        <v>35</v>
      </c>
      <c r="I205" s="2">
        <v>1</v>
      </c>
      <c r="J205" s="2" t="s">
        <v>4140</v>
      </c>
      <c r="K205" s="2">
        <v>4200</v>
      </c>
      <c r="L205" s="35">
        <v>14257362</v>
      </c>
      <c r="M205" s="36">
        <v>4000</v>
      </c>
      <c r="N205" s="40">
        <v>119777.288135593</v>
      </c>
      <c r="O205" s="40">
        <v>91041</v>
      </c>
      <c r="P205" s="40">
        <v>0</v>
      </c>
      <c r="Q205" s="40">
        <v>19861.8</v>
      </c>
      <c r="R205" s="40">
        <v>538199.32203389797</v>
      </c>
      <c r="S205" s="40">
        <v>120120.677966102</v>
      </c>
      <c r="T205" s="48"/>
      <c r="U205" s="40">
        <v>1725288.1355932199</v>
      </c>
      <c r="V205" s="40">
        <v>0</v>
      </c>
      <c r="W205" s="45">
        <v>2614288.2237288128</v>
      </c>
      <c r="X205" s="46">
        <v>18.336409103793624</v>
      </c>
    </row>
    <row r="206" spans="1:24" s="4" customFormat="1" ht="15" customHeight="1">
      <c r="A206" s="79" t="s">
        <v>3955</v>
      </c>
      <c r="B206" s="80">
        <v>3394.61</v>
      </c>
      <c r="C206" s="81" t="s">
        <v>4138</v>
      </c>
      <c r="D206" s="82">
        <v>4952403057</v>
      </c>
      <c r="E206" s="82" t="s">
        <v>24</v>
      </c>
      <c r="F206" s="82" t="s">
        <v>4139</v>
      </c>
      <c r="G206" s="79" t="s">
        <v>5</v>
      </c>
      <c r="H206" s="2" t="s">
        <v>35</v>
      </c>
      <c r="I206" s="2">
        <v>1</v>
      </c>
      <c r="J206" s="2" t="s">
        <v>4140</v>
      </c>
      <c r="K206" s="2">
        <v>2796</v>
      </c>
      <c r="L206" s="35">
        <v>9491329.5600000005</v>
      </c>
      <c r="M206" s="36">
        <v>600</v>
      </c>
      <c r="N206" s="40">
        <v>17966.593220339</v>
      </c>
      <c r="O206" s="40">
        <v>91041</v>
      </c>
      <c r="P206" s="40">
        <v>0</v>
      </c>
      <c r="Q206" s="40">
        <v>19861.8</v>
      </c>
      <c r="R206" s="40">
        <v>80729.898305084702</v>
      </c>
      <c r="S206" s="40">
        <v>18018.101694915302</v>
      </c>
      <c r="T206" s="48"/>
      <c r="U206" s="40">
        <v>258793.220338983</v>
      </c>
      <c r="V206" s="40">
        <v>0</v>
      </c>
      <c r="W206" s="45">
        <v>486410.61355932197</v>
      </c>
      <c r="X206" s="46">
        <v>5.1247890033155903</v>
      </c>
    </row>
    <row r="207" spans="1:24" s="4" customFormat="1" ht="15" customHeight="1">
      <c r="A207" s="79" t="s">
        <v>3955</v>
      </c>
      <c r="B207" s="80">
        <v>3394.61</v>
      </c>
      <c r="C207" s="81" t="s">
        <v>4157</v>
      </c>
      <c r="D207" s="82">
        <v>4952705656</v>
      </c>
      <c r="E207" s="82" t="s">
        <v>24</v>
      </c>
      <c r="F207" s="82" t="s">
        <v>4158</v>
      </c>
      <c r="G207" s="79" t="s">
        <v>9</v>
      </c>
      <c r="H207" s="2" t="s">
        <v>23</v>
      </c>
      <c r="I207" s="2">
        <v>4</v>
      </c>
      <c r="J207" s="2"/>
      <c r="K207" s="2">
        <v>4224</v>
      </c>
      <c r="L207" s="35">
        <v>14338832.640000001</v>
      </c>
      <c r="M207" s="36">
        <v>2400</v>
      </c>
      <c r="N207" s="40">
        <v>918591</v>
      </c>
      <c r="O207" s="40">
        <v>2600</v>
      </c>
      <c r="P207" s="40">
        <v>121522</v>
      </c>
      <c r="Q207" s="40">
        <v>5000</v>
      </c>
      <c r="R207" s="40">
        <v>125796</v>
      </c>
      <c r="S207" s="40">
        <v>354356</v>
      </c>
      <c r="T207" s="40"/>
      <c r="U207" s="40">
        <v>2085500</v>
      </c>
      <c r="V207" s="40">
        <v>0</v>
      </c>
      <c r="W207" s="45">
        <v>3613365</v>
      </c>
      <c r="X207" s="46">
        <v>25.19985476307226</v>
      </c>
    </row>
    <row r="208" spans="1:24" s="4" customFormat="1" ht="15" customHeight="1">
      <c r="A208" s="79" t="s">
        <v>3955</v>
      </c>
      <c r="B208" s="80">
        <v>3394.61</v>
      </c>
      <c r="C208" s="81" t="s">
        <v>4167</v>
      </c>
      <c r="D208" s="82">
        <v>4952221336</v>
      </c>
      <c r="E208" s="82" t="s">
        <v>24</v>
      </c>
      <c r="F208" s="82" t="s">
        <v>4168</v>
      </c>
      <c r="G208" s="79" t="s">
        <v>5</v>
      </c>
      <c r="H208" s="2" t="s">
        <v>26</v>
      </c>
      <c r="I208" s="2">
        <v>1</v>
      </c>
      <c r="J208" s="2" t="s">
        <v>4169</v>
      </c>
      <c r="K208" s="2">
        <v>13448.24</v>
      </c>
      <c r="L208" s="35">
        <v>45651529.986400001</v>
      </c>
      <c r="M208" s="36">
        <v>19776.830000000002</v>
      </c>
      <c r="N208" s="40">
        <v>356236</v>
      </c>
      <c r="O208" s="40">
        <v>125000</v>
      </c>
      <c r="P208" s="40">
        <v>320440</v>
      </c>
      <c r="Q208" s="40">
        <v>99309</v>
      </c>
      <c r="R208" s="40">
        <v>616047</v>
      </c>
      <c r="S208" s="40">
        <v>354356</v>
      </c>
      <c r="T208" s="40"/>
      <c r="U208" s="40">
        <v>2419294</v>
      </c>
      <c r="V208" s="40">
        <v>0</v>
      </c>
      <c r="W208" s="45">
        <v>4290682</v>
      </c>
      <c r="X208" s="46">
        <v>9.3987693321083263</v>
      </c>
    </row>
    <row r="209" spans="1:24" s="4" customFormat="1" ht="15" customHeight="1">
      <c r="A209" s="79" t="s">
        <v>3955</v>
      </c>
      <c r="B209" s="80">
        <v>3394.61</v>
      </c>
      <c r="C209" s="81" t="s">
        <v>4170</v>
      </c>
      <c r="D209" s="82">
        <v>4952534309</v>
      </c>
      <c r="E209" s="82" t="s">
        <v>24</v>
      </c>
      <c r="F209" s="82" t="s">
        <v>4171</v>
      </c>
      <c r="G209" s="79" t="s">
        <v>9</v>
      </c>
      <c r="H209" s="2" t="s">
        <v>23</v>
      </c>
      <c r="I209" s="2">
        <v>4</v>
      </c>
      <c r="J209" s="2"/>
      <c r="K209" s="2">
        <v>7434</v>
      </c>
      <c r="L209" s="35">
        <v>25235530.740000002</v>
      </c>
      <c r="M209" s="36">
        <v>4200</v>
      </c>
      <c r="N209" s="40">
        <v>739873</v>
      </c>
      <c r="O209" s="40">
        <v>3600</v>
      </c>
      <c r="P209" s="40">
        <v>80220</v>
      </c>
      <c r="Q209" s="40">
        <v>1000</v>
      </c>
      <c r="R209" s="40">
        <v>65167</v>
      </c>
      <c r="S209" s="40">
        <v>354356</v>
      </c>
      <c r="T209" s="40"/>
      <c r="U209" s="40">
        <v>897250</v>
      </c>
      <c r="V209" s="40">
        <v>0</v>
      </c>
      <c r="W209" s="45">
        <v>2141466</v>
      </c>
      <c r="X209" s="46">
        <v>8.4859162347857158</v>
      </c>
    </row>
    <row r="210" spans="1:24" s="4" customFormat="1" ht="15" customHeight="1">
      <c r="A210" s="79" t="s">
        <v>3955</v>
      </c>
      <c r="B210" s="80">
        <v>3394.61</v>
      </c>
      <c r="C210" s="81" t="s">
        <v>4172</v>
      </c>
      <c r="D210" s="82">
        <v>4952221334</v>
      </c>
      <c r="E210" s="82" t="s">
        <v>24</v>
      </c>
      <c r="F210" s="82" t="s">
        <v>4173</v>
      </c>
      <c r="G210" s="79" t="s">
        <v>5</v>
      </c>
      <c r="H210" s="2" t="s">
        <v>26</v>
      </c>
      <c r="I210" s="2">
        <v>1</v>
      </c>
      <c r="J210" s="2" t="s">
        <v>4174</v>
      </c>
      <c r="K210" s="2">
        <v>14083.48</v>
      </c>
      <c r="L210" s="35">
        <v>47807922.042800002</v>
      </c>
      <c r="M210" s="36">
        <v>20711</v>
      </c>
      <c r="N210" s="40">
        <v>356236</v>
      </c>
      <c r="O210" s="40">
        <v>125000</v>
      </c>
      <c r="P210" s="40">
        <v>320440</v>
      </c>
      <c r="Q210" s="40">
        <v>99309</v>
      </c>
      <c r="R210" s="40">
        <v>616047</v>
      </c>
      <c r="S210" s="40">
        <v>354356</v>
      </c>
      <c r="T210" s="40"/>
      <c r="U210" s="40">
        <v>2419294</v>
      </c>
      <c r="V210" s="40">
        <v>0</v>
      </c>
      <c r="W210" s="45">
        <v>4290682</v>
      </c>
      <c r="X210" s="46">
        <v>8.974834748430963</v>
      </c>
    </row>
    <row r="211" spans="1:24" s="4" customFormat="1" ht="15" customHeight="1">
      <c r="A211" s="79" t="s">
        <v>3955</v>
      </c>
      <c r="B211" s="80">
        <v>3394.61</v>
      </c>
      <c r="C211" s="81" t="s">
        <v>4180</v>
      </c>
      <c r="D211" s="82">
        <v>4952946228</v>
      </c>
      <c r="E211" s="82" t="s">
        <v>24</v>
      </c>
      <c r="F211" s="82" t="s">
        <v>4181</v>
      </c>
      <c r="G211" s="79" t="s">
        <v>9</v>
      </c>
      <c r="H211" s="2" t="s">
        <v>23</v>
      </c>
      <c r="I211" s="2">
        <v>3</v>
      </c>
      <c r="J211" s="2"/>
      <c r="K211" s="2">
        <v>3912</v>
      </c>
      <c r="L211" s="35">
        <v>13279714.32</v>
      </c>
      <c r="M211" s="36">
        <v>1200</v>
      </c>
      <c r="N211" s="40">
        <v>357720.545454545</v>
      </c>
      <c r="O211" s="40">
        <v>73</v>
      </c>
      <c r="P211" s="40">
        <v>13226.727272727299</v>
      </c>
      <c r="Q211" s="40">
        <v>177.5</v>
      </c>
      <c r="R211" s="40">
        <v>71365.090909090897</v>
      </c>
      <c r="S211" s="40">
        <v>193285.090909091</v>
      </c>
      <c r="T211" s="48"/>
      <c r="U211" s="55">
        <v>595857.14285714296</v>
      </c>
      <c r="V211" s="55">
        <v>0</v>
      </c>
      <c r="W211" s="45">
        <v>1231705.0974025971</v>
      </c>
      <c r="X211" s="46">
        <v>9.2750873077712193</v>
      </c>
    </row>
    <row r="212" spans="1:24" s="4" customFormat="1" ht="15" customHeight="1">
      <c r="A212" s="79" t="s">
        <v>3955</v>
      </c>
      <c r="B212" s="80">
        <v>3394.61</v>
      </c>
      <c r="C212" s="81" t="s">
        <v>4180</v>
      </c>
      <c r="D212" s="82">
        <v>4952946229</v>
      </c>
      <c r="E212" s="82" t="s">
        <v>24</v>
      </c>
      <c r="F212" s="82" t="s">
        <v>4181</v>
      </c>
      <c r="G212" s="79" t="s">
        <v>9</v>
      </c>
      <c r="H212" s="2" t="s">
        <v>23</v>
      </c>
      <c r="I212" s="2">
        <v>3</v>
      </c>
      <c r="J212" s="2"/>
      <c r="K212" s="2">
        <v>4660</v>
      </c>
      <c r="L212" s="35">
        <v>15818882.600000001</v>
      </c>
      <c r="M212" s="36">
        <v>1000</v>
      </c>
      <c r="N212" s="40">
        <v>298100.454545455</v>
      </c>
      <c r="O212" s="40">
        <v>73</v>
      </c>
      <c r="P212" s="40">
        <v>11022.272727272701</v>
      </c>
      <c r="Q212" s="40">
        <v>177.5</v>
      </c>
      <c r="R212" s="40">
        <v>59470.909090909103</v>
      </c>
      <c r="S212" s="40">
        <v>161070.909090909</v>
      </c>
      <c r="T212" s="48"/>
      <c r="U212" s="55">
        <v>496547.61904761899</v>
      </c>
      <c r="V212" s="55">
        <v>0</v>
      </c>
      <c r="W212" s="45">
        <v>1026462.6645021648</v>
      </c>
      <c r="X212" s="46">
        <v>6.4888443163625524</v>
      </c>
    </row>
    <row r="213" spans="1:24" s="4" customFormat="1" ht="15" customHeight="1">
      <c r="A213" s="79" t="s">
        <v>3955</v>
      </c>
      <c r="B213" s="80">
        <v>3394.61</v>
      </c>
      <c r="C213" s="81" t="s">
        <v>4200</v>
      </c>
      <c r="D213" s="82">
        <v>4952221315</v>
      </c>
      <c r="E213" s="82" t="s">
        <v>24</v>
      </c>
      <c r="F213" s="82" t="s">
        <v>4201</v>
      </c>
      <c r="G213" s="79" t="s">
        <v>5</v>
      </c>
      <c r="H213" s="2" t="s">
        <v>26</v>
      </c>
      <c r="I213" s="2">
        <v>1</v>
      </c>
      <c r="J213" s="2" t="s">
        <v>4202</v>
      </c>
      <c r="K213" s="2">
        <v>20196</v>
      </c>
      <c r="L213" s="35">
        <v>68557543.560000002</v>
      </c>
      <c r="M213" s="36">
        <v>23760</v>
      </c>
      <c r="N213" s="40">
        <v>337699</v>
      </c>
      <c r="O213" s="40">
        <v>125000</v>
      </c>
      <c r="P213" s="40">
        <v>364135</v>
      </c>
      <c r="Q213" s="40">
        <v>99309</v>
      </c>
      <c r="R213" s="40">
        <v>528080</v>
      </c>
      <c r="S213" s="40">
        <v>354356</v>
      </c>
      <c r="T213" s="40"/>
      <c r="U213" s="40">
        <v>0</v>
      </c>
      <c r="V213" s="40">
        <v>0</v>
      </c>
      <c r="W213" s="45">
        <v>1808579</v>
      </c>
      <c r="X213" s="46">
        <v>2.6380452187835068</v>
      </c>
    </row>
    <row r="214" spans="1:24" s="4" customFormat="1" ht="15" customHeight="1">
      <c r="A214" s="79" t="s">
        <v>3955</v>
      </c>
      <c r="B214" s="80">
        <v>3394.61</v>
      </c>
      <c r="C214" s="81" t="s">
        <v>4209</v>
      </c>
      <c r="D214" s="82">
        <v>4952946227</v>
      </c>
      <c r="E214" s="82" t="s">
        <v>24</v>
      </c>
      <c r="F214" s="83" t="s">
        <v>4210</v>
      </c>
      <c r="G214" s="79" t="s">
        <v>5</v>
      </c>
      <c r="H214" s="2" t="s">
        <v>20</v>
      </c>
      <c r="I214" s="2">
        <v>1</v>
      </c>
      <c r="J214" s="2" t="s">
        <v>4211</v>
      </c>
      <c r="K214" s="2">
        <v>3888</v>
      </c>
      <c r="L214" s="35">
        <v>13198243.68</v>
      </c>
      <c r="M214" s="36">
        <v>4320</v>
      </c>
      <c r="N214" s="40">
        <v>344493</v>
      </c>
      <c r="O214" s="40">
        <v>346986</v>
      </c>
      <c r="P214" s="40">
        <v>0</v>
      </c>
      <c r="Q214" s="40">
        <v>99309</v>
      </c>
      <c r="R214" s="40">
        <v>443564</v>
      </c>
      <c r="S214" s="40">
        <v>354356</v>
      </c>
      <c r="T214" s="40"/>
      <c r="U214" s="40">
        <v>2619000</v>
      </c>
      <c r="V214" s="40">
        <v>0</v>
      </c>
      <c r="W214" s="45">
        <v>4207708</v>
      </c>
      <c r="X214" s="46">
        <v>31.88081764527627</v>
      </c>
    </row>
    <row r="215" spans="1:24" s="4" customFormat="1" ht="15" customHeight="1">
      <c r="A215" s="79" t="s">
        <v>3955</v>
      </c>
      <c r="B215" s="80">
        <v>3394.61</v>
      </c>
      <c r="C215" s="81" t="s">
        <v>4214</v>
      </c>
      <c r="D215" s="82">
        <v>4952601278</v>
      </c>
      <c r="E215" s="82" t="s">
        <v>24</v>
      </c>
      <c r="F215" s="82" t="s">
        <v>4215</v>
      </c>
      <c r="G215" s="79" t="s">
        <v>5</v>
      </c>
      <c r="H215" s="2" t="s">
        <v>20</v>
      </c>
      <c r="I215" s="2">
        <v>1</v>
      </c>
      <c r="J215" s="2" t="s">
        <v>4216</v>
      </c>
      <c r="K215" s="2">
        <v>5360</v>
      </c>
      <c r="L215" s="35">
        <v>18195109.600000001</v>
      </c>
      <c r="M215" s="36">
        <v>8000</v>
      </c>
      <c r="N215" s="40">
        <v>353343</v>
      </c>
      <c r="O215" s="40">
        <v>346986</v>
      </c>
      <c r="P215" s="40">
        <v>164893</v>
      </c>
      <c r="Q215" s="40">
        <v>99309</v>
      </c>
      <c r="R215" s="40">
        <v>562614</v>
      </c>
      <c r="S215" s="40">
        <v>354356</v>
      </c>
      <c r="T215" s="40"/>
      <c r="U215" s="40">
        <v>2900300</v>
      </c>
      <c r="V215" s="40">
        <v>0</v>
      </c>
      <c r="W215" s="45">
        <v>4781801</v>
      </c>
      <c r="X215" s="46">
        <v>26.280693577135693</v>
      </c>
    </row>
    <row r="216" spans="1:24" s="4" customFormat="1" ht="15" customHeight="1">
      <c r="A216" s="79" t="s">
        <v>3955</v>
      </c>
      <c r="B216" s="80">
        <v>3394.61</v>
      </c>
      <c r="C216" s="81" t="s">
        <v>4222</v>
      </c>
      <c r="D216" s="82">
        <v>4952602529</v>
      </c>
      <c r="E216" s="82" t="s">
        <v>24</v>
      </c>
      <c r="F216" s="82" t="s">
        <v>4223</v>
      </c>
      <c r="G216" s="79" t="s">
        <v>5</v>
      </c>
      <c r="H216" s="2" t="s">
        <v>20</v>
      </c>
      <c r="I216" s="2">
        <v>1</v>
      </c>
      <c r="J216" s="2" t="s">
        <v>4224</v>
      </c>
      <c r="K216" s="2">
        <v>29611.599999999999</v>
      </c>
      <c r="L216" s="35">
        <v>100519833.476</v>
      </c>
      <c r="M216" s="36">
        <v>7240</v>
      </c>
      <c r="N216" s="40">
        <v>276861.83116883098</v>
      </c>
      <c r="O216" s="40">
        <v>173493</v>
      </c>
      <c r="P216" s="40">
        <v>129201.87445887399</v>
      </c>
      <c r="Q216" s="40">
        <v>49654.5</v>
      </c>
      <c r="R216" s="40">
        <v>445537.37662337697</v>
      </c>
      <c r="S216" s="40">
        <v>277655.56709956698</v>
      </c>
      <c r="T216" s="48"/>
      <c r="U216" s="55">
        <v>2546145.0216450202</v>
      </c>
      <c r="V216" s="55">
        <v>0</v>
      </c>
      <c r="W216" s="45">
        <v>3898549.1709956694</v>
      </c>
      <c r="X216" s="46">
        <v>3.8783880117812601</v>
      </c>
    </row>
    <row r="217" spans="1:24" s="4" customFormat="1" ht="15" customHeight="1">
      <c r="A217" s="79" t="s">
        <v>3955</v>
      </c>
      <c r="B217" s="80">
        <v>3394.61</v>
      </c>
      <c r="C217" s="81" t="s">
        <v>4222</v>
      </c>
      <c r="D217" s="82">
        <v>4952601278</v>
      </c>
      <c r="E217" s="82" t="s">
        <v>24</v>
      </c>
      <c r="F217" s="82" t="s">
        <v>4223</v>
      </c>
      <c r="G217" s="79" t="s">
        <v>5</v>
      </c>
      <c r="H217" s="2" t="s">
        <v>20</v>
      </c>
      <c r="I217" s="2">
        <v>1</v>
      </c>
      <c r="J217" s="2" t="s">
        <v>4224</v>
      </c>
      <c r="K217" s="2">
        <v>1340</v>
      </c>
      <c r="L217" s="35">
        <v>4548777.4000000004</v>
      </c>
      <c r="M217" s="36">
        <v>2000</v>
      </c>
      <c r="N217" s="40">
        <v>76481.168831168805</v>
      </c>
      <c r="O217" s="40">
        <v>173493</v>
      </c>
      <c r="P217" s="40">
        <v>35691.125541125497</v>
      </c>
      <c r="Q217" s="40">
        <v>49654.5</v>
      </c>
      <c r="R217" s="40">
        <v>123076.623376623</v>
      </c>
      <c r="S217" s="40">
        <v>76700.432900432905</v>
      </c>
      <c r="T217" s="48"/>
      <c r="U217" s="55">
        <v>703354.97835497803</v>
      </c>
      <c r="V217" s="55">
        <v>0</v>
      </c>
      <c r="W217" s="45">
        <v>1238451.8290043282</v>
      </c>
      <c r="X217" s="46">
        <v>27.226037242541878</v>
      </c>
    </row>
    <row r="218" spans="1:24" s="4" customFormat="1" ht="15" customHeight="1">
      <c r="A218" s="79" t="s">
        <v>3955</v>
      </c>
      <c r="B218" s="80">
        <v>3394.61</v>
      </c>
      <c r="C218" s="81" t="s">
        <v>4242</v>
      </c>
      <c r="D218" s="82" t="s">
        <v>4243</v>
      </c>
      <c r="E218" s="82" t="s">
        <v>24</v>
      </c>
      <c r="F218" s="82" t="s">
        <v>4244</v>
      </c>
      <c r="G218" s="79" t="s">
        <v>9</v>
      </c>
      <c r="H218" s="2" t="s">
        <v>23</v>
      </c>
      <c r="I218" s="2">
        <v>4</v>
      </c>
      <c r="J218" s="2"/>
      <c r="K218" s="2">
        <v>9649.5300000000007</v>
      </c>
      <c r="L218" s="35">
        <v>32756391.033300005</v>
      </c>
      <c r="M218" s="36">
        <v>3483.5839999999998</v>
      </c>
      <c r="N218" s="40">
        <v>939269</v>
      </c>
      <c r="O218" s="40">
        <v>2404</v>
      </c>
      <c r="P218" s="40">
        <v>140027</v>
      </c>
      <c r="Q218" s="40">
        <v>46722</v>
      </c>
      <c r="R218" s="40">
        <v>104627</v>
      </c>
      <c r="S218" s="40">
        <v>354356</v>
      </c>
      <c r="T218" s="40"/>
      <c r="U218" s="40">
        <v>557750</v>
      </c>
      <c r="V218" s="40">
        <v>0</v>
      </c>
      <c r="W218" s="45">
        <v>2145155</v>
      </c>
      <c r="X218" s="46">
        <v>6.5488136279092668</v>
      </c>
    </row>
    <row r="219" spans="1:24" s="4" customFormat="1" ht="15" customHeight="1">
      <c r="A219" s="79" t="s">
        <v>3955</v>
      </c>
      <c r="B219" s="80">
        <v>3394.61</v>
      </c>
      <c r="C219" s="81" t="s">
        <v>4286</v>
      </c>
      <c r="D219" s="82">
        <v>4953157201</v>
      </c>
      <c r="E219" s="82" t="s">
        <v>24</v>
      </c>
      <c r="F219" s="83" t="s">
        <v>4287</v>
      </c>
      <c r="G219" s="79" t="s">
        <v>9</v>
      </c>
      <c r="H219" s="2" t="s">
        <v>23</v>
      </c>
      <c r="I219" s="2">
        <v>8</v>
      </c>
      <c r="J219" s="2"/>
      <c r="K219" s="2">
        <v>2288</v>
      </c>
      <c r="L219" s="35">
        <v>7766867.6800000006</v>
      </c>
      <c r="M219" s="36">
        <v>100</v>
      </c>
      <c r="N219" s="62">
        <v>117806.060606061</v>
      </c>
      <c r="O219" s="40">
        <v>223</v>
      </c>
      <c r="P219" s="40">
        <v>0</v>
      </c>
      <c r="Q219" s="40">
        <v>2953.6666666666702</v>
      </c>
      <c r="R219" s="62">
        <v>14943.7878787879</v>
      </c>
      <c r="S219" s="62">
        <v>53690.303030303003</v>
      </c>
      <c r="T219" s="65"/>
      <c r="U219" s="55">
        <v>315984.84848484898</v>
      </c>
      <c r="V219" s="55">
        <v>0</v>
      </c>
      <c r="W219" s="45">
        <v>505601.66666666756</v>
      </c>
      <c r="X219" s="46">
        <v>6.5097242221418607</v>
      </c>
    </row>
    <row r="220" spans="1:24" s="4" customFormat="1" ht="15" customHeight="1">
      <c r="A220" s="79" t="s">
        <v>3955</v>
      </c>
      <c r="B220" s="80">
        <v>3394.61</v>
      </c>
      <c r="C220" s="81" t="s">
        <v>4286</v>
      </c>
      <c r="D220" s="82">
        <v>4953157201</v>
      </c>
      <c r="E220" s="82" t="s">
        <v>24</v>
      </c>
      <c r="F220" s="83" t="s">
        <v>4287</v>
      </c>
      <c r="G220" s="79" t="s">
        <v>9</v>
      </c>
      <c r="H220" s="2" t="s">
        <v>23</v>
      </c>
      <c r="I220" s="2">
        <v>8</v>
      </c>
      <c r="J220" s="2"/>
      <c r="K220" s="2">
        <v>2527.1999999999998</v>
      </c>
      <c r="L220" s="35">
        <v>8578858.3919999991</v>
      </c>
      <c r="M220" s="36">
        <v>360</v>
      </c>
      <c r="N220" s="62">
        <v>424101.818181818</v>
      </c>
      <c r="O220" s="40">
        <v>223</v>
      </c>
      <c r="P220" s="40">
        <v>0</v>
      </c>
      <c r="Q220" s="40">
        <v>2953.6666666666702</v>
      </c>
      <c r="R220" s="62">
        <v>53797.636363636397</v>
      </c>
      <c r="S220" s="62">
        <v>193285.090909091</v>
      </c>
      <c r="T220" s="65"/>
      <c r="U220" s="55">
        <v>1137545.4545454499</v>
      </c>
      <c r="V220" s="55">
        <v>0</v>
      </c>
      <c r="W220" s="45">
        <v>1811906.6666666621</v>
      </c>
      <c r="X220" s="46">
        <v>21.120603510093027</v>
      </c>
    </row>
    <row r="221" spans="1:24" s="4" customFormat="1" ht="15" customHeight="1">
      <c r="A221" s="79" t="s">
        <v>3955</v>
      </c>
      <c r="B221" s="80">
        <v>3394.61</v>
      </c>
      <c r="C221" s="81" t="s">
        <v>4286</v>
      </c>
      <c r="D221" s="82">
        <v>4953157201</v>
      </c>
      <c r="E221" s="82" t="s">
        <v>24</v>
      </c>
      <c r="F221" s="83" t="s">
        <v>4287</v>
      </c>
      <c r="G221" s="79" t="s">
        <v>9</v>
      </c>
      <c r="H221" s="2" t="s">
        <v>23</v>
      </c>
      <c r="I221" s="2">
        <v>8</v>
      </c>
      <c r="J221" s="2"/>
      <c r="K221" s="2">
        <v>3582</v>
      </c>
      <c r="L221" s="35">
        <v>12159493.02</v>
      </c>
      <c r="M221" s="36">
        <v>200</v>
      </c>
      <c r="N221" s="62">
        <v>235612.12121212101</v>
      </c>
      <c r="O221" s="40">
        <v>223</v>
      </c>
      <c r="P221" s="40">
        <v>0</v>
      </c>
      <c r="Q221" s="40">
        <v>2953.6666666666702</v>
      </c>
      <c r="R221" s="62">
        <v>29887.5757575758</v>
      </c>
      <c r="S221" s="62">
        <v>107380.60606060601</v>
      </c>
      <c r="T221" s="65"/>
      <c r="U221" s="55">
        <v>631969.69696969702</v>
      </c>
      <c r="V221" s="55">
        <v>0</v>
      </c>
      <c r="W221" s="45">
        <v>1008026.6666666665</v>
      </c>
      <c r="X221" s="46">
        <v>8.2900386143456704</v>
      </c>
    </row>
    <row r="222" spans="1:24" s="4" customFormat="1" ht="15" customHeight="1">
      <c r="A222" s="79" t="s">
        <v>3955</v>
      </c>
      <c r="B222" s="80">
        <v>3394.61</v>
      </c>
      <c r="C222" s="81" t="s">
        <v>4370</v>
      </c>
      <c r="D222" s="82">
        <v>4952972139</v>
      </c>
      <c r="E222" s="82" t="s">
        <v>24</v>
      </c>
      <c r="F222" s="82" t="s">
        <v>4371</v>
      </c>
      <c r="G222" s="79" t="s">
        <v>5</v>
      </c>
      <c r="H222" s="2" t="s">
        <v>17</v>
      </c>
      <c r="I222" s="2">
        <v>1</v>
      </c>
      <c r="J222" s="2" t="s">
        <v>4372</v>
      </c>
      <c r="K222" s="2">
        <v>26640</v>
      </c>
      <c r="L222" s="35">
        <v>90432410.400000006</v>
      </c>
      <c r="M222" s="36">
        <v>24000</v>
      </c>
      <c r="N222" s="66">
        <v>382480</v>
      </c>
      <c r="O222" s="40">
        <v>227602.5</v>
      </c>
      <c r="P222" s="40">
        <v>355526</v>
      </c>
      <c r="Q222" s="40">
        <v>62068.5</v>
      </c>
      <c r="R222" s="62">
        <v>593028.5</v>
      </c>
      <c r="S222" s="62">
        <v>177178</v>
      </c>
      <c r="T222" s="65"/>
      <c r="U222" s="55">
        <v>380000</v>
      </c>
      <c r="V222" s="55">
        <v>2500900</v>
      </c>
      <c r="W222" s="45">
        <v>4678783.5</v>
      </c>
      <c r="X222" s="46">
        <v>5.173790546226555</v>
      </c>
    </row>
    <row r="223" spans="1:24" s="4" customFormat="1" ht="15" customHeight="1">
      <c r="A223" s="79" t="s">
        <v>3955</v>
      </c>
      <c r="B223" s="80">
        <v>3394.61</v>
      </c>
      <c r="C223" s="81" t="s">
        <v>4370</v>
      </c>
      <c r="D223" s="82">
        <v>4952972138</v>
      </c>
      <c r="E223" s="82" t="s">
        <v>24</v>
      </c>
      <c r="F223" s="82" t="s">
        <v>4371</v>
      </c>
      <c r="G223" s="79" t="s">
        <v>5</v>
      </c>
      <c r="H223" s="2" t="s">
        <v>17</v>
      </c>
      <c r="I223" s="2">
        <v>1</v>
      </c>
      <c r="J223" s="2" t="s">
        <v>4373</v>
      </c>
      <c r="K223" s="2">
        <v>26640</v>
      </c>
      <c r="L223" s="35">
        <v>90432410.400000006</v>
      </c>
      <c r="M223" s="36">
        <v>24000</v>
      </c>
      <c r="N223" s="62">
        <v>382480</v>
      </c>
      <c r="O223" s="40">
        <v>227602.5</v>
      </c>
      <c r="P223" s="40">
        <v>355526</v>
      </c>
      <c r="Q223" s="40">
        <v>62068.5</v>
      </c>
      <c r="R223" s="62">
        <v>593028.5</v>
      </c>
      <c r="S223" s="62">
        <v>177178</v>
      </c>
      <c r="T223" s="65"/>
      <c r="U223" s="55">
        <v>380000</v>
      </c>
      <c r="V223" s="55">
        <v>2500900</v>
      </c>
      <c r="W223" s="45">
        <v>4678783.5</v>
      </c>
      <c r="X223" s="46">
        <v>5.173790546226555</v>
      </c>
    </row>
    <row r="224" spans="1:24" s="4" customFormat="1" ht="15" customHeight="1">
      <c r="A224" s="79" t="s">
        <v>3955</v>
      </c>
      <c r="B224" s="80">
        <v>3394.61</v>
      </c>
      <c r="C224" s="81" t="s">
        <v>4385</v>
      </c>
      <c r="D224" s="82">
        <v>4952534324</v>
      </c>
      <c r="E224" s="82" t="s">
        <v>24</v>
      </c>
      <c r="F224" s="82" t="s">
        <v>4386</v>
      </c>
      <c r="G224" s="79" t="s">
        <v>5</v>
      </c>
      <c r="H224" s="2" t="s">
        <v>20</v>
      </c>
      <c r="I224" s="2">
        <v>1</v>
      </c>
      <c r="J224" s="2" t="s">
        <v>4387</v>
      </c>
      <c r="K224" s="2">
        <v>72966.100000000006</v>
      </c>
      <c r="L224" s="35">
        <v>247691452.72100002</v>
      </c>
      <c r="M224" s="36">
        <v>6350.4</v>
      </c>
      <c r="N224" s="40">
        <v>400500</v>
      </c>
      <c r="O224" s="40">
        <v>346986</v>
      </c>
      <c r="P224" s="40">
        <v>0</v>
      </c>
      <c r="Q224" s="40">
        <v>99309</v>
      </c>
      <c r="R224" s="40">
        <v>446788</v>
      </c>
      <c r="S224" s="40">
        <v>354356</v>
      </c>
      <c r="T224" s="40"/>
      <c r="U224" s="40">
        <v>2900300</v>
      </c>
      <c r="V224" s="40">
        <v>0</v>
      </c>
      <c r="W224" s="45">
        <v>4548239</v>
      </c>
      <c r="X224" s="46">
        <v>1.8362518972841353</v>
      </c>
    </row>
    <row r="225" spans="1:24" s="4" customFormat="1" ht="15" customHeight="1">
      <c r="A225" s="79" t="s">
        <v>3955</v>
      </c>
      <c r="B225" s="80">
        <v>3394.61</v>
      </c>
      <c r="C225" s="81" t="s">
        <v>4388</v>
      </c>
      <c r="D225" s="82">
        <v>4952431657</v>
      </c>
      <c r="E225" s="82" t="s">
        <v>24</v>
      </c>
      <c r="F225" s="82" t="s">
        <v>4389</v>
      </c>
      <c r="G225" s="79" t="s">
        <v>5</v>
      </c>
      <c r="H225" s="2" t="s">
        <v>26</v>
      </c>
      <c r="I225" s="2">
        <v>2</v>
      </c>
      <c r="J225" s="2" t="s">
        <v>4390</v>
      </c>
      <c r="K225" s="2">
        <v>23078.400000000001</v>
      </c>
      <c r="L225" s="35">
        <v>78342167.42400001</v>
      </c>
      <c r="M225" s="36">
        <v>24040</v>
      </c>
      <c r="N225" s="40">
        <v>354576.68729945098</v>
      </c>
      <c r="O225" s="40">
        <v>160000</v>
      </c>
      <c r="P225" s="40">
        <v>270074.13394058601</v>
      </c>
      <c r="Q225" s="40">
        <v>99309</v>
      </c>
      <c r="R225" s="40">
        <v>612984.41652002896</v>
      </c>
      <c r="S225" s="40">
        <v>176352.72207846001</v>
      </c>
      <c r="T225" s="48"/>
      <c r="U225" s="40">
        <v>0</v>
      </c>
      <c r="V225" s="40">
        <v>0</v>
      </c>
      <c r="W225" s="45">
        <v>1673296.9598385261</v>
      </c>
      <c r="X225" s="46">
        <v>2.1358829029868196</v>
      </c>
    </row>
    <row r="226" spans="1:24" s="4" customFormat="1" ht="15" customHeight="1">
      <c r="A226" s="79" t="s">
        <v>3955</v>
      </c>
      <c r="B226" s="80">
        <v>3394.61</v>
      </c>
      <c r="C226" s="81" t="s">
        <v>4388</v>
      </c>
      <c r="D226" s="82">
        <v>4952430937</v>
      </c>
      <c r="E226" s="82" t="s">
        <v>24</v>
      </c>
      <c r="F226" s="82" t="s">
        <v>4389</v>
      </c>
      <c r="G226" s="79" t="s">
        <v>5</v>
      </c>
      <c r="H226" s="2" t="s">
        <v>26</v>
      </c>
      <c r="I226" s="2">
        <v>2</v>
      </c>
      <c r="J226" s="2" t="s">
        <v>4390</v>
      </c>
      <c r="K226" s="2">
        <v>23294.400000000001</v>
      </c>
      <c r="L226" s="35">
        <v>79075403.184000015</v>
      </c>
      <c r="M226" s="36">
        <v>24265</v>
      </c>
      <c r="N226" s="40">
        <v>357895.31270054902</v>
      </c>
      <c r="O226" s="40">
        <v>160000</v>
      </c>
      <c r="P226" s="40">
        <v>272601.86605941399</v>
      </c>
      <c r="Q226" s="40">
        <v>99309</v>
      </c>
      <c r="R226" s="40">
        <v>618721.58347997104</v>
      </c>
      <c r="S226" s="40">
        <v>178003.27792153999</v>
      </c>
      <c r="T226" s="48"/>
      <c r="U226" s="40">
        <v>0</v>
      </c>
      <c r="V226" s="40">
        <v>0</v>
      </c>
      <c r="W226" s="45">
        <v>1686531.0401614739</v>
      </c>
      <c r="X226" s="46">
        <v>2.1328137097664825</v>
      </c>
    </row>
    <row r="227" spans="1:24" s="4" customFormat="1" ht="15" customHeight="1">
      <c r="A227" s="79" t="s">
        <v>3955</v>
      </c>
      <c r="B227" s="80">
        <v>3394.61</v>
      </c>
      <c r="C227" s="81" t="s">
        <v>4394</v>
      </c>
      <c r="D227" s="82">
        <v>4952221337</v>
      </c>
      <c r="E227" s="82" t="s">
        <v>24</v>
      </c>
      <c r="F227" s="82" t="s">
        <v>4395</v>
      </c>
      <c r="G227" s="79" t="s">
        <v>5</v>
      </c>
      <c r="H227" s="2" t="s">
        <v>26</v>
      </c>
      <c r="I227" s="2">
        <v>1</v>
      </c>
      <c r="J227" s="2" t="s">
        <v>4396</v>
      </c>
      <c r="K227" s="2">
        <v>15348.27</v>
      </c>
      <c r="L227" s="35">
        <v>52101390.824700005</v>
      </c>
      <c r="M227" s="36">
        <v>22570.987000000001</v>
      </c>
      <c r="N227" s="40">
        <v>349134</v>
      </c>
      <c r="O227" s="40">
        <v>0</v>
      </c>
      <c r="P227" s="40">
        <v>231212</v>
      </c>
      <c r="Q227" s="40">
        <v>99309</v>
      </c>
      <c r="R227" s="40">
        <v>601561</v>
      </c>
      <c r="S227" s="40">
        <v>354356</v>
      </c>
      <c r="T227" s="40"/>
      <c r="U227" s="40">
        <v>0</v>
      </c>
      <c r="V227" s="40">
        <v>0</v>
      </c>
      <c r="W227" s="45">
        <v>1635572</v>
      </c>
      <c r="X227" s="46">
        <v>3.1392098639037003</v>
      </c>
    </row>
    <row r="229" spans="1:24" ht="15" customHeight="1">
      <c r="A229" s="87" t="s">
        <v>3955</v>
      </c>
      <c r="B229" s="31"/>
      <c r="C229" s="31"/>
      <c r="D229" s="31"/>
      <c r="E229" s="31"/>
      <c r="F229" s="32">
        <v>23</v>
      </c>
      <c r="G229" s="31"/>
      <c r="H229" s="31"/>
      <c r="I229" s="38"/>
      <c r="J229" s="31"/>
      <c r="K229" s="39">
        <f>+SUM(K196:K227)</f>
        <v>405643.72000000009</v>
      </c>
      <c r="L229" s="39">
        <f>+SUM(L196:L227)</f>
        <v>1377002228.3492</v>
      </c>
      <c r="M229" s="31"/>
      <c r="N229" s="39"/>
      <c r="O229" s="39"/>
      <c r="P229" s="39"/>
      <c r="Q229" s="39"/>
      <c r="R229" s="39"/>
      <c r="S229" s="39"/>
      <c r="T229" s="39"/>
      <c r="U229" s="39"/>
      <c r="V229" s="31"/>
      <c r="W229" s="39">
        <f>+SUM(W196:W227)</f>
        <v>75011455.669703707</v>
      </c>
      <c r="X229" s="47">
        <f>(W229/L229)*100</f>
        <v>5.4474462078126153</v>
      </c>
    </row>
  </sheetData>
  <conditionalFormatting sqref="C2">
    <cfRule type="duplicateValues" dxfId="109" priority="30"/>
  </conditionalFormatting>
  <conditionalFormatting sqref="C3">
    <cfRule type="duplicateValues" dxfId="108" priority="29"/>
  </conditionalFormatting>
  <conditionalFormatting sqref="C4">
    <cfRule type="duplicateValues" dxfId="107" priority="28"/>
  </conditionalFormatting>
  <conditionalFormatting sqref="C5">
    <cfRule type="duplicateValues" dxfId="106" priority="27"/>
  </conditionalFormatting>
  <conditionalFormatting sqref="C6">
    <cfRule type="duplicateValues" dxfId="105" priority="26"/>
  </conditionalFormatting>
  <conditionalFormatting sqref="C7">
    <cfRule type="duplicateValues" dxfId="104" priority="25"/>
  </conditionalFormatting>
  <conditionalFormatting sqref="C8">
    <cfRule type="duplicateValues" dxfId="103" priority="24"/>
  </conditionalFormatting>
  <conditionalFormatting sqref="C9">
    <cfRule type="duplicateValues" dxfId="102" priority="23"/>
  </conditionalFormatting>
  <conditionalFormatting sqref="C10">
    <cfRule type="duplicateValues" dxfId="101" priority="22"/>
  </conditionalFormatting>
  <conditionalFormatting sqref="C11">
    <cfRule type="duplicateValues" dxfId="100" priority="21"/>
  </conditionalFormatting>
  <conditionalFormatting sqref="C12">
    <cfRule type="duplicateValues" dxfId="99" priority="20"/>
  </conditionalFormatting>
  <conditionalFormatting sqref="C13">
    <cfRule type="duplicateValues" dxfId="98" priority="19"/>
  </conditionalFormatting>
  <conditionalFormatting sqref="C14">
    <cfRule type="duplicateValues" dxfId="97" priority="18"/>
  </conditionalFormatting>
  <conditionalFormatting sqref="C15">
    <cfRule type="duplicateValues" dxfId="96" priority="17"/>
  </conditionalFormatting>
  <conditionalFormatting sqref="C16">
    <cfRule type="duplicateValues" dxfId="95" priority="16"/>
  </conditionalFormatting>
  <conditionalFormatting sqref="C17">
    <cfRule type="duplicateValues" dxfId="94" priority="15"/>
  </conditionalFormatting>
  <conditionalFormatting sqref="C18">
    <cfRule type="duplicateValues" dxfId="93" priority="14"/>
  </conditionalFormatting>
  <conditionalFormatting sqref="C19">
    <cfRule type="duplicateValues" dxfId="92" priority="13"/>
  </conditionalFormatting>
  <conditionalFormatting sqref="C20">
    <cfRule type="duplicateValues" dxfId="91" priority="12"/>
  </conditionalFormatting>
  <conditionalFormatting sqref="C21">
    <cfRule type="duplicateValues" dxfId="90" priority="11"/>
  </conditionalFormatting>
  <conditionalFormatting sqref="C22">
    <cfRule type="duplicateValues" dxfId="89" priority="10"/>
  </conditionalFormatting>
  <conditionalFormatting sqref="C23">
    <cfRule type="duplicateValues" dxfId="88" priority="9"/>
  </conditionalFormatting>
  <conditionalFormatting sqref="C24">
    <cfRule type="duplicateValues" dxfId="87" priority="8"/>
  </conditionalFormatting>
  <conditionalFormatting sqref="C25">
    <cfRule type="duplicateValues" dxfId="86" priority="7"/>
  </conditionalFormatting>
  <conditionalFormatting sqref="C26">
    <cfRule type="duplicateValues" dxfId="85" priority="6"/>
  </conditionalFormatting>
  <conditionalFormatting sqref="C27">
    <cfRule type="duplicateValues" dxfId="84" priority="5"/>
  </conditionalFormatting>
  <conditionalFormatting sqref="C28">
    <cfRule type="duplicateValues" dxfId="83" priority="4"/>
  </conditionalFormatting>
  <conditionalFormatting sqref="C29">
    <cfRule type="duplicateValues" dxfId="82" priority="3"/>
  </conditionalFormatting>
  <conditionalFormatting sqref="C30">
    <cfRule type="duplicateValues" dxfId="81" priority="2"/>
  </conditionalFormatting>
  <conditionalFormatting sqref="C31">
    <cfRule type="duplicateValues" dxfId="80" priority="1"/>
  </conditionalFormatting>
  <pageMargins left="0.69930555555555596" right="0.69930555555555596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19"/>
  <sheetViews>
    <sheetView showGridLines="0" topLeftCell="I1" zoomScale="80" zoomScaleNormal="80" workbookViewId="0">
      <pane ySplit="1" topLeftCell="A96" activePane="bottomLeft" state="frozen"/>
      <selection pane="bottomLeft" activeCell="I113" sqref="I113"/>
    </sheetView>
  </sheetViews>
  <sheetFormatPr baseColWidth="10" defaultColWidth="11.42578125" defaultRowHeight="15"/>
  <cols>
    <col min="1" max="1" width="14.28515625" customWidth="1"/>
    <col min="4" max="4" width="12.28515625" customWidth="1"/>
    <col min="5" max="5" width="7" customWidth="1"/>
    <col min="6" max="6" width="20.28515625" customWidth="1"/>
    <col min="7" max="7" width="14.5703125" customWidth="1"/>
    <col min="8" max="8" width="10.5703125" customWidth="1"/>
    <col min="9" max="9" width="7.28515625" customWidth="1"/>
    <col min="10" max="10" width="15.5703125" customWidth="1"/>
    <col min="12" max="12" width="16.85546875" customWidth="1"/>
    <col min="13" max="13" width="12.28515625" customWidth="1"/>
    <col min="14" max="14" width="21" customWidth="1"/>
    <col min="15" max="15" width="19.140625" customWidth="1"/>
    <col min="16" max="16" width="11.42578125" customWidth="1"/>
    <col min="19" max="20" width="17.28515625" customWidth="1"/>
    <col min="21" max="21" width="17.85546875" customWidth="1"/>
    <col min="23" max="23" width="12.7109375" customWidth="1"/>
  </cols>
  <sheetData>
    <row r="1" spans="1:24" ht="33.75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99</v>
      </c>
      <c r="D2" s="2">
        <v>4947245678</v>
      </c>
      <c r="E2" s="2" t="s">
        <v>27</v>
      </c>
      <c r="F2" s="78" t="s">
        <v>100</v>
      </c>
      <c r="G2" s="28" t="s">
        <v>5</v>
      </c>
      <c r="H2" s="2" t="s">
        <v>17</v>
      </c>
      <c r="I2" s="2">
        <v>1</v>
      </c>
      <c r="J2" s="2" t="s">
        <v>101</v>
      </c>
      <c r="K2" s="2">
        <v>39265.279999999999</v>
      </c>
      <c r="L2" s="35">
        <v>124455231.48800001</v>
      </c>
      <c r="M2" s="36">
        <v>376.52</v>
      </c>
      <c r="N2" s="37">
        <v>14393.223449044999</v>
      </c>
      <c r="O2" s="37">
        <v>15886.2714819749</v>
      </c>
      <c r="P2" s="37">
        <v>69856.629352161995</v>
      </c>
      <c r="Q2" s="37">
        <v>3778.6725381262199</v>
      </c>
      <c r="R2" s="37">
        <v>48088.868374578997</v>
      </c>
      <c r="S2" s="37">
        <v>10453.236004878099</v>
      </c>
      <c r="T2" s="40"/>
      <c r="U2" s="37">
        <v>145537.49798105899</v>
      </c>
      <c r="V2" s="37">
        <v>38397.330474022303</v>
      </c>
      <c r="W2" s="45">
        <v>346391.72965584602</v>
      </c>
      <c r="X2" s="46">
        <v>0.27832637126969301</v>
      </c>
    </row>
    <row r="3" spans="1:24">
      <c r="A3" s="28" t="s">
        <v>63</v>
      </c>
      <c r="B3" s="29">
        <v>3169.6</v>
      </c>
      <c r="C3" s="30" t="s">
        <v>99</v>
      </c>
      <c r="D3" s="2">
        <v>4947086262</v>
      </c>
      <c r="E3" s="2" t="s">
        <v>27</v>
      </c>
      <c r="F3" s="78" t="s">
        <v>100</v>
      </c>
      <c r="G3" s="28" t="s">
        <v>5</v>
      </c>
      <c r="H3" s="2" t="s">
        <v>17</v>
      </c>
      <c r="I3" s="2">
        <v>1</v>
      </c>
      <c r="J3" s="2" t="s">
        <v>101</v>
      </c>
      <c r="K3" s="2">
        <v>63721.98</v>
      </c>
      <c r="L3" s="35">
        <v>201973187.808</v>
      </c>
      <c r="M3" s="36">
        <v>11346</v>
      </c>
      <c r="N3" s="37">
        <v>456014.79659938399</v>
      </c>
      <c r="O3" s="37">
        <v>478714.63995136402</v>
      </c>
      <c r="P3" s="37">
        <v>2213239.9137636102</v>
      </c>
      <c r="Q3" s="37">
        <v>113865.97954313199</v>
      </c>
      <c r="R3" s="37">
        <v>1523595.55649292</v>
      </c>
      <c r="S3" s="37">
        <v>331185.73524863401</v>
      </c>
      <c r="T3" s="40"/>
      <c r="U3" s="37">
        <v>4611006.8932348397</v>
      </c>
      <c r="V3" s="37">
        <v>1216527.4101426101</v>
      </c>
      <c r="W3" s="45">
        <v>10944150.9249765</v>
      </c>
      <c r="X3" s="46">
        <v>5.4186157300147402</v>
      </c>
    </row>
    <row r="4" spans="1:24">
      <c r="A4" s="28" t="s">
        <v>63</v>
      </c>
      <c r="B4" s="29">
        <v>3169.6</v>
      </c>
      <c r="C4" s="30" t="s">
        <v>99</v>
      </c>
      <c r="D4" s="2">
        <v>4946347681</v>
      </c>
      <c r="E4" s="2" t="s">
        <v>27</v>
      </c>
      <c r="F4" s="78" t="s">
        <v>100</v>
      </c>
      <c r="G4" s="28" t="s">
        <v>5</v>
      </c>
      <c r="H4" s="2" t="s">
        <v>17</v>
      </c>
      <c r="I4" s="2">
        <v>1</v>
      </c>
      <c r="J4" s="2" t="s">
        <v>101</v>
      </c>
      <c r="K4" s="2">
        <v>370.02</v>
      </c>
      <c r="L4" s="35">
        <v>1172815.392</v>
      </c>
      <c r="M4" s="36">
        <v>646.91999999999996</v>
      </c>
      <c r="N4" s="37">
        <v>2472.9799515712798</v>
      </c>
      <c r="O4" s="37">
        <v>27295.088566661099</v>
      </c>
      <c r="P4" s="37">
        <v>12002.456884229399</v>
      </c>
      <c r="Q4" s="37">
        <v>6492.3479187416697</v>
      </c>
      <c r="R4" s="37">
        <v>8262.5751324983103</v>
      </c>
      <c r="S4" s="37">
        <v>1796.0287464877699</v>
      </c>
      <c r="T4" s="40"/>
      <c r="U4" s="37">
        <v>25005.608784103501</v>
      </c>
      <c r="V4" s="37">
        <v>6597.25938336729</v>
      </c>
      <c r="W4" s="45">
        <v>89924.345367660295</v>
      </c>
      <c r="X4" s="46">
        <v>7.6673913031029102</v>
      </c>
    </row>
    <row r="5" spans="1:24">
      <c r="A5" s="28" t="s">
        <v>63</v>
      </c>
      <c r="B5" s="29">
        <v>3169.6</v>
      </c>
      <c r="C5" s="30" t="s">
        <v>216</v>
      </c>
      <c r="D5" s="2">
        <v>4947086262</v>
      </c>
      <c r="E5" s="2" t="s">
        <v>27</v>
      </c>
      <c r="F5" s="78" t="s">
        <v>217</v>
      </c>
      <c r="G5" s="28" t="s">
        <v>5</v>
      </c>
      <c r="H5" s="2" t="s">
        <v>20</v>
      </c>
      <c r="I5" s="2">
        <v>1</v>
      </c>
      <c r="J5" s="2" t="s">
        <v>218</v>
      </c>
      <c r="K5" s="2">
        <v>1205.83</v>
      </c>
      <c r="L5" s="35">
        <v>3821998.7680000002</v>
      </c>
      <c r="M5" s="36">
        <v>206.85</v>
      </c>
      <c r="N5" s="37">
        <v>10274.640464136701</v>
      </c>
      <c r="O5" s="37">
        <v>12250.9133082357</v>
      </c>
      <c r="P5" s="37">
        <v>28319.698827689499</v>
      </c>
      <c r="Q5" s="37">
        <v>3851.29489448502</v>
      </c>
      <c r="R5" s="37">
        <v>21921.9997984205</v>
      </c>
      <c r="S5" s="37">
        <v>10654.843733923501</v>
      </c>
      <c r="T5" s="40"/>
      <c r="U5" s="37">
        <v>74467.719989333098</v>
      </c>
      <c r="V5" s="37">
        <v>0</v>
      </c>
      <c r="W5" s="45">
        <v>161741.11101622399</v>
      </c>
      <c r="X5" s="46">
        <v>4.2318462363309699</v>
      </c>
    </row>
    <row r="6" spans="1:24">
      <c r="A6" s="28" t="s">
        <v>63</v>
      </c>
      <c r="B6" s="29">
        <v>3169.6</v>
      </c>
      <c r="C6" s="30" t="s">
        <v>216</v>
      </c>
      <c r="D6" s="2">
        <v>4947721350</v>
      </c>
      <c r="E6" s="2" t="s">
        <v>27</v>
      </c>
      <c r="F6" s="78" t="s">
        <v>217</v>
      </c>
      <c r="G6" s="28" t="s">
        <v>5</v>
      </c>
      <c r="H6" s="2" t="s">
        <v>20</v>
      </c>
      <c r="I6" s="2">
        <v>1</v>
      </c>
      <c r="J6" s="2" t="s">
        <v>218</v>
      </c>
      <c r="K6" s="2">
        <v>2856.81</v>
      </c>
      <c r="L6" s="35">
        <v>9054944.9759999998</v>
      </c>
      <c r="M6" s="36">
        <v>6460.45</v>
      </c>
      <c r="N6" s="37">
        <v>320905.35953586298</v>
      </c>
      <c r="O6" s="37">
        <v>382627.08669176401</v>
      </c>
      <c r="P6" s="37">
        <v>884502.30117231002</v>
      </c>
      <c r="Q6" s="37">
        <v>120285.70510551499</v>
      </c>
      <c r="R6" s="37">
        <v>684673.00020157895</v>
      </c>
      <c r="S6" s="37">
        <v>332780.15626607602</v>
      </c>
      <c r="T6" s="40"/>
      <c r="U6" s="37">
        <v>2325832.28001067</v>
      </c>
      <c r="V6" s="37">
        <v>0</v>
      </c>
      <c r="W6" s="45">
        <v>5051605.8889837796</v>
      </c>
      <c r="X6" s="46">
        <v>55.788366493368898</v>
      </c>
    </row>
    <row r="7" spans="1:24">
      <c r="A7" s="28" t="s">
        <v>63</v>
      </c>
      <c r="B7" s="29">
        <v>3169.6</v>
      </c>
      <c r="C7" s="30" t="s">
        <v>227</v>
      </c>
      <c r="D7" s="2">
        <v>4946949569</v>
      </c>
      <c r="E7" s="2" t="s">
        <v>27</v>
      </c>
      <c r="F7" s="2" t="s">
        <v>228</v>
      </c>
      <c r="G7" s="28" t="s">
        <v>9</v>
      </c>
      <c r="H7" s="2" t="s">
        <v>23</v>
      </c>
      <c r="I7" s="2">
        <v>1</v>
      </c>
      <c r="J7" s="2"/>
      <c r="K7" s="2">
        <v>3242.52</v>
      </c>
      <c r="L7" s="35">
        <v>10277491.392000001</v>
      </c>
      <c r="M7" s="36">
        <v>860</v>
      </c>
      <c r="N7" s="37">
        <v>671562</v>
      </c>
      <c r="O7" s="37">
        <v>592</v>
      </c>
      <c r="P7" s="37">
        <v>77307</v>
      </c>
      <c r="Q7" s="37">
        <v>17833</v>
      </c>
      <c r="R7" s="37">
        <v>99154</v>
      </c>
      <c r="S7" s="37">
        <v>343435</v>
      </c>
      <c r="T7" s="40"/>
      <c r="U7" s="37">
        <v>2085500</v>
      </c>
      <c r="V7" s="37">
        <v>0</v>
      </c>
      <c r="W7" s="45">
        <v>3295383</v>
      </c>
      <c r="X7" s="46">
        <v>32.064079397479503</v>
      </c>
    </row>
    <row r="8" spans="1:24">
      <c r="A8" s="28" t="s">
        <v>63</v>
      </c>
      <c r="B8" s="29">
        <v>3169.6</v>
      </c>
      <c r="C8" s="30" t="s">
        <v>436</v>
      </c>
      <c r="D8" s="2">
        <v>4946765668</v>
      </c>
      <c r="E8" s="2" t="s">
        <v>27</v>
      </c>
      <c r="F8" s="2" t="s">
        <v>437</v>
      </c>
      <c r="G8" s="28" t="s">
        <v>9</v>
      </c>
      <c r="H8" s="2" t="s">
        <v>23</v>
      </c>
      <c r="I8" s="2">
        <v>1</v>
      </c>
      <c r="J8" s="2"/>
      <c r="K8" s="2">
        <v>2203.1999999999998</v>
      </c>
      <c r="L8" s="35">
        <v>6983262.7199999997</v>
      </c>
      <c r="M8" s="36">
        <v>600</v>
      </c>
      <c r="N8" s="37">
        <v>72327</v>
      </c>
      <c r="O8" s="37">
        <v>469</v>
      </c>
      <c r="P8" s="37">
        <v>9399</v>
      </c>
      <c r="Q8" s="37">
        <v>14531</v>
      </c>
      <c r="R8" s="37">
        <v>93046</v>
      </c>
      <c r="S8" s="37">
        <v>343435</v>
      </c>
      <c r="T8" s="37"/>
      <c r="U8" s="37">
        <v>1367700</v>
      </c>
      <c r="V8" s="37">
        <v>0</v>
      </c>
      <c r="W8" s="45">
        <v>1900907</v>
      </c>
      <c r="X8" s="46">
        <v>27.220900547759999</v>
      </c>
    </row>
    <row r="9" spans="1:24">
      <c r="A9" s="28" t="s">
        <v>63</v>
      </c>
      <c r="B9" s="29">
        <v>3169.6</v>
      </c>
      <c r="C9" s="30" t="s">
        <v>440</v>
      </c>
      <c r="D9" s="2">
        <v>4945574111</v>
      </c>
      <c r="E9" s="2" t="s">
        <v>27</v>
      </c>
      <c r="F9" s="2" t="s">
        <v>441</v>
      </c>
      <c r="G9" s="28" t="s">
        <v>9</v>
      </c>
      <c r="H9" s="2" t="s">
        <v>23</v>
      </c>
      <c r="I9" s="2">
        <v>6</v>
      </c>
      <c r="J9" s="2"/>
      <c r="K9" s="2">
        <v>9366</v>
      </c>
      <c r="L9" s="35">
        <v>29686473.600000001</v>
      </c>
      <c r="M9" s="36">
        <v>5405.4</v>
      </c>
      <c r="N9" s="37">
        <v>726191</v>
      </c>
      <c r="O9" s="37">
        <v>3639</v>
      </c>
      <c r="P9" s="37">
        <v>71987</v>
      </c>
      <c r="Q9" s="37">
        <v>88222</v>
      </c>
      <c r="R9" s="37">
        <v>176081</v>
      </c>
      <c r="S9" s="37">
        <v>343435</v>
      </c>
      <c r="T9" s="37"/>
      <c r="U9" s="37">
        <v>2085500</v>
      </c>
      <c r="V9" s="37">
        <v>0</v>
      </c>
      <c r="W9" s="45">
        <v>3495055</v>
      </c>
      <c r="X9" s="46">
        <v>11.773223883351401</v>
      </c>
    </row>
    <row r="10" spans="1:24">
      <c r="A10" s="28" t="s">
        <v>63</v>
      </c>
      <c r="B10" s="29">
        <v>3169.6</v>
      </c>
      <c r="C10" s="30" t="s">
        <v>475</v>
      </c>
      <c r="D10" s="78" t="s">
        <v>476</v>
      </c>
      <c r="E10" s="2" t="s">
        <v>27</v>
      </c>
      <c r="F10" s="78" t="s">
        <v>477</v>
      </c>
      <c r="G10" s="28" t="s">
        <v>13</v>
      </c>
      <c r="H10" s="2" t="s">
        <v>23</v>
      </c>
      <c r="I10" s="2">
        <v>3</v>
      </c>
      <c r="J10" s="2"/>
      <c r="K10" s="2">
        <v>2605.96</v>
      </c>
      <c r="L10" s="35">
        <v>8259850.8159999996</v>
      </c>
      <c r="M10" s="36">
        <v>229.596</v>
      </c>
      <c r="N10" s="37">
        <v>1026010.15</v>
      </c>
      <c r="O10" s="37">
        <v>0</v>
      </c>
      <c r="P10" s="37">
        <v>0</v>
      </c>
      <c r="Q10" s="37">
        <v>0</v>
      </c>
      <c r="R10" s="37">
        <v>4104</v>
      </c>
      <c r="S10" s="37">
        <v>343435</v>
      </c>
      <c r="T10" s="37"/>
      <c r="U10" s="37">
        <v>246380</v>
      </c>
      <c r="V10" s="37">
        <v>0</v>
      </c>
      <c r="W10" s="45">
        <v>1619929.15</v>
      </c>
      <c r="X10" s="46">
        <v>19.612087265088</v>
      </c>
    </row>
    <row r="11" spans="1:24">
      <c r="A11" s="28" t="s">
        <v>63</v>
      </c>
      <c r="B11" s="29">
        <v>3169.6</v>
      </c>
      <c r="C11" s="30" t="s">
        <v>478</v>
      </c>
      <c r="D11" s="2">
        <v>4947806877</v>
      </c>
      <c r="E11" s="2" t="s">
        <v>27</v>
      </c>
      <c r="F11" s="2">
        <v>1023989673</v>
      </c>
      <c r="G11" s="28" t="s">
        <v>13</v>
      </c>
      <c r="H11" s="2" t="s">
        <v>23</v>
      </c>
      <c r="I11" s="2">
        <v>1</v>
      </c>
      <c r="J11" s="2"/>
      <c r="K11" s="2">
        <v>936.7</v>
      </c>
      <c r="L11" s="35">
        <v>2968964.32</v>
      </c>
      <c r="M11" s="36">
        <v>190</v>
      </c>
      <c r="N11" s="37">
        <v>336437.39</v>
      </c>
      <c r="O11" s="37">
        <v>0</v>
      </c>
      <c r="P11" s="37">
        <v>0</v>
      </c>
      <c r="Q11" s="37">
        <v>0</v>
      </c>
      <c r="R11" s="37">
        <v>1346</v>
      </c>
      <c r="S11" s="37">
        <v>343435</v>
      </c>
      <c r="T11" s="37"/>
      <c r="U11" s="37">
        <v>246380</v>
      </c>
      <c r="V11" s="37">
        <v>0</v>
      </c>
      <c r="W11" s="45">
        <v>927598.39</v>
      </c>
      <c r="X11" s="46">
        <v>31.243163946140001</v>
      </c>
    </row>
    <row r="13" spans="1:24" ht="15" customHeight="1">
      <c r="A13" s="31" t="s">
        <v>63</v>
      </c>
      <c r="B13" s="31"/>
      <c r="C13" s="31"/>
      <c r="D13" s="31"/>
      <c r="E13" s="31"/>
      <c r="F13" s="32">
        <v>7</v>
      </c>
      <c r="G13" s="31"/>
      <c r="H13" s="31"/>
      <c r="I13" s="38"/>
      <c r="J13" s="31"/>
      <c r="K13" s="39">
        <f>+SUM(K2:K11)</f>
        <v>125774.30000000002</v>
      </c>
      <c r="L13" s="39">
        <f>+SUM(L2:L11)</f>
        <v>398654221.28000009</v>
      </c>
      <c r="M13" s="31"/>
      <c r="N13" s="39"/>
      <c r="O13" s="39"/>
      <c r="P13" s="39"/>
      <c r="Q13" s="39"/>
      <c r="R13" s="39"/>
      <c r="S13" s="39"/>
      <c r="T13" s="39"/>
      <c r="U13" s="39"/>
      <c r="V13" s="31"/>
      <c r="W13" s="39">
        <f>+SUM(W2:W11)</f>
        <v>27832686.540000007</v>
      </c>
      <c r="X13" s="47">
        <f>(W13/L13)*100</f>
        <v>6.9816610622194686</v>
      </c>
    </row>
    <row r="15" spans="1:24" s="4" customFormat="1" ht="15" customHeight="1">
      <c r="A15" s="28" t="s">
        <v>647</v>
      </c>
      <c r="B15" s="29">
        <v>3125.21</v>
      </c>
      <c r="C15" s="30" t="s">
        <v>650</v>
      </c>
      <c r="D15" s="2">
        <v>4948349026</v>
      </c>
      <c r="E15" s="2" t="s">
        <v>27</v>
      </c>
      <c r="F15" s="2" t="s">
        <v>651</v>
      </c>
      <c r="G15" s="28" t="s">
        <v>13</v>
      </c>
      <c r="H15" s="2" t="s">
        <v>23</v>
      </c>
      <c r="I15" s="2">
        <v>1</v>
      </c>
      <c r="J15" s="2"/>
      <c r="K15" s="2">
        <v>3955.59</v>
      </c>
      <c r="L15" s="35">
        <v>12362049.423900001</v>
      </c>
      <c r="M15" s="36">
        <v>60</v>
      </c>
      <c r="N15" s="40">
        <v>21706.313364055299</v>
      </c>
      <c r="O15" s="40">
        <v>0</v>
      </c>
      <c r="P15" s="40">
        <v>45241.935483870999</v>
      </c>
      <c r="Q15" s="40">
        <v>0</v>
      </c>
      <c r="R15" s="40">
        <v>267.78801843318001</v>
      </c>
      <c r="S15" s="40">
        <v>47479.493087557603</v>
      </c>
      <c r="T15" s="40"/>
      <c r="U15" s="40">
        <v>34061.751152073703</v>
      </c>
      <c r="V15" s="40">
        <v>0</v>
      </c>
      <c r="W15" s="45">
        <v>148757.28110599099</v>
      </c>
      <c r="X15" s="46">
        <v>1.2033383462971201</v>
      </c>
    </row>
    <row r="16" spans="1:24" s="4" customFormat="1" ht="15" customHeight="1">
      <c r="A16" s="28" t="s">
        <v>647</v>
      </c>
      <c r="B16" s="29">
        <v>3125.21</v>
      </c>
      <c r="C16" s="30" t="s">
        <v>650</v>
      </c>
      <c r="D16" s="2">
        <v>4948349026</v>
      </c>
      <c r="E16" s="2" t="s">
        <v>27</v>
      </c>
      <c r="F16" s="2" t="s">
        <v>651</v>
      </c>
      <c r="G16" s="28" t="s">
        <v>13</v>
      </c>
      <c r="H16" s="2" t="s">
        <v>23</v>
      </c>
      <c r="I16" s="2">
        <v>1</v>
      </c>
      <c r="J16" s="2"/>
      <c r="K16" s="2">
        <v>3955.59</v>
      </c>
      <c r="L16" s="35">
        <v>12362049.423900001</v>
      </c>
      <c r="M16" s="36">
        <v>204</v>
      </c>
      <c r="N16" s="40">
        <v>73801.465437788007</v>
      </c>
      <c r="O16" s="40">
        <v>0</v>
      </c>
      <c r="P16" s="40">
        <v>153822.58064516101</v>
      </c>
      <c r="Q16" s="40">
        <v>0</v>
      </c>
      <c r="R16" s="40">
        <v>910.47926267281105</v>
      </c>
      <c r="S16" s="40">
        <v>161430.276497696</v>
      </c>
      <c r="T16" s="40"/>
      <c r="U16" s="40">
        <v>115809.953917051</v>
      </c>
      <c r="V16" s="40">
        <v>0</v>
      </c>
      <c r="W16" s="45">
        <v>505774.75576036901</v>
      </c>
      <c r="X16" s="46">
        <v>4.0913503774102002</v>
      </c>
    </row>
    <row r="17" spans="1:24" s="4" customFormat="1" ht="15" customHeight="1">
      <c r="A17" s="28" t="s">
        <v>647</v>
      </c>
      <c r="B17" s="29">
        <v>3125.21</v>
      </c>
      <c r="C17" s="30" t="s">
        <v>650</v>
      </c>
      <c r="D17" s="2">
        <v>4948349026</v>
      </c>
      <c r="E17" s="2" t="s">
        <v>27</v>
      </c>
      <c r="F17" s="2" t="s">
        <v>651</v>
      </c>
      <c r="G17" s="28" t="s">
        <v>13</v>
      </c>
      <c r="H17" s="2" t="s">
        <v>23</v>
      </c>
      <c r="I17" s="2">
        <v>1</v>
      </c>
      <c r="J17" s="2"/>
      <c r="K17" s="2">
        <v>3955.59</v>
      </c>
      <c r="L17" s="35">
        <v>12362049.423900001</v>
      </c>
      <c r="M17" s="36">
        <v>170</v>
      </c>
      <c r="N17" s="40">
        <v>61501.221198156702</v>
      </c>
      <c r="O17" s="40">
        <v>0</v>
      </c>
      <c r="P17" s="40">
        <v>128185.483870968</v>
      </c>
      <c r="Q17" s="40">
        <v>0</v>
      </c>
      <c r="R17" s="40">
        <v>758.73271889400905</v>
      </c>
      <c r="S17" s="40">
        <v>134525.230414747</v>
      </c>
      <c r="T17" s="40"/>
      <c r="U17" s="40">
        <v>96508.294930875607</v>
      </c>
      <c r="V17" s="40">
        <v>0</v>
      </c>
      <c r="W17" s="45">
        <v>421478.96313364099</v>
      </c>
      <c r="X17" s="46">
        <v>3.4094586478418401</v>
      </c>
    </row>
    <row r="18" spans="1:24" s="4" customFormat="1" ht="15" customHeight="1">
      <c r="A18" s="28" t="s">
        <v>647</v>
      </c>
      <c r="B18" s="29">
        <v>3125.21</v>
      </c>
      <c r="C18" s="30" t="s">
        <v>654</v>
      </c>
      <c r="D18" s="2" t="s">
        <v>655</v>
      </c>
      <c r="E18" s="2" t="s">
        <v>27</v>
      </c>
      <c r="F18" s="2" t="s">
        <v>656</v>
      </c>
      <c r="G18" s="28" t="s">
        <v>13</v>
      </c>
      <c r="H18" s="2" t="s">
        <v>23</v>
      </c>
      <c r="I18" s="2">
        <v>3</v>
      </c>
      <c r="J18" s="2"/>
      <c r="K18" s="2">
        <v>1272.81</v>
      </c>
      <c r="L18" s="35">
        <v>3977798.5400999999</v>
      </c>
      <c r="M18" s="36">
        <v>119.22</v>
      </c>
      <c r="N18" s="37">
        <v>998259.35</v>
      </c>
      <c r="O18" s="37">
        <v>0</v>
      </c>
      <c r="P18" s="37">
        <v>0</v>
      </c>
      <c r="Q18" s="37">
        <v>0</v>
      </c>
      <c r="R18" s="37">
        <v>3993</v>
      </c>
      <c r="S18" s="37">
        <v>343435</v>
      </c>
      <c r="T18" s="37"/>
      <c r="U18" s="37">
        <v>246380</v>
      </c>
      <c r="V18" s="37">
        <v>0</v>
      </c>
      <c r="W18" s="45">
        <v>1592067.35</v>
      </c>
      <c r="X18" s="46">
        <v>40.0238306176254</v>
      </c>
    </row>
    <row r="19" spans="1:24" s="4" customFormat="1" ht="15" customHeight="1">
      <c r="A19" s="28" t="s">
        <v>647</v>
      </c>
      <c r="B19" s="29">
        <v>3125.21</v>
      </c>
      <c r="C19" s="30" t="s">
        <v>800</v>
      </c>
      <c r="D19" s="2">
        <v>4947721350</v>
      </c>
      <c r="E19" s="2" t="s">
        <v>27</v>
      </c>
      <c r="F19" s="2" t="s">
        <v>801</v>
      </c>
      <c r="G19" s="28" t="s">
        <v>5</v>
      </c>
      <c r="H19" s="2" t="s">
        <v>17</v>
      </c>
      <c r="I19" s="2">
        <v>1</v>
      </c>
      <c r="J19" s="2" t="s">
        <v>802</v>
      </c>
      <c r="K19" s="2">
        <v>138.18</v>
      </c>
      <c r="L19" s="35">
        <v>431841.51779999997</v>
      </c>
      <c r="M19" s="36">
        <v>33.54</v>
      </c>
      <c r="N19" s="40">
        <v>580.61058460198103</v>
      </c>
      <c r="O19" s="37">
        <v>938.37268628821198</v>
      </c>
      <c r="P19" s="40">
        <v>0</v>
      </c>
      <c r="Q19" s="37">
        <v>223.57060769699899</v>
      </c>
      <c r="R19" s="40">
        <v>1418.57068780646</v>
      </c>
      <c r="S19" s="40">
        <v>618.544344975483</v>
      </c>
      <c r="T19" s="40"/>
      <c r="U19" s="40">
        <v>9048.5760518702991</v>
      </c>
      <c r="V19" s="40">
        <v>0</v>
      </c>
      <c r="W19" s="45">
        <v>12828.2449632394</v>
      </c>
      <c r="X19" s="46">
        <v>2.97059093081009</v>
      </c>
    </row>
    <row r="20" spans="1:24" s="4" customFormat="1" ht="15" customHeight="1">
      <c r="A20" s="28" t="s">
        <v>647</v>
      </c>
      <c r="B20" s="29">
        <v>3125.21</v>
      </c>
      <c r="C20" s="30" t="s">
        <v>800</v>
      </c>
      <c r="D20" s="2">
        <v>4947736756</v>
      </c>
      <c r="E20" s="2" t="s">
        <v>27</v>
      </c>
      <c r="F20" s="2" t="s">
        <v>801</v>
      </c>
      <c r="G20" s="28" t="s">
        <v>5</v>
      </c>
      <c r="H20" s="2" t="s">
        <v>17</v>
      </c>
      <c r="I20" s="2">
        <v>1</v>
      </c>
      <c r="J20" s="2" t="s">
        <v>802</v>
      </c>
      <c r="K20" s="2">
        <v>2561.1999999999998</v>
      </c>
      <c r="L20" s="35">
        <v>8004287.852</v>
      </c>
      <c r="M20" s="36">
        <v>2036.55</v>
      </c>
      <c r="N20" s="40">
        <v>35245.174426047502</v>
      </c>
      <c r="O20" s="40">
        <v>56978.023084682703</v>
      </c>
      <c r="P20" s="40">
        <v>0</v>
      </c>
      <c r="Q20" s="40">
        <v>13575.215298310201</v>
      </c>
      <c r="R20" s="40">
        <v>86091.9695997003</v>
      </c>
      <c r="S20" s="40">
        <v>37547.891662793198</v>
      </c>
      <c r="T20" s="40"/>
      <c r="U20" s="40">
        <v>549281.48007179296</v>
      </c>
      <c r="V20" s="40">
        <v>0</v>
      </c>
      <c r="W20" s="45">
        <v>778719.75414332701</v>
      </c>
      <c r="X20" s="46">
        <v>9.7287824793651208</v>
      </c>
    </row>
    <row r="21" spans="1:24" s="4" customFormat="1" ht="15" customHeight="1">
      <c r="A21" s="28" t="s">
        <v>647</v>
      </c>
      <c r="B21" s="29">
        <v>3125.21</v>
      </c>
      <c r="C21" s="30" t="s">
        <v>800</v>
      </c>
      <c r="D21" s="2">
        <v>4948281616</v>
      </c>
      <c r="E21" s="2" t="s">
        <v>27</v>
      </c>
      <c r="F21" s="2" t="s">
        <v>801</v>
      </c>
      <c r="G21" s="28" t="s">
        <v>5</v>
      </c>
      <c r="H21" s="2" t="s">
        <v>17</v>
      </c>
      <c r="I21" s="2">
        <v>1</v>
      </c>
      <c r="J21" s="2" t="s">
        <v>802</v>
      </c>
      <c r="K21" s="2">
        <v>52377.39</v>
      </c>
      <c r="L21" s="35">
        <v>163690343.00189999</v>
      </c>
      <c r="M21" s="36">
        <v>16552.907999999999</v>
      </c>
      <c r="N21" s="40">
        <v>286547.21498935</v>
      </c>
      <c r="O21" s="40">
        <v>463112.60422902898</v>
      </c>
      <c r="P21" s="40">
        <v>0</v>
      </c>
      <c r="Q21" s="40">
        <v>110338.214093993</v>
      </c>
      <c r="R21" s="40">
        <v>699977.459712493</v>
      </c>
      <c r="S21" s="40">
        <v>305268.56399223098</v>
      </c>
      <c r="T21" s="40"/>
      <c r="U21" s="40">
        <v>4465719.9438763401</v>
      </c>
      <c r="V21" s="40">
        <v>0</v>
      </c>
      <c r="W21" s="45">
        <v>6330964.0008934401</v>
      </c>
      <c r="X21" s="46">
        <v>3.86764660931766</v>
      </c>
    </row>
    <row r="22" spans="1:24" s="4" customFormat="1" ht="15" customHeight="1">
      <c r="A22" s="28" t="s">
        <v>647</v>
      </c>
      <c r="B22" s="29">
        <v>3125.21</v>
      </c>
      <c r="C22" s="30" t="s">
        <v>860</v>
      </c>
      <c r="D22" s="2">
        <v>4948947343</v>
      </c>
      <c r="E22" s="2" t="s">
        <v>27</v>
      </c>
      <c r="F22" s="78" t="s">
        <v>861</v>
      </c>
      <c r="G22" s="28" t="s">
        <v>13</v>
      </c>
      <c r="H22" s="2" t="s">
        <v>23</v>
      </c>
      <c r="I22" s="2">
        <v>3</v>
      </c>
      <c r="J22" s="2"/>
      <c r="K22" s="2">
        <v>3995.38</v>
      </c>
      <c r="L22" s="35">
        <v>12486401.5298</v>
      </c>
      <c r="M22" s="36">
        <v>415.44</v>
      </c>
      <c r="N22" s="37">
        <v>970235.24173310201</v>
      </c>
      <c r="O22" s="37">
        <v>0</v>
      </c>
      <c r="P22" s="37">
        <v>0</v>
      </c>
      <c r="Q22" s="37">
        <v>0</v>
      </c>
      <c r="R22" s="37">
        <v>3880.55459272097</v>
      </c>
      <c r="S22" s="37">
        <v>346372.24263431499</v>
      </c>
      <c r="T22" s="37"/>
      <c r="U22" s="37">
        <v>240828.97746967099</v>
      </c>
      <c r="V22" s="37">
        <v>0</v>
      </c>
      <c r="W22" s="45">
        <v>1561317.0164298101</v>
      </c>
      <c r="X22" s="46">
        <v>12.5041391044776</v>
      </c>
    </row>
    <row r="23" spans="1:24" s="4" customFormat="1" ht="15" customHeight="1">
      <c r="A23" s="28" t="s">
        <v>647</v>
      </c>
      <c r="B23" s="29">
        <v>3125.21</v>
      </c>
      <c r="C23" s="30" t="s">
        <v>919</v>
      </c>
      <c r="D23" s="2">
        <v>4948149080</v>
      </c>
      <c r="E23" s="2" t="s">
        <v>27</v>
      </c>
      <c r="F23" s="2" t="s">
        <v>920</v>
      </c>
      <c r="G23" s="28" t="s">
        <v>9</v>
      </c>
      <c r="H23" s="2" t="s">
        <v>23</v>
      </c>
      <c r="I23" s="2">
        <v>2</v>
      </c>
      <c r="J23" s="2"/>
      <c r="K23" s="2">
        <v>2004</v>
      </c>
      <c r="L23" s="35">
        <v>6262920.8399999999</v>
      </c>
      <c r="M23" s="36">
        <v>553.20000000000005</v>
      </c>
      <c r="N23" s="37">
        <v>635318</v>
      </c>
      <c r="O23" s="37">
        <v>405</v>
      </c>
      <c r="P23" s="37">
        <v>0</v>
      </c>
      <c r="Q23" s="37">
        <v>12440</v>
      </c>
      <c r="R23" s="37">
        <v>93097</v>
      </c>
      <c r="S23" s="37">
        <v>354356</v>
      </c>
      <c r="T23" s="37"/>
      <c r="U23" s="37">
        <v>1367700</v>
      </c>
      <c r="V23" s="37">
        <v>0</v>
      </c>
      <c r="W23" s="45">
        <v>2463316</v>
      </c>
      <c r="X23" s="46">
        <v>39.331744132343204</v>
      </c>
    </row>
    <row r="24" spans="1:24" s="4" customFormat="1" ht="15" customHeight="1">
      <c r="A24" s="28" t="s">
        <v>647</v>
      </c>
      <c r="B24" s="29">
        <v>3125.21</v>
      </c>
      <c r="C24" s="30" t="s">
        <v>957</v>
      </c>
      <c r="D24" s="2">
        <v>4947086262</v>
      </c>
      <c r="E24" s="2" t="s">
        <v>27</v>
      </c>
      <c r="F24" s="2" t="s">
        <v>958</v>
      </c>
      <c r="G24" s="28" t="s">
        <v>5</v>
      </c>
      <c r="H24" s="2" t="s">
        <v>17</v>
      </c>
      <c r="I24" s="2">
        <v>1</v>
      </c>
      <c r="J24" s="2" t="s">
        <v>959</v>
      </c>
      <c r="K24" s="2">
        <v>1105.48</v>
      </c>
      <c r="L24" s="35">
        <v>3454857.1507999999</v>
      </c>
      <c r="M24" s="36">
        <v>268.32</v>
      </c>
      <c r="N24" s="40">
        <v>5139.6611822000996</v>
      </c>
      <c r="O24" s="40">
        <v>10224.724057048201</v>
      </c>
      <c r="P24" s="40">
        <v>0</v>
      </c>
      <c r="Q24" s="40">
        <v>2464.07375966987</v>
      </c>
      <c r="R24" s="40">
        <v>13004.6091904696</v>
      </c>
      <c r="S24" s="40">
        <v>5730.83170615571</v>
      </c>
      <c r="T24" s="40"/>
      <c r="U24" s="40">
        <v>80467.212903303604</v>
      </c>
      <c r="V24" s="40">
        <v>0</v>
      </c>
      <c r="W24" s="45">
        <v>117031.112798847</v>
      </c>
      <c r="X24" s="46">
        <v>3.3874370977030899</v>
      </c>
    </row>
    <row r="25" spans="1:24" s="4" customFormat="1" ht="15" customHeight="1">
      <c r="A25" s="28" t="s">
        <v>647</v>
      </c>
      <c r="B25" s="29">
        <v>3125.21</v>
      </c>
      <c r="C25" s="30" t="s">
        <v>957</v>
      </c>
      <c r="D25" s="2">
        <v>4948281616</v>
      </c>
      <c r="E25" s="2" t="s">
        <v>27</v>
      </c>
      <c r="F25" s="2" t="s">
        <v>958</v>
      </c>
      <c r="G25" s="28" t="s">
        <v>5</v>
      </c>
      <c r="H25" s="2" t="s">
        <v>17</v>
      </c>
      <c r="I25" s="2">
        <v>1</v>
      </c>
      <c r="J25" s="2" t="s">
        <v>959</v>
      </c>
      <c r="K25" s="2">
        <v>61851.68</v>
      </c>
      <c r="L25" s="35">
        <v>193299488.85280001</v>
      </c>
      <c r="M25" s="36">
        <v>13249.311</v>
      </c>
      <c r="N25" s="40">
        <v>312662.33881779999</v>
      </c>
      <c r="O25" s="40">
        <v>504884.27594295202</v>
      </c>
      <c r="P25" s="40">
        <v>0</v>
      </c>
      <c r="Q25" s="40">
        <v>121672.92624032999</v>
      </c>
      <c r="R25" s="40">
        <v>791087.39080953004</v>
      </c>
      <c r="S25" s="40">
        <v>348625.16829384398</v>
      </c>
      <c r="T25" s="40"/>
      <c r="U25" s="40">
        <v>4895082.7870966997</v>
      </c>
      <c r="V25" s="40">
        <v>0</v>
      </c>
      <c r="W25" s="45">
        <v>6974014.8872011602</v>
      </c>
      <c r="X25" s="46">
        <v>3.60788066672642</v>
      </c>
    </row>
    <row r="26" spans="1:24" s="4" customFormat="1" ht="15" customHeight="1">
      <c r="A26" s="28" t="s">
        <v>647</v>
      </c>
      <c r="B26" s="29">
        <v>3125.21</v>
      </c>
      <c r="C26" s="30" t="s">
        <v>963</v>
      </c>
      <c r="D26" s="2">
        <v>4947724135</v>
      </c>
      <c r="E26" s="2" t="s">
        <v>27</v>
      </c>
      <c r="F26" s="2" t="s">
        <v>964</v>
      </c>
      <c r="G26" s="28" t="s">
        <v>5</v>
      </c>
      <c r="H26" s="2" t="s">
        <v>20</v>
      </c>
      <c r="I26" s="2">
        <v>1</v>
      </c>
      <c r="J26" s="2" t="s">
        <v>965</v>
      </c>
      <c r="K26" s="2">
        <v>13923</v>
      </c>
      <c r="L26" s="35">
        <v>43512298.829999998</v>
      </c>
      <c r="M26" s="36">
        <v>7140</v>
      </c>
      <c r="N26" s="37">
        <v>463361</v>
      </c>
      <c r="O26" s="37">
        <v>392267</v>
      </c>
      <c r="P26" s="37">
        <v>0</v>
      </c>
      <c r="Q26" s="37">
        <v>124137</v>
      </c>
      <c r="R26" s="37">
        <v>722191</v>
      </c>
      <c r="S26" s="37">
        <v>354356</v>
      </c>
      <c r="T26" s="37"/>
      <c r="U26" s="37">
        <v>2400300</v>
      </c>
      <c r="V26" s="37">
        <v>0</v>
      </c>
      <c r="W26" s="45">
        <v>4456612</v>
      </c>
      <c r="X26" s="46">
        <v>10.242189265641199</v>
      </c>
    </row>
    <row r="27" spans="1:24" s="4" customFormat="1" ht="15" customHeight="1">
      <c r="A27" s="28" t="s">
        <v>647</v>
      </c>
      <c r="B27" s="29">
        <v>3125.21</v>
      </c>
      <c r="C27" s="30" t="s">
        <v>966</v>
      </c>
      <c r="D27" s="2">
        <v>4948281616</v>
      </c>
      <c r="E27" s="2" t="s">
        <v>27</v>
      </c>
      <c r="F27" s="2" t="s">
        <v>967</v>
      </c>
      <c r="G27" s="28" t="s">
        <v>5</v>
      </c>
      <c r="H27" s="2" t="s">
        <v>17</v>
      </c>
      <c r="I27" s="2">
        <v>1</v>
      </c>
      <c r="J27" s="2" t="s">
        <v>968</v>
      </c>
      <c r="K27" s="2">
        <v>26046.6</v>
      </c>
      <c r="L27" s="35">
        <v>81401094.785999998</v>
      </c>
      <c r="M27" s="36">
        <v>5246.9709999999995</v>
      </c>
      <c r="N27" s="37">
        <v>317801</v>
      </c>
      <c r="O27" s="37">
        <v>413323</v>
      </c>
      <c r="P27" s="37">
        <v>0</v>
      </c>
      <c r="Q27" s="37">
        <v>99309</v>
      </c>
      <c r="R27" s="37">
        <v>1402176</v>
      </c>
      <c r="S27" s="37">
        <v>354356</v>
      </c>
      <c r="T27" s="37"/>
      <c r="U27" s="37">
        <v>4054050</v>
      </c>
      <c r="V27" s="37">
        <v>0</v>
      </c>
      <c r="W27" s="45">
        <v>6641015</v>
      </c>
      <c r="X27" s="46">
        <v>8.1583853601219296</v>
      </c>
    </row>
    <row r="29" spans="1:24" ht="15" customHeight="1">
      <c r="A29" s="31" t="s">
        <v>647</v>
      </c>
      <c r="B29" s="31"/>
      <c r="C29" s="31"/>
      <c r="D29" s="31"/>
      <c r="E29" s="31"/>
      <c r="F29" s="32">
        <v>8</v>
      </c>
      <c r="G29" s="31"/>
      <c r="H29" s="31"/>
      <c r="I29" s="38"/>
      <c r="J29" s="31"/>
      <c r="K29" s="39">
        <f>+SUM(K15:K27)</f>
        <v>177142.49000000002</v>
      </c>
      <c r="L29" s="39">
        <f>+SUM(L15:L27)</f>
        <v>553607481.17289996</v>
      </c>
      <c r="M29" s="31"/>
      <c r="N29" s="39"/>
      <c r="O29" s="39"/>
      <c r="P29" s="39"/>
      <c r="Q29" s="39"/>
      <c r="R29" s="39"/>
      <c r="S29" s="39"/>
      <c r="T29" s="39"/>
      <c r="U29" s="39"/>
      <c r="V29" s="31"/>
      <c r="W29" s="39">
        <f>+SUM(W15:W27)</f>
        <v>32003896.366429824</v>
      </c>
      <c r="X29" s="47">
        <f>(W29/L29)*100</f>
        <v>5.780972522015924</v>
      </c>
    </row>
    <row r="31" spans="1:24" s="4" customFormat="1" ht="15" customHeight="1">
      <c r="A31" s="28" t="s">
        <v>1109</v>
      </c>
      <c r="B31" s="29">
        <v>3106.0650000000001</v>
      </c>
      <c r="C31" s="30" t="s">
        <v>1112</v>
      </c>
      <c r="D31" s="2">
        <v>4948793530</v>
      </c>
      <c r="E31" s="2" t="s">
        <v>27</v>
      </c>
      <c r="F31" s="78" t="s">
        <v>1113</v>
      </c>
      <c r="G31" s="28" t="s">
        <v>13</v>
      </c>
      <c r="H31" s="2" t="s">
        <v>23</v>
      </c>
      <c r="I31" s="2">
        <v>1</v>
      </c>
      <c r="J31" s="2"/>
      <c r="K31" s="2">
        <v>380.29</v>
      </c>
      <c r="L31" s="35">
        <v>1181205.4588500001</v>
      </c>
      <c r="M31" s="36">
        <v>44.8</v>
      </c>
      <c r="N31" s="40">
        <v>1004831.24</v>
      </c>
      <c r="O31" s="40">
        <v>0</v>
      </c>
      <c r="P31" s="40">
        <v>0</v>
      </c>
      <c r="Q31" s="40">
        <v>0</v>
      </c>
      <c r="R31" s="40">
        <v>4019</v>
      </c>
      <c r="S31" s="40">
        <v>354356</v>
      </c>
      <c r="T31" s="40"/>
      <c r="U31" s="40">
        <v>246380</v>
      </c>
      <c r="V31" s="40">
        <v>0</v>
      </c>
      <c r="W31" s="45">
        <v>1609586.24</v>
      </c>
      <c r="X31" s="46">
        <v>136.26640716400499</v>
      </c>
    </row>
    <row r="32" spans="1:24" s="4" customFormat="1" ht="15" customHeight="1">
      <c r="A32" s="28" t="s">
        <v>1109</v>
      </c>
      <c r="B32" s="29">
        <v>3106.0650000000001</v>
      </c>
      <c r="C32" s="30" t="s">
        <v>1152</v>
      </c>
      <c r="D32" s="2">
        <v>4949355660</v>
      </c>
      <c r="E32" s="2" t="s">
        <v>27</v>
      </c>
      <c r="F32" s="2" t="s">
        <v>1153</v>
      </c>
      <c r="G32" s="28" t="s">
        <v>13</v>
      </c>
      <c r="H32" s="2" t="s">
        <v>23</v>
      </c>
      <c r="I32" s="2">
        <v>21</v>
      </c>
      <c r="J32" s="2"/>
      <c r="K32" s="2">
        <v>8738.36</v>
      </c>
      <c r="L32" s="35">
        <v>27141914.1534</v>
      </c>
      <c r="M32" s="36">
        <v>2704.8</v>
      </c>
      <c r="N32" s="40">
        <v>4258920</v>
      </c>
      <c r="O32" s="40">
        <v>0</v>
      </c>
      <c r="P32" s="40">
        <v>0</v>
      </c>
      <c r="Q32" s="40">
        <v>0</v>
      </c>
      <c r="R32" s="40">
        <v>59746</v>
      </c>
      <c r="S32" s="40">
        <v>354356</v>
      </c>
      <c r="T32" s="40"/>
      <c r="U32" s="40">
        <v>1087370</v>
      </c>
      <c r="V32" s="40">
        <v>0</v>
      </c>
      <c r="W32" s="45">
        <v>5760392</v>
      </c>
      <c r="X32" s="46">
        <v>21.223234173697399</v>
      </c>
    </row>
    <row r="33" spans="1:24" s="4" customFormat="1" ht="15" customHeight="1">
      <c r="A33" s="28" t="s">
        <v>1109</v>
      </c>
      <c r="B33" s="29">
        <v>3106.0650000000001</v>
      </c>
      <c r="C33" s="30" t="s">
        <v>1265</v>
      </c>
      <c r="D33" s="2">
        <v>4948793511</v>
      </c>
      <c r="E33" s="2" t="s">
        <v>27</v>
      </c>
      <c r="F33" s="2" t="s">
        <v>1266</v>
      </c>
      <c r="G33" s="28" t="s">
        <v>5</v>
      </c>
      <c r="H33" s="2" t="s">
        <v>17</v>
      </c>
      <c r="I33" s="2">
        <v>1</v>
      </c>
      <c r="J33" s="2" t="s">
        <v>1267</v>
      </c>
      <c r="K33" s="2">
        <v>58613.53</v>
      </c>
      <c r="L33" s="35">
        <v>182057434.05945</v>
      </c>
      <c r="M33" s="36">
        <v>14218.462</v>
      </c>
      <c r="N33" s="40">
        <v>243434.093675888</v>
      </c>
      <c r="O33" s="40">
        <v>399567.25690828398</v>
      </c>
      <c r="P33" s="40">
        <v>142002.83354118399</v>
      </c>
      <c r="Q33" s="40">
        <v>96273.146919760606</v>
      </c>
      <c r="R33" s="40">
        <v>526402.08890716697</v>
      </c>
      <c r="S33" s="40">
        <v>274817.07508558</v>
      </c>
      <c r="T33" s="40"/>
      <c r="U33" s="40">
        <v>4374469.3271003496</v>
      </c>
      <c r="V33" s="40">
        <v>0</v>
      </c>
      <c r="W33" s="45">
        <v>6056965.8221382098</v>
      </c>
      <c r="X33" s="46">
        <v>3.3269533064825798</v>
      </c>
    </row>
    <row r="34" spans="1:24" s="4" customFormat="1" ht="15" customHeight="1">
      <c r="A34" s="28" t="s">
        <v>1109</v>
      </c>
      <c r="B34" s="29">
        <v>3106.0650000000001</v>
      </c>
      <c r="C34" s="30" t="s">
        <v>1265</v>
      </c>
      <c r="D34" s="2">
        <v>4948281616</v>
      </c>
      <c r="E34" s="2" t="s">
        <v>27</v>
      </c>
      <c r="F34" s="2" t="s">
        <v>1266</v>
      </c>
      <c r="G34" s="28" t="s">
        <v>5</v>
      </c>
      <c r="H34" s="2" t="s">
        <v>17</v>
      </c>
      <c r="I34" s="2">
        <v>1</v>
      </c>
      <c r="J34" s="2" t="s">
        <v>1267</v>
      </c>
      <c r="K34" s="2">
        <v>2858.15</v>
      </c>
      <c r="L34" s="35">
        <v>8877599.6797499992</v>
      </c>
      <c r="M34" s="36">
        <v>1110.2280000000001</v>
      </c>
      <c r="N34" s="40">
        <v>19008.198422135501</v>
      </c>
      <c r="O34" s="40">
        <v>31199.630206331101</v>
      </c>
      <c r="P34" s="40">
        <v>11088.085467806701</v>
      </c>
      <c r="Q34" s="40">
        <v>7517.3491590322501</v>
      </c>
      <c r="R34" s="40">
        <v>41103.3442550416</v>
      </c>
      <c r="S34" s="40">
        <v>21458.693045570901</v>
      </c>
      <c r="T34" s="40"/>
      <c r="U34" s="40">
        <v>341574.09796417999</v>
      </c>
      <c r="V34" s="40">
        <v>0</v>
      </c>
      <c r="W34" s="45">
        <v>472949.39852009801</v>
      </c>
      <c r="X34" s="46">
        <v>5.3274467827030501</v>
      </c>
    </row>
    <row r="35" spans="1:24" s="4" customFormat="1" ht="15" customHeight="1">
      <c r="A35" s="28" t="s">
        <v>1109</v>
      </c>
      <c r="B35" s="29">
        <v>3106.0650000000001</v>
      </c>
      <c r="C35" s="30" t="s">
        <v>1265</v>
      </c>
      <c r="D35" s="2">
        <v>4948860667</v>
      </c>
      <c r="E35" s="2" t="s">
        <v>27</v>
      </c>
      <c r="F35" s="2" t="s">
        <v>1266</v>
      </c>
      <c r="G35" s="28" t="s">
        <v>5</v>
      </c>
      <c r="H35" s="2" t="s">
        <v>17</v>
      </c>
      <c r="I35" s="2">
        <v>1</v>
      </c>
      <c r="J35" s="2" t="s">
        <v>1267</v>
      </c>
      <c r="K35" s="2">
        <v>3859.91</v>
      </c>
      <c r="L35" s="35">
        <v>11989131.354149999</v>
      </c>
      <c r="M35" s="36">
        <v>3004.95</v>
      </c>
      <c r="N35" s="40">
        <v>51447.707901976901</v>
      </c>
      <c r="O35" s="40">
        <v>84445.1128853845</v>
      </c>
      <c r="P35" s="40">
        <v>30011.080991008901</v>
      </c>
      <c r="Q35" s="40">
        <v>20346.503921207099</v>
      </c>
      <c r="R35" s="40">
        <v>111250.566837791</v>
      </c>
      <c r="S35" s="40">
        <v>58080.231868848699</v>
      </c>
      <c r="T35" s="40"/>
      <c r="U35" s="40">
        <v>924506.57493547397</v>
      </c>
      <c r="V35" s="40">
        <v>0</v>
      </c>
      <c r="W35" s="45">
        <v>1280087.77934169</v>
      </c>
      <c r="X35" s="46">
        <v>10.6770686009591</v>
      </c>
    </row>
    <row r="36" spans="1:24" s="4" customFormat="1" ht="15" customHeight="1">
      <c r="A36" s="28" t="s">
        <v>1109</v>
      </c>
      <c r="B36" s="29">
        <v>3106.0650000000001</v>
      </c>
      <c r="C36" s="30" t="s">
        <v>1268</v>
      </c>
      <c r="D36" s="2">
        <v>4948793511</v>
      </c>
      <c r="E36" s="2" t="s">
        <v>27</v>
      </c>
      <c r="F36" s="2" t="s">
        <v>1269</v>
      </c>
      <c r="G36" s="28" t="s">
        <v>5</v>
      </c>
      <c r="H36" s="2" t="s">
        <v>20</v>
      </c>
      <c r="I36" s="2">
        <v>1</v>
      </c>
      <c r="J36" s="2" t="s">
        <v>1270</v>
      </c>
      <c r="K36" s="2">
        <v>30413.040000000001</v>
      </c>
      <c r="L36" s="35">
        <v>94464879.087599993</v>
      </c>
      <c r="M36" s="36">
        <v>8022.71</v>
      </c>
      <c r="N36" s="40">
        <v>318181</v>
      </c>
      <c r="O36" s="40">
        <v>315124</v>
      </c>
      <c r="P36" s="40">
        <v>0</v>
      </c>
      <c r="Q36" s="40">
        <v>99309</v>
      </c>
      <c r="R36" s="40">
        <v>677792</v>
      </c>
      <c r="S36" s="40">
        <v>354356</v>
      </c>
      <c r="T36" s="40"/>
      <c r="U36" s="40">
        <v>2900300</v>
      </c>
      <c r="V36" s="40">
        <v>0</v>
      </c>
      <c r="W36" s="45">
        <v>4665062</v>
      </c>
      <c r="X36" s="46">
        <v>4.9384089039842598</v>
      </c>
    </row>
    <row r="37" spans="1:24" s="4" customFormat="1" ht="15" customHeight="1">
      <c r="A37" s="28" t="s">
        <v>1109</v>
      </c>
      <c r="B37" s="29">
        <v>3106.0650000000001</v>
      </c>
      <c r="C37" s="30" t="s">
        <v>1363</v>
      </c>
      <c r="D37" s="2">
        <v>4947940815</v>
      </c>
      <c r="E37" s="2" t="s">
        <v>27</v>
      </c>
      <c r="F37" s="2">
        <v>1025129606</v>
      </c>
      <c r="G37" s="28" t="s">
        <v>13</v>
      </c>
      <c r="H37" s="2" t="s">
        <v>23</v>
      </c>
      <c r="I37" s="2">
        <v>1</v>
      </c>
      <c r="J37" s="2"/>
      <c r="K37" s="2">
        <v>522</v>
      </c>
      <c r="L37" s="35">
        <v>1621365.93</v>
      </c>
      <c r="M37" s="36">
        <v>180</v>
      </c>
      <c r="N37" s="40">
        <v>332040</v>
      </c>
      <c r="O37" s="40">
        <v>0</v>
      </c>
      <c r="P37" s="40">
        <v>0</v>
      </c>
      <c r="Q37" s="40">
        <v>0</v>
      </c>
      <c r="R37" s="40">
        <v>1328</v>
      </c>
      <c r="S37" s="40">
        <v>354356</v>
      </c>
      <c r="T37" s="40"/>
      <c r="U37" s="40">
        <v>246380</v>
      </c>
      <c r="V37" s="40">
        <v>0</v>
      </c>
      <c r="W37" s="45">
        <v>934104</v>
      </c>
      <c r="X37" s="46">
        <v>57.612164084390301</v>
      </c>
    </row>
    <row r="38" spans="1:24" s="4" customFormat="1" ht="15" customHeight="1">
      <c r="A38" s="28" t="s">
        <v>1109</v>
      </c>
      <c r="B38" s="29">
        <v>3106.0650000000001</v>
      </c>
      <c r="C38" s="30" t="s">
        <v>1378</v>
      </c>
      <c r="D38" s="2">
        <v>4949419400</v>
      </c>
      <c r="E38" s="2" t="s">
        <v>27</v>
      </c>
      <c r="F38" s="78" t="s">
        <v>1379</v>
      </c>
      <c r="G38" s="28" t="s">
        <v>13</v>
      </c>
      <c r="H38" s="2" t="s">
        <v>23</v>
      </c>
      <c r="I38" s="2">
        <v>2</v>
      </c>
      <c r="J38" s="2"/>
      <c r="K38" s="2">
        <v>1061.22</v>
      </c>
      <c r="L38" s="35">
        <v>3296218.2993000001</v>
      </c>
      <c r="M38" s="36">
        <v>92.57</v>
      </c>
      <c r="N38" s="40">
        <v>989092.13</v>
      </c>
      <c r="O38" s="40">
        <v>0</v>
      </c>
      <c r="P38" s="40">
        <v>0</v>
      </c>
      <c r="Q38" s="40">
        <v>0</v>
      </c>
      <c r="R38" s="40">
        <v>3956</v>
      </c>
      <c r="S38" s="40">
        <v>354356</v>
      </c>
      <c r="T38" s="40"/>
      <c r="U38" s="40">
        <v>246380</v>
      </c>
      <c r="V38" s="40">
        <v>0</v>
      </c>
      <c r="W38" s="45">
        <v>1593784.13</v>
      </c>
      <c r="X38" s="46">
        <v>48.351898608731801</v>
      </c>
    </row>
    <row r="39" spans="1:24" s="4" customFormat="1" ht="15" customHeight="1">
      <c r="A39" s="28" t="s">
        <v>1109</v>
      </c>
      <c r="B39" s="29">
        <v>3106.0650000000001</v>
      </c>
      <c r="C39" s="30" t="s">
        <v>1399</v>
      </c>
      <c r="D39" s="2">
        <v>4948522604</v>
      </c>
      <c r="E39" s="2" t="s">
        <v>27</v>
      </c>
      <c r="F39" s="78" t="s">
        <v>1400</v>
      </c>
      <c r="G39" s="28" t="s">
        <v>5</v>
      </c>
      <c r="H39" s="2" t="s">
        <v>20</v>
      </c>
      <c r="I39" s="2">
        <v>1</v>
      </c>
      <c r="J39" s="2" t="s">
        <v>1401</v>
      </c>
      <c r="K39" s="2">
        <v>14718</v>
      </c>
      <c r="L39" s="35">
        <v>45715064.670000002</v>
      </c>
      <c r="M39" s="36">
        <v>8494.2000000000007</v>
      </c>
      <c r="N39" s="40">
        <v>461000</v>
      </c>
      <c r="O39" s="40">
        <v>387618</v>
      </c>
      <c r="P39" s="40">
        <v>102537</v>
      </c>
      <c r="Q39" s="40">
        <v>124137</v>
      </c>
      <c r="R39" s="40">
        <v>617016</v>
      </c>
      <c r="S39" s="40">
        <v>354356</v>
      </c>
      <c r="T39" s="40"/>
      <c r="U39" s="40">
        <v>2900300</v>
      </c>
      <c r="V39" s="40">
        <v>0</v>
      </c>
      <c r="W39" s="45">
        <v>4946964</v>
      </c>
      <c r="X39" s="46">
        <v>10.821299358778701</v>
      </c>
    </row>
    <row r="40" spans="1:24" s="4" customFormat="1" ht="15" customHeight="1">
      <c r="A40" s="28" t="s">
        <v>1109</v>
      </c>
      <c r="B40" s="29">
        <v>3106.0650000000001</v>
      </c>
      <c r="C40" s="30" t="s">
        <v>1414</v>
      </c>
      <c r="D40" s="2">
        <v>4947816328</v>
      </c>
      <c r="E40" s="2" t="s">
        <v>27</v>
      </c>
      <c r="F40" s="2" t="s">
        <v>1415</v>
      </c>
      <c r="G40" s="28" t="s">
        <v>9</v>
      </c>
      <c r="H40" s="2" t="s">
        <v>23</v>
      </c>
      <c r="I40" s="2">
        <v>3</v>
      </c>
      <c r="J40" s="2"/>
      <c r="K40" s="2">
        <v>2458.5</v>
      </c>
      <c r="L40" s="35">
        <v>7636260.8025000002</v>
      </c>
      <c r="M40" s="36">
        <v>1650</v>
      </c>
      <c r="N40" s="40">
        <v>676617</v>
      </c>
      <c r="O40" s="40">
        <v>1082</v>
      </c>
      <c r="P40" s="40">
        <v>20741</v>
      </c>
      <c r="Q40" s="40">
        <v>33647</v>
      </c>
      <c r="R40" s="40">
        <v>115241</v>
      </c>
      <c r="S40" s="40">
        <v>354356</v>
      </c>
      <c r="T40" s="40"/>
      <c r="U40" s="40">
        <v>1367700</v>
      </c>
      <c r="V40" s="40">
        <v>0</v>
      </c>
      <c r="W40" s="45">
        <v>2569384</v>
      </c>
      <c r="X40" s="46">
        <v>33.647148342010802</v>
      </c>
    </row>
    <row r="42" spans="1:24" ht="15" customHeight="1">
      <c r="A42" s="31" t="s">
        <v>1109</v>
      </c>
      <c r="B42" s="31"/>
      <c r="C42" s="31"/>
      <c r="D42" s="31"/>
      <c r="E42" s="31"/>
      <c r="F42" s="32">
        <v>8</v>
      </c>
      <c r="G42" s="31"/>
      <c r="H42" s="31"/>
      <c r="I42" s="38"/>
      <c r="J42" s="31"/>
      <c r="K42" s="39">
        <f>+SUM(K31:K40)</f>
        <v>123623</v>
      </c>
      <c r="L42" s="39">
        <f>+SUM(L31:L40)</f>
        <v>383981073.49500006</v>
      </c>
      <c r="M42" s="31"/>
      <c r="N42" s="39"/>
      <c r="O42" s="39"/>
      <c r="P42" s="39"/>
      <c r="Q42" s="39"/>
      <c r="R42" s="39"/>
      <c r="S42" s="39"/>
      <c r="T42" s="39"/>
      <c r="U42" s="39"/>
      <c r="V42" s="31"/>
      <c r="W42" s="39">
        <f>+SUM(W31:W40)</f>
        <v>29889279.369999997</v>
      </c>
      <c r="X42" s="47">
        <f>(W42/L42)*100</f>
        <v>7.7840501611049318</v>
      </c>
    </row>
    <row r="44" spans="1:24" s="4" customFormat="1" ht="15" customHeight="1">
      <c r="A44" s="28" t="s">
        <v>1603</v>
      </c>
      <c r="B44" s="29">
        <v>3149.63</v>
      </c>
      <c r="C44" s="30" t="s">
        <v>1726</v>
      </c>
      <c r="D44" s="2">
        <v>4948149080</v>
      </c>
      <c r="E44" s="2" t="s">
        <v>27</v>
      </c>
      <c r="F44" s="2" t="s">
        <v>1727</v>
      </c>
      <c r="G44" s="28" t="s">
        <v>9</v>
      </c>
      <c r="H44" s="2" t="s">
        <v>23</v>
      </c>
      <c r="I44" s="2">
        <v>5</v>
      </c>
      <c r="J44" s="2"/>
      <c r="K44" s="2">
        <v>2805.6</v>
      </c>
      <c r="L44" s="35">
        <v>8836601.9279999994</v>
      </c>
      <c r="M44" s="36">
        <v>7</v>
      </c>
      <c r="N44" s="40">
        <v>330717.57894736802</v>
      </c>
      <c r="O44" s="40">
        <v>573.26315789473699</v>
      </c>
      <c r="P44" s="40">
        <v>11097.5789473684</v>
      </c>
      <c r="Q44" s="40">
        <v>27355.631578947399</v>
      </c>
      <c r="R44" s="40">
        <v>50242.684210526299</v>
      </c>
      <c r="S44" s="40">
        <v>130552.210526316</v>
      </c>
      <c r="T44" s="40"/>
      <c r="U44" s="40">
        <v>768342.10526315798</v>
      </c>
      <c r="V44" s="40">
        <v>0</v>
      </c>
      <c r="W44" s="45">
        <v>1318881.05263158</v>
      </c>
      <c r="X44" s="46">
        <v>14.925206129887099</v>
      </c>
    </row>
    <row r="45" spans="1:24" s="4" customFormat="1" ht="15" customHeight="1">
      <c r="A45" s="28" t="s">
        <v>1603</v>
      </c>
      <c r="B45" s="29">
        <v>3149.63</v>
      </c>
      <c r="C45" s="30" t="s">
        <v>1726</v>
      </c>
      <c r="D45" s="2">
        <v>4948980151</v>
      </c>
      <c r="E45" s="2" t="s">
        <v>27</v>
      </c>
      <c r="F45" s="2" t="s">
        <v>1727</v>
      </c>
      <c r="G45" s="28" t="s">
        <v>9</v>
      </c>
      <c r="H45" s="2" t="s">
        <v>23</v>
      </c>
      <c r="I45" s="2">
        <v>5</v>
      </c>
      <c r="J45" s="2"/>
      <c r="K45" s="2">
        <v>4809.6000000000004</v>
      </c>
      <c r="L45" s="35">
        <v>15148460.448000001</v>
      </c>
      <c r="M45" s="36">
        <v>12</v>
      </c>
      <c r="N45" s="40">
        <v>566944.42105263204</v>
      </c>
      <c r="O45" s="40">
        <v>982.73684210526301</v>
      </c>
      <c r="P45" s="40">
        <v>19024.421052631598</v>
      </c>
      <c r="Q45" s="40">
        <v>46895.368421052597</v>
      </c>
      <c r="R45" s="40">
        <v>86130.315789473694</v>
      </c>
      <c r="S45" s="40">
        <v>223803.78947368401</v>
      </c>
      <c r="T45" s="40"/>
      <c r="U45" s="40">
        <v>1317157.8947368399</v>
      </c>
      <c r="V45" s="40">
        <v>0</v>
      </c>
      <c r="W45" s="45">
        <v>2260938.9473684202</v>
      </c>
      <c r="X45" s="46">
        <v>14.925206129887099</v>
      </c>
    </row>
    <row r="46" spans="1:24" s="4" customFormat="1" ht="15" customHeight="1">
      <c r="A46" s="28" t="s">
        <v>1603</v>
      </c>
      <c r="B46" s="29">
        <v>3149.63</v>
      </c>
      <c r="C46" s="30" t="s">
        <v>1739</v>
      </c>
      <c r="D46" s="2">
        <v>4948793547</v>
      </c>
      <c r="E46" s="2" t="s">
        <v>27</v>
      </c>
      <c r="F46" s="2" t="s">
        <v>1740</v>
      </c>
      <c r="G46" s="28" t="s">
        <v>5</v>
      </c>
      <c r="H46" s="2" t="s">
        <v>20</v>
      </c>
      <c r="I46" s="2">
        <v>1</v>
      </c>
      <c r="J46" s="2" t="s">
        <v>1741</v>
      </c>
      <c r="K46" s="2">
        <v>8190</v>
      </c>
      <c r="L46" s="35">
        <v>25795469.699999999</v>
      </c>
      <c r="M46" s="36">
        <v>4200</v>
      </c>
      <c r="N46" s="40">
        <v>471488</v>
      </c>
      <c r="O46" s="40">
        <v>407175</v>
      </c>
      <c r="P46" s="40">
        <v>0</v>
      </c>
      <c r="Q46" s="40">
        <v>124137</v>
      </c>
      <c r="R46" s="40">
        <v>628165</v>
      </c>
      <c r="S46" s="40">
        <v>354356</v>
      </c>
      <c r="T46" s="40"/>
      <c r="U46" s="40">
        <v>2619000</v>
      </c>
      <c r="V46" s="40">
        <v>0</v>
      </c>
      <c r="W46" s="45">
        <v>4604321</v>
      </c>
      <c r="X46" s="46">
        <v>17.849339645868099</v>
      </c>
    </row>
    <row r="47" spans="1:24" s="4" customFormat="1" ht="15" customHeight="1">
      <c r="A47" s="28" t="s">
        <v>1603</v>
      </c>
      <c r="B47" s="29">
        <v>3149.63</v>
      </c>
      <c r="C47" s="30" t="s">
        <v>1774</v>
      </c>
      <c r="D47" s="2">
        <v>4949253042</v>
      </c>
      <c r="E47" s="2" t="s">
        <v>27</v>
      </c>
      <c r="F47" s="78" t="s">
        <v>1775</v>
      </c>
      <c r="G47" s="28" t="s">
        <v>9</v>
      </c>
      <c r="H47" s="2" t="s">
        <v>23</v>
      </c>
      <c r="I47" s="2">
        <v>1</v>
      </c>
      <c r="J47" s="2"/>
      <c r="K47" s="2">
        <v>5839.7259999999997</v>
      </c>
      <c r="L47" s="35">
        <v>18392976.20138</v>
      </c>
      <c r="M47" s="36">
        <v>200</v>
      </c>
      <c r="N47" s="40">
        <v>698093</v>
      </c>
      <c r="O47" s="40">
        <v>157</v>
      </c>
      <c r="P47" s="40">
        <v>0</v>
      </c>
      <c r="Q47" s="40">
        <v>4799</v>
      </c>
      <c r="R47" s="40">
        <v>87817</v>
      </c>
      <c r="S47" s="40">
        <v>354356</v>
      </c>
      <c r="T47" s="40"/>
      <c r="U47" s="40">
        <v>252200</v>
      </c>
      <c r="V47" s="40">
        <v>0</v>
      </c>
      <c r="W47" s="45">
        <v>1397422</v>
      </c>
      <c r="X47" s="46">
        <v>7.5975849949458096</v>
      </c>
    </row>
    <row r="48" spans="1:24" s="4" customFormat="1" ht="15" customHeight="1">
      <c r="A48" s="28" t="s">
        <v>1603</v>
      </c>
      <c r="B48" s="29">
        <v>3149.63</v>
      </c>
      <c r="C48" s="30" t="s">
        <v>1869</v>
      </c>
      <c r="D48" s="2">
        <v>4949422382</v>
      </c>
      <c r="E48" s="2" t="s">
        <v>27</v>
      </c>
      <c r="F48" s="2" t="s">
        <v>1870</v>
      </c>
      <c r="G48" s="28" t="s">
        <v>5</v>
      </c>
      <c r="H48" s="2" t="s">
        <v>17</v>
      </c>
      <c r="I48" s="2">
        <v>1</v>
      </c>
      <c r="J48" s="2" t="s">
        <v>1871</v>
      </c>
      <c r="K48" s="2">
        <v>75737.600000000006</v>
      </c>
      <c r="L48" s="35">
        <v>238545417.088</v>
      </c>
      <c r="M48" s="36">
        <v>18054.674999999999</v>
      </c>
      <c r="N48" s="40">
        <v>325476</v>
      </c>
      <c r="O48" s="40">
        <v>534687</v>
      </c>
      <c r="P48" s="40">
        <v>189860</v>
      </c>
      <c r="Q48" s="40">
        <v>124137</v>
      </c>
      <c r="R48" s="40">
        <v>846437</v>
      </c>
      <c r="S48" s="40">
        <v>354356</v>
      </c>
      <c r="T48" s="40"/>
      <c r="U48" s="40">
        <v>5640550</v>
      </c>
      <c r="V48" s="40">
        <v>0</v>
      </c>
      <c r="W48" s="45">
        <v>8015503</v>
      </c>
      <c r="X48" s="46">
        <v>3.3601580352487201</v>
      </c>
    </row>
    <row r="49" spans="1:24" s="4" customFormat="1" ht="15" customHeight="1">
      <c r="A49" s="28" t="s">
        <v>1603</v>
      </c>
      <c r="B49" s="29">
        <v>3149.63</v>
      </c>
      <c r="C49" s="30" t="s">
        <v>1872</v>
      </c>
      <c r="D49" s="2">
        <v>4949422382</v>
      </c>
      <c r="E49" s="2" t="s">
        <v>27</v>
      </c>
      <c r="F49" s="2" t="s">
        <v>1873</v>
      </c>
      <c r="G49" s="28" t="s">
        <v>5</v>
      </c>
      <c r="H49" s="2" t="s">
        <v>20</v>
      </c>
      <c r="I49" s="2">
        <v>1</v>
      </c>
      <c r="J49" s="2" t="s">
        <v>1874</v>
      </c>
      <c r="K49" s="2">
        <v>25945.96</v>
      </c>
      <c r="L49" s="35">
        <v>81720173.994800001</v>
      </c>
      <c r="M49" s="36">
        <v>4445.5479999999998</v>
      </c>
      <c r="N49" s="40">
        <v>181144.02829218301</v>
      </c>
      <c r="O49" s="40">
        <v>226614.39348604201</v>
      </c>
      <c r="P49" s="40">
        <v>73966.982558069707</v>
      </c>
      <c r="Q49" s="40">
        <v>69088.7971122413</v>
      </c>
      <c r="R49" s="40">
        <v>380708.43435664702</v>
      </c>
      <c r="S49" s="40">
        <v>197217.830215853</v>
      </c>
      <c r="T49" s="40"/>
      <c r="U49" s="40">
        <v>1614170.1367411299</v>
      </c>
      <c r="V49" s="40">
        <v>0</v>
      </c>
      <c r="W49" s="45">
        <v>2742910.6027621701</v>
      </c>
      <c r="X49" s="46">
        <v>3.3564669146895101</v>
      </c>
    </row>
    <row r="50" spans="1:24" s="4" customFormat="1" ht="15" customHeight="1">
      <c r="A50" s="28" t="s">
        <v>1603</v>
      </c>
      <c r="B50" s="29">
        <v>3149.63</v>
      </c>
      <c r="C50" s="30" t="s">
        <v>1872</v>
      </c>
      <c r="D50" s="2">
        <v>4948793511</v>
      </c>
      <c r="E50" s="2" t="s">
        <v>27</v>
      </c>
      <c r="F50" s="2" t="s">
        <v>1873</v>
      </c>
      <c r="G50" s="28" t="s">
        <v>5</v>
      </c>
      <c r="H50" s="2" t="s">
        <v>20</v>
      </c>
      <c r="I50" s="2">
        <v>1</v>
      </c>
      <c r="J50" s="2" t="s">
        <v>1874</v>
      </c>
      <c r="K50" s="2">
        <v>1483.13</v>
      </c>
      <c r="L50" s="35">
        <v>4671310.7418999998</v>
      </c>
      <c r="M50" s="36">
        <v>175.86</v>
      </c>
      <c r="N50" s="40">
        <v>7165.8182108174997</v>
      </c>
      <c r="O50" s="40">
        <v>8964.5657269824605</v>
      </c>
      <c r="P50" s="40">
        <v>2926.03601460655</v>
      </c>
      <c r="Q50" s="40">
        <v>2733.0614493778398</v>
      </c>
      <c r="R50" s="40">
        <v>15060.727244866101</v>
      </c>
      <c r="S50" s="40">
        <v>7801.6765586064903</v>
      </c>
      <c r="T50" s="40"/>
      <c r="U50" s="40">
        <v>63854.4359991827</v>
      </c>
      <c r="V50" s="40">
        <v>0</v>
      </c>
      <c r="W50" s="45">
        <v>108506.32120444</v>
      </c>
      <c r="X50" s="46">
        <v>2.32282387534566</v>
      </c>
    </row>
    <row r="51" spans="1:24" s="4" customFormat="1" ht="15" customHeight="1">
      <c r="A51" s="28" t="s">
        <v>1603</v>
      </c>
      <c r="B51" s="29">
        <v>3149.63</v>
      </c>
      <c r="C51" s="30" t="s">
        <v>1872</v>
      </c>
      <c r="D51" s="2">
        <v>4949594062</v>
      </c>
      <c r="E51" s="2" t="s">
        <v>27</v>
      </c>
      <c r="F51" s="2" t="s">
        <v>1873</v>
      </c>
      <c r="G51" s="28" t="s">
        <v>5</v>
      </c>
      <c r="H51" s="2" t="s">
        <v>20</v>
      </c>
      <c r="I51" s="2">
        <v>1</v>
      </c>
      <c r="J51" s="2" t="s">
        <v>1874</v>
      </c>
      <c r="K51" s="2">
        <v>4108.6400000000003</v>
      </c>
      <c r="L51" s="35">
        <v>12940695.803200001</v>
      </c>
      <c r="M51" s="36">
        <v>3366.24</v>
      </c>
      <c r="N51" s="40">
        <v>137165.153496999</v>
      </c>
      <c r="O51" s="40">
        <v>171596.04078697501</v>
      </c>
      <c r="P51" s="40">
        <v>56008.981427323801</v>
      </c>
      <c r="Q51" s="40">
        <v>52315.141438380902</v>
      </c>
      <c r="R51" s="40">
        <v>288278.83839848702</v>
      </c>
      <c r="S51" s="40">
        <v>149336.49322554001</v>
      </c>
      <c r="T51" s="40"/>
      <c r="U51" s="40">
        <v>1222275.4272596899</v>
      </c>
      <c r="V51" s="40">
        <v>0</v>
      </c>
      <c r="W51" s="45">
        <v>2076976.0760333999</v>
      </c>
      <c r="X51" s="46">
        <v>16.049956722727401</v>
      </c>
    </row>
    <row r="52" spans="1:24" s="4" customFormat="1" ht="15" customHeight="1">
      <c r="A52" s="28" t="s">
        <v>1603</v>
      </c>
      <c r="B52" s="29">
        <v>3149.63</v>
      </c>
      <c r="C52" s="30" t="s">
        <v>1942</v>
      </c>
      <c r="D52" s="2">
        <v>4949284059</v>
      </c>
      <c r="E52" s="2" t="s">
        <v>27</v>
      </c>
      <c r="F52" s="2" t="s">
        <v>1943</v>
      </c>
      <c r="G52" s="28" t="s">
        <v>9</v>
      </c>
      <c r="H52" s="2" t="s">
        <v>23</v>
      </c>
      <c r="I52" s="2">
        <v>2</v>
      </c>
      <c r="J52" s="2"/>
      <c r="K52" s="2">
        <v>2518.59</v>
      </c>
      <c r="L52" s="35">
        <v>7932626.6217</v>
      </c>
      <c r="M52" s="36">
        <v>445.28</v>
      </c>
      <c r="N52" s="40">
        <v>714004</v>
      </c>
      <c r="O52" s="40">
        <v>345</v>
      </c>
      <c r="P52" s="40">
        <v>13565</v>
      </c>
      <c r="Q52" s="40">
        <v>11259</v>
      </c>
      <c r="R52" s="40">
        <v>88687</v>
      </c>
      <c r="S52" s="40">
        <v>354356</v>
      </c>
      <c r="T52" s="40"/>
      <c r="U52" s="40">
        <v>300987.73531089601</v>
      </c>
      <c r="V52" s="40">
        <v>0</v>
      </c>
      <c r="W52" s="45">
        <v>1483203.7353109</v>
      </c>
      <c r="X52" s="46">
        <v>18.697511001633899</v>
      </c>
    </row>
    <row r="53" spans="1:24" s="4" customFormat="1" ht="15" customHeight="1">
      <c r="A53" s="28" t="s">
        <v>1603</v>
      </c>
      <c r="B53" s="29">
        <v>3149.63</v>
      </c>
      <c r="C53" s="30" t="s">
        <v>2041</v>
      </c>
      <c r="D53" s="2">
        <v>4947816328</v>
      </c>
      <c r="E53" s="2" t="s">
        <v>27</v>
      </c>
      <c r="F53" s="2" t="s">
        <v>2042</v>
      </c>
      <c r="G53" s="28" t="s">
        <v>9</v>
      </c>
      <c r="H53" s="2" t="s">
        <v>23</v>
      </c>
      <c r="I53" s="2">
        <v>4</v>
      </c>
      <c r="J53" s="2"/>
      <c r="K53" s="2">
        <v>737.55</v>
      </c>
      <c r="L53" s="35">
        <v>2323009.6065000002</v>
      </c>
      <c r="M53" s="36">
        <v>544.5</v>
      </c>
      <c r="N53" s="40">
        <v>146256.75</v>
      </c>
      <c r="O53" s="40">
        <v>327.24384363698999</v>
      </c>
      <c r="P53" s="40">
        <v>12629.0625</v>
      </c>
      <c r="Q53" s="40">
        <v>10416.480971241601</v>
      </c>
      <c r="R53" s="40">
        <v>24027</v>
      </c>
      <c r="S53" s="40">
        <v>66441.75</v>
      </c>
      <c r="T53" s="40"/>
      <c r="U53" s="40">
        <v>334596.049629207</v>
      </c>
      <c r="V53" s="40">
        <v>0</v>
      </c>
      <c r="W53" s="45">
        <v>594694.33694408601</v>
      </c>
      <c r="X53" s="46">
        <v>25.6001669248407</v>
      </c>
    </row>
    <row r="54" spans="1:24" s="4" customFormat="1" ht="15" customHeight="1">
      <c r="A54" s="28" t="s">
        <v>1603</v>
      </c>
      <c r="B54" s="29">
        <v>3149.63</v>
      </c>
      <c r="C54" s="30" t="s">
        <v>2041</v>
      </c>
      <c r="D54" s="2">
        <v>4949250042</v>
      </c>
      <c r="E54" s="2" t="s">
        <v>27</v>
      </c>
      <c r="F54" s="2" t="s">
        <v>2042</v>
      </c>
      <c r="G54" s="28" t="s">
        <v>9</v>
      </c>
      <c r="H54" s="2" t="s">
        <v>23</v>
      </c>
      <c r="I54" s="2">
        <v>4</v>
      </c>
      <c r="J54" s="2"/>
      <c r="K54" s="2">
        <v>3196.05</v>
      </c>
      <c r="L54" s="35">
        <v>10066374.9615</v>
      </c>
      <c r="M54" s="36">
        <v>2359</v>
      </c>
      <c r="N54" s="40">
        <v>633779.25</v>
      </c>
      <c r="O54" s="40">
        <v>1417.7561563630099</v>
      </c>
      <c r="P54" s="40">
        <v>54725.9375</v>
      </c>
      <c r="Q54" s="40">
        <v>45128.519028758397</v>
      </c>
      <c r="R54" s="40">
        <v>104117</v>
      </c>
      <c r="S54" s="40">
        <v>287914.25</v>
      </c>
      <c r="T54" s="40"/>
      <c r="U54" s="40">
        <v>1449916.2150599</v>
      </c>
      <c r="V54" s="40">
        <v>0</v>
      </c>
      <c r="W54" s="45">
        <v>2576998.92774502</v>
      </c>
      <c r="X54" s="46">
        <v>25.600068918563501</v>
      </c>
    </row>
    <row r="55" spans="1:24" s="4" customFormat="1" ht="15" customHeight="1">
      <c r="A55" s="28" t="s">
        <v>1603</v>
      </c>
      <c r="B55" s="29">
        <v>3149.63</v>
      </c>
      <c r="C55" s="30" t="s">
        <v>2056</v>
      </c>
      <c r="D55" s="2">
        <v>4949685750</v>
      </c>
      <c r="E55" s="2" t="s">
        <v>27</v>
      </c>
      <c r="F55" s="78" t="s">
        <v>2057</v>
      </c>
      <c r="G55" s="28" t="s">
        <v>13</v>
      </c>
      <c r="H55" s="2" t="s">
        <v>23</v>
      </c>
      <c r="I55" s="2">
        <v>1</v>
      </c>
      <c r="J55" s="2"/>
      <c r="K55" s="2">
        <v>1337.078</v>
      </c>
      <c r="L55" s="35">
        <v>4211300.9811399998</v>
      </c>
      <c r="M55" s="36">
        <v>200</v>
      </c>
      <c r="N55" s="40">
        <v>798083</v>
      </c>
      <c r="O55" s="40">
        <v>0</v>
      </c>
      <c r="P55" s="40">
        <v>0</v>
      </c>
      <c r="Q55" s="40">
        <v>0</v>
      </c>
      <c r="R55" s="40">
        <v>7712</v>
      </c>
      <c r="S55" s="40">
        <v>354356</v>
      </c>
      <c r="T55" s="40"/>
      <c r="U55" s="40">
        <v>246380</v>
      </c>
      <c r="V55" s="40">
        <v>0</v>
      </c>
      <c r="W55" s="45">
        <v>1406531</v>
      </c>
      <c r="X55" s="46">
        <v>33.3989664072705</v>
      </c>
    </row>
    <row r="57" spans="1:24" ht="15" customHeight="1">
      <c r="A57" s="31" t="s">
        <v>1603</v>
      </c>
      <c r="B57" s="31"/>
      <c r="C57" s="31"/>
      <c r="D57" s="31"/>
      <c r="E57" s="31"/>
      <c r="F57" s="32">
        <v>8</v>
      </c>
      <c r="G57" s="31"/>
      <c r="H57" s="31"/>
      <c r="I57" s="38"/>
      <c r="J57" s="31"/>
      <c r="K57" s="39">
        <f>+SUM(K44:K55)</f>
        <v>136709.524</v>
      </c>
      <c r="L57" s="39">
        <f>+SUM(L44:L55)</f>
        <v>430584418.07612008</v>
      </c>
      <c r="M57" s="31"/>
      <c r="N57" s="39"/>
      <c r="O57" s="39"/>
      <c r="P57" s="39"/>
      <c r="Q57" s="39"/>
      <c r="R57" s="39"/>
      <c r="S57" s="39"/>
      <c r="T57" s="39"/>
      <c r="U57" s="39"/>
      <c r="V57" s="31"/>
      <c r="W57" s="39">
        <f>+SUM(W44:W55)</f>
        <v>28586887.000000015</v>
      </c>
      <c r="X57" s="47">
        <f>(W57/L57)*100</f>
        <v>6.6390899902342344</v>
      </c>
    </row>
    <row r="59" spans="1:24" s="4" customFormat="1" ht="15" customHeight="1">
      <c r="A59" s="28" t="s">
        <v>2168</v>
      </c>
      <c r="B59" s="29">
        <v>3271.01</v>
      </c>
      <c r="C59" s="30" t="s">
        <v>2181</v>
      </c>
      <c r="D59" s="2">
        <v>4950058946</v>
      </c>
      <c r="E59" s="2" t="s">
        <v>27</v>
      </c>
      <c r="F59" s="2" t="s">
        <v>2182</v>
      </c>
      <c r="G59" s="28" t="s">
        <v>5</v>
      </c>
      <c r="H59" s="2" t="s">
        <v>17</v>
      </c>
      <c r="I59" s="2">
        <v>1</v>
      </c>
      <c r="J59" s="2" t="s">
        <v>2183</v>
      </c>
      <c r="K59" s="2">
        <v>75825.679999999993</v>
      </c>
      <c r="L59" s="35">
        <v>248026557.5368</v>
      </c>
      <c r="M59" s="36">
        <v>17311.447</v>
      </c>
      <c r="N59" s="40">
        <v>325834.17671627901</v>
      </c>
      <c r="O59" s="40">
        <v>538677.33247568097</v>
      </c>
      <c r="P59" s="40">
        <v>0</v>
      </c>
      <c r="Q59" s="40">
        <v>124135.924388663</v>
      </c>
      <c r="R59" s="40">
        <v>827780</v>
      </c>
      <c r="S59" s="40">
        <v>354352.92960736097</v>
      </c>
      <c r="T59" s="40"/>
      <c r="U59" s="40">
        <v>5640501.1262594704</v>
      </c>
      <c r="V59" s="40">
        <v>0</v>
      </c>
      <c r="W59" s="45">
        <v>7811281.4894474503</v>
      </c>
      <c r="X59" s="46">
        <v>3.1493730215920501</v>
      </c>
    </row>
    <row r="60" spans="1:24" s="4" customFormat="1" ht="15" customHeight="1">
      <c r="A60" s="28" t="s">
        <v>2168</v>
      </c>
      <c r="B60" s="29">
        <v>3271.01</v>
      </c>
      <c r="C60" s="30" t="s">
        <v>2181</v>
      </c>
      <c r="D60" s="2">
        <v>4949339716</v>
      </c>
      <c r="E60" s="2" t="s">
        <v>27</v>
      </c>
      <c r="F60" s="2" t="s">
        <v>2182</v>
      </c>
      <c r="G60" s="28" t="s">
        <v>5</v>
      </c>
      <c r="H60" s="2" t="s">
        <v>17</v>
      </c>
      <c r="I60" s="2">
        <v>1</v>
      </c>
      <c r="J60" s="2" t="s">
        <v>2183</v>
      </c>
      <c r="K60" s="2">
        <v>254.1</v>
      </c>
      <c r="L60" s="35">
        <v>831163.64099999995</v>
      </c>
      <c r="M60" s="36">
        <v>0.15</v>
      </c>
      <c r="N60" s="40">
        <v>2.8232837213112099</v>
      </c>
      <c r="O60" s="40">
        <v>4.6675243191023901</v>
      </c>
      <c r="P60" s="40">
        <v>0</v>
      </c>
      <c r="Q60" s="40">
        <v>1.0756113373018099</v>
      </c>
      <c r="R60" s="40">
        <v>7</v>
      </c>
      <c r="S60" s="40">
        <v>3.0703926391077601</v>
      </c>
      <c r="T60" s="40"/>
      <c r="U60" s="40">
        <v>48.873740533585703</v>
      </c>
      <c r="V60" s="40">
        <v>0</v>
      </c>
      <c r="W60" s="45">
        <v>67.510552550408903</v>
      </c>
      <c r="X60" s="46">
        <v>8.1224140735011892E-3</v>
      </c>
    </row>
    <row r="61" spans="1:24" s="4" customFormat="1" ht="15" customHeight="1">
      <c r="A61" s="28" t="s">
        <v>2168</v>
      </c>
      <c r="B61" s="29">
        <v>3271.01</v>
      </c>
      <c r="C61" s="30" t="s">
        <v>2190</v>
      </c>
      <c r="D61" s="2">
        <v>4950058946</v>
      </c>
      <c r="E61" s="2" t="s">
        <v>27</v>
      </c>
      <c r="F61" s="2" t="s">
        <v>2191</v>
      </c>
      <c r="G61" s="28" t="s">
        <v>5</v>
      </c>
      <c r="H61" s="2" t="s">
        <v>17</v>
      </c>
      <c r="I61" s="2">
        <v>1</v>
      </c>
      <c r="J61" s="2" t="s">
        <v>2192</v>
      </c>
      <c r="K61" s="2">
        <v>56778.67</v>
      </c>
      <c r="L61" s="35">
        <v>185723597.3567</v>
      </c>
      <c r="M61" s="36">
        <v>17326</v>
      </c>
      <c r="N61" s="40">
        <v>330273</v>
      </c>
      <c r="O61" s="40">
        <v>538682</v>
      </c>
      <c r="P61" s="40">
        <v>192659</v>
      </c>
      <c r="Q61" s="40">
        <v>124137</v>
      </c>
      <c r="R61" s="40">
        <v>827655</v>
      </c>
      <c r="S61" s="40">
        <v>354356</v>
      </c>
      <c r="T61" s="40"/>
      <c r="U61" s="40">
        <v>5042050</v>
      </c>
      <c r="V61" s="40">
        <v>0</v>
      </c>
      <c r="W61" s="45">
        <v>7409812</v>
      </c>
      <c r="X61" s="46">
        <v>3.9896987272805999</v>
      </c>
    </row>
    <row r="62" spans="1:24" s="4" customFormat="1" ht="15" customHeight="1">
      <c r="A62" s="28" t="s">
        <v>2168</v>
      </c>
      <c r="B62" s="29">
        <v>3271.01</v>
      </c>
      <c r="C62" s="30" t="s">
        <v>2289</v>
      </c>
      <c r="D62" s="2">
        <v>4950216343</v>
      </c>
      <c r="E62" s="2" t="s">
        <v>27</v>
      </c>
      <c r="F62" s="78" t="s">
        <v>2290</v>
      </c>
      <c r="G62" s="28" t="s">
        <v>13</v>
      </c>
      <c r="H62" s="2" t="s">
        <v>23</v>
      </c>
      <c r="I62" s="2">
        <v>4</v>
      </c>
      <c r="J62" s="2"/>
      <c r="K62" s="2">
        <v>310.33</v>
      </c>
      <c r="L62" s="35">
        <v>1015092.5333</v>
      </c>
      <c r="M62" s="36">
        <v>25.6</v>
      </c>
      <c r="N62" s="40">
        <v>1034023.19</v>
      </c>
      <c r="O62" s="40">
        <v>0</v>
      </c>
      <c r="P62" s="40">
        <v>0</v>
      </c>
      <c r="Q62" s="40">
        <v>0</v>
      </c>
      <c r="R62" s="40">
        <v>4136</v>
      </c>
      <c r="S62" s="40">
        <v>354356</v>
      </c>
      <c r="T62" s="40"/>
      <c r="U62" s="40">
        <v>246380</v>
      </c>
      <c r="V62" s="40">
        <v>0</v>
      </c>
      <c r="W62" s="45">
        <v>1638895.19</v>
      </c>
      <c r="X62" s="46">
        <v>161.45278742934499</v>
      </c>
    </row>
    <row r="63" spans="1:24" s="4" customFormat="1" ht="15" customHeight="1">
      <c r="A63" s="28" t="s">
        <v>2168</v>
      </c>
      <c r="B63" s="29">
        <v>3271.01</v>
      </c>
      <c r="C63" s="30" t="s">
        <v>2334</v>
      </c>
      <c r="D63" s="2">
        <v>4950212582</v>
      </c>
      <c r="E63" s="2" t="s">
        <v>27</v>
      </c>
      <c r="F63" s="2" t="s">
        <v>2335</v>
      </c>
      <c r="G63" s="28" t="s">
        <v>5</v>
      </c>
      <c r="H63" s="2" t="s">
        <v>17</v>
      </c>
      <c r="I63" s="2">
        <v>1</v>
      </c>
      <c r="J63" s="2" t="s">
        <v>2336</v>
      </c>
      <c r="K63" s="2">
        <v>3116.32</v>
      </c>
      <c r="L63" s="35">
        <v>10193513.883199999</v>
      </c>
      <c r="M63" s="36">
        <v>2485.1999999999998</v>
      </c>
      <c r="N63" s="40">
        <v>158368.186650583</v>
      </c>
      <c r="O63" s="40">
        <v>264342.28621852602</v>
      </c>
      <c r="P63" s="40">
        <v>0</v>
      </c>
      <c r="Q63" s="40">
        <v>60334.926930469497</v>
      </c>
      <c r="R63" s="40">
        <v>393584</v>
      </c>
      <c r="S63" s="40">
        <v>172229.418846705</v>
      </c>
      <c r="T63" s="48"/>
      <c r="U63" s="40">
        <v>1409647.3136650701</v>
      </c>
      <c r="V63" s="40">
        <v>0</v>
      </c>
      <c r="W63" s="45">
        <v>2458506.1323113502</v>
      </c>
      <c r="X63" s="46">
        <v>24.118337998864501</v>
      </c>
    </row>
    <row r="64" spans="1:24" s="4" customFormat="1" ht="15" customHeight="1">
      <c r="A64" s="28" t="s">
        <v>2168</v>
      </c>
      <c r="B64" s="29">
        <v>3271.01</v>
      </c>
      <c r="C64" s="30" t="s">
        <v>2334</v>
      </c>
      <c r="D64" s="2">
        <v>4949422382</v>
      </c>
      <c r="E64" s="2" t="s">
        <v>27</v>
      </c>
      <c r="F64" s="2" t="s">
        <v>2335</v>
      </c>
      <c r="G64" s="28" t="s">
        <v>5</v>
      </c>
      <c r="H64" s="2" t="s">
        <v>17</v>
      </c>
      <c r="I64" s="2">
        <v>1</v>
      </c>
      <c r="J64" s="2" t="s">
        <v>2336</v>
      </c>
      <c r="K64" s="2">
        <v>4248.3999999999996</v>
      </c>
      <c r="L64" s="35">
        <v>13896558.884</v>
      </c>
      <c r="M64" s="36">
        <v>992.08799999999997</v>
      </c>
      <c r="N64" s="40">
        <v>63220.335408741099</v>
      </c>
      <c r="O64" s="40">
        <v>105525.032210673</v>
      </c>
      <c r="P64" s="40">
        <v>0</v>
      </c>
      <c r="Q64" s="40">
        <v>24085.6096042957</v>
      </c>
      <c r="R64" s="40">
        <v>157118</v>
      </c>
      <c r="S64" s="40">
        <v>68753.717883788093</v>
      </c>
      <c r="T64" s="48"/>
      <c r="U64" s="40">
        <v>562729.02950239496</v>
      </c>
      <c r="V64" s="40">
        <v>0</v>
      </c>
      <c r="W64" s="45">
        <v>981431.72460989305</v>
      </c>
      <c r="X64" s="46">
        <v>7.0624082753312303</v>
      </c>
    </row>
    <row r="65" spans="1:24" s="4" customFormat="1" ht="15" customHeight="1">
      <c r="A65" s="28" t="s">
        <v>2168</v>
      </c>
      <c r="B65" s="29">
        <v>3271.01</v>
      </c>
      <c r="C65" s="30" t="s">
        <v>2334</v>
      </c>
      <c r="D65" s="2">
        <v>4950058946</v>
      </c>
      <c r="E65" s="2" t="s">
        <v>27</v>
      </c>
      <c r="F65" s="2" t="s">
        <v>2335</v>
      </c>
      <c r="G65" s="28" t="s">
        <v>5</v>
      </c>
      <c r="H65" s="2" t="s">
        <v>17</v>
      </c>
      <c r="I65" s="2">
        <v>1</v>
      </c>
      <c r="J65" s="2" t="s">
        <v>2336</v>
      </c>
      <c r="K65" s="2">
        <v>18771.72</v>
      </c>
      <c r="L65" s="35">
        <v>61402483.837200001</v>
      </c>
      <c r="M65" s="36">
        <v>1635.924</v>
      </c>
      <c r="N65" s="40">
        <v>104248.47794067601</v>
      </c>
      <c r="O65" s="40">
        <v>174007.68157080101</v>
      </c>
      <c r="P65" s="40">
        <v>0</v>
      </c>
      <c r="Q65" s="40">
        <v>39716.463465234803</v>
      </c>
      <c r="R65" s="40">
        <v>259084</v>
      </c>
      <c r="S65" s="40">
        <v>113372.863269507</v>
      </c>
      <c r="T65" s="48"/>
      <c r="U65" s="40">
        <v>927923.65683253505</v>
      </c>
      <c r="V65" s="40">
        <v>0</v>
      </c>
      <c r="W65" s="45">
        <v>1618353.14307875</v>
      </c>
      <c r="X65" s="46">
        <v>2.6356476838454701</v>
      </c>
    </row>
    <row r="66" spans="1:24" s="4" customFormat="1" ht="15" customHeight="1">
      <c r="A66" s="28" t="s">
        <v>2168</v>
      </c>
      <c r="B66" s="29">
        <v>3271.01</v>
      </c>
      <c r="C66" s="30" t="s">
        <v>2337</v>
      </c>
      <c r="D66" s="2">
        <v>4949284059</v>
      </c>
      <c r="E66" s="2" t="s">
        <v>27</v>
      </c>
      <c r="F66" s="2" t="s">
        <v>2338</v>
      </c>
      <c r="G66" s="28" t="s">
        <v>9</v>
      </c>
      <c r="H66" s="2" t="s">
        <v>23</v>
      </c>
      <c r="I66" s="2">
        <v>1</v>
      </c>
      <c r="J66" s="2"/>
      <c r="K66" s="2">
        <v>58.96</v>
      </c>
      <c r="L66" s="35">
        <v>192858.74960000001</v>
      </c>
      <c r="M66" s="36">
        <v>19.071000000000002</v>
      </c>
      <c r="N66" s="40">
        <v>320706.58140579402</v>
      </c>
      <c r="O66" s="40">
        <v>15.227487087356799</v>
      </c>
      <c r="P66" s="40">
        <v>1247.7022232203001</v>
      </c>
      <c r="Q66" s="40">
        <v>627.65798338198999</v>
      </c>
      <c r="R66" s="40">
        <v>41725.693914215102</v>
      </c>
      <c r="S66" s="40">
        <v>168623.481697732</v>
      </c>
      <c r="T66" s="48"/>
      <c r="U66" s="40">
        <v>650832.31529306096</v>
      </c>
      <c r="V66" s="40">
        <v>0</v>
      </c>
      <c r="W66" s="45">
        <v>1183778.6600044901</v>
      </c>
      <c r="X66" s="46">
        <v>613.80604326208504</v>
      </c>
    </row>
    <row r="67" spans="1:24" s="4" customFormat="1" ht="15" customHeight="1">
      <c r="A67" s="28" t="s">
        <v>2168</v>
      </c>
      <c r="B67" s="29">
        <v>3271.01</v>
      </c>
      <c r="C67" s="30" t="s">
        <v>2337</v>
      </c>
      <c r="D67" s="2">
        <v>4950034980</v>
      </c>
      <c r="E67" s="2" t="s">
        <v>27</v>
      </c>
      <c r="F67" s="2" t="s">
        <v>2338</v>
      </c>
      <c r="G67" s="28" t="s">
        <v>9</v>
      </c>
      <c r="H67" s="2" t="s">
        <v>23</v>
      </c>
      <c r="I67" s="2">
        <v>1</v>
      </c>
      <c r="J67" s="2"/>
      <c r="K67" s="2">
        <v>18.45</v>
      </c>
      <c r="L67" s="35">
        <v>60350.1345</v>
      </c>
      <c r="M67" s="36">
        <v>21.006</v>
      </c>
      <c r="N67" s="40">
        <v>353246.41859420598</v>
      </c>
      <c r="O67" s="40">
        <v>16.772512912643201</v>
      </c>
      <c r="P67" s="40">
        <v>1374.2977767796999</v>
      </c>
      <c r="Q67" s="40">
        <v>691.34201661801001</v>
      </c>
      <c r="R67" s="40">
        <v>45959.306085784898</v>
      </c>
      <c r="S67" s="40">
        <v>185732.518302268</v>
      </c>
      <c r="T67" s="48"/>
      <c r="U67" s="40">
        <v>716867.68470693904</v>
      </c>
      <c r="V67" s="40">
        <v>0</v>
      </c>
      <c r="W67" s="45">
        <v>1303888.3399955099</v>
      </c>
      <c r="X67" s="46">
        <v>2160.53924452398</v>
      </c>
    </row>
    <row r="68" spans="1:24" s="4" customFormat="1" ht="15" customHeight="1">
      <c r="A68" s="28" t="s">
        <v>2168</v>
      </c>
      <c r="B68" s="29">
        <v>3271.01</v>
      </c>
      <c r="C68" s="30" t="s">
        <v>2508</v>
      </c>
      <c r="D68" s="2">
        <v>4948957661</v>
      </c>
      <c r="E68" s="2" t="s">
        <v>27</v>
      </c>
      <c r="F68" s="2" t="s">
        <v>2509</v>
      </c>
      <c r="G68" s="28" t="s">
        <v>5</v>
      </c>
      <c r="H68" s="2" t="s">
        <v>17</v>
      </c>
      <c r="I68" s="2">
        <v>1</v>
      </c>
      <c r="J68" s="2" t="s">
        <v>2510</v>
      </c>
      <c r="K68" s="2">
        <v>15256.38</v>
      </c>
      <c r="L68" s="35">
        <v>49903771.543799996</v>
      </c>
      <c r="M68" s="36">
        <v>6547.8</v>
      </c>
      <c r="N68" s="40">
        <v>485206</v>
      </c>
      <c r="O68" s="40">
        <v>543322</v>
      </c>
      <c r="P68" s="40">
        <v>0</v>
      </c>
      <c r="Q68" s="40">
        <v>124137</v>
      </c>
      <c r="R68" s="40">
        <v>875625</v>
      </c>
      <c r="S68" s="40">
        <v>354356</v>
      </c>
      <c r="T68" s="48"/>
      <c r="U68" s="40">
        <v>4719050</v>
      </c>
      <c r="V68" s="40">
        <v>0</v>
      </c>
      <c r="W68" s="45">
        <v>7101696</v>
      </c>
      <c r="X68" s="46">
        <v>14.230780120029401</v>
      </c>
    </row>
    <row r="69" spans="1:24" s="4" customFormat="1" ht="15" customHeight="1">
      <c r="A69" s="28" t="s">
        <v>2168</v>
      </c>
      <c r="B69" s="29">
        <v>3271.01</v>
      </c>
      <c r="C69" s="30" t="s">
        <v>2523</v>
      </c>
      <c r="D69" s="2">
        <v>4949251360</v>
      </c>
      <c r="E69" s="2" t="s">
        <v>27</v>
      </c>
      <c r="F69" s="2" t="s">
        <v>2524</v>
      </c>
      <c r="G69" s="28" t="s">
        <v>5</v>
      </c>
      <c r="H69" s="2" t="s">
        <v>20</v>
      </c>
      <c r="I69" s="2">
        <v>1</v>
      </c>
      <c r="J69" s="2" t="s">
        <v>2525</v>
      </c>
      <c r="K69" s="2">
        <v>14280</v>
      </c>
      <c r="L69" s="35">
        <v>46710022.799999997</v>
      </c>
      <c r="M69" s="36">
        <v>6000</v>
      </c>
      <c r="N69" s="40">
        <v>485206</v>
      </c>
      <c r="O69" s="40">
        <v>413751</v>
      </c>
      <c r="P69" s="40">
        <v>0</v>
      </c>
      <c r="Q69" s="40">
        <v>124137</v>
      </c>
      <c r="R69" s="40">
        <v>545403</v>
      </c>
      <c r="S69" s="40">
        <v>354356</v>
      </c>
      <c r="T69" s="48"/>
      <c r="U69" s="40">
        <v>2900300</v>
      </c>
      <c r="V69" s="40">
        <v>0</v>
      </c>
      <c r="W69" s="45">
        <v>4823153</v>
      </c>
      <c r="X69" s="46">
        <v>10.3257346301274</v>
      </c>
    </row>
    <row r="70" spans="1:24" s="4" customFormat="1" ht="15" customHeight="1">
      <c r="A70" s="28" t="s">
        <v>2168</v>
      </c>
      <c r="B70" s="29">
        <v>3271.01</v>
      </c>
      <c r="C70" s="30" t="s">
        <v>2656</v>
      </c>
      <c r="D70" s="2">
        <v>4950664903</v>
      </c>
      <c r="E70" s="2" t="s">
        <v>27</v>
      </c>
      <c r="F70" s="2" t="s">
        <v>2657</v>
      </c>
      <c r="G70" s="28" t="s">
        <v>13</v>
      </c>
      <c r="H70" s="2" t="s">
        <v>23</v>
      </c>
      <c r="I70" s="2">
        <v>9</v>
      </c>
      <c r="J70" s="2"/>
      <c r="K70" s="2">
        <v>718.28</v>
      </c>
      <c r="L70" s="35">
        <v>2349501.0628</v>
      </c>
      <c r="M70" s="36">
        <v>47.317999999999998</v>
      </c>
      <c r="N70" s="40">
        <v>1117152.96</v>
      </c>
      <c r="O70" s="40">
        <v>0</v>
      </c>
      <c r="P70" s="40">
        <v>0</v>
      </c>
      <c r="Q70" s="40">
        <v>0</v>
      </c>
      <c r="R70" s="40">
        <v>4469</v>
      </c>
      <c r="S70" s="40">
        <v>354356</v>
      </c>
      <c r="T70" s="40"/>
      <c r="U70" s="40">
        <v>246380</v>
      </c>
      <c r="V70" s="40">
        <v>0</v>
      </c>
      <c r="W70" s="45">
        <v>1722357.96</v>
      </c>
      <c r="X70" s="46">
        <v>73.307392248948105</v>
      </c>
    </row>
    <row r="71" spans="1:24" s="4" customFormat="1" ht="15" customHeight="1">
      <c r="A71" s="28" t="s">
        <v>2168</v>
      </c>
      <c r="B71" s="29">
        <v>3271.01</v>
      </c>
      <c r="C71" s="30" t="s">
        <v>2674</v>
      </c>
      <c r="D71" s="2">
        <v>4949422382</v>
      </c>
      <c r="E71" s="2" t="s">
        <v>27</v>
      </c>
      <c r="F71" s="2" t="s">
        <v>2675</v>
      </c>
      <c r="G71" s="28" t="s">
        <v>5</v>
      </c>
      <c r="H71" s="2" t="s">
        <v>20</v>
      </c>
      <c r="I71" s="2">
        <v>1</v>
      </c>
      <c r="J71" s="2" t="s">
        <v>2676</v>
      </c>
      <c r="K71" s="2">
        <v>561.19000000000005</v>
      </c>
      <c r="L71" s="35">
        <v>1835658.1018999999</v>
      </c>
      <c r="M71" s="36">
        <v>39.942</v>
      </c>
      <c r="N71" s="40">
        <v>1220.16738921408</v>
      </c>
      <c r="O71" s="40">
        <v>1321.41129957322</v>
      </c>
      <c r="P71" s="40">
        <v>0</v>
      </c>
      <c r="Q71" s="40">
        <v>387.22356657276401</v>
      </c>
      <c r="R71" s="40">
        <v>2868.9902104665398</v>
      </c>
      <c r="S71" s="40">
        <v>1105.35129861732</v>
      </c>
      <c r="T71" s="48"/>
      <c r="U71" s="40">
        <v>16989.556026945102</v>
      </c>
      <c r="V71" s="40">
        <v>0</v>
      </c>
      <c r="W71" s="45">
        <v>23892.699791389001</v>
      </c>
      <c r="X71" s="46">
        <v>1.3015876849103201</v>
      </c>
    </row>
    <row r="72" spans="1:24" s="4" customFormat="1" ht="15" customHeight="1">
      <c r="A72" s="28" t="s">
        <v>2168</v>
      </c>
      <c r="B72" s="29">
        <v>3271.01</v>
      </c>
      <c r="C72" s="30" t="s">
        <v>2674</v>
      </c>
      <c r="D72" s="2">
        <v>4950058946</v>
      </c>
      <c r="E72" s="2" t="s">
        <v>27</v>
      </c>
      <c r="F72" s="2" t="s">
        <v>2675</v>
      </c>
      <c r="G72" s="28" t="s">
        <v>5</v>
      </c>
      <c r="H72" s="2" t="s">
        <v>20</v>
      </c>
      <c r="I72" s="2">
        <v>1</v>
      </c>
      <c r="J72" s="2" t="s">
        <v>2676</v>
      </c>
      <c r="K72" s="2">
        <v>2886.09</v>
      </c>
      <c r="L72" s="35">
        <v>9440429.2509000003</v>
      </c>
      <c r="M72" s="36">
        <v>205.416</v>
      </c>
      <c r="N72" s="40">
        <v>6275.1465731009903</v>
      </c>
      <c r="O72" s="40">
        <v>6795.8295406622701</v>
      </c>
      <c r="P72" s="40">
        <v>0</v>
      </c>
      <c r="Q72" s="40">
        <v>1991.43548523136</v>
      </c>
      <c r="R72" s="40">
        <v>14753.663939542201</v>
      </c>
      <c r="S72" s="40">
        <v>5684.6638214605</v>
      </c>
      <c r="T72" s="48"/>
      <c r="U72" s="40">
        <v>87374.859567146297</v>
      </c>
      <c r="V72" s="40">
        <v>0</v>
      </c>
      <c r="W72" s="45">
        <v>122875.598927144</v>
      </c>
      <c r="X72" s="46">
        <v>1.30158910851887</v>
      </c>
    </row>
    <row r="73" spans="1:24" s="4" customFormat="1" ht="15" customHeight="1">
      <c r="A73" s="28" t="s">
        <v>2168</v>
      </c>
      <c r="B73" s="29">
        <v>3271.01</v>
      </c>
      <c r="C73" s="30" t="s">
        <v>2674</v>
      </c>
      <c r="D73" s="2">
        <v>4950664545</v>
      </c>
      <c r="E73" s="2" t="s">
        <v>27</v>
      </c>
      <c r="F73" s="2" t="s">
        <v>2675</v>
      </c>
      <c r="G73" s="28" t="s">
        <v>5</v>
      </c>
      <c r="H73" s="2" t="s">
        <v>20</v>
      </c>
      <c r="I73" s="2">
        <v>1</v>
      </c>
      <c r="J73" s="2" t="s">
        <v>2676</v>
      </c>
      <c r="K73" s="2">
        <v>49056.44</v>
      </c>
      <c r="L73" s="35">
        <v>160464105.8044</v>
      </c>
      <c r="M73" s="36">
        <v>12559.338</v>
      </c>
      <c r="N73" s="40">
        <v>383668.68603768502</v>
      </c>
      <c r="O73" s="40">
        <v>415503.75915976497</v>
      </c>
      <c r="P73" s="40">
        <v>0</v>
      </c>
      <c r="Q73" s="40">
        <v>121758.340948196</v>
      </c>
      <c r="R73" s="40">
        <v>902081.34584999096</v>
      </c>
      <c r="S73" s="40">
        <v>347565.98487992201</v>
      </c>
      <c r="T73" s="48"/>
      <c r="U73" s="40">
        <v>5342185.5844059102</v>
      </c>
      <c r="V73" s="40">
        <v>0</v>
      </c>
      <c r="W73" s="45">
        <v>7512763.7012814702</v>
      </c>
      <c r="X73" s="46">
        <v>4.6818967167892698</v>
      </c>
    </row>
    <row r="75" spans="1:24" ht="15" customHeight="1">
      <c r="A75" s="31" t="s">
        <v>2168</v>
      </c>
      <c r="B75" s="31"/>
      <c r="C75" s="31"/>
      <c r="D75" s="31"/>
      <c r="E75" s="31"/>
      <c r="F75" s="32">
        <v>9</v>
      </c>
      <c r="G75" s="31"/>
      <c r="H75" s="31"/>
      <c r="I75" s="38"/>
      <c r="J75" s="31"/>
      <c r="K75" s="39">
        <f>+SUM(K59:K73)</f>
        <v>242141.01</v>
      </c>
      <c r="L75" s="39">
        <f>+SUM(L59:L73)</f>
        <v>792045665.12010002</v>
      </c>
      <c r="M75" s="31"/>
      <c r="N75" s="39"/>
      <c r="O75" s="39"/>
      <c r="P75" s="39"/>
      <c r="Q75" s="39"/>
      <c r="R75" s="39"/>
      <c r="S75" s="39"/>
      <c r="T75" s="39"/>
      <c r="U75" s="39"/>
      <c r="V75" s="31"/>
      <c r="W75" s="39">
        <f>+SUM(W59:W73)</f>
        <v>45712753.150000006</v>
      </c>
      <c r="X75" s="47">
        <f>(W75/L75)*100</f>
        <v>5.7714794945653107</v>
      </c>
    </row>
    <row r="77" spans="1:24" s="4" customFormat="1" ht="15" customHeight="1">
      <c r="A77" s="28" t="s">
        <v>2682</v>
      </c>
      <c r="B77" s="29">
        <v>3278.81</v>
      </c>
      <c r="C77" s="30" t="s">
        <v>2813</v>
      </c>
      <c r="D77" s="2">
        <v>4950372153</v>
      </c>
      <c r="E77" s="2" t="s">
        <v>27</v>
      </c>
      <c r="F77" s="2" t="s">
        <v>2814</v>
      </c>
      <c r="G77" s="28" t="s">
        <v>9</v>
      </c>
      <c r="H77" s="2" t="s">
        <v>23</v>
      </c>
      <c r="I77" s="2">
        <v>3</v>
      </c>
      <c r="J77" s="2"/>
      <c r="K77" s="2">
        <v>3235.56</v>
      </c>
      <c r="L77" s="35">
        <v>10608786.4836</v>
      </c>
      <c r="M77" s="36">
        <v>1570</v>
      </c>
      <c r="N77" s="40">
        <v>326855.76305732498</v>
      </c>
      <c r="O77" s="40">
        <v>1114</v>
      </c>
      <c r="P77" s="40">
        <v>10759.5859872611</v>
      </c>
      <c r="Q77" s="40">
        <v>32937</v>
      </c>
      <c r="R77" s="40">
        <v>59435.3121019108</v>
      </c>
      <c r="S77" s="40">
        <v>174695.250955414</v>
      </c>
      <c r="T77" s="40"/>
      <c r="U77" s="40">
        <v>674267.38853503205</v>
      </c>
      <c r="V77" s="40">
        <v>0</v>
      </c>
      <c r="W77" s="45">
        <v>1280064.3006369399</v>
      </c>
      <c r="X77" s="46">
        <v>12.0660765735627</v>
      </c>
    </row>
    <row r="78" spans="1:24" s="4" customFormat="1" ht="15" customHeight="1">
      <c r="A78" s="28" t="s">
        <v>2682</v>
      </c>
      <c r="B78" s="29">
        <v>3278.81</v>
      </c>
      <c r="C78" s="30" t="s">
        <v>2864</v>
      </c>
      <c r="D78" s="2">
        <v>4950720546</v>
      </c>
      <c r="E78" s="2" t="s">
        <v>27</v>
      </c>
      <c r="F78" s="2" t="s">
        <v>2865</v>
      </c>
      <c r="G78" s="28" t="s">
        <v>5</v>
      </c>
      <c r="H78" s="2" t="s">
        <v>20</v>
      </c>
      <c r="I78" s="2">
        <v>1</v>
      </c>
      <c r="J78" s="2" t="s">
        <v>2866</v>
      </c>
      <c r="K78" s="2">
        <v>7163.81</v>
      </c>
      <c r="L78" s="35">
        <v>23488771.866099998</v>
      </c>
      <c r="M78" s="36">
        <v>5276.7</v>
      </c>
      <c r="N78" s="40">
        <v>32998.1052631579</v>
      </c>
      <c r="O78" s="40">
        <v>410790</v>
      </c>
      <c r="P78" s="40">
        <v>0</v>
      </c>
      <c r="Q78" s="40">
        <v>124137</v>
      </c>
      <c r="R78" s="40">
        <v>74180.082706766902</v>
      </c>
      <c r="S78" s="40">
        <v>34636.300751879702</v>
      </c>
      <c r="T78" s="40"/>
      <c r="U78" s="40">
        <v>283487.96992481197</v>
      </c>
      <c r="V78" s="40">
        <v>0</v>
      </c>
      <c r="W78" s="45">
        <v>960229.45864661701</v>
      </c>
      <c r="X78" s="46">
        <v>4.0880360374756801</v>
      </c>
    </row>
    <row r="79" spans="1:24" s="4" customFormat="1" ht="15" customHeight="1">
      <c r="A79" s="28" t="s">
        <v>2682</v>
      </c>
      <c r="B79" s="29">
        <v>3278.81</v>
      </c>
      <c r="C79" s="30" t="s">
        <v>2920</v>
      </c>
      <c r="D79" s="2">
        <v>4948957707</v>
      </c>
      <c r="E79" s="2" t="s">
        <v>27</v>
      </c>
      <c r="F79" s="2" t="s">
        <v>2921</v>
      </c>
      <c r="G79" s="28" t="s">
        <v>5</v>
      </c>
      <c r="H79" s="2" t="s">
        <v>20</v>
      </c>
      <c r="I79" s="2">
        <v>1</v>
      </c>
      <c r="J79" s="2" t="s">
        <v>2922</v>
      </c>
      <c r="K79" s="2">
        <v>16636.2</v>
      </c>
      <c r="L79" s="35">
        <v>54546938.921999998</v>
      </c>
      <c r="M79" s="36">
        <v>7140</v>
      </c>
      <c r="N79" s="40">
        <v>390975</v>
      </c>
      <c r="O79" s="40">
        <v>402051</v>
      </c>
      <c r="P79" s="40">
        <v>0</v>
      </c>
      <c r="Q79" s="40">
        <v>124137</v>
      </c>
      <c r="R79" s="40">
        <v>744403</v>
      </c>
      <c r="S79" s="40">
        <v>354356</v>
      </c>
      <c r="T79" s="40"/>
      <c r="U79" s="40">
        <v>2900300</v>
      </c>
      <c r="V79" s="40">
        <v>0</v>
      </c>
      <c r="W79" s="45">
        <v>4916222</v>
      </c>
      <c r="X79" s="46">
        <v>9.0128283954302297</v>
      </c>
    </row>
    <row r="80" spans="1:24" s="4" customFormat="1" ht="15" customHeight="1">
      <c r="A80" s="28" t="s">
        <v>2682</v>
      </c>
      <c r="B80" s="29">
        <v>3278.81</v>
      </c>
      <c r="C80" s="30" t="s">
        <v>2998</v>
      </c>
      <c r="D80" s="2">
        <v>4951013383</v>
      </c>
      <c r="E80" s="2" t="s">
        <v>27</v>
      </c>
      <c r="F80" s="2" t="s">
        <v>2999</v>
      </c>
      <c r="G80" s="28" t="s">
        <v>9</v>
      </c>
      <c r="H80" s="2" t="s">
        <v>23</v>
      </c>
      <c r="I80" s="2">
        <v>4</v>
      </c>
      <c r="J80" s="2"/>
      <c r="K80" s="2">
        <v>14915.58</v>
      </c>
      <c r="L80" s="35">
        <v>48905352.859800003</v>
      </c>
      <c r="M80" s="36">
        <v>1484.2080000000001</v>
      </c>
      <c r="N80" s="40">
        <v>882374</v>
      </c>
      <c r="O80" s="40">
        <v>1208</v>
      </c>
      <c r="P80" s="40">
        <v>46224</v>
      </c>
      <c r="Q80" s="40">
        <v>36549</v>
      </c>
      <c r="R80" s="40">
        <v>140255</v>
      </c>
      <c r="S80" s="40">
        <v>354356</v>
      </c>
      <c r="T80" s="40"/>
      <c r="U80" s="40">
        <v>1367700</v>
      </c>
      <c r="V80" s="40">
        <v>0</v>
      </c>
      <c r="W80" s="45">
        <v>2828666</v>
      </c>
      <c r="X80" s="46">
        <v>5.7839599033445497</v>
      </c>
    </row>
    <row r="82" spans="1:24" ht="15" customHeight="1">
      <c r="A82" s="31" t="s">
        <v>2682</v>
      </c>
      <c r="B82" s="31"/>
      <c r="C82" s="31"/>
      <c r="D82" s="31"/>
      <c r="E82" s="31"/>
      <c r="F82" s="32">
        <v>4</v>
      </c>
      <c r="G82" s="31"/>
      <c r="H82" s="31"/>
      <c r="I82" s="38"/>
      <c r="J82" s="31"/>
      <c r="K82" s="39">
        <f>+SUM(K77:K80)</f>
        <v>41951.15</v>
      </c>
      <c r="L82" s="39">
        <f>+SUM(L77:L80)</f>
        <v>137549850.13150001</v>
      </c>
      <c r="M82" s="31"/>
      <c r="N82" s="39"/>
      <c r="O82" s="39"/>
      <c r="P82" s="39"/>
      <c r="Q82" s="39"/>
      <c r="R82" s="39"/>
      <c r="S82" s="39"/>
      <c r="T82" s="39"/>
      <c r="U82" s="39"/>
      <c r="V82" s="31"/>
      <c r="W82" s="39">
        <f>+SUM(W77:W80)</f>
        <v>9985181.7592835575</v>
      </c>
      <c r="X82" s="47">
        <f>(W82/L82)*100</f>
        <v>7.2593185305091597</v>
      </c>
    </row>
    <row r="84" spans="1:24" s="4" customFormat="1" ht="15" customHeight="1">
      <c r="A84" s="28" t="s">
        <v>3019</v>
      </c>
      <c r="B84" s="29">
        <v>3196.165</v>
      </c>
      <c r="C84" s="30" t="s">
        <v>3062</v>
      </c>
      <c r="D84" s="2">
        <v>4951729054</v>
      </c>
      <c r="E84" s="2" t="s">
        <v>27</v>
      </c>
      <c r="F84" s="2" t="s">
        <v>3063</v>
      </c>
      <c r="G84" s="28" t="s">
        <v>13</v>
      </c>
      <c r="H84" s="2" t="s">
        <v>23</v>
      </c>
      <c r="I84" s="2">
        <v>5</v>
      </c>
      <c r="J84" s="2"/>
      <c r="K84" s="2">
        <v>1056.8800000000001</v>
      </c>
      <c r="L84" s="35">
        <v>3377962.8651999999</v>
      </c>
      <c r="M84" s="36">
        <v>61.68</v>
      </c>
      <c r="N84" s="40">
        <v>1061019</v>
      </c>
      <c r="O84" s="40">
        <v>0</v>
      </c>
      <c r="P84" s="40">
        <v>0</v>
      </c>
      <c r="Q84" s="40">
        <v>0</v>
      </c>
      <c r="R84" s="40">
        <v>4244</v>
      </c>
      <c r="S84" s="40">
        <v>354356</v>
      </c>
      <c r="T84" s="40"/>
      <c r="U84" s="40">
        <v>246380</v>
      </c>
      <c r="V84" s="40">
        <v>0</v>
      </c>
      <c r="W84" s="45">
        <v>1665999</v>
      </c>
      <c r="X84" s="46">
        <v>49.319636315817199</v>
      </c>
    </row>
    <row r="85" spans="1:24" s="4" customFormat="1" ht="15" customHeight="1">
      <c r="A85" s="28" t="s">
        <v>3019</v>
      </c>
      <c r="B85" s="29">
        <v>3196.165</v>
      </c>
      <c r="C85" s="30" t="s">
        <v>3077</v>
      </c>
      <c r="D85" s="2">
        <v>4951977010</v>
      </c>
      <c r="E85" s="2" t="s">
        <v>27</v>
      </c>
      <c r="F85" s="2" t="s">
        <v>3078</v>
      </c>
      <c r="G85" s="28" t="s">
        <v>13</v>
      </c>
      <c r="H85" s="2" t="s">
        <v>23</v>
      </c>
      <c r="I85" s="2">
        <v>1</v>
      </c>
      <c r="J85" s="2"/>
      <c r="K85" s="2">
        <v>35.43</v>
      </c>
      <c r="L85" s="35">
        <v>113240.12595</v>
      </c>
      <c r="M85" s="36">
        <v>7.1890000000000001</v>
      </c>
      <c r="N85" s="40">
        <v>11132.87</v>
      </c>
      <c r="O85" s="40">
        <v>0</v>
      </c>
      <c r="P85" s="40">
        <v>0</v>
      </c>
      <c r="Q85" s="40">
        <v>0</v>
      </c>
      <c r="R85" s="40">
        <v>44.53</v>
      </c>
      <c r="S85" s="40">
        <v>354356</v>
      </c>
      <c r="T85" s="40"/>
      <c r="U85" s="40">
        <v>246380</v>
      </c>
      <c r="V85" s="40">
        <v>0</v>
      </c>
      <c r="W85" s="45">
        <v>611913.4</v>
      </c>
      <c r="X85" s="46">
        <v>540.36799665004298</v>
      </c>
    </row>
    <row r="86" spans="1:24" s="4" customFormat="1" ht="15" customHeight="1">
      <c r="A86" s="28" t="s">
        <v>3019</v>
      </c>
      <c r="B86" s="29">
        <v>3196.165</v>
      </c>
      <c r="C86" s="30" t="s">
        <v>3106</v>
      </c>
      <c r="D86" s="2">
        <v>4951409547</v>
      </c>
      <c r="E86" s="2" t="s">
        <v>27</v>
      </c>
      <c r="F86" s="2" t="s">
        <v>3107</v>
      </c>
      <c r="G86" s="28" t="s">
        <v>5</v>
      </c>
      <c r="H86" s="2" t="s">
        <v>20</v>
      </c>
      <c r="I86" s="2">
        <v>1</v>
      </c>
      <c r="J86" s="2" t="s">
        <v>3108</v>
      </c>
      <c r="K86" s="2">
        <v>7298.38</v>
      </c>
      <c r="L86" s="35">
        <v>23326826.712699998</v>
      </c>
      <c r="M86" s="36">
        <v>4044.0720000000001</v>
      </c>
      <c r="N86" s="40">
        <v>377809</v>
      </c>
      <c r="O86" s="40">
        <v>324522</v>
      </c>
      <c r="P86" s="40">
        <v>0</v>
      </c>
      <c r="Q86" s="40">
        <v>110000</v>
      </c>
      <c r="R86" s="40">
        <v>745407</v>
      </c>
      <c r="S86" s="40">
        <v>354356</v>
      </c>
      <c r="T86" s="40"/>
      <c r="U86" s="40">
        <v>2619000</v>
      </c>
      <c r="V86" s="40">
        <v>0</v>
      </c>
      <c r="W86" s="45">
        <v>4531094</v>
      </c>
      <c r="X86" s="46">
        <v>19.424390877534599</v>
      </c>
    </row>
    <row r="87" spans="1:24" s="4" customFormat="1" ht="15" customHeight="1">
      <c r="A87" s="28" t="s">
        <v>3019</v>
      </c>
      <c r="B87" s="29">
        <v>3196.165</v>
      </c>
      <c r="C87" s="30" t="s">
        <v>3316</v>
      </c>
      <c r="D87" s="2">
        <v>4951271206</v>
      </c>
      <c r="E87" s="2" t="s">
        <v>27</v>
      </c>
      <c r="F87" s="2" t="s">
        <v>3317</v>
      </c>
      <c r="G87" s="28" t="s">
        <v>9</v>
      </c>
      <c r="H87" s="2" t="s">
        <v>23</v>
      </c>
      <c r="I87" s="2">
        <v>4</v>
      </c>
      <c r="J87" s="2"/>
      <c r="K87" s="2">
        <v>20000</v>
      </c>
      <c r="L87" s="35">
        <v>63923300</v>
      </c>
      <c r="M87" s="36">
        <v>4000</v>
      </c>
      <c r="N87" s="40">
        <v>3038186</v>
      </c>
      <c r="O87" s="40">
        <v>0</v>
      </c>
      <c r="P87" s="40">
        <v>511606</v>
      </c>
      <c r="Q87" s="40">
        <v>88156</v>
      </c>
      <c r="R87" s="40">
        <v>142476</v>
      </c>
      <c r="S87" s="40">
        <v>354356</v>
      </c>
      <c r="T87" s="40"/>
      <c r="U87" s="40">
        <v>1920600</v>
      </c>
      <c r="V87" s="40">
        <v>0</v>
      </c>
      <c r="W87" s="45">
        <v>6055380</v>
      </c>
      <c r="X87" s="46">
        <v>9.4728839093100596</v>
      </c>
    </row>
    <row r="88" spans="1:24" s="4" customFormat="1" ht="15" customHeight="1">
      <c r="A88" s="28" t="s">
        <v>3019</v>
      </c>
      <c r="B88" s="29">
        <v>3196.165</v>
      </c>
      <c r="C88" s="30" t="s">
        <v>3334</v>
      </c>
      <c r="D88" s="2">
        <v>4950525878</v>
      </c>
      <c r="E88" s="2" t="s">
        <v>27</v>
      </c>
      <c r="F88" s="2" t="s">
        <v>3335</v>
      </c>
      <c r="G88" s="28" t="s">
        <v>5</v>
      </c>
      <c r="H88" s="2" t="s">
        <v>17</v>
      </c>
      <c r="I88" s="2">
        <v>1</v>
      </c>
      <c r="J88" s="2" t="s">
        <v>3336</v>
      </c>
      <c r="K88" s="2">
        <v>13804</v>
      </c>
      <c r="L88" s="35">
        <v>44119861.659999996</v>
      </c>
      <c r="M88" s="36">
        <v>7464.6</v>
      </c>
      <c r="N88" s="40">
        <v>372638.25787247397</v>
      </c>
      <c r="O88" s="48">
        <v>361445.952176227</v>
      </c>
      <c r="P88" s="40">
        <v>0</v>
      </c>
      <c r="Q88" s="48">
        <v>93389.4279981984</v>
      </c>
      <c r="R88" s="40">
        <v>675740.88641704503</v>
      </c>
      <c r="S88" s="40">
        <v>277577.941406862</v>
      </c>
      <c r="T88" s="48"/>
      <c r="U88" s="40">
        <v>3696576.8447438502</v>
      </c>
      <c r="V88" s="40">
        <v>0</v>
      </c>
      <c r="W88" s="45">
        <v>5477369.3106146604</v>
      </c>
      <c r="X88" s="46">
        <v>12.414747246545801</v>
      </c>
    </row>
    <row r="89" spans="1:24" s="4" customFormat="1" ht="15" customHeight="1">
      <c r="A89" s="28" t="s">
        <v>3019</v>
      </c>
      <c r="B89" s="29">
        <v>3196.165</v>
      </c>
      <c r="C89" s="30" t="s">
        <v>3334</v>
      </c>
      <c r="D89" s="2">
        <v>4951133489</v>
      </c>
      <c r="E89" s="2" t="s">
        <v>27</v>
      </c>
      <c r="F89" s="2" t="s">
        <v>3335</v>
      </c>
      <c r="G89" s="28" t="s">
        <v>5</v>
      </c>
      <c r="H89" s="2" t="s">
        <v>17</v>
      </c>
      <c r="I89" s="2">
        <v>1</v>
      </c>
      <c r="J89" s="2" t="s">
        <v>3336</v>
      </c>
      <c r="K89" s="2">
        <v>5342.4</v>
      </c>
      <c r="L89" s="35">
        <v>17075191.896000002</v>
      </c>
      <c r="M89" s="36">
        <v>1327.68</v>
      </c>
      <c r="N89" s="40">
        <v>103071.742127526</v>
      </c>
      <c r="O89" s="48">
        <v>64288.0478237727</v>
      </c>
      <c r="P89" s="40">
        <v>0</v>
      </c>
      <c r="Q89" s="48">
        <v>16610.5720018016</v>
      </c>
      <c r="R89" s="40">
        <v>186910.113582955</v>
      </c>
      <c r="S89" s="40">
        <v>76778.058593138005</v>
      </c>
      <c r="T89" s="48"/>
      <c r="U89" s="40">
        <v>1022473.1552561501</v>
      </c>
      <c r="V89" s="40">
        <v>0</v>
      </c>
      <c r="W89" s="45">
        <v>1470131.6893853401</v>
      </c>
      <c r="X89" s="46">
        <v>8.6097520797393408</v>
      </c>
    </row>
    <row r="90" spans="1:24" s="4" customFormat="1" ht="15" customHeight="1">
      <c r="A90" s="28" t="s">
        <v>3019</v>
      </c>
      <c r="B90" s="29">
        <v>3196.165</v>
      </c>
      <c r="C90" s="30" t="s">
        <v>3340</v>
      </c>
      <c r="D90" s="2">
        <v>4951086317</v>
      </c>
      <c r="E90" s="2" t="s">
        <v>27</v>
      </c>
      <c r="F90" s="2" t="s">
        <v>3341</v>
      </c>
      <c r="G90" s="28" t="s">
        <v>5</v>
      </c>
      <c r="H90" s="2" t="s">
        <v>17</v>
      </c>
      <c r="I90" s="2">
        <v>1</v>
      </c>
      <c r="J90" s="2" t="s">
        <v>3342</v>
      </c>
      <c r="K90" s="2">
        <v>75659.02</v>
      </c>
      <c r="L90" s="35">
        <v>241818711.65830001</v>
      </c>
      <c r="M90" s="36">
        <v>75659.02</v>
      </c>
      <c r="N90" s="40">
        <v>324606</v>
      </c>
      <c r="O90" s="40">
        <v>530577</v>
      </c>
      <c r="P90" s="40">
        <v>0</v>
      </c>
      <c r="Q90" s="40">
        <v>124137</v>
      </c>
      <c r="R90" s="40">
        <v>1316047</v>
      </c>
      <c r="S90" s="40">
        <v>354356</v>
      </c>
      <c r="T90" s="40"/>
      <c r="U90" s="40">
        <v>5446550</v>
      </c>
      <c r="V90" s="40">
        <v>0</v>
      </c>
      <c r="W90" s="45">
        <v>8096273</v>
      </c>
      <c r="X90" s="46">
        <v>3.3480754836872899</v>
      </c>
    </row>
    <row r="91" spans="1:24" s="4" customFormat="1" ht="15" customHeight="1">
      <c r="A91" s="28" t="s">
        <v>3019</v>
      </c>
      <c r="B91" s="29">
        <v>3196.165</v>
      </c>
      <c r="C91" s="30" t="s">
        <v>3385</v>
      </c>
      <c r="D91" s="2">
        <v>4951772230</v>
      </c>
      <c r="E91" s="2" t="s">
        <v>27</v>
      </c>
      <c r="F91" s="78" t="s">
        <v>3386</v>
      </c>
      <c r="G91" s="28" t="s">
        <v>13</v>
      </c>
      <c r="H91" s="2" t="s">
        <v>23</v>
      </c>
      <c r="I91" s="2">
        <v>1</v>
      </c>
      <c r="J91" s="2"/>
      <c r="K91" s="2">
        <v>736.96</v>
      </c>
      <c r="L91" s="35">
        <v>2355445.7584000002</v>
      </c>
      <c r="M91" s="36">
        <v>51.2</v>
      </c>
      <c r="N91" s="40">
        <v>1061834.6200000001</v>
      </c>
      <c r="O91" s="40">
        <v>0</v>
      </c>
      <c r="P91" s="40">
        <v>0</v>
      </c>
      <c r="Q91" s="40">
        <v>0</v>
      </c>
      <c r="R91" s="40">
        <v>4247</v>
      </c>
      <c r="S91" s="40">
        <v>354356</v>
      </c>
      <c r="T91" s="40"/>
      <c r="U91" s="40">
        <v>246380</v>
      </c>
      <c r="V91" s="40">
        <v>0</v>
      </c>
      <c r="W91" s="45">
        <v>1666817.62</v>
      </c>
      <c r="X91" s="46">
        <v>70.764423848682895</v>
      </c>
    </row>
    <row r="92" spans="1:24" s="4" customFormat="1" ht="15" customHeight="1">
      <c r="A92" s="28" t="s">
        <v>3019</v>
      </c>
      <c r="B92" s="29">
        <v>3196.165</v>
      </c>
      <c r="C92" s="30" t="s">
        <v>3444</v>
      </c>
      <c r="D92" s="2">
        <v>4951086317</v>
      </c>
      <c r="E92" s="2" t="s">
        <v>27</v>
      </c>
      <c r="F92" s="2" t="s">
        <v>3445</v>
      </c>
      <c r="G92" s="28" t="s">
        <v>5</v>
      </c>
      <c r="H92" s="2" t="s">
        <v>17</v>
      </c>
      <c r="I92" s="2">
        <v>1</v>
      </c>
      <c r="J92" s="2" t="s">
        <v>3446</v>
      </c>
      <c r="K92" s="2">
        <v>62798.87</v>
      </c>
      <c r="L92" s="35">
        <v>200715550.33355001</v>
      </c>
      <c r="M92" s="36">
        <v>16967.088</v>
      </c>
      <c r="N92" s="40">
        <v>324606</v>
      </c>
      <c r="O92" s="40">
        <v>425734</v>
      </c>
      <c r="P92" s="40">
        <v>818080</v>
      </c>
      <c r="Q92" s="40">
        <v>110000</v>
      </c>
      <c r="R92" s="40">
        <v>1316047</v>
      </c>
      <c r="S92" s="40">
        <v>354356</v>
      </c>
      <c r="T92" s="40"/>
      <c r="U92" s="40">
        <v>5640550</v>
      </c>
      <c r="V92" s="40">
        <v>0</v>
      </c>
      <c r="W92" s="45">
        <v>8989373</v>
      </c>
      <c r="X92" s="46">
        <v>4.47866295613938</v>
      </c>
    </row>
    <row r="93" spans="1:24" s="4" customFormat="1" ht="15" customHeight="1">
      <c r="A93" s="28" t="s">
        <v>3019</v>
      </c>
      <c r="B93" s="29">
        <v>3196.165</v>
      </c>
      <c r="C93" s="30" t="s">
        <v>3447</v>
      </c>
      <c r="D93" s="2">
        <v>4951772229</v>
      </c>
      <c r="E93" s="2" t="s">
        <v>27</v>
      </c>
      <c r="F93" s="2" t="s">
        <v>3448</v>
      </c>
      <c r="G93" s="28" t="s">
        <v>5</v>
      </c>
      <c r="H93" s="2" t="s">
        <v>17</v>
      </c>
      <c r="I93" s="2">
        <v>1</v>
      </c>
      <c r="J93" s="2" t="s">
        <v>3449</v>
      </c>
      <c r="K93" s="2">
        <v>94058.38</v>
      </c>
      <c r="L93" s="35">
        <v>300626102.11269999</v>
      </c>
      <c r="M93" s="36">
        <v>17129.659</v>
      </c>
      <c r="N93" s="40">
        <v>379149</v>
      </c>
      <c r="O93" s="40">
        <v>425734</v>
      </c>
      <c r="P93" s="40">
        <v>189389</v>
      </c>
      <c r="Q93" s="40">
        <v>110000</v>
      </c>
      <c r="R93" s="40">
        <v>917620</v>
      </c>
      <c r="S93" s="40">
        <v>354356</v>
      </c>
      <c r="T93" s="40"/>
      <c r="U93" s="40">
        <v>5640550</v>
      </c>
      <c r="V93" s="40">
        <v>0</v>
      </c>
      <c r="W93" s="45">
        <v>8016798</v>
      </c>
      <c r="X93" s="46">
        <v>2.6667005771157601</v>
      </c>
    </row>
    <row r="95" spans="1:24" ht="15" customHeight="1">
      <c r="A95" s="31" t="s">
        <v>3019</v>
      </c>
      <c r="B95" s="31"/>
      <c r="C95" s="31"/>
      <c r="D95" s="31"/>
      <c r="E95" s="31"/>
      <c r="F95" s="32">
        <v>9</v>
      </c>
      <c r="G95" s="31"/>
      <c r="H95" s="31"/>
      <c r="I95" s="38"/>
      <c r="J95" s="31"/>
      <c r="K95" s="39">
        <f>+SUM(K84:K93)</f>
        <v>280790.32000000007</v>
      </c>
      <c r="L95" s="39">
        <f>+SUM(L84:L93)</f>
        <v>897452193.12279999</v>
      </c>
      <c r="M95" s="31"/>
      <c r="N95" s="39"/>
      <c r="O95" s="39"/>
      <c r="P95" s="39"/>
      <c r="Q95" s="39"/>
      <c r="R95" s="39"/>
      <c r="S95" s="39"/>
      <c r="T95" s="39"/>
      <c r="U95" s="39"/>
      <c r="V95" s="31"/>
      <c r="W95" s="39">
        <f>+SUM(W84:W93)</f>
        <v>46581149.019999996</v>
      </c>
      <c r="X95" s="47">
        <f>(W95/L95)*100</f>
        <v>5.1903766436755721</v>
      </c>
    </row>
    <row r="97" spans="1:24" s="4" customFormat="1" ht="15" customHeight="1">
      <c r="A97" s="28" t="s">
        <v>3483</v>
      </c>
      <c r="B97" s="29">
        <v>3387.15</v>
      </c>
      <c r="C97" s="30" t="s">
        <v>3487</v>
      </c>
      <c r="D97" s="2">
        <v>4952533775</v>
      </c>
      <c r="E97" s="2" t="s">
        <v>27</v>
      </c>
      <c r="F97" s="2" t="s">
        <v>3488</v>
      </c>
      <c r="G97" s="28" t="s">
        <v>13</v>
      </c>
      <c r="H97" s="2" t="s">
        <v>23</v>
      </c>
      <c r="I97" s="2">
        <v>1</v>
      </c>
      <c r="J97" s="2"/>
      <c r="K97" s="2">
        <v>3834.15</v>
      </c>
      <c r="L97" s="35">
        <v>12986841.172499999</v>
      </c>
      <c r="M97" s="36">
        <v>3.6</v>
      </c>
      <c r="N97" s="40">
        <v>1093620.42</v>
      </c>
      <c r="O97" s="40">
        <v>0</v>
      </c>
      <c r="P97" s="40">
        <v>0</v>
      </c>
      <c r="Q97" s="40">
        <v>0</v>
      </c>
      <c r="R97" s="40">
        <v>4374</v>
      </c>
      <c r="S97" s="40">
        <v>354356</v>
      </c>
      <c r="T97" s="40"/>
      <c r="U97" s="40">
        <v>246380</v>
      </c>
      <c r="V97" s="40">
        <v>0</v>
      </c>
      <c r="W97" s="45">
        <v>1698730.42</v>
      </c>
      <c r="X97" s="46">
        <v>13.080397283960901</v>
      </c>
    </row>
    <row r="98" spans="1:24" s="4" customFormat="1" ht="15" customHeight="1">
      <c r="A98" s="28" t="s">
        <v>3483</v>
      </c>
      <c r="B98" s="29">
        <v>3387.15</v>
      </c>
      <c r="C98" s="30" t="s">
        <v>3499</v>
      </c>
      <c r="D98" s="2">
        <v>4952293066</v>
      </c>
      <c r="E98" s="2" t="s">
        <v>27</v>
      </c>
      <c r="F98" s="2" t="s">
        <v>3500</v>
      </c>
      <c r="G98" s="28" t="s">
        <v>13</v>
      </c>
      <c r="H98" s="2" t="s">
        <v>23</v>
      </c>
      <c r="I98" s="2">
        <v>5</v>
      </c>
      <c r="J98" s="2"/>
      <c r="K98" s="2">
        <v>7071</v>
      </c>
      <c r="L98" s="35">
        <v>23950537.649999999</v>
      </c>
      <c r="M98" s="36">
        <v>396.89</v>
      </c>
      <c r="N98" s="40">
        <v>492801</v>
      </c>
      <c r="O98" s="40">
        <v>0</v>
      </c>
      <c r="P98" s="40">
        <v>0</v>
      </c>
      <c r="Q98" s="40">
        <v>0</v>
      </c>
      <c r="R98" s="40">
        <v>4971</v>
      </c>
      <c r="S98" s="40">
        <v>354356</v>
      </c>
      <c r="T98" s="40"/>
      <c r="U98" s="40">
        <v>246380</v>
      </c>
      <c r="V98" s="40">
        <v>0</v>
      </c>
      <c r="W98" s="45">
        <v>1098508</v>
      </c>
      <c r="X98" s="46">
        <v>4.5865692706067502</v>
      </c>
    </row>
    <row r="99" spans="1:24" s="4" customFormat="1" ht="15" customHeight="1">
      <c r="A99" s="28" t="s">
        <v>3483</v>
      </c>
      <c r="B99" s="29">
        <v>3387.15</v>
      </c>
      <c r="C99" s="30" t="s">
        <v>3523</v>
      </c>
      <c r="D99" s="2">
        <v>4952509780</v>
      </c>
      <c r="E99" s="2" t="s">
        <v>27</v>
      </c>
      <c r="F99" s="2" t="s">
        <v>3524</v>
      </c>
      <c r="G99" s="28" t="s">
        <v>13</v>
      </c>
      <c r="H99" s="2" t="s">
        <v>23</v>
      </c>
      <c r="I99" s="2">
        <v>4</v>
      </c>
      <c r="J99" s="2"/>
      <c r="K99" s="2">
        <v>191.74</v>
      </c>
      <c r="L99" s="35">
        <v>649452.14099999995</v>
      </c>
      <c r="M99" s="36">
        <v>22.4</v>
      </c>
      <c r="N99" s="40">
        <v>1143005.71</v>
      </c>
      <c r="O99" s="40">
        <v>0</v>
      </c>
      <c r="P99" s="40">
        <v>0</v>
      </c>
      <c r="Q99" s="40">
        <v>0</v>
      </c>
      <c r="R99" s="40">
        <v>4572</v>
      </c>
      <c r="S99" s="40">
        <v>354356</v>
      </c>
      <c r="T99" s="40"/>
      <c r="U99" s="40">
        <v>246380</v>
      </c>
      <c r="V99" s="40">
        <v>0</v>
      </c>
      <c r="W99" s="45">
        <v>1748313.71</v>
      </c>
      <c r="X99" s="46">
        <v>269.198236425554</v>
      </c>
    </row>
    <row r="100" spans="1:24" s="4" customFormat="1" ht="15" customHeight="1">
      <c r="A100" s="28" t="s">
        <v>3483</v>
      </c>
      <c r="B100" s="29">
        <v>3387.15</v>
      </c>
      <c r="C100" s="30" t="s">
        <v>3530</v>
      </c>
      <c r="D100" s="2">
        <v>4949424055</v>
      </c>
      <c r="E100" s="2" t="s">
        <v>27</v>
      </c>
      <c r="F100" s="2" t="s">
        <v>3531</v>
      </c>
      <c r="G100" s="28" t="s">
        <v>5</v>
      </c>
      <c r="H100" s="2" t="s">
        <v>20</v>
      </c>
      <c r="I100" s="2">
        <v>1</v>
      </c>
      <c r="J100" s="2" t="s">
        <v>3532</v>
      </c>
      <c r="K100" s="2">
        <v>16942.830000000002</v>
      </c>
      <c r="L100" s="35">
        <v>57387906.634499997</v>
      </c>
      <c r="M100" s="36">
        <v>7271.6</v>
      </c>
      <c r="N100" s="40">
        <v>379007</v>
      </c>
      <c r="O100" s="40">
        <v>435616</v>
      </c>
      <c r="P100" s="40">
        <v>265144</v>
      </c>
      <c r="Q100" s="40">
        <v>124137</v>
      </c>
      <c r="R100" s="40">
        <v>732074</v>
      </c>
      <c r="S100" s="40">
        <v>354356</v>
      </c>
      <c r="T100" s="40"/>
      <c r="U100" s="40">
        <v>2900300</v>
      </c>
      <c r="V100" s="40">
        <v>0</v>
      </c>
      <c r="W100" s="45">
        <v>5190634</v>
      </c>
      <c r="X100" s="46">
        <v>9.0448219919552493</v>
      </c>
    </row>
    <row r="101" spans="1:24" s="4" customFormat="1" ht="15" customHeight="1">
      <c r="A101" s="28" t="s">
        <v>3483</v>
      </c>
      <c r="B101" s="29">
        <v>3387.15</v>
      </c>
      <c r="C101" s="30" t="s">
        <v>3550</v>
      </c>
      <c r="D101" s="2">
        <v>4951772229</v>
      </c>
      <c r="E101" s="2" t="s">
        <v>27</v>
      </c>
      <c r="F101" s="2" t="s">
        <v>3551</v>
      </c>
      <c r="G101" s="28" t="s">
        <v>5</v>
      </c>
      <c r="H101" s="2" t="s">
        <v>20</v>
      </c>
      <c r="I101" s="2">
        <v>1</v>
      </c>
      <c r="J101" s="2" t="s">
        <v>3552</v>
      </c>
      <c r="K101" s="2">
        <v>54045.33</v>
      </c>
      <c r="L101" s="35">
        <v>183059639.5095</v>
      </c>
      <c r="M101" s="36">
        <v>5365.3</v>
      </c>
      <c r="N101" s="40">
        <v>379149</v>
      </c>
      <c r="O101" s="40">
        <v>435616</v>
      </c>
      <c r="P101" s="40">
        <v>563424</v>
      </c>
      <c r="Q101" s="40">
        <v>124137</v>
      </c>
      <c r="R101" s="40">
        <v>799267</v>
      </c>
      <c r="S101" s="40">
        <v>354356</v>
      </c>
      <c r="T101" s="40"/>
      <c r="U101" s="40">
        <v>2900300</v>
      </c>
      <c r="V101" s="40">
        <v>0</v>
      </c>
      <c r="W101" s="45">
        <v>5556249</v>
      </c>
      <c r="X101" s="46">
        <v>3.0352124667609499</v>
      </c>
    </row>
    <row r="102" spans="1:24" s="4" customFormat="1" ht="15" customHeight="1">
      <c r="A102" s="28" t="s">
        <v>3483</v>
      </c>
      <c r="B102" s="29">
        <v>3387.15</v>
      </c>
      <c r="C102" s="30" t="s">
        <v>3669</v>
      </c>
      <c r="D102" s="2">
        <v>4951380920</v>
      </c>
      <c r="E102" s="2" t="s">
        <v>27</v>
      </c>
      <c r="F102" s="2" t="s">
        <v>3670</v>
      </c>
      <c r="G102" s="28" t="s">
        <v>5</v>
      </c>
      <c r="H102" s="2" t="s">
        <v>20</v>
      </c>
      <c r="I102" s="2">
        <v>1</v>
      </c>
      <c r="J102" s="2" t="s">
        <v>3671</v>
      </c>
      <c r="K102" s="2">
        <v>10489.61</v>
      </c>
      <c r="L102" s="35">
        <v>35529882.511500001</v>
      </c>
      <c r="M102" s="36">
        <v>4793</v>
      </c>
      <c r="N102" s="40">
        <v>384386</v>
      </c>
      <c r="O102" s="40">
        <v>435616</v>
      </c>
      <c r="P102" s="40">
        <v>133825</v>
      </c>
      <c r="Q102" s="40">
        <v>124137</v>
      </c>
      <c r="R102" s="40">
        <v>738369</v>
      </c>
      <c r="S102" s="40">
        <v>354356</v>
      </c>
      <c r="T102" s="40"/>
      <c r="U102" s="40">
        <v>2619000</v>
      </c>
      <c r="V102" s="40">
        <v>0</v>
      </c>
      <c r="W102" s="45">
        <v>4789689</v>
      </c>
      <c r="X102" s="46">
        <v>13.480734135413201</v>
      </c>
    </row>
    <row r="103" spans="1:24" s="4" customFormat="1" ht="15" customHeight="1">
      <c r="A103" s="28" t="s">
        <v>3483</v>
      </c>
      <c r="B103" s="29">
        <v>3387.15</v>
      </c>
      <c r="C103" s="30" t="s">
        <v>3674</v>
      </c>
      <c r="D103" s="2">
        <v>4952022664</v>
      </c>
      <c r="E103" s="2" t="s">
        <v>27</v>
      </c>
      <c r="F103" s="2" t="s">
        <v>3675</v>
      </c>
      <c r="G103" s="28" t="s">
        <v>9</v>
      </c>
      <c r="H103" s="2" t="s">
        <v>23</v>
      </c>
      <c r="I103" s="2">
        <v>3</v>
      </c>
      <c r="J103" s="2"/>
      <c r="K103" s="2">
        <v>1544.81</v>
      </c>
      <c r="L103" s="35">
        <v>5232503.1914999997</v>
      </c>
      <c r="M103" s="36">
        <v>1298.1600000000001</v>
      </c>
      <c r="N103" s="40">
        <v>1189163.50959547</v>
      </c>
      <c r="O103" s="40">
        <v>485</v>
      </c>
      <c r="P103" s="40">
        <v>0</v>
      </c>
      <c r="Q103" s="40">
        <v>15033.5</v>
      </c>
      <c r="R103" s="40">
        <v>123035.146762391</v>
      </c>
      <c r="S103" s="40">
        <v>352839.35827695701</v>
      </c>
      <c r="T103" s="40"/>
      <c r="U103" s="40">
        <v>1361846.25155322</v>
      </c>
      <c r="V103" s="40">
        <v>0</v>
      </c>
      <c r="W103" s="45">
        <v>3042402.7661880399</v>
      </c>
      <c r="X103" s="46">
        <v>58.144307893214602</v>
      </c>
    </row>
    <row r="104" spans="1:24" s="4" customFormat="1" ht="15" customHeight="1">
      <c r="A104" s="28" t="s">
        <v>3483</v>
      </c>
      <c r="B104" s="29">
        <v>3387.15</v>
      </c>
      <c r="C104" s="30" t="s">
        <v>3674</v>
      </c>
      <c r="D104" s="2">
        <v>4951772229</v>
      </c>
      <c r="E104" s="2" t="s">
        <v>27</v>
      </c>
      <c r="F104" s="2" t="s">
        <v>3675</v>
      </c>
      <c r="G104" s="28" t="s">
        <v>9</v>
      </c>
      <c r="H104" s="2" t="s">
        <v>23</v>
      </c>
      <c r="I104" s="2">
        <v>3</v>
      </c>
      <c r="J104" s="2"/>
      <c r="K104" s="2">
        <v>269.18</v>
      </c>
      <c r="L104" s="35">
        <v>911753.03700000001</v>
      </c>
      <c r="M104" s="36">
        <v>5.58</v>
      </c>
      <c r="N104" s="40">
        <v>5111.4904045285102</v>
      </c>
      <c r="O104" s="40">
        <v>485</v>
      </c>
      <c r="P104" s="40">
        <v>0</v>
      </c>
      <c r="Q104" s="40">
        <v>15033.5</v>
      </c>
      <c r="R104" s="40">
        <v>528.85323760872598</v>
      </c>
      <c r="S104" s="40">
        <v>1516.6417230429399</v>
      </c>
      <c r="T104" s="40"/>
      <c r="U104" s="40">
        <v>5853.7484467761997</v>
      </c>
      <c r="V104" s="40">
        <v>0</v>
      </c>
      <c r="W104" s="45">
        <v>28529.233811956401</v>
      </c>
      <c r="X104" s="46">
        <v>3.1290527866875002</v>
      </c>
    </row>
    <row r="105" spans="1:24" s="4" customFormat="1" ht="15" customHeight="1">
      <c r="A105" s="28" t="s">
        <v>3483</v>
      </c>
      <c r="B105" s="29">
        <v>3387.15</v>
      </c>
      <c r="C105" s="30" t="s">
        <v>3696</v>
      </c>
      <c r="D105" s="2">
        <v>4951438809</v>
      </c>
      <c r="E105" s="2" t="s">
        <v>27</v>
      </c>
      <c r="F105" s="2" t="s">
        <v>3697</v>
      </c>
      <c r="G105" s="28" t="s">
        <v>5</v>
      </c>
      <c r="H105" s="2" t="s">
        <v>17</v>
      </c>
      <c r="I105" s="2">
        <v>1</v>
      </c>
      <c r="J105" s="2" t="s">
        <v>3698</v>
      </c>
      <c r="K105" s="2">
        <v>65249.919999999998</v>
      </c>
      <c r="L105" s="35">
        <v>221011266.528</v>
      </c>
      <c r="M105" s="36">
        <v>38</v>
      </c>
      <c r="N105" s="40">
        <v>347013</v>
      </c>
      <c r="O105" s="40">
        <v>458999</v>
      </c>
      <c r="P105" s="40">
        <v>0</v>
      </c>
      <c r="Q105" s="40">
        <v>110000</v>
      </c>
      <c r="R105" s="40">
        <v>766298</v>
      </c>
      <c r="S105" s="40">
        <v>354356</v>
      </c>
      <c r="T105" s="40"/>
      <c r="U105" s="40">
        <v>4719050</v>
      </c>
      <c r="V105" s="40">
        <v>0</v>
      </c>
      <c r="W105" s="45">
        <v>6755716</v>
      </c>
      <c r="X105" s="46">
        <v>3.0567292365360501</v>
      </c>
    </row>
    <row r="106" spans="1:24" s="4" customFormat="1" ht="15" customHeight="1">
      <c r="A106" s="28" t="s">
        <v>3483</v>
      </c>
      <c r="B106" s="29">
        <v>3387.15</v>
      </c>
      <c r="C106" s="30" t="s">
        <v>3880</v>
      </c>
      <c r="D106" s="2">
        <v>4950664905</v>
      </c>
      <c r="E106" s="2" t="s">
        <v>27</v>
      </c>
      <c r="F106" s="2" t="s">
        <v>3881</v>
      </c>
      <c r="G106" s="28" t="s">
        <v>5</v>
      </c>
      <c r="H106" s="2" t="s">
        <v>20</v>
      </c>
      <c r="I106" s="2">
        <v>1</v>
      </c>
      <c r="J106" s="2" t="s">
        <v>3882</v>
      </c>
      <c r="K106" s="2">
        <v>13465.31</v>
      </c>
      <c r="L106" s="35">
        <v>45609024.766500004</v>
      </c>
      <c r="M106" s="36">
        <v>7162.4</v>
      </c>
      <c r="N106" s="40">
        <v>574572</v>
      </c>
      <c r="O106" s="40">
        <v>435616</v>
      </c>
      <c r="P106" s="40">
        <v>0</v>
      </c>
      <c r="Q106" s="40">
        <v>124137</v>
      </c>
      <c r="R106" s="40">
        <v>758511</v>
      </c>
      <c r="S106" s="40">
        <v>354356</v>
      </c>
      <c r="T106" s="40"/>
      <c r="U106" s="40">
        <v>2900300</v>
      </c>
      <c r="V106" s="40">
        <v>0</v>
      </c>
      <c r="W106" s="45">
        <v>5147492</v>
      </c>
      <c r="X106" s="46">
        <v>11.286125994478301</v>
      </c>
    </row>
    <row r="107" spans="1:24" s="4" customFormat="1" ht="15" customHeight="1">
      <c r="A107" s="28" t="s">
        <v>3483</v>
      </c>
      <c r="B107" s="29">
        <v>3387.15</v>
      </c>
      <c r="C107" s="30" t="s">
        <v>3883</v>
      </c>
      <c r="D107" s="2">
        <v>4952164748</v>
      </c>
      <c r="E107" s="2" t="s">
        <v>27</v>
      </c>
      <c r="F107" s="2" t="s">
        <v>3884</v>
      </c>
      <c r="G107" s="28" t="s">
        <v>5</v>
      </c>
      <c r="H107" s="2" t="s">
        <v>17</v>
      </c>
      <c r="I107" s="2">
        <v>1</v>
      </c>
      <c r="J107" s="2" t="s">
        <v>3885</v>
      </c>
      <c r="K107" s="2">
        <v>44193.88</v>
      </c>
      <c r="L107" s="35">
        <v>149691300.64199999</v>
      </c>
      <c r="M107" s="36">
        <v>7137.41</v>
      </c>
      <c r="N107" s="40">
        <v>581621</v>
      </c>
      <c r="O107" s="40">
        <v>458999</v>
      </c>
      <c r="P107" s="40">
        <v>0</v>
      </c>
      <c r="Q107" s="40">
        <v>110000</v>
      </c>
      <c r="R107" s="40">
        <v>910753</v>
      </c>
      <c r="S107" s="40">
        <v>354356</v>
      </c>
      <c r="T107" s="40"/>
      <c r="U107" s="40">
        <v>4719050</v>
      </c>
      <c r="V107" s="40">
        <v>0</v>
      </c>
      <c r="W107" s="45">
        <v>7134779</v>
      </c>
      <c r="X107" s="46">
        <v>4.7663284168152504</v>
      </c>
    </row>
    <row r="108" spans="1:24" s="4" customFormat="1" ht="15" customHeight="1">
      <c r="A108" s="28" t="s">
        <v>3483</v>
      </c>
      <c r="B108" s="29">
        <v>3387.15</v>
      </c>
      <c r="C108" s="30" t="s">
        <v>3894</v>
      </c>
      <c r="D108" s="2">
        <v>4952219103</v>
      </c>
      <c r="E108" s="2" t="s">
        <v>27</v>
      </c>
      <c r="F108" s="2" t="s">
        <v>3895</v>
      </c>
      <c r="G108" s="28" t="s">
        <v>5</v>
      </c>
      <c r="H108" s="2" t="s">
        <v>17</v>
      </c>
      <c r="I108" s="2">
        <v>1</v>
      </c>
      <c r="J108" s="2" t="s">
        <v>3896</v>
      </c>
      <c r="K108" s="2">
        <v>12738</v>
      </c>
      <c r="L108" s="35">
        <v>43145516.700000003</v>
      </c>
      <c r="M108" s="36">
        <v>8494.2000000000007</v>
      </c>
      <c r="N108" s="40">
        <v>333862.31343283597</v>
      </c>
      <c r="O108" s="40">
        <v>286017.5</v>
      </c>
      <c r="P108" s="40">
        <v>0</v>
      </c>
      <c r="Q108" s="40">
        <v>62068.5</v>
      </c>
      <c r="R108" s="40">
        <v>577799.62686567195</v>
      </c>
      <c r="S108" s="40">
        <v>290889.25373134302</v>
      </c>
      <c r="T108" s="40"/>
      <c r="U108" s="40">
        <v>3873847.01492537</v>
      </c>
      <c r="V108" s="40">
        <v>0</v>
      </c>
      <c r="W108" s="45">
        <v>5424484.2089552199</v>
      </c>
      <c r="X108" s="46">
        <v>12.5725327307419</v>
      </c>
    </row>
    <row r="109" spans="1:24" s="4" customFormat="1" ht="15" customHeight="1">
      <c r="A109" s="28" t="s">
        <v>3483</v>
      </c>
      <c r="B109" s="29">
        <v>3387.15</v>
      </c>
      <c r="C109" s="30" t="s">
        <v>3894</v>
      </c>
      <c r="D109" s="2">
        <v>4952394194</v>
      </c>
      <c r="E109" s="2" t="s">
        <v>27</v>
      </c>
      <c r="F109" s="2" t="s">
        <v>3895</v>
      </c>
      <c r="G109" s="28" t="s">
        <v>5</v>
      </c>
      <c r="H109" s="2" t="s">
        <v>17</v>
      </c>
      <c r="I109" s="2">
        <v>1</v>
      </c>
      <c r="J109" s="2" t="s">
        <v>3896</v>
      </c>
      <c r="K109" s="2">
        <v>5342.4</v>
      </c>
      <c r="L109" s="35">
        <v>18095510.16</v>
      </c>
      <c r="M109" s="36">
        <v>1327.68</v>
      </c>
      <c r="N109" s="40">
        <v>72842.686567164201</v>
      </c>
      <c r="O109" s="40">
        <v>286017.5</v>
      </c>
      <c r="P109" s="40">
        <v>0</v>
      </c>
      <c r="Q109" s="40">
        <v>62068.5</v>
      </c>
      <c r="R109" s="40">
        <v>126065.37313432799</v>
      </c>
      <c r="S109" s="40">
        <v>63466.746268656701</v>
      </c>
      <c r="T109" s="40"/>
      <c r="U109" s="40">
        <v>845202.98507462698</v>
      </c>
      <c r="V109" s="40">
        <v>0</v>
      </c>
      <c r="W109" s="45">
        <v>1455663.7910447801</v>
      </c>
      <c r="X109" s="46">
        <v>8.0443368447412507</v>
      </c>
    </row>
    <row r="111" spans="1:24" ht="15" customHeight="1">
      <c r="A111" s="31" t="s">
        <v>3483</v>
      </c>
      <c r="B111" s="31"/>
      <c r="C111" s="31"/>
      <c r="D111" s="31"/>
      <c r="E111" s="31"/>
      <c r="F111" s="32">
        <v>11</v>
      </c>
      <c r="G111" s="31"/>
      <c r="H111" s="31"/>
      <c r="I111" s="38"/>
      <c r="J111" s="31"/>
      <c r="K111" s="39">
        <f>+SUM(K97:K109)</f>
        <v>235378.16</v>
      </c>
      <c r="L111" s="39">
        <f>+SUM(L97:L109)</f>
        <v>797261134.64399993</v>
      </c>
      <c r="M111" s="31"/>
      <c r="N111" s="39"/>
      <c r="O111" s="39"/>
      <c r="P111" s="39"/>
      <c r="Q111" s="39"/>
      <c r="R111" s="39"/>
      <c r="S111" s="39"/>
      <c r="T111" s="39"/>
      <c r="U111" s="39"/>
      <c r="V111" s="31"/>
      <c r="W111" s="39">
        <f>+SUM(W97:W109)</f>
        <v>49071191.129999995</v>
      </c>
      <c r="X111" s="47">
        <f>(W111/L111)*100</f>
        <v>6.1549709370834558</v>
      </c>
    </row>
    <row r="113" spans="1:24" s="4" customFormat="1" ht="15" customHeight="1">
      <c r="A113" s="79" t="s">
        <v>3955</v>
      </c>
      <c r="B113" s="80">
        <v>3394.61</v>
      </c>
      <c r="C113" s="81" t="s">
        <v>3964</v>
      </c>
      <c r="D113" s="82">
        <v>4949720213</v>
      </c>
      <c r="E113" s="82" t="s">
        <v>27</v>
      </c>
      <c r="F113" s="82" t="s">
        <v>3965</v>
      </c>
      <c r="G113" s="79" t="s">
        <v>9</v>
      </c>
      <c r="H113" s="82" t="s">
        <v>23</v>
      </c>
      <c r="I113" s="2">
        <v>13</v>
      </c>
      <c r="J113" s="2"/>
      <c r="K113" s="2">
        <v>9212.11</v>
      </c>
      <c r="L113" s="35">
        <v>31271520.727100004</v>
      </c>
      <c r="M113" s="36">
        <v>4112.55</v>
      </c>
      <c r="N113" s="40">
        <v>1561798</v>
      </c>
      <c r="O113" s="40">
        <v>3456</v>
      </c>
      <c r="P113" s="40">
        <v>70815</v>
      </c>
      <c r="Q113" s="40">
        <v>107928</v>
      </c>
      <c r="R113" s="40">
        <v>205324</v>
      </c>
      <c r="S113" s="40">
        <v>354356</v>
      </c>
      <c r="T113" s="40"/>
      <c r="U113" s="40">
        <v>4171000</v>
      </c>
      <c r="V113" s="40">
        <v>0</v>
      </c>
      <c r="W113" s="45">
        <v>6474677</v>
      </c>
      <c r="X113" s="46">
        <v>20.704707828260567</v>
      </c>
    </row>
    <row r="114" spans="1:24" s="4" customFormat="1" ht="15" customHeight="1">
      <c r="A114" s="79" t="s">
        <v>3955</v>
      </c>
      <c r="B114" s="80">
        <v>3394.61</v>
      </c>
      <c r="C114" s="81" t="s">
        <v>3988</v>
      </c>
      <c r="D114" s="82">
        <v>4952398921</v>
      </c>
      <c r="E114" s="82" t="s">
        <v>27</v>
      </c>
      <c r="F114" s="82" t="s">
        <v>3989</v>
      </c>
      <c r="G114" s="79" t="s">
        <v>5</v>
      </c>
      <c r="H114" s="2" t="s">
        <v>20</v>
      </c>
      <c r="I114" s="2">
        <v>1</v>
      </c>
      <c r="J114" s="2" t="s">
        <v>3990</v>
      </c>
      <c r="K114" s="2">
        <v>28854</v>
      </c>
      <c r="L114" s="35">
        <v>97948076.939999998</v>
      </c>
      <c r="M114" s="36">
        <v>7205</v>
      </c>
      <c r="N114" s="40">
        <v>577113.68513233901</v>
      </c>
      <c r="O114" s="40">
        <v>173493</v>
      </c>
      <c r="P114" s="40">
        <v>280369.115165175</v>
      </c>
      <c r="Q114" s="40">
        <v>49654.5</v>
      </c>
      <c r="R114" s="40">
        <v>597438.98335370002</v>
      </c>
      <c r="S114" s="40">
        <v>353179.58988518</v>
      </c>
      <c r="T114" s="48"/>
      <c r="U114" s="40">
        <v>2890671.4280102202</v>
      </c>
      <c r="V114" s="40">
        <v>0</v>
      </c>
      <c r="W114" s="45">
        <v>4921920.3015466146</v>
      </c>
      <c r="X114" s="46">
        <v>5.0250300519546016</v>
      </c>
    </row>
    <row r="115" spans="1:24" s="4" customFormat="1" ht="15" customHeight="1">
      <c r="A115" s="79" t="s">
        <v>3955</v>
      </c>
      <c r="B115" s="80">
        <v>3394.61</v>
      </c>
      <c r="C115" s="81" t="s">
        <v>3988</v>
      </c>
      <c r="D115" s="82">
        <v>4951772229</v>
      </c>
      <c r="E115" s="82" t="s">
        <v>27</v>
      </c>
      <c r="F115" s="82" t="s">
        <v>3989</v>
      </c>
      <c r="G115" s="79" t="s">
        <v>5</v>
      </c>
      <c r="H115" s="2" t="s">
        <v>20</v>
      </c>
      <c r="I115" s="2">
        <v>1</v>
      </c>
      <c r="J115" s="2" t="s">
        <v>3990</v>
      </c>
      <c r="K115" s="2">
        <v>141.80000000000001</v>
      </c>
      <c r="L115" s="35">
        <v>481355.69800000003</v>
      </c>
      <c r="M115" s="36">
        <v>24</v>
      </c>
      <c r="N115" s="40">
        <v>1922.3148676609401</v>
      </c>
      <c r="O115" s="40">
        <v>173493</v>
      </c>
      <c r="P115" s="40">
        <v>933.884834824824</v>
      </c>
      <c r="Q115" s="40">
        <v>49654.5</v>
      </c>
      <c r="R115" s="40">
        <v>1990.0166463002899</v>
      </c>
      <c r="S115" s="40">
        <v>1176.4101148199099</v>
      </c>
      <c r="T115" s="48"/>
      <c r="U115" s="40">
        <v>9628.5719897848103</v>
      </c>
      <c r="V115" s="40">
        <v>0</v>
      </c>
      <c r="W115" s="45">
        <v>238798.69845339077</v>
      </c>
      <c r="X115" s="46">
        <v>49.609612900726638</v>
      </c>
    </row>
    <row r="116" spans="1:24" s="4" customFormat="1" ht="15" customHeight="1">
      <c r="A116" s="79" t="s">
        <v>3955</v>
      </c>
      <c r="B116" s="80">
        <v>3394.61</v>
      </c>
      <c r="C116" s="81" t="s">
        <v>3991</v>
      </c>
      <c r="D116" s="82">
        <v>4952511320</v>
      </c>
      <c r="E116" s="82" t="s">
        <v>27</v>
      </c>
      <c r="F116" s="82" t="s">
        <v>3992</v>
      </c>
      <c r="G116" s="79" t="s">
        <v>5</v>
      </c>
      <c r="H116" s="2" t="s">
        <v>17</v>
      </c>
      <c r="I116" s="2">
        <v>1</v>
      </c>
      <c r="J116" s="2" t="s">
        <v>3993</v>
      </c>
      <c r="K116" s="2">
        <v>4093.82</v>
      </c>
      <c r="L116" s="35">
        <v>13896922.3102</v>
      </c>
      <c r="M116" s="36">
        <v>3377.61</v>
      </c>
      <c r="N116" s="40">
        <v>124838.97964033599</v>
      </c>
      <c r="O116" s="40">
        <v>227602.5</v>
      </c>
      <c r="P116" s="40">
        <v>86640.261671093394</v>
      </c>
      <c r="Q116" s="40">
        <v>49654.5</v>
      </c>
      <c r="R116" s="40">
        <v>158125.52220088101</v>
      </c>
      <c r="S116" s="40">
        <v>76398.298328830002</v>
      </c>
      <c r="T116" s="48"/>
      <c r="U116" s="40">
        <v>1174263.0342449101</v>
      </c>
      <c r="V116" s="40">
        <v>0</v>
      </c>
      <c r="W116" s="45">
        <v>1897523.0960860506</v>
      </c>
      <c r="X116" s="46">
        <v>13.654268576383386</v>
      </c>
    </row>
    <row r="117" spans="1:24" s="4" customFormat="1" ht="15" customHeight="1">
      <c r="A117" s="79" t="s">
        <v>3955</v>
      </c>
      <c r="B117" s="80">
        <v>3394.61</v>
      </c>
      <c r="C117" s="81" t="s">
        <v>3991</v>
      </c>
      <c r="D117" s="82">
        <v>4952398921</v>
      </c>
      <c r="E117" s="82" t="s">
        <v>27</v>
      </c>
      <c r="F117" s="82" t="s">
        <v>3992</v>
      </c>
      <c r="G117" s="79" t="s">
        <v>5</v>
      </c>
      <c r="H117" s="2" t="s">
        <v>17</v>
      </c>
      <c r="I117" s="2">
        <v>1</v>
      </c>
      <c r="J117" s="2" t="s">
        <v>3993</v>
      </c>
      <c r="K117" s="2">
        <v>42000</v>
      </c>
      <c r="L117" s="35">
        <v>142573620</v>
      </c>
      <c r="M117" s="36">
        <v>12288</v>
      </c>
      <c r="N117" s="40">
        <v>454198.02035966399</v>
      </c>
      <c r="O117" s="40">
        <v>227602.5</v>
      </c>
      <c r="P117" s="40">
        <v>315220.738328907</v>
      </c>
      <c r="Q117" s="40">
        <v>49654.5</v>
      </c>
      <c r="R117" s="40">
        <v>575303.47779911896</v>
      </c>
      <c r="S117" s="40">
        <v>277957.70167117001</v>
      </c>
      <c r="T117" s="48"/>
      <c r="U117" s="40">
        <v>4272286.9657550901</v>
      </c>
      <c r="V117" s="40">
        <v>0</v>
      </c>
      <c r="W117" s="45">
        <v>6172223.9039139505</v>
      </c>
      <c r="X117" s="46">
        <v>4.3291486208416048</v>
      </c>
    </row>
    <row r="119" spans="1:24" ht="15" customHeight="1">
      <c r="A119" s="87" t="s">
        <v>3955</v>
      </c>
      <c r="B119" s="31"/>
      <c r="C119" s="31"/>
      <c r="D119" s="31"/>
      <c r="E119" s="31"/>
      <c r="F119" s="32">
        <v>3</v>
      </c>
      <c r="G119" s="31"/>
      <c r="H119" s="31"/>
      <c r="I119" s="38"/>
      <c r="J119" s="31"/>
      <c r="K119" s="39">
        <f>+SUM(K113:K117)</f>
        <v>84301.73000000001</v>
      </c>
      <c r="L119" s="39">
        <f>+SUM(L113:L117)</f>
        <v>286171495.6753</v>
      </c>
      <c r="M119" s="31"/>
      <c r="N119" s="39"/>
      <c r="O119" s="39"/>
      <c r="P119" s="39"/>
      <c r="Q119" s="39"/>
      <c r="R119" s="39"/>
      <c r="S119" s="39"/>
      <c r="T119" s="39"/>
      <c r="U119" s="39"/>
      <c r="V119" s="31"/>
      <c r="W119" s="39">
        <f>+SUM(W113:W117)</f>
        <v>19705143.000000007</v>
      </c>
      <c r="X119" s="47">
        <f>(W119/L119)*100</f>
        <v>6.8857811828883673</v>
      </c>
    </row>
  </sheetData>
  <conditionalFormatting sqref="C2">
    <cfRule type="duplicateValues" dxfId="79" priority="10"/>
  </conditionalFormatting>
  <conditionalFormatting sqref="C3">
    <cfRule type="duplicateValues" dxfId="78" priority="9"/>
  </conditionalFormatting>
  <conditionalFormatting sqref="C4">
    <cfRule type="duplicateValues" dxfId="77" priority="8"/>
  </conditionalFormatting>
  <conditionalFormatting sqref="C5">
    <cfRule type="duplicateValues" dxfId="76" priority="7"/>
  </conditionalFormatting>
  <conditionalFormatting sqref="C6">
    <cfRule type="duplicateValues" dxfId="75" priority="6"/>
  </conditionalFormatting>
  <conditionalFormatting sqref="C7">
    <cfRule type="duplicateValues" dxfId="74" priority="5"/>
  </conditionalFormatting>
  <conditionalFormatting sqref="C8">
    <cfRule type="duplicateValues" dxfId="73" priority="4"/>
  </conditionalFormatting>
  <conditionalFormatting sqref="C9">
    <cfRule type="duplicateValues" dxfId="72" priority="3"/>
  </conditionalFormatting>
  <conditionalFormatting sqref="C10">
    <cfRule type="duplicateValues" dxfId="71" priority="2"/>
  </conditionalFormatting>
  <conditionalFormatting sqref="C11">
    <cfRule type="duplicateValues" dxfId="70" priority="1"/>
  </conditionalFormatting>
  <pageMargins left="0.69930555555555596" right="0.69930555555555596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20"/>
  <sheetViews>
    <sheetView showGridLines="0" topLeftCell="J1" zoomScale="80" zoomScaleNormal="80" workbookViewId="0">
      <pane ySplit="1" topLeftCell="A201" activePane="bottomLeft" state="frozen"/>
      <selection pane="bottomLeft" activeCell="J193" sqref="J193"/>
    </sheetView>
  </sheetViews>
  <sheetFormatPr baseColWidth="10" defaultColWidth="11.42578125" defaultRowHeight="15"/>
  <cols>
    <col min="1" max="1" width="12.7109375" customWidth="1"/>
    <col min="4" max="4" width="12.28515625" customWidth="1"/>
    <col min="5" max="5" width="5.85546875" customWidth="1"/>
    <col min="6" max="6" width="20.140625" customWidth="1"/>
    <col min="7" max="7" width="14.28515625" customWidth="1"/>
    <col min="8" max="8" width="10.5703125" customWidth="1"/>
    <col min="9" max="9" width="6.28515625" customWidth="1"/>
    <col min="10" max="10" width="16.5703125" customWidth="1"/>
    <col min="11" max="11" width="13.5703125" customWidth="1"/>
    <col min="12" max="12" width="16.140625" customWidth="1"/>
    <col min="13" max="13" width="14.5703125" customWidth="1"/>
    <col min="14" max="14" width="15" customWidth="1"/>
    <col min="15" max="15" width="15.85546875" customWidth="1"/>
    <col min="16" max="16" width="12.140625" customWidth="1"/>
    <col min="19" max="20" width="19.42578125" customWidth="1"/>
    <col min="21" max="21" width="17.85546875" customWidth="1"/>
    <col min="23" max="23" width="13.7109375" customWidth="1"/>
  </cols>
  <sheetData>
    <row r="1" spans="1:24" ht="45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65</v>
      </c>
      <c r="D2" s="2">
        <v>4947847972</v>
      </c>
      <c r="E2" s="2" t="s">
        <v>33</v>
      </c>
      <c r="F2" s="2" t="s">
        <v>66</v>
      </c>
      <c r="G2" s="28" t="s">
        <v>13</v>
      </c>
      <c r="H2" s="2" t="s">
        <v>23</v>
      </c>
      <c r="I2" s="2">
        <v>2</v>
      </c>
      <c r="J2" s="2"/>
      <c r="K2" s="2">
        <v>1953.43</v>
      </c>
      <c r="L2" s="35">
        <v>6191591.7280000001</v>
      </c>
      <c r="M2" s="36">
        <v>249.48</v>
      </c>
      <c r="N2" s="37">
        <v>169186.22500000001</v>
      </c>
      <c r="O2" s="37">
        <v>0</v>
      </c>
      <c r="P2" s="37">
        <v>0</v>
      </c>
      <c r="Q2" s="37">
        <v>0</v>
      </c>
      <c r="R2" s="37">
        <v>1176.6666666666699</v>
      </c>
      <c r="S2" s="37">
        <v>57239.166666666701</v>
      </c>
      <c r="T2" s="40"/>
      <c r="U2" s="37">
        <v>41063.333333333299</v>
      </c>
      <c r="V2" s="37">
        <v>0</v>
      </c>
      <c r="W2" s="45">
        <v>268665.39166666701</v>
      </c>
      <c r="X2" s="46">
        <v>4.3391974708489203</v>
      </c>
    </row>
    <row r="3" spans="1:24">
      <c r="A3" s="28" t="s">
        <v>63</v>
      </c>
      <c r="B3" s="29">
        <v>3169.6</v>
      </c>
      <c r="C3" s="30" t="s">
        <v>65</v>
      </c>
      <c r="D3" s="2">
        <v>4947847972</v>
      </c>
      <c r="E3" s="2" t="s">
        <v>33</v>
      </c>
      <c r="F3" s="2" t="s">
        <v>66</v>
      </c>
      <c r="G3" s="28" t="s">
        <v>13</v>
      </c>
      <c r="H3" s="2" t="s">
        <v>23</v>
      </c>
      <c r="I3" s="2">
        <v>2</v>
      </c>
      <c r="J3" s="2"/>
      <c r="K3" s="2">
        <v>8856.5400000000009</v>
      </c>
      <c r="L3" s="35">
        <v>28071689.184</v>
      </c>
      <c r="M3" s="36">
        <v>1247.4000000000001</v>
      </c>
      <c r="N3" s="37">
        <v>845931.125</v>
      </c>
      <c r="O3" s="37">
        <v>0</v>
      </c>
      <c r="P3" s="37">
        <v>0</v>
      </c>
      <c r="Q3" s="37">
        <v>0</v>
      </c>
      <c r="R3" s="37">
        <v>5883.3333333333303</v>
      </c>
      <c r="S3" s="37">
        <v>286195.83333333302</v>
      </c>
      <c r="T3" s="40"/>
      <c r="U3" s="37">
        <v>205316.66666666701</v>
      </c>
      <c r="V3" s="37">
        <v>0</v>
      </c>
      <c r="W3" s="45">
        <v>1343326.95833333</v>
      </c>
      <c r="X3" s="46">
        <v>4.7853442289428996</v>
      </c>
    </row>
    <row r="4" spans="1:24">
      <c r="A4" s="28" t="s">
        <v>63</v>
      </c>
      <c r="B4" s="29">
        <v>3169.6</v>
      </c>
      <c r="C4" s="30" t="s">
        <v>67</v>
      </c>
      <c r="D4" s="2">
        <v>4947897326</v>
      </c>
      <c r="E4" s="2" t="s">
        <v>33</v>
      </c>
      <c r="F4" s="2" t="s">
        <v>68</v>
      </c>
      <c r="G4" s="28" t="s">
        <v>13</v>
      </c>
      <c r="H4" s="2" t="s">
        <v>23</v>
      </c>
      <c r="I4" s="2">
        <v>1</v>
      </c>
      <c r="J4" s="2"/>
      <c r="K4" s="2">
        <v>432.6</v>
      </c>
      <c r="L4" s="35">
        <v>1371168.96</v>
      </c>
      <c r="M4" s="36">
        <v>140</v>
      </c>
      <c r="N4" s="37">
        <v>216199.627893175</v>
      </c>
      <c r="O4" s="37">
        <v>0</v>
      </c>
      <c r="P4" s="37">
        <v>0</v>
      </c>
      <c r="Q4" s="37">
        <v>0</v>
      </c>
      <c r="R4" s="37">
        <v>6080.4451038575698</v>
      </c>
      <c r="S4" s="37">
        <v>71336.646884272996</v>
      </c>
      <c r="T4" s="40"/>
      <c r="U4" s="37">
        <v>51176.854599406499</v>
      </c>
      <c r="V4" s="37">
        <v>0</v>
      </c>
      <c r="W4" s="45">
        <v>344793.57448071201</v>
      </c>
      <c r="X4" s="46">
        <v>25.1459582691189</v>
      </c>
    </row>
    <row r="5" spans="1:24">
      <c r="A5" s="28" t="s">
        <v>63</v>
      </c>
      <c r="B5" s="29">
        <v>3169.6</v>
      </c>
      <c r="C5" s="30" t="s">
        <v>67</v>
      </c>
      <c r="D5" s="2">
        <v>4947897326</v>
      </c>
      <c r="E5" s="2" t="s">
        <v>33</v>
      </c>
      <c r="F5" s="2" t="s">
        <v>68</v>
      </c>
      <c r="G5" s="28" t="s">
        <v>13</v>
      </c>
      <c r="H5" s="2" t="s">
        <v>23</v>
      </c>
      <c r="I5" s="2">
        <v>1</v>
      </c>
      <c r="J5" s="2"/>
      <c r="K5" s="2">
        <v>346.08</v>
      </c>
      <c r="L5" s="35">
        <v>1096935.1680000001</v>
      </c>
      <c r="M5" s="36">
        <v>112</v>
      </c>
      <c r="N5" s="37">
        <v>172959.70231453999</v>
      </c>
      <c r="O5" s="37">
        <v>0</v>
      </c>
      <c r="P5" s="37">
        <v>0</v>
      </c>
      <c r="Q5" s="37">
        <v>0</v>
      </c>
      <c r="R5" s="37">
        <v>4864.3560830860497</v>
      </c>
      <c r="S5" s="37">
        <v>57069.317507418396</v>
      </c>
      <c r="T5" s="40"/>
      <c r="U5" s="37">
        <v>40941.483679525198</v>
      </c>
      <c r="V5" s="37">
        <v>0</v>
      </c>
      <c r="W5" s="45">
        <v>275834.85958456999</v>
      </c>
      <c r="X5" s="46">
        <v>25.1459582691189</v>
      </c>
    </row>
    <row r="6" spans="1:24">
      <c r="A6" s="28" t="s">
        <v>63</v>
      </c>
      <c r="B6" s="29">
        <v>3169.6</v>
      </c>
      <c r="C6" s="30" t="s">
        <v>67</v>
      </c>
      <c r="D6" s="2">
        <v>4947897326</v>
      </c>
      <c r="E6" s="2" t="s">
        <v>33</v>
      </c>
      <c r="F6" s="2" t="s">
        <v>68</v>
      </c>
      <c r="G6" s="28" t="s">
        <v>13</v>
      </c>
      <c r="H6" s="2" t="s">
        <v>23</v>
      </c>
      <c r="I6" s="2">
        <v>1</v>
      </c>
      <c r="J6" s="2"/>
      <c r="K6" s="2">
        <v>370.8</v>
      </c>
      <c r="L6" s="35">
        <v>1175287.68</v>
      </c>
      <c r="M6" s="36">
        <v>120</v>
      </c>
      <c r="N6" s="37">
        <v>185313.96676557901</v>
      </c>
      <c r="O6" s="37">
        <v>0</v>
      </c>
      <c r="P6" s="37">
        <v>0</v>
      </c>
      <c r="Q6" s="37">
        <v>0</v>
      </c>
      <c r="R6" s="37">
        <v>5211.8100890207697</v>
      </c>
      <c r="S6" s="37">
        <v>61145.697329376897</v>
      </c>
      <c r="T6" s="40"/>
      <c r="U6" s="37">
        <v>43865.875370919901</v>
      </c>
      <c r="V6" s="37">
        <v>0</v>
      </c>
      <c r="W6" s="45">
        <v>295537.34955489699</v>
      </c>
      <c r="X6" s="46">
        <v>25.145958269118999</v>
      </c>
    </row>
    <row r="7" spans="1:24">
      <c r="A7" s="28" t="s">
        <v>63</v>
      </c>
      <c r="B7" s="29">
        <v>3169.6</v>
      </c>
      <c r="C7" s="30" t="s">
        <v>67</v>
      </c>
      <c r="D7" s="2">
        <v>4947897326</v>
      </c>
      <c r="E7" s="2" t="s">
        <v>33</v>
      </c>
      <c r="F7" s="2" t="s">
        <v>68</v>
      </c>
      <c r="G7" s="28" t="s">
        <v>13</v>
      </c>
      <c r="H7" s="2" t="s">
        <v>23</v>
      </c>
      <c r="I7" s="2">
        <v>1</v>
      </c>
      <c r="J7" s="2"/>
      <c r="K7" s="2">
        <v>393.12</v>
      </c>
      <c r="L7" s="35">
        <v>1246033.152</v>
      </c>
      <c r="M7" s="36">
        <v>3</v>
      </c>
      <c r="N7" s="37">
        <v>166782.570089021</v>
      </c>
      <c r="O7" s="37">
        <v>0</v>
      </c>
      <c r="P7" s="37">
        <v>0</v>
      </c>
      <c r="Q7" s="37">
        <v>0</v>
      </c>
      <c r="R7" s="37">
        <v>4690.6290801186897</v>
      </c>
      <c r="S7" s="37">
        <v>55031.127596439197</v>
      </c>
      <c r="T7" s="40"/>
      <c r="U7" s="37">
        <v>39479.287833827897</v>
      </c>
      <c r="V7" s="37">
        <v>0</v>
      </c>
      <c r="W7" s="45">
        <v>265983.61459940701</v>
      </c>
      <c r="X7" s="46">
        <v>21.346431607576299</v>
      </c>
    </row>
    <row r="8" spans="1:24">
      <c r="A8" s="28" t="s">
        <v>63</v>
      </c>
      <c r="B8" s="29">
        <v>3169.6</v>
      </c>
      <c r="C8" s="30" t="s">
        <v>67</v>
      </c>
      <c r="D8" s="2">
        <v>4947897326</v>
      </c>
      <c r="E8" s="2" t="s">
        <v>33</v>
      </c>
      <c r="F8" s="2" t="s">
        <v>68</v>
      </c>
      <c r="G8" s="28" t="s">
        <v>13</v>
      </c>
      <c r="H8" s="2" t="s">
        <v>23</v>
      </c>
      <c r="I8" s="2">
        <v>1</v>
      </c>
      <c r="J8" s="2"/>
      <c r="K8" s="2">
        <v>305.76</v>
      </c>
      <c r="L8" s="35">
        <v>969136.89599999995</v>
      </c>
      <c r="M8" s="36">
        <v>3</v>
      </c>
      <c r="N8" s="37">
        <v>129719.776735905</v>
      </c>
      <c r="O8" s="37">
        <v>0</v>
      </c>
      <c r="P8" s="37">
        <v>0</v>
      </c>
      <c r="Q8" s="37">
        <v>0</v>
      </c>
      <c r="R8" s="37">
        <v>3648.26706231454</v>
      </c>
      <c r="S8" s="37">
        <v>42801.988130563797</v>
      </c>
      <c r="T8" s="40"/>
      <c r="U8" s="37">
        <v>30706.1127596439</v>
      </c>
      <c r="V8" s="37">
        <v>0</v>
      </c>
      <c r="W8" s="45">
        <v>206876.14468842701</v>
      </c>
      <c r="X8" s="46">
        <v>21.3464316075762</v>
      </c>
    </row>
    <row r="9" spans="1:24">
      <c r="A9" s="28" t="s">
        <v>63</v>
      </c>
      <c r="B9" s="29">
        <v>3169.6</v>
      </c>
      <c r="C9" s="30" t="s">
        <v>67</v>
      </c>
      <c r="D9" s="2">
        <v>4947897326</v>
      </c>
      <c r="E9" s="2" t="s">
        <v>33</v>
      </c>
      <c r="F9" s="2" t="s">
        <v>68</v>
      </c>
      <c r="G9" s="28" t="s">
        <v>13</v>
      </c>
      <c r="H9" s="2" t="s">
        <v>23</v>
      </c>
      <c r="I9" s="2">
        <v>1</v>
      </c>
      <c r="J9" s="2"/>
      <c r="K9" s="2">
        <v>309</v>
      </c>
      <c r="L9" s="35">
        <v>979406.4</v>
      </c>
      <c r="M9" s="36">
        <v>120</v>
      </c>
      <c r="N9" s="37">
        <v>154428.305637982</v>
      </c>
      <c r="O9" s="37">
        <v>0</v>
      </c>
      <c r="P9" s="37">
        <v>0</v>
      </c>
      <c r="Q9" s="37">
        <v>0</v>
      </c>
      <c r="R9" s="37">
        <v>4343.1750741839796</v>
      </c>
      <c r="S9" s="37">
        <v>50954.747774480697</v>
      </c>
      <c r="T9" s="40"/>
      <c r="U9" s="37">
        <v>36554.896142433201</v>
      </c>
      <c r="V9" s="37">
        <v>0</v>
      </c>
      <c r="W9" s="45">
        <v>246281.12462908</v>
      </c>
      <c r="X9" s="46">
        <v>25.1459582691189</v>
      </c>
    </row>
    <row r="10" spans="1:24">
      <c r="A10" s="28" t="s">
        <v>63</v>
      </c>
      <c r="B10" s="29">
        <v>3169.6</v>
      </c>
      <c r="C10" s="30" t="s">
        <v>67</v>
      </c>
      <c r="D10" s="2">
        <v>4947897326</v>
      </c>
      <c r="E10" s="2" t="s">
        <v>33</v>
      </c>
      <c r="F10" s="2" t="s">
        <v>68</v>
      </c>
      <c r="G10" s="28" t="s">
        <v>13</v>
      </c>
      <c r="H10" s="2" t="s">
        <v>23</v>
      </c>
      <c r="I10" s="2">
        <v>1</v>
      </c>
      <c r="J10" s="2"/>
      <c r="K10" s="2">
        <v>161.69999999999999</v>
      </c>
      <c r="L10" s="35">
        <v>512524.32</v>
      </c>
      <c r="M10" s="36">
        <v>10</v>
      </c>
      <c r="N10" s="37">
        <v>15442.830563798199</v>
      </c>
      <c r="O10" s="37">
        <v>0</v>
      </c>
      <c r="P10" s="37">
        <v>0</v>
      </c>
      <c r="Q10" s="37">
        <v>0</v>
      </c>
      <c r="R10" s="37">
        <v>434.31750741839801</v>
      </c>
      <c r="S10" s="37">
        <v>5095.4747774480702</v>
      </c>
      <c r="T10" s="40"/>
      <c r="U10" s="37">
        <v>3655.4896142433199</v>
      </c>
      <c r="V10" s="37">
        <v>0</v>
      </c>
      <c r="W10" s="45">
        <v>24628.112462908</v>
      </c>
      <c r="X10" s="46">
        <v>4.8052573315756</v>
      </c>
    </row>
    <row r="11" spans="1:24">
      <c r="A11" s="28" t="s">
        <v>63</v>
      </c>
      <c r="B11" s="29">
        <v>3169.6</v>
      </c>
      <c r="C11" s="30" t="s">
        <v>77</v>
      </c>
      <c r="D11" s="2">
        <v>4946809257</v>
      </c>
      <c r="E11" s="2" t="s">
        <v>33</v>
      </c>
      <c r="F11" s="2">
        <v>45630138166</v>
      </c>
      <c r="G11" s="28" t="s">
        <v>9</v>
      </c>
      <c r="H11" s="2" t="s">
        <v>23</v>
      </c>
      <c r="I11" s="2">
        <v>6</v>
      </c>
      <c r="J11" s="2"/>
      <c r="K11" s="2">
        <v>8976</v>
      </c>
      <c r="L11" s="35">
        <v>28450329.600000001</v>
      </c>
      <c r="M11" s="36">
        <v>6600</v>
      </c>
      <c r="N11" s="37">
        <v>1419188</v>
      </c>
      <c r="O11" s="37">
        <v>0</v>
      </c>
      <c r="P11" s="37">
        <v>462928</v>
      </c>
      <c r="Q11" s="37">
        <v>145400</v>
      </c>
      <c r="R11" s="37">
        <v>250208</v>
      </c>
      <c r="S11" s="37">
        <v>343435</v>
      </c>
      <c r="T11" s="40"/>
      <c r="U11" s="37">
        <v>1920600</v>
      </c>
      <c r="V11" s="37">
        <v>0</v>
      </c>
      <c r="W11" s="45">
        <v>4541759</v>
      </c>
      <c r="X11" s="46">
        <v>15.963818570312799</v>
      </c>
    </row>
    <row r="12" spans="1:24">
      <c r="A12" s="28" t="s">
        <v>63</v>
      </c>
      <c r="B12" s="29">
        <v>3169.6</v>
      </c>
      <c r="C12" s="30" t="s">
        <v>105</v>
      </c>
      <c r="D12" s="2">
        <v>4946952487</v>
      </c>
      <c r="E12" s="2" t="s">
        <v>33</v>
      </c>
      <c r="F12" s="78" t="s">
        <v>106</v>
      </c>
      <c r="G12" s="28" t="s">
        <v>9</v>
      </c>
      <c r="H12" s="2" t="s">
        <v>23</v>
      </c>
      <c r="I12" s="2">
        <v>6</v>
      </c>
      <c r="J12" s="2"/>
      <c r="K12" s="2">
        <v>4056</v>
      </c>
      <c r="L12" s="35">
        <v>12855897.6</v>
      </c>
      <c r="M12" s="36">
        <v>260</v>
      </c>
      <c r="N12" s="37">
        <v>645947.17985611502</v>
      </c>
      <c r="O12" s="37">
        <v>1533.05454545455</v>
      </c>
      <c r="P12" s="37">
        <v>122578.739568345</v>
      </c>
      <c r="Q12" s="37">
        <v>15754.581818181799</v>
      </c>
      <c r="R12" s="37">
        <v>165335.25323741001</v>
      </c>
      <c r="S12" s="37">
        <v>250534.59712230199</v>
      </c>
      <c r="T12" s="40"/>
      <c r="U12" s="37">
        <v>1577973.66906475</v>
      </c>
      <c r="V12" s="37">
        <v>0</v>
      </c>
      <c r="W12" s="45">
        <v>2779657.0752125601</v>
      </c>
      <c r="X12" s="46">
        <v>21.621649158224098</v>
      </c>
    </row>
    <row r="13" spans="1:24">
      <c r="A13" s="28" t="s">
        <v>63</v>
      </c>
      <c r="B13" s="29">
        <v>3169.6</v>
      </c>
      <c r="C13" s="30" t="s">
        <v>105</v>
      </c>
      <c r="D13" s="2">
        <v>4946952487</v>
      </c>
      <c r="E13" s="2" t="s">
        <v>33</v>
      </c>
      <c r="F13" s="78" t="s">
        <v>106</v>
      </c>
      <c r="G13" s="28" t="s">
        <v>9</v>
      </c>
      <c r="H13" s="2" t="s">
        <v>23</v>
      </c>
      <c r="I13" s="2">
        <v>6</v>
      </c>
      <c r="J13" s="2"/>
      <c r="K13" s="2">
        <v>2124.98</v>
      </c>
      <c r="L13" s="35">
        <v>6735336.608</v>
      </c>
      <c r="M13" s="36">
        <v>260</v>
      </c>
      <c r="N13" s="37">
        <v>182190.230215827</v>
      </c>
      <c r="O13" s="37">
        <v>1533.05454545455</v>
      </c>
      <c r="P13" s="37">
        <v>34573.490647482002</v>
      </c>
      <c r="Q13" s="37">
        <v>15754.581818181799</v>
      </c>
      <c r="R13" s="37">
        <v>46633.020143884904</v>
      </c>
      <c r="S13" s="37">
        <v>70663.6043165468</v>
      </c>
      <c r="T13" s="40"/>
      <c r="U13" s="37">
        <v>445069.49640287802</v>
      </c>
      <c r="V13" s="37">
        <v>0</v>
      </c>
      <c r="W13" s="45">
        <v>796417.47809025506</v>
      </c>
      <c r="X13" s="46">
        <v>11.824464380062301</v>
      </c>
    </row>
    <row r="14" spans="1:24">
      <c r="A14" s="28" t="s">
        <v>63</v>
      </c>
      <c r="B14" s="29">
        <v>3169.6</v>
      </c>
      <c r="C14" s="30" t="s">
        <v>105</v>
      </c>
      <c r="D14" s="2">
        <v>4946952487</v>
      </c>
      <c r="E14" s="2" t="s">
        <v>33</v>
      </c>
      <c r="F14" s="78" t="s">
        <v>106</v>
      </c>
      <c r="G14" s="28" t="s">
        <v>9</v>
      </c>
      <c r="H14" s="2" t="s">
        <v>23</v>
      </c>
      <c r="I14" s="2">
        <v>6</v>
      </c>
      <c r="J14" s="2"/>
      <c r="K14" s="2">
        <v>328.86</v>
      </c>
      <c r="L14" s="35">
        <v>1042354.656</v>
      </c>
      <c r="M14" s="36">
        <v>15</v>
      </c>
      <c r="N14" s="37">
        <v>34399.553956834498</v>
      </c>
      <c r="O14" s="37">
        <v>88.445454545454496</v>
      </c>
      <c r="P14" s="37">
        <v>6527.8618705035997</v>
      </c>
      <c r="Q14" s="37">
        <v>908.91818181818201</v>
      </c>
      <c r="R14" s="37">
        <v>8804.8359712230194</v>
      </c>
      <c r="S14" s="37">
        <v>13342.0791366906</v>
      </c>
      <c r="T14" s="40"/>
      <c r="U14" s="37">
        <v>84034.100719424503</v>
      </c>
      <c r="V14" s="37">
        <v>0</v>
      </c>
      <c r="W14" s="45">
        <v>148105.79529104001</v>
      </c>
      <c r="X14" s="46">
        <v>14.2087718837839</v>
      </c>
    </row>
    <row r="15" spans="1:24">
      <c r="A15" s="28" t="s">
        <v>63</v>
      </c>
      <c r="B15" s="29">
        <v>3169.6</v>
      </c>
      <c r="C15" s="30" t="s">
        <v>105</v>
      </c>
      <c r="D15" s="2">
        <v>4946952487</v>
      </c>
      <c r="E15" s="2" t="s">
        <v>33</v>
      </c>
      <c r="F15" s="78" t="s">
        <v>106</v>
      </c>
      <c r="G15" s="28" t="s">
        <v>9</v>
      </c>
      <c r="H15" s="2" t="s">
        <v>23</v>
      </c>
      <c r="I15" s="2">
        <v>6</v>
      </c>
      <c r="J15" s="2"/>
      <c r="K15" s="2">
        <v>219.24</v>
      </c>
      <c r="L15" s="35">
        <v>694903.10400000005</v>
      </c>
      <c r="M15" s="36">
        <v>15</v>
      </c>
      <c r="N15" s="37">
        <v>22933.035971222998</v>
      </c>
      <c r="O15" s="37">
        <v>88.445454545454496</v>
      </c>
      <c r="P15" s="37">
        <v>4351.9079136690598</v>
      </c>
      <c r="Q15" s="37">
        <v>908.91818181818201</v>
      </c>
      <c r="R15" s="37">
        <v>5869.8906474820096</v>
      </c>
      <c r="S15" s="37">
        <v>8894.7194244604307</v>
      </c>
      <c r="T15" s="40"/>
      <c r="U15" s="37">
        <v>56022.733812949598</v>
      </c>
      <c r="V15" s="37">
        <v>0</v>
      </c>
      <c r="W15" s="45">
        <v>99069.651406147706</v>
      </c>
      <c r="X15" s="46">
        <v>14.2566137402299</v>
      </c>
    </row>
    <row r="16" spans="1:24">
      <c r="A16" s="28" t="s">
        <v>63</v>
      </c>
      <c r="B16" s="29">
        <v>3169.6</v>
      </c>
      <c r="C16" s="30" t="s">
        <v>145</v>
      </c>
      <c r="D16" s="2">
        <v>4947331754</v>
      </c>
      <c r="E16" s="2" t="s">
        <v>33</v>
      </c>
      <c r="F16" s="2" t="s">
        <v>146</v>
      </c>
      <c r="G16" s="28" t="s">
        <v>5</v>
      </c>
      <c r="H16" s="2" t="s">
        <v>17</v>
      </c>
      <c r="I16" s="2">
        <v>2</v>
      </c>
      <c r="J16" s="2" t="s">
        <v>147</v>
      </c>
      <c r="K16" s="2">
        <v>28050.74</v>
      </c>
      <c r="L16" s="35">
        <v>88909625.503999993</v>
      </c>
      <c r="M16" s="36">
        <v>430</v>
      </c>
      <c r="N16" s="37">
        <v>399826.13091579598</v>
      </c>
      <c r="O16" s="37">
        <v>316746.62269129301</v>
      </c>
      <c r="P16" s="37">
        <v>0</v>
      </c>
      <c r="Q16" s="37">
        <v>75115.364995602504</v>
      </c>
      <c r="R16" s="37">
        <v>679369.56842860102</v>
      </c>
      <c r="S16" s="37">
        <v>145982.742522024</v>
      </c>
      <c r="T16" s="40"/>
      <c r="U16" s="37">
        <v>1707088.65754968</v>
      </c>
      <c r="V16" s="37">
        <v>0</v>
      </c>
      <c r="W16" s="45">
        <v>3324129.0871029999</v>
      </c>
      <c r="X16" s="46">
        <v>3.73877301614935</v>
      </c>
    </row>
    <row r="17" spans="1:24">
      <c r="A17" s="28" t="s">
        <v>63</v>
      </c>
      <c r="B17" s="29">
        <v>3169.6</v>
      </c>
      <c r="C17" s="30" t="s">
        <v>145</v>
      </c>
      <c r="D17" s="2">
        <v>4947331754</v>
      </c>
      <c r="E17" s="2" t="s">
        <v>33</v>
      </c>
      <c r="F17" s="2" t="s">
        <v>146</v>
      </c>
      <c r="G17" s="28" t="s">
        <v>5</v>
      </c>
      <c r="H17" s="2" t="s">
        <v>17</v>
      </c>
      <c r="I17" s="2">
        <v>2</v>
      </c>
      <c r="J17" s="2" t="s">
        <v>147</v>
      </c>
      <c r="K17" s="2">
        <v>16839.64</v>
      </c>
      <c r="L17" s="35">
        <v>53374922.943999998</v>
      </c>
      <c r="M17" s="36">
        <v>430</v>
      </c>
      <c r="N17" s="37">
        <v>221665.26429010401</v>
      </c>
      <c r="O17" s="37">
        <v>316746.62269129301</v>
      </c>
      <c r="P17" s="37">
        <v>0</v>
      </c>
      <c r="Q17" s="37">
        <v>75115.364995602504</v>
      </c>
      <c r="R17" s="37">
        <v>404364.838455235</v>
      </c>
      <c r="S17" s="37">
        <v>80933.437564023799</v>
      </c>
      <c r="T17" s="40"/>
      <c r="U17" s="37">
        <v>946417.02776070498</v>
      </c>
      <c r="V17" s="37">
        <v>0</v>
      </c>
      <c r="W17" s="45">
        <v>2045242.5557569601</v>
      </c>
      <c r="X17" s="46">
        <v>3.8318417019595401</v>
      </c>
    </row>
    <row r="18" spans="1:24">
      <c r="A18" s="28" t="s">
        <v>63</v>
      </c>
      <c r="B18" s="29">
        <v>3169.6</v>
      </c>
      <c r="C18" s="30" t="s">
        <v>145</v>
      </c>
      <c r="D18" s="2">
        <v>4947331754</v>
      </c>
      <c r="E18" s="2" t="s">
        <v>33</v>
      </c>
      <c r="F18" s="2" t="s">
        <v>146</v>
      </c>
      <c r="G18" s="28" t="s">
        <v>5</v>
      </c>
      <c r="H18" s="2" t="s">
        <v>17</v>
      </c>
      <c r="I18" s="2">
        <v>2</v>
      </c>
      <c r="J18" s="2" t="s">
        <v>147</v>
      </c>
      <c r="K18" s="2">
        <v>30337.919999999998</v>
      </c>
      <c r="L18" s="35">
        <v>96159071.231999993</v>
      </c>
      <c r="M18" s="36">
        <v>277</v>
      </c>
      <c r="N18" s="37">
        <v>319128.60479409999</v>
      </c>
      <c r="O18" s="37">
        <v>204043.754617414</v>
      </c>
      <c r="P18" s="37">
        <v>0</v>
      </c>
      <c r="Q18" s="37">
        <v>48388.270008795102</v>
      </c>
      <c r="R18" s="37">
        <v>582159.59311616502</v>
      </c>
      <c r="S18" s="37">
        <v>116518.819913952</v>
      </c>
      <c r="T18" s="40"/>
      <c r="U18" s="37">
        <v>1362544.3146896099</v>
      </c>
      <c r="V18" s="37">
        <v>0</v>
      </c>
      <c r="W18" s="45">
        <v>2632783.35714004</v>
      </c>
      <c r="X18" s="46">
        <v>2.7379459092195302</v>
      </c>
    </row>
    <row r="19" spans="1:24">
      <c r="A19" s="28" t="s">
        <v>63</v>
      </c>
      <c r="B19" s="29">
        <v>3169.6</v>
      </c>
      <c r="C19" s="30" t="s">
        <v>221</v>
      </c>
      <c r="D19" s="2">
        <v>4947030782</v>
      </c>
      <c r="E19" s="2" t="s">
        <v>33</v>
      </c>
      <c r="F19" s="2" t="s">
        <v>222</v>
      </c>
      <c r="G19" s="28" t="s">
        <v>5</v>
      </c>
      <c r="H19" s="2" t="s">
        <v>20</v>
      </c>
      <c r="I19" s="2">
        <v>3</v>
      </c>
      <c r="J19" s="2" t="s">
        <v>223</v>
      </c>
      <c r="K19" s="2">
        <v>76032</v>
      </c>
      <c r="L19" s="35">
        <v>240991027.19999999</v>
      </c>
      <c r="M19" s="36">
        <v>59400</v>
      </c>
      <c r="N19" s="37">
        <v>972590</v>
      </c>
      <c r="O19" s="37">
        <v>951447</v>
      </c>
      <c r="P19" s="37">
        <v>0</v>
      </c>
      <c r="Q19" s="37">
        <v>297928</v>
      </c>
      <c r="R19" s="37">
        <v>1612100</v>
      </c>
      <c r="S19" s="37">
        <v>343435</v>
      </c>
      <c r="T19" s="40"/>
      <c r="U19" s="37">
        <v>11740500</v>
      </c>
      <c r="V19" s="37">
        <v>0</v>
      </c>
      <c r="W19" s="45">
        <v>15918000</v>
      </c>
      <c r="X19" s="46">
        <v>6.6052251757861304</v>
      </c>
    </row>
    <row r="20" spans="1:24">
      <c r="A20" s="28" t="s">
        <v>63</v>
      </c>
      <c r="B20" s="29">
        <v>3169.6</v>
      </c>
      <c r="C20" s="30" t="s">
        <v>249</v>
      </c>
      <c r="D20" s="2">
        <v>4947033764</v>
      </c>
      <c r="E20" s="2" t="s">
        <v>33</v>
      </c>
      <c r="F20" s="78" t="s">
        <v>250</v>
      </c>
      <c r="G20" s="28" t="s">
        <v>5</v>
      </c>
      <c r="H20" s="2" t="s">
        <v>20</v>
      </c>
      <c r="I20" s="2">
        <v>1</v>
      </c>
      <c r="J20" s="2" t="s">
        <v>251</v>
      </c>
      <c r="K20" s="2">
        <v>638</v>
      </c>
      <c r="L20" s="35">
        <v>2022204.8</v>
      </c>
      <c r="M20" s="36">
        <v>24000</v>
      </c>
      <c r="N20" s="37">
        <v>659734</v>
      </c>
      <c r="O20" s="37">
        <v>298769</v>
      </c>
      <c r="P20" s="37">
        <v>492541</v>
      </c>
      <c r="Q20" s="37">
        <v>168455</v>
      </c>
      <c r="R20" s="37">
        <v>711842</v>
      </c>
      <c r="S20" s="37">
        <v>343435</v>
      </c>
      <c r="T20" s="40"/>
      <c r="U20" s="37">
        <v>4965000</v>
      </c>
      <c r="V20" s="37">
        <v>0</v>
      </c>
      <c r="W20" s="45">
        <v>7639776</v>
      </c>
      <c r="X20" s="46">
        <v>377.79437572297297</v>
      </c>
    </row>
    <row r="21" spans="1:24">
      <c r="A21" s="28" t="s">
        <v>63</v>
      </c>
      <c r="B21" s="29">
        <v>3169.6</v>
      </c>
      <c r="C21" s="30" t="s">
        <v>279</v>
      </c>
      <c r="D21" s="2">
        <v>4947303627</v>
      </c>
      <c r="E21" s="2" t="s">
        <v>33</v>
      </c>
      <c r="F21" s="78" t="s">
        <v>280</v>
      </c>
      <c r="G21" s="28" t="s">
        <v>9</v>
      </c>
      <c r="H21" s="2" t="s">
        <v>23</v>
      </c>
      <c r="I21" s="2">
        <v>2</v>
      </c>
      <c r="J21" s="2"/>
      <c r="K21" s="2">
        <v>9131</v>
      </c>
      <c r="L21" s="35">
        <v>28941617.600000001</v>
      </c>
      <c r="M21" s="36">
        <v>5600</v>
      </c>
      <c r="N21" s="37">
        <v>2278628</v>
      </c>
      <c r="O21" s="37">
        <v>1511</v>
      </c>
      <c r="P21" s="37">
        <v>240981</v>
      </c>
      <c r="Q21" s="37">
        <v>35504</v>
      </c>
      <c r="R21" s="37">
        <v>127900</v>
      </c>
      <c r="S21" s="37">
        <v>343435</v>
      </c>
      <c r="T21" s="40"/>
      <c r="U21" s="37">
        <v>1396800</v>
      </c>
      <c r="V21" s="37">
        <v>0</v>
      </c>
      <c r="W21" s="45">
        <v>4424759</v>
      </c>
      <c r="X21" s="46">
        <v>15.2885683901787</v>
      </c>
    </row>
    <row r="22" spans="1:24">
      <c r="A22" s="28" t="s">
        <v>63</v>
      </c>
      <c r="B22" s="29">
        <v>3169.6</v>
      </c>
      <c r="C22" s="30" t="s">
        <v>283</v>
      </c>
      <c r="D22" s="2">
        <v>4946294846</v>
      </c>
      <c r="E22" s="2" t="s">
        <v>33</v>
      </c>
      <c r="F22" s="2" t="s">
        <v>284</v>
      </c>
      <c r="G22" s="28" t="s">
        <v>9</v>
      </c>
      <c r="H22" s="2" t="s">
        <v>23</v>
      </c>
      <c r="I22" s="2">
        <v>10</v>
      </c>
      <c r="J22" s="2"/>
      <c r="K22" s="2">
        <v>3267.61</v>
      </c>
      <c r="L22" s="35">
        <v>10357016.655999999</v>
      </c>
      <c r="M22" s="36">
        <v>70</v>
      </c>
      <c r="N22" s="37">
        <v>150203.19918458199</v>
      </c>
      <c r="O22" s="37">
        <v>1530</v>
      </c>
      <c r="P22" s="37">
        <v>88939.650110492497</v>
      </c>
      <c r="Q22" s="37">
        <v>23188.148148148099</v>
      </c>
      <c r="R22" s="37">
        <v>111990.698747752</v>
      </c>
      <c r="S22" s="37">
        <v>36203.785173447497</v>
      </c>
      <c r="T22" s="40"/>
      <c r="U22" s="37">
        <v>228026.86886509601</v>
      </c>
      <c r="V22" s="37">
        <v>0</v>
      </c>
      <c r="W22" s="45">
        <v>640082.35022951802</v>
      </c>
      <c r="X22" s="46">
        <v>6.1801807556108104</v>
      </c>
    </row>
    <row r="23" spans="1:24">
      <c r="A23" s="28" t="s">
        <v>63</v>
      </c>
      <c r="B23" s="29">
        <v>3169.6</v>
      </c>
      <c r="C23" s="30" t="s">
        <v>283</v>
      </c>
      <c r="D23" s="2">
        <v>4946294846</v>
      </c>
      <c r="E23" s="2" t="s">
        <v>33</v>
      </c>
      <c r="F23" s="2" t="s">
        <v>284</v>
      </c>
      <c r="G23" s="28" t="s">
        <v>9</v>
      </c>
      <c r="H23" s="2" t="s">
        <v>23</v>
      </c>
      <c r="I23" s="2">
        <v>10</v>
      </c>
      <c r="J23" s="2"/>
      <c r="K23" s="2">
        <v>4863.2700000000004</v>
      </c>
      <c r="L23" s="35">
        <v>15414620.592</v>
      </c>
      <c r="M23" s="36">
        <v>70</v>
      </c>
      <c r="N23" s="37">
        <v>62774.036378586701</v>
      </c>
      <c r="O23" s="37">
        <v>1530</v>
      </c>
      <c r="P23" s="37">
        <v>37170.319020128503</v>
      </c>
      <c r="Q23" s="37">
        <v>23188.148148148099</v>
      </c>
      <c r="R23" s="37">
        <v>46803.984438543899</v>
      </c>
      <c r="S23" s="37">
        <v>15130.554740899401</v>
      </c>
      <c r="T23" s="40"/>
      <c r="U23" s="37">
        <v>95298.682312633799</v>
      </c>
      <c r="V23" s="37">
        <v>0</v>
      </c>
      <c r="W23" s="45">
        <v>281895.72503894003</v>
      </c>
      <c r="X23" s="46">
        <v>1.82875552049099</v>
      </c>
    </row>
    <row r="24" spans="1:24">
      <c r="A24" s="28" t="s">
        <v>63</v>
      </c>
      <c r="B24" s="29">
        <v>3169.6</v>
      </c>
      <c r="C24" s="30" t="s">
        <v>283</v>
      </c>
      <c r="D24" s="2">
        <v>4946294846</v>
      </c>
      <c r="E24" s="2" t="s">
        <v>33</v>
      </c>
      <c r="F24" s="2" t="s">
        <v>284</v>
      </c>
      <c r="G24" s="28" t="s">
        <v>9</v>
      </c>
      <c r="H24" s="2" t="s">
        <v>23</v>
      </c>
      <c r="I24" s="2">
        <v>10</v>
      </c>
      <c r="J24" s="2"/>
      <c r="K24" s="2">
        <v>6041.14</v>
      </c>
      <c r="L24" s="35">
        <v>19147997.344000001</v>
      </c>
      <c r="M24" s="36">
        <v>70</v>
      </c>
      <c r="N24" s="37">
        <v>976527.04736616695</v>
      </c>
      <c r="O24" s="37">
        <v>1530</v>
      </c>
      <c r="P24" s="37">
        <v>578229.85387580295</v>
      </c>
      <c r="Q24" s="37">
        <v>23188.148148148099</v>
      </c>
      <c r="R24" s="37">
        <v>728093.32274089905</v>
      </c>
      <c r="S24" s="37">
        <v>235374.317130621</v>
      </c>
      <c r="T24" s="40"/>
      <c r="U24" s="37">
        <v>1482487.7644539599</v>
      </c>
      <c r="V24" s="37">
        <v>0</v>
      </c>
      <c r="W24" s="45">
        <v>4025430.4537156001</v>
      </c>
      <c r="X24" s="46">
        <v>21.022723062874</v>
      </c>
    </row>
    <row r="25" spans="1:24">
      <c r="A25" s="28" t="s">
        <v>63</v>
      </c>
      <c r="B25" s="29">
        <v>3169.6</v>
      </c>
      <c r="C25" s="30" t="s">
        <v>283</v>
      </c>
      <c r="D25" s="2">
        <v>4946294846</v>
      </c>
      <c r="E25" s="2" t="s">
        <v>33</v>
      </c>
      <c r="F25" s="2" t="s">
        <v>284</v>
      </c>
      <c r="G25" s="28" t="s">
        <v>9</v>
      </c>
      <c r="H25" s="2" t="s">
        <v>23</v>
      </c>
      <c r="I25" s="2">
        <v>10</v>
      </c>
      <c r="J25" s="2"/>
      <c r="K25" s="2">
        <v>6595.13</v>
      </c>
      <c r="L25" s="35">
        <v>20903924.048</v>
      </c>
      <c r="M25" s="36">
        <v>168</v>
      </c>
      <c r="N25" s="37">
        <v>235347.71707066399</v>
      </c>
      <c r="O25" s="37">
        <v>3672</v>
      </c>
      <c r="P25" s="37">
        <v>139356.17699357599</v>
      </c>
      <c r="Q25" s="37">
        <v>55651.555555555598</v>
      </c>
      <c r="R25" s="37">
        <v>175473.99407280501</v>
      </c>
      <c r="S25" s="37">
        <v>56726.342955032102</v>
      </c>
      <c r="T25" s="40"/>
      <c r="U25" s="37">
        <v>357286.68436830799</v>
      </c>
      <c r="V25" s="37">
        <v>0</v>
      </c>
      <c r="W25" s="45">
        <v>1023514.47101594</v>
      </c>
      <c r="X25" s="46">
        <v>4.8962791324046497</v>
      </c>
    </row>
    <row r="26" spans="1:24">
      <c r="A26" s="28" t="s">
        <v>63</v>
      </c>
      <c r="B26" s="29">
        <v>3169.6</v>
      </c>
      <c r="C26" s="30" t="s">
        <v>288</v>
      </c>
      <c r="D26" s="2">
        <v>4946818448</v>
      </c>
      <c r="E26" s="2" t="s">
        <v>33</v>
      </c>
      <c r="F26" s="78" t="s">
        <v>289</v>
      </c>
      <c r="G26" s="28" t="s">
        <v>5</v>
      </c>
      <c r="H26" s="2" t="s">
        <v>20</v>
      </c>
      <c r="I26" s="2">
        <v>1</v>
      </c>
      <c r="J26" s="2" t="s">
        <v>290</v>
      </c>
      <c r="K26" s="2">
        <v>50688</v>
      </c>
      <c r="L26" s="35">
        <v>160660684.80000001</v>
      </c>
      <c r="M26" s="36">
        <v>39600</v>
      </c>
      <c r="N26" s="37">
        <v>942996</v>
      </c>
      <c r="O26" s="37">
        <v>659001</v>
      </c>
      <c r="P26" s="37">
        <v>0</v>
      </c>
      <c r="Q26" s="37">
        <v>210951</v>
      </c>
      <c r="R26" s="37">
        <v>1252708</v>
      </c>
      <c r="S26" s="37">
        <v>343435</v>
      </c>
      <c r="T26" s="40"/>
      <c r="U26" s="37">
        <v>4350000</v>
      </c>
      <c r="V26" s="37">
        <v>0</v>
      </c>
      <c r="W26" s="45">
        <v>7759091</v>
      </c>
      <c r="X26" s="46">
        <v>4.8294895603482502</v>
      </c>
    </row>
    <row r="27" spans="1:24">
      <c r="A27" s="28" t="s">
        <v>63</v>
      </c>
      <c r="B27" s="29">
        <v>3169.6</v>
      </c>
      <c r="C27" s="30" t="s">
        <v>297</v>
      </c>
      <c r="D27" s="2">
        <v>4947174118</v>
      </c>
      <c r="E27" s="2" t="s">
        <v>33</v>
      </c>
      <c r="F27" s="78" t="s">
        <v>298</v>
      </c>
      <c r="G27" s="28" t="s">
        <v>9</v>
      </c>
      <c r="H27" s="2" t="s">
        <v>23</v>
      </c>
      <c r="I27" s="2">
        <v>2</v>
      </c>
      <c r="J27" s="2"/>
      <c r="K27" s="2">
        <v>3297.56</v>
      </c>
      <c r="L27" s="35">
        <v>10451946.176000001</v>
      </c>
      <c r="M27" s="36">
        <v>75</v>
      </c>
      <c r="N27" s="37">
        <v>433308.38121137198</v>
      </c>
      <c r="O27" s="37">
        <v>652.89473684210498</v>
      </c>
      <c r="P27" s="37">
        <v>44088.611124845498</v>
      </c>
      <c r="Q27" s="37">
        <v>10012.8947368421</v>
      </c>
      <c r="R27" s="37">
        <v>280674.76637824503</v>
      </c>
      <c r="S27" s="37">
        <v>272880.12113720598</v>
      </c>
      <c r="T27" s="40"/>
      <c r="U27" s="37">
        <v>1291161.92830655</v>
      </c>
      <c r="V27" s="37">
        <v>0</v>
      </c>
      <c r="W27" s="45">
        <v>2332779.5976319001</v>
      </c>
      <c r="X27" s="46">
        <v>22.3190930985512</v>
      </c>
    </row>
    <row r="28" spans="1:24">
      <c r="A28" s="28" t="s">
        <v>63</v>
      </c>
      <c r="B28" s="29">
        <v>3169.6</v>
      </c>
      <c r="C28" s="30" t="s">
        <v>297</v>
      </c>
      <c r="D28" s="2">
        <v>4947174118</v>
      </c>
      <c r="E28" s="2" t="s">
        <v>33</v>
      </c>
      <c r="F28" s="78" t="s">
        <v>298</v>
      </c>
      <c r="G28" s="28" t="s">
        <v>9</v>
      </c>
      <c r="H28" s="2" t="s">
        <v>23</v>
      </c>
      <c r="I28" s="2">
        <v>2</v>
      </c>
      <c r="J28" s="2"/>
      <c r="K28" s="2">
        <v>466.8</v>
      </c>
      <c r="L28" s="35">
        <v>1479569.28</v>
      </c>
      <c r="M28" s="36">
        <v>10</v>
      </c>
      <c r="N28" s="37">
        <v>79012.942941903602</v>
      </c>
      <c r="O28" s="37">
        <v>87.052631578947398</v>
      </c>
      <c r="P28" s="37">
        <v>8039.4727317676097</v>
      </c>
      <c r="Q28" s="37">
        <v>1335.05263157895</v>
      </c>
      <c r="R28" s="37">
        <v>51180.499299546798</v>
      </c>
      <c r="S28" s="37">
        <v>49759.160857025097</v>
      </c>
      <c r="T28" s="40"/>
      <c r="U28" s="37">
        <v>235440.87350638601</v>
      </c>
      <c r="V28" s="37">
        <v>0</v>
      </c>
      <c r="W28" s="45">
        <v>424855.05459978699</v>
      </c>
      <c r="X28" s="46">
        <v>28.714779384969901</v>
      </c>
    </row>
    <row r="29" spans="1:24">
      <c r="A29" s="28" t="s">
        <v>63</v>
      </c>
      <c r="B29" s="29">
        <v>3169.6</v>
      </c>
      <c r="C29" s="30" t="s">
        <v>297</v>
      </c>
      <c r="D29" s="2">
        <v>4947174118</v>
      </c>
      <c r="E29" s="2" t="s">
        <v>33</v>
      </c>
      <c r="F29" s="78" t="s">
        <v>298</v>
      </c>
      <c r="G29" s="28" t="s">
        <v>9</v>
      </c>
      <c r="H29" s="2" t="s">
        <v>23</v>
      </c>
      <c r="I29" s="2">
        <v>2</v>
      </c>
      <c r="J29" s="2"/>
      <c r="K29" s="2">
        <v>694.75</v>
      </c>
      <c r="L29" s="35">
        <v>2202079.6</v>
      </c>
      <c r="M29" s="36">
        <v>10</v>
      </c>
      <c r="N29" s="37">
        <v>33021.675846724298</v>
      </c>
      <c r="O29" s="37">
        <v>87.052631578947398</v>
      </c>
      <c r="P29" s="37">
        <v>3359.9161433868999</v>
      </c>
      <c r="Q29" s="37">
        <v>1335.05263157895</v>
      </c>
      <c r="R29" s="37">
        <v>21389.7343222085</v>
      </c>
      <c r="S29" s="37">
        <v>20795.718005768402</v>
      </c>
      <c r="T29" s="40"/>
      <c r="U29" s="37">
        <v>98397.198187062197</v>
      </c>
      <c r="V29" s="37">
        <v>0</v>
      </c>
      <c r="W29" s="45">
        <v>178386.34776830801</v>
      </c>
      <c r="X29" s="46">
        <v>8.1008128756248503</v>
      </c>
    </row>
    <row r="30" spans="1:24">
      <c r="A30" s="28" t="s">
        <v>63</v>
      </c>
      <c r="B30" s="29">
        <v>3169.6</v>
      </c>
      <c r="C30" s="30" t="s">
        <v>315</v>
      </c>
      <c r="D30" s="2">
        <v>4947417503</v>
      </c>
      <c r="E30" s="2" t="s">
        <v>33</v>
      </c>
      <c r="F30" s="78" t="s">
        <v>316</v>
      </c>
      <c r="G30" s="28" t="s">
        <v>5</v>
      </c>
      <c r="H30" s="2" t="s">
        <v>20</v>
      </c>
      <c r="I30" s="2">
        <v>1</v>
      </c>
      <c r="J30" s="2" t="s">
        <v>317</v>
      </c>
      <c r="K30" s="2">
        <v>896.84</v>
      </c>
      <c r="L30" s="35">
        <v>2842624.0639999998</v>
      </c>
      <c r="M30" s="36">
        <v>315</v>
      </c>
      <c r="N30" s="37">
        <v>6867.98480821863</v>
      </c>
      <c r="O30" s="37">
        <v>27499.3352601156</v>
      </c>
      <c r="P30" s="37">
        <v>12339.464023640499</v>
      </c>
      <c r="Q30" s="37">
        <v>8610.6069364161795</v>
      </c>
      <c r="R30" s="37">
        <v>11681.097516956899</v>
      </c>
      <c r="S30" s="37">
        <v>7253.9422275990601</v>
      </c>
      <c r="T30" s="40"/>
      <c r="U30" s="37">
        <v>58893.726944587703</v>
      </c>
      <c r="V30" s="37">
        <v>0</v>
      </c>
      <c r="W30" s="45">
        <v>133146.15771753501</v>
      </c>
      <c r="X30" s="46">
        <v>4.6839172088826198</v>
      </c>
    </row>
    <row r="31" spans="1:24">
      <c r="A31" s="28" t="s">
        <v>63</v>
      </c>
      <c r="B31" s="29">
        <v>3169.6</v>
      </c>
      <c r="C31" s="30" t="s">
        <v>315</v>
      </c>
      <c r="D31" s="2">
        <v>4947417503</v>
      </c>
      <c r="E31" s="2" t="s">
        <v>33</v>
      </c>
      <c r="F31" s="78" t="s">
        <v>316</v>
      </c>
      <c r="G31" s="28" t="s">
        <v>5</v>
      </c>
      <c r="H31" s="2" t="s">
        <v>20</v>
      </c>
      <c r="I31" s="2">
        <v>1</v>
      </c>
      <c r="J31" s="2" t="s">
        <v>317</v>
      </c>
      <c r="K31" s="2">
        <v>1565.67</v>
      </c>
      <c r="L31" s="35">
        <v>4962547.6320000002</v>
      </c>
      <c r="M31" s="36">
        <v>315</v>
      </c>
      <c r="N31" s="37">
        <v>10543.807663321601</v>
      </c>
      <c r="O31" s="37">
        <v>27499.3352601156</v>
      </c>
      <c r="P31" s="37">
        <v>18943.6842053072</v>
      </c>
      <c r="Q31" s="37">
        <v>8610.6069364161795</v>
      </c>
      <c r="R31" s="37">
        <v>17932.346892229602</v>
      </c>
      <c r="S31" s="37">
        <v>11136.333842370401</v>
      </c>
      <c r="T31" s="40"/>
      <c r="U31" s="37">
        <v>90414.313196620496</v>
      </c>
      <c r="V31" s="37">
        <v>0</v>
      </c>
      <c r="W31" s="45">
        <v>185080.42799638101</v>
      </c>
      <c r="X31" s="46">
        <v>3.7295446154093699</v>
      </c>
    </row>
    <row r="32" spans="1:24">
      <c r="A32" s="28" t="s">
        <v>63</v>
      </c>
      <c r="B32" s="29">
        <v>3169.6</v>
      </c>
      <c r="C32" s="30" t="s">
        <v>315</v>
      </c>
      <c r="D32" s="2">
        <v>4947417503</v>
      </c>
      <c r="E32" s="2" t="s">
        <v>33</v>
      </c>
      <c r="F32" s="78" t="s">
        <v>316</v>
      </c>
      <c r="G32" s="28" t="s">
        <v>5</v>
      </c>
      <c r="H32" s="2" t="s">
        <v>20</v>
      </c>
      <c r="I32" s="2">
        <v>1</v>
      </c>
      <c r="J32" s="2" t="s">
        <v>317</v>
      </c>
      <c r="K32" s="2">
        <v>1915.2</v>
      </c>
      <c r="L32" s="35">
        <v>6070417.9199999999</v>
      </c>
      <c r="M32" s="36">
        <v>315</v>
      </c>
      <c r="N32" s="37">
        <v>91895.571377573302</v>
      </c>
      <c r="O32" s="37">
        <v>27499.3352601156</v>
      </c>
      <c r="P32" s="37">
        <v>165105.50454166799</v>
      </c>
      <c r="Q32" s="37">
        <v>8610.6069364161795</v>
      </c>
      <c r="R32" s="37">
        <v>156294.23438181699</v>
      </c>
      <c r="S32" s="37">
        <v>97059.790369283204</v>
      </c>
      <c r="T32" s="40"/>
      <c r="U32" s="37">
        <v>788014.65630082099</v>
      </c>
      <c r="V32" s="37">
        <v>0</v>
      </c>
      <c r="W32" s="45">
        <v>1334479.69916769</v>
      </c>
      <c r="X32" s="46">
        <v>21.983324982799399</v>
      </c>
    </row>
    <row r="33" spans="1:24">
      <c r="A33" s="28" t="s">
        <v>63</v>
      </c>
      <c r="B33" s="29">
        <v>3169.6</v>
      </c>
      <c r="C33" s="30" t="s">
        <v>315</v>
      </c>
      <c r="D33" s="2">
        <v>4947331758</v>
      </c>
      <c r="E33" s="2" t="s">
        <v>33</v>
      </c>
      <c r="F33" s="78" t="s">
        <v>316</v>
      </c>
      <c r="G33" s="28" t="s">
        <v>5</v>
      </c>
      <c r="H33" s="2" t="s">
        <v>20</v>
      </c>
      <c r="I33" s="2">
        <v>1</v>
      </c>
      <c r="J33" s="2" t="s">
        <v>317</v>
      </c>
      <c r="K33" s="2">
        <v>11307.74</v>
      </c>
      <c r="L33" s="35">
        <v>35841012.704000004</v>
      </c>
      <c r="M33" s="36">
        <v>1344</v>
      </c>
      <c r="N33" s="37">
        <v>97815.580817897004</v>
      </c>
      <c r="O33" s="37">
        <v>117330.497109827</v>
      </c>
      <c r="P33" s="37">
        <v>175741.774939511</v>
      </c>
      <c r="Q33" s="37">
        <v>36738.589595375699</v>
      </c>
      <c r="R33" s="37">
        <v>166362.625480941</v>
      </c>
      <c r="S33" s="37">
        <v>103312.484233073</v>
      </c>
      <c r="T33" s="40"/>
      <c r="U33" s="37">
        <v>838779.38994883199</v>
      </c>
      <c r="V33" s="37">
        <v>0</v>
      </c>
      <c r="W33" s="45">
        <v>1536080.9421254599</v>
      </c>
      <c r="X33" s="46">
        <v>4.2858190275243597</v>
      </c>
    </row>
    <row r="34" spans="1:24">
      <c r="A34" s="28" t="s">
        <v>63</v>
      </c>
      <c r="B34" s="29">
        <v>3169.6</v>
      </c>
      <c r="C34" s="30" t="s">
        <v>315</v>
      </c>
      <c r="D34" s="2">
        <v>4947331758</v>
      </c>
      <c r="E34" s="2" t="s">
        <v>33</v>
      </c>
      <c r="F34" s="78" t="s">
        <v>316</v>
      </c>
      <c r="G34" s="28" t="s">
        <v>5</v>
      </c>
      <c r="H34" s="2" t="s">
        <v>20</v>
      </c>
      <c r="I34" s="2">
        <v>1</v>
      </c>
      <c r="J34" s="2" t="s">
        <v>317</v>
      </c>
      <c r="K34" s="2">
        <v>14952.54</v>
      </c>
      <c r="L34" s="35">
        <v>47393570.784000002</v>
      </c>
      <c r="M34" s="36">
        <v>1344</v>
      </c>
      <c r="N34" s="37">
        <v>118039.05533299</v>
      </c>
      <c r="O34" s="37">
        <v>117330.497109827</v>
      </c>
      <c r="P34" s="37">
        <v>212076.572289873</v>
      </c>
      <c r="Q34" s="37">
        <v>36738.589595375699</v>
      </c>
      <c r="R34" s="37">
        <v>200758.695728055</v>
      </c>
      <c r="S34" s="37">
        <v>124672.449327674</v>
      </c>
      <c r="T34" s="40"/>
      <c r="U34" s="37">
        <v>1012197.91360914</v>
      </c>
      <c r="V34" s="37">
        <v>0</v>
      </c>
      <c r="W34" s="45">
        <v>1821813.7729929299</v>
      </c>
      <c r="X34" s="46">
        <v>3.8440103643930899</v>
      </c>
    </row>
    <row r="35" spans="1:24">
      <c r="A35" s="28" t="s">
        <v>63</v>
      </c>
      <c r="B35" s="29">
        <v>3169.6</v>
      </c>
      <c r="C35" s="30" t="s">
        <v>336</v>
      </c>
      <c r="D35" s="2">
        <v>4947642174</v>
      </c>
      <c r="E35" s="2" t="s">
        <v>33</v>
      </c>
      <c r="F35" s="78" t="s">
        <v>337</v>
      </c>
      <c r="G35" s="28" t="s">
        <v>5</v>
      </c>
      <c r="H35" s="2" t="s">
        <v>20</v>
      </c>
      <c r="I35" s="2">
        <v>3</v>
      </c>
      <c r="J35" s="2" t="s">
        <v>338</v>
      </c>
      <c r="K35" s="2">
        <v>81378</v>
      </c>
      <c r="L35" s="35">
        <v>257935708.80000001</v>
      </c>
      <c r="M35" s="36">
        <v>59400</v>
      </c>
      <c r="N35" s="37">
        <v>2908437</v>
      </c>
      <c r="O35" s="37">
        <v>898085</v>
      </c>
      <c r="P35" s="37">
        <v>454775</v>
      </c>
      <c r="Q35" s="37">
        <v>353502</v>
      </c>
      <c r="R35" s="37">
        <v>1684076</v>
      </c>
      <c r="S35" s="37">
        <v>343435</v>
      </c>
      <c r="T35" s="40"/>
      <c r="U35" s="37">
        <v>3847100</v>
      </c>
      <c r="V35" s="37">
        <v>900000</v>
      </c>
      <c r="W35" s="45">
        <v>11389410</v>
      </c>
      <c r="X35" s="46">
        <v>4.41560032652602</v>
      </c>
    </row>
    <row r="36" spans="1:24">
      <c r="A36" s="28" t="s">
        <v>63</v>
      </c>
      <c r="B36" s="29">
        <v>3169.6</v>
      </c>
      <c r="C36" s="30" t="s">
        <v>434</v>
      </c>
      <c r="D36" s="2">
        <v>4948392543</v>
      </c>
      <c r="E36" s="2" t="s">
        <v>33</v>
      </c>
      <c r="F36" s="78" t="s">
        <v>435</v>
      </c>
      <c r="G36" s="28" t="s">
        <v>13</v>
      </c>
      <c r="H36" s="2" t="s">
        <v>23</v>
      </c>
      <c r="I36" s="2">
        <v>5</v>
      </c>
      <c r="J36" s="2"/>
      <c r="K36" s="2">
        <v>16851.21</v>
      </c>
      <c r="L36" s="35">
        <v>53411595.215999998</v>
      </c>
      <c r="M36" s="36">
        <v>100</v>
      </c>
      <c r="N36" s="37">
        <v>1735193.67</v>
      </c>
      <c r="O36" s="37">
        <v>0</v>
      </c>
      <c r="P36" s="37">
        <v>314303</v>
      </c>
      <c r="Q36" s="37">
        <v>0</v>
      </c>
      <c r="R36" s="37">
        <v>9941</v>
      </c>
      <c r="S36" s="37">
        <v>343435</v>
      </c>
      <c r="T36" s="37"/>
      <c r="U36" s="37">
        <v>374420</v>
      </c>
      <c r="V36" s="37">
        <v>0</v>
      </c>
      <c r="W36" s="45">
        <v>2777292.67</v>
      </c>
      <c r="X36" s="46">
        <v>5.1997935256725496</v>
      </c>
    </row>
    <row r="37" spans="1:24">
      <c r="A37" s="28" t="s">
        <v>63</v>
      </c>
      <c r="B37" s="29">
        <v>3169.6</v>
      </c>
      <c r="C37" s="30" t="s">
        <v>444</v>
      </c>
      <c r="D37" s="2">
        <v>4948067360</v>
      </c>
      <c r="E37" s="2" t="s">
        <v>33</v>
      </c>
      <c r="F37" s="2" t="s">
        <v>445</v>
      </c>
      <c r="G37" s="28" t="s">
        <v>5</v>
      </c>
      <c r="H37" s="2" t="s">
        <v>17</v>
      </c>
      <c r="I37" s="2">
        <v>1</v>
      </c>
      <c r="J37" s="2" t="s">
        <v>446</v>
      </c>
      <c r="K37" s="2">
        <v>51710.400000000001</v>
      </c>
      <c r="L37" s="35">
        <v>163901283.84</v>
      </c>
      <c r="M37" s="36">
        <v>15390</v>
      </c>
      <c r="N37" s="37">
        <v>328475</v>
      </c>
      <c r="O37" s="37">
        <v>418768</v>
      </c>
      <c r="P37" s="37">
        <v>0</v>
      </c>
      <c r="Q37" s="37">
        <v>99309</v>
      </c>
      <c r="R37" s="37">
        <v>735197</v>
      </c>
      <c r="S37" s="37">
        <v>343435</v>
      </c>
      <c r="T37" s="37"/>
      <c r="U37" s="37">
        <v>4646550</v>
      </c>
      <c r="V37" s="37">
        <v>0</v>
      </c>
      <c r="W37" s="45">
        <v>6571734</v>
      </c>
      <c r="X37" s="46">
        <v>4.0095683487234401</v>
      </c>
    </row>
    <row r="38" spans="1:24">
      <c r="A38" s="28" t="s">
        <v>63</v>
      </c>
      <c r="B38" s="29">
        <v>3169.6</v>
      </c>
      <c r="C38" s="30" t="s">
        <v>288</v>
      </c>
      <c r="D38" s="2">
        <v>4946818448</v>
      </c>
      <c r="E38" s="2" t="s">
        <v>33</v>
      </c>
      <c r="F38" s="78" t="s">
        <v>289</v>
      </c>
      <c r="G38" s="28" t="s">
        <v>5</v>
      </c>
      <c r="H38" s="2" t="s">
        <v>20</v>
      </c>
      <c r="I38" s="2">
        <v>1</v>
      </c>
      <c r="J38" s="2" t="s">
        <v>290</v>
      </c>
      <c r="K38" s="2">
        <v>50688</v>
      </c>
      <c r="L38" s="35">
        <v>160660684.80000001</v>
      </c>
      <c r="M38" s="36">
        <v>39600</v>
      </c>
      <c r="N38" s="37">
        <v>942996</v>
      </c>
      <c r="O38" s="37">
        <v>319212</v>
      </c>
      <c r="P38" s="37">
        <v>0</v>
      </c>
      <c r="Q38" s="37">
        <v>99309</v>
      </c>
      <c r="R38" s="37">
        <v>1252708</v>
      </c>
      <c r="S38" s="37">
        <v>343435</v>
      </c>
      <c r="T38" s="37"/>
      <c r="U38" s="37">
        <v>4350000</v>
      </c>
      <c r="V38" s="37">
        <v>0</v>
      </c>
      <c r="W38" s="45">
        <v>7307660</v>
      </c>
      <c r="X38" s="46">
        <v>4.5485054474260496</v>
      </c>
    </row>
    <row r="39" spans="1:24">
      <c r="A39" s="28" t="s">
        <v>63</v>
      </c>
      <c r="B39" s="29">
        <v>3169.6</v>
      </c>
      <c r="C39" s="30" t="s">
        <v>479</v>
      </c>
      <c r="D39" s="2">
        <v>4948308293</v>
      </c>
      <c r="E39" s="2" t="s">
        <v>33</v>
      </c>
      <c r="F39" s="2" t="s">
        <v>480</v>
      </c>
      <c r="G39" s="28" t="s">
        <v>13</v>
      </c>
      <c r="H39" s="2" t="s">
        <v>23</v>
      </c>
      <c r="I39" s="2">
        <v>1</v>
      </c>
      <c r="J39" s="2"/>
      <c r="K39" s="2">
        <v>477</v>
      </c>
      <c r="L39" s="35">
        <v>1511899.2</v>
      </c>
      <c r="M39" s="36">
        <v>150</v>
      </c>
      <c r="N39" s="37">
        <v>862252.84</v>
      </c>
      <c r="O39" s="37">
        <v>0</v>
      </c>
      <c r="P39" s="37">
        <v>0</v>
      </c>
      <c r="Q39" s="37">
        <v>0</v>
      </c>
      <c r="R39" s="37">
        <v>3449</v>
      </c>
      <c r="S39" s="37">
        <v>343435</v>
      </c>
      <c r="T39" s="37"/>
      <c r="U39" s="37">
        <v>246380</v>
      </c>
      <c r="V39" s="37">
        <v>0</v>
      </c>
      <c r="W39" s="45">
        <v>1455516.84</v>
      </c>
      <c r="X39" s="46">
        <v>96.270759320462602</v>
      </c>
    </row>
    <row r="40" spans="1:24">
      <c r="A40" s="28" t="s">
        <v>63</v>
      </c>
      <c r="B40" s="29">
        <v>3169.6</v>
      </c>
      <c r="C40" s="30" t="s">
        <v>336</v>
      </c>
      <c r="D40" s="2">
        <v>4947642174</v>
      </c>
      <c r="E40" s="2" t="s">
        <v>33</v>
      </c>
      <c r="F40" s="78" t="s">
        <v>337</v>
      </c>
      <c r="G40" s="28" t="s">
        <v>5</v>
      </c>
      <c r="H40" s="2" t="s">
        <v>20</v>
      </c>
      <c r="I40" s="2">
        <v>3</v>
      </c>
      <c r="J40" s="2" t="s">
        <v>338</v>
      </c>
      <c r="K40" s="2">
        <v>81378</v>
      </c>
      <c r="L40" s="35">
        <v>257935708.80000001</v>
      </c>
      <c r="M40" s="36">
        <v>59400</v>
      </c>
      <c r="N40" s="37">
        <v>2908437</v>
      </c>
      <c r="O40" s="37">
        <v>957637</v>
      </c>
      <c r="P40" s="37">
        <v>454775</v>
      </c>
      <c r="Q40" s="37">
        <v>297928</v>
      </c>
      <c r="R40" s="37">
        <v>1684076</v>
      </c>
      <c r="S40" s="37">
        <v>343435</v>
      </c>
      <c r="T40" s="37"/>
      <c r="U40" s="37">
        <v>3847100</v>
      </c>
      <c r="V40" s="37">
        <v>900000</v>
      </c>
      <c r="W40" s="45">
        <v>11393388</v>
      </c>
      <c r="X40" s="46">
        <v>4.4171425713041899</v>
      </c>
    </row>
    <row r="41" spans="1:24">
      <c r="A41" s="28" t="s">
        <v>63</v>
      </c>
      <c r="B41" s="29">
        <v>3169.6</v>
      </c>
      <c r="C41" s="30" t="s">
        <v>519</v>
      </c>
      <c r="D41" s="78" t="s">
        <v>520</v>
      </c>
      <c r="E41" s="2" t="s">
        <v>33</v>
      </c>
      <c r="F41" s="78" t="s">
        <v>521</v>
      </c>
      <c r="G41" s="28" t="s">
        <v>9</v>
      </c>
      <c r="H41" s="2" t="s">
        <v>23</v>
      </c>
      <c r="I41" s="2">
        <v>4</v>
      </c>
      <c r="J41" s="2"/>
      <c r="K41" s="2">
        <v>18116.75</v>
      </c>
      <c r="L41" s="35">
        <v>57422850.799999997</v>
      </c>
      <c r="M41" s="36">
        <v>11425</v>
      </c>
      <c r="N41" s="37">
        <v>3732313</v>
      </c>
      <c r="O41" s="37">
        <v>2952</v>
      </c>
      <c r="P41" s="37">
        <v>0</v>
      </c>
      <c r="Q41" s="37">
        <v>72571</v>
      </c>
      <c r="R41" s="37">
        <v>171413</v>
      </c>
      <c r="S41" s="37">
        <v>343435</v>
      </c>
      <c r="T41" s="37"/>
      <c r="U41" s="37">
        <v>2163100</v>
      </c>
      <c r="V41" s="37">
        <v>0</v>
      </c>
      <c r="W41" s="45">
        <v>6485784</v>
      </c>
      <c r="X41" s="46">
        <v>11.2947788374171</v>
      </c>
    </row>
    <row r="42" spans="1:24">
      <c r="A42" s="28" t="s">
        <v>63</v>
      </c>
      <c r="B42" s="29">
        <v>3169.6</v>
      </c>
      <c r="C42" s="30" t="s">
        <v>586</v>
      </c>
      <c r="D42" s="2">
        <v>4947275284</v>
      </c>
      <c r="E42" s="2" t="s">
        <v>33</v>
      </c>
      <c r="F42" s="78" t="s">
        <v>587</v>
      </c>
      <c r="G42" s="28" t="s">
        <v>5</v>
      </c>
      <c r="H42" s="2" t="s">
        <v>20</v>
      </c>
      <c r="I42" s="2">
        <v>1</v>
      </c>
      <c r="J42" s="2" t="s">
        <v>588</v>
      </c>
      <c r="K42" s="2">
        <v>14184</v>
      </c>
      <c r="L42" s="35">
        <v>44957606.399999999</v>
      </c>
      <c r="M42" s="36">
        <v>24000</v>
      </c>
      <c r="N42" s="37">
        <v>592284</v>
      </c>
      <c r="O42" s="50">
        <v>295463</v>
      </c>
      <c r="P42" s="50">
        <v>216010</v>
      </c>
      <c r="Q42" s="50">
        <v>103726</v>
      </c>
      <c r="R42" s="37">
        <v>1113066</v>
      </c>
      <c r="S42" s="37">
        <v>343435</v>
      </c>
      <c r="T42" s="37"/>
      <c r="U42" s="37">
        <v>5304500</v>
      </c>
      <c r="V42" s="37">
        <v>0</v>
      </c>
      <c r="W42" s="45">
        <v>7968484</v>
      </c>
      <c r="X42" s="46">
        <v>17.7244400627165</v>
      </c>
    </row>
    <row r="44" spans="1:24" ht="15" customHeight="1">
      <c r="A44" s="31" t="s">
        <v>63</v>
      </c>
      <c r="B44" s="31"/>
      <c r="C44" s="31"/>
      <c r="D44" s="31"/>
      <c r="E44" s="31"/>
      <c r="F44" s="32">
        <v>20</v>
      </c>
      <c r="G44" s="31"/>
      <c r="H44" s="31"/>
      <c r="I44" s="38"/>
      <c r="J44" s="31"/>
      <c r="K44" s="39">
        <f>+SUM(K2:K42)</f>
        <v>611199.02</v>
      </c>
      <c r="L44" s="39">
        <f>+SUM(L2:L42)</f>
        <v>1937256413.7920001</v>
      </c>
      <c r="M44" s="31"/>
      <c r="N44" s="39"/>
      <c r="O44" s="39"/>
      <c r="P44" s="39"/>
      <c r="Q44" s="39"/>
      <c r="R44" s="39"/>
      <c r="S44" s="39"/>
      <c r="T44" s="39"/>
      <c r="U44" s="39"/>
      <c r="V44" s="31"/>
      <c r="W44" s="39">
        <f>+SUM(W2:W42)</f>
        <v>124647531.63999999</v>
      </c>
      <c r="X44" s="47">
        <f>(W44/L44)*100</f>
        <v>6.4342299115693198</v>
      </c>
    </row>
    <row r="46" spans="1:24" s="4" customFormat="1" ht="15" customHeight="1">
      <c r="A46" s="28" t="s">
        <v>647</v>
      </c>
      <c r="B46" s="29">
        <v>3125.21</v>
      </c>
      <c r="C46" s="30" t="s">
        <v>648</v>
      </c>
      <c r="D46" s="2">
        <v>4946627885</v>
      </c>
      <c r="E46" s="2" t="s">
        <v>33</v>
      </c>
      <c r="F46" s="2" t="s">
        <v>649</v>
      </c>
      <c r="G46" s="28" t="s">
        <v>13</v>
      </c>
      <c r="H46" s="2" t="s">
        <v>23</v>
      </c>
      <c r="I46" s="2">
        <v>2</v>
      </c>
      <c r="J46" s="2"/>
      <c r="K46" s="2">
        <v>3146</v>
      </c>
      <c r="L46" s="35">
        <v>9831910.6600000001</v>
      </c>
      <c r="M46" s="36">
        <v>2969</v>
      </c>
      <c r="N46" s="37">
        <v>531022.03</v>
      </c>
      <c r="O46" s="37">
        <v>0</v>
      </c>
      <c r="P46" s="37">
        <v>0</v>
      </c>
      <c r="Q46" s="37">
        <v>0</v>
      </c>
      <c r="R46" s="37">
        <v>4190.67</v>
      </c>
      <c r="S46" s="37">
        <v>321111.72499999998</v>
      </c>
      <c r="T46" s="37"/>
      <c r="U46" s="37">
        <v>230365.3</v>
      </c>
      <c r="V46" s="37">
        <v>0</v>
      </c>
      <c r="W46" s="45">
        <v>1086689.7250000001</v>
      </c>
      <c r="X46" s="46">
        <v>11.0526810360582</v>
      </c>
    </row>
    <row r="47" spans="1:24" s="4" customFormat="1" ht="15" customHeight="1">
      <c r="A47" s="28" t="s">
        <v>647</v>
      </c>
      <c r="B47" s="29">
        <v>3125.21</v>
      </c>
      <c r="C47" s="30" t="s">
        <v>662</v>
      </c>
      <c r="D47" s="2">
        <v>4947655461</v>
      </c>
      <c r="E47" s="2" t="s">
        <v>33</v>
      </c>
      <c r="F47" s="2" t="s">
        <v>663</v>
      </c>
      <c r="G47" s="28" t="s">
        <v>5</v>
      </c>
      <c r="H47" s="2" t="s">
        <v>20</v>
      </c>
      <c r="I47" s="2">
        <v>1</v>
      </c>
      <c r="J47" s="2" t="s">
        <v>664</v>
      </c>
      <c r="K47" s="2">
        <v>6461.57</v>
      </c>
      <c r="L47" s="35">
        <v>20193763.179699998</v>
      </c>
      <c r="M47" s="36">
        <v>768</v>
      </c>
      <c r="N47" s="40">
        <v>54436.623297346698</v>
      </c>
      <c r="O47" s="40">
        <v>36633.404580152703</v>
      </c>
      <c r="P47" s="40">
        <v>0</v>
      </c>
      <c r="Q47" s="40">
        <v>11415.852716659199</v>
      </c>
      <c r="R47" s="40">
        <v>108664.02512069599</v>
      </c>
      <c r="S47" s="40">
        <v>59105.3682723565</v>
      </c>
      <c r="T47" s="40"/>
      <c r="U47" s="40">
        <v>479868.09251768602</v>
      </c>
      <c r="V47" s="40">
        <v>0</v>
      </c>
      <c r="W47" s="45">
        <v>750123.36650489701</v>
      </c>
      <c r="X47" s="46">
        <v>3.7146289170062499</v>
      </c>
    </row>
    <row r="48" spans="1:24" s="4" customFormat="1" ht="15" customHeight="1">
      <c r="A48" s="28" t="s">
        <v>647</v>
      </c>
      <c r="B48" s="29">
        <v>3125.21</v>
      </c>
      <c r="C48" s="30" t="s">
        <v>662</v>
      </c>
      <c r="D48" s="2">
        <v>4947655461</v>
      </c>
      <c r="E48" s="2" t="s">
        <v>33</v>
      </c>
      <c r="F48" s="2" t="s">
        <v>663</v>
      </c>
      <c r="G48" s="28" t="s">
        <v>5</v>
      </c>
      <c r="H48" s="2" t="s">
        <v>20</v>
      </c>
      <c r="I48" s="2">
        <v>1</v>
      </c>
      <c r="J48" s="2" t="s">
        <v>664</v>
      </c>
      <c r="K48" s="2">
        <v>8544.31</v>
      </c>
      <c r="L48" s="35">
        <v>26702763.055100001</v>
      </c>
      <c r="M48" s="36">
        <v>768</v>
      </c>
      <c r="N48" s="40">
        <v>65691.452586671498</v>
      </c>
      <c r="O48" s="40">
        <v>36633.404580152703</v>
      </c>
      <c r="P48" s="40">
        <v>0</v>
      </c>
      <c r="Q48" s="40">
        <v>11415.852716659199</v>
      </c>
      <c r="R48" s="40">
        <v>131131.05563088201</v>
      </c>
      <c r="S48" s="40">
        <v>71325.465510100999</v>
      </c>
      <c r="T48" s="40"/>
      <c r="U48" s="40">
        <v>579081.32683568902</v>
      </c>
      <c r="V48" s="40">
        <v>0</v>
      </c>
      <c r="W48" s="45">
        <v>895278.55786015501</v>
      </c>
      <c r="X48" s="46">
        <v>3.35275625227542</v>
      </c>
    </row>
    <row r="49" spans="1:24" s="4" customFormat="1" ht="15" customHeight="1">
      <c r="A49" s="28" t="s">
        <v>647</v>
      </c>
      <c r="B49" s="29">
        <v>3125.21</v>
      </c>
      <c r="C49" s="30" t="s">
        <v>662</v>
      </c>
      <c r="D49" s="2">
        <v>4947655461</v>
      </c>
      <c r="E49" s="2" t="s">
        <v>33</v>
      </c>
      <c r="F49" s="2" t="s">
        <v>663</v>
      </c>
      <c r="G49" s="28" t="s">
        <v>5</v>
      </c>
      <c r="H49" s="2" t="s">
        <v>20</v>
      </c>
      <c r="I49" s="2">
        <v>1</v>
      </c>
      <c r="J49" s="2" t="s">
        <v>664</v>
      </c>
      <c r="K49" s="2">
        <v>5490</v>
      </c>
      <c r="L49" s="35">
        <v>17157402.899999999</v>
      </c>
      <c r="M49" s="36">
        <v>2000</v>
      </c>
      <c r="N49" s="40">
        <v>29907.6033411055</v>
      </c>
      <c r="O49" s="40">
        <v>95399.491094147597</v>
      </c>
      <c r="P49" s="40">
        <v>0</v>
      </c>
      <c r="Q49" s="40">
        <v>29728.783116300001</v>
      </c>
      <c r="R49" s="40">
        <v>59699.834476472497</v>
      </c>
      <c r="S49" s="40">
        <v>32472.622336693701</v>
      </c>
      <c r="T49" s="40"/>
      <c r="U49" s="40">
        <v>263640.609901155</v>
      </c>
      <c r="V49" s="40">
        <v>0</v>
      </c>
      <c r="W49" s="45">
        <v>510848.94426587399</v>
      </c>
      <c r="X49" s="46">
        <v>2.9774258216310501</v>
      </c>
    </row>
    <row r="50" spans="1:24" s="4" customFormat="1" ht="15" customHeight="1">
      <c r="A50" s="28" t="s">
        <v>647</v>
      </c>
      <c r="B50" s="29">
        <v>3125.21</v>
      </c>
      <c r="C50" s="30" t="s">
        <v>662</v>
      </c>
      <c r="D50" s="2">
        <v>4947655461</v>
      </c>
      <c r="E50" s="2" t="s">
        <v>33</v>
      </c>
      <c r="F50" s="2" t="s">
        <v>663</v>
      </c>
      <c r="G50" s="28" t="s">
        <v>5</v>
      </c>
      <c r="H50" s="2" t="s">
        <v>20</v>
      </c>
      <c r="I50" s="2">
        <v>1</v>
      </c>
      <c r="J50" s="2" t="s">
        <v>664</v>
      </c>
      <c r="K50" s="2">
        <v>5010</v>
      </c>
      <c r="L50" s="35">
        <v>15657302.1</v>
      </c>
      <c r="M50" s="36">
        <v>2000</v>
      </c>
      <c r="N50" s="40">
        <v>29907.6033411055</v>
      </c>
      <c r="O50" s="40">
        <v>95399.491094147597</v>
      </c>
      <c r="P50" s="40">
        <v>0</v>
      </c>
      <c r="Q50" s="40">
        <v>29728.783116300001</v>
      </c>
      <c r="R50" s="40">
        <v>59699.834476472497</v>
      </c>
      <c r="S50" s="40">
        <v>32472.622336693701</v>
      </c>
      <c r="T50" s="40"/>
      <c r="U50" s="40">
        <v>263640.609901155</v>
      </c>
      <c r="V50" s="40">
        <v>0</v>
      </c>
      <c r="W50" s="45">
        <v>510848.94426587399</v>
      </c>
      <c r="X50" s="46">
        <v>3.26268817579929</v>
      </c>
    </row>
    <row r="51" spans="1:24" s="4" customFormat="1" ht="15" customHeight="1">
      <c r="A51" s="28" t="s">
        <v>647</v>
      </c>
      <c r="B51" s="29">
        <v>3125.21</v>
      </c>
      <c r="C51" s="30" t="s">
        <v>662</v>
      </c>
      <c r="D51" s="2">
        <v>4947655461</v>
      </c>
      <c r="E51" s="2" t="s">
        <v>33</v>
      </c>
      <c r="F51" s="2" t="s">
        <v>663</v>
      </c>
      <c r="G51" s="28" t="s">
        <v>5</v>
      </c>
      <c r="H51" s="2" t="s">
        <v>20</v>
      </c>
      <c r="I51" s="2">
        <v>1</v>
      </c>
      <c r="J51" s="2" t="s">
        <v>664</v>
      </c>
      <c r="K51" s="2">
        <v>476</v>
      </c>
      <c r="L51" s="35">
        <v>1487599.96</v>
      </c>
      <c r="M51" s="36">
        <v>200</v>
      </c>
      <c r="N51" s="40">
        <v>29907.6033411055</v>
      </c>
      <c r="O51" s="40">
        <v>9539.9491094147597</v>
      </c>
      <c r="P51" s="40">
        <v>0</v>
      </c>
      <c r="Q51" s="40">
        <v>2972.8783116300001</v>
      </c>
      <c r="R51" s="40">
        <v>59699.834476472497</v>
      </c>
      <c r="S51" s="40">
        <v>32472.622336693701</v>
      </c>
      <c r="T51" s="40"/>
      <c r="U51" s="40">
        <v>263640.609901155</v>
      </c>
      <c r="V51" s="40">
        <v>0</v>
      </c>
      <c r="W51" s="45">
        <v>398233.49747647101</v>
      </c>
      <c r="X51" s="46">
        <v>26.770200872852399</v>
      </c>
    </row>
    <row r="52" spans="1:24" s="4" customFormat="1" ht="15" customHeight="1">
      <c r="A52" s="28" t="s">
        <v>647</v>
      </c>
      <c r="B52" s="29">
        <v>3125.21</v>
      </c>
      <c r="C52" s="30" t="s">
        <v>662</v>
      </c>
      <c r="D52" s="2">
        <v>4947655461</v>
      </c>
      <c r="E52" s="2" t="s">
        <v>33</v>
      </c>
      <c r="F52" s="2" t="s">
        <v>663</v>
      </c>
      <c r="G52" s="28" t="s">
        <v>5</v>
      </c>
      <c r="H52" s="2" t="s">
        <v>20</v>
      </c>
      <c r="I52" s="2">
        <v>1</v>
      </c>
      <c r="J52" s="2" t="s">
        <v>664</v>
      </c>
      <c r="K52" s="2">
        <v>896.84</v>
      </c>
      <c r="L52" s="35">
        <v>2802813.3363999999</v>
      </c>
      <c r="M52" s="36">
        <v>315</v>
      </c>
      <c r="N52" s="40">
        <v>6688.8354872382597</v>
      </c>
      <c r="O52" s="40">
        <v>15025.419847328199</v>
      </c>
      <c r="P52" s="40">
        <v>0</v>
      </c>
      <c r="Q52" s="40">
        <v>4682.2833408172401</v>
      </c>
      <c r="R52" s="40">
        <v>13351.646480663099</v>
      </c>
      <c r="S52" s="40">
        <v>7262.5019856015497</v>
      </c>
      <c r="T52" s="40"/>
      <c r="U52" s="40">
        <v>58963.222404393302</v>
      </c>
      <c r="V52" s="40">
        <v>0</v>
      </c>
      <c r="W52" s="45">
        <v>105973.90954604201</v>
      </c>
      <c r="X52" s="46">
        <v>3.78098349147136</v>
      </c>
    </row>
    <row r="53" spans="1:24" s="4" customFormat="1" ht="15" customHeight="1">
      <c r="A53" s="28" t="s">
        <v>647</v>
      </c>
      <c r="B53" s="29">
        <v>3125.21</v>
      </c>
      <c r="C53" s="30" t="s">
        <v>662</v>
      </c>
      <c r="D53" s="2">
        <v>4947655461</v>
      </c>
      <c r="E53" s="2" t="s">
        <v>33</v>
      </c>
      <c r="F53" s="2" t="s">
        <v>663</v>
      </c>
      <c r="G53" s="28" t="s">
        <v>5</v>
      </c>
      <c r="H53" s="2" t="s">
        <v>20</v>
      </c>
      <c r="I53" s="2">
        <v>1</v>
      </c>
      <c r="J53" s="2" t="s">
        <v>664</v>
      </c>
      <c r="K53" s="2">
        <v>1565.68</v>
      </c>
      <c r="L53" s="35">
        <v>4893078.7927999999</v>
      </c>
      <c r="M53" s="36">
        <v>315</v>
      </c>
      <c r="N53" s="40">
        <v>10268.7756071686</v>
      </c>
      <c r="O53" s="40">
        <v>15025.419847328199</v>
      </c>
      <c r="P53" s="40">
        <v>0</v>
      </c>
      <c r="Q53" s="40">
        <v>4682.2833408172401</v>
      </c>
      <c r="R53" s="40">
        <v>20498.189667496801</v>
      </c>
      <c r="S53" s="40">
        <v>11149.4748793038</v>
      </c>
      <c r="T53" s="40"/>
      <c r="U53" s="40">
        <v>90521.003409561497</v>
      </c>
      <c r="V53" s="40">
        <v>0</v>
      </c>
      <c r="W53" s="45">
        <v>152145.14675167599</v>
      </c>
      <c r="X53" s="46">
        <v>3.10939498819338</v>
      </c>
    </row>
    <row r="54" spans="1:24" s="4" customFormat="1" ht="15" customHeight="1">
      <c r="A54" s="28" t="s">
        <v>647</v>
      </c>
      <c r="B54" s="29">
        <v>3125.21</v>
      </c>
      <c r="C54" s="30" t="s">
        <v>662</v>
      </c>
      <c r="D54" s="2">
        <v>4947655461</v>
      </c>
      <c r="E54" s="2" t="s">
        <v>33</v>
      </c>
      <c r="F54" s="2" t="s">
        <v>663</v>
      </c>
      <c r="G54" s="28" t="s">
        <v>5</v>
      </c>
      <c r="H54" s="2" t="s">
        <v>20</v>
      </c>
      <c r="I54" s="2">
        <v>1</v>
      </c>
      <c r="J54" s="2" t="s">
        <v>664</v>
      </c>
      <c r="K54" s="2">
        <v>1915</v>
      </c>
      <c r="L54" s="35">
        <v>5984777.1500000004</v>
      </c>
      <c r="M54" s="36">
        <v>315</v>
      </c>
      <c r="N54" s="40">
        <v>89498.502998258293</v>
      </c>
      <c r="O54" s="40">
        <v>15025.419847328199</v>
      </c>
      <c r="P54" s="40">
        <v>0</v>
      </c>
      <c r="Q54" s="40">
        <v>4682.2833408172401</v>
      </c>
      <c r="R54" s="40">
        <v>178653.57967084399</v>
      </c>
      <c r="S54" s="40">
        <v>97174.322342555999</v>
      </c>
      <c r="T54" s="40"/>
      <c r="U54" s="40">
        <v>788944.52512920601</v>
      </c>
      <c r="V54" s="40">
        <v>0</v>
      </c>
      <c r="W54" s="45">
        <v>1173978.6333290101</v>
      </c>
      <c r="X54" s="46">
        <v>19.616079327682399</v>
      </c>
    </row>
    <row r="55" spans="1:24" s="4" customFormat="1" ht="15" customHeight="1">
      <c r="A55" s="28" t="s">
        <v>647</v>
      </c>
      <c r="B55" s="29">
        <v>3125.21</v>
      </c>
      <c r="C55" s="30" t="s">
        <v>665</v>
      </c>
      <c r="D55" s="2">
        <v>4947591490</v>
      </c>
      <c r="E55" s="2" t="s">
        <v>33</v>
      </c>
      <c r="F55" s="2" t="s">
        <v>666</v>
      </c>
      <c r="G55" s="28" t="s">
        <v>5</v>
      </c>
      <c r="H55" s="2" t="s">
        <v>20</v>
      </c>
      <c r="I55" s="2">
        <v>2</v>
      </c>
      <c r="J55" s="2" t="s">
        <v>667</v>
      </c>
      <c r="K55" s="2">
        <v>25344</v>
      </c>
      <c r="L55" s="35">
        <v>79205322.239999995</v>
      </c>
      <c r="M55" s="36">
        <v>39600</v>
      </c>
      <c r="N55" s="37">
        <v>640599</v>
      </c>
      <c r="O55" s="37">
        <v>637364</v>
      </c>
      <c r="P55" s="37">
        <v>0</v>
      </c>
      <c r="Q55" s="37">
        <v>198619</v>
      </c>
      <c r="R55" s="37">
        <v>1062651</v>
      </c>
      <c r="S55" s="37">
        <v>343435</v>
      </c>
      <c r="T55" s="37"/>
      <c r="U55" s="37">
        <v>8700000</v>
      </c>
      <c r="V55" s="37">
        <v>0</v>
      </c>
      <c r="W55" s="45">
        <v>11582668</v>
      </c>
      <c r="X55" s="46">
        <v>14.6235981022883</v>
      </c>
    </row>
    <row r="56" spans="1:24" s="4" customFormat="1" ht="15" customHeight="1">
      <c r="A56" s="28" t="s">
        <v>647</v>
      </c>
      <c r="B56" s="29">
        <v>3125.21</v>
      </c>
      <c r="C56" s="30" t="s">
        <v>682</v>
      </c>
      <c r="D56" s="2">
        <v>4948068492</v>
      </c>
      <c r="E56" s="2" t="s">
        <v>33</v>
      </c>
      <c r="F56" s="78" t="s">
        <v>683</v>
      </c>
      <c r="G56" s="28" t="s">
        <v>9</v>
      </c>
      <c r="H56" s="2" t="s">
        <v>23</v>
      </c>
      <c r="I56" s="2">
        <v>4</v>
      </c>
      <c r="J56" s="2"/>
      <c r="K56" s="2">
        <v>1960.69</v>
      </c>
      <c r="L56" s="35">
        <v>6127567.9949000003</v>
      </c>
      <c r="M56" s="36">
        <v>1960.69</v>
      </c>
      <c r="N56" s="37">
        <v>830198</v>
      </c>
      <c r="O56" s="37">
        <v>2165</v>
      </c>
      <c r="P56" s="37">
        <v>0</v>
      </c>
      <c r="Q56" s="37">
        <v>52697</v>
      </c>
      <c r="R56" s="37">
        <v>136061</v>
      </c>
      <c r="S56" s="37">
        <v>343435</v>
      </c>
      <c r="T56" s="37"/>
      <c r="U56" s="37">
        <v>1396800</v>
      </c>
      <c r="V56" s="37">
        <v>0</v>
      </c>
      <c r="W56" s="45">
        <v>2761356</v>
      </c>
      <c r="X56" s="46">
        <v>45.064469334298501</v>
      </c>
    </row>
    <row r="57" spans="1:24" s="4" customFormat="1" ht="15" customHeight="1">
      <c r="A57" s="28" t="s">
        <v>647</v>
      </c>
      <c r="B57" s="29">
        <v>3125.21</v>
      </c>
      <c r="C57" s="30" t="s">
        <v>693</v>
      </c>
      <c r="D57" s="2">
        <v>4947807433</v>
      </c>
      <c r="E57" s="2" t="s">
        <v>33</v>
      </c>
      <c r="F57" s="2" t="s">
        <v>694</v>
      </c>
      <c r="G57" s="28" t="s">
        <v>5</v>
      </c>
      <c r="H57" s="2" t="s">
        <v>20</v>
      </c>
      <c r="I57" s="2">
        <v>1</v>
      </c>
      <c r="J57" s="2" t="s">
        <v>695</v>
      </c>
      <c r="K57" s="2">
        <v>14538.53</v>
      </c>
      <c r="L57" s="35">
        <v>45435959.341300003</v>
      </c>
      <c r="M57" s="36">
        <v>1728</v>
      </c>
      <c r="N57" s="40">
        <v>132352.38586596699</v>
      </c>
      <c r="O57" s="37">
        <v>318682</v>
      </c>
      <c r="P57" s="40">
        <v>0</v>
      </c>
      <c r="Q57" s="37">
        <v>99309</v>
      </c>
      <c r="R57" s="40">
        <v>263803.44292685302</v>
      </c>
      <c r="S57" s="40">
        <v>143703.55901032299</v>
      </c>
      <c r="T57" s="40"/>
      <c r="U57" s="40">
        <v>1166708.7908584899</v>
      </c>
      <c r="V57" s="40">
        <v>0</v>
      </c>
      <c r="W57" s="45">
        <v>2124559.17866163</v>
      </c>
      <c r="X57" s="46">
        <v>4.6759421600469402</v>
      </c>
    </row>
    <row r="58" spans="1:24" s="4" customFormat="1" ht="15" customHeight="1">
      <c r="A58" s="28" t="s">
        <v>647</v>
      </c>
      <c r="B58" s="29">
        <v>3125.21</v>
      </c>
      <c r="C58" s="30" t="s">
        <v>693</v>
      </c>
      <c r="D58" s="2">
        <v>4947807433</v>
      </c>
      <c r="E58" s="2" t="s">
        <v>33</v>
      </c>
      <c r="F58" s="2" t="s">
        <v>694</v>
      </c>
      <c r="G58" s="28" t="s">
        <v>5</v>
      </c>
      <c r="H58" s="2" t="s">
        <v>20</v>
      </c>
      <c r="I58" s="2">
        <v>1</v>
      </c>
      <c r="J58" s="2" t="s">
        <v>695</v>
      </c>
      <c r="K58" s="2">
        <v>19224.689999999999</v>
      </c>
      <c r="L58" s="35">
        <v>60081193.434900001</v>
      </c>
      <c r="M58" s="36">
        <v>1728</v>
      </c>
      <c r="N58" s="40">
        <v>159716.381255977</v>
      </c>
      <c r="O58" s="37">
        <v>318682</v>
      </c>
      <c r="P58" s="40">
        <v>0</v>
      </c>
      <c r="Q58" s="37">
        <v>99309</v>
      </c>
      <c r="R58" s="40">
        <v>318344.91424928303</v>
      </c>
      <c r="S58" s="40">
        <v>173414.42142174</v>
      </c>
      <c r="T58" s="40"/>
      <c r="U58" s="40">
        <v>1407927.0640739601</v>
      </c>
      <c r="V58" s="40">
        <v>0</v>
      </c>
      <c r="W58" s="45">
        <v>2477393.7810009602</v>
      </c>
      <c r="X58" s="46">
        <v>4.1234097383323496</v>
      </c>
    </row>
    <row r="59" spans="1:24" s="4" customFormat="1" ht="15" customHeight="1">
      <c r="A59" s="28" t="s">
        <v>647</v>
      </c>
      <c r="B59" s="29">
        <v>3125.21</v>
      </c>
      <c r="C59" s="30" t="s">
        <v>693</v>
      </c>
      <c r="D59" s="2">
        <v>4947807433</v>
      </c>
      <c r="E59" s="2" t="s">
        <v>33</v>
      </c>
      <c r="F59" s="2" t="s">
        <v>694</v>
      </c>
      <c r="G59" s="28" t="s">
        <v>5</v>
      </c>
      <c r="H59" s="2" t="s">
        <v>20</v>
      </c>
      <c r="I59" s="2">
        <v>1</v>
      </c>
      <c r="J59" s="2" t="s">
        <v>695</v>
      </c>
      <c r="K59" s="2">
        <v>3435</v>
      </c>
      <c r="L59" s="35">
        <v>10735096.35</v>
      </c>
      <c r="M59" s="36">
        <v>1500</v>
      </c>
      <c r="N59" s="40">
        <v>24238.232878055998</v>
      </c>
      <c r="O59" s="37">
        <v>318682</v>
      </c>
      <c r="P59" s="40">
        <v>0</v>
      </c>
      <c r="Q59" s="37">
        <v>99309</v>
      </c>
      <c r="R59" s="40">
        <v>48311.642823864102</v>
      </c>
      <c r="S59" s="40">
        <v>26317.019567936</v>
      </c>
      <c r="T59" s="40"/>
      <c r="U59" s="40">
        <v>213664.145067556</v>
      </c>
      <c r="V59" s="40">
        <v>0</v>
      </c>
      <c r="W59" s="45">
        <v>730522.04033741204</v>
      </c>
      <c r="X59" s="46">
        <v>6.8049882042969498</v>
      </c>
    </row>
    <row r="60" spans="1:24" s="4" customFormat="1" ht="15" customHeight="1">
      <c r="A60" s="28" t="s">
        <v>647</v>
      </c>
      <c r="B60" s="29">
        <v>3125.21</v>
      </c>
      <c r="C60" s="30" t="s">
        <v>696</v>
      </c>
      <c r="D60" s="2">
        <v>4947323777</v>
      </c>
      <c r="E60" s="2" t="s">
        <v>33</v>
      </c>
      <c r="F60" s="78" t="s">
        <v>697</v>
      </c>
      <c r="G60" s="28" t="s">
        <v>5</v>
      </c>
      <c r="H60" s="2" t="s">
        <v>17</v>
      </c>
      <c r="I60" s="2">
        <v>1</v>
      </c>
      <c r="J60" s="2" t="s">
        <v>698</v>
      </c>
      <c r="K60" s="2">
        <v>20375</v>
      </c>
      <c r="L60" s="35">
        <v>63676153.75</v>
      </c>
      <c r="M60" s="36">
        <v>25000</v>
      </c>
      <c r="N60" s="37">
        <v>534642</v>
      </c>
      <c r="O60" s="37">
        <v>361122</v>
      </c>
      <c r="P60" s="37">
        <v>1919795</v>
      </c>
      <c r="Q60" s="37">
        <v>103626</v>
      </c>
      <c r="R60" s="37">
        <v>2559370</v>
      </c>
      <c r="S60" s="37">
        <v>343435</v>
      </c>
      <c r="T60" s="37"/>
      <c r="U60" s="37">
        <v>4561900</v>
      </c>
      <c r="V60" s="37">
        <v>0</v>
      </c>
      <c r="W60" s="45">
        <v>10383890</v>
      </c>
      <c r="X60" s="46">
        <v>16.3073448826202</v>
      </c>
    </row>
    <row r="61" spans="1:24" s="4" customFormat="1" ht="15" customHeight="1">
      <c r="A61" s="28" t="s">
        <v>647</v>
      </c>
      <c r="B61" s="29">
        <v>3125.21</v>
      </c>
      <c r="C61" s="30" t="s">
        <v>717</v>
      </c>
      <c r="D61" s="2">
        <v>4947812102</v>
      </c>
      <c r="E61" s="2" t="s">
        <v>33</v>
      </c>
      <c r="F61" s="78" t="s">
        <v>718</v>
      </c>
      <c r="G61" s="28" t="s">
        <v>5</v>
      </c>
      <c r="H61" s="2" t="s">
        <v>20</v>
      </c>
      <c r="I61" s="2">
        <v>3</v>
      </c>
      <c r="J61" s="2" t="s">
        <v>719</v>
      </c>
      <c r="K61" s="2">
        <v>81378</v>
      </c>
      <c r="L61" s="35">
        <v>254323339.38</v>
      </c>
      <c r="M61" s="36">
        <v>59400</v>
      </c>
      <c r="N61" s="37">
        <v>3266013</v>
      </c>
      <c r="O61" s="37">
        <v>914019</v>
      </c>
      <c r="P61" s="37">
        <v>1038484</v>
      </c>
      <c r="Q61" s="37">
        <v>359773</v>
      </c>
      <c r="R61" s="37">
        <v>2113880</v>
      </c>
      <c r="S61" s="37">
        <v>343435</v>
      </c>
      <c r="T61" s="37"/>
      <c r="U61" s="37">
        <v>11541300</v>
      </c>
      <c r="V61" s="37">
        <v>0</v>
      </c>
      <c r="W61" s="45">
        <v>19576904</v>
      </c>
      <c r="X61" s="46">
        <v>7.6976434989118099</v>
      </c>
    </row>
    <row r="62" spans="1:24" s="4" customFormat="1" ht="15" customHeight="1">
      <c r="A62" s="28" t="s">
        <v>647</v>
      </c>
      <c r="B62" s="29">
        <v>3125.21</v>
      </c>
      <c r="C62" s="30" t="s">
        <v>777</v>
      </c>
      <c r="D62" s="2">
        <v>4947275283</v>
      </c>
      <c r="E62" s="2" t="s">
        <v>33</v>
      </c>
      <c r="F62" s="2" t="s">
        <v>778</v>
      </c>
      <c r="G62" s="28" t="s">
        <v>9</v>
      </c>
      <c r="H62" s="2" t="s">
        <v>23</v>
      </c>
      <c r="I62" s="2">
        <v>4</v>
      </c>
      <c r="J62" s="2"/>
      <c r="K62" s="2">
        <v>24100</v>
      </c>
      <c r="L62" s="35">
        <v>75317561</v>
      </c>
      <c r="M62" s="36">
        <v>5000</v>
      </c>
      <c r="N62" s="37">
        <v>1595337</v>
      </c>
      <c r="O62" s="37">
        <v>3277</v>
      </c>
      <c r="P62" s="37">
        <v>0</v>
      </c>
      <c r="Q62" s="37">
        <v>80169</v>
      </c>
      <c r="R62" s="37">
        <v>203265</v>
      </c>
      <c r="S62" s="37">
        <v>343435</v>
      </c>
      <c r="T62" s="37"/>
      <c r="U62" s="37">
        <v>2163100</v>
      </c>
      <c r="V62" s="37">
        <v>0</v>
      </c>
      <c r="W62" s="45">
        <v>4388583</v>
      </c>
      <c r="X62" s="46">
        <v>5.8267725902595302</v>
      </c>
    </row>
    <row r="63" spans="1:24" s="4" customFormat="1" ht="15" customHeight="1">
      <c r="A63" s="28" t="s">
        <v>647</v>
      </c>
      <c r="B63" s="29">
        <v>3125.21</v>
      </c>
      <c r="C63" s="30" t="s">
        <v>794</v>
      </c>
      <c r="D63" s="2">
        <v>4947385901</v>
      </c>
      <c r="E63" s="2" t="s">
        <v>33</v>
      </c>
      <c r="F63" s="78" t="s">
        <v>795</v>
      </c>
      <c r="G63" s="28" t="s">
        <v>5</v>
      </c>
      <c r="H63" s="2" t="s">
        <v>20</v>
      </c>
      <c r="I63" s="2">
        <v>1</v>
      </c>
      <c r="J63" s="2" t="s">
        <v>796</v>
      </c>
      <c r="K63" s="2">
        <v>22200</v>
      </c>
      <c r="L63" s="35">
        <v>69379662</v>
      </c>
      <c r="M63" s="36">
        <v>12000</v>
      </c>
      <c r="N63" s="37">
        <v>467858</v>
      </c>
      <c r="O63" s="37">
        <v>318682</v>
      </c>
      <c r="P63" s="37">
        <v>0</v>
      </c>
      <c r="Q63" s="37">
        <v>99309</v>
      </c>
      <c r="R63" s="37">
        <v>625066</v>
      </c>
      <c r="S63" s="37">
        <v>343435</v>
      </c>
      <c r="T63" s="37"/>
      <c r="U63" s="37">
        <v>2788300</v>
      </c>
      <c r="V63" s="37">
        <v>0</v>
      </c>
      <c r="W63" s="45">
        <v>4642650</v>
      </c>
      <c r="X63" s="46">
        <v>6.6916584286617002</v>
      </c>
    </row>
    <row r="64" spans="1:24" s="4" customFormat="1" ht="15" customHeight="1">
      <c r="A64" s="28" t="s">
        <v>647</v>
      </c>
      <c r="B64" s="29">
        <v>3125.21</v>
      </c>
      <c r="C64" s="30" t="s">
        <v>876</v>
      </c>
      <c r="D64" s="2">
        <v>4947972446</v>
      </c>
      <c r="E64" s="2" t="s">
        <v>33</v>
      </c>
      <c r="F64" s="78" t="s">
        <v>877</v>
      </c>
      <c r="G64" s="28" t="s">
        <v>13</v>
      </c>
      <c r="H64" s="2" t="s">
        <v>23</v>
      </c>
      <c r="I64" s="2">
        <v>1</v>
      </c>
      <c r="J64" s="2"/>
      <c r="K64" s="2">
        <v>1620</v>
      </c>
      <c r="L64" s="35">
        <v>5062840.2</v>
      </c>
      <c r="M64" s="36">
        <v>300</v>
      </c>
      <c r="N64" s="37">
        <v>126204</v>
      </c>
      <c r="O64" s="37">
        <v>0</v>
      </c>
      <c r="P64" s="37">
        <v>327250</v>
      </c>
      <c r="Q64" s="37">
        <v>0</v>
      </c>
      <c r="R64" s="37">
        <v>1814</v>
      </c>
      <c r="S64" s="37">
        <v>343435</v>
      </c>
      <c r="T64" s="37"/>
      <c r="U64" s="37">
        <v>246380</v>
      </c>
      <c r="V64" s="37">
        <v>0</v>
      </c>
      <c r="W64" s="45">
        <v>1045083</v>
      </c>
      <c r="X64" s="46">
        <v>20.642227657116301</v>
      </c>
    </row>
    <row r="65" spans="1:24" s="4" customFormat="1" ht="15" customHeight="1">
      <c r="A65" s="28" t="s">
        <v>647</v>
      </c>
      <c r="B65" s="29">
        <v>3125.21</v>
      </c>
      <c r="C65" s="30" t="s">
        <v>907</v>
      </c>
      <c r="D65" s="2">
        <v>4948101016</v>
      </c>
      <c r="E65" s="2" t="s">
        <v>33</v>
      </c>
      <c r="F65" s="78" t="s">
        <v>908</v>
      </c>
      <c r="G65" s="28" t="s">
        <v>5</v>
      </c>
      <c r="H65" s="2" t="s">
        <v>20</v>
      </c>
      <c r="I65" s="2">
        <v>2</v>
      </c>
      <c r="J65" s="2" t="s">
        <v>909</v>
      </c>
      <c r="K65" s="2">
        <v>54252</v>
      </c>
      <c r="L65" s="35">
        <v>169548892.91999999</v>
      </c>
      <c r="M65" s="36">
        <v>39600</v>
      </c>
      <c r="N65" s="37">
        <v>2355449</v>
      </c>
      <c r="O65" s="37">
        <v>594177</v>
      </c>
      <c r="P65" s="37">
        <v>488932</v>
      </c>
      <c r="Q65" s="37">
        <v>233878</v>
      </c>
      <c r="R65" s="37">
        <v>1185365</v>
      </c>
      <c r="S65" s="37">
        <v>343435</v>
      </c>
      <c r="T65" s="37"/>
      <c r="U65" s="37">
        <v>7694200</v>
      </c>
      <c r="V65" s="37">
        <v>0</v>
      </c>
      <c r="W65" s="45">
        <v>12895436</v>
      </c>
      <c r="X65" s="46">
        <v>7.6057329410488004</v>
      </c>
    </row>
    <row r="66" spans="1:24" s="4" customFormat="1" ht="15" customHeight="1">
      <c r="A66" s="28" t="s">
        <v>647</v>
      </c>
      <c r="B66" s="29">
        <v>3125.21</v>
      </c>
      <c r="C66" s="30" t="s">
        <v>926</v>
      </c>
      <c r="D66" s="2">
        <v>4947807440</v>
      </c>
      <c r="E66" s="2" t="s">
        <v>33</v>
      </c>
      <c r="F66" s="2" t="s">
        <v>927</v>
      </c>
      <c r="G66" s="28" t="s">
        <v>5</v>
      </c>
      <c r="H66" s="2" t="s">
        <v>20</v>
      </c>
      <c r="I66" s="2">
        <v>1</v>
      </c>
      <c r="J66" s="2" t="s">
        <v>928</v>
      </c>
      <c r="K66" s="2">
        <v>12945.29</v>
      </c>
      <c r="L66" s="35">
        <v>40456749.760899998</v>
      </c>
      <c r="M66" s="36">
        <v>8573.0400000000009</v>
      </c>
      <c r="N66" s="37">
        <v>317801</v>
      </c>
      <c r="O66" s="37">
        <v>315061</v>
      </c>
      <c r="P66" s="37">
        <v>0</v>
      </c>
      <c r="Q66" s="37">
        <v>99309</v>
      </c>
      <c r="R66" s="37">
        <v>788883</v>
      </c>
      <c r="S66" s="37">
        <v>354356</v>
      </c>
      <c r="T66" s="37"/>
      <c r="U66" s="37">
        <v>2410000</v>
      </c>
      <c r="V66" s="37">
        <v>0</v>
      </c>
      <c r="W66" s="45">
        <v>4285410</v>
      </c>
      <c r="X66" s="46">
        <v>10.592571141594</v>
      </c>
    </row>
    <row r="67" spans="1:24" s="4" customFormat="1" ht="15" customHeight="1">
      <c r="A67" s="28" t="s">
        <v>647</v>
      </c>
      <c r="B67" s="29">
        <v>3125.21</v>
      </c>
      <c r="C67" s="30" t="s">
        <v>1022</v>
      </c>
      <c r="D67" s="2">
        <v>4948268543</v>
      </c>
      <c r="E67" s="2" t="s">
        <v>33</v>
      </c>
      <c r="F67" s="78" t="s">
        <v>1023</v>
      </c>
      <c r="G67" s="28" t="s">
        <v>5</v>
      </c>
      <c r="H67" s="2" t="s">
        <v>17</v>
      </c>
      <c r="I67" s="2">
        <v>4</v>
      </c>
      <c r="J67" s="2" t="s">
        <v>1024</v>
      </c>
      <c r="K67" s="2">
        <v>79083.19</v>
      </c>
      <c r="L67" s="35">
        <v>247151576.21990001</v>
      </c>
      <c r="M67" s="36">
        <v>900</v>
      </c>
      <c r="N67" s="40">
        <v>393215.08494208503</v>
      </c>
      <c r="O67" s="40">
        <v>755311.06598984799</v>
      </c>
      <c r="P67" s="40">
        <v>0</v>
      </c>
      <c r="Q67" s="40">
        <v>181492.994923858</v>
      </c>
      <c r="R67" s="40">
        <v>935509.469111969</v>
      </c>
      <c r="S67" s="40">
        <v>109795.63320463301</v>
      </c>
      <c r="T67" s="40"/>
      <c r="U67" s="40">
        <v>5052558.5907335896</v>
      </c>
      <c r="V67" s="40">
        <v>0</v>
      </c>
      <c r="W67" s="45">
        <v>7427882.8389059799</v>
      </c>
      <c r="X67" s="46">
        <v>3.0053956978599699</v>
      </c>
    </row>
    <row r="68" spans="1:24" s="4" customFormat="1" ht="15" customHeight="1">
      <c r="A68" s="28" t="s">
        <v>647</v>
      </c>
      <c r="B68" s="29">
        <v>3125.21</v>
      </c>
      <c r="C68" s="30" t="s">
        <v>1022</v>
      </c>
      <c r="D68" s="2">
        <v>4948268543</v>
      </c>
      <c r="E68" s="2" t="s">
        <v>33</v>
      </c>
      <c r="F68" s="78" t="s">
        <v>1023</v>
      </c>
      <c r="G68" s="28" t="s">
        <v>5</v>
      </c>
      <c r="H68" s="2" t="s">
        <v>17</v>
      </c>
      <c r="I68" s="2">
        <v>4</v>
      </c>
      <c r="J68" s="2" t="s">
        <v>1024</v>
      </c>
      <c r="K68" s="2">
        <v>14612.48</v>
      </c>
      <c r="L68" s="35">
        <v>45667068.620800003</v>
      </c>
      <c r="M68" s="36">
        <v>900</v>
      </c>
      <c r="N68" s="40">
        <v>709257.11583011597</v>
      </c>
      <c r="O68" s="40">
        <v>755311.06598984799</v>
      </c>
      <c r="P68" s="40">
        <v>0</v>
      </c>
      <c r="Q68" s="40">
        <v>181492.994923858</v>
      </c>
      <c r="R68" s="40">
        <v>1687415.2760617801</v>
      </c>
      <c r="S68" s="40">
        <v>198042.590733591</v>
      </c>
      <c r="T68" s="40"/>
      <c r="U68" s="40">
        <v>9113493.5328185298</v>
      </c>
      <c r="V68" s="40">
        <v>0</v>
      </c>
      <c r="W68" s="45">
        <v>12645012.5763577</v>
      </c>
      <c r="X68" s="46">
        <v>27.689564840162099</v>
      </c>
    </row>
    <row r="69" spans="1:24" s="4" customFormat="1" ht="15" customHeight="1">
      <c r="A69" s="28" t="s">
        <v>647</v>
      </c>
      <c r="B69" s="29">
        <v>3125.21</v>
      </c>
      <c r="C69" s="30" t="s">
        <v>1022</v>
      </c>
      <c r="D69" s="2">
        <v>4948268543</v>
      </c>
      <c r="E69" s="2" t="s">
        <v>33</v>
      </c>
      <c r="F69" s="2" t="s">
        <v>1023</v>
      </c>
      <c r="G69" s="28" t="s">
        <v>5</v>
      </c>
      <c r="H69" s="2" t="s">
        <v>17</v>
      </c>
      <c r="I69" s="2">
        <v>4</v>
      </c>
      <c r="J69" s="2" t="s">
        <v>1024</v>
      </c>
      <c r="K69" s="2">
        <v>19681.740000000002</v>
      </c>
      <c r="L69" s="35">
        <v>61509570.665399998</v>
      </c>
      <c r="M69" s="36">
        <v>170</v>
      </c>
      <c r="N69" s="40">
        <v>166595.799227799</v>
      </c>
      <c r="O69" s="40">
        <v>142669.868020305</v>
      </c>
      <c r="P69" s="40">
        <v>0</v>
      </c>
      <c r="Q69" s="40">
        <v>34282.010152284303</v>
      </c>
      <c r="R69" s="40">
        <v>396353.25482625503</v>
      </c>
      <c r="S69" s="40">
        <v>46517.776061776101</v>
      </c>
      <c r="T69" s="40"/>
      <c r="U69" s="40">
        <v>2140647.8764478802</v>
      </c>
      <c r="V69" s="40">
        <v>0</v>
      </c>
      <c r="W69" s="45">
        <v>2927066.5847363002</v>
      </c>
      <c r="X69" s="46">
        <v>4.7587173070333497</v>
      </c>
    </row>
    <row r="70" spans="1:24" s="4" customFormat="1" ht="15" customHeight="1">
      <c r="A70" s="28" t="s">
        <v>647</v>
      </c>
      <c r="B70" s="29">
        <v>3125.21</v>
      </c>
      <c r="C70" s="30" t="s">
        <v>1038</v>
      </c>
      <c r="D70" s="2">
        <v>4948282162</v>
      </c>
      <c r="E70" s="2" t="s">
        <v>33</v>
      </c>
      <c r="F70" s="2" t="s">
        <v>1039</v>
      </c>
      <c r="G70" s="28" t="s">
        <v>5</v>
      </c>
      <c r="H70" s="2" t="s">
        <v>20</v>
      </c>
      <c r="I70" s="2">
        <v>1</v>
      </c>
      <c r="J70" s="2" t="s">
        <v>1040</v>
      </c>
      <c r="K70" s="2">
        <v>1346.4</v>
      </c>
      <c r="L70" s="35">
        <v>4207782.7439999999</v>
      </c>
      <c r="M70" s="36">
        <v>120</v>
      </c>
      <c r="N70" s="40">
        <v>32464.5302325581</v>
      </c>
      <c r="O70" s="37">
        <v>101632.580645161</v>
      </c>
      <c r="P70" s="40">
        <v>0</v>
      </c>
      <c r="Q70" s="37">
        <v>32035.161290322601</v>
      </c>
      <c r="R70" s="40">
        <v>65575.669767441897</v>
      </c>
      <c r="S70" s="40">
        <v>36259.683720930203</v>
      </c>
      <c r="T70" s="40"/>
      <c r="U70" s="40">
        <v>221790.697674419</v>
      </c>
      <c r="V70" s="40">
        <v>0</v>
      </c>
      <c r="W70" s="45">
        <v>489758.32333083299</v>
      </c>
      <c r="X70" s="46">
        <v>11.6393443561028</v>
      </c>
    </row>
    <row r="71" spans="1:24" s="4" customFormat="1" ht="15" customHeight="1">
      <c r="A71" s="28" t="s">
        <v>647</v>
      </c>
      <c r="B71" s="29">
        <v>3125.21</v>
      </c>
      <c r="C71" s="30" t="s">
        <v>1038</v>
      </c>
      <c r="D71" s="2">
        <v>4948282162</v>
      </c>
      <c r="E71" s="2" t="s">
        <v>33</v>
      </c>
      <c r="F71" s="2" t="s">
        <v>1039</v>
      </c>
      <c r="G71" s="28" t="s">
        <v>5</v>
      </c>
      <c r="H71" s="2" t="s">
        <v>20</v>
      </c>
      <c r="I71" s="2">
        <v>1</v>
      </c>
      <c r="J71" s="2" t="s">
        <v>1040</v>
      </c>
      <c r="K71" s="2">
        <v>1713.6</v>
      </c>
      <c r="L71" s="35">
        <v>5355359.8559999997</v>
      </c>
      <c r="M71" s="36">
        <v>120</v>
      </c>
      <c r="N71" s="40">
        <v>41318.493023255804</v>
      </c>
      <c r="O71" s="40">
        <v>101632.580645161</v>
      </c>
      <c r="P71" s="40">
        <v>0</v>
      </c>
      <c r="Q71" s="40">
        <v>32035.161290322601</v>
      </c>
      <c r="R71" s="40">
        <v>83460.306976744207</v>
      </c>
      <c r="S71" s="40">
        <v>46148.688372092998</v>
      </c>
      <c r="T71" s="40"/>
      <c r="U71" s="40">
        <v>282279.06976744201</v>
      </c>
      <c r="V71" s="40">
        <v>0</v>
      </c>
      <c r="W71" s="45">
        <v>586874.30007501901</v>
      </c>
      <c r="X71" s="46">
        <v>10.9586342627844</v>
      </c>
    </row>
    <row r="72" spans="1:24" s="4" customFormat="1" ht="15" customHeight="1">
      <c r="A72" s="28" t="s">
        <v>647</v>
      </c>
      <c r="B72" s="29">
        <v>3125.21</v>
      </c>
      <c r="C72" s="30" t="s">
        <v>1038</v>
      </c>
      <c r="D72" s="2">
        <v>4948282162</v>
      </c>
      <c r="E72" s="2" t="s">
        <v>33</v>
      </c>
      <c r="F72" s="2" t="s">
        <v>1039</v>
      </c>
      <c r="G72" s="28" t="s">
        <v>5</v>
      </c>
      <c r="H72" s="2" t="s">
        <v>20</v>
      </c>
      <c r="I72" s="2">
        <v>1</v>
      </c>
      <c r="J72" s="2" t="s">
        <v>1040</v>
      </c>
      <c r="K72" s="2">
        <v>1686.96</v>
      </c>
      <c r="L72" s="35">
        <v>5272104.2615999999</v>
      </c>
      <c r="M72" s="36">
        <v>66</v>
      </c>
      <c r="N72" s="40">
        <v>73045.193023255793</v>
      </c>
      <c r="O72" s="40">
        <v>55897.919354838697</v>
      </c>
      <c r="P72" s="40">
        <v>0</v>
      </c>
      <c r="Q72" s="40">
        <v>17619.338709677399</v>
      </c>
      <c r="R72" s="40">
        <v>147546.00697674401</v>
      </c>
      <c r="S72" s="40">
        <v>81584.288372092997</v>
      </c>
      <c r="T72" s="40"/>
      <c r="U72" s="40">
        <v>499029.06976744201</v>
      </c>
      <c r="V72" s="40">
        <v>0</v>
      </c>
      <c r="W72" s="45">
        <v>874721.81620405102</v>
      </c>
      <c r="X72" s="46">
        <v>16.591512094614501</v>
      </c>
    </row>
    <row r="73" spans="1:24" s="4" customFormat="1" ht="15" customHeight="1">
      <c r="A73" s="28" t="s">
        <v>647</v>
      </c>
      <c r="B73" s="29">
        <v>3125.21</v>
      </c>
      <c r="C73" s="30" t="s">
        <v>1038</v>
      </c>
      <c r="D73" s="2">
        <v>4948282162</v>
      </c>
      <c r="E73" s="2" t="s">
        <v>33</v>
      </c>
      <c r="F73" s="2" t="s">
        <v>1039</v>
      </c>
      <c r="G73" s="28" t="s">
        <v>5</v>
      </c>
      <c r="H73" s="2" t="s">
        <v>20</v>
      </c>
      <c r="I73" s="2">
        <v>1</v>
      </c>
      <c r="J73" s="2" t="s">
        <v>1040</v>
      </c>
      <c r="K73" s="2">
        <v>8773.3799999999992</v>
      </c>
      <c r="L73" s="35">
        <v>27418654.9098</v>
      </c>
      <c r="M73" s="36">
        <v>66</v>
      </c>
      <c r="N73" s="40">
        <v>170438.78372092999</v>
      </c>
      <c r="O73" s="40">
        <v>55897.919354838697</v>
      </c>
      <c r="P73" s="40">
        <v>0</v>
      </c>
      <c r="Q73" s="40">
        <v>17619.338709677399</v>
      </c>
      <c r="R73" s="40">
        <v>344273.01627907</v>
      </c>
      <c r="S73" s="40">
        <v>190363.339534884</v>
      </c>
      <c r="T73" s="40"/>
      <c r="U73" s="40">
        <v>1164401.1627907001</v>
      </c>
      <c r="V73" s="40">
        <v>0</v>
      </c>
      <c r="W73" s="45">
        <v>1942993.5603901001</v>
      </c>
      <c r="X73" s="46">
        <v>7.0863927015458099</v>
      </c>
    </row>
    <row r="74" spans="1:24" s="4" customFormat="1" ht="15" customHeight="1">
      <c r="A74" s="28" t="s">
        <v>647</v>
      </c>
      <c r="B74" s="29">
        <v>3125.21</v>
      </c>
      <c r="C74" s="30" t="s">
        <v>1080</v>
      </c>
      <c r="D74" s="2">
        <v>4948282959</v>
      </c>
      <c r="E74" s="2" t="s">
        <v>33</v>
      </c>
      <c r="F74" s="78" t="s">
        <v>1081</v>
      </c>
      <c r="G74" s="28" t="s">
        <v>9</v>
      </c>
      <c r="H74" s="2" t="s">
        <v>23</v>
      </c>
      <c r="I74" s="2">
        <v>1</v>
      </c>
      <c r="J74" s="2"/>
      <c r="K74" s="2">
        <v>2334.0100000000002</v>
      </c>
      <c r="L74" s="35">
        <v>7294271.3920999998</v>
      </c>
      <c r="M74" s="36">
        <v>50</v>
      </c>
      <c r="N74" s="40">
        <v>420642.826393903</v>
      </c>
      <c r="O74" s="40">
        <v>248.863636363636</v>
      </c>
      <c r="P74" s="40">
        <v>17557.316085038099</v>
      </c>
      <c r="Q74" s="40">
        <v>7485.2272727272702</v>
      </c>
      <c r="R74" s="40">
        <v>70392.178178900896</v>
      </c>
      <c r="S74" s="40">
        <v>249911.23914961901</v>
      </c>
      <c r="T74" s="40"/>
      <c r="U74" s="40">
        <v>985099.783393502</v>
      </c>
      <c r="V74" s="40">
        <v>0</v>
      </c>
      <c r="W74" s="45">
        <v>1751337.4341100501</v>
      </c>
      <c r="X74" s="46">
        <v>24.009765197478501</v>
      </c>
    </row>
    <row r="75" spans="1:24" s="4" customFormat="1" ht="15" customHeight="1">
      <c r="A75" s="28" t="s">
        <v>647</v>
      </c>
      <c r="B75" s="29">
        <v>3125.21</v>
      </c>
      <c r="C75" s="30" t="s">
        <v>1080</v>
      </c>
      <c r="D75" s="2">
        <v>4948282959</v>
      </c>
      <c r="E75" s="2" t="s">
        <v>33</v>
      </c>
      <c r="F75" s="78" t="s">
        <v>1081</v>
      </c>
      <c r="G75" s="28" t="s">
        <v>9</v>
      </c>
      <c r="H75" s="2" t="s">
        <v>23</v>
      </c>
      <c r="I75" s="2">
        <v>1</v>
      </c>
      <c r="J75" s="2"/>
      <c r="K75" s="2">
        <v>3473.76</v>
      </c>
      <c r="L75" s="35">
        <v>10856229.489600001</v>
      </c>
      <c r="M75" s="36">
        <v>38</v>
      </c>
      <c r="N75" s="40">
        <v>175798.173606097</v>
      </c>
      <c r="O75" s="40">
        <v>189.136363636364</v>
      </c>
      <c r="P75" s="40">
        <v>7337.68391496189</v>
      </c>
      <c r="Q75" s="40">
        <v>5688.7727272727298</v>
      </c>
      <c r="R75" s="40">
        <v>29418.8218210991</v>
      </c>
      <c r="S75" s="40">
        <v>104444.760850381</v>
      </c>
      <c r="T75" s="40"/>
      <c r="U75" s="40">
        <v>411700.216606498</v>
      </c>
      <c r="V75" s="40">
        <v>0</v>
      </c>
      <c r="W75" s="45">
        <v>734577.56588994595</v>
      </c>
      <c r="X75" s="46">
        <v>6.7664152327808997</v>
      </c>
    </row>
    <row r="77" spans="1:24" ht="15" customHeight="1">
      <c r="A77" s="31" t="s">
        <v>647</v>
      </c>
      <c r="B77" s="31"/>
      <c r="C77" s="31"/>
      <c r="D77" s="31"/>
      <c r="E77" s="31"/>
      <c r="F77" s="32">
        <v>15</v>
      </c>
      <c r="G77" s="31"/>
      <c r="H77" s="31"/>
      <c r="I77" s="38"/>
      <c r="J77" s="31"/>
      <c r="K77" s="39">
        <f>+SUM(K46:K75)</f>
        <v>447584.12</v>
      </c>
      <c r="L77" s="39">
        <f>+SUM(L46:L75)</f>
        <v>1398794367.6652002</v>
      </c>
      <c r="M77" s="31"/>
      <c r="N77" s="39"/>
      <c r="O77" s="39"/>
      <c r="P77" s="39"/>
      <c r="Q77" s="39"/>
      <c r="R77" s="39"/>
      <c r="S77" s="39"/>
      <c r="T77" s="39"/>
      <c r="U77" s="39"/>
      <c r="V77" s="31"/>
      <c r="W77" s="39">
        <f>+SUM(W46:W75)</f>
        <v>111858800.72499998</v>
      </c>
      <c r="X77" s="47">
        <f>(W77/L77)*100</f>
        <v>7.9968009101801911</v>
      </c>
    </row>
    <row r="79" spans="1:24" s="4" customFormat="1" ht="15" customHeight="1">
      <c r="A79" s="28" t="s">
        <v>1109</v>
      </c>
      <c r="B79" s="29">
        <v>3106.0650000000001</v>
      </c>
      <c r="C79" s="30" t="s">
        <v>1148</v>
      </c>
      <c r="D79" s="2">
        <v>4949425520</v>
      </c>
      <c r="E79" s="2" t="s">
        <v>33</v>
      </c>
      <c r="F79" s="78" t="s">
        <v>1149</v>
      </c>
      <c r="G79" s="28" t="s">
        <v>13</v>
      </c>
      <c r="H79" s="2" t="s">
        <v>23</v>
      </c>
      <c r="I79" s="2">
        <v>4</v>
      </c>
      <c r="J79" s="2"/>
      <c r="K79" s="2">
        <v>2318</v>
      </c>
      <c r="L79" s="35">
        <v>7199858.6699999999</v>
      </c>
      <c r="M79" s="36">
        <v>100</v>
      </c>
      <c r="N79" s="40">
        <v>860187.37</v>
      </c>
      <c r="O79" s="40">
        <v>0</v>
      </c>
      <c r="P79" s="40">
        <v>0</v>
      </c>
      <c r="Q79" s="40">
        <v>0</v>
      </c>
      <c r="R79" s="40">
        <v>3441</v>
      </c>
      <c r="S79" s="40">
        <v>354356</v>
      </c>
      <c r="T79" s="40"/>
      <c r="U79" s="40">
        <v>246380</v>
      </c>
      <c r="V79" s="40">
        <v>0</v>
      </c>
      <c r="W79" s="45">
        <v>1464364.37</v>
      </c>
      <c r="X79" s="46">
        <v>20.338793261340498</v>
      </c>
    </row>
    <row r="80" spans="1:24" s="4" customFormat="1" ht="15" customHeight="1">
      <c r="A80" s="28" t="s">
        <v>1109</v>
      </c>
      <c r="B80" s="29">
        <v>3106.0650000000001</v>
      </c>
      <c r="C80" s="30" t="s">
        <v>1271</v>
      </c>
      <c r="D80" s="2">
        <v>4948771225</v>
      </c>
      <c r="E80" s="2" t="s">
        <v>33</v>
      </c>
      <c r="F80" s="78" t="s">
        <v>1272</v>
      </c>
      <c r="G80" s="28" t="s">
        <v>9</v>
      </c>
      <c r="H80" s="2" t="s">
        <v>23</v>
      </c>
      <c r="I80" s="2">
        <v>1</v>
      </c>
      <c r="J80" s="2"/>
      <c r="K80" s="2">
        <v>2197</v>
      </c>
      <c r="L80" s="35">
        <v>6824024.8049999997</v>
      </c>
      <c r="M80" s="36">
        <v>1000</v>
      </c>
      <c r="N80" s="40">
        <v>2124299</v>
      </c>
      <c r="O80" s="40">
        <v>0</v>
      </c>
      <c r="P80" s="40">
        <v>17248</v>
      </c>
      <c r="Q80" s="40">
        <v>46429</v>
      </c>
      <c r="R80" s="40">
        <v>300035</v>
      </c>
      <c r="S80" s="40">
        <v>354356</v>
      </c>
      <c r="T80" s="40"/>
      <c r="U80" s="40">
        <v>1338600</v>
      </c>
      <c r="V80" s="40">
        <v>0</v>
      </c>
      <c r="W80" s="45">
        <v>4180967</v>
      </c>
      <c r="X80" s="46">
        <v>61.268344114701698</v>
      </c>
    </row>
    <row r="81" spans="1:24" s="4" customFormat="1" ht="15" customHeight="1">
      <c r="A81" s="28" t="s">
        <v>1109</v>
      </c>
      <c r="B81" s="29">
        <v>3106.0650000000001</v>
      </c>
      <c r="C81" s="30" t="s">
        <v>1292</v>
      </c>
      <c r="D81" s="2">
        <v>4947493047</v>
      </c>
      <c r="E81" s="2" t="s">
        <v>33</v>
      </c>
      <c r="F81" s="78" t="s">
        <v>1293</v>
      </c>
      <c r="G81" s="28" t="s">
        <v>5</v>
      </c>
      <c r="H81" s="2" t="s">
        <v>20</v>
      </c>
      <c r="I81" s="2">
        <v>1</v>
      </c>
      <c r="J81" s="2" t="s">
        <v>1294</v>
      </c>
      <c r="K81" s="2">
        <v>13416</v>
      </c>
      <c r="L81" s="35">
        <v>41670968.039999999</v>
      </c>
      <c r="M81" s="36">
        <v>24000</v>
      </c>
      <c r="N81" s="40">
        <v>644932</v>
      </c>
      <c r="O81" s="40">
        <v>249323</v>
      </c>
      <c r="P81" s="40">
        <v>401215</v>
      </c>
      <c r="Q81" s="40">
        <v>165948</v>
      </c>
      <c r="R81" s="40">
        <v>799805</v>
      </c>
      <c r="S81" s="40">
        <v>354356</v>
      </c>
      <c r="T81" s="40"/>
      <c r="U81" s="40">
        <v>3847100</v>
      </c>
      <c r="V81" s="40">
        <v>0</v>
      </c>
      <c r="W81" s="45">
        <v>6462679</v>
      </c>
      <c r="X81" s="46">
        <v>15.5088285777198</v>
      </c>
    </row>
    <row r="82" spans="1:24" s="4" customFormat="1" ht="15" customHeight="1">
      <c r="A82" s="28" t="s">
        <v>1109</v>
      </c>
      <c r="B82" s="29">
        <v>3106.0650000000001</v>
      </c>
      <c r="C82" s="30" t="s">
        <v>1341</v>
      </c>
      <c r="D82" s="2">
        <v>4948520834</v>
      </c>
      <c r="E82" s="2" t="s">
        <v>33</v>
      </c>
      <c r="F82" s="78" t="s">
        <v>1342</v>
      </c>
      <c r="G82" s="28" t="s">
        <v>9</v>
      </c>
      <c r="H82" s="2" t="s">
        <v>23</v>
      </c>
      <c r="I82" s="2">
        <v>2</v>
      </c>
      <c r="J82" s="2"/>
      <c r="K82" s="2">
        <v>2967</v>
      </c>
      <c r="L82" s="35">
        <v>9215694.8550000004</v>
      </c>
      <c r="M82" s="36">
        <v>1075</v>
      </c>
      <c r="N82" s="40">
        <v>635663</v>
      </c>
      <c r="O82" s="40">
        <v>778</v>
      </c>
      <c r="P82" s="40">
        <v>11884</v>
      </c>
      <c r="Q82" s="40">
        <v>18915</v>
      </c>
      <c r="R82" s="40">
        <v>100021</v>
      </c>
      <c r="S82" s="40">
        <v>354356</v>
      </c>
      <c r="T82" s="40"/>
      <c r="U82" s="40">
        <v>1396800</v>
      </c>
      <c r="V82" s="40">
        <v>0</v>
      </c>
      <c r="W82" s="45">
        <v>2518417</v>
      </c>
      <c r="X82" s="46">
        <v>27.327478173104101</v>
      </c>
    </row>
    <row r="83" spans="1:24" s="4" customFormat="1" ht="15" customHeight="1">
      <c r="A83" s="28" t="s">
        <v>1109</v>
      </c>
      <c r="B83" s="29">
        <v>3106.0650000000001</v>
      </c>
      <c r="C83" s="30" t="s">
        <v>1343</v>
      </c>
      <c r="D83" s="2">
        <v>4948308281</v>
      </c>
      <c r="E83" s="2" t="s">
        <v>33</v>
      </c>
      <c r="F83" s="2">
        <v>2085533</v>
      </c>
      <c r="G83" s="28" t="s">
        <v>5</v>
      </c>
      <c r="H83" s="2" t="s">
        <v>17</v>
      </c>
      <c r="I83" s="2">
        <v>1</v>
      </c>
      <c r="J83" s="2" t="s">
        <v>1344</v>
      </c>
      <c r="K83" s="2">
        <v>10279.5</v>
      </c>
      <c r="L83" s="35">
        <v>31928795.1675</v>
      </c>
      <c r="M83" s="36">
        <v>23150</v>
      </c>
      <c r="N83" s="40">
        <v>1977644</v>
      </c>
      <c r="O83" s="40">
        <v>408424</v>
      </c>
      <c r="P83" s="40">
        <v>638482</v>
      </c>
      <c r="Q83" s="40">
        <v>99309</v>
      </c>
      <c r="R83" s="40">
        <v>728147</v>
      </c>
      <c r="S83" s="40">
        <v>354356</v>
      </c>
      <c r="T83" s="40"/>
      <c r="U83" s="40">
        <v>5885000</v>
      </c>
      <c r="V83" s="40">
        <v>0</v>
      </c>
      <c r="W83" s="45">
        <v>10091362</v>
      </c>
      <c r="X83" s="46">
        <v>31.6058340036329</v>
      </c>
    </row>
    <row r="84" spans="1:24" s="4" customFormat="1" ht="15" customHeight="1">
      <c r="A84" s="28" t="s">
        <v>1109</v>
      </c>
      <c r="B84" s="29">
        <v>3106.0650000000001</v>
      </c>
      <c r="C84" s="30" t="s">
        <v>1345</v>
      </c>
      <c r="D84" s="2">
        <v>4948740710</v>
      </c>
      <c r="E84" s="2" t="s">
        <v>33</v>
      </c>
      <c r="F84" s="78" t="s">
        <v>1346</v>
      </c>
      <c r="G84" s="28" t="s">
        <v>5</v>
      </c>
      <c r="H84" s="2" t="s">
        <v>17</v>
      </c>
      <c r="I84" s="2">
        <v>1</v>
      </c>
      <c r="J84" s="2" t="s">
        <v>1347</v>
      </c>
      <c r="K84" s="2">
        <v>32307.84</v>
      </c>
      <c r="L84" s="35">
        <v>100350251.04960001</v>
      </c>
      <c r="M84" s="36">
        <v>3840</v>
      </c>
      <c r="N84" s="40">
        <v>143675.47227533499</v>
      </c>
      <c r="O84" s="40">
        <v>204212</v>
      </c>
      <c r="P84" s="40">
        <v>0</v>
      </c>
      <c r="Q84" s="40">
        <v>49654.5</v>
      </c>
      <c r="R84" s="40">
        <v>327155.64053537301</v>
      </c>
      <c r="S84" s="40">
        <v>160578.14913957901</v>
      </c>
      <c r="T84" s="40"/>
      <c r="U84" s="40">
        <v>2578020.7456979002</v>
      </c>
      <c r="V84" s="40">
        <v>0</v>
      </c>
      <c r="W84" s="45">
        <v>3463296.50764819</v>
      </c>
      <c r="X84" s="46">
        <v>3.45120861325637</v>
      </c>
    </row>
    <row r="85" spans="1:24" s="4" customFormat="1" ht="15" customHeight="1">
      <c r="A85" s="28" t="s">
        <v>1109</v>
      </c>
      <c r="B85" s="29">
        <v>3106.0650000000001</v>
      </c>
      <c r="C85" s="30" t="s">
        <v>1345</v>
      </c>
      <c r="D85" s="2">
        <v>4948740710</v>
      </c>
      <c r="E85" s="2" t="s">
        <v>33</v>
      </c>
      <c r="F85" s="78" t="s">
        <v>1346</v>
      </c>
      <c r="G85" s="28" t="s">
        <v>5</v>
      </c>
      <c r="H85" s="2" t="s">
        <v>17</v>
      </c>
      <c r="I85" s="2">
        <v>1</v>
      </c>
      <c r="J85" s="2" t="s">
        <v>1347</v>
      </c>
      <c r="K85" s="2">
        <v>42721.53</v>
      </c>
      <c r="L85" s="35">
        <v>132695849.07945</v>
      </c>
      <c r="M85" s="36">
        <v>3840</v>
      </c>
      <c r="N85" s="40">
        <v>173380.52772466501</v>
      </c>
      <c r="O85" s="40">
        <v>204212</v>
      </c>
      <c r="P85" s="40">
        <v>0</v>
      </c>
      <c r="Q85" s="40">
        <v>49654.5</v>
      </c>
      <c r="R85" s="40">
        <v>394795.35946462699</v>
      </c>
      <c r="S85" s="40">
        <v>193777.85086042099</v>
      </c>
      <c r="T85" s="40"/>
      <c r="U85" s="40">
        <v>3111029.2543020998</v>
      </c>
      <c r="V85" s="40">
        <v>0</v>
      </c>
      <c r="W85" s="45">
        <v>4126849.49235181</v>
      </c>
      <c r="X85" s="46">
        <v>3.1100064704216299</v>
      </c>
    </row>
    <row r="86" spans="1:24" s="4" customFormat="1" ht="15" customHeight="1">
      <c r="A86" s="28" t="s">
        <v>1109</v>
      </c>
      <c r="B86" s="29">
        <v>3106.0650000000001</v>
      </c>
      <c r="C86" s="30" t="s">
        <v>1407</v>
      </c>
      <c r="D86" s="2">
        <v>4949046592</v>
      </c>
      <c r="E86" s="2" t="s">
        <v>33</v>
      </c>
      <c r="F86" s="2" t="s">
        <v>1408</v>
      </c>
      <c r="G86" s="28" t="s">
        <v>9</v>
      </c>
      <c r="H86" s="2" t="s">
        <v>23</v>
      </c>
      <c r="I86" s="2">
        <v>3</v>
      </c>
      <c r="J86" s="2"/>
      <c r="K86" s="2">
        <v>1960.69</v>
      </c>
      <c r="L86" s="35">
        <v>6090030.5848500002</v>
      </c>
      <c r="M86" s="36">
        <v>133</v>
      </c>
      <c r="N86" s="40">
        <v>823784</v>
      </c>
      <c r="O86" s="40">
        <v>2050</v>
      </c>
      <c r="P86" s="40">
        <v>0</v>
      </c>
      <c r="Q86" s="40">
        <v>50673</v>
      </c>
      <c r="R86" s="40">
        <v>133888</v>
      </c>
      <c r="S86" s="40">
        <v>354356</v>
      </c>
      <c r="T86" s="40"/>
      <c r="U86" s="40">
        <v>1396800</v>
      </c>
      <c r="V86" s="40">
        <v>0</v>
      </c>
      <c r="W86" s="45">
        <v>2761551</v>
      </c>
      <c r="X86" s="46">
        <v>45.345437293366501</v>
      </c>
    </row>
    <row r="87" spans="1:24" s="4" customFormat="1" ht="15" customHeight="1">
      <c r="A87" s="28" t="s">
        <v>1109</v>
      </c>
      <c r="B87" s="29">
        <v>3106.0650000000001</v>
      </c>
      <c r="C87" s="30" t="s">
        <v>1438</v>
      </c>
      <c r="D87" s="2">
        <v>4948712684</v>
      </c>
      <c r="E87" s="2" t="s">
        <v>33</v>
      </c>
      <c r="F87" s="78" t="s">
        <v>1439</v>
      </c>
      <c r="G87" s="28" t="s">
        <v>9</v>
      </c>
      <c r="H87" s="2" t="s">
        <v>23</v>
      </c>
      <c r="I87" s="2">
        <v>8</v>
      </c>
      <c r="J87" s="2"/>
      <c r="K87" s="2">
        <v>2872.8</v>
      </c>
      <c r="L87" s="35">
        <v>8923103.5319999997</v>
      </c>
      <c r="M87" s="36">
        <v>5040</v>
      </c>
      <c r="N87" s="40">
        <v>1221744</v>
      </c>
      <c r="O87" s="40">
        <v>3384</v>
      </c>
      <c r="P87" s="40">
        <v>0</v>
      </c>
      <c r="Q87" s="40">
        <v>82155</v>
      </c>
      <c r="R87" s="40">
        <v>168428</v>
      </c>
      <c r="S87" s="40">
        <v>354356</v>
      </c>
      <c r="T87" s="40"/>
      <c r="U87" s="40">
        <v>2163100</v>
      </c>
      <c r="V87" s="40">
        <v>0</v>
      </c>
      <c r="W87" s="45">
        <v>3993167</v>
      </c>
      <c r="X87" s="46">
        <v>44.750876034103101</v>
      </c>
    </row>
    <row r="88" spans="1:24" s="4" customFormat="1" ht="15" customHeight="1">
      <c r="A88" s="28" t="s">
        <v>1109</v>
      </c>
      <c r="B88" s="29">
        <v>3106.0650000000001</v>
      </c>
      <c r="C88" s="30" t="s">
        <v>1544</v>
      </c>
      <c r="D88" s="2">
        <v>4948739502</v>
      </c>
      <c r="E88" s="2" t="s">
        <v>33</v>
      </c>
      <c r="F88" s="2" t="s">
        <v>1545</v>
      </c>
      <c r="G88" s="28" t="s">
        <v>5</v>
      </c>
      <c r="H88" s="2" t="s">
        <v>20</v>
      </c>
      <c r="I88" s="2">
        <v>3</v>
      </c>
      <c r="J88" s="2" t="s">
        <v>1546</v>
      </c>
      <c r="K88" s="2">
        <v>79002</v>
      </c>
      <c r="L88" s="35">
        <v>245385347.13</v>
      </c>
      <c r="M88" s="36">
        <v>59400</v>
      </c>
      <c r="N88" s="40">
        <v>2857353</v>
      </c>
      <c r="O88" s="40">
        <v>340993</v>
      </c>
      <c r="P88" s="40">
        <v>712860</v>
      </c>
      <c r="Q88" s="40">
        <v>202753</v>
      </c>
      <c r="R88" s="40">
        <v>2032974</v>
      </c>
      <c r="S88" s="40">
        <v>354356</v>
      </c>
      <c r="T88" s="40"/>
      <c r="U88" s="40">
        <v>11541300</v>
      </c>
      <c r="V88" s="40">
        <v>1350000</v>
      </c>
      <c r="W88" s="45">
        <v>19392589</v>
      </c>
      <c r="X88" s="46">
        <v>7.9029123893555902</v>
      </c>
    </row>
    <row r="90" spans="1:24" ht="15" customHeight="1">
      <c r="A90" s="31" t="s">
        <v>1109</v>
      </c>
      <c r="B90" s="31"/>
      <c r="C90" s="31"/>
      <c r="D90" s="31"/>
      <c r="E90" s="31"/>
      <c r="F90" s="32">
        <v>9</v>
      </c>
      <c r="G90" s="31"/>
      <c r="H90" s="31"/>
      <c r="I90" s="38"/>
      <c r="J90" s="31"/>
      <c r="K90" s="39">
        <f>+SUM(K79:K88)</f>
        <v>190042.36</v>
      </c>
      <c r="L90" s="39">
        <f>+SUM(L79:L88)</f>
        <v>590283922.91340005</v>
      </c>
      <c r="M90" s="31"/>
      <c r="N90" s="39"/>
      <c r="O90" s="39"/>
      <c r="P90" s="39"/>
      <c r="Q90" s="39"/>
      <c r="R90" s="39"/>
      <c r="S90" s="39"/>
      <c r="T90" s="39"/>
      <c r="U90" s="39"/>
      <c r="V90" s="31"/>
      <c r="W90" s="39">
        <f>+SUM(W79:W88)</f>
        <v>58455242.370000005</v>
      </c>
      <c r="X90" s="47">
        <f>(W90/L90)*100</f>
        <v>9.9029026712245241</v>
      </c>
    </row>
    <row r="92" spans="1:24" s="4" customFormat="1" ht="15" customHeight="1">
      <c r="A92" s="28" t="s">
        <v>1603</v>
      </c>
      <c r="B92" s="29">
        <v>3149.63</v>
      </c>
      <c r="C92" s="30" t="s">
        <v>1605</v>
      </c>
      <c r="D92" s="2">
        <v>4949197088</v>
      </c>
      <c r="E92" s="2" t="s">
        <v>33</v>
      </c>
      <c r="F92" s="2" t="s">
        <v>1606</v>
      </c>
      <c r="G92" s="28" t="s">
        <v>5</v>
      </c>
      <c r="H92" s="2" t="s">
        <v>17</v>
      </c>
      <c r="I92" s="2">
        <v>2</v>
      </c>
      <c r="J92" s="2" t="s">
        <v>1607</v>
      </c>
      <c r="K92" s="2">
        <v>13740</v>
      </c>
      <c r="L92" s="35">
        <v>43275916.200000003</v>
      </c>
      <c r="M92" s="36">
        <v>125</v>
      </c>
      <c r="N92" s="40">
        <v>121030.566037736</v>
      </c>
      <c r="O92" s="40">
        <v>108891.370558376</v>
      </c>
      <c r="P92" s="40">
        <v>0</v>
      </c>
      <c r="Q92" s="40">
        <v>25205.4568527919</v>
      </c>
      <c r="R92" s="40">
        <v>287064.15094339597</v>
      </c>
      <c r="S92" s="40">
        <v>66859.622641509399</v>
      </c>
      <c r="T92" s="40"/>
      <c r="U92" s="40">
        <v>1780773.58490566</v>
      </c>
      <c r="V92" s="40">
        <v>0</v>
      </c>
      <c r="W92" s="45">
        <v>2389824.7519394699</v>
      </c>
      <c r="X92" s="46">
        <v>5.5222973001770201</v>
      </c>
    </row>
    <row r="93" spans="1:24" s="4" customFormat="1" ht="15" customHeight="1">
      <c r="A93" s="28" t="s">
        <v>1603</v>
      </c>
      <c r="B93" s="29">
        <v>3149.63</v>
      </c>
      <c r="C93" s="30" t="s">
        <v>1605</v>
      </c>
      <c r="D93" s="2">
        <v>4949197088</v>
      </c>
      <c r="E93" s="2" t="s">
        <v>33</v>
      </c>
      <c r="F93" s="2" t="s">
        <v>1606</v>
      </c>
      <c r="G93" s="28" t="s">
        <v>5</v>
      </c>
      <c r="H93" s="2" t="s">
        <v>17</v>
      </c>
      <c r="I93" s="2">
        <v>2</v>
      </c>
      <c r="J93" s="2" t="s">
        <v>1607</v>
      </c>
      <c r="K93" s="2">
        <v>15045.28</v>
      </c>
      <c r="L93" s="35">
        <v>47387065.246399999</v>
      </c>
      <c r="M93" s="36">
        <v>430</v>
      </c>
      <c r="N93" s="40">
        <v>185620.54477987401</v>
      </c>
      <c r="O93" s="40">
        <v>374586.31472081202</v>
      </c>
      <c r="P93" s="40">
        <v>0</v>
      </c>
      <c r="Q93" s="40">
        <v>86706.771573604099</v>
      </c>
      <c r="R93" s="40">
        <v>440281.81949685502</v>
      </c>
      <c r="S93" s="40">
        <v>102540.374591195</v>
      </c>
      <c r="T93" s="40"/>
      <c r="U93" s="40">
        <v>2731113.08805031</v>
      </c>
      <c r="V93" s="40">
        <v>0</v>
      </c>
      <c r="W93" s="45">
        <v>3920848.91321265</v>
      </c>
      <c r="X93" s="46">
        <v>8.2740910263703604</v>
      </c>
    </row>
    <row r="94" spans="1:24" s="4" customFormat="1" ht="15" customHeight="1">
      <c r="A94" s="28" t="s">
        <v>1603</v>
      </c>
      <c r="B94" s="29">
        <v>3149.63</v>
      </c>
      <c r="C94" s="30" t="s">
        <v>1605</v>
      </c>
      <c r="D94" s="2">
        <v>4949197088</v>
      </c>
      <c r="E94" s="2" t="s">
        <v>33</v>
      </c>
      <c r="F94" s="2" t="s">
        <v>1606</v>
      </c>
      <c r="G94" s="28" t="s">
        <v>5</v>
      </c>
      <c r="H94" s="2" t="s">
        <v>17</v>
      </c>
      <c r="I94" s="2">
        <v>2</v>
      </c>
      <c r="J94" s="2" t="s">
        <v>1607</v>
      </c>
      <c r="K94" s="2">
        <v>25809.83</v>
      </c>
      <c r="L94" s="35">
        <v>81291414.862900004</v>
      </c>
      <c r="M94" s="36">
        <v>430</v>
      </c>
      <c r="N94" s="40">
        <v>334810.88918239</v>
      </c>
      <c r="O94" s="40">
        <v>374586.31472081202</v>
      </c>
      <c r="P94" s="40">
        <v>0</v>
      </c>
      <c r="Q94" s="40">
        <v>86706.771573604099</v>
      </c>
      <c r="R94" s="40">
        <v>794115.02955974801</v>
      </c>
      <c r="S94" s="40">
        <v>184956.00276729601</v>
      </c>
      <c r="T94" s="40"/>
      <c r="U94" s="40">
        <v>4926213.3270440297</v>
      </c>
      <c r="V94" s="40">
        <v>0</v>
      </c>
      <c r="W94" s="45">
        <v>6701388.3348478796</v>
      </c>
      <c r="X94" s="46">
        <v>8.2436605958328304</v>
      </c>
    </row>
    <row r="95" spans="1:24" s="4" customFormat="1" ht="15" customHeight="1">
      <c r="A95" s="28" t="s">
        <v>1603</v>
      </c>
      <c r="B95" s="29">
        <v>3149.63</v>
      </c>
      <c r="C95" s="30" t="s">
        <v>1620</v>
      </c>
      <c r="D95" s="2">
        <v>4948931073</v>
      </c>
      <c r="E95" s="2" t="s">
        <v>33</v>
      </c>
      <c r="F95" s="2" t="s">
        <v>1621</v>
      </c>
      <c r="G95" s="28" t="s">
        <v>5</v>
      </c>
      <c r="H95" s="2" t="s">
        <v>17</v>
      </c>
      <c r="I95" s="2">
        <v>1</v>
      </c>
      <c r="J95" s="2" t="s">
        <v>1622</v>
      </c>
      <c r="K95" s="2">
        <v>29222.67</v>
      </c>
      <c r="L95" s="35">
        <v>92040598.112100005</v>
      </c>
      <c r="M95" s="36">
        <v>3648</v>
      </c>
      <c r="N95" s="40">
        <v>138102.38191467299</v>
      </c>
      <c r="O95" s="40">
        <v>186411.23582658399</v>
      </c>
      <c r="P95" s="40">
        <v>0</v>
      </c>
      <c r="Q95" s="40">
        <v>43149.027155788499</v>
      </c>
      <c r="R95" s="40">
        <v>275375.879085853</v>
      </c>
      <c r="S95" s="40">
        <v>152580.84702057499</v>
      </c>
      <c r="T95" s="40"/>
      <c r="U95" s="40">
        <v>2449627.1200216701</v>
      </c>
      <c r="V95" s="40">
        <v>0</v>
      </c>
      <c r="W95" s="45">
        <v>3245246.49102514</v>
      </c>
      <c r="X95" s="46">
        <v>3.5258859216371299</v>
      </c>
    </row>
    <row r="96" spans="1:24" s="4" customFormat="1" ht="15" customHeight="1">
      <c r="A96" s="28" t="s">
        <v>1603</v>
      </c>
      <c r="B96" s="29">
        <v>3149.63</v>
      </c>
      <c r="C96" s="30" t="s">
        <v>1620</v>
      </c>
      <c r="D96" s="2">
        <v>4948931073</v>
      </c>
      <c r="E96" s="2" t="s">
        <v>33</v>
      </c>
      <c r="F96" s="2" t="s">
        <v>1621</v>
      </c>
      <c r="G96" s="28" t="s">
        <v>5</v>
      </c>
      <c r="H96" s="2" t="s">
        <v>17</v>
      </c>
      <c r="I96" s="2">
        <v>1</v>
      </c>
      <c r="J96" s="2" t="s">
        <v>1622</v>
      </c>
      <c r="K96" s="2">
        <v>32864.83</v>
      </c>
      <c r="L96" s="35">
        <v>103512054.51289999</v>
      </c>
      <c r="M96" s="36">
        <v>3648</v>
      </c>
      <c r="N96" s="40">
        <v>166655.19505315</v>
      </c>
      <c r="O96" s="40">
        <v>186411.23582658399</v>
      </c>
      <c r="P96" s="40">
        <v>0</v>
      </c>
      <c r="Q96" s="40">
        <v>43149.027155788499</v>
      </c>
      <c r="R96" s="40">
        <v>332309.55028925702</v>
      </c>
      <c r="S96" s="40">
        <v>184127.098092339</v>
      </c>
      <c r="T96" s="40"/>
      <c r="U96" s="40">
        <v>2956090.1110810102</v>
      </c>
      <c r="V96" s="40">
        <v>0</v>
      </c>
      <c r="W96" s="45">
        <v>3868742.2174981302</v>
      </c>
      <c r="X96" s="46">
        <v>3.7374798864763998</v>
      </c>
    </row>
    <row r="97" spans="1:24" s="4" customFormat="1" ht="15" customHeight="1">
      <c r="A97" s="28" t="s">
        <v>1603</v>
      </c>
      <c r="B97" s="29">
        <v>3149.63</v>
      </c>
      <c r="C97" s="30" t="s">
        <v>1620</v>
      </c>
      <c r="D97" s="2">
        <v>4948931073</v>
      </c>
      <c r="E97" s="2" t="s">
        <v>33</v>
      </c>
      <c r="F97" s="2" t="s">
        <v>1621</v>
      </c>
      <c r="G97" s="28" t="s">
        <v>5</v>
      </c>
      <c r="H97" s="2" t="s">
        <v>17</v>
      </c>
      <c r="I97" s="2">
        <v>1</v>
      </c>
      <c r="J97" s="2" t="s">
        <v>1622</v>
      </c>
      <c r="K97" s="2">
        <v>4500</v>
      </c>
      <c r="L97" s="35">
        <v>14173335</v>
      </c>
      <c r="M97" s="36">
        <v>900</v>
      </c>
      <c r="N97" s="40">
        <v>14376.080728959199</v>
      </c>
      <c r="O97" s="40">
        <v>45989.614101953302</v>
      </c>
      <c r="P97" s="40">
        <v>0</v>
      </c>
      <c r="Q97" s="40">
        <v>10645.3191996189</v>
      </c>
      <c r="R97" s="40">
        <v>28665.5135624014</v>
      </c>
      <c r="S97" s="40">
        <v>15883.2493983776</v>
      </c>
      <c r="T97" s="40"/>
      <c r="U97" s="40">
        <v>254999.492007586</v>
      </c>
      <c r="V97" s="40">
        <v>0</v>
      </c>
      <c r="W97" s="45">
        <v>370559.268998896</v>
      </c>
      <c r="X97" s="46">
        <v>2.6144818350719601</v>
      </c>
    </row>
    <row r="98" spans="1:24" s="4" customFormat="1" ht="15" customHeight="1">
      <c r="A98" s="28" t="s">
        <v>1603</v>
      </c>
      <c r="B98" s="29">
        <v>3149.63</v>
      </c>
      <c r="C98" s="30" t="s">
        <v>1620</v>
      </c>
      <c r="D98" s="2">
        <v>4948931073</v>
      </c>
      <c r="E98" s="2" t="s">
        <v>33</v>
      </c>
      <c r="F98" s="2" t="s">
        <v>1621</v>
      </c>
      <c r="G98" s="28" t="s">
        <v>5</v>
      </c>
      <c r="H98" s="2" t="s">
        <v>17</v>
      </c>
      <c r="I98" s="2">
        <v>1</v>
      </c>
      <c r="J98" s="2" t="s">
        <v>1622</v>
      </c>
      <c r="K98" s="2">
        <v>518</v>
      </c>
      <c r="L98" s="35">
        <v>1631508.34</v>
      </c>
      <c r="M98" s="36">
        <v>200</v>
      </c>
      <c r="N98" s="40">
        <v>1597.34230321768</v>
      </c>
      <c r="O98" s="40">
        <v>10219.914244878501</v>
      </c>
      <c r="P98" s="40">
        <v>0</v>
      </c>
      <c r="Q98" s="40">
        <v>2365.6264888041901</v>
      </c>
      <c r="R98" s="40">
        <v>3185.0570624890402</v>
      </c>
      <c r="S98" s="40">
        <v>1764.80548870862</v>
      </c>
      <c r="T98" s="40"/>
      <c r="U98" s="40">
        <v>28333.276889731798</v>
      </c>
      <c r="V98" s="40">
        <v>0</v>
      </c>
      <c r="W98" s="45">
        <v>47466.0224778298</v>
      </c>
      <c r="X98" s="46">
        <v>2.9093337321113402</v>
      </c>
    </row>
    <row r="99" spans="1:24" s="4" customFormat="1" ht="15" customHeight="1">
      <c r="A99" s="28" t="s">
        <v>1603</v>
      </c>
      <c r="B99" s="29">
        <v>3149.63</v>
      </c>
      <c r="C99" s="30" t="s">
        <v>1678</v>
      </c>
      <c r="D99" s="2" t="s">
        <v>1679</v>
      </c>
      <c r="E99" s="2" t="s">
        <v>33</v>
      </c>
      <c r="F99" s="78" t="s">
        <v>1680</v>
      </c>
      <c r="G99" s="28" t="s">
        <v>13</v>
      </c>
      <c r="H99" s="2" t="s">
        <v>23</v>
      </c>
      <c r="I99" s="2">
        <v>1</v>
      </c>
      <c r="J99" s="2"/>
      <c r="K99" s="2">
        <v>2568.88</v>
      </c>
      <c r="L99" s="35">
        <v>8091021.5143999998</v>
      </c>
      <c r="M99" s="36">
        <v>20</v>
      </c>
      <c r="N99" s="40">
        <v>164842.816177662</v>
      </c>
      <c r="O99" s="40">
        <v>0</v>
      </c>
      <c r="P99" s="40">
        <v>0</v>
      </c>
      <c r="Q99" s="40">
        <v>0</v>
      </c>
      <c r="R99" s="40">
        <v>3034.59134381585</v>
      </c>
      <c r="S99" s="40">
        <v>103337.079591506</v>
      </c>
      <c r="T99" s="40"/>
      <c r="U99" s="40">
        <v>71849.1846328416</v>
      </c>
      <c r="V99" s="40">
        <v>0</v>
      </c>
      <c r="W99" s="45">
        <v>343063.67174582498</v>
      </c>
      <c r="X99" s="46">
        <v>4.2400538811478601</v>
      </c>
    </row>
    <row r="100" spans="1:24" s="4" customFormat="1" ht="15" customHeight="1">
      <c r="A100" s="28" t="s">
        <v>1603</v>
      </c>
      <c r="B100" s="29">
        <v>3149.63</v>
      </c>
      <c r="C100" s="30" t="s">
        <v>1678</v>
      </c>
      <c r="D100" s="2" t="s">
        <v>1679</v>
      </c>
      <c r="E100" s="2" t="s">
        <v>33</v>
      </c>
      <c r="F100" s="2" t="s">
        <v>1680</v>
      </c>
      <c r="G100" s="28" t="s">
        <v>13</v>
      </c>
      <c r="H100" s="2" t="s">
        <v>23</v>
      </c>
      <c r="I100" s="2">
        <v>1</v>
      </c>
      <c r="J100" s="2"/>
      <c r="K100" s="2">
        <v>6238.73</v>
      </c>
      <c r="L100" s="35">
        <v>19649691.1699</v>
      </c>
      <c r="M100" s="36">
        <v>30</v>
      </c>
      <c r="N100" s="40">
        <v>400424.183822338</v>
      </c>
      <c r="O100" s="40">
        <v>0</v>
      </c>
      <c r="P100" s="40">
        <v>0</v>
      </c>
      <c r="Q100" s="40">
        <v>0</v>
      </c>
      <c r="R100" s="40">
        <v>7371.4086561841495</v>
      </c>
      <c r="S100" s="40">
        <v>251018.92040849401</v>
      </c>
      <c r="T100" s="40"/>
      <c r="U100" s="40">
        <v>174530.81536715801</v>
      </c>
      <c r="V100" s="40">
        <v>0</v>
      </c>
      <c r="W100" s="45">
        <v>833345.32825417398</v>
      </c>
      <c r="X100" s="46">
        <v>4.2410098003510504</v>
      </c>
    </row>
    <row r="101" spans="1:24" s="4" customFormat="1" ht="15" customHeight="1">
      <c r="A101" s="28" t="s">
        <v>1603</v>
      </c>
      <c r="B101" s="29">
        <v>3149.63</v>
      </c>
      <c r="C101" s="30" t="s">
        <v>1755</v>
      </c>
      <c r="D101" s="2">
        <v>4948861867</v>
      </c>
      <c r="E101" s="2" t="s">
        <v>33</v>
      </c>
      <c r="F101" s="2" t="s">
        <v>1756</v>
      </c>
      <c r="G101" s="28" t="s">
        <v>5</v>
      </c>
      <c r="H101" s="2" t="s">
        <v>20</v>
      </c>
      <c r="I101" s="2">
        <v>3</v>
      </c>
      <c r="J101" s="2" t="s">
        <v>1757</v>
      </c>
      <c r="K101" s="2">
        <v>79002</v>
      </c>
      <c r="L101" s="35">
        <v>248827069.25999999</v>
      </c>
      <c r="M101" s="36">
        <v>59400</v>
      </c>
      <c r="N101" s="40">
        <v>3098872</v>
      </c>
      <c r="O101" s="40">
        <v>881585</v>
      </c>
      <c r="P101" s="40">
        <v>1004445</v>
      </c>
      <c r="Q101" s="40">
        <v>347007</v>
      </c>
      <c r="R101" s="40">
        <v>1460074</v>
      </c>
      <c r="S101" s="40">
        <v>354356</v>
      </c>
      <c r="T101" s="40"/>
      <c r="U101" s="40">
        <v>12891300</v>
      </c>
      <c r="V101" s="40">
        <v>0</v>
      </c>
      <c r="W101" s="45">
        <v>20037639</v>
      </c>
      <c r="X101" s="46">
        <v>8.0528372815670703</v>
      </c>
    </row>
    <row r="102" spans="1:24" s="4" customFormat="1" ht="15" customHeight="1">
      <c r="A102" s="28" t="s">
        <v>1603</v>
      </c>
      <c r="B102" s="29">
        <v>3149.63</v>
      </c>
      <c r="C102" s="30" t="s">
        <v>1786</v>
      </c>
      <c r="D102" s="2">
        <v>4949508549</v>
      </c>
      <c r="E102" s="2" t="s">
        <v>33</v>
      </c>
      <c r="F102" s="2" t="s">
        <v>1787</v>
      </c>
      <c r="G102" s="28" t="s">
        <v>5</v>
      </c>
      <c r="H102" s="2" t="s">
        <v>20</v>
      </c>
      <c r="I102" s="2">
        <v>1</v>
      </c>
      <c r="J102" s="2" t="s">
        <v>1788</v>
      </c>
      <c r="K102" s="2">
        <v>19785.599999999999</v>
      </c>
      <c r="L102" s="35">
        <v>62317319.328000002</v>
      </c>
      <c r="M102" s="36">
        <v>4320</v>
      </c>
      <c r="N102" s="40">
        <v>471646</v>
      </c>
      <c r="O102" s="40">
        <v>327035</v>
      </c>
      <c r="P102" s="40">
        <v>265805</v>
      </c>
      <c r="Q102" s="40">
        <v>99309</v>
      </c>
      <c r="R102" s="40">
        <v>983897</v>
      </c>
      <c r="S102" s="40">
        <v>354356</v>
      </c>
      <c r="T102" s="40"/>
      <c r="U102" s="40">
        <v>2667500</v>
      </c>
      <c r="V102" s="40">
        <v>0</v>
      </c>
      <c r="W102" s="45">
        <v>5169548</v>
      </c>
      <c r="X102" s="46">
        <v>8.2955237095335903</v>
      </c>
    </row>
    <row r="103" spans="1:24" s="4" customFormat="1" ht="15" customHeight="1">
      <c r="A103" s="28" t="s">
        <v>1603</v>
      </c>
      <c r="B103" s="29">
        <v>3149.63</v>
      </c>
      <c r="C103" s="30" t="s">
        <v>1825</v>
      </c>
      <c r="D103" s="2">
        <v>4948546257</v>
      </c>
      <c r="E103" s="2" t="s">
        <v>33</v>
      </c>
      <c r="F103" s="2" t="s">
        <v>1826</v>
      </c>
      <c r="G103" s="28" t="s">
        <v>5</v>
      </c>
      <c r="H103" s="2" t="s">
        <v>20</v>
      </c>
      <c r="I103" s="2">
        <v>2</v>
      </c>
      <c r="J103" s="2" t="s">
        <v>1827</v>
      </c>
      <c r="K103" s="2">
        <v>10315</v>
      </c>
      <c r="L103" s="35">
        <v>32488433.449999999</v>
      </c>
      <c r="M103" s="36">
        <v>38000</v>
      </c>
      <c r="N103" s="40">
        <v>662727</v>
      </c>
      <c r="O103" s="40">
        <v>561364</v>
      </c>
      <c r="P103" s="40">
        <v>370577</v>
      </c>
      <c r="Q103" s="40">
        <v>346010</v>
      </c>
      <c r="R103" s="40">
        <v>1348257</v>
      </c>
      <c r="S103" s="40">
        <v>354356</v>
      </c>
      <c r="T103" s="40"/>
      <c r="U103" s="40">
        <v>8594200</v>
      </c>
      <c r="V103" s="40">
        <v>0</v>
      </c>
      <c r="W103" s="45">
        <v>12237491</v>
      </c>
      <c r="X103" s="46">
        <v>37.667223994759901</v>
      </c>
    </row>
    <row r="104" spans="1:24" s="4" customFormat="1" ht="15" customHeight="1">
      <c r="A104" s="28" t="s">
        <v>1603</v>
      </c>
      <c r="B104" s="29">
        <v>3149.63</v>
      </c>
      <c r="C104" s="30" t="s">
        <v>1828</v>
      </c>
      <c r="D104" s="2">
        <v>4948740714</v>
      </c>
      <c r="E104" s="2" t="s">
        <v>33</v>
      </c>
      <c r="F104" s="2" t="s">
        <v>1829</v>
      </c>
      <c r="G104" s="28" t="s">
        <v>5</v>
      </c>
      <c r="H104" s="2" t="s">
        <v>20</v>
      </c>
      <c r="I104" s="2">
        <v>2</v>
      </c>
      <c r="J104" s="2" t="s">
        <v>1830</v>
      </c>
      <c r="K104" s="2">
        <v>53064</v>
      </c>
      <c r="L104" s="35">
        <v>167131966.31999999</v>
      </c>
      <c r="M104" s="36">
        <v>39600</v>
      </c>
      <c r="N104" s="40">
        <v>934296</v>
      </c>
      <c r="O104" s="40">
        <v>654071</v>
      </c>
      <c r="P104" s="40">
        <v>0</v>
      </c>
      <c r="Q104" s="40">
        <v>198619</v>
      </c>
      <c r="R104" s="40">
        <v>1253298</v>
      </c>
      <c r="S104" s="40">
        <v>354356</v>
      </c>
      <c r="T104" s="40"/>
      <c r="U104" s="40">
        <v>9700000</v>
      </c>
      <c r="V104" s="40">
        <v>0</v>
      </c>
      <c r="W104" s="45">
        <v>13094640</v>
      </c>
      <c r="X104" s="46">
        <v>7.8349105131260703</v>
      </c>
    </row>
    <row r="105" spans="1:24" s="4" customFormat="1" ht="15" customHeight="1">
      <c r="A105" s="28" t="s">
        <v>1603</v>
      </c>
      <c r="B105" s="29">
        <v>3149.63</v>
      </c>
      <c r="C105" s="30" t="s">
        <v>1916</v>
      </c>
      <c r="D105" s="2">
        <v>4949046593</v>
      </c>
      <c r="E105" s="2" t="s">
        <v>33</v>
      </c>
      <c r="F105" s="2" t="s">
        <v>1917</v>
      </c>
      <c r="G105" s="28" t="s">
        <v>9</v>
      </c>
      <c r="H105" s="2" t="s">
        <v>23</v>
      </c>
      <c r="I105" s="2">
        <v>2</v>
      </c>
      <c r="J105" s="2"/>
      <c r="K105" s="2">
        <v>9143</v>
      </c>
      <c r="L105" s="35">
        <v>28797067.09</v>
      </c>
      <c r="M105" s="36">
        <v>5600</v>
      </c>
      <c r="N105" s="40">
        <v>629814</v>
      </c>
      <c r="O105" s="40">
        <v>1441</v>
      </c>
      <c r="P105" s="40">
        <v>121771</v>
      </c>
      <c r="Q105" s="40">
        <v>36572</v>
      </c>
      <c r="R105" s="40">
        <v>117460</v>
      </c>
      <c r="S105" s="40">
        <v>354356</v>
      </c>
      <c r="T105" s="40"/>
      <c r="U105" s="40">
        <v>1396800</v>
      </c>
      <c r="V105" s="40">
        <v>0</v>
      </c>
      <c r="W105" s="45">
        <v>2658214</v>
      </c>
      <c r="X105" s="46">
        <v>9.2308497656800803</v>
      </c>
    </row>
    <row r="106" spans="1:24" s="4" customFormat="1" ht="15" customHeight="1">
      <c r="A106" s="28" t="s">
        <v>1603</v>
      </c>
      <c r="B106" s="29">
        <v>3149.63</v>
      </c>
      <c r="C106" s="30" t="s">
        <v>1991</v>
      </c>
      <c r="D106" s="2">
        <v>4949595170</v>
      </c>
      <c r="E106" s="2" t="s">
        <v>33</v>
      </c>
      <c r="F106" s="2" t="s">
        <v>1992</v>
      </c>
      <c r="G106" s="28" t="s">
        <v>5</v>
      </c>
      <c r="H106" s="2" t="s">
        <v>17</v>
      </c>
      <c r="I106" s="2">
        <v>2</v>
      </c>
      <c r="J106" s="2" t="s">
        <v>1993</v>
      </c>
      <c r="K106" s="2">
        <v>15045.27</v>
      </c>
      <c r="L106" s="35">
        <v>47387033.750100002</v>
      </c>
      <c r="M106" s="36">
        <v>430</v>
      </c>
      <c r="N106" s="40">
        <v>237928.49350649401</v>
      </c>
      <c r="O106" s="40">
        <v>319452.39826839801</v>
      </c>
      <c r="P106" s="40">
        <v>0</v>
      </c>
      <c r="Q106" s="40">
        <v>73944.7359307359</v>
      </c>
      <c r="R106" s="40">
        <v>568730</v>
      </c>
      <c r="S106" s="40">
        <v>131924.744588745</v>
      </c>
      <c r="T106" s="40"/>
      <c r="U106" s="40">
        <v>3784595.6709956699</v>
      </c>
      <c r="V106" s="40">
        <v>0</v>
      </c>
      <c r="W106" s="45">
        <v>5116576.0432900405</v>
      </c>
      <c r="X106" s="46">
        <v>10.797417855426</v>
      </c>
    </row>
    <row r="107" spans="1:24" s="4" customFormat="1" ht="15" customHeight="1">
      <c r="A107" s="28" t="s">
        <v>1603</v>
      </c>
      <c r="B107" s="29">
        <v>3149.63</v>
      </c>
      <c r="C107" s="30" t="s">
        <v>1991</v>
      </c>
      <c r="D107" s="2">
        <v>4949595170</v>
      </c>
      <c r="E107" s="2" t="s">
        <v>33</v>
      </c>
      <c r="F107" s="2" t="s">
        <v>1992</v>
      </c>
      <c r="G107" s="28" t="s">
        <v>5</v>
      </c>
      <c r="H107" s="2" t="s">
        <v>17</v>
      </c>
      <c r="I107" s="2">
        <v>2</v>
      </c>
      <c r="J107" s="2" t="s">
        <v>1993</v>
      </c>
      <c r="K107" s="2">
        <v>25809.83</v>
      </c>
      <c r="L107" s="35">
        <v>81291414.862900004</v>
      </c>
      <c r="M107" s="36">
        <v>430</v>
      </c>
      <c r="N107" s="40">
        <v>237928.49350649401</v>
      </c>
      <c r="O107" s="40">
        <v>319452.39826839801</v>
      </c>
      <c r="P107" s="40">
        <v>0</v>
      </c>
      <c r="Q107" s="40">
        <v>73944.7359307359</v>
      </c>
      <c r="R107" s="40">
        <v>568730</v>
      </c>
      <c r="S107" s="40">
        <v>131924.744588745</v>
      </c>
      <c r="T107" s="40"/>
      <c r="U107" s="40">
        <v>3784595.6709956699</v>
      </c>
      <c r="V107" s="40">
        <v>0</v>
      </c>
      <c r="W107" s="45">
        <v>5116576.0432900405</v>
      </c>
      <c r="X107" s="46">
        <v>6.2941161153601204</v>
      </c>
    </row>
    <row r="108" spans="1:24" s="4" customFormat="1" ht="15" customHeight="1">
      <c r="A108" s="28" t="s">
        <v>1603</v>
      </c>
      <c r="B108" s="29">
        <v>3149.63</v>
      </c>
      <c r="C108" s="30" t="s">
        <v>1991</v>
      </c>
      <c r="D108" s="2">
        <v>4949595170</v>
      </c>
      <c r="E108" s="2" t="s">
        <v>33</v>
      </c>
      <c r="F108" s="2" t="s">
        <v>1992</v>
      </c>
      <c r="G108" s="28" t="s">
        <v>5</v>
      </c>
      <c r="H108" s="2" t="s">
        <v>17</v>
      </c>
      <c r="I108" s="2">
        <v>2</v>
      </c>
      <c r="J108" s="2" t="s">
        <v>1993</v>
      </c>
      <c r="K108" s="2">
        <v>13740</v>
      </c>
      <c r="L108" s="35">
        <v>43275916.200000003</v>
      </c>
      <c r="M108" s="36">
        <v>125</v>
      </c>
      <c r="N108" s="40">
        <v>69165.259740259702</v>
      </c>
      <c r="O108" s="40">
        <v>92864.069264069301</v>
      </c>
      <c r="P108" s="40">
        <v>0</v>
      </c>
      <c r="Q108" s="40">
        <v>21495.562770562799</v>
      </c>
      <c r="R108" s="40">
        <v>165329</v>
      </c>
      <c r="S108" s="40">
        <v>38350.216450216503</v>
      </c>
      <c r="T108" s="40"/>
      <c r="U108" s="40">
        <v>1100173.16017316</v>
      </c>
      <c r="V108" s="40">
        <v>0</v>
      </c>
      <c r="W108" s="45">
        <v>1487377.26839827</v>
      </c>
      <c r="X108" s="46">
        <v>3.4369630940321199</v>
      </c>
    </row>
    <row r="109" spans="1:24" s="4" customFormat="1" ht="15" customHeight="1">
      <c r="A109" s="28" t="s">
        <v>1603</v>
      </c>
      <c r="B109" s="29">
        <v>3149.63</v>
      </c>
      <c r="C109" s="30" t="s">
        <v>1991</v>
      </c>
      <c r="D109" s="2">
        <v>4949595170</v>
      </c>
      <c r="E109" s="2" t="s">
        <v>33</v>
      </c>
      <c r="F109" s="2" t="s">
        <v>1992</v>
      </c>
      <c r="G109" s="28" t="s">
        <v>5</v>
      </c>
      <c r="H109" s="2" t="s">
        <v>17</v>
      </c>
      <c r="I109" s="2">
        <v>2</v>
      </c>
      <c r="J109" s="2" t="s">
        <v>1993</v>
      </c>
      <c r="K109" s="2">
        <v>17544</v>
      </c>
      <c r="L109" s="35">
        <v>55257108.719999999</v>
      </c>
      <c r="M109" s="36">
        <v>170</v>
      </c>
      <c r="N109" s="40">
        <v>94064.753246753302</v>
      </c>
      <c r="O109" s="40">
        <v>126295.134199134</v>
      </c>
      <c r="P109" s="40">
        <v>0</v>
      </c>
      <c r="Q109" s="40">
        <v>29233.9653679654</v>
      </c>
      <c r="R109" s="40">
        <v>224847</v>
      </c>
      <c r="S109" s="40">
        <v>52156.294372294396</v>
      </c>
      <c r="T109" s="40"/>
      <c r="U109" s="40">
        <v>1496235.4978354999</v>
      </c>
      <c r="V109" s="40">
        <v>0</v>
      </c>
      <c r="W109" s="45">
        <v>2022832.64502165</v>
      </c>
      <c r="X109" s="46">
        <v>3.6607645457379698</v>
      </c>
    </row>
    <row r="110" spans="1:24" s="4" customFormat="1" ht="15" customHeight="1">
      <c r="A110" s="28" t="s">
        <v>1603</v>
      </c>
      <c r="B110" s="29">
        <v>3149.63</v>
      </c>
      <c r="C110" s="30" t="s">
        <v>2049</v>
      </c>
      <c r="D110" s="2">
        <v>4949076772</v>
      </c>
      <c r="E110" s="2" t="s">
        <v>33</v>
      </c>
      <c r="F110" s="2" t="s">
        <v>2050</v>
      </c>
      <c r="G110" s="28" t="s">
        <v>5</v>
      </c>
      <c r="H110" s="2" t="s">
        <v>20</v>
      </c>
      <c r="I110" s="2">
        <v>1</v>
      </c>
      <c r="J110" s="2" t="s">
        <v>2051</v>
      </c>
      <c r="K110" s="2">
        <v>14280</v>
      </c>
      <c r="L110" s="35">
        <v>44976716.399999999</v>
      </c>
      <c r="M110" s="36">
        <v>24000</v>
      </c>
      <c r="N110" s="40">
        <v>721598</v>
      </c>
      <c r="O110" s="40">
        <v>294076</v>
      </c>
      <c r="P110" s="40">
        <v>227096</v>
      </c>
      <c r="Q110" s="40">
        <v>172066</v>
      </c>
      <c r="R110" s="40">
        <v>751286</v>
      </c>
      <c r="S110" s="40">
        <v>354356</v>
      </c>
      <c r="T110" s="40"/>
      <c r="U110" s="40">
        <v>4297100</v>
      </c>
      <c r="V110" s="40">
        <v>0</v>
      </c>
      <c r="W110" s="45">
        <v>6817578</v>
      </c>
      <c r="X110" s="46">
        <v>15.1580162930703</v>
      </c>
    </row>
    <row r="111" spans="1:24" s="4" customFormat="1" ht="15" customHeight="1">
      <c r="A111" s="28" t="s">
        <v>1603</v>
      </c>
      <c r="B111" s="29">
        <v>3149.63</v>
      </c>
      <c r="C111" s="30" t="s">
        <v>2084</v>
      </c>
      <c r="D111" s="2">
        <v>4949599732</v>
      </c>
      <c r="E111" s="2" t="s">
        <v>33</v>
      </c>
      <c r="F111" s="2" t="s">
        <v>2085</v>
      </c>
      <c r="G111" s="28" t="s">
        <v>9</v>
      </c>
      <c r="H111" s="2" t="s">
        <v>23</v>
      </c>
      <c r="I111" s="2">
        <v>4</v>
      </c>
      <c r="J111" s="2"/>
      <c r="K111" s="2">
        <v>7797.38</v>
      </c>
      <c r="L111" s="35">
        <v>24558861.9694</v>
      </c>
      <c r="M111" s="36">
        <v>4082.4</v>
      </c>
      <c r="N111" s="40">
        <v>1640735</v>
      </c>
      <c r="O111" s="40">
        <v>2718</v>
      </c>
      <c r="P111" s="40">
        <v>83235</v>
      </c>
      <c r="Q111" s="40">
        <v>68581</v>
      </c>
      <c r="R111" s="40">
        <v>150864</v>
      </c>
      <c r="S111" s="40">
        <v>354356</v>
      </c>
      <c r="T111" s="40"/>
      <c r="U111" s="40">
        <v>2163100</v>
      </c>
      <c r="V111" s="40">
        <v>0</v>
      </c>
      <c r="W111" s="45">
        <v>4463589</v>
      </c>
      <c r="X111" s="46">
        <v>18.1750644861377</v>
      </c>
    </row>
    <row r="112" spans="1:24" s="4" customFormat="1" ht="15" customHeight="1">
      <c r="A112" s="28" t="s">
        <v>1603</v>
      </c>
      <c r="B112" s="29">
        <v>3149.63</v>
      </c>
      <c r="C112" s="30" t="s">
        <v>2089</v>
      </c>
      <c r="D112" s="2">
        <v>4949311078</v>
      </c>
      <c r="E112" s="2" t="s">
        <v>33</v>
      </c>
      <c r="F112" s="2" t="s">
        <v>2090</v>
      </c>
      <c r="G112" s="28" t="s">
        <v>5</v>
      </c>
      <c r="H112" s="2" t="s">
        <v>17</v>
      </c>
      <c r="I112" s="2">
        <v>1</v>
      </c>
      <c r="J112" s="2" t="s">
        <v>2091</v>
      </c>
      <c r="K112" s="2">
        <v>27684.639999999999</v>
      </c>
      <c r="L112" s="35">
        <v>87196372.683200002</v>
      </c>
      <c r="M112" s="36">
        <v>3456</v>
      </c>
      <c r="N112" s="40">
        <v>158628.23074623899</v>
      </c>
      <c r="O112" s="40">
        <v>147726.86978180701</v>
      </c>
      <c r="P112" s="40">
        <v>0</v>
      </c>
      <c r="Q112" s="40">
        <v>34194.670120554001</v>
      </c>
      <c r="R112" s="40">
        <v>251995</v>
      </c>
      <c r="S112" s="40">
        <v>122013.98186709201</v>
      </c>
      <c r="T112" s="40"/>
      <c r="U112" s="40">
        <v>1958887.7951579201</v>
      </c>
      <c r="V112" s="40">
        <v>0</v>
      </c>
      <c r="W112" s="45">
        <v>2673446.54767361</v>
      </c>
      <c r="X112" s="46">
        <v>3.0660066071632599</v>
      </c>
    </row>
    <row r="113" spans="1:24" s="4" customFormat="1" ht="15" customHeight="1">
      <c r="A113" s="28" t="s">
        <v>1603</v>
      </c>
      <c r="B113" s="29">
        <v>3149.63</v>
      </c>
      <c r="C113" s="30" t="s">
        <v>2089</v>
      </c>
      <c r="D113" s="2">
        <v>4949311078</v>
      </c>
      <c r="E113" s="2" t="s">
        <v>33</v>
      </c>
      <c r="F113" s="2" t="s">
        <v>2090</v>
      </c>
      <c r="G113" s="28" t="s">
        <v>5</v>
      </c>
      <c r="H113" s="2" t="s">
        <v>17</v>
      </c>
      <c r="I113" s="2">
        <v>1</v>
      </c>
      <c r="J113" s="2" t="s">
        <v>2091</v>
      </c>
      <c r="K113" s="2">
        <v>31135.1</v>
      </c>
      <c r="L113" s="35">
        <v>98064045.012999997</v>
      </c>
      <c r="M113" s="36">
        <v>3456</v>
      </c>
      <c r="N113" s="40">
        <v>158628.23074623899</v>
      </c>
      <c r="O113" s="40">
        <v>147726.86978180701</v>
      </c>
      <c r="P113" s="40">
        <v>0</v>
      </c>
      <c r="Q113" s="40">
        <v>34194.670120554001</v>
      </c>
      <c r="R113" s="40">
        <v>251995</v>
      </c>
      <c r="S113" s="40">
        <v>122013.98186709201</v>
      </c>
      <c r="T113" s="40"/>
      <c r="U113" s="40">
        <v>1958887.7951579201</v>
      </c>
      <c r="V113" s="40">
        <v>0</v>
      </c>
      <c r="W113" s="45">
        <v>2673446.54767361</v>
      </c>
      <c r="X113" s="46">
        <v>2.7262250372388799</v>
      </c>
    </row>
    <row r="114" spans="1:24" s="4" customFormat="1" ht="15" customHeight="1">
      <c r="A114" s="28" t="s">
        <v>1603</v>
      </c>
      <c r="B114" s="29">
        <v>3149.63</v>
      </c>
      <c r="C114" s="30" t="s">
        <v>2089</v>
      </c>
      <c r="D114" s="2">
        <v>4949311078</v>
      </c>
      <c r="E114" s="2" t="s">
        <v>33</v>
      </c>
      <c r="F114" s="2" t="s">
        <v>2090</v>
      </c>
      <c r="G114" s="28" t="s">
        <v>5</v>
      </c>
      <c r="H114" s="2" t="s">
        <v>17</v>
      </c>
      <c r="I114" s="2">
        <v>1</v>
      </c>
      <c r="J114" s="2" t="s">
        <v>2091</v>
      </c>
      <c r="K114" s="2">
        <v>5625</v>
      </c>
      <c r="L114" s="35">
        <v>17716668.75</v>
      </c>
      <c r="M114" s="36">
        <v>1125</v>
      </c>
      <c r="N114" s="40">
        <v>51636.793862708</v>
      </c>
      <c r="O114" s="40">
        <v>48088.173757098702</v>
      </c>
      <c r="P114" s="40">
        <v>0</v>
      </c>
      <c r="Q114" s="40">
        <v>11131.0775132012</v>
      </c>
      <c r="R114" s="40">
        <v>82030</v>
      </c>
      <c r="S114" s="40">
        <v>39718.093055693898</v>
      </c>
      <c r="T114" s="40"/>
      <c r="U114" s="40">
        <v>637658.78748630104</v>
      </c>
      <c r="V114" s="40">
        <v>0</v>
      </c>
      <c r="W114" s="45">
        <v>870262.92567500297</v>
      </c>
      <c r="X114" s="46">
        <v>4.9121137723760997</v>
      </c>
    </row>
    <row r="115" spans="1:24" s="4" customFormat="1" ht="15" customHeight="1">
      <c r="A115" s="28" t="s">
        <v>1603</v>
      </c>
      <c r="B115" s="29">
        <v>3149.63</v>
      </c>
      <c r="C115" s="30" t="s">
        <v>2089</v>
      </c>
      <c r="D115" s="2">
        <v>4949311078</v>
      </c>
      <c r="E115" s="2" t="s">
        <v>33</v>
      </c>
      <c r="F115" s="2" t="s">
        <v>2090</v>
      </c>
      <c r="G115" s="28" t="s">
        <v>5</v>
      </c>
      <c r="H115" s="2" t="s">
        <v>17</v>
      </c>
      <c r="I115" s="2">
        <v>1</v>
      </c>
      <c r="J115" s="2" t="s">
        <v>2091</v>
      </c>
      <c r="K115" s="2">
        <v>4860</v>
      </c>
      <c r="L115" s="35">
        <v>15307201.800000001</v>
      </c>
      <c r="M115" s="36">
        <v>2000</v>
      </c>
      <c r="N115" s="40">
        <v>91798.7446448142</v>
      </c>
      <c r="O115" s="40">
        <v>85490.0866792866</v>
      </c>
      <c r="P115" s="40">
        <v>0</v>
      </c>
      <c r="Q115" s="40">
        <v>19788.582245690901</v>
      </c>
      <c r="R115" s="40">
        <v>145831</v>
      </c>
      <c r="S115" s="40">
        <v>70609.943210122496</v>
      </c>
      <c r="T115" s="40"/>
      <c r="U115" s="40">
        <v>1133615.6221978699</v>
      </c>
      <c r="V115" s="40">
        <v>0</v>
      </c>
      <c r="W115" s="45">
        <v>1547133.9789777801</v>
      </c>
      <c r="X115" s="46">
        <v>10.107229258438201</v>
      </c>
    </row>
    <row r="117" spans="1:24" ht="15" customHeight="1">
      <c r="A117" s="31" t="s">
        <v>1603</v>
      </c>
      <c r="B117" s="31"/>
      <c r="C117" s="31"/>
      <c r="D117" s="31"/>
      <c r="E117" s="31"/>
      <c r="F117" s="32">
        <v>12</v>
      </c>
      <c r="G117" s="31"/>
      <c r="H117" s="31"/>
      <c r="I117" s="38"/>
      <c r="J117" s="31"/>
      <c r="K117" s="39">
        <f>+SUM(K92:K115)</f>
        <v>465339.04000000004</v>
      </c>
      <c r="L117" s="39">
        <f>+SUM(L92:L115)</f>
        <v>1465645800.5552003</v>
      </c>
      <c r="M117" s="31"/>
      <c r="N117" s="39"/>
      <c r="O117" s="39"/>
      <c r="P117" s="39"/>
      <c r="Q117" s="39"/>
      <c r="R117" s="39"/>
      <c r="S117" s="39"/>
      <c r="T117" s="39"/>
      <c r="U117" s="39"/>
      <c r="V117" s="31"/>
      <c r="W117" s="39">
        <f>+SUM(W92:W115)</f>
        <v>107706836</v>
      </c>
      <c r="X117" s="47">
        <f>(W117/L117)*100</f>
        <v>7.348762979377395</v>
      </c>
    </row>
    <row r="119" spans="1:24" s="4" customFormat="1" ht="15" customHeight="1">
      <c r="A119" s="28" t="s">
        <v>2168</v>
      </c>
      <c r="B119" s="29">
        <v>3271.01</v>
      </c>
      <c r="C119" s="30" t="s">
        <v>2193</v>
      </c>
      <c r="D119" s="2">
        <v>4950480493</v>
      </c>
      <c r="E119" s="2" t="s">
        <v>33</v>
      </c>
      <c r="F119" s="2" t="s">
        <v>2194</v>
      </c>
      <c r="G119" s="28" t="s">
        <v>13</v>
      </c>
      <c r="H119" s="2" t="s">
        <v>23</v>
      </c>
      <c r="I119" s="2">
        <v>6</v>
      </c>
      <c r="J119" s="2"/>
      <c r="K119" s="2">
        <v>3477</v>
      </c>
      <c r="L119" s="35">
        <v>11373301.77</v>
      </c>
      <c r="M119" s="36">
        <v>150</v>
      </c>
      <c r="N119" s="40">
        <v>897563</v>
      </c>
      <c r="O119" s="40">
        <v>0</v>
      </c>
      <c r="P119" s="40">
        <v>369733</v>
      </c>
      <c r="Q119" s="40">
        <v>0</v>
      </c>
      <c r="R119" s="40">
        <v>5069</v>
      </c>
      <c r="S119" s="40">
        <v>354356</v>
      </c>
      <c r="T119" s="40"/>
      <c r="U119" s="40">
        <v>246380</v>
      </c>
      <c r="V119" s="40">
        <v>0</v>
      </c>
      <c r="W119" s="45">
        <v>1873101</v>
      </c>
      <c r="X119" s="46">
        <v>16.4692807583879</v>
      </c>
    </row>
    <row r="120" spans="1:24" s="4" customFormat="1" ht="15" customHeight="1">
      <c r="A120" s="28" t="s">
        <v>2168</v>
      </c>
      <c r="B120" s="29">
        <v>3271.01</v>
      </c>
      <c r="C120" s="30" t="s">
        <v>2226</v>
      </c>
      <c r="D120" s="2">
        <v>4949311079</v>
      </c>
      <c r="E120" s="2" t="s">
        <v>33</v>
      </c>
      <c r="F120" s="2" t="s">
        <v>2227</v>
      </c>
      <c r="G120" s="28" t="s">
        <v>5</v>
      </c>
      <c r="H120" s="2" t="s">
        <v>20</v>
      </c>
      <c r="I120" s="2">
        <v>1</v>
      </c>
      <c r="J120" s="2" t="s">
        <v>2228</v>
      </c>
      <c r="K120" s="2">
        <v>13140.9</v>
      </c>
      <c r="L120" s="35">
        <v>42984015.309</v>
      </c>
      <c r="M120" s="36">
        <v>420</v>
      </c>
      <c r="N120" s="40">
        <v>464578</v>
      </c>
      <c r="O120" s="40">
        <v>298726</v>
      </c>
      <c r="P120" s="40">
        <v>461751</v>
      </c>
      <c r="Q120" s="40">
        <v>111228</v>
      </c>
      <c r="R120" s="40">
        <v>694237</v>
      </c>
      <c r="S120" s="40">
        <v>354356</v>
      </c>
      <c r="T120" s="40"/>
      <c r="U120" s="40">
        <v>2958500</v>
      </c>
      <c r="V120" s="40">
        <v>0</v>
      </c>
      <c r="W120" s="45">
        <v>5343376</v>
      </c>
      <c r="X120" s="46">
        <v>12.431076905189</v>
      </c>
    </row>
    <row r="121" spans="1:24" s="4" customFormat="1" ht="15" customHeight="1">
      <c r="A121" s="28" t="s">
        <v>2168</v>
      </c>
      <c r="B121" s="29">
        <v>3271.01</v>
      </c>
      <c r="C121" s="30" t="s">
        <v>2243</v>
      </c>
      <c r="D121" s="2">
        <v>4949624379</v>
      </c>
      <c r="E121" s="2" t="s">
        <v>33</v>
      </c>
      <c r="F121" s="2" t="s">
        <v>2244</v>
      </c>
      <c r="G121" s="28" t="s">
        <v>5</v>
      </c>
      <c r="H121" s="2" t="s">
        <v>20</v>
      </c>
      <c r="I121" s="2">
        <v>1</v>
      </c>
      <c r="J121" s="2" t="s">
        <v>2245</v>
      </c>
      <c r="K121" s="2">
        <v>21780</v>
      </c>
      <c r="L121" s="35">
        <v>71242597.799999997</v>
      </c>
      <c r="M121" s="36">
        <v>19800</v>
      </c>
      <c r="N121" s="40">
        <v>1504954</v>
      </c>
      <c r="O121" s="40">
        <v>304370</v>
      </c>
      <c r="P121" s="40">
        <v>250458</v>
      </c>
      <c r="Q121" s="40">
        <v>119805</v>
      </c>
      <c r="R121" s="40">
        <v>707414</v>
      </c>
      <c r="S121" s="40">
        <v>354356</v>
      </c>
      <c r="T121" s="40"/>
      <c r="U121" s="40">
        <v>4297100</v>
      </c>
      <c r="V121" s="40">
        <v>0</v>
      </c>
      <c r="W121" s="45">
        <v>7538457</v>
      </c>
      <c r="X121" s="46">
        <v>10.581389832474599</v>
      </c>
    </row>
    <row r="122" spans="1:24" s="4" customFormat="1" ht="15" customHeight="1">
      <c r="A122" s="28" t="s">
        <v>2168</v>
      </c>
      <c r="B122" s="29">
        <v>3271.01</v>
      </c>
      <c r="C122" s="30" t="s">
        <v>2285</v>
      </c>
      <c r="D122" s="2">
        <v>4950640791</v>
      </c>
      <c r="E122" s="2" t="s">
        <v>33</v>
      </c>
      <c r="F122" s="2" t="s">
        <v>2286</v>
      </c>
      <c r="G122" s="28" t="s">
        <v>13</v>
      </c>
      <c r="H122" s="2" t="s">
        <v>23</v>
      </c>
      <c r="I122" s="2">
        <v>3</v>
      </c>
      <c r="J122" s="2"/>
      <c r="K122" s="2">
        <v>1816.5</v>
      </c>
      <c r="L122" s="35">
        <v>5941789.665</v>
      </c>
      <c r="M122" s="36">
        <v>150</v>
      </c>
      <c r="N122" s="40">
        <v>887641</v>
      </c>
      <c r="O122" s="40">
        <v>0</v>
      </c>
      <c r="P122" s="40">
        <v>0</v>
      </c>
      <c r="Q122" s="40">
        <v>0</v>
      </c>
      <c r="R122" s="40">
        <v>3551</v>
      </c>
      <c r="S122" s="40">
        <v>354356</v>
      </c>
      <c r="T122" s="40"/>
      <c r="U122" s="40">
        <v>246380</v>
      </c>
      <c r="V122" s="40">
        <v>0</v>
      </c>
      <c r="W122" s="45">
        <v>1491928</v>
      </c>
      <c r="X122" s="46">
        <v>25.109067875427701</v>
      </c>
    </row>
    <row r="123" spans="1:24" s="4" customFormat="1" ht="15" customHeight="1">
      <c r="A123" s="28" t="s">
        <v>2168</v>
      </c>
      <c r="B123" s="29">
        <v>3271.01</v>
      </c>
      <c r="C123" s="30" t="s">
        <v>2321</v>
      </c>
      <c r="D123" s="2">
        <v>4949595181</v>
      </c>
      <c r="E123" s="2" t="s">
        <v>33</v>
      </c>
      <c r="F123" s="78" t="s">
        <v>2322</v>
      </c>
      <c r="G123" s="28" t="s">
        <v>9</v>
      </c>
      <c r="H123" s="2" t="s">
        <v>23</v>
      </c>
      <c r="I123" s="2">
        <v>4</v>
      </c>
      <c r="J123" s="2"/>
      <c r="K123" s="2">
        <v>1960.69</v>
      </c>
      <c r="L123" s="35">
        <v>6413436.5969000002</v>
      </c>
      <c r="M123" s="36">
        <v>3016.44</v>
      </c>
      <c r="N123" s="40">
        <v>904885</v>
      </c>
      <c r="O123" s="40">
        <v>2231</v>
      </c>
      <c r="P123" s="40">
        <v>0</v>
      </c>
      <c r="Q123" s="40">
        <v>54345</v>
      </c>
      <c r="R123" s="40">
        <v>144055</v>
      </c>
      <c r="S123" s="40">
        <v>354356</v>
      </c>
      <c r="T123" s="40"/>
      <c r="U123" s="40">
        <v>1396800</v>
      </c>
      <c r="V123" s="40">
        <v>0</v>
      </c>
      <c r="W123" s="45">
        <v>2856672</v>
      </c>
      <c r="X123" s="46">
        <v>44.541985514923503</v>
      </c>
    </row>
    <row r="124" spans="1:24" s="4" customFormat="1" ht="15" customHeight="1">
      <c r="A124" s="28" t="s">
        <v>2168</v>
      </c>
      <c r="B124" s="29">
        <v>3271.01</v>
      </c>
      <c r="C124" s="30" t="s">
        <v>2377</v>
      </c>
      <c r="D124" s="2">
        <v>4949311086</v>
      </c>
      <c r="E124" s="2" t="s">
        <v>33</v>
      </c>
      <c r="F124" s="2" t="s">
        <v>2378</v>
      </c>
      <c r="G124" s="28" t="s">
        <v>5</v>
      </c>
      <c r="H124" s="2" t="s">
        <v>20</v>
      </c>
      <c r="I124" s="2">
        <v>1</v>
      </c>
      <c r="J124" s="2" t="s">
        <v>2379</v>
      </c>
      <c r="K124" s="2">
        <v>14145.52</v>
      </c>
      <c r="L124" s="35">
        <v>46270137.375200003</v>
      </c>
      <c r="M124" s="36">
        <v>8573.0400000000009</v>
      </c>
      <c r="N124" s="40">
        <v>319543</v>
      </c>
      <c r="O124" s="40">
        <v>332655</v>
      </c>
      <c r="P124" s="40">
        <v>394951</v>
      </c>
      <c r="Q124" s="40">
        <v>99309</v>
      </c>
      <c r="R124" s="40">
        <v>689284</v>
      </c>
      <c r="S124" s="40">
        <v>354356</v>
      </c>
      <c r="T124" s="40"/>
      <c r="U124" s="40">
        <v>2910000</v>
      </c>
      <c r="V124" s="40">
        <v>0</v>
      </c>
      <c r="W124" s="45">
        <v>5100098</v>
      </c>
      <c r="X124" s="46">
        <v>11.0224397188273</v>
      </c>
    </row>
    <row r="125" spans="1:24" s="4" customFormat="1" ht="15" customHeight="1">
      <c r="A125" s="28" t="s">
        <v>2168</v>
      </c>
      <c r="B125" s="29">
        <v>3271.01</v>
      </c>
      <c r="C125" s="30" t="s">
        <v>2390</v>
      </c>
      <c r="D125" s="2">
        <v>4949923661</v>
      </c>
      <c r="E125" s="2" t="s">
        <v>33</v>
      </c>
      <c r="F125" s="2" t="s">
        <v>2391</v>
      </c>
      <c r="G125" s="28" t="s">
        <v>9</v>
      </c>
      <c r="H125" s="2" t="s">
        <v>23</v>
      </c>
      <c r="I125" s="2">
        <v>4</v>
      </c>
      <c r="J125" s="2"/>
      <c r="K125" s="2">
        <v>19600</v>
      </c>
      <c r="L125" s="35">
        <v>64111796</v>
      </c>
      <c r="M125" s="36">
        <v>4000</v>
      </c>
      <c r="N125" s="40">
        <v>3375909</v>
      </c>
      <c r="O125" s="40">
        <v>0</v>
      </c>
      <c r="P125" s="40">
        <v>53532.15</v>
      </c>
      <c r="Q125" s="40">
        <v>88364</v>
      </c>
      <c r="R125" s="40">
        <v>128469</v>
      </c>
      <c r="S125" s="40">
        <v>354356</v>
      </c>
      <c r="T125" s="40"/>
      <c r="U125" s="40">
        <v>1338600</v>
      </c>
      <c r="V125" s="40">
        <v>0</v>
      </c>
      <c r="W125" s="45">
        <v>5339230.1500000004</v>
      </c>
      <c r="X125" s="46">
        <v>8.3279996554768196</v>
      </c>
    </row>
    <row r="126" spans="1:24" s="4" customFormat="1" ht="15" customHeight="1">
      <c r="A126" s="28" t="s">
        <v>2168</v>
      </c>
      <c r="B126" s="29">
        <v>3271.01</v>
      </c>
      <c r="C126" s="30" t="s">
        <v>2442</v>
      </c>
      <c r="D126" s="2">
        <v>4949595178</v>
      </c>
      <c r="E126" s="2" t="s">
        <v>33</v>
      </c>
      <c r="F126" s="2" t="s">
        <v>2443</v>
      </c>
      <c r="G126" s="28" t="s">
        <v>5</v>
      </c>
      <c r="H126" s="2" t="s">
        <v>17</v>
      </c>
      <c r="I126" s="2">
        <v>1</v>
      </c>
      <c r="J126" s="2" t="s">
        <v>2444</v>
      </c>
      <c r="K126" s="2">
        <v>29222.67</v>
      </c>
      <c r="L126" s="35">
        <v>95587645.796700001</v>
      </c>
      <c r="M126" s="36">
        <v>3648</v>
      </c>
      <c r="N126" s="40">
        <v>146932.57831640399</v>
      </c>
      <c r="O126" s="40">
        <v>197862.51454138701</v>
      </c>
      <c r="P126" s="40">
        <v>0</v>
      </c>
      <c r="Q126" s="40">
        <v>45026.004474272901</v>
      </c>
      <c r="R126" s="40">
        <v>292054.912273533</v>
      </c>
      <c r="S126" s="40">
        <v>156477.38247431899</v>
      </c>
      <c r="T126" s="48"/>
      <c r="U126" s="40">
        <v>2490767.7581740501</v>
      </c>
      <c r="V126" s="40">
        <v>0</v>
      </c>
      <c r="W126" s="45">
        <v>3329121.1502539702</v>
      </c>
      <c r="X126" s="46">
        <v>3.48279437421703</v>
      </c>
    </row>
    <row r="127" spans="1:24" s="4" customFormat="1" ht="15" customHeight="1">
      <c r="A127" s="28" t="s">
        <v>2168</v>
      </c>
      <c r="B127" s="29">
        <v>3271.01</v>
      </c>
      <c r="C127" s="30" t="s">
        <v>2442</v>
      </c>
      <c r="D127" s="2">
        <v>4949595178</v>
      </c>
      <c r="E127" s="2" t="s">
        <v>33</v>
      </c>
      <c r="F127" s="2" t="s">
        <v>2443</v>
      </c>
      <c r="G127" s="28" t="s">
        <v>5</v>
      </c>
      <c r="H127" s="2" t="s">
        <v>17</v>
      </c>
      <c r="I127" s="2">
        <v>1</v>
      </c>
      <c r="J127" s="2" t="s">
        <v>2444</v>
      </c>
      <c r="K127" s="2">
        <v>32864.83</v>
      </c>
      <c r="L127" s="35">
        <v>107501187.5783</v>
      </c>
      <c r="M127" s="36">
        <v>3648</v>
      </c>
      <c r="N127" s="40">
        <v>177311.04387549101</v>
      </c>
      <c r="O127" s="40">
        <v>197862.51454138701</v>
      </c>
      <c r="P127" s="40">
        <v>0</v>
      </c>
      <c r="Q127" s="40">
        <v>45026.004474272901</v>
      </c>
      <c r="R127" s="40">
        <v>352436.99118240702</v>
      </c>
      <c r="S127" s="40">
        <v>188829.24636141499</v>
      </c>
      <c r="T127" s="48"/>
      <c r="U127" s="40">
        <v>3005736.6195686799</v>
      </c>
      <c r="V127" s="40">
        <v>0</v>
      </c>
      <c r="W127" s="45">
        <v>3967202.4200036498</v>
      </c>
      <c r="X127" s="46">
        <v>3.6903800873028398</v>
      </c>
    </row>
    <row r="128" spans="1:24" s="4" customFormat="1" ht="15" customHeight="1">
      <c r="A128" s="28" t="s">
        <v>2168</v>
      </c>
      <c r="B128" s="29">
        <v>3271.01</v>
      </c>
      <c r="C128" s="30" t="s">
        <v>2442</v>
      </c>
      <c r="D128" s="2">
        <v>4949595178</v>
      </c>
      <c r="E128" s="2" t="s">
        <v>33</v>
      </c>
      <c r="F128" s="2" t="s">
        <v>2443</v>
      </c>
      <c r="G128" s="28" t="s">
        <v>5</v>
      </c>
      <c r="H128" s="2" t="s">
        <v>17</v>
      </c>
      <c r="I128" s="2">
        <v>1</v>
      </c>
      <c r="J128" s="2" t="s">
        <v>2444</v>
      </c>
      <c r="K128" s="2">
        <v>1250</v>
      </c>
      <c r="L128" s="35">
        <v>4088762.5</v>
      </c>
      <c r="M128" s="36">
        <v>250</v>
      </c>
      <c r="N128" s="40">
        <v>4248.6889040525002</v>
      </c>
      <c r="O128" s="40">
        <v>13559.6569724086</v>
      </c>
      <c r="P128" s="40">
        <v>0</v>
      </c>
      <c r="Q128" s="40">
        <v>3085.6636838180498</v>
      </c>
      <c r="R128" s="40">
        <v>8444.5482720296804</v>
      </c>
      <c r="S128" s="40">
        <v>4524.6855821327299</v>
      </c>
      <c r="T128" s="48"/>
      <c r="U128" s="40">
        <v>72022.811128635498</v>
      </c>
      <c r="V128" s="40">
        <v>0</v>
      </c>
      <c r="W128" s="45">
        <v>105886.054543077</v>
      </c>
      <c r="X128" s="46">
        <v>2.58968464280029</v>
      </c>
    </row>
    <row r="129" spans="1:24" s="4" customFormat="1" ht="15" customHeight="1">
      <c r="A129" s="28" t="s">
        <v>2168</v>
      </c>
      <c r="B129" s="29">
        <v>3271.01</v>
      </c>
      <c r="C129" s="30" t="s">
        <v>2442</v>
      </c>
      <c r="D129" s="2">
        <v>4949595178</v>
      </c>
      <c r="E129" s="2" t="s">
        <v>33</v>
      </c>
      <c r="F129" s="2" t="s">
        <v>2443</v>
      </c>
      <c r="G129" s="28" t="s">
        <v>5</v>
      </c>
      <c r="H129" s="2" t="s">
        <v>17</v>
      </c>
      <c r="I129" s="2">
        <v>1</v>
      </c>
      <c r="J129" s="2" t="s">
        <v>2444</v>
      </c>
      <c r="K129" s="2">
        <v>729</v>
      </c>
      <c r="L129" s="35">
        <v>2384566.29</v>
      </c>
      <c r="M129" s="36">
        <v>300</v>
      </c>
      <c r="N129" s="40">
        <v>2549.2133424315002</v>
      </c>
      <c r="O129" s="40">
        <v>16271.588366890401</v>
      </c>
      <c r="P129" s="40">
        <v>0</v>
      </c>
      <c r="Q129" s="40">
        <v>3702.7964205816602</v>
      </c>
      <c r="R129" s="40">
        <v>5066.7289632178099</v>
      </c>
      <c r="S129" s="40">
        <v>2714.8113492796401</v>
      </c>
      <c r="T129" s="48"/>
      <c r="U129" s="40">
        <v>43213.6866771813</v>
      </c>
      <c r="V129" s="40">
        <v>0</v>
      </c>
      <c r="W129" s="45">
        <v>73518.825119582296</v>
      </c>
      <c r="X129" s="46">
        <v>3.0831109803025099</v>
      </c>
    </row>
    <row r="130" spans="1:24" s="4" customFormat="1" ht="15" customHeight="1">
      <c r="A130" s="28" t="s">
        <v>2168</v>
      </c>
      <c r="B130" s="29">
        <v>3271.01</v>
      </c>
      <c r="C130" s="30" t="s">
        <v>2442</v>
      </c>
      <c r="D130" s="2">
        <v>4949595178</v>
      </c>
      <c r="E130" s="2" t="s">
        <v>33</v>
      </c>
      <c r="F130" s="2" t="s">
        <v>2443</v>
      </c>
      <c r="G130" s="28" t="s">
        <v>5</v>
      </c>
      <c r="H130" s="2" t="s">
        <v>17</v>
      </c>
      <c r="I130" s="2">
        <v>1</v>
      </c>
      <c r="J130" s="2" t="s">
        <v>2444</v>
      </c>
      <c r="K130" s="2">
        <v>518</v>
      </c>
      <c r="L130" s="35">
        <v>1694383.18</v>
      </c>
      <c r="M130" s="36">
        <v>200</v>
      </c>
      <c r="N130" s="40">
        <v>1699.475561621</v>
      </c>
      <c r="O130" s="40">
        <v>10847.7255779269</v>
      </c>
      <c r="P130" s="40">
        <v>0</v>
      </c>
      <c r="Q130" s="40">
        <v>2468.5309470544398</v>
      </c>
      <c r="R130" s="40">
        <v>3377.8193088118701</v>
      </c>
      <c r="S130" s="40">
        <v>1809.87423285309</v>
      </c>
      <c r="T130" s="48"/>
      <c r="U130" s="40">
        <v>28809.124451454201</v>
      </c>
      <c r="V130" s="40">
        <v>0</v>
      </c>
      <c r="W130" s="45">
        <v>49012.550079721499</v>
      </c>
      <c r="X130" s="46">
        <v>2.8926485259208898</v>
      </c>
    </row>
    <row r="131" spans="1:24" s="4" customFormat="1" ht="15" customHeight="1">
      <c r="A131" s="28" t="s">
        <v>2168</v>
      </c>
      <c r="B131" s="29">
        <v>3271.01</v>
      </c>
      <c r="C131" s="30" t="s">
        <v>2526</v>
      </c>
      <c r="D131" s="2">
        <v>4950129087</v>
      </c>
      <c r="E131" s="2" t="s">
        <v>33</v>
      </c>
      <c r="F131" s="2" t="s">
        <v>2527</v>
      </c>
      <c r="G131" s="28" t="s">
        <v>5</v>
      </c>
      <c r="H131" s="2" t="s">
        <v>17</v>
      </c>
      <c r="I131" s="2">
        <v>1</v>
      </c>
      <c r="J131" s="2" t="s">
        <v>2528</v>
      </c>
      <c r="K131" s="2">
        <v>20167.68</v>
      </c>
      <c r="L131" s="35">
        <v>65968682.956799999</v>
      </c>
      <c r="M131" s="36">
        <v>430</v>
      </c>
      <c r="N131" s="40">
        <v>335949</v>
      </c>
      <c r="O131" s="40">
        <v>435960</v>
      </c>
      <c r="P131" s="40">
        <v>0</v>
      </c>
      <c r="Q131" s="40">
        <v>99309</v>
      </c>
      <c r="R131" s="40">
        <v>657991</v>
      </c>
      <c r="S131" s="40">
        <v>354356</v>
      </c>
      <c r="T131" s="48"/>
      <c r="U131" s="40">
        <v>4719050</v>
      </c>
      <c r="V131" s="40">
        <v>0</v>
      </c>
      <c r="W131" s="45">
        <v>6602615</v>
      </c>
      <c r="X131" s="46">
        <v>10.0087112612567</v>
      </c>
    </row>
    <row r="132" spans="1:24" s="4" customFormat="1" ht="15" customHeight="1">
      <c r="A132" s="28" t="s">
        <v>2168</v>
      </c>
      <c r="B132" s="29">
        <v>3271.01</v>
      </c>
      <c r="C132" s="30" t="s">
        <v>2588</v>
      </c>
      <c r="D132" s="2">
        <v>4950616605</v>
      </c>
      <c r="E132" s="2" t="s">
        <v>33</v>
      </c>
      <c r="F132" s="2" t="s">
        <v>2589</v>
      </c>
      <c r="G132" s="28" t="s">
        <v>5</v>
      </c>
      <c r="H132" s="2" t="s">
        <v>17</v>
      </c>
      <c r="I132" s="2">
        <v>2</v>
      </c>
      <c r="J132" s="2" t="s">
        <v>2590</v>
      </c>
      <c r="K132" s="2">
        <v>76930.559999999998</v>
      </c>
      <c r="L132" s="35">
        <v>251640631.06560001</v>
      </c>
      <c r="M132" s="36">
        <v>576</v>
      </c>
      <c r="N132" s="40">
        <v>377942.625</v>
      </c>
      <c r="O132" s="40">
        <v>30783.482758620699</v>
      </c>
      <c r="P132" s="40">
        <v>0</v>
      </c>
      <c r="Q132" s="40">
        <v>6848.93103448276</v>
      </c>
      <c r="R132" s="40">
        <v>738553.0625</v>
      </c>
      <c r="S132" s="40">
        <v>199325.25</v>
      </c>
      <c r="T132" s="48"/>
      <c r="U132" s="40">
        <v>595125</v>
      </c>
      <c r="V132" s="40">
        <v>0</v>
      </c>
      <c r="W132" s="45">
        <v>1948578.3512931</v>
      </c>
      <c r="X132" s="46">
        <v>0.77434965213750795</v>
      </c>
    </row>
    <row r="133" spans="1:24" s="4" customFormat="1" ht="15" customHeight="1">
      <c r="A133" s="28" t="s">
        <v>2168</v>
      </c>
      <c r="B133" s="29">
        <v>3271.01</v>
      </c>
      <c r="C133" s="30" t="s">
        <v>2588</v>
      </c>
      <c r="D133" s="2">
        <v>4950616605</v>
      </c>
      <c r="E133" s="2" t="s">
        <v>33</v>
      </c>
      <c r="F133" s="2" t="s">
        <v>2589</v>
      </c>
      <c r="G133" s="28" t="s">
        <v>5</v>
      </c>
      <c r="H133" s="2" t="s">
        <v>17</v>
      </c>
      <c r="I133" s="2">
        <v>2</v>
      </c>
      <c r="J133" s="2" t="s">
        <v>2590</v>
      </c>
      <c r="K133" s="2">
        <v>59834.879999999997</v>
      </c>
      <c r="L133" s="35">
        <v>195720490.82879999</v>
      </c>
      <c r="M133" s="36">
        <v>16128</v>
      </c>
      <c r="N133" s="40">
        <v>293955.375</v>
      </c>
      <c r="O133" s="40">
        <v>861937.51724137901</v>
      </c>
      <c r="P133" s="40">
        <v>0</v>
      </c>
      <c r="Q133" s="40">
        <v>191770.06896551701</v>
      </c>
      <c r="R133" s="40">
        <v>574429.9375</v>
      </c>
      <c r="S133" s="40">
        <v>155030.75</v>
      </c>
      <c r="T133" s="48"/>
      <c r="U133" s="40">
        <v>462875</v>
      </c>
      <c r="V133" s="40">
        <v>0</v>
      </c>
      <c r="W133" s="45">
        <v>2539998.6487069</v>
      </c>
      <c r="X133" s="46">
        <v>1.2977683828356401</v>
      </c>
    </row>
    <row r="134" spans="1:24" s="4" customFormat="1" ht="15" customHeight="1">
      <c r="A134" s="28" t="s">
        <v>2168</v>
      </c>
      <c r="B134" s="29">
        <v>3271.01</v>
      </c>
      <c r="C134" s="30" t="s">
        <v>2612</v>
      </c>
      <c r="D134" s="2">
        <v>4950129087</v>
      </c>
      <c r="E134" s="2" t="s">
        <v>33</v>
      </c>
      <c r="F134" s="2" t="s">
        <v>2613</v>
      </c>
      <c r="G134" s="28" t="s">
        <v>5</v>
      </c>
      <c r="H134" s="2" t="s">
        <v>20</v>
      </c>
      <c r="I134" s="2">
        <v>1</v>
      </c>
      <c r="J134" s="2" t="s">
        <v>2614</v>
      </c>
      <c r="K134" s="2">
        <v>15045.27</v>
      </c>
      <c r="L134" s="35">
        <v>49213228.622699998</v>
      </c>
      <c r="M134" s="36">
        <v>430</v>
      </c>
      <c r="N134" s="40">
        <v>240943.59474373399</v>
      </c>
      <c r="O134" s="40">
        <v>170122</v>
      </c>
      <c r="P134" s="40">
        <v>0</v>
      </c>
      <c r="Q134" s="40">
        <v>49654.5</v>
      </c>
      <c r="R134" s="40">
        <v>475934.048073326</v>
      </c>
      <c r="S134" s="40">
        <v>254145.14839755601</v>
      </c>
      <c r="T134" s="48"/>
      <c r="U134" s="40">
        <v>758800.66093029105</v>
      </c>
      <c r="V134" s="40">
        <v>0</v>
      </c>
      <c r="W134" s="45">
        <v>1949599.9521449101</v>
      </c>
      <c r="X134" s="46">
        <v>3.96153637285573</v>
      </c>
    </row>
    <row r="135" spans="1:24" s="4" customFormat="1" ht="15" customHeight="1">
      <c r="A135" s="28" t="s">
        <v>2168</v>
      </c>
      <c r="B135" s="29">
        <v>3271.01</v>
      </c>
      <c r="C135" s="30" t="s">
        <v>2612</v>
      </c>
      <c r="D135" s="2">
        <v>4950129087</v>
      </c>
      <c r="E135" s="2" t="s">
        <v>33</v>
      </c>
      <c r="F135" s="2" t="s">
        <v>2613</v>
      </c>
      <c r="G135" s="28" t="s">
        <v>5</v>
      </c>
      <c r="H135" s="2" t="s">
        <v>20</v>
      </c>
      <c r="I135" s="2">
        <v>1</v>
      </c>
      <c r="J135" s="2" t="s">
        <v>2614</v>
      </c>
      <c r="K135" s="2">
        <v>5642.15</v>
      </c>
      <c r="L135" s="35">
        <v>18455529.0715</v>
      </c>
      <c r="M135" s="36">
        <v>430</v>
      </c>
      <c r="N135" s="40">
        <v>95005.4052562664</v>
      </c>
      <c r="O135" s="40">
        <v>170122</v>
      </c>
      <c r="P135" s="40">
        <v>0</v>
      </c>
      <c r="Q135" s="40">
        <v>49654.5</v>
      </c>
      <c r="R135" s="40">
        <v>187662.951926674</v>
      </c>
      <c r="S135" s="40">
        <v>100210.851602444</v>
      </c>
      <c r="T135" s="48"/>
      <c r="U135" s="40">
        <v>299199.33906970901</v>
      </c>
      <c r="V135" s="40">
        <v>0</v>
      </c>
      <c r="W135" s="45">
        <v>901855.04785509303</v>
      </c>
      <c r="X135" s="46">
        <v>4.8866388189747703</v>
      </c>
    </row>
    <row r="136" spans="1:24" s="4" customFormat="1" ht="15" customHeight="1">
      <c r="A136" s="28" t="s">
        <v>2168</v>
      </c>
      <c r="B136" s="29">
        <v>3271.01</v>
      </c>
      <c r="C136" s="30" t="s">
        <v>2635</v>
      </c>
      <c r="D136" s="2">
        <v>4950640755</v>
      </c>
      <c r="E136" s="2" t="s">
        <v>33</v>
      </c>
      <c r="F136" s="2" t="s">
        <v>2636</v>
      </c>
      <c r="G136" s="28" t="s">
        <v>5</v>
      </c>
      <c r="H136" s="2" t="s">
        <v>20</v>
      </c>
      <c r="I136" s="2">
        <v>1</v>
      </c>
      <c r="J136" s="2" t="s">
        <v>2637</v>
      </c>
      <c r="K136" s="2">
        <v>55184.98</v>
      </c>
      <c r="L136" s="35">
        <v>180510621.4298</v>
      </c>
      <c r="M136" s="36" t="s">
        <v>2638</v>
      </c>
      <c r="N136" s="40">
        <v>373017</v>
      </c>
      <c r="O136" s="40">
        <v>340244</v>
      </c>
      <c r="P136" s="40">
        <v>0</v>
      </c>
      <c r="Q136" s="40">
        <v>99309</v>
      </c>
      <c r="R136" s="40">
        <v>637844</v>
      </c>
      <c r="S136" s="40">
        <v>354356</v>
      </c>
      <c r="T136" s="48"/>
      <c r="U136" s="40">
        <v>499900</v>
      </c>
      <c r="V136" s="40">
        <v>0</v>
      </c>
      <c r="W136" s="45">
        <v>2304670</v>
      </c>
      <c r="X136" s="46">
        <v>1.2767503550456001</v>
      </c>
    </row>
    <row r="137" spans="1:24" s="4" customFormat="1" ht="15" customHeight="1">
      <c r="A137" s="28" t="s">
        <v>2168</v>
      </c>
      <c r="B137" s="29">
        <v>3271.01</v>
      </c>
      <c r="C137" s="30" t="s">
        <v>2658</v>
      </c>
      <c r="D137" s="2">
        <v>4951322085</v>
      </c>
      <c r="E137" s="2" t="s">
        <v>33</v>
      </c>
      <c r="F137" s="78" t="s">
        <v>2659</v>
      </c>
      <c r="G137" s="28" t="s">
        <v>13</v>
      </c>
      <c r="H137" s="2" t="s">
        <v>23</v>
      </c>
      <c r="I137" s="2">
        <v>2</v>
      </c>
      <c r="J137" s="2"/>
      <c r="K137" s="2">
        <v>20282.5</v>
      </c>
      <c r="L137" s="35">
        <v>66344260.325000003</v>
      </c>
      <c r="M137" s="36">
        <v>546</v>
      </c>
      <c r="N137" s="40">
        <v>952754.65</v>
      </c>
      <c r="O137" s="40">
        <v>0</v>
      </c>
      <c r="P137" s="40">
        <v>0</v>
      </c>
      <c r="Q137" s="40">
        <v>0</v>
      </c>
      <c r="R137" s="40">
        <v>6811</v>
      </c>
      <c r="S137" s="40">
        <v>354356</v>
      </c>
      <c r="T137" s="40"/>
      <c r="U137" s="40">
        <v>246380</v>
      </c>
      <c r="V137" s="40">
        <v>0</v>
      </c>
      <c r="W137" s="45">
        <v>1560301.65</v>
      </c>
      <c r="X137" s="46">
        <v>2.3518261298815699</v>
      </c>
    </row>
    <row r="139" spans="1:24" ht="15" customHeight="1">
      <c r="A139" s="31" t="s">
        <v>2168</v>
      </c>
      <c r="B139" s="31"/>
      <c r="C139" s="31"/>
      <c r="D139" s="31"/>
      <c r="E139" s="31"/>
      <c r="F139" s="32">
        <v>13</v>
      </c>
      <c r="G139" s="31"/>
      <c r="H139" s="31"/>
      <c r="I139" s="38"/>
      <c r="J139" s="31"/>
      <c r="K139" s="39">
        <f>+SUM(K119:K137)</f>
        <v>393593.13</v>
      </c>
      <c r="L139" s="39">
        <f>+SUM(L119:L137)</f>
        <v>1287447064.1612999</v>
      </c>
      <c r="M139" s="31"/>
      <c r="N139" s="39"/>
      <c r="O139" s="39"/>
      <c r="P139" s="39"/>
      <c r="Q139" s="39"/>
      <c r="R139" s="39"/>
      <c r="S139" s="39"/>
      <c r="T139" s="39"/>
      <c r="U139" s="39"/>
      <c r="V139" s="31"/>
      <c r="W139" s="39">
        <f>+SUM(W119:W137)</f>
        <v>54875221.800000004</v>
      </c>
      <c r="X139" s="47">
        <f>(W139/L139)*100</f>
        <v>4.2623283960609406</v>
      </c>
    </row>
    <row r="141" spans="1:24" s="4" customFormat="1" ht="15" customHeight="1">
      <c r="A141" s="28" t="s">
        <v>2682</v>
      </c>
      <c r="B141" s="29">
        <v>3278.81</v>
      </c>
      <c r="C141" s="30" t="s">
        <v>2741</v>
      </c>
      <c r="D141" s="2">
        <v>4951241156</v>
      </c>
      <c r="E141" s="2" t="s">
        <v>33</v>
      </c>
      <c r="F141" s="78" t="s">
        <v>2742</v>
      </c>
      <c r="G141" s="28" t="s">
        <v>13</v>
      </c>
      <c r="H141" s="2" t="s">
        <v>23</v>
      </c>
      <c r="I141" s="2">
        <v>1</v>
      </c>
      <c r="J141" s="2"/>
      <c r="K141" s="2">
        <v>4311</v>
      </c>
      <c r="L141" s="35">
        <v>14134949.91</v>
      </c>
      <c r="M141" s="36">
        <v>1000</v>
      </c>
      <c r="N141" s="40">
        <v>1414902</v>
      </c>
      <c r="O141" s="40">
        <v>0</v>
      </c>
      <c r="P141" s="40">
        <v>0</v>
      </c>
      <c r="Q141" s="40">
        <v>0</v>
      </c>
      <c r="R141" s="40">
        <v>45747</v>
      </c>
      <c r="S141" s="40">
        <v>354356</v>
      </c>
      <c r="T141" s="40"/>
      <c r="U141" s="40">
        <v>246380</v>
      </c>
      <c r="V141" s="40">
        <v>0</v>
      </c>
      <c r="W141" s="45">
        <v>2061385</v>
      </c>
      <c r="X141" s="46">
        <v>14.5836031476959</v>
      </c>
    </row>
    <row r="142" spans="1:24" s="4" customFormat="1" ht="15" customHeight="1">
      <c r="A142" s="28" t="s">
        <v>2682</v>
      </c>
      <c r="B142" s="29">
        <v>3278.81</v>
      </c>
      <c r="C142" s="30" t="s">
        <v>2815</v>
      </c>
      <c r="D142" s="2">
        <v>4949976116</v>
      </c>
      <c r="E142" s="2" t="s">
        <v>33</v>
      </c>
      <c r="F142" s="2" t="s">
        <v>2816</v>
      </c>
      <c r="G142" s="28" t="s">
        <v>5</v>
      </c>
      <c r="H142" s="2" t="s">
        <v>20</v>
      </c>
      <c r="I142" s="2">
        <v>1</v>
      </c>
      <c r="J142" s="2" t="s">
        <v>2817</v>
      </c>
      <c r="K142" s="2">
        <v>16056</v>
      </c>
      <c r="L142" s="35">
        <v>52644573.359999999</v>
      </c>
      <c r="M142" s="36">
        <v>24000</v>
      </c>
      <c r="N142" s="40">
        <v>670038</v>
      </c>
      <c r="O142" s="40">
        <v>316073</v>
      </c>
      <c r="P142" s="40">
        <v>428145</v>
      </c>
      <c r="Q142" s="40">
        <v>184937</v>
      </c>
      <c r="R142" s="40">
        <v>722608</v>
      </c>
      <c r="S142" s="40">
        <v>354356</v>
      </c>
      <c r="T142" s="40"/>
      <c r="U142" s="40">
        <v>4447100</v>
      </c>
      <c r="V142" s="40">
        <v>0</v>
      </c>
      <c r="W142" s="45">
        <v>7123257</v>
      </c>
      <c r="X142" s="46">
        <v>13.5308476170734</v>
      </c>
    </row>
    <row r="143" spans="1:24" s="4" customFormat="1" ht="15" customHeight="1">
      <c r="A143" s="28" t="s">
        <v>2682</v>
      </c>
      <c r="B143" s="29">
        <v>3278.81</v>
      </c>
      <c r="C143" s="30" t="s">
        <v>2888</v>
      </c>
      <c r="D143" s="2">
        <v>4949874182</v>
      </c>
      <c r="E143" s="2" t="s">
        <v>33</v>
      </c>
      <c r="F143" s="78" t="s">
        <v>2889</v>
      </c>
      <c r="G143" s="28" t="s">
        <v>5</v>
      </c>
      <c r="H143" s="2" t="s">
        <v>17</v>
      </c>
      <c r="I143" s="2">
        <v>1</v>
      </c>
      <c r="J143" s="2" t="s">
        <v>2890</v>
      </c>
      <c r="K143" s="2">
        <v>14145.52</v>
      </c>
      <c r="L143" s="35">
        <v>46380472.431199998</v>
      </c>
      <c r="M143" s="36">
        <v>8573.0400000000009</v>
      </c>
      <c r="N143" s="40">
        <v>184421.461538462</v>
      </c>
      <c r="O143" s="40">
        <v>233067.69230769199</v>
      </c>
      <c r="P143" s="40">
        <v>0</v>
      </c>
      <c r="Q143" s="40">
        <v>59230.769230769198</v>
      </c>
      <c r="R143" s="40">
        <v>526962.84615384601</v>
      </c>
      <c r="S143" s="40">
        <v>190807.07692307699</v>
      </c>
      <c r="T143" s="40"/>
      <c r="U143" s="40">
        <v>284846.15384615399</v>
      </c>
      <c r="V143" s="40">
        <v>0</v>
      </c>
      <c r="W143" s="45">
        <v>1479336</v>
      </c>
      <c r="X143" s="46">
        <v>3.1895664758361901</v>
      </c>
    </row>
    <row r="144" spans="1:24" s="4" customFormat="1" ht="15" customHeight="1">
      <c r="A144" s="28" t="s">
        <v>2682</v>
      </c>
      <c r="B144" s="29">
        <v>3278.81</v>
      </c>
      <c r="C144" s="30" t="s">
        <v>2888</v>
      </c>
      <c r="D144" s="2">
        <v>4949874182</v>
      </c>
      <c r="E144" s="2" t="s">
        <v>33</v>
      </c>
      <c r="F144" s="78" t="s">
        <v>2889</v>
      </c>
      <c r="G144" s="28" t="s">
        <v>5</v>
      </c>
      <c r="H144" s="2" t="s">
        <v>17</v>
      </c>
      <c r="I144" s="2">
        <v>1</v>
      </c>
      <c r="J144" s="2" t="s">
        <v>2890</v>
      </c>
      <c r="K144" s="2">
        <v>32846.99</v>
      </c>
      <c r="L144" s="35">
        <v>107699039.2819</v>
      </c>
      <c r="M144" s="36">
        <v>7348.32</v>
      </c>
      <c r="N144" s="40">
        <v>158075.538461538</v>
      </c>
      <c r="O144" s="40">
        <v>199772.30769230801</v>
      </c>
      <c r="P144" s="40">
        <v>0</v>
      </c>
      <c r="Q144" s="40">
        <v>50769.230769230802</v>
      </c>
      <c r="R144" s="40">
        <v>451683.15384615399</v>
      </c>
      <c r="S144" s="40">
        <v>163548.92307692301</v>
      </c>
      <c r="T144" s="40"/>
      <c r="U144" s="40">
        <v>244153.84615384601</v>
      </c>
      <c r="V144" s="40">
        <v>0</v>
      </c>
      <c r="W144" s="45">
        <v>1268003</v>
      </c>
      <c r="X144" s="46">
        <v>1.17735776331396</v>
      </c>
    </row>
    <row r="145" spans="1:24" s="4" customFormat="1" ht="15" customHeight="1">
      <c r="A145" s="28" t="s">
        <v>2682</v>
      </c>
      <c r="B145" s="29">
        <v>3278.81</v>
      </c>
      <c r="C145" s="30" t="s">
        <v>3014</v>
      </c>
      <c r="D145" s="2">
        <v>4950986102</v>
      </c>
      <c r="E145" s="2" t="s">
        <v>33</v>
      </c>
      <c r="F145" s="2" t="s">
        <v>3015</v>
      </c>
      <c r="G145" s="28" t="s">
        <v>9</v>
      </c>
      <c r="H145" s="2" t="s">
        <v>23</v>
      </c>
      <c r="I145" s="2">
        <v>4</v>
      </c>
      <c r="J145" s="2"/>
      <c r="K145" s="2">
        <v>24100</v>
      </c>
      <c r="L145" s="35">
        <v>79019321</v>
      </c>
      <c r="M145" s="36">
        <v>5000</v>
      </c>
      <c r="N145" s="40">
        <v>1678763</v>
      </c>
      <c r="O145" s="40">
        <v>3330</v>
      </c>
      <c r="P145" s="40">
        <v>0</v>
      </c>
      <c r="Q145" s="40">
        <v>82724</v>
      </c>
      <c r="R145" s="40">
        <v>281992</v>
      </c>
      <c r="S145" s="40">
        <v>354356</v>
      </c>
      <c r="T145" s="40"/>
      <c r="U145" s="40">
        <v>2163100</v>
      </c>
      <c r="V145" s="40">
        <v>0</v>
      </c>
      <c r="W145" s="45">
        <v>4564265</v>
      </c>
      <c r="X145" s="46">
        <v>5.77613796504275</v>
      </c>
    </row>
    <row r="147" spans="1:24" ht="15" customHeight="1">
      <c r="A147" s="31" t="s">
        <v>2682</v>
      </c>
      <c r="B147" s="31"/>
      <c r="C147" s="31"/>
      <c r="D147" s="31"/>
      <c r="E147" s="31"/>
      <c r="F147" s="32">
        <v>4</v>
      </c>
      <c r="G147" s="31"/>
      <c r="H147" s="31"/>
      <c r="I147" s="38"/>
      <c r="J147" s="31"/>
      <c r="K147" s="39">
        <f>+SUM(K141:K145)</f>
        <v>91459.510000000009</v>
      </c>
      <c r="L147" s="39">
        <f>+SUM(L141:L145)</f>
        <v>299878355.9831</v>
      </c>
      <c r="M147" s="31"/>
      <c r="N147" s="39"/>
      <c r="O147" s="39"/>
      <c r="P147" s="39"/>
      <c r="Q147" s="39"/>
      <c r="R147" s="39"/>
      <c r="S147" s="39"/>
      <c r="T147" s="39"/>
      <c r="U147" s="39"/>
      <c r="V147" s="31"/>
      <c r="W147" s="39">
        <f>+SUM(W141:W145)</f>
        <v>16496246</v>
      </c>
      <c r="X147" s="47">
        <f>(W147/L147)*100</f>
        <v>5.5009792040242029</v>
      </c>
    </row>
    <row r="149" spans="1:24" s="4" customFormat="1" ht="15" customHeight="1">
      <c r="A149" s="28" t="s">
        <v>3019</v>
      </c>
      <c r="B149" s="29">
        <v>3196.165</v>
      </c>
      <c r="C149" s="30" t="s">
        <v>3042</v>
      </c>
      <c r="D149" s="2">
        <v>4952079104</v>
      </c>
      <c r="E149" s="2" t="s">
        <v>33</v>
      </c>
      <c r="F149" s="2" t="s">
        <v>3043</v>
      </c>
      <c r="G149" s="28" t="s">
        <v>5</v>
      </c>
      <c r="H149" s="2" t="s">
        <v>17</v>
      </c>
      <c r="I149" s="2">
        <v>1</v>
      </c>
      <c r="J149" s="2" t="s">
        <v>3044</v>
      </c>
      <c r="K149" s="2">
        <v>4883.76</v>
      </c>
      <c r="L149" s="35">
        <v>15609302.780400001</v>
      </c>
      <c r="M149" s="36">
        <v>4788</v>
      </c>
      <c r="N149" s="40">
        <v>732673.59299781197</v>
      </c>
      <c r="O149" s="40">
        <v>171845.34759358299</v>
      </c>
      <c r="P149" s="40">
        <v>0</v>
      </c>
      <c r="Q149" s="40">
        <v>44550.631016042797</v>
      </c>
      <c r="R149" s="40">
        <v>294260.24142961297</v>
      </c>
      <c r="S149" s="40">
        <v>139054.36032093401</v>
      </c>
      <c r="T149" s="40"/>
      <c r="U149" s="40">
        <v>2137304.0846097702</v>
      </c>
      <c r="V149" s="40">
        <v>0</v>
      </c>
      <c r="W149" s="45">
        <v>3519688.2579677599</v>
      </c>
      <c r="X149" s="46">
        <v>22.548657729846202</v>
      </c>
    </row>
    <row r="150" spans="1:24" s="4" customFormat="1" ht="15" customHeight="1">
      <c r="A150" s="28" t="s">
        <v>3019</v>
      </c>
      <c r="B150" s="29">
        <v>3196.165</v>
      </c>
      <c r="C150" s="30" t="s">
        <v>3042</v>
      </c>
      <c r="D150" s="2">
        <v>4952079104</v>
      </c>
      <c r="E150" s="2" t="s">
        <v>33</v>
      </c>
      <c r="F150" s="2" t="s">
        <v>3043</v>
      </c>
      <c r="G150" s="28" t="s">
        <v>5</v>
      </c>
      <c r="H150" s="2" t="s">
        <v>17</v>
      </c>
      <c r="I150" s="2">
        <v>1</v>
      </c>
      <c r="J150" s="2" t="s">
        <v>3044</v>
      </c>
      <c r="K150" s="2">
        <v>4275</v>
      </c>
      <c r="L150" s="35">
        <v>13663605.375</v>
      </c>
      <c r="M150" s="36">
        <v>3420</v>
      </c>
      <c r="N150" s="40">
        <v>528056.107221007</v>
      </c>
      <c r="O150" s="40">
        <v>122746.676852559</v>
      </c>
      <c r="P150" s="40">
        <v>0</v>
      </c>
      <c r="Q150" s="40">
        <v>31821.8792971734</v>
      </c>
      <c r="R150" s="40">
        <v>212081.03227571101</v>
      </c>
      <c r="S150" s="40">
        <v>100219.94091903701</v>
      </c>
      <c r="T150" s="40"/>
      <c r="U150" s="40">
        <v>1540408.2877461701</v>
      </c>
      <c r="V150" s="40">
        <v>0</v>
      </c>
      <c r="W150" s="45">
        <v>2535333.9243116602</v>
      </c>
      <c r="X150" s="46">
        <v>18.555380185016901</v>
      </c>
    </row>
    <row r="151" spans="1:24" s="4" customFormat="1" ht="15" customHeight="1">
      <c r="A151" s="28" t="s">
        <v>3019</v>
      </c>
      <c r="B151" s="29">
        <v>3196.165</v>
      </c>
      <c r="C151" s="30" t="s">
        <v>3042</v>
      </c>
      <c r="D151" s="2">
        <v>4952079104</v>
      </c>
      <c r="E151" s="2" t="s">
        <v>33</v>
      </c>
      <c r="F151" s="2" t="s">
        <v>3043</v>
      </c>
      <c r="G151" s="28" t="s">
        <v>5</v>
      </c>
      <c r="H151" s="2" t="s">
        <v>17</v>
      </c>
      <c r="I151" s="2">
        <v>1</v>
      </c>
      <c r="J151" s="2" t="s">
        <v>3044</v>
      </c>
      <c r="K151" s="2">
        <v>2837.65</v>
      </c>
      <c r="L151" s="35">
        <v>9069597.6122500002</v>
      </c>
      <c r="M151" s="36">
        <v>1957</v>
      </c>
      <c r="N151" s="40">
        <v>306188.56163384399</v>
      </c>
      <c r="O151" s="40">
        <v>70238.376198964397</v>
      </c>
      <c r="P151" s="40">
        <v>0</v>
      </c>
      <c r="Q151" s="40">
        <v>18209.186486715898</v>
      </c>
      <c r="R151" s="40">
        <v>122972.565888646</v>
      </c>
      <c r="S151" s="40">
        <v>58111.6270362266</v>
      </c>
      <c r="T151" s="40"/>
      <c r="U151" s="40">
        <v>893191.82470216404</v>
      </c>
      <c r="V151" s="40">
        <v>0</v>
      </c>
      <c r="W151" s="45">
        <v>1468912.14194656</v>
      </c>
      <c r="X151" s="46">
        <v>16.196001242244201</v>
      </c>
    </row>
    <row r="152" spans="1:24" s="4" customFormat="1" ht="15" customHeight="1">
      <c r="A152" s="28" t="s">
        <v>3019</v>
      </c>
      <c r="B152" s="29">
        <v>3196.165</v>
      </c>
      <c r="C152" s="30" t="s">
        <v>3042</v>
      </c>
      <c r="D152" s="2">
        <v>4952079104</v>
      </c>
      <c r="E152" s="2" t="s">
        <v>33</v>
      </c>
      <c r="F152" s="2" t="s">
        <v>3043</v>
      </c>
      <c r="G152" s="28" t="s">
        <v>5</v>
      </c>
      <c r="H152" s="2" t="s">
        <v>17</v>
      </c>
      <c r="I152" s="2">
        <v>1</v>
      </c>
      <c r="J152" s="2" t="s">
        <v>3044</v>
      </c>
      <c r="K152" s="2">
        <v>1327.2</v>
      </c>
      <c r="L152" s="35">
        <v>4241950.1880000001</v>
      </c>
      <c r="M152" s="36">
        <v>909.6</v>
      </c>
      <c r="N152" s="40">
        <v>114281.646243618</v>
      </c>
      <c r="O152" s="40">
        <v>32646.309141838599</v>
      </c>
      <c r="P152" s="40">
        <v>0</v>
      </c>
      <c r="Q152" s="40">
        <v>8463.50333587981</v>
      </c>
      <c r="R152" s="40">
        <v>45898.704169705801</v>
      </c>
      <c r="S152" s="40">
        <v>21689.550936056399</v>
      </c>
      <c r="T152" s="40"/>
      <c r="U152" s="40">
        <v>333374.413445174</v>
      </c>
      <c r="V152" s="40">
        <v>0</v>
      </c>
      <c r="W152" s="45">
        <v>556354.12727227295</v>
      </c>
      <c r="X152" s="46">
        <v>13.1155271187798</v>
      </c>
    </row>
    <row r="153" spans="1:24" s="4" customFormat="1" ht="15" customHeight="1">
      <c r="A153" s="28" t="s">
        <v>3019</v>
      </c>
      <c r="B153" s="29">
        <v>3196.165</v>
      </c>
      <c r="C153" s="30" t="s">
        <v>3042</v>
      </c>
      <c r="D153" s="2">
        <v>4952079104</v>
      </c>
      <c r="E153" s="2" t="s">
        <v>33</v>
      </c>
      <c r="F153" s="2" t="s">
        <v>3043</v>
      </c>
      <c r="G153" s="28" t="s">
        <v>5</v>
      </c>
      <c r="H153" s="2" t="s">
        <v>17</v>
      </c>
      <c r="I153" s="2">
        <v>1</v>
      </c>
      <c r="J153" s="2" t="s">
        <v>3044</v>
      </c>
      <c r="K153" s="2">
        <v>806.4</v>
      </c>
      <c r="L153" s="35">
        <v>2577387.4559999998</v>
      </c>
      <c r="M153" s="36">
        <v>606.4</v>
      </c>
      <c r="N153" s="40">
        <v>106451.02698759999</v>
      </c>
      <c r="O153" s="40">
        <v>21764.206094558998</v>
      </c>
      <c r="P153" s="40">
        <v>0</v>
      </c>
      <c r="Q153" s="40">
        <v>5642.3355572532</v>
      </c>
      <c r="R153" s="40">
        <v>42753.534767809397</v>
      </c>
      <c r="S153" s="40">
        <v>20203.3751519572</v>
      </c>
      <c r="T153" s="40"/>
      <c r="U153" s="40">
        <v>310531.47945538501</v>
      </c>
      <c r="V153" s="40">
        <v>0</v>
      </c>
      <c r="W153" s="45">
        <v>507345.95801456401</v>
      </c>
      <c r="X153" s="46">
        <v>19.684504820316899</v>
      </c>
    </row>
    <row r="154" spans="1:24" s="4" customFormat="1" ht="15" customHeight="1">
      <c r="A154" s="28" t="s">
        <v>3019</v>
      </c>
      <c r="B154" s="29">
        <v>3196.165</v>
      </c>
      <c r="C154" s="30" t="s">
        <v>3042</v>
      </c>
      <c r="D154" s="2">
        <v>4952079104</v>
      </c>
      <c r="E154" s="2" t="s">
        <v>33</v>
      </c>
      <c r="F154" s="2" t="s">
        <v>3043</v>
      </c>
      <c r="G154" s="28" t="s">
        <v>5</v>
      </c>
      <c r="H154" s="2" t="s">
        <v>17</v>
      </c>
      <c r="I154" s="2">
        <v>1</v>
      </c>
      <c r="J154" s="2" t="s">
        <v>3044</v>
      </c>
      <c r="K154" s="2">
        <v>1729</v>
      </c>
      <c r="L154" s="35">
        <v>5526169.2850000001</v>
      </c>
      <c r="M154" s="36">
        <v>100</v>
      </c>
      <c r="N154" s="40">
        <v>79441.064916119605</v>
      </c>
      <c r="O154" s="40">
        <v>3589.0841184958799</v>
      </c>
      <c r="P154" s="40">
        <v>0</v>
      </c>
      <c r="Q154" s="40">
        <v>930.46430693489503</v>
      </c>
      <c r="R154" s="40">
        <v>31905.921468514502</v>
      </c>
      <c r="S154" s="40">
        <v>15077.145635789</v>
      </c>
      <c r="T154" s="40"/>
      <c r="U154" s="40">
        <v>231739.91004133201</v>
      </c>
      <c r="V154" s="40">
        <v>0</v>
      </c>
      <c r="W154" s="45">
        <v>362683.59048718598</v>
      </c>
      <c r="X154" s="46">
        <v>6.56301991094697</v>
      </c>
    </row>
    <row r="155" spans="1:24" s="4" customFormat="1" ht="15" customHeight="1">
      <c r="A155" s="28" t="s">
        <v>3019</v>
      </c>
      <c r="B155" s="29">
        <v>3196.165</v>
      </c>
      <c r="C155" s="30" t="s">
        <v>3050</v>
      </c>
      <c r="D155" s="2">
        <v>4951613520</v>
      </c>
      <c r="E155" s="2" t="s">
        <v>33</v>
      </c>
      <c r="F155" s="78" t="s">
        <v>3051</v>
      </c>
      <c r="G155" s="28" t="s">
        <v>13</v>
      </c>
      <c r="H155" s="2" t="s">
        <v>23</v>
      </c>
      <c r="I155" s="2">
        <v>3</v>
      </c>
      <c r="J155" s="2"/>
      <c r="K155" s="2">
        <v>3525.04</v>
      </c>
      <c r="L155" s="35">
        <v>11266609.4716</v>
      </c>
      <c r="M155" s="36">
        <v>19</v>
      </c>
      <c r="N155" s="40">
        <v>637399.65437788004</v>
      </c>
      <c r="O155" s="40">
        <v>0</v>
      </c>
      <c r="P155" s="40">
        <v>0</v>
      </c>
      <c r="Q155" s="40">
        <v>0</v>
      </c>
      <c r="R155" s="40">
        <v>14522.3041474654</v>
      </c>
      <c r="S155" s="40">
        <v>155132.81105990801</v>
      </c>
      <c r="T155" s="40"/>
      <c r="U155" s="40">
        <v>0</v>
      </c>
      <c r="V155" s="40">
        <v>0</v>
      </c>
      <c r="W155" s="45">
        <v>807054.76958525297</v>
      </c>
      <c r="X155" s="46">
        <v>7.1632443781744204</v>
      </c>
    </row>
    <row r="156" spans="1:24" s="4" customFormat="1" ht="15" customHeight="1">
      <c r="A156" s="28" t="s">
        <v>3019</v>
      </c>
      <c r="B156" s="29">
        <v>3196.165</v>
      </c>
      <c r="C156" s="30" t="s">
        <v>3050</v>
      </c>
      <c r="D156" s="2">
        <v>4951613520</v>
      </c>
      <c r="E156" s="2" t="s">
        <v>33</v>
      </c>
      <c r="F156" s="78" t="s">
        <v>3051</v>
      </c>
      <c r="G156" s="28" t="s">
        <v>13</v>
      </c>
      <c r="H156" s="2" t="s">
        <v>23</v>
      </c>
      <c r="I156" s="2">
        <v>3</v>
      </c>
      <c r="J156" s="2"/>
      <c r="K156" s="2">
        <v>4629.0200000000004</v>
      </c>
      <c r="L156" s="35">
        <v>14795111.7083</v>
      </c>
      <c r="M156" s="36">
        <v>19</v>
      </c>
      <c r="N156" s="40">
        <v>764879.58525345603</v>
      </c>
      <c r="O156" s="40">
        <v>0</v>
      </c>
      <c r="P156" s="40">
        <v>0</v>
      </c>
      <c r="Q156" s="40">
        <v>0</v>
      </c>
      <c r="R156" s="40">
        <v>17426.7649769585</v>
      </c>
      <c r="S156" s="40">
        <v>186159.373271889</v>
      </c>
      <c r="T156" s="40"/>
      <c r="U156" s="40">
        <v>0</v>
      </c>
      <c r="V156" s="40">
        <v>0</v>
      </c>
      <c r="W156" s="45">
        <v>968465.72350230301</v>
      </c>
      <c r="X156" s="46">
        <v>6.5458493494104397</v>
      </c>
    </row>
    <row r="157" spans="1:24" s="4" customFormat="1" ht="15" customHeight="1">
      <c r="A157" s="28" t="s">
        <v>3019</v>
      </c>
      <c r="B157" s="29">
        <v>3196.165</v>
      </c>
      <c r="C157" s="30" t="s">
        <v>3050</v>
      </c>
      <c r="D157" s="2">
        <v>4951613520</v>
      </c>
      <c r="E157" s="2" t="s">
        <v>33</v>
      </c>
      <c r="F157" s="78" t="s">
        <v>3051</v>
      </c>
      <c r="G157" s="28" t="s">
        <v>13</v>
      </c>
      <c r="H157" s="2" t="s">
        <v>23</v>
      </c>
      <c r="I157" s="2">
        <v>3</v>
      </c>
      <c r="J157" s="2"/>
      <c r="K157" s="2">
        <v>769.62</v>
      </c>
      <c r="L157" s="35">
        <v>2459832.5073000002</v>
      </c>
      <c r="M157" s="36">
        <v>8</v>
      </c>
      <c r="N157" s="40">
        <v>26837.8801843318</v>
      </c>
      <c r="O157" s="40">
        <v>0</v>
      </c>
      <c r="P157" s="40">
        <v>0</v>
      </c>
      <c r="Q157" s="40">
        <v>0</v>
      </c>
      <c r="R157" s="40">
        <v>611.46543778801799</v>
      </c>
      <c r="S157" s="40">
        <v>6531.9078341013801</v>
      </c>
      <c r="T157" s="40"/>
      <c r="U157" s="40">
        <v>0</v>
      </c>
      <c r="V157" s="40">
        <v>0</v>
      </c>
      <c r="W157" s="45">
        <v>33981.253456221202</v>
      </c>
      <c r="X157" s="46">
        <v>1.3814458242736301</v>
      </c>
    </row>
    <row r="158" spans="1:24" s="4" customFormat="1" ht="15" customHeight="1">
      <c r="A158" s="28" t="s">
        <v>3019</v>
      </c>
      <c r="B158" s="29">
        <v>3196.165</v>
      </c>
      <c r="C158" s="30" t="s">
        <v>3050</v>
      </c>
      <c r="D158" s="2">
        <v>4951613520</v>
      </c>
      <c r="E158" s="2" t="s">
        <v>33</v>
      </c>
      <c r="F158" s="78" t="s">
        <v>3051</v>
      </c>
      <c r="G158" s="28" t="s">
        <v>13</v>
      </c>
      <c r="H158" s="2" t="s">
        <v>23</v>
      </c>
      <c r="I158" s="2">
        <v>3</v>
      </c>
      <c r="J158" s="2"/>
      <c r="K158" s="2">
        <v>606.41999999999996</v>
      </c>
      <c r="L158" s="35">
        <v>1938218.3792999999</v>
      </c>
      <c r="M158" s="36">
        <v>4</v>
      </c>
      <c r="N158" s="40">
        <v>26837.8801843318</v>
      </c>
      <c r="O158" s="40">
        <v>0</v>
      </c>
      <c r="P158" s="40">
        <v>0</v>
      </c>
      <c r="Q158" s="40">
        <v>0</v>
      </c>
      <c r="R158" s="40">
        <v>611.46543778801799</v>
      </c>
      <c r="S158" s="40">
        <v>6531.9078341013801</v>
      </c>
      <c r="T158" s="40"/>
      <c r="U158" s="40">
        <v>0</v>
      </c>
      <c r="V158" s="40">
        <v>0</v>
      </c>
      <c r="W158" s="45">
        <v>33981.253456221202</v>
      </c>
      <c r="X158" s="46">
        <v>1.7532210930996199</v>
      </c>
    </row>
    <row r="159" spans="1:24" s="4" customFormat="1" ht="15" customHeight="1">
      <c r="A159" s="28" t="s">
        <v>3019</v>
      </c>
      <c r="B159" s="29">
        <v>3196.165</v>
      </c>
      <c r="C159" s="30" t="s">
        <v>3157</v>
      </c>
      <c r="D159" s="2">
        <v>4950958444</v>
      </c>
      <c r="E159" s="2" t="s">
        <v>33</v>
      </c>
      <c r="F159" s="2" t="s">
        <v>3158</v>
      </c>
      <c r="G159" s="28" t="s">
        <v>5</v>
      </c>
      <c r="H159" s="2" t="s">
        <v>20</v>
      </c>
      <c r="I159" s="2">
        <v>1</v>
      </c>
      <c r="J159" s="2" t="s">
        <v>3159</v>
      </c>
      <c r="K159" s="2">
        <v>2364.86</v>
      </c>
      <c r="L159" s="35">
        <v>7558482.7619000003</v>
      </c>
      <c r="M159" s="36">
        <v>783</v>
      </c>
      <c r="N159" s="40">
        <v>47291.8251533742</v>
      </c>
      <c r="O159" s="40">
        <v>77945.007975460103</v>
      </c>
      <c r="P159" s="40">
        <v>0</v>
      </c>
      <c r="Q159" s="48">
        <v>26420.245398773</v>
      </c>
      <c r="R159" s="40">
        <v>92875.418923207297</v>
      </c>
      <c r="S159" s="40">
        <v>44022.754601227003</v>
      </c>
      <c r="T159" s="48"/>
      <c r="U159" s="40">
        <v>331391.87116564403</v>
      </c>
      <c r="V159" s="40">
        <v>0</v>
      </c>
      <c r="W159" s="45">
        <v>619947.12321768596</v>
      </c>
      <c r="X159" s="46">
        <v>8.2020048566181796</v>
      </c>
    </row>
    <row r="160" spans="1:24" s="4" customFormat="1" ht="15" customHeight="1">
      <c r="A160" s="28" t="s">
        <v>3019</v>
      </c>
      <c r="B160" s="29">
        <v>3196.165</v>
      </c>
      <c r="C160" s="30" t="s">
        <v>3157</v>
      </c>
      <c r="D160" s="2">
        <v>4950958444</v>
      </c>
      <c r="E160" s="2" t="s">
        <v>33</v>
      </c>
      <c r="F160" s="2" t="s">
        <v>3158</v>
      </c>
      <c r="G160" s="28" t="s">
        <v>5</v>
      </c>
      <c r="H160" s="2" t="s">
        <v>20</v>
      </c>
      <c r="I160" s="2">
        <v>1</v>
      </c>
      <c r="J160" s="2" t="s">
        <v>3159</v>
      </c>
      <c r="K160" s="2">
        <v>12588.03</v>
      </c>
      <c r="L160" s="35">
        <v>40233420.90495</v>
      </c>
      <c r="M160" s="36">
        <v>1827</v>
      </c>
      <c r="N160" s="40">
        <v>44139.036809816003</v>
      </c>
      <c r="O160" s="40">
        <v>181871.68527607399</v>
      </c>
      <c r="P160" s="40">
        <v>0</v>
      </c>
      <c r="Q160" s="48">
        <v>61647.239263803698</v>
      </c>
      <c r="R160" s="40">
        <v>86683.724328326804</v>
      </c>
      <c r="S160" s="40">
        <v>41087.904294478503</v>
      </c>
      <c r="T160" s="48"/>
      <c r="U160" s="40">
        <v>309299.079754601</v>
      </c>
      <c r="V160" s="40">
        <v>0</v>
      </c>
      <c r="W160" s="45">
        <v>724728.66972709994</v>
      </c>
      <c r="X160" s="46">
        <v>1.8013100885436599</v>
      </c>
    </row>
    <row r="161" spans="1:24" s="4" customFormat="1" ht="15" customHeight="1">
      <c r="A161" s="28" t="s">
        <v>3019</v>
      </c>
      <c r="B161" s="29">
        <v>3196.165</v>
      </c>
      <c r="C161" s="30" t="s">
        <v>3157</v>
      </c>
      <c r="D161" s="2">
        <v>4950958444</v>
      </c>
      <c r="E161" s="2" t="s">
        <v>33</v>
      </c>
      <c r="F161" s="2" t="s">
        <v>3158</v>
      </c>
      <c r="G161" s="28" t="s">
        <v>5</v>
      </c>
      <c r="H161" s="2" t="s">
        <v>20</v>
      </c>
      <c r="I161" s="2">
        <v>1</v>
      </c>
      <c r="J161" s="2" t="s">
        <v>3159</v>
      </c>
      <c r="K161" s="2">
        <v>1458.3</v>
      </c>
      <c r="L161" s="35">
        <v>4660967.4194999998</v>
      </c>
      <c r="M161" s="36">
        <v>286</v>
      </c>
      <c r="N161" s="40">
        <v>110347.59202454</v>
      </c>
      <c r="O161" s="40">
        <v>28470.334969325198</v>
      </c>
      <c r="P161" s="40">
        <v>0</v>
      </c>
      <c r="Q161" s="48">
        <v>9650.3067484662606</v>
      </c>
      <c r="R161" s="40">
        <v>216709.13840702301</v>
      </c>
      <c r="S161" s="40">
        <v>102719.760736196</v>
      </c>
      <c r="T161" s="48"/>
      <c r="U161" s="40">
        <v>773247.69938650297</v>
      </c>
      <c r="V161" s="40">
        <v>0</v>
      </c>
      <c r="W161" s="45">
        <v>1241144.83227205</v>
      </c>
      <c r="X161" s="46">
        <v>26.628481183530699</v>
      </c>
    </row>
    <row r="162" spans="1:24" s="4" customFormat="1" ht="15" customHeight="1">
      <c r="A162" s="28" t="s">
        <v>3019</v>
      </c>
      <c r="B162" s="29">
        <v>3196.165</v>
      </c>
      <c r="C162" s="30" t="s">
        <v>3157</v>
      </c>
      <c r="D162" s="2">
        <v>4950958444</v>
      </c>
      <c r="E162" s="2" t="s">
        <v>33</v>
      </c>
      <c r="F162" s="2" t="s">
        <v>3158</v>
      </c>
      <c r="G162" s="28" t="s">
        <v>5</v>
      </c>
      <c r="H162" s="2" t="s">
        <v>20</v>
      </c>
      <c r="I162" s="2">
        <v>1</v>
      </c>
      <c r="J162" s="2" t="s">
        <v>3159</v>
      </c>
      <c r="K162" s="2">
        <v>1856.3</v>
      </c>
      <c r="L162" s="35">
        <v>5933041.0894999998</v>
      </c>
      <c r="M162" s="36">
        <v>364</v>
      </c>
      <c r="N162" s="40">
        <v>102991.085889571</v>
      </c>
      <c r="O162" s="40">
        <v>36234.971779141102</v>
      </c>
      <c r="P162" s="40">
        <v>0</v>
      </c>
      <c r="Q162" s="48">
        <v>12282.208588957101</v>
      </c>
      <c r="R162" s="40">
        <v>202261.862513222</v>
      </c>
      <c r="S162" s="40">
        <v>95871.776687116595</v>
      </c>
      <c r="T162" s="48"/>
      <c r="U162" s="40">
        <v>721697.85276073602</v>
      </c>
      <c r="V162" s="40">
        <v>0</v>
      </c>
      <c r="W162" s="45">
        <v>1171339.7582187401</v>
      </c>
      <c r="X162" s="46">
        <v>19.7426537343846</v>
      </c>
    </row>
    <row r="163" spans="1:24" s="4" customFormat="1" ht="15" customHeight="1">
      <c r="A163" s="28" t="s">
        <v>3019</v>
      </c>
      <c r="B163" s="29">
        <v>3196.165</v>
      </c>
      <c r="C163" s="30" t="s">
        <v>3262</v>
      </c>
      <c r="D163" s="2">
        <v>4951379395</v>
      </c>
      <c r="E163" s="2" t="s">
        <v>33</v>
      </c>
      <c r="F163" s="2" t="s">
        <v>3263</v>
      </c>
      <c r="G163" s="28" t="s">
        <v>9</v>
      </c>
      <c r="H163" s="2" t="s">
        <v>23</v>
      </c>
      <c r="I163" s="2">
        <v>4</v>
      </c>
      <c r="J163" s="2"/>
      <c r="K163" s="2">
        <v>10000</v>
      </c>
      <c r="L163" s="35">
        <v>31961650</v>
      </c>
      <c r="M163" s="36">
        <v>2000</v>
      </c>
      <c r="N163" s="40">
        <v>1627984</v>
      </c>
      <c r="O163" s="40">
        <v>1418</v>
      </c>
      <c r="P163" s="40">
        <v>0</v>
      </c>
      <c r="Q163" s="40">
        <v>35119</v>
      </c>
      <c r="R163" s="40">
        <v>124351</v>
      </c>
      <c r="S163" s="40">
        <v>354356</v>
      </c>
      <c r="T163" s="40"/>
      <c r="U163" s="40">
        <v>2163100</v>
      </c>
      <c r="V163" s="40">
        <v>0</v>
      </c>
      <c r="W163" s="45">
        <v>4306328</v>
      </c>
      <c r="X163" s="46">
        <v>13.4734220542431</v>
      </c>
    </row>
    <row r="164" spans="1:24" s="4" customFormat="1" ht="15" customHeight="1">
      <c r="A164" s="28" t="s">
        <v>3019</v>
      </c>
      <c r="B164" s="29">
        <v>3196.165</v>
      </c>
      <c r="C164" s="30" t="s">
        <v>3295</v>
      </c>
      <c r="D164" s="2">
        <v>4950979338</v>
      </c>
      <c r="E164" s="2" t="s">
        <v>33</v>
      </c>
      <c r="F164" s="2" t="s">
        <v>3296</v>
      </c>
      <c r="G164" s="28" t="s">
        <v>5</v>
      </c>
      <c r="H164" s="2" t="s">
        <v>20</v>
      </c>
      <c r="I164" s="2">
        <v>2</v>
      </c>
      <c r="J164" s="2" t="s">
        <v>3297</v>
      </c>
      <c r="K164" s="2">
        <v>52668</v>
      </c>
      <c r="L164" s="35">
        <v>168335618.22</v>
      </c>
      <c r="M164" s="36">
        <v>39600</v>
      </c>
      <c r="N164" s="40">
        <v>2335672</v>
      </c>
      <c r="O164" s="40">
        <v>602666</v>
      </c>
      <c r="P164" s="40">
        <v>1068129</v>
      </c>
      <c r="Q164" s="40">
        <v>237220</v>
      </c>
      <c r="R164" s="40">
        <v>1401474</v>
      </c>
      <c r="S164" s="40">
        <v>354356</v>
      </c>
      <c r="T164" s="40"/>
      <c r="U164" s="40">
        <v>8594200</v>
      </c>
      <c r="V164" s="40">
        <v>0</v>
      </c>
      <c r="W164" s="45">
        <v>14593717</v>
      </c>
      <c r="X164" s="46">
        <v>8.6694171764215007</v>
      </c>
    </row>
    <row r="165" spans="1:24" s="4" customFormat="1" ht="15" customHeight="1">
      <c r="A165" s="28" t="s">
        <v>3019</v>
      </c>
      <c r="B165" s="29">
        <v>3196.165</v>
      </c>
      <c r="C165" s="30" t="s">
        <v>3298</v>
      </c>
      <c r="D165" s="2">
        <v>4950753442</v>
      </c>
      <c r="E165" s="2" t="s">
        <v>33</v>
      </c>
      <c r="F165" s="2" t="s">
        <v>3299</v>
      </c>
      <c r="G165" s="28" t="s">
        <v>5</v>
      </c>
      <c r="H165" s="2" t="s">
        <v>20</v>
      </c>
      <c r="I165" s="2">
        <v>1</v>
      </c>
      <c r="J165" s="2" t="s">
        <v>3300</v>
      </c>
      <c r="K165" s="2">
        <v>15120</v>
      </c>
      <c r="L165" s="35">
        <v>48326014.799999997</v>
      </c>
      <c r="M165" s="36">
        <v>24000</v>
      </c>
      <c r="N165" s="40">
        <v>663009</v>
      </c>
      <c r="O165" s="40">
        <v>301333</v>
      </c>
      <c r="P165" s="40">
        <v>1234262</v>
      </c>
      <c r="Q165" s="40">
        <v>112198</v>
      </c>
      <c r="R165" s="40">
        <v>553861</v>
      </c>
      <c r="S165" s="40">
        <v>354356</v>
      </c>
      <c r="T165" s="40"/>
      <c r="U165" s="40">
        <v>5304500</v>
      </c>
      <c r="V165" s="40">
        <v>0</v>
      </c>
      <c r="W165" s="45">
        <v>8523519</v>
      </c>
      <c r="X165" s="46">
        <v>17.637537535993999</v>
      </c>
    </row>
    <row r="166" spans="1:24" s="4" customFormat="1" ht="15" customHeight="1">
      <c r="A166" s="28" t="s">
        <v>3019</v>
      </c>
      <c r="B166" s="29">
        <v>3196.165</v>
      </c>
      <c r="C166" s="30" t="s">
        <v>3301</v>
      </c>
      <c r="D166" s="2" t="s">
        <v>3302</v>
      </c>
      <c r="E166" s="2" t="s">
        <v>33</v>
      </c>
      <c r="F166" s="2" t="s">
        <v>3303</v>
      </c>
      <c r="G166" s="28" t="s">
        <v>13</v>
      </c>
      <c r="H166" s="2" t="s">
        <v>23</v>
      </c>
      <c r="I166" s="2">
        <v>1</v>
      </c>
      <c r="J166" s="2"/>
      <c r="K166" s="2">
        <v>12749</v>
      </c>
      <c r="L166" s="35">
        <v>40747907.585000001</v>
      </c>
      <c r="M166" s="36">
        <v>550</v>
      </c>
      <c r="N166" s="40">
        <v>842273</v>
      </c>
      <c r="O166" s="40">
        <v>0</v>
      </c>
      <c r="P166" s="40">
        <v>0</v>
      </c>
      <c r="Q166" s="40">
        <v>0</v>
      </c>
      <c r="R166" s="40">
        <v>3369</v>
      </c>
      <c r="S166" s="40">
        <v>354356</v>
      </c>
      <c r="T166" s="40"/>
      <c r="U166" s="40">
        <v>246380</v>
      </c>
      <c r="V166" s="40">
        <v>0</v>
      </c>
      <c r="W166" s="45">
        <v>1446378</v>
      </c>
      <c r="X166" s="46">
        <v>3.5495761272719601</v>
      </c>
    </row>
    <row r="167" spans="1:24" s="4" customFormat="1" ht="15" customHeight="1">
      <c r="A167" s="28" t="s">
        <v>3019</v>
      </c>
      <c r="B167" s="29">
        <v>3196.165</v>
      </c>
      <c r="C167" s="30" t="s">
        <v>3306</v>
      </c>
      <c r="D167" s="2">
        <v>4950783971</v>
      </c>
      <c r="E167" s="2" t="s">
        <v>33</v>
      </c>
      <c r="F167" s="2" t="s">
        <v>3307</v>
      </c>
      <c r="G167" s="28" t="s">
        <v>9</v>
      </c>
      <c r="H167" s="2" t="s">
        <v>23</v>
      </c>
      <c r="I167" s="2">
        <v>5</v>
      </c>
      <c r="J167" s="2"/>
      <c r="K167" s="2">
        <v>9921.6200000000008</v>
      </c>
      <c r="L167" s="35">
        <v>31711134.587299999</v>
      </c>
      <c r="M167" s="36">
        <v>1446.3</v>
      </c>
      <c r="N167" s="40">
        <v>1068003</v>
      </c>
      <c r="O167" s="40">
        <v>1311</v>
      </c>
      <c r="P167" s="40">
        <v>0</v>
      </c>
      <c r="Q167" s="40">
        <v>41170</v>
      </c>
      <c r="R167" s="40">
        <v>127252</v>
      </c>
      <c r="S167" s="40">
        <v>354356</v>
      </c>
      <c r="T167" s="40"/>
      <c r="U167" s="40">
        <v>2163100</v>
      </c>
      <c r="V167" s="40">
        <v>0</v>
      </c>
      <c r="W167" s="45">
        <v>3755192</v>
      </c>
      <c r="X167" s="46">
        <v>11.841872102248599</v>
      </c>
    </row>
    <row r="168" spans="1:24" s="4" customFormat="1" ht="15" customHeight="1">
      <c r="A168" s="28" t="s">
        <v>3019</v>
      </c>
      <c r="B168" s="29">
        <v>3196.165</v>
      </c>
      <c r="C168" s="30" t="s">
        <v>3308</v>
      </c>
      <c r="D168" s="2">
        <v>4950783971</v>
      </c>
      <c r="E168" s="2" t="s">
        <v>33</v>
      </c>
      <c r="F168" s="2" t="s">
        <v>3307</v>
      </c>
      <c r="G168" s="28" t="s">
        <v>9</v>
      </c>
      <c r="H168" s="2" t="s">
        <v>23</v>
      </c>
      <c r="I168" s="2">
        <v>5</v>
      </c>
      <c r="J168" s="2"/>
      <c r="K168" s="2">
        <v>9921.6200000000008</v>
      </c>
      <c r="L168" s="35">
        <v>31711134.587299999</v>
      </c>
      <c r="M168" s="36">
        <v>1446.3</v>
      </c>
      <c r="N168" s="40">
        <v>459969</v>
      </c>
      <c r="O168" s="40">
        <v>225</v>
      </c>
      <c r="P168" s="40">
        <v>11031</v>
      </c>
      <c r="Q168" s="40">
        <v>5930</v>
      </c>
      <c r="R168" s="40">
        <v>94653</v>
      </c>
      <c r="S168" s="40">
        <v>354356</v>
      </c>
      <c r="T168" s="40"/>
      <c r="U168" s="40">
        <v>134877.542062911</v>
      </c>
      <c r="V168" s="40">
        <v>0</v>
      </c>
      <c r="W168" s="45">
        <v>1061041.54206291</v>
      </c>
      <c r="X168" s="46">
        <v>3.34595893799349</v>
      </c>
    </row>
    <row r="169" spans="1:24" s="4" customFormat="1" ht="15" customHeight="1">
      <c r="A169" s="28" t="s">
        <v>3019</v>
      </c>
      <c r="B169" s="29">
        <v>3196.165</v>
      </c>
      <c r="C169" s="30" t="s">
        <v>3313</v>
      </c>
      <c r="D169" s="2">
        <v>4951218059</v>
      </c>
      <c r="E169" s="2" t="s">
        <v>33</v>
      </c>
      <c r="F169" s="2" t="s">
        <v>3314</v>
      </c>
      <c r="G169" s="28" t="s">
        <v>5</v>
      </c>
      <c r="H169" s="2" t="s">
        <v>17</v>
      </c>
      <c r="I169" s="2">
        <v>1</v>
      </c>
      <c r="J169" s="2" t="s">
        <v>3315</v>
      </c>
      <c r="K169" s="2">
        <v>1259.5999999999999</v>
      </c>
      <c r="L169" s="35">
        <v>4025889.4339999999</v>
      </c>
      <c r="M169" s="36">
        <v>900</v>
      </c>
      <c r="N169" s="40">
        <v>17079.899888351301</v>
      </c>
      <c r="O169" s="48">
        <v>182980.229226361</v>
      </c>
      <c r="P169" s="40">
        <v>25644.534099367302</v>
      </c>
      <c r="Q169" s="48">
        <v>47277.936962750697</v>
      </c>
      <c r="R169" s="40">
        <v>39025.033820245597</v>
      </c>
      <c r="S169" s="40">
        <v>15874.805917379999</v>
      </c>
      <c r="T169" s="48"/>
      <c r="U169" s="40">
        <v>211408.87374395199</v>
      </c>
      <c r="V169" s="40">
        <v>0</v>
      </c>
      <c r="W169" s="45">
        <v>539291.31365840801</v>
      </c>
      <c r="X169" s="46">
        <v>13.3955818335176</v>
      </c>
    </row>
    <row r="170" spans="1:24" s="4" customFormat="1" ht="15" customHeight="1">
      <c r="A170" s="28" t="s">
        <v>3019</v>
      </c>
      <c r="B170" s="29">
        <v>3196.165</v>
      </c>
      <c r="C170" s="30" t="s">
        <v>3313</v>
      </c>
      <c r="D170" s="2">
        <v>4951218059</v>
      </c>
      <c r="E170" s="2" t="s">
        <v>33</v>
      </c>
      <c r="F170" s="2" t="s">
        <v>3314</v>
      </c>
      <c r="G170" s="28" t="s">
        <v>5</v>
      </c>
      <c r="H170" s="2" t="s">
        <v>17</v>
      </c>
      <c r="I170" s="2">
        <v>1</v>
      </c>
      <c r="J170" s="2" t="s">
        <v>3315</v>
      </c>
      <c r="K170" s="2">
        <v>3601.37</v>
      </c>
      <c r="L170" s="35">
        <v>11510572.74605</v>
      </c>
      <c r="M170" s="36">
        <v>900</v>
      </c>
      <c r="N170" s="40">
        <v>51310.644212876803</v>
      </c>
      <c r="O170" s="48">
        <v>182980.229226361</v>
      </c>
      <c r="P170" s="40">
        <v>77040.121650539601</v>
      </c>
      <c r="Q170" s="48">
        <v>47277.936962750697</v>
      </c>
      <c r="R170" s="40">
        <v>117236.982182732</v>
      </c>
      <c r="S170" s="40">
        <v>47690.356717528797</v>
      </c>
      <c r="T170" s="48"/>
      <c r="U170" s="40">
        <v>635104.74739486398</v>
      </c>
      <c r="V170" s="40">
        <v>0</v>
      </c>
      <c r="W170" s="45">
        <v>1158641.0183476501</v>
      </c>
      <c r="X170" s="46">
        <v>10.065885025098</v>
      </c>
    </row>
    <row r="171" spans="1:24" s="4" customFormat="1" ht="15" customHeight="1">
      <c r="A171" s="28" t="s">
        <v>3019</v>
      </c>
      <c r="B171" s="29">
        <v>3196.165</v>
      </c>
      <c r="C171" s="30" t="s">
        <v>3313</v>
      </c>
      <c r="D171" s="2">
        <v>4951218059</v>
      </c>
      <c r="E171" s="2" t="s">
        <v>33</v>
      </c>
      <c r="F171" s="2" t="s">
        <v>3314</v>
      </c>
      <c r="G171" s="28" t="s">
        <v>5</v>
      </c>
      <c r="H171" s="2" t="s">
        <v>17</v>
      </c>
      <c r="I171" s="2">
        <v>1</v>
      </c>
      <c r="J171" s="2" t="s">
        <v>3315</v>
      </c>
      <c r="K171" s="2">
        <v>17544</v>
      </c>
      <c r="L171" s="35">
        <v>56073518.759999998</v>
      </c>
      <c r="M171" s="36">
        <v>170</v>
      </c>
      <c r="N171" s="40">
        <v>180908.596948269</v>
      </c>
      <c r="O171" s="48">
        <v>34562.932187201499</v>
      </c>
      <c r="P171" s="40">
        <v>271624.34871604003</v>
      </c>
      <c r="Q171" s="48">
        <v>8930.2769818529105</v>
      </c>
      <c r="R171" s="40">
        <v>413346.841086714</v>
      </c>
      <c r="S171" s="40">
        <v>168144.36174171901</v>
      </c>
      <c r="T171" s="48"/>
      <c r="U171" s="40">
        <v>2239221.7156680301</v>
      </c>
      <c r="V171" s="40">
        <v>0</v>
      </c>
      <c r="W171" s="45">
        <v>3316739.0733298301</v>
      </c>
      <c r="X171" s="46">
        <v>5.9149829485925203</v>
      </c>
    </row>
    <row r="172" spans="1:24" s="4" customFormat="1" ht="15" customHeight="1">
      <c r="A172" s="28" t="s">
        <v>3019</v>
      </c>
      <c r="B172" s="29">
        <v>3196.165</v>
      </c>
      <c r="C172" s="30" t="s">
        <v>3313</v>
      </c>
      <c r="D172" s="2">
        <v>4951218059</v>
      </c>
      <c r="E172" s="2" t="s">
        <v>33</v>
      </c>
      <c r="F172" s="2" t="s">
        <v>3314</v>
      </c>
      <c r="G172" s="28" t="s">
        <v>5</v>
      </c>
      <c r="H172" s="2" t="s">
        <v>17</v>
      </c>
      <c r="I172" s="2">
        <v>1</v>
      </c>
      <c r="J172" s="2" t="s">
        <v>3315</v>
      </c>
      <c r="K172" s="2">
        <v>13630.08</v>
      </c>
      <c r="L172" s="35">
        <v>43563984.643200003</v>
      </c>
      <c r="M172" s="36">
        <v>124</v>
      </c>
      <c r="N172" s="40">
        <v>131956.85895050201</v>
      </c>
      <c r="O172" s="48">
        <v>25210.6093600764</v>
      </c>
      <c r="P172" s="40">
        <v>198125.99553405301</v>
      </c>
      <c r="Q172" s="48">
        <v>6513.8490926456498</v>
      </c>
      <c r="R172" s="40">
        <v>301500.14291030902</v>
      </c>
      <c r="S172" s="40">
        <v>122646.475623372</v>
      </c>
      <c r="T172" s="48"/>
      <c r="U172" s="40">
        <v>1633314.66319315</v>
      </c>
      <c r="V172" s="40">
        <v>0</v>
      </c>
      <c r="W172" s="45">
        <v>2419268.5946641099</v>
      </c>
      <c r="X172" s="46">
        <v>5.5533684865572503</v>
      </c>
    </row>
    <row r="173" spans="1:24" s="4" customFormat="1" ht="15" customHeight="1">
      <c r="A173" s="28" t="s">
        <v>3019</v>
      </c>
      <c r="B173" s="29">
        <v>3196.165</v>
      </c>
      <c r="C173" s="30" t="s">
        <v>3327</v>
      </c>
      <c r="D173" s="2">
        <v>4951218059</v>
      </c>
      <c r="E173" s="2" t="s">
        <v>33</v>
      </c>
      <c r="F173" s="2" t="s">
        <v>3328</v>
      </c>
      <c r="G173" s="28" t="s">
        <v>5</v>
      </c>
      <c r="H173" s="2" t="s">
        <v>17</v>
      </c>
      <c r="I173" s="2">
        <v>3</v>
      </c>
      <c r="J173" s="2" t="s">
        <v>3329</v>
      </c>
      <c r="K173" s="2">
        <v>50419.199999999997</v>
      </c>
      <c r="L173" s="35">
        <v>161148082.368</v>
      </c>
      <c r="M173" s="36">
        <v>900</v>
      </c>
      <c r="N173" s="40">
        <v>415364.86056377902</v>
      </c>
      <c r="O173" s="48">
        <v>638601.5</v>
      </c>
      <c r="P173" s="40">
        <v>1164147.61233148</v>
      </c>
      <c r="Q173" s="48">
        <v>148964</v>
      </c>
      <c r="R173" s="40">
        <v>940319.94927877805</v>
      </c>
      <c r="S173" s="40">
        <v>128686.65145658499</v>
      </c>
      <c r="T173" s="48"/>
      <c r="U173" s="40">
        <v>5176485.88667861</v>
      </c>
      <c r="V173" s="40">
        <v>0</v>
      </c>
      <c r="W173" s="45">
        <v>8612570.4603092298</v>
      </c>
      <c r="X173" s="46">
        <v>5.3445069489821497</v>
      </c>
    </row>
    <row r="174" spans="1:24" s="4" customFormat="1" ht="15" customHeight="1">
      <c r="A174" s="28" t="s">
        <v>3019</v>
      </c>
      <c r="B174" s="29">
        <v>3196.165</v>
      </c>
      <c r="C174" s="30" t="s">
        <v>3327</v>
      </c>
      <c r="D174" s="2">
        <v>4951218059</v>
      </c>
      <c r="E174" s="2" t="s">
        <v>33</v>
      </c>
      <c r="F174" s="2" t="s">
        <v>3328</v>
      </c>
      <c r="G174" s="28" t="s">
        <v>5</v>
      </c>
      <c r="H174" s="2" t="s">
        <v>17</v>
      </c>
      <c r="I174" s="2">
        <v>3</v>
      </c>
      <c r="J174" s="2" t="s">
        <v>3329</v>
      </c>
      <c r="K174" s="2">
        <v>30230.52</v>
      </c>
      <c r="L174" s="35">
        <v>96621729.955799997</v>
      </c>
      <c r="M174" s="36">
        <v>900</v>
      </c>
      <c r="N174" s="40">
        <v>728398.13943622098</v>
      </c>
      <c r="O174" s="48">
        <v>638601.5</v>
      </c>
      <c r="P174" s="40">
        <v>2041489.38766852</v>
      </c>
      <c r="Q174" s="48">
        <v>148964</v>
      </c>
      <c r="R174" s="40">
        <v>1648977.05072122</v>
      </c>
      <c r="S174" s="40">
        <v>225669.34854341499</v>
      </c>
      <c r="T174" s="48"/>
      <c r="U174" s="40">
        <v>9077664.11332139</v>
      </c>
      <c r="V174" s="40">
        <v>0</v>
      </c>
      <c r="W174" s="45">
        <v>14509763.5396908</v>
      </c>
      <c r="X174" s="46">
        <v>15.0170810917258</v>
      </c>
    </row>
    <row r="175" spans="1:24" s="4" customFormat="1" ht="15" customHeight="1">
      <c r="A175" s="28" t="s">
        <v>3019</v>
      </c>
      <c r="B175" s="29">
        <v>3196.165</v>
      </c>
      <c r="C175" s="30" t="s">
        <v>3369</v>
      </c>
      <c r="D175" s="2">
        <v>4950979629</v>
      </c>
      <c r="E175" s="2" t="s">
        <v>33</v>
      </c>
      <c r="F175" s="2" t="s">
        <v>3370</v>
      </c>
      <c r="G175" s="28" t="s">
        <v>5</v>
      </c>
      <c r="H175" s="2" t="s">
        <v>20</v>
      </c>
      <c r="I175" s="2">
        <v>2</v>
      </c>
      <c r="J175" s="2" t="s">
        <v>3371</v>
      </c>
      <c r="K175" s="2">
        <v>49500</v>
      </c>
      <c r="L175" s="35">
        <v>158210167.5</v>
      </c>
      <c r="M175" s="36">
        <v>39600</v>
      </c>
      <c r="N175" s="40">
        <v>762509</v>
      </c>
      <c r="O175" s="40">
        <v>649044</v>
      </c>
      <c r="P175" s="40">
        <v>0</v>
      </c>
      <c r="Q175" s="40">
        <v>198619</v>
      </c>
      <c r="R175" s="40">
        <v>1253887</v>
      </c>
      <c r="S175" s="40">
        <v>354356</v>
      </c>
      <c r="T175" s="40"/>
      <c r="U175" s="40">
        <v>9622400</v>
      </c>
      <c r="V175" s="40">
        <v>0</v>
      </c>
      <c r="W175" s="45">
        <v>12840815</v>
      </c>
      <c r="X175" s="46">
        <v>8.1163020069490805</v>
      </c>
    </row>
    <row r="176" spans="1:24" s="4" customFormat="1" ht="15" customHeight="1">
      <c r="A176" s="28" t="s">
        <v>3019</v>
      </c>
      <c r="B176" s="29">
        <v>3196.165</v>
      </c>
      <c r="C176" s="30" t="s">
        <v>3377</v>
      </c>
      <c r="D176" s="2">
        <v>4951411190</v>
      </c>
      <c r="E176" s="2" t="s">
        <v>33</v>
      </c>
      <c r="F176" s="78" t="s">
        <v>3378</v>
      </c>
      <c r="G176" s="28" t="s">
        <v>13</v>
      </c>
      <c r="H176" s="2" t="s">
        <v>23</v>
      </c>
      <c r="I176" s="2">
        <v>5</v>
      </c>
      <c r="J176" s="2"/>
      <c r="K176" s="2">
        <v>2965</v>
      </c>
      <c r="L176" s="35">
        <v>9476629.2249999996</v>
      </c>
      <c r="M176" s="36">
        <v>1000</v>
      </c>
      <c r="N176" s="40">
        <v>1339014</v>
      </c>
      <c r="O176" s="40">
        <v>0</v>
      </c>
      <c r="P176" s="40">
        <v>0</v>
      </c>
      <c r="Q176" s="40">
        <v>0</v>
      </c>
      <c r="R176" s="40">
        <v>11443</v>
      </c>
      <c r="S176" s="40">
        <v>354356</v>
      </c>
      <c r="T176" s="40"/>
      <c r="U176" s="40">
        <v>246380</v>
      </c>
      <c r="V176" s="40">
        <v>0</v>
      </c>
      <c r="W176" s="45">
        <v>1951193</v>
      </c>
      <c r="X176" s="46">
        <v>20.589525596850599</v>
      </c>
    </row>
    <row r="177" spans="1:24" s="4" customFormat="1" ht="15" customHeight="1">
      <c r="A177" s="28" t="s">
        <v>3019</v>
      </c>
      <c r="B177" s="29">
        <v>3196.165</v>
      </c>
      <c r="C177" s="30" t="s">
        <v>3462</v>
      </c>
      <c r="D177" s="2">
        <v>4951352473</v>
      </c>
      <c r="E177" s="2" t="s">
        <v>33</v>
      </c>
      <c r="F177" s="2" t="s">
        <v>3463</v>
      </c>
      <c r="G177" s="28" t="s">
        <v>5</v>
      </c>
      <c r="H177" s="2" t="s">
        <v>20</v>
      </c>
      <c r="I177" s="2">
        <v>1</v>
      </c>
      <c r="J177" s="2" t="s">
        <v>3464</v>
      </c>
      <c r="K177" s="2">
        <v>13225.67</v>
      </c>
      <c r="L177" s="35">
        <v>42271423.555550002</v>
      </c>
      <c r="M177" s="36">
        <v>420</v>
      </c>
      <c r="N177" s="40">
        <v>377305</v>
      </c>
      <c r="O177" s="40">
        <v>300774</v>
      </c>
      <c r="P177" s="40">
        <v>546591</v>
      </c>
      <c r="Q177" s="40">
        <v>111990</v>
      </c>
      <c r="R177" s="40">
        <v>695381</v>
      </c>
      <c r="S177" s="40">
        <v>354356</v>
      </c>
      <c r="T177" s="40"/>
      <c r="U177" s="40">
        <v>2958500</v>
      </c>
      <c r="V177" s="40">
        <v>0</v>
      </c>
      <c r="W177" s="45">
        <v>5344897</v>
      </c>
      <c r="X177" s="46">
        <v>12.6442323215733</v>
      </c>
    </row>
    <row r="178" spans="1:24" s="4" customFormat="1" ht="15" customHeight="1">
      <c r="A178" s="28" t="s">
        <v>3019</v>
      </c>
      <c r="B178" s="29">
        <v>3196.165</v>
      </c>
      <c r="C178" s="30" t="s">
        <v>3467</v>
      </c>
      <c r="D178" s="2">
        <v>4951104383</v>
      </c>
      <c r="E178" s="2" t="s">
        <v>33</v>
      </c>
      <c r="F178" s="2" t="s">
        <v>3468</v>
      </c>
      <c r="G178" s="28" t="s">
        <v>5</v>
      </c>
      <c r="H178" s="2" t="s">
        <v>20</v>
      </c>
      <c r="I178" s="2">
        <v>1</v>
      </c>
      <c r="J178" s="2" t="s">
        <v>3469</v>
      </c>
      <c r="K178" s="2">
        <v>21780</v>
      </c>
      <c r="L178" s="35">
        <v>69612473.700000003</v>
      </c>
      <c r="M178" s="36">
        <v>19800</v>
      </c>
      <c r="N178" s="40">
        <v>1529980</v>
      </c>
      <c r="O178" s="40">
        <v>302415</v>
      </c>
      <c r="P178" s="40">
        <v>631693</v>
      </c>
      <c r="Q178" s="40">
        <v>119036</v>
      </c>
      <c r="R178" s="40">
        <v>505844</v>
      </c>
      <c r="S178" s="40">
        <v>354356</v>
      </c>
      <c r="T178" s="40"/>
      <c r="U178" s="40">
        <v>4297100</v>
      </c>
      <c r="V178" s="40">
        <v>0</v>
      </c>
      <c r="W178" s="45">
        <v>7740424</v>
      </c>
      <c r="X178" s="46">
        <v>11.1193060504615</v>
      </c>
    </row>
    <row r="180" spans="1:24" ht="15" customHeight="1">
      <c r="A180" s="31" t="s">
        <v>3019</v>
      </c>
      <c r="B180" s="31"/>
      <c r="C180" s="31"/>
      <c r="D180" s="31"/>
      <c r="E180" s="31"/>
      <c r="F180" s="32">
        <v>14</v>
      </c>
      <c r="G180" s="31"/>
      <c r="H180" s="31"/>
      <c r="I180" s="38"/>
      <c r="J180" s="31"/>
      <c r="K180" s="39">
        <f>+SUM(K149:K178)</f>
        <v>358192.27999999997</v>
      </c>
      <c r="L180" s="39">
        <f>+SUM(L149:L178)</f>
        <v>1144841628.6062002</v>
      </c>
      <c r="M180" s="31"/>
      <c r="N180" s="39"/>
      <c r="O180" s="39"/>
      <c r="P180" s="39"/>
      <c r="Q180" s="39"/>
      <c r="R180" s="39"/>
      <c r="S180" s="39"/>
      <c r="T180" s="39"/>
      <c r="U180" s="39"/>
      <c r="V180" s="31"/>
      <c r="W180" s="39">
        <f>+SUM(W149:W178)</f>
        <v>106670739.92549852</v>
      </c>
      <c r="X180" s="47">
        <f>(W180/L180)*100</f>
        <v>9.3175105848802833</v>
      </c>
    </row>
    <row r="182" spans="1:24" s="4" customFormat="1" ht="15" customHeight="1">
      <c r="A182" s="28" t="s">
        <v>3483</v>
      </c>
      <c r="B182" s="29">
        <v>3387.15</v>
      </c>
      <c r="C182" s="30" t="s">
        <v>3485</v>
      </c>
      <c r="D182" s="2">
        <v>4952431688</v>
      </c>
      <c r="E182" s="2" t="s">
        <v>33</v>
      </c>
      <c r="F182" s="2" t="s">
        <v>3486</v>
      </c>
      <c r="G182" s="28" t="s">
        <v>13</v>
      </c>
      <c r="H182" s="2" t="s">
        <v>23</v>
      </c>
      <c r="I182" s="2">
        <v>1</v>
      </c>
      <c r="J182" s="2"/>
      <c r="K182" s="2">
        <v>175</v>
      </c>
      <c r="L182" s="35">
        <v>592751.25</v>
      </c>
      <c r="M182" s="36">
        <v>50</v>
      </c>
      <c r="N182" s="40">
        <v>263530.681818182</v>
      </c>
      <c r="O182" s="40">
        <v>0</v>
      </c>
      <c r="P182" s="40">
        <v>0</v>
      </c>
      <c r="Q182" s="40">
        <v>0</v>
      </c>
      <c r="R182" s="40">
        <v>2962.95454545455</v>
      </c>
      <c r="S182" s="40">
        <v>80535.4545454545</v>
      </c>
      <c r="T182" s="40"/>
      <c r="U182" s="40">
        <v>55995.4545454545</v>
      </c>
      <c r="V182" s="40">
        <v>0</v>
      </c>
      <c r="W182" s="45">
        <v>403024.54545454599</v>
      </c>
      <c r="X182" s="46">
        <v>67.992188199442097</v>
      </c>
    </row>
    <row r="183" spans="1:24" s="4" customFormat="1" ht="15" customHeight="1">
      <c r="A183" s="28" t="s">
        <v>3483</v>
      </c>
      <c r="B183" s="29">
        <v>3387.15</v>
      </c>
      <c r="C183" s="30" t="s">
        <v>3485</v>
      </c>
      <c r="D183" s="2">
        <v>4952431688</v>
      </c>
      <c r="E183" s="2" t="s">
        <v>33</v>
      </c>
      <c r="F183" s="2" t="s">
        <v>3486</v>
      </c>
      <c r="G183" s="28" t="s">
        <v>13</v>
      </c>
      <c r="H183" s="2" t="s">
        <v>23</v>
      </c>
      <c r="I183" s="2">
        <v>1</v>
      </c>
      <c r="J183" s="2"/>
      <c r="K183" s="2">
        <v>175</v>
      </c>
      <c r="L183" s="35">
        <v>592751.25</v>
      </c>
      <c r="M183" s="36">
        <v>2</v>
      </c>
      <c r="N183" s="40">
        <v>263530.681818182</v>
      </c>
      <c r="O183" s="40">
        <v>0</v>
      </c>
      <c r="P183" s="40">
        <v>0</v>
      </c>
      <c r="Q183" s="40">
        <v>0</v>
      </c>
      <c r="R183" s="40">
        <v>2962.95454545455</v>
      </c>
      <c r="S183" s="40">
        <v>80535.4545454545</v>
      </c>
      <c r="T183" s="40"/>
      <c r="U183" s="40">
        <v>55995.4545454545</v>
      </c>
      <c r="V183" s="40">
        <v>0</v>
      </c>
      <c r="W183" s="45">
        <v>403024.54545454599</v>
      </c>
      <c r="X183" s="46">
        <v>67.992188199442097</v>
      </c>
    </row>
    <row r="184" spans="1:24" s="4" customFormat="1" ht="15" customHeight="1">
      <c r="A184" s="28" t="s">
        <v>3483</v>
      </c>
      <c r="B184" s="29">
        <v>3387.15</v>
      </c>
      <c r="C184" s="30" t="s">
        <v>3485</v>
      </c>
      <c r="D184" s="2">
        <v>4952431688</v>
      </c>
      <c r="E184" s="2" t="s">
        <v>33</v>
      </c>
      <c r="F184" s="2" t="s">
        <v>3486</v>
      </c>
      <c r="G184" s="28" t="s">
        <v>13</v>
      </c>
      <c r="H184" s="2" t="s">
        <v>23</v>
      </c>
      <c r="I184" s="2">
        <v>1</v>
      </c>
      <c r="J184" s="2"/>
      <c r="K184" s="2">
        <v>420</v>
      </c>
      <c r="L184" s="35">
        <v>1422603</v>
      </c>
      <c r="M184" s="36">
        <v>120</v>
      </c>
      <c r="N184" s="40">
        <v>632473.636363636</v>
      </c>
      <c r="O184" s="40">
        <v>0</v>
      </c>
      <c r="P184" s="40">
        <v>0</v>
      </c>
      <c r="Q184" s="40">
        <v>0</v>
      </c>
      <c r="R184" s="40">
        <v>7111.0909090909099</v>
      </c>
      <c r="S184" s="40">
        <v>193285.090909091</v>
      </c>
      <c r="T184" s="40"/>
      <c r="U184" s="40">
        <v>134389.090909091</v>
      </c>
      <c r="V184" s="40">
        <v>0</v>
      </c>
      <c r="W184" s="45">
        <v>967258.90909090894</v>
      </c>
      <c r="X184" s="46">
        <v>67.992188199442097</v>
      </c>
    </row>
    <row r="185" spans="1:24" s="4" customFormat="1" ht="15" customHeight="1">
      <c r="A185" s="28" t="s">
        <v>3483</v>
      </c>
      <c r="B185" s="29">
        <v>3387.15</v>
      </c>
      <c r="C185" s="30" t="s">
        <v>3567</v>
      </c>
      <c r="D185" s="2">
        <v>4951218063</v>
      </c>
      <c r="E185" s="2" t="s">
        <v>33</v>
      </c>
      <c r="F185" s="2" t="s">
        <v>3568</v>
      </c>
      <c r="G185" s="28" t="s">
        <v>9</v>
      </c>
      <c r="H185" s="2" t="s">
        <v>23</v>
      </c>
      <c r="I185" s="2">
        <v>6</v>
      </c>
      <c r="J185" s="2"/>
      <c r="K185" s="2">
        <v>9742.43</v>
      </c>
      <c r="L185" s="35">
        <v>32999071.774500001</v>
      </c>
      <c r="M185" s="36">
        <v>5600</v>
      </c>
      <c r="N185" s="40">
        <v>775965.739663093</v>
      </c>
      <c r="O185" s="40">
        <v>2172.5</v>
      </c>
      <c r="P185" s="40">
        <v>188164.78713629401</v>
      </c>
      <c r="Q185" s="40">
        <v>53999</v>
      </c>
      <c r="R185" s="40">
        <v>134872.869831547</v>
      </c>
      <c r="S185" s="40">
        <v>232800.49617151599</v>
      </c>
      <c r="T185" s="40"/>
      <c r="U185" s="40">
        <v>1421087.1362940299</v>
      </c>
      <c r="V185" s="40">
        <v>0</v>
      </c>
      <c r="W185" s="45">
        <v>2809062.52909648</v>
      </c>
      <c r="X185" s="46">
        <v>8.5125501356288993</v>
      </c>
    </row>
    <row r="186" spans="1:24" s="4" customFormat="1" ht="15" customHeight="1">
      <c r="A186" s="28" t="s">
        <v>3483</v>
      </c>
      <c r="B186" s="29">
        <v>3387.15</v>
      </c>
      <c r="C186" s="30" t="s">
        <v>3567</v>
      </c>
      <c r="D186" s="2">
        <v>4951218063</v>
      </c>
      <c r="E186" s="2" t="s">
        <v>33</v>
      </c>
      <c r="F186" s="2" t="s">
        <v>3568</v>
      </c>
      <c r="G186" s="28" t="s">
        <v>9</v>
      </c>
      <c r="H186" s="2" t="s">
        <v>23</v>
      </c>
      <c r="I186" s="2">
        <v>6</v>
      </c>
      <c r="J186" s="2"/>
      <c r="K186" s="2">
        <v>18658.496999999999</v>
      </c>
      <c r="L186" s="35">
        <v>63199128.11355</v>
      </c>
      <c r="M186" s="36">
        <v>10725</v>
      </c>
      <c r="N186" s="40">
        <v>405166.260336907</v>
      </c>
      <c r="O186" s="40">
        <v>2172.5</v>
      </c>
      <c r="P186" s="40">
        <v>98249.212863705994</v>
      </c>
      <c r="Q186" s="40">
        <v>53999</v>
      </c>
      <c r="R186" s="40">
        <v>70423.130168453295</v>
      </c>
      <c r="S186" s="40">
        <v>121555.503828484</v>
      </c>
      <c r="T186" s="40"/>
      <c r="U186" s="40">
        <v>742012.86370597198</v>
      </c>
      <c r="V186" s="40">
        <v>0</v>
      </c>
      <c r="W186" s="45">
        <v>1493578.47090352</v>
      </c>
      <c r="X186" s="46">
        <v>2.3632896773829</v>
      </c>
    </row>
    <row r="187" spans="1:24" s="4" customFormat="1" ht="15" customHeight="1">
      <c r="A187" s="28" t="s">
        <v>3483</v>
      </c>
      <c r="B187" s="29">
        <v>3387.15</v>
      </c>
      <c r="C187" s="30" t="s">
        <v>3708</v>
      </c>
      <c r="D187" s="2" t="s">
        <v>3709</v>
      </c>
      <c r="E187" s="2" t="s">
        <v>33</v>
      </c>
      <c r="F187" s="2" t="s">
        <v>3710</v>
      </c>
      <c r="G187" s="28" t="s">
        <v>5</v>
      </c>
      <c r="H187" s="2" t="s">
        <v>20</v>
      </c>
      <c r="I187" s="2">
        <v>2</v>
      </c>
      <c r="J187" s="2" t="s">
        <v>3711</v>
      </c>
      <c r="K187" s="2">
        <v>47916</v>
      </c>
      <c r="L187" s="35">
        <v>162298679.40000001</v>
      </c>
      <c r="M187" s="36">
        <v>39600</v>
      </c>
      <c r="N187" s="40">
        <v>815854</v>
      </c>
      <c r="O187" s="40">
        <v>699758</v>
      </c>
      <c r="P187" s="40">
        <v>0</v>
      </c>
      <c r="Q187" s="40">
        <v>198619</v>
      </c>
      <c r="R187" s="40">
        <v>1294130</v>
      </c>
      <c r="S187" s="40">
        <v>354356</v>
      </c>
      <c r="T187" s="40"/>
      <c r="U187" s="40">
        <v>9700000</v>
      </c>
      <c r="V187" s="40">
        <v>0</v>
      </c>
      <c r="W187" s="45">
        <v>13062717</v>
      </c>
      <c r="X187" s="46">
        <v>8.0485664136586905</v>
      </c>
    </row>
    <row r="188" spans="1:24" s="4" customFormat="1" ht="15" customHeight="1">
      <c r="A188" s="28" t="s">
        <v>3483</v>
      </c>
      <c r="B188" s="29">
        <v>3387.15</v>
      </c>
      <c r="C188" s="30" t="s">
        <v>3729</v>
      </c>
      <c r="D188" s="2">
        <v>4951697095</v>
      </c>
      <c r="E188" s="2" t="s">
        <v>33</v>
      </c>
      <c r="F188" s="2" t="s">
        <v>3730</v>
      </c>
      <c r="G188" s="28" t="s">
        <v>5</v>
      </c>
      <c r="H188" s="2" t="s">
        <v>17</v>
      </c>
      <c r="I188" s="2">
        <v>1</v>
      </c>
      <c r="J188" s="2" t="s">
        <v>3731</v>
      </c>
      <c r="K188" s="2">
        <v>8400</v>
      </c>
      <c r="L188" s="35">
        <v>28452060</v>
      </c>
      <c r="M188" s="36">
        <v>24000</v>
      </c>
      <c r="N188" s="40">
        <v>693456</v>
      </c>
      <c r="O188" s="40">
        <v>458999</v>
      </c>
      <c r="P188" s="40">
        <v>0</v>
      </c>
      <c r="Q188" s="40">
        <v>110000</v>
      </c>
      <c r="R188" s="40">
        <v>799133</v>
      </c>
      <c r="S188" s="40">
        <v>354356</v>
      </c>
      <c r="T188" s="40"/>
      <c r="U188" s="40">
        <v>5689050</v>
      </c>
      <c r="V188" s="40">
        <v>0</v>
      </c>
      <c r="W188" s="45">
        <v>8104994</v>
      </c>
      <c r="X188" s="46">
        <v>28.4864927179262</v>
      </c>
    </row>
    <row r="189" spans="1:24" s="4" customFormat="1" ht="15" customHeight="1">
      <c r="A189" s="28" t="s">
        <v>3483</v>
      </c>
      <c r="B189" s="29">
        <v>3387.15</v>
      </c>
      <c r="C189" s="30" t="s">
        <v>3769</v>
      </c>
      <c r="D189" s="2" t="s">
        <v>3770</v>
      </c>
      <c r="E189" s="2" t="s">
        <v>33</v>
      </c>
      <c r="F189" s="2" t="s">
        <v>3771</v>
      </c>
      <c r="G189" s="28" t="s">
        <v>9</v>
      </c>
      <c r="H189" s="2" t="s">
        <v>23</v>
      </c>
      <c r="I189" s="2">
        <v>5</v>
      </c>
      <c r="J189" s="2"/>
      <c r="K189" s="2">
        <v>9921.6200000000008</v>
      </c>
      <c r="L189" s="35">
        <v>33606015.182999998</v>
      </c>
      <c r="M189" s="36">
        <v>1446.3</v>
      </c>
      <c r="N189" s="40">
        <v>1128097</v>
      </c>
      <c r="O189" s="40">
        <v>1397</v>
      </c>
      <c r="P189" s="40">
        <v>27055</v>
      </c>
      <c r="Q189" s="40">
        <v>41084</v>
      </c>
      <c r="R189" s="40">
        <v>127701</v>
      </c>
      <c r="S189" s="40">
        <v>354356</v>
      </c>
      <c r="T189" s="40"/>
      <c r="U189" s="40">
        <v>2163100</v>
      </c>
      <c r="V189" s="40">
        <v>0</v>
      </c>
      <c r="W189" s="45">
        <v>3842790</v>
      </c>
      <c r="X189" s="46">
        <v>11.434827899333699</v>
      </c>
    </row>
    <row r="190" spans="1:24" s="4" customFormat="1" ht="15" customHeight="1">
      <c r="A190" s="28" t="s">
        <v>3483</v>
      </c>
      <c r="B190" s="29">
        <v>3387.15</v>
      </c>
      <c r="C190" s="30" t="s">
        <v>3836</v>
      </c>
      <c r="D190" s="2">
        <v>4951771840</v>
      </c>
      <c r="E190" s="2" t="s">
        <v>33</v>
      </c>
      <c r="F190" s="2" t="s">
        <v>3837</v>
      </c>
      <c r="G190" s="28" t="s">
        <v>5</v>
      </c>
      <c r="H190" s="2" t="s">
        <v>20</v>
      </c>
      <c r="I190" s="2">
        <v>2</v>
      </c>
      <c r="J190" s="2" t="s">
        <v>3838</v>
      </c>
      <c r="K190" s="2">
        <v>50292</v>
      </c>
      <c r="L190" s="35">
        <v>170346547.80000001</v>
      </c>
      <c r="M190" s="36">
        <v>39600</v>
      </c>
      <c r="N190" s="40">
        <v>2373155</v>
      </c>
      <c r="O190" s="40">
        <v>632767</v>
      </c>
      <c r="P190" s="40">
        <v>520686</v>
      </c>
      <c r="Q190" s="40">
        <v>249068</v>
      </c>
      <c r="R190" s="40">
        <v>1448624</v>
      </c>
      <c r="S190" s="40">
        <v>354356</v>
      </c>
      <c r="T190" s="40"/>
      <c r="U190" s="40">
        <v>8594200</v>
      </c>
      <c r="V190" s="40">
        <v>0</v>
      </c>
      <c r="W190" s="45">
        <v>14172856</v>
      </c>
      <c r="X190" s="46">
        <v>8.3200136328210306</v>
      </c>
    </row>
    <row r="191" spans="1:24" s="4" customFormat="1" ht="15" customHeight="1">
      <c r="A191" s="28" t="s">
        <v>3483</v>
      </c>
      <c r="B191" s="29">
        <v>3387.15</v>
      </c>
      <c r="C191" s="30" t="s">
        <v>3858</v>
      </c>
      <c r="D191" s="2">
        <v>4951647186</v>
      </c>
      <c r="E191" s="2" t="s">
        <v>33</v>
      </c>
      <c r="F191" s="2" t="s">
        <v>3859</v>
      </c>
      <c r="G191" s="28" t="s">
        <v>5</v>
      </c>
      <c r="H191" s="2" t="s">
        <v>20</v>
      </c>
      <c r="I191" s="2">
        <v>1</v>
      </c>
      <c r="J191" s="2" t="s">
        <v>3860</v>
      </c>
      <c r="K191" s="2">
        <v>15120</v>
      </c>
      <c r="L191" s="35">
        <v>51213708</v>
      </c>
      <c r="M191" s="36">
        <v>24000</v>
      </c>
      <c r="N191" s="40">
        <v>766316</v>
      </c>
      <c r="O191" s="40">
        <v>322540</v>
      </c>
      <c r="P191" s="40">
        <v>498561</v>
      </c>
      <c r="Q191" s="40">
        <v>120095</v>
      </c>
      <c r="R191" s="40">
        <v>840536</v>
      </c>
      <c r="S191" s="40">
        <v>354356</v>
      </c>
      <c r="T191" s="40"/>
      <c r="U191" s="40">
        <v>4297100</v>
      </c>
      <c r="V191" s="40">
        <v>0</v>
      </c>
      <c r="W191" s="45">
        <v>7199504</v>
      </c>
      <c r="X191" s="46">
        <v>14.0577675024038</v>
      </c>
    </row>
    <row r="193" spans="1:24" ht="15" customHeight="1">
      <c r="A193" s="31" t="s">
        <v>3483</v>
      </c>
      <c r="B193" s="31"/>
      <c r="C193" s="31"/>
      <c r="D193" s="31"/>
      <c r="E193" s="31"/>
      <c r="F193" s="32">
        <v>7</v>
      </c>
      <c r="G193" s="31"/>
      <c r="H193" s="31"/>
      <c r="I193" s="38"/>
      <c r="J193" s="31"/>
      <c r="K193" s="39">
        <f>+SUM(K182:K191)</f>
        <v>160820.54699999999</v>
      </c>
      <c r="L193" s="39">
        <f>+SUM(L182:L191)</f>
        <v>544723315.77104998</v>
      </c>
      <c r="M193" s="31"/>
      <c r="N193" s="39"/>
      <c r="O193" s="39"/>
      <c r="P193" s="39"/>
      <c r="Q193" s="39"/>
      <c r="R193" s="39"/>
      <c r="S193" s="39"/>
      <c r="T193" s="39"/>
      <c r="U193" s="39"/>
      <c r="V193" s="31"/>
      <c r="W193" s="39">
        <f>+SUM(W182:W191)</f>
        <v>52458810</v>
      </c>
      <c r="X193" s="47">
        <f>(W193/L193)*100</f>
        <v>9.630358841120124</v>
      </c>
    </row>
    <row r="195" spans="1:24" s="4" customFormat="1" ht="15" customHeight="1">
      <c r="A195" s="79" t="s">
        <v>3955</v>
      </c>
      <c r="B195" s="80">
        <v>3394.61</v>
      </c>
      <c r="C195" s="81" t="s">
        <v>3966</v>
      </c>
      <c r="D195" s="82">
        <v>4951772321</v>
      </c>
      <c r="E195" s="82" t="s">
        <v>33</v>
      </c>
      <c r="F195" s="82" t="s">
        <v>3967</v>
      </c>
      <c r="G195" s="79" t="s">
        <v>5</v>
      </c>
      <c r="H195" s="2" t="s">
        <v>20</v>
      </c>
      <c r="I195" s="2">
        <v>1</v>
      </c>
      <c r="J195" s="2" t="s">
        <v>3968</v>
      </c>
      <c r="K195" s="2">
        <v>32846.99</v>
      </c>
      <c r="L195" s="35">
        <v>111502720.72389999</v>
      </c>
      <c r="M195" s="36">
        <v>7348.32</v>
      </c>
      <c r="N195" s="40">
        <v>351671</v>
      </c>
      <c r="O195" s="40">
        <v>346986</v>
      </c>
      <c r="P195" s="40">
        <v>0</v>
      </c>
      <c r="Q195" s="40">
        <v>99309</v>
      </c>
      <c r="R195" s="40">
        <v>859738</v>
      </c>
      <c r="S195" s="40">
        <v>354356</v>
      </c>
      <c r="T195" s="40"/>
      <c r="U195" s="40">
        <v>2910000</v>
      </c>
      <c r="V195" s="40">
        <v>0</v>
      </c>
      <c r="W195" s="45">
        <v>4922060</v>
      </c>
      <c r="X195" s="46">
        <v>4.4142958737194151</v>
      </c>
    </row>
    <row r="196" spans="1:24" s="4" customFormat="1" ht="15" customHeight="1">
      <c r="A196" s="79" t="s">
        <v>3955</v>
      </c>
      <c r="B196" s="80">
        <v>3394.61</v>
      </c>
      <c r="C196" s="81" t="s">
        <v>3997</v>
      </c>
      <c r="D196" s="82">
        <v>4952425883</v>
      </c>
      <c r="E196" s="82" t="s">
        <v>33</v>
      </c>
      <c r="F196" s="82" t="s">
        <v>3998</v>
      </c>
      <c r="G196" s="79" t="s">
        <v>5</v>
      </c>
      <c r="H196" s="2" t="s">
        <v>20</v>
      </c>
      <c r="I196" s="2">
        <v>1</v>
      </c>
      <c r="J196" s="2" t="s">
        <v>3999</v>
      </c>
      <c r="K196" s="2">
        <v>2500</v>
      </c>
      <c r="L196" s="35">
        <v>8486525</v>
      </c>
      <c r="M196" s="36">
        <v>1650</v>
      </c>
      <c r="N196" s="40">
        <v>99467.229037960104</v>
      </c>
      <c r="O196" s="40">
        <v>43373.25</v>
      </c>
      <c r="P196" s="40">
        <v>40615.717810952199</v>
      </c>
      <c r="Q196" s="40">
        <v>12413.625</v>
      </c>
      <c r="R196" s="40">
        <v>164000.28001890099</v>
      </c>
      <c r="S196" s="40">
        <v>102327.202086141</v>
      </c>
      <c r="T196" s="48"/>
      <c r="U196" s="55">
        <v>840319.22154745401</v>
      </c>
      <c r="V196" s="55">
        <v>0</v>
      </c>
      <c r="W196" s="45">
        <v>1302516.5255014081</v>
      </c>
      <c r="X196" s="46">
        <v>15.348055010754202</v>
      </c>
    </row>
    <row r="197" spans="1:24" s="4" customFormat="1" ht="15" customHeight="1">
      <c r="A197" s="79" t="s">
        <v>3955</v>
      </c>
      <c r="B197" s="80">
        <v>3394.61</v>
      </c>
      <c r="C197" s="81" t="s">
        <v>3997</v>
      </c>
      <c r="D197" s="82">
        <v>4952425883</v>
      </c>
      <c r="E197" s="82" t="s">
        <v>33</v>
      </c>
      <c r="F197" s="82" t="s">
        <v>3998</v>
      </c>
      <c r="G197" s="79" t="s">
        <v>5</v>
      </c>
      <c r="H197" s="2" t="s">
        <v>20</v>
      </c>
      <c r="I197" s="2">
        <v>1</v>
      </c>
      <c r="J197" s="2" t="s">
        <v>3999</v>
      </c>
      <c r="K197" s="2">
        <v>6296.4</v>
      </c>
      <c r="L197" s="35">
        <v>21373822.403999999</v>
      </c>
      <c r="M197" s="36">
        <v>1980</v>
      </c>
      <c r="N197" s="40">
        <v>119360.674845552</v>
      </c>
      <c r="O197" s="40">
        <v>43373.25</v>
      </c>
      <c r="P197" s="40">
        <v>48738.861373142703</v>
      </c>
      <c r="Q197" s="40">
        <v>12413.625</v>
      </c>
      <c r="R197" s="40">
        <v>196800.33602268199</v>
      </c>
      <c r="S197" s="40">
        <v>122792.642503369</v>
      </c>
      <c r="T197" s="48"/>
      <c r="U197" s="55">
        <v>1008383.06585695</v>
      </c>
      <c r="V197" s="55">
        <v>0</v>
      </c>
      <c r="W197" s="45">
        <v>1551862.4556016957</v>
      </c>
      <c r="X197" s="46">
        <v>7.2605752320243511</v>
      </c>
    </row>
    <row r="198" spans="1:24" s="4" customFormat="1" ht="15" customHeight="1">
      <c r="A198" s="79" t="s">
        <v>3955</v>
      </c>
      <c r="B198" s="80">
        <v>3394.61</v>
      </c>
      <c r="C198" s="81" t="s">
        <v>3997</v>
      </c>
      <c r="D198" s="82">
        <v>4952425883</v>
      </c>
      <c r="E198" s="82" t="s">
        <v>33</v>
      </c>
      <c r="F198" s="82" t="s">
        <v>3998</v>
      </c>
      <c r="G198" s="79" t="s">
        <v>5</v>
      </c>
      <c r="H198" s="2" t="s">
        <v>20</v>
      </c>
      <c r="I198" s="2">
        <v>1</v>
      </c>
      <c r="J198" s="2" t="s">
        <v>3999</v>
      </c>
      <c r="K198" s="2">
        <v>3200</v>
      </c>
      <c r="L198" s="35">
        <v>10862752</v>
      </c>
      <c r="M198" s="36">
        <v>200</v>
      </c>
      <c r="N198" s="40">
        <v>12056.633822783</v>
      </c>
      <c r="O198" s="40">
        <v>43373.25</v>
      </c>
      <c r="P198" s="40">
        <v>4923.11731041845</v>
      </c>
      <c r="Q198" s="40">
        <v>12413.625</v>
      </c>
      <c r="R198" s="40">
        <v>19878.821820472898</v>
      </c>
      <c r="S198" s="40">
        <v>12403.2972225625</v>
      </c>
      <c r="T198" s="48"/>
      <c r="U198" s="55">
        <v>101856.875339085</v>
      </c>
      <c r="V198" s="55">
        <v>0</v>
      </c>
      <c r="W198" s="45">
        <v>206905.62051532185</v>
      </c>
      <c r="X198" s="46">
        <v>1.9047256212359618</v>
      </c>
    </row>
    <row r="199" spans="1:24" s="4" customFormat="1" ht="15" customHeight="1">
      <c r="A199" s="79" t="s">
        <v>3955</v>
      </c>
      <c r="B199" s="80">
        <v>3394.61</v>
      </c>
      <c r="C199" s="81" t="s">
        <v>3997</v>
      </c>
      <c r="D199" s="82">
        <v>4952425883</v>
      </c>
      <c r="E199" s="82" t="s">
        <v>33</v>
      </c>
      <c r="F199" s="82" t="s">
        <v>3998</v>
      </c>
      <c r="G199" s="79" t="s">
        <v>5</v>
      </c>
      <c r="H199" s="2" t="s">
        <v>20</v>
      </c>
      <c r="I199" s="2">
        <v>1</v>
      </c>
      <c r="J199" s="2" t="s">
        <v>3999</v>
      </c>
      <c r="K199" s="2">
        <v>1248</v>
      </c>
      <c r="L199" s="35">
        <v>4236473.28</v>
      </c>
      <c r="M199" s="36">
        <v>65</v>
      </c>
      <c r="N199" s="40">
        <v>3918.40599240449</v>
      </c>
      <c r="O199" s="40">
        <v>43373.25</v>
      </c>
      <c r="P199" s="40">
        <v>1600.0131258859999</v>
      </c>
      <c r="Q199" s="40">
        <v>12413.625</v>
      </c>
      <c r="R199" s="40">
        <v>6460.6170916536903</v>
      </c>
      <c r="S199" s="40">
        <v>4031.0715973328201</v>
      </c>
      <c r="T199" s="48"/>
      <c r="U199" s="55">
        <v>33103.484485202804</v>
      </c>
      <c r="V199" s="55">
        <v>0</v>
      </c>
      <c r="W199" s="45">
        <v>104900.46729247981</v>
      </c>
      <c r="X199" s="46">
        <v>2.4761272020221452</v>
      </c>
    </row>
    <row r="200" spans="1:24" s="4" customFormat="1" ht="15" customHeight="1">
      <c r="A200" s="79" t="s">
        <v>3955</v>
      </c>
      <c r="B200" s="80">
        <v>3394.61</v>
      </c>
      <c r="C200" s="81" t="s">
        <v>3997</v>
      </c>
      <c r="D200" s="82">
        <v>4952425883</v>
      </c>
      <c r="E200" s="82" t="s">
        <v>33</v>
      </c>
      <c r="F200" s="82" t="s">
        <v>3998</v>
      </c>
      <c r="G200" s="79" t="s">
        <v>5</v>
      </c>
      <c r="H200" s="2" t="s">
        <v>20</v>
      </c>
      <c r="I200" s="2">
        <v>1</v>
      </c>
      <c r="J200" s="2" t="s">
        <v>3999</v>
      </c>
      <c r="K200" s="2">
        <v>4717</v>
      </c>
      <c r="L200" s="35">
        <v>16012375.370000001</v>
      </c>
      <c r="M200" s="36">
        <v>53</v>
      </c>
      <c r="N200" s="40">
        <v>79875.199075937606</v>
      </c>
      <c r="O200" s="40">
        <v>43373.25</v>
      </c>
      <c r="P200" s="40">
        <v>32615.652181522299</v>
      </c>
      <c r="Q200" s="40">
        <v>12413.625</v>
      </c>
      <c r="R200" s="40">
        <v>131697.19456063301</v>
      </c>
      <c r="S200" s="40">
        <v>82171.844099476701</v>
      </c>
      <c r="T200" s="48"/>
      <c r="U200" s="55">
        <v>674801.79912144097</v>
      </c>
      <c r="V200" s="55">
        <v>0</v>
      </c>
      <c r="W200" s="45">
        <v>1056948.5640390106</v>
      </c>
      <c r="X200" s="46">
        <v>6.60082304852319</v>
      </c>
    </row>
    <row r="201" spans="1:24" s="4" customFormat="1" ht="15" customHeight="1">
      <c r="A201" s="79" t="s">
        <v>3955</v>
      </c>
      <c r="B201" s="80">
        <v>3394.61</v>
      </c>
      <c r="C201" s="81" t="s">
        <v>3997</v>
      </c>
      <c r="D201" s="82">
        <v>4952425883</v>
      </c>
      <c r="E201" s="82" t="s">
        <v>33</v>
      </c>
      <c r="F201" s="82" t="s">
        <v>3998</v>
      </c>
      <c r="G201" s="79" t="s">
        <v>5</v>
      </c>
      <c r="H201" s="2" t="s">
        <v>20</v>
      </c>
      <c r="I201" s="2">
        <v>1</v>
      </c>
      <c r="J201" s="2" t="s">
        <v>3999</v>
      </c>
      <c r="K201" s="2">
        <v>1225.6300000000001</v>
      </c>
      <c r="L201" s="35">
        <v>4160535.8543000007</v>
      </c>
      <c r="M201" s="36">
        <v>53</v>
      </c>
      <c r="N201" s="40">
        <v>7987.5199075937599</v>
      </c>
      <c r="O201" s="40">
        <v>43373.25</v>
      </c>
      <c r="P201" s="40">
        <v>3261.56521815223</v>
      </c>
      <c r="Q201" s="40">
        <v>12413.625</v>
      </c>
      <c r="R201" s="40">
        <v>13169.7194560633</v>
      </c>
      <c r="S201" s="40">
        <v>8217.1844099476693</v>
      </c>
      <c r="T201" s="48"/>
      <c r="U201" s="55">
        <v>67480.1799121441</v>
      </c>
      <c r="V201" s="55">
        <v>0</v>
      </c>
      <c r="W201" s="45">
        <v>155903.04390390107</v>
      </c>
      <c r="X201" s="46">
        <v>3.7471866452676283</v>
      </c>
    </row>
    <row r="202" spans="1:24" s="4" customFormat="1" ht="15" customHeight="1">
      <c r="A202" s="79" t="s">
        <v>3955</v>
      </c>
      <c r="B202" s="80">
        <v>3394.61</v>
      </c>
      <c r="C202" s="81" t="s">
        <v>3997</v>
      </c>
      <c r="D202" s="82">
        <v>4952425883</v>
      </c>
      <c r="E202" s="82" t="s">
        <v>33</v>
      </c>
      <c r="F202" s="82" t="s">
        <v>3998</v>
      </c>
      <c r="G202" s="79" t="s">
        <v>5</v>
      </c>
      <c r="H202" s="2" t="s">
        <v>20</v>
      </c>
      <c r="I202" s="2">
        <v>1</v>
      </c>
      <c r="J202" s="2" t="s">
        <v>3999</v>
      </c>
      <c r="K202" s="2">
        <v>1170.8800000000001</v>
      </c>
      <c r="L202" s="35">
        <v>3974680.9568000007</v>
      </c>
      <c r="M202" s="36">
        <v>328.9</v>
      </c>
      <c r="N202" s="40">
        <v>19827.1343215667</v>
      </c>
      <c r="O202" s="40">
        <v>43373.25</v>
      </c>
      <c r="P202" s="40">
        <v>8096.0664169831498</v>
      </c>
      <c r="Q202" s="40">
        <v>12413.625</v>
      </c>
      <c r="R202" s="40">
        <v>32690.722483767699</v>
      </c>
      <c r="S202" s="40">
        <v>20397.222282504099</v>
      </c>
      <c r="T202" s="48"/>
      <c r="U202" s="55">
        <v>167503.631495126</v>
      </c>
      <c r="V202" s="55">
        <v>0</v>
      </c>
      <c r="W202" s="45">
        <v>304301.65199994761</v>
      </c>
      <c r="X202" s="46">
        <v>7.656001961096762</v>
      </c>
    </row>
    <row r="203" spans="1:24" s="4" customFormat="1" ht="15" customHeight="1">
      <c r="A203" s="79" t="s">
        <v>3955</v>
      </c>
      <c r="B203" s="80">
        <v>3394.61</v>
      </c>
      <c r="C203" s="81" t="s">
        <v>3997</v>
      </c>
      <c r="D203" s="82">
        <v>4952425883</v>
      </c>
      <c r="E203" s="82" t="s">
        <v>33</v>
      </c>
      <c r="F203" s="82" t="s">
        <v>3998</v>
      </c>
      <c r="G203" s="79" t="s">
        <v>5</v>
      </c>
      <c r="H203" s="2" t="s">
        <v>20</v>
      </c>
      <c r="I203" s="2">
        <v>1</v>
      </c>
      <c r="J203" s="2" t="s">
        <v>3999</v>
      </c>
      <c r="K203" s="2">
        <v>435.83</v>
      </c>
      <c r="L203" s="35">
        <v>1479472.8762999999</v>
      </c>
      <c r="M203" s="36">
        <v>32.5</v>
      </c>
      <c r="N203" s="40">
        <v>1959.20299620224</v>
      </c>
      <c r="O203" s="40">
        <v>43373.25</v>
      </c>
      <c r="P203" s="40">
        <v>800.00656294299904</v>
      </c>
      <c r="Q203" s="40">
        <v>12413.625</v>
      </c>
      <c r="R203" s="40">
        <v>3230.3085458268401</v>
      </c>
      <c r="S203" s="40">
        <v>2015.5357986664101</v>
      </c>
      <c r="T203" s="48"/>
      <c r="U203" s="55">
        <v>16551.742242601402</v>
      </c>
      <c r="V203" s="55">
        <v>0</v>
      </c>
      <c r="W203" s="45">
        <v>80343.671146239882</v>
      </c>
      <c r="X203" s="46">
        <v>5.4305606025823616</v>
      </c>
    </row>
    <row r="204" spans="1:24" s="4" customFormat="1" ht="15" customHeight="1">
      <c r="A204" s="79" t="s">
        <v>3955</v>
      </c>
      <c r="B204" s="80">
        <v>3394.61</v>
      </c>
      <c r="C204" s="81" t="s">
        <v>4082</v>
      </c>
      <c r="D204" s="82" t="s">
        <v>4083</v>
      </c>
      <c r="E204" s="82" t="s">
        <v>33</v>
      </c>
      <c r="F204" s="82" t="s">
        <v>4084</v>
      </c>
      <c r="G204" s="79" t="s">
        <v>5</v>
      </c>
      <c r="H204" s="2" t="s">
        <v>17</v>
      </c>
      <c r="I204" s="2">
        <v>1</v>
      </c>
      <c r="J204" s="2" t="s">
        <v>4085</v>
      </c>
      <c r="K204" s="2">
        <v>16950</v>
      </c>
      <c r="L204" s="35">
        <v>57538639.5</v>
      </c>
      <c r="M204" s="36">
        <v>25000</v>
      </c>
      <c r="N204" s="40">
        <v>888545</v>
      </c>
      <c r="O204" s="40">
        <v>455205</v>
      </c>
      <c r="P204" s="40">
        <v>1892827</v>
      </c>
      <c r="Q204" s="40">
        <v>99309</v>
      </c>
      <c r="R204" s="40">
        <v>927470</v>
      </c>
      <c r="S204" s="40">
        <v>354356</v>
      </c>
      <c r="T204" s="40"/>
      <c r="U204" s="40">
        <v>5111900</v>
      </c>
      <c r="V204" s="40">
        <v>0</v>
      </c>
      <c r="W204" s="45">
        <v>9729612</v>
      </c>
      <c r="X204" s="46">
        <v>16.909701175676911</v>
      </c>
    </row>
    <row r="205" spans="1:24" s="4" customFormat="1" ht="15" customHeight="1">
      <c r="A205" s="79" t="s">
        <v>3955</v>
      </c>
      <c r="B205" s="80">
        <v>3394.61</v>
      </c>
      <c r="C205" s="81" t="s">
        <v>4105</v>
      </c>
      <c r="D205" s="82">
        <v>4951930705</v>
      </c>
      <c r="E205" s="82" t="s">
        <v>33</v>
      </c>
      <c r="F205" s="82" t="s">
        <v>4106</v>
      </c>
      <c r="G205" s="79" t="s">
        <v>5</v>
      </c>
      <c r="H205" s="2" t="s">
        <v>17</v>
      </c>
      <c r="I205" s="2">
        <v>3</v>
      </c>
      <c r="J205" s="2" t="s">
        <v>4107</v>
      </c>
      <c r="K205" s="2">
        <v>14665.2</v>
      </c>
      <c r="L205" s="35">
        <v>49782634.572000004</v>
      </c>
      <c r="M205" s="36">
        <v>170</v>
      </c>
      <c r="N205" s="40">
        <v>190599.934349355</v>
      </c>
      <c r="O205" s="40">
        <v>273123</v>
      </c>
      <c r="P205" s="40">
        <v>0</v>
      </c>
      <c r="Q205" s="40">
        <v>59585.599999999999</v>
      </c>
      <c r="R205" s="40">
        <v>331512.67526377499</v>
      </c>
      <c r="S205" s="40">
        <v>56497.556858147698</v>
      </c>
      <c r="T205" s="48"/>
      <c r="U205" s="40">
        <v>2272642.9073856999</v>
      </c>
      <c r="V205" s="40">
        <v>0</v>
      </c>
      <c r="W205" s="45">
        <v>3183961.6738569774</v>
      </c>
      <c r="X205" s="46">
        <v>6.3957275488344303</v>
      </c>
    </row>
    <row r="206" spans="1:24" s="4" customFormat="1" ht="15" customHeight="1">
      <c r="A206" s="79" t="s">
        <v>3955</v>
      </c>
      <c r="B206" s="80">
        <v>3394.61</v>
      </c>
      <c r="C206" s="81" t="s">
        <v>4105</v>
      </c>
      <c r="D206" s="82">
        <v>4951930705</v>
      </c>
      <c r="E206" s="82" t="s">
        <v>33</v>
      </c>
      <c r="F206" s="82" t="s">
        <v>4106</v>
      </c>
      <c r="G206" s="79" t="s">
        <v>5</v>
      </c>
      <c r="H206" s="2" t="s">
        <v>17</v>
      </c>
      <c r="I206" s="2">
        <v>3</v>
      </c>
      <c r="J206" s="2" t="s">
        <v>4107</v>
      </c>
      <c r="K206" s="2">
        <v>16500</v>
      </c>
      <c r="L206" s="35">
        <v>56011065</v>
      </c>
      <c r="M206" s="36">
        <v>125</v>
      </c>
      <c r="N206" s="40">
        <v>140147.010550996</v>
      </c>
      <c r="O206" s="40">
        <v>273123</v>
      </c>
      <c r="P206" s="40">
        <v>0</v>
      </c>
      <c r="Q206" s="40">
        <v>59585.599999999999</v>
      </c>
      <c r="R206" s="40">
        <v>243759.320046893</v>
      </c>
      <c r="S206" s="40">
        <v>41542.321219226302</v>
      </c>
      <c r="T206" s="48"/>
      <c r="U206" s="40">
        <v>1671060.96131301</v>
      </c>
      <c r="V206" s="40">
        <v>0</v>
      </c>
      <c r="W206" s="45">
        <v>2429218.2131301253</v>
      </c>
      <c r="X206" s="46">
        <v>4.3370327151074983</v>
      </c>
    </row>
    <row r="207" spans="1:24" s="4" customFormat="1" ht="15" customHeight="1">
      <c r="A207" s="79" t="s">
        <v>3955</v>
      </c>
      <c r="B207" s="80">
        <v>3394.61</v>
      </c>
      <c r="C207" s="81" t="s">
        <v>4105</v>
      </c>
      <c r="D207" s="82">
        <v>4951930705</v>
      </c>
      <c r="E207" s="82" t="s">
        <v>33</v>
      </c>
      <c r="F207" s="82" t="s">
        <v>4106</v>
      </c>
      <c r="G207" s="79" t="s">
        <v>5</v>
      </c>
      <c r="H207" s="2" t="s">
        <v>17</v>
      </c>
      <c r="I207" s="2">
        <v>3</v>
      </c>
      <c r="J207" s="2" t="s">
        <v>4107</v>
      </c>
      <c r="K207" s="2">
        <v>10078.5</v>
      </c>
      <c r="L207" s="35">
        <v>34212576.884999998</v>
      </c>
      <c r="M207" s="36">
        <v>300</v>
      </c>
      <c r="N207" s="40">
        <v>556294.87211410701</v>
      </c>
      <c r="O207" s="40">
        <v>273123</v>
      </c>
      <c r="P207" s="40">
        <v>0</v>
      </c>
      <c r="Q207" s="40">
        <v>59585.599999999999</v>
      </c>
      <c r="R207" s="40">
        <v>967570.11968346999</v>
      </c>
      <c r="S207" s="40">
        <v>164896.70510355601</v>
      </c>
      <c r="T207" s="48"/>
      <c r="U207" s="40">
        <v>6633053.6778038302</v>
      </c>
      <c r="V207" s="40">
        <v>0</v>
      </c>
      <c r="W207" s="45">
        <v>8654523.9747049622</v>
      </c>
      <c r="X207" s="46">
        <v>25.296323056271774</v>
      </c>
    </row>
    <row r="208" spans="1:24" s="4" customFormat="1" ht="15" customHeight="1">
      <c r="A208" s="79" t="s">
        <v>3955</v>
      </c>
      <c r="B208" s="80">
        <v>3394.61</v>
      </c>
      <c r="C208" s="81" t="s">
        <v>4105</v>
      </c>
      <c r="D208" s="82">
        <v>4951930705</v>
      </c>
      <c r="E208" s="82" t="s">
        <v>33</v>
      </c>
      <c r="F208" s="82" t="s">
        <v>4106</v>
      </c>
      <c r="G208" s="79" t="s">
        <v>5</v>
      </c>
      <c r="H208" s="2" t="s">
        <v>17</v>
      </c>
      <c r="I208" s="2">
        <v>3</v>
      </c>
      <c r="J208" s="2" t="s">
        <v>4107</v>
      </c>
      <c r="K208" s="2">
        <v>28058.080000000002</v>
      </c>
      <c r="L208" s="35">
        <v>95246238.948800012</v>
      </c>
      <c r="M208" s="36">
        <v>900</v>
      </c>
      <c r="N208" s="40">
        <v>308412.182985541</v>
      </c>
      <c r="O208" s="40">
        <v>273123</v>
      </c>
      <c r="P208" s="40">
        <v>0</v>
      </c>
      <c r="Q208" s="40">
        <v>59585.599999999999</v>
      </c>
      <c r="R208" s="40">
        <v>536424.88500586199</v>
      </c>
      <c r="S208" s="40">
        <v>91419.41681907</v>
      </c>
      <c r="T208" s="48"/>
      <c r="U208" s="40">
        <v>3677392.4534974601</v>
      </c>
      <c r="V208" s="40">
        <v>0</v>
      </c>
      <c r="W208" s="45">
        <v>4946357.5383079331</v>
      </c>
      <c r="X208" s="46">
        <v>5.1932313473993093</v>
      </c>
    </row>
    <row r="209" spans="1:24" s="4" customFormat="1" ht="15" customHeight="1">
      <c r="A209" s="79" t="s">
        <v>3955</v>
      </c>
      <c r="B209" s="80">
        <v>3394.61</v>
      </c>
      <c r="C209" s="81" t="s">
        <v>4105</v>
      </c>
      <c r="D209" s="82">
        <v>4951930705</v>
      </c>
      <c r="E209" s="82" t="s">
        <v>33</v>
      </c>
      <c r="F209" s="82" t="s">
        <v>4106</v>
      </c>
      <c r="G209" s="79" t="s">
        <v>5</v>
      </c>
      <c r="H209" s="2" t="s">
        <v>17</v>
      </c>
      <c r="I209" s="2">
        <v>3</v>
      </c>
      <c r="J209" s="2" t="s">
        <v>4107</v>
      </c>
      <c r="K209" s="2">
        <v>5938.8</v>
      </c>
      <c r="L209" s="35">
        <v>20159909.868000001</v>
      </c>
      <c r="M209" s="36">
        <v>170</v>
      </c>
      <c r="N209" s="40">
        <v>190599.934349355</v>
      </c>
      <c r="O209" s="40">
        <v>273123</v>
      </c>
      <c r="P209" s="40">
        <v>0</v>
      </c>
      <c r="Q209" s="40">
        <v>59585.599999999999</v>
      </c>
      <c r="R209" s="40">
        <v>331512.67526377499</v>
      </c>
      <c r="S209" s="40">
        <v>56497.556858147698</v>
      </c>
      <c r="T209" s="40"/>
      <c r="U209" s="40">
        <v>2272642.9073856999</v>
      </c>
      <c r="V209" s="40">
        <v>0</v>
      </c>
      <c r="W209" s="45">
        <v>3183961.6738569774</v>
      </c>
      <c r="X209" s="46">
        <v>15.79353129406053</v>
      </c>
    </row>
    <row r="210" spans="1:24" s="4" customFormat="1" ht="15" customHeight="1">
      <c r="A210" s="79" t="s">
        <v>3955</v>
      </c>
      <c r="B210" s="80">
        <v>3394.61</v>
      </c>
      <c r="C210" s="81" t="s">
        <v>4190</v>
      </c>
      <c r="D210" s="82">
        <v>4951930704</v>
      </c>
      <c r="E210" s="82" t="s">
        <v>33</v>
      </c>
      <c r="F210" s="82" t="s">
        <v>4191</v>
      </c>
      <c r="G210" s="79" t="s">
        <v>9</v>
      </c>
      <c r="H210" s="2" t="s">
        <v>23</v>
      </c>
      <c r="I210" s="2">
        <v>4</v>
      </c>
      <c r="J210" s="2"/>
      <c r="K210" s="2">
        <v>4667.2299999999996</v>
      </c>
      <c r="L210" s="35">
        <v>15843425.630299998</v>
      </c>
      <c r="M210" s="36">
        <v>315</v>
      </c>
      <c r="N210" s="40">
        <v>783365.10499615897</v>
      </c>
      <c r="O210" s="40">
        <v>223</v>
      </c>
      <c r="P210" s="40">
        <v>16226.234010997799</v>
      </c>
      <c r="Q210" s="40">
        <v>4229</v>
      </c>
      <c r="R210" s="40">
        <v>125783.988089534</v>
      </c>
      <c r="S210" s="40">
        <v>273451.43763737701</v>
      </c>
      <c r="T210" s="48"/>
      <c r="U210" s="40">
        <v>1669233.2139244501</v>
      </c>
      <c r="V210" s="40">
        <v>0</v>
      </c>
      <c r="W210" s="45">
        <v>2872511.9786585178</v>
      </c>
      <c r="X210" s="46">
        <v>18.130624308703407</v>
      </c>
    </row>
    <row r="211" spans="1:24" s="4" customFormat="1" ht="15" customHeight="1">
      <c r="A211" s="79" t="s">
        <v>3955</v>
      </c>
      <c r="B211" s="80">
        <v>3394.61</v>
      </c>
      <c r="C211" s="81" t="s">
        <v>4190</v>
      </c>
      <c r="D211" s="82">
        <v>4951930704</v>
      </c>
      <c r="E211" s="82" t="s">
        <v>33</v>
      </c>
      <c r="F211" s="82" t="s">
        <v>4191</v>
      </c>
      <c r="G211" s="79" t="s">
        <v>9</v>
      </c>
      <c r="H211" s="2" t="s">
        <v>23</v>
      </c>
      <c r="I211" s="2">
        <v>4</v>
      </c>
      <c r="J211" s="2"/>
      <c r="K211" s="2">
        <v>2716.76</v>
      </c>
      <c r="L211" s="35">
        <v>9222340.6636000015</v>
      </c>
      <c r="M211" s="36">
        <v>315</v>
      </c>
      <c r="N211" s="40">
        <v>231769.895003841</v>
      </c>
      <c r="O211" s="40">
        <v>223</v>
      </c>
      <c r="P211" s="40">
        <v>4800.7659890022096</v>
      </c>
      <c r="Q211" s="40">
        <v>4229</v>
      </c>
      <c r="R211" s="40">
        <v>37215.011910466201</v>
      </c>
      <c r="S211" s="40">
        <v>80904.562362622702</v>
      </c>
      <c r="T211" s="48"/>
      <c r="U211" s="40">
        <v>493866.78607555502</v>
      </c>
      <c r="V211" s="40">
        <v>0</v>
      </c>
      <c r="W211" s="45">
        <v>853009.02134148707</v>
      </c>
      <c r="X211" s="46">
        <v>9.2493766220137577</v>
      </c>
    </row>
    <row r="212" spans="1:24" s="4" customFormat="1" ht="15" customHeight="1">
      <c r="A212" s="79" t="s">
        <v>3955</v>
      </c>
      <c r="B212" s="80">
        <v>3394.61</v>
      </c>
      <c r="C212" s="81" t="s">
        <v>4284</v>
      </c>
      <c r="D212" s="82">
        <v>4953420338</v>
      </c>
      <c r="E212" s="82" t="s">
        <v>33</v>
      </c>
      <c r="F212" s="82" t="s">
        <v>4285</v>
      </c>
      <c r="G212" s="79" t="s">
        <v>13</v>
      </c>
      <c r="H212" s="2" t="s">
        <v>23</v>
      </c>
      <c r="I212" s="2">
        <v>1</v>
      </c>
      <c r="J212" s="2"/>
      <c r="K212" s="2">
        <v>11590</v>
      </c>
      <c r="L212" s="35">
        <v>39343529.899999999</v>
      </c>
      <c r="M212" s="36">
        <v>20</v>
      </c>
      <c r="N212" s="40">
        <v>877463</v>
      </c>
      <c r="O212" s="40">
        <v>0</v>
      </c>
      <c r="P212" s="40">
        <v>0</v>
      </c>
      <c r="Q212" s="40">
        <v>0</v>
      </c>
      <c r="R212" s="40">
        <v>6509</v>
      </c>
      <c r="S212" s="40">
        <v>354356</v>
      </c>
      <c r="T212" s="40"/>
      <c r="U212" s="40">
        <v>246380</v>
      </c>
      <c r="V212" s="40">
        <v>0</v>
      </c>
      <c r="W212" s="45">
        <v>1484708</v>
      </c>
      <c r="X212" s="46">
        <v>3.7737030809734238</v>
      </c>
    </row>
    <row r="213" spans="1:24" s="4" customFormat="1" ht="15" customHeight="1">
      <c r="A213" s="79" t="s">
        <v>3955</v>
      </c>
      <c r="B213" s="80">
        <v>3394.61</v>
      </c>
      <c r="C213" s="81" t="s">
        <v>4296</v>
      </c>
      <c r="D213" s="82">
        <v>4951930705</v>
      </c>
      <c r="E213" s="82" t="s">
        <v>33</v>
      </c>
      <c r="F213" s="82" t="s">
        <v>4297</v>
      </c>
      <c r="G213" s="79" t="s">
        <v>5</v>
      </c>
      <c r="H213" s="2" t="s">
        <v>17</v>
      </c>
      <c r="I213" s="2">
        <v>1</v>
      </c>
      <c r="J213" s="2" t="s">
        <v>4298</v>
      </c>
      <c r="K213" s="2">
        <v>33242.1</v>
      </c>
      <c r="L213" s="35">
        <v>112843965.081</v>
      </c>
      <c r="M213" s="85">
        <v>5461.9</v>
      </c>
      <c r="N213" s="40">
        <v>253825.52311435499</v>
      </c>
      <c r="O213" s="40">
        <v>227602.5</v>
      </c>
      <c r="P213" s="40">
        <v>0</v>
      </c>
      <c r="Q213" s="40">
        <v>49654.5</v>
      </c>
      <c r="R213" s="40">
        <v>459832.17817518202</v>
      </c>
      <c r="S213" s="40">
        <v>235457.060389294</v>
      </c>
      <c r="T213" s="48"/>
      <c r="U213" s="40">
        <v>3135642.23783455</v>
      </c>
      <c r="V213" s="40">
        <v>0</v>
      </c>
      <c r="W213" s="45">
        <v>4362013.9995133812</v>
      </c>
      <c r="X213" s="46">
        <v>3.8655270544439873</v>
      </c>
    </row>
    <row r="214" spans="1:24" s="4" customFormat="1" ht="15" customHeight="1">
      <c r="A214" s="79" t="s">
        <v>3955</v>
      </c>
      <c r="B214" s="80">
        <v>3394.61</v>
      </c>
      <c r="C214" s="81" t="s">
        <v>4296</v>
      </c>
      <c r="D214" s="82">
        <v>4951930705</v>
      </c>
      <c r="E214" s="82" t="s">
        <v>33</v>
      </c>
      <c r="F214" s="82" t="s">
        <v>4297</v>
      </c>
      <c r="G214" s="79" t="s">
        <v>5</v>
      </c>
      <c r="H214" s="2" t="s">
        <v>17</v>
      </c>
      <c r="I214" s="2">
        <v>1</v>
      </c>
      <c r="J214" s="2" t="s">
        <v>4298</v>
      </c>
      <c r="K214" s="2">
        <v>12869</v>
      </c>
      <c r="L214" s="35">
        <v>43685236.090000004</v>
      </c>
      <c r="M214" s="85">
        <v>2758.1</v>
      </c>
      <c r="N214" s="40">
        <v>128174.476885645</v>
      </c>
      <c r="O214" s="40">
        <v>227602.5</v>
      </c>
      <c r="P214" s="40">
        <v>0</v>
      </c>
      <c r="Q214" s="40">
        <v>49654.5</v>
      </c>
      <c r="R214" s="40">
        <v>232201.82182481801</v>
      </c>
      <c r="S214" s="40">
        <v>118898.939610706</v>
      </c>
      <c r="T214" s="48"/>
      <c r="U214" s="40">
        <v>1583407.76216545</v>
      </c>
      <c r="V214" s="40">
        <v>0</v>
      </c>
      <c r="W214" s="45">
        <v>2339940.0004866188</v>
      </c>
      <c r="X214" s="46">
        <v>5.3563634076874198</v>
      </c>
    </row>
    <row r="215" spans="1:24" s="4" customFormat="1" ht="15" customHeight="1">
      <c r="A215" s="79" t="s">
        <v>3955</v>
      </c>
      <c r="B215" s="80">
        <v>3394.61</v>
      </c>
      <c r="C215" s="81" t="s">
        <v>4374</v>
      </c>
      <c r="D215" s="82">
        <v>4952570123</v>
      </c>
      <c r="E215" s="82" t="s">
        <v>33</v>
      </c>
      <c r="F215" s="82" t="s">
        <v>4375</v>
      </c>
      <c r="G215" s="79" t="s">
        <v>5</v>
      </c>
      <c r="H215" s="2" t="s">
        <v>17</v>
      </c>
      <c r="I215" s="2">
        <v>1</v>
      </c>
      <c r="J215" s="2" t="s">
        <v>4376</v>
      </c>
      <c r="K215" s="2">
        <v>1111</v>
      </c>
      <c r="L215" s="35">
        <v>3771411.71</v>
      </c>
      <c r="M215" s="36">
        <v>807</v>
      </c>
      <c r="N215" s="62">
        <v>198701.823602652</v>
      </c>
      <c r="O215" s="40">
        <v>113801.25</v>
      </c>
      <c r="P215" s="40">
        <v>0</v>
      </c>
      <c r="Q215" s="40">
        <v>24827.25</v>
      </c>
      <c r="R215" s="62">
        <v>405231.05801393097</v>
      </c>
      <c r="S215" s="62">
        <v>206637.114244372</v>
      </c>
      <c r="T215" s="65"/>
      <c r="U215" s="55">
        <v>2695275.58131709</v>
      </c>
      <c r="V215" s="55">
        <v>0</v>
      </c>
      <c r="W215" s="45">
        <v>3644474.0771780452</v>
      </c>
      <c r="X215" s="46">
        <v>96.634214384884672</v>
      </c>
    </row>
    <row r="216" spans="1:24" s="4" customFormat="1" ht="15" customHeight="1">
      <c r="A216" s="79" t="s">
        <v>3955</v>
      </c>
      <c r="B216" s="80">
        <v>3394.61</v>
      </c>
      <c r="C216" s="81" t="s">
        <v>4374</v>
      </c>
      <c r="D216" s="82">
        <v>4952570123</v>
      </c>
      <c r="E216" s="82" t="s">
        <v>33</v>
      </c>
      <c r="F216" s="82" t="s">
        <v>4375</v>
      </c>
      <c r="G216" s="79" t="s">
        <v>5</v>
      </c>
      <c r="H216" s="2" t="s">
        <v>17</v>
      </c>
      <c r="I216" s="2">
        <v>1</v>
      </c>
      <c r="J216" s="2" t="s">
        <v>4376</v>
      </c>
      <c r="K216" s="2">
        <v>6960.09</v>
      </c>
      <c r="L216" s="35">
        <v>23626791.1149</v>
      </c>
      <c r="M216" s="36">
        <v>807</v>
      </c>
      <c r="N216" s="62">
        <v>58789.932667048102</v>
      </c>
      <c r="O216" s="40">
        <v>113801.25</v>
      </c>
      <c r="P216" s="40">
        <v>0</v>
      </c>
      <c r="Q216" s="40">
        <v>24827.25</v>
      </c>
      <c r="R216" s="62">
        <v>119895.762320109</v>
      </c>
      <c r="S216" s="62">
        <v>61137.7480723716</v>
      </c>
      <c r="T216" s="65"/>
      <c r="U216" s="55">
        <v>797451.51338739903</v>
      </c>
      <c r="V216" s="55">
        <v>0</v>
      </c>
      <c r="W216" s="45">
        <v>1175903.4564469277</v>
      </c>
      <c r="X216" s="46">
        <v>4.9769918002337441</v>
      </c>
    </row>
    <row r="217" spans="1:24" s="4" customFormat="1" ht="15" customHeight="1">
      <c r="A217" s="79" t="s">
        <v>3955</v>
      </c>
      <c r="B217" s="80">
        <v>3394.61</v>
      </c>
      <c r="C217" s="81" t="s">
        <v>4374</v>
      </c>
      <c r="D217" s="82">
        <v>4952570123</v>
      </c>
      <c r="E217" s="82" t="s">
        <v>33</v>
      </c>
      <c r="F217" s="82" t="s">
        <v>4375</v>
      </c>
      <c r="G217" s="79" t="s">
        <v>5</v>
      </c>
      <c r="H217" s="2" t="s">
        <v>17</v>
      </c>
      <c r="I217" s="2">
        <v>1</v>
      </c>
      <c r="J217" s="2" t="s">
        <v>4376</v>
      </c>
      <c r="K217" s="2">
        <v>4383.9799999999996</v>
      </c>
      <c r="L217" s="35">
        <v>14881902.3478</v>
      </c>
      <c r="M217" s="36">
        <v>70</v>
      </c>
      <c r="N217" s="62">
        <v>63350.515426635699</v>
      </c>
      <c r="O217" s="40">
        <v>113801.25</v>
      </c>
      <c r="P217" s="40">
        <v>0</v>
      </c>
      <c r="Q217" s="40">
        <v>24827.25</v>
      </c>
      <c r="R217" s="62">
        <v>129196.581725387</v>
      </c>
      <c r="S217" s="62">
        <v>65880.460764321193</v>
      </c>
      <c r="T217" s="65"/>
      <c r="U217" s="55">
        <v>859313.18695247394</v>
      </c>
      <c r="V217" s="55">
        <v>0</v>
      </c>
      <c r="W217" s="45">
        <v>1256369.2448688177</v>
      </c>
      <c r="X217" s="46">
        <v>8.4422623902954683</v>
      </c>
    </row>
    <row r="218" spans="1:24" s="4" customFormat="1" ht="15" customHeight="1">
      <c r="A218" s="79" t="s">
        <v>3955</v>
      </c>
      <c r="B218" s="80">
        <v>3394.61</v>
      </c>
      <c r="C218" s="81" t="s">
        <v>4374</v>
      </c>
      <c r="D218" s="82">
        <v>4952570123</v>
      </c>
      <c r="E218" s="82" t="s">
        <v>33</v>
      </c>
      <c r="F218" s="82" t="s">
        <v>4375</v>
      </c>
      <c r="G218" s="79" t="s">
        <v>5</v>
      </c>
      <c r="H218" s="2" t="s">
        <v>17</v>
      </c>
      <c r="I218" s="2">
        <v>1</v>
      </c>
      <c r="J218" s="2" t="s">
        <v>4376</v>
      </c>
      <c r="K218" s="2">
        <v>2502.44</v>
      </c>
      <c r="L218" s="35">
        <v>8494807.8484000005</v>
      </c>
      <c r="M218" s="36">
        <v>280</v>
      </c>
      <c r="N218" s="62">
        <v>19905.7283036646</v>
      </c>
      <c r="O218" s="40">
        <v>113801.25</v>
      </c>
      <c r="P218" s="40">
        <v>0</v>
      </c>
      <c r="Q218" s="40">
        <v>24827.25</v>
      </c>
      <c r="R218" s="62">
        <v>40595.597940572698</v>
      </c>
      <c r="S218" s="62">
        <v>20700.6769189353</v>
      </c>
      <c r="T218" s="65"/>
      <c r="U218" s="55">
        <v>270009.71834303602</v>
      </c>
      <c r="V218" s="55">
        <v>0</v>
      </c>
      <c r="W218" s="45">
        <v>489840.22150620865</v>
      </c>
      <c r="X218" s="46">
        <v>5.7663484595295484</v>
      </c>
    </row>
    <row r="220" spans="1:24" ht="15" customHeight="1">
      <c r="A220" s="87" t="s">
        <v>3955</v>
      </c>
      <c r="B220" s="31"/>
      <c r="C220" s="31"/>
      <c r="D220" s="31"/>
      <c r="E220" s="31"/>
      <c r="F220" s="32">
        <v>8</v>
      </c>
      <c r="G220" s="31"/>
      <c r="H220" s="31"/>
      <c r="I220" s="38"/>
      <c r="J220" s="31"/>
      <c r="K220" s="39">
        <f>+SUM(K195:K218)</f>
        <v>225873.91000000003</v>
      </c>
      <c r="L220" s="39">
        <f>+SUM(L195:L218)</f>
        <v>766753833.62510014</v>
      </c>
      <c r="M220" s="31"/>
      <c r="N220" s="39"/>
      <c r="O220" s="39"/>
      <c r="P220" s="39"/>
      <c r="Q220" s="39"/>
      <c r="R220" s="39"/>
      <c r="S220" s="39"/>
      <c r="T220" s="39"/>
      <c r="U220" s="39"/>
      <c r="V220" s="31"/>
      <c r="W220" s="39">
        <f>+SUM(W195:W218)</f>
        <v>60292147.073856987</v>
      </c>
      <c r="X220" s="47">
        <f>(W220/L220)*100</f>
        <v>7.8632990706814621</v>
      </c>
    </row>
  </sheetData>
  <conditionalFormatting sqref="C2">
    <cfRule type="duplicateValues" dxfId="69" priority="41"/>
  </conditionalFormatting>
  <conditionalFormatting sqref="C3">
    <cfRule type="duplicateValues" dxfId="68" priority="40"/>
  </conditionalFormatting>
  <conditionalFormatting sqref="C4">
    <cfRule type="duplicateValues" dxfId="67" priority="39"/>
  </conditionalFormatting>
  <conditionalFormatting sqref="C5">
    <cfRule type="duplicateValues" dxfId="66" priority="38"/>
  </conditionalFormatting>
  <conditionalFormatting sqref="C6">
    <cfRule type="duplicateValues" dxfId="65" priority="37"/>
  </conditionalFormatting>
  <conditionalFormatting sqref="C7">
    <cfRule type="duplicateValues" dxfId="64" priority="36"/>
  </conditionalFormatting>
  <conditionalFormatting sqref="C8">
    <cfRule type="duplicateValues" dxfId="63" priority="35"/>
  </conditionalFormatting>
  <conditionalFormatting sqref="C9">
    <cfRule type="duplicateValues" dxfId="62" priority="34"/>
  </conditionalFormatting>
  <conditionalFormatting sqref="C10">
    <cfRule type="duplicateValues" dxfId="61" priority="33"/>
  </conditionalFormatting>
  <conditionalFormatting sqref="C11">
    <cfRule type="duplicateValues" dxfId="60" priority="32"/>
  </conditionalFormatting>
  <conditionalFormatting sqref="C12">
    <cfRule type="duplicateValues" dxfId="59" priority="31"/>
  </conditionalFormatting>
  <conditionalFormatting sqref="C13">
    <cfRule type="duplicateValues" dxfId="58" priority="30"/>
  </conditionalFormatting>
  <conditionalFormatting sqref="C14">
    <cfRule type="duplicateValues" dxfId="57" priority="29"/>
  </conditionalFormatting>
  <conditionalFormatting sqref="C15">
    <cfRule type="duplicateValues" dxfId="56" priority="28"/>
  </conditionalFormatting>
  <conditionalFormatting sqref="C16">
    <cfRule type="duplicateValues" dxfId="55" priority="27"/>
  </conditionalFormatting>
  <conditionalFormatting sqref="C17">
    <cfRule type="duplicateValues" dxfId="54" priority="26"/>
  </conditionalFormatting>
  <conditionalFormatting sqref="C18">
    <cfRule type="duplicateValues" dxfId="53" priority="25"/>
  </conditionalFormatting>
  <conditionalFormatting sqref="C19">
    <cfRule type="duplicateValues" dxfId="52" priority="24"/>
  </conditionalFormatting>
  <conditionalFormatting sqref="C20">
    <cfRule type="duplicateValues" dxfId="51" priority="23"/>
  </conditionalFormatting>
  <conditionalFormatting sqref="C21">
    <cfRule type="duplicateValues" dxfId="50" priority="22"/>
  </conditionalFormatting>
  <conditionalFormatting sqref="C22">
    <cfRule type="duplicateValues" dxfId="49" priority="21"/>
  </conditionalFormatting>
  <conditionalFormatting sqref="C23">
    <cfRule type="duplicateValues" dxfId="48" priority="20"/>
  </conditionalFormatting>
  <conditionalFormatting sqref="C24">
    <cfRule type="duplicateValues" dxfId="47" priority="19"/>
  </conditionalFormatting>
  <conditionalFormatting sqref="C25">
    <cfRule type="duplicateValues" dxfId="46" priority="18"/>
  </conditionalFormatting>
  <conditionalFormatting sqref="C26">
    <cfRule type="duplicateValues" dxfId="45" priority="17"/>
  </conditionalFormatting>
  <conditionalFormatting sqref="C27">
    <cfRule type="duplicateValues" dxfId="44" priority="16"/>
  </conditionalFormatting>
  <conditionalFormatting sqref="C28">
    <cfRule type="duplicateValues" dxfId="43" priority="15"/>
  </conditionalFormatting>
  <conditionalFormatting sqref="C29">
    <cfRule type="duplicateValues" dxfId="42" priority="14"/>
  </conditionalFormatting>
  <conditionalFormatting sqref="C30">
    <cfRule type="duplicateValues" dxfId="41" priority="13"/>
  </conditionalFormatting>
  <conditionalFormatting sqref="C31">
    <cfRule type="duplicateValues" dxfId="40" priority="12"/>
  </conditionalFormatting>
  <conditionalFormatting sqref="C32">
    <cfRule type="duplicateValues" dxfId="39" priority="11"/>
  </conditionalFormatting>
  <conditionalFormatting sqref="C33">
    <cfRule type="duplicateValues" dxfId="38" priority="10"/>
  </conditionalFormatting>
  <conditionalFormatting sqref="C34">
    <cfRule type="duplicateValues" dxfId="37" priority="9"/>
  </conditionalFormatting>
  <conditionalFormatting sqref="C35">
    <cfRule type="duplicateValues" dxfId="36" priority="8"/>
  </conditionalFormatting>
  <conditionalFormatting sqref="C36">
    <cfRule type="duplicateValues" dxfId="35" priority="7"/>
  </conditionalFormatting>
  <conditionalFormatting sqref="C37">
    <cfRule type="duplicateValues" dxfId="34" priority="6"/>
  </conditionalFormatting>
  <conditionalFormatting sqref="C38">
    <cfRule type="duplicateValues" dxfId="33" priority="5"/>
  </conditionalFormatting>
  <conditionalFormatting sqref="C39">
    <cfRule type="duplicateValues" dxfId="32" priority="4"/>
  </conditionalFormatting>
  <conditionalFormatting sqref="C40">
    <cfRule type="duplicateValues" dxfId="31" priority="3"/>
  </conditionalFormatting>
  <conditionalFormatting sqref="C41">
    <cfRule type="duplicateValues" dxfId="30" priority="2"/>
  </conditionalFormatting>
  <conditionalFormatting sqref="C42">
    <cfRule type="duplicateValues" dxfId="29" priority="1"/>
  </conditionalFormatting>
  <pageMargins left="0.69930555555555596" right="0.69930555555555596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18"/>
  <sheetViews>
    <sheetView showGridLines="0" topLeftCell="H1" zoomScale="80" zoomScaleNormal="80" workbookViewId="0">
      <pane ySplit="1" topLeftCell="A197" activePane="bottomLeft" state="frozen"/>
      <selection pane="bottomLeft" activeCell="A218" sqref="A218"/>
    </sheetView>
  </sheetViews>
  <sheetFormatPr baseColWidth="10" defaultColWidth="11.42578125" defaultRowHeight="15"/>
  <cols>
    <col min="1" max="1" width="12.5703125" customWidth="1"/>
    <col min="4" max="4" width="12.28515625" customWidth="1"/>
    <col min="5" max="5" width="8" customWidth="1"/>
    <col min="6" max="6" width="23.28515625" customWidth="1"/>
    <col min="7" max="7" width="15" customWidth="1"/>
    <col min="8" max="8" width="8.5703125" customWidth="1"/>
    <col min="9" max="9" width="6.85546875" customWidth="1"/>
    <col min="10" max="10" width="17" customWidth="1"/>
    <col min="11" max="11" width="13.42578125" customWidth="1"/>
    <col min="12" max="12" width="16.28515625" customWidth="1"/>
    <col min="13" max="13" width="12.28515625" customWidth="1"/>
    <col min="14" max="14" width="17.5703125" customWidth="1"/>
    <col min="15" max="15" width="16.28515625" customWidth="1"/>
    <col min="16" max="16" width="12.28515625" customWidth="1"/>
    <col min="19" max="20" width="18.5703125" customWidth="1"/>
    <col min="21" max="21" width="11.28515625" customWidth="1"/>
    <col min="23" max="23" width="13.5703125" customWidth="1"/>
    <col min="24" max="24" width="8.7109375" customWidth="1"/>
  </cols>
  <sheetData>
    <row r="1" spans="1:24" ht="42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129</v>
      </c>
      <c r="D2" s="2" t="s">
        <v>130</v>
      </c>
      <c r="E2" s="2" t="s">
        <v>36</v>
      </c>
      <c r="F2" s="2" t="s">
        <v>131</v>
      </c>
      <c r="G2" s="28" t="s">
        <v>5</v>
      </c>
      <c r="H2" s="2" t="s">
        <v>26</v>
      </c>
      <c r="I2" s="2">
        <v>1</v>
      </c>
      <c r="J2" s="2" t="s">
        <v>132</v>
      </c>
      <c r="K2" s="2">
        <v>89909.27</v>
      </c>
      <c r="L2" s="35">
        <v>284976422.19199997</v>
      </c>
      <c r="M2" s="36">
        <v>24974.795999999998</v>
      </c>
      <c r="N2" s="37">
        <v>295899</v>
      </c>
      <c r="O2" s="37">
        <v>390324</v>
      </c>
      <c r="P2" s="37">
        <v>1527051</v>
      </c>
      <c r="Q2" s="37">
        <v>99309</v>
      </c>
      <c r="R2" s="37">
        <v>801406</v>
      </c>
      <c r="S2" s="37">
        <v>343435</v>
      </c>
      <c r="T2" s="40"/>
      <c r="U2" s="37">
        <v>0</v>
      </c>
      <c r="V2" s="37">
        <v>0</v>
      </c>
      <c r="W2" s="45">
        <v>3457424</v>
      </c>
      <c r="X2" s="46">
        <v>1.2132315976900701</v>
      </c>
    </row>
    <row r="3" spans="1:24">
      <c r="A3" s="28" t="s">
        <v>63</v>
      </c>
      <c r="B3" s="29">
        <v>3169.6</v>
      </c>
      <c r="C3" s="30" t="s">
        <v>169</v>
      </c>
      <c r="D3" s="2">
        <v>4947306166</v>
      </c>
      <c r="E3" s="2" t="s">
        <v>36</v>
      </c>
      <c r="F3" s="78" t="s">
        <v>170</v>
      </c>
      <c r="G3" s="28" t="s">
        <v>5</v>
      </c>
      <c r="H3" s="2" t="s">
        <v>26</v>
      </c>
      <c r="I3" s="2">
        <v>3</v>
      </c>
      <c r="J3" s="2" t="s">
        <v>171</v>
      </c>
      <c r="K3" s="2">
        <v>58804.2</v>
      </c>
      <c r="L3" s="35">
        <v>186385792.31999999</v>
      </c>
      <c r="M3" s="36">
        <v>64620</v>
      </c>
      <c r="N3" s="37">
        <v>965730</v>
      </c>
      <c r="O3" s="37">
        <v>1458990</v>
      </c>
      <c r="P3" s="37">
        <v>3698714</v>
      </c>
      <c r="Q3" s="37">
        <v>372411</v>
      </c>
      <c r="R3" s="37">
        <v>2479055</v>
      </c>
      <c r="S3" s="37">
        <v>343435</v>
      </c>
      <c r="T3" s="40"/>
      <c r="U3" s="37">
        <v>0</v>
      </c>
      <c r="V3" s="37">
        <v>0</v>
      </c>
      <c r="W3" s="45">
        <v>9318335</v>
      </c>
      <c r="X3" s="46">
        <v>4.9994878279142902</v>
      </c>
    </row>
    <row r="4" spans="1:24">
      <c r="A4" s="28" t="s">
        <v>63</v>
      </c>
      <c r="B4" s="29">
        <v>3169.6</v>
      </c>
      <c r="C4" s="30" t="s">
        <v>172</v>
      </c>
      <c r="D4" s="2">
        <v>4947250737</v>
      </c>
      <c r="E4" s="2" t="s">
        <v>36</v>
      </c>
      <c r="F4" s="78" t="s">
        <v>173</v>
      </c>
      <c r="G4" s="28" t="s">
        <v>5</v>
      </c>
      <c r="H4" s="2" t="s">
        <v>26</v>
      </c>
      <c r="I4" s="2">
        <v>2</v>
      </c>
      <c r="J4" s="2" t="s">
        <v>174</v>
      </c>
      <c r="K4" s="2">
        <v>71030.7</v>
      </c>
      <c r="L4" s="35">
        <v>225138906.72</v>
      </c>
      <c r="M4" s="36">
        <v>39770.980000000003</v>
      </c>
      <c r="N4" s="37">
        <v>650323</v>
      </c>
      <c r="O4" s="37">
        <v>780648</v>
      </c>
      <c r="P4" s="37">
        <v>1820905</v>
      </c>
      <c r="Q4" s="37">
        <v>198619</v>
      </c>
      <c r="R4" s="37">
        <v>1225999</v>
      </c>
      <c r="S4" s="37">
        <v>343435</v>
      </c>
      <c r="T4" s="40"/>
      <c r="U4" s="37">
        <v>0</v>
      </c>
      <c r="V4" s="37">
        <v>0</v>
      </c>
      <c r="W4" s="45">
        <v>5019929</v>
      </c>
      <c r="X4" s="46">
        <v>2.2297030189647198</v>
      </c>
    </row>
    <row r="5" spans="1:24">
      <c r="A5" s="28" t="s">
        <v>63</v>
      </c>
      <c r="B5" s="29">
        <v>3169.6</v>
      </c>
      <c r="C5" s="30" t="s">
        <v>178</v>
      </c>
      <c r="D5" s="2" t="s">
        <v>179</v>
      </c>
      <c r="E5" s="2" t="s">
        <v>36</v>
      </c>
      <c r="F5" s="2" t="s">
        <v>180</v>
      </c>
      <c r="G5" s="28" t="s">
        <v>5</v>
      </c>
      <c r="H5" s="2" t="s">
        <v>26</v>
      </c>
      <c r="I5" s="2">
        <v>3</v>
      </c>
      <c r="J5" s="2" t="s">
        <v>181</v>
      </c>
      <c r="K5" s="2">
        <v>52261.2</v>
      </c>
      <c r="L5" s="35">
        <v>165647099.52000001</v>
      </c>
      <c r="M5" s="36">
        <v>64520</v>
      </c>
      <c r="N5" s="37">
        <v>978056</v>
      </c>
      <c r="O5" s="37">
        <v>1458990</v>
      </c>
      <c r="P5" s="37">
        <v>1426331</v>
      </c>
      <c r="Q5" s="37">
        <v>372411</v>
      </c>
      <c r="R5" s="37">
        <v>2688955</v>
      </c>
      <c r="S5" s="37">
        <v>343435</v>
      </c>
      <c r="T5" s="40"/>
      <c r="U5" s="37">
        <v>0</v>
      </c>
      <c r="V5" s="37">
        <v>0</v>
      </c>
      <c r="W5" s="45">
        <v>7268178</v>
      </c>
      <c r="X5" s="46">
        <v>4.3877484248509004</v>
      </c>
    </row>
    <row r="6" spans="1:24">
      <c r="A6" s="28" t="s">
        <v>63</v>
      </c>
      <c r="B6" s="29">
        <v>3169.6</v>
      </c>
      <c r="C6" s="30" t="s">
        <v>182</v>
      </c>
      <c r="D6" s="2">
        <v>4946041800</v>
      </c>
      <c r="E6" s="2" t="s">
        <v>36</v>
      </c>
      <c r="F6" s="78" t="s">
        <v>183</v>
      </c>
      <c r="G6" s="28" t="s">
        <v>5</v>
      </c>
      <c r="H6" s="2" t="s">
        <v>26</v>
      </c>
      <c r="I6" s="2">
        <v>4</v>
      </c>
      <c r="J6" s="2" t="s">
        <v>184</v>
      </c>
      <c r="K6" s="2">
        <v>82146.8</v>
      </c>
      <c r="L6" s="35">
        <v>260372497.28</v>
      </c>
      <c r="M6" s="36">
        <v>89290</v>
      </c>
      <c r="N6" s="37">
        <v>1304074</v>
      </c>
      <c r="O6" s="37">
        <v>1945300</v>
      </c>
      <c r="P6" s="37">
        <v>2282129</v>
      </c>
      <c r="Q6" s="37">
        <v>496548</v>
      </c>
      <c r="R6" s="37">
        <v>3586774</v>
      </c>
      <c r="S6" s="37">
        <v>343435</v>
      </c>
      <c r="T6" s="40"/>
      <c r="U6" s="37">
        <v>0</v>
      </c>
      <c r="V6" s="37">
        <v>0</v>
      </c>
      <c r="W6" s="45">
        <v>9958260</v>
      </c>
      <c r="X6" s="46">
        <v>3.8246205355902299</v>
      </c>
    </row>
    <row r="7" spans="1:24">
      <c r="A7" s="28" t="s">
        <v>63</v>
      </c>
      <c r="B7" s="29">
        <v>3169.6</v>
      </c>
      <c r="C7" s="30" t="s">
        <v>185</v>
      </c>
      <c r="D7" s="2">
        <v>4947306164</v>
      </c>
      <c r="E7" s="2" t="s">
        <v>36</v>
      </c>
      <c r="F7" s="78" t="s">
        <v>186</v>
      </c>
      <c r="G7" s="28" t="s">
        <v>5</v>
      </c>
      <c r="H7" s="2" t="s">
        <v>26</v>
      </c>
      <c r="I7" s="2">
        <v>4</v>
      </c>
      <c r="J7" s="2" t="s">
        <v>187</v>
      </c>
      <c r="K7" s="2">
        <v>78496.600000000006</v>
      </c>
      <c r="L7" s="35">
        <v>248802823.36000001</v>
      </c>
      <c r="M7" s="36">
        <v>86260</v>
      </c>
      <c r="N7" s="37">
        <v>323221.68003709702</v>
      </c>
      <c r="O7" s="37">
        <v>1945300</v>
      </c>
      <c r="P7" s="37">
        <v>565637.81613725901</v>
      </c>
      <c r="Q7" s="37">
        <v>496548</v>
      </c>
      <c r="R7" s="37">
        <v>889000.70415024296</v>
      </c>
      <c r="S7" s="37">
        <v>85122.192209598899</v>
      </c>
      <c r="T7" s="40"/>
      <c r="U7" s="37">
        <v>0</v>
      </c>
      <c r="V7" s="37">
        <v>0</v>
      </c>
      <c r="W7" s="45">
        <v>4304830.3925342001</v>
      </c>
      <c r="X7" s="46">
        <v>1.7302176616803999</v>
      </c>
    </row>
    <row r="8" spans="1:24">
      <c r="A8" s="28" t="s">
        <v>63</v>
      </c>
      <c r="B8" s="29">
        <v>3169.6</v>
      </c>
      <c r="C8" s="30" t="s">
        <v>188</v>
      </c>
      <c r="D8" s="2" t="s">
        <v>189</v>
      </c>
      <c r="E8" s="2" t="s">
        <v>36</v>
      </c>
      <c r="F8" s="78" t="s">
        <v>190</v>
      </c>
      <c r="G8" s="28" t="s">
        <v>5</v>
      </c>
      <c r="H8" s="2" t="s">
        <v>26</v>
      </c>
      <c r="I8" s="2">
        <v>1</v>
      </c>
      <c r="J8" s="2" t="s">
        <v>191</v>
      </c>
      <c r="K8" s="2">
        <v>19565</v>
      </c>
      <c r="L8" s="35">
        <v>62013224</v>
      </c>
      <c r="M8" s="36">
        <v>21500</v>
      </c>
      <c r="N8" s="37">
        <v>322758</v>
      </c>
      <c r="O8" s="37">
        <v>390324</v>
      </c>
      <c r="P8" s="37">
        <v>570532</v>
      </c>
      <c r="Q8" s="37">
        <v>99309</v>
      </c>
      <c r="R8" s="37">
        <v>825014</v>
      </c>
      <c r="S8" s="37">
        <v>343435</v>
      </c>
      <c r="T8" s="40"/>
      <c r="U8" s="37">
        <v>0</v>
      </c>
      <c r="V8" s="37">
        <v>0</v>
      </c>
      <c r="W8" s="45">
        <v>2551372</v>
      </c>
      <c r="X8" s="46">
        <v>4.11423860175372</v>
      </c>
    </row>
    <row r="9" spans="1:24">
      <c r="A9" s="28" t="s">
        <v>63</v>
      </c>
      <c r="B9" s="29">
        <v>3169.6</v>
      </c>
      <c r="C9" s="30" t="s">
        <v>192</v>
      </c>
      <c r="D9" s="2">
        <v>4945321258</v>
      </c>
      <c r="E9" s="2" t="s">
        <v>36</v>
      </c>
      <c r="F9" s="2" t="s">
        <v>193</v>
      </c>
      <c r="G9" s="28" t="s">
        <v>5</v>
      </c>
      <c r="H9" s="2" t="s">
        <v>26</v>
      </c>
      <c r="I9" s="2">
        <v>2</v>
      </c>
      <c r="J9" s="2" t="s">
        <v>194</v>
      </c>
      <c r="K9" s="2">
        <v>179491.94</v>
      </c>
      <c r="L9" s="35">
        <v>568917653.02400005</v>
      </c>
      <c r="M9" s="36">
        <v>49858.87</v>
      </c>
      <c r="N9" s="37">
        <v>605536</v>
      </c>
      <c r="O9" s="37">
        <v>780648</v>
      </c>
      <c r="P9" s="37">
        <v>3492645</v>
      </c>
      <c r="Q9" s="37">
        <v>198619</v>
      </c>
      <c r="R9" s="37">
        <v>1623247</v>
      </c>
      <c r="S9" s="37">
        <v>343435</v>
      </c>
      <c r="T9" s="40"/>
      <c r="U9" s="37">
        <v>0</v>
      </c>
      <c r="V9" s="37">
        <v>0</v>
      </c>
      <c r="W9" s="45">
        <v>7044130</v>
      </c>
      <c r="X9" s="46">
        <v>1.2381633726002199</v>
      </c>
    </row>
    <row r="10" spans="1:24">
      <c r="A10" s="28" t="s">
        <v>63</v>
      </c>
      <c r="B10" s="29">
        <v>3169.6</v>
      </c>
      <c r="C10" s="30" t="s">
        <v>195</v>
      </c>
      <c r="D10" s="2">
        <v>4945988462</v>
      </c>
      <c r="E10" s="2" t="s">
        <v>36</v>
      </c>
      <c r="F10" s="2" t="s">
        <v>196</v>
      </c>
      <c r="G10" s="28" t="s">
        <v>5</v>
      </c>
      <c r="H10" s="2" t="s">
        <v>26</v>
      </c>
      <c r="I10" s="2">
        <v>2</v>
      </c>
      <c r="J10" s="2" t="s">
        <v>197</v>
      </c>
      <c r="K10" s="2">
        <v>173950.86</v>
      </c>
      <c r="L10" s="35">
        <v>551354645.85599995</v>
      </c>
      <c r="M10" s="36">
        <v>49985.88</v>
      </c>
      <c r="N10" s="37">
        <v>593496</v>
      </c>
      <c r="O10" s="37">
        <v>780648</v>
      </c>
      <c r="P10" s="37">
        <v>3243159</v>
      </c>
      <c r="Q10" s="37">
        <v>198619</v>
      </c>
      <c r="R10" s="37">
        <v>1603257</v>
      </c>
      <c r="S10" s="37">
        <v>343435</v>
      </c>
      <c r="T10" s="40"/>
      <c r="U10" s="37">
        <v>0</v>
      </c>
      <c r="V10" s="37">
        <v>0</v>
      </c>
      <c r="W10" s="45">
        <v>6762614</v>
      </c>
      <c r="X10" s="46">
        <v>1.2265452102069001</v>
      </c>
    </row>
    <row r="11" spans="1:24">
      <c r="A11" s="28" t="s">
        <v>63</v>
      </c>
      <c r="B11" s="29">
        <v>3169.6</v>
      </c>
      <c r="C11" s="30" t="s">
        <v>198</v>
      </c>
      <c r="D11" s="2">
        <v>4945988463</v>
      </c>
      <c r="E11" s="2" t="s">
        <v>36</v>
      </c>
      <c r="F11" s="2" t="s">
        <v>199</v>
      </c>
      <c r="G11" s="28" t="s">
        <v>5</v>
      </c>
      <c r="H11" s="2" t="s">
        <v>26</v>
      </c>
      <c r="I11" s="2">
        <v>2</v>
      </c>
      <c r="J11" s="2" t="s">
        <v>200</v>
      </c>
      <c r="K11" s="2">
        <v>174203.42</v>
      </c>
      <c r="L11" s="35">
        <v>552155160.03199995</v>
      </c>
      <c r="M11" s="36">
        <v>50058.45</v>
      </c>
      <c r="N11" s="37">
        <v>593496</v>
      </c>
      <c r="O11" s="37">
        <v>780648</v>
      </c>
      <c r="P11" s="37">
        <v>3243159</v>
      </c>
      <c r="Q11" s="37">
        <v>198619</v>
      </c>
      <c r="R11" s="37">
        <v>1603257</v>
      </c>
      <c r="S11" s="37">
        <v>343435</v>
      </c>
      <c r="T11" s="40"/>
      <c r="U11" s="37">
        <v>0</v>
      </c>
      <c r="V11" s="37">
        <v>0</v>
      </c>
      <c r="W11" s="45">
        <v>6762614</v>
      </c>
      <c r="X11" s="46">
        <v>1.22476696579419</v>
      </c>
    </row>
    <row r="12" spans="1:24">
      <c r="A12" s="28" t="s">
        <v>63</v>
      </c>
      <c r="B12" s="29">
        <v>3169.6</v>
      </c>
      <c r="C12" s="30" t="s">
        <v>201</v>
      </c>
      <c r="D12" s="2">
        <v>4945321259</v>
      </c>
      <c r="E12" s="2" t="s">
        <v>36</v>
      </c>
      <c r="F12" s="2" t="s">
        <v>202</v>
      </c>
      <c r="G12" s="28" t="s">
        <v>5</v>
      </c>
      <c r="H12" s="2" t="s">
        <v>26</v>
      </c>
      <c r="I12" s="2">
        <v>2</v>
      </c>
      <c r="J12" s="2" t="s">
        <v>203</v>
      </c>
      <c r="K12" s="2">
        <v>179981.83</v>
      </c>
      <c r="L12" s="35">
        <v>570470408.36800003</v>
      </c>
      <c r="M12" s="36">
        <v>49994</v>
      </c>
      <c r="N12" s="37">
        <v>605536</v>
      </c>
      <c r="O12" s="37">
        <v>780648</v>
      </c>
      <c r="P12" s="37">
        <v>3492645</v>
      </c>
      <c r="Q12" s="37">
        <v>198619</v>
      </c>
      <c r="R12" s="37">
        <v>1623247</v>
      </c>
      <c r="S12" s="37">
        <v>343435</v>
      </c>
      <c r="T12" s="40"/>
      <c r="U12" s="37">
        <v>0</v>
      </c>
      <c r="V12" s="37">
        <v>0</v>
      </c>
      <c r="W12" s="45">
        <v>7044130</v>
      </c>
      <c r="X12" s="46">
        <v>1.23479323321114</v>
      </c>
    </row>
    <row r="13" spans="1:24">
      <c r="A13" s="28" t="s">
        <v>63</v>
      </c>
      <c r="B13" s="29">
        <v>3169.6</v>
      </c>
      <c r="C13" s="30" t="s">
        <v>325</v>
      </c>
      <c r="D13" s="2">
        <v>4944508907</v>
      </c>
      <c r="E13" s="2" t="s">
        <v>36</v>
      </c>
      <c r="F13" s="2" t="s">
        <v>326</v>
      </c>
      <c r="G13" s="28" t="s">
        <v>5</v>
      </c>
      <c r="H13" s="2" t="s">
        <v>26</v>
      </c>
      <c r="I13" s="2">
        <v>3</v>
      </c>
      <c r="J13" s="2" t="s">
        <v>327</v>
      </c>
      <c r="K13" s="2">
        <v>108102.51</v>
      </c>
      <c r="L13" s="35">
        <v>342641715.69599998</v>
      </c>
      <c r="M13" s="36">
        <v>67186</v>
      </c>
      <c r="N13" s="37">
        <v>883180</v>
      </c>
      <c r="O13" s="37">
        <v>1170972</v>
      </c>
      <c r="P13" s="37">
        <v>4327583</v>
      </c>
      <c r="Q13" s="37">
        <v>297928</v>
      </c>
      <c r="R13" s="37">
        <v>1699632</v>
      </c>
      <c r="S13" s="37">
        <v>343435</v>
      </c>
      <c r="T13" s="40"/>
      <c r="U13" s="37">
        <v>0</v>
      </c>
      <c r="V13" s="37">
        <v>0</v>
      </c>
      <c r="W13" s="45">
        <v>8722730</v>
      </c>
      <c r="X13" s="46">
        <v>2.5457291393377801</v>
      </c>
    </row>
    <row r="14" spans="1:24">
      <c r="A14" s="28" t="s">
        <v>63</v>
      </c>
      <c r="B14" s="29">
        <v>3169.6</v>
      </c>
      <c r="C14" s="30" t="s">
        <v>351</v>
      </c>
      <c r="D14" s="2">
        <v>4947782367</v>
      </c>
      <c r="E14" s="2" t="s">
        <v>36</v>
      </c>
      <c r="F14" s="2" t="s">
        <v>352</v>
      </c>
      <c r="G14" s="28" t="s">
        <v>5</v>
      </c>
      <c r="H14" s="2" t="s">
        <v>20</v>
      </c>
      <c r="I14" s="2">
        <v>1</v>
      </c>
      <c r="J14" s="2" t="s">
        <v>353</v>
      </c>
      <c r="K14" s="2">
        <v>39000</v>
      </c>
      <c r="L14" s="35">
        <v>123614400</v>
      </c>
      <c r="M14" s="36">
        <v>20000</v>
      </c>
      <c r="N14" s="37">
        <v>331180</v>
      </c>
      <c r="O14" s="37">
        <v>397435</v>
      </c>
      <c r="P14" s="37">
        <v>0</v>
      </c>
      <c r="Q14" s="37">
        <v>124137</v>
      </c>
      <c r="R14" s="37">
        <v>620262</v>
      </c>
      <c r="S14" s="37">
        <v>343435</v>
      </c>
      <c r="T14" s="40"/>
      <c r="U14" s="37">
        <v>529000</v>
      </c>
      <c r="V14" s="37">
        <v>0</v>
      </c>
      <c r="W14" s="45">
        <v>2345449</v>
      </c>
      <c r="X14" s="46">
        <v>1.89739140423769</v>
      </c>
    </row>
    <row r="15" spans="1:24">
      <c r="A15" s="28" t="s">
        <v>63</v>
      </c>
      <c r="B15" s="29">
        <v>3169.6</v>
      </c>
      <c r="C15" s="30" t="s">
        <v>381</v>
      </c>
      <c r="D15" s="2">
        <v>4947306165</v>
      </c>
      <c r="E15" s="2" t="s">
        <v>36</v>
      </c>
      <c r="F15" s="78" t="s">
        <v>382</v>
      </c>
      <c r="G15" s="28" t="s">
        <v>5</v>
      </c>
      <c r="H15" s="2" t="s">
        <v>26</v>
      </c>
      <c r="I15" s="2">
        <v>4</v>
      </c>
      <c r="J15" s="2" t="s">
        <v>383</v>
      </c>
      <c r="K15" s="2">
        <v>79888.899999999994</v>
      </c>
      <c r="L15" s="35">
        <v>253215857.44</v>
      </c>
      <c r="M15" s="36">
        <v>87790</v>
      </c>
      <c r="N15" s="37">
        <v>1308709</v>
      </c>
      <c r="O15" s="37">
        <v>1945300</v>
      </c>
      <c r="P15" s="37">
        <v>2906100.6254698699</v>
      </c>
      <c r="Q15" s="37">
        <v>496548</v>
      </c>
      <c r="R15" s="37">
        <v>3333400</v>
      </c>
      <c r="S15" s="37">
        <v>343435</v>
      </c>
      <c r="T15" s="40"/>
      <c r="U15" s="37">
        <v>0</v>
      </c>
      <c r="V15" s="37">
        <v>0</v>
      </c>
      <c r="W15" s="45">
        <v>10333492.625469901</v>
      </c>
      <c r="X15" s="46">
        <v>4.0809026456482496</v>
      </c>
    </row>
    <row r="16" spans="1:24">
      <c r="A16" s="28" t="s">
        <v>63</v>
      </c>
      <c r="B16" s="29">
        <v>3169.6</v>
      </c>
      <c r="C16" s="30" t="s">
        <v>390</v>
      </c>
      <c r="D16" s="2">
        <v>4947306165</v>
      </c>
      <c r="E16" s="2" t="s">
        <v>36</v>
      </c>
      <c r="F16" s="2" t="s">
        <v>391</v>
      </c>
      <c r="G16" s="28" t="s">
        <v>5</v>
      </c>
      <c r="H16" s="2" t="s">
        <v>26</v>
      </c>
      <c r="I16" s="2">
        <v>4</v>
      </c>
      <c r="J16" s="2" t="s">
        <v>392</v>
      </c>
      <c r="K16" s="2">
        <v>79643</v>
      </c>
      <c r="L16" s="35">
        <v>252436452.80000001</v>
      </c>
      <c r="M16" s="36">
        <v>87520</v>
      </c>
      <c r="N16" s="37">
        <v>1287640</v>
      </c>
      <c r="O16" s="37">
        <v>1945300</v>
      </c>
      <c r="P16" s="37">
        <v>1234595.20441042</v>
      </c>
      <c r="Q16" s="37">
        <v>496548</v>
      </c>
      <c r="R16" s="37">
        <v>3305380</v>
      </c>
      <c r="S16" s="37">
        <v>343435</v>
      </c>
      <c r="T16" s="40"/>
      <c r="U16" s="37">
        <v>0</v>
      </c>
      <c r="V16" s="37">
        <v>0</v>
      </c>
      <c r="W16" s="45">
        <v>8612898.2044104207</v>
      </c>
      <c r="X16" s="46">
        <v>3.4119074756743801</v>
      </c>
    </row>
    <row r="17" spans="1:24">
      <c r="A17" s="28" t="s">
        <v>63</v>
      </c>
      <c r="B17" s="29">
        <v>3169.6</v>
      </c>
      <c r="C17" s="30" t="s">
        <v>447</v>
      </c>
      <c r="D17" s="2">
        <v>4947435994</v>
      </c>
      <c r="E17" s="2" t="s">
        <v>36</v>
      </c>
      <c r="F17" s="78" t="s">
        <v>448</v>
      </c>
      <c r="G17" s="28" t="s">
        <v>5</v>
      </c>
      <c r="H17" s="2" t="s">
        <v>26</v>
      </c>
      <c r="I17" s="2">
        <v>4</v>
      </c>
      <c r="J17" s="2" t="s">
        <v>449</v>
      </c>
      <c r="K17" s="2">
        <v>76776.7</v>
      </c>
      <c r="L17" s="35">
        <v>243351428.31999999</v>
      </c>
      <c r="M17" s="36">
        <v>84370</v>
      </c>
      <c r="N17" s="37">
        <v>1283819</v>
      </c>
      <c r="O17" s="37">
        <v>1945300</v>
      </c>
      <c r="P17" s="37">
        <v>4916984</v>
      </c>
      <c r="Q17" s="37">
        <v>496548</v>
      </c>
      <c r="R17" s="37">
        <v>3299468</v>
      </c>
      <c r="S17" s="37">
        <v>343435</v>
      </c>
      <c r="T17" s="37"/>
      <c r="U17" s="37">
        <v>0</v>
      </c>
      <c r="V17" s="37">
        <v>0</v>
      </c>
      <c r="W17" s="45">
        <v>12285554</v>
      </c>
      <c r="X17" s="46">
        <v>5.0484823881308198</v>
      </c>
    </row>
    <row r="18" spans="1:24">
      <c r="A18" s="28" t="s">
        <v>63</v>
      </c>
      <c r="B18" s="29">
        <v>3169.6</v>
      </c>
      <c r="C18" s="30" t="s">
        <v>458</v>
      </c>
      <c r="D18" s="2">
        <v>4946569068</v>
      </c>
      <c r="E18" s="2" t="s">
        <v>36</v>
      </c>
      <c r="F18" s="2" t="s">
        <v>459</v>
      </c>
      <c r="G18" s="28" t="s">
        <v>5</v>
      </c>
      <c r="H18" s="2" t="s">
        <v>26</v>
      </c>
      <c r="I18" s="2">
        <v>4</v>
      </c>
      <c r="J18" s="2" t="s">
        <v>460</v>
      </c>
      <c r="K18" s="2">
        <v>320909</v>
      </c>
      <c r="L18" s="35">
        <v>1017153166.4</v>
      </c>
      <c r="M18" s="36">
        <v>99971</v>
      </c>
      <c r="N18" s="37">
        <v>1241534</v>
      </c>
      <c r="O18" s="37">
        <v>1945300</v>
      </c>
      <c r="P18" s="37">
        <v>5653416</v>
      </c>
      <c r="Q18" s="37">
        <v>496548</v>
      </c>
      <c r="R18" s="37">
        <v>3286250</v>
      </c>
      <c r="S18" s="37">
        <v>343435</v>
      </c>
      <c r="T18" s="37"/>
      <c r="U18" s="37">
        <v>0</v>
      </c>
      <c r="V18" s="37">
        <v>0</v>
      </c>
      <c r="W18" s="45">
        <v>12966483</v>
      </c>
      <c r="X18" s="46">
        <v>1.2747817564086401</v>
      </c>
    </row>
    <row r="19" spans="1:24">
      <c r="A19" s="28" t="s">
        <v>63</v>
      </c>
      <c r="B19" s="29">
        <v>3169.6</v>
      </c>
      <c r="C19" s="49" t="s">
        <v>461</v>
      </c>
      <c r="D19" s="2">
        <v>4946569067</v>
      </c>
      <c r="E19" s="2" t="s">
        <v>36</v>
      </c>
      <c r="F19" s="2" t="s">
        <v>462</v>
      </c>
      <c r="G19" s="28" t="s">
        <v>5</v>
      </c>
      <c r="H19" s="2" t="s">
        <v>26</v>
      </c>
      <c r="I19" s="2">
        <v>4</v>
      </c>
      <c r="J19" s="2" t="s">
        <v>463</v>
      </c>
      <c r="K19" s="2">
        <v>320865</v>
      </c>
      <c r="L19" s="35">
        <v>1017013704</v>
      </c>
      <c r="M19" s="36">
        <v>99958</v>
      </c>
      <c r="N19" s="37">
        <v>1251970</v>
      </c>
      <c r="O19" s="37">
        <v>1945300</v>
      </c>
      <c r="P19" s="37">
        <v>6080995</v>
      </c>
      <c r="Q19" s="37">
        <v>496548</v>
      </c>
      <c r="R19" s="37">
        <v>3304512</v>
      </c>
      <c r="S19" s="37">
        <v>343435</v>
      </c>
      <c r="T19" s="37"/>
      <c r="U19" s="37">
        <v>0</v>
      </c>
      <c r="V19" s="37">
        <v>0</v>
      </c>
      <c r="W19" s="45">
        <v>13422760</v>
      </c>
      <c r="X19" s="46">
        <v>1.3198209569062</v>
      </c>
    </row>
    <row r="20" spans="1:24">
      <c r="A20" s="28" t="s">
        <v>63</v>
      </c>
      <c r="B20" s="29">
        <v>3169.6</v>
      </c>
      <c r="C20" s="30" t="s">
        <v>508</v>
      </c>
      <c r="D20" s="2">
        <v>4947782375</v>
      </c>
      <c r="E20" s="2" t="s">
        <v>36</v>
      </c>
      <c r="F20" s="2" t="s">
        <v>509</v>
      </c>
      <c r="G20" s="28" t="s">
        <v>5</v>
      </c>
      <c r="H20" s="2" t="s">
        <v>26</v>
      </c>
      <c r="I20" s="2">
        <v>2</v>
      </c>
      <c r="J20" s="2" t="s">
        <v>510</v>
      </c>
      <c r="K20" s="2">
        <v>70982</v>
      </c>
      <c r="L20" s="35">
        <v>224984547.19999999</v>
      </c>
      <c r="M20" s="36">
        <v>39743</v>
      </c>
      <c r="N20" s="37">
        <v>661205</v>
      </c>
      <c r="O20" s="37">
        <v>780648</v>
      </c>
      <c r="P20" s="37">
        <v>2314216</v>
      </c>
      <c r="Q20" s="37">
        <v>198618</v>
      </c>
      <c r="R20" s="37">
        <v>1244977</v>
      </c>
      <c r="S20" s="37">
        <v>343435</v>
      </c>
      <c r="T20" s="37"/>
      <c r="U20" s="37">
        <v>0</v>
      </c>
      <c r="V20" s="37">
        <v>0</v>
      </c>
      <c r="W20" s="45">
        <v>5543099</v>
      </c>
      <c r="X20" s="46">
        <v>2.4637687650043198</v>
      </c>
    </row>
    <row r="21" spans="1:24">
      <c r="A21" s="28" t="s">
        <v>63</v>
      </c>
      <c r="B21" s="29">
        <v>3169.6</v>
      </c>
      <c r="C21" s="49" t="s">
        <v>513</v>
      </c>
      <c r="D21" s="2">
        <v>4947435995</v>
      </c>
      <c r="E21" s="2" t="s">
        <v>36</v>
      </c>
      <c r="F21" s="78" t="s">
        <v>514</v>
      </c>
      <c r="G21" s="28" t="s">
        <v>5</v>
      </c>
      <c r="H21" s="2" t="s">
        <v>26</v>
      </c>
      <c r="I21" s="2">
        <v>4</v>
      </c>
      <c r="J21" s="2" t="s">
        <v>515</v>
      </c>
      <c r="K21" s="2">
        <v>76603.8</v>
      </c>
      <c r="L21" s="35">
        <v>242803404.47999999</v>
      </c>
      <c r="M21" s="36">
        <v>84180</v>
      </c>
      <c r="N21" s="37">
        <v>1311472</v>
      </c>
      <c r="O21" s="37">
        <v>1945300</v>
      </c>
      <c r="P21" s="37">
        <v>8113903</v>
      </c>
      <c r="Q21" s="37">
        <v>496548</v>
      </c>
      <c r="R21" s="37">
        <v>3354671</v>
      </c>
      <c r="S21" s="37">
        <v>343435</v>
      </c>
      <c r="T21" s="37"/>
      <c r="U21" s="37">
        <v>0</v>
      </c>
      <c r="V21" s="37">
        <v>0</v>
      </c>
      <c r="W21" s="45">
        <v>15565329</v>
      </c>
      <c r="X21" s="46">
        <v>6.41067164331385</v>
      </c>
    </row>
    <row r="22" spans="1:24">
      <c r="A22" s="28" t="s">
        <v>63</v>
      </c>
      <c r="B22" s="29">
        <v>3169.6</v>
      </c>
      <c r="C22" s="30" t="s">
        <v>595</v>
      </c>
      <c r="D22" s="2">
        <v>4947777434</v>
      </c>
      <c r="E22" s="2" t="s">
        <v>36</v>
      </c>
      <c r="F22" s="2" t="s">
        <v>596</v>
      </c>
      <c r="G22" s="28" t="s">
        <v>5</v>
      </c>
      <c r="H22" s="2" t="s">
        <v>26</v>
      </c>
      <c r="I22" s="2">
        <v>4</v>
      </c>
      <c r="J22" s="2" t="s">
        <v>597</v>
      </c>
      <c r="K22" s="2">
        <v>79597</v>
      </c>
      <c r="L22" s="35">
        <v>252290651.19999999</v>
      </c>
      <c r="M22" s="36">
        <v>87470</v>
      </c>
      <c r="N22" s="37">
        <v>0</v>
      </c>
      <c r="O22" s="37">
        <v>1945300</v>
      </c>
      <c r="P22" s="37">
        <v>7727526</v>
      </c>
      <c r="Q22" s="37">
        <v>496548</v>
      </c>
      <c r="R22" s="37">
        <v>3347880</v>
      </c>
      <c r="S22" s="37">
        <v>343435</v>
      </c>
      <c r="T22" s="37"/>
      <c r="U22" s="37">
        <v>0</v>
      </c>
      <c r="V22" s="37">
        <v>0</v>
      </c>
      <c r="W22" s="45">
        <v>13860689</v>
      </c>
      <c r="X22" s="46">
        <v>5.4939368280484304</v>
      </c>
    </row>
    <row r="23" spans="1:24">
      <c r="A23" s="28" t="s">
        <v>63</v>
      </c>
      <c r="B23" s="29">
        <v>3169.6</v>
      </c>
      <c r="C23" s="30" t="s">
        <v>608</v>
      </c>
      <c r="D23" s="2">
        <v>4947782377</v>
      </c>
      <c r="E23" s="2" t="s">
        <v>36</v>
      </c>
      <c r="F23" s="78" t="s">
        <v>609</v>
      </c>
      <c r="G23" s="28" t="s">
        <v>5</v>
      </c>
      <c r="H23" s="2" t="s">
        <v>20</v>
      </c>
      <c r="I23" s="2">
        <v>1</v>
      </c>
      <c r="J23" s="2" t="s">
        <v>610</v>
      </c>
      <c r="K23" s="2">
        <v>27451.200000000001</v>
      </c>
      <c r="L23" s="35">
        <v>87009323.519999996</v>
      </c>
      <c r="M23" s="36">
        <v>16800</v>
      </c>
      <c r="N23" s="37">
        <v>319921</v>
      </c>
      <c r="O23" s="50">
        <v>295463</v>
      </c>
      <c r="P23" s="50">
        <v>135778</v>
      </c>
      <c r="Q23" s="50">
        <v>103726</v>
      </c>
      <c r="R23" s="37">
        <v>584697</v>
      </c>
      <c r="S23" s="37">
        <v>343435</v>
      </c>
      <c r="T23" s="37"/>
      <c r="U23" s="37">
        <v>2291400</v>
      </c>
      <c r="V23" s="37">
        <v>0</v>
      </c>
      <c r="W23" s="45">
        <v>4074420</v>
      </c>
      <c r="X23" s="46">
        <v>4.6827395446459903</v>
      </c>
    </row>
    <row r="25" spans="1:24" ht="15" customHeight="1">
      <c r="A25" s="31" t="s">
        <v>63</v>
      </c>
      <c r="B25" s="31"/>
      <c r="C25" s="31"/>
      <c r="D25" s="31"/>
      <c r="E25" s="31"/>
      <c r="F25" s="32">
        <v>22</v>
      </c>
      <c r="G25" s="31"/>
      <c r="H25" s="31"/>
      <c r="I25" s="38"/>
      <c r="J25" s="31"/>
      <c r="K25" s="39">
        <f>+SUM(K2:K23)</f>
        <v>2439660.9299999997</v>
      </c>
      <c r="L25" s="39">
        <f>+SUM(L2:L23)</f>
        <v>7732749283.7279997</v>
      </c>
      <c r="M25" s="31"/>
      <c r="N25" s="39"/>
      <c r="O25" s="39"/>
      <c r="P25" s="39"/>
      <c r="Q25" s="39"/>
      <c r="R25" s="39"/>
      <c r="S25" s="39"/>
      <c r="T25" s="39"/>
      <c r="U25" s="39"/>
      <c r="V25" s="31"/>
      <c r="W25" s="39">
        <f>+SUM(W2:W23)</f>
        <v>177224720.22241449</v>
      </c>
      <c r="X25" s="47">
        <f>(W25/L25)*100</f>
        <v>2.2918720589499508</v>
      </c>
    </row>
    <row r="27" spans="1:24" s="4" customFormat="1" ht="15" customHeight="1">
      <c r="A27" s="28" t="s">
        <v>647</v>
      </c>
      <c r="B27" s="29">
        <v>3125.21</v>
      </c>
      <c r="C27" s="49" t="s">
        <v>668</v>
      </c>
      <c r="D27" s="2">
        <v>4947777440</v>
      </c>
      <c r="E27" s="2" t="s">
        <v>36</v>
      </c>
      <c r="F27" s="2" t="s">
        <v>669</v>
      </c>
      <c r="G27" s="28" t="s">
        <v>5</v>
      </c>
      <c r="H27" s="2" t="s">
        <v>26</v>
      </c>
      <c r="I27" s="2">
        <v>4</v>
      </c>
      <c r="J27" s="2" t="s">
        <v>670</v>
      </c>
      <c r="K27" s="2">
        <v>79752</v>
      </c>
      <c r="L27" s="35">
        <v>249241747.91999999</v>
      </c>
      <c r="M27" s="36">
        <v>87640</v>
      </c>
      <c r="N27" s="37">
        <v>0</v>
      </c>
      <c r="O27" s="37">
        <v>1942068</v>
      </c>
      <c r="P27" s="37">
        <v>7015071</v>
      </c>
      <c r="Q27" s="37">
        <v>496548</v>
      </c>
      <c r="R27" s="37">
        <v>3362425</v>
      </c>
      <c r="S27" s="37">
        <v>343435</v>
      </c>
      <c r="T27" s="37"/>
      <c r="U27" s="37">
        <v>0</v>
      </c>
      <c r="V27" s="37">
        <v>0</v>
      </c>
      <c r="W27" s="45">
        <v>13159547</v>
      </c>
      <c r="X27" s="46">
        <v>5.2798325761316098</v>
      </c>
    </row>
    <row r="28" spans="1:24" s="4" customFormat="1" ht="15" customHeight="1">
      <c r="A28" s="28" t="s">
        <v>647</v>
      </c>
      <c r="B28" s="29">
        <v>3125.21</v>
      </c>
      <c r="C28" s="49" t="s">
        <v>674</v>
      </c>
      <c r="D28" s="2">
        <v>4947777438</v>
      </c>
      <c r="E28" s="2" t="s">
        <v>36</v>
      </c>
      <c r="F28" s="2" t="s">
        <v>675</v>
      </c>
      <c r="G28" s="28" t="s">
        <v>5</v>
      </c>
      <c r="H28" s="2" t="s">
        <v>26</v>
      </c>
      <c r="I28" s="2">
        <v>4</v>
      </c>
      <c r="J28" s="2" t="s">
        <v>676</v>
      </c>
      <c r="K28" s="2">
        <v>80271</v>
      </c>
      <c r="L28" s="35">
        <v>250863731.91</v>
      </c>
      <c r="M28" s="36">
        <v>88210</v>
      </c>
      <c r="N28" s="37">
        <v>0</v>
      </c>
      <c r="O28" s="37">
        <v>1942068</v>
      </c>
      <c r="P28" s="37">
        <v>7015071</v>
      </c>
      <c r="Q28" s="37">
        <v>496548</v>
      </c>
      <c r="R28" s="37">
        <v>3362425</v>
      </c>
      <c r="S28" s="37">
        <v>343435</v>
      </c>
      <c r="T28" s="37"/>
      <c r="U28" s="37">
        <v>0</v>
      </c>
      <c r="V28" s="37">
        <v>0</v>
      </c>
      <c r="W28" s="45">
        <v>13159547</v>
      </c>
      <c r="X28" s="46">
        <v>5.2456953023090298</v>
      </c>
    </row>
    <row r="29" spans="1:24" s="4" customFormat="1" ht="15" customHeight="1">
      <c r="A29" s="28" t="s">
        <v>647</v>
      </c>
      <c r="B29" s="29">
        <v>3125.21</v>
      </c>
      <c r="C29" s="30" t="s">
        <v>687</v>
      </c>
      <c r="D29" s="2">
        <v>4944127167</v>
      </c>
      <c r="E29" s="2" t="s">
        <v>36</v>
      </c>
      <c r="F29" s="2" t="s">
        <v>688</v>
      </c>
      <c r="G29" s="28" t="s">
        <v>5</v>
      </c>
      <c r="H29" s="2" t="s">
        <v>20</v>
      </c>
      <c r="I29" s="2">
        <v>1</v>
      </c>
      <c r="J29" s="2" t="s">
        <v>689</v>
      </c>
      <c r="K29" s="2">
        <v>31711.439999999999</v>
      </c>
      <c r="L29" s="35">
        <v>99104909.402400002</v>
      </c>
      <c r="M29" s="36">
        <v>17040</v>
      </c>
      <c r="N29" s="37">
        <v>320299</v>
      </c>
      <c r="O29" s="37">
        <v>318682</v>
      </c>
      <c r="P29" s="37">
        <v>0</v>
      </c>
      <c r="Q29" s="37">
        <v>99309</v>
      </c>
      <c r="R29" s="37">
        <v>532322</v>
      </c>
      <c r="S29" s="37">
        <v>343435</v>
      </c>
      <c r="T29" s="37"/>
      <c r="U29" s="37">
        <v>519300</v>
      </c>
      <c r="V29" s="37">
        <v>0</v>
      </c>
      <c r="W29" s="45">
        <v>2133347</v>
      </c>
      <c r="X29" s="46">
        <v>2.1526148531531102</v>
      </c>
    </row>
    <row r="30" spans="1:24" s="4" customFormat="1" ht="15" customHeight="1">
      <c r="A30" s="28" t="s">
        <v>647</v>
      </c>
      <c r="B30" s="29">
        <v>3125.21</v>
      </c>
      <c r="C30" s="30" t="s">
        <v>690</v>
      </c>
      <c r="D30" s="2">
        <v>4947782378</v>
      </c>
      <c r="E30" s="2" t="s">
        <v>36</v>
      </c>
      <c r="F30" s="2" t="s">
        <v>691</v>
      </c>
      <c r="G30" s="28" t="s">
        <v>5</v>
      </c>
      <c r="H30" s="2" t="s">
        <v>20</v>
      </c>
      <c r="I30" s="2">
        <v>1</v>
      </c>
      <c r="J30" s="2" t="s">
        <v>692</v>
      </c>
      <c r="K30" s="2">
        <v>27451.200000000001</v>
      </c>
      <c r="L30" s="35">
        <v>85790764.752000004</v>
      </c>
      <c r="M30" s="36">
        <v>16800</v>
      </c>
      <c r="N30" s="37">
        <v>298380</v>
      </c>
      <c r="O30" s="37">
        <v>318682</v>
      </c>
      <c r="P30" s="37">
        <v>323071</v>
      </c>
      <c r="Q30" s="37">
        <v>99309</v>
      </c>
      <c r="R30" s="37">
        <v>741123</v>
      </c>
      <c r="S30" s="37">
        <v>343435</v>
      </c>
      <c r="T30" s="37"/>
      <c r="U30" s="37">
        <v>519300</v>
      </c>
      <c r="V30" s="37">
        <v>0</v>
      </c>
      <c r="W30" s="45">
        <v>2643300</v>
      </c>
      <c r="X30" s="46">
        <v>3.0811008709866701</v>
      </c>
    </row>
    <row r="31" spans="1:24" s="4" customFormat="1" ht="15" customHeight="1">
      <c r="A31" s="28" t="s">
        <v>647</v>
      </c>
      <c r="B31" s="29">
        <v>3125.21</v>
      </c>
      <c r="C31" s="49" t="s">
        <v>699</v>
      </c>
      <c r="D31" s="2">
        <v>4947777436</v>
      </c>
      <c r="E31" s="2" t="s">
        <v>36</v>
      </c>
      <c r="F31" s="2" t="s">
        <v>700</v>
      </c>
      <c r="G31" s="28" t="s">
        <v>5</v>
      </c>
      <c r="H31" s="2" t="s">
        <v>26</v>
      </c>
      <c r="I31" s="2">
        <v>4</v>
      </c>
      <c r="J31" s="2" t="s">
        <v>701</v>
      </c>
      <c r="K31" s="2">
        <v>80535</v>
      </c>
      <c r="L31" s="35">
        <v>251688787.34999999</v>
      </c>
      <c r="M31" s="36">
        <v>88500</v>
      </c>
      <c r="N31" s="37">
        <v>0</v>
      </c>
      <c r="O31" s="37">
        <v>1942068</v>
      </c>
      <c r="P31" s="37">
        <v>7727526</v>
      </c>
      <c r="Q31" s="37">
        <v>496548</v>
      </c>
      <c r="R31" s="37">
        <v>3347880</v>
      </c>
      <c r="S31" s="37">
        <v>343435</v>
      </c>
      <c r="T31" s="37"/>
      <c r="U31" s="37">
        <v>0</v>
      </c>
      <c r="V31" s="37">
        <v>0</v>
      </c>
      <c r="W31" s="45">
        <v>13857457</v>
      </c>
      <c r="X31" s="46">
        <v>5.5057903635292798</v>
      </c>
    </row>
    <row r="32" spans="1:24" s="4" customFormat="1" ht="15" customHeight="1">
      <c r="A32" s="28" t="s">
        <v>647</v>
      </c>
      <c r="B32" s="29">
        <v>3125.21</v>
      </c>
      <c r="C32" s="30" t="s">
        <v>754</v>
      </c>
      <c r="D32" s="2">
        <v>4947782375</v>
      </c>
      <c r="E32" s="2" t="s">
        <v>36</v>
      </c>
      <c r="F32" s="2" t="s">
        <v>755</v>
      </c>
      <c r="G32" s="28" t="s">
        <v>5</v>
      </c>
      <c r="H32" s="2" t="s">
        <v>26</v>
      </c>
      <c r="I32" s="2">
        <v>1</v>
      </c>
      <c r="J32" s="2" t="s">
        <v>756</v>
      </c>
      <c r="K32" s="2">
        <v>35596.5</v>
      </c>
      <c r="L32" s="35">
        <v>111246537.765</v>
      </c>
      <c r="M32" s="36">
        <v>19930.848999999998</v>
      </c>
      <c r="N32" s="37">
        <v>320299</v>
      </c>
      <c r="O32" s="37">
        <v>389675</v>
      </c>
      <c r="P32" s="37">
        <v>149506</v>
      </c>
      <c r="Q32" s="37">
        <v>99309</v>
      </c>
      <c r="R32" s="37">
        <v>603945</v>
      </c>
      <c r="S32" s="37">
        <v>343435</v>
      </c>
      <c r="T32" s="37"/>
      <c r="U32" s="37">
        <v>0</v>
      </c>
      <c r="V32" s="37">
        <v>0</v>
      </c>
      <c r="W32" s="45">
        <v>1906169</v>
      </c>
      <c r="X32" s="46">
        <v>1.71346366214708</v>
      </c>
    </row>
    <row r="33" spans="1:24" s="4" customFormat="1" ht="15" customHeight="1">
      <c r="A33" s="28" t="s">
        <v>647</v>
      </c>
      <c r="B33" s="29">
        <v>3125.21</v>
      </c>
      <c r="C33" s="30" t="s">
        <v>814</v>
      </c>
      <c r="D33" s="2">
        <v>4948452718</v>
      </c>
      <c r="E33" s="2" t="s">
        <v>36</v>
      </c>
      <c r="F33" s="2" t="s">
        <v>815</v>
      </c>
      <c r="G33" s="28" t="s">
        <v>5</v>
      </c>
      <c r="H33" s="2" t="s">
        <v>20</v>
      </c>
      <c r="I33" s="2">
        <v>3</v>
      </c>
      <c r="J33" s="2" t="s">
        <v>816</v>
      </c>
      <c r="K33" s="2">
        <v>82353.600000000006</v>
      </c>
      <c r="L33" s="35">
        <v>257372294.25600001</v>
      </c>
      <c r="M33" s="36">
        <v>50400</v>
      </c>
      <c r="N33" s="37">
        <v>889992</v>
      </c>
      <c r="O33" s="37">
        <v>956046</v>
      </c>
      <c r="P33" s="37">
        <v>1061095</v>
      </c>
      <c r="Q33" s="37">
        <v>297928</v>
      </c>
      <c r="R33" s="37">
        <v>2414072</v>
      </c>
      <c r="S33" s="37">
        <v>354356</v>
      </c>
      <c r="T33" s="37"/>
      <c r="U33" s="37">
        <v>1557900</v>
      </c>
      <c r="V33" s="37">
        <v>0</v>
      </c>
      <c r="W33" s="45">
        <v>7531389</v>
      </c>
      <c r="X33" s="46">
        <v>2.9262625263420001</v>
      </c>
    </row>
    <row r="34" spans="1:24" s="4" customFormat="1" ht="15" customHeight="1">
      <c r="A34" s="28" t="s">
        <v>647</v>
      </c>
      <c r="B34" s="29">
        <v>3125.21</v>
      </c>
      <c r="C34" s="30" t="s">
        <v>817</v>
      </c>
      <c r="D34" s="2">
        <v>4948449282</v>
      </c>
      <c r="E34" s="2" t="s">
        <v>36</v>
      </c>
      <c r="F34" s="78" t="s">
        <v>818</v>
      </c>
      <c r="G34" s="28" t="s">
        <v>5</v>
      </c>
      <c r="H34" s="2" t="s">
        <v>20</v>
      </c>
      <c r="I34" s="2">
        <v>2</v>
      </c>
      <c r="J34" s="2" t="s">
        <v>819</v>
      </c>
      <c r="K34" s="2">
        <v>70000</v>
      </c>
      <c r="L34" s="35">
        <v>218764700</v>
      </c>
      <c r="M34" s="36">
        <v>40000</v>
      </c>
      <c r="N34" s="37">
        <v>644746</v>
      </c>
      <c r="O34" s="37">
        <v>637364</v>
      </c>
      <c r="P34" s="37">
        <v>0</v>
      </c>
      <c r="Q34" s="37">
        <v>198619</v>
      </c>
      <c r="R34" s="37">
        <v>1068891</v>
      </c>
      <c r="S34" s="37">
        <v>343435</v>
      </c>
      <c r="T34" s="37"/>
      <c r="U34" s="37">
        <v>1038600</v>
      </c>
      <c r="V34" s="37">
        <v>0</v>
      </c>
      <c r="W34" s="45">
        <v>3931655</v>
      </c>
      <c r="X34" s="46">
        <v>1.7972072276743001</v>
      </c>
    </row>
    <row r="35" spans="1:24" s="4" customFormat="1" ht="15" customHeight="1">
      <c r="A35" s="28" t="s">
        <v>647</v>
      </c>
      <c r="B35" s="29">
        <v>3125.21</v>
      </c>
      <c r="C35" s="49" t="s">
        <v>850</v>
      </c>
      <c r="D35" s="2">
        <v>4947777441</v>
      </c>
      <c r="E35" s="2" t="s">
        <v>36</v>
      </c>
      <c r="F35" s="2" t="s">
        <v>851</v>
      </c>
      <c r="G35" s="28" t="s">
        <v>5</v>
      </c>
      <c r="H35" s="2" t="s">
        <v>26</v>
      </c>
      <c r="I35" s="2">
        <v>4</v>
      </c>
      <c r="J35" s="2" t="s">
        <v>852</v>
      </c>
      <c r="K35" s="2">
        <v>76012</v>
      </c>
      <c r="L35" s="35">
        <v>237553462.52000001</v>
      </c>
      <c r="M35" s="36">
        <v>83530</v>
      </c>
      <c r="N35" s="37">
        <v>1309186</v>
      </c>
      <c r="O35" s="37">
        <v>1942068</v>
      </c>
      <c r="P35" s="37">
        <v>6556947</v>
      </c>
      <c r="Q35" s="37">
        <v>496548</v>
      </c>
      <c r="R35" s="37">
        <v>3344937</v>
      </c>
      <c r="S35" s="37">
        <v>343435</v>
      </c>
      <c r="T35" s="37"/>
      <c r="U35" s="37">
        <v>0</v>
      </c>
      <c r="V35" s="37">
        <v>0</v>
      </c>
      <c r="W35" s="45">
        <v>13993121</v>
      </c>
      <c r="X35" s="46">
        <v>5.8905144347546203</v>
      </c>
    </row>
    <row r="36" spans="1:24" s="4" customFormat="1" ht="15" customHeight="1">
      <c r="A36" s="28" t="s">
        <v>647</v>
      </c>
      <c r="B36" s="29">
        <v>3125.21</v>
      </c>
      <c r="C36" s="30" t="s">
        <v>933</v>
      </c>
      <c r="D36" s="2">
        <v>4947777442</v>
      </c>
      <c r="E36" s="2" t="s">
        <v>36</v>
      </c>
      <c r="F36" s="2" t="s">
        <v>934</v>
      </c>
      <c r="G36" s="28" t="s">
        <v>5</v>
      </c>
      <c r="H36" s="2" t="s">
        <v>26</v>
      </c>
      <c r="I36" s="2">
        <v>4</v>
      </c>
      <c r="J36" s="2" t="s">
        <v>935</v>
      </c>
      <c r="K36" s="2">
        <v>76685.7</v>
      </c>
      <c r="L36" s="35">
        <v>239658916.49700001</v>
      </c>
      <c r="M36" s="36">
        <v>84270</v>
      </c>
      <c r="N36" s="37">
        <v>1309186</v>
      </c>
      <c r="O36" s="37">
        <v>1920003</v>
      </c>
      <c r="P36" s="37">
        <v>6556947</v>
      </c>
      <c r="Q36" s="37">
        <v>496548</v>
      </c>
      <c r="R36" s="37">
        <v>3344937</v>
      </c>
      <c r="S36" s="37">
        <v>343435</v>
      </c>
      <c r="T36" s="37"/>
      <c r="U36" s="37">
        <v>0</v>
      </c>
      <c r="V36" s="37">
        <v>0</v>
      </c>
      <c r="W36" s="45">
        <v>13971056</v>
      </c>
      <c r="X36" s="46">
        <v>5.8295581922047504</v>
      </c>
    </row>
    <row r="37" spans="1:24" s="4" customFormat="1" ht="15" customHeight="1">
      <c r="A37" s="28" t="s">
        <v>647</v>
      </c>
      <c r="B37" s="29">
        <v>3125.21</v>
      </c>
      <c r="C37" s="30" t="s">
        <v>974</v>
      </c>
      <c r="D37" s="2">
        <v>4948291725</v>
      </c>
      <c r="E37" s="2" t="s">
        <v>36</v>
      </c>
      <c r="F37" s="2" t="s">
        <v>975</v>
      </c>
      <c r="G37" s="28" t="s">
        <v>5</v>
      </c>
      <c r="H37" s="2" t="s">
        <v>26</v>
      </c>
      <c r="I37" s="2">
        <v>4</v>
      </c>
      <c r="J37" s="2" t="s">
        <v>976</v>
      </c>
      <c r="K37" s="2">
        <v>77996.100000000006</v>
      </c>
      <c r="L37" s="35">
        <v>243754191.68099999</v>
      </c>
      <c r="M37" s="36">
        <v>85710</v>
      </c>
      <c r="N37" s="37">
        <v>0</v>
      </c>
      <c r="O37" s="37">
        <v>1920003</v>
      </c>
      <c r="P37" s="37">
        <v>5641528</v>
      </c>
      <c r="Q37" s="37">
        <v>496548</v>
      </c>
      <c r="R37" s="37">
        <v>3286181</v>
      </c>
      <c r="S37" s="37">
        <v>343435</v>
      </c>
      <c r="T37" s="37"/>
      <c r="U37" s="37">
        <v>0</v>
      </c>
      <c r="V37" s="37">
        <v>0</v>
      </c>
      <c r="W37" s="45">
        <v>11687695</v>
      </c>
      <c r="X37" s="46">
        <v>4.79486933922992</v>
      </c>
    </row>
    <row r="38" spans="1:24" s="4" customFormat="1" ht="15" customHeight="1">
      <c r="A38" s="28" t="s">
        <v>647</v>
      </c>
      <c r="B38" s="29">
        <v>3125.21</v>
      </c>
      <c r="C38" s="30" t="s">
        <v>1025</v>
      </c>
      <c r="D38" s="2">
        <v>4948294608</v>
      </c>
      <c r="E38" s="2" t="s">
        <v>36</v>
      </c>
      <c r="F38" s="78" t="s">
        <v>1026</v>
      </c>
      <c r="G38" s="28" t="s">
        <v>5</v>
      </c>
      <c r="H38" s="2" t="s">
        <v>26</v>
      </c>
      <c r="I38" s="2">
        <v>4</v>
      </c>
      <c r="J38" s="2" t="s">
        <v>1027</v>
      </c>
      <c r="K38" s="2">
        <v>79645.2</v>
      </c>
      <c r="L38" s="35">
        <v>248907975.49200001</v>
      </c>
      <c r="M38" s="36">
        <v>85640</v>
      </c>
      <c r="N38" s="37">
        <v>0</v>
      </c>
      <c r="O38" s="37">
        <v>1920003</v>
      </c>
      <c r="P38" s="37">
        <v>5190756</v>
      </c>
      <c r="Q38" s="37">
        <v>496548</v>
      </c>
      <c r="R38" s="37">
        <v>3256681</v>
      </c>
      <c r="S38" s="37">
        <v>354356</v>
      </c>
      <c r="T38" s="37"/>
      <c r="U38" s="37">
        <v>0</v>
      </c>
      <c r="V38" s="37">
        <v>0</v>
      </c>
      <c r="W38" s="45">
        <v>11218344</v>
      </c>
      <c r="X38" s="46">
        <v>4.5070247258350999</v>
      </c>
    </row>
    <row r="39" spans="1:24" s="4" customFormat="1" ht="15" customHeight="1">
      <c r="A39" s="28" t="s">
        <v>647</v>
      </c>
      <c r="B39" s="29">
        <v>3125.21</v>
      </c>
      <c r="C39" s="30" t="s">
        <v>1082</v>
      </c>
      <c r="D39" s="2">
        <v>4948449294</v>
      </c>
      <c r="E39" s="2" t="s">
        <v>36</v>
      </c>
      <c r="F39" s="2" t="s">
        <v>1083</v>
      </c>
      <c r="G39" s="28" t="s">
        <v>5</v>
      </c>
      <c r="H39" s="2" t="s">
        <v>20</v>
      </c>
      <c r="I39" s="2">
        <v>1</v>
      </c>
      <c r="J39" s="2" t="s">
        <v>1084</v>
      </c>
      <c r="K39" s="2">
        <v>31711.439999999999</v>
      </c>
      <c r="L39" s="35">
        <v>99104909.402400002</v>
      </c>
      <c r="M39" s="36">
        <v>17040</v>
      </c>
      <c r="N39" s="40">
        <v>321838</v>
      </c>
      <c r="O39" s="40">
        <v>315061</v>
      </c>
      <c r="P39" s="40">
        <v>0</v>
      </c>
      <c r="Q39" s="40">
        <v>99309</v>
      </c>
      <c r="R39" s="40">
        <v>534384</v>
      </c>
      <c r="S39" s="40">
        <v>354356</v>
      </c>
      <c r="T39" s="40"/>
      <c r="U39" s="40">
        <v>519300</v>
      </c>
      <c r="V39" s="40">
        <v>0</v>
      </c>
      <c r="W39" s="45">
        <v>2144248</v>
      </c>
      <c r="X39" s="46">
        <v>2.1636143082413999</v>
      </c>
    </row>
    <row r="41" spans="1:24" ht="15" customHeight="1">
      <c r="A41" s="31" t="s">
        <v>647</v>
      </c>
      <c r="B41" s="31"/>
      <c r="C41" s="31"/>
      <c r="D41" s="31"/>
      <c r="E41" s="31"/>
      <c r="F41" s="32">
        <v>13</v>
      </c>
      <c r="G41" s="31"/>
      <c r="H41" s="31"/>
      <c r="I41" s="38"/>
      <c r="J41" s="31"/>
      <c r="K41" s="39">
        <f>+SUM(K27:K39)</f>
        <v>829721.17999999982</v>
      </c>
      <c r="L41" s="39">
        <f>+SUM(L27:L39)</f>
        <v>2593052928.9478002</v>
      </c>
      <c r="M41" s="31"/>
      <c r="N41" s="39"/>
      <c r="O41" s="39"/>
      <c r="P41" s="39"/>
      <c r="Q41" s="39"/>
      <c r="R41" s="39"/>
      <c r="S41" s="39"/>
      <c r="T41" s="39"/>
      <c r="U41" s="39"/>
      <c r="V41" s="31"/>
      <c r="W41" s="39">
        <f>+SUM(W27:W39)</f>
        <v>111336875</v>
      </c>
      <c r="X41" s="47">
        <f>(W41/L41)*100</f>
        <v>4.2936599464314789</v>
      </c>
    </row>
    <row r="43" spans="1:24" s="4" customFormat="1" ht="15" customHeight="1">
      <c r="A43" s="28" t="s">
        <v>1109</v>
      </c>
      <c r="B43" s="29">
        <v>3106.0650000000001</v>
      </c>
      <c r="C43" s="30" t="s">
        <v>1117</v>
      </c>
      <c r="D43" s="2">
        <v>4947782368</v>
      </c>
      <c r="E43" s="2" t="s">
        <v>36</v>
      </c>
      <c r="F43" s="78" t="s">
        <v>1118</v>
      </c>
      <c r="G43" s="28" t="s">
        <v>5</v>
      </c>
      <c r="H43" s="2" t="s">
        <v>20</v>
      </c>
      <c r="I43" s="2">
        <v>1</v>
      </c>
      <c r="J43" s="2" t="s">
        <v>1119</v>
      </c>
      <c r="K43" s="2">
        <v>31711.439999999999</v>
      </c>
      <c r="L43" s="35">
        <v>98497793.883599997</v>
      </c>
      <c r="M43" s="36">
        <v>17040</v>
      </c>
      <c r="N43" s="40">
        <v>315336</v>
      </c>
      <c r="O43" s="40">
        <v>315124</v>
      </c>
      <c r="P43" s="40">
        <v>0</v>
      </c>
      <c r="Q43" s="40">
        <v>99309</v>
      </c>
      <c r="R43" s="40">
        <v>623924</v>
      </c>
      <c r="S43" s="40">
        <v>354356</v>
      </c>
      <c r="T43" s="40"/>
      <c r="U43" s="40">
        <v>519300</v>
      </c>
      <c r="V43" s="40">
        <v>0</v>
      </c>
      <c r="W43" s="45">
        <v>2227349</v>
      </c>
      <c r="X43" s="46">
        <v>2.2613186673319601</v>
      </c>
    </row>
    <row r="44" spans="1:24" s="4" customFormat="1" ht="15" customHeight="1">
      <c r="A44" s="28" t="s">
        <v>1109</v>
      </c>
      <c r="B44" s="29">
        <v>3106.0650000000001</v>
      </c>
      <c r="C44" s="30" t="s">
        <v>1125</v>
      </c>
      <c r="D44" s="2">
        <v>4948291731</v>
      </c>
      <c r="E44" s="2" t="s">
        <v>36</v>
      </c>
      <c r="F44" s="78" t="s">
        <v>1126</v>
      </c>
      <c r="G44" s="28" t="s">
        <v>5</v>
      </c>
      <c r="H44" s="2" t="s">
        <v>26</v>
      </c>
      <c r="I44" s="2">
        <v>4</v>
      </c>
      <c r="J44" s="2" t="s">
        <v>1127</v>
      </c>
      <c r="K44" s="2">
        <v>77932</v>
      </c>
      <c r="L44" s="35">
        <v>242061857.58000001</v>
      </c>
      <c r="M44" s="36">
        <v>85640</v>
      </c>
      <c r="N44" s="40">
        <v>0</v>
      </c>
      <c r="O44" s="40">
        <v>1920384</v>
      </c>
      <c r="P44" s="40">
        <v>5641528</v>
      </c>
      <c r="Q44" s="40">
        <v>496548</v>
      </c>
      <c r="R44" s="40">
        <v>3286181</v>
      </c>
      <c r="S44" s="40">
        <v>343435</v>
      </c>
      <c r="T44" s="40"/>
      <c r="U44" s="40">
        <v>0</v>
      </c>
      <c r="V44" s="40">
        <v>0</v>
      </c>
      <c r="W44" s="45">
        <v>11688076</v>
      </c>
      <c r="X44" s="46">
        <v>4.8285492463996196</v>
      </c>
    </row>
    <row r="45" spans="1:24" s="4" customFormat="1" ht="15" customHeight="1">
      <c r="A45" s="28" t="s">
        <v>1109</v>
      </c>
      <c r="B45" s="29">
        <v>3106.0650000000001</v>
      </c>
      <c r="C45" s="30" t="s">
        <v>1197</v>
      </c>
      <c r="D45" s="2">
        <v>4947299670</v>
      </c>
      <c r="E45" s="2" t="s">
        <v>36</v>
      </c>
      <c r="F45" s="2" t="s">
        <v>1198</v>
      </c>
      <c r="G45" s="28" t="s">
        <v>5</v>
      </c>
      <c r="H45" s="2" t="s">
        <v>26</v>
      </c>
      <c r="I45" s="2">
        <v>1</v>
      </c>
      <c r="J45" s="2" t="s">
        <v>1199</v>
      </c>
      <c r="K45" s="2">
        <v>69255.570000000007</v>
      </c>
      <c r="L45" s="35">
        <v>215112302.03205001</v>
      </c>
      <c r="M45" s="36">
        <v>25002.010999999999</v>
      </c>
      <c r="N45" s="40">
        <v>331180</v>
      </c>
      <c r="O45" s="40">
        <v>492801</v>
      </c>
      <c r="P45" s="40">
        <v>282231</v>
      </c>
      <c r="Q45" s="40">
        <v>108416</v>
      </c>
      <c r="R45" s="40">
        <v>955712</v>
      </c>
      <c r="S45" s="40">
        <v>343435</v>
      </c>
      <c r="T45" s="40"/>
      <c r="U45" s="40">
        <v>0</v>
      </c>
      <c r="V45" s="40">
        <v>0</v>
      </c>
      <c r="W45" s="45">
        <v>2513775</v>
      </c>
      <c r="X45" s="46">
        <v>1.16858728034321</v>
      </c>
    </row>
    <row r="46" spans="1:24" s="4" customFormat="1" ht="15" customHeight="1">
      <c r="A46" s="28" t="s">
        <v>1109</v>
      </c>
      <c r="B46" s="29">
        <v>3106.0650000000001</v>
      </c>
      <c r="C46" s="30" t="s">
        <v>1295</v>
      </c>
      <c r="D46" s="2">
        <v>4948892083</v>
      </c>
      <c r="E46" s="2" t="s">
        <v>36</v>
      </c>
      <c r="F46" s="78" t="s">
        <v>1296</v>
      </c>
      <c r="G46" s="28" t="s">
        <v>5</v>
      </c>
      <c r="H46" s="2" t="s">
        <v>20</v>
      </c>
      <c r="I46" s="2">
        <v>3</v>
      </c>
      <c r="J46" s="2" t="s">
        <v>1297</v>
      </c>
      <c r="K46" s="2">
        <v>109980</v>
      </c>
      <c r="L46" s="35">
        <v>341605028.69999999</v>
      </c>
      <c r="M46" s="36">
        <v>58500</v>
      </c>
      <c r="N46" s="40">
        <v>892193</v>
      </c>
      <c r="O46" s="40">
        <v>1177035</v>
      </c>
      <c r="P46" s="40">
        <v>1262211</v>
      </c>
      <c r="Q46" s="40">
        <v>372411</v>
      </c>
      <c r="R46" s="40">
        <v>2555901</v>
      </c>
      <c r="S46" s="40">
        <v>354356</v>
      </c>
      <c r="T46" s="40"/>
      <c r="U46" s="40">
        <v>14433600</v>
      </c>
      <c r="V46" s="40">
        <v>0</v>
      </c>
      <c r="W46" s="45">
        <v>21047707</v>
      </c>
      <c r="X46" s="46">
        <v>6.1614160307002503</v>
      </c>
    </row>
    <row r="47" spans="1:24" s="4" customFormat="1" ht="15" customHeight="1">
      <c r="A47" s="28" t="s">
        <v>1109</v>
      </c>
      <c r="B47" s="29">
        <v>3106.0650000000001</v>
      </c>
      <c r="C47" s="30" t="s">
        <v>1298</v>
      </c>
      <c r="D47" s="2">
        <v>4948449283</v>
      </c>
      <c r="E47" s="2" t="s">
        <v>36</v>
      </c>
      <c r="F47" s="78" t="s">
        <v>1299</v>
      </c>
      <c r="G47" s="28" t="s">
        <v>5</v>
      </c>
      <c r="H47" s="2" t="s">
        <v>20</v>
      </c>
      <c r="I47" s="2">
        <v>3</v>
      </c>
      <c r="J47" s="2" t="s">
        <v>1300</v>
      </c>
      <c r="K47" s="2">
        <v>131040</v>
      </c>
      <c r="L47" s="35">
        <v>407018757.60000002</v>
      </c>
      <c r="M47" s="36">
        <v>58500</v>
      </c>
      <c r="N47" s="40">
        <v>952920</v>
      </c>
      <c r="O47" s="40">
        <v>1177035</v>
      </c>
      <c r="P47" s="40">
        <v>0</v>
      </c>
      <c r="Q47" s="40">
        <v>372411</v>
      </c>
      <c r="R47" s="40">
        <v>2168452</v>
      </c>
      <c r="S47" s="40">
        <v>354356</v>
      </c>
      <c r="T47" s="40"/>
      <c r="U47" s="40">
        <v>1557900</v>
      </c>
      <c r="V47" s="40">
        <v>0</v>
      </c>
      <c r="W47" s="45">
        <v>6583074</v>
      </c>
      <c r="X47" s="46">
        <v>1.6173883579266299</v>
      </c>
    </row>
    <row r="48" spans="1:24" s="4" customFormat="1" ht="15" customHeight="1">
      <c r="A48" s="28" t="s">
        <v>1109</v>
      </c>
      <c r="B48" s="29">
        <v>3106.0650000000001</v>
      </c>
      <c r="C48" s="30" t="s">
        <v>1303</v>
      </c>
      <c r="D48" s="2">
        <v>4948449287</v>
      </c>
      <c r="E48" s="2" t="s">
        <v>36</v>
      </c>
      <c r="F48" s="78" t="s">
        <v>1304</v>
      </c>
      <c r="G48" s="28" t="s">
        <v>5</v>
      </c>
      <c r="H48" s="2" t="s">
        <v>20</v>
      </c>
      <c r="I48" s="2">
        <v>2</v>
      </c>
      <c r="J48" s="2" t="s">
        <v>1305</v>
      </c>
      <c r="K48" s="2">
        <v>87360</v>
      </c>
      <c r="L48" s="35">
        <v>271345838.39999998</v>
      </c>
      <c r="M48" s="36">
        <v>39000</v>
      </c>
      <c r="N48" s="40">
        <v>635280</v>
      </c>
      <c r="O48" s="40">
        <v>784690</v>
      </c>
      <c r="P48" s="40">
        <v>0</v>
      </c>
      <c r="Q48" s="40">
        <v>248274</v>
      </c>
      <c r="R48" s="40">
        <v>1446635</v>
      </c>
      <c r="S48" s="40">
        <v>354356</v>
      </c>
      <c r="T48" s="40"/>
      <c r="U48" s="40">
        <v>1038600</v>
      </c>
      <c r="V48" s="40">
        <v>0</v>
      </c>
      <c r="W48" s="45">
        <v>4507835</v>
      </c>
      <c r="X48" s="46">
        <v>1.66128768606904</v>
      </c>
    </row>
    <row r="49" spans="1:24" s="4" customFormat="1" ht="15" customHeight="1">
      <c r="A49" s="28" t="s">
        <v>1109</v>
      </c>
      <c r="B49" s="29">
        <v>3106.0650000000001</v>
      </c>
      <c r="C49" s="30" t="s">
        <v>1330</v>
      </c>
      <c r="D49" s="2">
        <v>4948452713</v>
      </c>
      <c r="E49" s="2" t="s">
        <v>36</v>
      </c>
      <c r="F49" s="78" t="s">
        <v>1331</v>
      </c>
      <c r="G49" s="28" t="s">
        <v>5</v>
      </c>
      <c r="H49" s="2" t="s">
        <v>26</v>
      </c>
      <c r="I49" s="2">
        <v>1</v>
      </c>
      <c r="J49" s="2" t="s">
        <v>1332</v>
      </c>
      <c r="K49" s="2">
        <v>35580.29</v>
      </c>
      <c r="L49" s="35">
        <v>110514693.45885</v>
      </c>
      <c r="M49" s="36">
        <v>19921.77</v>
      </c>
      <c r="N49" s="40">
        <v>321837</v>
      </c>
      <c r="O49" s="40">
        <v>385324</v>
      </c>
      <c r="P49" s="40">
        <v>375477</v>
      </c>
      <c r="Q49" s="40">
        <v>99309</v>
      </c>
      <c r="R49" s="40">
        <v>608966</v>
      </c>
      <c r="S49" s="40">
        <v>354356</v>
      </c>
      <c r="T49" s="40"/>
      <c r="U49" s="40">
        <v>0</v>
      </c>
      <c r="V49" s="40">
        <v>0</v>
      </c>
      <c r="W49" s="45">
        <v>2145269</v>
      </c>
      <c r="X49" s="46">
        <v>1.9411617884085099</v>
      </c>
    </row>
    <row r="50" spans="1:24" s="4" customFormat="1" ht="15" customHeight="1">
      <c r="A50" s="28" t="s">
        <v>1109</v>
      </c>
      <c r="B50" s="29">
        <v>3106.0650000000001</v>
      </c>
      <c r="C50" s="30" t="s">
        <v>1333</v>
      </c>
      <c r="D50" s="2">
        <v>4948291737</v>
      </c>
      <c r="E50" s="2" t="s">
        <v>36</v>
      </c>
      <c r="F50" s="78" t="s">
        <v>1334</v>
      </c>
      <c r="G50" s="28" t="s">
        <v>5</v>
      </c>
      <c r="H50" s="2" t="s">
        <v>26</v>
      </c>
      <c r="I50" s="2">
        <v>4</v>
      </c>
      <c r="J50" s="2" t="s">
        <v>1335</v>
      </c>
      <c r="K50" s="2">
        <v>79133.7</v>
      </c>
      <c r="L50" s="35">
        <v>245794415.89050001</v>
      </c>
      <c r="M50" s="36">
        <v>85090</v>
      </c>
      <c r="N50" s="40">
        <v>0</v>
      </c>
      <c r="O50" s="40">
        <v>1920384</v>
      </c>
      <c r="P50" s="40">
        <v>5190756</v>
      </c>
      <c r="Q50" s="40">
        <v>496548</v>
      </c>
      <c r="R50" s="40">
        <v>3256681</v>
      </c>
      <c r="S50" s="40">
        <v>354356</v>
      </c>
      <c r="T50" s="40"/>
      <c r="U50" s="40">
        <v>0</v>
      </c>
      <c r="V50" s="40">
        <v>0</v>
      </c>
      <c r="W50" s="45">
        <v>11218725</v>
      </c>
      <c r="X50" s="46">
        <v>4.56427171437364</v>
      </c>
    </row>
    <row r="51" spans="1:24" s="4" customFormat="1" ht="15" customHeight="1">
      <c r="A51" s="28" t="s">
        <v>1109</v>
      </c>
      <c r="B51" s="29">
        <v>3106.0650000000001</v>
      </c>
      <c r="C51" s="30" t="s">
        <v>1348</v>
      </c>
      <c r="D51" s="2">
        <v>4948892055</v>
      </c>
      <c r="E51" s="2" t="s">
        <v>36</v>
      </c>
      <c r="F51" s="78" t="s">
        <v>1349</v>
      </c>
      <c r="G51" s="28" t="s">
        <v>5</v>
      </c>
      <c r="H51" s="2" t="s">
        <v>20</v>
      </c>
      <c r="I51" s="2">
        <v>1</v>
      </c>
      <c r="J51" s="2" t="s">
        <v>1350</v>
      </c>
      <c r="K51" s="2">
        <v>34600</v>
      </c>
      <c r="L51" s="35">
        <v>107469849</v>
      </c>
      <c r="M51" s="36">
        <v>20000</v>
      </c>
      <c r="N51" s="40">
        <v>313889</v>
      </c>
      <c r="O51" s="40">
        <v>311327</v>
      </c>
      <c r="P51" s="40">
        <v>0</v>
      </c>
      <c r="Q51" s="40">
        <v>99309</v>
      </c>
      <c r="R51" s="40">
        <v>523724</v>
      </c>
      <c r="S51" s="40">
        <v>354356</v>
      </c>
      <c r="T51" s="40"/>
      <c r="U51" s="40">
        <v>519300</v>
      </c>
      <c r="V51" s="40">
        <v>0</v>
      </c>
      <c r="W51" s="45">
        <v>2121905</v>
      </c>
      <c r="X51" s="46">
        <v>1.9744188902694</v>
      </c>
    </row>
    <row r="52" spans="1:24" s="4" customFormat="1" ht="15" customHeight="1">
      <c r="A52" s="28" t="s">
        <v>1109</v>
      </c>
      <c r="B52" s="29">
        <v>3106.0650000000001</v>
      </c>
      <c r="C52" s="30" t="s">
        <v>1425</v>
      </c>
      <c r="D52" s="2">
        <v>4948892090</v>
      </c>
      <c r="E52" s="2" t="s">
        <v>36</v>
      </c>
      <c r="F52" s="78" t="s">
        <v>1426</v>
      </c>
      <c r="G52" s="28" t="s">
        <v>5</v>
      </c>
      <c r="H52" s="2" t="s">
        <v>26</v>
      </c>
      <c r="I52" s="2">
        <v>3</v>
      </c>
      <c r="J52" s="2" t="s">
        <v>1427</v>
      </c>
      <c r="K52" s="2">
        <v>140193.43</v>
      </c>
      <c r="L52" s="35">
        <v>435449906.15294999</v>
      </c>
      <c r="M52" s="36">
        <v>74969.747000000003</v>
      </c>
      <c r="N52" s="40">
        <v>954542</v>
      </c>
      <c r="O52" s="40">
        <v>1422951</v>
      </c>
      <c r="P52" s="40">
        <v>2505674</v>
      </c>
      <c r="Q52" s="40">
        <v>372411</v>
      </c>
      <c r="R52" s="40">
        <v>2631970</v>
      </c>
      <c r="S52" s="40">
        <v>354356</v>
      </c>
      <c r="T52" s="40"/>
      <c r="U52" s="40">
        <v>0</v>
      </c>
      <c r="V52" s="40">
        <v>0</v>
      </c>
      <c r="W52" s="45">
        <v>8241904</v>
      </c>
      <c r="X52" s="46">
        <v>1.8927329834135</v>
      </c>
    </row>
    <row r="53" spans="1:24" s="4" customFormat="1" ht="15" customHeight="1">
      <c r="A53" s="28" t="s">
        <v>1109</v>
      </c>
      <c r="B53" s="29">
        <v>3106.0650000000001</v>
      </c>
      <c r="C53" s="30" t="s">
        <v>1428</v>
      </c>
      <c r="D53" s="2">
        <v>4948892088</v>
      </c>
      <c r="E53" s="2" t="s">
        <v>36</v>
      </c>
      <c r="F53" s="2" t="s">
        <v>1429</v>
      </c>
      <c r="G53" s="28" t="s">
        <v>5</v>
      </c>
      <c r="H53" s="2" t="s">
        <v>26</v>
      </c>
      <c r="I53" s="2">
        <v>3</v>
      </c>
      <c r="J53" s="2" t="s">
        <v>1430</v>
      </c>
      <c r="K53" s="2">
        <v>140278.25</v>
      </c>
      <c r="L53" s="35">
        <v>435713362.58625001</v>
      </c>
      <c r="M53" s="36">
        <v>75015.106</v>
      </c>
      <c r="N53" s="40">
        <v>954542</v>
      </c>
      <c r="O53" s="40">
        <v>1422951</v>
      </c>
      <c r="P53" s="40">
        <v>2505674</v>
      </c>
      <c r="Q53" s="40">
        <v>372411</v>
      </c>
      <c r="R53" s="40">
        <v>2631970</v>
      </c>
      <c r="S53" s="40">
        <v>354356</v>
      </c>
      <c r="T53" s="40"/>
      <c r="U53" s="40">
        <v>0</v>
      </c>
      <c r="V53" s="40">
        <v>0</v>
      </c>
      <c r="W53" s="45">
        <v>8241904</v>
      </c>
      <c r="X53" s="46">
        <v>1.8915885322127399</v>
      </c>
    </row>
    <row r="54" spans="1:24" s="4" customFormat="1" ht="15" customHeight="1">
      <c r="A54" s="28" t="s">
        <v>1109</v>
      </c>
      <c r="B54" s="29">
        <v>3106.0650000000001</v>
      </c>
      <c r="C54" s="30" t="s">
        <v>1433</v>
      </c>
      <c r="D54" s="2">
        <v>4948296553</v>
      </c>
      <c r="E54" s="2" t="s">
        <v>36</v>
      </c>
      <c r="F54" s="78" t="s">
        <v>1434</v>
      </c>
      <c r="G54" s="28" t="s">
        <v>5</v>
      </c>
      <c r="H54" s="2" t="s">
        <v>26</v>
      </c>
      <c r="I54" s="2">
        <v>4</v>
      </c>
      <c r="J54" s="2" t="s">
        <v>1435</v>
      </c>
      <c r="K54" s="2">
        <v>79477.8</v>
      </c>
      <c r="L54" s="35">
        <v>246863212.85699999</v>
      </c>
      <c r="M54" s="36">
        <v>85480</v>
      </c>
      <c r="N54" s="40">
        <v>0</v>
      </c>
      <c r="O54" s="40">
        <v>1897247</v>
      </c>
      <c r="P54" s="40">
        <v>5552171</v>
      </c>
      <c r="Q54" s="40">
        <v>496548</v>
      </c>
      <c r="R54" s="40">
        <v>8829268</v>
      </c>
      <c r="S54" s="40">
        <v>354356</v>
      </c>
      <c r="T54" s="40"/>
      <c r="U54" s="40">
        <v>0</v>
      </c>
      <c r="V54" s="40">
        <v>0</v>
      </c>
      <c r="W54" s="45">
        <v>17129590</v>
      </c>
      <c r="X54" s="46">
        <v>6.9388994017195396</v>
      </c>
    </row>
    <row r="55" spans="1:24" s="4" customFormat="1" ht="15" customHeight="1">
      <c r="A55" s="28" t="s">
        <v>1109</v>
      </c>
      <c r="B55" s="29">
        <v>3106.0650000000001</v>
      </c>
      <c r="C55" s="30" t="s">
        <v>1440</v>
      </c>
      <c r="D55" s="2">
        <v>4948294649</v>
      </c>
      <c r="E55" s="2" t="s">
        <v>36</v>
      </c>
      <c r="F55" s="78" t="s">
        <v>1441</v>
      </c>
      <c r="G55" s="28" t="s">
        <v>5</v>
      </c>
      <c r="H55" s="2" t="s">
        <v>26</v>
      </c>
      <c r="I55" s="2">
        <v>4</v>
      </c>
      <c r="J55" s="2" t="s">
        <v>1442</v>
      </c>
      <c r="K55" s="2">
        <v>79449.899999999994</v>
      </c>
      <c r="L55" s="35">
        <v>246776553.6435</v>
      </c>
      <c r="M55" s="36">
        <v>85430</v>
      </c>
      <c r="N55" s="40">
        <v>0</v>
      </c>
      <c r="O55" s="40">
        <v>1897247</v>
      </c>
      <c r="P55" s="40">
        <v>5552171</v>
      </c>
      <c r="Q55" s="40">
        <v>496548</v>
      </c>
      <c r="R55" s="40">
        <v>8829268</v>
      </c>
      <c r="S55" s="40">
        <v>354356</v>
      </c>
      <c r="T55" s="40"/>
      <c r="U55" s="40">
        <v>0</v>
      </c>
      <c r="V55" s="40">
        <v>0</v>
      </c>
      <c r="W55" s="45">
        <v>17129590</v>
      </c>
      <c r="X55" s="46">
        <v>6.9413360982201997</v>
      </c>
    </row>
    <row r="56" spans="1:24" s="4" customFormat="1" ht="15" customHeight="1">
      <c r="A56" s="28" t="s">
        <v>1109</v>
      </c>
      <c r="B56" s="29">
        <v>3106.0650000000001</v>
      </c>
      <c r="C56" s="30" t="s">
        <v>1443</v>
      </c>
      <c r="D56" s="2">
        <v>4948952425</v>
      </c>
      <c r="E56" s="2" t="s">
        <v>36</v>
      </c>
      <c r="F56" s="78" t="s">
        <v>1444</v>
      </c>
      <c r="G56" s="28" t="s">
        <v>5</v>
      </c>
      <c r="H56" s="2" t="s">
        <v>26</v>
      </c>
      <c r="I56" s="2">
        <v>4</v>
      </c>
      <c r="J56" s="2" t="s">
        <v>1445</v>
      </c>
      <c r="K56" s="2">
        <v>79487.100000000006</v>
      </c>
      <c r="L56" s="35">
        <v>246892099.2615</v>
      </c>
      <c r="M56" s="36">
        <v>85470</v>
      </c>
      <c r="N56" s="40">
        <v>0</v>
      </c>
      <c r="O56" s="40">
        <v>1897247</v>
      </c>
      <c r="P56" s="40">
        <v>7053008</v>
      </c>
      <c r="Q56" s="40">
        <v>496548</v>
      </c>
      <c r="R56" s="40">
        <v>3266429</v>
      </c>
      <c r="S56" s="40">
        <v>354356</v>
      </c>
      <c r="T56" s="40"/>
      <c r="U56" s="40">
        <v>0</v>
      </c>
      <c r="V56" s="40">
        <v>0</v>
      </c>
      <c r="W56" s="45">
        <v>13067588</v>
      </c>
      <c r="X56" s="46">
        <v>5.2928336058900101</v>
      </c>
    </row>
    <row r="57" spans="1:24" s="4" customFormat="1" ht="15" customHeight="1">
      <c r="A57" s="28" t="s">
        <v>1109</v>
      </c>
      <c r="B57" s="29">
        <v>3106.0650000000001</v>
      </c>
      <c r="C57" s="30" t="s">
        <v>1446</v>
      </c>
      <c r="D57" s="2">
        <v>4948452713</v>
      </c>
      <c r="E57" s="2" t="s">
        <v>36</v>
      </c>
      <c r="F57" s="78" t="s">
        <v>1447</v>
      </c>
      <c r="G57" s="28" t="s">
        <v>5</v>
      </c>
      <c r="H57" s="2" t="s">
        <v>26</v>
      </c>
      <c r="I57" s="2">
        <v>2</v>
      </c>
      <c r="J57" s="2" t="s">
        <v>1448</v>
      </c>
      <c r="K57" s="2">
        <v>71209.2</v>
      </c>
      <c r="L57" s="35">
        <v>221180403.79800001</v>
      </c>
      <c r="M57" s="36">
        <v>39870.769999999997</v>
      </c>
      <c r="N57" s="40">
        <v>636362</v>
      </c>
      <c r="O57" s="40">
        <v>761365</v>
      </c>
      <c r="P57" s="40">
        <v>1039390</v>
      </c>
      <c r="Q57" s="40">
        <v>198619</v>
      </c>
      <c r="R57" s="40">
        <v>1201053</v>
      </c>
      <c r="S57" s="40">
        <v>354356</v>
      </c>
      <c r="T57" s="40"/>
      <c r="U57" s="40">
        <v>0</v>
      </c>
      <c r="V57" s="40">
        <v>0</v>
      </c>
      <c r="W57" s="45">
        <v>4191145</v>
      </c>
      <c r="X57" s="46">
        <v>1.89489888255548</v>
      </c>
    </row>
    <row r="58" spans="1:24" s="4" customFormat="1" ht="15" customHeight="1">
      <c r="A58" s="28" t="s">
        <v>1109</v>
      </c>
      <c r="B58" s="29">
        <v>3106.0650000000001</v>
      </c>
      <c r="C58" s="30" t="s">
        <v>1449</v>
      </c>
      <c r="D58" s="2">
        <v>4948952439</v>
      </c>
      <c r="E58" s="2" t="s">
        <v>36</v>
      </c>
      <c r="F58" s="78" t="s">
        <v>1450</v>
      </c>
      <c r="G58" s="28" t="s">
        <v>5</v>
      </c>
      <c r="H58" s="2" t="s">
        <v>26</v>
      </c>
      <c r="I58" s="2">
        <v>4</v>
      </c>
      <c r="J58" s="2" t="s">
        <v>1451</v>
      </c>
      <c r="K58" s="2">
        <v>79563.600000000006</v>
      </c>
      <c r="L58" s="35">
        <v>247129713.234</v>
      </c>
      <c r="M58" s="36">
        <v>85520</v>
      </c>
      <c r="N58" s="40">
        <v>0</v>
      </c>
      <c r="O58" s="40">
        <v>1897247</v>
      </c>
      <c r="P58" s="40">
        <v>9887525</v>
      </c>
      <c r="Q58" s="40">
        <v>496548</v>
      </c>
      <c r="R58" s="40">
        <v>3251768</v>
      </c>
      <c r="S58" s="40">
        <v>354356</v>
      </c>
      <c r="T58" s="40"/>
      <c r="U58" s="40">
        <v>0</v>
      </c>
      <c r="V58" s="40">
        <v>0</v>
      </c>
      <c r="W58" s="45">
        <v>15887444</v>
      </c>
      <c r="X58" s="46">
        <v>6.4287874542049304</v>
      </c>
    </row>
    <row r="59" spans="1:24" s="4" customFormat="1" ht="15" customHeight="1">
      <c r="A59" s="28" t="s">
        <v>1109</v>
      </c>
      <c r="B59" s="29">
        <v>3106.0650000000001</v>
      </c>
      <c r="C59" s="30" t="s">
        <v>1452</v>
      </c>
      <c r="D59" s="2">
        <v>4948892095</v>
      </c>
      <c r="E59" s="2" t="s">
        <v>36</v>
      </c>
      <c r="F59" s="78" t="s">
        <v>1453</v>
      </c>
      <c r="G59" s="28" t="s">
        <v>5</v>
      </c>
      <c r="H59" s="2" t="s">
        <v>26</v>
      </c>
      <c r="I59" s="2">
        <v>1</v>
      </c>
      <c r="J59" s="2" t="s">
        <v>1454</v>
      </c>
      <c r="K59" s="2">
        <v>46804.65</v>
      </c>
      <c r="L59" s="35">
        <v>145378285.20225</v>
      </c>
      <c r="M59" s="36">
        <v>25029.226999999999</v>
      </c>
      <c r="N59" s="40">
        <v>318181</v>
      </c>
      <c r="O59" s="40">
        <v>380682</v>
      </c>
      <c r="P59" s="40">
        <v>556816</v>
      </c>
      <c r="Q59" s="40">
        <v>99309</v>
      </c>
      <c r="R59" s="40">
        <v>878221</v>
      </c>
      <c r="S59" s="40">
        <v>354356</v>
      </c>
      <c r="T59" s="40"/>
      <c r="U59" s="40">
        <v>0</v>
      </c>
      <c r="V59" s="40">
        <v>0</v>
      </c>
      <c r="W59" s="45">
        <v>2587565</v>
      </c>
      <c r="X59" s="46">
        <v>1.7798841115784101</v>
      </c>
    </row>
    <row r="60" spans="1:24" s="4" customFormat="1" ht="15" customHeight="1">
      <c r="A60" s="28" t="s">
        <v>1109</v>
      </c>
      <c r="B60" s="29">
        <v>3106.0650000000001</v>
      </c>
      <c r="C60" s="30" t="s">
        <v>1455</v>
      </c>
      <c r="D60" s="2">
        <v>4948452720</v>
      </c>
      <c r="E60" s="2" t="s">
        <v>36</v>
      </c>
      <c r="F60" s="2" t="s">
        <v>1456</v>
      </c>
      <c r="G60" s="28" t="s">
        <v>5</v>
      </c>
      <c r="H60" s="2" t="s">
        <v>26</v>
      </c>
      <c r="I60" s="2">
        <v>3</v>
      </c>
      <c r="J60" s="2" t="s">
        <v>1457</v>
      </c>
      <c r="K60" s="2">
        <v>104290.46</v>
      </c>
      <c r="L60" s="35">
        <v>323932947.63990003</v>
      </c>
      <c r="M60" s="36">
        <v>67458.192999999999</v>
      </c>
      <c r="N60" s="40">
        <v>934607</v>
      </c>
      <c r="O60" s="40">
        <v>1422951</v>
      </c>
      <c r="P60" s="40">
        <v>1802290</v>
      </c>
      <c r="Q60" s="40">
        <v>372411</v>
      </c>
      <c r="R60" s="40">
        <v>2086770</v>
      </c>
      <c r="S60" s="40">
        <v>354356</v>
      </c>
      <c r="T60" s="40"/>
      <c r="U60" s="40">
        <v>0</v>
      </c>
      <c r="V60" s="40">
        <v>0</v>
      </c>
      <c r="W60" s="45">
        <v>6973385</v>
      </c>
      <c r="X60" s="46">
        <v>2.1527248311128799</v>
      </c>
    </row>
    <row r="61" spans="1:24" s="4" customFormat="1" ht="15" customHeight="1">
      <c r="A61" s="28" t="s">
        <v>1109</v>
      </c>
      <c r="B61" s="29">
        <v>3106.0650000000001</v>
      </c>
      <c r="C61" s="30" t="s">
        <v>1458</v>
      </c>
      <c r="D61" s="2">
        <v>4948952431</v>
      </c>
      <c r="E61" s="2" t="s">
        <v>36</v>
      </c>
      <c r="F61" s="78" t="s">
        <v>1459</v>
      </c>
      <c r="G61" s="28" t="s">
        <v>5</v>
      </c>
      <c r="H61" s="2" t="s">
        <v>26</v>
      </c>
      <c r="I61" s="2">
        <v>4</v>
      </c>
      <c r="J61" s="2" t="s">
        <v>1460</v>
      </c>
      <c r="K61" s="2">
        <v>79533.600000000006</v>
      </c>
      <c r="L61" s="35">
        <v>247036531.28400001</v>
      </c>
      <c r="M61" s="36">
        <v>85520</v>
      </c>
      <c r="N61" s="40">
        <v>0</v>
      </c>
      <c r="O61" s="40">
        <v>1897247</v>
      </c>
      <c r="P61" s="40">
        <v>7053008</v>
      </c>
      <c r="Q61" s="40">
        <v>496548</v>
      </c>
      <c r="R61" s="40">
        <v>3266429</v>
      </c>
      <c r="S61" s="40">
        <v>354356</v>
      </c>
      <c r="T61" s="40"/>
      <c r="U61" s="40">
        <v>0</v>
      </c>
      <c r="V61" s="40">
        <v>0</v>
      </c>
      <c r="W61" s="45">
        <v>13067588</v>
      </c>
      <c r="X61" s="46">
        <v>5.2897391054188398</v>
      </c>
    </row>
    <row r="62" spans="1:24" s="4" customFormat="1" ht="15" customHeight="1">
      <c r="A62" s="28" t="s">
        <v>1109</v>
      </c>
      <c r="B62" s="29">
        <v>3106.0650000000001</v>
      </c>
      <c r="C62" s="30" t="s">
        <v>1461</v>
      </c>
      <c r="D62" s="2">
        <v>4948952444</v>
      </c>
      <c r="E62" s="2" t="s">
        <v>36</v>
      </c>
      <c r="F62" s="78" t="s">
        <v>1462</v>
      </c>
      <c r="G62" s="28" t="s">
        <v>5</v>
      </c>
      <c r="H62" s="2" t="s">
        <v>26</v>
      </c>
      <c r="I62" s="2">
        <v>4</v>
      </c>
      <c r="J62" s="2" t="s">
        <v>1463</v>
      </c>
      <c r="K62" s="2">
        <v>79515</v>
      </c>
      <c r="L62" s="35">
        <v>246978758.47499999</v>
      </c>
      <c r="M62" s="36">
        <v>85500</v>
      </c>
      <c r="N62" s="40">
        <v>0</v>
      </c>
      <c r="O62" s="40">
        <v>1897247</v>
      </c>
      <c r="P62" s="40">
        <v>9887525</v>
      </c>
      <c r="Q62" s="40">
        <v>496548</v>
      </c>
      <c r="R62" s="40">
        <v>3251768</v>
      </c>
      <c r="S62" s="40">
        <v>354356</v>
      </c>
      <c r="T62" s="40"/>
      <c r="U62" s="40">
        <v>0</v>
      </c>
      <c r="V62" s="40">
        <v>0</v>
      </c>
      <c r="W62" s="45">
        <v>15887444</v>
      </c>
      <c r="X62" s="46">
        <v>6.4327167640241303</v>
      </c>
    </row>
    <row r="63" spans="1:24" s="4" customFormat="1" ht="15" customHeight="1">
      <c r="A63" s="28" t="s">
        <v>1109</v>
      </c>
      <c r="B63" s="29">
        <v>3106.0650000000001</v>
      </c>
      <c r="C63" s="30" t="s">
        <v>1469</v>
      </c>
      <c r="D63" s="2">
        <v>4949168415</v>
      </c>
      <c r="E63" s="2" t="s">
        <v>36</v>
      </c>
      <c r="F63" s="2" t="s">
        <v>1470</v>
      </c>
      <c r="G63" s="28" t="s">
        <v>5</v>
      </c>
      <c r="H63" s="2" t="s">
        <v>26</v>
      </c>
      <c r="I63" s="2">
        <v>4</v>
      </c>
      <c r="J63" s="2" t="s">
        <v>1471</v>
      </c>
      <c r="K63" s="2">
        <v>73098</v>
      </c>
      <c r="L63" s="35">
        <v>227047139.37</v>
      </c>
      <c r="M63" s="36">
        <v>78600</v>
      </c>
      <c r="N63" s="40">
        <v>1272976</v>
      </c>
      <c r="O63" s="40">
        <v>1897247</v>
      </c>
      <c r="P63" s="40">
        <v>6311840</v>
      </c>
      <c r="Q63" s="40">
        <v>496548</v>
      </c>
      <c r="R63" s="40">
        <v>3529751</v>
      </c>
      <c r="S63" s="40">
        <v>354356</v>
      </c>
      <c r="T63" s="40"/>
      <c r="U63" s="40">
        <v>0</v>
      </c>
      <c r="V63" s="40">
        <v>0</v>
      </c>
      <c r="W63" s="45">
        <v>13862718</v>
      </c>
      <c r="X63" s="46">
        <v>6.10565631369135</v>
      </c>
    </row>
    <row r="64" spans="1:24" s="4" customFormat="1" ht="15" customHeight="1">
      <c r="A64" s="28" t="s">
        <v>1109</v>
      </c>
      <c r="B64" s="29">
        <v>3106.0650000000001</v>
      </c>
      <c r="C64" s="30" t="s">
        <v>1472</v>
      </c>
      <c r="D64" s="2">
        <v>4949168414</v>
      </c>
      <c r="E64" s="2" t="s">
        <v>36</v>
      </c>
      <c r="F64" s="2" t="s">
        <v>1473</v>
      </c>
      <c r="G64" s="28" t="s">
        <v>5</v>
      </c>
      <c r="H64" s="2" t="s">
        <v>26</v>
      </c>
      <c r="I64" s="2">
        <v>2</v>
      </c>
      <c r="J64" s="2" t="s">
        <v>1474</v>
      </c>
      <c r="K64" s="2">
        <v>36883.800000000003</v>
      </c>
      <c r="L64" s="35">
        <v>114563480.24699999</v>
      </c>
      <c r="M64" s="36">
        <v>39660</v>
      </c>
      <c r="N64" s="40">
        <v>636488</v>
      </c>
      <c r="O64" s="40">
        <v>948623</v>
      </c>
      <c r="P64" s="40">
        <v>3155940</v>
      </c>
      <c r="Q64" s="40">
        <v>248273</v>
      </c>
      <c r="R64" s="40">
        <v>1764877</v>
      </c>
      <c r="S64" s="40">
        <v>354356</v>
      </c>
      <c r="T64" s="40"/>
      <c r="U64" s="40">
        <v>0</v>
      </c>
      <c r="V64" s="40">
        <v>0</v>
      </c>
      <c r="W64" s="45">
        <v>7108557</v>
      </c>
      <c r="X64" s="46">
        <v>6.2049066462313096</v>
      </c>
    </row>
    <row r="65" spans="1:24" s="4" customFormat="1" ht="15" customHeight="1">
      <c r="A65" s="28" t="s">
        <v>1109</v>
      </c>
      <c r="B65" s="29">
        <v>3106.0650000000001</v>
      </c>
      <c r="C65" s="30" t="s">
        <v>1475</v>
      </c>
      <c r="D65" s="2">
        <v>4949229729</v>
      </c>
      <c r="E65" s="2" t="s">
        <v>36</v>
      </c>
      <c r="F65" s="2" t="s">
        <v>1476</v>
      </c>
      <c r="G65" s="28" t="s">
        <v>5</v>
      </c>
      <c r="H65" s="2" t="s">
        <v>26</v>
      </c>
      <c r="I65" s="2">
        <v>1</v>
      </c>
      <c r="J65" s="2" t="s">
        <v>1477</v>
      </c>
      <c r="K65" s="2">
        <v>34201.24</v>
      </c>
      <c r="L65" s="35">
        <v>106231274.52060001</v>
      </c>
      <c r="M65" s="36">
        <v>19803.843000000001</v>
      </c>
      <c r="N65" s="40">
        <v>313889</v>
      </c>
      <c r="O65" s="40">
        <v>380682</v>
      </c>
      <c r="P65" s="40">
        <v>1318336</v>
      </c>
      <c r="Q65" s="40">
        <v>99309</v>
      </c>
      <c r="R65" s="40">
        <v>598514</v>
      </c>
      <c r="S65" s="40">
        <v>354356</v>
      </c>
      <c r="T65" s="40"/>
      <c r="U65" s="40">
        <v>0</v>
      </c>
      <c r="V65" s="40">
        <v>0</v>
      </c>
      <c r="W65" s="45">
        <v>3065086</v>
      </c>
      <c r="X65" s="46">
        <v>2.8852953274185098</v>
      </c>
    </row>
    <row r="66" spans="1:24" s="4" customFormat="1" ht="15" customHeight="1">
      <c r="A66" s="28" t="s">
        <v>1109</v>
      </c>
      <c r="B66" s="29">
        <v>3106.0650000000001</v>
      </c>
      <c r="C66" s="30" t="s">
        <v>1481</v>
      </c>
      <c r="D66" s="2">
        <v>4948957158</v>
      </c>
      <c r="E66" s="2" t="s">
        <v>36</v>
      </c>
      <c r="F66" s="2" t="s">
        <v>1482</v>
      </c>
      <c r="G66" s="28" t="s">
        <v>5</v>
      </c>
      <c r="H66" s="2" t="s">
        <v>26</v>
      </c>
      <c r="I66" s="2">
        <v>4</v>
      </c>
      <c r="J66" s="2" t="s">
        <v>1483</v>
      </c>
      <c r="K66" s="2">
        <v>79524.3</v>
      </c>
      <c r="L66" s="35">
        <v>247007644.8795</v>
      </c>
      <c r="M66" s="36">
        <v>85510</v>
      </c>
      <c r="N66" s="40">
        <v>1272976</v>
      </c>
      <c r="O66" s="40">
        <v>1897247</v>
      </c>
      <c r="P66" s="40">
        <v>6311840</v>
      </c>
      <c r="Q66" s="40">
        <v>496548</v>
      </c>
      <c r="R66" s="40">
        <v>3529751</v>
      </c>
      <c r="S66" s="40">
        <v>354356</v>
      </c>
      <c r="T66" s="40"/>
      <c r="U66" s="40">
        <v>0</v>
      </c>
      <c r="V66" s="40">
        <v>0</v>
      </c>
      <c r="W66" s="45">
        <v>13862718</v>
      </c>
      <c r="X66" s="46">
        <v>5.6122627325007599</v>
      </c>
    </row>
    <row r="67" spans="1:24" s="4" customFormat="1" ht="15" customHeight="1">
      <c r="A67" s="28" t="s">
        <v>1109</v>
      </c>
      <c r="B67" s="29">
        <v>3106.0650000000001</v>
      </c>
      <c r="C67" s="30" t="s">
        <v>1520</v>
      </c>
      <c r="D67" s="2">
        <v>4948892056</v>
      </c>
      <c r="E67" s="2" t="s">
        <v>36</v>
      </c>
      <c r="F67" s="2" t="s">
        <v>1521</v>
      </c>
      <c r="G67" s="28" t="s">
        <v>5</v>
      </c>
      <c r="H67" s="2" t="s">
        <v>20</v>
      </c>
      <c r="I67" s="2">
        <v>1</v>
      </c>
      <c r="J67" s="2" t="s">
        <v>1522</v>
      </c>
      <c r="K67" s="2">
        <v>34600</v>
      </c>
      <c r="L67" s="35">
        <v>107469849</v>
      </c>
      <c r="M67" s="36">
        <v>20000</v>
      </c>
      <c r="N67" s="40">
        <v>318244</v>
      </c>
      <c r="O67" s="40">
        <v>311327</v>
      </c>
      <c r="P67" s="40">
        <v>0</v>
      </c>
      <c r="Q67" s="40">
        <v>99309</v>
      </c>
      <c r="R67" s="40">
        <v>532238</v>
      </c>
      <c r="S67" s="40">
        <v>354356</v>
      </c>
      <c r="T67" s="40"/>
      <c r="U67" s="40">
        <v>519300</v>
      </c>
      <c r="V67" s="40">
        <v>0</v>
      </c>
      <c r="W67" s="45">
        <v>2134774</v>
      </c>
      <c r="X67" s="46">
        <v>1.9863934116070101</v>
      </c>
    </row>
    <row r="68" spans="1:24" s="4" customFormat="1" ht="15" customHeight="1">
      <c r="A68" s="28" t="s">
        <v>1109</v>
      </c>
      <c r="B68" s="29">
        <v>3106.0650000000001</v>
      </c>
      <c r="C68" s="30" t="s">
        <v>1547</v>
      </c>
      <c r="D68" s="2">
        <v>4948892084</v>
      </c>
      <c r="E68" s="2" t="s">
        <v>36</v>
      </c>
      <c r="F68" s="2" t="s">
        <v>1548</v>
      </c>
      <c r="G68" s="28" t="s">
        <v>5</v>
      </c>
      <c r="H68" s="2" t="s">
        <v>20</v>
      </c>
      <c r="I68" s="2">
        <v>2</v>
      </c>
      <c r="J68" s="2" t="s">
        <v>1549</v>
      </c>
      <c r="K68" s="2">
        <v>73320</v>
      </c>
      <c r="L68" s="35">
        <v>227736685.80000001</v>
      </c>
      <c r="M68" s="36">
        <v>39000</v>
      </c>
      <c r="N68" s="40">
        <v>603003</v>
      </c>
      <c r="O68" s="40">
        <v>775236</v>
      </c>
      <c r="P68" s="40">
        <v>149728</v>
      </c>
      <c r="Q68" s="40">
        <v>248274</v>
      </c>
      <c r="R68" s="40">
        <v>1716384</v>
      </c>
      <c r="S68" s="40">
        <v>354356</v>
      </c>
      <c r="T68" s="40"/>
      <c r="U68" s="40">
        <v>1038600</v>
      </c>
      <c r="V68" s="40">
        <v>0</v>
      </c>
      <c r="W68" s="45">
        <v>4885581</v>
      </c>
      <c r="X68" s="46">
        <v>2.1452762355076</v>
      </c>
    </row>
    <row r="69" spans="1:24" s="4" customFormat="1" ht="15" customHeight="1">
      <c r="A69" s="28" t="s">
        <v>1109</v>
      </c>
      <c r="B69" s="29">
        <v>3106.0650000000001</v>
      </c>
      <c r="C69" s="30" t="s">
        <v>1569</v>
      </c>
      <c r="D69" s="2">
        <v>4948449292</v>
      </c>
      <c r="E69" s="2" t="s">
        <v>36</v>
      </c>
      <c r="F69" s="2" t="s">
        <v>1570</v>
      </c>
      <c r="G69" s="28" t="s">
        <v>5</v>
      </c>
      <c r="H69" s="2" t="s">
        <v>26</v>
      </c>
      <c r="I69" s="2">
        <v>4</v>
      </c>
      <c r="J69" s="2" t="s">
        <v>1571</v>
      </c>
      <c r="K69" s="2">
        <v>220977.75</v>
      </c>
      <c r="L69" s="35">
        <v>686371255.05375004</v>
      </c>
      <c r="M69" s="36">
        <v>99989.93</v>
      </c>
      <c r="N69" s="40">
        <v>1246142</v>
      </c>
      <c r="O69" s="40">
        <v>1884840</v>
      </c>
      <c r="P69" s="40">
        <v>2282137</v>
      </c>
      <c r="Q69" s="40">
        <v>414665</v>
      </c>
      <c r="R69" s="40">
        <v>3396048</v>
      </c>
      <c r="S69" s="40">
        <v>354356</v>
      </c>
      <c r="T69" s="40"/>
      <c r="U69" s="40">
        <v>0</v>
      </c>
      <c r="V69" s="40">
        <v>0</v>
      </c>
      <c r="W69" s="45">
        <v>9578188</v>
      </c>
      <c r="X69" s="46">
        <v>1.3954820994433901</v>
      </c>
    </row>
    <row r="70" spans="1:24" s="4" customFormat="1" ht="15" customHeight="1">
      <c r="A70" s="28" t="s">
        <v>1109</v>
      </c>
      <c r="B70" s="29">
        <v>3106.0650000000001</v>
      </c>
      <c r="C70" s="30" t="s">
        <v>1461</v>
      </c>
      <c r="D70" s="2">
        <v>4948952444</v>
      </c>
      <c r="E70" s="2" t="s">
        <v>36</v>
      </c>
      <c r="F70" s="78" t="s">
        <v>1462</v>
      </c>
      <c r="G70" s="28" t="s">
        <v>5</v>
      </c>
      <c r="H70" s="2" t="s">
        <v>26</v>
      </c>
      <c r="I70" s="2">
        <v>4</v>
      </c>
      <c r="J70" s="2" t="s">
        <v>1463</v>
      </c>
      <c r="K70" s="2">
        <v>79515</v>
      </c>
      <c r="L70" s="35">
        <v>246978758.47499999</v>
      </c>
      <c r="M70" s="36">
        <v>85500</v>
      </c>
      <c r="N70" s="40">
        <v>0</v>
      </c>
      <c r="O70" s="40">
        <v>1897247</v>
      </c>
      <c r="P70" s="40">
        <v>9887525</v>
      </c>
      <c r="Q70" s="40">
        <v>496548</v>
      </c>
      <c r="R70" s="40">
        <v>3251768</v>
      </c>
      <c r="S70" s="40">
        <v>354356</v>
      </c>
      <c r="T70" s="40"/>
      <c r="U70" s="40">
        <v>0</v>
      </c>
      <c r="V70" s="40">
        <v>0</v>
      </c>
      <c r="W70" s="45">
        <v>15887444</v>
      </c>
      <c r="X70" s="46">
        <v>6.4327167640241303</v>
      </c>
    </row>
    <row r="71" spans="1:24" s="4" customFormat="1" ht="15" customHeight="1">
      <c r="A71" s="28" t="s">
        <v>1109</v>
      </c>
      <c r="B71" s="29">
        <v>3106.0650000000001</v>
      </c>
      <c r="C71" s="30" t="s">
        <v>1458</v>
      </c>
      <c r="D71" s="2">
        <v>4948952431</v>
      </c>
      <c r="E71" s="2" t="s">
        <v>36</v>
      </c>
      <c r="F71" s="78" t="s">
        <v>1459</v>
      </c>
      <c r="G71" s="28" t="s">
        <v>5</v>
      </c>
      <c r="H71" s="2" t="s">
        <v>26</v>
      </c>
      <c r="I71" s="2">
        <v>4</v>
      </c>
      <c r="J71" s="2" t="s">
        <v>1576</v>
      </c>
      <c r="K71" s="2">
        <v>79533.600000000006</v>
      </c>
      <c r="L71" s="35">
        <v>247036531.28400001</v>
      </c>
      <c r="M71" s="36">
        <v>85520</v>
      </c>
      <c r="N71" s="40">
        <v>0</v>
      </c>
      <c r="O71" s="40">
        <v>1897247</v>
      </c>
      <c r="P71" s="40">
        <v>7053008</v>
      </c>
      <c r="Q71" s="40">
        <v>496548</v>
      </c>
      <c r="R71" s="40">
        <v>3266429</v>
      </c>
      <c r="S71" s="40">
        <v>354356</v>
      </c>
      <c r="T71" s="40"/>
      <c r="U71" s="40">
        <v>0</v>
      </c>
      <c r="V71" s="40">
        <v>0</v>
      </c>
      <c r="W71" s="45">
        <v>13067588</v>
      </c>
      <c r="X71" s="46">
        <v>5.2897391054188398</v>
      </c>
    </row>
    <row r="72" spans="1:24" s="4" customFormat="1" ht="15" customHeight="1">
      <c r="A72" s="28" t="s">
        <v>1109</v>
      </c>
      <c r="B72" s="29">
        <v>3106.0650000000001</v>
      </c>
      <c r="C72" s="30" t="s">
        <v>1599</v>
      </c>
      <c r="D72" s="2">
        <v>4948892100</v>
      </c>
      <c r="E72" s="2" t="s">
        <v>36</v>
      </c>
      <c r="F72" s="2" t="s">
        <v>1600</v>
      </c>
      <c r="G72" s="28" t="s">
        <v>5</v>
      </c>
      <c r="H72" s="2" t="s">
        <v>26</v>
      </c>
      <c r="I72" s="2">
        <v>1</v>
      </c>
      <c r="J72" s="2" t="s">
        <v>1601</v>
      </c>
      <c r="K72" s="2">
        <v>34028.9</v>
      </c>
      <c r="L72" s="35">
        <v>105695975.27850001</v>
      </c>
      <c r="M72" s="36">
        <v>19704.053</v>
      </c>
      <c r="N72" s="40">
        <v>324484</v>
      </c>
      <c r="O72" s="40">
        <v>189991.112213518</v>
      </c>
      <c r="P72" s="40">
        <v>741204.49719627399</v>
      </c>
      <c r="Q72" s="40">
        <v>49563.224325847499</v>
      </c>
      <c r="R72" s="40">
        <v>602133.71471243701</v>
      </c>
      <c r="S72" s="40">
        <v>176852.30864483601</v>
      </c>
      <c r="T72" s="40"/>
      <c r="U72" s="40">
        <v>0</v>
      </c>
      <c r="V72" s="40">
        <v>0</v>
      </c>
      <c r="W72" s="45">
        <v>2084228.85709291</v>
      </c>
      <c r="X72" s="46">
        <v>1.97190938595452</v>
      </c>
    </row>
    <row r="73" spans="1:24" s="4" customFormat="1" ht="15" customHeight="1">
      <c r="A73" s="28" t="s">
        <v>1109</v>
      </c>
      <c r="B73" s="29">
        <v>3106.0650000000001</v>
      </c>
      <c r="C73" s="30" t="s">
        <v>1599</v>
      </c>
      <c r="D73" s="2">
        <v>4949229729</v>
      </c>
      <c r="E73" s="2" t="s">
        <v>36</v>
      </c>
      <c r="F73" s="2" t="s">
        <v>1600</v>
      </c>
      <c r="G73" s="28" t="s">
        <v>5</v>
      </c>
      <c r="H73" s="2" t="s">
        <v>26</v>
      </c>
      <c r="I73" s="2">
        <v>1</v>
      </c>
      <c r="J73" s="2" t="s">
        <v>1602</v>
      </c>
      <c r="K73" s="2">
        <v>34154.230000000003</v>
      </c>
      <c r="L73" s="35">
        <v>106085258.40494999</v>
      </c>
      <c r="M73" s="36">
        <v>19776.627</v>
      </c>
      <c r="N73" s="40">
        <v>324484</v>
      </c>
      <c r="O73" s="40">
        <v>190690.887786482</v>
      </c>
      <c r="P73" s="40">
        <v>743934.50280372601</v>
      </c>
      <c r="Q73" s="40">
        <v>49745.775674152501</v>
      </c>
      <c r="R73" s="40">
        <v>603949.28528756299</v>
      </c>
      <c r="S73" s="40">
        <v>177503.69135516399</v>
      </c>
      <c r="T73" s="40"/>
      <c r="U73" s="40">
        <v>0</v>
      </c>
      <c r="V73" s="40">
        <v>0</v>
      </c>
      <c r="W73" s="45">
        <v>2090308.14290709</v>
      </c>
      <c r="X73" s="46">
        <v>1.97040396972776</v>
      </c>
    </row>
    <row r="75" spans="1:24" ht="15" customHeight="1">
      <c r="A75" s="31" t="s">
        <v>1109</v>
      </c>
      <c r="B75" s="31"/>
      <c r="C75" s="31"/>
      <c r="D75" s="31"/>
      <c r="E75" s="31"/>
      <c r="F75" s="32">
        <v>30</v>
      </c>
      <c r="G75" s="31"/>
      <c r="H75" s="31"/>
      <c r="I75" s="38"/>
      <c r="J75" s="31"/>
      <c r="K75" s="39">
        <f>+SUM(K43:K73)</f>
        <v>2416232.81</v>
      </c>
      <c r="L75" s="39">
        <f>+SUM(L43:L73)</f>
        <v>7504976162.992651</v>
      </c>
      <c r="M75" s="31"/>
      <c r="N75" s="39"/>
      <c r="O75" s="39"/>
      <c r="P75" s="39"/>
      <c r="Q75" s="39"/>
      <c r="R75" s="39"/>
      <c r="S75" s="39"/>
      <c r="T75" s="39"/>
      <c r="U75" s="39"/>
      <c r="V75" s="31"/>
      <c r="W75" s="39">
        <f>+SUM(W43:W73)</f>
        <v>274086053</v>
      </c>
      <c r="X75" s="47">
        <f>(W75/L75)*100</f>
        <v>3.6520576088106673</v>
      </c>
    </row>
    <row r="77" spans="1:24" s="4" customFormat="1" ht="15" customHeight="1">
      <c r="A77" s="28" t="s">
        <v>1603</v>
      </c>
      <c r="B77" s="29">
        <v>3149.63</v>
      </c>
      <c r="C77" s="30" t="s">
        <v>1469</v>
      </c>
      <c r="D77" s="2">
        <v>4949168415</v>
      </c>
      <c r="E77" s="2" t="s">
        <v>36</v>
      </c>
      <c r="F77" s="2" t="s">
        <v>1470</v>
      </c>
      <c r="G77" s="28" t="s">
        <v>5</v>
      </c>
      <c r="H77" s="2" t="s">
        <v>26</v>
      </c>
      <c r="I77" s="2">
        <v>4</v>
      </c>
      <c r="J77" s="2" t="s">
        <v>1604</v>
      </c>
      <c r="K77" s="2">
        <v>73098</v>
      </c>
      <c r="L77" s="35">
        <v>230231653.74000001</v>
      </c>
      <c r="M77" s="36">
        <v>78600</v>
      </c>
      <c r="N77" s="40">
        <v>1272976</v>
      </c>
      <c r="O77" s="40">
        <v>1992976</v>
      </c>
      <c r="P77" s="40">
        <v>6311840</v>
      </c>
      <c r="Q77" s="40">
        <v>496548</v>
      </c>
      <c r="R77" s="40">
        <v>3529751</v>
      </c>
      <c r="S77" s="40">
        <v>354356</v>
      </c>
      <c r="T77" s="37"/>
      <c r="U77" s="40">
        <v>0</v>
      </c>
      <c r="V77" s="40">
        <v>0</v>
      </c>
      <c r="W77" s="45">
        <v>13958447</v>
      </c>
      <c r="X77" s="46">
        <v>6.06278362390744</v>
      </c>
    </row>
    <row r="78" spans="1:24" s="4" customFormat="1" ht="15" customHeight="1">
      <c r="A78" s="28" t="s">
        <v>1603</v>
      </c>
      <c r="B78" s="29">
        <v>3149.63</v>
      </c>
      <c r="C78" s="30" t="s">
        <v>1625</v>
      </c>
      <c r="D78" s="2">
        <v>4948892086</v>
      </c>
      <c r="E78" s="2" t="s">
        <v>36</v>
      </c>
      <c r="F78" s="2" t="s">
        <v>1626</v>
      </c>
      <c r="G78" s="28" t="s">
        <v>5</v>
      </c>
      <c r="H78" s="2" t="s">
        <v>20</v>
      </c>
      <c r="I78" s="2">
        <v>3</v>
      </c>
      <c r="J78" s="2" t="s">
        <v>1627</v>
      </c>
      <c r="K78" s="2">
        <v>109980</v>
      </c>
      <c r="L78" s="35">
        <v>346396307.39999998</v>
      </c>
      <c r="M78" s="36">
        <v>58500</v>
      </c>
      <c r="N78" s="40">
        <v>887060</v>
      </c>
      <c r="O78" s="40">
        <v>981107</v>
      </c>
      <c r="P78" s="40">
        <v>1254495</v>
      </c>
      <c r="Q78" s="40">
        <v>297298</v>
      </c>
      <c r="R78" s="40">
        <v>2548425</v>
      </c>
      <c r="S78" s="40">
        <v>354356</v>
      </c>
      <c r="T78" s="40"/>
      <c r="U78" s="40">
        <v>1557900</v>
      </c>
      <c r="V78" s="40">
        <v>0</v>
      </c>
      <c r="W78" s="45">
        <v>7880641</v>
      </c>
      <c r="X78" s="46">
        <v>2.2750360877547902</v>
      </c>
    </row>
    <row r="79" spans="1:24" s="4" customFormat="1" ht="15" customHeight="1">
      <c r="A79" s="28" t="s">
        <v>1603</v>
      </c>
      <c r="B79" s="29">
        <v>3149.63</v>
      </c>
      <c r="C79" s="30" t="s">
        <v>1631</v>
      </c>
      <c r="D79" s="2">
        <v>4948892084</v>
      </c>
      <c r="E79" s="2" t="s">
        <v>36</v>
      </c>
      <c r="F79" s="2" t="s">
        <v>1632</v>
      </c>
      <c r="G79" s="28" t="s">
        <v>5</v>
      </c>
      <c r="H79" s="2" t="s">
        <v>20</v>
      </c>
      <c r="I79" s="2">
        <v>1</v>
      </c>
      <c r="J79" s="2" t="s">
        <v>1633</v>
      </c>
      <c r="K79" s="2">
        <v>36660</v>
      </c>
      <c r="L79" s="35">
        <v>115465435.8</v>
      </c>
      <c r="M79" s="36">
        <v>19500</v>
      </c>
      <c r="N79" s="40">
        <v>295686</v>
      </c>
      <c r="O79" s="40">
        <v>327035</v>
      </c>
      <c r="P79" s="40">
        <v>418165</v>
      </c>
      <c r="Q79" s="40">
        <v>99309</v>
      </c>
      <c r="R79" s="40">
        <v>823861</v>
      </c>
      <c r="S79" s="40">
        <v>354356</v>
      </c>
      <c r="T79" s="40"/>
      <c r="U79" s="40">
        <v>519300</v>
      </c>
      <c r="V79" s="40">
        <v>0</v>
      </c>
      <c r="W79" s="45">
        <v>2837712</v>
      </c>
      <c r="X79" s="46">
        <v>2.4576289695171298</v>
      </c>
    </row>
    <row r="80" spans="1:24" s="4" customFormat="1" ht="15" customHeight="1">
      <c r="A80" s="28" t="s">
        <v>1603</v>
      </c>
      <c r="B80" s="29">
        <v>3149.63</v>
      </c>
      <c r="C80" s="30" t="s">
        <v>1449</v>
      </c>
      <c r="D80" s="2">
        <v>4948952439</v>
      </c>
      <c r="E80" s="2" t="s">
        <v>36</v>
      </c>
      <c r="F80" s="78" t="s">
        <v>1450</v>
      </c>
      <c r="G80" s="28" t="s">
        <v>5</v>
      </c>
      <c r="H80" s="2" t="s">
        <v>26</v>
      </c>
      <c r="I80" s="2">
        <v>4</v>
      </c>
      <c r="J80" s="2" t="s">
        <v>1451</v>
      </c>
      <c r="K80" s="2">
        <v>79564</v>
      </c>
      <c r="L80" s="35">
        <v>250597161.31999999</v>
      </c>
      <c r="M80" s="36">
        <v>85520</v>
      </c>
      <c r="N80" s="40">
        <v>0</v>
      </c>
      <c r="O80" s="40">
        <v>1992976</v>
      </c>
      <c r="P80" s="40">
        <v>9887525</v>
      </c>
      <c r="Q80" s="40">
        <v>496548</v>
      </c>
      <c r="R80" s="40">
        <v>3251768</v>
      </c>
      <c r="S80" s="40">
        <v>354356</v>
      </c>
      <c r="T80" s="40"/>
      <c r="U80" s="40">
        <v>0</v>
      </c>
      <c r="V80" s="40">
        <v>0</v>
      </c>
      <c r="W80" s="45">
        <v>15983173</v>
      </c>
      <c r="X80" s="46">
        <v>6.3780343383819504</v>
      </c>
    </row>
    <row r="81" spans="1:24" s="4" customFormat="1" ht="15" customHeight="1">
      <c r="A81" s="28" t="s">
        <v>1603</v>
      </c>
      <c r="B81" s="29">
        <v>3149.63</v>
      </c>
      <c r="C81" s="30" t="s">
        <v>1428</v>
      </c>
      <c r="D81" s="2">
        <v>4948892088</v>
      </c>
      <c r="E81" s="2" t="s">
        <v>36</v>
      </c>
      <c r="F81" s="2" t="s">
        <v>1429</v>
      </c>
      <c r="G81" s="28" t="s">
        <v>5</v>
      </c>
      <c r="H81" s="2" t="s">
        <v>26</v>
      </c>
      <c r="I81" s="2">
        <v>3</v>
      </c>
      <c r="J81" s="2" t="s">
        <v>1430</v>
      </c>
      <c r="K81" s="2">
        <v>140278</v>
      </c>
      <c r="L81" s="35">
        <v>441823797.13999999</v>
      </c>
      <c r="M81" s="36">
        <v>75015</v>
      </c>
      <c r="N81" s="40">
        <v>954542</v>
      </c>
      <c r="O81" s="40">
        <v>1494748</v>
      </c>
      <c r="P81" s="40">
        <v>2505674</v>
      </c>
      <c r="Q81" s="40">
        <v>372411</v>
      </c>
      <c r="R81" s="40">
        <v>2631970</v>
      </c>
      <c r="S81" s="40">
        <v>354356</v>
      </c>
      <c r="T81" s="40"/>
      <c r="U81" s="40">
        <v>0</v>
      </c>
      <c r="V81" s="40">
        <v>0</v>
      </c>
      <c r="W81" s="45">
        <v>8313701</v>
      </c>
      <c r="X81" s="46">
        <v>1.8816779570987301</v>
      </c>
    </row>
    <row r="82" spans="1:24" s="4" customFormat="1" ht="15" customHeight="1">
      <c r="A82" s="28" t="s">
        <v>1603</v>
      </c>
      <c r="B82" s="29">
        <v>3149.63</v>
      </c>
      <c r="C82" s="30" t="s">
        <v>1481</v>
      </c>
      <c r="D82" s="2">
        <v>4948957158</v>
      </c>
      <c r="E82" s="2" t="s">
        <v>36</v>
      </c>
      <c r="F82" s="2" t="s">
        <v>1482</v>
      </c>
      <c r="G82" s="28" t="s">
        <v>5</v>
      </c>
      <c r="H82" s="2" t="s">
        <v>26</v>
      </c>
      <c r="I82" s="2">
        <v>4</v>
      </c>
      <c r="J82" s="2" t="s">
        <v>1483</v>
      </c>
      <c r="K82" s="2">
        <v>79524</v>
      </c>
      <c r="L82" s="35">
        <v>250471176.12</v>
      </c>
      <c r="M82" s="36">
        <v>85510</v>
      </c>
      <c r="N82" s="40">
        <v>1272976</v>
      </c>
      <c r="O82" s="40">
        <v>1992976</v>
      </c>
      <c r="P82" s="40">
        <v>6311840</v>
      </c>
      <c r="Q82" s="40">
        <v>496548</v>
      </c>
      <c r="R82" s="40">
        <v>3529751</v>
      </c>
      <c r="S82" s="40">
        <v>354356</v>
      </c>
      <c r="T82" s="40"/>
      <c r="U82" s="40">
        <v>0</v>
      </c>
      <c r="V82" s="40">
        <v>0</v>
      </c>
      <c r="W82" s="45">
        <v>13958447</v>
      </c>
      <c r="X82" s="46">
        <v>5.5728755764346101</v>
      </c>
    </row>
    <row r="83" spans="1:24" s="4" customFormat="1" ht="15" customHeight="1">
      <c r="A83" s="28" t="s">
        <v>1603</v>
      </c>
      <c r="B83" s="29">
        <v>3149.63</v>
      </c>
      <c r="C83" s="30" t="s">
        <v>1685</v>
      </c>
      <c r="D83" s="2">
        <v>4949387716</v>
      </c>
      <c r="E83" s="2" t="s">
        <v>36</v>
      </c>
      <c r="F83" s="2" t="s">
        <v>1686</v>
      </c>
      <c r="G83" s="28" t="s">
        <v>5</v>
      </c>
      <c r="H83" s="2" t="s">
        <v>20</v>
      </c>
      <c r="I83" s="2">
        <v>3</v>
      </c>
      <c r="J83" s="2" t="s">
        <v>1687</v>
      </c>
      <c r="K83" s="2">
        <v>109980</v>
      </c>
      <c r="L83" s="35">
        <v>346396307.39999998</v>
      </c>
      <c r="M83" s="36">
        <v>58500</v>
      </c>
      <c r="N83" s="40">
        <v>914035</v>
      </c>
      <c r="O83" s="40">
        <v>1221527</v>
      </c>
      <c r="P83" s="40">
        <v>227511</v>
      </c>
      <c r="Q83" s="40">
        <v>372411</v>
      </c>
      <c r="R83" s="40">
        <v>2593801</v>
      </c>
      <c r="S83" s="40">
        <v>354356</v>
      </c>
      <c r="T83" s="40"/>
      <c r="U83" s="40">
        <v>1557900</v>
      </c>
      <c r="V83" s="40">
        <v>0</v>
      </c>
      <c r="W83" s="45">
        <v>7241541</v>
      </c>
      <c r="X83" s="46">
        <v>2.0905364304700398</v>
      </c>
    </row>
    <row r="84" spans="1:24" s="4" customFormat="1" ht="15" customHeight="1">
      <c r="A84" s="28" t="s">
        <v>1603</v>
      </c>
      <c r="B84" s="29">
        <v>3149.63</v>
      </c>
      <c r="C84" s="30" t="s">
        <v>1688</v>
      </c>
      <c r="D84" s="2">
        <v>4948892087</v>
      </c>
      <c r="E84" s="2" t="s">
        <v>36</v>
      </c>
      <c r="F84" s="2" t="s">
        <v>1689</v>
      </c>
      <c r="G84" s="28" t="s">
        <v>5</v>
      </c>
      <c r="H84" s="2" t="s">
        <v>20</v>
      </c>
      <c r="I84" s="2">
        <v>3</v>
      </c>
      <c r="J84" s="2" t="s">
        <v>1690</v>
      </c>
      <c r="K84" s="2">
        <v>109980</v>
      </c>
      <c r="L84" s="35">
        <v>346396307.39999998</v>
      </c>
      <c r="M84" s="36">
        <v>58500</v>
      </c>
      <c r="N84" s="40">
        <v>887060</v>
      </c>
      <c r="O84" s="40">
        <v>1221527</v>
      </c>
      <c r="P84" s="40">
        <v>1254495</v>
      </c>
      <c r="Q84" s="40">
        <v>372411</v>
      </c>
      <c r="R84" s="40">
        <v>2548425</v>
      </c>
      <c r="S84" s="40">
        <v>354356</v>
      </c>
      <c r="T84" s="40"/>
      <c r="U84" s="40">
        <v>1557900</v>
      </c>
      <c r="V84" s="40">
        <v>0</v>
      </c>
      <c r="W84" s="45">
        <v>8196174</v>
      </c>
      <c r="X84" s="46">
        <v>2.3661262620029899</v>
      </c>
    </row>
    <row r="85" spans="1:24" s="4" customFormat="1" ht="15" customHeight="1">
      <c r="A85" s="28" t="s">
        <v>1603</v>
      </c>
      <c r="B85" s="29">
        <v>3149.63</v>
      </c>
      <c r="C85" s="30" t="s">
        <v>1472</v>
      </c>
      <c r="D85" s="2">
        <v>4949168414</v>
      </c>
      <c r="E85" s="2" t="s">
        <v>36</v>
      </c>
      <c r="F85" s="2" t="s">
        <v>1473</v>
      </c>
      <c r="G85" s="28" t="s">
        <v>5</v>
      </c>
      <c r="H85" s="2" t="s">
        <v>26</v>
      </c>
      <c r="I85" s="2">
        <v>2</v>
      </c>
      <c r="J85" s="2" t="s">
        <v>1474</v>
      </c>
      <c r="K85" s="2">
        <v>36883</v>
      </c>
      <c r="L85" s="35">
        <v>116167803.29000001</v>
      </c>
      <c r="M85" s="36">
        <v>39660</v>
      </c>
      <c r="N85" s="40">
        <v>636488</v>
      </c>
      <c r="O85" s="40">
        <v>799781</v>
      </c>
      <c r="P85" s="40">
        <v>3155940</v>
      </c>
      <c r="Q85" s="40">
        <v>198619</v>
      </c>
      <c r="R85" s="40">
        <v>1764877</v>
      </c>
      <c r="S85" s="40">
        <v>354356</v>
      </c>
      <c r="T85" s="40"/>
      <c r="U85" s="40">
        <v>0</v>
      </c>
      <c r="V85" s="40">
        <v>0</v>
      </c>
      <c r="W85" s="45">
        <v>6910061</v>
      </c>
      <c r="X85" s="46">
        <v>5.9483443814030004</v>
      </c>
    </row>
    <row r="86" spans="1:24" s="4" customFormat="1" ht="15" customHeight="1">
      <c r="A86" s="28" t="s">
        <v>1603</v>
      </c>
      <c r="B86" s="29">
        <v>3149.63</v>
      </c>
      <c r="C86" s="30" t="s">
        <v>1425</v>
      </c>
      <c r="D86" s="2">
        <v>4948892090</v>
      </c>
      <c r="E86" s="2" t="s">
        <v>36</v>
      </c>
      <c r="F86" s="78" t="s">
        <v>1426</v>
      </c>
      <c r="G86" s="28" t="s">
        <v>5</v>
      </c>
      <c r="H86" s="2" t="s">
        <v>26</v>
      </c>
      <c r="I86" s="2">
        <v>3</v>
      </c>
      <c r="J86" s="2" t="s">
        <v>1427</v>
      </c>
      <c r="K86" s="2">
        <v>140193</v>
      </c>
      <c r="L86" s="35">
        <v>441556078.58999997</v>
      </c>
      <c r="M86" s="36">
        <v>74970</v>
      </c>
      <c r="N86" s="40">
        <v>954542</v>
      </c>
      <c r="O86" s="40">
        <v>1199671</v>
      </c>
      <c r="P86" s="40">
        <v>2505674</v>
      </c>
      <c r="Q86" s="40">
        <v>297928</v>
      </c>
      <c r="R86" s="40">
        <v>2631970</v>
      </c>
      <c r="S86" s="40">
        <v>354356</v>
      </c>
      <c r="T86" s="40"/>
      <c r="U86" s="40">
        <v>0</v>
      </c>
      <c r="V86" s="40">
        <v>0</v>
      </c>
      <c r="W86" s="45">
        <v>7944141</v>
      </c>
      <c r="X86" s="46">
        <v>1.7991239131771499</v>
      </c>
    </row>
    <row r="87" spans="1:24" s="4" customFormat="1" ht="15" customHeight="1">
      <c r="A87" s="28" t="s">
        <v>1603</v>
      </c>
      <c r="B87" s="29">
        <v>3149.63</v>
      </c>
      <c r="C87" s="30" t="s">
        <v>1813</v>
      </c>
      <c r="D87" s="2">
        <v>4949389417</v>
      </c>
      <c r="E87" s="2" t="s">
        <v>36</v>
      </c>
      <c r="F87" s="2" t="s">
        <v>1814</v>
      </c>
      <c r="G87" s="28" t="s">
        <v>5</v>
      </c>
      <c r="H87" s="2" t="s">
        <v>26</v>
      </c>
      <c r="I87" s="2">
        <v>1</v>
      </c>
      <c r="J87" s="2" t="s">
        <v>1815</v>
      </c>
      <c r="K87" s="2">
        <v>34075.9</v>
      </c>
      <c r="L87" s="35">
        <v>107326476.917</v>
      </c>
      <c r="M87" s="36">
        <v>19731.268</v>
      </c>
      <c r="N87" s="40">
        <v>314409</v>
      </c>
      <c r="O87" s="40">
        <v>399890</v>
      </c>
      <c r="P87" s="40">
        <v>660260</v>
      </c>
      <c r="Q87" s="40">
        <v>99309</v>
      </c>
      <c r="R87" s="40">
        <v>596696</v>
      </c>
      <c r="S87" s="40">
        <v>354356</v>
      </c>
      <c r="T87" s="40"/>
      <c r="U87" s="40">
        <v>0</v>
      </c>
      <c r="V87" s="40">
        <v>0</v>
      </c>
      <c r="W87" s="45">
        <v>2424920</v>
      </c>
      <c r="X87" s="46">
        <v>2.2593865648597502</v>
      </c>
    </row>
    <row r="88" spans="1:24" s="4" customFormat="1" ht="15" customHeight="1">
      <c r="A88" s="28" t="s">
        <v>1603</v>
      </c>
      <c r="B88" s="29">
        <v>3149.63</v>
      </c>
      <c r="C88" s="30" t="s">
        <v>1863</v>
      </c>
      <c r="D88" s="2">
        <v>4949387715</v>
      </c>
      <c r="E88" s="2" t="s">
        <v>36</v>
      </c>
      <c r="F88" s="2" t="s">
        <v>1864</v>
      </c>
      <c r="G88" s="28" t="s">
        <v>5</v>
      </c>
      <c r="H88" s="2" t="s">
        <v>20</v>
      </c>
      <c r="I88" s="2">
        <v>3</v>
      </c>
      <c r="J88" s="2" t="s">
        <v>1865</v>
      </c>
      <c r="K88" s="2">
        <v>109800</v>
      </c>
      <c r="L88" s="35">
        <v>345829374</v>
      </c>
      <c r="M88" s="36">
        <v>58500</v>
      </c>
      <c r="N88" s="40">
        <v>914035</v>
      </c>
      <c r="O88" s="40">
        <v>1221527</v>
      </c>
      <c r="P88" s="40">
        <v>227511</v>
      </c>
      <c r="Q88" s="40">
        <v>372411</v>
      </c>
      <c r="R88" s="40">
        <v>2593801</v>
      </c>
      <c r="S88" s="40">
        <v>354356</v>
      </c>
      <c r="T88" s="40"/>
      <c r="U88" s="40">
        <v>1557900</v>
      </c>
      <c r="V88" s="40">
        <v>0</v>
      </c>
      <c r="W88" s="45">
        <v>7241541</v>
      </c>
      <c r="X88" s="46">
        <v>2.0939635393724498</v>
      </c>
    </row>
    <row r="89" spans="1:24" s="4" customFormat="1" ht="15" customHeight="1">
      <c r="A89" s="28" t="s">
        <v>1603</v>
      </c>
      <c r="B89" s="29">
        <v>3149.63</v>
      </c>
      <c r="C89" s="30" t="s">
        <v>1895</v>
      </c>
      <c r="D89" s="2">
        <v>4949387719</v>
      </c>
      <c r="E89" s="2" t="s">
        <v>36</v>
      </c>
      <c r="F89" s="2" t="s">
        <v>1896</v>
      </c>
      <c r="G89" s="28" t="s">
        <v>5</v>
      </c>
      <c r="H89" s="2" t="s">
        <v>20</v>
      </c>
      <c r="I89" s="2">
        <v>3</v>
      </c>
      <c r="J89" s="2" t="s">
        <v>1897</v>
      </c>
      <c r="K89" s="2">
        <v>102375</v>
      </c>
      <c r="L89" s="35">
        <v>322443371.25</v>
      </c>
      <c r="M89" s="36">
        <v>58500</v>
      </c>
      <c r="N89" s="40">
        <v>896758</v>
      </c>
      <c r="O89" s="40">
        <v>981107</v>
      </c>
      <c r="P89" s="40">
        <v>667281</v>
      </c>
      <c r="Q89" s="40">
        <v>297928</v>
      </c>
      <c r="R89" s="40">
        <v>4685920</v>
      </c>
      <c r="S89" s="40">
        <v>354356</v>
      </c>
      <c r="T89" s="40"/>
      <c r="U89" s="40">
        <v>1557900</v>
      </c>
      <c r="V89" s="40">
        <v>0</v>
      </c>
      <c r="W89" s="45">
        <v>9441250</v>
      </c>
      <c r="X89" s="46">
        <v>2.9280335221032998</v>
      </c>
    </row>
    <row r="90" spans="1:24" s="4" customFormat="1" ht="15" customHeight="1">
      <c r="A90" s="28" t="s">
        <v>1603</v>
      </c>
      <c r="B90" s="29">
        <v>3149.63</v>
      </c>
      <c r="C90" s="30" t="s">
        <v>1902</v>
      </c>
      <c r="D90" s="2">
        <v>4949387723</v>
      </c>
      <c r="E90" s="2" t="s">
        <v>36</v>
      </c>
      <c r="F90" s="2" t="s">
        <v>1903</v>
      </c>
      <c r="G90" s="28" t="s">
        <v>5</v>
      </c>
      <c r="H90" s="2" t="s">
        <v>20</v>
      </c>
      <c r="I90" s="2">
        <v>3</v>
      </c>
      <c r="J90" s="2" t="s">
        <v>1904</v>
      </c>
      <c r="K90" s="2">
        <v>102375</v>
      </c>
      <c r="L90" s="35">
        <v>322443371.25</v>
      </c>
      <c r="M90" s="36">
        <v>58500</v>
      </c>
      <c r="N90" s="40">
        <v>896758</v>
      </c>
      <c r="O90" s="40">
        <v>981107</v>
      </c>
      <c r="P90" s="40">
        <v>667281</v>
      </c>
      <c r="Q90" s="40">
        <v>297928</v>
      </c>
      <c r="R90" s="40">
        <v>4685920</v>
      </c>
      <c r="S90" s="40">
        <v>354356</v>
      </c>
      <c r="T90" s="40"/>
      <c r="U90" s="40">
        <v>1557900</v>
      </c>
      <c r="V90" s="40">
        <v>0</v>
      </c>
      <c r="W90" s="45">
        <v>9441250</v>
      </c>
      <c r="X90" s="46">
        <v>2.9280335221032998</v>
      </c>
    </row>
    <row r="91" spans="1:24" s="4" customFormat="1" ht="15" customHeight="1">
      <c r="A91" s="28" t="s">
        <v>1603</v>
      </c>
      <c r="B91" s="29">
        <v>3149.63</v>
      </c>
      <c r="C91" s="30" t="s">
        <v>1905</v>
      </c>
      <c r="D91" s="2">
        <v>4949168412</v>
      </c>
      <c r="E91" s="2" t="s">
        <v>36</v>
      </c>
      <c r="F91" s="2" t="s">
        <v>1906</v>
      </c>
      <c r="G91" s="28" t="s">
        <v>5</v>
      </c>
      <c r="H91" s="2" t="s">
        <v>26</v>
      </c>
      <c r="I91" s="2">
        <v>4</v>
      </c>
      <c r="J91" s="2" t="s">
        <v>1907</v>
      </c>
      <c r="K91" s="2">
        <v>70866</v>
      </c>
      <c r="L91" s="35">
        <v>223201679.58000001</v>
      </c>
      <c r="M91" s="36">
        <v>76200</v>
      </c>
      <c r="N91" s="40">
        <v>1282923</v>
      </c>
      <c r="O91" s="40">
        <v>1992976</v>
      </c>
      <c r="P91" s="40">
        <v>4116045</v>
      </c>
      <c r="Q91" s="40">
        <v>496548</v>
      </c>
      <c r="R91" s="40">
        <v>3544365</v>
      </c>
      <c r="S91" s="40">
        <v>354356</v>
      </c>
      <c r="T91" s="40"/>
      <c r="U91" s="40">
        <v>0</v>
      </c>
      <c r="V91" s="40">
        <v>0</v>
      </c>
      <c r="W91" s="45">
        <v>11787213</v>
      </c>
      <c r="X91" s="46">
        <v>5.2809696693053896</v>
      </c>
    </row>
    <row r="92" spans="1:24" s="4" customFormat="1" ht="15" customHeight="1">
      <c r="A92" s="28" t="s">
        <v>1603</v>
      </c>
      <c r="B92" s="29">
        <v>3149.63</v>
      </c>
      <c r="C92" s="30" t="s">
        <v>1910</v>
      </c>
      <c r="D92" s="2">
        <v>4949387711</v>
      </c>
      <c r="E92" s="2" t="s">
        <v>36</v>
      </c>
      <c r="F92" s="2" t="s">
        <v>1911</v>
      </c>
      <c r="G92" s="28" t="s">
        <v>5</v>
      </c>
      <c r="H92" s="2" t="s">
        <v>20</v>
      </c>
      <c r="I92" s="2">
        <v>3</v>
      </c>
      <c r="J92" s="2" t="s">
        <v>1912</v>
      </c>
      <c r="K92" s="2">
        <v>109980</v>
      </c>
      <c r="L92" s="35">
        <v>346396307.39999998</v>
      </c>
      <c r="M92" s="36">
        <v>58500</v>
      </c>
      <c r="N92" s="40">
        <v>910698</v>
      </c>
      <c r="O92" s="40">
        <v>981107</v>
      </c>
      <c r="P92" s="40">
        <v>1292076</v>
      </c>
      <c r="Q92" s="40">
        <v>297928</v>
      </c>
      <c r="R92" s="40">
        <v>2590300</v>
      </c>
      <c r="S92" s="40">
        <v>354356</v>
      </c>
      <c r="T92" s="40"/>
      <c r="U92" s="40">
        <v>1557900</v>
      </c>
      <c r="V92" s="40">
        <v>0</v>
      </c>
      <c r="W92" s="45">
        <v>7984365</v>
      </c>
      <c r="X92" s="46">
        <v>2.3049798249668099</v>
      </c>
    </row>
    <row r="93" spans="1:24" s="4" customFormat="1" ht="15" customHeight="1">
      <c r="A93" s="28" t="s">
        <v>1603</v>
      </c>
      <c r="B93" s="29">
        <v>3149.63</v>
      </c>
      <c r="C93" s="30" t="s">
        <v>1927</v>
      </c>
      <c r="D93" s="2">
        <v>4949389422</v>
      </c>
      <c r="E93" s="2" t="s">
        <v>36</v>
      </c>
      <c r="F93" s="2" t="s">
        <v>1928</v>
      </c>
      <c r="G93" s="28" t="s">
        <v>5</v>
      </c>
      <c r="H93" s="2" t="s">
        <v>26</v>
      </c>
      <c r="I93" s="2">
        <v>2</v>
      </c>
      <c r="J93" s="2" t="s">
        <v>1929</v>
      </c>
      <c r="K93" s="2">
        <v>70569.81</v>
      </c>
      <c r="L93" s="35">
        <v>222268790.67030001</v>
      </c>
      <c r="M93" s="36">
        <v>39780</v>
      </c>
      <c r="N93" s="40">
        <v>628820</v>
      </c>
      <c r="O93" s="40">
        <v>799781</v>
      </c>
      <c r="P93" s="40">
        <v>1467246</v>
      </c>
      <c r="Q93" s="40">
        <v>198619</v>
      </c>
      <c r="R93" s="40">
        <v>1300980</v>
      </c>
      <c r="S93" s="40">
        <v>354356</v>
      </c>
      <c r="T93" s="40"/>
      <c r="U93" s="40">
        <v>0</v>
      </c>
      <c r="V93" s="40">
        <v>0</v>
      </c>
      <c r="W93" s="45">
        <v>4749802</v>
      </c>
      <c r="X93" s="46">
        <v>2.1369630822554702</v>
      </c>
    </row>
    <row r="94" spans="1:24" s="4" customFormat="1" ht="15" customHeight="1">
      <c r="A94" s="28" t="s">
        <v>1603</v>
      </c>
      <c r="B94" s="29">
        <v>3149.63</v>
      </c>
      <c r="C94" s="30" t="s">
        <v>1935</v>
      </c>
      <c r="D94" s="2">
        <v>4949387750</v>
      </c>
      <c r="E94" s="2" t="s">
        <v>36</v>
      </c>
      <c r="F94" s="78" t="s">
        <v>1936</v>
      </c>
      <c r="G94" s="28" t="s">
        <v>5</v>
      </c>
      <c r="H94" s="2" t="s">
        <v>26</v>
      </c>
      <c r="I94" s="2">
        <v>2</v>
      </c>
      <c r="J94" s="2" t="s">
        <v>1937</v>
      </c>
      <c r="K94" s="2">
        <v>93524</v>
      </c>
      <c r="L94" s="35">
        <v>294565996.12</v>
      </c>
      <c r="M94" s="36">
        <v>50013</v>
      </c>
      <c r="N94" s="40">
        <v>625424</v>
      </c>
      <c r="O94" s="40">
        <v>799781</v>
      </c>
      <c r="P94" s="40">
        <v>2087881</v>
      </c>
      <c r="Q94" s="40">
        <v>198619</v>
      </c>
      <c r="R94" s="40">
        <v>1648781</v>
      </c>
      <c r="S94" s="40">
        <v>354356</v>
      </c>
      <c r="T94" s="40"/>
      <c r="U94" s="40">
        <v>0</v>
      </c>
      <c r="V94" s="40">
        <v>0</v>
      </c>
      <c r="W94" s="45">
        <v>5714842</v>
      </c>
      <c r="X94" s="46">
        <v>1.9400888341748399</v>
      </c>
    </row>
    <row r="95" spans="1:24" s="4" customFormat="1" ht="15" customHeight="1">
      <c r="A95" s="28" t="s">
        <v>1603</v>
      </c>
      <c r="B95" s="29">
        <v>3149.63</v>
      </c>
      <c r="C95" s="30" t="s">
        <v>1954</v>
      </c>
      <c r="D95" s="2">
        <v>4949168414</v>
      </c>
      <c r="E95" s="2" t="s">
        <v>36</v>
      </c>
      <c r="F95" s="2" t="s">
        <v>1955</v>
      </c>
      <c r="G95" s="28" t="s">
        <v>5</v>
      </c>
      <c r="H95" s="2" t="s">
        <v>26</v>
      </c>
      <c r="I95" s="2">
        <v>2</v>
      </c>
      <c r="J95" s="2" t="s">
        <v>1956</v>
      </c>
      <c r="K95" s="2">
        <v>35768</v>
      </c>
      <c r="L95" s="35">
        <v>112655965.84</v>
      </c>
      <c r="M95" s="36">
        <v>38460</v>
      </c>
      <c r="N95" s="40">
        <v>0</v>
      </c>
      <c r="O95" s="40">
        <v>799781</v>
      </c>
      <c r="P95" s="40">
        <v>2058022</v>
      </c>
      <c r="Q95" s="40">
        <v>198619</v>
      </c>
      <c r="R95" s="40">
        <v>1635065</v>
      </c>
      <c r="S95" s="40">
        <v>354356</v>
      </c>
      <c r="T95" s="40"/>
      <c r="U95" s="40">
        <v>0</v>
      </c>
      <c r="V95" s="40">
        <v>0</v>
      </c>
      <c r="W95" s="45">
        <v>5045843</v>
      </c>
      <c r="X95" s="46">
        <v>4.47898427959543</v>
      </c>
    </row>
    <row r="96" spans="1:24" s="4" customFormat="1" ht="15" customHeight="1">
      <c r="A96" s="28" t="s">
        <v>1603</v>
      </c>
      <c r="B96" s="29">
        <v>3149.63</v>
      </c>
      <c r="C96" s="30" t="s">
        <v>1970</v>
      </c>
      <c r="D96" s="2">
        <v>4948892093</v>
      </c>
      <c r="E96" s="2" t="s">
        <v>36</v>
      </c>
      <c r="F96" s="2" t="s">
        <v>1971</v>
      </c>
      <c r="G96" s="28" t="s">
        <v>5</v>
      </c>
      <c r="H96" s="2" t="s">
        <v>26</v>
      </c>
      <c r="I96" s="2">
        <v>1</v>
      </c>
      <c r="J96" s="2" t="s">
        <v>1972</v>
      </c>
      <c r="K96" s="2">
        <v>140363</v>
      </c>
      <c r="L96" s="35">
        <v>442091515.69</v>
      </c>
      <c r="M96" s="36">
        <v>75060</v>
      </c>
      <c r="N96" s="40">
        <v>943229</v>
      </c>
      <c r="O96" s="40">
        <v>399890</v>
      </c>
      <c r="P96" s="40">
        <v>1467246</v>
      </c>
      <c r="Q96" s="40">
        <v>99309</v>
      </c>
      <c r="R96" s="40">
        <v>1799991</v>
      </c>
      <c r="S96" s="40">
        <v>354356</v>
      </c>
      <c r="T96" s="40"/>
      <c r="U96" s="40">
        <v>0</v>
      </c>
      <c r="V96" s="40">
        <v>0</v>
      </c>
      <c r="W96" s="45">
        <v>5064021</v>
      </c>
      <c r="X96" s="46">
        <v>1.1454689403157301</v>
      </c>
    </row>
    <row r="97" spans="1:24" s="4" customFormat="1" ht="15" customHeight="1">
      <c r="A97" s="28" t="s">
        <v>1603</v>
      </c>
      <c r="B97" s="29">
        <v>3149.63</v>
      </c>
      <c r="C97" s="30" t="s">
        <v>1973</v>
      </c>
      <c r="D97" s="2">
        <v>4948957161</v>
      </c>
      <c r="E97" s="2" t="s">
        <v>36</v>
      </c>
      <c r="F97" s="2" t="s">
        <v>1974</v>
      </c>
      <c r="G97" s="28" t="s">
        <v>5</v>
      </c>
      <c r="H97" s="2" t="s">
        <v>26</v>
      </c>
      <c r="I97" s="2">
        <v>4</v>
      </c>
      <c r="J97" s="2" t="s">
        <v>1975</v>
      </c>
      <c r="K97" s="2">
        <v>74744</v>
      </c>
      <c r="L97" s="35">
        <v>235415944.72</v>
      </c>
      <c r="M97" s="36">
        <v>80370</v>
      </c>
      <c r="N97" s="40">
        <v>1282923</v>
      </c>
      <c r="O97" s="40">
        <v>1992976</v>
      </c>
      <c r="P97" s="40">
        <v>4116045</v>
      </c>
      <c r="Q97" s="40">
        <v>496548</v>
      </c>
      <c r="R97" s="40">
        <v>3544365</v>
      </c>
      <c r="S97" s="40">
        <v>354356</v>
      </c>
      <c r="T97" s="40"/>
      <c r="U97" s="40">
        <v>0</v>
      </c>
      <c r="V97" s="40">
        <v>0</v>
      </c>
      <c r="W97" s="45">
        <v>11787213</v>
      </c>
      <c r="X97" s="46">
        <v>5.0069730892780102</v>
      </c>
    </row>
    <row r="98" spans="1:24" s="4" customFormat="1" ht="15" customHeight="1">
      <c r="A98" s="28" t="s">
        <v>1603</v>
      </c>
      <c r="B98" s="29">
        <v>3149.63</v>
      </c>
      <c r="C98" s="30" t="s">
        <v>1976</v>
      </c>
      <c r="D98" s="2">
        <v>4949168413</v>
      </c>
      <c r="E98" s="2" t="s">
        <v>36</v>
      </c>
      <c r="F98" s="2" t="s">
        <v>1977</v>
      </c>
      <c r="G98" s="28" t="s">
        <v>5</v>
      </c>
      <c r="H98" s="2" t="s">
        <v>26</v>
      </c>
      <c r="I98" s="2">
        <v>4</v>
      </c>
      <c r="J98" s="2" t="s">
        <v>1978</v>
      </c>
      <c r="K98" s="2">
        <v>70410</v>
      </c>
      <c r="L98" s="35">
        <v>221765448.30000001</v>
      </c>
      <c r="M98" s="36">
        <v>75710</v>
      </c>
      <c r="N98" s="40">
        <v>1257640</v>
      </c>
      <c r="O98" s="40">
        <v>1992976</v>
      </c>
      <c r="P98" s="40">
        <v>8803477</v>
      </c>
      <c r="Q98" s="40">
        <v>496548</v>
      </c>
      <c r="R98" s="40">
        <v>3503648</v>
      </c>
      <c r="S98" s="40">
        <v>354356</v>
      </c>
      <c r="T98" s="40"/>
      <c r="U98" s="40">
        <v>0</v>
      </c>
      <c r="V98" s="40">
        <v>0</v>
      </c>
      <c r="W98" s="45">
        <v>16408645</v>
      </c>
      <c r="X98" s="46">
        <v>7.39909896955756</v>
      </c>
    </row>
    <row r="99" spans="1:24" s="4" customFormat="1" ht="15" customHeight="1">
      <c r="A99" s="28" t="s">
        <v>1603</v>
      </c>
      <c r="B99" s="29">
        <v>3149.63</v>
      </c>
      <c r="C99" s="30" t="s">
        <v>1979</v>
      </c>
      <c r="D99" s="2">
        <v>4949389417</v>
      </c>
      <c r="E99" s="2" t="s">
        <v>36</v>
      </c>
      <c r="F99" s="2" t="s">
        <v>1980</v>
      </c>
      <c r="G99" s="28" t="s">
        <v>5</v>
      </c>
      <c r="H99" s="2" t="s">
        <v>26</v>
      </c>
      <c r="I99" s="2">
        <v>1</v>
      </c>
      <c r="J99" s="2" t="s">
        <v>1981</v>
      </c>
      <c r="K99" s="2">
        <v>34091.57</v>
      </c>
      <c r="L99" s="35">
        <v>107375831.6191</v>
      </c>
      <c r="M99" s="36">
        <v>19740.34</v>
      </c>
      <c r="N99" s="40">
        <v>325475</v>
      </c>
      <c r="O99" s="40">
        <v>399890</v>
      </c>
      <c r="P99" s="40">
        <v>1214919</v>
      </c>
      <c r="Q99" s="40">
        <v>99309</v>
      </c>
      <c r="R99" s="40">
        <v>616146</v>
      </c>
      <c r="S99" s="40">
        <v>354356</v>
      </c>
      <c r="T99" s="40"/>
      <c r="U99" s="40">
        <v>0</v>
      </c>
      <c r="V99" s="40">
        <v>0</v>
      </c>
      <c r="W99" s="45">
        <v>3010095</v>
      </c>
      <c r="X99" s="46">
        <v>2.8033263674062798</v>
      </c>
    </row>
    <row r="100" spans="1:24" s="4" customFormat="1" ht="15" customHeight="1">
      <c r="A100" s="28" t="s">
        <v>1603</v>
      </c>
      <c r="B100" s="29">
        <v>3149.63</v>
      </c>
      <c r="C100" s="30" t="s">
        <v>1982</v>
      </c>
      <c r="D100" s="2">
        <v>4949387750</v>
      </c>
      <c r="E100" s="2" t="s">
        <v>36</v>
      </c>
      <c r="F100" s="2" t="s">
        <v>1983</v>
      </c>
      <c r="G100" s="28" t="s">
        <v>5</v>
      </c>
      <c r="H100" s="2" t="s">
        <v>26</v>
      </c>
      <c r="I100" s="2">
        <v>1</v>
      </c>
      <c r="J100" s="2" t="s">
        <v>1984</v>
      </c>
      <c r="K100" s="2">
        <v>42784.47</v>
      </c>
      <c r="L100" s="35">
        <v>134755250.24610001</v>
      </c>
      <c r="M100" s="36">
        <v>25020</v>
      </c>
      <c r="N100" s="40">
        <v>307012</v>
      </c>
      <c r="O100" s="40">
        <v>399890</v>
      </c>
      <c r="P100" s="40">
        <v>1025202</v>
      </c>
      <c r="Q100" s="40">
        <v>99309</v>
      </c>
      <c r="R100" s="40">
        <v>613209</v>
      </c>
      <c r="S100" s="40">
        <v>354356</v>
      </c>
      <c r="T100" s="40"/>
      <c r="U100" s="40">
        <v>0</v>
      </c>
      <c r="V100" s="40">
        <v>0</v>
      </c>
      <c r="W100" s="45">
        <v>2798978</v>
      </c>
      <c r="X100" s="46">
        <v>2.0770827072698799</v>
      </c>
    </row>
    <row r="101" spans="1:24" s="4" customFormat="1" ht="15" customHeight="1">
      <c r="A101" s="28" t="s">
        <v>1603</v>
      </c>
      <c r="B101" s="29">
        <v>3149.63</v>
      </c>
      <c r="C101" s="30" t="s">
        <v>1985</v>
      </c>
      <c r="D101" s="2">
        <v>4949389435</v>
      </c>
      <c r="E101" s="2" t="s">
        <v>36</v>
      </c>
      <c r="F101" s="2" t="s">
        <v>1986</v>
      </c>
      <c r="G101" s="28" t="s">
        <v>5</v>
      </c>
      <c r="H101" s="2" t="s">
        <v>26</v>
      </c>
      <c r="I101" s="2">
        <v>4</v>
      </c>
      <c r="J101" s="2" t="s">
        <v>1987</v>
      </c>
      <c r="K101" s="2">
        <v>74651</v>
      </c>
      <c r="L101" s="35">
        <v>235123029.13</v>
      </c>
      <c r="M101" s="36">
        <v>80270</v>
      </c>
      <c r="N101" s="40">
        <v>0</v>
      </c>
      <c r="O101" s="40">
        <v>1992976</v>
      </c>
      <c r="P101" s="40">
        <v>932000</v>
      </c>
      <c r="Q101" s="40">
        <v>496548</v>
      </c>
      <c r="R101" s="40">
        <v>621216</v>
      </c>
      <c r="S101" s="40">
        <v>354356</v>
      </c>
      <c r="T101" s="40"/>
      <c r="U101" s="40">
        <v>0</v>
      </c>
      <c r="V101" s="40">
        <v>0</v>
      </c>
      <c r="W101" s="45">
        <v>4397096</v>
      </c>
      <c r="X101" s="46">
        <v>1.87012561732898</v>
      </c>
    </row>
    <row r="102" spans="1:24" s="4" customFormat="1" ht="15" customHeight="1">
      <c r="A102" s="28" t="s">
        <v>1603</v>
      </c>
      <c r="B102" s="29">
        <v>3149.63</v>
      </c>
      <c r="C102" s="30" t="s">
        <v>1988</v>
      </c>
      <c r="D102" s="2">
        <v>4949389433</v>
      </c>
      <c r="E102" s="2" t="s">
        <v>36</v>
      </c>
      <c r="F102" s="2" t="s">
        <v>1989</v>
      </c>
      <c r="G102" s="28" t="s">
        <v>5</v>
      </c>
      <c r="H102" s="2" t="s">
        <v>26</v>
      </c>
      <c r="I102" s="2">
        <v>4</v>
      </c>
      <c r="J102" s="2" t="s">
        <v>1990</v>
      </c>
      <c r="K102" s="2">
        <v>64616.4</v>
      </c>
      <c r="L102" s="35">
        <v>203517751.93200001</v>
      </c>
      <c r="M102" s="36">
        <v>71480</v>
      </c>
      <c r="N102" s="40">
        <v>0</v>
      </c>
      <c r="O102" s="40">
        <v>1992976</v>
      </c>
      <c r="P102" s="40">
        <v>1304802</v>
      </c>
      <c r="Q102" s="40">
        <v>496548</v>
      </c>
      <c r="R102" s="40">
        <v>621216</v>
      </c>
      <c r="S102" s="40">
        <v>354356</v>
      </c>
      <c r="T102" s="40"/>
      <c r="U102" s="40">
        <v>0</v>
      </c>
      <c r="V102" s="40">
        <v>0</v>
      </c>
      <c r="W102" s="45">
        <v>4769898</v>
      </c>
      <c r="X102" s="46">
        <v>2.3437257707100301</v>
      </c>
    </row>
    <row r="103" spans="1:24" s="4" customFormat="1" ht="15" customHeight="1">
      <c r="A103" s="28" t="s">
        <v>1603</v>
      </c>
      <c r="B103" s="29">
        <v>3149.63</v>
      </c>
      <c r="C103" s="30" t="s">
        <v>2016</v>
      </c>
      <c r="D103" s="2">
        <v>4949389401</v>
      </c>
      <c r="E103" s="2" t="s">
        <v>36</v>
      </c>
      <c r="F103" s="2" t="s">
        <v>2017</v>
      </c>
      <c r="G103" s="28" t="s">
        <v>5</v>
      </c>
      <c r="H103" s="2" t="s">
        <v>26</v>
      </c>
      <c r="I103" s="2">
        <v>2</v>
      </c>
      <c r="J103" s="2" t="s">
        <v>2018</v>
      </c>
      <c r="K103" s="2">
        <v>93524</v>
      </c>
      <c r="L103" s="35">
        <v>294565996.12</v>
      </c>
      <c r="M103" s="36">
        <v>50013</v>
      </c>
      <c r="N103" s="40">
        <v>625424</v>
      </c>
      <c r="O103" s="40">
        <v>799781</v>
      </c>
      <c r="P103" s="40">
        <v>2087881</v>
      </c>
      <c r="Q103" s="40">
        <v>198619</v>
      </c>
      <c r="R103" s="40">
        <v>1648781</v>
      </c>
      <c r="S103" s="40">
        <v>354356</v>
      </c>
      <c r="T103" s="40"/>
      <c r="U103" s="40">
        <v>0</v>
      </c>
      <c r="V103" s="40">
        <v>0</v>
      </c>
      <c r="W103" s="45">
        <v>5714842</v>
      </c>
      <c r="X103" s="46">
        <v>1.9400888341748399</v>
      </c>
    </row>
    <row r="104" spans="1:24" s="4" customFormat="1" ht="15" customHeight="1">
      <c r="A104" s="28" t="s">
        <v>1603</v>
      </c>
      <c r="B104" s="29">
        <v>3149.63</v>
      </c>
      <c r="C104" s="30" t="s">
        <v>2019</v>
      </c>
      <c r="D104" s="2">
        <v>4949194130</v>
      </c>
      <c r="E104" s="2" t="s">
        <v>36</v>
      </c>
      <c r="F104" s="2" t="s">
        <v>2020</v>
      </c>
      <c r="G104" s="28" t="s">
        <v>5</v>
      </c>
      <c r="H104" s="2" t="s">
        <v>26</v>
      </c>
      <c r="I104" s="2">
        <v>2</v>
      </c>
      <c r="J104" s="2" t="s">
        <v>2021</v>
      </c>
      <c r="K104" s="2">
        <v>75366</v>
      </c>
      <c r="L104" s="35">
        <v>237375014.58000001</v>
      </c>
      <c r="M104" s="36">
        <v>44914</v>
      </c>
      <c r="N104" s="40">
        <v>630115</v>
      </c>
      <c r="O104" s="40">
        <v>799781</v>
      </c>
      <c r="P104" s="40">
        <v>2429839</v>
      </c>
      <c r="Q104" s="40">
        <v>198619</v>
      </c>
      <c r="R104" s="40">
        <v>1405843</v>
      </c>
      <c r="S104" s="40">
        <v>354356</v>
      </c>
      <c r="T104" s="40"/>
      <c r="U104" s="40">
        <v>0</v>
      </c>
      <c r="V104" s="40">
        <v>0</v>
      </c>
      <c r="W104" s="45">
        <v>5818553</v>
      </c>
      <c r="X104" s="46">
        <v>2.4512070111064799</v>
      </c>
    </row>
    <row r="105" spans="1:24" s="4" customFormat="1" ht="15" customHeight="1">
      <c r="A105" s="28" t="s">
        <v>1603</v>
      </c>
      <c r="B105" s="29">
        <v>3149.63</v>
      </c>
      <c r="C105" s="30" t="s">
        <v>2025</v>
      </c>
      <c r="D105" s="2">
        <v>4949389401</v>
      </c>
      <c r="E105" s="2" t="s">
        <v>36</v>
      </c>
      <c r="F105" s="2" t="s">
        <v>2026</v>
      </c>
      <c r="G105" s="28" t="s">
        <v>5</v>
      </c>
      <c r="H105" s="2" t="s">
        <v>26</v>
      </c>
      <c r="I105" s="2">
        <v>1</v>
      </c>
      <c r="J105" s="2" t="s">
        <v>2027</v>
      </c>
      <c r="K105" s="2">
        <v>42784.47</v>
      </c>
      <c r="L105" s="35">
        <v>134755250.24610001</v>
      </c>
      <c r="M105" s="36">
        <v>25020.154999999999</v>
      </c>
      <c r="N105" s="40">
        <v>307012</v>
      </c>
      <c r="O105" s="40">
        <v>399890</v>
      </c>
      <c r="P105" s="40">
        <v>1025202</v>
      </c>
      <c r="Q105" s="40">
        <v>99309</v>
      </c>
      <c r="R105" s="40">
        <v>613209</v>
      </c>
      <c r="S105" s="40">
        <v>354356</v>
      </c>
      <c r="T105" s="40"/>
      <c r="U105" s="40">
        <v>0</v>
      </c>
      <c r="V105" s="40">
        <v>0</v>
      </c>
      <c r="W105" s="45">
        <v>2798978</v>
      </c>
      <c r="X105" s="46">
        <v>2.0770827072698799</v>
      </c>
    </row>
    <row r="106" spans="1:24" s="4" customFormat="1" ht="15" customHeight="1">
      <c r="A106" s="28" t="s">
        <v>1603</v>
      </c>
      <c r="B106" s="29">
        <v>3149.63</v>
      </c>
      <c r="C106" s="30" t="s">
        <v>2038</v>
      </c>
      <c r="D106" s="2">
        <v>4949389437</v>
      </c>
      <c r="E106" s="2" t="s">
        <v>36</v>
      </c>
      <c r="F106" s="2" t="s">
        <v>2039</v>
      </c>
      <c r="G106" s="28" t="s">
        <v>5</v>
      </c>
      <c r="H106" s="2" t="s">
        <v>26</v>
      </c>
      <c r="I106" s="2">
        <v>4</v>
      </c>
      <c r="J106" s="2" t="s">
        <v>2040</v>
      </c>
      <c r="K106" s="2">
        <v>83169</v>
      </c>
      <c r="L106" s="35">
        <v>261951577.47</v>
      </c>
      <c r="M106" s="36">
        <v>89430</v>
      </c>
      <c r="N106" s="40">
        <v>0</v>
      </c>
      <c r="O106" s="40">
        <v>1992976</v>
      </c>
      <c r="P106" s="40">
        <v>3728008</v>
      </c>
      <c r="Q106" s="40">
        <v>496548</v>
      </c>
      <c r="R106" s="40">
        <v>2461385</v>
      </c>
      <c r="S106" s="40">
        <v>354356</v>
      </c>
      <c r="T106" s="40"/>
      <c r="U106" s="40">
        <v>0</v>
      </c>
      <c r="V106" s="40">
        <v>0</v>
      </c>
      <c r="W106" s="45">
        <v>9033273</v>
      </c>
      <c r="X106" s="46">
        <v>3.44845146085617</v>
      </c>
    </row>
    <row r="107" spans="1:24" s="4" customFormat="1" ht="15" customHeight="1">
      <c r="A107" s="28" t="s">
        <v>1603</v>
      </c>
      <c r="B107" s="29">
        <v>3149.63</v>
      </c>
      <c r="C107" s="30" t="s">
        <v>1455</v>
      </c>
      <c r="D107" s="2">
        <v>4948452720</v>
      </c>
      <c r="E107" s="2" t="s">
        <v>36</v>
      </c>
      <c r="F107" s="78" t="s">
        <v>2045</v>
      </c>
      <c r="G107" s="28" t="s">
        <v>5</v>
      </c>
      <c r="H107" s="2" t="s">
        <v>26</v>
      </c>
      <c r="I107" s="2">
        <v>3</v>
      </c>
      <c r="J107" s="2" t="s">
        <v>1457</v>
      </c>
      <c r="K107" s="2">
        <v>104290</v>
      </c>
      <c r="L107" s="35">
        <v>328474912.69999999</v>
      </c>
      <c r="M107" s="36">
        <v>67458</v>
      </c>
      <c r="N107" s="40">
        <v>934607</v>
      </c>
      <c r="O107" s="40">
        <v>1199671</v>
      </c>
      <c r="P107" s="40">
        <v>1802290</v>
      </c>
      <c r="Q107" s="40">
        <v>297928</v>
      </c>
      <c r="R107" s="40">
        <v>2086770</v>
      </c>
      <c r="S107" s="40">
        <v>354356</v>
      </c>
      <c r="T107" s="40"/>
      <c r="U107" s="40">
        <v>0</v>
      </c>
      <c r="V107" s="40">
        <v>0</v>
      </c>
      <c r="W107" s="45">
        <v>6675622</v>
      </c>
      <c r="X107" s="46">
        <v>2.0323080216774199</v>
      </c>
    </row>
    <row r="108" spans="1:24" s="4" customFormat="1" ht="15" customHeight="1">
      <c r="A108" s="28" t="s">
        <v>1603</v>
      </c>
      <c r="B108" s="29">
        <v>3149.63</v>
      </c>
      <c r="C108" s="30" t="s">
        <v>2120</v>
      </c>
      <c r="D108" s="2">
        <v>4949389436</v>
      </c>
      <c r="E108" s="2" t="s">
        <v>36</v>
      </c>
      <c r="F108" s="2" t="s">
        <v>2121</v>
      </c>
      <c r="G108" s="28" t="s">
        <v>5</v>
      </c>
      <c r="H108" s="2" t="s">
        <v>26</v>
      </c>
      <c r="I108" s="2">
        <v>4</v>
      </c>
      <c r="J108" s="2" t="s">
        <v>2122</v>
      </c>
      <c r="K108" s="2">
        <v>81719</v>
      </c>
      <c r="L108" s="35">
        <v>257384613.97</v>
      </c>
      <c r="M108" s="36">
        <v>87870</v>
      </c>
      <c r="N108" s="40">
        <v>0</v>
      </c>
      <c r="O108" s="40">
        <v>1992976</v>
      </c>
      <c r="P108" s="40">
        <v>3728008</v>
      </c>
      <c r="Q108" s="40">
        <v>496548</v>
      </c>
      <c r="R108" s="40">
        <v>2461385</v>
      </c>
      <c r="S108" s="40">
        <v>354356</v>
      </c>
      <c r="T108" s="40"/>
      <c r="U108" s="40">
        <v>0</v>
      </c>
      <c r="V108" s="40">
        <v>0</v>
      </c>
      <c r="W108" s="45">
        <v>9033273</v>
      </c>
      <c r="X108" s="46">
        <v>3.5096398579026502</v>
      </c>
    </row>
    <row r="109" spans="1:24" s="4" customFormat="1" ht="15" customHeight="1">
      <c r="A109" s="28" t="s">
        <v>1603</v>
      </c>
      <c r="B109" s="29">
        <v>3149.63</v>
      </c>
      <c r="C109" s="30" t="s">
        <v>2123</v>
      </c>
      <c r="D109" s="2">
        <v>4949389425</v>
      </c>
      <c r="E109" s="2" t="s">
        <v>36</v>
      </c>
      <c r="F109" s="2" t="s">
        <v>2124</v>
      </c>
      <c r="G109" s="28" t="s">
        <v>5</v>
      </c>
      <c r="H109" s="2" t="s">
        <v>26</v>
      </c>
      <c r="I109" s="2">
        <v>1</v>
      </c>
      <c r="J109" s="2" t="s">
        <v>2125</v>
      </c>
      <c r="K109" s="2">
        <v>35502.17</v>
      </c>
      <c r="L109" s="35">
        <v>111818699.6971</v>
      </c>
      <c r="M109" s="36">
        <v>20012.494999999999</v>
      </c>
      <c r="N109" s="40">
        <v>319543</v>
      </c>
      <c r="O109" s="40">
        <v>399890</v>
      </c>
      <c r="P109" s="40">
        <v>926388</v>
      </c>
      <c r="Q109" s="40">
        <v>99309</v>
      </c>
      <c r="R109" s="40">
        <v>610306</v>
      </c>
      <c r="S109" s="40">
        <v>354356</v>
      </c>
      <c r="T109" s="40"/>
      <c r="U109" s="40">
        <v>0</v>
      </c>
      <c r="V109" s="40">
        <v>0</v>
      </c>
      <c r="W109" s="45">
        <v>2709792</v>
      </c>
      <c r="X109" s="46">
        <v>2.4233799957792601</v>
      </c>
    </row>
    <row r="110" spans="1:24" s="4" customFormat="1" ht="15" customHeight="1">
      <c r="A110" s="28" t="s">
        <v>1603</v>
      </c>
      <c r="B110" s="29">
        <v>3149.63</v>
      </c>
      <c r="C110" s="30" t="s">
        <v>2134</v>
      </c>
      <c r="D110" s="2">
        <v>4949389439</v>
      </c>
      <c r="E110" s="2" t="s">
        <v>36</v>
      </c>
      <c r="F110" s="2" t="s">
        <v>2135</v>
      </c>
      <c r="G110" s="28" t="s">
        <v>5</v>
      </c>
      <c r="H110" s="2" t="s">
        <v>26</v>
      </c>
      <c r="I110" s="2">
        <v>4</v>
      </c>
      <c r="J110" s="2" t="s">
        <v>2136</v>
      </c>
      <c r="K110" s="2">
        <v>77822</v>
      </c>
      <c r="L110" s="35">
        <v>245110505.86000001</v>
      </c>
      <c r="M110" s="36">
        <v>83680</v>
      </c>
      <c r="N110" s="40">
        <v>1289635</v>
      </c>
      <c r="O110" s="40">
        <v>1992976</v>
      </c>
      <c r="P110" s="40">
        <v>3761435</v>
      </c>
      <c r="Q110" s="40">
        <v>496548</v>
      </c>
      <c r="R110" s="40">
        <v>2484036</v>
      </c>
      <c r="S110" s="40">
        <v>354356</v>
      </c>
      <c r="T110" s="40"/>
      <c r="U110" s="40">
        <v>0</v>
      </c>
      <c r="V110" s="40">
        <v>0</v>
      </c>
      <c r="W110" s="45">
        <v>10378986</v>
      </c>
      <c r="X110" s="46">
        <v>4.2344109093096902</v>
      </c>
    </row>
    <row r="111" spans="1:24" s="4" customFormat="1" ht="15" customHeight="1">
      <c r="A111" s="28" t="s">
        <v>1603</v>
      </c>
      <c r="B111" s="29">
        <v>3149.63</v>
      </c>
      <c r="C111" s="30" t="s">
        <v>2140</v>
      </c>
      <c r="D111" s="2">
        <v>4949389432</v>
      </c>
      <c r="E111" s="2" t="s">
        <v>36</v>
      </c>
      <c r="F111" s="2" t="s">
        <v>2141</v>
      </c>
      <c r="G111" s="28" t="s">
        <v>5</v>
      </c>
      <c r="H111" s="2" t="s">
        <v>26</v>
      </c>
      <c r="I111" s="2">
        <v>1</v>
      </c>
      <c r="J111" s="2" t="s">
        <v>2142</v>
      </c>
      <c r="K111" s="2">
        <v>38369.32</v>
      </c>
      <c r="L111" s="35">
        <v>120849161.35160001</v>
      </c>
      <c r="M111" s="36">
        <v>22425.607</v>
      </c>
      <c r="N111" s="40">
        <v>319544</v>
      </c>
      <c r="O111" s="40">
        <v>399890</v>
      </c>
      <c r="P111" s="40">
        <v>741111</v>
      </c>
      <c r="Q111" s="40">
        <v>99309</v>
      </c>
      <c r="R111" s="40">
        <v>584639</v>
      </c>
      <c r="S111" s="40">
        <v>354356</v>
      </c>
      <c r="T111" s="40"/>
      <c r="U111" s="40">
        <v>0</v>
      </c>
      <c r="V111" s="40">
        <v>0</v>
      </c>
      <c r="W111" s="45">
        <v>2498849</v>
      </c>
      <c r="X111" s="46">
        <v>2.0677421109525298</v>
      </c>
    </row>
    <row r="112" spans="1:24" s="4" customFormat="1" ht="15" customHeight="1">
      <c r="A112" s="28" t="s">
        <v>1603</v>
      </c>
      <c r="B112" s="29">
        <v>3149.63</v>
      </c>
      <c r="C112" s="30" t="s">
        <v>2146</v>
      </c>
      <c r="D112" s="2">
        <v>4949389431</v>
      </c>
      <c r="E112" s="2" t="s">
        <v>36</v>
      </c>
      <c r="F112" s="2" t="s">
        <v>2147</v>
      </c>
      <c r="G112" s="28" t="s">
        <v>5</v>
      </c>
      <c r="H112" s="2" t="s">
        <v>26</v>
      </c>
      <c r="I112" s="2">
        <v>1</v>
      </c>
      <c r="J112" s="2" t="s">
        <v>2148</v>
      </c>
      <c r="K112" s="2">
        <v>38686.21</v>
      </c>
      <c r="L112" s="35">
        <v>121847247.6023</v>
      </c>
      <c r="M112" s="36">
        <v>22452.822</v>
      </c>
      <c r="N112" s="40">
        <v>319544</v>
      </c>
      <c r="O112" s="40">
        <v>399890</v>
      </c>
      <c r="P112" s="40">
        <v>741111</v>
      </c>
      <c r="Q112" s="40">
        <v>99309</v>
      </c>
      <c r="R112" s="40">
        <v>584639</v>
      </c>
      <c r="S112" s="40">
        <v>354356</v>
      </c>
      <c r="T112" s="40"/>
      <c r="U112" s="40">
        <v>0</v>
      </c>
      <c r="V112" s="40">
        <v>0</v>
      </c>
      <c r="W112" s="45">
        <v>2498849</v>
      </c>
      <c r="X112" s="46">
        <v>2.0508046338117101</v>
      </c>
    </row>
    <row r="113" spans="1:24" s="4" customFormat="1" ht="15" customHeight="1">
      <c r="A113" s="28" t="s">
        <v>1603</v>
      </c>
      <c r="B113" s="29">
        <v>3149.63</v>
      </c>
      <c r="C113" s="30" t="s">
        <v>2158</v>
      </c>
      <c r="D113" s="2">
        <v>4948892097</v>
      </c>
      <c r="E113" s="2" t="s">
        <v>36</v>
      </c>
      <c r="F113" s="2" t="s">
        <v>2159</v>
      </c>
      <c r="G113" s="28" t="s">
        <v>5</v>
      </c>
      <c r="H113" s="2" t="s">
        <v>20</v>
      </c>
      <c r="I113" s="2">
        <v>1</v>
      </c>
      <c r="J113" s="2" t="s">
        <v>2160</v>
      </c>
      <c r="K113" s="2">
        <v>32682.720000000001</v>
      </c>
      <c r="L113" s="35">
        <v>102938475.3936</v>
      </c>
      <c r="M113" s="36">
        <v>17040</v>
      </c>
      <c r="N113" s="40">
        <v>319543</v>
      </c>
      <c r="O113" s="40">
        <v>312888</v>
      </c>
      <c r="P113" s="40">
        <v>0</v>
      </c>
      <c r="Q113" s="40">
        <v>109678</v>
      </c>
      <c r="R113" s="40">
        <v>722052</v>
      </c>
      <c r="S113" s="40">
        <v>354356</v>
      </c>
      <c r="T113" s="40"/>
      <c r="U113" s="40">
        <v>519300</v>
      </c>
      <c r="V113" s="40">
        <v>0</v>
      </c>
      <c r="W113" s="45">
        <v>2337817</v>
      </c>
      <c r="X113" s="46">
        <v>2.2710818195635998</v>
      </c>
    </row>
    <row r="114" spans="1:24" s="4" customFormat="1" ht="15" customHeight="1">
      <c r="A114" s="28" t="s">
        <v>1603</v>
      </c>
      <c r="B114" s="29">
        <v>3149.63</v>
      </c>
      <c r="C114" s="30" t="s">
        <v>2165</v>
      </c>
      <c r="D114" s="2">
        <v>4949389402</v>
      </c>
      <c r="E114" s="2" t="s">
        <v>36</v>
      </c>
      <c r="F114" s="2" t="s">
        <v>2166</v>
      </c>
      <c r="G114" s="28" t="s">
        <v>5</v>
      </c>
      <c r="H114" s="2" t="s">
        <v>26</v>
      </c>
      <c r="I114" s="2">
        <v>3</v>
      </c>
      <c r="J114" s="2" t="s">
        <v>2167</v>
      </c>
      <c r="K114" s="2">
        <v>128151</v>
      </c>
      <c r="L114" s="35">
        <v>403628234.13</v>
      </c>
      <c r="M114" s="36">
        <v>74942</v>
      </c>
      <c r="N114" s="40">
        <v>1063531</v>
      </c>
      <c r="O114" s="40">
        <v>1199671</v>
      </c>
      <c r="P114" s="40">
        <v>3075606</v>
      </c>
      <c r="Q114" s="40">
        <v>297928</v>
      </c>
      <c r="R114" s="40">
        <v>1845426</v>
      </c>
      <c r="S114" s="40">
        <v>354356</v>
      </c>
      <c r="T114" s="40"/>
      <c r="U114" s="40">
        <v>0</v>
      </c>
      <c r="V114" s="40">
        <v>0</v>
      </c>
      <c r="W114" s="45">
        <v>7836518</v>
      </c>
      <c r="X114" s="46">
        <v>1.9415187881717999</v>
      </c>
    </row>
    <row r="116" spans="1:24" ht="15" customHeight="1">
      <c r="A116" s="31" t="s">
        <v>1603</v>
      </c>
      <c r="B116" s="31"/>
      <c r="C116" s="31"/>
      <c r="D116" s="31"/>
      <c r="E116" s="31"/>
      <c r="F116" s="32">
        <v>37</v>
      </c>
      <c r="G116" s="31"/>
      <c r="H116" s="31"/>
      <c r="I116" s="38"/>
      <c r="J116" s="31"/>
      <c r="K116" s="39">
        <f>+SUM(K77:K114)</f>
        <v>2979200.04</v>
      </c>
      <c r="L116" s="39">
        <f>+SUM(L77:L114)</f>
        <v>9383377821.9852009</v>
      </c>
      <c r="M116" s="31"/>
      <c r="N116" s="39"/>
      <c r="O116" s="39"/>
      <c r="P116" s="39"/>
      <c r="Q116" s="39"/>
      <c r="R116" s="39"/>
      <c r="S116" s="39"/>
      <c r="T116" s="39"/>
      <c r="U116" s="39"/>
      <c r="V116" s="31"/>
      <c r="W116" s="39">
        <f>+SUM(W77:W114)</f>
        <v>272626362</v>
      </c>
      <c r="X116" s="47">
        <f>(W116/L116)*100</f>
        <v>2.9054181465573943</v>
      </c>
    </row>
    <row r="118" spans="1:24" s="4" customFormat="1" ht="15" customHeight="1">
      <c r="A118" s="28" t="s">
        <v>2168</v>
      </c>
      <c r="B118" s="29">
        <v>3271.01</v>
      </c>
      <c r="C118" s="30" t="s">
        <v>2184</v>
      </c>
      <c r="D118" s="2">
        <v>4949389417</v>
      </c>
      <c r="E118" s="2" t="s">
        <v>36</v>
      </c>
      <c r="F118" s="2" t="s">
        <v>2185</v>
      </c>
      <c r="G118" s="28" t="s">
        <v>5</v>
      </c>
      <c r="H118" s="2" t="s">
        <v>26</v>
      </c>
      <c r="I118" s="2">
        <v>1</v>
      </c>
      <c r="J118" s="2" t="s">
        <v>2186</v>
      </c>
      <c r="K118" s="2">
        <v>34232.57</v>
      </c>
      <c r="L118" s="35">
        <v>111975078.7957</v>
      </c>
      <c r="M118" s="36">
        <v>19821.987000000001</v>
      </c>
      <c r="N118" s="40">
        <v>319544</v>
      </c>
      <c r="O118" s="40">
        <v>402877</v>
      </c>
      <c r="P118" s="40">
        <v>894722</v>
      </c>
      <c r="Q118" s="40">
        <v>99309</v>
      </c>
      <c r="R118" s="40">
        <v>496010</v>
      </c>
      <c r="S118" s="40">
        <v>354356</v>
      </c>
      <c r="T118" s="40"/>
      <c r="U118" s="40">
        <v>0</v>
      </c>
      <c r="V118" s="40">
        <v>0</v>
      </c>
      <c r="W118" s="45">
        <v>2566818</v>
      </c>
      <c r="X118" s="46">
        <v>2.2923118497493502</v>
      </c>
    </row>
    <row r="119" spans="1:24" s="4" customFormat="1" ht="15" customHeight="1">
      <c r="A119" s="28" t="s">
        <v>2168</v>
      </c>
      <c r="B119" s="29">
        <v>3271.01</v>
      </c>
      <c r="C119" s="30" t="s">
        <v>2187</v>
      </c>
      <c r="D119" s="2">
        <v>4949389403</v>
      </c>
      <c r="E119" s="2" t="s">
        <v>36</v>
      </c>
      <c r="F119" s="2" t="s">
        <v>2188</v>
      </c>
      <c r="G119" s="28" t="s">
        <v>5</v>
      </c>
      <c r="H119" s="2" t="s">
        <v>26</v>
      </c>
      <c r="I119" s="2">
        <v>3</v>
      </c>
      <c r="J119" s="2" t="s">
        <v>2189</v>
      </c>
      <c r="K119" s="2">
        <v>128229</v>
      </c>
      <c r="L119" s="35">
        <v>419438341.29000002</v>
      </c>
      <c r="M119" s="36">
        <v>74987</v>
      </c>
      <c r="N119" s="40">
        <v>1063533</v>
      </c>
      <c r="O119" s="40">
        <v>1505915</v>
      </c>
      <c r="P119" s="40">
        <v>3075606</v>
      </c>
      <c r="Q119" s="40">
        <v>372411</v>
      </c>
      <c r="R119" s="40">
        <v>1845426</v>
      </c>
      <c r="S119" s="40">
        <v>354356</v>
      </c>
      <c r="T119" s="40"/>
      <c r="U119" s="40">
        <v>0</v>
      </c>
      <c r="V119" s="40">
        <v>0</v>
      </c>
      <c r="W119" s="45">
        <v>8217247</v>
      </c>
      <c r="X119" s="46">
        <v>1.9591072610881299</v>
      </c>
    </row>
    <row r="120" spans="1:24" s="4" customFormat="1" ht="15" customHeight="1">
      <c r="A120" s="28" t="s">
        <v>2168</v>
      </c>
      <c r="B120" s="29">
        <v>3271.01</v>
      </c>
      <c r="C120" s="30" t="s">
        <v>2229</v>
      </c>
      <c r="D120" s="2">
        <v>4949389428</v>
      </c>
      <c r="E120" s="2" t="s">
        <v>36</v>
      </c>
      <c r="F120" s="2" t="s">
        <v>2230</v>
      </c>
      <c r="G120" s="28" t="s">
        <v>5</v>
      </c>
      <c r="H120" s="2" t="s">
        <v>20</v>
      </c>
      <c r="I120" s="2">
        <v>1</v>
      </c>
      <c r="J120" s="2" t="s">
        <v>2231</v>
      </c>
      <c r="K120" s="2">
        <v>30233.200000000001</v>
      </c>
      <c r="L120" s="35">
        <v>98893099.532000005</v>
      </c>
      <c r="M120" s="36">
        <v>16800</v>
      </c>
      <c r="N120" s="40">
        <v>319544</v>
      </c>
      <c r="O120" s="40">
        <v>296099</v>
      </c>
      <c r="P120" s="40">
        <v>216475.28</v>
      </c>
      <c r="Q120" s="40">
        <v>110250</v>
      </c>
      <c r="R120" s="40">
        <v>688388</v>
      </c>
      <c r="S120" s="40">
        <v>354356</v>
      </c>
      <c r="T120" s="40"/>
      <c r="U120" s="40">
        <v>2541400</v>
      </c>
      <c r="V120" s="40">
        <v>0</v>
      </c>
      <c r="W120" s="45">
        <v>4526512.28</v>
      </c>
      <c r="X120" s="46">
        <v>4.57717707445837</v>
      </c>
    </row>
    <row r="121" spans="1:24" s="4" customFormat="1" ht="15" customHeight="1">
      <c r="A121" s="28" t="s">
        <v>2168</v>
      </c>
      <c r="B121" s="29">
        <v>3271.01</v>
      </c>
      <c r="C121" s="30" t="s">
        <v>2349</v>
      </c>
      <c r="D121" s="2">
        <v>4950184133</v>
      </c>
      <c r="E121" s="2" t="s">
        <v>36</v>
      </c>
      <c r="F121" s="2" t="s">
        <v>2350</v>
      </c>
      <c r="G121" s="28" t="s">
        <v>5</v>
      </c>
      <c r="H121" s="2" t="s">
        <v>20</v>
      </c>
      <c r="I121" s="2">
        <v>1</v>
      </c>
      <c r="J121" s="2" t="s">
        <v>2351</v>
      </c>
      <c r="K121" s="2">
        <v>31800</v>
      </c>
      <c r="L121" s="35">
        <v>104018118</v>
      </c>
      <c r="M121" s="36">
        <v>20000</v>
      </c>
      <c r="N121" s="40">
        <v>322409</v>
      </c>
      <c r="O121" s="40">
        <v>166327.5</v>
      </c>
      <c r="P121" s="40">
        <v>0</v>
      </c>
      <c r="Q121" s="40">
        <v>49654.5</v>
      </c>
      <c r="R121" s="40">
        <v>536328</v>
      </c>
      <c r="S121" s="40">
        <v>177178</v>
      </c>
      <c r="T121" s="48"/>
      <c r="U121" s="40">
        <v>519300</v>
      </c>
      <c r="V121" s="40">
        <v>0</v>
      </c>
      <c r="W121" s="45">
        <v>1771197</v>
      </c>
      <c r="X121" s="46">
        <v>1.7027773949919001</v>
      </c>
    </row>
    <row r="122" spans="1:24" s="4" customFormat="1" ht="15" customHeight="1">
      <c r="A122" s="28" t="s">
        <v>2168</v>
      </c>
      <c r="B122" s="29">
        <v>3271.01</v>
      </c>
      <c r="C122" s="30" t="s">
        <v>2349</v>
      </c>
      <c r="D122" s="2">
        <v>4950184135</v>
      </c>
      <c r="E122" s="2" t="s">
        <v>36</v>
      </c>
      <c r="F122" s="2" t="s">
        <v>2350</v>
      </c>
      <c r="G122" s="28" t="s">
        <v>5</v>
      </c>
      <c r="H122" s="2" t="s">
        <v>20</v>
      </c>
      <c r="I122" s="2">
        <v>1</v>
      </c>
      <c r="J122" s="2" t="s">
        <v>2352</v>
      </c>
      <c r="K122" s="2">
        <v>31800</v>
      </c>
      <c r="L122" s="35">
        <v>104018118</v>
      </c>
      <c r="M122" s="36">
        <v>20000</v>
      </c>
      <c r="N122" s="40">
        <v>322409</v>
      </c>
      <c r="O122" s="40">
        <v>166327.5</v>
      </c>
      <c r="P122" s="40">
        <v>0</v>
      </c>
      <c r="Q122" s="40">
        <v>49654.5</v>
      </c>
      <c r="R122" s="40">
        <v>536328</v>
      </c>
      <c r="S122" s="40">
        <v>177178</v>
      </c>
      <c r="T122" s="48"/>
      <c r="U122" s="40">
        <v>519300</v>
      </c>
      <c r="V122" s="40">
        <v>0</v>
      </c>
      <c r="W122" s="45">
        <v>1771197</v>
      </c>
      <c r="X122" s="46">
        <v>1.7027773949919001</v>
      </c>
    </row>
    <row r="123" spans="1:24" s="4" customFormat="1" ht="15" customHeight="1">
      <c r="A123" s="28" t="s">
        <v>2168</v>
      </c>
      <c r="B123" s="29">
        <v>3271.01</v>
      </c>
      <c r="C123" s="30" t="s">
        <v>2357</v>
      </c>
      <c r="D123" s="2">
        <v>4950000732</v>
      </c>
      <c r="E123" s="2" t="s">
        <v>36</v>
      </c>
      <c r="F123" s="2" t="s">
        <v>2358</v>
      </c>
      <c r="G123" s="28" t="s">
        <v>5</v>
      </c>
      <c r="H123" s="2" t="s">
        <v>20</v>
      </c>
      <c r="I123" s="2">
        <v>1</v>
      </c>
      <c r="J123" s="2" t="s">
        <v>2359</v>
      </c>
      <c r="K123" s="2">
        <v>31800</v>
      </c>
      <c r="L123" s="35">
        <v>104018118</v>
      </c>
      <c r="M123" s="36">
        <v>20000</v>
      </c>
      <c r="N123" s="40">
        <v>322409</v>
      </c>
      <c r="O123" s="40">
        <v>332655</v>
      </c>
      <c r="P123" s="40">
        <v>0</v>
      </c>
      <c r="Q123" s="40">
        <v>99309</v>
      </c>
      <c r="R123" s="40">
        <v>536328</v>
      </c>
      <c r="S123" s="40">
        <v>354356</v>
      </c>
      <c r="T123" s="40"/>
      <c r="U123" s="40">
        <v>519300</v>
      </c>
      <c r="V123" s="40">
        <v>0</v>
      </c>
      <c r="W123" s="45">
        <v>2164357</v>
      </c>
      <c r="X123" s="46">
        <v>2.0807500093397202</v>
      </c>
    </row>
    <row r="124" spans="1:24" s="4" customFormat="1" ht="15" customHeight="1">
      <c r="A124" s="28" t="s">
        <v>2168</v>
      </c>
      <c r="B124" s="29">
        <v>3271.01</v>
      </c>
      <c r="C124" s="30" t="s">
        <v>2459</v>
      </c>
      <c r="D124" s="2">
        <v>4950559749</v>
      </c>
      <c r="E124" s="2" t="s">
        <v>36</v>
      </c>
      <c r="F124" s="2" t="s">
        <v>2460</v>
      </c>
      <c r="G124" s="28" t="s">
        <v>5</v>
      </c>
      <c r="H124" s="2" t="s">
        <v>32</v>
      </c>
      <c r="I124" s="2">
        <v>1</v>
      </c>
      <c r="J124" s="2" t="s">
        <v>2461</v>
      </c>
      <c r="K124" s="2">
        <v>56000</v>
      </c>
      <c r="L124" s="35">
        <v>183176560</v>
      </c>
      <c r="M124" s="36">
        <v>17500</v>
      </c>
      <c r="N124" s="40">
        <v>332741</v>
      </c>
      <c r="O124" s="40">
        <v>332655</v>
      </c>
      <c r="P124" s="40">
        <v>0</v>
      </c>
      <c r="Q124" s="40">
        <v>99309</v>
      </c>
      <c r="R124" s="40">
        <v>1126739</v>
      </c>
      <c r="S124" s="40">
        <v>354356</v>
      </c>
      <c r="T124" s="48"/>
      <c r="U124" s="40">
        <v>0</v>
      </c>
      <c r="V124" s="40">
        <v>0</v>
      </c>
      <c r="W124" s="45">
        <v>2245800</v>
      </c>
      <c r="X124" s="46">
        <v>1.22603023006874</v>
      </c>
    </row>
    <row r="125" spans="1:24" s="4" customFormat="1" ht="15" customHeight="1">
      <c r="A125" s="28" t="s">
        <v>2168</v>
      </c>
      <c r="B125" s="29">
        <v>3271.01</v>
      </c>
      <c r="C125" s="30" t="s">
        <v>2474</v>
      </c>
      <c r="D125" s="2">
        <v>4950556393</v>
      </c>
      <c r="E125" s="2" t="s">
        <v>36</v>
      </c>
      <c r="F125" s="2" t="s">
        <v>2475</v>
      </c>
      <c r="G125" s="28" t="s">
        <v>5</v>
      </c>
      <c r="H125" s="2" t="s">
        <v>26</v>
      </c>
      <c r="I125" s="2">
        <v>3</v>
      </c>
      <c r="J125" s="2" t="s">
        <v>2476</v>
      </c>
      <c r="K125" s="2">
        <v>120024.17</v>
      </c>
      <c r="L125" s="35">
        <v>392600260.31169999</v>
      </c>
      <c r="M125" s="36">
        <v>75015.106</v>
      </c>
      <c r="N125" s="40">
        <v>1007847</v>
      </c>
      <c r="O125" s="40">
        <v>1518887</v>
      </c>
      <c r="P125" s="40">
        <v>4997244</v>
      </c>
      <c r="Q125" s="40">
        <v>372411</v>
      </c>
      <c r="R125" s="40">
        <v>2767308</v>
      </c>
      <c r="S125" s="40">
        <v>354356</v>
      </c>
      <c r="T125" s="48"/>
      <c r="U125" s="40">
        <v>0</v>
      </c>
      <c r="V125" s="40">
        <v>0</v>
      </c>
      <c r="W125" s="45">
        <v>11018053</v>
      </c>
      <c r="X125" s="46">
        <v>2.8064303857700801</v>
      </c>
    </row>
    <row r="126" spans="1:24" s="4" customFormat="1" ht="15" customHeight="1">
      <c r="A126" s="28" t="s">
        <v>2168</v>
      </c>
      <c r="B126" s="29">
        <v>3271.01</v>
      </c>
      <c r="C126" s="30" t="s">
        <v>2477</v>
      </c>
      <c r="D126" s="2">
        <v>4950003304</v>
      </c>
      <c r="E126" s="2" t="s">
        <v>36</v>
      </c>
      <c r="F126" s="2" t="s">
        <v>2478</v>
      </c>
      <c r="G126" s="28" t="s">
        <v>5</v>
      </c>
      <c r="H126" s="2" t="s">
        <v>26</v>
      </c>
      <c r="I126" s="2">
        <v>2</v>
      </c>
      <c r="J126" s="2" t="s">
        <v>2479</v>
      </c>
      <c r="K126" s="2">
        <v>42630</v>
      </c>
      <c r="L126" s="35">
        <v>139443156.30000001</v>
      </c>
      <c r="M126" s="36">
        <v>43500</v>
      </c>
      <c r="N126" s="40">
        <v>672619.91791960702</v>
      </c>
      <c r="O126" s="40">
        <v>1012580</v>
      </c>
      <c r="P126" s="40">
        <v>2550351.3424363299</v>
      </c>
      <c r="Q126" s="40">
        <v>248274</v>
      </c>
      <c r="R126" s="40">
        <v>1823757.5339061101</v>
      </c>
      <c r="S126" s="40">
        <v>118245.52009819</v>
      </c>
      <c r="T126" s="48"/>
      <c r="U126" s="40">
        <v>0</v>
      </c>
      <c r="V126" s="40">
        <v>0</v>
      </c>
      <c r="W126" s="45">
        <v>6425828.3143602395</v>
      </c>
      <c r="X126" s="46">
        <v>4.6082063005914904</v>
      </c>
    </row>
    <row r="127" spans="1:24" s="4" customFormat="1" ht="15" customHeight="1">
      <c r="A127" s="28" t="s">
        <v>2168</v>
      </c>
      <c r="B127" s="29">
        <v>3271.01</v>
      </c>
      <c r="C127" s="30" t="s">
        <v>2477</v>
      </c>
      <c r="D127" s="2">
        <v>4950184128</v>
      </c>
      <c r="E127" s="2" t="s">
        <v>36</v>
      </c>
      <c r="F127" s="2" t="s">
        <v>2478</v>
      </c>
      <c r="G127" s="28" t="s">
        <v>5</v>
      </c>
      <c r="H127" s="2" t="s">
        <v>26</v>
      </c>
      <c r="I127" s="2">
        <v>4</v>
      </c>
      <c r="J127" s="2" t="s">
        <v>2480</v>
      </c>
      <c r="K127" s="2">
        <v>85122.8</v>
      </c>
      <c r="L127" s="35">
        <v>278437530.028</v>
      </c>
      <c r="M127" s="36">
        <v>86860</v>
      </c>
      <c r="N127" s="40">
        <v>1343075.0820803901</v>
      </c>
      <c r="O127" s="40">
        <v>2025161</v>
      </c>
      <c r="P127" s="40">
        <v>5092494.6575636696</v>
      </c>
      <c r="Q127" s="40">
        <v>496548</v>
      </c>
      <c r="R127" s="40">
        <v>3641644.4660938899</v>
      </c>
      <c r="S127" s="40">
        <v>236110.47990181</v>
      </c>
      <c r="T127" s="48"/>
      <c r="U127" s="40">
        <v>0</v>
      </c>
      <c r="V127" s="40">
        <v>0</v>
      </c>
      <c r="W127" s="45">
        <v>12835033.685639801</v>
      </c>
      <c r="X127" s="46">
        <v>4.6096636772884203</v>
      </c>
    </row>
    <row r="128" spans="1:24" s="4" customFormat="1" ht="15" customHeight="1">
      <c r="A128" s="28" t="s">
        <v>2168</v>
      </c>
      <c r="B128" s="29">
        <v>3271.01</v>
      </c>
      <c r="C128" s="30" t="s">
        <v>2481</v>
      </c>
      <c r="D128" s="2">
        <v>4950003302</v>
      </c>
      <c r="E128" s="2" t="s">
        <v>36</v>
      </c>
      <c r="F128" s="2" t="s">
        <v>2482</v>
      </c>
      <c r="G128" s="28" t="s">
        <v>5</v>
      </c>
      <c r="H128" s="2" t="s">
        <v>26</v>
      </c>
      <c r="I128" s="2">
        <v>4</v>
      </c>
      <c r="J128" s="2" t="s">
        <v>2483</v>
      </c>
      <c r="K128" s="2">
        <v>82770.8</v>
      </c>
      <c r="L128" s="35">
        <v>270744114.50800002</v>
      </c>
      <c r="M128" s="36">
        <v>84460</v>
      </c>
      <c r="N128" s="40">
        <v>1339251.0989616101</v>
      </c>
      <c r="O128" s="40">
        <v>2025161</v>
      </c>
      <c r="P128" s="40">
        <v>5077995.3835745798</v>
      </c>
      <c r="Q128" s="40">
        <v>496548</v>
      </c>
      <c r="R128" s="40">
        <v>3631276.68281938</v>
      </c>
      <c r="S128" s="40">
        <v>235438.22970421601</v>
      </c>
      <c r="T128" s="48"/>
      <c r="U128" s="40">
        <v>0</v>
      </c>
      <c r="V128" s="40">
        <v>0</v>
      </c>
      <c r="W128" s="45">
        <v>12805670.3950598</v>
      </c>
      <c r="X128" s="46">
        <v>4.7298056389260497</v>
      </c>
    </row>
    <row r="129" spans="1:24" s="4" customFormat="1" ht="15" customHeight="1">
      <c r="A129" s="28" t="s">
        <v>2168</v>
      </c>
      <c r="B129" s="29">
        <v>3271.01</v>
      </c>
      <c r="C129" s="30" t="s">
        <v>2481</v>
      </c>
      <c r="D129" s="2">
        <v>4950003304</v>
      </c>
      <c r="E129" s="2" t="s">
        <v>36</v>
      </c>
      <c r="F129" s="2" t="s">
        <v>2482</v>
      </c>
      <c r="G129" s="28" t="s">
        <v>5</v>
      </c>
      <c r="H129" s="2" t="s">
        <v>26</v>
      </c>
      <c r="I129" s="2">
        <v>2</v>
      </c>
      <c r="J129" s="2" t="s">
        <v>2484</v>
      </c>
      <c r="K129" s="2">
        <v>41806.800000000003</v>
      </c>
      <c r="L129" s="35">
        <v>136750460.868</v>
      </c>
      <c r="M129" s="36">
        <v>42660</v>
      </c>
      <c r="N129" s="40">
        <v>676443.90103838895</v>
      </c>
      <c r="O129" s="40">
        <v>1012580</v>
      </c>
      <c r="P129" s="40">
        <v>2564850.6164254202</v>
      </c>
      <c r="Q129" s="40">
        <v>248274</v>
      </c>
      <c r="R129" s="40">
        <v>1834125.31718062</v>
      </c>
      <c r="S129" s="40">
        <v>118917.77029578399</v>
      </c>
      <c r="T129" s="48"/>
      <c r="U129" s="40">
        <v>0</v>
      </c>
      <c r="V129" s="40">
        <v>0</v>
      </c>
      <c r="W129" s="45">
        <v>6455191.6049402095</v>
      </c>
      <c r="X129" s="46">
        <v>4.72041670936024</v>
      </c>
    </row>
    <row r="130" spans="1:24" s="4" customFormat="1" ht="15" customHeight="1">
      <c r="A130" s="28" t="s">
        <v>2168</v>
      </c>
      <c r="B130" s="29">
        <v>3271.01</v>
      </c>
      <c r="C130" s="30" t="s">
        <v>2485</v>
      </c>
      <c r="D130" s="2">
        <v>4950184129</v>
      </c>
      <c r="E130" s="2" t="s">
        <v>36</v>
      </c>
      <c r="F130" s="2" t="s">
        <v>2486</v>
      </c>
      <c r="G130" s="28" t="s">
        <v>5</v>
      </c>
      <c r="H130" s="2" t="s">
        <v>26</v>
      </c>
      <c r="I130" s="2">
        <v>3</v>
      </c>
      <c r="J130" s="2" t="s">
        <v>2487</v>
      </c>
      <c r="K130" s="2">
        <v>63739.199999999997</v>
      </c>
      <c r="L130" s="35">
        <v>208491560.59200001</v>
      </c>
      <c r="M130" s="36">
        <v>65040</v>
      </c>
      <c r="N130" s="40">
        <v>333160.08610086102</v>
      </c>
      <c r="O130" s="40">
        <v>1518887</v>
      </c>
      <c r="P130" s="40">
        <v>1263231.4421894201</v>
      </c>
      <c r="Q130" s="40">
        <v>372411</v>
      </c>
      <c r="R130" s="40">
        <v>910153.14913899102</v>
      </c>
      <c r="S130" s="40">
        <v>117137.976629766</v>
      </c>
      <c r="T130" s="48"/>
      <c r="U130" s="40">
        <v>0</v>
      </c>
      <c r="V130" s="40">
        <v>0</v>
      </c>
      <c r="W130" s="45">
        <v>4514980.6540590404</v>
      </c>
      <c r="X130" s="46">
        <v>2.1655460015930599</v>
      </c>
    </row>
    <row r="131" spans="1:24" s="4" customFormat="1" ht="15" customHeight="1">
      <c r="A131" s="28" t="s">
        <v>2168</v>
      </c>
      <c r="B131" s="29">
        <v>3271.01</v>
      </c>
      <c r="C131" s="30" t="s">
        <v>2491</v>
      </c>
      <c r="D131" s="2">
        <v>4949389438</v>
      </c>
      <c r="E131" s="2" t="s">
        <v>36</v>
      </c>
      <c r="F131" s="78" t="s">
        <v>2492</v>
      </c>
      <c r="G131" s="28" t="s">
        <v>5</v>
      </c>
      <c r="H131" s="2" t="s">
        <v>26</v>
      </c>
      <c r="I131" s="2">
        <v>4</v>
      </c>
      <c r="J131" s="2" t="s">
        <v>2493</v>
      </c>
      <c r="K131" s="2">
        <v>73479.3</v>
      </c>
      <c r="L131" s="35">
        <v>240351525.09299999</v>
      </c>
      <c r="M131" s="36">
        <v>79010</v>
      </c>
      <c r="N131" s="40">
        <v>1330965</v>
      </c>
      <c r="O131" s="40">
        <v>2025161</v>
      </c>
      <c r="P131" s="40">
        <v>6599369</v>
      </c>
      <c r="Q131" s="40">
        <v>496548</v>
      </c>
      <c r="R131" s="40">
        <v>3667290</v>
      </c>
      <c r="S131" s="40">
        <v>354356</v>
      </c>
      <c r="T131" s="48"/>
      <c r="U131" s="40">
        <v>0</v>
      </c>
      <c r="V131" s="40">
        <v>0</v>
      </c>
      <c r="W131" s="45">
        <v>14473689</v>
      </c>
      <c r="X131" s="46">
        <v>6.02188357007498</v>
      </c>
    </row>
    <row r="132" spans="1:24" s="4" customFormat="1" ht="15" customHeight="1">
      <c r="A132" s="28" t="s">
        <v>2168</v>
      </c>
      <c r="B132" s="29">
        <v>3271.01</v>
      </c>
      <c r="C132" s="30" t="s">
        <v>2494</v>
      </c>
      <c r="D132" s="2">
        <v>4950003306</v>
      </c>
      <c r="E132" s="2" t="s">
        <v>36</v>
      </c>
      <c r="F132" s="2" t="s">
        <v>2495</v>
      </c>
      <c r="G132" s="28" t="s">
        <v>5</v>
      </c>
      <c r="H132" s="2" t="s">
        <v>26</v>
      </c>
      <c r="I132" s="2">
        <v>4</v>
      </c>
      <c r="J132" s="2" t="s">
        <v>2496</v>
      </c>
      <c r="K132" s="2">
        <v>84828.800000000003</v>
      </c>
      <c r="L132" s="35">
        <v>277475853.088</v>
      </c>
      <c r="M132" s="36">
        <v>86560</v>
      </c>
      <c r="N132" s="40">
        <v>1343797</v>
      </c>
      <c r="O132" s="40">
        <v>2025161</v>
      </c>
      <c r="P132" s="40">
        <v>6271052</v>
      </c>
      <c r="Q132" s="40">
        <v>496548</v>
      </c>
      <c r="R132" s="40">
        <v>3696155</v>
      </c>
      <c r="S132" s="40">
        <v>354356</v>
      </c>
      <c r="T132" s="48"/>
      <c r="U132" s="40">
        <v>0</v>
      </c>
      <c r="V132" s="40">
        <v>0</v>
      </c>
      <c r="W132" s="45">
        <v>14187069</v>
      </c>
      <c r="X132" s="46">
        <v>5.1129022010793301</v>
      </c>
    </row>
    <row r="133" spans="1:24" s="4" customFormat="1" ht="15" customHeight="1">
      <c r="A133" s="28" t="s">
        <v>2168</v>
      </c>
      <c r="B133" s="29">
        <v>3271.01</v>
      </c>
      <c r="C133" s="30" t="s">
        <v>2546</v>
      </c>
      <c r="D133" s="2">
        <v>4950002065</v>
      </c>
      <c r="E133" s="2" t="s">
        <v>36</v>
      </c>
      <c r="F133" s="78" t="s">
        <v>2547</v>
      </c>
      <c r="G133" s="28" t="s">
        <v>5</v>
      </c>
      <c r="H133" s="2" t="s">
        <v>20</v>
      </c>
      <c r="I133" s="2">
        <v>3</v>
      </c>
      <c r="J133" s="2" t="s">
        <v>2548</v>
      </c>
      <c r="K133" s="2">
        <v>94770</v>
      </c>
      <c r="L133" s="35">
        <v>309993617.69999999</v>
      </c>
      <c r="M133" s="36">
        <v>58500</v>
      </c>
      <c r="N133" s="40">
        <v>931617</v>
      </c>
      <c r="O133" s="40">
        <v>1270864</v>
      </c>
      <c r="P133" s="40">
        <v>1321758</v>
      </c>
      <c r="Q133" s="40">
        <v>372411</v>
      </c>
      <c r="R133" s="40">
        <v>2625327</v>
      </c>
      <c r="S133" s="40">
        <v>354356</v>
      </c>
      <c r="T133" s="48"/>
      <c r="U133" s="40">
        <v>1557900</v>
      </c>
      <c r="V133" s="40">
        <v>0</v>
      </c>
      <c r="W133" s="45">
        <v>8434233</v>
      </c>
      <c r="X133" s="46">
        <v>2.7207763380994301</v>
      </c>
    </row>
    <row r="134" spans="1:24" s="4" customFormat="1" ht="15" customHeight="1">
      <c r="A134" s="28" t="s">
        <v>2168</v>
      </c>
      <c r="B134" s="29">
        <v>3271.01</v>
      </c>
      <c r="C134" s="30" t="s">
        <v>2581</v>
      </c>
      <c r="D134" s="2">
        <v>4950000736</v>
      </c>
      <c r="E134" s="2" t="s">
        <v>36</v>
      </c>
      <c r="F134" s="2" t="s">
        <v>2582</v>
      </c>
      <c r="G134" s="28" t="s">
        <v>5</v>
      </c>
      <c r="H134" s="2" t="s">
        <v>20</v>
      </c>
      <c r="I134" s="2">
        <v>1</v>
      </c>
      <c r="J134" s="2" t="s">
        <v>2583</v>
      </c>
      <c r="K134" s="2">
        <v>31800</v>
      </c>
      <c r="L134" s="35">
        <v>104018118</v>
      </c>
      <c r="M134" s="36">
        <v>20000</v>
      </c>
      <c r="N134" s="40">
        <v>332741</v>
      </c>
      <c r="O134" s="40">
        <v>340244</v>
      </c>
      <c r="P134" s="40">
        <v>0</v>
      </c>
      <c r="Q134" s="40">
        <v>99309</v>
      </c>
      <c r="R134" s="40">
        <v>549439</v>
      </c>
      <c r="S134" s="40">
        <v>354356</v>
      </c>
      <c r="T134" s="48"/>
      <c r="U134" s="40">
        <v>519300</v>
      </c>
      <c r="V134" s="40">
        <v>0</v>
      </c>
      <c r="W134" s="45">
        <v>2195389</v>
      </c>
      <c r="X134" s="46">
        <v>2.1105832735793202</v>
      </c>
    </row>
    <row r="135" spans="1:24" s="4" customFormat="1" ht="15" customHeight="1">
      <c r="A135" s="28" t="s">
        <v>2168</v>
      </c>
      <c r="B135" s="29">
        <v>3271.01</v>
      </c>
      <c r="C135" s="30" t="s">
        <v>2624</v>
      </c>
      <c r="D135" s="2">
        <v>4950184136</v>
      </c>
      <c r="E135" s="2" t="s">
        <v>36</v>
      </c>
      <c r="F135" s="2" t="s">
        <v>2625</v>
      </c>
      <c r="G135" s="28" t="s">
        <v>5</v>
      </c>
      <c r="H135" s="2" t="s">
        <v>20</v>
      </c>
      <c r="I135" s="2">
        <v>1</v>
      </c>
      <c r="J135" s="2" t="s">
        <v>2626</v>
      </c>
      <c r="K135" s="2">
        <v>30263.040000000001</v>
      </c>
      <c r="L135" s="35">
        <v>98990706.470400006</v>
      </c>
      <c r="M135" s="36">
        <v>17040</v>
      </c>
      <c r="N135" s="40">
        <v>335949</v>
      </c>
      <c r="O135" s="40">
        <v>340244</v>
      </c>
      <c r="P135" s="40">
        <v>0</v>
      </c>
      <c r="Q135" s="40">
        <v>99309</v>
      </c>
      <c r="R135" s="40">
        <v>553827</v>
      </c>
      <c r="S135" s="40">
        <v>354356</v>
      </c>
      <c r="T135" s="48"/>
      <c r="U135" s="40">
        <v>519300</v>
      </c>
      <c r="V135" s="40">
        <v>0</v>
      </c>
      <c r="W135" s="45">
        <v>2202985</v>
      </c>
      <c r="X135" s="46">
        <v>2.22544628536289</v>
      </c>
    </row>
    <row r="136" spans="1:24" s="4" customFormat="1" ht="15" customHeight="1">
      <c r="A136" s="28" t="s">
        <v>2168</v>
      </c>
      <c r="B136" s="29">
        <v>3271.01</v>
      </c>
      <c r="C136" s="30" t="s">
        <v>2627</v>
      </c>
      <c r="D136" s="2">
        <v>4950760125</v>
      </c>
      <c r="E136" s="2" t="s">
        <v>36</v>
      </c>
      <c r="F136" s="2" t="s">
        <v>2628</v>
      </c>
      <c r="G136" s="28" t="s">
        <v>5</v>
      </c>
      <c r="H136" s="2" t="s">
        <v>20</v>
      </c>
      <c r="I136" s="2">
        <v>1</v>
      </c>
      <c r="J136" s="2" t="s">
        <v>2629</v>
      </c>
      <c r="K136" s="2">
        <v>31590</v>
      </c>
      <c r="L136" s="35">
        <v>103331205.90000001</v>
      </c>
      <c r="M136" s="36">
        <v>19500</v>
      </c>
      <c r="N136" s="40">
        <v>345830</v>
      </c>
      <c r="O136" s="40">
        <v>340244</v>
      </c>
      <c r="P136" s="40">
        <v>0</v>
      </c>
      <c r="Q136" s="40">
        <v>99309</v>
      </c>
      <c r="R136" s="40">
        <v>744845</v>
      </c>
      <c r="S136" s="40">
        <v>354356</v>
      </c>
      <c r="T136" s="48"/>
      <c r="U136" s="40">
        <v>519300</v>
      </c>
      <c r="V136" s="40">
        <v>0</v>
      </c>
      <c r="W136" s="45">
        <v>2403884</v>
      </c>
      <c r="X136" s="46">
        <v>2.3263872506495198</v>
      </c>
    </row>
    <row r="137" spans="1:24" s="4" customFormat="1" ht="15" customHeight="1">
      <c r="A137" s="28" t="s">
        <v>2168</v>
      </c>
      <c r="B137" s="29">
        <v>3271.01</v>
      </c>
      <c r="C137" s="30" t="s">
        <v>2651</v>
      </c>
      <c r="D137" s="2">
        <v>4950002684</v>
      </c>
      <c r="E137" s="2" t="s">
        <v>36</v>
      </c>
      <c r="F137" s="2" t="s">
        <v>2652</v>
      </c>
      <c r="G137" s="28" t="s">
        <v>5</v>
      </c>
      <c r="H137" s="2" t="s">
        <v>20</v>
      </c>
      <c r="I137" s="2">
        <v>2</v>
      </c>
      <c r="J137" s="2" t="s">
        <v>2653</v>
      </c>
      <c r="K137" s="2">
        <v>63180</v>
      </c>
      <c r="L137" s="35">
        <v>206662411.80000001</v>
      </c>
      <c r="M137" s="36">
        <v>39000</v>
      </c>
      <c r="N137" s="40">
        <v>633699</v>
      </c>
      <c r="O137" s="40">
        <v>680489</v>
      </c>
      <c r="P137" s="40">
        <v>318178</v>
      </c>
      <c r="Q137" s="40">
        <v>198619</v>
      </c>
      <c r="R137" s="40">
        <v>1775578</v>
      </c>
      <c r="S137" s="40">
        <v>354356</v>
      </c>
      <c r="T137" s="40"/>
      <c r="U137" s="40">
        <v>1038600</v>
      </c>
      <c r="V137" s="40">
        <v>0</v>
      </c>
      <c r="W137" s="45">
        <v>4999519</v>
      </c>
      <c r="X137" s="46">
        <v>2.4191719028413998</v>
      </c>
    </row>
    <row r="138" spans="1:24" s="4" customFormat="1" ht="15" customHeight="1">
      <c r="A138" s="28" t="s">
        <v>2168</v>
      </c>
      <c r="B138" s="29">
        <v>3271.01</v>
      </c>
      <c r="C138" s="30" t="s">
        <v>2660</v>
      </c>
      <c r="D138" s="2">
        <v>4950559724</v>
      </c>
      <c r="E138" s="2" t="s">
        <v>36</v>
      </c>
      <c r="F138" s="2" t="s">
        <v>2661</v>
      </c>
      <c r="G138" s="28" t="s">
        <v>5</v>
      </c>
      <c r="H138" s="2" t="s">
        <v>26</v>
      </c>
      <c r="I138" s="2">
        <v>2</v>
      </c>
      <c r="J138" s="2" t="s">
        <v>2662</v>
      </c>
      <c r="K138" s="2">
        <v>68418</v>
      </c>
      <c r="L138" s="35">
        <v>223795962.18000001</v>
      </c>
      <c r="M138" s="36">
        <v>39163</v>
      </c>
      <c r="N138" s="40">
        <v>671215</v>
      </c>
      <c r="O138" s="40">
        <v>832083</v>
      </c>
      <c r="P138" s="40">
        <v>2662486</v>
      </c>
      <c r="Q138" s="40">
        <v>198619</v>
      </c>
      <c r="R138" s="40">
        <v>1146854</v>
      </c>
      <c r="S138" s="40">
        <v>354356</v>
      </c>
      <c r="T138" s="40"/>
      <c r="U138" s="40">
        <v>0</v>
      </c>
      <c r="V138" s="40">
        <v>0</v>
      </c>
      <c r="W138" s="45">
        <v>5865613</v>
      </c>
      <c r="X138" s="46">
        <v>2.62096462459062</v>
      </c>
    </row>
    <row r="139" spans="1:24" s="4" customFormat="1" ht="15" customHeight="1">
      <c r="A139" s="28" t="s">
        <v>2168</v>
      </c>
      <c r="B139" s="29">
        <v>3271.01</v>
      </c>
      <c r="C139" s="30" t="s">
        <v>2663</v>
      </c>
      <c r="D139" s="2">
        <v>4950002673</v>
      </c>
      <c r="E139" s="2" t="s">
        <v>36</v>
      </c>
      <c r="F139" s="2" t="s">
        <v>2664</v>
      </c>
      <c r="G139" s="28" t="s">
        <v>5</v>
      </c>
      <c r="H139" s="2" t="s">
        <v>20</v>
      </c>
      <c r="I139" s="2">
        <v>3</v>
      </c>
      <c r="J139" s="2" t="s">
        <v>2665</v>
      </c>
      <c r="K139" s="2">
        <v>84770</v>
      </c>
      <c r="L139" s="35">
        <v>277283517.69999999</v>
      </c>
      <c r="M139" s="36">
        <v>58500</v>
      </c>
      <c r="N139" s="40">
        <v>958720</v>
      </c>
      <c r="O139" s="40">
        <v>1270864</v>
      </c>
      <c r="P139" s="40">
        <v>477267</v>
      </c>
      <c r="Q139" s="40">
        <v>372411</v>
      </c>
      <c r="R139" s="40">
        <v>2661900</v>
      </c>
      <c r="S139" s="40">
        <v>354356</v>
      </c>
      <c r="T139" s="40"/>
      <c r="U139" s="40">
        <v>1557900</v>
      </c>
      <c r="V139" s="40">
        <v>0</v>
      </c>
      <c r="W139" s="45">
        <v>7653418</v>
      </c>
      <c r="X139" s="46">
        <v>2.76014170026522</v>
      </c>
    </row>
    <row r="140" spans="1:24" s="4" customFormat="1" ht="15" customHeight="1">
      <c r="A140" s="28" t="s">
        <v>2168</v>
      </c>
      <c r="B140" s="29">
        <v>3271.01</v>
      </c>
      <c r="C140" s="30" t="s">
        <v>2666</v>
      </c>
      <c r="D140" s="2">
        <v>4950760128</v>
      </c>
      <c r="E140" s="2" t="s">
        <v>36</v>
      </c>
      <c r="F140" s="2" t="s">
        <v>2667</v>
      </c>
      <c r="G140" s="28" t="s">
        <v>5</v>
      </c>
      <c r="H140" s="2" t="s">
        <v>20</v>
      </c>
      <c r="I140" s="2">
        <v>3</v>
      </c>
      <c r="J140" s="2" t="s">
        <v>2668</v>
      </c>
      <c r="K140" s="2">
        <v>94770</v>
      </c>
      <c r="L140" s="35">
        <v>309993617.69999999</v>
      </c>
      <c r="M140" s="36">
        <v>58500</v>
      </c>
      <c r="N140" s="40">
        <v>1037490</v>
      </c>
      <c r="O140" s="40">
        <v>1270864</v>
      </c>
      <c r="P140" s="40">
        <v>0</v>
      </c>
      <c r="Q140" s="40">
        <v>372411</v>
      </c>
      <c r="R140" s="40">
        <v>2228538</v>
      </c>
      <c r="S140" s="40">
        <v>354356</v>
      </c>
      <c r="T140" s="40"/>
      <c r="U140" s="40">
        <v>1557900</v>
      </c>
      <c r="V140" s="40">
        <v>0</v>
      </c>
      <c r="W140" s="45">
        <v>6821559</v>
      </c>
      <c r="X140" s="46">
        <v>2.2005482082542902</v>
      </c>
    </row>
    <row r="142" spans="1:24" ht="15" customHeight="1">
      <c r="A142" s="31" t="s">
        <v>2168</v>
      </c>
      <c r="B142" s="31"/>
      <c r="C142" s="31"/>
      <c r="D142" s="31"/>
      <c r="E142" s="31"/>
      <c r="F142" s="32">
        <v>20</v>
      </c>
      <c r="G142" s="31"/>
      <c r="H142" s="31"/>
      <c r="I142" s="38"/>
      <c r="J142" s="31"/>
      <c r="K142" s="39">
        <f>+SUM(K118:K140)</f>
        <v>1438057.6800000002</v>
      </c>
      <c r="L142" s="39">
        <f>+SUM(L118:L140)</f>
        <v>4703901051.8567991</v>
      </c>
      <c r="M142" s="31"/>
      <c r="N142" s="39"/>
      <c r="O142" s="39"/>
      <c r="P142" s="39"/>
      <c r="Q142" s="39"/>
      <c r="R142" s="39"/>
      <c r="S142" s="39"/>
      <c r="T142" s="39"/>
      <c r="U142" s="39"/>
      <c r="V142" s="31"/>
      <c r="W142" s="39">
        <f>+SUM(W118:W140)</f>
        <v>146555243.93405908</v>
      </c>
      <c r="X142" s="47">
        <f>(W142/L142)*100</f>
        <v>3.1156106882011994</v>
      </c>
    </row>
    <row r="144" spans="1:24" s="4" customFormat="1" ht="15" customHeight="1">
      <c r="A144" s="28" t="s">
        <v>2682</v>
      </c>
      <c r="B144" s="29">
        <v>3278.81</v>
      </c>
      <c r="C144" s="30" t="s">
        <v>2718</v>
      </c>
      <c r="D144" s="2">
        <v>4950760125</v>
      </c>
      <c r="E144" s="2" t="s">
        <v>36</v>
      </c>
      <c r="F144" s="2" t="s">
        <v>2719</v>
      </c>
      <c r="G144" s="28" t="s">
        <v>5</v>
      </c>
      <c r="H144" s="2" t="s">
        <v>20</v>
      </c>
      <c r="I144" s="2">
        <v>2</v>
      </c>
      <c r="J144" s="2" t="s">
        <v>2720</v>
      </c>
      <c r="K144" s="2">
        <v>63180</v>
      </c>
      <c r="L144" s="35">
        <v>207155215.80000001</v>
      </c>
      <c r="M144" s="36">
        <v>39000</v>
      </c>
      <c r="N144" s="40">
        <v>354266</v>
      </c>
      <c r="O144" s="40">
        <v>827105</v>
      </c>
      <c r="P144" s="40">
        <v>0</v>
      </c>
      <c r="Q144" s="40">
        <v>248274</v>
      </c>
      <c r="R144" s="40">
        <v>752867</v>
      </c>
      <c r="S144" s="40">
        <v>177178</v>
      </c>
      <c r="T144" s="40"/>
      <c r="U144" s="40">
        <v>519300</v>
      </c>
      <c r="V144" s="40">
        <v>0</v>
      </c>
      <c r="W144" s="45">
        <v>2878990</v>
      </c>
      <c r="X144" s="46">
        <v>1.3897743239926701</v>
      </c>
    </row>
    <row r="145" spans="1:24" s="4" customFormat="1" ht="15" customHeight="1">
      <c r="A145" s="28" t="s">
        <v>2682</v>
      </c>
      <c r="B145" s="29">
        <v>3278.81</v>
      </c>
      <c r="C145" s="30" t="s">
        <v>2721</v>
      </c>
      <c r="D145" s="2">
        <v>4950559750</v>
      </c>
      <c r="E145" s="2" t="s">
        <v>36</v>
      </c>
      <c r="F145" s="2" t="s">
        <v>2722</v>
      </c>
      <c r="G145" s="28" t="s">
        <v>5</v>
      </c>
      <c r="H145" s="2" t="s">
        <v>26</v>
      </c>
      <c r="I145" s="2">
        <v>3</v>
      </c>
      <c r="J145" s="2" t="s">
        <v>2723</v>
      </c>
      <c r="K145" s="2">
        <v>63053.2</v>
      </c>
      <c r="L145" s="35">
        <v>206739462.692</v>
      </c>
      <c r="M145" s="36">
        <v>64340</v>
      </c>
      <c r="N145" s="40">
        <v>343076.396642835</v>
      </c>
      <c r="O145" s="40">
        <v>1518157</v>
      </c>
      <c r="P145" s="40">
        <v>2735396.3307429301</v>
      </c>
      <c r="Q145" s="40">
        <v>372411</v>
      </c>
      <c r="R145" s="40">
        <v>869621.05688529694</v>
      </c>
      <c r="S145" s="40">
        <v>119403.762511657</v>
      </c>
      <c r="T145" s="40"/>
      <c r="U145" s="40">
        <v>0</v>
      </c>
      <c r="V145" s="40">
        <v>0</v>
      </c>
      <c r="W145" s="45">
        <v>5958065.5467827199</v>
      </c>
      <c r="X145" s="46">
        <v>2.88191981792031</v>
      </c>
    </row>
    <row r="146" spans="1:24" s="4" customFormat="1" ht="15" customHeight="1">
      <c r="A146" s="28" t="s">
        <v>2682</v>
      </c>
      <c r="B146" s="29">
        <v>3278.81</v>
      </c>
      <c r="C146" s="30" t="s">
        <v>2724</v>
      </c>
      <c r="D146" s="2">
        <v>4950003305</v>
      </c>
      <c r="E146" s="2" t="s">
        <v>36</v>
      </c>
      <c r="F146" s="2" t="s">
        <v>2725</v>
      </c>
      <c r="G146" s="28" t="s">
        <v>5</v>
      </c>
      <c r="H146" s="2" t="s">
        <v>26</v>
      </c>
      <c r="I146" s="2">
        <v>4</v>
      </c>
      <c r="J146" s="2" t="s">
        <v>2726</v>
      </c>
      <c r="K146" s="2">
        <v>85045.2</v>
      </c>
      <c r="L146" s="35">
        <v>278847052.21200001</v>
      </c>
      <c r="M146" s="36">
        <v>86740</v>
      </c>
      <c r="N146" s="40">
        <v>1357536</v>
      </c>
      <c r="O146" s="40">
        <v>2024188</v>
      </c>
      <c r="P146" s="40">
        <v>10823825</v>
      </c>
      <c r="Q146" s="40">
        <v>496548</v>
      </c>
      <c r="R146" s="40">
        <v>3441025</v>
      </c>
      <c r="S146" s="40">
        <v>354356</v>
      </c>
      <c r="T146" s="40"/>
      <c r="U146" s="40">
        <v>0</v>
      </c>
      <c r="V146" s="40">
        <v>0</v>
      </c>
      <c r="W146" s="45">
        <v>18497478</v>
      </c>
      <c r="X146" s="46">
        <v>6.63355694573987</v>
      </c>
    </row>
    <row r="147" spans="1:24" s="4" customFormat="1" ht="15" customHeight="1">
      <c r="A147" s="28" t="s">
        <v>2682</v>
      </c>
      <c r="B147" s="29">
        <v>3278.81</v>
      </c>
      <c r="C147" s="30" t="s">
        <v>2807</v>
      </c>
      <c r="D147" s="2">
        <v>4950559750</v>
      </c>
      <c r="E147" s="2" t="s">
        <v>36</v>
      </c>
      <c r="F147" s="2" t="s">
        <v>2808</v>
      </c>
      <c r="G147" s="28" t="s">
        <v>5</v>
      </c>
      <c r="H147" s="2" t="s">
        <v>26</v>
      </c>
      <c r="I147" s="2">
        <v>1</v>
      </c>
      <c r="J147" s="2" t="s">
        <v>2809</v>
      </c>
      <c r="K147" s="2">
        <v>21266</v>
      </c>
      <c r="L147" s="35">
        <v>69727173.459999993</v>
      </c>
      <c r="M147" s="36">
        <v>21700</v>
      </c>
      <c r="N147" s="40">
        <v>339384</v>
      </c>
      <c r="O147" s="40">
        <v>506063</v>
      </c>
      <c r="P147" s="40">
        <v>2197693</v>
      </c>
      <c r="Q147" s="40">
        <v>124137</v>
      </c>
      <c r="R147" s="40">
        <v>854482</v>
      </c>
      <c r="S147" s="40">
        <v>354356</v>
      </c>
      <c r="T147" s="40"/>
      <c r="U147" s="40">
        <v>0</v>
      </c>
      <c r="V147" s="40">
        <v>0</v>
      </c>
      <c r="W147" s="45">
        <v>4376115</v>
      </c>
      <c r="X147" s="46">
        <v>6.2760539153511203</v>
      </c>
    </row>
    <row r="148" spans="1:24" s="4" customFormat="1" ht="15" customHeight="1">
      <c r="A148" s="28" t="s">
        <v>2682</v>
      </c>
      <c r="B148" s="29">
        <v>3278.81</v>
      </c>
      <c r="C148" s="30" t="s">
        <v>2837</v>
      </c>
      <c r="D148" s="2">
        <v>4950553097</v>
      </c>
      <c r="E148" s="2" t="s">
        <v>36</v>
      </c>
      <c r="F148" s="2" t="s">
        <v>2838</v>
      </c>
      <c r="G148" s="28" t="s">
        <v>5</v>
      </c>
      <c r="H148" s="2" t="s">
        <v>20</v>
      </c>
      <c r="I148" s="2">
        <v>1</v>
      </c>
      <c r="J148" s="2" t="s">
        <v>2839</v>
      </c>
      <c r="K148" s="2">
        <v>30600</v>
      </c>
      <c r="L148" s="35">
        <v>100331586</v>
      </c>
      <c r="M148" s="36">
        <v>20000</v>
      </c>
      <c r="N148" s="40">
        <v>399194</v>
      </c>
      <c r="O148" s="40">
        <v>329938</v>
      </c>
      <c r="P148" s="40">
        <v>0</v>
      </c>
      <c r="Q148" s="40">
        <v>110000</v>
      </c>
      <c r="R148" s="40">
        <v>644798</v>
      </c>
      <c r="S148" s="40">
        <v>354356</v>
      </c>
      <c r="T148" s="40"/>
      <c r="U148" s="40">
        <v>519300</v>
      </c>
      <c r="V148" s="40">
        <v>0</v>
      </c>
      <c r="W148" s="45">
        <v>2357586</v>
      </c>
      <c r="X148" s="46">
        <v>2.3497944107053201</v>
      </c>
    </row>
    <row r="149" spans="1:24" s="4" customFormat="1" ht="15" customHeight="1">
      <c r="A149" s="28" t="s">
        <v>2682</v>
      </c>
      <c r="B149" s="29">
        <v>3278.81</v>
      </c>
      <c r="C149" s="30" t="s">
        <v>2843</v>
      </c>
      <c r="D149" s="2">
        <v>4950559726</v>
      </c>
      <c r="E149" s="2" t="s">
        <v>36</v>
      </c>
      <c r="F149" s="2" t="s">
        <v>2844</v>
      </c>
      <c r="G149" s="28" t="s">
        <v>5</v>
      </c>
      <c r="H149" s="2" t="s">
        <v>26</v>
      </c>
      <c r="I149" s="2">
        <v>2</v>
      </c>
      <c r="J149" s="2" t="s">
        <v>2845</v>
      </c>
      <c r="K149" s="2">
        <v>69749.3</v>
      </c>
      <c r="L149" s="35">
        <v>228694702.333</v>
      </c>
      <c r="M149" s="36">
        <v>39925</v>
      </c>
      <c r="N149" s="40">
        <v>671215</v>
      </c>
      <c r="O149" s="40">
        <v>806879</v>
      </c>
      <c r="P149" s="40">
        <v>2662486</v>
      </c>
      <c r="Q149" s="40">
        <v>198619</v>
      </c>
      <c r="R149" s="40">
        <v>1146854</v>
      </c>
      <c r="S149" s="40">
        <v>354356</v>
      </c>
      <c r="T149" s="40"/>
      <c r="U149" s="40">
        <v>0</v>
      </c>
      <c r="V149" s="40">
        <v>0</v>
      </c>
      <c r="W149" s="45">
        <v>5840409</v>
      </c>
      <c r="X149" s="46">
        <v>2.55380161430055</v>
      </c>
    </row>
    <row r="150" spans="1:24" s="4" customFormat="1" ht="15" customHeight="1">
      <c r="A150" s="28" t="s">
        <v>2682</v>
      </c>
      <c r="B150" s="29">
        <v>3278.81</v>
      </c>
      <c r="C150" s="30" t="s">
        <v>2849</v>
      </c>
      <c r="D150" s="2">
        <v>4950556377</v>
      </c>
      <c r="E150" s="2" t="s">
        <v>36</v>
      </c>
      <c r="F150" s="2" t="s">
        <v>2850</v>
      </c>
      <c r="G150" s="28" t="s">
        <v>5</v>
      </c>
      <c r="H150" s="2" t="s">
        <v>26</v>
      </c>
      <c r="I150" s="2">
        <v>3</v>
      </c>
      <c r="J150" s="2" t="s">
        <v>2851</v>
      </c>
      <c r="K150" s="2">
        <v>119629</v>
      </c>
      <c r="L150" s="35">
        <v>392240761.49000001</v>
      </c>
      <c r="M150" s="36">
        <v>74924</v>
      </c>
      <c r="N150" s="40">
        <v>1007848</v>
      </c>
      <c r="O150" s="40">
        <v>1508015</v>
      </c>
      <c r="P150" s="40">
        <v>5585156</v>
      </c>
      <c r="Q150" s="40">
        <v>372411</v>
      </c>
      <c r="R150" s="40">
        <v>2775660</v>
      </c>
      <c r="S150" s="40">
        <v>354356</v>
      </c>
      <c r="T150" s="40"/>
      <c r="U150" s="40">
        <v>0</v>
      </c>
      <c r="V150" s="40">
        <v>0</v>
      </c>
      <c r="W150" s="45">
        <v>11603446</v>
      </c>
      <c r="X150" s="46">
        <v>2.9582458375621501</v>
      </c>
    </row>
    <row r="151" spans="1:24" s="4" customFormat="1" ht="15" customHeight="1">
      <c r="A151" s="28" t="s">
        <v>2682</v>
      </c>
      <c r="B151" s="29">
        <v>3278.81</v>
      </c>
      <c r="C151" s="30" t="s">
        <v>2852</v>
      </c>
      <c r="D151" s="2">
        <v>4950559736</v>
      </c>
      <c r="E151" s="2" t="s">
        <v>36</v>
      </c>
      <c r="F151" s="2" t="s">
        <v>2853</v>
      </c>
      <c r="G151" s="28" t="s">
        <v>5</v>
      </c>
      <c r="H151" s="2" t="s">
        <v>26</v>
      </c>
      <c r="I151" s="2">
        <v>1</v>
      </c>
      <c r="J151" s="2" t="s">
        <v>2854</v>
      </c>
      <c r="K151" s="2">
        <v>34930.129999999997</v>
      </c>
      <c r="L151" s="35">
        <v>114529259.54530001</v>
      </c>
      <c r="M151" s="36">
        <v>19994.351999999999</v>
      </c>
      <c r="N151" s="40">
        <v>335446</v>
      </c>
      <c r="O151" s="40">
        <v>403439</v>
      </c>
      <c r="P151" s="40">
        <v>1330603</v>
      </c>
      <c r="Q151" s="40">
        <v>110000</v>
      </c>
      <c r="R151" s="40">
        <v>632252</v>
      </c>
      <c r="S151" s="40">
        <v>354356</v>
      </c>
      <c r="T151" s="40"/>
      <c r="U151" s="40">
        <v>0</v>
      </c>
      <c r="V151" s="40">
        <v>0</v>
      </c>
      <c r="W151" s="45">
        <v>3166096</v>
      </c>
      <c r="X151" s="46">
        <v>2.7644429140377902</v>
      </c>
    </row>
    <row r="152" spans="1:24" s="4" customFormat="1" ht="15" customHeight="1">
      <c r="A152" s="28" t="s">
        <v>2682</v>
      </c>
      <c r="B152" s="29">
        <v>3278.81</v>
      </c>
      <c r="C152" s="30" t="s">
        <v>2858</v>
      </c>
      <c r="D152" s="2">
        <v>4950557544</v>
      </c>
      <c r="E152" s="2" t="s">
        <v>36</v>
      </c>
      <c r="F152" s="2" t="s">
        <v>2859</v>
      </c>
      <c r="G152" s="28" t="s">
        <v>5</v>
      </c>
      <c r="H152" s="2" t="s">
        <v>26</v>
      </c>
      <c r="I152" s="2">
        <v>3</v>
      </c>
      <c r="J152" s="2" t="s">
        <v>2860</v>
      </c>
      <c r="K152" s="2">
        <v>119302.87</v>
      </c>
      <c r="L152" s="35">
        <v>391171443.18470001</v>
      </c>
      <c r="M152" s="36">
        <v>75033.25</v>
      </c>
      <c r="N152" s="40">
        <v>1006339</v>
      </c>
      <c r="O152" s="40">
        <v>1508015</v>
      </c>
      <c r="P152" s="40">
        <v>6163827</v>
      </c>
      <c r="Q152" s="40">
        <v>372411</v>
      </c>
      <c r="R152" s="40">
        <v>2771426</v>
      </c>
      <c r="S152" s="40">
        <v>354356</v>
      </c>
      <c r="T152" s="40"/>
      <c r="U152" s="40">
        <v>0</v>
      </c>
      <c r="V152" s="40">
        <v>0</v>
      </c>
      <c r="W152" s="45">
        <v>12176374</v>
      </c>
      <c r="X152" s="46">
        <v>3.11279726885653</v>
      </c>
    </row>
    <row r="153" spans="1:24" s="4" customFormat="1" ht="15" customHeight="1">
      <c r="A153" s="28" t="s">
        <v>2682</v>
      </c>
      <c r="B153" s="29">
        <v>3278.81</v>
      </c>
      <c r="C153" s="30" t="s">
        <v>2861</v>
      </c>
      <c r="D153" s="2">
        <v>4950002690</v>
      </c>
      <c r="E153" s="2" t="s">
        <v>36</v>
      </c>
      <c r="F153" s="2" t="s">
        <v>2862</v>
      </c>
      <c r="G153" s="28" t="s">
        <v>5</v>
      </c>
      <c r="H153" s="2" t="s">
        <v>20</v>
      </c>
      <c r="I153" s="2">
        <v>1</v>
      </c>
      <c r="J153" s="2" t="s">
        <v>2863</v>
      </c>
      <c r="K153" s="2">
        <v>26594.400000000001</v>
      </c>
      <c r="L153" s="35">
        <v>87197984.664000005</v>
      </c>
      <c r="M153" s="36">
        <v>16800</v>
      </c>
      <c r="N153" s="40">
        <v>342498</v>
      </c>
      <c r="O153" s="40">
        <v>317453</v>
      </c>
      <c r="P153" s="40">
        <v>232087</v>
      </c>
      <c r="Q153" s="40">
        <v>118201</v>
      </c>
      <c r="R153" s="40">
        <v>640916</v>
      </c>
      <c r="S153" s="40">
        <v>354356</v>
      </c>
      <c r="T153" s="40"/>
      <c r="U153" s="40">
        <v>2541400</v>
      </c>
      <c r="V153" s="40">
        <v>0</v>
      </c>
      <c r="W153" s="45">
        <v>4546911</v>
      </c>
      <c r="X153" s="46">
        <v>5.2144679920305599</v>
      </c>
    </row>
    <row r="154" spans="1:24" s="4" customFormat="1" ht="15" customHeight="1">
      <c r="A154" s="28" t="s">
        <v>2682</v>
      </c>
      <c r="B154" s="29">
        <v>3278.81</v>
      </c>
      <c r="C154" s="30" t="s">
        <v>2871</v>
      </c>
      <c r="D154" s="2">
        <v>4950560302</v>
      </c>
      <c r="E154" s="2" t="s">
        <v>36</v>
      </c>
      <c r="F154" s="2" t="s">
        <v>2872</v>
      </c>
      <c r="G154" s="28" t="s">
        <v>5</v>
      </c>
      <c r="H154" s="2" t="s">
        <v>26</v>
      </c>
      <c r="I154" s="2">
        <v>4</v>
      </c>
      <c r="J154" s="2" t="s">
        <v>2873</v>
      </c>
      <c r="K154" s="2">
        <v>84750</v>
      </c>
      <c r="L154" s="35">
        <v>277879147.5</v>
      </c>
      <c r="M154" s="36">
        <v>64780</v>
      </c>
      <c r="N154" s="40">
        <v>1351974</v>
      </c>
      <c r="O154" s="40">
        <v>2010666</v>
      </c>
      <c r="P154" s="40">
        <v>10175206</v>
      </c>
      <c r="Q154" s="40">
        <v>496548</v>
      </c>
      <c r="R154" s="40">
        <v>3388819</v>
      </c>
      <c r="S154" s="40">
        <v>354356</v>
      </c>
      <c r="T154" s="40"/>
      <c r="U154" s="40">
        <v>0</v>
      </c>
      <c r="V154" s="40">
        <v>0</v>
      </c>
      <c r="W154" s="45">
        <v>17777569</v>
      </c>
      <c r="X154" s="46">
        <v>6.3975901610249499</v>
      </c>
    </row>
    <row r="155" spans="1:24" s="4" customFormat="1" ht="15" customHeight="1">
      <c r="A155" s="28" t="s">
        <v>2682</v>
      </c>
      <c r="B155" s="29">
        <v>3278.81</v>
      </c>
      <c r="C155" s="30" t="s">
        <v>2928</v>
      </c>
      <c r="D155" s="2">
        <v>4950559736</v>
      </c>
      <c r="E155" s="2" t="s">
        <v>36</v>
      </c>
      <c r="F155" s="2" t="s">
        <v>2929</v>
      </c>
      <c r="G155" s="28" t="s">
        <v>5</v>
      </c>
      <c r="H155" s="2" t="s">
        <v>26</v>
      </c>
      <c r="I155" s="2">
        <v>1</v>
      </c>
      <c r="J155" s="2" t="s">
        <v>2930</v>
      </c>
      <c r="K155" s="2">
        <v>34454.68</v>
      </c>
      <c r="L155" s="35">
        <v>112970349.3308</v>
      </c>
      <c r="M155" s="36">
        <v>19722.196</v>
      </c>
      <c r="N155" s="40">
        <v>333205</v>
      </c>
      <c r="O155" s="40">
        <v>394857</v>
      </c>
      <c r="P155" s="40">
        <v>1554958</v>
      </c>
      <c r="Q155" s="40">
        <v>110000</v>
      </c>
      <c r="R155" s="40">
        <v>634161</v>
      </c>
      <c r="S155" s="40">
        <v>354356</v>
      </c>
      <c r="T155" s="40"/>
      <c r="U155" s="40">
        <v>0</v>
      </c>
      <c r="V155" s="40">
        <v>0</v>
      </c>
      <c r="W155" s="45">
        <v>3381537</v>
      </c>
      <c r="X155" s="46">
        <v>2.9932960462910301</v>
      </c>
    </row>
    <row r="156" spans="1:24" s="4" customFormat="1" ht="15" customHeight="1">
      <c r="A156" s="28" t="s">
        <v>2682</v>
      </c>
      <c r="B156" s="29">
        <v>3278.81</v>
      </c>
      <c r="C156" s="30" t="s">
        <v>2931</v>
      </c>
      <c r="D156" s="2">
        <v>4950560303</v>
      </c>
      <c r="E156" s="2" t="s">
        <v>36</v>
      </c>
      <c r="F156" s="2" t="s">
        <v>2932</v>
      </c>
      <c r="G156" s="28" t="s">
        <v>5</v>
      </c>
      <c r="H156" s="2" t="s">
        <v>26</v>
      </c>
      <c r="I156" s="2">
        <v>3</v>
      </c>
      <c r="J156" s="2" t="s">
        <v>2933</v>
      </c>
      <c r="K156" s="2">
        <v>62527.6</v>
      </c>
      <c r="L156" s="35">
        <v>205016120.15599999</v>
      </c>
      <c r="M156" s="36">
        <v>63620</v>
      </c>
      <c r="N156" s="40">
        <v>330911.84973278799</v>
      </c>
      <c r="O156" s="40">
        <v>1184573</v>
      </c>
      <c r="P156" s="40">
        <v>2509415.1618987699</v>
      </c>
      <c r="Q156" s="40">
        <v>297928</v>
      </c>
      <c r="R156" s="40">
        <v>914237.86922351504</v>
      </c>
      <c r="S156" s="40">
        <v>116521.966677146</v>
      </c>
      <c r="T156" s="40"/>
      <c r="U156" s="40">
        <v>0</v>
      </c>
      <c r="V156" s="40">
        <v>0</v>
      </c>
      <c r="W156" s="45">
        <v>5353587.8475322202</v>
      </c>
      <c r="X156" s="46">
        <v>2.6113009276824601</v>
      </c>
    </row>
    <row r="157" spans="1:24" s="4" customFormat="1" ht="15" customHeight="1">
      <c r="A157" s="28" t="s">
        <v>2682</v>
      </c>
      <c r="B157" s="29">
        <v>3278.81</v>
      </c>
      <c r="C157" s="30" t="s">
        <v>2934</v>
      </c>
      <c r="D157" s="2">
        <v>4950559747</v>
      </c>
      <c r="E157" s="2" t="s">
        <v>36</v>
      </c>
      <c r="F157" s="2" t="s">
        <v>2935</v>
      </c>
      <c r="G157" s="28" t="s">
        <v>5</v>
      </c>
      <c r="H157" s="2" t="s">
        <v>26</v>
      </c>
      <c r="I157" s="2">
        <v>2</v>
      </c>
      <c r="J157" s="2" t="s">
        <v>2936</v>
      </c>
      <c r="K157" s="2">
        <v>69622.3</v>
      </c>
      <c r="L157" s="35">
        <v>228278293.463</v>
      </c>
      <c r="M157" s="36">
        <v>39852</v>
      </c>
      <c r="N157" s="40">
        <v>666410</v>
      </c>
      <c r="O157" s="40">
        <v>789715</v>
      </c>
      <c r="P157" s="40">
        <v>3109917</v>
      </c>
      <c r="Q157" s="40">
        <v>198619</v>
      </c>
      <c r="R157" s="40">
        <v>1256294</v>
      </c>
      <c r="S157" s="40">
        <v>354356</v>
      </c>
      <c r="T157" s="40"/>
      <c r="U157" s="40">
        <v>0</v>
      </c>
      <c r="V157" s="40">
        <v>0</v>
      </c>
      <c r="W157" s="45">
        <v>6375311</v>
      </c>
      <c r="X157" s="46">
        <v>2.7927802084403299</v>
      </c>
    </row>
    <row r="158" spans="1:24" s="4" customFormat="1" ht="15" customHeight="1">
      <c r="A158" s="28" t="s">
        <v>2682</v>
      </c>
      <c r="B158" s="29">
        <v>3278.81</v>
      </c>
      <c r="C158" s="30" t="s">
        <v>2971</v>
      </c>
      <c r="D158" s="2" t="s">
        <v>2972</v>
      </c>
      <c r="E158" s="2" t="s">
        <v>36</v>
      </c>
      <c r="F158" s="78" t="s">
        <v>2973</v>
      </c>
      <c r="G158" s="28" t="s">
        <v>5</v>
      </c>
      <c r="H158" s="2" t="s">
        <v>20</v>
      </c>
      <c r="I158" s="2">
        <v>2</v>
      </c>
      <c r="J158" s="2" t="s">
        <v>2974</v>
      </c>
      <c r="K158" s="2">
        <v>63180</v>
      </c>
      <c r="L158" s="35">
        <v>207155215.80000001</v>
      </c>
      <c r="M158" s="36">
        <v>39000</v>
      </c>
      <c r="N158" s="40">
        <v>670893</v>
      </c>
      <c r="O158" s="40">
        <v>645840</v>
      </c>
      <c r="P158" s="40">
        <v>0</v>
      </c>
      <c r="Q158" s="40">
        <v>198619</v>
      </c>
      <c r="R158" s="40">
        <v>1315738</v>
      </c>
      <c r="S158" s="40">
        <v>354356</v>
      </c>
      <c r="T158" s="40"/>
      <c r="U158" s="40">
        <v>1038600</v>
      </c>
      <c r="V158" s="40">
        <v>0</v>
      </c>
      <c r="W158" s="45">
        <v>4224046</v>
      </c>
      <c r="X158" s="46">
        <v>2.0390729645340602</v>
      </c>
    </row>
    <row r="159" spans="1:24" s="4" customFormat="1" ht="15" customHeight="1">
      <c r="A159" s="28" t="s">
        <v>2682</v>
      </c>
      <c r="B159" s="29">
        <v>3278.81</v>
      </c>
      <c r="C159" s="30" t="s">
        <v>2984</v>
      </c>
      <c r="D159" s="2">
        <v>4950560301</v>
      </c>
      <c r="E159" s="2" t="s">
        <v>36</v>
      </c>
      <c r="F159" s="2" t="s">
        <v>2985</v>
      </c>
      <c r="G159" s="28" t="s">
        <v>5</v>
      </c>
      <c r="H159" s="2" t="s">
        <v>26</v>
      </c>
      <c r="I159" s="2">
        <v>4</v>
      </c>
      <c r="J159" s="2" t="s">
        <v>2986</v>
      </c>
      <c r="K159" s="2">
        <v>83554</v>
      </c>
      <c r="L159" s="35">
        <v>273957690.74000001</v>
      </c>
      <c r="M159" s="36">
        <v>85260</v>
      </c>
      <c r="N159" s="40">
        <v>1332748</v>
      </c>
      <c r="O159" s="40">
        <v>1967895</v>
      </c>
      <c r="P159" s="40">
        <v>10107231</v>
      </c>
      <c r="Q159" s="40">
        <v>496548</v>
      </c>
      <c r="R159" s="40">
        <v>3334573</v>
      </c>
      <c r="S159" s="40">
        <v>354356</v>
      </c>
      <c r="T159" s="40"/>
      <c r="U159" s="40">
        <v>0</v>
      </c>
      <c r="V159" s="40">
        <v>0</v>
      </c>
      <c r="W159" s="45">
        <v>17593351</v>
      </c>
      <c r="X159" s="46">
        <v>6.4219226525372504</v>
      </c>
    </row>
    <row r="160" spans="1:24" s="4" customFormat="1" ht="15" customHeight="1">
      <c r="A160" s="28" t="s">
        <v>2682</v>
      </c>
      <c r="B160" s="29">
        <v>3278.81</v>
      </c>
      <c r="C160" s="30" t="s">
        <v>2987</v>
      </c>
      <c r="D160" s="2">
        <v>4950560305</v>
      </c>
      <c r="E160" s="2" t="s">
        <v>36</v>
      </c>
      <c r="F160" s="2" t="s">
        <v>2988</v>
      </c>
      <c r="G160" s="28" t="s">
        <v>5</v>
      </c>
      <c r="H160" s="2" t="s">
        <v>26</v>
      </c>
      <c r="I160" s="2">
        <v>4</v>
      </c>
      <c r="J160" s="2" t="s">
        <v>2989</v>
      </c>
      <c r="K160" s="2">
        <v>84868</v>
      </c>
      <c r="L160" s="35">
        <v>278266047.07999998</v>
      </c>
      <c r="M160" s="36">
        <v>86600</v>
      </c>
      <c r="N160" s="40">
        <v>1332821</v>
      </c>
      <c r="O160" s="40">
        <v>1967895</v>
      </c>
      <c r="P160" s="40">
        <v>10107231</v>
      </c>
      <c r="Q160" s="40">
        <v>496548</v>
      </c>
      <c r="R160" s="40">
        <v>3645257</v>
      </c>
      <c r="S160" s="40">
        <v>354356</v>
      </c>
      <c r="T160" s="40"/>
      <c r="U160" s="40">
        <v>0</v>
      </c>
      <c r="V160" s="40">
        <v>0</v>
      </c>
      <c r="W160" s="45">
        <v>17904108</v>
      </c>
      <c r="X160" s="46">
        <v>6.4341690938861298</v>
      </c>
    </row>
    <row r="161" spans="1:24" s="4" customFormat="1" ht="15" customHeight="1">
      <c r="A161" s="28" t="s">
        <v>2682</v>
      </c>
      <c r="B161" s="29">
        <v>3278.81</v>
      </c>
      <c r="C161" s="30" t="s">
        <v>2990</v>
      </c>
      <c r="D161" s="2" t="s">
        <v>2991</v>
      </c>
      <c r="E161" s="2" t="s">
        <v>36</v>
      </c>
      <c r="F161" s="2" t="s">
        <v>2992</v>
      </c>
      <c r="G161" s="28" t="s">
        <v>5</v>
      </c>
      <c r="H161" s="2" t="s">
        <v>26</v>
      </c>
      <c r="I161" s="2">
        <v>1</v>
      </c>
      <c r="J161" s="2" t="s">
        <v>2993</v>
      </c>
      <c r="K161" s="2">
        <v>20442.8</v>
      </c>
      <c r="L161" s="35">
        <v>67028057.068000004</v>
      </c>
      <c r="M161" s="36">
        <v>20860</v>
      </c>
      <c r="N161" s="40">
        <v>333205</v>
      </c>
      <c r="O161" s="40">
        <v>394857</v>
      </c>
      <c r="P161" s="40">
        <v>1749328</v>
      </c>
      <c r="Q161" s="40">
        <v>110000</v>
      </c>
      <c r="R161" s="40">
        <v>911330</v>
      </c>
      <c r="S161" s="40">
        <v>354356</v>
      </c>
      <c r="T161" s="40"/>
      <c r="U161" s="40">
        <v>0</v>
      </c>
      <c r="V161" s="40">
        <v>0</v>
      </c>
      <c r="W161" s="45">
        <v>3853076</v>
      </c>
      <c r="X161" s="46">
        <v>5.7484524668394501</v>
      </c>
    </row>
    <row r="162" spans="1:24" s="4" customFormat="1" ht="15" customHeight="1">
      <c r="A162" s="28" t="s">
        <v>2682</v>
      </c>
      <c r="B162" s="29">
        <v>3278.81</v>
      </c>
      <c r="C162" s="30" t="s">
        <v>2994</v>
      </c>
      <c r="D162" s="2" t="s">
        <v>2995</v>
      </c>
      <c r="E162" s="2" t="s">
        <v>36</v>
      </c>
      <c r="F162" s="2" t="s">
        <v>2996</v>
      </c>
      <c r="G162" s="28" t="s">
        <v>5</v>
      </c>
      <c r="H162" s="2" t="s">
        <v>26</v>
      </c>
      <c r="I162" s="2">
        <v>4</v>
      </c>
      <c r="J162" s="2" t="s">
        <v>2997</v>
      </c>
      <c r="K162" s="2">
        <v>83476</v>
      </c>
      <c r="L162" s="35">
        <v>273701943.56</v>
      </c>
      <c r="M162" s="36">
        <v>85180</v>
      </c>
      <c r="N162" s="40">
        <v>1355983</v>
      </c>
      <c r="O162" s="40">
        <v>1967895</v>
      </c>
      <c r="P162" s="40">
        <v>10107231</v>
      </c>
      <c r="Q162" s="40">
        <v>496548</v>
      </c>
      <c r="R162" s="40">
        <v>3334573</v>
      </c>
      <c r="S162" s="40">
        <v>354356</v>
      </c>
      <c r="T162" s="40"/>
      <c r="U162" s="40">
        <v>0</v>
      </c>
      <c r="V162" s="40">
        <v>0</v>
      </c>
      <c r="W162" s="45">
        <v>17616586</v>
      </c>
      <c r="X162" s="46">
        <v>6.4364124605268502</v>
      </c>
    </row>
    <row r="163" spans="1:24" s="4" customFormat="1" ht="15" customHeight="1">
      <c r="A163" s="28" t="s">
        <v>2682</v>
      </c>
      <c r="B163" s="29">
        <v>3278.81</v>
      </c>
      <c r="C163" s="30" t="s">
        <v>3016</v>
      </c>
      <c r="D163" s="2">
        <v>4950554214</v>
      </c>
      <c r="E163" s="2" t="s">
        <v>36</v>
      </c>
      <c r="F163" s="2" t="s">
        <v>3017</v>
      </c>
      <c r="G163" s="28" t="s">
        <v>5</v>
      </c>
      <c r="H163" s="2" t="s">
        <v>20</v>
      </c>
      <c r="I163" s="2">
        <v>3</v>
      </c>
      <c r="J163" s="2" t="s">
        <v>3018</v>
      </c>
      <c r="K163" s="2">
        <v>94770</v>
      </c>
      <c r="L163" s="35">
        <v>310732823.69999999</v>
      </c>
      <c r="M163" s="36">
        <v>58500</v>
      </c>
      <c r="N163" s="40">
        <v>1046332</v>
      </c>
      <c r="O163" s="40">
        <v>968760</v>
      </c>
      <c r="P163" s="40">
        <v>0</v>
      </c>
      <c r="Q163" s="40">
        <v>297928</v>
      </c>
      <c r="R163" s="40">
        <v>2226707</v>
      </c>
      <c r="S163" s="40">
        <v>354356</v>
      </c>
      <c r="T163" s="40"/>
      <c r="U163" s="40">
        <v>1557900</v>
      </c>
      <c r="V163" s="40">
        <v>0</v>
      </c>
      <c r="W163" s="45">
        <v>6451983</v>
      </c>
      <c r="X163" s="46">
        <v>2.0763763940912598</v>
      </c>
    </row>
    <row r="165" spans="1:24" ht="15" customHeight="1">
      <c r="A165" s="31" t="s">
        <v>2682</v>
      </c>
      <c r="B165" s="31"/>
      <c r="C165" s="31"/>
      <c r="D165" s="31"/>
      <c r="E165" s="31"/>
      <c r="F165" s="32">
        <v>20</v>
      </c>
      <c r="G165" s="31"/>
      <c r="H165" s="31"/>
      <c r="I165" s="38"/>
      <c r="J165" s="31"/>
      <c r="K165" s="39">
        <f>+SUM(K144:K163)</f>
        <v>1314995.4800000002</v>
      </c>
      <c r="L165" s="39">
        <f>+SUM(L144:L163)</f>
        <v>4311620329.7788</v>
      </c>
      <c r="M165" s="31"/>
      <c r="N165" s="39"/>
      <c r="O165" s="39"/>
      <c r="P165" s="39"/>
      <c r="Q165" s="39"/>
      <c r="R165" s="39"/>
      <c r="S165" s="39"/>
      <c r="T165" s="39"/>
      <c r="U165" s="39"/>
      <c r="V165" s="31"/>
      <c r="W165" s="39">
        <f>+SUM(W144:W163)</f>
        <v>171932625.39431494</v>
      </c>
      <c r="X165" s="47">
        <f>(W165/L165)*100</f>
        <v>3.9876568956417282</v>
      </c>
    </row>
    <row r="167" spans="1:24" s="4" customFormat="1" ht="15" customHeight="1">
      <c r="A167" s="28" t="s">
        <v>3019</v>
      </c>
      <c r="B167" s="29">
        <v>3196.165</v>
      </c>
      <c r="C167" s="30" t="s">
        <v>3066</v>
      </c>
      <c r="D167" s="2">
        <v>4950184129</v>
      </c>
      <c r="E167" s="2" t="s">
        <v>36</v>
      </c>
      <c r="F167" s="2" t="s">
        <v>3067</v>
      </c>
      <c r="G167" s="28" t="s">
        <v>5</v>
      </c>
      <c r="H167" s="2" t="s">
        <v>26</v>
      </c>
      <c r="I167" s="2">
        <v>1</v>
      </c>
      <c r="J167" s="2" t="s">
        <v>3068</v>
      </c>
      <c r="K167" s="2">
        <v>21030.799999999999</v>
      </c>
      <c r="L167" s="35">
        <v>67217906.881999999</v>
      </c>
      <c r="M167" s="36">
        <v>21460</v>
      </c>
      <c r="N167" s="40">
        <v>343613</v>
      </c>
      <c r="O167" s="40">
        <v>494824</v>
      </c>
      <c r="P167" s="40">
        <v>2305074</v>
      </c>
      <c r="Q167" s="40">
        <v>138578</v>
      </c>
      <c r="R167" s="40">
        <v>945030</v>
      </c>
      <c r="S167" s="40">
        <v>354356</v>
      </c>
      <c r="T167" s="40"/>
      <c r="U167" s="40">
        <v>0</v>
      </c>
      <c r="V167" s="40">
        <v>0</v>
      </c>
      <c r="W167" s="45">
        <v>4581475</v>
      </c>
      <c r="X167" s="46">
        <v>6.8158549001573503</v>
      </c>
    </row>
    <row r="168" spans="1:24" s="4" customFormat="1" ht="15" customHeight="1">
      <c r="A168" s="28" t="s">
        <v>3019</v>
      </c>
      <c r="B168" s="29">
        <v>3196.165</v>
      </c>
      <c r="C168" s="30" t="s">
        <v>3081</v>
      </c>
      <c r="D168" s="2">
        <v>4950559748</v>
      </c>
      <c r="E168" s="2" t="s">
        <v>36</v>
      </c>
      <c r="F168" s="2" t="s">
        <v>3082</v>
      </c>
      <c r="G168" s="28" t="s">
        <v>5</v>
      </c>
      <c r="H168" s="2" t="s">
        <v>20</v>
      </c>
      <c r="I168" s="2">
        <v>1</v>
      </c>
      <c r="J168" s="2" t="s">
        <v>3083</v>
      </c>
      <c r="K168" s="2">
        <v>26594.400000000001</v>
      </c>
      <c r="L168" s="35">
        <v>85000090.475999996</v>
      </c>
      <c r="M168" s="36">
        <v>16800</v>
      </c>
      <c r="N168" s="40">
        <v>326605</v>
      </c>
      <c r="O168" s="40">
        <v>218619</v>
      </c>
      <c r="P168" s="40">
        <v>0</v>
      </c>
      <c r="Q168" s="40">
        <v>112881</v>
      </c>
      <c r="R168" s="40">
        <v>336758</v>
      </c>
      <c r="S168" s="40">
        <v>354356</v>
      </c>
      <c r="T168" s="40"/>
      <c r="U168" s="40">
        <v>2541400</v>
      </c>
      <c r="V168" s="40">
        <v>0</v>
      </c>
      <c r="W168" s="45">
        <v>3890619</v>
      </c>
      <c r="X168" s="46">
        <v>4.5771939514564703</v>
      </c>
    </row>
    <row r="169" spans="1:24" s="4" customFormat="1" ht="15" customHeight="1">
      <c r="A169" s="28" t="s">
        <v>3019</v>
      </c>
      <c r="B169" s="29">
        <v>3196.165</v>
      </c>
      <c r="C169" s="30" t="s">
        <v>3091</v>
      </c>
      <c r="D169" s="2">
        <v>4950555359</v>
      </c>
      <c r="E169" s="2" t="s">
        <v>36</v>
      </c>
      <c r="F169" s="2" t="s">
        <v>3092</v>
      </c>
      <c r="G169" s="28" t="s">
        <v>5</v>
      </c>
      <c r="H169" s="2" t="s">
        <v>20</v>
      </c>
      <c r="I169" s="2">
        <v>2</v>
      </c>
      <c r="J169" s="2" t="s">
        <v>3093</v>
      </c>
      <c r="K169" s="2">
        <v>63180</v>
      </c>
      <c r="L169" s="35">
        <v>201933704.69999999</v>
      </c>
      <c r="M169" s="36">
        <v>39000</v>
      </c>
      <c r="N169" s="40">
        <v>681253</v>
      </c>
      <c r="O169" s="40">
        <v>649044</v>
      </c>
      <c r="P169" s="40">
        <v>0</v>
      </c>
      <c r="Q169" s="40">
        <v>198619</v>
      </c>
      <c r="R169" s="40">
        <v>1462311</v>
      </c>
      <c r="S169" s="40">
        <v>354356</v>
      </c>
      <c r="T169" s="40"/>
      <c r="U169" s="40">
        <v>1038600</v>
      </c>
      <c r="V169" s="40">
        <v>0</v>
      </c>
      <c r="W169" s="45">
        <v>4384183</v>
      </c>
      <c r="X169" s="46">
        <v>2.1711001670143699</v>
      </c>
    </row>
    <row r="170" spans="1:24" s="4" customFormat="1" ht="15" customHeight="1">
      <c r="A170" s="28" t="s">
        <v>3019</v>
      </c>
      <c r="B170" s="29">
        <v>3196.165</v>
      </c>
      <c r="C170" s="30" t="s">
        <v>3154</v>
      </c>
      <c r="D170" s="2">
        <v>4950559718</v>
      </c>
      <c r="E170" s="2" t="s">
        <v>36</v>
      </c>
      <c r="F170" s="2" t="s">
        <v>3155</v>
      </c>
      <c r="G170" s="28" t="s">
        <v>5</v>
      </c>
      <c r="H170" s="2" t="s">
        <v>20</v>
      </c>
      <c r="I170" s="2">
        <v>1</v>
      </c>
      <c r="J170" s="2" t="s">
        <v>3156</v>
      </c>
      <c r="K170" s="2">
        <v>30263.040000000001</v>
      </c>
      <c r="L170" s="35">
        <v>96725669.241600007</v>
      </c>
      <c r="M170" s="36">
        <v>17040</v>
      </c>
      <c r="N170" s="40">
        <v>487150</v>
      </c>
      <c r="O170" s="40">
        <v>324522</v>
      </c>
      <c r="P170" s="40">
        <v>0</v>
      </c>
      <c r="Q170" s="48">
        <v>110000</v>
      </c>
      <c r="R170" s="40">
        <v>646646</v>
      </c>
      <c r="S170" s="40">
        <v>354356</v>
      </c>
      <c r="T170" s="40"/>
      <c r="U170" s="40">
        <v>519300</v>
      </c>
      <c r="V170" s="40">
        <v>0</v>
      </c>
      <c r="W170" s="45">
        <v>2441974</v>
      </c>
      <c r="X170" s="46">
        <v>2.5246390323756498</v>
      </c>
    </row>
    <row r="171" spans="1:24" s="4" customFormat="1" ht="15" customHeight="1">
      <c r="A171" s="28" t="s">
        <v>3019</v>
      </c>
      <c r="B171" s="29">
        <v>3196.165</v>
      </c>
      <c r="C171" s="30" t="s">
        <v>3160</v>
      </c>
      <c r="D171" s="2">
        <v>4951300634</v>
      </c>
      <c r="E171" s="2" t="s">
        <v>36</v>
      </c>
      <c r="F171" s="78" t="s">
        <v>3161</v>
      </c>
      <c r="G171" s="28" t="s">
        <v>5</v>
      </c>
      <c r="H171" s="2" t="s">
        <v>20</v>
      </c>
      <c r="I171" s="2">
        <v>2</v>
      </c>
      <c r="J171" s="2" t="s">
        <v>3162</v>
      </c>
      <c r="K171" s="2">
        <v>62790</v>
      </c>
      <c r="L171" s="35">
        <v>200687200.34999999</v>
      </c>
      <c r="M171" s="36">
        <v>39000</v>
      </c>
      <c r="N171" s="40">
        <v>326605</v>
      </c>
      <c r="O171" s="40">
        <v>808092</v>
      </c>
      <c r="P171" s="40">
        <v>0</v>
      </c>
      <c r="Q171" s="48">
        <v>248274</v>
      </c>
      <c r="R171" s="40">
        <v>644584</v>
      </c>
      <c r="S171" s="40">
        <v>177178</v>
      </c>
      <c r="T171" s="40"/>
      <c r="U171" s="40">
        <v>519300</v>
      </c>
      <c r="V171" s="40">
        <v>0</v>
      </c>
      <c r="W171" s="45">
        <v>2724033</v>
      </c>
      <c r="X171" s="46">
        <v>1.3573526339743001</v>
      </c>
    </row>
    <row r="172" spans="1:24" s="4" customFormat="1" ht="15" customHeight="1">
      <c r="A172" s="28" t="s">
        <v>3019</v>
      </c>
      <c r="B172" s="29">
        <v>3196.165</v>
      </c>
      <c r="C172" s="30" t="s">
        <v>3163</v>
      </c>
      <c r="D172" s="2">
        <v>4950555373</v>
      </c>
      <c r="E172" s="2" t="s">
        <v>36</v>
      </c>
      <c r="F172" s="78" t="s">
        <v>3164</v>
      </c>
      <c r="G172" s="28" t="s">
        <v>5</v>
      </c>
      <c r="H172" s="2" t="s">
        <v>20</v>
      </c>
      <c r="I172" s="2">
        <v>2</v>
      </c>
      <c r="J172" s="2" t="s">
        <v>3165</v>
      </c>
      <c r="K172" s="2">
        <v>62790</v>
      </c>
      <c r="L172" s="35">
        <v>200687200.34999999</v>
      </c>
      <c r="M172" s="36">
        <v>39000</v>
      </c>
      <c r="N172" s="40">
        <v>979815</v>
      </c>
      <c r="O172" s="40">
        <v>808092</v>
      </c>
      <c r="P172" s="40">
        <v>0</v>
      </c>
      <c r="Q172" s="48">
        <v>248274</v>
      </c>
      <c r="R172" s="40">
        <v>2410121</v>
      </c>
      <c r="S172" s="40">
        <v>354356</v>
      </c>
      <c r="T172" s="40"/>
      <c r="U172" s="40">
        <v>1557900</v>
      </c>
      <c r="V172" s="40">
        <v>0</v>
      </c>
      <c r="W172" s="45">
        <v>6358558</v>
      </c>
      <c r="X172" s="46">
        <v>3.1683923981751798</v>
      </c>
    </row>
    <row r="173" spans="1:24" s="4" customFormat="1" ht="15" customHeight="1">
      <c r="A173" s="28" t="s">
        <v>3019</v>
      </c>
      <c r="B173" s="29">
        <v>3196.165</v>
      </c>
      <c r="C173" s="30" t="s">
        <v>3169</v>
      </c>
      <c r="D173" s="2">
        <v>4951300631</v>
      </c>
      <c r="E173" s="2" t="s">
        <v>36</v>
      </c>
      <c r="F173" s="78" t="s">
        <v>3170</v>
      </c>
      <c r="G173" s="28" t="s">
        <v>5</v>
      </c>
      <c r="H173" s="2" t="s">
        <v>20</v>
      </c>
      <c r="I173" s="2">
        <v>3</v>
      </c>
      <c r="J173" s="2" t="s">
        <v>3171</v>
      </c>
      <c r="K173" s="2">
        <v>94185</v>
      </c>
      <c r="L173" s="35">
        <v>301030800.52499998</v>
      </c>
      <c r="M173" s="36">
        <v>58500</v>
      </c>
      <c r="N173" s="40">
        <v>979815</v>
      </c>
      <c r="O173" s="40">
        <v>1212138</v>
      </c>
      <c r="P173" s="40">
        <v>0</v>
      </c>
      <c r="Q173" s="48">
        <v>372411</v>
      </c>
      <c r="R173" s="40">
        <v>1932252</v>
      </c>
      <c r="S173" s="40">
        <v>354356</v>
      </c>
      <c r="T173" s="40"/>
      <c r="U173" s="40">
        <v>1557900</v>
      </c>
      <c r="V173" s="40">
        <v>0</v>
      </c>
      <c r="W173" s="45">
        <v>6408872</v>
      </c>
      <c r="X173" s="46">
        <v>2.1289755031122701</v>
      </c>
    </row>
    <row r="174" spans="1:24" s="4" customFormat="1" ht="15" customHeight="1">
      <c r="A174" s="28" t="s">
        <v>3019</v>
      </c>
      <c r="B174" s="29">
        <v>3196.165</v>
      </c>
      <c r="C174" s="30" t="s">
        <v>3177</v>
      </c>
      <c r="D174" s="2">
        <v>4951300633</v>
      </c>
      <c r="E174" s="2" t="s">
        <v>36</v>
      </c>
      <c r="F174" s="78" t="s">
        <v>3178</v>
      </c>
      <c r="G174" s="28" t="s">
        <v>5</v>
      </c>
      <c r="H174" s="2" t="s">
        <v>20</v>
      </c>
      <c r="I174" s="2">
        <v>3</v>
      </c>
      <c r="J174" s="2" t="s">
        <v>3179</v>
      </c>
      <c r="K174" s="2">
        <v>94185</v>
      </c>
      <c r="L174" s="35">
        <v>301030800.52499998</v>
      </c>
      <c r="M174" s="36">
        <v>58500</v>
      </c>
      <c r="N174" s="40">
        <v>979815</v>
      </c>
      <c r="O174" s="40">
        <v>1212138</v>
      </c>
      <c r="P174" s="48">
        <v>0</v>
      </c>
      <c r="Q174" s="40">
        <v>372411</v>
      </c>
      <c r="R174" s="40">
        <v>2410121</v>
      </c>
      <c r="S174" s="40">
        <v>354356</v>
      </c>
      <c r="T174" s="40"/>
      <c r="U174" s="40">
        <v>1557900</v>
      </c>
      <c r="V174" s="40">
        <v>0</v>
      </c>
      <c r="W174" s="45">
        <v>6886741</v>
      </c>
      <c r="X174" s="46">
        <v>2.2877197243569301</v>
      </c>
    </row>
    <row r="175" spans="1:24" s="4" customFormat="1" ht="15" customHeight="1">
      <c r="A175" s="28" t="s">
        <v>3019</v>
      </c>
      <c r="B175" s="29">
        <v>3196.165</v>
      </c>
      <c r="C175" s="30" t="s">
        <v>3220</v>
      </c>
      <c r="D175" s="2">
        <v>4950557508</v>
      </c>
      <c r="E175" s="2" t="s">
        <v>36</v>
      </c>
      <c r="F175" s="78" t="s">
        <v>3221</v>
      </c>
      <c r="G175" s="28" t="s">
        <v>5</v>
      </c>
      <c r="H175" s="2" t="s">
        <v>26</v>
      </c>
      <c r="I175" s="2">
        <v>3</v>
      </c>
      <c r="J175" s="2" t="s">
        <v>3222</v>
      </c>
      <c r="K175" s="2">
        <v>118174.63</v>
      </c>
      <c r="L175" s="35">
        <v>377705616.29395002</v>
      </c>
      <c r="M175" s="36">
        <v>74824</v>
      </c>
      <c r="N175" s="40">
        <v>979815</v>
      </c>
      <c r="O175" s="40">
        <v>1483258</v>
      </c>
      <c r="P175" s="40">
        <v>4858249</v>
      </c>
      <c r="Q175" s="48">
        <v>372411</v>
      </c>
      <c r="R175" s="40">
        <v>2700821</v>
      </c>
      <c r="S175" s="40">
        <v>354356</v>
      </c>
      <c r="T175" s="40"/>
      <c r="U175" s="40">
        <v>0</v>
      </c>
      <c r="V175" s="40">
        <v>0</v>
      </c>
      <c r="W175" s="45">
        <v>10748910</v>
      </c>
      <c r="X175" s="46">
        <v>2.8458433066122701</v>
      </c>
    </row>
    <row r="176" spans="1:24" s="4" customFormat="1" ht="15" customHeight="1">
      <c r="A176" s="28" t="s">
        <v>3019</v>
      </c>
      <c r="B176" s="29">
        <v>3196.165</v>
      </c>
      <c r="C176" s="30" t="s">
        <v>3242</v>
      </c>
      <c r="D176" s="2">
        <v>4951300634</v>
      </c>
      <c r="E176" s="2" t="s">
        <v>36</v>
      </c>
      <c r="F176" s="2" t="s">
        <v>3243</v>
      </c>
      <c r="G176" s="28" t="s">
        <v>5</v>
      </c>
      <c r="H176" s="2" t="s">
        <v>20</v>
      </c>
      <c r="I176" s="2">
        <v>1</v>
      </c>
      <c r="J176" s="2" t="s">
        <v>3244</v>
      </c>
      <c r="K176" s="2">
        <v>31395</v>
      </c>
      <c r="L176" s="35">
        <v>100343600.175</v>
      </c>
      <c r="M176" s="36">
        <v>19500</v>
      </c>
      <c r="N176" s="40">
        <v>326117</v>
      </c>
      <c r="O176" s="40">
        <v>324522</v>
      </c>
      <c r="P176" s="40">
        <v>0</v>
      </c>
      <c r="Q176" s="48">
        <v>110000</v>
      </c>
      <c r="R176" s="40">
        <v>804361</v>
      </c>
      <c r="S176" s="40">
        <v>354356</v>
      </c>
      <c r="T176" s="40"/>
      <c r="U176" s="40">
        <v>519300</v>
      </c>
      <c r="V176" s="40">
        <v>0</v>
      </c>
      <c r="W176" s="45">
        <v>2438656</v>
      </c>
      <c r="X176" s="46">
        <v>2.4303054661652199</v>
      </c>
    </row>
    <row r="177" spans="1:24" s="4" customFormat="1" ht="15" customHeight="1">
      <c r="A177" s="28" t="s">
        <v>3019</v>
      </c>
      <c r="B177" s="29">
        <v>3196.165</v>
      </c>
      <c r="C177" s="30" t="s">
        <v>3287</v>
      </c>
      <c r="D177" s="2">
        <v>4951300635</v>
      </c>
      <c r="E177" s="2" t="s">
        <v>36</v>
      </c>
      <c r="F177" s="2" t="s">
        <v>3288</v>
      </c>
      <c r="G177" s="28" t="s">
        <v>5</v>
      </c>
      <c r="H177" s="2" t="s">
        <v>20</v>
      </c>
      <c r="I177" s="2">
        <v>3</v>
      </c>
      <c r="J177" s="2" t="s">
        <v>3289</v>
      </c>
      <c r="K177" s="2">
        <v>94185</v>
      </c>
      <c r="L177" s="35">
        <v>301030800.52499998</v>
      </c>
      <c r="M177" s="36">
        <v>58500</v>
      </c>
      <c r="N177" s="40">
        <v>1021879</v>
      </c>
      <c r="O177" s="40">
        <v>973566</v>
      </c>
      <c r="P177" s="40">
        <v>0</v>
      </c>
      <c r="Q177" s="40">
        <v>297928</v>
      </c>
      <c r="R177" s="40">
        <v>2187143</v>
      </c>
      <c r="S177" s="40">
        <v>354356</v>
      </c>
      <c r="T177" s="40"/>
      <c r="U177" s="40">
        <v>1557900</v>
      </c>
      <c r="V177" s="40">
        <v>0</v>
      </c>
      <c r="W177" s="45">
        <v>6392772</v>
      </c>
      <c r="X177" s="46">
        <v>2.1236272131791698</v>
      </c>
    </row>
    <row r="178" spans="1:24" s="4" customFormat="1" ht="15" customHeight="1">
      <c r="A178" s="28" t="s">
        <v>3019</v>
      </c>
      <c r="B178" s="29">
        <v>3196.165</v>
      </c>
      <c r="C178" s="30" t="s">
        <v>3290</v>
      </c>
      <c r="D178" s="2">
        <v>4951315461</v>
      </c>
      <c r="E178" s="2" t="s">
        <v>36</v>
      </c>
      <c r="F178" s="2" t="s">
        <v>3291</v>
      </c>
      <c r="G178" s="28" t="s">
        <v>5</v>
      </c>
      <c r="H178" s="2" t="s">
        <v>20</v>
      </c>
      <c r="I178" s="2">
        <v>3</v>
      </c>
      <c r="J178" s="2" t="s">
        <v>3292</v>
      </c>
      <c r="K178" s="2">
        <v>94185</v>
      </c>
      <c r="L178" s="35">
        <v>301030800.52499998</v>
      </c>
      <c r="M178" s="36">
        <v>58500</v>
      </c>
      <c r="N178" s="40">
        <v>1265086</v>
      </c>
      <c r="O178" s="40">
        <v>973566</v>
      </c>
      <c r="P178" s="40">
        <v>0</v>
      </c>
      <c r="Q178" s="40">
        <v>297928</v>
      </c>
      <c r="R178" s="40">
        <v>2187143</v>
      </c>
      <c r="S178" s="40">
        <v>354356</v>
      </c>
      <c r="T178" s="40"/>
      <c r="U178" s="40">
        <v>1557900</v>
      </c>
      <c r="V178" s="40">
        <v>0</v>
      </c>
      <c r="W178" s="45">
        <v>6635979</v>
      </c>
      <c r="X178" s="46">
        <v>2.2044186137852999</v>
      </c>
    </row>
    <row r="179" spans="1:24" s="4" customFormat="1" ht="15" customHeight="1">
      <c r="A179" s="28" t="s">
        <v>3019</v>
      </c>
      <c r="B179" s="29">
        <v>3196.165</v>
      </c>
      <c r="C179" s="30" t="s">
        <v>3421</v>
      </c>
      <c r="D179" s="2">
        <v>4951267374</v>
      </c>
      <c r="E179" s="2" t="s">
        <v>36</v>
      </c>
      <c r="F179" s="2" t="s">
        <v>3422</v>
      </c>
      <c r="G179" s="28" t="s">
        <v>5</v>
      </c>
      <c r="H179" s="2" t="s">
        <v>26</v>
      </c>
      <c r="I179" s="2">
        <v>4</v>
      </c>
      <c r="J179" s="2" t="s">
        <v>3423</v>
      </c>
      <c r="K179" s="2">
        <v>82927.600000000006</v>
      </c>
      <c r="L179" s="35">
        <v>265050292.65400001</v>
      </c>
      <c r="M179" s="36">
        <v>84620</v>
      </c>
      <c r="N179" s="40">
        <v>1525019</v>
      </c>
      <c r="O179" s="40">
        <v>1977656</v>
      </c>
      <c r="P179" s="40">
        <v>10303833</v>
      </c>
      <c r="Q179" s="40">
        <v>496548</v>
      </c>
      <c r="R179" s="40">
        <v>3339604</v>
      </c>
      <c r="S179" s="40">
        <v>354356</v>
      </c>
      <c r="T179" s="40"/>
      <c r="U179" s="40">
        <v>0</v>
      </c>
      <c r="V179" s="40">
        <v>0</v>
      </c>
      <c r="W179" s="45">
        <v>17997016</v>
      </c>
      <c r="X179" s="46">
        <v>6.7900381545677204</v>
      </c>
    </row>
    <row r="180" spans="1:24" s="4" customFormat="1" ht="15" customHeight="1">
      <c r="A180" s="28" t="s">
        <v>3019</v>
      </c>
      <c r="B180" s="29">
        <v>3196.165</v>
      </c>
      <c r="C180" s="30" t="s">
        <v>3424</v>
      </c>
      <c r="D180" s="2">
        <v>4951267382</v>
      </c>
      <c r="E180" s="2" t="s">
        <v>36</v>
      </c>
      <c r="F180" s="2" t="s">
        <v>3425</v>
      </c>
      <c r="G180" s="28" t="s">
        <v>5</v>
      </c>
      <c r="H180" s="2" t="s">
        <v>26</v>
      </c>
      <c r="I180" s="2">
        <v>4</v>
      </c>
      <c r="J180" s="2" t="s">
        <v>3426</v>
      </c>
      <c r="K180" s="2">
        <v>81673</v>
      </c>
      <c r="L180" s="35">
        <v>261040384.04499999</v>
      </c>
      <c r="M180" s="36">
        <v>83340</v>
      </c>
      <c r="N180" s="40">
        <v>1327250</v>
      </c>
      <c r="O180" s="40">
        <v>1977656</v>
      </c>
      <c r="P180" s="40">
        <v>9893065</v>
      </c>
      <c r="Q180" s="40">
        <v>496548</v>
      </c>
      <c r="R180" s="40">
        <v>3331348</v>
      </c>
      <c r="S180" s="40">
        <v>354356</v>
      </c>
      <c r="T180" s="40"/>
      <c r="U180" s="40">
        <v>0</v>
      </c>
      <c r="V180" s="40">
        <v>0</v>
      </c>
      <c r="W180" s="45">
        <v>17380223</v>
      </c>
      <c r="X180" s="46">
        <v>6.6580590829210102</v>
      </c>
    </row>
    <row r="181" spans="1:24" s="4" customFormat="1" ht="15" customHeight="1">
      <c r="A181" s="28" t="s">
        <v>3019</v>
      </c>
      <c r="B181" s="29">
        <v>3196.165</v>
      </c>
      <c r="C181" s="30" t="s">
        <v>3427</v>
      </c>
      <c r="D181" s="2">
        <v>4951315485</v>
      </c>
      <c r="E181" s="2" t="s">
        <v>36</v>
      </c>
      <c r="F181" s="2" t="s">
        <v>3428</v>
      </c>
      <c r="G181" s="28" t="s">
        <v>5</v>
      </c>
      <c r="H181" s="2" t="s">
        <v>26</v>
      </c>
      <c r="I181" s="2">
        <v>3</v>
      </c>
      <c r="J181" s="2" t="s">
        <v>3429</v>
      </c>
      <c r="K181" s="2">
        <v>104620</v>
      </c>
      <c r="L181" s="35">
        <v>334382782.30000001</v>
      </c>
      <c r="M181" s="36">
        <v>59443</v>
      </c>
      <c r="N181" s="40">
        <v>326349.06923175399</v>
      </c>
      <c r="O181" s="40">
        <v>1483258</v>
      </c>
      <c r="P181" s="40">
        <v>1370666.0907733699</v>
      </c>
      <c r="Q181" s="40">
        <v>372411</v>
      </c>
      <c r="R181" s="40">
        <v>610775.92409709701</v>
      </c>
      <c r="S181" s="40">
        <v>118192.573626953</v>
      </c>
      <c r="T181" s="40"/>
      <c r="U181" s="40">
        <v>0</v>
      </c>
      <c r="V181" s="40">
        <v>0</v>
      </c>
      <c r="W181" s="45">
        <v>4281652.6577291703</v>
      </c>
      <c r="X181" s="46">
        <v>1.2804644510337799</v>
      </c>
    </row>
    <row r="182" spans="1:24" s="4" customFormat="1" ht="15" customHeight="1">
      <c r="A182" s="28" t="s">
        <v>3019</v>
      </c>
      <c r="B182" s="29">
        <v>3196.165</v>
      </c>
      <c r="C182" s="30" t="s">
        <v>3430</v>
      </c>
      <c r="D182" s="2">
        <v>4951267920</v>
      </c>
      <c r="E182" s="2" t="s">
        <v>36</v>
      </c>
      <c r="F182" s="2" t="s">
        <v>3431</v>
      </c>
      <c r="G182" s="28" t="s">
        <v>5</v>
      </c>
      <c r="H182" s="2" t="s">
        <v>26</v>
      </c>
      <c r="I182" s="2">
        <v>4</v>
      </c>
      <c r="J182" s="2" t="s">
        <v>3432</v>
      </c>
      <c r="K182" s="2">
        <v>83633</v>
      </c>
      <c r="L182" s="35">
        <v>267304867.44499999</v>
      </c>
      <c r="M182" s="36">
        <v>85340</v>
      </c>
      <c r="N182" s="40">
        <v>1293888</v>
      </c>
      <c r="O182" s="40">
        <v>1977656</v>
      </c>
      <c r="P182" s="40">
        <v>10227011</v>
      </c>
      <c r="Q182" s="40">
        <v>496548</v>
      </c>
      <c r="R182" s="40">
        <v>3323608</v>
      </c>
      <c r="S182" s="40">
        <v>354356</v>
      </c>
      <c r="T182" s="40"/>
      <c r="U182" s="40">
        <v>0</v>
      </c>
      <c r="V182" s="40">
        <v>0</v>
      </c>
      <c r="W182" s="45">
        <v>17673067</v>
      </c>
      <c r="X182" s="46">
        <v>6.6115769491688603</v>
      </c>
    </row>
    <row r="183" spans="1:24" s="4" customFormat="1" ht="15" customHeight="1">
      <c r="A183" s="28" t="s">
        <v>3019</v>
      </c>
      <c r="B183" s="29">
        <v>3196.165</v>
      </c>
      <c r="C183" s="30" t="s">
        <v>3433</v>
      </c>
      <c r="D183" s="2">
        <v>4951315485</v>
      </c>
      <c r="E183" s="2" t="s">
        <v>36</v>
      </c>
      <c r="F183" s="2" t="s">
        <v>3434</v>
      </c>
      <c r="G183" s="28" t="s">
        <v>5</v>
      </c>
      <c r="H183" s="2" t="s">
        <v>26</v>
      </c>
      <c r="I183" s="2">
        <v>1</v>
      </c>
      <c r="J183" s="2" t="s">
        <v>3435</v>
      </c>
      <c r="K183" s="2">
        <v>34854.76</v>
      </c>
      <c r="L183" s="35">
        <v>111401563.9954</v>
      </c>
      <c r="M183" s="36">
        <v>19803.873</v>
      </c>
      <c r="N183" s="40">
        <v>324667</v>
      </c>
      <c r="O183" s="40">
        <v>396816</v>
      </c>
      <c r="P183" s="40">
        <v>1363601</v>
      </c>
      <c r="Q183" s="40">
        <v>110000</v>
      </c>
      <c r="R183" s="40">
        <v>624697</v>
      </c>
      <c r="S183" s="40">
        <v>354356</v>
      </c>
      <c r="T183" s="40"/>
      <c r="U183" s="40">
        <v>0</v>
      </c>
      <c r="V183" s="40">
        <v>0</v>
      </c>
      <c r="W183" s="45">
        <v>3174137</v>
      </c>
      <c r="X183" s="46">
        <v>2.84927507851781</v>
      </c>
    </row>
    <row r="184" spans="1:24" s="4" customFormat="1" ht="15" customHeight="1">
      <c r="A184" s="28" t="s">
        <v>3019</v>
      </c>
      <c r="B184" s="29">
        <v>3196.165</v>
      </c>
      <c r="C184" s="30" t="s">
        <v>3453</v>
      </c>
      <c r="D184" s="2">
        <v>4951267381</v>
      </c>
      <c r="E184" s="2" t="s">
        <v>36</v>
      </c>
      <c r="F184" s="2" t="s">
        <v>3454</v>
      </c>
      <c r="G184" s="28" t="s">
        <v>5</v>
      </c>
      <c r="H184" s="2" t="s">
        <v>26</v>
      </c>
      <c r="I184" s="2">
        <v>4</v>
      </c>
      <c r="J184" s="2" t="s">
        <v>3455</v>
      </c>
      <c r="K184" s="2">
        <v>84299</v>
      </c>
      <c r="L184" s="35">
        <v>269433513.33499998</v>
      </c>
      <c r="M184" s="36">
        <v>86020</v>
      </c>
      <c r="N184" s="40">
        <v>1327250</v>
      </c>
      <c r="O184" s="40">
        <v>1977656</v>
      </c>
      <c r="P184" s="40">
        <v>9893065</v>
      </c>
      <c r="Q184" s="40">
        <v>496548</v>
      </c>
      <c r="R184" s="40">
        <v>3331348</v>
      </c>
      <c r="S184" s="40">
        <v>354356</v>
      </c>
      <c r="T184" s="40"/>
      <c r="U184" s="40">
        <v>0</v>
      </c>
      <c r="V184" s="40">
        <v>0</v>
      </c>
      <c r="W184" s="45">
        <v>17380223</v>
      </c>
      <c r="X184" s="46">
        <v>6.4506537382342302</v>
      </c>
    </row>
    <row r="185" spans="1:24" s="4" customFormat="1" ht="15" customHeight="1">
      <c r="A185" s="28" t="s">
        <v>3019</v>
      </c>
      <c r="B185" s="29">
        <v>3196.165</v>
      </c>
      <c r="C185" s="30" t="s">
        <v>3456</v>
      </c>
      <c r="D185" s="2">
        <v>4951267898</v>
      </c>
      <c r="E185" s="2" t="s">
        <v>36</v>
      </c>
      <c r="F185" s="2" t="s">
        <v>3457</v>
      </c>
      <c r="G185" s="28" t="s">
        <v>5</v>
      </c>
      <c r="H185" s="2" t="s">
        <v>26</v>
      </c>
      <c r="I185" s="2">
        <v>4</v>
      </c>
      <c r="J185" s="2" t="s">
        <v>3458</v>
      </c>
      <c r="K185" s="2">
        <v>83966.399999999994</v>
      </c>
      <c r="L185" s="35">
        <v>268370468.85600001</v>
      </c>
      <c r="M185" s="36">
        <v>85680</v>
      </c>
      <c r="N185" s="40">
        <v>1293888</v>
      </c>
      <c r="O185" s="40">
        <v>1977656</v>
      </c>
      <c r="P185" s="40">
        <v>10227011</v>
      </c>
      <c r="Q185" s="40">
        <v>496548</v>
      </c>
      <c r="R185" s="40">
        <v>3323608</v>
      </c>
      <c r="S185" s="40">
        <v>354356</v>
      </c>
      <c r="T185" s="40"/>
      <c r="U185" s="40">
        <v>0</v>
      </c>
      <c r="V185" s="40">
        <v>0</v>
      </c>
      <c r="W185" s="45">
        <v>17673067</v>
      </c>
      <c r="X185" s="46">
        <v>6.5853247845547704</v>
      </c>
    </row>
    <row r="187" spans="1:24" ht="15" customHeight="1">
      <c r="A187" s="31" t="s">
        <v>3019</v>
      </c>
      <c r="B187" s="31"/>
      <c r="C187" s="31"/>
      <c r="D187" s="31"/>
      <c r="E187" s="31"/>
      <c r="F187" s="32">
        <v>19</v>
      </c>
      <c r="G187" s="31"/>
      <c r="H187" s="31"/>
      <c r="I187" s="38"/>
      <c r="J187" s="31"/>
      <c r="K187" s="39">
        <f>+SUM(K167:K185)</f>
        <v>1348931.63</v>
      </c>
      <c r="L187" s="39">
        <f>+SUM(L167:L185)</f>
        <v>4311408063.1989508</v>
      </c>
      <c r="M187" s="31"/>
      <c r="N187" s="39"/>
      <c r="O187" s="39"/>
      <c r="P187" s="39"/>
      <c r="Q187" s="39"/>
      <c r="R187" s="39"/>
      <c r="S187" s="39"/>
      <c r="T187" s="39"/>
      <c r="U187" s="39"/>
      <c r="V187" s="31"/>
      <c r="W187" s="39">
        <f>+SUM(W167:W185)</f>
        <v>159452157.65772915</v>
      </c>
      <c r="X187" s="47">
        <f>(W187/L187)*100</f>
        <v>3.6983777763643153</v>
      </c>
    </row>
    <row r="189" spans="1:24" s="4" customFormat="1" ht="15" customHeight="1">
      <c r="A189" s="28" t="s">
        <v>3483</v>
      </c>
      <c r="B189" s="29">
        <v>3387.15</v>
      </c>
      <c r="C189" s="30" t="s">
        <v>3650</v>
      </c>
      <c r="D189" s="2">
        <v>4951267386</v>
      </c>
      <c r="E189" s="2" t="s">
        <v>36</v>
      </c>
      <c r="F189" s="2" t="s">
        <v>3651</v>
      </c>
      <c r="G189" s="28" t="s">
        <v>5</v>
      </c>
      <c r="H189" s="2" t="s">
        <v>26</v>
      </c>
      <c r="I189" s="2">
        <v>4</v>
      </c>
      <c r="J189" s="2" t="s">
        <v>3652</v>
      </c>
      <c r="K189" s="2">
        <v>82744</v>
      </c>
      <c r="L189" s="35">
        <v>280266339.60000002</v>
      </c>
      <c r="M189" s="36">
        <v>83580</v>
      </c>
      <c r="N189" s="40">
        <v>1323311</v>
      </c>
      <c r="O189" s="40">
        <v>2132184</v>
      </c>
      <c r="P189" s="40">
        <v>10227011</v>
      </c>
      <c r="Q189" s="40">
        <v>496548</v>
      </c>
      <c r="R189" s="40">
        <v>3323714</v>
      </c>
      <c r="S189" s="40">
        <v>354356</v>
      </c>
      <c r="T189" s="40"/>
      <c r="U189" s="40">
        <v>0</v>
      </c>
      <c r="V189" s="40">
        <v>0</v>
      </c>
      <c r="W189" s="45">
        <v>17857124</v>
      </c>
      <c r="X189" s="46">
        <v>6.3714836485487103</v>
      </c>
    </row>
    <row r="190" spans="1:24" s="4" customFormat="1" ht="15" customHeight="1">
      <c r="A190" s="28" t="s">
        <v>3483</v>
      </c>
      <c r="B190" s="29">
        <v>3387.15</v>
      </c>
      <c r="C190" s="30" t="s">
        <v>3653</v>
      </c>
      <c r="D190" s="2">
        <v>4951315466</v>
      </c>
      <c r="E190" s="2" t="s">
        <v>36</v>
      </c>
      <c r="F190" s="2" t="s">
        <v>3654</v>
      </c>
      <c r="G190" s="28" t="s">
        <v>5</v>
      </c>
      <c r="H190" s="2" t="s">
        <v>26</v>
      </c>
      <c r="I190" s="2">
        <v>2</v>
      </c>
      <c r="J190" s="2" t="s">
        <v>3655</v>
      </c>
      <c r="K190" s="2">
        <v>74965.509999999995</v>
      </c>
      <c r="L190" s="35">
        <v>253919427.1965</v>
      </c>
      <c r="M190" s="36">
        <v>49976</v>
      </c>
      <c r="N190" s="40">
        <v>327913.46894510498</v>
      </c>
      <c r="O190" s="40">
        <v>855645</v>
      </c>
      <c r="P190" s="40">
        <v>1530263.3553494301</v>
      </c>
      <c r="Q190" s="40">
        <v>198619</v>
      </c>
      <c r="R190" s="40">
        <v>903558.26720708702</v>
      </c>
      <c r="S190" s="40">
        <v>177274.482739884</v>
      </c>
      <c r="T190" s="40"/>
      <c r="U190" s="40">
        <v>0</v>
      </c>
      <c r="V190" s="40">
        <v>0</v>
      </c>
      <c r="W190" s="45">
        <v>3993273.5742415101</v>
      </c>
      <c r="X190" s="46">
        <v>1.5726538210687</v>
      </c>
    </row>
    <row r="191" spans="1:24" s="4" customFormat="1" ht="15" customHeight="1">
      <c r="A191" s="28" t="s">
        <v>3483</v>
      </c>
      <c r="B191" s="29">
        <v>3387.15</v>
      </c>
      <c r="C191" s="30" t="s">
        <v>3676</v>
      </c>
      <c r="D191" s="2">
        <v>4951900509</v>
      </c>
      <c r="E191" s="2" t="s">
        <v>36</v>
      </c>
      <c r="F191" s="2" t="s">
        <v>3677</v>
      </c>
      <c r="G191" s="28" t="s">
        <v>5</v>
      </c>
      <c r="H191" s="2" t="s">
        <v>20</v>
      </c>
      <c r="I191" s="2">
        <v>1</v>
      </c>
      <c r="J191" s="2" t="s">
        <v>3678</v>
      </c>
      <c r="K191" s="2">
        <v>29400</v>
      </c>
      <c r="L191" s="35">
        <v>99582210</v>
      </c>
      <c r="M191" s="36">
        <v>20000</v>
      </c>
      <c r="N191" s="40">
        <v>391344</v>
      </c>
      <c r="O191" s="40">
        <v>349879</v>
      </c>
      <c r="P191" s="40">
        <v>588830</v>
      </c>
      <c r="Q191" s="40">
        <v>110000</v>
      </c>
      <c r="R191" s="40">
        <v>640825</v>
      </c>
      <c r="S191" s="40">
        <v>354356</v>
      </c>
      <c r="T191" s="40"/>
      <c r="U191" s="40">
        <v>519300</v>
      </c>
      <c r="V191" s="40">
        <v>0</v>
      </c>
      <c r="W191" s="45">
        <v>2954534</v>
      </c>
      <c r="X191" s="46">
        <v>2.96692953490387</v>
      </c>
    </row>
    <row r="192" spans="1:24" s="4" customFormat="1" ht="15" customHeight="1">
      <c r="A192" s="28" t="s">
        <v>3483</v>
      </c>
      <c r="B192" s="29">
        <v>3387.15</v>
      </c>
      <c r="C192" s="30" t="s">
        <v>3688</v>
      </c>
      <c r="D192" s="2">
        <v>4951315491</v>
      </c>
      <c r="E192" s="2" t="s">
        <v>36</v>
      </c>
      <c r="F192" s="2" t="s">
        <v>3689</v>
      </c>
      <c r="G192" s="28" t="s">
        <v>5</v>
      </c>
      <c r="H192" s="2" t="s">
        <v>20</v>
      </c>
      <c r="I192" s="2">
        <v>1</v>
      </c>
      <c r="J192" s="2" t="s">
        <v>3690</v>
      </c>
      <c r="K192" s="2">
        <v>26594.400000000001</v>
      </c>
      <c r="L192" s="35">
        <v>90079221.959999993</v>
      </c>
      <c r="M192" s="36">
        <v>16800</v>
      </c>
      <c r="N192" s="40">
        <v>649334</v>
      </c>
      <c r="O192" s="40">
        <v>600598</v>
      </c>
      <c r="P192" s="40">
        <v>5197246</v>
      </c>
      <c r="Q192" s="40">
        <v>223627</v>
      </c>
      <c r="R192" s="40">
        <v>1878409</v>
      </c>
      <c r="S192" s="40">
        <v>354356</v>
      </c>
      <c r="T192" s="40"/>
      <c r="U192" s="40">
        <v>4582800</v>
      </c>
      <c r="V192" s="40">
        <v>0</v>
      </c>
      <c r="W192" s="45">
        <v>13486370</v>
      </c>
      <c r="X192" s="46">
        <v>14.971676826858801</v>
      </c>
    </row>
    <row r="193" spans="1:24" s="4" customFormat="1" ht="15" customHeight="1">
      <c r="A193" s="28" t="s">
        <v>3483</v>
      </c>
      <c r="B193" s="29">
        <v>3387.15</v>
      </c>
      <c r="C193" s="30" t="s">
        <v>3788</v>
      </c>
      <c r="D193" s="2">
        <v>4951315493</v>
      </c>
      <c r="E193" s="2" t="s">
        <v>36</v>
      </c>
      <c r="F193" s="2" t="s">
        <v>3789</v>
      </c>
      <c r="G193" s="28" t="s">
        <v>5</v>
      </c>
      <c r="H193" s="2" t="s">
        <v>26</v>
      </c>
      <c r="I193" s="2">
        <v>1</v>
      </c>
      <c r="J193" s="2" t="s">
        <v>3790</v>
      </c>
      <c r="K193" s="2">
        <v>31764.23</v>
      </c>
      <c r="L193" s="35">
        <v>107590211.6445</v>
      </c>
      <c r="M193" s="36">
        <v>22416.535</v>
      </c>
      <c r="N193" s="40">
        <v>327735</v>
      </c>
      <c r="O193" s="40">
        <v>427822</v>
      </c>
      <c r="P193" s="40">
        <v>1147073</v>
      </c>
      <c r="Q193" s="40">
        <v>99309</v>
      </c>
      <c r="R193" s="40">
        <v>2603898</v>
      </c>
      <c r="S193" s="40">
        <v>354356</v>
      </c>
      <c r="T193" s="40"/>
      <c r="U193" s="40">
        <v>0</v>
      </c>
      <c r="V193" s="40">
        <v>0</v>
      </c>
      <c r="W193" s="45">
        <v>4960193</v>
      </c>
      <c r="X193" s="46">
        <v>4.6102641905654904</v>
      </c>
    </row>
    <row r="194" spans="1:24" s="4" customFormat="1" ht="15" customHeight="1">
      <c r="A194" s="28" t="s">
        <v>3483</v>
      </c>
      <c r="B194" s="29">
        <v>3387.15</v>
      </c>
      <c r="C194" s="30" t="s">
        <v>3791</v>
      </c>
      <c r="D194" s="2">
        <v>4951900501</v>
      </c>
      <c r="E194" s="2" t="s">
        <v>36</v>
      </c>
      <c r="F194" s="2" t="s">
        <v>3792</v>
      </c>
      <c r="G194" s="28" t="s">
        <v>5</v>
      </c>
      <c r="H194" s="2" t="s">
        <v>26</v>
      </c>
      <c r="I194" s="2">
        <v>4</v>
      </c>
      <c r="J194" s="2" t="s">
        <v>3793</v>
      </c>
      <c r="K194" s="2">
        <v>84201</v>
      </c>
      <c r="L194" s="35">
        <v>285201417.14999998</v>
      </c>
      <c r="M194" s="36">
        <v>86280</v>
      </c>
      <c r="N194" s="40">
        <v>1388504</v>
      </c>
      <c r="O194" s="40">
        <v>2132184</v>
      </c>
      <c r="P194" s="40">
        <v>10906881</v>
      </c>
      <c r="Q194" s="40">
        <v>496548</v>
      </c>
      <c r="R194" s="40">
        <v>3457455</v>
      </c>
      <c r="S194" s="40">
        <v>354356</v>
      </c>
      <c r="T194" s="40"/>
      <c r="U194" s="40">
        <v>0</v>
      </c>
      <c r="V194" s="40">
        <v>0</v>
      </c>
      <c r="W194" s="45">
        <v>18735928</v>
      </c>
      <c r="X194" s="46">
        <v>6.5693670765127896</v>
      </c>
    </row>
    <row r="195" spans="1:24" s="4" customFormat="1" ht="15" customHeight="1">
      <c r="A195" s="28" t="s">
        <v>3483</v>
      </c>
      <c r="B195" s="29">
        <v>3387.15</v>
      </c>
      <c r="C195" s="30" t="s">
        <v>3794</v>
      </c>
      <c r="D195" s="2">
        <v>4951897093</v>
      </c>
      <c r="E195" s="2" t="s">
        <v>36</v>
      </c>
      <c r="F195" s="2" t="s">
        <v>3795</v>
      </c>
      <c r="G195" s="28" t="s">
        <v>5</v>
      </c>
      <c r="H195" s="2" t="s">
        <v>26</v>
      </c>
      <c r="I195" s="2">
        <v>4</v>
      </c>
      <c r="J195" s="2" t="s">
        <v>3796</v>
      </c>
      <c r="K195" s="2">
        <v>85162</v>
      </c>
      <c r="L195" s="35">
        <v>288456468.30000001</v>
      </c>
      <c r="M195" s="36">
        <v>86900</v>
      </c>
      <c r="N195" s="40">
        <v>1424288</v>
      </c>
      <c r="O195" s="40">
        <v>2132184</v>
      </c>
      <c r="P195" s="40">
        <v>10696815</v>
      </c>
      <c r="Q195" s="40">
        <v>496548</v>
      </c>
      <c r="R195" s="40">
        <v>3416356</v>
      </c>
      <c r="S195" s="40">
        <v>354356</v>
      </c>
      <c r="T195" s="40"/>
      <c r="U195" s="40">
        <v>0</v>
      </c>
      <c r="V195" s="40">
        <v>0</v>
      </c>
      <c r="W195" s="45">
        <v>18520547</v>
      </c>
      <c r="X195" s="46">
        <v>6.4205691448521396</v>
      </c>
    </row>
    <row r="196" spans="1:24" s="4" customFormat="1" ht="15" customHeight="1">
      <c r="A196" s="28" t="s">
        <v>3483</v>
      </c>
      <c r="B196" s="29">
        <v>3387.15</v>
      </c>
      <c r="C196" s="30" t="s">
        <v>3797</v>
      </c>
      <c r="D196" s="2">
        <v>4951900519</v>
      </c>
      <c r="E196" s="2" t="s">
        <v>36</v>
      </c>
      <c r="F196" s="2" t="s">
        <v>3798</v>
      </c>
      <c r="G196" s="28" t="s">
        <v>5</v>
      </c>
      <c r="H196" s="2" t="s">
        <v>26</v>
      </c>
      <c r="I196" s="2">
        <v>3</v>
      </c>
      <c r="J196" s="2" t="s">
        <v>3799</v>
      </c>
      <c r="K196" s="2">
        <v>96640</v>
      </c>
      <c r="L196" s="35">
        <v>327334176</v>
      </c>
      <c r="M196" s="36">
        <v>60137</v>
      </c>
      <c r="N196" s="40">
        <v>1028363</v>
      </c>
      <c r="O196" s="40">
        <v>1283467</v>
      </c>
      <c r="P196" s="40">
        <v>4362752</v>
      </c>
      <c r="Q196" s="40">
        <v>297928</v>
      </c>
      <c r="R196" s="40">
        <v>2174967</v>
      </c>
      <c r="S196" s="40">
        <v>354356</v>
      </c>
      <c r="T196" s="40"/>
      <c r="U196" s="40">
        <v>0</v>
      </c>
      <c r="V196" s="40">
        <v>0</v>
      </c>
      <c r="W196" s="45">
        <v>9501833</v>
      </c>
      <c r="X196" s="46">
        <v>2.9027928327288399</v>
      </c>
    </row>
    <row r="197" spans="1:24" s="4" customFormat="1" ht="15" customHeight="1">
      <c r="A197" s="28" t="s">
        <v>3483</v>
      </c>
      <c r="B197" s="29">
        <v>3387.15</v>
      </c>
      <c r="C197" s="30" t="s">
        <v>3902</v>
      </c>
      <c r="D197" s="2">
        <v>4951900503</v>
      </c>
      <c r="E197" s="2" t="s">
        <v>36</v>
      </c>
      <c r="F197" s="2" t="s">
        <v>3903</v>
      </c>
      <c r="G197" s="28" t="s">
        <v>5</v>
      </c>
      <c r="H197" s="2" t="s">
        <v>26</v>
      </c>
      <c r="I197" s="2">
        <v>4</v>
      </c>
      <c r="J197" s="2" t="s">
        <v>3904</v>
      </c>
      <c r="K197" s="2">
        <v>84534</v>
      </c>
      <c r="L197" s="35">
        <v>286329338.10000002</v>
      </c>
      <c r="M197" s="36">
        <v>86260</v>
      </c>
      <c r="N197" s="40">
        <v>1393708</v>
      </c>
      <c r="O197" s="40">
        <v>2132184</v>
      </c>
      <c r="P197" s="40">
        <v>11077652</v>
      </c>
      <c r="Q197" s="40">
        <v>496548</v>
      </c>
      <c r="R197" s="40">
        <v>2691004</v>
      </c>
      <c r="S197" s="40">
        <v>354356</v>
      </c>
      <c r="T197" s="40"/>
      <c r="U197" s="40">
        <v>0</v>
      </c>
      <c r="V197" s="40">
        <v>0</v>
      </c>
      <c r="W197" s="45">
        <v>18145452</v>
      </c>
      <c r="X197" s="46">
        <v>6.3372660728404799</v>
      </c>
    </row>
    <row r="198" spans="1:24" s="4" customFormat="1" ht="15" customHeight="1">
      <c r="A198" s="28" t="s">
        <v>3483</v>
      </c>
      <c r="B198" s="29">
        <v>3387.15</v>
      </c>
      <c r="C198" s="30" t="s">
        <v>3905</v>
      </c>
      <c r="D198" s="2">
        <v>4951897094</v>
      </c>
      <c r="E198" s="2" t="s">
        <v>36</v>
      </c>
      <c r="F198" s="2" t="s">
        <v>3906</v>
      </c>
      <c r="G198" s="28" t="s">
        <v>5</v>
      </c>
      <c r="H198" s="2" t="s">
        <v>26</v>
      </c>
      <c r="I198" s="2">
        <v>4</v>
      </c>
      <c r="J198" s="2" t="s">
        <v>3907</v>
      </c>
      <c r="K198" s="2">
        <v>84593</v>
      </c>
      <c r="L198" s="35">
        <v>286529179.94999999</v>
      </c>
      <c r="M198" s="36">
        <v>86320</v>
      </c>
      <c r="N198" s="40">
        <v>1330716</v>
      </c>
      <c r="O198" s="40">
        <v>2132184</v>
      </c>
      <c r="P198" s="40">
        <v>10696815</v>
      </c>
      <c r="Q198" s="40">
        <v>496548</v>
      </c>
      <c r="R198" s="40">
        <v>3415982</v>
      </c>
      <c r="S198" s="40">
        <v>354356</v>
      </c>
      <c r="T198" s="40"/>
      <c r="U198" s="40">
        <v>0</v>
      </c>
      <c r="V198" s="40">
        <v>0</v>
      </c>
      <c r="W198" s="45">
        <v>18426601</v>
      </c>
      <c r="X198" s="46">
        <v>6.4309683932419999</v>
      </c>
    </row>
    <row r="199" spans="1:24" s="4" customFormat="1" ht="15" customHeight="1">
      <c r="A199" s="28" t="s">
        <v>3483</v>
      </c>
      <c r="B199" s="29">
        <v>3387.15</v>
      </c>
      <c r="C199" s="30" t="s">
        <v>3908</v>
      </c>
      <c r="D199" s="2">
        <v>4951315466</v>
      </c>
      <c r="E199" s="2" t="s">
        <v>36</v>
      </c>
      <c r="F199" s="2" t="s">
        <v>3909</v>
      </c>
      <c r="G199" s="28" t="s">
        <v>5</v>
      </c>
      <c r="H199" s="2" t="s">
        <v>26</v>
      </c>
      <c r="I199" s="2">
        <v>2</v>
      </c>
      <c r="J199" s="2" t="s">
        <v>3910</v>
      </c>
      <c r="K199" s="2">
        <v>74924</v>
      </c>
      <c r="L199" s="35">
        <v>253778826.59999999</v>
      </c>
      <c r="M199" s="36">
        <v>49949</v>
      </c>
      <c r="N199" s="40">
        <v>339581</v>
      </c>
      <c r="O199" s="40">
        <v>855645</v>
      </c>
      <c r="P199" s="40">
        <v>2079936</v>
      </c>
      <c r="Q199" s="40">
        <v>198619</v>
      </c>
      <c r="R199" s="40">
        <v>766684</v>
      </c>
      <c r="S199" s="40">
        <v>176984.92937539599</v>
      </c>
      <c r="T199" s="40"/>
      <c r="U199" s="40">
        <v>0</v>
      </c>
      <c r="V199" s="40">
        <v>0</v>
      </c>
      <c r="W199" s="45">
        <v>4417449.9293753998</v>
      </c>
      <c r="X199" s="46">
        <v>1.7406692231019201</v>
      </c>
    </row>
    <row r="200" spans="1:24" s="4" customFormat="1" ht="15" customHeight="1">
      <c r="A200" s="28" t="s">
        <v>3483</v>
      </c>
      <c r="B200" s="29">
        <v>3387.15</v>
      </c>
      <c r="C200" s="30" t="s">
        <v>3911</v>
      </c>
      <c r="D200" s="2">
        <v>4951897099</v>
      </c>
      <c r="E200" s="2" t="s">
        <v>36</v>
      </c>
      <c r="F200" s="2" t="s">
        <v>3912</v>
      </c>
      <c r="G200" s="28" t="s">
        <v>5</v>
      </c>
      <c r="H200" s="2" t="s">
        <v>26</v>
      </c>
      <c r="I200" s="2">
        <v>4</v>
      </c>
      <c r="J200" s="2" t="s">
        <v>3913</v>
      </c>
      <c r="K200" s="2">
        <v>83437</v>
      </c>
      <c r="L200" s="35">
        <v>282613634.55000001</v>
      </c>
      <c r="M200" s="36">
        <v>85140</v>
      </c>
      <c r="N200" s="40">
        <v>1409069</v>
      </c>
      <c r="O200" s="40">
        <v>2132184</v>
      </c>
      <c r="P200" s="40">
        <v>10906881</v>
      </c>
      <c r="Q200" s="40">
        <v>496548</v>
      </c>
      <c r="R200" s="40">
        <v>3457537</v>
      </c>
      <c r="S200" s="40">
        <v>354356</v>
      </c>
      <c r="T200" s="40"/>
      <c r="U200" s="40">
        <v>0</v>
      </c>
      <c r="V200" s="40">
        <v>0</v>
      </c>
      <c r="W200" s="45">
        <v>18756575</v>
      </c>
      <c r="X200" s="46">
        <v>6.6368259372431604</v>
      </c>
    </row>
    <row r="201" spans="1:24" s="4" customFormat="1" ht="15" customHeight="1">
      <c r="A201" s="28" t="s">
        <v>3483</v>
      </c>
      <c r="B201" s="29">
        <v>3387.15</v>
      </c>
      <c r="C201" s="30" t="s">
        <v>3917</v>
      </c>
      <c r="D201" s="2">
        <v>4952421301</v>
      </c>
      <c r="E201" s="2" t="s">
        <v>36</v>
      </c>
      <c r="F201" s="2" t="s">
        <v>3918</v>
      </c>
      <c r="G201" s="28" t="s">
        <v>5</v>
      </c>
      <c r="H201" s="2" t="s">
        <v>26</v>
      </c>
      <c r="I201" s="2">
        <v>1</v>
      </c>
      <c r="J201" s="2" t="s">
        <v>3919</v>
      </c>
      <c r="K201" s="2">
        <v>33819.120000000003</v>
      </c>
      <c r="L201" s="35">
        <v>114550432.308</v>
      </c>
      <c r="M201" s="36">
        <v>23006.205000000002</v>
      </c>
      <c r="N201" s="40">
        <v>351671</v>
      </c>
      <c r="O201" s="40">
        <v>387991</v>
      </c>
      <c r="P201" s="40">
        <v>1394963</v>
      </c>
      <c r="Q201" s="40">
        <v>113164</v>
      </c>
      <c r="R201" s="40">
        <v>537193</v>
      </c>
      <c r="S201" s="40">
        <v>354356</v>
      </c>
      <c r="T201" s="40"/>
      <c r="U201" s="40">
        <v>0</v>
      </c>
      <c r="V201" s="40">
        <v>0</v>
      </c>
      <c r="W201" s="45">
        <v>3139338</v>
      </c>
      <c r="X201" s="46">
        <v>2.74057280862898</v>
      </c>
    </row>
    <row r="202" spans="1:24" s="4" customFormat="1" ht="15" customHeight="1">
      <c r="A202" s="28" t="s">
        <v>3483</v>
      </c>
      <c r="B202" s="29">
        <v>3387.15</v>
      </c>
      <c r="C202" s="30" t="s">
        <v>3920</v>
      </c>
      <c r="D202" s="2">
        <v>4951900515</v>
      </c>
      <c r="E202" s="2" t="s">
        <v>36</v>
      </c>
      <c r="F202" s="2" t="s">
        <v>3921</v>
      </c>
      <c r="G202" s="28" t="s">
        <v>5</v>
      </c>
      <c r="H202" s="2" t="s">
        <v>26</v>
      </c>
      <c r="I202" s="2">
        <v>2</v>
      </c>
      <c r="J202" s="2" t="s">
        <v>3922</v>
      </c>
      <c r="K202" s="2">
        <v>75369</v>
      </c>
      <c r="L202" s="35">
        <v>255286108.34999999</v>
      </c>
      <c r="M202" s="36">
        <v>49913</v>
      </c>
      <c r="N202" s="40">
        <v>703343</v>
      </c>
      <c r="O202" s="40">
        <v>855645</v>
      </c>
      <c r="P202" s="40">
        <v>3487409</v>
      </c>
      <c r="Q202" s="40">
        <v>198619</v>
      </c>
      <c r="R202" s="40">
        <v>1334322</v>
      </c>
      <c r="S202" s="40">
        <v>354356</v>
      </c>
      <c r="T202" s="40"/>
      <c r="U202" s="40">
        <v>0</v>
      </c>
      <c r="V202" s="40">
        <v>0</v>
      </c>
      <c r="W202" s="45">
        <v>6933694</v>
      </c>
      <c r="X202" s="46">
        <v>2.7160482976589702</v>
      </c>
    </row>
    <row r="203" spans="1:24" s="4" customFormat="1" ht="15" customHeight="1">
      <c r="A203" s="28" t="s">
        <v>3483</v>
      </c>
      <c r="B203" s="29">
        <v>3387.15</v>
      </c>
      <c r="C203" s="30" t="s">
        <v>3923</v>
      </c>
      <c r="D203" s="2">
        <v>4951900514</v>
      </c>
      <c r="E203" s="2" t="s">
        <v>36</v>
      </c>
      <c r="F203" s="2" t="s">
        <v>3924</v>
      </c>
      <c r="G203" s="28" t="s">
        <v>5</v>
      </c>
      <c r="H203" s="2" t="s">
        <v>26</v>
      </c>
      <c r="I203" s="2">
        <v>2</v>
      </c>
      <c r="J203" s="2" t="s">
        <v>3925</v>
      </c>
      <c r="K203" s="2">
        <v>75574</v>
      </c>
      <c r="L203" s="35">
        <v>255980474.09999999</v>
      </c>
      <c r="M203" s="36">
        <v>50049</v>
      </c>
      <c r="N203" s="40">
        <v>703343</v>
      </c>
      <c r="O203" s="40">
        <v>855645</v>
      </c>
      <c r="P203" s="40">
        <v>3487409</v>
      </c>
      <c r="Q203" s="40">
        <v>198619</v>
      </c>
      <c r="R203" s="40">
        <v>1334322</v>
      </c>
      <c r="S203" s="40">
        <v>354356</v>
      </c>
      <c r="T203" s="40"/>
      <c r="U203" s="40">
        <v>0</v>
      </c>
      <c r="V203" s="40">
        <v>0</v>
      </c>
      <c r="W203" s="45">
        <v>6933694</v>
      </c>
      <c r="X203" s="46">
        <v>2.7086808180890101</v>
      </c>
    </row>
    <row r="205" spans="1:24" ht="15" customHeight="1">
      <c r="A205" s="31" t="s">
        <v>3483</v>
      </c>
      <c r="B205" s="31"/>
      <c r="C205" s="31"/>
      <c r="D205" s="31"/>
      <c r="E205" s="31"/>
      <c r="F205" s="32">
        <v>15</v>
      </c>
      <c r="G205" s="31"/>
      <c r="H205" s="31"/>
      <c r="I205" s="38"/>
      <c r="J205" s="31"/>
      <c r="K205" s="39">
        <f>+SUM(K189:K203)</f>
        <v>1023721.26</v>
      </c>
      <c r="L205" s="39">
        <f>+SUM(L189:L203)</f>
        <v>3467497465.809</v>
      </c>
      <c r="M205" s="31"/>
      <c r="N205" s="39"/>
      <c r="O205" s="39"/>
      <c r="P205" s="39"/>
      <c r="Q205" s="39"/>
      <c r="R205" s="39"/>
      <c r="S205" s="39"/>
      <c r="T205" s="39"/>
      <c r="U205" s="39"/>
      <c r="V205" s="31"/>
      <c r="W205" s="39">
        <f>+SUM(W189:W203)</f>
        <v>166762606.50361693</v>
      </c>
      <c r="X205" s="47">
        <f>(W205/L205)*100</f>
        <v>4.8093072352025388</v>
      </c>
    </row>
    <row r="207" spans="1:24" s="4" customFormat="1" ht="15" customHeight="1">
      <c r="A207" s="79" t="s">
        <v>3955</v>
      </c>
      <c r="B207" s="80">
        <v>3394.61</v>
      </c>
      <c r="C207" s="81" t="s">
        <v>3976</v>
      </c>
      <c r="D207" s="82" t="s">
        <v>3977</v>
      </c>
      <c r="E207" s="82" t="s">
        <v>36</v>
      </c>
      <c r="F207" s="83" t="s">
        <v>3978</v>
      </c>
      <c r="G207" s="79" t="s">
        <v>5</v>
      </c>
      <c r="H207" s="2" t="s">
        <v>20</v>
      </c>
      <c r="I207" s="2">
        <v>3</v>
      </c>
      <c r="J207" s="2" t="s">
        <v>3979</v>
      </c>
      <c r="K207" s="2">
        <v>90675</v>
      </c>
      <c r="L207" s="35">
        <v>307806261.75</v>
      </c>
      <c r="M207" s="36">
        <v>58500</v>
      </c>
      <c r="N207" s="40">
        <v>1094436</v>
      </c>
      <c r="O207" s="40">
        <v>1040959</v>
      </c>
      <c r="P207" s="40">
        <v>0</v>
      </c>
      <c r="Q207" s="40">
        <v>297928</v>
      </c>
      <c r="R207" s="40">
        <v>1663343</v>
      </c>
      <c r="S207" s="40">
        <v>354356</v>
      </c>
      <c r="T207" s="40"/>
      <c r="U207" s="40">
        <v>1557900</v>
      </c>
      <c r="V207" s="40">
        <v>0</v>
      </c>
      <c r="W207" s="45">
        <v>6008922</v>
      </c>
      <c r="X207" s="46">
        <v>1.9521766600318358</v>
      </c>
    </row>
    <row r="208" spans="1:24" s="4" customFormat="1" ht="15" customHeight="1">
      <c r="A208" s="79" t="s">
        <v>3955</v>
      </c>
      <c r="B208" s="80">
        <v>3394.61</v>
      </c>
      <c r="C208" s="81" t="s">
        <v>4009</v>
      </c>
      <c r="D208" s="82">
        <v>4952419589</v>
      </c>
      <c r="E208" s="82" t="s">
        <v>36</v>
      </c>
      <c r="F208" s="82" t="s">
        <v>4010</v>
      </c>
      <c r="G208" s="79" t="s">
        <v>5</v>
      </c>
      <c r="H208" s="2" t="s">
        <v>26</v>
      </c>
      <c r="I208" s="2">
        <v>4</v>
      </c>
      <c r="J208" s="2" t="s">
        <v>4011</v>
      </c>
      <c r="K208" s="2">
        <v>150957</v>
      </c>
      <c r="L208" s="35">
        <v>512440141.77000004</v>
      </c>
      <c r="M208" s="36">
        <v>99971</v>
      </c>
      <c r="N208" s="40">
        <v>1377811</v>
      </c>
      <c r="O208" s="40">
        <v>1240000</v>
      </c>
      <c r="P208" s="40">
        <v>6429788</v>
      </c>
      <c r="Q208" s="40">
        <v>248000</v>
      </c>
      <c r="R208" s="40">
        <v>2619615</v>
      </c>
      <c r="S208" s="40">
        <v>354356</v>
      </c>
      <c r="T208" s="48"/>
      <c r="U208" s="55">
        <v>0</v>
      </c>
      <c r="V208" s="55">
        <v>0</v>
      </c>
      <c r="W208" s="45">
        <v>12269570</v>
      </c>
      <c r="X208" s="46">
        <v>2.3943420899112517</v>
      </c>
    </row>
    <row r="209" spans="1:24" s="4" customFormat="1" ht="15" customHeight="1">
      <c r="A209" s="79" t="s">
        <v>3955</v>
      </c>
      <c r="B209" s="80">
        <v>3394.61</v>
      </c>
      <c r="C209" s="84" t="s">
        <v>4046</v>
      </c>
      <c r="D209" s="82">
        <v>4951900520</v>
      </c>
      <c r="E209" s="82" t="s">
        <v>36</v>
      </c>
      <c r="F209" s="82" t="s">
        <v>4047</v>
      </c>
      <c r="G209" s="79" t="s">
        <v>5</v>
      </c>
      <c r="H209" s="2" t="s">
        <v>26</v>
      </c>
      <c r="I209" s="2">
        <v>1</v>
      </c>
      <c r="J209" s="2" t="s">
        <v>4048</v>
      </c>
      <c r="K209" s="2">
        <v>32484.1</v>
      </c>
      <c r="L209" s="35">
        <v>110270850.70100001</v>
      </c>
      <c r="M209" s="36">
        <v>22924.558000000001</v>
      </c>
      <c r="N209" s="40">
        <v>327735</v>
      </c>
      <c r="O209" s="40">
        <v>125000</v>
      </c>
      <c r="P209" s="40">
        <v>994130</v>
      </c>
      <c r="Q209" s="40">
        <v>99309</v>
      </c>
      <c r="R209" s="40">
        <v>629130</v>
      </c>
      <c r="S209" s="40">
        <v>354356</v>
      </c>
      <c r="T209" s="40"/>
      <c r="U209" s="40">
        <v>0</v>
      </c>
      <c r="V209" s="40">
        <v>0</v>
      </c>
      <c r="W209" s="45">
        <v>2529660</v>
      </c>
      <c r="X209" s="46">
        <v>2.2940423365910059</v>
      </c>
    </row>
    <row r="210" spans="1:24" s="4" customFormat="1" ht="15" customHeight="1">
      <c r="A210" s="79" t="s">
        <v>3955</v>
      </c>
      <c r="B210" s="80">
        <v>3394.61</v>
      </c>
      <c r="C210" s="81" t="s">
        <v>4076</v>
      </c>
      <c r="D210" s="82">
        <v>4951900513</v>
      </c>
      <c r="E210" s="82" t="s">
        <v>36</v>
      </c>
      <c r="F210" s="82" t="s">
        <v>4077</v>
      </c>
      <c r="G210" s="79" t="s">
        <v>5</v>
      </c>
      <c r="H210" s="2" t="s">
        <v>20</v>
      </c>
      <c r="I210" s="2">
        <v>2</v>
      </c>
      <c r="J210" s="2" t="s">
        <v>4078</v>
      </c>
      <c r="K210" s="2">
        <v>60450</v>
      </c>
      <c r="L210" s="35">
        <v>205204174.5</v>
      </c>
      <c r="M210" s="36">
        <v>39000</v>
      </c>
      <c r="N210" s="40">
        <v>734402</v>
      </c>
      <c r="O210" s="40">
        <v>693973</v>
      </c>
      <c r="P210" s="40">
        <v>0</v>
      </c>
      <c r="Q210" s="40">
        <v>198619</v>
      </c>
      <c r="R210" s="40">
        <v>1107913</v>
      </c>
      <c r="S210" s="40">
        <v>354356</v>
      </c>
      <c r="T210" s="40"/>
      <c r="U210" s="40">
        <v>1038600</v>
      </c>
      <c r="V210" s="40">
        <v>0</v>
      </c>
      <c r="W210" s="45">
        <v>4127863</v>
      </c>
      <c r="X210" s="46">
        <v>2.0115882194199708</v>
      </c>
    </row>
    <row r="211" spans="1:24" s="4" customFormat="1" ht="15" customHeight="1">
      <c r="A211" s="79" t="s">
        <v>3955</v>
      </c>
      <c r="B211" s="80">
        <v>3394.61</v>
      </c>
      <c r="C211" s="84" t="s">
        <v>4177</v>
      </c>
      <c r="D211" s="82">
        <v>4951900506</v>
      </c>
      <c r="E211" s="82" t="s">
        <v>36</v>
      </c>
      <c r="F211" s="82" t="s">
        <v>4178</v>
      </c>
      <c r="G211" s="79" t="s">
        <v>5</v>
      </c>
      <c r="H211" s="2" t="s">
        <v>26</v>
      </c>
      <c r="I211" s="2">
        <v>4</v>
      </c>
      <c r="J211" s="2" t="s">
        <v>4179</v>
      </c>
      <c r="K211" s="2">
        <v>82633</v>
      </c>
      <c r="L211" s="35">
        <v>280506808.13</v>
      </c>
      <c r="M211" s="36">
        <v>84320</v>
      </c>
      <c r="N211" s="40">
        <v>1420020</v>
      </c>
      <c r="O211" s="40">
        <v>1240000</v>
      </c>
      <c r="P211" s="40">
        <v>11077652</v>
      </c>
      <c r="Q211" s="40">
        <v>248000</v>
      </c>
      <c r="R211" s="40">
        <v>2691109</v>
      </c>
      <c r="S211" s="40">
        <v>354356</v>
      </c>
      <c r="T211" s="40"/>
      <c r="U211" s="40">
        <v>0</v>
      </c>
      <c r="V211" s="40">
        <v>0</v>
      </c>
      <c r="W211" s="45">
        <v>17031137</v>
      </c>
      <c r="X211" s="46">
        <v>6.0715592300729382</v>
      </c>
    </row>
    <row r="212" spans="1:24" s="4" customFormat="1" ht="15" customHeight="1">
      <c r="A212" s="79" t="s">
        <v>3955</v>
      </c>
      <c r="B212" s="80">
        <v>3394.61</v>
      </c>
      <c r="C212" s="84" t="s">
        <v>4219</v>
      </c>
      <c r="D212" s="82">
        <v>4952419561</v>
      </c>
      <c r="E212" s="82" t="s">
        <v>36</v>
      </c>
      <c r="F212" s="82" t="s">
        <v>4220</v>
      </c>
      <c r="G212" s="79" t="s">
        <v>5</v>
      </c>
      <c r="H212" s="2" t="s">
        <v>26</v>
      </c>
      <c r="I212" s="2">
        <v>4</v>
      </c>
      <c r="J212" s="2" t="s">
        <v>4221</v>
      </c>
      <c r="K212" s="2">
        <v>88740</v>
      </c>
      <c r="L212" s="35">
        <v>301237691.40000004</v>
      </c>
      <c r="M212" s="36">
        <v>87000</v>
      </c>
      <c r="N212" s="40">
        <v>1427229</v>
      </c>
      <c r="O212" s="40">
        <v>1240000</v>
      </c>
      <c r="P212" s="40">
        <v>10718080</v>
      </c>
      <c r="Q212" s="40">
        <v>248000</v>
      </c>
      <c r="R212" s="40">
        <v>2699828</v>
      </c>
      <c r="S212" s="40">
        <v>354356</v>
      </c>
      <c r="T212" s="40"/>
      <c r="U212" s="40">
        <v>0</v>
      </c>
      <c r="V212" s="40">
        <v>0</v>
      </c>
      <c r="W212" s="45">
        <v>16687493</v>
      </c>
      <c r="X212" s="46">
        <v>5.5396431045680217</v>
      </c>
    </row>
    <row r="213" spans="1:24" s="4" customFormat="1" ht="15" customHeight="1">
      <c r="A213" s="79" t="s">
        <v>3955</v>
      </c>
      <c r="B213" s="80">
        <v>3394.61</v>
      </c>
      <c r="C213" s="84" t="s">
        <v>4236</v>
      </c>
      <c r="D213" s="82">
        <v>4952419573</v>
      </c>
      <c r="E213" s="82" t="s">
        <v>36</v>
      </c>
      <c r="F213" s="83" t="s">
        <v>4237</v>
      </c>
      <c r="G213" s="79" t="s">
        <v>5</v>
      </c>
      <c r="H213" s="2" t="s">
        <v>26</v>
      </c>
      <c r="I213" s="2">
        <v>4</v>
      </c>
      <c r="J213" s="2" t="s">
        <v>4238</v>
      </c>
      <c r="K213" s="2">
        <v>84313</v>
      </c>
      <c r="L213" s="35">
        <v>286209752.93000001</v>
      </c>
      <c r="M213" s="36">
        <v>82660</v>
      </c>
      <c r="N213" s="40">
        <v>1377975</v>
      </c>
      <c r="O213" s="40">
        <v>1240000</v>
      </c>
      <c r="P213" s="40">
        <v>10449644</v>
      </c>
      <c r="Q213" s="40">
        <v>248000</v>
      </c>
      <c r="R213" s="40">
        <v>2644942</v>
      </c>
      <c r="S213" s="40">
        <v>354356</v>
      </c>
      <c r="T213" s="40"/>
      <c r="U213" s="40">
        <v>0</v>
      </c>
      <c r="V213" s="40">
        <v>0</v>
      </c>
      <c r="W213" s="45">
        <v>16314917</v>
      </c>
      <c r="X213" s="46">
        <v>5.7003357967295525</v>
      </c>
    </row>
    <row r="214" spans="1:24" s="4" customFormat="1" ht="15" customHeight="1">
      <c r="A214" s="79" t="s">
        <v>3955</v>
      </c>
      <c r="B214" s="80">
        <v>3394.61</v>
      </c>
      <c r="C214" s="84" t="s">
        <v>4239</v>
      </c>
      <c r="D214" s="82">
        <v>4952421302</v>
      </c>
      <c r="E214" s="82" t="s">
        <v>36</v>
      </c>
      <c r="F214" s="83" t="s">
        <v>4240</v>
      </c>
      <c r="G214" s="79" t="s">
        <v>5</v>
      </c>
      <c r="H214" s="2" t="s">
        <v>26</v>
      </c>
      <c r="I214" s="2">
        <v>1</v>
      </c>
      <c r="J214" s="2" t="s">
        <v>4241</v>
      </c>
      <c r="K214" s="2">
        <v>33659.089999999997</v>
      </c>
      <c r="L214" s="35">
        <v>114259483.50489999</v>
      </c>
      <c r="M214" s="36">
        <v>22897.343000000001</v>
      </c>
      <c r="N214" s="40">
        <v>344493</v>
      </c>
      <c r="O214" s="40">
        <v>125000</v>
      </c>
      <c r="P214" s="40">
        <v>2089928</v>
      </c>
      <c r="Q214" s="40">
        <v>99309</v>
      </c>
      <c r="R214" s="40">
        <v>531219</v>
      </c>
      <c r="S214" s="40">
        <v>354356</v>
      </c>
      <c r="T214" s="40"/>
      <c r="U214" s="40">
        <v>0</v>
      </c>
      <c r="V214" s="40">
        <v>0</v>
      </c>
      <c r="W214" s="45">
        <v>3544305</v>
      </c>
      <c r="X214" s="46">
        <v>3.1019788391114189</v>
      </c>
    </row>
    <row r="215" spans="1:24" s="4" customFormat="1" ht="15" customHeight="1">
      <c r="A215" s="79" t="s">
        <v>3955</v>
      </c>
      <c r="B215" s="80">
        <v>3394.61</v>
      </c>
      <c r="C215" s="81" t="s">
        <v>4260</v>
      </c>
      <c r="D215" s="82">
        <v>4952419586</v>
      </c>
      <c r="E215" s="82" t="s">
        <v>36</v>
      </c>
      <c r="F215" s="82" t="s">
        <v>4261</v>
      </c>
      <c r="G215" s="79" t="s">
        <v>5</v>
      </c>
      <c r="H215" s="2" t="s">
        <v>20</v>
      </c>
      <c r="I215" s="2">
        <v>3</v>
      </c>
      <c r="J215" s="2" t="s">
        <v>4262</v>
      </c>
      <c r="K215" s="2">
        <v>90675</v>
      </c>
      <c r="L215" s="35">
        <v>307806261.75</v>
      </c>
      <c r="M215" s="36">
        <v>58500</v>
      </c>
      <c r="N215" s="40">
        <v>1074273</v>
      </c>
      <c r="O215" s="40">
        <v>1040959</v>
      </c>
      <c r="P215" s="40">
        <v>0</v>
      </c>
      <c r="Q215" s="40">
        <v>297928</v>
      </c>
      <c r="R215" s="40">
        <v>1660414</v>
      </c>
      <c r="S215" s="40">
        <v>354356</v>
      </c>
      <c r="T215" s="40"/>
      <c r="U215" s="40">
        <v>1557900</v>
      </c>
      <c r="V215" s="40">
        <v>0</v>
      </c>
      <c r="W215" s="45">
        <v>5985830</v>
      </c>
      <c r="X215" s="46">
        <v>1.9446745384477222</v>
      </c>
    </row>
    <row r="216" spans="1:24" s="4" customFormat="1" ht="15" customHeight="1">
      <c r="A216" s="79" t="s">
        <v>3955</v>
      </c>
      <c r="B216" s="80">
        <v>3394.61</v>
      </c>
      <c r="C216" s="84" t="s">
        <v>4276</v>
      </c>
      <c r="D216" s="82">
        <v>4952419580</v>
      </c>
      <c r="E216" s="82" t="s">
        <v>36</v>
      </c>
      <c r="F216" s="83" t="s">
        <v>4277</v>
      </c>
      <c r="G216" s="79" t="s">
        <v>5</v>
      </c>
      <c r="H216" s="2" t="s">
        <v>26</v>
      </c>
      <c r="I216" s="2">
        <v>4</v>
      </c>
      <c r="J216" s="2" t="s">
        <v>4278</v>
      </c>
      <c r="K216" s="2">
        <v>86000</v>
      </c>
      <c r="L216" s="35">
        <v>291936460</v>
      </c>
      <c r="M216" s="36">
        <v>85560</v>
      </c>
      <c r="N216" s="40">
        <v>343951.04441327701</v>
      </c>
      <c r="O216" s="40">
        <v>1240000</v>
      </c>
      <c r="P216" s="40">
        <v>2719722.1837307098</v>
      </c>
      <c r="Q216" s="40">
        <v>248000</v>
      </c>
      <c r="R216" s="40">
        <v>663991.30294530198</v>
      </c>
      <c r="S216" s="40">
        <v>89293.073398784501</v>
      </c>
      <c r="T216" s="40"/>
      <c r="U216" s="40">
        <v>0</v>
      </c>
      <c r="V216" s="40">
        <v>0</v>
      </c>
      <c r="W216" s="45">
        <v>5304957.6044880729</v>
      </c>
      <c r="X216" s="46">
        <v>1.8171617222761667</v>
      </c>
    </row>
    <row r="218" spans="1:24" ht="15" customHeight="1">
      <c r="A218" s="87" t="s">
        <v>3955</v>
      </c>
      <c r="B218" s="31"/>
      <c r="C218" s="31"/>
      <c r="D218" s="31"/>
      <c r="E218" s="31"/>
      <c r="F218" s="32">
        <v>10</v>
      </c>
      <c r="G218" s="31"/>
      <c r="H218" s="31"/>
      <c r="I218" s="38"/>
      <c r="J218" s="31"/>
      <c r="K218" s="39">
        <f>+SUM(K207:K216)</f>
        <v>800586.19</v>
      </c>
      <c r="L218" s="39">
        <f>+SUM(L207:L216)</f>
        <v>2717677886.4358997</v>
      </c>
      <c r="M218" s="31"/>
      <c r="N218" s="39"/>
      <c r="O218" s="39"/>
      <c r="P218" s="39"/>
      <c r="Q218" s="39"/>
      <c r="R218" s="39"/>
      <c r="S218" s="39"/>
      <c r="T218" s="39"/>
      <c r="U218" s="39"/>
      <c r="V218" s="31"/>
      <c r="W218" s="39">
        <f>+SUM(W207:W216)</f>
        <v>89804654.604488075</v>
      </c>
      <c r="X218" s="47">
        <f>(W218/L218)*100</f>
        <v>3.3044627935013464</v>
      </c>
    </row>
  </sheetData>
  <conditionalFormatting sqref="C2">
    <cfRule type="duplicateValues" dxfId="28" priority="20"/>
  </conditionalFormatting>
  <conditionalFormatting sqref="C3">
    <cfRule type="duplicateValues" dxfId="27" priority="19"/>
  </conditionalFormatting>
  <conditionalFormatting sqref="C4">
    <cfRule type="duplicateValues" dxfId="26" priority="18"/>
  </conditionalFormatting>
  <conditionalFormatting sqref="C5">
    <cfRule type="duplicateValues" dxfId="25" priority="17"/>
  </conditionalFormatting>
  <conditionalFormatting sqref="C6">
    <cfRule type="duplicateValues" dxfId="24" priority="16"/>
  </conditionalFormatting>
  <conditionalFormatting sqref="C7">
    <cfRule type="duplicateValues" dxfId="23" priority="15"/>
  </conditionalFormatting>
  <conditionalFormatting sqref="C8">
    <cfRule type="duplicateValues" dxfId="22" priority="14"/>
  </conditionalFormatting>
  <conditionalFormatting sqref="C9">
    <cfRule type="duplicateValues" dxfId="21" priority="13"/>
  </conditionalFormatting>
  <conditionalFormatting sqref="C10">
    <cfRule type="duplicateValues" dxfId="20" priority="12"/>
  </conditionalFormatting>
  <conditionalFormatting sqref="C11">
    <cfRule type="duplicateValues" dxfId="19" priority="11"/>
  </conditionalFormatting>
  <conditionalFormatting sqref="C12">
    <cfRule type="duplicateValues" dxfId="18" priority="10"/>
  </conditionalFormatting>
  <conditionalFormatting sqref="C13">
    <cfRule type="duplicateValues" dxfId="17" priority="9"/>
  </conditionalFormatting>
  <conditionalFormatting sqref="C14">
    <cfRule type="duplicateValues" dxfId="16" priority="8"/>
  </conditionalFormatting>
  <conditionalFormatting sqref="C15">
    <cfRule type="duplicateValues" dxfId="15" priority="7"/>
  </conditionalFormatting>
  <conditionalFormatting sqref="C16">
    <cfRule type="duplicateValues" dxfId="14" priority="6"/>
  </conditionalFormatting>
  <conditionalFormatting sqref="C17">
    <cfRule type="duplicateValues" dxfId="13" priority="5"/>
  </conditionalFormatting>
  <conditionalFormatting sqref="C18">
    <cfRule type="duplicateValues" dxfId="12" priority="4"/>
  </conditionalFormatting>
  <conditionalFormatting sqref="C20">
    <cfRule type="duplicateValues" dxfId="11" priority="3"/>
  </conditionalFormatting>
  <conditionalFormatting sqref="C22">
    <cfRule type="duplicateValues" dxfId="10" priority="2"/>
  </conditionalFormatting>
  <conditionalFormatting sqref="C23">
    <cfRule type="duplicateValues" dxfId="9" priority="1"/>
  </conditionalFormatting>
  <pageMargins left="0.69930555555555596" right="0.69930555555555596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40"/>
  <sheetViews>
    <sheetView showGridLines="0" topLeftCell="I1" zoomScale="80" zoomScaleNormal="80" workbookViewId="0">
      <pane ySplit="1" topLeftCell="A118" activePane="bottomLeft" state="frozen"/>
      <selection pane="bottomLeft" activeCell="J133" sqref="J133:J138"/>
    </sheetView>
  </sheetViews>
  <sheetFormatPr baseColWidth="10" defaultColWidth="11.42578125" defaultRowHeight="15"/>
  <cols>
    <col min="1" max="1" width="12.5703125" customWidth="1"/>
    <col min="4" max="4" width="12.28515625" customWidth="1"/>
    <col min="5" max="5" width="8" customWidth="1"/>
    <col min="6" max="6" width="23.28515625" customWidth="1"/>
    <col min="7" max="7" width="15" customWidth="1"/>
    <col min="8" max="8" width="8.5703125" customWidth="1"/>
    <col min="9" max="9" width="6.85546875" customWidth="1"/>
    <col min="10" max="10" width="17" customWidth="1"/>
    <col min="11" max="11" width="13.42578125" customWidth="1"/>
    <col min="12" max="12" width="16.28515625" customWidth="1"/>
    <col min="13" max="13" width="12.28515625" customWidth="1"/>
    <col min="14" max="14" width="17.5703125" customWidth="1"/>
    <col min="15" max="15" width="16.28515625" customWidth="1"/>
    <col min="16" max="16" width="12.28515625" customWidth="1"/>
    <col min="19" max="20" width="18.5703125" customWidth="1"/>
    <col min="21" max="21" width="11.28515625" customWidth="1"/>
    <col min="23" max="23" width="13.5703125" customWidth="1"/>
    <col min="24" max="24" width="8.7109375" customWidth="1"/>
  </cols>
  <sheetData>
    <row r="1" spans="1:24" ht="42" customHeight="1">
      <c r="A1" s="25" t="s">
        <v>3</v>
      </c>
      <c r="B1" s="25" t="s">
        <v>41</v>
      </c>
      <c r="C1" s="25" t="s">
        <v>42</v>
      </c>
      <c r="D1" s="25" t="s">
        <v>43</v>
      </c>
      <c r="E1" s="25" t="s">
        <v>1</v>
      </c>
      <c r="F1" s="26" t="s">
        <v>44</v>
      </c>
      <c r="G1" s="27" t="s">
        <v>45</v>
      </c>
      <c r="H1" s="27" t="s">
        <v>46</v>
      </c>
      <c r="I1" s="27" t="s">
        <v>47</v>
      </c>
      <c r="J1" s="27" t="s">
        <v>48</v>
      </c>
      <c r="K1" s="33" t="s">
        <v>49</v>
      </c>
      <c r="L1" s="33" t="s">
        <v>50</v>
      </c>
      <c r="M1" s="33" t="s">
        <v>51</v>
      </c>
      <c r="N1" s="34" t="s">
        <v>52</v>
      </c>
      <c r="O1" s="33" t="s">
        <v>53</v>
      </c>
      <c r="P1" s="33" t="s">
        <v>54</v>
      </c>
      <c r="Q1" s="33" t="s">
        <v>55</v>
      </c>
      <c r="R1" s="33" t="s">
        <v>56</v>
      </c>
      <c r="S1" s="42" t="s">
        <v>57</v>
      </c>
      <c r="T1" s="42" t="s">
        <v>58</v>
      </c>
      <c r="U1" s="43" t="s">
        <v>59</v>
      </c>
      <c r="V1" s="43" t="s">
        <v>60</v>
      </c>
      <c r="W1" s="44" t="s">
        <v>61</v>
      </c>
      <c r="X1" s="44" t="s">
        <v>62</v>
      </c>
    </row>
    <row r="2" spans="1:24">
      <c r="A2" s="28" t="s">
        <v>63</v>
      </c>
      <c r="B2" s="29">
        <v>3169.6</v>
      </c>
      <c r="C2" s="30" t="s">
        <v>148</v>
      </c>
      <c r="D2" s="2">
        <v>4946816874</v>
      </c>
      <c r="E2" s="2" t="s">
        <v>38</v>
      </c>
      <c r="F2" s="2" t="s">
        <v>149</v>
      </c>
      <c r="G2" s="28" t="s">
        <v>5</v>
      </c>
      <c r="H2" s="2" t="s">
        <v>17</v>
      </c>
      <c r="I2" s="2">
        <v>1</v>
      </c>
      <c r="J2" s="2" t="s">
        <v>150</v>
      </c>
      <c r="K2" s="2">
        <v>418.56</v>
      </c>
      <c r="L2" s="35">
        <v>1326667.7760000001</v>
      </c>
      <c r="M2" s="36">
        <v>192</v>
      </c>
      <c r="N2" s="37">
        <v>5603.8109415705203</v>
      </c>
      <c r="O2" s="37">
        <v>4987.18868626721</v>
      </c>
      <c r="P2" s="37">
        <v>0</v>
      </c>
      <c r="Q2" s="37">
        <v>1182.68998883513</v>
      </c>
      <c r="R2" s="37">
        <v>6352.4942314849304</v>
      </c>
      <c r="S2" s="37">
        <v>4090.0334946036501</v>
      </c>
      <c r="T2" s="40"/>
      <c r="U2" s="37">
        <v>6299.9627837737298</v>
      </c>
      <c r="V2" s="37">
        <v>0</v>
      </c>
      <c r="W2" s="45">
        <v>28516.180126535201</v>
      </c>
      <c r="X2" s="46">
        <v>2.1494590162213401</v>
      </c>
    </row>
    <row r="3" spans="1:24">
      <c r="A3" s="28" t="s">
        <v>63</v>
      </c>
      <c r="B3" s="29">
        <v>3169.6</v>
      </c>
      <c r="C3" s="30" t="s">
        <v>148</v>
      </c>
      <c r="D3" s="2">
        <v>4946881737</v>
      </c>
      <c r="E3" s="2" t="s">
        <v>38</v>
      </c>
      <c r="F3" s="2" t="s">
        <v>149</v>
      </c>
      <c r="G3" s="28" t="s">
        <v>5</v>
      </c>
      <c r="H3" s="2" t="s">
        <v>17</v>
      </c>
      <c r="I3" s="2">
        <v>1</v>
      </c>
      <c r="J3" s="2" t="s">
        <v>150</v>
      </c>
      <c r="K3" s="2">
        <v>27751.4</v>
      </c>
      <c r="L3" s="35">
        <v>87960837.439999998</v>
      </c>
      <c r="M3" s="36">
        <v>12730</v>
      </c>
      <c r="N3" s="37">
        <v>371544.340032254</v>
      </c>
      <c r="O3" s="37">
        <v>330660.99987594603</v>
      </c>
      <c r="P3" s="37">
        <v>0</v>
      </c>
      <c r="Q3" s="37">
        <v>78414.810197245999</v>
      </c>
      <c r="R3" s="37">
        <v>421183.60191043298</v>
      </c>
      <c r="S3" s="37">
        <v>271177.741595336</v>
      </c>
      <c r="T3" s="40"/>
      <c r="U3" s="37">
        <v>417700.65748666401</v>
      </c>
      <c r="V3" s="37">
        <v>0</v>
      </c>
      <c r="W3" s="45">
        <v>1890682.15109788</v>
      </c>
      <c r="X3" s="46">
        <v>2.1494590162213401</v>
      </c>
    </row>
    <row r="4" spans="1:24">
      <c r="A4" s="28" t="s">
        <v>63</v>
      </c>
      <c r="B4" s="29">
        <v>3169.6</v>
      </c>
      <c r="C4" s="30" t="s">
        <v>148</v>
      </c>
      <c r="D4" s="2">
        <v>4946854203</v>
      </c>
      <c r="E4" s="2" t="s">
        <v>38</v>
      </c>
      <c r="F4" s="2" t="s">
        <v>149</v>
      </c>
      <c r="G4" s="28" t="s">
        <v>5</v>
      </c>
      <c r="H4" s="2" t="s">
        <v>17</v>
      </c>
      <c r="I4" s="2">
        <v>1</v>
      </c>
      <c r="J4" s="2" t="s">
        <v>150</v>
      </c>
      <c r="K4" s="2">
        <v>6976</v>
      </c>
      <c r="L4" s="35">
        <v>22111129.600000001</v>
      </c>
      <c r="M4" s="36">
        <v>3200</v>
      </c>
      <c r="N4" s="37">
        <v>93396.849026175405</v>
      </c>
      <c r="O4" s="37">
        <v>83119.811437786906</v>
      </c>
      <c r="P4" s="37">
        <v>0</v>
      </c>
      <c r="Q4" s="37">
        <v>19711.499813918901</v>
      </c>
      <c r="R4" s="37">
        <v>105874.90385808201</v>
      </c>
      <c r="S4" s="37">
        <v>68167.224910060802</v>
      </c>
      <c r="T4" s="40"/>
      <c r="U4" s="37">
        <v>104999.379729562</v>
      </c>
      <c r="V4" s="37">
        <v>0</v>
      </c>
      <c r="W4" s="45">
        <v>475269.668775586</v>
      </c>
      <c r="X4" s="46">
        <v>2.1494590162213401</v>
      </c>
    </row>
    <row r="5" spans="1:24">
      <c r="A5" s="28" t="s">
        <v>63</v>
      </c>
      <c r="B5" s="29">
        <v>3169.6</v>
      </c>
      <c r="C5" s="30" t="s">
        <v>360</v>
      </c>
      <c r="D5" s="2">
        <v>4946815968</v>
      </c>
      <c r="E5" s="2" t="s">
        <v>38</v>
      </c>
      <c r="F5" s="2" t="s">
        <v>361</v>
      </c>
      <c r="G5" s="28" t="s">
        <v>5</v>
      </c>
      <c r="H5" s="2" t="s">
        <v>17</v>
      </c>
      <c r="I5" s="2">
        <v>1</v>
      </c>
      <c r="J5" s="2" t="s">
        <v>362</v>
      </c>
      <c r="K5" s="2">
        <v>1301.4000000000001</v>
      </c>
      <c r="L5" s="35">
        <v>4124917.44</v>
      </c>
      <c r="M5" s="36">
        <v>540</v>
      </c>
      <c r="N5" s="37">
        <v>16955.191227601001</v>
      </c>
      <c r="O5" s="37">
        <v>15120</v>
      </c>
      <c r="P5" s="37">
        <v>11257.100829098699</v>
      </c>
      <c r="Q5" s="37">
        <v>3585.6418828563801</v>
      </c>
      <c r="R5" s="37">
        <v>27205.8020861193</v>
      </c>
      <c r="S5" s="37">
        <v>12400.033431398801</v>
      </c>
      <c r="T5" s="40"/>
      <c r="U5" s="37">
        <v>179153.918159936</v>
      </c>
      <c r="V5" s="37">
        <v>0</v>
      </c>
      <c r="W5" s="45">
        <v>265677.68761700997</v>
      </c>
      <c r="X5" s="46">
        <v>6.4408001246446798</v>
      </c>
    </row>
    <row r="6" spans="1:24">
      <c r="A6" s="28" t="s">
        <v>63</v>
      </c>
      <c r="B6" s="29">
        <v>3169.6</v>
      </c>
      <c r="C6" s="30" t="s">
        <v>360</v>
      </c>
      <c r="D6" s="2">
        <v>4946815982</v>
      </c>
      <c r="E6" s="2" t="s">
        <v>38</v>
      </c>
      <c r="F6" s="2" t="s">
        <v>361</v>
      </c>
      <c r="G6" s="28" t="s">
        <v>5</v>
      </c>
      <c r="H6" s="2" t="s">
        <v>17</v>
      </c>
      <c r="I6" s="2">
        <v>1</v>
      </c>
      <c r="J6" s="2" t="s">
        <v>362</v>
      </c>
      <c r="K6" s="2">
        <v>1281.8399999999999</v>
      </c>
      <c r="L6" s="35">
        <v>4062920.0639999998</v>
      </c>
      <c r="M6" s="36">
        <v>588</v>
      </c>
      <c r="N6" s="37">
        <v>18462.319336721001</v>
      </c>
      <c r="O6" s="37">
        <v>16464</v>
      </c>
      <c r="P6" s="37">
        <v>12257.7320139075</v>
      </c>
      <c r="Q6" s="37">
        <v>3904.3656057769499</v>
      </c>
      <c r="R6" s="37">
        <v>29624.228938218799</v>
      </c>
      <c r="S6" s="37">
        <v>13502.258625300899</v>
      </c>
      <c r="T6" s="40"/>
      <c r="U6" s="37">
        <v>195078.71088526299</v>
      </c>
      <c r="V6" s="37">
        <v>0</v>
      </c>
      <c r="W6" s="45">
        <v>289293.615405188</v>
      </c>
      <c r="X6" s="46">
        <v>7.1203373644613297</v>
      </c>
    </row>
    <row r="7" spans="1:24">
      <c r="A7" s="28" t="s">
        <v>63</v>
      </c>
      <c r="B7" s="29">
        <v>3169.6</v>
      </c>
      <c r="C7" s="30" t="s">
        <v>360</v>
      </c>
      <c r="D7" s="2">
        <v>4946816868</v>
      </c>
      <c r="E7" s="2" t="s">
        <v>38</v>
      </c>
      <c r="F7" s="2" t="s">
        <v>361</v>
      </c>
      <c r="G7" s="28" t="s">
        <v>5</v>
      </c>
      <c r="H7" s="2" t="s">
        <v>17</v>
      </c>
      <c r="I7" s="2">
        <v>1</v>
      </c>
      <c r="J7" s="2" t="s">
        <v>362</v>
      </c>
      <c r="K7" s="2">
        <v>624.96</v>
      </c>
      <c r="L7" s="35">
        <v>1980873.216</v>
      </c>
      <c r="M7" s="36">
        <v>288</v>
      </c>
      <c r="N7" s="37">
        <v>9042.7686547205103</v>
      </c>
      <c r="O7" s="37">
        <v>8064</v>
      </c>
      <c r="P7" s="37">
        <v>6003.7871088526299</v>
      </c>
      <c r="Q7" s="37">
        <v>1912.3423375233999</v>
      </c>
      <c r="R7" s="37">
        <v>14509.561112596901</v>
      </c>
      <c r="S7" s="37">
        <v>6613.3511634126799</v>
      </c>
      <c r="T7" s="40"/>
      <c r="U7" s="37">
        <v>95548.7563519658</v>
      </c>
      <c r="V7" s="37">
        <v>0</v>
      </c>
      <c r="W7" s="45">
        <v>141694.56672907199</v>
      </c>
      <c r="X7" s="46">
        <v>7.1531365856517199</v>
      </c>
    </row>
    <row r="8" spans="1:24">
      <c r="A8" s="28" t="s">
        <v>63</v>
      </c>
      <c r="B8" s="29">
        <v>3169.6</v>
      </c>
      <c r="C8" s="30" t="s">
        <v>360</v>
      </c>
      <c r="D8" s="2">
        <v>4946922578</v>
      </c>
      <c r="E8" s="2" t="s">
        <v>38</v>
      </c>
      <c r="F8" s="2" t="s">
        <v>361</v>
      </c>
      <c r="G8" s="28" t="s">
        <v>5</v>
      </c>
      <c r="H8" s="2" t="s">
        <v>17</v>
      </c>
      <c r="I8" s="2">
        <v>1</v>
      </c>
      <c r="J8" s="2" t="s">
        <v>362</v>
      </c>
      <c r="K8" s="2">
        <v>29299.200000000001</v>
      </c>
      <c r="L8" s="35">
        <v>92866744.319999993</v>
      </c>
      <c r="M8" s="36">
        <v>13440</v>
      </c>
      <c r="N8" s="37">
        <v>421995.870553624</v>
      </c>
      <c r="O8" s="37">
        <v>376320</v>
      </c>
      <c r="P8" s="37">
        <v>280176.731746456</v>
      </c>
      <c r="Q8" s="37">
        <v>89242.642417758703</v>
      </c>
      <c r="R8" s="37">
        <v>677126.51858785795</v>
      </c>
      <c r="S8" s="37">
        <v>308623.05429259199</v>
      </c>
      <c r="T8" s="40"/>
      <c r="U8" s="37">
        <v>4458941.9630917404</v>
      </c>
      <c r="V8" s="37">
        <v>0</v>
      </c>
      <c r="W8" s="45">
        <v>6612426.7806900302</v>
      </c>
      <c r="X8" s="46">
        <v>7.1203387489335697</v>
      </c>
    </row>
    <row r="9" spans="1:24">
      <c r="A9" s="28" t="s">
        <v>63</v>
      </c>
      <c r="B9" s="29">
        <v>3169.6</v>
      </c>
      <c r="C9" s="30" t="s">
        <v>360</v>
      </c>
      <c r="D9" s="2">
        <v>4946815999</v>
      </c>
      <c r="E9" s="2" t="s">
        <v>38</v>
      </c>
      <c r="F9" s="2" t="s">
        <v>361</v>
      </c>
      <c r="G9" s="28" t="s">
        <v>5</v>
      </c>
      <c r="H9" s="2" t="s">
        <v>17</v>
      </c>
      <c r="I9" s="2">
        <v>1</v>
      </c>
      <c r="J9" s="2" t="s">
        <v>362</v>
      </c>
      <c r="K9" s="2">
        <v>204</v>
      </c>
      <c r="L9" s="35">
        <v>646598.40000000002</v>
      </c>
      <c r="M9" s="36">
        <v>100</v>
      </c>
      <c r="N9" s="37">
        <v>3139.8502273335098</v>
      </c>
      <c r="O9" s="37">
        <v>2800</v>
      </c>
      <c r="P9" s="37">
        <v>2084.6483016849402</v>
      </c>
      <c r="Q9" s="37">
        <v>664.00775608451499</v>
      </c>
      <c r="R9" s="37">
        <v>5037.8892752072697</v>
      </c>
      <c r="S9" s="37">
        <v>2296.30248729607</v>
      </c>
      <c r="T9" s="40"/>
      <c r="U9" s="37">
        <v>33176.651511099197</v>
      </c>
      <c r="V9" s="37">
        <v>0</v>
      </c>
      <c r="W9" s="45">
        <v>49199.3495587055</v>
      </c>
      <c r="X9" s="46">
        <v>7.6089500930879996</v>
      </c>
    </row>
    <row r="10" spans="1:24">
      <c r="A10" s="28" t="s">
        <v>63</v>
      </c>
      <c r="B10" s="29">
        <v>3169.6</v>
      </c>
      <c r="C10" s="30" t="s">
        <v>374</v>
      </c>
      <c r="D10" s="2">
        <v>4946816884</v>
      </c>
      <c r="E10" s="2" t="s">
        <v>38</v>
      </c>
      <c r="F10" s="2" t="s">
        <v>375</v>
      </c>
      <c r="G10" s="28" t="s">
        <v>9</v>
      </c>
      <c r="H10" s="2" t="s">
        <v>23</v>
      </c>
      <c r="I10" s="2">
        <v>11</v>
      </c>
      <c r="J10" s="2"/>
      <c r="K10" s="2">
        <v>21451.200000000001</v>
      </c>
      <c r="L10" s="35">
        <v>67991723.519999996</v>
      </c>
      <c r="M10" s="36">
        <v>9840</v>
      </c>
      <c r="N10" s="37">
        <v>1306657</v>
      </c>
      <c r="O10" s="37">
        <v>7019</v>
      </c>
      <c r="P10" s="37">
        <v>216609</v>
      </c>
      <c r="Q10" s="37">
        <v>165750</v>
      </c>
      <c r="R10" s="37">
        <v>260213</v>
      </c>
      <c r="S10" s="37">
        <v>343435</v>
      </c>
      <c r="T10" s="40"/>
      <c r="U10" s="37">
        <v>4171000</v>
      </c>
      <c r="V10" s="37">
        <v>0</v>
      </c>
      <c r="W10" s="45">
        <v>6470683</v>
      </c>
      <c r="X10" s="46">
        <v>9.5168686201882</v>
      </c>
    </row>
    <row r="12" spans="1:24" ht="15" customHeight="1">
      <c r="A12" s="31" t="s">
        <v>63</v>
      </c>
      <c r="B12" s="31"/>
      <c r="C12" s="31"/>
      <c r="D12" s="31"/>
      <c r="E12" s="31"/>
      <c r="F12" s="32">
        <v>3</v>
      </c>
      <c r="G12" s="31"/>
      <c r="H12" s="31"/>
      <c r="I12" s="38"/>
      <c r="J12" s="31"/>
      <c r="K12" s="39">
        <f>+SUM(K2:K10)</f>
        <v>89308.56</v>
      </c>
      <c r="L12" s="39">
        <f>+SUM(L2:L10)</f>
        <v>283072411.77599996</v>
      </c>
      <c r="M12" s="31"/>
      <c r="N12" s="39"/>
      <c r="O12" s="39"/>
      <c r="P12" s="39"/>
      <c r="Q12" s="39"/>
      <c r="R12" s="39"/>
      <c r="S12" s="39"/>
      <c r="T12" s="39"/>
      <c r="U12" s="39"/>
      <c r="V12" s="31"/>
      <c r="W12" s="39">
        <f>+SUM(W2:W10)</f>
        <v>16223443.000000007</v>
      </c>
      <c r="X12" s="47">
        <f>(W12/L12)*100</f>
        <v>5.73119891769527</v>
      </c>
    </row>
    <row r="14" spans="1:24" s="4" customFormat="1" ht="15" customHeight="1">
      <c r="A14" s="28" t="s">
        <v>647</v>
      </c>
      <c r="B14" s="29">
        <v>3125.21</v>
      </c>
      <c r="C14" s="30" t="s">
        <v>659</v>
      </c>
      <c r="D14" s="2">
        <v>4947973106</v>
      </c>
      <c r="E14" s="2" t="s">
        <v>38</v>
      </c>
      <c r="F14" s="2" t="s">
        <v>660</v>
      </c>
      <c r="G14" s="28" t="s">
        <v>5</v>
      </c>
      <c r="H14" s="2" t="s">
        <v>17</v>
      </c>
      <c r="I14" s="2">
        <v>1</v>
      </c>
      <c r="J14" s="2" t="s">
        <v>661</v>
      </c>
      <c r="K14" s="2">
        <v>16219.2</v>
      </c>
      <c r="L14" s="35">
        <v>50688406.031999998</v>
      </c>
      <c r="M14" s="36">
        <v>7440</v>
      </c>
      <c r="N14" s="40">
        <v>176533.51880997099</v>
      </c>
      <c r="O14" s="40">
        <v>157915.57699142001</v>
      </c>
      <c r="P14" s="40">
        <v>0</v>
      </c>
      <c r="Q14" s="40">
        <v>37511.243336548701</v>
      </c>
      <c r="R14" s="40">
        <v>275100.46037467598</v>
      </c>
      <c r="S14" s="40">
        <v>129723.125349038</v>
      </c>
      <c r="T14" s="40"/>
      <c r="U14" s="40">
        <v>1947499.4161547399</v>
      </c>
      <c r="V14" s="40">
        <v>0</v>
      </c>
      <c r="W14" s="45">
        <v>2724283.3410163899</v>
      </c>
      <c r="X14" s="46">
        <v>5.3745689680920901</v>
      </c>
    </row>
    <row r="15" spans="1:24" s="4" customFormat="1" ht="15" customHeight="1">
      <c r="A15" s="28" t="s">
        <v>647</v>
      </c>
      <c r="B15" s="29">
        <v>3125.21</v>
      </c>
      <c r="C15" s="30" t="s">
        <v>659</v>
      </c>
      <c r="D15" s="2">
        <v>4947973102</v>
      </c>
      <c r="E15" s="2" t="s">
        <v>38</v>
      </c>
      <c r="F15" s="2" t="s">
        <v>660</v>
      </c>
      <c r="G15" s="28" t="s">
        <v>5</v>
      </c>
      <c r="H15" s="2" t="s">
        <v>17</v>
      </c>
      <c r="I15" s="2">
        <v>1</v>
      </c>
      <c r="J15" s="2" t="s">
        <v>661</v>
      </c>
      <c r="K15" s="2">
        <v>25266.2</v>
      </c>
      <c r="L15" s="35">
        <v>78962180.901999995</v>
      </c>
      <c r="M15" s="36">
        <v>11590</v>
      </c>
      <c r="N15" s="40">
        <v>275003.15631822101</v>
      </c>
      <c r="O15" s="40">
        <v>246000.20663045099</v>
      </c>
      <c r="P15" s="40">
        <v>0</v>
      </c>
      <c r="Q15" s="40">
        <v>58434.853530994602</v>
      </c>
      <c r="R15" s="40">
        <v>428551.19566431397</v>
      </c>
      <c r="S15" s="40">
        <v>202082.126719805</v>
      </c>
      <c r="T15" s="40"/>
      <c r="U15" s="40">
        <v>3033806.21414429</v>
      </c>
      <c r="V15" s="40">
        <v>0</v>
      </c>
      <c r="W15" s="45">
        <v>4243877.7530080797</v>
      </c>
      <c r="X15" s="46">
        <v>5.3745700847284796</v>
      </c>
    </row>
    <row r="16" spans="1:24" s="4" customFormat="1" ht="15" customHeight="1">
      <c r="A16" s="28" t="s">
        <v>647</v>
      </c>
      <c r="B16" s="29">
        <v>3125.21</v>
      </c>
      <c r="C16" s="30" t="s">
        <v>659</v>
      </c>
      <c r="D16" s="2">
        <v>4947971632</v>
      </c>
      <c r="E16" s="2" t="s">
        <v>38</v>
      </c>
      <c r="F16" s="2" t="s">
        <v>660</v>
      </c>
      <c r="G16" s="28" t="s">
        <v>5</v>
      </c>
      <c r="H16" s="2" t="s">
        <v>17</v>
      </c>
      <c r="I16" s="2">
        <v>1</v>
      </c>
      <c r="J16" s="2" t="s">
        <v>661</v>
      </c>
      <c r="K16" s="2">
        <v>1447.4</v>
      </c>
      <c r="L16" s="35">
        <v>4523428.9539999999</v>
      </c>
      <c r="M16" s="36">
        <v>667</v>
      </c>
      <c r="N16" s="40">
        <v>15826.324871807899</v>
      </c>
      <c r="O16" s="40">
        <v>14157.2163781286</v>
      </c>
      <c r="P16" s="40">
        <v>0</v>
      </c>
      <c r="Q16" s="40">
        <v>3362.90313245672</v>
      </c>
      <c r="R16" s="40">
        <v>24663.343961009301</v>
      </c>
      <c r="S16" s="40">
        <v>11629.747931157</v>
      </c>
      <c r="T16" s="40"/>
      <c r="U16" s="40">
        <v>174594.36970097001</v>
      </c>
      <c r="V16" s="40">
        <v>0</v>
      </c>
      <c r="W16" s="45">
        <v>244233.90597553001</v>
      </c>
      <c r="X16" s="46">
        <v>5.3993089857099896</v>
      </c>
    </row>
    <row r="17" spans="1:24" s="4" customFormat="1" ht="15" customHeight="1">
      <c r="A17" s="28" t="s">
        <v>647</v>
      </c>
      <c r="B17" s="29">
        <v>3125.21</v>
      </c>
      <c r="C17" s="30" t="s">
        <v>895</v>
      </c>
      <c r="D17" s="2">
        <v>4947771846</v>
      </c>
      <c r="E17" s="2" t="s">
        <v>38</v>
      </c>
      <c r="F17" s="2" t="s">
        <v>896</v>
      </c>
      <c r="G17" s="28" t="s">
        <v>9</v>
      </c>
      <c r="H17" s="2" t="s">
        <v>23</v>
      </c>
      <c r="I17" s="2">
        <v>5</v>
      </c>
      <c r="J17" s="2"/>
      <c r="K17" s="2" t="s">
        <v>898</v>
      </c>
      <c r="L17" s="35">
        <v>6740452.9280000003</v>
      </c>
      <c r="M17" s="36">
        <v>640</v>
      </c>
      <c r="N17" s="40">
        <v>168740.4048583</v>
      </c>
      <c r="O17" s="40">
        <v>443.940620782726</v>
      </c>
      <c r="P17" s="40">
        <v>6740.9446693657201</v>
      </c>
      <c r="Q17" s="40">
        <v>10754.116059379199</v>
      </c>
      <c r="R17" s="40">
        <v>61225.587044534397</v>
      </c>
      <c r="S17" s="40">
        <v>76514.116059379201</v>
      </c>
      <c r="T17" s="40"/>
      <c r="U17" s="40">
        <v>389813.08411215001</v>
      </c>
      <c r="V17" s="40">
        <v>0</v>
      </c>
      <c r="W17" s="45">
        <v>714232.19342389097</v>
      </c>
      <c r="X17" s="46">
        <v>10.596204751418901</v>
      </c>
    </row>
    <row r="18" spans="1:24" s="4" customFormat="1" ht="15" customHeight="1">
      <c r="A18" s="28" t="s">
        <v>647</v>
      </c>
      <c r="B18" s="29">
        <v>3125.21</v>
      </c>
      <c r="C18" s="30" t="s">
        <v>895</v>
      </c>
      <c r="D18" s="2">
        <v>4947771846</v>
      </c>
      <c r="E18" s="2" t="s">
        <v>38</v>
      </c>
      <c r="F18" s="2" t="s">
        <v>896</v>
      </c>
      <c r="G18" s="28" t="s">
        <v>9</v>
      </c>
      <c r="H18" s="2" t="s">
        <v>23</v>
      </c>
      <c r="I18" s="2">
        <v>5</v>
      </c>
      <c r="J18" s="2"/>
      <c r="K18" s="2" t="s">
        <v>899</v>
      </c>
      <c r="L18" s="35">
        <v>10531957.699999999</v>
      </c>
      <c r="M18" s="41">
        <v>1000</v>
      </c>
      <c r="N18" s="40">
        <v>263656.88259109302</v>
      </c>
      <c r="O18" s="40">
        <v>693.65721997300898</v>
      </c>
      <c r="P18" s="40">
        <v>10532.726045883899</v>
      </c>
      <c r="Q18" s="40">
        <v>16803.306342780001</v>
      </c>
      <c r="R18" s="40">
        <v>95664.979757085006</v>
      </c>
      <c r="S18" s="40">
        <v>119553.30634277999</v>
      </c>
      <c r="T18" s="40"/>
      <c r="U18" s="40">
        <v>609082.94392523402</v>
      </c>
      <c r="V18" s="40">
        <v>0</v>
      </c>
      <c r="W18" s="45">
        <v>1115987.80222483</v>
      </c>
      <c r="X18" s="46">
        <v>10.596204751418901</v>
      </c>
    </row>
    <row r="19" spans="1:24" s="4" customFormat="1" ht="15" customHeight="1">
      <c r="A19" s="28" t="s">
        <v>647</v>
      </c>
      <c r="B19" s="29">
        <v>3125.21</v>
      </c>
      <c r="C19" s="30" t="s">
        <v>955</v>
      </c>
      <c r="D19" s="2">
        <v>4948475548</v>
      </c>
      <c r="E19" s="2" t="s">
        <v>38</v>
      </c>
      <c r="F19" s="78" t="s">
        <v>956</v>
      </c>
      <c r="G19" s="28" t="s">
        <v>9</v>
      </c>
      <c r="H19" s="2" t="s">
        <v>23</v>
      </c>
      <c r="I19" s="2">
        <v>18</v>
      </c>
      <c r="J19" s="2"/>
      <c r="K19" s="2">
        <v>6520</v>
      </c>
      <c r="L19" s="35">
        <v>20376369.199999999</v>
      </c>
      <c r="M19" s="36">
        <v>2000</v>
      </c>
      <c r="N19" s="40">
        <v>1295229.10835666</v>
      </c>
      <c r="O19" s="40">
        <v>1302.5189924030401</v>
      </c>
      <c r="P19" s="40">
        <v>0</v>
      </c>
      <c r="Q19" s="40">
        <v>40656.377449020401</v>
      </c>
      <c r="R19" s="40">
        <v>62606.957217113202</v>
      </c>
      <c r="S19" s="40">
        <v>56674.290283886497</v>
      </c>
      <c r="T19" s="40"/>
      <c r="U19" s="40">
        <v>667093.16273490596</v>
      </c>
      <c r="V19" s="40">
        <v>0</v>
      </c>
      <c r="W19" s="45">
        <v>2123562.4150339901</v>
      </c>
      <c r="X19" s="46">
        <v>10.421691883331199</v>
      </c>
    </row>
    <row r="20" spans="1:24" s="4" customFormat="1" ht="15" customHeight="1">
      <c r="A20" s="28" t="s">
        <v>647</v>
      </c>
      <c r="B20" s="29">
        <v>3125.21</v>
      </c>
      <c r="C20" s="30" t="s">
        <v>971</v>
      </c>
      <c r="D20" s="2">
        <v>4948211903</v>
      </c>
      <c r="E20" s="2" t="s">
        <v>38</v>
      </c>
      <c r="F20" s="2" t="s">
        <v>972</v>
      </c>
      <c r="G20" s="28" t="s">
        <v>5</v>
      </c>
      <c r="H20" s="2" t="s">
        <v>17</v>
      </c>
      <c r="I20" s="2">
        <v>1</v>
      </c>
      <c r="J20" s="2" t="s">
        <v>973</v>
      </c>
      <c r="K20" s="2">
        <v>36035.4</v>
      </c>
      <c r="L20" s="35">
        <v>112618192.434</v>
      </c>
      <c r="M20" s="36">
        <v>16530</v>
      </c>
      <c r="N20" s="40">
        <v>0</v>
      </c>
      <c r="O20" s="37">
        <v>309346.60825862503</v>
      </c>
      <c r="P20" s="40">
        <v>0</v>
      </c>
      <c r="Q20" s="37">
        <v>74326.621841890796</v>
      </c>
      <c r="R20" s="40">
        <v>542899.33876332</v>
      </c>
      <c r="S20" s="40">
        <v>265051.45727278898</v>
      </c>
      <c r="T20" s="40"/>
      <c r="U20" s="40">
        <v>395681.802755718</v>
      </c>
      <c r="V20" s="40">
        <v>0</v>
      </c>
      <c r="W20" s="45">
        <v>1587305.82889234</v>
      </c>
      <c r="X20" s="46">
        <v>1.4094577390971601</v>
      </c>
    </row>
    <row r="21" spans="1:24" s="4" customFormat="1" ht="15" customHeight="1">
      <c r="A21" s="28" t="s">
        <v>647</v>
      </c>
      <c r="B21" s="29">
        <v>3125.21</v>
      </c>
      <c r="C21" s="30" t="s">
        <v>971</v>
      </c>
      <c r="D21" s="2">
        <v>4948211903</v>
      </c>
      <c r="E21" s="2" t="s">
        <v>38</v>
      </c>
      <c r="F21" s="2" t="s">
        <v>972</v>
      </c>
      <c r="G21" s="28" t="s">
        <v>5</v>
      </c>
      <c r="H21" s="2" t="s">
        <v>17</v>
      </c>
      <c r="I21" s="2">
        <v>1</v>
      </c>
      <c r="J21" s="2" t="s">
        <v>973</v>
      </c>
      <c r="K21" s="2">
        <v>1366.47</v>
      </c>
      <c r="L21" s="35">
        <v>4270505.7087000003</v>
      </c>
      <c r="M21" s="36">
        <v>567</v>
      </c>
      <c r="N21" s="40">
        <v>0</v>
      </c>
      <c r="O21" s="40">
        <v>10610.981662591699</v>
      </c>
      <c r="P21" s="40">
        <v>0</v>
      </c>
      <c r="Q21" s="40">
        <v>2549.4975550122199</v>
      </c>
      <c r="R21" s="40">
        <v>18623.519242516799</v>
      </c>
      <c r="S21" s="40">
        <v>9091.6017104459406</v>
      </c>
      <c r="T21" s="40"/>
      <c r="U21" s="40">
        <v>13572.3885155773</v>
      </c>
      <c r="V21" s="40">
        <v>0</v>
      </c>
      <c r="W21" s="45">
        <v>54447.988686144003</v>
      </c>
      <c r="X21" s="46">
        <v>1.27497754130666</v>
      </c>
    </row>
    <row r="22" spans="1:24" s="4" customFormat="1" ht="15" customHeight="1">
      <c r="A22" s="28" t="s">
        <v>647</v>
      </c>
      <c r="B22" s="29">
        <v>3125.21</v>
      </c>
      <c r="C22" s="30" t="s">
        <v>971</v>
      </c>
      <c r="D22" s="2">
        <v>4948211903</v>
      </c>
      <c r="E22" s="2" t="s">
        <v>38</v>
      </c>
      <c r="F22" s="2" t="s">
        <v>972</v>
      </c>
      <c r="G22" s="28" t="s">
        <v>5</v>
      </c>
      <c r="H22" s="2" t="s">
        <v>17</v>
      </c>
      <c r="I22" s="2">
        <v>1</v>
      </c>
      <c r="J22" s="2" t="s">
        <v>973</v>
      </c>
      <c r="K22" s="2">
        <v>572.88</v>
      </c>
      <c r="L22" s="35">
        <v>1790370.3048</v>
      </c>
      <c r="M22" s="36">
        <v>264</v>
      </c>
      <c r="N22" s="40">
        <v>0</v>
      </c>
      <c r="O22" s="40">
        <v>4940.5628905188796</v>
      </c>
      <c r="P22" s="40">
        <v>0</v>
      </c>
      <c r="Q22" s="40">
        <v>1187.0676446617799</v>
      </c>
      <c r="R22" s="40">
        <v>8671.2311817009395</v>
      </c>
      <c r="S22" s="40">
        <v>4233.1267223240302</v>
      </c>
      <c r="T22" s="40"/>
      <c r="U22" s="40">
        <v>6319.4189913799</v>
      </c>
      <c r="V22" s="40">
        <v>0</v>
      </c>
      <c r="W22" s="45">
        <v>25351.407430585499</v>
      </c>
      <c r="X22" s="46">
        <v>1.4159868136004099</v>
      </c>
    </row>
    <row r="23" spans="1:24" s="4" customFormat="1" ht="15" customHeight="1">
      <c r="A23" s="28" t="s">
        <v>647</v>
      </c>
      <c r="B23" s="29">
        <v>3125.21</v>
      </c>
      <c r="C23" s="30" t="s">
        <v>971</v>
      </c>
      <c r="D23" s="2">
        <v>4948210198</v>
      </c>
      <c r="E23" s="2" t="s">
        <v>38</v>
      </c>
      <c r="F23" s="2" t="s">
        <v>972</v>
      </c>
      <c r="G23" s="28" t="s">
        <v>5</v>
      </c>
      <c r="H23" s="2" t="s">
        <v>17</v>
      </c>
      <c r="I23" s="2">
        <v>1</v>
      </c>
      <c r="J23" s="2" t="s">
        <v>973</v>
      </c>
      <c r="K23" s="2">
        <v>6976</v>
      </c>
      <c r="L23" s="35">
        <v>21801464.960000001</v>
      </c>
      <c r="M23" s="36">
        <v>3200</v>
      </c>
      <c r="N23" s="40">
        <v>0</v>
      </c>
      <c r="O23" s="40">
        <v>59885.6107941683</v>
      </c>
      <c r="P23" s="40">
        <v>0</v>
      </c>
      <c r="Q23" s="40">
        <v>14388.6987231731</v>
      </c>
      <c r="R23" s="40">
        <v>105108.25674789</v>
      </c>
      <c r="S23" s="40">
        <v>51310.626937260997</v>
      </c>
      <c r="T23" s="40"/>
      <c r="U23" s="40">
        <v>76599.018077332104</v>
      </c>
      <c r="V23" s="40">
        <v>0</v>
      </c>
      <c r="W23" s="45">
        <v>307292.21127982403</v>
      </c>
      <c r="X23" s="46">
        <v>1.4095025808752999</v>
      </c>
    </row>
    <row r="24" spans="1:24" s="4" customFormat="1" ht="15" customHeight="1">
      <c r="A24" s="28" t="s">
        <v>647</v>
      </c>
      <c r="B24" s="29">
        <v>3125.21</v>
      </c>
      <c r="C24" s="30" t="s">
        <v>971</v>
      </c>
      <c r="D24" s="2">
        <v>4948210198</v>
      </c>
      <c r="E24" s="2" t="s">
        <v>38</v>
      </c>
      <c r="F24" s="2" t="s">
        <v>972</v>
      </c>
      <c r="G24" s="28" t="s">
        <v>5</v>
      </c>
      <c r="H24" s="2" t="s">
        <v>17</v>
      </c>
      <c r="I24" s="2">
        <v>1</v>
      </c>
      <c r="J24" s="2" t="s">
        <v>973</v>
      </c>
      <c r="K24" s="2">
        <v>1068.2</v>
      </c>
      <c r="L24" s="35">
        <v>3338349.3220000002</v>
      </c>
      <c r="M24" s="36">
        <v>490</v>
      </c>
      <c r="N24" s="40">
        <v>0</v>
      </c>
      <c r="O24" s="40">
        <v>9169.9841528570105</v>
      </c>
      <c r="P24" s="40">
        <v>0</v>
      </c>
      <c r="Q24" s="40">
        <v>2203.26949198587</v>
      </c>
      <c r="R24" s="40">
        <v>16094.2018145207</v>
      </c>
      <c r="S24" s="40">
        <v>7856.9397497680902</v>
      </c>
      <c r="T24" s="40"/>
      <c r="U24" s="40">
        <v>11729.2246430915</v>
      </c>
      <c r="V24" s="40">
        <v>0</v>
      </c>
      <c r="W24" s="45">
        <v>47053.619852223201</v>
      </c>
      <c r="X24" s="46">
        <v>1.4094876034133399</v>
      </c>
    </row>
    <row r="25" spans="1:24" s="4" customFormat="1" ht="15" customHeight="1">
      <c r="A25" s="28" t="s">
        <v>647</v>
      </c>
      <c r="B25" s="29">
        <v>3125.21</v>
      </c>
      <c r="C25" s="30" t="s">
        <v>971</v>
      </c>
      <c r="D25" s="2">
        <v>4948210198</v>
      </c>
      <c r="E25" s="2" t="s">
        <v>38</v>
      </c>
      <c r="F25" s="2" t="s">
        <v>972</v>
      </c>
      <c r="G25" s="28" t="s">
        <v>5</v>
      </c>
      <c r="H25" s="2" t="s">
        <v>17</v>
      </c>
      <c r="I25" s="2">
        <v>1</v>
      </c>
      <c r="J25" s="2" t="s">
        <v>973</v>
      </c>
      <c r="K25" s="2">
        <v>287.76</v>
      </c>
      <c r="L25" s="35">
        <v>899310.42960000003</v>
      </c>
      <c r="M25" s="36">
        <v>132</v>
      </c>
      <c r="N25" s="40">
        <v>0</v>
      </c>
      <c r="O25" s="40">
        <v>2470.2814452594398</v>
      </c>
      <c r="P25" s="40">
        <v>0</v>
      </c>
      <c r="Q25" s="40">
        <v>593.53382233088803</v>
      </c>
      <c r="R25" s="40">
        <v>4336.1155908504697</v>
      </c>
      <c r="S25" s="40">
        <v>2116.5633611620201</v>
      </c>
      <c r="T25" s="40"/>
      <c r="U25" s="40">
        <v>3159.70949568995</v>
      </c>
      <c r="V25" s="40">
        <v>0</v>
      </c>
      <c r="W25" s="45">
        <v>12676.203715292801</v>
      </c>
      <c r="X25" s="46">
        <v>1.40954705939872</v>
      </c>
    </row>
    <row r="26" spans="1:24" s="4" customFormat="1" ht="15" customHeight="1">
      <c r="A26" s="28" t="s">
        <v>647</v>
      </c>
      <c r="B26" s="29">
        <v>3125.21</v>
      </c>
      <c r="C26" s="30" t="s">
        <v>971</v>
      </c>
      <c r="D26" s="2">
        <v>4948210198</v>
      </c>
      <c r="E26" s="2" t="s">
        <v>38</v>
      </c>
      <c r="F26" s="2" t="s">
        <v>972</v>
      </c>
      <c r="G26" s="28" t="s">
        <v>5</v>
      </c>
      <c r="H26" s="2" t="s">
        <v>17</v>
      </c>
      <c r="I26" s="2">
        <v>1</v>
      </c>
      <c r="J26" s="2" t="s">
        <v>973</v>
      </c>
      <c r="K26" s="2">
        <v>1399.01</v>
      </c>
      <c r="L26" s="35">
        <v>4372200.0421000002</v>
      </c>
      <c r="M26" s="36">
        <v>567</v>
      </c>
      <c r="N26" s="40">
        <v>0</v>
      </c>
      <c r="O26" s="40">
        <v>10610.981662591699</v>
      </c>
      <c r="P26" s="40">
        <v>0</v>
      </c>
      <c r="Q26" s="40">
        <v>2549.4975550122199</v>
      </c>
      <c r="R26" s="40">
        <v>19077.769700672001</v>
      </c>
      <c r="S26" s="40">
        <v>9308.0684178375104</v>
      </c>
      <c r="T26" s="40"/>
      <c r="U26" s="40">
        <v>13895.540623090999</v>
      </c>
      <c r="V26" s="40">
        <v>0</v>
      </c>
      <c r="W26" s="45">
        <v>55441.857959204397</v>
      </c>
      <c r="X26" s="46">
        <v>1.26805401000306</v>
      </c>
    </row>
    <row r="27" spans="1:24" s="4" customFormat="1" ht="15" customHeight="1">
      <c r="A27" s="28" t="s">
        <v>647</v>
      </c>
      <c r="B27" s="29">
        <v>3125.21</v>
      </c>
      <c r="C27" s="30" t="s">
        <v>971</v>
      </c>
      <c r="D27" s="2">
        <v>4948210198</v>
      </c>
      <c r="E27" s="2" t="s">
        <v>38</v>
      </c>
      <c r="F27" s="2" t="s">
        <v>972</v>
      </c>
      <c r="G27" s="28" t="s">
        <v>5</v>
      </c>
      <c r="H27" s="2" t="s">
        <v>17</v>
      </c>
      <c r="I27" s="2">
        <v>1</v>
      </c>
      <c r="J27" s="2" t="s">
        <v>973</v>
      </c>
      <c r="K27" s="2">
        <v>729.12</v>
      </c>
      <c r="L27" s="35">
        <v>2278653.1151999999</v>
      </c>
      <c r="M27" s="36">
        <v>336</v>
      </c>
      <c r="N27" s="40">
        <v>0</v>
      </c>
      <c r="O27" s="40">
        <v>6287.9891333876703</v>
      </c>
      <c r="P27" s="40">
        <v>0</v>
      </c>
      <c r="Q27" s="40">
        <v>1510.81336593317</v>
      </c>
      <c r="R27" s="40">
        <v>11036.5669585285</v>
      </c>
      <c r="S27" s="40">
        <v>5387.6158284124103</v>
      </c>
      <c r="T27" s="40"/>
      <c r="U27" s="40">
        <v>8042.8968981198695</v>
      </c>
      <c r="V27" s="40">
        <v>0</v>
      </c>
      <c r="W27" s="45">
        <v>32265.8821843816</v>
      </c>
      <c r="X27" s="46">
        <v>1.41600676158862</v>
      </c>
    </row>
    <row r="28" spans="1:24" s="4" customFormat="1" ht="15" customHeight="1">
      <c r="A28" s="28" t="s">
        <v>647</v>
      </c>
      <c r="B28" s="29">
        <v>3125.21</v>
      </c>
      <c r="C28" s="30" t="s">
        <v>990</v>
      </c>
      <c r="D28" s="2">
        <v>4948471861</v>
      </c>
      <c r="E28" s="2" t="s">
        <v>38</v>
      </c>
      <c r="F28" s="2" t="s">
        <v>991</v>
      </c>
      <c r="G28" s="28" t="s">
        <v>5</v>
      </c>
      <c r="H28" s="2" t="s">
        <v>20</v>
      </c>
      <c r="I28" s="2">
        <v>1</v>
      </c>
      <c r="J28" s="2" t="s">
        <v>992</v>
      </c>
      <c r="K28" s="2">
        <v>31915.200000000001</v>
      </c>
      <c r="L28" s="35">
        <v>99741702.192000002</v>
      </c>
      <c r="M28" s="36">
        <v>14640</v>
      </c>
      <c r="N28" s="40">
        <v>381959.74324324302</v>
      </c>
      <c r="O28" s="37">
        <v>259712.445945946</v>
      </c>
      <c r="P28" s="40">
        <v>85432.972972973002</v>
      </c>
      <c r="Q28" s="40">
        <v>81862.824324324305</v>
      </c>
      <c r="R28" s="40">
        <v>513873.20270270301</v>
      </c>
      <c r="S28" s="40">
        <v>292104.27027027</v>
      </c>
      <c r="T28" s="40"/>
      <c r="U28" s="40">
        <v>436067.56756756798</v>
      </c>
      <c r="V28" s="40">
        <v>0</v>
      </c>
      <c r="W28" s="45">
        <v>2051013.02702703</v>
      </c>
      <c r="X28" s="46">
        <v>2.0563244680533801</v>
      </c>
    </row>
    <row r="29" spans="1:24" s="4" customFormat="1" ht="15" customHeight="1">
      <c r="A29" s="28" t="s">
        <v>647</v>
      </c>
      <c r="B29" s="29">
        <v>3125.21</v>
      </c>
      <c r="C29" s="30" t="s">
        <v>990</v>
      </c>
      <c r="D29" s="2">
        <v>4948280417</v>
      </c>
      <c r="E29" s="2" t="s">
        <v>38</v>
      </c>
      <c r="F29" s="2" t="s">
        <v>991</v>
      </c>
      <c r="G29" s="28" t="s">
        <v>5</v>
      </c>
      <c r="H29" s="2" t="s">
        <v>20</v>
      </c>
      <c r="I29" s="2">
        <v>1</v>
      </c>
      <c r="J29" s="2" t="s">
        <v>992</v>
      </c>
      <c r="K29" s="2">
        <v>6801.6</v>
      </c>
      <c r="L29" s="35">
        <v>21256428.335999999</v>
      </c>
      <c r="M29" s="36">
        <v>3120</v>
      </c>
      <c r="N29" s="40">
        <v>81401.256756756804</v>
      </c>
      <c r="O29" s="40">
        <v>55348.554054054097</v>
      </c>
      <c r="P29" s="40">
        <v>18207.027027027001</v>
      </c>
      <c r="Q29" s="40">
        <v>17446.175675675699</v>
      </c>
      <c r="R29" s="40">
        <v>109543.797297297</v>
      </c>
      <c r="S29" s="40">
        <v>62251.729729729697</v>
      </c>
      <c r="T29" s="40"/>
      <c r="U29" s="40">
        <v>92932.432432432397</v>
      </c>
      <c r="V29" s="40">
        <v>0</v>
      </c>
      <c r="W29" s="45">
        <v>437130.97297297302</v>
      </c>
      <c r="X29" s="46">
        <v>2.0564648306067701</v>
      </c>
    </row>
    <row r="30" spans="1:24" s="4" customFormat="1" ht="15" customHeight="1">
      <c r="A30" s="28" t="s">
        <v>647</v>
      </c>
      <c r="B30" s="29">
        <v>3125.21</v>
      </c>
      <c r="C30" s="30" t="s">
        <v>1016</v>
      </c>
      <c r="D30" s="2">
        <v>4948471852</v>
      </c>
      <c r="E30" s="2" t="s">
        <v>38</v>
      </c>
      <c r="F30" s="2" t="s">
        <v>1017</v>
      </c>
      <c r="G30" s="28" t="s">
        <v>5</v>
      </c>
      <c r="H30" s="2" t="s">
        <v>17</v>
      </c>
      <c r="I30" s="2">
        <v>1</v>
      </c>
      <c r="J30" s="2" t="s">
        <v>1018</v>
      </c>
      <c r="K30" s="2">
        <v>21451.200000000001</v>
      </c>
      <c r="L30" s="35">
        <v>67039504.751999997</v>
      </c>
      <c r="M30" s="36">
        <v>9840</v>
      </c>
      <c r="N30" s="40">
        <v>242912.74587107101</v>
      </c>
      <c r="O30" s="37">
        <v>216680.784230155</v>
      </c>
      <c r="P30" s="40">
        <v>77617.521576984596</v>
      </c>
      <c r="Q30" s="37">
        <v>52061.830580713897</v>
      </c>
      <c r="R30" s="40">
        <v>381613.071923282</v>
      </c>
      <c r="S30" s="40">
        <v>185767.876398508</v>
      </c>
      <c r="T30" s="40"/>
      <c r="U30" s="40">
        <v>277323.38838572201</v>
      </c>
      <c r="V30" s="40">
        <v>0</v>
      </c>
      <c r="W30" s="45">
        <v>1433977.2189664401</v>
      </c>
      <c r="X30" s="46">
        <v>2.1390033000261002</v>
      </c>
    </row>
    <row r="31" spans="1:24" s="4" customFormat="1" ht="15" customHeight="1">
      <c r="A31" s="28" t="s">
        <v>647</v>
      </c>
      <c r="B31" s="29">
        <v>3125.21</v>
      </c>
      <c r="C31" s="30" t="s">
        <v>1016</v>
      </c>
      <c r="D31" s="2">
        <v>4948471852</v>
      </c>
      <c r="E31" s="2" t="s">
        <v>38</v>
      </c>
      <c r="F31" s="2" t="s">
        <v>1017</v>
      </c>
      <c r="G31" s="28" t="s">
        <v>5</v>
      </c>
      <c r="H31" s="2" t="s">
        <v>17</v>
      </c>
      <c r="I31" s="2">
        <v>1</v>
      </c>
      <c r="J31" s="2" t="s">
        <v>1018</v>
      </c>
      <c r="K31" s="2">
        <v>11183.4</v>
      </c>
      <c r="L31" s="35">
        <v>34950473.513999999</v>
      </c>
      <c r="M31" s="36">
        <v>5130</v>
      </c>
      <c r="N31" s="40">
        <v>126640.486414491</v>
      </c>
      <c r="O31" s="40">
        <v>112964.67714437901</v>
      </c>
      <c r="P31" s="40">
        <v>40465.232285562102</v>
      </c>
      <c r="Q31" s="40">
        <v>27141.9909429941</v>
      </c>
      <c r="R31" s="40">
        <v>198951.10761854</v>
      </c>
      <c r="S31" s="40">
        <v>96848.496537027197</v>
      </c>
      <c r="T31" s="40"/>
      <c r="U31" s="40">
        <v>144580.181140117</v>
      </c>
      <c r="V31" s="40">
        <v>0</v>
      </c>
      <c r="W31" s="45">
        <v>747592.17208310997</v>
      </c>
      <c r="X31" s="46">
        <v>2.1390044165886599</v>
      </c>
    </row>
    <row r="32" spans="1:24" s="4" customFormat="1" ht="15" customHeight="1">
      <c r="A32" s="28" t="s">
        <v>647</v>
      </c>
      <c r="B32" s="29">
        <v>3125.21</v>
      </c>
      <c r="C32" s="30" t="s">
        <v>1016</v>
      </c>
      <c r="D32" s="2">
        <v>4948210198</v>
      </c>
      <c r="E32" s="2" t="s">
        <v>38</v>
      </c>
      <c r="F32" s="2" t="s">
        <v>1017</v>
      </c>
      <c r="G32" s="28" t="s">
        <v>5</v>
      </c>
      <c r="H32" s="2" t="s">
        <v>17</v>
      </c>
      <c r="I32" s="2">
        <v>1</v>
      </c>
      <c r="J32" s="2" t="s">
        <v>1018</v>
      </c>
      <c r="K32" s="2">
        <v>8284</v>
      </c>
      <c r="L32" s="35">
        <v>25889239.640000001</v>
      </c>
      <c r="M32" s="36">
        <v>3800</v>
      </c>
      <c r="N32" s="40">
        <v>93807.767714437898</v>
      </c>
      <c r="O32" s="40">
        <v>83677.538625466201</v>
      </c>
      <c r="P32" s="40">
        <v>29974.2461374534</v>
      </c>
      <c r="Q32" s="40">
        <v>20105.178476292</v>
      </c>
      <c r="R32" s="40">
        <v>147370.820458178</v>
      </c>
      <c r="S32" s="40">
        <v>71739.627064464599</v>
      </c>
      <c r="T32" s="40"/>
      <c r="U32" s="40">
        <v>107096.430474161</v>
      </c>
      <c r="V32" s="40">
        <v>0</v>
      </c>
      <c r="W32" s="45">
        <v>553771.608950453</v>
      </c>
      <c r="X32" s="46">
        <v>2.1390029859928799</v>
      </c>
    </row>
    <row r="34" spans="1:24" ht="15" customHeight="1">
      <c r="A34" s="31" t="s">
        <v>647</v>
      </c>
      <c r="B34" s="31"/>
      <c r="C34" s="31"/>
      <c r="D34" s="31"/>
      <c r="E34" s="31"/>
      <c r="F34" s="32">
        <v>6</v>
      </c>
      <c r="G34" s="31"/>
      <c r="H34" s="31"/>
      <c r="I34" s="38"/>
      <c r="J34" s="31"/>
      <c r="K34" s="39">
        <f>+SUM(K14:K32)</f>
        <v>177523.04</v>
      </c>
      <c r="L34" s="39">
        <f>+SUM(L14:L32)</f>
        <v>572069190.46639991</v>
      </c>
      <c r="M34" s="31"/>
      <c r="N34" s="39"/>
      <c r="O34" s="39"/>
      <c r="P34" s="39"/>
      <c r="Q34" s="39"/>
      <c r="R34" s="39"/>
      <c r="S34" s="39"/>
      <c r="T34" s="39"/>
      <c r="U34" s="39"/>
      <c r="V34" s="31"/>
      <c r="W34" s="39">
        <f>+SUM(W14:W32)</f>
        <v>18511497.410682715</v>
      </c>
      <c r="X34" s="47">
        <f t="shared" ref="X34:X36" si="0">(W34/L34)*100</f>
        <v>3.2358843509105171</v>
      </c>
    </row>
    <row r="36" spans="1:24" s="4" customFormat="1" ht="15" customHeight="1">
      <c r="A36" s="28" t="s">
        <v>1109</v>
      </c>
      <c r="B36" s="29">
        <v>3106.0650000000001</v>
      </c>
      <c r="C36" s="30" t="s">
        <v>1357</v>
      </c>
      <c r="D36" s="2">
        <v>4947971639</v>
      </c>
      <c r="E36" s="2" t="s">
        <v>38</v>
      </c>
      <c r="F36" s="2" t="s">
        <v>1358</v>
      </c>
      <c r="G36" s="28" t="s">
        <v>9</v>
      </c>
      <c r="H36" s="2" t="s">
        <v>23</v>
      </c>
      <c r="I36" s="2">
        <v>1</v>
      </c>
      <c r="J36" s="2"/>
      <c r="K36" s="2">
        <v>130.19999999999999</v>
      </c>
      <c r="L36" s="35">
        <f>B36*K36</f>
        <v>404409.663</v>
      </c>
      <c r="M36" s="36">
        <v>60</v>
      </c>
      <c r="N36" s="40">
        <v>644380</v>
      </c>
      <c r="O36" s="40">
        <v>63</v>
      </c>
      <c r="P36" s="40">
        <v>1766</v>
      </c>
      <c r="Q36" s="40">
        <v>1322</v>
      </c>
      <c r="R36" s="40">
        <v>81634</v>
      </c>
      <c r="S36" s="40">
        <v>354356</v>
      </c>
      <c r="T36" s="40"/>
      <c r="U36" s="40">
        <v>41623</v>
      </c>
      <c r="V36" s="40">
        <v>0</v>
      </c>
      <c r="W36" s="45">
        <f>+SUM(N36:V36)</f>
        <v>1125144</v>
      </c>
      <c r="X36" s="46">
        <f t="shared" si="0"/>
        <v>278.21887134284424</v>
      </c>
    </row>
    <row r="38" spans="1:24" ht="15" customHeight="1">
      <c r="A38" s="31" t="s">
        <v>1109</v>
      </c>
      <c r="B38" s="31"/>
      <c r="C38" s="31"/>
      <c r="D38" s="31"/>
      <c r="E38" s="31"/>
      <c r="F38" s="32">
        <v>1</v>
      </c>
      <c r="G38" s="31"/>
      <c r="H38" s="31"/>
      <c r="I38" s="38"/>
      <c r="J38" s="31"/>
      <c r="K38" s="39">
        <f>+SUM(K36:K36)</f>
        <v>130.19999999999999</v>
      </c>
      <c r="L38" s="39">
        <f>+SUM(L36:L36)</f>
        <v>404409.663</v>
      </c>
      <c r="M38" s="31"/>
      <c r="N38" s="39"/>
      <c r="O38" s="39"/>
      <c r="P38" s="39"/>
      <c r="Q38" s="39"/>
      <c r="R38" s="39"/>
      <c r="S38" s="39"/>
      <c r="T38" s="39"/>
      <c r="U38" s="39"/>
      <c r="V38" s="31"/>
      <c r="W38" s="39">
        <f>+SUM(W36:W36)</f>
        <v>1125144</v>
      </c>
      <c r="X38" s="47">
        <f>(W38/L38)*100</f>
        <v>278.21887134284424</v>
      </c>
    </row>
    <row r="40" spans="1:24" s="4" customFormat="1" ht="15" customHeight="1">
      <c r="A40" s="28" t="s">
        <v>1603</v>
      </c>
      <c r="B40" s="29">
        <v>3149.63</v>
      </c>
      <c r="C40" s="30" t="s">
        <v>1623</v>
      </c>
      <c r="D40" s="2">
        <v>4949188788</v>
      </c>
      <c r="E40" s="2" t="s">
        <v>38</v>
      </c>
      <c r="F40" s="2" t="s">
        <v>1624</v>
      </c>
      <c r="G40" s="28" t="s">
        <v>9</v>
      </c>
      <c r="H40" s="2" t="s">
        <v>23</v>
      </c>
      <c r="I40" s="2">
        <v>5</v>
      </c>
      <c r="J40" s="2"/>
      <c r="K40" s="2">
        <v>7308</v>
      </c>
      <c r="L40" s="35">
        <v>23017496.039999999</v>
      </c>
      <c r="M40" s="36">
        <v>3600</v>
      </c>
      <c r="N40" s="40">
        <v>637351.05882352905</v>
      </c>
      <c r="O40" s="40">
        <v>2380.9411764705901</v>
      </c>
      <c r="P40" s="40">
        <v>0</v>
      </c>
      <c r="Q40" s="40">
        <v>58845.882352941197</v>
      </c>
      <c r="R40" s="40">
        <v>123074.82352941199</v>
      </c>
      <c r="S40" s="40">
        <v>250133.64705882399</v>
      </c>
      <c r="T40" s="40"/>
      <c r="U40" s="40">
        <v>1472117.6470588199</v>
      </c>
      <c r="V40" s="40">
        <v>0</v>
      </c>
      <c r="W40" s="45">
        <v>2543904</v>
      </c>
      <c r="X40" s="46">
        <v>11.052044912179801</v>
      </c>
    </row>
    <row r="41" spans="1:24" s="4" customFormat="1" ht="15" customHeight="1">
      <c r="A41" s="28" t="s">
        <v>1603</v>
      </c>
      <c r="B41" s="29">
        <v>3149.63</v>
      </c>
      <c r="C41" s="30" t="s">
        <v>1623</v>
      </c>
      <c r="D41" s="2">
        <v>4949188792</v>
      </c>
      <c r="E41" s="2" t="s">
        <v>38</v>
      </c>
      <c r="F41" s="2" t="s">
        <v>1624</v>
      </c>
      <c r="G41" s="28" t="s">
        <v>9</v>
      </c>
      <c r="H41" s="2" t="s">
        <v>23</v>
      </c>
      <c r="I41" s="2">
        <v>5</v>
      </c>
      <c r="J41" s="2"/>
      <c r="K41" s="2">
        <v>3045</v>
      </c>
      <c r="L41" s="35">
        <v>9590623.3499999996</v>
      </c>
      <c r="M41" s="36">
        <v>1500</v>
      </c>
      <c r="N41" s="40">
        <v>265562.94117647101</v>
      </c>
      <c r="O41" s="40">
        <v>992.05882352941205</v>
      </c>
      <c r="P41" s="40">
        <v>0</v>
      </c>
      <c r="Q41" s="40">
        <v>24519.1176470588</v>
      </c>
      <c r="R41" s="40">
        <v>51281.176470588201</v>
      </c>
      <c r="S41" s="40">
        <v>104222.352941176</v>
      </c>
      <c r="T41" s="40"/>
      <c r="U41" s="40">
        <v>613382.35294117697</v>
      </c>
      <c r="V41" s="40">
        <v>0</v>
      </c>
      <c r="W41" s="45">
        <v>1059960</v>
      </c>
      <c r="X41" s="46">
        <v>11.052044912179801</v>
      </c>
    </row>
    <row r="42" spans="1:24" s="4" customFormat="1" ht="15" customHeight="1">
      <c r="A42" s="28" t="s">
        <v>1603</v>
      </c>
      <c r="B42" s="29">
        <v>3149.63</v>
      </c>
      <c r="C42" s="30" t="s">
        <v>1783</v>
      </c>
      <c r="D42" s="2">
        <v>4949188758</v>
      </c>
      <c r="E42" s="2" t="s">
        <v>38</v>
      </c>
      <c r="F42" s="2" t="s">
        <v>1784</v>
      </c>
      <c r="G42" s="28" t="s">
        <v>5</v>
      </c>
      <c r="H42" s="2" t="s">
        <v>20</v>
      </c>
      <c r="I42" s="2">
        <v>1</v>
      </c>
      <c r="J42" s="2" t="s">
        <v>1785</v>
      </c>
      <c r="K42" s="2">
        <v>10488</v>
      </c>
      <c r="L42" s="35">
        <v>33033319.440000001</v>
      </c>
      <c r="M42" s="36">
        <v>7600</v>
      </c>
      <c r="N42" s="40">
        <v>422560</v>
      </c>
      <c r="O42" s="40">
        <v>327035</v>
      </c>
      <c r="P42" s="40">
        <v>95288.584905660406</v>
      </c>
      <c r="Q42" s="40">
        <v>99309</v>
      </c>
      <c r="R42" s="40">
        <v>566047.35849056602</v>
      </c>
      <c r="S42" s="40">
        <v>317583.20754716999</v>
      </c>
      <c r="T42" s="40"/>
      <c r="U42" s="40">
        <v>3138316.0377358501</v>
      </c>
      <c r="V42" s="40">
        <v>0</v>
      </c>
      <c r="W42" s="45">
        <v>4966139.18867925</v>
      </c>
      <c r="X42" s="46">
        <v>15.0337273785018</v>
      </c>
    </row>
    <row r="43" spans="1:24" s="4" customFormat="1" ht="15" customHeight="1">
      <c r="A43" s="28" t="s">
        <v>1603</v>
      </c>
      <c r="B43" s="29">
        <v>3149.63</v>
      </c>
      <c r="C43" s="30" t="s">
        <v>1783</v>
      </c>
      <c r="D43" s="2">
        <v>4949257928</v>
      </c>
      <c r="E43" s="2" t="s">
        <v>38</v>
      </c>
      <c r="F43" s="2" t="s">
        <v>1784</v>
      </c>
      <c r="G43" s="28" t="s">
        <v>5</v>
      </c>
      <c r="H43" s="2" t="s">
        <v>20</v>
      </c>
      <c r="I43" s="2">
        <v>1</v>
      </c>
      <c r="J43" s="2" t="s">
        <v>1785</v>
      </c>
      <c r="K43" s="2">
        <v>1214.4000000000001</v>
      </c>
      <c r="L43" s="35">
        <v>3824910.6719999998</v>
      </c>
      <c r="M43" s="36">
        <v>880</v>
      </c>
      <c r="N43" s="40">
        <v>48928</v>
      </c>
      <c r="O43" s="40">
        <v>327035</v>
      </c>
      <c r="P43" s="40">
        <v>11033.4150943396</v>
      </c>
      <c r="Q43" s="40">
        <v>99309</v>
      </c>
      <c r="R43" s="40">
        <v>65542.641509434005</v>
      </c>
      <c r="S43" s="40">
        <v>36772.792452830203</v>
      </c>
      <c r="T43" s="40"/>
      <c r="U43" s="40">
        <v>363383.96226415102</v>
      </c>
      <c r="V43" s="40">
        <v>0</v>
      </c>
      <c r="W43" s="45">
        <v>952004.81132075505</v>
      </c>
      <c r="X43" s="46">
        <v>24.889595939843598</v>
      </c>
    </row>
    <row r="44" spans="1:24" s="4" customFormat="1" ht="15" customHeight="1">
      <c r="A44" s="28" t="s">
        <v>1603</v>
      </c>
      <c r="B44" s="29">
        <v>3149.63</v>
      </c>
      <c r="C44" s="30" t="s">
        <v>1795</v>
      </c>
      <c r="D44" s="2">
        <v>4949381300</v>
      </c>
      <c r="E44" s="2" t="s">
        <v>38</v>
      </c>
      <c r="F44" s="2" t="s">
        <v>1796</v>
      </c>
      <c r="G44" s="28" t="s">
        <v>5</v>
      </c>
      <c r="H44" s="2" t="s">
        <v>20</v>
      </c>
      <c r="I44" s="2">
        <v>1</v>
      </c>
      <c r="J44" s="2" t="s">
        <v>1797</v>
      </c>
      <c r="K44" s="2">
        <v>25728</v>
      </c>
      <c r="L44" s="35">
        <v>81033680.640000001</v>
      </c>
      <c r="M44" s="36">
        <v>19200</v>
      </c>
      <c r="N44" s="40">
        <v>471488</v>
      </c>
      <c r="O44" s="40">
        <v>327035</v>
      </c>
      <c r="P44" s="40">
        <v>106322</v>
      </c>
      <c r="Q44" s="40">
        <v>99309</v>
      </c>
      <c r="R44" s="40">
        <v>628591</v>
      </c>
      <c r="S44" s="40">
        <v>354356</v>
      </c>
      <c r="T44" s="40"/>
      <c r="U44" s="40">
        <v>5412600</v>
      </c>
      <c r="V44" s="40">
        <v>0</v>
      </c>
      <c r="W44" s="45">
        <v>7399701</v>
      </c>
      <c r="X44" s="46">
        <v>9.1316363042595707</v>
      </c>
    </row>
    <row r="45" spans="1:24" s="4" customFormat="1" ht="15" customHeight="1">
      <c r="A45" s="28" t="s">
        <v>1603</v>
      </c>
      <c r="B45" s="29">
        <v>3149.63</v>
      </c>
      <c r="C45" s="30" t="s">
        <v>1857</v>
      </c>
      <c r="D45" s="2">
        <v>4949387708</v>
      </c>
      <c r="E45" s="2" t="s">
        <v>38</v>
      </c>
      <c r="F45" s="2" t="s">
        <v>1858</v>
      </c>
      <c r="G45" s="28" t="s">
        <v>5</v>
      </c>
      <c r="H45" s="2" t="s">
        <v>20</v>
      </c>
      <c r="I45" s="2">
        <v>1</v>
      </c>
      <c r="J45" s="2" t="s">
        <v>1859</v>
      </c>
      <c r="K45" s="2">
        <v>34200</v>
      </c>
      <c r="L45" s="35">
        <v>107717346</v>
      </c>
      <c r="M45" s="36">
        <v>20000</v>
      </c>
      <c r="N45" s="40">
        <v>325476</v>
      </c>
      <c r="O45" s="40">
        <v>163517.5</v>
      </c>
      <c r="P45" s="40">
        <v>106322</v>
      </c>
      <c r="Q45" s="40">
        <v>49654.5</v>
      </c>
      <c r="R45" s="40">
        <v>428007.5</v>
      </c>
      <c r="S45" s="40">
        <v>177178</v>
      </c>
      <c r="T45" s="40"/>
      <c r="U45" s="40">
        <v>519300</v>
      </c>
      <c r="V45" s="40">
        <v>0</v>
      </c>
      <c r="W45" s="45">
        <v>1769455.5</v>
      </c>
      <c r="X45" s="46">
        <v>1.64268389976857</v>
      </c>
    </row>
    <row r="46" spans="1:24" s="4" customFormat="1" ht="15" customHeight="1">
      <c r="A46" s="28" t="s">
        <v>1603</v>
      </c>
      <c r="B46" s="29">
        <v>3149.63</v>
      </c>
      <c r="C46" s="30" t="s">
        <v>1857</v>
      </c>
      <c r="D46" s="2">
        <v>4949387705</v>
      </c>
      <c r="E46" s="2" t="s">
        <v>38</v>
      </c>
      <c r="F46" s="2" t="s">
        <v>1858</v>
      </c>
      <c r="G46" s="28" t="s">
        <v>5</v>
      </c>
      <c r="H46" s="2" t="s">
        <v>20</v>
      </c>
      <c r="I46" s="2">
        <v>1</v>
      </c>
      <c r="J46" s="2" t="s">
        <v>1860</v>
      </c>
      <c r="K46" s="2">
        <v>34200</v>
      </c>
      <c r="L46" s="35">
        <v>107717346</v>
      </c>
      <c r="M46" s="36">
        <v>20000</v>
      </c>
      <c r="N46" s="40">
        <v>325476</v>
      </c>
      <c r="O46" s="40">
        <v>163517.5</v>
      </c>
      <c r="P46" s="40">
        <v>106322</v>
      </c>
      <c r="Q46" s="40">
        <v>49654.5</v>
      </c>
      <c r="R46" s="40">
        <v>428007.5</v>
      </c>
      <c r="S46" s="40">
        <v>177178</v>
      </c>
      <c r="T46" s="40"/>
      <c r="U46" s="40">
        <v>519300</v>
      </c>
      <c r="V46" s="40">
        <v>0</v>
      </c>
      <c r="W46" s="45">
        <v>1769455.5</v>
      </c>
      <c r="X46" s="46">
        <v>1.64268389976857</v>
      </c>
    </row>
    <row r="47" spans="1:24" s="4" customFormat="1" ht="15" customHeight="1">
      <c r="A47" s="28" t="s">
        <v>1603</v>
      </c>
      <c r="B47" s="29">
        <v>3149.63</v>
      </c>
      <c r="C47" s="30" t="s">
        <v>1878</v>
      </c>
      <c r="D47" s="2">
        <v>4949383313</v>
      </c>
      <c r="E47" s="2" t="s">
        <v>38</v>
      </c>
      <c r="F47" s="2" t="s">
        <v>1879</v>
      </c>
      <c r="G47" s="28" t="s">
        <v>5</v>
      </c>
      <c r="H47" s="2" t="s">
        <v>17</v>
      </c>
      <c r="I47" s="2">
        <v>1</v>
      </c>
      <c r="J47" s="2" t="s">
        <v>1880</v>
      </c>
      <c r="K47" s="2">
        <v>25270</v>
      </c>
      <c r="L47" s="35">
        <v>79591150.099999994</v>
      </c>
      <c r="M47" s="36">
        <v>19000</v>
      </c>
      <c r="N47" s="40">
        <v>471488</v>
      </c>
      <c r="O47" s="40">
        <v>429032</v>
      </c>
      <c r="P47" s="40">
        <v>0</v>
      </c>
      <c r="Q47" s="40">
        <v>99309</v>
      </c>
      <c r="R47" s="40">
        <v>729082</v>
      </c>
      <c r="S47" s="40">
        <v>354356</v>
      </c>
      <c r="T47" s="40"/>
      <c r="U47" s="40">
        <v>6275900</v>
      </c>
      <c r="V47" s="40">
        <v>0</v>
      </c>
      <c r="W47" s="45">
        <v>8359167</v>
      </c>
      <c r="X47" s="46">
        <v>10.502633759528999</v>
      </c>
    </row>
    <row r="48" spans="1:24" s="4" customFormat="1" ht="15" customHeight="1">
      <c r="A48" s="28" t="s">
        <v>1603</v>
      </c>
      <c r="B48" s="29">
        <v>3149.63</v>
      </c>
      <c r="C48" s="30" t="s">
        <v>1951</v>
      </c>
      <c r="D48" s="2">
        <v>4949588796</v>
      </c>
      <c r="E48" s="2" t="s">
        <v>38</v>
      </c>
      <c r="F48" s="2" t="s">
        <v>1952</v>
      </c>
      <c r="G48" s="28" t="s">
        <v>5</v>
      </c>
      <c r="H48" s="2" t="s">
        <v>17</v>
      </c>
      <c r="I48" s="2">
        <v>1</v>
      </c>
      <c r="J48" s="2" t="s">
        <v>1953</v>
      </c>
      <c r="K48" s="2">
        <v>2622</v>
      </c>
      <c r="L48" s="35">
        <v>8258329.8600000003</v>
      </c>
      <c r="M48" s="36">
        <v>1900</v>
      </c>
      <c r="N48" s="40">
        <v>0</v>
      </c>
      <c r="O48" s="40">
        <v>37392.697247706397</v>
      </c>
      <c r="P48" s="40">
        <v>0</v>
      </c>
      <c r="Q48" s="40">
        <v>8655.3715596330294</v>
      </c>
      <c r="R48" s="40">
        <v>63231</v>
      </c>
      <c r="S48" s="40">
        <v>30884.238532110099</v>
      </c>
      <c r="T48" s="40"/>
      <c r="U48" s="40">
        <v>551209.17431192705</v>
      </c>
      <c r="V48" s="40">
        <v>0</v>
      </c>
      <c r="W48" s="45">
        <v>691372.48165137705</v>
      </c>
      <c r="X48" s="46">
        <v>8.3718196460049903</v>
      </c>
    </row>
    <row r="49" spans="1:24" s="4" customFormat="1" ht="15" customHeight="1">
      <c r="A49" s="28" t="s">
        <v>1603</v>
      </c>
      <c r="B49" s="29">
        <v>3149.63</v>
      </c>
      <c r="C49" s="30" t="s">
        <v>1951</v>
      </c>
      <c r="D49" s="2">
        <v>4949383323</v>
      </c>
      <c r="E49" s="2" t="s">
        <v>38</v>
      </c>
      <c r="F49" s="2" t="s">
        <v>1952</v>
      </c>
      <c r="G49" s="28" t="s">
        <v>5</v>
      </c>
      <c r="H49" s="2" t="s">
        <v>17</v>
      </c>
      <c r="I49" s="2">
        <v>1</v>
      </c>
      <c r="J49" s="2" t="s">
        <v>1953</v>
      </c>
      <c r="K49" s="2">
        <v>22743</v>
      </c>
      <c r="L49" s="35">
        <v>71632035.090000004</v>
      </c>
      <c r="M49" s="36">
        <v>17100</v>
      </c>
      <c r="N49" s="40">
        <v>0</v>
      </c>
      <c r="O49" s="40">
        <v>336534.275229358</v>
      </c>
      <c r="P49" s="40">
        <v>0</v>
      </c>
      <c r="Q49" s="40">
        <v>77898.344036697206</v>
      </c>
      <c r="R49" s="40">
        <v>569083</v>
      </c>
      <c r="S49" s="40">
        <v>277958.146788991</v>
      </c>
      <c r="T49" s="40"/>
      <c r="U49" s="40">
        <v>4960882.5688073402</v>
      </c>
      <c r="V49" s="40">
        <v>0</v>
      </c>
      <c r="W49" s="45">
        <v>6222356.3348623896</v>
      </c>
      <c r="X49" s="46">
        <v>8.68655529197863</v>
      </c>
    </row>
    <row r="50" spans="1:24" s="4" customFormat="1" ht="15" customHeight="1">
      <c r="A50" s="28" t="s">
        <v>1603</v>
      </c>
      <c r="B50" s="29">
        <v>3149.63</v>
      </c>
      <c r="C50" s="30" t="s">
        <v>1951</v>
      </c>
      <c r="D50" s="2">
        <v>4949573803</v>
      </c>
      <c r="E50" s="2" t="s">
        <v>38</v>
      </c>
      <c r="F50" s="2" t="s">
        <v>1952</v>
      </c>
      <c r="G50" s="28" t="s">
        <v>5</v>
      </c>
      <c r="H50" s="2" t="s">
        <v>17</v>
      </c>
      <c r="I50" s="2">
        <v>1</v>
      </c>
      <c r="J50" s="2" t="s">
        <v>1953</v>
      </c>
      <c r="K50" s="2">
        <v>3780</v>
      </c>
      <c r="L50" s="35">
        <v>11905601.4</v>
      </c>
      <c r="M50" s="36">
        <v>2800</v>
      </c>
      <c r="N50" s="40">
        <v>0</v>
      </c>
      <c r="O50" s="40">
        <v>55105.027522935801</v>
      </c>
      <c r="P50" s="40">
        <v>0</v>
      </c>
      <c r="Q50" s="40">
        <v>12755.284403669701</v>
      </c>
      <c r="R50" s="40">
        <v>93183</v>
      </c>
      <c r="S50" s="40">
        <v>45513.614678899103</v>
      </c>
      <c r="T50" s="40"/>
      <c r="U50" s="40">
        <v>812308.256880734</v>
      </c>
      <c r="V50" s="40">
        <v>0</v>
      </c>
      <c r="W50" s="45">
        <v>1018865.18348624</v>
      </c>
      <c r="X50" s="46">
        <v>8.5578640612496795</v>
      </c>
    </row>
    <row r="51" spans="1:24" s="4" customFormat="1" ht="15" customHeight="1">
      <c r="A51" s="28" t="s">
        <v>1603</v>
      </c>
      <c r="B51" s="29">
        <v>3149.63</v>
      </c>
      <c r="C51" s="30" t="s">
        <v>2000</v>
      </c>
      <c r="D51" s="2">
        <v>4949591262</v>
      </c>
      <c r="E51" s="2" t="s">
        <v>38</v>
      </c>
      <c r="F51" s="2" t="s">
        <v>2001</v>
      </c>
      <c r="G51" s="28" t="s">
        <v>5</v>
      </c>
      <c r="H51" s="2" t="s">
        <v>17</v>
      </c>
      <c r="I51" s="2">
        <v>1</v>
      </c>
      <c r="J51" s="2" t="s">
        <v>2002</v>
      </c>
      <c r="K51" s="2">
        <v>3260</v>
      </c>
      <c r="L51" s="35">
        <v>10267793.800000001</v>
      </c>
      <c r="M51" s="36">
        <v>1000</v>
      </c>
      <c r="N51" s="40">
        <v>27099.529411764699</v>
      </c>
      <c r="O51" s="40">
        <v>25237.176470588201</v>
      </c>
      <c r="P51" s="40">
        <v>0</v>
      </c>
      <c r="Q51" s="40">
        <v>5841.7058823529396</v>
      </c>
      <c r="R51" s="40">
        <v>43050</v>
      </c>
      <c r="S51" s="40">
        <v>20844.470588235301</v>
      </c>
      <c r="T51" s="40"/>
      <c r="U51" s="40">
        <v>1999661</v>
      </c>
      <c r="V51" s="40">
        <v>0</v>
      </c>
      <c r="W51" s="45">
        <v>2121733.8823529398</v>
      </c>
      <c r="X51" s="46">
        <v>20.6639705050655</v>
      </c>
    </row>
    <row r="52" spans="1:24" s="4" customFormat="1" ht="15" customHeight="1">
      <c r="A52" s="28" t="s">
        <v>1603</v>
      </c>
      <c r="B52" s="29">
        <v>3149.63</v>
      </c>
      <c r="C52" s="30" t="s">
        <v>2063</v>
      </c>
      <c r="D52" s="2">
        <v>4949383322</v>
      </c>
      <c r="E52" s="2" t="s">
        <v>38</v>
      </c>
      <c r="F52" s="2" t="s">
        <v>2064</v>
      </c>
      <c r="G52" s="28" t="s">
        <v>5</v>
      </c>
      <c r="H52" s="2" t="s">
        <v>20</v>
      </c>
      <c r="I52" s="2">
        <v>3</v>
      </c>
      <c r="J52" s="2" t="s">
        <v>2065</v>
      </c>
      <c r="K52" s="2">
        <v>32160</v>
      </c>
      <c r="L52" s="35">
        <v>101292100.8</v>
      </c>
      <c r="M52" s="36">
        <v>24000</v>
      </c>
      <c r="N52" s="40">
        <v>933152.08462274203</v>
      </c>
      <c r="O52" s="40">
        <v>662425.25178641803</v>
      </c>
      <c r="P52" s="40">
        <v>422869.521183818</v>
      </c>
      <c r="Q52" s="40">
        <v>201155.46053001701</v>
      </c>
      <c r="R52" s="40">
        <v>1569229.8574804501</v>
      </c>
      <c r="S52" s="40">
        <v>239254.59967366201</v>
      </c>
      <c r="T52" s="40"/>
      <c r="U52" s="40">
        <v>8887345.9742305707</v>
      </c>
      <c r="V52" s="40">
        <v>0</v>
      </c>
      <c r="W52" s="45">
        <v>12915432.749507699</v>
      </c>
      <c r="X52" s="46">
        <v>12.7506810970473</v>
      </c>
    </row>
    <row r="53" spans="1:24" s="4" customFormat="1" ht="15" customHeight="1">
      <c r="A53" s="28" t="s">
        <v>1603</v>
      </c>
      <c r="B53" s="29">
        <v>3149.63</v>
      </c>
      <c r="C53" s="30" t="s">
        <v>2063</v>
      </c>
      <c r="D53" s="2">
        <v>4949573808</v>
      </c>
      <c r="E53" s="2" t="s">
        <v>38</v>
      </c>
      <c r="F53" s="2" t="s">
        <v>2064</v>
      </c>
      <c r="G53" s="28" t="s">
        <v>5</v>
      </c>
      <c r="H53" s="2" t="s">
        <v>20</v>
      </c>
      <c r="I53" s="2">
        <v>3</v>
      </c>
      <c r="J53" s="2" t="s">
        <v>2065</v>
      </c>
      <c r="K53" s="2">
        <v>2004.77</v>
      </c>
      <c r="L53" s="35">
        <v>6314283.7351000002</v>
      </c>
      <c r="M53" s="36">
        <v>1485</v>
      </c>
      <c r="N53" s="40">
        <v>57738.785236032199</v>
      </c>
      <c r="O53" s="40">
        <v>40987.562454284598</v>
      </c>
      <c r="P53" s="40">
        <v>26165.051623248699</v>
      </c>
      <c r="Q53" s="40">
        <v>12446.494120294799</v>
      </c>
      <c r="R53" s="40">
        <v>97095</v>
      </c>
      <c r="S53" s="40">
        <v>14803.878354807901</v>
      </c>
      <c r="T53" s="40"/>
      <c r="U53" s="40">
        <v>549904.53215551702</v>
      </c>
      <c r="V53" s="40">
        <v>0</v>
      </c>
      <c r="W53" s="45">
        <v>799141.30394418503</v>
      </c>
      <c r="X53" s="46">
        <v>12.6560879661124</v>
      </c>
    </row>
    <row r="54" spans="1:24" s="4" customFormat="1" ht="15" customHeight="1">
      <c r="A54" s="28" t="s">
        <v>1603</v>
      </c>
      <c r="B54" s="29">
        <v>3149.63</v>
      </c>
      <c r="C54" s="30" t="s">
        <v>2063</v>
      </c>
      <c r="D54" s="2">
        <v>4949383323</v>
      </c>
      <c r="E54" s="2" t="s">
        <v>38</v>
      </c>
      <c r="F54" s="2" t="s">
        <v>2064</v>
      </c>
      <c r="G54" s="28" t="s">
        <v>5</v>
      </c>
      <c r="H54" s="2" t="s">
        <v>20</v>
      </c>
      <c r="I54" s="2">
        <v>3</v>
      </c>
      <c r="J54" s="2" t="s">
        <v>2065</v>
      </c>
      <c r="K54" s="2">
        <v>10613.4</v>
      </c>
      <c r="L54" s="35">
        <v>33428283.041999999</v>
      </c>
      <c r="M54" s="36">
        <v>7980</v>
      </c>
      <c r="N54" s="40">
        <v>310273.06813706202</v>
      </c>
      <c r="O54" s="40">
        <v>220256.39621898401</v>
      </c>
      <c r="P54" s="40">
        <v>140604.11579362</v>
      </c>
      <c r="Q54" s="40">
        <v>66884.190626230804</v>
      </c>
      <c r="R54" s="40">
        <v>521769</v>
      </c>
      <c r="S54" s="40">
        <v>79552.154391492702</v>
      </c>
      <c r="T54" s="40"/>
      <c r="U54" s="40">
        <v>2955042.5364316702</v>
      </c>
      <c r="V54" s="40">
        <v>0</v>
      </c>
      <c r="W54" s="45">
        <v>4294381.4615990603</v>
      </c>
      <c r="X54" s="46">
        <v>12.846551096278301</v>
      </c>
    </row>
    <row r="55" spans="1:24" s="4" customFormat="1" ht="15" customHeight="1">
      <c r="A55" s="28" t="s">
        <v>1603</v>
      </c>
      <c r="B55" s="29">
        <v>3149.63</v>
      </c>
      <c r="C55" s="30" t="s">
        <v>2063</v>
      </c>
      <c r="D55" s="2">
        <v>4949590758</v>
      </c>
      <c r="E55" s="2" t="s">
        <v>38</v>
      </c>
      <c r="F55" s="2" t="s">
        <v>2064</v>
      </c>
      <c r="G55" s="28" t="s">
        <v>5</v>
      </c>
      <c r="H55" s="2" t="s">
        <v>20</v>
      </c>
      <c r="I55" s="2">
        <v>3</v>
      </c>
      <c r="J55" s="2" t="s">
        <v>2065</v>
      </c>
      <c r="K55" s="2">
        <v>49.32</v>
      </c>
      <c r="L55" s="35">
        <v>155339.75159999999</v>
      </c>
      <c r="M55" s="36">
        <v>36</v>
      </c>
      <c r="N55" s="40">
        <v>1399.7281269341099</v>
      </c>
      <c r="O55" s="40">
        <v>993.63787767962594</v>
      </c>
      <c r="P55" s="40">
        <v>634.30428177572696</v>
      </c>
      <c r="Q55" s="40">
        <v>301.73319079502602</v>
      </c>
      <c r="R55" s="40">
        <v>2354</v>
      </c>
      <c r="S55" s="40">
        <v>358.88189951049299</v>
      </c>
      <c r="T55" s="40"/>
      <c r="U55" s="40">
        <v>13331.018961345901</v>
      </c>
      <c r="V55" s="40">
        <v>0</v>
      </c>
      <c r="W55" s="45">
        <v>19373.3043380409</v>
      </c>
      <c r="X55" s="46">
        <v>12.4715690211268</v>
      </c>
    </row>
    <row r="56" spans="1:24" s="4" customFormat="1" ht="15" customHeight="1">
      <c r="A56" s="28" t="s">
        <v>1603</v>
      </c>
      <c r="B56" s="29">
        <v>3149.63</v>
      </c>
      <c r="C56" s="30" t="s">
        <v>2063</v>
      </c>
      <c r="D56" s="2">
        <v>4949590751</v>
      </c>
      <c r="E56" s="2" t="s">
        <v>38</v>
      </c>
      <c r="F56" s="2" t="s">
        <v>2064</v>
      </c>
      <c r="G56" s="28" t="s">
        <v>5</v>
      </c>
      <c r="H56" s="2" t="s">
        <v>20</v>
      </c>
      <c r="I56" s="2">
        <v>3</v>
      </c>
      <c r="J56" s="2" t="s">
        <v>2065</v>
      </c>
      <c r="K56" s="2">
        <v>607.20000000000005</v>
      </c>
      <c r="L56" s="35">
        <v>1912455.3359999999</v>
      </c>
      <c r="M56" s="36">
        <v>440</v>
      </c>
      <c r="N56" s="40">
        <v>17107.788218083599</v>
      </c>
      <c r="O56" s="40">
        <v>12144.462949417701</v>
      </c>
      <c r="P56" s="40">
        <v>7752.6078883700002</v>
      </c>
      <c r="Q56" s="40">
        <v>3687.8501097169901</v>
      </c>
      <c r="R56" s="40">
        <v>28769</v>
      </c>
      <c r="S56" s="40">
        <v>4386.3343273504797</v>
      </c>
      <c r="T56" s="40"/>
      <c r="U56" s="40">
        <v>162934.67619422701</v>
      </c>
      <c r="V56" s="40">
        <v>0</v>
      </c>
      <c r="W56" s="45">
        <v>236782.71968716601</v>
      </c>
      <c r="X56" s="46">
        <v>12.3810849450952</v>
      </c>
    </row>
    <row r="57" spans="1:24" s="4" customFormat="1" ht="15" customHeight="1">
      <c r="A57" s="28" t="s">
        <v>1603</v>
      </c>
      <c r="B57" s="29">
        <v>3149.63</v>
      </c>
      <c r="C57" s="30" t="s">
        <v>2063</v>
      </c>
      <c r="D57" s="2">
        <v>4949590756</v>
      </c>
      <c r="E57" s="2" t="s">
        <v>38</v>
      </c>
      <c r="F57" s="2" t="s">
        <v>2064</v>
      </c>
      <c r="G57" s="28" t="s">
        <v>5</v>
      </c>
      <c r="H57" s="2" t="s">
        <v>20</v>
      </c>
      <c r="I57" s="2">
        <v>3</v>
      </c>
      <c r="J57" s="2" t="s">
        <v>2065</v>
      </c>
      <c r="K57" s="2">
        <v>146.30000000000001</v>
      </c>
      <c r="L57" s="35">
        <v>460790.86900000001</v>
      </c>
      <c r="M57" s="36">
        <v>110</v>
      </c>
      <c r="N57" s="40">
        <v>4276.9470545208997</v>
      </c>
      <c r="O57" s="40">
        <v>3036.1157373544102</v>
      </c>
      <c r="P57" s="40">
        <v>1938.1519720925</v>
      </c>
      <c r="Q57" s="40">
        <v>921.96252742924696</v>
      </c>
      <c r="R57" s="40">
        <v>7192</v>
      </c>
      <c r="S57" s="40">
        <v>1096.5835818376199</v>
      </c>
      <c r="T57" s="40"/>
      <c r="U57" s="40">
        <v>40733.669048556803</v>
      </c>
      <c r="V57" s="40">
        <v>0</v>
      </c>
      <c r="W57" s="45">
        <v>59195.429921791503</v>
      </c>
      <c r="X57" s="46">
        <v>12.846485011792099</v>
      </c>
    </row>
    <row r="58" spans="1:24" s="4" customFormat="1" ht="15" customHeight="1">
      <c r="A58" s="28" t="s">
        <v>1603</v>
      </c>
      <c r="B58" s="29">
        <v>3149.63</v>
      </c>
      <c r="C58" s="30" t="s">
        <v>2063</v>
      </c>
      <c r="D58" s="2">
        <v>4949588791</v>
      </c>
      <c r="E58" s="2" t="s">
        <v>38</v>
      </c>
      <c r="F58" s="2" t="s">
        <v>2064</v>
      </c>
      <c r="G58" s="28" t="s">
        <v>5</v>
      </c>
      <c r="H58" s="2" t="s">
        <v>20</v>
      </c>
      <c r="I58" s="2">
        <v>3</v>
      </c>
      <c r="J58" s="2" t="s">
        <v>2065</v>
      </c>
      <c r="K58" s="2">
        <v>1101.5999999999999</v>
      </c>
      <c r="L58" s="35">
        <v>3469632.4079999998</v>
      </c>
      <c r="M58" s="36">
        <v>816</v>
      </c>
      <c r="N58" s="40">
        <v>31727.170877173201</v>
      </c>
      <c r="O58" s="40">
        <v>22522.4585607382</v>
      </c>
      <c r="P58" s="40">
        <v>14377.5637202498</v>
      </c>
      <c r="Q58" s="40">
        <v>6839.2856580205898</v>
      </c>
      <c r="R58" s="40">
        <v>53958</v>
      </c>
      <c r="S58" s="40">
        <v>8134.6563889045201</v>
      </c>
      <c r="T58" s="40"/>
      <c r="U58" s="40">
        <v>302169.76312383998</v>
      </c>
      <c r="V58" s="40">
        <v>0</v>
      </c>
      <c r="W58" s="45">
        <v>439728.89832892601</v>
      </c>
      <c r="X58" s="46">
        <v>12.673645119149599</v>
      </c>
    </row>
    <row r="59" spans="1:24" s="4" customFormat="1" ht="15" customHeight="1">
      <c r="A59" s="28" t="s">
        <v>1603</v>
      </c>
      <c r="B59" s="29">
        <v>3149.63</v>
      </c>
      <c r="C59" s="30" t="s">
        <v>2063</v>
      </c>
      <c r="D59" s="2">
        <v>4949383329</v>
      </c>
      <c r="E59" s="2" t="s">
        <v>38</v>
      </c>
      <c r="F59" s="2" t="s">
        <v>2064</v>
      </c>
      <c r="G59" s="28" t="s">
        <v>5</v>
      </c>
      <c r="H59" s="2" t="s">
        <v>20</v>
      </c>
      <c r="I59" s="2">
        <v>3</v>
      </c>
      <c r="J59" s="2" t="s">
        <v>2065</v>
      </c>
      <c r="K59" s="2">
        <v>896.28</v>
      </c>
      <c r="L59" s="35">
        <v>2822950.3764</v>
      </c>
      <c r="M59" s="36">
        <v>679</v>
      </c>
      <c r="N59" s="40">
        <v>26400.427727451799</v>
      </c>
      <c r="O59" s="40">
        <v>18741.114415124099</v>
      </c>
      <c r="P59" s="40">
        <v>11963.6835368255</v>
      </c>
      <c r="Q59" s="40">
        <v>5691.0232374950801</v>
      </c>
      <c r="R59" s="40">
        <v>44396</v>
      </c>
      <c r="S59" s="40">
        <v>6768.9113824340302</v>
      </c>
      <c r="T59" s="40"/>
      <c r="U59" s="40">
        <v>251437.829854273</v>
      </c>
      <c r="V59" s="40">
        <v>0</v>
      </c>
      <c r="W59" s="45">
        <v>365398.99015360302</v>
      </c>
      <c r="X59" s="46">
        <v>12.943868698803801</v>
      </c>
    </row>
    <row r="60" spans="1:24" s="4" customFormat="1" ht="15" customHeight="1">
      <c r="A60" s="28" t="s">
        <v>1603</v>
      </c>
      <c r="B60" s="29">
        <v>3149.63</v>
      </c>
      <c r="C60" s="30" t="s">
        <v>2111</v>
      </c>
      <c r="D60" s="2">
        <v>4949569779</v>
      </c>
      <c r="E60" s="2" t="s">
        <v>38</v>
      </c>
      <c r="F60" s="2" t="s">
        <v>2112</v>
      </c>
      <c r="G60" s="28" t="s">
        <v>5</v>
      </c>
      <c r="H60" s="2" t="s">
        <v>17</v>
      </c>
      <c r="I60" s="2">
        <v>1</v>
      </c>
      <c r="J60" s="2" t="s">
        <v>2113</v>
      </c>
      <c r="K60" s="2">
        <v>1350</v>
      </c>
      <c r="L60" s="35">
        <v>4252000.5</v>
      </c>
      <c r="M60" s="36">
        <v>1000</v>
      </c>
      <c r="N60" s="40">
        <v>26114.988558352401</v>
      </c>
      <c r="O60" s="40">
        <v>35063.092513893404</v>
      </c>
      <c r="P60" s="40">
        <v>0</v>
      </c>
      <c r="Q60" s="40">
        <v>8116.1327231121304</v>
      </c>
      <c r="R60" s="40">
        <v>236221</v>
      </c>
      <c r="S60" s="40">
        <v>111776.72441974501</v>
      </c>
      <c r="T60" s="40"/>
      <c r="U60" s="40">
        <v>445521.41222621797</v>
      </c>
      <c r="V60" s="40">
        <v>0</v>
      </c>
      <c r="W60" s="45">
        <v>862813.35044132103</v>
      </c>
      <c r="X60" s="46">
        <v>20.2919390635378</v>
      </c>
    </row>
    <row r="61" spans="1:24" s="4" customFormat="1" ht="15" customHeight="1">
      <c r="A61" s="28" t="s">
        <v>1603</v>
      </c>
      <c r="B61" s="29">
        <v>3149.63</v>
      </c>
      <c r="C61" s="30" t="s">
        <v>2111</v>
      </c>
      <c r="D61" s="2">
        <v>4949383318</v>
      </c>
      <c r="E61" s="2" t="s">
        <v>38</v>
      </c>
      <c r="F61" s="2" t="s">
        <v>2112</v>
      </c>
      <c r="G61" s="28" t="s">
        <v>5</v>
      </c>
      <c r="H61" s="2" t="s">
        <v>17</v>
      </c>
      <c r="I61" s="2">
        <v>1</v>
      </c>
      <c r="J61" s="2" t="s">
        <v>2113</v>
      </c>
      <c r="K61" s="2">
        <v>1458.01</v>
      </c>
      <c r="L61" s="35">
        <v>4592192.0362999998</v>
      </c>
      <c r="M61" s="36">
        <v>1080</v>
      </c>
      <c r="N61" s="40">
        <v>28204.187643020599</v>
      </c>
      <c r="O61" s="40">
        <v>37868.139915004896</v>
      </c>
      <c r="P61" s="40">
        <v>0</v>
      </c>
      <c r="Q61" s="40">
        <v>8765.4233409611006</v>
      </c>
      <c r="R61" s="40">
        <v>255119</v>
      </c>
      <c r="S61" s="40">
        <v>120718.862373325</v>
      </c>
      <c r="T61" s="40"/>
      <c r="U61" s="40">
        <v>481163.125204315</v>
      </c>
      <c r="V61" s="40">
        <v>0</v>
      </c>
      <c r="W61" s="45">
        <v>931838.73847662704</v>
      </c>
      <c r="X61" s="46">
        <v>20.2918068563052</v>
      </c>
    </row>
    <row r="62" spans="1:24" s="4" customFormat="1" ht="15" customHeight="1">
      <c r="A62" s="28" t="s">
        <v>1603</v>
      </c>
      <c r="B62" s="29">
        <v>3149.63</v>
      </c>
      <c r="C62" s="30" t="s">
        <v>2111</v>
      </c>
      <c r="D62" s="2">
        <v>4949383316</v>
      </c>
      <c r="E62" s="2" t="s">
        <v>38</v>
      </c>
      <c r="F62" s="2" t="s">
        <v>2112</v>
      </c>
      <c r="G62" s="28" t="s">
        <v>5</v>
      </c>
      <c r="H62" s="2" t="s">
        <v>17</v>
      </c>
      <c r="I62" s="2">
        <v>1</v>
      </c>
      <c r="J62" s="2" t="s">
        <v>2113</v>
      </c>
      <c r="K62" s="2">
        <v>1214.4000000000001</v>
      </c>
      <c r="L62" s="35">
        <v>3824910.6719999998</v>
      </c>
      <c r="M62" s="36">
        <v>920</v>
      </c>
      <c r="N62" s="40">
        <v>24025.789473684199</v>
      </c>
      <c r="O62" s="40">
        <v>32258.045112782002</v>
      </c>
      <c r="P62" s="40">
        <v>0</v>
      </c>
      <c r="Q62" s="40">
        <v>7466.8421052631602</v>
      </c>
      <c r="R62" s="40">
        <v>217324</v>
      </c>
      <c r="S62" s="40">
        <v>102834.586466165</v>
      </c>
      <c r="T62" s="40"/>
      <c r="U62" s="40">
        <v>409879.69924812001</v>
      </c>
      <c r="V62" s="40">
        <v>0</v>
      </c>
      <c r="W62" s="45">
        <v>793788.96240601398</v>
      </c>
      <c r="X62" s="46">
        <v>20.753137274992898</v>
      </c>
    </row>
    <row r="63" spans="1:24" s="4" customFormat="1" ht="15" customHeight="1">
      <c r="A63" s="28" t="s">
        <v>1603</v>
      </c>
      <c r="B63" s="29">
        <v>3149.63</v>
      </c>
      <c r="C63" s="30" t="s">
        <v>2111</v>
      </c>
      <c r="D63" s="2">
        <v>4949383334</v>
      </c>
      <c r="E63" s="2" t="s">
        <v>38</v>
      </c>
      <c r="F63" s="2" t="s">
        <v>2112</v>
      </c>
      <c r="G63" s="28" t="s">
        <v>5</v>
      </c>
      <c r="H63" s="2" t="s">
        <v>17</v>
      </c>
      <c r="I63" s="2">
        <v>1</v>
      </c>
      <c r="J63" s="2" t="s">
        <v>2113</v>
      </c>
      <c r="K63" s="2">
        <v>615.6</v>
      </c>
      <c r="L63" s="35">
        <v>1938912.2279999999</v>
      </c>
      <c r="M63" s="36">
        <v>456</v>
      </c>
      <c r="N63" s="40">
        <v>11908.4347826087</v>
      </c>
      <c r="O63" s="40">
        <v>15988.7701863354</v>
      </c>
      <c r="P63" s="40">
        <v>0</v>
      </c>
      <c r="Q63" s="40">
        <v>3700.95652173913</v>
      </c>
      <c r="R63" s="40">
        <v>107717</v>
      </c>
      <c r="S63" s="40">
        <v>50970.186335403698</v>
      </c>
      <c r="T63" s="40"/>
      <c r="U63" s="40">
        <v>203157.76397515499</v>
      </c>
      <c r="V63" s="40">
        <v>0</v>
      </c>
      <c r="W63" s="45">
        <v>393443.11180124199</v>
      </c>
      <c r="X63" s="46">
        <v>20.291950616407298</v>
      </c>
    </row>
    <row r="64" spans="1:24" s="4" customFormat="1" ht="15" customHeight="1">
      <c r="A64" s="28" t="s">
        <v>1603</v>
      </c>
      <c r="B64" s="29">
        <v>3149.63</v>
      </c>
      <c r="C64" s="30" t="s">
        <v>2111</v>
      </c>
      <c r="D64" s="2">
        <v>4949569789</v>
      </c>
      <c r="E64" s="2" t="s">
        <v>38</v>
      </c>
      <c r="F64" s="2" t="s">
        <v>2112</v>
      </c>
      <c r="G64" s="28" t="s">
        <v>5</v>
      </c>
      <c r="H64" s="2" t="s">
        <v>17</v>
      </c>
      <c r="I64" s="2">
        <v>1</v>
      </c>
      <c r="J64" s="2" t="s">
        <v>2113</v>
      </c>
      <c r="K64" s="2">
        <v>2622</v>
      </c>
      <c r="L64" s="35">
        <v>8258329.8600000003</v>
      </c>
      <c r="M64" s="36">
        <v>1900</v>
      </c>
      <c r="N64" s="40">
        <v>49618.478260869597</v>
      </c>
      <c r="O64" s="40">
        <v>66619.875776397501</v>
      </c>
      <c r="P64" s="40">
        <v>0</v>
      </c>
      <c r="Q64" s="40">
        <v>15420.652173913</v>
      </c>
      <c r="R64" s="40">
        <v>74057</v>
      </c>
      <c r="S64" s="40">
        <v>212375.77639751599</v>
      </c>
      <c r="T64" s="40"/>
      <c r="U64" s="40">
        <v>846490.68322981405</v>
      </c>
      <c r="V64" s="40">
        <v>0</v>
      </c>
      <c r="W64" s="45">
        <v>1264582.4658385101</v>
      </c>
      <c r="X64" s="46">
        <v>15.312811273907</v>
      </c>
    </row>
    <row r="65" spans="1:24" s="4" customFormat="1" ht="15" customHeight="1">
      <c r="A65" s="28" t="s">
        <v>1603</v>
      </c>
      <c r="B65" s="29">
        <v>3149.63</v>
      </c>
      <c r="C65" s="30" t="s">
        <v>2111</v>
      </c>
      <c r="D65" s="2">
        <v>4949569793</v>
      </c>
      <c r="E65" s="2" t="s">
        <v>38</v>
      </c>
      <c r="F65" s="2" t="s">
        <v>2112</v>
      </c>
      <c r="G65" s="28" t="s">
        <v>5</v>
      </c>
      <c r="H65" s="2" t="s">
        <v>17</v>
      </c>
      <c r="I65" s="2">
        <v>1</v>
      </c>
      <c r="J65" s="2" t="s">
        <v>2113</v>
      </c>
      <c r="K65" s="2">
        <v>607.20000000000005</v>
      </c>
      <c r="L65" s="35">
        <v>1912455.3359999999</v>
      </c>
      <c r="M65" s="36">
        <v>440</v>
      </c>
      <c r="N65" s="40">
        <v>11490.5949656751</v>
      </c>
      <c r="O65" s="40">
        <v>15427.7607061131</v>
      </c>
      <c r="P65" s="40">
        <v>0</v>
      </c>
      <c r="Q65" s="40">
        <v>3571.0983981693398</v>
      </c>
      <c r="R65" s="40">
        <v>103937</v>
      </c>
      <c r="S65" s="40">
        <v>49181.758744687802</v>
      </c>
      <c r="T65" s="40"/>
      <c r="U65" s="40">
        <v>196029.42137953601</v>
      </c>
      <c r="V65" s="40">
        <v>0</v>
      </c>
      <c r="W65" s="45">
        <v>379637.63419418101</v>
      </c>
      <c r="X65" s="46">
        <v>19.850797404148199</v>
      </c>
    </row>
    <row r="66" spans="1:24" s="4" customFormat="1" ht="15" customHeight="1">
      <c r="A66" s="28" t="s">
        <v>1603</v>
      </c>
      <c r="B66" s="29">
        <v>3149.63</v>
      </c>
      <c r="C66" s="30" t="s">
        <v>2111</v>
      </c>
      <c r="D66" s="2">
        <v>4949569794</v>
      </c>
      <c r="E66" s="2" t="s">
        <v>38</v>
      </c>
      <c r="F66" s="2" t="s">
        <v>2112</v>
      </c>
      <c r="G66" s="28" t="s">
        <v>5</v>
      </c>
      <c r="H66" s="2" t="s">
        <v>17</v>
      </c>
      <c r="I66" s="2">
        <v>1</v>
      </c>
      <c r="J66" s="2" t="s">
        <v>2113</v>
      </c>
      <c r="K66" s="2">
        <v>266</v>
      </c>
      <c r="L66" s="35">
        <v>837801.58</v>
      </c>
      <c r="M66" s="36">
        <v>200</v>
      </c>
      <c r="N66" s="40">
        <v>5222.9977116704804</v>
      </c>
      <c r="O66" s="40">
        <v>7012.6185027786896</v>
      </c>
      <c r="P66" s="40">
        <v>0</v>
      </c>
      <c r="Q66" s="40">
        <v>1623.2265446224301</v>
      </c>
      <c r="R66" s="40">
        <v>47244</v>
      </c>
      <c r="S66" s="40">
        <v>22355.344883949001</v>
      </c>
      <c r="T66" s="40"/>
      <c r="U66" s="40">
        <v>89104.282445243502</v>
      </c>
      <c r="V66" s="40">
        <v>0</v>
      </c>
      <c r="W66" s="45">
        <v>172562.470088264</v>
      </c>
      <c r="X66" s="46">
        <v>20.597057132342002</v>
      </c>
    </row>
    <row r="67" spans="1:24" s="4" customFormat="1" ht="15" customHeight="1">
      <c r="A67" s="28" t="s">
        <v>1603</v>
      </c>
      <c r="B67" s="29">
        <v>3149.63</v>
      </c>
      <c r="C67" s="30" t="s">
        <v>2111</v>
      </c>
      <c r="D67" s="2">
        <v>4949381300</v>
      </c>
      <c r="E67" s="2" t="s">
        <v>38</v>
      </c>
      <c r="F67" s="2" t="s">
        <v>2112</v>
      </c>
      <c r="G67" s="28" t="s">
        <v>5</v>
      </c>
      <c r="H67" s="2" t="s">
        <v>17</v>
      </c>
      <c r="I67" s="2">
        <v>1</v>
      </c>
      <c r="J67" s="2" t="s">
        <v>2113</v>
      </c>
      <c r="K67" s="2">
        <v>8361.6</v>
      </c>
      <c r="L67" s="35">
        <v>26335946.208000001</v>
      </c>
      <c r="M67" s="36">
        <v>6240</v>
      </c>
      <c r="N67" s="40">
        <v>162957.528604119</v>
      </c>
      <c r="O67" s="40">
        <v>218793.69728669501</v>
      </c>
      <c r="P67" s="40">
        <v>0</v>
      </c>
      <c r="Q67" s="40">
        <v>50644.668192219702</v>
      </c>
      <c r="R67" s="40">
        <v>1474020</v>
      </c>
      <c r="S67" s="40">
        <v>697486.76037920895</v>
      </c>
      <c r="T67" s="40"/>
      <c r="U67" s="40">
        <v>2780053.6122916001</v>
      </c>
      <c r="V67" s="40">
        <v>0</v>
      </c>
      <c r="W67" s="45">
        <v>5383956.2667538403</v>
      </c>
      <c r="X67" s="46">
        <v>20.4433750898169</v>
      </c>
    </row>
    <row r="69" spans="1:24" ht="15" customHeight="1">
      <c r="A69" s="31" t="s">
        <v>1603</v>
      </c>
      <c r="B69" s="31"/>
      <c r="C69" s="31"/>
      <c r="D69" s="31"/>
      <c r="E69" s="31"/>
      <c r="F69" s="32">
        <v>9</v>
      </c>
      <c r="G69" s="31"/>
      <c r="H69" s="31"/>
      <c r="I69" s="38"/>
      <c r="J69" s="31"/>
      <c r="K69" s="39">
        <f>+SUM(K40:K67)</f>
        <v>237932.08000000002</v>
      </c>
      <c r="L69" s="39">
        <f>+SUM(L40:L67)</f>
        <v>749398017.13039994</v>
      </c>
      <c r="M69" s="31"/>
      <c r="N69" s="39"/>
      <c r="O69" s="39"/>
      <c r="P69" s="39"/>
      <c r="Q69" s="39"/>
      <c r="R69" s="39"/>
      <c r="S69" s="39"/>
      <c r="T69" s="39"/>
      <c r="U69" s="39"/>
      <c r="V69" s="31"/>
      <c r="W69" s="39">
        <f>+SUM(W40:W67)</f>
        <v>68186172.739833429</v>
      </c>
      <c r="X69" s="47">
        <f>(W69/L69)*100</f>
        <v>9.0987927885014148</v>
      </c>
    </row>
    <row r="71" spans="1:24" s="4" customFormat="1" ht="15" customHeight="1">
      <c r="A71" s="28" t="s">
        <v>2168</v>
      </c>
      <c r="B71" s="29">
        <v>3271.01</v>
      </c>
      <c r="C71" s="30" t="s">
        <v>2255</v>
      </c>
      <c r="D71" s="2">
        <v>4950184119</v>
      </c>
      <c r="E71" s="2" t="s">
        <v>38</v>
      </c>
      <c r="F71" s="2" t="s">
        <v>2256</v>
      </c>
      <c r="G71" s="28" t="s">
        <v>5</v>
      </c>
      <c r="H71" s="2" t="s">
        <v>20</v>
      </c>
      <c r="I71" s="2">
        <v>1</v>
      </c>
      <c r="J71" s="2" t="s">
        <v>2257</v>
      </c>
      <c r="K71" s="2">
        <v>411</v>
      </c>
      <c r="L71" s="35">
        <v>1344385.11</v>
      </c>
      <c r="M71" s="36">
        <v>300</v>
      </c>
      <c r="N71" s="40">
        <v>458491.12234042602</v>
      </c>
      <c r="O71" s="40">
        <v>13056.582446808499</v>
      </c>
      <c r="P71" s="40">
        <v>0</v>
      </c>
      <c r="Q71" s="40">
        <v>13056.582446808499</v>
      </c>
      <c r="R71" s="40">
        <v>610588.978723404</v>
      </c>
      <c r="S71" s="40">
        <v>340219.45744680898</v>
      </c>
      <c r="T71" s="40"/>
      <c r="U71" s="40">
        <v>3362004.5212766002</v>
      </c>
      <c r="V71" s="40">
        <v>0</v>
      </c>
      <c r="W71" s="45">
        <v>4797417.2446808601</v>
      </c>
      <c r="X71" s="46">
        <v>356.84843643357902</v>
      </c>
    </row>
    <row r="72" spans="1:24" s="4" customFormat="1" ht="15" customHeight="1">
      <c r="A72" s="28" t="s">
        <v>2168</v>
      </c>
      <c r="B72" s="29">
        <v>3271.01</v>
      </c>
      <c r="C72" s="30" t="s">
        <v>2255</v>
      </c>
      <c r="D72" s="2">
        <v>4950183968</v>
      </c>
      <c r="E72" s="2" t="s">
        <v>38</v>
      </c>
      <c r="F72" s="2" t="s">
        <v>2256</v>
      </c>
      <c r="G72" s="28" t="s">
        <v>5</v>
      </c>
      <c r="H72" s="2" t="s">
        <v>20</v>
      </c>
      <c r="I72" s="2">
        <v>1</v>
      </c>
      <c r="J72" s="2" t="s">
        <v>2257</v>
      </c>
      <c r="K72" s="2">
        <v>9602.6</v>
      </c>
      <c r="L72" s="35">
        <v>31410200.625999998</v>
      </c>
      <c r="M72" s="36">
        <v>7220</v>
      </c>
      <c r="N72" s="40">
        <v>19050.8776595745</v>
      </c>
      <c r="O72" s="40">
        <v>314228.41755319102</v>
      </c>
      <c r="P72" s="40">
        <v>0</v>
      </c>
      <c r="Q72" s="40">
        <v>314228.41755319102</v>
      </c>
      <c r="R72" s="40">
        <v>25371.0212765957</v>
      </c>
      <c r="S72" s="40">
        <v>14136.542553191501</v>
      </c>
      <c r="T72" s="40"/>
      <c r="U72" s="40">
        <v>139695.478723404</v>
      </c>
      <c r="V72" s="40">
        <v>0</v>
      </c>
      <c r="W72" s="45">
        <v>826710.75531914795</v>
      </c>
      <c r="X72" s="46">
        <v>2.6319817729366299</v>
      </c>
    </row>
    <row r="73" spans="1:24" s="4" customFormat="1" ht="15" customHeight="1">
      <c r="A73" s="28" t="s">
        <v>2168</v>
      </c>
      <c r="B73" s="29">
        <v>3271.01</v>
      </c>
      <c r="C73" s="30" t="s">
        <v>2267</v>
      </c>
      <c r="D73" s="2">
        <v>4949591271</v>
      </c>
      <c r="E73" s="2" t="s">
        <v>38</v>
      </c>
      <c r="F73" s="2" t="s">
        <v>2268</v>
      </c>
      <c r="G73" s="28" t="s">
        <v>9</v>
      </c>
      <c r="H73" s="2" t="s">
        <v>23</v>
      </c>
      <c r="I73" s="2">
        <v>5</v>
      </c>
      <c r="J73" s="2"/>
      <c r="K73" s="2">
        <v>6520</v>
      </c>
      <c r="L73" s="35">
        <v>21326985.199999999</v>
      </c>
      <c r="M73" s="36">
        <v>2000</v>
      </c>
      <c r="N73" s="40">
        <v>1523451.5</v>
      </c>
      <c r="O73" s="48">
        <v>3582</v>
      </c>
      <c r="P73" s="40">
        <v>114236.5</v>
      </c>
      <c r="Q73" s="40">
        <v>57275.333333333299</v>
      </c>
      <c r="R73" s="40">
        <v>90217</v>
      </c>
      <c r="S73" s="40">
        <v>177178</v>
      </c>
      <c r="T73" s="40"/>
      <c r="U73" s="40">
        <v>1629160.5</v>
      </c>
      <c r="V73" s="40">
        <v>0</v>
      </c>
      <c r="W73" s="45">
        <v>3595100.8333333302</v>
      </c>
      <c r="X73" s="46">
        <v>16.8570512879304</v>
      </c>
    </row>
    <row r="74" spans="1:24" s="4" customFormat="1" ht="15" customHeight="1">
      <c r="A74" s="28" t="s">
        <v>2168</v>
      </c>
      <c r="B74" s="29">
        <v>3271.01</v>
      </c>
      <c r="C74" s="30" t="s">
        <v>2502</v>
      </c>
      <c r="D74" s="2">
        <v>4950280526</v>
      </c>
      <c r="E74" s="2" t="s">
        <v>38</v>
      </c>
      <c r="F74" s="2" t="s">
        <v>2503</v>
      </c>
      <c r="G74" s="28" t="s">
        <v>5</v>
      </c>
      <c r="H74" s="2" t="s">
        <v>17</v>
      </c>
      <c r="I74" s="2">
        <v>1</v>
      </c>
      <c r="J74" s="2" t="s">
        <v>2504</v>
      </c>
      <c r="K74" s="2">
        <v>21732.2</v>
      </c>
      <c r="L74" s="35">
        <v>71086243.522</v>
      </c>
      <c r="M74" s="36">
        <v>16340</v>
      </c>
      <c r="N74" s="40">
        <v>376819.50475285202</v>
      </c>
      <c r="O74" s="40">
        <v>338573.49809885898</v>
      </c>
      <c r="P74" s="40">
        <v>0</v>
      </c>
      <c r="Q74" s="40">
        <v>77124.955323193906</v>
      </c>
      <c r="R74" s="40">
        <v>581527.51425855502</v>
      </c>
      <c r="S74" s="40">
        <v>275198.52851710998</v>
      </c>
      <c r="T74" s="48"/>
      <c r="U74" s="40">
        <v>410829.847908745</v>
      </c>
      <c r="V74" s="40">
        <v>0</v>
      </c>
      <c r="W74" s="45">
        <v>2060073.8488593199</v>
      </c>
      <c r="X74" s="46">
        <v>2.8979922792259498</v>
      </c>
    </row>
    <row r="75" spans="1:24" s="4" customFormat="1" ht="15" customHeight="1">
      <c r="A75" s="28" t="s">
        <v>2168</v>
      </c>
      <c r="B75" s="29">
        <v>3271.01</v>
      </c>
      <c r="C75" s="30" t="s">
        <v>2502</v>
      </c>
      <c r="D75" s="2">
        <v>4950280531</v>
      </c>
      <c r="E75" s="2" t="s">
        <v>38</v>
      </c>
      <c r="F75" s="2" t="s">
        <v>2503</v>
      </c>
      <c r="G75" s="28" t="s">
        <v>5</v>
      </c>
      <c r="H75" s="2" t="s">
        <v>17</v>
      </c>
      <c r="I75" s="2">
        <v>1</v>
      </c>
      <c r="J75" s="2" t="s">
        <v>2504</v>
      </c>
      <c r="K75" s="2">
        <v>3780</v>
      </c>
      <c r="L75" s="35">
        <v>12364417.800000001</v>
      </c>
      <c r="M75" s="36">
        <v>2800</v>
      </c>
      <c r="N75" s="40">
        <v>64571.2737642586</v>
      </c>
      <c r="O75" s="40">
        <v>58017.490494296602</v>
      </c>
      <c r="P75" s="40">
        <v>0</v>
      </c>
      <c r="Q75" s="40">
        <v>13216.0266159696</v>
      </c>
      <c r="R75" s="40">
        <v>99649.821292775698</v>
      </c>
      <c r="S75" s="40">
        <v>47157.642585551301</v>
      </c>
      <c r="T75" s="48"/>
      <c r="U75" s="40">
        <v>70399.239543726202</v>
      </c>
      <c r="V75" s="40">
        <v>0</v>
      </c>
      <c r="W75" s="45">
        <v>353011.49429657799</v>
      </c>
      <c r="X75" s="46">
        <v>2.8550595750377998</v>
      </c>
    </row>
    <row r="76" spans="1:24" s="4" customFormat="1" ht="15" customHeight="1">
      <c r="A76" s="28" t="s">
        <v>2168</v>
      </c>
      <c r="B76" s="29">
        <v>3271.01</v>
      </c>
      <c r="C76" s="30" t="s">
        <v>2502</v>
      </c>
      <c r="D76" s="2">
        <v>4950280538</v>
      </c>
      <c r="E76" s="2" t="s">
        <v>38</v>
      </c>
      <c r="F76" s="2" t="s">
        <v>2503</v>
      </c>
      <c r="G76" s="28" t="s">
        <v>5</v>
      </c>
      <c r="H76" s="2" t="s">
        <v>17</v>
      </c>
      <c r="I76" s="2">
        <v>1</v>
      </c>
      <c r="J76" s="2" t="s">
        <v>2504</v>
      </c>
      <c r="K76" s="2">
        <v>2622</v>
      </c>
      <c r="L76" s="35">
        <v>8576588.2200000007</v>
      </c>
      <c r="M76" s="36">
        <v>1900</v>
      </c>
      <c r="N76" s="40">
        <v>43816.221482889698</v>
      </c>
      <c r="O76" s="40">
        <v>39369.011406844103</v>
      </c>
      <c r="P76" s="40">
        <v>0</v>
      </c>
      <c r="Q76" s="40">
        <v>8968.0180608365008</v>
      </c>
      <c r="R76" s="40">
        <v>67619.664448669195</v>
      </c>
      <c r="S76" s="40">
        <v>31999.828897338401</v>
      </c>
      <c r="T76" s="48"/>
      <c r="U76" s="40">
        <v>47770.912547528504</v>
      </c>
      <c r="V76" s="40">
        <v>0</v>
      </c>
      <c r="W76" s="45">
        <v>239543.65684410601</v>
      </c>
      <c r="X76" s="46">
        <v>2.7929947282009802</v>
      </c>
    </row>
    <row r="77" spans="1:24" s="4" customFormat="1" ht="15" customHeight="1">
      <c r="A77" s="28" t="s">
        <v>2168</v>
      </c>
      <c r="B77" s="29">
        <v>3271.01</v>
      </c>
      <c r="C77" s="30" t="s">
        <v>2520</v>
      </c>
      <c r="D77" s="2">
        <v>4950413073</v>
      </c>
      <c r="E77" s="2" t="s">
        <v>38</v>
      </c>
      <c r="F77" s="2" t="s">
        <v>2521</v>
      </c>
      <c r="G77" s="28" t="s">
        <v>5</v>
      </c>
      <c r="H77" s="2" t="s">
        <v>20</v>
      </c>
      <c r="I77" s="2">
        <v>4</v>
      </c>
      <c r="J77" s="2" t="s">
        <v>2522</v>
      </c>
      <c r="K77" s="2">
        <v>607.20000000000005</v>
      </c>
      <c r="L77" s="35">
        <v>1986157.2720000001</v>
      </c>
      <c r="M77" s="36">
        <v>440</v>
      </c>
      <c r="N77" s="40">
        <v>17089.136499169501</v>
      </c>
      <c r="O77" s="40">
        <v>11704.355726321301</v>
      </c>
      <c r="P77" s="40">
        <v>0</v>
      </c>
      <c r="Q77" s="40">
        <v>3497.7230793860399</v>
      </c>
      <c r="R77" s="40">
        <v>22624.936142962899</v>
      </c>
      <c r="S77" s="40">
        <v>3120.1424826399302</v>
      </c>
      <c r="T77" s="48"/>
      <c r="U77" s="40">
        <v>17948.330031418202</v>
      </c>
      <c r="V77" s="40">
        <v>0</v>
      </c>
      <c r="W77" s="45">
        <v>75984.623961897902</v>
      </c>
      <c r="X77" s="46">
        <v>3.8257103318602601</v>
      </c>
    </row>
    <row r="78" spans="1:24" s="4" customFormat="1" ht="15" customHeight="1">
      <c r="A78" s="28" t="s">
        <v>2168</v>
      </c>
      <c r="B78" s="29">
        <v>3271.01</v>
      </c>
      <c r="C78" s="30" t="s">
        <v>2520</v>
      </c>
      <c r="D78" s="2">
        <v>4950280536</v>
      </c>
      <c r="E78" s="2" t="s">
        <v>38</v>
      </c>
      <c r="F78" s="2" t="s">
        <v>2521</v>
      </c>
      <c r="G78" s="28" t="s">
        <v>5</v>
      </c>
      <c r="H78" s="2" t="s">
        <v>20</v>
      </c>
      <c r="I78" s="2">
        <v>4</v>
      </c>
      <c r="J78" s="2" t="s">
        <v>2522</v>
      </c>
      <c r="K78" s="2">
        <v>1020.6</v>
      </c>
      <c r="L78" s="35">
        <v>3338392.8059999999</v>
      </c>
      <c r="M78" s="36">
        <v>756</v>
      </c>
      <c r="N78" s="40">
        <v>29362.2436213004</v>
      </c>
      <c r="O78" s="40">
        <v>20110.211202497401</v>
      </c>
      <c r="P78" s="40">
        <v>0</v>
      </c>
      <c r="Q78" s="40">
        <v>6009.7242000360202</v>
      </c>
      <c r="R78" s="40">
        <v>38873.881191090797</v>
      </c>
      <c r="S78" s="40">
        <v>5360.9720838086096</v>
      </c>
      <c r="T78" s="48"/>
      <c r="U78" s="40">
        <v>30838.4943267095</v>
      </c>
      <c r="V78" s="40">
        <v>0</v>
      </c>
      <c r="W78" s="45">
        <v>130555.526625443</v>
      </c>
      <c r="X78" s="46">
        <v>3.9107299294079101</v>
      </c>
    </row>
    <row r="79" spans="1:24" s="4" customFormat="1" ht="15" customHeight="1">
      <c r="A79" s="28" t="s">
        <v>2168</v>
      </c>
      <c r="B79" s="29">
        <v>3271.01</v>
      </c>
      <c r="C79" s="30" t="s">
        <v>2520</v>
      </c>
      <c r="D79" s="2">
        <v>4950413074</v>
      </c>
      <c r="E79" s="2" t="s">
        <v>38</v>
      </c>
      <c r="F79" s="2" t="s">
        <v>2521</v>
      </c>
      <c r="G79" s="28" t="s">
        <v>5</v>
      </c>
      <c r="H79" s="2" t="s">
        <v>20</v>
      </c>
      <c r="I79" s="2">
        <v>4</v>
      </c>
      <c r="J79" s="2" t="s">
        <v>2522</v>
      </c>
      <c r="K79" s="2">
        <v>246.6</v>
      </c>
      <c r="L79" s="35">
        <v>806631.06599999999</v>
      </c>
      <c r="M79" s="36">
        <v>180</v>
      </c>
      <c r="N79" s="40">
        <v>6991.0103860238896</v>
      </c>
      <c r="O79" s="40">
        <v>4788.1455244041499</v>
      </c>
      <c r="P79" s="40">
        <v>0</v>
      </c>
      <c r="Q79" s="40">
        <v>1430.88671429429</v>
      </c>
      <c r="R79" s="40">
        <v>9256.0193312120991</v>
      </c>
      <c r="S79" s="40">
        <v>1276.4219247163401</v>
      </c>
      <c r="T79" s="48"/>
      <c r="U79" s="40">
        <v>7342.4986492165499</v>
      </c>
      <c r="V79" s="40">
        <v>0</v>
      </c>
      <c r="W79" s="45">
        <v>31084.982529867299</v>
      </c>
      <c r="X79" s="46">
        <v>3.8536803056711602</v>
      </c>
    </row>
    <row r="80" spans="1:24" s="4" customFormat="1" ht="15" customHeight="1">
      <c r="A80" s="28" t="s">
        <v>2168</v>
      </c>
      <c r="B80" s="29">
        <v>3271.01</v>
      </c>
      <c r="C80" s="30" t="s">
        <v>2520</v>
      </c>
      <c r="D80" s="2">
        <v>4950280533</v>
      </c>
      <c r="E80" s="2" t="s">
        <v>38</v>
      </c>
      <c r="F80" s="2" t="s">
        <v>2521</v>
      </c>
      <c r="G80" s="28" t="s">
        <v>5</v>
      </c>
      <c r="H80" s="2" t="s">
        <v>20</v>
      </c>
      <c r="I80" s="2">
        <v>4</v>
      </c>
      <c r="J80" s="2" t="s">
        <v>2522</v>
      </c>
      <c r="K80" s="2">
        <v>197.34</v>
      </c>
      <c r="L80" s="35">
        <v>645501.11340000003</v>
      </c>
      <c r="M80" s="36">
        <v>149.5</v>
      </c>
      <c r="N80" s="40">
        <v>5806.4225150587299</v>
      </c>
      <c r="O80" s="40">
        <v>3976.82086610234</v>
      </c>
      <c r="P80" s="40">
        <v>0</v>
      </c>
      <c r="Q80" s="40">
        <v>1188.43090992776</v>
      </c>
      <c r="R80" s="40">
        <v>7686.9771667567202</v>
      </c>
      <c r="S80" s="40">
        <v>1060.1393208060699</v>
      </c>
      <c r="T80" s="48"/>
      <c r="U80" s="40">
        <v>6098.3530447659596</v>
      </c>
      <c r="V80" s="40">
        <v>0</v>
      </c>
      <c r="W80" s="45">
        <v>25817.143823417598</v>
      </c>
      <c r="X80" s="46">
        <v>3.9995506262464602</v>
      </c>
    </row>
    <row r="81" spans="1:24" s="4" customFormat="1" ht="15" customHeight="1">
      <c r="A81" s="28" t="s">
        <v>2168</v>
      </c>
      <c r="B81" s="29">
        <v>3271.01</v>
      </c>
      <c r="C81" s="30" t="s">
        <v>2520</v>
      </c>
      <c r="D81" s="2">
        <v>4950280532</v>
      </c>
      <c r="E81" s="2" t="s">
        <v>38</v>
      </c>
      <c r="F81" s="2" t="s">
        <v>2521</v>
      </c>
      <c r="G81" s="28" t="s">
        <v>5</v>
      </c>
      <c r="H81" s="2" t="s">
        <v>20</v>
      </c>
      <c r="I81" s="2">
        <v>4</v>
      </c>
      <c r="J81" s="2" t="s">
        <v>2522</v>
      </c>
      <c r="K81" s="2">
        <v>2059.4299999999998</v>
      </c>
      <c r="L81" s="35">
        <v>6736416.1243000003</v>
      </c>
      <c r="M81" s="36">
        <v>1525.5</v>
      </c>
      <c r="N81" s="40">
        <v>59248.813021552502</v>
      </c>
      <c r="O81" s="40">
        <v>40579.533319325201</v>
      </c>
      <c r="P81" s="40">
        <v>0</v>
      </c>
      <c r="Q81" s="40">
        <v>12126.7649036441</v>
      </c>
      <c r="R81" s="40">
        <v>78441.813832022599</v>
      </c>
      <c r="S81" s="40">
        <v>10817.675811970899</v>
      </c>
      <c r="T81" s="48"/>
      <c r="U81" s="40">
        <v>62227.676052110197</v>
      </c>
      <c r="V81" s="40">
        <v>0</v>
      </c>
      <c r="W81" s="45">
        <v>263442.27694062598</v>
      </c>
      <c r="X81" s="46">
        <v>3.9107185791317298</v>
      </c>
    </row>
    <row r="82" spans="1:24" s="4" customFormat="1" ht="15" customHeight="1">
      <c r="A82" s="28" t="s">
        <v>2168</v>
      </c>
      <c r="B82" s="29">
        <v>3271.01</v>
      </c>
      <c r="C82" s="30" t="s">
        <v>2520</v>
      </c>
      <c r="D82" s="2">
        <v>4950280515</v>
      </c>
      <c r="E82" s="2" t="s">
        <v>38</v>
      </c>
      <c r="F82" s="2" t="s">
        <v>2521</v>
      </c>
      <c r="G82" s="28" t="s">
        <v>5</v>
      </c>
      <c r="H82" s="2" t="s">
        <v>20</v>
      </c>
      <c r="I82" s="2">
        <v>4</v>
      </c>
      <c r="J82" s="2" t="s">
        <v>2522</v>
      </c>
      <c r="K82" s="2">
        <v>42451</v>
      </c>
      <c r="L82" s="35">
        <v>138857645.50999999</v>
      </c>
      <c r="M82" s="36">
        <v>31680</v>
      </c>
      <c r="N82" s="40">
        <v>1230417.82794021</v>
      </c>
      <c r="O82" s="40">
        <v>842713.61229513097</v>
      </c>
      <c r="P82" s="40">
        <v>0</v>
      </c>
      <c r="Q82" s="40">
        <v>251836.06171579499</v>
      </c>
      <c r="R82" s="40">
        <v>1629001.4022933301</v>
      </c>
      <c r="S82" s="40">
        <v>224650.25875007501</v>
      </c>
      <c r="T82" s="48"/>
      <c r="U82" s="40">
        <v>1292279.7622621099</v>
      </c>
      <c r="V82" s="40">
        <v>0</v>
      </c>
      <c r="W82" s="45">
        <v>5470898.92525665</v>
      </c>
      <c r="X82" s="46">
        <v>3.9399335234030399</v>
      </c>
    </row>
    <row r="83" spans="1:24" s="4" customFormat="1" ht="15" customHeight="1">
      <c r="A83" s="28" t="s">
        <v>2168</v>
      </c>
      <c r="B83" s="29">
        <v>3271.01</v>
      </c>
      <c r="C83" s="30" t="s">
        <v>2520</v>
      </c>
      <c r="D83" s="2">
        <v>4950280528</v>
      </c>
      <c r="E83" s="2" t="s">
        <v>38</v>
      </c>
      <c r="F83" s="2" t="s">
        <v>2521</v>
      </c>
      <c r="G83" s="28" t="s">
        <v>5</v>
      </c>
      <c r="H83" s="2" t="s">
        <v>20</v>
      </c>
      <c r="I83" s="2">
        <v>4</v>
      </c>
      <c r="J83" s="2" t="s">
        <v>2522</v>
      </c>
      <c r="K83" s="2">
        <v>5184</v>
      </c>
      <c r="L83" s="35">
        <v>16956915.84</v>
      </c>
      <c r="M83" s="36">
        <v>3840</v>
      </c>
      <c r="N83" s="40">
        <v>149141.55490184299</v>
      </c>
      <c r="O83" s="40">
        <v>102147.104520622</v>
      </c>
      <c r="P83" s="40">
        <v>0</v>
      </c>
      <c r="Q83" s="40">
        <v>30525.583238278199</v>
      </c>
      <c r="R83" s="40">
        <v>197455.07906585801</v>
      </c>
      <c r="S83" s="40">
        <v>27230.334393948498</v>
      </c>
      <c r="T83" s="48"/>
      <c r="U83" s="40">
        <v>156639.97118328599</v>
      </c>
      <c r="V83" s="40">
        <v>0</v>
      </c>
      <c r="W83" s="45">
        <v>663139.62730383605</v>
      </c>
      <c r="X83" s="46">
        <v>3.91073255042962</v>
      </c>
    </row>
    <row r="84" spans="1:24" s="4" customFormat="1" ht="15" customHeight="1">
      <c r="A84" s="28" t="s">
        <v>2168</v>
      </c>
      <c r="B84" s="29">
        <v>3271.01</v>
      </c>
      <c r="C84" s="30" t="s">
        <v>2520</v>
      </c>
      <c r="D84" s="2">
        <v>4950280526</v>
      </c>
      <c r="E84" s="2" t="s">
        <v>38</v>
      </c>
      <c r="F84" s="2" t="s">
        <v>2521</v>
      </c>
      <c r="G84" s="28" t="s">
        <v>5</v>
      </c>
      <c r="H84" s="2" t="s">
        <v>20</v>
      </c>
      <c r="I84" s="2">
        <v>4</v>
      </c>
      <c r="J84" s="2" t="s">
        <v>2522</v>
      </c>
      <c r="K84" s="2">
        <v>15162</v>
      </c>
      <c r="L84" s="35">
        <v>49595053.619999997</v>
      </c>
      <c r="M84" s="36">
        <v>11400</v>
      </c>
      <c r="N84" s="40">
        <v>442763.99111484701</v>
      </c>
      <c r="O84" s="40">
        <v>303249.21654559602</v>
      </c>
      <c r="P84" s="40">
        <v>0</v>
      </c>
      <c r="Q84" s="40">
        <v>90622.825238638397</v>
      </c>
      <c r="R84" s="40">
        <v>586193.89097676706</v>
      </c>
      <c r="S84" s="40">
        <v>80840.055232034603</v>
      </c>
      <c r="T84" s="48"/>
      <c r="U84" s="40">
        <v>465024.91445038101</v>
      </c>
      <c r="V84" s="40">
        <v>0</v>
      </c>
      <c r="W84" s="45">
        <v>1968694.8935582601</v>
      </c>
      <c r="X84" s="46">
        <v>3.9695387944179101</v>
      </c>
    </row>
    <row r="85" spans="1:24" s="4" customFormat="1" ht="15" customHeight="1">
      <c r="A85" s="28" t="s">
        <v>2168</v>
      </c>
      <c r="B85" s="29">
        <v>3271.01</v>
      </c>
      <c r="C85" s="30" t="s">
        <v>2535</v>
      </c>
      <c r="D85" s="2">
        <v>4950035124</v>
      </c>
      <c r="E85" s="2" t="s">
        <v>38</v>
      </c>
      <c r="F85" s="2" t="s">
        <v>2536</v>
      </c>
      <c r="G85" s="28" t="s">
        <v>5</v>
      </c>
      <c r="H85" s="2" t="s">
        <v>17</v>
      </c>
      <c r="I85" s="2">
        <v>1</v>
      </c>
      <c r="J85" s="2" t="s">
        <v>2537</v>
      </c>
      <c r="K85" s="2">
        <v>3760</v>
      </c>
      <c r="L85" s="35">
        <v>12298997.6</v>
      </c>
      <c r="M85" s="36">
        <v>1000</v>
      </c>
      <c r="N85" s="40">
        <v>19996.964285714301</v>
      </c>
      <c r="O85" s="40">
        <v>25950</v>
      </c>
      <c r="P85" s="40">
        <v>50159.047619047597</v>
      </c>
      <c r="Q85" s="40">
        <v>5911.25</v>
      </c>
      <c r="R85" s="40">
        <v>72619.559523809497</v>
      </c>
      <c r="S85" s="40">
        <v>21092.619047618999</v>
      </c>
      <c r="T85" s="48"/>
      <c r="U85" s="40">
        <v>324199.40476190503</v>
      </c>
      <c r="V85" s="40">
        <v>80654.761904761894</v>
      </c>
      <c r="W85" s="45">
        <v>600583.60714285704</v>
      </c>
      <c r="X85" s="46">
        <v>4.8831915142650102</v>
      </c>
    </row>
    <row r="87" spans="1:24" ht="15" customHeight="1">
      <c r="A87" s="31" t="s">
        <v>2168</v>
      </c>
      <c r="B87" s="31"/>
      <c r="C87" s="31"/>
      <c r="D87" s="31"/>
      <c r="E87" s="31"/>
      <c r="F87" s="32">
        <v>5</v>
      </c>
      <c r="G87" s="31"/>
      <c r="H87" s="31"/>
      <c r="I87" s="38"/>
      <c r="J87" s="31"/>
      <c r="K87" s="39">
        <f>+SUM(K71:K85)</f>
        <v>115355.97</v>
      </c>
      <c r="L87" s="39">
        <f>+SUM(L71:L85)</f>
        <v>377330531.42970008</v>
      </c>
      <c r="M87" s="31"/>
      <c r="N87" s="39"/>
      <c r="O87" s="39"/>
      <c r="P87" s="39"/>
      <c r="Q87" s="39"/>
      <c r="R87" s="39"/>
      <c r="S87" s="39"/>
      <c r="T87" s="39"/>
      <c r="U87" s="39"/>
      <c r="V87" s="31"/>
      <c r="W87" s="39">
        <f>+SUM(W71:W85)</f>
        <v>21102059.440476198</v>
      </c>
      <c r="X87" s="47">
        <f>(W87/L87)*100</f>
        <v>5.5924601066658433</v>
      </c>
    </row>
    <row r="89" spans="1:24" s="4" customFormat="1" ht="15" customHeight="1">
      <c r="A89" s="28" t="s">
        <v>2682</v>
      </c>
      <c r="B89" s="29">
        <v>3278.81</v>
      </c>
      <c r="C89" s="30" t="s">
        <v>2812</v>
      </c>
      <c r="D89" s="2">
        <v>4949383322</v>
      </c>
      <c r="E89" s="2" t="s">
        <v>38</v>
      </c>
      <c r="F89" s="2" t="s">
        <v>2064</v>
      </c>
      <c r="G89" s="28" t="s">
        <v>5</v>
      </c>
      <c r="H89" s="2" t="s">
        <v>20</v>
      </c>
      <c r="I89" s="2">
        <v>3</v>
      </c>
      <c r="J89" s="2" t="s">
        <v>2065</v>
      </c>
      <c r="K89" s="2">
        <v>32160</v>
      </c>
      <c r="L89" s="35">
        <v>105446529.59999999</v>
      </c>
      <c r="M89" s="36">
        <v>24000</v>
      </c>
      <c r="N89" s="40">
        <v>933152.08462274203</v>
      </c>
      <c r="O89" s="40">
        <v>668305.40707815206</v>
      </c>
      <c r="P89" s="40">
        <v>422869.521183818</v>
      </c>
      <c r="Q89" s="40">
        <v>201155.46053001701</v>
      </c>
      <c r="R89" s="40">
        <v>1569229.8574804501</v>
      </c>
      <c r="S89" s="40">
        <v>239254.59967366201</v>
      </c>
      <c r="T89" s="40"/>
      <c r="U89" s="40">
        <v>8887345.9742305707</v>
      </c>
      <c r="V89" s="40">
        <v>0</v>
      </c>
      <c r="W89" s="45">
        <v>12921312.9047994</v>
      </c>
      <c r="X89" s="46">
        <v>12.253900582423199</v>
      </c>
    </row>
    <row r="90" spans="1:24" s="4" customFormat="1" ht="15" customHeight="1">
      <c r="A90" s="28" t="s">
        <v>2682</v>
      </c>
      <c r="B90" s="29">
        <v>3278.81</v>
      </c>
      <c r="C90" s="30" t="s">
        <v>2812</v>
      </c>
      <c r="D90" s="2">
        <v>4949573808</v>
      </c>
      <c r="E90" s="2" t="s">
        <v>38</v>
      </c>
      <c r="F90" s="2" t="s">
        <v>2064</v>
      </c>
      <c r="G90" s="28" t="s">
        <v>5</v>
      </c>
      <c r="H90" s="2" t="s">
        <v>20</v>
      </c>
      <c r="I90" s="2">
        <v>3</v>
      </c>
      <c r="J90" s="2" t="s">
        <v>2065</v>
      </c>
      <c r="K90" s="2">
        <v>2004.77</v>
      </c>
      <c r="L90" s="35">
        <v>6573259.9237000002</v>
      </c>
      <c r="M90" s="36">
        <v>1485</v>
      </c>
      <c r="N90" s="40">
        <v>57738.785236032199</v>
      </c>
      <c r="O90" s="40">
        <v>41351.397062960699</v>
      </c>
      <c r="P90" s="40">
        <v>26165.051623248699</v>
      </c>
      <c r="Q90" s="40">
        <v>12446.494120294799</v>
      </c>
      <c r="R90" s="40">
        <v>97095</v>
      </c>
      <c r="S90" s="40">
        <v>14803.878354807901</v>
      </c>
      <c r="T90" s="40"/>
      <c r="U90" s="40">
        <v>549904.53215551702</v>
      </c>
      <c r="V90" s="40">
        <v>0</v>
      </c>
      <c r="W90" s="45">
        <v>799505.13855286106</v>
      </c>
      <c r="X90" s="46">
        <v>12.1629929111769</v>
      </c>
    </row>
    <row r="91" spans="1:24" s="4" customFormat="1" ht="15" customHeight="1">
      <c r="A91" s="28" t="s">
        <v>2682</v>
      </c>
      <c r="B91" s="29">
        <v>3278.81</v>
      </c>
      <c r="C91" s="30" t="s">
        <v>2812</v>
      </c>
      <c r="D91" s="2">
        <v>4949383323</v>
      </c>
      <c r="E91" s="2" t="s">
        <v>38</v>
      </c>
      <c r="F91" s="2" t="s">
        <v>2064</v>
      </c>
      <c r="G91" s="28" t="s">
        <v>5</v>
      </c>
      <c r="H91" s="2" t="s">
        <v>20</v>
      </c>
      <c r="I91" s="2">
        <v>3</v>
      </c>
      <c r="J91" s="2" t="s">
        <v>2065</v>
      </c>
      <c r="K91" s="2">
        <v>10613.4</v>
      </c>
      <c r="L91" s="35">
        <v>34799322.053999998</v>
      </c>
      <c r="M91" s="36">
        <v>7980</v>
      </c>
      <c r="N91" s="40">
        <v>310273.06813706202</v>
      </c>
      <c r="O91" s="40">
        <v>222211.547853486</v>
      </c>
      <c r="P91" s="40">
        <v>140604.11579362</v>
      </c>
      <c r="Q91" s="40">
        <v>66884.190626230804</v>
      </c>
      <c r="R91" s="40">
        <v>521769</v>
      </c>
      <c r="S91" s="40">
        <v>79552.154391492702</v>
      </c>
      <c r="T91" s="40"/>
      <c r="U91" s="40">
        <v>2955042.5364316702</v>
      </c>
      <c r="V91" s="40">
        <v>0</v>
      </c>
      <c r="W91" s="45">
        <v>4296336.6132335598</v>
      </c>
      <c r="X91" s="46">
        <v>12.346035381283301</v>
      </c>
    </row>
    <row r="92" spans="1:24" s="4" customFormat="1" ht="15" customHeight="1">
      <c r="A92" s="28" t="s">
        <v>2682</v>
      </c>
      <c r="B92" s="29">
        <v>3278.81</v>
      </c>
      <c r="C92" s="30" t="s">
        <v>2812</v>
      </c>
      <c r="D92" s="2">
        <v>4949590758</v>
      </c>
      <c r="E92" s="2" t="s">
        <v>38</v>
      </c>
      <c r="F92" s="2" t="s">
        <v>2064</v>
      </c>
      <c r="G92" s="28" t="s">
        <v>5</v>
      </c>
      <c r="H92" s="2" t="s">
        <v>20</v>
      </c>
      <c r="I92" s="2">
        <v>3</v>
      </c>
      <c r="J92" s="2" t="s">
        <v>2065</v>
      </c>
      <c r="K92" s="2">
        <v>49.32</v>
      </c>
      <c r="L92" s="35">
        <v>161710.90919999999</v>
      </c>
      <c r="M92" s="36">
        <v>36</v>
      </c>
      <c r="N92" s="40">
        <v>1399.7281269341099</v>
      </c>
      <c r="O92" s="40">
        <v>1002.45811061723</v>
      </c>
      <c r="P92" s="40">
        <v>634.30428177572696</v>
      </c>
      <c r="Q92" s="40">
        <v>301.73319079502602</v>
      </c>
      <c r="R92" s="40">
        <v>2354</v>
      </c>
      <c r="S92" s="40">
        <v>358.88189951049299</v>
      </c>
      <c r="T92" s="40"/>
      <c r="U92" s="40">
        <v>13331.018961345901</v>
      </c>
      <c r="V92" s="40">
        <v>0</v>
      </c>
      <c r="W92" s="45">
        <v>19382.1245709785</v>
      </c>
      <c r="X92" s="46">
        <v>11.9856629752834</v>
      </c>
    </row>
    <row r="93" spans="1:24" s="4" customFormat="1" ht="15" customHeight="1">
      <c r="A93" s="28" t="s">
        <v>2682</v>
      </c>
      <c r="B93" s="29">
        <v>3278.81</v>
      </c>
      <c r="C93" s="30" t="s">
        <v>2812</v>
      </c>
      <c r="D93" s="2">
        <v>4949590751</v>
      </c>
      <c r="E93" s="2" t="s">
        <v>38</v>
      </c>
      <c r="F93" s="2" t="s">
        <v>2064</v>
      </c>
      <c r="G93" s="28" t="s">
        <v>5</v>
      </c>
      <c r="H93" s="2" t="s">
        <v>20</v>
      </c>
      <c r="I93" s="2">
        <v>3</v>
      </c>
      <c r="J93" s="2" t="s">
        <v>2065</v>
      </c>
      <c r="K93" s="2">
        <v>607.20000000000005</v>
      </c>
      <c r="L93" s="35">
        <v>1990893.432</v>
      </c>
      <c r="M93" s="36">
        <v>440</v>
      </c>
      <c r="N93" s="40">
        <v>17107.788218083599</v>
      </c>
      <c r="O93" s="40">
        <v>12252.265796432799</v>
      </c>
      <c r="P93" s="40">
        <v>7752.6078883700002</v>
      </c>
      <c r="Q93" s="40">
        <v>3687.8501097169901</v>
      </c>
      <c r="R93" s="40">
        <v>28769</v>
      </c>
      <c r="S93" s="40">
        <v>4386.3343273504797</v>
      </c>
      <c r="T93" s="40"/>
      <c r="U93" s="40">
        <v>162934.67619422701</v>
      </c>
      <c r="V93" s="40">
        <v>0</v>
      </c>
      <c r="W93" s="45">
        <v>236890.52253418099</v>
      </c>
      <c r="X93" s="46">
        <v>11.898704306649201</v>
      </c>
    </row>
    <row r="94" spans="1:24" s="4" customFormat="1" ht="15" customHeight="1">
      <c r="A94" s="28" t="s">
        <v>2682</v>
      </c>
      <c r="B94" s="29">
        <v>3278.81</v>
      </c>
      <c r="C94" s="30" t="s">
        <v>2812</v>
      </c>
      <c r="D94" s="2">
        <v>4949590756</v>
      </c>
      <c r="E94" s="2" t="s">
        <v>38</v>
      </c>
      <c r="F94" s="2" t="s">
        <v>2064</v>
      </c>
      <c r="G94" s="28" t="s">
        <v>5</v>
      </c>
      <c r="H94" s="2" t="s">
        <v>20</v>
      </c>
      <c r="I94" s="2">
        <v>3</v>
      </c>
      <c r="J94" s="2" t="s">
        <v>2065</v>
      </c>
      <c r="K94" s="2">
        <v>146.30000000000001</v>
      </c>
      <c r="L94" s="35">
        <v>479689.90299999999</v>
      </c>
      <c r="M94" s="36">
        <v>110</v>
      </c>
      <c r="N94" s="40">
        <v>4276.9470545208997</v>
      </c>
      <c r="O94" s="40">
        <v>3063.0664491081998</v>
      </c>
      <c r="P94" s="40">
        <v>1938.1519720925</v>
      </c>
      <c r="Q94" s="40">
        <v>921.96252742924696</v>
      </c>
      <c r="R94" s="40">
        <v>7192</v>
      </c>
      <c r="S94" s="40">
        <v>1096.5835818376199</v>
      </c>
      <c r="T94" s="40"/>
      <c r="U94" s="40">
        <v>40733.669048556803</v>
      </c>
      <c r="V94" s="40">
        <v>0</v>
      </c>
      <c r="W94" s="45">
        <v>59222.380633545297</v>
      </c>
      <c r="X94" s="46">
        <v>12.3459719004228</v>
      </c>
    </row>
    <row r="95" spans="1:24" s="4" customFormat="1" ht="15" customHeight="1">
      <c r="A95" s="28" t="s">
        <v>2682</v>
      </c>
      <c r="B95" s="29">
        <v>3278.81</v>
      </c>
      <c r="C95" s="30" t="s">
        <v>2812</v>
      </c>
      <c r="D95" s="2">
        <v>4949588791</v>
      </c>
      <c r="E95" s="2" t="s">
        <v>38</v>
      </c>
      <c r="F95" s="2" t="s">
        <v>2064</v>
      </c>
      <c r="G95" s="28" t="s">
        <v>5</v>
      </c>
      <c r="H95" s="2" t="s">
        <v>20</v>
      </c>
      <c r="I95" s="2">
        <v>3</v>
      </c>
      <c r="J95" s="2" t="s">
        <v>2065</v>
      </c>
      <c r="K95" s="2">
        <v>1101.5999999999999</v>
      </c>
      <c r="L95" s="35">
        <v>3611937.0959999999</v>
      </c>
      <c r="M95" s="36">
        <v>816</v>
      </c>
      <c r="N95" s="40">
        <v>31727.170877173201</v>
      </c>
      <c r="O95" s="40">
        <v>22722.383840657199</v>
      </c>
      <c r="P95" s="40">
        <v>14377.5637202498</v>
      </c>
      <c r="Q95" s="40">
        <v>6839.2856580205898</v>
      </c>
      <c r="R95" s="40">
        <v>53958</v>
      </c>
      <c r="S95" s="40">
        <v>8134.6563889045201</v>
      </c>
      <c r="T95" s="40"/>
      <c r="U95" s="40">
        <v>302169.76312383998</v>
      </c>
      <c r="V95" s="40">
        <v>0</v>
      </c>
      <c r="W95" s="45">
        <v>439928.82360884501</v>
      </c>
      <c r="X95" s="46">
        <v>12.1798583949881</v>
      </c>
    </row>
    <row r="96" spans="1:24" s="4" customFormat="1" ht="15" customHeight="1">
      <c r="A96" s="28" t="s">
        <v>2682</v>
      </c>
      <c r="B96" s="29">
        <v>3278.81</v>
      </c>
      <c r="C96" s="30" t="s">
        <v>2812</v>
      </c>
      <c r="D96" s="2">
        <v>4949383329</v>
      </c>
      <c r="E96" s="2" t="s">
        <v>38</v>
      </c>
      <c r="F96" s="2" t="s">
        <v>2064</v>
      </c>
      <c r="G96" s="28" t="s">
        <v>5</v>
      </c>
      <c r="H96" s="2" t="s">
        <v>20</v>
      </c>
      <c r="I96" s="2">
        <v>3</v>
      </c>
      <c r="J96" s="2" t="s">
        <v>2065</v>
      </c>
      <c r="K96" s="2">
        <v>896.28</v>
      </c>
      <c r="L96" s="35">
        <v>2938731.8267999999</v>
      </c>
      <c r="M96" s="36">
        <v>679</v>
      </c>
      <c r="N96" s="40">
        <v>26400.427727451799</v>
      </c>
      <c r="O96" s="40">
        <v>18907.473808586099</v>
      </c>
      <c r="P96" s="40">
        <v>11963.6835368255</v>
      </c>
      <c r="Q96" s="40">
        <v>5691.0232374950801</v>
      </c>
      <c r="R96" s="40">
        <v>44396</v>
      </c>
      <c r="S96" s="40">
        <v>6768.9113824340302</v>
      </c>
      <c r="T96" s="40"/>
      <c r="U96" s="40">
        <v>251437.829854273</v>
      </c>
      <c r="V96" s="40">
        <v>0</v>
      </c>
      <c r="W96" s="45">
        <v>365565.34954706603</v>
      </c>
      <c r="X96" s="46">
        <v>12.4395613853998</v>
      </c>
    </row>
    <row r="97" spans="1:24" s="4" customFormat="1" ht="15" customHeight="1">
      <c r="A97" s="28" t="s">
        <v>2682</v>
      </c>
      <c r="B97" s="29">
        <v>3278.81</v>
      </c>
      <c r="C97" s="30" t="s">
        <v>2834</v>
      </c>
      <c r="D97" s="2">
        <v>4950413075</v>
      </c>
      <c r="E97" s="2" t="s">
        <v>38</v>
      </c>
      <c r="F97" s="2" t="s">
        <v>2835</v>
      </c>
      <c r="G97" s="28" t="s">
        <v>5</v>
      </c>
      <c r="H97" s="2" t="s">
        <v>20</v>
      </c>
      <c r="I97" s="2">
        <v>1</v>
      </c>
      <c r="J97" s="2" t="s">
        <v>2836</v>
      </c>
      <c r="K97" s="2">
        <v>3760</v>
      </c>
      <c r="L97" s="35">
        <v>12328325.6</v>
      </c>
      <c r="M97" s="36">
        <v>1000</v>
      </c>
      <c r="N97" s="40">
        <v>48650.284090909103</v>
      </c>
      <c r="O97" s="40">
        <v>46866.193181818198</v>
      </c>
      <c r="P97" s="40">
        <v>0</v>
      </c>
      <c r="Q97" s="40">
        <v>15625</v>
      </c>
      <c r="R97" s="40">
        <v>97205.806818181794</v>
      </c>
      <c r="S97" s="40">
        <v>50334.659090909103</v>
      </c>
      <c r="T97" s="40"/>
      <c r="U97" s="40">
        <v>604460.22727272694</v>
      </c>
      <c r="V97" s="40">
        <v>0</v>
      </c>
      <c r="W97" s="45">
        <v>863142.17045454495</v>
      </c>
      <c r="X97" s="46">
        <v>7.0012927826512401</v>
      </c>
    </row>
    <row r="98" spans="1:24" s="4" customFormat="1" ht="15" customHeight="1">
      <c r="A98" s="28" t="s">
        <v>2682</v>
      </c>
      <c r="B98" s="29">
        <v>3278.81</v>
      </c>
      <c r="C98" s="30" t="s">
        <v>2926</v>
      </c>
      <c r="D98" s="2">
        <v>4950182139</v>
      </c>
      <c r="E98" s="2" t="s">
        <v>38</v>
      </c>
      <c r="F98" s="2" t="s">
        <v>2927</v>
      </c>
      <c r="G98" s="28" t="s">
        <v>9</v>
      </c>
      <c r="H98" s="2" t="s">
        <v>23</v>
      </c>
      <c r="I98" s="2">
        <v>2</v>
      </c>
      <c r="J98" s="2"/>
      <c r="K98" s="2">
        <v>831.6</v>
      </c>
      <c r="L98" s="35">
        <v>2726658.3960000002</v>
      </c>
      <c r="M98" s="36">
        <v>440</v>
      </c>
      <c r="N98" s="40">
        <v>141263.5</v>
      </c>
      <c r="O98" s="40">
        <v>664.5</v>
      </c>
      <c r="P98" s="40">
        <v>34417.5</v>
      </c>
      <c r="Q98" s="40">
        <v>7866.75</v>
      </c>
      <c r="R98" s="40">
        <v>29846.25</v>
      </c>
      <c r="S98" s="40">
        <v>88589</v>
      </c>
      <c r="T98" s="40"/>
      <c r="U98" s="40">
        <v>341925</v>
      </c>
      <c r="V98" s="40">
        <v>0</v>
      </c>
      <c r="W98" s="45">
        <v>644572.5</v>
      </c>
      <c r="X98" s="46">
        <v>23.639649944620299</v>
      </c>
    </row>
    <row r="99" spans="1:24" s="4" customFormat="1" ht="15" customHeight="1">
      <c r="A99" s="28" t="s">
        <v>2682</v>
      </c>
      <c r="B99" s="29">
        <v>3278.81</v>
      </c>
      <c r="C99" s="30" t="s">
        <v>2926</v>
      </c>
      <c r="D99" s="2">
        <v>4950182134</v>
      </c>
      <c r="E99" s="2" t="s">
        <v>38</v>
      </c>
      <c r="F99" s="2" t="s">
        <v>2927</v>
      </c>
      <c r="G99" s="28" t="s">
        <v>9</v>
      </c>
      <c r="H99" s="2" t="s">
        <v>23</v>
      </c>
      <c r="I99" s="2">
        <v>2</v>
      </c>
      <c r="J99" s="2"/>
      <c r="K99" s="2">
        <v>2494.8000000000002</v>
      </c>
      <c r="L99" s="35">
        <v>8179975.1880000001</v>
      </c>
      <c r="M99" s="36">
        <v>1320</v>
      </c>
      <c r="N99" s="40">
        <v>423790.5</v>
      </c>
      <c r="O99" s="40">
        <v>1993.5</v>
      </c>
      <c r="P99" s="40">
        <v>103252.5</v>
      </c>
      <c r="Q99" s="40">
        <v>23600.25</v>
      </c>
      <c r="R99" s="40">
        <v>89538.75</v>
      </c>
      <c r="S99" s="40">
        <v>265767</v>
      </c>
      <c r="T99" s="40"/>
      <c r="U99" s="40">
        <v>1025775</v>
      </c>
      <c r="V99" s="40">
        <v>0</v>
      </c>
      <c r="W99" s="45">
        <v>1933717.5</v>
      </c>
      <c r="X99" s="46">
        <v>23.639649944620299</v>
      </c>
    </row>
    <row r="100" spans="1:24" s="4" customFormat="1" ht="15" customHeight="1">
      <c r="A100" s="28" t="s">
        <v>2682</v>
      </c>
      <c r="B100" s="29">
        <v>3278.81</v>
      </c>
      <c r="C100" s="30" t="s">
        <v>2961</v>
      </c>
      <c r="D100" s="2">
        <v>4950574836</v>
      </c>
      <c r="E100" s="2" t="s">
        <v>38</v>
      </c>
      <c r="F100" s="2" t="s">
        <v>2962</v>
      </c>
      <c r="G100" s="28" t="s">
        <v>5</v>
      </c>
      <c r="H100" s="2" t="s">
        <v>20</v>
      </c>
      <c r="I100" s="2">
        <v>6</v>
      </c>
      <c r="J100" s="2" t="s">
        <v>2963</v>
      </c>
      <c r="K100" s="2">
        <v>7756.8</v>
      </c>
      <c r="L100" s="35">
        <v>25433073.408</v>
      </c>
      <c r="M100" s="36">
        <v>3840</v>
      </c>
      <c r="N100" s="40">
        <v>132988.93017693801</v>
      </c>
      <c r="O100" s="40">
        <v>129877.13819378401</v>
      </c>
      <c r="P100" s="40">
        <v>0</v>
      </c>
      <c r="Q100" s="40">
        <v>39941.885468399501</v>
      </c>
      <c r="R100" s="40">
        <v>217950.93812697899</v>
      </c>
      <c r="S100" s="40">
        <v>20088.8314104126</v>
      </c>
      <c r="T100" s="40"/>
      <c r="U100" s="40">
        <v>172238.89983834201</v>
      </c>
      <c r="V100" s="40">
        <v>0</v>
      </c>
      <c r="W100" s="45">
        <v>713086.62321485498</v>
      </c>
      <c r="X100" s="46">
        <v>2.8037768451159799</v>
      </c>
    </row>
    <row r="101" spans="1:24" s="4" customFormat="1" ht="15" customHeight="1">
      <c r="A101" s="28" t="s">
        <v>2682</v>
      </c>
      <c r="B101" s="29">
        <v>3278.81</v>
      </c>
      <c r="C101" s="30" t="s">
        <v>2961</v>
      </c>
      <c r="D101" s="2">
        <v>4950574847</v>
      </c>
      <c r="E101" s="2" t="s">
        <v>38</v>
      </c>
      <c r="F101" s="2" t="s">
        <v>2962</v>
      </c>
      <c r="G101" s="28" t="s">
        <v>5</v>
      </c>
      <c r="H101" s="2" t="s">
        <v>20</v>
      </c>
      <c r="I101" s="2">
        <v>6</v>
      </c>
      <c r="J101" s="2" t="s">
        <v>2963</v>
      </c>
      <c r="K101" s="2">
        <v>4085</v>
      </c>
      <c r="L101" s="35">
        <v>13393938.85</v>
      </c>
      <c r="M101" s="36">
        <v>1900</v>
      </c>
      <c r="N101" s="40">
        <v>65801.814410464198</v>
      </c>
      <c r="O101" s="40">
        <v>64262.125668799301</v>
      </c>
      <c r="P101" s="40">
        <v>0</v>
      </c>
      <c r="Q101" s="40">
        <v>19762.912080718499</v>
      </c>
      <c r="R101" s="40">
        <v>107840.125635745</v>
      </c>
      <c r="S101" s="40">
        <v>9939.7863749437092</v>
      </c>
      <c r="T101" s="40"/>
      <c r="U101" s="40">
        <v>85222.372315846194</v>
      </c>
      <c r="V101" s="40">
        <v>0</v>
      </c>
      <c r="W101" s="45">
        <v>352829.13648651697</v>
      </c>
      <c r="X101" s="46">
        <v>2.6342447911543001</v>
      </c>
    </row>
    <row r="102" spans="1:24" s="4" customFormat="1" ht="15" customHeight="1">
      <c r="A102" s="28" t="s">
        <v>2682</v>
      </c>
      <c r="B102" s="29">
        <v>3278.81</v>
      </c>
      <c r="C102" s="30" t="s">
        <v>2961</v>
      </c>
      <c r="D102" s="2">
        <v>4950576058</v>
      </c>
      <c r="E102" s="2" t="s">
        <v>38</v>
      </c>
      <c r="F102" s="2" t="s">
        <v>2962</v>
      </c>
      <c r="G102" s="28" t="s">
        <v>5</v>
      </c>
      <c r="H102" s="2" t="s">
        <v>20</v>
      </c>
      <c r="I102" s="2">
        <v>6</v>
      </c>
      <c r="J102" s="2" t="s">
        <v>2963</v>
      </c>
      <c r="K102" s="2">
        <v>5824</v>
      </c>
      <c r="L102" s="35">
        <v>19095789.440000001</v>
      </c>
      <c r="M102" s="36">
        <v>2800</v>
      </c>
      <c r="N102" s="40">
        <v>96971.094920684103</v>
      </c>
      <c r="O102" s="40">
        <v>94702.079932967303</v>
      </c>
      <c r="P102" s="40">
        <v>0</v>
      </c>
      <c r="Q102" s="40">
        <v>29124.291487374601</v>
      </c>
      <c r="R102" s="40">
        <v>158923.079884256</v>
      </c>
      <c r="S102" s="40">
        <v>14648.1062367592</v>
      </c>
      <c r="T102" s="40"/>
      <c r="U102" s="40">
        <v>125590.864465458</v>
      </c>
      <c r="V102" s="40">
        <v>0</v>
      </c>
      <c r="W102" s="45">
        <v>519959.51692749897</v>
      </c>
      <c r="X102" s="46">
        <v>2.7229013943688498</v>
      </c>
    </row>
    <row r="103" spans="1:24" s="4" customFormat="1" ht="15" customHeight="1">
      <c r="A103" s="28" t="s">
        <v>2682</v>
      </c>
      <c r="B103" s="29">
        <v>3278.81</v>
      </c>
      <c r="C103" s="30" t="s">
        <v>2961</v>
      </c>
      <c r="D103" s="2">
        <v>4950576067</v>
      </c>
      <c r="E103" s="2" t="s">
        <v>38</v>
      </c>
      <c r="F103" s="2" t="s">
        <v>2962</v>
      </c>
      <c r="G103" s="28" t="s">
        <v>5</v>
      </c>
      <c r="H103" s="2" t="s">
        <v>20</v>
      </c>
      <c r="I103" s="2">
        <v>6</v>
      </c>
      <c r="J103" s="2" t="s">
        <v>2963</v>
      </c>
      <c r="K103" s="2">
        <v>946</v>
      </c>
      <c r="L103" s="35">
        <v>3101754.26</v>
      </c>
      <c r="M103" s="36">
        <v>440</v>
      </c>
      <c r="N103" s="40">
        <v>15238.3149161075</v>
      </c>
      <c r="O103" s="40">
        <v>14881.755418037699</v>
      </c>
      <c r="P103" s="40">
        <v>0</v>
      </c>
      <c r="Q103" s="40">
        <v>4576.6743765874398</v>
      </c>
      <c r="R103" s="40">
        <v>24973.555410383</v>
      </c>
      <c r="S103" s="40">
        <v>2301.8452657764401</v>
      </c>
      <c r="T103" s="40"/>
      <c r="U103" s="40">
        <v>19735.7072731433</v>
      </c>
      <c r="V103" s="40">
        <v>0</v>
      </c>
      <c r="W103" s="45">
        <v>81707.852660035394</v>
      </c>
      <c r="X103" s="46">
        <v>2.6342464879869398</v>
      </c>
    </row>
    <row r="104" spans="1:24" s="4" customFormat="1" ht="15" customHeight="1">
      <c r="A104" s="28" t="s">
        <v>2682</v>
      </c>
      <c r="B104" s="29">
        <v>3278.81</v>
      </c>
      <c r="C104" s="30" t="s">
        <v>2961</v>
      </c>
      <c r="D104" s="2">
        <v>4950576073</v>
      </c>
      <c r="E104" s="2" t="s">
        <v>38</v>
      </c>
      <c r="F104" s="2" t="s">
        <v>2962</v>
      </c>
      <c r="G104" s="28" t="s">
        <v>5</v>
      </c>
      <c r="H104" s="2" t="s">
        <v>20</v>
      </c>
      <c r="I104" s="2">
        <v>6</v>
      </c>
      <c r="J104" s="2" t="s">
        <v>2963</v>
      </c>
      <c r="K104" s="2">
        <v>1614.6</v>
      </c>
      <c r="L104" s="35">
        <v>5293966.6260000002</v>
      </c>
      <c r="M104" s="36">
        <v>780</v>
      </c>
      <c r="N104" s="40">
        <v>27013.376442190602</v>
      </c>
      <c r="O104" s="40">
        <v>26381.293695612301</v>
      </c>
      <c r="P104" s="40">
        <v>0</v>
      </c>
      <c r="Q104" s="40">
        <v>8113.1954857686496</v>
      </c>
      <c r="R104" s="40">
        <v>44270.893682042697</v>
      </c>
      <c r="S104" s="40">
        <v>4080.5438802400499</v>
      </c>
      <c r="T104" s="40"/>
      <c r="U104" s="40">
        <v>34986.026529663199</v>
      </c>
      <c r="V104" s="40">
        <v>0</v>
      </c>
      <c r="W104" s="45">
        <v>144845.32971551799</v>
      </c>
      <c r="X104" s="46">
        <v>2.73604538804884</v>
      </c>
    </row>
    <row r="105" spans="1:24" s="4" customFormat="1" ht="15" customHeight="1">
      <c r="A105" s="28" t="s">
        <v>2682</v>
      </c>
      <c r="B105" s="29">
        <v>3278.81</v>
      </c>
      <c r="C105" s="30" t="s">
        <v>2961</v>
      </c>
      <c r="D105" s="2">
        <v>4950576074</v>
      </c>
      <c r="E105" s="2" t="s">
        <v>38</v>
      </c>
      <c r="F105" s="2" t="s">
        <v>2962</v>
      </c>
      <c r="G105" s="28" t="s">
        <v>5</v>
      </c>
      <c r="H105" s="2" t="s">
        <v>20</v>
      </c>
      <c r="I105" s="2">
        <v>6</v>
      </c>
      <c r="J105" s="2" t="s">
        <v>2963</v>
      </c>
      <c r="K105" s="2">
        <v>328.8</v>
      </c>
      <c r="L105" s="35">
        <v>1078072.7279999999</v>
      </c>
      <c r="M105" s="36">
        <v>120</v>
      </c>
      <c r="N105" s="40">
        <v>4155.9040680293201</v>
      </c>
      <c r="O105" s="40">
        <v>4058.6605685557402</v>
      </c>
      <c r="P105" s="40">
        <v>0</v>
      </c>
      <c r="Q105" s="40">
        <v>1248.1839208874801</v>
      </c>
      <c r="R105" s="40">
        <v>6811.0605664680998</v>
      </c>
      <c r="S105" s="40">
        <v>627.77598157539296</v>
      </c>
      <c r="T105" s="40"/>
      <c r="U105" s="40">
        <v>5382.4656199481797</v>
      </c>
      <c r="V105" s="40">
        <v>0</v>
      </c>
      <c r="W105" s="45">
        <v>22284.0507254642</v>
      </c>
      <c r="X105" s="46">
        <v>2.0670266621811999</v>
      </c>
    </row>
    <row r="106" spans="1:24" s="4" customFormat="1" ht="15" customHeight="1">
      <c r="A106" s="28" t="s">
        <v>2682</v>
      </c>
      <c r="B106" s="29">
        <v>3278.81</v>
      </c>
      <c r="C106" s="30" t="s">
        <v>2961</v>
      </c>
      <c r="D106" s="2">
        <v>4950576078</v>
      </c>
      <c r="E106" s="2" t="s">
        <v>38</v>
      </c>
      <c r="F106" s="2" t="s">
        <v>2962</v>
      </c>
      <c r="G106" s="28" t="s">
        <v>5</v>
      </c>
      <c r="H106" s="2" t="s">
        <v>20</v>
      </c>
      <c r="I106" s="2">
        <v>6</v>
      </c>
      <c r="J106" s="2" t="s">
        <v>2963</v>
      </c>
      <c r="K106" s="2">
        <v>2701.93</v>
      </c>
      <c r="L106" s="35">
        <v>8859115.1032999996</v>
      </c>
      <c r="M106" s="36">
        <v>1460.5</v>
      </c>
      <c r="N106" s="40">
        <v>50580.815761306803</v>
      </c>
      <c r="O106" s="40">
        <v>49397.281336463901</v>
      </c>
      <c r="P106" s="40">
        <v>0</v>
      </c>
      <c r="Q106" s="40">
        <v>15191.4384704681</v>
      </c>
      <c r="R106" s="40">
        <v>82895.091311055497</v>
      </c>
      <c r="S106" s="40">
        <v>7640.55684242384</v>
      </c>
      <c r="T106" s="40"/>
      <c r="U106" s="40">
        <v>65509.091982785998</v>
      </c>
      <c r="V106" s="40">
        <v>0</v>
      </c>
      <c r="W106" s="45">
        <v>271214.27570450399</v>
      </c>
      <c r="X106" s="46">
        <v>3.0614149668681598</v>
      </c>
    </row>
    <row r="107" spans="1:24" s="4" customFormat="1" ht="15" customHeight="1">
      <c r="A107" s="28" t="s">
        <v>2682</v>
      </c>
      <c r="B107" s="29">
        <v>3278.81</v>
      </c>
      <c r="C107" s="30" t="s">
        <v>2961</v>
      </c>
      <c r="D107" s="2">
        <v>4950576085</v>
      </c>
      <c r="E107" s="2" t="s">
        <v>38</v>
      </c>
      <c r="F107" s="2" t="s">
        <v>2962</v>
      </c>
      <c r="G107" s="28" t="s">
        <v>5</v>
      </c>
      <c r="H107" s="2" t="s">
        <v>20</v>
      </c>
      <c r="I107" s="2">
        <v>6</v>
      </c>
      <c r="J107" s="2" t="s">
        <v>2963</v>
      </c>
      <c r="K107" s="2">
        <v>1908.9</v>
      </c>
      <c r="L107" s="35">
        <v>6258920.409</v>
      </c>
      <c r="M107" s="36">
        <v>945</v>
      </c>
      <c r="N107" s="40">
        <v>32727.744535730901</v>
      </c>
      <c r="O107" s="40">
        <v>31961.951977376499</v>
      </c>
      <c r="P107" s="40">
        <v>0</v>
      </c>
      <c r="Q107" s="40">
        <v>9829.4483769889393</v>
      </c>
      <c r="R107" s="40">
        <v>53636.851960936299</v>
      </c>
      <c r="S107" s="40">
        <v>4943.7358549062201</v>
      </c>
      <c r="T107" s="40"/>
      <c r="U107" s="40">
        <v>42386.916757091902</v>
      </c>
      <c r="V107" s="40">
        <v>0</v>
      </c>
      <c r="W107" s="45">
        <v>175486.649463031</v>
      </c>
      <c r="X107" s="46">
        <v>2.80378464648137</v>
      </c>
    </row>
    <row r="108" spans="1:24" s="4" customFormat="1" ht="15" customHeight="1">
      <c r="A108" s="28" t="s">
        <v>2682</v>
      </c>
      <c r="B108" s="29">
        <v>3278.81</v>
      </c>
      <c r="C108" s="30" t="s">
        <v>2961</v>
      </c>
      <c r="D108" s="2">
        <v>4950576055</v>
      </c>
      <c r="E108" s="2" t="s">
        <v>38</v>
      </c>
      <c r="F108" s="2" t="s">
        <v>2962</v>
      </c>
      <c r="G108" s="28" t="s">
        <v>5</v>
      </c>
      <c r="H108" s="2" t="s">
        <v>20</v>
      </c>
      <c r="I108" s="2">
        <v>6</v>
      </c>
      <c r="J108" s="2" t="s">
        <v>2963</v>
      </c>
      <c r="K108" s="2">
        <v>23826</v>
      </c>
      <c r="L108" s="35">
        <v>78120927.060000002</v>
      </c>
      <c r="M108" s="36">
        <v>11400</v>
      </c>
      <c r="N108" s="40">
        <v>756720.865720339</v>
      </c>
      <c r="O108" s="40">
        <v>385572.75401279598</v>
      </c>
      <c r="P108" s="40">
        <v>0</v>
      </c>
      <c r="Q108" s="40">
        <v>118577.472484311</v>
      </c>
      <c r="R108" s="40">
        <v>1240120.4448110701</v>
      </c>
      <c r="S108" s="40">
        <v>114307.54331185301</v>
      </c>
      <c r="T108" s="40"/>
      <c r="U108" s="40">
        <v>980057.28163223097</v>
      </c>
      <c r="V108" s="40">
        <v>0</v>
      </c>
      <c r="W108" s="45">
        <v>3595356.3619726002</v>
      </c>
      <c r="X108" s="46">
        <v>4.6022960777349997</v>
      </c>
    </row>
    <row r="109" spans="1:24" s="4" customFormat="1" ht="15" customHeight="1">
      <c r="A109" s="28" t="s">
        <v>2682</v>
      </c>
      <c r="B109" s="29">
        <v>3278.81</v>
      </c>
      <c r="C109" s="30" t="s">
        <v>2961</v>
      </c>
      <c r="D109" s="2">
        <v>4950574829</v>
      </c>
      <c r="E109" s="2" t="s">
        <v>38</v>
      </c>
      <c r="F109" s="2" t="s">
        <v>2962</v>
      </c>
      <c r="G109" s="28" t="s">
        <v>5</v>
      </c>
      <c r="H109" s="2" t="s">
        <v>20</v>
      </c>
      <c r="I109" s="2">
        <v>6</v>
      </c>
      <c r="J109" s="2" t="s">
        <v>2963</v>
      </c>
      <c r="K109" s="2">
        <v>70896</v>
      </c>
      <c r="L109" s="35">
        <v>232454513.75999999</v>
      </c>
      <c r="M109" s="36">
        <v>33600</v>
      </c>
      <c r="N109" s="40">
        <v>1163653.1390482101</v>
      </c>
      <c r="O109" s="40">
        <v>1136424.9591956099</v>
      </c>
      <c r="P109" s="40">
        <v>0</v>
      </c>
      <c r="Q109" s="40">
        <v>349491.49784849602</v>
      </c>
      <c r="R109" s="40">
        <v>1907073.9586110699</v>
      </c>
      <c r="S109" s="40">
        <v>175777.27484110999</v>
      </c>
      <c r="T109" s="40"/>
      <c r="U109" s="40">
        <v>1507090.37358549</v>
      </c>
      <c r="V109" s="40">
        <v>0</v>
      </c>
      <c r="W109" s="45">
        <v>6239511.2031299798</v>
      </c>
      <c r="X109" s="46">
        <v>2.68418586595915</v>
      </c>
    </row>
    <row r="111" spans="1:24" ht="15" customHeight="1">
      <c r="A111" s="31" t="s">
        <v>2682</v>
      </c>
      <c r="B111" s="31"/>
      <c r="C111" s="31"/>
      <c r="D111" s="31"/>
      <c r="E111" s="31"/>
      <c r="F111" s="32">
        <v>4</v>
      </c>
      <c r="G111" s="31"/>
      <c r="H111" s="31"/>
      <c r="I111" s="38"/>
      <c r="J111" s="31"/>
      <c r="K111" s="39">
        <f>+SUM(K89:K109)</f>
        <v>174553.3</v>
      </c>
      <c r="L111" s="39">
        <f>+SUM(L89:L109)</f>
        <v>572327105.57299995</v>
      </c>
      <c r="M111" s="31"/>
      <c r="N111" s="39"/>
      <c r="O111" s="39"/>
      <c r="P111" s="39"/>
      <c r="Q111" s="39"/>
      <c r="R111" s="39"/>
      <c r="S111" s="39"/>
      <c r="T111" s="39"/>
      <c r="U111" s="39"/>
      <c r="V111" s="31"/>
      <c r="W111" s="39">
        <f>+SUM(W89:W109)</f>
        <v>34695857.027934976</v>
      </c>
      <c r="X111" s="47">
        <f t="shared" ref="X111:X115" si="1">(W111/L111)*100</f>
        <v>6.0622424991034336</v>
      </c>
    </row>
    <row r="113" spans="1:24" s="4" customFormat="1" ht="15" customHeight="1">
      <c r="A113" s="28" t="s">
        <v>3019</v>
      </c>
      <c r="B113" s="29">
        <v>3196.165</v>
      </c>
      <c r="C113" s="30" t="s">
        <v>3116</v>
      </c>
      <c r="D113" s="2">
        <v>4951380720</v>
      </c>
      <c r="E113" s="2" t="s">
        <v>38</v>
      </c>
      <c r="F113" s="2" t="s">
        <v>3117</v>
      </c>
      <c r="G113" s="28" t="s">
        <v>9</v>
      </c>
      <c r="H113" s="2" t="s">
        <v>23</v>
      </c>
      <c r="I113" s="2">
        <v>7</v>
      </c>
      <c r="J113" s="2"/>
      <c r="K113" s="2">
        <v>3260</v>
      </c>
      <c r="L113" s="35">
        <f>+B113*K113</f>
        <v>10419497.9</v>
      </c>
      <c r="M113" s="36">
        <v>1000</v>
      </c>
      <c r="N113" s="40">
        <v>157976.37010676201</v>
      </c>
      <c r="O113" s="48">
        <v>665.053380782918</v>
      </c>
      <c r="P113" s="40">
        <v>0</v>
      </c>
      <c r="Q113" s="48">
        <v>20973.950177935902</v>
      </c>
      <c r="R113" s="40">
        <v>35970.676156583599</v>
      </c>
      <c r="S113" s="40">
        <v>50442.135231316701</v>
      </c>
      <c r="T113" s="48"/>
      <c r="U113" s="40">
        <v>252200</v>
      </c>
      <c r="V113" s="40">
        <v>0</v>
      </c>
      <c r="W113" s="45">
        <f>+SUM(N113:V113)</f>
        <v>518228.18505338114</v>
      </c>
      <c r="X113" s="46">
        <f t="shared" si="1"/>
        <v>4.9736387494581775</v>
      </c>
    </row>
    <row r="115" spans="1:24" ht="15" customHeight="1">
      <c r="A115" s="31" t="s">
        <v>3019</v>
      </c>
      <c r="B115" s="31"/>
      <c r="C115" s="31"/>
      <c r="D115" s="31"/>
      <c r="E115" s="31"/>
      <c r="F115" s="32">
        <v>1</v>
      </c>
      <c r="G115" s="31"/>
      <c r="H115" s="31"/>
      <c r="I115" s="38"/>
      <c r="J115" s="31"/>
      <c r="K115" s="39">
        <f>+SUM(K113:K113)</f>
        <v>3260</v>
      </c>
      <c r="L115" s="39">
        <f>+SUM(L113:L113)</f>
        <v>10419497.9</v>
      </c>
      <c r="M115" s="31"/>
      <c r="N115" s="39"/>
      <c r="O115" s="39"/>
      <c r="P115" s="39"/>
      <c r="Q115" s="39"/>
      <c r="R115" s="39"/>
      <c r="S115" s="39"/>
      <c r="T115" s="39"/>
      <c r="U115" s="39"/>
      <c r="V115" s="31"/>
      <c r="W115" s="39">
        <f>+SUM(W113:W113)</f>
        <v>518228.18505338114</v>
      </c>
      <c r="X115" s="47">
        <f t="shared" si="1"/>
        <v>4.9736387494581775</v>
      </c>
    </row>
    <row r="117" spans="1:24" s="4" customFormat="1" ht="15" customHeight="1">
      <c r="A117" s="28" t="s">
        <v>3483</v>
      </c>
      <c r="B117" s="29">
        <v>3387.15</v>
      </c>
      <c r="C117" s="30" t="s">
        <v>3624</v>
      </c>
      <c r="D117" s="2">
        <v>4951380718</v>
      </c>
      <c r="E117" s="2" t="s">
        <v>38</v>
      </c>
      <c r="F117" s="2" t="s">
        <v>3625</v>
      </c>
      <c r="G117" s="28" t="s">
        <v>9</v>
      </c>
      <c r="H117" s="2" t="s">
        <v>23</v>
      </c>
      <c r="I117" s="2">
        <v>2</v>
      </c>
      <c r="J117" s="2"/>
      <c r="K117" s="2">
        <v>946</v>
      </c>
      <c r="L117" s="35">
        <v>3204243.9</v>
      </c>
      <c r="M117" s="36">
        <v>440</v>
      </c>
      <c r="N117" s="40">
        <v>460889</v>
      </c>
      <c r="O117" s="40">
        <v>225</v>
      </c>
      <c r="P117" s="40">
        <v>15171.9333333333</v>
      </c>
      <c r="Q117" s="40">
        <v>5526.5</v>
      </c>
      <c r="R117" s="40">
        <v>70421.266666666706</v>
      </c>
      <c r="S117" s="40">
        <v>259861.066666667</v>
      </c>
      <c r="T117" s="40"/>
      <c r="U117" s="40">
        <v>184946.66666666701</v>
      </c>
      <c r="V117" s="40">
        <v>0</v>
      </c>
      <c r="W117" s="45">
        <v>997041.43333333405</v>
      </c>
      <c r="X117" s="46">
        <v>31.116277800617301</v>
      </c>
    </row>
    <row r="118" spans="1:24" s="4" customFormat="1" ht="15" customHeight="1">
      <c r="A118" s="28" t="s">
        <v>3483</v>
      </c>
      <c r="B118" s="29">
        <v>3387.15</v>
      </c>
      <c r="C118" s="30" t="s">
        <v>3624</v>
      </c>
      <c r="D118" s="2">
        <v>4951380719</v>
      </c>
      <c r="E118" s="2" t="s">
        <v>38</v>
      </c>
      <c r="F118" s="2" t="s">
        <v>3625</v>
      </c>
      <c r="G118" s="28" t="s">
        <v>9</v>
      </c>
      <c r="H118" s="2" t="s">
        <v>23</v>
      </c>
      <c r="I118" s="2">
        <v>2</v>
      </c>
      <c r="J118" s="2"/>
      <c r="K118" s="2">
        <v>396.8</v>
      </c>
      <c r="L118" s="35">
        <v>1344021.12</v>
      </c>
      <c r="M118" s="36">
        <v>160</v>
      </c>
      <c r="N118" s="40">
        <v>167596</v>
      </c>
      <c r="O118" s="40">
        <v>225</v>
      </c>
      <c r="P118" s="40">
        <v>5517.0666666666702</v>
      </c>
      <c r="Q118" s="40">
        <v>5526.5</v>
      </c>
      <c r="R118" s="40">
        <v>25607.733333333301</v>
      </c>
      <c r="S118" s="40">
        <v>94494.933333333305</v>
      </c>
      <c r="T118" s="40"/>
      <c r="U118" s="40">
        <v>67253.333333333299</v>
      </c>
      <c r="V118" s="40">
        <v>0</v>
      </c>
      <c r="W118" s="45">
        <v>366220.566666667</v>
      </c>
      <c r="X118" s="46">
        <v>27.248125882625001</v>
      </c>
    </row>
    <row r="119" spans="1:24" s="4" customFormat="1" ht="15" customHeight="1">
      <c r="A119" s="28" t="s">
        <v>3483</v>
      </c>
      <c r="B119" s="29">
        <v>3387.15</v>
      </c>
      <c r="C119" s="30" t="s">
        <v>3856</v>
      </c>
      <c r="D119" s="2">
        <v>4952005002</v>
      </c>
      <c r="E119" s="2" t="s">
        <v>38</v>
      </c>
      <c r="F119" s="2" t="s">
        <v>3857</v>
      </c>
      <c r="G119" s="28" t="s">
        <v>9</v>
      </c>
      <c r="H119" s="2" t="s">
        <v>23</v>
      </c>
      <c r="I119" s="2">
        <v>1</v>
      </c>
      <c r="J119" s="2"/>
      <c r="K119" s="2">
        <v>686.4</v>
      </c>
      <c r="L119" s="35">
        <v>2324939.7599999998</v>
      </c>
      <c r="M119" s="36">
        <v>220</v>
      </c>
      <c r="N119" s="40">
        <v>1707562</v>
      </c>
      <c r="O119" s="40">
        <v>0</v>
      </c>
      <c r="P119" s="40">
        <v>34051</v>
      </c>
      <c r="Q119" s="40">
        <v>51469</v>
      </c>
      <c r="R119" s="40">
        <v>79026</v>
      </c>
      <c r="S119" s="40">
        <v>354356</v>
      </c>
      <c r="T119" s="40"/>
      <c r="U119" s="40">
        <v>557750</v>
      </c>
      <c r="V119" s="40">
        <v>0</v>
      </c>
      <c r="W119" s="45">
        <v>2784214</v>
      </c>
      <c r="X119" s="46">
        <v>119.754242578741</v>
      </c>
    </row>
    <row r="121" spans="1:24" ht="15" customHeight="1">
      <c r="A121" s="31" t="s">
        <v>3483</v>
      </c>
      <c r="B121" s="31"/>
      <c r="C121" s="31"/>
      <c r="D121" s="31"/>
      <c r="E121" s="31"/>
      <c r="F121" s="32">
        <v>2</v>
      </c>
      <c r="G121" s="31"/>
      <c r="H121" s="31"/>
      <c r="I121" s="38"/>
      <c r="J121" s="31"/>
      <c r="K121" s="39">
        <f>+SUM(K117:K119)</f>
        <v>2029.1999999999998</v>
      </c>
      <c r="L121" s="39">
        <f>+SUM(L117:L119)</f>
        <v>6873204.7799999993</v>
      </c>
      <c r="M121" s="31"/>
      <c r="N121" s="39"/>
      <c r="O121" s="39"/>
      <c r="P121" s="39"/>
      <c r="Q121" s="39"/>
      <c r="R121" s="39"/>
      <c r="S121" s="39"/>
      <c r="T121" s="39"/>
      <c r="U121" s="39"/>
      <c r="V121" s="31"/>
      <c r="W121" s="39">
        <f>+SUM(W117:W119)</f>
        <v>4147476.0000000009</v>
      </c>
      <c r="X121" s="47">
        <f>(W121/L121)*100</f>
        <v>60.342680492636234</v>
      </c>
    </row>
    <row r="123" spans="1:24" s="4" customFormat="1" ht="15" customHeight="1">
      <c r="A123" s="79" t="s">
        <v>3955</v>
      </c>
      <c r="B123" s="80">
        <v>3394.61</v>
      </c>
      <c r="C123" s="81" t="s">
        <v>4039</v>
      </c>
      <c r="D123" s="82">
        <v>4952004749</v>
      </c>
      <c r="E123" s="82" t="s">
        <v>38</v>
      </c>
      <c r="F123" s="82" t="s">
        <v>4040</v>
      </c>
      <c r="G123" s="79" t="s">
        <v>9</v>
      </c>
      <c r="H123" s="2" t="s">
        <v>23</v>
      </c>
      <c r="I123" s="2">
        <v>2</v>
      </c>
      <c r="J123" s="2"/>
      <c r="K123" s="2">
        <v>198.4</v>
      </c>
      <c r="L123" s="35">
        <v>673490.62400000007</v>
      </c>
      <c r="M123" s="36">
        <v>80</v>
      </c>
      <c r="N123" s="40">
        <v>157866.81690140799</v>
      </c>
      <c r="O123" s="40">
        <v>155.5</v>
      </c>
      <c r="P123" s="40">
        <v>0</v>
      </c>
      <c r="Q123" s="40">
        <v>3414.5</v>
      </c>
      <c r="R123" s="40">
        <v>20852.9577464789</v>
      </c>
      <c r="S123" s="40">
        <v>79854.873239436594</v>
      </c>
      <c r="T123" s="40"/>
      <c r="U123" s="40">
        <v>56833.8028169014</v>
      </c>
      <c r="V123" s="40">
        <v>0</v>
      </c>
      <c r="W123" s="45">
        <v>318978.45070422493</v>
      </c>
      <c r="X123" s="46">
        <v>47.361973476296662</v>
      </c>
    </row>
    <row r="124" spans="1:24" s="4" customFormat="1" ht="15" customHeight="1">
      <c r="A124" s="79" t="s">
        <v>3955</v>
      </c>
      <c r="B124" s="80">
        <v>3394.61</v>
      </c>
      <c r="C124" s="81" t="s">
        <v>4039</v>
      </c>
      <c r="D124" s="82">
        <v>4952222172</v>
      </c>
      <c r="E124" s="82" t="s">
        <v>38</v>
      </c>
      <c r="F124" s="82" t="s">
        <v>4040</v>
      </c>
      <c r="G124" s="79" t="s">
        <v>9</v>
      </c>
      <c r="H124" s="2" t="s">
        <v>23</v>
      </c>
      <c r="I124" s="2">
        <v>2</v>
      </c>
      <c r="J124" s="2"/>
      <c r="K124" s="2">
        <v>591.25</v>
      </c>
      <c r="L124" s="35">
        <v>2007063.1625000001</v>
      </c>
      <c r="M124" s="36">
        <v>275</v>
      </c>
      <c r="N124" s="40">
        <v>157866.81690140799</v>
      </c>
      <c r="O124" s="40">
        <v>155.5</v>
      </c>
      <c r="P124" s="40">
        <v>0</v>
      </c>
      <c r="Q124" s="40">
        <v>3414.5</v>
      </c>
      <c r="R124" s="40">
        <v>20852.9577464789</v>
      </c>
      <c r="S124" s="40">
        <v>79854.873239436594</v>
      </c>
      <c r="T124" s="48"/>
      <c r="U124" s="40">
        <v>56833.8028169014</v>
      </c>
      <c r="V124" s="40">
        <v>0</v>
      </c>
      <c r="W124" s="45">
        <v>318978.45070422493</v>
      </c>
      <c r="X124" s="46">
        <v>15.892795835428766</v>
      </c>
    </row>
    <row r="125" spans="1:24" s="4" customFormat="1" ht="15" customHeight="1">
      <c r="A125" s="79" t="s">
        <v>3955</v>
      </c>
      <c r="B125" s="80">
        <v>3394.61</v>
      </c>
      <c r="C125" s="81" t="s">
        <v>4164</v>
      </c>
      <c r="D125" s="82">
        <v>4952003524</v>
      </c>
      <c r="E125" s="82" t="s">
        <v>38</v>
      </c>
      <c r="F125" s="82" t="s">
        <v>4165</v>
      </c>
      <c r="G125" s="79" t="s">
        <v>5</v>
      </c>
      <c r="H125" s="2" t="s">
        <v>17</v>
      </c>
      <c r="I125" s="2">
        <v>3</v>
      </c>
      <c r="J125" s="2" t="s">
        <v>4166</v>
      </c>
      <c r="K125" s="2">
        <v>43044</v>
      </c>
      <c r="L125" s="35">
        <v>146117592.84</v>
      </c>
      <c r="M125" s="36">
        <v>20400</v>
      </c>
      <c r="N125" s="40">
        <v>499720.23154164199</v>
      </c>
      <c r="O125" s="40">
        <v>227602.5</v>
      </c>
      <c r="P125" s="40">
        <v>403667.44004725298</v>
      </c>
      <c r="Q125" s="40">
        <v>49654.666666666701</v>
      </c>
      <c r="R125" s="40">
        <v>880995.62906083895</v>
      </c>
      <c r="S125" s="40">
        <v>170794.15002953299</v>
      </c>
      <c r="T125" s="48"/>
      <c r="U125" s="55">
        <v>4048767.3951565302</v>
      </c>
      <c r="V125" s="55">
        <v>0</v>
      </c>
      <c r="W125" s="45">
        <v>6281202.0125024635</v>
      </c>
      <c r="X125" s="46">
        <v>4.2987308307086831</v>
      </c>
    </row>
    <row r="126" spans="1:24" s="4" customFormat="1" ht="15" customHeight="1">
      <c r="A126" s="79" t="s">
        <v>3955</v>
      </c>
      <c r="B126" s="80">
        <v>3394.61</v>
      </c>
      <c r="C126" s="81" t="s">
        <v>4164</v>
      </c>
      <c r="D126" s="82">
        <v>4952003528</v>
      </c>
      <c r="E126" s="82" t="s">
        <v>38</v>
      </c>
      <c r="F126" s="82" t="s">
        <v>4165</v>
      </c>
      <c r="G126" s="79" t="s">
        <v>5</v>
      </c>
      <c r="H126" s="2" t="s">
        <v>17</v>
      </c>
      <c r="I126" s="2">
        <v>3</v>
      </c>
      <c r="J126" s="2" t="s">
        <v>4166</v>
      </c>
      <c r="K126" s="2">
        <v>1454.4</v>
      </c>
      <c r="L126" s="35">
        <v>4937120.7840000009</v>
      </c>
      <c r="M126" s="36">
        <v>720</v>
      </c>
      <c r="N126" s="40">
        <v>17637.1846426462</v>
      </c>
      <c r="O126" s="40">
        <v>227602.5</v>
      </c>
      <c r="P126" s="40">
        <v>14247.086119314799</v>
      </c>
      <c r="Q126" s="40">
        <v>49654.666666666701</v>
      </c>
      <c r="R126" s="40">
        <v>31093.963378617798</v>
      </c>
      <c r="S126" s="40">
        <v>6028.0288245717702</v>
      </c>
      <c r="T126" s="48"/>
      <c r="U126" s="55">
        <v>142897.67277023001</v>
      </c>
      <c r="V126" s="55">
        <v>0</v>
      </c>
      <c r="W126" s="45">
        <v>489161.10240204725</v>
      </c>
      <c r="X126" s="46">
        <v>9.9078212545923243</v>
      </c>
    </row>
    <row r="127" spans="1:24" s="4" customFormat="1" ht="15" customHeight="1">
      <c r="A127" s="79" t="s">
        <v>3955</v>
      </c>
      <c r="B127" s="80">
        <v>3394.61</v>
      </c>
      <c r="C127" s="81" t="s">
        <v>4164</v>
      </c>
      <c r="D127" s="82">
        <v>4952003541</v>
      </c>
      <c r="E127" s="82" t="s">
        <v>38</v>
      </c>
      <c r="F127" s="82" t="s">
        <v>4165</v>
      </c>
      <c r="G127" s="79" t="s">
        <v>5</v>
      </c>
      <c r="H127" s="2" t="s">
        <v>17</v>
      </c>
      <c r="I127" s="2">
        <v>3</v>
      </c>
      <c r="J127" s="2" t="s">
        <v>4166</v>
      </c>
      <c r="K127" s="2">
        <v>1248</v>
      </c>
      <c r="L127" s="35">
        <v>4236473.28</v>
      </c>
      <c r="M127" s="36">
        <v>600</v>
      </c>
      <c r="N127" s="40">
        <v>14697.653868871799</v>
      </c>
      <c r="O127" s="40">
        <v>227602.5</v>
      </c>
      <c r="P127" s="40">
        <v>11872.5717660957</v>
      </c>
      <c r="Q127" s="40">
        <v>49654.666666666701</v>
      </c>
      <c r="R127" s="40">
        <v>25911.6361488482</v>
      </c>
      <c r="S127" s="40">
        <v>5023.3573538098099</v>
      </c>
      <c r="T127" s="48"/>
      <c r="U127" s="55">
        <v>119081.393975192</v>
      </c>
      <c r="V127" s="55">
        <v>0</v>
      </c>
      <c r="W127" s="45">
        <v>453843.7797794842</v>
      </c>
      <c r="X127" s="46">
        <v>10.71277333252729</v>
      </c>
    </row>
    <row r="128" spans="1:24" s="4" customFormat="1" ht="15" customHeight="1">
      <c r="A128" s="79" t="s">
        <v>3955</v>
      </c>
      <c r="B128" s="80">
        <v>3394.61</v>
      </c>
      <c r="C128" s="81" t="s">
        <v>4164</v>
      </c>
      <c r="D128" s="82">
        <v>4952004715</v>
      </c>
      <c r="E128" s="82" t="s">
        <v>38</v>
      </c>
      <c r="F128" s="82" t="s">
        <v>4165</v>
      </c>
      <c r="G128" s="79" t="s">
        <v>5</v>
      </c>
      <c r="H128" s="2" t="s">
        <v>17</v>
      </c>
      <c r="I128" s="2">
        <v>3</v>
      </c>
      <c r="J128" s="2" t="s">
        <v>4166</v>
      </c>
      <c r="K128" s="2">
        <v>2765.78</v>
      </c>
      <c r="L128" s="35">
        <v>9388744.4458000008</v>
      </c>
      <c r="M128" s="36">
        <v>1495</v>
      </c>
      <c r="N128" s="40">
        <v>36621.6542232723</v>
      </c>
      <c r="O128" s="40">
        <v>227602.5</v>
      </c>
      <c r="P128" s="40">
        <v>29582.4913171884</v>
      </c>
      <c r="Q128" s="40">
        <v>49654.666666666701</v>
      </c>
      <c r="R128" s="40">
        <v>64563.160070880098</v>
      </c>
      <c r="S128" s="40">
        <v>12516.532073242801</v>
      </c>
      <c r="T128" s="48"/>
      <c r="U128" s="55">
        <v>296711.139988187</v>
      </c>
      <c r="V128" s="55">
        <v>0</v>
      </c>
      <c r="W128" s="45">
        <v>717252.14433943736</v>
      </c>
      <c r="X128" s="46">
        <v>7.6394894810487237</v>
      </c>
    </row>
    <row r="129" spans="1:24" s="4" customFormat="1" ht="15" customHeight="1">
      <c r="A129" s="79" t="s">
        <v>3955</v>
      </c>
      <c r="B129" s="80">
        <v>3394.61</v>
      </c>
      <c r="C129" s="81" t="s">
        <v>4164</v>
      </c>
      <c r="D129" s="82">
        <v>4952004748</v>
      </c>
      <c r="E129" s="82" t="s">
        <v>38</v>
      </c>
      <c r="F129" s="82" t="s">
        <v>4165</v>
      </c>
      <c r="G129" s="79" t="s">
        <v>5</v>
      </c>
      <c r="H129" s="2" t="s">
        <v>17</v>
      </c>
      <c r="I129" s="2">
        <v>3</v>
      </c>
      <c r="J129" s="2" t="s">
        <v>4166</v>
      </c>
      <c r="K129" s="2">
        <v>226.6</v>
      </c>
      <c r="L129" s="35">
        <v>769218.62600000005</v>
      </c>
      <c r="M129" s="36">
        <v>110</v>
      </c>
      <c r="N129" s="40">
        <v>2694.5698759598299</v>
      </c>
      <c r="O129" s="40">
        <v>227602.5</v>
      </c>
      <c r="P129" s="40">
        <v>2176.6381571175398</v>
      </c>
      <c r="Q129" s="40">
        <v>49654.666666666701</v>
      </c>
      <c r="R129" s="40">
        <v>4750.4666272888398</v>
      </c>
      <c r="S129" s="40">
        <v>920.94884819846402</v>
      </c>
      <c r="T129" s="48"/>
      <c r="U129" s="55">
        <v>21831.5888954519</v>
      </c>
      <c r="V129" s="55">
        <v>0</v>
      </c>
      <c r="W129" s="45">
        <v>309631.37907068327</v>
      </c>
      <c r="X129" s="46">
        <v>40.252714716593879</v>
      </c>
    </row>
    <row r="130" spans="1:24" s="4" customFormat="1" ht="15" customHeight="1">
      <c r="A130" s="79" t="s">
        <v>3955</v>
      </c>
      <c r="B130" s="80">
        <v>3394.61</v>
      </c>
      <c r="C130" s="81" t="s">
        <v>4164</v>
      </c>
      <c r="D130" s="82">
        <v>4952003527</v>
      </c>
      <c r="E130" s="82" t="s">
        <v>38</v>
      </c>
      <c r="F130" s="82" t="s">
        <v>4165</v>
      </c>
      <c r="G130" s="79" t="s">
        <v>5</v>
      </c>
      <c r="H130" s="2" t="s">
        <v>17</v>
      </c>
      <c r="I130" s="2">
        <v>3</v>
      </c>
      <c r="J130" s="2" t="s">
        <v>4166</v>
      </c>
      <c r="K130" s="2">
        <v>39710</v>
      </c>
      <c r="L130" s="35">
        <v>134799963.09999999</v>
      </c>
      <c r="M130" s="36">
        <v>19000</v>
      </c>
      <c r="N130" s="40">
        <v>465425.70584760798</v>
      </c>
      <c r="O130" s="40">
        <v>227602.5</v>
      </c>
      <c r="P130" s="40">
        <v>375964.77259303001</v>
      </c>
      <c r="Q130" s="40">
        <v>49654.666666666701</v>
      </c>
      <c r="R130" s="40">
        <v>820535.14471352601</v>
      </c>
      <c r="S130" s="40">
        <v>159072.98287064399</v>
      </c>
      <c r="T130" s="48"/>
      <c r="U130" s="55">
        <v>3770910.8092144099</v>
      </c>
      <c r="V130" s="55">
        <v>0</v>
      </c>
      <c r="W130" s="45">
        <v>5869166.5819058847</v>
      </c>
      <c r="X130" s="46">
        <v>4.3539823357013105</v>
      </c>
    </row>
    <row r="131" spans="1:24" s="4" customFormat="1" ht="15" customHeight="1">
      <c r="A131" s="79" t="s">
        <v>3955</v>
      </c>
      <c r="B131" s="80">
        <v>3394.61</v>
      </c>
      <c r="C131" s="81" t="s">
        <v>4203</v>
      </c>
      <c r="D131" s="82">
        <v>4952003524</v>
      </c>
      <c r="E131" s="82" t="s">
        <v>38</v>
      </c>
      <c r="F131" s="82" t="s">
        <v>4204</v>
      </c>
      <c r="G131" s="79" t="s">
        <v>5</v>
      </c>
      <c r="H131" s="2" t="s">
        <v>20</v>
      </c>
      <c r="I131" s="2">
        <v>2</v>
      </c>
      <c r="J131" s="2" t="s">
        <v>4205</v>
      </c>
      <c r="K131" s="2">
        <v>40512</v>
      </c>
      <c r="L131" s="35">
        <v>137522440.31999999</v>
      </c>
      <c r="M131" s="36">
        <v>19200</v>
      </c>
      <c r="N131" s="40">
        <v>384505.67441860499</v>
      </c>
      <c r="O131" s="40">
        <v>346936.5</v>
      </c>
      <c r="P131" s="40">
        <v>334883.72093023302</v>
      </c>
      <c r="Q131" s="40">
        <v>99309.5</v>
      </c>
      <c r="R131" s="40">
        <v>893023.255813953</v>
      </c>
      <c r="S131" s="40">
        <v>197780.09302325599</v>
      </c>
      <c r="T131" s="48"/>
      <c r="U131" s="55">
        <v>2836911.62790698</v>
      </c>
      <c r="V131" s="55">
        <v>0</v>
      </c>
      <c r="W131" s="45">
        <v>5093350.3720930275</v>
      </c>
      <c r="X131" s="46">
        <v>3.7036503717075888</v>
      </c>
    </row>
    <row r="132" spans="1:24" s="4" customFormat="1" ht="15" customHeight="1">
      <c r="A132" s="79" t="s">
        <v>3955</v>
      </c>
      <c r="B132" s="80">
        <v>3394.61</v>
      </c>
      <c r="C132" s="81" t="s">
        <v>4203</v>
      </c>
      <c r="D132" s="82">
        <v>4952003527</v>
      </c>
      <c r="E132" s="82" t="s">
        <v>38</v>
      </c>
      <c r="F132" s="82" t="s">
        <v>4204</v>
      </c>
      <c r="G132" s="79" t="s">
        <v>5</v>
      </c>
      <c r="H132" s="2" t="s">
        <v>20</v>
      </c>
      <c r="I132" s="2">
        <v>2</v>
      </c>
      <c r="J132" s="2" t="s">
        <v>4205</v>
      </c>
      <c r="K132" s="2">
        <v>31768</v>
      </c>
      <c r="L132" s="35">
        <v>107839970.48</v>
      </c>
      <c r="M132" s="36">
        <v>15200</v>
      </c>
      <c r="N132" s="40">
        <v>304400.32558139501</v>
      </c>
      <c r="O132" s="40">
        <v>346936.5</v>
      </c>
      <c r="P132" s="40">
        <v>265116.27906976698</v>
      </c>
      <c r="Q132" s="40">
        <v>99309.5</v>
      </c>
      <c r="R132" s="40">
        <v>706976.744186047</v>
      </c>
      <c r="S132" s="40">
        <v>156575.90697674401</v>
      </c>
      <c r="T132" s="48"/>
      <c r="U132" s="55">
        <v>2245888.37209302</v>
      </c>
      <c r="V132" s="55">
        <v>0</v>
      </c>
      <c r="W132" s="45">
        <v>4125203.627906973</v>
      </c>
      <c r="X132" s="46">
        <v>3.8253011471957268</v>
      </c>
    </row>
    <row r="133" spans="1:24" s="4" customFormat="1" ht="15" customHeight="1">
      <c r="A133" s="79" t="s">
        <v>3955</v>
      </c>
      <c r="B133" s="80">
        <v>3394.61</v>
      </c>
      <c r="C133" s="81" t="s">
        <v>4317</v>
      </c>
      <c r="D133" s="82">
        <v>4952655846</v>
      </c>
      <c r="E133" s="82" t="s">
        <v>38</v>
      </c>
      <c r="F133" s="82" t="s">
        <v>4318</v>
      </c>
      <c r="G133" s="79" t="s">
        <v>9</v>
      </c>
      <c r="H133" s="2" t="s">
        <v>23</v>
      </c>
      <c r="I133" s="2">
        <v>3</v>
      </c>
      <c r="J133" s="2"/>
      <c r="K133" s="2">
        <v>40.200000000000003</v>
      </c>
      <c r="L133" s="35">
        <v>136463.32200000001</v>
      </c>
      <c r="M133" s="36">
        <v>30</v>
      </c>
      <c r="N133" s="62">
        <v>113191.153846154</v>
      </c>
      <c r="O133" s="40">
        <v>45.6666666666667</v>
      </c>
      <c r="P133" s="40">
        <v>0</v>
      </c>
      <c r="Q133" s="40">
        <v>805.33333333333303</v>
      </c>
      <c r="R133" s="62">
        <v>14843.5714285714</v>
      </c>
      <c r="S133" s="62">
        <v>58410.329670329702</v>
      </c>
      <c r="T133" s="65"/>
      <c r="U133" s="55">
        <v>41571.428571428602</v>
      </c>
      <c r="V133" s="55">
        <v>0</v>
      </c>
      <c r="W133" s="45">
        <v>228867.48351648371</v>
      </c>
      <c r="X133" s="46">
        <v>167.71355127679192</v>
      </c>
    </row>
    <row r="134" spans="1:24" s="4" customFormat="1" ht="15" customHeight="1">
      <c r="A134" s="79" t="s">
        <v>3955</v>
      </c>
      <c r="B134" s="80">
        <v>3394.61</v>
      </c>
      <c r="C134" s="81" t="s">
        <v>4317</v>
      </c>
      <c r="D134" s="82">
        <v>4952655848</v>
      </c>
      <c r="E134" s="82" t="s">
        <v>38</v>
      </c>
      <c r="F134" s="82" t="s">
        <v>4318</v>
      </c>
      <c r="G134" s="79" t="s">
        <v>9</v>
      </c>
      <c r="H134" s="2" t="s">
        <v>23</v>
      </c>
      <c r="I134" s="2">
        <v>3</v>
      </c>
      <c r="J134" s="2"/>
      <c r="K134" s="2">
        <v>109.6</v>
      </c>
      <c r="L134" s="35">
        <v>372049.25599999999</v>
      </c>
      <c r="M134" s="36">
        <v>40</v>
      </c>
      <c r="N134" s="62">
        <v>150921.538461538</v>
      </c>
      <c r="O134" s="40">
        <v>45.6666666666667</v>
      </c>
      <c r="P134" s="40">
        <v>0</v>
      </c>
      <c r="Q134" s="40">
        <v>805.33333333333303</v>
      </c>
      <c r="R134" s="62">
        <v>19791.428571428602</v>
      </c>
      <c r="S134" s="62">
        <v>77880.439560439598</v>
      </c>
      <c r="T134" s="65"/>
      <c r="U134" s="55">
        <v>55428.571428571398</v>
      </c>
      <c r="V134" s="55">
        <v>0</v>
      </c>
      <c r="W134" s="45">
        <v>304872.97802197764</v>
      </c>
      <c r="X134" s="46">
        <v>81.944251495016474</v>
      </c>
    </row>
    <row r="135" spans="1:24" s="4" customFormat="1" ht="15" customHeight="1">
      <c r="A135" s="79" t="s">
        <v>3955</v>
      </c>
      <c r="B135" s="80">
        <v>3394.61</v>
      </c>
      <c r="C135" s="81" t="s">
        <v>4317</v>
      </c>
      <c r="D135" s="82">
        <v>4952760903</v>
      </c>
      <c r="E135" s="82" t="s">
        <v>38</v>
      </c>
      <c r="F135" s="82" t="s">
        <v>4318</v>
      </c>
      <c r="G135" s="79" t="s">
        <v>9</v>
      </c>
      <c r="H135" s="2" t="s">
        <v>23</v>
      </c>
      <c r="I135" s="2">
        <v>3</v>
      </c>
      <c r="J135" s="2"/>
      <c r="K135" s="2">
        <v>252.33</v>
      </c>
      <c r="L135" s="35">
        <v>856561.94130000006</v>
      </c>
      <c r="M135" s="36">
        <v>112</v>
      </c>
      <c r="N135" s="62">
        <v>422580.30769230798</v>
      </c>
      <c r="O135" s="40">
        <v>45.6666666666667</v>
      </c>
      <c r="P135" s="40">
        <v>0</v>
      </c>
      <c r="Q135" s="40">
        <v>805.33333333333303</v>
      </c>
      <c r="R135" s="62">
        <v>55416</v>
      </c>
      <c r="S135" s="62">
        <v>218065.23076923101</v>
      </c>
      <c r="T135" s="65"/>
      <c r="U135" s="55">
        <v>155200</v>
      </c>
      <c r="V135" s="55">
        <v>0</v>
      </c>
      <c r="W135" s="45">
        <v>852112.53846153896</v>
      </c>
      <c r="X135" s="46">
        <v>99.480550953301957</v>
      </c>
    </row>
    <row r="136" spans="1:24" s="4" customFormat="1" ht="15" customHeight="1">
      <c r="A136" s="79" t="s">
        <v>3955</v>
      </c>
      <c r="B136" s="80">
        <v>3394.61</v>
      </c>
      <c r="C136" s="81" t="s">
        <v>4397</v>
      </c>
      <c r="D136" s="82">
        <v>4951380714</v>
      </c>
      <c r="E136" s="82" t="s">
        <v>38</v>
      </c>
      <c r="F136" s="82" t="s">
        <v>4398</v>
      </c>
      <c r="G136" s="79" t="s">
        <v>9</v>
      </c>
      <c r="H136" s="2" t="s">
        <v>23</v>
      </c>
      <c r="I136" s="2">
        <v>9</v>
      </c>
      <c r="J136" s="2"/>
      <c r="K136" s="2">
        <v>6787.2</v>
      </c>
      <c r="L136" s="35">
        <v>23039896.991999999</v>
      </c>
      <c r="M136" s="36">
        <v>3360</v>
      </c>
      <c r="N136" s="62">
        <v>701105.26197544695</v>
      </c>
      <c r="O136" s="65">
        <v>1431.3333333333301</v>
      </c>
      <c r="P136" s="62">
        <v>0</v>
      </c>
      <c r="Q136" s="65">
        <v>27881</v>
      </c>
      <c r="R136" s="62">
        <v>827200.02567600098</v>
      </c>
      <c r="S136" s="62">
        <v>191067.34494102499</v>
      </c>
      <c r="T136" s="65"/>
      <c r="U136" s="55">
        <v>483793.62914226099</v>
      </c>
      <c r="V136" s="55">
        <v>0</v>
      </c>
      <c r="W136" s="45">
        <v>2232478.5950680673</v>
      </c>
      <c r="X136" s="46">
        <v>9.6896205562170579</v>
      </c>
    </row>
    <row r="137" spans="1:24" s="4" customFormat="1" ht="15" customHeight="1">
      <c r="A137" s="79" t="s">
        <v>3955</v>
      </c>
      <c r="B137" s="80">
        <v>3394.61</v>
      </c>
      <c r="C137" s="81" t="s">
        <v>4397</v>
      </c>
      <c r="D137" s="82">
        <v>4951380716</v>
      </c>
      <c r="E137" s="82" t="s">
        <v>38</v>
      </c>
      <c r="F137" s="82" t="s">
        <v>4398</v>
      </c>
      <c r="G137" s="79" t="s">
        <v>9</v>
      </c>
      <c r="H137" s="2" t="s">
        <v>23</v>
      </c>
      <c r="I137" s="2">
        <v>9</v>
      </c>
      <c r="J137" s="2"/>
      <c r="K137" s="2">
        <v>4992</v>
      </c>
      <c r="L137" s="35">
        <v>16945893.120000001</v>
      </c>
      <c r="M137" s="36">
        <v>2400</v>
      </c>
      <c r="N137" s="62">
        <v>500789.472839605</v>
      </c>
      <c r="O137" s="65">
        <v>1431.3333333333301</v>
      </c>
      <c r="P137" s="62">
        <v>0</v>
      </c>
      <c r="Q137" s="65">
        <v>27881</v>
      </c>
      <c r="R137" s="62">
        <v>590857.16119714302</v>
      </c>
      <c r="S137" s="62">
        <v>136476.67495787499</v>
      </c>
      <c r="T137" s="65"/>
      <c r="U137" s="55">
        <v>345566.87795875798</v>
      </c>
      <c r="V137" s="55">
        <v>0</v>
      </c>
      <c r="W137" s="45">
        <v>1603002.5202867142</v>
      </c>
      <c r="X137" s="46">
        <v>9.4595339940791145</v>
      </c>
    </row>
    <row r="138" spans="1:24" s="4" customFormat="1" ht="15" customHeight="1">
      <c r="A138" s="79" t="s">
        <v>3955</v>
      </c>
      <c r="B138" s="80">
        <v>3394.61</v>
      </c>
      <c r="C138" s="81" t="s">
        <v>4397</v>
      </c>
      <c r="D138" s="82">
        <v>4951380717</v>
      </c>
      <c r="E138" s="82" t="s">
        <v>38</v>
      </c>
      <c r="F138" s="82" t="s">
        <v>4398</v>
      </c>
      <c r="G138" s="79" t="s">
        <v>9</v>
      </c>
      <c r="H138" s="2" t="s">
        <v>23</v>
      </c>
      <c r="I138" s="2">
        <v>9</v>
      </c>
      <c r="J138" s="2"/>
      <c r="K138" s="2">
        <v>872.28</v>
      </c>
      <c r="L138" s="35">
        <v>2961050.4108000002</v>
      </c>
      <c r="M138" s="36">
        <v>471.5</v>
      </c>
      <c r="N138" s="62">
        <v>98384.265184947406</v>
      </c>
      <c r="O138" s="65">
        <v>1431.3333333333301</v>
      </c>
      <c r="P138" s="62">
        <v>0</v>
      </c>
      <c r="Q138" s="65">
        <v>27881</v>
      </c>
      <c r="R138" s="62">
        <v>116078.813126856</v>
      </c>
      <c r="S138" s="62">
        <v>26811.9801010993</v>
      </c>
      <c r="T138" s="65"/>
      <c r="U138" s="55">
        <v>67889.492898981</v>
      </c>
      <c r="V138" s="55">
        <v>0</v>
      </c>
      <c r="W138" s="45">
        <v>338476.88464521698</v>
      </c>
      <c r="X138" s="46">
        <v>11.430973394126349</v>
      </c>
    </row>
    <row r="140" spans="1:24" ht="15" customHeight="1">
      <c r="A140" s="87" t="s">
        <v>3955</v>
      </c>
      <c r="B140" s="31"/>
      <c r="C140" s="31"/>
      <c r="D140" s="31"/>
      <c r="E140" s="31"/>
      <c r="F140" s="32">
        <v>5</v>
      </c>
      <c r="G140" s="31"/>
      <c r="H140" s="31"/>
      <c r="I140" s="38"/>
      <c r="J140" s="31"/>
      <c r="K140" s="39">
        <f>+SUM(K123:K138)</f>
        <v>174572.04</v>
      </c>
      <c r="L140" s="39">
        <f>+SUM(L123:L138)</f>
        <v>592603992.70440006</v>
      </c>
      <c r="M140" s="31"/>
      <c r="N140" s="39"/>
      <c r="O140" s="39"/>
      <c r="P140" s="39"/>
      <c r="Q140" s="39"/>
      <c r="R140" s="39"/>
      <c r="S140" s="39"/>
      <c r="T140" s="39"/>
      <c r="U140" s="39"/>
      <c r="V140" s="31"/>
      <c r="W140" s="39">
        <f>+SUM(W123:W138)</f>
        <v>29536578.901408453</v>
      </c>
      <c r="X140" s="47">
        <f>(W140/L140)*100</f>
        <v>4.9842018050900565</v>
      </c>
    </row>
  </sheetData>
  <conditionalFormatting sqref="C2">
    <cfRule type="duplicateValues" dxfId="8" priority="14"/>
  </conditionalFormatting>
  <conditionalFormatting sqref="C3">
    <cfRule type="duplicateValues" dxfId="7" priority="13"/>
  </conditionalFormatting>
  <conditionalFormatting sqref="C4">
    <cfRule type="duplicateValues" dxfId="6" priority="12"/>
  </conditionalFormatting>
  <conditionalFormatting sqref="C5">
    <cfRule type="duplicateValues" dxfId="5" priority="11"/>
  </conditionalFormatting>
  <conditionalFormatting sqref="C6">
    <cfRule type="duplicateValues" dxfId="4" priority="10"/>
  </conditionalFormatting>
  <conditionalFormatting sqref="C7">
    <cfRule type="duplicateValues" dxfId="3" priority="9"/>
  </conditionalFormatting>
  <conditionalFormatting sqref="C8">
    <cfRule type="duplicateValues" dxfId="2" priority="8"/>
  </conditionalFormatting>
  <conditionalFormatting sqref="C9">
    <cfRule type="duplicateValues" dxfId="1" priority="7"/>
  </conditionalFormatting>
  <conditionalFormatting sqref="C10">
    <cfRule type="duplicateValues" dxfId="0" priority="6"/>
  </conditionalFormatting>
  <pageMargins left="0.69930555555555596" right="0.69930555555555596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20"/>
  <sheetViews>
    <sheetView showGridLines="0" topLeftCell="A180" zoomScale="85" zoomScaleNormal="85" workbookViewId="0">
      <selection activeCell="E193" activeCellId="8" sqref="E18 E56 E75 E94 E113 E134 E153 E175 E193"/>
    </sheetView>
  </sheetViews>
  <sheetFormatPr baseColWidth="10" defaultColWidth="9" defaultRowHeight="15"/>
  <cols>
    <col min="1" max="1" width="12.28515625" customWidth="1"/>
    <col min="2" max="2" width="7.5703125" customWidth="1"/>
    <col min="3" max="3" width="15.28515625" customWidth="1"/>
    <col min="4" max="5" width="17.7109375" customWidth="1"/>
    <col min="6" max="6" width="8.85546875" customWidth="1"/>
    <col min="7" max="7" width="8.140625" customWidth="1"/>
    <col min="8" max="8" width="14.7109375" customWidth="1"/>
    <col min="9" max="9" width="18.140625" customWidth="1"/>
    <col min="10" max="10" width="15.5703125" customWidth="1"/>
  </cols>
  <sheetData>
    <row r="1" spans="1:10" s="3" customFormat="1" ht="21" customHeight="1">
      <c r="A1" s="94" t="s">
        <v>4402</v>
      </c>
      <c r="B1" s="95"/>
      <c r="C1" s="95"/>
      <c r="D1" s="95"/>
      <c r="E1" s="95"/>
      <c r="F1" s="95"/>
      <c r="G1" s="96"/>
    </row>
    <row r="2" spans="1:10" s="4" customFormat="1" ht="21" customHeight="1">
      <c r="A2" s="6"/>
      <c r="B2" s="7"/>
      <c r="C2" s="7"/>
      <c r="D2" s="6"/>
      <c r="E2" s="6"/>
      <c r="F2" s="6"/>
      <c r="G2" s="6"/>
    </row>
    <row r="3" spans="1:10" s="4" customFormat="1" ht="21" customHeight="1">
      <c r="A3" s="6"/>
      <c r="B3" s="6"/>
      <c r="C3" s="6"/>
      <c r="D3" s="6"/>
      <c r="E3" s="6"/>
      <c r="F3" s="6"/>
      <c r="G3" s="6"/>
    </row>
    <row r="4" spans="1:10" s="4" customFormat="1" ht="19.5" customHeight="1">
      <c r="A4" s="6"/>
      <c r="B4" s="6"/>
      <c r="C4" s="6"/>
      <c r="D4" s="6"/>
      <c r="E4" s="6"/>
      <c r="F4" s="6"/>
      <c r="G4" s="6"/>
    </row>
    <row r="5" spans="1:10" s="4" customFormat="1" ht="19.5" customHeight="1">
      <c r="A5" s="6"/>
      <c r="B5" s="6"/>
      <c r="C5" s="6"/>
      <c r="D5" s="6"/>
      <c r="E5" s="6"/>
      <c r="F5" s="6"/>
      <c r="G5" s="6"/>
    </row>
    <row r="6" spans="1:10">
      <c r="A6" s="97" t="s">
        <v>6</v>
      </c>
      <c r="B6" s="97"/>
      <c r="C6" s="97"/>
      <c r="D6" s="97"/>
      <c r="E6" s="97"/>
      <c r="F6" s="97"/>
      <c r="G6" s="97"/>
    </row>
    <row r="7" spans="1:10">
      <c r="A7" s="110" t="s">
        <v>3</v>
      </c>
      <c r="B7" s="98" t="s">
        <v>4403</v>
      </c>
      <c r="C7" s="98"/>
      <c r="D7" s="98"/>
      <c r="E7" s="91" t="s">
        <v>61</v>
      </c>
      <c r="F7" s="88" t="s">
        <v>4404</v>
      </c>
      <c r="G7" s="91" t="s">
        <v>2</v>
      </c>
    </row>
    <row r="8" spans="1:10" ht="15" customHeight="1">
      <c r="A8" s="110"/>
      <c r="B8" s="99" t="s">
        <v>4405</v>
      </c>
      <c r="C8" s="99" t="s">
        <v>4406</v>
      </c>
      <c r="D8" s="99"/>
      <c r="E8" s="92"/>
      <c r="F8" s="89"/>
      <c r="G8" s="92"/>
    </row>
    <row r="9" spans="1:10" ht="30.75" customHeight="1">
      <c r="A9" s="110"/>
      <c r="B9" s="99"/>
      <c r="C9" s="8" t="s">
        <v>4407</v>
      </c>
      <c r="D9" s="8" t="s">
        <v>4408</v>
      </c>
      <c r="E9" s="93"/>
      <c r="F9" s="90"/>
      <c r="G9" s="93"/>
    </row>
    <row r="10" spans="1:10">
      <c r="A10" s="9" t="s">
        <v>7</v>
      </c>
      <c r="B10" s="9">
        <f>+AP!F22</f>
        <v>16</v>
      </c>
      <c r="C10" s="10">
        <f>+AP!K22</f>
        <v>222194.81</v>
      </c>
      <c r="D10" s="11">
        <f>+AP!L22</f>
        <v>704268669.77600002</v>
      </c>
      <c r="E10" s="11">
        <f>+AP!W22</f>
        <v>63614330.18972332</v>
      </c>
      <c r="F10" s="12">
        <f>+AP!X22</f>
        <v>9.0326792770657427</v>
      </c>
      <c r="G10" s="13">
        <v>1.7000000000000001E-2</v>
      </c>
      <c r="H10" s="14"/>
      <c r="I10" s="14"/>
      <c r="J10" s="14"/>
    </row>
    <row r="11" spans="1:10">
      <c r="A11" s="9" t="s">
        <v>11</v>
      </c>
      <c r="B11" s="9">
        <f>+AP!F55</f>
        <v>23</v>
      </c>
      <c r="C11" s="10">
        <f>+AP!K55</f>
        <v>1923368.9500000002</v>
      </c>
      <c r="D11" s="11">
        <f>+AP!L55</f>
        <v>6170692611.4295006</v>
      </c>
      <c r="E11" s="11">
        <f>+AP!W55</f>
        <v>142711917.42555556</v>
      </c>
      <c r="F11" s="12">
        <f>+AP!X55</f>
        <v>2.3127374253130228</v>
      </c>
      <c r="G11" s="13">
        <v>1.7000000000000001E-2</v>
      </c>
      <c r="H11" s="14"/>
      <c r="I11" s="14"/>
      <c r="J11" s="14"/>
    </row>
    <row r="12" spans="1:10">
      <c r="A12" s="9" t="s">
        <v>15</v>
      </c>
      <c r="B12" s="9">
        <f>+AP!F94</f>
        <v>22</v>
      </c>
      <c r="C12" s="10">
        <f>+AP!K94</f>
        <v>1691713.69</v>
      </c>
      <c r="D12" s="11">
        <f>+AP!L94</f>
        <v>5254572682.529851</v>
      </c>
      <c r="E12" s="11">
        <f>+AP!W94</f>
        <v>95358498.944444418</v>
      </c>
      <c r="F12" s="12">
        <f>+AP!X94</f>
        <v>1.8147717180026408</v>
      </c>
      <c r="G12" s="13">
        <v>1.7000000000000001E-2</v>
      </c>
      <c r="H12" s="14"/>
      <c r="I12" s="14"/>
      <c r="J12" s="14"/>
    </row>
    <row r="13" spans="1:10">
      <c r="A13" s="9" t="s">
        <v>19</v>
      </c>
      <c r="B13" s="9">
        <f>+AP!F126</f>
        <v>25</v>
      </c>
      <c r="C13" s="10">
        <f>+AP!K126</f>
        <v>2099538.4500000002</v>
      </c>
      <c r="D13" s="11">
        <f>+AP!L126</f>
        <v>6612769288.2735004</v>
      </c>
      <c r="E13" s="11">
        <f>+AP!W126</f>
        <v>143427455.32000005</v>
      </c>
      <c r="F13" s="12">
        <f>+AP!X126</f>
        <v>2.1689469126700307</v>
      </c>
      <c r="G13" s="13">
        <v>1.7000000000000001E-2</v>
      </c>
      <c r="H13" s="14"/>
      <c r="I13" s="14"/>
      <c r="J13" s="14"/>
    </row>
    <row r="14" spans="1:10">
      <c r="A14" s="9" t="s">
        <v>22</v>
      </c>
      <c r="B14" s="9">
        <f>+AP!F141</f>
        <v>12</v>
      </c>
      <c r="C14" s="10">
        <f>+AP!K141</f>
        <v>639735.39</v>
      </c>
      <c r="D14" s="11">
        <f>+AP!L141</f>
        <v>2092580858.0439</v>
      </c>
      <c r="E14" s="11">
        <f>+AP!W141</f>
        <v>61473425</v>
      </c>
      <c r="F14" s="12">
        <f>+AP!X141</f>
        <v>2.9376845708826775</v>
      </c>
      <c r="G14" s="13">
        <v>1.7000000000000001E-2</v>
      </c>
      <c r="H14" s="14"/>
      <c r="I14" s="14"/>
      <c r="J14" s="14"/>
    </row>
    <row r="15" spans="1:10">
      <c r="A15" s="9" t="s">
        <v>25</v>
      </c>
      <c r="B15" s="9">
        <f>+AP!F156</f>
        <v>11</v>
      </c>
      <c r="C15" s="10">
        <f>+AP!K156</f>
        <v>539189</v>
      </c>
      <c r="D15" s="11">
        <f>+AP!L156</f>
        <v>1767898285.0899999</v>
      </c>
      <c r="E15" s="11">
        <f>+AP!W156</f>
        <v>60005833.000000007</v>
      </c>
      <c r="F15" s="12">
        <f>+AP!X156</f>
        <v>3.3941903505463973</v>
      </c>
      <c r="G15" s="13">
        <v>1.7000000000000001E-2</v>
      </c>
      <c r="H15" s="15"/>
      <c r="I15" s="15"/>
      <c r="J15" s="14"/>
    </row>
    <row r="16" spans="1:10">
      <c r="A16" s="9" t="s">
        <v>28</v>
      </c>
      <c r="B16" s="9">
        <f>+AP!F183</f>
        <v>15</v>
      </c>
      <c r="C16" s="10">
        <f>+AP!K183</f>
        <v>1882496.2700000003</v>
      </c>
      <c r="D16" s="11">
        <f>+AP!L183</f>
        <v>6016768690.8045511</v>
      </c>
      <c r="E16" s="11">
        <f>+AP!W183</f>
        <v>147605816.51527497</v>
      </c>
      <c r="F16" s="12">
        <f>+AP!X183</f>
        <v>2.4532406695451243</v>
      </c>
      <c r="G16" s="13">
        <v>1.7000000000000001E-2</v>
      </c>
      <c r="H16" s="14"/>
      <c r="I16" s="14"/>
      <c r="J16" s="15"/>
    </row>
    <row r="17" spans="1:10">
      <c r="A17" s="9" t="s">
        <v>31</v>
      </c>
      <c r="B17" s="9">
        <f>+AP!F210</f>
        <v>21</v>
      </c>
      <c r="C17" s="10">
        <f>+AP!K210</f>
        <v>1411469.92</v>
      </c>
      <c r="D17" s="11">
        <f>+AP!L210</f>
        <v>4780860339.5279999</v>
      </c>
      <c r="E17" s="11">
        <f>+AP!W210</f>
        <v>110472629.19</v>
      </c>
      <c r="F17" s="12">
        <f>+AP!X210</f>
        <v>2.3107269684624723</v>
      </c>
      <c r="G17" s="13">
        <v>1.7000000000000001E-2</v>
      </c>
      <c r="H17" s="14"/>
      <c r="I17" s="14"/>
      <c r="J17" s="14"/>
    </row>
    <row r="18" spans="1:10">
      <c r="A18" s="9" t="s">
        <v>34</v>
      </c>
      <c r="B18" s="9">
        <f>+AP!F229</f>
        <v>15</v>
      </c>
      <c r="C18" s="10">
        <f>+AP!K229</f>
        <v>1154572.3799999999</v>
      </c>
      <c r="D18" s="11">
        <f>+AP!L229</f>
        <v>3919322946.8717995</v>
      </c>
      <c r="E18" s="11">
        <f>+AP!W229</f>
        <v>95492852</v>
      </c>
      <c r="F18" s="12">
        <f>+AP!X229</f>
        <v>2.4364629629772523</v>
      </c>
      <c r="G18" s="13">
        <v>1.7000000000000001E-2</v>
      </c>
      <c r="H18" s="14"/>
      <c r="I18" s="14"/>
      <c r="J18" s="14"/>
    </row>
    <row r="19" spans="1:10">
      <c r="A19" s="9" t="s">
        <v>37</v>
      </c>
      <c r="B19" s="9"/>
      <c r="C19" s="10"/>
      <c r="D19" s="11"/>
      <c r="E19" s="11"/>
      <c r="F19" s="12"/>
      <c r="G19" s="13">
        <v>1.7000000000000001E-2</v>
      </c>
      <c r="H19" s="14"/>
      <c r="I19" s="14"/>
      <c r="J19" s="14"/>
    </row>
    <row r="20" spans="1:10">
      <c r="A20" s="9" t="s">
        <v>39</v>
      </c>
      <c r="B20" s="9"/>
      <c r="C20" s="10"/>
      <c r="D20" s="11"/>
      <c r="E20" s="11"/>
      <c r="F20" s="12"/>
      <c r="G20" s="13">
        <v>1.7000000000000001E-2</v>
      </c>
      <c r="H20" s="14"/>
      <c r="I20" s="14"/>
      <c r="J20" s="14"/>
    </row>
    <row r="21" spans="1:10">
      <c r="A21" s="9" t="s">
        <v>40</v>
      </c>
      <c r="B21" s="9"/>
      <c r="C21" s="10"/>
      <c r="D21" s="11"/>
      <c r="E21" s="11"/>
      <c r="F21" s="12"/>
      <c r="G21" s="13">
        <v>1.7000000000000001E-2</v>
      </c>
      <c r="H21" s="14"/>
      <c r="I21" s="14"/>
      <c r="J21" s="14"/>
    </row>
    <row r="22" spans="1:10">
      <c r="A22" s="16" t="s">
        <v>4409</v>
      </c>
      <c r="B22" s="16">
        <f>SUM(B10:B21)</f>
        <v>160</v>
      </c>
      <c r="C22" s="16"/>
      <c r="D22" s="17">
        <f>SUM(D10:D21)</f>
        <v>37319734372.347099</v>
      </c>
      <c r="E22" s="17">
        <f>SUM(E10:E21)</f>
        <v>920162757.58499837</v>
      </c>
      <c r="F22" s="18">
        <f>+E22/D22</f>
        <v>2.465619793550336E-2</v>
      </c>
      <c r="G22" s="16"/>
    </row>
    <row r="25" spans="1:10">
      <c r="A25" s="97" t="s">
        <v>10</v>
      </c>
      <c r="B25" s="97"/>
      <c r="C25" s="97"/>
      <c r="D25" s="97"/>
      <c r="E25" s="97"/>
      <c r="F25" s="97"/>
      <c r="G25" s="97"/>
    </row>
    <row r="26" spans="1:10">
      <c r="A26" s="110" t="s">
        <v>3</v>
      </c>
      <c r="B26" s="98" t="s">
        <v>4403</v>
      </c>
      <c r="C26" s="98"/>
      <c r="D26" s="98"/>
      <c r="E26" s="91" t="s">
        <v>61</v>
      </c>
      <c r="F26" s="88" t="s">
        <v>4404</v>
      </c>
      <c r="G26" s="91" t="s">
        <v>2</v>
      </c>
    </row>
    <row r="27" spans="1:10" ht="15" customHeight="1">
      <c r="A27" s="110"/>
      <c r="B27" s="99" t="s">
        <v>4405</v>
      </c>
      <c r="C27" s="99" t="s">
        <v>4406</v>
      </c>
      <c r="D27" s="99"/>
      <c r="E27" s="92"/>
      <c r="F27" s="89"/>
      <c r="G27" s="92"/>
    </row>
    <row r="28" spans="1:10">
      <c r="A28" s="110"/>
      <c r="B28" s="99"/>
      <c r="C28" s="8" t="s">
        <v>4407</v>
      </c>
      <c r="D28" s="8" t="s">
        <v>4408</v>
      </c>
      <c r="E28" s="93"/>
      <c r="F28" s="90"/>
      <c r="G28" s="93"/>
    </row>
    <row r="29" spans="1:10">
      <c r="A29" s="9" t="s">
        <v>7</v>
      </c>
      <c r="B29" s="9">
        <f>+APDTA!F18</f>
        <v>15</v>
      </c>
      <c r="C29" s="10">
        <f>+APDTA!K18</f>
        <v>253353.8</v>
      </c>
      <c r="D29" s="11">
        <f>+APDTA!L18</f>
        <v>803030204.48000014</v>
      </c>
      <c r="E29" s="11">
        <f>+APDTA!W18</f>
        <v>49538601.666666664</v>
      </c>
      <c r="F29" s="12">
        <f>+APDTA!X18</f>
        <v>6.1689587004694602</v>
      </c>
      <c r="G29" s="13">
        <v>1.0999999999999999E-2</v>
      </c>
    </row>
    <row r="30" spans="1:10">
      <c r="A30" s="9" t="s">
        <v>11</v>
      </c>
      <c r="B30" s="9">
        <f>+APDTA!F30</f>
        <v>8</v>
      </c>
      <c r="C30" s="10">
        <f>+APDTA!K30</f>
        <v>233807.2</v>
      </c>
      <c r="D30" s="11">
        <f>+APDTA!L30</f>
        <v>730696599.51200008</v>
      </c>
      <c r="E30" s="11">
        <f>+APDTA!W30</f>
        <v>26030899</v>
      </c>
      <c r="F30" s="12">
        <f>+APDTA!X30</f>
        <v>3.5624770961552152</v>
      </c>
      <c r="G30" s="13">
        <v>1.0999999999999999E-2</v>
      </c>
    </row>
    <row r="31" spans="1:10">
      <c r="A31" s="9" t="s">
        <v>15</v>
      </c>
      <c r="B31" s="9">
        <f>+APDTA!F49</f>
        <v>13</v>
      </c>
      <c r="C31" s="10">
        <f>+APDTA!K49</f>
        <v>629799.79999999993</v>
      </c>
      <c r="D31" s="11">
        <f>+APDTA!L49</f>
        <v>1956199115.7869999</v>
      </c>
      <c r="E31" s="11">
        <f>+APDTA!W49</f>
        <v>46679752</v>
      </c>
      <c r="F31" s="12">
        <f>+APDTA!X49</f>
        <v>2.3862474746708098</v>
      </c>
      <c r="G31" s="13">
        <v>1.0999999999999999E-2</v>
      </c>
    </row>
    <row r="32" spans="1:10">
      <c r="A32" s="9" t="s">
        <v>19</v>
      </c>
      <c r="B32" s="9">
        <f>+APDTA!F65</f>
        <v>10</v>
      </c>
      <c r="C32" s="10">
        <f>+APDTA!K65</f>
        <v>292782.24</v>
      </c>
      <c r="D32" s="11">
        <f>+APDTA!L65</f>
        <v>922155726.57119989</v>
      </c>
      <c r="E32" s="11">
        <f>+APDTA!W65</f>
        <v>31181133</v>
      </c>
      <c r="F32" s="12">
        <f>+APDTA!X65</f>
        <v>3.38133051734538</v>
      </c>
      <c r="G32" s="13">
        <v>1.0999999999999999E-2</v>
      </c>
    </row>
    <row r="33" spans="1:7">
      <c r="A33" s="9" t="s">
        <v>22</v>
      </c>
      <c r="B33" s="9">
        <f>+APDTA!F71</f>
        <v>2</v>
      </c>
      <c r="C33" s="10">
        <f>+APDTA!K71</f>
        <v>44280.7</v>
      </c>
      <c r="D33" s="11">
        <f>+APDTA!L71</f>
        <v>144842612.507</v>
      </c>
      <c r="E33" s="11">
        <f>+APDTA!W71</f>
        <v>8228771.0000000056</v>
      </c>
      <c r="F33" s="12">
        <f>+APDTA!X71</f>
        <v>5.6811810126680244</v>
      </c>
      <c r="G33" s="13">
        <v>1.0999999999999999E-2</v>
      </c>
    </row>
    <row r="34" spans="1:7">
      <c r="A34" s="9" t="s">
        <v>25</v>
      </c>
      <c r="B34" s="9">
        <f>+APDTA!F76</f>
        <v>2</v>
      </c>
      <c r="C34" s="10">
        <f>+APDTA!K76</f>
        <v>20325.599999999999</v>
      </c>
      <c r="D34" s="11">
        <f>+APDTA!L76</f>
        <v>66643780.535999998</v>
      </c>
      <c r="E34" s="11">
        <f>+APDTA!W76</f>
        <v>4563885</v>
      </c>
      <c r="F34" s="12">
        <f>+APDTA!X76</f>
        <v>6.8481784245938098</v>
      </c>
      <c r="G34" s="13">
        <v>1.0999999999999999E-2</v>
      </c>
    </row>
    <row r="35" spans="1:7">
      <c r="A35" s="9" t="s">
        <v>28</v>
      </c>
      <c r="B35" s="9">
        <f>+APDTA!F88</f>
        <v>9</v>
      </c>
      <c r="C35" s="10">
        <f>+APDTA!K88</f>
        <v>379560.53</v>
      </c>
      <c r="D35" s="11">
        <f>+APDTA!L88</f>
        <v>1213138081.36745</v>
      </c>
      <c r="E35" s="11">
        <f>+APDTA!W88</f>
        <v>38224541</v>
      </c>
      <c r="F35" s="12">
        <f>+APDTA!X88</f>
        <v>3.1508813042051464</v>
      </c>
      <c r="G35" s="13">
        <v>1.0999999999999999E-2</v>
      </c>
    </row>
    <row r="36" spans="1:7">
      <c r="A36" s="9" t="s">
        <v>31</v>
      </c>
      <c r="B36" s="9">
        <f>+APDTA!F98</f>
        <v>7</v>
      </c>
      <c r="C36" s="10">
        <f>+APDTA!K98</f>
        <v>316702</v>
      </c>
      <c r="D36" s="11">
        <f>+APDTA!L98</f>
        <v>1072717179.3</v>
      </c>
      <c r="E36" s="11">
        <f>+APDTA!W98</f>
        <v>24498040</v>
      </c>
      <c r="F36" s="12">
        <f>+APDTA!X98</f>
        <v>2.2837370811928417</v>
      </c>
      <c r="G36" s="13">
        <v>1.0999999999999999E-2</v>
      </c>
    </row>
    <row r="37" spans="1:7">
      <c r="A37" s="9" t="s">
        <v>34</v>
      </c>
      <c r="B37" s="9">
        <v>0</v>
      </c>
      <c r="C37" s="10">
        <v>0</v>
      </c>
      <c r="D37" s="11">
        <v>0</v>
      </c>
      <c r="E37" s="11">
        <v>0</v>
      </c>
      <c r="F37" s="12">
        <v>0</v>
      </c>
      <c r="G37" s="13">
        <v>1.0999999999999999E-2</v>
      </c>
    </row>
    <row r="38" spans="1:7">
      <c r="A38" s="9" t="s">
        <v>37</v>
      </c>
      <c r="B38" s="9"/>
      <c r="C38" s="10"/>
      <c r="D38" s="11"/>
      <c r="E38" s="11"/>
      <c r="F38" s="12"/>
      <c r="G38" s="13">
        <v>1.0999999999999999E-2</v>
      </c>
    </row>
    <row r="39" spans="1:7">
      <c r="A39" s="9" t="s">
        <v>39</v>
      </c>
      <c r="B39" s="9"/>
      <c r="C39" s="10"/>
      <c r="D39" s="11"/>
      <c r="E39" s="11"/>
      <c r="F39" s="12"/>
      <c r="G39" s="13">
        <v>1.0999999999999999E-2</v>
      </c>
    </row>
    <row r="40" spans="1:7">
      <c r="A40" s="9" t="s">
        <v>40</v>
      </c>
      <c r="B40" s="9"/>
      <c r="C40" s="10"/>
      <c r="D40" s="11"/>
      <c r="E40" s="11"/>
      <c r="F40" s="12"/>
      <c r="G40" s="13">
        <v>1.0999999999999999E-2</v>
      </c>
    </row>
    <row r="41" spans="1:7">
      <c r="A41" s="16" t="s">
        <v>4409</v>
      </c>
      <c r="B41" s="16">
        <f>SUM(B29:B40)</f>
        <v>66</v>
      </c>
      <c r="C41" s="16"/>
      <c r="D41" s="17">
        <f>SUM(D29:D40)</f>
        <v>6909423300.0606508</v>
      </c>
      <c r="E41" s="17">
        <f>SUM(E29:E40)</f>
        <v>228945622.66666666</v>
      </c>
      <c r="F41" s="18">
        <f>+E41/D41</f>
        <v>3.3135272326513414E-2</v>
      </c>
      <c r="G41" s="16"/>
    </row>
    <row r="44" spans="1:7">
      <c r="A44" s="97" t="s">
        <v>14</v>
      </c>
      <c r="B44" s="97"/>
      <c r="C44" s="97"/>
      <c r="D44" s="97"/>
      <c r="E44" s="97"/>
      <c r="F44" s="97"/>
      <c r="G44" s="97"/>
    </row>
    <row r="45" spans="1:7">
      <c r="A45" s="110" t="s">
        <v>3</v>
      </c>
      <c r="B45" s="98" t="s">
        <v>4403</v>
      </c>
      <c r="C45" s="98"/>
      <c r="D45" s="98"/>
      <c r="E45" s="91" t="s">
        <v>61</v>
      </c>
      <c r="F45" s="88" t="s">
        <v>4404</v>
      </c>
      <c r="G45" s="91" t="s">
        <v>2</v>
      </c>
    </row>
    <row r="46" spans="1:7" ht="15" customHeight="1">
      <c r="A46" s="110"/>
      <c r="B46" s="99" t="s">
        <v>4405</v>
      </c>
      <c r="C46" s="99" t="s">
        <v>4406</v>
      </c>
      <c r="D46" s="99"/>
      <c r="E46" s="92"/>
      <c r="F46" s="89"/>
      <c r="G46" s="92"/>
    </row>
    <row r="47" spans="1:7">
      <c r="A47" s="110"/>
      <c r="B47" s="99"/>
      <c r="C47" s="8" t="s">
        <v>4407</v>
      </c>
      <c r="D47" s="8" t="s">
        <v>4408</v>
      </c>
      <c r="E47" s="93"/>
      <c r="F47" s="90"/>
      <c r="G47" s="93"/>
    </row>
    <row r="48" spans="1:7">
      <c r="A48" s="9" t="s">
        <v>7</v>
      </c>
      <c r="B48" s="9">
        <f>+EM!F174</f>
        <v>87</v>
      </c>
      <c r="C48" s="10">
        <f>+EM!K174</f>
        <v>2188318.6100000003</v>
      </c>
      <c r="D48" s="11">
        <f>+EM!L174</f>
        <v>6936094666.2560005</v>
      </c>
      <c r="E48" s="11">
        <f>+EM!W174</f>
        <v>315764842.39970201</v>
      </c>
      <c r="F48" s="12">
        <f>+EM!X174</f>
        <v>4.5524874961106478</v>
      </c>
      <c r="G48" s="13">
        <v>0.02</v>
      </c>
    </row>
    <row r="49" spans="1:7">
      <c r="A49" s="9" t="s">
        <v>11</v>
      </c>
      <c r="B49" s="9">
        <f>+EM!F336</f>
        <v>74</v>
      </c>
      <c r="C49" s="10">
        <f>+EM!K336</f>
        <v>2075431.5400000003</v>
      </c>
      <c r="D49" s="11">
        <f>+EM!L336</f>
        <v>6486159403.1234007</v>
      </c>
      <c r="E49" s="11">
        <f>+EM!W336</f>
        <v>293775014.33751428</v>
      </c>
      <c r="F49" s="12">
        <f>+EM!X336</f>
        <v>4.5292598605585823</v>
      </c>
      <c r="G49" s="13">
        <v>0.02</v>
      </c>
    </row>
    <row r="50" spans="1:7">
      <c r="A50" s="9" t="s">
        <v>15</v>
      </c>
      <c r="B50" s="9">
        <f>+EM!F505</f>
        <v>75</v>
      </c>
      <c r="C50" s="10">
        <f>+EM!K505</f>
        <v>2047639.4999999993</v>
      </c>
      <c r="D50" s="10">
        <f>+EM!L505</f>
        <v>6360101383.5675011</v>
      </c>
      <c r="E50" s="11">
        <f>+EM!W505</f>
        <v>288400982.8515138</v>
      </c>
      <c r="F50" s="12">
        <f>+EM!X505</f>
        <v>4.5345343644466283</v>
      </c>
      <c r="G50" s="13">
        <v>0.02</v>
      </c>
    </row>
    <row r="51" spans="1:7">
      <c r="A51" s="9" t="s">
        <v>19</v>
      </c>
      <c r="B51" s="9">
        <f>+EM!F662</f>
        <v>85</v>
      </c>
      <c r="C51" s="10">
        <f>+EM!K662</f>
        <v>2245731.0500000003</v>
      </c>
      <c r="D51" s="11">
        <f>+EM!L662</f>
        <v>7073221887.0114994</v>
      </c>
      <c r="E51" s="11">
        <f>+EM!W662</f>
        <v>305189408.20791107</v>
      </c>
      <c r="F51" s="12">
        <f>+EM!X662</f>
        <v>4.3147156003734022</v>
      </c>
      <c r="G51" s="13">
        <v>0.02</v>
      </c>
    </row>
    <row r="52" spans="1:7">
      <c r="A52" s="9" t="s">
        <v>22</v>
      </c>
      <c r="B52" s="9">
        <f>+EM!F897</f>
        <v>98</v>
      </c>
      <c r="C52" s="10">
        <f>+EM!K897</f>
        <v>2273082.3000000003</v>
      </c>
      <c r="D52" s="11">
        <f>+EM!L897</f>
        <v>7435274934.1230001</v>
      </c>
      <c r="E52" s="11">
        <f>+EM!W897</f>
        <v>358644427.11881691</v>
      </c>
      <c r="F52" s="12">
        <f>+EM!X897</f>
        <v>4.8235529996728959</v>
      </c>
      <c r="G52" s="13">
        <v>0.02</v>
      </c>
    </row>
    <row r="53" spans="1:7">
      <c r="A53" s="9" t="s">
        <v>25</v>
      </c>
      <c r="B53" s="9">
        <f>+EM!F1046</f>
        <v>58</v>
      </c>
      <c r="C53" s="10">
        <f>+EM!K1046</f>
        <v>1844469.76</v>
      </c>
      <c r="D53" s="11">
        <f>+EM!L1046</f>
        <v>6047665893.7855997</v>
      </c>
      <c r="E53" s="11">
        <f>+EM!W1046</f>
        <v>254292397.60740221</v>
      </c>
      <c r="F53" s="12">
        <f>+EM!X1046</f>
        <v>4.2048023497578706</v>
      </c>
      <c r="G53" s="13">
        <v>0.02</v>
      </c>
    </row>
    <row r="54" spans="1:7">
      <c r="A54" s="9" t="s">
        <v>28</v>
      </c>
      <c r="B54" s="9">
        <f>+EM!F1253</f>
        <v>76</v>
      </c>
      <c r="C54" s="10">
        <f>+EM!K1253</f>
        <v>2667546.6900000004</v>
      </c>
      <c r="D54" s="11">
        <f>+EM!L1253</f>
        <v>8525919366.4438505</v>
      </c>
      <c r="E54" s="11">
        <f>+EM!W1253</f>
        <v>373818587.72476852</v>
      </c>
      <c r="F54" s="12">
        <f>+EM!X1253</f>
        <v>4.3844959312662111</v>
      </c>
      <c r="G54" s="13">
        <v>0.02</v>
      </c>
    </row>
    <row r="55" spans="1:7">
      <c r="A55" s="9" t="s">
        <v>31</v>
      </c>
      <c r="B55" s="9">
        <f>+EM!F1447</f>
        <v>72</v>
      </c>
      <c r="C55" s="10">
        <f>+EM!K1447</f>
        <v>2223109.44</v>
      </c>
      <c r="D55" s="11">
        <f>+EM!L1447</f>
        <v>7530005139.696002</v>
      </c>
      <c r="E55" s="11">
        <f>+EM!W1447</f>
        <v>345262873.24919748</v>
      </c>
      <c r="F55" s="12">
        <f>+EM!X1447</f>
        <v>4.5851611897191384</v>
      </c>
      <c r="G55" s="13">
        <v>0.02</v>
      </c>
    </row>
    <row r="56" spans="1:7">
      <c r="A56" s="9" t="s">
        <v>34</v>
      </c>
      <c r="B56" s="9">
        <f>+EM!F1657</f>
        <v>88</v>
      </c>
      <c r="C56" s="10">
        <f>+EM!K1657</f>
        <v>2400337.7399999998</v>
      </c>
      <c r="D56" s="11">
        <f>+EM!L1657</f>
        <v>8148210495.5814056</v>
      </c>
      <c r="E56" s="11">
        <f>+EM!W1657</f>
        <v>345299532.09947324</v>
      </c>
      <c r="F56" s="12">
        <f>+EM!X1657</f>
        <v>4.2377345588546289</v>
      </c>
      <c r="G56" s="13">
        <v>0.02</v>
      </c>
    </row>
    <row r="57" spans="1:7">
      <c r="A57" s="9" t="s">
        <v>37</v>
      </c>
      <c r="B57" s="9"/>
      <c r="C57" s="10"/>
      <c r="D57" s="11"/>
      <c r="E57" s="11"/>
      <c r="F57" s="12"/>
      <c r="G57" s="13">
        <v>0.02</v>
      </c>
    </row>
    <row r="58" spans="1:7">
      <c r="A58" s="9" t="s">
        <v>39</v>
      </c>
      <c r="B58" s="9"/>
      <c r="C58" s="10"/>
      <c r="D58" s="11"/>
      <c r="E58" s="11"/>
      <c r="F58" s="12"/>
      <c r="G58" s="13">
        <v>0.02</v>
      </c>
    </row>
    <row r="59" spans="1:7">
      <c r="A59" s="9" t="s">
        <v>40</v>
      </c>
      <c r="B59" s="9"/>
      <c r="C59" s="10"/>
      <c r="D59" s="11"/>
      <c r="E59" s="11"/>
      <c r="F59" s="12"/>
      <c r="G59" s="13">
        <v>0.02</v>
      </c>
    </row>
    <row r="60" spans="1:7">
      <c r="A60" s="16" t="s">
        <v>4409</v>
      </c>
      <c r="B60" s="16">
        <f>SUM(B48:B59)</f>
        <v>713</v>
      </c>
      <c r="C60" s="16"/>
      <c r="D60" s="17">
        <f>SUM(D48:D59)</f>
        <v>64542653169.588257</v>
      </c>
      <c r="E60" s="17">
        <f>SUM(E48:E59)</f>
        <v>2880448065.5962992</v>
      </c>
      <c r="F60" s="18">
        <f>+E60/D60</f>
        <v>4.4628597123638737E-2</v>
      </c>
      <c r="G60" s="16"/>
    </row>
    <row r="63" spans="1:7">
      <c r="A63" s="97" t="s">
        <v>18</v>
      </c>
      <c r="B63" s="97"/>
      <c r="C63" s="97"/>
      <c r="D63" s="97"/>
      <c r="E63" s="97"/>
      <c r="F63" s="97"/>
      <c r="G63" s="97"/>
    </row>
    <row r="64" spans="1:7">
      <c r="A64" s="110" t="s">
        <v>3</v>
      </c>
      <c r="B64" s="98" t="s">
        <v>4403</v>
      </c>
      <c r="C64" s="98"/>
      <c r="D64" s="98"/>
      <c r="E64" s="91" t="s">
        <v>61</v>
      </c>
      <c r="F64" s="88" t="s">
        <v>4404</v>
      </c>
      <c r="G64" s="91" t="s">
        <v>2</v>
      </c>
    </row>
    <row r="65" spans="1:7" ht="15" customHeight="1">
      <c r="A65" s="110"/>
      <c r="B65" s="99" t="s">
        <v>4405</v>
      </c>
      <c r="C65" s="99" t="s">
        <v>4406</v>
      </c>
      <c r="D65" s="99"/>
      <c r="E65" s="92"/>
      <c r="F65" s="89"/>
      <c r="G65" s="92"/>
    </row>
    <row r="66" spans="1:7">
      <c r="A66" s="110"/>
      <c r="B66" s="99"/>
      <c r="C66" s="8" t="s">
        <v>4407</v>
      </c>
      <c r="D66" s="8" t="s">
        <v>4408</v>
      </c>
      <c r="E66" s="93"/>
      <c r="F66" s="90"/>
      <c r="G66" s="93"/>
    </row>
    <row r="67" spans="1:7">
      <c r="A67" s="9" t="s">
        <v>7</v>
      </c>
      <c r="B67" s="9">
        <f>+EN!F56</f>
        <v>35</v>
      </c>
      <c r="C67" s="10">
        <f>+EN!K56</f>
        <v>1461671.6999999997</v>
      </c>
      <c r="D67" s="11">
        <f>+EN!L56</f>
        <v>4632914620.3199997</v>
      </c>
      <c r="E67" s="11">
        <f>+EN!W56</f>
        <v>171275951.86956513</v>
      </c>
      <c r="F67" s="12">
        <f>+EN!X56</f>
        <v>3.6969373689372009</v>
      </c>
      <c r="G67" s="13">
        <v>0.02</v>
      </c>
    </row>
    <row r="68" spans="1:7">
      <c r="A68" s="9" t="s">
        <v>11</v>
      </c>
      <c r="B68" s="11">
        <f>+EN!F78</f>
        <v>11</v>
      </c>
      <c r="C68" s="10">
        <f>+EN!K78</f>
        <v>644405.29</v>
      </c>
      <c r="D68" s="11">
        <f>+EN!L78</f>
        <v>2079366880.3149004</v>
      </c>
      <c r="E68" s="11">
        <f>+EN!W78</f>
        <v>53224295.840706475</v>
      </c>
      <c r="F68" s="12">
        <f>+EN!X78</f>
        <v>2.5596394914516556</v>
      </c>
      <c r="G68" s="13">
        <v>0.02</v>
      </c>
    </row>
    <row r="69" spans="1:7">
      <c r="A69" s="9" t="s">
        <v>15</v>
      </c>
      <c r="B69" s="9">
        <f>+EN!F111</f>
        <v>21</v>
      </c>
      <c r="C69" s="10">
        <f>+EN!K111</f>
        <v>1282099</v>
      </c>
      <c r="D69" s="10">
        <f>+EN!L111</f>
        <v>3982282830.4349995</v>
      </c>
      <c r="E69" s="11">
        <f>+EN!W111</f>
        <v>103081681.72049791</v>
      </c>
      <c r="F69" s="12">
        <f>+EN!X111</f>
        <v>2.5885072986952538</v>
      </c>
      <c r="G69" s="13">
        <v>0.02</v>
      </c>
    </row>
    <row r="70" spans="1:7">
      <c r="A70" s="9" t="s">
        <v>19</v>
      </c>
      <c r="B70" s="9">
        <f>+EN!F137</f>
        <v>16</v>
      </c>
      <c r="C70" s="10">
        <f>+EN!K137</f>
        <v>787857.60000000009</v>
      </c>
      <c r="D70" s="11">
        <f>+EN!L137</f>
        <v>2481459932.6879997</v>
      </c>
      <c r="E70" s="11">
        <f>+EN!W137</f>
        <v>68582220.178423226</v>
      </c>
      <c r="F70" s="12">
        <f>+EN!X137</f>
        <v>2.7637851119414485</v>
      </c>
      <c r="G70" s="13">
        <v>0.02</v>
      </c>
    </row>
    <row r="71" spans="1:7">
      <c r="A71" s="9" t="s">
        <v>22</v>
      </c>
      <c r="B71" s="9">
        <f>+EN!F178</f>
        <v>23</v>
      </c>
      <c r="C71" s="10">
        <f>+EN!K178</f>
        <v>2092100.9</v>
      </c>
      <c r="D71" s="11">
        <f>+EN!L178</f>
        <v>6843282964.9090023</v>
      </c>
      <c r="E71" s="11">
        <f>+EN!W178</f>
        <v>126713603.46332726</v>
      </c>
      <c r="F71" s="12">
        <f>+EN!X178</f>
        <v>1.8516493342901279</v>
      </c>
      <c r="G71" s="13">
        <v>0.02</v>
      </c>
    </row>
    <row r="72" spans="1:7">
      <c r="A72" s="9" t="s">
        <v>25</v>
      </c>
      <c r="B72" s="9">
        <f>+EN!F200</f>
        <v>13</v>
      </c>
      <c r="C72" s="10">
        <f>+EN!K200</f>
        <v>653541.25</v>
      </c>
      <c r="D72" s="11">
        <f>+EN!L200</f>
        <v>2142837585.9125001</v>
      </c>
      <c r="E72" s="11">
        <f>+EN!W200</f>
        <v>87628163.84025608</v>
      </c>
      <c r="F72" s="12">
        <f>+EN!X200</f>
        <v>4.0893516343162677</v>
      </c>
      <c r="G72" s="13">
        <v>0.02</v>
      </c>
    </row>
    <row r="73" spans="1:7">
      <c r="A73" s="9" t="s">
        <v>28</v>
      </c>
      <c r="B73" s="9">
        <f>+EN!F234</f>
        <v>18</v>
      </c>
      <c r="C73" s="10">
        <f>+EN!K234</f>
        <v>1403409.6400000001</v>
      </c>
      <c r="D73" s="11">
        <f>+EN!L234</f>
        <v>4485528772.0306005</v>
      </c>
      <c r="E73" s="11">
        <f>+EN!W234</f>
        <v>84873804.447602987</v>
      </c>
      <c r="F73" s="12">
        <f>+EN!X234</f>
        <v>1.8921694355597811</v>
      </c>
      <c r="G73" s="13">
        <v>0.02</v>
      </c>
    </row>
    <row r="74" spans="1:7">
      <c r="A74" s="9" t="s">
        <v>31</v>
      </c>
      <c r="B74" s="9">
        <f>+EN!F270</f>
        <v>23</v>
      </c>
      <c r="C74" s="10">
        <f>+EN!K270</f>
        <v>1075516.5</v>
      </c>
      <c r="D74" s="11">
        <f>+EN!L270</f>
        <v>3642935712.9750004</v>
      </c>
      <c r="E74" s="11">
        <f>+EN!W270</f>
        <v>152607919.11832014</v>
      </c>
      <c r="F74" s="12">
        <f>+EN!X270</f>
        <v>4.1891466427688622</v>
      </c>
      <c r="G74" s="13">
        <v>0.02</v>
      </c>
    </row>
    <row r="75" spans="1:7">
      <c r="A75" s="9" t="s">
        <v>34</v>
      </c>
      <c r="B75" s="9">
        <f>+EN!F309</f>
        <v>19</v>
      </c>
      <c r="C75" s="10">
        <f>+EN!K309</f>
        <v>1300544.5499999998</v>
      </c>
      <c r="D75" s="11">
        <f>+EN!L309</f>
        <v>4414841534.8755007</v>
      </c>
      <c r="E75" s="11">
        <f>+EN!W309</f>
        <v>95339941.576889768</v>
      </c>
      <c r="F75" s="12">
        <f>+EN!X309</f>
        <v>2.1595325862489507</v>
      </c>
      <c r="G75" s="13">
        <v>0.02</v>
      </c>
    </row>
    <row r="76" spans="1:7">
      <c r="A76" s="9" t="s">
        <v>37</v>
      </c>
      <c r="B76" s="9"/>
      <c r="C76" s="10"/>
      <c r="D76" s="11"/>
      <c r="E76" s="11"/>
      <c r="F76" s="12"/>
      <c r="G76" s="13">
        <v>0.02</v>
      </c>
    </row>
    <row r="77" spans="1:7">
      <c r="A77" s="9" t="s">
        <v>39</v>
      </c>
      <c r="B77" s="9"/>
      <c r="C77" s="10"/>
      <c r="D77" s="11"/>
      <c r="E77" s="11"/>
      <c r="F77" s="12"/>
      <c r="G77" s="13">
        <v>0.02</v>
      </c>
    </row>
    <row r="78" spans="1:7">
      <c r="A78" s="9" t="s">
        <v>40</v>
      </c>
      <c r="B78" s="9"/>
      <c r="C78" s="10"/>
      <c r="D78" s="11"/>
      <c r="E78" s="11"/>
      <c r="F78" s="12"/>
      <c r="G78" s="13">
        <v>0.02</v>
      </c>
    </row>
    <row r="79" spans="1:7">
      <c r="A79" s="16" t="s">
        <v>4409</v>
      </c>
      <c r="B79" s="16">
        <f>SUM(B67:B78)</f>
        <v>179</v>
      </c>
      <c r="C79" s="16"/>
      <c r="D79" s="17">
        <f>SUM(D67:D78)</f>
        <v>34705450834.460503</v>
      </c>
      <c r="E79" s="17">
        <f>SUM(E67:E78)</f>
        <v>943327582.05558896</v>
      </c>
      <c r="F79" s="18">
        <f>+E79/D79</f>
        <v>2.7180963202440792E-2</v>
      </c>
      <c r="G79" s="16"/>
    </row>
    <row r="82" spans="1:7">
      <c r="A82" s="97" t="s">
        <v>24</v>
      </c>
      <c r="B82" s="97"/>
      <c r="C82" s="97"/>
      <c r="D82" s="97"/>
      <c r="E82" s="97"/>
      <c r="F82" s="97"/>
      <c r="G82" s="97"/>
    </row>
    <row r="83" spans="1:7">
      <c r="A83" s="110" t="s">
        <v>3</v>
      </c>
      <c r="B83" s="98" t="s">
        <v>4403</v>
      </c>
      <c r="C83" s="98"/>
      <c r="D83" s="98"/>
      <c r="E83" s="91" t="s">
        <v>61</v>
      </c>
      <c r="F83" s="88" t="s">
        <v>4404</v>
      </c>
      <c r="G83" s="91" t="s">
        <v>2</v>
      </c>
    </row>
    <row r="84" spans="1:7" ht="15" customHeight="1">
      <c r="A84" s="110"/>
      <c r="B84" s="99" t="s">
        <v>4405</v>
      </c>
      <c r="C84" s="99" t="s">
        <v>4406</v>
      </c>
      <c r="D84" s="99"/>
      <c r="E84" s="92"/>
      <c r="F84" s="89"/>
      <c r="G84" s="92"/>
    </row>
    <row r="85" spans="1:7">
      <c r="A85" s="110"/>
      <c r="B85" s="99"/>
      <c r="C85" s="8" t="s">
        <v>4407</v>
      </c>
      <c r="D85" s="8" t="s">
        <v>4408</v>
      </c>
      <c r="E85" s="93"/>
      <c r="F85" s="90"/>
      <c r="G85" s="93"/>
    </row>
    <row r="86" spans="1:7">
      <c r="A86" s="9" t="s">
        <v>7</v>
      </c>
      <c r="B86" s="9">
        <f>+ED!F33</f>
        <v>28</v>
      </c>
      <c r="C86" s="10">
        <f>+ED!K33</f>
        <v>736085.71999999986</v>
      </c>
      <c r="D86" s="11">
        <f>+ED!L33</f>
        <v>2333097298.112</v>
      </c>
      <c r="E86" s="11">
        <f>+ED!W33</f>
        <v>89654416.145770907</v>
      </c>
      <c r="F86" s="12">
        <f>+ED!X33</f>
        <v>3.8427208423035539</v>
      </c>
      <c r="G86" s="13">
        <v>0.06</v>
      </c>
    </row>
    <row r="87" spans="1:7">
      <c r="A87" s="9" t="s">
        <v>11</v>
      </c>
      <c r="B87" s="9">
        <f>+ED!F58</f>
        <v>19</v>
      </c>
      <c r="C87" s="10">
        <f>+ED!K58</f>
        <v>425507.09000000008</v>
      </c>
      <c r="D87" s="11">
        <f>+ED!L58</f>
        <v>1329799012.7388999</v>
      </c>
      <c r="E87" s="11">
        <f>+ED!W58</f>
        <v>80513447.231622383</v>
      </c>
      <c r="F87" s="12">
        <f>+ED!X58</f>
        <v>6.054557603091772</v>
      </c>
      <c r="G87" s="13">
        <v>0.06</v>
      </c>
    </row>
    <row r="88" spans="1:7">
      <c r="A88" s="9" t="s">
        <v>15</v>
      </c>
      <c r="B88" s="9">
        <f>+ED!F78</f>
        <v>13</v>
      </c>
      <c r="C88" s="10">
        <f>+ED!K78</f>
        <v>210281.47999999998</v>
      </c>
      <c r="D88" s="10">
        <f>+ED!L78</f>
        <v>653147945.17619991</v>
      </c>
      <c r="E88" s="11">
        <f>+ED!W78</f>
        <v>38472265.758425474</v>
      </c>
      <c r="F88" s="12">
        <f>+ED!X78</f>
        <v>5.8902835173196175</v>
      </c>
      <c r="G88" s="13">
        <v>0.06</v>
      </c>
    </row>
    <row r="89" spans="1:7">
      <c r="A89" s="9" t="s">
        <v>19</v>
      </c>
      <c r="B89" s="9">
        <f>+ED!F104</f>
        <v>20</v>
      </c>
      <c r="C89" s="10">
        <f>+ED!K104</f>
        <v>348256.49</v>
      </c>
      <c r="D89" s="11">
        <f>+ED!L104</f>
        <v>1096879088.5987</v>
      </c>
      <c r="E89" s="11">
        <f>+ED!W104</f>
        <v>67152947.05376637</v>
      </c>
      <c r="F89" s="12">
        <f>+ED!X104</f>
        <v>6.1221831787819498</v>
      </c>
      <c r="G89" s="13">
        <v>0.06</v>
      </c>
    </row>
    <row r="90" spans="1:7">
      <c r="A90" s="9" t="s">
        <v>22</v>
      </c>
      <c r="B90" s="9">
        <f>+ED!F131</f>
        <v>21</v>
      </c>
      <c r="C90" s="10">
        <f>+ED!K131</f>
        <v>441823.33</v>
      </c>
      <c r="D90" s="11">
        <f>+ED!L131</f>
        <v>1445208530.6633</v>
      </c>
      <c r="E90" s="11">
        <f>+ED!W131</f>
        <v>69606234.562858462</v>
      </c>
      <c r="F90" s="12">
        <f>+ED!X131</f>
        <v>4.8163453983288935</v>
      </c>
      <c r="G90" s="13">
        <v>0.06</v>
      </c>
    </row>
    <row r="91" spans="1:7">
      <c r="A91" s="9" t="s">
        <v>25</v>
      </c>
      <c r="B91" s="9">
        <f>+ED!F148</f>
        <v>11</v>
      </c>
      <c r="C91" s="10">
        <f>+ED!K148</f>
        <v>143647.88</v>
      </c>
      <c r="D91" s="11">
        <f>+ED!L148</f>
        <v>470994105.4228</v>
      </c>
      <c r="E91" s="11">
        <f>+ED!W148</f>
        <v>32793615.407653175</v>
      </c>
      <c r="F91" s="12">
        <f>+ED!X148</f>
        <v>6.962638179561746</v>
      </c>
      <c r="G91" s="13">
        <v>0.06</v>
      </c>
    </row>
    <row r="92" spans="1:7">
      <c r="A92" s="9" t="s">
        <v>28</v>
      </c>
      <c r="B92" s="9">
        <f>+ED!F167</f>
        <v>15</v>
      </c>
      <c r="C92" s="10">
        <f>+ED!K167</f>
        <v>240701.18999999997</v>
      </c>
      <c r="D92" s="11">
        <f>+ED!L167</f>
        <v>769320718.93634999</v>
      </c>
      <c r="E92" s="11">
        <f>+ED!W167</f>
        <v>59591277.213782609</v>
      </c>
      <c r="F92" s="12">
        <f>+ED!X167</f>
        <v>7.7459602668926584</v>
      </c>
      <c r="G92" s="13">
        <v>0.06</v>
      </c>
    </row>
    <row r="93" spans="1:7">
      <c r="A93" s="9" t="s">
        <v>31</v>
      </c>
      <c r="B93" s="9">
        <f>+ED!F194</f>
        <v>18</v>
      </c>
      <c r="C93" s="10">
        <f>+ED!K194</f>
        <v>383284.09</v>
      </c>
      <c r="D93" s="11">
        <f>+ED!L194</f>
        <v>1298240705.4435</v>
      </c>
      <c r="E93" s="11">
        <f>+ED!W194</f>
        <v>76619059.015714273</v>
      </c>
      <c r="F93" s="12">
        <f>+ED!X194</f>
        <v>5.9017606438044909</v>
      </c>
      <c r="G93" s="13">
        <v>0.06</v>
      </c>
    </row>
    <row r="94" spans="1:7">
      <c r="A94" s="9" t="s">
        <v>34</v>
      </c>
      <c r="B94" s="9">
        <f>+ED!F229</f>
        <v>23</v>
      </c>
      <c r="C94" s="10">
        <f>+ED!K229</f>
        <v>405643.72000000009</v>
      </c>
      <c r="D94" s="11">
        <f>+ED!L229</f>
        <v>1377002228.3492</v>
      </c>
      <c r="E94" s="11">
        <f>+ED!W229</f>
        <v>75011455.669703707</v>
      </c>
      <c r="F94" s="12">
        <f>+ED!X229</f>
        <v>5.4474462078126153</v>
      </c>
      <c r="G94" s="13">
        <v>0.06</v>
      </c>
    </row>
    <row r="95" spans="1:7">
      <c r="A95" s="9" t="s">
        <v>37</v>
      </c>
      <c r="B95" s="9"/>
      <c r="C95" s="10"/>
      <c r="D95" s="11"/>
      <c r="E95" s="11"/>
      <c r="F95" s="12"/>
      <c r="G95" s="13">
        <v>0.06</v>
      </c>
    </row>
    <row r="96" spans="1:7">
      <c r="A96" s="9" t="s">
        <v>39</v>
      </c>
      <c r="B96" s="9"/>
      <c r="C96" s="10"/>
      <c r="D96" s="11"/>
      <c r="E96" s="11"/>
      <c r="F96" s="12"/>
      <c r="G96" s="13">
        <v>0.06</v>
      </c>
    </row>
    <row r="97" spans="1:7">
      <c r="A97" s="9" t="s">
        <v>40</v>
      </c>
      <c r="B97" s="9"/>
      <c r="C97" s="10"/>
      <c r="D97" s="11"/>
      <c r="E97" s="11"/>
      <c r="F97" s="12"/>
      <c r="G97" s="13">
        <v>0.06</v>
      </c>
    </row>
    <row r="98" spans="1:7">
      <c r="A98" s="16" t="s">
        <v>4409</v>
      </c>
      <c r="B98" s="16">
        <f>SUM(B86:B97)</f>
        <v>168</v>
      </c>
      <c r="C98" s="16"/>
      <c r="D98" s="17">
        <f>SUM(D86:D97)</f>
        <v>10773689633.440948</v>
      </c>
      <c r="E98" s="17">
        <f>SUM(E86:E97)</f>
        <v>589414718.05929732</v>
      </c>
      <c r="F98" s="18">
        <f>+E98/D98</f>
        <v>5.4708715223221766E-2</v>
      </c>
      <c r="G98" s="16"/>
    </row>
    <row r="101" spans="1:7">
      <c r="A101" s="97" t="s">
        <v>21</v>
      </c>
      <c r="B101" s="97"/>
      <c r="C101" s="97"/>
      <c r="D101" s="97"/>
      <c r="E101" s="97"/>
      <c r="F101" s="97"/>
      <c r="G101" s="97"/>
    </row>
    <row r="102" spans="1:7">
      <c r="A102" s="110" t="s">
        <v>3</v>
      </c>
      <c r="B102" s="98" t="s">
        <v>4403</v>
      </c>
      <c r="C102" s="98"/>
      <c r="D102" s="98"/>
      <c r="E102" s="91" t="s">
        <v>61</v>
      </c>
      <c r="F102" s="88" t="s">
        <v>4404</v>
      </c>
      <c r="G102" s="91" t="s">
        <v>2</v>
      </c>
    </row>
    <row r="103" spans="1:7" ht="15" customHeight="1">
      <c r="A103" s="110"/>
      <c r="B103" s="99" t="s">
        <v>4405</v>
      </c>
      <c r="C103" s="99" t="s">
        <v>4406</v>
      </c>
      <c r="D103" s="99"/>
      <c r="E103" s="92"/>
      <c r="F103" s="89"/>
      <c r="G103" s="92"/>
    </row>
    <row r="104" spans="1:7">
      <c r="A104" s="110"/>
      <c r="B104" s="99"/>
      <c r="C104" s="8" t="s">
        <v>4407</v>
      </c>
      <c r="D104" s="8" t="s">
        <v>4408</v>
      </c>
      <c r="E104" s="93"/>
      <c r="F104" s="90"/>
      <c r="G104" s="93"/>
    </row>
    <row r="105" spans="1:7">
      <c r="A105" s="9" t="s">
        <v>7</v>
      </c>
      <c r="B105" s="9">
        <f>+EV!F15</f>
        <v>12</v>
      </c>
      <c r="C105" s="10">
        <f>+EV!K15</f>
        <v>298275.71000000002</v>
      </c>
      <c r="D105" s="11">
        <f>+EV!L15</f>
        <v>945414690.41599989</v>
      </c>
      <c r="E105" s="11">
        <f>+EV!W15</f>
        <v>59215438.21425651</v>
      </c>
      <c r="F105" s="12">
        <f>+EV!X15</f>
        <v>6.2634353807428811</v>
      </c>
      <c r="G105" s="13">
        <v>0.06</v>
      </c>
    </row>
    <row r="106" spans="1:7">
      <c r="A106" s="9" t="s">
        <v>11</v>
      </c>
      <c r="B106" s="9">
        <f>+EV!F26</f>
        <v>8</v>
      </c>
      <c r="C106" s="10">
        <f>+EV!K26</f>
        <v>272988.80000000005</v>
      </c>
      <c r="D106" s="11">
        <f>+EV!L26</f>
        <v>853147327.648</v>
      </c>
      <c r="E106" s="11">
        <f>+EV!W26</f>
        <v>29722367.09</v>
      </c>
      <c r="F106" s="12">
        <f>+EV!X26</f>
        <v>3.4838492868447624</v>
      </c>
      <c r="G106" s="13">
        <v>0.06</v>
      </c>
    </row>
    <row r="107" spans="1:7">
      <c r="A107" s="9" t="s">
        <v>15</v>
      </c>
      <c r="B107" s="9">
        <f>+EV!F37</f>
        <v>8</v>
      </c>
      <c r="C107" s="10">
        <f>+EV!K37</f>
        <v>131242.52000000002</v>
      </c>
      <c r="D107" s="10">
        <f>+EV!L37</f>
        <v>407647797.88379997</v>
      </c>
      <c r="E107" s="11">
        <f>+EV!W37</f>
        <v>23209589.807939056</v>
      </c>
      <c r="F107" s="12">
        <f>+EV!X37</f>
        <v>5.6935398470016887</v>
      </c>
      <c r="G107" s="13">
        <v>0.06</v>
      </c>
    </row>
    <row r="108" spans="1:7">
      <c r="A108" s="9" t="s">
        <v>19</v>
      </c>
      <c r="B108" s="9">
        <f>+EV!F46</f>
        <v>4</v>
      </c>
      <c r="C108" s="10">
        <f>+EV!K46</f>
        <v>305402.62000000005</v>
      </c>
      <c r="D108" s="11">
        <f>+EV!L46</f>
        <v>961905254.03059995</v>
      </c>
      <c r="E108" s="11">
        <f>+EV!W46</f>
        <v>30139144</v>
      </c>
      <c r="F108" s="12">
        <f>+EV!X46</f>
        <v>3.1332757435007434</v>
      </c>
      <c r="G108" s="13">
        <v>0.06</v>
      </c>
    </row>
    <row r="109" spans="1:7">
      <c r="A109" s="9" t="s">
        <v>22</v>
      </c>
      <c r="B109" s="9">
        <f>+EV!F56</f>
        <v>6</v>
      </c>
      <c r="C109" s="10">
        <f>+EV!K56</f>
        <v>130207.12</v>
      </c>
      <c r="D109" s="11">
        <f>+EV!L56</f>
        <v>425908791.59120005</v>
      </c>
      <c r="E109" s="11">
        <f>+EV!W56</f>
        <v>23168334.329411771</v>
      </c>
      <c r="F109" s="12">
        <f>+EV!X56</f>
        <v>5.4397408052683334</v>
      </c>
      <c r="G109" s="13">
        <v>0.06</v>
      </c>
    </row>
    <row r="110" spans="1:7">
      <c r="A110" s="9" t="s">
        <v>25</v>
      </c>
      <c r="B110" s="9">
        <f>+EV!F66</f>
        <v>6</v>
      </c>
      <c r="C110" s="10">
        <f>+EV!K66</f>
        <v>292673.03999999998</v>
      </c>
      <c r="D110" s="11">
        <f>+EV!L66</f>
        <v>959619290.28239989</v>
      </c>
      <c r="E110" s="11">
        <f>+EV!W66</f>
        <v>26937875</v>
      </c>
      <c r="F110" s="12">
        <f>+EV!X66</f>
        <v>2.8071418814509901</v>
      </c>
      <c r="G110" s="13">
        <v>0.06</v>
      </c>
    </row>
    <row r="111" spans="1:7">
      <c r="A111" s="9" t="s">
        <v>28</v>
      </c>
      <c r="B111" s="9">
        <f>+EV!F77</f>
        <v>7</v>
      </c>
      <c r="C111" s="10">
        <f>+EV!K77</f>
        <v>260594.16</v>
      </c>
      <c r="D111" s="11">
        <f>+EV!L77</f>
        <v>832901933.39639997</v>
      </c>
      <c r="E111" s="11">
        <f>+EV!W77</f>
        <v>32160732</v>
      </c>
      <c r="F111" s="12">
        <f>+EV!X77</f>
        <v>3.8612867506328454</v>
      </c>
      <c r="G111" s="13">
        <v>0.06</v>
      </c>
    </row>
    <row r="112" spans="1:7">
      <c r="A112" s="9" t="s">
        <v>31</v>
      </c>
      <c r="B112" s="9">
        <f>+EV!F87</f>
        <v>5</v>
      </c>
      <c r="C112" s="10">
        <f>+EV!K87</f>
        <v>54043.479999999996</v>
      </c>
      <c r="D112" s="11">
        <f>+EV!L87</f>
        <v>183053373.28200001</v>
      </c>
      <c r="E112" s="11">
        <f>+EV!W87</f>
        <v>16423464.80381879</v>
      </c>
      <c r="F112" s="12">
        <f>+EV!X87</f>
        <v>8.9719541953033985</v>
      </c>
      <c r="G112" s="13">
        <v>0.06</v>
      </c>
    </row>
    <row r="113" spans="1:7">
      <c r="A113" s="9" t="s">
        <v>34</v>
      </c>
      <c r="B113" s="9">
        <f>+EV!F95</f>
        <v>4</v>
      </c>
      <c r="C113" s="10">
        <f>+EV!K95</f>
        <v>43520.24</v>
      </c>
      <c r="D113" s="11">
        <f>+EV!L95</f>
        <v>147734241.9064</v>
      </c>
      <c r="E113" s="11">
        <f>+EV!W95</f>
        <v>8867541.7027027011</v>
      </c>
      <c r="F113" s="12">
        <f>+EV!X95</f>
        <v>6.0023604468901057</v>
      </c>
      <c r="G113" s="13">
        <v>0.06</v>
      </c>
    </row>
    <row r="114" spans="1:7">
      <c r="A114" s="9" t="s">
        <v>37</v>
      </c>
      <c r="B114" s="9"/>
      <c r="C114" s="10"/>
      <c r="D114" s="11"/>
      <c r="E114" s="11"/>
      <c r="F114" s="12"/>
      <c r="G114" s="13">
        <v>0.06</v>
      </c>
    </row>
    <row r="115" spans="1:7">
      <c r="A115" s="9" t="s">
        <v>39</v>
      </c>
      <c r="B115" s="9"/>
      <c r="C115" s="11"/>
      <c r="D115" s="11"/>
      <c r="E115" s="11"/>
      <c r="F115" s="12"/>
      <c r="G115" s="13">
        <v>0.06</v>
      </c>
    </row>
    <row r="116" spans="1:7">
      <c r="A116" s="9" t="s">
        <v>40</v>
      </c>
      <c r="B116" s="9"/>
      <c r="C116" s="11"/>
      <c r="D116" s="11"/>
      <c r="E116" s="11"/>
      <c r="F116" s="12"/>
      <c r="G116" s="13">
        <v>0.06</v>
      </c>
    </row>
    <row r="117" spans="1:7">
      <c r="A117" s="16" t="s">
        <v>4409</v>
      </c>
      <c r="B117" s="16">
        <f>SUM(B105:B116)</f>
        <v>60</v>
      </c>
      <c r="C117" s="16"/>
      <c r="D117" s="17">
        <f>SUM(D105:D116)</f>
        <v>5717332700.436799</v>
      </c>
      <c r="E117" s="17">
        <f>SUM(E105:E116)</f>
        <v>249844486.94812882</v>
      </c>
      <c r="F117" s="18">
        <f>+E117/D117</f>
        <v>4.3699483664653788E-2</v>
      </c>
      <c r="G117" s="16"/>
    </row>
    <row r="122" spans="1:7">
      <c r="A122" s="97" t="s">
        <v>27</v>
      </c>
      <c r="B122" s="97"/>
      <c r="C122" s="97"/>
      <c r="D122" s="97"/>
      <c r="E122" s="97"/>
      <c r="F122" s="97"/>
      <c r="G122" s="97"/>
    </row>
    <row r="123" spans="1:7">
      <c r="A123" s="110" t="s">
        <v>3</v>
      </c>
      <c r="B123" s="98" t="s">
        <v>4403</v>
      </c>
      <c r="C123" s="98"/>
      <c r="D123" s="98"/>
      <c r="E123" s="91" t="s">
        <v>61</v>
      </c>
      <c r="F123" s="88" t="s">
        <v>4404</v>
      </c>
      <c r="G123" s="91" t="s">
        <v>2</v>
      </c>
    </row>
    <row r="124" spans="1:7" ht="15" customHeight="1">
      <c r="A124" s="110"/>
      <c r="B124" s="99" t="s">
        <v>4405</v>
      </c>
      <c r="C124" s="99" t="s">
        <v>4406</v>
      </c>
      <c r="D124" s="99"/>
      <c r="E124" s="92"/>
      <c r="F124" s="89"/>
      <c r="G124" s="92"/>
    </row>
    <row r="125" spans="1:7">
      <c r="A125" s="110"/>
      <c r="B125" s="99"/>
      <c r="C125" s="8" t="s">
        <v>4407</v>
      </c>
      <c r="D125" s="8" t="s">
        <v>4408</v>
      </c>
      <c r="E125" s="93"/>
      <c r="F125" s="90"/>
      <c r="G125" s="93"/>
    </row>
    <row r="126" spans="1:7">
      <c r="A126" s="9" t="s">
        <v>7</v>
      </c>
      <c r="B126" s="9">
        <f>+EC!F13</f>
        <v>7</v>
      </c>
      <c r="C126" s="10">
        <f>+EC!K13</f>
        <v>125774.30000000002</v>
      </c>
      <c r="D126" s="11">
        <f>+EC!L13</f>
        <v>398654221.28000009</v>
      </c>
      <c r="E126" s="11">
        <f>+EC!W13</f>
        <v>27832686.540000007</v>
      </c>
      <c r="F126" s="12">
        <f>+EC!X13</f>
        <v>6.9816610622194686</v>
      </c>
      <c r="G126" s="13">
        <v>0.06</v>
      </c>
    </row>
    <row r="127" spans="1:7">
      <c r="A127" s="9" t="s">
        <v>11</v>
      </c>
      <c r="B127" s="9">
        <f>+EC!F29</f>
        <v>8</v>
      </c>
      <c r="C127" s="10">
        <f>+EC!K29</f>
        <v>177142.49000000002</v>
      </c>
      <c r="D127" s="11">
        <f>+EC!L29</f>
        <v>553607481.17289996</v>
      </c>
      <c r="E127" s="11">
        <f>+EC!W29</f>
        <v>32003896.366429824</v>
      </c>
      <c r="F127" s="12">
        <f>+EC!X29</f>
        <v>5.780972522015924</v>
      </c>
      <c r="G127" s="13">
        <v>0.06</v>
      </c>
    </row>
    <row r="128" spans="1:7">
      <c r="A128" s="9" t="s">
        <v>15</v>
      </c>
      <c r="B128" s="9">
        <f>+EC!F42</f>
        <v>8</v>
      </c>
      <c r="C128" s="10">
        <f>+EC!K42</f>
        <v>123623</v>
      </c>
      <c r="D128" s="10">
        <f>+EC!L42</f>
        <v>383981073.49500006</v>
      </c>
      <c r="E128" s="11">
        <f>+EC!W42</f>
        <v>29889279.369999997</v>
      </c>
      <c r="F128" s="12">
        <f>+EC!X42</f>
        <v>7.7840501611049318</v>
      </c>
      <c r="G128" s="13">
        <v>0.06</v>
      </c>
    </row>
    <row r="129" spans="1:7">
      <c r="A129" s="9" t="s">
        <v>19</v>
      </c>
      <c r="B129" s="9">
        <f>+EC!F57</f>
        <v>8</v>
      </c>
      <c r="C129" s="10">
        <f>+EC!K57</f>
        <v>136709.524</v>
      </c>
      <c r="D129" s="11">
        <f>+EC!L57</f>
        <v>430584418.07612008</v>
      </c>
      <c r="E129" s="11">
        <f>+EC!W57</f>
        <v>28586887.000000015</v>
      </c>
      <c r="F129" s="12">
        <f>+EC!X57</f>
        <v>6.6390899902342344</v>
      </c>
      <c r="G129" s="13">
        <v>0.06</v>
      </c>
    </row>
    <row r="130" spans="1:7">
      <c r="A130" s="9" t="s">
        <v>22</v>
      </c>
      <c r="B130" s="9">
        <f>+EC!F75</f>
        <v>9</v>
      </c>
      <c r="C130" s="10">
        <f>+EC!K75</f>
        <v>242141.01</v>
      </c>
      <c r="D130" s="11">
        <f>+EC!L75</f>
        <v>792045665.12010002</v>
      </c>
      <c r="E130" s="11">
        <f>+EC!W75</f>
        <v>45712753.150000006</v>
      </c>
      <c r="F130" s="12">
        <f>+EC!X75</f>
        <v>5.7714794945653107</v>
      </c>
      <c r="G130" s="13">
        <v>0.06</v>
      </c>
    </row>
    <row r="131" spans="1:7">
      <c r="A131" s="9" t="s">
        <v>25</v>
      </c>
      <c r="B131" s="9">
        <f>+EC!F82</f>
        <v>4</v>
      </c>
      <c r="C131" s="10">
        <f>+EC!K82</f>
        <v>41951.15</v>
      </c>
      <c r="D131" s="11">
        <f>+EC!L82</f>
        <v>137549850.13150001</v>
      </c>
      <c r="E131" s="11">
        <f>+EC!W82</f>
        <v>9985181.7592835575</v>
      </c>
      <c r="F131" s="12">
        <f>+EC!X82</f>
        <v>7.2593185305091597</v>
      </c>
      <c r="G131" s="13">
        <v>0.06</v>
      </c>
    </row>
    <row r="132" spans="1:7">
      <c r="A132" s="9" t="s">
        <v>28</v>
      </c>
      <c r="B132" s="9">
        <f>+EC!F95</f>
        <v>9</v>
      </c>
      <c r="C132" s="10">
        <f>+EC!K95</f>
        <v>280790.32000000007</v>
      </c>
      <c r="D132" s="11">
        <f>+EC!L95</f>
        <v>897452193.12279999</v>
      </c>
      <c r="E132" s="11">
        <f>+EC!W95</f>
        <v>46581149.019999996</v>
      </c>
      <c r="F132" s="12">
        <f>+EC!X95</f>
        <v>5.1903766436755721</v>
      </c>
      <c r="G132" s="13">
        <v>0.06</v>
      </c>
    </row>
    <row r="133" spans="1:7">
      <c r="A133" s="9" t="s">
        <v>31</v>
      </c>
      <c r="B133" s="9">
        <f>+EC!F111</f>
        <v>11</v>
      </c>
      <c r="C133" s="10">
        <f>+EC!K111</f>
        <v>235378.16</v>
      </c>
      <c r="D133" s="11">
        <f>+EC!L111</f>
        <v>797261134.64399993</v>
      </c>
      <c r="E133" s="11">
        <f>+EC!W111</f>
        <v>49071191.129999995</v>
      </c>
      <c r="F133" s="12">
        <f>+EC!X111</f>
        <v>6.1549709370834558</v>
      </c>
      <c r="G133" s="13">
        <v>0.06</v>
      </c>
    </row>
    <row r="134" spans="1:7">
      <c r="A134" s="9" t="s">
        <v>34</v>
      </c>
      <c r="B134" s="9">
        <f>+EC!F119</f>
        <v>3</v>
      </c>
      <c r="C134" s="10">
        <f>+EC!K119</f>
        <v>84301.73000000001</v>
      </c>
      <c r="D134" s="11">
        <f>+EC!L119</f>
        <v>286171495.6753</v>
      </c>
      <c r="E134" s="11">
        <f>+EC!W119</f>
        <v>19705143.000000007</v>
      </c>
      <c r="F134" s="12">
        <f>+EC!X119</f>
        <v>6.8857811828883673</v>
      </c>
      <c r="G134" s="13">
        <v>0.06</v>
      </c>
    </row>
    <row r="135" spans="1:7">
      <c r="A135" s="9" t="s">
        <v>37</v>
      </c>
      <c r="B135" s="9"/>
      <c r="C135" s="10"/>
      <c r="D135" s="11"/>
      <c r="E135" s="11"/>
      <c r="F135" s="12"/>
      <c r="G135" s="13">
        <v>0.06</v>
      </c>
    </row>
    <row r="136" spans="1:7">
      <c r="A136" s="9" t="s">
        <v>39</v>
      </c>
      <c r="B136" s="9"/>
      <c r="C136" s="11"/>
      <c r="D136" s="11"/>
      <c r="E136" s="11"/>
      <c r="F136" s="12"/>
      <c r="G136" s="13">
        <v>0.06</v>
      </c>
    </row>
    <row r="137" spans="1:7">
      <c r="A137" s="9" t="s">
        <v>40</v>
      </c>
      <c r="B137" s="9"/>
      <c r="C137" s="11"/>
      <c r="D137" s="11"/>
      <c r="E137" s="11"/>
      <c r="F137" s="12"/>
      <c r="G137" s="13">
        <v>0.06</v>
      </c>
    </row>
    <row r="138" spans="1:7">
      <c r="A138" s="16" t="s">
        <v>4409</v>
      </c>
      <c r="B138" s="16">
        <f>SUM(B126:B137)</f>
        <v>67</v>
      </c>
      <c r="C138" s="16"/>
      <c r="D138" s="17">
        <f>SUM(D126:D137)</f>
        <v>4677307532.71772</v>
      </c>
      <c r="E138" s="17">
        <f>SUM(E126:E137)</f>
        <v>289368167.33571339</v>
      </c>
      <c r="F138" s="18">
        <f>+E138/D138</f>
        <v>6.1866397561329015E-2</v>
      </c>
      <c r="G138" s="16"/>
    </row>
    <row r="141" spans="1:7">
      <c r="A141" s="97" t="s">
        <v>33</v>
      </c>
      <c r="B141" s="97"/>
      <c r="C141" s="97"/>
      <c r="D141" s="97"/>
      <c r="E141" s="97"/>
      <c r="F141" s="97"/>
      <c r="G141" s="97"/>
    </row>
    <row r="142" spans="1:7">
      <c r="A142" s="110" t="s">
        <v>3</v>
      </c>
      <c r="B142" s="98" t="s">
        <v>4403</v>
      </c>
      <c r="C142" s="98"/>
      <c r="D142" s="98"/>
      <c r="E142" s="91" t="s">
        <v>61</v>
      </c>
      <c r="F142" s="88" t="s">
        <v>4404</v>
      </c>
      <c r="G142" s="91" t="s">
        <v>2</v>
      </c>
    </row>
    <row r="143" spans="1:7" ht="15" customHeight="1">
      <c r="A143" s="110"/>
      <c r="B143" s="99" t="s">
        <v>4405</v>
      </c>
      <c r="C143" s="99" t="s">
        <v>4406</v>
      </c>
      <c r="D143" s="99"/>
      <c r="E143" s="92"/>
      <c r="F143" s="89"/>
      <c r="G143" s="92"/>
    </row>
    <row r="144" spans="1:7">
      <c r="A144" s="110"/>
      <c r="B144" s="99"/>
      <c r="C144" s="8" t="s">
        <v>4407</v>
      </c>
      <c r="D144" s="8" t="s">
        <v>4408</v>
      </c>
      <c r="E144" s="93"/>
      <c r="F144" s="90"/>
      <c r="G144" s="93"/>
    </row>
    <row r="145" spans="1:7">
      <c r="A145" s="9" t="s">
        <v>7</v>
      </c>
      <c r="B145" s="9">
        <f>+EB!F44</f>
        <v>20</v>
      </c>
      <c r="C145" s="10">
        <f>+EB!K44</f>
        <v>611199.02</v>
      </c>
      <c r="D145" s="11">
        <f>+EB!L44</f>
        <v>1937256413.7920001</v>
      </c>
      <c r="E145" s="11">
        <f>+EB!W44</f>
        <v>124647531.63999999</v>
      </c>
      <c r="F145" s="12">
        <f>+EB!X44</f>
        <v>6.4342299115693198</v>
      </c>
      <c r="G145" s="13">
        <v>0.1</v>
      </c>
    </row>
    <row r="146" spans="1:7">
      <c r="A146" s="9" t="s">
        <v>11</v>
      </c>
      <c r="B146" s="9">
        <f>+EB!F77</f>
        <v>15</v>
      </c>
      <c r="C146" s="10">
        <f>+EB!K77</f>
        <v>447584.12</v>
      </c>
      <c r="D146" s="11">
        <f>+EB!L77</f>
        <v>1398794367.6652002</v>
      </c>
      <c r="E146" s="11">
        <f>+EB!W77</f>
        <v>111858800.72499998</v>
      </c>
      <c r="F146" s="12">
        <f>+EB!X77</f>
        <v>7.9968009101801911</v>
      </c>
      <c r="G146" s="13">
        <v>0.1</v>
      </c>
    </row>
    <row r="147" spans="1:7">
      <c r="A147" s="9" t="s">
        <v>15</v>
      </c>
      <c r="B147" s="9">
        <f>+EB!F90</f>
        <v>9</v>
      </c>
      <c r="C147" s="10">
        <f>+EB!K90</f>
        <v>190042.36</v>
      </c>
      <c r="D147" s="10">
        <f>+EB!L90</f>
        <v>590283922.91340005</v>
      </c>
      <c r="E147" s="11">
        <f>+EB!W90</f>
        <v>58455242.370000005</v>
      </c>
      <c r="F147" s="12">
        <f>+EB!X90</f>
        <v>9.9029026712245241</v>
      </c>
      <c r="G147" s="13">
        <v>0.1</v>
      </c>
    </row>
    <row r="148" spans="1:7">
      <c r="A148" s="9" t="s">
        <v>19</v>
      </c>
      <c r="B148" s="9">
        <f>+EB!F117</f>
        <v>12</v>
      </c>
      <c r="C148" s="10">
        <f>+EB!K117</f>
        <v>465339.04000000004</v>
      </c>
      <c r="D148" s="11">
        <f>+EB!L117</f>
        <v>1465645800.5552003</v>
      </c>
      <c r="E148" s="11">
        <f>+EB!W117</f>
        <v>107706836</v>
      </c>
      <c r="F148" s="12">
        <f>+EB!X117</f>
        <v>7.348762979377395</v>
      </c>
      <c r="G148" s="13">
        <v>0.1</v>
      </c>
    </row>
    <row r="149" spans="1:7">
      <c r="A149" s="9" t="s">
        <v>22</v>
      </c>
      <c r="B149" s="9">
        <f>+EB!F139</f>
        <v>13</v>
      </c>
      <c r="C149" s="10">
        <f>+EB!K139</f>
        <v>393593.13</v>
      </c>
      <c r="D149" s="11">
        <f>+EB!L139</f>
        <v>1287447064.1612999</v>
      </c>
      <c r="E149" s="11">
        <f>+EB!W139</f>
        <v>54875221.800000004</v>
      </c>
      <c r="F149" s="12">
        <f>+EB!X139</f>
        <v>4.2623283960609406</v>
      </c>
      <c r="G149" s="13">
        <v>0.1</v>
      </c>
    </row>
    <row r="150" spans="1:7">
      <c r="A150" s="9" t="s">
        <v>25</v>
      </c>
      <c r="B150" s="9">
        <f>+EB!F147</f>
        <v>4</v>
      </c>
      <c r="C150" s="10">
        <f>+EB!K147</f>
        <v>91459.510000000009</v>
      </c>
      <c r="D150" s="11">
        <f>+EB!L147</f>
        <v>299878355.9831</v>
      </c>
      <c r="E150" s="11">
        <f>+EB!W147</f>
        <v>16496246</v>
      </c>
      <c r="F150" s="12">
        <f>+EB!X147</f>
        <v>5.5009792040242029</v>
      </c>
      <c r="G150" s="13">
        <v>0.1</v>
      </c>
    </row>
    <row r="151" spans="1:7">
      <c r="A151" s="9" t="s">
        <v>28</v>
      </c>
      <c r="B151" s="9">
        <f>+EB!F180</f>
        <v>14</v>
      </c>
      <c r="C151" s="10">
        <f>+EB!K180</f>
        <v>358192.27999999997</v>
      </c>
      <c r="D151" s="11">
        <f>+EB!L180</f>
        <v>1144841628.6062002</v>
      </c>
      <c r="E151" s="11">
        <f>+EB!W180</f>
        <v>106670739.92549852</v>
      </c>
      <c r="F151" s="12">
        <f>+EB!X180</f>
        <v>9.3175105848802833</v>
      </c>
      <c r="G151" s="13">
        <v>0.1</v>
      </c>
    </row>
    <row r="152" spans="1:7">
      <c r="A152" s="9" t="s">
        <v>31</v>
      </c>
      <c r="B152" s="9">
        <f>+EB!F193</f>
        <v>7</v>
      </c>
      <c r="C152" s="10">
        <f>+EB!K193</f>
        <v>160820.54699999999</v>
      </c>
      <c r="D152" s="11">
        <f>+EB!L193</f>
        <v>544723315.77104998</v>
      </c>
      <c r="E152" s="11">
        <f>+EB!W193</f>
        <v>52458810</v>
      </c>
      <c r="F152" s="12">
        <f>+EB!X193</f>
        <v>9.630358841120124</v>
      </c>
      <c r="G152" s="13">
        <v>0.1</v>
      </c>
    </row>
    <row r="153" spans="1:7">
      <c r="A153" s="9" t="s">
        <v>34</v>
      </c>
      <c r="B153" s="9">
        <f>+EB!F220</f>
        <v>8</v>
      </c>
      <c r="C153" s="10">
        <f>+EB!K220</f>
        <v>225873.91000000003</v>
      </c>
      <c r="D153" s="10">
        <f>+EB!L220</f>
        <v>766753833.62510014</v>
      </c>
      <c r="E153" s="11">
        <f>+EB!W220</f>
        <v>60292147.073856987</v>
      </c>
      <c r="F153" s="12">
        <f>+EB!X220</f>
        <v>7.8632990706814621</v>
      </c>
      <c r="G153" s="13">
        <v>0.1</v>
      </c>
    </row>
    <row r="154" spans="1:7">
      <c r="A154" s="9" t="s">
        <v>37</v>
      </c>
      <c r="B154" s="9"/>
      <c r="C154" s="10"/>
      <c r="D154" s="11"/>
      <c r="E154" s="11"/>
      <c r="F154" s="12"/>
      <c r="G154" s="13">
        <v>0.1</v>
      </c>
    </row>
    <row r="155" spans="1:7">
      <c r="A155" s="9" t="s">
        <v>39</v>
      </c>
      <c r="B155" s="9"/>
      <c r="C155" s="11"/>
      <c r="D155" s="11"/>
      <c r="E155" s="11"/>
      <c r="F155" s="12"/>
      <c r="G155" s="13">
        <v>0.1</v>
      </c>
    </row>
    <row r="156" spans="1:7">
      <c r="A156" s="9" t="s">
        <v>40</v>
      </c>
      <c r="B156" s="9"/>
      <c r="C156" s="11"/>
      <c r="D156" s="11"/>
      <c r="E156" s="11"/>
      <c r="F156" s="12"/>
      <c r="G156" s="13">
        <v>0.1</v>
      </c>
    </row>
    <row r="157" spans="1:7">
      <c r="A157" s="16" t="s">
        <v>4409</v>
      </c>
      <c r="B157" s="16">
        <f>SUM(B145:B156)</f>
        <v>102</v>
      </c>
      <c r="C157" s="16"/>
      <c r="D157" s="17">
        <f>SUM(D145:D156)</f>
        <v>9435624703.0725517</v>
      </c>
      <c r="E157" s="17">
        <f>SUM(E145:E156)</f>
        <v>693461575.5343554</v>
      </c>
      <c r="F157" s="18">
        <f>+E157/D157</f>
        <v>7.3493976006542672E-2</v>
      </c>
      <c r="G157" s="16"/>
    </row>
    <row r="163" spans="1:7">
      <c r="A163" s="105" t="s">
        <v>36</v>
      </c>
      <c r="B163" s="106"/>
      <c r="C163" s="106"/>
      <c r="D163" s="106"/>
      <c r="E163" s="106"/>
      <c r="F163" s="106"/>
      <c r="G163" s="107"/>
    </row>
    <row r="164" spans="1:7" ht="15" customHeight="1">
      <c r="A164" s="111" t="s">
        <v>3</v>
      </c>
      <c r="B164" s="100" t="s">
        <v>4403</v>
      </c>
      <c r="C164" s="101"/>
      <c r="D164" s="102"/>
      <c r="E164" s="91" t="s">
        <v>61</v>
      </c>
      <c r="F164" s="88" t="s">
        <v>4404</v>
      </c>
      <c r="G164" s="91" t="s">
        <v>2</v>
      </c>
    </row>
    <row r="165" spans="1:7">
      <c r="A165" s="112"/>
      <c r="B165" s="103" t="s">
        <v>4405</v>
      </c>
      <c r="C165" s="108" t="s">
        <v>4406</v>
      </c>
      <c r="D165" s="109"/>
      <c r="E165" s="92"/>
      <c r="F165" s="89"/>
      <c r="G165" s="92"/>
    </row>
    <row r="166" spans="1:7">
      <c r="A166" s="113"/>
      <c r="B166" s="104"/>
      <c r="C166" s="8" t="s">
        <v>4407</v>
      </c>
      <c r="D166" s="8" t="s">
        <v>4408</v>
      </c>
      <c r="E166" s="93"/>
      <c r="F166" s="90"/>
      <c r="G166" s="93"/>
    </row>
    <row r="167" spans="1:7">
      <c r="A167" s="9" t="s">
        <v>7</v>
      </c>
      <c r="B167" s="9">
        <f>+CM!F25</f>
        <v>22</v>
      </c>
      <c r="C167" s="10">
        <f>+CM!K25</f>
        <v>2439660.9299999997</v>
      </c>
      <c r="D167" s="11">
        <f>+CM!L25</f>
        <v>7732749283.7279997</v>
      </c>
      <c r="E167" s="11">
        <f>+CM!W25</f>
        <v>177224720.22241449</v>
      </c>
      <c r="F167" s="12">
        <f>+CM!X25</f>
        <v>2.2918720589499508</v>
      </c>
      <c r="G167" s="13">
        <v>0.05</v>
      </c>
    </row>
    <row r="168" spans="1:7">
      <c r="A168" s="9" t="s">
        <v>11</v>
      </c>
      <c r="B168" s="9">
        <f>+CM!F41</f>
        <v>13</v>
      </c>
      <c r="C168" s="10">
        <f>+CM!K41</f>
        <v>829721.17999999982</v>
      </c>
      <c r="D168" s="11">
        <f>+CM!L41</f>
        <v>2593052928.9478002</v>
      </c>
      <c r="E168" s="11">
        <f>+CM!W41</f>
        <v>111336875</v>
      </c>
      <c r="F168" s="12">
        <f>+CM!X41</f>
        <v>4.2936599464314789</v>
      </c>
      <c r="G168" s="13">
        <v>0.05</v>
      </c>
    </row>
    <row r="169" spans="1:7">
      <c r="A169" s="9" t="s">
        <v>15</v>
      </c>
      <c r="B169" s="9">
        <f>+CM!F75</f>
        <v>30</v>
      </c>
      <c r="C169" s="10">
        <f>+CM!K75</f>
        <v>2416232.81</v>
      </c>
      <c r="D169" s="10">
        <f>+CM!L75</f>
        <v>7504976162.992651</v>
      </c>
      <c r="E169" s="11">
        <f>+CM!W75</f>
        <v>274086053</v>
      </c>
      <c r="F169" s="12">
        <f>+CM!X75</f>
        <v>3.6520576088106673</v>
      </c>
      <c r="G169" s="13">
        <v>0.05</v>
      </c>
    </row>
    <row r="170" spans="1:7">
      <c r="A170" s="9" t="s">
        <v>19</v>
      </c>
      <c r="B170" s="9">
        <f>+CM!F116</f>
        <v>37</v>
      </c>
      <c r="C170" s="10">
        <f>+CM!K116</f>
        <v>2979200.04</v>
      </c>
      <c r="D170" s="11">
        <f>+CM!L116</f>
        <v>9383377821.9852009</v>
      </c>
      <c r="E170" s="11">
        <f>+CM!W116</f>
        <v>272626362</v>
      </c>
      <c r="F170" s="12">
        <f>+CM!X116</f>
        <v>2.9054181465573943</v>
      </c>
      <c r="G170" s="13">
        <v>0.05</v>
      </c>
    </row>
    <row r="171" spans="1:7">
      <c r="A171" s="9" t="s">
        <v>22</v>
      </c>
      <c r="B171" s="9">
        <f>+CM!F142</f>
        <v>20</v>
      </c>
      <c r="C171" s="10">
        <f>+CM!K142</f>
        <v>1438057.6800000002</v>
      </c>
      <c r="D171" s="11">
        <f>+CM!L142</f>
        <v>4703901051.8567991</v>
      </c>
      <c r="E171" s="11">
        <f>+CM!W142</f>
        <v>146555243.93405908</v>
      </c>
      <c r="F171" s="12">
        <f>+CM!X142</f>
        <v>3.1156106882011994</v>
      </c>
      <c r="G171" s="13">
        <v>0.05</v>
      </c>
    </row>
    <row r="172" spans="1:7">
      <c r="A172" s="9" t="s">
        <v>25</v>
      </c>
      <c r="B172" s="9">
        <f>+CM!F165</f>
        <v>20</v>
      </c>
      <c r="C172" s="10">
        <f>+CM!K165</f>
        <v>1314995.4800000002</v>
      </c>
      <c r="D172" s="11">
        <f>+CM!L165</f>
        <v>4311620329.7788</v>
      </c>
      <c r="E172" s="11">
        <f>+CM!W165</f>
        <v>171932625.39431494</v>
      </c>
      <c r="F172" s="12">
        <f>+CM!X165</f>
        <v>3.9876568956417282</v>
      </c>
      <c r="G172" s="13">
        <v>0.05</v>
      </c>
    </row>
    <row r="173" spans="1:7">
      <c r="A173" s="9" t="s">
        <v>28</v>
      </c>
      <c r="B173" s="9">
        <f>+CM!F187</f>
        <v>19</v>
      </c>
      <c r="C173" s="10">
        <f>+CM!K187</f>
        <v>1348931.63</v>
      </c>
      <c r="D173" s="11">
        <f>+CM!L187</f>
        <v>4311408063.1989508</v>
      </c>
      <c r="E173" s="11">
        <f>+CM!W187</f>
        <v>159452157.65772915</v>
      </c>
      <c r="F173" s="12">
        <f>+CM!X187</f>
        <v>3.6983777763643153</v>
      </c>
      <c r="G173" s="13">
        <v>0.05</v>
      </c>
    </row>
    <row r="174" spans="1:7">
      <c r="A174" s="9" t="s">
        <v>31</v>
      </c>
      <c r="B174" s="9">
        <f>+CM!F205</f>
        <v>15</v>
      </c>
      <c r="C174" s="10">
        <f>+CM!K205</f>
        <v>1023721.26</v>
      </c>
      <c r="D174" s="11">
        <f>+CM!L205</f>
        <v>3467497465.809</v>
      </c>
      <c r="E174" s="11">
        <f>+CM!W205</f>
        <v>166762606.50361693</v>
      </c>
      <c r="F174" s="12">
        <f>+CM!X205</f>
        <v>4.8093072352025388</v>
      </c>
      <c r="G174" s="13">
        <v>0.05</v>
      </c>
    </row>
    <row r="175" spans="1:7">
      <c r="A175" s="9" t="s">
        <v>34</v>
      </c>
      <c r="B175" s="9">
        <f>+CM!F218</f>
        <v>10</v>
      </c>
      <c r="C175" s="10">
        <f>+CM!K218</f>
        <v>800586.19</v>
      </c>
      <c r="D175" s="11">
        <f>+CM!L218</f>
        <v>2717677886.4358997</v>
      </c>
      <c r="E175" s="11">
        <f>+CM!W218</f>
        <v>89804654.604488075</v>
      </c>
      <c r="F175" s="12">
        <f>+CM!X218</f>
        <v>3.3044627935013464</v>
      </c>
      <c r="G175" s="13">
        <v>0.05</v>
      </c>
    </row>
    <row r="176" spans="1:7">
      <c r="A176" s="9" t="s">
        <v>37</v>
      </c>
      <c r="B176" s="9"/>
      <c r="C176" s="10"/>
      <c r="D176" s="11"/>
      <c r="E176" s="11"/>
      <c r="F176" s="12"/>
      <c r="G176" s="13">
        <v>0.05</v>
      </c>
    </row>
    <row r="177" spans="1:7">
      <c r="A177" s="9" t="s">
        <v>39</v>
      </c>
      <c r="B177" s="9"/>
      <c r="C177" s="11"/>
      <c r="D177" s="11"/>
      <c r="E177" s="11"/>
      <c r="F177" s="12"/>
      <c r="G177" s="13">
        <v>0.05</v>
      </c>
    </row>
    <row r="178" spans="1:7">
      <c r="A178" s="9" t="s">
        <v>40</v>
      </c>
      <c r="B178" s="9"/>
      <c r="C178" s="11"/>
      <c r="D178" s="11"/>
      <c r="E178" s="11"/>
      <c r="F178" s="12"/>
      <c r="G178" s="13">
        <v>0.05</v>
      </c>
    </row>
    <row r="179" spans="1:7">
      <c r="A179" s="16" t="s">
        <v>4409</v>
      </c>
      <c r="B179" s="16">
        <f>SUM(B167:B178)</f>
        <v>186</v>
      </c>
      <c r="C179" s="16"/>
      <c r="D179" s="17">
        <f>SUM(D167:D178)</f>
        <v>46726260994.733093</v>
      </c>
      <c r="E179" s="17">
        <f>SUM(E167:E178)</f>
        <v>1569781298.316623</v>
      </c>
      <c r="F179" s="18">
        <v>0.03</v>
      </c>
      <c r="G179" s="16"/>
    </row>
    <row r="181" spans="1:7">
      <c r="A181" s="105" t="s">
        <v>38</v>
      </c>
      <c r="B181" s="106"/>
      <c r="C181" s="106"/>
      <c r="D181" s="106"/>
      <c r="E181" s="106"/>
      <c r="F181" s="106"/>
      <c r="G181" s="107"/>
    </row>
    <row r="182" spans="1:7">
      <c r="A182" s="111" t="s">
        <v>3</v>
      </c>
      <c r="B182" s="100" t="s">
        <v>4403</v>
      </c>
      <c r="C182" s="101"/>
      <c r="D182" s="102"/>
      <c r="E182" s="91" t="s">
        <v>61</v>
      </c>
      <c r="F182" s="88" t="s">
        <v>4404</v>
      </c>
      <c r="G182" s="91" t="s">
        <v>2</v>
      </c>
    </row>
    <row r="183" spans="1:7">
      <c r="A183" s="112"/>
      <c r="B183" s="103" t="s">
        <v>4405</v>
      </c>
      <c r="C183" s="108" t="s">
        <v>4406</v>
      </c>
      <c r="D183" s="109"/>
      <c r="E183" s="92"/>
      <c r="F183" s="89"/>
      <c r="G183" s="92"/>
    </row>
    <row r="184" spans="1:7">
      <c r="A184" s="113"/>
      <c r="B184" s="104"/>
      <c r="C184" s="8" t="s">
        <v>4407</v>
      </c>
      <c r="D184" s="8" t="s">
        <v>4408</v>
      </c>
      <c r="E184" s="93"/>
      <c r="F184" s="90"/>
      <c r="G184" s="93"/>
    </row>
    <row r="185" spans="1:7">
      <c r="A185" s="9" t="s">
        <v>7</v>
      </c>
      <c r="B185" s="9">
        <f>+PM!F12</f>
        <v>3</v>
      </c>
      <c r="C185" s="10">
        <f>+PM!K12</f>
        <v>89308.56</v>
      </c>
      <c r="D185" s="11">
        <f>+PM!L12</f>
        <v>283072411.77599996</v>
      </c>
      <c r="E185" s="11">
        <f>+PM!W12</f>
        <v>16223443.000000007</v>
      </c>
      <c r="F185" s="12">
        <f>+PM!X12</f>
        <v>5.73119891769527</v>
      </c>
      <c r="G185" s="13">
        <v>0.05</v>
      </c>
    </row>
    <row r="186" spans="1:7">
      <c r="A186" s="9" t="s">
        <v>11</v>
      </c>
      <c r="B186" s="9">
        <f>+PM!F34</f>
        <v>6</v>
      </c>
      <c r="C186" s="10">
        <f>+PM!K34</f>
        <v>177523.04</v>
      </c>
      <c r="D186" s="11">
        <f>+PM!L34</f>
        <v>572069190.46639991</v>
      </c>
      <c r="E186" s="11">
        <f>+PM!W34</f>
        <v>18511497.410682715</v>
      </c>
      <c r="F186" s="12">
        <f>+PM!X34</f>
        <v>3.2358843509105171</v>
      </c>
      <c r="G186" s="13">
        <v>0.05</v>
      </c>
    </row>
    <row r="187" spans="1:7">
      <c r="A187" s="9" t="s">
        <v>15</v>
      </c>
      <c r="B187" s="9">
        <f>+PM!F38</f>
        <v>1</v>
      </c>
      <c r="C187" s="10">
        <f>+PM!K38</f>
        <v>130.19999999999999</v>
      </c>
      <c r="D187" s="10">
        <f>+PM!L38</f>
        <v>404409.663</v>
      </c>
      <c r="E187" s="11">
        <f>+PM!W38</f>
        <v>1125144</v>
      </c>
      <c r="F187" s="12">
        <f>+PM!X38</f>
        <v>278.21887134284424</v>
      </c>
      <c r="G187" s="13">
        <v>0.05</v>
      </c>
    </row>
    <row r="188" spans="1:7">
      <c r="A188" s="9" t="s">
        <v>19</v>
      </c>
      <c r="B188" s="9">
        <f>+PM!F69</f>
        <v>9</v>
      </c>
      <c r="C188" s="10">
        <f>+PM!K69</f>
        <v>237932.08000000002</v>
      </c>
      <c r="D188" s="11">
        <f>+PM!L69</f>
        <v>749398017.13039994</v>
      </c>
      <c r="E188" s="11">
        <f>+PM!W69</f>
        <v>68186172.739833429</v>
      </c>
      <c r="F188" s="12">
        <f>+PM!X69</f>
        <v>9.0987927885014148</v>
      </c>
      <c r="G188" s="13">
        <v>0.05</v>
      </c>
    </row>
    <row r="189" spans="1:7">
      <c r="A189" s="9" t="s">
        <v>22</v>
      </c>
      <c r="B189" s="9">
        <f>+PM!F87</f>
        <v>5</v>
      </c>
      <c r="C189" s="10">
        <f>+PM!K87</f>
        <v>115355.97</v>
      </c>
      <c r="D189" s="11">
        <f>+PM!L87</f>
        <v>377330531.42970008</v>
      </c>
      <c r="E189" s="11">
        <f>+PM!W87</f>
        <v>21102059.440476198</v>
      </c>
      <c r="F189" s="12">
        <f>+PM!X87</f>
        <v>5.5924601066658433</v>
      </c>
      <c r="G189" s="13">
        <v>0.05</v>
      </c>
    </row>
    <row r="190" spans="1:7">
      <c r="A190" s="9" t="s">
        <v>25</v>
      </c>
      <c r="B190" s="9">
        <f>+PM!F111</f>
        <v>4</v>
      </c>
      <c r="C190" s="10">
        <f>+PM!K111</f>
        <v>174553.3</v>
      </c>
      <c r="D190" s="11">
        <f>+PM!L111</f>
        <v>572327105.57299995</v>
      </c>
      <c r="E190" s="11">
        <f>+PM!W111</f>
        <v>34695857.027934976</v>
      </c>
      <c r="F190" s="12">
        <f>+PM!X111</f>
        <v>6.0622424991034336</v>
      </c>
      <c r="G190" s="13">
        <v>0.05</v>
      </c>
    </row>
    <row r="191" spans="1:7">
      <c r="A191" s="9" t="s">
        <v>28</v>
      </c>
      <c r="B191" s="9">
        <f>+PM!F115</f>
        <v>1</v>
      </c>
      <c r="C191" s="10">
        <f>+PM!K115</f>
        <v>3260</v>
      </c>
      <c r="D191" s="11">
        <f>+PM!L115</f>
        <v>10419497.9</v>
      </c>
      <c r="E191" s="11">
        <f>+PM!W115</f>
        <v>518228.18505338114</v>
      </c>
      <c r="F191" s="12">
        <f>+PM!X115</f>
        <v>4.9736387494581775</v>
      </c>
      <c r="G191" s="13">
        <v>0.05</v>
      </c>
    </row>
    <row r="192" spans="1:7">
      <c r="A192" s="9" t="s">
        <v>31</v>
      </c>
      <c r="B192" s="9">
        <f>+PM!F121</f>
        <v>2</v>
      </c>
      <c r="C192" s="10">
        <f>+PM!K121</f>
        <v>2029.1999999999998</v>
      </c>
      <c r="D192" s="11">
        <f>+PM!L121</f>
        <v>6873204.7799999993</v>
      </c>
      <c r="E192" s="11">
        <f>+PM!W121</f>
        <v>4147476.0000000009</v>
      </c>
      <c r="F192" s="12">
        <f>+PM!X121</f>
        <v>60.342680492636234</v>
      </c>
      <c r="G192" s="13">
        <v>0.05</v>
      </c>
    </row>
    <row r="193" spans="1:7">
      <c r="A193" s="9" t="s">
        <v>34</v>
      </c>
      <c r="B193" s="9">
        <f>+PM!F140</f>
        <v>5</v>
      </c>
      <c r="C193" s="10">
        <f>+PM!K140</f>
        <v>174572.04</v>
      </c>
      <c r="D193" s="11">
        <f>+PM!L140</f>
        <v>592603992.70440006</v>
      </c>
      <c r="E193" s="11">
        <f>+PM!W140</f>
        <v>29536578.901408453</v>
      </c>
      <c r="F193" s="12">
        <f>+PM!X140</f>
        <v>4.9842018050900565</v>
      </c>
      <c r="G193" s="13">
        <v>0.05</v>
      </c>
    </row>
    <row r="194" spans="1:7">
      <c r="A194" s="9" t="s">
        <v>37</v>
      </c>
      <c r="B194" s="9"/>
      <c r="C194" s="10"/>
      <c r="D194" s="11"/>
      <c r="E194" s="11"/>
      <c r="F194" s="12"/>
      <c r="G194" s="13">
        <v>0.05</v>
      </c>
    </row>
    <row r="195" spans="1:7">
      <c r="A195" s="9" t="s">
        <v>39</v>
      </c>
      <c r="B195" s="9"/>
      <c r="C195" s="11"/>
      <c r="D195" s="11"/>
      <c r="E195" s="11"/>
      <c r="F195" s="12"/>
      <c r="G195" s="13">
        <v>0.05</v>
      </c>
    </row>
    <row r="196" spans="1:7">
      <c r="A196" s="9" t="s">
        <v>40</v>
      </c>
      <c r="B196" s="9"/>
      <c r="C196" s="11"/>
      <c r="D196" s="11"/>
      <c r="E196" s="11"/>
      <c r="F196" s="12"/>
      <c r="G196" s="13">
        <v>0.05</v>
      </c>
    </row>
    <row r="197" spans="1:7">
      <c r="A197" s="16" t="s">
        <v>4409</v>
      </c>
      <c r="B197" s="16">
        <f>SUM(B185:B196)</f>
        <v>36</v>
      </c>
      <c r="C197" s="16"/>
      <c r="D197" s="17">
        <f>SUM(D185:D196)</f>
        <v>3164498361.4229002</v>
      </c>
      <c r="E197" s="17">
        <f>SUM(E185:E196)</f>
        <v>194046456.70538917</v>
      </c>
      <c r="F197" s="18">
        <v>0.03</v>
      </c>
      <c r="G197" s="16"/>
    </row>
    <row r="202" spans="1:7" ht="25.5">
      <c r="A202" s="19" t="s">
        <v>4410</v>
      </c>
      <c r="B202" s="20">
        <f>B22+B41+B60+B79+B98+B117+B138+B157+B179+B197</f>
        <v>1737</v>
      </c>
      <c r="C202" s="21"/>
      <c r="D202" s="21">
        <f>D22+D41+D60+D79+D98+D117+D138+D157+D179+D197</f>
        <v>223971975602.28052</v>
      </c>
      <c r="E202" s="21">
        <f>E22+E41+E60+E79+E98+E117+E138+E157+E179+E197</f>
        <v>8558800730.8030596</v>
      </c>
      <c r="F202" s="22">
        <f>E202/D202</f>
        <v>3.8213712710207091E-2</v>
      </c>
      <c r="G202" s="20"/>
    </row>
    <row r="204" spans="1:7" ht="15" customHeight="1"/>
    <row r="205" spans="1:7">
      <c r="E205" s="23"/>
    </row>
    <row r="220" spans="1:65" s="5" customFormat="1" ht="28.5" customHeight="1">
      <c r="A220"/>
      <c r="B220"/>
      <c r="C220"/>
      <c r="D220"/>
      <c r="E220"/>
      <c r="F220"/>
      <c r="G220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</row>
  </sheetData>
  <mergeCells count="81">
    <mergeCell ref="E142:E144"/>
    <mergeCell ref="E164:E166"/>
    <mergeCell ref="E182:E184"/>
    <mergeCell ref="C183:D183"/>
    <mergeCell ref="B8:B9"/>
    <mergeCell ref="B27:B28"/>
    <mergeCell ref="B46:B47"/>
    <mergeCell ref="B65:B66"/>
    <mergeCell ref="E45:E47"/>
    <mergeCell ref="E64:E66"/>
    <mergeCell ref="E83:E85"/>
    <mergeCell ref="E102:E104"/>
    <mergeCell ref="E123:E125"/>
    <mergeCell ref="A142:A144"/>
    <mergeCell ref="A164:A166"/>
    <mergeCell ref="A182:A184"/>
    <mergeCell ref="A7:A9"/>
    <mergeCell ref="A26:A28"/>
    <mergeCell ref="A45:A47"/>
    <mergeCell ref="A64:A66"/>
    <mergeCell ref="A83:A85"/>
    <mergeCell ref="A63:G63"/>
    <mergeCell ref="B64:D64"/>
    <mergeCell ref="C65:D65"/>
    <mergeCell ref="A82:G82"/>
    <mergeCell ref="F64:F66"/>
    <mergeCell ref="G64:G66"/>
    <mergeCell ref="B26:D26"/>
    <mergeCell ref="C27:D27"/>
    <mergeCell ref="A163:G163"/>
    <mergeCell ref="B164:D164"/>
    <mergeCell ref="C165:D165"/>
    <mergeCell ref="A181:G181"/>
    <mergeCell ref="B123:D123"/>
    <mergeCell ref="C124:D124"/>
    <mergeCell ref="A141:G141"/>
    <mergeCell ref="B142:D142"/>
    <mergeCell ref="C143:D143"/>
    <mergeCell ref="B124:B125"/>
    <mergeCell ref="B143:B144"/>
    <mergeCell ref="F123:F125"/>
    <mergeCell ref="F142:F144"/>
    <mergeCell ref="G123:G125"/>
    <mergeCell ref="G142:G144"/>
    <mergeCell ref="A123:A125"/>
    <mergeCell ref="B182:D182"/>
    <mergeCell ref="B165:B166"/>
    <mergeCell ref="F164:F166"/>
    <mergeCell ref="F182:F184"/>
    <mergeCell ref="G164:G166"/>
    <mergeCell ref="G182:G184"/>
    <mergeCell ref="B183:B184"/>
    <mergeCell ref="C84:D84"/>
    <mergeCell ref="A101:G101"/>
    <mergeCell ref="B102:D102"/>
    <mergeCell ref="C103:D103"/>
    <mergeCell ref="A122:G122"/>
    <mergeCell ref="B103:B104"/>
    <mergeCell ref="F83:F85"/>
    <mergeCell ref="F102:F104"/>
    <mergeCell ref="G83:G85"/>
    <mergeCell ref="G102:G104"/>
    <mergeCell ref="B83:D83"/>
    <mergeCell ref="B84:B85"/>
    <mergeCell ref="A102:A104"/>
    <mergeCell ref="F26:F28"/>
    <mergeCell ref="F45:F47"/>
    <mergeCell ref="G26:G28"/>
    <mergeCell ref="G45:G47"/>
    <mergeCell ref="A1:G1"/>
    <mergeCell ref="A6:G6"/>
    <mergeCell ref="B7:D7"/>
    <mergeCell ref="C8:D8"/>
    <mergeCell ref="A25:G25"/>
    <mergeCell ref="F7:F9"/>
    <mergeCell ref="G7:G9"/>
    <mergeCell ref="A44:G44"/>
    <mergeCell ref="B45:D45"/>
    <mergeCell ref="C46:D46"/>
    <mergeCell ref="E7:E9"/>
    <mergeCell ref="E26:E28"/>
  </mergeCells>
  <pageMargins left="0.69930555555555596" right="0.69930555555555596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M157"/>
  <sheetViews>
    <sheetView topLeftCell="A128" workbookViewId="0">
      <selection activeCell="M102" sqref="M102:M157"/>
    </sheetView>
  </sheetViews>
  <sheetFormatPr baseColWidth="10" defaultColWidth="9.140625" defaultRowHeight="15"/>
  <cols>
    <col min="9" max="9" width="18.42578125" customWidth="1"/>
    <col min="13" max="13" width="11.7109375"/>
  </cols>
  <sheetData>
    <row r="3" spans="9:9">
      <c r="I3" s="2" t="s">
        <v>4411</v>
      </c>
    </row>
    <row r="4" spans="9:9">
      <c r="I4" s="2" t="s">
        <v>4412</v>
      </c>
    </row>
    <row r="5" spans="9:9">
      <c r="I5" s="2" t="s">
        <v>4413</v>
      </c>
    </row>
    <row r="6" spans="9:9">
      <c r="I6" s="78" t="s">
        <v>4414</v>
      </c>
    </row>
    <row r="7" spans="9:9">
      <c r="I7" s="78" t="s">
        <v>4415</v>
      </c>
    </row>
    <row r="8" spans="9:9">
      <c r="I8" s="2" t="s">
        <v>4416</v>
      </c>
    </row>
    <row r="9" spans="9:9">
      <c r="I9" s="2" t="s">
        <v>4417</v>
      </c>
    </row>
    <row r="10" spans="9:9">
      <c r="I10" s="2" t="s">
        <v>4418</v>
      </c>
    </row>
    <row r="11" spans="9:9">
      <c r="I11" s="2" t="s">
        <v>4419</v>
      </c>
    </row>
    <row r="12" spans="9:9">
      <c r="I12" s="2" t="s">
        <v>4420</v>
      </c>
    </row>
    <row r="13" spans="9:9">
      <c r="I13" s="2" t="s">
        <v>4421</v>
      </c>
    </row>
    <row r="14" spans="9:9">
      <c r="I14" s="2" t="s">
        <v>4422</v>
      </c>
    </row>
    <row r="15" spans="9:9">
      <c r="I15" s="2">
        <v>14418399742</v>
      </c>
    </row>
    <row r="16" spans="9:9">
      <c r="I16" s="2" t="s">
        <v>4423</v>
      </c>
    </row>
    <row r="17" spans="9:9">
      <c r="I17" s="2" t="s">
        <v>4424</v>
      </c>
    </row>
    <row r="18" spans="9:9">
      <c r="I18" s="2" t="s">
        <v>4425</v>
      </c>
    </row>
    <row r="19" spans="9:9">
      <c r="I19" s="2" t="s">
        <v>4426</v>
      </c>
    </row>
    <row r="20" spans="9:9">
      <c r="I20" s="2" t="s">
        <v>4427</v>
      </c>
    </row>
    <row r="21" spans="9:9">
      <c r="I21" s="2" t="s">
        <v>4428</v>
      </c>
    </row>
    <row r="22" spans="9:9">
      <c r="I22" s="2" t="s">
        <v>4429</v>
      </c>
    </row>
    <row r="23" spans="9:9">
      <c r="I23" s="2" t="s">
        <v>4430</v>
      </c>
    </row>
    <row r="24" spans="9:9">
      <c r="I24" s="2" t="s">
        <v>4431</v>
      </c>
    </row>
    <row r="25" spans="9:9">
      <c r="I25" s="78" t="s">
        <v>4432</v>
      </c>
    </row>
    <row r="26" spans="9:9">
      <c r="I26" s="78" t="s">
        <v>4433</v>
      </c>
    </row>
    <row r="27" spans="9:9">
      <c r="I27" s="78" t="s">
        <v>4434</v>
      </c>
    </row>
    <row r="28" spans="9:9">
      <c r="I28" s="2" t="s">
        <v>4435</v>
      </c>
    </row>
    <row r="29" spans="9:9">
      <c r="I29" s="78" t="s">
        <v>4436</v>
      </c>
    </row>
    <row r="30" spans="9:9">
      <c r="I30" s="2" t="s">
        <v>4437</v>
      </c>
    </row>
    <row r="31" spans="9:9">
      <c r="I31" s="2" t="s">
        <v>4438</v>
      </c>
    </row>
    <row r="32" spans="9:9">
      <c r="I32" s="2" t="s">
        <v>4439</v>
      </c>
    </row>
    <row r="33" spans="9:9">
      <c r="I33" s="2" t="s">
        <v>4440</v>
      </c>
    </row>
    <row r="34" spans="9:9">
      <c r="I34" s="2" t="s">
        <v>4441</v>
      </c>
    </row>
    <row r="35" spans="9:9">
      <c r="I35" s="2" t="s">
        <v>4442</v>
      </c>
    </row>
    <row r="36" spans="9:9">
      <c r="I36" s="2" t="s">
        <v>4443</v>
      </c>
    </row>
    <row r="37" spans="9:9">
      <c r="I37" s="2" t="s">
        <v>4444</v>
      </c>
    </row>
    <row r="38" spans="9:9">
      <c r="I38" s="2" t="s">
        <v>4445</v>
      </c>
    </row>
    <row r="39" spans="9:9">
      <c r="I39" s="2" t="s">
        <v>4446</v>
      </c>
    </row>
    <row r="40" spans="9:9">
      <c r="I40" s="2" t="s">
        <v>4447</v>
      </c>
    </row>
    <row r="41" spans="9:9">
      <c r="I41" s="2" t="s">
        <v>4448</v>
      </c>
    </row>
    <row r="42" spans="9:9">
      <c r="I42" s="2" t="s">
        <v>4449</v>
      </c>
    </row>
    <row r="43" spans="9:9">
      <c r="I43" s="2" t="s">
        <v>4450</v>
      </c>
    </row>
    <row r="44" spans="9:9">
      <c r="I44" s="2" t="s">
        <v>4451</v>
      </c>
    </row>
    <row r="45" spans="9:9">
      <c r="I45" s="2" t="s">
        <v>4452</v>
      </c>
    </row>
    <row r="46" spans="9:9">
      <c r="I46" s="2" t="s">
        <v>4453</v>
      </c>
    </row>
    <row r="47" spans="9:9">
      <c r="I47" s="2" t="s">
        <v>4454</v>
      </c>
    </row>
    <row r="48" spans="9:9">
      <c r="I48" s="2" t="s">
        <v>4455</v>
      </c>
    </row>
    <row r="49" spans="9:9">
      <c r="I49" s="2" t="s">
        <v>4456</v>
      </c>
    </row>
    <row r="50" spans="9:9">
      <c r="I50" s="2" t="s">
        <v>4457</v>
      </c>
    </row>
    <row r="51" spans="9:9">
      <c r="I51" s="2" t="s">
        <v>4458</v>
      </c>
    </row>
    <row r="52" spans="9:9">
      <c r="I52" s="2" t="s">
        <v>4459</v>
      </c>
    </row>
    <row r="53" spans="9:9">
      <c r="I53" s="2" t="s">
        <v>4460</v>
      </c>
    </row>
    <row r="54" spans="9:9">
      <c r="I54" s="2" t="s">
        <v>4461</v>
      </c>
    </row>
    <row r="55" spans="9:9">
      <c r="I55" s="2" t="s">
        <v>4462</v>
      </c>
    </row>
    <row r="56" spans="9:9">
      <c r="I56" s="78" t="s">
        <v>4463</v>
      </c>
    </row>
    <row r="57" spans="9:9">
      <c r="I57" s="2" t="s">
        <v>4464</v>
      </c>
    </row>
    <row r="58" spans="9:9">
      <c r="I58" s="2" t="s">
        <v>4465</v>
      </c>
    </row>
    <row r="59" spans="9:9">
      <c r="I59" s="2" t="s">
        <v>4466</v>
      </c>
    </row>
    <row r="60" spans="9:9">
      <c r="I60" s="2" t="s">
        <v>4467</v>
      </c>
    </row>
    <row r="61" spans="9:9">
      <c r="I61" s="2" t="s">
        <v>4468</v>
      </c>
    </row>
    <row r="62" spans="9:9">
      <c r="I62" s="2" t="s">
        <v>4469</v>
      </c>
    </row>
    <row r="63" spans="9:9">
      <c r="I63" s="2" t="s">
        <v>4470</v>
      </c>
    </row>
    <row r="64" spans="9:9">
      <c r="I64" s="2" t="s">
        <v>4471</v>
      </c>
    </row>
    <row r="65" spans="9:9">
      <c r="I65" s="2">
        <v>1022183841</v>
      </c>
    </row>
    <row r="66" spans="9:9">
      <c r="I66" s="2" t="s">
        <v>4472</v>
      </c>
    </row>
    <row r="67" spans="9:9">
      <c r="I67" s="2" t="s">
        <v>4473</v>
      </c>
    </row>
    <row r="68" spans="9:9">
      <c r="I68" s="2" t="s">
        <v>4474</v>
      </c>
    </row>
    <row r="69" spans="9:9">
      <c r="I69" s="78" t="s">
        <v>4475</v>
      </c>
    </row>
    <row r="70" spans="9:9">
      <c r="I70" s="2" t="s">
        <v>4476</v>
      </c>
    </row>
    <row r="71" spans="9:9">
      <c r="I71" s="2" t="s">
        <v>4477</v>
      </c>
    </row>
    <row r="72" spans="9:9">
      <c r="I72" s="2" t="s">
        <v>4478</v>
      </c>
    </row>
    <row r="73" spans="9:9">
      <c r="I73" s="2" t="s">
        <v>4479</v>
      </c>
    </row>
    <row r="74" spans="9:9">
      <c r="I74" s="2" t="s">
        <v>4480</v>
      </c>
    </row>
    <row r="75" spans="9:9">
      <c r="I75" s="2" t="s">
        <v>4481</v>
      </c>
    </row>
    <row r="76" spans="9:9">
      <c r="I76" s="2" t="s">
        <v>4482</v>
      </c>
    </row>
    <row r="77" spans="9:9">
      <c r="I77" s="2" t="s">
        <v>4483</v>
      </c>
    </row>
    <row r="78" spans="9:9">
      <c r="I78" s="2" t="s">
        <v>4484</v>
      </c>
    </row>
    <row r="79" spans="9:9">
      <c r="I79" s="2" t="s">
        <v>4485</v>
      </c>
    </row>
    <row r="80" spans="9:9">
      <c r="I80" s="2" t="s">
        <v>4486</v>
      </c>
    </row>
    <row r="81" spans="9:9">
      <c r="I81" s="2" t="s">
        <v>4487</v>
      </c>
    </row>
    <row r="82" spans="9:9">
      <c r="I82" s="2" t="s">
        <v>4488</v>
      </c>
    </row>
    <row r="83" spans="9:9">
      <c r="I83" s="2" t="s">
        <v>4489</v>
      </c>
    </row>
    <row r="84" spans="9:9">
      <c r="I84" s="2" t="s">
        <v>4490</v>
      </c>
    </row>
    <row r="85" spans="9:9">
      <c r="I85" s="2" t="s">
        <v>4491</v>
      </c>
    </row>
    <row r="86" spans="9:9">
      <c r="I86" s="2" t="s">
        <v>4492</v>
      </c>
    </row>
    <row r="87" spans="9:9">
      <c r="I87" s="2" t="s">
        <v>4493</v>
      </c>
    </row>
    <row r="88" spans="9:9">
      <c r="I88" s="2" t="s">
        <v>4494</v>
      </c>
    </row>
    <row r="89" spans="9:9">
      <c r="I89" s="2" t="s">
        <v>4495</v>
      </c>
    </row>
    <row r="90" spans="9:9">
      <c r="I90" s="2" t="s">
        <v>4496</v>
      </c>
    </row>
    <row r="91" spans="9:9">
      <c r="I91" s="2" t="s">
        <v>4497</v>
      </c>
    </row>
    <row r="92" spans="9:9">
      <c r="I92" s="2" t="s">
        <v>4498</v>
      </c>
    </row>
    <row r="93" spans="9:9">
      <c r="I93" s="2" t="s">
        <v>4499</v>
      </c>
    </row>
    <row r="94" spans="9:9">
      <c r="I94" s="2" t="s">
        <v>4500</v>
      </c>
    </row>
    <row r="95" spans="9:9">
      <c r="I95" s="2" t="s">
        <v>4501</v>
      </c>
    </row>
    <row r="96" spans="9:9">
      <c r="I96" s="2" t="s">
        <v>4502</v>
      </c>
    </row>
    <row r="97" spans="9:13">
      <c r="I97" s="2" t="s">
        <v>4503</v>
      </c>
    </row>
    <row r="98" spans="9:13">
      <c r="I98" s="2" t="s">
        <v>4504</v>
      </c>
    </row>
    <row r="99" spans="9:13">
      <c r="I99" s="2" t="s">
        <v>4505</v>
      </c>
    </row>
    <row r="100" spans="9:13">
      <c r="I100" s="2" t="s">
        <v>4506</v>
      </c>
    </row>
    <row r="101" spans="9:13">
      <c r="I101" s="2" t="s">
        <v>4507</v>
      </c>
    </row>
    <row r="102" spans="9:13">
      <c r="I102" s="2" t="s">
        <v>4508</v>
      </c>
      <c r="M102" s="2" t="s">
        <v>4411</v>
      </c>
    </row>
    <row r="103" spans="9:13">
      <c r="I103" s="2" t="s">
        <v>4509</v>
      </c>
      <c r="M103" s="2" t="s">
        <v>4413</v>
      </c>
    </row>
    <row r="104" spans="9:13">
      <c r="I104" s="2" t="s">
        <v>4510</v>
      </c>
      <c r="M104" s="78" t="s">
        <v>4414</v>
      </c>
    </row>
    <row r="105" spans="9:13">
      <c r="I105" s="2" t="s">
        <v>4511</v>
      </c>
      <c r="M105" s="78" t="s">
        <v>4415</v>
      </c>
    </row>
    <row r="106" spans="9:13">
      <c r="I106" s="2" t="s">
        <v>4512</v>
      </c>
      <c r="M106" s="2" t="s">
        <v>4416</v>
      </c>
    </row>
    <row r="107" spans="9:13">
      <c r="I107" s="2">
        <v>1022333990</v>
      </c>
      <c r="M107" s="2" t="s">
        <v>4423</v>
      </c>
    </row>
    <row r="108" spans="9:13">
      <c r="I108" s="2" t="s">
        <v>4513</v>
      </c>
      <c r="M108" s="78" t="s">
        <v>4432</v>
      </c>
    </row>
    <row r="109" spans="9:13">
      <c r="I109" s="2" t="s">
        <v>4514</v>
      </c>
      <c r="M109" s="2" t="s">
        <v>4438</v>
      </c>
    </row>
    <row r="110" spans="9:13">
      <c r="I110" s="2" t="s">
        <v>4515</v>
      </c>
      <c r="M110" s="2" t="s">
        <v>4444</v>
      </c>
    </row>
    <row r="111" spans="9:13">
      <c r="I111" s="2" t="s">
        <v>4516</v>
      </c>
      <c r="M111" s="2" t="s">
        <v>4445</v>
      </c>
    </row>
    <row r="112" spans="9:13">
      <c r="I112" s="2" t="s">
        <v>4517</v>
      </c>
      <c r="M112" s="2" t="s">
        <v>4446</v>
      </c>
    </row>
    <row r="113" spans="9:13">
      <c r="I113" s="2" t="s">
        <v>4518</v>
      </c>
      <c r="M113" s="2" t="s">
        <v>4447</v>
      </c>
    </row>
    <row r="114" spans="9:13">
      <c r="I114" s="2" t="s">
        <v>4519</v>
      </c>
      <c r="M114" s="2" t="s">
        <v>4448</v>
      </c>
    </row>
    <row r="115" spans="9:13">
      <c r="I115" s="2">
        <v>1022416528</v>
      </c>
      <c r="M115" s="2" t="s">
        <v>4451</v>
      </c>
    </row>
    <row r="116" spans="9:13">
      <c r="I116" s="2">
        <v>1022468231</v>
      </c>
      <c r="M116" s="2" t="s">
        <v>4455</v>
      </c>
    </row>
    <row r="117" spans="9:13">
      <c r="I117" s="2" t="s">
        <v>4520</v>
      </c>
      <c r="M117" s="2" t="s">
        <v>4457</v>
      </c>
    </row>
    <row r="118" spans="9:13">
      <c r="I118" s="2" t="s">
        <v>4521</v>
      </c>
      <c r="M118" s="2" t="s">
        <v>4458</v>
      </c>
    </row>
    <row r="119" spans="9:13">
      <c r="I119" s="2" t="s">
        <v>4522</v>
      </c>
      <c r="M119" s="2" t="s">
        <v>4460</v>
      </c>
    </row>
    <row r="120" spans="9:13">
      <c r="I120" s="2" t="s">
        <v>4523</v>
      </c>
      <c r="M120" s="78" t="s">
        <v>4463</v>
      </c>
    </row>
    <row r="121" spans="9:13">
      <c r="I121" s="2" t="s">
        <v>4524</v>
      </c>
      <c r="M121" s="2" t="s">
        <v>4464</v>
      </c>
    </row>
    <row r="122" spans="9:13">
      <c r="I122" s="2" t="s">
        <v>4525</v>
      </c>
      <c r="M122" s="2" t="s">
        <v>4467</v>
      </c>
    </row>
    <row r="123" spans="9:13">
      <c r="I123" s="2" t="s">
        <v>4526</v>
      </c>
      <c r="M123" s="2" t="s">
        <v>4468</v>
      </c>
    </row>
    <row r="124" spans="9:13">
      <c r="I124" s="2">
        <v>1022050945</v>
      </c>
      <c r="M124" s="2" t="s">
        <v>4469</v>
      </c>
    </row>
    <row r="125" spans="9:13">
      <c r="I125" s="2" t="s">
        <v>4527</v>
      </c>
      <c r="M125" s="2" t="s">
        <v>4470</v>
      </c>
    </row>
    <row r="126" spans="9:13">
      <c r="I126" s="2" t="s">
        <v>4528</v>
      </c>
      <c r="M126" s="2" t="s">
        <v>4471</v>
      </c>
    </row>
    <row r="127" spans="9:13">
      <c r="I127" s="2" t="s">
        <v>4529</v>
      </c>
      <c r="M127" s="2">
        <v>1022183841</v>
      </c>
    </row>
    <row r="128" spans="9:13">
      <c r="I128" s="2" t="s">
        <v>4530</v>
      </c>
      <c r="M128" s="2" t="s">
        <v>4472</v>
      </c>
    </row>
    <row r="129" spans="9:13">
      <c r="I129" s="2" t="s">
        <v>4531</v>
      </c>
      <c r="M129" s="78" t="s">
        <v>4475</v>
      </c>
    </row>
    <row r="130" spans="9:13">
      <c r="I130" s="2" t="s">
        <v>4532</v>
      </c>
      <c r="M130" s="2" t="s">
        <v>4477</v>
      </c>
    </row>
    <row r="131" spans="9:13">
      <c r="I131" s="2" t="s">
        <v>4533</v>
      </c>
      <c r="M131" s="2" t="s">
        <v>4484</v>
      </c>
    </row>
    <row r="132" spans="9:13">
      <c r="I132" s="2" t="s">
        <v>4534</v>
      </c>
      <c r="M132" s="2" t="s">
        <v>4486</v>
      </c>
    </row>
    <row r="133" spans="9:13">
      <c r="I133" s="2" t="s">
        <v>4535</v>
      </c>
      <c r="M133" s="2" t="s">
        <v>4487</v>
      </c>
    </row>
    <row r="134" spans="9:13">
      <c r="I134" s="2" t="s">
        <v>4536</v>
      </c>
      <c r="M134" s="2" t="s">
        <v>4488</v>
      </c>
    </row>
    <row r="135" spans="9:13">
      <c r="I135" s="2" t="s">
        <v>4537</v>
      </c>
      <c r="M135" s="2" t="s">
        <v>4490</v>
      </c>
    </row>
    <row r="136" spans="9:13">
      <c r="I136" s="2" t="s">
        <v>4538</v>
      </c>
      <c r="M136" s="2" t="s">
        <v>4493</v>
      </c>
    </row>
    <row r="137" spans="9:13">
      <c r="M137" s="2" t="s">
        <v>4496</v>
      </c>
    </row>
    <row r="138" spans="9:13">
      <c r="M138" s="2" t="s">
        <v>4499</v>
      </c>
    </row>
    <row r="139" spans="9:13">
      <c r="M139" s="2" t="s">
        <v>4500</v>
      </c>
    </row>
    <row r="140" spans="9:13">
      <c r="M140" s="2" t="s">
        <v>4501</v>
      </c>
    </row>
    <row r="141" spans="9:13">
      <c r="M141" s="2" t="s">
        <v>4505</v>
      </c>
    </row>
    <row r="142" spans="9:13">
      <c r="M142" s="2" t="s">
        <v>4507</v>
      </c>
    </row>
    <row r="143" spans="9:13">
      <c r="M143" s="2" t="s">
        <v>4509</v>
      </c>
    </row>
    <row r="144" spans="9:13">
      <c r="M144" s="2" t="s">
        <v>4510</v>
      </c>
    </row>
    <row r="145" spans="13:13">
      <c r="M145" s="2">
        <v>1022333990</v>
      </c>
    </row>
    <row r="146" spans="13:13">
      <c r="M146" s="2" t="s">
        <v>4515</v>
      </c>
    </row>
    <row r="147" spans="13:13">
      <c r="M147" s="2" t="s">
        <v>4518</v>
      </c>
    </row>
    <row r="148" spans="13:13">
      <c r="M148" s="2">
        <v>1022416528</v>
      </c>
    </row>
    <row r="149" spans="13:13">
      <c r="M149" s="2">
        <v>1022468231</v>
      </c>
    </row>
    <row r="150" spans="13:13">
      <c r="M150" s="2">
        <v>1022050945</v>
      </c>
    </row>
    <row r="151" spans="13:13">
      <c r="M151" s="2" t="s">
        <v>4529</v>
      </c>
    </row>
    <row r="152" spans="13:13">
      <c r="M152" s="2" t="s">
        <v>4530</v>
      </c>
    </row>
    <row r="153" spans="13:13">
      <c r="M153" s="2" t="s">
        <v>4531</v>
      </c>
    </row>
    <row r="154" spans="13:13">
      <c r="M154" s="2" t="s">
        <v>4533</v>
      </c>
    </row>
    <row r="155" spans="13:13">
      <c r="M155" s="2" t="s">
        <v>4535</v>
      </c>
    </row>
    <row r="156" spans="13:13">
      <c r="M156" s="2" t="s">
        <v>4536</v>
      </c>
    </row>
    <row r="157" spans="13:13">
      <c r="M157" s="2" t="s">
        <v>4537</v>
      </c>
    </row>
  </sheetData>
  <pageMargins left="0.75" right="0.75" top="1" bottom="1" header="0.51180555555555596" footer="0.5118055555555559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7"/>
  <sheetViews>
    <sheetView workbookViewId="0">
      <selection sqref="A1:A177"/>
    </sheetView>
  </sheetViews>
  <sheetFormatPr baseColWidth="10" defaultColWidth="9" defaultRowHeight="15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</sheetData>
  <pageMargins left="0.69930555555555596" right="0.69930555555555596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124"/>
  <sheetViews>
    <sheetView topLeftCell="A13" workbookViewId="0">
      <selection activeCell="C124" sqref="C4:C124"/>
    </sheetView>
  </sheetViews>
  <sheetFormatPr baseColWidth="10" defaultColWidth="9" defaultRowHeight="15"/>
  <sheetData>
    <row r="4" spans="3:3">
      <c r="C4" s="1" t="s">
        <v>4539</v>
      </c>
    </row>
    <row r="5" spans="3:3">
      <c r="C5" s="1" t="s">
        <v>4540</v>
      </c>
    </row>
    <row r="6" spans="3:3">
      <c r="C6" s="1" t="s">
        <v>4541</v>
      </c>
    </row>
    <row r="7" spans="3:3">
      <c r="C7" s="1" t="s">
        <v>4542</v>
      </c>
    </row>
    <row r="8" spans="3:3">
      <c r="C8" s="1" t="s">
        <v>4543</v>
      </c>
    </row>
    <row r="9" spans="3:3">
      <c r="C9" s="1" t="s">
        <v>4544</v>
      </c>
    </row>
    <row r="10" spans="3:3">
      <c r="C10" s="1" t="s">
        <v>4545</v>
      </c>
    </row>
    <row r="11" spans="3:3">
      <c r="C11" s="1" t="s">
        <v>4546</v>
      </c>
    </row>
    <row r="12" spans="3:3">
      <c r="C12" s="1" t="s">
        <v>4547</v>
      </c>
    </row>
    <row r="13" spans="3:3">
      <c r="C13" s="1" t="s">
        <v>4548</v>
      </c>
    </row>
    <row r="14" spans="3:3">
      <c r="C14" s="1" t="s">
        <v>4549</v>
      </c>
    </row>
    <row r="15" spans="3:3">
      <c r="C15" s="1" t="s">
        <v>4550</v>
      </c>
    </row>
    <row r="16" spans="3:3">
      <c r="C16" s="1" t="s">
        <v>4551</v>
      </c>
    </row>
    <row r="17" spans="3:3">
      <c r="C17" s="1" t="s">
        <v>4552</v>
      </c>
    </row>
    <row r="18" spans="3:3">
      <c r="C18" s="1" t="s">
        <v>4553</v>
      </c>
    </row>
    <row r="19" spans="3:3">
      <c r="C19" s="1" t="s">
        <v>4554</v>
      </c>
    </row>
    <row r="20" spans="3:3">
      <c r="C20" s="1" t="s">
        <v>4555</v>
      </c>
    </row>
    <row r="21" spans="3:3">
      <c r="C21" s="1" t="s">
        <v>4556</v>
      </c>
    </row>
    <row r="22" spans="3:3">
      <c r="C22" s="1" t="s">
        <v>4557</v>
      </c>
    </row>
    <row r="23" spans="3:3">
      <c r="C23" s="1" t="s">
        <v>4558</v>
      </c>
    </row>
    <row r="24" spans="3:3">
      <c r="C24" s="1" t="s">
        <v>4559</v>
      </c>
    </row>
    <row r="25" spans="3:3">
      <c r="C25" s="1" t="s">
        <v>4560</v>
      </c>
    </row>
    <row r="26" spans="3:3">
      <c r="C26" s="1" t="s">
        <v>4561</v>
      </c>
    </row>
    <row r="27" spans="3:3">
      <c r="C27" s="1" t="s">
        <v>4562</v>
      </c>
    </row>
    <row r="28" spans="3:3">
      <c r="C28" s="1" t="s">
        <v>4563</v>
      </c>
    </row>
    <row r="29" spans="3:3">
      <c r="C29" s="1" t="s">
        <v>4564</v>
      </c>
    </row>
    <row r="30" spans="3:3">
      <c r="C30" s="1" t="s">
        <v>4565</v>
      </c>
    </row>
    <row r="31" spans="3:3">
      <c r="C31" s="1" t="s">
        <v>4566</v>
      </c>
    </row>
    <row r="32" spans="3:3">
      <c r="C32" s="1" t="s">
        <v>4567</v>
      </c>
    </row>
    <row r="33" spans="3:3">
      <c r="C33" s="1" t="s">
        <v>4568</v>
      </c>
    </row>
    <row r="34" spans="3:3">
      <c r="C34" s="1" t="s">
        <v>4569</v>
      </c>
    </row>
    <row r="35" spans="3:3">
      <c r="C35" s="1" t="s">
        <v>4570</v>
      </c>
    </row>
    <row r="36" spans="3:3">
      <c r="C36" s="1" t="s">
        <v>4571</v>
      </c>
    </row>
    <row r="37" spans="3:3">
      <c r="C37" s="1" t="s">
        <v>4572</v>
      </c>
    </row>
    <row r="38" spans="3:3">
      <c r="C38" s="1" t="s">
        <v>4573</v>
      </c>
    </row>
    <row r="39" spans="3:3">
      <c r="C39" s="1" t="s">
        <v>4574</v>
      </c>
    </row>
    <row r="40" spans="3:3">
      <c r="C40" s="1" t="s">
        <v>4575</v>
      </c>
    </row>
    <row r="41" spans="3:3">
      <c r="C41" s="1" t="s">
        <v>4576</v>
      </c>
    </row>
    <row r="42" spans="3:3">
      <c r="C42" s="1" t="s">
        <v>4577</v>
      </c>
    </row>
    <row r="43" spans="3:3">
      <c r="C43" s="1" t="s">
        <v>4578</v>
      </c>
    </row>
    <row r="44" spans="3:3">
      <c r="C44" s="1" t="s">
        <v>4579</v>
      </c>
    </row>
    <row r="45" spans="3:3">
      <c r="C45" s="1" t="s">
        <v>4580</v>
      </c>
    </row>
    <row r="46" spans="3:3">
      <c r="C46" s="1" t="s">
        <v>4581</v>
      </c>
    </row>
    <row r="47" spans="3:3">
      <c r="C47" s="1" t="s">
        <v>4582</v>
      </c>
    </row>
    <row r="48" spans="3:3">
      <c r="C48" s="1" t="s">
        <v>4583</v>
      </c>
    </row>
    <row r="49" spans="3:3">
      <c r="C49" s="1" t="s">
        <v>4584</v>
      </c>
    </row>
    <row r="50" spans="3:3">
      <c r="C50" s="1" t="s">
        <v>4585</v>
      </c>
    </row>
    <row r="51" spans="3:3">
      <c r="C51" s="1" t="s">
        <v>4586</v>
      </c>
    </row>
    <row r="52" spans="3:3">
      <c r="C52" s="1" t="s">
        <v>4587</v>
      </c>
    </row>
    <row r="53" spans="3:3">
      <c r="C53" s="1" t="s">
        <v>4588</v>
      </c>
    </row>
    <row r="54" spans="3:3">
      <c r="C54" s="1" t="s">
        <v>4589</v>
      </c>
    </row>
    <row r="55" spans="3:3">
      <c r="C55" s="1" t="s">
        <v>4590</v>
      </c>
    </row>
    <row r="56" spans="3:3">
      <c r="C56" s="1" t="s">
        <v>4591</v>
      </c>
    </row>
    <row r="57" spans="3:3">
      <c r="C57" s="1" t="s">
        <v>4592</v>
      </c>
    </row>
    <row r="58" spans="3:3">
      <c r="C58" s="1" t="s">
        <v>4593</v>
      </c>
    </row>
    <row r="59" spans="3:3">
      <c r="C59" s="1" t="s">
        <v>4594</v>
      </c>
    </row>
    <row r="60" spans="3:3">
      <c r="C60" s="1" t="s">
        <v>4595</v>
      </c>
    </row>
    <row r="61" spans="3:3">
      <c r="C61" s="1" t="s">
        <v>4596</v>
      </c>
    </row>
    <row r="62" spans="3:3">
      <c r="C62" s="1" t="s">
        <v>4597</v>
      </c>
    </row>
    <row r="63" spans="3:3">
      <c r="C63" s="1" t="s">
        <v>4598</v>
      </c>
    </row>
    <row r="64" spans="3:3">
      <c r="C64" s="1" t="s">
        <v>4599</v>
      </c>
    </row>
    <row r="65" spans="3:3">
      <c r="C65" s="1" t="s">
        <v>4600</v>
      </c>
    </row>
    <row r="66" spans="3:3">
      <c r="C66" s="1" t="s">
        <v>4601</v>
      </c>
    </row>
    <row r="67" spans="3:3">
      <c r="C67" s="1" t="s">
        <v>4602</v>
      </c>
    </row>
    <row r="68" spans="3:3">
      <c r="C68" s="1" t="s">
        <v>4603</v>
      </c>
    </row>
    <row r="69" spans="3:3">
      <c r="C69" s="1" t="s">
        <v>4604</v>
      </c>
    </row>
    <row r="70" spans="3:3">
      <c r="C70" s="1" t="s">
        <v>4605</v>
      </c>
    </row>
    <row r="71" spans="3:3">
      <c r="C71" s="1" t="s">
        <v>4606</v>
      </c>
    </row>
    <row r="72" spans="3:3">
      <c r="C72" s="1" t="s">
        <v>4607</v>
      </c>
    </row>
    <row r="73" spans="3:3">
      <c r="C73" s="1" t="s">
        <v>4608</v>
      </c>
    </row>
    <row r="74" spans="3:3">
      <c r="C74" s="1" t="s">
        <v>4609</v>
      </c>
    </row>
    <row r="75" spans="3:3">
      <c r="C75" s="1" t="s">
        <v>4610</v>
      </c>
    </row>
    <row r="76" spans="3:3">
      <c r="C76" s="1" t="s">
        <v>4611</v>
      </c>
    </row>
    <row r="77" spans="3:3">
      <c r="C77" s="1" t="s">
        <v>4612</v>
      </c>
    </row>
    <row r="78" spans="3:3">
      <c r="C78" s="1" t="s">
        <v>4613</v>
      </c>
    </row>
    <row r="79" spans="3:3">
      <c r="C79" s="1" t="s">
        <v>4614</v>
      </c>
    </row>
    <row r="80" spans="3:3">
      <c r="C80" s="1" t="s">
        <v>4615</v>
      </c>
    </row>
    <row r="81" spans="3:3">
      <c r="C81" s="1" t="s">
        <v>4616</v>
      </c>
    </row>
    <row r="82" spans="3:3">
      <c r="C82" s="1" t="s">
        <v>4617</v>
      </c>
    </row>
    <row r="83" spans="3:3">
      <c r="C83" s="1" t="s">
        <v>4618</v>
      </c>
    </row>
    <row r="84" spans="3:3">
      <c r="C84" s="1" t="s">
        <v>4619</v>
      </c>
    </row>
    <row r="85" spans="3:3">
      <c r="C85" s="1" t="s">
        <v>4620</v>
      </c>
    </row>
    <row r="86" spans="3:3">
      <c r="C86" s="1" t="s">
        <v>4621</v>
      </c>
    </row>
    <row r="87" spans="3:3">
      <c r="C87" s="1" t="s">
        <v>4622</v>
      </c>
    </row>
    <row r="88" spans="3:3">
      <c r="C88" s="1" t="s">
        <v>4623</v>
      </c>
    </row>
    <row r="89" spans="3:3">
      <c r="C89" s="1" t="s">
        <v>4624</v>
      </c>
    </row>
    <row r="90" spans="3:3">
      <c r="C90" s="1" t="s">
        <v>4625</v>
      </c>
    </row>
    <row r="91" spans="3:3">
      <c r="C91" s="1" t="s">
        <v>4626</v>
      </c>
    </row>
    <row r="92" spans="3:3">
      <c r="C92" s="1" t="s">
        <v>4627</v>
      </c>
    </row>
    <row r="93" spans="3:3">
      <c r="C93" s="1" t="s">
        <v>4628</v>
      </c>
    </row>
    <row r="94" spans="3:3">
      <c r="C94" s="1" t="s">
        <v>4629</v>
      </c>
    </row>
    <row r="95" spans="3:3">
      <c r="C95" s="1" t="s">
        <v>4630</v>
      </c>
    </row>
    <row r="96" spans="3:3">
      <c r="C96" s="1" t="s">
        <v>4631</v>
      </c>
    </row>
    <row r="97" spans="3:3">
      <c r="C97" s="1" t="s">
        <v>4632</v>
      </c>
    </row>
    <row r="98" spans="3:3">
      <c r="C98" s="1" t="s">
        <v>4633</v>
      </c>
    </row>
    <row r="99" spans="3:3">
      <c r="C99" s="1" t="s">
        <v>4634</v>
      </c>
    </row>
    <row r="100" spans="3:3">
      <c r="C100" s="1" t="s">
        <v>4635</v>
      </c>
    </row>
    <row r="101" spans="3:3">
      <c r="C101" s="1" t="s">
        <v>4636</v>
      </c>
    </row>
    <row r="102" spans="3:3">
      <c r="C102" s="1" t="s">
        <v>4637</v>
      </c>
    </row>
    <row r="103" spans="3:3">
      <c r="C103" s="1" t="s">
        <v>4638</v>
      </c>
    </row>
    <row r="104" spans="3:3">
      <c r="C104" s="1" t="s">
        <v>4639</v>
      </c>
    </row>
    <row r="105" spans="3:3">
      <c r="C105" s="1" t="s">
        <v>4640</v>
      </c>
    </row>
    <row r="106" spans="3:3">
      <c r="C106" s="1" t="s">
        <v>4641</v>
      </c>
    </row>
    <row r="107" spans="3:3">
      <c r="C107" s="1" t="s">
        <v>4642</v>
      </c>
    </row>
    <row r="108" spans="3:3">
      <c r="C108" s="1" t="s">
        <v>4643</v>
      </c>
    </row>
    <row r="109" spans="3:3">
      <c r="C109" s="1" t="s">
        <v>4644</v>
      </c>
    </row>
    <row r="110" spans="3:3">
      <c r="C110" s="1" t="s">
        <v>4645</v>
      </c>
    </row>
    <row r="111" spans="3:3">
      <c r="C111" s="1" t="s">
        <v>4646</v>
      </c>
    </row>
    <row r="112" spans="3:3">
      <c r="C112" s="1" t="s">
        <v>4647</v>
      </c>
    </row>
    <row r="113" spans="3:3">
      <c r="C113" s="1" t="s">
        <v>4648</v>
      </c>
    </row>
    <row r="114" spans="3:3">
      <c r="C114" s="1" t="s">
        <v>4649</v>
      </c>
    </row>
    <row r="115" spans="3:3">
      <c r="C115" s="1" t="s">
        <v>4650</v>
      </c>
    </row>
    <row r="116" spans="3:3">
      <c r="C116" s="1" t="s">
        <v>4651</v>
      </c>
    </row>
    <row r="117" spans="3:3">
      <c r="C117" s="1" t="s">
        <v>4652</v>
      </c>
    </row>
    <row r="118" spans="3:3">
      <c r="C118" s="1" t="s">
        <v>4653</v>
      </c>
    </row>
    <row r="119" spans="3:3">
      <c r="C119" s="1" t="s">
        <v>4654</v>
      </c>
    </row>
    <row r="120" spans="3:3">
      <c r="C120" s="1" t="s">
        <v>4655</v>
      </c>
    </row>
    <row r="121" spans="3:3">
      <c r="C121" s="1" t="s">
        <v>4656</v>
      </c>
    </row>
    <row r="122" spans="3:3">
      <c r="C122" s="1" t="s">
        <v>4657</v>
      </c>
    </row>
    <row r="123" spans="3:3">
      <c r="C123" s="1" t="s">
        <v>4658</v>
      </c>
    </row>
    <row r="124" spans="3:3">
      <c r="C124" s="1" t="s">
        <v>4659</v>
      </c>
    </row>
  </sheetData>
  <pageMargins left="0.69930555555555596" right="0.69930555555555596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7EC4FA4A8EFA488EEF22AD1BBFAFDD" ma:contentTypeVersion="6" ma:contentTypeDescription="Create a new document." ma:contentTypeScope="" ma:versionID="4f38c31ab1b0f64f91e73e9987413ee0">
  <xsd:schema xmlns:xsd="http://www.w3.org/2001/XMLSchema" xmlns:xs="http://www.w3.org/2001/XMLSchema" xmlns:p="http://schemas.microsoft.com/office/2006/metadata/properties" xmlns:ns3="07371e43-59a7-4a0c-91ec-90c9bb867f35" targetNamespace="http://schemas.microsoft.com/office/2006/metadata/properties" ma:root="true" ma:fieldsID="24bec0281a5f5a7c4e10697fd255dbb5" ns3:_="">
    <xsd:import namespace="07371e43-59a7-4a0c-91ec-90c9bb867f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371e43-59a7-4a0c-91ec-90c9bb867f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99339E7-56CF-47B1-BD22-0C00005016DE}">
  <ds:schemaRefs/>
</ds:datastoreItem>
</file>

<file path=customXml/itemProps2.xml><?xml version="1.0" encoding="utf-8"?>
<ds:datastoreItem xmlns:ds="http://schemas.openxmlformats.org/officeDocument/2006/customXml" ds:itemID="{97E2D207-C3A5-452F-8BFB-56E3AA1119F0}">
  <ds:schemaRefs>
    <ds:schemaRef ds:uri="http://purl.org/dc/elements/1.1/"/>
    <ds:schemaRef ds:uri="07371e43-59a7-4a0c-91ec-90c9bb867f35"/>
    <ds:schemaRef ds:uri="http://purl.org/dc/dcmitype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5CA3FD8-CC7B-4DC1-951D-DF39DA25ABA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2</vt:i4>
      </vt:variant>
    </vt:vector>
  </HeadingPairs>
  <TitlesOfParts>
    <vt:vector size="18" baseType="lpstr">
      <vt:lpstr>Datos Maestro</vt:lpstr>
      <vt:lpstr>HOJA DE TRABAJO</vt:lpstr>
      <vt:lpstr>AP</vt:lpstr>
      <vt:lpstr>APDTA</vt:lpstr>
      <vt:lpstr>EM</vt:lpstr>
      <vt:lpstr>EN</vt:lpstr>
      <vt:lpstr>EV</vt:lpstr>
      <vt:lpstr>ED</vt:lpstr>
      <vt:lpstr>EC</vt:lpstr>
      <vt:lpstr>EB</vt:lpstr>
      <vt:lpstr>CM</vt:lpstr>
      <vt:lpstr>PM</vt:lpstr>
      <vt:lpstr>Acumulado x UB</vt:lpstr>
      <vt:lpstr>Sheet1</vt:lpstr>
      <vt:lpstr>Hoja1</vt:lpstr>
      <vt:lpstr>Hoja2</vt:lpstr>
      <vt:lpstr>TIPO</vt:lpstr>
      <vt:lpstr>TIPOS</vt:lpstr>
    </vt:vector>
  </TitlesOfParts>
  <Company>BASF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MAURICIO Villamil</dc:creator>
  <cp:lastModifiedBy>Usuario</cp:lastModifiedBy>
  <dcterms:created xsi:type="dcterms:W3CDTF">2012-01-03T13:58:00Z</dcterms:created>
  <dcterms:modified xsi:type="dcterms:W3CDTF">2019-10-10T20:13:36Z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3082-11.2.0.8970</vt:lpwstr>
  </property>
  <property fmtid="{D5CDD505-2E9C-101B-9397-08002B2CF9AE}" pid="3" name="ContentTypeId">
    <vt:lpwstr>0x0101005D7EC4FA4A8EFA488EEF22AD1BBFAFDD</vt:lpwstr>
  </property>
</Properties>
</file>